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us.widanarko/Downloads/Summary Serangan (Sensus &amp; Deteksi Tikus) FR Kalbar todate 15 Agustus 2026/"/>
    </mc:Choice>
  </mc:AlternateContent>
  <xr:revisionPtr revIDLastSave="0" documentId="8_{4B16FC33-F411-AC4F-B501-7BE8BE1A405F}" xr6:coauthVersionLast="47" xr6:coauthVersionMax="47" xr10:uidLastSave="{00000000-0000-0000-0000-000000000000}"/>
  <bookViews>
    <workbookView xWindow="0" yWindow="660" windowWidth="29400" windowHeight="18460" tabRatio="893" firstSheet="23" activeTab="28" xr2:uid="{897B4F89-10C2-438E-87CD-49AD42738CB3}"/>
  </bookViews>
  <sheets>
    <sheet name="LS (Sensus) " sheetId="2" r:id="rId1"/>
    <sheet name="LS (Deteksi)" sheetId="34" r:id="rId2"/>
    <sheet name="KALE (Sensus)" sheetId="4" r:id="rId3"/>
    <sheet name="KALE (Deteksi)" sheetId="32" r:id="rId4"/>
    <sheet name="USP (Sensus)" sheetId="27" r:id="rId5"/>
    <sheet name="USP (Deteksi)" sheetId="12" r:id="rId6"/>
    <sheet name="FAPE (Sensus)" sheetId="26" r:id="rId7"/>
    <sheet name="SMP (Sensus)" sheetId="10" r:id="rId8"/>
    <sheet name="FAPE Deteksi (Mentah)" sheetId="5" r:id="rId9"/>
    <sheet name="MKSS (Sensus)" sheetId="28" r:id="rId10"/>
    <sheet name="BKP (Sensus)" sheetId="19" r:id="rId11"/>
    <sheet name="FAPE (Deteksi)" sheetId="36" r:id="rId12"/>
    <sheet name="SMP (Deteksi)" sheetId="35" r:id="rId13"/>
    <sheet name="MKSK (Deteksi)" sheetId="37" r:id="rId14"/>
    <sheet name="MKSS (Deteksi)" sheetId="38" r:id="rId15"/>
    <sheet name="BKP (Deteksi)" sheetId="16" r:id="rId16"/>
    <sheet name="PTLJ (Sensus)" sheetId="20" r:id="rId17"/>
    <sheet name="PTLJ (Deteksi)" sheetId="17" r:id="rId18"/>
    <sheet name="Summary FR Kalbar" sheetId="3" r:id="rId19"/>
    <sheet name="Percepatan Pengendalian" sheetId="33" r:id="rId20"/>
    <sheet name="PR Racun" sheetId="30" r:id="rId21"/>
    <sheet name="Summary Dtk, Sns, dan Action" sheetId="31" r:id="rId22"/>
    <sheet name="Summary Pengendalian 4-9 May" sheetId="21" r:id="rId23"/>
    <sheet name="List Rekomendasi utk Sensus" sheetId="18" r:id="rId24"/>
    <sheet name="List Rekomendasi utk Campaign" sheetId="29" r:id="rId25"/>
    <sheet name="Summary Det, Sns 16-31 Jul 2026" sheetId="22" r:id="rId26"/>
    <sheet name="Comparison" sheetId="24" r:id="rId27"/>
    <sheet name="Sensus &amp; Deteksi SMP 2" sheetId="6" r:id="rId28"/>
    <sheet name="Sensus dan Deteksi SMP 1" sheetId="7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__Div01">#REF!</definedName>
    <definedName name="___Div02">#REF!</definedName>
    <definedName name="___Div03">#REF!</definedName>
    <definedName name="___Div04">#REF!</definedName>
    <definedName name="___Div05">#REF!</definedName>
    <definedName name="___Div06">#REF!</definedName>
    <definedName name="___Div07">#REF!</definedName>
    <definedName name="___Div08">#REF!</definedName>
    <definedName name="___Div09">#REF!</definedName>
    <definedName name="___Div10">#REF!</definedName>
    <definedName name="__123Graph_A" hidden="1">#REF!</definedName>
    <definedName name="__123Graph_ACURAH" hidden="1">#REF!</definedName>
    <definedName name="__123Graph_AHARI" hidden="1">#REF!</definedName>
    <definedName name="__123Graph_B" hidden="1">#REF!</definedName>
    <definedName name="__123Graph_BCURAH" hidden="1">#REF!</definedName>
    <definedName name="__123Graph_BHARI" hidden="1">#REF!</definedName>
    <definedName name="__123Graph_C" hidden="1">#REF!</definedName>
    <definedName name="__123Graph_CCURAH" hidden="1">#REF!</definedName>
    <definedName name="__123Graph_CHARI" hidden="1">#REF!</definedName>
    <definedName name="__123Graph_D" hidden="1">#REF!</definedName>
    <definedName name="__123Graph_DCURAH" hidden="1">#REF!</definedName>
    <definedName name="__123Graph_DHARI" hidden="1">#REF!</definedName>
    <definedName name="__123Graph_E" hidden="1">#REF!</definedName>
    <definedName name="__123Graph_ECURAH" hidden="1">#REF!</definedName>
    <definedName name="__123Graph_EHARI" hidden="1">#REF!</definedName>
    <definedName name="__123Graph_X" hidden="1">#REF!</definedName>
    <definedName name="__123Graph_XCURAH" hidden="1">#REF!</definedName>
    <definedName name="__123Graph_XHARI" hidden="1">#REF!</definedName>
    <definedName name="__Div01">#REF!</definedName>
    <definedName name="__Div02">#REF!</definedName>
    <definedName name="__Div03">#REF!</definedName>
    <definedName name="__Div04">#REF!</definedName>
    <definedName name="__Div05">#REF!</definedName>
    <definedName name="__Div06">#REF!</definedName>
    <definedName name="__Div07">#REF!</definedName>
    <definedName name="__Div08">#REF!</definedName>
    <definedName name="__Div09">#REF!</definedName>
    <definedName name="__Div10">#REF!</definedName>
    <definedName name="_10Excel_BuiltIn_Print_Area_19_1">"$#REF!.$B$1:$F$239"</definedName>
    <definedName name="_11Excel_BuiltIn_Print_Area_19_1_1">"$#REF!.$B$1:$F$239"</definedName>
    <definedName name="_12Excel_BuiltIn_Print_Area_20_1">"$#REF!.$B$1:$F$59"</definedName>
    <definedName name="_13Excel_BuiltIn_Print_Area_20_1_1">"$#REF!.$B$1:$F$59"</definedName>
    <definedName name="_14Excel_BuiltIn_Print_Area_21_1">"$#REF!.$B$1:$F$79"</definedName>
    <definedName name="_15Excel_BuiltIn_Print_Area_21_1_1">"$#REF!.$B$1:$F$79"</definedName>
    <definedName name="_16Excel_BuiltIn_Print_Area_22_1">"$#REF!.$B$1:$F$21"</definedName>
    <definedName name="_17Excel_BuiltIn_Print_Area_22_1_1">"$#REF!.$B$1:$F$21"</definedName>
    <definedName name="_18Excel_BuiltIn_Print_Area_24_1">"$#REF!.$B$1:$F$14"</definedName>
    <definedName name="_19Excel_BuiltIn_Print_Area_24_1_1">"$#REF!.$B$1:$F$14"</definedName>
    <definedName name="_1Excel_BuiltIn_Print_Area_1_1_1_1_1">"$#REF!.$#REF!$#REF!"</definedName>
    <definedName name="_20Excel_BuiltIn_Print_Area_25_1">"$#REF!.$B$1:$F$12"</definedName>
    <definedName name="_21Excel_BuiltIn_Print_Area_25_1_1">"$#REF!.$B$1:$F$12"</definedName>
    <definedName name="_22Excel_BuiltIn_Print_Area_3_1_1_1_1">"$#REF!.$A$1:$AH$218"</definedName>
    <definedName name="_23Excel_BuiltIn_Print_Area_3_1_1_1_1_1">"$#REF!.$A$1:$AG$63"</definedName>
    <definedName name="_24Excel_BuiltIn_Print_Area_3_1_1_1_1_1_1_1">"$#REF!.$A$1:$AG$52"</definedName>
    <definedName name="_25Excel_BuiltIn_Print_Area_3_1_1_1_1_1_1_1_1">"$#REF!.$A$1:$AG$52"</definedName>
    <definedName name="_26Excel_BuiltIn_Print_Area_5_1_1_1_1">"$#REF!.$B$1:$F$79"</definedName>
    <definedName name="_27Excel_BuiltIn_Print_Area_5_1_1_1_1_1">"$#REF!.$B$1:$F$39"</definedName>
    <definedName name="_28Excel_BuiltIn_Print_Area_6_1_1_1_1">"$#REF!.$B$1:$F$48"</definedName>
    <definedName name="_29Excel_BuiltIn_Print_Area_6_1_1_1_1_1">"$#REF!.$B$1:$F$48"</definedName>
    <definedName name="_2Excel_BuiltIn_Print_Area_1_1_1_1_1_1">"$#REF!.$B$1:$F$62"</definedName>
    <definedName name="_30Excel_BuiltIn_Print_Titles_13_1_1_1">"$#REF!.$B$1:$G$65509"</definedName>
    <definedName name="_31Excel_BuiltIn_Print_Titles_13_1_1_1_1">"$#REF!.$B$1:$G$65509"</definedName>
    <definedName name="_32Excel_BuiltIn_Print_Titles_15_1_1">"$#REF!.$B$1:$G$65509"</definedName>
    <definedName name="_33Excel_BuiltIn_Print_Titles_15_1_1_1">"$#REF!.$B$1:$G$65509"</definedName>
    <definedName name="_34Excel_BuiltIn_Print_Titles_16_1">#REF!</definedName>
    <definedName name="_3Excel_BuiltIn_Print_Area_1_1_1_1_1_1_1">"$#REF!.$B$1:$F$50"</definedName>
    <definedName name="_4Excel_BuiltIn_Print_Area_1_1_1_1_1_1_1_1">"$#REF!.$B$1:$F$50"</definedName>
    <definedName name="_5Excel_BuiltIn_Print_Area_1_1_1_1_1_1_1_1_1">"$#REF!.$B$1:$F$50"</definedName>
    <definedName name="_6Excel_BuiltIn_Print_Area_17_1">"$#REF!.$B$1:$F$51"</definedName>
    <definedName name="_7Excel_BuiltIn_Print_Area_17_1_1">"$#REF!.$B$1:$F$51"</definedName>
    <definedName name="_8Excel_BuiltIn_Print_Area_18_1">"$#REF!.$B$1:$F$38"</definedName>
    <definedName name="_9Excel_BuiltIn_Print_Area_18_1_1">"$#REF!.$B$1:$F$38"</definedName>
    <definedName name="_a">NA()</definedName>
    <definedName name="_a_1">"$#REF!.$#REF!$#REF!"</definedName>
    <definedName name="_a_1_1">"$#REF!.$#REF!$#REF!"</definedName>
    <definedName name="_a_14">"$#REF!.$#REF!$#REF!"</definedName>
    <definedName name="_b">"$#REF!.$#REF!$#REF!"</definedName>
    <definedName name="_b_1">"$#REF!.$#REF!$#REF!"</definedName>
    <definedName name="_Div01">#REF!</definedName>
    <definedName name="_Div02">#REF!</definedName>
    <definedName name="_Div03">#REF!</definedName>
    <definedName name="_Div04">#REF!</definedName>
    <definedName name="_Div05">#REF!</definedName>
    <definedName name="_Div06">#REF!</definedName>
    <definedName name="_Div07">#REF!</definedName>
    <definedName name="_Div08">#REF!</definedName>
    <definedName name="_Div09">#REF!</definedName>
    <definedName name="_Div10">#REF!</definedName>
    <definedName name="_Fill" hidden="1">#REF!</definedName>
    <definedName name="_xlnm._FilterDatabase" localSheetId="15" hidden="1">'BKP (Deteksi)'!$A$5:$AO$159</definedName>
    <definedName name="_xlnm._FilterDatabase" localSheetId="10" hidden="1">'BKP (Sensus)'!$A$5:$AA$100</definedName>
    <definedName name="_xlnm._FilterDatabase" localSheetId="26" hidden="1">Comparison!$A$4:$X$577</definedName>
    <definedName name="_xlnm._FilterDatabase" localSheetId="11" hidden="1">'FAPE (Deteksi)'!$A$5:$BB$215</definedName>
    <definedName name="_xlnm._FilterDatabase" localSheetId="6" hidden="1">'FAPE (Sensus)'!$A$5:$AJ$215</definedName>
    <definedName name="_xlnm._FilterDatabase" localSheetId="8" hidden="1">'FAPE Deteksi (Mentah)'!$B$5:$R$187</definedName>
    <definedName name="_xlnm._FilterDatabase" localSheetId="3" hidden="1">'KALE (Deteksi)'!$A$5:$AB$435</definedName>
    <definedName name="_xlnm._FilterDatabase" localSheetId="2" hidden="1">'KALE (Sensus)'!$A$5:$M$435</definedName>
    <definedName name="_xlnm._FilterDatabase" localSheetId="1" hidden="1">'LS (Deteksi)'!$A$5:$AB$609</definedName>
    <definedName name="_xlnm._FilterDatabase" localSheetId="0" hidden="1">'LS (Sensus) '!$A$5:$M$5</definedName>
    <definedName name="_xlnm._FilterDatabase" localSheetId="13" hidden="1">'MKSK (Deteksi)'!$A$5:$BB$201</definedName>
    <definedName name="_xlnm._FilterDatabase" localSheetId="14" hidden="1">'MKSS (Deteksi)'!$A$5:$BB$159</definedName>
    <definedName name="_xlnm._FilterDatabase" localSheetId="9" hidden="1">'MKSS (Sensus)'!$A$5:$S$393</definedName>
    <definedName name="_xlnm._FilterDatabase" localSheetId="17" hidden="1">'PTLJ (Deteksi)'!$A$5:$AS$95</definedName>
    <definedName name="_xlnm._FilterDatabase" localSheetId="16" hidden="1">'PTLJ (Sensus)'!$A$5:$V$95</definedName>
    <definedName name="_xlnm._FilterDatabase" localSheetId="27" hidden="1">'Sensus &amp; Deteksi SMP 2'!$B$19:$AD$199</definedName>
    <definedName name="_xlnm._FilterDatabase" localSheetId="28" hidden="1">'Sensus dan Deteksi SMP 1'!$B$24:$AO$231</definedName>
    <definedName name="_xlnm._FilterDatabase" localSheetId="12" hidden="1">'SMP (Deteksi)'!$A$5:$BB$393</definedName>
    <definedName name="_xlnm._FilterDatabase" localSheetId="7" hidden="1">'SMP (Sensus)'!$A$5:$Y$435</definedName>
    <definedName name="_xlnm._FilterDatabase" localSheetId="5" hidden="1">'USP (Deteksi)'!$A$5:$Z$435</definedName>
    <definedName name="_xlnm._FilterDatabase" localSheetId="4" hidden="1">'USP (Sensus)'!$A$5:$S$393</definedName>
    <definedName name="_g">NA()</definedName>
    <definedName name="_g_1">"$#REF!.$#REF!$#REF!"</definedName>
    <definedName name="_g_1_1">"$#REF!.$#REF!$#REF!"</definedName>
    <definedName name="_g_14">"$#REF!.$#REF!$#REF!"</definedName>
    <definedName name="_Key1" hidden="1">#REF!</definedName>
    <definedName name="_Order1" hidden="1">255</definedName>
    <definedName name="_Order2" hidden="1">0</definedName>
    <definedName name="_RSS1" localSheetId="28">[1]Names!#REF!</definedName>
    <definedName name="_RSS1">#REF!</definedName>
    <definedName name="_RSS2" localSheetId="28">[1]Names!#REF!</definedName>
    <definedName name="_RSS2">#REF!</definedName>
    <definedName name="_Sort" hidden="1">#REF!</definedName>
    <definedName name="\a">#N/A</definedName>
    <definedName name="\b">#REF!</definedName>
    <definedName name="\c">#REF!</definedName>
    <definedName name="\g">#N/A</definedName>
    <definedName name="A" localSheetId="28">[2]Health!#REF!</definedName>
    <definedName name="A">#REF!</definedName>
    <definedName name="A_1">"$#REF!.$#REF!$#REF!"</definedName>
    <definedName name="A_11">"$#REF!.$#REF!$#REF!"</definedName>
    <definedName name="A_14">"$#REF!.$#REF!$#REF!"</definedName>
    <definedName name="A_15">"$#REF!.$#REF!$#REF!"</definedName>
    <definedName name="A_16">"$#REF!.$#REF!$#REF!"</definedName>
    <definedName name="A_7">"$#REF!.$#REF!$#REF!"</definedName>
    <definedName name="A_8">"$#REF!.$#REF!$#REF!"</definedName>
    <definedName name="ab">#REF!</definedName>
    <definedName name="ac">#REF!</definedName>
    <definedName name="AD" localSheetId="28">[3]Contents!$E$6</definedName>
    <definedName name="AD">#REF!</definedName>
    <definedName name="AS" localSheetId="28">[3]Contents!$E$5</definedName>
    <definedName name="AS">#REF!</definedName>
    <definedName name="asdas" localSheetId="28">[2]Health!#REF!</definedName>
    <definedName name="asdas">#REF!</definedName>
    <definedName name="BBMJEEP01" localSheetId="28">[4]Kend!$N$20</definedName>
    <definedName name="BBMJEEP01">#REF!</definedName>
    <definedName name="BBMJEEP02" localSheetId="28">[4]Kend!$N$71</definedName>
    <definedName name="BBMJEEP02">#REF!</definedName>
    <definedName name="BBMJEEP3" localSheetId="28">[4]Kend!$N$122</definedName>
    <definedName name="BBMJEEP3">#REF!</definedName>
    <definedName name="BBMJEEP4" localSheetId="28">[4]Kend!$N$173</definedName>
    <definedName name="BBMJEEP4">#REF!</definedName>
    <definedName name="BBMJEEP5" localSheetId="28">[4]Kend!$N$223</definedName>
    <definedName name="BBMJEEP5">#REF!</definedName>
    <definedName name="bbmjeep6" localSheetId="28">[4]Kend!$N$273</definedName>
    <definedName name="bbmjeep6">#REF!</definedName>
    <definedName name="BBMJEEP7" localSheetId="28">[4]Kend!$N$323</definedName>
    <definedName name="BBMJEEP7">#REF!</definedName>
    <definedName name="BBMJEEP8" localSheetId="28">[4]Kend!$N$373</definedName>
    <definedName name="BBMJEEP8">#REF!</definedName>
    <definedName name="BBMJEEP9" localSheetId="28">[4]Kend!$N$423</definedName>
    <definedName name="BBMJEEP9">#REF!</definedName>
    <definedName name="BOM" localSheetId="28">[5]INFO!$C$2</definedName>
    <definedName name="BOM">#REF!</definedName>
    <definedName name="BP91JAN">#REF!</definedName>
    <definedName name="C_">"$#REF!.$#REF!$#REF!"</definedName>
    <definedName name="C__11">"$#REF!.$#REF!$#REF!"</definedName>
    <definedName name="C__11_10">"$#REF!.$#REF!$#REF!"</definedName>
    <definedName name="C__11_13">"$#REF!.$#REF!$#REF!"</definedName>
    <definedName name="C__11_14">"$#REF!.$#REF!$#REF!"</definedName>
    <definedName name="C__11_15">"$#REF!.$#REF!$#REF!"</definedName>
    <definedName name="C__11_16">"$#REF!.$#REF!$#REF!"</definedName>
    <definedName name="C__11_17">"$#REF!.$#REF!$#REF!"</definedName>
    <definedName name="C__11_18">"$#REF!.$#REF!$#REF!"</definedName>
    <definedName name="C__11_19">"$#REF!.$#REF!$#REF!"</definedName>
    <definedName name="C__11_4">"$#REF!.$#REF!$#REF!"</definedName>
    <definedName name="C__11_5">"$#REF!.$#REF!$#REF!"</definedName>
    <definedName name="C__11_6">"$#REF!.$#REF!$#REF!"</definedName>
    <definedName name="C__11_7">"$#REF!.$#REF!$#REF!"</definedName>
    <definedName name="C__11_8">"$#REF!.$#REF!$#REF!"</definedName>
    <definedName name="C__11_9">"$#REF!.$#REF!$#REF!"</definedName>
    <definedName name="C__13">"$#REF!.$#REF!$#REF!"</definedName>
    <definedName name="C__14">"$#REF!.$#REF!$#REF!"</definedName>
    <definedName name="C__16">"$#REF!.$#REF!$#REF!"</definedName>
    <definedName name="CDOP" localSheetId="28">'[6]Oilpalm Profile'!$I$43:$I$57</definedName>
    <definedName name="CDOP">#REF!</definedName>
    <definedName name="Clone" localSheetId="28">'[6]Rubber Profile'!$F$38:$F$41</definedName>
    <definedName name="Clone">#REF!</definedName>
    <definedName name="Coba">#REF!</definedName>
    <definedName name="COBA1" localSheetId="28">[1]Names!#REF!</definedName>
    <definedName name="COBA1">#REF!</definedName>
    <definedName name="COBA2">#REF!</definedName>
    <definedName name="COBA3" localSheetId="28">[1]Names!#REF!</definedName>
    <definedName name="COBA3">#REF!</definedName>
    <definedName name="COBA5" localSheetId="28">[3]Health!#REF!</definedName>
    <definedName name="COBA5">#REF!</definedName>
    <definedName name="COBA8" localSheetId="28">[1]Names!#REF!</definedName>
    <definedName name="COBA8">#REF!</definedName>
    <definedName name="cocoa">#REF!</definedName>
    <definedName name="com" localSheetId="28">[7]PRICE!$D$1778</definedName>
    <definedName name="com">#REF!</definedName>
    <definedName name="CROPEST" localSheetId="28">[8]Contents!$E$5</definedName>
    <definedName name="CROPEST">#REF!</definedName>
    <definedName name="_xlnm.Database">#REF!</definedName>
    <definedName name="Days_per_Month" localSheetId="28">[1]Yield!#REF!</definedName>
    <definedName name="Days_per_Month">#REF!</definedName>
    <definedName name="DC" localSheetId="28">[1]Names!#REF!</definedName>
    <definedName name="DC">#REF!</definedName>
    <definedName name="DD" localSheetId="28">[1]Names!#REF!</definedName>
    <definedName name="DD">#REF!</definedName>
    <definedName name="Deflator" localSheetId="28">[1]Names!$H$19</definedName>
    <definedName name="Deflator">#REF!</definedName>
    <definedName name="DIVC">#REF!</definedName>
    <definedName name="EST">#REF!</definedName>
    <definedName name="Excel_BuiltIn_Print_Area">"$#REF!.$#REF!$#REF!"</definedName>
    <definedName name="Excel_BuiltIn_Print_Area_1_1">#REF!</definedName>
    <definedName name="Excel_BuiltIn_Print_Area_1_1_1">"$#REF!.$T$1:$U$181"</definedName>
    <definedName name="Excel_BuiltIn_Print_Area_1_1_1_1">"$#REF!.$#REF!$#REF!"</definedName>
    <definedName name="Excel_BuiltIn_Print_Area_1_1_1_1_1">"$#REF!.$#REF!$#REF!"</definedName>
    <definedName name="Excel_BuiltIn_Print_Area_1_1_1_1_1_1">"$#REF!.$B$1:$F$51"</definedName>
    <definedName name="Excel_BuiltIn_Print_Area_1_1_1_1_1_1_1">"$#REF!.$B$1:$F$50"</definedName>
    <definedName name="Excel_BuiltIn_Print_Area_1_1_1_1_1_1_1_1">"$#REF!.$B$1:$F$50"</definedName>
    <definedName name="Excel_BuiltIn_Print_Area_10_1_1">"$#REF!.$B$1:$P$52"</definedName>
    <definedName name="Excel_BuiltIn_Print_Area_11_1">"$#REF!.$B$1:$P$52"</definedName>
    <definedName name="Excel_BuiltIn_Print_Area_13_1">"$#REF!.$B$1:$P$53"</definedName>
    <definedName name="Excel_BuiltIn_Print_Area_14_1_1">"$#REF!.$B$1:$P$53"</definedName>
    <definedName name="Excel_BuiltIn_Print_Area_15_1">#REF!</definedName>
    <definedName name="Excel_BuiltIn_Print_Area_15_1_1">"$#REF!.$B$1:$P$53"</definedName>
    <definedName name="Excel_BuiltIn_Print_Area_16">"$#REF!.$B$1:$P$53"</definedName>
    <definedName name="Excel_BuiltIn_Print_Area_17">"$#REF!.$B$1:$P$53"</definedName>
    <definedName name="Excel_BuiltIn_Print_Area_17_1">"$#REF!.$B$1:$F$51"</definedName>
    <definedName name="Excel_BuiltIn_Print_Area_18">"$#REF!.$B$1:$P$53"</definedName>
    <definedName name="Excel_BuiltIn_Print_Area_18_1">"$#REF!.$B$1:$F$38"</definedName>
    <definedName name="Excel_BuiltIn_Print_Area_19">"$#REF!.$B$1:$P$53"</definedName>
    <definedName name="Excel_BuiltIn_Print_Area_19_1">"$#REF!.$B$1:$F$239"</definedName>
    <definedName name="Excel_BuiltIn_Print_Area_2_1">"$#REF!.$B$1:$T$202;$#REF!.$#REF!$#REF!"</definedName>
    <definedName name="Excel_BuiltIn_Print_Area_2_1_1">"$#REF!.$B$1:$F$39"</definedName>
    <definedName name="Excel_BuiltIn_Print_Area_2_1_1_1">"$#REF!.$B$1:$F$39"</definedName>
    <definedName name="Excel_BuiltIn_Print_Area_2_1_1_1_1">"$#REF!.$B$156:$F$239"</definedName>
    <definedName name="Excel_BuiltIn_Print_Area_2_1_1_1_1_1">"$#REF!.$B$156:$F$239"</definedName>
    <definedName name="Excel_BuiltIn_Print_Area_2_1_1_1_1_1_1">"$#REF!.$B$156:$F$239"</definedName>
    <definedName name="Excel_BuiltIn_Print_Area_2_1_1_1_1_1_1_1">"$#REF!.$B$1:$F$150"</definedName>
    <definedName name="Excel_BuiltIn_Print_Area_2_1_1_1_1_1_1_1_1">"$#REF!.$B$1:$F$150"</definedName>
    <definedName name="Excel_BuiltIn_Print_Area_20">"$#REF!.$B$1:$P$53"</definedName>
    <definedName name="Excel_BuiltIn_Print_Area_20_1">"$#REF!.$B$1:$F$59"</definedName>
    <definedName name="Excel_BuiltIn_Print_Area_21">"$#REF!.$A$1:$CO$36"</definedName>
    <definedName name="Excel_BuiltIn_Print_Area_21_1">"$#REF!.$B$1:$F$79"</definedName>
    <definedName name="Excel_BuiltIn_Print_Area_22">"$#REF!.$A$1:$CO$36"</definedName>
    <definedName name="Excel_BuiltIn_Print_Area_22_1">"$#REF!.$B$1:$F$21"</definedName>
    <definedName name="Excel_BuiltIn_Print_Area_23">"$#REF!.$#REF!$#REF!"</definedName>
    <definedName name="Excel_BuiltIn_Print_Area_23_1">"$#REF!.$A$1:$BA$24"</definedName>
    <definedName name="Excel_BuiltIn_Print_Area_24">"$#REF!.$A$1:$AA$21"</definedName>
    <definedName name="Excel_BuiltIn_Print_Area_24_1">"$#REF!.$B$1:$F$14"</definedName>
    <definedName name="Excel_BuiltIn_Print_Area_25">"$#REF!.$A$7:$AE$36"</definedName>
    <definedName name="Excel_BuiltIn_Print_Area_25_1">"$#REF!.$B$1:$F$12"</definedName>
    <definedName name="Excel_BuiltIn_Print_Area_26">"$#REF!.$B$1:$F$60"</definedName>
    <definedName name="Excel_BuiltIn_Print_Area_27">"$#REF!.$B$1:$F$48"</definedName>
    <definedName name="Excel_BuiltIn_Print_Area_3_1">"$#REF!.$A$1:$AG$52"</definedName>
    <definedName name="Excel_BuiltIn_Print_Area_3_1_1">"$#REF!.$A$1:$AG$64"</definedName>
    <definedName name="Excel_BuiltIn_Print_Area_3_1_1_1">"$#REF!.$A$1:$AH$218"</definedName>
    <definedName name="Excel_BuiltIn_Print_Area_3_1_1_1_1">"$#REF!.$A$1:$AH$218"</definedName>
    <definedName name="Excel_BuiltIn_Print_Area_3_1_1_1_1_1">"$#REF!.$A$1:$T$96"</definedName>
    <definedName name="Excel_BuiltIn_Print_Area_3_1_1_1_1_1_1">"$#REF!.$A$1:$T$96"</definedName>
    <definedName name="Excel_BuiltIn_Print_Area_3_1_1_1_1_1_1_1">"$#REF!.$A$1:$AG$52"</definedName>
    <definedName name="Excel_BuiltIn_Print_Area_3_1_1_1_1_1_1_1_1">"$#REF!.$A$1:$AG$52"</definedName>
    <definedName name="Excel_BuiltIn_Print_Area_32_1">#REF!</definedName>
    <definedName name="Excel_BuiltIn_Print_Area_4_1_1_1">"$#REF!.$B$1:$F$11"</definedName>
    <definedName name="Excel_BuiltIn_Print_Area_4_1_1_1_1">"$#REF!.$A$1:$O$52"</definedName>
    <definedName name="Excel_BuiltIn_Print_Area_4_1_1_1_1_1">"$#REF!.$B$1:$F$60"</definedName>
    <definedName name="Excel_BuiltIn_Print_Area_5_1_1">"$#REF!.$B$1:$P$52"</definedName>
    <definedName name="Excel_BuiltIn_Print_Area_5_1_1_1">"$#REF!.$B$1:$F$62"</definedName>
    <definedName name="Excel_BuiltIn_Print_Area_5_1_1_1_1">"$#REF!.$B$1:$F$79"</definedName>
    <definedName name="Excel_BuiltIn_Print_Area_5_1_1_1_1_1">"$#REF!.$B$1:$F$39"</definedName>
    <definedName name="Excel_BuiltIn_Print_Area_6_1">"$#REF!.$B$1:$P$52"</definedName>
    <definedName name="Excel_BuiltIn_Print_Area_6_1_1">"$#REF!.$#REF!$#REF!:$#REF!$#REF!"</definedName>
    <definedName name="Excel_BuiltIn_Print_Area_6_1_1_1">"$#REF!.$B$1:$F$49"</definedName>
    <definedName name="Excel_BuiltIn_Print_Area_6_1_1_1_1">"$#REF!.$B$1:$F$48"</definedName>
    <definedName name="Excel_BuiltIn_Print_Area_7_1_1">"$#REF!.$B$1:$P$52"</definedName>
    <definedName name="Excel_BuiltIn_Print_Area_8">"$#REF!.#REF!#REF!:#REF!#REF!"</definedName>
    <definedName name="Excel_BuiltIn_Print_Area_8_1">"$#REF!.$B$1:$P$52"</definedName>
    <definedName name="Excel_BuiltIn_Print_Area_9">"$#REF!.#REF!#REF!:#REF!#REF!"</definedName>
    <definedName name="Excel_BuiltIn_Print_Area_9_1">"$#REF!.$B$1:$P$52"</definedName>
    <definedName name="Excel_BuiltIn_Print_Titles">"$#REF!.$#REF!$#REF!"</definedName>
    <definedName name="Excel_BuiltIn_Print_Titles_1">NA()</definedName>
    <definedName name="Excel_BuiltIn_Print_Titles_11">"$#REF!.$A$1:$F$65509"</definedName>
    <definedName name="Excel_BuiltIn_Print_Titles_12_1" localSheetId="28">'[9]REN _ REAL LC'!#REF!</definedName>
    <definedName name="Excel_BuiltIn_Print_Titles_12_1">#REF!</definedName>
    <definedName name="Excel_BuiltIn_Print_Titles_13_1" localSheetId="28">'[9]REN _ REAL TANAM'!#REF!,'[9]REN _ REAL TANAM'!#REF!</definedName>
    <definedName name="Excel_BuiltIn_Print_Titles_13_1">#REF!,#REF!</definedName>
    <definedName name="Excel_BuiltIn_Print_Titles_13_1_1" localSheetId="28">'[9]REN _ REAL TANAM'!#REF!</definedName>
    <definedName name="Excel_BuiltIn_Print_Titles_13_1_1">#REF!</definedName>
    <definedName name="Excel_BuiltIn_Print_Titles_13_1_1_1">"$#REF!.$B$1:$G$65509"</definedName>
    <definedName name="Excel_BuiltIn_Print_Titles_13_1_1_1_1">"$#REF!.$B$1:$G$65509"</definedName>
    <definedName name="Excel_BuiltIn_Print_Titles_14_1" localSheetId="28">'[9]REN _ REAL LC'!#REF!,'[9]REN _ REAL LC'!#REF!</definedName>
    <definedName name="Excel_BuiltIn_Print_Titles_14_1">#REF!,#REF!</definedName>
    <definedName name="Excel_BuiltIn_Print_Titles_14_1_1">"$#REF!.$B$1:$G$65509"</definedName>
    <definedName name="Excel_BuiltIn_Print_Titles_15_1">"$#REF!.$B$1:$G$65509"</definedName>
    <definedName name="Excel_BuiltIn_Print_Titles_15_1_1">"$#REF!.$B$1:$G$65509"</definedName>
    <definedName name="Excel_BuiltIn_Print_Titles_16">"$#REF!.$B$1:$G$65509"</definedName>
    <definedName name="Excel_BuiltIn_Print_Titles_16_1">#REF!</definedName>
    <definedName name="Excel_BuiltIn_Print_Titles_17">"$#REF!.$B$1:$G$65509"</definedName>
    <definedName name="Excel_BuiltIn_Print_Titles_18">"$#REF!.$B$1:$G$65509"</definedName>
    <definedName name="Excel_BuiltIn_Print_Titles_19">"$#REF!.$B$1:$G$65509"</definedName>
    <definedName name="Excel_BuiltIn_Print_Titles_21">"$#REF!.$B$1:$G$65509"</definedName>
    <definedName name="Excel_BuiltIn_Print_Titles_22">"$#REF!.$B$1:$G$65509"</definedName>
    <definedName name="Excel_BuiltIn_Print_Titles_23">"$#REF!.$B$1:$G$65509"</definedName>
    <definedName name="Excel_BuiltIn_Print_Titles_24">"$#REF!.$B$1:$G$65509"</definedName>
    <definedName name="Excel_BuiltIn_Print_Titles_25">"$#REF!.$B$1:$G$65509"</definedName>
    <definedName name="Excel_BuiltIn_Print_Titles_26">"$#REF!.$B$1:$G$65509"</definedName>
    <definedName name="Excel_BuiltIn_Print_Titles_31">"$#REF!.$A$1:$IV$8"</definedName>
    <definedName name="Excel_BuiltIn_Print_Titles_32_1">#REF!</definedName>
    <definedName name="f">"$#REF!.$#REF!$#REF!"</definedName>
    <definedName name="f_1">"$#REF!.$#REF!$#REF!"</definedName>
    <definedName name="f_11">"$#REF!.$#REF!$#REF!"</definedName>
    <definedName name="f_14">NA()</definedName>
    <definedName name="f_15">"$#REF!.$#REF!$#REF!"</definedName>
    <definedName name="f_16">"$#REF!.$#REF!$#REF!"</definedName>
    <definedName name="f_7">"$#REF!.$#REF!$#REF!"</definedName>
    <definedName name="f_8">"$#REF!.$#REF!$#REF!"</definedName>
    <definedName name="GCMAT">#REF!</definedName>
    <definedName name="gcv">#REF!</definedName>
    <definedName name="gh">#REF!</definedName>
    <definedName name="gop" localSheetId="28">'[6]Oilpalm Profile'!$L$58:$L$62</definedName>
    <definedName name="gop">#REF!</definedName>
    <definedName name="Grade" localSheetId="28">[10]SALARY!$B$7:$B$55</definedName>
    <definedName name="Grade">#REF!</definedName>
    <definedName name="Group_code" localSheetId="28">'[7]Price NS'!$R$4:$S$17</definedName>
    <definedName name="Group_code">#REF!</definedName>
    <definedName name="HRENT" localSheetId="28">[11]BP27!#REF!</definedName>
    <definedName name="HRENT">#REF!</definedName>
    <definedName name="HRINT">#REF!</definedName>
    <definedName name="HRMAT" localSheetId="28">[11]BP22M!#REF!</definedName>
    <definedName name="HRMAT">#REF!</definedName>
    <definedName name="Hrs_Per_day" localSheetId="28">[1]Yield!#REF!</definedName>
    <definedName name="Hrs_Per_day">#REF!</definedName>
    <definedName name="JB" localSheetId="28">[12]JobCode!$B$4:$B$230</definedName>
    <definedName name="JB">#REF!</definedName>
    <definedName name="jjj" localSheetId="28">[13]Kend!$N$146</definedName>
    <definedName name="jjj">#REF!</definedName>
    <definedName name="JOBCODE" localSheetId="28">[14]REFERENCE!$A$4:$A$583</definedName>
    <definedName name="JOBCODE">#REF!</definedName>
    <definedName name="JOBCODE1" localSheetId="28">'[10]JOB CODE'!$B$3:$B$232</definedName>
    <definedName name="JOBCODE1">#REF!</definedName>
    <definedName name="JOBCODEDES" localSheetId="28">[15]JobCode!$B$4:$C$228</definedName>
    <definedName name="JOBCODEDES">#REF!</definedName>
    <definedName name="kk">#REF!</definedName>
    <definedName name="LAINJEEP01" localSheetId="28">[4]Kend!$N$49</definedName>
    <definedName name="LAINJEEP01">#REF!</definedName>
    <definedName name="LAINJEEP02" localSheetId="28">[4]Kend!$N$100</definedName>
    <definedName name="LAINJEEP02">#REF!</definedName>
    <definedName name="LAINJEEP3" localSheetId="28">[4]Kend!$N$151</definedName>
    <definedName name="LAINJEEP3">#REF!</definedName>
    <definedName name="LAINJEEP4" localSheetId="28">[4]Kend!$N$201</definedName>
    <definedName name="LAINJEEP4">#REF!</definedName>
    <definedName name="LAINJEEP5" localSheetId="28">[4]Kend!$N$251</definedName>
    <definedName name="LAINJEEP5">#REF!</definedName>
    <definedName name="lainjeep6" localSheetId="28">[4]Kend!$N$301</definedName>
    <definedName name="lainjeep6">#REF!</definedName>
    <definedName name="LAINJEEP7" localSheetId="28">[4]Kend!$N$351</definedName>
    <definedName name="LAINJEEP7">#REF!</definedName>
    <definedName name="LAINJEEP8" localSheetId="28">[4]Kend!$N$401</definedName>
    <definedName name="LAINJEEP8">#REF!</definedName>
    <definedName name="LAINJEEP9" localSheetId="28">[4]Kend!$N$451</definedName>
    <definedName name="LAINJEEP9">#REF!</definedName>
    <definedName name="Latex1" localSheetId="28">[1]Names!#REF!</definedName>
    <definedName name="Latex1">#REF!</definedName>
    <definedName name="Latex2" localSheetId="28">[1]Names!#REF!</definedName>
    <definedName name="Latex2">#REF!</definedName>
    <definedName name="Loc" localSheetId="28">[7]PRICE!$B$1773:$C$1777</definedName>
    <definedName name="Loc">#REF!</definedName>
    <definedName name="LocOP" localSheetId="28">'[6]Oilpalm Profile'!$J$43:$J$49</definedName>
    <definedName name="LocOP">#REF!</definedName>
    <definedName name="LocRb" localSheetId="28">'[6]Rubber Profile'!$H$38:$H$40</definedName>
    <definedName name="LocRb">#REF!</definedName>
    <definedName name="makan">#REF!</definedName>
    <definedName name="MatCA" localSheetId="28">'[6]Cocoa Profile'!$B$40:$C$43</definedName>
    <definedName name="MatCA">#REF!</definedName>
    <definedName name="Material" localSheetId="28">'[6]Oilpalm Profile'!$D$43:$E$82</definedName>
    <definedName name="Material">#REF!</definedName>
    <definedName name="MaterialRB" localSheetId="28">'[6]Rubber Profile'!$B$38:$C$45</definedName>
    <definedName name="MaterialRB">#REF!</definedName>
    <definedName name="MatOP1" localSheetId="28">'[6]Oilpalm Profile'!$L$43:$L$46</definedName>
    <definedName name="MatOP1">#REF!</definedName>
    <definedName name="Mgr">#REF!</definedName>
    <definedName name="minum" localSheetId="28">[16]Contents!$E$5</definedName>
    <definedName name="minum">#REF!</definedName>
    <definedName name="MNO">#REF!</definedName>
    <definedName name="Naj" localSheetId="28">'[6]Oilpalm Profile'!$J$58:$J$59</definedName>
    <definedName name="Naj">#REF!</definedName>
    <definedName name="ngengek" localSheetId="28">[16]Contents!$E$6</definedName>
    <definedName name="ngengek">#REF!</definedName>
    <definedName name="PEMELJEEP01" localSheetId="28">[4]Kend!$N$44</definedName>
    <definedName name="PEMELJEEP01">#REF!</definedName>
    <definedName name="PEMELJEEP02" localSheetId="28">[4]Kend!$N$95</definedName>
    <definedName name="PEMELJEEP02">#REF!</definedName>
    <definedName name="PEMELJEEP3" localSheetId="28">[4]Kend!$N$146</definedName>
    <definedName name="PEMELJEEP3">#REF!</definedName>
    <definedName name="PEMELJEEP4" localSheetId="28">[4]Kend!$N$196</definedName>
    <definedName name="PEMELJEEP4">#REF!</definedName>
    <definedName name="PEMELJEEP5" localSheetId="28">[4]Kend!$N$246</definedName>
    <definedName name="PEMELJEEP5">#REF!</definedName>
    <definedName name="pemeljeep6" localSheetId="28">[4]Kend!$N$296</definedName>
    <definedName name="pemeljeep6">#REF!</definedName>
    <definedName name="PEMELJEEP7" localSheetId="28">[4]Kend!$N$346</definedName>
    <definedName name="PEMELJEEP7">#REF!</definedName>
    <definedName name="PEMELJEEP8" localSheetId="28">[4]Kend!$N$396</definedName>
    <definedName name="PEMELJEEP8">#REF!</definedName>
    <definedName name="PEMELJEEP9" localSheetId="28">[4]Kend!$N$446</definedName>
    <definedName name="PEMELJEEP9">#REF!</definedName>
    <definedName name="PKO" localSheetId="28">[17]BP57!#REF!</definedName>
    <definedName name="PKO">#REF!</definedName>
    <definedName name="POP" localSheetId="28">'[6]Oilpalm Profile'!$H$43</definedName>
    <definedName name="POP">#REF!</definedName>
    <definedName name="PRB" localSheetId="28">'[6]Rubber Profile'!$G$38</definedName>
    <definedName name="PRB">#REF!</definedName>
    <definedName name="Price" localSheetId="28">'[18]Price List'!$C$4:$I$370</definedName>
    <definedName name="Price">#REF!</definedName>
    <definedName name="_xlnm.Print_Area">#REF!</definedName>
    <definedName name="Print_Area_MI">"$#REF!.$#REF!$#REF!"</definedName>
    <definedName name="Print_Area_MI_1">"$#REF!.$#REF!$#REF!"</definedName>
    <definedName name="Print_Area_MI_10">"$#REF!.$#REF!$#REF!"</definedName>
    <definedName name="Print_Area_MI_13">"$#REF!.$#REF!$#REF!"</definedName>
    <definedName name="Print_Area_MI_14">#REF!</definedName>
    <definedName name="Print_Area_MI_15">"$#REF!.$#REF!$#REF!"</definedName>
    <definedName name="Print_Area_MI_16">"$#REF!.$#REF!$#REF!"</definedName>
    <definedName name="Print_Area_MI_23">"$#REF!.$#REF!$#REF!"</definedName>
    <definedName name="Print_Area_MI_7">"$#REF!.$#REF!$#REF!"</definedName>
    <definedName name="Print_Area_MI_8">"$#REF!.$#REF!$#REF!"</definedName>
    <definedName name="Print_Area_MI_9">"$#REF!.$#REF!$#REF!"</definedName>
    <definedName name="_xlnm.Print_Titles">#N/A</definedName>
    <definedName name="PRINT_TITLES_MI">"$#REF!.$#REF!$#REF!"</definedName>
    <definedName name="PRINT_TITLES_MI_1">"$#REF!.$#REF!$#REF!"</definedName>
    <definedName name="PRINT_TITLES_MI_14">"$#REF!.$#REF!$#REF!"</definedName>
    <definedName name="prm">#REF!</definedName>
    <definedName name="Rate">#REF!</definedName>
    <definedName name="rcpr1" localSheetId="28">[4]Alber!$EQ$13</definedName>
    <definedName name="rcpr1">#REF!</definedName>
    <definedName name="rcpr2" localSheetId="28">[4]Alber!$EQ$62</definedName>
    <definedName name="rcpr2">#REF!</definedName>
    <definedName name="Region" localSheetId="28">[19]Names!$C$3</definedName>
    <definedName name="Region">#REF!</definedName>
    <definedName name="REstate1" localSheetId="28">[1]Names!#REF!</definedName>
    <definedName name="REstate1">#REF!</definedName>
    <definedName name="REstate2" localSheetId="28">[1]Names!#REF!</definedName>
    <definedName name="REstate2">#REF!</definedName>
    <definedName name="REstate3" localSheetId="28">[1]Names!#REF!</definedName>
    <definedName name="REstate3">#REF!</definedName>
    <definedName name="REstate4" localSheetId="28">[1]Names!#REF!</definedName>
    <definedName name="REstate4">#REF!</definedName>
    <definedName name="REstate5" localSheetId="28">[1]Names!#REF!</definedName>
    <definedName name="REstate5">#REF!</definedName>
    <definedName name="RMGD1" localSheetId="28">[1]Names!#REF!</definedName>
    <definedName name="RMGD1">#REF!</definedName>
    <definedName name="RMGD2" localSheetId="28">[1]Names!#REF!</definedName>
    <definedName name="RMGD2">#REF!</definedName>
    <definedName name="Rplasma" localSheetId="28">[1]LookUP!#REF!</definedName>
    <definedName name="Rplasma">#REF!</definedName>
    <definedName name="RRegion1" localSheetId="28">[1]Names!#REF!</definedName>
    <definedName name="RRegion1">#REF!</definedName>
    <definedName name="RRegion2" localSheetId="28">[1]Names!#REF!</definedName>
    <definedName name="RRegion2">#REF!</definedName>
    <definedName name="RSMAT" localSheetId="28">[11]BP22M!#REF!</definedName>
    <definedName name="RSMAT">#REF!</definedName>
    <definedName name="RubberYld">#REF!</definedName>
    <definedName name="Salary" localSheetId="28">[10]SALARY!$B$7:$G$56</definedName>
    <definedName name="Salary">#REF!</definedName>
    <definedName name="SCJEEP01" localSheetId="28">[4]Kend!$N$32</definedName>
    <definedName name="SCJEEP01">#REF!</definedName>
    <definedName name="SCJEEP02" localSheetId="28">[4]Kend!$N$83</definedName>
    <definedName name="SCJEEP02">#REF!</definedName>
    <definedName name="SCJEEP3" localSheetId="28">[4]Kend!$N$134</definedName>
    <definedName name="SCJEEP3">#REF!</definedName>
    <definedName name="SCJEEP4" localSheetId="28">[4]Kend!$N$185</definedName>
    <definedName name="SCJEEP4">#REF!</definedName>
    <definedName name="SCJEEP5" localSheetId="28">[4]Kend!$N$235</definedName>
    <definedName name="SCJEEP5">#REF!</definedName>
    <definedName name="scjeep6" localSheetId="28">[4]Kend!$N$285</definedName>
    <definedName name="scjeep6">#REF!</definedName>
    <definedName name="SCJEEP7" localSheetId="28">[4]Kend!$N$335</definedName>
    <definedName name="SCJEEP7">#REF!</definedName>
    <definedName name="SCJEEP8" localSheetId="28">[4]Kend!$N$385</definedName>
    <definedName name="SCJEEP8">#REF!</definedName>
    <definedName name="SCJEEP9" localSheetId="28">[4]Kend!$N$435</definedName>
    <definedName name="SCJEEP9">#REF!</definedName>
    <definedName name="sda" localSheetId="28">[1]Names!#REF!</definedName>
    <definedName name="sda">#REF!</definedName>
    <definedName name="SPRAYING_WEEDS_BROAD_LEAF" localSheetId="28">'[11]BP21M Stat'!#REF!</definedName>
    <definedName name="SPRAYING_WEEDS_BROAD_LEAF">#REF!</definedName>
    <definedName name="SRE1CO">"$#REF!.$#REF!$#REF!"</definedName>
    <definedName name="SRE1Kapital">"$#REF!.$#REF!$#REF!"</definedName>
    <definedName name="SSS">#REF!</definedName>
    <definedName name="STAFF1">#REF!</definedName>
    <definedName name="UCENT" localSheetId="28">[11]BP27!#REF!</definedName>
    <definedName name="UCENT">#REF!</definedName>
    <definedName name="UCINT">#REF!</definedName>
    <definedName name="UCMAT" localSheetId="28">[11]BP22M!#REF!</definedName>
    <definedName name="UCMAT">#REF!</definedName>
    <definedName name="UPAHJEEP01" localSheetId="28">[4]Kend!$N$39</definedName>
    <definedName name="UPAHJEEP01">#REF!</definedName>
    <definedName name="UPAHJEEP02" localSheetId="28">[4]Kend!$N$91</definedName>
    <definedName name="UPAHJEEP02">#REF!</definedName>
    <definedName name="UPAHJEEP3" localSheetId="28">[4]Kend!$N$142</definedName>
    <definedName name="UPAHJEEP3">#REF!</definedName>
    <definedName name="UPAHJEEP4" localSheetId="28">[4]Kend!$N$192</definedName>
    <definedName name="UPAHJEEP4">#REF!</definedName>
    <definedName name="UPAHJEEP5" localSheetId="28">[4]Kend!$N$242</definedName>
    <definedName name="UPAHJEEP5">#REF!</definedName>
    <definedName name="upahjeep6" localSheetId="28">[4]Kend!$N$292</definedName>
    <definedName name="upahjeep6">#REF!</definedName>
    <definedName name="UPAHJEEP7" localSheetId="28">[4]Kend!$N$342</definedName>
    <definedName name="UPAHJEEP7">#REF!</definedName>
    <definedName name="UPAHJEEP8" localSheetId="28">[4]Kend!$N$392</definedName>
    <definedName name="UPAHJEEP8">#REF!</definedName>
    <definedName name="UPAHJEEP9" localSheetId="28">[4]Kend!$N$442</definedName>
    <definedName name="UPAHJEEP9">#REF!</definedName>
    <definedName name="v">"$#REF!.$#REF!$#REF!"</definedName>
    <definedName name="v_1">"$#REF!.$#REF!$#REF!"</definedName>
    <definedName name="v_11">"$#REF!.$#REF!$#REF!"</definedName>
    <definedName name="v_14">NA()</definedName>
    <definedName name="v_15">"$#REF!.$#REF!$#REF!"</definedName>
    <definedName name="v_16">"$#REF!.$#REF!$#REF!"</definedName>
    <definedName name="v_7">"$#REF!.$#REF!$#REF!"</definedName>
    <definedName name="v_8">"$#REF!.$#REF!$#REF!"</definedName>
    <definedName name="VH" localSheetId="28">[15]BP24!$D$63:$E$79</definedName>
    <definedName name="VH">#REF!</definedName>
    <definedName name="vvvvvvvvvvvvv">#REF!</definedName>
    <definedName name="WP" localSheetId="28">[15]BP61!$B$72:$D$90</definedName>
    <definedName name="WP">#REF!</definedName>
    <definedName name="yieltse">#REF!</definedName>
    <definedName name="YldPfCF" localSheetId="28">'[6]Yld P CF'!$B$11:$I$37</definedName>
    <definedName name="YldPfCF">#REF!</definedName>
    <definedName name="YldPrifilesCA" localSheetId="28">'[6]Cocoa Profile'!$A$8:$G$37</definedName>
    <definedName name="YldPrifilesCA">#REF!</definedName>
    <definedName name="YldProf_OP1" localSheetId="28">'[6]Oilpalm Profile'!$B$13:$BM$37</definedName>
    <definedName name="YldProf_OP1">#REF!</definedName>
    <definedName name="YldProf_RB" localSheetId="28">'[6]Rubber Profile'!$A$10:$M$35</definedName>
    <definedName name="YldProf_RB">#REF!</definedName>
    <definedName name="YldProfCN" localSheetId="28">'[6]Yld P CN'!$B$13:$L$37</definedName>
    <definedName name="YldProfCN">#REF!</definedName>
    <definedName name="YldProfile">#REF!</definedName>
    <definedName name="YldProfTea" localSheetId="28">'[6]Yld P TEA '!$B$12:$L$43</definedName>
    <definedName name="YldProfT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0" i="16" l="1" a="1"/>
  <c r="T100" i="16" s="1"/>
  <c r="T99" i="16" a="1"/>
  <c r="T99" i="16" s="1"/>
  <c r="T98" i="16" a="1"/>
  <c r="T98" i="16" s="1"/>
  <c r="T97" i="16" a="1"/>
  <c r="T97" i="16" s="1"/>
  <c r="T96" i="16" a="1"/>
  <c r="T96" i="16" s="1"/>
  <c r="T95" i="16" a="1"/>
  <c r="T95" i="16" s="1"/>
  <c r="T94" i="16" a="1"/>
  <c r="T94" i="16" s="1"/>
  <c r="T93" i="16" a="1"/>
  <c r="T93" i="16" s="1"/>
  <c r="T92" i="16" a="1"/>
  <c r="T92" i="16" s="1"/>
  <c r="T91" i="16" a="1"/>
  <c r="T91" i="16" s="1"/>
  <c r="T90" i="16" a="1"/>
  <c r="T90" i="16" s="1"/>
  <c r="T89" i="16" a="1"/>
  <c r="T89" i="16" s="1"/>
  <c r="T88" i="16" a="1"/>
  <c r="T88" i="16" s="1"/>
  <c r="T87" i="16" a="1"/>
  <c r="T87" i="16" s="1"/>
  <c r="T86" i="16" a="1"/>
  <c r="T86" i="16" s="1"/>
  <c r="T85" i="16" a="1"/>
  <c r="T85" i="16" s="1"/>
  <c r="T84" i="16" a="1"/>
  <c r="T84" i="16" s="1"/>
  <c r="T83" i="16" a="1"/>
  <c r="T83" i="16" s="1"/>
  <c r="T82" i="16" a="1"/>
  <c r="T82" i="16" s="1"/>
  <c r="T81" i="16" a="1"/>
  <c r="T81" i="16" s="1"/>
  <c r="T80" i="16" a="1"/>
  <c r="T80" i="16" s="1"/>
  <c r="T79" i="16" a="1"/>
  <c r="T79" i="16" s="1"/>
  <c r="T78" i="16" a="1"/>
  <c r="T78" i="16" s="1"/>
  <c r="T77" i="16" a="1"/>
  <c r="T77" i="16" s="1"/>
  <c r="T76" i="16" a="1"/>
  <c r="T76" i="16" s="1"/>
  <c r="T75" i="16" a="1"/>
  <c r="T75" i="16" s="1"/>
  <c r="T74" i="16" a="1"/>
  <c r="T74" i="16" s="1"/>
  <c r="T73" i="16" a="1"/>
  <c r="T73" i="16" s="1"/>
  <c r="T72" i="16" a="1"/>
  <c r="T72" i="16" s="1"/>
  <c r="T71" i="16" a="1"/>
  <c r="T71" i="16" s="1"/>
  <c r="T70" i="16" a="1"/>
  <c r="T70" i="16" s="1"/>
  <c r="T51" i="16" a="1"/>
  <c r="T51" i="16" s="1"/>
  <c r="T49" i="16" a="1"/>
  <c r="T49" i="16" s="1"/>
  <c r="T46" i="16" a="1"/>
  <c r="T46" i="16" s="1"/>
  <c r="T45" i="16" a="1"/>
  <c r="T45" i="16" s="1"/>
  <c r="T44" i="16" a="1"/>
  <c r="T44" i="16" s="1"/>
  <c r="T43" i="16" a="1"/>
  <c r="T43" i="16" s="1"/>
  <c r="T42" i="16" a="1"/>
  <c r="T42" i="16" s="1"/>
  <c r="T41" i="16" a="1"/>
  <c r="T41" i="16" s="1"/>
  <c r="T40" i="16" a="1"/>
  <c r="T40" i="16" s="1"/>
  <c r="T39" i="16" a="1"/>
  <c r="T39" i="16" s="1"/>
  <c r="T38" i="16" a="1"/>
  <c r="T38" i="16" s="1"/>
  <c r="T37" i="16" a="1"/>
  <c r="T37" i="16" s="1"/>
  <c r="T36" i="16" a="1"/>
  <c r="T36" i="16" s="1"/>
  <c r="T35" i="16" a="1"/>
  <c r="T35" i="16" s="1"/>
  <c r="T34" i="16" a="1"/>
  <c r="T34" i="16" s="1"/>
  <c r="T33" i="16" a="1"/>
  <c r="T33" i="16" s="1"/>
  <c r="T32" i="16" a="1"/>
  <c r="T32" i="16" s="1"/>
  <c r="T31" i="16" a="1"/>
  <c r="T31" i="16" s="1"/>
  <c r="T30" i="16" a="1"/>
  <c r="T30" i="16" s="1"/>
  <c r="T29" i="16" a="1"/>
  <c r="T29" i="16" s="1"/>
  <c r="T28" i="16" a="1"/>
  <c r="T28" i="16" s="1"/>
  <c r="T27" i="16" a="1"/>
  <c r="T27" i="16" s="1"/>
  <c r="T26" i="16" a="1"/>
  <c r="T26" i="16" s="1"/>
  <c r="T25" i="16" a="1"/>
  <c r="T25" i="16" s="1"/>
  <c r="T24" i="16" a="1"/>
  <c r="T24" i="16" s="1"/>
  <c r="T23" i="16" a="1"/>
  <c r="T23" i="16" s="1"/>
  <c r="T22" i="16" a="1"/>
  <c r="T22" i="16" s="1"/>
  <c r="T21" i="16" a="1"/>
  <c r="T21" i="16" s="1"/>
  <c r="T20" i="16" a="1"/>
  <c r="T20" i="16" s="1"/>
  <c r="T19" i="16" a="1"/>
  <c r="T19" i="16" s="1"/>
  <c r="T18" i="16" a="1"/>
  <c r="T18" i="16" s="1"/>
  <c r="T17" i="16" a="1"/>
  <c r="T17" i="16" s="1"/>
  <c r="T16" i="16" a="1"/>
  <c r="T16" i="16" s="1"/>
  <c r="T15" i="16" a="1"/>
  <c r="T15" i="16" s="1"/>
  <c r="T14" i="16" a="1"/>
  <c r="T14" i="16" s="1"/>
  <c r="T13" i="16" a="1"/>
  <c r="T13" i="16" s="1"/>
  <c r="T12" i="16" a="1"/>
  <c r="T12" i="16" s="1"/>
  <c r="T11" i="16" a="1"/>
  <c r="T11" i="16" s="1"/>
  <c r="T10" i="16" a="1"/>
  <c r="T10" i="16" s="1"/>
  <c r="T9" i="16" a="1"/>
  <c r="T9" i="16" s="1"/>
  <c r="T8" i="16" a="1"/>
  <c r="T8" i="16" s="1"/>
  <c r="T7" i="16" a="1"/>
  <c r="T7" i="16" s="1"/>
  <c r="T6" i="16" a="1"/>
  <c r="T6" i="16" s="1"/>
  <c r="Q100" i="16" a="1"/>
  <c r="Q100" i="16" s="1"/>
  <c r="Q99" i="16" a="1"/>
  <c r="Q99" i="16" s="1"/>
  <c r="Q98" i="16" a="1"/>
  <c r="Q98" i="16" s="1"/>
  <c r="Q97" i="16" a="1"/>
  <c r="Q97" i="16" s="1"/>
  <c r="Q96" i="16" a="1"/>
  <c r="Q96" i="16" s="1"/>
  <c r="Q95" i="16" a="1"/>
  <c r="Q95" i="16" s="1"/>
  <c r="Q94" i="16" a="1"/>
  <c r="Q94" i="16" s="1"/>
  <c r="Q93" i="16" a="1"/>
  <c r="Q93" i="16" s="1"/>
  <c r="Q92" i="16" a="1"/>
  <c r="Q92" i="16" s="1"/>
  <c r="Q91" i="16" a="1"/>
  <c r="Q91" i="16" s="1"/>
  <c r="Q90" i="16" a="1"/>
  <c r="Q90" i="16" s="1"/>
  <c r="Q89" i="16" a="1"/>
  <c r="Q89" i="16" s="1"/>
  <c r="Q88" i="16" a="1"/>
  <c r="Q88" i="16" s="1"/>
  <c r="Q87" i="16" a="1"/>
  <c r="Q87" i="16" s="1"/>
  <c r="Q86" i="16" a="1"/>
  <c r="Q86" i="16" s="1"/>
  <c r="Q85" i="16" a="1"/>
  <c r="Q85" i="16" s="1"/>
  <c r="Q84" i="16" a="1"/>
  <c r="Q84" i="16" s="1"/>
  <c r="Q83" i="16" a="1"/>
  <c r="Q83" i="16" s="1"/>
  <c r="Q82" i="16" a="1"/>
  <c r="Q82" i="16" s="1"/>
  <c r="Q81" i="16" a="1"/>
  <c r="Q81" i="16" s="1"/>
  <c r="Q80" i="16" a="1"/>
  <c r="Q80" i="16" s="1"/>
  <c r="Q79" i="16" a="1"/>
  <c r="Q79" i="16" s="1"/>
  <c r="Q78" i="16" a="1"/>
  <c r="Q78" i="16" s="1"/>
  <c r="Q77" i="16" a="1"/>
  <c r="Q77" i="16" s="1"/>
  <c r="Q76" i="16" a="1"/>
  <c r="Q76" i="16" s="1"/>
  <c r="Q75" i="16" a="1"/>
  <c r="Q75" i="16" s="1"/>
  <c r="Q74" i="16" a="1"/>
  <c r="Q74" i="16" s="1"/>
  <c r="Q73" i="16" a="1"/>
  <c r="Q73" i="16" s="1"/>
  <c r="Q72" i="16" a="1"/>
  <c r="Q72" i="16" s="1"/>
  <c r="Q71" i="16" a="1"/>
  <c r="Q71" i="16" s="1"/>
  <c r="Q70" i="16" a="1"/>
  <c r="Q70" i="16" s="1"/>
  <c r="Q51" i="16" a="1"/>
  <c r="Q51" i="16" s="1"/>
  <c r="Q49" i="16" a="1"/>
  <c r="Q49" i="16" s="1"/>
  <c r="Q46" i="16" a="1"/>
  <c r="Q46" i="16" s="1"/>
  <c r="Q45" i="16" a="1"/>
  <c r="Q45" i="16" s="1"/>
  <c r="Q44" i="16" a="1"/>
  <c r="Q44" i="16" s="1"/>
  <c r="Q43" i="16" a="1"/>
  <c r="Q43" i="16" s="1"/>
  <c r="Q42" i="16" a="1"/>
  <c r="Q42" i="16" s="1"/>
  <c r="Q41" i="16" a="1"/>
  <c r="Q41" i="16" s="1"/>
  <c r="Q40" i="16" a="1"/>
  <c r="Q40" i="16" s="1"/>
  <c r="Q39" i="16" a="1"/>
  <c r="Q39" i="16" s="1"/>
  <c r="Q38" i="16" a="1"/>
  <c r="Q38" i="16" s="1"/>
  <c r="Q37" i="16" a="1"/>
  <c r="Q37" i="16" s="1"/>
  <c r="Q36" i="16" a="1"/>
  <c r="Q36" i="16" s="1"/>
  <c r="Q35" i="16" a="1"/>
  <c r="Q35" i="16" s="1"/>
  <c r="Q34" i="16" a="1"/>
  <c r="Q34" i="16" s="1"/>
  <c r="Q33" i="16" a="1"/>
  <c r="Q33" i="16" s="1"/>
  <c r="Q32" i="16" a="1"/>
  <c r="Q32" i="16" s="1"/>
  <c r="Q31" i="16" a="1"/>
  <c r="Q31" i="16" s="1"/>
  <c r="Q30" i="16" a="1"/>
  <c r="Q30" i="16" s="1"/>
  <c r="Q29" i="16" a="1"/>
  <c r="Q29" i="16" s="1"/>
  <c r="Q28" i="16" a="1"/>
  <c r="Q28" i="16" s="1"/>
  <c r="Q27" i="16" a="1"/>
  <c r="Q27" i="16" s="1"/>
  <c r="Q26" i="16" a="1"/>
  <c r="Q26" i="16" s="1"/>
  <c r="Q25" i="16" a="1"/>
  <c r="Q25" i="16" s="1"/>
  <c r="Q24" i="16" a="1"/>
  <c r="Q24" i="16" s="1"/>
  <c r="Q23" i="16" a="1"/>
  <c r="Q23" i="16" s="1"/>
  <c r="Q22" i="16" a="1"/>
  <c r="Q22" i="16" s="1"/>
  <c r="Q21" i="16" a="1"/>
  <c r="Q21" i="16" s="1"/>
  <c r="Q20" i="16" a="1"/>
  <c r="Q20" i="16" s="1"/>
  <c r="Q19" i="16" a="1"/>
  <c r="Q19" i="16" s="1"/>
  <c r="Q18" i="16" a="1"/>
  <c r="Q18" i="16" s="1"/>
  <c r="Q17" i="16" a="1"/>
  <c r="Q17" i="16" s="1"/>
  <c r="Q16" i="16" a="1"/>
  <c r="Q16" i="16" s="1"/>
  <c r="Q15" i="16" a="1"/>
  <c r="Q15" i="16" s="1"/>
  <c r="Q14" i="16" a="1"/>
  <c r="Q14" i="16" s="1"/>
  <c r="Q13" i="16" a="1"/>
  <c r="Q13" i="16" s="1"/>
  <c r="Q12" i="16" a="1"/>
  <c r="Q12" i="16" s="1"/>
  <c r="Q11" i="16" a="1"/>
  <c r="Q11" i="16" s="1"/>
  <c r="Q10" i="16" a="1"/>
  <c r="Q10" i="16" s="1"/>
  <c r="Q9" i="16" a="1"/>
  <c r="Q9" i="16" s="1"/>
  <c r="Q8" i="16" a="1"/>
  <c r="Q8" i="16" s="1"/>
  <c r="Q7" i="16" a="1"/>
  <c r="Q7" i="16" s="1"/>
  <c r="Q6" i="16" a="1"/>
  <c r="Q6" i="16" s="1"/>
  <c r="O100" i="16" a="1"/>
  <c r="O100" i="16" s="1"/>
  <c r="O99" i="16" a="1"/>
  <c r="O99" i="16" s="1"/>
  <c r="O98" i="16" a="1"/>
  <c r="O98" i="16" s="1"/>
  <c r="O97" i="16" a="1"/>
  <c r="O97" i="16" s="1"/>
  <c r="O96" i="16" a="1"/>
  <c r="O96" i="16" s="1"/>
  <c r="O95" i="16" a="1"/>
  <c r="O95" i="16" s="1"/>
  <c r="O94" i="16" a="1"/>
  <c r="O94" i="16" s="1"/>
  <c r="O93" i="16" a="1"/>
  <c r="O93" i="16" s="1"/>
  <c r="O92" i="16" a="1"/>
  <c r="O92" i="16" s="1"/>
  <c r="O91" i="16" a="1"/>
  <c r="O91" i="16" s="1"/>
  <c r="O90" i="16" a="1"/>
  <c r="O90" i="16" s="1"/>
  <c r="O89" i="16" a="1"/>
  <c r="O89" i="16" s="1"/>
  <c r="O88" i="16" a="1"/>
  <c r="O88" i="16" s="1"/>
  <c r="O87" i="16" a="1"/>
  <c r="O87" i="16" s="1"/>
  <c r="O86" i="16" a="1"/>
  <c r="O86" i="16" s="1"/>
  <c r="O85" i="16" a="1"/>
  <c r="O85" i="16" s="1"/>
  <c r="O84" i="16" a="1"/>
  <c r="O84" i="16" s="1"/>
  <c r="O83" i="16" a="1"/>
  <c r="O83" i="16" s="1"/>
  <c r="O82" i="16" a="1"/>
  <c r="O82" i="16" s="1"/>
  <c r="O81" i="16" a="1"/>
  <c r="O81" i="16" s="1"/>
  <c r="O80" i="16" a="1"/>
  <c r="O80" i="16" s="1"/>
  <c r="O79" i="16" a="1"/>
  <c r="O79" i="16" s="1"/>
  <c r="O78" i="16" a="1"/>
  <c r="O78" i="16" s="1"/>
  <c r="O77" i="16" a="1"/>
  <c r="O77" i="16" s="1"/>
  <c r="O76" i="16" a="1"/>
  <c r="O76" i="16" s="1"/>
  <c r="O75" i="16" a="1"/>
  <c r="O75" i="16" s="1"/>
  <c r="O74" i="16" a="1"/>
  <c r="O74" i="16" s="1"/>
  <c r="O73" i="16" a="1"/>
  <c r="O73" i="16" s="1"/>
  <c r="O72" i="16" a="1"/>
  <c r="O72" i="16" s="1"/>
  <c r="O71" i="16" a="1"/>
  <c r="O71" i="16" s="1"/>
  <c r="O70" i="16" a="1"/>
  <c r="O70" i="16" s="1"/>
  <c r="O51" i="16" a="1"/>
  <c r="O51" i="16" s="1"/>
  <c r="O49" i="16" a="1"/>
  <c r="O49" i="16" s="1"/>
  <c r="O46" i="16" a="1"/>
  <c r="O46" i="16" s="1"/>
  <c r="O45" i="16" a="1"/>
  <c r="O45" i="16" s="1"/>
  <c r="O44" i="16" a="1"/>
  <c r="O44" i="16" s="1"/>
  <c r="O43" i="16" a="1"/>
  <c r="O43" i="16" s="1"/>
  <c r="O42" i="16" a="1"/>
  <c r="O42" i="16" s="1"/>
  <c r="O41" i="16" a="1"/>
  <c r="O41" i="16" s="1"/>
  <c r="O40" i="16" a="1"/>
  <c r="O40" i="16" s="1"/>
  <c r="O39" i="16" a="1"/>
  <c r="O39" i="16" s="1"/>
  <c r="O38" i="16" a="1"/>
  <c r="O38" i="16" s="1"/>
  <c r="O37" i="16" a="1"/>
  <c r="O37" i="16" s="1"/>
  <c r="O36" i="16" a="1"/>
  <c r="O36" i="16" s="1"/>
  <c r="O35" i="16" a="1"/>
  <c r="O35" i="16" s="1"/>
  <c r="O34" i="16" a="1"/>
  <c r="O34" i="16" s="1"/>
  <c r="O33" i="16" a="1"/>
  <c r="O33" i="16" s="1"/>
  <c r="O32" i="16" a="1"/>
  <c r="O32" i="16" s="1"/>
  <c r="O31" i="16" a="1"/>
  <c r="O31" i="16" s="1"/>
  <c r="O30" i="16" a="1"/>
  <c r="O30" i="16" s="1"/>
  <c r="O29" i="16" a="1"/>
  <c r="O29" i="16" s="1"/>
  <c r="O28" i="16" a="1"/>
  <c r="O28" i="16" s="1"/>
  <c r="O27" i="16" a="1"/>
  <c r="O27" i="16" s="1"/>
  <c r="O26" i="16" a="1"/>
  <c r="O26" i="16" s="1"/>
  <c r="O25" i="16" a="1"/>
  <c r="O25" i="16" s="1"/>
  <c r="O24" i="16" a="1"/>
  <c r="O24" i="16" s="1"/>
  <c r="O23" i="16" a="1"/>
  <c r="O23" i="16" s="1"/>
  <c r="O22" i="16" a="1"/>
  <c r="O22" i="16" s="1"/>
  <c r="O21" i="16" a="1"/>
  <c r="O21" i="16" s="1"/>
  <c r="O20" i="16" a="1"/>
  <c r="O20" i="16" s="1"/>
  <c r="O19" i="16" a="1"/>
  <c r="O19" i="16" s="1"/>
  <c r="O18" i="16" a="1"/>
  <c r="O18" i="16" s="1"/>
  <c r="O17" i="16" a="1"/>
  <c r="O17" i="16" s="1"/>
  <c r="O16" i="16" a="1"/>
  <c r="O16" i="16" s="1"/>
  <c r="O15" i="16" a="1"/>
  <c r="O15" i="16" s="1"/>
  <c r="O14" i="16" a="1"/>
  <c r="O14" i="16" s="1"/>
  <c r="O13" i="16" a="1"/>
  <c r="O13" i="16" s="1"/>
  <c r="O12" i="16" a="1"/>
  <c r="O12" i="16" s="1"/>
  <c r="O11" i="16" a="1"/>
  <c r="O11" i="16" s="1"/>
  <c r="O10" i="16" a="1"/>
  <c r="O10" i="16" s="1"/>
  <c r="O9" i="16" a="1"/>
  <c r="O9" i="16" s="1"/>
  <c r="O8" i="16" a="1"/>
  <c r="O8" i="16" s="1"/>
  <c r="O7" i="16" a="1"/>
  <c r="O7" i="16" s="1"/>
  <c r="O6" i="16" a="1"/>
  <c r="O6" i="16" s="1"/>
  <c r="N100" i="16" a="1"/>
  <c r="N100" i="16" s="1"/>
  <c r="N99" i="16" a="1"/>
  <c r="N99" i="16" s="1"/>
  <c r="N98" i="16" a="1"/>
  <c r="N98" i="16" s="1"/>
  <c r="N97" i="16" a="1"/>
  <c r="N97" i="16" s="1"/>
  <c r="N96" i="16" a="1"/>
  <c r="N96" i="16" s="1"/>
  <c r="N95" i="16" a="1"/>
  <c r="N95" i="16" s="1"/>
  <c r="N94" i="16" a="1"/>
  <c r="N94" i="16" s="1"/>
  <c r="N93" i="16" a="1"/>
  <c r="N93" i="16" s="1"/>
  <c r="N92" i="16" a="1"/>
  <c r="N92" i="16" s="1"/>
  <c r="N91" i="16" a="1"/>
  <c r="N91" i="16" s="1"/>
  <c r="N90" i="16" a="1"/>
  <c r="N90" i="16" s="1"/>
  <c r="N89" i="16" a="1"/>
  <c r="N89" i="16" s="1"/>
  <c r="N88" i="16" a="1"/>
  <c r="N88" i="16" s="1"/>
  <c r="N87" i="16" a="1"/>
  <c r="N87" i="16" s="1"/>
  <c r="N86" i="16" a="1"/>
  <c r="N86" i="16" s="1"/>
  <c r="N85" i="16" a="1"/>
  <c r="N85" i="16" s="1"/>
  <c r="N84" i="16" a="1"/>
  <c r="N84" i="16" s="1"/>
  <c r="N83" i="16" a="1"/>
  <c r="N83" i="16" s="1"/>
  <c r="N82" i="16" a="1"/>
  <c r="N82" i="16" s="1"/>
  <c r="N81" i="16" a="1"/>
  <c r="N81" i="16" s="1"/>
  <c r="N80" i="16" a="1"/>
  <c r="N80" i="16" s="1"/>
  <c r="N79" i="16" a="1"/>
  <c r="N79" i="16" s="1"/>
  <c r="N78" i="16" a="1"/>
  <c r="N78" i="16" s="1"/>
  <c r="N77" i="16" a="1"/>
  <c r="N77" i="16" s="1"/>
  <c r="N76" i="16" a="1"/>
  <c r="N76" i="16" s="1"/>
  <c r="N75" i="16" a="1"/>
  <c r="N75" i="16" s="1"/>
  <c r="N74" i="16" a="1"/>
  <c r="N74" i="16" s="1"/>
  <c r="N73" i="16" a="1"/>
  <c r="N73" i="16" s="1"/>
  <c r="N72" i="16" a="1"/>
  <c r="N72" i="16" s="1"/>
  <c r="N71" i="16" a="1"/>
  <c r="N71" i="16" s="1"/>
  <c r="N70" i="16" a="1"/>
  <c r="N70" i="16" s="1"/>
  <c r="N51" i="16" a="1"/>
  <c r="N51" i="16" s="1"/>
  <c r="N49" i="16" a="1"/>
  <c r="N49" i="16" s="1"/>
  <c r="N46" i="16" a="1"/>
  <c r="N46" i="16" s="1"/>
  <c r="N45" i="16" a="1"/>
  <c r="N45" i="16" s="1"/>
  <c r="N44" i="16" a="1"/>
  <c r="N44" i="16" s="1"/>
  <c r="N43" i="16" a="1"/>
  <c r="N43" i="16" s="1"/>
  <c r="N42" i="16" a="1"/>
  <c r="N42" i="16" s="1"/>
  <c r="N41" i="16" a="1"/>
  <c r="N41" i="16" s="1"/>
  <c r="N40" i="16" a="1"/>
  <c r="N40" i="16" s="1"/>
  <c r="N39" i="16" a="1"/>
  <c r="N39" i="16" s="1"/>
  <c r="N38" i="16" a="1"/>
  <c r="N38" i="16" s="1"/>
  <c r="N37" i="16" a="1"/>
  <c r="N37" i="16" s="1"/>
  <c r="N36" i="16" a="1"/>
  <c r="N36" i="16" s="1"/>
  <c r="N35" i="16" a="1"/>
  <c r="N35" i="16" s="1"/>
  <c r="N34" i="16" a="1"/>
  <c r="N34" i="16" s="1"/>
  <c r="N33" i="16" a="1"/>
  <c r="N33" i="16" s="1"/>
  <c r="N32" i="16" a="1"/>
  <c r="N32" i="16" s="1"/>
  <c r="N31" i="16" a="1"/>
  <c r="N31" i="16" s="1"/>
  <c r="N30" i="16" a="1"/>
  <c r="N30" i="16" s="1"/>
  <c r="N29" i="16" a="1"/>
  <c r="N29" i="16" s="1"/>
  <c r="N28" i="16" a="1"/>
  <c r="N28" i="16" s="1"/>
  <c r="N27" i="16" a="1"/>
  <c r="N27" i="16" s="1"/>
  <c r="N26" i="16" a="1"/>
  <c r="N26" i="16" s="1"/>
  <c r="N25" i="16" a="1"/>
  <c r="N25" i="16" s="1"/>
  <c r="N24" i="16" a="1"/>
  <c r="N24" i="16" s="1"/>
  <c r="N23" i="16" a="1"/>
  <c r="N23" i="16" s="1"/>
  <c r="N22" i="16" a="1"/>
  <c r="N22" i="16" s="1"/>
  <c r="N21" i="16" a="1"/>
  <c r="N21" i="16" s="1"/>
  <c r="N20" i="16" a="1"/>
  <c r="N20" i="16" s="1"/>
  <c r="N19" i="16" a="1"/>
  <c r="N19" i="16" s="1"/>
  <c r="N18" i="16" a="1"/>
  <c r="N18" i="16" s="1"/>
  <c r="N17" i="16" a="1"/>
  <c r="N17" i="16" s="1"/>
  <c r="N16" i="16" a="1"/>
  <c r="N16" i="16" s="1"/>
  <c r="N15" i="16" a="1"/>
  <c r="N15" i="16" s="1"/>
  <c r="N14" i="16" a="1"/>
  <c r="N14" i="16" s="1"/>
  <c r="N13" i="16" a="1"/>
  <c r="N13" i="16" s="1"/>
  <c r="N12" i="16" a="1"/>
  <c r="N12" i="16" s="1"/>
  <c r="N11" i="16" a="1"/>
  <c r="N11" i="16" s="1"/>
  <c r="N10" i="16" a="1"/>
  <c r="N10" i="16" s="1"/>
  <c r="N9" i="16" a="1"/>
  <c r="N9" i="16" s="1"/>
  <c r="N8" i="16" a="1"/>
  <c r="N8" i="16" s="1"/>
  <c r="N7" i="16" a="1"/>
  <c r="N7" i="16" s="1"/>
  <c r="N6" i="16" a="1"/>
  <c r="N6" i="16" s="1"/>
  <c r="AA100" i="16" l="1" a="1"/>
  <c r="AA100" i="16" s="1"/>
  <c r="AA99" i="16" a="1"/>
  <c r="AA99" i="16" s="1"/>
  <c r="AA98" i="16" a="1"/>
  <c r="AA98" i="16" s="1"/>
  <c r="AA97" i="16" a="1"/>
  <c r="AA97" i="16" s="1"/>
  <c r="AA96" i="16" a="1"/>
  <c r="AA96" i="16" s="1"/>
  <c r="AA95" i="16" a="1"/>
  <c r="AA95" i="16" s="1"/>
  <c r="AA94" i="16" a="1"/>
  <c r="AA94" i="16" s="1"/>
  <c r="AA93" i="16" a="1"/>
  <c r="AA93" i="16" s="1"/>
  <c r="AA92" i="16" a="1"/>
  <c r="AA92" i="16" s="1"/>
  <c r="AA91" i="16" a="1"/>
  <c r="AA91" i="16" s="1"/>
  <c r="AA90" i="16" a="1"/>
  <c r="AA90" i="16" s="1"/>
  <c r="AA89" i="16" a="1"/>
  <c r="AA89" i="16" s="1"/>
  <c r="AA88" i="16" a="1"/>
  <c r="AA88" i="16" s="1"/>
  <c r="AA87" i="16" a="1"/>
  <c r="AA87" i="16" s="1"/>
  <c r="AA86" i="16" a="1"/>
  <c r="AA86" i="16" s="1"/>
  <c r="AA85" i="16" a="1"/>
  <c r="AA85" i="16" s="1"/>
  <c r="AA84" i="16" a="1"/>
  <c r="AA84" i="16" s="1"/>
  <c r="AA83" i="16" a="1"/>
  <c r="AA83" i="16" s="1"/>
  <c r="AA82" i="16" a="1"/>
  <c r="AA82" i="16" s="1"/>
  <c r="AA81" i="16" a="1"/>
  <c r="AA81" i="16" s="1"/>
  <c r="AA80" i="16" a="1"/>
  <c r="AA80" i="16" s="1"/>
  <c r="AA79" i="16" a="1"/>
  <c r="AA79" i="16" s="1"/>
  <c r="AA78" i="16" a="1"/>
  <c r="AA78" i="16" s="1"/>
  <c r="AA77" i="16" a="1"/>
  <c r="AA77" i="16" s="1"/>
  <c r="AA76" i="16" a="1"/>
  <c r="AA76" i="16" s="1"/>
  <c r="AA75" i="16" a="1"/>
  <c r="AA75" i="16" s="1"/>
  <c r="AA74" i="16" a="1"/>
  <c r="AA74" i="16" s="1"/>
  <c r="AA73" i="16" a="1"/>
  <c r="AA73" i="16" s="1"/>
  <c r="AA72" i="16" a="1"/>
  <c r="AA72" i="16" s="1"/>
  <c r="AA71" i="16" a="1"/>
  <c r="AA71" i="16" s="1"/>
  <c r="AA70" i="16" a="1"/>
  <c r="AA70" i="16" s="1"/>
  <c r="AA51" i="16" a="1"/>
  <c r="AA51" i="16" s="1"/>
  <c r="AA49" i="16" a="1"/>
  <c r="AA49" i="16" s="1"/>
  <c r="AA46" i="16" a="1"/>
  <c r="AA46" i="16" s="1"/>
  <c r="AA45" i="16" a="1"/>
  <c r="AA45" i="16" s="1"/>
  <c r="AA44" i="16" a="1"/>
  <c r="AA44" i="16" s="1"/>
  <c r="AA43" i="16" a="1"/>
  <c r="AA43" i="16" s="1"/>
  <c r="AA42" i="16" a="1"/>
  <c r="AA42" i="16" s="1"/>
  <c r="AA41" i="16" a="1"/>
  <c r="AA41" i="16" s="1"/>
  <c r="AA40" i="16" a="1"/>
  <c r="AA40" i="16" s="1"/>
  <c r="AA39" i="16" a="1"/>
  <c r="AA39" i="16" s="1"/>
  <c r="AA38" i="16" a="1"/>
  <c r="AA38" i="16" s="1"/>
  <c r="AA37" i="16" a="1"/>
  <c r="AA37" i="16" s="1"/>
  <c r="AA36" i="16" a="1"/>
  <c r="AA36" i="16" s="1"/>
  <c r="AA35" i="16" a="1"/>
  <c r="AA35" i="16" s="1"/>
  <c r="AA34" i="16" a="1"/>
  <c r="AA34" i="16" s="1"/>
  <c r="AA33" i="16" a="1"/>
  <c r="AA33" i="16" s="1"/>
  <c r="AA32" i="16" a="1"/>
  <c r="AA32" i="16" s="1"/>
  <c r="AA31" i="16" a="1"/>
  <c r="AA31" i="16" s="1"/>
  <c r="AA30" i="16" a="1"/>
  <c r="AA30" i="16" s="1"/>
  <c r="AA29" i="16" a="1"/>
  <c r="AA29" i="16" s="1"/>
  <c r="AA28" i="16" a="1"/>
  <c r="AA28" i="16" s="1"/>
  <c r="AA27" i="16" a="1"/>
  <c r="AA27" i="16" s="1"/>
  <c r="AA26" i="16" a="1"/>
  <c r="AA26" i="16" s="1"/>
  <c r="AA25" i="16" a="1"/>
  <c r="AA25" i="16" s="1"/>
  <c r="AA24" i="16" a="1"/>
  <c r="AA24" i="16" s="1"/>
  <c r="AA23" i="16" a="1"/>
  <c r="AA23" i="16" s="1"/>
  <c r="AA22" i="16" a="1"/>
  <c r="AA22" i="16" s="1"/>
  <c r="AA21" i="16" a="1"/>
  <c r="AA21" i="16" s="1"/>
  <c r="AA20" i="16"/>
  <c r="AA20" i="16" a="1"/>
  <c r="AA19" i="16" a="1"/>
  <c r="AA19" i="16" s="1"/>
  <c r="AA18" i="16" a="1"/>
  <c r="AA18" i="16" s="1"/>
  <c r="AA17" i="16" a="1"/>
  <c r="AA17" i="16" s="1"/>
  <c r="AA16" i="16" a="1"/>
  <c r="AA16" i="16" s="1"/>
  <c r="AA15" i="16" a="1"/>
  <c r="AA15" i="16" s="1"/>
  <c r="AA14" i="16" a="1"/>
  <c r="AA14" i="16" s="1"/>
  <c r="AA13" i="16" a="1"/>
  <c r="AA13" i="16" s="1"/>
  <c r="AA12" i="16" a="1"/>
  <c r="AA12" i="16" s="1"/>
  <c r="AA11" i="16" a="1"/>
  <c r="AA11" i="16" s="1"/>
  <c r="AA10" i="16" a="1"/>
  <c r="AA10" i="16" s="1"/>
  <c r="AA9" i="16" a="1"/>
  <c r="AA9" i="16" s="1"/>
  <c r="AA8" i="16" a="1"/>
  <c r="AA8" i="16" s="1"/>
  <c r="AA7" i="16" a="1"/>
  <c r="AA7" i="16" s="1"/>
  <c r="AA6" i="16" a="1"/>
  <c r="AA6" i="16" s="1"/>
  <c r="X100" i="16" a="1"/>
  <c r="X100" i="16" s="1"/>
  <c r="X99" i="16" a="1"/>
  <c r="X99" i="16" s="1"/>
  <c r="X98" i="16" a="1"/>
  <c r="X98" i="16" s="1"/>
  <c r="X97" i="16" a="1"/>
  <c r="X97" i="16" s="1"/>
  <c r="X96" i="16" a="1"/>
  <c r="X96" i="16" s="1"/>
  <c r="X95" i="16" a="1"/>
  <c r="X95" i="16" s="1"/>
  <c r="X94" i="16" a="1"/>
  <c r="X94" i="16" s="1"/>
  <c r="X93" i="16" a="1"/>
  <c r="X93" i="16" s="1"/>
  <c r="X92" i="16" a="1"/>
  <c r="X92" i="16" s="1"/>
  <c r="X91" i="16" a="1"/>
  <c r="X91" i="16" s="1"/>
  <c r="X90" i="16" a="1"/>
  <c r="X90" i="16" s="1"/>
  <c r="X89" i="16" a="1"/>
  <c r="X89" i="16" s="1"/>
  <c r="X88" i="16" a="1"/>
  <c r="X88" i="16" s="1"/>
  <c r="X87" i="16" a="1"/>
  <c r="X87" i="16" s="1"/>
  <c r="X86" i="16" a="1"/>
  <c r="X86" i="16" s="1"/>
  <c r="X85" i="16" a="1"/>
  <c r="X85" i="16" s="1"/>
  <c r="X84" i="16" a="1"/>
  <c r="X84" i="16" s="1"/>
  <c r="X83" i="16" a="1"/>
  <c r="X83" i="16" s="1"/>
  <c r="X82" i="16" a="1"/>
  <c r="X82" i="16" s="1"/>
  <c r="X81" i="16" a="1"/>
  <c r="X81" i="16" s="1"/>
  <c r="X80" i="16" a="1"/>
  <c r="X80" i="16" s="1"/>
  <c r="X79" i="16" a="1"/>
  <c r="X79" i="16" s="1"/>
  <c r="X78" i="16" a="1"/>
  <c r="X78" i="16" s="1"/>
  <c r="X77" i="16" a="1"/>
  <c r="X77" i="16" s="1"/>
  <c r="X76" i="16" a="1"/>
  <c r="X76" i="16" s="1"/>
  <c r="X75" i="16" a="1"/>
  <c r="X75" i="16" s="1"/>
  <c r="X74" i="16" a="1"/>
  <c r="X74" i="16" s="1"/>
  <c r="X73" i="16" a="1"/>
  <c r="X73" i="16" s="1"/>
  <c r="X72" i="16" a="1"/>
  <c r="X72" i="16" s="1"/>
  <c r="X71" i="16" a="1"/>
  <c r="X71" i="16" s="1"/>
  <c r="X70" i="16" a="1"/>
  <c r="X70" i="16" s="1"/>
  <c r="X51" i="16" a="1"/>
  <c r="X51" i="16" s="1"/>
  <c r="X49" i="16" a="1"/>
  <c r="X49" i="16" s="1"/>
  <c r="X46" i="16" a="1"/>
  <c r="X46" i="16" s="1"/>
  <c r="X45" i="16" a="1"/>
  <c r="X45" i="16" s="1"/>
  <c r="X44" i="16" a="1"/>
  <c r="X44" i="16" s="1"/>
  <c r="X43" i="16" a="1"/>
  <c r="X43" i="16" s="1"/>
  <c r="X42" i="16" a="1"/>
  <c r="X42" i="16" s="1"/>
  <c r="X41" i="16" a="1"/>
  <c r="X41" i="16" s="1"/>
  <c r="X40" i="16" a="1"/>
  <c r="X40" i="16" s="1"/>
  <c r="X39" i="16" a="1"/>
  <c r="X39" i="16" s="1"/>
  <c r="X38" i="16" a="1"/>
  <c r="X38" i="16" s="1"/>
  <c r="X37" i="16" a="1"/>
  <c r="X37" i="16" s="1"/>
  <c r="X36" i="16" a="1"/>
  <c r="X36" i="16" s="1"/>
  <c r="X35" i="16" a="1"/>
  <c r="X35" i="16" s="1"/>
  <c r="X34" i="16" a="1"/>
  <c r="X34" i="16" s="1"/>
  <c r="X33" i="16" a="1"/>
  <c r="X33" i="16" s="1"/>
  <c r="X32" i="16" a="1"/>
  <c r="X32" i="16" s="1"/>
  <c r="X31" i="16" a="1"/>
  <c r="X31" i="16" s="1"/>
  <c r="X30" i="16" a="1"/>
  <c r="X30" i="16" s="1"/>
  <c r="X29" i="16" a="1"/>
  <c r="X29" i="16" s="1"/>
  <c r="X28" i="16" a="1"/>
  <c r="X28" i="16" s="1"/>
  <c r="X27" i="16" a="1"/>
  <c r="X27" i="16" s="1"/>
  <c r="X26" i="16" a="1"/>
  <c r="X26" i="16" s="1"/>
  <c r="X25" i="16" a="1"/>
  <c r="X25" i="16" s="1"/>
  <c r="X24" i="16" a="1"/>
  <c r="X24" i="16" s="1"/>
  <c r="X23" i="16" a="1"/>
  <c r="X23" i="16" s="1"/>
  <c r="X22" i="16" a="1"/>
  <c r="X22" i="16" s="1"/>
  <c r="X21" i="16" a="1"/>
  <c r="X21" i="16" s="1"/>
  <c r="X20" i="16" a="1"/>
  <c r="X20" i="16" s="1"/>
  <c r="X19" i="16" a="1"/>
  <c r="X19" i="16" s="1"/>
  <c r="X18" i="16" a="1"/>
  <c r="X18" i="16" s="1"/>
  <c r="X17" i="16" a="1"/>
  <c r="X17" i="16" s="1"/>
  <c r="X16" i="16" a="1"/>
  <c r="X16" i="16" s="1"/>
  <c r="X15" i="16" a="1"/>
  <c r="X15" i="16" s="1"/>
  <c r="X14" i="16" a="1"/>
  <c r="X14" i="16" s="1"/>
  <c r="X13" i="16" a="1"/>
  <c r="X13" i="16" s="1"/>
  <c r="X12" i="16" a="1"/>
  <c r="X12" i="16" s="1"/>
  <c r="X11" i="16" a="1"/>
  <c r="X11" i="16" s="1"/>
  <c r="X10" i="16" a="1"/>
  <c r="X10" i="16" s="1"/>
  <c r="X9" i="16" a="1"/>
  <c r="X9" i="16" s="1"/>
  <c r="X8" i="16" a="1"/>
  <c r="X8" i="16" s="1"/>
  <c r="X7" i="16" a="1"/>
  <c r="X7" i="16" s="1"/>
  <c r="X6" i="16" a="1"/>
  <c r="X6" i="16" s="1"/>
  <c r="W100" i="16" a="1"/>
  <c r="W100" i="16" s="1"/>
  <c r="W99" i="16" a="1"/>
  <c r="W99" i="16" s="1"/>
  <c r="W98" i="16" a="1"/>
  <c r="W98" i="16" s="1"/>
  <c r="W97" i="16" a="1"/>
  <c r="W97" i="16" s="1"/>
  <c r="W96" i="16" a="1"/>
  <c r="W96" i="16" s="1"/>
  <c r="W95" i="16" a="1"/>
  <c r="W95" i="16" s="1"/>
  <c r="W94" i="16" a="1"/>
  <c r="W94" i="16" s="1"/>
  <c r="W93" i="16" a="1"/>
  <c r="W93" i="16" s="1"/>
  <c r="W92" i="16" a="1"/>
  <c r="W92" i="16" s="1"/>
  <c r="W91" i="16" a="1"/>
  <c r="W91" i="16" s="1"/>
  <c r="W90" i="16"/>
  <c r="W90" i="16" a="1"/>
  <c r="W89" i="16" a="1"/>
  <c r="W89" i="16" s="1"/>
  <c r="W88" i="16" a="1"/>
  <c r="W88" i="16" s="1"/>
  <c r="W87" i="16" a="1"/>
  <c r="W87" i="16" s="1"/>
  <c r="W86" i="16" a="1"/>
  <c r="W86" i="16" s="1"/>
  <c r="W85" i="16" a="1"/>
  <c r="W85" i="16" s="1"/>
  <c r="W84" i="16" a="1"/>
  <c r="W84" i="16" s="1"/>
  <c r="W83" i="16" a="1"/>
  <c r="W83" i="16" s="1"/>
  <c r="W82" i="16" a="1"/>
  <c r="W82" i="16" s="1"/>
  <c r="W81" i="16" a="1"/>
  <c r="W81" i="16" s="1"/>
  <c r="W80" i="16" a="1"/>
  <c r="W80" i="16" s="1"/>
  <c r="W79" i="16" a="1"/>
  <c r="W79" i="16" s="1"/>
  <c r="W78" i="16" a="1"/>
  <c r="W78" i="16" s="1"/>
  <c r="W77" i="16" a="1"/>
  <c r="W77" i="16" s="1"/>
  <c r="W76" i="16" a="1"/>
  <c r="W76" i="16" s="1"/>
  <c r="W75" i="16" a="1"/>
  <c r="W75" i="16" s="1"/>
  <c r="W74" i="16" a="1"/>
  <c r="W74" i="16" s="1"/>
  <c r="W73" i="16" a="1"/>
  <c r="W73" i="16" s="1"/>
  <c r="W72" i="16" a="1"/>
  <c r="W72" i="16" s="1"/>
  <c r="W71" i="16" a="1"/>
  <c r="W71" i="16" s="1"/>
  <c r="W70" i="16" a="1"/>
  <c r="W70" i="16" s="1"/>
  <c r="W51" i="16" a="1"/>
  <c r="W51" i="16" s="1"/>
  <c r="W49" i="16" a="1"/>
  <c r="W49" i="16" s="1"/>
  <c r="W46" i="16" a="1"/>
  <c r="W46" i="16" s="1"/>
  <c r="W45" i="16" a="1"/>
  <c r="W45" i="16" s="1"/>
  <c r="W44" i="16" a="1"/>
  <c r="W44" i="16" s="1"/>
  <c r="W43" i="16" a="1"/>
  <c r="W43" i="16" s="1"/>
  <c r="W42" i="16" a="1"/>
  <c r="W42" i="16" s="1"/>
  <c r="W41" i="16" a="1"/>
  <c r="W41" i="16" s="1"/>
  <c r="W40" i="16" a="1"/>
  <c r="W40" i="16" s="1"/>
  <c r="W39" i="16" a="1"/>
  <c r="W39" i="16" s="1"/>
  <c r="W38" i="16" a="1"/>
  <c r="W38" i="16" s="1"/>
  <c r="W37" i="16" a="1"/>
  <c r="W37" i="16" s="1"/>
  <c r="W36" i="16" a="1"/>
  <c r="W36" i="16" s="1"/>
  <c r="W35" i="16" a="1"/>
  <c r="W35" i="16" s="1"/>
  <c r="W34" i="16" a="1"/>
  <c r="W34" i="16" s="1"/>
  <c r="W33" i="16" a="1"/>
  <c r="W33" i="16" s="1"/>
  <c r="W32" i="16" a="1"/>
  <c r="W32" i="16" s="1"/>
  <c r="W31" i="16" a="1"/>
  <c r="W31" i="16" s="1"/>
  <c r="W30" i="16" a="1"/>
  <c r="W30" i="16" s="1"/>
  <c r="W29" i="16" a="1"/>
  <c r="W29" i="16" s="1"/>
  <c r="W28" i="16" a="1"/>
  <c r="W28" i="16" s="1"/>
  <c r="W27" i="16" a="1"/>
  <c r="W27" i="16" s="1"/>
  <c r="W26" i="16" a="1"/>
  <c r="W26" i="16" s="1"/>
  <c r="W25" i="16" a="1"/>
  <c r="W25" i="16" s="1"/>
  <c r="W24" i="16" a="1"/>
  <c r="W24" i="16" s="1"/>
  <c r="W23" i="16" a="1"/>
  <c r="W23" i="16" s="1"/>
  <c r="W22" i="16" a="1"/>
  <c r="W22" i="16" s="1"/>
  <c r="W21" i="16" a="1"/>
  <c r="W21" i="16" s="1"/>
  <c r="W20" i="16" a="1"/>
  <c r="W20" i="16" s="1"/>
  <c r="W19" i="16" a="1"/>
  <c r="W19" i="16" s="1"/>
  <c r="W18" i="16" a="1"/>
  <c r="W18" i="16" s="1"/>
  <c r="W17" i="16" a="1"/>
  <c r="W17" i="16" s="1"/>
  <c r="W16" i="16" a="1"/>
  <c r="W16" i="16" s="1"/>
  <c r="W15" i="16" a="1"/>
  <c r="W15" i="16" s="1"/>
  <c r="W14" i="16" a="1"/>
  <c r="W14" i="16" s="1"/>
  <c r="W13" i="16" a="1"/>
  <c r="W13" i="16" s="1"/>
  <c r="W12" i="16" a="1"/>
  <c r="W12" i="16" s="1"/>
  <c r="W11" i="16" a="1"/>
  <c r="W11" i="16" s="1"/>
  <c r="W10" i="16" a="1"/>
  <c r="W10" i="16" s="1"/>
  <c r="W9" i="16" a="1"/>
  <c r="W9" i="16" s="1"/>
  <c r="W8" i="16" a="1"/>
  <c r="W8" i="16" s="1"/>
  <c r="W7" i="16" a="1"/>
  <c r="W7" i="16" s="1"/>
  <c r="W6" i="16" a="1"/>
  <c r="W6" i="16"/>
  <c r="V100" i="16" a="1"/>
  <c r="V100" i="16" s="1"/>
  <c r="V99" i="16" a="1"/>
  <c r="V99" i="16" s="1"/>
  <c r="V98" i="16" a="1"/>
  <c r="V98" i="16" s="1"/>
  <c r="V97" i="16" a="1"/>
  <c r="V97" i="16" s="1"/>
  <c r="V96" i="16" a="1"/>
  <c r="V96" i="16" s="1"/>
  <c r="V95" i="16" a="1"/>
  <c r="V95" i="16" s="1"/>
  <c r="V94" i="16" a="1"/>
  <c r="V94" i="16" s="1"/>
  <c r="V93" i="16" a="1"/>
  <c r="V93" i="16" s="1"/>
  <c r="V92" i="16" a="1"/>
  <c r="V92" i="16" s="1"/>
  <c r="V91" i="16" a="1"/>
  <c r="V91" i="16" s="1"/>
  <c r="V90" i="16" a="1"/>
  <c r="V90" i="16" s="1"/>
  <c r="V89" i="16" a="1"/>
  <c r="V89" i="16" s="1"/>
  <c r="V88" i="16" a="1"/>
  <c r="V88" i="16" s="1"/>
  <c r="V87" i="16" a="1"/>
  <c r="V87" i="16" s="1"/>
  <c r="V86" i="16" a="1"/>
  <c r="V86" i="16" s="1"/>
  <c r="V85" i="16" a="1"/>
  <c r="V85" i="16" s="1"/>
  <c r="V84" i="16" a="1"/>
  <c r="V84" i="16" s="1"/>
  <c r="V83" i="16" a="1"/>
  <c r="V83" i="16" s="1"/>
  <c r="V82" i="16" a="1"/>
  <c r="V82" i="16" s="1"/>
  <c r="V81" i="16" a="1"/>
  <c r="V81" i="16" s="1"/>
  <c r="V80" i="16" a="1"/>
  <c r="V80" i="16" s="1"/>
  <c r="V79" i="16" a="1"/>
  <c r="V79" i="16" s="1"/>
  <c r="V78" i="16" a="1"/>
  <c r="V78" i="16" s="1"/>
  <c r="V77" i="16" a="1"/>
  <c r="V77" i="16" s="1"/>
  <c r="V76" i="16" a="1"/>
  <c r="V76" i="16" s="1"/>
  <c r="V75" i="16" a="1"/>
  <c r="V75" i="16" s="1"/>
  <c r="V74" i="16" a="1"/>
  <c r="V74" i="16" s="1"/>
  <c r="V73" i="16" a="1"/>
  <c r="V73" i="16" s="1"/>
  <c r="V72" i="16" a="1"/>
  <c r="V72" i="16" s="1"/>
  <c r="V71" i="16" a="1"/>
  <c r="V71" i="16" s="1"/>
  <c r="V70" i="16" a="1"/>
  <c r="V70" i="16" s="1"/>
  <c r="V51" i="16" a="1"/>
  <c r="V51" i="16" s="1"/>
  <c r="V49" i="16" a="1"/>
  <c r="V49" i="16" s="1"/>
  <c r="V46" i="16" a="1"/>
  <c r="V46" i="16" s="1"/>
  <c r="V45" i="16" a="1"/>
  <c r="V45" i="16" s="1"/>
  <c r="V44" i="16" a="1"/>
  <c r="V44" i="16" s="1"/>
  <c r="V43" i="16" a="1"/>
  <c r="V43" i="16" s="1"/>
  <c r="V42" i="16" a="1"/>
  <c r="V42" i="16" s="1"/>
  <c r="V41" i="16" a="1"/>
  <c r="V41" i="16" s="1"/>
  <c r="V40" i="16" a="1"/>
  <c r="V40" i="16" s="1"/>
  <c r="V39" i="16" a="1"/>
  <c r="V39" i="16" s="1"/>
  <c r="V38" i="16" a="1"/>
  <c r="V38" i="16" s="1"/>
  <c r="V37" i="16" a="1"/>
  <c r="V37" i="16" s="1"/>
  <c r="V36" i="16" a="1"/>
  <c r="V36" i="16" s="1"/>
  <c r="V35" i="16" a="1"/>
  <c r="V35" i="16" s="1"/>
  <c r="V34" i="16" a="1"/>
  <c r="V34" i="16" s="1"/>
  <c r="V33" i="16" a="1"/>
  <c r="V33" i="16" s="1"/>
  <c r="V32" i="16" a="1"/>
  <c r="V32" i="16" s="1"/>
  <c r="V31" i="16" a="1"/>
  <c r="V31" i="16" s="1"/>
  <c r="V30" i="16" a="1"/>
  <c r="V30" i="16" s="1"/>
  <c r="V29" i="16" a="1"/>
  <c r="V29" i="16" s="1"/>
  <c r="V28" i="16" a="1"/>
  <c r="V28" i="16" s="1"/>
  <c r="V27" i="16" a="1"/>
  <c r="V27" i="16" s="1"/>
  <c r="V26" i="16" a="1"/>
  <c r="V26" i="16" s="1"/>
  <c r="V25" i="16" a="1"/>
  <c r="V25" i="16" s="1"/>
  <c r="V24" i="16" a="1"/>
  <c r="V24" i="16" s="1"/>
  <c r="V23" i="16" a="1"/>
  <c r="V23" i="16" s="1"/>
  <c r="V22" i="16" a="1"/>
  <c r="V22" i="16" s="1"/>
  <c r="V21" i="16" a="1"/>
  <c r="V21" i="16" s="1"/>
  <c r="V20" i="16" a="1"/>
  <c r="V20" i="16" s="1"/>
  <c r="V19" i="16" a="1"/>
  <c r="V19" i="16" s="1"/>
  <c r="V18" i="16" a="1"/>
  <c r="V18" i="16" s="1"/>
  <c r="V17" i="16" a="1"/>
  <c r="V17" i="16" s="1"/>
  <c r="V16" i="16" a="1"/>
  <c r="V16" i="16" s="1"/>
  <c r="V15" i="16" a="1"/>
  <c r="V15" i="16" s="1"/>
  <c r="V14" i="16" a="1"/>
  <c r="V14" i="16" s="1"/>
  <c r="V13" i="16" a="1"/>
  <c r="V13" i="16" s="1"/>
  <c r="V12" i="16" a="1"/>
  <c r="V12" i="16" s="1"/>
  <c r="V11" i="16" a="1"/>
  <c r="V11" i="16" s="1"/>
  <c r="V10" i="16" a="1"/>
  <c r="V10" i="16" s="1"/>
  <c r="V9" i="16" a="1"/>
  <c r="V9" i="16" s="1"/>
  <c r="V8" i="16" a="1"/>
  <c r="V8" i="16" s="1"/>
  <c r="V7" i="16" a="1"/>
  <c r="V7" i="16" s="1"/>
  <c r="V6" i="16" a="1"/>
  <c r="V6" i="16" s="1"/>
  <c r="V15" i="3"/>
  <c r="AB95" i="17"/>
  <c r="Y95" i="17"/>
  <c r="Z95" i="17" s="1"/>
  <c r="U95" i="17"/>
  <c r="R95" i="17"/>
  <c r="S95" i="17" s="1"/>
  <c r="P95" i="17"/>
  <c r="AB94" i="17"/>
  <c r="Y94" i="17"/>
  <c r="Z94" i="17" s="1"/>
  <c r="U94" i="17"/>
  <c r="R94" i="17"/>
  <c r="S94" i="17" s="1"/>
  <c r="P94" i="17"/>
  <c r="AB93" i="17"/>
  <c r="Y93" i="17"/>
  <c r="Z93" i="17" s="1"/>
  <c r="U93" i="17"/>
  <c r="R93" i="17"/>
  <c r="S93" i="17" s="1"/>
  <c r="P93" i="17"/>
  <c r="AB92" i="17"/>
  <c r="Y92" i="17"/>
  <c r="Z92" i="17" s="1"/>
  <c r="U92" i="17"/>
  <c r="R92" i="17"/>
  <c r="S92" i="17" s="1"/>
  <c r="P92" i="17"/>
  <c r="AB91" i="17"/>
  <c r="Y91" i="17"/>
  <c r="Z91" i="17" s="1"/>
  <c r="U91" i="17"/>
  <c r="R91" i="17"/>
  <c r="S91" i="17" s="1"/>
  <c r="P91" i="17"/>
  <c r="AB90" i="17"/>
  <c r="Y90" i="17"/>
  <c r="Z90" i="17" s="1"/>
  <c r="U90" i="17"/>
  <c r="R90" i="17"/>
  <c r="S90" i="17" s="1"/>
  <c r="P90" i="17"/>
  <c r="AB89" i="17"/>
  <c r="Y89" i="17"/>
  <c r="Z89" i="17" s="1"/>
  <c r="U89" i="17"/>
  <c r="R89" i="17"/>
  <c r="S89" i="17" s="1"/>
  <c r="P89" i="17"/>
  <c r="AB88" i="17"/>
  <c r="Y88" i="17"/>
  <c r="Z88" i="17" s="1"/>
  <c r="U88" i="17"/>
  <c r="R88" i="17"/>
  <c r="S88" i="17" s="1"/>
  <c r="P88" i="17"/>
  <c r="AB87" i="17"/>
  <c r="Y87" i="17"/>
  <c r="Z87" i="17" s="1"/>
  <c r="U87" i="17"/>
  <c r="R87" i="17"/>
  <c r="S87" i="17" s="1"/>
  <c r="P87" i="17"/>
  <c r="AB86" i="17"/>
  <c r="Y86" i="17"/>
  <c r="Z86" i="17" s="1"/>
  <c r="U86" i="17"/>
  <c r="R86" i="17"/>
  <c r="S86" i="17" s="1"/>
  <c r="P86" i="17"/>
  <c r="AB85" i="17"/>
  <c r="Y85" i="17"/>
  <c r="Z85" i="17" s="1"/>
  <c r="U85" i="17"/>
  <c r="R85" i="17"/>
  <c r="S85" i="17" s="1"/>
  <c r="P85" i="17"/>
  <c r="AB84" i="17"/>
  <c r="Y84" i="17"/>
  <c r="Z84" i="17" s="1"/>
  <c r="U84" i="17"/>
  <c r="R84" i="17"/>
  <c r="S84" i="17" s="1"/>
  <c r="P84" i="17"/>
  <c r="AB83" i="17"/>
  <c r="Y83" i="17"/>
  <c r="Z83" i="17" s="1"/>
  <c r="U83" i="17"/>
  <c r="R83" i="17"/>
  <c r="S83" i="17" s="1"/>
  <c r="P83" i="17"/>
  <c r="AB82" i="17"/>
  <c r="Y82" i="17"/>
  <c r="Z82" i="17" s="1"/>
  <c r="U82" i="17"/>
  <c r="R82" i="17"/>
  <c r="S82" i="17" s="1"/>
  <c r="P82" i="17"/>
  <c r="AB81" i="17"/>
  <c r="Y81" i="17"/>
  <c r="Z81" i="17" s="1"/>
  <c r="U81" i="17"/>
  <c r="R81" i="17"/>
  <c r="S81" i="17" s="1"/>
  <c r="P81" i="17"/>
  <c r="AB80" i="17"/>
  <c r="Y80" i="17"/>
  <c r="Z80" i="17" s="1"/>
  <c r="U80" i="17"/>
  <c r="R80" i="17"/>
  <c r="S80" i="17" s="1"/>
  <c r="P80" i="17"/>
  <c r="AB79" i="17"/>
  <c r="Y79" i="17"/>
  <c r="Z79" i="17" s="1"/>
  <c r="U79" i="17"/>
  <c r="R79" i="17"/>
  <c r="S79" i="17" s="1"/>
  <c r="P79" i="17"/>
  <c r="AB78" i="17"/>
  <c r="Y78" i="17"/>
  <c r="Z78" i="17" s="1"/>
  <c r="U78" i="17"/>
  <c r="R78" i="17"/>
  <c r="S78" i="17" s="1"/>
  <c r="P78" i="17"/>
  <c r="AB77" i="17"/>
  <c r="Y77" i="17"/>
  <c r="Z77" i="17" s="1"/>
  <c r="U77" i="17"/>
  <c r="R77" i="17"/>
  <c r="S77" i="17" s="1"/>
  <c r="P77" i="17"/>
  <c r="AB76" i="17"/>
  <c r="Y76" i="17"/>
  <c r="Z76" i="17" s="1"/>
  <c r="U76" i="17"/>
  <c r="R76" i="17"/>
  <c r="S76" i="17" s="1"/>
  <c r="P76" i="17"/>
  <c r="AB75" i="17"/>
  <c r="Y75" i="17"/>
  <c r="Z75" i="17" s="1"/>
  <c r="U75" i="17"/>
  <c r="R75" i="17"/>
  <c r="S75" i="17" s="1"/>
  <c r="P75" i="17"/>
  <c r="AB74" i="17"/>
  <c r="Y74" i="17"/>
  <c r="Z74" i="17" s="1"/>
  <c r="U74" i="17"/>
  <c r="R74" i="17"/>
  <c r="S74" i="17" s="1"/>
  <c r="P74" i="17"/>
  <c r="AB73" i="17"/>
  <c r="Y73" i="17"/>
  <c r="Z73" i="17" s="1"/>
  <c r="U73" i="17"/>
  <c r="R73" i="17"/>
  <c r="S73" i="17" s="1"/>
  <c r="P73" i="17"/>
  <c r="AB72" i="17"/>
  <c r="Y72" i="17"/>
  <c r="Z72" i="17" s="1"/>
  <c r="U72" i="17"/>
  <c r="R72" i="17"/>
  <c r="S72" i="17" s="1"/>
  <c r="P72" i="17"/>
  <c r="AB71" i="17"/>
  <c r="Y71" i="17"/>
  <c r="Z71" i="17" s="1"/>
  <c r="U71" i="17"/>
  <c r="R71" i="17"/>
  <c r="S71" i="17" s="1"/>
  <c r="P71" i="17"/>
  <c r="AB70" i="17"/>
  <c r="Y70" i="17"/>
  <c r="Z70" i="17" s="1"/>
  <c r="U70" i="17"/>
  <c r="R70" i="17"/>
  <c r="S70" i="17" s="1"/>
  <c r="P70" i="17"/>
  <c r="AB69" i="17"/>
  <c r="Y69" i="17"/>
  <c r="Z69" i="17" s="1"/>
  <c r="U69" i="17"/>
  <c r="R69" i="17"/>
  <c r="S69" i="17" s="1"/>
  <c r="P69" i="17"/>
  <c r="AB68" i="17"/>
  <c r="Y68" i="17"/>
  <c r="Z68" i="17" s="1"/>
  <c r="U68" i="17"/>
  <c r="R68" i="17"/>
  <c r="S68" i="17" s="1"/>
  <c r="P68" i="17"/>
  <c r="AB67" i="17"/>
  <c r="Y67" i="17"/>
  <c r="Z67" i="17" s="1"/>
  <c r="U67" i="17"/>
  <c r="R67" i="17"/>
  <c r="S67" i="17" s="1"/>
  <c r="P67" i="17"/>
  <c r="AB66" i="17"/>
  <c r="Y66" i="17"/>
  <c r="Z66" i="17" s="1"/>
  <c r="U66" i="17"/>
  <c r="R66" i="17"/>
  <c r="S66" i="17" s="1"/>
  <c r="P66" i="17"/>
  <c r="AB65" i="17"/>
  <c r="Y65" i="17"/>
  <c r="Z65" i="17" s="1"/>
  <c r="U65" i="17"/>
  <c r="R65" i="17"/>
  <c r="S65" i="17" s="1"/>
  <c r="P65" i="17"/>
  <c r="AB64" i="17"/>
  <c r="Y64" i="17"/>
  <c r="Z64" i="17" s="1"/>
  <c r="U64" i="17"/>
  <c r="R64" i="17"/>
  <c r="S64" i="17" s="1"/>
  <c r="P64" i="17"/>
  <c r="AB63" i="17"/>
  <c r="Y63" i="17"/>
  <c r="Z63" i="17" s="1"/>
  <c r="U63" i="17"/>
  <c r="R63" i="17"/>
  <c r="S63" i="17" s="1"/>
  <c r="P63" i="17"/>
  <c r="AB62" i="17"/>
  <c r="Y62" i="17"/>
  <c r="Z62" i="17" s="1"/>
  <c r="U62" i="17"/>
  <c r="R62" i="17"/>
  <c r="S62" i="17" s="1"/>
  <c r="P62" i="17"/>
  <c r="AB61" i="17"/>
  <c r="Y61" i="17"/>
  <c r="Z61" i="17" s="1"/>
  <c r="U61" i="17"/>
  <c r="R61" i="17"/>
  <c r="S61" i="17" s="1"/>
  <c r="P61" i="17"/>
  <c r="AB60" i="17"/>
  <c r="Y60" i="17"/>
  <c r="Z60" i="17" s="1"/>
  <c r="U60" i="17"/>
  <c r="R60" i="17"/>
  <c r="S60" i="17" s="1"/>
  <c r="P60" i="17"/>
  <c r="AB59" i="17"/>
  <c r="Y59" i="17"/>
  <c r="Z59" i="17" s="1"/>
  <c r="U59" i="17"/>
  <c r="R59" i="17"/>
  <c r="S59" i="17" s="1"/>
  <c r="P59" i="17"/>
  <c r="AB58" i="17"/>
  <c r="Y58" i="17"/>
  <c r="Z58" i="17" s="1"/>
  <c r="U58" i="17"/>
  <c r="R58" i="17"/>
  <c r="S58" i="17" s="1"/>
  <c r="P58" i="17"/>
  <c r="AB57" i="17"/>
  <c r="Y57" i="17"/>
  <c r="Z57" i="17" s="1"/>
  <c r="U57" i="17"/>
  <c r="R57" i="17"/>
  <c r="S57" i="17" s="1"/>
  <c r="P57" i="17"/>
  <c r="AB56" i="17"/>
  <c r="Y56" i="17"/>
  <c r="Z56" i="17" s="1"/>
  <c r="U56" i="17"/>
  <c r="R56" i="17"/>
  <c r="S56" i="17" s="1"/>
  <c r="P56" i="17"/>
  <c r="AB55" i="17"/>
  <c r="Y55" i="17"/>
  <c r="Z55" i="17" s="1"/>
  <c r="U55" i="17"/>
  <c r="R55" i="17"/>
  <c r="S55" i="17" s="1"/>
  <c r="P55" i="17"/>
  <c r="AB54" i="17"/>
  <c r="Y54" i="17"/>
  <c r="Z54" i="17" s="1"/>
  <c r="U54" i="17"/>
  <c r="R54" i="17"/>
  <c r="S54" i="17" s="1"/>
  <c r="P54" i="17"/>
  <c r="AB53" i="17"/>
  <c r="Y53" i="17"/>
  <c r="Z53" i="17" s="1"/>
  <c r="U53" i="17"/>
  <c r="R53" i="17"/>
  <c r="S53" i="17" s="1"/>
  <c r="P53" i="17"/>
  <c r="AB52" i="17"/>
  <c r="Y52" i="17"/>
  <c r="Z52" i="17" s="1"/>
  <c r="U52" i="17"/>
  <c r="R52" i="17"/>
  <c r="S52" i="17" s="1"/>
  <c r="P52" i="17"/>
  <c r="AB51" i="17"/>
  <c r="Y51" i="17"/>
  <c r="Z51" i="17" s="1"/>
  <c r="U51" i="17"/>
  <c r="R51" i="17"/>
  <c r="S51" i="17" s="1"/>
  <c r="P51" i="17"/>
  <c r="AB50" i="17"/>
  <c r="Y50" i="17"/>
  <c r="Z50" i="17" s="1"/>
  <c r="U50" i="17"/>
  <c r="R50" i="17"/>
  <c r="S50" i="17" s="1"/>
  <c r="P50" i="17"/>
  <c r="AB49" i="17"/>
  <c r="Y49" i="17"/>
  <c r="Z49" i="17" s="1"/>
  <c r="U49" i="17"/>
  <c r="R49" i="17"/>
  <c r="S49" i="17" s="1"/>
  <c r="P49" i="17"/>
  <c r="AB48" i="17"/>
  <c r="Y48" i="17"/>
  <c r="Z48" i="17" s="1"/>
  <c r="U48" i="17"/>
  <c r="R48" i="17"/>
  <c r="S48" i="17" s="1"/>
  <c r="P48" i="17"/>
  <c r="AB47" i="17"/>
  <c r="Y47" i="17"/>
  <c r="Z47" i="17" s="1"/>
  <c r="U47" i="17"/>
  <c r="R47" i="17"/>
  <c r="S47" i="17" s="1"/>
  <c r="P47" i="17"/>
  <c r="AB46" i="17"/>
  <c r="Y46" i="17"/>
  <c r="Z46" i="17" s="1"/>
  <c r="U46" i="17"/>
  <c r="R46" i="17"/>
  <c r="S46" i="17" s="1"/>
  <c r="P46" i="17"/>
  <c r="AB45" i="17"/>
  <c r="Y45" i="17"/>
  <c r="Z45" i="17" s="1"/>
  <c r="U45" i="17"/>
  <c r="R45" i="17"/>
  <c r="S45" i="17" s="1"/>
  <c r="P45" i="17"/>
  <c r="AB44" i="17"/>
  <c r="Y44" i="17"/>
  <c r="Z44" i="17" s="1"/>
  <c r="U44" i="17"/>
  <c r="R44" i="17"/>
  <c r="S44" i="17" s="1"/>
  <c r="P44" i="17"/>
  <c r="AB43" i="17"/>
  <c r="Y43" i="17"/>
  <c r="Z43" i="17" s="1"/>
  <c r="U43" i="17"/>
  <c r="R43" i="17"/>
  <c r="S43" i="17" s="1"/>
  <c r="P43" i="17"/>
  <c r="AB42" i="17"/>
  <c r="Y42" i="17"/>
  <c r="Z42" i="17" s="1"/>
  <c r="U42" i="17"/>
  <c r="R42" i="17"/>
  <c r="S42" i="17" s="1"/>
  <c r="P42" i="17"/>
  <c r="AB41" i="17"/>
  <c r="Y41" i="17"/>
  <c r="Z41" i="17" s="1"/>
  <c r="U41" i="17"/>
  <c r="R41" i="17"/>
  <c r="S41" i="17" s="1"/>
  <c r="P41" i="17"/>
  <c r="AB40" i="17"/>
  <c r="Y40" i="17"/>
  <c r="Z40" i="17" s="1"/>
  <c r="U40" i="17"/>
  <c r="R40" i="17"/>
  <c r="S40" i="17" s="1"/>
  <c r="P40" i="17"/>
  <c r="AB39" i="17"/>
  <c r="Y39" i="17"/>
  <c r="Z39" i="17" s="1"/>
  <c r="U39" i="17"/>
  <c r="R39" i="17"/>
  <c r="S39" i="17" s="1"/>
  <c r="P39" i="17"/>
  <c r="AB38" i="17"/>
  <c r="Y38" i="17"/>
  <c r="Z38" i="17" s="1"/>
  <c r="U38" i="17"/>
  <c r="R38" i="17"/>
  <c r="S38" i="17" s="1"/>
  <c r="P38" i="17"/>
  <c r="AB37" i="17"/>
  <c r="Y37" i="17"/>
  <c r="Z37" i="17" s="1"/>
  <c r="U37" i="17"/>
  <c r="R37" i="17"/>
  <c r="S37" i="17" s="1"/>
  <c r="P37" i="17"/>
  <c r="AB36" i="17"/>
  <c r="Y36" i="17"/>
  <c r="Z36" i="17" s="1"/>
  <c r="U36" i="17"/>
  <c r="R36" i="17"/>
  <c r="S36" i="17" s="1"/>
  <c r="P36" i="17"/>
  <c r="AB35" i="17"/>
  <c r="Y35" i="17"/>
  <c r="Z35" i="17" s="1"/>
  <c r="U35" i="17"/>
  <c r="R35" i="17"/>
  <c r="S35" i="17" s="1"/>
  <c r="P35" i="17"/>
  <c r="AB34" i="17"/>
  <c r="Y34" i="17"/>
  <c r="Z34" i="17" s="1"/>
  <c r="U34" i="17"/>
  <c r="R34" i="17"/>
  <c r="S34" i="17" s="1"/>
  <c r="P34" i="17"/>
  <c r="AB33" i="17"/>
  <c r="Y33" i="17"/>
  <c r="Z33" i="17" s="1"/>
  <c r="U33" i="17"/>
  <c r="R33" i="17"/>
  <c r="S33" i="17" s="1"/>
  <c r="P33" i="17"/>
  <c r="AB32" i="17"/>
  <c r="Y32" i="17"/>
  <c r="Z32" i="17" s="1"/>
  <c r="U32" i="17"/>
  <c r="R32" i="17"/>
  <c r="S32" i="17" s="1"/>
  <c r="P32" i="17"/>
  <c r="AB31" i="17"/>
  <c r="Y31" i="17"/>
  <c r="Z31" i="17" s="1"/>
  <c r="U31" i="17"/>
  <c r="R31" i="17"/>
  <c r="S31" i="17" s="1"/>
  <c r="P31" i="17"/>
  <c r="AB30" i="17"/>
  <c r="Y30" i="17"/>
  <c r="Z30" i="17" s="1"/>
  <c r="U30" i="17"/>
  <c r="R30" i="17"/>
  <c r="S30" i="17" s="1"/>
  <c r="P30" i="17"/>
  <c r="AB29" i="17"/>
  <c r="Y29" i="17"/>
  <c r="Z29" i="17" s="1"/>
  <c r="U29" i="17"/>
  <c r="R29" i="17"/>
  <c r="S29" i="17" s="1"/>
  <c r="P29" i="17"/>
  <c r="AB28" i="17"/>
  <c r="Y28" i="17"/>
  <c r="Z28" i="17" s="1"/>
  <c r="U28" i="17"/>
  <c r="R28" i="17"/>
  <c r="S28" i="17" s="1"/>
  <c r="P28" i="17"/>
  <c r="AB27" i="17"/>
  <c r="Y27" i="17"/>
  <c r="Z27" i="17" s="1"/>
  <c r="U27" i="17"/>
  <c r="R27" i="17"/>
  <c r="S27" i="17" s="1"/>
  <c r="P27" i="17"/>
  <c r="AB26" i="17"/>
  <c r="Y26" i="17"/>
  <c r="Z26" i="17" s="1"/>
  <c r="U26" i="17"/>
  <c r="R26" i="17"/>
  <c r="S26" i="17" s="1"/>
  <c r="P26" i="17"/>
  <c r="AB25" i="17"/>
  <c r="Y25" i="17"/>
  <c r="Z25" i="17" s="1"/>
  <c r="U25" i="17"/>
  <c r="R25" i="17"/>
  <c r="S25" i="17" s="1"/>
  <c r="P25" i="17"/>
  <c r="AB24" i="17"/>
  <c r="Y24" i="17"/>
  <c r="Z24" i="17" s="1"/>
  <c r="U24" i="17"/>
  <c r="R24" i="17"/>
  <c r="S24" i="17" s="1"/>
  <c r="P24" i="17"/>
  <c r="AB23" i="17"/>
  <c r="Y23" i="17"/>
  <c r="Z23" i="17" s="1"/>
  <c r="U23" i="17"/>
  <c r="R23" i="17"/>
  <c r="S23" i="17" s="1"/>
  <c r="P23" i="17"/>
  <c r="AB22" i="17"/>
  <c r="Y22" i="17"/>
  <c r="Z22" i="17" s="1"/>
  <c r="U22" i="17"/>
  <c r="R22" i="17"/>
  <c r="S22" i="17" s="1"/>
  <c r="P22" i="17"/>
  <c r="AB21" i="17"/>
  <c r="Y21" i="17"/>
  <c r="Z21" i="17" s="1"/>
  <c r="U21" i="17"/>
  <c r="R21" i="17"/>
  <c r="S21" i="17" s="1"/>
  <c r="P21" i="17"/>
  <c r="AB20" i="17"/>
  <c r="Y20" i="17"/>
  <c r="Z20" i="17" s="1"/>
  <c r="U20" i="17"/>
  <c r="R20" i="17"/>
  <c r="S20" i="17" s="1"/>
  <c r="P20" i="17"/>
  <c r="AB19" i="17"/>
  <c r="Y19" i="17"/>
  <c r="Z19" i="17" s="1"/>
  <c r="U19" i="17"/>
  <c r="R19" i="17"/>
  <c r="S19" i="17" s="1"/>
  <c r="P19" i="17"/>
  <c r="AB18" i="17"/>
  <c r="Y18" i="17"/>
  <c r="Z18" i="17" s="1"/>
  <c r="U18" i="17"/>
  <c r="R18" i="17"/>
  <c r="S18" i="17" s="1"/>
  <c r="P18" i="17"/>
  <c r="AB17" i="17"/>
  <c r="Y17" i="17"/>
  <c r="Z17" i="17" s="1"/>
  <c r="U17" i="17"/>
  <c r="R17" i="17"/>
  <c r="S17" i="17" s="1"/>
  <c r="P17" i="17"/>
  <c r="AB16" i="17"/>
  <c r="Y16" i="17"/>
  <c r="Z16" i="17" s="1"/>
  <c r="U16" i="17"/>
  <c r="R16" i="17"/>
  <c r="S16" i="17" s="1"/>
  <c r="P16" i="17"/>
  <c r="AB15" i="17"/>
  <c r="Y15" i="17"/>
  <c r="Z15" i="17" s="1"/>
  <c r="U15" i="17"/>
  <c r="R15" i="17"/>
  <c r="S15" i="17" s="1"/>
  <c r="P15" i="17"/>
  <c r="AB14" i="17"/>
  <c r="Y14" i="17"/>
  <c r="Z14" i="17" s="1"/>
  <c r="U14" i="17"/>
  <c r="R14" i="17"/>
  <c r="S14" i="17" s="1"/>
  <c r="P14" i="17"/>
  <c r="AB13" i="17"/>
  <c r="Y13" i="17"/>
  <c r="Z13" i="17" s="1"/>
  <c r="U13" i="17"/>
  <c r="R13" i="17"/>
  <c r="S13" i="17" s="1"/>
  <c r="P13" i="17"/>
  <c r="AB12" i="17"/>
  <c r="Y12" i="17"/>
  <c r="Z12" i="17" s="1"/>
  <c r="U12" i="17"/>
  <c r="R12" i="17"/>
  <c r="S12" i="17" s="1"/>
  <c r="P12" i="17"/>
  <c r="AB11" i="17"/>
  <c r="Y11" i="17"/>
  <c r="Z11" i="17" s="1"/>
  <c r="U11" i="17"/>
  <c r="R11" i="17"/>
  <c r="S11" i="17" s="1"/>
  <c r="P11" i="17"/>
  <c r="AB10" i="17"/>
  <c r="Y10" i="17"/>
  <c r="Z10" i="17" s="1"/>
  <c r="U10" i="17"/>
  <c r="R10" i="17"/>
  <c r="S10" i="17" s="1"/>
  <c r="P10" i="17"/>
  <c r="AB9" i="17"/>
  <c r="Y9" i="17"/>
  <c r="Z9" i="17" s="1"/>
  <c r="U9" i="17"/>
  <c r="R9" i="17"/>
  <c r="S9" i="17" s="1"/>
  <c r="P9" i="17"/>
  <c r="AB8" i="17"/>
  <c r="Y8" i="17"/>
  <c r="Z8" i="17" s="1"/>
  <c r="U8" i="17"/>
  <c r="R8" i="17"/>
  <c r="S8" i="17" s="1"/>
  <c r="P8" i="17"/>
  <c r="AB7" i="17"/>
  <c r="Y7" i="17"/>
  <c r="Z7" i="17" s="1"/>
  <c r="U7" i="17"/>
  <c r="R7" i="17"/>
  <c r="S7" i="17" s="1"/>
  <c r="P7" i="17"/>
  <c r="AB6" i="17"/>
  <c r="Y6" i="17"/>
  <c r="Z6" i="17" s="1"/>
  <c r="U6" i="17"/>
  <c r="R6" i="17"/>
  <c r="S6" i="17" s="1"/>
  <c r="P6" i="17"/>
  <c r="AB159" i="38" l="1"/>
  <c r="Y159" i="38"/>
  <c r="Z159" i="38" s="1" a="1"/>
  <c r="Z159" i="38" s="1"/>
  <c r="U159" i="38"/>
  <c r="R159" i="38"/>
  <c r="S159" i="38" s="1" a="1"/>
  <c r="S159" i="38" s="1"/>
  <c r="P159" i="38" a="1"/>
  <c r="P159" i="38" s="1"/>
  <c r="AB158" i="38"/>
  <c r="Y158" i="38"/>
  <c r="Z158" i="38" s="1" a="1"/>
  <c r="Z158" i="38" s="1"/>
  <c r="U158" i="38"/>
  <c r="R158" i="38"/>
  <c r="S158" i="38" s="1" a="1"/>
  <c r="S158" i="38" s="1"/>
  <c r="P158" i="38" a="1"/>
  <c r="P158" i="38" s="1"/>
  <c r="AB157" i="38"/>
  <c r="Y157" i="38"/>
  <c r="Z157" i="38" s="1" a="1"/>
  <c r="Z157" i="38" s="1"/>
  <c r="U157" i="38"/>
  <c r="R157" i="38"/>
  <c r="S157" i="38" s="1" a="1"/>
  <c r="S157" i="38" s="1"/>
  <c r="P157" i="38" a="1"/>
  <c r="P157" i="38" s="1"/>
  <c r="AB156" i="38"/>
  <c r="Y156" i="38"/>
  <c r="Z156" i="38" s="1" a="1"/>
  <c r="Z156" i="38" s="1"/>
  <c r="U156" i="38"/>
  <c r="R156" i="38"/>
  <c r="S156" i="38" s="1" a="1"/>
  <c r="S156" i="38" s="1"/>
  <c r="P156" i="38" a="1"/>
  <c r="P156" i="38" s="1"/>
  <c r="AB155" i="38"/>
  <c r="Y155" i="38"/>
  <c r="Z155" i="38" s="1" a="1"/>
  <c r="Z155" i="38" s="1"/>
  <c r="U155" i="38"/>
  <c r="R155" i="38"/>
  <c r="S155" i="38" s="1" a="1"/>
  <c r="S155" i="38" s="1"/>
  <c r="P155" i="38" a="1"/>
  <c r="P155" i="38" s="1"/>
  <c r="AB154" i="38"/>
  <c r="Y154" i="38"/>
  <c r="Z154" i="38" s="1" a="1"/>
  <c r="Z154" i="38" s="1"/>
  <c r="U154" i="38"/>
  <c r="R154" i="38"/>
  <c r="S154" i="38" s="1" a="1"/>
  <c r="S154" i="38" s="1"/>
  <c r="P154" i="38" a="1"/>
  <c r="P154" i="38" s="1"/>
  <c r="AB153" i="38"/>
  <c r="Y153" i="38"/>
  <c r="Z153" i="38" s="1" a="1"/>
  <c r="Z153" i="38" s="1"/>
  <c r="U153" i="38"/>
  <c r="R153" i="38"/>
  <c r="S153" i="38" s="1" a="1"/>
  <c r="S153" i="38" s="1"/>
  <c r="P153" i="38" a="1"/>
  <c r="P153" i="38" s="1"/>
  <c r="AB152" i="38"/>
  <c r="Y152" i="38"/>
  <c r="Z152" i="38" s="1" a="1"/>
  <c r="Z152" i="38" s="1"/>
  <c r="U152" i="38"/>
  <c r="R152" i="38"/>
  <c r="S152" i="38" s="1" a="1"/>
  <c r="S152" i="38" s="1"/>
  <c r="P152" i="38" a="1"/>
  <c r="P152" i="38" s="1"/>
  <c r="AB151" i="38"/>
  <c r="Y151" i="38"/>
  <c r="Z151" i="38" s="1" a="1"/>
  <c r="Z151" i="38" s="1"/>
  <c r="U151" i="38"/>
  <c r="R151" i="38"/>
  <c r="S151" i="38" s="1" a="1"/>
  <c r="S151" i="38" s="1"/>
  <c r="P151" i="38" a="1"/>
  <c r="P151" i="38" s="1"/>
  <c r="AB150" i="38"/>
  <c r="Y150" i="38"/>
  <c r="Z150" i="38" s="1" a="1"/>
  <c r="Z150" i="38" s="1"/>
  <c r="U150" i="38"/>
  <c r="R150" i="38"/>
  <c r="S150" i="38" s="1" a="1"/>
  <c r="S150" i="38" s="1"/>
  <c r="P150" i="38" a="1"/>
  <c r="P150" i="38" s="1"/>
  <c r="AB149" i="38"/>
  <c r="Y149" i="38"/>
  <c r="Z149" i="38" s="1" a="1"/>
  <c r="Z149" i="38" s="1"/>
  <c r="U149" i="38"/>
  <c r="R149" i="38"/>
  <c r="S149" i="38" s="1" a="1"/>
  <c r="S149" i="38" s="1"/>
  <c r="P149" i="38" a="1"/>
  <c r="P149" i="38" s="1"/>
  <c r="AB148" i="38"/>
  <c r="Y148" i="38"/>
  <c r="Z148" i="38" s="1" a="1"/>
  <c r="Z148" i="38" s="1"/>
  <c r="U148" i="38"/>
  <c r="R148" i="38"/>
  <c r="S148" i="38" s="1" a="1"/>
  <c r="S148" i="38" s="1"/>
  <c r="P148" i="38" a="1"/>
  <c r="P148" i="38" s="1"/>
  <c r="AB147" i="38"/>
  <c r="Y147" i="38"/>
  <c r="Z147" i="38" s="1" a="1"/>
  <c r="Z147" i="38" s="1"/>
  <c r="U147" i="38"/>
  <c r="R147" i="38"/>
  <c r="S147" i="38" s="1" a="1"/>
  <c r="S147" i="38" s="1"/>
  <c r="P147" i="38" a="1"/>
  <c r="P147" i="38" s="1"/>
  <c r="AB146" i="38"/>
  <c r="Y146" i="38"/>
  <c r="Z146" i="38" s="1" a="1"/>
  <c r="Z146" i="38" s="1"/>
  <c r="U146" i="38"/>
  <c r="R146" i="38"/>
  <c r="S146" i="38" s="1" a="1"/>
  <c r="S146" i="38" s="1"/>
  <c r="P146" i="38" a="1"/>
  <c r="P146" i="38" s="1"/>
  <c r="AB145" i="38"/>
  <c r="Y145" i="38"/>
  <c r="Z145" i="38" s="1" a="1"/>
  <c r="Z145" i="38" s="1"/>
  <c r="U145" i="38"/>
  <c r="R145" i="38"/>
  <c r="S145" i="38" s="1" a="1"/>
  <c r="S145" i="38" s="1"/>
  <c r="P145" i="38" a="1"/>
  <c r="P145" i="38" s="1"/>
  <c r="AB144" i="38"/>
  <c r="Y144" i="38"/>
  <c r="Z144" i="38" s="1" a="1"/>
  <c r="Z144" i="38" s="1"/>
  <c r="U144" i="38"/>
  <c r="R144" i="38"/>
  <c r="S144" i="38" s="1" a="1"/>
  <c r="S144" i="38" s="1"/>
  <c r="P144" i="38" a="1"/>
  <c r="P144" i="38" s="1"/>
  <c r="AB143" i="38"/>
  <c r="Y143" i="38"/>
  <c r="Z143" i="38" s="1" a="1"/>
  <c r="Z143" i="38" s="1"/>
  <c r="U143" i="38"/>
  <c r="R143" i="38"/>
  <c r="S143" i="38" s="1" a="1"/>
  <c r="S143" i="38" s="1"/>
  <c r="P143" i="38" a="1"/>
  <c r="P143" i="38" s="1"/>
  <c r="AB142" i="38"/>
  <c r="Y142" i="38"/>
  <c r="Z142" i="38" s="1" a="1"/>
  <c r="Z142" i="38" s="1"/>
  <c r="U142" i="38"/>
  <c r="R142" i="38"/>
  <c r="S142" i="38" s="1" a="1"/>
  <c r="S142" i="38" s="1"/>
  <c r="P142" i="38" a="1"/>
  <c r="P142" i="38" s="1"/>
  <c r="AB141" i="38"/>
  <c r="Y141" i="38"/>
  <c r="Z141" i="38" s="1" a="1"/>
  <c r="Z141" i="38" s="1"/>
  <c r="U141" i="38"/>
  <c r="R141" i="38"/>
  <c r="S141" i="38" s="1" a="1"/>
  <c r="S141" i="38" s="1"/>
  <c r="P141" i="38" a="1"/>
  <c r="P141" i="38" s="1"/>
  <c r="AB140" i="38"/>
  <c r="Y140" i="38"/>
  <c r="Z140" i="38" s="1" a="1"/>
  <c r="Z140" i="38" s="1"/>
  <c r="U140" i="38"/>
  <c r="R140" i="38"/>
  <c r="S140" i="38" s="1" a="1"/>
  <c r="S140" i="38" s="1"/>
  <c r="P140" i="38" a="1"/>
  <c r="P140" i="38" s="1"/>
  <c r="AB139" i="38"/>
  <c r="Y139" i="38"/>
  <c r="Z139" i="38" s="1" a="1"/>
  <c r="Z139" i="38" s="1"/>
  <c r="U139" i="38"/>
  <c r="R139" i="38"/>
  <c r="S139" i="38" s="1" a="1"/>
  <c r="S139" i="38" s="1"/>
  <c r="P139" i="38" a="1"/>
  <c r="P139" i="38" s="1"/>
  <c r="AB138" i="38"/>
  <c r="Y138" i="38"/>
  <c r="Z138" i="38" s="1" a="1"/>
  <c r="Z138" i="38" s="1"/>
  <c r="U138" i="38"/>
  <c r="R138" i="38"/>
  <c r="S138" i="38" s="1" a="1"/>
  <c r="S138" i="38" s="1"/>
  <c r="P138" i="38" a="1"/>
  <c r="P138" i="38" s="1"/>
  <c r="AB137" i="38"/>
  <c r="Y137" i="38"/>
  <c r="Z137" i="38" s="1" a="1"/>
  <c r="Z137" i="38" s="1"/>
  <c r="U137" i="38"/>
  <c r="R137" i="38"/>
  <c r="S137" i="38" s="1" a="1"/>
  <c r="S137" i="38" s="1"/>
  <c r="P137" i="38" a="1"/>
  <c r="P137" i="38" s="1"/>
  <c r="AB136" i="38"/>
  <c r="Y136" i="38"/>
  <c r="Z136" i="38" s="1" a="1"/>
  <c r="Z136" i="38" s="1"/>
  <c r="U136" i="38"/>
  <c r="R136" i="38"/>
  <c r="S136" i="38" s="1" a="1"/>
  <c r="S136" i="38" s="1"/>
  <c r="P136" i="38" a="1"/>
  <c r="P136" i="38" s="1"/>
  <c r="AB135" i="38"/>
  <c r="Y135" i="38"/>
  <c r="Z135" i="38" s="1" a="1"/>
  <c r="Z135" i="38" s="1"/>
  <c r="U135" i="38"/>
  <c r="R135" i="38"/>
  <c r="S135" i="38" s="1" a="1"/>
  <c r="S135" i="38" s="1"/>
  <c r="P135" i="38" a="1"/>
  <c r="P135" i="38" s="1"/>
  <c r="AB134" i="38"/>
  <c r="Y134" i="38"/>
  <c r="Z134" i="38" s="1" a="1"/>
  <c r="Z134" i="38" s="1"/>
  <c r="U134" i="38"/>
  <c r="R134" i="38"/>
  <c r="S134" i="38" s="1" a="1"/>
  <c r="S134" i="38" s="1"/>
  <c r="P134" i="38" a="1"/>
  <c r="P134" i="38" s="1"/>
  <c r="AB133" i="38"/>
  <c r="Y133" i="38"/>
  <c r="Z133" i="38" s="1" a="1"/>
  <c r="Z133" i="38" s="1"/>
  <c r="U133" i="38"/>
  <c r="R133" i="38"/>
  <c r="S133" i="38" s="1" a="1"/>
  <c r="S133" i="38" s="1"/>
  <c r="P133" i="38" a="1"/>
  <c r="P133" i="38" s="1"/>
  <c r="AB132" i="38"/>
  <c r="Y132" i="38"/>
  <c r="Z132" i="38" s="1" a="1"/>
  <c r="Z132" i="38" s="1"/>
  <c r="U132" i="38"/>
  <c r="R132" i="38"/>
  <c r="S132" i="38" s="1" a="1"/>
  <c r="S132" i="38" s="1"/>
  <c r="P132" i="38" a="1"/>
  <c r="P132" i="38" s="1"/>
  <c r="AB131" i="38"/>
  <c r="Y131" i="38"/>
  <c r="Z131" i="38" s="1" a="1"/>
  <c r="Z131" i="38" s="1"/>
  <c r="U131" i="38"/>
  <c r="R131" i="38"/>
  <c r="S131" i="38" s="1" a="1"/>
  <c r="S131" i="38" s="1"/>
  <c r="P131" i="38" a="1"/>
  <c r="P131" i="38" s="1"/>
  <c r="AB130" i="38"/>
  <c r="Y130" i="38"/>
  <c r="Z130" i="38" s="1" a="1"/>
  <c r="Z130" i="38" s="1"/>
  <c r="U130" i="38"/>
  <c r="R130" i="38"/>
  <c r="S130" i="38" s="1" a="1"/>
  <c r="S130" i="38" s="1"/>
  <c r="P130" i="38" a="1"/>
  <c r="P130" i="38" s="1"/>
  <c r="AB129" i="38"/>
  <c r="Y129" i="38"/>
  <c r="Z129" i="38" s="1" a="1"/>
  <c r="Z129" i="38" s="1"/>
  <c r="U129" i="38"/>
  <c r="R129" i="38"/>
  <c r="S129" i="38" s="1" a="1"/>
  <c r="S129" i="38" s="1"/>
  <c r="P129" i="38" a="1"/>
  <c r="P129" i="38" s="1"/>
  <c r="AB128" i="38"/>
  <c r="Y128" i="38"/>
  <c r="Z128" i="38" s="1" a="1"/>
  <c r="Z128" i="38" s="1"/>
  <c r="U128" i="38"/>
  <c r="R128" i="38"/>
  <c r="S128" i="38" s="1" a="1"/>
  <c r="S128" i="38" s="1"/>
  <c r="P128" i="38" a="1"/>
  <c r="P128" i="38" s="1"/>
  <c r="AB127" i="38"/>
  <c r="Y127" i="38"/>
  <c r="Z127" i="38" s="1" a="1"/>
  <c r="Z127" i="38" s="1"/>
  <c r="U127" i="38"/>
  <c r="R127" i="38"/>
  <c r="S127" i="38" s="1" a="1"/>
  <c r="S127" i="38" s="1"/>
  <c r="P127" i="38" a="1"/>
  <c r="P127" i="38" s="1"/>
  <c r="AB126" i="38"/>
  <c r="Y126" i="38"/>
  <c r="Z126" i="38" s="1" a="1"/>
  <c r="Z126" i="38" s="1"/>
  <c r="U126" i="38"/>
  <c r="R126" i="38"/>
  <c r="S126" i="38" s="1" a="1"/>
  <c r="S126" i="38" s="1"/>
  <c r="P126" i="38" a="1"/>
  <c r="P126" i="38" s="1"/>
  <c r="AB125" i="38"/>
  <c r="Y125" i="38"/>
  <c r="Z125" i="38" s="1" a="1"/>
  <c r="Z125" i="38" s="1"/>
  <c r="U125" i="38"/>
  <c r="R125" i="38"/>
  <c r="S125" i="38" s="1" a="1"/>
  <c r="S125" i="38" s="1"/>
  <c r="P125" i="38" a="1"/>
  <c r="P125" i="38" s="1"/>
  <c r="AB124" i="38"/>
  <c r="Y124" i="38"/>
  <c r="Z124" i="38" s="1" a="1"/>
  <c r="Z124" i="38" s="1"/>
  <c r="U124" i="38"/>
  <c r="R124" i="38"/>
  <c r="S124" i="38" s="1" a="1"/>
  <c r="S124" i="38" s="1"/>
  <c r="P124" i="38" a="1"/>
  <c r="P124" i="38" s="1"/>
  <c r="AB123" i="38"/>
  <c r="Y123" i="38"/>
  <c r="Z123" i="38" s="1" a="1"/>
  <c r="Z123" i="38" s="1"/>
  <c r="U123" i="38"/>
  <c r="R123" i="38"/>
  <c r="S123" i="38" s="1" a="1"/>
  <c r="S123" i="38" s="1"/>
  <c r="P123" i="38" a="1"/>
  <c r="P123" i="38" s="1"/>
  <c r="AB122" i="38"/>
  <c r="Y122" i="38"/>
  <c r="Z122" i="38" s="1" a="1"/>
  <c r="Z122" i="38" s="1"/>
  <c r="U122" i="38"/>
  <c r="R122" i="38"/>
  <c r="S122" i="38" s="1" a="1"/>
  <c r="S122" i="38" s="1"/>
  <c r="P122" i="38" a="1"/>
  <c r="P122" i="38" s="1"/>
  <c r="AB121" i="38"/>
  <c r="Y121" i="38"/>
  <c r="Z121" i="38" s="1" a="1"/>
  <c r="Z121" i="38" s="1"/>
  <c r="U121" i="38"/>
  <c r="R121" i="38"/>
  <c r="S121" i="38" s="1" a="1"/>
  <c r="S121" i="38" s="1"/>
  <c r="P121" i="38" a="1"/>
  <c r="P121" i="38" s="1"/>
  <c r="AB120" i="38"/>
  <c r="Y120" i="38"/>
  <c r="Z120" i="38" s="1" a="1"/>
  <c r="Z120" i="38" s="1"/>
  <c r="U120" i="38"/>
  <c r="R120" i="38"/>
  <c r="S120" i="38" s="1" a="1"/>
  <c r="S120" i="38" s="1"/>
  <c r="P120" i="38" a="1"/>
  <c r="P120" i="38" s="1"/>
  <c r="AB119" i="38"/>
  <c r="Y119" i="38"/>
  <c r="Z119" i="38" s="1" a="1"/>
  <c r="Z119" i="38" s="1"/>
  <c r="U119" i="38"/>
  <c r="R119" i="38"/>
  <c r="S119" i="38" s="1" a="1"/>
  <c r="S119" i="38" s="1"/>
  <c r="P119" i="38" a="1"/>
  <c r="P119" i="38" s="1"/>
  <c r="AB118" i="38"/>
  <c r="Y118" i="38"/>
  <c r="Z118" i="38" s="1" a="1"/>
  <c r="Z118" i="38" s="1"/>
  <c r="U118" i="38"/>
  <c r="R118" i="38"/>
  <c r="S118" i="38" s="1" a="1"/>
  <c r="S118" i="38" s="1"/>
  <c r="P118" i="38" a="1"/>
  <c r="P118" i="38" s="1"/>
  <c r="AB117" i="38"/>
  <c r="Y117" i="38"/>
  <c r="Z117" i="38" s="1" a="1"/>
  <c r="Z117" i="38" s="1"/>
  <c r="U117" i="38"/>
  <c r="R117" i="38"/>
  <c r="S117" i="38" s="1" a="1"/>
  <c r="S117" i="38" s="1"/>
  <c r="P117" i="38" a="1"/>
  <c r="P117" i="38" s="1"/>
  <c r="AB116" i="38"/>
  <c r="Y116" i="38"/>
  <c r="Z116" i="38" s="1" a="1"/>
  <c r="Z116" i="38" s="1"/>
  <c r="U116" i="38"/>
  <c r="R116" i="38"/>
  <c r="S116" i="38" s="1" a="1"/>
  <c r="S116" i="38" s="1"/>
  <c r="P116" i="38" a="1"/>
  <c r="P116" i="38" s="1"/>
  <c r="AB115" i="38"/>
  <c r="Y115" i="38"/>
  <c r="Z115" i="38" s="1" a="1"/>
  <c r="Z115" i="38" s="1"/>
  <c r="U115" i="38"/>
  <c r="R115" i="38"/>
  <c r="S115" i="38" s="1" a="1"/>
  <c r="S115" i="38" s="1"/>
  <c r="P115" i="38" a="1"/>
  <c r="P115" i="38" s="1"/>
  <c r="AB114" i="38"/>
  <c r="Y114" i="38"/>
  <c r="Z114" i="38" s="1" a="1"/>
  <c r="Z114" i="38" s="1"/>
  <c r="U114" i="38"/>
  <c r="R114" i="38"/>
  <c r="S114" i="38" s="1" a="1"/>
  <c r="S114" i="38" s="1"/>
  <c r="P114" i="38" a="1"/>
  <c r="P114" i="38" s="1"/>
  <c r="AB113" i="38"/>
  <c r="Y113" i="38"/>
  <c r="Z113" i="38" s="1" a="1"/>
  <c r="Z113" i="38" s="1"/>
  <c r="U113" i="38"/>
  <c r="R113" i="38"/>
  <c r="S113" i="38" s="1" a="1"/>
  <c r="S113" i="38" s="1"/>
  <c r="P113" i="38" a="1"/>
  <c r="P113" i="38" s="1"/>
  <c r="AB112" i="38"/>
  <c r="Y112" i="38"/>
  <c r="Z112" i="38" s="1" a="1"/>
  <c r="Z112" i="38" s="1"/>
  <c r="U112" i="38"/>
  <c r="R112" i="38"/>
  <c r="S112" i="38" s="1" a="1"/>
  <c r="S112" i="38" s="1"/>
  <c r="P112" i="38" a="1"/>
  <c r="P112" i="38" s="1"/>
  <c r="AB111" i="38"/>
  <c r="Y111" i="38"/>
  <c r="Z111" i="38" s="1" a="1"/>
  <c r="Z111" i="38" s="1"/>
  <c r="U111" i="38"/>
  <c r="R111" i="38"/>
  <c r="S111" i="38" s="1" a="1"/>
  <c r="S111" i="38" s="1"/>
  <c r="P111" i="38" a="1"/>
  <c r="P111" i="38" s="1"/>
  <c r="AB110" i="38"/>
  <c r="Y110" i="38"/>
  <c r="Z110" i="38" s="1" a="1"/>
  <c r="Z110" i="38" s="1"/>
  <c r="U110" i="38"/>
  <c r="R110" i="38"/>
  <c r="S110" i="38" s="1" a="1"/>
  <c r="S110" i="38" s="1"/>
  <c r="P110" i="38" a="1"/>
  <c r="P110" i="38" s="1"/>
  <c r="AB109" i="38"/>
  <c r="Y109" i="38"/>
  <c r="Z109" i="38" s="1" a="1"/>
  <c r="Z109" i="38" s="1"/>
  <c r="U109" i="38"/>
  <c r="R109" i="38"/>
  <c r="S109" i="38" s="1" a="1"/>
  <c r="S109" i="38" s="1"/>
  <c r="P109" i="38" a="1"/>
  <c r="P109" i="38" s="1"/>
  <c r="AB108" i="38"/>
  <c r="Y108" i="38"/>
  <c r="Z108" i="38" s="1" a="1"/>
  <c r="Z108" i="38" s="1"/>
  <c r="U108" i="38"/>
  <c r="R108" i="38"/>
  <c r="S108" i="38" s="1" a="1"/>
  <c r="S108" i="38" s="1"/>
  <c r="P108" i="38" a="1"/>
  <c r="P108" i="38" s="1"/>
  <c r="AB107" i="38"/>
  <c r="Y107" i="38"/>
  <c r="Z107" i="38" s="1" a="1"/>
  <c r="Z107" i="38" s="1"/>
  <c r="U107" i="38"/>
  <c r="R107" i="38"/>
  <c r="S107" i="38" s="1" a="1"/>
  <c r="S107" i="38" s="1"/>
  <c r="P107" i="38" a="1"/>
  <c r="P107" i="38" s="1"/>
  <c r="AB106" i="38"/>
  <c r="Y106" i="38"/>
  <c r="Z106" i="38" s="1" a="1"/>
  <c r="Z106" i="38" s="1"/>
  <c r="U106" i="38"/>
  <c r="R106" i="38"/>
  <c r="S106" i="38" s="1" a="1"/>
  <c r="S106" i="38" s="1"/>
  <c r="P106" i="38" a="1"/>
  <c r="P106" i="38" s="1"/>
  <c r="AB105" i="38"/>
  <c r="Y105" i="38"/>
  <c r="Z105" i="38" s="1" a="1"/>
  <c r="Z105" i="38" s="1"/>
  <c r="U105" i="38"/>
  <c r="R105" i="38"/>
  <c r="S105" i="38" s="1" a="1"/>
  <c r="S105" i="38" s="1"/>
  <c r="P105" i="38" a="1"/>
  <c r="P105" i="38" s="1"/>
  <c r="AB104" i="38"/>
  <c r="Y104" i="38"/>
  <c r="Z104" i="38" s="1" a="1"/>
  <c r="Z104" i="38" s="1"/>
  <c r="U104" i="38"/>
  <c r="R104" i="38"/>
  <c r="S104" i="38" s="1" a="1"/>
  <c r="S104" i="38" s="1"/>
  <c r="P104" i="38" a="1"/>
  <c r="P104" i="38" s="1"/>
  <c r="AB103" i="38"/>
  <c r="Y103" i="38"/>
  <c r="Z103" i="38" s="1" a="1"/>
  <c r="Z103" i="38" s="1"/>
  <c r="U103" i="38"/>
  <c r="R103" i="38"/>
  <c r="S103" i="38" s="1" a="1"/>
  <c r="S103" i="38" s="1"/>
  <c r="P103" i="38" a="1"/>
  <c r="P103" i="38" s="1"/>
  <c r="AB102" i="38"/>
  <c r="Y102" i="38"/>
  <c r="Z102" i="38" s="1" a="1"/>
  <c r="Z102" i="38" s="1"/>
  <c r="U102" i="38"/>
  <c r="R102" i="38"/>
  <c r="S102" i="38" s="1" a="1"/>
  <c r="S102" i="38" s="1"/>
  <c r="P102" i="38" a="1"/>
  <c r="P102" i="38" s="1"/>
  <c r="AB101" i="38"/>
  <c r="Y101" i="38"/>
  <c r="Z101" i="38" s="1" a="1"/>
  <c r="Z101" i="38" s="1"/>
  <c r="U101" i="38"/>
  <c r="R101" i="38"/>
  <c r="S101" i="38" s="1" a="1"/>
  <c r="S101" i="38" s="1"/>
  <c r="P101" i="38" a="1"/>
  <c r="P101" i="38" s="1"/>
  <c r="AB100" i="38"/>
  <c r="Y100" i="38"/>
  <c r="Z100" i="38" s="1" a="1"/>
  <c r="Z100" i="38" s="1"/>
  <c r="U100" i="38"/>
  <c r="R100" i="38"/>
  <c r="S100" i="38" s="1" a="1"/>
  <c r="S100" i="38" s="1"/>
  <c r="P100" i="38" a="1"/>
  <c r="P100" i="38" s="1"/>
  <c r="AB99" i="38"/>
  <c r="Y99" i="38"/>
  <c r="Z99" i="38" s="1" a="1"/>
  <c r="Z99" i="38" s="1"/>
  <c r="U99" i="38"/>
  <c r="R99" i="38"/>
  <c r="S99" i="38" s="1" a="1"/>
  <c r="S99" i="38" s="1"/>
  <c r="P99" i="38" a="1"/>
  <c r="P99" i="38" s="1"/>
  <c r="AB98" i="38"/>
  <c r="Y98" i="38"/>
  <c r="Z98" i="38" s="1" a="1"/>
  <c r="Z98" i="38" s="1"/>
  <c r="U98" i="38"/>
  <c r="R98" i="38"/>
  <c r="S98" i="38" s="1" a="1"/>
  <c r="S98" i="38" s="1"/>
  <c r="P98" i="38" a="1"/>
  <c r="P98" i="38" s="1"/>
  <c r="AB97" i="38"/>
  <c r="Y97" i="38"/>
  <c r="Z97" i="38" s="1" a="1"/>
  <c r="Z97" i="38" s="1"/>
  <c r="U97" i="38"/>
  <c r="R97" i="38"/>
  <c r="S97" i="38" s="1" a="1"/>
  <c r="S97" i="38" s="1"/>
  <c r="P97" i="38" a="1"/>
  <c r="P97" i="38" s="1"/>
  <c r="AB96" i="38"/>
  <c r="Y96" i="38"/>
  <c r="Z96" i="38" s="1" a="1"/>
  <c r="Z96" i="38" s="1"/>
  <c r="U96" i="38"/>
  <c r="R96" i="38"/>
  <c r="S96" i="38" s="1" a="1"/>
  <c r="S96" i="38" s="1"/>
  <c r="P96" i="38" a="1"/>
  <c r="P96" i="38" s="1"/>
  <c r="AB95" i="38"/>
  <c r="Y95" i="38"/>
  <c r="Z95" i="38" s="1" a="1"/>
  <c r="Z95" i="38" s="1"/>
  <c r="U95" i="38"/>
  <c r="R95" i="38"/>
  <c r="S95" i="38" s="1" a="1"/>
  <c r="S95" i="38" s="1"/>
  <c r="P95" i="38" a="1"/>
  <c r="P95" i="38" s="1"/>
  <c r="AB94" i="38"/>
  <c r="Y94" i="38"/>
  <c r="Z94" i="38" s="1" a="1"/>
  <c r="Z94" i="38" s="1"/>
  <c r="U94" i="38"/>
  <c r="R94" i="38"/>
  <c r="S94" i="38" s="1" a="1"/>
  <c r="S94" i="38" s="1"/>
  <c r="P94" i="38" a="1"/>
  <c r="P94" i="38" s="1"/>
  <c r="AB93" i="38"/>
  <c r="Y93" i="38"/>
  <c r="Z93" i="38" s="1" a="1"/>
  <c r="Z93" i="38" s="1"/>
  <c r="U93" i="38"/>
  <c r="R93" i="38"/>
  <c r="S93" i="38" s="1" a="1"/>
  <c r="S93" i="38" s="1"/>
  <c r="P93" i="38" a="1"/>
  <c r="P93" i="38" s="1"/>
  <c r="AB92" i="38"/>
  <c r="Y92" i="38"/>
  <c r="Z92" i="38" s="1" a="1"/>
  <c r="Z92" i="38" s="1"/>
  <c r="U92" i="38"/>
  <c r="R92" i="38"/>
  <c r="S92" i="38" s="1" a="1"/>
  <c r="S92" i="38" s="1"/>
  <c r="P92" i="38" a="1"/>
  <c r="P92" i="38" s="1"/>
  <c r="AB91" i="38"/>
  <c r="Y91" i="38"/>
  <c r="Z91" i="38" s="1" a="1"/>
  <c r="Z91" i="38" s="1"/>
  <c r="U91" i="38"/>
  <c r="R91" i="38"/>
  <c r="S91" i="38" s="1" a="1"/>
  <c r="S91" i="38" s="1"/>
  <c r="P91" i="38" a="1"/>
  <c r="P91" i="38" s="1"/>
  <c r="AB90" i="38"/>
  <c r="Y90" i="38"/>
  <c r="Z90" i="38" s="1" a="1"/>
  <c r="Z90" i="38" s="1"/>
  <c r="U90" i="38"/>
  <c r="R90" i="38"/>
  <c r="S90" i="38" s="1" a="1"/>
  <c r="S90" i="38" s="1"/>
  <c r="P90" i="38" a="1"/>
  <c r="P90" i="38" s="1"/>
  <c r="AB89" i="38"/>
  <c r="Y89" i="38"/>
  <c r="Z89" i="38" s="1" a="1"/>
  <c r="Z89" i="38" s="1"/>
  <c r="U89" i="38"/>
  <c r="R89" i="38"/>
  <c r="S89" i="38" s="1" a="1"/>
  <c r="S89" i="38" s="1"/>
  <c r="P89" i="38" a="1"/>
  <c r="P89" i="38" s="1"/>
  <c r="AB88" i="38"/>
  <c r="Y88" i="38"/>
  <c r="Z88" i="38" s="1" a="1"/>
  <c r="Z88" i="38" s="1"/>
  <c r="U88" i="38"/>
  <c r="R88" i="38"/>
  <c r="S88" i="38" s="1" a="1"/>
  <c r="S88" i="38" s="1"/>
  <c r="P88" i="38" a="1"/>
  <c r="P88" i="38" s="1"/>
  <c r="AB87" i="38"/>
  <c r="Y87" i="38"/>
  <c r="Z87" i="38" s="1" a="1"/>
  <c r="Z87" i="38" s="1"/>
  <c r="U87" i="38"/>
  <c r="R87" i="38"/>
  <c r="S87" i="38" s="1" a="1"/>
  <c r="S87" i="38" s="1"/>
  <c r="P87" i="38" a="1"/>
  <c r="P87" i="38" s="1"/>
  <c r="AB86" i="38"/>
  <c r="Y86" i="38"/>
  <c r="Z86" i="38" s="1" a="1"/>
  <c r="Z86" i="38" s="1"/>
  <c r="U86" i="38"/>
  <c r="R86" i="38"/>
  <c r="S86" i="38" s="1" a="1"/>
  <c r="S86" i="38" s="1"/>
  <c r="P86" i="38" a="1"/>
  <c r="P86" i="38" s="1"/>
  <c r="AB85" i="38"/>
  <c r="Y85" i="38"/>
  <c r="Z85" i="38" s="1" a="1"/>
  <c r="Z85" i="38" s="1"/>
  <c r="U85" i="38"/>
  <c r="R85" i="38"/>
  <c r="S85" i="38" s="1" a="1"/>
  <c r="S85" i="38" s="1"/>
  <c r="P85" i="38" a="1"/>
  <c r="P85" i="38" s="1"/>
  <c r="AB84" i="38"/>
  <c r="Y84" i="38"/>
  <c r="Z84" i="38" s="1" a="1"/>
  <c r="Z84" i="38" s="1"/>
  <c r="U84" i="38"/>
  <c r="R84" i="38"/>
  <c r="S84" i="38" s="1" a="1"/>
  <c r="S84" i="38" s="1"/>
  <c r="P84" i="38" a="1"/>
  <c r="P84" i="38" s="1"/>
  <c r="AB83" i="38"/>
  <c r="Y83" i="38"/>
  <c r="Z83" i="38" s="1" a="1"/>
  <c r="Z83" i="38" s="1"/>
  <c r="U83" i="38"/>
  <c r="R83" i="38"/>
  <c r="S83" i="38" s="1" a="1"/>
  <c r="S83" i="38" s="1"/>
  <c r="P83" i="38" a="1"/>
  <c r="P83" i="38" s="1"/>
  <c r="AB82" i="38"/>
  <c r="Y82" i="38"/>
  <c r="Z82" i="38" s="1" a="1"/>
  <c r="Z82" i="38" s="1"/>
  <c r="U82" i="38"/>
  <c r="R82" i="38"/>
  <c r="S82" i="38" s="1" a="1"/>
  <c r="S82" i="38" s="1"/>
  <c r="P82" i="38" a="1"/>
  <c r="P82" i="38" s="1"/>
  <c r="AB81" i="38"/>
  <c r="Y81" i="38"/>
  <c r="Z81" i="38" s="1" a="1"/>
  <c r="Z81" i="38" s="1"/>
  <c r="U81" i="38"/>
  <c r="R81" i="38"/>
  <c r="S81" i="38" s="1" a="1"/>
  <c r="S81" i="38" s="1"/>
  <c r="P81" i="38" a="1"/>
  <c r="P81" i="38" s="1"/>
  <c r="AB80" i="38"/>
  <c r="Y80" i="38"/>
  <c r="Z80" i="38" s="1" a="1"/>
  <c r="Z80" i="38" s="1"/>
  <c r="U80" i="38"/>
  <c r="R80" i="38"/>
  <c r="S80" i="38" s="1" a="1"/>
  <c r="S80" i="38" s="1"/>
  <c r="P80" i="38" a="1"/>
  <c r="P80" i="38" s="1"/>
  <c r="AB79" i="38"/>
  <c r="Y79" i="38"/>
  <c r="Z79" i="38" s="1" a="1"/>
  <c r="Z79" i="38" s="1"/>
  <c r="U79" i="38"/>
  <c r="R79" i="38"/>
  <c r="S79" i="38" s="1" a="1"/>
  <c r="S79" i="38" s="1"/>
  <c r="P79" i="38" a="1"/>
  <c r="P79" i="38" s="1"/>
  <c r="AB78" i="38"/>
  <c r="Y78" i="38"/>
  <c r="Z78" i="38" s="1" a="1"/>
  <c r="Z78" i="38" s="1"/>
  <c r="U78" i="38"/>
  <c r="R78" i="38"/>
  <c r="S78" i="38" s="1" a="1"/>
  <c r="S78" i="38" s="1"/>
  <c r="P78" i="38" a="1"/>
  <c r="P78" i="38" s="1"/>
  <c r="AB77" i="38"/>
  <c r="Y77" i="38"/>
  <c r="Z77" i="38" s="1" a="1"/>
  <c r="Z77" i="38" s="1"/>
  <c r="U77" i="38"/>
  <c r="R77" i="38"/>
  <c r="S77" i="38" s="1" a="1"/>
  <c r="S77" i="38" s="1"/>
  <c r="P77" i="38" a="1"/>
  <c r="P77" i="38" s="1"/>
  <c r="AB76" i="38"/>
  <c r="Y76" i="38"/>
  <c r="Z76" i="38" s="1" a="1"/>
  <c r="Z76" i="38" s="1"/>
  <c r="U76" i="38"/>
  <c r="R76" i="38"/>
  <c r="S76" i="38" s="1" a="1"/>
  <c r="S76" i="38" s="1"/>
  <c r="P76" i="38" a="1"/>
  <c r="P76" i="38" s="1"/>
  <c r="AB75" i="38"/>
  <c r="Y75" i="38"/>
  <c r="Z75" i="38" s="1" a="1"/>
  <c r="Z75" i="38" s="1"/>
  <c r="U75" i="38"/>
  <c r="R75" i="38"/>
  <c r="S75" i="38" s="1" a="1"/>
  <c r="S75" i="38" s="1"/>
  <c r="P75" i="38" a="1"/>
  <c r="P75" i="38" s="1"/>
  <c r="AB74" i="38"/>
  <c r="Y74" i="38"/>
  <c r="Z74" i="38" s="1" a="1"/>
  <c r="Z74" i="38" s="1"/>
  <c r="U74" i="38"/>
  <c r="R74" i="38"/>
  <c r="S74" i="38" s="1" a="1"/>
  <c r="S74" i="38" s="1"/>
  <c r="P74" i="38" a="1"/>
  <c r="P74" i="38" s="1"/>
  <c r="AB73" i="38"/>
  <c r="Y73" i="38"/>
  <c r="Z73" i="38" s="1" a="1"/>
  <c r="Z73" i="38" s="1"/>
  <c r="U73" i="38"/>
  <c r="R73" i="38"/>
  <c r="S73" i="38" s="1" a="1"/>
  <c r="S73" i="38" s="1"/>
  <c r="P73" i="38" a="1"/>
  <c r="P73" i="38" s="1"/>
  <c r="AB72" i="38"/>
  <c r="Y72" i="38"/>
  <c r="Z72" i="38" s="1" a="1"/>
  <c r="Z72" i="38" s="1"/>
  <c r="U72" i="38"/>
  <c r="R72" i="38"/>
  <c r="S72" i="38" s="1" a="1"/>
  <c r="S72" i="38" s="1"/>
  <c r="P72" i="38" a="1"/>
  <c r="P72" i="38" s="1"/>
  <c r="AB71" i="38"/>
  <c r="Y71" i="38"/>
  <c r="Z71" i="38" s="1" a="1"/>
  <c r="Z71" i="38" s="1"/>
  <c r="U71" i="38"/>
  <c r="R71" i="38"/>
  <c r="S71" i="38" s="1" a="1"/>
  <c r="S71" i="38" s="1"/>
  <c r="P71" i="38" a="1"/>
  <c r="P71" i="38" s="1"/>
  <c r="AB70" i="38"/>
  <c r="Y70" i="38"/>
  <c r="Z70" i="38" s="1" a="1"/>
  <c r="Z70" i="38" s="1"/>
  <c r="U70" i="38"/>
  <c r="R70" i="38"/>
  <c r="S70" i="38" s="1" a="1"/>
  <c r="S70" i="38" s="1"/>
  <c r="P70" i="38" a="1"/>
  <c r="P70" i="38" s="1"/>
  <c r="AB69" i="38"/>
  <c r="Y69" i="38"/>
  <c r="Z69" i="38" s="1" a="1"/>
  <c r="Z69" i="38" s="1"/>
  <c r="U69" i="38"/>
  <c r="R69" i="38"/>
  <c r="S69" i="38" s="1" a="1"/>
  <c r="S69" i="38" s="1"/>
  <c r="P69" i="38" a="1"/>
  <c r="P69" i="38" s="1"/>
  <c r="AB68" i="38"/>
  <c r="Y68" i="38"/>
  <c r="Z68" i="38" s="1" a="1"/>
  <c r="Z68" i="38" s="1"/>
  <c r="U68" i="38"/>
  <c r="R68" i="38"/>
  <c r="S68" i="38" s="1" a="1"/>
  <c r="S68" i="38" s="1"/>
  <c r="P68" i="38" a="1"/>
  <c r="P68" i="38" s="1"/>
  <c r="AB67" i="38"/>
  <c r="Y67" i="38"/>
  <c r="Z67" i="38" s="1" a="1"/>
  <c r="Z67" i="38" s="1"/>
  <c r="U67" i="38"/>
  <c r="R67" i="38"/>
  <c r="S67" i="38" s="1" a="1"/>
  <c r="S67" i="38" s="1"/>
  <c r="P67" i="38" a="1"/>
  <c r="P67" i="38" s="1"/>
  <c r="AB66" i="38"/>
  <c r="Y66" i="38"/>
  <c r="Z66" i="38" s="1" a="1"/>
  <c r="Z66" i="38" s="1"/>
  <c r="U66" i="38"/>
  <c r="R66" i="38"/>
  <c r="S66" i="38" s="1" a="1"/>
  <c r="S66" i="38" s="1"/>
  <c r="P66" i="38" a="1"/>
  <c r="P66" i="38" s="1"/>
  <c r="AB65" i="38"/>
  <c r="Y65" i="38"/>
  <c r="Z65" i="38" s="1" a="1"/>
  <c r="Z65" i="38" s="1"/>
  <c r="U65" i="38"/>
  <c r="R65" i="38"/>
  <c r="S65" i="38" s="1" a="1"/>
  <c r="S65" i="38" s="1"/>
  <c r="P65" i="38" a="1"/>
  <c r="P65" i="38" s="1"/>
  <c r="AB64" i="38"/>
  <c r="Y64" i="38"/>
  <c r="Z64" i="38" s="1" a="1"/>
  <c r="Z64" i="38" s="1"/>
  <c r="U64" i="38"/>
  <c r="R64" i="38"/>
  <c r="S64" i="38" s="1" a="1"/>
  <c r="S64" i="38" s="1"/>
  <c r="P64" i="38" a="1"/>
  <c r="P64" i="38" s="1"/>
  <c r="AB63" i="38"/>
  <c r="Y63" i="38"/>
  <c r="Z63" i="38" s="1" a="1"/>
  <c r="Z63" i="38" s="1"/>
  <c r="U63" i="38"/>
  <c r="R63" i="38"/>
  <c r="S63" i="38" s="1" a="1"/>
  <c r="S63" i="38" s="1"/>
  <c r="P63" i="38" a="1"/>
  <c r="P63" i="38" s="1"/>
  <c r="AB62" i="38"/>
  <c r="Y62" i="38"/>
  <c r="Z62" i="38" s="1" a="1"/>
  <c r="Z62" i="38" s="1"/>
  <c r="U62" i="38"/>
  <c r="R62" i="38"/>
  <c r="S62" i="38" s="1" a="1"/>
  <c r="S62" i="38" s="1"/>
  <c r="P62" i="38" a="1"/>
  <c r="P62" i="38" s="1"/>
  <c r="AB61" i="38"/>
  <c r="Y61" i="38"/>
  <c r="Z61" i="38" s="1" a="1"/>
  <c r="Z61" i="38" s="1"/>
  <c r="U61" i="38"/>
  <c r="R61" i="38"/>
  <c r="S61" i="38" s="1" a="1"/>
  <c r="S61" i="38" s="1"/>
  <c r="P61" i="38" a="1"/>
  <c r="P61" i="38" s="1"/>
  <c r="AB60" i="38"/>
  <c r="Y60" i="38"/>
  <c r="Z60" i="38" s="1" a="1"/>
  <c r="Z60" i="38" s="1"/>
  <c r="U60" i="38"/>
  <c r="R60" i="38"/>
  <c r="S60" i="38" s="1" a="1"/>
  <c r="S60" i="38" s="1"/>
  <c r="P60" i="38" a="1"/>
  <c r="P60" i="38" s="1"/>
  <c r="AB59" i="38"/>
  <c r="Y59" i="38"/>
  <c r="Z59" i="38" s="1" a="1"/>
  <c r="Z59" i="38" s="1"/>
  <c r="U59" i="38"/>
  <c r="R59" i="38"/>
  <c r="S59" i="38" s="1" a="1"/>
  <c r="S59" i="38" s="1"/>
  <c r="P59" i="38" a="1"/>
  <c r="P59" i="38" s="1"/>
  <c r="AB58" i="38"/>
  <c r="Y58" i="38"/>
  <c r="Z58" i="38" s="1" a="1"/>
  <c r="Z58" i="38" s="1"/>
  <c r="U58" i="38"/>
  <c r="R58" i="38"/>
  <c r="S58" i="38" s="1" a="1"/>
  <c r="S58" i="38" s="1"/>
  <c r="P58" i="38" a="1"/>
  <c r="P58" i="38" s="1"/>
  <c r="AB57" i="38"/>
  <c r="Y57" i="38"/>
  <c r="Z57" i="38" s="1" a="1"/>
  <c r="Z57" i="38" s="1"/>
  <c r="U57" i="38"/>
  <c r="R57" i="38"/>
  <c r="S57" i="38" s="1" a="1"/>
  <c r="S57" i="38" s="1"/>
  <c r="P57" i="38" a="1"/>
  <c r="P57" i="38" s="1"/>
  <c r="AB56" i="38"/>
  <c r="Y56" i="38"/>
  <c r="Z56" i="38" s="1" a="1"/>
  <c r="Z56" i="38" s="1"/>
  <c r="U56" i="38"/>
  <c r="R56" i="38"/>
  <c r="S56" i="38" s="1" a="1"/>
  <c r="S56" i="38" s="1"/>
  <c r="P56" i="38" a="1"/>
  <c r="P56" i="38" s="1"/>
  <c r="AB55" i="38"/>
  <c r="Y55" i="38"/>
  <c r="Z55" i="38" s="1" a="1"/>
  <c r="Z55" i="38" s="1"/>
  <c r="U55" i="38"/>
  <c r="R55" i="38"/>
  <c r="S55" i="38" s="1" a="1"/>
  <c r="S55" i="38" s="1"/>
  <c r="P55" i="38" a="1"/>
  <c r="P55" i="38" s="1"/>
  <c r="AB54" i="38"/>
  <c r="Y54" i="38"/>
  <c r="Z54" i="38" s="1" a="1"/>
  <c r="Z54" i="38" s="1"/>
  <c r="U54" i="38"/>
  <c r="R54" i="38"/>
  <c r="S54" i="38" s="1" a="1"/>
  <c r="S54" i="38" s="1"/>
  <c r="P54" i="38" a="1"/>
  <c r="P54" i="38" s="1"/>
  <c r="AB53" i="38"/>
  <c r="Y53" i="38"/>
  <c r="Z53" i="38" s="1" a="1"/>
  <c r="Z53" i="38" s="1"/>
  <c r="U53" i="38"/>
  <c r="R53" i="38"/>
  <c r="S53" i="38" s="1" a="1"/>
  <c r="S53" i="38" s="1"/>
  <c r="P53" i="38" a="1"/>
  <c r="P53" i="38" s="1"/>
  <c r="AB52" i="38"/>
  <c r="Y52" i="38"/>
  <c r="Z52" i="38" s="1" a="1"/>
  <c r="Z52" i="38" s="1"/>
  <c r="U52" i="38"/>
  <c r="R52" i="38"/>
  <c r="S52" i="38" s="1" a="1"/>
  <c r="S52" i="38" s="1"/>
  <c r="P52" i="38" a="1"/>
  <c r="P52" i="38" s="1"/>
  <c r="AB51" i="38"/>
  <c r="Y51" i="38"/>
  <c r="Z51" i="38" s="1" a="1"/>
  <c r="Z51" i="38" s="1"/>
  <c r="U51" i="38"/>
  <c r="R51" i="38"/>
  <c r="S51" i="38" s="1" a="1"/>
  <c r="S51" i="38" s="1"/>
  <c r="P51" i="38" a="1"/>
  <c r="P51" i="38" s="1"/>
  <c r="AB50" i="38"/>
  <c r="Y50" i="38"/>
  <c r="Z50" i="38" s="1" a="1"/>
  <c r="Z50" i="38" s="1"/>
  <c r="U50" i="38"/>
  <c r="R50" i="38"/>
  <c r="S50" i="38" s="1" a="1"/>
  <c r="S50" i="38" s="1"/>
  <c r="P50" i="38" a="1"/>
  <c r="P50" i="38" s="1"/>
  <c r="AB49" i="38"/>
  <c r="Y49" i="38"/>
  <c r="Z49" i="38" s="1" a="1"/>
  <c r="Z49" i="38" s="1"/>
  <c r="U49" i="38"/>
  <c r="R49" i="38"/>
  <c r="S49" i="38" s="1" a="1"/>
  <c r="S49" i="38" s="1"/>
  <c r="P49" i="38" a="1"/>
  <c r="P49" i="38" s="1"/>
  <c r="AB48" i="38"/>
  <c r="Y48" i="38"/>
  <c r="Z48" i="38" s="1" a="1"/>
  <c r="Z48" i="38" s="1"/>
  <c r="U48" i="38"/>
  <c r="R48" i="38"/>
  <c r="S48" i="38" s="1" a="1"/>
  <c r="S48" i="38" s="1"/>
  <c r="P48" i="38" a="1"/>
  <c r="P48" i="38" s="1"/>
  <c r="AB47" i="38"/>
  <c r="Y47" i="38"/>
  <c r="Z47" i="38" s="1" a="1"/>
  <c r="Z47" i="38" s="1"/>
  <c r="U47" i="38"/>
  <c r="R47" i="38"/>
  <c r="S47" i="38" s="1" a="1"/>
  <c r="S47" i="38" s="1"/>
  <c r="P47" i="38" a="1"/>
  <c r="P47" i="38" s="1"/>
  <c r="AB46" i="38"/>
  <c r="Y46" i="38"/>
  <c r="Z46" i="38" s="1" a="1"/>
  <c r="Z46" i="38" s="1"/>
  <c r="U46" i="38"/>
  <c r="R46" i="38"/>
  <c r="S46" i="38" s="1" a="1"/>
  <c r="S46" i="38" s="1"/>
  <c r="P46" i="38" a="1"/>
  <c r="P46" i="38" s="1"/>
  <c r="AB45" i="38"/>
  <c r="Y45" i="38"/>
  <c r="Z45" i="38" s="1" a="1"/>
  <c r="Z45" i="38" s="1"/>
  <c r="U45" i="38"/>
  <c r="R45" i="38"/>
  <c r="S45" i="38" s="1" a="1"/>
  <c r="S45" i="38" s="1"/>
  <c r="P45" i="38" a="1"/>
  <c r="P45" i="38" s="1"/>
  <c r="AB44" i="38"/>
  <c r="Y44" i="38"/>
  <c r="Z44" i="38" s="1" a="1"/>
  <c r="Z44" i="38" s="1"/>
  <c r="U44" i="38"/>
  <c r="R44" i="38"/>
  <c r="S44" i="38" s="1" a="1"/>
  <c r="S44" i="38" s="1"/>
  <c r="P44" i="38" a="1"/>
  <c r="P44" i="38" s="1"/>
  <c r="AB43" i="38"/>
  <c r="Y43" i="38"/>
  <c r="Z43" i="38" s="1" a="1"/>
  <c r="Z43" i="38" s="1"/>
  <c r="U43" i="38"/>
  <c r="R43" i="38"/>
  <c r="S43" i="38" s="1" a="1"/>
  <c r="S43" i="38" s="1"/>
  <c r="P43" i="38" a="1"/>
  <c r="P43" i="38" s="1"/>
  <c r="AB42" i="38"/>
  <c r="Y42" i="38"/>
  <c r="Z42" i="38" s="1" a="1"/>
  <c r="Z42" i="38" s="1"/>
  <c r="U42" i="38"/>
  <c r="R42" i="38"/>
  <c r="S42" i="38" s="1" a="1"/>
  <c r="S42" i="38" s="1"/>
  <c r="P42" i="38" a="1"/>
  <c r="P42" i="38" s="1"/>
  <c r="AB41" i="38"/>
  <c r="Y41" i="38"/>
  <c r="Z41" i="38" s="1" a="1"/>
  <c r="Z41" i="38" s="1"/>
  <c r="U41" i="38"/>
  <c r="R41" i="38"/>
  <c r="S41" i="38" s="1" a="1"/>
  <c r="S41" i="38" s="1"/>
  <c r="P41" i="38" a="1"/>
  <c r="P41" i="38" s="1"/>
  <c r="AB40" i="38"/>
  <c r="Y40" i="38"/>
  <c r="Z40" i="38" s="1" a="1"/>
  <c r="Z40" i="38" s="1"/>
  <c r="U40" i="38"/>
  <c r="R40" i="38"/>
  <c r="S40" i="38" s="1" a="1"/>
  <c r="S40" i="38" s="1"/>
  <c r="P40" i="38" a="1"/>
  <c r="P40" i="38" s="1"/>
  <c r="AB39" i="38"/>
  <c r="Y39" i="38"/>
  <c r="Z39" i="38" s="1" a="1"/>
  <c r="Z39" i="38" s="1"/>
  <c r="U39" i="38"/>
  <c r="R39" i="38"/>
  <c r="S39" i="38" s="1" a="1"/>
  <c r="S39" i="38" s="1"/>
  <c r="P39" i="38" a="1"/>
  <c r="P39" i="38" s="1"/>
  <c r="AB38" i="38"/>
  <c r="Y38" i="38"/>
  <c r="Z38" i="38" s="1" a="1"/>
  <c r="Z38" i="38" s="1"/>
  <c r="U38" i="38"/>
  <c r="R38" i="38"/>
  <c r="S38" i="38" s="1" a="1"/>
  <c r="S38" i="38" s="1"/>
  <c r="P38" i="38" a="1"/>
  <c r="P38" i="38" s="1"/>
  <c r="AB37" i="38"/>
  <c r="Y37" i="38"/>
  <c r="Z37" i="38" s="1" a="1"/>
  <c r="Z37" i="38" s="1"/>
  <c r="U37" i="38"/>
  <c r="R37" i="38"/>
  <c r="S37" i="38" s="1" a="1"/>
  <c r="S37" i="38" s="1"/>
  <c r="P37" i="38" a="1"/>
  <c r="P37" i="38" s="1"/>
  <c r="AB36" i="38"/>
  <c r="Y36" i="38"/>
  <c r="Z36" i="38" s="1" a="1"/>
  <c r="Z36" i="38" s="1"/>
  <c r="U36" i="38"/>
  <c r="R36" i="38"/>
  <c r="S36" i="38" s="1" a="1"/>
  <c r="S36" i="38" s="1"/>
  <c r="P36" i="38" a="1"/>
  <c r="P36" i="38" s="1"/>
  <c r="AB35" i="38"/>
  <c r="Y35" i="38"/>
  <c r="Z35" i="38" s="1" a="1"/>
  <c r="Z35" i="38" s="1"/>
  <c r="U35" i="38"/>
  <c r="R35" i="38"/>
  <c r="S35" i="38" s="1" a="1"/>
  <c r="S35" i="38" s="1"/>
  <c r="P35" i="38" a="1"/>
  <c r="P35" i="38" s="1"/>
  <c r="AB34" i="38"/>
  <c r="Y34" i="38"/>
  <c r="Z34" i="38" s="1" a="1"/>
  <c r="Z34" i="38" s="1"/>
  <c r="U34" i="38"/>
  <c r="R34" i="38"/>
  <c r="S34" i="38" s="1" a="1"/>
  <c r="S34" i="38" s="1"/>
  <c r="P34" i="38" a="1"/>
  <c r="P34" i="38" s="1"/>
  <c r="AB33" i="38"/>
  <c r="Y33" i="38"/>
  <c r="Z33" i="38" s="1" a="1"/>
  <c r="Z33" i="38" s="1"/>
  <c r="U33" i="38"/>
  <c r="R33" i="38"/>
  <c r="S33" i="38" s="1" a="1"/>
  <c r="S33" i="38" s="1"/>
  <c r="P33" i="38" a="1"/>
  <c r="P33" i="38" s="1"/>
  <c r="AB32" i="38"/>
  <c r="Y32" i="38"/>
  <c r="Z32" i="38" s="1" a="1"/>
  <c r="Z32" i="38" s="1"/>
  <c r="U32" i="38"/>
  <c r="R32" i="38"/>
  <c r="S32" i="38" s="1" a="1"/>
  <c r="S32" i="38" s="1"/>
  <c r="P32" i="38" a="1"/>
  <c r="P32" i="38" s="1"/>
  <c r="AB31" i="38"/>
  <c r="Y31" i="38"/>
  <c r="Z31" i="38" s="1" a="1"/>
  <c r="Z31" i="38" s="1"/>
  <c r="U31" i="38"/>
  <c r="R31" i="38"/>
  <c r="S31" i="38" s="1" a="1"/>
  <c r="S31" i="38" s="1"/>
  <c r="P31" i="38" a="1"/>
  <c r="P31" i="38" s="1"/>
  <c r="AB30" i="38"/>
  <c r="Y30" i="38"/>
  <c r="Z30" i="38" s="1" a="1"/>
  <c r="Z30" i="38" s="1"/>
  <c r="U30" i="38"/>
  <c r="R30" i="38"/>
  <c r="S30" i="38" s="1" a="1"/>
  <c r="S30" i="38" s="1"/>
  <c r="P30" i="38" a="1"/>
  <c r="P30" i="38" s="1"/>
  <c r="AB29" i="38"/>
  <c r="Y29" i="38"/>
  <c r="Z29" i="38" s="1" a="1"/>
  <c r="Z29" i="38" s="1"/>
  <c r="U29" i="38"/>
  <c r="R29" i="38"/>
  <c r="S29" i="38" s="1" a="1"/>
  <c r="S29" i="38" s="1"/>
  <c r="P29" i="38" a="1"/>
  <c r="P29" i="38" s="1"/>
  <c r="AB28" i="38"/>
  <c r="Y28" i="38"/>
  <c r="Z28" i="38" s="1" a="1"/>
  <c r="Z28" i="38" s="1"/>
  <c r="U28" i="38"/>
  <c r="R28" i="38"/>
  <c r="S28" i="38" s="1" a="1"/>
  <c r="S28" i="38" s="1"/>
  <c r="P28" i="38" a="1"/>
  <c r="P28" i="38" s="1"/>
  <c r="AB27" i="38"/>
  <c r="Y27" i="38"/>
  <c r="Z27" i="38" s="1" a="1"/>
  <c r="Z27" i="38" s="1"/>
  <c r="U27" i="38"/>
  <c r="R27" i="38"/>
  <c r="S27" i="38" s="1" a="1"/>
  <c r="S27" i="38" s="1"/>
  <c r="P27" i="38" a="1"/>
  <c r="P27" i="38" s="1"/>
  <c r="AB26" i="38"/>
  <c r="Y26" i="38"/>
  <c r="Z26" i="38" s="1" a="1"/>
  <c r="Z26" i="38" s="1"/>
  <c r="U26" i="38"/>
  <c r="R26" i="38"/>
  <c r="S26" i="38" s="1" a="1"/>
  <c r="S26" i="38" s="1"/>
  <c r="P26" i="38" a="1"/>
  <c r="P26" i="38" s="1"/>
  <c r="AB25" i="38"/>
  <c r="Y25" i="38"/>
  <c r="Z25" i="38" s="1" a="1"/>
  <c r="Z25" i="38" s="1"/>
  <c r="U25" i="38"/>
  <c r="R25" i="38"/>
  <c r="S25" i="38" s="1" a="1"/>
  <c r="S25" i="38" s="1"/>
  <c r="P25" i="38" a="1"/>
  <c r="P25" i="38" s="1"/>
  <c r="AB24" i="38"/>
  <c r="Y24" i="38"/>
  <c r="Z24" i="38" s="1" a="1"/>
  <c r="Z24" i="38" s="1"/>
  <c r="U24" i="38"/>
  <c r="R24" i="38"/>
  <c r="S24" i="38" s="1" a="1"/>
  <c r="S24" i="38" s="1"/>
  <c r="P24" i="38" a="1"/>
  <c r="P24" i="38" s="1"/>
  <c r="AB23" i="38"/>
  <c r="Y23" i="38"/>
  <c r="Z23" i="38" s="1" a="1"/>
  <c r="Z23" i="38" s="1"/>
  <c r="U23" i="38"/>
  <c r="R23" i="38"/>
  <c r="S23" i="38" s="1" a="1"/>
  <c r="S23" i="38" s="1"/>
  <c r="P23" i="38" a="1"/>
  <c r="P23" i="38" s="1"/>
  <c r="AB22" i="38"/>
  <c r="Y22" i="38"/>
  <c r="Z22" i="38" s="1" a="1"/>
  <c r="Z22" i="38" s="1"/>
  <c r="U22" i="38"/>
  <c r="R22" i="38"/>
  <c r="S22" i="38" s="1" a="1"/>
  <c r="S22" i="38" s="1"/>
  <c r="P22" i="38" a="1"/>
  <c r="P22" i="38" s="1"/>
  <c r="AB21" i="38"/>
  <c r="Y21" i="38"/>
  <c r="Z21" i="38" s="1" a="1"/>
  <c r="Z21" i="38" s="1"/>
  <c r="U21" i="38"/>
  <c r="R21" i="38"/>
  <c r="S21" i="38" s="1" a="1"/>
  <c r="S21" i="38" s="1"/>
  <c r="P21" i="38" a="1"/>
  <c r="P21" i="38" s="1"/>
  <c r="AB20" i="38"/>
  <c r="Y20" i="38"/>
  <c r="Z20" i="38" s="1" a="1"/>
  <c r="Z20" i="38" s="1"/>
  <c r="U20" i="38"/>
  <c r="R20" i="38"/>
  <c r="S20" i="38" s="1" a="1"/>
  <c r="S20" i="38" s="1"/>
  <c r="P20" i="38" a="1"/>
  <c r="P20" i="38" s="1"/>
  <c r="AB19" i="38"/>
  <c r="Y19" i="38"/>
  <c r="Z19" i="38" s="1" a="1"/>
  <c r="Z19" i="38" s="1"/>
  <c r="U19" i="38"/>
  <c r="R19" i="38"/>
  <c r="S19" i="38" s="1" a="1"/>
  <c r="S19" i="38" s="1"/>
  <c r="P19" i="38" a="1"/>
  <c r="P19" i="38" s="1"/>
  <c r="AB18" i="38"/>
  <c r="Y18" i="38"/>
  <c r="Z18" i="38" s="1" a="1"/>
  <c r="Z18" i="38" s="1"/>
  <c r="U18" i="38"/>
  <c r="R18" i="38"/>
  <c r="S18" i="38" s="1" a="1"/>
  <c r="S18" i="38" s="1"/>
  <c r="P18" i="38" a="1"/>
  <c r="P18" i="38" s="1"/>
  <c r="AB17" i="38"/>
  <c r="Y17" i="38"/>
  <c r="Z17" i="38" s="1" a="1"/>
  <c r="Z17" i="38" s="1"/>
  <c r="U17" i="38"/>
  <c r="R17" i="38"/>
  <c r="S17" i="38" s="1" a="1"/>
  <c r="S17" i="38" s="1"/>
  <c r="P17" i="38" a="1"/>
  <c r="P17" i="38" s="1"/>
  <c r="AB16" i="38"/>
  <c r="Y16" i="38"/>
  <c r="Z16" i="38" s="1" a="1"/>
  <c r="Z16" i="38" s="1"/>
  <c r="U16" i="38"/>
  <c r="R16" i="38"/>
  <c r="S16" i="38" s="1" a="1"/>
  <c r="S16" i="38" s="1"/>
  <c r="P16" i="38" a="1"/>
  <c r="P16" i="38" s="1"/>
  <c r="AB15" i="38"/>
  <c r="Y15" i="38"/>
  <c r="Z15" i="38" s="1" a="1"/>
  <c r="Z15" i="38" s="1"/>
  <c r="U15" i="38"/>
  <c r="R15" i="38"/>
  <c r="S15" i="38" s="1" a="1"/>
  <c r="S15" i="38" s="1"/>
  <c r="P15" i="38" a="1"/>
  <c r="P15" i="38" s="1"/>
  <c r="AB14" i="38"/>
  <c r="Y14" i="38"/>
  <c r="Z14" i="38" s="1" a="1"/>
  <c r="Z14" i="38" s="1"/>
  <c r="U14" i="38"/>
  <c r="R14" i="38"/>
  <c r="S14" i="38" s="1" a="1"/>
  <c r="S14" i="38" s="1"/>
  <c r="P14" i="38" a="1"/>
  <c r="P14" i="38" s="1"/>
  <c r="AB13" i="38"/>
  <c r="Y13" i="38"/>
  <c r="Z13" i="38" s="1" a="1"/>
  <c r="Z13" i="38" s="1"/>
  <c r="U13" i="38"/>
  <c r="R13" i="38"/>
  <c r="S13" i="38" s="1" a="1"/>
  <c r="S13" i="38" s="1"/>
  <c r="P13" i="38" a="1"/>
  <c r="P13" i="38" s="1"/>
  <c r="AB12" i="38"/>
  <c r="Y12" i="38"/>
  <c r="Z12" i="38" s="1" a="1"/>
  <c r="Z12" i="38" s="1"/>
  <c r="U12" i="38"/>
  <c r="R12" i="38"/>
  <c r="S12" i="38" s="1" a="1"/>
  <c r="S12" i="38" s="1"/>
  <c r="P12" i="38" a="1"/>
  <c r="P12" i="38" s="1"/>
  <c r="AB11" i="38"/>
  <c r="Y11" i="38"/>
  <c r="Z11" i="38" s="1" a="1"/>
  <c r="Z11" i="38" s="1"/>
  <c r="U11" i="38"/>
  <c r="R11" i="38"/>
  <c r="S11" i="38" s="1" a="1"/>
  <c r="S11" i="38" s="1"/>
  <c r="P11" i="38" a="1"/>
  <c r="P11" i="38" s="1"/>
  <c r="AB10" i="38"/>
  <c r="Y10" i="38"/>
  <c r="Z10" i="38" s="1" a="1"/>
  <c r="Z10" i="38" s="1"/>
  <c r="U10" i="38"/>
  <c r="R10" i="38"/>
  <c r="S10" i="38" s="1" a="1"/>
  <c r="S10" i="38" s="1"/>
  <c r="P10" i="38" a="1"/>
  <c r="P10" i="38" s="1"/>
  <c r="AB9" i="38"/>
  <c r="Y9" i="38"/>
  <c r="Z9" i="38" s="1" a="1"/>
  <c r="Z9" i="38" s="1"/>
  <c r="U9" i="38"/>
  <c r="R9" i="38"/>
  <c r="S9" i="38" s="1" a="1"/>
  <c r="S9" i="38" s="1"/>
  <c r="P9" i="38" a="1"/>
  <c r="P9" i="38" s="1"/>
  <c r="AB8" i="38"/>
  <c r="Y8" i="38"/>
  <c r="Z8" i="38" s="1" a="1"/>
  <c r="Z8" i="38" s="1"/>
  <c r="U8" i="38"/>
  <c r="R8" i="38"/>
  <c r="S8" i="38" s="1" a="1"/>
  <c r="S8" i="38" s="1"/>
  <c r="P8" i="38" a="1"/>
  <c r="P8" i="38" s="1"/>
  <c r="AB7" i="38"/>
  <c r="Y7" i="38"/>
  <c r="Z7" i="38" s="1" a="1"/>
  <c r="Z7" i="38" s="1"/>
  <c r="U7" i="38"/>
  <c r="R7" i="38"/>
  <c r="S7" i="38" s="1" a="1"/>
  <c r="S7" i="38" s="1"/>
  <c r="P7" i="38" a="1"/>
  <c r="P7" i="38" s="1"/>
  <c r="AB6" i="38"/>
  <c r="Y6" i="38"/>
  <c r="Z6" i="38" s="1" a="1"/>
  <c r="Z6" i="38" s="1"/>
  <c r="U6" i="38"/>
  <c r="R6" i="38"/>
  <c r="S6" i="38" s="1" a="1"/>
  <c r="S6" i="38" s="1"/>
  <c r="P6" i="38" a="1"/>
  <c r="P6" i="38" s="1"/>
  <c r="V14" i="3" l="1"/>
  <c r="AE6" i="37" a="1"/>
  <c r="AE6" i="37" s="1"/>
  <c r="AE7" i="37" a="1"/>
  <c r="AE7" i="37" s="1"/>
  <c r="AE8" i="37" a="1"/>
  <c r="AE8" i="37" s="1"/>
  <c r="AE9" i="37" a="1"/>
  <c r="AE9" i="37" s="1"/>
  <c r="AE10" i="37" a="1"/>
  <c r="AE10" i="37" s="1"/>
  <c r="AE11" i="37" a="1"/>
  <c r="AE11" i="37"/>
  <c r="AE12" i="37" a="1"/>
  <c r="AE12" i="37" s="1"/>
  <c r="AE13" i="37" a="1"/>
  <c r="AE13" i="37"/>
  <c r="AE14" i="37" a="1"/>
  <c r="AE14" i="37"/>
  <c r="AE15" i="37" a="1"/>
  <c r="AE15" i="37"/>
  <c r="AE16" i="37" a="1"/>
  <c r="AE16" i="37" s="1"/>
  <c r="AE17" i="37" a="1"/>
  <c r="AE17" i="37" s="1"/>
  <c r="AE18" i="37" a="1"/>
  <c r="AE18" i="37" s="1"/>
  <c r="AE19" i="37" a="1"/>
  <c r="AE19" i="37" s="1"/>
  <c r="AE20" i="37" a="1"/>
  <c r="AE20" i="37" s="1"/>
  <c r="AE21" i="37" a="1"/>
  <c r="AE21" i="37" s="1"/>
  <c r="AE22" i="37" a="1"/>
  <c r="AE22" i="37" s="1"/>
  <c r="AE23" i="37" a="1"/>
  <c r="AE23" i="37" s="1"/>
  <c r="AE24" i="37" a="1"/>
  <c r="AE24" i="37" s="1"/>
  <c r="AE25" i="37" a="1"/>
  <c r="AE25" i="37"/>
  <c r="AE26" i="37" a="1"/>
  <c r="AE26" i="37" s="1"/>
  <c r="AE27" i="37" a="1"/>
  <c r="AE27" i="37" s="1"/>
  <c r="AE28" i="37" a="1"/>
  <c r="AE28" i="37" s="1"/>
  <c r="AE29" i="37" a="1"/>
  <c r="AE29" i="37" s="1"/>
  <c r="AE30" i="37" a="1"/>
  <c r="AE30" i="37" s="1"/>
  <c r="AE31" i="37" a="1"/>
  <c r="AE31" i="37"/>
  <c r="AE32" i="37" a="1"/>
  <c r="AE32" i="37" s="1"/>
  <c r="AE33" i="37" a="1"/>
  <c r="AE33" i="37" s="1"/>
  <c r="AE34" i="37" a="1"/>
  <c r="AE34" i="37" s="1"/>
  <c r="AE35" i="37" a="1"/>
  <c r="AE35" i="37"/>
  <c r="AE36" i="37" a="1"/>
  <c r="AE36" i="37" s="1"/>
  <c r="AE37" i="37" a="1"/>
  <c r="AE37" i="37" s="1"/>
  <c r="AE38" i="37" a="1"/>
  <c r="AE38" i="37" s="1"/>
  <c r="AE39" i="37" a="1"/>
  <c r="AE39" i="37" s="1"/>
  <c r="AE40" i="37" a="1"/>
  <c r="AE40" i="37" s="1"/>
  <c r="AE41" i="37" a="1"/>
  <c r="AE41" i="37"/>
  <c r="AE42" i="37" a="1"/>
  <c r="AE42" i="37" s="1"/>
  <c r="AE43" i="37" a="1"/>
  <c r="AE43" i="37" s="1"/>
  <c r="AE44" i="37" a="1"/>
  <c r="AE44" i="37"/>
  <c r="AE45" i="37" a="1"/>
  <c r="AE45" i="37" s="1"/>
  <c r="AE46" i="37" a="1"/>
  <c r="AE46" i="37"/>
  <c r="AE47" i="37" a="1"/>
  <c r="AE47" i="37" s="1"/>
  <c r="AE48" i="37" a="1"/>
  <c r="AE48" i="37" s="1"/>
  <c r="AE49" i="37" a="1"/>
  <c r="AE49" i="37" s="1"/>
  <c r="AE50" i="37" a="1"/>
  <c r="AE50" i="37" s="1"/>
  <c r="AE51" i="37" a="1"/>
  <c r="AE51" i="37" s="1"/>
  <c r="AE52" i="37" a="1"/>
  <c r="AE52" i="37" s="1"/>
  <c r="AE53" i="37" a="1"/>
  <c r="AE53" i="37" s="1"/>
  <c r="AE54" i="37" a="1"/>
  <c r="AE54" i="37"/>
  <c r="AE55" i="37" a="1"/>
  <c r="AE55" i="37"/>
  <c r="AE56" i="37" a="1"/>
  <c r="AE56" i="37"/>
  <c r="AE57" i="37" a="1"/>
  <c r="AE57" i="37" s="1"/>
  <c r="AE58" i="37" a="1"/>
  <c r="AE58" i="37" s="1"/>
  <c r="AE59" i="37" a="1"/>
  <c r="AE59" i="37" s="1"/>
  <c r="AE60" i="37" a="1"/>
  <c r="AE60" i="37" s="1"/>
  <c r="AE61" i="37" a="1"/>
  <c r="AE61" i="37" s="1"/>
  <c r="AE62" i="37" a="1"/>
  <c r="AE62" i="37" s="1"/>
  <c r="AE63" i="37" a="1"/>
  <c r="AE63" i="37" s="1"/>
  <c r="AE64" i="37" a="1"/>
  <c r="AE64" i="37" s="1"/>
  <c r="AE65" i="37" a="1"/>
  <c r="AE65" i="37" s="1"/>
  <c r="AE66" i="37" a="1"/>
  <c r="AE66" i="37" s="1"/>
  <c r="AE67" i="37" a="1"/>
  <c r="AE67" i="37" s="1"/>
  <c r="AE68" i="37" a="1"/>
  <c r="AE68" i="37" s="1"/>
  <c r="AE69" i="37" a="1"/>
  <c r="AE69" i="37" s="1"/>
  <c r="AE70" i="37" a="1"/>
  <c r="AE70" i="37" s="1"/>
  <c r="AE71" i="37" a="1"/>
  <c r="AE71" i="37" s="1"/>
  <c r="AE72" i="37" a="1"/>
  <c r="AE72" i="37" s="1"/>
  <c r="AE73" i="37" a="1"/>
  <c r="AE73" i="37"/>
  <c r="AE74" i="37" a="1"/>
  <c r="AE74" i="37" s="1"/>
  <c r="AE75" i="37" a="1"/>
  <c r="AE75" i="37"/>
  <c r="AE76" i="37" a="1"/>
  <c r="AE76" i="37" s="1"/>
  <c r="AE77" i="37" a="1"/>
  <c r="AE77" i="37"/>
  <c r="AE78" i="37" a="1"/>
  <c r="AE78" i="37" s="1"/>
  <c r="AE79" i="37" a="1"/>
  <c r="AE79" i="37" s="1"/>
  <c r="AE80" i="37" a="1"/>
  <c r="AE80" i="37" s="1"/>
  <c r="AE81" i="37" a="1"/>
  <c r="AE81" i="37" s="1"/>
  <c r="AE82" i="37" a="1"/>
  <c r="AE82" i="37" s="1"/>
  <c r="AE83" i="37" a="1"/>
  <c r="AE83" i="37" s="1"/>
  <c r="AE84" i="37" a="1"/>
  <c r="AE84" i="37" s="1"/>
  <c r="AE85" i="37" a="1"/>
  <c r="AE85" i="37" s="1"/>
  <c r="AE86" i="37" a="1"/>
  <c r="AE86" i="37" s="1"/>
  <c r="AE87" i="37" a="1"/>
  <c r="AE87" i="37"/>
  <c r="AE88" i="37" a="1"/>
  <c r="AE88" i="37"/>
  <c r="AE89" i="37" a="1"/>
  <c r="AE89" i="37" s="1"/>
  <c r="AE90" i="37" a="1"/>
  <c r="AE90" i="37" s="1"/>
  <c r="AE91" i="37" a="1"/>
  <c r="AE91" i="37" s="1"/>
  <c r="AE92" i="37" a="1"/>
  <c r="AE92" i="37" s="1"/>
  <c r="AE93" i="37" a="1"/>
  <c r="AE93" i="37" s="1"/>
  <c r="AE94" i="37" a="1"/>
  <c r="AE94" i="37" s="1"/>
  <c r="AE95" i="37" a="1"/>
  <c r="AE95" i="37" s="1"/>
  <c r="AE96" i="37" a="1"/>
  <c r="AE96" i="37" s="1"/>
  <c r="AE97" i="37" a="1"/>
  <c r="AE97" i="37" s="1"/>
  <c r="AE98" i="37" a="1"/>
  <c r="AE98" i="37"/>
  <c r="AE99" i="37" a="1"/>
  <c r="AE99" i="37" s="1"/>
  <c r="AE100" i="37" a="1"/>
  <c r="AE100" i="37" s="1"/>
  <c r="AE101" i="37" a="1"/>
  <c r="AE101" i="37" s="1"/>
  <c r="AE102" i="37" a="1"/>
  <c r="AE102" i="37" s="1"/>
  <c r="AE103" i="37" a="1"/>
  <c r="AE103" i="37" s="1"/>
  <c r="AE104" i="37" a="1"/>
  <c r="AE104" i="37"/>
  <c r="AE105" i="37" a="1"/>
  <c r="AE105" i="37" s="1"/>
  <c r="AE106" i="37" a="1"/>
  <c r="AE106" i="37" s="1"/>
  <c r="AE107" i="37" a="1"/>
  <c r="AE107" i="37" s="1"/>
  <c r="AE108" i="37" a="1"/>
  <c r="AE108" i="37" s="1"/>
  <c r="AE109" i="37" a="1"/>
  <c r="AE109" i="37" s="1"/>
  <c r="AE110" i="37" a="1"/>
  <c r="AE110" i="37" s="1"/>
  <c r="AE111" i="37" a="1"/>
  <c r="AE111" i="37" s="1"/>
  <c r="AE112" i="37" a="1"/>
  <c r="AE112" i="37"/>
  <c r="AE113" i="37" a="1"/>
  <c r="AE113" i="37" s="1"/>
  <c r="AE114" i="37" a="1"/>
  <c r="AE114" i="37" s="1"/>
  <c r="AE115" i="37" a="1"/>
  <c r="AE115" i="37" s="1"/>
  <c r="AE116" i="37" a="1"/>
  <c r="AE116" i="37" s="1"/>
  <c r="AE117" i="37" a="1"/>
  <c r="AE117" i="37"/>
  <c r="AE118" i="37" a="1"/>
  <c r="AE118" i="37" s="1"/>
  <c r="AE119" i="37" a="1"/>
  <c r="AE119" i="37"/>
  <c r="AE120" i="37" a="1"/>
  <c r="AE120" i="37" s="1"/>
  <c r="AE121" i="37" a="1"/>
  <c r="AE121" i="37" s="1"/>
  <c r="AE122" i="37" a="1"/>
  <c r="AE122" i="37" s="1"/>
  <c r="AE123" i="37" a="1"/>
  <c r="AE123" i="37" s="1"/>
  <c r="AE124" i="37" a="1"/>
  <c r="AE124" i="37" s="1"/>
  <c r="AE125" i="37" a="1"/>
  <c r="AE125" i="37" s="1"/>
  <c r="AE126" i="37" a="1"/>
  <c r="AE126" i="37" s="1"/>
  <c r="AE127" i="37" a="1"/>
  <c r="AE127" i="37"/>
  <c r="AE128" i="37" a="1"/>
  <c r="AE128" i="37"/>
  <c r="AE129" i="37" a="1"/>
  <c r="AE129" i="37"/>
  <c r="AE130" i="37" a="1"/>
  <c r="AE130" i="37" s="1"/>
  <c r="AE131" i="37" a="1"/>
  <c r="AE131" i="37" s="1"/>
  <c r="AE132" i="37" a="1"/>
  <c r="AE132" i="37" s="1"/>
  <c r="AE133" i="37" a="1"/>
  <c r="AE133" i="37" s="1"/>
  <c r="AE134" i="37" a="1"/>
  <c r="AE134" i="37" s="1"/>
  <c r="AE135" i="37" a="1"/>
  <c r="AE135" i="37" s="1"/>
  <c r="AE136" i="37" a="1"/>
  <c r="AE136" i="37" s="1"/>
  <c r="AE137" i="37" a="1"/>
  <c r="AE137" i="37" s="1"/>
  <c r="AE138" i="37" a="1"/>
  <c r="AE138" i="37" s="1"/>
  <c r="AE139" i="37" a="1"/>
  <c r="AE139" i="37"/>
  <c r="AE140" i="37" a="1"/>
  <c r="AE140" i="37" s="1"/>
  <c r="AE141" i="37" a="1"/>
  <c r="AE141" i="37"/>
  <c r="AE142" i="37" a="1"/>
  <c r="AE142" i="37"/>
  <c r="AE143" i="37" a="1"/>
  <c r="AE143" i="37"/>
  <c r="AE144" i="37" a="1"/>
  <c r="AE144" i="37" s="1"/>
  <c r="AE145" i="37" a="1"/>
  <c r="AE145" i="37" s="1"/>
  <c r="AE146" i="37" a="1"/>
  <c r="AE146" i="37" s="1"/>
  <c r="AE147" i="37" a="1"/>
  <c r="AE147" i="37" s="1"/>
  <c r="AE148" i="37" a="1"/>
  <c r="AE148" i="37"/>
  <c r="AE149" i="37" a="1"/>
  <c r="AE149" i="37" s="1"/>
  <c r="AE150" i="37" a="1"/>
  <c r="AE150" i="37" s="1"/>
  <c r="AE151" i="37" a="1"/>
  <c r="AE151" i="37" s="1"/>
  <c r="AE152" i="37" a="1"/>
  <c r="AE152" i="37" s="1"/>
  <c r="AE153" i="37" a="1"/>
  <c r="AE153" i="37"/>
  <c r="AE154" i="37" a="1"/>
  <c r="AE154" i="37"/>
  <c r="AE155" i="37" a="1"/>
  <c r="AE155" i="37" s="1"/>
  <c r="AE156" i="37" a="1"/>
  <c r="AE156" i="37" s="1"/>
  <c r="AE157" i="37" a="1"/>
  <c r="AE157" i="37" s="1"/>
  <c r="AE158" i="37" a="1"/>
  <c r="AE158" i="37" s="1"/>
  <c r="AE159" i="37" a="1"/>
  <c r="AE159" i="37" s="1"/>
  <c r="AE160" i="37" a="1"/>
  <c r="AE160" i="37" s="1"/>
  <c r="AE161" i="37" a="1"/>
  <c r="AE161" i="37" s="1"/>
  <c r="AE162" i="37" a="1"/>
  <c r="AE162" i="37" s="1"/>
  <c r="AE163" i="37" a="1"/>
  <c r="AE163" i="37" s="1"/>
  <c r="AE164" i="37" a="1"/>
  <c r="AE164" i="37" s="1"/>
  <c r="AE165" i="37" a="1"/>
  <c r="AE165" i="37"/>
  <c r="AE166" i="37" a="1"/>
  <c r="AE166" i="37" s="1"/>
  <c r="AE167" i="37" a="1"/>
  <c r="AE167" i="37" s="1"/>
  <c r="AE168" i="37" a="1"/>
  <c r="AE168" i="37" s="1"/>
  <c r="AE169" i="37" a="1"/>
  <c r="AE169" i="37" s="1"/>
  <c r="AE170" i="37" a="1"/>
  <c r="AE170" i="37" s="1"/>
  <c r="AE171" i="37" a="1"/>
  <c r="AE171" i="37"/>
  <c r="AE172" i="37" a="1"/>
  <c r="AE172" i="37"/>
  <c r="AE173" i="37" a="1"/>
  <c r="AE173" i="37" s="1"/>
  <c r="AE174" i="37" a="1"/>
  <c r="AE174" i="37"/>
  <c r="AE175" i="37" a="1"/>
  <c r="AE175" i="37" s="1"/>
  <c r="AE176" i="37" a="1"/>
  <c r="AE176" i="37" s="1"/>
  <c r="AE177" i="37" a="1"/>
  <c r="AE177" i="37" s="1"/>
  <c r="AE178" i="37" a="1"/>
  <c r="AE178" i="37" s="1"/>
  <c r="AE179" i="37" a="1"/>
  <c r="AE179" i="37" s="1"/>
  <c r="AE180" i="37" a="1"/>
  <c r="AE180" i="37" s="1"/>
  <c r="AE181" i="37" a="1"/>
  <c r="AE181" i="37" s="1"/>
  <c r="AE182" i="37" a="1"/>
  <c r="AE182" i="37"/>
  <c r="AE183" i="37" a="1"/>
  <c r="AE183" i="37" s="1"/>
  <c r="AE184" i="37" a="1"/>
  <c r="AE184" i="37" s="1"/>
  <c r="AE185" i="37" a="1"/>
  <c r="AE185" i="37"/>
  <c r="AE186" i="37" a="1"/>
  <c r="AE186" i="37" s="1"/>
  <c r="AE187" i="37" a="1"/>
  <c r="AE187" i="37"/>
  <c r="AE188" i="37" a="1"/>
  <c r="AE188" i="37"/>
  <c r="AE189" i="37" a="1"/>
  <c r="AE189" i="37" s="1"/>
  <c r="AE190" i="37" a="1"/>
  <c r="AE190" i="37" s="1"/>
  <c r="AE191" i="37" a="1"/>
  <c r="AE191" i="37" s="1"/>
  <c r="AE192" i="37" a="1"/>
  <c r="AE192" i="37" s="1"/>
  <c r="AE193" i="37" a="1"/>
  <c r="AE193" i="37"/>
  <c r="AE194" i="37" a="1"/>
  <c r="AE194" i="37" s="1"/>
  <c r="AE195" i="37" a="1"/>
  <c r="AE195" i="37" s="1"/>
  <c r="AE196" i="37" a="1"/>
  <c r="AE196" i="37" s="1"/>
  <c r="AE197" i="37" a="1"/>
  <c r="AE197" i="37" s="1"/>
  <c r="AE198" i="37" a="1"/>
  <c r="AE198" i="37" s="1"/>
  <c r="AE199" i="37" a="1"/>
  <c r="AE199" i="37"/>
  <c r="AE200" i="37" a="1"/>
  <c r="AE200" i="37" s="1"/>
  <c r="AE201" i="37" a="1"/>
  <c r="AE201" i="37" s="1"/>
  <c r="AB201" i="37"/>
  <c r="Y201" i="37"/>
  <c r="Z201" i="37" s="1" a="1"/>
  <c r="Z201" i="37" s="1"/>
  <c r="U201" i="37"/>
  <c r="R201" i="37"/>
  <c r="S201" i="37" s="1" a="1"/>
  <c r="S201" i="37" s="1"/>
  <c r="P201" i="37" a="1"/>
  <c r="P201" i="37" s="1"/>
  <c r="AB200" i="37"/>
  <c r="Y200" i="37"/>
  <c r="Z200" i="37" s="1" a="1"/>
  <c r="Z200" i="37" s="1"/>
  <c r="U200" i="37"/>
  <c r="R200" i="37"/>
  <c r="S200" i="37" s="1" a="1"/>
  <c r="S200" i="37" s="1"/>
  <c r="P200" i="37" a="1"/>
  <c r="P200" i="37" s="1"/>
  <c r="AB199" i="37"/>
  <c r="Y199" i="37"/>
  <c r="Z199" i="37" s="1" a="1"/>
  <c r="Z199" i="37" s="1"/>
  <c r="U199" i="37"/>
  <c r="R199" i="37"/>
  <c r="S199" i="37" s="1" a="1"/>
  <c r="S199" i="37" s="1"/>
  <c r="P199" i="37" a="1"/>
  <c r="P199" i="37" s="1"/>
  <c r="AB198" i="37"/>
  <c r="Y198" i="37"/>
  <c r="Z198" i="37" s="1" a="1"/>
  <c r="Z198" i="37" s="1"/>
  <c r="U198" i="37"/>
  <c r="R198" i="37"/>
  <c r="S198" i="37" s="1" a="1"/>
  <c r="S198" i="37" s="1"/>
  <c r="P198" i="37" a="1"/>
  <c r="P198" i="37" s="1"/>
  <c r="AB197" i="37"/>
  <c r="Y197" i="37"/>
  <c r="Z197" i="37" s="1" a="1"/>
  <c r="Z197" i="37" s="1"/>
  <c r="U197" i="37"/>
  <c r="R197" i="37"/>
  <c r="S197" i="37" s="1" a="1"/>
  <c r="S197" i="37" s="1"/>
  <c r="P197" i="37" a="1"/>
  <c r="P197" i="37" s="1"/>
  <c r="AB196" i="37"/>
  <c r="Y196" i="37"/>
  <c r="Z196" i="37" s="1" a="1"/>
  <c r="Z196" i="37" s="1"/>
  <c r="U196" i="37"/>
  <c r="R196" i="37"/>
  <c r="S196" i="37" s="1" a="1"/>
  <c r="S196" i="37" s="1"/>
  <c r="P196" i="37" a="1"/>
  <c r="P196" i="37" s="1"/>
  <c r="AB195" i="37"/>
  <c r="Y195" i="37"/>
  <c r="Z195" i="37" s="1" a="1"/>
  <c r="Z195" i="37" s="1"/>
  <c r="U195" i="37"/>
  <c r="R195" i="37"/>
  <c r="S195" i="37" s="1" a="1"/>
  <c r="S195" i="37" s="1"/>
  <c r="P195" i="37" a="1"/>
  <c r="P195" i="37" s="1"/>
  <c r="AB194" i="37"/>
  <c r="Y194" i="37"/>
  <c r="Z194" i="37" s="1" a="1"/>
  <c r="Z194" i="37" s="1"/>
  <c r="U194" i="37"/>
  <c r="R194" i="37"/>
  <c r="S194" i="37" s="1" a="1"/>
  <c r="S194" i="37" s="1"/>
  <c r="P194" i="37" a="1"/>
  <c r="P194" i="37" s="1"/>
  <c r="AB193" i="37"/>
  <c r="Y193" i="37"/>
  <c r="Z193" i="37" s="1" a="1"/>
  <c r="Z193" i="37" s="1"/>
  <c r="U193" i="37"/>
  <c r="R193" i="37"/>
  <c r="S193" i="37" s="1" a="1"/>
  <c r="S193" i="37" s="1"/>
  <c r="P193" i="37" a="1"/>
  <c r="P193" i="37" s="1"/>
  <c r="AB192" i="37"/>
  <c r="Y192" i="37"/>
  <c r="Z192" i="37" s="1" a="1"/>
  <c r="Z192" i="37" s="1"/>
  <c r="U192" i="37"/>
  <c r="R192" i="37"/>
  <c r="S192" i="37" s="1" a="1"/>
  <c r="S192" i="37" s="1"/>
  <c r="P192" i="37" a="1"/>
  <c r="P192" i="37" s="1"/>
  <c r="AB191" i="37"/>
  <c r="Y191" i="37"/>
  <c r="Z191" i="37" s="1" a="1"/>
  <c r="Z191" i="37" s="1"/>
  <c r="U191" i="37"/>
  <c r="R191" i="37"/>
  <c r="S191" i="37" s="1" a="1"/>
  <c r="S191" i="37" s="1"/>
  <c r="P191" i="37" a="1"/>
  <c r="P191" i="37" s="1"/>
  <c r="AB190" i="37"/>
  <c r="Y190" i="37"/>
  <c r="Z190" i="37" s="1" a="1"/>
  <c r="Z190" i="37" s="1"/>
  <c r="U190" i="37"/>
  <c r="R190" i="37"/>
  <c r="S190" i="37" s="1" a="1"/>
  <c r="S190" i="37" s="1"/>
  <c r="P190" i="37" a="1"/>
  <c r="P190" i="37" s="1"/>
  <c r="AB189" i="37"/>
  <c r="Y189" i="37"/>
  <c r="Z189" i="37" s="1" a="1"/>
  <c r="Z189" i="37" s="1"/>
  <c r="U189" i="37"/>
  <c r="R189" i="37"/>
  <c r="S189" i="37" s="1" a="1"/>
  <c r="S189" i="37" s="1"/>
  <c r="P189" i="37" a="1"/>
  <c r="P189" i="37" s="1"/>
  <c r="AB188" i="37"/>
  <c r="Y188" i="37"/>
  <c r="Z188" i="37" s="1" a="1"/>
  <c r="Z188" i="37" s="1"/>
  <c r="U188" i="37"/>
  <c r="R188" i="37"/>
  <c r="S188" i="37" s="1" a="1"/>
  <c r="S188" i="37" s="1"/>
  <c r="P188" i="37" a="1"/>
  <c r="P188" i="37" s="1"/>
  <c r="AB187" i="37"/>
  <c r="Y187" i="37"/>
  <c r="Z187" i="37" s="1" a="1"/>
  <c r="Z187" i="37" s="1"/>
  <c r="U187" i="37"/>
  <c r="R187" i="37"/>
  <c r="S187" i="37" s="1" a="1"/>
  <c r="S187" i="37" s="1"/>
  <c r="P187" i="37" a="1"/>
  <c r="P187" i="37" s="1"/>
  <c r="AB186" i="37"/>
  <c r="Y186" i="37"/>
  <c r="Z186" i="37" s="1" a="1"/>
  <c r="Z186" i="37" s="1"/>
  <c r="U186" i="37"/>
  <c r="R186" i="37"/>
  <c r="S186" i="37" s="1" a="1"/>
  <c r="S186" i="37" s="1"/>
  <c r="P186" i="37" a="1"/>
  <c r="P186" i="37" s="1"/>
  <c r="AB185" i="37"/>
  <c r="Y185" i="37"/>
  <c r="Z185" i="37" s="1" a="1"/>
  <c r="Z185" i="37" s="1"/>
  <c r="U185" i="37"/>
  <c r="R185" i="37"/>
  <c r="S185" i="37" s="1" a="1"/>
  <c r="S185" i="37" s="1"/>
  <c r="P185" i="37" a="1"/>
  <c r="P185" i="37" s="1"/>
  <c r="AB184" i="37"/>
  <c r="Y184" i="37"/>
  <c r="Z184" i="37" s="1" a="1"/>
  <c r="Z184" i="37" s="1"/>
  <c r="U184" i="37"/>
  <c r="R184" i="37"/>
  <c r="S184" i="37" s="1" a="1"/>
  <c r="S184" i="37" s="1"/>
  <c r="P184" i="37" a="1"/>
  <c r="P184" i="37" s="1"/>
  <c r="AB183" i="37"/>
  <c r="Y183" i="37"/>
  <c r="Z183" i="37" s="1" a="1"/>
  <c r="Z183" i="37" s="1"/>
  <c r="U183" i="37"/>
  <c r="R183" i="37"/>
  <c r="S183" i="37" s="1" a="1"/>
  <c r="S183" i="37" s="1"/>
  <c r="P183" i="37" a="1"/>
  <c r="P183" i="37" s="1"/>
  <c r="AB182" i="37"/>
  <c r="Y182" i="37"/>
  <c r="Z182" i="37" s="1" a="1"/>
  <c r="Z182" i="37" s="1"/>
  <c r="U182" i="37"/>
  <c r="R182" i="37"/>
  <c r="S182" i="37" s="1" a="1"/>
  <c r="S182" i="37" s="1"/>
  <c r="P182" i="37" a="1"/>
  <c r="P182" i="37" s="1"/>
  <c r="AB181" i="37"/>
  <c r="Y181" i="37"/>
  <c r="Z181" i="37" s="1" a="1"/>
  <c r="Z181" i="37" s="1"/>
  <c r="U181" i="37"/>
  <c r="R181" i="37"/>
  <c r="S181" i="37" s="1" a="1"/>
  <c r="S181" i="37" s="1"/>
  <c r="P181" i="37" a="1"/>
  <c r="P181" i="37" s="1"/>
  <c r="AB180" i="37"/>
  <c r="Y180" i="37"/>
  <c r="Z180" i="37" s="1" a="1"/>
  <c r="Z180" i="37" s="1"/>
  <c r="U180" i="37"/>
  <c r="R180" i="37"/>
  <c r="S180" i="37" s="1" a="1"/>
  <c r="S180" i="37" s="1"/>
  <c r="P180" i="37" a="1"/>
  <c r="P180" i="37" s="1"/>
  <c r="AB179" i="37"/>
  <c r="Y179" i="37"/>
  <c r="Z179" i="37" s="1" a="1"/>
  <c r="Z179" i="37" s="1"/>
  <c r="U179" i="37"/>
  <c r="R179" i="37"/>
  <c r="S179" i="37" s="1" a="1"/>
  <c r="S179" i="37" s="1"/>
  <c r="P179" i="37" a="1"/>
  <c r="P179" i="37" s="1"/>
  <c r="AB178" i="37"/>
  <c r="Y178" i="37"/>
  <c r="Z178" i="37" s="1" a="1"/>
  <c r="Z178" i="37" s="1"/>
  <c r="U178" i="37"/>
  <c r="R178" i="37"/>
  <c r="S178" i="37" s="1" a="1"/>
  <c r="S178" i="37" s="1"/>
  <c r="P178" i="37" a="1"/>
  <c r="P178" i="37" s="1"/>
  <c r="AB177" i="37"/>
  <c r="Y177" i="37"/>
  <c r="Z177" i="37" s="1" a="1"/>
  <c r="Z177" i="37" s="1"/>
  <c r="U177" i="37"/>
  <c r="R177" i="37"/>
  <c r="S177" i="37" s="1" a="1"/>
  <c r="S177" i="37" s="1"/>
  <c r="P177" i="37" a="1"/>
  <c r="P177" i="37" s="1"/>
  <c r="AB176" i="37"/>
  <c r="Y176" i="37"/>
  <c r="Z176" i="37" s="1" a="1"/>
  <c r="Z176" i="37" s="1"/>
  <c r="U176" i="37"/>
  <c r="R176" i="37"/>
  <c r="S176" i="37" s="1" a="1"/>
  <c r="S176" i="37" s="1"/>
  <c r="P176" i="37" a="1"/>
  <c r="P176" i="37" s="1"/>
  <c r="AB175" i="37"/>
  <c r="Y175" i="37"/>
  <c r="Z175" i="37" s="1" a="1"/>
  <c r="Z175" i="37" s="1"/>
  <c r="U175" i="37"/>
  <c r="R175" i="37"/>
  <c r="S175" i="37" s="1" a="1"/>
  <c r="S175" i="37" s="1"/>
  <c r="P175" i="37" a="1"/>
  <c r="P175" i="37" s="1"/>
  <c r="AB174" i="37"/>
  <c r="Y174" i="37"/>
  <c r="Z174" i="37" s="1" a="1"/>
  <c r="Z174" i="37" s="1"/>
  <c r="U174" i="37"/>
  <c r="R174" i="37"/>
  <c r="S174" i="37" s="1" a="1"/>
  <c r="S174" i="37" s="1"/>
  <c r="P174" i="37" a="1"/>
  <c r="P174" i="37" s="1"/>
  <c r="AB173" i="37"/>
  <c r="Y173" i="37"/>
  <c r="Z173" i="37" s="1" a="1"/>
  <c r="Z173" i="37" s="1"/>
  <c r="U173" i="37"/>
  <c r="R173" i="37"/>
  <c r="S173" i="37" s="1" a="1"/>
  <c r="S173" i="37" s="1"/>
  <c r="P173" i="37" a="1"/>
  <c r="P173" i="37" s="1"/>
  <c r="AB172" i="37"/>
  <c r="Y172" i="37"/>
  <c r="Z172" i="37" s="1" a="1"/>
  <c r="Z172" i="37" s="1"/>
  <c r="U172" i="37"/>
  <c r="R172" i="37"/>
  <c r="S172" i="37" s="1" a="1"/>
  <c r="S172" i="37" s="1"/>
  <c r="P172" i="37" a="1"/>
  <c r="P172" i="37" s="1"/>
  <c r="AB171" i="37"/>
  <c r="Y171" i="37"/>
  <c r="Z171" i="37" s="1" a="1"/>
  <c r="Z171" i="37" s="1"/>
  <c r="U171" i="37"/>
  <c r="R171" i="37"/>
  <c r="S171" i="37" s="1" a="1"/>
  <c r="S171" i="37" s="1"/>
  <c r="P171" i="37" a="1"/>
  <c r="P171" i="37" s="1"/>
  <c r="AB170" i="37"/>
  <c r="Y170" i="37"/>
  <c r="Z170" i="37" s="1" a="1"/>
  <c r="Z170" i="37" s="1"/>
  <c r="U170" i="37"/>
  <c r="R170" i="37"/>
  <c r="S170" i="37" s="1" a="1"/>
  <c r="S170" i="37" s="1"/>
  <c r="P170" i="37" a="1"/>
  <c r="P170" i="37" s="1"/>
  <c r="AB169" i="37"/>
  <c r="Y169" i="37"/>
  <c r="Z169" i="37" s="1" a="1"/>
  <c r="Z169" i="37" s="1"/>
  <c r="U169" i="37"/>
  <c r="R169" i="37"/>
  <c r="S169" i="37" s="1" a="1"/>
  <c r="S169" i="37" s="1"/>
  <c r="P169" i="37" a="1"/>
  <c r="P169" i="37" s="1"/>
  <c r="AB168" i="37"/>
  <c r="Y168" i="37"/>
  <c r="Z168" i="37" s="1" a="1"/>
  <c r="Z168" i="37" s="1"/>
  <c r="U168" i="37"/>
  <c r="R168" i="37"/>
  <c r="S168" i="37" s="1" a="1"/>
  <c r="S168" i="37" s="1"/>
  <c r="P168" i="37" a="1"/>
  <c r="P168" i="37" s="1"/>
  <c r="AB167" i="37"/>
  <c r="Y167" i="37"/>
  <c r="Z167" i="37" s="1" a="1"/>
  <c r="Z167" i="37" s="1"/>
  <c r="U167" i="37"/>
  <c r="R167" i="37"/>
  <c r="S167" i="37" s="1" a="1"/>
  <c r="S167" i="37" s="1"/>
  <c r="P167" i="37" a="1"/>
  <c r="P167" i="37" s="1"/>
  <c r="AB166" i="37"/>
  <c r="Y166" i="37"/>
  <c r="Z166" i="37" s="1" a="1"/>
  <c r="Z166" i="37" s="1"/>
  <c r="U166" i="37"/>
  <c r="R166" i="37"/>
  <c r="S166" i="37" s="1" a="1"/>
  <c r="S166" i="37" s="1"/>
  <c r="P166" i="37" a="1"/>
  <c r="P166" i="37" s="1"/>
  <c r="AB165" i="37"/>
  <c r="Y165" i="37"/>
  <c r="Z165" i="37" s="1" a="1"/>
  <c r="Z165" i="37" s="1"/>
  <c r="U165" i="37"/>
  <c r="R165" i="37"/>
  <c r="S165" i="37" s="1" a="1"/>
  <c r="S165" i="37" s="1"/>
  <c r="P165" i="37" a="1"/>
  <c r="P165" i="37" s="1"/>
  <c r="AB164" i="37"/>
  <c r="Y164" i="37"/>
  <c r="Z164" i="37" s="1" a="1"/>
  <c r="Z164" i="37" s="1"/>
  <c r="U164" i="37"/>
  <c r="R164" i="37"/>
  <c r="S164" i="37" s="1" a="1"/>
  <c r="S164" i="37" s="1"/>
  <c r="P164" i="37" a="1"/>
  <c r="P164" i="37" s="1"/>
  <c r="AB163" i="37"/>
  <c r="Y163" i="37"/>
  <c r="Z163" i="37" s="1" a="1"/>
  <c r="Z163" i="37" s="1"/>
  <c r="U163" i="37"/>
  <c r="R163" i="37"/>
  <c r="S163" i="37" s="1" a="1"/>
  <c r="S163" i="37" s="1"/>
  <c r="P163" i="37" a="1"/>
  <c r="P163" i="37" s="1"/>
  <c r="AB162" i="37"/>
  <c r="Y162" i="37"/>
  <c r="Z162" i="37" s="1" a="1"/>
  <c r="Z162" i="37" s="1"/>
  <c r="U162" i="37"/>
  <c r="R162" i="37"/>
  <c r="S162" i="37" s="1" a="1"/>
  <c r="S162" i="37" s="1"/>
  <c r="P162" i="37" a="1"/>
  <c r="P162" i="37" s="1"/>
  <c r="AB161" i="37"/>
  <c r="Y161" i="37"/>
  <c r="Z161" i="37" s="1" a="1"/>
  <c r="Z161" i="37" s="1"/>
  <c r="U161" i="37"/>
  <c r="R161" i="37"/>
  <c r="S161" i="37" s="1" a="1"/>
  <c r="S161" i="37" s="1"/>
  <c r="P161" i="37" a="1"/>
  <c r="P161" i="37" s="1"/>
  <c r="AB160" i="37"/>
  <c r="Y160" i="37"/>
  <c r="Z160" i="37" s="1" a="1"/>
  <c r="Z160" i="37" s="1"/>
  <c r="U160" i="37"/>
  <c r="R160" i="37"/>
  <c r="S160" i="37" s="1" a="1"/>
  <c r="S160" i="37" s="1"/>
  <c r="P160" i="37" a="1"/>
  <c r="P160" i="37" s="1"/>
  <c r="AB159" i="37"/>
  <c r="Y159" i="37"/>
  <c r="Z159" i="37" s="1" a="1"/>
  <c r="Z159" i="37" s="1"/>
  <c r="U159" i="37"/>
  <c r="R159" i="37"/>
  <c r="S159" i="37" s="1" a="1"/>
  <c r="S159" i="37" s="1"/>
  <c r="P159" i="37" a="1"/>
  <c r="P159" i="37" s="1"/>
  <c r="AB158" i="37"/>
  <c r="Y158" i="37"/>
  <c r="Z158" i="37" s="1" a="1"/>
  <c r="Z158" i="37" s="1"/>
  <c r="U158" i="37"/>
  <c r="R158" i="37"/>
  <c r="S158" i="37" s="1" a="1"/>
  <c r="S158" i="37" s="1"/>
  <c r="P158" i="37" a="1"/>
  <c r="P158" i="37" s="1"/>
  <c r="AB157" i="37"/>
  <c r="Y157" i="37"/>
  <c r="Z157" i="37" s="1" a="1"/>
  <c r="Z157" i="37" s="1"/>
  <c r="U157" i="37"/>
  <c r="R157" i="37"/>
  <c r="S157" i="37" s="1" a="1"/>
  <c r="S157" i="37" s="1"/>
  <c r="P157" i="37" a="1"/>
  <c r="P157" i="37" s="1"/>
  <c r="AB156" i="37"/>
  <c r="Y156" i="37"/>
  <c r="Z156" i="37" s="1" a="1"/>
  <c r="Z156" i="37" s="1"/>
  <c r="U156" i="37"/>
  <c r="R156" i="37"/>
  <c r="S156" i="37" s="1" a="1"/>
  <c r="S156" i="37" s="1"/>
  <c r="P156" i="37" a="1"/>
  <c r="P156" i="37" s="1"/>
  <c r="AB155" i="37"/>
  <c r="Y155" i="37"/>
  <c r="Z155" i="37" s="1" a="1"/>
  <c r="Z155" i="37" s="1"/>
  <c r="U155" i="37"/>
  <c r="R155" i="37"/>
  <c r="S155" i="37" s="1" a="1"/>
  <c r="S155" i="37" s="1"/>
  <c r="P155" i="37" a="1"/>
  <c r="P155" i="37" s="1"/>
  <c r="AB154" i="37"/>
  <c r="Y154" i="37"/>
  <c r="Z154" i="37" s="1" a="1"/>
  <c r="Z154" i="37" s="1"/>
  <c r="U154" i="37"/>
  <c r="R154" i="37"/>
  <c r="S154" i="37" s="1" a="1"/>
  <c r="S154" i="37" s="1"/>
  <c r="P154" i="37" a="1"/>
  <c r="P154" i="37" s="1"/>
  <c r="AB153" i="37"/>
  <c r="Y153" i="37"/>
  <c r="Z153" i="37" s="1" a="1"/>
  <c r="Z153" i="37" s="1"/>
  <c r="U153" i="37"/>
  <c r="R153" i="37"/>
  <c r="S153" i="37" s="1" a="1"/>
  <c r="S153" i="37" s="1"/>
  <c r="P153" i="37" a="1"/>
  <c r="P153" i="37" s="1"/>
  <c r="AB152" i="37"/>
  <c r="Y152" i="37"/>
  <c r="Z152" i="37" s="1" a="1"/>
  <c r="Z152" i="37" s="1"/>
  <c r="U152" i="37"/>
  <c r="R152" i="37"/>
  <c r="S152" i="37" s="1" a="1"/>
  <c r="S152" i="37" s="1"/>
  <c r="P152" i="37" a="1"/>
  <c r="P152" i="37" s="1"/>
  <c r="AB151" i="37"/>
  <c r="Y151" i="37"/>
  <c r="Z151" i="37" s="1" a="1"/>
  <c r="Z151" i="37" s="1"/>
  <c r="U151" i="37"/>
  <c r="R151" i="37"/>
  <c r="S151" i="37" s="1" a="1"/>
  <c r="S151" i="37" s="1"/>
  <c r="P151" i="37" a="1"/>
  <c r="P151" i="37" s="1"/>
  <c r="AB150" i="37"/>
  <c r="Y150" i="37"/>
  <c r="Z150" i="37" s="1" a="1"/>
  <c r="Z150" i="37" s="1"/>
  <c r="U150" i="37"/>
  <c r="R150" i="37"/>
  <c r="S150" i="37" s="1" a="1"/>
  <c r="S150" i="37" s="1"/>
  <c r="P150" i="37" a="1"/>
  <c r="P150" i="37" s="1"/>
  <c r="AB149" i="37"/>
  <c r="Y149" i="37"/>
  <c r="Z149" i="37" s="1" a="1"/>
  <c r="Z149" i="37" s="1"/>
  <c r="U149" i="37"/>
  <c r="R149" i="37"/>
  <c r="S149" i="37" s="1" a="1"/>
  <c r="S149" i="37" s="1"/>
  <c r="P149" i="37" a="1"/>
  <c r="P149" i="37" s="1"/>
  <c r="AB148" i="37"/>
  <c r="Y148" i="37"/>
  <c r="Z148" i="37" s="1" a="1"/>
  <c r="Z148" i="37" s="1"/>
  <c r="U148" i="37"/>
  <c r="R148" i="37"/>
  <c r="S148" i="37" s="1" a="1"/>
  <c r="S148" i="37" s="1"/>
  <c r="P148" i="37" a="1"/>
  <c r="P148" i="37" s="1"/>
  <c r="AB147" i="37"/>
  <c r="Y147" i="37"/>
  <c r="Z147" i="37" s="1" a="1"/>
  <c r="Z147" i="37" s="1"/>
  <c r="U147" i="37"/>
  <c r="R147" i="37"/>
  <c r="S147" i="37" s="1" a="1"/>
  <c r="S147" i="37" s="1"/>
  <c r="P147" i="37" a="1"/>
  <c r="P147" i="37" s="1"/>
  <c r="AB146" i="37"/>
  <c r="Y146" i="37"/>
  <c r="Z146" i="37" s="1" a="1"/>
  <c r="Z146" i="37" s="1"/>
  <c r="U146" i="37"/>
  <c r="R146" i="37"/>
  <c r="S146" i="37" s="1" a="1"/>
  <c r="S146" i="37" s="1"/>
  <c r="P146" i="37" a="1"/>
  <c r="P146" i="37" s="1"/>
  <c r="AB145" i="37"/>
  <c r="Y145" i="37"/>
  <c r="Z145" i="37" s="1" a="1"/>
  <c r="Z145" i="37" s="1"/>
  <c r="U145" i="37"/>
  <c r="R145" i="37"/>
  <c r="S145" i="37" s="1" a="1"/>
  <c r="S145" i="37" s="1"/>
  <c r="P145" i="37" a="1"/>
  <c r="P145" i="37" s="1"/>
  <c r="AB144" i="37"/>
  <c r="Y144" i="37"/>
  <c r="Z144" i="37" s="1" a="1"/>
  <c r="Z144" i="37" s="1"/>
  <c r="U144" i="37"/>
  <c r="R144" i="37"/>
  <c r="S144" i="37" s="1" a="1"/>
  <c r="S144" i="37" s="1"/>
  <c r="P144" i="37" a="1"/>
  <c r="P144" i="37" s="1"/>
  <c r="AB143" i="37"/>
  <c r="Y143" i="37"/>
  <c r="Z143" i="37" s="1" a="1"/>
  <c r="Z143" i="37" s="1"/>
  <c r="U143" i="37"/>
  <c r="R143" i="37"/>
  <c r="S143" i="37" s="1" a="1"/>
  <c r="S143" i="37" s="1"/>
  <c r="P143" i="37" a="1"/>
  <c r="P143" i="37" s="1"/>
  <c r="AB142" i="37"/>
  <c r="Y142" i="37"/>
  <c r="Z142" i="37" s="1" a="1"/>
  <c r="Z142" i="37" s="1"/>
  <c r="U142" i="37"/>
  <c r="R142" i="37"/>
  <c r="S142" i="37" s="1" a="1"/>
  <c r="S142" i="37" s="1"/>
  <c r="P142" i="37" a="1"/>
  <c r="P142" i="37" s="1"/>
  <c r="AB141" i="37"/>
  <c r="Y141" i="37"/>
  <c r="Z141" i="37" s="1" a="1"/>
  <c r="Z141" i="37" s="1"/>
  <c r="U141" i="37"/>
  <c r="R141" i="37"/>
  <c r="S141" i="37" s="1" a="1"/>
  <c r="S141" i="37" s="1"/>
  <c r="P141" i="37" a="1"/>
  <c r="P141" i="37" s="1"/>
  <c r="AB140" i="37"/>
  <c r="Y140" i="37"/>
  <c r="Z140" i="37" s="1" a="1"/>
  <c r="Z140" i="37" s="1"/>
  <c r="U140" i="37"/>
  <c r="R140" i="37"/>
  <c r="S140" i="37" s="1" a="1"/>
  <c r="S140" i="37" s="1"/>
  <c r="P140" i="37" a="1"/>
  <c r="P140" i="37" s="1"/>
  <c r="AB139" i="37"/>
  <c r="Y139" i="37"/>
  <c r="Z139" i="37" s="1" a="1"/>
  <c r="Z139" i="37" s="1"/>
  <c r="U139" i="37"/>
  <c r="R139" i="37"/>
  <c r="S139" i="37" s="1" a="1"/>
  <c r="S139" i="37" s="1"/>
  <c r="P139" i="37" a="1"/>
  <c r="P139" i="37" s="1"/>
  <c r="AB138" i="37"/>
  <c r="Y138" i="37"/>
  <c r="Z138" i="37" s="1" a="1"/>
  <c r="Z138" i="37" s="1"/>
  <c r="U138" i="37"/>
  <c r="R138" i="37"/>
  <c r="S138" i="37" s="1" a="1"/>
  <c r="S138" i="37" s="1"/>
  <c r="P138" i="37" a="1"/>
  <c r="P138" i="37" s="1"/>
  <c r="AB137" i="37"/>
  <c r="Y137" i="37"/>
  <c r="Z137" i="37" s="1" a="1"/>
  <c r="Z137" i="37" s="1"/>
  <c r="U137" i="37"/>
  <c r="R137" i="37"/>
  <c r="S137" i="37" s="1" a="1"/>
  <c r="S137" i="37" s="1"/>
  <c r="P137" i="37" a="1"/>
  <c r="P137" i="37" s="1"/>
  <c r="AB136" i="37"/>
  <c r="Y136" i="37"/>
  <c r="Z136" i="37" s="1" a="1"/>
  <c r="Z136" i="37" s="1"/>
  <c r="U136" i="37"/>
  <c r="R136" i="37"/>
  <c r="S136" i="37" s="1" a="1"/>
  <c r="S136" i="37" s="1"/>
  <c r="P136" i="37" a="1"/>
  <c r="P136" i="37" s="1"/>
  <c r="AB135" i="37"/>
  <c r="Y135" i="37"/>
  <c r="Z135" i="37" s="1" a="1"/>
  <c r="Z135" i="37" s="1"/>
  <c r="U135" i="37"/>
  <c r="R135" i="37"/>
  <c r="S135" i="37" s="1" a="1"/>
  <c r="S135" i="37" s="1"/>
  <c r="P135" i="37" a="1"/>
  <c r="P135" i="37" s="1"/>
  <c r="AB134" i="37"/>
  <c r="Y134" i="37"/>
  <c r="Z134" i="37" s="1" a="1"/>
  <c r="Z134" i="37" s="1"/>
  <c r="U134" i="37"/>
  <c r="R134" i="37"/>
  <c r="S134" i="37" s="1" a="1"/>
  <c r="S134" i="37" s="1"/>
  <c r="P134" i="37" a="1"/>
  <c r="P134" i="37" s="1"/>
  <c r="AB133" i="37"/>
  <c r="Y133" i="37"/>
  <c r="Z133" i="37" s="1" a="1"/>
  <c r="Z133" i="37" s="1"/>
  <c r="U133" i="37"/>
  <c r="R133" i="37"/>
  <c r="S133" i="37" s="1" a="1"/>
  <c r="S133" i="37" s="1"/>
  <c r="P133" i="37" a="1"/>
  <c r="P133" i="37" s="1"/>
  <c r="AB132" i="37"/>
  <c r="Y132" i="37"/>
  <c r="Z132" i="37" s="1" a="1"/>
  <c r="Z132" i="37" s="1"/>
  <c r="U132" i="37"/>
  <c r="R132" i="37"/>
  <c r="S132" i="37" s="1" a="1"/>
  <c r="S132" i="37" s="1"/>
  <c r="P132" i="37" a="1"/>
  <c r="P132" i="37" s="1"/>
  <c r="AB131" i="37"/>
  <c r="Y131" i="37"/>
  <c r="Z131" i="37" s="1" a="1"/>
  <c r="Z131" i="37" s="1"/>
  <c r="U131" i="37"/>
  <c r="R131" i="37"/>
  <c r="S131" i="37" s="1" a="1"/>
  <c r="S131" i="37" s="1"/>
  <c r="P131" i="37" a="1"/>
  <c r="P131" i="37" s="1"/>
  <c r="AB130" i="37"/>
  <c r="Y130" i="37"/>
  <c r="Z130" i="37" s="1" a="1"/>
  <c r="Z130" i="37" s="1"/>
  <c r="U130" i="37"/>
  <c r="R130" i="37"/>
  <c r="S130" i="37" s="1" a="1"/>
  <c r="S130" i="37" s="1"/>
  <c r="P130" i="37" a="1"/>
  <c r="P130" i="37" s="1"/>
  <c r="AB129" i="37"/>
  <c r="Y129" i="37"/>
  <c r="Z129" i="37" s="1" a="1"/>
  <c r="Z129" i="37" s="1"/>
  <c r="U129" i="37"/>
  <c r="R129" i="37"/>
  <c r="S129" i="37" s="1" a="1"/>
  <c r="S129" i="37" s="1"/>
  <c r="P129" i="37" a="1"/>
  <c r="P129" i="37" s="1"/>
  <c r="AB128" i="37"/>
  <c r="Y128" i="37"/>
  <c r="Z128" i="37" s="1" a="1"/>
  <c r="Z128" i="37" s="1"/>
  <c r="U128" i="37"/>
  <c r="R128" i="37"/>
  <c r="S128" i="37" s="1" a="1"/>
  <c r="S128" i="37" s="1"/>
  <c r="P128" i="37" a="1"/>
  <c r="P128" i="37" s="1"/>
  <c r="AB127" i="37"/>
  <c r="Y127" i="37"/>
  <c r="Z127" i="37" s="1" a="1"/>
  <c r="Z127" i="37" s="1"/>
  <c r="U127" i="37"/>
  <c r="R127" i="37"/>
  <c r="S127" i="37" s="1" a="1"/>
  <c r="S127" i="37" s="1"/>
  <c r="P127" i="37" a="1"/>
  <c r="P127" i="37" s="1"/>
  <c r="AB126" i="37"/>
  <c r="Y126" i="37"/>
  <c r="Z126" i="37" s="1" a="1"/>
  <c r="Z126" i="37" s="1"/>
  <c r="U126" i="37"/>
  <c r="R126" i="37"/>
  <c r="S126" i="37" s="1" a="1"/>
  <c r="S126" i="37" s="1"/>
  <c r="P126" i="37" a="1"/>
  <c r="P126" i="37" s="1"/>
  <c r="AB125" i="37"/>
  <c r="Y125" i="37"/>
  <c r="Z125" i="37" s="1" a="1"/>
  <c r="Z125" i="37" s="1"/>
  <c r="U125" i="37"/>
  <c r="R125" i="37"/>
  <c r="S125" i="37" s="1" a="1"/>
  <c r="S125" i="37" s="1"/>
  <c r="P125" i="37" a="1"/>
  <c r="P125" i="37" s="1"/>
  <c r="AB124" i="37"/>
  <c r="Y124" i="37"/>
  <c r="Z124" i="37" s="1" a="1"/>
  <c r="Z124" i="37" s="1"/>
  <c r="U124" i="37"/>
  <c r="R124" i="37"/>
  <c r="S124" i="37" s="1" a="1"/>
  <c r="S124" i="37" s="1"/>
  <c r="P124" i="37" a="1"/>
  <c r="P124" i="37" s="1"/>
  <c r="AB123" i="37"/>
  <c r="Y123" i="37"/>
  <c r="Z123" i="37" s="1" a="1"/>
  <c r="Z123" i="37" s="1"/>
  <c r="U123" i="37"/>
  <c r="R123" i="37"/>
  <c r="S123" i="37" s="1" a="1"/>
  <c r="S123" i="37" s="1"/>
  <c r="P123" i="37" a="1"/>
  <c r="P123" i="37" s="1"/>
  <c r="AB122" i="37"/>
  <c r="Y122" i="37"/>
  <c r="Z122" i="37" s="1" a="1"/>
  <c r="Z122" i="37" s="1"/>
  <c r="U122" i="37"/>
  <c r="R122" i="37"/>
  <c r="S122" i="37" s="1" a="1"/>
  <c r="S122" i="37" s="1"/>
  <c r="P122" i="37" a="1"/>
  <c r="P122" i="37" s="1"/>
  <c r="AB121" i="37"/>
  <c r="Y121" i="37"/>
  <c r="Z121" i="37" s="1" a="1"/>
  <c r="Z121" i="37" s="1"/>
  <c r="U121" i="37"/>
  <c r="R121" i="37"/>
  <c r="S121" i="37" s="1" a="1"/>
  <c r="S121" i="37" s="1"/>
  <c r="P121" i="37" a="1"/>
  <c r="P121" i="37" s="1"/>
  <c r="AB120" i="37"/>
  <c r="Y120" i="37"/>
  <c r="Z120" i="37" s="1" a="1"/>
  <c r="Z120" i="37" s="1"/>
  <c r="U120" i="37"/>
  <c r="R120" i="37"/>
  <c r="S120" i="37" s="1" a="1"/>
  <c r="S120" i="37" s="1"/>
  <c r="P120" i="37" a="1"/>
  <c r="P120" i="37" s="1"/>
  <c r="AB119" i="37"/>
  <c r="Y119" i="37"/>
  <c r="Z119" i="37" s="1" a="1"/>
  <c r="Z119" i="37" s="1"/>
  <c r="U119" i="37"/>
  <c r="R119" i="37"/>
  <c r="S119" i="37" s="1" a="1"/>
  <c r="S119" i="37" s="1"/>
  <c r="P119" i="37" a="1"/>
  <c r="P119" i="37" s="1"/>
  <c r="AB118" i="37"/>
  <c r="Y118" i="37"/>
  <c r="Z118" i="37" s="1" a="1"/>
  <c r="Z118" i="37" s="1"/>
  <c r="U118" i="37"/>
  <c r="R118" i="37"/>
  <c r="S118" i="37" s="1" a="1"/>
  <c r="S118" i="37" s="1"/>
  <c r="P118" i="37" a="1"/>
  <c r="P118" i="37" s="1"/>
  <c r="AB117" i="37"/>
  <c r="Y117" i="37"/>
  <c r="Z117" i="37" s="1" a="1"/>
  <c r="Z117" i="37" s="1"/>
  <c r="U117" i="37"/>
  <c r="R117" i="37"/>
  <c r="S117" i="37" s="1" a="1"/>
  <c r="S117" i="37" s="1"/>
  <c r="P117" i="37" a="1"/>
  <c r="P117" i="37" s="1"/>
  <c r="AB116" i="37"/>
  <c r="Y116" i="37"/>
  <c r="Z116" i="37" s="1" a="1"/>
  <c r="Z116" i="37" s="1"/>
  <c r="U116" i="37"/>
  <c r="R116" i="37"/>
  <c r="S116" i="37" s="1" a="1"/>
  <c r="S116" i="37" s="1"/>
  <c r="P116" i="37" a="1"/>
  <c r="P116" i="37" s="1"/>
  <c r="AB115" i="37"/>
  <c r="Y115" i="37"/>
  <c r="Z115" i="37" s="1" a="1"/>
  <c r="Z115" i="37" s="1"/>
  <c r="U115" i="37"/>
  <c r="R115" i="37"/>
  <c r="S115" i="37" s="1" a="1"/>
  <c r="S115" i="37" s="1"/>
  <c r="P115" i="37" a="1"/>
  <c r="P115" i="37" s="1"/>
  <c r="AB114" i="37"/>
  <c r="Y114" i="37"/>
  <c r="Z114" i="37" s="1" a="1"/>
  <c r="Z114" i="37" s="1"/>
  <c r="U114" i="37"/>
  <c r="R114" i="37"/>
  <c r="S114" i="37" s="1" a="1"/>
  <c r="S114" i="37" s="1"/>
  <c r="P114" i="37" a="1"/>
  <c r="P114" i="37" s="1"/>
  <c r="AB113" i="37"/>
  <c r="Y113" i="37"/>
  <c r="Z113" i="37" s="1" a="1"/>
  <c r="Z113" i="37" s="1"/>
  <c r="U113" i="37"/>
  <c r="R113" i="37"/>
  <c r="S113" i="37" s="1" a="1"/>
  <c r="S113" i="37" s="1"/>
  <c r="P113" i="37" a="1"/>
  <c r="P113" i="37" s="1"/>
  <c r="AB112" i="37"/>
  <c r="Y112" i="37"/>
  <c r="Z112" i="37" s="1" a="1"/>
  <c r="Z112" i="37" s="1"/>
  <c r="U112" i="37"/>
  <c r="R112" i="37"/>
  <c r="S112" i="37" s="1" a="1"/>
  <c r="S112" i="37" s="1"/>
  <c r="P112" i="37" a="1"/>
  <c r="P112" i="37" s="1"/>
  <c r="AB111" i="37"/>
  <c r="Y111" i="37"/>
  <c r="Z111" i="37" s="1" a="1"/>
  <c r="Z111" i="37" s="1"/>
  <c r="U111" i="37"/>
  <c r="R111" i="37"/>
  <c r="S111" i="37" s="1" a="1"/>
  <c r="S111" i="37" s="1"/>
  <c r="P111" i="37" a="1"/>
  <c r="P111" i="37" s="1"/>
  <c r="AB110" i="37"/>
  <c r="Y110" i="37"/>
  <c r="Z110" i="37" s="1" a="1"/>
  <c r="Z110" i="37" s="1"/>
  <c r="U110" i="37"/>
  <c r="R110" i="37"/>
  <c r="S110" i="37" s="1" a="1"/>
  <c r="S110" i="37" s="1"/>
  <c r="P110" i="37" a="1"/>
  <c r="P110" i="37" s="1"/>
  <c r="AB109" i="37"/>
  <c r="Y109" i="37"/>
  <c r="Z109" i="37" s="1" a="1"/>
  <c r="Z109" i="37" s="1"/>
  <c r="U109" i="37"/>
  <c r="R109" i="37"/>
  <c r="S109" i="37" s="1" a="1"/>
  <c r="S109" i="37" s="1"/>
  <c r="P109" i="37" a="1"/>
  <c r="P109" i="37" s="1"/>
  <c r="AB108" i="37"/>
  <c r="Y108" i="37"/>
  <c r="Z108" i="37" s="1" a="1"/>
  <c r="Z108" i="37" s="1"/>
  <c r="U108" i="37"/>
  <c r="R108" i="37"/>
  <c r="S108" i="37" s="1" a="1"/>
  <c r="S108" i="37" s="1"/>
  <c r="P108" i="37" a="1"/>
  <c r="P108" i="37" s="1"/>
  <c r="AB107" i="37"/>
  <c r="Y107" i="37"/>
  <c r="Z107" i="37" s="1" a="1"/>
  <c r="Z107" i="37" s="1"/>
  <c r="U107" i="37"/>
  <c r="R107" i="37"/>
  <c r="S107" i="37" s="1" a="1"/>
  <c r="S107" i="37" s="1"/>
  <c r="P107" i="37" a="1"/>
  <c r="P107" i="37" s="1"/>
  <c r="AB106" i="37"/>
  <c r="Y106" i="37"/>
  <c r="Z106" i="37" s="1" a="1"/>
  <c r="Z106" i="37" s="1"/>
  <c r="U106" i="37"/>
  <c r="R106" i="37"/>
  <c r="S106" i="37" s="1" a="1"/>
  <c r="S106" i="37" s="1"/>
  <c r="P106" i="37" a="1"/>
  <c r="P106" i="37" s="1"/>
  <c r="AB105" i="37"/>
  <c r="Y105" i="37"/>
  <c r="Z105" i="37" s="1" a="1"/>
  <c r="Z105" i="37" s="1"/>
  <c r="U105" i="37"/>
  <c r="R105" i="37"/>
  <c r="S105" i="37" s="1" a="1"/>
  <c r="S105" i="37" s="1"/>
  <c r="P105" i="37" a="1"/>
  <c r="P105" i="37" s="1"/>
  <c r="AB104" i="37"/>
  <c r="Y104" i="37"/>
  <c r="Z104" i="37" s="1" a="1"/>
  <c r="Z104" i="37" s="1"/>
  <c r="U104" i="37"/>
  <c r="R104" i="37"/>
  <c r="S104" i="37" s="1" a="1"/>
  <c r="S104" i="37" s="1"/>
  <c r="P104" i="37" a="1"/>
  <c r="P104" i="37" s="1"/>
  <c r="AB103" i="37"/>
  <c r="Y103" i="37"/>
  <c r="Z103" i="37" s="1" a="1"/>
  <c r="Z103" i="37" s="1"/>
  <c r="U103" i="37"/>
  <c r="R103" i="37"/>
  <c r="S103" i="37" s="1" a="1"/>
  <c r="S103" i="37" s="1"/>
  <c r="P103" i="37" a="1"/>
  <c r="P103" i="37" s="1"/>
  <c r="AB102" i="37"/>
  <c r="Y102" i="37"/>
  <c r="Z102" i="37" s="1" a="1"/>
  <c r="Z102" i="37" s="1"/>
  <c r="U102" i="37"/>
  <c r="R102" i="37"/>
  <c r="S102" i="37" s="1" a="1"/>
  <c r="S102" i="37" s="1"/>
  <c r="P102" i="37" a="1"/>
  <c r="P102" i="37" s="1"/>
  <c r="AB101" i="37"/>
  <c r="Y101" i="37"/>
  <c r="Z101" i="37" s="1" a="1"/>
  <c r="Z101" i="37" s="1"/>
  <c r="U101" i="37"/>
  <c r="R101" i="37"/>
  <c r="S101" i="37" s="1" a="1"/>
  <c r="S101" i="37" s="1"/>
  <c r="P101" i="37" a="1"/>
  <c r="P101" i="37" s="1"/>
  <c r="AB100" i="37"/>
  <c r="Y100" i="37"/>
  <c r="Z100" i="37" s="1" a="1"/>
  <c r="Z100" i="37" s="1"/>
  <c r="U100" i="37"/>
  <c r="R100" i="37"/>
  <c r="S100" i="37" s="1" a="1"/>
  <c r="S100" i="37" s="1"/>
  <c r="P100" i="37" a="1"/>
  <c r="P100" i="37" s="1"/>
  <c r="AB99" i="37"/>
  <c r="Y99" i="37"/>
  <c r="Z99" i="37" s="1" a="1"/>
  <c r="Z99" i="37" s="1"/>
  <c r="U99" i="37"/>
  <c r="R99" i="37"/>
  <c r="S99" i="37" s="1" a="1"/>
  <c r="S99" i="37" s="1"/>
  <c r="P99" i="37" a="1"/>
  <c r="P99" i="37" s="1"/>
  <c r="AB98" i="37"/>
  <c r="Y98" i="37"/>
  <c r="Z98" i="37" s="1" a="1"/>
  <c r="Z98" i="37" s="1"/>
  <c r="U98" i="37"/>
  <c r="R98" i="37"/>
  <c r="S98" i="37" s="1" a="1"/>
  <c r="S98" i="37" s="1"/>
  <c r="P98" i="37" a="1"/>
  <c r="P98" i="37" s="1"/>
  <c r="AB97" i="37"/>
  <c r="Y97" i="37"/>
  <c r="Z97" i="37" s="1" a="1"/>
  <c r="Z97" i="37" s="1"/>
  <c r="U97" i="37"/>
  <c r="R97" i="37"/>
  <c r="S97" i="37" s="1" a="1"/>
  <c r="S97" i="37" s="1"/>
  <c r="P97" i="37" a="1"/>
  <c r="P97" i="37" s="1"/>
  <c r="AB96" i="37"/>
  <c r="Y96" i="37"/>
  <c r="Z96" i="37" s="1" a="1"/>
  <c r="Z96" i="37" s="1"/>
  <c r="U96" i="37"/>
  <c r="R96" i="37"/>
  <c r="S96" i="37" s="1" a="1"/>
  <c r="S96" i="37" s="1"/>
  <c r="P96" i="37" a="1"/>
  <c r="P96" i="37" s="1"/>
  <c r="AB95" i="37"/>
  <c r="Y95" i="37"/>
  <c r="Z95" i="37" s="1" a="1"/>
  <c r="Z95" i="37" s="1"/>
  <c r="U95" i="37"/>
  <c r="R95" i="37"/>
  <c r="S95" i="37" s="1" a="1"/>
  <c r="S95" i="37" s="1"/>
  <c r="P95" i="37" a="1"/>
  <c r="P95" i="37" s="1"/>
  <c r="AB94" i="37"/>
  <c r="Y94" i="37"/>
  <c r="Z94" i="37" s="1" a="1"/>
  <c r="Z94" i="37" s="1"/>
  <c r="U94" i="37"/>
  <c r="R94" i="37"/>
  <c r="S94" i="37" s="1" a="1"/>
  <c r="S94" i="37" s="1"/>
  <c r="P94" i="37" a="1"/>
  <c r="P94" i="37" s="1"/>
  <c r="AB93" i="37"/>
  <c r="Y93" i="37"/>
  <c r="Z93" i="37" s="1" a="1"/>
  <c r="Z93" i="37" s="1"/>
  <c r="U93" i="37"/>
  <c r="R93" i="37"/>
  <c r="S93" i="37" s="1" a="1"/>
  <c r="S93" i="37" s="1"/>
  <c r="P93" i="37" a="1"/>
  <c r="P93" i="37" s="1"/>
  <c r="AB92" i="37"/>
  <c r="Y92" i="37"/>
  <c r="Z92" i="37" s="1" a="1"/>
  <c r="Z92" i="37" s="1"/>
  <c r="U92" i="37"/>
  <c r="R92" i="37"/>
  <c r="S92" i="37" s="1" a="1"/>
  <c r="S92" i="37" s="1"/>
  <c r="P92" i="37" a="1"/>
  <c r="P92" i="37" s="1"/>
  <c r="AB91" i="37"/>
  <c r="Y91" i="37"/>
  <c r="Z91" i="37" s="1" a="1"/>
  <c r="Z91" i="37" s="1"/>
  <c r="U91" i="37"/>
  <c r="R91" i="37"/>
  <c r="S91" i="37" s="1" a="1"/>
  <c r="S91" i="37" s="1"/>
  <c r="P91" i="37" a="1"/>
  <c r="P91" i="37" s="1"/>
  <c r="AB90" i="37"/>
  <c r="Y90" i="37"/>
  <c r="Z90" i="37" s="1" a="1"/>
  <c r="Z90" i="37" s="1"/>
  <c r="U90" i="37"/>
  <c r="R90" i="37"/>
  <c r="S90" i="37" s="1" a="1"/>
  <c r="S90" i="37" s="1"/>
  <c r="P90" i="37" a="1"/>
  <c r="P90" i="37" s="1"/>
  <c r="AB89" i="37"/>
  <c r="Y89" i="37"/>
  <c r="Z89" i="37" s="1" a="1"/>
  <c r="Z89" i="37" s="1"/>
  <c r="U89" i="37"/>
  <c r="R89" i="37"/>
  <c r="S89" i="37" s="1" a="1"/>
  <c r="S89" i="37" s="1"/>
  <c r="P89" i="37" a="1"/>
  <c r="P89" i="37" s="1"/>
  <c r="AB88" i="37"/>
  <c r="Y88" i="37"/>
  <c r="Z88" i="37" s="1" a="1"/>
  <c r="Z88" i="37" s="1"/>
  <c r="U88" i="37"/>
  <c r="R88" i="37"/>
  <c r="S88" i="37" s="1" a="1"/>
  <c r="S88" i="37" s="1"/>
  <c r="P88" i="37" a="1"/>
  <c r="P88" i="37" s="1"/>
  <c r="AB87" i="37"/>
  <c r="Y87" i="37"/>
  <c r="Z87" i="37" s="1" a="1"/>
  <c r="Z87" i="37" s="1"/>
  <c r="U87" i="37"/>
  <c r="R87" i="37"/>
  <c r="S87" i="37" s="1" a="1"/>
  <c r="S87" i="37" s="1"/>
  <c r="P87" i="37" a="1"/>
  <c r="P87" i="37" s="1"/>
  <c r="AB86" i="37"/>
  <c r="Y86" i="37"/>
  <c r="Z86" i="37" s="1" a="1"/>
  <c r="Z86" i="37" s="1"/>
  <c r="U86" i="37"/>
  <c r="R86" i="37"/>
  <c r="S86" i="37" s="1" a="1"/>
  <c r="S86" i="37" s="1"/>
  <c r="P86" i="37" a="1"/>
  <c r="P86" i="37" s="1"/>
  <c r="AB85" i="37"/>
  <c r="Y85" i="37"/>
  <c r="Z85" i="37" s="1" a="1"/>
  <c r="Z85" i="37" s="1"/>
  <c r="U85" i="37"/>
  <c r="R85" i="37"/>
  <c r="S85" i="37" s="1" a="1"/>
  <c r="S85" i="37" s="1"/>
  <c r="P85" i="37" a="1"/>
  <c r="P85" i="37" s="1"/>
  <c r="AB84" i="37"/>
  <c r="Y84" i="37"/>
  <c r="Z84" i="37" s="1" a="1"/>
  <c r="Z84" i="37" s="1"/>
  <c r="U84" i="37"/>
  <c r="R84" i="37"/>
  <c r="S84" i="37" s="1" a="1"/>
  <c r="S84" i="37" s="1"/>
  <c r="P84" i="37" a="1"/>
  <c r="P84" i="37" s="1"/>
  <c r="AB83" i="37"/>
  <c r="Y83" i="37"/>
  <c r="Z83" i="37" s="1" a="1"/>
  <c r="Z83" i="37" s="1"/>
  <c r="U83" i="37"/>
  <c r="R83" i="37"/>
  <c r="S83" i="37" s="1" a="1"/>
  <c r="S83" i="37" s="1"/>
  <c r="P83" i="37" a="1"/>
  <c r="P83" i="37" s="1"/>
  <c r="AB82" i="37"/>
  <c r="Y82" i="37"/>
  <c r="Z82" i="37" s="1" a="1"/>
  <c r="Z82" i="37" s="1"/>
  <c r="U82" i="37"/>
  <c r="R82" i="37"/>
  <c r="S82" i="37" s="1" a="1"/>
  <c r="S82" i="37" s="1"/>
  <c r="P82" i="37" a="1"/>
  <c r="P82" i="37" s="1"/>
  <c r="AB81" i="37"/>
  <c r="Y81" i="37"/>
  <c r="Z81" i="37" s="1" a="1"/>
  <c r="Z81" i="37" s="1"/>
  <c r="U81" i="37"/>
  <c r="R81" i="37"/>
  <c r="S81" i="37" s="1" a="1"/>
  <c r="S81" i="37" s="1"/>
  <c r="P81" i="37" a="1"/>
  <c r="P81" i="37" s="1"/>
  <c r="AB80" i="37"/>
  <c r="Y80" i="37"/>
  <c r="Z80" i="37" s="1" a="1"/>
  <c r="Z80" i="37" s="1"/>
  <c r="U80" i="37"/>
  <c r="R80" i="37"/>
  <c r="S80" i="37" s="1" a="1"/>
  <c r="S80" i="37" s="1"/>
  <c r="P80" i="37" a="1"/>
  <c r="P80" i="37" s="1"/>
  <c r="AB79" i="37"/>
  <c r="Y79" i="37"/>
  <c r="Z79" i="37" s="1" a="1"/>
  <c r="Z79" i="37" s="1"/>
  <c r="U79" i="37"/>
  <c r="R79" i="37"/>
  <c r="S79" i="37" s="1" a="1"/>
  <c r="S79" i="37" s="1"/>
  <c r="P79" i="37" a="1"/>
  <c r="P79" i="37" s="1"/>
  <c r="AB78" i="37"/>
  <c r="Y78" i="37"/>
  <c r="Z78" i="37" s="1" a="1"/>
  <c r="Z78" i="37" s="1"/>
  <c r="U78" i="37"/>
  <c r="R78" i="37"/>
  <c r="S78" i="37" s="1" a="1"/>
  <c r="S78" i="37" s="1"/>
  <c r="P78" i="37" a="1"/>
  <c r="P78" i="37" s="1"/>
  <c r="AB77" i="37"/>
  <c r="Y77" i="37"/>
  <c r="Z77" i="37" s="1" a="1"/>
  <c r="Z77" i="37" s="1"/>
  <c r="U77" i="37"/>
  <c r="R77" i="37"/>
  <c r="S77" i="37" s="1" a="1"/>
  <c r="S77" i="37" s="1"/>
  <c r="P77" i="37" a="1"/>
  <c r="P77" i="37" s="1"/>
  <c r="AB76" i="37"/>
  <c r="Y76" i="37"/>
  <c r="Z76" i="37" s="1" a="1"/>
  <c r="Z76" i="37" s="1"/>
  <c r="U76" i="37"/>
  <c r="R76" i="37"/>
  <c r="S76" i="37" s="1" a="1"/>
  <c r="S76" i="37" s="1"/>
  <c r="P76" i="37" a="1"/>
  <c r="P76" i="37" s="1"/>
  <c r="AB75" i="37"/>
  <c r="Y75" i="37"/>
  <c r="Z75" i="37" s="1" a="1"/>
  <c r="Z75" i="37" s="1"/>
  <c r="U75" i="37"/>
  <c r="R75" i="37"/>
  <c r="S75" i="37" s="1" a="1"/>
  <c r="S75" i="37" s="1"/>
  <c r="P75" i="37" a="1"/>
  <c r="P75" i="37" s="1"/>
  <c r="AB74" i="37"/>
  <c r="Y74" i="37"/>
  <c r="Z74" i="37" s="1" a="1"/>
  <c r="Z74" i="37" s="1"/>
  <c r="U74" i="37"/>
  <c r="R74" i="37"/>
  <c r="S74" i="37" s="1" a="1"/>
  <c r="S74" i="37" s="1"/>
  <c r="P74" i="37" a="1"/>
  <c r="P74" i="37" s="1"/>
  <c r="AB73" i="37"/>
  <c r="Y73" i="37"/>
  <c r="Z73" i="37" s="1" a="1"/>
  <c r="Z73" i="37" s="1"/>
  <c r="U73" i="37"/>
  <c r="R73" i="37"/>
  <c r="S73" i="37" s="1" a="1"/>
  <c r="S73" i="37" s="1"/>
  <c r="P73" i="37" a="1"/>
  <c r="P73" i="37" s="1"/>
  <c r="AB72" i="37"/>
  <c r="Y72" i="37"/>
  <c r="Z72" i="37" s="1" a="1"/>
  <c r="Z72" i="37" s="1"/>
  <c r="U72" i="37"/>
  <c r="R72" i="37"/>
  <c r="S72" i="37" s="1" a="1"/>
  <c r="S72" i="37" s="1"/>
  <c r="P72" i="37" a="1"/>
  <c r="P72" i="37" s="1"/>
  <c r="AB71" i="37"/>
  <c r="Y71" i="37"/>
  <c r="Z71" i="37" s="1" a="1"/>
  <c r="Z71" i="37" s="1"/>
  <c r="U71" i="37"/>
  <c r="R71" i="37"/>
  <c r="S71" i="37" s="1" a="1"/>
  <c r="S71" i="37" s="1"/>
  <c r="P71" i="37" a="1"/>
  <c r="P71" i="37" s="1"/>
  <c r="AB70" i="37"/>
  <c r="Y70" i="37"/>
  <c r="Z70" i="37" s="1" a="1"/>
  <c r="Z70" i="37" s="1"/>
  <c r="U70" i="37"/>
  <c r="R70" i="37"/>
  <c r="S70" i="37" s="1" a="1"/>
  <c r="S70" i="37" s="1"/>
  <c r="P70" i="37" a="1"/>
  <c r="P70" i="37" s="1"/>
  <c r="AB69" i="37"/>
  <c r="Y69" i="37"/>
  <c r="Z69" i="37" s="1" a="1"/>
  <c r="Z69" i="37" s="1"/>
  <c r="U69" i="37"/>
  <c r="R69" i="37"/>
  <c r="S69" i="37" s="1" a="1"/>
  <c r="S69" i="37" s="1"/>
  <c r="P69" i="37" a="1"/>
  <c r="P69" i="37" s="1"/>
  <c r="AB68" i="37"/>
  <c r="Y68" i="37"/>
  <c r="Z68" i="37" s="1" a="1"/>
  <c r="Z68" i="37" s="1"/>
  <c r="U68" i="37"/>
  <c r="R68" i="37"/>
  <c r="S68" i="37" s="1" a="1"/>
  <c r="S68" i="37" s="1"/>
  <c r="P68" i="37" a="1"/>
  <c r="P68" i="37" s="1"/>
  <c r="AB67" i="37"/>
  <c r="Y67" i="37"/>
  <c r="Z67" i="37" s="1" a="1"/>
  <c r="Z67" i="37" s="1"/>
  <c r="U67" i="37"/>
  <c r="R67" i="37"/>
  <c r="S67" i="37" s="1" a="1"/>
  <c r="S67" i="37" s="1"/>
  <c r="P67" i="37" a="1"/>
  <c r="P67" i="37" s="1"/>
  <c r="AB66" i="37"/>
  <c r="Y66" i="37"/>
  <c r="Z66" i="37" s="1" a="1"/>
  <c r="Z66" i="37" s="1"/>
  <c r="U66" i="37"/>
  <c r="R66" i="37"/>
  <c r="S66" i="37" s="1" a="1"/>
  <c r="S66" i="37" s="1"/>
  <c r="P66" i="37" a="1"/>
  <c r="P66" i="37" s="1"/>
  <c r="AB65" i="37"/>
  <c r="Y65" i="37"/>
  <c r="Z65" i="37" s="1" a="1"/>
  <c r="Z65" i="37" s="1"/>
  <c r="U65" i="37"/>
  <c r="R65" i="37"/>
  <c r="S65" i="37" s="1" a="1"/>
  <c r="S65" i="37" s="1"/>
  <c r="P65" i="37" a="1"/>
  <c r="P65" i="37" s="1"/>
  <c r="AB64" i="37"/>
  <c r="Y64" i="37"/>
  <c r="Z64" i="37" s="1" a="1"/>
  <c r="Z64" i="37" s="1"/>
  <c r="U64" i="37"/>
  <c r="R64" i="37"/>
  <c r="S64" i="37" s="1" a="1"/>
  <c r="S64" i="37" s="1"/>
  <c r="P64" i="37" a="1"/>
  <c r="P64" i="37" s="1"/>
  <c r="AB63" i="37"/>
  <c r="Y63" i="37"/>
  <c r="Z63" i="37" s="1" a="1"/>
  <c r="Z63" i="37" s="1"/>
  <c r="U63" i="37"/>
  <c r="R63" i="37"/>
  <c r="S63" i="37" s="1" a="1"/>
  <c r="S63" i="37" s="1"/>
  <c r="P63" i="37" a="1"/>
  <c r="P63" i="37" s="1"/>
  <c r="AB62" i="37"/>
  <c r="Y62" i="37"/>
  <c r="Z62" i="37" s="1" a="1"/>
  <c r="Z62" i="37" s="1"/>
  <c r="U62" i="37"/>
  <c r="R62" i="37"/>
  <c r="S62" i="37" s="1" a="1"/>
  <c r="S62" i="37" s="1"/>
  <c r="P62" i="37" a="1"/>
  <c r="P62" i="37" s="1"/>
  <c r="AB61" i="37"/>
  <c r="Y61" i="37"/>
  <c r="Z61" i="37" s="1" a="1"/>
  <c r="Z61" i="37" s="1"/>
  <c r="U61" i="37"/>
  <c r="R61" i="37"/>
  <c r="S61" i="37" s="1" a="1"/>
  <c r="S61" i="37" s="1"/>
  <c r="P61" i="37" a="1"/>
  <c r="P61" i="37" s="1"/>
  <c r="AB60" i="37"/>
  <c r="Y60" i="37"/>
  <c r="Z60" i="37" s="1" a="1"/>
  <c r="Z60" i="37" s="1"/>
  <c r="U60" i="37"/>
  <c r="R60" i="37"/>
  <c r="S60" i="37" s="1" a="1"/>
  <c r="S60" i="37" s="1"/>
  <c r="P60" i="37" a="1"/>
  <c r="P60" i="37" s="1"/>
  <c r="AB59" i="37"/>
  <c r="Y59" i="37"/>
  <c r="Z59" i="37" s="1" a="1"/>
  <c r="Z59" i="37" s="1"/>
  <c r="U59" i="37"/>
  <c r="R59" i="37"/>
  <c r="S59" i="37" s="1" a="1"/>
  <c r="S59" i="37" s="1"/>
  <c r="P59" i="37" a="1"/>
  <c r="P59" i="37" s="1"/>
  <c r="AB58" i="37"/>
  <c r="Y58" i="37"/>
  <c r="Z58" i="37" s="1" a="1"/>
  <c r="Z58" i="37" s="1"/>
  <c r="U58" i="37"/>
  <c r="R58" i="37"/>
  <c r="S58" i="37" s="1" a="1"/>
  <c r="S58" i="37" s="1"/>
  <c r="P58" i="37" a="1"/>
  <c r="P58" i="37" s="1"/>
  <c r="AB57" i="37"/>
  <c r="Y57" i="37"/>
  <c r="Z57" i="37" s="1" a="1"/>
  <c r="Z57" i="37" s="1"/>
  <c r="U57" i="37"/>
  <c r="R57" i="37"/>
  <c r="S57" i="37" s="1" a="1"/>
  <c r="S57" i="37" s="1"/>
  <c r="P57" i="37" a="1"/>
  <c r="P57" i="37" s="1"/>
  <c r="AB56" i="37"/>
  <c r="Y56" i="37"/>
  <c r="Z56" i="37" s="1" a="1"/>
  <c r="Z56" i="37" s="1"/>
  <c r="U56" i="37"/>
  <c r="R56" i="37"/>
  <c r="S56" i="37" s="1" a="1"/>
  <c r="S56" i="37" s="1"/>
  <c r="P56" i="37" a="1"/>
  <c r="P56" i="37" s="1"/>
  <c r="AB55" i="37"/>
  <c r="Y55" i="37"/>
  <c r="Z55" i="37" s="1" a="1"/>
  <c r="Z55" i="37" s="1"/>
  <c r="U55" i="37"/>
  <c r="R55" i="37"/>
  <c r="S55" i="37" s="1" a="1"/>
  <c r="S55" i="37" s="1"/>
  <c r="P55" i="37" a="1"/>
  <c r="P55" i="37" s="1"/>
  <c r="AB54" i="37"/>
  <c r="Y54" i="37"/>
  <c r="Z54" i="37" s="1" a="1"/>
  <c r="Z54" i="37" s="1"/>
  <c r="U54" i="37"/>
  <c r="R54" i="37"/>
  <c r="S54" i="37" s="1" a="1"/>
  <c r="S54" i="37" s="1"/>
  <c r="P54" i="37" a="1"/>
  <c r="P54" i="37" s="1"/>
  <c r="AB53" i="37"/>
  <c r="Y53" i="37"/>
  <c r="Z53" i="37" s="1" a="1"/>
  <c r="Z53" i="37" s="1"/>
  <c r="U53" i="37"/>
  <c r="R53" i="37"/>
  <c r="S53" i="37" s="1" a="1"/>
  <c r="S53" i="37" s="1"/>
  <c r="P53" i="37" a="1"/>
  <c r="P53" i="37" s="1"/>
  <c r="AB52" i="37"/>
  <c r="Y52" i="37"/>
  <c r="Z52" i="37" s="1" a="1"/>
  <c r="Z52" i="37" s="1"/>
  <c r="U52" i="37"/>
  <c r="R52" i="37"/>
  <c r="S52" i="37" s="1" a="1"/>
  <c r="S52" i="37" s="1"/>
  <c r="P52" i="37" a="1"/>
  <c r="P52" i="37" s="1"/>
  <c r="AB51" i="37"/>
  <c r="Y51" i="37"/>
  <c r="Z51" i="37" s="1" a="1"/>
  <c r="Z51" i="37" s="1"/>
  <c r="U51" i="37"/>
  <c r="R51" i="37"/>
  <c r="S51" i="37" s="1" a="1"/>
  <c r="S51" i="37" s="1"/>
  <c r="P51" i="37" a="1"/>
  <c r="P51" i="37" s="1"/>
  <c r="AB50" i="37"/>
  <c r="Y50" i="37"/>
  <c r="Z50" i="37" s="1" a="1"/>
  <c r="Z50" i="37" s="1"/>
  <c r="U50" i="37"/>
  <c r="R50" i="37"/>
  <c r="S50" i="37" s="1" a="1"/>
  <c r="S50" i="37" s="1"/>
  <c r="P50" i="37" a="1"/>
  <c r="P50" i="37" s="1"/>
  <c r="AB49" i="37"/>
  <c r="Y49" i="37"/>
  <c r="Z49" i="37" s="1" a="1"/>
  <c r="Z49" i="37" s="1"/>
  <c r="U49" i="37"/>
  <c r="R49" i="37"/>
  <c r="S49" i="37" s="1" a="1"/>
  <c r="S49" i="37" s="1"/>
  <c r="P49" i="37" a="1"/>
  <c r="P49" i="37" s="1"/>
  <c r="AB48" i="37"/>
  <c r="Y48" i="37"/>
  <c r="Z48" i="37" s="1" a="1"/>
  <c r="Z48" i="37" s="1"/>
  <c r="U48" i="37"/>
  <c r="R48" i="37"/>
  <c r="S48" i="37" s="1" a="1"/>
  <c r="S48" i="37" s="1"/>
  <c r="P48" i="37" a="1"/>
  <c r="P48" i="37" s="1"/>
  <c r="AB47" i="37"/>
  <c r="Y47" i="37"/>
  <c r="Z47" i="37" s="1" a="1"/>
  <c r="Z47" i="37" s="1"/>
  <c r="U47" i="37"/>
  <c r="R47" i="37"/>
  <c r="S47" i="37" s="1" a="1"/>
  <c r="S47" i="37" s="1"/>
  <c r="P47" i="37" a="1"/>
  <c r="P47" i="37" s="1"/>
  <c r="AB46" i="37"/>
  <c r="Y46" i="37"/>
  <c r="Z46" i="37" s="1" a="1"/>
  <c r="Z46" i="37" s="1"/>
  <c r="U46" i="37"/>
  <c r="R46" i="37"/>
  <c r="S46" i="37" s="1" a="1"/>
  <c r="S46" i="37" s="1"/>
  <c r="P46" i="37" a="1"/>
  <c r="P46" i="37" s="1"/>
  <c r="AB45" i="37"/>
  <c r="Y45" i="37"/>
  <c r="Z45" i="37" s="1" a="1"/>
  <c r="Z45" i="37" s="1"/>
  <c r="U45" i="37"/>
  <c r="R45" i="37"/>
  <c r="S45" i="37" s="1" a="1"/>
  <c r="S45" i="37" s="1"/>
  <c r="P45" i="37" a="1"/>
  <c r="P45" i="37" s="1"/>
  <c r="AB44" i="37"/>
  <c r="Y44" i="37"/>
  <c r="Z44" i="37" s="1" a="1"/>
  <c r="Z44" i="37" s="1"/>
  <c r="U44" i="37"/>
  <c r="R44" i="37"/>
  <c r="S44" i="37" s="1" a="1"/>
  <c r="S44" i="37" s="1"/>
  <c r="P44" i="37" a="1"/>
  <c r="P44" i="37" s="1"/>
  <c r="AB43" i="37"/>
  <c r="Y43" i="37"/>
  <c r="Z43" i="37" s="1" a="1"/>
  <c r="Z43" i="37" s="1"/>
  <c r="U43" i="37"/>
  <c r="R43" i="37"/>
  <c r="S43" i="37" s="1" a="1"/>
  <c r="S43" i="37" s="1"/>
  <c r="P43" i="37" a="1"/>
  <c r="P43" i="37" s="1"/>
  <c r="AB42" i="37"/>
  <c r="Y42" i="37"/>
  <c r="Z42" i="37" s="1" a="1"/>
  <c r="Z42" i="37" s="1"/>
  <c r="U42" i="37"/>
  <c r="R42" i="37"/>
  <c r="S42" i="37" s="1" a="1"/>
  <c r="S42" i="37" s="1"/>
  <c r="P42" i="37" a="1"/>
  <c r="P42" i="37" s="1"/>
  <c r="AB41" i="37"/>
  <c r="Y41" i="37"/>
  <c r="Z41" i="37" s="1" a="1"/>
  <c r="Z41" i="37" s="1"/>
  <c r="U41" i="37"/>
  <c r="R41" i="37"/>
  <c r="S41" i="37" s="1" a="1"/>
  <c r="S41" i="37" s="1"/>
  <c r="P41" i="37" a="1"/>
  <c r="P41" i="37" s="1"/>
  <c r="AB40" i="37"/>
  <c r="Y40" i="37"/>
  <c r="Z40" i="37" s="1" a="1"/>
  <c r="Z40" i="37" s="1"/>
  <c r="U40" i="37"/>
  <c r="R40" i="37"/>
  <c r="S40" i="37" s="1" a="1"/>
  <c r="S40" i="37" s="1"/>
  <c r="P40" i="37" a="1"/>
  <c r="P40" i="37" s="1"/>
  <c r="AB39" i="37"/>
  <c r="Y39" i="37"/>
  <c r="Z39" i="37" s="1" a="1"/>
  <c r="Z39" i="37" s="1"/>
  <c r="U39" i="37"/>
  <c r="R39" i="37"/>
  <c r="S39" i="37" s="1" a="1"/>
  <c r="S39" i="37" s="1"/>
  <c r="P39" i="37" a="1"/>
  <c r="P39" i="37" s="1"/>
  <c r="AB38" i="37"/>
  <c r="Y38" i="37"/>
  <c r="Z38" i="37" s="1" a="1"/>
  <c r="Z38" i="37" s="1"/>
  <c r="U38" i="37"/>
  <c r="R38" i="37"/>
  <c r="S38" i="37" s="1" a="1"/>
  <c r="S38" i="37" s="1"/>
  <c r="P38" i="37" a="1"/>
  <c r="P38" i="37" s="1"/>
  <c r="AB37" i="37"/>
  <c r="Y37" i="37"/>
  <c r="Z37" i="37" s="1" a="1"/>
  <c r="Z37" i="37" s="1"/>
  <c r="U37" i="37"/>
  <c r="R37" i="37"/>
  <c r="S37" i="37" s="1" a="1"/>
  <c r="S37" i="37" s="1"/>
  <c r="P37" i="37" a="1"/>
  <c r="P37" i="37" s="1"/>
  <c r="AB36" i="37"/>
  <c r="Y36" i="37"/>
  <c r="Z36" i="37" s="1" a="1"/>
  <c r="Z36" i="37" s="1"/>
  <c r="U36" i="37"/>
  <c r="R36" i="37"/>
  <c r="S36" i="37" s="1" a="1"/>
  <c r="S36" i="37" s="1"/>
  <c r="P36" i="37" a="1"/>
  <c r="P36" i="37" s="1"/>
  <c r="AB35" i="37"/>
  <c r="Y35" i="37"/>
  <c r="Z35" i="37" s="1" a="1"/>
  <c r="Z35" i="37" s="1"/>
  <c r="U35" i="37"/>
  <c r="R35" i="37"/>
  <c r="S35" i="37" s="1" a="1"/>
  <c r="S35" i="37" s="1"/>
  <c r="P35" i="37" a="1"/>
  <c r="P35" i="37" s="1"/>
  <c r="AB34" i="37"/>
  <c r="Y34" i="37"/>
  <c r="Z34" i="37" s="1" a="1"/>
  <c r="Z34" i="37" s="1"/>
  <c r="U34" i="37"/>
  <c r="R34" i="37"/>
  <c r="S34" i="37" s="1" a="1"/>
  <c r="S34" i="37" s="1"/>
  <c r="P34" i="37" a="1"/>
  <c r="P34" i="37" s="1"/>
  <c r="AB33" i="37"/>
  <c r="Y33" i="37"/>
  <c r="Z33" i="37" s="1" a="1"/>
  <c r="Z33" i="37" s="1"/>
  <c r="U33" i="37"/>
  <c r="R33" i="37"/>
  <c r="S33" i="37" s="1" a="1"/>
  <c r="S33" i="37" s="1"/>
  <c r="P33" i="37" a="1"/>
  <c r="P33" i="37" s="1"/>
  <c r="AB32" i="37"/>
  <c r="Y32" i="37"/>
  <c r="Z32" i="37" s="1" a="1"/>
  <c r="Z32" i="37" s="1"/>
  <c r="U32" i="37"/>
  <c r="R32" i="37"/>
  <c r="S32" i="37" s="1" a="1"/>
  <c r="S32" i="37" s="1"/>
  <c r="P32" i="37" a="1"/>
  <c r="P32" i="37" s="1"/>
  <c r="AB31" i="37"/>
  <c r="Y31" i="37"/>
  <c r="Z31" i="37" s="1" a="1"/>
  <c r="Z31" i="37" s="1"/>
  <c r="U31" i="37"/>
  <c r="R31" i="37"/>
  <c r="S31" i="37" s="1" a="1"/>
  <c r="S31" i="37" s="1"/>
  <c r="P31" i="37" a="1"/>
  <c r="P31" i="37" s="1"/>
  <c r="AB30" i="37"/>
  <c r="Y30" i="37"/>
  <c r="Z30" i="37" s="1" a="1"/>
  <c r="Z30" i="37" s="1"/>
  <c r="U30" i="37"/>
  <c r="R30" i="37"/>
  <c r="S30" i="37" s="1" a="1"/>
  <c r="S30" i="37" s="1"/>
  <c r="P30" i="37" a="1"/>
  <c r="P30" i="37" s="1"/>
  <c r="AB29" i="37"/>
  <c r="Y29" i="37"/>
  <c r="Z29" i="37" s="1" a="1"/>
  <c r="Z29" i="37" s="1"/>
  <c r="U29" i="37"/>
  <c r="R29" i="37"/>
  <c r="S29" i="37" s="1" a="1"/>
  <c r="S29" i="37" s="1"/>
  <c r="P29" i="37" a="1"/>
  <c r="P29" i="37" s="1"/>
  <c r="AB28" i="37"/>
  <c r="Y28" i="37"/>
  <c r="Z28" i="37" s="1" a="1"/>
  <c r="Z28" i="37" s="1"/>
  <c r="U28" i="37"/>
  <c r="R28" i="37"/>
  <c r="S28" i="37" s="1" a="1"/>
  <c r="S28" i="37" s="1"/>
  <c r="P28" i="37" a="1"/>
  <c r="P28" i="37" s="1"/>
  <c r="AB27" i="37"/>
  <c r="Y27" i="37"/>
  <c r="Z27" i="37" s="1" a="1"/>
  <c r="Z27" i="37" s="1"/>
  <c r="U27" i="37"/>
  <c r="R27" i="37"/>
  <c r="S27" i="37" s="1" a="1"/>
  <c r="S27" i="37" s="1"/>
  <c r="P27" i="37" a="1"/>
  <c r="P27" i="37" s="1"/>
  <c r="AB26" i="37"/>
  <c r="Y26" i="37"/>
  <c r="Z26" i="37" s="1" a="1"/>
  <c r="Z26" i="37" s="1"/>
  <c r="U26" i="37"/>
  <c r="R26" i="37"/>
  <c r="S26" i="37" s="1" a="1"/>
  <c r="S26" i="37" s="1"/>
  <c r="P26" i="37" a="1"/>
  <c r="P26" i="37" s="1"/>
  <c r="AB25" i="37"/>
  <c r="Y25" i="37"/>
  <c r="Z25" i="37" s="1" a="1"/>
  <c r="Z25" i="37" s="1"/>
  <c r="U25" i="37"/>
  <c r="R25" i="37"/>
  <c r="S25" i="37" s="1" a="1"/>
  <c r="S25" i="37" s="1"/>
  <c r="P25" i="37" a="1"/>
  <c r="P25" i="37" s="1"/>
  <c r="AB24" i="37"/>
  <c r="Y24" i="37"/>
  <c r="Z24" i="37" s="1" a="1"/>
  <c r="Z24" i="37" s="1"/>
  <c r="U24" i="37"/>
  <c r="R24" i="37"/>
  <c r="S24" i="37" s="1" a="1"/>
  <c r="S24" i="37" s="1"/>
  <c r="P24" i="37" a="1"/>
  <c r="P24" i="37" s="1"/>
  <c r="AB23" i="37"/>
  <c r="Y23" i="37"/>
  <c r="Z23" i="37" s="1" a="1"/>
  <c r="Z23" i="37" s="1"/>
  <c r="U23" i="37"/>
  <c r="R23" i="37"/>
  <c r="S23" i="37" s="1" a="1"/>
  <c r="S23" i="37" s="1"/>
  <c r="P23" i="37" a="1"/>
  <c r="P23" i="37" s="1"/>
  <c r="AB22" i="37"/>
  <c r="Y22" i="37"/>
  <c r="Z22" i="37" s="1" a="1"/>
  <c r="Z22" i="37" s="1"/>
  <c r="U22" i="37"/>
  <c r="R22" i="37"/>
  <c r="S22" i="37" s="1" a="1"/>
  <c r="S22" i="37" s="1"/>
  <c r="P22" i="37" a="1"/>
  <c r="P22" i="37" s="1"/>
  <c r="AB21" i="37"/>
  <c r="Y21" i="37"/>
  <c r="Z21" i="37" s="1" a="1"/>
  <c r="Z21" i="37" s="1"/>
  <c r="U21" i="37"/>
  <c r="R21" i="37"/>
  <c r="S21" i="37" s="1" a="1"/>
  <c r="S21" i="37" s="1"/>
  <c r="P21" i="37" a="1"/>
  <c r="P21" i="37" s="1"/>
  <c r="AB20" i="37"/>
  <c r="Y20" i="37"/>
  <c r="Z20" i="37" s="1" a="1"/>
  <c r="Z20" i="37" s="1"/>
  <c r="U20" i="37"/>
  <c r="R20" i="37"/>
  <c r="S20" i="37" s="1" a="1"/>
  <c r="S20" i="37" s="1"/>
  <c r="P20" i="37" a="1"/>
  <c r="P20" i="37" s="1"/>
  <c r="AB19" i="37"/>
  <c r="Y19" i="37"/>
  <c r="Z19" i="37" s="1" a="1"/>
  <c r="Z19" i="37" s="1"/>
  <c r="U19" i="37"/>
  <c r="R19" i="37"/>
  <c r="S19" i="37" s="1" a="1"/>
  <c r="S19" i="37" s="1"/>
  <c r="P19" i="37" a="1"/>
  <c r="P19" i="37" s="1"/>
  <c r="AB18" i="37"/>
  <c r="Y18" i="37"/>
  <c r="Z18" i="37" s="1" a="1"/>
  <c r="Z18" i="37" s="1"/>
  <c r="U18" i="37"/>
  <c r="R18" i="37"/>
  <c r="S18" i="37" s="1" a="1"/>
  <c r="S18" i="37" s="1"/>
  <c r="P18" i="37" a="1"/>
  <c r="P18" i="37" s="1"/>
  <c r="AB17" i="37"/>
  <c r="Y17" i="37"/>
  <c r="Z17" i="37" s="1" a="1"/>
  <c r="Z17" i="37" s="1"/>
  <c r="U17" i="37"/>
  <c r="R17" i="37"/>
  <c r="S17" i="37" s="1" a="1"/>
  <c r="S17" i="37" s="1"/>
  <c r="P17" i="37" a="1"/>
  <c r="P17" i="37" s="1"/>
  <c r="AB16" i="37"/>
  <c r="Y16" i="37"/>
  <c r="Z16" i="37" s="1" a="1"/>
  <c r="Z16" i="37" s="1"/>
  <c r="U16" i="37"/>
  <c r="R16" i="37"/>
  <c r="S16" i="37" s="1" a="1"/>
  <c r="S16" i="37" s="1"/>
  <c r="P16" i="37" a="1"/>
  <c r="P16" i="37" s="1"/>
  <c r="AB15" i="37"/>
  <c r="Y15" i="37"/>
  <c r="Z15" i="37" s="1" a="1"/>
  <c r="Z15" i="37" s="1"/>
  <c r="U15" i="37"/>
  <c r="R15" i="37"/>
  <c r="S15" i="37" s="1" a="1"/>
  <c r="S15" i="37" s="1"/>
  <c r="P15" i="37" a="1"/>
  <c r="P15" i="37" s="1"/>
  <c r="AB14" i="37"/>
  <c r="Y14" i="37"/>
  <c r="Z14" i="37" s="1" a="1"/>
  <c r="Z14" i="37" s="1"/>
  <c r="U14" i="37"/>
  <c r="R14" i="37"/>
  <c r="S14" i="37" s="1" a="1"/>
  <c r="S14" i="37" s="1"/>
  <c r="P14" i="37" a="1"/>
  <c r="P14" i="37" s="1"/>
  <c r="AB13" i="37"/>
  <c r="Y13" i="37"/>
  <c r="Z13" i="37" s="1" a="1"/>
  <c r="Z13" i="37" s="1"/>
  <c r="U13" i="37"/>
  <c r="R13" i="37"/>
  <c r="S13" i="37" s="1" a="1"/>
  <c r="S13" i="37" s="1"/>
  <c r="P13" i="37" a="1"/>
  <c r="P13" i="37" s="1"/>
  <c r="AB12" i="37"/>
  <c r="Y12" i="37"/>
  <c r="Z12" i="37" s="1" a="1"/>
  <c r="Z12" i="37" s="1"/>
  <c r="U12" i="37"/>
  <c r="R12" i="37"/>
  <c r="S12" i="37" s="1" a="1"/>
  <c r="S12" i="37" s="1"/>
  <c r="P12" i="37" a="1"/>
  <c r="P12" i="37" s="1"/>
  <c r="AB11" i="37"/>
  <c r="Y11" i="37"/>
  <c r="Z11" i="37" s="1" a="1"/>
  <c r="Z11" i="37" s="1"/>
  <c r="U11" i="37"/>
  <c r="R11" i="37"/>
  <c r="S11" i="37" s="1" a="1"/>
  <c r="S11" i="37" s="1"/>
  <c r="P11" i="37" a="1"/>
  <c r="P11" i="37" s="1"/>
  <c r="AB10" i="37"/>
  <c r="Y10" i="37"/>
  <c r="Z10" i="37" s="1" a="1"/>
  <c r="Z10" i="37" s="1"/>
  <c r="U10" i="37"/>
  <c r="R10" i="37"/>
  <c r="S10" i="37" s="1" a="1"/>
  <c r="S10" i="37" s="1"/>
  <c r="P10" i="37" a="1"/>
  <c r="P10" i="37" s="1"/>
  <c r="AB9" i="37"/>
  <c r="Y9" i="37"/>
  <c r="Z9" i="37" s="1" a="1"/>
  <c r="Z9" i="37" s="1"/>
  <c r="U9" i="37"/>
  <c r="R9" i="37"/>
  <c r="S9" i="37" s="1" a="1"/>
  <c r="S9" i="37" s="1"/>
  <c r="P9" i="37" a="1"/>
  <c r="P9" i="37" s="1"/>
  <c r="AB8" i="37"/>
  <c r="Y8" i="37"/>
  <c r="Z8" i="37" s="1" a="1"/>
  <c r="Z8" i="37" s="1"/>
  <c r="U8" i="37"/>
  <c r="R8" i="37"/>
  <c r="S8" i="37" s="1" a="1"/>
  <c r="S8" i="37" s="1"/>
  <c r="P8" i="37" a="1"/>
  <c r="P8" i="37" s="1"/>
  <c r="AB7" i="37"/>
  <c r="Y7" i="37"/>
  <c r="Z7" i="37" s="1" a="1"/>
  <c r="Z7" i="37" s="1"/>
  <c r="U7" i="37"/>
  <c r="R7" i="37"/>
  <c r="S7" i="37" s="1" a="1"/>
  <c r="S7" i="37" s="1"/>
  <c r="P7" i="37" a="1"/>
  <c r="P7" i="37" s="1"/>
  <c r="AB6" i="37"/>
  <c r="Y6" i="37"/>
  <c r="Z6" i="37" s="1" a="1"/>
  <c r="Z6" i="37" s="1"/>
  <c r="U6" i="37"/>
  <c r="R6" i="37"/>
  <c r="S6" i="37" s="1" a="1"/>
  <c r="S6" i="37" s="1"/>
  <c r="P6" i="37" a="1"/>
  <c r="P6" i="37" s="1"/>
  <c r="Q213" i="35" l="1" a="1"/>
  <c r="Q213" i="35" s="1"/>
  <c r="Q212" i="35" a="1"/>
  <c r="Q212" i="35" s="1"/>
  <c r="Q211" i="35" a="1"/>
  <c r="Q211" i="35" s="1"/>
  <c r="Q210" i="35" a="1"/>
  <c r="Q210" i="35" s="1"/>
  <c r="Q209" i="35" a="1"/>
  <c r="Q209" i="35" s="1"/>
  <c r="Q208" i="35" a="1"/>
  <c r="Q208" i="35" s="1"/>
  <c r="Q207" i="35" a="1"/>
  <c r="Q207" i="35" s="1"/>
  <c r="Q206" i="35" a="1"/>
  <c r="Q206" i="35" s="1"/>
  <c r="Q205" i="35" a="1"/>
  <c r="Q205" i="35" s="1"/>
  <c r="Q204" i="35" a="1"/>
  <c r="Q204" i="35" s="1"/>
  <c r="Q203" i="35" a="1"/>
  <c r="Q203" i="35" s="1"/>
  <c r="Q202" i="35" a="1"/>
  <c r="Q202" i="35" s="1"/>
  <c r="Q201" i="35" a="1"/>
  <c r="Q201" i="35" s="1"/>
  <c r="Q200" i="35" a="1"/>
  <c r="Q200" i="35" s="1"/>
  <c r="Q199" i="35" a="1"/>
  <c r="Q199" i="35" s="1"/>
  <c r="Q198" i="35" a="1"/>
  <c r="Q198" i="35" s="1"/>
  <c r="Q197" i="35" a="1"/>
  <c r="Q197" i="35" s="1"/>
  <c r="Q196" i="35" a="1"/>
  <c r="Q196" i="35" s="1"/>
  <c r="Q195" i="35" a="1"/>
  <c r="Q195" i="35" s="1"/>
  <c r="Q194" i="35" a="1"/>
  <c r="Q194" i="35" s="1"/>
  <c r="Q193" i="35" a="1"/>
  <c r="Q193" i="35" s="1"/>
  <c r="Q192" i="35" a="1"/>
  <c r="Q192" i="35" s="1"/>
  <c r="Q191" i="35" a="1"/>
  <c r="Q191" i="35" s="1"/>
  <c r="Q190" i="35" a="1"/>
  <c r="Q190" i="35" s="1"/>
  <c r="Q189" i="35" a="1"/>
  <c r="Q189" i="35" s="1"/>
  <c r="Q188" i="35" a="1"/>
  <c r="Q188" i="35" s="1"/>
  <c r="Q187" i="35" a="1"/>
  <c r="Q187" i="35" s="1"/>
  <c r="Q186" i="35" a="1"/>
  <c r="Q186" i="35" s="1"/>
  <c r="Q185" i="35" a="1"/>
  <c r="Q185" i="35" s="1"/>
  <c r="Q184" i="35" a="1"/>
  <c r="Q184" i="35" s="1"/>
  <c r="Q183" i="35" a="1"/>
  <c r="Q183" i="35" s="1"/>
  <c r="Q182" i="35" a="1"/>
  <c r="Q182" i="35" s="1"/>
  <c r="Q181" i="35" a="1"/>
  <c r="Q181" i="35" s="1"/>
  <c r="Q180" i="35" a="1"/>
  <c r="Q180" i="35" s="1"/>
  <c r="Q179" i="35" a="1"/>
  <c r="Q179" i="35" s="1"/>
  <c r="Q178" i="35" a="1"/>
  <c r="Q178" i="35" s="1"/>
  <c r="Q177" i="35" a="1"/>
  <c r="Q177" i="35" s="1"/>
  <c r="Q176" i="35" a="1"/>
  <c r="Q176" i="35" s="1"/>
  <c r="Q175" i="35" a="1"/>
  <c r="Q175" i="35" s="1"/>
  <c r="Q174" i="35" a="1"/>
  <c r="Q174" i="35" s="1"/>
  <c r="Q173" i="35" a="1"/>
  <c r="Q173" i="35" s="1"/>
  <c r="Q172" i="35" a="1"/>
  <c r="Q172" i="35" s="1"/>
  <c r="Q171" i="35" a="1"/>
  <c r="Q171" i="35" s="1"/>
  <c r="Q170" i="35" a="1"/>
  <c r="Q170" i="35" s="1"/>
  <c r="Q169" i="35" a="1"/>
  <c r="Q169" i="35" s="1"/>
  <c r="Q168" i="35" a="1"/>
  <c r="Q168" i="35" s="1"/>
  <c r="Q167" i="35" a="1"/>
  <c r="Q167" i="35" s="1"/>
  <c r="Q166" i="35" a="1"/>
  <c r="Q166" i="35" s="1"/>
  <c r="Q165" i="35" a="1"/>
  <c r="Q165" i="35" s="1"/>
  <c r="Q164" i="35" a="1"/>
  <c r="Q164" i="35" s="1"/>
  <c r="Q163" i="35" a="1"/>
  <c r="Q163" i="35" s="1"/>
  <c r="Q162" i="35" a="1"/>
  <c r="Q162" i="35" s="1"/>
  <c r="Q161" i="35" a="1"/>
  <c r="Q161" i="35" s="1"/>
  <c r="Q160" i="35" a="1"/>
  <c r="Q160" i="35" s="1"/>
  <c r="Q159" i="35" a="1"/>
  <c r="Q159" i="35" s="1"/>
  <c r="Q158" i="35" a="1"/>
  <c r="Q158" i="35" s="1"/>
  <c r="Q157" i="35" a="1"/>
  <c r="Q157" i="35" s="1"/>
  <c r="Q156" i="35" a="1"/>
  <c r="Q156" i="35" s="1"/>
  <c r="Q155" i="35" a="1"/>
  <c r="Q155" i="35" s="1"/>
  <c r="Q154" i="35" a="1"/>
  <c r="Q154" i="35" s="1"/>
  <c r="Q153" i="35" a="1"/>
  <c r="Q153" i="35" s="1"/>
  <c r="Q152" i="35" a="1"/>
  <c r="Q152" i="35" s="1"/>
  <c r="Q151" i="35" a="1"/>
  <c r="Q151" i="35" s="1"/>
  <c r="Q150" i="35" a="1"/>
  <c r="Q150" i="35" s="1"/>
  <c r="Q149" i="35" a="1"/>
  <c r="Q149" i="35" s="1"/>
  <c r="Q148" i="35" a="1"/>
  <c r="Q148" i="35" s="1"/>
  <c r="Q147" i="35" a="1"/>
  <c r="Q147" i="35" s="1"/>
  <c r="Q146" i="35" a="1"/>
  <c r="Q146" i="35" s="1"/>
  <c r="Q145" i="35" a="1"/>
  <c r="Q145" i="35" s="1"/>
  <c r="Q144" i="35" a="1"/>
  <c r="Q144" i="35" s="1"/>
  <c r="Q143" i="35" a="1"/>
  <c r="Q143" i="35" s="1"/>
  <c r="Q142" i="35" a="1"/>
  <c r="Q142" i="35" s="1"/>
  <c r="Q141" i="35" a="1"/>
  <c r="Q141" i="35" s="1"/>
  <c r="Q140" i="35" a="1"/>
  <c r="Q140" i="35" s="1"/>
  <c r="Q139" i="35" a="1"/>
  <c r="Q139" i="35" s="1"/>
  <c r="Q138" i="35" a="1"/>
  <c r="Q138" i="35" s="1"/>
  <c r="Q137" i="35" a="1"/>
  <c r="Q137" i="35" s="1"/>
  <c r="Q136" i="35" a="1"/>
  <c r="Q136" i="35" s="1"/>
  <c r="Q135" i="35" a="1"/>
  <c r="Q135" i="35" s="1"/>
  <c r="Q134" i="35" a="1"/>
  <c r="Q134" i="35" s="1"/>
  <c r="Q133" i="35" a="1"/>
  <c r="Q133" i="35" s="1"/>
  <c r="Q132" i="35" a="1"/>
  <c r="Q132" i="35" s="1"/>
  <c r="Q131" i="35" a="1"/>
  <c r="Q131" i="35" s="1"/>
  <c r="Q130" i="35" a="1"/>
  <c r="Q130" i="35" s="1"/>
  <c r="Q129" i="35" a="1"/>
  <c r="Q129" i="35" s="1"/>
  <c r="Q128" i="35" a="1"/>
  <c r="Q128" i="35" s="1"/>
  <c r="Q127" i="35" a="1"/>
  <c r="Q127" i="35" s="1"/>
  <c r="Q126" i="35" a="1"/>
  <c r="Q126" i="35" s="1"/>
  <c r="Q125" i="35" a="1"/>
  <c r="Q125" i="35" s="1"/>
  <c r="Q124" i="35" a="1"/>
  <c r="Q124" i="35" s="1"/>
  <c r="Q123" i="35" a="1"/>
  <c r="Q123" i="35" s="1"/>
  <c r="Q122" i="35" a="1"/>
  <c r="Q122" i="35" s="1"/>
  <c r="Q121" i="35" a="1"/>
  <c r="Q121" i="35" s="1"/>
  <c r="Q120" i="35" a="1"/>
  <c r="Q120" i="35" s="1"/>
  <c r="Q119" i="35" a="1"/>
  <c r="Q119" i="35" s="1"/>
  <c r="Q118" i="35" a="1"/>
  <c r="Q118" i="35" s="1"/>
  <c r="Q117" i="35" a="1"/>
  <c r="Q117" i="35" s="1"/>
  <c r="Q116" i="35" a="1"/>
  <c r="Q116" i="35" s="1"/>
  <c r="Q115" i="35" a="1"/>
  <c r="Q115" i="35" s="1"/>
  <c r="Q114" i="35" a="1"/>
  <c r="Q114" i="35" s="1"/>
  <c r="Q113" i="35" a="1"/>
  <c r="Q113" i="35" s="1"/>
  <c r="Q112" i="35" a="1"/>
  <c r="Q112" i="35" s="1"/>
  <c r="Q111" i="35" a="1"/>
  <c r="Q111" i="35" s="1"/>
  <c r="Q110" i="35" a="1"/>
  <c r="Q110" i="35" s="1"/>
  <c r="Q109" i="35" a="1"/>
  <c r="Q109" i="35" s="1"/>
  <c r="Q108" i="35" a="1"/>
  <c r="Q108" i="35" s="1"/>
  <c r="Q107" i="35" a="1"/>
  <c r="Q107" i="35" s="1"/>
  <c r="Q106" i="35" a="1"/>
  <c r="Q106" i="35" s="1"/>
  <c r="Q105" i="35" a="1"/>
  <c r="Q105" i="35" s="1"/>
  <c r="Q104" i="35" a="1"/>
  <c r="Q104" i="35" s="1"/>
  <c r="Q103" i="35" a="1"/>
  <c r="Q103" i="35" s="1"/>
  <c r="Q102" i="35" a="1"/>
  <c r="Q102" i="35" s="1"/>
  <c r="Q101" i="35" a="1"/>
  <c r="Q101" i="35" s="1"/>
  <c r="Q100" i="35" a="1"/>
  <c r="Q100" i="35" s="1"/>
  <c r="Q99" i="35" a="1"/>
  <c r="Q99" i="35" s="1"/>
  <c r="Q98" i="35" a="1"/>
  <c r="Q98" i="35" s="1"/>
  <c r="Q97" i="35" a="1"/>
  <c r="Q97" i="35" s="1"/>
  <c r="Q96" i="35" a="1"/>
  <c r="Q96" i="35" s="1"/>
  <c r="Q95" i="35" a="1"/>
  <c r="Q95" i="35" s="1"/>
  <c r="Q94" i="35" a="1"/>
  <c r="Q94" i="35" s="1"/>
  <c r="Q93" i="35" a="1"/>
  <c r="Q93" i="35" s="1"/>
  <c r="Q92" i="35" a="1"/>
  <c r="Q92" i="35" s="1"/>
  <c r="Q91" i="35" a="1"/>
  <c r="Q91" i="35" s="1"/>
  <c r="Q90" i="35" a="1"/>
  <c r="Q90" i="35" s="1"/>
  <c r="Q89" i="35" a="1"/>
  <c r="Q89" i="35" s="1"/>
  <c r="Q88" i="35" a="1"/>
  <c r="Q88" i="35" s="1"/>
  <c r="Q87" i="35" a="1"/>
  <c r="Q87" i="35" s="1"/>
  <c r="Q86" i="35" a="1"/>
  <c r="Q86" i="35" s="1"/>
  <c r="Q85" i="35" a="1"/>
  <c r="Q85" i="35" s="1"/>
  <c r="Q84" i="35" a="1"/>
  <c r="Q84" i="35" s="1"/>
  <c r="Q83" i="35" a="1"/>
  <c r="Q83" i="35" s="1"/>
  <c r="Q82" i="35" a="1"/>
  <c r="Q82" i="35" s="1"/>
  <c r="Q81" i="35" a="1"/>
  <c r="Q81" i="35" s="1"/>
  <c r="Q80" i="35" a="1"/>
  <c r="Q80" i="35" s="1"/>
  <c r="Q79" i="35" a="1"/>
  <c r="Q79" i="35" s="1"/>
  <c r="Q78" i="35" a="1"/>
  <c r="Q78" i="35" s="1"/>
  <c r="Q77" i="35" a="1"/>
  <c r="Q77" i="35" s="1"/>
  <c r="Q76" i="35" a="1"/>
  <c r="Q76" i="35" s="1"/>
  <c r="Q75" i="35" a="1"/>
  <c r="Q75" i="35" s="1"/>
  <c r="Q74" i="35" a="1"/>
  <c r="Q74" i="35" s="1"/>
  <c r="Q73" i="35" a="1"/>
  <c r="Q73" i="35" s="1"/>
  <c r="Q72" i="35" a="1"/>
  <c r="Q72" i="35" s="1"/>
  <c r="Q71" i="35" a="1"/>
  <c r="Q71" i="35" s="1"/>
  <c r="Q70" i="35" a="1"/>
  <c r="Q70" i="35" s="1"/>
  <c r="Q69" i="35" a="1"/>
  <c r="Q69" i="35" s="1"/>
  <c r="Q68" i="35" a="1"/>
  <c r="Q68" i="35" s="1"/>
  <c r="Q67" i="35" a="1"/>
  <c r="Q67" i="35" s="1"/>
  <c r="Q66" i="35" a="1"/>
  <c r="Q66" i="35" s="1"/>
  <c r="Q65" i="35" a="1"/>
  <c r="Q65" i="35" s="1"/>
  <c r="Q64" i="35" a="1"/>
  <c r="Q64" i="35" s="1"/>
  <c r="Q63" i="35" a="1"/>
  <c r="Q63" i="35" s="1"/>
  <c r="Q62" i="35" a="1"/>
  <c r="Q62" i="35" s="1"/>
  <c r="Q61" i="35" a="1"/>
  <c r="Q61" i="35" s="1"/>
  <c r="Q60" i="35" a="1"/>
  <c r="Q60" i="35" s="1"/>
  <c r="Q59" i="35" a="1"/>
  <c r="Q59" i="35" s="1"/>
  <c r="Q58" i="35" a="1"/>
  <c r="Q58" i="35" s="1"/>
  <c r="Q57" i="35" a="1"/>
  <c r="Q57" i="35" s="1"/>
  <c r="Q56" i="35" a="1"/>
  <c r="Q56" i="35" s="1"/>
  <c r="Q55" i="35" a="1"/>
  <c r="Q55" i="35" s="1"/>
  <c r="Q54" i="35" a="1"/>
  <c r="Q54" i="35" s="1"/>
  <c r="Q53" i="35" a="1"/>
  <c r="Q53" i="35" s="1"/>
  <c r="Q52" i="35" a="1"/>
  <c r="Q52" i="35" s="1"/>
  <c r="Q51" i="35" a="1"/>
  <c r="Q51" i="35" s="1"/>
  <c r="Q50" i="35" a="1"/>
  <c r="Q50" i="35" s="1"/>
  <c r="Q49" i="35" a="1"/>
  <c r="Q49" i="35" s="1"/>
  <c r="Q48" i="35" a="1"/>
  <c r="Q48" i="35" s="1"/>
  <c r="Q47" i="35" a="1"/>
  <c r="Q47" i="35" s="1"/>
  <c r="Q46" i="35" a="1"/>
  <c r="Q46" i="35" s="1"/>
  <c r="Q45" i="35" a="1"/>
  <c r="Q45" i="35" s="1"/>
  <c r="Q44" i="35" a="1"/>
  <c r="Q44" i="35" s="1"/>
  <c r="Q43" i="35" a="1"/>
  <c r="Q43" i="35" s="1"/>
  <c r="Q42" i="35" a="1"/>
  <c r="Q42" i="35" s="1"/>
  <c r="Q41" i="35" a="1"/>
  <c r="Q41" i="35" s="1"/>
  <c r="Q40" i="35" a="1"/>
  <c r="Q40" i="35" s="1"/>
  <c r="Q39" i="35" a="1"/>
  <c r="Q39" i="35" s="1"/>
  <c r="Q38" i="35" a="1"/>
  <c r="Q38" i="35" s="1"/>
  <c r="Q37" i="35" a="1"/>
  <c r="Q37" i="35" s="1"/>
  <c r="Q36" i="35" a="1"/>
  <c r="Q36" i="35" s="1"/>
  <c r="Q35" i="35" a="1"/>
  <c r="Q35" i="35" s="1"/>
  <c r="Q34" i="35" a="1"/>
  <c r="Q34" i="35" s="1"/>
  <c r="Q33" i="35" a="1"/>
  <c r="Q33" i="35" s="1"/>
  <c r="Q32" i="35" a="1"/>
  <c r="Q32" i="35" s="1"/>
  <c r="Q31" i="35" a="1"/>
  <c r="Q31" i="35" s="1"/>
  <c r="Q30" i="35" a="1"/>
  <c r="Q30" i="35" s="1"/>
  <c r="Q29" i="35" a="1"/>
  <c r="Q29" i="35" s="1"/>
  <c r="Q28" i="35" a="1"/>
  <c r="Q28" i="35" s="1"/>
  <c r="Q27" i="35" a="1"/>
  <c r="Q27" i="35" s="1"/>
  <c r="Q26" i="35" a="1"/>
  <c r="Q26" i="35" s="1"/>
  <c r="Q25" i="35" a="1"/>
  <c r="Q25" i="35" s="1"/>
  <c r="Q24" i="35" a="1"/>
  <c r="Q24" i="35" s="1"/>
  <c r="Q23" i="35" a="1"/>
  <c r="Q23" i="35" s="1"/>
  <c r="Q22" i="35" a="1"/>
  <c r="Q22" i="35" s="1"/>
  <c r="Q21" i="35" a="1"/>
  <c r="Q21" i="35" s="1"/>
  <c r="Q20" i="35" a="1"/>
  <c r="Q20" i="35" s="1"/>
  <c r="Q19" i="35" a="1"/>
  <c r="Q19" i="35" s="1"/>
  <c r="Q18" i="35" a="1"/>
  <c r="Q18" i="35" s="1"/>
  <c r="Q17" i="35" a="1"/>
  <c r="Q17" i="35" s="1"/>
  <c r="Q16" i="35" a="1"/>
  <c r="Q16" i="35" s="1"/>
  <c r="Q15" i="35" a="1"/>
  <c r="Q15" i="35" s="1"/>
  <c r="Q14" i="35" a="1"/>
  <c r="Q14" i="35" s="1"/>
  <c r="Q13" i="35" a="1"/>
  <c r="Q13" i="35" s="1"/>
  <c r="Q12" i="35" a="1"/>
  <c r="Q12" i="35" s="1"/>
  <c r="Q11" i="35" a="1"/>
  <c r="Q11" i="35" s="1"/>
  <c r="Q10" i="35" a="1"/>
  <c r="Q10" i="35" s="1"/>
  <c r="Q9" i="35" a="1"/>
  <c r="Q9" i="35" s="1"/>
  <c r="Q8" i="35" a="1"/>
  <c r="Q8" i="35" s="1"/>
  <c r="Q7" i="35" a="1"/>
  <c r="Q7" i="35" s="1"/>
  <c r="Q6" i="35" a="1"/>
  <c r="Q6" i="35" s="1"/>
  <c r="O213" i="35" a="1"/>
  <c r="O213" i="35" s="1"/>
  <c r="O212" i="35" a="1"/>
  <c r="O212" i="35" s="1"/>
  <c r="O211" i="35" a="1"/>
  <c r="O211" i="35" s="1"/>
  <c r="P211" i="35" s="1" a="1"/>
  <c r="P211" i="35" s="1"/>
  <c r="O210" i="35" a="1"/>
  <c r="O210" i="35" s="1"/>
  <c r="O209" i="35" a="1"/>
  <c r="O209" i="35" s="1"/>
  <c r="O208" i="35" a="1"/>
  <c r="O208" i="35" s="1"/>
  <c r="O207" i="35" a="1"/>
  <c r="O207" i="35" s="1"/>
  <c r="O206" i="35" a="1"/>
  <c r="O206" i="35" s="1"/>
  <c r="O205" i="35" a="1"/>
  <c r="O205" i="35" s="1"/>
  <c r="O204" i="35" a="1"/>
  <c r="O204" i="35" s="1"/>
  <c r="U204" i="35" s="1"/>
  <c r="O203" i="35" a="1"/>
  <c r="O203" i="35" s="1"/>
  <c r="O202" i="35" a="1"/>
  <c r="O202" i="35" s="1"/>
  <c r="U202" i="35" s="1"/>
  <c r="O201" i="35" a="1"/>
  <c r="O201" i="35" s="1"/>
  <c r="O200" i="35" a="1"/>
  <c r="O200" i="35" s="1"/>
  <c r="O199" i="35" a="1"/>
  <c r="O199" i="35" s="1"/>
  <c r="O198" i="35" a="1"/>
  <c r="O198" i="35" s="1"/>
  <c r="O197" i="35" a="1"/>
  <c r="O197" i="35" s="1"/>
  <c r="P197" i="35" s="1" a="1"/>
  <c r="P197" i="35" s="1"/>
  <c r="O196" i="35" a="1"/>
  <c r="O196" i="35" s="1"/>
  <c r="U196" i="35" s="1"/>
  <c r="O195" i="35" a="1"/>
  <c r="O195" i="35" s="1"/>
  <c r="O194" i="35" a="1"/>
  <c r="O194" i="35" s="1"/>
  <c r="O193" i="35" a="1"/>
  <c r="O193" i="35" s="1"/>
  <c r="O192" i="35" a="1"/>
  <c r="O192" i="35" s="1"/>
  <c r="O191" i="35" a="1"/>
  <c r="O191" i="35" s="1"/>
  <c r="O190" i="35" a="1"/>
  <c r="O190" i="35" s="1"/>
  <c r="O189" i="35" a="1"/>
  <c r="O189" i="35" s="1"/>
  <c r="O188" i="35" a="1"/>
  <c r="O188" i="35" s="1"/>
  <c r="O187" i="35" a="1"/>
  <c r="O187" i="35" s="1"/>
  <c r="O186" i="35" a="1"/>
  <c r="O186" i="35" s="1"/>
  <c r="O185" i="35" a="1"/>
  <c r="O185" i="35" s="1"/>
  <c r="U185" i="35" s="1"/>
  <c r="O184" i="35" a="1"/>
  <c r="O184" i="35" s="1"/>
  <c r="O183" i="35" a="1"/>
  <c r="O183" i="35" s="1"/>
  <c r="O182" i="35" a="1"/>
  <c r="O182" i="35" s="1"/>
  <c r="O181" i="35" a="1"/>
  <c r="O181" i="35" s="1"/>
  <c r="O180" i="35" a="1"/>
  <c r="O180" i="35" s="1"/>
  <c r="O179" i="35" a="1"/>
  <c r="O179" i="35" s="1"/>
  <c r="U179" i="35" s="1"/>
  <c r="O178" i="35" a="1"/>
  <c r="O178" i="35" s="1"/>
  <c r="U178" i="35" s="1"/>
  <c r="O177" i="35" a="1"/>
  <c r="O177" i="35" s="1"/>
  <c r="O176" i="35" a="1"/>
  <c r="O176" i="35" s="1"/>
  <c r="U176" i="35" s="1"/>
  <c r="O175" i="35" a="1"/>
  <c r="O175" i="35" s="1"/>
  <c r="O174" i="35" a="1"/>
  <c r="O174" i="35" s="1"/>
  <c r="O173" i="35" a="1"/>
  <c r="O173" i="35" s="1"/>
  <c r="O172" i="35" a="1"/>
  <c r="O172" i="35" s="1"/>
  <c r="O171" i="35" a="1"/>
  <c r="O171" i="35" s="1"/>
  <c r="P171" i="35" s="1" a="1"/>
  <c r="P171" i="35" s="1"/>
  <c r="O170" i="35" a="1"/>
  <c r="O170" i="35" s="1"/>
  <c r="O169" i="35" a="1"/>
  <c r="O169" i="35" s="1"/>
  <c r="O168" i="35" a="1"/>
  <c r="O168" i="35" s="1"/>
  <c r="O167" i="35" a="1"/>
  <c r="O167" i="35" s="1"/>
  <c r="P167" i="35" s="1" a="1"/>
  <c r="P167" i="35" s="1"/>
  <c r="O166" i="35" a="1"/>
  <c r="O166" i="35" s="1"/>
  <c r="U166" i="35" s="1"/>
  <c r="O165" i="35" a="1"/>
  <c r="O165" i="35" s="1"/>
  <c r="U165" i="35" s="1"/>
  <c r="O164" i="35" a="1"/>
  <c r="O164" i="35" s="1"/>
  <c r="P164" i="35" s="1" a="1"/>
  <c r="P164" i="35" s="1"/>
  <c r="O163" i="35" a="1"/>
  <c r="O163" i="35" s="1"/>
  <c r="O162" i="35" a="1"/>
  <c r="O162" i="35" s="1"/>
  <c r="U162" i="35" s="1"/>
  <c r="O161" i="35" a="1"/>
  <c r="O161" i="35" s="1"/>
  <c r="O160" i="35" a="1"/>
  <c r="O160" i="35" s="1"/>
  <c r="O159" i="35" a="1"/>
  <c r="O159" i="35" s="1"/>
  <c r="O158" i="35" a="1"/>
  <c r="O158" i="35" s="1"/>
  <c r="U158" i="35" s="1"/>
  <c r="O157" i="35" a="1"/>
  <c r="O157" i="35" s="1"/>
  <c r="O156" i="35" a="1"/>
  <c r="O156" i="35" s="1"/>
  <c r="O155" i="35" a="1"/>
  <c r="O155" i="35" s="1"/>
  <c r="U155" i="35" s="1"/>
  <c r="O154" i="35" a="1"/>
  <c r="O154" i="35" s="1"/>
  <c r="U154" i="35" s="1"/>
  <c r="O153" i="35" a="1"/>
  <c r="O153" i="35" s="1"/>
  <c r="O152" i="35" a="1"/>
  <c r="O152" i="35" s="1"/>
  <c r="O151" i="35" a="1"/>
  <c r="O151" i="35" s="1"/>
  <c r="U151" i="35" s="1"/>
  <c r="O150" i="35" a="1"/>
  <c r="O150" i="35" s="1"/>
  <c r="O149" i="35" a="1"/>
  <c r="O149" i="35" s="1"/>
  <c r="P149" i="35" s="1" a="1"/>
  <c r="P149" i="35" s="1"/>
  <c r="O148" i="35" a="1"/>
  <c r="O148" i="35" s="1"/>
  <c r="O147" i="35" a="1"/>
  <c r="O147" i="35" s="1"/>
  <c r="O146" i="35" a="1"/>
  <c r="O146" i="35" s="1"/>
  <c r="O145" i="35" a="1"/>
  <c r="O145" i="35" s="1"/>
  <c r="U145" i="35" s="1"/>
  <c r="O144" i="35" a="1"/>
  <c r="O144" i="35" s="1"/>
  <c r="O143" i="35" a="1"/>
  <c r="O143" i="35" s="1"/>
  <c r="P143" i="35" s="1" a="1"/>
  <c r="P143" i="35" s="1"/>
  <c r="O142" i="35" a="1"/>
  <c r="O142" i="35" s="1"/>
  <c r="O141" i="35" a="1"/>
  <c r="O141" i="35" s="1"/>
  <c r="P141" i="35" s="1" a="1"/>
  <c r="P141" i="35" s="1"/>
  <c r="O140" i="35" a="1"/>
  <c r="O140" i="35" s="1"/>
  <c r="O139" i="35" a="1"/>
  <c r="O139" i="35" s="1"/>
  <c r="P139" i="35" s="1" a="1"/>
  <c r="P139" i="35" s="1"/>
  <c r="O138" i="35" a="1"/>
  <c r="O138" i="35" s="1"/>
  <c r="O137" i="35" a="1"/>
  <c r="O137" i="35" s="1"/>
  <c r="O136" i="35" a="1"/>
  <c r="O136" i="35" s="1"/>
  <c r="O135" i="35" a="1"/>
  <c r="O135" i="35" s="1"/>
  <c r="U135" i="35" s="1"/>
  <c r="O134" i="35" a="1"/>
  <c r="O134" i="35" s="1"/>
  <c r="U134" i="35" s="1"/>
  <c r="O133" i="35" a="1"/>
  <c r="O133" i="35" s="1"/>
  <c r="P133" i="35" s="1" a="1"/>
  <c r="P133" i="35" s="1"/>
  <c r="O132" i="35" a="1"/>
  <c r="O132" i="35" s="1"/>
  <c r="O131" i="35" a="1"/>
  <c r="O131" i="35" s="1"/>
  <c r="O130" i="35" a="1"/>
  <c r="O130" i="35" s="1"/>
  <c r="P130" i="35" s="1" a="1"/>
  <c r="P130" i="35" s="1"/>
  <c r="O129" i="35" a="1"/>
  <c r="O129" i="35" s="1"/>
  <c r="O128" i="35" a="1"/>
  <c r="O128" i="35" s="1"/>
  <c r="U128" i="35" s="1"/>
  <c r="O127" i="35" a="1"/>
  <c r="O127" i="35" s="1"/>
  <c r="O126" i="35" a="1"/>
  <c r="O126" i="35" s="1"/>
  <c r="O125" i="35" a="1"/>
  <c r="O125" i="35" s="1"/>
  <c r="O124" i="35" a="1"/>
  <c r="O124" i="35" s="1"/>
  <c r="O123" i="35" a="1"/>
  <c r="O123" i="35" s="1"/>
  <c r="O122" i="35" a="1"/>
  <c r="O122" i="35" s="1"/>
  <c r="O121" i="35" a="1"/>
  <c r="O121" i="35" s="1"/>
  <c r="O120" i="35" a="1"/>
  <c r="O120" i="35" s="1"/>
  <c r="O119" i="35" a="1"/>
  <c r="O119" i="35" s="1"/>
  <c r="O118" i="35" a="1"/>
  <c r="O118" i="35" s="1"/>
  <c r="U118" i="35" s="1"/>
  <c r="O117" i="35" a="1"/>
  <c r="O117" i="35" s="1"/>
  <c r="O116" i="35" a="1"/>
  <c r="O116" i="35" s="1"/>
  <c r="O115" i="35" a="1"/>
  <c r="O115" i="35" s="1"/>
  <c r="O114" i="35" a="1"/>
  <c r="O114" i="35" s="1"/>
  <c r="P114" i="35" s="1" a="1"/>
  <c r="P114" i="35" s="1"/>
  <c r="O113" i="35" a="1"/>
  <c r="O113" i="35" s="1"/>
  <c r="O112" i="35" a="1"/>
  <c r="O112" i="35" s="1"/>
  <c r="O111" i="35" a="1"/>
  <c r="O111" i="35" s="1"/>
  <c r="O110" i="35" a="1"/>
  <c r="O110" i="35" s="1"/>
  <c r="O109" i="35" a="1"/>
  <c r="O109" i="35" s="1"/>
  <c r="O108" i="35" a="1"/>
  <c r="O108" i="35" s="1"/>
  <c r="U108" i="35" s="1"/>
  <c r="O107" i="35" a="1"/>
  <c r="O107" i="35" s="1"/>
  <c r="P107" i="35" s="1" a="1"/>
  <c r="P107" i="35" s="1"/>
  <c r="O106" i="35" a="1"/>
  <c r="O106" i="35" s="1"/>
  <c r="O105" i="35" a="1"/>
  <c r="O105" i="35" s="1"/>
  <c r="O104" i="35" a="1"/>
  <c r="O104" i="35" s="1"/>
  <c r="U104" i="35" s="1"/>
  <c r="O103" i="35" a="1"/>
  <c r="O103" i="35" s="1"/>
  <c r="O102" i="35" a="1"/>
  <c r="O102" i="35" s="1"/>
  <c r="P102" i="35" s="1" a="1"/>
  <c r="P102" i="35" s="1"/>
  <c r="O101" i="35" a="1"/>
  <c r="O101" i="35" s="1"/>
  <c r="O100" i="35" a="1"/>
  <c r="O100" i="35" s="1"/>
  <c r="O99" i="35" a="1"/>
  <c r="O99" i="35" s="1"/>
  <c r="O98" i="35" a="1"/>
  <c r="O98" i="35" s="1"/>
  <c r="P98" i="35" s="1" a="1"/>
  <c r="P98" i="35" s="1"/>
  <c r="O97" i="35" a="1"/>
  <c r="O97" i="35" s="1"/>
  <c r="O96" i="35" a="1"/>
  <c r="O96" i="35" s="1"/>
  <c r="U96" i="35" s="1"/>
  <c r="O95" i="35" a="1"/>
  <c r="O95" i="35" s="1"/>
  <c r="U95" i="35" s="1"/>
  <c r="O94" i="35" a="1"/>
  <c r="O94" i="35" s="1"/>
  <c r="O93" i="35" a="1"/>
  <c r="O93" i="35" s="1"/>
  <c r="P93" i="35" s="1" a="1"/>
  <c r="P93" i="35" s="1"/>
  <c r="O92" i="35" a="1"/>
  <c r="O92" i="35" s="1"/>
  <c r="O91" i="35" a="1"/>
  <c r="O91" i="35" s="1"/>
  <c r="O90" i="35" a="1"/>
  <c r="O90" i="35" s="1"/>
  <c r="O89" i="35" a="1"/>
  <c r="O89" i="35" s="1"/>
  <c r="O88" i="35" a="1"/>
  <c r="O88" i="35" s="1"/>
  <c r="U88" i="35" s="1"/>
  <c r="O87" i="35" a="1"/>
  <c r="O87" i="35" s="1"/>
  <c r="O86" i="35" a="1"/>
  <c r="O86" i="35" s="1"/>
  <c r="O85" i="35" a="1"/>
  <c r="O85" i="35" s="1"/>
  <c r="U85" i="35" s="1"/>
  <c r="O84" i="35" a="1"/>
  <c r="O84" i="35" s="1"/>
  <c r="U84" i="35" s="1"/>
  <c r="O83" i="35" a="1"/>
  <c r="O83" i="35" s="1"/>
  <c r="O82" i="35" a="1"/>
  <c r="O82" i="35" s="1"/>
  <c r="U82" i="35" s="1"/>
  <c r="O81" i="35" a="1"/>
  <c r="O81" i="35" s="1"/>
  <c r="P81" i="35" s="1" a="1"/>
  <c r="P81" i="35" s="1"/>
  <c r="O80" i="35" a="1"/>
  <c r="O80" i="35" s="1"/>
  <c r="O79" i="35" a="1"/>
  <c r="O79" i="35" s="1"/>
  <c r="O78" i="35" a="1"/>
  <c r="O78" i="35" s="1"/>
  <c r="O77" i="35" a="1"/>
  <c r="O77" i="35" s="1"/>
  <c r="O76" i="35" a="1"/>
  <c r="O76" i="35" s="1"/>
  <c r="P76" i="35" s="1" a="1"/>
  <c r="P76" i="35" s="1"/>
  <c r="O75" i="35" a="1"/>
  <c r="O75" i="35" s="1"/>
  <c r="O74" i="35" a="1"/>
  <c r="O74" i="35" s="1"/>
  <c r="O73" i="35" a="1"/>
  <c r="O73" i="35" s="1"/>
  <c r="O72" i="35" a="1"/>
  <c r="O72" i="35" s="1"/>
  <c r="O71" i="35" a="1"/>
  <c r="O71" i="35" s="1"/>
  <c r="P71" i="35" s="1" a="1"/>
  <c r="P71" i="35" s="1"/>
  <c r="O70" i="35" a="1"/>
  <c r="O70" i="35" s="1"/>
  <c r="P70" i="35" s="1" a="1"/>
  <c r="P70" i="35" s="1"/>
  <c r="O69" i="35" a="1"/>
  <c r="O69" i="35" s="1"/>
  <c r="O68" i="35" a="1"/>
  <c r="O68" i="35" s="1"/>
  <c r="P68" i="35" s="1" a="1"/>
  <c r="P68" i="35" s="1"/>
  <c r="O67" i="35" a="1"/>
  <c r="O67" i="35" s="1"/>
  <c r="O66" i="35" a="1"/>
  <c r="O66" i="35" s="1"/>
  <c r="P66" i="35" s="1" a="1"/>
  <c r="P66" i="35" s="1"/>
  <c r="O65" i="35" a="1"/>
  <c r="O65" i="35" s="1"/>
  <c r="O64" i="35" a="1"/>
  <c r="O64" i="35" s="1"/>
  <c r="O63" i="35" a="1"/>
  <c r="O63" i="35" s="1"/>
  <c r="U63" i="35" s="1"/>
  <c r="O62" i="35" a="1"/>
  <c r="O62" i="35" s="1"/>
  <c r="U62" i="35" s="1"/>
  <c r="O61" i="35" a="1"/>
  <c r="O61" i="35" s="1"/>
  <c r="O60" i="35" a="1"/>
  <c r="O60" i="35" s="1"/>
  <c r="P60" i="35" s="1" a="1"/>
  <c r="P60" i="35" s="1"/>
  <c r="O59" i="35" a="1"/>
  <c r="O59" i="35" s="1"/>
  <c r="O58" i="35" a="1"/>
  <c r="O58" i="35" s="1"/>
  <c r="P58" i="35" s="1" a="1"/>
  <c r="P58" i="35" s="1"/>
  <c r="O57" i="35" a="1"/>
  <c r="O57" i="35" s="1"/>
  <c r="O56" i="35" a="1"/>
  <c r="O56" i="35" s="1"/>
  <c r="O55" i="35" a="1"/>
  <c r="O55" i="35" s="1"/>
  <c r="O54" i="35" a="1"/>
  <c r="O54" i="35" s="1"/>
  <c r="O53" i="35" a="1"/>
  <c r="O53" i="35" s="1"/>
  <c r="O52" i="35" a="1"/>
  <c r="O52" i="35" s="1"/>
  <c r="O51" i="35" a="1"/>
  <c r="O51" i="35" s="1"/>
  <c r="O50" i="35" a="1"/>
  <c r="O50" i="35" s="1"/>
  <c r="P50" i="35" s="1" a="1"/>
  <c r="P50" i="35" s="1"/>
  <c r="O49" i="35" a="1"/>
  <c r="O49" i="35" s="1"/>
  <c r="O48" i="35" a="1"/>
  <c r="O48" i="35" s="1"/>
  <c r="U48" i="35" s="1"/>
  <c r="O47" i="35" a="1"/>
  <c r="O47" i="35" s="1"/>
  <c r="O46" i="35" a="1"/>
  <c r="O46" i="35" s="1"/>
  <c r="O45" i="35" a="1"/>
  <c r="O45" i="35" s="1"/>
  <c r="O44" i="35" a="1"/>
  <c r="O44" i="35" s="1"/>
  <c r="O43" i="35" a="1"/>
  <c r="O43" i="35" s="1"/>
  <c r="O42" i="35" a="1"/>
  <c r="O42" i="35" s="1"/>
  <c r="O41" i="35" a="1"/>
  <c r="O41" i="35" s="1"/>
  <c r="O40" i="35" a="1"/>
  <c r="O40" i="35" s="1"/>
  <c r="O39" i="35" a="1"/>
  <c r="O39" i="35" s="1"/>
  <c r="U39" i="35" s="1"/>
  <c r="O38" i="35" a="1"/>
  <c r="O38" i="35" s="1"/>
  <c r="P38" i="35" s="1" a="1"/>
  <c r="P38" i="35" s="1"/>
  <c r="O37" i="35" a="1"/>
  <c r="O37" i="35" s="1"/>
  <c r="O36" i="35" a="1"/>
  <c r="O36" i="35" s="1"/>
  <c r="O35" i="35" a="1"/>
  <c r="O35" i="35" s="1"/>
  <c r="O34" i="35" a="1"/>
  <c r="O34" i="35" s="1"/>
  <c r="U34" i="35" s="1"/>
  <c r="O33" i="35" a="1"/>
  <c r="O33" i="35" s="1"/>
  <c r="O32" i="35" a="1"/>
  <c r="O32" i="35" s="1"/>
  <c r="O31" i="35" a="1"/>
  <c r="O31" i="35" s="1"/>
  <c r="O30" i="35" a="1"/>
  <c r="O30" i="35" s="1"/>
  <c r="O29" i="35" a="1"/>
  <c r="O29" i="35" s="1"/>
  <c r="O28" i="35" a="1"/>
  <c r="O28" i="35" s="1"/>
  <c r="P28" i="35" s="1" a="1"/>
  <c r="P28" i="35" s="1"/>
  <c r="O27" i="35" a="1"/>
  <c r="O27" i="35" s="1"/>
  <c r="U27" i="35" s="1"/>
  <c r="O26" i="35" a="1"/>
  <c r="O26" i="35" s="1"/>
  <c r="O25" i="35" a="1"/>
  <c r="O25" i="35" s="1"/>
  <c r="O24" i="35" a="1"/>
  <c r="O24" i="35" s="1"/>
  <c r="O23" i="35" a="1"/>
  <c r="O23" i="35" s="1"/>
  <c r="O22" i="35" a="1"/>
  <c r="O22" i="35" s="1"/>
  <c r="O21" i="35" a="1"/>
  <c r="O21" i="35" s="1"/>
  <c r="U21" i="35" s="1"/>
  <c r="O20" i="35" a="1"/>
  <c r="O20" i="35" s="1"/>
  <c r="O19" i="35" a="1"/>
  <c r="O19" i="35" s="1"/>
  <c r="O18" i="35" a="1"/>
  <c r="O18" i="35" s="1"/>
  <c r="U18" i="35" s="1"/>
  <c r="O17" i="35" a="1"/>
  <c r="O17" i="35" s="1"/>
  <c r="P17" i="35" s="1" a="1"/>
  <c r="P17" i="35" s="1"/>
  <c r="O16" i="35" a="1"/>
  <c r="O16" i="35" s="1"/>
  <c r="O15" i="35" a="1"/>
  <c r="O15" i="35" s="1"/>
  <c r="U15" i="35" s="1"/>
  <c r="O14" i="35" a="1"/>
  <c r="O14" i="35" s="1"/>
  <c r="O13" i="35" a="1"/>
  <c r="O13" i="35" s="1"/>
  <c r="O12" i="35" a="1"/>
  <c r="O12" i="35" s="1"/>
  <c r="O11" i="35" a="1"/>
  <c r="O11" i="35" s="1"/>
  <c r="O10" i="35" a="1"/>
  <c r="O10" i="35" s="1"/>
  <c r="O9" i="35" a="1"/>
  <c r="O9" i="35" s="1"/>
  <c r="O8" i="35" a="1"/>
  <c r="O8" i="35" s="1"/>
  <c r="U8" i="35" s="1"/>
  <c r="O7" i="35" a="1"/>
  <c r="O7" i="35" s="1"/>
  <c r="U7" i="35" s="1"/>
  <c r="O6" i="35" a="1"/>
  <c r="O6" i="35" s="1"/>
  <c r="AB393" i="35"/>
  <c r="Y393" i="35"/>
  <c r="Z393" i="35" s="1" a="1"/>
  <c r="Z393" i="35" s="1"/>
  <c r="U393" i="35"/>
  <c r="R393" i="35"/>
  <c r="S393" i="35" s="1" a="1"/>
  <c r="S393" i="35" s="1"/>
  <c r="P393" i="35" a="1"/>
  <c r="P393" i="35" s="1"/>
  <c r="AB392" i="35"/>
  <c r="Y392" i="35"/>
  <c r="Z392" i="35" s="1" a="1"/>
  <c r="Z392" i="35" s="1"/>
  <c r="U392" i="35"/>
  <c r="R392" i="35"/>
  <c r="S392" i="35" s="1" a="1"/>
  <c r="S392" i="35" s="1"/>
  <c r="P392" i="35" a="1"/>
  <c r="P392" i="35" s="1"/>
  <c r="AB391" i="35"/>
  <c r="Y391" i="35"/>
  <c r="Z391" i="35" s="1" a="1"/>
  <c r="Z391" i="35" s="1"/>
  <c r="U391" i="35"/>
  <c r="R391" i="35"/>
  <c r="S391" i="35" s="1" a="1"/>
  <c r="S391" i="35" s="1"/>
  <c r="P391" i="35" a="1"/>
  <c r="P391" i="35" s="1"/>
  <c r="AB390" i="35"/>
  <c r="Y390" i="35"/>
  <c r="Z390" i="35" s="1" a="1"/>
  <c r="Z390" i="35" s="1"/>
  <c r="U390" i="35"/>
  <c r="R390" i="35"/>
  <c r="S390" i="35" s="1" a="1"/>
  <c r="S390" i="35" s="1"/>
  <c r="P390" i="35" a="1"/>
  <c r="P390" i="35" s="1"/>
  <c r="AB389" i="35"/>
  <c r="Y389" i="35"/>
  <c r="Z389" i="35" s="1" a="1"/>
  <c r="Z389" i="35" s="1"/>
  <c r="U389" i="35"/>
  <c r="R389" i="35"/>
  <c r="S389" i="35" s="1" a="1"/>
  <c r="S389" i="35" s="1"/>
  <c r="P389" i="35" a="1"/>
  <c r="P389" i="35" s="1"/>
  <c r="AB388" i="35"/>
  <c r="Y388" i="35"/>
  <c r="Z388" i="35" s="1" a="1"/>
  <c r="Z388" i="35" s="1"/>
  <c r="U388" i="35"/>
  <c r="R388" i="35"/>
  <c r="S388" i="35" s="1" a="1"/>
  <c r="S388" i="35" s="1"/>
  <c r="P388" i="35" a="1"/>
  <c r="P388" i="35" s="1"/>
  <c r="AB387" i="35"/>
  <c r="Y387" i="35"/>
  <c r="Z387" i="35" s="1" a="1"/>
  <c r="Z387" i="35" s="1"/>
  <c r="U387" i="35"/>
  <c r="R387" i="35"/>
  <c r="S387" i="35" s="1" a="1"/>
  <c r="S387" i="35" s="1"/>
  <c r="P387" i="35" a="1"/>
  <c r="P387" i="35" s="1"/>
  <c r="AB386" i="35"/>
  <c r="Y386" i="35"/>
  <c r="Z386" i="35" s="1" a="1"/>
  <c r="Z386" i="35" s="1"/>
  <c r="U386" i="35"/>
  <c r="R386" i="35"/>
  <c r="S386" i="35" s="1" a="1"/>
  <c r="S386" i="35" s="1"/>
  <c r="P386" i="35" a="1"/>
  <c r="P386" i="35" s="1"/>
  <c r="AB385" i="35"/>
  <c r="Y385" i="35"/>
  <c r="Z385" i="35" s="1" a="1"/>
  <c r="Z385" i="35" s="1"/>
  <c r="U385" i="35"/>
  <c r="R385" i="35"/>
  <c r="S385" i="35" s="1" a="1"/>
  <c r="S385" i="35" s="1"/>
  <c r="P385" i="35" a="1"/>
  <c r="P385" i="35" s="1"/>
  <c r="AB384" i="35"/>
  <c r="Y384" i="35"/>
  <c r="Z384" i="35" s="1" a="1"/>
  <c r="Z384" i="35" s="1"/>
  <c r="U384" i="35"/>
  <c r="R384" i="35"/>
  <c r="S384" i="35" s="1" a="1"/>
  <c r="S384" i="35" s="1"/>
  <c r="P384" i="35" a="1"/>
  <c r="P384" i="35" s="1"/>
  <c r="AB383" i="35"/>
  <c r="Y383" i="35"/>
  <c r="Z383" i="35" s="1" a="1"/>
  <c r="Z383" i="35" s="1"/>
  <c r="U383" i="35"/>
  <c r="R383" i="35"/>
  <c r="S383" i="35" s="1" a="1"/>
  <c r="S383" i="35" s="1"/>
  <c r="P383" i="35" a="1"/>
  <c r="P383" i="35" s="1"/>
  <c r="AB382" i="35"/>
  <c r="Y382" i="35"/>
  <c r="Z382" i="35" s="1" a="1"/>
  <c r="Z382" i="35" s="1"/>
  <c r="U382" i="35"/>
  <c r="R382" i="35"/>
  <c r="S382" i="35" s="1" a="1"/>
  <c r="S382" i="35" s="1"/>
  <c r="P382" i="35" a="1"/>
  <c r="P382" i="35" s="1"/>
  <c r="AB381" i="35"/>
  <c r="Y381" i="35"/>
  <c r="Z381" i="35" s="1" a="1"/>
  <c r="Z381" i="35" s="1"/>
  <c r="U381" i="35"/>
  <c r="R381" i="35"/>
  <c r="S381" i="35" s="1" a="1"/>
  <c r="S381" i="35" s="1"/>
  <c r="P381" i="35" a="1"/>
  <c r="P381" i="35" s="1"/>
  <c r="AB380" i="35"/>
  <c r="Y380" i="35"/>
  <c r="Z380" i="35" s="1" a="1"/>
  <c r="Z380" i="35" s="1"/>
  <c r="U380" i="35"/>
  <c r="R380" i="35"/>
  <c r="S380" i="35" s="1" a="1"/>
  <c r="S380" i="35" s="1"/>
  <c r="P380" i="35" a="1"/>
  <c r="P380" i="35" s="1"/>
  <c r="AB379" i="35"/>
  <c r="Y379" i="35"/>
  <c r="Z379" i="35" s="1" a="1"/>
  <c r="Z379" i="35" s="1"/>
  <c r="U379" i="35"/>
  <c r="R379" i="35"/>
  <c r="S379" i="35" s="1" a="1"/>
  <c r="S379" i="35" s="1"/>
  <c r="P379" i="35" a="1"/>
  <c r="P379" i="35" s="1"/>
  <c r="AB378" i="35"/>
  <c r="Y378" i="35"/>
  <c r="Z378" i="35" s="1" a="1"/>
  <c r="Z378" i="35" s="1"/>
  <c r="U378" i="35"/>
  <c r="R378" i="35"/>
  <c r="S378" i="35" s="1" a="1"/>
  <c r="S378" i="35" s="1"/>
  <c r="P378" i="35" a="1"/>
  <c r="P378" i="35" s="1"/>
  <c r="AB377" i="35"/>
  <c r="Y377" i="35"/>
  <c r="Z377" i="35" s="1" a="1"/>
  <c r="Z377" i="35" s="1"/>
  <c r="U377" i="35"/>
  <c r="R377" i="35"/>
  <c r="S377" i="35" s="1" a="1"/>
  <c r="S377" i="35" s="1"/>
  <c r="P377" i="35" a="1"/>
  <c r="P377" i="35" s="1"/>
  <c r="AB376" i="35"/>
  <c r="Y376" i="35"/>
  <c r="Z376" i="35" s="1" a="1"/>
  <c r="Z376" i="35" s="1"/>
  <c r="U376" i="35"/>
  <c r="R376" i="35"/>
  <c r="S376" i="35" s="1" a="1"/>
  <c r="S376" i="35" s="1"/>
  <c r="P376" i="35" a="1"/>
  <c r="P376" i="35" s="1"/>
  <c r="AB375" i="35"/>
  <c r="Y375" i="35"/>
  <c r="Z375" i="35" s="1" a="1"/>
  <c r="Z375" i="35" s="1"/>
  <c r="U375" i="35"/>
  <c r="R375" i="35"/>
  <c r="S375" i="35" s="1" a="1"/>
  <c r="S375" i="35" s="1"/>
  <c r="P375" i="35" a="1"/>
  <c r="P375" i="35" s="1"/>
  <c r="AB374" i="35"/>
  <c r="Y374" i="35"/>
  <c r="Z374" i="35" s="1" a="1"/>
  <c r="Z374" i="35" s="1"/>
  <c r="U374" i="35"/>
  <c r="R374" i="35"/>
  <c r="S374" i="35" s="1" a="1"/>
  <c r="S374" i="35" s="1"/>
  <c r="P374" i="35" a="1"/>
  <c r="P374" i="35" s="1"/>
  <c r="AB373" i="35"/>
  <c r="Y373" i="35"/>
  <c r="Z373" i="35" s="1" a="1"/>
  <c r="Z373" i="35" s="1"/>
  <c r="U373" i="35"/>
  <c r="R373" i="35"/>
  <c r="S373" i="35" s="1" a="1"/>
  <c r="S373" i="35" s="1"/>
  <c r="P373" i="35" a="1"/>
  <c r="P373" i="35" s="1"/>
  <c r="AB372" i="35"/>
  <c r="Y372" i="35"/>
  <c r="Z372" i="35" s="1" a="1"/>
  <c r="Z372" i="35" s="1"/>
  <c r="U372" i="35"/>
  <c r="R372" i="35"/>
  <c r="S372" i="35" s="1" a="1"/>
  <c r="S372" i="35" s="1"/>
  <c r="P372" i="35" a="1"/>
  <c r="P372" i="35" s="1"/>
  <c r="AB371" i="35"/>
  <c r="Y371" i="35"/>
  <c r="Z371" i="35" s="1" a="1"/>
  <c r="Z371" i="35" s="1"/>
  <c r="U371" i="35"/>
  <c r="R371" i="35"/>
  <c r="S371" i="35" s="1" a="1"/>
  <c r="S371" i="35" s="1"/>
  <c r="P371" i="35" a="1"/>
  <c r="P371" i="35" s="1"/>
  <c r="AB370" i="35"/>
  <c r="Y370" i="35"/>
  <c r="Z370" i="35" s="1" a="1"/>
  <c r="Z370" i="35" s="1"/>
  <c r="U370" i="35"/>
  <c r="R370" i="35"/>
  <c r="S370" i="35" s="1" a="1"/>
  <c r="S370" i="35" s="1"/>
  <c r="P370" i="35" a="1"/>
  <c r="P370" i="35" s="1"/>
  <c r="AB369" i="35"/>
  <c r="Y369" i="35"/>
  <c r="Z369" i="35" s="1" a="1"/>
  <c r="Z369" i="35" s="1"/>
  <c r="U369" i="35"/>
  <c r="R369" i="35"/>
  <c r="S369" i="35" s="1" a="1"/>
  <c r="S369" i="35" s="1"/>
  <c r="P369" i="35" a="1"/>
  <c r="P369" i="35" s="1"/>
  <c r="AB368" i="35"/>
  <c r="Y368" i="35"/>
  <c r="Z368" i="35" s="1" a="1"/>
  <c r="Z368" i="35" s="1"/>
  <c r="U368" i="35"/>
  <c r="R368" i="35"/>
  <c r="S368" i="35" s="1" a="1"/>
  <c r="S368" i="35" s="1"/>
  <c r="P368" i="35" a="1"/>
  <c r="P368" i="35" s="1"/>
  <c r="AB367" i="35"/>
  <c r="Y367" i="35"/>
  <c r="Z367" i="35" s="1" a="1"/>
  <c r="Z367" i="35" s="1"/>
  <c r="U367" i="35"/>
  <c r="R367" i="35"/>
  <c r="S367" i="35" s="1" a="1"/>
  <c r="S367" i="35" s="1"/>
  <c r="P367" i="35" a="1"/>
  <c r="P367" i="35" s="1"/>
  <c r="AB366" i="35"/>
  <c r="Y366" i="35"/>
  <c r="Z366" i="35" s="1" a="1"/>
  <c r="Z366" i="35" s="1"/>
  <c r="U366" i="35"/>
  <c r="R366" i="35"/>
  <c r="S366" i="35" s="1" a="1"/>
  <c r="S366" i="35" s="1"/>
  <c r="P366" i="35" a="1"/>
  <c r="P366" i="35" s="1"/>
  <c r="AB365" i="35"/>
  <c r="Y365" i="35"/>
  <c r="Z365" i="35" s="1" a="1"/>
  <c r="Z365" i="35" s="1"/>
  <c r="U365" i="35"/>
  <c r="R365" i="35"/>
  <c r="S365" i="35" s="1" a="1"/>
  <c r="S365" i="35" s="1"/>
  <c r="P365" i="35" a="1"/>
  <c r="P365" i="35" s="1"/>
  <c r="AB364" i="35"/>
  <c r="Y364" i="35"/>
  <c r="Z364" i="35" s="1" a="1"/>
  <c r="Z364" i="35" s="1"/>
  <c r="U364" i="35"/>
  <c r="R364" i="35"/>
  <c r="S364" i="35" s="1" a="1"/>
  <c r="S364" i="35" s="1"/>
  <c r="P364" i="35" a="1"/>
  <c r="P364" i="35" s="1"/>
  <c r="AB363" i="35"/>
  <c r="Y363" i="35"/>
  <c r="Z363" i="35" s="1" a="1"/>
  <c r="Z363" i="35" s="1"/>
  <c r="U363" i="35"/>
  <c r="R363" i="35"/>
  <c r="S363" i="35" s="1" a="1"/>
  <c r="S363" i="35" s="1"/>
  <c r="P363" i="35" a="1"/>
  <c r="P363" i="35" s="1"/>
  <c r="AB362" i="35"/>
  <c r="Y362" i="35"/>
  <c r="Z362" i="35" s="1" a="1"/>
  <c r="Z362" i="35" s="1"/>
  <c r="U362" i="35"/>
  <c r="R362" i="35"/>
  <c r="S362" i="35" s="1" a="1"/>
  <c r="S362" i="35" s="1"/>
  <c r="P362" i="35" a="1"/>
  <c r="P362" i="35" s="1"/>
  <c r="AB361" i="35"/>
  <c r="Y361" i="35"/>
  <c r="Z361" i="35" s="1" a="1"/>
  <c r="Z361" i="35" s="1"/>
  <c r="U361" i="35"/>
  <c r="R361" i="35"/>
  <c r="S361" i="35" s="1" a="1"/>
  <c r="S361" i="35" s="1"/>
  <c r="P361" i="35" a="1"/>
  <c r="P361" i="35" s="1"/>
  <c r="AB360" i="35"/>
  <c r="Y360" i="35"/>
  <c r="Z360" i="35" s="1" a="1"/>
  <c r="Z360" i="35" s="1"/>
  <c r="U360" i="35"/>
  <c r="R360" i="35"/>
  <c r="S360" i="35" s="1" a="1"/>
  <c r="S360" i="35" s="1"/>
  <c r="P360" i="35" a="1"/>
  <c r="P360" i="35" s="1"/>
  <c r="AB359" i="35"/>
  <c r="Y359" i="35"/>
  <c r="Z359" i="35" s="1" a="1"/>
  <c r="Z359" i="35" s="1"/>
  <c r="U359" i="35"/>
  <c r="R359" i="35"/>
  <c r="S359" i="35" s="1" a="1"/>
  <c r="S359" i="35" s="1"/>
  <c r="P359" i="35" a="1"/>
  <c r="P359" i="35" s="1"/>
  <c r="AB358" i="35"/>
  <c r="Y358" i="35"/>
  <c r="Z358" i="35" s="1" a="1"/>
  <c r="Z358" i="35" s="1"/>
  <c r="U358" i="35"/>
  <c r="R358" i="35"/>
  <c r="S358" i="35" s="1" a="1"/>
  <c r="S358" i="35" s="1"/>
  <c r="P358" i="35" a="1"/>
  <c r="P358" i="35" s="1"/>
  <c r="AB357" i="35"/>
  <c r="Y357" i="35"/>
  <c r="Z357" i="35" s="1" a="1"/>
  <c r="Z357" i="35" s="1"/>
  <c r="U357" i="35"/>
  <c r="R357" i="35"/>
  <c r="S357" i="35" s="1" a="1"/>
  <c r="S357" i="35" s="1"/>
  <c r="P357" i="35" a="1"/>
  <c r="P357" i="35" s="1"/>
  <c r="AB356" i="35"/>
  <c r="Y356" i="35"/>
  <c r="Z356" i="35" s="1" a="1"/>
  <c r="Z356" i="35" s="1"/>
  <c r="U356" i="35"/>
  <c r="R356" i="35"/>
  <c r="S356" i="35" s="1" a="1"/>
  <c r="S356" i="35" s="1"/>
  <c r="P356" i="35" a="1"/>
  <c r="P356" i="35" s="1"/>
  <c r="AB355" i="35"/>
  <c r="Y355" i="35"/>
  <c r="Z355" i="35" s="1" a="1"/>
  <c r="Z355" i="35" s="1"/>
  <c r="U355" i="35"/>
  <c r="R355" i="35"/>
  <c r="S355" i="35" s="1" a="1"/>
  <c r="S355" i="35" s="1"/>
  <c r="P355" i="35" a="1"/>
  <c r="P355" i="35" s="1"/>
  <c r="AB354" i="35"/>
  <c r="Y354" i="35"/>
  <c r="Z354" i="35" s="1" a="1"/>
  <c r="Z354" i="35" s="1"/>
  <c r="U354" i="35"/>
  <c r="R354" i="35"/>
  <c r="S354" i="35" s="1" a="1"/>
  <c r="S354" i="35" s="1"/>
  <c r="P354" i="35" a="1"/>
  <c r="P354" i="35" s="1"/>
  <c r="AB353" i="35"/>
  <c r="Y353" i="35"/>
  <c r="Z353" i="35" s="1" a="1"/>
  <c r="Z353" i="35" s="1"/>
  <c r="U353" i="35"/>
  <c r="R353" i="35"/>
  <c r="S353" i="35" s="1" a="1"/>
  <c r="S353" i="35" s="1"/>
  <c r="P353" i="35" a="1"/>
  <c r="P353" i="35" s="1"/>
  <c r="AB352" i="35"/>
  <c r="Y352" i="35"/>
  <c r="Z352" i="35" s="1" a="1"/>
  <c r="Z352" i="35" s="1"/>
  <c r="U352" i="35"/>
  <c r="R352" i="35"/>
  <c r="S352" i="35" s="1" a="1"/>
  <c r="S352" i="35" s="1"/>
  <c r="P352" i="35" a="1"/>
  <c r="P352" i="35" s="1"/>
  <c r="AB351" i="35"/>
  <c r="Y351" i="35"/>
  <c r="Z351" i="35" s="1" a="1"/>
  <c r="Z351" i="35" s="1"/>
  <c r="U351" i="35"/>
  <c r="R351" i="35"/>
  <c r="S351" i="35" s="1" a="1"/>
  <c r="S351" i="35" s="1"/>
  <c r="P351" i="35" a="1"/>
  <c r="P351" i="35" s="1"/>
  <c r="AB350" i="35"/>
  <c r="Y350" i="35"/>
  <c r="Z350" i="35" s="1" a="1"/>
  <c r="Z350" i="35" s="1"/>
  <c r="U350" i="35"/>
  <c r="R350" i="35"/>
  <c r="S350" i="35" s="1" a="1"/>
  <c r="S350" i="35" s="1"/>
  <c r="P350" i="35" a="1"/>
  <c r="P350" i="35" s="1"/>
  <c r="AB349" i="35"/>
  <c r="Y349" i="35"/>
  <c r="Z349" i="35" s="1" a="1"/>
  <c r="Z349" i="35" s="1"/>
  <c r="U349" i="35"/>
  <c r="R349" i="35"/>
  <c r="S349" i="35" s="1" a="1"/>
  <c r="S349" i="35" s="1"/>
  <c r="P349" i="35" a="1"/>
  <c r="P349" i="35" s="1"/>
  <c r="AB348" i="35"/>
  <c r="Y348" i="35"/>
  <c r="Z348" i="35" s="1" a="1"/>
  <c r="Z348" i="35" s="1"/>
  <c r="U348" i="35"/>
  <c r="R348" i="35"/>
  <c r="S348" i="35" s="1" a="1"/>
  <c r="S348" i="35" s="1"/>
  <c r="P348" i="35" a="1"/>
  <c r="P348" i="35" s="1"/>
  <c r="AB347" i="35"/>
  <c r="Y347" i="35"/>
  <c r="Z347" i="35" s="1" a="1"/>
  <c r="Z347" i="35" s="1"/>
  <c r="U347" i="35"/>
  <c r="R347" i="35"/>
  <c r="S347" i="35" s="1" a="1"/>
  <c r="S347" i="35" s="1"/>
  <c r="P347" i="35" a="1"/>
  <c r="P347" i="35" s="1"/>
  <c r="AB346" i="35"/>
  <c r="Y346" i="35"/>
  <c r="Z346" i="35" s="1" a="1"/>
  <c r="Z346" i="35" s="1"/>
  <c r="U346" i="35"/>
  <c r="R346" i="35"/>
  <c r="S346" i="35" s="1" a="1"/>
  <c r="S346" i="35" s="1"/>
  <c r="P346" i="35" a="1"/>
  <c r="P346" i="35" s="1"/>
  <c r="AB345" i="35"/>
  <c r="Y345" i="35"/>
  <c r="Z345" i="35" s="1" a="1"/>
  <c r="Z345" i="35" s="1"/>
  <c r="U345" i="35"/>
  <c r="R345" i="35"/>
  <c r="S345" i="35" s="1" a="1"/>
  <c r="S345" i="35" s="1"/>
  <c r="P345" i="35" a="1"/>
  <c r="P345" i="35" s="1"/>
  <c r="AB344" i="35"/>
  <c r="Y344" i="35"/>
  <c r="Z344" i="35" s="1" a="1"/>
  <c r="Z344" i="35" s="1"/>
  <c r="U344" i="35"/>
  <c r="R344" i="35"/>
  <c r="S344" i="35" s="1" a="1"/>
  <c r="S344" i="35" s="1"/>
  <c r="P344" i="35" a="1"/>
  <c r="P344" i="35" s="1"/>
  <c r="AB343" i="35"/>
  <c r="Y343" i="35"/>
  <c r="Z343" i="35" s="1" a="1"/>
  <c r="Z343" i="35" s="1"/>
  <c r="U343" i="35"/>
  <c r="R343" i="35"/>
  <c r="S343" i="35" s="1" a="1"/>
  <c r="S343" i="35" s="1"/>
  <c r="P343" i="35" a="1"/>
  <c r="P343" i="35" s="1"/>
  <c r="AB342" i="35"/>
  <c r="Y342" i="35"/>
  <c r="Z342" i="35" s="1" a="1"/>
  <c r="Z342" i="35" s="1"/>
  <c r="U342" i="35"/>
  <c r="R342" i="35"/>
  <c r="S342" i="35" s="1" a="1"/>
  <c r="S342" i="35" s="1"/>
  <c r="P342" i="35" a="1"/>
  <c r="P342" i="35" s="1"/>
  <c r="AB341" i="35"/>
  <c r="Y341" i="35"/>
  <c r="Z341" i="35" s="1" a="1"/>
  <c r="Z341" i="35" s="1"/>
  <c r="U341" i="35"/>
  <c r="R341" i="35"/>
  <c r="S341" i="35" s="1" a="1"/>
  <c r="S341" i="35" s="1"/>
  <c r="P341" i="35" a="1"/>
  <c r="P341" i="35" s="1"/>
  <c r="AB340" i="35"/>
  <c r="Y340" i="35"/>
  <c r="Z340" i="35" s="1" a="1"/>
  <c r="Z340" i="35" s="1"/>
  <c r="U340" i="35"/>
  <c r="R340" i="35"/>
  <c r="S340" i="35" s="1" a="1"/>
  <c r="S340" i="35" s="1"/>
  <c r="P340" i="35" a="1"/>
  <c r="P340" i="35" s="1"/>
  <c r="AB339" i="35"/>
  <c r="Y339" i="35"/>
  <c r="Z339" i="35" s="1" a="1"/>
  <c r="Z339" i="35" s="1"/>
  <c r="U339" i="35"/>
  <c r="R339" i="35"/>
  <c r="S339" i="35" s="1" a="1"/>
  <c r="S339" i="35" s="1"/>
  <c r="P339" i="35" a="1"/>
  <c r="P339" i="35" s="1"/>
  <c r="AB338" i="35"/>
  <c r="Y338" i="35"/>
  <c r="Z338" i="35" s="1" a="1"/>
  <c r="Z338" i="35" s="1"/>
  <c r="U338" i="35"/>
  <c r="R338" i="35"/>
  <c r="S338" i="35" s="1" a="1"/>
  <c r="S338" i="35" s="1"/>
  <c r="P338" i="35" a="1"/>
  <c r="P338" i="35" s="1"/>
  <c r="AB337" i="35"/>
  <c r="Y337" i="35"/>
  <c r="Z337" i="35" s="1" a="1"/>
  <c r="Z337" i="35" s="1"/>
  <c r="U337" i="35"/>
  <c r="R337" i="35"/>
  <c r="S337" i="35" s="1" a="1"/>
  <c r="S337" i="35" s="1"/>
  <c r="P337" i="35" a="1"/>
  <c r="P337" i="35" s="1"/>
  <c r="AB336" i="35"/>
  <c r="Y336" i="35"/>
  <c r="Z336" i="35" s="1" a="1"/>
  <c r="Z336" i="35" s="1"/>
  <c r="U336" i="35"/>
  <c r="R336" i="35"/>
  <c r="S336" i="35" s="1" a="1"/>
  <c r="S336" i="35" s="1"/>
  <c r="P336" i="35" a="1"/>
  <c r="P336" i="35" s="1"/>
  <c r="AB335" i="35"/>
  <c r="Y335" i="35"/>
  <c r="Z335" i="35" s="1" a="1"/>
  <c r="Z335" i="35" s="1"/>
  <c r="U335" i="35"/>
  <c r="R335" i="35"/>
  <c r="S335" i="35" s="1" a="1"/>
  <c r="S335" i="35" s="1"/>
  <c r="P335" i="35" a="1"/>
  <c r="P335" i="35" s="1"/>
  <c r="AB334" i="35"/>
  <c r="Y334" i="35"/>
  <c r="Z334" i="35" s="1" a="1"/>
  <c r="Z334" i="35" s="1"/>
  <c r="U334" i="35"/>
  <c r="R334" i="35"/>
  <c r="S334" i="35" s="1" a="1"/>
  <c r="S334" i="35" s="1"/>
  <c r="P334" i="35" a="1"/>
  <c r="P334" i="35" s="1"/>
  <c r="AB333" i="35"/>
  <c r="Y333" i="35"/>
  <c r="Z333" i="35" s="1" a="1"/>
  <c r="Z333" i="35" s="1"/>
  <c r="U333" i="35"/>
  <c r="R333" i="35"/>
  <c r="S333" i="35" s="1" a="1"/>
  <c r="S333" i="35" s="1"/>
  <c r="P333" i="35" a="1"/>
  <c r="P333" i="35" s="1"/>
  <c r="AB332" i="35"/>
  <c r="Y332" i="35"/>
  <c r="Z332" i="35" s="1" a="1"/>
  <c r="Z332" i="35" s="1"/>
  <c r="U332" i="35"/>
  <c r="R332" i="35"/>
  <c r="S332" i="35" s="1" a="1"/>
  <c r="S332" i="35" s="1"/>
  <c r="P332" i="35" a="1"/>
  <c r="P332" i="35" s="1"/>
  <c r="AB331" i="35"/>
  <c r="Y331" i="35"/>
  <c r="Z331" i="35" s="1" a="1"/>
  <c r="Z331" i="35" s="1"/>
  <c r="U331" i="35"/>
  <c r="R331" i="35"/>
  <c r="S331" i="35" s="1" a="1"/>
  <c r="S331" i="35" s="1"/>
  <c r="P331" i="35" a="1"/>
  <c r="P331" i="35" s="1"/>
  <c r="AB330" i="35"/>
  <c r="Y330" i="35"/>
  <c r="Z330" i="35" s="1" a="1"/>
  <c r="Z330" i="35" s="1"/>
  <c r="U330" i="35"/>
  <c r="R330" i="35"/>
  <c r="S330" i="35" s="1" a="1"/>
  <c r="S330" i="35" s="1"/>
  <c r="P330" i="35" a="1"/>
  <c r="P330" i="35" s="1"/>
  <c r="AB329" i="35"/>
  <c r="Y329" i="35"/>
  <c r="Z329" i="35" s="1" a="1"/>
  <c r="Z329" i="35" s="1"/>
  <c r="U329" i="35"/>
  <c r="R329" i="35"/>
  <c r="S329" i="35" s="1" a="1"/>
  <c r="S329" i="35" s="1"/>
  <c r="P329" i="35" a="1"/>
  <c r="P329" i="35" s="1"/>
  <c r="AB328" i="35"/>
  <c r="Y328" i="35"/>
  <c r="Z328" i="35" s="1" a="1"/>
  <c r="Z328" i="35" s="1"/>
  <c r="U328" i="35"/>
  <c r="R328" i="35"/>
  <c r="S328" i="35" s="1" a="1"/>
  <c r="S328" i="35" s="1"/>
  <c r="P328" i="35" a="1"/>
  <c r="P328" i="35" s="1"/>
  <c r="AB327" i="35"/>
  <c r="Y327" i="35"/>
  <c r="Z327" i="35" s="1" a="1"/>
  <c r="Z327" i="35" s="1"/>
  <c r="U327" i="35"/>
  <c r="R327" i="35"/>
  <c r="S327" i="35" s="1" a="1"/>
  <c r="S327" i="35" s="1"/>
  <c r="P327" i="35" a="1"/>
  <c r="P327" i="35" s="1"/>
  <c r="AB326" i="35"/>
  <c r="Y326" i="35"/>
  <c r="Z326" i="35" s="1" a="1"/>
  <c r="Z326" i="35" s="1"/>
  <c r="U326" i="35"/>
  <c r="R326" i="35"/>
  <c r="S326" i="35" s="1" a="1"/>
  <c r="S326" i="35" s="1"/>
  <c r="P326" i="35" a="1"/>
  <c r="P326" i="35" s="1"/>
  <c r="AB325" i="35"/>
  <c r="Y325" i="35"/>
  <c r="Z325" i="35" s="1" a="1"/>
  <c r="Z325" i="35" s="1"/>
  <c r="U325" i="35"/>
  <c r="R325" i="35"/>
  <c r="S325" i="35" s="1" a="1"/>
  <c r="S325" i="35" s="1"/>
  <c r="P325" i="35" a="1"/>
  <c r="P325" i="35" s="1"/>
  <c r="AB324" i="35"/>
  <c r="Y324" i="35"/>
  <c r="Z324" i="35" s="1" a="1"/>
  <c r="Z324" i="35" s="1"/>
  <c r="U324" i="35"/>
  <c r="R324" i="35"/>
  <c r="S324" i="35" s="1" a="1"/>
  <c r="S324" i="35" s="1"/>
  <c r="P324" i="35" a="1"/>
  <c r="P324" i="35" s="1"/>
  <c r="AB323" i="35"/>
  <c r="Y323" i="35"/>
  <c r="Z323" i="35" s="1" a="1"/>
  <c r="Z323" i="35" s="1"/>
  <c r="U323" i="35"/>
  <c r="R323" i="35"/>
  <c r="S323" i="35" s="1" a="1"/>
  <c r="S323" i="35" s="1"/>
  <c r="P323" i="35" a="1"/>
  <c r="P323" i="35" s="1"/>
  <c r="AB322" i="35"/>
  <c r="Y322" i="35"/>
  <c r="Z322" i="35" s="1" a="1"/>
  <c r="Z322" i="35" s="1"/>
  <c r="U322" i="35"/>
  <c r="R322" i="35"/>
  <c r="S322" i="35" s="1" a="1"/>
  <c r="S322" i="35" s="1"/>
  <c r="P322" i="35" a="1"/>
  <c r="P322" i="35" s="1"/>
  <c r="AB321" i="35"/>
  <c r="Y321" i="35"/>
  <c r="Z321" i="35" s="1" a="1"/>
  <c r="Z321" i="35" s="1"/>
  <c r="U321" i="35"/>
  <c r="R321" i="35"/>
  <c r="S321" i="35" s="1" a="1"/>
  <c r="S321" i="35" s="1"/>
  <c r="P321" i="35" a="1"/>
  <c r="P321" i="35" s="1"/>
  <c r="AB320" i="35"/>
  <c r="Y320" i="35"/>
  <c r="Z320" i="35" s="1" a="1"/>
  <c r="Z320" i="35" s="1"/>
  <c r="U320" i="35"/>
  <c r="R320" i="35"/>
  <c r="S320" i="35" s="1" a="1"/>
  <c r="S320" i="35" s="1"/>
  <c r="P320" i="35" a="1"/>
  <c r="P320" i="35" s="1"/>
  <c r="AB319" i="35"/>
  <c r="Y319" i="35"/>
  <c r="Z319" i="35" s="1" a="1"/>
  <c r="Z319" i="35" s="1"/>
  <c r="U319" i="35"/>
  <c r="R319" i="35"/>
  <c r="S319" i="35" s="1" a="1"/>
  <c r="S319" i="35" s="1"/>
  <c r="P319" i="35" a="1"/>
  <c r="P319" i="35" s="1"/>
  <c r="AB318" i="35"/>
  <c r="Y318" i="35"/>
  <c r="Z318" i="35" s="1" a="1"/>
  <c r="Z318" i="35" s="1"/>
  <c r="U318" i="35"/>
  <c r="R318" i="35"/>
  <c r="S318" i="35" s="1" a="1"/>
  <c r="S318" i="35" s="1"/>
  <c r="P318" i="35" a="1"/>
  <c r="P318" i="35" s="1"/>
  <c r="AB317" i="35"/>
  <c r="Y317" i="35"/>
  <c r="Z317" i="35" s="1" a="1"/>
  <c r="Z317" i="35" s="1"/>
  <c r="U317" i="35"/>
  <c r="R317" i="35"/>
  <c r="S317" i="35" s="1" a="1"/>
  <c r="S317" i="35" s="1"/>
  <c r="P317" i="35" a="1"/>
  <c r="P317" i="35" s="1"/>
  <c r="AB316" i="35"/>
  <c r="Y316" i="35"/>
  <c r="Z316" i="35" s="1" a="1"/>
  <c r="Z316" i="35" s="1"/>
  <c r="U316" i="35"/>
  <c r="R316" i="35"/>
  <c r="S316" i="35" s="1" a="1"/>
  <c r="S316" i="35" s="1"/>
  <c r="P316" i="35" a="1"/>
  <c r="P316" i="35" s="1"/>
  <c r="AB315" i="35"/>
  <c r="Y315" i="35"/>
  <c r="Z315" i="35" s="1" a="1"/>
  <c r="Z315" i="35" s="1"/>
  <c r="U315" i="35"/>
  <c r="R315" i="35"/>
  <c r="S315" i="35" s="1" a="1"/>
  <c r="S315" i="35" s="1"/>
  <c r="P315" i="35" a="1"/>
  <c r="P315" i="35" s="1"/>
  <c r="AB314" i="35"/>
  <c r="Y314" i="35"/>
  <c r="Z314" i="35" s="1" a="1"/>
  <c r="Z314" i="35" s="1"/>
  <c r="U314" i="35"/>
  <c r="R314" i="35"/>
  <c r="S314" i="35" s="1" a="1"/>
  <c r="S314" i="35" s="1"/>
  <c r="P314" i="35" a="1"/>
  <c r="P314" i="35" s="1"/>
  <c r="AB313" i="35"/>
  <c r="Y313" i="35"/>
  <c r="Z313" i="35" s="1" a="1"/>
  <c r="Z313" i="35" s="1"/>
  <c r="U313" i="35"/>
  <c r="R313" i="35"/>
  <c r="S313" i="35" s="1" a="1"/>
  <c r="S313" i="35" s="1"/>
  <c r="P313" i="35" a="1"/>
  <c r="P313" i="35" s="1"/>
  <c r="AB312" i="35"/>
  <c r="Y312" i="35"/>
  <c r="Z312" i="35" s="1" a="1"/>
  <c r="Z312" i="35" s="1"/>
  <c r="U312" i="35"/>
  <c r="R312" i="35"/>
  <c r="S312" i="35" s="1" a="1"/>
  <c r="S312" i="35" s="1"/>
  <c r="P312" i="35" a="1"/>
  <c r="P312" i="35" s="1"/>
  <c r="AB311" i="35"/>
  <c r="Y311" i="35"/>
  <c r="Z311" i="35" s="1" a="1"/>
  <c r="Z311" i="35" s="1"/>
  <c r="U311" i="35"/>
  <c r="R311" i="35"/>
  <c r="S311" i="35" s="1" a="1"/>
  <c r="S311" i="35" s="1"/>
  <c r="P311" i="35" a="1"/>
  <c r="P311" i="35" s="1"/>
  <c r="AB310" i="35"/>
  <c r="Y310" i="35"/>
  <c r="Z310" i="35" s="1" a="1"/>
  <c r="Z310" i="35" s="1"/>
  <c r="U310" i="35"/>
  <c r="R310" i="35"/>
  <c r="S310" i="35" s="1" a="1"/>
  <c r="S310" i="35" s="1"/>
  <c r="P310" i="35" a="1"/>
  <c r="P310" i="35" s="1"/>
  <c r="AB309" i="35"/>
  <c r="Y309" i="35"/>
  <c r="Z309" i="35" s="1" a="1"/>
  <c r="Z309" i="35" s="1"/>
  <c r="U309" i="35"/>
  <c r="R309" i="35"/>
  <c r="S309" i="35" s="1" a="1"/>
  <c r="S309" i="35" s="1"/>
  <c r="P309" i="35" a="1"/>
  <c r="P309" i="35" s="1"/>
  <c r="AB308" i="35"/>
  <c r="Y308" i="35"/>
  <c r="Z308" i="35" s="1" a="1"/>
  <c r="Z308" i="35" s="1"/>
  <c r="U308" i="35"/>
  <c r="R308" i="35"/>
  <c r="S308" i="35" s="1" a="1"/>
  <c r="S308" i="35" s="1"/>
  <c r="P308" i="35" a="1"/>
  <c r="P308" i="35" s="1"/>
  <c r="AB307" i="35"/>
  <c r="Y307" i="35"/>
  <c r="Z307" i="35" s="1" a="1"/>
  <c r="Z307" i="35" s="1"/>
  <c r="U307" i="35"/>
  <c r="R307" i="35"/>
  <c r="S307" i="35" s="1" a="1"/>
  <c r="S307" i="35" s="1"/>
  <c r="P307" i="35" a="1"/>
  <c r="P307" i="35" s="1"/>
  <c r="AB306" i="35"/>
  <c r="Y306" i="35"/>
  <c r="Z306" i="35" s="1" a="1"/>
  <c r="Z306" i="35" s="1"/>
  <c r="U306" i="35"/>
  <c r="R306" i="35"/>
  <c r="S306" i="35" s="1" a="1"/>
  <c r="S306" i="35" s="1"/>
  <c r="P306" i="35" a="1"/>
  <c r="P306" i="35" s="1"/>
  <c r="AB305" i="35"/>
  <c r="Y305" i="35"/>
  <c r="Z305" i="35" s="1" a="1"/>
  <c r="Z305" i="35" s="1"/>
  <c r="U305" i="35"/>
  <c r="R305" i="35"/>
  <c r="S305" i="35" s="1" a="1"/>
  <c r="S305" i="35" s="1"/>
  <c r="P305" i="35" a="1"/>
  <c r="P305" i="35" s="1"/>
  <c r="AB304" i="35"/>
  <c r="Y304" i="35"/>
  <c r="Z304" i="35" s="1" a="1"/>
  <c r="Z304" i="35" s="1"/>
  <c r="U304" i="35"/>
  <c r="R304" i="35"/>
  <c r="S304" i="35" s="1" a="1"/>
  <c r="S304" i="35" s="1"/>
  <c r="P304" i="35" a="1"/>
  <c r="P304" i="35" s="1"/>
  <c r="AB303" i="35"/>
  <c r="Y303" i="35"/>
  <c r="Z303" i="35" s="1" a="1"/>
  <c r="Z303" i="35" s="1"/>
  <c r="U303" i="35"/>
  <c r="R303" i="35"/>
  <c r="S303" i="35" s="1" a="1"/>
  <c r="S303" i="35" s="1"/>
  <c r="P303" i="35" a="1"/>
  <c r="P303" i="35" s="1"/>
  <c r="AB302" i="35"/>
  <c r="Y302" i="35"/>
  <c r="Z302" i="35" s="1" a="1"/>
  <c r="Z302" i="35" s="1"/>
  <c r="U302" i="35"/>
  <c r="R302" i="35"/>
  <c r="S302" i="35" s="1" a="1"/>
  <c r="S302" i="35" s="1"/>
  <c r="P302" i="35" a="1"/>
  <c r="P302" i="35" s="1"/>
  <c r="AB301" i="35"/>
  <c r="Y301" i="35"/>
  <c r="Z301" i="35" s="1" a="1"/>
  <c r="Z301" i="35" s="1"/>
  <c r="U301" i="35"/>
  <c r="R301" i="35"/>
  <c r="S301" i="35" s="1" a="1"/>
  <c r="S301" i="35" s="1"/>
  <c r="P301" i="35" a="1"/>
  <c r="P301" i="35" s="1"/>
  <c r="AB300" i="35"/>
  <c r="Y300" i="35"/>
  <c r="Z300" i="35" s="1" a="1"/>
  <c r="Z300" i="35" s="1"/>
  <c r="U300" i="35"/>
  <c r="R300" i="35"/>
  <c r="S300" i="35" s="1" a="1"/>
  <c r="S300" i="35" s="1"/>
  <c r="P300" i="35" a="1"/>
  <c r="P300" i="35" s="1"/>
  <c r="AB299" i="35"/>
  <c r="Y299" i="35"/>
  <c r="Z299" i="35" s="1" a="1"/>
  <c r="Z299" i="35" s="1"/>
  <c r="U299" i="35"/>
  <c r="R299" i="35"/>
  <c r="S299" i="35" s="1" a="1"/>
  <c r="S299" i="35" s="1"/>
  <c r="P299" i="35" a="1"/>
  <c r="P299" i="35" s="1"/>
  <c r="AB298" i="35"/>
  <c r="Y298" i="35"/>
  <c r="Z298" i="35" s="1" a="1"/>
  <c r="Z298" i="35" s="1"/>
  <c r="U298" i="35"/>
  <c r="R298" i="35"/>
  <c r="S298" i="35" s="1" a="1"/>
  <c r="S298" i="35" s="1"/>
  <c r="P298" i="35" a="1"/>
  <c r="P298" i="35" s="1"/>
  <c r="AB297" i="35"/>
  <c r="Y297" i="35"/>
  <c r="Z297" i="35" s="1" a="1"/>
  <c r="Z297" i="35" s="1"/>
  <c r="U297" i="35"/>
  <c r="R297" i="35"/>
  <c r="S297" i="35" s="1" a="1"/>
  <c r="S297" i="35" s="1"/>
  <c r="P297" i="35" a="1"/>
  <c r="P297" i="35" s="1"/>
  <c r="AB296" i="35"/>
  <c r="Y296" i="35"/>
  <c r="Z296" i="35" s="1" a="1"/>
  <c r="Z296" i="35" s="1"/>
  <c r="U296" i="35"/>
  <c r="R296" i="35"/>
  <c r="S296" i="35" s="1" a="1"/>
  <c r="S296" i="35" s="1"/>
  <c r="P296" i="35" a="1"/>
  <c r="P296" i="35" s="1"/>
  <c r="AB295" i="35"/>
  <c r="Y295" i="35"/>
  <c r="Z295" i="35" s="1" a="1"/>
  <c r="Z295" i="35" s="1"/>
  <c r="U295" i="35"/>
  <c r="R295" i="35"/>
  <c r="S295" i="35" s="1" a="1"/>
  <c r="S295" i="35" s="1"/>
  <c r="P295" i="35" a="1"/>
  <c r="P295" i="35" s="1"/>
  <c r="AB294" i="35"/>
  <c r="Y294" i="35"/>
  <c r="Z294" i="35" s="1" a="1"/>
  <c r="Z294" i="35" s="1"/>
  <c r="U294" i="35"/>
  <c r="R294" i="35"/>
  <c r="S294" i="35" s="1" a="1"/>
  <c r="S294" i="35" s="1"/>
  <c r="P294" i="35" a="1"/>
  <c r="P294" i="35" s="1"/>
  <c r="AB293" i="35"/>
  <c r="Y293" i="35"/>
  <c r="Z293" i="35" s="1" a="1"/>
  <c r="Z293" i="35" s="1"/>
  <c r="U293" i="35"/>
  <c r="R293" i="35"/>
  <c r="S293" i="35" s="1" a="1"/>
  <c r="S293" i="35" s="1"/>
  <c r="P293" i="35" a="1"/>
  <c r="P293" i="35" s="1"/>
  <c r="AB292" i="35"/>
  <c r="Y292" i="35"/>
  <c r="Z292" i="35" s="1" a="1"/>
  <c r="Z292" i="35" s="1"/>
  <c r="U292" i="35"/>
  <c r="R292" i="35"/>
  <c r="S292" i="35" s="1" a="1"/>
  <c r="S292" i="35" s="1"/>
  <c r="P292" i="35" a="1"/>
  <c r="P292" i="35" s="1"/>
  <c r="AB291" i="35"/>
  <c r="Y291" i="35"/>
  <c r="Z291" i="35" s="1" a="1"/>
  <c r="Z291" i="35" s="1"/>
  <c r="U291" i="35"/>
  <c r="R291" i="35"/>
  <c r="S291" i="35" s="1" a="1"/>
  <c r="S291" i="35" s="1"/>
  <c r="P291" i="35" a="1"/>
  <c r="P291" i="35" s="1"/>
  <c r="AB290" i="35"/>
  <c r="Y290" i="35"/>
  <c r="Z290" i="35" s="1" a="1"/>
  <c r="Z290" i="35" s="1"/>
  <c r="U290" i="35"/>
  <c r="R290" i="35"/>
  <c r="S290" i="35" s="1" a="1"/>
  <c r="S290" i="35" s="1"/>
  <c r="P290" i="35" a="1"/>
  <c r="P290" i="35" s="1"/>
  <c r="AB289" i="35"/>
  <c r="Y289" i="35"/>
  <c r="Z289" i="35" s="1" a="1"/>
  <c r="Z289" i="35" s="1"/>
  <c r="U289" i="35"/>
  <c r="R289" i="35"/>
  <c r="S289" i="35" s="1" a="1"/>
  <c r="S289" i="35" s="1"/>
  <c r="P289" i="35" a="1"/>
  <c r="P289" i="35" s="1"/>
  <c r="AB288" i="35"/>
  <c r="Y288" i="35"/>
  <c r="Z288" i="35" s="1" a="1"/>
  <c r="Z288" i="35" s="1"/>
  <c r="U288" i="35"/>
  <c r="R288" i="35"/>
  <c r="S288" i="35" s="1" a="1"/>
  <c r="S288" i="35" s="1"/>
  <c r="P288" i="35" a="1"/>
  <c r="P288" i="35" s="1"/>
  <c r="AB287" i="35"/>
  <c r="Y287" i="35"/>
  <c r="Z287" i="35" s="1" a="1"/>
  <c r="Z287" i="35" s="1"/>
  <c r="U287" i="35"/>
  <c r="R287" i="35"/>
  <c r="S287" i="35" s="1" a="1"/>
  <c r="S287" i="35" s="1"/>
  <c r="P287" i="35" a="1"/>
  <c r="P287" i="35" s="1"/>
  <c r="AB286" i="35"/>
  <c r="Y286" i="35"/>
  <c r="Z286" i="35" s="1" a="1"/>
  <c r="Z286" i="35" s="1"/>
  <c r="U286" i="35"/>
  <c r="R286" i="35"/>
  <c r="S286" i="35" s="1" a="1"/>
  <c r="S286" i="35" s="1"/>
  <c r="P286" i="35" a="1"/>
  <c r="P286" i="35" s="1"/>
  <c r="AB285" i="35"/>
  <c r="Y285" i="35"/>
  <c r="Z285" i="35" s="1" a="1"/>
  <c r="Z285" i="35" s="1"/>
  <c r="U285" i="35"/>
  <c r="R285" i="35"/>
  <c r="S285" i="35" s="1" a="1"/>
  <c r="S285" i="35" s="1"/>
  <c r="P285" i="35" a="1"/>
  <c r="P285" i="35" s="1"/>
  <c r="AB284" i="35"/>
  <c r="Y284" i="35"/>
  <c r="Z284" i="35" s="1" a="1"/>
  <c r="Z284" i="35" s="1"/>
  <c r="U284" i="35"/>
  <c r="R284" i="35"/>
  <c r="S284" i="35" s="1" a="1"/>
  <c r="S284" i="35" s="1"/>
  <c r="P284" i="35" a="1"/>
  <c r="P284" i="35" s="1"/>
  <c r="AB283" i="35"/>
  <c r="Y283" i="35"/>
  <c r="Z283" i="35" s="1" a="1"/>
  <c r="Z283" i="35" s="1"/>
  <c r="U283" i="35"/>
  <c r="R283" i="35"/>
  <c r="S283" i="35" s="1" a="1"/>
  <c r="S283" i="35" s="1"/>
  <c r="P283" i="35" a="1"/>
  <c r="P283" i="35" s="1"/>
  <c r="AB282" i="35"/>
  <c r="Y282" i="35"/>
  <c r="Z282" i="35" s="1" a="1"/>
  <c r="Z282" i="35" s="1"/>
  <c r="U282" i="35"/>
  <c r="R282" i="35"/>
  <c r="S282" i="35" s="1" a="1"/>
  <c r="S282" i="35" s="1"/>
  <c r="P282" i="35" a="1"/>
  <c r="P282" i="35" s="1"/>
  <c r="AB281" i="35"/>
  <c r="Y281" i="35"/>
  <c r="Z281" i="35" s="1" a="1"/>
  <c r="Z281" i="35" s="1"/>
  <c r="U281" i="35"/>
  <c r="R281" i="35"/>
  <c r="S281" i="35" s="1" a="1"/>
  <c r="S281" i="35" s="1"/>
  <c r="P281" i="35" a="1"/>
  <c r="P281" i="35" s="1"/>
  <c r="AB280" i="35"/>
  <c r="Y280" i="35"/>
  <c r="Z280" i="35" s="1" a="1"/>
  <c r="Z280" i="35" s="1"/>
  <c r="U280" i="35"/>
  <c r="R280" i="35"/>
  <c r="S280" i="35" s="1" a="1"/>
  <c r="S280" i="35" s="1"/>
  <c r="P280" i="35" a="1"/>
  <c r="P280" i="35" s="1"/>
  <c r="AB279" i="35"/>
  <c r="Y279" i="35"/>
  <c r="Z279" i="35" s="1" a="1"/>
  <c r="Z279" i="35" s="1"/>
  <c r="U279" i="35"/>
  <c r="R279" i="35"/>
  <c r="S279" i="35" s="1" a="1"/>
  <c r="S279" i="35" s="1"/>
  <c r="P279" i="35" a="1"/>
  <c r="P279" i="35" s="1"/>
  <c r="AB278" i="35"/>
  <c r="Y278" i="35"/>
  <c r="Z278" i="35" s="1" a="1"/>
  <c r="Z278" i="35" s="1"/>
  <c r="U278" i="35"/>
  <c r="R278" i="35"/>
  <c r="S278" i="35" s="1" a="1"/>
  <c r="S278" i="35" s="1"/>
  <c r="P278" i="35" a="1"/>
  <c r="P278" i="35" s="1"/>
  <c r="AB277" i="35"/>
  <c r="Y277" i="35"/>
  <c r="Z277" i="35" s="1" a="1"/>
  <c r="Z277" i="35" s="1"/>
  <c r="U277" i="35"/>
  <c r="R277" i="35"/>
  <c r="S277" i="35" s="1" a="1"/>
  <c r="S277" i="35" s="1"/>
  <c r="P277" i="35" a="1"/>
  <c r="P277" i="35" s="1"/>
  <c r="AB276" i="35"/>
  <c r="Y276" i="35"/>
  <c r="Z276" i="35" s="1" a="1"/>
  <c r="Z276" i="35" s="1"/>
  <c r="U276" i="35"/>
  <c r="R276" i="35"/>
  <c r="S276" i="35" s="1" a="1"/>
  <c r="S276" i="35" s="1"/>
  <c r="P276" i="35" a="1"/>
  <c r="P276" i="35" s="1"/>
  <c r="AB275" i="35"/>
  <c r="Y275" i="35"/>
  <c r="Z275" i="35" s="1" a="1"/>
  <c r="Z275" i="35" s="1"/>
  <c r="U275" i="35"/>
  <c r="R275" i="35"/>
  <c r="S275" i="35" s="1" a="1"/>
  <c r="S275" i="35" s="1"/>
  <c r="P275" i="35" a="1"/>
  <c r="P275" i="35" s="1"/>
  <c r="AB274" i="35"/>
  <c r="Y274" i="35"/>
  <c r="Z274" i="35" s="1" a="1"/>
  <c r="Z274" i="35" s="1"/>
  <c r="U274" i="35"/>
  <c r="R274" i="35"/>
  <c r="S274" i="35" s="1" a="1"/>
  <c r="S274" i="35" s="1"/>
  <c r="P274" i="35" a="1"/>
  <c r="P274" i="35" s="1"/>
  <c r="AB273" i="35"/>
  <c r="Y273" i="35"/>
  <c r="Z273" i="35" s="1" a="1"/>
  <c r="Z273" i="35" s="1"/>
  <c r="U273" i="35"/>
  <c r="R273" i="35"/>
  <c r="S273" i="35" s="1" a="1"/>
  <c r="S273" i="35" s="1"/>
  <c r="P273" i="35" a="1"/>
  <c r="P273" i="35" s="1"/>
  <c r="AB272" i="35"/>
  <c r="Y272" i="35"/>
  <c r="Z272" i="35" s="1" a="1"/>
  <c r="Z272" i="35" s="1"/>
  <c r="U272" i="35"/>
  <c r="R272" i="35"/>
  <c r="S272" i="35" s="1" a="1"/>
  <c r="S272" i="35" s="1"/>
  <c r="P272" i="35" a="1"/>
  <c r="P272" i="35" s="1"/>
  <c r="AB271" i="35"/>
  <c r="Y271" i="35"/>
  <c r="Z271" i="35" s="1" a="1"/>
  <c r="Z271" i="35" s="1"/>
  <c r="U271" i="35"/>
  <c r="R271" i="35"/>
  <c r="S271" i="35" s="1" a="1"/>
  <c r="S271" i="35" s="1"/>
  <c r="P271" i="35" a="1"/>
  <c r="P271" i="35" s="1"/>
  <c r="AB270" i="35"/>
  <c r="Y270" i="35"/>
  <c r="Z270" i="35" s="1" a="1"/>
  <c r="Z270" i="35" s="1"/>
  <c r="U270" i="35"/>
  <c r="R270" i="35"/>
  <c r="S270" i="35" s="1" a="1"/>
  <c r="S270" i="35" s="1"/>
  <c r="P270" i="35" a="1"/>
  <c r="P270" i="35" s="1"/>
  <c r="AB269" i="35"/>
  <c r="Y269" i="35"/>
  <c r="Z269" i="35" s="1" a="1"/>
  <c r="Z269" i="35" s="1"/>
  <c r="U269" i="35"/>
  <c r="R269" i="35"/>
  <c r="S269" i="35" s="1" a="1"/>
  <c r="S269" i="35" s="1"/>
  <c r="P269" i="35" a="1"/>
  <c r="P269" i="35" s="1"/>
  <c r="AB268" i="35"/>
  <c r="Y268" i="35"/>
  <c r="Z268" i="35" s="1" a="1"/>
  <c r="Z268" i="35" s="1"/>
  <c r="U268" i="35"/>
  <c r="R268" i="35"/>
  <c r="S268" i="35" s="1" a="1"/>
  <c r="S268" i="35" s="1"/>
  <c r="P268" i="35" a="1"/>
  <c r="P268" i="35" s="1"/>
  <c r="AB267" i="35"/>
  <c r="Y267" i="35"/>
  <c r="Z267" i="35" s="1" a="1"/>
  <c r="Z267" i="35" s="1"/>
  <c r="U267" i="35"/>
  <c r="R267" i="35"/>
  <c r="S267" i="35" s="1" a="1"/>
  <c r="S267" i="35" s="1"/>
  <c r="P267" i="35" a="1"/>
  <c r="P267" i="35" s="1"/>
  <c r="AB266" i="35"/>
  <c r="Y266" i="35"/>
  <c r="Z266" i="35" s="1" a="1"/>
  <c r="Z266" i="35" s="1"/>
  <c r="U266" i="35"/>
  <c r="R266" i="35"/>
  <c r="S266" i="35" s="1" a="1"/>
  <c r="S266" i="35" s="1"/>
  <c r="P266" i="35" a="1"/>
  <c r="P266" i="35" s="1"/>
  <c r="AB265" i="35"/>
  <c r="Y265" i="35"/>
  <c r="Z265" i="35" s="1" a="1"/>
  <c r="Z265" i="35" s="1"/>
  <c r="U265" i="35"/>
  <c r="R265" i="35"/>
  <c r="S265" i="35" s="1" a="1"/>
  <c r="S265" i="35" s="1"/>
  <c r="P265" i="35" a="1"/>
  <c r="P265" i="35" s="1"/>
  <c r="AB264" i="35"/>
  <c r="Y264" i="35"/>
  <c r="Z264" i="35" s="1" a="1"/>
  <c r="Z264" i="35" s="1"/>
  <c r="U264" i="35"/>
  <c r="R264" i="35"/>
  <c r="S264" i="35" s="1" a="1"/>
  <c r="S264" i="35" s="1"/>
  <c r="P264" i="35" a="1"/>
  <c r="P264" i="35" s="1"/>
  <c r="AB263" i="35"/>
  <c r="Y263" i="35"/>
  <c r="Z263" i="35" s="1" a="1"/>
  <c r="Z263" i="35" s="1"/>
  <c r="U263" i="35"/>
  <c r="R263" i="35"/>
  <c r="S263" i="35" s="1" a="1"/>
  <c r="S263" i="35" s="1"/>
  <c r="P263" i="35" a="1"/>
  <c r="P263" i="35" s="1"/>
  <c r="AB262" i="35"/>
  <c r="Y262" i="35"/>
  <c r="Z262" i="35" s="1" a="1"/>
  <c r="Z262" i="35" s="1"/>
  <c r="U262" i="35"/>
  <c r="R262" i="35"/>
  <c r="S262" i="35" s="1" a="1"/>
  <c r="S262" i="35" s="1"/>
  <c r="P262" i="35" a="1"/>
  <c r="P262" i="35" s="1"/>
  <c r="AB261" i="35"/>
  <c r="Y261" i="35"/>
  <c r="Z261" i="35" s="1" a="1"/>
  <c r="Z261" i="35" s="1"/>
  <c r="U261" i="35"/>
  <c r="R261" i="35"/>
  <c r="S261" i="35" s="1" a="1"/>
  <c r="S261" i="35" s="1"/>
  <c r="P261" i="35" a="1"/>
  <c r="P261" i="35" s="1"/>
  <c r="AB260" i="35"/>
  <c r="Y260" i="35"/>
  <c r="Z260" i="35" s="1" a="1"/>
  <c r="Z260" i="35" s="1"/>
  <c r="U260" i="35"/>
  <c r="R260" i="35"/>
  <c r="S260" i="35" s="1" a="1"/>
  <c r="S260" i="35" s="1"/>
  <c r="P260" i="35" a="1"/>
  <c r="P260" i="35" s="1"/>
  <c r="AB259" i="35"/>
  <c r="Y259" i="35"/>
  <c r="Z259" i="35" s="1" a="1"/>
  <c r="Z259" i="35" s="1"/>
  <c r="U259" i="35"/>
  <c r="R259" i="35"/>
  <c r="S259" i="35" s="1" a="1"/>
  <c r="S259" i="35" s="1"/>
  <c r="P259" i="35" a="1"/>
  <c r="P259" i="35" s="1"/>
  <c r="AB258" i="35"/>
  <c r="Y258" i="35"/>
  <c r="Z258" i="35" s="1" a="1"/>
  <c r="Z258" i="35" s="1"/>
  <c r="U258" i="35"/>
  <c r="R258" i="35"/>
  <c r="S258" i="35" s="1" a="1"/>
  <c r="S258" i="35" s="1"/>
  <c r="P258" i="35" a="1"/>
  <c r="P258" i="35" s="1"/>
  <c r="AB257" i="35"/>
  <c r="Y257" i="35"/>
  <c r="Z257" i="35" s="1" a="1"/>
  <c r="Z257" i="35" s="1"/>
  <c r="U257" i="35"/>
  <c r="R257" i="35"/>
  <c r="S257" i="35" s="1" a="1"/>
  <c r="S257" i="35" s="1"/>
  <c r="P257" i="35" a="1"/>
  <c r="P257" i="35" s="1"/>
  <c r="AB256" i="35"/>
  <c r="Y256" i="35"/>
  <c r="Z256" i="35" s="1" a="1"/>
  <c r="Z256" i="35" s="1"/>
  <c r="U256" i="35"/>
  <c r="R256" i="35"/>
  <c r="S256" i="35" s="1" a="1"/>
  <c r="S256" i="35" s="1"/>
  <c r="P256" i="35" a="1"/>
  <c r="P256" i="35" s="1"/>
  <c r="AB255" i="35"/>
  <c r="Y255" i="35"/>
  <c r="Z255" i="35" s="1" a="1"/>
  <c r="Z255" i="35" s="1"/>
  <c r="U255" i="35"/>
  <c r="R255" i="35"/>
  <c r="S255" i="35" s="1" a="1"/>
  <c r="S255" i="35" s="1"/>
  <c r="P255" i="35" a="1"/>
  <c r="P255" i="35" s="1"/>
  <c r="AB254" i="35"/>
  <c r="Y254" i="35"/>
  <c r="Z254" i="35" s="1" a="1"/>
  <c r="Z254" i="35" s="1"/>
  <c r="U254" i="35"/>
  <c r="R254" i="35"/>
  <c r="S254" i="35" s="1" a="1"/>
  <c r="S254" i="35" s="1"/>
  <c r="P254" i="35" a="1"/>
  <c r="P254" i="35" s="1"/>
  <c r="AB253" i="35"/>
  <c r="Y253" i="35"/>
  <c r="Z253" i="35" s="1" a="1"/>
  <c r="Z253" i="35" s="1"/>
  <c r="U253" i="35"/>
  <c r="R253" i="35"/>
  <c r="S253" i="35" s="1" a="1"/>
  <c r="S253" i="35" s="1"/>
  <c r="P253" i="35" a="1"/>
  <c r="P253" i="35" s="1"/>
  <c r="AB252" i="35"/>
  <c r="Y252" i="35"/>
  <c r="Z252" i="35" s="1" a="1"/>
  <c r="Z252" i="35" s="1"/>
  <c r="U252" i="35"/>
  <c r="R252" i="35"/>
  <c r="S252" i="35" s="1" a="1"/>
  <c r="S252" i="35" s="1"/>
  <c r="P252" i="35" a="1"/>
  <c r="P252" i="35" s="1"/>
  <c r="AB251" i="35"/>
  <c r="Y251" i="35"/>
  <c r="Z251" i="35" s="1" a="1"/>
  <c r="Z251" i="35" s="1"/>
  <c r="U251" i="35"/>
  <c r="R251" i="35"/>
  <c r="S251" i="35" s="1" a="1"/>
  <c r="S251" i="35" s="1"/>
  <c r="P251" i="35" a="1"/>
  <c r="P251" i="35" s="1"/>
  <c r="AB250" i="35"/>
  <c r="Y250" i="35"/>
  <c r="Z250" i="35" s="1" a="1"/>
  <c r="Z250" i="35" s="1"/>
  <c r="U250" i="35"/>
  <c r="R250" i="35"/>
  <c r="S250" i="35" s="1" a="1"/>
  <c r="S250" i="35" s="1"/>
  <c r="P250" i="35" a="1"/>
  <c r="P250" i="35" s="1"/>
  <c r="AB249" i="35"/>
  <c r="Y249" i="35"/>
  <c r="Z249" i="35" s="1" a="1"/>
  <c r="Z249" i="35" s="1"/>
  <c r="U249" i="35"/>
  <c r="R249" i="35"/>
  <c r="S249" i="35" s="1" a="1"/>
  <c r="S249" i="35" s="1"/>
  <c r="P249" i="35" a="1"/>
  <c r="P249" i="35" s="1"/>
  <c r="AB248" i="35"/>
  <c r="Y248" i="35"/>
  <c r="Z248" i="35" s="1" a="1"/>
  <c r="Z248" i="35" s="1"/>
  <c r="U248" i="35"/>
  <c r="R248" i="35"/>
  <c r="S248" i="35" s="1" a="1"/>
  <c r="S248" i="35" s="1"/>
  <c r="P248" i="35" a="1"/>
  <c r="P248" i="35" s="1"/>
  <c r="AB247" i="35"/>
  <c r="Y247" i="35"/>
  <c r="Z247" i="35" s="1" a="1"/>
  <c r="Z247" i="35" s="1"/>
  <c r="U247" i="35"/>
  <c r="R247" i="35"/>
  <c r="S247" i="35" s="1" a="1"/>
  <c r="S247" i="35" s="1"/>
  <c r="P247" i="35" a="1"/>
  <c r="P247" i="35" s="1"/>
  <c r="AB246" i="35"/>
  <c r="Y246" i="35"/>
  <c r="Z246" i="35" s="1" a="1"/>
  <c r="Z246" i="35" s="1"/>
  <c r="U246" i="35"/>
  <c r="R246" i="35"/>
  <c r="S246" i="35" s="1" a="1"/>
  <c r="S246" i="35" s="1"/>
  <c r="P246" i="35" a="1"/>
  <c r="P246" i="35" s="1"/>
  <c r="AB245" i="35"/>
  <c r="Y245" i="35"/>
  <c r="Z245" i="35" s="1" a="1"/>
  <c r="Z245" i="35" s="1"/>
  <c r="U245" i="35"/>
  <c r="R245" i="35"/>
  <c r="S245" i="35" s="1" a="1"/>
  <c r="S245" i="35" s="1"/>
  <c r="P245" i="35" a="1"/>
  <c r="P245" i="35" s="1"/>
  <c r="AB244" i="35"/>
  <c r="Y244" i="35"/>
  <c r="Z244" i="35" s="1" a="1"/>
  <c r="Z244" i="35" s="1"/>
  <c r="U244" i="35"/>
  <c r="R244" i="35"/>
  <c r="S244" i="35" s="1" a="1"/>
  <c r="S244" i="35" s="1"/>
  <c r="P244" i="35" a="1"/>
  <c r="P244" i="35" s="1"/>
  <c r="AB243" i="35"/>
  <c r="Y243" i="35"/>
  <c r="Z243" i="35" s="1" a="1"/>
  <c r="Z243" i="35" s="1"/>
  <c r="U243" i="35"/>
  <c r="R243" i="35"/>
  <c r="S243" i="35" s="1" a="1"/>
  <c r="S243" i="35" s="1"/>
  <c r="P243" i="35" a="1"/>
  <c r="P243" i="35" s="1"/>
  <c r="AB242" i="35"/>
  <c r="Y242" i="35"/>
  <c r="Z242" i="35" s="1" a="1"/>
  <c r="Z242" i="35" s="1"/>
  <c r="U242" i="35"/>
  <c r="R242" i="35"/>
  <c r="S242" i="35" s="1" a="1"/>
  <c r="S242" i="35" s="1"/>
  <c r="P242" i="35" a="1"/>
  <c r="P242" i="35" s="1"/>
  <c r="AB241" i="35"/>
  <c r="Y241" i="35"/>
  <c r="Z241" i="35" s="1" a="1"/>
  <c r="Z241" i="35" s="1"/>
  <c r="U241" i="35"/>
  <c r="R241" i="35"/>
  <c r="S241" i="35" s="1" a="1"/>
  <c r="S241" i="35" s="1"/>
  <c r="P241" i="35" a="1"/>
  <c r="P241" i="35" s="1"/>
  <c r="AB240" i="35"/>
  <c r="Y240" i="35"/>
  <c r="Z240" i="35" s="1" a="1"/>
  <c r="Z240" i="35" s="1"/>
  <c r="U240" i="35"/>
  <c r="R240" i="35"/>
  <c r="S240" i="35" s="1" a="1"/>
  <c r="S240" i="35" s="1"/>
  <c r="P240" i="35" a="1"/>
  <c r="P240" i="35" s="1"/>
  <c r="AB239" i="35"/>
  <c r="Y239" i="35"/>
  <c r="Z239" i="35" s="1" a="1"/>
  <c r="Z239" i="35" s="1"/>
  <c r="U239" i="35"/>
  <c r="R239" i="35"/>
  <c r="S239" i="35" s="1" a="1"/>
  <c r="S239" i="35" s="1"/>
  <c r="P239" i="35" a="1"/>
  <c r="P239" i="35" s="1"/>
  <c r="AB238" i="35"/>
  <c r="Y238" i="35"/>
  <c r="Z238" i="35" s="1" a="1"/>
  <c r="Z238" i="35" s="1"/>
  <c r="U238" i="35"/>
  <c r="R238" i="35"/>
  <c r="S238" i="35" s="1" a="1"/>
  <c r="S238" i="35" s="1"/>
  <c r="P238" i="35" a="1"/>
  <c r="P238" i="35" s="1"/>
  <c r="AB237" i="35"/>
  <c r="Y237" i="35"/>
  <c r="Z237" i="35" s="1" a="1"/>
  <c r="Z237" i="35" s="1"/>
  <c r="U237" i="35"/>
  <c r="R237" i="35"/>
  <c r="S237" i="35" s="1" a="1"/>
  <c r="S237" i="35" s="1"/>
  <c r="P237" i="35" a="1"/>
  <c r="P237" i="35" s="1"/>
  <c r="AB236" i="35"/>
  <c r="Y236" i="35"/>
  <c r="Z236" i="35" s="1" a="1"/>
  <c r="Z236" i="35" s="1"/>
  <c r="U236" i="35"/>
  <c r="R236" i="35"/>
  <c r="S236" i="35" s="1" a="1"/>
  <c r="S236" i="35" s="1"/>
  <c r="P236" i="35" a="1"/>
  <c r="P236" i="35" s="1"/>
  <c r="AB235" i="35"/>
  <c r="Y235" i="35"/>
  <c r="Z235" i="35" s="1" a="1"/>
  <c r="Z235" i="35" s="1"/>
  <c r="U235" i="35"/>
  <c r="R235" i="35"/>
  <c r="S235" i="35" s="1" a="1"/>
  <c r="S235" i="35" s="1"/>
  <c r="P235" i="35" a="1"/>
  <c r="P235" i="35" s="1"/>
  <c r="AB234" i="35"/>
  <c r="Y234" i="35"/>
  <c r="Z234" i="35" s="1" a="1"/>
  <c r="Z234" i="35" s="1"/>
  <c r="U234" i="35"/>
  <c r="R234" i="35"/>
  <c r="S234" i="35" s="1" a="1"/>
  <c r="S234" i="35" s="1"/>
  <c r="P234" i="35" a="1"/>
  <c r="P234" i="35" s="1"/>
  <c r="AB233" i="35"/>
  <c r="Y233" i="35"/>
  <c r="Z233" i="35" s="1" a="1"/>
  <c r="Z233" i="35" s="1"/>
  <c r="U233" i="35"/>
  <c r="R233" i="35"/>
  <c r="S233" i="35" s="1" a="1"/>
  <c r="S233" i="35" s="1"/>
  <c r="P233" i="35" a="1"/>
  <c r="P233" i="35" s="1"/>
  <c r="AB232" i="35"/>
  <c r="Y232" i="35"/>
  <c r="Z232" i="35" s="1" a="1"/>
  <c r="Z232" i="35" s="1"/>
  <c r="U232" i="35"/>
  <c r="R232" i="35"/>
  <c r="S232" i="35" s="1" a="1"/>
  <c r="S232" i="35" s="1"/>
  <c r="P232" i="35" a="1"/>
  <c r="P232" i="35" s="1"/>
  <c r="AB231" i="35"/>
  <c r="Y231" i="35"/>
  <c r="Z231" i="35" s="1" a="1"/>
  <c r="Z231" i="35" s="1"/>
  <c r="U231" i="35"/>
  <c r="R231" i="35"/>
  <c r="S231" i="35" s="1" a="1"/>
  <c r="S231" i="35" s="1"/>
  <c r="P231" i="35" a="1"/>
  <c r="P231" i="35" s="1"/>
  <c r="AB230" i="35"/>
  <c r="Y230" i="35"/>
  <c r="Z230" i="35" s="1" a="1"/>
  <c r="Z230" i="35" s="1"/>
  <c r="U230" i="35"/>
  <c r="R230" i="35"/>
  <c r="S230" i="35" s="1" a="1"/>
  <c r="S230" i="35" s="1"/>
  <c r="P230" i="35" a="1"/>
  <c r="P230" i="35" s="1"/>
  <c r="AB229" i="35"/>
  <c r="Y229" i="35"/>
  <c r="Z229" i="35" s="1" a="1"/>
  <c r="Z229" i="35" s="1"/>
  <c r="U229" i="35"/>
  <c r="R229" i="35"/>
  <c r="S229" i="35" s="1" a="1"/>
  <c r="S229" i="35" s="1"/>
  <c r="P229" i="35" a="1"/>
  <c r="P229" i="35" s="1"/>
  <c r="AB228" i="35"/>
  <c r="Y228" i="35"/>
  <c r="Z228" i="35" s="1" a="1"/>
  <c r="Z228" i="35" s="1"/>
  <c r="U228" i="35"/>
  <c r="R228" i="35"/>
  <c r="S228" i="35" s="1" a="1"/>
  <c r="S228" i="35" s="1"/>
  <c r="P228" i="35" a="1"/>
  <c r="P228" i="35" s="1"/>
  <c r="AB227" i="35"/>
  <c r="Y227" i="35"/>
  <c r="Z227" i="35" s="1" a="1"/>
  <c r="Z227" i="35" s="1"/>
  <c r="U227" i="35"/>
  <c r="R227" i="35"/>
  <c r="S227" i="35" s="1" a="1"/>
  <c r="S227" i="35" s="1"/>
  <c r="P227" i="35" a="1"/>
  <c r="P227" i="35" s="1"/>
  <c r="AB226" i="35"/>
  <c r="Y226" i="35"/>
  <c r="Z226" i="35" s="1" a="1"/>
  <c r="Z226" i="35" s="1"/>
  <c r="U226" i="35"/>
  <c r="R226" i="35"/>
  <c r="S226" i="35" s="1" a="1"/>
  <c r="S226" i="35" s="1"/>
  <c r="P226" i="35" a="1"/>
  <c r="P226" i="35" s="1"/>
  <c r="AB225" i="35"/>
  <c r="Y225" i="35"/>
  <c r="Z225" i="35" s="1" a="1"/>
  <c r="Z225" i="35" s="1"/>
  <c r="U225" i="35"/>
  <c r="R225" i="35"/>
  <c r="S225" i="35" s="1" a="1"/>
  <c r="S225" i="35" s="1"/>
  <c r="P225" i="35" a="1"/>
  <c r="P225" i="35" s="1"/>
  <c r="AB224" i="35"/>
  <c r="Y224" i="35"/>
  <c r="Z224" i="35" s="1" a="1"/>
  <c r="Z224" i="35" s="1"/>
  <c r="U224" i="35"/>
  <c r="R224" i="35"/>
  <c r="S224" i="35" s="1" a="1"/>
  <c r="S224" i="35" s="1"/>
  <c r="P224" i="35" a="1"/>
  <c r="P224" i="35" s="1"/>
  <c r="AB223" i="35"/>
  <c r="Y223" i="35"/>
  <c r="Z223" i="35" s="1" a="1"/>
  <c r="Z223" i="35" s="1"/>
  <c r="U223" i="35"/>
  <c r="R223" i="35"/>
  <c r="S223" i="35" s="1" a="1"/>
  <c r="S223" i="35" s="1"/>
  <c r="P223" i="35" a="1"/>
  <c r="P223" i="35" s="1"/>
  <c r="AB222" i="35"/>
  <c r="Y222" i="35"/>
  <c r="Z222" i="35" s="1" a="1"/>
  <c r="Z222" i="35" s="1"/>
  <c r="U222" i="35"/>
  <c r="R222" i="35"/>
  <c r="S222" i="35" s="1" a="1"/>
  <c r="S222" i="35" s="1"/>
  <c r="P222" i="35" a="1"/>
  <c r="P222" i="35" s="1"/>
  <c r="AB221" i="35"/>
  <c r="Y221" i="35"/>
  <c r="Z221" i="35" s="1" a="1"/>
  <c r="Z221" i="35" s="1"/>
  <c r="U221" i="35"/>
  <c r="R221" i="35"/>
  <c r="S221" i="35" s="1" a="1"/>
  <c r="S221" i="35" s="1"/>
  <c r="P221" i="35" a="1"/>
  <c r="P221" i="35" s="1"/>
  <c r="AB220" i="35"/>
  <c r="Y220" i="35"/>
  <c r="Z220" i="35" s="1" a="1"/>
  <c r="Z220" i="35" s="1"/>
  <c r="U220" i="35"/>
  <c r="R220" i="35"/>
  <c r="S220" i="35" s="1" a="1"/>
  <c r="S220" i="35" s="1"/>
  <c r="P220" i="35" a="1"/>
  <c r="P220" i="35" s="1"/>
  <c r="AB219" i="35"/>
  <c r="Y219" i="35"/>
  <c r="Z219" i="35" s="1" a="1"/>
  <c r="Z219" i="35" s="1"/>
  <c r="U219" i="35"/>
  <c r="R219" i="35"/>
  <c r="S219" i="35" s="1" a="1"/>
  <c r="S219" i="35" s="1"/>
  <c r="P219" i="35" a="1"/>
  <c r="P219" i="35" s="1"/>
  <c r="AB218" i="35"/>
  <c r="Y218" i="35"/>
  <c r="Z218" i="35" s="1" a="1"/>
  <c r="Z218" i="35" s="1"/>
  <c r="U218" i="35"/>
  <c r="R218" i="35"/>
  <c r="S218" i="35" s="1" a="1"/>
  <c r="S218" i="35" s="1"/>
  <c r="P218" i="35" a="1"/>
  <c r="P218" i="35" s="1"/>
  <c r="AB217" i="35"/>
  <c r="Y217" i="35"/>
  <c r="Z217" i="35" s="1" a="1"/>
  <c r="Z217" i="35" s="1"/>
  <c r="U217" i="35"/>
  <c r="R217" i="35"/>
  <c r="S217" i="35" s="1" a="1"/>
  <c r="S217" i="35" s="1"/>
  <c r="P217" i="35" a="1"/>
  <c r="P217" i="35" s="1"/>
  <c r="AB216" i="35"/>
  <c r="Y216" i="35"/>
  <c r="Z216" i="35" s="1" a="1"/>
  <c r="Z216" i="35" s="1"/>
  <c r="U216" i="35"/>
  <c r="R216" i="35"/>
  <c r="S216" i="35" s="1" a="1"/>
  <c r="S216" i="35" s="1"/>
  <c r="P216" i="35" a="1"/>
  <c r="P216" i="35" s="1"/>
  <c r="AB215" i="35"/>
  <c r="Y215" i="35"/>
  <c r="Z215" i="35" s="1" a="1"/>
  <c r="Z215" i="35" s="1"/>
  <c r="U215" i="35"/>
  <c r="R215" i="35"/>
  <c r="S215" i="35" s="1" a="1"/>
  <c r="S215" i="35" s="1"/>
  <c r="P215" i="35" a="1"/>
  <c r="P215" i="35" s="1"/>
  <c r="AB214" i="35"/>
  <c r="Y214" i="35"/>
  <c r="Z214" i="35" s="1" a="1"/>
  <c r="Z214" i="35" s="1"/>
  <c r="U214" i="35"/>
  <c r="R214" i="35"/>
  <c r="S214" i="35" s="1" a="1"/>
  <c r="S214" i="35" s="1"/>
  <c r="P214" i="35" a="1"/>
  <c r="P214" i="35" s="1"/>
  <c r="AB213" i="35"/>
  <c r="Y213" i="35"/>
  <c r="Z213" i="35" s="1" a="1"/>
  <c r="Z213" i="35" s="1"/>
  <c r="AB212" i="35"/>
  <c r="Y212" i="35"/>
  <c r="Z212" i="35" s="1" a="1"/>
  <c r="Z212" i="35" s="1"/>
  <c r="AB211" i="35"/>
  <c r="Y211" i="35"/>
  <c r="Z211" i="35" s="1" a="1"/>
  <c r="Z211" i="35" s="1"/>
  <c r="AB210" i="35"/>
  <c r="Y210" i="35"/>
  <c r="Z210" i="35" s="1" a="1"/>
  <c r="Z210" i="35" s="1"/>
  <c r="AB209" i="35"/>
  <c r="Y209" i="35"/>
  <c r="Z209" i="35" s="1" a="1"/>
  <c r="Z209" i="35" s="1"/>
  <c r="AB208" i="35"/>
  <c r="Y208" i="35"/>
  <c r="Z208" i="35" s="1" a="1"/>
  <c r="Z208" i="35" s="1"/>
  <c r="AB207" i="35"/>
  <c r="Y207" i="35"/>
  <c r="Z207" i="35" s="1" a="1"/>
  <c r="Z207" i="35" s="1"/>
  <c r="AB206" i="35"/>
  <c r="Y206" i="35"/>
  <c r="Z206" i="35" s="1" a="1"/>
  <c r="Z206" i="35" s="1"/>
  <c r="AB205" i="35"/>
  <c r="Y205" i="35"/>
  <c r="Z205" i="35" s="1" a="1"/>
  <c r="Z205" i="35" s="1"/>
  <c r="AB204" i="35"/>
  <c r="Y204" i="35"/>
  <c r="Z204" i="35" s="1" a="1"/>
  <c r="Z204" i="35" s="1"/>
  <c r="AB203" i="35"/>
  <c r="Y203" i="35"/>
  <c r="Z203" i="35" s="1" a="1"/>
  <c r="Z203" i="35" s="1"/>
  <c r="AB202" i="35"/>
  <c r="Y202" i="35"/>
  <c r="Z202" i="35" s="1" a="1"/>
  <c r="Z202" i="35" s="1"/>
  <c r="AB201" i="35"/>
  <c r="Y201" i="35"/>
  <c r="Z201" i="35" s="1" a="1"/>
  <c r="Z201" i="35" s="1"/>
  <c r="AB200" i="35"/>
  <c r="Y200" i="35"/>
  <c r="Z200" i="35" s="1" a="1"/>
  <c r="Z200" i="35" s="1"/>
  <c r="AB199" i="35"/>
  <c r="Y199" i="35"/>
  <c r="Z199" i="35" s="1" a="1"/>
  <c r="Z199" i="35" s="1"/>
  <c r="AB198" i="35"/>
  <c r="Y198" i="35"/>
  <c r="Z198" i="35" s="1" a="1"/>
  <c r="Z198" i="35" s="1"/>
  <c r="AB197" i="35"/>
  <c r="Y197" i="35"/>
  <c r="Z197" i="35" s="1" a="1"/>
  <c r="Z197" i="35" s="1"/>
  <c r="AB196" i="35"/>
  <c r="Y196" i="35"/>
  <c r="Z196" i="35" s="1" a="1"/>
  <c r="Z196" i="35" s="1"/>
  <c r="AB195" i="35"/>
  <c r="Y195" i="35"/>
  <c r="Z195" i="35" s="1" a="1"/>
  <c r="Z195" i="35" s="1"/>
  <c r="AB194" i="35"/>
  <c r="Y194" i="35"/>
  <c r="Z194" i="35" s="1" a="1"/>
  <c r="Z194" i="35" s="1"/>
  <c r="AB193" i="35"/>
  <c r="Y193" i="35"/>
  <c r="Z193" i="35" s="1" a="1"/>
  <c r="Z193" i="35" s="1"/>
  <c r="AB192" i="35"/>
  <c r="Y192" i="35"/>
  <c r="Z192" i="35" s="1" a="1"/>
  <c r="Z192" i="35" s="1"/>
  <c r="AB191" i="35"/>
  <c r="Y191" i="35"/>
  <c r="Z191" i="35" s="1" a="1"/>
  <c r="Z191" i="35" s="1"/>
  <c r="AB190" i="35"/>
  <c r="Y190" i="35"/>
  <c r="Z190" i="35" s="1" a="1"/>
  <c r="Z190" i="35" s="1"/>
  <c r="AB189" i="35"/>
  <c r="Y189" i="35"/>
  <c r="Z189" i="35" s="1" a="1"/>
  <c r="Z189" i="35" s="1"/>
  <c r="AB188" i="35"/>
  <c r="Y188" i="35"/>
  <c r="Z188" i="35" s="1" a="1"/>
  <c r="Z188" i="35" s="1"/>
  <c r="AB187" i="35"/>
  <c r="Y187" i="35"/>
  <c r="Z187" i="35" s="1" a="1"/>
  <c r="Z187" i="35" s="1"/>
  <c r="AB186" i="35"/>
  <c r="Y186" i="35"/>
  <c r="Z186" i="35" s="1" a="1"/>
  <c r="Z186" i="35" s="1"/>
  <c r="AB185" i="35"/>
  <c r="Y185" i="35"/>
  <c r="Z185" i="35" s="1" a="1"/>
  <c r="Z185" i="35" s="1"/>
  <c r="AB184" i="35"/>
  <c r="Y184" i="35"/>
  <c r="Z184" i="35" s="1" a="1"/>
  <c r="Z184" i="35" s="1"/>
  <c r="AB183" i="35"/>
  <c r="Y183" i="35"/>
  <c r="Z183" i="35" s="1" a="1"/>
  <c r="Z183" i="35" s="1"/>
  <c r="AB182" i="35"/>
  <c r="Y182" i="35"/>
  <c r="Z182" i="35" s="1" a="1"/>
  <c r="Z182" i="35" s="1"/>
  <c r="AB181" i="35"/>
  <c r="Y181" i="35"/>
  <c r="Z181" i="35" s="1" a="1"/>
  <c r="Z181" i="35" s="1"/>
  <c r="AB180" i="35"/>
  <c r="Y180" i="35"/>
  <c r="Z180" i="35" s="1" a="1"/>
  <c r="Z180" i="35" s="1"/>
  <c r="AB179" i="35"/>
  <c r="Y179" i="35"/>
  <c r="Z179" i="35" s="1" a="1"/>
  <c r="Z179" i="35" s="1"/>
  <c r="AB178" i="35"/>
  <c r="Y178" i="35"/>
  <c r="Z178" i="35" s="1" a="1"/>
  <c r="Z178" i="35" s="1"/>
  <c r="AB177" i="35"/>
  <c r="Y177" i="35"/>
  <c r="Z177" i="35" s="1" a="1"/>
  <c r="Z177" i="35" s="1"/>
  <c r="AB176" i="35"/>
  <c r="Y176" i="35"/>
  <c r="Z176" i="35" s="1" a="1"/>
  <c r="Z176" i="35" s="1"/>
  <c r="AB175" i="35"/>
  <c r="Y175" i="35"/>
  <c r="Z175" i="35" s="1" a="1"/>
  <c r="Z175" i="35" s="1"/>
  <c r="AB174" i="35"/>
  <c r="Y174" i="35"/>
  <c r="Z174" i="35" s="1" a="1"/>
  <c r="Z174" i="35" s="1"/>
  <c r="AB173" i="35"/>
  <c r="Y173" i="35"/>
  <c r="Z173" i="35" s="1" a="1"/>
  <c r="Z173" i="35" s="1"/>
  <c r="AB172" i="35"/>
  <c r="Y172" i="35"/>
  <c r="Z172" i="35" s="1" a="1"/>
  <c r="Z172" i="35" s="1"/>
  <c r="AB171" i="35"/>
  <c r="Y171" i="35"/>
  <c r="Z171" i="35" s="1" a="1"/>
  <c r="Z171" i="35" s="1"/>
  <c r="AB170" i="35"/>
  <c r="Y170" i="35"/>
  <c r="Z170" i="35" s="1" a="1"/>
  <c r="Z170" i="35" s="1"/>
  <c r="AB169" i="35"/>
  <c r="Y169" i="35"/>
  <c r="Z169" i="35" s="1" a="1"/>
  <c r="Z169" i="35" s="1"/>
  <c r="AB168" i="35"/>
  <c r="Y168" i="35"/>
  <c r="Z168" i="35" s="1" a="1"/>
  <c r="Z168" i="35" s="1"/>
  <c r="AB167" i="35"/>
  <c r="Y167" i="35"/>
  <c r="Z167" i="35" s="1" a="1"/>
  <c r="Z167" i="35" s="1"/>
  <c r="AB166" i="35"/>
  <c r="Y166" i="35"/>
  <c r="Z166" i="35" s="1" a="1"/>
  <c r="Z166" i="35" s="1"/>
  <c r="AB165" i="35"/>
  <c r="Y165" i="35"/>
  <c r="Z165" i="35" s="1" a="1"/>
  <c r="Z165" i="35" s="1"/>
  <c r="AB164" i="35"/>
  <c r="Y164" i="35"/>
  <c r="Z164" i="35" s="1" a="1"/>
  <c r="Z164" i="35" s="1"/>
  <c r="AB163" i="35"/>
  <c r="Y163" i="35"/>
  <c r="Z163" i="35" s="1" a="1"/>
  <c r="Z163" i="35" s="1"/>
  <c r="AB162" i="35"/>
  <c r="Y162" i="35"/>
  <c r="Z162" i="35" s="1" a="1"/>
  <c r="Z162" i="35" s="1"/>
  <c r="AB161" i="35"/>
  <c r="Y161" i="35"/>
  <c r="Z161" i="35" s="1" a="1"/>
  <c r="Z161" i="35" s="1"/>
  <c r="AB160" i="35"/>
  <c r="Y160" i="35"/>
  <c r="Z160" i="35" s="1" a="1"/>
  <c r="Z160" i="35" s="1"/>
  <c r="AB159" i="35"/>
  <c r="Y159" i="35"/>
  <c r="Z159" i="35" s="1" a="1"/>
  <c r="Z159" i="35" s="1"/>
  <c r="AB158" i="35"/>
  <c r="Y158" i="35"/>
  <c r="Z158" i="35" s="1" a="1"/>
  <c r="Z158" i="35" s="1"/>
  <c r="AB157" i="35"/>
  <c r="Y157" i="35"/>
  <c r="Z157" i="35" s="1" a="1"/>
  <c r="Z157" i="35" s="1"/>
  <c r="AB156" i="35"/>
  <c r="Y156" i="35"/>
  <c r="Z156" i="35" s="1" a="1"/>
  <c r="Z156" i="35" s="1"/>
  <c r="AB155" i="35"/>
  <c r="Y155" i="35"/>
  <c r="Z155" i="35" s="1" a="1"/>
  <c r="Z155" i="35" s="1"/>
  <c r="AB154" i="35"/>
  <c r="Y154" i="35"/>
  <c r="Z154" i="35" s="1" a="1"/>
  <c r="Z154" i="35" s="1"/>
  <c r="AB153" i="35"/>
  <c r="Y153" i="35"/>
  <c r="Z153" i="35" s="1" a="1"/>
  <c r="Z153" i="35" s="1"/>
  <c r="AB152" i="35"/>
  <c r="Y152" i="35"/>
  <c r="Z152" i="35" s="1" a="1"/>
  <c r="Z152" i="35" s="1"/>
  <c r="AB151" i="35"/>
  <c r="Y151" i="35"/>
  <c r="Z151" i="35" s="1" a="1"/>
  <c r="Z151" i="35" s="1"/>
  <c r="AB150" i="35"/>
  <c r="Y150" i="35"/>
  <c r="Z150" i="35" s="1" a="1"/>
  <c r="Z150" i="35" s="1"/>
  <c r="AB149" i="35"/>
  <c r="Y149" i="35"/>
  <c r="Z149" i="35" s="1" a="1"/>
  <c r="Z149" i="35" s="1"/>
  <c r="AB148" i="35"/>
  <c r="Y148" i="35"/>
  <c r="Z148" i="35" s="1" a="1"/>
  <c r="Z148" i="35" s="1"/>
  <c r="AB147" i="35"/>
  <c r="Y147" i="35"/>
  <c r="Z147" i="35" s="1" a="1"/>
  <c r="Z147" i="35" s="1"/>
  <c r="AB146" i="35"/>
  <c r="Y146" i="35"/>
  <c r="Z146" i="35" s="1" a="1"/>
  <c r="Z146" i="35" s="1"/>
  <c r="AB145" i="35"/>
  <c r="Y145" i="35"/>
  <c r="Z145" i="35" s="1" a="1"/>
  <c r="Z145" i="35" s="1"/>
  <c r="AB144" i="35"/>
  <c r="Y144" i="35"/>
  <c r="Z144" i="35" s="1" a="1"/>
  <c r="Z144" i="35" s="1"/>
  <c r="AB143" i="35"/>
  <c r="Y143" i="35"/>
  <c r="Z143" i="35" s="1" a="1"/>
  <c r="Z143" i="35" s="1"/>
  <c r="AB142" i="35"/>
  <c r="Y142" i="35"/>
  <c r="Z142" i="35" s="1" a="1"/>
  <c r="Z142" i="35" s="1"/>
  <c r="AB141" i="35"/>
  <c r="Y141" i="35"/>
  <c r="Z141" i="35" s="1" a="1"/>
  <c r="Z141" i="35" s="1"/>
  <c r="AB140" i="35"/>
  <c r="Y140" i="35"/>
  <c r="Z140" i="35" s="1" a="1"/>
  <c r="Z140" i="35" s="1"/>
  <c r="AB139" i="35"/>
  <c r="Y139" i="35"/>
  <c r="Z139" i="35" s="1" a="1"/>
  <c r="Z139" i="35" s="1"/>
  <c r="AB138" i="35"/>
  <c r="Y138" i="35"/>
  <c r="Z138" i="35" s="1" a="1"/>
  <c r="Z138" i="35" s="1"/>
  <c r="AB137" i="35"/>
  <c r="Y137" i="35"/>
  <c r="Z137" i="35" s="1" a="1"/>
  <c r="Z137" i="35" s="1"/>
  <c r="AB136" i="35"/>
  <c r="Y136" i="35"/>
  <c r="Z136" i="35" s="1" a="1"/>
  <c r="Z136" i="35" s="1"/>
  <c r="AB135" i="35"/>
  <c r="Y135" i="35"/>
  <c r="Z135" i="35" s="1" a="1"/>
  <c r="Z135" i="35" s="1"/>
  <c r="AB134" i="35"/>
  <c r="Y134" i="35"/>
  <c r="Z134" i="35" s="1" a="1"/>
  <c r="Z134" i="35" s="1"/>
  <c r="AB133" i="35"/>
  <c r="Y133" i="35"/>
  <c r="Z133" i="35" s="1" a="1"/>
  <c r="Z133" i="35" s="1"/>
  <c r="AB132" i="35"/>
  <c r="Y132" i="35"/>
  <c r="Z132" i="35" s="1" a="1"/>
  <c r="Z132" i="35" s="1"/>
  <c r="AB131" i="35"/>
  <c r="Y131" i="35"/>
  <c r="Z131" i="35" s="1" a="1"/>
  <c r="Z131" i="35" s="1"/>
  <c r="AB130" i="35"/>
  <c r="Y130" i="35"/>
  <c r="Z130" i="35" s="1" a="1"/>
  <c r="Z130" i="35" s="1"/>
  <c r="AB129" i="35"/>
  <c r="Y129" i="35"/>
  <c r="Z129" i="35" s="1" a="1"/>
  <c r="Z129" i="35" s="1"/>
  <c r="AB128" i="35"/>
  <c r="Y128" i="35"/>
  <c r="Z128" i="35" s="1" a="1"/>
  <c r="Z128" i="35" s="1"/>
  <c r="AB127" i="35"/>
  <c r="Y127" i="35"/>
  <c r="Z127" i="35" s="1" a="1"/>
  <c r="Z127" i="35" s="1"/>
  <c r="AB126" i="35"/>
  <c r="Y126" i="35"/>
  <c r="Z126" i="35" s="1" a="1"/>
  <c r="Z126" i="35" s="1"/>
  <c r="AB125" i="35"/>
  <c r="Y125" i="35"/>
  <c r="Z125" i="35" s="1" a="1"/>
  <c r="Z125" i="35" s="1"/>
  <c r="AB124" i="35"/>
  <c r="Y124" i="35"/>
  <c r="Z124" i="35" s="1" a="1"/>
  <c r="Z124" i="35" s="1"/>
  <c r="AB123" i="35"/>
  <c r="Y123" i="35"/>
  <c r="Z123" i="35" s="1" a="1"/>
  <c r="Z123" i="35" s="1"/>
  <c r="AB122" i="35"/>
  <c r="Y122" i="35"/>
  <c r="Z122" i="35" s="1" a="1"/>
  <c r="Z122" i="35" s="1"/>
  <c r="AB121" i="35"/>
  <c r="Y121" i="35"/>
  <c r="Z121" i="35" s="1" a="1"/>
  <c r="Z121" i="35" s="1"/>
  <c r="AB120" i="35"/>
  <c r="Y120" i="35"/>
  <c r="Z120" i="35" s="1" a="1"/>
  <c r="Z120" i="35" s="1"/>
  <c r="AB119" i="35"/>
  <c r="Y119" i="35"/>
  <c r="Z119" i="35" s="1" a="1"/>
  <c r="Z119" i="35" s="1"/>
  <c r="AB118" i="35"/>
  <c r="Y118" i="35"/>
  <c r="Z118" i="35" s="1" a="1"/>
  <c r="Z118" i="35" s="1"/>
  <c r="AB117" i="35"/>
  <c r="Y117" i="35"/>
  <c r="Z117" i="35" s="1" a="1"/>
  <c r="Z117" i="35" s="1"/>
  <c r="AB116" i="35"/>
  <c r="Y116" i="35"/>
  <c r="Z116" i="35" s="1" a="1"/>
  <c r="Z116" i="35" s="1"/>
  <c r="AB115" i="35"/>
  <c r="Y115" i="35"/>
  <c r="Z115" i="35" s="1" a="1"/>
  <c r="Z115" i="35" s="1"/>
  <c r="AB114" i="35"/>
  <c r="Y114" i="35"/>
  <c r="Z114" i="35" s="1" a="1"/>
  <c r="Z114" i="35" s="1"/>
  <c r="AB113" i="35"/>
  <c r="Y113" i="35"/>
  <c r="Z113" i="35" s="1" a="1"/>
  <c r="Z113" i="35" s="1"/>
  <c r="AB112" i="35"/>
  <c r="Y112" i="35"/>
  <c r="Z112" i="35" s="1" a="1"/>
  <c r="Z112" i="35" s="1"/>
  <c r="AB111" i="35"/>
  <c r="Y111" i="35"/>
  <c r="Z111" i="35" s="1" a="1"/>
  <c r="Z111" i="35" s="1"/>
  <c r="AB110" i="35"/>
  <c r="Y110" i="35"/>
  <c r="Z110" i="35" s="1" a="1"/>
  <c r="Z110" i="35" s="1"/>
  <c r="AB109" i="35"/>
  <c r="Y109" i="35"/>
  <c r="Z109" i="35" s="1" a="1"/>
  <c r="Z109" i="35" s="1"/>
  <c r="AB108" i="35"/>
  <c r="Y108" i="35"/>
  <c r="Z108" i="35" s="1" a="1"/>
  <c r="Z108" i="35" s="1"/>
  <c r="AB107" i="35"/>
  <c r="Y107" i="35"/>
  <c r="Z107" i="35" s="1" a="1"/>
  <c r="Z107" i="35" s="1"/>
  <c r="AB106" i="35"/>
  <c r="Y106" i="35"/>
  <c r="Z106" i="35" s="1" a="1"/>
  <c r="Z106" i="35" s="1"/>
  <c r="AB105" i="35"/>
  <c r="Y105" i="35"/>
  <c r="Z105" i="35" s="1" a="1"/>
  <c r="Z105" i="35" s="1"/>
  <c r="AB104" i="35"/>
  <c r="Y104" i="35"/>
  <c r="Z104" i="35" s="1" a="1"/>
  <c r="Z104" i="35" s="1"/>
  <c r="AB103" i="35"/>
  <c r="Y103" i="35"/>
  <c r="Z103" i="35" s="1" a="1"/>
  <c r="Z103" i="35" s="1"/>
  <c r="AB102" i="35"/>
  <c r="Y102" i="35"/>
  <c r="Z102" i="35" s="1" a="1"/>
  <c r="Z102" i="35" s="1"/>
  <c r="AB101" i="35"/>
  <c r="Y101" i="35"/>
  <c r="Z101" i="35" s="1" a="1"/>
  <c r="Z101" i="35" s="1"/>
  <c r="AB100" i="35"/>
  <c r="Y100" i="35"/>
  <c r="Z100" i="35" s="1" a="1"/>
  <c r="Z100" i="35" s="1"/>
  <c r="AB99" i="35"/>
  <c r="Y99" i="35"/>
  <c r="Z99" i="35" s="1" a="1"/>
  <c r="Z99" i="35" s="1"/>
  <c r="AB98" i="35"/>
  <c r="Y98" i="35"/>
  <c r="Z98" i="35" s="1" a="1"/>
  <c r="Z98" i="35" s="1"/>
  <c r="AB97" i="35"/>
  <c r="Y97" i="35"/>
  <c r="Z97" i="35" s="1" a="1"/>
  <c r="Z97" i="35" s="1"/>
  <c r="AB96" i="35"/>
  <c r="Y96" i="35"/>
  <c r="Z96" i="35" s="1" a="1"/>
  <c r="Z96" i="35" s="1"/>
  <c r="AB95" i="35"/>
  <c r="Y95" i="35"/>
  <c r="Z95" i="35" s="1" a="1"/>
  <c r="Z95" i="35" s="1"/>
  <c r="AB94" i="35"/>
  <c r="Y94" i="35"/>
  <c r="Z94" i="35" s="1" a="1"/>
  <c r="Z94" i="35" s="1"/>
  <c r="AB93" i="35"/>
  <c r="Y93" i="35"/>
  <c r="Z93" i="35" s="1" a="1"/>
  <c r="Z93" i="35" s="1"/>
  <c r="AB92" i="35"/>
  <c r="Y92" i="35"/>
  <c r="Z92" i="35" s="1" a="1"/>
  <c r="Z92" i="35" s="1"/>
  <c r="AB91" i="35"/>
  <c r="Y91" i="35"/>
  <c r="Z91" i="35" s="1" a="1"/>
  <c r="Z91" i="35" s="1"/>
  <c r="AB90" i="35"/>
  <c r="Y90" i="35"/>
  <c r="Z90" i="35" s="1" a="1"/>
  <c r="Z90" i="35" s="1"/>
  <c r="AB89" i="35"/>
  <c r="Y89" i="35"/>
  <c r="Z89" i="35" s="1" a="1"/>
  <c r="Z89" i="35" s="1"/>
  <c r="AB88" i="35"/>
  <c r="Y88" i="35"/>
  <c r="Z88" i="35" s="1" a="1"/>
  <c r="Z88" i="35" s="1"/>
  <c r="AB87" i="35"/>
  <c r="Y87" i="35"/>
  <c r="Z87" i="35" s="1" a="1"/>
  <c r="Z87" i="35" s="1"/>
  <c r="AB86" i="35"/>
  <c r="Y86" i="35"/>
  <c r="Z86" i="35" s="1" a="1"/>
  <c r="Z86" i="35" s="1"/>
  <c r="AB85" i="35"/>
  <c r="Y85" i="35"/>
  <c r="Z85" i="35" s="1" a="1"/>
  <c r="Z85" i="35" s="1"/>
  <c r="AB84" i="35"/>
  <c r="Y84" i="35"/>
  <c r="Z84" i="35" s="1" a="1"/>
  <c r="Z84" i="35" s="1"/>
  <c r="AB83" i="35"/>
  <c r="Y83" i="35"/>
  <c r="Z83" i="35" s="1" a="1"/>
  <c r="Z83" i="35" s="1"/>
  <c r="AB82" i="35"/>
  <c r="Y82" i="35"/>
  <c r="Z82" i="35" s="1" a="1"/>
  <c r="Z82" i="35" s="1"/>
  <c r="AB81" i="35"/>
  <c r="Y81" i="35"/>
  <c r="Z81" i="35" s="1" a="1"/>
  <c r="Z81" i="35" s="1"/>
  <c r="AB80" i="35"/>
  <c r="Y80" i="35"/>
  <c r="Z80" i="35" s="1" a="1"/>
  <c r="Z80" i="35" s="1"/>
  <c r="AB79" i="35"/>
  <c r="Y79" i="35"/>
  <c r="Z79" i="35" s="1" a="1"/>
  <c r="Z79" i="35" s="1"/>
  <c r="AB78" i="35"/>
  <c r="Y78" i="35"/>
  <c r="Z78" i="35" s="1" a="1"/>
  <c r="Z78" i="35" s="1"/>
  <c r="AB77" i="35"/>
  <c r="Y77" i="35"/>
  <c r="Z77" i="35" s="1" a="1"/>
  <c r="Z77" i="35" s="1"/>
  <c r="AB76" i="35"/>
  <c r="Y76" i="35"/>
  <c r="Z76" i="35" s="1" a="1"/>
  <c r="Z76" i="35" s="1"/>
  <c r="AB75" i="35"/>
  <c r="Y75" i="35"/>
  <c r="Z75" i="35" s="1" a="1"/>
  <c r="Z75" i="35" s="1"/>
  <c r="AB74" i="35"/>
  <c r="Y74" i="35"/>
  <c r="Z74" i="35" s="1" a="1"/>
  <c r="Z74" i="35" s="1"/>
  <c r="AB73" i="35"/>
  <c r="Y73" i="35"/>
  <c r="Z73" i="35" s="1" a="1"/>
  <c r="Z73" i="35" s="1"/>
  <c r="AB72" i="35"/>
  <c r="Y72" i="35"/>
  <c r="Z72" i="35" s="1" a="1"/>
  <c r="Z72" i="35" s="1"/>
  <c r="AB71" i="35"/>
  <c r="Y71" i="35"/>
  <c r="Z71" i="35" s="1" a="1"/>
  <c r="Z71" i="35" s="1"/>
  <c r="AB70" i="35"/>
  <c r="Y70" i="35"/>
  <c r="Z70" i="35" s="1" a="1"/>
  <c r="Z70" i="35" s="1"/>
  <c r="AB69" i="35"/>
  <c r="Y69" i="35"/>
  <c r="Z69" i="35" s="1" a="1"/>
  <c r="Z69" i="35" s="1"/>
  <c r="AB68" i="35"/>
  <c r="Y68" i="35"/>
  <c r="Z68" i="35" s="1" a="1"/>
  <c r="Z68" i="35" s="1"/>
  <c r="AB67" i="35"/>
  <c r="Y67" i="35"/>
  <c r="Z67" i="35" s="1" a="1"/>
  <c r="Z67" i="35" s="1"/>
  <c r="AB66" i="35"/>
  <c r="Y66" i="35"/>
  <c r="Z66" i="35" s="1" a="1"/>
  <c r="Z66" i="35" s="1"/>
  <c r="AB65" i="35"/>
  <c r="Y65" i="35"/>
  <c r="Z65" i="35" s="1" a="1"/>
  <c r="Z65" i="35" s="1"/>
  <c r="AB64" i="35"/>
  <c r="Y64" i="35"/>
  <c r="Z64" i="35" s="1" a="1"/>
  <c r="Z64" i="35" s="1"/>
  <c r="AB63" i="35"/>
  <c r="Y63" i="35"/>
  <c r="Z63" i="35" s="1" a="1"/>
  <c r="Z63" i="35" s="1"/>
  <c r="AB62" i="35"/>
  <c r="Y62" i="35"/>
  <c r="Z62" i="35" s="1" a="1"/>
  <c r="Z62" i="35" s="1"/>
  <c r="AB61" i="35"/>
  <c r="Y61" i="35"/>
  <c r="Z61" i="35" s="1" a="1"/>
  <c r="Z61" i="35" s="1"/>
  <c r="AB60" i="35"/>
  <c r="Y60" i="35"/>
  <c r="Z60" i="35" s="1" a="1"/>
  <c r="Z60" i="35" s="1"/>
  <c r="AB59" i="35"/>
  <c r="Y59" i="35"/>
  <c r="Z59" i="35" s="1" a="1"/>
  <c r="Z59" i="35" s="1"/>
  <c r="AB58" i="35"/>
  <c r="Y58" i="35"/>
  <c r="Z58" i="35" s="1" a="1"/>
  <c r="Z58" i="35" s="1"/>
  <c r="AB57" i="35"/>
  <c r="Y57" i="35"/>
  <c r="Z57" i="35" s="1" a="1"/>
  <c r="Z57" i="35" s="1"/>
  <c r="AB56" i="35"/>
  <c r="Y56" i="35"/>
  <c r="Z56" i="35" s="1" a="1"/>
  <c r="Z56" i="35" s="1"/>
  <c r="AB55" i="35"/>
  <c r="Y55" i="35"/>
  <c r="Z55" i="35" s="1" a="1"/>
  <c r="Z55" i="35" s="1"/>
  <c r="AB54" i="35"/>
  <c r="Y54" i="35"/>
  <c r="Z54" i="35" s="1" a="1"/>
  <c r="Z54" i="35" s="1"/>
  <c r="AB53" i="35"/>
  <c r="Y53" i="35"/>
  <c r="Z53" i="35" s="1" a="1"/>
  <c r="Z53" i="35" s="1"/>
  <c r="AB52" i="35"/>
  <c r="Y52" i="35"/>
  <c r="Z52" i="35" s="1" a="1"/>
  <c r="Z52" i="35" s="1"/>
  <c r="AB51" i="35"/>
  <c r="Y51" i="35"/>
  <c r="Z51" i="35" s="1" a="1"/>
  <c r="Z51" i="35" s="1"/>
  <c r="AB50" i="35"/>
  <c r="Y50" i="35"/>
  <c r="Z50" i="35" s="1" a="1"/>
  <c r="Z50" i="35" s="1"/>
  <c r="AB49" i="35"/>
  <c r="Y49" i="35"/>
  <c r="Z49" i="35" s="1" a="1"/>
  <c r="Z49" i="35" s="1"/>
  <c r="AB48" i="35"/>
  <c r="Y48" i="35"/>
  <c r="Z48" i="35" s="1" a="1"/>
  <c r="Z48" i="35" s="1"/>
  <c r="AB47" i="35"/>
  <c r="Y47" i="35"/>
  <c r="Z47" i="35" s="1" a="1"/>
  <c r="Z47" i="35" s="1"/>
  <c r="AB46" i="35"/>
  <c r="Y46" i="35"/>
  <c r="Z46" i="35" s="1" a="1"/>
  <c r="Z46" i="35" s="1"/>
  <c r="AB45" i="35"/>
  <c r="Y45" i="35"/>
  <c r="Z45" i="35" s="1" a="1"/>
  <c r="Z45" i="35" s="1"/>
  <c r="AB44" i="35"/>
  <c r="Y44" i="35"/>
  <c r="Z44" i="35" s="1" a="1"/>
  <c r="Z44" i="35" s="1"/>
  <c r="AB43" i="35"/>
  <c r="Y43" i="35"/>
  <c r="Z43" i="35" s="1" a="1"/>
  <c r="Z43" i="35" s="1"/>
  <c r="AB42" i="35"/>
  <c r="Y42" i="35"/>
  <c r="Z42" i="35" s="1" a="1"/>
  <c r="Z42" i="35" s="1"/>
  <c r="AB41" i="35"/>
  <c r="Y41" i="35"/>
  <c r="Z41" i="35" s="1" a="1"/>
  <c r="Z41" i="35" s="1"/>
  <c r="AB40" i="35"/>
  <c r="Y40" i="35"/>
  <c r="Z40" i="35" s="1" a="1"/>
  <c r="Z40" i="35" s="1"/>
  <c r="AB39" i="35"/>
  <c r="Y39" i="35"/>
  <c r="Z39" i="35" s="1" a="1"/>
  <c r="Z39" i="35" s="1"/>
  <c r="AB38" i="35"/>
  <c r="Y38" i="35"/>
  <c r="Z38" i="35" s="1" a="1"/>
  <c r="Z38" i="35" s="1"/>
  <c r="AB37" i="35"/>
  <c r="Y37" i="35"/>
  <c r="Z37" i="35" s="1" a="1"/>
  <c r="Z37" i="35" s="1"/>
  <c r="AB36" i="35"/>
  <c r="Y36" i="35"/>
  <c r="Z36" i="35" s="1" a="1"/>
  <c r="Z36" i="35" s="1"/>
  <c r="AB35" i="35"/>
  <c r="Y35" i="35"/>
  <c r="Z35" i="35" s="1" a="1"/>
  <c r="Z35" i="35" s="1"/>
  <c r="AB34" i="35"/>
  <c r="Y34" i="35"/>
  <c r="Z34" i="35" s="1" a="1"/>
  <c r="Z34" i="35" s="1"/>
  <c r="AB33" i="35"/>
  <c r="Y33" i="35"/>
  <c r="Z33" i="35" s="1" a="1"/>
  <c r="Z33" i="35" s="1"/>
  <c r="AB32" i="35"/>
  <c r="Y32" i="35"/>
  <c r="Z32" i="35" s="1" a="1"/>
  <c r="Z32" i="35" s="1"/>
  <c r="AB31" i="35"/>
  <c r="Y31" i="35"/>
  <c r="Z31" i="35" s="1" a="1"/>
  <c r="Z31" i="35" s="1"/>
  <c r="AB30" i="35"/>
  <c r="Y30" i="35"/>
  <c r="Z30" i="35" s="1" a="1"/>
  <c r="Z30" i="35" s="1"/>
  <c r="AB29" i="35"/>
  <c r="Y29" i="35"/>
  <c r="Z29" i="35" s="1" a="1"/>
  <c r="Z29" i="35" s="1"/>
  <c r="AB28" i="35"/>
  <c r="Y28" i="35"/>
  <c r="Z28" i="35" s="1" a="1"/>
  <c r="Z28" i="35" s="1"/>
  <c r="AB27" i="35"/>
  <c r="Y27" i="35"/>
  <c r="Z27" i="35" s="1" a="1"/>
  <c r="Z27" i="35" s="1"/>
  <c r="AB26" i="35"/>
  <c r="Y26" i="35"/>
  <c r="Z26" i="35" s="1" a="1"/>
  <c r="Z26" i="35" s="1"/>
  <c r="AB25" i="35"/>
  <c r="Y25" i="35"/>
  <c r="Z25" i="35" s="1" a="1"/>
  <c r="Z25" i="35" s="1"/>
  <c r="AB24" i="35"/>
  <c r="Y24" i="35"/>
  <c r="Z24" i="35" s="1" a="1"/>
  <c r="Z24" i="35" s="1"/>
  <c r="AB23" i="35"/>
  <c r="Y23" i="35"/>
  <c r="Z23" i="35" s="1" a="1"/>
  <c r="Z23" i="35" s="1"/>
  <c r="AB22" i="35"/>
  <c r="Y22" i="35"/>
  <c r="Z22" i="35" s="1" a="1"/>
  <c r="Z22" i="35" s="1"/>
  <c r="AB21" i="35"/>
  <c r="Y21" i="35"/>
  <c r="Z21" i="35" s="1" a="1"/>
  <c r="Z21" i="35" s="1"/>
  <c r="AB20" i="35"/>
  <c r="Y20" i="35"/>
  <c r="Z20" i="35" s="1" a="1"/>
  <c r="Z20" i="35" s="1"/>
  <c r="AB19" i="35"/>
  <c r="Y19" i="35"/>
  <c r="Z19" i="35" s="1" a="1"/>
  <c r="Z19" i="35" s="1"/>
  <c r="AB18" i="35"/>
  <c r="Y18" i="35"/>
  <c r="Z18" i="35" s="1" a="1"/>
  <c r="Z18" i="35" s="1"/>
  <c r="AB17" i="35"/>
  <c r="Y17" i="35"/>
  <c r="Z17" i="35" s="1" a="1"/>
  <c r="Z17" i="35" s="1"/>
  <c r="AB16" i="35"/>
  <c r="Y16" i="35"/>
  <c r="Z16" i="35" s="1" a="1"/>
  <c r="Z16" i="35" s="1"/>
  <c r="AB15" i="35"/>
  <c r="Y15" i="35"/>
  <c r="Z15" i="35" s="1" a="1"/>
  <c r="Z15" i="35" s="1"/>
  <c r="AB14" i="35"/>
  <c r="Y14" i="35"/>
  <c r="Z14" i="35" s="1" a="1"/>
  <c r="Z14" i="35" s="1"/>
  <c r="AB13" i="35"/>
  <c r="Y13" i="35"/>
  <c r="Z13" i="35" s="1" a="1"/>
  <c r="Z13" i="35" s="1"/>
  <c r="AB12" i="35"/>
  <c r="Y12" i="35"/>
  <c r="Z12" i="35" s="1" a="1"/>
  <c r="Z12" i="35" s="1"/>
  <c r="AB11" i="35"/>
  <c r="Y11" i="35"/>
  <c r="Z11" i="35" s="1" a="1"/>
  <c r="Z11" i="35" s="1"/>
  <c r="AB10" i="35"/>
  <c r="Y10" i="35"/>
  <c r="Z10" i="35" s="1" a="1"/>
  <c r="Z10" i="35" s="1"/>
  <c r="AB9" i="35"/>
  <c r="Y9" i="35"/>
  <c r="Z9" i="35" s="1" a="1"/>
  <c r="Z9" i="35" s="1"/>
  <c r="AB8" i="35"/>
  <c r="Y8" i="35"/>
  <c r="Z8" i="35" s="1" a="1"/>
  <c r="Z8" i="35" s="1"/>
  <c r="AB7" i="35"/>
  <c r="Y7" i="35"/>
  <c r="Z7" i="35" s="1" a="1"/>
  <c r="Z7" i="35" s="1"/>
  <c r="AB6" i="35"/>
  <c r="Y6" i="35"/>
  <c r="Z6" i="35" s="1" a="1"/>
  <c r="Z6" i="35" s="1"/>
  <c r="P155" i="35" l="1" a="1"/>
  <c r="P155" i="35" s="1"/>
  <c r="U38" i="35"/>
  <c r="P176" i="35" a="1"/>
  <c r="P176" i="35" s="1"/>
  <c r="R17" i="35"/>
  <c r="S17" i="35" s="1" a="1"/>
  <c r="S17" i="35" s="1"/>
  <c r="U98" i="35"/>
  <c r="R96" i="35"/>
  <c r="S96" i="35" s="1" a="1"/>
  <c r="S96" i="35" s="1"/>
  <c r="R38" i="35"/>
  <c r="S38" i="35" s="1" a="1"/>
  <c r="S38" i="35" s="1"/>
  <c r="R108" i="35"/>
  <c r="S108" i="35" s="1" a="1"/>
  <c r="S108" i="35" s="1"/>
  <c r="P8" i="35" a="1"/>
  <c r="P8" i="35" s="1"/>
  <c r="U17" i="35"/>
  <c r="P96" i="35" a="1"/>
  <c r="P96" i="35" s="1"/>
  <c r="R98" i="35"/>
  <c r="S98" i="35" s="1" a="1"/>
  <c r="S98" i="35" s="1"/>
  <c r="R8" i="35"/>
  <c r="S8" i="35" s="1" a="1"/>
  <c r="S8" i="35" s="1"/>
  <c r="R155" i="35"/>
  <c r="S155" i="35" s="1" a="1"/>
  <c r="S155" i="35" s="1"/>
  <c r="U143" i="35"/>
  <c r="P128" i="35" a="1"/>
  <c r="P128" i="35" s="1"/>
  <c r="R166" i="35"/>
  <c r="S166" i="35" s="1" a="1"/>
  <c r="S166" i="35" s="1"/>
  <c r="P166" i="35" a="1"/>
  <c r="P166" i="35" s="1"/>
  <c r="R176" i="35"/>
  <c r="S176" i="35" s="1" a="1"/>
  <c r="S176" i="35" s="1"/>
  <c r="R212" i="35"/>
  <c r="S212" i="35" s="1" a="1"/>
  <c r="S212" i="35" s="1"/>
  <c r="R143" i="35"/>
  <c r="S143" i="35" s="1" a="1"/>
  <c r="S143" i="35" s="1"/>
  <c r="R128" i="35"/>
  <c r="S128" i="35" s="1" a="1"/>
  <c r="S128" i="35" s="1"/>
  <c r="R213" i="35"/>
  <c r="S213" i="35" s="1" a="1"/>
  <c r="S213" i="35" s="1"/>
  <c r="R118" i="35"/>
  <c r="S118" i="35" s="1" a="1"/>
  <c r="S118" i="35" s="1"/>
  <c r="R138" i="35"/>
  <c r="S138" i="35" s="1" a="1"/>
  <c r="S138" i="35" s="1"/>
  <c r="R198" i="35"/>
  <c r="S198" i="35" s="1" a="1"/>
  <c r="S198" i="35" s="1"/>
  <c r="R170" i="35"/>
  <c r="S170" i="35" s="1" a="1"/>
  <c r="S170" i="35" s="1"/>
  <c r="R92" i="35"/>
  <c r="S92" i="35" s="1" a="1"/>
  <c r="S92" i="35" s="1"/>
  <c r="R195" i="35"/>
  <c r="S195" i="35" s="1" a="1"/>
  <c r="S195" i="35" s="1"/>
  <c r="R61" i="35"/>
  <c r="S61" i="35" s="1" a="1"/>
  <c r="S61" i="35" s="1"/>
  <c r="R42" i="35"/>
  <c r="S42" i="35" s="1" a="1"/>
  <c r="S42" i="35" s="1"/>
  <c r="R83" i="35"/>
  <c r="S83" i="35" s="1" a="1"/>
  <c r="S83" i="35" s="1"/>
  <c r="R48" i="35"/>
  <c r="S48" i="35" s="1" a="1"/>
  <c r="S48" i="35" s="1"/>
  <c r="R208" i="35"/>
  <c r="S208" i="35" s="1" a="1"/>
  <c r="S208" i="35" s="1"/>
  <c r="U49" i="35"/>
  <c r="P49" i="35" a="1"/>
  <c r="P49" i="35" s="1"/>
  <c r="R49" i="35"/>
  <c r="S49" i="35" s="1" a="1"/>
  <c r="S49" i="35" s="1"/>
  <c r="P30" i="35" a="1"/>
  <c r="P30" i="35" s="1"/>
  <c r="R30" i="35"/>
  <c r="S30" i="35" s="1" a="1"/>
  <c r="S30" i="35" s="1"/>
  <c r="U30" i="35"/>
  <c r="P42" i="35" a="1"/>
  <c r="P42" i="35" s="1"/>
  <c r="U42" i="35"/>
  <c r="R28" i="35"/>
  <c r="S28" i="35" s="1" a="1"/>
  <c r="S28" i="35" s="1"/>
  <c r="R85" i="35"/>
  <c r="S85" i="35" s="1" a="1"/>
  <c r="S85" i="35" s="1"/>
  <c r="U28" i="35"/>
  <c r="P145" i="35" a="1"/>
  <c r="P145" i="35" s="1"/>
  <c r="R71" i="35"/>
  <c r="S71" i="35" s="1" a="1"/>
  <c r="S71" i="35" s="1"/>
  <c r="P7" i="35" a="1"/>
  <c r="P7" i="35" s="1"/>
  <c r="U71" i="35"/>
  <c r="R7" i="35"/>
  <c r="S7" i="35" s="1" a="1"/>
  <c r="S7" i="35" s="1"/>
  <c r="R15" i="35"/>
  <c r="S15" i="35" s="1" a="1"/>
  <c r="S15" i="35" s="1"/>
  <c r="R81" i="35"/>
  <c r="S81" i="35" s="1" a="1"/>
  <c r="S81" i="35" s="1"/>
  <c r="R141" i="35"/>
  <c r="S141" i="35" s="1" a="1"/>
  <c r="S141" i="35" s="1"/>
  <c r="P196" i="35" a="1"/>
  <c r="P196" i="35" s="1"/>
  <c r="R178" i="35"/>
  <c r="S178" i="35" s="1" a="1"/>
  <c r="S178" i="35" s="1"/>
  <c r="P85" i="35" a="1"/>
  <c r="P85" i="35" s="1"/>
  <c r="P48" i="35" a="1"/>
  <c r="P48" i="35" s="1"/>
  <c r="U81" i="35"/>
  <c r="R196" i="35"/>
  <c r="S196" i="35" s="1" a="1"/>
  <c r="S196" i="35" s="1"/>
  <c r="P61" i="35" a="1"/>
  <c r="P61" i="35" s="1"/>
  <c r="U61" i="35"/>
  <c r="R130" i="35"/>
  <c r="S130" i="35" s="1" a="1"/>
  <c r="S130" i="35" s="1"/>
  <c r="U130" i="35"/>
  <c r="R119" i="35"/>
  <c r="S119" i="35" s="1" a="1"/>
  <c r="S119" i="35" s="1"/>
  <c r="P119" i="35" a="1"/>
  <c r="P119" i="35" s="1"/>
  <c r="U119" i="35"/>
  <c r="P157" i="35" a="1"/>
  <c r="P157" i="35" s="1"/>
  <c r="R157" i="35"/>
  <c r="S157" i="35" s="1" a="1"/>
  <c r="S157" i="35" s="1"/>
  <c r="U157" i="35"/>
  <c r="U69" i="35"/>
  <c r="P69" i="35" a="1"/>
  <c r="P69" i="35" s="1"/>
  <c r="R69" i="35"/>
  <c r="S69" i="35" s="1" a="1"/>
  <c r="S69" i="35" s="1"/>
  <c r="U109" i="35"/>
  <c r="R109" i="35"/>
  <c r="S109" i="35" s="1" a="1"/>
  <c r="S109" i="35" s="1"/>
  <c r="P109" i="35" a="1"/>
  <c r="P109" i="35" s="1"/>
  <c r="U51" i="35"/>
  <c r="P51" i="35" a="1"/>
  <c r="P51" i="35" s="1"/>
  <c r="U129" i="35"/>
  <c r="P129" i="35" a="1"/>
  <c r="P129" i="35" s="1"/>
  <c r="R129" i="35"/>
  <c r="S129" i="35" s="1" a="1"/>
  <c r="S129" i="35" s="1"/>
  <c r="R177" i="35"/>
  <c r="S177" i="35" s="1" a="1"/>
  <c r="S177" i="35" s="1"/>
  <c r="U177" i="35"/>
  <c r="P177" i="35" a="1"/>
  <c r="P177" i="35" s="1"/>
  <c r="R9" i="35"/>
  <c r="S9" i="35" s="1" a="1"/>
  <c r="S9" i="35" s="1"/>
  <c r="U9" i="35"/>
  <c r="P9" i="35" a="1"/>
  <c r="P9" i="35" s="1"/>
  <c r="U29" i="35"/>
  <c r="P29" i="35" a="1"/>
  <c r="P29" i="35" s="1"/>
  <c r="R29" i="35"/>
  <c r="S29" i="35" s="1" a="1"/>
  <c r="S29" i="35" s="1"/>
  <c r="R72" i="35"/>
  <c r="S72" i="35" s="1" a="1"/>
  <c r="S72" i="35" s="1"/>
  <c r="P72" i="35" a="1"/>
  <c r="P72" i="35" s="1"/>
  <c r="U72" i="35"/>
  <c r="U54" i="35"/>
  <c r="R54" i="35"/>
  <c r="S54" i="35" s="1" a="1"/>
  <c r="S54" i="35" s="1"/>
  <c r="P132" i="35" a="1"/>
  <c r="P132" i="35" s="1"/>
  <c r="U132" i="35"/>
  <c r="U105" i="35"/>
  <c r="P105" i="35" a="1"/>
  <c r="P105" i="35" s="1"/>
  <c r="P159" i="35" a="1"/>
  <c r="P159" i="35" s="1"/>
  <c r="U159" i="35"/>
  <c r="R159" i="35"/>
  <c r="S159" i="35" s="1" a="1"/>
  <c r="S159" i="35" s="1"/>
  <c r="R19" i="35"/>
  <c r="S19" i="35" s="1" a="1"/>
  <c r="S19" i="35" s="1"/>
  <c r="P19" i="35" a="1"/>
  <c r="P19" i="35" s="1"/>
  <c r="U19" i="35"/>
  <c r="P189" i="35" a="1"/>
  <c r="P189" i="35" s="1"/>
  <c r="R189" i="35"/>
  <c r="S189" i="35" s="1" a="1"/>
  <c r="S189" i="35" s="1"/>
  <c r="U189" i="35"/>
  <c r="R97" i="35"/>
  <c r="S97" i="35" s="1" a="1"/>
  <c r="S97" i="35" s="1"/>
  <c r="P97" i="35" a="1"/>
  <c r="P97" i="35" s="1"/>
  <c r="U97" i="35"/>
  <c r="P59" i="35" a="1"/>
  <c r="P59" i="35" s="1"/>
  <c r="R59" i="35"/>
  <c r="S59" i="35" s="1" a="1"/>
  <c r="S59" i="35" s="1"/>
  <c r="U59" i="35"/>
  <c r="U79" i="35"/>
  <c r="P79" i="35" a="1"/>
  <c r="P79" i="35" s="1"/>
  <c r="P198" i="35" a="1"/>
  <c r="P198" i="35" s="1"/>
  <c r="U92" i="35"/>
  <c r="U208" i="35"/>
  <c r="R68" i="35"/>
  <c r="S68" i="35" s="1" a="1"/>
  <c r="S68" i="35" s="1"/>
  <c r="P108" i="35" a="1"/>
  <c r="P108" i="35" s="1"/>
  <c r="R114" i="35"/>
  <c r="S114" i="35" s="1" a="1"/>
  <c r="S114" i="35" s="1"/>
  <c r="U141" i="35"/>
  <c r="U114" i="35"/>
  <c r="P134" i="35" a="1"/>
  <c r="P134" i="35" s="1"/>
  <c r="P18" i="35" a="1"/>
  <c r="P18" i="35" s="1"/>
  <c r="R50" i="35"/>
  <c r="S50" i="35" s="1" a="1"/>
  <c r="S50" i="35" s="1"/>
  <c r="P83" i="35" a="1"/>
  <c r="P83" i="35" s="1"/>
  <c r="P39" i="35" a="1"/>
  <c r="P39" i="35" s="1"/>
  <c r="R58" i="35"/>
  <c r="S58" i="35" s="1" a="1"/>
  <c r="S58" i="35" s="1"/>
  <c r="U83" i="35"/>
  <c r="U198" i="35"/>
  <c r="R39" i="35"/>
  <c r="S39" i="35" s="1" a="1"/>
  <c r="S39" i="35" s="1"/>
  <c r="U58" i="35"/>
  <c r="P165" i="35" a="1"/>
  <c r="P165" i="35" s="1"/>
  <c r="R18" i="35"/>
  <c r="S18" i="35" s="1" a="1"/>
  <c r="S18" i="35" s="1"/>
  <c r="P92" i="35" a="1"/>
  <c r="P92" i="35" s="1"/>
  <c r="P118" i="35" a="1"/>
  <c r="P118" i="35" s="1"/>
  <c r="P138" i="35" a="1"/>
  <c r="P138" i="35" s="1"/>
  <c r="R165" i="35"/>
  <c r="S165" i="35" s="1" a="1"/>
  <c r="S165" i="35" s="1"/>
  <c r="P208" i="35" a="1"/>
  <c r="P208" i="35" s="1"/>
  <c r="U68" i="35"/>
  <c r="U50" i="35"/>
  <c r="U86" i="35"/>
  <c r="R86" i="35"/>
  <c r="S86" i="35" s="1" a="1"/>
  <c r="S86" i="35" s="1"/>
  <c r="P86" i="35" a="1"/>
  <c r="P86" i="35" s="1"/>
  <c r="P137" i="35" a="1"/>
  <c r="P137" i="35" s="1"/>
  <c r="U137" i="35"/>
  <c r="R137" i="35"/>
  <c r="S137" i="35" s="1" a="1"/>
  <c r="S137" i="35" s="1"/>
  <c r="U25" i="35"/>
  <c r="R25" i="35"/>
  <c r="S25" i="35" s="1" a="1"/>
  <c r="S25" i="35" s="1"/>
  <c r="P25" i="35" a="1"/>
  <c r="P25" i="35" s="1"/>
  <c r="P13" i="35" a="1"/>
  <c r="P13" i="35" s="1"/>
  <c r="R13" i="35"/>
  <c r="S13" i="35" s="1" a="1"/>
  <c r="S13" i="35" s="1"/>
  <c r="U13" i="35"/>
  <c r="U180" i="35"/>
  <c r="R180" i="35"/>
  <c r="S180" i="35" s="1" a="1"/>
  <c r="S180" i="35" s="1"/>
  <c r="P180" i="35" a="1"/>
  <c r="P180" i="35" s="1"/>
  <c r="P22" i="35" a="1"/>
  <c r="P22" i="35" s="1"/>
  <c r="U22" i="35"/>
  <c r="R22" i="35"/>
  <c r="S22" i="35" s="1" a="1"/>
  <c r="S22" i="35" s="1"/>
  <c r="U150" i="35"/>
  <c r="P150" i="35" a="1"/>
  <c r="P150" i="35" s="1"/>
  <c r="R150" i="35"/>
  <c r="S150" i="35" s="1" a="1"/>
  <c r="S150" i="35" s="1"/>
  <c r="R182" i="35"/>
  <c r="S182" i="35" s="1" a="1"/>
  <c r="S182" i="35" s="1"/>
  <c r="P182" i="35" a="1"/>
  <c r="P182" i="35" s="1"/>
  <c r="U182" i="35"/>
  <c r="R23" i="35"/>
  <c r="S23" i="35" s="1" a="1"/>
  <c r="S23" i="35" s="1"/>
  <c r="P23" i="35" a="1"/>
  <c r="P23" i="35" s="1"/>
  <c r="U23" i="35"/>
  <c r="U87" i="35"/>
  <c r="R87" i="35"/>
  <c r="S87" i="35" s="1" a="1"/>
  <c r="S87" i="35" s="1"/>
  <c r="P87" i="35" a="1"/>
  <c r="P87" i="35" s="1"/>
  <c r="R24" i="35"/>
  <c r="S24" i="35" s="1" a="1"/>
  <c r="S24" i="35" s="1"/>
  <c r="P24" i="35" a="1"/>
  <c r="P24" i="35" s="1"/>
  <c r="U24" i="35"/>
  <c r="P55" i="35" a="1"/>
  <c r="P55" i="35" s="1"/>
  <c r="U55" i="35"/>
  <c r="R55" i="35"/>
  <c r="S55" i="35" s="1" a="1"/>
  <c r="S55" i="35" s="1"/>
  <c r="R104" i="35"/>
  <c r="S104" i="35" s="1" a="1"/>
  <c r="S104" i="35" s="1"/>
  <c r="P104" i="35" a="1"/>
  <c r="P104" i="35" s="1"/>
  <c r="R136" i="35"/>
  <c r="S136" i="35" s="1" a="1"/>
  <c r="S136" i="35" s="1"/>
  <c r="U136" i="35"/>
  <c r="P136" i="35" a="1"/>
  <c r="P136" i="35" s="1"/>
  <c r="U152" i="35"/>
  <c r="P152" i="35" a="1"/>
  <c r="P152" i="35" s="1"/>
  <c r="R152" i="35"/>
  <c r="S152" i="35" s="1" a="1"/>
  <c r="S152" i="35" s="1"/>
  <c r="U184" i="35"/>
  <c r="R184" i="35"/>
  <c r="S184" i="35" s="1" a="1"/>
  <c r="S184" i="35" s="1"/>
  <c r="P184" i="35" a="1"/>
  <c r="P184" i="35" s="1"/>
  <c r="U201" i="35"/>
  <c r="R201" i="35"/>
  <c r="S201" i="35" s="1" a="1"/>
  <c r="S201" i="35" s="1"/>
  <c r="P201" i="35" a="1"/>
  <c r="P201" i="35" s="1"/>
  <c r="R41" i="35"/>
  <c r="S41" i="35" s="1" a="1"/>
  <c r="S41" i="35" s="1"/>
  <c r="U41" i="35"/>
  <c r="P41" i="35" a="1"/>
  <c r="P41" i="35" s="1"/>
  <c r="R57" i="35"/>
  <c r="S57" i="35" s="1" a="1"/>
  <c r="S57" i="35" s="1"/>
  <c r="P57" i="35" a="1"/>
  <c r="P57" i="35" s="1"/>
  <c r="U57" i="35"/>
  <c r="U73" i="35"/>
  <c r="R73" i="35"/>
  <c r="S73" i="35" s="1" a="1"/>
  <c r="S73" i="35" s="1"/>
  <c r="P73" i="35" a="1"/>
  <c r="P73" i="35" s="1"/>
  <c r="P121" i="35" a="1"/>
  <c r="P121" i="35" s="1"/>
  <c r="U121" i="35"/>
  <c r="R121" i="35"/>
  <c r="S121" i="35" s="1" a="1"/>
  <c r="S121" i="35" s="1"/>
  <c r="U203" i="35"/>
  <c r="R203" i="35"/>
  <c r="S203" i="35" s="1" a="1"/>
  <c r="S203" i="35" s="1"/>
  <c r="P203" i="35" a="1"/>
  <c r="P203" i="35" s="1"/>
  <c r="P188" i="35" a="1"/>
  <c r="P188" i="35" s="1"/>
  <c r="U188" i="35"/>
  <c r="R188" i="35"/>
  <c r="S188" i="35" s="1" a="1"/>
  <c r="S188" i="35" s="1"/>
  <c r="R12" i="35"/>
  <c r="S12" i="35" s="1" a="1"/>
  <c r="S12" i="35" s="1"/>
  <c r="P12" i="35" a="1"/>
  <c r="P12" i="35" s="1"/>
  <c r="U12" i="35"/>
  <c r="U75" i="35"/>
  <c r="P75" i="35" a="1"/>
  <c r="P75" i="35" s="1"/>
  <c r="R75" i="35"/>
  <c r="S75" i="35" s="1" a="1"/>
  <c r="S75" i="35" s="1"/>
  <c r="R124" i="35"/>
  <c r="S124" i="35" s="1" a="1"/>
  <c r="S124" i="35" s="1"/>
  <c r="P124" i="35" a="1"/>
  <c r="P124" i="35" s="1"/>
  <c r="U124" i="35"/>
  <c r="U171" i="35"/>
  <c r="R171" i="35"/>
  <c r="S171" i="35" s="1" a="1"/>
  <c r="S171" i="35" s="1"/>
  <c r="R206" i="35"/>
  <c r="S206" i="35" s="1" a="1"/>
  <c r="S206" i="35" s="1"/>
  <c r="P206" i="35" a="1"/>
  <c r="P206" i="35" s="1"/>
  <c r="U206" i="35"/>
  <c r="P172" i="35" a="1"/>
  <c r="P172" i="35" s="1"/>
  <c r="U172" i="35"/>
  <c r="R172" i="35"/>
  <c r="S172" i="35" s="1" a="1"/>
  <c r="S172" i="35" s="1"/>
  <c r="U173" i="35"/>
  <c r="R173" i="35"/>
  <c r="S173" i="35" s="1" a="1"/>
  <c r="S173" i="35" s="1"/>
  <c r="P173" i="35" a="1"/>
  <c r="P173" i="35" s="1"/>
  <c r="P47" i="35" a="1"/>
  <c r="P47" i="35" s="1"/>
  <c r="U47" i="35"/>
  <c r="R47" i="35"/>
  <c r="S47" i="35" s="1" a="1"/>
  <c r="S47" i="35" s="1"/>
  <c r="P63" i="35" a="1"/>
  <c r="P63" i="35" s="1"/>
  <c r="R63" i="35"/>
  <c r="S63" i="35" s="1" a="1"/>
  <c r="S63" i="35" s="1"/>
  <c r="P162" i="35" a="1"/>
  <c r="P162" i="35" s="1"/>
  <c r="U31" i="35"/>
  <c r="R31" i="35"/>
  <c r="S31" i="35" s="1" a="1"/>
  <c r="S31" i="35" s="1"/>
  <c r="P31" i="35" a="1"/>
  <c r="P31" i="35" s="1"/>
  <c r="R64" i="35"/>
  <c r="S64" i="35" s="1" a="1"/>
  <c r="S64" i="35" s="1"/>
  <c r="P64" i="35" a="1"/>
  <c r="P64" i="35" s="1"/>
  <c r="U64" i="35"/>
  <c r="U111" i="35"/>
  <c r="R111" i="35"/>
  <c r="S111" i="35" s="1" a="1"/>
  <c r="S111" i="35" s="1"/>
  <c r="P111" i="35" a="1"/>
  <c r="P111" i="35" s="1"/>
  <c r="R210" i="35"/>
  <c r="S210" i="35" s="1" a="1"/>
  <c r="S210" i="35" s="1"/>
  <c r="P210" i="35" a="1"/>
  <c r="P210" i="35" s="1"/>
  <c r="U210" i="35"/>
  <c r="U32" i="35"/>
  <c r="R32" i="35"/>
  <c r="S32" i="35" s="1" a="1"/>
  <c r="S32" i="35" s="1"/>
  <c r="P32" i="35" a="1"/>
  <c r="P32" i="35" s="1"/>
  <c r="U65" i="35"/>
  <c r="R65" i="35"/>
  <c r="S65" i="35" s="1" a="1"/>
  <c r="S65" i="35" s="1"/>
  <c r="P65" i="35" a="1"/>
  <c r="P65" i="35" s="1"/>
  <c r="U80" i="35"/>
  <c r="R80" i="35"/>
  <c r="S80" i="35" s="1" a="1"/>
  <c r="S80" i="35" s="1"/>
  <c r="P80" i="35" a="1"/>
  <c r="P80" i="35" s="1"/>
  <c r="U112" i="35"/>
  <c r="R112" i="35"/>
  <c r="S112" i="35" s="1" a="1"/>
  <c r="S112" i="35" s="1"/>
  <c r="P112" i="35" a="1"/>
  <c r="P112" i="35" s="1"/>
  <c r="U160" i="35"/>
  <c r="R160" i="35"/>
  <c r="S160" i="35" s="1" a="1"/>
  <c r="S160" i="35" s="1"/>
  <c r="P160" i="35" a="1"/>
  <c r="P160" i="35" s="1"/>
  <c r="U193" i="35"/>
  <c r="R193" i="35"/>
  <c r="S193" i="35" s="1" a="1"/>
  <c r="S193" i="35" s="1"/>
  <c r="P193" i="35" a="1"/>
  <c r="P193" i="35" s="1"/>
  <c r="U35" i="35"/>
  <c r="P35" i="35" a="1"/>
  <c r="P35" i="35" s="1"/>
  <c r="R35" i="35"/>
  <c r="S35" i="35" s="1" a="1"/>
  <c r="S35" i="35" s="1"/>
  <c r="U67" i="35"/>
  <c r="R67" i="35"/>
  <c r="S67" i="35" s="1" a="1"/>
  <c r="S67" i="35" s="1"/>
  <c r="P67" i="35" a="1"/>
  <c r="P67" i="35" s="1"/>
  <c r="P99" i="35" a="1"/>
  <c r="P99" i="35" s="1"/>
  <c r="U99" i="35"/>
  <c r="R99" i="35"/>
  <c r="S99" i="35" s="1" a="1"/>
  <c r="S99" i="35" s="1"/>
  <c r="U115" i="35"/>
  <c r="R115" i="35"/>
  <c r="S115" i="35" s="1" a="1"/>
  <c r="S115" i="35" s="1"/>
  <c r="P115" i="35" a="1"/>
  <c r="P115" i="35" s="1"/>
  <c r="P181" i="35" a="1"/>
  <c r="P181" i="35" s="1"/>
  <c r="U181" i="35"/>
  <c r="R181" i="35"/>
  <c r="S181" i="35" s="1" a="1"/>
  <c r="S181" i="35" s="1"/>
  <c r="R200" i="35"/>
  <c r="S200" i="35" s="1" a="1"/>
  <c r="S200" i="35" s="1"/>
  <c r="U200" i="35"/>
  <c r="R56" i="35"/>
  <c r="S56" i="35" s="1" a="1"/>
  <c r="S56" i="35" s="1"/>
  <c r="U56" i="35"/>
  <c r="P56" i="35" a="1"/>
  <c r="P56" i="35" s="1"/>
  <c r="P185" i="35" a="1"/>
  <c r="P185" i="35" s="1"/>
  <c r="R185" i="35"/>
  <c r="S185" i="35" s="1" a="1"/>
  <c r="S185" i="35" s="1"/>
  <c r="U10" i="35"/>
  <c r="R10" i="35"/>
  <c r="S10" i="35" s="1" a="1"/>
  <c r="S10" i="35" s="1"/>
  <c r="P10" i="35" a="1"/>
  <c r="P10" i="35" s="1"/>
  <c r="R90" i="35"/>
  <c r="S90" i="35" s="1" a="1"/>
  <c r="S90" i="35" s="1"/>
  <c r="P90" i="35" a="1"/>
  <c r="P90" i="35" s="1"/>
  <c r="U90" i="35"/>
  <c r="R204" i="35"/>
  <c r="S204" i="35" s="1" a="1"/>
  <c r="S204" i="35" s="1"/>
  <c r="P204" i="35" a="1"/>
  <c r="P204" i="35" s="1"/>
  <c r="U125" i="35"/>
  <c r="R125" i="35"/>
  <c r="S125" i="35" s="1" a="1"/>
  <c r="S125" i="35" s="1"/>
  <c r="P125" i="35" a="1"/>
  <c r="P125" i="35" s="1"/>
  <c r="U45" i="35"/>
  <c r="P45" i="35" a="1"/>
  <c r="P45" i="35" s="1"/>
  <c r="R45" i="35"/>
  <c r="S45" i="35" s="1" a="1"/>
  <c r="S45" i="35" s="1"/>
  <c r="U77" i="35"/>
  <c r="R77" i="35"/>
  <c r="S77" i="35" s="1" a="1"/>
  <c r="S77" i="35" s="1"/>
  <c r="P77" i="35" a="1"/>
  <c r="P77" i="35" s="1"/>
  <c r="U126" i="35"/>
  <c r="R126" i="35"/>
  <c r="S126" i="35" s="1" a="1"/>
  <c r="S126" i="35" s="1"/>
  <c r="P126" i="35" a="1"/>
  <c r="P126" i="35" s="1"/>
  <c r="P175" i="35" a="1"/>
  <c r="P175" i="35" s="1"/>
  <c r="U175" i="35"/>
  <c r="R175" i="35"/>
  <c r="S175" i="35" s="1" a="1"/>
  <c r="S175" i="35" s="1"/>
  <c r="U192" i="35"/>
  <c r="R192" i="35"/>
  <c r="S192" i="35" s="1" a="1"/>
  <c r="S192" i="35" s="1"/>
  <c r="P192" i="35" a="1"/>
  <c r="P192" i="35" s="1"/>
  <c r="R162" i="35"/>
  <c r="S162" i="35" s="1" a="1"/>
  <c r="S162" i="35" s="1"/>
  <c r="U33" i="35"/>
  <c r="R33" i="35"/>
  <c r="S33" i="35" s="1" a="1"/>
  <c r="S33" i="35" s="1"/>
  <c r="P33" i="35" a="1"/>
  <c r="P33" i="35" s="1"/>
  <c r="P146" i="35" a="1"/>
  <c r="P146" i="35" s="1"/>
  <c r="U146" i="35"/>
  <c r="R146" i="35"/>
  <c r="S146" i="35" s="1" a="1"/>
  <c r="S146" i="35" s="1"/>
  <c r="U161" i="35"/>
  <c r="R161" i="35"/>
  <c r="S161" i="35" s="1" a="1"/>
  <c r="S161" i="35" s="1"/>
  <c r="P161" i="35" a="1"/>
  <c r="P161" i="35" s="1"/>
  <c r="P194" i="35" a="1"/>
  <c r="P194" i="35" s="1"/>
  <c r="R194" i="35"/>
  <c r="S194" i="35" s="1" a="1"/>
  <c r="S194" i="35" s="1"/>
  <c r="U194" i="35"/>
  <c r="U163" i="35"/>
  <c r="R163" i="35"/>
  <c r="S163" i="35" s="1" a="1"/>
  <c r="S163" i="35" s="1"/>
  <c r="P163" i="35" a="1"/>
  <c r="P163" i="35" s="1"/>
  <c r="U36" i="35"/>
  <c r="P36" i="35" a="1"/>
  <c r="P36" i="35" s="1"/>
  <c r="R36" i="35"/>
  <c r="S36" i="35" s="1" a="1"/>
  <c r="S36" i="35" s="1"/>
  <c r="R52" i="35"/>
  <c r="S52" i="35" s="1" a="1"/>
  <c r="S52" i="35" s="1"/>
  <c r="U52" i="35"/>
  <c r="P52" i="35" a="1"/>
  <c r="P52" i="35" s="1"/>
  <c r="R100" i="35"/>
  <c r="S100" i="35" s="1" a="1"/>
  <c r="S100" i="35" s="1"/>
  <c r="P100" i="35" a="1"/>
  <c r="P100" i="35" s="1"/>
  <c r="U116" i="35"/>
  <c r="R116" i="35"/>
  <c r="S116" i="35" s="1" a="1"/>
  <c r="S116" i="35" s="1"/>
  <c r="P116" i="35" a="1"/>
  <c r="P116" i="35" s="1"/>
  <c r="R21" i="35"/>
  <c r="S21" i="35" s="1" a="1"/>
  <c r="S21" i="35" s="1"/>
  <c r="P21" i="35" a="1"/>
  <c r="P21" i="35" s="1"/>
  <c r="P37" i="35" a="1"/>
  <c r="P37" i="35" s="1"/>
  <c r="U37" i="35"/>
  <c r="R37" i="35"/>
  <c r="S37" i="35" s="1" a="1"/>
  <c r="S37" i="35" s="1"/>
  <c r="U53" i="35"/>
  <c r="R53" i="35"/>
  <c r="S53" i="35" s="1" a="1"/>
  <c r="S53" i="35" s="1"/>
  <c r="P53" i="35" a="1"/>
  <c r="P53" i="35" s="1"/>
  <c r="U101" i="35"/>
  <c r="R101" i="35"/>
  <c r="S101" i="35" s="1" a="1"/>
  <c r="S101" i="35" s="1"/>
  <c r="P101" i="35" a="1"/>
  <c r="P101" i="35" s="1"/>
  <c r="P117" i="35" a="1"/>
  <c r="P117" i="35" s="1"/>
  <c r="U117" i="35"/>
  <c r="R117" i="35"/>
  <c r="S117" i="35" s="1" a="1"/>
  <c r="S117" i="35" s="1"/>
  <c r="R151" i="35"/>
  <c r="S151" i="35" s="1" a="1"/>
  <c r="S151" i="35" s="1"/>
  <c r="P151" i="35" a="1"/>
  <c r="P151" i="35" s="1"/>
  <c r="R183" i="35"/>
  <c r="S183" i="35" s="1" a="1"/>
  <c r="S183" i="35" s="1"/>
  <c r="P183" i="35" a="1"/>
  <c r="P183" i="35" s="1"/>
  <c r="U183" i="35"/>
  <c r="U26" i="35"/>
  <c r="R26" i="35"/>
  <c r="S26" i="35" s="1" a="1"/>
  <c r="S26" i="35" s="1"/>
  <c r="U122" i="35"/>
  <c r="R122" i="35"/>
  <c r="S122" i="35" s="1" a="1"/>
  <c r="S122" i="35" s="1"/>
  <c r="P122" i="35" a="1"/>
  <c r="P122" i="35" s="1"/>
  <c r="P187" i="35" a="1"/>
  <c r="P187" i="35" s="1"/>
  <c r="U187" i="35"/>
  <c r="R187" i="35"/>
  <c r="S187" i="35" s="1" a="1"/>
  <c r="S187" i="35" s="1"/>
  <c r="U100" i="35"/>
  <c r="U11" i="35"/>
  <c r="R11" i="35"/>
  <c r="S11" i="35" s="1" a="1"/>
  <c r="S11" i="35" s="1"/>
  <c r="P11" i="35" a="1"/>
  <c r="P11" i="35" s="1"/>
  <c r="R205" i="35"/>
  <c r="S205" i="35" s="1" a="1"/>
  <c r="S205" i="35" s="1"/>
  <c r="P205" i="35" a="1"/>
  <c r="P205" i="35" s="1"/>
  <c r="U205" i="35"/>
  <c r="U44" i="35"/>
  <c r="R44" i="35"/>
  <c r="S44" i="35" s="1" a="1"/>
  <c r="S44" i="35" s="1"/>
  <c r="P44" i="35" a="1"/>
  <c r="P44" i="35" s="1"/>
  <c r="R76" i="35"/>
  <c r="S76" i="35" s="1" a="1"/>
  <c r="S76" i="35" s="1"/>
  <c r="U76" i="35"/>
  <c r="U140" i="35"/>
  <c r="P140" i="35" a="1"/>
  <c r="P140" i="35" s="1"/>
  <c r="R140" i="35"/>
  <c r="S140" i="35" s="1" a="1"/>
  <c r="S140" i="35" s="1"/>
  <c r="P26" i="35" a="1"/>
  <c r="P26" i="35" s="1"/>
  <c r="P200" i="35" a="1"/>
  <c r="P200" i="35" s="1"/>
  <c r="U14" i="35"/>
  <c r="R14" i="35"/>
  <c r="S14" i="35" s="1" a="1"/>
  <c r="S14" i="35" s="1"/>
  <c r="P14" i="35" a="1"/>
  <c r="P14" i="35" s="1"/>
  <c r="P46" i="35" a="1"/>
  <c r="P46" i="35" s="1"/>
  <c r="U46" i="35"/>
  <c r="R46" i="35"/>
  <c r="S46" i="35" s="1" a="1"/>
  <c r="S46" i="35" s="1"/>
  <c r="U94" i="35"/>
  <c r="R94" i="35"/>
  <c r="S94" i="35" s="1" a="1"/>
  <c r="S94" i="35" s="1"/>
  <c r="P94" i="35" a="1"/>
  <c r="P94" i="35" s="1"/>
  <c r="R110" i="35"/>
  <c r="S110" i="35" s="1" a="1"/>
  <c r="S110" i="35" s="1"/>
  <c r="P110" i="35" a="1"/>
  <c r="P110" i="35" s="1"/>
  <c r="U110" i="35"/>
  <c r="U127" i="35"/>
  <c r="R127" i="35"/>
  <c r="S127" i="35" s="1" a="1"/>
  <c r="S127" i="35" s="1"/>
  <c r="P127" i="35" a="1"/>
  <c r="P127" i="35" s="1"/>
  <c r="U174" i="35"/>
  <c r="P174" i="35" a="1"/>
  <c r="P174" i="35" s="1"/>
  <c r="R174" i="35"/>
  <c r="S174" i="35" s="1" a="1"/>
  <c r="S174" i="35" s="1"/>
  <c r="R34" i="35"/>
  <c r="S34" i="35" s="1" a="1"/>
  <c r="S34" i="35" s="1"/>
  <c r="P34" i="35" a="1"/>
  <c r="P34" i="35" s="1"/>
  <c r="P147" i="35" a="1"/>
  <c r="P147" i="35" s="1"/>
  <c r="R147" i="35"/>
  <c r="S147" i="35" s="1" a="1"/>
  <c r="S147" i="35" s="1"/>
  <c r="U147" i="35"/>
  <c r="U195" i="35"/>
  <c r="P195" i="35" a="1"/>
  <c r="P195" i="35" s="1"/>
  <c r="U164" i="35"/>
  <c r="R164" i="35"/>
  <c r="S164" i="35" s="1" a="1"/>
  <c r="S164" i="35" s="1"/>
  <c r="P27" i="35" a="1"/>
  <c r="P27" i="35" s="1"/>
  <c r="U138" i="35"/>
  <c r="U190" i="35"/>
  <c r="R190" i="35"/>
  <c r="S190" i="35" s="1" a="1"/>
  <c r="S190" i="35" s="1"/>
  <c r="P190" i="35" a="1"/>
  <c r="P190" i="35" s="1"/>
  <c r="R105" i="35"/>
  <c r="S105" i="35" s="1" a="1"/>
  <c r="S105" i="35" s="1"/>
  <c r="P158" i="35" a="1"/>
  <c r="P158" i="35" s="1"/>
  <c r="U16" i="35"/>
  <c r="R16" i="35"/>
  <c r="S16" i="35" s="1" a="1"/>
  <c r="S16" i="35" s="1"/>
  <c r="R40" i="35"/>
  <c r="S40" i="35" s="1" a="1"/>
  <c r="S40" i="35" s="1"/>
  <c r="P40" i="35" a="1"/>
  <c r="P40" i="35" s="1"/>
  <c r="U153" i="35"/>
  <c r="R153" i="35"/>
  <c r="S153" i="35" s="1" a="1"/>
  <c r="S153" i="35" s="1"/>
  <c r="P153" i="35" a="1"/>
  <c r="P153" i="35" s="1"/>
  <c r="R27" i="35"/>
  <c r="S27" i="35" s="1" a="1"/>
  <c r="S27" i="35" s="1"/>
  <c r="U89" i="35"/>
  <c r="R89" i="35"/>
  <c r="S89" i="35" s="1" a="1"/>
  <c r="S89" i="35" s="1"/>
  <c r="U102" i="35"/>
  <c r="R102" i="35"/>
  <c r="S102" i="35" s="1" a="1"/>
  <c r="S102" i="35" s="1"/>
  <c r="U167" i="35"/>
  <c r="R167" i="35"/>
  <c r="S167" i="35" s="1" a="1"/>
  <c r="S167" i="35" s="1"/>
  <c r="U191" i="35"/>
  <c r="P191" i="35" a="1"/>
  <c r="P191" i="35" s="1"/>
  <c r="R191" i="35"/>
  <c r="S191" i="35" s="1" a="1"/>
  <c r="S191" i="35" s="1"/>
  <c r="R51" i="35"/>
  <c r="S51" i="35" s="1" a="1"/>
  <c r="S51" i="35" s="1"/>
  <c r="R139" i="35"/>
  <c r="S139" i="35" s="1" a="1"/>
  <c r="S139" i="35" s="1"/>
  <c r="R158" i="35"/>
  <c r="S158" i="35" s="1" a="1"/>
  <c r="S158" i="35" s="1"/>
  <c r="U103" i="35"/>
  <c r="R103" i="35"/>
  <c r="S103" i="35" s="1" a="1"/>
  <c r="S103" i="35" s="1"/>
  <c r="P103" i="35" a="1"/>
  <c r="P103" i="35" s="1"/>
  <c r="R168" i="35"/>
  <c r="S168" i="35" s="1" a="1"/>
  <c r="S168" i="35" s="1"/>
  <c r="P168" i="35" a="1"/>
  <c r="P168" i="35" s="1"/>
  <c r="R134" i="35"/>
  <c r="S134" i="35" s="1" a="1"/>
  <c r="S134" i="35" s="1"/>
  <c r="U139" i="35"/>
  <c r="U142" i="35"/>
  <c r="R142" i="35"/>
  <c r="S142" i="35" s="1" a="1"/>
  <c r="S142" i="35" s="1"/>
  <c r="U168" i="35"/>
  <c r="U91" i="35"/>
  <c r="R91" i="35"/>
  <c r="S91" i="35" s="1" a="1"/>
  <c r="S91" i="35" s="1"/>
  <c r="P91" i="35" a="1"/>
  <c r="P91" i="35" s="1"/>
  <c r="U156" i="35"/>
  <c r="R156" i="35"/>
  <c r="S156" i="35" s="1" a="1"/>
  <c r="S156" i="35" s="1"/>
  <c r="P156" i="35" a="1"/>
  <c r="P156" i="35" s="1"/>
  <c r="R169" i="35"/>
  <c r="S169" i="35" s="1" a="1"/>
  <c r="S169" i="35" s="1"/>
  <c r="P169" i="35" a="1"/>
  <c r="P169" i="35" s="1"/>
  <c r="U169" i="35"/>
  <c r="P15" i="35" a="1"/>
  <c r="P15" i="35" s="1"/>
  <c r="U40" i="35"/>
  <c r="P202" i="35" a="1"/>
  <c r="P202" i="35" s="1"/>
  <c r="U78" i="35"/>
  <c r="R78" i="35"/>
  <c r="S78" i="35" s="1" a="1"/>
  <c r="S78" i="35" s="1"/>
  <c r="P78" i="35" a="1"/>
  <c r="P78" i="35" s="1"/>
  <c r="R144" i="35"/>
  <c r="S144" i="35" s="1" a="1"/>
  <c r="S144" i="35" s="1"/>
  <c r="U144" i="35"/>
  <c r="P144" i="35" a="1"/>
  <c r="P144" i="35" s="1"/>
  <c r="U113" i="35"/>
  <c r="R113" i="35"/>
  <c r="S113" i="35" s="1" a="1"/>
  <c r="S113" i="35" s="1"/>
  <c r="P74" i="35" a="1"/>
  <c r="P74" i="35" s="1"/>
  <c r="U74" i="35"/>
  <c r="R74" i="35"/>
  <c r="S74" i="35" s="1" a="1"/>
  <c r="S74" i="35" s="1"/>
  <c r="P20" i="35" a="1"/>
  <c r="P20" i="35" s="1"/>
  <c r="U20" i="35"/>
  <c r="R20" i="35"/>
  <c r="S20" i="35" s="1" a="1"/>
  <c r="S20" i="35" s="1"/>
  <c r="R43" i="35"/>
  <c r="S43" i="35" s="1" a="1"/>
  <c r="S43" i="35" s="1"/>
  <c r="U43" i="35"/>
  <c r="P43" i="35" a="1"/>
  <c r="P43" i="35" s="1"/>
  <c r="R207" i="35"/>
  <c r="S207" i="35" s="1" a="1"/>
  <c r="S207" i="35" s="1"/>
  <c r="U207" i="35"/>
  <c r="P207" i="35" a="1"/>
  <c r="P207" i="35" s="1"/>
  <c r="R79" i="35"/>
  <c r="S79" i="35" s="1" a="1"/>
  <c r="S79" i="35" s="1"/>
  <c r="P88" i="35" a="1"/>
  <c r="P88" i="35" s="1"/>
  <c r="R93" i="35"/>
  <c r="S93" i="35" s="1" a="1"/>
  <c r="S93" i="35" s="1"/>
  <c r="U133" i="35"/>
  <c r="R133" i="35"/>
  <c r="S133" i="35" s="1" a="1"/>
  <c r="S133" i="35" s="1"/>
  <c r="U93" i="35"/>
  <c r="R95" i="35"/>
  <c r="S95" i="35" s="1" a="1"/>
  <c r="S95" i="35" s="1"/>
  <c r="P95" i="35" a="1"/>
  <c r="P95" i="35" s="1"/>
  <c r="U148" i="35"/>
  <c r="P148" i="35" a="1"/>
  <c r="P148" i="35" s="1"/>
  <c r="R148" i="35"/>
  <c r="S148" i="35" s="1" a="1"/>
  <c r="S148" i="35" s="1"/>
  <c r="U197" i="35"/>
  <c r="R197" i="35"/>
  <c r="S197" i="35" s="1" a="1"/>
  <c r="S197" i="35" s="1"/>
  <c r="P113" i="35" a="1"/>
  <c r="P113" i="35" s="1"/>
  <c r="U170" i="35"/>
  <c r="R66" i="35"/>
  <c r="S66" i="35" s="1" a="1"/>
  <c r="S66" i="35" s="1"/>
  <c r="U66" i="35"/>
  <c r="U131" i="35"/>
  <c r="R131" i="35"/>
  <c r="S131" i="35" s="1" a="1"/>
  <c r="S131" i="35" s="1"/>
  <c r="P131" i="35" a="1"/>
  <c r="P131" i="35" s="1"/>
  <c r="R145" i="35"/>
  <c r="S145" i="35" s="1" a="1"/>
  <c r="S145" i="35" s="1"/>
  <c r="R202" i="35"/>
  <c r="S202" i="35" s="1" a="1"/>
  <c r="S202" i="35" s="1"/>
  <c r="U106" i="35"/>
  <c r="R106" i="35"/>
  <c r="S106" i="35" s="1" a="1"/>
  <c r="S106" i="35" s="1"/>
  <c r="P106" i="35" a="1"/>
  <c r="P106" i="35" s="1"/>
  <c r="R107" i="35"/>
  <c r="S107" i="35" s="1" a="1"/>
  <c r="S107" i="35" s="1"/>
  <c r="U107" i="35"/>
  <c r="R120" i="35"/>
  <c r="S120" i="35" s="1" a="1"/>
  <c r="S120" i="35" s="1"/>
  <c r="P120" i="35" a="1"/>
  <c r="P120" i="35" s="1"/>
  <c r="U120" i="35"/>
  <c r="R209" i="35"/>
  <c r="S209" i="35" s="1" a="1"/>
  <c r="S209" i="35" s="1"/>
  <c r="P209" i="35" a="1"/>
  <c r="P209" i="35" s="1"/>
  <c r="P16" i="35" a="1"/>
  <c r="P16" i="35" s="1"/>
  <c r="P62" i="35" a="1"/>
  <c r="P62" i="35" s="1"/>
  <c r="R88" i="35"/>
  <c r="S88" i="35" s="1" a="1"/>
  <c r="S88" i="35" s="1"/>
  <c r="P170" i="35" a="1"/>
  <c r="P170" i="35" s="1"/>
  <c r="R62" i="35"/>
  <c r="S62" i="35" s="1" a="1"/>
  <c r="S62" i="35" s="1"/>
  <c r="R82" i="35"/>
  <c r="S82" i="35" s="1" a="1"/>
  <c r="S82" i="35" s="1"/>
  <c r="P82" i="35" a="1"/>
  <c r="P82" i="35" s="1"/>
  <c r="U70" i="35"/>
  <c r="R70" i="35"/>
  <c r="S70" i="35" s="1" a="1"/>
  <c r="S70" i="35" s="1"/>
  <c r="R135" i="35"/>
  <c r="S135" i="35" s="1" a="1"/>
  <c r="S135" i="35" s="1"/>
  <c r="P135" i="35" a="1"/>
  <c r="P135" i="35" s="1"/>
  <c r="U211" i="35"/>
  <c r="R211" i="35"/>
  <c r="S211" i="35" s="1" a="1"/>
  <c r="S211" i="35" s="1"/>
  <c r="R84" i="35"/>
  <c r="S84" i="35" s="1" a="1"/>
  <c r="S84" i="35" s="1"/>
  <c r="P84" i="35" a="1"/>
  <c r="P84" i="35" s="1"/>
  <c r="U149" i="35"/>
  <c r="R149" i="35"/>
  <c r="S149" i="35" s="1" a="1"/>
  <c r="S149" i="35" s="1"/>
  <c r="U212" i="35"/>
  <c r="P212" i="35" a="1"/>
  <c r="P212" i="35" s="1"/>
  <c r="P54" i="35" a="1"/>
  <c r="P54" i="35" s="1"/>
  <c r="P89" i="35" a="1"/>
  <c r="P89" i="35" s="1"/>
  <c r="R132" i="35"/>
  <c r="S132" i="35" s="1" a="1"/>
  <c r="S132" i="35" s="1"/>
  <c r="P142" i="35" a="1"/>
  <c r="P142" i="35" s="1"/>
  <c r="U209" i="35"/>
  <c r="U123" i="35"/>
  <c r="R123" i="35"/>
  <c r="S123" i="35" s="1" a="1"/>
  <c r="S123" i="35" s="1"/>
  <c r="P123" i="35" a="1"/>
  <c r="P123" i="35" s="1"/>
  <c r="U186" i="35"/>
  <c r="R186" i="35"/>
  <c r="S186" i="35" s="1" a="1"/>
  <c r="S186" i="35" s="1"/>
  <c r="P186" i="35" a="1"/>
  <c r="P186" i="35" s="1"/>
  <c r="R199" i="35"/>
  <c r="S199" i="35" s="1" a="1"/>
  <c r="S199" i="35" s="1"/>
  <c r="P199" i="35" a="1"/>
  <c r="P199" i="35" s="1"/>
  <c r="U199" i="35"/>
  <c r="U213" i="35"/>
  <c r="P213" i="35" a="1"/>
  <c r="P213" i="35" s="1"/>
  <c r="R154" i="35"/>
  <c r="S154" i="35" s="1" a="1"/>
  <c r="S154" i="35" s="1"/>
  <c r="P154" i="35" a="1"/>
  <c r="P154" i="35" s="1"/>
  <c r="U60" i="35"/>
  <c r="R60" i="35"/>
  <c r="S60" i="35" s="1" a="1"/>
  <c r="S60" i="35" s="1"/>
  <c r="P178" i="35" a="1"/>
  <c r="P178" i="35" s="1"/>
  <c r="R179" i="35"/>
  <c r="S179" i="35" s="1" a="1"/>
  <c r="S179" i="35" s="1"/>
  <c r="P179" i="35" a="1"/>
  <c r="P179" i="35" s="1"/>
  <c r="P6" i="35" a="1"/>
  <c r="P6" i="35" s="1"/>
  <c r="R6" i="35"/>
  <c r="S6" i="35" s="1" a="1"/>
  <c r="S6" i="35" s="1"/>
  <c r="U6" i="35"/>
  <c r="AE8" i="3" l="1" a="1"/>
  <c r="AE8" i="3" s="1"/>
  <c r="X582" i="34" l="1" a="1"/>
  <c r="X582" i="34" s="1"/>
  <c r="W582" i="34" a="1"/>
  <c r="W582" i="34" s="1"/>
  <c r="AB582" i="34" s="1"/>
  <c r="X581" i="34" a="1"/>
  <c r="X581" i="34" s="1"/>
  <c r="W581" i="34" a="1"/>
  <c r="W581" i="34" s="1"/>
  <c r="AB581" i="34" s="1"/>
  <c r="X580" i="34" a="1"/>
  <c r="X580" i="34" s="1"/>
  <c r="W580" i="34" a="1"/>
  <c r="W580" i="34" s="1"/>
  <c r="AB580" i="34" s="1"/>
  <c r="X579" i="34" a="1"/>
  <c r="X579" i="34" s="1"/>
  <c r="W579" i="34" a="1"/>
  <c r="W579" i="34" s="1"/>
  <c r="AB579" i="34" s="1"/>
  <c r="X578" i="34" a="1"/>
  <c r="X578" i="34" s="1"/>
  <c r="W578" i="34" a="1"/>
  <c r="W578" i="34" s="1"/>
  <c r="AB578" i="34" s="1"/>
  <c r="X577" i="34" a="1"/>
  <c r="X577" i="34" s="1"/>
  <c r="W577" i="34" a="1"/>
  <c r="W577" i="34" s="1"/>
  <c r="AB577" i="34" s="1"/>
  <c r="X576" i="34" a="1"/>
  <c r="X576" i="34" s="1"/>
  <c r="W576" i="34" a="1"/>
  <c r="W576" i="34" s="1"/>
  <c r="AB576" i="34" s="1"/>
  <c r="X575" i="34" a="1"/>
  <c r="X575" i="34" s="1"/>
  <c r="W575" i="34" a="1"/>
  <c r="W575" i="34" s="1"/>
  <c r="AB575" i="34" s="1"/>
  <c r="X574" i="34" a="1"/>
  <c r="X574" i="34" s="1"/>
  <c r="W574" i="34" a="1"/>
  <c r="W574" i="34" s="1"/>
  <c r="AB574" i="34" s="1"/>
  <c r="X573" i="34" a="1"/>
  <c r="X573" i="34" s="1"/>
  <c r="W573" i="34" a="1"/>
  <c r="W573" i="34" s="1"/>
  <c r="AB573" i="34" s="1"/>
  <c r="X572" i="34" a="1"/>
  <c r="X572" i="34" s="1"/>
  <c r="W572" i="34" a="1"/>
  <c r="W572" i="34" s="1"/>
  <c r="AB572" i="34" s="1"/>
  <c r="X571" i="34" a="1"/>
  <c r="X571" i="34" s="1"/>
  <c r="W571" i="34" a="1"/>
  <c r="W571" i="34" s="1"/>
  <c r="AB571" i="34" s="1"/>
  <c r="X570" i="34" a="1"/>
  <c r="X570" i="34" s="1"/>
  <c r="W570" i="34" a="1"/>
  <c r="W570" i="34" s="1"/>
  <c r="AB570" i="34" s="1"/>
  <c r="X569" i="34" a="1"/>
  <c r="X569" i="34" s="1"/>
  <c r="W569" i="34" a="1"/>
  <c r="W569" i="34" s="1"/>
  <c r="AB569" i="34" s="1"/>
  <c r="X568" i="34" a="1"/>
  <c r="X568" i="34" s="1"/>
  <c r="W568" i="34" a="1"/>
  <c r="W568" i="34" s="1"/>
  <c r="AB568" i="34" s="1"/>
  <c r="X567" i="34" a="1"/>
  <c r="X567" i="34" s="1"/>
  <c r="W567" i="34" a="1"/>
  <c r="W567" i="34" s="1"/>
  <c r="AB567" i="34" s="1"/>
  <c r="X566" i="34" a="1"/>
  <c r="X566" i="34" s="1"/>
  <c r="W566" i="34" a="1"/>
  <c r="W566" i="34" s="1"/>
  <c r="AB566" i="34" s="1"/>
  <c r="X565" i="34" a="1"/>
  <c r="X565" i="34" s="1"/>
  <c r="W565" i="34" a="1"/>
  <c r="W565" i="34" s="1"/>
  <c r="AB565" i="34" s="1"/>
  <c r="X564" i="34" a="1"/>
  <c r="X564" i="34" s="1"/>
  <c r="W564" i="34" a="1"/>
  <c r="W564" i="34" s="1"/>
  <c r="AB564" i="34" s="1"/>
  <c r="X563" i="34" a="1"/>
  <c r="X563" i="34" s="1"/>
  <c r="W563" i="34" a="1"/>
  <c r="W563" i="34" s="1"/>
  <c r="AB563" i="34" s="1"/>
  <c r="X562" i="34" a="1"/>
  <c r="X562" i="34" s="1"/>
  <c r="W562" i="34" a="1"/>
  <c r="W562" i="34" s="1"/>
  <c r="AB562" i="34" s="1"/>
  <c r="X561" i="34" a="1"/>
  <c r="X561" i="34" s="1"/>
  <c r="W561" i="34" a="1"/>
  <c r="W561" i="34" s="1"/>
  <c r="AB561" i="34" s="1"/>
  <c r="X560" i="34" a="1"/>
  <c r="X560" i="34" s="1"/>
  <c r="W560" i="34" a="1"/>
  <c r="W560" i="34" s="1"/>
  <c r="AB560" i="34" s="1"/>
  <c r="X559" i="34" a="1"/>
  <c r="X559" i="34" s="1"/>
  <c r="W559" i="34" a="1"/>
  <c r="W559" i="34" s="1"/>
  <c r="AB559" i="34" s="1"/>
  <c r="X558" i="34" a="1"/>
  <c r="X558" i="34" s="1"/>
  <c r="W558" i="34" a="1"/>
  <c r="W558" i="34" s="1"/>
  <c r="AB558" i="34" s="1"/>
  <c r="X557" i="34" a="1"/>
  <c r="X557" i="34" s="1"/>
  <c r="W557" i="34" a="1"/>
  <c r="W557" i="34" s="1"/>
  <c r="AB557" i="34" s="1"/>
  <c r="X556" i="34" a="1"/>
  <c r="X556" i="34" s="1"/>
  <c r="W556" i="34" a="1"/>
  <c r="W556" i="34" s="1"/>
  <c r="AB556" i="34" s="1"/>
  <c r="X555" i="34" a="1"/>
  <c r="X555" i="34" s="1"/>
  <c r="W555" i="34" a="1"/>
  <c r="W555" i="34" s="1"/>
  <c r="AB555" i="34" s="1"/>
  <c r="X554" i="34" a="1"/>
  <c r="X554" i="34" s="1"/>
  <c r="W554" i="34" a="1"/>
  <c r="W554" i="34" s="1"/>
  <c r="AB554" i="34" s="1"/>
  <c r="X553" i="34" a="1"/>
  <c r="X553" i="34" s="1"/>
  <c r="W553" i="34" a="1"/>
  <c r="W553" i="34" s="1"/>
  <c r="AB553" i="34" s="1"/>
  <c r="X552" i="34" a="1"/>
  <c r="X552" i="34" s="1"/>
  <c r="W552" i="34" a="1"/>
  <c r="W552" i="34" s="1"/>
  <c r="AB552" i="34" s="1"/>
  <c r="X551" i="34" a="1"/>
  <c r="X551" i="34" s="1"/>
  <c r="W551" i="34" a="1"/>
  <c r="W551" i="34" s="1"/>
  <c r="AB551" i="34" s="1"/>
  <c r="X550" i="34" a="1"/>
  <c r="X550" i="34" s="1"/>
  <c r="W550" i="34" a="1"/>
  <c r="W550" i="34" s="1"/>
  <c r="AB550" i="34" s="1"/>
  <c r="X549" i="34" a="1"/>
  <c r="X549" i="34" s="1"/>
  <c r="W549" i="34" a="1"/>
  <c r="W549" i="34" s="1"/>
  <c r="AB549" i="34" s="1"/>
  <c r="X548" i="34" a="1"/>
  <c r="X548" i="34" s="1"/>
  <c r="W548" i="34" a="1"/>
  <c r="W548" i="34" s="1"/>
  <c r="AB548" i="34" s="1"/>
  <c r="X547" i="34" a="1"/>
  <c r="X547" i="34" s="1"/>
  <c r="W547" i="34" a="1"/>
  <c r="W547" i="34" s="1"/>
  <c r="AB547" i="34" s="1"/>
  <c r="X546" i="34" a="1"/>
  <c r="X546" i="34" s="1"/>
  <c r="W546" i="34" a="1"/>
  <c r="W546" i="34" s="1"/>
  <c r="AB546" i="34" s="1"/>
  <c r="X545" i="34" a="1"/>
  <c r="X545" i="34" s="1"/>
  <c r="W545" i="34" a="1"/>
  <c r="W545" i="34" s="1"/>
  <c r="AB545" i="34" s="1"/>
  <c r="X544" i="34" a="1"/>
  <c r="X544" i="34" s="1"/>
  <c r="W544" i="34" a="1"/>
  <c r="W544" i="34" s="1"/>
  <c r="AB544" i="34" s="1"/>
  <c r="X543" i="34" a="1"/>
  <c r="X543" i="34" s="1"/>
  <c r="W543" i="34" a="1"/>
  <c r="W543" i="34" s="1"/>
  <c r="AB543" i="34" s="1"/>
  <c r="X542" i="34" a="1"/>
  <c r="X542" i="34" s="1"/>
  <c r="W542" i="34" a="1"/>
  <c r="W542" i="34" s="1"/>
  <c r="AB542" i="34" s="1"/>
  <c r="X541" i="34" a="1"/>
  <c r="X541" i="34" s="1"/>
  <c r="W541" i="34" a="1"/>
  <c r="W541" i="34" s="1"/>
  <c r="AB541" i="34" s="1"/>
  <c r="X540" i="34" a="1"/>
  <c r="X540" i="34" s="1"/>
  <c r="W540" i="34" a="1"/>
  <c r="W540" i="34" s="1"/>
  <c r="AB540" i="34" s="1"/>
  <c r="X539" i="34" a="1"/>
  <c r="X539" i="34" s="1"/>
  <c r="W539" i="34" a="1"/>
  <c r="W539" i="34" s="1"/>
  <c r="AB539" i="34" s="1"/>
  <c r="X538" i="34" a="1"/>
  <c r="X538" i="34" s="1"/>
  <c r="W538" i="34" a="1"/>
  <c r="W538" i="34" s="1"/>
  <c r="AB538" i="34" s="1"/>
  <c r="X537" i="34" a="1"/>
  <c r="X537" i="34" s="1"/>
  <c r="W537" i="34" a="1"/>
  <c r="W537" i="34" s="1"/>
  <c r="AB537" i="34" s="1"/>
  <c r="X536" i="34" a="1"/>
  <c r="X536" i="34" s="1"/>
  <c r="W536" i="34" a="1"/>
  <c r="W536" i="34" s="1"/>
  <c r="AB536" i="34" s="1"/>
  <c r="X535" i="34" a="1"/>
  <c r="X535" i="34" s="1"/>
  <c r="W535" i="34" a="1"/>
  <c r="W535" i="34" s="1"/>
  <c r="AB535" i="34" s="1"/>
  <c r="X534" i="34" a="1"/>
  <c r="X534" i="34" s="1"/>
  <c r="W534" i="34" a="1"/>
  <c r="W534" i="34" s="1"/>
  <c r="AB534" i="34" s="1"/>
  <c r="X533" i="34" a="1"/>
  <c r="X533" i="34" s="1"/>
  <c r="W533" i="34" a="1"/>
  <c r="W533" i="34" s="1"/>
  <c r="AB533" i="34" s="1"/>
  <c r="X532" i="34" a="1"/>
  <c r="X532" i="34" s="1"/>
  <c r="W532" i="34" a="1"/>
  <c r="W532" i="34" s="1"/>
  <c r="AB532" i="34" s="1"/>
  <c r="X531" i="34" a="1"/>
  <c r="X531" i="34" s="1"/>
  <c r="W531" i="34" a="1"/>
  <c r="W531" i="34" s="1"/>
  <c r="AB531" i="34" s="1"/>
  <c r="X530" i="34" a="1"/>
  <c r="X530" i="34" s="1"/>
  <c r="W530" i="34" a="1"/>
  <c r="W530" i="34" s="1"/>
  <c r="AB530" i="34" s="1"/>
  <c r="X529" i="34" a="1"/>
  <c r="X529" i="34" s="1"/>
  <c r="W529" i="34" a="1"/>
  <c r="W529" i="34" s="1"/>
  <c r="AB529" i="34" s="1"/>
  <c r="X528" i="34" a="1"/>
  <c r="X528" i="34" s="1"/>
  <c r="W528" i="34" a="1"/>
  <c r="W528" i="34" s="1"/>
  <c r="AB528" i="34" s="1"/>
  <c r="X527" i="34" a="1"/>
  <c r="X527" i="34" s="1"/>
  <c r="W527" i="34" a="1"/>
  <c r="W527" i="34" s="1"/>
  <c r="AB527" i="34" s="1"/>
  <c r="X526" i="34" a="1"/>
  <c r="X526" i="34" s="1"/>
  <c r="W526" i="34" a="1"/>
  <c r="W526" i="34" s="1"/>
  <c r="AB526" i="34" s="1"/>
  <c r="X525" i="34" a="1"/>
  <c r="X525" i="34" s="1"/>
  <c r="W525" i="34" a="1"/>
  <c r="W525" i="34" s="1"/>
  <c r="AB525" i="34" s="1"/>
  <c r="X524" i="34" a="1"/>
  <c r="X524" i="34" s="1"/>
  <c r="W524" i="34" a="1"/>
  <c r="W524" i="34" s="1"/>
  <c r="AB524" i="34" s="1"/>
  <c r="X523" i="34" a="1"/>
  <c r="X523" i="34" s="1"/>
  <c r="W523" i="34" a="1"/>
  <c r="W523" i="34" s="1"/>
  <c r="AB523" i="34" s="1"/>
  <c r="X522" i="34" a="1"/>
  <c r="X522" i="34" s="1"/>
  <c r="W522" i="34" a="1"/>
  <c r="W522" i="34" s="1"/>
  <c r="AB522" i="34" s="1"/>
  <c r="X521" i="34" a="1"/>
  <c r="X521" i="34" s="1"/>
  <c r="W521" i="34" a="1"/>
  <c r="W521" i="34" s="1"/>
  <c r="AB521" i="34" s="1"/>
  <c r="X520" i="34" a="1"/>
  <c r="X520" i="34" s="1"/>
  <c r="W520" i="34" a="1"/>
  <c r="W520" i="34" s="1"/>
  <c r="AB520" i="34" s="1"/>
  <c r="X519" i="34" a="1"/>
  <c r="X519" i="34" s="1"/>
  <c r="W519" i="34" a="1"/>
  <c r="W519" i="34" s="1"/>
  <c r="AB519" i="34" s="1"/>
  <c r="X518" i="34" a="1"/>
  <c r="X518" i="34" s="1"/>
  <c r="W518" i="34" a="1"/>
  <c r="W518" i="34" s="1"/>
  <c r="AB518" i="34" s="1"/>
  <c r="X517" i="34" a="1"/>
  <c r="X517" i="34" s="1"/>
  <c r="W517" i="34" a="1"/>
  <c r="W517" i="34" s="1"/>
  <c r="AB517" i="34" s="1"/>
  <c r="X516" i="34" a="1"/>
  <c r="X516" i="34" s="1"/>
  <c r="W516" i="34" a="1"/>
  <c r="W516" i="34" s="1"/>
  <c r="AB516" i="34" s="1"/>
  <c r="X515" i="34" a="1"/>
  <c r="X515" i="34" s="1"/>
  <c r="W515" i="34" a="1"/>
  <c r="W515" i="34" s="1"/>
  <c r="AB515" i="34" s="1"/>
  <c r="X514" i="34" a="1"/>
  <c r="X514" i="34" s="1"/>
  <c r="W514" i="34" a="1"/>
  <c r="W514" i="34" s="1"/>
  <c r="AB514" i="34" s="1"/>
  <c r="X513" i="34" a="1"/>
  <c r="X513" i="34" s="1"/>
  <c r="W513" i="34" a="1"/>
  <c r="W513" i="34" s="1"/>
  <c r="AB513" i="34" s="1"/>
  <c r="X512" i="34" a="1"/>
  <c r="X512" i="34" s="1"/>
  <c r="W512" i="34" a="1"/>
  <c r="W512" i="34" s="1"/>
  <c r="AB512" i="34" s="1"/>
  <c r="X511" i="34" a="1"/>
  <c r="X511" i="34" s="1"/>
  <c r="W511" i="34" a="1"/>
  <c r="W511" i="34" s="1"/>
  <c r="AB511" i="34" s="1"/>
  <c r="X510" i="34" a="1"/>
  <c r="X510" i="34" s="1"/>
  <c r="W510" i="34" a="1"/>
  <c r="W510" i="34" s="1"/>
  <c r="AB510" i="34" s="1"/>
  <c r="X509" i="34" a="1"/>
  <c r="X509" i="34" s="1"/>
  <c r="W509" i="34" a="1"/>
  <c r="W509" i="34" s="1"/>
  <c r="AB509" i="34" s="1"/>
  <c r="X508" i="34" a="1"/>
  <c r="X508" i="34" s="1"/>
  <c r="W508" i="34" a="1"/>
  <c r="W508" i="34" s="1"/>
  <c r="AB508" i="34" s="1"/>
  <c r="X507" i="34" a="1"/>
  <c r="X507" i="34" s="1"/>
  <c r="W507" i="34" a="1"/>
  <c r="W507" i="34" s="1"/>
  <c r="AB507" i="34" s="1"/>
  <c r="X506" i="34" a="1"/>
  <c r="X506" i="34" s="1"/>
  <c r="W506" i="34" a="1"/>
  <c r="W506" i="34" s="1"/>
  <c r="AB506" i="34" s="1"/>
  <c r="X505" i="34" a="1"/>
  <c r="X505" i="34" s="1"/>
  <c r="W505" i="34" a="1"/>
  <c r="W505" i="34" s="1"/>
  <c r="AB505" i="34" s="1"/>
  <c r="X504" i="34" a="1"/>
  <c r="X504" i="34" s="1"/>
  <c r="W504" i="34" a="1"/>
  <c r="W504" i="34" s="1"/>
  <c r="AB504" i="34" s="1"/>
  <c r="X503" i="34" a="1"/>
  <c r="X503" i="34" s="1"/>
  <c r="W503" i="34" a="1"/>
  <c r="W503" i="34" s="1"/>
  <c r="AB503" i="34" s="1"/>
  <c r="X502" i="34" a="1"/>
  <c r="X502" i="34" s="1"/>
  <c r="W502" i="34" a="1"/>
  <c r="W502" i="34" s="1"/>
  <c r="AB502" i="34" s="1"/>
  <c r="X501" i="34" a="1"/>
  <c r="X501" i="34" s="1"/>
  <c r="W501" i="34" a="1"/>
  <c r="W501" i="34" s="1"/>
  <c r="AB501" i="34" s="1"/>
  <c r="X500" i="34" a="1"/>
  <c r="X500" i="34" s="1"/>
  <c r="W500" i="34" a="1"/>
  <c r="W500" i="34" s="1"/>
  <c r="AB500" i="34" s="1"/>
  <c r="X499" i="34" a="1"/>
  <c r="X499" i="34" s="1"/>
  <c r="W499" i="34" a="1"/>
  <c r="W499" i="34" s="1"/>
  <c r="AB499" i="34" s="1"/>
  <c r="X498" i="34" a="1"/>
  <c r="X498" i="34" s="1"/>
  <c r="W498" i="34" a="1"/>
  <c r="W498" i="34" s="1"/>
  <c r="AB498" i="34" s="1"/>
  <c r="X497" i="34" a="1"/>
  <c r="X497" i="34" s="1"/>
  <c r="W497" i="34" a="1"/>
  <c r="W497" i="34" s="1"/>
  <c r="AB497" i="34" s="1"/>
  <c r="X496" i="34" a="1"/>
  <c r="X496" i="34" s="1"/>
  <c r="W496" i="34" a="1"/>
  <c r="W496" i="34" s="1"/>
  <c r="AB496" i="34" s="1"/>
  <c r="X495" i="34" a="1"/>
  <c r="X495" i="34" s="1"/>
  <c r="W495" i="34" a="1"/>
  <c r="W495" i="34" s="1"/>
  <c r="AB495" i="34" s="1"/>
  <c r="X494" i="34" a="1"/>
  <c r="X494" i="34" s="1"/>
  <c r="W494" i="34" a="1"/>
  <c r="W494" i="34" s="1"/>
  <c r="AB494" i="34" s="1"/>
  <c r="X493" i="34" a="1"/>
  <c r="X493" i="34" s="1"/>
  <c r="W493" i="34" a="1"/>
  <c r="W493" i="34" s="1"/>
  <c r="AB493" i="34" s="1"/>
  <c r="X492" i="34" a="1"/>
  <c r="X492" i="34" s="1"/>
  <c r="W492" i="34" a="1"/>
  <c r="W492" i="34" s="1"/>
  <c r="AB492" i="34" s="1"/>
  <c r="X491" i="34" a="1"/>
  <c r="X491" i="34" s="1"/>
  <c r="W491" i="34" a="1"/>
  <c r="W491" i="34" s="1"/>
  <c r="AB491" i="34" s="1"/>
  <c r="X490" i="34" a="1"/>
  <c r="X490" i="34" s="1"/>
  <c r="W490" i="34" a="1"/>
  <c r="W490" i="34" s="1"/>
  <c r="AB490" i="34" s="1"/>
  <c r="X489" i="34" a="1"/>
  <c r="X489" i="34" s="1"/>
  <c r="W489" i="34" a="1"/>
  <c r="W489" i="34" s="1"/>
  <c r="AB489" i="34" s="1"/>
  <c r="X488" i="34" a="1"/>
  <c r="X488" i="34" s="1"/>
  <c r="W488" i="34" a="1"/>
  <c r="W488" i="34" s="1"/>
  <c r="AB488" i="34" s="1"/>
  <c r="X487" i="34" a="1"/>
  <c r="X487" i="34" s="1"/>
  <c r="W487" i="34" a="1"/>
  <c r="W487" i="34" s="1"/>
  <c r="AB487" i="34" s="1"/>
  <c r="X486" i="34" a="1"/>
  <c r="X486" i="34" s="1"/>
  <c r="W486" i="34" a="1"/>
  <c r="W486" i="34" s="1"/>
  <c r="AB486" i="34" s="1"/>
  <c r="X485" i="34" a="1"/>
  <c r="X485" i="34" s="1"/>
  <c r="W485" i="34" a="1"/>
  <c r="W485" i="34" s="1"/>
  <c r="AB485" i="34" s="1"/>
  <c r="X484" i="34" a="1"/>
  <c r="X484" i="34" s="1"/>
  <c r="W484" i="34" a="1"/>
  <c r="W484" i="34" s="1"/>
  <c r="AB484" i="34" s="1"/>
  <c r="X483" i="34" a="1"/>
  <c r="X483" i="34" s="1"/>
  <c r="W483" i="34" a="1"/>
  <c r="W483" i="34" s="1"/>
  <c r="AB483" i="34" s="1"/>
  <c r="X482" i="34" a="1"/>
  <c r="X482" i="34" s="1"/>
  <c r="W482" i="34" a="1"/>
  <c r="W482" i="34" s="1"/>
  <c r="AB482" i="34" s="1"/>
  <c r="X481" i="34" a="1"/>
  <c r="X481" i="34" s="1"/>
  <c r="W481" i="34" a="1"/>
  <c r="W481" i="34" s="1"/>
  <c r="AB481" i="34" s="1"/>
  <c r="X480" i="34" a="1"/>
  <c r="X480" i="34" s="1"/>
  <c r="W480" i="34" a="1"/>
  <c r="W480" i="34" s="1"/>
  <c r="AB480" i="34" s="1"/>
  <c r="X479" i="34" a="1"/>
  <c r="X479" i="34" s="1"/>
  <c r="W479" i="34" a="1"/>
  <c r="W479" i="34" s="1"/>
  <c r="AB479" i="34" s="1"/>
  <c r="X478" i="34" a="1"/>
  <c r="X478" i="34" s="1"/>
  <c r="W478" i="34" a="1"/>
  <c r="W478" i="34" s="1"/>
  <c r="AB478" i="34" s="1"/>
  <c r="X477" i="34" a="1"/>
  <c r="X477" i="34" s="1"/>
  <c r="W477" i="34" a="1"/>
  <c r="W477" i="34" s="1"/>
  <c r="AB477" i="34" s="1"/>
  <c r="X476" i="34" a="1"/>
  <c r="X476" i="34" s="1"/>
  <c r="W476" i="34" a="1"/>
  <c r="W476" i="34" s="1"/>
  <c r="AB476" i="34" s="1"/>
  <c r="X475" i="34" a="1"/>
  <c r="X475" i="34" s="1"/>
  <c r="W475" i="34" a="1"/>
  <c r="W475" i="34" s="1"/>
  <c r="AB475" i="34" s="1"/>
  <c r="X474" i="34" a="1"/>
  <c r="X474" i="34" s="1"/>
  <c r="W474" i="34" a="1"/>
  <c r="W474" i="34" s="1"/>
  <c r="AB474" i="34" s="1"/>
  <c r="X473" i="34" a="1"/>
  <c r="X473" i="34" s="1"/>
  <c r="W473" i="34" a="1"/>
  <c r="W473" i="34" s="1"/>
  <c r="AB473" i="34" s="1"/>
  <c r="X472" i="34" a="1"/>
  <c r="X472" i="34" s="1"/>
  <c r="W472" i="34" a="1"/>
  <c r="W472" i="34" s="1"/>
  <c r="AB472" i="34" s="1"/>
  <c r="X471" i="34" a="1"/>
  <c r="X471" i="34" s="1"/>
  <c r="W471" i="34" a="1"/>
  <c r="W471" i="34" s="1"/>
  <c r="AB471" i="34" s="1"/>
  <c r="X470" i="34" a="1"/>
  <c r="X470" i="34" s="1"/>
  <c r="W470" i="34" a="1"/>
  <c r="W470" i="34" s="1"/>
  <c r="AB470" i="34" s="1"/>
  <c r="X469" i="34" a="1"/>
  <c r="X469" i="34" s="1"/>
  <c r="W469" i="34" a="1"/>
  <c r="W469" i="34" s="1"/>
  <c r="AB469" i="34" s="1"/>
  <c r="X468" i="34" a="1"/>
  <c r="X468" i="34" s="1"/>
  <c r="W468" i="34" a="1"/>
  <c r="W468" i="34" s="1"/>
  <c r="AB468" i="34" s="1"/>
  <c r="X467" i="34" a="1"/>
  <c r="X467" i="34" s="1"/>
  <c r="W467" i="34" a="1"/>
  <c r="W467" i="34" s="1"/>
  <c r="AB467" i="34" s="1"/>
  <c r="X466" i="34" a="1"/>
  <c r="X466" i="34" s="1"/>
  <c r="W466" i="34" a="1"/>
  <c r="W466" i="34" s="1"/>
  <c r="AB466" i="34" s="1"/>
  <c r="X465" i="34" a="1"/>
  <c r="X465" i="34" s="1"/>
  <c r="W465" i="34" a="1"/>
  <c r="W465" i="34" s="1"/>
  <c r="AB465" i="34" s="1"/>
  <c r="X464" i="34" a="1"/>
  <c r="X464" i="34" s="1"/>
  <c r="W464" i="34" a="1"/>
  <c r="W464" i="34" s="1"/>
  <c r="AB464" i="34" s="1"/>
  <c r="X463" i="34" a="1"/>
  <c r="X463" i="34" s="1"/>
  <c r="W463" i="34" a="1"/>
  <c r="W463" i="34" s="1"/>
  <c r="AB463" i="34" s="1"/>
  <c r="X462" i="34" a="1"/>
  <c r="X462" i="34" s="1"/>
  <c r="W462" i="34" a="1"/>
  <c r="W462" i="34" s="1"/>
  <c r="AB462" i="34" s="1"/>
  <c r="X461" i="34" a="1"/>
  <c r="X461" i="34" s="1"/>
  <c r="W461" i="34" a="1"/>
  <c r="W461" i="34" s="1"/>
  <c r="AB461" i="34" s="1"/>
  <c r="X460" i="34" a="1"/>
  <c r="X460" i="34" s="1"/>
  <c r="W460" i="34" a="1"/>
  <c r="W460" i="34" s="1"/>
  <c r="AB460" i="34" s="1"/>
  <c r="X459" i="34" a="1"/>
  <c r="X459" i="34" s="1"/>
  <c r="W459" i="34" a="1"/>
  <c r="W459" i="34" s="1"/>
  <c r="AB459" i="34" s="1"/>
  <c r="X458" i="34" a="1"/>
  <c r="X458" i="34" s="1"/>
  <c r="W458" i="34" a="1"/>
  <c r="W458" i="34" s="1"/>
  <c r="AB458" i="34" s="1"/>
  <c r="X457" i="34" a="1"/>
  <c r="X457" i="34" s="1"/>
  <c r="W457" i="34" a="1"/>
  <c r="W457" i="34" s="1"/>
  <c r="AB457" i="34" s="1"/>
  <c r="X456" i="34" a="1"/>
  <c r="X456" i="34" s="1"/>
  <c r="W456" i="34" a="1"/>
  <c r="W456" i="34" s="1"/>
  <c r="AB456" i="34" s="1"/>
  <c r="X455" i="34" a="1"/>
  <c r="X455" i="34" s="1"/>
  <c r="W455" i="34" a="1"/>
  <c r="W455" i="34" s="1"/>
  <c r="AB455" i="34" s="1"/>
  <c r="X454" i="34" a="1"/>
  <c r="X454" i="34" s="1"/>
  <c r="W454" i="34" a="1"/>
  <c r="W454" i="34" s="1"/>
  <c r="AB454" i="34" s="1"/>
  <c r="X453" i="34" a="1"/>
  <c r="X453" i="34" s="1"/>
  <c r="W453" i="34" a="1"/>
  <c r="W453" i="34" s="1"/>
  <c r="AB453" i="34" s="1"/>
  <c r="X452" i="34" a="1"/>
  <c r="X452" i="34" s="1"/>
  <c r="W452" i="34" a="1"/>
  <c r="W452" i="34" s="1"/>
  <c r="AB452" i="34" s="1"/>
  <c r="X451" i="34" a="1"/>
  <c r="X451" i="34" s="1"/>
  <c r="W451" i="34" a="1"/>
  <c r="W451" i="34" s="1"/>
  <c r="AB451" i="34" s="1"/>
  <c r="X450" i="34" a="1"/>
  <c r="X450" i="34" s="1"/>
  <c r="W450" i="34" a="1"/>
  <c r="W450" i="34" s="1"/>
  <c r="AB450" i="34" s="1"/>
  <c r="X449" i="34" a="1"/>
  <c r="X449" i="34" s="1"/>
  <c r="W449" i="34" a="1"/>
  <c r="W449" i="34" s="1"/>
  <c r="AB449" i="34" s="1"/>
  <c r="X448" i="34" a="1"/>
  <c r="X448" i="34" s="1"/>
  <c r="W448" i="34" a="1"/>
  <c r="W448" i="34" s="1"/>
  <c r="AB448" i="34" s="1"/>
  <c r="X447" i="34" a="1"/>
  <c r="X447" i="34" s="1"/>
  <c r="W447" i="34" a="1"/>
  <c r="W447" i="34" s="1"/>
  <c r="AB447" i="34" s="1"/>
  <c r="X446" i="34" a="1"/>
  <c r="X446" i="34" s="1"/>
  <c r="W446" i="34" a="1"/>
  <c r="W446" i="34" s="1"/>
  <c r="AB446" i="34" s="1"/>
  <c r="X445" i="34" a="1"/>
  <c r="X445" i="34" s="1"/>
  <c r="W445" i="34" a="1"/>
  <c r="W445" i="34" s="1"/>
  <c r="AB445" i="34" s="1"/>
  <c r="X444" i="34" a="1"/>
  <c r="X444" i="34" s="1"/>
  <c r="W444" i="34" a="1"/>
  <c r="W444" i="34" s="1"/>
  <c r="AB444" i="34" s="1"/>
  <c r="X443" i="34" a="1"/>
  <c r="X443" i="34" s="1"/>
  <c r="W443" i="34" a="1"/>
  <c r="W443" i="34" s="1"/>
  <c r="AB443" i="34" s="1"/>
  <c r="X442" i="34" a="1"/>
  <c r="X442" i="34" s="1"/>
  <c r="W442" i="34" a="1"/>
  <c r="W442" i="34" s="1"/>
  <c r="AB442" i="34" s="1"/>
  <c r="X441" i="34" a="1"/>
  <c r="X441" i="34" s="1"/>
  <c r="W441" i="34" a="1"/>
  <c r="W441" i="34" s="1"/>
  <c r="AB441" i="34" s="1"/>
  <c r="X440" i="34" a="1"/>
  <c r="X440" i="34" s="1"/>
  <c r="W440" i="34" a="1"/>
  <c r="W440" i="34" s="1"/>
  <c r="AB440" i="34" s="1"/>
  <c r="X439" i="34" a="1"/>
  <c r="X439" i="34" s="1"/>
  <c r="W439" i="34" a="1"/>
  <c r="W439" i="34" s="1"/>
  <c r="AB439" i="34" s="1"/>
  <c r="X438" i="34" a="1"/>
  <c r="X438" i="34" s="1"/>
  <c r="W438" i="34" a="1"/>
  <c r="W438" i="34" s="1"/>
  <c r="AB438" i="34" s="1"/>
  <c r="X437" i="34" a="1"/>
  <c r="X437" i="34" s="1"/>
  <c r="W437" i="34" a="1"/>
  <c r="W437" i="34" s="1"/>
  <c r="AB437" i="34" s="1"/>
  <c r="X436" i="34" a="1"/>
  <c r="X436" i="34" s="1"/>
  <c r="W436" i="34" a="1"/>
  <c r="W436" i="34" s="1"/>
  <c r="AB436" i="34" s="1"/>
  <c r="X435" i="34" a="1"/>
  <c r="X435" i="34" s="1"/>
  <c r="W435" i="34" a="1"/>
  <c r="W435" i="34" s="1"/>
  <c r="AB435" i="34" s="1"/>
  <c r="X434" i="34" a="1"/>
  <c r="X434" i="34" s="1"/>
  <c r="W434" i="34" a="1"/>
  <c r="W434" i="34" s="1"/>
  <c r="AB434" i="34" s="1"/>
  <c r="X433" i="34" a="1"/>
  <c r="X433" i="34" s="1"/>
  <c r="W433" i="34" a="1"/>
  <c r="W433" i="34" s="1"/>
  <c r="AB433" i="34" s="1"/>
  <c r="X432" i="34" a="1"/>
  <c r="X432" i="34" s="1"/>
  <c r="W432" i="34" a="1"/>
  <c r="W432" i="34" s="1"/>
  <c r="AB432" i="34" s="1"/>
  <c r="X431" i="34" a="1"/>
  <c r="X431" i="34" s="1"/>
  <c r="W431" i="34" a="1"/>
  <c r="W431" i="34" s="1"/>
  <c r="AB431" i="34" s="1"/>
  <c r="X430" i="34" a="1"/>
  <c r="X430" i="34" s="1"/>
  <c r="W430" i="34" a="1"/>
  <c r="W430" i="34" s="1"/>
  <c r="AB430" i="34" s="1"/>
  <c r="X429" i="34" a="1"/>
  <c r="X429" i="34" s="1"/>
  <c r="W429" i="34" a="1"/>
  <c r="W429" i="34" s="1"/>
  <c r="AB429" i="34" s="1"/>
  <c r="X428" i="34" a="1"/>
  <c r="X428" i="34" s="1"/>
  <c r="W428" i="34" a="1"/>
  <c r="W428" i="34" s="1"/>
  <c r="AB428" i="34" s="1"/>
  <c r="X427" i="34" a="1"/>
  <c r="X427" i="34" s="1"/>
  <c r="W427" i="34" a="1"/>
  <c r="W427" i="34" s="1"/>
  <c r="AB427" i="34" s="1"/>
  <c r="X426" i="34" a="1"/>
  <c r="X426" i="34" s="1"/>
  <c r="W426" i="34" a="1"/>
  <c r="W426" i="34" s="1"/>
  <c r="AB426" i="34" s="1"/>
  <c r="X425" i="34" a="1"/>
  <c r="X425" i="34" s="1"/>
  <c r="W425" i="34" a="1"/>
  <c r="W425" i="34" s="1"/>
  <c r="AB425" i="34" s="1"/>
  <c r="X424" i="34" a="1"/>
  <c r="X424" i="34" s="1"/>
  <c r="W424" i="34" a="1"/>
  <c r="W424" i="34" s="1"/>
  <c r="AB424" i="34" s="1"/>
  <c r="X423" i="34" a="1"/>
  <c r="X423" i="34" s="1"/>
  <c r="W423" i="34" a="1"/>
  <c r="W423" i="34" s="1"/>
  <c r="AB423" i="34" s="1"/>
  <c r="X422" i="34" a="1"/>
  <c r="X422" i="34" s="1"/>
  <c r="W422" i="34" a="1"/>
  <c r="W422" i="34" s="1"/>
  <c r="AB422" i="34" s="1"/>
  <c r="X421" i="34" a="1"/>
  <c r="X421" i="34" s="1"/>
  <c r="W421" i="34" a="1"/>
  <c r="W421" i="34" s="1"/>
  <c r="AB421" i="34" s="1"/>
  <c r="X420" i="34" a="1"/>
  <c r="X420" i="34" s="1"/>
  <c r="W420" i="34" a="1"/>
  <c r="W420" i="34" s="1"/>
  <c r="AB420" i="34" s="1"/>
  <c r="X419" i="34" a="1"/>
  <c r="X419" i="34" s="1"/>
  <c r="W419" i="34" a="1"/>
  <c r="W419" i="34" s="1"/>
  <c r="AB419" i="34" s="1"/>
  <c r="X418" i="34" a="1"/>
  <c r="X418" i="34" s="1"/>
  <c r="W418" i="34" a="1"/>
  <c r="W418" i="34" s="1"/>
  <c r="AB418" i="34" s="1"/>
  <c r="X417" i="34" a="1"/>
  <c r="X417" i="34" s="1"/>
  <c r="W417" i="34" a="1"/>
  <c r="W417" i="34" s="1"/>
  <c r="AB417" i="34" s="1"/>
  <c r="X416" i="34" a="1"/>
  <c r="X416" i="34" s="1"/>
  <c r="W416" i="34" a="1"/>
  <c r="W416" i="34" s="1"/>
  <c r="AB416" i="34" s="1"/>
  <c r="X415" i="34" a="1"/>
  <c r="X415" i="34" s="1"/>
  <c r="W415" i="34" a="1"/>
  <c r="W415" i="34" s="1"/>
  <c r="AB415" i="34" s="1"/>
  <c r="X414" i="34" a="1"/>
  <c r="X414" i="34" s="1"/>
  <c r="W414" i="34" a="1"/>
  <c r="W414" i="34" s="1"/>
  <c r="AB414" i="34" s="1"/>
  <c r="X413" i="34" a="1"/>
  <c r="X413" i="34" s="1"/>
  <c r="W413" i="34" a="1"/>
  <c r="W413" i="34" s="1"/>
  <c r="AB413" i="34" s="1"/>
  <c r="X412" i="34" a="1"/>
  <c r="X412" i="34" s="1"/>
  <c r="W412" i="34" a="1"/>
  <c r="W412" i="34" s="1"/>
  <c r="AB412" i="34" s="1"/>
  <c r="X411" i="34" a="1"/>
  <c r="X411" i="34" s="1"/>
  <c r="W411" i="34" a="1"/>
  <c r="W411" i="34" s="1"/>
  <c r="AB411" i="34" s="1"/>
  <c r="X410" i="34" a="1"/>
  <c r="X410" i="34" s="1"/>
  <c r="W410" i="34" a="1"/>
  <c r="W410" i="34" s="1"/>
  <c r="AB410" i="34" s="1"/>
  <c r="X409" i="34" a="1"/>
  <c r="X409" i="34" s="1"/>
  <c r="W409" i="34" a="1"/>
  <c r="W409" i="34" s="1"/>
  <c r="AB409" i="34" s="1"/>
  <c r="X408" i="34" a="1"/>
  <c r="X408" i="34" s="1"/>
  <c r="W408" i="34" a="1"/>
  <c r="W408" i="34" s="1"/>
  <c r="AB408" i="34" s="1"/>
  <c r="X407" i="34" a="1"/>
  <c r="X407" i="34" s="1"/>
  <c r="W407" i="34" a="1"/>
  <c r="W407" i="34" s="1"/>
  <c r="AB407" i="34" s="1"/>
  <c r="X406" i="34" a="1"/>
  <c r="X406" i="34" s="1"/>
  <c r="W406" i="34" a="1"/>
  <c r="W406" i="34" s="1"/>
  <c r="AB406" i="34" s="1"/>
  <c r="X405" i="34" a="1"/>
  <c r="X405" i="34" s="1"/>
  <c r="W405" i="34" a="1"/>
  <c r="W405" i="34" s="1"/>
  <c r="AB405" i="34" s="1"/>
  <c r="X404" i="34" a="1"/>
  <c r="X404" i="34" s="1"/>
  <c r="W404" i="34" a="1"/>
  <c r="W404" i="34" s="1"/>
  <c r="AB404" i="34" s="1"/>
  <c r="X403" i="34" a="1"/>
  <c r="X403" i="34" s="1"/>
  <c r="W403" i="34" a="1"/>
  <c r="W403" i="34" s="1"/>
  <c r="AB403" i="34" s="1"/>
  <c r="X402" i="34" a="1"/>
  <c r="X402" i="34" s="1"/>
  <c r="W402" i="34" a="1"/>
  <c r="W402" i="34" s="1"/>
  <c r="AB402" i="34" s="1"/>
  <c r="X401" i="34" a="1"/>
  <c r="X401" i="34" s="1"/>
  <c r="W401" i="34" a="1"/>
  <c r="W401" i="34" s="1"/>
  <c r="AB401" i="34" s="1"/>
  <c r="X400" i="34" a="1"/>
  <c r="X400" i="34" s="1"/>
  <c r="W400" i="34" a="1"/>
  <c r="W400" i="34" s="1"/>
  <c r="AB400" i="34" s="1"/>
  <c r="X399" i="34" a="1"/>
  <c r="X399" i="34" s="1"/>
  <c r="W399" i="34" a="1"/>
  <c r="W399" i="34" s="1"/>
  <c r="AB399" i="34" s="1"/>
  <c r="X398" i="34" a="1"/>
  <c r="X398" i="34" s="1"/>
  <c r="W398" i="34" a="1"/>
  <c r="W398" i="34" s="1"/>
  <c r="AB398" i="34" s="1"/>
  <c r="X397" i="34" a="1"/>
  <c r="X397" i="34" s="1"/>
  <c r="W397" i="34" a="1"/>
  <c r="W397" i="34" s="1"/>
  <c r="AB397" i="34" s="1"/>
  <c r="X396" i="34" a="1"/>
  <c r="X396" i="34" s="1"/>
  <c r="W396" i="34" a="1"/>
  <c r="W396" i="34" s="1"/>
  <c r="AB396" i="34" s="1"/>
  <c r="X395" i="34" a="1"/>
  <c r="X395" i="34" s="1"/>
  <c r="W395" i="34" a="1"/>
  <c r="W395" i="34" s="1"/>
  <c r="AB395" i="34" s="1"/>
  <c r="X394" i="34" a="1"/>
  <c r="X394" i="34" s="1"/>
  <c r="W394" i="34" a="1"/>
  <c r="W394" i="34" s="1"/>
  <c r="AB394" i="34" s="1"/>
  <c r="X393" i="34" a="1"/>
  <c r="X393" i="34" s="1"/>
  <c r="W393" i="34" a="1"/>
  <c r="W393" i="34" s="1"/>
  <c r="AB393" i="34" s="1"/>
  <c r="X392" i="34" a="1"/>
  <c r="X392" i="34" s="1"/>
  <c r="W392" i="34" a="1"/>
  <c r="W392" i="34" s="1"/>
  <c r="X391" i="34" a="1"/>
  <c r="X391" i="34" s="1"/>
  <c r="W391" i="34" a="1"/>
  <c r="W391" i="34" s="1"/>
  <c r="AB391" i="34" s="1"/>
  <c r="X390" i="34" a="1"/>
  <c r="X390" i="34" s="1"/>
  <c r="W390" i="34" a="1"/>
  <c r="W390" i="34" s="1"/>
  <c r="AB390" i="34" s="1"/>
  <c r="X389" i="34" a="1"/>
  <c r="X389" i="34" s="1"/>
  <c r="W389" i="34" a="1"/>
  <c r="W389" i="34" s="1"/>
  <c r="AB389" i="34" s="1"/>
  <c r="X388" i="34" a="1"/>
  <c r="X388" i="34" s="1"/>
  <c r="W388" i="34" a="1"/>
  <c r="W388" i="34" s="1"/>
  <c r="AB388" i="34" s="1"/>
  <c r="X387" i="34" a="1"/>
  <c r="X387" i="34" s="1"/>
  <c r="W387" i="34" a="1"/>
  <c r="W387" i="34" s="1"/>
  <c r="AB387" i="34" s="1"/>
  <c r="X386" i="34" a="1"/>
  <c r="X386" i="34" s="1"/>
  <c r="W386" i="34" a="1"/>
  <c r="W386" i="34" s="1"/>
  <c r="AB386" i="34" s="1"/>
  <c r="X385" i="34" a="1"/>
  <c r="X385" i="34" s="1"/>
  <c r="W385" i="34" a="1"/>
  <c r="W385" i="34" s="1"/>
  <c r="AB385" i="34" s="1"/>
  <c r="X384" i="34" a="1"/>
  <c r="X384" i="34" s="1"/>
  <c r="W384" i="34" a="1"/>
  <c r="W384" i="34" s="1"/>
  <c r="AB384" i="34" s="1"/>
  <c r="X383" i="34" a="1"/>
  <c r="X383" i="34" s="1"/>
  <c r="W383" i="34" a="1"/>
  <c r="W383" i="34" s="1"/>
  <c r="AB383" i="34" s="1"/>
  <c r="X382" i="34" a="1"/>
  <c r="X382" i="34" s="1"/>
  <c r="W382" i="34" a="1"/>
  <c r="W382" i="34" s="1"/>
  <c r="AB382" i="34" s="1"/>
  <c r="X381" i="34" a="1"/>
  <c r="X381" i="34" s="1"/>
  <c r="W381" i="34" a="1"/>
  <c r="W381" i="34" s="1"/>
  <c r="AB381" i="34" s="1"/>
  <c r="X380" i="34" a="1"/>
  <c r="X380" i="34" s="1"/>
  <c r="W380" i="34" a="1"/>
  <c r="W380" i="34" s="1"/>
  <c r="AB380" i="34" s="1"/>
  <c r="X379" i="34" a="1"/>
  <c r="X379" i="34" s="1"/>
  <c r="W379" i="34" a="1"/>
  <c r="W379" i="34" s="1"/>
  <c r="AB379" i="34" s="1"/>
  <c r="X378" i="34" a="1"/>
  <c r="X378" i="34" s="1"/>
  <c r="W378" i="34" a="1"/>
  <c r="W378" i="34" s="1"/>
  <c r="AB378" i="34" s="1"/>
  <c r="X377" i="34" a="1"/>
  <c r="X377" i="34" s="1"/>
  <c r="W377" i="34" a="1"/>
  <c r="W377" i="34" s="1"/>
  <c r="AB377" i="34" s="1"/>
  <c r="X376" i="34" a="1"/>
  <c r="X376" i="34" s="1"/>
  <c r="W376" i="34" a="1"/>
  <c r="W376" i="34" s="1"/>
  <c r="AB376" i="34" s="1"/>
  <c r="X375" i="34" a="1"/>
  <c r="X375" i="34" s="1"/>
  <c r="W375" i="34" a="1"/>
  <c r="W375" i="34" s="1"/>
  <c r="AB375" i="34" s="1"/>
  <c r="X374" i="34" a="1"/>
  <c r="X374" i="34" s="1"/>
  <c r="W374" i="34" a="1"/>
  <c r="W374" i="34" s="1"/>
  <c r="AB374" i="34" s="1"/>
  <c r="X373" i="34" a="1"/>
  <c r="X373" i="34" s="1"/>
  <c r="W373" i="34" a="1"/>
  <c r="W373" i="34" s="1"/>
  <c r="AB373" i="34" s="1"/>
  <c r="X372" i="34" a="1"/>
  <c r="X372" i="34" s="1"/>
  <c r="W372" i="34" a="1"/>
  <c r="W372" i="34" s="1"/>
  <c r="AB372" i="34" s="1"/>
  <c r="X371" i="34" a="1"/>
  <c r="X371" i="34" s="1"/>
  <c r="W371" i="34" a="1"/>
  <c r="W371" i="34" s="1"/>
  <c r="AB371" i="34" s="1"/>
  <c r="X370" i="34" a="1"/>
  <c r="X370" i="34" s="1"/>
  <c r="W370" i="34" a="1"/>
  <c r="W370" i="34" s="1"/>
  <c r="AB370" i="34" s="1"/>
  <c r="X369" i="34" a="1"/>
  <c r="X369" i="34" s="1"/>
  <c r="W369" i="34" a="1"/>
  <c r="W369" i="34" s="1"/>
  <c r="AB369" i="34" s="1"/>
  <c r="X368" i="34" a="1"/>
  <c r="X368" i="34" s="1"/>
  <c r="W368" i="34" a="1"/>
  <c r="W368" i="34" s="1"/>
  <c r="AB368" i="34" s="1"/>
  <c r="X367" i="34" a="1"/>
  <c r="X367" i="34" s="1"/>
  <c r="W367" i="34" a="1"/>
  <c r="W367" i="34" s="1"/>
  <c r="AB367" i="34" s="1"/>
  <c r="X366" i="34" a="1"/>
  <c r="X366" i="34" s="1"/>
  <c r="W366" i="34" a="1"/>
  <c r="W366" i="34" s="1"/>
  <c r="AB366" i="34" s="1"/>
  <c r="X365" i="34" a="1"/>
  <c r="X365" i="34" s="1"/>
  <c r="W365" i="34" a="1"/>
  <c r="W365" i="34" s="1"/>
  <c r="AB365" i="34" s="1"/>
  <c r="X364" i="34" a="1"/>
  <c r="X364" i="34" s="1"/>
  <c r="W364" i="34" a="1"/>
  <c r="W364" i="34" s="1"/>
  <c r="AB364" i="34" s="1"/>
  <c r="X363" i="34" a="1"/>
  <c r="X363" i="34" s="1"/>
  <c r="W363" i="34" a="1"/>
  <c r="W363" i="34" s="1"/>
  <c r="AB363" i="34" s="1"/>
  <c r="X362" i="34" a="1"/>
  <c r="X362" i="34" s="1"/>
  <c r="W362" i="34" a="1"/>
  <c r="W362" i="34" s="1"/>
  <c r="AB362" i="34" s="1"/>
  <c r="X361" i="34" a="1"/>
  <c r="X361" i="34" s="1"/>
  <c r="W361" i="34" a="1"/>
  <c r="W361" i="34" s="1"/>
  <c r="AB361" i="34" s="1"/>
  <c r="X360" i="34" a="1"/>
  <c r="X360" i="34" s="1"/>
  <c r="W360" i="34" a="1"/>
  <c r="W360" i="34" s="1"/>
  <c r="AB360" i="34" s="1"/>
  <c r="X359" i="34" a="1"/>
  <c r="X359" i="34" s="1"/>
  <c r="W359" i="34" a="1"/>
  <c r="W359" i="34" s="1"/>
  <c r="AB359" i="34" s="1"/>
  <c r="X358" i="34" a="1"/>
  <c r="X358" i="34" s="1"/>
  <c r="W358" i="34" a="1"/>
  <c r="W358" i="34" s="1"/>
  <c r="AB358" i="34" s="1"/>
  <c r="X357" i="34" a="1"/>
  <c r="X357" i="34" s="1"/>
  <c r="W357" i="34" a="1"/>
  <c r="W357" i="34" s="1"/>
  <c r="AB357" i="34" s="1"/>
  <c r="X356" i="34" a="1"/>
  <c r="X356" i="34" s="1"/>
  <c r="W356" i="34" a="1"/>
  <c r="W356" i="34" s="1"/>
  <c r="AB356" i="34" s="1"/>
  <c r="X355" i="34" a="1"/>
  <c r="X355" i="34" s="1"/>
  <c r="W355" i="34" a="1"/>
  <c r="W355" i="34" s="1"/>
  <c r="AB355" i="34" s="1"/>
  <c r="X354" i="34" a="1"/>
  <c r="X354" i="34" s="1"/>
  <c r="W354" i="34" a="1"/>
  <c r="W354" i="34" s="1"/>
  <c r="AB354" i="34" s="1"/>
  <c r="X353" i="34" a="1"/>
  <c r="X353" i="34" s="1"/>
  <c r="W353" i="34" a="1"/>
  <c r="W353" i="34" s="1"/>
  <c r="AB353" i="34" s="1"/>
  <c r="X352" i="34" a="1"/>
  <c r="X352" i="34" s="1"/>
  <c r="W352" i="34" a="1"/>
  <c r="W352" i="34" s="1"/>
  <c r="AB352" i="34" s="1"/>
  <c r="X351" i="34" a="1"/>
  <c r="X351" i="34" s="1"/>
  <c r="W351" i="34" a="1"/>
  <c r="W351" i="34" s="1"/>
  <c r="AB351" i="34" s="1"/>
  <c r="X350" i="34" a="1"/>
  <c r="X350" i="34" s="1"/>
  <c r="W350" i="34" a="1"/>
  <c r="W350" i="34" s="1"/>
  <c r="AB350" i="34" s="1"/>
  <c r="X349" i="34" a="1"/>
  <c r="X349" i="34" s="1"/>
  <c r="W349" i="34" a="1"/>
  <c r="W349" i="34" s="1"/>
  <c r="AB349" i="34" s="1"/>
  <c r="X348" i="34" a="1"/>
  <c r="X348" i="34" s="1"/>
  <c r="W348" i="34" a="1"/>
  <c r="W348" i="34" s="1"/>
  <c r="AB348" i="34" s="1"/>
  <c r="X347" i="34" a="1"/>
  <c r="X347" i="34" s="1"/>
  <c r="W347" i="34" a="1"/>
  <c r="W347" i="34" s="1"/>
  <c r="AB347" i="34" s="1"/>
  <c r="X346" i="34" a="1"/>
  <c r="X346" i="34" s="1"/>
  <c r="W346" i="34" a="1"/>
  <c r="W346" i="34" s="1"/>
  <c r="AB346" i="34" s="1"/>
  <c r="X345" i="34" a="1"/>
  <c r="X345" i="34" s="1"/>
  <c r="W345" i="34" a="1"/>
  <c r="W345" i="34" s="1"/>
  <c r="AB345" i="34" s="1"/>
  <c r="X344" i="34" a="1"/>
  <c r="X344" i="34" s="1"/>
  <c r="W344" i="34" a="1"/>
  <c r="W344" i="34" s="1"/>
  <c r="AB344" i="34" s="1"/>
  <c r="X343" i="34" a="1"/>
  <c r="X343" i="34" s="1"/>
  <c r="W343" i="34" a="1"/>
  <c r="W343" i="34" s="1"/>
  <c r="AB343" i="34" s="1"/>
  <c r="X342" i="34" a="1"/>
  <c r="X342" i="34" s="1"/>
  <c r="W342" i="34" a="1"/>
  <c r="W342" i="34" s="1"/>
  <c r="AB342" i="34" s="1"/>
  <c r="X341" i="34" a="1"/>
  <c r="X341" i="34" s="1"/>
  <c r="W341" i="34" a="1"/>
  <c r="W341" i="34" s="1"/>
  <c r="AB341" i="34" s="1"/>
  <c r="X340" i="34" a="1"/>
  <c r="X340" i="34" s="1"/>
  <c r="W340" i="34" a="1"/>
  <c r="W340" i="34" s="1"/>
  <c r="AB340" i="34" s="1"/>
  <c r="X339" i="34" a="1"/>
  <c r="X339" i="34" s="1"/>
  <c r="W339" i="34" a="1"/>
  <c r="W339" i="34" s="1"/>
  <c r="AB339" i="34" s="1"/>
  <c r="X338" i="34" a="1"/>
  <c r="X338" i="34" s="1"/>
  <c r="W338" i="34" a="1"/>
  <c r="W338" i="34" s="1"/>
  <c r="AB338" i="34" s="1"/>
  <c r="X337" i="34" a="1"/>
  <c r="X337" i="34" s="1"/>
  <c r="W337" i="34" a="1"/>
  <c r="W337" i="34" s="1"/>
  <c r="AB337" i="34" s="1"/>
  <c r="X336" i="34" a="1"/>
  <c r="X336" i="34" s="1"/>
  <c r="W336" i="34" a="1"/>
  <c r="W336" i="34" s="1"/>
  <c r="AB336" i="34" s="1"/>
  <c r="X335" i="34" a="1"/>
  <c r="X335" i="34" s="1"/>
  <c r="W335" i="34" a="1"/>
  <c r="W335" i="34" s="1"/>
  <c r="AB335" i="34" s="1"/>
  <c r="X334" i="34" a="1"/>
  <c r="X334" i="34" s="1"/>
  <c r="W334" i="34" a="1"/>
  <c r="W334" i="34" s="1"/>
  <c r="AB334" i="34" s="1"/>
  <c r="X333" i="34" a="1"/>
  <c r="X333" i="34" s="1"/>
  <c r="W333" i="34" a="1"/>
  <c r="W333" i="34" s="1"/>
  <c r="AB333" i="34" s="1"/>
  <c r="X332" i="34" a="1"/>
  <c r="X332" i="34" s="1"/>
  <c r="W332" i="34" a="1"/>
  <c r="W332" i="34" s="1"/>
  <c r="AB332" i="34" s="1"/>
  <c r="X331" i="34" a="1"/>
  <c r="X331" i="34" s="1"/>
  <c r="W331" i="34" a="1"/>
  <c r="W331" i="34" s="1"/>
  <c r="AB331" i="34" s="1"/>
  <c r="X330" i="34" a="1"/>
  <c r="X330" i="34" s="1"/>
  <c r="W330" i="34" a="1"/>
  <c r="W330" i="34" s="1"/>
  <c r="AB330" i="34" s="1"/>
  <c r="X329" i="34" a="1"/>
  <c r="X329" i="34" s="1"/>
  <c r="W329" i="34" a="1"/>
  <c r="W329" i="34" s="1"/>
  <c r="AB329" i="34" s="1"/>
  <c r="X328" i="34" a="1"/>
  <c r="X328" i="34" s="1"/>
  <c r="W328" i="34" a="1"/>
  <c r="W328" i="34" s="1"/>
  <c r="AB328" i="34" s="1"/>
  <c r="X327" i="34" a="1"/>
  <c r="X327" i="34" s="1"/>
  <c r="W327" i="34" a="1"/>
  <c r="W327" i="34" s="1"/>
  <c r="AB327" i="34" s="1"/>
  <c r="X326" i="34" a="1"/>
  <c r="X326" i="34" s="1"/>
  <c r="W326" i="34" a="1"/>
  <c r="W326" i="34" s="1"/>
  <c r="AB326" i="34" s="1"/>
  <c r="X325" i="34" a="1"/>
  <c r="X325" i="34" s="1"/>
  <c r="W325" i="34" a="1"/>
  <c r="W325" i="34" s="1"/>
  <c r="AB325" i="34" s="1"/>
  <c r="X324" i="34" a="1"/>
  <c r="X324" i="34" s="1"/>
  <c r="W324" i="34" a="1"/>
  <c r="W324" i="34" s="1"/>
  <c r="AB324" i="34" s="1"/>
  <c r="X323" i="34" a="1"/>
  <c r="X323" i="34" s="1"/>
  <c r="W323" i="34" a="1"/>
  <c r="W323" i="34" s="1"/>
  <c r="AB323" i="34" s="1"/>
  <c r="X322" i="34" a="1"/>
  <c r="X322" i="34" s="1"/>
  <c r="W322" i="34" a="1"/>
  <c r="W322" i="34" s="1"/>
  <c r="AB322" i="34" s="1"/>
  <c r="X321" i="34" a="1"/>
  <c r="X321" i="34" s="1"/>
  <c r="W321" i="34" a="1"/>
  <c r="W321" i="34" s="1"/>
  <c r="AB321" i="34" s="1"/>
  <c r="X320" i="34" a="1"/>
  <c r="X320" i="34" s="1"/>
  <c r="W320" i="34" a="1"/>
  <c r="W320" i="34" s="1"/>
  <c r="AB320" i="34" s="1"/>
  <c r="X319" i="34" a="1"/>
  <c r="X319" i="34" s="1"/>
  <c r="W319" i="34" a="1"/>
  <c r="W319" i="34" s="1"/>
  <c r="AB319" i="34" s="1"/>
  <c r="X318" i="34" a="1"/>
  <c r="X318" i="34" s="1"/>
  <c r="W318" i="34" a="1"/>
  <c r="W318" i="34" s="1"/>
  <c r="AB318" i="34" s="1"/>
  <c r="X317" i="34" a="1"/>
  <c r="X317" i="34" s="1"/>
  <c r="W317" i="34" a="1"/>
  <c r="W317" i="34" s="1"/>
  <c r="AB317" i="34" s="1"/>
  <c r="X316" i="34" a="1"/>
  <c r="X316" i="34" s="1"/>
  <c r="W316" i="34" a="1"/>
  <c r="W316" i="34" s="1"/>
  <c r="AB316" i="34" s="1"/>
  <c r="X315" i="34" a="1"/>
  <c r="X315" i="34" s="1"/>
  <c r="W315" i="34" a="1"/>
  <c r="W315" i="34" s="1"/>
  <c r="AB315" i="34" s="1"/>
  <c r="X314" i="34" a="1"/>
  <c r="X314" i="34" s="1"/>
  <c r="W314" i="34" a="1"/>
  <c r="W314" i="34" s="1"/>
  <c r="AB314" i="34" s="1"/>
  <c r="X313" i="34" a="1"/>
  <c r="X313" i="34" s="1"/>
  <c r="W313" i="34" a="1"/>
  <c r="W313" i="34" s="1"/>
  <c r="AB313" i="34" s="1"/>
  <c r="X312" i="34" a="1"/>
  <c r="X312" i="34" s="1"/>
  <c r="W312" i="34" a="1"/>
  <c r="W312" i="34" s="1"/>
  <c r="AB312" i="34" s="1"/>
  <c r="X311" i="34" a="1"/>
  <c r="X311" i="34" s="1"/>
  <c r="W311" i="34" a="1"/>
  <c r="W311" i="34" s="1"/>
  <c r="AB311" i="34" s="1"/>
  <c r="X310" i="34" a="1"/>
  <c r="X310" i="34" s="1"/>
  <c r="W310" i="34" a="1"/>
  <c r="W310" i="34" s="1"/>
  <c r="AB310" i="34" s="1"/>
  <c r="X309" i="34" a="1"/>
  <c r="X309" i="34" s="1"/>
  <c r="W309" i="34" a="1"/>
  <c r="W309" i="34" s="1"/>
  <c r="AB309" i="34" s="1"/>
  <c r="X308" i="34" a="1"/>
  <c r="X308" i="34" s="1"/>
  <c r="W308" i="34" a="1"/>
  <c r="W308" i="34" s="1"/>
  <c r="AB308" i="34" s="1"/>
  <c r="X307" i="34" a="1"/>
  <c r="X307" i="34" s="1"/>
  <c r="W307" i="34" a="1"/>
  <c r="W307" i="34" s="1"/>
  <c r="AB307" i="34" s="1"/>
  <c r="X306" i="34" a="1"/>
  <c r="X306" i="34" s="1"/>
  <c r="W306" i="34" a="1"/>
  <c r="W306" i="34" s="1"/>
  <c r="AB306" i="34" s="1"/>
  <c r="X305" i="34" a="1"/>
  <c r="X305" i="34" s="1"/>
  <c r="W305" i="34" a="1"/>
  <c r="W305" i="34" s="1"/>
  <c r="AB305" i="34" s="1"/>
  <c r="X304" i="34" a="1"/>
  <c r="X304" i="34" s="1"/>
  <c r="W304" i="34" a="1"/>
  <c r="W304" i="34" s="1"/>
  <c r="AB304" i="34" s="1"/>
  <c r="X303" i="34" a="1"/>
  <c r="X303" i="34" s="1"/>
  <c r="W303" i="34" a="1"/>
  <c r="W303" i="34" s="1"/>
  <c r="AB303" i="34" s="1"/>
  <c r="Q582" i="34" a="1"/>
  <c r="Q582" i="34" s="1"/>
  <c r="Q581" i="34" a="1"/>
  <c r="Q581" i="34" s="1"/>
  <c r="Q580" i="34" a="1"/>
  <c r="Q580" i="34" s="1"/>
  <c r="Q579" i="34" a="1"/>
  <c r="Q579" i="34" s="1"/>
  <c r="Q577" i="34" a="1"/>
  <c r="Q577" i="34" s="1"/>
  <c r="Q576" i="34" a="1"/>
  <c r="Q576" i="34" s="1"/>
  <c r="Q575" i="34" a="1"/>
  <c r="Q575" i="34" s="1"/>
  <c r="Q574" i="34" a="1"/>
  <c r="Q574" i="34" s="1"/>
  <c r="Q573" i="34" a="1"/>
  <c r="Q573" i="34" s="1"/>
  <c r="Q571" i="34" a="1"/>
  <c r="Q571" i="34" s="1"/>
  <c r="Q570" i="34" a="1"/>
  <c r="Q570" i="34" s="1"/>
  <c r="Q569" i="34" a="1"/>
  <c r="Q569" i="34" s="1"/>
  <c r="Q568" i="34" a="1"/>
  <c r="Q568" i="34" s="1"/>
  <c r="Q567" i="34" a="1"/>
  <c r="Q567" i="34" s="1"/>
  <c r="Q566" i="34" a="1"/>
  <c r="Q566" i="34" s="1"/>
  <c r="Q565" i="34" a="1"/>
  <c r="Q565" i="34" s="1"/>
  <c r="Q564" i="34" a="1"/>
  <c r="Q564" i="34" s="1"/>
  <c r="Q563" i="34" a="1"/>
  <c r="Q563" i="34" s="1"/>
  <c r="Q562" i="34" a="1"/>
  <c r="Q562" i="34" s="1"/>
  <c r="Q561" i="34" a="1"/>
  <c r="Q561" i="34" s="1"/>
  <c r="Q560" i="34" a="1"/>
  <c r="Q560" i="34" s="1"/>
  <c r="Q559" i="34" a="1"/>
  <c r="Q559" i="34" s="1"/>
  <c r="Q558" i="34" a="1"/>
  <c r="Q558" i="34" s="1"/>
  <c r="Q557" i="34" a="1"/>
  <c r="Q557" i="34" s="1"/>
  <c r="Q556" i="34" a="1"/>
  <c r="Q556" i="34" s="1"/>
  <c r="Q555" i="34" a="1"/>
  <c r="Q555" i="34" s="1"/>
  <c r="Q554" i="34" a="1"/>
  <c r="Q554" i="34" s="1"/>
  <c r="Q553" i="34" a="1"/>
  <c r="Q553" i="34" s="1"/>
  <c r="Q552" i="34" a="1"/>
  <c r="Q552" i="34" s="1"/>
  <c r="Q551" i="34" a="1"/>
  <c r="Q551" i="34" s="1"/>
  <c r="Q550" i="34" a="1"/>
  <c r="Q550" i="34" s="1"/>
  <c r="Q549" i="34" a="1"/>
  <c r="Q549" i="34" s="1"/>
  <c r="Q548" i="34" a="1"/>
  <c r="Q548" i="34" s="1"/>
  <c r="Q547" i="34" a="1"/>
  <c r="Q547" i="34" s="1"/>
  <c r="Q546" i="34" a="1"/>
  <c r="Q546" i="34" s="1"/>
  <c r="Q545" i="34" a="1"/>
  <c r="Q545" i="34" s="1"/>
  <c r="Q544" i="34" a="1"/>
  <c r="Q544" i="34" s="1"/>
  <c r="Q543" i="34" a="1"/>
  <c r="Q543" i="34" s="1"/>
  <c r="Q542" i="34" a="1"/>
  <c r="Q542" i="34" s="1"/>
  <c r="Q541" i="34" a="1"/>
  <c r="Q541" i="34" s="1"/>
  <c r="Q540" i="34" a="1"/>
  <c r="Q540" i="34" s="1"/>
  <c r="Q539" i="34" a="1"/>
  <c r="Q539" i="34" s="1"/>
  <c r="Q538" i="34" a="1"/>
  <c r="Q538" i="34" s="1"/>
  <c r="Q537" i="34" a="1"/>
  <c r="Q537" i="34" s="1"/>
  <c r="Q536" i="34" a="1"/>
  <c r="Q536" i="34" s="1"/>
  <c r="Q535" i="34" a="1"/>
  <c r="Q535" i="34" s="1"/>
  <c r="Q534" i="34" a="1"/>
  <c r="Q534" i="34" s="1"/>
  <c r="Q533" i="34" a="1"/>
  <c r="Q533" i="34" s="1"/>
  <c r="Q532" i="34" a="1"/>
  <c r="Q532" i="34" s="1"/>
  <c r="Q531" i="34" a="1"/>
  <c r="Q531" i="34" s="1"/>
  <c r="Q530" i="34" a="1"/>
  <c r="Q530" i="34" s="1"/>
  <c r="Q529" i="34" a="1"/>
  <c r="Q529" i="34" s="1"/>
  <c r="Q528" i="34" a="1"/>
  <c r="Q528" i="34" s="1"/>
  <c r="Q527" i="34" a="1"/>
  <c r="Q527" i="34" s="1"/>
  <c r="Q526" i="34" a="1"/>
  <c r="Q526" i="34" s="1"/>
  <c r="Q525" i="34" a="1"/>
  <c r="Q525" i="34" s="1"/>
  <c r="Q524" i="34" a="1"/>
  <c r="Q524" i="34" s="1"/>
  <c r="Q523" i="34" a="1"/>
  <c r="Q523" i="34" s="1"/>
  <c r="Q522" i="34" a="1"/>
  <c r="Q522" i="34" s="1"/>
  <c r="Q521" i="34" a="1"/>
  <c r="Q521" i="34" s="1"/>
  <c r="Q520" i="34" a="1"/>
  <c r="Q520" i="34" s="1"/>
  <c r="Q519" i="34" a="1"/>
  <c r="Q519" i="34" s="1"/>
  <c r="Q518" i="34" a="1"/>
  <c r="Q518" i="34" s="1"/>
  <c r="Q517" i="34" a="1"/>
  <c r="Q517" i="34" s="1"/>
  <c r="Q516" i="34" a="1"/>
  <c r="Q516" i="34" s="1"/>
  <c r="Q515" i="34" a="1"/>
  <c r="Q515" i="34" s="1"/>
  <c r="Q514" i="34" a="1"/>
  <c r="Q514" i="34" s="1"/>
  <c r="Q513" i="34" a="1"/>
  <c r="Q513" i="34" s="1"/>
  <c r="Q512" i="34" a="1"/>
  <c r="Q512" i="34" s="1"/>
  <c r="Q511" i="34" a="1"/>
  <c r="Q511" i="34" s="1"/>
  <c r="Q510" i="34" a="1"/>
  <c r="Q510" i="34" s="1"/>
  <c r="Q509" i="34" a="1"/>
  <c r="Q509" i="34" s="1"/>
  <c r="Q508" i="34" a="1"/>
  <c r="Q508" i="34" s="1"/>
  <c r="Q507" i="34" a="1"/>
  <c r="Q507" i="34" s="1"/>
  <c r="Q506" i="34" a="1"/>
  <c r="Q506" i="34" s="1"/>
  <c r="Q505" i="34" a="1"/>
  <c r="Q505" i="34" s="1"/>
  <c r="Q504" i="34" a="1"/>
  <c r="Q504" i="34" s="1"/>
  <c r="Q503" i="34" a="1"/>
  <c r="Q503" i="34" s="1"/>
  <c r="Q502" i="34" a="1"/>
  <c r="Q502" i="34" s="1"/>
  <c r="Q501" i="34" a="1"/>
  <c r="Q501" i="34" s="1"/>
  <c r="Q500" i="34" a="1"/>
  <c r="Q500" i="34" s="1"/>
  <c r="Q499" i="34" a="1"/>
  <c r="Q499" i="34" s="1"/>
  <c r="Q498" i="34" a="1"/>
  <c r="Q498" i="34" s="1"/>
  <c r="Q497" i="34" a="1"/>
  <c r="Q497" i="34" s="1"/>
  <c r="Q496" i="34" a="1"/>
  <c r="Q496" i="34" s="1"/>
  <c r="Q495" i="34" a="1"/>
  <c r="Q495" i="34" s="1"/>
  <c r="Q494" i="34" a="1"/>
  <c r="Q494" i="34" s="1"/>
  <c r="Q493" i="34" a="1"/>
  <c r="Q493" i="34" s="1"/>
  <c r="Q492" i="34" a="1"/>
  <c r="Q492" i="34" s="1"/>
  <c r="Q491" i="34" a="1"/>
  <c r="Q491" i="34" s="1"/>
  <c r="Q490" i="34" a="1"/>
  <c r="Q490" i="34" s="1"/>
  <c r="Q489" i="34" a="1"/>
  <c r="Q489" i="34" s="1"/>
  <c r="Q488" i="34" a="1"/>
  <c r="Q488" i="34" s="1"/>
  <c r="Q487" i="34" a="1"/>
  <c r="Q487" i="34" s="1"/>
  <c r="Q486" i="34" a="1"/>
  <c r="Q486" i="34" s="1"/>
  <c r="Q485" i="34" a="1"/>
  <c r="Q485" i="34" s="1"/>
  <c r="Q484" i="34" a="1"/>
  <c r="Q484" i="34" s="1"/>
  <c r="Q483" i="34" a="1"/>
  <c r="Q483" i="34" s="1"/>
  <c r="Q482" i="34" a="1"/>
  <c r="Q482" i="34" s="1"/>
  <c r="Q481" i="34" a="1"/>
  <c r="Q481" i="34" s="1"/>
  <c r="Q480" i="34" a="1"/>
  <c r="Q480" i="34" s="1"/>
  <c r="Q479" i="34" a="1"/>
  <c r="Q479" i="34" s="1"/>
  <c r="Q478" i="34" a="1"/>
  <c r="Q478" i="34" s="1"/>
  <c r="Q477" i="34" a="1"/>
  <c r="Q477" i="34" s="1"/>
  <c r="Q476" i="34" a="1"/>
  <c r="Q476" i="34" s="1"/>
  <c r="Q475" i="34" a="1"/>
  <c r="Q475" i="34" s="1"/>
  <c r="Q474" i="34" a="1"/>
  <c r="Q474" i="34" s="1"/>
  <c r="Q473" i="34" a="1"/>
  <c r="Q473" i="34" s="1"/>
  <c r="Q472" i="34" a="1"/>
  <c r="Q472" i="34" s="1"/>
  <c r="Q471" i="34" a="1"/>
  <c r="Q471" i="34" s="1"/>
  <c r="Q470" i="34" a="1"/>
  <c r="Q470" i="34" s="1"/>
  <c r="Q469" i="34" a="1"/>
  <c r="Q469" i="34" s="1"/>
  <c r="Q468" i="34" a="1"/>
  <c r="Q468" i="34" s="1"/>
  <c r="Q467" i="34" a="1"/>
  <c r="Q467" i="34" s="1"/>
  <c r="Q466" i="34" a="1"/>
  <c r="Q466" i="34" s="1"/>
  <c r="Q465" i="34" a="1"/>
  <c r="Q465" i="34" s="1"/>
  <c r="Q464" i="34" a="1"/>
  <c r="Q464" i="34" s="1"/>
  <c r="Q463" i="34" a="1"/>
  <c r="Q463" i="34" s="1"/>
  <c r="Q462" i="34" a="1"/>
  <c r="Q462" i="34" s="1"/>
  <c r="Q461" i="34" a="1"/>
  <c r="Q461" i="34" s="1"/>
  <c r="Q460" i="34" a="1"/>
  <c r="Q460" i="34" s="1"/>
  <c r="Q459" i="34" a="1"/>
  <c r="Q459" i="34" s="1"/>
  <c r="Q458" i="34" a="1"/>
  <c r="Q458" i="34" s="1"/>
  <c r="Q457" i="34" a="1"/>
  <c r="Q457" i="34" s="1"/>
  <c r="Q456" i="34" a="1"/>
  <c r="Q456" i="34" s="1"/>
  <c r="Q455" i="34" a="1"/>
  <c r="Q455" i="34" s="1"/>
  <c r="Q454" i="34" a="1"/>
  <c r="Q454" i="34" s="1"/>
  <c r="Q453" i="34" a="1"/>
  <c r="Q453" i="34" s="1"/>
  <c r="Q452" i="34" a="1"/>
  <c r="Q452" i="34" s="1"/>
  <c r="Q451" i="34" a="1"/>
  <c r="Q451" i="34" s="1"/>
  <c r="Q450" i="34" a="1"/>
  <c r="Q450" i="34" s="1"/>
  <c r="Q449" i="34" a="1"/>
  <c r="Q449" i="34" s="1"/>
  <c r="Q448" i="34" a="1"/>
  <c r="Q448" i="34" s="1"/>
  <c r="Q447" i="34" a="1"/>
  <c r="Q447" i="34" s="1"/>
  <c r="Q446" i="34" a="1"/>
  <c r="Q446" i="34" s="1"/>
  <c r="Q445" i="34" a="1"/>
  <c r="Q445" i="34" s="1"/>
  <c r="Q444" i="34" a="1"/>
  <c r="Q444" i="34" s="1"/>
  <c r="Q443" i="34" a="1"/>
  <c r="Q443" i="34" s="1"/>
  <c r="Q442" i="34" a="1"/>
  <c r="Q442" i="34" s="1"/>
  <c r="Q441" i="34" a="1"/>
  <c r="Q441" i="34" s="1"/>
  <c r="Q440" i="34" a="1"/>
  <c r="Q440" i="34" s="1"/>
  <c r="Q439" i="34" a="1"/>
  <c r="Q439" i="34" s="1"/>
  <c r="Q438" i="34" a="1"/>
  <c r="Q438" i="34" s="1"/>
  <c r="Q437" i="34" a="1"/>
  <c r="Q437" i="34" s="1"/>
  <c r="Q436" i="34" a="1"/>
  <c r="Q436" i="34" s="1"/>
  <c r="Q435" i="34" a="1"/>
  <c r="Q435" i="34" s="1"/>
  <c r="Q434" i="34" a="1"/>
  <c r="Q434" i="34" s="1"/>
  <c r="Q433" i="34" a="1"/>
  <c r="Q433" i="34" s="1"/>
  <c r="Q432" i="34" a="1"/>
  <c r="Q432" i="34" s="1"/>
  <c r="Q431" i="34" a="1"/>
  <c r="Q431" i="34" s="1"/>
  <c r="Q430" i="34" a="1"/>
  <c r="Q430" i="34" s="1"/>
  <c r="Q429" i="34" a="1"/>
  <c r="Q429" i="34" s="1"/>
  <c r="Q428" i="34" a="1"/>
  <c r="Q428" i="34" s="1"/>
  <c r="Q427" i="34" a="1"/>
  <c r="Q427" i="34" s="1"/>
  <c r="Q426" i="34" a="1"/>
  <c r="Q426" i="34" s="1"/>
  <c r="Q425" i="34" a="1"/>
  <c r="Q425" i="34" s="1"/>
  <c r="Q424" i="34" a="1"/>
  <c r="Q424" i="34" s="1"/>
  <c r="Q423" i="34" a="1"/>
  <c r="Q423" i="34" s="1"/>
  <c r="Q422" i="34" a="1"/>
  <c r="Q422" i="34" s="1"/>
  <c r="Q421" i="34" a="1"/>
  <c r="Q421" i="34" s="1"/>
  <c r="Q420" i="34" a="1"/>
  <c r="Q420" i="34" s="1"/>
  <c r="Q419" i="34" a="1"/>
  <c r="Q419" i="34" s="1"/>
  <c r="Q418" i="34" a="1"/>
  <c r="Q418" i="34" s="1"/>
  <c r="Q417" i="34" a="1"/>
  <c r="Q417" i="34" s="1"/>
  <c r="Q416" i="34" a="1"/>
  <c r="Q416" i="34" s="1"/>
  <c r="Q415" i="34" a="1"/>
  <c r="Q415" i="34" s="1"/>
  <c r="Q414" i="34" a="1"/>
  <c r="Q414" i="34" s="1"/>
  <c r="Q413" i="34" a="1"/>
  <c r="Q413" i="34" s="1"/>
  <c r="Q412" i="34" a="1"/>
  <c r="Q412" i="34" s="1"/>
  <c r="Q411" i="34" a="1"/>
  <c r="Q411" i="34" s="1"/>
  <c r="Q410" i="34" a="1"/>
  <c r="Q410" i="34" s="1"/>
  <c r="Q409" i="34" a="1"/>
  <c r="Q409" i="34" s="1"/>
  <c r="Q408" i="34" a="1"/>
  <c r="Q408" i="34" s="1"/>
  <c r="Q407" i="34" a="1"/>
  <c r="Q407" i="34" s="1"/>
  <c r="Q406" i="34" a="1"/>
  <c r="Q406" i="34" s="1"/>
  <c r="Q405" i="34" a="1"/>
  <c r="Q405" i="34" s="1"/>
  <c r="Q404" i="34" a="1"/>
  <c r="Q404" i="34" s="1"/>
  <c r="Q403" i="34" a="1"/>
  <c r="Q403" i="34" s="1"/>
  <c r="Q402" i="34" a="1"/>
  <c r="Q402" i="34" s="1"/>
  <c r="Q401" i="34" a="1"/>
  <c r="Q401" i="34" s="1"/>
  <c r="Q400" i="34" a="1"/>
  <c r="Q400" i="34" s="1"/>
  <c r="Q399" i="34" a="1"/>
  <c r="Q399" i="34" s="1"/>
  <c r="Q398" i="34" a="1"/>
  <c r="Q398" i="34" s="1"/>
  <c r="Q397" i="34" a="1"/>
  <c r="Q397" i="34" s="1"/>
  <c r="Q396" i="34" a="1"/>
  <c r="Q396" i="34" s="1"/>
  <c r="Q395" i="34" a="1"/>
  <c r="Q395" i="34" s="1"/>
  <c r="Q394" i="34" a="1"/>
  <c r="Q394" i="34" s="1"/>
  <c r="Q393" i="34" a="1"/>
  <c r="Q393" i="34" s="1"/>
  <c r="Q392" i="34" a="1"/>
  <c r="Q392" i="34" s="1"/>
  <c r="Q391" i="34" a="1"/>
  <c r="Q391" i="34" s="1"/>
  <c r="Q390" i="34" a="1"/>
  <c r="Q390" i="34" s="1"/>
  <c r="Q389" i="34" a="1"/>
  <c r="Q389" i="34" s="1"/>
  <c r="Q388" i="34" a="1"/>
  <c r="Q388" i="34" s="1"/>
  <c r="Q387" i="34" a="1"/>
  <c r="Q387" i="34" s="1"/>
  <c r="Q386" i="34" a="1"/>
  <c r="Q386" i="34" s="1"/>
  <c r="Q385" i="34" a="1"/>
  <c r="Q385" i="34" s="1"/>
  <c r="Q384" i="34" a="1"/>
  <c r="Q384" i="34" s="1"/>
  <c r="Q383" i="34" a="1"/>
  <c r="Q383" i="34" s="1"/>
  <c r="Q382" i="34" a="1"/>
  <c r="Q382" i="34" s="1"/>
  <c r="Q381" i="34" a="1"/>
  <c r="Q381" i="34" s="1"/>
  <c r="Q380" i="34" a="1"/>
  <c r="Q380" i="34" s="1"/>
  <c r="Q379" i="34" a="1"/>
  <c r="Q379" i="34" s="1"/>
  <c r="Q378" i="34" a="1"/>
  <c r="Q378" i="34" s="1"/>
  <c r="Q377" i="34" a="1"/>
  <c r="Q377" i="34" s="1"/>
  <c r="Q376" i="34" a="1"/>
  <c r="Q376" i="34" s="1"/>
  <c r="Q375" i="34" a="1"/>
  <c r="Q375" i="34" s="1"/>
  <c r="Q374" i="34" a="1"/>
  <c r="Q374" i="34" s="1"/>
  <c r="Q373" i="34" a="1"/>
  <c r="Q373" i="34" s="1"/>
  <c r="Q372" i="34" a="1"/>
  <c r="Q372" i="34" s="1"/>
  <c r="Q371" i="34" a="1"/>
  <c r="Q371" i="34" s="1"/>
  <c r="Q370" i="34" a="1"/>
  <c r="Q370" i="34" s="1"/>
  <c r="Q369" i="34" a="1"/>
  <c r="Q369" i="34" s="1"/>
  <c r="Q368" i="34" a="1"/>
  <c r="Q368" i="34" s="1"/>
  <c r="Q367" i="34" a="1"/>
  <c r="Q367" i="34" s="1"/>
  <c r="Q366" i="34" a="1"/>
  <c r="Q366" i="34" s="1"/>
  <c r="Q365" i="34" a="1"/>
  <c r="Q365" i="34" s="1"/>
  <c r="Q364" i="34" a="1"/>
  <c r="Q364" i="34" s="1"/>
  <c r="Q363" i="34" a="1"/>
  <c r="Q363" i="34" s="1"/>
  <c r="Q362" i="34" a="1"/>
  <c r="Q362" i="34" s="1"/>
  <c r="Q361" i="34" a="1"/>
  <c r="Q361" i="34" s="1"/>
  <c r="Q360" i="34" a="1"/>
  <c r="Q360" i="34" s="1"/>
  <c r="Q359" i="34" a="1"/>
  <c r="Q359" i="34" s="1"/>
  <c r="Q358" i="34" a="1"/>
  <c r="Q358" i="34" s="1"/>
  <c r="Q357" i="34" a="1"/>
  <c r="Q357" i="34" s="1"/>
  <c r="Q356" i="34" a="1"/>
  <c r="Q356" i="34" s="1"/>
  <c r="Q355" i="34" a="1"/>
  <c r="Q355" i="34" s="1"/>
  <c r="Q354" i="34" a="1"/>
  <c r="Q354" i="34" s="1"/>
  <c r="Q353" i="34" a="1"/>
  <c r="Q353" i="34" s="1"/>
  <c r="Q352" i="34" a="1"/>
  <c r="Q352" i="34" s="1"/>
  <c r="Q351" i="34" a="1"/>
  <c r="Q351" i="34" s="1"/>
  <c r="Q350" i="34" a="1"/>
  <c r="Q350" i="34" s="1"/>
  <c r="Q349" i="34" a="1"/>
  <c r="Q349" i="34" s="1"/>
  <c r="Q348" i="34" a="1"/>
  <c r="Q348" i="34" s="1"/>
  <c r="Q347" i="34" a="1"/>
  <c r="Q347" i="34" s="1"/>
  <c r="Q346" i="34" a="1"/>
  <c r="Q346" i="34" s="1"/>
  <c r="Q345" i="34" a="1"/>
  <c r="Q345" i="34" s="1"/>
  <c r="Q344" i="34" a="1"/>
  <c r="Q344" i="34" s="1"/>
  <c r="Q343" i="34" a="1"/>
  <c r="Q343" i="34" s="1"/>
  <c r="Q342" i="34" a="1"/>
  <c r="Q342" i="34" s="1"/>
  <c r="Q341" i="34" a="1"/>
  <c r="Q341" i="34" s="1"/>
  <c r="Q340" i="34" a="1"/>
  <c r="Q340" i="34" s="1"/>
  <c r="Q339" i="34" a="1"/>
  <c r="Q339" i="34" s="1"/>
  <c r="Q338" i="34" a="1"/>
  <c r="Q338" i="34" s="1"/>
  <c r="Q337" i="34" a="1"/>
  <c r="Q337" i="34" s="1"/>
  <c r="Q336" i="34" a="1"/>
  <c r="Q336" i="34" s="1"/>
  <c r="Q335" i="34" a="1"/>
  <c r="Q335" i="34" s="1"/>
  <c r="Q334" i="34" a="1"/>
  <c r="Q334" i="34" s="1"/>
  <c r="Q333" i="34" a="1"/>
  <c r="Q333" i="34" s="1"/>
  <c r="Q332" i="34" a="1"/>
  <c r="Q332" i="34" s="1"/>
  <c r="Q331" i="34" a="1"/>
  <c r="Q331" i="34" s="1"/>
  <c r="Q330" i="34" a="1"/>
  <c r="Q330" i="34" s="1"/>
  <c r="Q329" i="34" a="1"/>
  <c r="Q329" i="34" s="1"/>
  <c r="Q328" i="34" a="1"/>
  <c r="Q328" i="34" s="1"/>
  <c r="Q327" i="34" a="1"/>
  <c r="Q327" i="34" s="1"/>
  <c r="Q326" i="34" a="1"/>
  <c r="Q326" i="34" s="1"/>
  <c r="Q325" i="34" a="1"/>
  <c r="Q325" i="34" s="1"/>
  <c r="Q324" i="34" a="1"/>
  <c r="Q324" i="34" s="1"/>
  <c r="Q323" i="34" a="1"/>
  <c r="Q323" i="34" s="1"/>
  <c r="Q322" i="34" a="1"/>
  <c r="Q322" i="34" s="1"/>
  <c r="Q321" i="34" a="1"/>
  <c r="Q321" i="34" s="1"/>
  <c r="Q320" i="34" a="1"/>
  <c r="Q320" i="34" s="1"/>
  <c r="Q319" i="34" a="1"/>
  <c r="Q319" i="34" s="1"/>
  <c r="Q318" i="34" a="1"/>
  <c r="Q318" i="34" s="1"/>
  <c r="Q317" i="34" a="1"/>
  <c r="Q317" i="34" s="1"/>
  <c r="Q316" i="34" a="1"/>
  <c r="Q316" i="34" s="1"/>
  <c r="Q315" i="34" a="1"/>
  <c r="Q315" i="34" s="1"/>
  <c r="Q314" i="34" a="1"/>
  <c r="Q314" i="34" s="1"/>
  <c r="Q313" i="34" a="1"/>
  <c r="Q313" i="34" s="1"/>
  <c r="Q312" i="34" a="1"/>
  <c r="Q312" i="34" s="1"/>
  <c r="Q311" i="34" a="1"/>
  <c r="Q311" i="34" s="1"/>
  <c r="Q310" i="34" a="1"/>
  <c r="Q310" i="34" s="1"/>
  <c r="Q309" i="34" a="1"/>
  <c r="Q309" i="34" s="1"/>
  <c r="Q308" i="34" a="1"/>
  <c r="Q308" i="34" s="1"/>
  <c r="Q307" i="34" a="1"/>
  <c r="Q307" i="34" s="1"/>
  <c r="Q306" i="34" a="1"/>
  <c r="Q306" i="34" s="1"/>
  <c r="Q305" i="34" a="1"/>
  <c r="Q305" i="34" s="1"/>
  <c r="Q304" i="34" a="1"/>
  <c r="Q304" i="34" s="1"/>
  <c r="Q303" i="34" a="1"/>
  <c r="Q303" i="34" s="1"/>
  <c r="O582" i="34" a="1"/>
  <c r="O582" i="34" s="1"/>
  <c r="U582" i="34" s="1"/>
  <c r="O581" i="34" a="1"/>
  <c r="O581" i="34" s="1"/>
  <c r="U581" i="34" s="1"/>
  <c r="O580" i="34" a="1"/>
  <c r="O580" i="34" s="1"/>
  <c r="O579" i="34" a="1"/>
  <c r="O579" i="34" s="1"/>
  <c r="U579" i="34" s="1"/>
  <c r="O578" i="34" a="1"/>
  <c r="O578" i="34" s="1"/>
  <c r="U578" i="34" s="1"/>
  <c r="O577" i="34" a="1"/>
  <c r="O577" i="34" s="1"/>
  <c r="U577" i="34" s="1"/>
  <c r="O576" i="34" a="1"/>
  <c r="O576" i="34" s="1"/>
  <c r="O575" i="34" a="1"/>
  <c r="O575" i="34" s="1"/>
  <c r="O574" i="34" a="1"/>
  <c r="O574" i="34" s="1"/>
  <c r="O573" i="34" a="1"/>
  <c r="O573" i="34" s="1"/>
  <c r="O572" i="34" a="1"/>
  <c r="O572" i="34" s="1"/>
  <c r="U572" i="34" s="1"/>
  <c r="O571" i="34" a="1"/>
  <c r="O571" i="34" s="1"/>
  <c r="O570" i="34" a="1"/>
  <c r="O570" i="34" s="1"/>
  <c r="O569" i="34" a="1"/>
  <c r="O569" i="34" s="1"/>
  <c r="O568" i="34" a="1"/>
  <c r="O568" i="34" s="1"/>
  <c r="U568" i="34" s="1"/>
  <c r="O567" i="34" a="1"/>
  <c r="O567" i="34" s="1"/>
  <c r="U567" i="34" s="1"/>
  <c r="O566" i="34" a="1"/>
  <c r="O566" i="34" s="1"/>
  <c r="U566" i="34" s="1"/>
  <c r="O565" i="34" a="1"/>
  <c r="O565" i="34" s="1"/>
  <c r="U565" i="34" s="1"/>
  <c r="O564" i="34" a="1"/>
  <c r="O564" i="34" s="1"/>
  <c r="O563" i="34" a="1"/>
  <c r="O563" i="34" s="1"/>
  <c r="O562" i="34" a="1"/>
  <c r="O562" i="34" s="1"/>
  <c r="O561" i="34" a="1"/>
  <c r="O561" i="34" s="1"/>
  <c r="O560" i="34" a="1"/>
  <c r="O560" i="34" s="1"/>
  <c r="O559" i="34" a="1"/>
  <c r="O559" i="34" s="1"/>
  <c r="O558" i="34" a="1"/>
  <c r="O558" i="34" s="1"/>
  <c r="O557" i="34" a="1"/>
  <c r="O557" i="34" s="1"/>
  <c r="U557" i="34" s="1"/>
  <c r="O556" i="34" a="1"/>
  <c r="O556" i="34" s="1"/>
  <c r="O555" i="34" a="1"/>
  <c r="O555" i="34" s="1"/>
  <c r="U555" i="34" s="1"/>
  <c r="O554" i="34" a="1"/>
  <c r="O554" i="34" s="1"/>
  <c r="U554" i="34" s="1"/>
  <c r="O553" i="34" a="1"/>
  <c r="O553" i="34" s="1"/>
  <c r="O552" i="34" a="1"/>
  <c r="O552" i="34" s="1"/>
  <c r="O551" i="34" a="1"/>
  <c r="O551" i="34" s="1"/>
  <c r="O550" i="34" a="1"/>
  <c r="O550" i="34" s="1"/>
  <c r="O549" i="34" a="1"/>
  <c r="O549" i="34" s="1"/>
  <c r="O548" i="34" a="1"/>
  <c r="O548" i="34" s="1"/>
  <c r="O547" i="34" a="1"/>
  <c r="O547" i="34" s="1"/>
  <c r="O546" i="34" a="1"/>
  <c r="O546" i="34" s="1"/>
  <c r="U546" i="34" s="1"/>
  <c r="O545" i="34" a="1"/>
  <c r="O545" i="34" s="1"/>
  <c r="U545" i="34" s="1"/>
  <c r="O544" i="34" a="1"/>
  <c r="O544" i="34" s="1"/>
  <c r="U544" i="34" s="1"/>
  <c r="O543" i="34" a="1"/>
  <c r="O543" i="34" s="1"/>
  <c r="U543" i="34" s="1"/>
  <c r="O542" i="34" a="1"/>
  <c r="O542" i="34" s="1"/>
  <c r="U542" i="34" s="1"/>
  <c r="O541" i="34" a="1"/>
  <c r="O541" i="34" s="1"/>
  <c r="O540" i="34" a="1"/>
  <c r="O540" i="34" s="1"/>
  <c r="O539" i="34" a="1"/>
  <c r="O539" i="34" s="1"/>
  <c r="O538" i="34" a="1"/>
  <c r="O538" i="34" s="1"/>
  <c r="O537" i="34" a="1"/>
  <c r="O537" i="34" s="1"/>
  <c r="O536" i="34" a="1"/>
  <c r="O536" i="34" s="1"/>
  <c r="O535" i="34" a="1"/>
  <c r="O535" i="34" s="1"/>
  <c r="U535" i="34" s="1"/>
  <c r="O534" i="34" a="1"/>
  <c r="O534" i="34" s="1"/>
  <c r="U534" i="34" s="1"/>
  <c r="O533" i="34" a="1"/>
  <c r="O533" i="34" s="1"/>
  <c r="U533" i="34" s="1"/>
  <c r="O532" i="34" a="1"/>
  <c r="O532" i="34" s="1"/>
  <c r="O531" i="34" a="1"/>
  <c r="O531" i="34" s="1"/>
  <c r="U531" i="34" s="1"/>
  <c r="O530" i="34" a="1"/>
  <c r="O530" i="34" s="1"/>
  <c r="U530" i="34" s="1"/>
  <c r="O529" i="34" a="1"/>
  <c r="O529" i="34" s="1"/>
  <c r="U529" i="34" s="1"/>
  <c r="O528" i="34" a="1"/>
  <c r="O528" i="34" s="1"/>
  <c r="O527" i="34" a="1"/>
  <c r="O527" i="34" s="1"/>
  <c r="O526" i="34" a="1"/>
  <c r="O526" i="34" s="1"/>
  <c r="O525" i="34" a="1"/>
  <c r="O525" i="34" s="1"/>
  <c r="O524" i="34" a="1"/>
  <c r="O524" i="34" s="1"/>
  <c r="U524" i="34" s="1"/>
  <c r="O523" i="34" a="1"/>
  <c r="O523" i="34" s="1"/>
  <c r="U523" i="34" s="1"/>
  <c r="O522" i="34" a="1"/>
  <c r="O522" i="34" s="1"/>
  <c r="O521" i="34" a="1"/>
  <c r="O521" i="34" s="1"/>
  <c r="U521" i="34" s="1"/>
  <c r="O520" i="34" a="1"/>
  <c r="O520" i="34" s="1"/>
  <c r="U520" i="34" s="1"/>
  <c r="O519" i="34" a="1"/>
  <c r="O519" i="34" s="1"/>
  <c r="U519" i="34" s="1"/>
  <c r="O518" i="34" a="1"/>
  <c r="O518" i="34" s="1"/>
  <c r="U518" i="34" s="1"/>
  <c r="O517" i="34" a="1"/>
  <c r="O517" i="34" s="1"/>
  <c r="O516" i="34" a="1"/>
  <c r="O516" i="34" s="1"/>
  <c r="O515" i="34" a="1"/>
  <c r="O515" i="34" s="1"/>
  <c r="O514" i="34" a="1"/>
  <c r="O514" i="34" s="1"/>
  <c r="O513" i="34" a="1"/>
  <c r="O513" i="34" s="1"/>
  <c r="O512" i="34" a="1"/>
  <c r="O512" i="34" s="1"/>
  <c r="O511" i="34" a="1"/>
  <c r="O511" i="34" s="1"/>
  <c r="U511" i="34" s="1"/>
  <c r="O510" i="34" a="1"/>
  <c r="O510" i="34" s="1"/>
  <c r="U510" i="34" s="1"/>
  <c r="O509" i="34" a="1"/>
  <c r="O509" i="34" s="1"/>
  <c r="U509" i="34" s="1"/>
  <c r="O508" i="34" a="1"/>
  <c r="O508" i="34" s="1"/>
  <c r="U508" i="34" s="1"/>
  <c r="O507" i="34" a="1"/>
  <c r="O507" i="34" s="1"/>
  <c r="U507" i="34" s="1"/>
  <c r="O506" i="34" a="1"/>
  <c r="O506" i="34" s="1"/>
  <c r="U506" i="34" s="1"/>
  <c r="O505" i="34" a="1"/>
  <c r="O505" i="34" s="1"/>
  <c r="O504" i="34" a="1"/>
  <c r="O504" i="34" s="1"/>
  <c r="O503" i="34" a="1"/>
  <c r="O503" i="34" s="1"/>
  <c r="O502" i="34" a="1"/>
  <c r="O502" i="34" s="1"/>
  <c r="O501" i="34" a="1"/>
  <c r="O501" i="34" s="1"/>
  <c r="O500" i="34" a="1"/>
  <c r="O500" i="34" s="1"/>
  <c r="O499" i="34" a="1"/>
  <c r="O499" i="34" s="1"/>
  <c r="O498" i="34" a="1"/>
  <c r="O498" i="34" s="1"/>
  <c r="U498" i="34" s="1"/>
  <c r="O497" i="34" a="1"/>
  <c r="O497" i="34" s="1"/>
  <c r="U497" i="34" s="1"/>
  <c r="O496" i="34" a="1"/>
  <c r="O496" i="34" s="1"/>
  <c r="U496" i="34" s="1"/>
  <c r="O495" i="34" a="1"/>
  <c r="O495" i="34" s="1"/>
  <c r="U495" i="34" s="1"/>
  <c r="O494" i="34" a="1"/>
  <c r="O494" i="34" s="1"/>
  <c r="U494" i="34" s="1"/>
  <c r="O493" i="34" a="1"/>
  <c r="O493" i="34" s="1"/>
  <c r="U493" i="34" s="1"/>
  <c r="O492" i="34" a="1"/>
  <c r="O492" i="34" s="1"/>
  <c r="O491" i="34" a="1"/>
  <c r="O491" i="34" s="1"/>
  <c r="O490" i="34" a="1"/>
  <c r="O490" i="34" s="1"/>
  <c r="O489" i="34" a="1"/>
  <c r="O489" i="34" s="1"/>
  <c r="O488" i="34" a="1"/>
  <c r="O488" i="34" s="1"/>
  <c r="O487" i="34" a="1"/>
  <c r="O487" i="34" s="1"/>
  <c r="U487" i="34" s="1"/>
  <c r="O486" i="34" a="1"/>
  <c r="O486" i="34" s="1"/>
  <c r="U486" i="34" s="1"/>
  <c r="O485" i="34" a="1"/>
  <c r="O485" i="34" s="1"/>
  <c r="U485" i="34" s="1"/>
  <c r="O484" i="34" a="1"/>
  <c r="O484" i="34" s="1"/>
  <c r="O483" i="34" a="1"/>
  <c r="O483" i="34" s="1"/>
  <c r="U483" i="34" s="1"/>
  <c r="O482" i="34" a="1"/>
  <c r="O482" i="34" s="1"/>
  <c r="U482" i="34" s="1"/>
  <c r="O481" i="34" a="1"/>
  <c r="O481" i="34" s="1"/>
  <c r="U481" i="34" s="1"/>
  <c r="O480" i="34" a="1"/>
  <c r="O480" i="34" s="1"/>
  <c r="O479" i="34" a="1"/>
  <c r="O479" i="34" s="1"/>
  <c r="O478" i="34" a="1"/>
  <c r="O478" i="34" s="1"/>
  <c r="O477" i="34" a="1"/>
  <c r="O477" i="34" s="1"/>
  <c r="O476" i="34" a="1"/>
  <c r="O476" i="34" s="1"/>
  <c r="U476" i="34" s="1"/>
  <c r="O475" i="34" a="1"/>
  <c r="O475" i="34" s="1"/>
  <c r="O474" i="34" a="1"/>
  <c r="O474" i="34" s="1"/>
  <c r="O473" i="34" a="1"/>
  <c r="O473" i="34" s="1"/>
  <c r="O472" i="34" a="1"/>
  <c r="O472" i="34" s="1"/>
  <c r="U472" i="34" s="1"/>
  <c r="O471" i="34" a="1"/>
  <c r="O471" i="34" s="1"/>
  <c r="O470" i="34" a="1"/>
  <c r="O470" i="34" s="1"/>
  <c r="U470" i="34" s="1"/>
  <c r="O469" i="34" a="1"/>
  <c r="O469" i="34" s="1"/>
  <c r="O468" i="34" a="1"/>
  <c r="O468" i="34" s="1"/>
  <c r="O467" i="34" a="1"/>
  <c r="O467" i="34" s="1"/>
  <c r="O466" i="34" a="1"/>
  <c r="O466" i="34" s="1"/>
  <c r="O465" i="34" a="1"/>
  <c r="O465" i="34" s="1"/>
  <c r="O464" i="34" a="1"/>
  <c r="O464" i="34" s="1"/>
  <c r="U464" i="34" s="1"/>
  <c r="O463" i="34" a="1"/>
  <c r="O463" i="34" s="1"/>
  <c r="U463" i="34" s="1"/>
  <c r="O462" i="34" a="1"/>
  <c r="O462" i="34" s="1"/>
  <c r="U462" i="34" s="1"/>
  <c r="O461" i="34" a="1"/>
  <c r="O461" i="34" s="1"/>
  <c r="U461" i="34" s="1"/>
  <c r="O460" i="34" a="1"/>
  <c r="O460" i="34" s="1"/>
  <c r="U460" i="34" s="1"/>
  <c r="O459" i="34" a="1"/>
  <c r="O459" i="34" s="1"/>
  <c r="U459" i="34" s="1"/>
  <c r="O458" i="34" a="1"/>
  <c r="O458" i="34" s="1"/>
  <c r="O457" i="34" a="1"/>
  <c r="O457" i="34" s="1"/>
  <c r="O456" i="34" a="1"/>
  <c r="O456" i="34" s="1"/>
  <c r="O455" i="34" a="1"/>
  <c r="O455" i="34" s="1"/>
  <c r="O454" i="34" a="1"/>
  <c r="O454" i="34" s="1"/>
  <c r="O453" i="34" a="1"/>
  <c r="O453" i="34" s="1"/>
  <c r="O452" i="34" a="1"/>
  <c r="O452" i="34" s="1"/>
  <c r="U452" i="34" s="1"/>
  <c r="O451" i="34" a="1"/>
  <c r="O451" i="34" s="1"/>
  <c r="U451" i="34" s="1"/>
  <c r="O450" i="34" a="1"/>
  <c r="O450" i="34" s="1"/>
  <c r="U450" i="34" s="1"/>
  <c r="O449" i="34" a="1"/>
  <c r="O449" i="34" s="1"/>
  <c r="U449" i="34" s="1"/>
  <c r="O448" i="34" a="1"/>
  <c r="O448" i="34" s="1"/>
  <c r="U448" i="34" s="1"/>
  <c r="O447" i="34" a="1"/>
  <c r="O447" i="34" s="1"/>
  <c r="U447" i="34" s="1"/>
  <c r="O446" i="34" a="1"/>
  <c r="O446" i="34" s="1"/>
  <c r="O445" i="34" a="1"/>
  <c r="O445" i="34" s="1"/>
  <c r="O444" i="34" a="1"/>
  <c r="O444" i="34" s="1"/>
  <c r="O443" i="34" a="1"/>
  <c r="O443" i="34" s="1"/>
  <c r="O442" i="34" a="1"/>
  <c r="O442" i="34" s="1"/>
  <c r="O441" i="34" a="1"/>
  <c r="O441" i="34" s="1"/>
  <c r="O440" i="34" a="1"/>
  <c r="O440" i="34" s="1"/>
  <c r="U440" i="34" s="1"/>
  <c r="O439" i="34" a="1"/>
  <c r="O439" i="34" s="1"/>
  <c r="O438" i="34" a="1"/>
  <c r="O438" i="34" s="1"/>
  <c r="U438" i="34" s="1"/>
  <c r="O437" i="34" a="1"/>
  <c r="O437" i="34" s="1"/>
  <c r="O436" i="34" a="1"/>
  <c r="O436" i="34" s="1"/>
  <c r="U436" i="34" s="1"/>
  <c r="O435" i="34" a="1"/>
  <c r="O435" i="34" s="1"/>
  <c r="U435" i="34" s="1"/>
  <c r="O434" i="34" a="1"/>
  <c r="O434" i="34" s="1"/>
  <c r="O433" i="34" a="1"/>
  <c r="O433" i="34" s="1"/>
  <c r="O432" i="34" a="1"/>
  <c r="O432" i="34" s="1"/>
  <c r="O431" i="34" a="1"/>
  <c r="O431" i="34" s="1"/>
  <c r="O430" i="34" a="1"/>
  <c r="O430" i="34" s="1"/>
  <c r="O429" i="34" a="1"/>
  <c r="O429" i="34" s="1"/>
  <c r="O428" i="34" a="1"/>
  <c r="O428" i="34" s="1"/>
  <c r="U428" i="34" s="1"/>
  <c r="O427" i="34" a="1"/>
  <c r="O427" i="34" s="1"/>
  <c r="O426" i="34" a="1"/>
  <c r="O426" i="34" s="1"/>
  <c r="U426" i="34" s="1"/>
  <c r="O425" i="34" a="1"/>
  <c r="O425" i="34" s="1"/>
  <c r="U425" i="34" s="1"/>
  <c r="O424" i="34" a="1"/>
  <c r="O424" i="34" s="1"/>
  <c r="U424" i="34" s="1"/>
  <c r="O423" i="34" a="1"/>
  <c r="O423" i="34" s="1"/>
  <c r="O422" i="34" a="1"/>
  <c r="O422" i="34" s="1"/>
  <c r="O421" i="34" a="1"/>
  <c r="O421" i="34" s="1"/>
  <c r="O420" i="34" a="1"/>
  <c r="O420" i="34" s="1"/>
  <c r="O419" i="34" a="1"/>
  <c r="O419" i="34" s="1"/>
  <c r="O418" i="34" a="1"/>
  <c r="O418" i="34" s="1"/>
  <c r="O417" i="34" a="1"/>
  <c r="O417" i="34" s="1"/>
  <c r="O416" i="34" a="1"/>
  <c r="O416" i="34" s="1"/>
  <c r="U416" i="34" s="1"/>
  <c r="O415" i="34" a="1"/>
  <c r="O415" i="34" s="1"/>
  <c r="U415" i="34" s="1"/>
  <c r="O414" i="34" a="1"/>
  <c r="O414" i="34" s="1"/>
  <c r="U414" i="34" s="1"/>
  <c r="O413" i="34" a="1"/>
  <c r="O413" i="34" s="1"/>
  <c r="U413" i="34" s="1"/>
  <c r="O412" i="34" a="1"/>
  <c r="O412" i="34" s="1"/>
  <c r="U412" i="34" s="1"/>
  <c r="O411" i="34" a="1"/>
  <c r="O411" i="34" s="1"/>
  <c r="O410" i="34" a="1"/>
  <c r="O410" i="34" s="1"/>
  <c r="O409" i="34" a="1"/>
  <c r="O409" i="34" s="1"/>
  <c r="O408" i="34" a="1"/>
  <c r="O408" i="34" s="1"/>
  <c r="O407" i="34" a="1"/>
  <c r="O407" i="34" s="1"/>
  <c r="O406" i="34" a="1"/>
  <c r="O406" i="34" s="1"/>
  <c r="O405" i="34" a="1"/>
  <c r="O405" i="34" s="1"/>
  <c r="U405" i="34" s="1"/>
  <c r="O404" i="34" a="1"/>
  <c r="O404" i="34" s="1"/>
  <c r="U404" i="34" s="1"/>
  <c r="O403" i="34" a="1"/>
  <c r="O403" i="34" s="1"/>
  <c r="U403" i="34" s="1"/>
  <c r="O402" i="34" a="1"/>
  <c r="O402" i="34" s="1"/>
  <c r="U402" i="34" s="1"/>
  <c r="O401" i="34" a="1"/>
  <c r="O401" i="34" s="1"/>
  <c r="O400" i="34" a="1"/>
  <c r="O400" i="34" s="1"/>
  <c r="O399" i="34" a="1"/>
  <c r="O399" i="34" s="1"/>
  <c r="O398" i="34" a="1"/>
  <c r="O398" i="34" s="1"/>
  <c r="O397" i="34" a="1"/>
  <c r="O397" i="34" s="1"/>
  <c r="O396" i="34" a="1"/>
  <c r="O396" i="34" s="1"/>
  <c r="O395" i="34" a="1"/>
  <c r="O395" i="34" s="1"/>
  <c r="O394" i="34" a="1"/>
  <c r="O394" i="34" s="1"/>
  <c r="U394" i="34" s="1"/>
  <c r="O393" i="34" a="1"/>
  <c r="O393" i="34" s="1"/>
  <c r="U393" i="34" s="1"/>
  <c r="O392" i="34" a="1"/>
  <c r="O392" i="34" s="1"/>
  <c r="U392" i="34" s="1"/>
  <c r="O391" i="34" a="1"/>
  <c r="O391" i="34" s="1"/>
  <c r="U391" i="34" s="1"/>
  <c r="O390" i="34" a="1"/>
  <c r="O390" i="34" s="1"/>
  <c r="O389" i="34" a="1"/>
  <c r="O389" i="34" s="1"/>
  <c r="U389" i="34" s="1"/>
  <c r="O388" i="34" a="1"/>
  <c r="O388" i="34" s="1"/>
  <c r="U388" i="34" s="1"/>
  <c r="O387" i="34" a="1"/>
  <c r="O387" i="34" s="1"/>
  <c r="O386" i="34" a="1"/>
  <c r="O386" i="34" s="1"/>
  <c r="O385" i="34" a="1"/>
  <c r="O385" i="34" s="1"/>
  <c r="O384" i="34" a="1"/>
  <c r="O384" i="34" s="1"/>
  <c r="O383" i="34" a="1"/>
  <c r="O383" i="34" s="1"/>
  <c r="O382" i="34" a="1"/>
  <c r="O382" i="34" s="1"/>
  <c r="U382" i="34" s="1"/>
  <c r="O381" i="34" a="1"/>
  <c r="O381" i="34" s="1"/>
  <c r="O380" i="34" a="1"/>
  <c r="O380" i="34" s="1"/>
  <c r="U380" i="34" s="1"/>
  <c r="O379" i="34" a="1"/>
  <c r="O379" i="34" s="1"/>
  <c r="U379" i="34" s="1"/>
  <c r="O378" i="34" a="1"/>
  <c r="O378" i="34" s="1"/>
  <c r="U378" i="34" s="1"/>
  <c r="O377" i="34" a="1"/>
  <c r="O377" i="34" s="1"/>
  <c r="U377" i="34" s="1"/>
  <c r="O376" i="34" a="1"/>
  <c r="O376" i="34" s="1"/>
  <c r="U376" i="34" s="1"/>
  <c r="O375" i="34" a="1"/>
  <c r="O375" i="34" s="1"/>
  <c r="O374" i="34" a="1"/>
  <c r="O374" i="34" s="1"/>
  <c r="O373" i="34" a="1"/>
  <c r="O373" i="34" s="1"/>
  <c r="O372" i="34" a="1"/>
  <c r="O372" i="34" s="1"/>
  <c r="O371" i="34" a="1"/>
  <c r="O371" i="34" s="1"/>
  <c r="O370" i="34" a="1"/>
  <c r="O370" i="34" s="1"/>
  <c r="U370" i="34" s="1"/>
  <c r="O369" i="34" a="1"/>
  <c r="O369" i="34" s="1"/>
  <c r="U369" i="34" s="1"/>
  <c r="O368" i="34" a="1"/>
  <c r="O368" i="34" s="1"/>
  <c r="U368" i="34" s="1"/>
  <c r="O367" i="34" a="1"/>
  <c r="O367" i="34" s="1"/>
  <c r="U367" i="34" s="1"/>
  <c r="O366" i="34" a="1"/>
  <c r="O366" i="34" s="1"/>
  <c r="U366" i="34" s="1"/>
  <c r="O365" i="34" a="1"/>
  <c r="O365" i="34" s="1"/>
  <c r="O364" i="34" a="1"/>
  <c r="O364" i="34" s="1"/>
  <c r="O363" i="34" a="1"/>
  <c r="O363" i="34" s="1"/>
  <c r="O362" i="34" a="1"/>
  <c r="O362" i="34" s="1"/>
  <c r="O361" i="34" a="1"/>
  <c r="O361" i="34" s="1"/>
  <c r="O360" i="34" a="1"/>
  <c r="O360" i="34" s="1"/>
  <c r="O359" i="34" a="1"/>
  <c r="O359" i="34" s="1"/>
  <c r="O358" i="34" a="1"/>
  <c r="O358" i="34" s="1"/>
  <c r="U358" i="34" s="1"/>
  <c r="O357" i="34" a="1"/>
  <c r="O357" i="34" s="1"/>
  <c r="U357" i="34" s="1"/>
  <c r="O356" i="34" a="1"/>
  <c r="O356" i="34" s="1"/>
  <c r="U356" i="34" s="1"/>
  <c r="O355" i="34" a="1"/>
  <c r="O355" i="34" s="1"/>
  <c r="U355" i="34" s="1"/>
  <c r="O354" i="34" a="1"/>
  <c r="O354" i="34" s="1"/>
  <c r="U354" i="34" s="1"/>
  <c r="O353" i="34" a="1"/>
  <c r="O353" i="34" s="1"/>
  <c r="U353" i="34" s="1"/>
  <c r="O352" i="34" a="1"/>
  <c r="O352" i="34" s="1"/>
  <c r="O351" i="34" a="1"/>
  <c r="O351" i="34" s="1"/>
  <c r="O350" i="34" a="1"/>
  <c r="O350" i="34" s="1"/>
  <c r="O349" i="34" a="1"/>
  <c r="O349" i="34" s="1"/>
  <c r="O348" i="34" a="1"/>
  <c r="O348" i="34" s="1"/>
  <c r="O347" i="34" a="1"/>
  <c r="O347" i="34" s="1"/>
  <c r="O346" i="34" a="1"/>
  <c r="O346" i="34" s="1"/>
  <c r="U346" i="34" s="1"/>
  <c r="O345" i="34" a="1"/>
  <c r="O345" i="34" s="1"/>
  <c r="U345" i="34" s="1"/>
  <c r="O344" i="34" a="1"/>
  <c r="O344" i="34" s="1"/>
  <c r="U344" i="34" s="1"/>
  <c r="O343" i="34" a="1"/>
  <c r="O343" i="34" s="1"/>
  <c r="O342" i="34" a="1"/>
  <c r="O342" i="34" s="1"/>
  <c r="U342" i="34" s="1"/>
  <c r="O341" i="34" a="1"/>
  <c r="O341" i="34" s="1"/>
  <c r="U341" i="34" s="1"/>
  <c r="O340" i="34" a="1"/>
  <c r="O340" i="34" s="1"/>
  <c r="O339" i="34" a="1"/>
  <c r="O339" i="34" s="1"/>
  <c r="O338" i="34" a="1"/>
  <c r="O338" i="34" s="1"/>
  <c r="O337" i="34" a="1"/>
  <c r="O337" i="34" s="1"/>
  <c r="O336" i="34" a="1"/>
  <c r="O336" i="34" s="1"/>
  <c r="O335" i="34" a="1"/>
  <c r="O335" i="34" s="1"/>
  <c r="U335" i="34" s="1"/>
  <c r="O334" i="34" a="1"/>
  <c r="O334" i="34" s="1"/>
  <c r="U334" i="34" s="1"/>
  <c r="O333" i="34" a="1"/>
  <c r="O333" i="34" s="1"/>
  <c r="O332" i="34" a="1"/>
  <c r="O332" i="34" s="1"/>
  <c r="U332" i="34" s="1"/>
  <c r="O331" i="34" a="1"/>
  <c r="O331" i="34" s="1"/>
  <c r="U331" i="34" s="1"/>
  <c r="O330" i="34" a="1"/>
  <c r="O330" i="34" s="1"/>
  <c r="U330" i="34" s="1"/>
  <c r="O329" i="34" a="1"/>
  <c r="O329" i="34" s="1"/>
  <c r="U329" i="34" s="1"/>
  <c r="O328" i="34" a="1"/>
  <c r="O328" i="34" s="1"/>
  <c r="O327" i="34" a="1"/>
  <c r="O327" i="34" s="1"/>
  <c r="O326" i="34" a="1"/>
  <c r="O326" i="34" s="1"/>
  <c r="O325" i="34" a="1"/>
  <c r="O325" i="34" s="1"/>
  <c r="O324" i="34" a="1"/>
  <c r="O324" i="34" s="1"/>
  <c r="O323" i="34" a="1"/>
  <c r="O323" i="34" s="1"/>
  <c r="U323" i="34" s="1"/>
  <c r="O322" i="34" a="1"/>
  <c r="O322" i="34" s="1"/>
  <c r="U322" i="34" s="1"/>
  <c r="O321" i="34" a="1"/>
  <c r="O321" i="34" s="1"/>
  <c r="U321" i="34" s="1"/>
  <c r="O320" i="34" a="1"/>
  <c r="O320" i="34" s="1"/>
  <c r="U320" i="34" s="1"/>
  <c r="O319" i="34" a="1"/>
  <c r="O319" i="34" s="1"/>
  <c r="U319" i="34" s="1"/>
  <c r="O318" i="34" a="1"/>
  <c r="O318" i="34" s="1"/>
  <c r="U318" i="34" s="1"/>
  <c r="O317" i="34" a="1"/>
  <c r="O317" i="34" s="1"/>
  <c r="O316" i="34" a="1"/>
  <c r="O316" i="34" s="1"/>
  <c r="O315" i="34" a="1"/>
  <c r="O315" i="34" s="1"/>
  <c r="O314" i="34" a="1"/>
  <c r="O314" i="34" s="1"/>
  <c r="O313" i="34" a="1"/>
  <c r="O313" i="34" s="1"/>
  <c r="O312" i="34" a="1"/>
  <c r="O312" i="34" s="1"/>
  <c r="U312" i="34" s="1"/>
  <c r="O311" i="34" a="1"/>
  <c r="O311" i="34" s="1"/>
  <c r="U311" i="34" s="1"/>
  <c r="O310" i="34" a="1"/>
  <c r="O310" i="34" s="1"/>
  <c r="U310" i="34" s="1"/>
  <c r="O309" i="34" a="1"/>
  <c r="O309" i="34" s="1"/>
  <c r="U309" i="34" s="1"/>
  <c r="O308" i="34" a="1"/>
  <c r="O308" i="34" s="1"/>
  <c r="U308" i="34" s="1"/>
  <c r="O307" i="34" a="1"/>
  <c r="O307" i="34" s="1"/>
  <c r="O306" i="34" a="1"/>
  <c r="O306" i="34" s="1"/>
  <c r="O305" i="34" a="1"/>
  <c r="O305" i="34" s="1"/>
  <c r="O304" i="34" a="1"/>
  <c r="O304" i="34" s="1"/>
  <c r="O303" i="34" a="1"/>
  <c r="O303" i="34" s="1"/>
  <c r="AA302" i="34" a="1"/>
  <c r="AA302" i="34" s="1"/>
  <c r="T302" i="34" a="1"/>
  <c r="T302" i="34" s="1"/>
  <c r="P302" i="34" a="1"/>
  <c r="P302" i="34" s="1"/>
  <c r="AA301" i="34" a="1"/>
  <c r="AA301" i="34" s="1"/>
  <c r="T301" i="34" a="1"/>
  <c r="T301" i="34" s="1"/>
  <c r="P301" i="34" a="1"/>
  <c r="P301" i="34" s="1"/>
  <c r="AA300" i="34" a="1"/>
  <c r="AA300" i="34" s="1"/>
  <c r="T300" i="34" a="1"/>
  <c r="T300" i="34" s="1"/>
  <c r="P300" i="34" a="1"/>
  <c r="P300" i="34" s="1"/>
  <c r="AA299" i="34" a="1"/>
  <c r="AA299" i="34" s="1"/>
  <c r="T299" i="34" a="1"/>
  <c r="T299" i="34" s="1"/>
  <c r="AA298" i="34" a="1"/>
  <c r="AA298" i="34" s="1"/>
  <c r="T298" i="34" a="1"/>
  <c r="T298" i="34" s="1"/>
  <c r="P298" i="34" a="1"/>
  <c r="P298" i="34" s="1"/>
  <c r="AA297" i="34" a="1"/>
  <c r="AA297" i="34" s="1"/>
  <c r="T297" i="34" a="1"/>
  <c r="T297" i="34" s="1"/>
  <c r="P297" i="34" a="1"/>
  <c r="P297" i="34" s="1"/>
  <c r="AA296" i="34" a="1"/>
  <c r="AA296" i="34" s="1"/>
  <c r="T296" i="34" a="1"/>
  <c r="T296" i="34" s="1"/>
  <c r="AA295" i="34" a="1"/>
  <c r="AA295" i="34" s="1"/>
  <c r="T295" i="34" a="1"/>
  <c r="T295" i="34" s="1"/>
  <c r="P295" i="34" a="1"/>
  <c r="P295" i="34" s="1"/>
  <c r="AA294" i="34" a="1"/>
  <c r="AA294" i="34" s="1"/>
  <c r="T294" i="34" a="1"/>
  <c r="T294" i="34" s="1"/>
  <c r="P294" i="34" a="1"/>
  <c r="P294" i="34" s="1"/>
  <c r="AA293" i="34" a="1"/>
  <c r="AA293" i="34" s="1"/>
  <c r="T293" i="34" a="1"/>
  <c r="T293" i="34" s="1"/>
  <c r="P293" i="34" a="1"/>
  <c r="P293" i="34" s="1"/>
  <c r="AA292" i="34" a="1"/>
  <c r="AA292" i="34" s="1"/>
  <c r="T292" i="34" a="1"/>
  <c r="T292" i="34" s="1"/>
  <c r="AA291" i="34" a="1"/>
  <c r="AA291" i="34" s="1"/>
  <c r="T291" i="34" a="1"/>
  <c r="T291" i="34" s="1"/>
  <c r="P291" i="34" a="1"/>
  <c r="P291" i="34" s="1"/>
  <c r="AA290" i="34" a="1"/>
  <c r="AA290" i="34" s="1"/>
  <c r="T290" i="34" a="1"/>
  <c r="T290" i="34" s="1"/>
  <c r="P290" i="34" a="1"/>
  <c r="P290" i="34" s="1"/>
  <c r="AA289" i="34" a="1"/>
  <c r="AA289" i="34" s="1"/>
  <c r="T289" i="34" a="1"/>
  <c r="T289" i="34" s="1"/>
  <c r="AA288" i="34" a="1"/>
  <c r="AA288" i="34" s="1"/>
  <c r="T288" i="34" a="1"/>
  <c r="T288" i="34" s="1"/>
  <c r="P288" i="34" a="1"/>
  <c r="P288" i="34" s="1"/>
  <c r="AA287" i="34" a="1"/>
  <c r="AA287" i="34" s="1"/>
  <c r="T287" i="34" a="1"/>
  <c r="T287" i="34" s="1"/>
  <c r="AA286" i="34" a="1"/>
  <c r="AA286" i="34" s="1"/>
  <c r="T286" i="34" a="1"/>
  <c r="T286" i="34" s="1"/>
  <c r="AA285" i="34" a="1"/>
  <c r="AA285" i="34" s="1"/>
  <c r="T285" i="34" a="1"/>
  <c r="T285" i="34" s="1"/>
  <c r="AA284" i="34" a="1"/>
  <c r="AA284" i="34" s="1"/>
  <c r="T284" i="34" a="1"/>
  <c r="T284" i="34" s="1"/>
  <c r="P284" i="34" a="1"/>
  <c r="P284" i="34" s="1"/>
  <c r="AA283" i="34" a="1"/>
  <c r="AA283" i="34" s="1"/>
  <c r="T283" i="34" a="1"/>
  <c r="T283" i="34" s="1"/>
  <c r="P283" i="34" a="1"/>
  <c r="P283" i="34" s="1"/>
  <c r="AA282" i="34" a="1"/>
  <c r="AA282" i="34" s="1"/>
  <c r="T282" i="34" a="1"/>
  <c r="T282" i="34" s="1"/>
  <c r="P282" i="34" a="1"/>
  <c r="P282" i="34" s="1"/>
  <c r="AA281" i="34" a="1"/>
  <c r="AA281" i="34" s="1"/>
  <c r="T281" i="34" a="1"/>
  <c r="T281" i="34" s="1"/>
  <c r="P281" i="34" a="1"/>
  <c r="P281" i="34" s="1"/>
  <c r="AA280" i="34" a="1"/>
  <c r="AA280" i="34" s="1"/>
  <c r="T280" i="34" a="1"/>
  <c r="T280" i="34" s="1"/>
  <c r="P280" i="34" a="1"/>
  <c r="P280" i="34" s="1"/>
  <c r="AA279" i="34" a="1"/>
  <c r="AA279" i="34" s="1"/>
  <c r="T279" i="34" a="1"/>
  <c r="T279" i="34" s="1"/>
  <c r="P279" i="34" a="1"/>
  <c r="P279" i="34" s="1"/>
  <c r="AA278" i="34" a="1"/>
  <c r="AA278" i="34" s="1"/>
  <c r="T278" i="34" a="1"/>
  <c r="T278" i="34" s="1"/>
  <c r="P278" i="34" a="1"/>
  <c r="P278" i="34" s="1"/>
  <c r="AA277" i="34" a="1"/>
  <c r="AA277" i="34" s="1"/>
  <c r="T277" i="34" a="1"/>
  <c r="T277" i="34" s="1"/>
  <c r="P277" i="34" a="1"/>
  <c r="P277" i="34" s="1"/>
  <c r="AA276" i="34" a="1"/>
  <c r="AA276" i="34" s="1"/>
  <c r="T276" i="34" a="1"/>
  <c r="T276" i="34" s="1"/>
  <c r="P276" i="34" a="1"/>
  <c r="P276" i="34" s="1"/>
  <c r="AA275" i="34" a="1"/>
  <c r="AA275" i="34" s="1"/>
  <c r="T275" i="34" a="1"/>
  <c r="T275" i="34" s="1"/>
  <c r="P275" i="34" a="1"/>
  <c r="P275" i="34" s="1"/>
  <c r="AA274" i="34" a="1"/>
  <c r="AA274" i="34" s="1"/>
  <c r="T274" i="34" a="1"/>
  <c r="T274" i="34" s="1"/>
  <c r="P274" i="34" a="1"/>
  <c r="P274" i="34" s="1"/>
  <c r="AA273" i="34" a="1"/>
  <c r="AA273" i="34" s="1"/>
  <c r="T273" i="34" a="1"/>
  <c r="T273" i="34" s="1"/>
  <c r="P273" i="34" a="1"/>
  <c r="P273" i="34" s="1"/>
  <c r="AA272" i="34" a="1"/>
  <c r="AA272" i="34" s="1"/>
  <c r="T272" i="34" a="1"/>
  <c r="T272" i="34" s="1"/>
  <c r="P272" i="34" a="1"/>
  <c r="P272" i="34" s="1"/>
  <c r="AA271" i="34" a="1"/>
  <c r="AA271" i="34" s="1"/>
  <c r="T271" i="34" a="1"/>
  <c r="T271" i="34" s="1"/>
  <c r="AA270" i="34" a="1"/>
  <c r="AA270" i="34" s="1"/>
  <c r="T270" i="34" a="1"/>
  <c r="T270" i="34" s="1"/>
  <c r="P270" i="34" a="1"/>
  <c r="P270" i="34" s="1"/>
  <c r="AA269" i="34" a="1"/>
  <c r="AA269" i="34" s="1"/>
  <c r="T269" i="34" a="1"/>
  <c r="T269" i="34" s="1"/>
  <c r="P269" i="34" a="1"/>
  <c r="P269" i="34" s="1"/>
  <c r="AA268" i="34" a="1"/>
  <c r="AA268" i="34" s="1"/>
  <c r="T268" i="34" a="1"/>
  <c r="T268" i="34" s="1"/>
  <c r="P268" i="34" a="1"/>
  <c r="P268" i="34" s="1"/>
  <c r="AA267" i="34" a="1"/>
  <c r="AA267" i="34" s="1"/>
  <c r="T267" i="34" a="1"/>
  <c r="T267" i="34" s="1"/>
  <c r="P267" i="34" a="1"/>
  <c r="P267" i="34" s="1"/>
  <c r="AA266" i="34" a="1"/>
  <c r="AA266" i="34" s="1"/>
  <c r="T266" i="34" a="1"/>
  <c r="T266" i="34" s="1"/>
  <c r="P266" i="34" a="1"/>
  <c r="P266" i="34" s="1"/>
  <c r="AA265" i="34" a="1"/>
  <c r="AA265" i="34" s="1"/>
  <c r="T265" i="34" a="1"/>
  <c r="T265" i="34" s="1"/>
  <c r="AA264" i="34" a="1"/>
  <c r="AA264" i="34" s="1"/>
  <c r="T264" i="34" a="1"/>
  <c r="T264" i="34" s="1"/>
  <c r="P264" i="34" a="1"/>
  <c r="P264" i="34" s="1"/>
  <c r="AA263" i="34" a="1"/>
  <c r="AA263" i="34" s="1"/>
  <c r="T263" i="34" a="1"/>
  <c r="T263" i="34" s="1"/>
  <c r="P263" i="34" a="1"/>
  <c r="P263" i="34" s="1"/>
  <c r="AA262" i="34" a="1"/>
  <c r="AA262" i="34" s="1"/>
  <c r="T262" i="34" a="1"/>
  <c r="T262" i="34" s="1"/>
  <c r="P262" i="34" a="1"/>
  <c r="P262" i="34" s="1"/>
  <c r="AA261" i="34" a="1"/>
  <c r="AA261" i="34" s="1"/>
  <c r="T261" i="34" a="1"/>
  <c r="T261" i="34" s="1"/>
  <c r="P261" i="34" a="1"/>
  <c r="P261" i="34" s="1"/>
  <c r="AA260" i="34" a="1"/>
  <c r="AA260" i="34" s="1"/>
  <c r="T260" i="34" a="1"/>
  <c r="T260" i="34" s="1"/>
  <c r="P260" i="34" a="1"/>
  <c r="P260" i="34" s="1"/>
  <c r="AA259" i="34" a="1"/>
  <c r="AA259" i="34" s="1"/>
  <c r="T259" i="34" a="1"/>
  <c r="T259" i="34" s="1"/>
  <c r="P259" i="34" a="1"/>
  <c r="P259" i="34" s="1"/>
  <c r="AA258" i="34" a="1"/>
  <c r="AA258" i="34" s="1"/>
  <c r="T258" i="34" a="1"/>
  <c r="T258" i="34" s="1"/>
  <c r="P258" i="34" a="1"/>
  <c r="P258" i="34" s="1"/>
  <c r="AA257" i="34" a="1"/>
  <c r="AA257" i="34" s="1"/>
  <c r="T257" i="34" a="1"/>
  <c r="T257" i="34" s="1"/>
  <c r="P257" i="34" a="1"/>
  <c r="P257" i="34" s="1"/>
  <c r="AA256" i="34" a="1"/>
  <c r="AA256" i="34" s="1"/>
  <c r="T256" i="34" a="1"/>
  <c r="T256" i="34" s="1"/>
  <c r="P256" i="34" a="1"/>
  <c r="P256" i="34" s="1"/>
  <c r="AA255" i="34" a="1"/>
  <c r="AA255" i="34" s="1"/>
  <c r="T255" i="34" a="1"/>
  <c r="T255" i="34" s="1"/>
  <c r="AA254" i="34" a="1"/>
  <c r="AA254" i="34" s="1"/>
  <c r="T254" i="34" a="1"/>
  <c r="T254" i="34" s="1"/>
  <c r="AA253" i="34" a="1"/>
  <c r="AA253" i="34" s="1"/>
  <c r="T253" i="34" a="1"/>
  <c r="T253" i="34" s="1"/>
  <c r="P253" i="34" a="1"/>
  <c r="P253" i="34" s="1"/>
  <c r="AA252" i="34" a="1"/>
  <c r="AA252" i="34" s="1"/>
  <c r="T252" i="34" a="1"/>
  <c r="T252" i="34" s="1"/>
  <c r="AA251" i="34" a="1"/>
  <c r="AA251" i="34" s="1"/>
  <c r="T251" i="34" a="1"/>
  <c r="T251" i="34" s="1"/>
  <c r="P251" i="34" a="1"/>
  <c r="P251" i="34" s="1"/>
  <c r="AA250" i="34" a="1"/>
  <c r="AA250" i="34" s="1"/>
  <c r="T250" i="34" a="1"/>
  <c r="T250" i="34" s="1"/>
  <c r="AA249" i="34" a="1"/>
  <c r="AA249" i="34" s="1"/>
  <c r="T249" i="34" a="1"/>
  <c r="T249" i="34" s="1"/>
  <c r="AA248" i="34" a="1"/>
  <c r="AA248" i="34" s="1"/>
  <c r="T248" i="34" a="1"/>
  <c r="T248" i="34" s="1"/>
  <c r="P248" i="34" a="1"/>
  <c r="P248" i="34" s="1"/>
  <c r="AA247" i="34" a="1"/>
  <c r="AA247" i="34" s="1"/>
  <c r="T247" i="34" a="1"/>
  <c r="T247" i="34" s="1"/>
  <c r="AA246" i="34" a="1"/>
  <c r="AA246" i="34" s="1"/>
  <c r="T246" i="34" a="1"/>
  <c r="T246" i="34" s="1"/>
  <c r="P246" i="34" a="1"/>
  <c r="P246" i="34" s="1"/>
  <c r="AA245" i="34" a="1"/>
  <c r="AA245" i="34" s="1"/>
  <c r="T245" i="34" a="1"/>
  <c r="T245" i="34" s="1"/>
  <c r="P245" i="34" a="1"/>
  <c r="P245" i="34" s="1"/>
  <c r="AA244" i="34" a="1"/>
  <c r="AA244" i="34" s="1"/>
  <c r="T244" i="34" a="1"/>
  <c r="T244" i="34" s="1"/>
  <c r="P244" i="34" a="1"/>
  <c r="P244" i="34" s="1"/>
  <c r="AA243" i="34" a="1"/>
  <c r="AA243" i="34" s="1"/>
  <c r="T243" i="34" a="1"/>
  <c r="T243" i="34" s="1"/>
  <c r="P243" i="34" a="1"/>
  <c r="P243" i="34" s="1"/>
  <c r="AA242" i="34" a="1"/>
  <c r="AA242" i="34" s="1"/>
  <c r="T242" i="34" a="1"/>
  <c r="T242" i="34" s="1"/>
  <c r="AA241" i="34" a="1"/>
  <c r="AA241" i="34" s="1"/>
  <c r="T241" i="34" a="1"/>
  <c r="T241" i="34" s="1"/>
  <c r="AA240" i="34" a="1"/>
  <c r="AA240" i="34" s="1"/>
  <c r="T240" i="34" a="1"/>
  <c r="T240" i="34" s="1"/>
  <c r="P240" i="34" a="1"/>
  <c r="P240" i="34" s="1"/>
  <c r="AA239" i="34" a="1"/>
  <c r="AA239" i="34" s="1"/>
  <c r="T239" i="34" a="1"/>
  <c r="T239" i="34" s="1"/>
  <c r="P239" i="34" a="1"/>
  <c r="P239" i="34" s="1"/>
  <c r="AA238" i="34" a="1"/>
  <c r="AA238" i="34" s="1"/>
  <c r="T238" i="34" a="1"/>
  <c r="T238" i="34" s="1"/>
  <c r="P238" i="34" a="1"/>
  <c r="P238" i="34" s="1"/>
  <c r="AA237" i="34" a="1"/>
  <c r="AA237" i="34" s="1"/>
  <c r="T237" i="34" a="1"/>
  <c r="T237" i="34" s="1"/>
  <c r="P237" i="34" a="1"/>
  <c r="P237" i="34" s="1"/>
  <c r="AA236" i="34" a="1"/>
  <c r="AA236" i="34" s="1"/>
  <c r="T236" i="34" a="1"/>
  <c r="T236" i="34" s="1"/>
  <c r="P236" i="34" a="1"/>
  <c r="P236" i="34" s="1"/>
  <c r="AA235" i="34" a="1"/>
  <c r="AA235" i="34" s="1"/>
  <c r="T235" i="34" a="1"/>
  <c r="T235" i="34" s="1"/>
  <c r="AA234" i="34" a="1"/>
  <c r="AA234" i="34" s="1"/>
  <c r="T234" i="34" a="1"/>
  <c r="T234" i="34" s="1"/>
  <c r="P234" i="34" a="1"/>
  <c r="P234" i="34" s="1"/>
  <c r="AA233" i="34" a="1"/>
  <c r="AA233" i="34" s="1"/>
  <c r="T233" i="34" a="1"/>
  <c r="T233" i="34" s="1"/>
  <c r="AA232" i="34" a="1"/>
  <c r="AA232" i="34" s="1"/>
  <c r="T232" i="34" a="1"/>
  <c r="T232" i="34" s="1"/>
  <c r="P232" i="34" a="1"/>
  <c r="P232" i="34" s="1"/>
  <c r="AA231" i="34" a="1"/>
  <c r="AA231" i="34" s="1"/>
  <c r="T231" i="34" a="1"/>
  <c r="T231" i="34" s="1"/>
  <c r="P231" i="34" a="1"/>
  <c r="P231" i="34" s="1"/>
  <c r="AA230" i="34" a="1"/>
  <c r="AA230" i="34" s="1"/>
  <c r="T230" i="34" a="1"/>
  <c r="T230" i="34" s="1"/>
  <c r="AA229" i="34" a="1"/>
  <c r="AA229" i="34" s="1"/>
  <c r="T229" i="34" a="1"/>
  <c r="T229" i="34" s="1"/>
  <c r="AA228" i="34" a="1"/>
  <c r="AA228" i="34" s="1"/>
  <c r="T228" i="34" a="1"/>
  <c r="T228" i="34" s="1"/>
  <c r="P228" i="34" a="1"/>
  <c r="P228" i="34" s="1"/>
  <c r="AA227" i="34" a="1"/>
  <c r="AA227" i="34" s="1"/>
  <c r="T227" i="34" a="1"/>
  <c r="T227" i="34" s="1"/>
  <c r="P227" i="34" a="1"/>
  <c r="P227" i="34" s="1"/>
  <c r="AA226" i="34" a="1"/>
  <c r="AA226" i="34" s="1"/>
  <c r="T226" i="34" a="1"/>
  <c r="T226" i="34" s="1"/>
  <c r="P226" i="34" a="1"/>
  <c r="P226" i="34" s="1"/>
  <c r="AA225" i="34" a="1"/>
  <c r="AA225" i="34" s="1"/>
  <c r="T225" i="34" a="1"/>
  <c r="T225" i="34" s="1"/>
  <c r="P225" i="34" a="1"/>
  <c r="P225" i="34" s="1"/>
  <c r="AA224" i="34" a="1"/>
  <c r="AA224" i="34" s="1"/>
  <c r="T224" i="34" a="1"/>
  <c r="T224" i="34" s="1"/>
  <c r="P224" i="34" a="1"/>
  <c r="P224" i="34" s="1"/>
  <c r="AA223" i="34" a="1"/>
  <c r="AA223" i="34" s="1"/>
  <c r="T223" i="34" a="1"/>
  <c r="T223" i="34" s="1"/>
  <c r="P223" i="34" a="1"/>
  <c r="P223" i="34" s="1"/>
  <c r="AA222" i="34" a="1"/>
  <c r="AA222" i="34" s="1"/>
  <c r="T222" i="34" a="1"/>
  <c r="T222" i="34" s="1"/>
  <c r="P222" i="34" a="1"/>
  <c r="P222" i="34" s="1"/>
  <c r="AA221" i="34" a="1"/>
  <c r="AA221" i="34" s="1"/>
  <c r="T221" i="34" a="1"/>
  <c r="T221" i="34" s="1"/>
  <c r="AA220" i="34" a="1"/>
  <c r="AA220" i="34" s="1"/>
  <c r="T220" i="34" a="1"/>
  <c r="T220" i="34" s="1"/>
  <c r="P220" i="34" a="1"/>
  <c r="P220" i="34" s="1"/>
  <c r="AA219" i="34" a="1"/>
  <c r="AA219" i="34" s="1"/>
  <c r="T219" i="34" a="1"/>
  <c r="T219" i="34" s="1"/>
  <c r="P219" i="34" a="1"/>
  <c r="P219" i="34" s="1"/>
  <c r="AA218" i="34" a="1"/>
  <c r="AA218" i="34" s="1"/>
  <c r="T218" i="34" a="1"/>
  <c r="T218" i="34" s="1"/>
  <c r="P218" i="34" a="1"/>
  <c r="P218" i="34" s="1"/>
  <c r="AA217" i="34" a="1"/>
  <c r="AA217" i="34" s="1"/>
  <c r="T217" i="34" a="1"/>
  <c r="T217" i="34" s="1"/>
  <c r="AA216" i="34" a="1"/>
  <c r="AA216" i="34" s="1"/>
  <c r="T216" i="34" a="1"/>
  <c r="T216" i="34" s="1"/>
  <c r="AA215" i="34" a="1"/>
  <c r="AA215" i="34" s="1"/>
  <c r="T215" i="34" a="1"/>
  <c r="T215" i="34" s="1"/>
  <c r="P215" i="34" a="1"/>
  <c r="P215" i="34" s="1"/>
  <c r="AA214" i="34" a="1"/>
  <c r="AA214" i="34" s="1"/>
  <c r="T214" i="34" a="1"/>
  <c r="T214" i="34" s="1"/>
  <c r="P214" i="34" a="1"/>
  <c r="P214" i="34" s="1"/>
  <c r="AA213" i="34" a="1"/>
  <c r="AA213" i="34" s="1"/>
  <c r="T213" i="34" a="1"/>
  <c r="T213" i="34" s="1"/>
  <c r="P213" i="34" a="1"/>
  <c r="P213" i="34" s="1"/>
  <c r="AA212" i="34" a="1"/>
  <c r="AA212" i="34" s="1"/>
  <c r="T212" i="34" a="1"/>
  <c r="T212" i="34" s="1"/>
  <c r="P212" i="34" a="1"/>
  <c r="P212" i="34" s="1"/>
  <c r="AA211" i="34" a="1"/>
  <c r="AA211" i="34" s="1"/>
  <c r="T211" i="34" a="1"/>
  <c r="T211" i="34" s="1"/>
  <c r="P211" i="34" a="1"/>
  <c r="P211" i="34" s="1"/>
  <c r="AA210" i="34" a="1"/>
  <c r="AA210" i="34" s="1"/>
  <c r="T210" i="34" a="1"/>
  <c r="T210" i="34" s="1"/>
  <c r="P210" i="34" a="1"/>
  <c r="P210" i="34" s="1"/>
  <c r="AA209" i="34" a="1"/>
  <c r="AA209" i="34" s="1"/>
  <c r="T209" i="34" a="1"/>
  <c r="T209" i="34" s="1"/>
  <c r="P209" i="34" a="1"/>
  <c r="P209" i="34" s="1"/>
  <c r="AA208" i="34" a="1"/>
  <c r="AA208" i="34" s="1"/>
  <c r="T208" i="34" a="1"/>
  <c r="T208" i="34" s="1"/>
  <c r="P208" i="34" a="1"/>
  <c r="P208" i="34" s="1"/>
  <c r="AA207" i="34" a="1"/>
  <c r="AA207" i="34" s="1"/>
  <c r="T207" i="34" a="1"/>
  <c r="T207" i="34" s="1"/>
  <c r="AA206" i="34" a="1"/>
  <c r="AA206" i="34" s="1"/>
  <c r="T206" i="34" a="1"/>
  <c r="T206" i="34" s="1"/>
  <c r="P206" i="34" a="1"/>
  <c r="P206" i="34" s="1"/>
  <c r="AA205" i="34" a="1"/>
  <c r="AA205" i="34" s="1"/>
  <c r="T205" i="34" a="1"/>
  <c r="T205" i="34" s="1"/>
  <c r="AA204" i="34" a="1"/>
  <c r="AA204" i="34" s="1"/>
  <c r="T204" i="34" a="1"/>
  <c r="T204" i="34" s="1"/>
  <c r="P204" i="34" a="1"/>
  <c r="P204" i="34" s="1"/>
  <c r="AA203" i="34" a="1"/>
  <c r="AA203" i="34" s="1"/>
  <c r="T203" i="34" a="1"/>
  <c r="T203" i="34" s="1"/>
  <c r="P203" i="34" a="1"/>
  <c r="P203" i="34" s="1"/>
  <c r="AA202" i="34" a="1"/>
  <c r="AA202" i="34" s="1"/>
  <c r="T202" i="34" a="1"/>
  <c r="T202" i="34" s="1"/>
  <c r="P202" i="34" a="1"/>
  <c r="P202" i="34" s="1"/>
  <c r="AA201" i="34" a="1"/>
  <c r="AA201" i="34" s="1"/>
  <c r="T201" i="34" a="1"/>
  <c r="T201" i="34" s="1"/>
  <c r="AA200" i="34" a="1"/>
  <c r="AA200" i="34" s="1"/>
  <c r="T200" i="34" a="1"/>
  <c r="T200" i="34" s="1"/>
  <c r="AA199" i="34" a="1"/>
  <c r="AA199" i="34" s="1"/>
  <c r="T199" i="34" a="1"/>
  <c r="T199" i="34" s="1"/>
  <c r="P199" i="34" a="1"/>
  <c r="P199" i="34" s="1"/>
  <c r="AA198" i="34" a="1"/>
  <c r="AA198" i="34" s="1"/>
  <c r="T198" i="34" a="1"/>
  <c r="T198" i="34" s="1"/>
  <c r="AA197" i="34" a="1"/>
  <c r="AA197" i="34" s="1"/>
  <c r="T197" i="34" a="1"/>
  <c r="T197" i="34" s="1"/>
  <c r="AA196" i="34" a="1"/>
  <c r="AA196" i="34" s="1"/>
  <c r="T196" i="34" a="1"/>
  <c r="T196" i="34" s="1"/>
  <c r="P196" i="34" a="1"/>
  <c r="P196" i="34" s="1"/>
  <c r="AA195" i="34" a="1"/>
  <c r="AA195" i="34" s="1"/>
  <c r="T195" i="34" a="1"/>
  <c r="T195" i="34" s="1"/>
  <c r="P195" i="34" a="1"/>
  <c r="P195" i="34" s="1"/>
  <c r="AA194" i="34" a="1"/>
  <c r="AA194" i="34" s="1"/>
  <c r="T194" i="34" a="1"/>
  <c r="T194" i="34" s="1"/>
  <c r="P194" i="34" a="1"/>
  <c r="P194" i="34" s="1"/>
  <c r="AA193" i="34" a="1"/>
  <c r="AA193" i="34" s="1"/>
  <c r="T193" i="34" a="1"/>
  <c r="T193" i="34" s="1"/>
  <c r="P193" i="34" a="1"/>
  <c r="P193" i="34" s="1"/>
  <c r="AA192" i="34" a="1"/>
  <c r="AA192" i="34" s="1"/>
  <c r="T192" i="34" a="1"/>
  <c r="T192" i="34" s="1"/>
  <c r="P192" i="34" a="1"/>
  <c r="P192" i="34" s="1"/>
  <c r="AA191" i="34" a="1"/>
  <c r="AA191" i="34" s="1"/>
  <c r="T191" i="34" a="1"/>
  <c r="T191" i="34" s="1"/>
  <c r="P191" i="34" a="1"/>
  <c r="P191" i="34" s="1"/>
  <c r="AA190" i="34" a="1"/>
  <c r="AA190" i="34" s="1"/>
  <c r="T190" i="34" a="1"/>
  <c r="T190" i="34" s="1"/>
  <c r="AA189" i="34" a="1"/>
  <c r="AA189" i="34" s="1"/>
  <c r="T189" i="34" a="1"/>
  <c r="T189" i="34" s="1"/>
  <c r="AA188" i="34" a="1"/>
  <c r="AA188" i="34" s="1"/>
  <c r="T188" i="34" a="1"/>
  <c r="T188" i="34" s="1"/>
  <c r="P188" i="34" a="1"/>
  <c r="P188" i="34" s="1"/>
  <c r="AA187" i="34" a="1"/>
  <c r="AA187" i="34" s="1"/>
  <c r="T187" i="34" a="1"/>
  <c r="T187" i="34" s="1"/>
  <c r="P187" i="34" a="1"/>
  <c r="P187" i="34" s="1"/>
  <c r="AA186" i="34" a="1"/>
  <c r="AA186" i="34" s="1"/>
  <c r="T186" i="34" a="1"/>
  <c r="T186" i="34" s="1"/>
  <c r="P186" i="34" a="1"/>
  <c r="P186" i="34" s="1"/>
  <c r="AA185" i="34" a="1"/>
  <c r="AA185" i="34" s="1"/>
  <c r="T185" i="34" a="1"/>
  <c r="T185" i="34" s="1"/>
  <c r="AA184" i="34" a="1"/>
  <c r="AA184" i="34" s="1"/>
  <c r="T184" i="34" a="1"/>
  <c r="T184" i="34" s="1"/>
  <c r="P184" i="34" a="1"/>
  <c r="P184" i="34" s="1"/>
  <c r="AA183" i="34" a="1"/>
  <c r="AA183" i="34" s="1"/>
  <c r="T183" i="34" a="1"/>
  <c r="T183" i="34" s="1"/>
  <c r="P183" i="34" a="1"/>
  <c r="P183" i="34" s="1"/>
  <c r="AA182" i="34" a="1"/>
  <c r="AA182" i="34" s="1"/>
  <c r="T182" i="34" a="1"/>
  <c r="T182" i="34" s="1"/>
  <c r="P182" i="34" a="1"/>
  <c r="P182" i="34" s="1"/>
  <c r="AA181" i="34" a="1"/>
  <c r="AA181" i="34" s="1"/>
  <c r="T181" i="34" a="1"/>
  <c r="T181" i="34" s="1"/>
  <c r="P181" i="34" a="1"/>
  <c r="P181" i="34" s="1"/>
  <c r="AA180" i="34" a="1"/>
  <c r="AA180" i="34" s="1"/>
  <c r="T180" i="34" a="1"/>
  <c r="T180" i="34" s="1"/>
  <c r="P180" i="34" a="1"/>
  <c r="P180" i="34" s="1"/>
  <c r="AA179" i="34" a="1"/>
  <c r="AA179" i="34" s="1"/>
  <c r="T179" i="34" a="1"/>
  <c r="T179" i="34" s="1"/>
  <c r="P179" i="34" a="1"/>
  <c r="P179" i="34" s="1"/>
  <c r="AA178" i="34" a="1"/>
  <c r="AA178" i="34" s="1"/>
  <c r="T178" i="34" a="1"/>
  <c r="T178" i="34" s="1"/>
  <c r="AA177" i="34" a="1"/>
  <c r="AA177" i="34" s="1"/>
  <c r="T177" i="34" a="1"/>
  <c r="T177" i="34" s="1"/>
  <c r="P177" i="34" a="1"/>
  <c r="P177" i="34" s="1"/>
  <c r="AA176" i="34" a="1"/>
  <c r="AA176" i="34" s="1"/>
  <c r="T176" i="34" a="1"/>
  <c r="T176" i="34" s="1"/>
  <c r="P176" i="34" a="1"/>
  <c r="P176" i="34" s="1"/>
  <c r="AA175" i="34" a="1"/>
  <c r="AA175" i="34" s="1"/>
  <c r="T175" i="34" a="1"/>
  <c r="T175" i="34" s="1"/>
  <c r="P175" i="34" a="1"/>
  <c r="P175" i="34" s="1"/>
  <c r="AA174" i="34" a="1"/>
  <c r="AA174" i="34" s="1"/>
  <c r="T174" i="34" a="1"/>
  <c r="T174" i="34" s="1"/>
  <c r="P174" i="34" a="1"/>
  <c r="P174" i="34" s="1"/>
  <c r="AA173" i="34" a="1"/>
  <c r="AA173" i="34" s="1"/>
  <c r="T173" i="34" a="1"/>
  <c r="T173" i="34" s="1"/>
  <c r="P173" i="34" a="1"/>
  <c r="P173" i="34" s="1"/>
  <c r="AA172" i="34" a="1"/>
  <c r="AA172" i="34" s="1"/>
  <c r="T172" i="34" a="1"/>
  <c r="T172" i="34" s="1"/>
  <c r="P172" i="34" a="1"/>
  <c r="P172" i="34" s="1"/>
  <c r="AA171" i="34" a="1"/>
  <c r="AA171" i="34" s="1"/>
  <c r="T171" i="34" a="1"/>
  <c r="T171" i="34" s="1"/>
  <c r="P171" i="34" a="1"/>
  <c r="P171" i="34" s="1"/>
  <c r="AA170" i="34" a="1"/>
  <c r="AA170" i="34" s="1"/>
  <c r="T170" i="34" a="1"/>
  <c r="T170" i="34" s="1"/>
  <c r="P170" i="34" a="1"/>
  <c r="P170" i="34" s="1"/>
  <c r="AA169" i="34" a="1"/>
  <c r="AA169" i="34" s="1"/>
  <c r="T169" i="34" a="1"/>
  <c r="T169" i="34" s="1"/>
  <c r="P169" i="34" a="1"/>
  <c r="P169" i="34" s="1"/>
  <c r="AA168" i="34" a="1"/>
  <c r="AA168" i="34" s="1"/>
  <c r="T168" i="34" a="1"/>
  <c r="T168" i="34" s="1"/>
  <c r="P168" i="34" a="1"/>
  <c r="P168" i="34" s="1"/>
  <c r="AA167" i="34" a="1"/>
  <c r="AA167" i="34" s="1"/>
  <c r="T167" i="34" a="1"/>
  <c r="T167" i="34" s="1"/>
  <c r="P167" i="34" a="1"/>
  <c r="P167" i="34" s="1"/>
  <c r="AA166" i="34" a="1"/>
  <c r="AA166" i="34" s="1"/>
  <c r="T166" i="34" a="1"/>
  <c r="T166" i="34" s="1"/>
  <c r="P166" i="34" a="1"/>
  <c r="P166" i="34" s="1"/>
  <c r="AA165" i="34" a="1"/>
  <c r="AA165" i="34" s="1"/>
  <c r="Y165" i="34"/>
  <c r="T165" i="34" a="1"/>
  <c r="T165" i="34" s="1"/>
  <c r="P165" i="34" a="1"/>
  <c r="P165" i="34" s="1"/>
  <c r="AA164" i="34" a="1"/>
  <c r="AA164" i="34" s="1"/>
  <c r="T164" i="34" a="1"/>
  <c r="T164" i="34" s="1"/>
  <c r="P164" i="34" a="1"/>
  <c r="P164" i="34" s="1"/>
  <c r="AA163" i="34" a="1"/>
  <c r="AA163" i="34" s="1"/>
  <c r="T163" i="34" a="1"/>
  <c r="T163" i="34" s="1"/>
  <c r="P163" i="34" a="1"/>
  <c r="P163" i="34" s="1"/>
  <c r="AA162" i="34" a="1"/>
  <c r="AA162" i="34" s="1"/>
  <c r="T162" i="34" a="1"/>
  <c r="T162" i="34" s="1"/>
  <c r="P162" i="34" a="1"/>
  <c r="P162" i="34" s="1"/>
  <c r="AA161" i="34" a="1"/>
  <c r="AA161" i="34" s="1"/>
  <c r="T161" i="34" a="1"/>
  <c r="T161" i="34" s="1"/>
  <c r="P161" i="34" a="1"/>
  <c r="P161" i="34" s="1"/>
  <c r="AA160" i="34" a="1"/>
  <c r="AA160" i="34" s="1"/>
  <c r="T160" i="34" a="1"/>
  <c r="T160" i="34" s="1"/>
  <c r="AA159" i="34" a="1"/>
  <c r="AA159" i="34" s="1"/>
  <c r="T159" i="34" a="1"/>
  <c r="T159" i="34" s="1"/>
  <c r="AA158" i="34" a="1"/>
  <c r="AA158" i="34" s="1"/>
  <c r="T158" i="34" a="1"/>
  <c r="T158" i="34" s="1"/>
  <c r="P158" i="34" a="1"/>
  <c r="P158" i="34" s="1"/>
  <c r="AA157" i="34" a="1"/>
  <c r="AA157" i="34" s="1"/>
  <c r="X157" i="34" a="1"/>
  <c r="X157" i="34" s="1"/>
  <c r="W157" i="34" a="1"/>
  <c r="W157" i="34" s="1"/>
  <c r="V157" i="34" a="1"/>
  <c r="V157" i="34" s="1"/>
  <c r="T157" i="34" a="1"/>
  <c r="T157" i="34" s="1"/>
  <c r="Q157" i="34" a="1"/>
  <c r="Q157" i="34" s="1"/>
  <c r="O157" i="34" a="1"/>
  <c r="O157" i="34" s="1"/>
  <c r="P157" i="34" s="1" a="1"/>
  <c r="P157" i="34" s="1"/>
  <c r="N157" i="34" a="1"/>
  <c r="N157" i="34" s="1"/>
  <c r="AA156" i="34" a="1"/>
  <c r="AA156" i="34" s="1"/>
  <c r="X156" i="34" a="1"/>
  <c r="X156" i="34" s="1"/>
  <c r="W156" i="34" a="1"/>
  <c r="W156" i="34" s="1"/>
  <c r="V156" i="34" a="1"/>
  <c r="V156" i="34" s="1"/>
  <c r="T156" i="34" a="1"/>
  <c r="T156" i="34" s="1"/>
  <c r="Q156" i="34" a="1"/>
  <c r="Q156" i="34" s="1"/>
  <c r="O156" i="34" a="1"/>
  <c r="O156" i="34" s="1"/>
  <c r="P156" i="34" s="1" a="1"/>
  <c r="P156" i="34" s="1"/>
  <c r="N156" i="34" a="1"/>
  <c r="N156" i="34" s="1"/>
  <c r="AA155" i="34" a="1"/>
  <c r="AA155" i="34" s="1"/>
  <c r="X155" i="34" a="1"/>
  <c r="X155" i="34" s="1"/>
  <c r="W155" i="34" a="1"/>
  <c r="W155" i="34" s="1"/>
  <c r="V155" i="34" a="1"/>
  <c r="V155" i="34" s="1"/>
  <c r="T155" i="34" a="1"/>
  <c r="T155" i="34" s="1"/>
  <c r="Q155" i="34" a="1"/>
  <c r="Q155" i="34" s="1"/>
  <c r="O155" i="34" a="1"/>
  <c r="O155" i="34" s="1"/>
  <c r="N155" i="34" a="1"/>
  <c r="N155" i="34" s="1"/>
  <c r="AA154" i="34" a="1"/>
  <c r="AA154" i="34" s="1"/>
  <c r="X154" i="34" a="1"/>
  <c r="X154" i="34" s="1"/>
  <c r="W154" i="34" a="1"/>
  <c r="W154" i="34" s="1"/>
  <c r="V154" i="34" a="1"/>
  <c r="V154" i="34" s="1"/>
  <c r="T154" i="34" a="1"/>
  <c r="T154" i="34" s="1"/>
  <c r="Q154" i="34" a="1"/>
  <c r="Q154" i="34" s="1"/>
  <c r="O154" i="34" a="1"/>
  <c r="O154" i="34" s="1"/>
  <c r="P154" i="34" s="1" a="1"/>
  <c r="P154" i="34" s="1"/>
  <c r="N154" i="34" a="1"/>
  <c r="N154" i="34" s="1"/>
  <c r="AA153" i="34" a="1"/>
  <c r="AA153" i="34" s="1"/>
  <c r="X153" i="34" a="1"/>
  <c r="X153" i="34" s="1"/>
  <c r="W153" i="34" a="1"/>
  <c r="W153" i="34" s="1"/>
  <c r="V153" i="34" a="1"/>
  <c r="V153" i="34" s="1"/>
  <c r="T153" i="34" a="1"/>
  <c r="T153" i="34" s="1"/>
  <c r="Q153" i="34" a="1"/>
  <c r="Q153" i="34" s="1"/>
  <c r="O153" i="34" a="1"/>
  <c r="O153" i="34" s="1"/>
  <c r="N153" i="34" a="1"/>
  <c r="N153" i="34" s="1"/>
  <c r="AA152" i="34" a="1"/>
  <c r="AA152" i="34" s="1"/>
  <c r="X152" i="34" a="1"/>
  <c r="X152" i="34" s="1"/>
  <c r="W152" i="34" a="1"/>
  <c r="W152" i="34" s="1"/>
  <c r="V152" i="34" a="1"/>
  <c r="V152" i="34" s="1"/>
  <c r="T152" i="34" a="1"/>
  <c r="T152" i="34" s="1"/>
  <c r="Q152" i="34" a="1"/>
  <c r="Q152" i="34" s="1"/>
  <c r="O152" i="34" a="1"/>
  <c r="O152" i="34" s="1"/>
  <c r="P152" i="34" s="1" a="1"/>
  <c r="P152" i="34" s="1"/>
  <c r="N152" i="34" a="1"/>
  <c r="N152" i="34" s="1"/>
  <c r="AA151" i="34" a="1"/>
  <c r="AA151" i="34" s="1"/>
  <c r="X151" i="34" a="1"/>
  <c r="X151" i="34" s="1"/>
  <c r="W151" i="34" a="1"/>
  <c r="W151" i="34" s="1"/>
  <c r="V151" i="34" a="1"/>
  <c r="V151" i="34" s="1"/>
  <c r="T151" i="34" a="1"/>
  <c r="T151" i="34" s="1"/>
  <c r="Q151" i="34" a="1"/>
  <c r="Q151" i="34" s="1"/>
  <c r="O151" i="34" a="1"/>
  <c r="O151" i="34" s="1"/>
  <c r="P151" i="34" s="1" a="1"/>
  <c r="P151" i="34" s="1"/>
  <c r="N151" i="34" a="1"/>
  <c r="N151" i="34" s="1"/>
  <c r="AA150" i="34" a="1"/>
  <c r="AA150" i="34" s="1"/>
  <c r="X150" i="34" a="1"/>
  <c r="X150" i="34" s="1"/>
  <c r="W150" i="34" a="1"/>
  <c r="W150" i="34" s="1"/>
  <c r="V150" i="34" a="1"/>
  <c r="V150" i="34" s="1"/>
  <c r="T150" i="34" a="1"/>
  <c r="T150" i="34" s="1"/>
  <c r="Q150" i="34" a="1"/>
  <c r="Q150" i="34" s="1"/>
  <c r="O150" i="34" a="1"/>
  <c r="O150" i="34" s="1"/>
  <c r="N150" i="34" a="1"/>
  <c r="N150" i="34" s="1"/>
  <c r="AA149" i="34" a="1"/>
  <c r="AA149" i="34" s="1"/>
  <c r="X149" i="34" a="1"/>
  <c r="X149" i="34" s="1"/>
  <c r="W149" i="34" a="1"/>
  <c r="W149" i="34" s="1"/>
  <c r="V149" i="34" a="1"/>
  <c r="V149" i="34" s="1"/>
  <c r="T149" i="34" a="1"/>
  <c r="T149" i="34" s="1"/>
  <c r="Q149" i="34" a="1"/>
  <c r="Q149" i="34" s="1"/>
  <c r="O149" i="34" a="1"/>
  <c r="O149" i="34" s="1"/>
  <c r="N149" i="34" a="1"/>
  <c r="N149" i="34" s="1"/>
  <c r="AA148" i="34" a="1"/>
  <c r="AA148" i="34" s="1"/>
  <c r="X148" i="34" a="1"/>
  <c r="X148" i="34" s="1"/>
  <c r="W148" i="34" a="1"/>
  <c r="W148" i="34" s="1"/>
  <c r="V148" i="34" a="1"/>
  <c r="V148" i="34" s="1"/>
  <c r="T148" i="34" a="1"/>
  <c r="T148" i="34" s="1"/>
  <c r="Q148" i="34" a="1"/>
  <c r="Q148" i="34" s="1"/>
  <c r="O148" i="34" a="1"/>
  <c r="O148" i="34" s="1"/>
  <c r="P148" i="34" s="1" a="1"/>
  <c r="P148" i="34" s="1"/>
  <c r="N148" i="34" a="1"/>
  <c r="N148" i="34" s="1"/>
  <c r="AA147" i="34" a="1"/>
  <c r="AA147" i="34" s="1"/>
  <c r="X147" i="34" a="1"/>
  <c r="X147" i="34" s="1"/>
  <c r="W147" i="34" a="1"/>
  <c r="W147" i="34" s="1"/>
  <c r="V147" i="34" a="1"/>
  <c r="V147" i="34" s="1"/>
  <c r="T147" i="34" a="1"/>
  <c r="T147" i="34" s="1"/>
  <c r="Q147" i="34" a="1"/>
  <c r="Q147" i="34" s="1"/>
  <c r="O147" i="34" a="1"/>
  <c r="O147" i="34" s="1"/>
  <c r="P147" i="34" s="1" a="1"/>
  <c r="P147" i="34" s="1"/>
  <c r="N147" i="34" a="1"/>
  <c r="N147" i="34" s="1"/>
  <c r="AA146" i="34" a="1"/>
  <c r="AA146" i="34" s="1"/>
  <c r="X146" i="34" a="1"/>
  <c r="X146" i="34" s="1"/>
  <c r="W146" i="34" a="1"/>
  <c r="W146" i="34" s="1"/>
  <c r="V146" i="34" a="1"/>
  <c r="V146" i="34" s="1"/>
  <c r="T146" i="34" a="1"/>
  <c r="T146" i="34" s="1"/>
  <c r="Q146" i="34" a="1"/>
  <c r="Q146" i="34" s="1"/>
  <c r="O146" i="34" a="1"/>
  <c r="O146" i="34" s="1"/>
  <c r="P146" i="34" s="1" a="1"/>
  <c r="P146" i="34" s="1"/>
  <c r="N146" i="34" a="1"/>
  <c r="N146" i="34" s="1"/>
  <c r="AA145" i="34" a="1"/>
  <c r="AA145" i="34" s="1"/>
  <c r="X145" i="34" a="1"/>
  <c r="X145" i="34" s="1"/>
  <c r="W145" i="34" a="1"/>
  <c r="W145" i="34" s="1"/>
  <c r="V145" i="34" a="1"/>
  <c r="V145" i="34" s="1"/>
  <c r="T145" i="34" a="1"/>
  <c r="T145" i="34" s="1"/>
  <c r="Q145" i="34" a="1"/>
  <c r="Q145" i="34" s="1"/>
  <c r="O145" i="34" a="1"/>
  <c r="O145" i="34" s="1"/>
  <c r="P145" i="34" s="1" a="1"/>
  <c r="P145" i="34" s="1"/>
  <c r="N145" i="34" a="1"/>
  <c r="N145" i="34" s="1"/>
  <c r="AA144" i="34" a="1"/>
  <c r="AA144" i="34" s="1"/>
  <c r="X144" i="34" a="1"/>
  <c r="X144" i="34" s="1"/>
  <c r="W144" i="34" a="1"/>
  <c r="W144" i="34" s="1"/>
  <c r="V144" i="34" a="1"/>
  <c r="V144" i="34" s="1"/>
  <c r="T144" i="34" a="1"/>
  <c r="T144" i="34" s="1"/>
  <c r="Q144" i="34" a="1"/>
  <c r="Q144" i="34" s="1"/>
  <c r="O144" i="34" a="1"/>
  <c r="O144" i="34" s="1"/>
  <c r="N144" i="34" a="1"/>
  <c r="N144" i="34" s="1"/>
  <c r="AA143" i="34" a="1"/>
  <c r="AA143" i="34" s="1"/>
  <c r="X143" i="34" a="1"/>
  <c r="X143" i="34" s="1"/>
  <c r="W143" i="34" a="1"/>
  <c r="W143" i="34" s="1"/>
  <c r="V143" i="34" a="1"/>
  <c r="V143" i="34" s="1"/>
  <c r="T143" i="34" a="1"/>
  <c r="T143" i="34" s="1"/>
  <c r="Q143" i="34" a="1"/>
  <c r="Q143" i="34" s="1"/>
  <c r="O143" i="34" a="1"/>
  <c r="O143" i="34" s="1"/>
  <c r="P143" i="34" s="1" a="1"/>
  <c r="P143" i="34" s="1"/>
  <c r="N143" i="34" a="1"/>
  <c r="N143" i="34" s="1"/>
  <c r="AA142" i="34" a="1"/>
  <c r="AA142" i="34" s="1"/>
  <c r="X142" i="34" a="1"/>
  <c r="X142" i="34" s="1"/>
  <c r="W142" i="34" a="1"/>
  <c r="W142" i="34" s="1"/>
  <c r="V142" i="34" a="1"/>
  <c r="V142" i="34" s="1"/>
  <c r="T142" i="34" a="1"/>
  <c r="T142" i="34" s="1"/>
  <c r="Q142" i="34" a="1"/>
  <c r="Q142" i="34" s="1"/>
  <c r="O142" i="34" a="1"/>
  <c r="O142" i="34" s="1"/>
  <c r="P142" i="34" s="1" a="1"/>
  <c r="P142" i="34" s="1"/>
  <c r="N142" i="34" a="1"/>
  <c r="N142" i="34" s="1"/>
  <c r="AA141" i="34" a="1"/>
  <c r="AA141" i="34" s="1"/>
  <c r="X141" i="34" a="1"/>
  <c r="X141" i="34" s="1"/>
  <c r="W141" i="34" a="1"/>
  <c r="W141" i="34" s="1"/>
  <c r="V141" i="34" a="1"/>
  <c r="V141" i="34" s="1"/>
  <c r="T141" i="34" a="1"/>
  <c r="T141" i="34" s="1"/>
  <c r="Q141" i="34" a="1"/>
  <c r="Q141" i="34" s="1"/>
  <c r="O141" i="34" a="1"/>
  <c r="O141" i="34" s="1"/>
  <c r="P141" i="34" s="1" a="1"/>
  <c r="P141" i="34" s="1"/>
  <c r="N141" i="34" a="1"/>
  <c r="N141" i="34" s="1"/>
  <c r="AA140" i="34" a="1"/>
  <c r="AA140" i="34" s="1"/>
  <c r="X140" i="34" a="1"/>
  <c r="X140" i="34" s="1"/>
  <c r="W140" i="34" a="1"/>
  <c r="W140" i="34" s="1"/>
  <c r="V140" i="34" a="1"/>
  <c r="V140" i="34" s="1"/>
  <c r="T140" i="34" a="1"/>
  <c r="T140" i="34" s="1"/>
  <c r="Q140" i="34" a="1"/>
  <c r="Q140" i="34" s="1"/>
  <c r="O140" i="34" a="1"/>
  <c r="O140" i="34" s="1"/>
  <c r="P140" i="34" s="1" a="1"/>
  <c r="P140" i="34" s="1"/>
  <c r="N140" i="34" a="1"/>
  <c r="N140" i="34" s="1"/>
  <c r="AA139" i="34" a="1"/>
  <c r="AA139" i="34" s="1"/>
  <c r="X139" i="34" a="1"/>
  <c r="X139" i="34" s="1"/>
  <c r="W139" i="34" a="1"/>
  <c r="W139" i="34" s="1"/>
  <c r="V139" i="34" a="1"/>
  <c r="V139" i="34" s="1"/>
  <c r="T139" i="34" a="1"/>
  <c r="T139" i="34" s="1"/>
  <c r="Q139" i="34" a="1"/>
  <c r="Q139" i="34" s="1"/>
  <c r="O139" i="34" a="1"/>
  <c r="O139" i="34" s="1"/>
  <c r="N139" i="34" a="1"/>
  <c r="N139" i="34" s="1"/>
  <c r="AA138" i="34" a="1"/>
  <c r="AA138" i="34" s="1"/>
  <c r="X138" i="34" a="1"/>
  <c r="X138" i="34" s="1"/>
  <c r="W138" i="34" a="1"/>
  <c r="W138" i="34" s="1"/>
  <c r="V138" i="34" a="1"/>
  <c r="V138" i="34" s="1"/>
  <c r="T138" i="34" a="1"/>
  <c r="T138" i="34" s="1"/>
  <c r="Q138" i="34" a="1"/>
  <c r="Q138" i="34" s="1"/>
  <c r="O138" i="34" a="1"/>
  <c r="O138" i="34" s="1"/>
  <c r="P138" i="34" s="1" a="1"/>
  <c r="P138" i="34" s="1"/>
  <c r="N138" i="34" a="1"/>
  <c r="N138" i="34" s="1"/>
  <c r="AA137" i="34" a="1"/>
  <c r="AA137" i="34" s="1"/>
  <c r="X137" i="34" a="1"/>
  <c r="X137" i="34" s="1"/>
  <c r="W137" i="34" a="1"/>
  <c r="W137" i="34" s="1"/>
  <c r="V137" i="34" a="1"/>
  <c r="V137" i="34" s="1"/>
  <c r="T137" i="34" a="1"/>
  <c r="T137" i="34" s="1"/>
  <c r="Q137" i="34" a="1"/>
  <c r="Q137" i="34" s="1"/>
  <c r="O137" i="34" a="1"/>
  <c r="O137" i="34" s="1"/>
  <c r="P137" i="34" s="1" a="1"/>
  <c r="P137" i="34" s="1"/>
  <c r="N137" i="34" a="1"/>
  <c r="N137" i="34" s="1"/>
  <c r="AA136" i="34" a="1"/>
  <c r="AA136" i="34" s="1"/>
  <c r="X136" i="34" a="1"/>
  <c r="X136" i="34" s="1"/>
  <c r="W136" i="34" a="1"/>
  <c r="W136" i="34" s="1"/>
  <c r="V136" i="34" a="1"/>
  <c r="V136" i="34" s="1"/>
  <c r="T136" i="34" a="1"/>
  <c r="T136" i="34" s="1"/>
  <c r="Q136" i="34" a="1"/>
  <c r="Q136" i="34" s="1"/>
  <c r="O136" i="34" a="1"/>
  <c r="O136" i="34" s="1"/>
  <c r="P136" i="34" s="1" a="1"/>
  <c r="P136" i="34" s="1"/>
  <c r="N136" i="34" a="1"/>
  <c r="N136" i="34" s="1"/>
  <c r="AA135" i="34" a="1"/>
  <c r="AA135" i="34" s="1"/>
  <c r="X135" i="34" a="1"/>
  <c r="X135" i="34" s="1"/>
  <c r="W135" i="34" a="1"/>
  <c r="W135" i="34" s="1"/>
  <c r="V135" i="34" a="1"/>
  <c r="V135" i="34" s="1"/>
  <c r="T135" i="34" a="1"/>
  <c r="T135" i="34" s="1"/>
  <c r="Q135" i="34" a="1"/>
  <c r="Q135" i="34" s="1"/>
  <c r="O135" i="34" a="1"/>
  <c r="O135" i="34" s="1"/>
  <c r="P135" i="34" s="1" a="1"/>
  <c r="P135" i="34" s="1"/>
  <c r="N135" i="34" a="1"/>
  <c r="N135" i="34" s="1"/>
  <c r="AA134" i="34" a="1"/>
  <c r="AA134" i="34" s="1"/>
  <c r="X134" i="34" a="1"/>
  <c r="X134" i="34" s="1"/>
  <c r="W134" i="34" a="1"/>
  <c r="W134" i="34" s="1"/>
  <c r="V134" i="34" a="1"/>
  <c r="V134" i="34" s="1"/>
  <c r="T134" i="34" a="1"/>
  <c r="T134" i="34" s="1"/>
  <c r="Q134" i="34" a="1"/>
  <c r="Q134" i="34" s="1"/>
  <c r="O134" i="34" a="1"/>
  <c r="O134" i="34" s="1"/>
  <c r="P134" i="34" s="1" a="1"/>
  <c r="P134" i="34" s="1"/>
  <c r="N134" i="34" a="1"/>
  <c r="N134" i="34" s="1"/>
  <c r="AA133" i="34" a="1"/>
  <c r="AA133" i="34" s="1"/>
  <c r="X133" i="34" a="1"/>
  <c r="X133" i="34" s="1"/>
  <c r="W133" i="34" a="1"/>
  <c r="W133" i="34" s="1"/>
  <c r="V133" i="34" a="1"/>
  <c r="V133" i="34" s="1"/>
  <c r="T133" i="34" a="1"/>
  <c r="T133" i="34" s="1"/>
  <c r="Q133" i="34" a="1"/>
  <c r="Q133" i="34" s="1"/>
  <c r="O133" i="34" a="1"/>
  <c r="O133" i="34" s="1"/>
  <c r="P133" i="34" s="1" a="1"/>
  <c r="P133" i="34" s="1"/>
  <c r="N133" i="34" a="1"/>
  <c r="N133" i="34" s="1"/>
  <c r="AA132" i="34" a="1"/>
  <c r="AA132" i="34" s="1"/>
  <c r="X132" i="34" a="1"/>
  <c r="X132" i="34" s="1"/>
  <c r="W132" i="34" a="1"/>
  <c r="W132" i="34" s="1"/>
  <c r="V132" i="34" a="1"/>
  <c r="V132" i="34" s="1"/>
  <c r="T132" i="34" a="1"/>
  <c r="T132" i="34" s="1"/>
  <c r="Q132" i="34" a="1"/>
  <c r="Q132" i="34" s="1"/>
  <c r="O132" i="34" a="1"/>
  <c r="O132" i="34" s="1"/>
  <c r="P132" i="34" s="1" a="1"/>
  <c r="P132" i="34" s="1"/>
  <c r="N132" i="34" a="1"/>
  <c r="N132" i="34" s="1"/>
  <c r="AA131" i="34" a="1"/>
  <c r="AA131" i="34" s="1"/>
  <c r="X131" i="34" a="1"/>
  <c r="X131" i="34" s="1"/>
  <c r="W131" i="34" a="1"/>
  <c r="W131" i="34" s="1"/>
  <c r="V131" i="34" a="1"/>
  <c r="V131" i="34" s="1"/>
  <c r="T131" i="34" a="1"/>
  <c r="T131" i="34" s="1"/>
  <c r="Q131" i="34" a="1"/>
  <c r="Q131" i="34" s="1"/>
  <c r="O131" i="34" a="1"/>
  <c r="O131" i="34" s="1"/>
  <c r="P131" i="34" s="1" a="1"/>
  <c r="P131" i="34" s="1"/>
  <c r="N131" i="34" a="1"/>
  <c r="N131" i="34" s="1"/>
  <c r="AA130" i="34" a="1"/>
  <c r="AA130" i="34" s="1"/>
  <c r="X130" i="34" a="1"/>
  <c r="X130" i="34" s="1"/>
  <c r="W130" i="34" a="1"/>
  <c r="W130" i="34" s="1"/>
  <c r="V130" i="34" a="1"/>
  <c r="V130" i="34" s="1"/>
  <c r="T130" i="34" a="1"/>
  <c r="T130" i="34" s="1"/>
  <c r="Q130" i="34" a="1"/>
  <c r="Q130" i="34" s="1"/>
  <c r="O130" i="34" a="1"/>
  <c r="O130" i="34" s="1"/>
  <c r="N130" i="34" a="1"/>
  <c r="N130" i="34" s="1"/>
  <c r="AA129" i="34" a="1"/>
  <c r="AA129" i="34" s="1"/>
  <c r="X129" i="34" a="1"/>
  <c r="X129" i="34" s="1"/>
  <c r="W129" i="34" a="1"/>
  <c r="W129" i="34" s="1"/>
  <c r="V129" i="34" a="1"/>
  <c r="V129" i="34" s="1"/>
  <c r="T129" i="34" a="1"/>
  <c r="T129" i="34" s="1"/>
  <c r="Q129" i="34" a="1"/>
  <c r="Q129" i="34" s="1"/>
  <c r="O129" i="34" a="1"/>
  <c r="O129" i="34" s="1"/>
  <c r="P129" i="34" s="1" a="1"/>
  <c r="P129" i="34" s="1"/>
  <c r="N129" i="34" a="1"/>
  <c r="N129" i="34" s="1"/>
  <c r="AA128" i="34" a="1"/>
  <c r="AA128" i="34" s="1"/>
  <c r="X128" i="34" a="1"/>
  <c r="X128" i="34" s="1"/>
  <c r="W128" i="34" a="1"/>
  <c r="W128" i="34" s="1"/>
  <c r="V128" i="34" a="1"/>
  <c r="V128" i="34" s="1"/>
  <c r="T128" i="34" a="1"/>
  <c r="T128" i="34" s="1"/>
  <c r="Q128" i="34" a="1"/>
  <c r="Q128" i="34" s="1"/>
  <c r="O128" i="34" a="1"/>
  <c r="O128" i="34" s="1"/>
  <c r="P128" i="34" s="1" a="1"/>
  <c r="P128" i="34" s="1"/>
  <c r="N128" i="34" a="1"/>
  <c r="N128" i="34" s="1"/>
  <c r="AA127" i="34" a="1"/>
  <c r="AA127" i="34" s="1"/>
  <c r="X127" i="34" a="1"/>
  <c r="X127" i="34" s="1"/>
  <c r="W127" i="34" a="1"/>
  <c r="W127" i="34" s="1"/>
  <c r="V127" i="34" a="1"/>
  <c r="V127" i="34" s="1"/>
  <c r="T127" i="34" a="1"/>
  <c r="T127" i="34" s="1"/>
  <c r="Q127" i="34" a="1"/>
  <c r="Q127" i="34" s="1"/>
  <c r="O127" i="34" a="1"/>
  <c r="O127" i="34" s="1"/>
  <c r="N127" i="34" a="1"/>
  <c r="N127" i="34" s="1"/>
  <c r="AA126" i="34" a="1"/>
  <c r="AA126" i="34" s="1"/>
  <c r="X126" i="34" a="1"/>
  <c r="X126" i="34" s="1"/>
  <c r="W126" i="34" a="1"/>
  <c r="W126" i="34" s="1"/>
  <c r="V126" i="34" a="1"/>
  <c r="V126" i="34" s="1"/>
  <c r="T126" i="34" a="1"/>
  <c r="T126" i="34" s="1"/>
  <c r="Q126" i="34" a="1"/>
  <c r="Q126" i="34" s="1"/>
  <c r="O126" i="34" a="1"/>
  <c r="O126" i="34" s="1"/>
  <c r="P126" i="34" s="1" a="1"/>
  <c r="P126" i="34" s="1"/>
  <c r="N126" i="34" a="1"/>
  <c r="N126" i="34" s="1"/>
  <c r="AA125" i="34" a="1"/>
  <c r="AA125" i="34" s="1"/>
  <c r="X125" i="34" a="1"/>
  <c r="X125" i="34" s="1"/>
  <c r="W125" i="34" a="1"/>
  <c r="W125" i="34" s="1"/>
  <c r="V125" i="34" a="1"/>
  <c r="V125" i="34" s="1"/>
  <c r="T125" i="34" a="1"/>
  <c r="T125" i="34" s="1"/>
  <c r="Q125" i="34" a="1"/>
  <c r="Q125" i="34" s="1"/>
  <c r="O125" i="34" a="1"/>
  <c r="O125" i="34" s="1"/>
  <c r="P125" i="34" s="1" a="1"/>
  <c r="P125" i="34" s="1"/>
  <c r="N125" i="34" a="1"/>
  <c r="N125" i="34" s="1"/>
  <c r="AA124" i="34" a="1"/>
  <c r="AA124" i="34" s="1"/>
  <c r="X124" i="34" a="1"/>
  <c r="X124" i="34" s="1"/>
  <c r="W124" i="34" a="1"/>
  <c r="W124" i="34" s="1"/>
  <c r="V124" i="34" a="1"/>
  <c r="V124" i="34" s="1"/>
  <c r="T124" i="34" a="1"/>
  <c r="T124" i="34" s="1"/>
  <c r="Q124" i="34" a="1"/>
  <c r="Q124" i="34" s="1"/>
  <c r="O124" i="34" a="1"/>
  <c r="O124" i="34" s="1"/>
  <c r="P124" i="34" s="1" a="1"/>
  <c r="P124" i="34" s="1"/>
  <c r="N124" i="34" a="1"/>
  <c r="N124" i="34" s="1"/>
  <c r="AA123" i="34" a="1"/>
  <c r="AA123" i="34" s="1"/>
  <c r="X123" i="34" a="1"/>
  <c r="X123" i="34" s="1"/>
  <c r="W123" i="34" a="1"/>
  <c r="W123" i="34" s="1"/>
  <c r="V123" i="34" a="1"/>
  <c r="V123" i="34" s="1"/>
  <c r="T123" i="34" a="1"/>
  <c r="T123" i="34" s="1"/>
  <c r="Q123" i="34" a="1"/>
  <c r="Q123" i="34" s="1"/>
  <c r="O123" i="34" a="1"/>
  <c r="O123" i="34" s="1"/>
  <c r="P123" i="34" s="1" a="1"/>
  <c r="P123" i="34" s="1"/>
  <c r="N123" i="34" a="1"/>
  <c r="N123" i="34" s="1"/>
  <c r="AA122" i="34" a="1"/>
  <c r="AA122" i="34" s="1"/>
  <c r="X122" i="34" a="1"/>
  <c r="X122" i="34" s="1"/>
  <c r="W122" i="34" a="1"/>
  <c r="W122" i="34" s="1"/>
  <c r="V122" i="34" a="1"/>
  <c r="V122" i="34" s="1"/>
  <c r="T122" i="34" a="1"/>
  <c r="T122" i="34" s="1"/>
  <c r="Q122" i="34" a="1"/>
  <c r="Q122" i="34" s="1"/>
  <c r="O122" i="34" a="1"/>
  <c r="O122" i="34" s="1"/>
  <c r="P122" i="34" s="1" a="1"/>
  <c r="P122" i="34" s="1"/>
  <c r="N122" i="34" a="1"/>
  <c r="N122" i="34" s="1"/>
  <c r="AA121" i="34" a="1"/>
  <c r="AA121" i="34" s="1"/>
  <c r="X121" i="34" a="1"/>
  <c r="X121" i="34" s="1"/>
  <c r="W121" i="34" a="1"/>
  <c r="W121" i="34" s="1"/>
  <c r="V121" i="34" a="1"/>
  <c r="V121" i="34" s="1"/>
  <c r="T121" i="34" a="1"/>
  <c r="T121" i="34" s="1"/>
  <c r="Q121" i="34" a="1"/>
  <c r="Q121" i="34" s="1"/>
  <c r="O121" i="34" a="1"/>
  <c r="O121" i="34" s="1"/>
  <c r="P121" i="34" s="1" a="1"/>
  <c r="P121" i="34" s="1"/>
  <c r="N121" i="34" a="1"/>
  <c r="N121" i="34" s="1"/>
  <c r="AA120" i="34" a="1"/>
  <c r="AA120" i="34" s="1"/>
  <c r="X120" i="34" a="1"/>
  <c r="X120" i="34" s="1"/>
  <c r="W120" i="34" a="1"/>
  <c r="W120" i="34" s="1"/>
  <c r="V120" i="34" a="1"/>
  <c r="V120" i="34" s="1"/>
  <c r="T120" i="34" a="1"/>
  <c r="T120" i="34" s="1"/>
  <c r="Q120" i="34" a="1"/>
  <c r="Q120" i="34" s="1"/>
  <c r="O120" i="34" a="1"/>
  <c r="O120" i="34" s="1"/>
  <c r="N120" i="34" a="1"/>
  <c r="N120" i="34" s="1"/>
  <c r="AA119" i="34" a="1"/>
  <c r="AA119" i="34" s="1"/>
  <c r="X119" i="34" a="1"/>
  <c r="X119" i="34" s="1"/>
  <c r="W119" i="34" a="1"/>
  <c r="W119" i="34" s="1"/>
  <c r="V119" i="34" a="1"/>
  <c r="V119" i="34" s="1"/>
  <c r="T119" i="34" a="1"/>
  <c r="T119" i="34" s="1"/>
  <c r="Q119" i="34" a="1"/>
  <c r="Q119" i="34" s="1"/>
  <c r="O119" i="34" a="1"/>
  <c r="O119" i="34" s="1"/>
  <c r="P119" i="34" s="1" a="1"/>
  <c r="P119" i="34" s="1"/>
  <c r="N119" i="34" a="1"/>
  <c r="N119" i="34" s="1"/>
  <c r="AA118" i="34" a="1"/>
  <c r="AA118" i="34" s="1"/>
  <c r="X118" i="34" a="1"/>
  <c r="X118" i="34" s="1"/>
  <c r="W118" i="34" a="1"/>
  <c r="W118" i="34" s="1"/>
  <c r="V118" i="34" a="1"/>
  <c r="V118" i="34" s="1"/>
  <c r="T118" i="34" a="1"/>
  <c r="T118" i="34" s="1"/>
  <c r="Q118" i="34" a="1"/>
  <c r="Q118" i="34" s="1"/>
  <c r="O118" i="34" a="1"/>
  <c r="O118" i="34" s="1"/>
  <c r="P118" i="34" s="1" a="1"/>
  <c r="P118" i="34" s="1"/>
  <c r="N118" i="34" a="1"/>
  <c r="N118" i="34" s="1"/>
  <c r="AA117" i="34" a="1"/>
  <c r="AA117" i="34" s="1"/>
  <c r="X117" i="34" a="1"/>
  <c r="X117" i="34" s="1"/>
  <c r="W117" i="34" a="1"/>
  <c r="W117" i="34" s="1"/>
  <c r="V117" i="34" a="1"/>
  <c r="V117" i="34" s="1"/>
  <c r="T117" i="34" a="1"/>
  <c r="T117" i="34" s="1"/>
  <c r="Q117" i="34" a="1"/>
  <c r="Q117" i="34" s="1"/>
  <c r="O117" i="34" a="1"/>
  <c r="O117" i="34" s="1"/>
  <c r="P117" i="34" s="1" a="1"/>
  <c r="P117" i="34" s="1"/>
  <c r="N117" i="34" a="1"/>
  <c r="N117" i="34" s="1"/>
  <c r="AA116" i="34" a="1"/>
  <c r="AA116" i="34" s="1"/>
  <c r="X116" i="34" a="1"/>
  <c r="X116" i="34" s="1"/>
  <c r="W116" i="34" a="1"/>
  <c r="W116" i="34" s="1"/>
  <c r="V116" i="34" a="1"/>
  <c r="V116" i="34" s="1"/>
  <c r="T116" i="34" a="1"/>
  <c r="T116" i="34" s="1"/>
  <c r="Q116" i="34" a="1"/>
  <c r="Q116" i="34" s="1"/>
  <c r="O116" i="34" a="1"/>
  <c r="O116" i="34" s="1"/>
  <c r="P116" i="34" s="1" a="1"/>
  <c r="P116" i="34" s="1"/>
  <c r="N116" i="34" a="1"/>
  <c r="N116" i="34" s="1"/>
  <c r="AA115" i="34" a="1"/>
  <c r="AA115" i="34" s="1"/>
  <c r="X115" i="34" a="1"/>
  <c r="X115" i="34" s="1"/>
  <c r="W115" i="34" a="1"/>
  <c r="W115" i="34" s="1"/>
  <c r="V115" i="34" a="1"/>
  <c r="V115" i="34" s="1"/>
  <c r="T115" i="34" a="1"/>
  <c r="T115" i="34" s="1"/>
  <c r="Q115" i="34" a="1"/>
  <c r="Q115" i="34" s="1"/>
  <c r="O115" i="34" a="1"/>
  <c r="O115" i="34" s="1"/>
  <c r="P115" i="34" s="1" a="1"/>
  <c r="P115" i="34" s="1"/>
  <c r="N115" i="34" a="1"/>
  <c r="N115" i="34" s="1"/>
  <c r="AA114" i="34" a="1"/>
  <c r="AA114" i="34" s="1"/>
  <c r="X114" i="34" a="1"/>
  <c r="X114" i="34" s="1"/>
  <c r="W114" i="34" a="1"/>
  <c r="W114" i="34" s="1"/>
  <c r="V114" i="34" a="1"/>
  <c r="V114" i="34" s="1"/>
  <c r="T114" i="34" a="1"/>
  <c r="T114" i="34" s="1"/>
  <c r="Q114" i="34" a="1"/>
  <c r="Q114" i="34" s="1"/>
  <c r="O114" i="34" a="1"/>
  <c r="O114" i="34" s="1"/>
  <c r="P114" i="34" s="1" a="1"/>
  <c r="P114" i="34" s="1"/>
  <c r="N114" i="34" a="1"/>
  <c r="N114" i="34" s="1"/>
  <c r="AA113" i="34" a="1"/>
  <c r="AA113" i="34" s="1"/>
  <c r="X113" i="34" a="1"/>
  <c r="X113" i="34" s="1"/>
  <c r="W113" i="34" a="1"/>
  <c r="W113" i="34" s="1"/>
  <c r="V113" i="34" a="1"/>
  <c r="V113" i="34" s="1"/>
  <c r="T113" i="34" a="1"/>
  <c r="T113" i="34" s="1"/>
  <c r="Q113" i="34" a="1"/>
  <c r="Q113" i="34" s="1"/>
  <c r="O113" i="34" a="1"/>
  <c r="O113" i="34" s="1"/>
  <c r="N113" i="34" a="1"/>
  <c r="N113" i="34" s="1"/>
  <c r="AA112" i="34" a="1"/>
  <c r="AA112" i="34" s="1"/>
  <c r="X112" i="34" a="1"/>
  <c r="X112" i="34" s="1"/>
  <c r="W112" i="34" a="1"/>
  <c r="W112" i="34" s="1"/>
  <c r="V112" i="34" a="1"/>
  <c r="V112" i="34" s="1"/>
  <c r="T112" i="34" a="1"/>
  <c r="T112" i="34" s="1"/>
  <c r="Q112" i="34" a="1"/>
  <c r="Q112" i="34" s="1"/>
  <c r="O112" i="34" a="1"/>
  <c r="O112" i="34" s="1"/>
  <c r="P112" i="34" s="1" a="1"/>
  <c r="P112" i="34" s="1"/>
  <c r="N112" i="34" a="1"/>
  <c r="N112" i="34" s="1"/>
  <c r="AA111" i="34" a="1"/>
  <c r="AA111" i="34" s="1"/>
  <c r="X111" i="34" a="1"/>
  <c r="X111" i="34" s="1"/>
  <c r="W111" i="34" a="1"/>
  <c r="W111" i="34" s="1"/>
  <c r="V111" i="34" a="1"/>
  <c r="V111" i="34" s="1"/>
  <c r="T111" i="34" a="1"/>
  <c r="T111" i="34" s="1"/>
  <c r="Q111" i="34" a="1"/>
  <c r="Q111" i="34" s="1"/>
  <c r="O111" i="34" a="1"/>
  <c r="O111" i="34" s="1"/>
  <c r="P111" i="34" s="1" a="1"/>
  <c r="P111" i="34" s="1"/>
  <c r="N111" i="34" a="1"/>
  <c r="N111" i="34" s="1"/>
  <c r="AA110" i="34" a="1"/>
  <c r="AA110" i="34" s="1"/>
  <c r="X110" i="34" a="1"/>
  <c r="X110" i="34" s="1"/>
  <c r="W110" i="34" a="1"/>
  <c r="W110" i="34" s="1"/>
  <c r="V110" i="34" a="1"/>
  <c r="V110" i="34" s="1"/>
  <c r="T110" i="34" a="1"/>
  <c r="T110" i="34" s="1"/>
  <c r="Q110" i="34" a="1"/>
  <c r="Q110" i="34" s="1"/>
  <c r="O110" i="34" a="1"/>
  <c r="O110" i="34" s="1"/>
  <c r="P110" i="34" s="1" a="1"/>
  <c r="P110" i="34" s="1"/>
  <c r="N110" i="34" a="1"/>
  <c r="N110" i="34" s="1"/>
  <c r="AA109" i="34" a="1"/>
  <c r="AA109" i="34" s="1"/>
  <c r="X109" i="34" a="1"/>
  <c r="X109" i="34" s="1"/>
  <c r="W109" i="34" a="1"/>
  <c r="W109" i="34" s="1"/>
  <c r="V109" i="34" a="1"/>
  <c r="V109" i="34" s="1"/>
  <c r="T109" i="34" a="1"/>
  <c r="T109" i="34" s="1"/>
  <c r="Q109" i="34" a="1"/>
  <c r="Q109" i="34" s="1"/>
  <c r="O109" i="34" a="1"/>
  <c r="O109" i="34" s="1"/>
  <c r="N109" i="34" a="1"/>
  <c r="N109" i="34" s="1"/>
  <c r="AA108" i="34" a="1"/>
  <c r="AA108" i="34" s="1"/>
  <c r="X108" i="34" a="1"/>
  <c r="X108" i="34" s="1"/>
  <c r="W108" i="34" a="1"/>
  <c r="W108" i="34" s="1"/>
  <c r="V108" i="34" a="1"/>
  <c r="V108" i="34" s="1"/>
  <c r="T108" i="34" a="1"/>
  <c r="T108" i="34" s="1"/>
  <c r="Q108" i="34" a="1"/>
  <c r="Q108" i="34" s="1"/>
  <c r="O108" i="34" a="1"/>
  <c r="O108" i="34" s="1"/>
  <c r="P108" i="34" s="1" a="1"/>
  <c r="P108" i="34" s="1"/>
  <c r="N108" i="34" a="1"/>
  <c r="N108" i="34" s="1"/>
  <c r="AA107" i="34" a="1"/>
  <c r="AA107" i="34" s="1"/>
  <c r="X107" i="34" a="1"/>
  <c r="X107" i="34" s="1"/>
  <c r="W107" i="34" a="1"/>
  <c r="W107" i="34" s="1"/>
  <c r="V107" i="34" a="1"/>
  <c r="V107" i="34" s="1"/>
  <c r="T107" i="34" a="1"/>
  <c r="T107" i="34" s="1"/>
  <c r="Q107" i="34" a="1"/>
  <c r="Q107" i="34" s="1"/>
  <c r="O107" i="34" a="1"/>
  <c r="O107" i="34" s="1"/>
  <c r="P107" i="34" s="1" a="1"/>
  <c r="P107" i="34" s="1"/>
  <c r="N107" i="34" a="1"/>
  <c r="N107" i="34" s="1"/>
  <c r="AA106" i="34" a="1"/>
  <c r="AA106" i="34" s="1"/>
  <c r="X106" i="34" a="1"/>
  <c r="X106" i="34" s="1"/>
  <c r="W106" i="34" a="1"/>
  <c r="W106" i="34" s="1"/>
  <c r="V106" i="34" a="1"/>
  <c r="V106" i="34" s="1"/>
  <c r="T106" i="34" a="1"/>
  <c r="T106" i="34" s="1"/>
  <c r="Q106" i="34" a="1"/>
  <c r="Q106" i="34" s="1"/>
  <c r="O106" i="34" a="1"/>
  <c r="O106" i="34" s="1"/>
  <c r="P106" i="34" s="1" a="1"/>
  <c r="P106" i="34" s="1"/>
  <c r="N106" i="34" a="1"/>
  <c r="N106" i="34" s="1"/>
  <c r="AA105" i="34" a="1"/>
  <c r="AA105" i="34" s="1"/>
  <c r="X105" i="34" a="1"/>
  <c r="X105" i="34" s="1"/>
  <c r="W105" i="34" a="1"/>
  <c r="W105" i="34" s="1"/>
  <c r="V105" i="34" a="1"/>
  <c r="V105" i="34" s="1"/>
  <c r="T105" i="34" a="1"/>
  <c r="T105" i="34" s="1"/>
  <c r="Q105" i="34" a="1"/>
  <c r="Q105" i="34" s="1"/>
  <c r="O105" i="34" a="1"/>
  <c r="O105" i="34" s="1"/>
  <c r="P105" i="34" s="1" a="1"/>
  <c r="P105" i="34" s="1"/>
  <c r="N105" i="34" a="1"/>
  <c r="N105" i="34" s="1"/>
  <c r="AA104" i="34" a="1"/>
  <c r="AA104" i="34" s="1"/>
  <c r="X104" i="34" a="1"/>
  <c r="X104" i="34" s="1"/>
  <c r="W104" i="34" a="1"/>
  <c r="W104" i="34" s="1"/>
  <c r="V104" i="34" a="1"/>
  <c r="V104" i="34" s="1"/>
  <c r="T104" i="34" a="1"/>
  <c r="T104" i="34" s="1"/>
  <c r="Q104" i="34" a="1"/>
  <c r="Q104" i="34" s="1"/>
  <c r="O104" i="34" a="1"/>
  <c r="O104" i="34" s="1"/>
  <c r="P104" i="34" s="1" a="1"/>
  <c r="P104" i="34" s="1"/>
  <c r="N104" i="34" a="1"/>
  <c r="N104" i="34" s="1"/>
  <c r="AA103" i="34" a="1"/>
  <c r="AA103" i="34" s="1"/>
  <c r="X103" i="34" a="1"/>
  <c r="X103" i="34" s="1"/>
  <c r="W103" i="34" a="1"/>
  <c r="W103" i="34" s="1"/>
  <c r="V103" i="34" a="1"/>
  <c r="V103" i="34" s="1"/>
  <c r="T103" i="34" a="1"/>
  <c r="T103" i="34" s="1"/>
  <c r="Q103" i="34" a="1"/>
  <c r="Q103" i="34" s="1"/>
  <c r="O103" i="34" a="1"/>
  <c r="O103" i="34" s="1"/>
  <c r="P103" i="34" s="1" a="1"/>
  <c r="P103" i="34" s="1"/>
  <c r="N103" i="34" a="1"/>
  <c r="N103" i="34" s="1"/>
  <c r="AA102" i="34" a="1"/>
  <c r="AA102" i="34" s="1"/>
  <c r="X102" i="34" a="1"/>
  <c r="X102" i="34" s="1"/>
  <c r="W102" i="34" a="1"/>
  <c r="W102" i="34" s="1"/>
  <c r="V102" i="34" a="1"/>
  <c r="V102" i="34" s="1"/>
  <c r="T102" i="34" a="1"/>
  <c r="T102" i="34" s="1"/>
  <c r="Q102" i="34" a="1"/>
  <c r="Q102" i="34" s="1"/>
  <c r="O102" i="34" a="1"/>
  <c r="O102" i="34" s="1"/>
  <c r="P102" i="34" s="1" a="1"/>
  <c r="P102" i="34" s="1"/>
  <c r="N102" i="34" a="1"/>
  <c r="N102" i="34" s="1"/>
  <c r="AA101" i="34" a="1"/>
  <c r="AA101" i="34" s="1"/>
  <c r="X101" i="34" a="1"/>
  <c r="X101" i="34" s="1"/>
  <c r="W101" i="34" a="1"/>
  <c r="W101" i="34" s="1"/>
  <c r="V101" i="34" a="1"/>
  <c r="V101" i="34" s="1"/>
  <c r="T101" i="34" a="1"/>
  <c r="T101" i="34" s="1"/>
  <c r="Q101" i="34" a="1"/>
  <c r="Q101" i="34" s="1"/>
  <c r="O101" i="34" a="1"/>
  <c r="O101" i="34" s="1"/>
  <c r="P101" i="34" s="1" a="1"/>
  <c r="P101" i="34" s="1"/>
  <c r="N101" i="34" a="1"/>
  <c r="N101" i="34" s="1"/>
  <c r="AA100" i="34" a="1"/>
  <c r="AA100" i="34" s="1"/>
  <c r="X100" i="34" a="1"/>
  <c r="X100" i="34" s="1"/>
  <c r="W100" i="34" a="1"/>
  <c r="W100" i="34" s="1"/>
  <c r="V100" i="34" a="1"/>
  <c r="V100" i="34" s="1"/>
  <c r="T100" i="34" a="1"/>
  <c r="T100" i="34" s="1"/>
  <c r="Q100" i="34" a="1"/>
  <c r="Q100" i="34" s="1"/>
  <c r="O100" i="34" a="1"/>
  <c r="O100" i="34" s="1"/>
  <c r="P100" i="34" s="1" a="1"/>
  <c r="P100" i="34" s="1"/>
  <c r="N100" i="34" a="1"/>
  <c r="N100" i="34" s="1"/>
  <c r="AA99" i="34" a="1"/>
  <c r="AA99" i="34" s="1"/>
  <c r="X99" i="34" a="1"/>
  <c r="X99" i="34" s="1"/>
  <c r="W99" i="34" a="1"/>
  <c r="W99" i="34" s="1"/>
  <c r="V99" i="34" a="1"/>
  <c r="V99" i="34" s="1"/>
  <c r="T99" i="34" a="1"/>
  <c r="T99" i="34" s="1"/>
  <c r="Q99" i="34" a="1"/>
  <c r="Q99" i="34" s="1"/>
  <c r="O99" i="34" a="1"/>
  <c r="O99" i="34" s="1"/>
  <c r="P99" i="34" s="1" a="1"/>
  <c r="P99" i="34" s="1"/>
  <c r="N99" i="34" a="1"/>
  <c r="N99" i="34" s="1"/>
  <c r="AA98" i="34" a="1"/>
  <c r="AA98" i="34" s="1"/>
  <c r="X98" i="34" a="1"/>
  <c r="X98" i="34" s="1"/>
  <c r="W98" i="34" a="1"/>
  <c r="W98" i="34" s="1"/>
  <c r="V98" i="34" a="1"/>
  <c r="V98" i="34" s="1"/>
  <c r="T98" i="34" a="1"/>
  <c r="T98" i="34" s="1"/>
  <c r="Q98" i="34" a="1"/>
  <c r="Q98" i="34" s="1"/>
  <c r="O98" i="34" a="1"/>
  <c r="O98" i="34" s="1"/>
  <c r="P98" i="34" s="1" a="1"/>
  <c r="P98" i="34" s="1"/>
  <c r="N98" i="34" a="1"/>
  <c r="N98" i="34" s="1"/>
  <c r="AA97" i="34" a="1"/>
  <c r="AA97" i="34" s="1"/>
  <c r="X97" i="34" a="1"/>
  <c r="X97" i="34" s="1"/>
  <c r="W97" i="34" a="1"/>
  <c r="W97" i="34" s="1"/>
  <c r="V97" i="34" a="1"/>
  <c r="V97" i="34" s="1"/>
  <c r="T97" i="34" a="1"/>
  <c r="T97" i="34" s="1"/>
  <c r="Q97" i="34" a="1"/>
  <c r="Q97" i="34" s="1"/>
  <c r="O97" i="34" a="1"/>
  <c r="O97" i="34" s="1"/>
  <c r="P97" i="34" s="1" a="1"/>
  <c r="P97" i="34" s="1"/>
  <c r="N97" i="34" a="1"/>
  <c r="N97" i="34" s="1"/>
  <c r="AA96" i="34" a="1"/>
  <c r="AA96" i="34" s="1"/>
  <c r="X96" i="34" a="1"/>
  <c r="X96" i="34" s="1"/>
  <c r="W96" i="34" a="1"/>
  <c r="W96" i="34" s="1"/>
  <c r="V96" i="34" a="1"/>
  <c r="V96" i="34" s="1"/>
  <c r="T96" i="34" a="1"/>
  <c r="T96" i="34" s="1"/>
  <c r="Q96" i="34" a="1"/>
  <c r="Q96" i="34" s="1"/>
  <c r="O96" i="34" a="1"/>
  <c r="O96" i="34" s="1"/>
  <c r="P96" i="34" s="1" a="1"/>
  <c r="P96" i="34" s="1"/>
  <c r="N96" i="34" a="1"/>
  <c r="N96" i="34" s="1"/>
  <c r="AA95" i="34" a="1"/>
  <c r="AA95" i="34" s="1"/>
  <c r="X95" i="34" a="1"/>
  <c r="X95" i="34" s="1"/>
  <c r="W95" i="34" a="1"/>
  <c r="W95" i="34" s="1"/>
  <c r="V95" i="34" a="1"/>
  <c r="V95" i="34" s="1"/>
  <c r="T95" i="34" a="1"/>
  <c r="T95" i="34" s="1"/>
  <c r="Q95" i="34" a="1"/>
  <c r="Q95" i="34" s="1"/>
  <c r="O95" i="34" a="1"/>
  <c r="O95" i="34" s="1"/>
  <c r="P95" i="34" s="1" a="1"/>
  <c r="P95" i="34" s="1"/>
  <c r="N95" i="34" a="1"/>
  <c r="N95" i="34" s="1"/>
  <c r="AA94" i="34" a="1"/>
  <c r="AA94" i="34" s="1"/>
  <c r="X94" i="34" a="1"/>
  <c r="X94" i="34" s="1"/>
  <c r="W94" i="34" a="1"/>
  <c r="W94" i="34" s="1"/>
  <c r="V94" i="34" a="1"/>
  <c r="V94" i="34" s="1"/>
  <c r="T94" i="34" a="1"/>
  <c r="T94" i="34" s="1"/>
  <c r="Q94" i="34" a="1"/>
  <c r="Q94" i="34" s="1"/>
  <c r="O94" i="34" a="1"/>
  <c r="O94" i="34" s="1"/>
  <c r="N94" i="34" a="1"/>
  <c r="N94" i="34" s="1"/>
  <c r="AA93" i="34" a="1"/>
  <c r="AA93" i="34" s="1"/>
  <c r="X93" i="34" a="1"/>
  <c r="X93" i="34" s="1"/>
  <c r="W93" i="34" a="1"/>
  <c r="W93" i="34" s="1"/>
  <c r="V93" i="34" a="1"/>
  <c r="V93" i="34" s="1"/>
  <c r="T93" i="34" a="1"/>
  <c r="T93" i="34" s="1"/>
  <c r="Q93" i="34" a="1"/>
  <c r="Q93" i="34" s="1"/>
  <c r="O93" i="34" a="1"/>
  <c r="O93" i="34" s="1"/>
  <c r="P93" i="34" s="1" a="1"/>
  <c r="P93" i="34" s="1"/>
  <c r="N93" i="34" a="1"/>
  <c r="N93" i="34" s="1"/>
  <c r="AA92" i="34" a="1"/>
  <c r="AA92" i="34" s="1"/>
  <c r="X92" i="34" a="1"/>
  <c r="X92" i="34" s="1"/>
  <c r="W92" i="34" a="1"/>
  <c r="W92" i="34" s="1"/>
  <c r="V92" i="34" a="1"/>
  <c r="V92" i="34" s="1"/>
  <c r="T92" i="34" a="1"/>
  <c r="T92" i="34" s="1"/>
  <c r="Q92" i="34" a="1"/>
  <c r="Q92" i="34" s="1"/>
  <c r="O92" i="34" a="1"/>
  <c r="O92" i="34" s="1"/>
  <c r="N92" i="34" a="1"/>
  <c r="N92" i="34" s="1"/>
  <c r="AA91" i="34" a="1"/>
  <c r="AA91" i="34" s="1"/>
  <c r="X91" i="34" a="1"/>
  <c r="X91" i="34" s="1"/>
  <c r="W91" i="34" a="1"/>
  <c r="W91" i="34" s="1"/>
  <c r="V91" i="34" a="1"/>
  <c r="V91" i="34" s="1"/>
  <c r="T91" i="34" a="1"/>
  <c r="T91" i="34" s="1"/>
  <c r="Q91" i="34" a="1"/>
  <c r="Q91" i="34" s="1"/>
  <c r="O91" i="34" a="1"/>
  <c r="O91" i="34" s="1"/>
  <c r="P91" i="34" s="1" a="1"/>
  <c r="P91" i="34" s="1"/>
  <c r="N91" i="34" a="1"/>
  <c r="N91" i="34" s="1"/>
  <c r="AA90" i="34" a="1"/>
  <c r="AA90" i="34" s="1"/>
  <c r="X90" i="34" a="1"/>
  <c r="X90" i="34" s="1"/>
  <c r="W90" i="34" a="1"/>
  <c r="W90" i="34" s="1"/>
  <c r="V90" i="34" a="1"/>
  <c r="V90" i="34" s="1"/>
  <c r="T90" i="34" a="1"/>
  <c r="T90" i="34" s="1"/>
  <c r="Q90" i="34" a="1"/>
  <c r="Q90" i="34" s="1"/>
  <c r="O90" i="34" a="1"/>
  <c r="O90" i="34" s="1"/>
  <c r="P90" i="34" s="1" a="1"/>
  <c r="P90" i="34" s="1"/>
  <c r="N90" i="34" a="1"/>
  <c r="N90" i="34" s="1"/>
  <c r="AA89" i="34" a="1"/>
  <c r="AA89" i="34" s="1"/>
  <c r="X89" i="34" a="1"/>
  <c r="X89" i="34" s="1"/>
  <c r="W89" i="34" a="1"/>
  <c r="W89" i="34" s="1"/>
  <c r="V89" i="34" a="1"/>
  <c r="V89" i="34" s="1"/>
  <c r="T89" i="34" a="1"/>
  <c r="T89" i="34" s="1"/>
  <c r="Q89" i="34" a="1"/>
  <c r="Q89" i="34" s="1"/>
  <c r="O89" i="34" a="1"/>
  <c r="O89" i="34" s="1"/>
  <c r="P89" i="34" s="1" a="1"/>
  <c r="P89" i="34" s="1"/>
  <c r="N89" i="34" a="1"/>
  <c r="N89" i="34" s="1"/>
  <c r="AA88" i="34" a="1"/>
  <c r="AA88" i="34" s="1"/>
  <c r="X88" i="34" a="1"/>
  <c r="X88" i="34" s="1"/>
  <c r="W88" i="34" a="1"/>
  <c r="W88" i="34" s="1"/>
  <c r="V88" i="34" a="1"/>
  <c r="V88" i="34" s="1"/>
  <c r="T88" i="34" a="1"/>
  <c r="T88" i="34" s="1"/>
  <c r="Q88" i="34" a="1"/>
  <c r="Q88" i="34" s="1"/>
  <c r="O88" i="34" a="1"/>
  <c r="O88" i="34" s="1"/>
  <c r="P88" i="34" s="1" a="1"/>
  <c r="P88" i="34" s="1"/>
  <c r="N88" i="34" a="1"/>
  <c r="N88" i="34" s="1"/>
  <c r="AA87" i="34" a="1"/>
  <c r="AA87" i="34" s="1"/>
  <c r="X87" i="34" a="1"/>
  <c r="X87" i="34" s="1"/>
  <c r="W87" i="34" a="1"/>
  <c r="W87" i="34" s="1"/>
  <c r="V87" i="34" a="1"/>
  <c r="V87" i="34" s="1"/>
  <c r="T87" i="34" a="1"/>
  <c r="T87" i="34" s="1"/>
  <c r="Q87" i="34" a="1"/>
  <c r="Q87" i="34" s="1"/>
  <c r="O87" i="34" a="1"/>
  <c r="O87" i="34" s="1"/>
  <c r="N87" i="34" a="1"/>
  <c r="N87" i="34" s="1"/>
  <c r="AA86" i="34" a="1"/>
  <c r="AA86" i="34" s="1"/>
  <c r="X86" i="34" a="1"/>
  <c r="X86" i="34" s="1"/>
  <c r="W86" i="34" a="1"/>
  <c r="W86" i="34" s="1"/>
  <c r="V86" i="34" a="1"/>
  <c r="V86" i="34" s="1"/>
  <c r="T86" i="34" a="1"/>
  <c r="T86" i="34" s="1"/>
  <c r="Q86" i="34" a="1"/>
  <c r="Q86" i="34" s="1"/>
  <c r="O86" i="34" a="1"/>
  <c r="O86" i="34" s="1"/>
  <c r="N86" i="34" a="1"/>
  <c r="N86" i="34" s="1"/>
  <c r="AA85" i="34" a="1"/>
  <c r="AA85" i="34" s="1"/>
  <c r="X85" i="34" a="1"/>
  <c r="X85" i="34" s="1"/>
  <c r="W85" i="34" a="1"/>
  <c r="W85" i="34" s="1"/>
  <c r="V85" i="34" a="1"/>
  <c r="V85" i="34" s="1"/>
  <c r="T85" i="34" a="1"/>
  <c r="T85" i="34" s="1"/>
  <c r="Q85" i="34" a="1"/>
  <c r="Q85" i="34" s="1"/>
  <c r="O85" i="34" a="1"/>
  <c r="O85" i="34" s="1"/>
  <c r="P85" i="34" s="1" a="1"/>
  <c r="P85" i="34" s="1"/>
  <c r="N85" i="34" a="1"/>
  <c r="N85" i="34" s="1"/>
  <c r="AA84" i="34" a="1"/>
  <c r="AA84" i="34" s="1"/>
  <c r="X84" i="34" a="1"/>
  <c r="X84" i="34" s="1"/>
  <c r="W84" i="34" a="1"/>
  <c r="W84" i="34" s="1"/>
  <c r="V84" i="34" a="1"/>
  <c r="V84" i="34" s="1"/>
  <c r="T84" i="34" a="1"/>
  <c r="T84" i="34" s="1"/>
  <c r="Q84" i="34" a="1"/>
  <c r="Q84" i="34" s="1"/>
  <c r="O84" i="34" a="1"/>
  <c r="O84" i="34" s="1"/>
  <c r="P84" i="34" s="1" a="1"/>
  <c r="P84" i="34" s="1"/>
  <c r="N84" i="34" a="1"/>
  <c r="N84" i="34" s="1"/>
  <c r="AA83" i="34" a="1"/>
  <c r="AA83" i="34" s="1"/>
  <c r="X83" i="34" a="1"/>
  <c r="X83" i="34" s="1"/>
  <c r="W83" i="34" a="1"/>
  <c r="W83" i="34" s="1"/>
  <c r="V83" i="34" a="1"/>
  <c r="V83" i="34" s="1"/>
  <c r="T83" i="34" a="1"/>
  <c r="T83" i="34" s="1"/>
  <c r="Q83" i="34" a="1"/>
  <c r="Q83" i="34" s="1"/>
  <c r="O83" i="34" a="1"/>
  <c r="O83" i="34" s="1"/>
  <c r="P83" i="34" s="1" a="1"/>
  <c r="P83" i="34" s="1"/>
  <c r="N83" i="34" a="1"/>
  <c r="N83" i="34" s="1"/>
  <c r="AA82" i="34" a="1"/>
  <c r="AA82" i="34" s="1"/>
  <c r="X82" i="34" a="1"/>
  <c r="X82" i="34" s="1"/>
  <c r="W82" i="34" a="1"/>
  <c r="W82" i="34" s="1"/>
  <c r="V82" i="34" a="1"/>
  <c r="V82" i="34" s="1"/>
  <c r="T82" i="34" a="1"/>
  <c r="T82" i="34" s="1"/>
  <c r="Q82" i="34" a="1"/>
  <c r="Q82" i="34" s="1"/>
  <c r="O82" i="34" a="1"/>
  <c r="O82" i="34" s="1"/>
  <c r="P82" i="34" s="1" a="1"/>
  <c r="P82" i="34" s="1"/>
  <c r="N82" i="34" a="1"/>
  <c r="N82" i="34" s="1"/>
  <c r="AA81" i="34" a="1"/>
  <c r="AA81" i="34" s="1"/>
  <c r="X81" i="34" a="1"/>
  <c r="X81" i="34" s="1"/>
  <c r="W81" i="34" a="1"/>
  <c r="W81" i="34" s="1"/>
  <c r="V81" i="34" a="1"/>
  <c r="V81" i="34" s="1"/>
  <c r="T81" i="34" a="1"/>
  <c r="T81" i="34" s="1"/>
  <c r="Q81" i="34" a="1"/>
  <c r="Q81" i="34" s="1"/>
  <c r="O81" i="34" a="1"/>
  <c r="O81" i="34" s="1"/>
  <c r="N81" i="34" a="1"/>
  <c r="N81" i="34" s="1"/>
  <c r="AA80" i="34" a="1"/>
  <c r="AA80" i="34" s="1"/>
  <c r="X80" i="34" a="1"/>
  <c r="X80" i="34" s="1"/>
  <c r="W80" i="34" a="1"/>
  <c r="W80" i="34" s="1"/>
  <c r="V80" i="34" a="1"/>
  <c r="V80" i="34" s="1"/>
  <c r="T80" i="34" a="1"/>
  <c r="T80" i="34" s="1"/>
  <c r="Q80" i="34" a="1"/>
  <c r="Q80" i="34" s="1"/>
  <c r="O80" i="34" a="1"/>
  <c r="O80" i="34" s="1"/>
  <c r="N80" i="34" a="1"/>
  <c r="N80" i="34" s="1"/>
  <c r="AA79" i="34" a="1"/>
  <c r="AA79" i="34" s="1"/>
  <c r="X79" i="34" a="1"/>
  <c r="X79" i="34" s="1"/>
  <c r="W79" i="34" a="1"/>
  <c r="W79" i="34" s="1"/>
  <c r="V79" i="34" a="1"/>
  <c r="V79" i="34" s="1"/>
  <c r="T79" i="34" a="1"/>
  <c r="T79" i="34" s="1"/>
  <c r="Q79" i="34" a="1"/>
  <c r="Q79" i="34" s="1"/>
  <c r="O79" i="34" a="1"/>
  <c r="O79" i="34" s="1"/>
  <c r="P79" i="34" s="1" a="1"/>
  <c r="P79" i="34" s="1"/>
  <c r="N79" i="34" a="1"/>
  <c r="N79" i="34" s="1"/>
  <c r="AA78" i="34" a="1"/>
  <c r="AA78" i="34" s="1"/>
  <c r="X78" i="34" a="1"/>
  <c r="X78" i="34" s="1"/>
  <c r="W78" i="34" a="1"/>
  <c r="W78" i="34" s="1"/>
  <c r="V78" i="34" a="1"/>
  <c r="V78" i="34" s="1"/>
  <c r="T78" i="34" a="1"/>
  <c r="T78" i="34" s="1"/>
  <c r="Q78" i="34" a="1"/>
  <c r="Q78" i="34" s="1"/>
  <c r="O78" i="34" a="1"/>
  <c r="O78" i="34" s="1"/>
  <c r="P78" i="34" s="1" a="1"/>
  <c r="P78" i="34" s="1"/>
  <c r="N78" i="34" a="1"/>
  <c r="N78" i="34" s="1"/>
  <c r="AA77" i="34" a="1"/>
  <c r="AA77" i="34" s="1"/>
  <c r="X77" i="34" a="1"/>
  <c r="X77" i="34" s="1"/>
  <c r="W77" i="34" a="1"/>
  <c r="W77" i="34" s="1"/>
  <c r="V77" i="34" a="1"/>
  <c r="V77" i="34" s="1"/>
  <c r="T77" i="34" a="1"/>
  <c r="T77" i="34" s="1"/>
  <c r="Q77" i="34" a="1"/>
  <c r="Q77" i="34" s="1"/>
  <c r="O77" i="34" a="1"/>
  <c r="O77" i="34" s="1"/>
  <c r="N77" i="34" a="1"/>
  <c r="N77" i="34" s="1"/>
  <c r="AA76" i="34" a="1"/>
  <c r="AA76" i="34" s="1"/>
  <c r="X76" i="34" a="1"/>
  <c r="X76" i="34" s="1"/>
  <c r="W76" i="34" a="1"/>
  <c r="W76" i="34" s="1"/>
  <c r="V76" i="34" a="1"/>
  <c r="V76" i="34" s="1"/>
  <c r="T76" i="34" a="1"/>
  <c r="T76" i="34" s="1"/>
  <c r="Q76" i="34" a="1"/>
  <c r="Q76" i="34" s="1"/>
  <c r="O76" i="34" a="1"/>
  <c r="O76" i="34" s="1"/>
  <c r="N76" i="34" a="1"/>
  <c r="N76" i="34" s="1"/>
  <c r="AA75" i="34" a="1"/>
  <c r="AA75" i="34" s="1"/>
  <c r="X75" i="34" a="1"/>
  <c r="X75" i="34" s="1"/>
  <c r="W75" i="34" a="1"/>
  <c r="W75" i="34" s="1"/>
  <c r="V75" i="34" a="1"/>
  <c r="V75" i="34" s="1"/>
  <c r="T75" i="34" a="1"/>
  <c r="T75" i="34" s="1"/>
  <c r="Q75" i="34" a="1"/>
  <c r="Q75" i="34" s="1"/>
  <c r="O75" i="34" a="1"/>
  <c r="O75" i="34" s="1"/>
  <c r="P75" i="34" s="1" a="1"/>
  <c r="P75" i="34" s="1"/>
  <c r="N75" i="34" a="1"/>
  <c r="N75" i="34" s="1"/>
  <c r="AA74" i="34" a="1"/>
  <c r="AA74" i="34" s="1"/>
  <c r="X74" i="34" a="1"/>
  <c r="X74" i="34" s="1"/>
  <c r="W74" i="34" a="1"/>
  <c r="W74" i="34" s="1"/>
  <c r="V74" i="34" a="1"/>
  <c r="V74" i="34" s="1"/>
  <c r="T74" i="34" a="1"/>
  <c r="T74" i="34" s="1"/>
  <c r="Q74" i="34" a="1"/>
  <c r="Q74" i="34" s="1"/>
  <c r="O74" i="34" a="1"/>
  <c r="O74" i="34" s="1"/>
  <c r="N74" i="34" a="1"/>
  <c r="N74" i="34" s="1"/>
  <c r="AA73" i="34" a="1"/>
  <c r="AA73" i="34" s="1"/>
  <c r="X73" i="34" a="1"/>
  <c r="X73" i="34" s="1"/>
  <c r="W73" i="34" a="1"/>
  <c r="W73" i="34" s="1"/>
  <c r="V73" i="34" a="1"/>
  <c r="V73" i="34" s="1"/>
  <c r="T73" i="34" a="1"/>
  <c r="T73" i="34" s="1"/>
  <c r="Q73" i="34" a="1"/>
  <c r="Q73" i="34" s="1"/>
  <c r="O73" i="34" a="1"/>
  <c r="O73" i="34" s="1"/>
  <c r="P73" i="34" s="1" a="1"/>
  <c r="P73" i="34" s="1"/>
  <c r="N73" i="34" a="1"/>
  <c r="N73" i="34" s="1"/>
  <c r="AA72" i="34" a="1"/>
  <c r="AA72" i="34" s="1"/>
  <c r="X72" i="34" a="1"/>
  <c r="X72" i="34" s="1"/>
  <c r="W72" i="34" a="1"/>
  <c r="W72" i="34" s="1"/>
  <c r="V72" i="34" a="1"/>
  <c r="V72" i="34" s="1"/>
  <c r="T72" i="34" a="1"/>
  <c r="T72" i="34" s="1"/>
  <c r="Q72" i="34" a="1"/>
  <c r="Q72" i="34" s="1"/>
  <c r="O72" i="34" a="1"/>
  <c r="O72" i="34" s="1"/>
  <c r="N72" i="34" a="1"/>
  <c r="N72" i="34" s="1"/>
  <c r="AA71" i="34" a="1"/>
  <c r="AA71" i="34" s="1"/>
  <c r="X71" i="34" a="1"/>
  <c r="X71" i="34" s="1"/>
  <c r="W71" i="34" a="1"/>
  <c r="W71" i="34" s="1"/>
  <c r="V71" i="34" a="1"/>
  <c r="V71" i="34" s="1"/>
  <c r="T71" i="34" a="1"/>
  <c r="T71" i="34" s="1"/>
  <c r="Q71" i="34" a="1"/>
  <c r="Q71" i="34" s="1"/>
  <c r="O71" i="34" a="1"/>
  <c r="O71" i="34" s="1"/>
  <c r="P71" i="34" s="1" a="1"/>
  <c r="P71" i="34" s="1"/>
  <c r="N71" i="34" a="1"/>
  <c r="N71" i="34" s="1"/>
  <c r="AA70" i="34" a="1"/>
  <c r="AA70" i="34" s="1"/>
  <c r="X70" i="34" a="1"/>
  <c r="X70" i="34" s="1"/>
  <c r="W70" i="34" a="1"/>
  <c r="W70" i="34" s="1"/>
  <c r="V70" i="34" a="1"/>
  <c r="V70" i="34" s="1"/>
  <c r="T70" i="34" a="1"/>
  <c r="T70" i="34" s="1"/>
  <c r="Q70" i="34" a="1"/>
  <c r="Q70" i="34" s="1"/>
  <c r="O70" i="34" a="1"/>
  <c r="O70" i="34" s="1"/>
  <c r="N70" i="34" a="1"/>
  <c r="N70" i="34" s="1"/>
  <c r="AA69" i="34" a="1"/>
  <c r="AA69" i="34" s="1"/>
  <c r="X69" i="34" a="1"/>
  <c r="X69" i="34" s="1"/>
  <c r="W69" i="34" a="1"/>
  <c r="W69" i="34" s="1"/>
  <c r="V69" i="34" a="1"/>
  <c r="V69" i="34" s="1"/>
  <c r="T69" i="34" a="1"/>
  <c r="T69" i="34" s="1"/>
  <c r="Q69" i="34" a="1"/>
  <c r="Q69" i="34" s="1"/>
  <c r="O69" i="34" a="1"/>
  <c r="O69" i="34" s="1"/>
  <c r="P69" i="34" s="1" a="1"/>
  <c r="P69" i="34" s="1"/>
  <c r="N69" i="34" a="1"/>
  <c r="N69" i="34" s="1"/>
  <c r="AA68" i="34" a="1"/>
  <c r="AA68" i="34" s="1"/>
  <c r="X68" i="34" a="1"/>
  <c r="X68" i="34" s="1"/>
  <c r="W68" i="34" a="1"/>
  <c r="W68" i="34" s="1"/>
  <c r="V68" i="34" a="1"/>
  <c r="V68" i="34" s="1"/>
  <c r="T68" i="34" a="1"/>
  <c r="T68" i="34" s="1"/>
  <c r="Q68" i="34" a="1"/>
  <c r="Q68" i="34" s="1"/>
  <c r="O68" i="34" a="1"/>
  <c r="O68" i="34" s="1"/>
  <c r="P68" i="34" s="1" a="1"/>
  <c r="P68" i="34" s="1"/>
  <c r="N68" i="34" a="1"/>
  <c r="N68" i="34" s="1"/>
  <c r="AA67" i="34" a="1"/>
  <c r="AA67" i="34" s="1"/>
  <c r="X67" i="34" a="1"/>
  <c r="X67" i="34" s="1"/>
  <c r="W67" i="34" a="1"/>
  <c r="W67" i="34" s="1"/>
  <c r="V67" i="34" a="1"/>
  <c r="V67" i="34" s="1"/>
  <c r="T67" i="34" a="1"/>
  <c r="T67" i="34" s="1"/>
  <c r="Q67" i="34" a="1"/>
  <c r="Q67" i="34" s="1"/>
  <c r="O67" i="34" a="1"/>
  <c r="O67" i="34" s="1"/>
  <c r="P67" i="34" s="1" a="1"/>
  <c r="P67" i="34" s="1"/>
  <c r="N67" i="34" a="1"/>
  <c r="N67" i="34" s="1"/>
  <c r="AA66" i="34" a="1"/>
  <c r="AA66" i="34" s="1"/>
  <c r="X66" i="34" a="1"/>
  <c r="X66" i="34" s="1"/>
  <c r="W66" i="34" a="1"/>
  <c r="W66" i="34" s="1"/>
  <c r="V66" i="34" a="1"/>
  <c r="V66" i="34" s="1"/>
  <c r="T66" i="34" a="1"/>
  <c r="T66" i="34" s="1"/>
  <c r="Q66" i="34" a="1"/>
  <c r="Q66" i="34" s="1"/>
  <c r="O66" i="34" a="1"/>
  <c r="O66" i="34" s="1"/>
  <c r="P66" i="34" s="1" a="1"/>
  <c r="P66" i="34" s="1"/>
  <c r="N66" i="34" a="1"/>
  <c r="N66" i="34" s="1"/>
  <c r="AA65" i="34" a="1"/>
  <c r="AA65" i="34" s="1"/>
  <c r="X65" i="34" a="1"/>
  <c r="X65" i="34" s="1"/>
  <c r="W65" i="34" a="1"/>
  <c r="W65" i="34" s="1"/>
  <c r="V65" i="34" a="1"/>
  <c r="V65" i="34" s="1"/>
  <c r="T65" i="34" a="1"/>
  <c r="T65" i="34" s="1"/>
  <c r="Q65" i="34" a="1"/>
  <c r="Q65" i="34" s="1"/>
  <c r="O65" i="34" a="1"/>
  <c r="O65" i="34" s="1"/>
  <c r="P65" i="34" s="1" a="1"/>
  <c r="P65" i="34" s="1"/>
  <c r="N65" i="34" a="1"/>
  <c r="N65" i="34" s="1"/>
  <c r="AA64" i="34" a="1"/>
  <c r="AA64" i="34" s="1"/>
  <c r="X64" i="34" a="1"/>
  <c r="X64" i="34" s="1"/>
  <c r="W64" i="34" a="1"/>
  <c r="W64" i="34" s="1"/>
  <c r="V64" i="34" a="1"/>
  <c r="V64" i="34" s="1"/>
  <c r="T64" i="34" a="1"/>
  <c r="T64" i="34" s="1"/>
  <c r="Q64" i="34" a="1"/>
  <c r="Q64" i="34" s="1"/>
  <c r="O64" i="34" a="1"/>
  <c r="O64" i="34" s="1"/>
  <c r="P64" i="34" s="1" a="1"/>
  <c r="P64" i="34" s="1"/>
  <c r="N64" i="34" a="1"/>
  <c r="N64" i="34" s="1"/>
  <c r="AA63" i="34" a="1"/>
  <c r="AA63" i="34" s="1"/>
  <c r="X63" i="34" a="1"/>
  <c r="X63" i="34" s="1"/>
  <c r="W63" i="34" a="1"/>
  <c r="W63" i="34" s="1"/>
  <c r="V63" i="34" a="1"/>
  <c r="V63" i="34" s="1"/>
  <c r="T63" i="34" a="1"/>
  <c r="T63" i="34" s="1"/>
  <c r="Q63" i="34" a="1"/>
  <c r="Q63" i="34" s="1"/>
  <c r="O63" i="34" a="1"/>
  <c r="O63" i="34" s="1"/>
  <c r="N63" i="34" a="1"/>
  <c r="N63" i="34" s="1"/>
  <c r="AA62" i="34" a="1"/>
  <c r="AA62" i="34" s="1"/>
  <c r="X62" i="34" a="1"/>
  <c r="X62" i="34" s="1"/>
  <c r="W62" i="34" a="1"/>
  <c r="W62" i="34" s="1"/>
  <c r="V62" i="34" a="1"/>
  <c r="V62" i="34" s="1"/>
  <c r="T62" i="34" a="1"/>
  <c r="T62" i="34" s="1"/>
  <c r="Q62" i="34" a="1"/>
  <c r="Q62" i="34" s="1"/>
  <c r="O62" i="34" a="1"/>
  <c r="O62" i="34" s="1"/>
  <c r="P62" i="34" s="1" a="1"/>
  <c r="P62" i="34" s="1"/>
  <c r="N62" i="34" a="1"/>
  <c r="N62" i="34" s="1"/>
  <c r="AA61" i="34" a="1"/>
  <c r="AA61" i="34" s="1"/>
  <c r="X61" i="34" a="1"/>
  <c r="X61" i="34" s="1"/>
  <c r="W61" i="34" a="1"/>
  <c r="W61" i="34" s="1"/>
  <c r="V61" i="34" a="1"/>
  <c r="V61" i="34" s="1"/>
  <c r="T61" i="34" a="1"/>
  <c r="T61" i="34" s="1"/>
  <c r="Q61" i="34" a="1"/>
  <c r="Q61" i="34" s="1"/>
  <c r="O61" i="34" a="1"/>
  <c r="O61" i="34" s="1"/>
  <c r="P61" i="34" s="1" a="1"/>
  <c r="P61" i="34" s="1"/>
  <c r="N61" i="34" a="1"/>
  <c r="N61" i="34" s="1"/>
  <c r="AA60" i="34" a="1"/>
  <c r="AA60" i="34" s="1"/>
  <c r="X60" i="34" a="1"/>
  <c r="X60" i="34" s="1"/>
  <c r="W60" i="34" a="1"/>
  <c r="W60" i="34" s="1"/>
  <c r="V60" i="34" a="1"/>
  <c r="V60" i="34" s="1"/>
  <c r="T60" i="34" a="1"/>
  <c r="T60" i="34" s="1"/>
  <c r="Q60" i="34" a="1"/>
  <c r="Q60" i="34" s="1"/>
  <c r="O60" i="34" a="1"/>
  <c r="O60" i="34" s="1"/>
  <c r="P60" i="34" s="1" a="1"/>
  <c r="P60" i="34" s="1"/>
  <c r="N60" i="34" a="1"/>
  <c r="N60" i="34" s="1"/>
  <c r="AA59" i="34" a="1"/>
  <c r="AA59" i="34" s="1"/>
  <c r="X59" i="34" a="1"/>
  <c r="X59" i="34" s="1"/>
  <c r="W59" i="34" a="1"/>
  <c r="W59" i="34" s="1"/>
  <c r="V59" i="34" a="1"/>
  <c r="V59" i="34" s="1"/>
  <c r="T59" i="34" a="1"/>
  <c r="T59" i="34" s="1"/>
  <c r="Q59" i="34" a="1"/>
  <c r="Q59" i="34" s="1"/>
  <c r="O59" i="34" a="1"/>
  <c r="O59" i="34" s="1"/>
  <c r="P59" i="34" s="1" a="1"/>
  <c r="P59" i="34" s="1"/>
  <c r="N59" i="34" a="1"/>
  <c r="N59" i="34" s="1"/>
  <c r="AA58" i="34" a="1"/>
  <c r="AA58" i="34" s="1"/>
  <c r="X58" i="34" a="1"/>
  <c r="X58" i="34" s="1"/>
  <c r="W58" i="34" a="1"/>
  <c r="W58" i="34" s="1"/>
  <c r="V58" i="34" a="1"/>
  <c r="V58" i="34" s="1"/>
  <c r="T58" i="34" a="1"/>
  <c r="T58" i="34" s="1"/>
  <c r="Q58" i="34" a="1"/>
  <c r="Q58" i="34" s="1"/>
  <c r="O58" i="34" a="1"/>
  <c r="O58" i="34" s="1"/>
  <c r="P58" i="34" s="1" a="1"/>
  <c r="P58" i="34" s="1"/>
  <c r="N58" i="34" a="1"/>
  <c r="N58" i="34" s="1"/>
  <c r="AA57" i="34" a="1"/>
  <c r="AA57" i="34" s="1"/>
  <c r="X57" i="34" a="1"/>
  <c r="X57" i="34" s="1"/>
  <c r="W57" i="34" a="1"/>
  <c r="W57" i="34" s="1"/>
  <c r="V57" i="34" a="1"/>
  <c r="V57" i="34" s="1"/>
  <c r="T57" i="34" a="1"/>
  <c r="T57" i="34" s="1"/>
  <c r="Q57" i="34" a="1"/>
  <c r="Q57" i="34" s="1"/>
  <c r="O57" i="34" a="1"/>
  <c r="O57" i="34" s="1"/>
  <c r="N57" i="34" a="1"/>
  <c r="N57" i="34" s="1"/>
  <c r="AA56" i="34" a="1"/>
  <c r="AA56" i="34" s="1"/>
  <c r="X56" i="34" a="1"/>
  <c r="X56" i="34" s="1"/>
  <c r="W56" i="34" a="1"/>
  <c r="W56" i="34" s="1"/>
  <c r="V56" i="34" a="1"/>
  <c r="V56" i="34" s="1"/>
  <c r="T56" i="34" a="1"/>
  <c r="T56" i="34" s="1"/>
  <c r="Q56" i="34" a="1"/>
  <c r="Q56" i="34" s="1"/>
  <c r="O56" i="34" a="1"/>
  <c r="O56" i="34" s="1"/>
  <c r="P56" i="34" s="1" a="1"/>
  <c r="P56" i="34" s="1"/>
  <c r="N56" i="34" a="1"/>
  <c r="N56" i="34" s="1"/>
  <c r="AA55" i="34" a="1"/>
  <c r="AA55" i="34" s="1"/>
  <c r="X55" i="34" a="1"/>
  <c r="X55" i="34" s="1"/>
  <c r="W55" i="34" a="1"/>
  <c r="W55" i="34" s="1"/>
  <c r="V55" i="34" a="1"/>
  <c r="V55" i="34" s="1"/>
  <c r="T55" i="34" a="1"/>
  <c r="T55" i="34" s="1"/>
  <c r="Q55" i="34" a="1"/>
  <c r="Q55" i="34" s="1"/>
  <c r="O55" i="34" a="1"/>
  <c r="O55" i="34" s="1"/>
  <c r="P55" i="34" s="1" a="1"/>
  <c r="P55" i="34" s="1"/>
  <c r="N55" i="34" a="1"/>
  <c r="N55" i="34" s="1"/>
  <c r="AA54" i="34" a="1"/>
  <c r="AA54" i="34" s="1"/>
  <c r="X54" i="34" a="1"/>
  <c r="X54" i="34" s="1"/>
  <c r="W54" i="34" a="1"/>
  <c r="W54" i="34" s="1"/>
  <c r="V54" i="34" a="1"/>
  <c r="V54" i="34" s="1"/>
  <c r="T54" i="34" a="1"/>
  <c r="T54" i="34" s="1"/>
  <c r="Q54" i="34" a="1"/>
  <c r="Q54" i="34" s="1"/>
  <c r="O54" i="34" a="1"/>
  <c r="O54" i="34" s="1"/>
  <c r="P54" i="34" s="1" a="1"/>
  <c r="P54" i="34" s="1"/>
  <c r="N54" i="34" a="1"/>
  <c r="N54" i="34" s="1"/>
  <c r="AA53" i="34" a="1"/>
  <c r="AA53" i="34" s="1"/>
  <c r="X53" i="34" a="1"/>
  <c r="X53" i="34" s="1"/>
  <c r="W53" i="34" a="1"/>
  <c r="W53" i="34" s="1"/>
  <c r="V53" i="34" a="1"/>
  <c r="V53" i="34" s="1"/>
  <c r="T53" i="34" a="1"/>
  <c r="T53" i="34" s="1"/>
  <c r="Q53" i="34" a="1"/>
  <c r="Q53" i="34" s="1"/>
  <c r="O53" i="34" a="1"/>
  <c r="O53" i="34" s="1"/>
  <c r="P53" i="34" s="1" a="1"/>
  <c r="P53" i="34" s="1"/>
  <c r="N53" i="34" a="1"/>
  <c r="N53" i="34" s="1"/>
  <c r="AA52" i="34" a="1"/>
  <c r="AA52" i="34" s="1"/>
  <c r="X52" i="34" a="1"/>
  <c r="X52" i="34" s="1"/>
  <c r="W52" i="34" a="1"/>
  <c r="W52" i="34" s="1"/>
  <c r="V52" i="34" a="1"/>
  <c r="V52" i="34" s="1"/>
  <c r="T52" i="34" a="1"/>
  <c r="T52" i="34" s="1"/>
  <c r="Q52" i="34" a="1"/>
  <c r="Q52" i="34" s="1"/>
  <c r="O52" i="34" a="1"/>
  <c r="O52" i="34" s="1"/>
  <c r="P52" i="34" s="1" a="1"/>
  <c r="P52" i="34" s="1"/>
  <c r="N52" i="34" a="1"/>
  <c r="N52" i="34" s="1"/>
  <c r="AA51" i="34" a="1"/>
  <c r="AA51" i="34" s="1"/>
  <c r="X51" i="34" a="1"/>
  <c r="X51" i="34" s="1"/>
  <c r="W51" i="34" a="1"/>
  <c r="W51" i="34" s="1"/>
  <c r="V51" i="34" a="1"/>
  <c r="V51" i="34" s="1"/>
  <c r="T51" i="34" a="1"/>
  <c r="T51" i="34" s="1"/>
  <c r="Q51" i="34" a="1"/>
  <c r="Q51" i="34" s="1"/>
  <c r="O51" i="34" a="1"/>
  <c r="O51" i="34" s="1"/>
  <c r="P51" i="34" s="1" a="1"/>
  <c r="P51" i="34" s="1"/>
  <c r="N51" i="34" a="1"/>
  <c r="N51" i="34" s="1"/>
  <c r="AA50" i="34" a="1"/>
  <c r="AA50" i="34" s="1"/>
  <c r="X50" i="34" a="1"/>
  <c r="X50" i="34" s="1"/>
  <c r="W50" i="34" a="1"/>
  <c r="W50" i="34" s="1"/>
  <c r="Y50" i="34" s="1"/>
  <c r="V50" i="34" a="1"/>
  <c r="V50" i="34" s="1"/>
  <c r="T50" i="34" a="1"/>
  <c r="T50" i="34" s="1"/>
  <c r="Q50" i="34" a="1"/>
  <c r="Q50" i="34" s="1"/>
  <c r="O50" i="34" a="1"/>
  <c r="O50" i="34" s="1"/>
  <c r="N50" i="34" a="1"/>
  <c r="N50" i="34" s="1"/>
  <c r="AA49" i="34" a="1"/>
  <c r="AA49" i="34" s="1"/>
  <c r="X49" i="34" a="1"/>
  <c r="X49" i="34" s="1"/>
  <c r="W49" i="34" a="1"/>
  <c r="W49" i="34" s="1"/>
  <c r="V49" i="34" a="1"/>
  <c r="V49" i="34" s="1"/>
  <c r="T49" i="34" a="1"/>
  <c r="T49" i="34" s="1"/>
  <c r="Q49" i="34" a="1"/>
  <c r="Q49" i="34" s="1"/>
  <c r="O49" i="34" a="1"/>
  <c r="O49" i="34" s="1"/>
  <c r="N49" i="34" a="1"/>
  <c r="N49" i="34" s="1"/>
  <c r="AA48" i="34" a="1"/>
  <c r="AA48" i="34" s="1"/>
  <c r="X48" i="34" a="1"/>
  <c r="X48" i="34" s="1"/>
  <c r="W48" i="34" a="1"/>
  <c r="W48" i="34" s="1"/>
  <c r="V48" i="34" a="1"/>
  <c r="V48" i="34" s="1"/>
  <c r="T48" i="34" a="1"/>
  <c r="T48" i="34" s="1"/>
  <c r="Q48" i="34" a="1"/>
  <c r="Q48" i="34" s="1"/>
  <c r="O48" i="34" a="1"/>
  <c r="O48" i="34" s="1"/>
  <c r="N48" i="34" a="1"/>
  <c r="N48" i="34" s="1"/>
  <c r="AA47" i="34" a="1"/>
  <c r="AA47" i="34" s="1"/>
  <c r="X47" i="34" a="1"/>
  <c r="X47" i="34" s="1"/>
  <c r="W47" i="34" a="1"/>
  <c r="W47" i="34" s="1"/>
  <c r="V47" i="34" a="1"/>
  <c r="V47" i="34" s="1"/>
  <c r="T47" i="34" a="1"/>
  <c r="T47" i="34" s="1"/>
  <c r="Q47" i="34" a="1"/>
  <c r="Q47" i="34" s="1"/>
  <c r="O47" i="34" a="1"/>
  <c r="O47" i="34" s="1"/>
  <c r="N47" i="34" a="1"/>
  <c r="N47" i="34" s="1"/>
  <c r="AA46" i="34" a="1"/>
  <c r="AA46" i="34" s="1"/>
  <c r="X46" i="34" a="1"/>
  <c r="X46" i="34" s="1"/>
  <c r="W46" i="34" a="1"/>
  <c r="W46" i="34" s="1"/>
  <c r="V46" i="34" a="1"/>
  <c r="V46" i="34" s="1"/>
  <c r="T46" i="34" a="1"/>
  <c r="T46" i="34" s="1"/>
  <c r="Q46" i="34" a="1"/>
  <c r="Q46" i="34" s="1"/>
  <c r="O46" i="34" a="1"/>
  <c r="O46" i="34" s="1"/>
  <c r="P46" i="34" s="1" a="1"/>
  <c r="P46" i="34" s="1"/>
  <c r="N46" i="34" a="1"/>
  <c r="N46" i="34" s="1"/>
  <c r="AA45" i="34" a="1"/>
  <c r="AA45" i="34" s="1"/>
  <c r="X45" i="34" a="1"/>
  <c r="X45" i="34" s="1"/>
  <c r="W45" i="34" a="1"/>
  <c r="W45" i="34" s="1"/>
  <c r="V45" i="34" a="1"/>
  <c r="V45" i="34" s="1"/>
  <c r="T45" i="34" a="1"/>
  <c r="T45" i="34" s="1"/>
  <c r="Q45" i="34" a="1"/>
  <c r="Q45" i="34" s="1"/>
  <c r="O45" i="34" a="1"/>
  <c r="O45" i="34" s="1"/>
  <c r="N45" i="34" a="1"/>
  <c r="N45" i="34" s="1"/>
  <c r="AA44" i="34" a="1"/>
  <c r="AA44" i="34" s="1"/>
  <c r="X44" i="34" a="1"/>
  <c r="X44" i="34" s="1"/>
  <c r="W44" i="34" a="1"/>
  <c r="W44" i="34" s="1"/>
  <c r="V44" i="34" a="1"/>
  <c r="V44" i="34" s="1"/>
  <c r="T44" i="34" a="1"/>
  <c r="T44" i="34" s="1"/>
  <c r="Q44" i="34" a="1"/>
  <c r="Q44" i="34" s="1"/>
  <c r="O44" i="34" a="1"/>
  <c r="O44" i="34" s="1"/>
  <c r="N44" i="34" a="1"/>
  <c r="N44" i="34" s="1"/>
  <c r="AA43" i="34" a="1"/>
  <c r="AA43" i="34" s="1"/>
  <c r="X43" i="34" a="1"/>
  <c r="X43" i="34" s="1"/>
  <c r="W43" i="34" a="1"/>
  <c r="W43" i="34" s="1"/>
  <c r="V43" i="34" a="1"/>
  <c r="V43" i="34" s="1"/>
  <c r="T43" i="34" a="1"/>
  <c r="T43" i="34" s="1"/>
  <c r="Q43" i="34" a="1"/>
  <c r="Q43" i="34" s="1"/>
  <c r="O43" i="34" a="1"/>
  <c r="O43" i="34" s="1"/>
  <c r="N43" i="34" a="1"/>
  <c r="N43" i="34" s="1"/>
  <c r="AA42" i="34" a="1"/>
  <c r="AA42" i="34" s="1"/>
  <c r="X42" i="34" a="1"/>
  <c r="X42" i="34" s="1"/>
  <c r="W42" i="34" a="1"/>
  <c r="W42" i="34" s="1"/>
  <c r="V42" i="34" a="1"/>
  <c r="V42" i="34" s="1"/>
  <c r="T42" i="34" a="1"/>
  <c r="T42" i="34" s="1"/>
  <c r="Q42" i="34" a="1"/>
  <c r="Q42" i="34" s="1"/>
  <c r="O42" i="34" a="1"/>
  <c r="O42" i="34" s="1"/>
  <c r="P42" i="34" s="1" a="1"/>
  <c r="P42" i="34" s="1"/>
  <c r="N42" i="34" a="1"/>
  <c r="N42" i="34" s="1"/>
  <c r="AA41" i="34" a="1"/>
  <c r="AA41" i="34" s="1"/>
  <c r="X41" i="34" a="1"/>
  <c r="X41" i="34" s="1"/>
  <c r="W41" i="34" a="1"/>
  <c r="W41" i="34" s="1"/>
  <c r="V41" i="34" a="1"/>
  <c r="V41" i="34" s="1"/>
  <c r="T41" i="34" a="1"/>
  <c r="T41" i="34" s="1"/>
  <c r="Q41" i="34" a="1"/>
  <c r="Q41" i="34" s="1"/>
  <c r="O41" i="34" a="1"/>
  <c r="O41" i="34" s="1"/>
  <c r="P41" i="34" s="1" a="1"/>
  <c r="P41" i="34" s="1"/>
  <c r="N41" i="34" a="1"/>
  <c r="N41" i="34" s="1"/>
  <c r="AA40" i="34" a="1"/>
  <c r="AA40" i="34" s="1"/>
  <c r="X40" i="34" a="1"/>
  <c r="X40" i="34" s="1"/>
  <c r="W40" i="34" a="1"/>
  <c r="W40" i="34" s="1"/>
  <c r="Y40" i="34" s="1"/>
  <c r="Z40" i="34" s="1" a="1"/>
  <c r="Z40" i="34" s="1"/>
  <c r="V40" i="34" a="1"/>
  <c r="V40" i="34" s="1"/>
  <c r="T40" i="34" a="1"/>
  <c r="T40" i="34" s="1"/>
  <c r="Q40" i="34" a="1"/>
  <c r="Q40" i="34" s="1"/>
  <c r="O40" i="34" a="1"/>
  <c r="O40" i="34" s="1"/>
  <c r="P40" i="34" s="1" a="1"/>
  <c r="P40" i="34" s="1"/>
  <c r="N40" i="34" a="1"/>
  <c r="N40" i="34" s="1"/>
  <c r="AA39" i="34" a="1"/>
  <c r="AA39" i="34" s="1"/>
  <c r="X39" i="34" a="1"/>
  <c r="X39" i="34" s="1"/>
  <c r="W39" i="34" a="1"/>
  <c r="W39" i="34" s="1"/>
  <c r="V39" i="34" a="1"/>
  <c r="V39" i="34" s="1"/>
  <c r="T39" i="34" a="1"/>
  <c r="T39" i="34" s="1"/>
  <c r="Q39" i="34" a="1"/>
  <c r="Q39" i="34" s="1"/>
  <c r="O39" i="34" a="1"/>
  <c r="O39" i="34" s="1"/>
  <c r="P39" i="34" s="1" a="1"/>
  <c r="P39" i="34" s="1"/>
  <c r="N39" i="34" a="1"/>
  <c r="N39" i="34" s="1"/>
  <c r="AA38" i="34" a="1"/>
  <c r="AA38" i="34" s="1"/>
  <c r="X38" i="34" a="1"/>
  <c r="X38" i="34" s="1"/>
  <c r="W38" i="34" a="1"/>
  <c r="W38" i="34" s="1"/>
  <c r="V38" i="34" a="1"/>
  <c r="V38" i="34" s="1"/>
  <c r="T38" i="34" a="1"/>
  <c r="T38" i="34" s="1"/>
  <c r="Q38" i="34" a="1"/>
  <c r="Q38" i="34" s="1"/>
  <c r="O38" i="34" a="1"/>
  <c r="O38" i="34" s="1"/>
  <c r="P38" i="34" s="1" a="1"/>
  <c r="P38" i="34" s="1"/>
  <c r="N38" i="34" a="1"/>
  <c r="N38" i="34" s="1"/>
  <c r="AA37" i="34" a="1"/>
  <c r="AA37" i="34" s="1"/>
  <c r="X37" i="34" a="1"/>
  <c r="X37" i="34" s="1"/>
  <c r="W37" i="34" a="1"/>
  <c r="W37" i="34" s="1"/>
  <c r="V37" i="34" a="1"/>
  <c r="V37" i="34" s="1"/>
  <c r="T37" i="34" a="1"/>
  <c r="T37" i="34" s="1"/>
  <c r="Q37" i="34" a="1"/>
  <c r="Q37" i="34" s="1"/>
  <c r="O37" i="34" a="1"/>
  <c r="O37" i="34" s="1"/>
  <c r="N37" i="34" a="1"/>
  <c r="N37" i="34" s="1"/>
  <c r="AA36" i="34" a="1"/>
  <c r="AA36" i="34" s="1"/>
  <c r="X36" i="34" a="1"/>
  <c r="X36" i="34" s="1"/>
  <c r="W36" i="34" a="1"/>
  <c r="W36" i="34" s="1"/>
  <c r="V36" i="34" a="1"/>
  <c r="V36" i="34" s="1"/>
  <c r="T36" i="34" a="1"/>
  <c r="T36" i="34" s="1"/>
  <c r="Q36" i="34" a="1"/>
  <c r="Q36" i="34" s="1"/>
  <c r="O36" i="34" a="1"/>
  <c r="O36" i="34" s="1"/>
  <c r="P36" i="34" s="1" a="1"/>
  <c r="P36" i="34" s="1"/>
  <c r="N36" i="34" a="1"/>
  <c r="N36" i="34" s="1"/>
  <c r="AA35" i="34" a="1"/>
  <c r="AA35" i="34" s="1"/>
  <c r="X35" i="34" a="1"/>
  <c r="X35" i="34" s="1"/>
  <c r="W35" i="34" a="1"/>
  <c r="W35" i="34" s="1"/>
  <c r="V35" i="34" a="1"/>
  <c r="V35" i="34" s="1"/>
  <c r="T35" i="34" a="1"/>
  <c r="T35" i="34" s="1"/>
  <c r="Q35" i="34" a="1"/>
  <c r="Q35" i="34" s="1"/>
  <c r="O35" i="34" a="1"/>
  <c r="O35" i="34" s="1"/>
  <c r="P35" i="34" s="1" a="1"/>
  <c r="P35" i="34" s="1"/>
  <c r="N35" i="34" a="1"/>
  <c r="N35" i="34" s="1"/>
  <c r="AA34" i="34" a="1"/>
  <c r="AA34" i="34" s="1"/>
  <c r="X34" i="34" a="1"/>
  <c r="X34" i="34" s="1"/>
  <c r="W34" i="34" a="1"/>
  <c r="W34" i="34" s="1"/>
  <c r="V34" i="34" a="1"/>
  <c r="V34" i="34" s="1"/>
  <c r="T34" i="34" a="1"/>
  <c r="T34" i="34" s="1"/>
  <c r="Q34" i="34" a="1"/>
  <c r="Q34" i="34" s="1"/>
  <c r="O34" i="34" a="1"/>
  <c r="O34" i="34" s="1"/>
  <c r="P34" i="34" s="1" a="1"/>
  <c r="P34" i="34" s="1"/>
  <c r="N34" i="34" a="1"/>
  <c r="N34" i="34" s="1"/>
  <c r="AA33" i="34" a="1"/>
  <c r="AA33" i="34" s="1"/>
  <c r="X33" i="34" a="1"/>
  <c r="X33" i="34" s="1"/>
  <c r="W33" i="34" a="1"/>
  <c r="W33" i="34" s="1"/>
  <c r="V33" i="34" a="1"/>
  <c r="V33" i="34" s="1"/>
  <c r="T33" i="34" a="1"/>
  <c r="T33" i="34" s="1"/>
  <c r="Q33" i="34" a="1"/>
  <c r="Q33" i="34" s="1"/>
  <c r="O33" i="34" a="1"/>
  <c r="O33" i="34" s="1"/>
  <c r="P33" i="34" s="1" a="1"/>
  <c r="P33" i="34" s="1"/>
  <c r="N33" i="34" a="1"/>
  <c r="N33" i="34" s="1"/>
  <c r="AA32" i="34" a="1"/>
  <c r="AA32" i="34" s="1"/>
  <c r="X32" i="34" a="1"/>
  <c r="X32" i="34" s="1"/>
  <c r="W32" i="34" a="1"/>
  <c r="W32" i="34" s="1"/>
  <c r="V32" i="34" a="1"/>
  <c r="V32" i="34" s="1"/>
  <c r="T32" i="34" a="1"/>
  <c r="T32" i="34" s="1"/>
  <c r="Q32" i="34" a="1"/>
  <c r="Q32" i="34" s="1"/>
  <c r="O32" i="34" a="1"/>
  <c r="O32" i="34" s="1"/>
  <c r="P32" i="34" s="1" a="1"/>
  <c r="P32" i="34" s="1"/>
  <c r="N32" i="34" a="1"/>
  <c r="N32" i="34" s="1"/>
  <c r="AA31" i="34" a="1"/>
  <c r="AA31" i="34" s="1"/>
  <c r="X31" i="34" a="1"/>
  <c r="X31" i="34" s="1"/>
  <c r="W31" i="34" a="1"/>
  <c r="W31" i="34" s="1"/>
  <c r="V31" i="34" a="1"/>
  <c r="V31" i="34" s="1"/>
  <c r="T31" i="34" a="1"/>
  <c r="T31" i="34" s="1"/>
  <c r="Q31" i="34" a="1"/>
  <c r="Q31" i="34" s="1"/>
  <c r="O31" i="34" a="1"/>
  <c r="O31" i="34" s="1"/>
  <c r="P31" i="34" s="1" a="1"/>
  <c r="P31" i="34" s="1"/>
  <c r="N31" i="34" a="1"/>
  <c r="N31" i="34" s="1"/>
  <c r="AA30" i="34" a="1"/>
  <c r="AA30" i="34" s="1"/>
  <c r="X30" i="34" a="1"/>
  <c r="X30" i="34" s="1"/>
  <c r="W30" i="34" a="1"/>
  <c r="W30" i="34" s="1"/>
  <c r="V30" i="34" a="1"/>
  <c r="V30" i="34" s="1"/>
  <c r="T30" i="34" a="1"/>
  <c r="T30" i="34" s="1"/>
  <c r="Q30" i="34" a="1"/>
  <c r="Q30" i="34" s="1"/>
  <c r="O30" i="34" a="1"/>
  <c r="O30" i="34" s="1"/>
  <c r="N30" i="34" a="1"/>
  <c r="N30" i="34" s="1"/>
  <c r="AA29" i="34" a="1"/>
  <c r="AA29" i="34" s="1"/>
  <c r="X29" i="34" a="1"/>
  <c r="X29" i="34" s="1"/>
  <c r="W29" i="34" a="1"/>
  <c r="W29" i="34" s="1"/>
  <c r="V29" i="34" a="1"/>
  <c r="V29" i="34" s="1"/>
  <c r="T29" i="34" a="1"/>
  <c r="T29" i="34" s="1"/>
  <c r="Q29" i="34" a="1"/>
  <c r="Q29" i="34" s="1"/>
  <c r="O29" i="34" a="1"/>
  <c r="O29" i="34" s="1"/>
  <c r="P29" i="34" s="1" a="1"/>
  <c r="P29" i="34" s="1"/>
  <c r="N29" i="34" a="1"/>
  <c r="N29" i="34" s="1"/>
  <c r="AA28" i="34" a="1"/>
  <c r="AA28" i="34" s="1"/>
  <c r="X28" i="34" a="1"/>
  <c r="X28" i="34" s="1"/>
  <c r="W28" i="34" a="1"/>
  <c r="W28" i="34" s="1"/>
  <c r="V28" i="34" a="1"/>
  <c r="V28" i="34" s="1"/>
  <c r="T28" i="34" a="1"/>
  <c r="T28" i="34" s="1"/>
  <c r="Q28" i="34" a="1"/>
  <c r="Q28" i="34" s="1"/>
  <c r="O28" i="34" a="1"/>
  <c r="O28" i="34" s="1"/>
  <c r="N28" i="34" a="1"/>
  <c r="N28" i="34" s="1"/>
  <c r="AA27" i="34" a="1"/>
  <c r="AA27" i="34" s="1"/>
  <c r="X27" i="34" a="1"/>
  <c r="X27" i="34" s="1"/>
  <c r="W27" i="34" a="1"/>
  <c r="W27" i="34" s="1"/>
  <c r="V27" i="34" a="1"/>
  <c r="V27" i="34" s="1"/>
  <c r="T27" i="34" a="1"/>
  <c r="T27" i="34" s="1"/>
  <c r="Q27" i="34" a="1"/>
  <c r="Q27" i="34" s="1"/>
  <c r="O27" i="34" a="1"/>
  <c r="O27" i="34" s="1"/>
  <c r="P27" i="34" s="1" a="1"/>
  <c r="P27" i="34" s="1"/>
  <c r="N27" i="34" a="1"/>
  <c r="N27" i="34" s="1"/>
  <c r="AA26" i="34" a="1"/>
  <c r="AA26" i="34" s="1"/>
  <c r="X26" i="34" a="1"/>
  <c r="X26" i="34" s="1"/>
  <c r="W26" i="34" a="1"/>
  <c r="W26" i="34" s="1"/>
  <c r="V26" i="34" a="1"/>
  <c r="V26" i="34" s="1"/>
  <c r="T26" i="34" a="1"/>
  <c r="T26" i="34" s="1"/>
  <c r="Q26" i="34" a="1"/>
  <c r="Q26" i="34" s="1"/>
  <c r="O26" i="34" a="1"/>
  <c r="O26" i="34" s="1"/>
  <c r="P26" i="34" s="1" a="1"/>
  <c r="P26" i="34" s="1"/>
  <c r="N26" i="34" a="1"/>
  <c r="N26" i="34" s="1"/>
  <c r="AA25" i="34" a="1"/>
  <c r="AA25" i="34" s="1"/>
  <c r="X25" i="34" a="1"/>
  <c r="X25" i="34" s="1"/>
  <c r="W25" i="34" a="1"/>
  <c r="W25" i="34" s="1"/>
  <c r="V25" i="34" a="1"/>
  <c r="V25" i="34" s="1"/>
  <c r="T25" i="34" a="1"/>
  <c r="T25" i="34" s="1"/>
  <c r="Q25" i="34" a="1"/>
  <c r="Q25" i="34" s="1"/>
  <c r="O25" i="34" a="1"/>
  <c r="O25" i="34" s="1"/>
  <c r="P25" i="34" s="1" a="1"/>
  <c r="P25" i="34" s="1"/>
  <c r="N25" i="34" a="1"/>
  <c r="N25" i="34" s="1"/>
  <c r="AA24" i="34" a="1"/>
  <c r="AA24" i="34" s="1"/>
  <c r="X24" i="34" a="1"/>
  <c r="X24" i="34" s="1"/>
  <c r="W24" i="34" a="1"/>
  <c r="W24" i="34" s="1"/>
  <c r="V24" i="34" a="1"/>
  <c r="V24" i="34" s="1"/>
  <c r="T24" i="34" a="1"/>
  <c r="T24" i="34" s="1"/>
  <c r="Q24" i="34" a="1"/>
  <c r="Q24" i="34" s="1"/>
  <c r="O24" i="34" a="1"/>
  <c r="O24" i="34" s="1"/>
  <c r="N24" i="34" a="1"/>
  <c r="N24" i="34" s="1"/>
  <c r="AA23" i="34" a="1"/>
  <c r="AA23" i="34" s="1"/>
  <c r="X23" i="34" a="1"/>
  <c r="X23" i="34" s="1"/>
  <c r="W23" i="34" a="1"/>
  <c r="W23" i="34" s="1"/>
  <c r="V23" i="34" a="1"/>
  <c r="V23" i="34" s="1"/>
  <c r="T23" i="34" a="1"/>
  <c r="T23" i="34" s="1"/>
  <c r="Q23" i="34" a="1"/>
  <c r="Q23" i="34" s="1"/>
  <c r="O23" i="34" a="1"/>
  <c r="O23" i="34" s="1"/>
  <c r="N23" i="34" a="1"/>
  <c r="N23" i="34" s="1"/>
  <c r="AA22" i="34" a="1"/>
  <c r="AA22" i="34" s="1"/>
  <c r="X22" i="34" a="1"/>
  <c r="X22" i="34" s="1"/>
  <c r="W22" i="34" a="1"/>
  <c r="W22" i="34" s="1"/>
  <c r="V22" i="34" a="1"/>
  <c r="V22" i="34" s="1"/>
  <c r="T22" i="34" a="1"/>
  <c r="T22" i="34" s="1"/>
  <c r="Q22" i="34" a="1"/>
  <c r="Q22" i="34" s="1"/>
  <c r="O22" i="34" a="1"/>
  <c r="O22" i="34" s="1"/>
  <c r="P22" i="34" s="1" a="1"/>
  <c r="P22" i="34" s="1"/>
  <c r="N22" i="34" a="1"/>
  <c r="N22" i="34" s="1"/>
  <c r="AA21" i="34" a="1"/>
  <c r="AA21" i="34" s="1"/>
  <c r="X21" i="34" a="1"/>
  <c r="X21" i="34" s="1"/>
  <c r="W21" i="34" a="1"/>
  <c r="W21" i="34" s="1"/>
  <c r="V21" i="34" a="1"/>
  <c r="V21" i="34" s="1"/>
  <c r="T21" i="34" a="1"/>
  <c r="T21" i="34" s="1"/>
  <c r="Q21" i="34" a="1"/>
  <c r="Q21" i="34" s="1"/>
  <c r="O21" i="34" a="1"/>
  <c r="O21" i="34" s="1"/>
  <c r="P21" i="34" s="1" a="1"/>
  <c r="P21" i="34" s="1"/>
  <c r="N21" i="34" a="1"/>
  <c r="N21" i="34" s="1"/>
  <c r="AA20" i="34" a="1"/>
  <c r="AA20" i="34" s="1"/>
  <c r="X20" i="34" a="1"/>
  <c r="X20" i="34" s="1"/>
  <c r="W20" i="34" a="1"/>
  <c r="W20" i="34" s="1"/>
  <c r="V20" i="34" a="1"/>
  <c r="V20" i="34" s="1"/>
  <c r="T20" i="34" a="1"/>
  <c r="T20" i="34" s="1"/>
  <c r="Q20" i="34" a="1"/>
  <c r="Q20" i="34" s="1"/>
  <c r="O20" i="34" a="1"/>
  <c r="O20" i="34" s="1"/>
  <c r="P20" i="34" s="1" a="1"/>
  <c r="P20" i="34" s="1"/>
  <c r="N20" i="34" a="1"/>
  <c r="N20" i="34" s="1"/>
  <c r="AA19" i="34" a="1"/>
  <c r="AA19" i="34" s="1"/>
  <c r="X19" i="34" a="1"/>
  <c r="X19" i="34" s="1"/>
  <c r="W19" i="34" a="1"/>
  <c r="W19" i="34" s="1"/>
  <c r="V19" i="34" a="1"/>
  <c r="V19" i="34" s="1"/>
  <c r="T19" i="34" a="1"/>
  <c r="T19" i="34" s="1"/>
  <c r="Q19" i="34" a="1"/>
  <c r="Q19" i="34" s="1"/>
  <c r="O19" i="34" a="1"/>
  <c r="O19" i="34" s="1"/>
  <c r="P19" i="34" s="1" a="1"/>
  <c r="P19" i="34" s="1"/>
  <c r="N19" i="34" a="1"/>
  <c r="N19" i="34" s="1"/>
  <c r="AA18" i="34" a="1"/>
  <c r="AA18" i="34" s="1"/>
  <c r="X18" i="34" a="1"/>
  <c r="X18" i="34" s="1"/>
  <c r="W18" i="34" a="1"/>
  <c r="W18" i="34" s="1"/>
  <c r="V18" i="34" a="1"/>
  <c r="V18" i="34" s="1"/>
  <c r="T18" i="34" a="1"/>
  <c r="T18" i="34" s="1"/>
  <c r="Q18" i="34" a="1"/>
  <c r="Q18" i="34" s="1"/>
  <c r="O18" i="34" a="1"/>
  <c r="O18" i="34" s="1"/>
  <c r="P18" i="34" s="1" a="1"/>
  <c r="P18" i="34" s="1"/>
  <c r="N18" i="34" a="1"/>
  <c r="N18" i="34" s="1"/>
  <c r="AA17" i="34" a="1"/>
  <c r="AA17" i="34" s="1"/>
  <c r="X17" i="34" a="1"/>
  <c r="X17" i="34" s="1"/>
  <c r="W17" i="34" a="1"/>
  <c r="W17" i="34" s="1"/>
  <c r="V17" i="34" a="1"/>
  <c r="V17" i="34" s="1"/>
  <c r="T17" i="34" a="1"/>
  <c r="T17" i="34" s="1"/>
  <c r="Q17" i="34" a="1"/>
  <c r="Q17" i="34" s="1"/>
  <c r="O17" i="34" a="1"/>
  <c r="O17" i="34" s="1"/>
  <c r="N17" i="34" a="1"/>
  <c r="N17" i="34" s="1"/>
  <c r="AA16" i="34" a="1"/>
  <c r="AA16" i="34" s="1"/>
  <c r="X16" i="34" a="1"/>
  <c r="X16" i="34" s="1"/>
  <c r="W16" i="34" a="1"/>
  <c r="W16" i="34" s="1"/>
  <c r="V16" i="34" a="1"/>
  <c r="V16" i="34" s="1"/>
  <c r="T16" i="34" a="1"/>
  <c r="T16" i="34" s="1"/>
  <c r="Q16" i="34" a="1"/>
  <c r="Q16" i="34" s="1"/>
  <c r="O16" i="34" a="1"/>
  <c r="O16" i="34" s="1"/>
  <c r="P16" i="34" s="1" a="1"/>
  <c r="P16" i="34" s="1"/>
  <c r="N16" i="34" a="1"/>
  <c r="N16" i="34" s="1"/>
  <c r="AA15" i="34" a="1"/>
  <c r="AA15" i="34" s="1"/>
  <c r="X15" i="34" a="1"/>
  <c r="X15" i="34" s="1"/>
  <c r="W15" i="34" a="1"/>
  <c r="W15" i="34" s="1"/>
  <c r="V15" i="34" a="1"/>
  <c r="V15" i="34" s="1"/>
  <c r="T15" i="34" a="1"/>
  <c r="T15" i="34" s="1"/>
  <c r="Q15" i="34" a="1"/>
  <c r="Q15" i="34" s="1"/>
  <c r="O15" i="34" a="1"/>
  <c r="O15" i="34" s="1"/>
  <c r="P15" i="34" s="1" a="1"/>
  <c r="P15" i="34" s="1"/>
  <c r="N15" i="34" a="1"/>
  <c r="N15" i="34" s="1"/>
  <c r="AA14" i="34" a="1"/>
  <c r="AA14" i="34" s="1"/>
  <c r="X14" i="34" a="1"/>
  <c r="X14" i="34" s="1"/>
  <c r="W14" i="34" a="1"/>
  <c r="W14" i="34" s="1"/>
  <c r="V14" i="34" a="1"/>
  <c r="V14" i="34" s="1"/>
  <c r="T14" i="34" a="1"/>
  <c r="T14" i="34" s="1"/>
  <c r="Q14" i="34" a="1"/>
  <c r="Q14" i="34" s="1"/>
  <c r="O14" i="34" a="1"/>
  <c r="O14" i="34" s="1"/>
  <c r="P14" i="34" s="1" a="1"/>
  <c r="P14" i="34" s="1"/>
  <c r="N14" i="34" a="1"/>
  <c r="N14" i="34" s="1"/>
  <c r="AA13" i="34" a="1"/>
  <c r="AA13" i="34" s="1"/>
  <c r="X13" i="34" a="1"/>
  <c r="X13" i="34" s="1"/>
  <c r="W13" i="34" a="1"/>
  <c r="W13" i="34" s="1"/>
  <c r="V13" i="34" a="1"/>
  <c r="V13" i="34" s="1"/>
  <c r="T13" i="34" a="1"/>
  <c r="T13" i="34" s="1"/>
  <c r="Q13" i="34" a="1"/>
  <c r="Q13" i="34" s="1"/>
  <c r="O13" i="34" a="1"/>
  <c r="O13" i="34" s="1"/>
  <c r="P13" i="34" s="1" a="1"/>
  <c r="P13" i="34" s="1"/>
  <c r="N13" i="34" a="1"/>
  <c r="N13" i="34" s="1"/>
  <c r="AA12" i="34" a="1"/>
  <c r="AA12" i="34" s="1"/>
  <c r="X12" i="34" a="1"/>
  <c r="X12" i="34" s="1"/>
  <c r="W12" i="34" a="1"/>
  <c r="W12" i="34" s="1"/>
  <c r="V12" i="34" a="1"/>
  <c r="V12" i="34" s="1"/>
  <c r="T12" i="34" a="1"/>
  <c r="T12" i="34" s="1"/>
  <c r="Q12" i="34" a="1"/>
  <c r="Q12" i="34" s="1"/>
  <c r="O12" i="34" a="1"/>
  <c r="O12" i="34" s="1"/>
  <c r="P12" i="34" s="1" a="1"/>
  <c r="P12" i="34" s="1"/>
  <c r="N12" i="34" a="1"/>
  <c r="N12" i="34" s="1"/>
  <c r="AA11" i="34" a="1"/>
  <c r="AA11" i="34" s="1"/>
  <c r="X11" i="34" a="1"/>
  <c r="X11" i="34" s="1"/>
  <c r="W11" i="34" a="1"/>
  <c r="W11" i="34" s="1"/>
  <c r="V11" i="34" a="1"/>
  <c r="V11" i="34" s="1"/>
  <c r="T11" i="34" a="1"/>
  <c r="T11" i="34" s="1"/>
  <c r="Q11" i="34" a="1"/>
  <c r="Q11" i="34" s="1"/>
  <c r="O11" i="34" a="1"/>
  <c r="O11" i="34" s="1"/>
  <c r="P11" i="34" s="1" a="1"/>
  <c r="P11" i="34" s="1"/>
  <c r="N11" i="34" a="1"/>
  <c r="N11" i="34" s="1"/>
  <c r="AA10" i="34" a="1"/>
  <c r="AA10" i="34" s="1"/>
  <c r="X10" i="34" a="1"/>
  <c r="X10" i="34" s="1"/>
  <c r="W10" i="34" a="1"/>
  <c r="W10" i="34" s="1"/>
  <c r="V10" i="34" a="1"/>
  <c r="V10" i="34" s="1"/>
  <c r="T10" i="34" a="1"/>
  <c r="T10" i="34" s="1"/>
  <c r="Q10" i="34" a="1"/>
  <c r="Q10" i="34" s="1"/>
  <c r="O10" i="34" a="1"/>
  <c r="O10" i="34" s="1"/>
  <c r="P10" i="34" s="1" a="1"/>
  <c r="P10" i="34" s="1"/>
  <c r="N10" i="34" a="1"/>
  <c r="N10" i="34" s="1"/>
  <c r="AA9" i="34" a="1"/>
  <c r="AA9" i="34" s="1"/>
  <c r="X9" i="34" a="1"/>
  <c r="X9" i="34" s="1"/>
  <c r="W9" i="34" a="1"/>
  <c r="W9" i="34" s="1"/>
  <c r="V9" i="34" a="1"/>
  <c r="V9" i="34" s="1"/>
  <c r="T9" i="34" a="1"/>
  <c r="T9" i="34" s="1"/>
  <c r="Q9" i="34" a="1"/>
  <c r="Q9" i="34" s="1"/>
  <c r="O9" i="34" a="1"/>
  <c r="O9" i="34" s="1"/>
  <c r="N9" i="34" a="1"/>
  <c r="N9" i="34" s="1"/>
  <c r="AA8" i="34" a="1"/>
  <c r="AA8" i="34" s="1"/>
  <c r="X8" i="34" a="1"/>
  <c r="X8" i="34" s="1"/>
  <c r="W8" i="34" a="1"/>
  <c r="W8" i="34" s="1"/>
  <c r="V8" i="34" a="1"/>
  <c r="V8" i="34" s="1"/>
  <c r="T8" i="34" a="1"/>
  <c r="T8" i="34" s="1"/>
  <c r="Q8" i="34" a="1"/>
  <c r="Q8" i="34" s="1"/>
  <c r="O8" i="34" a="1"/>
  <c r="O8" i="34" s="1"/>
  <c r="P8" i="34" s="1" a="1"/>
  <c r="P8" i="34" s="1"/>
  <c r="N8" i="34" a="1"/>
  <c r="N8" i="34" s="1"/>
  <c r="AA7" i="34" a="1"/>
  <c r="AA7" i="34" s="1"/>
  <c r="X7" i="34" a="1"/>
  <c r="X7" i="34" s="1"/>
  <c r="W7" i="34" a="1"/>
  <c r="W7" i="34" s="1"/>
  <c r="V7" i="34" a="1"/>
  <c r="V7" i="34" s="1"/>
  <c r="T7" i="34" a="1"/>
  <c r="T7" i="34" s="1"/>
  <c r="Q7" i="34" a="1"/>
  <c r="Q7" i="34" s="1"/>
  <c r="O7" i="34" a="1"/>
  <c r="O7" i="34" s="1"/>
  <c r="P7" i="34" s="1" a="1"/>
  <c r="P7" i="34" s="1"/>
  <c r="N7" i="34" a="1"/>
  <c r="N7" i="34" s="1"/>
  <c r="AA6" i="34" a="1"/>
  <c r="AA6" i="34" s="1"/>
  <c r="X6" i="34" a="1"/>
  <c r="X6" i="34" s="1"/>
  <c r="W6" i="34" a="1"/>
  <c r="W6" i="34" s="1"/>
  <c r="V6" i="34" a="1"/>
  <c r="V6" i="34" s="1"/>
  <c r="T6" i="34" a="1"/>
  <c r="T6" i="34" s="1"/>
  <c r="Q6" i="34" a="1"/>
  <c r="Q6" i="34" s="1"/>
  <c r="O6" i="34" a="1"/>
  <c r="O6" i="34" s="1"/>
  <c r="N6" i="34" a="1"/>
  <c r="N6" i="34" s="1"/>
  <c r="AB392" i="34"/>
  <c r="Y163" i="34" l="1"/>
  <c r="Y9" i="34"/>
  <c r="R17" i="34"/>
  <c r="S17" i="34" s="1" a="1"/>
  <c r="S17" i="34" s="1"/>
  <c r="Y49" i="34"/>
  <c r="Z49" i="34" s="1" a="1"/>
  <c r="Z49" i="34" s="1"/>
  <c r="U57" i="34"/>
  <c r="Y69" i="34"/>
  <c r="Z69" i="34" s="1" a="1"/>
  <c r="Z69" i="34" s="1"/>
  <c r="Y139" i="34"/>
  <c r="Z139" i="34" s="1" a="1"/>
  <c r="Z139" i="34" s="1"/>
  <c r="U197" i="34"/>
  <c r="AB204" i="34"/>
  <c r="U44" i="34"/>
  <c r="R144" i="34"/>
  <c r="S144" i="34" s="1" a="1"/>
  <c r="S144" i="34" s="1"/>
  <c r="Y161" i="34"/>
  <c r="Z161" i="34" s="1" a="1"/>
  <c r="Z161" i="34" s="1"/>
  <c r="R249" i="34"/>
  <c r="S249" i="34" s="1" a="1"/>
  <c r="S249" i="34" s="1"/>
  <c r="AB93" i="34"/>
  <c r="R70" i="34"/>
  <c r="S70" i="34" s="1" a="1"/>
  <c r="S70" i="34" s="1"/>
  <c r="AB167" i="34"/>
  <c r="Y172" i="34"/>
  <c r="Z172" i="34" s="1" a="1"/>
  <c r="Z172" i="34" s="1"/>
  <c r="R255" i="34"/>
  <c r="S255" i="34" s="1" a="1"/>
  <c r="S255" i="34" s="1"/>
  <c r="U133" i="34"/>
  <c r="Y183" i="34"/>
  <c r="Z183" i="34" s="1" a="1"/>
  <c r="Z183" i="34" s="1"/>
  <c r="U211" i="34"/>
  <c r="U221" i="34"/>
  <c r="R393" i="34"/>
  <c r="S393" i="34" s="1" a="1"/>
  <c r="S393" i="34" s="1"/>
  <c r="R244" i="34"/>
  <c r="S244" i="34" s="1" a="1"/>
  <c r="S244" i="34" s="1"/>
  <c r="U269" i="34"/>
  <c r="R69" i="34"/>
  <c r="S69" i="34" s="1" a="1"/>
  <c r="S69" i="34" s="1"/>
  <c r="AB286" i="34"/>
  <c r="AB109" i="34"/>
  <c r="R225" i="34"/>
  <c r="S225" i="34" s="1" a="1"/>
  <c r="S225" i="34" s="1"/>
  <c r="R520" i="34"/>
  <c r="S520" i="34" s="1" a="1"/>
  <c r="S520" i="34" s="1"/>
  <c r="Z165" i="34" a="1"/>
  <c r="Z165" i="34" s="1"/>
  <c r="R382" i="34"/>
  <c r="S382" i="34" s="1" a="1"/>
  <c r="S382" i="34" s="1"/>
  <c r="R521" i="34"/>
  <c r="S521" i="34" s="1" a="1"/>
  <c r="S521" i="34" s="1"/>
  <c r="AB148" i="34"/>
  <c r="U35" i="34"/>
  <c r="AB229" i="34"/>
  <c r="Y38" i="34"/>
  <c r="Z38" i="34" s="1" a="1"/>
  <c r="Z38" i="34" s="1"/>
  <c r="R403" i="34"/>
  <c r="S403" i="34" s="1" a="1"/>
  <c r="S403" i="34" s="1"/>
  <c r="R483" i="34"/>
  <c r="S483" i="34" s="1" a="1"/>
  <c r="S483" i="34" s="1"/>
  <c r="AB291" i="34"/>
  <c r="Y225" i="34"/>
  <c r="Z225" i="34" s="1" a="1"/>
  <c r="Z225" i="34" s="1"/>
  <c r="U116" i="34"/>
  <c r="R262" i="34"/>
  <c r="S262" i="34" s="1" a="1"/>
  <c r="S262" i="34" s="1"/>
  <c r="U11" i="34"/>
  <c r="R31" i="34"/>
  <c r="S31" i="34" s="1" a="1"/>
  <c r="S31" i="34" s="1"/>
  <c r="Y109" i="34"/>
  <c r="Z109" i="34" s="1" a="1"/>
  <c r="Z109" i="34" s="1"/>
  <c r="Y141" i="34"/>
  <c r="Z141" i="34" s="1" a="1"/>
  <c r="Z141" i="34" s="1"/>
  <c r="R102" i="34"/>
  <c r="S102" i="34" s="1" a="1"/>
  <c r="S102" i="34" s="1"/>
  <c r="U102" i="34"/>
  <c r="R191" i="34"/>
  <c r="S191" i="34" s="1" a="1"/>
  <c r="S191" i="34" s="1"/>
  <c r="R228" i="34"/>
  <c r="S228" i="34" s="1" a="1"/>
  <c r="S228" i="34" s="1"/>
  <c r="R378" i="34"/>
  <c r="S378" i="34" s="1" a="1"/>
  <c r="S378" i="34" s="1"/>
  <c r="R438" i="34"/>
  <c r="S438" i="34" s="1" a="1"/>
  <c r="S438" i="34" s="1"/>
  <c r="U63" i="34"/>
  <c r="Y82" i="34"/>
  <c r="Z82" i="34" s="1" a="1"/>
  <c r="Z82" i="34" s="1"/>
  <c r="R112" i="34"/>
  <c r="S112" i="34" s="1" a="1"/>
  <c r="S112" i="34" s="1"/>
  <c r="AB188" i="34"/>
  <c r="AB218" i="34"/>
  <c r="Y26" i="34"/>
  <c r="Z26" i="34" s="1" a="1"/>
  <c r="Z26" i="34" s="1"/>
  <c r="AB82" i="34"/>
  <c r="R90" i="34"/>
  <c r="S90" i="34" s="1" a="1"/>
  <c r="S90" i="34" s="1"/>
  <c r="U112" i="34"/>
  <c r="U206" i="34"/>
  <c r="R243" i="34"/>
  <c r="S243" i="34" s="1" a="1"/>
  <c r="S243" i="34" s="1"/>
  <c r="R578" i="34"/>
  <c r="S578" i="34" s="1" a="1"/>
  <c r="S578" i="34" s="1"/>
  <c r="U195" i="34"/>
  <c r="AB254" i="34"/>
  <c r="U84" i="34"/>
  <c r="R188" i="34"/>
  <c r="S188" i="34" s="1" a="1"/>
  <c r="S188" i="34" s="1"/>
  <c r="AB153" i="34"/>
  <c r="AB300" i="34"/>
  <c r="AB221" i="34"/>
  <c r="AB253" i="34"/>
  <c r="U261" i="34"/>
  <c r="Y255" i="34"/>
  <c r="Z255" i="34" s="1" a="1"/>
  <c r="Z255" i="34" s="1"/>
  <c r="R152" i="34"/>
  <c r="S152" i="34" s="1" a="1"/>
  <c r="S152" i="34" s="1"/>
  <c r="AB255" i="34"/>
  <c r="U167" i="34"/>
  <c r="Y238" i="34"/>
  <c r="Z238" i="34" s="1" a="1"/>
  <c r="Z238" i="34" s="1"/>
  <c r="R346" i="34"/>
  <c r="S346" i="34" s="1" a="1"/>
  <c r="S346" i="34" s="1"/>
  <c r="R523" i="34"/>
  <c r="S523" i="34" s="1" a="1"/>
  <c r="S523" i="34" s="1"/>
  <c r="R471" i="34"/>
  <c r="S471" i="34" s="1" a="1"/>
  <c r="S471" i="34" s="1"/>
  <c r="AB128" i="34"/>
  <c r="AB158" i="34"/>
  <c r="R519" i="34"/>
  <c r="S519" i="34" s="1" a="1"/>
  <c r="S519" i="34" s="1"/>
  <c r="Y285" i="34"/>
  <c r="Z285" i="34" s="1" a="1"/>
  <c r="Z285" i="34" s="1"/>
  <c r="R83" i="34"/>
  <c r="S83" i="34" s="1" a="1"/>
  <c r="S83" i="34" s="1"/>
  <c r="Y112" i="34"/>
  <c r="Z112" i="34" s="1" a="1"/>
  <c r="Z112" i="34" s="1"/>
  <c r="AB191" i="34"/>
  <c r="R103" i="34"/>
  <c r="S103" i="34" s="1" a="1"/>
  <c r="S103" i="34" s="1"/>
  <c r="U214" i="34"/>
  <c r="U172" i="34"/>
  <c r="R261" i="34"/>
  <c r="S261" i="34" s="1" a="1"/>
  <c r="S261" i="34" s="1"/>
  <c r="R485" i="34"/>
  <c r="S485" i="34" s="1" a="1"/>
  <c r="S485" i="34" s="1"/>
  <c r="R289" i="34"/>
  <c r="S289" i="34" s="1" a="1"/>
  <c r="S289" i="34" s="1"/>
  <c r="Y184" i="34"/>
  <c r="Z184" i="34" s="1" a="1"/>
  <c r="Z184" i="34" s="1"/>
  <c r="AB161" i="34"/>
  <c r="Y31" i="34"/>
  <c r="Z31" i="34" s="1" a="1"/>
  <c r="Z31" i="34" s="1"/>
  <c r="Y180" i="34"/>
  <c r="Z180" i="34" s="1" a="1"/>
  <c r="Z180" i="34" s="1"/>
  <c r="U196" i="34"/>
  <c r="Y7" i="34"/>
  <c r="Z7" i="34" s="1" a="1"/>
  <c r="Z7" i="34" s="1"/>
  <c r="Y22" i="34"/>
  <c r="Z22" i="34" s="1" a="1"/>
  <c r="Z22" i="34" s="1"/>
  <c r="AB112" i="34"/>
  <c r="AB240" i="34"/>
  <c r="Y254" i="34"/>
  <c r="Z254" i="34" s="1" a="1"/>
  <c r="Z254" i="34" s="1"/>
  <c r="AB15" i="34"/>
  <c r="R41" i="34"/>
  <c r="S41" i="34" s="1" a="1"/>
  <c r="S41" i="34" s="1"/>
  <c r="U141" i="34"/>
  <c r="AB285" i="34"/>
  <c r="R370" i="34"/>
  <c r="S370" i="34" s="1" a="1"/>
  <c r="S370" i="34" s="1"/>
  <c r="Y43" i="34"/>
  <c r="Z43" i="34" s="1" a="1"/>
  <c r="Z43" i="34" s="1"/>
  <c r="AB62" i="34"/>
  <c r="R79" i="34"/>
  <c r="S79" i="34" s="1" a="1"/>
  <c r="S79" i="34" s="1"/>
  <c r="U90" i="34"/>
  <c r="Y136" i="34"/>
  <c r="Z136" i="34" s="1" a="1"/>
  <c r="Z136" i="34" s="1"/>
  <c r="U153" i="34"/>
  <c r="U190" i="34"/>
  <c r="AB199" i="34"/>
  <c r="R353" i="34"/>
  <c r="S353" i="34" s="1" a="1"/>
  <c r="S353" i="34" s="1"/>
  <c r="R448" i="34"/>
  <c r="S448" i="34" s="1" a="1"/>
  <c r="S448" i="34" s="1"/>
  <c r="R487" i="34"/>
  <c r="S487" i="34" s="1" a="1"/>
  <c r="S487" i="34" s="1"/>
  <c r="R582" i="34"/>
  <c r="S582" i="34" s="1" a="1"/>
  <c r="S582" i="34" s="1"/>
  <c r="Y277" i="34"/>
  <c r="Z277" i="34" s="1" a="1"/>
  <c r="Z277" i="34" s="1"/>
  <c r="R329" i="34"/>
  <c r="S329" i="34" s="1" a="1"/>
  <c r="S329" i="34" s="1"/>
  <c r="AB119" i="34"/>
  <c r="AB233" i="34"/>
  <c r="Y240" i="34"/>
  <c r="Z240" i="34" s="1" a="1"/>
  <c r="Z240" i="34" s="1"/>
  <c r="Y110" i="34"/>
  <c r="Z110" i="34" s="1" a="1"/>
  <c r="Z110" i="34" s="1"/>
  <c r="R141" i="34"/>
  <c r="S141" i="34" s="1" a="1"/>
  <c r="S141" i="34" s="1"/>
  <c r="U199" i="34"/>
  <c r="AB280" i="34"/>
  <c r="U18" i="34"/>
  <c r="AB194" i="34"/>
  <c r="R486" i="34"/>
  <c r="S486" i="34" s="1" a="1"/>
  <c r="S486" i="34" s="1"/>
  <c r="R11" i="34"/>
  <c r="S11" i="34" s="1" a="1"/>
  <c r="S11" i="34" s="1"/>
  <c r="Y115" i="34"/>
  <c r="Z115" i="34" s="1" a="1"/>
  <c r="Z115" i="34" s="1"/>
  <c r="R132" i="34"/>
  <c r="S132" i="34" s="1" a="1"/>
  <c r="S132" i="34" s="1"/>
  <c r="AB136" i="34"/>
  <c r="R167" i="34"/>
  <c r="S167" i="34" s="1" a="1"/>
  <c r="S167" i="34" s="1"/>
  <c r="Y199" i="34"/>
  <c r="Z199" i="34" s="1" a="1"/>
  <c r="Z199" i="34" s="1"/>
  <c r="R241" i="34"/>
  <c r="S241" i="34" s="1" a="1"/>
  <c r="S241" i="34" s="1"/>
  <c r="U262" i="34"/>
  <c r="Y297" i="34"/>
  <c r="Z297" i="34" s="1" a="1"/>
  <c r="Z297" i="34" s="1"/>
  <c r="R449" i="34"/>
  <c r="S449" i="34" s="1" a="1"/>
  <c r="S449" i="34" s="1"/>
  <c r="R545" i="34"/>
  <c r="S545" i="34" s="1" a="1"/>
  <c r="S545" i="34" s="1"/>
  <c r="Y140" i="34"/>
  <c r="Z140" i="34" s="1" a="1"/>
  <c r="Z140" i="34" s="1"/>
  <c r="U103" i="34"/>
  <c r="U215" i="34"/>
  <c r="AB31" i="34"/>
  <c r="Y103" i="34"/>
  <c r="Z103" i="34" s="1" a="1"/>
  <c r="Z103" i="34" s="1"/>
  <c r="Y25" i="34"/>
  <c r="Z25" i="34" s="1" a="1"/>
  <c r="Z25" i="34" s="1"/>
  <c r="AB222" i="34"/>
  <c r="R412" i="34"/>
  <c r="S412" i="34" s="1" a="1"/>
  <c r="S412" i="34" s="1"/>
  <c r="R450" i="34"/>
  <c r="S450" i="34" s="1" a="1"/>
  <c r="S450" i="34" s="1"/>
  <c r="R546" i="34"/>
  <c r="S546" i="34" s="1" a="1"/>
  <c r="S546" i="34" s="1"/>
  <c r="U21" i="34"/>
  <c r="R28" i="34"/>
  <c r="S28" i="34" s="1" a="1"/>
  <c r="S28" i="34" s="1"/>
  <c r="AB41" i="34"/>
  <c r="U51" i="34"/>
  <c r="AB90" i="34"/>
  <c r="U144" i="34"/>
  <c r="AB295" i="34"/>
  <c r="R357" i="34"/>
  <c r="S357" i="34" s="1" a="1"/>
  <c r="S357" i="34" s="1"/>
  <c r="R510" i="34"/>
  <c r="S510" i="34" s="1" a="1"/>
  <c r="S510" i="34" s="1"/>
  <c r="R82" i="34"/>
  <c r="S82" i="34" s="1" a="1"/>
  <c r="S82" i="34" s="1"/>
  <c r="U137" i="34"/>
  <c r="AB146" i="34"/>
  <c r="R193" i="34"/>
  <c r="S193" i="34" s="1" a="1"/>
  <c r="S193" i="34" s="1"/>
  <c r="R223" i="34"/>
  <c r="S223" i="34" s="1" a="1"/>
  <c r="S223" i="34" s="1"/>
  <c r="R246" i="34"/>
  <c r="S246" i="34" s="1" a="1"/>
  <c r="S246" i="34" s="1"/>
  <c r="R401" i="34"/>
  <c r="S401" i="34" s="1" a="1"/>
  <c r="S401" i="34" s="1"/>
  <c r="R318" i="34"/>
  <c r="S318" i="34" s="1" a="1"/>
  <c r="S318" i="34" s="1"/>
  <c r="R415" i="34"/>
  <c r="S415" i="34" s="1" a="1"/>
  <c r="S415" i="34" s="1"/>
  <c r="R511" i="34"/>
  <c r="S511" i="34" s="1" a="1"/>
  <c r="S511" i="34" s="1"/>
  <c r="Y220" i="34"/>
  <c r="Z220" i="34" s="1" a="1"/>
  <c r="Z220" i="34" s="1"/>
  <c r="R355" i="34"/>
  <c r="S355" i="34" s="1" a="1"/>
  <c r="S355" i="34" s="1"/>
  <c r="R21" i="34"/>
  <c r="S21" i="34" s="1" a="1"/>
  <c r="S21" i="34" s="1"/>
  <c r="Y243" i="34"/>
  <c r="Z243" i="34" s="1" a="1"/>
  <c r="Z243" i="34" s="1"/>
  <c r="R291" i="34"/>
  <c r="S291" i="34" s="1" a="1"/>
  <c r="S291" i="34" s="1"/>
  <c r="R356" i="34"/>
  <c r="S356" i="34" s="1" a="1"/>
  <c r="S356" i="34" s="1"/>
  <c r="Y146" i="34"/>
  <c r="Z146" i="34" s="1" a="1"/>
  <c r="Z146" i="34" s="1"/>
  <c r="U174" i="34"/>
  <c r="R232" i="34"/>
  <c r="S232" i="34" s="1" a="1"/>
  <c r="S232" i="34" s="1"/>
  <c r="AB243" i="34"/>
  <c r="AB72" i="34"/>
  <c r="R172" i="34"/>
  <c r="S172" i="34" s="1" a="1"/>
  <c r="S172" i="34" s="1"/>
  <c r="U193" i="34"/>
  <c r="R214" i="34"/>
  <c r="S214" i="34" s="1" a="1"/>
  <c r="S214" i="34" s="1"/>
  <c r="AB234" i="34"/>
  <c r="AB250" i="34"/>
  <c r="R265" i="34"/>
  <c r="S265" i="34" s="1" a="1"/>
  <c r="S265" i="34" s="1"/>
  <c r="R319" i="34"/>
  <c r="S319" i="34" s="1" a="1"/>
  <c r="S319" i="34" s="1"/>
  <c r="R358" i="34"/>
  <c r="S358" i="34" s="1" a="1"/>
  <c r="S358" i="34" s="1"/>
  <c r="R377" i="34"/>
  <c r="S377" i="34" s="1" a="1"/>
  <c r="S377" i="34" s="1"/>
  <c r="R530" i="34"/>
  <c r="S530" i="34" s="1" a="1"/>
  <c r="S530" i="34" s="1"/>
  <c r="Y54" i="34"/>
  <c r="Z54" i="34" s="1" a="1"/>
  <c r="Z54" i="34" s="1"/>
  <c r="R94" i="34"/>
  <c r="S94" i="34" s="1" a="1"/>
  <c r="S94" i="34" s="1"/>
  <c r="R215" i="34"/>
  <c r="S215" i="34" s="1" a="1"/>
  <c r="S215" i="34" s="1"/>
  <c r="R238" i="34"/>
  <c r="S238" i="34" s="1" a="1"/>
  <c r="S238" i="34" s="1"/>
  <c r="AB256" i="34"/>
  <c r="Y24" i="34"/>
  <c r="Z24" i="34" s="1" a="1"/>
  <c r="Z24" i="34" s="1"/>
  <c r="AB7" i="34"/>
  <c r="U138" i="34"/>
  <c r="AB275" i="34"/>
  <c r="R164" i="34"/>
  <c r="S164" i="34" s="1" a="1"/>
  <c r="S164" i="34" s="1"/>
  <c r="AB184" i="34"/>
  <c r="U43" i="34"/>
  <c r="U194" i="34"/>
  <c r="U266" i="34"/>
  <c r="U29" i="34"/>
  <c r="U69" i="34"/>
  <c r="U83" i="34"/>
  <c r="R177" i="34"/>
  <c r="S177" i="34" s="1" a="1"/>
  <c r="S177" i="34" s="1"/>
  <c r="Y93" i="34"/>
  <c r="Z93" i="34" s="1" a="1"/>
  <c r="Z93" i="34" s="1"/>
  <c r="Z163" i="34" a="1"/>
  <c r="Z163" i="34" s="1"/>
  <c r="U170" i="34"/>
  <c r="U177" i="34"/>
  <c r="Y284" i="34"/>
  <c r="Z284" i="34" s="1" a="1"/>
  <c r="Z284" i="34" s="1"/>
  <c r="R342" i="34"/>
  <c r="S342" i="34" s="1" a="1"/>
  <c r="S342" i="34" s="1"/>
  <c r="R533" i="34"/>
  <c r="S533" i="34" s="1" a="1"/>
  <c r="S533" i="34" s="1"/>
  <c r="R210" i="34"/>
  <c r="S210" i="34" s="1" a="1"/>
  <c r="S210" i="34" s="1"/>
  <c r="AB228" i="34"/>
  <c r="R320" i="34"/>
  <c r="S320" i="34" s="1" a="1"/>
  <c r="S320" i="34" s="1"/>
  <c r="Y130" i="34"/>
  <c r="Z130" i="34" s="1" a="1"/>
  <c r="Z130" i="34" s="1"/>
  <c r="R341" i="34"/>
  <c r="S341" i="34" s="1" a="1"/>
  <c r="S341" i="34" s="1"/>
  <c r="R379" i="34"/>
  <c r="S379" i="34" s="1" a="1"/>
  <c r="S379" i="34" s="1"/>
  <c r="AB130" i="34"/>
  <c r="U154" i="34"/>
  <c r="AB232" i="34"/>
  <c r="U33" i="34"/>
  <c r="R133" i="34"/>
  <c r="S133" i="34" s="1" a="1"/>
  <c r="S133" i="34" s="1"/>
  <c r="U205" i="34"/>
  <c r="Y207" i="34"/>
  <c r="Z207" i="34" s="1" a="1"/>
  <c r="Z207" i="34" s="1"/>
  <c r="Y253" i="34"/>
  <c r="Z253" i="34" s="1" a="1"/>
  <c r="Z253" i="34" s="1"/>
  <c r="AB279" i="34"/>
  <c r="AB284" i="34"/>
  <c r="AB268" i="34"/>
  <c r="AB273" i="34"/>
  <c r="U471" i="34"/>
  <c r="Y28" i="34"/>
  <c r="Z28" i="34" s="1" a="1"/>
  <c r="Z28" i="34" s="1"/>
  <c r="Y88" i="34"/>
  <c r="Z88" i="34" s="1" a="1"/>
  <c r="Z88" i="34" s="1"/>
  <c r="Y135" i="34"/>
  <c r="Z135" i="34" s="1" a="1"/>
  <c r="Z135" i="34" s="1"/>
  <c r="AB181" i="34"/>
  <c r="AB67" i="34"/>
  <c r="R175" i="34"/>
  <c r="S175" i="34" s="1" a="1"/>
  <c r="S175" i="34" s="1"/>
  <c r="U61" i="34"/>
  <c r="R116" i="34"/>
  <c r="S116" i="34" s="1" a="1"/>
  <c r="S116" i="34" s="1"/>
  <c r="U175" i="34"/>
  <c r="Y201" i="34"/>
  <c r="Z201" i="34" s="1" a="1"/>
  <c r="Z201" i="34" s="1"/>
  <c r="Y214" i="34"/>
  <c r="Z214" i="34" s="1" a="1"/>
  <c r="Z214" i="34" s="1"/>
  <c r="R345" i="34"/>
  <c r="S345" i="34" s="1" a="1"/>
  <c r="S345" i="34" s="1"/>
  <c r="R509" i="34"/>
  <c r="S509" i="34" s="1" a="1"/>
  <c r="S509" i="34" s="1"/>
  <c r="Y174" i="34"/>
  <c r="Z174" i="34" s="1" a="1"/>
  <c r="Z174" i="34" s="1"/>
  <c r="R35" i="34"/>
  <c r="S35" i="34" s="1" a="1"/>
  <c r="S35" i="34" s="1"/>
  <c r="U287" i="34"/>
  <c r="Y86" i="34"/>
  <c r="Z86" i="34" s="1" a="1"/>
  <c r="Z86" i="34" s="1"/>
  <c r="R7" i="34"/>
  <c r="S7" i="34" s="1" a="1"/>
  <c r="S7" i="34" s="1"/>
  <c r="Y52" i="34"/>
  <c r="Z52" i="34" s="1" a="1"/>
  <c r="Z52" i="34" s="1"/>
  <c r="AB63" i="34"/>
  <c r="R231" i="34"/>
  <c r="S231" i="34" s="1" a="1"/>
  <c r="S231" i="34" s="1"/>
  <c r="R309" i="34"/>
  <c r="S309" i="34" s="1" a="1"/>
  <c r="S309" i="34" s="1"/>
  <c r="AB52" i="34"/>
  <c r="AB54" i="34"/>
  <c r="Y70" i="34"/>
  <c r="Z70" i="34" s="1" a="1"/>
  <c r="Z70" i="34" s="1"/>
  <c r="U231" i="34"/>
  <c r="R270" i="34"/>
  <c r="S270" i="34" s="1" a="1"/>
  <c r="S270" i="34" s="1"/>
  <c r="Y294" i="34"/>
  <c r="Z294" i="34" s="1" a="1"/>
  <c r="Z294" i="34" s="1"/>
  <c r="R310" i="34"/>
  <c r="S310" i="34" s="1" a="1"/>
  <c r="S310" i="34" s="1"/>
  <c r="R566" i="34"/>
  <c r="S566" i="34" s="1" a="1"/>
  <c r="S566" i="34" s="1"/>
  <c r="Y80" i="34"/>
  <c r="Z80" i="34" s="1" a="1"/>
  <c r="Z80" i="34" s="1"/>
  <c r="AB22" i="34"/>
  <c r="R195" i="34"/>
  <c r="S195" i="34" s="1" a="1"/>
  <c r="S195" i="34" s="1"/>
  <c r="AB249" i="34"/>
  <c r="AB37" i="34"/>
  <c r="Z9" i="34" a="1"/>
  <c r="Z9" i="34" s="1"/>
  <c r="U14" i="34"/>
  <c r="AB25" i="34"/>
  <c r="R217" i="34"/>
  <c r="S217" i="34" s="1" a="1"/>
  <c r="S217" i="34" s="1"/>
  <c r="U225" i="34"/>
  <c r="AB263" i="34"/>
  <c r="U149" i="34"/>
  <c r="U276" i="34"/>
  <c r="R25" i="34"/>
  <c r="S25" i="34" s="1" a="1"/>
  <c r="S25" i="34" s="1"/>
  <c r="R531" i="34"/>
  <c r="S531" i="34" s="1" a="1"/>
  <c r="S531" i="34" s="1"/>
  <c r="R568" i="34"/>
  <c r="S568" i="34" s="1" a="1"/>
  <c r="S568" i="34" s="1"/>
  <c r="R52" i="34"/>
  <c r="S52" i="34" s="1" a="1"/>
  <c r="S52" i="34" s="1"/>
  <c r="R129" i="34"/>
  <c r="S129" i="34" s="1" a="1"/>
  <c r="S129" i="34" s="1"/>
  <c r="AB245" i="34"/>
  <c r="R368" i="34"/>
  <c r="S368" i="34" s="1" a="1"/>
  <c r="S368" i="34" s="1"/>
  <c r="R414" i="34"/>
  <c r="S414" i="34" s="1" a="1"/>
  <c r="S414" i="34" s="1"/>
  <c r="R36" i="34"/>
  <c r="S36" i="34" s="1" a="1"/>
  <c r="S36" i="34" s="1"/>
  <c r="Y123" i="34"/>
  <c r="Z123" i="34" s="1" a="1"/>
  <c r="Z123" i="34" s="1"/>
  <c r="R369" i="34"/>
  <c r="S369" i="34" s="1" a="1"/>
  <c r="S369" i="34" s="1"/>
  <c r="R440" i="34"/>
  <c r="S440" i="34" s="1" a="1"/>
  <c r="S440" i="34" s="1"/>
  <c r="R476" i="34"/>
  <c r="S476" i="34" s="1" a="1"/>
  <c r="S476" i="34" s="1"/>
  <c r="R61" i="34"/>
  <c r="S61" i="34" s="1" a="1"/>
  <c r="S61" i="34" s="1"/>
  <c r="Y250" i="34"/>
  <c r="Z250" i="34" s="1" a="1"/>
  <c r="Z250" i="34" s="1"/>
  <c r="R404" i="34"/>
  <c r="S404" i="34" s="1" a="1"/>
  <c r="S404" i="34" s="1"/>
  <c r="Y102" i="34"/>
  <c r="Z102" i="34" s="1" a="1"/>
  <c r="Z102" i="34" s="1"/>
  <c r="U129" i="34"/>
  <c r="U91" i="34"/>
  <c r="AB42" i="34"/>
  <c r="Y87" i="34"/>
  <c r="Z87" i="34" s="1" a="1"/>
  <c r="Z87" i="34" s="1"/>
  <c r="R121" i="34"/>
  <c r="S121" i="34" s="1" a="1"/>
  <c r="S121" i="34" s="1"/>
  <c r="R257" i="34"/>
  <c r="S257" i="34" s="1" a="1"/>
  <c r="S257" i="34" s="1"/>
  <c r="R19" i="34"/>
  <c r="S19" i="34" s="1" a="1"/>
  <c r="S19" i="34" s="1"/>
  <c r="U19" i="34"/>
  <c r="U53" i="34"/>
  <c r="Y66" i="34"/>
  <c r="Z66" i="34" s="1" a="1"/>
  <c r="Z66" i="34" s="1"/>
  <c r="Y85" i="34"/>
  <c r="Z85" i="34" s="1" a="1"/>
  <c r="Z85" i="34" s="1"/>
  <c r="R126" i="34"/>
  <c r="S126" i="34" s="1" a="1"/>
  <c r="S126" i="34" s="1"/>
  <c r="U128" i="34"/>
  <c r="U130" i="34"/>
  <c r="Y223" i="34"/>
  <c r="Z223" i="34" s="1" a="1"/>
  <c r="Z223" i="34" s="1"/>
  <c r="R230" i="34"/>
  <c r="S230" i="34" s="1" a="1"/>
  <c r="S230" i="34" s="1"/>
  <c r="Y266" i="34"/>
  <c r="Z266" i="34" s="1" a="1"/>
  <c r="Z266" i="34" s="1"/>
  <c r="R405" i="34"/>
  <c r="S405" i="34" s="1" a="1"/>
  <c r="S405" i="34" s="1"/>
  <c r="R498" i="34"/>
  <c r="S498" i="34" s="1" a="1"/>
  <c r="S498" i="34" s="1"/>
  <c r="R535" i="34"/>
  <c r="S535" i="34" s="1" a="1"/>
  <c r="S535" i="34" s="1"/>
  <c r="U20" i="34"/>
  <c r="Y205" i="34"/>
  <c r="Z205" i="34" s="1" a="1"/>
  <c r="Z205" i="34" s="1"/>
  <c r="U235" i="34"/>
  <c r="Y203" i="34"/>
  <c r="Z203" i="34" s="1" a="1"/>
  <c r="Z203" i="34" s="1"/>
  <c r="Y68" i="34"/>
  <c r="Z68" i="34" s="1" a="1"/>
  <c r="Z68" i="34" s="1"/>
  <c r="AB145" i="34"/>
  <c r="U36" i="34"/>
  <c r="Y268" i="34"/>
  <c r="Z268" i="34" s="1" a="1"/>
  <c r="Z268" i="34" s="1"/>
  <c r="Y12" i="34"/>
  <c r="Z12" i="34" s="1" a="1"/>
  <c r="Z12" i="34" s="1"/>
  <c r="Y21" i="34"/>
  <c r="Z21" i="34" s="1" a="1"/>
  <c r="Z21" i="34" s="1"/>
  <c r="AB40" i="34"/>
  <c r="Y83" i="34"/>
  <c r="Z83" i="34" s="1" a="1"/>
  <c r="Z83" i="34" s="1"/>
  <c r="AB12" i="34"/>
  <c r="R15" i="34"/>
  <c r="S15" i="34" s="1" a="1"/>
  <c r="S15" i="34" s="1"/>
  <c r="AB83" i="34"/>
  <c r="Y99" i="34"/>
  <c r="Z99" i="34" s="1" a="1"/>
  <c r="Z99" i="34" s="1"/>
  <c r="R117" i="34"/>
  <c r="S117" i="34" s="1" a="1"/>
  <c r="S117" i="34" s="1"/>
  <c r="AB223" i="34"/>
  <c r="R334" i="34"/>
  <c r="S334" i="34" s="1" a="1"/>
  <c r="S334" i="34" s="1"/>
  <c r="R354" i="34"/>
  <c r="S354" i="34" s="1" a="1"/>
  <c r="S354" i="34" s="1"/>
  <c r="AB137" i="34"/>
  <c r="R34" i="34"/>
  <c r="S34" i="34" s="1" a="1"/>
  <c r="S34" i="34" s="1"/>
  <c r="R335" i="34"/>
  <c r="S335" i="34" s="1" a="1"/>
  <c r="S335" i="34" s="1"/>
  <c r="R151" i="34"/>
  <c r="S151" i="34" s="1" a="1"/>
  <c r="S151" i="34" s="1"/>
  <c r="Y98" i="34"/>
  <c r="Z98" i="34" s="1" a="1"/>
  <c r="Z98" i="34" s="1"/>
  <c r="Y249" i="34"/>
  <c r="Z249" i="34" s="1" a="1"/>
  <c r="Z249" i="34" s="1"/>
  <c r="R125" i="34"/>
  <c r="S125" i="34" s="1" a="1"/>
  <c r="S125" i="34" s="1"/>
  <c r="R380" i="34"/>
  <c r="S380" i="34" s="1" a="1"/>
  <c r="S380" i="34" s="1"/>
  <c r="Y97" i="34"/>
  <c r="Z97" i="34" s="1" a="1"/>
  <c r="Z97" i="34" s="1"/>
  <c r="U26" i="34"/>
  <c r="AB163" i="34"/>
  <c r="Y73" i="34"/>
  <c r="Z73" i="34" s="1" a="1"/>
  <c r="Z73" i="34" s="1"/>
  <c r="Y108" i="34"/>
  <c r="Z108" i="34" s="1" a="1"/>
  <c r="Z108" i="34" s="1"/>
  <c r="U117" i="34"/>
  <c r="U157" i="34"/>
  <c r="AB178" i="34"/>
  <c r="R226" i="34"/>
  <c r="S226" i="34" s="1" a="1"/>
  <c r="S226" i="34" s="1"/>
  <c r="AB264" i="34"/>
  <c r="U291" i="34"/>
  <c r="AB56" i="34"/>
  <c r="Y67" i="34"/>
  <c r="Z67" i="34" s="1" a="1"/>
  <c r="Z67" i="34" s="1"/>
  <c r="AB239" i="34"/>
  <c r="R416" i="34"/>
  <c r="S416" i="34" s="1" a="1"/>
  <c r="S416" i="34" s="1"/>
  <c r="AB116" i="34"/>
  <c r="AB182" i="34"/>
  <c r="R236" i="34"/>
  <c r="S236" i="34" s="1" a="1"/>
  <c r="S236" i="34" s="1"/>
  <c r="AB38" i="34"/>
  <c r="AB10" i="34"/>
  <c r="AB53" i="34"/>
  <c r="R155" i="34"/>
  <c r="S155" i="34" s="1" a="1"/>
  <c r="S155" i="34" s="1"/>
  <c r="R170" i="34"/>
  <c r="S170" i="34" s="1" a="1"/>
  <c r="S170" i="34" s="1"/>
  <c r="U207" i="34"/>
  <c r="Y211" i="34"/>
  <c r="Z211" i="34" s="1" a="1"/>
  <c r="Z211" i="34" s="1"/>
  <c r="R463" i="34"/>
  <c r="S463" i="34" s="1" a="1"/>
  <c r="S463" i="34" s="1"/>
  <c r="R482" i="34"/>
  <c r="S482" i="34" s="1" a="1"/>
  <c r="S482" i="34" s="1"/>
  <c r="AB36" i="34"/>
  <c r="Y117" i="34"/>
  <c r="Z117" i="34" s="1" a="1"/>
  <c r="Z117" i="34" s="1"/>
  <c r="R451" i="34"/>
  <c r="S451" i="34" s="1" a="1"/>
  <c r="S451" i="34" s="1"/>
  <c r="R506" i="34"/>
  <c r="S506" i="34" s="1" a="1"/>
  <c r="S506" i="34" s="1"/>
  <c r="Y14" i="34"/>
  <c r="Z14" i="34" s="1" a="1"/>
  <c r="Z14" i="34" s="1"/>
  <c r="U72" i="34"/>
  <c r="AB85" i="34"/>
  <c r="AB87" i="34"/>
  <c r="Y111" i="34"/>
  <c r="Z111" i="34" s="1" a="1"/>
  <c r="Z111" i="34" s="1"/>
  <c r="U124" i="34"/>
  <c r="AB216" i="34"/>
  <c r="Y224" i="34"/>
  <c r="Z224" i="34" s="1" a="1"/>
  <c r="Z224" i="34" s="1"/>
  <c r="R275" i="34"/>
  <c r="S275" i="34" s="1" a="1"/>
  <c r="S275" i="34" s="1"/>
  <c r="R281" i="34"/>
  <c r="S281" i="34" s="1" a="1"/>
  <c r="S281" i="34" s="1"/>
  <c r="U283" i="34"/>
  <c r="R294" i="34"/>
  <c r="S294" i="34" s="1" a="1"/>
  <c r="S294" i="34" s="1"/>
  <c r="R312" i="34"/>
  <c r="S312" i="34" s="1" a="1"/>
  <c r="S312" i="34" s="1"/>
  <c r="R330" i="34"/>
  <c r="S330" i="34" s="1" a="1"/>
  <c r="S330" i="34" s="1"/>
  <c r="R436" i="34"/>
  <c r="S436" i="34" s="1" a="1"/>
  <c r="S436" i="34" s="1"/>
  <c r="R452" i="34"/>
  <c r="S452" i="34" s="1" a="1"/>
  <c r="S452" i="34" s="1"/>
  <c r="R507" i="34"/>
  <c r="S507" i="34" s="1" a="1"/>
  <c r="S507" i="34" s="1"/>
  <c r="U82" i="34"/>
  <c r="U126" i="34"/>
  <c r="U132" i="34"/>
  <c r="AB140" i="34"/>
  <c r="Y173" i="34"/>
  <c r="Z173" i="34" s="1" a="1"/>
  <c r="Z173" i="34" s="1"/>
  <c r="U238" i="34"/>
  <c r="U246" i="34"/>
  <c r="R283" i="34"/>
  <c r="S283" i="34" s="1" a="1"/>
  <c r="S283" i="34" s="1"/>
  <c r="R300" i="34"/>
  <c r="S300" i="34" s="1" a="1"/>
  <c r="S300" i="34" s="1"/>
  <c r="R435" i="34"/>
  <c r="S435" i="34" s="1" a="1"/>
  <c r="S435" i="34" s="1"/>
  <c r="U37" i="34"/>
  <c r="Y57" i="34"/>
  <c r="Z57" i="34" s="1" a="1"/>
  <c r="Z57" i="34" s="1"/>
  <c r="AB117" i="34"/>
  <c r="AB147" i="34"/>
  <c r="Y162" i="34"/>
  <c r="Z162" i="34" s="1" a="1"/>
  <c r="Z162" i="34" s="1"/>
  <c r="U182" i="34"/>
  <c r="U186" i="34"/>
  <c r="AB224" i="34"/>
  <c r="Y226" i="34"/>
  <c r="Z226" i="34" s="1" a="1"/>
  <c r="Z226" i="34" s="1"/>
  <c r="Y230" i="34"/>
  <c r="Z230" i="34" s="1" a="1"/>
  <c r="Z230" i="34" s="1"/>
  <c r="Y258" i="34"/>
  <c r="Z258" i="34" s="1" a="1"/>
  <c r="Z258" i="34" s="1"/>
  <c r="R269" i="34"/>
  <c r="S269" i="34" s="1" a="1"/>
  <c r="S269" i="34" s="1"/>
  <c r="R271" i="34"/>
  <c r="S271" i="34" s="1" a="1"/>
  <c r="S271" i="34" s="1"/>
  <c r="U275" i="34"/>
  <c r="AB287" i="34"/>
  <c r="U294" i="34"/>
  <c r="R556" i="34"/>
  <c r="S556" i="34" s="1" a="1"/>
  <c r="S556" i="34" s="1"/>
  <c r="R331" i="34"/>
  <c r="S331" i="34" s="1" a="1"/>
  <c r="S331" i="34" s="1"/>
  <c r="AB9" i="34"/>
  <c r="AB138" i="34"/>
  <c r="U147" i="34"/>
  <c r="AB177" i="34"/>
  <c r="AB212" i="34"/>
  <c r="Y216" i="34"/>
  <c r="Z216" i="34" s="1" a="1"/>
  <c r="Z216" i="34" s="1"/>
  <c r="Y260" i="34"/>
  <c r="Z260" i="34" s="1" a="1"/>
  <c r="Z260" i="34" s="1"/>
  <c r="R311" i="34"/>
  <c r="S311" i="34" s="1" a="1"/>
  <c r="S311" i="34" s="1"/>
  <c r="AB61" i="34"/>
  <c r="Y72" i="34"/>
  <c r="Z72" i="34" s="1" a="1"/>
  <c r="Z72" i="34" s="1"/>
  <c r="AB80" i="34"/>
  <c r="AB89" i="34"/>
  <c r="R101" i="34"/>
  <c r="S101" i="34" s="1" a="1"/>
  <c r="S101" i="34" s="1"/>
  <c r="Y124" i="34"/>
  <c r="Z124" i="34" s="1" a="1"/>
  <c r="Z124" i="34" s="1"/>
  <c r="U150" i="34"/>
  <c r="U166" i="34"/>
  <c r="AB226" i="34"/>
  <c r="AB230" i="34"/>
  <c r="AB258" i="34"/>
  <c r="R332" i="34"/>
  <c r="S332" i="34" s="1" a="1"/>
  <c r="S332" i="34" s="1"/>
  <c r="R402" i="34"/>
  <c r="S402" i="34" s="1" a="1"/>
  <c r="S402" i="34" s="1"/>
  <c r="R472" i="34"/>
  <c r="S472" i="34" s="1" a="1"/>
  <c r="S472" i="34" s="1"/>
  <c r="R508" i="34"/>
  <c r="S508" i="34" s="1" a="1"/>
  <c r="S508" i="34" s="1"/>
  <c r="R544" i="34"/>
  <c r="S544" i="34" s="1" a="1"/>
  <c r="S544" i="34" s="1"/>
  <c r="U73" i="34"/>
  <c r="Y116" i="34"/>
  <c r="Z116" i="34" s="1" a="1"/>
  <c r="Z116" i="34" s="1"/>
  <c r="Y170" i="34"/>
  <c r="Z170" i="34" s="1" a="1"/>
  <c r="Z170" i="34" s="1"/>
  <c r="AB215" i="34"/>
  <c r="U284" i="34"/>
  <c r="R475" i="34"/>
  <c r="S475" i="34" s="1" a="1"/>
  <c r="S475" i="34" s="1"/>
  <c r="R460" i="34"/>
  <c r="S460" i="34" s="1" a="1"/>
  <c r="S460" i="34" s="1"/>
  <c r="R497" i="34"/>
  <c r="S497" i="34" s="1" a="1"/>
  <c r="S497" i="34" s="1"/>
  <c r="R459" i="34"/>
  <c r="S459" i="34" s="1" a="1"/>
  <c r="S459" i="34" s="1"/>
  <c r="R75" i="34"/>
  <c r="S75" i="34" s="1" a="1"/>
  <c r="S75" i="34" s="1"/>
  <c r="U110" i="34"/>
  <c r="AB118" i="34"/>
  <c r="R187" i="34"/>
  <c r="S187" i="34" s="1" a="1"/>
  <c r="S187" i="34" s="1"/>
  <c r="U243" i="34"/>
  <c r="U13" i="34"/>
  <c r="Y17" i="34"/>
  <c r="Z17" i="34" s="1" a="1"/>
  <c r="Z17" i="34" s="1"/>
  <c r="R26" i="34"/>
  <c r="S26" i="34" s="1" a="1"/>
  <c r="S26" i="34" s="1"/>
  <c r="U75" i="34"/>
  <c r="Y77" i="34"/>
  <c r="Z77" i="34" s="1" a="1"/>
  <c r="Z77" i="34" s="1"/>
  <c r="AB86" i="34"/>
  <c r="P144" i="34" a="1"/>
  <c r="P144" i="34" s="1"/>
  <c r="U163" i="34"/>
  <c r="U187" i="34"/>
  <c r="AB189" i="34"/>
  <c r="Y227" i="34"/>
  <c r="Z227" i="34" s="1" a="1"/>
  <c r="Z227" i="34" s="1"/>
  <c r="P249" i="34" a="1"/>
  <c r="P249" i="34" s="1"/>
  <c r="Y259" i="34"/>
  <c r="Z259" i="34" s="1" a="1"/>
  <c r="Z259" i="34" s="1"/>
  <c r="R274" i="34"/>
  <c r="S274" i="34" s="1" a="1"/>
  <c r="S274" i="34" s="1"/>
  <c r="U299" i="34"/>
  <c r="R321" i="34"/>
  <c r="S321" i="34" s="1" a="1"/>
  <c r="S321" i="34" s="1"/>
  <c r="R392" i="34"/>
  <c r="S392" i="34" s="1" a="1"/>
  <c r="S392" i="34" s="1"/>
  <c r="R461" i="34"/>
  <c r="S461" i="34" s="1" a="1"/>
  <c r="S461" i="34" s="1"/>
  <c r="Y62" i="34"/>
  <c r="Z62" i="34" s="1" a="1"/>
  <c r="Z62" i="34" s="1"/>
  <c r="U239" i="34"/>
  <c r="AB46" i="34"/>
  <c r="AB17" i="34"/>
  <c r="R38" i="34"/>
  <c r="S38" i="34" s="1" a="1"/>
  <c r="S38" i="34" s="1"/>
  <c r="U52" i="34"/>
  <c r="AB81" i="34"/>
  <c r="AB92" i="34"/>
  <c r="AB127" i="34"/>
  <c r="R165" i="34"/>
  <c r="S165" i="34" s="1" a="1"/>
  <c r="S165" i="34" s="1"/>
  <c r="R181" i="34"/>
  <c r="S181" i="34" s="1" a="1"/>
  <c r="S181" i="34" s="1"/>
  <c r="AB231" i="34"/>
  <c r="Y257" i="34"/>
  <c r="Z257" i="34" s="1" a="1"/>
  <c r="Z257" i="34" s="1"/>
  <c r="AB259" i="34"/>
  <c r="R439" i="34"/>
  <c r="S439" i="34" s="1" a="1"/>
  <c r="S439" i="34" s="1"/>
  <c r="R565" i="34"/>
  <c r="S565" i="34" s="1" a="1"/>
  <c r="S565" i="34" s="1"/>
  <c r="R322" i="34"/>
  <c r="S322" i="34" s="1" a="1"/>
  <c r="S322" i="34" s="1"/>
  <c r="R462" i="34"/>
  <c r="S462" i="34" s="1" a="1"/>
  <c r="S462" i="34" s="1"/>
  <c r="R534" i="34"/>
  <c r="S534" i="34" s="1" a="1"/>
  <c r="S534" i="34" s="1"/>
  <c r="R411" i="34"/>
  <c r="S411" i="34" s="1" a="1"/>
  <c r="S411" i="34" s="1"/>
  <c r="R365" i="34"/>
  <c r="S365" i="34" s="1" a="1"/>
  <c r="S365" i="34" s="1"/>
  <c r="R529" i="34"/>
  <c r="S529" i="34" s="1" a="1"/>
  <c r="S529" i="34" s="1"/>
  <c r="R493" i="34"/>
  <c r="S493" i="34" s="1" a="1"/>
  <c r="S493" i="34" s="1"/>
  <c r="R496" i="34"/>
  <c r="S496" i="34" s="1" a="1"/>
  <c r="S496" i="34" s="1"/>
  <c r="R481" i="34"/>
  <c r="S481" i="34" s="1" a="1"/>
  <c r="S481" i="34" s="1"/>
  <c r="R517" i="34"/>
  <c r="S517" i="34" s="1" a="1"/>
  <c r="S517" i="34" s="1"/>
  <c r="R389" i="34"/>
  <c r="S389" i="34" s="1" a="1"/>
  <c r="S389" i="34" s="1"/>
  <c r="R569" i="34"/>
  <c r="S569" i="34" s="1" a="1"/>
  <c r="S569" i="34" s="1"/>
  <c r="R391" i="34"/>
  <c r="S391" i="34" s="1" a="1"/>
  <c r="S391" i="34" s="1"/>
  <c r="R464" i="34"/>
  <c r="S464" i="34" s="1" a="1"/>
  <c r="S464" i="34" s="1"/>
  <c r="R571" i="34"/>
  <c r="S571" i="34" s="1" a="1"/>
  <c r="S571" i="34" s="1"/>
  <c r="R422" i="34"/>
  <c r="S422" i="34" s="1" a="1"/>
  <c r="S422" i="34" s="1"/>
  <c r="R441" i="34"/>
  <c r="S441" i="34" s="1" a="1"/>
  <c r="S441" i="34" s="1"/>
  <c r="R447" i="34"/>
  <c r="S447" i="34" s="1" a="1"/>
  <c r="S447" i="34" s="1"/>
  <c r="R558" i="34"/>
  <c r="S558" i="34" s="1" a="1"/>
  <c r="S558" i="34" s="1"/>
  <c r="R579" i="34"/>
  <c r="S579" i="34" s="1" a="1"/>
  <c r="S579" i="34" s="1"/>
  <c r="R340" i="34"/>
  <c r="S340" i="34" s="1" a="1"/>
  <c r="S340" i="34" s="1"/>
  <c r="R376" i="34"/>
  <c r="S376" i="34" s="1" a="1"/>
  <c r="S376" i="34" s="1"/>
  <c r="R413" i="34"/>
  <c r="S413" i="34" s="1" a="1"/>
  <c r="S413" i="34" s="1"/>
  <c r="R541" i="34"/>
  <c r="S541" i="34" s="1" a="1"/>
  <c r="S541" i="34" s="1"/>
  <c r="R577" i="34"/>
  <c r="S577" i="34" s="1" a="1"/>
  <c r="S577" i="34" s="1"/>
  <c r="R542" i="34"/>
  <c r="S542" i="34" s="1" a="1"/>
  <c r="S542" i="34" s="1"/>
  <c r="R343" i="34"/>
  <c r="S343" i="34" s="1" a="1"/>
  <c r="S343" i="34" s="1"/>
  <c r="R543" i="34"/>
  <c r="S543" i="34" s="1" a="1"/>
  <c r="S543" i="34" s="1"/>
  <c r="R473" i="34"/>
  <c r="S473" i="34" s="1" a="1"/>
  <c r="S473" i="34" s="1"/>
  <c r="R307" i="34"/>
  <c r="S307" i="34" s="1" a="1"/>
  <c r="S307" i="34" s="1"/>
  <c r="R581" i="34"/>
  <c r="S581" i="34" s="1" a="1"/>
  <c r="S581" i="34" s="1"/>
  <c r="R538" i="34"/>
  <c r="S538" i="34" s="1" a="1"/>
  <c r="S538" i="34" s="1"/>
  <c r="U538" i="34"/>
  <c r="R328" i="34"/>
  <c r="S328" i="34" s="1" a="1"/>
  <c r="S328" i="34" s="1"/>
  <c r="U328" i="34"/>
  <c r="U383" i="34"/>
  <c r="R383" i="34"/>
  <c r="S383" i="34" s="1" a="1"/>
  <c r="S383" i="34" s="1"/>
  <c r="U419" i="34"/>
  <c r="R419" i="34"/>
  <c r="S419" i="34" s="1" a="1"/>
  <c r="S419" i="34" s="1"/>
  <c r="U457" i="34"/>
  <c r="R457" i="34"/>
  <c r="S457" i="34" s="1" a="1"/>
  <c r="S457" i="34" s="1"/>
  <c r="U564" i="34"/>
  <c r="R564" i="34"/>
  <c r="S564" i="34" s="1" a="1"/>
  <c r="S564" i="34" s="1"/>
  <c r="U477" i="34"/>
  <c r="R477" i="34"/>
  <c r="S477" i="34" s="1" a="1"/>
  <c r="S477" i="34" s="1"/>
  <c r="U387" i="34"/>
  <c r="R387" i="34"/>
  <c r="S387" i="34" s="1" a="1"/>
  <c r="S387" i="34" s="1"/>
  <c r="U423" i="34"/>
  <c r="R423" i="34"/>
  <c r="S423" i="34" s="1" a="1"/>
  <c r="S423" i="34" s="1"/>
  <c r="R514" i="34"/>
  <c r="S514" i="34" s="1" a="1"/>
  <c r="S514" i="34" s="1"/>
  <c r="U514" i="34"/>
  <c r="R549" i="34"/>
  <c r="S549" i="34" s="1" a="1"/>
  <c r="S549" i="34" s="1"/>
  <c r="U549" i="34"/>
  <c r="U313" i="34"/>
  <c r="R313" i="34"/>
  <c r="S313" i="34" s="1" a="1"/>
  <c r="S313" i="34" s="1"/>
  <c r="U406" i="34"/>
  <c r="R406" i="34"/>
  <c r="S406" i="34" s="1" a="1"/>
  <c r="S406" i="34" s="1"/>
  <c r="R443" i="34"/>
  <c r="S443" i="34" s="1" a="1"/>
  <c r="S443" i="34" s="1"/>
  <c r="U443" i="34"/>
  <c r="U479" i="34"/>
  <c r="R479" i="34"/>
  <c r="S479" i="34" s="1" a="1"/>
  <c r="S479" i="34" s="1"/>
  <c r="U515" i="34"/>
  <c r="R515" i="34"/>
  <c r="S515" i="34" s="1" a="1"/>
  <c r="S515" i="34" s="1"/>
  <c r="R314" i="34"/>
  <c r="S314" i="34" s="1" a="1"/>
  <c r="S314" i="34" s="1"/>
  <c r="U314" i="34"/>
  <c r="U444" i="34"/>
  <c r="R444" i="34"/>
  <c r="S444" i="34" s="1" a="1"/>
  <c r="S444" i="34" s="1"/>
  <c r="U516" i="34"/>
  <c r="R516" i="34"/>
  <c r="S516" i="34" s="1" a="1"/>
  <c r="S516" i="34" s="1"/>
  <c r="U315" i="34"/>
  <c r="R315" i="34"/>
  <c r="S315" i="34" s="1" a="1"/>
  <c r="S315" i="34" s="1"/>
  <c r="U445" i="34"/>
  <c r="R445" i="34"/>
  <c r="S445" i="34" s="1" a="1"/>
  <c r="S445" i="34" s="1"/>
  <c r="U547" i="34"/>
  <c r="R547" i="34"/>
  <c r="S547" i="34" s="1" a="1"/>
  <c r="S547" i="34" s="1"/>
  <c r="U316" i="34"/>
  <c r="R316" i="34"/>
  <c r="S316" i="34" s="1" a="1"/>
  <c r="S316" i="34" s="1"/>
  <c r="U408" i="34"/>
  <c r="R408" i="34"/>
  <c r="S408" i="34" s="1" a="1"/>
  <c r="S408" i="34" s="1"/>
  <c r="U446" i="34"/>
  <c r="R446" i="34"/>
  <c r="S446" i="34" s="1" a="1"/>
  <c r="S446" i="34" s="1"/>
  <c r="U336" i="34"/>
  <c r="R336" i="34"/>
  <c r="S336" i="34" s="1" a="1"/>
  <c r="S336" i="34" s="1"/>
  <c r="R409" i="34"/>
  <c r="S409" i="34" s="1" a="1"/>
  <c r="S409" i="34" s="1"/>
  <c r="U409" i="34"/>
  <c r="U465" i="34"/>
  <c r="R465" i="34"/>
  <c r="S465" i="34" s="1" a="1"/>
  <c r="S465" i="34" s="1"/>
  <c r="R337" i="34"/>
  <c r="S337" i="34" s="1" a="1"/>
  <c r="S337" i="34" s="1"/>
  <c r="U337" i="34"/>
  <c r="R373" i="34"/>
  <c r="S373" i="34" s="1" a="1"/>
  <c r="S373" i="34" s="1"/>
  <c r="U373" i="34"/>
  <c r="R466" i="34"/>
  <c r="S466" i="34" s="1" a="1"/>
  <c r="S466" i="34" s="1"/>
  <c r="U466" i="34"/>
  <c r="U573" i="34"/>
  <c r="R573" i="34"/>
  <c r="S573" i="34" s="1" a="1"/>
  <c r="S573" i="34" s="1"/>
  <c r="U338" i="34"/>
  <c r="R338" i="34"/>
  <c r="S338" i="34" s="1" a="1"/>
  <c r="S338" i="34" s="1"/>
  <c r="U374" i="34"/>
  <c r="R374" i="34"/>
  <c r="S374" i="34" s="1" a="1"/>
  <c r="S374" i="34" s="1"/>
  <c r="U429" i="34"/>
  <c r="R429" i="34"/>
  <c r="S429" i="34" s="1" a="1"/>
  <c r="S429" i="34" s="1"/>
  <c r="U467" i="34"/>
  <c r="R467" i="34"/>
  <c r="S467" i="34" s="1" a="1"/>
  <c r="S467" i="34" s="1"/>
  <c r="U574" i="34"/>
  <c r="R574" i="34"/>
  <c r="S574" i="34" s="1" a="1"/>
  <c r="S574" i="34" s="1"/>
  <c r="U339" i="34"/>
  <c r="R339" i="34"/>
  <c r="S339" i="34" s="1" a="1"/>
  <c r="S339" i="34" s="1"/>
  <c r="R468" i="34"/>
  <c r="S468" i="34" s="1" a="1"/>
  <c r="S468" i="34" s="1"/>
  <c r="U468" i="34"/>
  <c r="U503" i="34"/>
  <c r="R503" i="34"/>
  <c r="S503" i="34" s="1" a="1"/>
  <c r="S503" i="34" s="1"/>
  <c r="U575" i="34"/>
  <c r="R575" i="34"/>
  <c r="S575" i="34" s="1" a="1"/>
  <c r="S575" i="34" s="1"/>
  <c r="U395" i="34"/>
  <c r="R395" i="34"/>
  <c r="S395" i="34" s="1" a="1"/>
  <c r="S395" i="34" s="1"/>
  <c r="U469" i="34"/>
  <c r="R469" i="34"/>
  <c r="S469" i="34" s="1" a="1"/>
  <c r="S469" i="34" s="1"/>
  <c r="U504" i="34"/>
  <c r="R504" i="34"/>
  <c r="S504" i="34" s="1" a="1"/>
  <c r="S504" i="34" s="1"/>
  <c r="U359" i="34"/>
  <c r="R359" i="34"/>
  <c r="S359" i="34" s="1" a="1"/>
  <c r="S359" i="34" s="1"/>
  <c r="U396" i="34"/>
  <c r="R396" i="34"/>
  <c r="S396" i="34" s="1" a="1"/>
  <c r="S396" i="34" s="1"/>
  <c r="R505" i="34"/>
  <c r="S505" i="34" s="1" a="1"/>
  <c r="S505" i="34" s="1"/>
  <c r="U505" i="34"/>
  <c r="R397" i="34"/>
  <c r="S397" i="34" s="1" a="1"/>
  <c r="S397" i="34" s="1"/>
  <c r="U397" i="34"/>
  <c r="U433" i="34"/>
  <c r="R433" i="34"/>
  <c r="S433" i="34" s="1" a="1"/>
  <c r="S433" i="34" s="1"/>
  <c r="U488" i="34"/>
  <c r="R488" i="34"/>
  <c r="S488" i="34" s="1" a="1"/>
  <c r="S488" i="34" s="1"/>
  <c r="U559" i="34"/>
  <c r="R559" i="34"/>
  <c r="S559" i="34" s="1" a="1"/>
  <c r="S559" i="34" s="1"/>
  <c r="R536" i="34"/>
  <c r="S536" i="34" s="1" a="1"/>
  <c r="S536" i="34" s="1"/>
  <c r="U536" i="34"/>
  <c r="U539" i="34"/>
  <c r="R539" i="34"/>
  <c r="S539" i="34" s="1" a="1"/>
  <c r="S539" i="34" s="1"/>
  <c r="R305" i="34"/>
  <c r="S305" i="34" s="1" a="1"/>
  <c r="S305" i="34" s="1"/>
  <c r="U305" i="34"/>
  <c r="R324" i="34"/>
  <c r="S324" i="34" s="1" a="1"/>
  <c r="S324" i="34" s="1"/>
  <c r="U324" i="34"/>
  <c r="U398" i="34"/>
  <c r="R398" i="34"/>
  <c r="S398" i="34" s="1" a="1"/>
  <c r="S398" i="34" s="1"/>
  <c r="R434" i="34"/>
  <c r="S434" i="34" s="1" a="1"/>
  <c r="S434" i="34" s="1"/>
  <c r="U434" i="34"/>
  <c r="R489" i="34"/>
  <c r="S489" i="34" s="1" a="1"/>
  <c r="S489" i="34" s="1"/>
  <c r="U489" i="34"/>
  <c r="R525" i="34"/>
  <c r="S525" i="34" s="1" a="1"/>
  <c r="S525" i="34" s="1"/>
  <c r="U525" i="34"/>
  <c r="R347" i="34"/>
  <c r="S347" i="34" s="1" a="1"/>
  <c r="S347" i="34" s="1"/>
  <c r="U347" i="34"/>
  <c r="U348" i="34"/>
  <c r="R348" i="34"/>
  <c r="S348" i="34" s="1" a="1"/>
  <c r="S348" i="34" s="1"/>
  <c r="U349" i="34"/>
  <c r="R349" i="34"/>
  <c r="S349" i="34" s="1" a="1"/>
  <c r="S349" i="34" s="1"/>
  <c r="U386" i="34"/>
  <c r="R386" i="34"/>
  <c r="S386" i="34" s="1" a="1"/>
  <c r="S386" i="34" s="1"/>
  <c r="U513" i="34"/>
  <c r="R513" i="34"/>
  <c r="S513" i="34" s="1" a="1"/>
  <c r="S513" i="34" s="1"/>
  <c r="U325" i="34"/>
  <c r="R325" i="34"/>
  <c r="S325" i="34" s="1" a="1"/>
  <c r="S325" i="34" s="1"/>
  <c r="R454" i="34"/>
  <c r="S454" i="34" s="1" a="1"/>
  <c r="S454" i="34" s="1"/>
  <c r="U454" i="34"/>
  <c r="U526" i="34"/>
  <c r="R526" i="34"/>
  <c r="S526" i="34" s="1" a="1"/>
  <c r="S526" i="34" s="1"/>
  <c r="U375" i="34"/>
  <c r="R375" i="34"/>
  <c r="S375" i="34" s="1" a="1"/>
  <c r="S375" i="34" s="1"/>
  <c r="U326" i="34"/>
  <c r="R326" i="34"/>
  <c r="S326" i="34" s="1" a="1"/>
  <c r="S326" i="34" s="1"/>
  <c r="U363" i="34"/>
  <c r="R363" i="34"/>
  <c r="S363" i="34" s="1" a="1"/>
  <c r="S363" i="34" s="1"/>
  <c r="U455" i="34"/>
  <c r="R455" i="34"/>
  <c r="S455" i="34" s="1" a="1"/>
  <c r="S455" i="34" s="1"/>
  <c r="U527" i="34"/>
  <c r="R527" i="34"/>
  <c r="S527" i="34" s="1" a="1"/>
  <c r="S527" i="34" s="1"/>
  <c r="R384" i="34"/>
  <c r="S384" i="34" s="1" a="1"/>
  <c r="S384" i="34" s="1"/>
  <c r="U384" i="34"/>
  <c r="R385" i="34"/>
  <c r="S385" i="34" s="1" a="1"/>
  <c r="S385" i="34" s="1"/>
  <c r="U385" i="34"/>
  <c r="U327" i="34"/>
  <c r="R327" i="34"/>
  <c r="S327" i="34" s="1" a="1"/>
  <c r="S327" i="34" s="1"/>
  <c r="R418" i="34"/>
  <c r="S418" i="34" s="1" a="1"/>
  <c r="S418" i="34" s="1"/>
  <c r="U418" i="34"/>
  <c r="R456" i="34"/>
  <c r="S456" i="34" s="1" a="1"/>
  <c r="S456" i="34" s="1"/>
  <c r="U456" i="34"/>
  <c r="U528" i="34"/>
  <c r="R528" i="34"/>
  <c r="S528" i="34" s="1" a="1"/>
  <c r="S528" i="34" s="1"/>
  <c r="U563" i="34"/>
  <c r="R563" i="34"/>
  <c r="S563" i="34" s="1" a="1"/>
  <c r="S563" i="34" s="1"/>
  <c r="U537" i="34"/>
  <c r="R537" i="34"/>
  <c r="S537" i="34" s="1" a="1"/>
  <c r="S537" i="34" s="1"/>
  <c r="U512" i="34"/>
  <c r="R512" i="34"/>
  <c r="S512" i="34" s="1" a="1"/>
  <c r="S512" i="34" s="1"/>
  <c r="U484" i="34"/>
  <c r="R484" i="34"/>
  <c r="S484" i="34" s="1" a="1"/>
  <c r="S484" i="34" s="1"/>
  <c r="U499" i="34"/>
  <c r="R499" i="34"/>
  <c r="S499" i="34" s="1" a="1"/>
  <c r="S499" i="34" s="1"/>
  <c r="R572" i="34"/>
  <c r="S572" i="34" s="1" a="1"/>
  <c r="S572" i="34" s="1"/>
  <c r="U458" i="34"/>
  <c r="R458" i="34"/>
  <c r="S458" i="34" s="1" a="1"/>
  <c r="S458" i="34" s="1"/>
  <c r="U551" i="34"/>
  <c r="R551" i="34"/>
  <c r="S551" i="34" s="1" a="1"/>
  <c r="S551" i="34" s="1"/>
  <c r="R394" i="34"/>
  <c r="S394" i="34" s="1" a="1"/>
  <c r="S394" i="34" s="1"/>
  <c r="R567" i="34"/>
  <c r="S567" i="34" s="1" a="1"/>
  <c r="S567" i="34" s="1"/>
  <c r="U439" i="34"/>
  <c r="R352" i="34"/>
  <c r="S352" i="34" s="1" a="1"/>
  <c r="S352" i="34" s="1"/>
  <c r="U352" i="34"/>
  <c r="U410" i="34"/>
  <c r="R410" i="34"/>
  <c r="S410" i="34" s="1" a="1"/>
  <c r="S410" i="34" s="1"/>
  <c r="U422" i="34"/>
  <c r="U571" i="34"/>
  <c r="R399" i="34"/>
  <c r="S399" i="34" s="1" a="1"/>
  <c r="S399" i="34" s="1"/>
  <c r="U399" i="34"/>
  <c r="R561" i="34"/>
  <c r="S561" i="34" s="1" a="1"/>
  <c r="S561" i="34" s="1"/>
  <c r="U561" i="34"/>
  <c r="R426" i="34"/>
  <c r="S426" i="34" s="1" a="1"/>
  <c r="S426" i="34" s="1"/>
  <c r="U556" i="34"/>
  <c r="U417" i="34"/>
  <c r="R417" i="34"/>
  <c r="S417" i="34" s="1" a="1"/>
  <c r="S417" i="34" s="1"/>
  <c r="U432" i="34"/>
  <c r="R432" i="34"/>
  <c r="S432" i="34" s="1" a="1"/>
  <c r="S432" i="34" s="1"/>
  <c r="U576" i="34"/>
  <c r="R576" i="34"/>
  <c r="S576" i="34" s="1" a="1"/>
  <c r="S576" i="34" s="1"/>
  <c r="U343" i="34"/>
  <c r="U365" i="34"/>
  <c r="R388" i="34"/>
  <c r="S388" i="34" s="1" a="1"/>
  <c r="S388" i="34" s="1"/>
  <c r="R428" i="34"/>
  <c r="S428" i="34" s="1" a="1"/>
  <c r="S428" i="34" s="1"/>
  <c r="R557" i="34"/>
  <c r="S557" i="34" s="1" a="1"/>
  <c r="S557" i="34" s="1"/>
  <c r="R360" i="34"/>
  <c r="S360" i="34" s="1" a="1"/>
  <c r="S360" i="34" s="1"/>
  <c r="U360" i="34"/>
  <c r="R344" i="34"/>
  <c r="S344" i="34" s="1" a="1"/>
  <c r="S344" i="34" s="1"/>
  <c r="R366" i="34"/>
  <c r="S366" i="34" s="1" a="1"/>
  <c r="S366" i="34" s="1"/>
  <c r="R494" i="34"/>
  <c r="S494" i="34" s="1" a="1"/>
  <c r="S494" i="34" s="1"/>
  <c r="U317" i="34"/>
  <c r="R317" i="34"/>
  <c r="S317" i="34" s="1" a="1"/>
  <c r="S317" i="34" s="1"/>
  <c r="U361" i="34"/>
  <c r="R361" i="34"/>
  <c r="S361" i="34" s="1" a="1"/>
  <c r="S361" i="34" s="1"/>
  <c r="U490" i="34"/>
  <c r="R490" i="34"/>
  <c r="S490" i="34" s="1" a="1"/>
  <c r="S490" i="34" s="1"/>
  <c r="U364" i="34"/>
  <c r="R364" i="34"/>
  <c r="S364" i="34" s="1" a="1"/>
  <c r="S364" i="34" s="1"/>
  <c r="R407" i="34"/>
  <c r="S407" i="34" s="1" a="1"/>
  <c r="S407" i="34" s="1"/>
  <c r="U407" i="34"/>
  <c r="U437" i="34"/>
  <c r="R437" i="34"/>
  <c r="S437" i="34" s="1" a="1"/>
  <c r="S437" i="34" s="1"/>
  <c r="U350" i="34"/>
  <c r="R350" i="34"/>
  <c r="S350" i="34" s="1" a="1"/>
  <c r="S350" i="34" s="1"/>
  <c r="U570" i="34"/>
  <c r="R570" i="34"/>
  <c r="S570" i="34" s="1" a="1"/>
  <c r="S570" i="34" s="1"/>
  <c r="R524" i="34"/>
  <c r="S524" i="34" s="1" a="1"/>
  <c r="S524" i="34" s="1"/>
  <c r="U442" i="34"/>
  <c r="R442" i="34"/>
  <c r="S442" i="34" s="1" a="1"/>
  <c r="S442" i="34" s="1"/>
  <c r="R540" i="34"/>
  <c r="S540" i="34" s="1" a="1"/>
  <c r="S540" i="34" s="1"/>
  <c r="U540" i="34"/>
  <c r="U569" i="34"/>
  <c r="U500" i="34"/>
  <c r="R500" i="34"/>
  <c r="S500" i="34" s="1" a="1"/>
  <c r="S500" i="34" s="1"/>
  <c r="U441" i="34"/>
  <c r="U501" i="34"/>
  <c r="R501" i="34"/>
  <c r="S501" i="34" s="1" a="1"/>
  <c r="S501" i="34" s="1"/>
  <c r="U430" i="34"/>
  <c r="R430" i="34"/>
  <c r="S430" i="34" s="1" a="1"/>
  <c r="S430" i="34" s="1"/>
  <c r="R425" i="34"/>
  <c r="S425" i="34" s="1" a="1"/>
  <c r="S425" i="34" s="1"/>
  <c r="U517" i="34"/>
  <c r="R491" i="34"/>
  <c r="S491" i="34" s="1" a="1"/>
  <c r="S491" i="34" s="1"/>
  <c r="U491" i="34"/>
  <c r="U548" i="34"/>
  <c r="R548" i="34"/>
  <c r="S548" i="34" s="1" a="1"/>
  <c r="S548" i="34" s="1"/>
  <c r="U307" i="34"/>
  <c r="R367" i="34"/>
  <c r="S367" i="34" s="1" a="1"/>
  <c r="S367" i="34" s="1"/>
  <c r="R495" i="34"/>
  <c r="S495" i="34" s="1" a="1"/>
  <c r="S495" i="34" s="1"/>
  <c r="R518" i="34"/>
  <c r="S518" i="34" s="1" a="1"/>
  <c r="S518" i="34" s="1"/>
  <c r="U558" i="34"/>
  <c r="U492" i="34"/>
  <c r="R492" i="34"/>
  <c r="S492" i="34" s="1" a="1"/>
  <c r="S492" i="34" s="1"/>
  <c r="U480" i="34"/>
  <c r="R480" i="34"/>
  <c r="S480" i="34" s="1" a="1"/>
  <c r="S480" i="34" s="1"/>
  <c r="U351" i="34"/>
  <c r="R351" i="34"/>
  <c r="S351" i="34" s="1" a="1"/>
  <c r="S351" i="34" s="1"/>
  <c r="U371" i="34"/>
  <c r="R371" i="34"/>
  <c r="S371" i="34" s="1" a="1"/>
  <c r="S371" i="34" s="1"/>
  <c r="U372" i="34"/>
  <c r="R372" i="34"/>
  <c r="S372" i="34" s="1" a="1"/>
  <c r="S372" i="34" s="1"/>
  <c r="U340" i="34"/>
  <c r="R424" i="34"/>
  <c r="S424" i="34" s="1" a="1"/>
  <c r="S424" i="34" s="1"/>
  <c r="R555" i="34"/>
  <c r="S555" i="34" s="1" a="1"/>
  <c r="S555" i="34" s="1"/>
  <c r="U474" i="34"/>
  <c r="R474" i="34"/>
  <c r="S474" i="34" s="1" a="1"/>
  <c r="S474" i="34" s="1"/>
  <c r="R362" i="34"/>
  <c r="S362" i="34" s="1" a="1"/>
  <c r="S362" i="34" s="1"/>
  <c r="U362" i="34"/>
  <c r="R323" i="34"/>
  <c r="S323" i="34" s="1" a="1"/>
  <c r="S323" i="34" s="1"/>
  <c r="U473" i="34"/>
  <c r="R420" i="34"/>
  <c r="S420" i="34" s="1" a="1"/>
  <c r="S420" i="34" s="1"/>
  <c r="U420" i="34"/>
  <c r="U453" i="34"/>
  <c r="R453" i="34"/>
  <c r="S453" i="34" s="1" a="1"/>
  <c r="S453" i="34" s="1"/>
  <c r="U552" i="34"/>
  <c r="R552" i="34"/>
  <c r="S552" i="34" s="1" a="1"/>
  <c r="S552" i="34" s="1"/>
  <c r="U553" i="34"/>
  <c r="R553" i="34"/>
  <c r="S553" i="34" s="1" a="1"/>
  <c r="S553" i="34" s="1"/>
  <c r="R554" i="34"/>
  <c r="S554" i="34" s="1" a="1"/>
  <c r="S554" i="34" s="1"/>
  <c r="U502" i="34"/>
  <c r="R502" i="34"/>
  <c r="S502" i="34" s="1" a="1"/>
  <c r="S502" i="34" s="1"/>
  <c r="U560" i="34"/>
  <c r="R560" i="34"/>
  <c r="S560" i="34" s="1" a="1"/>
  <c r="S560" i="34" s="1"/>
  <c r="U431" i="34"/>
  <c r="R431" i="34"/>
  <c r="S431" i="34" s="1" a="1"/>
  <c r="S431" i="34" s="1"/>
  <c r="U562" i="34"/>
  <c r="R562" i="34"/>
  <c r="S562" i="34" s="1" a="1"/>
  <c r="S562" i="34" s="1"/>
  <c r="U411" i="34"/>
  <c r="R304" i="34"/>
  <c r="S304" i="34" s="1" a="1"/>
  <c r="S304" i="34" s="1"/>
  <c r="U304" i="34"/>
  <c r="U333" i="34"/>
  <c r="R333" i="34"/>
  <c r="S333" i="34" s="1" a="1"/>
  <c r="S333" i="34" s="1"/>
  <c r="R308" i="34"/>
  <c r="S308" i="34" s="1" a="1"/>
  <c r="S308" i="34" s="1"/>
  <c r="U475" i="34"/>
  <c r="R306" i="34"/>
  <c r="S306" i="34" s="1" a="1"/>
  <c r="S306" i="34" s="1"/>
  <c r="U306" i="34"/>
  <c r="U421" i="34"/>
  <c r="R421" i="34"/>
  <c r="S421" i="34" s="1" a="1"/>
  <c r="S421" i="34" s="1"/>
  <c r="U478" i="34"/>
  <c r="R478" i="34"/>
  <c r="S478" i="34" s="1" a="1"/>
  <c r="S478" i="34" s="1"/>
  <c r="U550" i="34"/>
  <c r="R550" i="34"/>
  <c r="S550" i="34" s="1" a="1"/>
  <c r="S550" i="34" s="1"/>
  <c r="U400" i="34"/>
  <c r="R400" i="34"/>
  <c r="S400" i="34" s="1" a="1"/>
  <c r="S400" i="34" s="1"/>
  <c r="U532" i="34"/>
  <c r="R532" i="34"/>
  <c r="S532" i="34" s="1" a="1"/>
  <c r="S532" i="34" s="1"/>
  <c r="U427" i="34"/>
  <c r="R427" i="34"/>
  <c r="S427" i="34" s="1" a="1"/>
  <c r="S427" i="34" s="1"/>
  <c r="U522" i="34"/>
  <c r="R522" i="34"/>
  <c r="S522" i="34" s="1" a="1"/>
  <c r="S522" i="34" s="1"/>
  <c r="U580" i="34"/>
  <c r="R580" i="34"/>
  <c r="S580" i="34" s="1" a="1"/>
  <c r="S580" i="34" s="1"/>
  <c r="R470" i="34"/>
  <c r="S470" i="34" s="1" a="1"/>
  <c r="S470" i="34" s="1"/>
  <c r="U381" i="34"/>
  <c r="R381" i="34"/>
  <c r="S381" i="34" s="1" a="1"/>
  <c r="S381" i="34" s="1"/>
  <c r="U390" i="34"/>
  <c r="R390" i="34"/>
  <c r="S390" i="34" s="1" a="1"/>
  <c r="S390" i="34" s="1"/>
  <c r="U401" i="34"/>
  <c r="U541" i="34"/>
  <c r="U303" i="34"/>
  <c r="R303" i="34"/>
  <c r="S303" i="34" s="1" a="1"/>
  <c r="S303" i="34" s="1"/>
  <c r="U247" i="34"/>
  <c r="P247" i="34" a="1"/>
  <c r="P247" i="34" s="1"/>
  <c r="Y39" i="34"/>
  <c r="Z39" i="34" s="1" a="1"/>
  <c r="Z39" i="34" s="1"/>
  <c r="AB11" i="34"/>
  <c r="Y11" i="34"/>
  <c r="Z11" i="34" s="1" a="1"/>
  <c r="Z11" i="34" s="1"/>
  <c r="R109" i="34"/>
  <c r="S109" i="34" s="1" a="1"/>
  <c r="S109" i="34" s="1"/>
  <c r="P109" i="34" a="1"/>
  <c r="P109" i="34" s="1"/>
  <c r="P23" i="34" a="1"/>
  <c r="P23" i="34" s="1"/>
  <c r="U23" i="34"/>
  <c r="R140" i="34"/>
  <c r="S140" i="34" s="1" a="1"/>
  <c r="S140" i="34" s="1"/>
  <c r="Y147" i="34"/>
  <c r="Z147" i="34" s="1" a="1"/>
  <c r="Z147" i="34" s="1"/>
  <c r="AB213" i="34"/>
  <c r="R12" i="34"/>
  <c r="S12" i="34" s="1" a="1"/>
  <c r="S12" i="34" s="1"/>
  <c r="Y94" i="34"/>
  <c r="Z94" i="34" s="1" a="1"/>
  <c r="Z94" i="34" s="1"/>
  <c r="U271" i="34"/>
  <c r="Y10" i="34"/>
  <c r="Z10" i="34" s="1" a="1"/>
  <c r="Z10" i="34" s="1"/>
  <c r="R221" i="34"/>
  <c r="S221" i="34" s="1" a="1"/>
  <c r="S221" i="34" s="1"/>
  <c r="P221" i="34" a="1"/>
  <c r="P221" i="34" s="1"/>
  <c r="R273" i="34"/>
  <c r="S273" i="34" s="1" a="1"/>
  <c r="S273" i="34" s="1"/>
  <c r="Y8" i="34"/>
  <c r="Z8" i="34" s="1" a="1"/>
  <c r="Z8" i="34" s="1"/>
  <c r="Y29" i="34"/>
  <c r="Z29" i="34" s="1" a="1"/>
  <c r="Z29" i="34" s="1"/>
  <c r="AB43" i="34"/>
  <c r="Y60" i="34"/>
  <c r="Z60" i="34" s="1" a="1"/>
  <c r="Z60" i="34" s="1"/>
  <c r="R66" i="34"/>
  <c r="S66" i="34" s="1" a="1"/>
  <c r="S66" i="34" s="1"/>
  <c r="R86" i="34"/>
  <c r="S86" i="34" s="1" a="1"/>
  <c r="S86" i="34" s="1"/>
  <c r="Y89" i="34"/>
  <c r="Z89" i="34" s="1" a="1"/>
  <c r="Z89" i="34" s="1"/>
  <c r="AB94" i="34"/>
  <c r="R105" i="34"/>
  <c r="S105" i="34" s="1" a="1"/>
  <c r="S105" i="34" s="1"/>
  <c r="Y114" i="34"/>
  <c r="Z114" i="34" s="1" a="1"/>
  <c r="Z114" i="34" s="1"/>
  <c r="Y118" i="34"/>
  <c r="Z118" i="34" s="1" a="1"/>
  <c r="Z118" i="34" s="1"/>
  <c r="U122" i="34"/>
  <c r="R134" i="34"/>
  <c r="S134" i="34" s="1" a="1"/>
  <c r="S134" i="34" s="1"/>
  <c r="AB151" i="34"/>
  <c r="Y188" i="34"/>
  <c r="Z188" i="34" s="1" a="1"/>
  <c r="Z188" i="34" s="1"/>
  <c r="AB211" i="34"/>
  <c r="Y47" i="34"/>
  <c r="Z47" i="34" s="1" a="1"/>
  <c r="Z47" i="34" s="1"/>
  <c r="AB8" i="34"/>
  <c r="U68" i="34"/>
  <c r="R295" i="34"/>
  <c r="S295" i="34" s="1" a="1"/>
  <c r="S295" i="34" s="1"/>
  <c r="R44" i="34"/>
  <c r="S44" i="34" s="1" a="1"/>
  <c r="S44" i="34" s="1"/>
  <c r="Y200" i="34"/>
  <c r="Z200" i="34" s="1" a="1"/>
  <c r="Z200" i="34" s="1"/>
  <c r="R100" i="34"/>
  <c r="S100" i="34" s="1" a="1"/>
  <c r="S100" i="34" s="1"/>
  <c r="R23" i="34"/>
  <c r="S23" i="34" s="1" a="1"/>
  <c r="S23" i="34" s="1"/>
  <c r="AB26" i="34"/>
  <c r="R37" i="34"/>
  <c r="S37" i="34" s="1" a="1"/>
  <c r="S37" i="34" s="1"/>
  <c r="U42" i="34"/>
  <c r="AB84" i="34"/>
  <c r="AB91" i="34"/>
  <c r="U107" i="34"/>
  <c r="AB165" i="34"/>
  <c r="U227" i="34"/>
  <c r="U233" i="34"/>
  <c r="R233" i="34"/>
  <c r="S233" i="34" s="1" a="1"/>
  <c r="S233" i="34" s="1"/>
  <c r="P233" i="34" a="1"/>
  <c r="P233" i="34" s="1"/>
  <c r="AB257" i="34"/>
  <c r="R297" i="34"/>
  <c r="S297" i="34" s="1" a="1"/>
  <c r="S297" i="34" s="1"/>
  <c r="P37" i="34" a="1"/>
  <c r="P37" i="34" s="1"/>
  <c r="R229" i="34"/>
  <c r="S229" i="34" s="1" a="1"/>
  <c r="S229" i="34" s="1"/>
  <c r="R16" i="34"/>
  <c r="S16" i="34" s="1" a="1"/>
  <c r="S16" i="34" s="1"/>
  <c r="AB76" i="34"/>
  <c r="Y78" i="34"/>
  <c r="Z78" i="34" s="1" a="1"/>
  <c r="Z78" i="34" s="1"/>
  <c r="R158" i="34"/>
  <c r="S158" i="34" s="1" a="1"/>
  <c r="S158" i="34" s="1"/>
  <c r="Y167" i="34"/>
  <c r="Z167" i="34" s="1" a="1"/>
  <c r="Z167" i="34" s="1"/>
  <c r="U212" i="34"/>
  <c r="AB267" i="34"/>
  <c r="AB289" i="34"/>
  <c r="AB47" i="34"/>
  <c r="U140" i="34"/>
  <c r="U16" i="34"/>
  <c r="AB35" i="34"/>
  <c r="R53" i="34"/>
  <c r="S53" i="34" s="1" a="1"/>
  <c r="S53" i="34" s="1"/>
  <c r="AB68" i="34"/>
  <c r="U100" i="34"/>
  <c r="Y287" i="34"/>
  <c r="Z287" i="34" s="1" a="1"/>
  <c r="Z287" i="34" s="1"/>
  <c r="Y289" i="34"/>
  <c r="Z289" i="34" s="1" a="1"/>
  <c r="Z289" i="34" s="1"/>
  <c r="Y301" i="34"/>
  <c r="Z301" i="34" s="1" a="1"/>
  <c r="Z301" i="34" s="1"/>
  <c r="Y58" i="34"/>
  <c r="Z58" i="34" s="1" a="1"/>
  <c r="Z58" i="34" s="1"/>
  <c r="R80" i="34"/>
  <c r="S80" i="34" s="1" a="1"/>
  <c r="S80" i="34" s="1"/>
  <c r="AB16" i="34"/>
  <c r="U25" i="34"/>
  <c r="Y95" i="34"/>
  <c r="Z95" i="34" s="1" a="1"/>
  <c r="Z95" i="34" s="1"/>
  <c r="R123" i="34"/>
  <c r="S123" i="34" s="1" a="1"/>
  <c r="S123" i="34" s="1"/>
  <c r="AB154" i="34"/>
  <c r="Y156" i="34"/>
  <c r="Z156" i="34" s="1" a="1"/>
  <c r="Z156" i="34" s="1"/>
  <c r="AB169" i="34"/>
  <c r="R203" i="34"/>
  <c r="S203" i="34" s="1" a="1"/>
  <c r="S203" i="34" s="1"/>
  <c r="U254" i="34"/>
  <c r="R65" i="34"/>
  <c r="S65" i="34" s="1" a="1"/>
  <c r="S65" i="34" s="1"/>
  <c r="Y113" i="34"/>
  <c r="Z113" i="34" s="1" a="1"/>
  <c r="Z113" i="34" s="1"/>
  <c r="AB142" i="34"/>
  <c r="AB156" i="34"/>
  <c r="AB160" i="34"/>
  <c r="U203" i="34"/>
  <c r="AB24" i="34"/>
  <c r="Y81" i="34"/>
  <c r="Z81" i="34" s="1" a="1"/>
  <c r="Z81" i="34" s="1"/>
  <c r="R20" i="34"/>
  <c r="S20" i="34" s="1" a="1"/>
  <c r="S20" i="34" s="1"/>
  <c r="AB51" i="34"/>
  <c r="Y59" i="34"/>
  <c r="Z59" i="34" s="1" a="1"/>
  <c r="Z59" i="34" s="1"/>
  <c r="U65" i="34"/>
  <c r="R71" i="34"/>
  <c r="S71" i="34" s="1" a="1"/>
  <c r="S71" i="34" s="1"/>
  <c r="AB115" i="34"/>
  <c r="AB162" i="34"/>
  <c r="AB175" i="34"/>
  <c r="R205" i="34"/>
  <c r="S205" i="34" s="1" a="1"/>
  <c r="S205" i="34" s="1"/>
  <c r="U71" i="34"/>
  <c r="U85" i="34"/>
  <c r="AB166" i="34"/>
  <c r="U109" i="34"/>
  <c r="R22" i="34"/>
  <c r="S22" i="34" s="1" a="1"/>
  <c r="S22" i="34" s="1"/>
  <c r="R99" i="34"/>
  <c r="S99" i="34" s="1" a="1"/>
  <c r="S99" i="34" s="1"/>
  <c r="AB197" i="34"/>
  <c r="Y218" i="34"/>
  <c r="Z218" i="34" s="1" a="1"/>
  <c r="Z218" i="34" s="1"/>
  <c r="AB248" i="34"/>
  <c r="AB78" i="34"/>
  <c r="Y46" i="34"/>
  <c r="Z46" i="34" s="1" a="1"/>
  <c r="Z46" i="34" s="1"/>
  <c r="Y51" i="34"/>
  <c r="Z51" i="34" s="1" a="1"/>
  <c r="Z51" i="34" s="1"/>
  <c r="R13" i="34"/>
  <c r="S13" i="34" s="1" a="1"/>
  <c r="S13" i="34" s="1"/>
  <c r="R10" i="34"/>
  <c r="S10" i="34" s="1" a="1"/>
  <c r="S10" i="34" s="1"/>
  <c r="AB13" i="34"/>
  <c r="U22" i="34"/>
  <c r="R89" i="34"/>
  <c r="S89" i="34" s="1" a="1"/>
  <c r="S89" i="34" s="1"/>
  <c r="AB97" i="34"/>
  <c r="U99" i="34"/>
  <c r="AB102" i="34"/>
  <c r="U155" i="34"/>
  <c r="AB274" i="34"/>
  <c r="U105" i="34"/>
  <c r="U158" i="34"/>
  <c r="AB98" i="34"/>
  <c r="U108" i="34"/>
  <c r="Y149" i="34"/>
  <c r="Z149" i="34" s="1" a="1"/>
  <c r="Z149" i="34" s="1"/>
  <c r="R174" i="34"/>
  <c r="S174" i="34" s="1" a="1"/>
  <c r="S174" i="34" s="1"/>
  <c r="R192" i="34"/>
  <c r="S192" i="34" s="1" a="1"/>
  <c r="S192" i="34" s="1"/>
  <c r="U213" i="34"/>
  <c r="Y239" i="34"/>
  <c r="Z239" i="34" s="1" a="1"/>
  <c r="Z239" i="34" s="1"/>
  <c r="R107" i="34"/>
  <c r="S107" i="34" s="1" a="1"/>
  <c r="S107" i="34" s="1"/>
  <c r="U10" i="34"/>
  <c r="U15" i="34"/>
  <c r="R29" i="34"/>
  <c r="S29" i="34" s="1" a="1"/>
  <c r="S29" i="34" s="1"/>
  <c r="AB39" i="34"/>
  <c r="R47" i="34"/>
  <c r="S47" i="34" s="1" a="1"/>
  <c r="S47" i="34" s="1"/>
  <c r="AB50" i="34"/>
  <c r="AB69" i="34"/>
  <c r="AB77" i="34"/>
  <c r="R84" i="34"/>
  <c r="S84" i="34" s="1" a="1"/>
  <c r="S84" i="34" s="1"/>
  <c r="U89" i="34"/>
  <c r="Y131" i="34"/>
  <c r="Z131" i="34" s="1" a="1"/>
  <c r="Z131" i="34" s="1"/>
  <c r="Y137" i="34"/>
  <c r="Z137" i="34" s="1" a="1"/>
  <c r="Z137" i="34" s="1"/>
  <c r="Y143" i="34"/>
  <c r="Z143" i="34" s="1" a="1"/>
  <c r="Z143" i="34" s="1"/>
  <c r="AB149" i="34"/>
  <c r="P178" i="34" a="1"/>
  <c r="P178" i="34" s="1"/>
  <c r="U178" i="34"/>
  <c r="U192" i="34"/>
  <c r="Y241" i="34"/>
  <c r="Z241" i="34" s="1" a="1"/>
  <c r="Z241" i="34" s="1"/>
  <c r="AB276" i="34"/>
  <c r="AB71" i="34"/>
  <c r="AB95" i="34"/>
  <c r="AB108" i="34"/>
  <c r="AB122" i="34"/>
  <c r="Y177" i="34"/>
  <c r="Z177" i="34" s="1" a="1"/>
  <c r="Z177" i="34" s="1"/>
  <c r="Y190" i="34"/>
  <c r="Z190" i="34" s="1" a="1"/>
  <c r="Z190" i="34" s="1"/>
  <c r="Y192" i="34"/>
  <c r="Z192" i="34" s="1" a="1"/>
  <c r="Z192" i="34" s="1"/>
  <c r="Y245" i="34"/>
  <c r="Z245" i="34" s="1" a="1"/>
  <c r="Z245" i="34" s="1"/>
  <c r="U273" i="34"/>
  <c r="R284" i="34"/>
  <c r="S284" i="34" s="1" a="1"/>
  <c r="S284" i="34" s="1"/>
  <c r="R288" i="34"/>
  <c r="S288" i="34" s="1" a="1"/>
  <c r="S288" i="34" s="1"/>
  <c r="U297" i="34"/>
  <c r="AB299" i="34"/>
  <c r="AB21" i="34"/>
  <c r="R55" i="34"/>
  <c r="S55" i="34" s="1" a="1"/>
  <c r="S55" i="34" s="1"/>
  <c r="U66" i="34"/>
  <c r="R91" i="34"/>
  <c r="S91" i="34" s="1" a="1"/>
  <c r="S91" i="34" s="1"/>
  <c r="Y100" i="34"/>
  <c r="Z100" i="34" s="1" a="1"/>
  <c r="Z100" i="34" s="1"/>
  <c r="U169" i="34"/>
  <c r="U181" i="34"/>
  <c r="R208" i="34"/>
  <c r="S208" i="34" s="1" a="1"/>
  <c r="S208" i="34" s="1"/>
  <c r="R212" i="34"/>
  <c r="S212" i="34" s="1" a="1"/>
  <c r="S212" i="34" s="1"/>
  <c r="AB227" i="34"/>
  <c r="Y269" i="34"/>
  <c r="Z269" i="34" s="1" a="1"/>
  <c r="Z269" i="34" s="1"/>
  <c r="Y282" i="34"/>
  <c r="Z282" i="34" s="1" a="1"/>
  <c r="Z282" i="34" s="1"/>
  <c r="U185" i="34"/>
  <c r="U208" i="34"/>
  <c r="AB236" i="34"/>
  <c r="U292" i="34"/>
  <c r="AB45" i="34"/>
  <c r="Y53" i="34"/>
  <c r="Z53" i="34" s="1" a="1"/>
  <c r="Z53" i="34" s="1"/>
  <c r="AB100" i="34"/>
  <c r="Y119" i="34"/>
  <c r="Z119" i="34" s="1" a="1"/>
  <c r="Z119" i="34" s="1"/>
  <c r="U164" i="34"/>
  <c r="R173" i="34"/>
  <c r="S173" i="34" s="1" a="1"/>
  <c r="S173" i="34" s="1"/>
  <c r="Y217" i="34"/>
  <c r="Z217" i="34" s="1" a="1"/>
  <c r="Z217" i="34" s="1"/>
  <c r="U249" i="34"/>
  <c r="Y292" i="34"/>
  <c r="Z292" i="34" s="1" a="1"/>
  <c r="Z292" i="34" s="1"/>
  <c r="U173" i="34"/>
  <c r="R178" i="34"/>
  <c r="S178" i="34" s="1" a="1"/>
  <c r="S178" i="34" s="1"/>
  <c r="Y210" i="34"/>
  <c r="Z210" i="34" s="1" a="1"/>
  <c r="Z210" i="34" s="1"/>
  <c r="R237" i="34"/>
  <c r="S237" i="34" s="1" a="1"/>
  <c r="S237" i="34" s="1"/>
  <c r="R296" i="34"/>
  <c r="S296" i="34" s="1" a="1"/>
  <c r="S296" i="34" s="1"/>
  <c r="P200" i="34" a="1"/>
  <c r="P200" i="34" s="1"/>
  <c r="U200" i="34"/>
  <c r="AB277" i="34"/>
  <c r="U253" i="34"/>
  <c r="U270" i="34"/>
  <c r="U272" i="34"/>
  <c r="U300" i="34"/>
  <c r="AB28" i="34"/>
  <c r="U93" i="34"/>
  <c r="Y150" i="34"/>
  <c r="Z150" i="34" s="1" a="1"/>
  <c r="Z150" i="34" s="1"/>
  <c r="U161" i="34"/>
  <c r="AB176" i="34"/>
  <c r="U202" i="34"/>
  <c r="R207" i="34"/>
  <c r="S207" i="34" s="1" a="1"/>
  <c r="S207" i="34" s="1"/>
  <c r="P207" i="34" a="1"/>
  <c r="P207" i="34" s="1"/>
  <c r="Y244" i="34"/>
  <c r="Z244" i="34" s="1" a="1"/>
  <c r="Z244" i="34" s="1"/>
  <c r="R263" i="34"/>
  <c r="S263" i="34" s="1" a="1"/>
  <c r="S263" i="34" s="1"/>
  <c r="U281" i="34"/>
  <c r="Y196" i="34"/>
  <c r="Z196" i="34" s="1" a="1"/>
  <c r="Z196" i="34" s="1"/>
  <c r="U237" i="34"/>
  <c r="U24" i="34"/>
  <c r="U34" i="34"/>
  <c r="AB57" i="34"/>
  <c r="Y61" i="34"/>
  <c r="Z61" i="34" s="1" a="1"/>
  <c r="Z61" i="34" s="1"/>
  <c r="Y63" i="34"/>
  <c r="Z63" i="34" s="1" a="1"/>
  <c r="Z63" i="34" s="1"/>
  <c r="U81" i="34"/>
  <c r="U98" i="34"/>
  <c r="U101" i="34"/>
  <c r="U104" i="34"/>
  <c r="R111" i="34"/>
  <c r="S111" i="34" s="1" a="1"/>
  <c r="S111" i="34" s="1"/>
  <c r="U136" i="34"/>
  <c r="AB185" i="34"/>
  <c r="Y221" i="34"/>
  <c r="Z221" i="34" s="1" a="1"/>
  <c r="Z221" i="34" s="1"/>
  <c r="Y233" i="34"/>
  <c r="Z233" i="34" s="1" a="1"/>
  <c r="Z233" i="34" s="1"/>
  <c r="AB294" i="34"/>
  <c r="Y185" i="34"/>
  <c r="Z185" i="34" s="1" a="1"/>
  <c r="Z185" i="34" s="1"/>
  <c r="R46" i="34"/>
  <c r="S46" i="34" s="1" a="1"/>
  <c r="S46" i="34" s="1"/>
  <c r="R104" i="34"/>
  <c r="S104" i="34" s="1" a="1"/>
  <c r="S104" i="34" s="1"/>
  <c r="AB123" i="34"/>
  <c r="R14" i="34"/>
  <c r="S14" i="34" s="1" a="1"/>
  <c r="S14" i="34" s="1"/>
  <c r="Y15" i="34"/>
  <c r="Z15" i="34" s="1" a="1"/>
  <c r="Z15" i="34" s="1"/>
  <c r="AB30" i="34"/>
  <c r="Y37" i="34"/>
  <c r="Z37" i="34" s="1" a="1"/>
  <c r="Z37" i="34" s="1"/>
  <c r="Y42" i="34"/>
  <c r="Z42" i="34" s="1" a="1"/>
  <c r="Z42" i="34" s="1"/>
  <c r="Y79" i="34"/>
  <c r="Z79" i="34" s="1" a="1"/>
  <c r="Z79" i="34" s="1"/>
  <c r="AB96" i="34"/>
  <c r="AB99" i="34"/>
  <c r="U111" i="34"/>
  <c r="R113" i="34"/>
  <c r="S113" i="34" s="1" a="1"/>
  <c r="S113" i="34" s="1"/>
  <c r="Y125" i="34"/>
  <c r="Z125" i="34" s="1" a="1"/>
  <c r="Z125" i="34" s="1"/>
  <c r="Y132" i="34"/>
  <c r="Z132" i="34" s="1" a="1"/>
  <c r="Z132" i="34" s="1"/>
  <c r="R154" i="34"/>
  <c r="S154" i="34" s="1" a="1"/>
  <c r="S154" i="34" s="1"/>
  <c r="AB159" i="34"/>
  <c r="R163" i="34"/>
  <c r="S163" i="34" s="1" a="1"/>
  <c r="S163" i="34" s="1"/>
  <c r="Y178" i="34"/>
  <c r="Z178" i="34" s="1" a="1"/>
  <c r="Z178" i="34" s="1"/>
  <c r="Y246" i="34"/>
  <c r="Z246" i="34" s="1" a="1"/>
  <c r="Z246" i="34" s="1"/>
  <c r="Y261" i="34"/>
  <c r="Z261" i="34" s="1" a="1"/>
  <c r="Z261" i="34" s="1"/>
  <c r="U263" i="34"/>
  <c r="AB183" i="34"/>
  <c r="Y191" i="34"/>
  <c r="Z191" i="34" s="1" a="1"/>
  <c r="Z191" i="34" s="1"/>
  <c r="R199" i="34"/>
  <c r="S199" i="34" s="1" a="1"/>
  <c r="S199" i="34" s="1"/>
  <c r="AB207" i="34"/>
  <c r="R211" i="34"/>
  <c r="S211" i="34" s="1" a="1"/>
  <c r="S211" i="34" s="1"/>
  <c r="U223" i="34"/>
  <c r="U264" i="34"/>
  <c r="U277" i="34"/>
  <c r="Y280" i="34"/>
  <c r="Z280" i="34" s="1" a="1"/>
  <c r="Z280" i="34" s="1"/>
  <c r="Y295" i="34"/>
  <c r="Z295" i="34" s="1" a="1"/>
  <c r="Z295" i="34" s="1"/>
  <c r="R166" i="34"/>
  <c r="S166" i="34" s="1" a="1"/>
  <c r="S166" i="34" s="1"/>
  <c r="R169" i="34"/>
  <c r="S169" i="34" s="1" a="1"/>
  <c r="S169" i="34" s="1"/>
  <c r="AB190" i="34"/>
  <c r="AB214" i="34"/>
  <c r="U216" i="34"/>
  <c r="U222" i="34"/>
  <c r="U226" i="34"/>
  <c r="Y252" i="34"/>
  <c r="Z252" i="34" s="1" a="1"/>
  <c r="Z252" i="34" s="1"/>
  <c r="U268" i="34"/>
  <c r="AB297" i="34"/>
  <c r="R18" i="34"/>
  <c r="S18" i="34" s="1" a="1"/>
  <c r="S18" i="34" s="1"/>
  <c r="R40" i="34"/>
  <c r="S40" i="34" s="1" a="1"/>
  <c r="S40" i="34" s="1"/>
  <c r="AB49" i="34"/>
  <c r="R51" i="34"/>
  <c r="S51" i="34" s="1" a="1"/>
  <c r="S51" i="34" s="1"/>
  <c r="AB70" i="34"/>
  <c r="R74" i="34"/>
  <c r="S74" i="34" s="1" a="1"/>
  <c r="S74" i="34" s="1"/>
  <c r="Y104" i="34"/>
  <c r="Z104" i="34" s="1" a="1"/>
  <c r="Z104" i="34" s="1"/>
  <c r="R106" i="34"/>
  <c r="S106" i="34" s="1" a="1"/>
  <c r="S106" i="34" s="1"/>
  <c r="R143" i="34"/>
  <c r="S143" i="34" s="1" a="1"/>
  <c r="S143" i="34" s="1"/>
  <c r="R194" i="34"/>
  <c r="S194" i="34" s="1" a="1"/>
  <c r="S194" i="34" s="1"/>
  <c r="AB196" i="34"/>
  <c r="AB261" i="34"/>
  <c r="U265" i="34"/>
  <c r="Y32" i="34"/>
  <c r="Z32" i="34" s="1" a="1"/>
  <c r="Z32" i="34" s="1"/>
  <c r="Y41" i="34"/>
  <c r="Z41" i="34" s="1" a="1"/>
  <c r="Z41" i="34" s="1"/>
  <c r="Y91" i="34"/>
  <c r="Z91" i="34" s="1" a="1"/>
  <c r="Z91" i="34" s="1"/>
  <c r="AB101" i="34"/>
  <c r="U106" i="34"/>
  <c r="AB110" i="34"/>
  <c r="R131" i="34"/>
  <c r="S131" i="34" s="1" a="1"/>
  <c r="S131" i="34" s="1"/>
  <c r="AB132" i="34"/>
  <c r="U143" i="34"/>
  <c r="R150" i="34"/>
  <c r="S150" i="34" s="1" a="1"/>
  <c r="S150" i="34" s="1"/>
  <c r="AB164" i="34"/>
  <c r="Y182" i="34"/>
  <c r="Z182" i="34" s="1" a="1"/>
  <c r="Z182" i="34" s="1"/>
  <c r="AB187" i="34"/>
  <c r="R189" i="34"/>
  <c r="S189" i="34" s="1" a="1"/>
  <c r="S189" i="34" s="1"/>
  <c r="AB235" i="34"/>
  <c r="AB246" i="34"/>
  <c r="R248" i="34"/>
  <c r="S248" i="34" s="1" a="1"/>
  <c r="S248" i="34" s="1"/>
  <c r="R251" i="34"/>
  <c r="S251" i="34" s="1" a="1"/>
  <c r="S251" i="34" s="1"/>
  <c r="AB266" i="34"/>
  <c r="Y286" i="34"/>
  <c r="Z286" i="34" s="1" a="1"/>
  <c r="Z286" i="34" s="1"/>
  <c r="Y175" i="34"/>
  <c r="Z175" i="34" s="1" a="1"/>
  <c r="Z175" i="34" s="1"/>
  <c r="AB205" i="34"/>
  <c r="R209" i="34"/>
  <c r="S209" i="34" s="1" a="1"/>
  <c r="S209" i="34" s="1"/>
  <c r="R247" i="34"/>
  <c r="S247" i="34" s="1" a="1"/>
  <c r="S247" i="34" s="1"/>
  <c r="Y265" i="34"/>
  <c r="Z265" i="34" s="1" a="1"/>
  <c r="Z265" i="34" s="1"/>
  <c r="Y293" i="34"/>
  <c r="Z293" i="34" s="1" a="1"/>
  <c r="Z293" i="34" s="1"/>
  <c r="R33" i="34"/>
  <c r="S33" i="34" s="1" a="1"/>
  <c r="S33" i="34" s="1"/>
  <c r="R58" i="34"/>
  <c r="S58" i="34" s="1" a="1"/>
  <c r="S58" i="34" s="1"/>
  <c r="Y74" i="34"/>
  <c r="Z74" i="34" s="1" a="1"/>
  <c r="Z74" i="34" s="1"/>
  <c r="AB131" i="34"/>
  <c r="R135" i="34"/>
  <c r="S135" i="34" s="1" a="1"/>
  <c r="S135" i="34" s="1"/>
  <c r="U165" i="34"/>
  <c r="U191" i="34"/>
  <c r="AB210" i="34"/>
  <c r="P217" i="34" a="1"/>
  <c r="P217" i="34" s="1"/>
  <c r="R220" i="34"/>
  <c r="S220" i="34" s="1" a="1"/>
  <c r="S220" i="34" s="1"/>
  <c r="Y248" i="34"/>
  <c r="Z248" i="34" s="1" a="1"/>
  <c r="Z248" i="34" s="1"/>
  <c r="R259" i="34"/>
  <c r="S259" i="34" s="1" a="1"/>
  <c r="S259" i="34" s="1"/>
  <c r="R73" i="34"/>
  <c r="S73" i="34" s="1" a="1"/>
  <c r="S73" i="34" s="1"/>
  <c r="Y84" i="34"/>
  <c r="Z84" i="34" s="1" a="1"/>
  <c r="Z84" i="34" s="1"/>
  <c r="Y90" i="34"/>
  <c r="Z90" i="34" s="1" a="1"/>
  <c r="Z90" i="34" s="1"/>
  <c r="R108" i="34"/>
  <c r="S108" i="34" s="1" a="1"/>
  <c r="S108" i="34" s="1"/>
  <c r="U123" i="34"/>
  <c r="AB133" i="34"/>
  <c r="U135" i="34"/>
  <c r="R137" i="34"/>
  <c r="S137" i="34" s="1" a="1"/>
  <c r="S137" i="34" s="1"/>
  <c r="R147" i="34"/>
  <c r="S147" i="34" s="1" a="1"/>
  <c r="S147" i="34" s="1"/>
  <c r="Y171" i="34"/>
  <c r="Z171" i="34" s="1" a="1"/>
  <c r="Z171" i="34" s="1"/>
  <c r="Y189" i="34"/>
  <c r="Z189" i="34" s="1" a="1"/>
  <c r="Z189" i="34" s="1"/>
  <c r="Y234" i="34"/>
  <c r="Z234" i="34" s="1" a="1"/>
  <c r="Z234" i="34" s="1"/>
  <c r="Y237" i="34"/>
  <c r="Z237" i="34" s="1" a="1"/>
  <c r="Z237" i="34" s="1"/>
  <c r="R239" i="34"/>
  <c r="S239" i="34" s="1" a="1"/>
  <c r="S239" i="34" s="1"/>
  <c r="U255" i="34"/>
  <c r="U259" i="34"/>
  <c r="AB265" i="34"/>
  <c r="Y272" i="34"/>
  <c r="Z272" i="34" s="1" a="1"/>
  <c r="Z272" i="34" s="1"/>
  <c r="AB290" i="34"/>
  <c r="AB293" i="34"/>
  <c r="AB195" i="34"/>
  <c r="R200" i="34"/>
  <c r="S200" i="34" s="1" a="1"/>
  <c r="S200" i="34" s="1"/>
  <c r="U220" i="34"/>
  <c r="Y228" i="34"/>
  <c r="Z228" i="34" s="1" a="1"/>
  <c r="Z228" i="34" s="1"/>
  <c r="Y231" i="34"/>
  <c r="Z231" i="34" s="1" a="1"/>
  <c r="Z231" i="34" s="1"/>
  <c r="AB237" i="34"/>
  <c r="R277" i="34"/>
  <c r="S277" i="34" s="1" a="1"/>
  <c r="S277" i="34" s="1"/>
  <c r="Y36" i="34"/>
  <c r="Z36" i="34" s="1" a="1"/>
  <c r="Z36" i="34" s="1"/>
  <c r="U78" i="34"/>
  <c r="AB79" i="34"/>
  <c r="AB103" i="34"/>
  <c r="U113" i="34"/>
  <c r="U118" i="34"/>
  <c r="Y121" i="34"/>
  <c r="Z121" i="34" s="1" a="1"/>
  <c r="Z121" i="34" s="1"/>
  <c r="AB150" i="34"/>
  <c r="Y160" i="34"/>
  <c r="Z160" i="34" s="1" a="1"/>
  <c r="Z160" i="34" s="1"/>
  <c r="AB225" i="34"/>
  <c r="R227" i="34"/>
  <c r="S227" i="34" s="1" a="1"/>
  <c r="S227" i="34" s="1"/>
  <c r="U236" i="34"/>
  <c r="U244" i="34"/>
  <c r="Y65" i="34"/>
  <c r="Z65" i="34" s="1" a="1"/>
  <c r="Z65" i="34" s="1"/>
  <c r="AB65" i="34"/>
  <c r="P286" i="34" a="1"/>
  <c r="P286" i="34" s="1"/>
  <c r="U286" i="34"/>
  <c r="P24" i="34" a="1"/>
  <c r="P24" i="34" s="1"/>
  <c r="R24" i="34"/>
  <c r="S24" i="34" s="1" a="1"/>
  <c r="S24" i="34" s="1"/>
  <c r="P50" i="34" a="1"/>
  <c r="P50" i="34" s="1"/>
  <c r="R50" i="34"/>
  <c r="S50" i="34" s="1" a="1"/>
  <c r="S50" i="34" s="1"/>
  <c r="Y18" i="34"/>
  <c r="Z18" i="34" s="1" a="1"/>
  <c r="Z18" i="34" s="1"/>
  <c r="U59" i="34"/>
  <c r="Y19" i="34"/>
  <c r="Z19" i="34" s="1" a="1"/>
  <c r="Z19" i="34" s="1"/>
  <c r="P9" i="34" a="1"/>
  <c r="P9" i="34" s="1"/>
  <c r="U9" i="34"/>
  <c r="R9" i="34"/>
  <c r="S9" i="34" s="1" a="1"/>
  <c r="S9" i="34" s="1"/>
  <c r="U54" i="34"/>
  <c r="Y48" i="34"/>
  <c r="Z48" i="34" s="1" a="1"/>
  <c r="Z48" i="34" s="1"/>
  <c r="U64" i="34"/>
  <c r="P74" i="34" a="1"/>
  <c r="P74" i="34" s="1"/>
  <c r="P17" i="34" a="1"/>
  <c r="P17" i="34" s="1"/>
  <c r="U17" i="34"/>
  <c r="P45" i="34" a="1"/>
  <c r="P45" i="34" s="1"/>
  <c r="U45" i="34"/>
  <c r="R77" i="34"/>
  <c r="S77" i="34" s="1" a="1"/>
  <c r="S77" i="34" s="1"/>
  <c r="P77" i="34" a="1"/>
  <c r="P77" i="34" s="1"/>
  <c r="R32" i="34"/>
  <c r="S32" i="34" s="1" a="1"/>
  <c r="S32" i="34" s="1"/>
  <c r="U12" i="34"/>
  <c r="Y20" i="34"/>
  <c r="Z20" i="34" s="1" a="1"/>
  <c r="Z20" i="34" s="1"/>
  <c r="U48" i="34"/>
  <c r="P48" i="34" a="1"/>
  <c r="P48" i="34" s="1"/>
  <c r="P92" i="34" a="1"/>
  <c r="P92" i="34" s="1"/>
  <c r="R92" i="34"/>
  <c r="S92" i="34" s="1" a="1"/>
  <c r="S92" i="34" s="1"/>
  <c r="P28" i="34" a="1"/>
  <c r="P28" i="34" s="1"/>
  <c r="U28" i="34"/>
  <c r="Y35" i="34"/>
  <c r="Z35" i="34" s="1" a="1"/>
  <c r="Z35" i="34" s="1"/>
  <c r="R97" i="34"/>
  <c r="S97" i="34" s="1" a="1"/>
  <c r="S97" i="34" s="1"/>
  <c r="AB20" i="34"/>
  <c r="P87" i="34" a="1"/>
  <c r="P87" i="34" s="1"/>
  <c r="R57" i="34"/>
  <c r="S57" i="34" s="1" a="1"/>
  <c r="S57" i="34" s="1"/>
  <c r="P57" i="34" a="1"/>
  <c r="P57" i="34" s="1"/>
  <c r="AB23" i="34"/>
  <c r="U49" i="34"/>
  <c r="P49" i="34" a="1"/>
  <c r="P49" i="34" s="1"/>
  <c r="U97" i="34"/>
  <c r="R159" i="34"/>
  <c r="S159" i="34" s="1" a="1"/>
  <c r="S159" i="34" s="1"/>
  <c r="P159" i="34" a="1"/>
  <c r="P159" i="34" s="1"/>
  <c r="R27" i="34"/>
  <c r="S27" i="34" s="1" a="1"/>
  <c r="S27" i="34" s="1"/>
  <c r="R30" i="34"/>
  <c r="S30" i="34" s="1" a="1"/>
  <c r="S30" i="34" s="1"/>
  <c r="P30" i="34" a="1"/>
  <c r="P30" i="34" s="1"/>
  <c r="R39" i="34"/>
  <c r="S39" i="34" s="1" a="1"/>
  <c r="S39" i="34" s="1"/>
  <c r="Y134" i="34"/>
  <c r="Z134" i="34" s="1" a="1"/>
  <c r="Z134" i="34" s="1"/>
  <c r="R68" i="34"/>
  <c r="S68" i="34" s="1" a="1"/>
  <c r="S68" i="34" s="1"/>
  <c r="R78" i="34"/>
  <c r="S78" i="34" s="1" a="1"/>
  <c r="S78" i="34" s="1"/>
  <c r="Y107" i="34"/>
  <c r="Z107" i="34" s="1" a="1"/>
  <c r="Z107" i="34" s="1"/>
  <c r="R171" i="34"/>
  <c r="S171" i="34" s="1" a="1"/>
  <c r="S171" i="34" s="1"/>
  <c r="R119" i="34"/>
  <c r="S119" i="34" s="1" a="1"/>
  <c r="S119" i="34" s="1"/>
  <c r="P127" i="34" a="1"/>
  <c r="P127" i="34" s="1"/>
  <c r="R127" i="34"/>
  <c r="S127" i="34" s="1" a="1"/>
  <c r="S127" i="34" s="1"/>
  <c r="AB144" i="34"/>
  <c r="AB152" i="34"/>
  <c r="U46" i="34"/>
  <c r="AB48" i="34"/>
  <c r="R56" i="34"/>
  <c r="S56" i="34" s="1" a="1"/>
  <c r="S56" i="34" s="1"/>
  <c r="U60" i="34"/>
  <c r="P63" i="34" a="1"/>
  <c r="P63" i="34" s="1"/>
  <c r="R67" i="34"/>
  <c r="S67" i="34" s="1" a="1"/>
  <c r="S67" i="34" s="1"/>
  <c r="P70" i="34" a="1"/>
  <c r="P70" i="34" s="1"/>
  <c r="P81" i="34" a="1"/>
  <c r="P81" i="34" s="1"/>
  <c r="P130" i="34" a="1"/>
  <c r="P130" i="34" s="1"/>
  <c r="R130" i="34"/>
  <c r="S130" i="34" s="1" a="1"/>
  <c r="S130" i="34" s="1"/>
  <c r="AB192" i="34"/>
  <c r="P197" i="34" a="1"/>
  <c r="P197" i="34" s="1"/>
  <c r="Y71" i="34"/>
  <c r="Z71" i="34" s="1" a="1"/>
  <c r="Z71" i="34" s="1"/>
  <c r="U40" i="34"/>
  <c r="P44" i="34" a="1"/>
  <c r="P44" i="34" s="1"/>
  <c r="U74" i="34"/>
  <c r="Y34" i="34"/>
  <c r="Z34" i="34" s="1" a="1"/>
  <c r="Z34" i="34" s="1"/>
  <c r="R45" i="34"/>
  <c r="S45" i="34" s="1" a="1"/>
  <c r="S45" i="34" s="1"/>
  <c r="R81" i="34"/>
  <c r="S81" i="34" s="1" a="1"/>
  <c r="S81" i="34" s="1"/>
  <c r="U148" i="34"/>
  <c r="R60" i="34"/>
  <c r="S60" i="34" s="1" a="1"/>
  <c r="S60" i="34" s="1"/>
  <c r="U27" i="34"/>
  <c r="R59" i="34"/>
  <c r="S59" i="34" s="1" a="1"/>
  <c r="S59" i="34" s="1"/>
  <c r="P80" i="34" a="1"/>
  <c r="P80" i="34" s="1"/>
  <c r="Y105" i="34"/>
  <c r="Z105" i="34" s="1" a="1"/>
  <c r="Z105" i="34" s="1"/>
  <c r="U127" i="34"/>
  <c r="Y27" i="34"/>
  <c r="Z27" i="34" s="1" a="1"/>
  <c r="Z27" i="34" s="1"/>
  <c r="R76" i="34"/>
  <c r="S76" i="34" s="1" a="1"/>
  <c r="S76" i="34" s="1"/>
  <c r="P76" i="34" a="1"/>
  <c r="P76" i="34" s="1"/>
  <c r="R95" i="34"/>
  <c r="S95" i="34" s="1" a="1"/>
  <c r="S95" i="34" s="1"/>
  <c r="R8" i="34"/>
  <c r="S8" i="34" s="1" a="1"/>
  <c r="S8" i="34" s="1"/>
  <c r="AB19" i="34"/>
  <c r="U32" i="34"/>
  <c r="U38" i="34"/>
  <c r="Y56" i="34"/>
  <c r="Z56" i="34" s="1" a="1"/>
  <c r="Z56" i="34" s="1"/>
  <c r="AB60" i="34"/>
  <c r="AB143" i="34"/>
  <c r="R87" i="34"/>
  <c r="S87" i="34" s="1" a="1"/>
  <c r="S87" i="34" s="1"/>
  <c r="R63" i="34"/>
  <c r="S63" i="34" s="1" a="1"/>
  <c r="S63" i="34" s="1"/>
  <c r="Y92" i="34"/>
  <c r="Z92" i="34" s="1" a="1"/>
  <c r="Z92" i="34" s="1"/>
  <c r="R72" i="34"/>
  <c r="S72" i="34" s="1" a="1"/>
  <c r="S72" i="34" s="1"/>
  <c r="P72" i="34" a="1"/>
  <c r="P72" i="34" s="1"/>
  <c r="Y13" i="34"/>
  <c r="Z13" i="34" s="1" a="1"/>
  <c r="Z13" i="34" s="1"/>
  <c r="Y33" i="34"/>
  <c r="Z33" i="34" s="1" a="1"/>
  <c r="Z33" i="34" s="1"/>
  <c r="R43" i="34"/>
  <c r="S43" i="34" s="1" a="1"/>
  <c r="S43" i="34" s="1"/>
  <c r="AB88" i="34"/>
  <c r="U94" i="34"/>
  <c r="P94" i="34" a="1"/>
  <c r="P94" i="34" s="1"/>
  <c r="Y101" i="34"/>
  <c r="Z101" i="34" s="1" a="1"/>
  <c r="Z101" i="34" s="1"/>
  <c r="U88" i="34"/>
  <c r="U96" i="34"/>
  <c r="U50" i="34"/>
  <c r="AB64" i="34"/>
  <c r="P86" i="34" a="1"/>
  <c r="P86" i="34" s="1"/>
  <c r="U39" i="34"/>
  <c r="P43" i="34" a="1"/>
  <c r="P43" i="34" s="1"/>
  <c r="AB18" i="34"/>
  <c r="AB27" i="34"/>
  <c r="AB33" i="34"/>
  <c r="Z50" i="34" a="1"/>
  <c r="Z50" i="34" s="1"/>
  <c r="R54" i="34"/>
  <c r="S54" i="34" s="1" a="1"/>
  <c r="S54" i="34" s="1"/>
  <c r="R62" i="34"/>
  <c r="S62" i="34" s="1" a="1"/>
  <c r="S62" i="34" s="1"/>
  <c r="U76" i="34"/>
  <c r="U80" i="34"/>
  <c r="U86" i="34"/>
  <c r="AB111" i="34"/>
  <c r="R149" i="34"/>
  <c r="S149" i="34" s="1" a="1"/>
  <c r="S149" i="34" s="1"/>
  <c r="P149" i="34" a="1"/>
  <c r="P149" i="34" s="1"/>
  <c r="AB139" i="34"/>
  <c r="AB14" i="34"/>
  <c r="U31" i="34"/>
  <c r="R48" i="34"/>
  <c r="S48" i="34" s="1" a="1"/>
  <c r="S48" i="34" s="1"/>
  <c r="P139" i="34" a="1"/>
  <c r="P139" i="34" s="1"/>
  <c r="R139" i="34"/>
  <c r="S139" i="34" s="1" a="1"/>
  <c r="S139" i="34" s="1"/>
  <c r="Y144" i="34"/>
  <c r="Z144" i="34" s="1" a="1"/>
  <c r="Z144" i="34" s="1"/>
  <c r="U77" i="34"/>
  <c r="Y64" i="34"/>
  <c r="Z64" i="34" s="1" a="1"/>
  <c r="Z64" i="34" s="1"/>
  <c r="U67" i="34"/>
  <c r="U58" i="34"/>
  <c r="U62" i="34"/>
  <c r="Y23" i="34"/>
  <c r="Z23" i="34" s="1" a="1"/>
  <c r="Z23" i="34" s="1"/>
  <c r="U120" i="34"/>
  <c r="P120" i="34" a="1"/>
  <c r="P120" i="34" s="1"/>
  <c r="Y16" i="34"/>
  <c r="Z16" i="34" s="1" a="1"/>
  <c r="Z16" i="34" s="1"/>
  <c r="U8" i="34"/>
  <c r="U47" i="34"/>
  <c r="P47" i="34" a="1"/>
  <c r="P47" i="34" s="1"/>
  <c r="Y55" i="34"/>
  <c r="Z55" i="34" s="1" a="1"/>
  <c r="Z55" i="34" s="1"/>
  <c r="AB55" i="34"/>
  <c r="AB32" i="34"/>
  <c r="R42" i="34"/>
  <c r="S42" i="34" s="1" a="1"/>
  <c r="S42" i="34" s="1"/>
  <c r="Y44" i="34"/>
  <c r="Z44" i="34" s="1" a="1"/>
  <c r="Z44" i="34" s="1"/>
  <c r="R85" i="34"/>
  <c r="S85" i="34" s="1" a="1"/>
  <c r="S85" i="34" s="1"/>
  <c r="R198" i="34"/>
  <c r="S198" i="34" s="1" a="1"/>
  <c r="S198" i="34" s="1"/>
  <c r="P198" i="34" a="1"/>
  <c r="P198" i="34" s="1"/>
  <c r="R128" i="34"/>
  <c r="S128" i="34" s="1" a="1"/>
  <c r="S128" i="34" s="1"/>
  <c r="P160" i="34" a="1"/>
  <c r="P160" i="34" s="1"/>
  <c r="R160" i="34"/>
  <c r="S160" i="34" s="1" a="1"/>
  <c r="S160" i="34" s="1"/>
  <c r="U160" i="34"/>
  <c r="U258" i="34"/>
  <c r="R64" i="34"/>
  <c r="S64" i="34" s="1" a="1"/>
  <c r="S64" i="34" s="1"/>
  <c r="AB107" i="34"/>
  <c r="U146" i="34"/>
  <c r="R49" i="34"/>
  <c r="S49" i="34" s="1" a="1"/>
  <c r="S49" i="34" s="1"/>
  <c r="U70" i="34"/>
  <c r="Y75" i="34"/>
  <c r="Z75" i="34" s="1" a="1"/>
  <c r="Z75" i="34" s="1"/>
  <c r="U134" i="34"/>
  <c r="U198" i="34"/>
  <c r="U30" i="34"/>
  <c r="U55" i="34"/>
  <c r="U56" i="34"/>
  <c r="R93" i="34"/>
  <c r="S93" i="34" s="1" a="1"/>
  <c r="S93" i="34" s="1"/>
  <c r="R96" i="34"/>
  <c r="S96" i="34" s="1" a="1"/>
  <c r="S96" i="34" s="1"/>
  <c r="AB106" i="34"/>
  <c r="AB121" i="34"/>
  <c r="AB141" i="34"/>
  <c r="Y166" i="34"/>
  <c r="Z166" i="34" s="1" a="1"/>
  <c r="Z166" i="34" s="1"/>
  <c r="R250" i="34"/>
  <c r="S250" i="34" s="1" a="1"/>
  <c r="S250" i="34" s="1"/>
  <c r="P250" i="34" a="1"/>
  <c r="P250" i="34" s="1"/>
  <c r="R293" i="34"/>
  <c r="S293" i="34" s="1" a="1"/>
  <c r="S293" i="34" s="1"/>
  <c r="Y127" i="34"/>
  <c r="Z127" i="34" s="1" a="1"/>
  <c r="Z127" i="34" s="1"/>
  <c r="AB134" i="34"/>
  <c r="Y154" i="34"/>
  <c r="Z154" i="34" s="1" a="1"/>
  <c r="Z154" i="34" s="1"/>
  <c r="R156" i="34"/>
  <c r="S156" i="34" s="1" a="1"/>
  <c r="S156" i="34" s="1"/>
  <c r="AB157" i="34"/>
  <c r="U159" i="34"/>
  <c r="R197" i="34"/>
  <c r="S197" i="34" s="1" a="1"/>
  <c r="S197" i="34" s="1"/>
  <c r="U204" i="34"/>
  <c r="U252" i="34"/>
  <c r="P252" i="34" a="1"/>
  <c r="P252" i="34" s="1"/>
  <c r="AB73" i="34"/>
  <c r="U92" i="34"/>
  <c r="U95" i="34"/>
  <c r="R115" i="34"/>
  <c r="S115" i="34" s="1" a="1"/>
  <c r="S115" i="34" s="1"/>
  <c r="Y120" i="34"/>
  <c r="Z120" i="34" s="1" a="1"/>
  <c r="Z120" i="34" s="1"/>
  <c r="Y30" i="34"/>
  <c r="Z30" i="34" s="1" a="1"/>
  <c r="Z30" i="34" s="1"/>
  <c r="AB120" i="34"/>
  <c r="AB186" i="34"/>
  <c r="R190" i="34"/>
  <c r="S190" i="34" s="1" a="1"/>
  <c r="S190" i="34" s="1"/>
  <c r="P190" i="34" a="1"/>
  <c r="P190" i="34" s="1"/>
  <c r="Y219" i="34"/>
  <c r="Z219" i="34" s="1" a="1"/>
  <c r="Z219" i="34" s="1"/>
  <c r="Y247" i="34"/>
  <c r="Z247" i="34" s="1" a="1"/>
  <c r="Z247" i="34" s="1"/>
  <c r="R287" i="34"/>
  <c r="S287" i="34" s="1" a="1"/>
  <c r="S287" i="34" s="1"/>
  <c r="P287" i="34" a="1"/>
  <c r="P287" i="34" s="1"/>
  <c r="AB288" i="34"/>
  <c r="R302" i="34"/>
  <c r="S302" i="34" s="1" a="1"/>
  <c r="S302" i="34" s="1"/>
  <c r="Y45" i="34"/>
  <c r="Z45" i="34" s="1" a="1"/>
  <c r="Z45" i="34" s="1"/>
  <c r="U139" i="34"/>
  <c r="Y168" i="34"/>
  <c r="Z168" i="34" s="1" a="1"/>
  <c r="Z168" i="34" s="1"/>
  <c r="U79" i="34"/>
  <c r="AB113" i="34"/>
  <c r="Y145" i="34"/>
  <c r="Z145" i="34" s="1" a="1"/>
  <c r="Z145" i="34" s="1"/>
  <c r="AB34" i="34"/>
  <c r="U7" i="34"/>
  <c r="AB29" i="34"/>
  <c r="Y96" i="34"/>
  <c r="Z96" i="34" s="1" a="1"/>
  <c r="Z96" i="34" s="1"/>
  <c r="AB104" i="34"/>
  <c r="AB44" i="34"/>
  <c r="AB66" i="34"/>
  <c r="AB126" i="34"/>
  <c r="Y153" i="34"/>
  <c r="Z153" i="34" s="1" a="1"/>
  <c r="Z153" i="34" s="1"/>
  <c r="AB193" i="34"/>
  <c r="Y193" i="34"/>
  <c r="Z193" i="34" s="1" a="1"/>
  <c r="Z193" i="34" s="1"/>
  <c r="Y197" i="34"/>
  <c r="Z197" i="34" s="1" a="1"/>
  <c r="Z197" i="34" s="1"/>
  <c r="R256" i="34"/>
  <c r="S256" i="34" s="1" a="1"/>
  <c r="S256" i="34" s="1"/>
  <c r="R258" i="34"/>
  <c r="S258" i="34" s="1" a="1"/>
  <c r="S258" i="34" s="1"/>
  <c r="U87" i="34"/>
  <c r="R110" i="34"/>
  <c r="S110" i="34" s="1" a="1"/>
  <c r="S110" i="34" s="1"/>
  <c r="R136" i="34"/>
  <c r="S136" i="34" s="1" a="1"/>
  <c r="S136" i="34" s="1"/>
  <c r="Y270" i="34"/>
  <c r="Z270" i="34" s="1" a="1"/>
  <c r="Z270" i="34" s="1"/>
  <c r="AB114" i="34"/>
  <c r="R120" i="34"/>
  <c r="S120" i="34" s="1" a="1"/>
  <c r="S120" i="34" s="1"/>
  <c r="U121" i="34"/>
  <c r="R168" i="34"/>
  <c r="S168" i="34" s="1" a="1"/>
  <c r="S168" i="34" s="1"/>
  <c r="Y179" i="34"/>
  <c r="Z179" i="34" s="1" a="1"/>
  <c r="Z179" i="34" s="1"/>
  <c r="AB179" i="34"/>
  <c r="R118" i="34"/>
  <c r="S118" i="34" s="1" a="1"/>
  <c r="S118" i="34" s="1"/>
  <c r="Y122" i="34"/>
  <c r="Z122" i="34" s="1" a="1"/>
  <c r="Z122" i="34" s="1"/>
  <c r="AB124" i="34"/>
  <c r="Y129" i="34"/>
  <c r="Z129" i="34" s="1" a="1"/>
  <c r="Z129" i="34" s="1"/>
  <c r="R138" i="34"/>
  <c r="S138" i="34" s="1" a="1"/>
  <c r="S138" i="34" s="1"/>
  <c r="Y148" i="34"/>
  <c r="Z148" i="34" s="1" a="1"/>
  <c r="Z148" i="34" s="1"/>
  <c r="P155" i="34" a="1"/>
  <c r="P155" i="34" s="1"/>
  <c r="Y169" i="34"/>
  <c r="Z169" i="34" s="1" a="1"/>
  <c r="Z169" i="34" s="1"/>
  <c r="U184" i="34"/>
  <c r="P265" i="34" a="1"/>
  <c r="P265" i="34" s="1"/>
  <c r="Y106" i="34"/>
  <c r="Z106" i="34" s="1" a="1"/>
  <c r="Z106" i="34" s="1"/>
  <c r="Y128" i="34"/>
  <c r="Z128" i="34" s="1" a="1"/>
  <c r="Z128" i="34" s="1"/>
  <c r="AB135" i="34"/>
  <c r="R146" i="34"/>
  <c r="S146" i="34" s="1" a="1"/>
  <c r="S146" i="34" s="1"/>
  <c r="U151" i="34"/>
  <c r="R162" i="34"/>
  <c r="S162" i="34" s="1" a="1"/>
  <c r="S162" i="34" s="1"/>
  <c r="Y164" i="34"/>
  <c r="Z164" i="34" s="1" a="1"/>
  <c r="Z164" i="34" s="1"/>
  <c r="AB173" i="34"/>
  <c r="Y198" i="34"/>
  <c r="Z198" i="34" s="1" a="1"/>
  <c r="Z198" i="34" s="1"/>
  <c r="AB198" i="34"/>
  <c r="R142" i="34"/>
  <c r="S142" i="34" s="1" a="1"/>
  <c r="S142" i="34" s="1"/>
  <c r="U171" i="34"/>
  <c r="R176" i="34"/>
  <c r="S176" i="34" s="1" a="1"/>
  <c r="S176" i="34" s="1"/>
  <c r="R180" i="34"/>
  <c r="S180" i="34" s="1" a="1"/>
  <c r="S180" i="34" s="1"/>
  <c r="P201" i="34" a="1"/>
  <c r="P201" i="34" s="1"/>
  <c r="R201" i="34"/>
  <c r="S201" i="34" s="1" a="1"/>
  <c r="S201" i="34" s="1"/>
  <c r="AB209" i="34"/>
  <c r="U240" i="34"/>
  <c r="P113" i="34" a="1"/>
  <c r="P113" i="34" s="1"/>
  <c r="R114" i="34"/>
  <c r="S114" i="34" s="1" a="1"/>
  <c r="S114" i="34" s="1"/>
  <c r="AB168" i="34"/>
  <c r="U176" i="34"/>
  <c r="U189" i="34"/>
  <c r="P189" i="34" a="1"/>
  <c r="P189" i="34" s="1"/>
  <c r="Y206" i="34"/>
  <c r="Z206" i="34" s="1" a="1"/>
  <c r="Z206" i="34" s="1"/>
  <c r="P242" i="34" a="1"/>
  <c r="P242" i="34" s="1"/>
  <c r="R242" i="34"/>
  <c r="S242" i="34" s="1" a="1"/>
  <c r="S242" i="34" s="1"/>
  <c r="U242" i="34"/>
  <c r="U302" i="34"/>
  <c r="Y76" i="34"/>
  <c r="Z76" i="34" s="1" a="1"/>
  <c r="Z76" i="34" s="1"/>
  <c r="U115" i="34"/>
  <c r="U142" i="34"/>
  <c r="U162" i="34"/>
  <c r="AB172" i="34"/>
  <c r="Y187" i="34"/>
  <c r="Z187" i="34" s="1" a="1"/>
  <c r="Z187" i="34" s="1"/>
  <c r="AB58" i="34"/>
  <c r="AB105" i="34"/>
  <c r="R124" i="34"/>
  <c r="S124" i="34" s="1" a="1"/>
  <c r="S124" i="34" s="1"/>
  <c r="R145" i="34"/>
  <c r="S145" i="34" s="1" a="1"/>
  <c r="S145" i="34" s="1"/>
  <c r="Y151" i="34"/>
  <c r="Z151" i="34" s="1" a="1"/>
  <c r="Z151" i="34" s="1"/>
  <c r="Y155" i="34"/>
  <c r="Z155" i="34" s="1" a="1"/>
  <c r="Z155" i="34" s="1"/>
  <c r="U179" i="34"/>
  <c r="R179" i="34"/>
  <c r="S179" i="34" s="1" a="1"/>
  <c r="S179" i="34" s="1"/>
  <c r="R286" i="34"/>
  <c r="S286" i="34" s="1" a="1"/>
  <c r="S286" i="34" s="1"/>
  <c r="U125" i="34"/>
  <c r="AB155" i="34"/>
  <c r="U245" i="34"/>
  <c r="U41" i="34"/>
  <c r="AB59" i="34"/>
  <c r="AB74" i="34"/>
  <c r="AB75" i="34"/>
  <c r="R98" i="34"/>
  <c r="S98" i="34" s="1" a="1"/>
  <c r="S98" i="34" s="1"/>
  <c r="U114" i="34"/>
  <c r="Y126" i="34"/>
  <c r="Z126" i="34" s="1" a="1"/>
  <c r="Z126" i="34" s="1"/>
  <c r="U131" i="34"/>
  <c r="U145" i="34"/>
  <c r="R153" i="34"/>
  <c r="S153" i="34" s="1" a="1"/>
  <c r="S153" i="34" s="1"/>
  <c r="P153" i="34" a="1"/>
  <c r="P153" i="34" s="1"/>
  <c r="R161" i="34"/>
  <c r="S161" i="34" s="1" a="1"/>
  <c r="S161" i="34" s="1"/>
  <c r="AB171" i="34"/>
  <c r="R196" i="34"/>
  <c r="S196" i="34" s="1" a="1"/>
  <c r="S196" i="34" s="1"/>
  <c r="R204" i="34"/>
  <c r="S204" i="34" s="1" a="1"/>
  <c r="S204" i="34" s="1"/>
  <c r="R252" i="34"/>
  <c r="S252" i="34" s="1" a="1"/>
  <c r="S252" i="34" s="1"/>
  <c r="R282" i="34"/>
  <c r="S282" i="34" s="1" a="1"/>
  <c r="S282" i="34" s="1"/>
  <c r="Y157" i="34"/>
  <c r="Z157" i="34" s="1" a="1"/>
  <c r="Z157" i="34" s="1"/>
  <c r="U229" i="34"/>
  <c r="P229" i="34" a="1"/>
  <c r="P229" i="34" s="1"/>
  <c r="U282" i="34"/>
  <c r="Y133" i="34"/>
  <c r="Z133" i="34" s="1" a="1"/>
  <c r="Z133" i="34" s="1"/>
  <c r="AB129" i="34"/>
  <c r="U152" i="34"/>
  <c r="U188" i="34"/>
  <c r="Y208" i="34"/>
  <c r="Z208" i="34" s="1" a="1"/>
  <c r="Z208" i="34" s="1"/>
  <c r="AB217" i="34"/>
  <c r="Y267" i="34"/>
  <c r="Z267" i="34" s="1" a="1"/>
  <c r="Z267" i="34" s="1"/>
  <c r="R272" i="34"/>
  <c r="S272" i="34" s="1" a="1"/>
  <c r="S272" i="34" s="1"/>
  <c r="U279" i="34"/>
  <c r="U298" i="34"/>
  <c r="AB220" i="34"/>
  <c r="AB260" i="34"/>
  <c r="Y288" i="34"/>
  <c r="Z288" i="34" s="1" a="1"/>
  <c r="Z288" i="34" s="1"/>
  <c r="Y138" i="34"/>
  <c r="Z138" i="34" s="1" a="1"/>
  <c r="Z138" i="34" s="1"/>
  <c r="Y142" i="34"/>
  <c r="Z142" i="34" s="1" a="1"/>
  <c r="Z142" i="34" s="1"/>
  <c r="Y152" i="34"/>
  <c r="Z152" i="34" s="1" a="1"/>
  <c r="Z152" i="34" s="1"/>
  <c r="P205" i="34" a="1"/>
  <c r="P205" i="34" s="1"/>
  <c r="R206" i="34"/>
  <c r="S206" i="34" s="1" a="1"/>
  <c r="S206" i="34" s="1"/>
  <c r="U210" i="34"/>
  <c r="AB238" i="34"/>
  <c r="AB252" i="34"/>
  <c r="P271" i="34" a="1"/>
  <c r="P271" i="34" s="1"/>
  <c r="R278" i="34"/>
  <c r="S278" i="34" s="1" a="1"/>
  <c r="S278" i="34" s="1"/>
  <c r="R88" i="34"/>
  <c r="S88" i="34" s="1" a="1"/>
  <c r="S88" i="34" s="1"/>
  <c r="AB202" i="34"/>
  <c r="R290" i="34"/>
  <c r="S290" i="34" s="1" a="1"/>
  <c r="S290" i="34" s="1"/>
  <c r="AB298" i="34"/>
  <c r="U250" i="34"/>
  <c r="U256" i="34"/>
  <c r="U293" i="34"/>
  <c r="Y159" i="34"/>
  <c r="Z159" i="34" s="1" a="1"/>
  <c r="Z159" i="34" s="1"/>
  <c r="AB200" i="34"/>
  <c r="AB206" i="34"/>
  <c r="U217" i="34"/>
  <c r="R280" i="34"/>
  <c r="S280" i="34" s="1" a="1"/>
  <c r="S280" i="34" s="1"/>
  <c r="R292" i="34"/>
  <c r="S292" i="34" s="1" a="1"/>
  <c r="S292" i="34" s="1"/>
  <c r="P230" i="34" a="1"/>
  <c r="P230" i="34" s="1"/>
  <c r="R267" i="34"/>
  <c r="S267" i="34" s="1" a="1"/>
  <c r="S267" i="34" s="1"/>
  <c r="AB278" i="34"/>
  <c r="U280" i="34"/>
  <c r="P292" i="34" a="1"/>
  <c r="P292" i="34" s="1"/>
  <c r="AB125" i="34"/>
  <c r="P150" i="34" a="1"/>
  <c r="P150" i="34" s="1"/>
  <c r="P216" i="34" a="1"/>
  <c r="P216" i="34" s="1"/>
  <c r="R216" i="34"/>
  <c r="S216" i="34" s="1" a="1"/>
  <c r="S216" i="34" s="1"/>
  <c r="Y236" i="34"/>
  <c r="Z236" i="34" s="1" a="1"/>
  <c r="Z236" i="34" s="1"/>
  <c r="Y274" i="34"/>
  <c r="Z274" i="34" s="1" a="1"/>
  <c r="Z274" i="34" s="1"/>
  <c r="R276" i="34"/>
  <c r="S276" i="34" s="1" a="1"/>
  <c r="S276" i="34" s="1"/>
  <c r="R301" i="34"/>
  <c r="S301" i="34" s="1" a="1"/>
  <c r="S301" i="34" s="1"/>
  <c r="U119" i="34"/>
  <c r="R122" i="34"/>
  <c r="S122" i="34" s="1" a="1"/>
  <c r="S122" i="34" s="1"/>
  <c r="R148" i="34"/>
  <c r="S148" i="34" s="1" a="1"/>
  <c r="S148" i="34" s="1"/>
  <c r="U156" i="34"/>
  <c r="Y158" i="34"/>
  <c r="Z158" i="34" s="1" a="1"/>
  <c r="Z158" i="34" s="1"/>
  <c r="U180" i="34"/>
  <c r="Y209" i="34"/>
  <c r="Z209" i="34" s="1" a="1"/>
  <c r="Z209" i="34" s="1"/>
  <c r="P241" i="34" a="1"/>
  <c r="P241" i="34" s="1"/>
  <c r="U241" i="34"/>
  <c r="U267" i="34"/>
  <c r="P285" i="34" a="1"/>
  <c r="P285" i="34" s="1"/>
  <c r="U285" i="34"/>
  <c r="Y299" i="34"/>
  <c r="Z299" i="34" s="1" a="1"/>
  <c r="Z299" i="34" s="1"/>
  <c r="U230" i="34"/>
  <c r="R235" i="34"/>
  <c r="S235" i="34" s="1" a="1"/>
  <c r="S235" i="34" s="1"/>
  <c r="P235" i="34" a="1"/>
  <c r="P235" i="34" s="1"/>
  <c r="U224" i="34"/>
  <c r="R234" i="34"/>
  <c r="S234" i="34" s="1" a="1"/>
  <c r="S234" i="34" s="1"/>
  <c r="Y262" i="34"/>
  <c r="Z262" i="34" s="1" a="1"/>
  <c r="Z262" i="34" s="1"/>
  <c r="R157" i="34"/>
  <c r="S157" i="34" s="1" a="1"/>
  <c r="S157" i="34" s="1"/>
  <c r="AB170" i="34"/>
  <c r="AB174" i="34"/>
  <c r="Y186" i="34"/>
  <c r="Z186" i="34" s="1" a="1"/>
  <c r="Z186" i="34" s="1"/>
  <c r="Y204" i="34"/>
  <c r="Z204" i="34" s="1" a="1"/>
  <c r="Z204" i="34" s="1"/>
  <c r="U209" i="34"/>
  <c r="AB219" i="34"/>
  <c r="Y251" i="34"/>
  <c r="Z251" i="34" s="1" a="1"/>
  <c r="Z251" i="34" s="1"/>
  <c r="AB281" i="34"/>
  <c r="U296" i="34"/>
  <c r="P296" i="34" a="1"/>
  <c r="P296" i="34" s="1"/>
  <c r="P299" i="34" a="1"/>
  <c r="P299" i="34" s="1"/>
  <c r="R299" i="34"/>
  <c r="S299" i="34" s="1" a="1"/>
  <c r="S299" i="34" s="1"/>
  <c r="AB301" i="34"/>
  <c r="R182" i="34"/>
  <c r="S182" i="34" s="1" a="1"/>
  <c r="S182" i="34" s="1"/>
  <c r="U183" i="34"/>
  <c r="U201" i="34"/>
  <c r="R222" i="34"/>
  <c r="S222" i="34" s="1" a="1"/>
  <c r="S222" i="34" s="1"/>
  <c r="U234" i="34"/>
  <c r="Y235" i="34"/>
  <c r="Z235" i="34" s="1" a="1"/>
  <c r="Z235" i="34" s="1"/>
  <c r="R240" i="34"/>
  <c r="S240" i="34" s="1" a="1"/>
  <c r="S240" i="34" s="1"/>
  <c r="AB242" i="34"/>
  <c r="AB251" i="34"/>
  <c r="U257" i="34"/>
  <c r="R260" i="34"/>
  <c r="S260" i="34" s="1" a="1"/>
  <c r="S260" i="34" s="1"/>
  <c r="R264" i="34"/>
  <c r="S264" i="34" s="1" a="1"/>
  <c r="S264" i="34" s="1"/>
  <c r="R268" i="34"/>
  <c r="S268" i="34" s="1" a="1"/>
  <c r="S268" i="34" s="1"/>
  <c r="Y273" i="34"/>
  <c r="Z273" i="34" s="1" a="1"/>
  <c r="Z273" i="34" s="1"/>
  <c r="Y300" i="34"/>
  <c r="Z300" i="34" s="1" a="1"/>
  <c r="Z300" i="34" s="1"/>
  <c r="Y194" i="34"/>
  <c r="Z194" i="34" s="1" a="1"/>
  <c r="Z194" i="34" s="1"/>
  <c r="AB201" i="34"/>
  <c r="AB272" i="34"/>
  <c r="Y296" i="34"/>
  <c r="Z296" i="34" s="1" a="1"/>
  <c r="Z296" i="34" s="1"/>
  <c r="R298" i="34"/>
  <c r="S298" i="34" s="1" a="1"/>
  <c r="S298" i="34" s="1"/>
  <c r="Y215" i="34"/>
  <c r="Z215" i="34" s="1" a="1"/>
  <c r="Z215" i="34" s="1"/>
  <c r="Y232" i="34"/>
  <c r="Z232" i="34" s="1" a="1"/>
  <c r="Z232" i="34" s="1"/>
  <c r="P255" i="34" a="1"/>
  <c r="P255" i="34" s="1"/>
  <c r="R266" i="34"/>
  <c r="S266" i="34" s="1" a="1"/>
  <c r="S266" i="34" s="1"/>
  <c r="Y275" i="34"/>
  <c r="Z275" i="34" s="1" a="1"/>
  <c r="Z275" i="34" s="1"/>
  <c r="P289" i="34" a="1"/>
  <c r="P289" i="34" s="1"/>
  <c r="U290" i="34"/>
  <c r="AB296" i="34"/>
  <c r="P185" i="34" a="1"/>
  <c r="P185" i="34" s="1"/>
  <c r="R185" i="34"/>
  <c r="S185" i="34" s="1" a="1"/>
  <c r="S185" i="34" s="1"/>
  <c r="R186" i="34"/>
  <c r="S186" i="34" s="1" a="1"/>
  <c r="S186" i="34" s="1"/>
  <c r="Y195" i="34"/>
  <c r="Z195" i="34" s="1" a="1"/>
  <c r="Z195" i="34" s="1"/>
  <c r="Y213" i="34"/>
  <c r="Z213" i="34" s="1" a="1"/>
  <c r="Z213" i="34" s="1"/>
  <c r="R218" i="34"/>
  <c r="S218" i="34" s="1" a="1"/>
  <c r="S218" i="34" s="1"/>
  <c r="U219" i="34"/>
  <c r="U278" i="34"/>
  <c r="Y279" i="34"/>
  <c r="Z279" i="34" s="1" a="1"/>
  <c r="Z279" i="34" s="1"/>
  <c r="AB283" i="34"/>
  <c r="U288" i="34"/>
  <c r="AB180" i="34"/>
  <c r="R202" i="34"/>
  <c r="S202" i="34" s="1" a="1"/>
  <c r="S202" i="34" s="1"/>
  <c r="Y212" i="34"/>
  <c r="Z212" i="34" s="1" a="1"/>
  <c r="Z212" i="34" s="1"/>
  <c r="R224" i="34"/>
  <c r="S224" i="34" s="1" a="1"/>
  <c r="S224" i="34" s="1"/>
  <c r="Y263" i="34"/>
  <c r="Z263" i="34" s="1" a="1"/>
  <c r="Z263" i="34" s="1"/>
  <c r="AB269" i="34"/>
  <c r="Y278" i="34"/>
  <c r="Z278" i="34" s="1" a="1"/>
  <c r="Z278" i="34" s="1"/>
  <c r="Y283" i="34"/>
  <c r="Z283" i="34" s="1" a="1"/>
  <c r="Z283" i="34" s="1"/>
  <c r="R285" i="34"/>
  <c r="S285" i="34" s="1" a="1"/>
  <c r="S285" i="34" s="1"/>
  <c r="Y176" i="34"/>
  <c r="Z176" i="34" s="1" a="1"/>
  <c r="Z176" i="34" s="1"/>
  <c r="Y229" i="34"/>
  <c r="Z229" i="34" s="1" a="1"/>
  <c r="Z229" i="34" s="1"/>
  <c r="R245" i="34"/>
  <c r="S245" i="34" s="1" a="1"/>
  <c r="S245" i="34" s="1"/>
  <c r="AB247" i="34"/>
  <c r="U251" i="34"/>
  <c r="AB262" i="34"/>
  <c r="Y202" i="34"/>
  <c r="Z202" i="34" s="1" a="1"/>
  <c r="Z202" i="34" s="1"/>
  <c r="P254" i="34" a="1"/>
  <c r="P254" i="34" s="1"/>
  <c r="R254" i="34"/>
  <c r="S254" i="34" s="1" a="1"/>
  <c r="S254" i="34" s="1"/>
  <c r="U260" i="34"/>
  <c r="Y271" i="34"/>
  <c r="Z271" i="34" s="1" a="1"/>
  <c r="Z271" i="34" s="1"/>
  <c r="R279" i="34"/>
  <c r="S279" i="34" s="1" a="1"/>
  <c r="S279" i="34" s="1"/>
  <c r="U168" i="34"/>
  <c r="R183" i="34"/>
  <c r="S183" i="34" s="1" a="1"/>
  <c r="S183" i="34" s="1"/>
  <c r="R184" i="34"/>
  <c r="S184" i="34" s="1" a="1"/>
  <c r="S184" i="34" s="1"/>
  <c r="AB203" i="34"/>
  <c r="Y222" i="34"/>
  <c r="Z222" i="34" s="1" a="1"/>
  <c r="Z222" i="34" s="1"/>
  <c r="AB271" i="34"/>
  <c r="Y276" i="34"/>
  <c r="Z276" i="34" s="1" a="1"/>
  <c r="Z276" i="34" s="1"/>
  <c r="AB208" i="34"/>
  <c r="Y298" i="34"/>
  <c r="Z298" i="34" s="1" a="1"/>
  <c r="Z298" i="34" s="1"/>
  <c r="AB244" i="34"/>
  <c r="U289" i="34"/>
  <c r="U301" i="34"/>
  <c r="Y181" i="34"/>
  <c r="Z181" i="34" s="1" a="1"/>
  <c r="Z181" i="34" s="1"/>
  <c r="U232" i="34"/>
  <c r="U248" i="34"/>
  <c r="AB282" i="34"/>
  <c r="Y291" i="34"/>
  <c r="Z291" i="34" s="1" a="1"/>
  <c r="Z291" i="34" s="1"/>
  <c r="Y302" i="34"/>
  <c r="Z302" i="34" s="1" a="1"/>
  <c r="Z302" i="34" s="1"/>
  <c r="R213" i="34"/>
  <c r="S213" i="34" s="1" a="1"/>
  <c r="S213" i="34" s="1"/>
  <c r="U228" i="34"/>
  <c r="Y242" i="34"/>
  <c r="Z242" i="34" s="1" a="1"/>
  <c r="Z242" i="34" s="1"/>
  <c r="Y281" i="34"/>
  <c r="Z281" i="34" s="1" a="1"/>
  <c r="Z281" i="34" s="1"/>
  <c r="R253" i="34"/>
  <c r="S253" i="34" s="1" a="1"/>
  <c r="S253" i="34" s="1"/>
  <c r="R219" i="34"/>
  <c r="S219" i="34" s="1" a="1"/>
  <c r="S219" i="34" s="1"/>
  <c r="Y264" i="34"/>
  <c r="Z264" i="34" s="1" a="1"/>
  <c r="Z264" i="34" s="1"/>
  <c r="U295" i="34"/>
  <c r="U218" i="34"/>
  <c r="AB241" i="34"/>
  <c r="Y256" i="34"/>
  <c r="Z256" i="34" s="1" a="1"/>
  <c r="Z256" i="34" s="1"/>
  <c r="AB270" i="34"/>
  <c r="Y290" i="34"/>
  <c r="Z290" i="34" s="1" a="1"/>
  <c r="Z290" i="34" s="1"/>
  <c r="AB292" i="34"/>
  <c r="U274" i="34"/>
  <c r="AB302" i="34"/>
  <c r="I163" i="37" l="1" a="1"/>
  <c r="I163" i="37" s="1"/>
  <c r="I62" i="37" a="1"/>
  <c r="I62" i="37" s="1"/>
  <c r="I65" i="37" a="1"/>
  <c r="I65" i="37" s="1"/>
  <c r="I23" i="37" a="1"/>
  <c r="I23" i="37" s="1"/>
  <c r="I104" i="37" a="1"/>
  <c r="I104" i="37" s="1"/>
  <c r="I185" i="37" a="1"/>
  <c r="I185" i="37" s="1"/>
  <c r="I43" i="37" a="1"/>
  <c r="I43" i="37" s="1"/>
  <c r="I22" i="37" a="1"/>
  <c r="I22" i="37" s="1"/>
  <c r="I7" i="37" a="1"/>
  <c r="I7" i="37" s="1"/>
  <c r="I67" i="37" a="1"/>
  <c r="I67" i="37" s="1"/>
  <c r="I89" i="37" a="1"/>
  <c r="I89" i="37" s="1"/>
  <c r="V11" i="3"/>
  <c r="V10" i="3"/>
  <c r="V4" i="3"/>
  <c r="V5" i="3"/>
  <c r="P582" i="34" a="1"/>
  <c r="P582" i="34" s="1"/>
  <c r="P581" i="34" a="1"/>
  <c r="P581" i="34" s="1"/>
  <c r="P580" i="34" a="1"/>
  <c r="P580" i="34" s="1"/>
  <c r="P579" i="34" a="1"/>
  <c r="P579" i="34" s="1"/>
  <c r="P578" i="34" a="1"/>
  <c r="P578" i="34" s="1"/>
  <c r="P577" i="34" a="1"/>
  <c r="P577" i="34" s="1"/>
  <c r="P576" i="34" a="1"/>
  <c r="P576" i="34" s="1"/>
  <c r="P575" i="34" a="1"/>
  <c r="P575" i="34" s="1"/>
  <c r="P574" i="34" a="1"/>
  <c r="P574" i="34" s="1"/>
  <c r="P573" i="34" a="1"/>
  <c r="P573" i="34" s="1"/>
  <c r="P572" i="34" a="1"/>
  <c r="P572" i="34" s="1"/>
  <c r="P571" i="34" a="1"/>
  <c r="P571" i="34" s="1"/>
  <c r="P570" i="34" a="1"/>
  <c r="P570" i="34" s="1"/>
  <c r="P569" i="34" a="1"/>
  <c r="P569" i="34" s="1"/>
  <c r="P568" i="34" a="1"/>
  <c r="P568" i="34" s="1"/>
  <c r="P567" i="34" a="1"/>
  <c r="P567" i="34" s="1"/>
  <c r="P566" i="34" a="1"/>
  <c r="P566" i="34" s="1"/>
  <c r="P565" i="34" a="1"/>
  <c r="P565" i="34" s="1"/>
  <c r="P564" i="34" a="1"/>
  <c r="P564" i="34" s="1"/>
  <c r="P563" i="34" a="1"/>
  <c r="P563" i="34" s="1"/>
  <c r="P562" i="34" a="1"/>
  <c r="P562" i="34" s="1"/>
  <c r="P561" i="34" a="1"/>
  <c r="P561" i="34" s="1"/>
  <c r="P560" i="34" a="1"/>
  <c r="P560" i="34" s="1"/>
  <c r="P559" i="34" a="1"/>
  <c r="P559" i="34" s="1"/>
  <c r="P558" i="34" a="1"/>
  <c r="P558" i="34" s="1"/>
  <c r="P557" i="34" a="1"/>
  <c r="P557" i="34" s="1"/>
  <c r="P556" i="34" a="1"/>
  <c r="P556" i="34" s="1"/>
  <c r="P555" i="34" a="1"/>
  <c r="P555" i="34" s="1"/>
  <c r="P554" i="34" a="1"/>
  <c r="P554" i="34" s="1"/>
  <c r="P553" i="34" a="1"/>
  <c r="P553" i="34" s="1"/>
  <c r="P552" i="34" a="1"/>
  <c r="P552" i="34" s="1"/>
  <c r="P551" i="34" a="1"/>
  <c r="P551" i="34" s="1"/>
  <c r="P550" i="34" a="1"/>
  <c r="P550" i="34" s="1"/>
  <c r="P549" i="34" a="1"/>
  <c r="P549" i="34" s="1"/>
  <c r="P548" i="34" a="1"/>
  <c r="P548" i="34" s="1"/>
  <c r="P547" i="34" a="1"/>
  <c r="P547" i="34" s="1"/>
  <c r="P546" i="34" a="1"/>
  <c r="P546" i="34" s="1"/>
  <c r="P545" i="34" a="1"/>
  <c r="P545" i="34" s="1"/>
  <c r="P544" i="34" a="1"/>
  <c r="P544" i="34" s="1"/>
  <c r="P543" i="34" a="1"/>
  <c r="P543" i="34" s="1"/>
  <c r="P542" i="34" a="1"/>
  <c r="P542" i="34" s="1"/>
  <c r="P541" i="34" a="1"/>
  <c r="P541" i="34" s="1"/>
  <c r="P540" i="34" a="1"/>
  <c r="P540" i="34" s="1"/>
  <c r="P539" i="34" a="1"/>
  <c r="P539" i="34" s="1"/>
  <c r="P538" i="34" a="1"/>
  <c r="P538" i="34" s="1"/>
  <c r="P537" i="34" a="1"/>
  <c r="P537" i="34" s="1"/>
  <c r="P536" i="34" a="1"/>
  <c r="P536" i="34" s="1"/>
  <c r="P535" i="34" a="1"/>
  <c r="P535" i="34" s="1"/>
  <c r="P534" i="34" a="1"/>
  <c r="P534" i="34" s="1"/>
  <c r="P533" i="34" a="1"/>
  <c r="P533" i="34" s="1"/>
  <c r="P532" i="34" a="1"/>
  <c r="P532" i="34" s="1"/>
  <c r="P531" i="34" a="1"/>
  <c r="P531" i="34" s="1"/>
  <c r="P530" i="34" a="1"/>
  <c r="P530" i="34" s="1"/>
  <c r="P529" i="34" a="1"/>
  <c r="P529" i="34" s="1"/>
  <c r="P528" i="34" a="1"/>
  <c r="P528" i="34" s="1"/>
  <c r="P527" i="34" a="1"/>
  <c r="P527" i="34" s="1"/>
  <c r="P526" i="34" a="1"/>
  <c r="P526" i="34" s="1"/>
  <c r="P525" i="34" a="1"/>
  <c r="P525" i="34" s="1"/>
  <c r="P524" i="34" a="1"/>
  <c r="P524" i="34" s="1"/>
  <c r="P523" i="34" a="1"/>
  <c r="P523" i="34" s="1"/>
  <c r="P522" i="34" a="1"/>
  <c r="P522" i="34" s="1"/>
  <c r="P521" i="34" a="1"/>
  <c r="P521" i="34" s="1"/>
  <c r="P520" i="34" a="1"/>
  <c r="P520" i="34" s="1"/>
  <c r="P519" i="34" a="1"/>
  <c r="P519" i="34" s="1"/>
  <c r="P518" i="34" a="1"/>
  <c r="P518" i="34" s="1"/>
  <c r="P517" i="34" a="1"/>
  <c r="P517" i="34" s="1"/>
  <c r="P516" i="34" a="1"/>
  <c r="P516" i="34" s="1"/>
  <c r="P515" i="34" a="1"/>
  <c r="P515" i="34" s="1"/>
  <c r="P514" i="34" a="1"/>
  <c r="P514" i="34" s="1"/>
  <c r="P513" i="34" a="1"/>
  <c r="P513" i="34" s="1"/>
  <c r="P512" i="34" a="1"/>
  <c r="P512" i="34" s="1"/>
  <c r="P511" i="34" a="1"/>
  <c r="P511" i="34" s="1"/>
  <c r="P510" i="34" a="1"/>
  <c r="P510" i="34" s="1"/>
  <c r="P509" i="34" a="1"/>
  <c r="P509" i="34" s="1"/>
  <c r="P508" i="34" a="1"/>
  <c r="P508" i="34" s="1"/>
  <c r="P507" i="34" a="1"/>
  <c r="P507" i="34" s="1"/>
  <c r="P506" i="34" a="1"/>
  <c r="P506" i="34" s="1"/>
  <c r="P505" i="34" a="1"/>
  <c r="P505" i="34" s="1"/>
  <c r="P504" i="34" a="1"/>
  <c r="P504" i="34" s="1"/>
  <c r="P503" i="34" a="1"/>
  <c r="P503" i="34" s="1"/>
  <c r="P502" i="34" a="1"/>
  <c r="P502" i="34" s="1"/>
  <c r="P501" i="34" a="1"/>
  <c r="P501" i="34" s="1"/>
  <c r="P500" i="34" a="1"/>
  <c r="P500" i="34" s="1"/>
  <c r="P499" i="34" a="1"/>
  <c r="P499" i="34" s="1"/>
  <c r="P498" i="34" a="1"/>
  <c r="P498" i="34" s="1"/>
  <c r="P497" i="34" a="1"/>
  <c r="P497" i="34" s="1"/>
  <c r="P496" i="34" a="1"/>
  <c r="P496" i="34" s="1"/>
  <c r="P495" i="34" a="1"/>
  <c r="P495" i="34" s="1"/>
  <c r="P494" i="34" a="1"/>
  <c r="P494" i="34" s="1"/>
  <c r="P493" i="34" a="1"/>
  <c r="P493" i="34" s="1"/>
  <c r="P492" i="34" a="1"/>
  <c r="P492" i="34" s="1"/>
  <c r="P491" i="34" a="1"/>
  <c r="P491" i="34" s="1"/>
  <c r="P490" i="34" a="1"/>
  <c r="P490" i="34" s="1"/>
  <c r="P489" i="34" a="1"/>
  <c r="P489" i="34" s="1"/>
  <c r="P488" i="34" a="1"/>
  <c r="P488" i="34" s="1"/>
  <c r="P487" i="34" a="1"/>
  <c r="P487" i="34" s="1"/>
  <c r="P486" i="34" a="1"/>
  <c r="P486" i="34" s="1"/>
  <c r="P485" i="34" a="1"/>
  <c r="P485" i="34" s="1"/>
  <c r="P484" i="34" a="1"/>
  <c r="P484" i="34" s="1"/>
  <c r="P483" i="34" a="1"/>
  <c r="P483" i="34" s="1"/>
  <c r="P482" i="34" a="1"/>
  <c r="P482" i="34" s="1"/>
  <c r="P481" i="34" a="1"/>
  <c r="P481" i="34" s="1"/>
  <c r="P480" i="34" a="1"/>
  <c r="P480" i="34" s="1"/>
  <c r="P479" i="34" a="1"/>
  <c r="P479" i="34" s="1"/>
  <c r="P478" i="34" a="1"/>
  <c r="P478" i="34" s="1"/>
  <c r="P477" i="34" a="1"/>
  <c r="P477" i="34" s="1"/>
  <c r="P476" i="34" a="1"/>
  <c r="P476" i="34" s="1"/>
  <c r="P475" i="34" a="1"/>
  <c r="P475" i="34" s="1"/>
  <c r="P474" i="34" a="1"/>
  <c r="P474" i="34" s="1"/>
  <c r="P473" i="34" a="1"/>
  <c r="P473" i="34" s="1"/>
  <c r="P472" i="34" a="1"/>
  <c r="P472" i="34" s="1"/>
  <c r="P471" i="34" a="1"/>
  <c r="P471" i="34" s="1"/>
  <c r="P470" i="34" a="1"/>
  <c r="P470" i="34" s="1"/>
  <c r="P469" i="34" a="1"/>
  <c r="P469" i="34" s="1"/>
  <c r="P468" i="34" a="1"/>
  <c r="P468" i="34" s="1"/>
  <c r="P467" i="34" a="1"/>
  <c r="P467" i="34" s="1"/>
  <c r="P466" i="34" a="1"/>
  <c r="P466" i="34" s="1"/>
  <c r="P465" i="34" a="1"/>
  <c r="P465" i="34" s="1"/>
  <c r="P464" i="34" a="1"/>
  <c r="P464" i="34" s="1"/>
  <c r="P463" i="34" a="1"/>
  <c r="P463" i="34" s="1"/>
  <c r="P462" i="34" a="1"/>
  <c r="P462" i="34" s="1"/>
  <c r="P461" i="34" a="1"/>
  <c r="P461" i="34" s="1"/>
  <c r="P460" i="34" a="1"/>
  <c r="P460" i="34" s="1"/>
  <c r="P459" i="34" a="1"/>
  <c r="P459" i="34" s="1"/>
  <c r="P458" i="34" a="1"/>
  <c r="P458" i="34" s="1"/>
  <c r="P457" i="34" a="1"/>
  <c r="P457" i="34" s="1"/>
  <c r="P456" i="34" a="1"/>
  <c r="P456" i="34" s="1"/>
  <c r="P455" i="34" a="1"/>
  <c r="P455" i="34" s="1"/>
  <c r="P454" i="34" a="1"/>
  <c r="P454" i="34" s="1"/>
  <c r="P453" i="34" a="1"/>
  <c r="P453" i="34" s="1"/>
  <c r="P452" i="34" a="1"/>
  <c r="P452" i="34" s="1"/>
  <c r="P451" i="34" a="1"/>
  <c r="P451" i="34" s="1"/>
  <c r="P450" i="34" a="1"/>
  <c r="P450" i="34" s="1"/>
  <c r="P449" i="34" a="1"/>
  <c r="P449" i="34" s="1"/>
  <c r="P448" i="34" a="1"/>
  <c r="P448" i="34" s="1"/>
  <c r="P447" i="34" a="1"/>
  <c r="P447" i="34" s="1"/>
  <c r="P446" i="34" a="1"/>
  <c r="P446" i="34" s="1"/>
  <c r="P445" i="34" a="1"/>
  <c r="P445" i="34" s="1"/>
  <c r="P444" i="34" a="1"/>
  <c r="P444" i="34" s="1"/>
  <c r="P443" i="34" a="1"/>
  <c r="P443" i="34" s="1"/>
  <c r="P442" i="34" a="1"/>
  <c r="P442" i="34" s="1"/>
  <c r="P441" i="34" a="1"/>
  <c r="P441" i="34" s="1"/>
  <c r="P440" i="34" a="1"/>
  <c r="P440" i="34" s="1"/>
  <c r="P439" i="34" a="1"/>
  <c r="P439" i="34" s="1"/>
  <c r="P438" i="34" a="1"/>
  <c r="P438" i="34" s="1"/>
  <c r="P437" i="34" a="1"/>
  <c r="P437" i="34" s="1"/>
  <c r="P436" i="34" a="1"/>
  <c r="P436" i="34" s="1"/>
  <c r="P435" i="34" a="1"/>
  <c r="P435" i="34" s="1"/>
  <c r="P434" i="34" a="1"/>
  <c r="P434" i="34" s="1"/>
  <c r="P433" i="34" a="1"/>
  <c r="P433" i="34" s="1"/>
  <c r="P432" i="34" a="1"/>
  <c r="P432" i="34" s="1"/>
  <c r="P431" i="34" a="1"/>
  <c r="P431" i="34" s="1"/>
  <c r="P430" i="34" a="1"/>
  <c r="P430" i="34" s="1"/>
  <c r="P429" i="34" a="1"/>
  <c r="P429" i="34" s="1"/>
  <c r="P428" i="34" a="1"/>
  <c r="P428" i="34" s="1"/>
  <c r="P427" i="34" a="1"/>
  <c r="P427" i="34" s="1"/>
  <c r="P426" i="34" a="1"/>
  <c r="P426" i="34" s="1"/>
  <c r="P425" i="34" a="1"/>
  <c r="P425" i="34" s="1"/>
  <c r="P424" i="34" a="1"/>
  <c r="P424" i="34" s="1"/>
  <c r="P423" i="34" a="1"/>
  <c r="P423" i="34" s="1"/>
  <c r="P422" i="34" a="1"/>
  <c r="P422" i="34" s="1"/>
  <c r="P421" i="34" a="1"/>
  <c r="P421" i="34" s="1"/>
  <c r="P420" i="34" a="1"/>
  <c r="P420" i="34" s="1"/>
  <c r="P419" i="34" a="1"/>
  <c r="P419" i="34" s="1"/>
  <c r="P418" i="34" a="1"/>
  <c r="P418" i="34" s="1"/>
  <c r="P417" i="34" a="1"/>
  <c r="P417" i="34" s="1"/>
  <c r="P416" i="34" a="1"/>
  <c r="P416" i="34" s="1"/>
  <c r="P415" i="34" a="1"/>
  <c r="P415" i="34" s="1"/>
  <c r="P414" i="34" a="1"/>
  <c r="P414" i="34" s="1"/>
  <c r="P413" i="34" a="1"/>
  <c r="P413" i="34" s="1"/>
  <c r="P412" i="34" a="1"/>
  <c r="P412" i="34" s="1"/>
  <c r="P411" i="34" a="1"/>
  <c r="P411" i="34" s="1"/>
  <c r="P410" i="34" a="1"/>
  <c r="P410" i="34" s="1"/>
  <c r="P409" i="34" a="1"/>
  <c r="P409" i="34" s="1"/>
  <c r="P408" i="34" a="1"/>
  <c r="P408" i="34" s="1"/>
  <c r="P407" i="34" a="1"/>
  <c r="P407" i="34" s="1"/>
  <c r="P406" i="34" a="1"/>
  <c r="P406" i="34" s="1"/>
  <c r="P405" i="34" a="1"/>
  <c r="P405" i="34" s="1"/>
  <c r="P404" i="34" a="1"/>
  <c r="P404" i="34" s="1"/>
  <c r="P403" i="34" a="1"/>
  <c r="P403" i="34" s="1"/>
  <c r="P402" i="34" a="1"/>
  <c r="P402" i="34" s="1"/>
  <c r="P401" i="34" a="1"/>
  <c r="P401" i="34" s="1"/>
  <c r="P400" i="34" a="1"/>
  <c r="P400" i="34" s="1"/>
  <c r="P399" i="34" a="1"/>
  <c r="P399" i="34" s="1"/>
  <c r="P398" i="34" a="1"/>
  <c r="P398" i="34" s="1"/>
  <c r="P397" i="34" a="1"/>
  <c r="P397" i="34" s="1"/>
  <c r="P396" i="34" a="1"/>
  <c r="P396" i="34" s="1"/>
  <c r="P395" i="34" a="1"/>
  <c r="P395" i="34" s="1"/>
  <c r="P394" i="34" a="1"/>
  <c r="P394" i="34" s="1"/>
  <c r="P393" i="34" a="1"/>
  <c r="P393" i="34" s="1"/>
  <c r="P392" i="34" a="1"/>
  <c r="P392" i="34" s="1"/>
  <c r="P391" i="34" a="1"/>
  <c r="P391" i="34" s="1"/>
  <c r="P390" i="34" a="1"/>
  <c r="P390" i="34" s="1"/>
  <c r="P389" i="34" a="1"/>
  <c r="P389" i="34" s="1"/>
  <c r="P388" i="34" a="1"/>
  <c r="P388" i="34" s="1"/>
  <c r="P387" i="34" a="1"/>
  <c r="P387" i="34" s="1"/>
  <c r="P386" i="34" a="1"/>
  <c r="P386" i="34" s="1"/>
  <c r="P385" i="34" a="1"/>
  <c r="P385" i="34" s="1"/>
  <c r="P384" i="34" a="1"/>
  <c r="P384" i="34" s="1"/>
  <c r="P383" i="34" a="1"/>
  <c r="P383" i="34" s="1"/>
  <c r="P382" i="34" a="1"/>
  <c r="P382" i="34" s="1"/>
  <c r="P381" i="34" a="1"/>
  <c r="P381" i="34" s="1"/>
  <c r="P380" i="34" a="1"/>
  <c r="P380" i="34" s="1"/>
  <c r="P379" i="34" a="1"/>
  <c r="P379" i="34" s="1"/>
  <c r="P378" i="34" a="1"/>
  <c r="P378" i="34" s="1"/>
  <c r="P377" i="34" a="1"/>
  <c r="P377" i="34" s="1"/>
  <c r="P376" i="34" a="1"/>
  <c r="P376" i="34" s="1"/>
  <c r="P375" i="34" a="1"/>
  <c r="P375" i="34" s="1"/>
  <c r="P374" i="34" a="1"/>
  <c r="P374" i="34" s="1"/>
  <c r="P373" i="34" a="1"/>
  <c r="P373" i="34" s="1"/>
  <c r="P372" i="34" a="1"/>
  <c r="P372" i="34" s="1"/>
  <c r="P371" i="34" a="1"/>
  <c r="P371" i="34" s="1"/>
  <c r="P370" i="34" a="1"/>
  <c r="P370" i="34" s="1"/>
  <c r="P369" i="34" a="1"/>
  <c r="P369" i="34" s="1"/>
  <c r="P368" i="34" a="1"/>
  <c r="P368" i="34" s="1"/>
  <c r="P367" i="34" a="1"/>
  <c r="P367" i="34" s="1"/>
  <c r="P366" i="34" a="1"/>
  <c r="P366" i="34" s="1"/>
  <c r="P365" i="34" a="1"/>
  <c r="P365" i="34" s="1"/>
  <c r="P364" i="34" a="1"/>
  <c r="P364" i="34" s="1"/>
  <c r="P363" i="34" a="1"/>
  <c r="P363" i="34" s="1"/>
  <c r="P362" i="34" a="1"/>
  <c r="P362" i="34" s="1"/>
  <c r="P361" i="34" a="1"/>
  <c r="P361" i="34" s="1"/>
  <c r="P360" i="34" a="1"/>
  <c r="P360" i="34" s="1"/>
  <c r="P359" i="34" a="1"/>
  <c r="P359" i="34" s="1"/>
  <c r="P358" i="34" a="1"/>
  <c r="P358" i="34" s="1"/>
  <c r="P357" i="34" a="1"/>
  <c r="P357" i="34" s="1"/>
  <c r="P356" i="34" a="1"/>
  <c r="P356" i="34" s="1"/>
  <c r="P355" i="34" a="1"/>
  <c r="P355" i="34" s="1"/>
  <c r="P354" i="34" a="1"/>
  <c r="P354" i="34" s="1"/>
  <c r="P353" i="34" a="1"/>
  <c r="P353" i="34" s="1"/>
  <c r="P352" i="34" a="1"/>
  <c r="P352" i="34" s="1"/>
  <c r="P351" i="34" a="1"/>
  <c r="P351" i="34" s="1"/>
  <c r="P350" i="34" a="1"/>
  <c r="P350" i="34" s="1"/>
  <c r="P349" i="34" a="1"/>
  <c r="P349" i="34" s="1"/>
  <c r="P348" i="34" a="1"/>
  <c r="P348" i="34" s="1"/>
  <c r="P347" i="34" a="1"/>
  <c r="P347" i="34" s="1"/>
  <c r="P346" i="34" a="1"/>
  <c r="P346" i="34" s="1"/>
  <c r="P345" i="34" a="1"/>
  <c r="P345" i="34" s="1"/>
  <c r="P344" i="34" a="1"/>
  <c r="P344" i="34" s="1"/>
  <c r="P343" i="34" a="1"/>
  <c r="P343" i="34" s="1"/>
  <c r="P342" i="34" a="1"/>
  <c r="P342" i="34" s="1"/>
  <c r="P341" i="34" a="1"/>
  <c r="P341" i="34" s="1"/>
  <c r="P340" i="34" a="1"/>
  <c r="P340" i="34" s="1"/>
  <c r="P339" i="34" a="1"/>
  <c r="P339" i="34" s="1"/>
  <c r="P338" i="34" a="1"/>
  <c r="P338" i="34" s="1"/>
  <c r="P337" i="34" a="1"/>
  <c r="P337" i="34" s="1"/>
  <c r="P336" i="34" a="1"/>
  <c r="P336" i="34" s="1"/>
  <c r="P335" i="34" a="1"/>
  <c r="P335" i="34" s="1"/>
  <c r="P334" i="34" a="1"/>
  <c r="P334" i="34" s="1"/>
  <c r="P333" i="34" a="1"/>
  <c r="P333" i="34" s="1"/>
  <c r="P332" i="34" a="1"/>
  <c r="P332" i="34" s="1"/>
  <c r="P331" i="34" a="1"/>
  <c r="P331" i="34" s="1"/>
  <c r="P330" i="34" a="1"/>
  <c r="P330" i="34" s="1"/>
  <c r="P329" i="34" a="1"/>
  <c r="P329" i="34" s="1"/>
  <c r="P328" i="34" a="1"/>
  <c r="P328" i="34" s="1"/>
  <c r="P327" i="34" a="1"/>
  <c r="P327" i="34" s="1"/>
  <c r="P326" i="34" a="1"/>
  <c r="P326" i="34" s="1"/>
  <c r="P325" i="34" a="1"/>
  <c r="P325" i="34" s="1"/>
  <c r="P324" i="34" a="1"/>
  <c r="P324" i="34" s="1"/>
  <c r="P323" i="34" a="1"/>
  <c r="P323" i="34" s="1"/>
  <c r="P322" i="34" a="1"/>
  <c r="P322" i="34" s="1"/>
  <c r="P321" i="34" a="1"/>
  <c r="P321" i="34" s="1"/>
  <c r="P320" i="34" a="1"/>
  <c r="P320" i="34" s="1"/>
  <c r="P319" i="34" a="1"/>
  <c r="P319" i="34" s="1"/>
  <c r="P318" i="34" a="1"/>
  <c r="P318" i="34" s="1"/>
  <c r="P317" i="34" a="1"/>
  <c r="P317" i="34" s="1"/>
  <c r="P316" i="34" a="1"/>
  <c r="P316" i="34" s="1"/>
  <c r="P315" i="34" a="1"/>
  <c r="P315" i="34" s="1"/>
  <c r="P314" i="34" a="1"/>
  <c r="P314" i="34" s="1"/>
  <c r="P313" i="34" a="1"/>
  <c r="P313" i="34" s="1"/>
  <c r="P312" i="34" a="1"/>
  <c r="P312" i="34" s="1"/>
  <c r="P311" i="34" a="1"/>
  <c r="P311" i="34" s="1"/>
  <c r="P310" i="34" a="1"/>
  <c r="P310" i="34" s="1"/>
  <c r="P309" i="34" a="1"/>
  <c r="P309" i="34" s="1"/>
  <c r="P308" i="34" a="1"/>
  <c r="P308" i="34" s="1"/>
  <c r="P307" i="34" a="1"/>
  <c r="P307" i="34" s="1"/>
  <c r="P306" i="34" a="1"/>
  <c r="P306" i="34" s="1"/>
  <c r="P305" i="34" a="1"/>
  <c r="P305" i="34" s="1"/>
  <c r="P304" i="34" a="1"/>
  <c r="P304" i="34" s="1"/>
  <c r="J393" i="35"/>
  <c r="J392" i="35"/>
  <c r="J391" i="35"/>
  <c r="J390" i="35"/>
  <c r="J388" i="35"/>
  <c r="J387" i="35"/>
  <c r="J386" i="35"/>
  <c r="J385" i="35"/>
  <c r="J384" i="35"/>
  <c r="J383" i="35"/>
  <c r="J382" i="35"/>
  <c r="J381" i="35"/>
  <c r="J379" i="35"/>
  <c r="J378" i="35"/>
  <c r="J377" i="35"/>
  <c r="J376" i="35"/>
  <c r="J375" i="35"/>
  <c r="J374" i="35"/>
  <c r="J373" i="35"/>
  <c r="J372" i="35"/>
  <c r="J371" i="35"/>
  <c r="J370" i="35"/>
  <c r="J369" i="35"/>
  <c r="J367" i="35"/>
  <c r="J366" i="35"/>
  <c r="J365" i="35"/>
  <c r="J363" i="35"/>
  <c r="J362" i="35"/>
  <c r="J360" i="35"/>
  <c r="J359" i="35"/>
  <c r="J358" i="35"/>
  <c r="J357" i="35"/>
  <c r="J356" i="35"/>
  <c r="J355" i="35"/>
  <c r="J354" i="35"/>
  <c r="J353" i="35"/>
  <c r="J350" i="35"/>
  <c r="J348" i="35"/>
  <c r="J347" i="35"/>
  <c r="J346" i="35"/>
  <c r="J345" i="35"/>
  <c r="J344" i="35"/>
  <c r="J341" i="35"/>
  <c r="J339" i="35"/>
  <c r="J338" i="35"/>
  <c r="J337" i="35"/>
  <c r="J336" i="35"/>
  <c r="J335" i="35"/>
  <c r="J334" i="35"/>
  <c r="J333" i="35"/>
  <c r="J332" i="35"/>
  <c r="J329" i="35"/>
  <c r="J328" i="35"/>
  <c r="J327" i="35"/>
  <c r="J325" i="35"/>
  <c r="J324" i="35"/>
  <c r="J323" i="35"/>
  <c r="J322" i="35"/>
  <c r="J321" i="35"/>
  <c r="J320" i="35"/>
  <c r="J319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J305" i="35"/>
  <c r="J304" i="35"/>
  <c r="J303" i="35"/>
  <c r="J302" i="35"/>
  <c r="J300" i="35"/>
  <c r="J299" i="35"/>
  <c r="J298" i="35"/>
  <c r="J297" i="35"/>
  <c r="J296" i="35"/>
  <c r="J295" i="35"/>
  <c r="J294" i="35"/>
  <c r="J293" i="35"/>
  <c r="J292" i="35"/>
  <c r="J291" i="35"/>
  <c r="J290" i="35"/>
  <c r="J289" i="35"/>
  <c r="J288" i="35"/>
  <c r="J286" i="35"/>
  <c r="J285" i="35"/>
  <c r="J284" i="35"/>
  <c r="J282" i="35"/>
  <c r="J281" i="35"/>
  <c r="J279" i="35"/>
  <c r="J277" i="35"/>
  <c r="J276" i="35"/>
  <c r="J275" i="35"/>
  <c r="J274" i="35"/>
  <c r="J273" i="35"/>
  <c r="J272" i="35"/>
  <c r="J271" i="35"/>
  <c r="J270" i="35"/>
  <c r="J269" i="35"/>
  <c r="J266" i="35"/>
  <c r="J265" i="35"/>
  <c r="J264" i="35"/>
  <c r="J263" i="35"/>
  <c r="J260" i="35"/>
  <c r="J259" i="35"/>
  <c r="J258" i="35"/>
  <c r="J257" i="35"/>
  <c r="J256" i="35"/>
  <c r="J255" i="35"/>
  <c r="J254" i="35"/>
  <c r="J253" i="35"/>
  <c r="J251" i="35"/>
  <c r="J250" i="35"/>
  <c r="J248" i="35"/>
  <c r="J247" i="35"/>
  <c r="J246" i="35"/>
  <c r="J245" i="35"/>
  <c r="J244" i="35"/>
  <c r="J243" i="35"/>
  <c r="J242" i="35"/>
  <c r="J241" i="35"/>
  <c r="J240" i="35"/>
  <c r="J239" i="35"/>
  <c r="J238" i="35"/>
  <c r="J236" i="35"/>
  <c r="J235" i="35"/>
  <c r="J234" i="35"/>
  <c r="J233" i="35"/>
  <c r="J232" i="35"/>
  <c r="J231" i="35"/>
  <c r="J230" i="35"/>
  <c r="J228" i="35"/>
  <c r="J226" i="35"/>
  <c r="J225" i="35"/>
  <c r="J223" i="35"/>
  <c r="J221" i="35"/>
  <c r="J220" i="35"/>
  <c r="J219" i="35"/>
  <c r="J218" i="35"/>
  <c r="J217" i="35"/>
  <c r="J216" i="35"/>
  <c r="J215" i="35"/>
  <c r="J213" i="35"/>
  <c r="J212" i="35"/>
  <c r="J211" i="35"/>
  <c r="J210" i="35"/>
  <c r="J208" i="35"/>
  <c r="J207" i="35"/>
  <c r="J206" i="35"/>
  <c r="J204" i="35"/>
  <c r="J201" i="35"/>
  <c r="J200" i="35"/>
  <c r="J199" i="35"/>
  <c r="J198" i="35"/>
  <c r="J197" i="35"/>
  <c r="J196" i="35"/>
  <c r="J195" i="35"/>
  <c r="J194" i="35"/>
  <c r="J193" i="35"/>
  <c r="J192" i="35"/>
  <c r="J191" i="35"/>
  <c r="J190" i="35"/>
  <c r="J189" i="35"/>
  <c r="J187" i="35"/>
  <c r="J185" i="35"/>
  <c r="J184" i="35"/>
  <c r="J183" i="35"/>
  <c r="J182" i="35"/>
  <c r="J181" i="35"/>
  <c r="J180" i="35"/>
  <c r="J179" i="35"/>
  <c r="J178" i="35"/>
  <c r="J177" i="35"/>
  <c r="J176" i="35"/>
  <c r="J174" i="35"/>
  <c r="J172" i="35"/>
  <c r="J171" i="35"/>
  <c r="J169" i="35"/>
  <c r="J168" i="35"/>
  <c r="J167" i="35"/>
  <c r="J166" i="35"/>
  <c r="J165" i="35"/>
  <c r="J164" i="35"/>
  <c r="J163" i="35"/>
  <c r="J162" i="35"/>
  <c r="J161" i="35"/>
  <c r="J160" i="35"/>
  <c r="J159" i="35"/>
  <c r="J158" i="35"/>
  <c r="J157" i="35"/>
  <c r="J155" i="35"/>
  <c r="J154" i="35"/>
  <c r="J153" i="35"/>
  <c r="J151" i="35"/>
  <c r="J149" i="35"/>
  <c r="J148" i="35"/>
  <c r="J146" i="35"/>
  <c r="J145" i="35"/>
  <c r="J144" i="35"/>
  <c r="J142" i="35"/>
  <c r="J140" i="35"/>
  <c r="J139" i="35"/>
  <c r="J138" i="35"/>
  <c r="J137" i="35"/>
  <c r="J136" i="35"/>
  <c r="J134" i="35"/>
  <c r="J133" i="35"/>
  <c r="J131" i="35"/>
  <c r="J129" i="35"/>
  <c r="J128" i="35"/>
  <c r="J127" i="35"/>
  <c r="J126" i="35"/>
  <c r="J125" i="35"/>
  <c r="J124" i="35"/>
  <c r="J123" i="35"/>
  <c r="J122" i="35"/>
  <c r="J121" i="35"/>
  <c r="J120" i="35"/>
  <c r="J119" i="35"/>
  <c r="J118" i="35"/>
  <c r="J117" i="35"/>
  <c r="J116" i="35"/>
  <c r="J115" i="35"/>
  <c r="J114" i="35"/>
  <c r="J113" i="35"/>
  <c r="J112" i="35"/>
  <c r="J111" i="35"/>
  <c r="J110" i="35"/>
  <c r="J109" i="35"/>
  <c r="J108" i="35"/>
  <c r="J106" i="35"/>
  <c r="J105" i="35"/>
  <c r="J104" i="35"/>
  <c r="J103" i="35"/>
  <c r="J102" i="35"/>
  <c r="J101" i="35"/>
  <c r="J100" i="35"/>
  <c r="J99" i="35"/>
  <c r="J98" i="35"/>
  <c r="J97" i="35"/>
  <c r="J96" i="35"/>
  <c r="J95" i="35"/>
  <c r="J94" i="35"/>
  <c r="J93" i="35"/>
  <c r="J92" i="35"/>
  <c r="J91" i="35"/>
  <c r="J90" i="35"/>
  <c r="J89" i="35"/>
  <c r="J88" i="35"/>
  <c r="J87" i="35"/>
  <c r="J85" i="35"/>
  <c r="J83" i="35"/>
  <c r="J82" i="35"/>
  <c r="J80" i="35"/>
  <c r="J79" i="35"/>
  <c r="J77" i="35"/>
  <c r="J76" i="35"/>
  <c r="J74" i="35"/>
  <c r="J73" i="35"/>
  <c r="J72" i="35"/>
  <c r="J70" i="35"/>
  <c r="J68" i="35"/>
  <c r="J67" i="35"/>
  <c r="J66" i="35"/>
  <c r="J64" i="35"/>
  <c r="J63" i="35"/>
  <c r="J62" i="35"/>
  <c r="J61" i="35"/>
  <c r="J59" i="35"/>
  <c r="J58" i="35"/>
  <c r="J56" i="35"/>
  <c r="J55" i="35"/>
  <c r="J54" i="35"/>
  <c r="J53" i="35"/>
  <c r="J52" i="35"/>
  <c r="J50" i="35"/>
  <c r="J48" i="35"/>
  <c r="J46" i="35"/>
  <c r="J45" i="35"/>
  <c r="J44" i="35"/>
  <c r="J43" i="35"/>
  <c r="J42" i="35"/>
  <c r="J41" i="35"/>
  <c r="J39" i="35"/>
  <c r="J38" i="35"/>
  <c r="J36" i="35"/>
  <c r="J34" i="35"/>
  <c r="J33" i="35"/>
  <c r="J32" i="35"/>
  <c r="J30" i="35"/>
  <c r="J28" i="35"/>
  <c r="J27" i="35"/>
  <c r="J26" i="35"/>
  <c r="J25" i="35"/>
  <c r="J24" i="35"/>
  <c r="J22" i="35"/>
  <c r="J21" i="35"/>
  <c r="J20" i="35"/>
  <c r="J19" i="35"/>
  <c r="J17" i="35"/>
  <c r="J16" i="35"/>
  <c r="J15" i="35"/>
  <c r="J13" i="35"/>
  <c r="J12" i="35"/>
  <c r="J11" i="35"/>
  <c r="J10" i="35"/>
  <c r="J8" i="35"/>
  <c r="J7" i="35"/>
  <c r="AB215" i="36"/>
  <c r="Y215" i="36"/>
  <c r="Z215" i="36" s="1" a="1"/>
  <c r="Z215" i="36" s="1"/>
  <c r="U215" i="36"/>
  <c r="R215" i="36"/>
  <c r="S215" i="36" s="1" a="1"/>
  <c r="S215" i="36" s="1"/>
  <c r="P215" i="36" a="1"/>
  <c r="P215" i="36" s="1"/>
  <c r="J215" i="36" s="1"/>
  <c r="AB214" i="36"/>
  <c r="Y214" i="36"/>
  <c r="Z214" i="36" s="1" a="1"/>
  <c r="Z214" i="36" s="1"/>
  <c r="U214" i="36"/>
  <c r="R214" i="36"/>
  <c r="S214" i="36" s="1" a="1"/>
  <c r="S214" i="36" s="1"/>
  <c r="P214" i="36" a="1"/>
  <c r="P214" i="36" s="1"/>
  <c r="J214" i="36" s="1"/>
  <c r="AB213" i="36"/>
  <c r="Y213" i="36"/>
  <c r="Z213" i="36" s="1" a="1"/>
  <c r="Z213" i="36" s="1"/>
  <c r="U213" i="36"/>
  <c r="R213" i="36"/>
  <c r="S213" i="36" s="1" a="1"/>
  <c r="S213" i="36" s="1"/>
  <c r="P213" i="36" a="1"/>
  <c r="P213" i="36" s="1"/>
  <c r="J213" i="36" s="1"/>
  <c r="AB212" i="36"/>
  <c r="Y212" i="36"/>
  <c r="Z212" i="36" s="1" a="1"/>
  <c r="Z212" i="36" s="1"/>
  <c r="U212" i="36"/>
  <c r="R212" i="36"/>
  <c r="S212" i="36" s="1" a="1"/>
  <c r="S212" i="36" s="1"/>
  <c r="P212" i="36" a="1"/>
  <c r="P212" i="36" s="1"/>
  <c r="J212" i="36" s="1"/>
  <c r="AB211" i="36"/>
  <c r="Y211" i="36"/>
  <c r="Z211" i="36" s="1" a="1"/>
  <c r="Z211" i="36" s="1"/>
  <c r="U211" i="36"/>
  <c r="R211" i="36"/>
  <c r="S211" i="36" s="1" a="1"/>
  <c r="S211" i="36" s="1"/>
  <c r="P211" i="36" a="1"/>
  <c r="P211" i="36" s="1"/>
  <c r="J211" i="36" s="1"/>
  <c r="AB210" i="36"/>
  <c r="Y210" i="36"/>
  <c r="Z210" i="36" s="1" a="1"/>
  <c r="Z210" i="36" s="1"/>
  <c r="U210" i="36"/>
  <c r="R210" i="36"/>
  <c r="S210" i="36" s="1" a="1"/>
  <c r="S210" i="36" s="1"/>
  <c r="P210" i="36" a="1"/>
  <c r="P210" i="36" s="1"/>
  <c r="J210" i="36" s="1"/>
  <c r="AB209" i="36"/>
  <c r="Y209" i="36"/>
  <c r="Z209" i="36" s="1" a="1"/>
  <c r="Z209" i="36" s="1"/>
  <c r="U209" i="36"/>
  <c r="R209" i="36"/>
  <c r="S209" i="36" s="1" a="1"/>
  <c r="S209" i="36" s="1"/>
  <c r="P209" i="36" a="1"/>
  <c r="P209" i="36" s="1"/>
  <c r="J209" i="36" s="1"/>
  <c r="AB208" i="36"/>
  <c r="Y208" i="36"/>
  <c r="Z208" i="36" s="1" a="1"/>
  <c r="Z208" i="36" s="1"/>
  <c r="U208" i="36"/>
  <c r="R208" i="36"/>
  <c r="S208" i="36" s="1" a="1"/>
  <c r="S208" i="36" s="1"/>
  <c r="P208" i="36" a="1"/>
  <c r="P208" i="36" s="1"/>
  <c r="J208" i="36" s="1"/>
  <c r="AB207" i="36"/>
  <c r="Y207" i="36"/>
  <c r="Z207" i="36" s="1" a="1"/>
  <c r="Z207" i="36" s="1"/>
  <c r="U207" i="36"/>
  <c r="R207" i="36"/>
  <c r="S207" i="36" s="1" a="1"/>
  <c r="S207" i="36" s="1"/>
  <c r="P207" i="36" a="1"/>
  <c r="P207" i="36" s="1"/>
  <c r="J207" i="36" s="1"/>
  <c r="AB206" i="36"/>
  <c r="Y206" i="36"/>
  <c r="Z206" i="36" s="1" a="1"/>
  <c r="Z206" i="36" s="1"/>
  <c r="U206" i="36"/>
  <c r="R206" i="36"/>
  <c r="S206" i="36" s="1" a="1"/>
  <c r="S206" i="36" s="1"/>
  <c r="P206" i="36" a="1"/>
  <c r="P206" i="36" s="1"/>
  <c r="J206" i="36" s="1"/>
  <c r="AB205" i="36"/>
  <c r="Y205" i="36"/>
  <c r="Z205" i="36" s="1" a="1"/>
  <c r="Z205" i="36" s="1"/>
  <c r="U205" i="36"/>
  <c r="R205" i="36"/>
  <c r="S205" i="36" s="1" a="1"/>
  <c r="S205" i="36" s="1"/>
  <c r="P205" i="36" a="1"/>
  <c r="P205" i="36" s="1"/>
  <c r="J205" i="36" s="1"/>
  <c r="AB204" i="36"/>
  <c r="Y204" i="36"/>
  <c r="Z204" i="36" s="1" a="1"/>
  <c r="Z204" i="36" s="1"/>
  <c r="U204" i="36"/>
  <c r="R204" i="36"/>
  <c r="S204" i="36" s="1" a="1"/>
  <c r="S204" i="36" s="1"/>
  <c r="P204" i="36" a="1"/>
  <c r="P204" i="36" s="1"/>
  <c r="J204" i="36" s="1"/>
  <c r="AB203" i="36"/>
  <c r="Y203" i="36"/>
  <c r="Z203" i="36" s="1" a="1"/>
  <c r="Z203" i="36" s="1"/>
  <c r="U203" i="36"/>
  <c r="R203" i="36"/>
  <c r="S203" i="36" s="1" a="1"/>
  <c r="S203" i="36" s="1"/>
  <c r="P203" i="36" a="1"/>
  <c r="P203" i="36" s="1"/>
  <c r="J203" i="36" s="1"/>
  <c r="AB202" i="36"/>
  <c r="Y202" i="36"/>
  <c r="Z202" i="36" s="1" a="1"/>
  <c r="Z202" i="36" s="1"/>
  <c r="U202" i="36"/>
  <c r="R202" i="36"/>
  <c r="S202" i="36" s="1" a="1"/>
  <c r="S202" i="36" s="1"/>
  <c r="P202" i="36" a="1"/>
  <c r="P202" i="36" s="1"/>
  <c r="J202" i="36" s="1"/>
  <c r="AB201" i="36"/>
  <c r="Y201" i="36"/>
  <c r="Z201" i="36" s="1" a="1"/>
  <c r="Z201" i="36" s="1"/>
  <c r="U201" i="36"/>
  <c r="R201" i="36"/>
  <c r="S201" i="36" s="1" a="1"/>
  <c r="S201" i="36" s="1"/>
  <c r="P201" i="36" a="1"/>
  <c r="P201" i="36" s="1"/>
  <c r="J201" i="36" s="1"/>
  <c r="AB200" i="36"/>
  <c r="Y200" i="36"/>
  <c r="Z200" i="36" s="1" a="1"/>
  <c r="Z200" i="36" s="1"/>
  <c r="U200" i="36"/>
  <c r="R200" i="36"/>
  <c r="S200" i="36" s="1" a="1"/>
  <c r="S200" i="36" s="1"/>
  <c r="P200" i="36" a="1"/>
  <c r="P200" i="36" s="1"/>
  <c r="J200" i="36" s="1"/>
  <c r="AB199" i="36"/>
  <c r="Y199" i="36"/>
  <c r="Z199" i="36" s="1" a="1"/>
  <c r="Z199" i="36" s="1"/>
  <c r="U199" i="36"/>
  <c r="R199" i="36"/>
  <c r="S199" i="36" s="1" a="1"/>
  <c r="S199" i="36" s="1"/>
  <c r="P199" i="36" a="1"/>
  <c r="P199" i="36" s="1"/>
  <c r="J199" i="36" s="1"/>
  <c r="AB198" i="36"/>
  <c r="Y198" i="36"/>
  <c r="Z198" i="36" s="1" a="1"/>
  <c r="Z198" i="36" s="1"/>
  <c r="U198" i="36"/>
  <c r="R198" i="36"/>
  <c r="S198" i="36" s="1" a="1"/>
  <c r="S198" i="36" s="1"/>
  <c r="P198" i="36" a="1"/>
  <c r="P198" i="36" s="1"/>
  <c r="J198" i="36" s="1"/>
  <c r="AB197" i="36"/>
  <c r="Y197" i="36"/>
  <c r="Z197" i="36" s="1" a="1"/>
  <c r="Z197" i="36" s="1"/>
  <c r="U197" i="36"/>
  <c r="R197" i="36"/>
  <c r="S197" i="36" s="1" a="1"/>
  <c r="S197" i="36" s="1"/>
  <c r="P197" i="36" a="1"/>
  <c r="P197" i="36" s="1"/>
  <c r="J197" i="36" s="1"/>
  <c r="AB196" i="36"/>
  <c r="Y196" i="36"/>
  <c r="Z196" i="36" s="1" a="1"/>
  <c r="Z196" i="36" s="1"/>
  <c r="U196" i="36"/>
  <c r="R196" i="36"/>
  <c r="S196" i="36" s="1" a="1"/>
  <c r="S196" i="36" s="1"/>
  <c r="P196" i="36" a="1"/>
  <c r="P196" i="36" s="1"/>
  <c r="J196" i="36" s="1"/>
  <c r="AB195" i="36"/>
  <c r="Y195" i="36"/>
  <c r="Z195" i="36" s="1" a="1"/>
  <c r="Z195" i="36" s="1"/>
  <c r="U195" i="36"/>
  <c r="R195" i="36"/>
  <c r="S195" i="36" s="1" a="1"/>
  <c r="S195" i="36" s="1"/>
  <c r="P195" i="36" a="1"/>
  <c r="P195" i="36" s="1"/>
  <c r="J195" i="36" s="1"/>
  <c r="AB194" i="36"/>
  <c r="Y194" i="36"/>
  <c r="Z194" i="36" s="1" a="1"/>
  <c r="Z194" i="36" s="1"/>
  <c r="U194" i="36"/>
  <c r="R194" i="36"/>
  <c r="S194" i="36" s="1" a="1"/>
  <c r="S194" i="36" s="1"/>
  <c r="P194" i="36" a="1"/>
  <c r="P194" i="36" s="1"/>
  <c r="J194" i="36" s="1"/>
  <c r="AB193" i="36"/>
  <c r="Y193" i="36"/>
  <c r="Z193" i="36" s="1" a="1"/>
  <c r="Z193" i="36" s="1"/>
  <c r="U193" i="36"/>
  <c r="R193" i="36"/>
  <c r="S193" i="36" s="1" a="1"/>
  <c r="S193" i="36" s="1"/>
  <c r="P193" i="36" a="1"/>
  <c r="P193" i="36" s="1"/>
  <c r="J193" i="36" s="1"/>
  <c r="AB192" i="36"/>
  <c r="Y192" i="36"/>
  <c r="Z192" i="36" s="1" a="1"/>
  <c r="Z192" i="36" s="1"/>
  <c r="U192" i="36"/>
  <c r="R192" i="36"/>
  <c r="S192" i="36" s="1" a="1"/>
  <c r="S192" i="36" s="1"/>
  <c r="P192" i="36" a="1"/>
  <c r="P192" i="36" s="1"/>
  <c r="J192" i="36" s="1"/>
  <c r="AB191" i="36"/>
  <c r="Y191" i="36"/>
  <c r="Z191" i="36" s="1" a="1"/>
  <c r="Z191" i="36" s="1"/>
  <c r="U191" i="36"/>
  <c r="R191" i="36"/>
  <c r="S191" i="36" s="1" a="1"/>
  <c r="S191" i="36" s="1"/>
  <c r="P191" i="36" a="1"/>
  <c r="P191" i="36" s="1"/>
  <c r="J191" i="36" s="1"/>
  <c r="AB190" i="36"/>
  <c r="Y190" i="36"/>
  <c r="Z190" i="36" s="1" a="1"/>
  <c r="Z190" i="36" s="1"/>
  <c r="U190" i="36"/>
  <c r="R190" i="36"/>
  <c r="S190" i="36" s="1" a="1"/>
  <c r="S190" i="36" s="1"/>
  <c r="P190" i="36" a="1"/>
  <c r="P190" i="36" s="1"/>
  <c r="J190" i="36" s="1"/>
  <c r="AB189" i="36"/>
  <c r="Y189" i="36"/>
  <c r="Z189" i="36" s="1" a="1"/>
  <c r="Z189" i="36" s="1"/>
  <c r="U189" i="36"/>
  <c r="R189" i="36"/>
  <c r="S189" i="36" s="1" a="1"/>
  <c r="S189" i="36" s="1"/>
  <c r="P189" i="36" a="1"/>
  <c r="P189" i="36" s="1"/>
  <c r="J189" i="36" s="1"/>
  <c r="AB188" i="36"/>
  <c r="Y188" i="36"/>
  <c r="Z188" i="36" s="1" a="1"/>
  <c r="Z188" i="36" s="1"/>
  <c r="U188" i="36"/>
  <c r="R188" i="36"/>
  <c r="S188" i="36" s="1" a="1"/>
  <c r="S188" i="36" s="1"/>
  <c r="P188" i="36" a="1"/>
  <c r="P188" i="36" s="1"/>
  <c r="J188" i="36" s="1"/>
  <c r="AB187" i="36"/>
  <c r="Y187" i="36"/>
  <c r="Z187" i="36" s="1" a="1"/>
  <c r="Z187" i="36" s="1"/>
  <c r="U187" i="36"/>
  <c r="R187" i="36"/>
  <c r="S187" i="36" s="1" a="1"/>
  <c r="S187" i="36" s="1"/>
  <c r="P187" i="36" a="1"/>
  <c r="P187" i="36" s="1"/>
  <c r="J187" i="36" s="1"/>
  <c r="AB186" i="36"/>
  <c r="Y186" i="36"/>
  <c r="Z186" i="36" s="1" a="1"/>
  <c r="Z186" i="36" s="1"/>
  <c r="U186" i="36"/>
  <c r="R186" i="36"/>
  <c r="S186" i="36" s="1" a="1"/>
  <c r="S186" i="36" s="1"/>
  <c r="P186" i="36" a="1"/>
  <c r="P186" i="36" s="1"/>
  <c r="J186" i="36" s="1"/>
  <c r="AB185" i="36"/>
  <c r="Y185" i="36"/>
  <c r="Z185" i="36" s="1" a="1"/>
  <c r="Z185" i="36" s="1"/>
  <c r="U185" i="36"/>
  <c r="R185" i="36"/>
  <c r="S185" i="36" s="1" a="1"/>
  <c r="S185" i="36" s="1"/>
  <c r="P185" i="36" a="1"/>
  <c r="P185" i="36" s="1"/>
  <c r="J185" i="36" s="1"/>
  <c r="AB184" i="36"/>
  <c r="Y184" i="36"/>
  <c r="Z184" i="36" s="1" a="1"/>
  <c r="Z184" i="36" s="1"/>
  <c r="U184" i="36"/>
  <c r="R184" i="36"/>
  <c r="S184" i="36" s="1" a="1"/>
  <c r="S184" i="36" s="1"/>
  <c r="P184" i="36" a="1"/>
  <c r="P184" i="36" s="1"/>
  <c r="J184" i="36" s="1"/>
  <c r="AB183" i="36"/>
  <c r="Y183" i="36"/>
  <c r="Z183" i="36" s="1" a="1"/>
  <c r="Z183" i="36" s="1"/>
  <c r="U183" i="36"/>
  <c r="R183" i="36"/>
  <c r="S183" i="36" s="1" a="1"/>
  <c r="S183" i="36" s="1"/>
  <c r="P183" i="36" a="1"/>
  <c r="P183" i="36" s="1"/>
  <c r="J183" i="36" s="1"/>
  <c r="AB182" i="36"/>
  <c r="Y182" i="36"/>
  <c r="Z182" i="36" s="1" a="1"/>
  <c r="Z182" i="36" s="1"/>
  <c r="U182" i="36"/>
  <c r="R182" i="36"/>
  <c r="S182" i="36" s="1" a="1"/>
  <c r="S182" i="36" s="1"/>
  <c r="P182" i="36" a="1"/>
  <c r="P182" i="36" s="1"/>
  <c r="J182" i="36" s="1"/>
  <c r="AB181" i="36"/>
  <c r="Y181" i="36"/>
  <c r="Z181" i="36" s="1" a="1"/>
  <c r="Z181" i="36" s="1"/>
  <c r="U181" i="36"/>
  <c r="R181" i="36"/>
  <c r="S181" i="36" s="1" a="1"/>
  <c r="S181" i="36" s="1"/>
  <c r="P181" i="36" a="1"/>
  <c r="P181" i="36" s="1"/>
  <c r="J181" i="36" s="1"/>
  <c r="AB180" i="36"/>
  <c r="Y180" i="36"/>
  <c r="Z180" i="36" s="1" a="1"/>
  <c r="Z180" i="36" s="1"/>
  <c r="U180" i="36"/>
  <c r="R180" i="36"/>
  <c r="S180" i="36" s="1" a="1"/>
  <c r="S180" i="36" s="1"/>
  <c r="P180" i="36" a="1"/>
  <c r="P180" i="36" s="1"/>
  <c r="J180" i="36" s="1"/>
  <c r="AB179" i="36"/>
  <c r="Y179" i="36"/>
  <c r="Z179" i="36" s="1" a="1"/>
  <c r="Z179" i="36" s="1"/>
  <c r="U179" i="36"/>
  <c r="R179" i="36"/>
  <c r="S179" i="36" s="1" a="1"/>
  <c r="S179" i="36" s="1"/>
  <c r="P179" i="36" a="1"/>
  <c r="P179" i="36" s="1"/>
  <c r="J179" i="36" s="1"/>
  <c r="AB178" i="36"/>
  <c r="Y178" i="36"/>
  <c r="Z178" i="36" s="1" a="1"/>
  <c r="Z178" i="36" s="1"/>
  <c r="U178" i="36"/>
  <c r="R178" i="36"/>
  <c r="S178" i="36" s="1" a="1"/>
  <c r="S178" i="36" s="1"/>
  <c r="P178" i="36" a="1"/>
  <c r="P178" i="36" s="1"/>
  <c r="J178" i="36" s="1"/>
  <c r="AB177" i="36"/>
  <c r="Y177" i="36"/>
  <c r="Z177" i="36" s="1" a="1"/>
  <c r="Z177" i="36" s="1"/>
  <c r="U177" i="36"/>
  <c r="R177" i="36"/>
  <c r="S177" i="36" s="1" a="1"/>
  <c r="S177" i="36" s="1"/>
  <c r="P177" i="36" a="1"/>
  <c r="P177" i="36" s="1"/>
  <c r="J177" i="36" s="1"/>
  <c r="AB176" i="36"/>
  <c r="Y176" i="36"/>
  <c r="Z176" i="36" s="1" a="1"/>
  <c r="Z176" i="36" s="1"/>
  <c r="U176" i="36"/>
  <c r="R176" i="36"/>
  <c r="S176" i="36" s="1" a="1"/>
  <c r="S176" i="36" s="1"/>
  <c r="P176" i="36" a="1"/>
  <c r="P176" i="36" s="1"/>
  <c r="J176" i="36" s="1"/>
  <c r="AB175" i="36"/>
  <c r="Y175" i="36"/>
  <c r="Z175" i="36" s="1" a="1"/>
  <c r="Z175" i="36" s="1"/>
  <c r="U175" i="36"/>
  <c r="R175" i="36"/>
  <c r="S175" i="36" s="1" a="1"/>
  <c r="S175" i="36" s="1"/>
  <c r="P175" i="36" a="1"/>
  <c r="P175" i="36" s="1"/>
  <c r="J175" i="36" s="1"/>
  <c r="AB174" i="36"/>
  <c r="Y174" i="36"/>
  <c r="Z174" i="36" s="1" a="1"/>
  <c r="Z174" i="36" s="1"/>
  <c r="U174" i="36"/>
  <c r="R174" i="36"/>
  <c r="S174" i="36" s="1" a="1"/>
  <c r="S174" i="36" s="1"/>
  <c r="P174" i="36" a="1"/>
  <c r="P174" i="36" s="1"/>
  <c r="J174" i="36" s="1"/>
  <c r="AB173" i="36"/>
  <c r="Y173" i="36"/>
  <c r="Z173" i="36" s="1" a="1"/>
  <c r="Z173" i="36" s="1"/>
  <c r="U173" i="36"/>
  <c r="R173" i="36"/>
  <c r="S173" i="36" s="1" a="1"/>
  <c r="S173" i="36" s="1"/>
  <c r="P173" i="36" a="1"/>
  <c r="P173" i="36" s="1"/>
  <c r="J173" i="36" s="1"/>
  <c r="AB172" i="36"/>
  <c r="Y172" i="36"/>
  <c r="Z172" i="36" s="1" a="1"/>
  <c r="Z172" i="36" s="1"/>
  <c r="U172" i="36"/>
  <c r="R172" i="36"/>
  <c r="S172" i="36" s="1" a="1"/>
  <c r="S172" i="36" s="1"/>
  <c r="P172" i="36" a="1"/>
  <c r="P172" i="36" s="1"/>
  <c r="J172" i="36" s="1"/>
  <c r="AB171" i="36"/>
  <c r="Y171" i="36"/>
  <c r="Z171" i="36" s="1" a="1"/>
  <c r="Z171" i="36" s="1"/>
  <c r="U171" i="36"/>
  <c r="R171" i="36"/>
  <c r="S171" i="36" s="1" a="1"/>
  <c r="S171" i="36" s="1"/>
  <c r="P171" i="36" a="1"/>
  <c r="P171" i="36" s="1"/>
  <c r="J171" i="36" s="1"/>
  <c r="AB170" i="36"/>
  <c r="Y170" i="36"/>
  <c r="Z170" i="36" s="1" a="1"/>
  <c r="Z170" i="36" s="1"/>
  <c r="U170" i="36"/>
  <c r="R170" i="36"/>
  <c r="S170" i="36" s="1" a="1"/>
  <c r="S170" i="36" s="1"/>
  <c r="P170" i="36" a="1"/>
  <c r="P170" i="36" s="1"/>
  <c r="J170" i="36" s="1"/>
  <c r="AB169" i="36"/>
  <c r="Y169" i="36"/>
  <c r="Z169" i="36" s="1" a="1"/>
  <c r="Z169" i="36" s="1"/>
  <c r="U169" i="36"/>
  <c r="R169" i="36"/>
  <c r="S169" i="36" s="1" a="1"/>
  <c r="S169" i="36" s="1"/>
  <c r="P169" i="36" a="1"/>
  <c r="P169" i="36" s="1"/>
  <c r="J169" i="36" s="1"/>
  <c r="AB168" i="36"/>
  <c r="Y168" i="36"/>
  <c r="Z168" i="36" s="1" a="1"/>
  <c r="Z168" i="36" s="1"/>
  <c r="U168" i="36"/>
  <c r="R168" i="36"/>
  <c r="S168" i="36" s="1" a="1"/>
  <c r="S168" i="36" s="1"/>
  <c r="P168" i="36" a="1"/>
  <c r="P168" i="36" s="1"/>
  <c r="J168" i="36" s="1"/>
  <c r="AB167" i="36"/>
  <c r="Y167" i="36"/>
  <c r="Z167" i="36" s="1" a="1"/>
  <c r="Z167" i="36" s="1"/>
  <c r="U167" i="36"/>
  <c r="R167" i="36"/>
  <c r="S167" i="36" s="1" a="1"/>
  <c r="S167" i="36" s="1"/>
  <c r="P167" i="36" a="1"/>
  <c r="P167" i="36" s="1"/>
  <c r="J167" i="36" s="1"/>
  <c r="AB166" i="36"/>
  <c r="Y166" i="36"/>
  <c r="Z166" i="36" s="1" a="1"/>
  <c r="Z166" i="36" s="1"/>
  <c r="U166" i="36"/>
  <c r="R166" i="36"/>
  <c r="S166" i="36" s="1" a="1"/>
  <c r="S166" i="36" s="1"/>
  <c r="P166" i="36" a="1"/>
  <c r="P166" i="36" s="1"/>
  <c r="J166" i="36" s="1"/>
  <c r="AB165" i="36"/>
  <c r="Y165" i="36"/>
  <c r="Z165" i="36" s="1" a="1"/>
  <c r="Z165" i="36" s="1"/>
  <c r="U165" i="36"/>
  <c r="R165" i="36"/>
  <c r="S165" i="36" s="1" a="1"/>
  <c r="S165" i="36" s="1"/>
  <c r="P165" i="36" a="1"/>
  <c r="P165" i="36" s="1"/>
  <c r="J165" i="36" s="1"/>
  <c r="AB164" i="36"/>
  <c r="Y164" i="36"/>
  <c r="Z164" i="36" s="1" a="1"/>
  <c r="Z164" i="36" s="1"/>
  <c r="U164" i="36"/>
  <c r="R164" i="36"/>
  <c r="S164" i="36" s="1" a="1"/>
  <c r="S164" i="36" s="1"/>
  <c r="P164" i="36" a="1"/>
  <c r="P164" i="36" s="1"/>
  <c r="J164" i="36" s="1"/>
  <c r="AB163" i="36"/>
  <c r="Y163" i="36"/>
  <c r="Z163" i="36" s="1" a="1"/>
  <c r="Z163" i="36" s="1"/>
  <c r="U163" i="36"/>
  <c r="R163" i="36"/>
  <c r="S163" i="36" s="1" a="1"/>
  <c r="S163" i="36" s="1"/>
  <c r="P163" i="36" a="1"/>
  <c r="P163" i="36" s="1"/>
  <c r="J163" i="36" s="1"/>
  <c r="AB162" i="36"/>
  <c r="Y162" i="36"/>
  <c r="Z162" i="36" s="1" a="1"/>
  <c r="Z162" i="36" s="1"/>
  <c r="U162" i="36"/>
  <c r="R162" i="36"/>
  <c r="S162" i="36" s="1" a="1"/>
  <c r="S162" i="36" s="1"/>
  <c r="P162" i="36" a="1"/>
  <c r="P162" i="36" s="1"/>
  <c r="J162" i="36" s="1"/>
  <c r="AB161" i="36"/>
  <c r="Y161" i="36"/>
  <c r="Z161" i="36" s="1" a="1"/>
  <c r="Z161" i="36" s="1"/>
  <c r="U161" i="36"/>
  <c r="R161" i="36"/>
  <c r="S161" i="36" s="1" a="1"/>
  <c r="S161" i="36" s="1"/>
  <c r="P161" i="36" a="1"/>
  <c r="P161" i="36" s="1"/>
  <c r="J161" i="36" s="1"/>
  <c r="AB160" i="36"/>
  <c r="Y160" i="36"/>
  <c r="Z160" i="36" s="1" a="1"/>
  <c r="Z160" i="36" s="1"/>
  <c r="U160" i="36"/>
  <c r="R160" i="36"/>
  <c r="S160" i="36" s="1" a="1"/>
  <c r="S160" i="36" s="1"/>
  <c r="P160" i="36" a="1"/>
  <c r="P160" i="36" s="1"/>
  <c r="J160" i="36" s="1"/>
  <c r="AB159" i="36"/>
  <c r="Y159" i="36"/>
  <c r="Z159" i="36" s="1" a="1"/>
  <c r="Z159" i="36" s="1"/>
  <c r="U159" i="36"/>
  <c r="R159" i="36"/>
  <c r="S159" i="36" s="1" a="1"/>
  <c r="S159" i="36" s="1"/>
  <c r="P159" i="36" a="1"/>
  <c r="P159" i="36" s="1"/>
  <c r="J159" i="36" s="1"/>
  <c r="AB158" i="36"/>
  <c r="Y158" i="36"/>
  <c r="Z158" i="36" s="1" a="1"/>
  <c r="Z158" i="36" s="1"/>
  <c r="U158" i="36"/>
  <c r="R158" i="36"/>
  <c r="S158" i="36" s="1" a="1"/>
  <c r="S158" i="36" s="1"/>
  <c r="P158" i="36" a="1"/>
  <c r="P158" i="36" s="1"/>
  <c r="J158" i="36" s="1"/>
  <c r="AB157" i="36"/>
  <c r="Y157" i="36"/>
  <c r="Z157" i="36" s="1" a="1"/>
  <c r="Z157" i="36" s="1"/>
  <c r="U157" i="36"/>
  <c r="R157" i="36"/>
  <c r="S157" i="36" s="1" a="1"/>
  <c r="S157" i="36" s="1"/>
  <c r="P157" i="36" a="1"/>
  <c r="P157" i="36" s="1"/>
  <c r="J157" i="36" s="1"/>
  <c r="AB156" i="36"/>
  <c r="Y156" i="36"/>
  <c r="Z156" i="36" s="1" a="1"/>
  <c r="Z156" i="36" s="1"/>
  <c r="U156" i="36"/>
  <c r="R156" i="36"/>
  <c r="S156" i="36" s="1" a="1"/>
  <c r="S156" i="36" s="1"/>
  <c r="P156" i="36" a="1"/>
  <c r="P156" i="36" s="1"/>
  <c r="J156" i="36" s="1"/>
  <c r="AB155" i="36"/>
  <c r="Y155" i="36"/>
  <c r="Z155" i="36" s="1" a="1"/>
  <c r="Z155" i="36" s="1"/>
  <c r="U155" i="36"/>
  <c r="R155" i="36"/>
  <c r="S155" i="36" s="1" a="1"/>
  <c r="S155" i="36" s="1"/>
  <c r="P155" i="36" a="1"/>
  <c r="P155" i="36" s="1"/>
  <c r="J155" i="36" s="1"/>
  <c r="AB154" i="36"/>
  <c r="Y154" i="36"/>
  <c r="Z154" i="36" s="1" a="1"/>
  <c r="Z154" i="36" s="1"/>
  <c r="U154" i="36"/>
  <c r="R154" i="36"/>
  <c r="S154" i="36" s="1" a="1"/>
  <c r="S154" i="36" s="1"/>
  <c r="P154" i="36" a="1"/>
  <c r="P154" i="36" s="1"/>
  <c r="J154" i="36" s="1"/>
  <c r="AB153" i="36"/>
  <c r="Y153" i="36"/>
  <c r="Z153" i="36" s="1" a="1"/>
  <c r="Z153" i="36" s="1"/>
  <c r="U153" i="36"/>
  <c r="R153" i="36"/>
  <c r="S153" i="36" s="1" a="1"/>
  <c r="S153" i="36" s="1"/>
  <c r="P153" i="36" a="1"/>
  <c r="P153" i="36" s="1"/>
  <c r="J153" i="36" s="1"/>
  <c r="AB152" i="36"/>
  <c r="Y152" i="36"/>
  <c r="Z152" i="36" s="1" a="1"/>
  <c r="Z152" i="36" s="1"/>
  <c r="U152" i="36"/>
  <c r="R152" i="36"/>
  <c r="S152" i="36" s="1" a="1"/>
  <c r="S152" i="36" s="1"/>
  <c r="P152" i="36" a="1"/>
  <c r="P152" i="36" s="1"/>
  <c r="J152" i="36" s="1"/>
  <c r="AB151" i="36"/>
  <c r="Y151" i="36"/>
  <c r="Z151" i="36" s="1" a="1"/>
  <c r="Z151" i="36" s="1"/>
  <c r="U151" i="36"/>
  <c r="R151" i="36"/>
  <c r="S151" i="36" s="1" a="1"/>
  <c r="S151" i="36" s="1"/>
  <c r="P151" i="36" a="1"/>
  <c r="P151" i="36" s="1"/>
  <c r="J151" i="36" s="1"/>
  <c r="AB150" i="36"/>
  <c r="Y150" i="36"/>
  <c r="Z150" i="36" s="1" a="1"/>
  <c r="Z150" i="36" s="1"/>
  <c r="U150" i="36"/>
  <c r="R150" i="36"/>
  <c r="S150" i="36" s="1" a="1"/>
  <c r="S150" i="36" s="1"/>
  <c r="P150" i="36" a="1"/>
  <c r="P150" i="36" s="1"/>
  <c r="J150" i="36" s="1"/>
  <c r="AB149" i="36"/>
  <c r="Y149" i="36"/>
  <c r="Z149" i="36" s="1" a="1"/>
  <c r="Z149" i="36" s="1"/>
  <c r="U149" i="36"/>
  <c r="R149" i="36"/>
  <c r="S149" i="36" s="1" a="1"/>
  <c r="S149" i="36" s="1"/>
  <c r="P149" i="36" a="1"/>
  <c r="P149" i="36" s="1"/>
  <c r="J149" i="36" s="1"/>
  <c r="AB148" i="36"/>
  <c r="Y148" i="36"/>
  <c r="Z148" i="36" s="1" a="1"/>
  <c r="Z148" i="36" s="1"/>
  <c r="U148" i="36"/>
  <c r="R148" i="36"/>
  <c r="S148" i="36" s="1" a="1"/>
  <c r="S148" i="36" s="1"/>
  <c r="P148" i="36" a="1"/>
  <c r="P148" i="36" s="1"/>
  <c r="J148" i="36" s="1"/>
  <c r="AB147" i="36"/>
  <c r="Y147" i="36"/>
  <c r="Z147" i="36" s="1" a="1"/>
  <c r="Z147" i="36" s="1"/>
  <c r="U147" i="36"/>
  <c r="R147" i="36"/>
  <c r="S147" i="36" s="1" a="1"/>
  <c r="S147" i="36" s="1"/>
  <c r="P147" i="36" a="1"/>
  <c r="P147" i="36" s="1"/>
  <c r="J147" i="36" s="1"/>
  <c r="AB146" i="36"/>
  <c r="Y146" i="36"/>
  <c r="Z146" i="36" s="1" a="1"/>
  <c r="Z146" i="36" s="1"/>
  <c r="U146" i="36"/>
  <c r="R146" i="36"/>
  <c r="S146" i="36" s="1" a="1"/>
  <c r="S146" i="36" s="1"/>
  <c r="P146" i="36" a="1"/>
  <c r="P146" i="36" s="1"/>
  <c r="J146" i="36" s="1"/>
  <c r="AB145" i="36"/>
  <c r="Y145" i="36"/>
  <c r="Z145" i="36" s="1" a="1"/>
  <c r="Z145" i="36" s="1"/>
  <c r="U145" i="36"/>
  <c r="R145" i="36"/>
  <c r="S145" i="36" s="1" a="1"/>
  <c r="S145" i="36" s="1"/>
  <c r="P145" i="36" a="1"/>
  <c r="P145" i="36" s="1"/>
  <c r="J145" i="36" s="1"/>
  <c r="AB144" i="36"/>
  <c r="Y144" i="36"/>
  <c r="Z144" i="36" s="1" a="1"/>
  <c r="Z144" i="36" s="1"/>
  <c r="U144" i="36"/>
  <c r="R144" i="36"/>
  <c r="S144" i="36" s="1" a="1"/>
  <c r="S144" i="36" s="1"/>
  <c r="P144" i="36" a="1"/>
  <c r="P144" i="36" s="1"/>
  <c r="J144" i="36" s="1"/>
  <c r="AB143" i="36"/>
  <c r="Y143" i="36"/>
  <c r="Z143" i="36" s="1" a="1"/>
  <c r="Z143" i="36" s="1"/>
  <c r="U143" i="36"/>
  <c r="R143" i="36"/>
  <c r="S143" i="36" s="1" a="1"/>
  <c r="S143" i="36" s="1"/>
  <c r="P143" i="36" a="1"/>
  <c r="P143" i="36" s="1"/>
  <c r="J143" i="36" s="1"/>
  <c r="AB142" i="36"/>
  <c r="Y142" i="36"/>
  <c r="Z142" i="36" s="1" a="1"/>
  <c r="Z142" i="36" s="1"/>
  <c r="U142" i="36"/>
  <c r="R142" i="36"/>
  <c r="S142" i="36" s="1" a="1"/>
  <c r="S142" i="36" s="1"/>
  <c r="P142" i="36" a="1"/>
  <c r="P142" i="36" s="1"/>
  <c r="J142" i="36" s="1"/>
  <c r="AB141" i="36"/>
  <c r="Y141" i="36"/>
  <c r="Z141" i="36" s="1" a="1"/>
  <c r="Z141" i="36" s="1"/>
  <c r="U141" i="36"/>
  <c r="R141" i="36"/>
  <c r="S141" i="36" s="1" a="1"/>
  <c r="S141" i="36" s="1"/>
  <c r="P141" i="36" a="1"/>
  <c r="P141" i="36" s="1"/>
  <c r="J141" i="36" s="1"/>
  <c r="AB140" i="36"/>
  <c r="Y140" i="36"/>
  <c r="Z140" i="36" s="1" a="1"/>
  <c r="Z140" i="36" s="1"/>
  <c r="U140" i="36"/>
  <c r="R140" i="36"/>
  <c r="S140" i="36" s="1" a="1"/>
  <c r="S140" i="36" s="1"/>
  <c r="P140" i="36" a="1"/>
  <c r="P140" i="36" s="1"/>
  <c r="J140" i="36" s="1"/>
  <c r="AB139" i="36"/>
  <c r="Y139" i="36"/>
  <c r="Z139" i="36" s="1" a="1"/>
  <c r="Z139" i="36" s="1"/>
  <c r="U139" i="36"/>
  <c r="R139" i="36"/>
  <c r="S139" i="36" s="1" a="1"/>
  <c r="S139" i="36" s="1"/>
  <c r="P139" i="36" a="1"/>
  <c r="P139" i="36" s="1"/>
  <c r="J139" i="36" s="1"/>
  <c r="AB138" i="36"/>
  <c r="Y138" i="36"/>
  <c r="Z138" i="36" s="1" a="1"/>
  <c r="Z138" i="36" s="1"/>
  <c r="U138" i="36"/>
  <c r="R138" i="36"/>
  <c r="S138" i="36" s="1" a="1"/>
  <c r="S138" i="36" s="1"/>
  <c r="P138" i="36" a="1"/>
  <c r="P138" i="36" s="1"/>
  <c r="J138" i="36" s="1"/>
  <c r="AB137" i="36"/>
  <c r="Y137" i="36"/>
  <c r="Z137" i="36" s="1" a="1"/>
  <c r="Z137" i="36" s="1"/>
  <c r="U137" i="36"/>
  <c r="R137" i="36"/>
  <c r="S137" i="36" s="1" a="1"/>
  <c r="S137" i="36" s="1"/>
  <c r="P137" i="36" a="1"/>
  <c r="P137" i="36" s="1"/>
  <c r="J137" i="36" s="1"/>
  <c r="AB136" i="36"/>
  <c r="Y136" i="36"/>
  <c r="Z136" i="36" s="1" a="1"/>
  <c r="Z136" i="36" s="1"/>
  <c r="U136" i="36"/>
  <c r="R136" i="36"/>
  <c r="S136" i="36" s="1" a="1"/>
  <c r="S136" i="36" s="1"/>
  <c r="P136" i="36" a="1"/>
  <c r="P136" i="36" s="1"/>
  <c r="J136" i="36" s="1"/>
  <c r="AB135" i="36"/>
  <c r="Y135" i="36"/>
  <c r="Z135" i="36" s="1" a="1"/>
  <c r="Z135" i="36" s="1"/>
  <c r="U135" i="36"/>
  <c r="R135" i="36"/>
  <c r="S135" i="36" s="1" a="1"/>
  <c r="S135" i="36" s="1"/>
  <c r="P135" i="36" a="1"/>
  <c r="P135" i="36" s="1"/>
  <c r="J135" i="36" s="1"/>
  <c r="AB134" i="36"/>
  <c r="Y134" i="36"/>
  <c r="Z134" i="36" s="1" a="1"/>
  <c r="Z134" i="36" s="1"/>
  <c r="U134" i="36"/>
  <c r="R134" i="36"/>
  <c r="S134" i="36" s="1" a="1"/>
  <c r="S134" i="36" s="1"/>
  <c r="P134" i="36" a="1"/>
  <c r="P134" i="36" s="1"/>
  <c r="J134" i="36" s="1"/>
  <c r="AB133" i="36"/>
  <c r="Y133" i="36"/>
  <c r="Z133" i="36" s="1" a="1"/>
  <c r="Z133" i="36" s="1"/>
  <c r="U133" i="36"/>
  <c r="R133" i="36"/>
  <c r="S133" i="36" s="1" a="1"/>
  <c r="S133" i="36" s="1"/>
  <c r="P133" i="36" a="1"/>
  <c r="P133" i="36" s="1"/>
  <c r="J133" i="36" s="1"/>
  <c r="AB132" i="36"/>
  <c r="Y132" i="36"/>
  <c r="Z132" i="36" s="1" a="1"/>
  <c r="Z132" i="36" s="1"/>
  <c r="U132" i="36"/>
  <c r="R132" i="36"/>
  <c r="S132" i="36" s="1" a="1"/>
  <c r="S132" i="36" s="1"/>
  <c r="P132" i="36" a="1"/>
  <c r="P132" i="36" s="1"/>
  <c r="J132" i="36" s="1"/>
  <c r="AB131" i="36"/>
  <c r="Y131" i="36"/>
  <c r="Z131" i="36" s="1" a="1"/>
  <c r="Z131" i="36" s="1"/>
  <c r="U131" i="36"/>
  <c r="R131" i="36"/>
  <c r="S131" i="36" s="1" a="1"/>
  <c r="S131" i="36" s="1"/>
  <c r="P131" i="36" a="1"/>
  <c r="P131" i="36" s="1"/>
  <c r="J131" i="36" s="1"/>
  <c r="AB130" i="36"/>
  <c r="Y130" i="36"/>
  <c r="Z130" i="36" s="1" a="1"/>
  <c r="Z130" i="36" s="1"/>
  <c r="U130" i="36"/>
  <c r="R130" i="36"/>
  <c r="S130" i="36" s="1" a="1"/>
  <c r="S130" i="36" s="1"/>
  <c r="P130" i="36" a="1"/>
  <c r="P130" i="36" s="1"/>
  <c r="J130" i="36" s="1"/>
  <c r="AB129" i="36"/>
  <c r="Y129" i="36"/>
  <c r="Z129" i="36" s="1" a="1"/>
  <c r="Z129" i="36" s="1"/>
  <c r="U129" i="36"/>
  <c r="R129" i="36"/>
  <c r="S129" i="36" s="1" a="1"/>
  <c r="S129" i="36" s="1"/>
  <c r="P129" i="36" a="1"/>
  <c r="P129" i="36" s="1"/>
  <c r="J129" i="36" s="1"/>
  <c r="AB128" i="36"/>
  <c r="Y128" i="36"/>
  <c r="Z128" i="36" s="1" a="1"/>
  <c r="Z128" i="36" s="1"/>
  <c r="U128" i="36"/>
  <c r="R128" i="36"/>
  <c r="S128" i="36" s="1" a="1"/>
  <c r="S128" i="36" s="1"/>
  <c r="P128" i="36" a="1"/>
  <c r="P128" i="36" s="1"/>
  <c r="J128" i="36" s="1"/>
  <c r="AB127" i="36"/>
  <c r="Y127" i="36"/>
  <c r="Z127" i="36" s="1" a="1"/>
  <c r="Z127" i="36" s="1"/>
  <c r="U127" i="36"/>
  <c r="R127" i="36"/>
  <c r="S127" i="36" s="1" a="1"/>
  <c r="S127" i="36" s="1"/>
  <c r="P127" i="36" a="1"/>
  <c r="P127" i="36" s="1"/>
  <c r="J127" i="36" s="1"/>
  <c r="AB126" i="36"/>
  <c r="Y126" i="36"/>
  <c r="Z126" i="36" s="1" a="1"/>
  <c r="Z126" i="36" s="1"/>
  <c r="U126" i="36"/>
  <c r="R126" i="36"/>
  <c r="S126" i="36" s="1" a="1"/>
  <c r="S126" i="36" s="1"/>
  <c r="P126" i="36" a="1"/>
  <c r="P126" i="36" s="1"/>
  <c r="J126" i="36" s="1"/>
  <c r="AB125" i="36"/>
  <c r="Y125" i="36"/>
  <c r="Z125" i="36" s="1" a="1"/>
  <c r="Z125" i="36" s="1"/>
  <c r="U125" i="36"/>
  <c r="R125" i="36"/>
  <c r="S125" i="36" s="1" a="1"/>
  <c r="S125" i="36" s="1"/>
  <c r="P125" i="36" a="1"/>
  <c r="P125" i="36" s="1"/>
  <c r="J125" i="36" s="1"/>
  <c r="AB124" i="36"/>
  <c r="Y124" i="36"/>
  <c r="Z124" i="36" s="1" a="1"/>
  <c r="Z124" i="36" s="1"/>
  <c r="U124" i="36"/>
  <c r="R124" i="36"/>
  <c r="S124" i="36" s="1" a="1"/>
  <c r="S124" i="36" s="1"/>
  <c r="P124" i="36" a="1"/>
  <c r="P124" i="36" s="1"/>
  <c r="J124" i="36" s="1"/>
  <c r="AB123" i="36"/>
  <c r="Y123" i="36"/>
  <c r="Z123" i="36" s="1" a="1"/>
  <c r="Z123" i="36" s="1"/>
  <c r="U123" i="36"/>
  <c r="R123" i="36"/>
  <c r="S123" i="36" s="1" a="1"/>
  <c r="S123" i="36" s="1"/>
  <c r="P123" i="36" a="1"/>
  <c r="P123" i="36" s="1"/>
  <c r="AB122" i="36"/>
  <c r="Y122" i="36"/>
  <c r="Z122" i="36" s="1" a="1"/>
  <c r="Z122" i="36" s="1"/>
  <c r="U122" i="36"/>
  <c r="R122" i="36"/>
  <c r="S122" i="36" s="1" a="1"/>
  <c r="S122" i="36" s="1"/>
  <c r="P122" i="36" a="1"/>
  <c r="P122" i="36" s="1"/>
  <c r="J122" i="36" s="1"/>
  <c r="AB121" i="36"/>
  <c r="Y121" i="36"/>
  <c r="Z121" i="36" s="1" a="1"/>
  <c r="Z121" i="36" s="1"/>
  <c r="U121" i="36"/>
  <c r="R121" i="36"/>
  <c r="S121" i="36" s="1" a="1"/>
  <c r="S121" i="36" s="1"/>
  <c r="P121" i="36" a="1"/>
  <c r="P121" i="36" s="1"/>
  <c r="J121" i="36" s="1"/>
  <c r="AB120" i="36"/>
  <c r="Y120" i="36"/>
  <c r="Z120" i="36" s="1" a="1"/>
  <c r="Z120" i="36" s="1"/>
  <c r="U120" i="36"/>
  <c r="R120" i="36"/>
  <c r="S120" i="36" s="1" a="1"/>
  <c r="S120" i="36" s="1"/>
  <c r="P120" i="36" a="1"/>
  <c r="P120" i="36" s="1"/>
  <c r="J120" i="36" s="1"/>
  <c r="AB119" i="36"/>
  <c r="Y119" i="36"/>
  <c r="Z119" i="36" s="1" a="1"/>
  <c r="Z119" i="36" s="1"/>
  <c r="U119" i="36"/>
  <c r="R119" i="36"/>
  <c r="S119" i="36" s="1" a="1"/>
  <c r="S119" i="36" s="1"/>
  <c r="P119" i="36" a="1"/>
  <c r="P119" i="36" s="1"/>
  <c r="J119" i="36" s="1"/>
  <c r="AB118" i="36"/>
  <c r="Y118" i="36"/>
  <c r="Z118" i="36" s="1" a="1"/>
  <c r="Z118" i="36" s="1"/>
  <c r="U118" i="36"/>
  <c r="R118" i="36"/>
  <c r="S118" i="36" s="1" a="1"/>
  <c r="S118" i="36" s="1"/>
  <c r="P118" i="36" a="1"/>
  <c r="P118" i="36" s="1"/>
  <c r="J118" i="36" s="1"/>
  <c r="AB117" i="36"/>
  <c r="Y117" i="36"/>
  <c r="Z117" i="36" s="1" a="1"/>
  <c r="Z117" i="36" s="1"/>
  <c r="U117" i="36"/>
  <c r="R117" i="36"/>
  <c r="S117" i="36" s="1" a="1"/>
  <c r="S117" i="36" s="1"/>
  <c r="P117" i="36" a="1"/>
  <c r="P117" i="36" s="1"/>
  <c r="J117" i="36" s="1"/>
  <c r="AB116" i="36"/>
  <c r="Y116" i="36"/>
  <c r="Z116" i="36" s="1" a="1"/>
  <c r="Z116" i="36" s="1"/>
  <c r="U116" i="36"/>
  <c r="R116" i="36"/>
  <c r="S116" i="36" s="1" a="1"/>
  <c r="S116" i="36" s="1"/>
  <c r="P116" i="36" a="1"/>
  <c r="P116" i="36" s="1"/>
  <c r="J116" i="36" s="1"/>
  <c r="AB115" i="36"/>
  <c r="Y115" i="36"/>
  <c r="Z115" i="36" s="1" a="1"/>
  <c r="Z115" i="36" s="1"/>
  <c r="U115" i="36"/>
  <c r="R115" i="36"/>
  <c r="S115" i="36" s="1" a="1"/>
  <c r="S115" i="36" s="1"/>
  <c r="P115" i="36" a="1"/>
  <c r="P115" i="36" s="1"/>
  <c r="J115" i="36" s="1"/>
  <c r="AB114" i="36"/>
  <c r="Y114" i="36"/>
  <c r="Z114" i="36" s="1" a="1"/>
  <c r="Z114" i="36" s="1"/>
  <c r="U114" i="36"/>
  <c r="R114" i="36"/>
  <c r="S114" i="36" s="1" a="1"/>
  <c r="S114" i="36" s="1"/>
  <c r="P114" i="36" a="1"/>
  <c r="P114" i="36" s="1"/>
  <c r="J114" i="36" s="1"/>
  <c r="AB113" i="36"/>
  <c r="Y113" i="36"/>
  <c r="Z113" i="36" s="1" a="1"/>
  <c r="Z113" i="36" s="1"/>
  <c r="U113" i="36"/>
  <c r="R113" i="36"/>
  <c r="S113" i="36" s="1" a="1"/>
  <c r="S113" i="36" s="1"/>
  <c r="P113" i="36" a="1"/>
  <c r="P113" i="36" s="1"/>
  <c r="J113" i="36" s="1"/>
  <c r="AB112" i="36"/>
  <c r="Y112" i="36"/>
  <c r="Z112" i="36" s="1" a="1"/>
  <c r="Z112" i="36" s="1"/>
  <c r="U112" i="36"/>
  <c r="R112" i="36"/>
  <c r="S112" i="36" s="1" a="1"/>
  <c r="S112" i="36" s="1"/>
  <c r="P112" i="36" a="1"/>
  <c r="P112" i="36" s="1"/>
  <c r="J112" i="36" s="1"/>
  <c r="AB111" i="36"/>
  <c r="Y111" i="36"/>
  <c r="Z111" i="36" s="1" a="1"/>
  <c r="Z111" i="36" s="1"/>
  <c r="U111" i="36"/>
  <c r="R111" i="36"/>
  <c r="S111" i="36" s="1" a="1"/>
  <c r="S111" i="36" s="1"/>
  <c r="P111" i="36" a="1"/>
  <c r="P111" i="36" s="1"/>
  <c r="J111" i="36" s="1"/>
  <c r="AB110" i="36"/>
  <c r="Y110" i="36"/>
  <c r="Z110" i="36" s="1" a="1"/>
  <c r="Z110" i="36" s="1"/>
  <c r="U110" i="36"/>
  <c r="R110" i="36"/>
  <c r="S110" i="36" s="1" a="1"/>
  <c r="S110" i="36" s="1"/>
  <c r="P110" i="36" a="1"/>
  <c r="P110" i="36" s="1"/>
  <c r="J110" i="36" s="1"/>
  <c r="AB109" i="36"/>
  <c r="Y109" i="36"/>
  <c r="Z109" i="36" s="1" a="1"/>
  <c r="Z109" i="36" s="1"/>
  <c r="U109" i="36"/>
  <c r="R109" i="36"/>
  <c r="S109" i="36" s="1" a="1"/>
  <c r="S109" i="36" s="1"/>
  <c r="P109" i="36" a="1"/>
  <c r="P109" i="36" s="1"/>
  <c r="J109" i="36" s="1"/>
  <c r="AB108" i="36"/>
  <c r="Y108" i="36"/>
  <c r="Z108" i="36" s="1" a="1"/>
  <c r="Z108" i="36" s="1"/>
  <c r="U108" i="36"/>
  <c r="R108" i="36"/>
  <c r="S108" i="36" s="1" a="1"/>
  <c r="S108" i="36" s="1"/>
  <c r="P108" i="36" a="1"/>
  <c r="P108" i="36" s="1"/>
  <c r="J108" i="36" s="1"/>
  <c r="AB107" i="36"/>
  <c r="Y107" i="36"/>
  <c r="Z107" i="36" s="1" a="1"/>
  <c r="Z107" i="36" s="1"/>
  <c r="U107" i="36"/>
  <c r="R107" i="36"/>
  <c r="S107" i="36" s="1" a="1"/>
  <c r="S107" i="36" s="1"/>
  <c r="P107" i="36" a="1"/>
  <c r="P107" i="36" s="1"/>
  <c r="J107" i="36" s="1"/>
  <c r="AB106" i="36"/>
  <c r="Y106" i="36"/>
  <c r="Z106" i="36" s="1" a="1"/>
  <c r="Z106" i="36" s="1"/>
  <c r="U106" i="36"/>
  <c r="R106" i="36"/>
  <c r="S106" i="36" s="1" a="1"/>
  <c r="S106" i="36" s="1"/>
  <c r="P106" i="36" a="1"/>
  <c r="P106" i="36" s="1"/>
  <c r="J106" i="36" s="1"/>
  <c r="AB105" i="36"/>
  <c r="Y105" i="36"/>
  <c r="Z105" i="36" s="1" a="1"/>
  <c r="Z105" i="36" s="1"/>
  <c r="U105" i="36"/>
  <c r="R105" i="36"/>
  <c r="S105" i="36" s="1" a="1"/>
  <c r="S105" i="36" s="1"/>
  <c r="P105" i="36" a="1"/>
  <c r="P105" i="36" s="1"/>
  <c r="J105" i="36" s="1"/>
  <c r="AB104" i="36"/>
  <c r="Y104" i="36"/>
  <c r="Z104" i="36" s="1" a="1"/>
  <c r="Z104" i="36" s="1"/>
  <c r="U104" i="36"/>
  <c r="R104" i="36"/>
  <c r="S104" i="36" s="1" a="1"/>
  <c r="S104" i="36" s="1"/>
  <c r="P104" i="36" a="1"/>
  <c r="P104" i="36" s="1"/>
  <c r="J104" i="36" s="1"/>
  <c r="AB103" i="36"/>
  <c r="Y103" i="36"/>
  <c r="Z103" i="36" s="1" a="1"/>
  <c r="Z103" i="36" s="1"/>
  <c r="U103" i="36"/>
  <c r="R103" i="36"/>
  <c r="S103" i="36" s="1" a="1"/>
  <c r="S103" i="36" s="1"/>
  <c r="P103" i="36" a="1"/>
  <c r="P103" i="36" s="1"/>
  <c r="J103" i="36" s="1"/>
  <c r="AB102" i="36"/>
  <c r="Y102" i="36"/>
  <c r="Z102" i="36" s="1" a="1"/>
  <c r="Z102" i="36" s="1"/>
  <c r="U102" i="36"/>
  <c r="R102" i="36"/>
  <c r="S102" i="36" s="1" a="1"/>
  <c r="S102" i="36" s="1"/>
  <c r="P102" i="36" a="1"/>
  <c r="P102" i="36" s="1"/>
  <c r="J102" i="36" s="1"/>
  <c r="AB101" i="36"/>
  <c r="Y101" i="36"/>
  <c r="Z101" i="36" s="1" a="1"/>
  <c r="Z101" i="36" s="1"/>
  <c r="U101" i="36"/>
  <c r="R101" i="36"/>
  <c r="S101" i="36" s="1" a="1"/>
  <c r="S101" i="36" s="1"/>
  <c r="P101" i="36" a="1"/>
  <c r="P101" i="36" s="1"/>
  <c r="J101" i="36" s="1"/>
  <c r="AB100" i="36"/>
  <c r="Y100" i="36"/>
  <c r="Z100" i="36" s="1" a="1"/>
  <c r="Z100" i="36" s="1"/>
  <c r="U100" i="36"/>
  <c r="R100" i="36"/>
  <c r="S100" i="36" s="1" a="1"/>
  <c r="S100" i="36" s="1"/>
  <c r="P100" i="36" a="1"/>
  <c r="P100" i="36" s="1"/>
  <c r="J100" i="36" s="1"/>
  <c r="AB99" i="36"/>
  <c r="Y99" i="36"/>
  <c r="Z99" i="36" s="1" a="1"/>
  <c r="Z99" i="36" s="1"/>
  <c r="U99" i="36"/>
  <c r="R99" i="36"/>
  <c r="S99" i="36" s="1" a="1"/>
  <c r="S99" i="36" s="1"/>
  <c r="P99" i="36" a="1"/>
  <c r="P99" i="36" s="1"/>
  <c r="J99" i="36" s="1"/>
  <c r="AB98" i="36"/>
  <c r="Y98" i="36"/>
  <c r="Z98" i="36" s="1" a="1"/>
  <c r="Z98" i="36" s="1"/>
  <c r="U98" i="36"/>
  <c r="R98" i="36"/>
  <c r="S98" i="36" s="1" a="1"/>
  <c r="S98" i="36" s="1"/>
  <c r="P98" i="36" a="1"/>
  <c r="P98" i="36" s="1"/>
  <c r="J98" i="36" s="1"/>
  <c r="AB97" i="36"/>
  <c r="Y97" i="36"/>
  <c r="Z97" i="36" s="1" a="1"/>
  <c r="Z97" i="36" s="1"/>
  <c r="U97" i="36"/>
  <c r="R97" i="36"/>
  <c r="S97" i="36" s="1" a="1"/>
  <c r="S97" i="36" s="1"/>
  <c r="P97" i="36" a="1"/>
  <c r="P97" i="36" s="1"/>
  <c r="J97" i="36" s="1"/>
  <c r="AB96" i="36"/>
  <c r="Y96" i="36"/>
  <c r="Z96" i="36" s="1" a="1"/>
  <c r="Z96" i="36" s="1"/>
  <c r="U96" i="36"/>
  <c r="R96" i="36"/>
  <c r="S96" i="36" s="1" a="1"/>
  <c r="S96" i="36" s="1"/>
  <c r="P96" i="36" a="1"/>
  <c r="P96" i="36" s="1"/>
  <c r="J96" i="36" s="1"/>
  <c r="AB95" i="36"/>
  <c r="Y95" i="36"/>
  <c r="Z95" i="36" s="1" a="1"/>
  <c r="Z95" i="36" s="1"/>
  <c r="U95" i="36"/>
  <c r="R95" i="36"/>
  <c r="S95" i="36" s="1" a="1"/>
  <c r="S95" i="36" s="1"/>
  <c r="P95" i="36" a="1"/>
  <c r="P95" i="36" s="1"/>
  <c r="J95" i="36" s="1"/>
  <c r="AB94" i="36"/>
  <c r="Y94" i="36"/>
  <c r="Z94" i="36" s="1" a="1"/>
  <c r="Z94" i="36" s="1"/>
  <c r="U94" i="36"/>
  <c r="R94" i="36"/>
  <c r="S94" i="36" s="1" a="1"/>
  <c r="S94" i="36" s="1"/>
  <c r="P94" i="36" a="1"/>
  <c r="P94" i="36" s="1"/>
  <c r="J94" i="36" s="1"/>
  <c r="AB93" i="36"/>
  <c r="Y93" i="36"/>
  <c r="Z93" i="36" s="1" a="1"/>
  <c r="Z93" i="36" s="1"/>
  <c r="U93" i="36"/>
  <c r="R93" i="36"/>
  <c r="S93" i="36" s="1" a="1"/>
  <c r="S93" i="36" s="1"/>
  <c r="P93" i="36" a="1"/>
  <c r="P93" i="36" s="1"/>
  <c r="J93" i="36" s="1"/>
  <c r="AB92" i="36"/>
  <c r="Y92" i="36"/>
  <c r="Z92" i="36" s="1" a="1"/>
  <c r="Z92" i="36" s="1"/>
  <c r="U92" i="36"/>
  <c r="R92" i="36"/>
  <c r="S92" i="36" s="1" a="1"/>
  <c r="S92" i="36" s="1"/>
  <c r="P92" i="36" a="1"/>
  <c r="P92" i="36" s="1"/>
  <c r="J92" i="36" s="1"/>
  <c r="AB91" i="36"/>
  <c r="Y91" i="36"/>
  <c r="Z91" i="36" s="1" a="1"/>
  <c r="Z91" i="36" s="1"/>
  <c r="U91" i="36"/>
  <c r="R91" i="36"/>
  <c r="S91" i="36" s="1" a="1"/>
  <c r="S91" i="36" s="1"/>
  <c r="P91" i="36" a="1"/>
  <c r="P91" i="36" s="1"/>
  <c r="AB90" i="36"/>
  <c r="Y90" i="36"/>
  <c r="Z90" i="36" s="1" a="1"/>
  <c r="Z90" i="36" s="1"/>
  <c r="U90" i="36"/>
  <c r="R90" i="36"/>
  <c r="S90" i="36" s="1" a="1"/>
  <c r="S90" i="36" s="1"/>
  <c r="P90" i="36" a="1"/>
  <c r="P90" i="36" s="1"/>
  <c r="J90" i="36" s="1"/>
  <c r="AB89" i="36"/>
  <c r="Y89" i="36"/>
  <c r="Z89" i="36" s="1" a="1"/>
  <c r="Z89" i="36" s="1"/>
  <c r="U89" i="36"/>
  <c r="R89" i="36"/>
  <c r="S89" i="36" s="1" a="1"/>
  <c r="S89" i="36" s="1"/>
  <c r="P89" i="36" a="1"/>
  <c r="P89" i="36" s="1"/>
  <c r="J89" i="36" s="1"/>
  <c r="AB88" i="36"/>
  <c r="Y88" i="36"/>
  <c r="Z88" i="36" s="1" a="1"/>
  <c r="Z88" i="36" s="1"/>
  <c r="U88" i="36"/>
  <c r="R88" i="36"/>
  <c r="S88" i="36" s="1" a="1"/>
  <c r="S88" i="36" s="1"/>
  <c r="P88" i="36" a="1"/>
  <c r="P88" i="36" s="1"/>
  <c r="J88" i="36" s="1"/>
  <c r="AB87" i="36"/>
  <c r="Y87" i="36"/>
  <c r="Z87" i="36" s="1" a="1"/>
  <c r="Z87" i="36" s="1"/>
  <c r="U87" i="36"/>
  <c r="R87" i="36"/>
  <c r="S87" i="36" s="1" a="1"/>
  <c r="S87" i="36" s="1"/>
  <c r="P87" i="36" a="1"/>
  <c r="P87" i="36" s="1"/>
  <c r="J87" i="36" s="1"/>
  <c r="AB86" i="36"/>
  <c r="Y86" i="36"/>
  <c r="Z86" i="36" s="1" a="1"/>
  <c r="Z86" i="36" s="1"/>
  <c r="U86" i="36"/>
  <c r="R86" i="36"/>
  <c r="S86" i="36" s="1" a="1"/>
  <c r="S86" i="36" s="1"/>
  <c r="P86" i="36" a="1"/>
  <c r="P86" i="36" s="1"/>
  <c r="J86" i="36" s="1"/>
  <c r="AB85" i="36"/>
  <c r="Y85" i="36"/>
  <c r="Z85" i="36" s="1" a="1"/>
  <c r="Z85" i="36" s="1"/>
  <c r="U85" i="36"/>
  <c r="R85" i="36"/>
  <c r="S85" i="36" s="1" a="1"/>
  <c r="S85" i="36" s="1"/>
  <c r="P85" i="36" a="1"/>
  <c r="P85" i="36" s="1"/>
  <c r="J85" i="36" s="1"/>
  <c r="AB84" i="36"/>
  <c r="Y84" i="36"/>
  <c r="Z84" i="36" s="1" a="1"/>
  <c r="Z84" i="36" s="1"/>
  <c r="U84" i="36"/>
  <c r="R84" i="36"/>
  <c r="S84" i="36" s="1" a="1"/>
  <c r="S84" i="36" s="1"/>
  <c r="P84" i="36" a="1"/>
  <c r="P84" i="36" s="1"/>
  <c r="J84" i="36" s="1"/>
  <c r="AB83" i="36"/>
  <c r="Y83" i="36"/>
  <c r="Z83" i="36" s="1" a="1"/>
  <c r="Z83" i="36" s="1"/>
  <c r="U83" i="36"/>
  <c r="R83" i="36"/>
  <c r="S83" i="36" s="1" a="1"/>
  <c r="S83" i="36" s="1"/>
  <c r="P83" i="36" a="1"/>
  <c r="P83" i="36" s="1"/>
  <c r="J83" i="36" s="1"/>
  <c r="AB82" i="36"/>
  <c r="Y82" i="36"/>
  <c r="Z82" i="36" s="1" a="1"/>
  <c r="Z82" i="36" s="1"/>
  <c r="U82" i="36"/>
  <c r="R82" i="36"/>
  <c r="S82" i="36" s="1" a="1"/>
  <c r="S82" i="36" s="1"/>
  <c r="P82" i="36" a="1"/>
  <c r="P82" i="36" s="1"/>
  <c r="J82" i="36" s="1"/>
  <c r="AB81" i="36"/>
  <c r="Y81" i="36"/>
  <c r="Z81" i="36" s="1" a="1"/>
  <c r="Z81" i="36" s="1"/>
  <c r="U81" i="36"/>
  <c r="R81" i="36"/>
  <c r="S81" i="36" s="1" a="1"/>
  <c r="S81" i="36" s="1"/>
  <c r="P81" i="36" a="1"/>
  <c r="P81" i="36" s="1"/>
  <c r="J81" i="36" s="1"/>
  <c r="AB80" i="36"/>
  <c r="Y80" i="36"/>
  <c r="Z80" i="36" s="1" a="1"/>
  <c r="Z80" i="36" s="1"/>
  <c r="U80" i="36"/>
  <c r="R80" i="36"/>
  <c r="S80" i="36" s="1" a="1"/>
  <c r="S80" i="36" s="1"/>
  <c r="P80" i="36" a="1"/>
  <c r="P80" i="36" s="1"/>
  <c r="J80" i="36" s="1"/>
  <c r="AB79" i="36"/>
  <c r="Y79" i="36"/>
  <c r="Z79" i="36" s="1" a="1"/>
  <c r="Z79" i="36" s="1"/>
  <c r="U79" i="36"/>
  <c r="R79" i="36"/>
  <c r="S79" i="36" s="1" a="1"/>
  <c r="S79" i="36" s="1"/>
  <c r="P79" i="36" a="1"/>
  <c r="P79" i="36" s="1"/>
  <c r="J79" i="36" s="1"/>
  <c r="AB78" i="36"/>
  <c r="Y78" i="36"/>
  <c r="Z78" i="36" s="1" a="1"/>
  <c r="Z78" i="36" s="1"/>
  <c r="U78" i="36"/>
  <c r="R78" i="36"/>
  <c r="S78" i="36" s="1" a="1"/>
  <c r="S78" i="36" s="1"/>
  <c r="P78" i="36" a="1"/>
  <c r="P78" i="36" s="1"/>
  <c r="J78" i="36" s="1"/>
  <c r="AB77" i="36"/>
  <c r="Y77" i="36"/>
  <c r="Z77" i="36" s="1" a="1"/>
  <c r="Z77" i="36" s="1"/>
  <c r="U77" i="36"/>
  <c r="R77" i="36"/>
  <c r="S77" i="36" s="1" a="1"/>
  <c r="S77" i="36" s="1"/>
  <c r="P77" i="36" a="1"/>
  <c r="P77" i="36" s="1"/>
  <c r="J77" i="36" s="1"/>
  <c r="AB76" i="36"/>
  <c r="Y76" i="36"/>
  <c r="Z76" i="36" s="1" a="1"/>
  <c r="Z76" i="36" s="1"/>
  <c r="U76" i="36"/>
  <c r="R76" i="36"/>
  <c r="S76" i="36" s="1" a="1"/>
  <c r="S76" i="36" s="1"/>
  <c r="P76" i="36" a="1"/>
  <c r="P76" i="36" s="1"/>
  <c r="J76" i="36" s="1"/>
  <c r="AB75" i="36"/>
  <c r="Y75" i="36"/>
  <c r="Z75" i="36" s="1" a="1"/>
  <c r="Z75" i="36" s="1"/>
  <c r="U75" i="36"/>
  <c r="R75" i="36"/>
  <c r="S75" i="36" s="1" a="1"/>
  <c r="S75" i="36" s="1"/>
  <c r="P75" i="36" a="1"/>
  <c r="P75" i="36" s="1"/>
  <c r="J75" i="36" s="1"/>
  <c r="AB74" i="36"/>
  <c r="Y74" i="36"/>
  <c r="Z74" i="36" s="1" a="1"/>
  <c r="Z74" i="36" s="1"/>
  <c r="U74" i="36"/>
  <c r="R74" i="36"/>
  <c r="S74" i="36" s="1" a="1"/>
  <c r="S74" i="36" s="1"/>
  <c r="P74" i="36" a="1"/>
  <c r="P74" i="36" s="1"/>
  <c r="J74" i="36" s="1"/>
  <c r="AB73" i="36"/>
  <c r="Y73" i="36"/>
  <c r="Z73" i="36" s="1" a="1"/>
  <c r="Z73" i="36" s="1"/>
  <c r="U73" i="36"/>
  <c r="R73" i="36"/>
  <c r="S73" i="36" s="1" a="1"/>
  <c r="S73" i="36" s="1"/>
  <c r="P73" i="36" a="1"/>
  <c r="P73" i="36" s="1"/>
  <c r="J73" i="36" s="1"/>
  <c r="AB72" i="36"/>
  <c r="Y72" i="36"/>
  <c r="Z72" i="36" s="1" a="1"/>
  <c r="Z72" i="36" s="1"/>
  <c r="U72" i="36"/>
  <c r="R72" i="36"/>
  <c r="S72" i="36" s="1" a="1"/>
  <c r="S72" i="36" s="1"/>
  <c r="P72" i="36" a="1"/>
  <c r="P72" i="36" s="1"/>
  <c r="J72" i="36" s="1"/>
  <c r="AB71" i="36"/>
  <c r="Y71" i="36"/>
  <c r="Z71" i="36" s="1" a="1"/>
  <c r="Z71" i="36" s="1"/>
  <c r="U71" i="36"/>
  <c r="R71" i="36"/>
  <c r="S71" i="36" s="1" a="1"/>
  <c r="S71" i="36" s="1"/>
  <c r="P71" i="36" a="1"/>
  <c r="P71" i="36" s="1"/>
  <c r="J71" i="36" s="1"/>
  <c r="AB70" i="36"/>
  <c r="Y70" i="36"/>
  <c r="Z70" i="36" s="1" a="1"/>
  <c r="Z70" i="36" s="1"/>
  <c r="U70" i="36"/>
  <c r="R70" i="36"/>
  <c r="S70" i="36" s="1" a="1"/>
  <c r="S70" i="36" s="1"/>
  <c r="P70" i="36" a="1"/>
  <c r="P70" i="36" s="1"/>
  <c r="J70" i="36" s="1"/>
  <c r="AB69" i="36"/>
  <c r="Y69" i="36"/>
  <c r="Z69" i="36" s="1" a="1"/>
  <c r="Z69" i="36" s="1"/>
  <c r="U69" i="36"/>
  <c r="R69" i="36"/>
  <c r="S69" i="36" s="1" a="1"/>
  <c r="S69" i="36" s="1"/>
  <c r="P69" i="36" a="1"/>
  <c r="P69" i="36" s="1"/>
  <c r="J69" i="36" s="1"/>
  <c r="AB68" i="36"/>
  <c r="Y68" i="36"/>
  <c r="Z68" i="36" s="1" a="1"/>
  <c r="Z68" i="36" s="1"/>
  <c r="U68" i="36"/>
  <c r="R68" i="36"/>
  <c r="S68" i="36" s="1" a="1"/>
  <c r="S68" i="36" s="1"/>
  <c r="P68" i="36" a="1"/>
  <c r="P68" i="36" s="1"/>
  <c r="J68" i="36" s="1"/>
  <c r="AB67" i="36"/>
  <c r="Y67" i="36"/>
  <c r="Z67" i="36" s="1" a="1"/>
  <c r="Z67" i="36" s="1"/>
  <c r="U67" i="36"/>
  <c r="R67" i="36"/>
  <c r="S67" i="36" s="1" a="1"/>
  <c r="S67" i="36" s="1"/>
  <c r="P67" i="36" a="1"/>
  <c r="P67" i="36" s="1"/>
  <c r="J67" i="36" s="1"/>
  <c r="AB66" i="36"/>
  <c r="Y66" i="36"/>
  <c r="Z66" i="36" s="1" a="1"/>
  <c r="Z66" i="36" s="1"/>
  <c r="U66" i="36"/>
  <c r="R66" i="36"/>
  <c r="S66" i="36" s="1" a="1"/>
  <c r="S66" i="36" s="1"/>
  <c r="P66" i="36" a="1"/>
  <c r="P66" i="36" s="1"/>
  <c r="J66" i="36" s="1"/>
  <c r="AB65" i="36"/>
  <c r="Y65" i="36"/>
  <c r="Z65" i="36" s="1" a="1"/>
  <c r="Z65" i="36" s="1"/>
  <c r="U65" i="36"/>
  <c r="R65" i="36"/>
  <c r="S65" i="36" s="1" a="1"/>
  <c r="S65" i="36" s="1"/>
  <c r="P65" i="36" a="1"/>
  <c r="P65" i="36" s="1"/>
  <c r="J65" i="36" s="1"/>
  <c r="AB64" i="36"/>
  <c r="Y64" i="36"/>
  <c r="Z64" i="36" s="1" a="1"/>
  <c r="Z64" i="36" s="1"/>
  <c r="U64" i="36"/>
  <c r="R64" i="36"/>
  <c r="S64" i="36" s="1" a="1"/>
  <c r="S64" i="36" s="1"/>
  <c r="P64" i="36" a="1"/>
  <c r="P64" i="36" s="1"/>
  <c r="J64" i="36" s="1"/>
  <c r="AB63" i="36"/>
  <c r="Y63" i="36"/>
  <c r="Z63" i="36" s="1" a="1"/>
  <c r="Z63" i="36" s="1"/>
  <c r="U63" i="36"/>
  <c r="R63" i="36"/>
  <c r="S63" i="36" s="1" a="1"/>
  <c r="S63" i="36" s="1"/>
  <c r="P63" i="36" a="1"/>
  <c r="P63" i="36" s="1"/>
  <c r="J63" i="36" s="1"/>
  <c r="AB62" i="36"/>
  <c r="Y62" i="36"/>
  <c r="Z62" i="36" s="1" a="1"/>
  <c r="Z62" i="36" s="1"/>
  <c r="U62" i="36"/>
  <c r="R62" i="36"/>
  <c r="S62" i="36" s="1" a="1"/>
  <c r="S62" i="36" s="1"/>
  <c r="P62" i="36" a="1"/>
  <c r="P62" i="36" s="1"/>
  <c r="J62" i="36" s="1"/>
  <c r="AB61" i="36"/>
  <c r="Y61" i="36"/>
  <c r="Z61" i="36" s="1" a="1"/>
  <c r="Z61" i="36" s="1"/>
  <c r="U61" i="36"/>
  <c r="R61" i="36"/>
  <c r="S61" i="36" s="1" a="1"/>
  <c r="S61" i="36" s="1"/>
  <c r="P61" i="36" a="1"/>
  <c r="P61" i="36" s="1"/>
  <c r="J61" i="36" s="1"/>
  <c r="AB60" i="36"/>
  <c r="Y60" i="36"/>
  <c r="Z60" i="36" s="1" a="1"/>
  <c r="Z60" i="36" s="1"/>
  <c r="U60" i="36"/>
  <c r="R60" i="36"/>
  <c r="S60" i="36" s="1" a="1"/>
  <c r="S60" i="36" s="1"/>
  <c r="P60" i="36" a="1"/>
  <c r="P60" i="36" s="1"/>
  <c r="J60" i="36" s="1"/>
  <c r="AB59" i="36"/>
  <c r="Y59" i="36"/>
  <c r="Z59" i="36" s="1" a="1"/>
  <c r="Z59" i="36" s="1"/>
  <c r="U59" i="36"/>
  <c r="R59" i="36"/>
  <c r="S59" i="36" s="1" a="1"/>
  <c r="S59" i="36" s="1"/>
  <c r="P59" i="36" a="1"/>
  <c r="P59" i="36" s="1"/>
  <c r="J59" i="36" s="1"/>
  <c r="AB58" i="36"/>
  <c r="Y58" i="36"/>
  <c r="Z58" i="36" s="1" a="1"/>
  <c r="Z58" i="36" s="1"/>
  <c r="U58" i="36"/>
  <c r="R58" i="36"/>
  <c r="S58" i="36" s="1" a="1"/>
  <c r="S58" i="36" s="1"/>
  <c r="P58" i="36" a="1"/>
  <c r="P58" i="36" s="1"/>
  <c r="J58" i="36" s="1"/>
  <c r="AB57" i="36"/>
  <c r="Y57" i="36"/>
  <c r="Z57" i="36" s="1" a="1"/>
  <c r="Z57" i="36" s="1"/>
  <c r="U57" i="36"/>
  <c r="R57" i="36"/>
  <c r="S57" i="36" s="1" a="1"/>
  <c r="S57" i="36" s="1"/>
  <c r="P57" i="36" a="1"/>
  <c r="P57" i="36" s="1"/>
  <c r="J57" i="36" s="1"/>
  <c r="AB56" i="36"/>
  <c r="Y56" i="36"/>
  <c r="Z56" i="36" s="1" a="1"/>
  <c r="Z56" i="36" s="1"/>
  <c r="U56" i="36"/>
  <c r="R56" i="36"/>
  <c r="S56" i="36" s="1" a="1"/>
  <c r="S56" i="36" s="1"/>
  <c r="P56" i="36" a="1"/>
  <c r="P56" i="36" s="1"/>
  <c r="J56" i="36" s="1"/>
  <c r="AB55" i="36"/>
  <c r="Y55" i="36"/>
  <c r="Z55" i="36" s="1" a="1"/>
  <c r="Z55" i="36" s="1"/>
  <c r="U55" i="36"/>
  <c r="R55" i="36"/>
  <c r="S55" i="36" s="1" a="1"/>
  <c r="S55" i="36" s="1"/>
  <c r="P55" i="36" a="1"/>
  <c r="P55" i="36" s="1"/>
  <c r="J55" i="36" s="1"/>
  <c r="AB54" i="36"/>
  <c r="Y54" i="36"/>
  <c r="Z54" i="36" s="1" a="1"/>
  <c r="Z54" i="36" s="1"/>
  <c r="U54" i="36"/>
  <c r="R54" i="36"/>
  <c r="S54" i="36" s="1" a="1"/>
  <c r="S54" i="36" s="1"/>
  <c r="P54" i="36" a="1"/>
  <c r="P54" i="36" s="1"/>
  <c r="J54" i="36" s="1"/>
  <c r="AB53" i="36"/>
  <c r="Y53" i="36"/>
  <c r="Z53" i="36" s="1" a="1"/>
  <c r="Z53" i="36" s="1"/>
  <c r="U53" i="36"/>
  <c r="R53" i="36"/>
  <c r="S53" i="36" s="1" a="1"/>
  <c r="S53" i="36" s="1"/>
  <c r="P53" i="36" a="1"/>
  <c r="P53" i="36" s="1"/>
  <c r="J53" i="36" s="1"/>
  <c r="AB52" i="36"/>
  <c r="Y52" i="36"/>
  <c r="Z52" i="36" s="1" a="1"/>
  <c r="Z52" i="36" s="1"/>
  <c r="U52" i="36"/>
  <c r="R52" i="36"/>
  <c r="S52" i="36" s="1" a="1"/>
  <c r="S52" i="36" s="1"/>
  <c r="P52" i="36" a="1"/>
  <c r="P52" i="36" s="1"/>
  <c r="J52" i="36" s="1"/>
  <c r="AB51" i="36"/>
  <c r="Y51" i="36"/>
  <c r="Z51" i="36" s="1" a="1"/>
  <c r="Z51" i="36" s="1"/>
  <c r="U51" i="36"/>
  <c r="R51" i="36"/>
  <c r="S51" i="36" s="1" a="1"/>
  <c r="S51" i="36" s="1"/>
  <c r="P51" i="36" a="1"/>
  <c r="P51" i="36" s="1"/>
  <c r="J51" i="36" s="1"/>
  <c r="AB50" i="36"/>
  <c r="Y50" i="36"/>
  <c r="Z50" i="36" s="1" a="1"/>
  <c r="Z50" i="36" s="1"/>
  <c r="U50" i="36"/>
  <c r="R50" i="36"/>
  <c r="S50" i="36" s="1" a="1"/>
  <c r="S50" i="36" s="1"/>
  <c r="P50" i="36" a="1"/>
  <c r="P50" i="36" s="1"/>
  <c r="J50" i="36" s="1"/>
  <c r="AB49" i="36"/>
  <c r="Y49" i="36"/>
  <c r="Z49" i="36" s="1" a="1"/>
  <c r="Z49" i="36" s="1"/>
  <c r="U49" i="36"/>
  <c r="R49" i="36"/>
  <c r="S49" i="36" s="1" a="1"/>
  <c r="S49" i="36" s="1"/>
  <c r="P49" i="36" a="1"/>
  <c r="P49" i="36" s="1"/>
  <c r="J49" i="36" s="1"/>
  <c r="AB48" i="36"/>
  <c r="Y48" i="36"/>
  <c r="Z48" i="36" s="1" a="1"/>
  <c r="Z48" i="36" s="1"/>
  <c r="U48" i="36"/>
  <c r="R48" i="36"/>
  <c r="S48" i="36" s="1" a="1"/>
  <c r="S48" i="36" s="1"/>
  <c r="P48" i="36" a="1"/>
  <c r="P48" i="36" s="1"/>
  <c r="J48" i="36" s="1"/>
  <c r="AB47" i="36"/>
  <c r="Y47" i="36"/>
  <c r="Z47" i="36" s="1" a="1"/>
  <c r="Z47" i="36" s="1"/>
  <c r="U47" i="36"/>
  <c r="R47" i="36"/>
  <c r="S47" i="36" s="1" a="1"/>
  <c r="S47" i="36" s="1"/>
  <c r="P47" i="36" a="1"/>
  <c r="P47" i="36" s="1"/>
  <c r="J47" i="36" s="1"/>
  <c r="AB46" i="36"/>
  <c r="Y46" i="36"/>
  <c r="Z46" i="36" s="1" a="1"/>
  <c r="Z46" i="36" s="1"/>
  <c r="U46" i="36"/>
  <c r="R46" i="36"/>
  <c r="S46" i="36" s="1" a="1"/>
  <c r="S46" i="36" s="1"/>
  <c r="P46" i="36" a="1"/>
  <c r="P46" i="36" s="1"/>
  <c r="J46" i="36" s="1"/>
  <c r="AB45" i="36"/>
  <c r="Y45" i="36"/>
  <c r="Z45" i="36" s="1" a="1"/>
  <c r="Z45" i="36" s="1"/>
  <c r="U45" i="36"/>
  <c r="R45" i="36"/>
  <c r="S45" i="36" s="1" a="1"/>
  <c r="S45" i="36" s="1"/>
  <c r="P45" i="36" a="1"/>
  <c r="P45" i="36" s="1"/>
  <c r="J45" i="36" s="1"/>
  <c r="AB44" i="36"/>
  <c r="Y44" i="36"/>
  <c r="Z44" i="36" s="1" a="1"/>
  <c r="Z44" i="36" s="1"/>
  <c r="U44" i="36"/>
  <c r="R44" i="36"/>
  <c r="S44" i="36" s="1" a="1"/>
  <c r="S44" i="36" s="1"/>
  <c r="P44" i="36" a="1"/>
  <c r="P44" i="36" s="1"/>
  <c r="J44" i="36" s="1"/>
  <c r="AB43" i="36"/>
  <c r="Y43" i="36"/>
  <c r="Z43" i="36" s="1" a="1"/>
  <c r="Z43" i="36" s="1"/>
  <c r="U43" i="36"/>
  <c r="R43" i="36"/>
  <c r="S43" i="36" s="1" a="1"/>
  <c r="S43" i="36" s="1"/>
  <c r="P43" i="36" a="1"/>
  <c r="P43" i="36" s="1"/>
  <c r="J43" i="36" s="1"/>
  <c r="AB42" i="36"/>
  <c r="Y42" i="36"/>
  <c r="Z42" i="36" s="1" a="1"/>
  <c r="Z42" i="36" s="1"/>
  <c r="U42" i="36"/>
  <c r="R42" i="36"/>
  <c r="S42" i="36" s="1" a="1"/>
  <c r="S42" i="36" s="1"/>
  <c r="P42" i="36" a="1"/>
  <c r="P42" i="36" s="1"/>
  <c r="J42" i="36" s="1"/>
  <c r="AB41" i="36"/>
  <c r="Y41" i="36"/>
  <c r="Z41" i="36" s="1" a="1"/>
  <c r="Z41" i="36" s="1"/>
  <c r="U41" i="36"/>
  <c r="R41" i="36"/>
  <c r="S41" i="36" s="1" a="1"/>
  <c r="S41" i="36" s="1"/>
  <c r="P41" i="36" a="1"/>
  <c r="P41" i="36" s="1"/>
  <c r="J41" i="36" s="1"/>
  <c r="AB40" i="36"/>
  <c r="Y40" i="36"/>
  <c r="Z40" i="36" s="1" a="1"/>
  <c r="Z40" i="36" s="1"/>
  <c r="U40" i="36"/>
  <c r="R40" i="36"/>
  <c r="S40" i="36" s="1" a="1"/>
  <c r="S40" i="36" s="1"/>
  <c r="P40" i="36" a="1"/>
  <c r="P40" i="36" s="1"/>
  <c r="J40" i="36" s="1"/>
  <c r="AB39" i="36"/>
  <c r="Y39" i="36"/>
  <c r="Z39" i="36" s="1" a="1"/>
  <c r="Z39" i="36" s="1"/>
  <c r="U39" i="36"/>
  <c r="R39" i="36"/>
  <c r="S39" i="36" s="1" a="1"/>
  <c r="S39" i="36" s="1"/>
  <c r="P39" i="36" a="1"/>
  <c r="P39" i="36" s="1"/>
  <c r="J39" i="36" s="1"/>
  <c r="AB38" i="36"/>
  <c r="Y38" i="36"/>
  <c r="Z38" i="36" s="1" a="1"/>
  <c r="Z38" i="36" s="1"/>
  <c r="U38" i="36"/>
  <c r="R38" i="36"/>
  <c r="S38" i="36" s="1" a="1"/>
  <c r="S38" i="36" s="1"/>
  <c r="P38" i="36" a="1"/>
  <c r="P38" i="36" s="1"/>
  <c r="J38" i="36" s="1"/>
  <c r="AB37" i="36"/>
  <c r="Y37" i="36"/>
  <c r="Z37" i="36" s="1" a="1"/>
  <c r="Z37" i="36" s="1"/>
  <c r="U37" i="36"/>
  <c r="R37" i="36"/>
  <c r="S37" i="36" s="1" a="1"/>
  <c r="S37" i="36" s="1"/>
  <c r="P37" i="36" a="1"/>
  <c r="P37" i="36" s="1"/>
  <c r="J37" i="36" s="1"/>
  <c r="AB36" i="36"/>
  <c r="Y36" i="36"/>
  <c r="Z36" i="36" s="1" a="1"/>
  <c r="Z36" i="36" s="1"/>
  <c r="U36" i="36"/>
  <c r="R36" i="36"/>
  <c r="S36" i="36" s="1" a="1"/>
  <c r="S36" i="36" s="1"/>
  <c r="P36" i="36" a="1"/>
  <c r="P36" i="36" s="1"/>
  <c r="J36" i="36" s="1"/>
  <c r="AB35" i="36"/>
  <c r="Y35" i="36"/>
  <c r="Z35" i="36" s="1" a="1"/>
  <c r="Z35" i="36" s="1"/>
  <c r="U35" i="36"/>
  <c r="R35" i="36"/>
  <c r="S35" i="36" s="1" a="1"/>
  <c r="S35" i="36" s="1"/>
  <c r="P35" i="36" a="1"/>
  <c r="P35" i="36" s="1"/>
  <c r="J35" i="36" s="1"/>
  <c r="AB34" i="36"/>
  <c r="Y34" i="36"/>
  <c r="Z34" i="36" s="1" a="1"/>
  <c r="Z34" i="36" s="1"/>
  <c r="U34" i="36"/>
  <c r="R34" i="36"/>
  <c r="S34" i="36" s="1" a="1"/>
  <c r="S34" i="36" s="1"/>
  <c r="P34" i="36" a="1"/>
  <c r="P34" i="36" s="1"/>
  <c r="J34" i="36" s="1"/>
  <c r="AB33" i="36"/>
  <c r="Y33" i="36"/>
  <c r="Z33" i="36" s="1" a="1"/>
  <c r="Z33" i="36" s="1"/>
  <c r="U33" i="36"/>
  <c r="R33" i="36"/>
  <c r="S33" i="36" s="1" a="1"/>
  <c r="S33" i="36" s="1"/>
  <c r="P33" i="36" a="1"/>
  <c r="P33" i="36" s="1"/>
  <c r="J33" i="36" s="1"/>
  <c r="AB32" i="36"/>
  <c r="Y32" i="36"/>
  <c r="Z32" i="36" s="1" a="1"/>
  <c r="Z32" i="36" s="1"/>
  <c r="U32" i="36"/>
  <c r="R32" i="36"/>
  <c r="S32" i="36" s="1" a="1"/>
  <c r="S32" i="36" s="1"/>
  <c r="P32" i="36" a="1"/>
  <c r="P32" i="36" s="1"/>
  <c r="J32" i="36" s="1"/>
  <c r="AB31" i="36"/>
  <c r="Y31" i="36"/>
  <c r="Z31" i="36" s="1" a="1"/>
  <c r="Z31" i="36" s="1"/>
  <c r="U31" i="36"/>
  <c r="R31" i="36"/>
  <c r="S31" i="36" s="1" a="1"/>
  <c r="S31" i="36" s="1"/>
  <c r="P31" i="36" a="1"/>
  <c r="P31" i="36" s="1"/>
  <c r="J31" i="36" s="1"/>
  <c r="AB30" i="36"/>
  <c r="Y30" i="36"/>
  <c r="Z30" i="36" s="1" a="1"/>
  <c r="Z30" i="36" s="1"/>
  <c r="U30" i="36"/>
  <c r="R30" i="36"/>
  <c r="S30" i="36" s="1" a="1"/>
  <c r="S30" i="36" s="1"/>
  <c r="P30" i="36" a="1"/>
  <c r="P30" i="36" s="1"/>
  <c r="J30" i="36" s="1"/>
  <c r="AB29" i="36"/>
  <c r="Y29" i="36"/>
  <c r="Z29" i="36" s="1" a="1"/>
  <c r="Z29" i="36" s="1"/>
  <c r="U29" i="36"/>
  <c r="R29" i="36"/>
  <c r="S29" i="36" s="1" a="1"/>
  <c r="S29" i="36" s="1"/>
  <c r="P29" i="36" a="1"/>
  <c r="P29" i="36" s="1"/>
  <c r="J29" i="36" s="1"/>
  <c r="AB28" i="36"/>
  <c r="Y28" i="36"/>
  <c r="Z28" i="36" s="1" a="1"/>
  <c r="Z28" i="36" s="1"/>
  <c r="U28" i="36"/>
  <c r="R28" i="36"/>
  <c r="S28" i="36" s="1" a="1"/>
  <c r="S28" i="36" s="1"/>
  <c r="P28" i="36" a="1"/>
  <c r="P28" i="36" s="1"/>
  <c r="J28" i="36" s="1"/>
  <c r="AB27" i="36"/>
  <c r="Y27" i="36"/>
  <c r="Z27" i="36" s="1" a="1"/>
  <c r="Z27" i="36" s="1"/>
  <c r="U27" i="36"/>
  <c r="R27" i="36"/>
  <c r="S27" i="36" s="1" a="1"/>
  <c r="S27" i="36" s="1"/>
  <c r="P27" i="36" a="1"/>
  <c r="P27" i="36" s="1"/>
  <c r="J27" i="36" s="1"/>
  <c r="AB26" i="36"/>
  <c r="Y26" i="36"/>
  <c r="Z26" i="36" s="1" a="1"/>
  <c r="Z26" i="36" s="1"/>
  <c r="U26" i="36"/>
  <c r="R26" i="36"/>
  <c r="S26" i="36" s="1" a="1"/>
  <c r="S26" i="36" s="1"/>
  <c r="P26" i="36" a="1"/>
  <c r="P26" i="36" s="1"/>
  <c r="J26" i="36" s="1"/>
  <c r="AB25" i="36"/>
  <c r="Y25" i="36"/>
  <c r="Z25" i="36" s="1" a="1"/>
  <c r="Z25" i="36" s="1"/>
  <c r="U25" i="36"/>
  <c r="R25" i="36"/>
  <c r="S25" i="36" s="1" a="1"/>
  <c r="S25" i="36" s="1"/>
  <c r="P25" i="36" a="1"/>
  <c r="P25" i="36" s="1"/>
  <c r="J25" i="36" s="1"/>
  <c r="AB24" i="36"/>
  <c r="Y24" i="36"/>
  <c r="Z24" i="36" s="1" a="1"/>
  <c r="Z24" i="36" s="1"/>
  <c r="U24" i="36"/>
  <c r="R24" i="36"/>
  <c r="S24" i="36" s="1" a="1"/>
  <c r="S24" i="36" s="1"/>
  <c r="P24" i="36" a="1"/>
  <c r="P24" i="36" s="1"/>
  <c r="J24" i="36" s="1"/>
  <c r="AB23" i="36"/>
  <c r="Y23" i="36"/>
  <c r="Z23" i="36" s="1" a="1"/>
  <c r="Z23" i="36" s="1"/>
  <c r="U23" i="36"/>
  <c r="R23" i="36"/>
  <c r="S23" i="36" s="1" a="1"/>
  <c r="S23" i="36" s="1"/>
  <c r="P23" i="36" a="1"/>
  <c r="P23" i="36" s="1"/>
  <c r="J23" i="36" s="1"/>
  <c r="AB22" i="36"/>
  <c r="Y22" i="36"/>
  <c r="Z22" i="36" s="1" a="1"/>
  <c r="Z22" i="36" s="1"/>
  <c r="U22" i="36"/>
  <c r="R22" i="36"/>
  <c r="S22" i="36" s="1" a="1"/>
  <c r="S22" i="36" s="1"/>
  <c r="P22" i="36" a="1"/>
  <c r="P22" i="36" s="1"/>
  <c r="J22" i="36" s="1"/>
  <c r="AB21" i="36"/>
  <c r="Y21" i="36"/>
  <c r="Z21" i="36" s="1" a="1"/>
  <c r="Z21" i="36" s="1"/>
  <c r="U21" i="36"/>
  <c r="R21" i="36"/>
  <c r="S21" i="36" s="1" a="1"/>
  <c r="S21" i="36" s="1"/>
  <c r="P21" i="36" a="1"/>
  <c r="P21" i="36" s="1"/>
  <c r="J21" i="36" s="1"/>
  <c r="AB20" i="36"/>
  <c r="Y20" i="36"/>
  <c r="Z20" i="36" s="1" a="1"/>
  <c r="Z20" i="36" s="1"/>
  <c r="U20" i="36"/>
  <c r="R20" i="36"/>
  <c r="S20" i="36" s="1" a="1"/>
  <c r="S20" i="36" s="1"/>
  <c r="P20" i="36" a="1"/>
  <c r="P20" i="36" s="1"/>
  <c r="J20" i="36" s="1"/>
  <c r="AB19" i="36"/>
  <c r="Y19" i="36"/>
  <c r="Z19" i="36" s="1" a="1"/>
  <c r="Z19" i="36" s="1"/>
  <c r="U19" i="36"/>
  <c r="R19" i="36"/>
  <c r="S19" i="36" s="1" a="1"/>
  <c r="S19" i="36" s="1"/>
  <c r="P19" i="36" a="1"/>
  <c r="P19" i="36" s="1"/>
  <c r="J19" i="36" s="1"/>
  <c r="AB18" i="36"/>
  <c r="Y18" i="36"/>
  <c r="Z18" i="36" s="1" a="1"/>
  <c r="Z18" i="36" s="1"/>
  <c r="U18" i="36"/>
  <c r="R18" i="36"/>
  <c r="S18" i="36" s="1" a="1"/>
  <c r="S18" i="36" s="1"/>
  <c r="P18" i="36" a="1"/>
  <c r="P18" i="36" s="1"/>
  <c r="J18" i="36" s="1"/>
  <c r="AB17" i="36"/>
  <c r="Y17" i="36"/>
  <c r="Z17" i="36" s="1" a="1"/>
  <c r="Z17" i="36" s="1"/>
  <c r="U17" i="36"/>
  <c r="R17" i="36"/>
  <c r="S17" i="36" s="1" a="1"/>
  <c r="S17" i="36" s="1"/>
  <c r="P17" i="36" a="1"/>
  <c r="P17" i="36" s="1"/>
  <c r="J17" i="36" s="1"/>
  <c r="AB16" i="36"/>
  <c r="Y16" i="36"/>
  <c r="Z16" i="36" s="1" a="1"/>
  <c r="Z16" i="36" s="1"/>
  <c r="U16" i="36"/>
  <c r="R16" i="36"/>
  <c r="S16" i="36" s="1" a="1"/>
  <c r="S16" i="36" s="1"/>
  <c r="P16" i="36" a="1"/>
  <c r="P16" i="36" s="1"/>
  <c r="J16" i="36" s="1"/>
  <c r="AB15" i="36"/>
  <c r="Y15" i="36"/>
  <c r="Z15" i="36" s="1" a="1"/>
  <c r="Z15" i="36" s="1"/>
  <c r="U15" i="36"/>
  <c r="R15" i="36"/>
  <c r="S15" i="36" s="1" a="1"/>
  <c r="S15" i="36" s="1"/>
  <c r="P15" i="36" a="1"/>
  <c r="P15" i="36" s="1"/>
  <c r="J15" i="36" s="1"/>
  <c r="AB14" i="36"/>
  <c r="Y14" i="36"/>
  <c r="Z14" i="36" s="1" a="1"/>
  <c r="Z14" i="36" s="1"/>
  <c r="U14" i="36"/>
  <c r="R14" i="36"/>
  <c r="S14" i="36" s="1" a="1"/>
  <c r="S14" i="36" s="1"/>
  <c r="P14" i="36" a="1"/>
  <c r="P14" i="36" s="1"/>
  <c r="J14" i="36" s="1"/>
  <c r="AB13" i="36"/>
  <c r="Y13" i="36"/>
  <c r="Z13" i="36" s="1" a="1"/>
  <c r="Z13" i="36" s="1"/>
  <c r="U13" i="36"/>
  <c r="R13" i="36"/>
  <c r="S13" i="36" s="1" a="1"/>
  <c r="S13" i="36" s="1"/>
  <c r="P13" i="36" a="1"/>
  <c r="P13" i="36" s="1"/>
  <c r="J13" i="36" s="1"/>
  <c r="AB12" i="36"/>
  <c r="Y12" i="36"/>
  <c r="Z12" i="36" s="1" a="1"/>
  <c r="Z12" i="36" s="1"/>
  <c r="U12" i="36"/>
  <c r="R12" i="36"/>
  <c r="S12" i="36" s="1" a="1"/>
  <c r="S12" i="36" s="1"/>
  <c r="P12" i="36" a="1"/>
  <c r="P12" i="36" s="1"/>
  <c r="J12" i="36" s="1"/>
  <c r="AB11" i="36"/>
  <c r="Y11" i="36"/>
  <c r="Z11" i="36" s="1" a="1"/>
  <c r="Z11" i="36" s="1"/>
  <c r="U11" i="36"/>
  <c r="R11" i="36"/>
  <c r="S11" i="36" s="1" a="1"/>
  <c r="S11" i="36" s="1"/>
  <c r="P11" i="36" a="1"/>
  <c r="P11" i="36" s="1"/>
  <c r="J11" i="36" s="1"/>
  <c r="AB10" i="36"/>
  <c r="Y10" i="36"/>
  <c r="Z10" i="36" s="1" a="1"/>
  <c r="Z10" i="36" s="1"/>
  <c r="U10" i="36"/>
  <c r="R10" i="36"/>
  <c r="S10" i="36" s="1" a="1"/>
  <c r="S10" i="36" s="1"/>
  <c r="P10" i="36" a="1"/>
  <c r="P10" i="36" s="1"/>
  <c r="J10" i="36" s="1"/>
  <c r="AB9" i="36"/>
  <c r="Y9" i="36"/>
  <c r="Z9" i="36" s="1" a="1"/>
  <c r="Z9" i="36" s="1"/>
  <c r="U9" i="36"/>
  <c r="R9" i="36"/>
  <c r="S9" i="36" s="1" a="1"/>
  <c r="S9" i="36" s="1"/>
  <c r="P9" i="36" a="1"/>
  <c r="P9" i="36" s="1"/>
  <c r="J9" i="36" s="1"/>
  <c r="AB8" i="36"/>
  <c r="Y8" i="36"/>
  <c r="Z8" i="36" s="1" a="1"/>
  <c r="Z8" i="36" s="1"/>
  <c r="U8" i="36"/>
  <c r="R8" i="36"/>
  <c r="S8" i="36" s="1" a="1"/>
  <c r="S8" i="36" s="1"/>
  <c r="P8" i="36" a="1"/>
  <c r="P8" i="36" s="1"/>
  <c r="J8" i="36" s="1"/>
  <c r="AB7" i="36"/>
  <c r="Y7" i="36"/>
  <c r="Z7" i="36" s="1" a="1"/>
  <c r="Z7" i="36" s="1"/>
  <c r="U7" i="36"/>
  <c r="R7" i="36"/>
  <c r="S7" i="36" s="1" a="1"/>
  <c r="S7" i="36" s="1"/>
  <c r="P7" i="36" a="1"/>
  <c r="P7" i="36" s="1"/>
  <c r="J7" i="36" s="1"/>
  <c r="AB6" i="36"/>
  <c r="Y6" i="36"/>
  <c r="Z6" i="36" s="1" a="1"/>
  <c r="Z6" i="36" s="1"/>
  <c r="U6" i="36"/>
  <c r="R6" i="36"/>
  <c r="S6" i="36" s="1" a="1"/>
  <c r="S6" i="36" s="1"/>
  <c r="P6" i="36" a="1"/>
  <c r="P6" i="36" s="1"/>
  <c r="J6" i="36" s="1"/>
  <c r="J201" i="37"/>
  <c r="J200" i="37"/>
  <c r="J199" i="37"/>
  <c r="J198" i="37"/>
  <c r="J197" i="37"/>
  <c r="J196" i="37"/>
  <c r="J195" i="37"/>
  <c r="J194" i="37"/>
  <c r="J193" i="37"/>
  <c r="J192" i="37"/>
  <c r="J191" i="37"/>
  <c r="J190" i="37"/>
  <c r="J189" i="37"/>
  <c r="J188" i="37"/>
  <c r="J185" i="37"/>
  <c r="J184" i="37"/>
  <c r="J183" i="37"/>
  <c r="J182" i="37"/>
  <c r="J181" i="37"/>
  <c r="J180" i="37"/>
  <c r="J179" i="37"/>
  <c r="J178" i="37"/>
  <c r="J177" i="37"/>
  <c r="J176" i="37"/>
  <c r="J175" i="37"/>
  <c r="J174" i="37"/>
  <c r="J173" i="37"/>
  <c r="J172" i="37"/>
  <c r="J171" i="37"/>
  <c r="J169" i="37"/>
  <c r="J168" i="37"/>
  <c r="J167" i="37"/>
  <c r="J165" i="37"/>
  <c r="J162" i="37"/>
  <c r="J161" i="37"/>
  <c r="J160" i="37"/>
  <c r="J159" i="37"/>
  <c r="J158" i="37"/>
  <c r="J157" i="37"/>
  <c r="J156" i="37"/>
  <c r="J155" i="37"/>
  <c r="J154" i="37"/>
  <c r="J153" i="37"/>
  <c r="J152" i="37"/>
  <c r="J151" i="37"/>
  <c r="J150" i="37"/>
  <c r="J149" i="37"/>
  <c r="J148" i="37"/>
  <c r="J147" i="37"/>
  <c r="J146" i="37"/>
  <c r="J145" i="37"/>
  <c r="J144" i="37"/>
  <c r="J142" i="37"/>
  <c r="J141" i="37"/>
  <c r="J140" i="37"/>
  <c r="J139" i="37"/>
  <c r="J138" i="37"/>
  <c r="J137" i="37"/>
  <c r="J136" i="37"/>
  <c r="J135" i="37"/>
  <c r="J134" i="37"/>
  <c r="J133" i="37"/>
  <c r="J132" i="37"/>
  <c r="J131" i="37"/>
  <c r="J129" i="37"/>
  <c r="J128" i="37"/>
  <c r="J127" i="37"/>
  <c r="J124" i="37"/>
  <c r="J121" i="37"/>
  <c r="J120" i="37"/>
  <c r="J119" i="37"/>
  <c r="J118" i="37"/>
  <c r="J117" i="37"/>
  <c r="J116" i="37"/>
  <c r="J115" i="37"/>
  <c r="J114" i="37"/>
  <c r="J113" i="37"/>
  <c r="J112" i="37"/>
  <c r="J111" i="37"/>
  <c r="J110" i="37"/>
  <c r="J109" i="37"/>
  <c r="J108" i="37"/>
  <c r="J107" i="37"/>
  <c r="J104" i="37"/>
  <c r="J103" i="37"/>
  <c r="J102" i="37"/>
  <c r="J101" i="37"/>
  <c r="J100" i="37"/>
  <c r="J99" i="37"/>
  <c r="J98" i="37"/>
  <c r="J97" i="37"/>
  <c r="J96" i="37"/>
  <c r="J95" i="37"/>
  <c r="J94" i="37"/>
  <c r="J93" i="37"/>
  <c r="J92" i="37"/>
  <c r="J91" i="37"/>
  <c r="J90" i="37"/>
  <c r="J88" i="37"/>
  <c r="J87" i="37"/>
  <c r="J85" i="37"/>
  <c r="J84" i="37"/>
  <c r="J83" i="37"/>
  <c r="J82" i="37"/>
  <c r="J81" i="37"/>
  <c r="J80" i="37"/>
  <c r="J79" i="37"/>
  <c r="J78" i="37"/>
  <c r="J77" i="37"/>
  <c r="J76" i="37"/>
  <c r="J75" i="37"/>
  <c r="J74" i="37"/>
  <c r="J73" i="37"/>
  <c r="J72" i="37"/>
  <c r="J71" i="37"/>
  <c r="J70" i="37"/>
  <c r="J69" i="37"/>
  <c r="J68" i="37"/>
  <c r="J67" i="37"/>
  <c r="J66" i="37"/>
  <c r="J65" i="37"/>
  <c r="J64" i="37"/>
  <c r="J62" i="37"/>
  <c r="J60" i="37"/>
  <c r="J59" i="37"/>
  <c r="J58" i="37"/>
  <c r="J57" i="37"/>
  <c r="J56" i="37"/>
  <c r="J55" i="37"/>
  <c r="J54" i="37"/>
  <c r="J53" i="37"/>
  <c r="J52" i="37"/>
  <c r="J51" i="37"/>
  <c r="J50" i="37"/>
  <c r="J49" i="37"/>
  <c r="J47" i="37"/>
  <c r="J45" i="37"/>
  <c r="J44" i="37"/>
  <c r="J42" i="37"/>
  <c r="J40" i="37"/>
  <c r="J39" i="37"/>
  <c r="J38" i="37"/>
  <c r="J37" i="37"/>
  <c r="J36" i="37"/>
  <c r="J35" i="37"/>
  <c r="J34" i="37"/>
  <c r="J33" i="37"/>
  <c r="J32" i="37"/>
  <c r="J31" i="37"/>
  <c r="J30" i="37"/>
  <c r="J28" i="37"/>
  <c r="J27" i="37"/>
  <c r="J26" i="37"/>
  <c r="J25" i="37"/>
  <c r="J24" i="37"/>
  <c r="J22" i="37"/>
  <c r="J19" i="37"/>
  <c r="J18" i="37"/>
  <c r="J17" i="37"/>
  <c r="J16" i="37"/>
  <c r="J15" i="37"/>
  <c r="J14" i="37"/>
  <c r="J13" i="37"/>
  <c r="J12" i="37"/>
  <c r="J11" i="37"/>
  <c r="J10" i="37"/>
  <c r="J9" i="37"/>
  <c r="J8" i="37"/>
  <c r="J7" i="37"/>
  <c r="J6" i="37"/>
  <c r="J157" i="38"/>
  <c r="J156" i="38"/>
  <c r="J153" i="38"/>
  <c r="J151" i="38"/>
  <c r="J149" i="38"/>
  <c r="J148" i="38"/>
  <c r="J144" i="38"/>
  <c r="J140" i="38"/>
  <c r="J139" i="38"/>
  <c r="J137" i="38"/>
  <c r="J134" i="38"/>
  <c r="J131" i="38"/>
  <c r="J129" i="38"/>
  <c r="J127" i="38"/>
  <c r="J123" i="38"/>
  <c r="J122" i="38"/>
  <c r="J120" i="38"/>
  <c r="J116" i="38"/>
  <c r="J114" i="38"/>
  <c r="J111" i="38"/>
  <c r="J110" i="38"/>
  <c r="J108" i="38"/>
  <c r="J106" i="38"/>
  <c r="J105" i="38"/>
  <c r="J104" i="38"/>
  <c r="J101" i="38"/>
  <c r="J98" i="38"/>
  <c r="J94" i="38"/>
  <c r="J92" i="38"/>
  <c r="J89" i="38"/>
  <c r="J86" i="38"/>
  <c r="J81" i="38"/>
  <c r="J80" i="38"/>
  <c r="J68" i="38"/>
  <c r="J65" i="38"/>
  <c r="J63" i="38"/>
  <c r="J62" i="38"/>
  <c r="J59" i="38"/>
  <c r="J58" i="38"/>
  <c r="J50" i="38"/>
  <c r="J49" i="38"/>
  <c r="J47" i="38"/>
  <c r="J45" i="38"/>
  <c r="J41" i="38"/>
  <c r="J40" i="38"/>
  <c r="J35" i="38"/>
  <c r="J34" i="38"/>
  <c r="J32" i="38"/>
  <c r="J31" i="38"/>
  <c r="J29" i="38"/>
  <c r="J28" i="38"/>
  <c r="J26" i="38"/>
  <c r="J25" i="38"/>
  <c r="J23" i="38"/>
  <c r="J22" i="38"/>
  <c r="J19" i="38"/>
  <c r="J18" i="38"/>
  <c r="J9" i="38"/>
  <c r="J8" i="38"/>
  <c r="J6" i="38"/>
  <c r="AG9" i="3" a="1"/>
  <c r="AF9" i="3" a="1"/>
  <c r="Y9" i="3" a="1"/>
  <c r="X9" i="3" a="1"/>
  <c r="W9" i="3" a="1"/>
  <c r="W9" i="3" s="1"/>
  <c r="V9" i="3" a="1"/>
  <c r="V9" i="3" s="1"/>
  <c r="AG11" i="3" a="1"/>
  <c r="AF11" i="3" a="1"/>
  <c r="Y11" i="3" a="1"/>
  <c r="X11" i="3" a="1"/>
  <c r="W11" i="3" a="1"/>
  <c r="W11" i="3" s="1"/>
  <c r="AG10" i="3" a="1"/>
  <c r="AF10" i="3" a="1"/>
  <c r="Y10" i="3" a="1"/>
  <c r="X10" i="3" a="1"/>
  <c r="W10" i="3" a="1"/>
  <c r="W10" i="3" s="1"/>
  <c r="AG13" i="3" a="1"/>
  <c r="AF13" i="3" a="1"/>
  <c r="Y13" i="3" a="1"/>
  <c r="X13" i="3" a="1"/>
  <c r="W13" i="3" a="1"/>
  <c r="W13" i="3" s="1"/>
  <c r="V13" i="3" a="1"/>
  <c r="V13" i="3" s="1"/>
  <c r="AG14" i="3" a="1"/>
  <c r="AF14" i="3" a="1"/>
  <c r="Y14" i="3" a="1"/>
  <c r="X14" i="3" a="1"/>
  <c r="W14" i="3" a="1"/>
  <c r="W14" i="3" s="1"/>
  <c r="AL9" i="3" a="1"/>
  <c r="AH9" i="3" a="1"/>
  <c r="AD9" i="3" a="1"/>
  <c r="AH13" i="3" a="1"/>
  <c r="AD13" i="3" a="1"/>
  <c r="AQ159" i="38"/>
  <c r="AN159" i="38"/>
  <c r="AO159" i="38" s="1" a="1"/>
  <c r="AO159" i="38" s="1"/>
  <c r="AJ159" i="38"/>
  <c r="AG159" i="38"/>
  <c r="AH159" i="38" s="1" a="1"/>
  <c r="AH159" i="38" s="1"/>
  <c r="AE159" i="38" a="1"/>
  <c r="AE159" i="38" s="1"/>
  <c r="H159" i="38" a="1"/>
  <c r="H159" i="38" s="1"/>
  <c r="AQ158" i="38"/>
  <c r="AN158" i="38"/>
  <c r="AO158" i="38" s="1" a="1"/>
  <c r="AO158" i="38" s="1"/>
  <c r="AJ158" i="38"/>
  <c r="AG158" i="38"/>
  <c r="AH158" i="38" s="1" a="1"/>
  <c r="AH158" i="38" s="1"/>
  <c r="AE158" i="38" a="1"/>
  <c r="AE158" i="38" s="1"/>
  <c r="K158" i="38"/>
  <c r="H158" i="38" a="1"/>
  <c r="H158" i="38" s="1"/>
  <c r="AQ157" i="38"/>
  <c r="AN157" i="38"/>
  <c r="AO157" i="38" s="1" a="1"/>
  <c r="AO157" i="38" s="1"/>
  <c r="AJ157" i="38"/>
  <c r="AG157" i="38"/>
  <c r="AH157" i="38" s="1" a="1"/>
  <c r="AH157" i="38" s="1"/>
  <c r="AE157" i="38" a="1"/>
  <c r="AE157" i="38" s="1"/>
  <c r="H157" i="38" a="1"/>
  <c r="H157" i="38" s="1"/>
  <c r="I157" i="38" a="1"/>
  <c r="I157" i="38" s="1"/>
  <c r="AQ156" i="38"/>
  <c r="AN156" i="38"/>
  <c r="AO156" i="38" s="1" a="1"/>
  <c r="AO156" i="38" s="1"/>
  <c r="AJ156" i="38"/>
  <c r="AG156" i="38"/>
  <c r="AH156" i="38" s="1" a="1"/>
  <c r="AH156" i="38" s="1"/>
  <c r="AE156" i="38" a="1"/>
  <c r="AE156" i="38" s="1"/>
  <c r="I156" i="38" a="1"/>
  <c r="I156" i="38" s="1"/>
  <c r="H156" i="38" a="1"/>
  <c r="H156" i="38" s="1"/>
  <c r="AQ155" i="38"/>
  <c r="AN155" i="38"/>
  <c r="AO155" i="38" s="1" a="1"/>
  <c r="AO155" i="38" s="1"/>
  <c r="AJ155" i="38"/>
  <c r="AG155" i="38"/>
  <c r="AH155" i="38" s="1" a="1"/>
  <c r="AH155" i="38" s="1"/>
  <c r="AE155" i="38" a="1"/>
  <c r="AE155" i="38" s="1"/>
  <c r="H155" i="38" a="1"/>
  <c r="H155" i="38" s="1"/>
  <c r="K155" i="38"/>
  <c r="AQ154" i="38"/>
  <c r="AN154" i="38"/>
  <c r="AO154" i="38" s="1" a="1"/>
  <c r="AO154" i="38" s="1"/>
  <c r="AJ154" i="38"/>
  <c r="AG154" i="38"/>
  <c r="AH154" i="38" s="1" a="1"/>
  <c r="AH154" i="38" s="1"/>
  <c r="AE154" i="38" a="1"/>
  <c r="AE154" i="38" s="1"/>
  <c r="H154" i="38" a="1"/>
  <c r="H154" i="38" s="1"/>
  <c r="AQ153" i="38"/>
  <c r="AN153" i="38"/>
  <c r="AO153" i="38" s="1" a="1"/>
  <c r="AO153" i="38" s="1"/>
  <c r="AJ153" i="38"/>
  <c r="AG153" i="38"/>
  <c r="AH153" i="38" s="1" a="1"/>
  <c r="AH153" i="38" s="1"/>
  <c r="AE153" i="38" a="1"/>
  <c r="AE153" i="38" s="1"/>
  <c r="K153" i="38"/>
  <c r="H153" i="38" a="1"/>
  <c r="H153" i="38" s="1"/>
  <c r="I153" i="38" a="1"/>
  <c r="I153" i="38" s="1"/>
  <c r="AQ152" i="38"/>
  <c r="AN152" i="38"/>
  <c r="AO152" i="38" s="1" a="1"/>
  <c r="AO152" i="38" s="1"/>
  <c r="AJ152" i="38"/>
  <c r="AG152" i="38"/>
  <c r="AH152" i="38" s="1" a="1"/>
  <c r="AH152" i="38" s="1"/>
  <c r="AE152" i="38" a="1"/>
  <c r="AE152" i="38" s="1"/>
  <c r="K152" i="38"/>
  <c r="H152" i="38" a="1"/>
  <c r="H152" i="38" s="1"/>
  <c r="AQ151" i="38"/>
  <c r="AN151" i="38"/>
  <c r="AO151" i="38" s="1" a="1"/>
  <c r="AO151" i="38" s="1"/>
  <c r="AJ151" i="38"/>
  <c r="AG151" i="38"/>
  <c r="AH151" i="38" s="1" a="1"/>
  <c r="AH151" i="38" s="1"/>
  <c r="AE151" i="38" a="1"/>
  <c r="AE151" i="38" s="1"/>
  <c r="I151" i="38" a="1"/>
  <c r="I151" i="38" s="1"/>
  <c r="H151" i="38" a="1"/>
  <c r="H151" i="38" s="1"/>
  <c r="AQ150" i="38"/>
  <c r="AN150" i="38"/>
  <c r="AO150" i="38" s="1" a="1"/>
  <c r="AO150" i="38" s="1"/>
  <c r="AJ150" i="38"/>
  <c r="AG150" i="38"/>
  <c r="AH150" i="38" s="1" a="1"/>
  <c r="AH150" i="38" s="1"/>
  <c r="AE150" i="38" a="1"/>
  <c r="AE150" i="38" s="1"/>
  <c r="H150" i="38" a="1"/>
  <c r="H150" i="38" s="1"/>
  <c r="K150" i="38"/>
  <c r="AQ149" i="38"/>
  <c r="AN149" i="38"/>
  <c r="AO149" i="38" s="1" a="1"/>
  <c r="AO149" i="38" s="1"/>
  <c r="AJ149" i="38"/>
  <c r="AG149" i="38"/>
  <c r="AH149" i="38" s="1" a="1"/>
  <c r="AH149" i="38" s="1"/>
  <c r="AE149" i="38" a="1"/>
  <c r="AE149" i="38" s="1"/>
  <c r="H149" i="38" a="1"/>
  <c r="H149" i="38" s="1"/>
  <c r="I149" i="38" a="1"/>
  <c r="I149" i="38" s="1"/>
  <c r="AQ148" i="38"/>
  <c r="AN148" i="38"/>
  <c r="AO148" i="38" s="1" a="1"/>
  <c r="AO148" i="38" s="1"/>
  <c r="AJ148" i="38"/>
  <c r="AG148" i="38"/>
  <c r="AH148" i="38" s="1" a="1"/>
  <c r="AH148" i="38" s="1"/>
  <c r="AE148" i="38" a="1"/>
  <c r="AE148" i="38" s="1"/>
  <c r="I148" i="38" a="1"/>
  <c r="I148" i="38" s="1"/>
  <c r="H148" i="38" a="1"/>
  <c r="H148" i="38" s="1"/>
  <c r="K148" i="38"/>
  <c r="AQ147" i="38"/>
  <c r="AN147" i="38"/>
  <c r="AO147" i="38" s="1" a="1"/>
  <c r="AO147" i="38" s="1"/>
  <c r="AJ147" i="38"/>
  <c r="AG147" i="38"/>
  <c r="AH147" i="38" s="1" a="1"/>
  <c r="AH147" i="38" s="1"/>
  <c r="AE147" i="38" a="1"/>
  <c r="AE147" i="38" s="1"/>
  <c r="I147" i="38" a="1"/>
  <c r="I147" i="38" s="1"/>
  <c r="H147" i="38" a="1"/>
  <c r="H147" i="38" s="1"/>
  <c r="AQ146" i="38"/>
  <c r="AN146" i="38"/>
  <c r="AO146" i="38" s="1" a="1"/>
  <c r="AO146" i="38" s="1"/>
  <c r="AJ146" i="38"/>
  <c r="AG146" i="38"/>
  <c r="AH146" i="38" s="1" a="1"/>
  <c r="AH146" i="38" s="1"/>
  <c r="AE146" i="38" a="1"/>
  <c r="AE146" i="38" s="1"/>
  <c r="K146" i="38"/>
  <c r="H146" i="38" a="1"/>
  <c r="H146" i="38" s="1"/>
  <c r="AQ145" i="38"/>
  <c r="AN145" i="38"/>
  <c r="AO145" i="38" s="1" a="1"/>
  <c r="AO145" i="38" s="1"/>
  <c r="AJ145" i="38"/>
  <c r="AG145" i="38"/>
  <c r="AH145" i="38" s="1" a="1"/>
  <c r="AH145" i="38" s="1"/>
  <c r="AE145" i="38" a="1"/>
  <c r="AE145" i="38" s="1"/>
  <c r="K145" i="38"/>
  <c r="I145" i="38" a="1"/>
  <c r="I145" i="38" s="1"/>
  <c r="H145" i="38" a="1"/>
  <c r="H145" i="38" s="1"/>
  <c r="AQ144" i="38"/>
  <c r="AN144" i="38"/>
  <c r="AO144" i="38" s="1" a="1"/>
  <c r="AO144" i="38" s="1"/>
  <c r="AJ144" i="38"/>
  <c r="AG144" i="38"/>
  <c r="AH144" i="38" s="1" a="1"/>
  <c r="AH144" i="38" s="1"/>
  <c r="AE144" i="38" a="1"/>
  <c r="AE144" i="38" s="1"/>
  <c r="H144" i="38" a="1"/>
  <c r="H144" i="38" s="1"/>
  <c r="K144" i="38"/>
  <c r="I144" i="38" a="1"/>
  <c r="I144" i="38" s="1"/>
  <c r="AQ143" i="38"/>
  <c r="AN143" i="38"/>
  <c r="AO143" i="38" s="1" a="1"/>
  <c r="AO143" i="38" s="1"/>
  <c r="AJ143" i="38"/>
  <c r="AG143" i="38"/>
  <c r="AH143" i="38" s="1" a="1"/>
  <c r="AH143" i="38" s="1"/>
  <c r="AE143" i="38" a="1"/>
  <c r="AE143" i="38" s="1"/>
  <c r="K143" i="38"/>
  <c r="H143" i="38" a="1"/>
  <c r="H143" i="38" s="1"/>
  <c r="AQ142" i="38"/>
  <c r="AN142" i="38"/>
  <c r="AO142" i="38" s="1" a="1"/>
  <c r="AO142" i="38" s="1"/>
  <c r="AJ142" i="38"/>
  <c r="AG142" i="38"/>
  <c r="AH142" i="38" s="1" a="1"/>
  <c r="AH142" i="38" s="1"/>
  <c r="AE142" i="38" a="1"/>
  <c r="AE142" i="38" s="1"/>
  <c r="K142" i="38"/>
  <c r="H142" i="38" a="1"/>
  <c r="H142" i="38" s="1"/>
  <c r="AQ141" i="38"/>
  <c r="AN141" i="38"/>
  <c r="AO141" i="38" s="1" a="1"/>
  <c r="AO141" i="38" s="1"/>
  <c r="AJ141" i="38"/>
  <c r="AG141" i="38"/>
  <c r="AH141" i="38" s="1" a="1"/>
  <c r="AH141" i="38" s="1"/>
  <c r="AE141" i="38" a="1"/>
  <c r="AE141" i="38" s="1"/>
  <c r="H141" i="38" a="1"/>
  <c r="H141" i="38" s="1"/>
  <c r="J141" i="38"/>
  <c r="I141" i="38" a="1"/>
  <c r="I141" i="38" s="1"/>
  <c r="AQ140" i="38"/>
  <c r="AN140" i="38"/>
  <c r="AO140" i="38" s="1" a="1"/>
  <c r="AO140" i="38" s="1"/>
  <c r="AJ140" i="38"/>
  <c r="AG140" i="38"/>
  <c r="AH140" i="38" s="1" a="1"/>
  <c r="AH140" i="38" s="1"/>
  <c r="AE140" i="38" a="1"/>
  <c r="AE140" i="38" s="1"/>
  <c r="K140" i="38"/>
  <c r="H140" i="38" a="1"/>
  <c r="H140" i="38" s="1"/>
  <c r="I140" i="38" a="1"/>
  <c r="I140" i="38" s="1"/>
  <c r="AQ139" i="38"/>
  <c r="AN139" i="38"/>
  <c r="AO139" i="38" s="1" a="1"/>
  <c r="AO139" i="38" s="1"/>
  <c r="AJ139" i="38"/>
  <c r="AG139" i="38"/>
  <c r="AH139" i="38" s="1" a="1"/>
  <c r="AH139" i="38" s="1"/>
  <c r="AE139" i="38" a="1"/>
  <c r="AE139" i="38" s="1"/>
  <c r="H139" i="38" a="1"/>
  <c r="H139" i="38" s="1"/>
  <c r="AQ138" i="38"/>
  <c r="AN138" i="38"/>
  <c r="AO138" i="38" s="1" a="1"/>
  <c r="AO138" i="38" s="1"/>
  <c r="AJ138" i="38"/>
  <c r="AG138" i="38"/>
  <c r="AH138" i="38" s="1" a="1"/>
  <c r="AH138" i="38" s="1"/>
  <c r="AE138" i="38" a="1"/>
  <c r="AE138" i="38" s="1"/>
  <c r="H138" i="38" a="1"/>
  <c r="H138" i="38" s="1"/>
  <c r="AQ137" i="38"/>
  <c r="AN137" i="38"/>
  <c r="AO137" i="38" s="1" a="1"/>
  <c r="AO137" i="38" s="1"/>
  <c r="AJ137" i="38"/>
  <c r="AG137" i="38"/>
  <c r="AH137" i="38" s="1" a="1"/>
  <c r="AH137" i="38" s="1"/>
  <c r="AE137" i="38" a="1"/>
  <c r="AE137" i="38" s="1"/>
  <c r="H137" i="38" a="1"/>
  <c r="H137" i="38" s="1"/>
  <c r="K137" i="38"/>
  <c r="I137" i="38" a="1"/>
  <c r="I137" i="38" s="1"/>
  <c r="AQ136" i="38"/>
  <c r="AN136" i="38"/>
  <c r="AO136" i="38" s="1" a="1"/>
  <c r="AO136" i="38" s="1"/>
  <c r="AJ136" i="38"/>
  <c r="AG136" i="38"/>
  <c r="AH136" i="38" s="1" a="1"/>
  <c r="AH136" i="38" s="1"/>
  <c r="AE136" i="38" a="1"/>
  <c r="AE136" i="38" s="1"/>
  <c r="H136" i="38" a="1"/>
  <c r="H136" i="38" s="1"/>
  <c r="AQ135" i="38"/>
  <c r="AN135" i="38"/>
  <c r="AO135" i="38" s="1" a="1"/>
  <c r="AO135" i="38" s="1"/>
  <c r="AJ135" i="38"/>
  <c r="AG135" i="38"/>
  <c r="AH135" i="38" s="1" a="1"/>
  <c r="AH135" i="38" s="1"/>
  <c r="AE135" i="38" a="1"/>
  <c r="AE135" i="38" s="1"/>
  <c r="K135" i="38"/>
  <c r="H135" i="38" a="1"/>
  <c r="H135" i="38" s="1"/>
  <c r="AQ134" i="38"/>
  <c r="AN134" i="38"/>
  <c r="AO134" i="38" s="1" a="1"/>
  <c r="AO134" i="38" s="1"/>
  <c r="AJ134" i="38"/>
  <c r="AG134" i="38"/>
  <c r="AH134" i="38" s="1" a="1"/>
  <c r="AH134" i="38" s="1"/>
  <c r="AE134" i="38" a="1"/>
  <c r="AE134" i="38" s="1"/>
  <c r="I134" i="38" a="1"/>
  <c r="I134" i="38" s="1"/>
  <c r="H134" i="38" a="1"/>
  <c r="H134" i="38" s="1"/>
  <c r="AQ133" i="38"/>
  <c r="AN133" i="38"/>
  <c r="AO133" i="38" s="1" a="1"/>
  <c r="AO133" i="38" s="1"/>
  <c r="AJ133" i="38"/>
  <c r="AG133" i="38"/>
  <c r="AH133" i="38" s="1" a="1"/>
  <c r="AH133" i="38" s="1"/>
  <c r="AE133" i="38" a="1"/>
  <c r="AE133" i="38" s="1"/>
  <c r="K133" i="38"/>
  <c r="H133" i="38" a="1"/>
  <c r="H133" i="38" s="1"/>
  <c r="AQ132" i="38"/>
  <c r="AN132" i="38"/>
  <c r="AO132" i="38" s="1" a="1"/>
  <c r="AO132" i="38" s="1"/>
  <c r="AJ132" i="38"/>
  <c r="AG132" i="38"/>
  <c r="AH132" i="38" s="1" a="1"/>
  <c r="AH132" i="38" s="1"/>
  <c r="AE132" i="38" a="1"/>
  <c r="AE132" i="38" s="1"/>
  <c r="H132" i="38" a="1"/>
  <c r="H132" i="38" s="1"/>
  <c r="AQ131" i="38"/>
  <c r="AN131" i="38"/>
  <c r="AO131" i="38" s="1" a="1"/>
  <c r="AO131" i="38" s="1"/>
  <c r="AJ131" i="38"/>
  <c r="AG131" i="38"/>
  <c r="AH131" i="38" s="1" a="1"/>
  <c r="AH131" i="38" s="1"/>
  <c r="AE131" i="38" a="1"/>
  <c r="AE131" i="38" s="1"/>
  <c r="I131" i="38" a="1"/>
  <c r="I131" i="38" s="1"/>
  <c r="H131" i="38" a="1"/>
  <c r="H131" i="38" s="1"/>
  <c r="AQ130" i="38"/>
  <c r="AN130" i="38"/>
  <c r="AO130" i="38" s="1" a="1"/>
  <c r="AO130" i="38" s="1"/>
  <c r="AJ130" i="38"/>
  <c r="AG130" i="38"/>
  <c r="AH130" i="38" s="1" a="1"/>
  <c r="AH130" i="38" s="1"/>
  <c r="AE130" i="38" a="1"/>
  <c r="AE130" i="38" s="1"/>
  <c r="H130" i="38" a="1"/>
  <c r="H130" i="38" s="1"/>
  <c r="AQ129" i="38"/>
  <c r="AN129" i="38"/>
  <c r="AO129" i="38" s="1" a="1"/>
  <c r="AO129" i="38" s="1"/>
  <c r="AJ129" i="38"/>
  <c r="AG129" i="38"/>
  <c r="AH129" i="38" s="1" a="1"/>
  <c r="AH129" i="38" s="1"/>
  <c r="AE129" i="38" a="1"/>
  <c r="AE129" i="38" s="1"/>
  <c r="K129" i="38"/>
  <c r="H129" i="38" a="1"/>
  <c r="H129" i="38" s="1"/>
  <c r="I129" i="38" a="1"/>
  <c r="I129" i="38" s="1"/>
  <c r="AQ128" i="38"/>
  <c r="AN128" i="38"/>
  <c r="AO128" i="38" s="1" a="1"/>
  <c r="AO128" i="38" s="1"/>
  <c r="AJ128" i="38"/>
  <c r="AG128" i="38"/>
  <c r="AH128" i="38" s="1" a="1"/>
  <c r="AH128" i="38" s="1"/>
  <c r="AE128" i="38" a="1"/>
  <c r="AE128" i="38" s="1"/>
  <c r="H128" i="38" a="1"/>
  <c r="H128" i="38" s="1"/>
  <c r="K128" i="38"/>
  <c r="AQ127" i="38"/>
  <c r="AN127" i="38"/>
  <c r="AO127" i="38" s="1" a="1"/>
  <c r="AO127" i="38" s="1"/>
  <c r="AJ127" i="38"/>
  <c r="AG127" i="38"/>
  <c r="AH127" i="38" s="1" a="1"/>
  <c r="AH127" i="38" s="1"/>
  <c r="AE127" i="38" a="1"/>
  <c r="AE127" i="38" s="1"/>
  <c r="K127" i="38"/>
  <c r="I127" i="38" a="1"/>
  <c r="I127" i="38" s="1"/>
  <c r="H127" i="38" a="1"/>
  <c r="H127" i="38" s="1"/>
  <c r="AQ126" i="38"/>
  <c r="AN126" i="38"/>
  <c r="AO126" i="38" s="1" a="1"/>
  <c r="AO126" i="38" s="1"/>
  <c r="AJ126" i="38"/>
  <c r="AG126" i="38"/>
  <c r="AH126" i="38" s="1" a="1"/>
  <c r="AH126" i="38" s="1"/>
  <c r="AE126" i="38" a="1"/>
  <c r="AE126" i="38" s="1"/>
  <c r="I126" i="38" a="1"/>
  <c r="I126" i="38" s="1"/>
  <c r="H126" i="38" a="1"/>
  <c r="H126" i="38" s="1"/>
  <c r="AQ125" i="38"/>
  <c r="AN125" i="38"/>
  <c r="AO125" i="38" s="1" a="1"/>
  <c r="AO125" i="38" s="1"/>
  <c r="AJ125" i="38"/>
  <c r="AG125" i="38"/>
  <c r="AH125" i="38" s="1" a="1"/>
  <c r="AH125" i="38" s="1"/>
  <c r="AE125" i="38" a="1"/>
  <c r="AE125" i="38" s="1"/>
  <c r="H125" i="38" a="1"/>
  <c r="H125" i="38" s="1"/>
  <c r="AQ124" i="38"/>
  <c r="AN124" i="38"/>
  <c r="AO124" i="38" s="1" a="1"/>
  <c r="AO124" i="38" s="1"/>
  <c r="AJ124" i="38"/>
  <c r="AG124" i="38"/>
  <c r="AH124" i="38" s="1" a="1"/>
  <c r="AH124" i="38" s="1"/>
  <c r="AE124" i="38" a="1"/>
  <c r="AE124" i="38" s="1"/>
  <c r="H124" i="38" a="1"/>
  <c r="H124" i="38" s="1"/>
  <c r="AQ123" i="38"/>
  <c r="AN123" i="38"/>
  <c r="AO123" i="38" s="1" a="1"/>
  <c r="AO123" i="38" s="1"/>
  <c r="AJ123" i="38"/>
  <c r="AG123" i="38"/>
  <c r="AH123" i="38" s="1" a="1"/>
  <c r="AH123" i="38" s="1"/>
  <c r="AE123" i="38" a="1"/>
  <c r="AE123" i="38" s="1"/>
  <c r="K123" i="38"/>
  <c r="H123" i="38" a="1"/>
  <c r="H123" i="38" s="1"/>
  <c r="AQ122" i="38"/>
  <c r="AN122" i="38"/>
  <c r="AO122" i="38" s="1" a="1"/>
  <c r="AO122" i="38" s="1"/>
  <c r="AJ122" i="38"/>
  <c r="AG122" i="38"/>
  <c r="AH122" i="38" s="1" a="1"/>
  <c r="AH122" i="38" s="1"/>
  <c r="AE122" i="38" a="1"/>
  <c r="AE122" i="38" s="1"/>
  <c r="K122" i="38"/>
  <c r="I122" i="38" a="1"/>
  <c r="I122" i="38" s="1"/>
  <c r="H122" i="38" a="1"/>
  <c r="H122" i="38" s="1"/>
  <c r="AQ121" i="38"/>
  <c r="AN121" i="38"/>
  <c r="AO121" i="38" s="1" a="1"/>
  <c r="AO121" i="38" s="1"/>
  <c r="AJ121" i="38"/>
  <c r="AG121" i="38"/>
  <c r="AH121" i="38" s="1" a="1"/>
  <c r="AH121" i="38" s="1"/>
  <c r="AE121" i="38" a="1"/>
  <c r="AE121" i="38" s="1"/>
  <c r="H121" i="38" a="1"/>
  <c r="H121" i="38" s="1"/>
  <c r="AQ120" i="38"/>
  <c r="AN120" i="38"/>
  <c r="AO120" i="38" s="1" a="1"/>
  <c r="AO120" i="38" s="1"/>
  <c r="AJ120" i="38"/>
  <c r="AG120" i="38"/>
  <c r="AH120" i="38" s="1" a="1"/>
  <c r="AH120" i="38" s="1"/>
  <c r="AE120" i="38" a="1"/>
  <c r="AE120" i="38" s="1"/>
  <c r="H120" i="38" a="1"/>
  <c r="H120" i="38" s="1"/>
  <c r="K120" i="38"/>
  <c r="I120" i="38" a="1"/>
  <c r="I120" i="38" s="1"/>
  <c r="AQ119" i="38"/>
  <c r="AN119" i="38"/>
  <c r="AO119" i="38" s="1" a="1"/>
  <c r="AO119" i="38" s="1"/>
  <c r="AJ119" i="38"/>
  <c r="AG119" i="38"/>
  <c r="AH119" i="38" s="1" a="1"/>
  <c r="AH119" i="38" s="1"/>
  <c r="AE119" i="38" a="1"/>
  <c r="AE119" i="38" s="1"/>
  <c r="K119" i="38"/>
  <c r="H119" i="38" a="1"/>
  <c r="H119" i="38" s="1"/>
  <c r="AQ118" i="38"/>
  <c r="AN118" i="38"/>
  <c r="AO118" i="38" s="1" a="1"/>
  <c r="AO118" i="38" s="1"/>
  <c r="AJ118" i="38"/>
  <c r="AG118" i="38"/>
  <c r="AH118" i="38" s="1" a="1"/>
  <c r="AH118" i="38" s="1"/>
  <c r="AE118" i="38" a="1"/>
  <c r="AE118" i="38" s="1"/>
  <c r="K118" i="38"/>
  <c r="H118" i="38" a="1"/>
  <c r="H118" i="38" s="1"/>
  <c r="AQ117" i="38"/>
  <c r="AN117" i="38"/>
  <c r="AO117" i="38" s="1" a="1"/>
  <c r="AO117" i="38" s="1"/>
  <c r="AJ117" i="38"/>
  <c r="AG117" i="38"/>
  <c r="AH117" i="38" s="1" a="1"/>
  <c r="AH117" i="38" s="1"/>
  <c r="AE117" i="38" a="1"/>
  <c r="AE117" i="38" s="1"/>
  <c r="K117" i="38"/>
  <c r="H117" i="38" a="1"/>
  <c r="H117" i="38" s="1"/>
  <c r="AQ116" i="38"/>
  <c r="AN116" i="38"/>
  <c r="AO116" i="38" s="1" a="1"/>
  <c r="AO116" i="38" s="1"/>
  <c r="AJ116" i="38"/>
  <c r="AG116" i="38"/>
  <c r="AH116" i="38" s="1" a="1"/>
  <c r="AH116" i="38" s="1"/>
  <c r="AE116" i="38" a="1"/>
  <c r="AE116" i="38" s="1"/>
  <c r="I116" i="38" a="1"/>
  <c r="I116" i="38" s="1"/>
  <c r="H116" i="38" a="1"/>
  <c r="H116" i="38" s="1"/>
  <c r="AQ115" i="38"/>
  <c r="AN115" i="38"/>
  <c r="AO115" i="38" s="1" a="1"/>
  <c r="AO115" i="38" s="1"/>
  <c r="AJ115" i="38"/>
  <c r="AG115" i="38"/>
  <c r="AH115" i="38" s="1" a="1"/>
  <c r="AH115" i="38" s="1"/>
  <c r="AE115" i="38" a="1"/>
  <c r="AE115" i="38" s="1"/>
  <c r="J115" i="38"/>
  <c r="I115" i="38" a="1"/>
  <c r="I115" i="38" s="1"/>
  <c r="H115" i="38" a="1"/>
  <c r="H115" i="38" s="1"/>
  <c r="AQ114" i="38"/>
  <c r="AN114" i="38"/>
  <c r="AO114" i="38" s="1" a="1"/>
  <c r="AO114" i="38" s="1"/>
  <c r="AJ114" i="38"/>
  <c r="AG114" i="38"/>
  <c r="AH114" i="38" s="1" a="1"/>
  <c r="AH114" i="38" s="1"/>
  <c r="AE114" i="38" a="1"/>
  <c r="AE114" i="38" s="1"/>
  <c r="H114" i="38" a="1"/>
  <c r="H114" i="38" s="1"/>
  <c r="I114" i="38" a="1"/>
  <c r="I114" i="38" s="1"/>
  <c r="AQ113" i="38"/>
  <c r="AN113" i="38"/>
  <c r="AO113" i="38" s="1" a="1"/>
  <c r="AO113" i="38" s="1"/>
  <c r="AJ113" i="38"/>
  <c r="AG113" i="38"/>
  <c r="AH113" i="38" s="1" a="1"/>
  <c r="AH113" i="38" s="1"/>
  <c r="AE113" i="38" a="1"/>
  <c r="AE113" i="38" s="1"/>
  <c r="H113" i="38" a="1"/>
  <c r="H113" i="38" s="1"/>
  <c r="AQ112" i="38"/>
  <c r="AN112" i="38"/>
  <c r="AO112" i="38" s="1" a="1"/>
  <c r="AO112" i="38" s="1"/>
  <c r="AJ112" i="38"/>
  <c r="AG112" i="38"/>
  <c r="AH112" i="38" s="1" a="1"/>
  <c r="AH112" i="38" s="1"/>
  <c r="AE112" i="38" a="1"/>
  <c r="AE112" i="38" s="1"/>
  <c r="H112" i="38" a="1"/>
  <c r="H112" i="38" s="1"/>
  <c r="AQ111" i="38"/>
  <c r="AN111" i="38"/>
  <c r="AO111" i="38" s="1" a="1"/>
  <c r="AO111" i="38" s="1"/>
  <c r="AJ111" i="38"/>
  <c r="AG111" i="38"/>
  <c r="AH111" i="38" s="1" a="1"/>
  <c r="AH111" i="38" s="1"/>
  <c r="AE111" i="38" a="1"/>
  <c r="AE111" i="38" s="1"/>
  <c r="K111" i="38"/>
  <c r="I111" i="38" a="1"/>
  <c r="I111" i="38" s="1"/>
  <c r="H111" i="38" a="1"/>
  <c r="H111" i="38" s="1"/>
  <c r="AQ110" i="38"/>
  <c r="AN110" i="38"/>
  <c r="AO110" i="38" s="1" a="1"/>
  <c r="AO110" i="38" s="1"/>
  <c r="AJ110" i="38"/>
  <c r="AG110" i="38"/>
  <c r="AH110" i="38" s="1" a="1"/>
  <c r="AH110" i="38" s="1"/>
  <c r="AE110" i="38" a="1"/>
  <c r="AE110" i="38" s="1"/>
  <c r="H110" i="38" a="1"/>
  <c r="H110" i="38" s="1"/>
  <c r="I110" i="38" a="1"/>
  <c r="I110" i="38" s="1"/>
  <c r="AQ109" i="38"/>
  <c r="AN109" i="38"/>
  <c r="AO109" i="38" s="1" a="1"/>
  <c r="AO109" i="38" s="1"/>
  <c r="AJ109" i="38"/>
  <c r="AG109" i="38"/>
  <c r="AH109" i="38" s="1" a="1"/>
  <c r="AH109" i="38" s="1"/>
  <c r="AE109" i="38" a="1"/>
  <c r="AE109" i="38" s="1"/>
  <c r="H109" i="38" a="1"/>
  <c r="H109" i="38" s="1"/>
  <c r="K109" i="38"/>
  <c r="AQ108" i="38"/>
  <c r="AN108" i="38"/>
  <c r="AO108" i="38" s="1" a="1"/>
  <c r="AO108" i="38" s="1"/>
  <c r="AJ108" i="38"/>
  <c r="AG108" i="38"/>
  <c r="AH108" i="38" s="1" a="1"/>
  <c r="AH108" i="38" s="1"/>
  <c r="AE108" i="38" a="1"/>
  <c r="AE108" i="38" s="1"/>
  <c r="I108" i="38" a="1"/>
  <c r="I108" i="38" s="1"/>
  <c r="H108" i="38" a="1"/>
  <c r="H108" i="38" s="1"/>
  <c r="AQ107" i="38"/>
  <c r="AN107" i="38"/>
  <c r="AO107" i="38" s="1" a="1"/>
  <c r="AO107" i="38" s="1"/>
  <c r="AJ107" i="38"/>
  <c r="AG107" i="38"/>
  <c r="AH107" i="38" s="1" a="1"/>
  <c r="AH107" i="38" s="1"/>
  <c r="AE107" i="38" a="1"/>
  <c r="AE107" i="38" s="1"/>
  <c r="H107" i="38" a="1"/>
  <c r="H107" i="38" s="1"/>
  <c r="AQ106" i="38"/>
  <c r="AN106" i="38"/>
  <c r="AO106" i="38" s="1" a="1"/>
  <c r="AO106" i="38" s="1"/>
  <c r="AJ106" i="38"/>
  <c r="AG106" i="38"/>
  <c r="AH106" i="38" s="1" a="1"/>
  <c r="AH106" i="38" s="1"/>
  <c r="AE106" i="38" a="1"/>
  <c r="AE106" i="38" s="1"/>
  <c r="H106" i="38" a="1"/>
  <c r="H106" i="38" s="1"/>
  <c r="I106" i="38" a="1"/>
  <c r="I106" i="38" s="1"/>
  <c r="AQ105" i="38"/>
  <c r="AN105" i="38"/>
  <c r="AO105" i="38" s="1" a="1"/>
  <c r="AO105" i="38" s="1"/>
  <c r="AJ105" i="38"/>
  <c r="AG105" i="38"/>
  <c r="AH105" i="38" s="1" a="1"/>
  <c r="AH105" i="38" s="1"/>
  <c r="AE105" i="38" a="1"/>
  <c r="AE105" i="38" s="1"/>
  <c r="I105" i="38" a="1"/>
  <c r="I105" i="38" s="1"/>
  <c r="H105" i="38" a="1"/>
  <c r="H105" i="38" s="1"/>
  <c r="AQ104" i="38"/>
  <c r="AN104" i="38"/>
  <c r="AO104" i="38" s="1" a="1"/>
  <c r="AO104" i="38" s="1"/>
  <c r="AJ104" i="38"/>
  <c r="AG104" i="38"/>
  <c r="AH104" i="38" s="1" a="1"/>
  <c r="AH104" i="38" s="1"/>
  <c r="AE104" i="38" a="1"/>
  <c r="AE104" i="38" s="1"/>
  <c r="I104" i="38" a="1"/>
  <c r="I104" i="38" s="1"/>
  <c r="K104" i="38"/>
  <c r="H104" i="38" a="1"/>
  <c r="H104" i="38" s="1"/>
  <c r="AQ103" i="38"/>
  <c r="AN103" i="38"/>
  <c r="AO103" i="38" s="1" a="1"/>
  <c r="AO103" i="38" s="1"/>
  <c r="AJ103" i="38"/>
  <c r="AG103" i="38"/>
  <c r="AH103" i="38" s="1" a="1"/>
  <c r="AH103" i="38" s="1"/>
  <c r="AE103" i="38" a="1"/>
  <c r="AE103" i="38" s="1"/>
  <c r="K103" i="38"/>
  <c r="I103" i="38" a="1"/>
  <c r="I103" i="38" s="1"/>
  <c r="H103" i="38" a="1"/>
  <c r="H103" i="38" s="1"/>
  <c r="AQ102" i="38"/>
  <c r="AN102" i="38"/>
  <c r="AO102" i="38" s="1" a="1"/>
  <c r="AO102" i="38" s="1"/>
  <c r="AJ102" i="38"/>
  <c r="AG102" i="38"/>
  <c r="AH102" i="38" s="1" a="1"/>
  <c r="AH102" i="38" s="1"/>
  <c r="AE102" i="38" a="1"/>
  <c r="AE102" i="38" s="1"/>
  <c r="J102" i="38"/>
  <c r="H102" i="38" a="1"/>
  <c r="H102" i="38" s="1"/>
  <c r="I102" i="38" a="1"/>
  <c r="I102" i="38" s="1"/>
  <c r="AQ101" i="38"/>
  <c r="AN101" i="38"/>
  <c r="AO101" i="38" s="1" a="1"/>
  <c r="AO101" i="38" s="1"/>
  <c r="AJ101" i="38"/>
  <c r="AG101" i="38"/>
  <c r="AH101" i="38" s="1" a="1"/>
  <c r="AH101" i="38" s="1"/>
  <c r="AE101" i="38" a="1"/>
  <c r="AE101" i="38" s="1"/>
  <c r="K101" i="38"/>
  <c r="H101" i="38" a="1"/>
  <c r="H101" i="38" s="1"/>
  <c r="AQ100" i="38"/>
  <c r="AN100" i="38"/>
  <c r="AO100" i="38" s="1" a="1"/>
  <c r="AO100" i="38" s="1"/>
  <c r="AJ100" i="38"/>
  <c r="AG100" i="38"/>
  <c r="AH100" i="38" s="1" a="1"/>
  <c r="AH100" i="38" s="1"/>
  <c r="AE100" i="38" a="1"/>
  <c r="AE100" i="38" s="1"/>
  <c r="K100" i="38"/>
  <c r="H100" i="38" a="1"/>
  <c r="H100" i="38" s="1"/>
  <c r="AQ99" i="38"/>
  <c r="AN99" i="38"/>
  <c r="AO99" i="38" s="1" a="1"/>
  <c r="AO99" i="38" s="1"/>
  <c r="AJ99" i="38"/>
  <c r="AG99" i="38"/>
  <c r="AH99" i="38" s="1" a="1"/>
  <c r="AH99" i="38" s="1"/>
  <c r="AE99" i="38" a="1"/>
  <c r="AE99" i="38" s="1"/>
  <c r="H99" i="38" a="1"/>
  <c r="H99" i="38" s="1"/>
  <c r="AQ98" i="38"/>
  <c r="AN98" i="38"/>
  <c r="AO98" i="38" s="1" a="1"/>
  <c r="AO98" i="38" s="1"/>
  <c r="AJ98" i="38"/>
  <c r="AG98" i="38"/>
  <c r="AH98" i="38" s="1" a="1"/>
  <c r="AH98" i="38" s="1"/>
  <c r="AE98" i="38" a="1"/>
  <c r="AE98" i="38" s="1"/>
  <c r="H98" i="38" a="1"/>
  <c r="H98" i="38" s="1"/>
  <c r="I98" i="38" a="1"/>
  <c r="I98" i="38" s="1"/>
  <c r="AQ97" i="38"/>
  <c r="AN97" i="38"/>
  <c r="AO97" i="38" s="1" a="1"/>
  <c r="AO97" i="38" s="1"/>
  <c r="AJ97" i="38"/>
  <c r="AG97" i="38"/>
  <c r="AH97" i="38" s="1" a="1"/>
  <c r="AH97" i="38" s="1"/>
  <c r="AE97" i="38" a="1"/>
  <c r="AE97" i="38" s="1"/>
  <c r="H97" i="38" a="1"/>
  <c r="H97" i="38" s="1"/>
  <c r="K97" i="38"/>
  <c r="AQ96" i="38"/>
  <c r="AN96" i="38"/>
  <c r="AO96" i="38" s="1" a="1"/>
  <c r="AO96" i="38" s="1"/>
  <c r="AJ96" i="38"/>
  <c r="AG96" i="38"/>
  <c r="AH96" i="38" s="1" a="1"/>
  <c r="AH96" i="38" s="1"/>
  <c r="AE96" i="38" a="1"/>
  <c r="AE96" i="38" s="1"/>
  <c r="H96" i="38" a="1"/>
  <c r="H96" i="38" s="1"/>
  <c r="K96" i="38"/>
  <c r="AQ95" i="38"/>
  <c r="AN95" i="38"/>
  <c r="AO95" i="38" s="1" a="1"/>
  <c r="AO95" i="38" s="1"/>
  <c r="AJ95" i="38"/>
  <c r="AG95" i="38"/>
  <c r="AH95" i="38" s="1" a="1"/>
  <c r="AH95" i="38" s="1"/>
  <c r="AE95" i="38" a="1"/>
  <c r="AE95" i="38" s="1"/>
  <c r="H95" i="38" a="1"/>
  <c r="H95" i="38" s="1"/>
  <c r="I95" i="38" a="1"/>
  <c r="I95" i="38" s="1"/>
  <c r="AQ94" i="38"/>
  <c r="AN94" i="38"/>
  <c r="AO94" i="38" s="1" a="1"/>
  <c r="AO94" i="38" s="1"/>
  <c r="AJ94" i="38"/>
  <c r="AG94" i="38"/>
  <c r="AH94" i="38" s="1" a="1"/>
  <c r="AH94" i="38" s="1"/>
  <c r="AE94" i="38" a="1"/>
  <c r="AE94" i="38" s="1"/>
  <c r="I94" i="38" a="1"/>
  <c r="I94" i="38" s="1"/>
  <c r="H94" i="38" a="1"/>
  <c r="H94" i="38" s="1"/>
  <c r="AQ93" i="38"/>
  <c r="AN93" i="38"/>
  <c r="AO93" i="38" s="1" a="1"/>
  <c r="AO93" i="38" s="1"/>
  <c r="AJ93" i="38"/>
  <c r="AG93" i="38"/>
  <c r="AH93" i="38" s="1" a="1"/>
  <c r="AH93" i="38" s="1"/>
  <c r="AE93" i="38" a="1"/>
  <c r="AE93" i="38" s="1"/>
  <c r="J93" i="38"/>
  <c r="H93" i="38" a="1"/>
  <c r="H93" i="38" s="1"/>
  <c r="I93" i="38" a="1"/>
  <c r="I93" i="38" s="1"/>
  <c r="AQ92" i="38"/>
  <c r="AN92" i="38"/>
  <c r="AO92" i="38" s="1" a="1"/>
  <c r="AO92" i="38" s="1"/>
  <c r="AJ92" i="38"/>
  <c r="AG92" i="38"/>
  <c r="AH92" i="38" s="1" a="1"/>
  <c r="AH92" i="38" s="1"/>
  <c r="AE92" i="38" a="1"/>
  <c r="AE92" i="38" s="1"/>
  <c r="I92" i="38" a="1"/>
  <c r="I92" i="38" s="1"/>
  <c r="H92" i="38" a="1"/>
  <c r="H92" i="38" s="1"/>
  <c r="AQ91" i="38"/>
  <c r="AN91" i="38"/>
  <c r="AO91" i="38" s="1" a="1"/>
  <c r="AO91" i="38" s="1"/>
  <c r="AJ91" i="38"/>
  <c r="AG91" i="38"/>
  <c r="AH91" i="38" s="1" a="1"/>
  <c r="AH91" i="38" s="1"/>
  <c r="AE91" i="38" a="1"/>
  <c r="AE91" i="38" s="1"/>
  <c r="H91" i="38" a="1"/>
  <c r="H91" i="38" s="1"/>
  <c r="AQ90" i="38"/>
  <c r="AN90" i="38"/>
  <c r="AO90" i="38" s="1" a="1"/>
  <c r="AO90" i="38" s="1"/>
  <c r="AJ90" i="38"/>
  <c r="AG90" i="38"/>
  <c r="AH90" i="38" s="1" a="1"/>
  <c r="AH90" i="38" s="1"/>
  <c r="AE90" i="38" a="1"/>
  <c r="AE90" i="38" s="1"/>
  <c r="H90" i="38" a="1"/>
  <c r="H90" i="38" s="1"/>
  <c r="AQ89" i="38"/>
  <c r="AN89" i="38"/>
  <c r="AO89" i="38" s="1" a="1"/>
  <c r="AO89" i="38" s="1"/>
  <c r="AJ89" i="38"/>
  <c r="AG89" i="38"/>
  <c r="AH89" i="38" s="1" a="1"/>
  <c r="AH89" i="38" s="1"/>
  <c r="AE89" i="38" a="1"/>
  <c r="AE89" i="38" s="1"/>
  <c r="H89" i="38" a="1"/>
  <c r="H89" i="38" s="1"/>
  <c r="K89" i="38"/>
  <c r="I89" i="38" a="1"/>
  <c r="I89" i="38" s="1"/>
  <c r="AQ88" i="38"/>
  <c r="AN88" i="38"/>
  <c r="AO88" i="38" s="1" a="1"/>
  <c r="AO88" i="38" s="1"/>
  <c r="AJ88" i="38"/>
  <c r="AG88" i="38"/>
  <c r="AH88" i="38" s="1" a="1"/>
  <c r="AH88" i="38" s="1"/>
  <c r="AE88" i="38" a="1"/>
  <c r="AE88" i="38" s="1"/>
  <c r="H88" i="38" a="1"/>
  <c r="H88" i="38" s="1"/>
  <c r="AQ87" i="38"/>
  <c r="AN87" i="38"/>
  <c r="AO87" i="38" s="1" a="1"/>
  <c r="AO87" i="38" s="1"/>
  <c r="AJ87" i="38"/>
  <c r="AG87" i="38"/>
  <c r="AH87" i="38" s="1" a="1"/>
  <c r="AH87" i="38" s="1"/>
  <c r="AE87" i="38" a="1"/>
  <c r="AE87" i="38" s="1"/>
  <c r="K87" i="38"/>
  <c r="H87" i="38" a="1"/>
  <c r="H87" i="38" s="1"/>
  <c r="AQ86" i="38"/>
  <c r="AN86" i="38"/>
  <c r="AO86" i="38" s="1" a="1"/>
  <c r="AO86" i="38" s="1"/>
  <c r="AJ86" i="38"/>
  <c r="AG86" i="38"/>
  <c r="AH86" i="38" s="1" a="1"/>
  <c r="AH86" i="38" s="1"/>
  <c r="AE86" i="38" a="1"/>
  <c r="AE86" i="38" s="1"/>
  <c r="H86" i="38" a="1"/>
  <c r="H86" i="38" s="1"/>
  <c r="I86" i="38" a="1"/>
  <c r="I86" i="38" s="1"/>
  <c r="AQ85" i="38"/>
  <c r="AN85" i="38"/>
  <c r="AO85" i="38" s="1" a="1"/>
  <c r="AO85" i="38" s="1"/>
  <c r="AJ85" i="38"/>
  <c r="AG85" i="38"/>
  <c r="AH85" i="38" s="1" a="1"/>
  <c r="AH85" i="38" s="1"/>
  <c r="AE85" i="38" a="1"/>
  <c r="AE85" i="38" s="1"/>
  <c r="K85" i="38"/>
  <c r="J85" i="38"/>
  <c r="I85" i="38" a="1"/>
  <c r="I85" i="38" s="1"/>
  <c r="H85" i="38" a="1"/>
  <c r="H85" i="38" s="1"/>
  <c r="AQ84" i="38"/>
  <c r="AN84" i="38"/>
  <c r="AO84" i="38" s="1" a="1"/>
  <c r="AO84" i="38" s="1"/>
  <c r="AJ84" i="38"/>
  <c r="AG84" i="38"/>
  <c r="AH84" i="38" s="1" a="1"/>
  <c r="AH84" i="38" s="1"/>
  <c r="AE84" i="38" a="1"/>
  <c r="AE84" i="38" s="1"/>
  <c r="K84" i="38"/>
  <c r="I84" i="38" a="1"/>
  <c r="I84" i="38" s="1"/>
  <c r="H84" i="38" a="1"/>
  <c r="H84" i="38" s="1"/>
  <c r="AQ83" i="38"/>
  <c r="AN83" i="38"/>
  <c r="AO83" i="38" s="1" a="1"/>
  <c r="AO83" i="38" s="1"/>
  <c r="AJ83" i="38"/>
  <c r="AG83" i="38"/>
  <c r="AH83" i="38" s="1" a="1"/>
  <c r="AH83" i="38" s="1"/>
  <c r="AE83" i="38" a="1"/>
  <c r="AE83" i="38" s="1"/>
  <c r="K83" i="38"/>
  <c r="H83" i="38" a="1"/>
  <c r="H83" i="38" s="1"/>
  <c r="AQ82" i="38"/>
  <c r="AN82" i="38"/>
  <c r="AO82" i="38" s="1" a="1"/>
  <c r="AO82" i="38" s="1"/>
  <c r="AJ82" i="38"/>
  <c r="AG82" i="38"/>
  <c r="AH82" i="38" s="1" a="1"/>
  <c r="AH82" i="38" s="1"/>
  <c r="AE82" i="38" a="1"/>
  <c r="AE82" i="38" s="1"/>
  <c r="K82" i="38"/>
  <c r="H82" i="38" a="1"/>
  <c r="H82" i="38" s="1"/>
  <c r="J82" i="38"/>
  <c r="I82" i="38" a="1"/>
  <c r="I82" i="38" s="1"/>
  <c r="AQ81" i="38"/>
  <c r="AN81" i="38"/>
  <c r="AO81" i="38" s="1" a="1"/>
  <c r="AO81" i="38" s="1"/>
  <c r="AJ81" i="38"/>
  <c r="AG81" i="38"/>
  <c r="AH81" i="38" s="1" a="1"/>
  <c r="AH81" i="38" s="1"/>
  <c r="AE81" i="38" a="1"/>
  <c r="AE81" i="38" s="1"/>
  <c r="I81" i="38" a="1"/>
  <c r="I81" i="38" s="1"/>
  <c r="H81" i="38" a="1"/>
  <c r="H81" i="38" s="1"/>
  <c r="AQ80" i="38"/>
  <c r="AN80" i="38"/>
  <c r="AO80" i="38" s="1" a="1"/>
  <c r="AO80" i="38" s="1"/>
  <c r="AJ80" i="38"/>
  <c r="AG80" i="38"/>
  <c r="AH80" i="38" s="1" a="1"/>
  <c r="AH80" i="38" s="1"/>
  <c r="AE80" i="38" a="1"/>
  <c r="AE80" i="38" s="1"/>
  <c r="I80" i="38" a="1"/>
  <c r="I80" i="38" s="1"/>
  <c r="H80" i="38" a="1"/>
  <c r="H80" i="38" s="1"/>
  <c r="AQ79" i="38"/>
  <c r="AN79" i="38"/>
  <c r="AO79" i="38" s="1" a="1"/>
  <c r="AO79" i="38" s="1"/>
  <c r="AJ79" i="38"/>
  <c r="AG79" i="38"/>
  <c r="AH79" i="38" s="1" a="1"/>
  <c r="AH79" i="38" s="1"/>
  <c r="AE79" i="38" a="1"/>
  <c r="AE79" i="38" s="1"/>
  <c r="H79" i="38" a="1"/>
  <c r="H79" i="38" s="1"/>
  <c r="AQ78" i="38"/>
  <c r="AN78" i="38"/>
  <c r="AO78" i="38" s="1" a="1"/>
  <c r="AO78" i="38" s="1"/>
  <c r="AJ78" i="38"/>
  <c r="AG78" i="38"/>
  <c r="AH78" i="38" s="1" a="1"/>
  <c r="AH78" i="38" s="1"/>
  <c r="AE78" i="38" a="1"/>
  <c r="AE78" i="38" s="1"/>
  <c r="K78" i="38"/>
  <c r="H78" i="38" a="1"/>
  <c r="H78" i="38" s="1"/>
  <c r="AQ77" i="38"/>
  <c r="AN77" i="38"/>
  <c r="AO77" i="38" s="1" a="1"/>
  <c r="AO77" i="38" s="1"/>
  <c r="AJ77" i="38"/>
  <c r="AG77" i="38"/>
  <c r="AH77" i="38" s="1" a="1"/>
  <c r="AH77" i="38" s="1"/>
  <c r="AE77" i="38" a="1"/>
  <c r="AE77" i="38" s="1"/>
  <c r="H77" i="38" a="1"/>
  <c r="H77" i="38" s="1"/>
  <c r="AQ76" i="38"/>
  <c r="AN76" i="38"/>
  <c r="AO76" i="38" s="1" a="1"/>
  <c r="AO76" i="38" s="1"/>
  <c r="AJ76" i="38"/>
  <c r="AG76" i="38"/>
  <c r="AH76" i="38" s="1" a="1"/>
  <c r="AH76" i="38" s="1"/>
  <c r="AE76" i="38" a="1"/>
  <c r="AE76" i="38" s="1"/>
  <c r="H76" i="38" a="1"/>
  <c r="H76" i="38" s="1"/>
  <c r="K76" i="38"/>
  <c r="AQ75" i="38"/>
  <c r="AN75" i="38"/>
  <c r="AO75" i="38" s="1" a="1"/>
  <c r="AO75" i="38" s="1"/>
  <c r="AJ75" i="38"/>
  <c r="AG75" i="38"/>
  <c r="AH75" i="38" s="1" a="1"/>
  <c r="AH75" i="38" s="1"/>
  <c r="AE75" i="38" a="1"/>
  <c r="AE75" i="38" s="1"/>
  <c r="K75" i="38"/>
  <c r="H75" i="38" a="1"/>
  <c r="H75" i="38" s="1"/>
  <c r="AQ74" i="38"/>
  <c r="AN74" i="38"/>
  <c r="AO74" i="38" s="1" a="1"/>
  <c r="AO74" i="38" s="1"/>
  <c r="AJ74" i="38"/>
  <c r="AG74" i="38"/>
  <c r="AH74" i="38" s="1" a="1"/>
  <c r="AH74" i="38" s="1"/>
  <c r="AE74" i="38" a="1"/>
  <c r="AE74" i="38" s="1"/>
  <c r="K74" i="38"/>
  <c r="H74" i="38" a="1"/>
  <c r="H74" i="38" s="1"/>
  <c r="AQ73" i="38"/>
  <c r="AN73" i="38"/>
  <c r="AO73" i="38" s="1" a="1"/>
  <c r="AO73" i="38" s="1"/>
  <c r="AJ73" i="38"/>
  <c r="AG73" i="38"/>
  <c r="AH73" i="38" s="1" a="1"/>
  <c r="AH73" i="38" s="1"/>
  <c r="AE73" i="38" a="1"/>
  <c r="AE73" i="38" s="1"/>
  <c r="H73" i="38" a="1"/>
  <c r="H73" i="38" s="1"/>
  <c r="K73" i="38"/>
  <c r="AQ72" i="38"/>
  <c r="AN72" i="38"/>
  <c r="AO72" i="38" s="1" a="1"/>
  <c r="AO72" i="38" s="1"/>
  <c r="AJ72" i="38"/>
  <c r="AG72" i="38"/>
  <c r="AH72" i="38" s="1" a="1"/>
  <c r="AH72" i="38" s="1"/>
  <c r="AE72" i="38" a="1"/>
  <c r="AE72" i="38" s="1"/>
  <c r="K72" i="38"/>
  <c r="I72" i="38" a="1"/>
  <c r="I72" i="38" s="1"/>
  <c r="H72" i="38" a="1"/>
  <c r="H72" i="38" s="1"/>
  <c r="AQ71" i="38"/>
  <c r="AN71" i="38"/>
  <c r="AO71" i="38" s="1" a="1"/>
  <c r="AO71" i="38" s="1"/>
  <c r="AJ71" i="38"/>
  <c r="AG71" i="38"/>
  <c r="AH71" i="38" s="1" a="1"/>
  <c r="AH71" i="38" s="1"/>
  <c r="AE71" i="38" a="1"/>
  <c r="AE71" i="38" s="1"/>
  <c r="K71" i="38"/>
  <c r="H71" i="38" a="1"/>
  <c r="H71" i="38" s="1"/>
  <c r="AQ70" i="38"/>
  <c r="AN70" i="38"/>
  <c r="AO70" i="38" s="1" a="1"/>
  <c r="AO70" i="38" s="1"/>
  <c r="AJ70" i="38"/>
  <c r="AG70" i="38"/>
  <c r="AH70" i="38" s="1" a="1"/>
  <c r="AH70" i="38" s="1"/>
  <c r="AE70" i="38" a="1"/>
  <c r="AE70" i="38" s="1"/>
  <c r="K70" i="38"/>
  <c r="H70" i="38" a="1"/>
  <c r="H70" i="38" s="1"/>
  <c r="AQ69" i="38"/>
  <c r="AN69" i="38"/>
  <c r="AO69" i="38" s="1" a="1"/>
  <c r="AO69" i="38" s="1"/>
  <c r="AJ69" i="38"/>
  <c r="AG69" i="38"/>
  <c r="AH69" i="38" s="1" a="1"/>
  <c r="AH69" i="38" s="1"/>
  <c r="AE69" i="38" a="1"/>
  <c r="AE69" i="38" s="1"/>
  <c r="H69" i="38" a="1"/>
  <c r="H69" i="38" s="1"/>
  <c r="K69" i="38"/>
  <c r="AQ68" i="38"/>
  <c r="AN68" i="38"/>
  <c r="AO68" i="38" s="1" a="1"/>
  <c r="AO68" i="38" s="1"/>
  <c r="AJ68" i="38"/>
  <c r="AG68" i="38"/>
  <c r="AH68" i="38" s="1" a="1"/>
  <c r="AH68" i="38" s="1"/>
  <c r="AE68" i="38" a="1"/>
  <c r="AE68" i="38" s="1"/>
  <c r="H68" i="38" a="1"/>
  <c r="H68" i="38" s="1"/>
  <c r="I68" i="38" a="1"/>
  <c r="I68" i="38" s="1"/>
  <c r="AQ67" i="38"/>
  <c r="AN67" i="38"/>
  <c r="AO67" i="38" s="1" a="1"/>
  <c r="AO67" i="38" s="1"/>
  <c r="AJ67" i="38"/>
  <c r="AG67" i="38"/>
  <c r="AH67" i="38" s="1" a="1"/>
  <c r="AH67" i="38" s="1"/>
  <c r="AE67" i="38" a="1"/>
  <c r="AE67" i="38" s="1"/>
  <c r="H67" i="38" a="1"/>
  <c r="H67" i="38" s="1"/>
  <c r="AQ66" i="38"/>
  <c r="AN66" i="38"/>
  <c r="AO66" i="38" s="1" a="1"/>
  <c r="AO66" i="38" s="1"/>
  <c r="AJ66" i="38"/>
  <c r="AG66" i="38"/>
  <c r="AH66" i="38" s="1" a="1"/>
  <c r="AH66" i="38" s="1"/>
  <c r="AE66" i="38" a="1"/>
  <c r="AE66" i="38" s="1"/>
  <c r="H66" i="38" a="1"/>
  <c r="H66" i="38" s="1"/>
  <c r="AQ65" i="38"/>
  <c r="AN65" i="38"/>
  <c r="AO65" i="38" s="1" a="1"/>
  <c r="AO65" i="38" s="1"/>
  <c r="AJ65" i="38"/>
  <c r="AG65" i="38"/>
  <c r="AH65" i="38" s="1" a="1"/>
  <c r="AH65" i="38" s="1"/>
  <c r="AE65" i="38" a="1"/>
  <c r="AE65" i="38" s="1"/>
  <c r="I65" i="38" a="1"/>
  <c r="I65" i="38" s="1"/>
  <c r="H65" i="38" a="1"/>
  <c r="H65" i="38" s="1"/>
  <c r="K65" i="38"/>
  <c r="AQ64" i="38"/>
  <c r="AN64" i="38"/>
  <c r="AO64" i="38" s="1" a="1"/>
  <c r="AO64" i="38" s="1"/>
  <c r="AJ64" i="38"/>
  <c r="AG64" i="38"/>
  <c r="AH64" i="38" s="1" a="1"/>
  <c r="AH64" i="38" s="1"/>
  <c r="AE64" i="38" a="1"/>
  <c r="AE64" i="38" s="1"/>
  <c r="H64" i="38" a="1"/>
  <c r="H64" i="38" s="1"/>
  <c r="AQ63" i="38"/>
  <c r="AN63" i="38"/>
  <c r="AO63" i="38" s="1" a="1"/>
  <c r="AO63" i="38" s="1"/>
  <c r="AJ63" i="38"/>
  <c r="AG63" i="38"/>
  <c r="AH63" i="38" s="1" a="1"/>
  <c r="AH63" i="38" s="1"/>
  <c r="AE63" i="38" a="1"/>
  <c r="AE63" i="38" s="1"/>
  <c r="K63" i="38"/>
  <c r="H63" i="38" a="1"/>
  <c r="H63" i="38" s="1"/>
  <c r="I63" i="38" a="1"/>
  <c r="I63" i="38" s="1"/>
  <c r="AQ62" i="38"/>
  <c r="AN62" i="38"/>
  <c r="AO62" i="38" s="1" a="1"/>
  <c r="AO62" i="38" s="1"/>
  <c r="AJ62" i="38"/>
  <c r="AG62" i="38"/>
  <c r="AH62" i="38" s="1" a="1"/>
  <c r="AH62" i="38" s="1"/>
  <c r="AE62" i="38" a="1"/>
  <c r="AE62" i="38" s="1"/>
  <c r="H62" i="38" a="1"/>
  <c r="H62" i="38" s="1"/>
  <c r="I62" i="38" a="1"/>
  <c r="I62" i="38" s="1"/>
  <c r="AQ61" i="38"/>
  <c r="AN61" i="38"/>
  <c r="AO61" i="38" s="1" a="1"/>
  <c r="AO61" i="38" s="1"/>
  <c r="AJ61" i="38"/>
  <c r="AG61" i="38"/>
  <c r="AH61" i="38" s="1" a="1"/>
  <c r="AH61" i="38" s="1"/>
  <c r="AE61" i="38" a="1"/>
  <c r="AE61" i="38" s="1"/>
  <c r="I61" i="38" a="1"/>
  <c r="I61" i="38" s="1"/>
  <c r="H61" i="38" a="1"/>
  <c r="H61" i="38" s="1"/>
  <c r="AQ60" i="38"/>
  <c r="AN60" i="38"/>
  <c r="AO60" i="38" s="1" a="1"/>
  <c r="AO60" i="38" s="1"/>
  <c r="AJ60" i="38"/>
  <c r="AG60" i="38"/>
  <c r="AH60" i="38" s="1" a="1"/>
  <c r="AH60" i="38" s="1"/>
  <c r="AE60" i="38" a="1"/>
  <c r="AE60" i="38" s="1"/>
  <c r="K60" i="38"/>
  <c r="H60" i="38" a="1"/>
  <c r="H60" i="38" s="1"/>
  <c r="AQ59" i="38"/>
  <c r="AN59" i="38"/>
  <c r="AO59" i="38" s="1" a="1"/>
  <c r="AO59" i="38" s="1"/>
  <c r="AJ59" i="38"/>
  <c r="AG59" i="38"/>
  <c r="AH59" i="38" s="1" a="1"/>
  <c r="AH59" i="38" s="1"/>
  <c r="AE59" i="38" a="1"/>
  <c r="AE59" i="38" s="1"/>
  <c r="K59" i="38"/>
  <c r="H59" i="38" a="1"/>
  <c r="H59" i="38" s="1"/>
  <c r="I59" i="38" a="1"/>
  <c r="I59" i="38" s="1"/>
  <c r="AQ58" i="38"/>
  <c r="AN58" i="38"/>
  <c r="AO58" i="38" s="1" a="1"/>
  <c r="AO58" i="38" s="1"/>
  <c r="AJ58" i="38"/>
  <c r="AG58" i="38"/>
  <c r="AH58" i="38" s="1" a="1"/>
  <c r="AH58" i="38" s="1"/>
  <c r="AE58" i="38" a="1"/>
  <c r="AE58" i="38" s="1"/>
  <c r="K58" i="38"/>
  <c r="H58" i="38" a="1"/>
  <c r="H58" i="38" s="1"/>
  <c r="I58" i="38" a="1"/>
  <c r="I58" i="38" s="1"/>
  <c r="AQ57" i="38"/>
  <c r="AN57" i="38"/>
  <c r="AO57" i="38" s="1" a="1"/>
  <c r="AO57" i="38" s="1"/>
  <c r="AJ57" i="38"/>
  <c r="AG57" i="38"/>
  <c r="AH57" i="38" s="1" a="1"/>
  <c r="AH57" i="38" s="1"/>
  <c r="AE57" i="38" a="1"/>
  <c r="AE57" i="38" s="1"/>
  <c r="J57" i="38"/>
  <c r="K57" i="38"/>
  <c r="I57" i="38" a="1"/>
  <c r="I57" i="38" s="1"/>
  <c r="H57" i="38" a="1"/>
  <c r="H57" i="38" s="1"/>
  <c r="AQ56" i="38"/>
  <c r="AN56" i="38"/>
  <c r="AO56" i="38" s="1" a="1"/>
  <c r="AO56" i="38" s="1"/>
  <c r="AJ56" i="38"/>
  <c r="AG56" i="38"/>
  <c r="AH56" i="38" s="1" a="1"/>
  <c r="AH56" i="38" s="1"/>
  <c r="AE56" i="38" a="1"/>
  <c r="AE56" i="38" s="1"/>
  <c r="J56" i="38"/>
  <c r="I56" i="38" a="1"/>
  <c r="I56" i="38" s="1"/>
  <c r="K56" i="38"/>
  <c r="H56" i="38" a="1"/>
  <c r="H56" i="38" s="1"/>
  <c r="AQ55" i="38"/>
  <c r="AN55" i="38"/>
  <c r="AO55" i="38" s="1" a="1"/>
  <c r="AO55" i="38" s="1"/>
  <c r="AJ55" i="38"/>
  <c r="AG55" i="38"/>
  <c r="AH55" i="38" s="1" a="1"/>
  <c r="AH55" i="38" s="1"/>
  <c r="AE55" i="38" a="1"/>
  <c r="AE55" i="38" s="1"/>
  <c r="J55" i="38"/>
  <c r="H55" i="38" a="1"/>
  <c r="H55" i="38" s="1"/>
  <c r="I55" i="38" a="1"/>
  <c r="I55" i="38" s="1"/>
  <c r="AQ54" i="38"/>
  <c r="AN54" i="38"/>
  <c r="AO54" i="38" s="1" a="1"/>
  <c r="AO54" i="38" s="1"/>
  <c r="AJ54" i="38"/>
  <c r="AG54" i="38"/>
  <c r="AH54" i="38" s="1" a="1"/>
  <c r="AH54" i="38" s="1"/>
  <c r="AE54" i="38" a="1"/>
  <c r="AE54" i="38" s="1"/>
  <c r="K54" i="38"/>
  <c r="H54" i="38" a="1"/>
  <c r="H54" i="38" s="1"/>
  <c r="AQ53" i="38"/>
  <c r="AN53" i="38"/>
  <c r="AO53" i="38" s="1" a="1"/>
  <c r="AO53" i="38" s="1"/>
  <c r="AJ53" i="38"/>
  <c r="AG53" i="38"/>
  <c r="AH53" i="38" s="1" a="1"/>
  <c r="AH53" i="38" s="1"/>
  <c r="AE53" i="38" a="1"/>
  <c r="AE53" i="38" s="1"/>
  <c r="H53" i="38" a="1"/>
  <c r="H53" i="38" s="1"/>
  <c r="AQ52" i="38"/>
  <c r="AN52" i="38"/>
  <c r="AO52" i="38" s="1" a="1"/>
  <c r="AO52" i="38" s="1"/>
  <c r="AJ52" i="38"/>
  <c r="AG52" i="38"/>
  <c r="AH52" i="38" s="1" a="1"/>
  <c r="AH52" i="38" s="1"/>
  <c r="AE52" i="38" a="1"/>
  <c r="AE52" i="38" s="1"/>
  <c r="H52" i="38" a="1"/>
  <c r="H52" i="38" s="1"/>
  <c r="K52" i="38"/>
  <c r="AQ51" i="38"/>
  <c r="AN51" i="38"/>
  <c r="AO51" i="38" s="1" a="1"/>
  <c r="AO51" i="38" s="1"/>
  <c r="AJ51" i="38"/>
  <c r="AG51" i="38"/>
  <c r="AH51" i="38" s="1" a="1"/>
  <c r="AH51" i="38" s="1"/>
  <c r="AE51" i="38" a="1"/>
  <c r="AE51" i="38" s="1"/>
  <c r="K51" i="38"/>
  <c r="H51" i="38" a="1"/>
  <c r="H51" i="38" s="1"/>
  <c r="AQ50" i="38"/>
  <c r="AN50" i="38"/>
  <c r="AO50" i="38" s="1" a="1"/>
  <c r="AO50" i="38" s="1"/>
  <c r="AJ50" i="38"/>
  <c r="AG50" i="38"/>
  <c r="AH50" i="38" s="1" a="1"/>
  <c r="AH50" i="38" s="1"/>
  <c r="AE50" i="38" a="1"/>
  <c r="AE50" i="38" s="1"/>
  <c r="H50" i="38" a="1"/>
  <c r="H50" i="38" s="1"/>
  <c r="I50" i="38" a="1"/>
  <c r="I50" i="38" s="1"/>
  <c r="AQ49" i="38"/>
  <c r="AN49" i="38"/>
  <c r="AO49" i="38" s="1" a="1"/>
  <c r="AO49" i="38" s="1"/>
  <c r="AJ49" i="38"/>
  <c r="AG49" i="38"/>
  <c r="AH49" i="38" s="1" a="1"/>
  <c r="AH49" i="38" s="1"/>
  <c r="AE49" i="38" a="1"/>
  <c r="AE49" i="38" s="1"/>
  <c r="I49" i="38" a="1"/>
  <c r="I49" i="38" s="1"/>
  <c r="H49" i="38" a="1"/>
  <c r="H49" i="38" s="1"/>
  <c r="AQ48" i="38"/>
  <c r="AN48" i="38"/>
  <c r="AO48" i="38" s="1" a="1"/>
  <c r="AO48" i="38" s="1"/>
  <c r="AJ48" i="38"/>
  <c r="AG48" i="38"/>
  <c r="AH48" i="38" s="1" a="1"/>
  <c r="AH48" i="38" s="1"/>
  <c r="AE48" i="38" a="1"/>
  <c r="AE48" i="38" s="1"/>
  <c r="H48" i="38" a="1"/>
  <c r="H48" i="38" s="1"/>
  <c r="K48" i="38"/>
  <c r="AQ47" i="38"/>
  <c r="AN47" i="38"/>
  <c r="AO47" i="38" s="1" a="1"/>
  <c r="AO47" i="38" s="1"/>
  <c r="AJ47" i="38"/>
  <c r="AG47" i="38"/>
  <c r="AH47" i="38" s="1" a="1"/>
  <c r="AH47" i="38" s="1"/>
  <c r="AE47" i="38" a="1"/>
  <c r="AE47" i="38" s="1"/>
  <c r="K47" i="38"/>
  <c r="I47" i="38" a="1"/>
  <c r="I47" i="38" s="1"/>
  <c r="H47" i="38" a="1"/>
  <c r="H47" i="38" s="1"/>
  <c r="AQ46" i="38"/>
  <c r="AN46" i="38"/>
  <c r="AO46" i="38" s="1" a="1"/>
  <c r="AO46" i="38" s="1"/>
  <c r="AJ46" i="38"/>
  <c r="AG46" i="38"/>
  <c r="AH46" i="38" s="1" a="1"/>
  <c r="AH46" i="38" s="1"/>
  <c r="AE46" i="38" a="1"/>
  <c r="AE46" i="38" s="1"/>
  <c r="H46" i="38" a="1"/>
  <c r="H46" i="38" s="1"/>
  <c r="AQ45" i="38"/>
  <c r="AN45" i="38"/>
  <c r="AO45" i="38" s="1" a="1"/>
  <c r="AO45" i="38" s="1"/>
  <c r="AJ45" i="38"/>
  <c r="AG45" i="38"/>
  <c r="AH45" i="38" s="1" a="1"/>
  <c r="AH45" i="38" s="1"/>
  <c r="AE45" i="38" a="1"/>
  <c r="AE45" i="38" s="1"/>
  <c r="K45" i="38"/>
  <c r="I45" i="38" a="1"/>
  <c r="I45" i="38" s="1"/>
  <c r="H45" i="38" a="1"/>
  <c r="H45" i="38" s="1"/>
  <c r="AQ44" i="38"/>
  <c r="AN44" i="38"/>
  <c r="AO44" i="38" s="1" a="1"/>
  <c r="AO44" i="38" s="1"/>
  <c r="AJ44" i="38"/>
  <c r="AG44" i="38"/>
  <c r="AH44" i="38" s="1" a="1"/>
  <c r="AH44" i="38" s="1"/>
  <c r="AE44" i="38" a="1"/>
  <c r="AE44" i="38" s="1"/>
  <c r="H44" i="38" a="1"/>
  <c r="H44" i="38" s="1"/>
  <c r="AQ43" i="38"/>
  <c r="AN43" i="38"/>
  <c r="AO43" i="38" s="1" a="1"/>
  <c r="AO43" i="38" s="1"/>
  <c r="AJ43" i="38"/>
  <c r="AG43" i="38"/>
  <c r="AH43" i="38" s="1" a="1"/>
  <c r="AH43" i="38" s="1"/>
  <c r="AE43" i="38" a="1"/>
  <c r="AE43" i="38" s="1"/>
  <c r="H43" i="38" a="1"/>
  <c r="H43" i="38" s="1"/>
  <c r="K43" i="38"/>
  <c r="AQ42" i="38"/>
  <c r="AN42" i="38"/>
  <c r="AO42" i="38" s="1" a="1"/>
  <c r="AO42" i="38" s="1"/>
  <c r="AJ42" i="38"/>
  <c r="AG42" i="38"/>
  <c r="AH42" i="38" s="1" a="1"/>
  <c r="AH42" i="38" s="1"/>
  <c r="AE42" i="38" a="1"/>
  <c r="AE42" i="38" s="1"/>
  <c r="H42" i="38" a="1"/>
  <c r="H42" i="38" s="1"/>
  <c r="AQ41" i="38"/>
  <c r="AN41" i="38"/>
  <c r="AO41" i="38" s="1" a="1"/>
  <c r="AO41" i="38" s="1"/>
  <c r="AJ41" i="38"/>
  <c r="AG41" i="38"/>
  <c r="AH41" i="38" s="1" a="1"/>
  <c r="AH41" i="38" s="1"/>
  <c r="AE41" i="38" a="1"/>
  <c r="AE41" i="38" s="1"/>
  <c r="K41" i="38"/>
  <c r="I41" i="38" a="1"/>
  <c r="I41" i="38" s="1"/>
  <c r="H41" i="38" a="1"/>
  <c r="H41" i="38" s="1"/>
  <c r="AQ40" i="38"/>
  <c r="AN40" i="38"/>
  <c r="AO40" i="38" s="1" a="1"/>
  <c r="AO40" i="38" s="1"/>
  <c r="AJ40" i="38"/>
  <c r="AG40" i="38"/>
  <c r="AH40" i="38" s="1" a="1"/>
  <c r="AH40" i="38" s="1"/>
  <c r="AE40" i="38" a="1"/>
  <c r="AE40" i="38" s="1"/>
  <c r="I40" i="38" a="1"/>
  <c r="I40" i="38" s="1"/>
  <c r="H40" i="38" a="1"/>
  <c r="H40" i="38" s="1"/>
  <c r="AQ39" i="38"/>
  <c r="AN39" i="38"/>
  <c r="AO39" i="38" s="1" a="1"/>
  <c r="AO39" i="38" s="1"/>
  <c r="AJ39" i="38"/>
  <c r="AG39" i="38"/>
  <c r="AH39" i="38" s="1" a="1"/>
  <c r="AH39" i="38" s="1"/>
  <c r="AE39" i="38" a="1"/>
  <c r="AE39" i="38" s="1"/>
  <c r="K39" i="38"/>
  <c r="H39" i="38" a="1"/>
  <c r="H39" i="38" s="1"/>
  <c r="AQ38" i="38"/>
  <c r="AN38" i="38"/>
  <c r="AO38" i="38" s="1" a="1"/>
  <c r="AO38" i="38" s="1"/>
  <c r="AJ38" i="38"/>
  <c r="AG38" i="38"/>
  <c r="AH38" i="38" s="1" a="1"/>
  <c r="AH38" i="38" s="1"/>
  <c r="AE38" i="38" a="1"/>
  <c r="AE38" i="38" s="1"/>
  <c r="K38" i="38"/>
  <c r="H38" i="38" a="1"/>
  <c r="H38" i="38" s="1"/>
  <c r="AQ37" i="38"/>
  <c r="AN37" i="38"/>
  <c r="AO37" i="38" s="1" a="1"/>
  <c r="AO37" i="38" s="1"/>
  <c r="AJ37" i="38"/>
  <c r="AG37" i="38"/>
  <c r="AH37" i="38" s="1" a="1"/>
  <c r="AH37" i="38" s="1"/>
  <c r="AE37" i="38" a="1"/>
  <c r="AE37" i="38" s="1"/>
  <c r="K37" i="38"/>
  <c r="J37" i="38"/>
  <c r="H37" i="38" a="1"/>
  <c r="H37" i="38" s="1"/>
  <c r="I37" i="38" a="1"/>
  <c r="I37" i="38" s="1"/>
  <c r="AQ36" i="38"/>
  <c r="AN36" i="38"/>
  <c r="AO36" i="38" s="1" a="1"/>
  <c r="AO36" i="38" s="1"/>
  <c r="AJ36" i="38"/>
  <c r="AG36" i="38"/>
  <c r="AH36" i="38" s="1" a="1"/>
  <c r="AH36" i="38" s="1"/>
  <c r="AE36" i="38" a="1"/>
  <c r="AE36" i="38" s="1"/>
  <c r="H36" i="38" a="1"/>
  <c r="H36" i="38" s="1"/>
  <c r="K36" i="38"/>
  <c r="AQ35" i="38"/>
  <c r="AN35" i="38"/>
  <c r="AO35" i="38" s="1" a="1"/>
  <c r="AO35" i="38" s="1"/>
  <c r="AJ35" i="38"/>
  <c r="AG35" i="38"/>
  <c r="AH35" i="38" s="1" a="1"/>
  <c r="AH35" i="38" s="1"/>
  <c r="AE35" i="38" a="1"/>
  <c r="AE35" i="38" s="1"/>
  <c r="H35" i="38" a="1"/>
  <c r="H35" i="38" s="1"/>
  <c r="K35" i="38"/>
  <c r="I35" i="38" a="1"/>
  <c r="I35" i="38" s="1"/>
  <c r="AQ34" i="38"/>
  <c r="AN34" i="38"/>
  <c r="AO34" i="38" s="1" a="1"/>
  <c r="AO34" i="38" s="1"/>
  <c r="AJ34" i="38"/>
  <c r="AG34" i="38"/>
  <c r="AH34" i="38" s="1" a="1"/>
  <c r="AH34" i="38" s="1"/>
  <c r="AE34" i="38" a="1"/>
  <c r="AE34" i="38" s="1"/>
  <c r="K34" i="38"/>
  <c r="I34" i="38" a="1"/>
  <c r="I34" i="38" s="1"/>
  <c r="H34" i="38" a="1"/>
  <c r="H34" i="38" s="1"/>
  <c r="AQ33" i="38"/>
  <c r="AN33" i="38"/>
  <c r="AO33" i="38" s="1" a="1"/>
  <c r="AO33" i="38" s="1"/>
  <c r="AJ33" i="38"/>
  <c r="AG33" i="38"/>
  <c r="AH33" i="38" s="1" a="1"/>
  <c r="AH33" i="38" s="1"/>
  <c r="AE33" i="38" a="1"/>
  <c r="AE33" i="38" s="1"/>
  <c r="J33" i="38"/>
  <c r="H33" i="38" a="1"/>
  <c r="H33" i="38" s="1"/>
  <c r="I33" i="38" a="1"/>
  <c r="I33" i="38" s="1"/>
  <c r="AQ32" i="38"/>
  <c r="AN32" i="38"/>
  <c r="AO32" i="38" s="1" a="1"/>
  <c r="AO32" i="38" s="1"/>
  <c r="AJ32" i="38"/>
  <c r="AG32" i="38"/>
  <c r="AH32" i="38" s="1" a="1"/>
  <c r="AH32" i="38" s="1"/>
  <c r="AE32" i="38" a="1"/>
  <c r="AE32" i="38" s="1"/>
  <c r="H32" i="38" a="1"/>
  <c r="H32" i="38" s="1"/>
  <c r="K32" i="38"/>
  <c r="I32" i="38" a="1"/>
  <c r="I32" i="38" s="1"/>
  <c r="AQ31" i="38"/>
  <c r="AN31" i="38"/>
  <c r="AO31" i="38" s="1" a="1"/>
  <c r="AO31" i="38" s="1"/>
  <c r="AJ31" i="38"/>
  <c r="AG31" i="38"/>
  <c r="AH31" i="38" s="1" a="1"/>
  <c r="AH31" i="38" s="1"/>
  <c r="AE31" i="38" a="1"/>
  <c r="AE31" i="38" s="1"/>
  <c r="H31" i="38" a="1"/>
  <c r="H31" i="38" s="1"/>
  <c r="K31" i="38"/>
  <c r="AQ30" i="38"/>
  <c r="AN30" i="38"/>
  <c r="AO30" i="38" s="1" a="1"/>
  <c r="AO30" i="38" s="1"/>
  <c r="AJ30" i="38"/>
  <c r="AG30" i="38"/>
  <c r="AH30" i="38" s="1" a="1"/>
  <c r="AH30" i="38" s="1"/>
  <c r="AE30" i="38" a="1"/>
  <c r="AE30" i="38" s="1"/>
  <c r="H30" i="38" a="1"/>
  <c r="H30" i="38" s="1"/>
  <c r="AQ29" i="38"/>
  <c r="AN29" i="38"/>
  <c r="AO29" i="38" s="1" a="1"/>
  <c r="AO29" i="38" s="1"/>
  <c r="AJ29" i="38"/>
  <c r="AG29" i="38"/>
  <c r="AH29" i="38" s="1" a="1"/>
  <c r="AH29" i="38" s="1"/>
  <c r="AE29" i="38" a="1"/>
  <c r="AE29" i="38" s="1"/>
  <c r="K29" i="38"/>
  <c r="H29" i="38" a="1"/>
  <c r="H29" i="38" s="1"/>
  <c r="I29" i="38" a="1"/>
  <c r="I29" i="38" s="1"/>
  <c r="AQ28" i="38"/>
  <c r="AN28" i="38"/>
  <c r="AO28" i="38" s="1" a="1"/>
  <c r="AO28" i="38" s="1"/>
  <c r="AJ28" i="38"/>
  <c r="AG28" i="38"/>
  <c r="AH28" i="38" s="1" a="1"/>
  <c r="AH28" i="38" s="1"/>
  <c r="AE28" i="38" a="1"/>
  <c r="AE28" i="38" s="1"/>
  <c r="H28" i="38" a="1"/>
  <c r="H28" i="38" s="1"/>
  <c r="AQ27" i="38"/>
  <c r="AN27" i="38"/>
  <c r="AO27" i="38" s="1" a="1"/>
  <c r="AO27" i="38" s="1"/>
  <c r="AJ27" i="38"/>
  <c r="AG27" i="38"/>
  <c r="AH27" i="38" s="1" a="1"/>
  <c r="AH27" i="38" s="1"/>
  <c r="AE27" i="38" a="1"/>
  <c r="AE27" i="38" s="1"/>
  <c r="H27" i="38" a="1"/>
  <c r="H27" i="38" s="1"/>
  <c r="AQ26" i="38"/>
  <c r="AN26" i="38"/>
  <c r="AO26" i="38" s="1" a="1"/>
  <c r="AO26" i="38" s="1"/>
  <c r="AJ26" i="38"/>
  <c r="AG26" i="38"/>
  <c r="AH26" i="38" s="1" a="1"/>
  <c r="AH26" i="38" s="1"/>
  <c r="AE26" i="38" a="1"/>
  <c r="AE26" i="38" s="1"/>
  <c r="K26" i="38"/>
  <c r="I26" i="38" a="1"/>
  <c r="I26" i="38" s="1"/>
  <c r="H26" i="38" a="1"/>
  <c r="H26" i="38" s="1"/>
  <c r="AQ25" i="38"/>
  <c r="AN25" i="38"/>
  <c r="AO25" i="38" s="1" a="1"/>
  <c r="AO25" i="38" s="1"/>
  <c r="AJ25" i="38"/>
  <c r="AG25" i="38"/>
  <c r="AH25" i="38" s="1" a="1"/>
  <c r="AH25" i="38" s="1"/>
  <c r="AE25" i="38" a="1"/>
  <c r="AE25" i="38" s="1"/>
  <c r="H25" i="38" a="1"/>
  <c r="H25" i="38" s="1"/>
  <c r="I25" i="38" a="1"/>
  <c r="I25" i="38" s="1"/>
  <c r="AQ24" i="38"/>
  <c r="AN24" i="38"/>
  <c r="AO24" i="38" s="1" a="1"/>
  <c r="AO24" i="38" s="1"/>
  <c r="AJ24" i="38"/>
  <c r="AG24" i="38"/>
  <c r="AH24" i="38" s="1" a="1"/>
  <c r="AH24" i="38" s="1"/>
  <c r="AE24" i="38" a="1"/>
  <c r="AE24" i="38" s="1"/>
  <c r="H24" i="38" a="1"/>
  <c r="H24" i="38" s="1"/>
  <c r="AQ23" i="38"/>
  <c r="AN23" i="38"/>
  <c r="AO23" i="38" s="1" a="1"/>
  <c r="AO23" i="38" s="1"/>
  <c r="AJ23" i="38"/>
  <c r="AG23" i="38"/>
  <c r="AH23" i="38" s="1" a="1"/>
  <c r="AH23" i="38" s="1"/>
  <c r="AE23" i="38" a="1"/>
  <c r="AE23" i="38" s="1"/>
  <c r="I23" i="38" a="1"/>
  <c r="I23" i="38" s="1"/>
  <c r="H23" i="38" a="1"/>
  <c r="H23" i="38" s="1"/>
  <c r="AQ22" i="38"/>
  <c r="AN22" i="38"/>
  <c r="AO22" i="38" s="1" a="1"/>
  <c r="AO22" i="38" s="1"/>
  <c r="AJ22" i="38"/>
  <c r="AG22" i="38"/>
  <c r="AH22" i="38" s="1" a="1"/>
  <c r="AH22" i="38" s="1"/>
  <c r="AE22" i="38" a="1"/>
  <c r="AE22" i="38" s="1"/>
  <c r="K22" i="38"/>
  <c r="I22" i="38" a="1"/>
  <c r="I22" i="38" s="1"/>
  <c r="H22" i="38" a="1"/>
  <c r="H22" i="38" s="1"/>
  <c r="AQ21" i="38"/>
  <c r="AN21" i="38"/>
  <c r="AO21" i="38" s="1" a="1"/>
  <c r="AO21" i="38" s="1"/>
  <c r="AJ21" i="38"/>
  <c r="AG21" i="38"/>
  <c r="AH21" i="38" s="1" a="1"/>
  <c r="AH21" i="38" s="1"/>
  <c r="AE21" i="38" a="1"/>
  <c r="AE21" i="38" s="1"/>
  <c r="K21" i="38"/>
  <c r="I21" i="38" a="1"/>
  <c r="I21" i="38" s="1"/>
  <c r="H21" i="38" a="1"/>
  <c r="H21" i="38" s="1"/>
  <c r="AQ20" i="38"/>
  <c r="AN20" i="38"/>
  <c r="AO20" i="38" s="1" a="1"/>
  <c r="AO20" i="38" s="1"/>
  <c r="AJ20" i="38"/>
  <c r="AG20" i="38"/>
  <c r="AH20" i="38" s="1" a="1"/>
  <c r="AH20" i="38" s="1"/>
  <c r="AE20" i="38" a="1"/>
  <c r="AE20" i="38" s="1"/>
  <c r="K20" i="38"/>
  <c r="H20" i="38" a="1"/>
  <c r="H20" i="38" s="1"/>
  <c r="AQ19" i="38"/>
  <c r="AN19" i="38"/>
  <c r="AO19" i="38" s="1" a="1"/>
  <c r="AO19" i="38" s="1"/>
  <c r="AJ19" i="38"/>
  <c r="AG19" i="38"/>
  <c r="AH19" i="38" s="1" a="1"/>
  <c r="AH19" i="38" s="1"/>
  <c r="AE19" i="38" a="1"/>
  <c r="AE19" i="38" s="1"/>
  <c r="K19" i="38"/>
  <c r="I19" i="38" a="1"/>
  <c r="I19" i="38" s="1"/>
  <c r="H19" i="38" a="1"/>
  <c r="H19" i="38" s="1"/>
  <c r="AQ18" i="38"/>
  <c r="AN18" i="38"/>
  <c r="AO18" i="38" s="1" a="1"/>
  <c r="AO18" i="38" s="1"/>
  <c r="AJ18" i="38"/>
  <c r="AG18" i="38"/>
  <c r="AH18" i="38" s="1" a="1"/>
  <c r="AH18" i="38" s="1"/>
  <c r="AE18" i="38" a="1"/>
  <c r="AE18" i="38" s="1"/>
  <c r="H18" i="38" a="1"/>
  <c r="H18" i="38" s="1"/>
  <c r="K18" i="38"/>
  <c r="I18" i="38" a="1"/>
  <c r="I18" i="38" s="1"/>
  <c r="AQ17" i="38"/>
  <c r="AN17" i="38"/>
  <c r="AO17" i="38" s="1" a="1"/>
  <c r="AO17" i="38" s="1"/>
  <c r="AJ17" i="38"/>
  <c r="AG17" i="38"/>
  <c r="AH17" i="38" s="1" a="1"/>
  <c r="AH17" i="38" s="1"/>
  <c r="AE17" i="38" a="1"/>
  <c r="AE17" i="38" s="1"/>
  <c r="H17" i="38" a="1"/>
  <c r="H17" i="38" s="1"/>
  <c r="AQ16" i="38"/>
  <c r="AN16" i="38"/>
  <c r="AO16" i="38" s="1" a="1"/>
  <c r="AO16" i="38" s="1"/>
  <c r="AJ16" i="38"/>
  <c r="AG16" i="38"/>
  <c r="AH16" i="38" s="1" a="1"/>
  <c r="AH16" i="38" s="1"/>
  <c r="AE16" i="38" a="1"/>
  <c r="AE16" i="38" s="1"/>
  <c r="H16" i="38" a="1"/>
  <c r="H16" i="38" s="1"/>
  <c r="K16" i="38"/>
  <c r="AQ15" i="38"/>
  <c r="AN15" i="38"/>
  <c r="AO15" i="38" s="1" a="1"/>
  <c r="AO15" i="38" s="1"/>
  <c r="AJ15" i="38"/>
  <c r="AG15" i="38"/>
  <c r="AH15" i="38" s="1" a="1"/>
  <c r="AH15" i="38" s="1"/>
  <c r="AE15" i="38" a="1"/>
  <c r="AE15" i="38" s="1"/>
  <c r="K15" i="38"/>
  <c r="H15" i="38" a="1"/>
  <c r="H15" i="38" s="1"/>
  <c r="AQ14" i="38"/>
  <c r="AN14" i="38"/>
  <c r="AO14" i="38" s="1" a="1"/>
  <c r="AO14" i="38" s="1"/>
  <c r="AJ14" i="38"/>
  <c r="AG14" i="38"/>
  <c r="AH14" i="38" s="1" a="1"/>
  <c r="AH14" i="38" s="1"/>
  <c r="AE14" i="38" a="1"/>
  <c r="AE14" i="38" s="1"/>
  <c r="H14" i="38" a="1"/>
  <c r="H14" i="38" s="1"/>
  <c r="AQ13" i="38"/>
  <c r="AN13" i="38"/>
  <c r="AO13" i="38" s="1" a="1"/>
  <c r="AO13" i="38" s="1"/>
  <c r="AJ13" i="38"/>
  <c r="AG13" i="38"/>
  <c r="AH13" i="38" s="1" a="1"/>
  <c r="AH13" i="38" s="1"/>
  <c r="AE13" i="38" a="1"/>
  <c r="AE13" i="38" s="1"/>
  <c r="K13" i="38"/>
  <c r="H13" i="38" a="1"/>
  <c r="H13" i="38" s="1"/>
  <c r="AQ12" i="38"/>
  <c r="AN12" i="38"/>
  <c r="AO12" i="38" s="1" a="1"/>
  <c r="AO12" i="38" s="1"/>
  <c r="AJ12" i="38"/>
  <c r="AG12" i="38"/>
  <c r="AH12" i="38" s="1" a="1"/>
  <c r="AH12" i="38" s="1"/>
  <c r="AE12" i="38" a="1"/>
  <c r="AE12" i="38" s="1"/>
  <c r="H12" i="38" a="1"/>
  <c r="H12" i="38" s="1"/>
  <c r="AQ11" i="38"/>
  <c r="AN11" i="38"/>
  <c r="AO11" i="38" s="1" a="1"/>
  <c r="AO11" i="38" s="1"/>
  <c r="AJ11" i="38"/>
  <c r="AG11" i="38"/>
  <c r="AH11" i="38" s="1" a="1"/>
  <c r="AH11" i="38" s="1"/>
  <c r="AE11" i="38" a="1"/>
  <c r="AE11" i="38" s="1"/>
  <c r="H11" i="38" a="1"/>
  <c r="H11" i="38" s="1"/>
  <c r="AQ10" i="38"/>
  <c r="AN10" i="38"/>
  <c r="AO10" i="38" s="1" a="1"/>
  <c r="AO10" i="38" s="1"/>
  <c r="AJ10" i="38"/>
  <c r="AG10" i="38"/>
  <c r="AH10" i="38" s="1" a="1"/>
  <c r="AH10" i="38" s="1"/>
  <c r="AE10" i="38" a="1"/>
  <c r="AE10" i="38" s="1"/>
  <c r="K10" i="38"/>
  <c r="H10" i="38" a="1"/>
  <c r="H10" i="38" s="1"/>
  <c r="AQ9" i="38"/>
  <c r="AN9" i="38"/>
  <c r="AO9" i="38" s="1" a="1"/>
  <c r="AO9" i="38" s="1"/>
  <c r="AJ9" i="38"/>
  <c r="AG9" i="38"/>
  <c r="AH9" i="38" s="1" a="1"/>
  <c r="AH9" i="38" s="1"/>
  <c r="AE9" i="38" a="1"/>
  <c r="AE9" i="38" s="1"/>
  <c r="K9" i="38"/>
  <c r="I9" i="38" a="1"/>
  <c r="I9" i="38" s="1"/>
  <c r="H9" i="38" a="1"/>
  <c r="H9" i="38" s="1"/>
  <c r="AQ8" i="38"/>
  <c r="AN8" i="38"/>
  <c r="AO8" i="38" s="1" a="1"/>
  <c r="AO8" i="38" s="1"/>
  <c r="AJ8" i="38"/>
  <c r="AG8" i="38"/>
  <c r="AH8" i="38" s="1" a="1"/>
  <c r="AH8" i="38" s="1"/>
  <c r="AE8" i="38" a="1"/>
  <c r="AE8" i="38" s="1"/>
  <c r="H8" i="38" a="1"/>
  <c r="H8" i="38" s="1"/>
  <c r="I8" i="38" a="1"/>
  <c r="I8" i="38" s="1"/>
  <c r="AQ7" i="38"/>
  <c r="AN7" i="38"/>
  <c r="AO7" i="38" s="1" a="1"/>
  <c r="AO7" i="38" s="1"/>
  <c r="AJ7" i="38"/>
  <c r="AG7" i="38"/>
  <c r="AH7" i="38" s="1" a="1"/>
  <c r="AH7" i="38" s="1"/>
  <c r="AE7" i="38" a="1"/>
  <c r="AE7" i="38" s="1"/>
  <c r="H7" i="38" a="1"/>
  <c r="H7" i="38" s="1"/>
  <c r="AQ6" i="38"/>
  <c r="AN6" i="38"/>
  <c r="AO6" i="38" s="1" a="1"/>
  <c r="AO6" i="38" s="1"/>
  <c r="AJ6" i="38"/>
  <c r="AG6" i="38"/>
  <c r="AH6" i="38" s="1" a="1"/>
  <c r="AH6" i="38" s="1"/>
  <c r="AE6" i="38" a="1"/>
  <c r="AE6" i="38" s="1"/>
  <c r="K6" i="38"/>
  <c r="I6" i="38" a="1"/>
  <c r="I6" i="38" s="1"/>
  <c r="H6" i="38" a="1"/>
  <c r="H6" i="38" s="1"/>
  <c r="AQ201" i="37"/>
  <c r="AN201" i="37"/>
  <c r="AO201" i="37" s="1" a="1"/>
  <c r="AO201" i="37" s="1"/>
  <c r="AJ201" i="37"/>
  <c r="AG201" i="37"/>
  <c r="AH201" i="37" s="1" a="1"/>
  <c r="AH201" i="37" s="1"/>
  <c r="K201" i="37"/>
  <c r="I201" i="37" a="1"/>
  <c r="I201" i="37" s="1"/>
  <c r="H201" i="37" a="1"/>
  <c r="H201" i="37" s="1"/>
  <c r="AQ200" i="37"/>
  <c r="AN200" i="37"/>
  <c r="AO200" i="37" s="1" a="1"/>
  <c r="AO200" i="37" s="1"/>
  <c r="AJ200" i="37"/>
  <c r="AG200" i="37"/>
  <c r="AH200" i="37" s="1" a="1"/>
  <c r="AH200" i="37" s="1"/>
  <c r="K200" i="37"/>
  <c r="I200" i="37" a="1"/>
  <c r="I200" i="37" s="1"/>
  <c r="H200" i="37" a="1"/>
  <c r="H200" i="37" s="1"/>
  <c r="AQ199" i="37"/>
  <c r="AN199" i="37"/>
  <c r="AO199" i="37" s="1" a="1"/>
  <c r="AO199" i="37" s="1"/>
  <c r="AJ199" i="37"/>
  <c r="AG199" i="37"/>
  <c r="AH199" i="37" s="1" a="1"/>
  <c r="AH199" i="37" s="1"/>
  <c r="K199" i="37"/>
  <c r="I199" i="37" a="1"/>
  <c r="I199" i="37" s="1"/>
  <c r="H199" i="37" a="1"/>
  <c r="H199" i="37" s="1"/>
  <c r="AQ198" i="37"/>
  <c r="AN198" i="37"/>
  <c r="AO198" i="37" s="1" a="1"/>
  <c r="AO198" i="37" s="1"/>
  <c r="AJ198" i="37"/>
  <c r="AG198" i="37"/>
  <c r="AH198" i="37" s="1" a="1"/>
  <c r="AH198" i="37" s="1"/>
  <c r="K198" i="37"/>
  <c r="I198" i="37" a="1"/>
  <c r="I198" i="37" s="1"/>
  <c r="H198" i="37" a="1"/>
  <c r="H198" i="37" s="1"/>
  <c r="AQ197" i="37"/>
  <c r="AN197" i="37"/>
  <c r="AO197" i="37" s="1" a="1"/>
  <c r="AO197" i="37" s="1"/>
  <c r="AJ197" i="37"/>
  <c r="AG197" i="37"/>
  <c r="AH197" i="37" s="1" a="1"/>
  <c r="AH197" i="37" s="1"/>
  <c r="K197" i="37"/>
  <c r="I197" i="37" a="1"/>
  <c r="I197" i="37" s="1"/>
  <c r="H197" i="37" a="1"/>
  <c r="H197" i="37" s="1"/>
  <c r="AQ196" i="37"/>
  <c r="AN196" i="37"/>
  <c r="AO196" i="37" s="1" a="1"/>
  <c r="AO196" i="37" s="1"/>
  <c r="AJ196" i="37"/>
  <c r="AG196" i="37"/>
  <c r="AH196" i="37" s="1" a="1"/>
  <c r="AH196" i="37" s="1"/>
  <c r="K196" i="37"/>
  <c r="I196" i="37" a="1"/>
  <c r="I196" i="37" s="1"/>
  <c r="H196" i="37" a="1"/>
  <c r="H196" i="37" s="1"/>
  <c r="AQ195" i="37"/>
  <c r="AN195" i="37"/>
  <c r="AO195" i="37" s="1" a="1"/>
  <c r="AO195" i="37" s="1"/>
  <c r="AJ195" i="37"/>
  <c r="AG195" i="37"/>
  <c r="AH195" i="37" s="1" a="1"/>
  <c r="AH195" i="37" s="1"/>
  <c r="K195" i="37"/>
  <c r="I195" i="37" a="1"/>
  <c r="I195" i="37" s="1"/>
  <c r="H195" i="37" a="1"/>
  <c r="H195" i="37" s="1"/>
  <c r="AQ194" i="37"/>
  <c r="AN194" i="37"/>
  <c r="AO194" i="37" s="1" a="1"/>
  <c r="AO194" i="37" s="1"/>
  <c r="AJ194" i="37"/>
  <c r="AG194" i="37"/>
  <c r="AH194" i="37" s="1" a="1"/>
  <c r="AH194" i="37" s="1"/>
  <c r="K194" i="37"/>
  <c r="I194" i="37" a="1"/>
  <c r="I194" i="37" s="1"/>
  <c r="H194" i="37" a="1"/>
  <c r="H194" i="37" s="1"/>
  <c r="AQ193" i="37"/>
  <c r="AN193" i="37"/>
  <c r="AO193" i="37" s="1" a="1"/>
  <c r="AO193" i="37" s="1"/>
  <c r="AJ193" i="37"/>
  <c r="AG193" i="37"/>
  <c r="AH193" i="37" s="1" a="1"/>
  <c r="AH193" i="37" s="1"/>
  <c r="K193" i="37"/>
  <c r="I193" i="37" a="1"/>
  <c r="I193" i="37" s="1"/>
  <c r="H193" i="37" a="1"/>
  <c r="H193" i="37" s="1"/>
  <c r="AQ192" i="37"/>
  <c r="AN192" i="37"/>
  <c r="AO192" i="37" s="1" a="1"/>
  <c r="AO192" i="37" s="1"/>
  <c r="AJ192" i="37"/>
  <c r="AG192" i="37"/>
  <c r="AH192" i="37" s="1" a="1"/>
  <c r="AH192" i="37" s="1"/>
  <c r="K192" i="37"/>
  <c r="I192" i="37" a="1"/>
  <c r="I192" i="37" s="1"/>
  <c r="H192" i="37" a="1"/>
  <c r="H192" i="37" s="1"/>
  <c r="AQ191" i="37"/>
  <c r="AN191" i="37"/>
  <c r="AO191" i="37" s="1" a="1"/>
  <c r="AO191" i="37" s="1"/>
  <c r="AJ191" i="37"/>
  <c r="AG191" i="37"/>
  <c r="AH191" i="37" s="1" a="1"/>
  <c r="AH191" i="37" s="1"/>
  <c r="K191" i="37"/>
  <c r="I191" i="37" a="1"/>
  <c r="I191" i="37" s="1"/>
  <c r="H191" i="37" a="1"/>
  <c r="H191" i="37" s="1"/>
  <c r="AQ190" i="37"/>
  <c r="AN190" i="37"/>
  <c r="AO190" i="37" s="1" a="1"/>
  <c r="AO190" i="37" s="1"/>
  <c r="AJ190" i="37"/>
  <c r="AG190" i="37"/>
  <c r="AH190" i="37" s="1" a="1"/>
  <c r="AH190" i="37" s="1"/>
  <c r="K190" i="37"/>
  <c r="I190" i="37" a="1"/>
  <c r="I190" i="37" s="1"/>
  <c r="H190" i="37" a="1"/>
  <c r="H190" i="37" s="1"/>
  <c r="AQ189" i="37"/>
  <c r="AN189" i="37"/>
  <c r="AO189" i="37" s="1" a="1"/>
  <c r="AO189" i="37" s="1"/>
  <c r="AJ189" i="37"/>
  <c r="AG189" i="37"/>
  <c r="AH189" i="37" s="1" a="1"/>
  <c r="AH189" i="37" s="1"/>
  <c r="K189" i="37"/>
  <c r="I189" i="37" a="1"/>
  <c r="I189" i="37" s="1"/>
  <c r="H189" i="37" a="1"/>
  <c r="H189" i="37" s="1"/>
  <c r="AQ188" i="37"/>
  <c r="AN188" i="37"/>
  <c r="AO188" i="37" s="1" a="1"/>
  <c r="AO188" i="37" s="1"/>
  <c r="AJ188" i="37"/>
  <c r="AG188" i="37"/>
  <c r="AH188" i="37" s="1" a="1"/>
  <c r="AH188" i="37" s="1"/>
  <c r="K188" i="37"/>
  <c r="I188" i="37" a="1"/>
  <c r="I188" i="37" s="1"/>
  <c r="H188" i="37" a="1"/>
  <c r="H188" i="37" s="1"/>
  <c r="AQ187" i="37"/>
  <c r="AN187" i="37"/>
  <c r="AO187" i="37" s="1" a="1"/>
  <c r="AO187" i="37" s="1"/>
  <c r="AJ187" i="37"/>
  <c r="AG187" i="37"/>
  <c r="AH187" i="37" s="1" a="1"/>
  <c r="AH187" i="37" s="1"/>
  <c r="K187" i="37"/>
  <c r="H187" i="37" a="1"/>
  <c r="H187" i="37" s="1"/>
  <c r="AQ186" i="37"/>
  <c r="AN186" i="37"/>
  <c r="AO186" i="37" s="1" a="1"/>
  <c r="AO186" i="37" s="1"/>
  <c r="AJ186" i="37"/>
  <c r="AG186" i="37"/>
  <c r="AH186" i="37" s="1" a="1"/>
  <c r="AH186" i="37" s="1"/>
  <c r="K186" i="37"/>
  <c r="I186" i="37" a="1"/>
  <c r="I186" i="37" s="1"/>
  <c r="H186" i="37" a="1"/>
  <c r="H186" i="37" s="1"/>
  <c r="AQ185" i="37"/>
  <c r="AN185" i="37"/>
  <c r="AO185" i="37" s="1" a="1"/>
  <c r="AO185" i="37" s="1"/>
  <c r="AJ185" i="37"/>
  <c r="AG185" i="37"/>
  <c r="AH185" i="37" s="1" a="1"/>
  <c r="AH185" i="37" s="1"/>
  <c r="K185" i="37"/>
  <c r="H185" i="37" a="1"/>
  <c r="H185" i="37" s="1"/>
  <c r="AQ184" i="37"/>
  <c r="AN184" i="37"/>
  <c r="AO184" i="37" s="1" a="1"/>
  <c r="AO184" i="37" s="1"/>
  <c r="AJ184" i="37"/>
  <c r="AG184" i="37"/>
  <c r="AH184" i="37" s="1" a="1"/>
  <c r="AH184" i="37" s="1"/>
  <c r="K184" i="37"/>
  <c r="I184" i="37" a="1"/>
  <c r="I184" i="37" s="1"/>
  <c r="H184" i="37" a="1"/>
  <c r="H184" i="37" s="1"/>
  <c r="AQ183" i="37"/>
  <c r="AN183" i="37"/>
  <c r="AO183" i="37" s="1" a="1"/>
  <c r="AO183" i="37" s="1"/>
  <c r="AJ183" i="37"/>
  <c r="AG183" i="37"/>
  <c r="AH183" i="37" s="1" a="1"/>
  <c r="AH183" i="37" s="1"/>
  <c r="K183" i="37"/>
  <c r="I183" i="37" a="1"/>
  <c r="I183" i="37" s="1"/>
  <c r="H183" i="37" a="1"/>
  <c r="H183" i="37" s="1"/>
  <c r="AQ182" i="37"/>
  <c r="AN182" i="37"/>
  <c r="AO182" i="37" s="1" a="1"/>
  <c r="AO182" i="37" s="1"/>
  <c r="AJ182" i="37"/>
  <c r="AG182" i="37"/>
  <c r="AH182" i="37" s="1" a="1"/>
  <c r="AH182" i="37" s="1"/>
  <c r="K182" i="37"/>
  <c r="I182" i="37" a="1"/>
  <c r="I182" i="37" s="1"/>
  <c r="H182" i="37" a="1"/>
  <c r="H182" i="37" s="1"/>
  <c r="AQ181" i="37"/>
  <c r="AN181" i="37"/>
  <c r="AO181" i="37" s="1" a="1"/>
  <c r="AO181" i="37" s="1"/>
  <c r="AJ181" i="37"/>
  <c r="AG181" i="37"/>
  <c r="AH181" i="37" s="1" a="1"/>
  <c r="AH181" i="37" s="1"/>
  <c r="K181" i="37"/>
  <c r="I181" i="37" a="1"/>
  <c r="I181" i="37" s="1"/>
  <c r="H181" i="37" a="1"/>
  <c r="H181" i="37" s="1"/>
  <c r="AQ180" i="37"/>
  <c r="AN180" i="37"/>
  <c r="AO180" i="37" s="1" a="1"/>
  <c r="AO180" i="37" s="1"/>
  <c r="AJ180" i="37"/>
  <c r="AG180" i="37"/>
  <c r="AH180" i="37" s="1" a="1"/>
  <c r="AH180" i="37" s="1"/>
  <c r="K180" i="37"/>
  <c r="I180" i="37" a="1"/>
  <c r="I180" i="37" s="1"/>
  <c r="H180" i="37" a="1"/>
  <c r="H180" i="37" s="1"/>
  <c r="AQ179" i="37"/>
  <c r="AN179" i="37"/>
  <c r="AO179" i="37" s="1" a="1"/>
  <c r="AO179" i="37" s="1"/>
  <c r="AJ179" i="37"/>
  <c r="AG179" i="37"/>
  <c r="AH179" i="37" s="1" a="1"/>
  <c r="AH179" i="37" s="1"/>
  <c r="K179" i="37"/>
  <c r="I179" i="37" a="1"/>
  <c r="I179" i="37" s="1"/>
  <c r="H179" i="37" a="1"/>
  <c r="H179" i="37" s="1"/>
  <c r="AQ178" i="37"/>
  <c r="AN178" i="37"/>
  <c r="AO178" i="37" s="1" a="1"/>
  <c r="AO178" i="37" s="1"/>
  <c r="AJ178" i="37"/>
  <c r="AG178" i="37"/>
  <c r="AH178" i="37" s="1" a="1"/>
  <c r="AH178" i="37" s="1"/>
  <c r="K178" i="37"/>
  <c r="I178" i="37" a="1"/>
  <c r="I178" i="37" s="1"/>
  <c r="H178" i="37" a="1"/>
  <c r="H178" i="37" s="1"/>
  <c r="AQ177" i="37"/>
  <c r="AN177" i="37"/>
  <c r="AO177" i="37" s="1" a="1"/>
  <c r="AO177" i="37" s="1"/>
  <c r="AJ177" i="37"/>
  <c r="AG177" i="37"/>
  <c r="AH177" i="37" s="1" a="1"/>
  <c r="AH177" i="37" s="1"/>
  <c r="K177" i="37"/>
  <c r="I177" i="37" a="1"/>
  <c r="I177" i="37" s="1"/>
  <c r="H177" i="37" a="1"/>
  <c r="H177" i="37" s="1"/>
  <c r="AQ176" i="37"/>
  <c r="AN176" i="37"/>
  <c r="AO176" i="37" s="1" a="1"/>
  <c r="AO176" i="37" s="1"/>
  <c r="AJ176" i="37"/>
  <c r="AG176" i="37"/>
  <c r="AH176" i="37" s="1" a="1"/>
  <c r="AH176" i="37" s="1"/>
  <c r="K176" i="37"/>
  <c r="I176" i="37" a="1"/>
  <c r="I176" i="37" s="1"/>
  <c r="H176" i="37" a="1"/>
  <c r="H176" i="37" s="1"/>
  <c r="AQ175" i="37"/>
  <c r="AN175" i="37"/>
  <c r="AO175" i="37" s="1" a="1"/>
  <c r="AO175" i="37" s="1"/>
  <c r="AJ175" i="37"/>
  <c r="AG175" i="37"/>
  <c r="AH175" i="37" s="1" a="1"/>
  <c r="AH175" i="37" s="1"/>
  <c r="K175" i="37"/>
  <c r="I175" i="37" a="1"/>
  <c r="I175" i="37" s="1"/>
  <c r="H175" i="37" a="1"/>
  <c r="H175" i="37" s="1"/>
  <c r="AQ174" i="37"/>
  <c r="AN174" i="37"/>
  <c r="AO174" i="37" s="1" a="1"/>
  <c r="AO174" i="37" s="1"/>
  <c r="AJ174" i="37"/>
  <c r="AG174" i="37"/>
  <c r="AH174" i="37" s="1" a="1"/>
  <c r="AH174" i="37" s="1"/>
  <c r="K174" i="37"/>
  <c r="I174" i="37" a="1"/>
  <c r="I174" i="37" s="1"/>
  <c r="H174" i="37" a="1"/>
  <c r="H174" i="37" s="1"/>
  <c r="AQ173" i="37"/>
  <c r="AN173" i="37"/>
  <c r="AO173" i="37" s="1" a="1"/>
  <c r="AO173" i="37" s="1"/>
  <c r="AJ173" i="37"/>
  <c r="AG173" i="37"/>
  <c r="AH173" i="37" s="1" a="1"/>
  <c r="AH173" i="37" s="1"/>
  <c r="K173" i="37"/>
  <c r="I173" i="37" a="1"/>
  <c r="I173" i="37" s="1"/>
  <c r="H173" i="37" a="1"/>
  <c r="H173" i="37" s="1"/>
  <c r="AQ172" i="37"/>
  <c r="AN172" i="37"/>
  <c r="AO172" i="37" s="1" a="1"/>
  <c r="AO172" i="37" s="1"/>
  <c r="AJ172" i="37"/>
  <c r="AG172" i="37"/>
  <c r="AH172" i="37" s="1" a="1"/>
  <c r="AH172" i="37" s="1"/>
  <c r="K172" i="37"/>
  <c r="I172" i="37" a="1"/>
  <c r="I172" i="37" s="1"/>
  <c r="H172" i="37" a="1"/>
  <c r="H172" i="37" s="1"/>
  <c r="AQ171" i="37"/>
  <c r="AN171" i="37"/>
  <c r="AO171" i="37" s="1" a="1"/>
  <c r="AO171" i="37" s="1"/>
  <c r="AJ171" i="37"/>
  <c r="AG171" i="37"/>
  <c r="AH171" i="37" s="1" a="1"/>
  <c r="AH171" i="37" s="1"/>
  <c r="K171" i="37"/>
  <c r="I171" i="37" a="1"/>
  <c r="I171" i="37" s="1"/>
  <c r="H171" i="37" a="1"/>
  <c r="H171" i="37" s="1"/>
  <c r="AQ170" i="37"/>
  <c r="AN170" i="37"/>
  <c r="AO170" i="37" s="1" a="1"/>
  <c r="AO170" i="37" s="1"/>
  <c r="AJ170" i="37"/>
  <c r="AG170" i="37"/>
  <c r="AH170" i="37" s="1" a="1"/>
  <c r="AH170" i="37" s="1"/>
  <c r="K170" i="37"/>
  <c r="H170" i="37" a="1"/>
  <c r="H170" i="37" s="1"/>
  <c r="AQ169" i="37"/>
  <c r="AN169" i="37"/>
  <c r="AO169" i="37" s="1" a="1"/>
  <c r="AO169" i="37" s="1"/>
  <c r="AJ169" i="37"/>
  <c r="AG169" i="37"/>
  <c r="AH169" i="37" s="1" a="1"/>
  <c r="AH169" i="37" s="1"/>
  <c r="K169" i="37"/>
  <c r="I169" i="37" a="1"/>
  <c r="I169" i="37" s="1"/>
  <c r="H169" i="37" a="1"/>
  <c r="H169" i="37" s="1"/>
  <c r="AQ168" i="37"/>
  <c r="AN168" i="37"/>
  <c r="AO168" i="37" s="1" a="1"/>
  <c r="AO168" i="37" s="1"/>
  <c r="AJ168" i="37"/>
  <c r="AG168" i="37"/>
  <c r="AH168" i="37" s="1" a="1"/>
  <c r="AH168" i="37" s="1"/>
  <c r="K168" i="37"/>
  <c r="I168" i="37" a="1"/>
  <c r="I168" i="37" s="1"/>
  <c r="H168" i="37" a="1"/>
  <c r="H168" i="37" s="1"/>
  <c r="AQ167" i="37"/>
  <c r="AN167" i="37"/>
  <c r="AO167" i="37" s="1" a="1"/>
  <c r="AO167" i="37" s="1"/>
  <c r="AJ167" i="37"/>
  <c r="AG167" i="37"/>
  <c r="AH167" i="37" s="1" a="1"/>
  <c r="AH167" i="37" s="1"/>
  <c r="K167" i="37"/>
  <c r="H167" i="37" a="1"/>
  <c r="H167" i="37" s="1"/>
  <c r="AQ166" i="37"/>
  <c r="AN166" i="37"/>
  <c r="AO166" i="37" s="1" a="1"/>
  <c r="AO166" i="37" s="1"/>
  <c r="AJ166" i="37"/>
  <c r="AG166" i="37"/>
  <c r="AH166" i="37" s="1" a="1"/>
  <c r="AH166" i="37" s="1"/>
  <c r="K166" i="37"/>
  <c r="H166" i="37" a="1"/>
  <c r="H166" i="37" s="1"/>
  <c r="AQ165" i="37"/>
  <c r="AN165" i="37"/>
  <c r="AO165" i="37" s="1" a="1"/>
  <c r="AO165" i="37" s="1"/>
  <c r="AJ165" i="37"/>
  <c r="AG165" i="37"/>
  <c r="AH165" i="37" s="1" a="1"/>
  <c r="AH165" i="37" s="1"/>
  <c r="K165" i="37"/>
  <c r="I165" i="37" a="1"/>
  <c r="I165" i="37" s="1"/>
  <c r="H165" i="37" a="1"/>
  <c r="H165" i="37" s="1"/>
  <c r="AQ164" i="37"/>
  <c r="AN164" i="37"/>
  <c r="AO164" i="37" s="1" a="1"/>
  <c r="AO164" i="37" s="1"/>
  <c r="AJ164" i="37"/>
  <c r="AG164" i="37"/>
  <c r="AH164" i="37" s="1" a="1"/>
  <c r="AH164" i="37" s="1"/>
  <c r="K164" i="37"/>
  <c r="I164" i="37" a="1"/>
  <c r="I164" i="37" s="1"/>
  <c r="H164" i="37" a="1"/>
  <c r="H164" i="37" s="1"/>
  <c r="AQ163" i="37"/>
  <c r="AN163" i="37"/>
  <c r="AO163" i="37" s="1" a="1"/>
  <c r="AO163" i="37" s="1"/>
  <c r="AJ163" i="37"/>
  <c r="AG163" i="37"/>
  <c r="AH163" i="37" s="1" a="1"/>
  <c r="AH163" i="37" s="1"/>
  <c r="K163" i="37"/>
  <c r="H163" i="37" a="1"/>
  <c r="H163" i="37" s="1"/>
  <c r="AQ162" i="37"/>
  <c r="AN162" i="37"/>
  <c r="AO162" i="37" s="1" a="1"/>
  <c r="AO162" i="37" s="1"/>
  <c r="AJ162" i="37"/>
  <c r="AG162" i="37"/>
  <c r="AH162" i="37" s="1" a="1"/>
  <c r="AH162" i="37" s="1"/>
  <c r="K162" i="37"/>
  <c r="I162" i="37" a="1"/>
  <c r="I162" i="37" s="1"/>
  <c r="H162" i="37" a="1"/>
  <c r="H162" i="37" s="1"/>
  <c r="AQ161" i="37"/>
  <c r="AN161" i="37"/>
  <c r="AO161" i="37" s="1" a="1"/>
  <c r="AO161" i="37" s="1"/>
  <c r="AJ161" i="37"/>
  <c r="AG161" i="37"/>
  <c r="AH161" i="37" s="1" a="1"/>
  <c r="AH161" i="37" s="1"/>
  <c r="K161" i="37"/>
  <c r="I161" i="37" a="1"/>
  <c r="I161" i="37" s="1"/>
  <c r="H161" i="37" a="1"/>
  <c r="H161" i="37" s="1"/>
  <c r="AQ160" i="37"/>
  <c r="AN160" i="37"/>
  <c r="AO160" i="37" s="1" a="1"/>
  <c r="AO160" i="37" s="1"/>
  <c r="AJ160" i="37"/>
  <c r="AG160" i="37"/>
  <c r="AH160" i="37" s="1" a="1"/>
  <c r="AH160" i="37" s="1"/>
  <c r="K160" i="37"/>
  <c r="I160" i="37" a="1"/>
  <c r="I160" i="37" s="1"/>
  <c r="H160" i="37" a="1"/>
  <c r="H160" i="37" s="1"/>
  <c r="AQ159" i="37"/>
  <c r="AN159" i="37"/>
  <c r="AO159" i="37" s="1" a="1"/>
  <c r="AO159" i="37" s="1"/>
  <c r="AJ159" i="37"/>
  <c r="AG159" i="37"/>
  <c r="AH159" i="37" s="1" a="1"/>
  <c r="AH159" i="37" s="1"/>
  <c r="K159" i="37"/>
  <c r="I159" i="37" a="1"/>
  <c r="I159" i="37" s="1"/>
  <c r="H159" i="37" a="1"/>
  <c r="H159" i="37" s="1"/>
  <c r="AQ158" i="37"/>
  <c r="AN158" i="37"/>
  <c r="AO158" i="37" s="1" a="1"/>
  <c r="AO158" i="37" s="1"/>
  <c r="AJ158" i="37"/>
  <c r="AG158" i="37"/>
  <c r="AH158" i="37" s="1" a="1"/>
  <c r="AH158" i="37" s="1"/>
  <c r="K158" i="37"/>
  <c r="I158" i="37" a="1"/>
  <c r="I158" i="37" s="1"/>
  <c r="H158" i="37" a="1"/>
  <c r="H158" i="37" s="1"/>
  <c r="AQ157" i="37"/>
  <c r="AN157" i="37"/>
  <c r="AO157" i="37" s="1" a="1"/>
  <c r="AO157" i="37" s="1"/>
  <c r="AJ157" i="37"/>
  <c r="AG157" i="37"/>
  <c r="AH157" i="37" s="1" a="1"/>
  <c r="AH157" i="37" s="1"/>
  <c r="K157" i="37"/>
  <c r="I157" i="37" a="1"/>
  <c r="I157" i="37" s="1"/>
  <c r="H157" i="37" a="1"/>
  <c r="H157" i="37" s="1"/>
  <c r="AQ156" i="37"/>
  <c r="AN156" i="37"/>
  <c r="AO156" i="37" s="1" a="1"/>
  <c r="AO156" i="37" s="1"/>
  <c r="AJ156" i="37"/>
  <c r="AG156" i="37"/>
  <c r="AH156" i="37" s="1" a="1"/>
  <c r="AH156" i="37" s="1"/>
  <c r="K156" i="37"/>
  <c r="I156" i="37" a="1"/>
  <c r="I156" i="37" s="1"/>
  <c r="H156" i="37" a="1"/>
  <c r="H156" i="37" s="1"/>
  <c r="AQ155" i="37"/>
  <c r="AN155" i="37"/>
  <c r="AO155" i="37" s="1" a="1"/>
  <c r="AO155" i="37" s="1"/>
  <c r="AJ155" i="37"/>
  <c r="AG155" i="37"/>
  <c r="AH155" i="37" s="1" a="1"/>
  <c r="AH155" i="37" s="1"/>
  <c r="K155" i="37"/>
  <c r="I155" i="37" a="1"/>
  <c r="I155" i="37" s="1"/>
  <c r="H155" i="37" a="1"/>
  <c r="H155" i="37" s="1"/>
  <c r="AQ154" i="37"/>
  <c r="AN154" i="37"/>
  <c r="AO154" i="37" s="1" a="1"/>
  <c r="AO154" i="37" s="1"/>
  <c r="AJ154" i="37"/>
  <c r="AG154" i="37"/>
  <c r="AH154" i="37" s="1" a="1"/>
  <c r="AH154" i="37" s="1"/>
  <c r="K154" i="37"/>
  <c r="I154" i="37" a="1"/>
  <c r="I154" i="37" s="1"/>
  <c r="H154" i="37" a="1"/>
  <c r="H154" i="37" s="1"/>
  <c r="AQ153" i="37"/>
  <c r="AN153" i="37"/>
  <c r="AO153" i="37" s="1" a="1"/>
  <c r="AO153" i="37" s="1"/>
  <c r="AJ153" i="37"/>
  <c r="AG153" i="37"/>
  <c r="AH153" i="37" s="1" a="1"/>
  <c r="AH153" i="37" s="1"/>
  <c r="K153" i="37"/>
  <c r="I153" i="37" a="1"/>
  <c r="I153" i="37" s="1"/>
  <c r="H153" i="37" a="1"/>
  <c r="H153" i="37" s="1"/>
  <c r="AQ152" i="37"/>
  <c r="AN152" i="37"/>
  <c r="AO152" i="37" s="1" a="1"/>
  <c r="AO152" i="37" s="1"/>
  <c r="AJ152" i="37"/>
  <c r="AG152" i="37"/>
  <c r="AH152" i="37" s="1" a="1"/>
  <c r="AH152" i="37" s="1"/>
  <c r="K152" i="37"/>
  <c r="I152" i="37" a="1"/>
  <c r="I152" i="37" s="1"/>
  <c r="H152" i="37" a="1"/>
  <c r="H152" i="37" s="1"/>
  <c r="AQ151" i="37"/>
  <c r="AN151" i="37"/>
  <c r="AO151" i="37" s="1" a="1"/>
  <c r="AO151" i="37" s="1"/>
  <c r="AJ151" i="37"/>
  <c r="AG151" i="37"/>
  <c r="AH151" i="37" s="1" a="1"/>
  <c r="AH151" i="37" s="1"/>
  <c r="K151" i="37"/>
  <c r="I151" i="37" a="1"/>
  <c r="I151" i="37" s="1"/>
  <c r="H151" i="37" a="1"/>
  <c r="H151" i="37" s="1"/>
  <c r="AQ150" i="37"/>
  <c r="AN150" i="37"/>
  <c r="AO150" i="37" s="1" a="1"/>
  <c r="AO150" i="37" s="1"/>
  <c r="AJ150" i="37"/>
  <c r="AG150" i="37"/>
  <c r="AH150" i="37" s="1" a="1"/>
  <c r="AH150" i="37" s="1"/>
  <c r="K150" i="37"/>
  <c r="I150" i="37" a="1"/>
  <c r="I150" i="37" s="1"/>
  <c r="H150" i="37" a="1"/>
  <c r="H150" i="37" s="1"/>
  <c r="AQ149" i="37"/>
  <c r="AN149" i="37"/>
  <c r="AO149" i="37" s="1" a="1"/>
  <c r="AO149" i="37" s="1"/>
  <c r="AJ149" i="37"/>
  <c r="AG149" i="37"/>
  <c r="AH149" i="37" s="1" a="1"/>
  <c r="AH149" i="37" s="1"/>
  <c r="K149" i="37"/>
  <c r="I149" i="37" a="1"/>
  <c r="I149" i="37" s="1"/>
  <c r="H149" i="37" a="1"/>
  <c r="H149" i="37" s="1"/>
  <c r="AQ148" i="37"/>
  <c r="AN148" i="37"/>
  <c r="AO148" i="37" s="1" a="1"/>
  <c r="AO148" i="37" s="1"/>
  <c r="AJ148" i="37"/>
  <c r="AG148" i="37"/>
  <c r="AH148" i="37" s="1" a="1"/>
  <c r="AH148" i="37" s="1"/>
  <c r="K148" i="37"/>
  <c r="I148" i="37" a="1"/>
  <c r="I148" i="37" s="1"/>
  <c r="H148" i="37" a="1"/>
  <c r="H148" i="37" s="1"/>
  <c r="AQ147" i="37"/>
  <c r="AN147" i="37"/>
  <c r="AO147" i="37" s="1" a="1"/>
  <c r="AO147" i="37" s="1"/>
  <c r="AJ147" i="37"/>
  <c r="AG147" i="37"/>
  <c r="AH147" i="37" s="1" a="1"/>
  <c r="AH147" i="37" s="1"/>
  <c r="K147" i="37"/>
  <c r="I147" i="37" a="1"/>
  <c r="I147" i="37" s="1"/>
  <c r="H147" i="37" a="1"/>
  <c r="H147" i="37" s="1"/>
  <c r="AQ146" i="37"/>
  <c r="AN146" i="37"/>
  <c r="AO146" i="37" s="1" a="1"/>
  <c r="AO146" i="37" s="1"/>
  <c r="AJ146" i="37"/>
  <c r="AG146" i="37"/>
  <c r="AH146" i="37" s="1" a="1"/>
  <c r="AH146" i="37" s="1"/>
  <c r="K146" i="37"/>
  <c r="I146" i="37" a="1"/>
  <c r="I146" i="37" s="1"/>
  <c r="H146" i="37" a="1"/>
  <c r="H146" i="37" s="1"/>
  <c r="AQ145" i="37"/>
  <c r="AN145" i="37"/>
  <c r="AO145" i="37" s="1" a="1"/>
  <c r="AO145" i="37" s="1"/>
  <c r="AJ145" i="37"/>
  <c r="AG145" i="37"/>
  <c r="AH145" i="37" s="1" a="1"/>
  <c r="AH145" i="37" s="1"/>
  <c r="K145" i="37"/>
  <c r="I145" i="37" a="1"/>
  <c r="I145" i="37" s="1"/>
  <c r="H145" i="37" a="1"/>
  <c r="H145" i="37" s="1"/>
  <c r="AQ144" i="37"/>
  <c r="AN144" i="37"/>
  <c r="AO144" i="37" s="1" a="1"/>
  <c r="AO144" i="37" s="1"/>
  <c r="AJ144" i="37"/>
  <c r="AG144" i="37"/>
  <c r="AH144" i="37" s="1" a="1"/>
  <c r="AH144" i="37" s="1"/>
  <c r="K144" i="37"/>
  <c r="I144" i="37" a="1"/>
  <c r="I144" i="37" s="1"/>
  <c r="H144" i="37" a="1"/>
  <c r="H144" i="37" s="1"/>
  <c r="AQ143" i="37"/>
  <c r="AN143" i="37"/>
  <c r="AO143" i="37" s="1" a="1"/>
  <c r="AO143" i="37" s="1"/>
  <c r="AJ143" i="37"/>
  <c r="AG143" i="37"/>
  <c r="AH143" i="37" s="1" a="1"/>
  <c r="AH143" i="37" s="1"/>
  <c r="K143" i="37"/>
  <c r="I143" i="37" a="1"/>
  <c r="I143" i="37" s="1"/>
  <c r="H143" i="37" a="1"/>
  <c r="H143" i="37" s="1"/>
  <c r="AQ142" i="37"/>
  <c r="AN142" i="37"/>
  <c r="AO142" i="37" s="1" a="1"/>
  <c r="AO142" i="37" s="1"/>
  <c r="AJ142" i="37"/>
  <c r="AG142" i="37"/>
  <c r="AH142" i="37" s="1" a="1"/>
  <c r="AH142" i="37" s="1"/>
  <c r="K142" i="37"/>
  <c r="H142" i="37" a="1"/>
  <c r="H142" i="37" s="1"/>
  <c r="AQ141" i="37"/>
  <c r="AN141" i="37"/>
  <c r="AO141" i="37" s="1" a="1"/>
  <c r="AO141" i="37" s="1"/>
  <c r="AJ141" i="37"/>
  <c r="AG141" i="37"/>
  <c r="AH141" i="37" s="1" a="1"/>
  <c r="AH141" i="37" s="1"/>
  <c r="K141" i="37"/>
  <c r="I141" i="37" a="1"/>
  <c r="I141" i="37" s="1"/>
  <c r="H141" i="37" a="1"/>
  <c r="H141" i="37" s="1"/>
  <c r="AQ140" i="37"/>
  <c r="AN140" i="37"/>
  <c r="AO140" i="37" s="1" a="1"/>
  <c r="AO140" i="37" s="1"/>
  <c r="AJ140" i="37"/>
  <c r="AG140" i="37"/>
  <c r="AH140" i="37" s="1" a="1"/>
  <c r="AH140" i="37" s="1"/>
  <c r="K140" i="37"/>
  <c r="I140" i="37" a="1"/>
  <c r="I140" i="37" s="1"/>
  <c r="H140" i="37" a="1"/>
  <c r="H140" i="37" s="1"/>
  <c r="AQ139" i="37"/>
  <c r="AN139" i="37"/>
  <c r="AO139" i="37" s="1" a="1"/>
  <c r="AO139" i="37" s="1"/>
  <c r="AJ139" i="37"/>
  <c r="AG139" i="37"/>
  <c r="AH139" i="37" s="1" a="1"/>
  <c r="AH139" i="37" s="1"/>
  <c r="K139" i="37"/>
  <c r="I139" i="37" a="1"/>
  <c r="I139" i="37" s="1"/>
  <c r="H139" i="37" a="1"/>
  <c r="H139" i="37" s="1"/>
  <c r="AQ138" i="37"/>
  <c r="AN138" i="37"/>
  <c r="AO138" i="37" s="1" a="1"/>
  <c r="AO138" i="37" s="1"/>
  <c r="AJ138" i="37"/>
  <c r="AG138" i="37"/>
  <c r="AH138" i="37" s="1" a="1"/>
  <c r="AH138" i="37" s="1"/>
  <c r="K138" i="37"/>
  <c r="I138" i="37" a="1"/>
  <c r="I138" i="37" s="1"/>
  <c r="H138" i="37" a="1"/>
  <c r="H138" i="37" s="1"/>
  <c r="AQ137" i="37"/>
  <c r="AN137" i="37"/>
  <c r="AO137" i="37" s="1" a="1"/>
  <c r="AO137" i="37" s="1"/>
  <c r="AJ137" i="37"/>
  <c r="AG137" i="37"/>
  <c r="AH137" i="37" s="1" a="1"/>
  <c r="AH137" i="37" s="1"/>
  <c r="K137" i="37"/>
  <c r="I137" i="37" a="1"/>
  <c r="I137" i="37" s="1"/>
  <c r="H137" i="37" a="1"/>
  <c r="H137" i="37" s="1"/>
  <c r="AQ136" i="37"/>
  <c r="AN136" i="37"/>
  <c r="AO136" i="37" s="1" a="1"/>
  <c r="AO136" i="37" s="1"/>
  <c r="AJ136" i="37"/>
  <c r="AG136" i="37"/>
  <c r="AH136" i="37" s="1" a="1"/>
  <c r="AH136" i="37" s="1"/>
  <c r="K136" i="37"/>
  <c r="I136" i="37" a="1"/>
  <c r="I136" i="37" s="1"/>
  <c r="H136" i="37" a="1"/>
  <c r="H136" i="37" s="1"/>
  <c r="AQ135" i="37"/>
  <c r="AN135" i="37"/>
  <c r="AO135" i="37" s="1" a="1"/>
  <c r="AO135" i="37" s="1"/>
  <c r="AJ135" i="37"/>
  <c r="AG135" i="37"/>
  <c r="AH135" i="37" s="1" a="1"/>
  <c r="AH135" i="37" s="1"/>
  <c r="K135" i="37"/>
  <c r="I135" i="37" a="1"/>
  <c r="I135" i="37" s="1"/>
  <c r="H135" i="37" a="1"/>
  <c r="H135" i="37" s="1"/>
  <c r="AQ134" i="37"/>
  <c r="AN134" i="37"/>
  <c r="AO134" i="37" s="1" a="1"/>
  <c r="AO134" i="37" s="1"/>
  <c r="AJ134" i="37"/>
  <c r="AG134" i="37"/>
  <c r="AH134" i="37" s="1" a="1"/>
  <c r="AH134" i="37" s="1"/>
  <c r="K134" i="37"/>
  <c r="I134" i="37" a="1"/>
  <c r="I134" i="37" s="1"/>
  <c r="L134" i="37" s="1"/>
  <c r="M134" i="37" s="1" a="1"/>
  <c r="M134" i="37" s="1"/>
  <c r="H134" i="37" a="1"/>
  <c r="H134" i="37" s="1"/>
  <c r="AQ133" i="37"/>
  <c r="AN133" i="37"/>
  <c r="AO133" i="37" s="1" a="1"/>
  <c r="AO133" i="37" s="1"/>
  <c r="AJ133" i="37"/>
  <c r="AG133" i="37"/>
  <c r="AH133" i="37" s="1" a="1"/>
  <c r="AH133" i="37" s="1"/>
  <c r="K133" i="37"/>
  <c r="I133" i="37" a="1"/>
  <c r="I133" i="37" s="1"/>
  <c r="H133" i="37" a="1"/>
  <c r="H133" i="37" s="1"/>
  <c r="AQ132" i="37"/>
  <c r="AN132" i="37"/>
  <c r="AO132" i="37" s="1" a="1"/>
  <c r="AO132" i="37" s="1"/>
  <c r="AJ132" i="37"/>
  <c r="AG132" i="37"/>
  <c r="AH132" i="37" s="1" a="1"/>
  <c r="AH132" i="37" s="1"/>
  <c r="K132" i="37"/>
  <c r="I132" i="37" a="1"/>
  <c r="I132" i="37" s="1"/>
  <c r="H132" i="37" a="1"/>
  <c r="H132" i="37" s="1"/>
  <c r="AQ131" i="37"/>
  <c r="AN131" i="37"/>
  <c r="AO131" i="37" s="1" a="1"/>
  <c r="AO131" i="37" s="1"/>
  <c r="AJ131" i="37"/>
  <c r="AG131" i="37"/>
  <c r="AH131" i="37" s="1" a="1"/>
  <c r="AH131" i="37" s="1"/>
  <c r="K131" i="37"/>
  <c r="I131" i="37" a="1"/>
  <c r="I131" i="37" s="1"/>
  <c r="H131" i="37" a="1"/>
  <c r="H131" i="37" s="1"/>
  <c r="AQ130" i="37"/>
  <c r="AN130" i="37"/>
  <c r="AO130" i="37" s="1" a="1"/>
  <c r="AO130" i="37" s="1"/>
  <c r="AJ130" i="37"/>
  <c r="AG130" i="37"/>
  <c r="AH130" i="37" s="1" a="1"/>
  <c r="AH130" i="37" s="1"/>
  <c r="K130" i="37"/>
  <c r="H130" i="37" a="1"/>
  <c r="H130" i="37" s="1"/>
  <c r="AQ129" i="37"/>
  <c r="AN129" i="37"/>
  <c r="AO129" i="37" s="1" a="1"/>
  <c r="AO129" i="37" s="1"/>
  <c r="AJ129" i="37"/>
  <c r="AG129" i="37"/>
  <c r="AH129" i="37" s="1" a="1"/>
  <c r="AH129" i="37" s="1"/>
  <c r="K129" i="37"/>
  <c r="I129" i="37" a="1"/>
  <c r="I129" i="37" s="1"/>
  <c r="H129" i="37" a="1"/>
  <c r="H129" i="37" s="1"/>
  <c r="AQ128" i="37"/>
  <c r="AN128" i="37"/>
  <c r="AO128" i="37" s="1" a="1"/>
  <c r="AO128" i="37" s="1"/>
  <c r="AJ128" i="37"/>
  <c r="AG128" i="37"/>
  <c r="AH128" i="37" s="1" a="1"/>
  <c r="AH128" i="37" s="1"/>
  <c r="K128" i="37"/>
  <c r="I128" i="37" a="1"/>
  <c r="I128" i="37" s="1"/>
  <c r="H128" i="37" a="1"/>
  <c r="H128" i="37" s="1"/>
  <c r="AQ127" i="37"/>
  <c r="AN127" i="37"/>
  <c r="AO127" i="37" s="1" a="1"/>
  <c r="AO127" i="37" s="1"/>
  <c r="AJ127" i="37"/>
  <c r="AG127" i="37"/>
  <c r="AH127" i="37" s="1" a="1"/>
  <c r="AH127" i="37" s="1"/>
  <c r="K127" i="37"/>
  <c r="H127" i="37" a="1"/>
  <c r="H127" i="37" s="1"/>
  <c r="AQ126" i="37"/>
  <c r="AN126" i="37"/>
  <c r="AO126" i="37" s="1" a="1"/>
  <c r="AO126" i="37" s="1"/>
  <c r="AJ126" i="37"/>
  <c r="AG126" i="37"/>
  <c r="AH126" i="37" s="1" a="1"/>
  <c r="AH126" i="37" s="1"/>
  <c r="K126" i="37"/>
  <c r="H126" i="37" a="1"/>
  <c r="H126" i="37" s="1"/>
  <c r="AQ125" i="37"/>
  <c r="AN125" i="37"/>
  <c r="AO125" i="37" s="1" a="1"/>
  <c r="AO125" i="37" s="1"/>
  <c r="AJ125" i="37"/>
  <c r="AG125" i="37"/>
  <c r="AH125" i="37" s="1" a="1"/>
  <c r="AH125" i="37" s="1"/>
  <c r="K125" i="37"/>
  <c r="H125" i="37" a="1"/>
  <c r="H125" i="37" s="1"/>
  <c r="AQ124" i="37"/>
  <c r="AN124" i="37"/>
  <c r="AO124" i="37" s="1" a="1"/>
  <c r="AO124" i="37" s="1"/>
  <c r="AJ124" i="37"/>
  <c r="AG124" i="37"/>
  <c r="AH124" i="37" s="1" a="1"/>
  <c r="AH124" i="37" s="1"/>
  <c r="K124" i="37"/>
  <c r="I124" i="37" a="1"/>
  <c r="I124" i="37" s="1"/>
  <c r="H124" i="37" a="1"/>
  <c r="H124" i="37" s="1"/>
  <c r="AQ123" i="37"/>
  <c r="AN123" i="37"/>
  <c r="AO123" i="37" s="1" a="1"/>
  <c r="AO123" i="37" s="1"/>
  <c r="AJ123" i="37"/>
  <c r="AG123" i="37"/>
  <c r="AH123" i="37" s="1" a="1"/>
  <c r="AH123" i="37" s="1"/>
  <c r="K123" i="37"/>
  <c r="I123" i="37" a="1"/>
  <c r="I123" i="37" s="1"/>
  <c r="L123" i="37" s="1"/>
  <c r="M123" i="37" s="1" a="1"/>
  <c r="M123" i="37" s="1"/>
  <c r="H123" i="37" a="1"/>
  <c r="H123" i="37" s="1"/>
  <c r="AQ122" i="37"/>
  <c r="AN122" i="37"/>
  <c r="AO122" i="37" s="1" a="1"/>
  <c r="AO122" i="37" s="1"/>
  <c r="AJ122" i="37"/>
  <c r="AG122" i="37"/>
  <c r="AH122" i="37" s="1" a="1"/>
  <c r="AH122" i="37" s="1"/>
  <c r="K122" i="37"/>
  <c r="H122" i="37" a="1"/>
  <c r="H122" i="37" s="1"/>
  <c r="AQ121" i="37"/>
  <c r="AN121" i="37"/>
  <c r="AO121" i="37" s="1" a="1"/>
  <c r="AO121" i="37" s="1"/>
  <c r="AJ121" i="37"/>
  <c r="AG121" i="37"/>
  <c r="AH121" i="37" s="1" a="1"/>
  <c r="AH121" i="37" s="1"/>
  <c r="K121" i="37"/>
  <c r="I121" i="37" a="1"/>
  <c r="I121" i="37" s="1"/>
  <c r="H121" i="37" a="1"/>
  <c r="H121" i="37" s="1"/>
  <c r="AQ120" i="37"/>
  <c r="AN120" i="37"/>
  <c r="AO120" i="37" s="1" a="1"/>
  <c r="AO120" i="37" s="1"/>
  <c r="AJ120" i="37"/>
  <c r="AG120" i="37"/>
  <c r="AH120" i="37" s="1" a="1"/>
  <c r="AH120" i="37" s="1"/>
  <c r="K120" i="37"/>
  <c r="I120" i="37" a="1"/>
  <c r="I120" i="37" s="1"/>
  <c r="H120" i="37" a="1"/>
  <c r="H120" i="37" s="1"/>
  <c r="AQ119" i="37"/>
  <c r="AN119" i="37"/>
  <c r="AO119" i="37" s="1" a="1"/>
  <c r="AO119" i="37" s="1"/>
  <c r="AJ119" i="37"/>
  <c r="AG119" i="37"/>
  <c r="AH119" i="37" s="1" a="1"/>
  <c r="AH119" i="37" s="1"/>
  <c r="K119" i="37"/>
  <c r="I119" i="37" a="1"/>
  <c r="I119" i="37" s="1"/>
  <c r="H119" i="37" a="1"/>
  <c r="H119" i="37" s="1"/>
  <c r="AQ118" i="37"/>
  <c r="AN118" i="37"/>
  <c r="AO118" i="37" s="1" a="1"/>
  <c r="AO118" i="37" s="1"/>
  <c r="AJ118" i="37"/>
  <c r="AG118" i="37"/>
  <c r="AH118" i="37" s="1" a="1"/>
  <c r="AH118" i="37" s="1"/>
  <c r="K118" i="37"/>
  <c r="I118" i="37" a="1"/>
  <c r="I118" i="37" s="1"/>
  <c r="H118" i="37" a="1"/>
  <c r="H118" i="37" s="1"/>
  <c r="AQ117" i="37"/>
  <c r="AN117" i="37"/>
  <c r="AO117" i="37" s="1" a="1"/>
  <c r="AO117" i="37" s="1"/>
  <c r="AJ117" i="37"/>
  <c r="AG117" i="37"/>
  <c r="AH117" i="37" s="1" a="1"/>
  <c r="AH117" i="37" s="1"/>
  <c r="K117" i="37"/>
  <c r="I117" i="37" a="1"/>
  <c r="I117" i="37" s="1"/>
  <c r="H117" i="37" a="1"/>
  <c r="H117" i="37" s="1"/>
  <c r="AQ116" i="37"/>
  <c r="AN116" i="37"/>
  <c r="AO116" i="37" s="1" a="1"/>
  <c r="AO116" i="37" s="1"/>
  <c r="AJ116" i="37"/>
  <c r="AG116" i="37"/>
  <c r="AH116" i="37" s="1" a="1"/>
  <c r="AH116" i="37" s="1"/>
  <c r="K116" i="37"/>
  <c r="I116" i="37" a="1"/>
  <c r="I116" i="37" s="1"/>
  <c r="H116" i="37" a="1"/>
  <c r="H116" i="37" s="1"/>
  <c r="AQ115" i="37"/>
  <c r="AN115" i="37"/>
  <c r="AO115" i="37" s="1" a="1"/>
  <c r="AO115" i="37" s="1"/>
  <c r="AJ115" i="37"/>
  <c r="AG115" i="37"/>
  <c r="AH115" i="37" s="1" a="1"/>
  <c r="AH115" i="37" s="1"/>
  <c r="K115" i="37"/>
  <c r="I115" i="37" a="1"/>
  <c r="I115" i="37" s="1"/>
  <c r="H115" i="37" a="1"/>
  <c r="H115" i="37" s="1"/>
  <c r="AQ114" i="37"/>
  <c r="AN114" i="37"/>
  <c r="AO114" i="37" s="1" a="1"/>
  <c r="AO114" i="37" s="1"/>
  <c r="AJ114" i="37"/>
  <c r="AG114" i="37"/>
  <c r="AH114" i="37" s="1" a="1"/>
  <c r="AH114" i="37" s="1"/>
  <c r="K114" i="37"/>
  <c r="I114" i="37" a="1"/>
  <c r="I114" i="37" s="1"/>
  <c r="H114" i="37" a="1"/>
  <c r="H114" i="37" s="1"/>
  <c r="AQ113" i="37"/>
  <c r="AN113" i="37"/>
  <c r="AO113" i="37" s="1" a="1"/>
  <c r="AO113" i="37" s="1"/>
  <c r="AJ113" i="37"/>
  <c r="AG113" i="37"/>
  <c r="AH113" i="37" s="1" a="1"/>
  <c r="AH113" i="37" s="1"/>
  <c r="K113" i="37"/>
  <c r="I113" i="37" a="1"/>
  <c r="I113" i="37" s="1"/>
  <c r="H113" i="37" a="1"/>
  <c r="H113" i="37" s="1"/>
  <c r="AQ112" i="37"/>
  <c r="AN112" i="37"/>
  <c r="AO112" i="37" s="1" a="1"/>
  <c r="AO112" i="37" s="1"/>
  <c r="AJ112" i="37"/>
  <c r="AG112" i="37"/>
  <c r="AH112" i="37" s="1" a="1"/>
  <c r="AH112" i="37" s="1"/>
  <c r="K112" i="37"/>
  <c r="I112" i="37" a="1"/>
  <c r="I112" i="37" s="1"/>
  <c r="H112" i="37" a="1"/>
  <c r="H112" i="37" s="1"/>
  <c r="AQ111" i="37"/>
  <c r="AN111" i="37"/>
  <c r="AO111" i="37" s="1" a="1"/>
  <c r="AO111" i="37" s="1"/>
  <c r="AJ111" i="37"/>
  <c r="AG111" i="37"/>
  <c r="AH111" i="37" s="1" a="1"/>
  <c r="AH111" i="37" s="1"/>
  <c r="K111" i="37"/>
  <c r="I111" i="37" a="1"/>
  <c r="I111" i="37" s="1"/>
  <c r="H111" i="37" a="1"/>
  <c r="H111" i="37" s="1"/>
  <c r="AQ110" i="37"/>
  <c r="AN110" i="37"/>
  <c r="AO110" i="37" s="1" a="1"/>
  <c r="AO110" i="37" s="1"/>
  <c r="AJ110" i="37"/>
  <c r="AG110" i="37"/>
  <c r="AH110" i="37" s="1" a="1"/>
  <c r="AH110" i="37" s="1"/>
  <c r="K110" i="37"/>
  <c r="H110" i="37" a="1"/>
  <c r="H110" i="37" s="1"/>
  <c r="AQ109" i="37"/>
  <c r="AN109" i="37"/>
  <c r="AO109" i="37" s="1" a="1"/>
  <c r="AO109" i="37" s="1"/>
  <c r="AJ109" i="37"/>
  <c r="AG109" i="37"/>
  <c r="AH109" i="37" s="1" a="1"/>
  <c r="AH109" i="37" s="1"/>
  <c r="K109" i="37"/>
  <c r="I109" i="37" a="1"/>
  <c r="I109" i="37" s="1"/>
  <c r="H109" i="37" a="1"/>
  <c r="H109" i="37" s="1"/>
  <c r="AQ108" i="37"/>
  <c r="AN108" i="37"/>
  <c r="AO108" i="37" s="1" a="1"/>
  <c r="AO108" i="37" s="1"/>
  <c r="AJ108" i="37"/>
  <c r="AG108" i="37"/>
  <c r="AH108" i="37" s="1" a="1"/>
  <c r="AH108" i="37" s="1"/>
  <c r="K108" i="37"/>
  <c r="I108" i="37" a="1"/>
  <c r="I108" i="37" s="1"/>
  <c r="L108" i="37" s="1"/>
  <c r="M108" i="37" s="1" a="1"/>
  <c r="M108" i="37" s="1"/>
  <c r="H108" i="37" a="1"/>
  <c r="H108" i="37" s="1"/>
  <c r="AQ107" i="37"/>
  <c r="AN107" i="37"/>
  <c r="AO107" i="37" s="1" a="1"/>
  <c r="AO107" i="37" s="1"/>
  <c r="AJ107" i="37"/>
  <c r="AG107" i="37"/>
  <c r="AH107" i="37" s="1" a="1"/>
  <c r="AH107" i="37" s="1"/>
  <c r="K107" i="37"/>
  <c r="I107" i="37" a="1"/>
  <c r="I107" i="37" s="1"/>
  <c r="H107" i="37" a="1"/>
  <c r="H107" i="37" s="1"/>
  <c r="AQ106" i="37"/>
  <c r="AN106" i="37"/>
  <c r="AO106" i="37" s="1" a="1"/>
  <c r="AO106" i="37" s="1"/>
  <c r="AJ106" i="37"/>
  <c r="AG106" i="37"/>
  <c r="AH106" i="37" s="1" a="1"/>
  <c r="AH106" i="37" s="1"/>
  <c r="K106" i="37"/>
  <c r="H106" i="37" a="1"/>
  <c r="H106" i="37" s="1"/>
  <c r="AQ105" i="37"/>
  <c r="AN105" i="37"/>
  <c r="AO105" i="37" s="1" a="1"/>
  <c r="AO105" i="37" s="1"/>
  <c r="AJ105" i="37"/>
  <c r="AG105" i="37"/>
  <c r="AH105" i="37" s="1" a="1"/>
  <c r="AH105" i="37" s="1"/>
  <c r="K105" i="37"/>
  <c r="H105" i="37" a="1"/>
  <c r="H105" i="37" s="1"/>
  <c r="AQ104" i="37"/>
  <c r="AN104" i="37"/>
  <c r="AO104" i="37" s="1" a="1"/>
  <c r="AO104" i="37" s="1"/>
  <c r="AJ104" i="37"/>
  <c r="AG104" i="37"/>
  <c r="AH104" i="37" s="1" a="1"/>
  <c r="AH104" i="37" s="1"/>
  <c r="K104" i="37"/>
  <c r="H104" i="37" a="1"/>
  <c r="H104" i="37" s="1"/>
  <c r="AQ103" i="37"/>
  <c r="AN103" i="37"/>
  <c r="AO103" i="37" s="1" a="1"/>
  <c r="AO103" i="37" s="1"/>
  <c r="AJ103" i="37"/>
  <c r="AG103" i="37"/>
  <c r="AH103" i="37" s="1" a="1"/>
  <c r="AH103" i="37" s="1"/>
  <c r="K103" i="37"/>
  <c r="I103" i="37" a="1"/>
  <c r="I103" i="37" s="1"/>
  <c r="H103" i="37" a="1"/>
  <c r="H103" i="37" s="1"/>
  <c r="AQ102" i="37"/>
  <c r="AN102" i="37"/>
  <c r="AO102" i="37" s="1" a="1"/>
  <c r="AO102" i="37" s="1"/>
  <c r="AJ102" i="37"/>
  <c r="AG102" i="37"/>
  <c r="AH102" i="37" s="1" a="1"/>
  <c r="AH102" i="37" s="1"/>
  <c r="K102" i="37"/>
  <c r="I102" i="37" a="1"/>
  <c r="I102" i="37" s="1"/>
  <c r="H102" i="37" a="1"/>
  <c r="H102" i="37" s="1"/>
  <c r="AQ101" i="37"/>
  <c r="AN101" i="37"/>
  <c r="AO101" i="37" s="1" a="1"/>
  <c r="AO101" i="37" s="1"/>
  <c r="AJ101" i="37"/>
  <c r="AG101" i="37"/>
  <c r="AH101" i="37" s="1" a="1"/>
  <c r="AH101" i="37" s="1"/>
  <c r="K101" i="37"/>
  <c r="I101" i="37" a="1"/>
  <c r="I101" i="37" s="1"/>
  <c r="H101" i="37" a="1"/>
  <c r="H101" i="37" s="1"/>
  <c r="AQ100" i="37"/>
  <c r="AN100" i="37"/>
  <c r="AO100" i="37" s="1" a="1"/>
  <c r="AO100" i="37" s="1"/>
  <c r="AJ100" i="37"/>
  <c r="AG100" i="37"/>
  <c r="AH100" i="37" s="1" a="1"/>
  <c r="AH100" i="37" s="1"/>
  <c r="K100" i="37"/>
  <c r="I100" i="37" a="1"/>
  <c r="I100" i="37" s="1"/>
  <c r="H100" i="37" a="1"/>
  <c r="H100" i="37" s="1"/>
  <c r="AQ99" i="37"/>
  <c r="AN99" i="37"/>
  <c r="AO99" i="37" s="1" a="1"/>
  <c r="AO99" i="37" s="1"/>
  <c r="AJ99" i="37"/>
  <c r="AG99" i="37"/>
  <c r="AH99" i="37" s="1" a="1"/>
  <c r="AH99" i="37" s="1"/>
  <c r="K99" i="37"/>
  <c r="I99" i="37" a="1"/>
  <c r="I99" i="37" s="1"/>
  <c r="H99" i="37" a="1"/>
  <c r="H99" i="37" s="1"/>
  <c r="AQ98" i="37"/>
  <c r="AN98" i="37"/>
  <c r="AO98" i="37" s="1" a="1"/>
  <c r="AO98" i="37" s="1"/>
  <c r="AJ98" i="37"/>
  <c r="AG98" i="37"/>
  <c r="AH98" i="37" s="1" a="1"/>
  <c r="AH98" i="37" s="1"/>
  <c r="K98" i="37"/>
  <c r="I98" i="37" a="1"/>
  <c r="I98" i="37" s="1"/>
  <c r="H98" i="37" a="1"/>
  <c r="H98" i="37" s="1"/>
  <c r="AQ97" i="37"/>
  <c r="AN97" i="37"/>
  <c r="AO97" i="37" s="1" a="1"/>
  <c r="AO97" i="37" s="1"/>
  <c r="AJ97" i="37"/>
  <c r="AG97" i="37"/>
  <c r="AH97" i="37" s="1" a="1"/>
  <c r="AH97" i="37" s="1"/>
  <c r="K97" i="37"/>
  <c r="I97" i="37" a="1"/>
  <c r="I97" i="37" s="1"/>
  <c r="H97" i="37" a="1"/>
  <c r="H97" i="37" s="1"/>
  <c r="AQ96" i="37"/>
  <c r="AN96" i="37"/>
  <c r="AO96" i="37" s="1" a="1"/>
  <c r="AO96" i="37" s="1"/>
  <c r="AJ96" i="37"/>
  <c r="AG96" i="37"/>
  <c r="AH96" i="37" s="1" a="1"/>
  <c r="AH96" i="37" s="1"/>
  <c r="K96" i="37"/>
  <c r="I96" i="37" a="1"/>
  <c r="I96" i="37" s="1"/>
  <c r="H96" i="37" a="1"/>
  <c r="H96" i="37" s="1"/>
  <c r="AQ95" i="37"/>
  <c r="AN95" i="37"/>
  <c r="AO95" i="37" s="1" a="1"/>
  <c r="AO95" i="37" s="1"/>
  <c r="AJ95" i="37"/>
  <c r="AG95" i="37"/>
  <c r="AH95" i="37" s="1" a="1"/>
  <c r="AH95" i="37" s="1"/>
  <c r="K95" i="37"/>
  <c r="I95" i="37" a="1"/>
  <c r="I95" i="37" s="1"/>
  <c r="H95" i="37" a="1"/>
  <c r="H95" i="37" s="1"/>
  <c r="AQ94" i="37"/>
  <c r="AN94" i="37"/>
  <c r="AO94" i="37" s="1" a="1"/>
  <c r="AO94" i="37" s="1"/>
  <c r="AJ94" i="37"/>
  <c r="AG94" i="37"/>
  <c r="AH94" i="37" s="1" a="1"/>
  <c r="AH94" i="37" s="1"/>
  <c r="K94" i="37"/>
  <c r="I94" i="37" a="1"/>
  <c r="I94" i="37" s="1"/>
  <c r="H94" i="37" a="1"/>
  <c r="H94" i="37" s="1"/>
  <c r="AQ93" i="37"/>
  <c r="AN93" i="37"/>
  <c r="AO93" i="37" s="1" a="1"/>
  <c r="AO93" i="37" s="1"/>
  <c r="AJ93" i="37"/>
  <c r="AG93" i="37"/>
  <c r="AH93" i="37" s="1" a="1"/>
  <c r="AH93" i="37" s="1"/>
  <c r="K93" i="37"/>
  <c r="I93" i="37" a="1"/>
  <c r="I93" i="37" s="1"/>
  <c r="H93" i="37" a="1"/>
  <c r="H93" i="37" s="1"/>
  <c r="AQ92" i="37"/>
  <c r="AN92" i="37"/>
  <c r="AO92" i="37" s="1" a="1"/>
  <c r="AO92" i="37" s="1"/>
  <c r="AJ92" i="37"/>
  <c r="AG92" i="37"/>
  <c r="AH92" i="37" s="1" a="1"/>
  <c r="AH92" i="37" s="1"/>
  <c r="K92" i="37"/>
  <c r="I92" i="37" a="1"/>
  <c r="I92" i="37" s="1"/>
  <c r="H92" i="37" a="1"/>
  <c r="H92" i="37" s="1"/>
  <c r="AQ91" i="37"/>
  <c r="AN91" i="37"/>
  <c r="AO91" i="37" s="1" a="1"/>
  <c r="AO91" i="37" s="1"/>
  <c r="AJ91" i="37"/>
  <c r="AG91" i="37"/>
  <c r="AH91" i="37" s="1" a="1"/>
  <c r="AH91" i="37" s="1"/>
  <c r="K91" i="37"/>
  <c r="I91" i="37" a="1"/>
  <c r="I91" i="37" s="1"/>
  <c r="H91" i="37" a="1"/>
  <c r="H91" i="37" s="1"/>
  <c r="AQ90" i="37"/>
  <c r="AN90" i="37"/>
  <c r="AO90" i="37" s="1" a="1"/>
  <c r="AO90" i="37" s="1"/>
  <c r="AJ90" i="37"/>
  <c r="AG90" i="37"/>
  <c r="AH90" i="37" s="1" a="1"/>
  <c r="AH90" i="37" s="1"/>
  <c r="K90" i="37"/>
  <c r="I90" i="37" a="1"/>
  <c r="I90" i="37" s="1"/>
  <c r="H90" i="37" a="1"/>
  <c r="H90" i="37" s="1"/>
  <c r="AQ89" i="37"/>
  <c r="AN89" i="37"/>
  <c r="AO89" i="37" s="1" a="1"/>
  <c r="AO89" i="37" s="1"/>
  <c r="AJ89" i="37"/>
  <c r="AG89" i="37"/>
  <c r="AH89" i="37" s="1" a="1"/>
  <c r="AH89" i="37" s="1"/>
  <c r="K89" i="37"/>
  <c r="H89" i="37" a="1"/>
  <c r="H89" i="37" s="1"/>
  <c r="AQ88" i="37"/>
  <c r="AN88" i="37"/>
  <c r="AO88" i="37" s="1" a="1"/>
  <c r="AO88" i="37" s="1"/>
  <c r="AJ88" i="37"/>
  <c r="AG88" i="37"/>
  <c r="AH88" i="37" s="1" a="1"/>
  <c r="AH88" i="37" s="1"/>
  <c r="K88" i="37"/>
  <c r="I88" i="37" a="1"/>
  <c r="I88" i="37" s="1"/>
  <c r="H88" i="37" a="1"/>
  <c r="H88" i="37" s="1"/>
  <c r="AQ87" i="37"/>
  <c r="AN87" i="37"/>
  <c r="AO87" i="37" s="1" a="1"/>
  <c r="AO87" i="37" s="1"/>
  <c r="AJ87" i="37"/>
  <c r="AG87" i="37"/>
  <c r="AH87" i="37" s="1" a="1"/>
  <c r="AH87" i="37" s="1"/>
  <c r="K87" i="37"/>
  <c r="I87" i="37" a="1"/>
  <c r="I87" i="37" s="1"/>
  <c r="H87" i="37" a="1"/>
  <c r="H87" i="37" s="1"/>
  <c r="AQ86" i="37"/>
  <c r="AN86" i="37"/>
  <c r="AO86" i="37" s="1" a="1"/>
  <c r="AO86" i="37" s="1"/>
  <c r="AJ86" i="37"/>
  <c r="AG86" i="37"/>
  <c r="AH86" i="37" s="1" a="1"/>
  <c r="AH86" i="37" s="1"/>
  <c r="K86" i="37"/>
  <c r="I86" i="37" a="1"/>
  <c r="I86" i="37" s="1"/>
  <c r="H86" i="37" a="1"/>
  <c r="H86" i="37" s="1"/>
  <c r="AQ85" i="37"/>
  <c r="AN85" i="37"/>
  <c r="AO85" i="37" s="1" a="1"/>
  <c r="AO85" i="37" s="1"/>
  <c r="AJ85" i="37"/>
  <c r="AG85" i="37"/>
  <c r="AH85" i="37" s="1" a="1"/>
  <c r="AH85" i="37" s="1"/>
  <c r="K85" i="37"/>
  <c r="I85" i="37" a="1"/>
  <c r="I85" i="37" s="1"/>
  <c r="H85" i="37" a="1"/>
  <c r="H85" i="37" s="1"/>
  <c r="AQ84" i="37"/>
  <c r="AN84" i="37"/>
  <c r="AO84" i="37" s="1" a="1"/>
  <c r="AO84" i="37" s="1"/>
  <c r="AJ84" i="37"/>
  <c r="AG84" i="37"/>
  <c r="AH84" i="37" s="1" a="1"/>
  <c r="AH84" i="37" s="1"/>
  <c r="K84" i="37"/>
  <c r="I84" i="37" a="1"/>
  <c r="I84" i="37" s="1"/>
  <c r="H84" i="37" a="1"/>
  <c r="H84" i="37" s="1"/>
  <c r="AQ83" i="37"/>
  <c r="AN83" i="37"/>
  <c r="AO83" i="37" s="1" a="1"/>
  <c r="AO83" i="37" s="1"/>
  <c r="AJ83" i="37"/>
  <c r="AG83" i="37"/>
  <c r="AH83" i="37" s="1" a="1"/>
  <c r="AH83" i="37" s="1"/>
  <c r="K83" i="37"/>
  <c r="I83" i="37" a="1"/>
  <c r="I83" i="37" s="1"/>
  <c r="H83" i="37" a="1"/>
  <c r="H83" i="37" s="1"/>
  <c r="AQ82" i="37"/>
  <c r="AN82" i="37"/>
  <c r="AO82" i="37" s="1" a="1"/>
  <c r="AO82" i="37" s="1"/>
  <c r="AJ82" i="37"/>
  <c r="AG82" i="37"/>
  <c r="AH82" i="37" s="1" a="1"/>
  <c r="AH82" i="37" s="1"/>
  <c r="K82" i="37"/>
  <c r="I82" i="37" a="1"/>
  <c r="I82" i="37" s="1"/>
  <c r="L82" i="37" s="1"/>
  <c r="M82" i="37" s="1" a="1"/>
  <c r="M82" i="37" s="1"/>
  <c r="H82" i="37" a="1"/>
  <c r="H82" i="37" s="1"/>
  <c r="AQ81" i="37"/>
  <c r="AN81" i="37"/>
  <c r="AO81" i="37" s="1" a="1"/>
  <c r="AO81" i="37" s="1"/>
  <c r="AJ81" i="37"/>
  <c r="AG81" i="37"/>
  <c r="AH81" i="37" s="1" a="1"/>
  <c r="AH81" i="37" s="1"/>
  <c r="K81" i="37"/>
  <c r="I81" i="37" a="1"/>
  <c r="I81" i="37" s="1"/>
  <c r="H81" i="37" a="1"/>
  <c r="H81" i="37" s="1"/>
  <c r="AQ80" i="37"/>
  <c r="AN80" i="37"/>
  <c r="AO80" i="37" s="1" a="1"/>
  <c r="AO80" i="37" s="1"/>
  <c r="AJ80" i="37"/>
  <c r="AG80" i="37"/>
  <c r="AH80" i="37" s="1" a="1"/>
  <c r="AH80" i="37" s="1"/>
  <c r="K80" i="37"/>
  <c r="I80" i="37" a="1"/>
  <c r="I80" i="37" s="1"/>
  <c r="H80" i="37" a="1"/>
  <c r="H80" i="37" s="1"/>
  <c r="AQ79" i="37"/>
  <c r="AN79" i="37"/>
  <c r="AO79" i="37" s="1" a="1"/>
  <c r="AO79" i="37" s="1"/>
  <c r="AJ79" i="37"/>
  <c r="AG79" i="37"/>
  <c r="AH79" i="37" s="1" a="1"/>
  <c r="AH79" i="37" s="1"/>
  <c r="K79" i="37"/>
  <c r="I79" i="37" a="1"/>
  <c r="I79" i="37" s="1"/>
  <c r="H79" i="37" a="1"/>
  <c r="H79" i="37" s="1"/>
  <c r="AQ78" i="37"/>
  <c r="AN78" i="37"/>
  <c r="AO78" i="37" s="1" a="1"/>
  <c r="AO78" i="37" s="1"/>
  <c r="AJ78" i="37"/>
  <c r="AG78" i="37"/>
  <c r="AH78" i="37" s="1" a="1"/>
  <c r="AH78" i="37" s="1"/>
  <c r="K78" i="37"/>
  <c r="I78" i="37" a="1"/>
  <c r="I78" i="37" s="1"/>
  <c r="H78" i="37" a="1"/>
  <c r="H78" i="37" s="1"/>
  <c r="AQ77" i="37"/>
  <c r="AN77" i="37"/>
  <c r="AO77" i="37" s="1" a="1"/>
  <c r="AO77" i="37" s="1"/>
  <c r="AJ77" i="37"/>
  <c r="AG77" i="37"/>
  <c r="AH77" i="37" s="1" a="1"/>
  <c r="AH77" i="37" s="1"/>
  <c r="K77" i="37"/>
  <c r="I77" i="37" a="1"/>
  <c r="I77" i="37" s="1"/>
  <c r="H77" i="37" a="1"/>
  <c r="H77" i="37" s="1"/>
  <c r="AQ76" i="37"/>
  <c r="AN76" i="37"/>
  <c r="AO76" i="37" s="1" a="1"/>
  <c r="AO76" i="37" s="1"/>
  <c r="AJ76" i="37"/>
  <c r="AG76" i="37"/>
  <c r="AH76" i="37" s="1" a="1"/>
  <c r="AH76" i="37" s="1"/>
  <c r="K76" i="37"/>
  <c r="I76" i="37" a="1"/>
  <c r="I76" i="37" s="1"/>
  <c r="L76" i="37" s="1"/>
  <c r="M76" i="37" s="1" a="1"/>
  <c r="M76" i="37" s="1"/>
  <c r="H76" i="37" a="1"/>
  <c r="H76" i="37" s="1"/>
  <c r="AQ75" i="37"/>
  <c r="AN75" i="37"/>
  <c r="AO75" i="37" s="1" a="1"/>
  <c r="AO75" i="37" s="1"/>
  <c r="AJ75" i="37"/>
  <c r="AG75" i="37"/>
  <c r="AH75" i="37" s="1" a="1"/>
  <c r="AH75" i="37" s="1"/>
  <c r="K75" i="37"/>
  <c r="I75" i="37" a="1"/>
  <c r="I75" i="37" s="1"/>
  <c r="L75" i="37" s="1"/>
  <c r="M75" i="37" s="1" a="1"/>
  <c r="M75" i="37" s="1"/>
  <c r="H75" i="37" a="1"/>
  <c r="H75" i="37" s="1"/>
  <c r="AQ74" i="37"/>
  <c r="AN74" i="37"/>
  <c r="AO74" i="37" s="1" a="1"/>
  <c r="AO74" i="37" s="1"/>
  <c r="AJ74" i="37"/>
  <c r="AG74" i="37"/>
  <c r="AH74" i="37" s="1" a="1"/>
  <c r="AH74" i="37" s="1"/>
  <c r="K74" i="37"/>
  <c r="I74" i="37" a="1"/>
  <c r="I74" i="37" s="1"/>
  <c r="H74" i="37" a="1"/>
  <c r="H74" i="37" s="1"/>
  <c r="AQ73" i="37"/>
  <c r="AN73" i="37"/>
  <c r="AO73" i="37" s="1" a="1"/>
  <c r="AO73" i="37" s="1"/>
  <c r="AJ73" i="37"/>
  <c r="AG73" i="37"/>
  <c r="AH73" i="37" s="1" a="1"/>
  <c r="AH73" i="37" s="1"/>
  <c r="K73" i="37"/>
  <c r="I73" i="37" a="1"/>
  <c r="I73" i="37" s="1"/>
  <c r="H73" i="37" a="1"/>
  <c r="H73" i="37" s="1"/>
  <c r="AQ72" i="37"/>
  <c r="AN72" i="37"/>
  <c r="AO72" i="37" s="1" a="1"/>
  <c r="AO72" i="37" s="1"/>
  <c r="AJ72" i="37"/>
  <c r="AG72" i="37"/>
  <c r="AH72" i="37" s="1" a="1"/>
  <c r="AH72" i="37" s="1"/>
  <c r="K72" i="37"/>
  <c r="I72" i="37" a="1"/>
  <c r="I72" i="37" s="1"/>
  <c r="H72" i="37" a="1"/>
  <c r="H72" i="37" s="1"/>
  <c r="AQ71" i="37"/>
  <c r="AN71" i="37"/>
  <c r="AO71" i="37" s="1" a="1"/>
  <c r="AO71" i="37" s="1"/>
  <c r="AJ71" i="37"/>
  <c r="AG71" i="37"/>
  <c r="AH71" i="37" s="1" a="1"/>
  <c r="AH71" i="37" s="1"/>
  <c r="K71" i="37"/>
  <c r="I71" i="37" a="1"/>
  <c r="I71" i="37" s="1"/>
  <c r="H71" i="37" a="1"/>
  <c r="H71" i="37" s="1"/>
  <c r="AQ70" i="37"/>
  <c r="AN70" i="37"/>
  <c r="AO70" i="37" s="1" a="1"/>
  <c r="AO70" i="37" s="1"/>
  <c r="AJ70" i="37"/>
  <c r="AG70" i="37"/>
  <c r="AH70" i="37" s="1" a="1"/>
  <c r="AH70" i="37" s="1"/>
  <c r="K70" i="37"/>
  <c r="I70" i="37" a="1"/>
  <c r="I70" i="37" s="1"/>
  <c r="H70" i="37" a="1"/>
  <c r="H70" i="37" s="1"/>
  <c r="AQ69" i="37"/>
  <c r="AN69" i="37"/>
  <c r="AO69" i="37" s="1" a="1"/>
  <c r="AO69" i="37" s="1"/>
  <c r="AJ69" i="37"/>
  <c r="AG69" i="37"/>
  <c r="AH69" i="37" s="1" a="1"/>
  <c r="AH69" i="37" s="1"/>
  <c r="K69" i="37"/>
  <c r="I69" i="37" a="1"/>
  <c r="I69" i="37" s="1"/>
  <c r="H69" i="37" a="1"/>
  <c r="H69" i="37" s="1"/>
  <c r="AQ68" i="37"/>
  <c r="AN68" i="37"/>
  <c r="AO68" i="37" s="1" a="1"/>
  <c r="AO68" i="37" s="1"/>
  <c r="AJ68" i="37"/>
  <c r="AG68" i="37"/>
  <c r="AH68" i="37" s="1" a="1"/>
  <c r="AH68" i="37" s="1"/>
  <c r="K68" i="37"/>
  <c r="I68" i="37" a="1"/>
  <c r="I68" i="37" s="1"/>
  <c r="H68" i="37" a="1"/>
  <c r="H68" i="37" s="1"/>
  <c r="AQ67" i="37"/>
  <c r="AN67" i="37"/>
  <c r="AO67" i="37" s="1" a="1"/>
  <c r="AO67" i="37" s="1"/>
  <c r="AJ67" i="37"/>
  <c r="AG67" i="37"/>
  <c r="AH67" i="37" s="1" a="1"/>
  <c r="AH67" i="37" s="1"/>
  <c r="K67" i="37"/>
  <c r="H67" i="37" a="1"/>
  <c r="H67" i="37" s="1"/>
  <c r="AQ66" i="37"/>
  <c r="AN66" i="37"/>
  <c r="AO66" i="37" s="1" a="1"/>
  <c r="AO66" i="37" s="1"/>
  <c r="AJ66" i="37"/>
  <c r="AG66" i="37"/>
  <c r="AH66" i="37" s="1" a="1"/>
  <c r="AH66" i="37" s="1"/>
  <c r="K66" i="37"/>
  <c r="I66" i="37" a="1"/>
  <c r="I66" i="37" s="1"/>
  <c r="H66" i="37" a="1"/>
  <c r="H66" i="37" s="1"/>
  <c r="AQ65" i="37"/>
  <c r="AN65" i="37"/>
  <c r="AO65" i="37" s="1" a="1"/>
  <c r="AO65" i="37" s="1"/>
  <c r="AJ65" i="37"/>
  <c r="AG65" i="37"/>
  <c r="AH65" i="37" s="1" a="1"/>
  <c r="AH65" i="37" s="1"/>
  <c r="K65" i="37"/>
  <c r="H65" i="37" a="1"/>
  <c r="H65" i="37" s="1"/>
  <c r="AQ64" i="37"/>
  <c r="AN64" i="37"/>
  <c r="AO64" i="37" s="1" a="1"/>
  <c r="AO64" i="37" s="1"/>
  <c r="AJ64" i="37"/>
  <c r="AG64" i="37"/>
  <c r="AH64" i="37" s="1" a="1"/>
  <c r="AH64" i="37" s="1"/>
  <c r="K64" i="37"/>
  <c r="I64" i="37" a="1"/>
  <c r="I64" i="37" s="1"/>
  <c r="H64" i="37" a="1"/>
  <c r="H64" i="37" s="1"/>
  <c r="AQ63" i="37"/>
  <c r="AN63" i="37"/>
  <c r="AO63" i="37" s="1" a="1"/>
  <c r="AO63" i="37" s="1"/>
  <c r="AJ63" i="37"/>
  <c r="AG63" i="37"/>
  <c r="AH63" i="37" s="1" a="1"/>
  <c r="AH63" i="37" s="1"/>
  <c r="K63" i="37"/>
  <c r="H63" i="37" a="1"/>
  <c r="H63" i="37" s="1"/>
  <c r="AQ62" i="37"/>
  <c r="AN62" i="37"/>
  <c r="AO62" i="37" s="1" a="1"/>
  <c r="AO62" i="37" s="1"/>
  <c r="AJ62" i="37"/>
  <c r="AG62" i="37"/>
  <c r="AH62" i="37" s="1" a="1"/>
  <c r="AH62" i="37" s="1"/>
  <c r="K62" i="37"/>
  <c r="H62" i="37" a="1"/>
  <c r="H62" i="37" s="1"/>
  <c r="AQ61" i="37"/>
  <c r="AN61" i="37"/>
  <c r="AO61" i="37" s="1" a="1"/>
  <c r="AO61" i="37" s="1"/>
  <c r="AJ61" i="37"/>
  <c r="AG61" i="37"/>
  <c r="AH61" i="37" s="1" a="1"/>
  <c r="AH61" i="37" s="1"/>
  <c r="K61" i="37"/>
  <c r="H61" i="37" a="1"/>
  <c r="H61" i="37" s="1"/>
  <c r="AQ60" i="37"/>
  <c r="AN60" i="37"/>
  <c r="AO60" i="37" s="1" a="1"/>
  <c r="AO60" i="37" s="1"/>
  <c r="AJ60" i="37"/>
  <c r="AG60" i="37"/>
  <c r="AH60" i="37" s="1" a="1"/>
  <c r="AH60" i="37" s="1"/>
  <c r="K60" i="37"/>
  <c r="I60" i="37" a="1"/>
  <c r="I60" i="37" s="1"/>
  <c r="H60" i="37" a="1"/>
  <c r="H60" i="37" s="1"/>
  <c r="AQ59" i="37"/>
  <c r="AN59" i="37"/>
  <c r="AO59" i="37" s="1" a="1"/>
  <c r="AO59" i="37" s="1"/>
  <c r="AJ59" i="37"/>
  <c r="AG59" i="37"/>
  <c r="AH59" i="37" s="1" a="1"/>
  <c r="AH59" i="37" s="1"/>
  <c r="K59" i="37"/>
  <c r="I59" i="37" a="1"/>
  <c r="I59" i="37" s="1"/>
  <c r="H59" i="37" a="1"/>
  <c r="H59" i="37" s="1"/>
  <c r="AQ58" i="37"/>
  <c r="AN58" i="37"/>
  <c r="AO58" i="37" s="1" a="1"/>
  <c r="AO58" i="37" s="1"/>
  <c r="AJ58" i="37"/>
  <c r="AG58" i="37"/>
  <c r="AH58" i="37" s="1" a="1"/>
  <c r="AH58" i="37" s="1"/>
  <c r="K58" i="37"/>
  <c r="I58" i="37" a="1"/>
  <c r="I58" i="37" s="1"/>
  <c r="H58" i="37" a="1"/>
  <c r="H58" i="37" s="1"/>
  <c r="AQ57" i="37"/>
  <c r="AN57" i="37"/>
  <c r="AO57" i="37" s="1" a="1"/>
  <c r="AO57" i="37" s="1"/>
  <c r="AJ57" i="37"/>
  <c r="AG57" i="37"/>
  <c r="AH57" i="37" s="1" a="1"/>
  <c r="AH57" i="37" s="1"/>
  <c r="K57" i="37"/>
  <c r="I57" i="37" a="1"/>
  <c r="I57" i="37" s="1"/>
  <c r="H57" i="37" a="1"/>
  <c r="H57" i="37" s="1"/>
  <c r="AQ56" i="37"/>
  <c r="AN56" i="37"/>
  <c r="AO56" i="37" s="1" a="1"/>
  <c r="AO56" i="37" s="1"/>
  <c r="AJ56" i="37"/>
  <c r="AG56" i="37"/>
  <c r="AH56" i="37" s="1" a="1"/>
  <c r="AH56" i="37" s="1"/>
  <c r="K56" i="37"/>
  <c r="I56" i="37" a="1"/>
  <c r="I56" i="37" s="1"/>
  <c r="H56" i="37" a="1"/>
  <c r="H56" i="37" s="1"/>
  <c r="AQ55" i="37"/>
  <c r="AN55" i="37"/>
  <c r="AO55" i="37" s="1" a="1"/>
  <c r="AO55" i="37" s="1"/>
  <c r="AJ55" i="37"/>
  <c r="AG55" i="37"/>
  <c r="AH55" i="37" s="1" a="1"/>
  <c r="AH55" i="37" s="1"/>
  <c r="K55" i="37"/>
  <c r="I55" i="37" a="1"/>
  <c r="I55" i="37" s="1"/>
  <c r="H55" i="37" a="1"/>
  <c r="H55" i="37" s="1"/>
  <c r="AQ54" i="37"/>
  <c r="AN54" i="37"/>
  <c r="AO54" i="37" s="1" a="1"/>
  <c r="AO54" i="37" s="1"/>
  <c r="AJ54" i="37"/>
  <c r="AG54" i="37"/>
  <c r="AH54" i="37" s="1" a="1"/>
  <c r="AH54" i="37" s="1"/>
  <c r="K54" i="37"/>
  <c r="I54" i="37" a="1"/>
  <c r="I54" i="37" s="1"/>
  <c r="H54" i="37" a="1"/>
  <c r="H54" i="37" s="1"/>
  <c r="AQ53" i="37"/>
  <c r="AN53" i="37"/>
  <c r="AO53" i="37" s="1" a="1"/>
  <c r="AO53" i="37" s="1"/>
  <c r="AJ53" i="37"/>
  <c r="AG53" i="37"/>
  <c r="AH53" i="37" s="1" a="1"/>
  <c r="AH53" i="37" s="1"/>
  <c r="K53" i="37"/>
  <c r="I53" i="37" a="1"/>
  <c r="I53" i="37" s="1"/>
  <c r="H53" i="37" a="1"/>
  <c r="H53" i="37" s="1"/>
  <c r="AQ52" i="37"/>
  <c r="AN52" i="37"/>
  <c r="AO52" i="37" s="1" a="1"/>
  <c r="AO52" i="37" s="1"/>
  <c r="AJ52" i="37"/>
  <c r="AG52" i="37"/>
  <c r="AH52" i="37" s="1" a="1"/>
  <c r="AH52" i="37" s="1"/>
  <c r="K52" i="37"/>
  <c r="I52" i="37" a="1"/>
  <c r="I52" i="37" s="1"/>
  <c r="H52" i="37" a="1"/>
  <c r="H52" i="37" s="1"/>
  <c r="AQ51" i="37"/>
  <c r="AN51" i="37"/>
  <c r="AO51" i="37" s="1" a="1"/>
  <c r="AO51" i="37" s="1"/>
  <c r="AJ51" i="37"/>
  <c r="AG51" i="37"/>
  <c r="AH51" i="37" s="1" a="1"/>
  <c r="AH51" i="37" s="1"/>
  <c r="K51" i="37"/>
  <c r="I51" i="37" a="1"/>
  <c r="I51" i="37" s="1"/>
  <c r="H51" i="37" a="1"/>
  <c r="H51" i="37" s="1"/>
  <c r="AQ50" i="37"/>
  <c r="AN50" i="37"/>
  <c r="AO50" i="37" s="1" a="1"/>
  <c r="AO50" i="37" s="1"/>
  <c r="AJ50" i="37"/>
  <c r="AG50" i="37"/>
  <c r="AH50" i="37" s="1" a="1"/>
  <c r="AH50" i="37" s="1"/>
  <c r="K50" i="37"/>
  <c r="I50" i="37" a="1"/>
  <c r="I50" i="37" s="1"/>
  <c r="H50" i="37" a="1"/>
  <c r="H50" i="37" s="1"/>
  <c r="AQ49" i="37"/>
  <c r="AN49" i="37"/>
  <c r="AO49" i="37" s="1" a="1"/>
  <c r="AO49" i="37" s="1"/>
  <c r="AJ49" i="37"/>
  <c r="AG49" i="37"/>
  <c r="AH49" i="37" s="1" a="1"/>
  <c r="AH49" i="37" s="1"/>
  <c r="K49" i="37"/>
  <c r="H49" i="37" a="1"/>
  <c r="H49" i="37" s="1"/>
  <c r="AQ48" i="37"/>
  <c r="AN48" i="37"/>
  <c r="AO48" i="37" s="1" a="1"/>
  <c r="AO48" i="37" s="1"/>
  <c r="AJ48" i="37"/>
  <c r="AG48" i="37"/>
  <c r="AH48" i="37" s="1" a="1"/>
  <c r="AH48" i="37" s="1"/>
  <c r="K48" i="37"/>
  <c r="I48" i="37" a="1"/>
  <c r="I48" i="37" s="1"/>
  <c r="H48" i="37" a="1"/>
  <c r="H48" i="37" s="1"/>
  <c r="AQ47" i="37"/>
  <c r="AN47" i="37"/>
  <c r="AO47" i="37" s="1" a="1"/>
  <c r="AO47" i="37" s="1"/>
  <c r="AJ47" i="37"/>
  <c r="AG47" i="37"/>
  <c r="AH47" i="37" s="1" a="1"/>
  <c r="AH47" i="37" s="1"/>
  <c r="K47" i="37"/>
  <c r="I47" i="37" a="1"/>
  <c r="I47" i="37" s="1"/>
  <c r="H47" i="37" a="1"/>
  <c r="H47" i="37" s="1"/>
  <c r="AQ46" i="37"/>
  <c r="AN46" i="37"/>
  <c r="AO46" i="37" s="1" a="1"/>
  <c r="AO46" i="37" s="1"/>
  <c r="AJ46" i="37"/>
  <c r="AG46" i="37"/>
  <c r="AH46" i="37" s="1" a="1"/>
  <c r="AH46" i="37" s="1"/>
  <c r="K46" i="37"/>
  <c r="I46" i="37" a="1"/>
  <c r="I46" i="37" s="1"/>
  <c r="H46" i="37" a="1"/>
  <c r="H46" i="37" s="1"/>
  <c r="AQ45" i="37"/>
  <c r="AN45" i="37"/>
  <c r="AO45" i="37" s="1" a="1"/>
  <c r="AO45" i="37" s="1"/>
  <c r="AJ45" i="37"/>
  <c r="AG45" i="37"/>
  <c r="AH45" i="37" s="1" a="1"/>
  <c r="AH45" i="37" s="1"/>
  <c r="K45" i="37"/>
  <c r="I45" i="37" a="1"/>
  <c r="I45" i="37" s="1"/>
  <c r="H45" i="37" a="1"/>
  <c r="H45" i="37" s="1"/>
  <c r="AQ44" i="37"/>
  <c r="AN44" i="37"/>
  <c r="AO44" i="37" s="1" a="1"/>
  <c r="AO44" i="37" s="1"/>
  <c r="AJ44" i="37"/>
  <c r="AG44" i="37"/>
  <c r="AH44" i="37" s="1" a="1"/>
  <c r="AH44" i="37" s="1"/>
  <c r="K44" i="37"/>
  <c r="I44" i="37" a="1"/>
  <c r="I44" i="37" s="1"/>
  <c r="H44" i="37" a="1"/>
  <c r="H44" i="37" s="1"/>
  <c r="AQ43" i="37"/>
  <c r="AN43" i="37"/>
  <c r="AO43" i="37" s="1" a="1"/>
  <c r="AO43" i="37" s="1"/>
  <c r="AJ43" i="37"/>
  <c r="AG43" i="37"/>
  <c r="AH43" i="37" s="1" a="1"/>
  <c r="AH43" i="37" s="1"/>
  <c r="K43" i="37"/>
  <c r="H43" i="37" a="1"/>
  <c r="H43" i="37" s="1"/>
  <c r="AQ42" i="37"/>
  <c r="AN42" i="37"/>
  <c r="AO42" i="37" s="1" a="1"/>
  <c r="AO42" i="37" s="1"/>
  <c r="AJ42" i="37"/>
  <c r="AG42" i="37"/>
  <c r="AH42" i="37" s="1" a="1"/>
  <c r="AH42" i="37" s="1"/>
  <c r="K42" i="37"/>
  <c r="I42" i="37" a="1"/>
  <c r="I42" i="37" s="1"/>
  <c r="H42" i="37" a="1"/>
  <c r="H42" i="37" s="1"/>
  <c r="AQ41" i="37"/>
  <c r="AN41" i="37"/>
  <c r="AO41" i="37" s="1" a="1"/>
  <c r="AO41" i="37" s="1"/>
  <c r="AJ41" i="37"/>
  <c r="AG41" i="37"/>
  <c r="AH41" i="37" s="1" a="1"/>
  <c r="AH41" i="37" s="1"/>
  <c r="K41" i="37"/>
  <c r="I41" i="37" a="1"/>
  <c r="I41" i="37" s="1"/>
  <c r="H41" i="37" a="1"/>
  <c r="H41" i="37" s="1"/>
  <c r="AQ40" i="37"/>
  <c r="AN40" i="37"/>
  <c r="AO40" i="37" s="1" a="1"/>
  <c r="AO40" i="37" s="1"/>
  <c r="AJ40" i="37"/>
  <c r="AG40" i="37"/>
  <c r="AH40" i="37" s="1" a="1"/>
  <c r="AH40" i="37" s="1"/>
  <c r="K40" i="37"/>
  <c r="I40" i="37" a="1"/>
  <c r="I40" i="37" s="1"/>
  <c r="H40" i="37" a="1"/>
  <c r="H40" i="37" s="1"/>
  <c r="AQ39" i="37"/>
  <c r="AN39" i="37"/>
  <c r="AO39" i="37" s="1" a="1"/>
  <c r="AO39" i="37" s="1"/>
  <c r="AJ39" i="37"/>
  <c r="AG39" i="37"/>
  <c r="AH39" i="37" s="1" a="1"/>
  <c r="AH39" i="37" s="1"/>
  <c r="K39" i="37"/>
  <c r="I39" i="37" a="1"/>
  <c r="I39" i="37" s="1"/>
  <c r="H39" i="37" a="1"/>
  <c r="H39" i="37" s="1"/>
  <c r="AQ38" i="37"/>
  <c r="AN38" i="37"/>
  <c r="AO38" i="37" s="1" a="1"/>
  <c r="AO38" i="37" s="1"/>
  <c r="AJ38" i="37"/>
  <c r="AG38" i="37"/>
  <c r="AH38" i="37" s="1" a="1"/>
  <c r="AH38" i="37" s="1"/>
  <c r="K38" i="37"/>
  <c r="I38" i="37" a="1"/>
  <c r="I38" i="37" s="1"/>
  <c r="H38" i="37" a="1"/>
  <c r="H38" i="37" s="1"/>
  <c r="AQ37" i="37"/>
  <c r="AN37" i="37"/>
  <c r="AO37" i="37" s="1" a="1"/>
  <c r="AO37" i="37" s="1"/>
  <c r="AJ37" i="37"/>
  <c r="AG37" i="37"/>
  <c r="AH37" i="37" s="1" a="1"/>
  <c r="AH37" i="37" s="1"/>
  <c r="K37" i="37"/>
  <c r="I37" i="37" a="1"/>
  <c r="I37" i="37" s="1"/>
  <c r="H37" i="37" a="1"/>
  <c r="H37" i="37" s="1"/>
  <c r="AQ36" i="37"/>
  <c r="AN36" i="37"/>
  <c r="AO36" i="37" s="1" a="1"/>
  <c r="AO36" i="37" s="1"/>
  <c r="AJ36" i="37"/>
  <c r="AG36" i="37"/>
  <c r="AH36" i="37" s="1" a="1"/>
  <c r="AH36" i="37" s="1"/>
  <c r="K36" i="37"/>
  <c r="I36" i="37" a="1"/>
  <c r="I36" i="37" s="1"/>
  <c r="H36" i="37" a="1"/>
  <c r="H36" i="37" s="1"/>
  <c r="AQ35" i="37"/>
  <c r="AN35" i="37"/>
  <c r="AO35" i="37" s="1" a="1"/>
  <c r="AO35" i="37" s="1"/>
  <c r="AJ35" i="37"/>
  <c r="AG35" i="37"/>
  <c r="AH35" i="37" s="1" a="1"/>
  <c r="AH35" i="37" s="1"/>
  <c r="K35" i="37"/>
  <c r="I35" i="37" a="1"/>
  <c r="I35" i="37" s="1"/>
  <c r="H35" i="37" a="1"/>
  <c r="H35" i="37" s="1"/>
  <c r="AQ34" i="37"/>
  <c r="AN34" i="37"/>
  <c r="AO34" i="37" s="1" a="1"/>
  <c r="AO34" i="37" s="1"/>
  <c r="AJ34" i="37"/>
  <c r="AG34" i="37"/>
  <c r="AH34" i="37" s="1" a="1"/>
  <c r="AH34" i="37" s="1"/>
  <c r="K34" i="37"/>
  <c r="I34" i="37" a="1"/>
  <c r="I34" i="37" s="1"/>
  <c r="H34" i="37" a="1"/>
  <c r="H34" i="37" s="1"/>
  <c r="AQ33" i="37"/>
  <c r="AN33" i="37"/>
  <c r="AO33" i="37" s="1" a="1"/>
  <c r="AO33" i="37" s="1"/>
  <c r="AJ33" i="37"/>
  <c r="AG33" i="37"/>
  <c r="AH33" i="37" s="1" a="1"/>
  <c r="AH33" i="37" s="1"/>
  <c r="K33" i="37"/>
  <c r="I33" i="37" a="1"/>
  <c r="I33" i="37" s="1"/>
  <c r="H33" i="37" a="1"/>
  <c r="H33" i="37" s="1"/>
  <c r="AQ32" i="37"/>
  <c r="AN32" i="37"/>
  <c r="AO32" i="37" s="1" a="1"/>
  <c r="AO32" i="37" s="1"/>
  <c r="AJ32" i="37"/>
  <c r="AG32" i="37"/>
  <c r="AH32" i="37" s="1" a="1"/>
  <c r="AH32" i="37" s="1"/>
  <c r="K32" i="37"/>
  <c r="I32" i="37" a="1"/>
  <c r="I32" i="37" s="1"/>
  <c r="H32" i="37" a="1"/>
  <c r="H32" i="37" s="1"/>
  <c r="AQ31" i="37"/>
  <c r="AN31" i="37"/>
  <c r="AO31" i="37" s="1" a="1"/>
  <c r="AO31" i="37" s="1"/>
  <c r="AJ31" i="37"/>
  <c r="AG31" i="37"/>
  <c r="AH31" i="37" s="1" a="1"/>
  <c r="AH31" i="37" s="1"/>
  <c r="K31" i="37"/>
  <c r="I31" i="37" a="1"/>
  <c r="I31" i="37" s="1"/>
  <c r="H31" i="37" a="1"/>
  <c r="H31" i="37" s="1"/>
  <c r="AQ30" i="37"/>
  <c r="AN30" i="37"/>
  <c r="AO30" i="37" s="1" a="1"/>
  <c r="AO30" i="37" s="1"/>
  <c r="AJ30" i="37"/>
  <c r="AG30" i="37"/>
  <c r="AH30" i="37" s="1" a="1"/>
  <c r="AH30" i="37" s="1"/>
  <c r="K30" i="37"/>
  <c r="I30" i="37" a="1"/>
  <c r="I30" i="37" s="1"/>
  <c r="H30" i="37" a="1"/>
  <c r="H30" i="37" s="1"/>
  <c r="AQ29" i="37"/>
  <c r="AN29" i="37"/>
  <c r="AO29" i="37" s="1" a="1"/>
  <c r="AO29" i="37" s="1"/>
  <c r="AJ29" i="37"/>
  <c r="AG29" i="37"/>
  <c r="AH29" i="37" s="1" a="1"/>
  <c r="AH29" i="37" s="1"/>
  <c r="K29" i="37"/>
  <c r="H29" i="37" a="1"/>
  <c r="H29" i="37" s="1"/>
  <c r="AQ28" i="37"/>
  <c r="AN28" i="37"/>
  <c r="AO28" i="37" s="1" a="1"/>
  <c r="AO28" i="37" s="1"/>
  <c r="AJ28" i="37"/>
  <c r="AG28" i="37"/>
  <c r="AH28" i="37" s="1" a="1"/>
  <c r="AH28" i="37" s="1"/>
  <c r="K28" i="37"/>
  <c r="I28" i="37" a="1"/>
  <c r="I28" i="37" s="1"/>
  <c r="H28" i="37" a="1"/>
  <c r="H28" i="37" s="1"/>
  <c r="AQ27" i="37"/>
  <c r="AN27" i="37"/>
  <c r="AO27" i="37" s="1" a="1"/>
  <c r="AO27" i="37" s="1"/>
  <c r="AJ27" i="37"/>
  <c r="AG27" i="37"/>
  <c r="AH27" i="37" s="1" a="1"/>
  <c r="AH27" i="37" s="1"/>
  <c r="K27" i="37"/>
  <c r="I27" i="37" a="1"/>
  <c r="I27" i="37" s="1"/>
  <c r="H27" i="37" a="1"/>
  <c r="H27" i="37" s="1"/>
  <c r="AQ26" i="37"/>
  <c r="AN26" i="37"/>
  <c r="AO26" i="37" s="1" a="1"/>
  <c r="AO26" i="37" s="1"/>
  <c r="AJ26" i="37"/>
  <c r="AG26" i="37"/>
  <c r="AH26" i="37" s="1" a="1"/>
  <c r="AH26" i="37" s="1"/>
  <c r="K26" i="37"/>
  <c r="I26" i="37" a="1"/>
  <c r="I26" i="37" s="1"/>
  <c r="H26" i="37" a="1"/>
  <c r="H26" i="37" s="1"/>
  <c r="AQ25" i="37"/>
  <c r="AN25" i="37"/>
  <c r="AO25" i="37" s="1" a="1"/>
  <c r="AO25" i="37" s="1"/>
  <c r="AJ25" i="37"/>
  <c r="AG25" i="37"/>
  <c r="AH25" i="37" s="1" a="1"/>
  <c r="AH25" i="37" s="1"/>
  <c r="K25" i="37"/>
  <c r="I25" i="37" a="1"/>
  <c r="I25" i="37" s="1"/>
  <c r="H25" i="37" a="1"/>
  <c r="H25" i="37" s="1"/>
  <c r="AQ24" i="37"/>
  <c r="AN24" i="37"/>
  <c r="AO24" i="37" s="1" a="1"/>
  <c r="AO24" i="37" s="1"/>
  <c r="AJ24" i="37"/>
  <c r="AG24" i="37"/>
  <c r="AH24" i="37" s="1" a="1"/>
  <c r="AH24" i="37" s="1"/>
  <c r="K24" i="37"/>
  <c r="I24" i="37" a="1"/>
  <c r="I24" i="37" s="1"/>
  <c r="H24" i="37" a="1"/>
  <c r="H24" i="37" s="1"/>
  <c r="AQ23" i="37"/>
  <c r="AN23" i="37"/>
  <c r="AO23" i="37" s="1" a="1"/>
  <c r="AO23" i="37" s="1"/>
  <c r="AJ23" i="37"/>
  <c r="AG23" i="37"/>
  <c r="AH23" i="37" s="1" a="1"/>
  <c r="AH23" i="37" s="1"/>
  <c r="K23" i="37"/>
  <c r="H23" i="37" a="1"/>
  <c r="H23" i="37" s="1"/>
  <c r="AQ22" i="37"/>
  <c r="AN22" i="37"/>
  <c r="AO22" i="37" s="1" a="1"/>
  <c r="AO22" i="37" s="1"/>
  <c r="AJ22" i="37"/>
  <c r="AG22" i="37"/>
  <c r="AH22" i="37" s="1" a="1"/>
  <c r="AH22" i="37" s="1"/>
  <c r="K22" i="37"/>
  <c r="H22" i="37" a="1"/>
  <c r="H22" i="37" s="1"/>
  <c r="AQ21" i="37"/>
  <c r="AN21" i="37"/>
  <c r="AO21" i="37" s="1" a="1"/>
  <c r="AO21" i="37" s="1"/>
  <c r="AJ21" i="37"/>
  <c r="AG21" i="37"/>
  <c r="AH21" i="37" s="1" a="1"/>
  <c r="AH21" i="37" s="1"/>
  <c r="K21" i="37"/>
  <c r="I21" i="37" a="1"/>
  <c r="I21" i="37" s="1"/>
  <c r="H21" i="37" a="1"/>
  <c r="H21" i="37" s="1"/>
  <c r="AQ20" i="37"/>
  <c r="AN20" i="37"/>
  <c r="AO20" i="37" s="1" a="1"/>
  <c r="AO20" i="37" s="1"/>
  <c r="AJ20" i="37"/>
  <c r="AG20" i="37"/>
  <c r="AH20" i="37" s="1" a="1"/>
  <c r="AH20" i="37" s="1"/>
  <c r="K20" i="37"/>
  <c r="H20" i="37" a="1"/>
  <c r="H20" i="37" s="1"/>
  <c r="AQ19" i="37"/>
  <c r="AN19" i="37"/>
  <c r="AO19" i="37" s="1" a="1"/>
  <c r="AO19" i="37" s="1"/>
  <c r="AJ19" i="37"/>
  <c r="AG19" i="37"/>
  <c r="AH19" i="37" s="1" a="1"/>
  <c r="AH19" i="37" s="1"/>
  <c r="K19" i="37"/>
  <c r="I19" i="37" a="1"/>
  <c r="I19" i="37" s="1"/>
  <c r="H19" i="37" a="1"/>
  <c r="H19" i="37" s="1"/>
  <c r="AQ18" i="37"/>
  <c r="AN18" i="37"/>
  <c r="AO18" i="37" s="1" a="1"/>
  <c r="AO18" i="37" s="1"/>
  <c r="AJ18" i="37"/>
  <c r="AG18" i="37"/>
  <c r="AH18" i="37" s="1" a="1"/>
  <c r="AH18" i="37" s="1"/>
  <c r="K18" i="37"/>
  <c r="I18" i="37" a="1"/>
  <c r="I18" i="37" s="1"/>
  <c r="H18" i="37" a="1"/>
  <c r="H18" i="37" s="1"/>
  <c r="AQ17" i="37"/>
  <c r="AN17" i="37"/>
  <c r="AO17" i="37" s="1" a="1"/>
  <c r="AO17" i="37" s="1"/>
  <c r="AJ17" i="37"/>
  <c r="AG17" i="37"/>
  <c r="AH17" i="37" s="1" a="1"/>
  <c r="AH17" i="37" s="1"/>
  <c r="K17" i="37"/>
  <c r="I17" i="37" a="1"/>
  <c r="I17" i="37" s="1"/>
  <c r="H17" i="37" a="1"/>
  <c r="H17" i="37" s="1"/>
  <c r="AQ16" i="37"/>
  <c r="AN16" i="37"/>
  <c r="AO16" i="37" s="1" a="1"/>
  <c r="AO16" i="37" s="1"/>
  <c r="AJ16" i="37"/>
  <c r="AG16" i="37"/>
  <c r="AH16" i="37" s="1" a="1"/>
  <c r="AH16" i="37" s="1"/>
  <c r="K16" i="37"/>
  <c r="I16" i="37" a="1"/>
  <c r="I16" i="37" s="1"/>
  <c r="H16" i="37" a="1"/>
  <c r="H16" i="37" s="1"/>
  <c r="AQ15" i="37"/>
  <c r="AN15" i="37"/>
  <c r="AO15" i="37" s="1" a="1"/>
  <c r="AO15" i="37" s="1"/>
  <c r="AJ15" i="37"/>
  <c r="AG15" i="37"/>
  <c r="AH15" i="37" s="1" a="1"/>
  <c r="AH15" i="37" s="1"/>
  <c r="K15" i="37"/>
  <c r="I15" i="37" a="1"/>
  <c r="I15" i="37" s="1"/>
  <c r="H15" i="37" a="1"/>
  <c r="H15" i="37" s="1"/>
  <c r="AQ14" i="37"/>
  <c r="AN14" i="37"/>
  <c r="AO14" i="37" s="1" a="1"/>
  <c r="AO14" i="37" s="1"/>
  <c r="AJ14" i="37"/>
  <c r="AG14" i="37"/>
  <c r="AH14" i="37" s="1" a="1"/>
  <c r="AH14" i="37" s="1"/>
  <c r="K14" i="37"/>
  <c r="I14" i="37" a="1"/>
  <c r="I14" i="37" s="1"/>
  <c r="H14" i="37" a="1"/>
  <c r="H14" i="37" s="1"/>
  <c r="AQ13" i="37"/>
  <c r="AN13" i="37"/>
  <c r="AO13" i="37" s="1" a="1"/>
  <c r="AO13" i="37" s="1"/>
  <c r="AJ13" i="37"/>
  <c r="AG13" i="37"/>
  <c r="AH13" i="37" s="1" a="1"/>
  <c r="AH13" i="37" s="1"/>
  <c r="K13" i="37"/>
  <c r="I13" i="37" a="1"/>
  <c r="I13" i="37" s="1"/>
  <c r="H13" i="37" a="1"/>
  <c r="H13" i="37" s="1"/>
  <c r="AQ12" i="37"/>
  <c r="AN12" i="37"/>
  <c r="AO12" i="37" s="1" a="1"/>
  <c r="AO12" i="37" s="1"/>
  <c r="AJ12" i="37"/>
  <c r="AG12" i="37"/>
  <c r="AH12" i="37" s="1" a="1"/>
  <c r="AH12" i="37" s="1"/>
  <c r="K12" i="37"/>
  <c r="I12" i="37" a="1"/>
  <c r="I12" i="37" s="1"/>
  <c r="H12" i="37" a="1"/>
  <c r="H12" i="37" s="1"/>
  <c r="AQ11" i="37"/>
  <c r="AN11" i="37"/>
  <c r="AO11" i="37" s="1" a="1"/>
  <c r="AO11" i="37" s="1"/>
  <c r="AJ11" i="37"/>
  <c r="AG11" i="37"/>
  <c r="AH11" i="37" s="1" a="1"/>
  <c r="AH11" i="37" s="1"/>
  <c r="K11" i="37"/>
  <c r="I11" i="37" a="1"/>
  <c r="I11" i="37" s="1"/>
  <c r="H11" i="37" a="1"/>
  <c r="H11" i="37" s="1"/>
  <c r="AQ10" i="37"/>
  <c r="AN10" i="37"/>
  <c r="AO10" i="37" s="1" a="1"/>
  <c r="AO10" i="37" s="1"/>
  <c r="AJ10" i="37"/>
  <c r="AG10" i="37"/>
  <c r="AH10" i="37" s="1" a="1"/>
  <c r="AH10" i="37" s="1"/>
  <c r="K10" i="37"/>
  <c r="I10" i="37" a="1"/>
  <c r="I10" i="37" s="1"/>
  <c r="H10" i="37" a="1"/>
  <c r="H10" i="37" s="1"/>
  <c r="AQ9" i="37"/>
  <c r="AN9" i="37"/>
  <c r="AO9" i="37" s="1" a="1"/>
  <c r="AO9" i="37" s="1"/>
  <c r="AJ9" i="37"/>
  <c r="AG9" i="37"/>
  <c r="AH9" i="37" s="1" a="1"/>
  <c r="AH9" i="37" s="1"/>
  <c r="K9" i="37"/>
  <c r="I9" i="37" a="1"/>
  <c r="I9" i="37" s="1"/>
  <c r="H9" i="37" a="1"/>
  <c r="H9" i="37" s="1"/>
  <c r="AQ8" i="37"/>
  <c r="AN8" i="37"/>
  <c r="AO8" i="37" s="1" a="1"/>
  <c r="AO8" i="37" s="1"/>
  <c r="AJ8" i="37"/>
  <c r="AG8" i="37"/>
  <c r="AH8" i="37" s="1" a="1"/>
  <c r="AH8" i="37" s="1"/>
  <c r="K8" i="37"/>
  <c r="I8" i="37" a="1"/>
  <c r="I8" i="37" s="1"/>
  <c r="H8" i="37" a="1"/>
  <c r="H8" i="37" s="1"/>
  <c r="AQ7" i="37"/>
  <c r="AN7" i="37"/>
  <c r="AO7" i="37" s="1" a="1"/>
  <c r="AO7" i="37" s="1"/>
  <c r="AJ7" i="37"/>
  <c r="AG7" i="37"/>
  <c r="AH7" i="37" s="1" a="1"/>
  <c r="AH7" i="37" s="1"/>
  <c r="K7" i="37"/>
  <c r="H7" i="37" a="1"/>
  <c r="H7" i="37" s="1"/>
  <c r="AQ6" i="37"/>
  <c r="AN6" i="37"/>
  <c r="AO6" i="37" s="1" a="1"/>
  <c r="AO6" i="37" s="1"/>
  <c r="AJ6" i="37"/>
  <c r="AG6" i="37"/>
  <c r="AH6" i="37" s="1" a="1"/>
  <c r="AH6" i="37" s="1"/>
  <c r="K6" i="37"/>
  <c r="I6" i="37" a="1"/>
  <c r="I6" i="37" s="1"/>
  <c r="H6" i="37" a="1"/>
  <c r="H6" i="37" s="1"/>
  <c r="AQ215" i="36"/>
  <c r="AN215" i="36"/>
  <c r="AO215" i="36" s="1" a="1"/>
  <c r="AO215" i="36" s="1"/>
  <c r="AJ215" i="36"/>
  <c r="AG215" i="36"/>
  <c r="AH215" i="36" s="1" a="1"/>
  <c r="AH215" i="36" s="1"/>
  <c r="AE215" i="36" a="1"/>
  <c r="AE215" i="36" s="1"/>
  <c r="K215" i="36"/>
  <c r="I215" i="36" a="1"/>
  <c r="I215" i="36" s="1"/>
  <c r="H215" i="36" a="1"/>
  <c r="H215" i="36" s="1"/>
  <c r="AQ214" i="36"/>
  <c r="AN214" i="36"/>
  <c r="AO214" i="36" s="1" a="1"/>
  <c r="AO214" i="36" s="1"/>
  <c r="AJ214" i="36"/>
  <c r="AG214" i="36"/>
  <c r="AH214" i="36" s="1" a="1"/>
  <c r="AH214" i="36" s="1"/>
  <c r="AE214" i="36" a="1"/>
  <c r="AE214" i="36" s="1"/>
  <c r="K214" i="36"/>
  <c r="I214" i="36" a="1"/>
  <c r="I214" i="36" s="1"/>
  <c r="H214" i="36" a="1"/>
  <c r="H214" i="36" s="1"/>
  <c r="AQ213" i="36"/>
  <c r="AN213" i="36"/>
  <c r="AO213" i="36" s="1" a="1"/>
  <c r="AO213" i="36" s="1"/>
  <c r="AJ213" i="36"/>
  <c r="AG213" i="36"/>
  <c r="AH213" i="36" s="1" a="1"/>
  <c r="AH213" i="36" s="1"/>
  <c r="AE213" i="36" a="1"/>
  <c r="AE213" i="36" s="1"/>
  <c r="K213" i="36"/>
  <c r="I213" i="36" a="1"/>
  <c r="I213" i="36" s="1"/>
  <c r="H213" i="36" a="1"/>
  <c r="H213" i="36" s="1"/>
  <c r="AQ212" i="36"/>
  <c r="AN212" i="36"/>
  <c r="AO212" i="36" s="1" a="1"/>
  <c r="AO212" i="36" s="1"/>
  <c r="AJ212" i="36"/>
  <c r="AG212" i="36"/>
  <c r="AH212" i="36" s="1" a="1"/>
  <c r="AH212" i="36" s="1"/>
  <c r="AE212" i="36" a="1"/>
  <c r="AE212" i="36" s="1"/>
  <c r="K212" i="36"/>
  <c r="I212" i="36" a="1"/>
  <c r="I212" i="36" s="1"/>
  <c r="H212" i="36" a="1"/>
  <c r="H212" i="36" s="1"/>
  <c r="AQ211" i="36"/>
  <c r="AN211" i="36"/>
  <c r="AO211" i="36" s="1" a="1"/>
  <c r="AO211" i="36" s="1"/>
  <c r="AJ211" i="36"/>
  <c r="AG211" i="36"/>
  <c r="AH211" i="36" s="1" a="1"/>
  <c r="AH211" i="36" s="1"/>
  <c r="AE211" i="36" a="1"/>
  <c r="AE211" i="36" s="1"/>
  <c r="K211" i="36"/>
  <c r="I211" i="36" a="1"/>
  <c r="I211" i="36" s="1"/>
  <c r="H211" i="36" a="1"/>
  <c r="H211" i="36" s="1"/>
  <c r="AQ210" i="36"/>
  <c r="AN210" i="36"/>
  <c r="AO210" i="36" s="1" a="1"/>
  <c r="AO210" i="36" s="1"/>
  <c r="AJ210" i="36"/>
  <c r="AG210" i="36"/>
  <c r="AH210" i="36" s="1" a="1"/>
  <c r="AH210" i="36" s="1"/>
  <c r="AE210" i="36" a="1"/>
  <c r="AE210" i="36" s="1"/>
  <c r="K210" i="36"/>
  <c r="I210" i="36" a="1"/>
  <c r="I210" i="36" s="1"/>
  <c r="H210" i="36" a="1"/>
  <c r="H210" i="36" s="1"/>
  <c r="AQ209" i="36"/>
  <c r="AN209" i="36"/>
  <c r="AO209" i="36" s="1" a="1"/>
  <c r="AO209" i="36" s="1"/>
  <c r="AJ209" i="36"/>
  <c r="AG209" i="36"/>
  <c r="AH209" i="36" s="1" a="1"/>
  <c r="AH209" i="36" s="1"/>
  <c r="AE209" i="36" a="1"/>
  <c r="AE209" i="36" s="1"/>
  <c r="K209" i="36"/>
  <c r="I209" i="36" a="1"/>
  <c r="I209" i="36" s="1"/>
  <c r="H209" i="36" a="1"/>
  <c r="H209" i="36" s="1"/>
  <c r="AQ208" i="36"/>
  <c r="AN208" i="36"/>
  <c r="AO208" i="36" s="1" a="1"/>
  <c r="AO208" i="36" s="1"/>
  <c r="AJ208" i="36"/>
  <c r="AG208" i="36"/>
  <c r="AH208" i="36" s="1" a="1"/>
  <c r="AH208" i="36" s="1"/>
  <c r="AE208" i="36"/>
  <c r="AE208" i="36" a="1"/>
  <c r="K208" i="36"/>
  <c r="I208" i="36" a="1"/>
  <c r="I208" i="36" s="1"/>
  <c r="H208" i="36" a="1"/>
  <c r="H208" i="36" s="1"/>
  <c r="AQ207" i="36"/>
  <c r="AN207" i="36"/>
  <c r="AO207" i="36" s="1" a="1"/>
  <c r="AO207" i="36" s="1"/>
  <c r="AJ207" i="36"/>
  <c r="AG207" i="36"/>
  <c r="AH207" i="36" s="1" a="1"/>
  <c r="AH207" i="36" s="1"/>
  <c r="AE207" i="36" a="1"/>
  <c r="AE207" i="36" s="1"/>
  <c r="K207" i="36"/>
  <c r="I207" i="36" a="1"/>
  <c r="I207" i="36" s="1"/>
  <c r="H207" i="36" a="1"/>
  <c r="H207" i="36" s="1"/>
  <c r="AQ206" i="36"/>
  <c r="AN206" i="36"/>
  <c r="AO206" i="36" s="1" a="1"/>
  <c r="AO206" i="36" s="1"/>
  <c r="AJ206" i="36"/>
  <c r="AG206" i="36"/>
  <c r="AH206" i="36" s="1" a="1"/>
  <c r="AH206" i="36" s="1"/>
  <c r="AE206" i="36" a="1"/>
  <c r="AE206" i="36" s="1"/>
  <c r="K206" i="36"/>
  <c r="I206" i="36" a="1"/>
  <c r="I206" i="36" s="1"/>
  <c r="H206" i="36" a="1"/>
  <c r="H206" i="36" s="1"/>
  <c r="AQ205" i="36"/>
  <c r="AN205" i="36"/>
  <c r="AO205" i="36" s="1" a="1"/>
  <c r="AO205" i="36" s="1"/>
  <c r="AJ205" i="36"/>
  <c r="AG205" i="36"/>
  <c r="AH205" i="36" s="1" a="1"/>
  <c r="AH205" i="36" s="1"/>
  <c r="AE205" i="36" a="1"/>
  <c r="AE205" i="36" s="1"/>
  <c r="K205" i="36"/>
  <c r="I205" i="36" a="1"/>
  <c r="I205" i="36" s="1"/>
  <c r="H205" i="36" a="1"/>
  <c r="H205" i="36" s="1"/>
  <c r="AQ204" i="36"/>
  <c r="AN204" i="36"/>
  <c r="AO204" i="36" s="1" a="1"/>
  <c r="AO204" i="36" s="1"/>
  <c r="AJ204" i="36"/>
  <c r="AG204" i="36"/>
  <c r="AH204" i="36" s="1" a="1"/>
  <c r="AH204" i="36" s="1"/>
  <c r="AE204" i="36" a="1"/>
  <c r="AE204" i="36" s="1"/>
  <c r="K204" i="36"/>
  <c r="I204" i="36" a="1"/>
  <c r="I204" i="36" s="1"/>
  <c r="H204" i="36" a="1"/>
  <c r="H204" i="36" s="1"/>
  <c r="AQ203" i="36"/>
  <c r="AN203" i="36"/>
  <c r="AO203" i="36" s="1" a="1"/>
  <c r="AO203" i="36" s="1"/>
  <c r="AJ203" i="36"/>
  <c r="AG203" i="36"/>
  <c r="AH203" i="36" s="1" a="1"/>
  <c r="AH203" i="36" s="1"/>
  <c r="AE203" i="36" a="1"/>
  <c r="AE203" i="36" s="1"/>
  <c r="K203" i="36"/>
  <c r="I203" i="36" a="1"/>
  <c r="I203" i="36" s="1"/>
  <c r="H203" i="36" a="1"/>
  <c r="H203" i="36" s="1"/>
  <c r="AQ202" i="36"/>
  <c r="AN202" i="36"/>
  <c r="AO202" i="36" s="1" a="1"/>
  <c r="AO202" i="36" s="1"/>
  <c r="AJ202" i="36"/>
  <c r="AG202" i="36"/>
  <c r="AH202" i="36" s="1" a="1"/>
  <c r="AH202" i="36" s="1"/>
  <c r="AE202" i="36" a="1"/>
  <c r="AE202" i="36" s="1"/>
  <c r="K202" i="36"/>
  <c r="I202" i="36" a="1"/>
  <c r="I202" i="36" s="1"/>
  <c r="H202" i="36" a="1"/>
  <c r="H202" i="36" s="1"/>
  <c r="AQ201" i="36"/>
  <c r="AN201" i="36"/>
  <c r="AO201" i="36" s="1" a="1"/>
  <c r="AO201" i="36" s="1"/>
  <c r="AJ201" i="36"/>
  <c r="AG201" i="36"/>
  <c r="AH201" i="36" s="1" a="1"/>
  <c r="AH201" i="36" s="1"/>
  <c r="AE201" i="36" a="1"/>
  <c r="AE201" i="36" s="1"/>
  <c r="K201" i="36"/>
  <c r="I201" i="36" a="1"/>
  <c r="I201" i="36" s="1"/>
  <c r="H201" i="36" a="1"/>
  <c r="H201" i="36" s="1"/>
  <c r="AQ200" i="36"/>
  <c r="AN200" i="36"/>
  <c r="AO200" i="36" s="1" a="1"/>
  <c r="AO200" i="36" s="1"/>
  <c r="AJ200" i="36"/>
  <c r="AG200" i="36"/>
  <c r="AH200" i="36" s="1" a="1"/>
  <c r="AH200" i="36" s="1"/>
  <c r="AE200" i="36" a="1"/>
  <c r="AE200" i="36" s="1"/>
  <c r="K200" i="36"/>
  <c r="I200" i="36" a="1"/>
  <c r="I200" i="36" s="1"/>
  <c r="H200" i="36" a="1"/>
  <c r="H200" i="36" s="1"/>
  <c r="AQ199" i="36"/>
  <c r="AN199" i="36"/>
  <c r="AO199" i="36" s="1" a="1"/>
  <c r="AO199" i="36" s="1"/>
  <c r="AJ199" i="36"/>
  <c r="AG199" i="36"/>
  <c r="AH199" i="36" s="1" a="1"/>
  <c r="AH199" i="36" s="1"/>
  <c r="AE199" i="36" a="1"/>
  <c r="AE199" i="36" s="1"/>
  <c r="K199" i="36"/>
  <c r="I199" i="36" a="1"/>
  <c r="I199" i="36" s="1"/>
  <c r="H199" i="36" a="1"/>
  <c r="H199" i="36" s="1"/>
  <c r="AQ198" i="36"/>
  <c r="AN198" i="36"/>
  <c r="AO198" i="36" s="1" a="1"/>
  <c r="AO198" i="36" s="1"/>
  <c r="AJ198" i="36"/>
  <c r="AG198" i="36"/>
  <c r="AH198" i="36" s="1" a="1"/>
  <c r="AH198" i="36" s="1"/>
  <c r="AE198" i="36" a="1"/>
  <c r="AE198" i="36" s="1"/>
  <c r="K198" i="36"/>
  <c r="I198" i="36" a="1"/>
  <c r="I198" i="36" s="1"/>
  <c r="H198" i="36" a="1"/>
  <c r="H198" i="36" s="1"/>
  <c r="AQ197" i="36"/>
  <c r="AN197" i="36"/>
  <c r="AO197" i="36" s="1" a="1"/>
  <c r="AO197" i="36" s="1"/>
  <c r="AJ197" i="36"/>
  <c r="AG197" i="36"/>
  <c r="AH197" i="36" s="1" a="1"/>
  <c r="AH197" i="36" s="1"/>
  <c r="AE197" i="36" a="1"/>
  <c r="AE197" i="36" s="1"/>
  <c r="K197" i="36"/>
  <c r="I197" i="36" a="1"/>
  <c r="I197" i="36" s="1"/>
  <c r="H197" i="36" a="1"/>
  <c r="H197" i="36" s="1"/>
  <c r="AQ196" i="36"/>
  <c r="AN196" i="36"/>
  <c r="AO196" i="36" s="1" a="1"/>
  <c r="AO196" i="36" s="1"/>
  <c r="AJ196" i="36"/>
  <c r="AG196" i="36"/>
  <c r="AH196" i="36" s="1" a="1"/>
  <c r="AH196" i="36" s="1"/>
  <c r="AE196" i="36" a="1"/>
  <c r="AE196" i="36" s="1"/>
  <c r="K196" i="36"/>
  <c r="I196" i="36" a="1"/>
  <c r="I196" i="36" s="1"/>
  <c r="H196" i="36" a="1"/>
  <c r="H196" i="36" s="1"/>
  <c r="AQ195" i="36"/>
  <c r="AN195" i="36"/>
  <c r="AO195" i="36" s="1" a="1"/>
  <c r="AO195" i="36" s="1"/>
  <c r="AJ195" i="36"/>
  <c r="AG195" i="36"/>
  <c r="AH195" i="36" s="1" a="1"/>
  <c r="AH195" i="36" s="1"/>
  <c r="AE195" i="36" a="1"/>
  <c r="AE195" i="36" s="1"/>
  <c r="K195" i="36"/>
  <c r="I195" i="36" a="1"/>
  <c r="I195" i="36" s="1"/>
  <c r="H195" i="36" a="1"/>
  <c r="H195" i="36" s="1"/>
  <c r="AQ194" i="36"/>
  <c r="AN194" i="36"/>
  <c r="AO194" i="36" s="1" a="1"/>
  <c r="AO194" i="36" s="1"/>
  <c r="AJ194" i="36"/>
  <c r="AG194" i="36"/>
  <c r="AH194" i="36" s="1" a="1"/>
  <c r="AH194" i="36" s="1"/>
  <c r="AE194" i="36" a="1"/>
  <c r="AE194" i="36" s="1"/>
  <c r="K194" i="36"/>
  <c r="I194" i="36" a="1"/>
  <c r="I194" i="36" s="1"/>
  <c r="H194" i="36" a="1"/>
  <c r="H194" i="36" s="1"/>
  <c r="AQ193" i="36"/>
  <c r="AN193" i="36"/>
  <c r="AO193" i="36" s="1" a="1"/>
  <c r="AO193" i="36" s="1"/>
  <c r="AJ193" i="36"/>
  <c r="AG193" i="36"/>
  <c r="AH193" i="36" s="1" a="1"/>
  <c r="AH193" i="36" s="1"/>
  <c r="AE193" i="36" a="1"/>
  <c r="AE193" i="36" s="1"/>
  <c r="K193" i="36"/>
  <c r="I193" i="36" a="1"/>
  <c r="I193" i="36" s="1"/>
  <c r="H193" i="36" a="1"/>
  <c r="H193" i="36" s="1"/>
  <c r="AQ192" i="36"/>
  <c r="AN192" i="36"/>
  <c r="AO192" i="36" s="1" a="1"/>
  <c r="AO192" i="36" s="1"/>
  <c r="AJ192" i="36"/>
  <c r="AG192" i="36"/>
  <c r="AH192" i="36" s="1" a="1"/>
  <c r="AH192" i="36" s="1"/>
  <c r="AE192" i="36" a="1"/>
  <c r="AE192" i="36" s="1"/>
  <c r="K192" i="36"/>
  <c r="I192" i="36" a="1"/>
  <c r="I192" i="36" s="1"/>
  <c r="H192" i="36" a="1"/>
  <c r="H192" i="36" s="1"/>
  <c r="AQ191" i="36"/>
  <c r="AN191" i="36"/>
  <c r="AO191" i="36" s="1" a="1"/>
  <c r="AO191" i="36" s="1"/>
  <c r="AJ191" i="36"/>
  <c r="AG191" i="36"/>
  <c r="AH191" i="36" s="1" a="1"/>
  <c r="AH191" i="36" s="1"/>
  <c r="AE191" i="36" a="1"/>
  <c r="AE191" i="36" s="1"/>
  <c r="K191" i="36"/>
  <c r="I191" i="36" a="1"/>
  <c r="I191" i="36" s="1"/>
  <c r="H191" i="36" a="1"/>
  <c r="H191" i="36" s="1"/>
  <c r="AQ190" i="36"/>
  <c r="AN190" i="36"/>
  <c r="AO190" i="36" s="1" a="1"/>
  <c r="AO190" i="36" s="1"/>
  <c r="AJ190" i="36"/>
  <c r="AG190" i="36"/>
  <c r="AH190" i="36" s="1" a="1"/>
  <c r="AH190" i="36" s="1"/>
  <c r="AE190" i="36" a="1"/>
  <c r="AE190" i="36" s="1"/>
  <c r="K190" i="36"/>
  <c r="I190" i="36" a="1"/>
  <c r="I190" i="36" s="1"/>
  <c r="H190" i="36" a="1"/>
  <c r="H190" i="36" s="1"/>
  <c r="AQ189" i="36"/>
  <c r="AN189" i="36"/>
  <c r="AO189" i="36" s="1" a="1"/>
  <c r="AO189" i="36" s="1"/>
  <c r="AJ189" i="36"/>
  <c r="AG189" i="36"/>
  <c r="AH189" i="36" s="1" a="1"/>
  <c r="AH189" i="36" s="1"/>
  <c r="AE189" i="36" a="1"/>
  <c r="AE189" i="36" s="1"/>
  <c r="K189" i="36"/>
  <c r="I189" i="36" a="1"/>
  <c r="I189" i="36" s="1"/>
  <c r="H189" i="36" a="1"/>
  <c r="H189" i="36" s="1"/>
  <c r="AQ188" i="36"/>
  <c r="AN188" i="36"/>
  <c r="AO188" i="36" s="1" a="1"/>
  <c r="AO188" i="36" s="1"/>
  <c r="AJ188" i="36"/>
  <c r="AG188" i="36"/>
  <c r="AH188" i="36" s="1" a="1"/>
  <c r="AH188" i="36" s="1"/>
  <c r="AE188" i="36" a="1"/>
  <c r="AE188" i="36" s="1"/>
  <c r="K188" i="36"/>
  <c r="I188" i="36" a="1"/>
  <c r="I188" i="36" s="1"/>
  <c r="H188" i="36" a="1"/>
  <c r="H188" i="36" s="1"/>
  <c r="AQ187" i="36"/>
  <c r="AN187" i="36"/>
  <c r="AO187" i="36" s="1" a="1"/>
  <c r="AO187" i="36" s="1"/>
  <c r="AJ187" i="36"/>
  <c r="AG187" i="36"/>
  <c r="AH187" i="36" s="1" a="1"/>
  <c r="AH187" i="36" s="1"/>
  <c r="AE187" i="36" a="1"/>
  <c r="AE187" i="36" s="1"/>
  <c r="K187" i="36"/>
  <c r="I187" i="36" a="1"/>
  <c r="I187" i="36" s="1"/>
  <c r="H187" i="36" a="1"/>
  <c r="H187" i="36" s="1"/>
  <c r="AQ186" i="36"/>
  <c r="AN186" i="36"/>
  <c r="AO186" i="36" s="1" a="1"/>
  <c r="AO186" i="36" s="1"/>
  <c r="AJ186" i="36"/>
  <c r="AG186" i="36"/>
  <c r="AH186" i="36" s="1" a="1"/>
  <c r="AH186" i="36" s="1"/>
  <c r="AE186" i="36" a="1"/>
  <c r="AE186" i="36" s="1"/>
  <c r="K186" i="36"/>
  <c r="I186" i="36" a="1"/>
  <c r="I186" i="36" s="1"/>
  <c r="H186" i="36" a="1"/>
  <c r="H186" i="36" s="1"/>
  <c r="AQ185" i="36"/>
  <c r="AN185" i="36"/>
  <c r="AO185" i="36" s="1" a="1"/>
  <c r="AO185" i="36" s="1"/>
  <c r="AJ185" i="36"/>
  <c r="AG185" i="36"/>
  <c r="AH185" i="36" s="1" a="1"/>
  <c r="AH185" i="36" s="1"/>
  <c r="AE185" i="36" a="1"/>
  <c r="AE185" i="36" s="1"/>
  <c r="K185" i="36"/>
  <c r="I185" i="36" a="1"/>
  <c r="I185" i="36" s="1"/>
  <c r="H185" i="36" a="1"/>
  <c r="H185" i="36" s="1"/>
  <c r="AQ184" i="36"/>
  <c r="AN184" i="36"/>
  <c r="AO184" i="36" s="1" a="1"/>
  <c r="AO184" i="36" s="1"/>
  <c r="AJ184" i="36"/>
  <c r="AG184" i="36"/>
  <c r="AH184" i="36" s="1" a="1"/>
  <c r="AH184" i="36" s="1"/>
  <c r="AE184" i="36" a="1"/>
  <c r="AE184" i="36" s="1"/>
  <c r="K184" i="36"/>
  <c r="I184" i="36" a="1"/>
  <c r="I184" i="36" s="1"/>
  <c r="H184" i="36" a="1"/>
  <c r="H184" i="36" s="1"/>
  <c r="AQ183" i="36"/>
  <c r="AN183" i="36"/>
  <c r="AO183" i="36" s="1" a="1"/>
  <c r="AO183" i="36" s="1"/>
  <c r="AJ183" i="36"/>
  <c r="AG183" i="36"/>
  <c r="AH183" i="36" s="1" a="1"/>
  <c r="AH183" i="36" s="1"/>
  <c r="AE183" i="36" a="1"/>
  <c r="AE183" i="36" s="1"/>
  <c r="K183" i="36"/>
  <c r="I183" i="36" a="1"/>
  <c r="I183" i="36" s="1"/>
  <c r="H183" i="36" a="1"/>
  <c r="H183" i="36" s="1"/>
  <c r="AQ182" i="36"/>
  <c r="AN182" i="36"/>
  <c r="AO182" i="36" s="1" a="1"/>
  <c r="AO182" i="36" s="1"/>
  <c r="AJ182" i="36"/>
  <c r="AG182" i="36"/>
  <c r="AH182" i="36" s="1" a="1"/>
  <c r="AH182" i="36" s="1"/>
  <c r="AE182" i="36" a="1"/>
  <c r="AE182" i="36" s="1"/>
  <c r="K182" i="36"/>
  <c r="I182" i="36" a="1"/>
  <c r="I182" i="36" s="1"/>
  <c r="H182" i="36" a="1"/>
  <c r="H182" i="36" s="1"/>
  <c r="AQ181" i="36"/>
  <c r="AN181" i="36"/>
  <c r="AO181" i="36" s="1" a="1"/>
  <c r="AO181" i="36" s="1"/>
  <c r="AJ181" i="36"/>
  <c r="AG181" i="36"/>
  <c r="AH181" i="36" s="1" a="1"/>
  <c r="AH181" i="36" s="1"/>
  <c r="AE181" i="36" a="1"/>
  <c r="AE181" i="36" s="1"/>
  <c r="K181" i="36"/>
  <c r="I181" i="36" a="1"/>
  <c r="I181" i="36" s="1"/>
  <c r="H181" i="36" a="1"/>
  <c r="H181" i="36" s="1"/>
  <c r="AQ180" i="36"/>
  <c r="AN180" i="36"/>
  <c r="AO180" i="36" s="1" a="1"/>
  <c r="AO180" i="36" s="1"/>
  <c r="AJ180" i="36"/>
  <c r="AG180" i="36"/>
  <c r="AH180" i="36" s="1" a="1"/>
  <c r="AH180" i="36" s="1"/>
  <c r="AE180" i="36" a="1"/>
  <c r="AE180" i="36" s="1"/>
  <c r="K180" i="36"/>
  <c r="I180" i="36" a="1"/>
  <c r="I180" i="36" s="1"/>
  <c r="H180" i="36" a="1"/>
  <c r="H180" i="36" s="1"/>
  <c r="AQ179" i="36"/>
  <c r="AN179" i="36"/>
  <c r="AO179" i="36" s="1" a="1"/>
  <c r="AO179" i="36" s="1"/>
  <c r="AJ179" i="36"/>
  <c r="AG179" i="36"/>
  <c r="AH179" i="36" s="1" a="1"/>
  <c r="AH179" i="36" s="1"/>
  <c r="AE179" i="36" a="1"/>
  <c r="AE179" i="36" s="1"/>
  <c r="K179" i="36"/>
  <c r="I179" i="36" a="1"/>
  <c r="I179" i="36" s="1"/>
  <c r="H179" i="36" a="1"/>
  <c r="H179" i="36" s="1"/>
  <c r="AQ178" i="36"/>
  <c r="AN178" i="36"/>
  <c r="AO178" i="36" s="1" a="1"/>
  <c r="AO178" i="36" s="1"/>
  <c r="AJ178" i="36"/>
  <c r="AG178" i="36"/>
  <c r="AH178" i="36" s="1" a="1"/>
  <c r="AH178" i="36" s="1"/>
  <c r="AE178" i="36" a="1"/>
  <c r="AE178" i="36" s="1"/>
  <c r="K178" i="36"/>
  <c r="I178" i="36" a="1"/>
  <c r="I178" i="36" s="1"/>
  <c r="H178" i="36" a="1"/>
  <c r="H178" i="36" s="1"/>
  <c r="AQ177" i="36"/>
  <c r="AN177" i="36"/>
  <c r="AO177" i="36" s="1" a="1"/>
  <c r="AO177" i="36" s="1"/>
  <c r="AJ177" i="36"/>
  <c r="AG177" i="36"/>
  <c r="AH177" i="36" s="1" a="1"/>
  <c r="AH177" i="36" s="1"/>
  <c r="AE177" i="36" a="1"/>
  <c r="AE177" i="36" s="1"/>
  <c r="K177" i="36"/>
  <c r="I177" i="36" a="1"/>
  <c r="I177" i="36" s="1"/>
  <c r="H177" i="36" a="1"/>
  <c r="H177" i="36" s="1"/>
  <c r="AQ176" i="36"/>
  <c r="AN176" i="36"/>
  <c r="AO176" i="36" s="1" a="1"/>
  <c r="AO176" i="36" s="1"/>
  <c r="AJ176" i="36"/>
  <c r="AG176" i="36"/>
  <c r="AH176" i="36" s="1" a="1"/>
  <c r="AH176" i="36" s="1"/>
  <c r="AE176" i="36" a="1"/>
  <c r="AE176" i="36" s="1"/>
  <c r="K176" i="36"/>
  <c r="I176" i="36" a="1"/>
  <c r="I176" i="36" s="1"/>
  <c r="H176" i="36" a="1"/>
  <c r="H176" i="36" s="1"/>
  <c r="AQ175" i="36"/>
  <c r="AN175" i="36"/>
  <c r="AO175" i="36" s="1" a="1"/>
  <c r="AO175" i="36" s="1"/>
  <c r="AJ175" i="36"/>
  <c r="AG175" i="36"/>
  <c r="AH175" i="36" s="1" a="1"/>
  <c r="AH175" i="36" s="1"/>
  <c r="AE175" i="36" a="1"/>
  <c r="AE175" i="36" s="1"/>
  <c r="K175" i="36"/>
  <c r="I175" i="36" a="1"/>
  <c r="I175" i="36" s="1"/>
  <c r="H175" i="36" a="1"/>
  <c r="H175" i="36" s="1"/>
  <c r="AQ174" i="36"/>
  <c r="AN174" i="36"/>
  <c r="AO174" i="36" s="1" a="1"/>
  <c r="AO174" i="36" s="1"/>
  <c r="AJ174" i="36"/>
  <c r="AG174" i="36"/>
  <c r="AH174" i="36" s="1" a="1"/>
  <c r="AH174" i="36" s="1"/>
  <c r="AE174" i="36" a="1"/>
  <c r="AE174" i="36" s="1"/>
  <c r="K174" i="36"/>
  <c r="I174" i="36" a="1"/>
  <c r="I174" i="36" s="1"/>
  <c r="H174" i="36" a="1"/>
  <c r="H174" i="36" s="1"/>
  <c r="AQ173" i="36"/>
  <c r="AN173" i="36"/>
  <c r="AO173" i="36" s="1" a="1"/>
  <c r="AO173" i="36" s="1"/>
  <c r="AJ173" i="36"/>
  <c r="AG173" i="36"/>
  <c r="AH173" i="36" s="1" a="1"/>
  <c r="AH173" i="36" s="1"/>
  <c r="AE173" i="36" a="1"/>
  <c r="AE173" i="36" s="1"/>
  <c r="K173" i="36"/>
  <c r="I173" i="36" a="1"/>
  <c r="I173" i="36" s="1"/>
  <c r="H173" i="36" a="1"/>
  <c r="H173" i="36" s="1"/>
  <c r="AQ172" i="36"/>
  <c r="AN172" i="36"/>
  <c r="AO172" i="36" s="1" a="1"/>
  <c r="AO172" i="36" s="1"/>
  <c r="AJ172" i="36"/>
  <c r="AG172" i="36"/>
  <c r="AH172" i="36" s="1" a="1"/>
  <c r="AH172" i="36" s="1"/>
  <c r="AE172" i="36" a="1"/>
  <c r="AE172" i="36" s="1"/>
  <c r="K172" i="36"/>
  <c r="I172" i="36" a="1"/>
  <c r="I172" i="36" s="1"/>
  <c r="H172" i="36" a="1"/>
  <c r="H172" i="36" s="1"/>
  <c r="AQ171" i="36"/>
  <c r="AN171" i="36"/>
  <c r="AO171" i="36" s="1" a="1"/>
  <c r="AO171" i="36" s="1"/>
  <c r="AJ171" i="36"/>
  <c r="AG171" i="36"/>
  <c r="AH171" i="36" s="1" a="1"/>
  <c r="AH171" i="36" s="1"/>
  <c r="AE171" i="36" a="1"/>
  <c r="AE171" i="36" s="1"/>
  <c r="K171" i="36"/>
  <c r="I171" i="36" a="1"/>
  <c r="I171" i="36" s="1"/>
  <c r="H171" i="36" a="1"/>
  <c r="H171" i="36" s="1"/>
  <c r="AQ170" i="36"/>
  <c r="AN170" i="36"/>
  <c r="AO170" i="36" s="1" a="1"/>
  <c r="AO170" i="36" s="1"/>
  <c r="AJ170" i="36"/>
  <c r="AG170" i="36"/>
  <c r="AH170" i="36" s="1" a="1"/>
  <c r="AH170" i="36" s="1"/>
  <c r="AE170" i="36" a="1"/>
  <c r="AE170" i="36" s="1"/>
  <c r="K170" i="36"/>
  <c r="I170" i="36" a="1"/>
  <c r="I170" i="36" s="1"/>
  <c r="H170" i="36" a="1"/>
  <c r="H170" i="36" s="1"/>
  <c r="AQ169" i="36"/>
  <c r="AN169" i="36"/>
  <c r="AO169" i="36" s="1" a="1"/>
  <c r="AO169" i="36" s="1"/>
  <c r="AJ169" i="36"/>
  <c r="AG169" i="36"/>
  <c r="AH169" i="36" s="1" a="1"/>
  <c r="AH169" i="36" s="1"/>
  <c r="AE169" i="36" a="1"/>
  <c r="AE169" i="36" s="1"/>
  <c r="K169" i="36"/>
  <c r="I169" i="36" a="1"/>
  <c r="I169" i="36" s="1"/>
  <c r="H169" i="36" a="1"/>
  <c r="H169" i="36" s="1"/>
  <c r="AQ168" i="36"/>
  <c r="AN168" i="36"/>
  <c r="AO168" i="36" s="1" a="1"/>
  <c r="AO168" i="36" s="1"/>
  <c r="AJ168" i="36"/>
  <c r="AG168" i="36"/>
  <c r="AH168" i="36" s="1" a="1"/>
  <c r="AH168" i="36" s="1"/>
  <c r="AE168" i="36" a="1"/>
  <c r="AE168" i="36" s="1"/>
  <c r="K168" i="36"/>
  <c r="I168" i="36" a="1"/>
  <c r="I168" i="36" s="1"/>
  <c r="H168" i="36" a="1"/>
  <c r="H168" i="36" s="1"/>
  <c r="AQ167" i="36"/>
  <c r="AN167" i="36"/>
  <c r="AO167" i="36" s="1" a="1"/>
  <c r="AO167" i="36" s="1"/>
  <c r="AJ167" i="36"/>
  <c r="AG167" i="36"/>
  <c r="AH167" i="36" s="1" a="1"/>
  <c r="AH167" i="36" s="1"/>
  <c r="AE167" i="36" a="1"/>
  <c r="AE167" i="36" s="1"/>
  <c r="K167" i="36"/>
  <c r="I167" i="36" a="1"/>
  <c r="I167" i="36" s="1"/>
  <c r="H167" i="36" a="1"/>
  <c r="H167" i="36" s="1"/>
  <c r="AQ166" i="36"/>
  <c r="AN166" i="36"/>
  <c r="AO166" i="36" s="1" a="1"/>
  <c r="AO166" i="36" s="1"/>
  <c r="AJ166" i="36"/>
  <c r="AG166" i="36"/>
  <c r="AH166" i="36" s="1" a="1"/>
  <c r="AH166" i="36" s="1"/>
  <c r="AE166" i="36" a="1"/>
  <c r="AE166" i="36" s="1"/>
  <c r="K166" i="36"/>
  <c r="I166" i="36" a="1"/>
  <c r="I166" i="36" s="1"/>
  <c r="H166" i="36" a="1"/>
  <c r="H166" i="36" s="1"/>
  <c r="AQ165" i="36"/>
  <c r="AN165" i="36"/>
  <c r="AO165" i="36" s="1" a="1"/>
  <c r="AO165" i="36" s="1"/>
  <c r="AJ165" i="36"/>
  <c r="AG165" i="36"/>
  <c r="AH165" i="36" s="1" a="1"/>
  <c r="AH165" i="36" s="1"/>
  <c r="AE165" i="36" a="1"/>
  <c r="AE165" i="36" s="1"/>
  <c r="K165" i="36"/>
  <c r="I165" i="36" a="1"/>
  <c r="I165" i="36" s="1"/>
  <c r="H165" i="36" a="1"/>
  <c r="H165" i="36" s="1"/>
  <c r="AQ164" i="36"/>
  <c r="AN164" i="36"/>
  <c r="AO164" i="36" s="1" a="1"/>
  <c r="AO164" i="36" s="1"/>
  <c r="AJ164" i="36"/>
  <c r="AG164" i="36"/>
  <c r="AH164" i="36" s="1" a="1"/>
  <c r="AH164" i="36" s="1"/>
  <c r="AE164" i="36" a="1"/>
  <c r="AE164" i="36" s="1"/>
  <c r="K164" i="36"/>
  <c r="I164" i="36" a="1"/>
  <c r="I164" i="36" s="1"/>
  <c r="H164" i="36" a="1"/>
  <c r="H164" i="36" s="1"/>
  <c r="AQ163" i="36"/>
  <c r="AN163" i="36"/>
  <c r="AO163" i="36" s="1" a="1"/>
  <c r="AO163" i="36" s="1"/>
  <c r="AJ163" i="36"/>
  <c r="AG163" i="36"/>
  <c r="AH163" i="36" s="1" a="1"/>
  <c r="AH163" i="36" s="1"/>
  <c r="AE163" i="36" a="1"/>
  <c r="AE163" i="36" s="1"/>
  <c r="K163" i="36"/>
  <c r="I163" i="36" a="1"/>
  <c r="I163" i="36" s="1"/>
  <c r="H163" i="36" a="1"/>
  <c r="H163" i="36" s="1"/>
  <c r="AQ162" i="36"/>
  <c r="AN162" i="36"/>
  <c r="AO162" i="36" s="1" a="1"/>
  <c r="AO162" i="36" s="1"/>
  <c r="AJ162" i="36"/>
  <c r="AG162" i="36"/>
  <c r="AH162" i="36" s="1" a="1"/>
  <c r="AH162" i="36" s="1"/>
  <c r="AE162" i="36" a="1"/>
  <c r="AE162" i="36" s="1"/>
  <c r="K162" i="36"/>
  <c r="I162" i="36" a="1"/>
  <c r="I162" i="36" s="1"/>
  <c r="H162" i="36" a="1"/>
  <c r="H162" i="36" s="1"/>
  <c r="AQ161" i="36"/>
  <c r="AN161" i="36"/>
  <c r="AO161" i="36" s="1" a="1"/>
  <c r="AO161" i="36" s="1"/>
  <c r="AJ161" i="36"/>
  <c r="AG161" i="36"/>
  <c r="AH161" i="36" s="1" a="1"/>
  <c r="AH161" i="36" s="1"/>
  <c r="AE161" i="36" a="1"/>
  <c r="AE161" i="36" s="1"/>
  <c r="K161" i="36"/>
  <c r="I161" i="36" a="1"/>
  <c r="I161" i="36" s="1"/>
  <c r="H161" i="36" a="1"/>
  <c r="H161" i="36" s="1"/>
  <c r="AQ160" i="36"/>
  <c r="AN160" i="36"/>
  <c r="AO160" i="36" s="1" a="1"/>
  <c r="AO160" i="36" s="1"/>
  <c r="AJ160" i="36"/>
  <c r="AG160" i="36"/>
  <c r="AH160" i="36" s="1" a="1"/>
  <c r="AH160" i="36" s="1"/>
  <c r="AE160" i="36" a="1"/>
  <c r="AE160" i="36" s="1"/>
  <c r="K160" i="36"/>
  <c r="I160" i="36" a="1"/>
  <c r="I160" i="36" s="1"/>
  <c r="H160" i="36" a="1"/>
  <c r="H160" i="36" s="1"/>
  <c r="AQ159" i="36"/>
  <c r="AN159" i="36"/>
  <c r="AO159" i="36" s="1" a="1"/>
  <c r="AO159" i="36" s="1"/>
  <c r="AJ159" i="36"/>
  <c r="AG159" i="36"/>
  <c r="AH159" i="36" s="1" a="1"/>
  <c r="AH159" i="36" s="1"/>
  <c r="AE159" i="36" a="1"/>
  <c r="AE159" i="36" s="1"/>
  <c r="K159" i="36"/>
  <c r="I159" i="36" a="1"/>
  <c r="I159" i="36" s="1"/>
  <c r="H159" i="36" a="1"/>
  <c r="H159" i="36" s="1"/>
  <c r="AQ158" i="36"/>
  <c r="AN158" i="36"/>
  <c r="AO158" i="36" s="1" a="1"/>
  <c r="AO158" i="36" s="1"/>
  <c r="AJ158" i="36"/>
  <c r="AG158" i="36"/>
  <c r="AH158" i="36" s="1" a="1"/>
  <c r="AH158" i="36" s="1"/>
  <c r="AE158" i="36" a="1"/>
  <c r="AE158" i="36" s="1"/>
  <c r="K158" i="36"/>
  <c r="I158" i="36" a="1"/>
  <c r="I158" i="36" s="1"/>
  <c r="H158" i="36" a="1"/>
  <c r="H158" i="36" s="1"/>
  <c r="AQ157" i="36"/>
  <c r="AN157" i="36"/>
  <c r="AO157" i="36" s="1" a="1"/>
  <c r="AO157" i="36" s="1"/>
  <c r="AJ157" i="36"/>
  <c r="AG157" i="36"/>
  <c r="AH157" i="36" s="1" a="1"/>
  <c r="AH157" i="36" s="1"/>
  <c r="AE157" i="36" a="1"/>
  <c r="AE157" i="36" s="1"/>
  <c r="K157" i="36"/>
  <c r="I157" i="36" a="1"/>
  <c r="I157" i="36" s="1"/>
  <c r="H157" i="36" a="1"/>
  <c r="H157" i="36" s="1"/>
  <c r="AQ156" i="36"/>
  <c r="AN156" i="36"/>
  <c r="AO156" i="36" s="1" a="1"/>
  <c r="AO156" i="36" s="1"/>
  <c r="AJ156" i="36"/>
  <c r="AG156" i="36"/>
  <c r="AH156" i="36" s="1" a="1"/>
  <c r="AH156" i="36" s="1"/>
  <c r="AE156" i="36" a="1"/>
  <c r="AE156" i="36" s="1"/>
  <c r="K156" i="36"/>
  <c r="I156" i="36" a="1"/>
  <c r="I156" i="36" s="1"/>
  <c r="H156" i="36" a="1"/>
  <c r="H156" i="36" s="1"/>
  <c r="AQ155" i="36"/>
  <c r="AN155" i="36"/>
  <c r="AO155" i="36" s="1" a="1"/>
  <c r="AO155" i="36" s="1"/>
  <c r="AJ155" i="36"/>
  <c r="AG155" i="36"/>
  <c r="AH155" i="36" s="1" a="1"/>
  <c r="AH155" i="36" s="1"/>
  <c r="AE155" i="36" a="1"/>
  <c r="AE155" i="36" s="1"/>
  <c r="K155" i="36"/>
  <c r="I155" i="36" a="1"/>
  <c r="I155" i="36" s="1"/>
  <c r="H155" i="36" a="1"/>
  <c r="H155" i="36" s="1"/>
  <c r="AQ154" i="36"/>
  <c r="AN154" i="36"/>
  <c r="AO154" i="36" s="1" a="1"/>
  <c r="AO154" i="36" s="1"/>
  <c r="AJ154" i="36"/>
  <c r="AG154" i="36"/>
  <c r="AH154" i="36" s="1" a="1"/>
  <c r="AH154" i="36" s="1"/>
  <c r="AE154" i="36" a="1"/>
  <c r="AE154" i="36" s="1"/>
  <c r="K154" i="36"/>
  <c r="I154" i="36" a="1"/>
  <c r="I154" i="36" s="1"/>
  <c r="H154" i="36" a="1"/>
  <c r="H154" i="36" s="1"/>
  <c r="AQ153" i="36"/>
  <c r="AN153" i="36"/>
  <c r="AO153" i="36" s="1" a="1"/>
  <c r="AO153" i="36" s="1"/>
  <c r="AJ153" i="36"/>
  <c r="AG153" i="36"/>
  <c r="AH153" i="36" s="1" a="1"/>
  <c r="AH153" i="36" s="1"/>
  <c r="AE153" i="36" a="1"/>
  <c r="AE153" i="36" s="1"/>
  <c r="K153" i="36"/>
  <c r="I153" i="36" a="1"/>
  <c r="I153" i="36" s="1"/>
  <c r="H153" i="36" a="1"/>
  <c r="H153" i="36" s="1"/>
  <c r="AQ152" i="36"/>
  <c r="AN152" i="36"/>
  <c r="AO152" i="36" s="1" a="1"/>
  <c r="AO152" i="36" s="1"/>
  <c r="AJ152" i="36"/>
  <c r="AG152" i="36"/>
  <c r="AH152" i="36" s="1" a="1"/>
  <c r="AH152" i="36" s="1"/>
  <c r="AE152" i="36" a="1"/>
  <c r="AE152" i="36" s="1"/>
  <c r="K152" i="36"/>
  <c r="I152" i="36" a="1"/>
  <c r="I152" i="36" s="1"/>
  <c r="H152" i="36" a="1"/>
  <c r="H152" i="36" s="1"/>
  <c r="AQ151" i="36"/>
  <c r="AN151" i="36"/>
  <c r="AO151" i="36" s="1" a="1"/>
  <c r="AO151" i="36" s="1"/>
  <c r="AJ151" i="36"/>
  <c r="AG151" i="36"/>
  <c r="AH151" i="36" s="1" a="1"/>
  <c r="AH151" i="36" s="1"/>
  <c r="AE151" i="36" a="1"/>
  <c r="AE151" i="36" s="1"/>
  <c r="K151" i="36"/>
  <c r="I151" i="36" a="1"/>
  <c r="I151" i="36" s="1"/>
  <c r="H151" i="36" a="1"/>
  <c r="H151" i="36" s="1"/>
  <c r="AQ150" i="36"/>
  <c r="AN150" i="36"/>
  <c r="AO150" i="36" s="1" a="1"/>
  <c r="AO150" i="36" s="1"/>
  <c r="AJ150" i="36"/>
  <c r="AG150" i="36"/>
  <c r="AH150" i="36" s="1" a="1"/>
  <c r="AH150" i="36" s="1"/>
  <c r="AE150" i="36" a="1"/>
  <c r="AE150" i="36" s="1"/>
  <c r="K150" i="36"/>
  <c r="I150" i="36" a="1"/>
  <c r="I150" i="36" s="1"/>
  <c r="H150" i="36" a="1"/>
  <c r="H150" i="36" s="1"/>
  <c r="AQ149" i="36"/>
  <c r="AN149" i="36"/>
  <c r="AO149" i="36" s="1" a="1"/>
  <c r="AO149" i="36" s="1"/>
  <c r="AJ149" i="36"/>
  <c r="AG149" i="36"/>
  <c r="AH149" i="36" s="1" a="1"/>
  <c r="AH149" i="36" s="1"/>
  <c r="AE149" i="36" a="1"/>
  <c r="AE149" i="36" s="1"/>
  <c r="K149" i="36"/>
  <c r="I149" i="36" a="1"/>
  <c r="I149" i="36" s="1"/>
  <c r="H149" i="36" a="1"/>
  <c r="H149" i="36" s="1"/>
  <c r="AQ148" i="36"/>
  <c r="AN148" i="36"/>
  <c r="AO148" i="36" s="1" a="1"/>
  <c r="AO148" i="36" s="1"/>
  <c r="AJ148" i="36"/>
  <c r="AG148" i="36"/>
  <c r="AH148" i="36" s="1" a="1"/>
  <c r="AH148" i="36" s="1"/>
  <c r="AE148" i="36" a="1"/>
  <c r="AE148" i="36" s="1"/>
  <c r="K148" i="36"/>
  <c r="I148" i="36" a="1"/>
  <c r="I148" i="36" s="1"/>
  <c r="H148" i="36" a="1"/>
  <c r="H148" i="36" s="1"/>
  <c r="AQ147" i="36"/>
  <c r="AN147" i="36"/>
  <c r="AO147" i="36" s="1" a="1"/>
  <c r="AO147" i="36" s="1"/>
  <c r="AJ147" i="36"/>
  <c r="AG147" i="36"/>
  <c r="AH147" i="36" s="1" a="1"/>
  <c r="AH147" i="36" s="1"/>
  <c r="AE147" i="36" a="1"/>
  <c r="AE147" i="36" s="1"/>
  <c r="K147" i="36"/>
  <c r="I147" i="36" a="1"/>
  <c r="I147" i="36" s="1"/>
  <c r="H147" i="36" a="1"/>
  <c r="H147" i="36" s="1"/>
  <c r="AQ146" i="36"/>
  <c r="AN146" i="36"/>
  <c r="AO146" i="36" s="1" a="1"/>
  <c r="AO146" i="36" s="1"/>
  <c r="AJ146" i="36"/>
  <c r="AG146" i="36"/>
  <c r="AH146" i="36" s="1" a="1"/>
  <c r="AH146" i="36" s="1"/>
  <c r="AE146" i="36" a="1"/>
  <c r="AE146" i="36" s="1"/>
  <c r="K146" i="36"/>
  <c r="I146" i="36" a="1"/>
  <c r="I146" i="36" s="1"/>
  <c r="H146" i="36" a="1"/>
  <c r="H146" i="36" s="1"/>
  <c r="AQ145" i="36"/>
  <c r="AN145" i="36"/>
  <c r="AO145" i="36" s="1" a="1"/>
  <c r="AO145" i="36" s="1"/>
  <c r="AJ145" i="36"/>
  <c r="AG145" i="36"/>
  <c r="AH145" i="36" s="1" a="1"/>
  <c r="AH145" i="36" s="1"/>
  <c r="AE145" i="36" a="1"/>
  <c r="AE145" i="36" s="1"/>
  <c r="K145" i="36"/>
  <c r="I145" i="36" a="1"/>
  <c r="I145" i="36" s="1"/>
  <c r="H145" i="36" a="1"/>
  <c r="H145" i="36" s="1"/>
  <c r="AQ144" i="36"/>
  <c r="AN144" i="36"/>
  <c r="AO144" i="36" s="1" a="1"/>
  <c r="AO144" i="36" s="1"/>
  <c r="AJ144" i="36"/>
  <c r="AG144" i="36"/>
  <c r="AH144" i="36" s="1" a="1"/>
  <c r="AH144" i="36" s="1"/>
  <c r="AE144" i="36" a="1"/>
  <c r="AE144" i="36" s="1"/>
  <c r="K144" i="36"/>
  <c r="I144" i="36" a="1"/>
  <c r="I144" i="36" s="1"/>
  <c r="H144" i="36" a="1"/>
  <c r="H144" i="36" s="1"/>
  <c r="AQ143" i="36"/>
  <c r="AN143" i="36"/>
  <c r="AO143" i="36" s="1" a="1"/>
  <c r="AO143" i="36" s="1"/>
  <c r="AJ143" i="36"/>
  <c r="AG143" i="36"/>
  <c r="AH143" i="36" s="1" a="1"/>
  <c r="AH143" i="36" s="1"/>
  <c r="AE143" i="36" a="1"/>
  <c r="AE143" i="36" s="1"/>
  <c r="K143" i="36"/>
  <c r="I143" i="36" a="1"/>
  <c r="I143" i="36" s="1"/>
  <c r="H143" i="36" a="1"/>
  <c r="H143" i="36" s="1"/>
  <c r="AQ142" i="36"/>
  <c r="AN142" i="36"/>
  <c r="AO142" i="36" s="1" a="1"/>
  <c r="AO142" i="36" s="1"/>
  <c r="AJ142" i="36"/>
  <c r="AG142" i="36"/>
  <c r="AH142" i="36" s="1" a="1"/>
  <c r="AH142" i="36" s="1"/>
  <c r="AE142" i="36" a="1"/>
  <c r="AE142" i="36" s="1"/>
  <c r="K142" i="36"/>
  <c r="I142" i="36" a="1"/>
  <c r="I142" i="36" s="1"/>
  <c r="H142" i="36" a="1"/>
  <c r="H142" i="36" s="1"/>
  <c r="AQ141" i="36"/>
  <c r="AN141" i="36"/>
  <c r="AO141" i="36" s="1" a="1"/>
  <c r="AO141" i="36" s="1"/>
  <c r="AJ141" i="36"/>
  <c r="AG141" i="36"/>
  <c r="AH141" i="36" s="1" a="1"/>
  <c r="AH141" i="36" s="1"/>
  <c r="AE141" i="36" a="1"/>
  <c r="AE141" i="36" s="1"/>
  <c r="K141" i="36"/>
  <c r="I141" i="36" a="1"/>
  <c r="I141" i="36" s="1"/>
  <c r="H141" i="36" a="1"/>
  <c r="H141" i="36" s="1"/>
  <c r="AQ140" i="36"/>
  <c r="AN140" i="36"/>
  <c r="AO140" i="36" s="1" a="1"/>
  <c r="AO140" i="36" s="1"/>
  <c r="AJ140" i="36"/>
  <c r="AG140" i="36"/>
  <c r="AH140" i="36" s="1" a="1"/>
  <c r="AH140" i="36" s="1"/>
  <c r="AE140" i="36" a="1"/>
  <c r="AE140" i="36" s="1"/>
  <c r="K140" i="36"/>
  <c r="I140" i="36" a="1"/>
  <c r="I140" i="36" s="1"/>
  <c r="H140" i="36" a="1"/>
  <c r="H140" i="36" s="1"/>
  <c r="AQ139" i="36"/>
  <c r="AN139" i="36"/>
  <c r="AO139" i="36" s="1" a="1"/>
  <c r="AO139" i="36" s="1"/>
  <c r="AJ139" i="36"/>
  <c r="AG139" i="36"/>
  <c r="AH139" i="36" s="1" a="1"/>
  <c r="AH139" i="36" s="1"/>
  <c r="AE139" i="36" a="1"/>
  <c r="AE139" i="36" s="1"/>
  <c r="K139" i="36"/>
  <c r="I139" i="36" a="1"/>
  <c r="I139" i="36" s="1"/>
  <c r="H139" i="36" a="1"/>
  <c r="H139" i="36" s="1"/>
  <c r="AQ138" i="36"/>
  <c r="AN138" i="36"/>
  <c r="AO138" i="36" s="1" a="1"/>
  <c r="AO138" i="36" s="1"/>
  <c r="AJ138" i="36"/>
  <c r="AG138" i="36"/>
  <c r="AH138" i="36" s="1" a="1"/>
  <c r="AH138" i="36" s="1"/>
  <c r="AE138" i="36" a="1"/>
  <c r="AE138" i="36" s="1"/>
  <c r="K138" i="36"/>
  <c r="I138" i="36" a="1"/>
  <c r="I138" i="36" s="1"/>
  <c r="H138" i="36" a="1"/>
  <c r="H138" i="36" s="1"/>
  <c r="AQ137" i="36"/>
  <c r="AN137" i="36"/>
  <c r="AO137" i="36" s="1" a="1"/>
  <c r="AO137" i="36" s="1"/>
  <c r="AJ137" i="36"/>
  <c r="AG137" i="36"/>
  <c r="AH137" i="36" s="1" a="1"/>
  <c r="AH137" i="36" s="1"/>
  <c r="AE137" i="36" a="1"/>
  <c r="AE137" i="36" s="1"/>
  <c r="K137" i="36"/>
  <c r="I137" i="36" a="1"/>
  <c r="I137" i="36" s="1"/>
  <c r="H137" i="36" a="1"/>
  <c r="H137" i="36" s="1"/>
  <c r="AQ136" i="36"/>
  <c r="AN136" i="36"/>
  <c r="AO136" i="36" s="1" a="1"/>
  <c r="AO136" i="36" s="1"/>
  <c r="AJ136" i="36"/>
  <c r="AG136" i="36"/>
  <c r="AH136" i="36" s="1" a="1"/>
  <c r="AH136" i="36" s="1"/>
  <c r="AE136" i="36" a="1"/>
  <c r="AE136" i="36" s="1"/>
  <c r="K136" i="36"/>
  <c r="I136" i="36" a="1"/>
  <c r="I136" i="36" s="1"/>
  <c r="H136" i="36" a="1"/>
  <c r="H136" i="36" s="1"/>
  <c r="AQ135" i="36"/>
  <c r="AN135" i="36"/>
  <c r="AO135" i="36" s="1" a="1"/>
  <c r="AO135" i="36" s="1"/>
  <c r="AJ135" i="36"/>
  <c r="AG135" i="36"/>
  <c r="AH135" i="36" s="1" a="1"/>
  <c r="AH135" i="36" s="1"/>
  <c r="AE135" i="36" a="1"/>
  <c r="AE135" i="36" s="1"/>
  <c r="K135" i="36"/>
  <c r="I135" i="36" a="1"/>
  <c r="I135" i="36" s="1"/>
  <c r="H135" i="36" a="1"/>
  <c r="H135" i="36" s="1"/>
  <c r="AQ134" i="36"/>
  <c r="AN134" i="36"/>
  <c r="AO134" i="36" s="1" a="1"/>
  <c r="AO134" i="36" s="1"/>
  <c r="AJ134" i="36"/>
  <c r="AG134" i="36"/>
  <c r="AH134" i="36" s="1" a="1"/>
  <c r="AH134" i="36" s="1"/>
  <c r="AE134" i="36" a="1"/>
  <c r="AE134" i="36" s="1"/>
  <c r="K134" i="36"/>
  <c r="I134" i="36" a="1"/>
  <c r="I134" i="36" s="1"/>
  <c r="H134" i="36" a="1"/>
  <c r="H134" i="36" s="1"/>
  <c r="AQ133" i="36"/>
  <c r="AN133" i="36"/>
  <c r="AO133" i="36" s="1" a="1"/>
  <c r="AO133" i="36" s="1"/>
  <c r="AJ133" i="36"/>
  <c r="AG133" i="36"/>
  <c r="AH133" i="36" s="1" a="1"/>
  <c r="AH133" i="36" s="1"/>
  <c r="AE133" i="36" a="1"/>
  <c r="AE133" i="36" s="1"/>
  <c r="K133" i="36"/>
  <c r="I133" i="36" a="1"/>
  <c r="I133" i="36" s="1"/>
  <c r="H133" i="36" a="1"/>
  <c r="H133" i="36" s="1"/>
  <c r="AQ132" i="36"/>
  <c r="AN132" i="36"/>
  <c r="AO132" i="36" s="1" a="1"/>
  <c r="AO132" i="36" s="1"/>
  <c r="AJ132" i="36"/>
  <c r="AG132" i="36"/>
  <c r="AH132" i="36" s="1" a="1"/>
  <c r="AH132" i="36" s="1"/>
  <c r="AE132" i="36" a="1"/>
  <c r="AE132" i="36" s="1"/>
  <c r="K132" i="36"/>
  <c r="I132" i="36" a="1"/>
  <c r="I132" i="36" s="1"/>
  <c r="H132" i="36" a="1"/>
  <c r="H132" i="36" s="1"/>
  <c r="AQ131" i="36"/>
  <c r="AN131" i="36"/>
  <c r="AO131" i="36" s="1" a="1"/>
  <c r="AO131" i="36" s="1"/>
  <c r="AJ131" i="36"/>
  <c r="AG131" i="36"/>
  <c r="AH131" i="36" s="1" a="1"/>
  <c r="AH131" i="36" s="1"/>
  <c r="AE131" i="36" a="1"/>
  <c r="AE131" i="36" s="1"/>
  <c r="K131" i="36"/>
  <c r="I131" i="36" a="1"/>
  <c r="I131" i="36" s="1"/>
  <c r="H131" i="36" a="1"/>
  <c r="H131" i="36" s="1"/>
  <c r="AQ130" i="36"/>
  <c r="AN130" i="36"/>
  <c r="AO130" i="36" s="1" a="1"/>
  <c r="AO130" i="36" s="1"/>
  <c r="AJ130" i="36"/>
  <c r="AG130" i="36"/>
  <c r="AH130" i="36" s="1" a="1"/>
  <c r="AH130" i="36" s="1"/>
  <c r="AE130" i="36" a="1"/>
  <c r="AE130" i="36" s="1"/>
  <c r="K130" i="36"/>
  <c r="I130" i="36" a="1"/>
  <c r="I130" i="36" s="1"/>
  <c r="H130" i="36" a="1"/>
  <c r="H130" i="36" s="1"/>
  <c r="AQ129" i="36"/>
  <c r="AN129" i="36"/>
  <c r="AO129" i="36" s="1" a="1"/>
  <c r="AO129" i="36" s="1"/>
  <c r="AJ129" i="36"/>
  <c r="AG129" i="36"/>
  <c r="AH129" i="36" s="1" a="1"/>
  <c r="AH129" i="36" s="1"/>
  <c r="AE129" i="36" a="1"/>
  <c r="AE129" i="36" s="1"/>
  <c r="K129" i="36"/>
  <c r="I129" i="36" a="1"/>
  <c r="I129" i="36" s="1"/>
  <c r="H129" i="36" a="1"/>
  <c r="H129" i="36" s="1"/>
  <c r="AQ128" i="36"/>
  <c r="AN128" i="36"/>
  <c r="AO128" i="36" s="1" a="1"/>
  <c r="AO128" i="36" s="1"/>
  <c r="AJ128" i="36"/>
  <c r="AG128" i="36"/>
  <c r="AH128" i="36" s="1" a="1"/>
  <c r="AH128" i="36" s="1"/>
  <c r="AE128" i="36" a="1"/>
  <c r="AE128" i="36" s="1"/>
  <c r="K128" i="36"/>
  <c r="I128" i="36" a="1"/>
  <c r="I128" i="36" s="1"/>
  <c r="H128" i="36" a="1"/>
  <c r="H128" i="36" s="1"/>
  <c r="AQ127" i="36"/>
  <c r="AN127" i="36"/>
  <c r="AO127" i="36" s="1" a="1"/>
  <c r="AO127" i="36" s="1"/>
  <c r="AJ127" i="36"/>
  <c r="AG127" i="36"/>
  <c r="AH127" i="36" s="1" a="1"/>
  <c r="AH127" i="36" s="1"/>
  <c r="AE127" i="36" a="1"/>
  <c r="AE127" i="36" s="1"/>
  <c r="K127" i="36"/>
  <c r="I127" i="36" a="1"/>
  <c r="I127" i="36" s="1"/>
  <c r="H127" i="36" a="1"/>
  <c r="H127" i="36" s="1"/>
  <c r="AQ126" i="36"/>
  <c r="AN126" i="36"/>
  <c r="AO126" i="36" s="1" a="1"/>
  <c r="AO126" i="36" s="1"/>
  <c r="AJ126" i="36"/>
  <c r="AG126" i="36"/>
  <c r="AH126" i="36" s="1" a="1"/>
  <c r="AH126" i="36" s="1"/>
  <c r="AE126" i="36" a="1"/>
  <c r="AE126" i="36" s="1"/>
  <c r="K126" i="36"/>
  <c r="I126" i="36" a="1"/>
  <c r="I126" i="36" s="1"/>
  <c r="H126" i="36" a="1"/>
  <c r="H126" i="36" s="1"/>
  <c r="AQ125" i="36"/>
  <c r="AN125" i="36"/>
  <c r="AO125" i="36" s="1" a="1"/>
  <c r="AO125" i="36" s="1"/>
  <c r="AJ125" i="36"/>
  <c r="AG125" i="36"/>
  <c r="AH125" i="36" s="1" a="1"/>
  <c r="AH125" i="36" s="1"/>
  <c r="AE125" i="36" a="1"/>
  <c r="AE125" i="36" s="1"/>
  <c r="K125" i="36"/>
  <c r="I125" i="36" a="1"/>
  <c r="I125" i="36" s="1"/>
  <c r="H125" i="36" a="1"/>
  <c r="H125" i="36" s="1"/>
  <c r="AQ124" i="36"/>
  <c r="AN124" i="36"/>
  <c r="AO124" i="36" s="1" a="1"/>
  <c r="AO124" i="36" s="1"/>
  <c r="AJ124" i="36"/>
  <c r="AG124" i="36"/>
  <c r="AH124" i="36" s="1" a="1"/>
  <c r="AH124" i="36" s="1"/>
  <c r="AE124" i="36" a="1"/>
  <c r="AE124" i="36" s="1"/>
  <c r="K124" i="36"/>
  <c r="I124" i="36" a="1"/>
  <c r="I124" i="36" s="1"/>
  <c r="H124" i="36" a="1"/>
  <c r="H124" i="36" s="1"/>
  <c r="AQ123" i="36"/>
  <c r="AN123" i="36"/>
  <c r="AO123" i="36" s="1" a="1"/>
  <c r="AO123" i="36" s="1"/>
  <c r="AJ123" i="36"/>
  <c r="AG123" i="36"/>
  <c r="AH123" i="36" s="1" a="1"/>
  <c r="AH123" i="36" s="1"/>
  <c r="AE123" i="36" a="1"/>
  <c r="AE123" i="36" s="1"/>
  <c r="J123" i="36"/>
  <c r="K123" i="36"/>
  <c r="I123" i="36" a="1"/>
  <c r="I123" i="36" s="1"/>
  <c r="H123" i="36" a="1"/>
  <c r="H123" i="36" s="1"/>
  <c r="AQ122" i="36"/>
  <c r="AN122" i="36"/>
  <c r="AO122" i="36" s="1" a="1"/>
  <c r="AO122" i="36" s="1"/>
  <c r="AJ122" i="36"/>
  <c r="AG122" i="36"/>
  <c r="AH122" i="36" s="1" a="1"/>
  <c r="AH122" i="36" s="1"/>
  <c r="AE122" i="36" a="1"/>
  <c r="AE122" i="36" s="1"/>
  <c r="K122" i="36"/>
  <c r="I122" i="36" a="1"/>
  <c r="I122" i="36" s="1"/>
  <c r="H122" i="36" a="1"/>
  <c r="H122" i="36" s="1"/>
  <c r="AQ121" i="36"/>
  <c r="AN121" i="36"/>
  <c r="AO121" i="36" s="1" a="1"/>
  <c r="AO121" i="36" s="1"/>
  <c r="AJ121" i="36"/>
  <c r="AG121" i="36"/>
  <c r="AH121" i="36" s="1" a="1"/>
  <c r="AH121" i="36" s="1"/>
  <c r="AE121" i="36" a="1"/>
  <c r="AE121" i="36" s="1"/>
  <c r="K121" i="36"/>
  <c r="I121" i="36" a="1"/>
  <c r="I121" i="36" s="1"/>
  <c r="H121" i="36" a="1"/>
  <c r="H121" i="36" s="1"/>
  <c r="AQ120" i="36"/>
  <c r="AN120" i="36"/>
  <c r="AO120" i="36" s="1" a="1"/>
  <c r="AO120" i="36" s="1"/>
  <c r="AJ120" i="36"/>
  <c r="AG120" i="36"/>
  <c r="AH120" i="36" s="1" a="1"/>
  <c r="AH120" i="36" s="1"/>
  <c r="AE120" i="36" a="1"/>
  <c r="AE120" i="36" s="1"/>
  <c r="K120" i="36"/>
  <c r="I120" i="36" a="1"/>
  <c r="I120" i="36" s="1"/>
  <c r="H120" i="36" a="1"/>
  <c r="H120" i="36" s="1"/>
  <c r="AQ119" i="36"/>
  <c r="AN119" i="36"/>
  <c r="AO119" i="36" s="1" a="1"/>
  <c r="AO119" i="36" s="1"/>
  <c r="AJ119" i="36"/>
  <c r="AG119" i="36"/>
  <c r="AH119" i="36" s="1" a="1"/>
  <c r="AH119" i="36" s="1"/>
  <c r="AE119" i="36" a="1"/>
  <c r="AE119" i="36" s="1"/>
  <c r="K119" i="36"/>
  <c r="I119" i="36" a="1"/>
  <c r="I119" i="36" s="1"/>
  <c r="H119" i="36" a="1"/>
  <c r="H119" i="36" s="1"/>
  <c r="AQ118" i="36"/>
  <c r="AN118" i="36"/>
  <c r="AO118" i="36" s="1" a="1"/>
  <c r="AO118" i="36" s="1"/>
  <c r="AJ118" i="36"/>
  <c r="AG118" i="36"/>
  <c r="AH118" i="36" s="1" a="1"/>
  <c r="AH118" i="36" s="1"/>
  <c r="AE118" i="36" a="1"/>
  <c r="AE118" i="36" s="1"/>
  <c r="K118" i="36"/>
  <c r="I118" i="36" a="1"/>
  <c r="I118" i="36" s="1"/>
  <c r="H118" i="36" a="1"/>
  <c r="H118" i="36" s="1"/>
  <c r="AQ117" i="36"/>
  <c r="AN117" i="36"/>
  <c r="AO117" i="36" s="1" a="1"/>
  <c r="AO117" i="36" s="1"/>
  <c r="AJ117" i="36"/>
  <c r="AG117" i="36"/>
  <c r="AH117" i="36" s="1" a="1"/>
  <c r="AH117" i="36" s="1"/>
  <c r="AE117" i="36" a="1"/>
  <c r="AE117" i="36" s="1"/>
  <c r="K117" i="36"/>
  <c r="I117" i="36" a="1"/>
  <c r="I117" i="36" s="1"/>
  <c r="H117" i="36" a="1"/>
  <c r="H117" i="36" s="1"/>
  <c r="AQ116" i="36"/>
  <c r="AN116" i="36"/>
  <c r="AO116" i="36" s="1" a="1"/>
  <c r="AO116" i="36" s="1"/>
  <c r="AJ116" i="36"/>
  <c r="AG116" i="36"/>
  <c r="AH116" i="36" s="1" a="1"/>
  <c r="AH116" i="36" s="1"/>
  <c r="AE116" i="36" a="1"/>
  <c r="AE116" i="36" s="1"/>
  <c r="K116" i="36"/>
  <c r="I116" i="36" a="1"/>
  <c r="I116" i="36" s="1"/>
  <c r="H116" i="36" a="1"/>
  <c r="H116" i="36" s="1"/>
  <c r="AQ115" i="36"/>
  <c r="AN115" i="36"/>
  <c r="AO115" i="36" s="1" a="1"/>
  <c r="AO115" i="36" s="1"/>
  <c r="AJ115" i="36"/>
  <c r="AG115" i="36"/>
  <c r="AH115" i="36" s="1" a="1"/>
  <c r="AH115" i="36" s="1"/>
  <c r="AE115" i="36" a="1"/>
  <c r="AE115" i="36" s="1"/>
  <c r="K115" i="36"/>
  <c r="I115" i="36" a="1"/>
  <c r="I115" i="36" s="1"/>
  <c r="H115" i="36" a="1"/>
  <c r="H115" i="36" s="1"/>
  <c r="AQ114" i="36"/>
  <c r="AN114" i="36"/>
  <c r="AO114" i="36" s="1" a="1"/>
  <c r="AO114" i="36" s="1"/>
  <c r="AJ114" i="36"/>
  <c r="AG114" i="36"/>
  <c r="AH114" i="36" s="1" a="1"/>
  <c r="AH114" i="36" s="1"/>
  <c r="AE114" i="36" a="1"/>
  <c r="AE114" i="36" s="1"/>
  <c r="K114" i="36"/>
  <c r="I114" i="36" a="1"/>
  <c r="I114" i="36" s="1"/>
  <c r="H114" i="36" a="1"/>
  <c r="H114" i="36" s="1"/>
  <c r="AQ113" i="36"/>
  <c r="AN113" i="36"/>
  <c r="AO113" i="36" s="1" a="1"/>
  <c r="AO113" i="36" s="1"/>
  <c r="AJ113" i="36"/>
  <c r="AG113" i="36"/>
  <c r="AH113" i="36" s="1" a="1"/>
  <c r="AH113" i="36" s="1"/>
  <c r="AE113" i="36" a="1"/>
  <c r="AE113" i="36" s="1"/>
  <c r="K113" i="36"/>
  <c r="I113" i="36" a="1"/>
  <c r="I113" i="36" s="1"/>
  <c r="H113" i="36" a="1"/>
  <c r="H113" i="36" s="1"/>
  <c r="AQ112" i="36"/>
  <c r="AN112" i="36"/>
  <c r="AO112" i="36" s="1" a="1"/>
  <c r="AO112" i="36" s="1"/>
  <c r="AJ112" i="36"/>
  <c r="AG112" i="36"/>
  <c r="AH112" i="36" s="1" a="1"/>
  <c r="AH112" i="36" s="1"/>
  <c r="AE112" i="36" a="1"/>
  <c r="AE112" i="36" s="1"/>
  <c r="K112" i="36"/>
  <c r="I112" i="36" a="1"/>
  <c r="I112" i="36" s="1"/>
  <c r="H112" i="36" a="1"/>
  <c r="H112" i="36" s="1"/>
  <c r="AQ111" i="36"/>
  <c r="AN111" i="36"/>
  <c r="AO111" i="36" s="1" a="1"/>
  <c r="AO111" i="36" s="1"/>
  <c r="AJ111" i="36"/>
  <c r="AG111" i="36"/>
  <c r="AH111" i="36" s="1" a="1"/>
  <c r="AH111" i="36" s="1"/>
  <c r="AE111" i="36" a="1"/>
  <c r="AE111" i="36" s="1"/>
  <c r="K111" i="36"/>
  <c r="I111" i="36" a="1"/>
  <c r="I111" i="36" s="1"/>
  <c r="H111" i="36" a="1"/>
  <c r="H111" i="36" s="1"/>
  <c r="AQ110" i="36"/>
  <c r="AN110" i="36"/>
  <c r="AO110" i="36" s="1" a="1"/>
  <c r="AO110" i="36" s="1"/>
  <c r="AJ110" i="36"/>
  <c r="AG110" i="36"/>
  <c r="AH110" i="36" s="1" a="1"/>
  <c r="AH110" i="36" s="1"/>
  <c r="AE110" i="36" a="1"/>
  <c r="AE110" i="36" s="1"/>
  <c r="K110" i="36"/>
  <c r="I110" i="36" a="1"/>
  <c r="I110" i="36" s="1"/>
  <c r="H110" i="36" a="1"/>
  <c r="H110" i="36" s="1"/>
  <c r="AQ109" i="36"/>
  <c r="AN109" i="36"/>
  <c r="AO109" i="36" s="1" a="1"/>
  <c r="AO109" i="36" s="1"/>
  <c r="AJ109" i="36"/>
  <c r="AG109" i="36"/>
  <c r="AH109" i="36" s="1" a="1"/>
  <c r="AH109" i="36" s="1"/>
  <c r="AE109" i="36" a="1"/>
  <c r="AE109" i="36" s="1"/>
  <c r="K109" i="36"/>
  <c r="I109" i="36" a="1"/>
  <c r="I109" i="36" s="1"/>
  <c r="H109" i="36" a="1"/>
  <c r="H109" i="36" s="1"/>
  <c r="AQ108" i="36"/>
  <c r="AN108" i="36"/>
  <c r="AO108" i="36" s="1" a="1"/>
  <c r="AO108" i="36" s="1"/>
  <c r="AJ108" i="36"/>
  <c r="AG108" i="36"/>
  <c r="AH108" i="36" s="1" a="1"/>
  <c r="AH108" i="36" s="1"/>
  <c r="AE108" i="36" a="1"/>
  <c r="AE108" i="36" s="1"/>
  <c r="K108" i="36"/>
  <c r="I108" i="36" a="1"/>
  <c r="I108" i="36" s="1"/>
  <c r="H108" i="36" a="1"/>
  <c r="H108" i="36" s="1"/>
  <c r="AQ107" i="36"/>
  <c r="AN107" i="36"/>
  <c r="AO107" i="36" s="1" a="1"/>
  <c r="AO107" i="36" s="1"/>
  <c r="AJ107" i="36"/>
  <c r="AG107" i="36"/>
  <c r="AH107" i="36" s="1" a="1"/>
  <c r="AH107" i="36" s="1"/>
  <c r="AE107" i="36" a="1"/>
  <c r="AE107" i="36" s="1"/>
  <c r="K107" i="36"/>
  <c r="I107" i="36" a="1"/>
  <c r="I107" i="36" s="1"/>
  <c r="H107" i="36" a="1"/>
  <c r="H107" i="36" s="1"/>
  <c r="AQ106" i="36"/>
  <c r="AN106" i="36"/>
  <c r="AO106" i="36" s="1" a="1"/>
  <c r="AO106" i="36" s="1"/>
  <c r="AJ106" i="36"/>
  <c r="AG106" i="36"/>
  <c r="AH106" i="36" s="1" a="1"/>
  <c r="AH106" i="36" s="1"/>
  <c r="AE106" i="36" a="1"/>
  <c r="AE106" i="36" s="1"/>
  <c r="K106" i="36"/>
  <c r="I106" i="36" a="1"/>
  <c r="I106" i="36" s="1"/>
  <c r="H106" i="36" a="1"/>
  <c r="H106" i="36" s="1"/>
  <c r="AQ105" i="36"/>
  <c r="AN105" i="36"/>
  <c r="AO105" i="36" s="1" a="1"/>
  <c r="AO105" i="36" s="1"/>
  <c r="AJ105" i="36"/>
  <c r="AG105" i="36"/>
  <c r="AH105" i="36" s="1" a="1"/>
  <c r="AH105" i="36" s="1"/>
  <c r="AE105" i="36" a="1"/>
  <c r="AE105" i="36" s="1"/>
  <c r="K105" i="36"/>
  <c r="I105" i="36" a="1"/>
  <c r="I105" i="36" s="1"/>
  <c r="H105" i="36" a="1"/>
  <c r="H105" i="36" s="1"/>
  <c r="AQ104" i="36"/>
  <c r="AN104" i="36"/>
  <c r="AO104" i="36" s="1" a="1"/>
  <c r="AO104" i="36" s="1"/>
  <c r="AJ104" i="36"/>
  <c r="AG104" i="36"/>
  <c r="AH104" i="36" s="1" a="1"/>
  <c r="AH104" i="36" s="1"/>
  <c r="AE104" i="36" a="1"/>
  <c r="AE104" i="36" s="1"/>
  <c r="K104" i="36"/>
  <c r="I104" i="36" a="1"/>
  <c r="I104" i="36" s="1"/>
  <c r="H104" i="36" a="1"/>
  <c r="H104" i="36" s="1"/>
  <c r="AQ103" i="36"/>
  <c r="AN103" i="36"/>
  <c r="AO103" i="36" s="1" a="1"/>
  <c r="AO103" i="36" s="1"/>
  <c r="AJ103" i="36"/>
  <c r="AG103" i="36"/>
  <c r="AH103" i="36" s="1" a="1"/>
  <c r="AH103" i="36" s="1"/>
  <c r="AE103" i="36" a="1"/>
  <c r="AE103" i="36" s="1"/>
  <c r="K103" i="36"/>
  <c r="I103" i="36" a="1"/>
  <c r="I103" i="36" s="1"/>
  <c r="H103" i="36" a="1"/>
  <c r="H103" i="36" s="1"/>
  <c r="AQ102" i="36"/>
  <c r="AN102" i="36"/>
  <c r="AO102" i="36" s="1" a="1"/>
  <c r="AO102" i="36" s="1"/>
  <c r="AJ102" i="36"/>
  <c r="AG102" i="36"/>
  <c r="AH102" i="36" s="1" a="1"/>
  <c r="AH102" i="36" s="1"/>
  <c r="AE102" i="36" a="1"/>
  <c r="AE102" i="36" s="1"/>
  <c r="K102" i="36"/>
  <c r="I102" i="36" a="1"/>
  <c r="I102" i="36" s="1"/>
  <c r="H102" i="36" a="1"/>
  <c r="H102" i="36" s="1"/>
  <c r="AQ101" i="36"/>
  <c r="AN101" i="36"/>
  <c r="AO101" i="36" s="1" a="1"/>
  <c r="AO101" i="36" s="1"/>
  <c r="AJ101" i="36"/>
  <c r="AG101" i="36"/>
  <c r="AH101" i="36" s="1" a="1"/>
  <c r="AH101" i="36" s="1"/>
  <c r="AE101" i="36" a="1"/>
  <c r="AE101" i="36" s="1"/>
  <c r="K101" i="36"/>
  <c r="I101" i="36" a="1"/>
  <c r="I101" i="36" s="1"/>
  <c r="H101" i="36" a="1"/>
  <c r="H101" i="36" s="1"/>
  <c r="AQ100" i="36"/>
  <c r="AN100" i="36"/>
  <c r="AO100" i="36" s="1" a="1"/>
  <c r="AO100" i="36" s="1"/>
  <c r="AJ100" i="36"/>
  <c r="AG100" i="36"/>
  <c r="AH100" i="36" s="1" a="1"/>
  <c r="AH100" i="36" s="1"/>
  <c r="AE100" i="36" a="1"/>
  <c r="AE100" i="36" s="1"/>
  <c r="K100" i="36"/>
  <c r="I100" i="36" a="1"/>
  <c r="I100" i="36" s="1"/>
  <c r="H100" i="36" a="1"/>
  <c r="H100" i="36" s="1"/>
  <c r="AQ99" i="36"/>
  <c r="AN99" i="36"/>
  <c r="AO99" i="36" s="1" a="1"/>
  <c r="AO99" i="36" s="1"/>
  <c r="AJ99" i="36"/>
  <c r="AG99" i="36"/>
  <c r="AH99" i="36" s="1" a="1"/>
  <c r="AH99" i="36" s="1"/>
  <c r="AE99" i="36" a="1"/>
  <c r="AE99" i="36" s="1"/>
  <c r="K99" i="36"/>
  <c r="I99" i="36" a="1"/>
  <c r="I99" i="36" s="1"/>
  <c r="H99" i="36" a="1"/>
  <c r="H99" i="36" s="1"/>
  <c r="AQ98" i="36"/>
  <c r="AN98" i="36"/>
  <c r="AO98" i="36" s="1" a="1"/>
  <c r="AO98" i="36" s="1"/>
  <c r="AJ98" i="36"/>
  <c r="AG98" i="36"/>
  <c r="AH98" i="36" s="1" a="1"/>
  <c r="AH98" i="36" s="1"/>
  <c r="AE98" i="36" a="1"/>
  <c r="AE98" i="36" s="1"/>
  <c r="K98" i="36"/>
  <c r="I98" i="36" a="1"/>
  <c r="I98" i="36" s="1"/>
  <c r="H98" i="36" a="1"/>
  <c r="H98" i="36" s="1"/>
  <c r="AQ97" i="36"/>
  <c r="AN97" i="36"/>
  <c r="AO97" i="36" s="1" a="1"/>
  <c r="AO97" i="36" s="1"/>
  <c r="AJ97" i="36"/>
  <c r="AG97" i="36"/>
  <c r="AH97" i="36" s="1" a="1"/>
  <c r="AH97" i="36" s="1"/>
  <c r="AE97" i="36" a="1"/>
  <c r="AE97" i="36" s="1"/>
  <c r="K97" i="36"/>
  <c r="I97" i="36" a="1"/>
  <c r="I97" i="36" s="1"/>
  <c r="H97" i="36" a="1"/>
  <c r="H97" i="36" s="1"/>
  <c r="AQ96" i="36"/>
  <c r="AN96" i="36"/>
  <c r="AO96" i="36" s="1" a="1"/>
  <c r="AO96" i="36" s="1"/>
  <c r="AJ96" i="36"/>
  <c r="AG96" i="36"/>
  <c r="AH96" i="36" s="1" a="1"/>
  <c r="AH96" i="36" s="1"/>
  <c r="AE96" i="36" a="1"/>
  <c r="AE96" i="36" s="1"/>
  <c r="K96" i="36"/>
  <c r="I96" i="36" a="1"/>
  <c r="I96" i="36" s="1"/>
  <c r="H96" i="36" a="1"/>
  <c r="H96" i="36" s="1"/>
  <c r="AQ95" i="36"/>
  <c r="AN95" i="36"/>
  <c r="AO95" i="36" s="1" a="1"/>
  <c r="AO95" i="36" s="1"/>
  <c r="AJ95" i="36"/>
  <c r="AG95" i="36"/>
  <c r="AH95" i="36" s="1" a="1"/>
  <c r="AH95" i="36" s="1"/>
  <c r="AE95" i="36" a="1"/>
  <c r="AE95" i="36" s="1"/>
  <c r="K95" i="36"/>
  <c r="I95" i="36" a="1"/>
  <c r="I95" i="36" s="1"/>
  <c r="H95" i="36" a="1"/>
  <c r="H95" i="36" s="1"/>
  <c r="AQ94" i="36"/>
  <c r="AN94" i="36"/>
  <c r="AO94" i="36" s="1" a="1"/>
  <c r="AO94" i="36" s="1"/>
  <c r="AJ94" i="36"/>
  <c r="AG94" i="36"/>
  <c r="AH94" i="36" s="1" a="1"/>
  <c r="AH94" i="36" s="1"/>
  <c r="AE94" i="36" a="1"/>
  <c r="AE94" i="36" s="1"/>
  <c r="K94" i="36"/>
  <c r="I94" i="36" a="1"/>
  <c r="I94" i="36" s="1"/>
  <c r="H94" i="36" a="1"/>
  <c r="H94" i="36" s="1"/>
  <c r="AQ93" i="36"/>
  <c r="AN93" i="36"/>
  <c r="AO93" i="36" s="1" a="1"/>
  <c r="AO93" i="36" s="1"/>
  <c r="AJ93" i="36"/>
  <c r="AG93" i="36"/>
  <c r="AH93" i="36" s="1" a="1"/>
  <c r="AH93" i="36" s="1"/>
  <c r="AE93" i="36" a="1"/>
  <c r="AE93" i="36" s="1"/>
  <c r="K93" i="36"/>
  <c r="I93" i="36" a="1"/>
  <c r="I93" i="36" s="1"/>
  <c r="H93" i="36" a="1"/>
  <c r="H93" i="36" s="1"/>
  <c r="AQ92" i="36"/>
  <c r="AN92" i="36"/>
  <c r="AO92" i="36" s="1" a="1"/>
  <c r="AO92" i="36" s="1"/>
  <c r="AJ92" i="36"/>
  <c r="AG92" i="36"/>
  <c r="AH92" i="36" s="1" a="1"/>
  <c r="AH92" i="36" s="1"/>
  <c r="AE92" i="36" a="1"/>
  <c r="AE92" i="36" s="1"/>
  <c r="K92" i="36"/>
  <c r="I92" i="36" a="1"/>
  <c r="I92" i="36" s="1"/>
  <c r="H92" i="36" a="1"/>
  <c r="H92" i="36" s="1"/>
  <c r="AQ91" i="36"/>
  <c r="AN91" i="36"/>
  <c r="AO91" i="36" s="1" a="1"/>
  <c r="AO91" i="36" s="1"/>
  <c r="AJ91" i="36"/>
  <c r="AG91" i="36"/>
  <c r="AH91" i="36" s="1" a="1"/>
  <c r="AH91" i="36" s="1"/>
  <c r="AE91" i="36" a="1"/>
  <c r="AE91" i="36" s="1"/>
  <c r="J91" i="36"/>
  <c r="K91" i="36"/>
  <c r="I91" i="36" a="1"/>
  <c r="I91" i="36" s="1"/>
  <c r="H91" i="36" a="1"/>
  <c r="H91" i="36" s="1"/>
  <c r="AQ90" i="36"/>
  <c r="AN90" i="36"/>
  <c r="AO90" i="36" s="1" a="1"/>
  <c r="AO90" i="36" s="1"/>
  <c r="AJ90" i="36"/>
  <c r="AG90" i="36"/>
  <c r="AH90" i="36" s="1" a="1"/>
  <c r="AH90" i="36" s="1"/>
  <c r="AE90" i="36" a="1"/>
  <c r="AE90" i="36" s="1"/>
  <c r="K90" i="36"/>
  <c r="I90" i="36" a="1"/>
  <c r="I90" i="36" s="1"/>
  <c r="H90" i="36" a="1"/>
  <c r="H90" i="36" s="1"/>
  <c r="AQ89" i="36"/>
  <c r="AN89" i="36"/>
  <c r="AO89" i="36" s="1" a="1"/>
  <c r="AO89" i="36" s="1"/>
  <c r="AJ89" i="36"/>
  <c r="AG89" i="36"/>
  <c r="AH89" i="36" s="1" a="1"/>
  <c r="AH89" i="36" s="1"/>
  <c r="AE89" i="36" a="1"/>
  <c r="AE89" i="36" s="1"/>
  <c r="K89" i="36"/>
  <c r="I89" i="36" a="1"/>
  <c r="I89" i="36" s="1"/>
  <c r="L89" i="36" s="1"/>
  <c r="M89" i="36" s="1" a="1"/>
  <c r="M89" i="36" s="1"/>
  <c r="H89" i="36" a="1"/>
  <c r="H89" i="36" s="1"/>
  <c r="AQ88" i="36"/>
  <c r="AN88" i="36"/>
  <c r="AO88" i="36" s="1" a="1"/>
  <c r="AO88" i="36" s="1"/>
  <c r="AJ88" i="36"/>
  <c r="AG88" i="36"/>
  <c r="AH88" i="36" s="1" a="1"/>
  <c r="AH88" i="36" s="1"/>
  <c r="AE88" i="36" a="1"/>
  <c r="AE88" i="36" s="1"/>
  <c r="K88" i="36"/>
  <c r="I88" i="36" a="1"/>
  <c r="I88" i="36" s="1"/>
  <c r="H88" i="36" a="1"/>
  <c r="H88" i="36" s="1"/>
  <c r="AQ87" i="36"/>
  <c r="AN87" i="36"/>
  <c r="AO87" i="36" s="1" a="1"/>
  <c r="AO87" i="36" s="1"/>
  <c r="AJ87" i="36"/>
  <c r="AG87" i="36"/>
  <c r="AH87" i="36" s="1" a="1"/>
  <c r="AH87" i="36" s="1"/>
  <c r="AE87" i="36" a="1"/>
  <c r="AE87" i="36" s="1"/>
  <c r="K87" i="36"/>
  <c r="I87" i="36" a="1"/>
  <c r="I87" i="36" s="1"/>
  <c r="L87" i="36" s="1"/>
  <c r="M87" i="36" s="1" a="1"/>
  <c r="M87" i="36" s="1"/>
  <c r="H87" i="36" a="1"/>
  <c r="H87" i="36" s="1"/>
  <c r="AQ86" i="36"/>
  <c r="AN86" i="36"/>
  <c r="AO86" i="36" s="1" a="1"/>
  <c r="AO86" i="36" s="1"/>
  <c r="AJ86" i="36"/>
  <c r="AG86" i="36"/>
  <c r="AH86" i="36" s="1" a="1"/>
  <c r="AH86" i="36" s="1"/>
  <c r="AE86" i="36" a="1"/>
  <c r="AE86" i="36" s="1"/>
  <c r="K86" i="36"/>
  <c r="I86" i="36" a="1"/>
  <c r="I86" i="36" s="1"/>
  <c r="H86" i="36" a="1"/>
  <c r="H86" i="36" s="1"/>
  <c r="AQ85" i="36"/>
  <c r="AN85" i="36"/>
  <c r="AO85" i="36" s="1" a="1"/>
  <c r="AO85" i="36" s="1"/>
  <c r="AJ85" i="36"/>
  <c r="AG85" i="36"/>
  <c r="AH85" i="36" s="1" a="1"/>
  <c r="AH85" i="36" s="1"/>
  <c r="AE85" i="36" a="1"/>
  <c r="AE85" i="36" s="1"/>
  <c r="K85" i="36"/>
  <c r="I85" i="36" a="1"/>
  <c r="I85" i="36" s="1"/>
  <c r="H85" i="36" a="1"/>
  <c r="H85" i="36" s="1"/>
  <c r="AQ84" i="36"/>
  <c r="AN84" i="36"/>
  <c r="AO84" i="36" s="1" a="1"/>
  <c r="AO84" i="36" s="1"/>
  <c r="AJ84" i="36"/>
  <c r="AG84" i="36"/>
  <c r="AH84" i="36" s="1" a="1"/>
  <c r="AH84" i="36" s="1"/>
  <c r="AE84" i="36" a="1"/>
  <c r="AE84" i="36" s="1"/>
  <c r="K84" i="36"/>
  <c r="I84" i="36" a="1"/>
  <c r="I84" i="36" s="1"/>
  <c r="H84" i="36" a="1"/>
  <c r="H84" i="36" s="1"/>
  <c r="AQ83" i="36"/>
  <c r="AN83" i="36"/>
  <c r="AO83" i="36" s="1" a="1"/>
  <c r="AO83" i="36" s="1"/>
  <c r="AJ83" i="36"/>
  <c r="AG83" i="36"/>
  <c r="AH83" i="36" s="1" a="1"/>
  <c r="AH83" i="36" s="1"/>
  <c r="AE83" i="36" a="1"/>
  <c r="AE83" i="36" s="1"/>
  <c r="K83" i="36"/>
  <c r="I83" i="36" a="1"/>
  <c r="I83" i="36" s="1"/>
  <c r="H83" i="36" a="1"/>
  <c r="H83" i="36" s="1"/>
  <c r="AQ82" i="36"/>
  <c r="AN82" i="36"/>
  <c r="AO82" i="36" s="1" a="1"/>
  <c r="AO82" i="36" s="1"/>
  <c r="AJ82" i="36"/>
  <c r="AG82" i="36"/>
  <c r="AH82" i="36" s="1" a="1"/>
  <c r="AH82" i="36" s="1"/>
  <c r="AE82" i="36" a="1"/>
  <c r="AE82" i="36" s="1"/>
  <c r="K82" i="36"/>
  <c r="I82" i="36" a="1"/>
  <c r="I82" i="36" s="1"/>
  <c r="H82" i="36" a="1"/>
  <c r="H82" i="36" s="1"/>
  <c r="AQ81" i="36"/>
  <c r="AN81" i="36"/>
  <c r="AO81" i="36" s="1" a="1"/>
  <c r="AO81" i="36" s="1"/>
  <c r="AJ81" i="36"/>
  <c r="AG81" i="36"/>
  <c r="AH81" i="36" s="1" a="1"/>
  <c r="AH81" i="36" s="1"/>
  <c r="AE81" i="36" a="1"/>
  <c r="AE81" i="36" s="1"/>
  <c r="K81" i="36"/>
  <c r="I81" i="36" a="1"/>
  <c r="I81" i="36" s="1"/>
  <c r="H81" i="36" a="1"/>
  <c r="H81" i="36" s="1"/>
  <c r="AQ80" i="36"/>
  <c r="AN80" i="36"/>
  <c r="AO80" i="36" s="1" a="1"/>
  <c r="AO80" i="36" s="1"/>
  <c r="AJ80" i="36"/>
  <c r="AG80" i="36"/>
  <c r="AH80" i="36" s="1" a="1"/>
  <c r="AH80" i="36" s="1"/>
  <c r="AE80" i="36" a="1"/>
  <c r="AE80" i="36" s="1"/>
  <c r="K80" i="36"/>
  <c r="I80" i="36" a="1"/>
  <c r="I80" i="36" s="1"/>
  <c r="H80" i="36" a="1"/>
  <c r="H80" i="36" s="1"/>
  <c r="AQ79" i="36"/>
  <c r="AN79" i="36"/>
  <c r="AO79" i="36" s="1" a="1"/>
  <c r="AO79" i="36" s="1"/>
  <c r="AJ79" i="36"/>
  <c r="AG79" i="36"/>
  <c r="AH79" i="36" s="1" a="1"/>
  <c r="AH79" i="36" s="1"/>
  <c r="AE79" i="36" a="1"/>
  <c r="AE79" i="36" s="1"/>
  <c r="K79" i="36"/>
  <c r="I79" i="36" a="1"/>
  <c r="I79" i="36" s="1"/>
  <c r="H79" i="36" a="1"/>
  <c r="H79" i="36" s="1"/>
  <c r="AQ78" i="36"/>
  <c r="AN78" i="36"/>
  <c r="AO78" i="36" s="1" a="1"/>
  <c r="AO78" i="36" s="1"/>
  <c r="AJ78" i="36"/>
  <c r="AG78" i="36"/>
  <c r="AH78" i="36" s="1" a="1"/>
  <c r="AH78" i="36" s="1"/>
  <c r="AE78" i="36" a="1"/>
  <c r="AE78" i="36" s="1"/>
  <c r="K78" i="36"/>
  <c r="I78" i="36" a="1"/>
  <c r="I78" i="36" s="1"/>
  <c r="H78" i="36" a="1"/>
  <c r="H78" i="36" s="1"/>
  <c r="AQ77" i="36"/>
  <c r="AN77" i="36"/>
  <c r="AO77" i="36" s="1" a="1"/>
  <c r="AO77" i="36" s="1"/>
  <c r="AJ77" i="36"/>
  <c r="AG77" i="36"/>
  <c r="AH77" i="36" s="1" a="1"/>
  <c r="AH77" i="36" s="1"/>
  <c r="AE77" i="36" a="1"/>
  <c r="AE77" i="36" s="1"/>
  <c r="K77" i="36"/>
  <c r="I77" i="36" a="1"/>
  <c r="I77" i="36" s="1"/>
  <c r="H77" i="36" a="1"/>
  <c r="H77" i="36" s="1"/>
  <c r="AQ76" i="36"/>
  <c r="AN76" i="36"/>
  <c r="AO76" i="36" s="1" a="1"/>
  <c r="AO76" i="36" s="1"/>
  <c r="AJ76" i="36"/>
  <c r="AG76" i="36"/>
  <c r="AH76" i="36" s="1" a="1"/>
  <c r="AH76" i="36" s="1"/>
  <c r="AE76" i="36" a="1"/>
  <c r="AE76" i="36" s="1"/>
  <c r="K76" i="36"/>
  <c r="I76" i="36" a="1"/>
  <c r="I76" i="36" s="1"/>
  <c r="L76" i="36" s="1"/>
  <c r="M76" i="36" s="1" a="1"/>
  <c r="M76" i="36" s="1"/>
  <c r="H76" i="36" a="1"/>
  <c r="H76" i="36" s="1"/>
  <c r="AQ75" i="36"/>
  <c r="AN75" i="36"/>
  <c r="AO75" i="36" s="1" a="1"/>
  <c r="AO75" i="36" s="1"/>
  <c r="AJ75" i="36"/>
  <c r="AG75" i="36"/>
  <c r="AH75" i="36" s="1" a="1"/>
  <c r="AH75" i="36" s="1"/>
  <c r="AE75" i="36" a="1"/>
  <c r="AE75" i="36" s="1"/>
  <c r="K75" i="36"/>
  <c r="I75" i="36" a="1"/>
  <c r="I75" i="36" s="1"/>
  <c r="H75" i="36" a="1"/>
  <c r="H75" i="36" s="1"/>
  <c r="AQ74" i="36"/>
  <c r="AN74" i="36"/>
  <c r="AO74" i="36" s="1" a="1"/>
  <c r="AO74" i="36" s="1"/>
  <c r="AJ74" i="36"/>
  <c r="AG74" i="36"/>
  <c r="AH74" i="36" s="1" a="1"/>
  <c r="AH74" i="36" s="1"/>
  <c r="AE74" i="36" a="1"/>
  <c r="AE74" i="36" s="1"/>
  <c r="K74" i="36"/>
  <c r="I74" i="36" a="1"/>
  <c r="I74" i="36" s="1"/>
  <c r="H74" i="36" a="1"/>
  <c r="H74" i="36" s="1"/>
  <c r="AQ73" i="36"/>
  <c r="AN73" i="36"/>
  <c r="AO73" i="36" s="1" a="1"/>
  <c r="AO73" i="36" s="1"/>
  <c r="AJ73" i="36"/>
  <c r="AG73" i="36"/>
  <c r="AH73" i="36" s="1" a="1"/>
  <c r="AH73" i="36" s="1"/>
  <c r="AE73" i="36" a="1"/>
  <c r="AE73" i="36" s="1"/>
  <c r="K73" i="36"/>
  <c r="I73" i="36" a="1"/>
  <c r="I73" i="36" s="1"/>
  <c r="H73" i="36" a="1"/>
  <c r="H73" i="36" s="1"/>
  <c r="AQ72" i="36"/>
  <c r="AN72" i="36"/>
  <c r="AO72" i="36" s="1" a="1"/>
  <c r="AO72" i="36" s="1"/>
  <c r="AJ72" i="36"/>
  <c r="AG72" i="36"/>
  <c r="AH72" i="36" s="1" a="1"/>
  <c r="AH72" i="36" s="1"/>
  <c r="AE72" i="36" a="1"/>
  <c r="AE72" i="36" s="1"/>
  <c r="K72" i="36"/>
  <c r="I72" i="36" a="1"/>
  <c r="I72" i="36" s="1"/>
  <c r="H72" i="36" a="1"/>
  <c r="H72" i="36" s="1"/>
  <c r="AQ71" i="36"/>
  <c r="AN71" i="36"/>
  <c r="AO71" i="36" s="1" a="1"/>
  <c r="AO71" i="36" s="1"/>
  <c r="AJ71" i="36"/>
  <c r="AG71" i="36"/>
  <c r="AH71" i="36" s="1" a="1"/>
  <c r="AH71" i="36" s="1"/>
  <c r="AE71" i="36" a="1"/>
  <c r="AE71" i="36" s="1"/>
  <c r="K71" i="36"/>
  <c r="I71" i="36" a="1"/>
  <c r="I71" i="36" s="1"/>
  <c r="H71" i="36" a="1"/>
  <c r="H71" i="36" s="1"/>
  <c r="AQ70" i="36"/>
  <c r="AN70" i="36"/>
  <c r="AO70" i="36" s="1" a="1"/>
  <c r="AO70" i="36" s="1"/>
  <c r="AJ70" i="36"/>
  <c r="AG70" i="36"/>
  <c r="AH70" i="36" s="1" a="1"/>
  <c r="AH70" i="36" s="1"/>
  <c r="AE70" i="36" a="1"/>
  <c r="AE70" i="36" s="1"/>
  <c r="K70" i="36"/>
  <c r="I70" i="36" a="1"/>
  <c r="I70" i="36" s="1"/>
  <c r="H70" i="36" a="1"/>
  <c r="H70" i="36" s="1"/>
  <c r="AQ69" i="36"/>
  <c r="AN69" i="36"/>
  <c r="AO69" i="36" s="1" a="1"/>
  <c r="AO69" i="36" s="1"/>
  <c r="AJ69" i="36"/>
  <c r="AG69" i="36"/>
  <c r="AH69" i="36" s="1" a="1"/>
  <c r="AH69" i="36" s="1"/>
  <c r="AE69" i="36" a="1"/>
  <c r="AE69" i="36" s="1"/>
  <c r="K69" i="36"/>
  <c r="I69" i="36" a="1"/>
  <c r="I69" i="36" s="1"/>
  <c r="H69" i="36" a="1"/>
  <c r="H69" i="36" s="1"/>
  <c r="AQ68" i="36"/>
  <c r="AN68" i="36"/>
  <c r="AO68" i="36" s="1" a="1"/>
  <c r="AO68" i="36" s="1"/>
  <c r="AJ68" i="36"/>
  <c r="AG68" i="36"/>
  <c r="AH68" i="36" s="1" a="1"/>
  <c r="AH68" i="36" s="1"/>
  <c r="AE68" i="36" a="1"/>
  <c r="AE68" i="36" s="1"/>
  <c r="K68" i="36"/>
  <c r="I68" i="36" a="1"/>
  <c r="I68" i="36" s="1"/>
  <c r="H68" i="36" a="1"/>
  <c r="H68" i="36" s="1"/>
  <c r="AQ67" i="36"/>
  <c r="AN67" i="36"/>
  <c r="AO67" i="36" s="1" a="1"/>
  <c r="AO67" i="36" s="1"/>
  <c r="AJ67" i="36"/>
  <c r="AG67" i="36"/>
  <c r="AH67" i="36" s="1" a="1"/>
  <c r="AH67" i="36" s="1"/>
  <c r="AE67" i="36" a="1"/>
  <c r="AE67" i="36" s="1"/>
  <c r="K67" i="36"/>
  <c r="I67" i="36" a="1"/>
  <c r="I67" i="36" s="1"/>
  <c r="H67" i="36" a="1"/>
  <c r="H67" i="36" s="1"/>
  <c r="AQ66" i="36"/>
  <c r="AN66" i="36"/>
  <c r="AO66" i="36" s="1" a="1"/>
  <c r="AO66" i="36" s="1"/>
  <c r="AJ66" i="36"/>
  <c r="AG66" i="36"/>
  <c r="AH66" i="36" s="1" a="1"/>
  <c r="AH66" i="36" s="1"/>
  <c r="AE66" i="36" a="1"/>
  <c r="AE66" i="36" s="1"/>
  <c r="K66" i="36"/>
  <c r="I66" i="36" a="1"/>
  <c r="I66" i="36" s="1"/>
  <c r="H66" i="36" a="1"/>
  <c r="H66" i="36" s="1"/>
  <c r="AQ65" i="36"/>
  <c r="AN65" i="36"/>
  <c r="AO65" i="36" s="1" a="1"/>
  <c r="AO65" i="36" s="1"/>
  <c r="AJ65" i="36"/>
  <c r="AG65" i="36"/>
  <c r="AH65" i="36" s="1" a="1"/>
  <c r="AH65" i="36" s="1"/>
  <c r="AE65" i="36" a="1"/>
  <c r="AE65" i="36" s="1"/>
  <c r="K65" i="36"/>
  <c r="I65" i="36" a="1"/>
  <c r="I65" i="36" s="1"/>
  <c r="H65" i="36" a="1"/>
  <c r="H65" i="36" s="1"/>
  <c r="AQ64" i="36"/>
  <c r="AN64" i="36"/>
  <c r="AO64" i="36" s="1" a="1"/>
  <c r="AO64" i="36" s="1"/>
  <c r="AJ64" i="36"/>
  <c r="AG64" i="36"/>
  <c r="AH64" i="36" s="1" a="1"/>
  <c r="AH64" i="36" s="1"/>
  <c r="AE64" i="36" a="1"/>
  <c r="AE64" i="36" s="1"/>
  <c r="K64" i="36"/>
  <c r="I64" i="36" a="1"/>
  <c r="I64" i="36" s="1"/>
  <c r="L64" i="36" s="1"/>
  <c r="M64" i="36" s="1" a="1"/>
  <c r="M64" i="36" s="1"/>
  <c r="H64" i="36" a="1"/>
  <c r="H64" i="36" s="1"/>
  <c r="AQ63" i="36"/>
  <c r="AN63" i="36"/>
  <c r="AO63" i="36" s="1" a="1"/>
  <c r="AO63" i="36" s="1"/>
  <c r="AJ63" i="36"/>
  <c r="AG63" i="36"/>
  <c r="AH63" i="36" s="1" a="1"/>
  <c r="AH63" i="36" s="1"/>
  <c r="AE63" i="36" a="1"/>
  <c r="AE63" i="36" s="1"/>
  <c r="K63" i="36"/>
  <c r="I63" i="36" a="1"/>
  <c r="I63" i="36" s="1"/>
  <c r="H63" i="36" a="1"/>
  <c r="H63" i="36" s="1"/>
  <c r="AQ62" i="36"/>
  <c r="AN62" i="36"/>
  <c r="AO62" i="36" s="1" a="1"/>
  <c r="AO62" i="36" s="1"/>
  <c r="AJ62" i="36"/>
  <c r="AG62" i="36"/>
  <c r="AH62" i="36" s="1" a="1"/>
  <c r="AH62" i="36" s="1"/>
  <c r="AE62" i="36" a="1"/>
  <c r="AE62" i="36" s="1"/>
  <c r="K62" i="36"/>
  <c r="I62" i="36" a="1"/>
  <c r="I62" i="36" s="1"/>
  <c r="H62" i="36" a="1"/>
  <c r="H62" i="36" s="1"/>
  <c r="AQ61" i="36"/>
  <c r="AN61" i="36"/>
  <c r="AO61" i="36" s="1" a="1"/>
  <c r="AO61" i="36" s="1"/>
  <c r="AJ61" i="36"/>
  <c r="AG61" i="36"/>
  <c r="AH61" i="36" s="1" a="1"/>
  <c r="AH61" i="36" s="1"/>
  <c r="AE61" i="36" a="1"/>
  <c r="AE61" i="36" s="1"/>
  <c r="K61" i="36"/>
  <c r="I61" i="36" a="1"/>
  <c r="I61" i="36" s="1"/>
  <c r="H61" i="36" a="1"/>
  <c r="H61" i="36" s="1"/>
  <c r="AQ60" i="36"/>
  <c r="AN60" i="36"/>
  <c r="AO60" i="36" s="1" a="1"/>
  <c r="AO60" i="36" s="1"/>
  <c r="AJ60" i="36"/>
  <c r="AG60" i="36"/>
  <c r="AH60" i="36" s="1" a="1"/>
  <c r="AH60" i="36" s="1"/>
  <c r="AE60" i="36" a="1"/>
  <c r="AE60" i="36" s="1"/>
  <c r="K60" i="36"/>
  <c r="I60" i="36" a="1"/>
  <c r="I60" i="36" s="1"/>
  <c r="H60" i="36" a="1"/>
  <c r="H60" i="36" s="1"/>
  <c r="AQ59" i="36"/>
  <c r="AN59" i="36"/>
  <c r="AO59" i="36" s="1" a="1"/>
  <c r="AO59" i="36" s="1"/>
  <c r="AJ59" i="36"/>
  <c r="AG59" i="36"/>
  <c r="AH59" i="36" s="1" a="1"/>
  <c r="AH59" i="36" s="1"/>
  <c r="AE59" i="36" a="1"/>
  <c r="AE59" i="36" s="1"/>
  <c r="K59" i="36"/>
  <c r="I59" i="36" a="1"/>
  <c r="I59" i="36" s="1"/>
  <c r="H59" i="36" a="1"/>
  <c r="H59" i="36" s="1"/>
  <c r="AQ58" i="36"/>
  <c r="AN58" i="36"/>
  <c r="AO58" i="36" s="1" a="1"/>
  <c r="AO58" i="36" s="1"/>
  <c r="AJ58" i="36"/>
  <c r="AG58" i="36"/>
  <c r="AH58" i="36" s="1" a="1"/>
  <c r="AH58" i="36" s="1"/>
  <c r="AE58" i="36" a="1"/>
  <c r="AE58" i="36" s="1"/>
  <c r="K58" i="36"/>
  <c r="I58" i="36" a="1"/>
  <c r="I58" i="36" s="1"/>
  <c r="H58" i="36" a="1"/>
  <c r="H58" i="36" s="1"/>
  <c r="AQ57" i="36"/>
  <c r="AN57" i="36"/>
  <c r="AO57" i="36" s="1" a="1"/>
  <c r="AO57" i="36" s="1"/>
  <c r="AJ57" i="36"/>
  <c r="AG57" i="36"/>
  <c r="AH57" i="36" s="1" a="1"/>
  <c r="AH57" i="36" s="1"/>
  <c r="AE57" i="36" a="1"/>
  <c r="AE57" i="36" s="1"/>
  <c r="K57" i="36"/>
  <c r="I57" i="36" a="1"/>
  <c r="I57" i="36" s="1"/>
  <c r="H57" i="36" a="1"/>
  <c r="H57" i="36" s="1"/>
  <c r="AQ56" i="36"/>
  <c r="AN56" i="36"/>
  <c r="AO56" i="36" s="1" a="1"/>
  <c r="AO56" i="36" s="1"/>
  <c r="AJ56" i="36"/>
  <c r="AG56" i="36"/>
  <c r="AH56" i="36" s="1" a="1"/>
  <c r="AH56" i="36" s="1"/>
  <c r="AE56" i="36" a="1"/>
  <c r="AE56" i="36" s="1"/>
  <c r="K56" i="36"/>
  <c r="I56" i="36" a="1"/>
  <c r="I56" i="36" s="1"/>
  <c r="H56" i="36" a="1"/>
  <c r="H56" i="36" s="1"/>
  <c r="AQ55" i="36"/>
  <c r="AN55" i="36"/>
  <c r="AO55" i="36" s="1" a="1"/>
  <c r="AO55" i="36" s="1"/>
  <c r="AJ55" i="36"/>
  <c r="AG55" i="36"/>
  <c r="AH55" i="36" s="1" a="1"/>
  <c r="AH55" i="36" s="1"/>
  <c r="AE55" i="36" a="1"/>
  <c r="AE55" i="36" s="1"/>
  <c r="K55" i="36"/>
  <c r="I55" i="36" a="1"/>
  <c r="I55" i="36" s="1"/>
  <c r="H55" i="36" a="1"/>
  <c r="H55" i="36" s="1"/>
  <c r="AQ54" i="36"/>
  <c r="AN54" i="36"/>
  <c r="AO54" i="36" s="1" a="1"/>
  <c r="AO54" i="36" s="1"/>
  <c r="AJ54" i="36"/>
  <c r="AG54" i="36"/>
  <c r="AH54" i="36" s="1" a="1"/>
  <c r="AH54" i="36" s="1"/>
  <c r="AE54" i="36" a="1"/>
  <c r="AE54" i="36" s="1"/>
  <c r="K54" i="36"/>
  <c r="I54" i="36" a="1"/>
  <c r="I54" i="36" s="1"/>
  <c r="H54" i="36" a="1"/>
  <c r="H54" i="36" s="1"/>
  <c r="AQ53" i="36"/>
  <c r="AN53" i="36"/>
  <c r="AO53" i="36" s="1" a="1"/>
  <c r="AO53" i="36" s="1"/>
  <c r="AJ53" i="36"/>
  <c r="AG53" i="36"/>
  <c r="AH53" i="36" s="1" a="1"/>
  <c r="AH53" i="36" s="1"/>
  <c r="AE53" i="36" a="1"/>
  <c r="AE53" i="36" s="1"/>
  <c r="K53" i="36"/>
  <c r="I53" i="36" a="1"/>
  <c r="I53" i="36" s="1"/>
  <c r="H53" i="36" a="1"/>
  <c r="H53" i="36" s="1"/>
  <c r="AQ52" i="36"/>
  <c r="AN52" i="36"/>
  <c r="AO52" i="36" s="1" a="1"/>
  <c r="AO52" i="36" s="1"/>
  <c r="AJ52" i="36"/>
  <c r="AG52" i="36"/>
  <c r="AH52" i="36" s="1" a="1"/>
  <c r="AH52" i="36" s="1"/>
  <c r="AE52" i="36" a="1"/>
  <c r="AE52" i="36" s="1"/>
  <c r="K52" i="36"/>
  <c r="I52" i="36" a="1"/>
  <c r="I52" i="36" s="1"/>
  <c r="H52" i="36" a="1"/>
  <c r="H52" i="36" s="1"/>
  <c r="AQ51" i="36"/>
  <c r="AN51" i="36"/>
  <c r="AO51" i="36" s="1" a="1"/>
  <c r="AO51" i="36" s="1"/>
  <c r="AJ51" i="36"/>
  <c r="AG51" i="36"/>
  <c r="AH51" i="36" s="1" a="1"/>
  <c r="AH51" i="36" s="1"/>
  <c r="AE51" i="36" a="1"/>
  <c r="AE51" i="36" s="1"/>
  <c r="K51" i="36"/>
  <c r="I51" i="36" a="1"/>
  <c r="I51" i="36" s="1"/>
  <c r="H51" i="36" a="1"/>
  <c r="H51" i="36" s="1"/>
  <c r="AQ50" i="36"/>
  <c r="AN50" i="36"/>
  <c r="AO50" i="36" s="1" a="1"/>
  <c r="AO50" i="36" s="1"/>
  <c r="AJ50" i="36"/>
  <c r="AG50" i="36"/>
  <c r="AH50" i="36" s="1" a="1"/>
  <c r="AH50" i="36" s="1"/>
  <c r="AE50" i="36" a="1"/>
  <c r="AE50" i="36" s="1"/>
  <c r="K50" i="36"/>
  <c r="I50" i="36" a="1"/>
  <c r="I50" i="36" s="1"/>
  <c r="H50" i="36" a="1"/>
  <c r="H50" i="36" s="1"/>
  <c r="AQ49" i="36"/>
  <c r="AN49" i="36"/>
  <c r="AO49" i="36" s="1" a="1"/>
  <c r="AO49" i="36" s="1"/>
  <c r="AJ49" i="36"/>
  <c r="AG49" i="36"/>
  <c r="AH49" i="36" s="1" a="1"/>
  <c r="AH49" i="36" s="1"/>
  <c r="AE49" i="36" a="1"/>
  <c r="AE49" i="36" s="1"/>
  <c r="K49" i="36"/>
  <c r="I49" i="36" a="1"/>
  <c r="I49" i="36" s="1"/>
  <c r="H49" i="36" a="1"/>
  <c r="H49" i="36" s="1"/>
  <c r="AQ48" i="36"/>
  <c r="AN48" i="36"/>
  <c r="AO48" i="36" s="1" a="1"/>
  <c r="AO48" i="36" s="1"/>
  <c r="AJ48" i="36"/>
  <c r="AG48" i="36"/>
  <c r="AH48" i="36" s="1" a="1"/>
  <c r="AH48" i="36" s="1"/>
  <c r="AE48" i="36" a="1"/>
  <c r="AE48" i="36" s="1"/>
  <c r="K48" i="36"/>
  <c r="I48" i="36" a="1"/>
  <c r="I48" i="36" s="1"/>
  <c r="H48" i="36" a="1"/>
  <c r="H48" i="36" s="1"/>
  <c r="AQ47" i="36"/>
  <c r="AN47" i="36"/>
  <c r="AO47" i="36" s="1" a="1"/>
  <c r="AO47" i="36" s="1"/>
  <c r="AJ47" i="36"/>
  <c r="AG47" i="36"/>
  <c r="AH47" i="36" s="1" a="1"/>
  <c r="AH47" i="36" s="1"/>
  <c r="AE47" i="36" a="1"/>
  <c r="AE47" i="36" s="1"/>
  <c r="K47" i="36"/>
  <c r="I47" i="36" a="1"/>
  <c r="I47" i="36" s="1"/>
  <c r="H47" i="36" a="1"/>
  <c r="H47" i="36" s="1"/>
  <c r="AQ46" i="36"/>
  <c r="AN46" i="36"/>
  <c r="AO46" i="36" s="1" a="1"/>
  <c r="AO46" i="36" s="1"/>
  <c r="AJ46" i="36"/>
  <c r="AG46" i="36"/>
  <c r="AH46" i="36" s="1" a="1"/>
  <c r="AH46" i="36" s="1"/>
  <c r="AE46" i="36" a="1"/>
  <c r="AE46" i="36" s="1"/>
  <c r="K46" i="36"/>
  <c r="I46" i="36" a="1"/>
  <c r="I46" i="36" s="1"/>
  <c r="H46" i="36" a="1"/>
  <c r="H46" i="36" s="1"/>
  <c r="AQ45" i="36"/>
  <c r="AN45" i="36"/>
  <c r="AO45" i="36" s="1" a="1"/>
  <c r="AO45" i="36" s="1"/>
  <c r="AJ45" i="36"/>
  <c r="AG45" i="36"/>
  <c r="AH45" i="36" s="1" a="1"/>
  <c r="AH45" i="36" s="1"/>
  <c r="AE45" i="36" a="1"/>
  <c r="AE45" i="36" s="1"/>
  <c r="K45" i="36"/>
  <c r="I45" i="36" a="1"/>
  <c r="I45" i="36" s="1"/>
  <c r="H45" i="36" a="1"/>
  <c r="H45" i="36" s="1"/>
  <c r="AQ44" i="36"/>
  <c r="AN44" i="36"/>
  <c r="AO44" i="36" s="1" a="1"/>
  <c r="AO44" i="36" s="1"/>
  <c r="AJ44" i="36"/>
  <c r="AG44" i="36"/>
  <c r="AH44" i="36" s="1" a="1"/>
  <c r="AH44" i="36" s="1"/>
  <c r="AE44" i="36" a="1"/>
  <c r="AE44" i="36" s="1"/>
  <c r="K44" i="36"/>
  <c r="I44" i="36" a="1"/>
  <c r="I44" i="36" s="1"/>
  <c r="H44" i="36" a="1"/>
  <c r="H44" i="36" s="1"/>
  <c r="AQ43" i="36"/>
  <c r="AN43" i="36"/>
  <c r="AO43" i="36" s="1" a="1"/>
  <c r="AO43" i="36" s="1"/>
  <c r="AJ43" i="36"/>
  <c r="AG43" i="36"/>
  <c r="AH43" i="36" s="1" a="1"/>
  <c r="AH43" i="36" s="1"/>
  <c r="AE43" i="36" a="1"/>
  <c r="AE43" i="36" s="1"/>
  <c r="K43" i="36"/>
  <c r="I43" i="36" a="1"/>
  <c r="I43" i="36" s="1"/>
  <c r="H43" i="36" a="1"/>
  <c r="H43" i="36" s="1"/>
  <c r="AQ42" i="36"/>
  <c r="AN42" i="36"/>
  <c r="AO42" i="36" s="1" a="1"/>
  <c r="AO42" i="36" s="1"/>
  <c r="AJ42" i="36"/>
  <c r="AG42" i="36"/>
  <c r="AH42" i="36" s="1" a="1"/>
  <c r="AH42" i="36" s="1"/>
  <c r="AE42" i="36" a="1"/>
  <c r="AE42" i="36" s="1"/>
  <c r="K42" i="36"/>
  <c r="I42" i="36" a="1"/>
  <c r="I42" i="36" s="1"/>
  <c r="H42" i="36" a="1"/>
  <c r="H42" i="36" s="1"/>
  <c r="AQ41" i="36"/>
  <c r="AN41" i="36"/>
  <c r="AO41" i="36" s="1" a="1"/>
  <c r="AO41" i="36" s="1"/>
  <c r="AJ41" i="36"/>
  <c r="AG41" i="36"/>
  <c r="AH41" i="36" s="1" a="1"/>
  <c r="AH41" i="36" s="1"/>
  <c r="AE41" i="36" a="1"/>
  <c r="AE41" i="36" s="1"/>
  <c r="K41" i="36"/>
  <c r="I41" i="36" a="1"/>
  <c r="I41" i="36" s="1"/>
  <c r="H41" i="36" a="1"/>
  <c r="H41" i="36" s="1"/>
  <c r="AQ40" i="36"/>
  <c r="AN40" i="36"/>
  <c r="AO40" i="36" s="1" a="1"/>
  <c r="AO40" i="36" s="1"/>
  <c r="AJ40" i="36"/>
  <c r="AG40" i="36"/>
  <c r="AH40" i="36" s="1" a="1"/>
  <c r="AH40" i="36" s="1"/>
  <c r="AE40" i="36" a="1"/>
  <c r="AE40" i="36" s="1"/>
  <c r="K40" i="36"/>
  <c r="I40" i="36" a="1"/>
  <c r="I40" i="36" s="1"/>
  <c r="H40" i="36" a="1"/>
  <c r="H40" i="36" s="1"/>
  <c r="AQ39" i="36"/>
  <c r="AN39" i="36"/>
  <c r="AO39" i="36" s="1" a="1"/>
  <c r="AO39" i="36" s="1"/>
  <c r="AJ39" i="36"/>
  <c r="AG39" i="36"/>
  <c r="AH39" i="36" s="1" a="1"/>
  <c r="AH39" i="36" s="1"/>
  <c r="AE39" i="36" a="1"/>
  <c r="AE39" i="36" s="1"/>
  <c r="K39" i="36"/>
  <c r="I39" i="36" a="1"/>
  <c r="I39" i="36" s="1"/>
  <c r="H39" i="36" a="1"/>
  <c r="H39" i="36" s="1"/>
  <c r="AQ38" i="36"/>
  <c r="AN38" i="36"/>
  <c r="AO38" i="36" s="1" a="1"/>
  <c r="AO38" i="36" s="1"/>
  <c r="AJ38" i="36"/>
  <c r="AG38" i="36"/>
  <c r="AH38" i="36" s="1" a="1"/>
  <c r="AH38" i="36" s="1"/>
  <c r="AE38" i="36" a="1"/>
  <c r="AE38" i="36" s="1"/>
  <c r="K38" i="36"/>
  <c r="I38" i="36" a="1"/>
  <c r="I38" i="36" s="1"/>
  <c r="H38" i="36" a="1"/>
  <c r="H38" i="36" s="1"/>
  <c r="AQ37" i="36"/>
  <c r="AN37" i="36"/>
  <c r="AO37" i="36" s="1" a="1"/>
  <c r="AO37" i="36" s="1"/>
  <c r="AJ37" i="36"/>
  <c r="AG37" i="36"/>
  <c r="AH37" i="36" s="1" a="1"/>
  <c r="AH37" i="36" s="1"/>
  <c r="AE37" i="36" a="1"/>
  <c r="AE37" i="36" s="1"/>
  <c r="K37" i="36"/>
  <c r="I37" i="36" a="1"/>
  <c r="I37" i="36" s="1"/>
  <c r="H37" i="36" a="1"/>
  <c r="H37" i="36" s="1"/>
  <c r="AQ36" i="36"/>
  <c r="AN36" i="36"/>
  <c r="AO36" i="36" s="1" a="1"/>
  <c r="AO36" i="36" s="1"/>
  <c r="AJ36" i="36"/>
  <c r="AG36" i="36"/>
  <c r="AH36" i="36" s="1" a="1"/>
  <c r="AH36" i="36" s="1"/>
  <c r="AE36" i="36" a="1"/>
  <c r="AE36" i="36" s="1"/>
  <c r="K36" i="36"/>
  <c r="I36" i="36" a="1"/>
  <c r="I36" i="36" s="1"/>
  <c r="H36" i="36" a="1"/>
  <c r="H36" i="36" s="1"/>
  <c r="AQ35" i="36"/>
  <c r="AN35" i="36"/>
  <c r="AO35" i="36" s="1" a="1"/>
  <c r="AO35" i="36" s="1"/>
  <c r="AJ35" i="36"/>
  <c r="AG35" i="36"/>
  <c r="AH35" i="36" s="1" a="1"/>
  <c r="AH35" i="36" s="1"/>
  <c r="AE35" i="36" a="1"/>
  <c r="AE35" i="36" s="1"/>
  <c r="K35" i="36"/>
  <c r="I35" i="36" a="1"/>
  <c r="I35" i="36" s="1"/>
  <c r="H35" i="36" a="1"/>
  <c r="H35" i="36" s="1"/>
  <c r="AQ34" i="36"/>
  <c r="AN34" i="36"/>
  <c r="AO34" i="36" s="1" a="1"/>
  <c r="AO34" i="36" s="1"/>
  <c r="AJ34" i="36"/>
  <c r="AG34" i="36"/>
  <c r="AH34" i="36" s="1" a="1"/>
  <c r="AH34" i="36" s="1"/>
  <c r="AE34" i="36" a="1"/>
  <c r="AE34" i="36" s="1"/>
  <c r="K34" i="36"/>
  <c r="I34" i="36" a="1"/>
  <c r="I34" i="36" s="1"/>
  <c r="H34" i="36" a="1"/>
  <c r="H34" i="36" s="1"/>
  <c r="AQ33" i="36"/>
  <c r="AN33" i="36"/>
  <c r="AO33" i="36" s="1" a="1"/>
  <c r="AO33" i="36" s="1"/>
  <c r="AJ33" i="36"/>
  <c r="AG33" i="36"/>
  <c r="AH33" i="36" s="1" a="1"/>
  <c r="AH33" i="36" s="1"/>
  <c r="AE33" i="36" a="1"/>
  <c r="AE33" i="36" s="1"/>
  <c r="K33" i="36"/>
  <c r="I33" i="36" a="1"/>
  <c r="I33" i="36" s="1"/>
  <c r="H33" i="36" a="1"/>
  <c r="H33" i="36" s="1"/>
  <c r="AQ32" i="36"/>
  <c r="AN32" i="36"/>
  <c r="AO32" i="36" s="1" a="1"/>
  <c r="AO32" i="36" s="1"/>
  <c r="AJ32" i="36"/>
  <c r="AG32" i="36"/>
  <c r="AH32" i="36" s="1" a="1"/>
  <c r="AH32" i="36" s="1"/>
  <c r="AE32" i="36" a="1"/>
  <c r="AE32" i="36" s="1"/>
  <c r="K32" i="36"/>
  <c r="I32" i="36" a="1"/>
  <c r="I32" i="36" s="1"/>
  <c r="H32" i="36" a="1"/>
  <c r="H32" i="36" s="1"/>
  <c r="AQ31" i="36"/>
  <c r="AN31" i="36"/>
  <c r="AO31" i="36" s="1" a="1"/>
  <c r="AO31" i="36" s="1"/>
  <c r="AJ31" i="36"/>
  <c r="AG31" i="36"/>
  <c r="AH31" i="36" s="1" a="1"/>
  <c r="AH31" i="36" s="1"/>
  <c r="AE31" i="36" a="1"/>
  <c r="AE31" i="36" s="1"/>
  <c r="K31" i="36"/>
  <c r="I31" i="36" a="1"/>
  <c r="I31" i="36" s="1"/>
  <c r="H31" i="36" a="1"/>
  <c r="H31" i="36" s="1"/>
  <c r="AQ30" i="36"/>
  <c r="AN30" i="36"/>
  <c r="AO30" i="36" s="1" a="1"/>
  <c r="AO30" i="36" s="1"/>
  <c r="AJ30" i="36"/>
  <c r="AG30" i="36"/>
  <c r="AH30" i="36" s="1" a="1"/>
  <c r="AH30" i="36" s="1"/>
  <c r="AE30" i="36" a="1"/>
  <c r="AE30" i="36" s="1"/>
  <c r="K30" i="36"/>
  <c r="I30" i="36" a="1"/>
  <c r="I30" i="36" s="1"/>
  <c r="H30" i="36" a="1"/>
  <c r="H30" i="36" s="1"/>
  <c r="AQ29" i="36"/>
  <c r="AN29" i="36"/>
  <c r="AO29" i="36" s="1" a="1"/>
  <c r="AO29" i="36" s="1"/>
  <c r="AJ29" i="36"/>
  <c r="AG29" i="36"/>
  <c r="AH29" i="36" s="1" a="1"/>
  <c r="AH29" i="36" s="1"/>
  <c r="AE29" i="36" a="1"/>
  <c r="AE29" i="36" s="1"/>
  <c r="K29" i="36"/>
  <c r="I29" i="36" a="1"/>
  <c r="I29" i="36" s="1"/>
  <c r="H29" i="36" a="1"/>
  <c r="H29" i="36" s="1"/>
  <c r="AQ28" i="36"/>
  <c r="AN28" i="36"/>
  <c r="AO28" i="36" s="1" a="1"/>
  <c r="AO28" i="36" s="1"/>
  <c r="AJ28" i="36"/>
  <c r="AG28" i="36"/>
  <c r="AH28" i="36" s="1" a="1"/>
  <c r="AH28" i="36" s="1"/>
  <c r="AE28" i="36" a="1"/>
  <c r="AE28" i="36" s="1"/>
  <c r="K28" i="36"/>
  <c r="I28" i="36" a="1"/>
  <c r="I28" i="36" s="1"/>
  <c r="H28" i="36" a="1"/>
  <c r="H28" i="36" s="1"/>
  <c r="AQ27" i="36"/>
  <c r="AN27" i="36"/>
  <c r="AO27" i="36" s="1" a="1"/>
  <c r="AO27" i="36" s="1"/>
  <c r="AJ27" i="36"/>
  <c r="AG27" i="36"/>
  <c r="AH27" i="36" s="1" a="1"/>
  <c r="AH27" i="36" s="1"/>
  <c r="AE27" i="36" a="1"/>
  <c r="AE27" i="36" s="1"/>
  <c r="K27" i="36"/>
  <c r="I27" i="36" a="1"/>
  <c r="I27" i="36" s="1"/>
  <c r="H27" i="36" a="1"/>
  <c r="H27" i="36" s="1"/>
  <c r="AQ26" i="36"/>
  <c r="AN26" i="36"/>
  <c r="AO26" i="36" s="1" a="1"/>
  <c r="AO26" i="36" s="1"/>
  <c r="AJ26" i="36"/>
  <c r="AG26" i="36"/>
  <c r="AH26" i="36" s="1" a="1"/>
  <c r="AH26" i="36" s="1"/>
  <c r="AE26" i="36" a="1"/>
  <c r="AE26" i="36" s="1"/>
  <c r="K26" i="36"/>
  <c r="I26" i="36" a="1"/>
  <c r="I26" i="36" s="1"/>
  <c r="H26" i="36" a="1"/>
  <c r="H26" i="36" s="1"/>
  <c r="AQ25" i="36"/>
  <c r="AN25" i="36"/>
  <c r="AO25" i="36" s="1" a="1"/>
  <c r="AO25" i="36" s="1"/>
  <c r="AJ25" i="36"/>
  <c r="AG25" i="36"/>
  <c r="AH25" i="36" s="1" a="1"/>
  <c r="AH25" i="36" s="1"/>
  <c r="AE25" i="36" a="1"/>
  <c r="AE25" i="36" s="1"/>
  <c r="K25" i="36"/>
  <c r="I25" i="36" a="1"/>
  <c r="I25" i="36" s="1"/>
  <c r="H25" i="36" a="1"/>
  <c r="H25" i="36" s="1"/>
  <c r="AQ24" i="36"/>
  <c r="AN24" i="36"/>
  <c r="AO24" i="36" s="1" a="1"/>
  <c r="AO24" i="36" s="1"/>
  <c r="AJ24" i="36"/>
  <c r="AG24" i="36"/>
  <c r="AH24" i="36" s="1" a="1"/>
  <c r="AH24" i="36" s="1"/>
  <c r="AE24" i="36" a="1"/>
  <c r="AE24" i="36" s="1"/>
  <c r="K24" i="36"/>
  <c r="I24" i="36" a="1"/>
  <c r="I24" i="36" s="1"/>
  <c r="H24" i="36" a="1"/>
  <c r="H24" i="36" s="1"/>
  <c r="AQ23" i="36"/>
  <c r="AN23" i="36"/>
  <c r="AO23" i="36" s="1" a="1"/>
  <c r="AO23" i="36" s="1"/>
  <c r="AJ23" i="36"/>
  <c r="AG23" i="36"/>
  <c r="AH23" i="36" s="1" a="1"/>
  <c r="AH23" i="36" s="1"/>
  <c r="AE23" i="36" a="1"/>
  <c r="AE23" i="36" s="1"/>
  <c r="K23" i="36"/>
  <c r="I23" i="36" a="1"/>
  <c r="I23" i="36" s="1"/>
  <c r="H23" i="36" a="1"/>
  <c r="H23" i="36" s="1"/>
  <c r="AQ22" i="36"/>
  <c r="AN22" i="36"/>
  <c r="AO22" i="36" s="1" a="1"/>
  <c r="AO22" i="36" s="1"/>
  <c r="AJ22" i="36"/>
  <c r="AG22" i="36"/>
  <c r="AH22" i="36" s="1" a="1"/>
  <c r="AH22" i="36" s="1"/>
  <c r="AE22" i="36" a="1"/>
  <c r="AE22" i="36" s="1"/>
  <c r="K22" i="36"/>
  <c r="I22" i="36" a="1"/>
  <c r="I22" i="36" s="1"/>
  <c r="H22" i="36" a="1"/>
  <c r="H22" i="36" s="1"/>
  <c r="AQ21" i="36"/>
  <c r="AN21" i="36"/>
  <c r="AO21" i="36" s="1" a="1"/>
  <c r="AO21" i="36" s="1"/>
  <c r="AJ21" i="36"/>
  <c r="AG21" i="36"/>
  <c r="AH21" i="36" s="1" a="1"/>
  <c r="AH21" i="36" s="1"/>
  <c r="AE21" i="36" a="1"/>
  <c r="AE21" i="36" s="1"/>
  <c r="K21" i="36"/>
  <c r="I21" i="36" a="1"/>
  <c r="I21" i="36" s="1"/>
  <c r="H21" i="36" a="1"/>
  <c r="H21" i="36" s="1"/>
  <c r="AQ20" i="36"/>
  <c r="AN20" i="36"/>
  <c r="AO20" i="36" s="1" a="1"/>
  <c r="AO20" i="36" s="1"/>
  <c r="AJ20" i="36"/>
  <c r="AG20" i="36"/>
  <c r="AH20" i="36" s="1" a="1"/>
  <c r="AH20" i="36" s="1"/>
  <c r="AE20" i="36" a="1"/>
  <c r="AE20" i="36" s="1"/>
  <c r="K20" i="36"/>
  <c r="I20" i="36" a="1"/>
  <c r="I20" i="36" s="1"/>
  <c r="H20" i="36" a="1"/>
  <c r="H20" i="36" s="1"/>
  <c r="AQ19" i="36"/>
  <c r="AN19" i="36"/>
  <c r="AO19" i="36" s="1" a="1"/>
  <c r="AO19" i="36" s="1"/>
  <c r="AJ19" i="36"/>
  <c r="AG19" i="36"/>
  <c r="AH19" i="36" s="1" a="1"/>
  <c r="AH19" i="36" s="1"/>
  <c r="AE19" i="36" a="1"/>
  <c r="AE19" i="36" s="1"/>
  <c r="K19" i="36"/>
  <c r="I19" i="36" a="1"/>
  <c r="I19" i="36" s="1"/>
  <c r="H19" i="36" a="1"/>
  <c r="H19" i="36" s="1"/>
  <c r="AQ18" i="36"/>
  <c r="AN18" i="36"/>
  <c r="AO18" i="36" s="1" a="1"/>
  <c r="AO18" i="36" s="1"/>
  <c r="AJ18" i="36"/>
  <c r="AG18" i="36"/>
  <c r="AH18" i="36" s="1" a="1"/>
  <c r="AH18" i="36" s="1"/>
  <c r="AE18" i="36" a="1"/>
  <c r="AE18" i="36" s="1"/>
  <c r="K18" i="36"/>
  <c r="I18" i="36" a="1"/>
  <c r="I18" i="36" s="1"/>
  <c r="H18" i="36" a="1"/>
  <c r="H18" i="36" s="1"/>
  <c r="AQ17" i="36"/>
  <c r="AN17" i="36"/>
  <c r="AO17" i="36" s="1" a="1"/>
  <c r="AO17" i="36" s="1"/>
  <c r="AJ17" i="36"/>
  <c r="AG17" i="36"/>
  <c r="AH17" i="36" s="1" a="1"/>
  <c r="AH17" i="36" s="1"/>
  <c r="AE17" i="36" a="1"/>
  <c r="AE17" i="36" s="1"/>
  <c r="K17" i="36"/>
  <c r="I17" i="36" a="1"/>
  <c r="I17" i="36" s="1"/>
  <c r="H17" i="36" a="1"/>
  <c r="H17" i="36" s="1"/>
  <c r="AQ16" i="36"/>
  <c r="AN16" i="36"/>
  <c r="AO16" i="36" s="1" a="1"/>
  <c r="AO16" i="36" s="1"/>
  <c r="AJ16" i="36"/>
  <c r="AG16" i="36"/>
  <c r="AH16" i="36" s="1" a="1"/>
  <c r="AH16" i="36" s="1"/>
  <c r="AE16" i="36" a="1"/>
  <c r="AE16" i="36" s="1"/>
  <c r="K16" i="36"/>
  <c r="I16" i="36" a="1"/>
  <c r="I16" i="36" s="1"/>
  <c r="H16" i="36" a="1"/>
  <c r="H16" i="36" s="1"/>
  <c r="AQ15" i="36"/>
  <c r="AN15" i="36"/>
  <c r="AO15" i="36" s="1" a="1"/>
  <c r="AO15" i="36" s="1"/>
  <c r="AJ15" i="36"/>
  <c r="AG15" i="36"/>
  <c r="AH15" i="36" s="1" a="1"/>
  <c r="AH15" i="36" s="1"/>
  <c r="AE15" i="36" a="1"/>
  <c r="AE15" i="36" s="1"/>
  <c r="K15" i="36"/>
  <c r="I15" i="36" a="1"/>
  <c r="I15" i="36" s="1"/>
  <c r="H15" i="36" a="1"/>
  <c r="H15" i="36" s="1"/>
  <c r="AQ14" i="36"/>
  <c r="AN14" i="36"/>
  <c r="AO14" i="36" s="1" a="1"/>
  <c r="AO14" i="36" s="1"/>
  <c r="AJ14" i="36"/>
  <c r="AG14" i="36"/>
  <c r="AH14" i="36" s="1" a="1"/>
  <c r="AH14" i="36" s="1"/>
  <c r="AE14" i="36" a="1"/>
  <c r="AE14" i="36" s="1"/>
  <c r="K14" i="36"/>
  <c r="I14" i="36" a="1"/>
  <c r="I14" i="36" s="1"/>
  <c r="H14" i="36" a="1"/>
  <c r="H14" i="36" s="1"/>
  <c r="AQ13" i="36"/>
  <c r="AN13" i="36"/>
  <c r="AO13" i="36" s="1" a="1"/>
  <c r="AO13" i="36" s="1"/>
  <c r="AJ13" i="36"/>
  <c r="AG13" i="36"/>
  <c r="AH13" i="36" s="1" a="1"/>
  <c r="AH13" i="36" s="1"/>
  <c r="AE13" i="36" a="1"/>
  <c r="AE13" i="36" s="1"/>
  <c r="K13" i="36"/>
  <c r="I13" i="36" a="1"/>
  <c r="I13" i="36" s="1"/>
  <c r="H13" i="36" a="1"/>
  <c r="H13" i="36" s="1"/>
  <c r="AQ12" i="36"/>
  <c r="AN12" i="36"/>
  <c r="AO12" i="36" s="1" a="1"/>
  <c r="AO12" i="36" s="1"/>
  <c r="AJ12" i="36"/>
  <c r="AG12" i="36"/>
  <c r="AH12" i="36" s="1" a="1"/>
  <c r="AH12" i="36" s="1"/>
  <c r="AE12" i="36" a="1"/>
  <c r="AE12" i="36" s="1"/>
  <c r="K12" i="36"/>
  <c r="I12" i="36" a="1"/>
  <c r="I12" i="36" s="1"/>
  <c r="H12" i="36" a="1"/>
  <c r="H12" i="36" s="1"/>
  <c r="AQ11" i="36"/>
  <c r="AN11" i="36"/>
  <c r="AO11" i="36" s="1" a="1"/>
  <c r="AO11" i="36" s="1"/>
  <c r="AJ11" i="36"/>
  <c r="AG11" i="36"/>
  <c r="AH11" i="36" s="1" a="1"/>
  <c r="AH11" i="36" s="1"/>
  <c r="AE11" i="36" a="1"/>
  <c r="AE11" i="36" s="1"/>
  <c r="K11" i="36"/>
  <c r="I11" i="36" a="1"/>
  <c r="I11" i="36" s="1"/>
  <c r="H11" i="36" a="1"/>
  <c r="H11" i="36" s="1"/>
  <c r="AQ10" i="36"/>
  <c r="AN10" i="36"/>
  <c r="AO10" i="36" s="1" a="1"/>
  <c r="AO10" i="36" s="1"/>
  <c r="AJ10" i="36"/>
  <c r="AG10" i="36"/>
  <c r="AH10" i="36" s="1" a="1"/>
  <c r="AH10" i="36" s="1"/>
  <c r="AE10" i="36" a="1"/>
  <c r="AE10" i="36" s="1"/>
  <c r="K10" i="36"/>
  <c r="I10" i="36" a="1"/>
  <c r="I10" i="36" s="1"/>
  <c r="H10" i="36" a="1"/>
  <c r="H10" i="36" s="1"/>
  <c r="AQ9" i="36"/>
  <c r="AN9" i="36"/>
  <c r="AO9" i="36" s="1" a="1"/>
  <c r="AO9" i="36" s="1"/>
  <c r="AJ9" i="36"/>
  <c r="AG9" i="36"/>
  <c r="AH9" i="36" s="1" a="1"/>
  <c r="AH9" i="36" s="1"/>
  <c r="AE9" i="36" a="1"/>
  <c r="AE9" i="36" s="1"/>
  <c r="K9" i="36"/>
  <c r="I9" i="36" a="1"/>
  <c r="I9" i="36" s="1"/>
  <c r="H9" i="36" a="1"/>
  <c r="H9" i="36" s="1"/>
  <c r="AQ8" i="36"/>
  <c r="AN8" i="36"/>
  <c r="AO8" i="36" s="1" a="1"/>
  <c r="AO8" i="36" s="1"/>
  <c r="AJ8" i="36"/>
  <c r="AG8" i="36"/>
  <c r="AH8" i="36" s="1" a="1"/>
  <c r="AH8" i="36" s="1"/>
  <c r="AE8" i="36" a="1"/>
  <c r="AE8" i="36" s="1"/>
  <c r="K8" i="36"/>
  <c r="I8" i="36" a="1"/>
  <c r="I8" i="36" s="1"/>
  <c r="H8" i="36" a="1"/>
  <c r="H8" i="36" s="1"/>
  <c r="AQ7" i="36"/>
  <c r="AN7" i="36"/>
  <c r="AO7" i="36" s="1" a="1"/>
  <c r="AO7" i="36" s="1"/>
  <c r="AJ7" i="36"/>
  <c r="AG7" i="36"/>
  <c r="AH7" i="36" s="1" a="1"/>
  <c r="AH7" i="36" s="1"/>
  <c r="AE7" i="36" a="1"/>
  <c r="AE7" i="36" s="1"/>
  <c r="K7" i="36"/>
  <c r="I7" i="36" a="1"/>
  <c r="I7" i="36" s="1"/>
  <c r="H7" i="36" a="1"/>
  <c r="H7" i="36" s="1"/>
  <c r="AQ6" i="36"/>
  <c r="AN6" i="36"/>
  <c r="AO6" i="36" s="1" a="1"/>
  <c r="AO6" i="36" s="1"/>
  <c r="AJ6" i="36"/>
  <c r="AG6" i="36"/>
  <c r="AH6" i="36" s="1" a="1"/>
  <c r="AH6" i="36" s="1"/>
  <c r="AE6" i="36" a="1"/>
  <c r="AE6" i="36" s="1"/>
  <c r="K6" i="36"/>
  <c r="I6" i="36" a="1"/>
  <c r="I6" i="36" s="1"/>
  <c r="H6" i="36" a="1"/>
  <c r="H6" i="36" s="1"/>
  <c r="AQ393" i="35"/>
  <c r="AN393" i="35"/>
  <c r="AO393" i="35" s="1" a="1"/>
  <c r="AO393" i="35" s="1"/>
  <c r="AJ393" i="35"/>
  <c r="AG393" i="35"/>
  <c r="AH393" i="35" s="1" a="1"/>
  <c r="AH393" i="35" s="1"/>
  <c r="AE393" i="35" a="1"/>
  <c r="AE393" i="35" s="1"/>
  <c r="K393" i="35"/>
  <c r="I393" i="35" a="1"/>
  <c r="I393" i="35" s="1"/>
  <c r="H393" i="35" a="1"/>
  <c r="H393" i="35" s="1"/>
  <c r="AQ392" i="35"/>
  <c r="AN392" i="35"/>
  <c r="AO392" i="35" s="1" a="1"/>
  <c r="AO392" i="35" s="1"/>
  <c r="AJ392" i="35"/>
  <c r="AG392" i="35"/>
  <c r="AH392" i="35" s="1" a="1"/>
  <c r="AH392" i="35" s="1"/>
  <c r="AE392" i="35" a="1"/>
  <c r="AE392" i="35" s="1"/>
  <c r="K392" i="35"/>
  <c r="I392" i="35" a="1"/>
  <c r="I392" i="35" s="1"/>
  <c r="H392" i="35" a="1"/>
  <c r="H392" i="35" s="1"/>
  <c r="AQ391" i="35"/>
  <c r="AN391" i="35"/>
  <c r="AO391" i="35" s="1" a="1"/>
  <c r="AO391" i="35" s="1"/>
  <c r="AJ391" i="35"/>
  <c r="AG391" i="35"/>
  <c r="AH391" i="35" s="1" a="1"/>
  <c r="AH391" i="35" s="1"/>
  <c r="AE391" i="35" a="1"/>
  <c r="AE391" i="35" s="1"/>
  <c r="K391" i="35"/>
  <c r="I391" i="35" a="1"/>
  <c r="I391" i="35" s="1"/>
  <c r="H391" i="35" a="1"/>
  <c r="H391" i="35" s="1"/>
  <c r="AQ390" i="35"/>
  <c r="AN390" i="35"/>
  <c r="AO390" i="35" s="1" a="1"/>
  <c r="AO390" i="35" s="1"/>
  <c r="AJ390" i="35"/>
  <c r="AG390" i="35"/>
  <c r="AH390" i="35" s="1" a="1"/>
  <c r="AH390" i="35" s="1"/>
  <c r="AE390" i="35" a="1"/>
  <c r="AE390" i="35" s="1"/>
  <c r="K390" i="35"/>
  <c r="I390" i="35" a="1"/>
  <c r="I390" i="35" s="1"/>
  <c r="H390" i="35" a="1"/>
  <c r="H390" i="35" s="1"/>
  <c r="AQ389" i="35"/>
  <c r="AN389" i="35"/>
  <c r="AO389" i="35" s="1" a="1"/>
  <c r="AO389" i="35" s="1"/>
  <c r="AJ389" i="35"/>
  <c r="AG389" i="35"/>
  <c r="AH389" i="35" s="1" a="1"/>
  <c r="AH389" i="35" s="1"/>
  <c r="AE389" i="35" a="1"/>
  <c r="AE389" i="35" s="1"/>
  <c r="K389" i="35"/>
  <c r="J389" i="35"/>
  <c r="I389" i="35" a="1"/>
  <c r="I389" i="35" s="1"/>
  <c r="H389" i="35" a="1"/>
  <c r="H389" i="35" s="1"/>
  <c r="AQ388" i="35"/>
  <c r="AN388" i="35"/>
  <c r="AO388" i="35" s="1" a="1"/>
  <c r="AO388" i="35" s="1"/>
  <c r="AJ388" i="35"/>
  <c r="AG388" i="35"/>
  <c r="AH388" i="35" s="1" a="1"/>
  <c r="AH388" i="35" s="1"/>
  <c r="AE388" i="35" a="1"/>
  <c r="AE388" i="35" s="1"/>
  <c r="K388" i="35"/>
  <c r="I388" i="35" a="1"/>
  <c r="I388" i="35" s="1"/>
  <c r="H388" i="35" a="1"/>
  <c r="H388" i="35" s="1"/>
  <c r="AQ387" i="35"/>
  <c r="AN387" i="35"/>
  <c r="AO387" i="35" s="1" a="1"/>
  <c r="AO387" i="35" s="1"/>
  <c r="AJ387" i="35"/>
  <c r="AG387" i="35"/>
  <c r="AH387" i="35" s="1" a="1"/>
  <c r="AH387" i="35" s="1"/>
  <c r="AE387" i="35" a="1"/>
  <c r="AE387" i="35" s="1"/>
  <c r="K387" i="35"/>
  <c r="I387" i="35" a="1"/>
  <c r="I387" i="35" s="1"/>
  <c r="H387" i="35" a="1"/>
  <c r="H387" i="35" s="1"/>
  <c r="AQ386" i="35"/>
  <c r="AN386" i="35"/>
  <c r="AO386" i="35" s="1" a="1"/>
  <c r="AO386" i="35" s="1"/>
  <c r="AJ386" i="35"/>
  <c r="AG386" i="35"/>
  <c r="AH386" i="35" s="1" a="1"/>
  <c r="AH386" i="35" s="1"/>
  <c r="AE386" i="35" a="1"/>
  <c r="AE386" i="35" s="1"/>
  <c r="K386" i="35"/>
  <c r="I386" i="35" a="1"/>
  <c r="I386" i="35" s="1"/>
  <c r="H386" i="35" a="1"/>
  <c r="H386" i="35" s="1"/>
  <c r="AQ385" i="35"/>
  <c r="AN385" i="35"/>
  <c r="AO385" i="35" s="1" a="1"/>
  <c r="AO385" i="35" s="1"/>
  <c r="AJ385" i="35"/>
  <c r="AG385" i="35"/>
  <c r="AH385" i="35" s="1" a="1"/>
  <c r="AH385" i="35" s="1"/>
  <c r="AE385" i="35" a="1"/>
  <c r="AE385" i="35" s="1"/>
  <c r="K385" i="35"/>
  <c r="I385" i="35" a="1"/>
  <c r="I385" i="35" s="1"/>
  <c r="H385" i="35" a="1"/>
  <c r="H385" i="35" s="1"/>
  <c r="AQ384" i="35"/>
  <c r="AN384" i="35"/>
  <c r="AO384" i="35" s="1" a="1"/>
  <c r="AO384" i="35" s="1"/>
  <c r="AJ384" i="35"/>
  <c r="AG384" i="35"/>
  <c r="AH384" i="35" s="1" a="1"/>
  <c r="AH384" i="35" s="1"/>
  <c r="AE384" i="35" a="1"/>
  <c r="AE384" i="35" s="1"/>
  <c r="K384" i="35"/>
  <c r="I384" i="35" a="1"/>
  <c r="I384" i="35" s="1"/>
  <c r="H384" i="35" a="1"/>
  <c r="H384" i="35" s="1"/>
  <c r="AQ383" i="35"/>
  <c r="AN383" i="35"/>
  <c r="AO383" i="35" s="1" a="1"/>
  <c r="AO383" i="35" s="1"/>
  <c r="AJ383" i="35"/>
  <c r="AG383" i="35"/>
  <c r="AH383" i="35" s="1" a="1"/>
  <c r="AH383" i="35" s="1"/>
  <c r="AE383" i="35" a="1"/>
  <c r="AE383" i="35" s="1"/>
  <c r="K383" i="35"/>
  <c r="I383" i="35" a="1"/>
  <c r="I383" i="35" s="1"/>
  <c r="H383" i="35" a="1"/>
  <c r="H383" i="35" s="1"/>
  <c r="AQ382" i="35"/>
  <c r="AN382" i="35"/>
  <c r="AO382" i="35" s="1" a="1"/>
  <c r="AO382" i="35" s="1"/>
  <c r="AJ382" i="35"/>
  <c r="AG382" i="35"/>
  <c r="AH382" i="35" s="1" a="1"/>
  <c r="AH382" i="35" s="1"/>
  <c r="AE382" i="35" a="1"/>
  <c r="AE382" i="35" s="1"/>
  <c r="K382" i="35"/>
  <c r="I382" i="35" a="1"/>
  <c r="I382" i="35" s="1"/>
  <c r="H382" i="35" a="1"/>
  <c r="H382" i="35" s="1"/>
  <c r="AQ381" i="35"/>
  <c r="AN381" i="35"/>
  <c r="AO381" i="35" s="1" a="1"/>
  <c r="AO381" i="35" s="1"/>
  <c r="AJ381" i="35"/>
  <c r="AG381" i="35"/>
  <c r="AH381" i="35" s="1" a="1"/>
  <c r="AH381" i="35" s="1"/>
  <c r="AE381" i="35" a="1"/>
  <c r="AE381" i="35" s="1"/>
  <c r="K381" i="35"/>
  <c r="I381" i="35" a="1"/>
  <c r="I381" i="35" s="1"/>
  <c r="H381" i="35" a="1"/>
  <c r="H381" i="35" s="1"/>
  <c r="AQ380" i="35"/>
  <c r="AN380" i="35"/>
  <c r="AO380" i="35" s="1" a="1"/>
  <c r="AO380" i="35" s="1"/>
  <c r="AJ380" i="35"/>
  <c r="AG380" i="35"/>
  <c r="AH380" i="35" s="1" a="1"/>
  <c r="AH380" i="35" s="1"/>
  <c r="AE380" i="35" a="1"/>
  <c r="AE380" i="35" s="1"/>
  <c r="J380" i="35"/>
  <c r="K380" i="35"/>
  <c r="I380" i="35" a="1"/>
  <c r="I380" i="35" s="1"/>
  <c r="H380" i="35" a="1"/>
  <c r="H380" i="35" s="1"/>
  <c r="AQ379" i="35"/>
  <c r="AN379" i="35"/>
  <c r="AO379" i="35" s="1" a="1"/>
  <c r="AO379" i="35" s="1"/>
  <c r="AJ379" i="35"/>
  <c r="AG379" i="35"/>
  <c r="AH379" i="35" s="1" a="1"/>
  <c r="AH379" i="35" s="1"/>
  <c r="AE379" i="35" a="1"/>
  <c r="AE379" i="35" s="1"/>
  <c r="K379" i="35"/>
  <c r="I379" i="35" a="1"/>
  <c r="I379" i="35" s="1"/>
  <c r="H379" i="35" a="1"/>
  <c r="H379" i="35" s="1"/>
  <c r="AQ378" i="35"/>
  <c r="AN378" i="35"/>
  <c r="AO378" i="35" s="1" a="1"/>
  <c r="AO378" i="35" s="1"/>
  <c r="AJ378" i="35"/>
  <c r="AG378" i="35"/>
  <c r="AH378" i="35" s="1" a="1"/>
  <c r="AH378" i="35" s="1"/>
  <c r="AE378" i="35" a="1"/>
  <c r="AE378" i="35" s="1"/>
  <c r="K378" i="35"/>
  <c r="I378" i="35" a="1"/>
  <c r="I378" i="35" s="1"/>
  <c r="H378" i="35" a="1"/>
  <c r="H378" i="35" s="1"/>
  <c r="AQ377" i="35"/>
  <c r="AN377" i="35"/>
  <c r="AO377" i="35" s="1" a="1"/>
  <c r="AO377" i="35" s="1"/>
  <c r="AJ377" i="35"/>
  <c r="AG377" i="35"/>
  <c r="AH377" i="35" s="1" a="1"/>
  <c r="AH377" i="35" s="1"/>
  <c r="AE377" i="35" a="1"/>
  <c r="AE377" i="35" s="1"/>
  <c r="K377" i="35"/>
  <c r="I377" i="35" a="1"/>
  <c r="I377" i="35" s="1"/>
  <c r="H377" i="35" a="1"/>
  <c r="H377" i="35" s="1"/>
  <c r="AQ376" i="35"/>
  <c r="AN376" i="35"/>
  <c r="AO376" i="35" s="1" a="1"/>
  <c r="AO376" i="35" s="1"/>
  <c r="AJ376" i="35"/>
  <c r="AG376" i="35"/>
  <c r="AH376" i="35" s="1" a="1"/>
  <c r="AH376" i="35" s="1"/>
  <c r="AE376" i="35" a="1"/>
  <c r="AE376" i="35" s="1"/>
  <c r="K376" i="35"/>
  <c r="I376" i="35" a="1"/>
  <c r="I376" i="35" s="1"/>
  <c r="H376" i="35" a="1"/>
  <c r="H376" i="35" s="1"/>
  <c r="AQ375" i="35"/>
  <c r="AN375" i="35"/>
  <c r="AO375" i="35" s="1" a="1"/>
  <c r="AO375" i="35" s="1"/>
  <c r="AJ375" i="35"/>
  <c r="AG375" i="35"/>
  <c r="AH375" i="35" s="1" a="1"/>
  <c r="AH375" i="35" s="1"/>
  <c r="AE375" i="35" a="1"/>
  <c r="AE375" i="35" s="1"/>
  <c r="K375" i="35"/>
  <c r="I375" i="35" a="1"/>
  <c r="I375" i="35" s="1"/>
  <c r="H375" i="35" a="1"/>
  <c r="H375" i="35" s="1"/>
  <c r="AQ374" i="35"/>
  <c r="AN374" i="35"/>
  <c r="AO374" i="35" s="1" a="1"/>
  <c r="AO374" i="35" s="1"/>
  <c r="AJ374" i="35"/>
  <c r="AG374" i="35"/>
  <c r="AH374" i="35" s="1" a="1"/>
  <c r="AH374" i="35" s="1"/>
  <c r="AE374" i="35" a="1"/>
  <c r="AE374" i="35" s="1"/>
  <c r="K374" i="35"/>
  <c r="I374" i="35" a="1"/>
  <c r="I374" i="35" s="1"/>
  <c r="H374" i="35" a="1"/>
  <c r="H374" i="35" s="1"/>
  <c r="AQ373" i="35"/>
  <c r="AN373" i="35"/>
  <c r="AO373" i="35" s="1" a="1"/>
  <c r="AO373" i="35" s="1"/>
  <c r="AJ373" i="35"/>
  <c r="AG373" i="35"/>
  <c r="AH373" i="35" s="1" a="1"/>
  <c r="AH373" i="35" s="1"/>
  <c r="AE373" i="35" a="1"/>
  <c r="AE373" i="35" s="1"/>
  <c r="K373" i="35"/>
  <c r="I373" i="35" a="1"/>
  <c r="I373" i="35" s="1"/>
  <c r="H373" i="35" a="1"/>
  <c r="H373" i="35" s="1"/>
  <c r="AQ372" i="35"/>
  <c r="AN372" i="35"/>
  <c r="AO372" i="35" s="1" a="1"/>
  <c r="AO372" i="35" s="1"/>
  <c r="AJ372" i="35"/>
  <c r="AG372" i="35"/>
  <c r="AH372" i="35" s="1" a="1"/>
  <c r="AH372" i="35" s="1"/>
  <c r="AE372" i="35" a="1"/>
  <c r="AE372" i="35" s="1"/>
  <c r="K372" i="35"/>
  <c r="I372" i="35" a="1"/>
  <c r="I372" i="35" s="1"/>
  <c r="H372" i="35" a="1"/>
  <c r="H372" i="35" s="1"/>
  <c r="AQ371" i="35"/>
  <c r="AN371" i="35"/>
  <c r="AO371" i="35" s="1" a="1"/>
  <c r="AO371" i="35" s="1"/>
  <c r="AJ371" i="35"/>
  <c r="AG371" i="35"/>
  <c r="AH371" i="35" s="1" a="1"/>
  <c r="AH371" i="35" s="1"/>
  <c r="AE371" i="35" a="1"/>
  <c r="AE371" i="35" s="1"/>
  <c r="K371" i="35"/>
  <c r="I371" i="35" a="1"/>
  <c r="I371" i="35" s="1"/>
  <c r="H371" i="35" a="1"/>
  <c r="H371" i="35" s="1"/>
  <c r="AQ370" i="35"/>
  <c r="AN370" i="35"/>
  <c r="AO370" i="35" s="1" a="1"/>
  <c r="AO370" i="35" s="1"/>
  <c r="AJ370" i="35"/>
  <c r="AG370" i="35"/>
  <c r="AH370" i="35" s="1" a="1"/>
  <c r="AH370" i="35" s="1"/>
  <c r="AE370" i="35" a="1"/>
  <c r="AE370" i="35" s="1"/>
  <c r="K370" i="35"/>
  <c r="I370" i="35" a="1"/>
  <c r="I370" i="35" s="1"/>
  <c r="L370" i="35" s="1"/>
  <c r="M370" i="35" s="1" a="1"/>
  <c r="M370" i="35" s="1"/>
  <c r="H370" i="35" a="1"/>
  <c r="H370" i="35" s="1"/>
  <c r="AQ369" i="35"/>
  <c r="AN369" i="35"/>
  <c r="AO369" i="35" s="1" a="1"/>
  <c r="AO369" i="35" s="1"/>
  <c r="AJ369" i="35"/>
  <c r="AG369" i="35"/>
  <c r="AH369" i="35" s="1" a="1"/>
  <c r="AH369" i="35" s="1"/>
  <c r="AE369" i="35" a="1"/>
  <c r="AE369" i="35" s="1"/>
  <c r="K369" i="35"/>
  <c r="I369" i="35" a="1"/>
  <c r="I369" i="35" s="1"/>
  <c r="H369" i="35" a="1"/>
  <c r="H369" i="35" s="1"/>
  <c r="AQ368" i="35"/>
  <c r="AN368" i="35"/>
  <c r="AO368" i="35" s="1" a="1"/>
  <c r="AO368" i="35" s="1"/>
  <c r="AJ368" i="35"/>
  <c r="AG368" i="35"/>
  <c r="AH368" i="35" s="1" a="1"/>
  <c r="AH368" i="35" s="1"/>
  <c r="AE368" i="35" a="1"/>
  <c r="AE368" i="35" s="1"/>
  <c r="K368" i="35"/>
  <c r="J368" i="35"/>
  <c r="I368" i="35" a="1"/>
  <c r="I368" i="35" s="1"/>
  <c r="H368" i="35" a="1"/>
  <c r="H368" i="35" s="1"/>
  <c r="AQ367" i="35"/>
  <c r="AN367" i="35"/>
  <c r="AO367" i="35" s="1" a="1"/>
  <c r="AO367" i="35" s="1"/>
  <c r="AJ367" i="35"/>
  <c r="AG367" i="35"/>
  <c r="AH367" i="35" s="1" a="1"/>
  <c r="AH367" i="35" s="1"/>
  <c r="AE367" i="35" a="1"/>
  <c r="AE367" i="35" s="1"/>
  <c r="K367" i="35"/>
  <c r="I367" i="35" a="1"/>
  <c r="I367" i="35" s="1"/>
  <c r="H367" i="35" a="1"/>
  <c r="H367" i="35" s="1"/>
  <c r="AQ366" i="35"/>
  <c r="AN366" i="35"/>
  <c r="AO366" i="35" s="1" a="1"/>
  <c r="AO366" i="35" s="1"/>
  <c r="AJ366" i="35"/>
  <c r="AG366" i="35"/>
  <c r="AH366" i="35" s="1" a="1"/>
  <c r="AH366" i="35" s="1"/>
  <c r="AE366" i="35" a="1"/>
  <c r="AE366" i="35" s="1"/>
  <c r="K366" i="35"/>
  <c r="I366" i="35" a="1"/>
  <c r="I366" i="35" s="1"/>
  <c r="H366" i="35" a="1"/>
  <c r="H366" i="35" s="1"/>
  <c r="AQ365" i="35"/>
  <c r="AN365" i="35"/>
  <c r="AO365" i="35" s="1" a="1"/>
  <c r="AO365" i="35" s="1"/>
  <c r="AJ365" i="35"/>
  <c r="AG365" i="35"/>
  <c r="AH365" i="35" s="1" a="1"/>
  <c r="AH365" i="35" s="1"/>
  <c r="AE365" i="35" a="1"/>
  <c r="AE365" i="35" s="1"/>
  <c r="K365" i="35"/>
  <c r="I365" i="35" a="1"/>
  <c r="I365" i="35" s="1"/>
  <c r="H365" i="35" a="1"/>
  <c r="H365" i="35" s="1"/>
  <c r="AQ364" i="35"/>
  <c r="AN364" i="35"/>
  <c r="AO364" i="35" s="1" a="1"/>
  <c r="AO364" i="35" s="1"/>
  <c r="AJ364" i="35"/>
  <c r="AG364" i="35"/>
  <c r="AH364" i="35" s="1" a="1"/>
  <c r="AH364" i="35" s="1"/>
  <c r="AE364" i="35" a="1"/>
  <c r="AE364" i="35" s="1"/>
  <c r="J364" i="35"/>
  <c r="K364" i="35"/>
  <c r="I364" i="35" a="1"/>
  <c r="I364" i="35" s="1"/>
  <c r="H364" i="35" a="1"/>
  <c r="H364" i="35" s="1"/>
  <c r="AQ363" i="35"/>
  <c r="AN363" i="35"/>
  <c r="AO363" i="35" s="1" a="1"/>
  <c r="AO363" i="35" s="1"/>
  <c r="AJ363" i="35"/>
  <c r="AG363" i="35"/>
  <c r="AH363" i="35" s="1" a="1"/>
  <c r="AH363" i="35" s="1"/>
  <c r="AE363" i="35" a="1"/>
  <c r="AE363" i="35" s="1"/>
  <c r="K363" i="35"/>
  <c r="I363" i="35" a="1"/>
  <c r="I363" i="35" s="1"/>
  <c r="H363" i="35" a="1"/>
  <c r="H363" i="35" s="1"/>
  <c r="AQ362" i="35"/>
  <c r="AN362" i="35"/>
  <c r="AO362" i="35" s="1" a="1"/>
  <c r="AO362" i="35" s="1"/>
  <c r="AJ362" i="35"/>
  <c r="AG362" i="35"/>
  <c r="AH362" i="35" s="1" a="1"/>
  <c r="AH362" i="35" s="1"/>
  <c r="AE362" i="35" a="1"/>
  <c r="AE362" i="35" s="1"/>
  <c r="K362" i="35"/>
  <c r="I362" i="35" a="1"/>
  <c r="I362" i="35" s="1"/>
  <c r="H362" i="35" a="1"/>
  <c r="H362" i="35" s="1"/>
  <c r="AQ361" i="35"/>
  <c r="AN361" i="35"/>
  <c r="AO361" i="35" s="1" a="1"/>
  <c r="AO361" i="35" s="1"/>
  <c r="AJ361" i="35"/>
  <c r="AG361" i="35"/>
  <c r="AH361" i="35" s="1" a="1"/>
  <c r="AH361" i="35" s="1"/>
  <c r="AE361" i="35" a="1"/>
  <c r="AE361" i="35" s="1"/>
  <c r="J361" i="35"/>
  <c r="K361" i="35"/>
  <c r="I361" i="35" a="1"/>
  <c r="I361" i="35" s="1"/>
  <c r="H361" i="35" a="1"/>
  <c r="H361" i="35" s="1"/>
  <c r="AQ360" i="35"/>
  <c r="AN360" i="35"/>
  <c r="AO360" i="35" s="1" a="1"/>
  <c r="AO360" i="35" s="1"/>
  <c r="AJ360" i="35"/>
  <c r="AG360" i="35"/>
  <c r="AH360" i="35" s="1" a="1"/>
  <c r="AH360" i="35" s="1"/>
  <c r="AE360" i="35" a="1"/>
  <c r="AE360" i="35" s="1"/>
  <c r="K360" i="35"/>
  <c r="I360" i="35" a="1"/>
  <c r="I360" i="35" s="1"/>
  <c r="H360" i="35" a="1"/>
  <c r="H360" i="35" s="1"/>
  <c r="AQ359" i="35"/>
  <c r="AN359" i="35"/>
  <c r="AO359" i="35" s="1" a="1"/>
  <c r="AO359" i="35" s="1"/>
  <c r="AJ359" i="35"/>
  <c r="AG359" i="35"/>
  <c r="AH359" i="35" s="1" a="1"/>
  <c r="AH359" i="35" s="1"/>
  <c r="AE359" i="35" a="1"/>
  <c r="AE359" i="35" s="1"/>
  <c r="K359" i="35"/>
  <c r="I359" i="35" a="1"/>
  <c r="I359" i="35" s="1"/>
  <c r="H359" i="35" a="1"/>
  <c r="H359" i="35" s="1"/>
  <c r="AQ358" i="35"/>
  <c r="AN358" i="35"/>
  <c r="AO358" i="35" s="1" a="1"/>
  <c r="AO358" i="35" s="1"/>
  <c r="AJ358" i="35"/>
  <c r="AG358" i="35"/>
  <c r="AH358" i="35" s="1" a="1"/>
  <c r="AH358" i="35" s="1"/>
  <c r="AE358" i="35" a="1"/>
  <c r="AE358" i="35" s="1"/>
  <c r="K358" i="35"/>
  <c r="I358" i="35" a="1"/>
  <c r="I358" i="35" s="1"/>
  <c r="H358" i="35" a="1"/>
  <c r="H358" i="35" s="1"/>
  <c r="AQ357" i="35"/>
  <c r="AN357" i="35"/>
  <c r="AO357" i="35" s="1" a="1"/>
  <c r="AO357" i="35" s="1"/>
  <c r="AJ357" i="35"/>
  <c r="AG357" i="35"/>
  <c r="AH357" i="35" s="1" a="1"/>
  <c r="AH357" i="35" s="1"/>
  <c r="AE357" i="35" a="1"/>
  <c r="AE357" i="35" s="1"/>
  <c r="K357" i="35"/>
  <c r="I357" i="35" a="1"/>
  <c r="I357" i="35" s="1"/>
  <c r="H357" i="35" a="1"/>
  <c r="H357" i="35" s="1"/>
  <c r="AQ356" i="35"/>
  <c r="AN356" i="35"/>
  <c r="AO356" i="35" s="1" a="1"/>
  <c r="AO356" i="35" s="1"/>
  <c r="AJ356" i="35"/>
  <c r="AG356" i="35"/>
  <c r="AH356" i="35" s="1" a="1"/>
  <c r="AH356" i="35" s="1"/>
  <c r="AE356" i="35" a="1"/>
  <c r="AE356" i="35" s="1"/>
  <c r="K356" i="35"/>
  <c r="I356" i="35" a="1"/>
  <c r="I356" i="35" s="1"/>
  <c r="H356" i="35" a="1"/>
  <c r="H356" i="35" s="1"/>
  <c r="AQ355" i="35"/>
  <c r="AN355" i="35"/>
  <c r="AO355" i="35" s="1" a="1"/>
  <c r="AO355" i="35" s="1"/>
  <c r="AJ355" i="35"/>
  <c r="AG355" i="35"/>
  <c r="AH355" i="35" s="1" a="1"/>
  <c r="AH355" i="35" s="1"/>
  <c r="AE355" i="35" a="1"/>
  <c r="AE355" i="35" s="1"/>
  <c r="K355" i="35"/>
  <c r="I355" i="35" a="1"/>
  <c r="I355" i="35" s="1"/>
  <c r="H355" i="35" a="1"/>
  <c r="H355" i="35" s="1"/>
  <c r="AQ354" i="35"/>
  <c r="AN354" i="35"/>
  <c r="AO354" i="35" s="1" a="1"/>
  <c r="AO354" i="35" s="1"/>
  <c r="AJ354" i="35"/>
  <c r="AG354" i="35"/>
  <c r="AH354" i="35" s="1" a="1"/>
  <c r="AH354" i="35" s="1"/>
  <c r="AE354" i="35" a="1"/>
  <c r="AE354" i="35" s="1"/>
  <c r="K354" i="35"/>
  <c r="I354" i="35" a="1"/>
  <c r="I354" i="35" s="1"/>
  <c r="H354" i="35" a="1"/>
  <c r="H354" i="35" s="1"/>
  <c r="AQ353" i="35"/>
  <c r="AN353" i="35"/>
  <c r="AO353" i="35" s="1" a="1"/>
  <c r="AO353" i="35" s="1"/>
  <c r="AJ353" i="35"/>
  <c r="AG353" i="35"/>
  <c r="AH353" i="35" s="1" a="1"/>
  <c r="AH353" i="35" s="1"/>
  <c r="AE353" i="35" a="1"/>
  <c r="AE353" i="35" s="1"/>
  <c r="K353" i="35"/>
  <c r="I353" i="35" a="1"/>
  <c r="I353" i="35" s="1"/>
  <c r="H353" i="35" a="1"/>
  <c r="H353" i="35" s="1"/>
  <c r="AQ352" i="35"/>
  <c r="AN352" i="35"/>
  <c r="AO352" i="35" s="1" a="1"/>
  <c r="AO352" i="35" s="1"/>
  <c r="AJ352" i="35"/>
  <c r="AG352" i="35"/>
  <c r="AH352" i="35" s="1" a="1"/>
  <c r="AH352" i="35" s="1"/>
  <c r="AE352" i="35" a="1"/>
  <c r="AE352" i="35" s="1"/>
  <c r="J352" i="35"/>
  <c r="K352" i="35"/>
  <c r="I352" i="35" a="1"/>
  <c r="I352" i="35" s="1"/>
  <c r="H352" i="35" a="1"/>
  <c r="H352" i="35" s="1"/>
  <c r="AQ351" i="35"/>
  <c r="AN351" i="35"/>
  <c r="AO351" i="35" s="1" a="1"/>
  <c r="AO351" i="35" s="1"/>
  <c r="AJ351" i="35"/>
  <c r="AG351" i="35"/>
  <c r="AH351" i="35" s="1" a="1"/>
  <c r="AH351" i="35" s="1"/>
  <c r="AE351" i="35" a="1"/>
  <c r="AE351" i="35" s="1"/>
  <c r="K351" i="35"/>
  <c r="J351" i="35"/>
  <c r="I351" i="35" a="1"/>
  <c r="I351" i="35" s="1"/>
  <c r="H351" i="35" a="1"/>
  <c r="H351" i="35" s="1"/>
  <c r="AQ350" i="35"/>
  <c r="AN350" i="35"/>
  <c r="AO350" i="35" s="1" a="1"/>
  <c r="AO350" i="35" s="1"/>
  <c r="AJ350" i="35"/>
  <c r="AG350" i="35"/>
  <c r="AH350" i="35" s="1" a="1"/>
  <c r="AH350" i="35" s="1"/>
  <c r="AE350" i="35" a="1"/>
  <c r="AE350" i="35" s="1"/>
  <c r="K350" i="35"/>
  <c r="I350" i="35" a="1"/>
  <c r="I350" i="35" s="1"/>
  <c r="H350" i="35" a="1"/>
  <c r="H350" i="35" s="1"/>
  <c r="AQ349" i="35"/>
  <c r="AN349" i="35"/>
  <c r="AO349" i="35" s="1" a="1"/>
  <c r="AO349" i="35" s="1"/>
  <c r="AJ349" i="35"/>
  <c r="AG349" i="35"/>
  <c r="AH349" i="35" s="1" a="1"/>
  <c r="AH349" i="35" s="1"/>
  <c r="AE349" i="35" a="1"/>
  <c r="AE349" i="35" s="1"/>
  <c r="K349" i="35"/>
  <c r="J349" i="35"/>
  <c r="I349" i="35" a="1"/>
  <c r="I349" i="35" s="1"/>
  <c r="H349" i="35" a="1"/>
  <c r="H349" i="35" s="1"/>
  <c r="AQ348" i="35"/>
  <c r="AN348" i="35"/>
  <c r="AO348" i="35" s="1" a="1"/>
  <c r="AO348" i="35" s="1"/>
  <c r="AJ348" i="35"/>
  <c r="AG348" i="35"/>
  <c r="AH348" i="35" s="1" a="1"/>
  <c r="AH348" i="35" s="1"/>
  <c r="AE348" i="35" a="1"/>
  <c r="AE348" i="35" s="1"/>
  <c r="K348" i="35"/>
  <c r="I348" i="35" a="1"/>
  <c r="I348" i="35" s="1"/>
  <c r="H348" i="35" a="1"/>
  <c r="H348" i="35" s="1"/>
  <c r="AQ347" i="35"/>
  <c r="AN347" i="35"/>
  <c r="AO347" i="35" s="1" a="1"/>
  <c r="AO347" i="35" s="1"/>
  <c r="AJ347" i="35"/>
  <c r="AG347" i="35"/>
  <c r="AH347" i="35" s="1" a="1"/>
  <c r="AH347" i="35" s="1"/>
  <c r="AE347" i="35" a="1"/>
  <c r="AE347" i="35" s="1"/>
  <c r="K347" i="35"/>
  <c r="I347" i="35" a="1"/>
  <c r="I347" i="35" s="1"/>
  <c r="H347" i="35" a="1"/>
  <c r="H347" i="35" s="1"/>
  <c r="AQ346" i="35"/>
  <c r="AN346" i="35"/>
  <c r="AO346" i="35" s="1" a="1"/>
  <c r="AO346" i="35" s="1"/>
  <c r="AJ346" i="35"/>
  <c r="AG346" i="35"/>
  <c r="AH346" i="35" s="1" a="1"/>
  <c r="AH346" i="35" s="1"/>
  <c r="AE346" i="35" a="1"/>
  <c r="AE346" i="35" s="1"/>
  <c r="K346" i="35"/>
  <c r="I346" i="35" a="1"/>
  <c r="I346" i="35" s="1"/>
  <c r="H346" i="35" a="1"/>
  <c r="H346" i="35" s="1"/>
  <c r="AQ345" i="35"/>
  <c r="AN345" i="35"/>
  <c r="AO345" i="35" s="1" a="1"/>
  <c r="AO345" i="35" s="1"/>
  <c r="AJ345" i="35"/>
  <c r="AG345" i="35"/>
  <c r="AH345" i="35" s="1" a="1"/>
  <c r="AH345" i="35" s="1"/>
  <c r="AE345" i="35" a="1"/>
  <c r="AE345" i="35" s="1"/>
  <c r="K345" i="35"/>
  <c r="I345" i="35" a="1"/>
  <c r="I345" i="35" s="1"/>
  <c r="H345" i="35" a="1"/>
  <c r="H345" i="35" s="1"/>
  <c r="AQ344" i="35"/>
  <c r="AN344" i="35"/>
  <c r="AO344" i="35" s="1" a="1"/>
  <c r="AO344" i="35" s="1"/>
  <c r="AJ344" i="35"/>
  <c r="AG344" i="35"/>
  <c r="AH344" i="35" s="1" a="1"/>
  <c r="AH344" i="35" s="1"/>
  <c r="AE344" i="35" a="1"/>
  <c r="AE344" i="35" s="1"/>
  <c r="K344" i="35"/>
  <c r="I344" i="35" a="1"/>
  <c r="I344" i="35" s="1"/>
  <c r="H344" i="35" a="1"/>
  <c r="H344" i="35" s="1"/>
  <c r="AQ343" i="35"/>
  <c r="AN343" i="35"/>
  <c r="AO343" i="35" s="1" a="1"/>
  <c r="AO343" i="35" s="1"/>
  <c r="AJ343" i="35"/>
  <c r="AG343" i="35"/>
  <c r="AH343" i="35" s="1" a="1"/>
  <c r="AH343" i="35" s="1"/>
  <c r="AE343" i="35" a="1"/>
  <c r="AE343" i="35" s="1"/>
  <c r="J343" i="35"/>
  <c r="K343" i="35"/>
  <c r="I343" i="35" a="1"/>
  <c r="I343" i="35" s="1"/>
  <c r="H343" i="35" a="1"/>
  <c r="H343" i="35" s="1"/>
  <c r="AQ342" i="35"/>
  <c r="AN342" i="35"/>
  <c r="AO342" i="35" s="1" a="1"/>
  <c r="AO342" i="35" s="1"/>
  <c r="AJ342" i="35"/>
  <c r="AG342" i="35"/>
  <c r="AH342" i="35" s="1" a="1"/>
  <c r="AH342" i="35" s="1"/>
  <c r="AE342" i="35" a="1"/>
  <c r="AE342" i="35" s="1"/>
  <c r="K342" i="35"/>
  <c r="J342" i="35"/>
  <c r="I342" i="35" a="1"/>
  <c r="I342" i="35" s="1"/>
  <c r="H342" i="35" a="1"/>
  <c r="H342" i="35" s="1"/>
  <c r="AQ341" i="35"/>
  <c r="AN341" i="35"/>
  <c r="AO341" i="35" s="1" a="1"/>
  <c r="AO341" i="35" s="1"/>
  <c r="AJ341" i="35"/>
  <c r="AG341" i="35"/>
  <c r="AH341" i="35" s="1" a="1"/>
  <c r="AH341" i="35" s="1"/>
  <c r="AE341" i="35" a="1"/>
  <c r="AE341" i="35" s="1"/>
  <c r="K341" i="35"/>
  <c r="I341" i="35" a="1"/>
  <c r="I341" i="35" s="1"/>
  <c r="H341" i="35" a="1"/>
  <c r="H341" i="35" s="1"/>
  <c r="AQ340" i="35"/>
  <c r="AN340" i="35"/>
  <c r="AO340" i="35" s="1" a="1"/>
  <c r="AO340" i="35" s="1"/>
  <c r="AJ340" i="35"/>
  <c r="AG340" i="35"/>
  <c r="AH340" i="35" s="1" a="1"/>
  <c r="AH340" i="35" s="1"/>
  <c r="AE340" i="35" a="1"/>
  <c r="AE340" i="35" s="1"/>
  <c r="J340" i="35"/>
  <c r="K340" i="35"/>
  <c r="I340" i="35" a="1"/>
  <c r="I340" i="35" s="1"/>
  <c r="H340" i="35" a="1"/>
  <c r="H340" i="35" s="1"/>
  <c r="AQ339" i="35"/>
  <c r="AN339" i="35"/>
  <c r="AO339" i="35" s="1" a="1"/>
  <c r="AO339" i="35" s="1"/>
  <c r="AJ339" i="35"/>
  <c r="AG339" i="35"/>
  <c r="AH339" i="35" s="1" a="1"/>
  <c r="AH339" i="35" s="1"/>
  <c r="AE339" i="35" a="1"/>
  <c r="AE339" i="35" s="1"/>
  <c r="K339" i="35"/>
  <c r="I339" i="35" a="1"/>
  <c r="I339" i="35" s="1"/>
  <c r="H339" i="35" a="1"/>
  <c r="H339" i="35" s="1"/>
  <c r="AQ338" i="35"/>
  <c r="AN338" i="35"/>
  <c r="AO338" i="35" s="1" a="1"/>
  <c r="AO338" i="35" s="1"/>
  <c r="AJ338" i="35"/>
  <c r="AG338" i="35"/>
  <c r="AH338" i="35" s="1" a="1"/>
  <c r="AH338" i="35" s="1"/>
  <c r="AE338" i="35" a="1"/>
  <c r="AE338" i="35" s="1"/>
  <c r="K338" i="35"/>
  <c r="I338" i="35" a="1"/>
  <c r="I338" i="35" s="1"/>
  <c r="H338" i="35" a="1"/>
  <c r="H338" i="35" s="1"/>
  <c r="AQ337" i="35"/>
  <c r="AN337" i="35"/>
  <c r="AO337" i="35" s="1" a="1"/>
  <c r="AO337" i="35" s="1"/>
  <c r="AJ337" i="35"/>
  <c r="AG337" i="35"/>
  <c r="AH337" i="35" s="1" a="1"/>
  <c r="AH337" i="35" s="1"/>
  <c r="AE337" i="35" a="1"/>
  <c r="AE337" i="35" s="1"/>
  <c r="K337" i="35"/>
  <c r="I337" i="35" a="1"/>
  <c r="I337" i="35" s="1"/>
  <c r="H337" i="35" a="1"/>
  <c r="H337" i="35" s="1"/>
  <c r="AQ336" i="35"/>
  <c r="AN336" i="35"/>
  <c r="AO336" i="35" s="1" a="1"/>
  <c r="AO336" i="35" s="1"/>
  <c r="AJ336" i="35"/>
  <c r="AG336" i="35"/>
  <c r="AH336" i="35" s="1" a="1"/>
  <c r="AH336" i="35" s="1"/>
  <c r="AE336" i="35" a="1"/>
  <c r="AE336" i="35" s="1"/>
  <c r="K336" i="35"/>
  <c r="I336" i="35" a="1"/>
  <c r="I336" i="35" s="1"/>
  <c r="H336" i="35" a="1"/>
  <c r="H336" i="35" s="1"/>
  <c r="AQ335" i="35"/>
  <c r="AN335" i="35"/>
  <c r="AO335" i="35" s="1" a="1"/>
  <c r="AO335" i="35" s="1"/>
  <c r="AJ335" i="35"/>
  <c r="AG335" i="35"/>
  <c r="AH335" i="35" s="1" a="1"/>
  <c r="AH335" i="35" s="1"/>
  <c r="AE335" i="35" a="1"/>
  <c r="AE335" i="35" s="1"/>
  <c r="K335" i="35"/>
  <c r="I335" i="35" a="1"/>
  <c r="I335" i="35" s="1"/>
  <c r="H335" i="35" a="1"/>
  <c r="H335" i="35" s="1"/>
  <c r="AQ334" i="35"/>
  <c r="AN334" i="35"/>
  <c r="AO334" i="35" s="1" a="1"/>
  <c r="AO334" i="35" s="1"/>
  <c r="AJ334" i="35"/>
  <c r="AG334" i="35"/>
  <c r="AH334" i="35" s="1" a="1"/>
  <c r="AH334" i="35" s="1"/>
  <c r="AE334" i="35" a="1"/>
  <c r="AE334" i="35" s="1"/>
  <c r="K334" i="35"/>
  <c r="I334" i="35" a="1"/>
  <c r="I334" i="35" s="1"/>
  <c r="H334" i="35" a="1"/>
  <c r="H334" i="35" s="1"/>
  <c r="AQ333" i="35"/>
  <c r="AN333" i="35"/>
  <c r="AO333" i="35" s="1" a="1"/>
  <c r="AO333" i="35" s="1"/>
  <c r="AJ333" i="35"/>
  <c r="AG333" i="35"/>
  <c r="AH333" i="35" s="1" a="1"/>
  <c r="AH333" i="35" s="1"/>
  <c r="AE333" i="35" a="1"/>
  <c r="AE333" i="35" s="1"/>
  <c r="K333" i="35"/>
  <c r="I333" i="35" a="1"/>
  <c r="I333" i="35" s="1"/>
  <c r="H333" i="35" a="1"/>
  <c r="H333" i="35" s="1"/>
  <c r="AQ332" i="35"/>
  <c r="AN332" i="35"/>
  <c r="AO332" i="35" s="1" a="1"/>
  <c r="AO332" i="35" s="1"/>
  <c r="AJ332" i="35"/>
  <c r="AG332" i="35"/>
  <c r="AH332" i="35" s="1" a="1"/>
  <c r="AH332" i="35" s="1"/>
  <c r="AE332" i="35" a="1"/>
  <c r="AE332" i="35" s="1"/>
  <c r="K332" i="35"/>
  <c r="I332" i="35" a="1"/>
  <c r="I332" i="35" s="1"/>
  <c r="H332" i="35" a="1"/>
  <c r="H332" i="35" s="1"/>
  <c r="AQ331" i="35"/>
  <c r="AN331" i="35"/>
  <c r="AO331" i="35" s="1" a="1"/>
  <c r="AO331" i="35" s="1"/>
  <c r="AJ331" i="35"/>
  <c r="AG331" i="35"/>
  <c r="AH331" i="35" s="1" a="1"/>
  <c r="AH331" i="35" s="1"/>
  <c r="AE331" i="35" a="1"/>
  <c r="AE331" i="35" s="1"/>
  <c r="J331" i="35"/>
  <c r="K331" i="35"/>
  <c r="I331" i="35" a="1"/>
  <c r="I331" i="35" s="1"/>
  <c r="H331" i="35" a="1"/>
  <c r="H331" i="35" s="1"/>
  <c r="AQ330" i="35"/>
  <c r="AN330" i="35"/>
  <c r="AO330" i="35" s="1" a="1"/>
  <c r="AO330" i="35" s="1"/>
  <c r="AJ330" i="35"/>
  <c r="AG330" i="35"/>
  <c r="AH330" i="35" s="1" a="1"/>
  <c r="AH330" i="35" s="1"/>
  <c r="AE330" i="35" a="1"/>
  <c r="AE330" i="35" s="1"/>
  <c r="J330" i="35"/>
  <c r="K330" i="35"/>
  <c r="I330" i="35" a="1"/>
  <c r="I330" i="35" s="1"/>
  <c r="H330" i="35" a="1"/>
  <c r="H330" i="35" s="1"/>
  <c r="AQ329" i="35"/>
  <c r="AN329" i="35"/>
  <c r="AO329" i="35" s="1" a="1"/>
  <c r="AO329" i="35" s="1"/>
  <c r="AJ329" i="35"/>
  <c r="AG329" i="35"/>
  <c r="AH329" i="35" s="1" a="1"/>
  <c r="AH329" i="35" s="1"/>
  <c r="AE329" i="35" a="1"/>
  <c r="AE329" i="35" s="1"/>
  <c r="K329" i="35"/>
  <c r="I329" i="35" a="1"/>
  <c r="I329" i="35" s="1"/>
  <c r="H329" i="35" a="1"/>
  <c r="H329" i="35" s="1"/>
  <c r="AQ328" i="35"/>
  <c r="AN328" i="35"/>
  <c r="AO328" i="35" s="1" a="1"/>
  <c r="AO328" i="35" s="1"/>
  <c r="AJ328" i="35"/>
  <c r="AG328" i="35"/>
  <c r="AH328" i="35" s="1" a="1"/>
  <c r="AH328" i="35" s="1"/>
  <c r="AE328" i="35" a="1"/>
  <c r="AE328" i="35" s="1"/>
  <c r="K328" i="35"/>
  <c r="I328" i="35" a="1"/>
  <c r="I328" i="35" s="1"/>
  <c r="H328" i="35" a="1"/>
  <c r="H328" i="35" s="1"/>
  <c r="AQ327" i="35"/>
  <c r="AN327" i="35"/>
  <c r="AO327" i="35" s="1" a="1"/>
  <c r="AO327" i="35" s="1"/>
  <c r="AJ327" i="35"/>
  <c r="AG327" i="35"/>
  <c r="AH327" i="35" s="1" a="1"/>
  <c r="AH327" i="35" s="1"/>
  <c r="AE327" i="35" a="1"/>
  <c r="AE327" i="35" s="1"/>
  <c r="K327" i="35"/>
  <c r="I327" i="35" a="1"/>
  <c r="I327" i="35" s="1"/>
  <c r="H327" i="35" a="1"/>
  <c r="H327" i="35" s="1"/>
  <c r="AQ326" i="35"/>
  <c r="AN326" i="35"/>
  <c r="AO326" i="35" s="1" a="1"/>
  <c r="AO326" i="35" s="1"/>
  <c r="AJ326" i="35"/>
  <c r="AG326" i="35"/>
  <c r="AH326" i="35" s="1" a="1"/>
  <c r="AH326" i="35" s="1"/>
  <c r="AE326" i="35" a="1"/>
  <c r="AE326" i="35" s="1"/>
  <c r="J326" i="35"/>
  <c r="K326" i="35"/>
  <c r="I326" i="35" a="1"/>
  <c r="I326" i="35" s="1"/>
  <c r="H326" i="35" a="1"/>
  <c r="H326" i="35" s="1"/>
  <c r="AQ325" i="35"/>
  <c r="AN325" i="35"/>
  <c r="AO325" i="35" s="1" a="1"/>
  <c r="AO325" i="35" s="1"/>
  <c r="AJ325" i="35"/>
  <c r="AG325" i="35"/>
  <c r="AH325" i="35" s="1" a="1"/>
  <c r="AH325" i="35" s="1"/>
  <c r="AE325" i="35" a="1"/>
  <c r="AE325" i="35" s="1"/>
  <c r="K325" i="35"/>
  <c r="I325" i="35" a="1"/>
  <c r="I325" i="35" s="1"/>
  <c r="H325" i="35" a="1"/>
  <c r="H325" i="35" s="1"/>
  <c r="AQ324" i="35"/>
  <c r="AN324" i="35"/>
  <c r="AO324" i="35" s="1" a="1"/>
  <c r="AO324" i="35" s="1"/>
  <c r="AJ324" i="35"/>
  <c r="AG324" i="35"/>
  <c r="AH324" i="35" s="1" a="1"/>
  <c r="AH324" i="35" s="1"/>
  <c r="AE324" i="35" a="1"/>
  <c r="AE324" i="35" s="1"/>
  <c r="K324" i="35"/>
  <c r="I324" i="35" a="1"/>
  <c r="I324" i="35" s="1"/>
  <c r="H324" i="35" a="1"/>
  <c r="H324" i="35" s="1"/>
  <c r="AQ323" i="35"/>
  <c r="AN323" i="35"/>
  <c r="AO323" i="35" s="1" a="1"/>
  <c r="AO323" i="35" s="1"/>
  <c r="AJ323" i="35"/>
  <c r="AG323" i="35"/>
  <c r="AH323" i="35" s="1" a="1"/>
  <c r="AH323" i="35" s="1"/>
  <c r="AE323" i="35" a="1"/>
  <c r="AE323" i="35" s="1"/>
  <c r="K323" i="35"/>
  <c r="I323" i="35" a="1"/>
  <c r="I323" i="35" s="1"/>
  <c r="H323" i="35" a="1"/>
  <c r="H323" i="35" s="1"/>
  <c r="AQ322" i="35"/>
  <c r="AN322" i="35"/>
  <c r="AO322" i="35" s="1" a="1"/>
  <c r="AO322" i="35" s="1"/>
  <c r="AJ322" i="35"/>
  <c r="AG322" i="35"/>
  <c r="AH322" i="35" s="1" a="1"/>
  <c r="AH322" i="35" s="1"/>
  <c r="AE322" i="35" a="1"/>
  <c r="AE322" i="35" s="1"/>
  <c r="K322" i="35"/>
  <c r="I322" i="35" a="1"/>
  <c r="I322" i="35" s="1"/>
  <c r="H322" i="35" a="1"/>
  <c r="H322" i="35" s="1"/>
  <c r="AQ321" i="35"/>
  <c r="AN321" i="35"/>
  <c r="AO321" i="35" s="1" a="1"/>
  <c r="AO321" i="35" s="1"/>
  <c r="AJ321" i="35"/>
  <c r="AG321" i="35"/>
  <c r="AH321" i="35" s="1" a="1"/>
  <c r="AH321" i="35" s="1"/>
  <c r="AE321" i="35" a="1"/>
  <c r="AE321" i="35" s="1"/>
  <c r="K321" i="35"/>
  <c r="I321" i="35" a="1"/>
  <c r="I321" i="35" s="1"/>
  <c r="H321" i="35" a="1"/>
  <c r="H321" i="35" s="1"/>
  <c r="AQ320" i="35"/>
  <c r="AN320" i="35"/>
  <c r="AO320" i="35" s="1" a="1"/>
  <c r="AO320" i="35" s="1"/>
  <c r="AJ320" i="35"/>
  <c r="AG320" i="35"/>
  <c r="AH320" i="35" s="1" a="1"/>
  <c r="AH320" i="35" s="1"/>
  <c r="AE320" i="35" a="1"/>
  <c r="AE320" i="35" s="1"/>
  <c r="K320" i="35"/>
  <c r="I320" i="35" a="1"/>
  <c r="I320" i="35" s="1"/>
  <c r="H320" i="35" a="1"/>
  <c r="H320" i="35" s="1"/>
  <c r="AQ319" i="35"/>
  <c r="AN319" i="35"/>
  <c r="AO319" i="35" s="1" a="1"/>
  <c r="AO319" i="35" s="1"/>
  <c r="AJ319" i="35"/>
  <c r="AG319" i="35"/>
  <c r="AH319" i="35" s="1" a="1"/>
  <c r="AH319" i="35" s="1"/>
  <c r="AE319" i="35" a="1"/>
  <c r="AE319" i="35" s="1"/>
  <c r="K319" i="35"/>
  <c r="I319" i="35" a="1"/>
  <c r="I319" i="35" s="1"/>
  <c r="H319" i="35" a="1"/>
  <c r="H319" i="35" s="1"/>
  <c r="AQ318" i="35"/>
  <c r="AN318" i="35"/>
  <c r="AO318" i="35" s="1" a="1"/>
  <c r="AO318" i="35" s="1"/>
  <c r="AJ318" i="35"/>
  <c r="AG318" i="35"/>
  <c r="AH318" i="35" s="1" a="1"/>
  <c r="AH318" i="35" s="1"/>
  <c r="AE318" i="35" a="1"/>
  <c r="AE318" i="35" s="1"/>
  <c r="J318" i="35"/>
  <c r="K318" i="35"/>
  <c r="I318" i="35" a="1"/>
  <c r="I318" i="35" s="1"/>
  <c r="H318" i="35" a="1"/>
  <c r="H318" i="35" s="1"/>
  <c r="AQ317" i="35"/>
  <c r="AN317" i="35"/>
  <c r="AO317" i="35" s="1" a="1"/>
  <c r="AO317" i="35" s="1"/>
  <c r="AJ317" i="35"/>
  <c r="AG317" i="35"/>
  <c r="AH317" i="35" s="1" a="1"/>
  <c r="AH317" i="35" s="1"/>
  <c r="AE317" i="35" a="1"/>
  <c r="AE317" i="35" s="1"/>
  <c r="K317" i="35"/>
  <c r="I317" i="35" a="1"/>
  <c r="I317" i="35" s="1"/>
  <c r="H317" i="35" a="1"/>
  <c r="H317" i="35" s="1"/>
  <c r="AQ316" i="35"/>
  <c r="AN316" i="35"/>
  <c r="AO316" i="35" s="1" a="1"/>
  <c r="AO316" i="35" s="1"/>
  <c r="AJ316" i="35"/>
  <c r="AG316" i="35"/>
  <c r="AH316" i="35" s="1" a="1"/>
  <c r="AH316" i="35" s="1"/>
  <c r="AE316" i="35" a="1"/>
  <c r="AE316" i="35" s="1"/>
  <c r="K316" i="35"/>
  <c r="I316" i="35" a="1"/>
  <c r="I316" i="35" s="1"/>
  <c r="H316" i="35" a="1"/>
  <c r="H316" i="35" s="1"/>
  <c r="AQ315" i="35"/>
  <c r="AN315" i="35"/>
  <c r="AO315" i="35" s="1" a="1"/>
  <c r="AO315" i="35" s="1"/>
  <c r="AJ315" i="35"/>
  <c r="AG315" i="35"/>
  <c r="AH315" i="35" s="1" a="1"/>
  <c r="AH315" i="35" s="1"/>
  <c r="AE315" i="35" a="1"/>
  <c r="AE315" i="35" s="1"/>
  <c r="K315" i="35"/>
  <c r="I315" i="35" a="1"/>
  <c r="I315" i="35" s="1"/>
  <c r="H315" i="35" a="1"/>
  <c r="H315" i="35" s="1"/>
  <c r="AQ314" i="35"/>
  <c r="AN314" i="35"/>
  <c r="AO314" i="35" s="1" a="1"/>
  <c r="AO314" i="35" s="1"/>
  <c r="AJ314" i="35"/>
  <c r="AG314" i="35"/>
  <c r="AH314" i="35" s="1" a="1"/>
  <c r="AH314" i="35" s="1"/>
  <c r="AE314" i="35" a="1"/>
  <c r="AE314" i="35" s="1"/>
  <c r="K314" i="35"/>
  <c r="I314" i="35" a="1"/>
  <c r="I314" i="35" s="1"/>
  <c r="H314" i="35" a="1"/>
  <c r="H314" i="35" s="1"/>
  <c r="AQ313" i="35"/>
  <c r="AN313" i="35"/>
  <c r="AO313" i="35" s="1" a="1"/>
  <c r="AO313" i="35" s="1"/>
  <c r="AJ313" i="35"/>
  <c r="AG313" i="35"/>
  <c r="AH313" i="35" s="1" a="1"/>
  <c r="AH313" i="35" s="1"/>
  <c r="AE313" i="35" a="1"/>
  <c r="AE313" i="35" s="1"/>
  <c r="K313" i="35"/>
  <c r="I313" i="35" a="1"/>
  <c r="I313" i="35" s="1"/>
  <c r="H313" i="35" a="1"/>
  <c r="H313" i="35" s="1"/>
  <c r="AQ312" i="35"/>
  <c r="AN312" i="35"/>
  <c r="AO312" i="35" s="1" a="1"/>
  <c r="AO312" i="35" s="1"/>
  <c r="AJ312" i="35"/>
  <c r="AG312" i="35"/>
  <c r="AH312" i="35" s="1" a="1"/>
  <c r="AH312" i="35" s="1"/>
  <c r="AE312" i="35" a="1"/>
  <c r="AE312" i="35" s="1"/>
  <c r="K312" i="35"/>
  <c r="I312" i="35" a="1"/>
  <c r="I312" i="35" s="1"/>
  <c r="H312" i="35" a="1"/>
  <c r="H312" i="35" s="1"/>
  <c r="AQ311" i="35"/>
  <c r="AN311" i="35"/>
  <c r="AO311" i="35" s="1" a="1"/>
  <c r="AO311" i="35" s="1"/>
  <c r="AJ311" i="35"/>
  <c r="AG311" i="35"/>
  <c r="AH311" i="35" s="1" a="1"/>
  <c r="AH311" i="35" s="1"/>
  <c r="AE311" i="35" a="1"/>
  <c r="AE311" i="35" s="1"/>
  <c r="K311" i="35"/>
  <c r="I311" i="35" a="1"/>
  <c r="I311" i="35" s="1"/>
  <c r="H311" i="35" a="1"/>
  <c r="H311" i="35" s="1"/>
  <c r="AQ310" i="35"/>
  <c r="AN310" i="35"/>
  <c r="AO310" i="35" s="1" a="1"/>
  <c r="AO310" i="35" s="1"/>
  <c r="AJ310" i="35"/>
  <c r="AG310" i="35"/>
  <c r="AH310" i="35" s="1" a="1"/>
  <c r="AH310" i="35" s="1"/>
  <c r="AE310" i="35" a="1"/>
  <c r="AE310" i="35" s="1"/>
  <c r="K310" i="35"/>
  <c r="I310" i="35" a="1"/>
  <c r="I310" i="35" s="1"/>
  <c r="H310" i="35" a="1"/>
  <c r="H310" i="35" s="1"/>
  <c r="AQ309" i="35"/>
  <c r="AN309" i="35"/>
  <c r="AO309" i="35" s="1" a="1"/>
  <c r="AO309" i="35" s="1"/>
  <c r="AJ309" i="35"/>
  <c r="AG309" i="35"/>
  <c r="AH309" i="35" s="1" a="1"/>
  <c r="AH309" i="35" s="1"/>
  <c r="AE309" i="35" a="1"/>
  <c r="AE309" i="35" s="1"/>
  <c r="K309" i="35"/>
  <c r="I309" i="35" a="1"/>
  <c r="I309" i="35" s="1"/>
  <c r="H309" i="35" a="1"/>
  <c r="H309" i="35" s="1"/>
  <c r="AQ308" i="35"/>
  <c r="AN308" i="35"/>
  <c r="AO308" i="35" s="1" a="1"/>
  <c r="AO308" i="35" s="1"/>
  <c r="AJ308" i="35"/>
  <c r="AG308" i="35"/>
  <c r="AH308" i="35" s="1" a="1"/>
  <c r="AH308" i="35" s="1"/>
  <c r="AE308" i="35" a="1"/>
  <c r="AE308" i="35" s="1"/>
  <c r="K308" i="35"/>
  <c r="I308" i="35" a="1"/>
  <c r="I308" i="35" s="1"/>
  <c r="H308" i="35" a="1"/>
  <c r="H308" i="35" s="1"/>
  <c r="AQ307" i="35"/>
  <c r="AN307" i="35"/>
  <c r="AO307" i="35" s="1" a="1"/>
  <c r="AO307" i="35" s="1"/>
  <c r="AJ307" i="35"/>
  <c r="AG307" i="35"/>
  <c r="AH307" i="35" s="1" a="1"/>
  <c r="AH307" i="35" s="1"/>
  <c r="AE307" i="35" a="1"/>
  <c r="AE307" i="35" s="1"/>
  <c r="K307" i="35"/>
  <c r="I307" i="35" a="1"/>
  <c r="I307" i="35" s="1"/>
  <c r="H307" i="35" a="1"/>
  <c r="H307" i="35" s="1"/>
  <c r="AQ306" i="35"/>
  <c r="AN306" i="35"/>
  <c r="AO306" i="35" s="1" a="1"/>
  <c r="AO306" i="35" s="1"/>
  <c r="AJ306" i="35"/>
  <c r="AG306" i="35"/>
  <c r="AH306" i="35" s="1" a="1"/>
  <c r="AH306" i="35" s="1"/>
  <c r="AE306" i="35" a="1"/>
  <c r="AE306" i="35" s="1"/>
  <c r="K306" i="35"/>
  <c r="I306" i="35" a="1"/>
  <c r="I306" i="35" s="1"/>
  <c r="H306" i="35" a="1"/>
  <c r="H306" i="35" s="1"/>
  <c r="AQ305" i="35"/>
  <c r="AN305" i="35"/>
  <c r="AO305" i="35" s="1" a="1"/>
  <c r="AO305" i="35" s="1"/>
  <c r="AJ305" i="35"/>
  <c r="AG305" i="35"/>
  <c r="AH305" i="35" s="1" a="1"/>
  <c r="AH305" i="35" s="1"/>
  <c r="AE305" i="35" a="1"/>
  <c r="AE305" i="35" s="1"/>
  <c r="K305" i="35"/>
  <c r="I305" i="35" a="1"/>
  <c r="I305" i="35" s="1"/>
  <c r="H305" i="35" a="1"/>
  <c r="H305" i="35" s="1"/>
  <c r="AQ304" i="35"/>
  <c r="AN304" i="35"/>
  <c r="AO304" i="35" s="1" a="1"/>
  <c r="AO304" i="35" s="1"/>
  <c r="AJ304" i="35"/>
  <c r="AG304" i="35"/>
  <c r="AH304" i="35" s="1" a="1"/>
  <c r="AH304" i="35" s="1"/>
  <c r="AE304" i="35" a="1"/>
  <c r="AE304" i="35" s="1"/>
  <c r="K304" i="35"/>
  <c r="I304" i="35" a="1"/>
  <c r="I304" i="35" s="1"/>
  <c r="H304" i="35" a="1"/>
  <c r="H304" i="35" s="1"/>
  <c r="AQ303" i="35"/>
  <c r="AN303" i="35"/>
  <c r="AO303" i="35" s="1" a="1"/>
  <c r="AO303" i="35" s="1"/>
  <c r="AJ303" i="35"/>
  <c r="AG303" i="35"/>
  <c r="AH303" i="35" s="1" a="1"/>
  <c r="AH303" i="35" s="1"/>
  <c r="AE303" i="35" a="1"/>
  <c r="AE303" i="35" s="1"/>
  <c r="K303" i="35"/>
  <c r="I303" i="35" a="1"/>
  <c r="I303" i="35" s="1"/>
  <c r="H303" i="35" a="1"/>
  <c r="H303" i="35" s="1"/>
  <c r="AQ302" i="35"/>
  <c r="AN302" i="35"/>
  <c r="AO302" i="35" s="1" a="1"/>
  <c r="AO302" i="35" s="1"/>
  <c r="AJ302" i="35"/>
  <c r="AG302" i="35"/>
  <c r="AH302" i="35" s="1" a="1"/>
  <c r="AH302" i="35" s="1"/>
  <c r="AE302" i="35" a="1"/>
  <c r="AE302" i="35" s="1"/>
  <c r="K302" i="35"/>
  <c r="I302" i="35" a="1"/>
  <c r="I302" i="35" s="1"/>
  <c r="H302" i="35" a="1"/>
  <c r="H302" i="35" s="1"/>
  <c r="AQ301" i="35"/>
  <c r="AN301" i="35"/>
  <c r="AO301" i="35" s="1" a="1"/>
  <c r="AO301" i="35" s="1"/>
  <c r="AJ301" i="35"/>
  <c r="AG301" i="35"/>
  <c r="AH301" i="35" s="1" a="1"/>
  <c r="AH301" i="35" s="1"/>
  <c r="AE301" i="35" a="1"/>
  <c r="AE301" i="35" s="1"/>
  <c r="K301" i="35"/>
  <c r="J301" i="35"/>
  <c r="I301" i="35" a="1"/>
  <c r="I301" i="35" s="1"/>
  <c r="H301" i="35" a="1"/>
  <c r="H301" i="35" s="1"/>
  <c r="AQ300" i="35"/>
  <c r="AN300" i="35"/>
  <c r="AO300" i="35" s="1" a="1"/>
  <c r="AO300" i="35" s="1"/>
  <c r="AJ300" i="35"/>
  <c r="AG300" i="35"/>
  <c r="AH300" i="35" s="1" a="1"/>
  <c r="AH300" i="35" s="1"/>
  <c r="AE300" i="35" a="1"/>
  <c r="AE300" i="35" s="1"/>
  <c r="K300" i="35"/>
  <c r="I300" i="35" a="1"/>
  <c r="I300" i="35" s="1"/>
  <c r="H300" i="35" a="1"/>
  <c r="H300" i="35" s="1"/>
  <c r="AQ299" i="35"/>
  <c r="AN299" i="35"/>
  <c r="AO299" i="35" s="1" a="1"/>
  <c r="AO299" i="35" s="1"/>
  <c r="AJ299" i="35"/>
  <c r="AG299" i="35"/>
  <c r="AH299" i="35" s="1" a="1"/>
  <c r="AH299" i="35" s="1"/>
  <c r="AE299" i="35" a="1"/>
  <c r="AE299" i="35" s="1"/>
  <c r="K299" i="35"/>
  <c r="I299" i="35" a="1"/>
  <c r="I299" i="35" s="1"/>
  <c r="H299" i="35" a="1"/>
  <c r="H299" i="35" s="1"/>
  <c r="AQ298" i="35"/>
  <c r="AN298" i="35"/>
  <c r="AO298" i="35" s="1" a="1"/>
  <c r="AO298" i="35" s="1"/>
  <c r="AJ298" i="35"/>
  <c r="AG298" i="35"/>
  <c r="AH298" i="35" s="1" a="1"/>
  <c r="AH298" i="35" s="1"/>
  <c r="AE298" i="35" a="1"/>
  <c r="AE298" i="35" s="1"/>
  <c r="K298" i="35"/>
  <c r="I298" i="35" a="1"/>
  <c r="I298" i="35" s="1"/>
  <c r="H298" i="35" a="1"/>
  <c r="H298" i="35" s="1"/>
  <c r="AQ297" i="35"/>
  <c r="AN297" i="35"/>
  <c r="AO297" i="35" s="1" a="1"/>
  <c r="AO297" i="35" s="1"/>
  <c r="AJ297" i="35"/>
  <c r="AG297" i="35"/>
  <c r="AH297" i="35" s="1" a="1"/>
  <c r="AH297" i="35" s="1"/>
  <c r="AE297" i="35" a="1"/>
  <c r="AE297" i="35" s="1"/>
  <c r="K297" i="35"/>
  <c r="I297" i="35" a="1"/>
  <c r="I297" i="35" s="1"/>
  <c r="H297" i="35" a="1"/>
  <c r="H297" i="35" s="1"/>
  <c r="AQ296" i="35"/>
  <c r="AN296" i="35"/>
  <c r="AO296" i="35" s="1" a="1"/>
  <c r="AO296" i="35" s="1"/>
  <c r="AJ296" i="35"/>
  <c r="AG296" i="35"/>
  <c r="AH296" i="35" s="1" a="1"/>
  <c r="AH296" i="35" s="1"/>
  <c r="AE296" i="35" a="1"/>
  <c r="AE296" i="35" s="1"/>
  <c r="K296" i="35"/>
  <c r="I296" i="35" a="1"/>
  <c r="I296" i="35" s="1"/>
  <c r="H296" i="35" a="1"/>
  <c r="H296" i="35" s="1"/>
  <c r="AQ295" i="35"/>
  <c r="AN295" i="35"/>
  <c r="AO295" i="35" s="1" a="1"/>
  <c r="AO295" i="35" s="1"/>
  <c r="AJ295" i="35"/>
  <c r="AG295" i="35"/>
  <c r="AH295" i="35" s="1" a="1"/>
  <c r="AH295" i="35" s="1"/>
  <c r="AE295" i="35" a="1"/>
  <c r="AE295" i="35" s="1"/>
  <c r="K295" i="35"/>
  <c r="I295" i="35" a="1"/>
  <c r="I295" i="35" s="1"/>
  <c r="H295" i="35" a="1"/>
  <c r="H295" i="35" s="1"/>
  <c r="AQ294" i="35"/>
  <c r="AN294" i="35"/>
  <c r="AO294" i="35" s="1" a="1"/>
  <c r="AO294" i="35" s="1"/>
  <c r="AJ294" i="35"/>
  <c r="AG294" i="35"/>
  <c r="AH294" i="35" s="1" a="1"/>
  <c r="AH294" i="35" s="1"/>
  <c r="AE294" i="35" a="1"/>
  <c r="AE294" i="35" s="1"/>
  <c r="K294" i="35"/>
  <c r="I294" i="35" a="1"/>
  <c r="I294" i="35" s="1"/>
  <c r="H294" i="35" a="1"/>
  <c r="H294" i="35" s="1"/>
  <c r="AQ293" i="35"/>
  <c r="AN293" i="35"/>
  <c r="AO293" i="35" s="1" a="1"/>
  <c r="AO293" i="35" s="1"/>
  <c r="AJ293" i="35"/>
  <c r="AG293" i="35"/>
  <c r="AH293" i="35" s="1" a="1"/>
  <c r="AH293" i="35" s="1"/>
  <c r="AE293" i="35" a="1"/>
  <c r="AE293" i="35" s="1"/>
  <c r="K293" i="35"/>
  <c r="I293" i="35" a="1"/>
  <c r="I293" i="35" s="1"/>
  <c r="H293" i="35" a="1"/>
  <c r="H293" i="35" s="1"/>
  <c r="AQ292" i="35"/>
  <c r="AN292" i="35"/>
  <c r="AO292" i="35" s="1" a="1"/>
  <c r="AO292" i="35" s="1"/>
  <c r="AJ292" i="35"/>
  <c r="AG292" i="35"/>
  <c r="AH292" i="35" s="1" a="1"/>
  <c r="AH292" i="35" s="1"/>
  <c r="AE292" i="35" a="1"/>
  <c r="AE292" i="35" s="1"/>
  <c r="K292" i="35"/>
  <c r="I292" i="35" a="1"/>
  <c r="I292" i="35" s="1"/>
  <c r="H292" i="35" a="1"/>
  <c r="H292" i="35" s="1"/>
  <c r="AQ291" i="35"/>
  <c r="AN291" i="35"/>
  <c r="AO291" i="35" s="1" a="1"/>
  <c r="AO291" i="35" s="1"/>
  <c r="AJ291" i="35"/>
  <c r="AG291" i="35"/>
  <c r="AH291" i="35" s="1" a="1"/>
  <c r="AH291" i="35" s="1"/>
  <c r="AE291" i="35" a="1"/>
  <c r="AE291" i="35" s="1"/>
  <c r="K291" i="35"/>
  <c r="I291" i="35" a="1"/>
  <c r="I291" i="35" s="1"/>
  <c r="H291" i="35" a="1"/>
  <c r="H291" i="35" s="1"/>
  <c r="AQ290" i="35"/>
  <c r="AN290" i="35"/>
  <c r="AO290" i="35" s="1" a="1"/>
  <c r="AO290" i="35" s="1"/>
  <c r="AJ290" i="35"/>
  <c r="AG290" i="35"/>
  <c r="AH290" i="35" s="1" a="1"/>
  <c r="AH290" i="35" s="1"/>
  <c r="AE290" i="35" a="1"/>
  <c r="AE290" i="35" s="1"/>
  <c r="K290" i="35"/>
  <c r="I290" i="35" a="1"/>
  <c r="I290" i="35" s="1"/>
  <c r="H290" i="35" a="1"/>
  <c r="H290" i="35" s="1"/>
  <c r="AQ289" i="35"/>
  <c r="AN289" i="35"/>
  <c r="AO289" i="35" s="1" a="1"/>
  <c r="AO289" i="35" s="1"/>
  <c r="AJ289" i="35"/>
  <c r="AG289" i="35"/>
  <c r="AH289" i="35" s="1" a="1"/>
  <c r="AH289" i="35" s="1"/>
  <c r="AE289" i="35" a="1"/>
  <c r="AE289" i="35" s="1"/>
  <c r="K289" i="35"/>
  <c r="I289" i="35" a="1"/>
  <c r="I289" i="35" s="1"/>
  <c r="H289" i="35" a="1"/>
  <c r="H289" i="35" s="1"/>
  <c r="AQ288" i="35"/>
  <c r="AN288" i="35"/>
  <c r="AO288" i="35" s="1" a="1"/>
  <c r="AO288" i="35" s="1"/>
  <c r="AJ288" i="35"/>
  <c r="AG288" i="35"/>
  <c r="AH288" i="35" s="1" a="1"/>
  <c r="AH288" i="35" s="1"/>
  <c r="AE288" i="35" a="1"/>
  <c r="AE288" i="35" s="1"/>
  <c r="K288" i="35"/>
  <c r="I288" i="35" a="1"/>
  <c r="I288" i="35" s="1"/>
  <c r="H288" i="35" a="1"/>
  <c r="H288" i="35" s="1"/>
  <c r="AQ287" i="35"/>
  <c r="AN287" i="35"/>
  <c r="AO287" i="35" s="1" a="1"/>
  <c r="AO287" i="35" s="1"/>
  <c r="AJ287" i="35"/>
  <c r="AG287" i="35"/>
  <c r="AH287" i="35" s="1" a="1"/>
  <c r="AH287" i="35" s="1"/>
  <c r="AE287" i="35" a="1"/>
  <c r="AE287" i="35" s="1"/>
  <c r="K287" i="35"/>
  <c r="J287" i="35"/>
  <c r="I287" i="35" a="1"/>
  <c r="I287" i="35" s="1"/>
  <c r="H287" i="35" a="1"/>
  <c r="H287" i="35" s="1"/>
  <c r="AQ286" i="35"/>
  <c r="AN286" i="35"/>
  <c r="AO286" i="35" s="1" a="1"/>
  <c r="AO286" i="35" s="1"/>
  <c r="AJ286" i="35"/>
  <c r="AG286" i="35"/>
  <c r="AH286" i="35" s="1" a="1"/>
  <c r="AH286" i="35" s="1"/>
  <c r="AE286" i="35" a="1"/>
  <c r="AE286" i="35" s="1"/>
  <c r="K286" i="35"/>
  <c r="I286" i="35" a="1"/>
  <c r="I286" i="35" s="1"/>
  <c r="H286" i="35" a="1"/>
  <c r="H286" i="35" s="1"/>
  <c r="AQ285" i="35"/>
  <c r="AN285" i="35"/>
  <c r="AO285" i="35" s="1" a="1"/>
  <c r="AO285" i="35" s="1"/>
  <c r="AJ285" i="35"/>
  <c r="AG285" i="35"/>
  <c r="AH285" i="35" s="1" a="1"/>
  <c r="AH285" i="35" s="1"/>
  <c r="AE285" i="35" a="1"/>
  <c r="AE285" i="35" s="1"/>
  <c r="K285" i="35"/>
  <c r="I285" i="35" a="1"/>
  <c r="I285" i="35" s="1"/>
  <c r="H285" i="35" a="1"/>
  <c r="H285" i="35" s="1"/>
  <c r="AQ284" i="35"/>
  <c r="AN284" i="35"/>
  <c r="AO284" i="35" s="1" a="1"/>
  <c r="AO284" i="35" s="1"/>
  <c r="AJ284" i="35"/>
  <c r="AG284" i="35"/>
  <c r="AH284" i="35" s="1" a="1"/>
  <c r="AH284" i="35" s="1"/>
  <c r="AE284" i="35" a="1"/>
  <c r="AE284" i="35" s="1"/>
  <c r="K284" i="35"/>
  <c r="I284" i="35" a="1"/>
  <c r="I284" i="35" s="1"/>
  <c r="H284" i="35" a="1"/>
  <c r="H284" i="35" s="1"/>
  <c r="AQ283" i="35"/>
  <c r="AN283" i="35"/>
  <c r="AO283" i="35" s="1" a="1"/>
  <c r="AO283" i="35" s="1"/>
  <c r="AJ283" i="35"/>
  <c r="AG283" i="35"/>
  <c r="AH283" i="35" s="1" a="1"/>
  <c r="AH283" i="35" s="1"/>
  <c r="AE283" i="35" a="1"/>
  <c r="AE283" i="35" s="1"/>
  <c r="J283" i="35"/>
  <c r="K283" i="35"/>
  <c r="I283" i="35" a="1"/>
  <c r="I283" i="35" s="1"/>
  <c r="H283" i="35" a="1"/>
  <c r="H283" i="35" s="1"/>
  <c r="AQ282" i="35"/>
  <c r="AN282" i="35"/>
  <c r="AO282" i="35" s="1" a="1"/>
  <c r="AO282" i="35" s="1"/>
  <c r="AJ282" i="35"/>
  <c r="AG282" i="35"/>
  <c r="AH282" i="35" s="1" a="1"/>
  <c r="AH282" i="35" s="1"/>
  <c r="AE282" i="35" a="1"/>
  <c r="AE282" i="35" s="1"/>
  <c r="K282" i="35"/>
  <c r="I282" i="35" a="1"/>
  <c r="I282" i="35" s="1"/>
  <c r="H282" i="35" a="1"/>
  <c r="H282" i="35" s="1"/>
  <c r="AQ281" i="35"/>
  <c r="AN281" i="35"/>
  <c r="AO281" i="35" s="1" a="1"/>
  <c r="AO281" i="35" s="1"/>
  <c r="AJ281" i="35"/>
  <c r="AG281" i="35"/>
  <c r="AH281" i="35" s="1" a="1"/>
  <c r="AH281" i="35" s="1"/>
  <c r="AE281" i="35" a="1"/>
  <c r="AE281" i="35" s="1"/>
  <c r="K281" i="35"/>
  <c r="I281" i="35" a="1"/>
  <c r="I281" i="35" s="1"/>
  <c r="H281" i="35" a="1"/>
  <c r="H281" i="35" s="1"/>
  <c r="AQ280" i="35"/>
  <c r="AN280" i="35"/>
  <c r="AO280" i="35" s="1" a="1"/>
  <c r="AO280" i="35" s="1"/>
  <c r="AJ280" i="35"/>
  <c r="AG280" i="35"/>
  <c r="AH280" i="35" s="1" a="1"/>
  <c r="AH280" i="35" s="1"/>
  <c r="AE280" i="35" a="1"/>
  <c r="AE280" i="35" s="1"/>
  <c r="J280" i="35"/>
  <c r="K280" i="35"/>
  <c r="I280" i="35" a="1"/>
  <c r="I280" i="35" s="1"/>
  <c r="H280" i="35" a="1"/>
  <c r="H280" i="35" s="1"/>
  <c r="AQ279" i="35"/>
  <c r="AN279" i="35"/>
  <c r="AO279" i="35" s="1" a="1"/>
  <c r="AO279" i="35" s="1"/>
  <c r="AJ279" i="35"/>
  <c r="AG279" i="35"/>
  <c r="AH279" i="35" s="1" a="1"/>
  <c r="AH279" i="35" s="1"/>
  <c r="AE279" i="35" a="1"/>
  <c r="AE279" i="35" s="1"/>
  <c r="K279" i="35"/>
  <c r="I279" i="35" a="1"/>
  <c r="I279" i="35" s="1"/>
  <c r="H279" i="35" a="1"/>
  <c r="H279" i="35" s="1"/>
  <c r="AQ278" i="35"/>
  <c r="AN278" i="35"/>
  <c r="AO278" i="35" s="1" a="1"/>
  <c r="AO278" i="35" s="1"/>
  <c r="AJ278" i="35"/>
  <c r="AG278" i="35"/>
  <c r="AH278" i="35" s="1" a="1"/>
  <c r="AH278" i="35" s="1"/>
  <c r="AE278" i="35" a="1"/>
  <c r="AE278" i="35" s="1"/>
  <c r="J278" i="35"/>
  <c r="K278" i="35"/>
  <c r="I278" i="35" a="1"/>
  <c r="I278" i="35" s="1"/>
  <c r="H278" i="35" a="1"/>
  <c r="H278" i="35" s="1"/>
  <c r="AQ277" i="35"/>
  <c r="AN277" i="35"/>
  <c r="AO277" i="35" s="1" a="1"/>
  <c r="AO277" i="35" s="1"/>
  <c r="AJ277" i="35"/>
  <c r="AG277" i="35"/>
  <c r="AH277" i="35" s="1" a="1"/>
  <c r="AH277" i="35" s="1"/>
  <c r="AE277" i="35" a="1"/>
  <c r="AE277" i="35" s="1"/>
  <c r="K277" i="35"/>
  <c r="I277" i="35" a="1"/>
  <c r="I277" i="35" s="1"/>
  <c r="H277" i="35" a="1"/>
  <c r="H277" i="35" s="1"/>
  <c r="AQ276" i="35"/>
  <c r="AN276" i="35"/>
  <c r="AO276" i="35" s="1" a="1"/>
  <c r="AO276" i="35" s="1"/>
  <c r="AJ276" i="35"/>
  <c r="AG276" i="35"/>
  <c r="AH276" i="35" s="1" a="1"/>
  <c r="AH276" i="35" s="1"/>
  <c r="AE276" i="35" a="1"/>
  <c r="AE276" i="35" s="1"/>
  <c r="K276" i="35"/>
  <c r="I276" i="35" a="1"/>
  <c r="I276" i="35" s="1"/>
  <c r="H276" i="35" a="1"/>
  <c r="H276" i="35" s="1"/>
  <c r="AQ275" i="35"/>
  <c r="AN275" i="35"/>
  <c r="AO275" i="35" s="1" a="1"/>
  <c r="AO275" i="35" s="1"/>
  <c r="AJ275" i="35"/>
  <c r="AG275" i="35"/>
  <c r="AH275" i="35" s="1" a="1"/>
  <c r="AH275" i="35" s="1"/>
  <c r="AE275" i="35" a="1"/>
  <c r="AE275" i="35" s="1"/>
  <c r="K275" i="35"/>
  <c r="I275" i="35" a="1"/>
  <c r="I275" i="35" s="1"/>
  <c r="H275" i="35" a="1"/>
  <c r="H275" i="35" s="1"/>
  <c r="AQ274" i="35"/>
  <c r="AN274" i="35"/>
  <c r="AO274" i="35" s="1" a="1"/>
  <c r="AO274" i="35" s="1"/>
  <c r="AJ274" i="35"/>
  <c r="AG274" i="35"/>
  <c r="AH274" i="35" s="1" a="1"/>
  <c r="AH274" i="35" s="1"/>
  <c r="AE274" i="35" a="1"/>
  <c r="AE274" i="35" s="1"/>
  <c r="K274" i="35"/>
  <c r="I274" i="35" a="1"/>
  <c r="I274" i="35" s="1"/>
  <c r="H274" i="35" a="1"/>
  <c r="H274" i="35" s="1"/>
  <c r="AQ273" i="35"/>
  <c r="AN273" i="35"/>
  <c r="AO273" i="35" s="1" a="1"/>
  <c r="AO273" i="35" s="1"/>
  <c r="AJ273" i="35"/>
  <c r="AG273" i="35"/>
  <c r="AH273" i="35" s="1" a="1"/>
  <c r="AH273" i="35" s="1"/>
  <c r="AE273" i="35" a="1"/>
  <c r="AE273" i="35" s="1"/>
  <c r="K273" i="35"/>
  <c r="I273" i="35" a="1"/>
  <c r="I273" i="35" s="1"/>
  <c r="H273" i="35" a="1"/>
  <c r="H273" i="35" s="1"/>
  <c r="AQ272" i="35"/>
  <c r="AN272" i="35"/>
  <c r="AO272" i="35" s="1" a="1"/>
  <c r="AO272" i="35" s="1"/>
  <c r="AJ272" i="35"/>
  <c r="AG272" i="35"/>
  <c r="AH272" i="35" s="1" a="1"/>
  <c r="AH272" i="35" s="1"/>
  <c r="AE272" i="35" a="1"/>
  <c r="AE272" i="35" s="1"/>
  <c r="K272" i="35"/>
  <c r="I272" i="35" a="1"/>
  <c r="I272" i="35" s="1"/>
  <c r="H272" i="35" a="1"/>
  <c r="H272" i="35" s="1"/>
  <c r="AQ271" i="35"/>
  <c r="AN271" i="35"/>
  <c r="AO271" i="35" s="1" a="1"/>
  <c r="AO271" i="35" s="1"/>
  <c r="AJ271" i="35"/>
  <c r="AG271" i="35"/>
  <c r="AH271" i="35" s="1" a="1"/>
  <c r="AH271" i="35" s="1"/>
  <c r="AE271" i="35" a="1"/>
  <c r="AE271" i="35" s="1"/>
  <c r="K271" i="35"/>
  <c r="I271" i="35" a="1"/>
  <c r="I271" i="35" s="1"/>
  <c r="H271" i="35" a="1"/>
  <c r="H271" i="35" s="1"/>
  <c r="AQ270" i="35"/>
  <c r="AN270" i="35"/>
  <c r="AO270" i="35" s="1" a="1"/>
  <c r="AO270" i="35" s="1"/>
  <c r="AJ270" i="35"/>
  <c r="AG270" i="35"/>
  <c r="AH270" i="35" s="1" a="1"/>
  <c r="AH270" i="35" s="1"/>
  <c r="AE270" i="35" a="1"/>
  <c r="AE270" i="35" s="1"/>
  <c r="K270" i="35"/>
  <c r="I270" i="35" a="1"/>
  <c r="I270" i="35" s="1"/>
  <c r="H270" i="35" a="1"/>
  <c r="H270" i="35" s="1"/>
  <c r="AQ269" i="35"/>
  <c r="AN269" i="35"/>
  <c r="AO269" i="35" s="1" a="1"/>
  <c r="AO269" i="35" s="1"/>
  <c r="AJ269" i="35"/>
  <c r="AG269" i="35"/>
  <c r="AH269" i="35" s="1" a="1"/>
  <c r="AH269" i="35" s="1"/>
  <c r="AE269" i="35" a="1"/>
  <c r="AE269" i="35" s="1"/>
  <c r="K269" i="35"/>
  <c r="I269" i="35" a="1"/>
  <c r="I269" i="35" s="1"/>
  <c r="H269" i="35" a="1"/>
  <c r="H269" i="35" s="1"/>
  <c r="AQ268" i="35"/>
  <c r="AN268" i="35"/>
  <c r="AO268" i="35" s="1" a="1"/>
  <c r="AO268" i="35" s="1"/>
  <c r="AJ268" i="35"/>
  <c r="AG268" i="35"/>
  <c r="AH268" i="35" s="1" a="1"/>
  <c r="AH268" i="35" s="1"/>
  <c r="AE268" i="35" a="1"/>
  <c r="AE268" i="35" s="1"/>
  <c r="J268" i="35"/>
  <c r="K268" i="35"/>
  <c r="I268" i="35" a="1"/>
  <c r="I268" i="35" s="1"/>
  <c r="H268" i="35" a="1"/>
  <c r="H268" i="35" s="1"/>
  <c r="AQ267" i="35"/>
  <c r="AN267" i="35"/>
  <c r="AO267" i="35" s="1" a="1"/>
  <c r="AO267" i="35" s="1"/>
  <c r="AJ267" i="35"/>
  <c r="AG267" i="35"/>
  <c r="AH267" i="35" s="1" a="1"/>
  <c r="AH267" i="35" s="1"/>
  <c r="AE267" i="35" a="1"/>
  <c r="AE267" i="35" s="1"/>
  <c r="J267" i="35"/>
  <c r="K267" i="35"/>
  <c r="I267" i="35" a="1"/>
  <c r="I267" i="35" s="1"/>
  <c r="H267" i="35" a="1"/>
  <c r="H267" i="35" s="1"/>
  <c r="AQ266" i="35"/>
  <c r="AN266" i="35"/>
  <c r="AO266" i="35" s="1" a="1"/>
  <c r="AO266" i="35" s="1"/>
  <c r="AJ266" i="35"/>
  <c r="AG266" i="35"/>
  <c r="AH266" i="35" s="1" a="1"/>
  <c r="AH266" i="35" s="1"/>
  <c r="AE266" i="35" a="1"/>
  <c r="AE266" i="35" s="1"/>
  <c r="K266" i="35"/>
  <c r="I266" i="35" a="1"/>
  <c r="I266" i="35" s="1"/>
  <c r="H266" i="35" a="1"/>
  <c r="H266" i="35" s="1"/>
  <c r="AQ265" i="35"/>
  <c r="AN265" i="35"/>
  <c r="AO265" i="35" s="1" a="1"/>
  <c r="AO265" i="35" s="1"/>
  <c r="AJ265" i="35"/>
  <c r="AG265" i="35"/>
  <c r="AH265" i="35" s="1" a="1"/>
  <c r="AH265" i="35" s="1"/>
  <c r="AE265" i="35" a="1"/>
  <c r="AE265" i="35" s="1"/>
  <c r="K265" i="35"/>
  <c r="I265" i="35" a="1"/>
  <c r="I265" i="35" s="1"/>
  <c r="H265" i="35" a="1"/>
  <c r="H265" i="35" s="1"/>
  <c r="AQ264" i="35"/>
  <c r="AN264" i="35"/>
  <c r="AO264" i="35" s="1" a="1"/>
  <c r="AO264" i="35" s="1"/>
  <c r="AJ264" i="35"/>
  <c r="AG264" i="35"/>
  <c r="AH264" i="35" s="1" a="1"/>
  <c r="AH264" i="35" s="1"/>
  <c r="AE264" i="35" a="1"/>
  <c r="AE264" i="35" s="1"/>
  <c r="K264" i="35"/>
  <c r="I264" i="35" a="1"/>
  <c r="I264" i="35" s="1"/>
  <c r="H264" i="35" a="1"/>
  <c r="H264" i="35" s="1"/>
  <c r="AQ263" i="35"/>
  <c r="AN263" i="35"/>
  <c r="AO263" i="35" s="1" a="1"/>
  <c r="AO263" i="35" s="1"/>
  <c r="AJ263" i="35"/>
  <c r="AG263" i="35"/>
  <c r="AH263" i="35" s="1" a="1"/>
  <c r="AH263" i="35" s="1"/>
  <c r="AE263" i="35" a="1"/>
  <c r="AE263" i="35" s="1"/>
  <c r="K263" i="35"/>
  <c r="I263" i="35" a="1"/>
  <c r="I263" i="35" s="1"/>
  <c r="H263" i="35" a="1"/>
  <c r="H263" i="35" s="1"/>
  <c r="AQ262" i="35"/>
  <c r="AN262" i="35"/>
  <c r="AO262" i="35" s="1" a="1"/>
  <c r="AO262" i="35" s="1"/>
  <c r="AJ262" i="35"/>
  <c r="AG262" i="35"/>
  <c r="AH262" i="35" s="1" a="1"/>
  <c r="AH262" i="35" s="1"/>
  <c r="AE262" i="35" a="1"/>
  <c r="AE262" i="35" s="1"/>
  <c r="J262" i="35"/>
  <c r="K262" i="35"/>
  <c r="I262" i="35" a="1"/>
  <c r="I262" i="35" s="1"/>
  <c r="H262" i="35" a="1"/>
  <c r="H262" i="35" s="1"/>
  <c r="AQ261" i="35"/>
  <c r="AN261" i="35"/>
  <c r="AO261" i="35" s="1" a="1"/>
  <c r="AO261" i="35" s="1"/>
  <c r="AJ261" i="35"/>
  <c r="AG261" i="35"/>
  <c r="AH261" i="35" s="1" a="1"/>
  <c r="AH261" i="35" s="1"/>
  <c r="AE261" i="35" a="1"/>
  <c r="AE261" i="35" s="1"/>
  <c r="K261" i="35"/>
  <c r="J261" i="35"/>
  <c r="I261" i="35" a="1"/>
  <c r="I261" i="35" s="1"/>
  <c r="H261" i="35" a="1"/>
  <c r="H261" i="35" s="1"/>
  <c r="AQ260" i="35"/>
  <c r="AN260" i="35"/>
  <c r="AO260" i="35" s="1" a="1"/>
  <c r="AO260" i="35" s="1"/>
  <c r="AJ260" i="35"/>
  <c r="AG260" i="35"/>
  <c r="AH260" i="35" s="1" a="1"/>
  <c r="AH260" i="35" s="1"/>
  <c r="AE260" i="35" a="1"/>
  <c r="AE260" i="35" s="1"/>
  <c r="K260" i="35"/>
  <c r="I260" i="35" a="1"/>
  <c r="I260" i="35" s="1"/>
  <c r="H260" i="35" a="1"/>
  <c r="H260" i="35" s="1"/>
  <c r="AQ259" i="35"/>
  <c r="AN259" i="35"/>
  <c r="AO259" i="35" s="1" a="1"/>
  <c r="AO259" i="35" s="1"/>
  <c r="AJ259" i="35"/>
  <c r="AG259" i="35"/>
  <c r="AH259" i="35" s="1" a="1"/>
  <c r="AH259" i="35" s="1"/>
  <c r="AE259" i="35" a="1"/>
  <c r="AE259" i="35" s="1"/>
  <c r="K259" i="35"/>
  <c r="I259" i="35" a="1"/>
  <c r="I259" i="35" s="1"/>
  <c r="H259" i="35" a="1"/>
  <c r="H259" i="35" s="1"/>
  <c r="AQ258" i="35"/>
  <c r="AN258" i="35"/>
  <c r="AO258" i="35" s="1" a="1"/>
  <c r="AO258" i="35" s="1"/>
  <c r="AJ258" i="35"/>
  <c r="AG258" i="35"/>
  <c r="AH258" i="35" s="1" a="1"/>
  <c r="AH258" i="35" s="1"/>
  <c r="AE258" i="35" a="1"/>
  <c r="AE258" i="35" s="1"/>
  <c r="K258" i="35"/>
  <c r="I258" i="35" a="1"/>
  <c r="I258" i="35" s="1"/>
  <c r="H258" i="35" a="1"/>
  <c r="H258" i="35" s="1"/>
  <c r="AQ257" i="35"/>
  <c r="AN257" i="35"/>
  <c r="AO257" i="35" s="1" a="1"/>
  <c r="AO257" i="35" s="1"/>
  <c r="AJ257" i="35"/>
  <c r="AG257" i="35"/>
  <c r="AH257" i="35" s="1" a="1"/>
  <c r="AH257" i="35" s="1"/>
  <c r="AE257" i="35" a="1"/>
  <c r="AE257" i="35" s="1"/>
  <c r="K257" i="35"/>
  <c r="I257" i="35" a="1"/>
  <c r="I257" i="35" s="1"/>
  <c r="H257" i="35" a="1"/>
  <c r="H257" i="35" s="1"/>
  <c r="AQ256" i="35"/>
  <c r="AN256" i="35"/>
  <c r="AO256" i="35" s="1" a="1"/>
  <c r="AO256" i="35" s="1"/>
  <c r="AJ256" i="35"/>
  <c r="AG256" i="35"/>
  <c r="AH256" i="35" s="1" a="1"/>
  <c r="AH256" i="35" s="1"/>
  <c r="AE256" i="35" a="1"/>
  <c r="AE256" i="35" s="1"/>
  <c r="K256" i="35"/>
  <c r="I256" i="35" a="1"/>
  <c r="I256" i="35" s="1"/>
  <c r="H256" i="35" a="1"/>
  <c r="H256" i="35" s="1"/>
  <c r="AQ255" i="35"/>
  <c r="AN255" i="35"/>
  <c r="AO255" i="35" s="1" a="1"/>
  <c r="AO255" i="35" s="1"/>
  <c r="AJ255" i="35"/>
  <c r="AG255" i="35"/>
  <c r="AH255" i="35" s="1" a="1"/>
  <c r="AH255" i="35" s="1"/>
  <c r="AE255" i="35" a="1"/>
  <c r="AE255" i="35" s="1"/>
  <c r="K255" i="35"/>
  <c r="I255" i="35" a="1"/>
  <c r="I255" i="35" s="1"/>
  <c r="H255" i="35" a="1"/>
  <c r="H255" i="35" s="1"/>
  <c r="AQ254" i="35"/>
  <c r="AN254" i="35"/>
  <c r="AO254" i="35" s="1" a="1"/>
  <c r="AO254" i="35" s="1"/>
  <c r="AJ254" i="35"/>
  <c r="AG254" i="35"/>
  <c r="AH254" i="35" s="1" a="1"/>
  <c r="AH254" i="35" s="1"/>
  <c r="AE254" i="35" a="1"/>
  <c r="AE254" i="35" s="1"/>
  <c r="K254" i="35"/>
  <c r="I254" i="35" a="1"/>
  <c r="I254" i="35" s="1"/>
  <c r="H254" i="35" a="1"/>
  <c r="H254" i="35" s="1"/>
  <c r="AQ253" i="35"/>
  <c r="AN253" i="35"/>
  <c r="AO253" i="35" s="1" a="1"/>
  <c r="AO253" i="35" s="1"/>
  <c r="AJ253" i="35"/>
  <c r="AG253" i="35"/>
  <c r="AH253" i="35" s="1" a="1"/>
  <c r="AH253" i="35" s="1"/>
  <c r="AE253" i="35" a="1"/>
  <c r="AE253" i="35" s="1"/>
  <c r="K253" i="35"/>
  <c r="I253" i="35" a="1"/>
  <c r="I253" i="35" s="1"/>
  <c r="H253" i="35" a="1"/>
  <c r="H253" i="35" s="1"/>
  <c r="AQ252" i="35"/>
  <c r="AN252" i="35"/>
  <c r="AO252" i="35" s="1" a="1"/>
  <c r="AO252" i="35" s="1"/>
  <c r="AJ252" i="35"/>
  <c r="AG252" i="35"/>
  <c r="AH252" i="35" s="1" a="1"/>
  <c r="AH252" i="35" s="1"/>
  <c r="AE252" i="35" a="1"/>
  <c r="AE252" i="35" s="1"/>
  <c r="J252" i="35"/>
  <c r="K252" i="35"/>
  <c r="I252" i="35" a="1"/>
  <c r="I252" i="35" s="1"/>
  <c r="H252" i="35" a="1"/>
  <c r="H252" i="35" s="1"/>
  <c r="AQ251" i="35"/>
  <c r="AN251" i="35"/>
  <c r="AO251" i="35" s="1" a="1"/>
  <c r="AO251" i="35" s="1"/>
  <c r="AJ251" i="35"/>
  <c r="AG251" i="35"/>
  <c r="AH251" i="35" s="1" a="1"/>
  <c r="AH251" i="35" s="1"/>
  <c r="AE251" i="35" a="1"/>
  <c r="AE251" i="35" s="1"/>
  <c r="K251" i="35"/>
  <c r="I251" i="35" a="1"/>
  <c r="I251" i="35" s="1"/>
  <c r="H251" i="35" a="1"/>
  <c r="H251" i="35" s="1"/>
  <c r="AQ250" i="35"/>
  <c r="AN250" i="35"/>
  <c r="AO250" i="35" s="1" a="1"/>
  <c r="AO250" i="35" s="1"/>
  <c r="AJ250" i="35"/>
  <c r="AG250" i="35"/>
  <c r="AH250" i="35" s="1" a="1"/>
  <c r="AH250" i="35" s="1"/>
  <c r="AE250" i="35" a="1"/>
  <c r="AE250" i="35" s="1"/>
  <c r="K250" i="35"/>
  <c r="I250" i="35" a="1"/>
  <c r="I250" i="35" s="1"/>
  <c r="H250" i="35" a="1"/>
  <c r="H250" i="35" s="1"/>
  <c r="AQ249" i="35"/>
  <c r="AN249" i="35"/>
  <c r="AO249" i="35" s="1" a="1"/>
  <c r="AO249" i="35" s="1"/>
  <c r="AJ249" i="35"/>
  <c r="AG249" i="35"/>
  <c r="AH249" i="35" s="1" a="1"/>
  <c r="AH249" i="35" s="1"/>
  <c r="AE249" i="35" a="1"/>
  <c r="AE249" i="35" s="1"/>
  <c r="K249" i="35"/>
  <c r="J249" i="35"/>
  <c r="I249" i="35" a="1"/>
  <c r="I249" i="35" s="1"/>
  <c r="H249" i="35" a="1"/>
  <c r="H249" i="35" s="1"/>
  <c r="AQ248" i="35"/>
  <c r="AN248" i="35"/>
  <c r="AO248" i="35" s="1" a="1"/>
  <c r="AO248" i="35" s="1"/>
  <c r="AJ248" i="35"/>
  <c r="AG248" i="35"/>
  <c r="AH248" i="35" s="1" a="1"/>
  <c r="AH248" i="35" s="1"/>
  <c r="AE248" i="35" a="1"/>
  <c r="AE248" i="35" s="1"/>
  <c r="K248" i="35"/>
  <c r="I248" i="35" a="1"/>
  <c r="I248" i="35" s="1"/>
  <c r="H248" i="35" a="1"/>
  <c r="H248" i="35" s="1"/>
  <c r="AQ247" i="35"/>
  <c r="AN247" i="35"/>
  <c r="AO247" i="35" s="1" a="1"/>
  <c r="AO247" i="35" s="1"/>
  <c r="AJ247" i="35"/>
  <c r="AG247" i="35"/>
  <c r="AH247" i="35" s="1" a="1"/>
  <c r="AH247" i="35" s="1"/>
  <c r="AE247" i="35" a="1"/>
  <c r="AE247" i="35" s="1"/>
  <c r="K247" i="35"/>
  <c r="I247" i="35" a="1"/>
  <c r="I247" i="35" s="1"/>
  <c r="H247" i="35" a="1"/>
  <c r="H247" i="35" s="1"/>
  <c r="AQ246" i="35"/>
  <c r="AN246" i="35"/>
  <c r="AO246" i="35" s="1" a="1"/>
  <c r="AO246" i="35" s="1"/>
  <c r="AJ246" i="35"/>
  <c r="AG246" i="35"/>
  <c r="AH246" i="35" s="1" a="1"/>
  <c r="AH246" i="35" s="1"/>
  <c r="AE246" i="35" a="1"/>
  <c r="AE246" i="35" s="1"/>
  <c r="K246" i="35"/>
  <c r="I246" i="35" a="1"/>
  <c r="I246" i="35" s="1"/>
  <c r="H246" i="35" a="1"/>
  <c r="H246" i="35" s="1"/>
  <c r="AQ245" i="35"/>
  <c r="AN245" i="35"/>
  <c r="AO245" i="35" s="1" a="1"/>
  <c r="AO245" i="35" s="1"/>
  <c r="AJ245" i="35"/>
  <c r="AG245" i="35"/>
  <c r="AH245" i="35" s="1" a="1"/>
  <c r="AH245" i="35" s="1"/>
  <c r="AE245" i="35" a="1"/>
  <c r="AE245" i="35" s="1"/>
  <c r="K245" i="35"/>
  <c r="I245" i="35" a="1"/>
  <c r="I245" i="35" s="1"/>
  <c r="H245" i="35" a="1"/>
  <c r="H245" i="35" s="1"/>
  <c r="AQ244" i="35"/>
  <c r="AN244" i="35"/>
  <c r="AO244" i="35" s="1" a="1"/>
  <c r="AO244" i="35" s="1"/>
  <c r="AJ244" i="35"/>
  <c r="AG244" i="35"/>
  <c r="AH244" i="35" s="1" a="1"/>
  <c r="AH244" i="35" s="1"/>
  <c r="AE244" i="35" a="1"/>
  <c r="AE244" i="35" s="1"/>
  <c r="K244" i="35"/>
  <c r="I244" i="35" a="1"/>
  <c r="I244" i="35" s="1"/>
  <c r="H244" i="35" a="1"/>
  <c r="H244" i="35" s="1"/>
  <c r="AQ243" i="35"/>
  <c r="AN243" i="35"/>
  <c r="AO243" i="35" s="1" a="1"/>
  <c r="AO243" i="35" s="1"/>
  <c r="AJ243" i="35"/>
  <c r="AG243" i="35"/>
  <c r="AH243" i="35" s="1" a="1"/>
  <c r="AH243" i="35" s="1"/>
  <c r="AE243" i="35" a="1"/>
  <c r="AE243" i="35" s="1"/>
  <c r="K243" i="35"/>
  <c r="I243" i="35" a="1"/>
  <c r="I243" i="35" s="1"/>
  <c r="H243" i="35" a="1"/>
  <c r="H243" i="35" s="1"/>
  <c r="AQ242" i="35"/>
  <c r="AN242" i="35"/>
  <c r="AO242" i="35" s="1" a="1"/>
  <c r="AO242" i="35" s="1"/>
  <c r="AJ242" i="35"/>
  <c r="AG242" i="35"/>
  <c r="AH242" i="35" s="1" a="1"/>
  <c r="AH242" i="35" s="1"/>
  <c r="AE242" i="35" a="1"/>
  <c r="AE242" i="35" s="1"/>
  <c r="K242" i="35"/>
  <c r="I242" i="35" a="1"/>
  <c r="I242" i="35" s="1"/>
  <c r="H242" i="35" a="1"/>
  <c r="H242" i="35" s="1"/>
  <c r="AQ241" i="35"/>
  <c r="AN241" i="35"/>
  <c r="AO241" i="35" s="1" a="1"/>
  <c r="AO241" i="35" s="1"/>
  <c r="AJ241" i="35"/>
  <c r="AG241" i="35"/>
  <c r="AH241" i="35" s="1" a="1"/>
  <c r="AH241" i="35" s="1"/>
  <c r="AE241" i="35" a="1"/>
  <c r="AE241" i="35" s="1"/>
  <c r="K241" i="35"/>
  <c r="I241" i="35" a="1"/>
  <c r="I241" i="35" s="1"/>
  <c r="H241" i="35" a="1"/>
  <c r="H241" i="35" s="1"/>
  <c r="AQ240" i="35"/>
  <c r="AN240" i="35"/>
  <c r="AO240" i="35" s="1" a="1"/>
  <c r="AO240" i="35" s="1"/>
  <c r="AJ240" i="35"/>
  <c r="AG240" i="35"/>
  <c r="AH240" i="35" s="1" a="1"/>
  <c r="AH240" i="35" s="1"/>
  <c r="AE240" i="35" a="1"/>
  <c r="AE240" i="35" s="1"/>
  <c r="K240" i="35"/>
  <c r="I240" i="35" a="1"/>
  <c r="I240" i="35" s="1"/>
  <c r="H240" i="35" a="1"/>
  <c r="H240" i="35" s="1"/>
  <c r="AQ239" i="35"/>
  <c r="AN239" i="35"/>
  <c r="AO239" i="35" s="1" a="1"/>
  <c r="AO239" i="35" s="1"/>
  <c r="AJ239" i="35"/>
  <c r="AG239" i="35"/>
  <c r="AH239" i="35" s="1" a="1"/>
  <c r="AH239" i="35" s="1"/>
  <c r="AE239" i="35" a="1"/>
  <c r="AE239" i="35" s="1"/>
  <c r="K239" i="35"/>
  <c r="I239" i="35" a="1"/>
  <c r="I239" i="35" s="1"/>
  <c r="H239" i="35" a="1"/>
  <c r="H239" i="35" s="1"/>
  <c r="AQ238" i="35"/>
  <c r="AN238" i="35"/>
  <c r="AO238" i="35" s="1" a="1"/>
  <c r="AO238" i="35" s="1"/>
  <c r="AJ238" i="35"/>
  <c r="AG238" i="35"/>
  <c r="AH238" i="35" s="1" a="1"/>
  <c r="AH238" i="35" s="1"/>
  <c r="AE238" i="35" a="1"/>
  <c r="AE238" i="35" s="1"/>
  <c r="K238" i="35"/>
  <c r="I238" i="35" a="1"/>
  <c r="I238" i="35" s="1"/>
  <c r="H238" i="35" a="1"/>
  <c r="H238" i="35" s="1"/>
  <c r="AQ237" i="35"/>
  <c r="AN237" i="35"/>
  <c r="AO237" i="35" s="1" a="1"/>
  <c r="AO237" i="35" s="1"/>
  <c r="AJ237" i="35"/>
  <c r="AG237" i="35"/>
  <c r="AH237" i="35" s="1" a="1"/>
  <c r="AH237" i="35" s="1"/>
  <c r="AE237" i="35" a="1"/>
  <c r="AE237" i="35" s="1"/>
  <c r="K237" i="35"/>
  <c r="J237" i="35"/>
  <c r="I237" i="35" a="1"/>
  <c r="I237" i="35" s="1"/>
  <c r="H237" i="35" a="1"/>
  <c r="H237" i="35" s="1"/>
  <c r="AQ236" i="35"/>
  <c r="AN236" i="35"/>
  <c r="AO236" i="35" s="1" a="1"/>
  <c r="AO236" i="35" s="1"/>
  <c r="AJ236" i="35"/>
  <c r="AG236" i="35"/>
  <c r="AH236" i="35" s="1" a="1"/>
  <c r="AH236" i="35" s="1"/>
  <c r="AE236" i="35" a="1"/>
  <c r="AE236" i="35" s="1"/>
  <c r="K236" i="35"/>
  <c r="I236" i="35" a="1"/>
  <c r="I236" i="35" s="1"/>
  <c r="H236" i="35" a="1"/>
  <c r="H236" i="35" s="1"/>
  <c r="AQ235" i="35"/>
  <c r="AN235" i="35"/>
  <c r="AO235" i="35" s="1" a="1"/>
  <c r="AO235" i="35" s="1"/>
  <c r="AJ235" i="35"/>
  <c r="AG235" i="35"/>
  <c r="AH235" i="35" s="1" a="1"/>
  <c r="AH235" i="35" s="1"/>
  <c r="AE235" i="35" a="1"/>
  <c r="AE235" i="35" s="1"/>
  <c r="K235" i="35"/>
  <c r="I235" i="35" a="1"/>
  <c r="I235" i="35" s="1"/>
  <c r="H235" i="35" a="1"/>
  <c r="H235" i="35" s="1"/>
  <c r="AQ234" i="35"/>
  <c r="AN234" i="35"/>
  <c r="AO234" i="35" s="1" a="1"/>
  <c r="AO234" i="35" s="1"/>
  <c r="AJ234" i="35"/>
  <c r="AG234" i="35"/>
  <c r="AH234" i="35" s="1" a="1"/>
  <c r="AH234" i="35" s="1"/>
  <c r="AE234" i="35" a="1"/>
  <c r="AE234" i="35" s="1"/>
  <c r="K234" i="35"/>
  <c r="I234" i="35" a="1"/>
  <c r="I234" i="35" s="1"/>
  <c r="H234" i="35" a="1"/>
  <c r="H234" i="35" s="1"/>
  <c r="AQ233" i="35"/>
  <c r="AN233" i="35"/>
  <c r="AO233" i="35" s="1" a="1"/>
  <c r="AO233" i="35" s="1"/>
  <c r="AJ233" i="35"/>
  <c r="AG233" i="35"/>
  <c r="AH233" i="35" s="1" a="1"/>
  <c r="AH233" i="35" s="1"/>
  <c r="AE233" i="35" a="1"/>
  <c r="AE233" i="35" s="1"/>
  <c r="K233" i="35"/>
  <c r="I233" i="35" a="1"/>
  <c r="I233" i="35" s="1"/>
  <c r="H233" i="35" a="1"/>
  <c r="H233" i="35" s="1"/>
  <c r="AQ232" i="35"/>
  <c r="AN232" i="35"/>
  <c r="AO232" i="35" s="1" a="1"/>
  <c r="AO232" i="35" s="1"/>
  <c r="AJ232" i="35"/>
  <c r="AG232" i="35"/>
  <c r="AH232" i="35" s="1" a="1"/>
  <c r="AH232" i="35" s="1"/>
  <c r="AE232" i="35" a="1"/>
  <c r="AE232" i="35" s="1"/>
  <c r="K232" i="35"/>
  <c r="I232" i="35" a="1"/>
  <c r="I232" i="35" s="1"/>
  <c r="H232" i="35" a="1"/>
  <c r="H232" i="35" s="1"/>
  <c r="AQ231" i="35"/>
  <c r="AN231" i="35"/>
  <c r="AO231" i="35" s="1" a="1"/>
  <c r="AO231" i="35" s="1"/>
  <c r="AJ231" i="35"/>
  <c r="AG231" i="35"/>
  <c r="AH231" i="35" s="1" a="1"/>
  <c r="AH231" i="35" s="1"/>
  <c r="AE231" i="35" a="1"/>
  <c r="AE231" i="35" s="1"/>
  <c r="K231" i="35"/>
  <c r="I231" i="35" a="1"/>
  <c r="I231" i="35" s="1"/>
  <c r="H231" i="35" a="1"/>
  <c r="H231" i="35" s="1"/>
  <c r="AQ230" i="35"/>
  <c r="AN230" i="35"/>
  <c r="AO230" i="35" s="1" a="1"/>
  <c r="AO230" i="35" s="1"/>
  <c r="AJ230" i="35"/>
  <c r="AG230" i="35"/>
  <c r="AH230" i="35" s="1" a="1"/>
  <c r="AH230" i="35" s="1"/>
  <c r="AE230" i="35" a="1"/>
  <c r="AE230" i="35" s="1"/>
  <c r="K230" i="35"/>
  <c r="I230" i="35" a="1"/>
  <c r="I230" i="35" s="1"/>
  <c r="H230" i="35" a="1"/>
  <c r="H230" i="35" s="1"/>
  <c r="AQ229" i="35"/>
  <c r="AN229" i="35"/>
  <c r="AO229" i="35" s="1" a="1"/>
  <c r="AO229" i="35" s="1"/>
  <c r="AJ229" i="35"/>
  <c r="AG229" i="35"/>
  <c r="AH229" i="35" s="1" a="1"/>
  <c r="AH229" i="35" s="1"/>
  <c r="AE229" i="35" a="1"/>
  <c r="AE229" i="35" s="1"/>
  <c r="K229" i="35"/>
  <c r="J229" i="35"/>
  <c r="I229" i="35" a="1"/>
  <c r="I229" i="35" s="1"/>
  <c r="H229" i="35" a="1"/>
  <c r="H229" i="35" s="1"/>
  <c r="AQ228" i="35"/>
  <c r="AN228" i="35"/>
  <c r="AO228" i="35" s="1" a="1"/>
  <c r="AO228" i="35" s="1"/>
  <c r="AJ228" i="35"/>
  <c r="AG228" i="35"/>
  <c r="AH228" i="35" s="1" a="1"/>
  <c r="AH228" i="35" s="1"/>
  <c r="AE228" i="35" a="1"/>
  <c r="AE228" i="35" s="1"/>
  <c r="K228" i="35"/>
  <c r="I228" i="35" a="1"/>
  <c r="I228" i="35" s="1"/>
  <c r="H228" i="35" a="1"/>
  <c r="H228" i="35" s="1"/>
  <c r="AQ227" i="35"/>
  <c r="AN227" i="35"/>
  <c r="AO227" i="35" s="1" a="1"/>
  <c r="AO227" i="35" s="1"/>
  <c r="AJ227" i="35"/>
  <c r="AG227" i="35"/>
  <c r="AH227" i="35" s="1" a="1"/>
  <c r="AH227" i="35" s="1"/>
  <c r="AE227" i="35" a="1"/>
  <c r="AE227" i="35" s="1"/>
  <c r="J227" i="35"/>
  <c r="K227" i="35"/>
  <c r="I227" i="35" a="1"/>
  <c r="I227" i="35" s="1"/>
  <c r="H227" i="35" a="1"/>
  <c r="H227" i="35" s="1"/>
  <c r="AQ226" i="35"/>
  <c r="AN226" i="35"/>
  <c r="AO226" i="35" s="1" a="1"/>
  <c r="AO226" i="35" s="1"/>
  <c r="AJ226" i="35"/>
  <c r="AG226" i="35"/>
  <c r="AH226" i="35" s="1" a="1"/>
  <c r="AH226" i="35" s="1"/>
  <c r="AE226" i="35" a="1"/>
  <c r="AE226" i="35" s="1"/>
  <c r="K226" i="35"/>
  <c r="I226" i="35" a="1"/>
  <c r="I226" i="35" s="1"/>
  <c r="H226" i="35" a="1"/>
  <c r="H226" i="35" s="1"/>
  <c r="AQ225" i="35"/>
  <c r="AN225" i="35"/>
  <c r="AO225" i="35" s="1" a="1"/>
  <c r="AO225" i="35" s="1"/>
  <c r="AJ225" i="35"/>
  <c r="AG225" i="35"/>
  <c r="AH225" i="35" s="1" a="1"/>
  <c r="AH225" i="35" s="1"/>
  <c r="AE225" i="35" a="1"/>
  <c r="AE225" i="35" s="1"/>
  <c r="K225" i="35"/>
  <c r="I225" i="35" a="1"/>
  <c r="I225" i="35" s="1"/>
  <c r="H225" i="35" a="1"/>
  <c r="H225" i="35" s="1"/>
  <c r="AQ224" i="35"/>
  <c r="AN224" i="35"/>
  <c r="AO224" i="35" s="1" a="1"/>
  <c r="AO224" i="35" s="1"/>
  <c r="AJ224" i="35"/>
  <c r="AG224" i="35"/>
  <c r="AH224" i="35" s="1" a="1"/>
  <c r="AH224" i="35" s="1"/>
  <c r="AE224" i="35" a="1"/>
  <c r="AE224" i="35" s="1"/>
  <c r="K224" i="35"/>
  <c r="J224" i="35"/>
  <c r="I224" i="35" a="1"/>
  <c r="I224" i="35" s="1"/>
  <c r="H224" i="35" a="1"/>
  <c r="H224" i="35" s="1"/>
  <c r="AQ223" i="35"/>
  <c r="AN223" i="35"/>
  <c r="AO223" i="35" s="1" a="1"/>
  <c r="AO223" i="35" s="1"/>
  <c r="AJ223" i="35"/>
  <c r="AG223" i="35"/>
  <c r="AH223" i="35" s="1" a="1"/>
  <c r="AH223" i="35" s="1"/>
  <c r="AE223" i="35" a="1"/>
  <c r="AE223" i="35" s="1"/>
  <c r="K223" i="35"/>
  <c r="I223" i="35" a="1"/>
  <c r="I223" i="35" s="1"/>
  <c r="L223" i="35" s="1"/>
  <c r="M223" i="35" s="1" a="1"/>
  <c r="M223" i="35" s="1"/>
  <c r="H223" i="35" a="1"/>
  <c r="H223" i="35" s="1"/>
  <c r="AQ222" i="35"/>
  <c r="AN222" i="35"/>
  <c r="AO222" i="35" s="1" a="1"/>
  <c r="AO222" i="35" s="1"/>
  <c r="AJ222" i="35"/>
  <c r="AG222" i="35"/>
  <c r="AH222" i="35" s="1" a="1"/>
  <c r="AH222" i="35" s="1"/>
  <c r="AE222" i="35" a="1"/>
  <c r="AE222" i="35" s="1"/>
  <c r="J222" i="35"/>
  <c r="K222" i="35"/>
  <c r="I222" i="35" a="1"/>
  <c r="I222" i="35" s="1"/>
  <c r="H222" i="35" a="1"/>
  <c r="H222" i="35" s="1"/>
  <c r="AQ221" i="35"/>
  <c r="AN221" i="35"/>
  <c r="AO221" i="35" s="1" a="1"/>
  <c r="AO221" i="35" s="1"/>
  <c r="AJ221" i="35"/>
  <c r="AG221" i="35"/>
  <c r="AH221" i="35" s="1" a="1"/>
  <c r="AH221" i="35" s="1"/>
  <c r="AE221" i="35" a="1"/>
  <c r="AE221" i="35" s="1"/>
  <c r="K221" i="35"/>
  <c r="I221" i="35" a="1"/>
  <c r="I221" i="35" s="1"/>
  <c r="H221" i="35" a="1"/>
  <c r="H221" i="35" s="1"/>
  <c r="AQ220" i="35"/>
  <c r="AN220" i="35"/>
  <c r="AO220" i="35" s="1" a="1"/>
  <c r="AO220" i="35" s="1"/>
  <c r="AJ220" i="35"/>
  <c r="AG220" i="35"/>
  <c r="AH220" i="35" s="1" a="1"/>
  <c r="AH220" i="35" s="1"/>
  <c r="AE220" i="35" a="1"/>
  <c r="AE220" i="35" s="1"/>
  <c r="K220" i="35"/>
  <c r="I220" i="35" a="1"/>
  <c r="I220" i="35" s="1"/>
  <c r="H220" i="35" a="1"/>
  <c r="H220" i="35" s="1"/>
  <c r="AQ219" i="35"/>
  <c r="AN219" i="35"/>
  <c r="AO219" i="35" s="1" a="1"/>
  <c r="AO219" i="35" s="1"/>
  <c r="AJ219" i="35"/>
  <c r="AG219" i="35"/>
  <c r="AH219" i="35" s="1" a="1"/>
  <c r="AH219" i="35" s="1"/>
  <c r="AE219" i="35" a="1"/>
  <c r="AE219" i="35" s="1"/>
  <c r="K219" i="35"/>
  <c r="I219" i="35" a="1"/>
  <c r="I219" i="35" s="1"/>
  <c r="H219" i="35" a="1"/>
  <c r="H219" i="35" s="1"/>
  <c r="AQ218" i="35"/>
  <c r="AN218" i="35"/>
  <c r="AO218" i="35" s="1" a="1"/>
  <c r="AO218" i="35" s="1"/>
  <c r="AJ218" i="35"/>
  <c r="AG218" i="35"/>
  <c r="AH218" i="35" s="1" a="1"/>
  <c r="AH218" i="35" s="1"/>
  <c r="AE218" i="35" a="1"/>
  <c r="AE218" i="35" s="1"/>
  <c r="K218" i="35"/>
  <c r="I218" i="35" a="1"/>
  <c r="I218" i="35" s="1"/>
  <c r="H218" i="35" a="1"/>
  <c r="H218" i="35" s="1"/>
  <c r="AQ217" i="35"/>
  <c r="AN217" i="35"/>
  <c r="AO217" i="35" s="1" a="1"/>
  <c r="AO217" i="35" s="1"/>
  <c r="AJ217" i="35"/>
  <c r="AG217" i="35"/>
  <c r="AH217" i="35" s="1" a="1"/>
  <c r="AH217" i="35" s="1"/>
  <c r="AE217" i="35" a="1"/>
  <c r="AE217" i="35" s="1"/>
  <c r="K217" i="35"/>
  <c r="I217" i="35" a="1"/>
  <c r="I217" i="35" s="1"/>
  <c r="H217" i="35" a="1"/>
  <c r="H217" i="35" s="1"/>
  <c r="AQ216" i="35"/>
  <c r="AN216" i="35"/>
  <c r="AO216" i="35" s="1" a="1"/>
  <c r="AO216" i="35" s="1"/>
  <c r="AJ216" i="35"/>
  <c r="AG216" i="35"/>
  <c r="AH216" i="35" s="1" a="1"/>
  <c r="AH216" i="35" s="1"/>
  <c r="AE216" i="35" a="1"/>
  <c r="AE216" i="35" s="1"/>
  <c r="K216" i="35"/>
  <c r="I216" i="35" a="1"/>
  <c r="I216" i="35" s="1"/>
  <c r="H216" i="35" a="1"/>
  <c r="H216" i="35" s="1"/>
  <c r="AQ215" i="35"/>
  <c r="AN215" i="35"/>
  <c r="AO215" i="35" s="1" a="1"/>
  <c r="AO215" i="35" s="1"/>
  <c r="AJ215" i="35"/>
  <c r="AG215" i="35"/>
  <c r="AH215" i="35" s="1" a="1"/>
  <c r="AH215" i="35" s="1"/>
  <c r="AE215" i="35" a="1"/>
  <c r="AE215" i="35" s="1"/>
  <c r="K215" i="35"/>
  <c r="I215" i="35" a="1"/>
  <c r="I215" i="35" s="1"/>
  <c r="H215" i="35" a="1"/>
  <c r="H215" i="35" s="1"/>
  <c r="AQ214" i="35"/>
  <c r="AN214" i="35"/>
  <c r="AO214" i="35" s="1" a="1"/>
  <c r="AO214" i="35" s="1"/>
  <c r="AJ214" i="35"/>
  <c r="AG214" i="35"/>
  <c r="AH214" i="35" s="1" a="1"/>
  <c r="AH214" i="35" s="1"/>
  <c r="AE214" i="35" a="1"/>
  <c r="AE214" i="35" s="1"/>
  <c r="J214" i="35"/>
  <c r="K214" i="35"/>
  <c r="I214" i="35" a="1"/>
  <c r="I214" i="35" s="1"/>
  <c r="H214" i="35" a="1"/>
  <c r="H214" i="35" s="1"/>
  <c r="AQ213" i="35"/>
  <c r="AN213" i="35"/>
  <c r="AO213" i="35" s="1" a="1"/>
  <c r="AO213" i="35" s="1"/>
  <c r="AJ213" i="35"/>
  <c r="AG213" i="35"/>
  <c r="AH213" i="35" s="1" a="1"/>
  <c r="AH213" i="35" s="1"/>
  <c r="AE213" i="35" a="1"/>
  <c r="AE213" i="35" s="1"/>
  <c r="K213" i="35"/>
  <c r="I213" i="35" a="1"/>
  <c r="I213" i="35" s="1"/>
  <c r="H213" i="35" a="1"/>
  <c r="H213" i="35" s="1"/>
  <c r="AQ212" i="35"/>
  <c r="AN212" i="35"/>
  <c r="AO212" i="35" s="1" a="1"/>
  <c r="AO212" i="35" s="1"/>
  <c r="AJ212" i="35"/>
  <c r="AG212" i="35"/>
  <c r="AH212" i="35" s="1" a="1"/>
  <c r="AH212" i="35" s="1"/>
  <c r="AE212" i="35" a="1"/>
  <c r="AE212" i="35" s="1"/>
  <c r="K212" i="35"/>
  <c r="I212" i="35" a="1"/>
  <c r="I212" i="35" s="1"/>
  <c r="H212" i="35" a="1"/>
  <c r="H212" i="35" s="1"/>
  <c r="AQ211" i="35"/>
  <c r="AN211" i="35"/>
  <c r="AO211" i="35" s="1" a="1"/>
  <c r="AO211" i="35" s="1"/>
  <c r="AJ211" i="35"/>
  <c r="AG211" i="35"/>
  <c r="AH211" i="35" s="1" a="1"/>
  <c r="AH211" i="35" s="1"/>
  <c r="AE211" i="35" a="1"/>
  <c r="AE211" i="35" s="1"/>
  <c r="K211" i="35"/>
  <c r="I211" i="35" a="1"/>
  <c r="I211" i="35" s="1"/>
  <c r="H211" i="35" a="1"/>
  <c r="H211" i="35" s="1"/>
  <c r="AQ210" i="35"/>
  <c r="AN210" i="35"/>
  <c r="AO210" i="35" s="1" a="1"/>
  <c r="AO210" i="35" s="1"/>
  <c r="AJ210" i="35"/>
  <c r="AG210" i="35"/>
  <c r="AH210" i="35" s="1" a="1"/>
  <c r="AH210" i="35" s="1"/>
  <c r="AE210" i="35" a="1"/>
  <c r="AE210" i="35" s="1"/>
  <c r="K210" i="35"/>
  <c r="I210" i="35" a="1"/>
  <c r="I210" i="35" s="1"/>
  <c r="H210" i="35" a="1"/>
  <c r="H210" i="35" s="1"/>
  <c r="AQ209" i="35"/>
  <c r="AN209" i="35"/>
  <c r="AO209" i="35" s="1" a="1"/>
  <c r="AO209" i="35" s="1"/>
  <c r="AJ209" i="35"/>
  <c r="AG209" i="35"/>
  <c r="AH209" i="35" s="1" a="1"/>
  <c r="AH209" i="35" s="1"/>
  <c r="AE209" i="35" a="1"/>
  <c r="AE209" i="35" s="1"/>
  <c r="K209" i="35"/>
  <c r="J209" i="35"/>
  <c r="I209" i="35" a="1"/>
  <c r="I209" i="35" s="1"/>
  <c r="H209" i="35" a="1"/>
  <c r="H209" i="35" s="1"/>
  <c r="AQ208" i="35"/>
  <c r="AN208" i="35"/>
  <c r="AO208" i="35" s="1" a="1"/>
  <c r="AO208" i="35" s="1"/>
  <c r="AJ208" i="35"/>
  <c r="AG208" i="35"/>
  <c r="AH208" i="35" s="1" a="1"/>
  <c r="AH208" i="35" s="1"/>
  <c r="AE208" i="35" a="1"/>
  <c r="AE208" i="35" s="1"/>
  <c r="K208" i="35"/>
  <c r="I208" i="35" a="1"/>
  <c r="I208" i="35" s="1"/>
  <c r="H208" i="35" a="1"/>
  <c r="H208" i="35" s="1"/>
  <c r="AQ207" i="35"/>
  <c r="AN207" i="35"/>
  <c r="AO207" i="35" s="1" a="1"/>
  <c r="AO207" i="35" s="1"/>
  <c r="AJ207" i="35"/>
  <c r="AG207" i="35"/>
  <c r="AH207" i="35" s="1" a="1"/>
  <c r="AH207" i="35" s="1"/>
  <c r="AE207" i="35" a="1"/>
  <c r="AE207" i="35" s="1"/>
  <c r="K207" i="35"/>
  <c r="I207" i="35" a="1"/>
  <c r="I207" i="35" s="1"/>
  <c r="H207" i="35" a="1"/>
  <c r="H207" i="35" s="1"/>
  <c r="AQ206" i="35"/>
  <c r="AN206" i="35"/>
  <c r="AO206" i="35" s="1" a="1"/>
  <c r="AO206" i="35" s="1"/>
  <c r="AJ206" i="35"/>
  <c r="AG206" i="35"/>
  <c r="AH206" i="35" s="1" a="1"/>
  <c r="AH206" i="35" s="1"/>
  <c r="AE206" i="35" a="1"/>
  <c r="AE206" i="35" s="1"/>
  <c r="K206" i="35"/>
  <c r="I206" i="35" a="1"/>
  <c r="I206" i="35" s="1"/>
  <c r="H206" i="35" a="1"/>
  <c r="H206" i="35" s="1"/>
  <c r="AQ205" i="35"/>
  <c r="AN205" i="35"/>
  <c r="AO205" i="35" s="1" a="1"/>
  <c r="AO205" i="35" s="1"/>
  <c r="AJ205" i="35"/>
  <c r="AG205" i="35"/>
  <c r="AH205" i="35" s="1" a="1"/>
  <c r="AH205" i="35" s="1"/>
  <c r="AE205" i="35" a="1"/>
  <c r="AE205" i="35" s="1"/>
  <c r="J205" i="35"/>
  <c r="K205" i="35"/>
  <c r="I205" i="35" a="1"/>
  <c r="I205" i="35" s="1"/>
  <c r="H205" i="35" a="1"/>
  <c r="H205" i="35" s="1"/>
  <c r="AQ204" i="35"/>
  <c r="AN204" i="35"/>
  <c r="AO204" i="35" s="1" a="1"/>
  <c r="AO204" i="35" s="1"/>
  <c r="AJ204" i="35"/>
  <c r="AG204" i="35"/>
  <c r="AH204" i="35" s="1" a="1"/>
  <c r="AH204" i="35" s="1"/>
  <c r="AE204" i="35" a="1"/>
  <c r="AE204" i="35" s="1"/>
  <c r="K204" i="35"/>
  <c r="I204" i="35" a="1"/>
  <c r="I204" i="35" s="1"/>
  <c r="H204" i="35" a="1"/>
  <c r="H204" i="35" s="1"/>
  <c r="AQ203" i="35"/>
  <c r="AN203" i="35"/>
  <c r="AO203" i="35" s="1" a="1"/>
  <c r="AO203" i="35" s="1"/>
  <c r="AJ203" i="35"/>
  <c r="AG203" i="35"/>
  <c r="AH203" i="35" s="1" a="1"/>
  <c r="AH203" i="35" s="1"/>
  <c r="AE203" i="35" a="1"/>
  <c r="AE203" i="35" s="1"/>
  <c r="J203" i="35"/>
  <c r="K203" i="35"/>
  <c r="I203" i="35" a="1"/>
  <c r="I203" i="35" s="1"/>
  <c r="H203" i="35" a="1"/>
  <c r="H203" i="35" s="1"/>
  <c r="AQ202" i="35"/>
  <c r="AN202" i="35"/>
  <c r="AO202" i="35" s="1" a="1"/>
  <c r="AO202" i="35" s="1"/>
  <c r="AJ202" i="35"/>
  <c r="AG202" i="35"/>
  <c r="AH202" i="35" s="1" a="1"/>
  <c r="AH202" i="35" s="1"/>
  <c r="AE202" i="35" a="1"/>
  <c r="AE202" i="35" s="1"/>
  <c r="J202" i="35"/>
  <c r="K202" i="35"/>
  <c r="I202" i="35" a="1"/>
  <c r="I202" i="35" s="1"/>
  <c r="H202" i="35" a="1"/>
  <c r="H202" i="35" s="1"/>
  <c r="AQ201" i="35"/>
  <c r="AN201" i="35"/>
  <c r="AO201" i="35" s="1" a="1"/>
  <c r="AO201" i="35" s="1"/>
  <c r="AJ201" i="35"/>
  <c r="AG201" i="35"/>
  <c r="AH201" i="35" s="1" a="1"/>
  <c r="AH201" i="35" s="1"/>
  <c r="AE201" i="35" a="1"/>
  <c r="AE201" i="35" s="1"/>
  <c r="K201" i="35"/>
  <c r="I201" i="35" a="1"/>
  <c r="I201" i="35" s="1"/>
  <c r="H201" i="35" a="1"/>
  <c r="H201" i="35" s="1"/>
  <c r="AQ200" i="35"/>
  <c r="AN200" i="35"/>
  <c r="AO200" i="35" s="1" a="1"/>
  <c r="AO200" i="35" s="1"/>
  <c r="AJ200" i="35"/>
  <c r="AG200" i="35"/>
  <c r="AH200" i="35" s="1" a="1"/>
  <c r="AH200" i="35" s="1"/>
  <c r="AE200" i="35" a="1"/>
  <c r="AE200" i="35" s="1"/>
  <c r="K200" i="35"/>
  <c r="I200" i="35" a="1"/>
  <c r="I200" i="35" s="1"/>
  <c r="H200" i="35" a="1"/>
  <c r="H200" i="35" s="1"/>
  <c r="AQ199" i="35"/>
  <c r="AN199" i="35"/>
  <c r="AO199" i="35" s="1" a="1"/>
  <c r="AO199" i="35" s="1"/>
  <c r="AJ199" i="35"/>
  <c r="AG199" i="35"/>
  <c r="AH199" i="35" s="1" a="1"/>
  <c r="AH199" i="35" s="1"/>
  <c r="AE199" i="35" a="1"/>
  <c r="AE199" i="35" s="1"/>
  <c r="K199" i="35"/>
  <c r="I199" i="35" a="1"/>
  <c r="I199" i="35" s="1"/>
  <c r="H199" i="35" a="1"/>
  <c r="H199" i="35" s="1"/>
  <c r="AQ198" i="35"/>
  <c r="AN198" i="35"/>
  <c r="AO198" i="35" s="1" a="1"/>
  <c r="AO198" i="35" s="1"/>
  <c r="AJ198" i="35"/>
  <c r="AG198" i="35"/>
  <c r="AH198" i="35" s="1" a="1"/>
  <c r="AH198" i="35" s="1"/>
  <c r="AE198" i="35" a="1"/>
  <c r="AE198" i="35" s="1"/>
  <c r="K198" i="35"/>
  <c r="I198" i="35" a="1"/>
  <c r="I198" i="35" s="1"/>
  <c r="H198" i="35" a="1"/>
  <c r="H198" i="35" s="1"/>
  <c r="AQ197" i="35"/>
  <c r="AN197" i="35"/>
  <c r="AO197" i="35" s="1" a="1"/>
  <c r="AO197" i="35" s="1"/>
  <c r="AJ197" i="35"/>
  <c r="AG197" i="35"/>
  <c r="AH197" i="35" s="1" a="1"/>
  <c r="AH197" i="35" s="1"/>
  <c r="AE197" i="35" a="1"/>
  <c r="AE197" i="35" s="1"/>
  <c r="K197" i="35"/>
  <c r="I197" i="35" a="1"/>
  <c r="I197" i="35" s="1"/>
  <c r="H197" i="35" a="1"/>
  <c r="H197" i="35" s="1"/>
  <c r="AQ196" i="35"/>
  <c r="AN196" i="35"/>
  <c r="AO196" i="35" s="1" a="1"/>
  <c r="AO196" i="35" s="1"/>
  <c r="AJ196" i="35"/>
  <c r="AG196" i="35"/>
  <c r="AH196" i="35" s="1" a="1"/>
  <c r="AH196" i="35" s="1"/>
  <c r="AE196" i="35" a="1"/>
  <c r="AE196" i="35" s="1"/>
  <c r="K196" i="35"/>
  <c r="I196" i="35" a="1"/>
  <c r="I196" i="35" s="1"/>
  <c r="H196" i="35" a="1"/>
  <c r="H196" i="35" s="1"/>
  <c r="AQ195" i="35"/>
  <c r="AN195" i="35"/>
  <c r="AO195" i="35" s="1" a="1"/>
  <c r="AO195" i="35" s="1"/>
  <c r="AJ195" i="35"/>
  <c r="AG195" i="35"/>
  <c r="AH195" i="35" s="1" a="1"/>
  <c r="AH195" i="35" s="1"/>
  <c r="AE195" i="35" a="1"/>
  <c r="AE195" i="35" s="1"/>
  <c r="K195" i="35"/>
  <c r="I195" i="35" a="1"/>
  <c r="I195" i="35" s="1"/>
  <c r="H195" i="35" a="1"/>
  <c r="H195" i="35" s="1"/>
  <c r="AQ194" i="35"/>
  <c r="AN194" i="35"/>
  <c r="AO194" i="35" s="1" a="1"/>
  <c r="AO194" i="35" s="1"/>
  <c r="AJ194" i="35"/>
  <c r="AG194" i="35"/>
  <c r="AH194" i="35" s="1" a="1"/>
  <c r="AH194" i="35" s="1"/>
  <c r="AE194" i="35" a="1"/>
  <c r="AE194" i="35" s="1"/>
  <c r="K194" i="35"/>
  <c r="I194" i="35" a="1"/>
  <c r="I194" i="35" s="1"/>
  <c r="H194" i="35" a="1"/>
  <c r="H194" i="35" s="1"/>
  <c r="AQ193" i="35"/>
  <c r="AN193" i="35"/>
  <c r="AO193" i="35" s="1" a="1"/>
  <c r="AO193" i="35" s="1"/>
  <c r="AJ193" i="35"/>
  <c r="AG193" i="35"/>
  <c r="AH193" i="35" s="1" a="1"/>
  <c r="AH193" i="35" s="1"/>
  <c r="AE193" i="35" a="1"/>
  <c r="AE193" i="35" s="1"/>
  <c r="K193" i="35"/>
  <c r="I193" i="35" a="1"/>
  <c r="I193" i="35" s="1"/>
  <c r="H193" i="35" a="1"/>
  <c r="H193" i="35" s="1"/>
  <c r="AQ192" i="35"/>
  <c r="AN192" i="35"/>
  <c r="AO192" i="35" s="1" a="1"/>
  <c r="AO192" i="35" s="1"/>
  <c r="AJ192" i="35"/>
  <c r="AG192" i="35"/>
  <c r="AH192" i="35" s="1" a="1"/>
  <c r="AH192" i="35" s="1"/>
  <c r="AE192" i="35" a="1"/>
  <c r="AE192" i="35" s="1"/>
  <c r="K192" i="35"/>
  <c r="I192" i="35" a="1"/>
  <c r="I192" i="35" s="1"/>
  <c r="H192" i="35" a="1"/>
  <c r="H192" i="35" s="1"/>
  <c r="AQ191" i="35"/>
  <c r="AN191" i="35"/>
  <c r="AO191" i="35" s="1" a="1"/>
  <c r="AO191" i="35" s="1"/>
  <c r="AJ191" i="35"/>
  <c r="AG191" i="35"/>
  <c r="AH191" i="35" s="1" a="1"/>
  <c r="AH191" i="35" s="1"/>
  <c r="AE191" i="35" a="1"/>
  <c r="AE191" i="35" s="1"/>
  <c r="K191" i="35"/>
  <c r="I191" i="35" a="1"/>
  <c r="I191" i="35" s="1"/>
  <c r="H191" i="35" a="1"/>
  <c r="H191" i="35" s="1"/>
  <c r="AQ190" i="35"/>
  <c r="AN190" i="35"/>
  <c r="AO190" i="35" s="1" a="1"/>
  <c r="AO190" i="35" s="1"/>
  <c r="AJ190" i="35"/>
  <c r="AG190" i="35"/>
  <c r="AH190" i="35" s="1" a="1"/>
  <c r="AH190" i="35" s="1"/>
  <c r="AE190" i="35" a="1"/>
  <c r="AE190" i="35" s="1"/>
  <c r="K190" i="35"/>
  <c r="I190" i="35" a="1"/>
  <c r="I190" i="35" s="1"/>
  <c r="H190" i="35" a="1"/>
  <c r="H190" i="35" s="1"/>
  <c r="AQ189" i="35"/>
  <c r="AN189" i="35"/>
  <c r="AO189" i="35" s="1" a="1"/>
  <c r="AO189" i="35" s="1"/>
  <c r="AJ189" i="35"/>
  <c r="AG189" i="35"/>
  <c r="AH189" i="35" s="1" a="1"/>
  <c r="AH189" i="35" s="1"/>
  <c r="AE189" i="35" a="1"/>
  <c r="AE189" i="35" s="1"/>
  <c r="K189" i="35"/>
  <c r="I189" i="35" a="1"/>
  <c r="I189" i="35" s="1"/>
  <c r="H189" i="35" a="1"/>
  <c r="H189" i="35" s="1"/>
  <c r="AQ188" i="35"/>
  <c r="AN188" i="35"/>
  <c r="AO188" i="35" s="1" a="1"/>
  <c r="AO188" i="35" s="1"/>
  <c r="AJ188" i="35"/>
  <c r="AG188" i="35"/>
  <c r="AH188" i="35" s="1" a="1"/>
  <c r="AH188" i="35" s="1"/>
  <c r="AE188" i="35" a="1"/>
  <c r="AE188" i="35" s="1"/>
  <c r="J188" i="35"/>
  <c r="K188" i="35"/>
  <c r="I188" i="35" a="1"/>
  <c r="I188" i="35" s="1"/>
  <c r="H188" i="35" a="1"/>
  <c r="H188" i="35" s="1"/>
  <c r="AQ187" i="35"/>
  <c r="AN187" i="35"/>
  <c r="AO187" i="35" s="1" a="1"/>
  <c r="AO187" i="35" s="1"/>
  <c r="AJ187" i="35"/>
  <c r="AG187" i="35"/>
  <c r="AH187" i="35" s="1" a="1"/>
  <c r="AH187" i="35" s="1"/>
  <c r="AE187" i="35" a="1"/>
  <c r="AE187" i="35" s="1"/>
  <c r="K187" i="35"/>
  <c r="I187" i="35" a="1"/>
  <c r="I187" i="35" s="1"/>
  <c r="H187" i="35" a="1"/>
  <c r="H187" i="35" s="1"/>
  <c r="AQ186" i="35"/>
  <c r="AN186" i="35"/>
  <c r="AO186" i="35" s="1" a="1"/>
  <c r="AO186" i="35" s="1"/>
  <c r="AJ186" i="35"/>
  <c r="AG186" i="35"/>
  <c r="AH186" i="35" s="1" a="1"/>
  <c r="AH186" i="35" s="1"/>
  <c r="AE186" i="35" a="1"/>
  <c r="AE186" i="35" s="1"/>
  <c r="J186" i="35"/>
  <c r="K186" i="35"/>
  <c r="I186" i="35" a="1"/>
  <c r="I186" i="35" s="1"/>
  <c r="H186" i="35" a="1"/>
  <c r="H186" i="35" s="1"/>
  <c r="AQ185" i="35"/>
  <c r="AN185" i="35"/>
  <c r="AO185" i="35" s="1" a="1"/>
  <c r="AO185" i="35" s="1"/>
  <c r="AJ185" i="35"/>
  <c r="AG185" i="35"/>
  <c r="AH185" i="35" s="1" a="1"/>
  <c r="AH185" i="35" s="1"/>
  <c r="AE185" i="35" a="1"/>
  <c r="AE185" i="35" s="1"/>
  <c r="K185" i="35"/>
  <c r="I185" i="35" a="1"/>
  <c r="I185" i="35" s="1"/>
  <c r="H185" i="35" a="1"/>
  <c r="H185" i="35" s="1"/>
  <c r="AQ184" i="35"/>
  <c r="AN184" i="35"/>
  <c r="AO184" i="35" s="1" a="1"/>
  <c r="AO184" i="35" s="1"/>
  <c r="AJ184" i="35"/>
  <c r="AG184" i="35"/>
  <c r="AH184" i="35" s="1" a="1"/>
  <c r="AH184" i="35" s="1"/>
  <c r="AE184" i="35" a="1"/>
  <c r="AE184" i="35" s="1"/>
  <c r="K184" i="35"/>
  <c r="I184" i="35" a="1"/>
  <c r="I184" i="35" s="1"/>
  <c r="H184" i="35" a="1"/>
  <c r="H184" i="35" s="1"/>
  <c r="AQ183" i="35"/>
  <c r="AN183" i="35"/>
  <c r="AO183" i="35" s="1" a="1"/>
  <c r="AO183" i="35" s="1"/>
  <c r="AJ183" i="35"/>
  <c r="AG183" i="35"/>
  <c r="AH183" i="35" s="1" a="1"/>
  <c r="AH183" i="35" s="1"/>
  <c r="AE183" i="35" a="1"/>
  <c r="AE183" i="35" s="1"/>
  <c r="K183" i="35"/>
  <c r="I183" i="35" a="1"/>
  <c r="I183" i="35" s="1"/>
  <c r="H183" i="35" a="1"/>
  <c r="H183" i="35" s="1"/>
  <c r="AQ182" i="35"/>
  <c r="AN182" i="35"/>
  <c r="AO182" i="35" s="1" a="1"/>
  <c r="AO182" i="35" s="1"/>
  <c r="AJ182" i="35"/>
  <c r="AG182" i="35"/>
  <c r="AH182" i="35" s="1" a="1"/>
  <c r="AH182" i="35" s="1"/>
  <c r="AE182" i="35" a="1"/>
  <c r="AE182" i="35" s="1"/>
  <c r="K182" i="35"/>
  <c r="I182" i="35" a="1"/>
  <c r="I182" i="35" s="1"/>
  <c r="H182" i="35" a="1"/>
  <c r="H182" i="35" s="1"/>
  <c r="AQ181" i="35"/>
  <c r="AN181" i="35"/>
  <c r="AO181" i="35" s="1" a="1"/>
  <c r="AO181" i="35" s="1"/>
  <c r="AJ181" i="35"/>
  <c r="AG181" i="35"/>
  <c r="AH181" i="35" s="1" a="1"/>
  <c r="AH181" i="35" s="1"/>
  <c r="AE181" i="35" a="1"/>
  <c r="AE181" i="35" s="1"/>
  <c r="K181" i="35"/>
  <c r="I181" i="35" a="1"/>
  <c r="I181" i="35" s="1"/>
  <c r="H181" i="35" a="1"/>
  <c r="H181" i="35" s="1"/>
  <c r="AQ180" i="35"/>
  <c r="AN180" i="35"/>
  <c r="AO180" i="35" s="1" a="1"/>
  <c r="AO180" i="35" s="1"/>
  <c r="AJ180" i="35"/>
  <c r="AG180" i="35"/>
  <c r="AH180" i="35" s="1" a="1"/>
  <c r="AH180" i="35" s="1"/>
  <c r="AE180" i="35" a="1"/>
  <c r="AE180" i="35" s="1"/>
  <c r="K180" i="35"/>
  <c r="I180" i="35" a="1"/>
  <c r="I180" i="35" s="1"/>
  <c r="H180" i="35" a="1"/>
  <c r="H180" i="35" s="1"/>
  <c r="AQ179" i="35"/>
  <c r="AN179" i="35"/>
  <c r="AO179" i="35" s="1" a="1"/>
  <c r="AO179" i="35" s="1"/>
  <c r="AJ179" i="35"/>
  <c r="AG179" i="35"/>
  <c r="AH179" i="35" s="1" a="1"/>
  <c r="AH179" i="35" s="1"/>
  <c r="AE179" i="35" a="1"/>
  <c r="AE179" i="35" s="1"/>
  <c r="K179" i="35"/>
  <c r="I179" i="35" a="1"/>
  <c r="I179" i="35" s="1"/>
  <c r="H179" i="35" a="1"/>
  <c r="H179" i="35" s="1"/>
  <c r="AQ178" i="35"/>
  <c r="AN178" i="35"/>
  <c r="AO178" i="35" s="1" a="1"/>
  <c r="AO178" i="35" s="1"/>
  <c r="AJ178" i="35"/>
  <c r="AG178" i="35"/>
  <c r="AH178" i="35" s="1" a="1"/>
  <c r="AH178" i="35" s="1"/>
  <c r="AE178" i="35" a="1"/>
  <c r="AE178" i="35" s="1"/>
  <c r="K178" i="35"/>
  <c r="I178" i="35" a="1"/>
  <c r="I178" i="35" s="1"/>
  <c r="H178" i="35" a="1"/>
  <c r="H178" i="35" s="1"/>
  <c r="AQ177" i="35"/>
  <c r="AN177" i="35"/>
  <c r="AO177" i="35" s="1" a="1"/>
  <c r="AO177" i="35" s="1"/>
  <c r="AJ177" i="35"/>
  <c r="AG177" i="35"/>
  <c r="AH177" i="35" s="1" a="1"/>
  <c r="AH177" i="35" s="1"/>
  <c r="AE177" i="35" a="1"/>
  <c r="AE177" i="35" s="1"/>
  <c r="K177" i="35"/>
  <c r="I177" i="35" a="1"/>
  <c r="I177" i="35" s="1"/>
  <c r="H177" i="35" a="1"/>
  <c r="H177" i="35" s="1"/>
  <c r="AQ176" i="35"/>
  <c r="AN176" i="35"/>
  <c r="AO176" i="35" s="1" a="1"/>
  <c r="AO176" i="35" s="1"/>
  <c r="AJ176" i="35"/>
  <c r="AG176" i="35"/>
  <c r="AH176" i="35" s="1" a="1"/>
  <c r="AH176" i="35" s="1"/>
  <c r="AE176" i="35" a="1"/>
  <c r="AE176" i="35" s="1"/>
  <c r="K176" i="35"/>
  <c r="I176" i="35" a="1"/>
  <c r="I176" i="35" s="1"/>
  <c r="H176" i="35" a="1"/>
  <c r="H176" i="35" s="1"/>
  <c r="AQ175" i="35"/>
  <c r="AN175" i="35"/>
  <c r="AO175" i="35" s="1" a="1"/>
  <c r="AO175" i="35" s="1"/>
  <c r="AJ175" i="35"/>
  <c r="AG175" i="35"/>
  <c r="AH175" i="35" s="1" a="1"/>
  <c r="AH175" i="35" s="1"/>
  <c r="AE175" i="35" a="1"/>
  <c r="AE175" i="35" s="1"/>
  <c r="K175" i="35"/>
  <c r="J175" i="35"/>
  <c r="I175" i="35" a="1"/>
  <c r="I175" i="35" s="1"/>
  <c r="H175" i="35" a="1"/>
  <c r="H175" i="35" s="1"/>
  <c r="AQ174" i="35"/>
  <c r="AN174" i="35"/>
  <c r="AO174" i="35" s="1" a="1"/>
  <c r="AO174" i="35" s="1"/>
  <c r="AJ174" i="35"/>
  <c r="AG174" i="35"/>
  <c r="AH174" i="35" s="1" a="1"/>
  <c r="AH174" i="35" s="1"/>
  <c r="AE174" i="35" a="1"/>
  <c r="AE174" i="35" s="1"/>
  <c r="K174" i="35"/>
  <c r="I174" i="35" a="1"/>
  <c r="I174" i="35" s="1"/>
  <c r="H174" i="35" a="1"/>
  <c r="H174" i="35" s="1"/>
  <c r="AQ173" i="35"/>
  <c r="AN173" i="35"/>
  <c r="AO173" i="35" s="1" a="1"/>
  <c r="AO173" i="35" s="1"/>
  <c r="AJ173" i="35"/>
  <c r="AG173" i="35"/>
  <c r="AH173" i="35" s="1" a="1"/>
  <c r="AH173" i="35" s="1"/>
  <c r="AE173" i="35" a="1"/>
  <c r="AE173" i="35" s="1"/>
  <c r="J173" i="35"/>
  <c r="K173" i="35"/>
  <c r="I173" i="35" a="1"/>
  <c r="I173" i="35" s="1"/>
  <c r="H173" i="35" a="1"/>
  <c r="H173" i="35" s="1"/>
  <c r="AQ172" i="35"/>
  <c r="AN172" i="35"/>
  <c r="AO172" i="35" s="1" a="1"/>
  <c r="AO172" i="35" s="1"/>
  <c r="AJ172" i="35"/>
  <c r="AG172" i="35"/>
  <c r="AH172" i="35" s="1" a="1"/>
  <c r="AH172" i="35" s="1"/>
  <c r="AE172" i="35" a="1"/>
  <c r="AE172" i="35" s="1"/>
  <c r="K172" i="35"/>
  <c r="I172" i="35" a="1"/>
  <c r="I172" i="35" s="1"/>
  <c r="H172" i="35" a="1"/>
  <c r="H172" i="35" s="1"/>
  <c r="AQ171" i="35"/>
  <c r="AN171" i="35"/>
  <c r="AO171" i="35" s="1" a="1"/>
  <c r="AO171" i="35" s="1"/>
  <c r="AJ171" i="35"/>
  <c r="AG171" i="35"/>
  <c r="AH171" i="35" s="1" a="1"/>
  <c r="AH171" i="35" s="1"/>
  <c r="AE171" i="35" a="1"/>
  <c r="AE171" i="35" s="1"/>
  <c r="K171" i="35"/>
  <c r="I171" i="35" a="1"/>
  <c r="I171" i="35" s="1"/>
  <c r="H171" i="35" a="1"/>
  <c r="H171" i="35" s="1"/>
  <c r="AQ170" i="35"/>
  <c r="AN170" i="35"/>
  <c r="AO170" i="35" s="1" a="1"/>
  <c r="AO170" i="35" s="1"/>
  <c r="AJ170" i="35"/>
  <c r="AG170" i="35"/>
  <c r="AH170" i="35" s="1" a="1"/>
  <c r="AH170" i="35" s="1"/>
  <c r="AE170" i="35" a="1"/>
  <c r="AE170" i="35" s="1"/>
  <c r="J170" i="35"/>
  <c r="K170" i="35"/>
  <c r="I170" i="35" a="1"/>
  <c r="I170" i="35" s="1"/>
  <c r="H170" i="35" a="1"/>
  <c r="H170" i="35" s="1"/>
  <c r="AQ169" i="35"/>
  <c r="AN169" i="35"/>
  <c r="AO169" i="35" s="1" a="1"/>
  <c r="AO169" i="35" s="1"/>
  <c r="AJ169" i="35"/>
  <c r="AG169" i="35"/>
  <c r="AH169" i="35" s="1" a="1"/>
  <c r="AH169" i="35" s="1"/>
  <c r="AE169" i="35" a="1"/>
  <c r="AE169" i="35" s="1"/>
  <c r="K169" i="35"/>
  <c r="I169" i="35" a="1"/>
  <c r="I169" i="35" s="1"/>
  <c r="H169" i="35" a="1"/>
  <c r="H169" i="35" s="1"/>
  <c r="AQ168" i="35"/>
  <c r="AN168" i="35"/>
  <c r="AO168" i="35" s="1" a="1"/>
  <c r="AO168" i="35" s="1"/>
  <c r="AJ168" i="35"/>
  <c r="AG168" i="35"/>
  <c r="AH168" i="35" s="1" a="1"/>
  <c r="AH168" i="35" s="1"/>
  <c r="AE168" i="35" a="1"/>
  <c r="AE168" i="35" s="1"/>
  <c r="K168" i="35"/>
  <c r="I168" i="35" a="1"/>
  <c r="I168" i="35" s="1"/>
  <c r="H168" i="35" a="1"/>
  <c r="H168" i="35" s="1"/>
  <c r="AQ167" i="35"/>
  <c r="AN167" i="35"/>
  <c r="AO167" i="35" s="1" a="1"/>
  <c r="AO167" i="35" s="1"/>
  <c r="AJ167" i="35"/>
  <c r="AG167" i="35"/>
  <c r="AH167" i="35" s="1" a="1"/>
  <c r="AH167" i="35" s="1"/>
  <c r="AE167" i="35" a="1"/>
  <c r="AE167" i="35" s="1"/>
  <c r="K167" i="35"/>
  <c r="I167" i="35" a="1"/>
  <c r="I167" i="35" s="1"/>
  <c r="H167" i="35" a="1"/>
  <c r="H167" i="35" s="1"/>
  <c r="AQ166" i="35"/>
  <c r="AN166" i="35"/>
  <c r="AO166" i="35" s="1" a="1"/>
  <c r="AO166" i="35" s="1"/>
  <c r="AJ166" i="35"/>
  <c r="AG166" i="35"/>
  <c r="AH166" i="35" s="1" a="1"/>
  <c r="AH166" i="35" s="1"/>
  <c r="AE166" i="35" a="1"/>
  <c r="AE166" i="35" s="1"/>
  <c r="K166" i="35"/>
  <c r="I166" i="35" a="1"/>
  <c r="I166" i="35" s="1"/>
  <c r="H166" i="35" a="1"/>
  <c r="H166" i="35" s="1"/>
  <c r="AQ165" i="35"/>
  <c r="AN165" i="35"/>
  <c r="AO165" i="35" s="1" a="1"/>
  <c r="AO165" i="35" s="1"/>
  <c r="AJ165" i="35"/>
  <c r="AG165" i="35"/>
  <c r="AH165" i="35" s="1" a="1"/>
  <c r="AH165" i="35" s="1"/>
  <c r="AE165" i="35" a="1"/>
  <c r="AE165" i="35" s="1"/>
  <c r="K165" i="35"/>
  <c r="I165" i="35" a="1"/>
  <c r="I165" i="35" s="1"/>
  <c r="H165" i="35" a="1"/>
  <c r="H165" i="35" s="1"/>
  <c r="AQ164" i="35"/>
  <c r="AN164" i="35"/>
  <c r="AO164" i="35" s="1" a="1"/>
  <c r="AO164" i="35" s="1"/>
  <c r="AJ164" i="35"/>
  <c r="AG164" i="35"/>
  <c r="AH164" i="35" s="1" a="1"/>
  <c r="AH164" i="35" s="1"/>
  <c r="AE164" i="35" a="1"/>
  <c r="AE164" i="35" s="1"/>
  <c r="K164" i="35"/>
  <c r="I164" i="35" a="1"/>
  <c r="I164" i="35" s="1"/>
  <c r="H164" i="35" a="1"/>
  <c r="H164" i="35" s="1"/>
  <c r="AQ163" i="35"/>
  <c r="AN163" i="35"/>
  <c r="AO163" i="35" s="1" a="1"/>
  <c r="AO163" i="35" s="1"/>
  <c r="AJ163" i="35"/>
  <c r="AG163" i="35"/>
  <c r="AH163" i="35" s="1" a="1"/>
  <c r="AH163" i="35" s="1"/>
  <c r="AE163" i="35" a="1"/>
  <c r="AE163" i="35" s="1"/>
  <c r="K163" i="35"/>
  <c r="I163" i="35" a="1"/>
  <c r="I163" i="35" s="1"/>
  <c r="H163" i="35" a="1"/>
  <c r="H163" i="35" s="1"/>
  <c r="AQ162" i="35"/>
  <c r="AN162" i="35"/>
  <c r="AO162" i="35" s="1" a="1"/>
  <c r="AO162" i="35" s="1"/>
  <c r="AJ162" i="35"/>
  <c r="AG162" i="35"/>
  <c r="AH162" i="35" s="1" a="1"/>
  <c r="AH162" i="35" s="1"/>
  <c r="AE162" i="35" a="1"/>
  <c r="AE162" i="35" s="1"/>
  <c r="K162" i="35"/>
  <c r="I162" i="35" a="1"/>
  <c r="I162" i="35" s="1"/>
  <c r="H162" i="35" a="1"/>
  <c r="H162" i="35" s="1"/>
  <c r="AQ161" i="35"/>
  <c r="AN161" i="35"/>
  <c r="AO161" i="35" s="1" a="1"/>
  <c r="AO161" i="35" s="1"/>
  <c r="AJ161" i="35"/>
  <c r="AG161" i="35"/>
  <c r="AH161" i="35" s="1" a="1"/>
  <c r="AH161" i="35" s="1"/>
  <c r="AE161" i="35" a="1"/>
  <c r="AE161" i="35" s="1"/>
  <c r="K161" i="35"/>
  <c r="I161" i="35" a="1"/>
  <c r="I161" i="35" s="1"/>
  <c r="H161" i="35" a="1"/>
  <c r="H161" i="35" s="1"/>
  <c r="AQ160" i="35"/>
  <c r="AN160" i="35"/>
  <c r="AO160" i="35" s="1" a="1"/>
  <c r="AO160" i="35" s="1"/>
  <c r="AJ160" i="35"/>
  <c r="AG160" i="35"/>
  <c r="AH160" i="35" s="1" a="1"/>
  <c r="AH160" i="35" s="1"/>
  <c r="AE160" i="35" a="1"/>
  <c r="AE160" i="35" s="1"/>
  <c r="K160" i="35"/>
  <c r="I160" i="35" a="1"/>
  <c r="I160" i="35" s="1"/>
  <c r="H160" i="35" a="1"/>
  <c r="H160" i="35" s="1"/>
  <c r="AQ159" i="35"/>
  <c r="AN159" i="35"/>
  <c r="AO159" i="35" s="1" a="1"/>
  <c r="AO159" i="35" s="1"/>
  <c r="AJ159" i="35"/>
  <c r="AG159" i="35"/>
  <c r="AH159" i="35" s="1" a="1"/>
  <c r="AH159" i="35" s="1"/>
  <c r="AE159" i="35" a="1"/>
  <c r="AE159" i="35" s="1"/>
  <c r="K159" i="35"/>
  <c r="I159" i="35" a="1"/>
  <c r="I159" i="35" s="1"/>
  <c r="H159" i="35" a="1"/>
  <c r="H159" i="35" s="1"/>
  <c r="AQ158" i="35"/>
  <c r="AN158" i="35"/>
  <c r="AO158" i="35" s="1" a="1"/>
  <c r="AO158" i="35" s="1"/>
  <c r="AJ158" i="35"/>
  <c r="AG158" i="35"/>
  <c r="AH158" i="35" s="1" a="1"/>
  <c r="AH158" i="35" s="1"/>
  <c r="AE158" i="35" a="1"/>
  <c r="AE158" i="35" s="1"/>
  <c r="K158" i="35"/>
  <c r="I158" i="35" a="1"/>
  <c r="I158" i="35" s="1"/>
  <c r="H158" i="35" a="1"/>
  <c r="H158" i="35" s="1"/>
  <c r="AQ157" i="35"/>
  <c r="AN157" i="35"/>
  <c r="AO157" i="35" s="1" a="1"/>
  <c r="AO157" i="35" s="1"/>
  <c r="AJ157" i="35"/>
  <c r="AG157" i="35"/>
  <c r="AH157" i="35" s="1" a="1"/>
  <c r="AH157" i="35" s="1"/>
  <c r="AE157" i="35" a="1"/>
  <c r="AE157" i="35" s="1"/>
  <c r="K157" i="35"/>
  <c r="I157" i="35" a="1"/>
  <c r="I157" i="35" s="1"/>
  <c r="H157" i="35" a="1"/>
  <c r="H157" i="35" s="1"/>
  <c r="AQ156" i="35"/>
  <c r="AN156" i="35"/>
  <c r="AO156" i="35" s="1" a="1"/>
  <c r="AO156" i="35" s="1"/>
  <c r="AJ156" i="35"/>
  <c r="AG156" i="35"/>
  <c r="AH156" i="35" s="1" a="1"/>
  <c r="AH156" i="35" s="1"/>
  <c r="AE156" i="35" a="1"/>
  <c r="AE156" i="35" s="1"/>
  <c r="J156" i="35"/>
  <c r="K156" i="35"/>
  <c r="I156" i="35" a="1"/>
  <c r="I156" i="35" s="1"/>
  <c r="H156" i="35" a="1"/>
  <c r="H156" i="35" s="1"/>
  <c r="AQ155" i="35"/>
  <c r="AN155" i="35"/>
  <c r="AO155" i="35" s="1" a="1"/>
  <c r="AO155" i="35" s="1"/>
  <c r="AJ155" i="35"/>
  <c r="AG155" i="35"/>
  <c r="AH155" i="35" s="1" a="1"/>
  <c r="AH155" i="35" s="1"/>
  <c r="AE155" i="35" a="1"/>
  <c r="AE155" i="35" s="1"/>
  <c r="K155" i="35"/>
  <c r="I155" i="35" a="1"/>
  <c r="I155" i="35" s="1"/>
  <c r="H155" i="35" a="1"/>
  <c r="H155" i="35" s="1"/>
  <c r="AQ154" i="35"/>
  <c r="AN154" i="35"/>
  <c r="AO154" i="35" s="1" a="1"/>
  <c r="AO154" i="35" s="1"/>
  <c r="AJ154" i="35"/>
  <c r="AG154" i="35"/>
  <c r="AH154" i="35" s="1" a="1"/>
  <c r="AH154" i="35" s="1"/>
  <c r="AE154" i="35" a="1"/>
  <c r="AE154" i="35" s="1"/>
  <c r="K154" i="35"/>
  <c r="I154" i="35" a="1"/>
  <c r="I154" i="35" s="1"/>
  <c r="H154" i="35" a="1"/>
  <c r="H154" i="35" s="1"/>
  <c r="AQ153" i="35"/>
  <c r="AN153" i="35"/>
  <c r="AO153" i="35" s="1" a="1"/>
  <c r="AO153" i="35" s="1"/>
  <c r="AJ153" i="35"/>
  <c r="AG153" i="35"/>
  <c r="AH153" i="35" s="1" a="1"/>
  <c r="AH153" i="35" s="1"/>
  <c r="AE153" i="35" a="1"/>
  <c r="AE153" i="35" s="1"/>
  <c r="K153" i="35"/>
  <c r="I153" i="35" a="1"/>
  <c r="I153" i="35" s="1"/>
  <c r="H153" i="35" a="1"/>
  <c r="H153" i="35" s="1"/>
  <c r="AQ152" i="35"/>
  <c r="AN152" i="35"/>
  <c r="AO152" i="35" s="1" a="1"/>
  <c r="AO152" i="35" s="1"/>
  <c r="AJ152" i="35"/>
  <c r="AG152" i="35"/>
  <c r="AH152" i="35" s="1" a="1"/>
  <c r="AH152" i="35" s="1"/>
  <c r="AE152" i="35" a="1"/>
  <c r="AE152" i="35" s="1"/>
  <c r="J152" i="35"/>
  <c r="K152" i="35"/>
  <c r="I152" i="35" a="1"/>
  <c r="I152" i="35" s="1"/>
  <c r="H152" i="35" a="1"/>
  <c r="H152" i="35" s="1"/>
  <c r="AQ151" i="35"/>
  <c r="AN151" i="35"/>
  <c r="AO151" i="35" s="1" a="1"/>
  <c r="AO151" i="35" s="1"/>
  <c r="AJ151" i="35"/>
  <c r="AG151" i="35"/>
  <c r="AH151" i="35" s="1" a="1"/>
  <c r="AH151" i="35" s="1"/>
  <c r="AE151" i="35" a="1"/>
  <c r="AE151" i="35" s="1"/>
  <c r="K151" i="35"/>
  <c r="I151" i="35" a="1"/>
  <c r="I151" i="35" s="1"/>
  <c r="H151" i="35" a="1"/>
  <c r="H151" i="35" s="1"/>
  <c r="AQ150" i="35"/>
  <c r="AN150" i="35"/>
  <c r="AO150" i="35" s="1" a="1"/>
  <c r="AO150" i="35" s="1"/>
  <c r="AJ150" i="35"/>
  <c r="AG150" i="35"/>
  <c r="AH150" i="35" s="1" a="1"/>
  <c r="AH150" i="35" s="1"/>
  <c r="AE150" i="35" a="1"/>
  <c r="AE150" i="35" s="1"/>
  <c r="J150" i="35"/>
  <c r="K150" i="35"/>
  <c r="I150" i="35" a="1"/>
  <c r="I150" i="35" s="1"/>
  <c r="H150" i="35" a="1"/>
  <c r="H150" i="35" s="1"/>
  <c r="AQ149" i="35"/>
  <c r="AN149" i="35"/>
  <c r="AO149" i="35" s="1" a="1"/>
  <c r="AO149" i="35" s="1"/>
  <c r="AJ149" i="35"/>
  <c r="AG149" i="35"/>
  <c r="AH149" i="35" s="1" a="1"/>
  <c r="AH149" i="35" s="1"/>
  <c r="AE149" i="35" a="1"/>
  <c r="AE149" i="35" s="1"/>
  <c r="K149" i="35"/>
  <c r="I149" i="35" a="1"/>
  <c r="I149" i="35" s="1"/>
  <c r="H149" i="35" a="1"/>
  <c r="H149" i="35" s="1"/>
  <c r="AQ148" i="35"/>
  <c r="AN148" i="35"/>
  <c r="AO148" i="35" s="1" a="1"/>
  <c r="AO148" i="35" s="1"/>
  <c r="AJ148" i="35"/>
  <c r="AG148" i="35"/>
  <c r="AH148" i="35" s="1" a="1"/>
  <c r="AH148" i="35" s="1"/>
  <c r="AE148" i="35" a="1"/>
  <c r="AE148" i="35" s="1"/>
  <c r="K148" i="35"/>
  <c r="I148" i="35" a="1"/>
  <c r="I148" i="35" s="1"/>
  <c r="H148" i="35" a="1"/>
  <c r="H148" i="35" s="1"/>
  <c r="AQ147" i="35"/>
  <c r="AN147" i="35"/>
  <c r="AO147" i="35" s="1" a="1"/>
  <c r="AO147" i="35" s="1"/>
  <c r="AJ147" i="35"/>
  <c r="AG147" i="35"/>
  <c r="AH147" i="35" s="1" a="1"/>
  <c r="AH147" i="35" s="1"/>
  <c r="AE147" i="35" a="1"/>
  <c r="AE147" i="35" s="1"/>
  <c r="J147" i="35"/>
  <c r="K147" i="35"/>
  <c r="I147" i="35" a="1"/>
  <c r="I147" i="35" s="1"/>
  <c r="H147" i="35" a="1"/>
  <c r="H147" i="35" s="1"/>
  <c r="AQ146" i="35"/>
  <c r="AN146" i="35"/>
  <c r="AO146" i="35" s="1" a="1"/>
  <c r="AO146" i="35" s="1"/>
  <c r="AJ146" i="35"/>
  <c r="AG146" i="35"/>
  <c r="AH146" i="35" s="1" a="1"/>
  <c r="AH146" i="35" s="1"/>
  <c r="AE146" i="35" a="1"/>
  <c r="AE146" i="35" s="1"/>
  <c r="K146" i="35"/>
  <c r="I146" i="35" a="1"/>
  <c r="I146" i="35" s="1"/>
  <c r="H146" i="35" a="1"/>
  <c r="H146" i="35" s="1"/>
  <c r="AQ145" i="35"/>
  <c r="AN145" i="35"/>
  <c r="AO145" i="35" s="1" a="1"/>
  <c r="AO145" i="35" s="1"/>
  <c r="AJ145" i="35"/>
  <c r="AG145" i="35"/>
  <c r="AH145" i="35" s="1" a="1"/>
  <c r="AH145" i="35" s="1"/>
  <c r="AE145" i="35" a="1"/>
  <c r="AE145" i="35" s="1"/>
  <c r="K145" i="35"/>
  <c r="I145" i="35" a="1"/>
  <c r="I145" i="35" s="1"/>
  <c r="H145" i="35" a="1"/>
  <c r="H145" i="35" s="1"/>
  <c r="AQ144" i="35"/>
  <c r="AN144" i="35"/>
  <c r="AO144" i="35" s="1" a="1"/>
  <c r="AO144" i="35" s="1"/>
  <c r="AJ144" i="35"/>
  <c r="AG144" i="35"/>
  <c r="AH144" i="35" s="1" a="1"/>
  <c r="AH144" i="35" s="1"/>
  <c r="AE144" i="35" a="1"/>
  <c r="AE144" i="35" s="1"/>
  <c r="K144" i="35"/>
  <c r="I144" i="35" a="1"/>
  <c r="I144" i="35" s="1"/>
  <c r="H144" i="35" a="1"/>
  <c r="H144" i="35" s="1"/>
  <c r="AQ143" i="35"/>
  <c r="AN143" i="35"/>
  <c r="AO143" i="35" s="1" a="1"/>
  <c r="AO143" i="35" s="1"/>
  <c r="AJ143" i="35"/>
  <c r="AG143" i="35"/>
  <c r="AH143" i="35" s="1" a="1"/>
  <c r="AH143" i="35" s="1"/>
  <c r="AE143" i="35" a="1"/>
  <c r="AE143" i="35" s="1"/>
  <c r="J143" i="35"/>
  <c r="K143" i="35"/>
  <c r="I143" i="35" a="1"/>
  <c r="I143" i="35" s="1"/>
  <c r="H143" i="35" a="1"/>
  <c r="H143" i="35" s="1"/>
  <c r="AQ142" i="35"/>
  <c r="AN142" i="35"/>
  <c r="AO142" i="35" s="1" a="1"/>
  <c r="AO142" i="35" s="1"/>
  <c r="AJ142" i="35"/>
  <c r="AG142" i="35"/>
  <c r="AH142" i="35" s="1" a="1"/>
  <c r="AH142" i="35" s="1"/>
  <c r="AE142" i="35" a="1"/>
  <c r="AE142" i="35" s="1"/>
  <c r="K142" i="35"/>
  <c r="I142" i="35" a="1"/>
  <c r="I142" i="35" s="1"/>
  <c r="H142" i="35" a="1"/>
  <c r="H142" i="35" s="1"/>
  <c r="AQ141" i="35"/>
  <c r="AN141" i="35"/>
  <c r="AO141" i="35" s="1" a="1"/>
  <c r="AO141" i="35" s="1"/>
  <c r="AJ141" i="35"/>
  <c r="AG141" i="35"/>
  <c r="AH141" i="35" s="1" a="1"/>
  <c r="AH141" i="35" s="1"/>
  <c r="AE141" i="35" a="1"/>
  <c r="AE141" i="35" s="1"/>
  <c r="J141" i="35"/>
  <c r="K141" i="35"/>
  <c r="I141" i="35" a="1"/>
  <c r="I141" i="35" s="1"/>
  <c r="H141" i="35" a="1"/>
  <c r="H141" i="35" s="1"/>
  <c r="AQ140" i="35"/>
  <c r="AN140" i="35"/>
  <c r="AO140" i="35" s="1" a="1"/>
  <c r="AO140" i="35" s="1"/>
  <c r="AJ140" i="35"/>
  <c r="AG140" i="35"/>
  <c r="AH140" i="35" s="1" a="1"/>
  <c r="AH140" i="35" s="1"/>
  <c r="AE140" i="35" a="1"/>
  <c r="AE140" i="35" s="1"/>
  <c r="K140" i="35"/>
  <c r="I140" i="35" a="1"/>
  <c r="I140" i="35" s="1"/>
  <c r="H140" i="35" a="1"/>
  <c r="H140" i="35" s="1"/>
  <c r="AQ139" i="35"/>
  <c r="AN139" i="35"/>
  <c r="AO139" i="35" s="1" a="1"/>
  <c r="AO139" i="35" s="1"/>
  <c r="AJ139" i="35"/>
  <c r="AG139" i="35"/>
  <c r="AH139" i="35" s="1" a="1"/>
  <c r="AH139" i="35" s="1"/>
  <c r="AE139" i="35" a="1"/>
  <c r="AE139" i="35" s="1"/>
  <c r="K139" i="35"/>
  <c r="I139" i="35" a="1"/>
  <c r="I139" i="35" s="1"/>
  <c r="H139" i="35" a="1"/>
  <c r="H139" i="35" s="1"/>
  <c r="AQ138" i="35"/>
  <c r="AN138" i="35"/>
  <c r="AO138" i="35" s="1" a="1"/>
  <c r="AO138" i="35" s="1"/>
  <c r="AJ138" i="35"/>
  <c r="AG138" i="35"/>
  <c r="AH138" i="35" s="1" a="1"/>
  <c r="AH138" i="35" s="1"/>
  <c r="AE138" i="35" a="1"/>
  <c r="AE138" i="35" s="1"/>
  <c r="K138" i="35"/>
  <c r="I138" i="35" a="1"/>
  <c r="I138" i="35" s="1"/>
  <c r="H138" i="35" a="1"/>
  <c r="H138" i="35" s="1"/>
  <c r="AQ137" i="35"/>
  <c r="AN137" i="35"/>
  <c r="AO137" i="35" s="1" a="1"/>
  <c r="AO137" i="35" s="1"/>
  <c r="AJ137" i="35"/>
  <c r="AG137" i="35"/>
  <c r="AH137" i="35" s="1" a="1"/>
  <c r="AH137" i="35" s="1"/>
  <c r="AE137" i="35" a="1"/>
  <c r="AE137" i="35" s="1"/>
  <c r="K137" i="35"/>
  <c r="I137" i="35" a="1"/>
  <c r="I137" i="35" s="1"/>
  <c r="H137" i="35" a="1"/>
  <c r="H137" i="35" s="1"/>
  <c r="AQ136" i="35"/>
  <c r="AN136" i="35"/>
  <c r="AO136" i="35" s="1" a="1"/>
  <c r="AO136" i="35" s="1"/>
  <c r="AJ136" i="35"/>
  <c r="AG136" i="35"/>
  <c r="AH136" i="35" s="1" a="1"/>
  <c r="AH136" i="35" s="1"/>
  <c r="AE136" i="35" a="1"/>
  <c r="AE136" i="35" s="1"/>
  <c r="K136" i="35"/>
  <c r="I136" i="35" a="1"/>
  <c r="I136" i="35" s="1"/>
  <c r="H136" i="35" a="1"/>
  <c r="H136" i="35" s="1"/>
  <c r="AQ135" i="35"/>
  <c r="AN135" i="35"/>
  <c r="AO135" i="35" s="1" a="1"/>
  <c r="AO135" i="35" s="1"/>
  <c r="AJ135" i="35"/>
  <c r="AG135" i="35"/>
  <c r="AH135" i="35" s="1" a="1"/>
  <c r="AH135" i="35" s="1"/>
  <c r="AE135" i="35" a="1"/>
  <c r="AE135" i="35" s="1"/>
  <c r="J135" i="35"/>
  <c r="K135" i="35"/>
  <c r="I135" i="35" a="1"/>
  <c r="I135" i="35" s="1"/>
  <c r="H135" i="35" a="1"/>
  <c r="H135" i="35" s="1"/>
  <c r="AQ134" i="35"/>
  <c r="AN134" i="35"/>
  <c r="AO134" i="35" s="1" a="1"/>
  <c r="AO134" i="35" s="1"/>
  <c r="AJ134" i="35"/>
  <c r="AG134" i="35"/>
  <c r="AH134" i="35" s="1" a="1"/>
  <c r="AH134" i="35" s="1"/>
  <c r="AE134" i="35" a="1"/>
  <c r="AE134" i="35" s="1"/>
  <c r="K134" i="35"/>
  <c r="I134" i="35" a="1"/>
  <c r="I134" i="35" s="1"/>
  <c r="H134" i="35" a="1"/>
  <c r="H134" i="35" s="1"/>
  <c r="AQ133" i="35"/>
  <c r="AN133" i="35"/>
  <c r="AO133" i="35" s="1" a="1"/>
  <c r="AO133" i="35" s="1"/>
  <c r="AJ133" i="35"/>
  <c r="AG133" i="35"/>
  <c r="AH133" i="35" s="1" a="1"/>
  <c r="AH133" i="35" s="1"/>
  <c r="AE133" i="35" a="1"/>
  <c r="AE133" i="35" s="1"/>
  <c r="K133" i="35"/>
  <c r="I133" i="35" a="1"/>
  <c r="I133" i="35" s="1"/>
  <c r="H133" i="35" a="1"/>
  <c r="H133" i="35" s="1"/>
  <c r="AQ132" i="35"/>
  <c r="AN132" i="35"/>
  <c r="AO132" i="35" s="1" a="1"/>
  <c r="AO132" i="35" s="1"/>
  <c r="AJ132" i="35"/>
  <c r="AG132" i="35"/>
  <c r="AH132" i="35" s="1" a="1"/>
  <c r="AH132" i="35" s="1"/>
  <c r="AE132" i="35" a="1"/>
  <c r="AE132" i="35" s="1"/>
  <c r="J132" i="35"/>
  <c r="K132" i="35"/>
  <c r="I132" i="35" a="1"/>
  <c r="I132" i="35" s="1"/>
  <c r="H132" i="35" a="1"/>
  <c r="H132" i="35" s="1"/>
  <c r="AQ131" i="35"/>
  <c r="AN131" i="35"/>
  <c r="AO131" i="35" s="1" a="1"/>
  <c r="AO131" i="35" s="1"/>
  <c r="AJ131" i="35"/>
  <c r="AG131" i="35"/>
  <c r="AH131" i="35" s="1" a="1"/>
  <c r="AH131" i="35" s="1"/>
  <c r="AE131" i="35" a="1"/>
  <c r="AE131" i="35" s="1"/>
  <c r="K131" i="35"/>
  <c r="I131" i="35" a="1"/>
  <c r="I131" i="35" s="1"/>
  <c r="H131" i="35" a="1"/>
  <c r="H131" i="35" s="1"/>
  <c r="AQ130" i="35"/>
  <c r="AN130" i="35"/>
  <c r="AO130" i="35" s="1" a="1"/>
  <c r="AO130" i="35" s="1"/>
  <c r="AJ130" i="35"/>
  <c r="AG130" i="35"/>
  <c r="AH130" i="35" s="1" a="1"/>
  <c r="AH130" i="35" s="1"/>
  <c r="AE130" i="35" a="1"/>
  <c r="AE130" i="35" s="1"/>
  <c r="J130" i="35"/>
  <c r="K130" i="35"/>
  <c r="I130" i="35" a="1"/>
  <c r="I130" i="35" s="1"/>
  <c r="H130" i="35" a="1"/>
  <c r="H130" i="35" s="1"/>
  <c r="AQ129" i="35"/>
  <c r="AN129" i="35"/>
  <c r="AO129" i="35" s="1" a="1"/>
  <c r="AO129" i="35" s="1"/>
  <c r="AJ129" i="35"/>
  <c r="AG129" i="35"/>
  <c r="AH129" i="35" s="1" a="1"/>
  <c r="AH129" i="35" s="1"/>
  <c r="AE129" i="35" a="1"/>
  <c r="AE129" i="35" s="1"/>
  <c r="K129" i="35"/>
  <c r="I129" i="35" a="1"/>
  <c r="I129" i="35" s="1"/>
  <c r="H129" i="35" a="1"/>
  <c r="H129" i="35" s="1"/>
  <c r="AQ128" i="35"/>
  <c r="AN128" i="35"/>
  <c r="AO128" i="35" s="1" a="1"/>
  <c r="AO128" i="35" s="1"/>
  <c r="AJ128" i="35"/>
  <c r="AG128" i="35"/>
  <c r="AH128" i="35" s="1" a="1"/>
  <c r="AH128" i="35" s="1"/>
  <c r="AE128" i="35" a="1"/>
  <c r="AE128" i="35" s="1"/>
  <c r="K128" i="35"/>
  <c r="I128" i="35" a="1"/>
  <c r="I128" i="35" s="1"/>
  <c r="H128" i="35" a="1"/>
  <c r="H128" i="35" s="1"/>
  <c r="AQ127" i="35"/>
  <c r="AN127" i="35"/>
  <c r="AO127" i="35" s="1" a="1"/>
  <c r="AO127" i="35" s="1"/>
  <c r="AJ127" i="35"/>
  <c r="AG127" i="35"/>
  <c r="AH127" i="35" s="1" a="1"/>
  <c r="AH127" i="35" s="1"/>
  <c r="AE127" i="35" a="1"/>
  <c r="AE127" i="35" s="1"/>
  <c r="K127" i="35"/>
  <c r="I127" i="35" a="1"/>
  <c r="I127" i="35" s="1"/>
  <c r="H127" i="35" a="1"/>
  <c r="H127" i="35" s="1"/>
  <c r="AQ126" i="35"/>
  <c r="AN126" i="35"/>
  <c r="AO126" i="35" s="1" a="1"/>
  <c r="AO126" i="35" s="1"/>
  <c r="AJ126" i="35"/>
  <c r="AG126" i="35"/>
  <c r="AH126" i="35" s="1" a="1"/>
  <c r="AH126" i="35" s="1"/>
  <c r="AE126" i="35" a="1"/>
  <c r="AE126" i="35" s="1"/>
  <c r="K126" i="35"/>
  <c r="I126" i="35" a="1"/>
  <c r="I126" i="35" s="1"/>
  <c r="H126" i="35" a="1"/>
  <c r="H126" i="35" s="1"/>
  <c r="AQ125" i="35"/>
  <c r="AN125" i="35"/>
  <c r="AO125" i="35" s="1" a="1"/>
  <c r="AO125" i="35" s="1"/>
  <c r="AJ125" i="35"/>
  <c r="AG125" i="35"/>
  <c r="AH125" i="35" s="1" a="1"/>
  <c r="AH125" i="35" s="1"/>
  <c r="AE125" i="35" a="1"/>
  <c r="AE125" i="35" s="1"/>
  <c r="K125" i="35"/>
  <c r="I125" i="35" a="1"/>
  <c r="I125" i="35" s="1"/>
  <c r="H125" i="35" a="1"/>
  <c r="H125" i="35" s="1"/>
  <c r="AQ124" i="35"/>
  <c r="AN124" i="35"/>
  <c r="AO124" i="35" s="1" a="1"/>
  <c r="AO124" i="35" s="1"/>
  <c r="AJ124" i="35"/>
  <c r="AG124" i="35"/>
  <c r="AH124" i="35" s="1" a="1"/>
  <c r="AH124" i="35" s="1"/>
  <c r="AE124" i="35" a="1"/>
  <c r="AE124" i="35" s="1"/>
  <c r="K124" i="35"/>
  <c r="I124" i="35" a="1"/>
  <c r="I124" i="35" s="1"/>
  <c r="H124" i="35" a="1"/>
  <c r="H124" i="35" s="1"/>
  <c r="AQ123" i="35"/>
  <c r="AN123" i="35"/>
  <c r="AO123" i="35" s="1" a="1"/>
  <c r="AO123" i="35" s="1"/>
  <c r="AJ123" i="35"/>
  <c r="AG123" i="35"/>
  <c r="AH123" i="35" s="1" a="1"/>
  <c r="AH123" i="35" s="1"/>
  <c r="AE123" i="35" a="1"/>
  <c r="AE123" i="35" s="1"/>
  <c r="K123" i="35"/>
  <c r="I123" i="35" a="1"/>
  <c r="I123" i="35" s="1"/>
  <c r="H123" i="35" a="1"/>
  <c r="H123" i="35" s="1"/>
  <c r="AQ122" i="35"/>
  <c r="AN122" i="35"/>
  <c r="AO122" i="35" s="1" a="1"/>
  <c r="AO122" i="35" s="1"/>
  <c r="AJ122" i="35"/>
  <c r="AG122" i="35"/>
  <c r="AH122" i="35" s="1" a="1"/>
  <c r="AH122" i="35" s="1"/>
  <c r="AE122" i="35" a="1"/>
  <c r="AE122" i="35" s="1"/>
  <c r="K122" i="35"/>
  <c r="I122" i="35" a="1"/>
  <c r="I122" i="35" s="1"/>
  <c r="H122" i="35" a="1"/>
  <c r="H122" i="35" s="1"/>
  <c r="AQ121" i="35"/>
  <c r="AN121" i="35"/>
  <c r="AO121" i="35" s="1" a="1"/>
  <c r="AO121" i="35" s="1"/>
  <c r="AJ121" i="35"/>
  <c r="AG121" i="35"/>
  <c r="AH121" i="35" s="1" a="1"/>
  <c r="AH121" i="35" s="1"/>
  <c r="AE121" i="35" a="1"/>
  <c r="AE121" i="35" s="1"/>
  <c r="K121" i="35"/>
  <c r="I121" i="35" a="1"/>
  <c r="I121" i="35" s="1"/>
  <c r="H121" i="35" a="1"/>
  <c r="H121" i="35" s="1"/>
  <c r="AQ120" i="35"/>
  <c r="AN120" i="35"/>
  <c r="AO120" i="35" s="1" a="1"/>
  <c r="AO120" i="35" s="1"/>
  <c r="AJ120" i="35"/>
  <c r="AG120" i="35"/>
  <c r="AH120" i="35" s="1" a="1"/>
  <c r="AH120" i="35" s="1"/>
  <c r="AE120" i="35" a="1"/>
  <c r="AE120" i="35" s="1"/>
  <c r="K120" i="35"/>
  <c r="I120" i="35" a="1"/>
  <c r="I120" i="35" s="1"/>
  <c r="H120" i="35" a="1"/>
  <c r="H120" i="35" s="1"/>
  <c r="AQ119" i="35"/>
  <c r="AN119" i="35"/>
  <c r="AO119" i="35" s="1" a="1"/>
  <c r="AO119" i="35" s="1"/>
  <c r="AJ119" i="35"/>
  <c r="AG119" i="35"/>
  <c r="AH119" i="35" s="1" a="1"/>
  <c r="AH119" i="35" s="1"/>
  <c r="AE119" i="35" a="1"/>
  <c r="AE119" i="35" s="1"/>
  <c r="K119" i="35"/>
  <c r="I119" i="35" a="1"/>
  <c r="I119" i="35" s="1"/>
  <c r="H119" i="35" a="1"/>
  <c r="H119" i="35" s="1"/>
  <c r="AQ118" i="35"/>
  <c r="AN118" i="35"/>
  <c r="AO118" i="35" s="1" a="1"/>
  <c r="AO118" i="35" s="1"/>
  <c r="AJ118" i="35"/>
  <c r="AG118" i="35"/>
  <c r="AH118" i="35" s="1" a="1"/>
  <c r="AH118" i="35" s="1"/>
  <c r="AE118" i="35" a="1"/>
  <c r="AE118" i="35" s="1"/>
  <c r="K118" i="35"/>
  <c r="I118" i="35" a="1"/>
  <c r="I118" i="35" s="1"/>
  <c r="H118" i="35" a="1"/>
  <c r="H118" i="35" s="1"/>
  <c r="AQ117" i="35"/>
  <c r="AN117" i="35"/>
  <c r="AO117" i="35" s="1" a="1"/>
  <c r="AO117" i="35" s="1"/>
  <c r="AJ117" i="35"/>
  <c r="AG117" i="35"/>
  <c r="AH117" i="35" s="1" a="1"/>
  <c r="AH117" i="35" s="1"/>
  <c r="AE117" i="35" a="1"/>
  <c r="AE117" i="35" s="1"/>
  <c r="K117" i="35"/>
  <c r="I117" i="35" a="1"/>
  <c r="I117" i="35" s="1"/>
  <c r="H117" i="35" a="1"/>
  <c r="H117" i="35" s="1"/>
  <c r="AQ116" i="35"/>
  <c r="AN116" i="35"/>
  <c r="AO116" i="35" s="1" a="1"/>
  <c r="AO116" i="35" s="1"/>
  <c r="AJ116" i="35"/>
  <c r="AG116" i="35"/>
  <c r="AH116" i="35" s="1" a="1"/>
  <c r="AH116" i="35" s="1"/>
  <c r="AE116" i="35" a="1"/>
  <c r="AE116" i="35" s="1"/>
  <c r="K116" i="35"/>
  <c r="I116" i="35" a="1"/>
  <c r="I116" i="35" s="1"/>
  <c r="H116" i="35" a="1"/>
  <c r="H116" i="35" s="1"/>
  <c r="AQ115" i="35"/>
  <c r="AN115" i="35"/>
  <c r="AO115" i="35" s="1" a="1"/>
  <c r="AO115" i="35" s="1"/>
  <c r="AJ115" i="35"/>
  <c r="AG115" i="35"/>
  <c r="AH115" i="35" s="1" a="1"/>
  <c r="AH115" i="35" s="1"/>
  <c r="AE115" i="35" a="1"/>
  <c r="AE115" i="35" s="1"/>
  <c r="K115" i="35"/>
  <c r="I115" i="35" a="1"/>
  <c r="I115" i="35" s="1"/>
  <c r="H115" i="35" a="1"/>
  <c r="H115" i="35" s="1"/>
  <c r="AQ114" i="35"/>
  <c r="AN114" i="35"/>
  <c r="AO114" i="35" s="1" a="1"/>
  <c r="AO114" i="35" s="1"/>
  <c r="AJ114" i="35"/>
  <c r="AG114" i="35"/>
  <c r="AH114" i="35" s="1" a="1"/>
  <c r="AH114" i="35" s="1"/>
  <c r="AE114" i="35" a="1"/>
  <c r="AE114" i="35" s="1"/>
  <c r="K114" i="35"/>
  <c r="I114" i="35" a="1"/>
  <c r="I114" i="35" s="1"/>
  <c r="H114" i="35" a="1"/>
  <c r="H114" i="35" s="1"/>
  <c r="AQ113" i="35"/>
  <c r="AN113" i="35"/>
  <c r="AO113" i="35" s="1" a="1"/>
  <c r="AO113" i="35" s="1"/>
  <c r="AJ113" i="35"/>
  <c r="AG113" i="35"/>
  <c r="AH113" i="35" s="1" a="1"/>
  <c r="AH113" i="35" s="1"/>
  <c r="AE113" i="35" a="1"/>
  <c r="AE113" i="35" s="1"/>
  <c r="K113" i="35"/>
  <c r="I113" i="35" a="1"/>
  <c r="I113" i="35" s="1"/>
  <c r="H113" i="35" a="1"/>
  <c r="H113" i="35" s="1"/>
  <c r="AQ112" i="35"/>
  <c r="AN112" i="35"/>
  <c r="AO112" i="35" s="1" a="1"/>
  <c r="AO112" i="35" s="1"/>
  <c r="AJ112" i="35"/>
  <c r="AG112" i="35"/>
  <c r="AH112" i="35" s="1" a="1"/>
  <c r="AH112" i="35" s="1"/>
  <c r="AE112" i="35" a="1"/>
  <c r="AE112" i="35" s="1"/>
  <c r="K112" i="35"/>
  <c r="I112" i="35" a="1"/>
  <c r="I112" i="35" s="1"/>
  <c r="H112" i="35" a="1"/>
  <c r="H112" i="35" s="1"/>
  <c r="AQ111" i="35"/>
  <c r="AN111" i="35"/>
  <c r="AO111" i="35" s="1" a="1"/>
  <c r="AO111" i="35" s="1"/>
  <c r="AJ111" i="35"/>
  <c r="AG111" i="35"/>
  <c r="AH111" i="35" s="1" a="1"/>
  <c r="AH111" i="35" s="1"/>
  <c r="AE111" i="35" a="1"/>
  <c r="AE111" i="35" s="1"/>
  <c r="K111" i="35"/>
  <c r="I111" i="35" a="1"/>
  <c r="I111" i="35" s="1"/>
  <c r="H111" i="35" a="1"/>
  <c r="H111" i="35" s="1"/>
  <c r="AQ110" i="35"/>
  <c r="AN110" i="35"/>
  <c r="AO110" i="35" s="1" a="1"/>
  <c r="AO110" i="35" s="1"/>
  <c r="AJ110" i="35"/>
  <c r="AG110" i="35"/>
  <c r="AH110" i="35" s="1" a="1"/>
  <c r="AH110" i="35" s="1"/>
  <c r="AE110" i="35" a="1"/>
  <c r="AE110" i="35" s="1"/>
  <c r="K110" i="35"/>
  <c r="I110" i="35" a="1"/>
  <c r="I110" i="35" s="1"/>
  <c r="H110" i="35" a="1"/>
  <c r="H110" i="35" s="1"/>
  <c r="AQ109" i="35"/>
  <c r="AN109" i="35"/>
  <c r="AO109" i="35" s="1" a="1"/>
  <c r="AO109" i="35" s="1"/>
  <c r="AJ109" i="35"/>
  <c r="AG109" i="35"/>
  <c r="AH109" i="35" s="1" a="1"/>
  <c r="AH109" i="35" s="1"/>
  <c r="AE109" i="35" a="1"/>
  <c r="AE109" i="35" s="1"/>
  <c r="K109" i="35"/>
  <c r="I109" i="35" a="1"/>
  <c r="I109" i="35" s="1"/>
  <c r="H109" i="35" a="1"/>
  <c r="H109" i="35" s="1"/>
  <c r="AQ108" i="35"/>
  <c r="AN108" i="35"/>
  <c r="AO108" i="35" s="1" a="1"/>
  <c r="AO108" i="35" s="1"/>
  <c r="AJ108" i="35"/>
  <c r="AG108" i="35"/>
  <c r="AH108" i="35" s="1" a="1"/>
  <c r="AH108" i="35" s="1"/>
  <c r="AE108" i="35" a="1"/>
  <c r="AE108" i="35" s="1"/>
  <c r="K108" i="35"/>
  <c r="I108" i="35" a="1"/>
  <c r="I108" i="35" s="1"/>
  <c r="H108" i="35" a="1"/>
  <c r="H108" i="35" s="1"/>
  <c r="AQ107" i="35"/>
  <c r="AN107" i="35"/>
  <c r="AO107" i="35" s="1" a="1"/>
  <c r="AO107" i="35" s="1"/>
  <c r="AJ107" i="35"/>
  <c r="AG107" i="35"/>
  <c r="AH107" i="35" s="1" a="1"/>
  <c r="AH107" i="35" s="1"/>
  <c r="AE107" i="35" a="1"/>
  <c r="AE107" i="35" s="1"/>
  <c r="J107" i="35"/>
  <c r="K107" i="35"/>
  <c r="I107" i="35" a="1"/>
  <c r="I107" i="35" s="1"/>
  <c r="H107" i="35" a="1"/>
  <c r="H107" i="35" s="1"/>
  <c r="AQ106" i="35"/>
  <c r="AN106" i="35"/>
  <c r="AO106" i="35" s="1" a="1"/>
  <c r="AO106" i="35" s="1"/>
  <c r="AJ106" i="35"/>
  <c r="AG106" i="35"/>
  <c r="AH106" i="35" s="1" a="1"/>
  <c r="AH106" i="35" s="1"/>
  <c r="AE106" i="35" a="1"/>
  <c r="AE106" i="35" s="1"/>
  <c r="K106" i="35"/>
  <c r="I106" i="35" a="1"/>
  <c r="I106" i="35" s="1"/>
  <c r="H106" i="35" a="1"/>
  <c r="H106" i="35" s="1"/>
  <c r="AQ105" i="35"/>
  <c r="AN105" i="35"/>
  <c r="AO105" i="35" s="1" a="1"/>
  <c r="AO105" i="35" s="1"/>
  <c r="AJ105" i="35"/>
  <c r="AG105" i="35"/>
  <c r="AH105" i="35" s="1" a="1"/>
  <c r="AH105" i="35" s="1"/>
  <c r="AE105" i="35" a="1"/>
  <c r="AE105" i="35" s="1"/>
  <c r="K105" i="35"/>
  <c r="I105" i="35" a="1"/>
  <c r="I105" i="35" s="1"/>
  <c r="H105" i="35" a="1"/>
  <c r="H105" i="35" s="1"/>
  <c r="AQ104" i="35"/>
  <c r="AN104" i="35"/>
  <c r="AO104" i="35" s="1" a="1"/>
  <c r="AO104" i="35" s="1"/>
  <c r="AJ104" i="35"/>
  <c r="AG104" i="35"/>
  <c r="AH104" i="35" s="1" a="1"/>
  <c r="AH104" i="35" s="1"/>
  <c r="AE104" i="35" a="1"/>
  <c r="AE104" i="35" s="1"/>
  <c r="K104" i="35"/>
  <c r="I104" i="35" a="1"/>
  <c r="I104" i="35" s="1"/>
  <c r="H104" i="35" a="1"/>
  <c r="H104" i="35" s="1"/>
  <c r="AQ103" i="35"/>
  <c r="AN103" i="35"/>
  <c r="AO103" i="35" s="1" a="1"/>
  <c r="AO103" i="35" s="1"/>
  <c r="AJ103" i="35"/>
  <c r="AG103" i="35"/>
  <c r="AH103" i="35" s="1" a="1"/>
  <c r="AH103" i="35" s="1"/>
  <c r="AE103" i="35" a="1"/>
  <c r="AE103" i="35" s="1"/>
  <c r="K103" i="35"/>
  <c r="I103" i="35" a="1"/>
  <c r="I103" i="35" s="1"/>
  <c r="H103" i="35" a="1"/>
  <c r="H103" i="35" s="1"/>
  <c r="AQ102" i="35"/>
  <c r="AN102" i="35"/>
  <c r="AO102" i="35" s="1" a="1"/>
  <c r="AO102" i="35" s="1"/>
  <c r="AJ102" i="35"/>
  <c r="AG102" i="35"/>
  <c r="AH102" i="35" s="1" a="1"/>
  <c r="AH102" i="35" s="1"/>
  <c r="AE102" i="35" a="1"/>
  <c r="AE102" i="35" s="1"/>
  <c r="K102" i="35"/>
  <c r="I102" i="35" a="1"/>
  <c r="I102" i="35" s="1"/>
  <c r="H102" i="35" a="1"/>
  <c r="H102" i="35" s="1"/>
  <c r="AQ101" i="35"/>
  <c r="AN101" i="35"/>
  <c r="AO101" i="35" s="1" a="1"/>
  <c r="AO101" i="35" s="1"/>
  <c r="AJ101" i="35"/>
  <c r="AG101" i="35"/>
  <c r="AH101" i="35" s="1" a="1"/>
  <c r="AH101" i="35" s="1"/>
  <c r="AE101" i="35" a="1"/>
  <c r="AE101" i="35" s="1"/>
  <c r="K101" i="35"/>
  <c r="I101" i="35" a="1"/>
  <c r="I101" i="35" s="1"/>
  <c r="H101" i="35" a="1"/>
  <c r="H101" i="35" s="1"/>
  <c r="AQ100" i="35"/>
  <c r="AN100" i="35"/>
  <c r="AO100" i="35" s="1" a="1"/>
  <c r="AO100" i="35" s="1"/>
  <c r="AJ100" i="35"/>
  <c r="AG100" i="35"/>
  <c r="AH100" i="35" s="1" a="1"/>
  <c r="AH100" i="35" s="1"/>
  <c r="AE100" i="35" a="1"/>
  <c r="AE100" i="35" s="1"/>
  <c r="K100" i="35"/>
  <c r="I100" i="35" a="1"/>
  <c r="I100" i="35" s="1"/>
  <c r="H100" i="35" a="1"/>
  <c r="H100" i="35" s="1"/>
  <c r="AQ99" i="35"/>
  <c r="AN99" i="35"/>
  <c r="AO99" i="35" s="1" a="1"/>
  <c r="AO99" i="35" s="1"/>
  <c r="AJ99" i="35"/>
  <c r="AG99" i="35"/>
  <c r="AH99" i="35" s="1" a="1"/>
  <c r="AH99" i="35" s="1"/>
  <c r="AE99" i="35" a="1"/>
  <c r="AE99" i="35" s="1"/>
  <c r="K99" i="35"/>
  <c r="I99" i="35" a="1"/>
  <c r="I99" i="35" s="1"/>
  <c r="H99" i="35" a="1"/>
  <c r="H99" i="35" s="1"/>
  <c r="AQ98" i="35"/>
  <c r="AN98" i="35"/>
  <c r="AO98" i="35" s="1" a="1"/>
  <c r="AO98" i="35" s="1"/>
  <c r="AJ98" i="35"/>
  <c r="AG98" i="35"/>
  <c r="AH98" i="35" s="1" a="1"/>
  <c r="AH98" i="35" s="1"/>
  <c r="AE98" i="35" a="1"/>
  <c r="AE98" i="35" s="1"/>
  <c r="K98" i="35"/>
  <c r="I98" i="35" a="1"/>
  <c r="I98" i="35" s="1"/>
  <c r="H98" i="35" a="1"/>
  <c r="H98" i="35" s="1"/>
  <c r="AQ97" i="35"/>
  <c r="AN97" i="35"/>
  <c r="AO97" i="35" s="1" a="1"/>
  <c r="AO97" i="35" s="1"/>
  <c r="AJ97" i="35"/>
  <c r="AG97" i="35"/>
  <c r="AH97" i="35" s="1" a="1"/>
  <c r="AH97" i="35" s="1"/>
  <c r="AE97" i="35" a="1"/>
  <c r="AE97" i="35" s="1"/>
  <c r="K97" i="35"/>
  <c r="I97" i="35" a="1"/>
  <c r="I97" i="35" s="1"/>
  <c r="H97" i="35" a="1"/>
  <c r="H97" i="35" s="1"/>
  <c r="AQ96" i="35"/>
  <c r="AN96" i="35"/>
  <c r="AO96" i="35" s="1" a="1"/>
  <c r="AO96" i="35" s="1"/>
  <c r="AJ96" i="35"/>
  <c r="AG96" i="35"/>
  <c r="AH96" i="35" s="1" a="1"/>
  <c r="AH96" i="35" s="1"/>
  <c r="AE96" i="35" a="1"/>
  <c r="AE96" i="35" s="1"/>
  <c r="K96" i="35"/>
  <c r="I96" i="35" a="1"/>
  <c r="I96" i="35" s="1"/>
  <c r="H96" i="35" a="1"/>
  <c r="H96" i="35" s="1"/>
  <c r="AQ95" i="35"/>
  <c r="AN95" i="35"/>
  <c r="AO95" i="35" s="1" a="1"/>
  <c r="AO95" i="35" s="1"/>
  <c r="AJ95" i="35"/>
  <c r="AG95" i="35"/>
  <c r="AH95" i="35" s="1" a="1"/>
  <c r="AH95" i="35" s="1"/>
  <c r="AE95" i="35" a="1"/>
  <c r="AE95" i="35" s="1"/>
  <c r="K95" i="35"/>
  <c r="I95" i="35" a="1"/>
  <c r="I95" i="35" s="1"/>
  <c r="H95" i="35" a="1"/>
  <c r="H95" i="35" s="1"/>
  <c r="AQ94" i="35"/>
  <c r="AN94" i="35"/>
  <c r="AO94" i="35" s="1" a="1"/>
  <c r="AO94" i="35" s="1"/>
  <c r="AJ94" i="35"/>
  <c r="AG94" i="35"/>
  <c r="AH94" i="35" s="1" a="1"/>
  <c r="AH94" i="35" s="1"/>
  <c r="AE94" i="35" a="1"/>
  <c r="AE94" i="35" s="1"/>
  <c r="K94" i="35"/>
  <c r="I94" i="35" a="1"/>
  <c r="I94" i="35" s="1"/>
  <c r="H94" i="35" a="1"/>
  <c r="H94" i="35" s="1"/>
  <c r="AQ93" i="35"/>
  <c r="AN93" i="35"/>
  <c r="AO93" i="35" s="1" a="1"/>
  <c r="AO93" i="35" s="1"/>
  <c r="AJ93" i="35"/>
  <c r="AG93" i="35"/>
  <c r="AH93" i="35" s="1" a="1"/>
  <c r="AH93" i="35" s="1"/>
  <c r="AE93" i="35" a="1"/>
  <c r="AE93" i="35" s="1"/>
  <c r="K93" i="35"/>
  <c r="I93" i="35" a="1"/>
  <c r="I93" i="35" s="1"/>
  <c r="H93" i="35" a="1"/>
  <c r="H93" i="35" s="1"/>
  <c r="AQ92" i="35"/>
  <c r="AN92" i="35"/>
  <c r="AO92" i="35" s="1" a="1"/>
  <c r="AO92" i="35" s="1"/>
  <c r="AJ92" i="35"/>
  <c r="AG92" i="35"/>
  <c r="AH92" i="35" s="1" a="1"/>
  <c r="AH92" i="35" s="1"/>
  <c r="AE92" i="35" a="1"/>
  <c r="AE92" i="35" s="1"/>
  <c r="K92" i="35"/>
  <c r="I92" i="35" a="1"/>
  <c r="I92" i="35" s="1"/>
  <c r="H92" i="35" a="1"/>
  <c r="H92" i="35" s="1"/>
  <c r="AQ91" i="35"/>
  <c r="AN91" i="35"/>
  <c r="AO91" i="35" s="1" a="1"/>
  <c r="AO91" i="35" s="1"/>
  <c r="AJ91" i="35"/>
  <c r="AG91" i="35"/>
  <c r="AH91" i="35" s="1" a="1"/>
  <c r="AH91" i="35" s="1"/>
  <c r="AE91" i="35" a="1"/>
  <c r="AE91" i="35" s="1"/>
  <c r="K91" i="35"/>
  <c r="I91" i="35" a="1"/>
  <c r="I91" i="35" s="1"/>
  <c r="H91" i="35" a="1"/>
  <c r="H91" i="35" s="1"/>
  <c r="AQ90" i="35"/>
  <c r="AN90" i="35"/>
  <c r="AO90" i="35" s="1" a="1"/>
  <c r="AO90" i="35" s="1"/>
  <c r="AJ90" i="35"/>
  <c r="AG90" i="35"/>
  <c r="AH90" i="35" s="1" a="1"/>
  <c r="AH90" i="35" s="1"/>
  <c r="AE90" i="35" a="1"/>
  <c r="AE90" i="35" s="1"/>
  <c r="K90" i="35"/>
  <c r="I90" i="35" a="1"/>
  <c r="I90" i="35" s="1"/>
  <c r="H90" i="35" a="1"/>
  <c r="H90" i="35" s="1"/>
  <c r="AQ89" i="35"/>
  <c r="AN89" i="35"/>
  <c r="AO89" i="35" s="1" a="1"/>
  <c r="AO89" i="35" s="1"/>
  <c r="AJ89" i="35"/>
  <c r="AG89" i="35"/>
  <c r="AH89" i="35" s="1" a="1"/>
  <c r="AH89" i="35" s="1"/>
  <c r="AE89" i="35" a="1"/>
  <c r="AE89" i="35" s="1"/>
  <c r="K89" i="35"/>
  <c r="I89" i="35" a="1"/>
  <c r="I89" i="35" s="1"/>
  <c r="H89" i="35" a="1"/>
  <c r="H89" i="35" s="1"/>
  <c r="AQ88" i="35"/>
  <c r="AN88" i="35"/>
  <c r="AO88" i="35" s="1" a="1"/>
  <c r="AO88" i="35" s="1"/>
  <c r="AJ88" i="35"/>
  <c r="AG88" i="35"/>
  <c r="AH88" i="35" s="1" a="1"/>
  <c r="AH88" i="35" s="1"/>
  <c r="AE88" i="35" a="1"/>
  <c r="AE88" i="35" s="1"/>
  <c r="K88" i="35"/>
  <c r="I88" i="35" a="1"/>
  <c r="I88" i="35" s="1"/>
  <c r="H88" i="35" a="1"/>
  <c r="H88" i="35" s="1"/>
  <c r="AQ87" i="35"/>
  <c r="AN87" i="35"/>
  <c r="AO87" i="35" s="1" a="1"/>
  <c r="AO87" i="35" s="1"/>
  <c r="AJ87" i="35"/>
  <c r="AG87" i="35"/>
  <c r="AH87" i="35" s="1" a="1"/>
  <c r="AH87" i="35" s="1"/>
  <c r="AE87" i="35" a="1"/>
  <c r="AE87" i="35" s="1"/>
  <c r="K87" i="35"/>
  <c r="I87" i="35" a="1"/>
  <c r="I87" i="35" s="1"/>
  <c r="H87" i="35" a="1"/>
  <c r="H87" i="35" s="1"/>
  <c r="AQ86" i="35"/>
  <c r="AN86" i="35"/>
  <c r="AO86" i="35" s="1" a="1"/>
  <c r="AO86" i="35" s="1"/>
  <c r="AJ86" i="35"/>
  <c r="AG86" i="35"/>
  <c r="AH86" i="35" s="1" a="1"/>
  <c r="AH86" i="35" s="1"/>
  <c r="AE86" i="35" a="1"/>
  <c r="AE86" i="35" s="1"/>
  <c r="J86" i="35"/>
  <c r="K86" i="35"/>
  <c r="I86" i="35" a="1"/>
  <c r="I86" i="35" s="1"/>
  <c r="H86" i="35" a="1"/>
  <c r="H86" i="35" s="1"/>
  <c r="AQ85" i="35"/>
  <c r="AN85" i="35"/>
  <c r="AO85" i="35" s="1" a="1"/>
  <c r="AO85" i="35" s="1"/>
  <c r="AJ85" i="35"/>
  <c r="AG85" i="35"/>
  <c r="AH85" i="35" s="1" a="1"/>
  <c r="AH85" i="35" s="1"/>
  <c r="AE85" i="35" a="1"/>
  <c r="AE85" i="35" s="1"/>
  <c r="K85" i="35"/>
  <c r="I85" i="35" a="1"/>
  <c r="I85" i="35" s="1"/>
  <c r="H85" i="35" a="1"/>
  <c r="H85" i="35" s="1"/>
  <c r="AQ84" i="35"/>
  <c r="AN84" i="35"/>
  <c r="AO84" i="35" s="1" a="1"/>
  <c r="AO84" i="35" s="1"/>
  <c r="AJ84" i="35"/>
  <c r="AG84" i="35"/>
  <c r="AH84" i="35" s="1" a="1"/>
  <c r="AH84" i="35" s="1"/>
  <c r="AE84" i="35" a="1"/>
  <c r="AE84" i="35" s="1"/>
  <c r="J84" i="35"/>
  <c r="K84" i="35"/>
  <c r="I84" i="35" a="1"/>
  <c r="I84" i="35" s="1"/>
  <c r="H84" i="35" a="1"/>
  <c r="H84" i="35" s="1"/>
  <c r="AQ83" i="35"/>
  <c r="AN83" i="35"/>
  <c r="AO83" i="35" s="1" a="1"/>
  <c r="AO83" i="35" s="1"/>
  <c r="AJ83" i="35"/>
  <c r="AG83" i="35"/>
  <c r="AH83" i="35" s="1" a="1"/>
  <c r="AH83" i="35" s="1"/>
  <c r="AE83" i="35" a="1"/>
  <c r="AE83" i="35" s="1"/>
  <c r="K83" i="35"/>
  <c r="I83" i="35" a="1"/>
  <c r="I83" i="35" s="1"/>
  <c r="H83" i="35" a="1"/>
  <c r="H83" i="35" s="1"/>
  <c r="AQ82" i="35"/>
  <c r="AN82" i="35"/>
  <c r="AO82" i="35" s="1" a="1"/>
  <c r="AO82" i="35" s="1"/>
  <c r="AJ82" i="35"/>
  <c r="AG82" i="35"/>
  <c r="AH82" i="35" s="1" a="1"/>
  <c r="AH82" i="35" s="1"/>
  <c r="AE82" i="35" a="1"/>
  <c r="AE82" i="35" s="1"/>
  <c r="K82" i="35"/>
  <c r="I82" i="35" a="1"/>
  <c r="I82" i="35" s="1"/>
  <c r="H82" i="35" a="1"/>
  <c r="H82" i="35" s="1"/>
  <c r="AQ81" i="35"/>
  <c r="AN81" i="35"/>
  <c r="AO81" i="35" s="1" a="1"/>
  <c r="AO81" i="35" s="1"/>
  <c r="AJ81" i="35"/>
  <c r="AG81" i="35"/>
  <c r="AH81" i="35" s="1" a="1"/>
  <c r="AH81" i="35" s="1"/>
  <c r="AE81" i="35" a="1"/>
  <c r="AE81" i="35" s="1"/>
  <c r="J81" i="35"/>
  <c r="K81" i="35"/>
  <c r="I81" i="35" a="1"/>
  <c r="I81" i="35" s="1"/>
  <c r="H81" i="35" a="1"/>
  <c r="H81" i="35" s="1"/>
  <c r="AQ80" i="35"/>
  <c r="AN80" i="35"/>
  <c r="AO80" i="35" s="1" a="1"/>
  <c r="AO80" i="35" s="1"/>
  <c r="AJ80" i="35"/>
  <c r="AG80" i="35"/>
  <c r="AH80" i="35" s="1" a="1"/>
  <c r="AH80" i="35" s="1"/>
  <c r="AE80" i="35" a="1"/>
  <c r="AE80" i="35" s="1"/>
  <c r="K80" i="35"/>
  <c r="I80" i="35" a="1"/>
  <c r="I80" i="35" s="1"/>
  <c r="H80" i="35" a="1"/>
  <c r="H80" i="35" s="1"/>
  <c r="AQ79" i="35"/>
  <c r="AN79" i="35"/>
  <c r="AO79" i="35" s="1" a="1"/>
  <c r="AO79" i="35" s="1"/>
  <c r="AJ79" i="35"/>
  <c r="AG79" i="35"/>
  <c r="AH79" i="35" s="1" a="1"/>
  <c r="AH79" i="35" s="1"/>
  <c r="AE79" i="35" a="1"/>
  <c r="AE79" i="35" s="1"/>
  <c r="K79" i="35"/>
  <c r="I79" i="35" a="1"/>
  <c r="I79" i="35" s="1"/>
  <c r="H79" i="35" a="1"/>
  <c r="H79" i="35" s="1"/>
  <c r="AQ78" i="35"/>
  <c r="AN78" i="35"/>
  <c r="AO78" i="35" s="1" a="1"/>
  <c r="AO78" i="35" s="1"/>
  <c r="AJ78" i="35"/>
  <c r="AG78" i="35"/>
  <c r="AH78" i="35" s="1" a="1"/>
  <c r="AH78" i="35" s="1"/>
  <c r="AE78" i="35" a="1"/>
  <c r="AE78" i="35" s="1"/>
  <c r="J78" i="35"/>
  <c r="K78" i="35"/>
  <c r="I78" i="35" a="1"/>
  <c r="I78" i="35" s="1"/>
  <c r="H78" i="35" a="1"/>
  <c r="H78" i="35" s="1"/>
  <c r="AQ77" i="35"/>
  <c r="AN77" i="35"/>
  <c r="AO77" i="35" s="1" a="1"/>
  <c r="AO77" i="35" s="1"/>
  <c r="AJ77" i="35"/>
  <c r="AG77" i="35"/>
  <c r="AH77" i="35" s="1" a="1"/>
  <c r="AH77" i="35" s="1"/>
  <c r="AE77" i="35" a="1"/>
  <c r="AE77" i="35" s="1"/>
  <c r="K77" i="35"/>
  <c r="I77" i="35" a="1"/>
  <c r="I77" i="35" s="1"/>
  <c r="H77" i="35" a="1"/>
  <c r="H77" i="35" s="1"/>
  <c r="AQ76" i="35"/>
  <c r="AN76" i="35"/>
  <c r="AO76" i="35" s="1" a="1"/>
  <c r="AO76" i="35" s="1"/>
  <c r="AJ76" i="35"/>
  <c r="AG76" i="35"/>
  <c r="AH76" i="35" s="1" a="1"/>
  <c r="AH76" i="35" s="1"/>
  <c r="AE76" i="35" a="1"/>
  <c r="AE76" i="35" s="1"/>
  <c r="K76" i="35"/>
  <c r="I76" i="35" a="1"/>
  <c r="I76" i="35" s="1"/>
  <c r="H76" i="35" a="1"/>
  <c r="H76" i="35" s="1"/>
  <c r="AQ75" i="35"/>
  <c r="AN75" i="35"/>
  <c r="AO75" i="35" s="1" a="1"/>
  <c r="AO75" i="35" s="1"/>
  <c r="AJ75" i="35"/>
  <c r="AG75" i="35"/>
  <c r="AH75" i="35" s="1" a="1"/>
  <c r="AH75" i="35" s="1"/>
  <c r="AE75" i="35" a="1"/>
  <c r="AE75" i="35" s="1"/>
  <c r="J75" i="35"/>
  <c r="K75" i="35"/>
  <c r="I75" i="35" a="1"/>
  <c r="I75" i="35" s="1"/>
  <c r="H75" i="35" a="1"/>
  <c r="H75" i="35" s="1"/>
  <c r="AQ74" i="35"/>
  <c r="AN74" i="35"/>
  <c r="AO74" i="35" s="1" a="1"/>
  <c r="AO74" i="35" s="1"/>
  <c r="AJ74" i="35"/>
  <c r="AG74" i="35"/>
  <c r="AH74" i="35" s="1" a="1"/>
  <c r="AH74" i="35" s="1"/>
  <c r="AE74" i="35" a="1"/>
  <c r="AE74" i="35" s="1"/>
  <c r="K74" i="35"/>
  <c r="I74" i="35" a="1"/>
  <c r="I74" i="35" s="1"/>
  <c r="H74" i="35" a="1"/>
  <c r="H74" i="35" s="1"/>
  <c r="AQ73" i="35"/>
  <c r="AN73" i="35"/>
  <c r="AO73" i="35" s="1" a="1"/>
  <c r="AO73" i="35" s="1"/>
  <c r="AJ73" i="35"/>
  <c r="AG73" i="35"/>
  <c r="AH73" i="35" s="1" a="1"/>
  <c r="AH73" i="35" s="1"/>
  <c r="AE73" i="35" a="1"/>
  <c r="AE73" i="35" s="1"/>
  <c r="K73" i="35"/>
  <c r="I73" i="35" a="1"/>
  <c r="I73" i="35" s="1"/>
  <c r="H73" i="35" a="1"/>
  <c r="H73" i="35" s="1"/>
  <c r="AQ72" i="35"/>
  <c r="AN72" i="35"/>
  <c r="AO72" i="35" s="1" a="1"/>
  <c r="AO72" i="35" s="1"/>
  <c r="AJ72" i="35"/>
  <c r="AG72" i="35"/>
  <c r="AH72" i="35" s="1" a="1"/>
  <c r="AH72" i="35" s="1"/>
  <c r="AE72" i="35" a="1"/>
  <c r="AE72" i="35" s="1"/>
  <c r="K72" i="35"/>
  <c r="I72" i="35" a="1"/>
  <c r="I72" i="35" s="1"/>
  <c r="H72" i="35" a="1"/>
  <c r="H72" i="35" s="1"/>
  <c r="AQ71" i="35"/>
  <c r="AN71" i="35"/>
  <c r="AO71" i="35" s="1" a="1"/>
  <c r="AO71" i="35" s="1"/>
  <c r="AJ71" i="35"/>
  <c r="AG71" i="35"/>
  <c r="AH71" i="35" s="1" a="1"/>
  <c r="AH71" i="35" s="1"/>
  <c r="AE71" i="35" a="1"/>
  <c r="AE71" i="35" s="1"/>
  <c r="J71" i="35"/>
  <c r="K71" i="35"/>
  <c r="I71" i="35" a="1"/>
  <c r="I71" i="35" s="1"/>
  <c r="H71" i="35" a="1"/>
  <c r="H71" i="35" s="1"/>
  <c r="AQ70" i="35"/>
  <c r="AN70" i="35"/>
  <c r="AO70" i="35" s="1" a="1"/>
  <c r="AO70" i="35" s="1"/>
  <c r="AJ70" i="35"/>
  <c r="AG70" i="35"/>
  <c r="AH70" i="35" s="1" a="1"/>
  <c r="AH70" i="35" s="1"/>
  <c r="AE70" i="35" a="1"/>
  <c r="AE70" i="35" s="1"/>
  <c r="K70" i="35"/>
  <c r="I70" i="35" a="1"/>
  <c r="I70" i="35" s="1"/>
  <c r="H70" i="35" a="1"/>
  <c r="H70" i="35" s="1"/>
  <c r="AQ69" i="35"/>
  <c r="AN69" i="35"/>
  <c r="AO69" i="35" s="1" a="1"/>
  <c r="AO69" i="35" s="1"/>
  <c r="AJ69" i="35"/>
  <c r="AG69" i="35"/>
  <c r="AH69" i="35" s="1" a="1"/>
  <c r="AH69" i="35" s="1"/>
  <c r="AE69" i="35" a="1"/>
  <c r="AE69" i="35" s="1"/>
  <c r="J69" i="35"/>
  <c r="K69" i="35"/>
  <c r="I69" i="35" a="1"/>
  <c r="I69" i="35" s="1"/>
  <c r="H69" i="35" a="1"/>
  <c r="H69" i="35" s="1"/>
  <c r="AQ68" i="35"/>
  <c r="AN68" i="35"/>
  <c r="AO68" i="35" s="1" a="1"/>
  <c r="AO68" i="35" s="1"/>
  <c r="AJ68" i="35"/>
  <c r="AG68" i="35"/>
  <c r="AH68" i="35" s="1" a="1"/>
  <c r="AH68" i="35" s="1"/>
  <c r="AE68" i="35" a="1"/>
  <c r="AE68" i="35" s="1"/>
  <c r="K68" i="35"/>
  <c r="I68" i="35" a="1"/>
  <c r="I68" i="35" s="1"/>
  <c r="H68" i="35" a="1"/>
  <c r="H68" i="35" s="1"/>
  <c r="AQ67" i="35"/>
  <c r="AN67" i="35"/>
  <c r="AO67" i="35" s="1" a="1"/>
  <c r="AO67" i="35" s="1"/>
  <c r="AJ67" i="35"/>
  <c r="AG67" i="35"/>
  <c r="AH67" i="35" s="1" a="1"/>
  <c r="AH67" i="35" s="1"/>
  <c r="AE67" i="35" a="1"/>
  <c r="AE67" i="35" s="1"/>
  <c r="K67" i="35"/>
  <c r="I67" i="35" a="1"/>
  <c r="I67" i="35" s="1"/>
  <c r="H67" i="35" a="1"/>
  <c r="H67" i="35" s="1"/>
  <c r="AQ66" i="35"/>
  <c r="AN66" i="35"/>
  <c r="AO66" i="35" s="1" a="1"/>
  <c r="AO66" i="35" s="1"/>
  <c r="AJ66" i="35"/>
  <c r="AG66" i="35"/>
  <c r="AH66" i="35" s="1" a="1"/>
  <c r="AH66" i="35" s="1"/>
  <c r="AE66" i="35" a="1"/>
  <c r="AE66" i="35" s="1"/>
  <c r="K66" i="35"/>
  <c r="I66" i="35" a="1"/>
  <c r="I66" i="35" s="1"/>
  <c r="H66" i="35" a="1"/>
  <c r="H66" i="35" s="1"/>
  <c r="AQ65" i="35"/>
  <c r="AN65" i="35"/>
  <c r="AO65" i="35" s="1" a="1"/>
  <c r="AO65" i="35" s="1"/>
  <c r="AJ65" i="35"/>
  <c r="AG65" i="35"/>
  <c r="AH65" i="35" s="1" a="1"/>
  <c r="AH65" i="35" s="1"/>
  <c r="AE65" i="35" a="1"/>
  <c r="AE65" i="35" s="1"/>
  <c r="J65" i="35"/>
  <c r="K65" i="35"/>
  <c r="I65" i="35" a="1"/>
  <c r="I65" i="35" s="1"/>
  <c r="H65" i="35" a="1"/>
  <c r="H65" i="35" s="1"/>
  <c r="AQ64" i="35"/>
  <c r="AN64" i="35"/>
  <c r="AO64" i="35" s="1" a="1"/>
  <c r="AO64" i="35" s="1"/>
  <c r="AJ64" i="35"/>
  <c r="AG64" i="35"/>
  <c r="AH64" i="35" s="1" a="1"/>
  <c r="AH64" i="35" s="1"/>
  <c r="AE64" i="35" a="1"/>
  <c r="AE64" i="35" s="1"/>
  <c r="K64" i="35"/>
  <c r="I64" i="35" a="1"/>
  <c r="I64" i="35" s="1"/>
  <c r="H64" i="35" a="1"/>
  <c r="H64" i="35" s="1"/>
  <c r="AQ63" i="35"/>
  <c r="AN63" i="35"/>
  <c r="AO63" i="35" s="1" a="1"/>
  <c r="AO63" i="35" s="1"/>
  <c r="AJ63" i="35"/>
  <c r="AG63" i="35"/>
  <c r="AH63" i="35" s="1" a="1"/>
  <c r="AH63" i="35" s="1"/>
  <c r="AE63" i="35" a="1"/>
  <c r="AE63" i="35" s="1"/>
  <c r="K63" i="35"/>
  <c r="I63" i="35" a="1"/>
  <c r="I63" i="35" s="1"/>
  <c r="H63" i="35" a="1"/>
  <c r="H63" i="35" s="1"/>
  <c r="AQ62" i="35"/>
  <c r="AN62" i="35"/>
  <c r="AO62" i="35" s="1" a="1"/>
  <c r="AO62" i="35" s="1"/>
  <c r="AJ62" i="35"/>
  <c r="AG62" i="35"/>
  <c r="AH62" i="35" s="1" a="1"/>
  <c r="AH62" i="35" s="1"/>
  <c r="AE62" i="35" a="1"/>
  <c r="AE62" i="35" s="1"/>
  <c r="K62" i="35"/>
  <c r="I62" i="35" a="1"/>
  <c r="I62" i="35" s="1"/>
  <c r="H62" i="35" a="1"/>
  <c r="H62" i="35" s="1"/>
  <c r="AQ61" i="35"/>
  <c r="AN61" i="35"/>
  <c r="AO61" i="35" s="1" a="1"/>
  <c r="AO61" i="35" s="1"/>
  <c r="AJ61" i="35"/>
  <c r="AG61" i="35"/>
  <c r="AH61" i="35" s="1" a="1"/>
  <c r="AH61" i="35" s="1"/>
  <c r="AE61" i="35" a="1"/>
  <c r="AE61" i="35" s="1"/>
  <c r="K61" i="35"/>
  <c r="I61" i="35" a="1"/>
  <c r="I61" i="35" s="1"/>
  <c r="H61" i="35" a="1"/>
  <c r="H61" i="35" s="1"/>
  <c r="AQ60" i="35"/>
  <c r="AN60" i="35"/>
  <c r="AO60" i="35" s="1" a="1"/>
  <c r="AO60" i="35" s="1"/>
  <c r="AJ60" i="35"/>
  <c r="AG60" i="35"/>
  <c r="AH60" i="35" s="1" a="1"/>
  <c r="AH60" i="35" s="1"/>
  <c r="AE60" i="35" a="1"/>
  <c r="AE60" i="35" s="1"/>
  <c r="K60" i="35"/>
  <c r="J60" i="35"/>
  <c r="I60" i="35" a="1"/>
  <c r="I60" i="35" s="1"/>
  <c r="H60" i="35" a="1"/>
  <c r="H60" i="35" s="1"/>
  <c r="AQ59" i="35"/>
  <c r="AN59" i="35"/>
  <c r="AO59" i="35" s="1" a="1"/>
  <c r="AO59" i="35" s="1"/>
  <c r="AJ59" i="35"/>
  <c r="AG59" i="35"/>
  <c r="AH59" i="35" s="1" a="1"/>
  <c r="AH59" i="35" s="1"/>
  <c r="AE59" i="35" a="1"/>
  <c r="AE59" i="35" s="1"/>
  <c r="K59" i="35"/>
  <c r="I59" i="35" a="1"/>
  <c r="I59" i="35" s="1"/>
  <c r="H59" i="35" a="1"/>
  <c r="H59" i="35" s="1"/>
  <c r="AQ58" i="35"/>
  <c r="AN58" i="35"/>
  <c r="AO58" i="35" s="1" a="1"/>
  <c r="AO58" i="35" s="1"/>
  <c r="AJ58" i="35"/>
  <c r="AG58" i="35"/>
  <c r="AH58" i="35" s="1" a="1"/>
  <c r="AH58" i="35" s="1"/>
  <c r="AE58" i="35" a="1"/>
  <c r="AE58" i="35" s="1"/>
  <c r="K58" i="35"/>
  <c r="I58" i="35" a="1"/>
  <c r="I58" i="35" s="1"/>
  <c r="H58" i="35" a="1"/>
  <c r="H58" i="35" s="1"/>
  <c r="AQ57" i="35"/>
  <c r="AN57" i="35"/>
  <c r="AO57" i="35" s="1" a="1"/>
  <c r="AO57" i="35" s="1"/>
  <c r="AJ57" i="35"/>
  <c r="AG57" i="35"/>
  <c r="AH57" i="35" s="1" a="1"/>
  <c r="AH57" i="35" s="1"/>
  <c r="AE57" i="35" a="1"/>
  <c r="AE57" i="35" s="1"/>
  <c r="K57" i="35"/>
  <c r="J57" i="35"/>
  <c r="I57" i="35" a="1"/>
  <c r="I57" i="35" s="1"/>
  <c r="H57" i="35" a="1"/>
  <c r="H57" i="35" s="1"/>
  <c r="AQ56" i="35"/>
  <c r="AN56" i="35"/>
  <c r="AO56" i="35" s="1" a="1"/>
  <c r="AO56" i="35" s="1"/>
  <c r="AJ56" i="35"/>
  <c r="AG56" i="35"/>
  <c r="AH56" i="35" s="1" a="1"/>
  <c r="AH56" i="35" s="1"/>
  <c r="AE56" i="35" a="1"/>
  <c r="AE56" i="35" s="1"/>
  <c r="K56" i="35"/>
  <c r="I56" i="35" a="1"/>
  <c r="I56" i="35" s="1"/>
  <c r="H56" i="35" a="1"/>
  <c r="H56" i="35" s="1"/>
  <c r="AQ55" i="35"/>
  <c r="AN55" i="35"/>
  <c r="AO55" i="35" s="1" a="1"/>
  <c r="AO55" i="35" s="1"/>
  <c r="AJ55" i="35"/>
  <c r="AG55" i="35"/>
  <c r="AH55" i="35" s="1" a="1"/>
  <c r="AH55" i="35" s="1"/>
  <c r="AE55" i="35" a="1"/>
  <c r="AE55" i="35" s="1"/>
  <c r="K55" i="35"/>
  <c r="I55" i="35" a="1"/>
  <c r="I55" i="35" s="1"/>
  <c r="H55" i="35" a="1"/>
  <c r="H55" i="35" s="1"/>
  <c r="AQ54" i="35"/>
  <c r="AN54" i="35"/>
  <c r="AO54" i="35" s="1" a="1"/>
  <c r="AO54" i="35" s="1"/>
  <c r="AJ54" i="35"/>
  <c r="AG54" i="35"/>
  <c r="AH54" i="35" s="1" a="1"/>
  <c r="AH54" i="35" s="1"/>
  <c r="AE54" i="35" a="1"/>
  <c r="AE54" i="35" s="1"/>
  <c r="K54" i="35"/>
  <c r="I54" i="35" a="1"/>
  <c r="I54" i="35" s="1"/>
  <c r="H54" i="35" a="1"/>
  <c r="H54" i="35" s="1"/>
  <c r="AQ53" i="35"/>
  <c r="AN53" i="35"/>
  <c r="AO53" i="35" s="1" a="1"/>
  <c r="AO53" i="35" s="1"/>
  <c r="AJ53" i="35"/>
  <c r="AG53" i="35"/>
  <c r="AH53" i="35" s="1" a="1"/>
  <c r="AH53" i="35" s="1"/>
  <c r="AE53" i="35" a="1"/>
  <c r="AE53" i="35" s="1"/>
  <c r="K53" i="35"/>
  <c r="I53" i="35" a="1"/>
  <c r="I53" i="35" s="1"/>
  <c r="H53" i="35" a="1"/>
  <c r="H53" i="35" s="1"/>
  <c r="AQ52" i="35"/>
  <c r="AN52" i="35"/>
  <c r="AO52" i="35" s="1" a="1"/>
  <c r="AO52" i="35" s="1"/>
  <c r="AJ52" i="35"/>
  <c r="AG52" i="35"/>
  <c r="AH52" i="35" s="1" a="1"/>
  <c r="AH52" i="35" s="1"/>
  <c r="AE52" i="35" a="1"/>
  <c r="AE52" i="35" s="1"/>
  <c r="K52" i="35"/>
  <c r="I52" i="35" a="1"/>
  <c r="I52" i="35" s="1"/>
  <c r="H52" i="35" a="1"/>
  <c r="H52" i="35" s="1"/>
  <c r="AQ51" i="35"/>
  <c r="AN51" i="35"/>
  <c r="AO51" i="35" s="1" a="1"/>
  <c r="AO51" i="35" s="1"/>
  <c r="AJ51" i="35"/>
  <c r="AG51" i="35"/>
  <c r="AH51" i="35" s="1" a="1"/>
  <c r="AH51" i="35" s="1"/>
  <c r="AE51" i="35" a="1"/>
  <c r="AE51" i="35" s="1"/>
  <c r="K51" i="35"/>
  <c r="J51" i="35"/>
  <c r="I51" i="35" a="1"/>
  <c r="I51" i="35" s="1"/>
  <c r="H51" i="35" a="1"/>
  <c r="H51" i="35" s="1"/>
  <c r="AQ50" i="35"/>
  <c r="AN50" i="35"/>
  <c r="AO50" i="35" s="1" a="1"/>
  <c r="AO50" i="35" s="1"/>
  <c r="AJ50" i="35"/>
  <c r="AG50" i="35"/>
  <c r="AH50" i="35" s="1" a="1"/>
  <c r="AH50" i="35" s="1"/>
  <c r="AE50" i="35" a="1"/>
  <c r="AE50" i="35" s="1"/>
  <c r="K50" i="35"/>
  <c r="I50" i="35" a="1"/>
  <c r="I50" i="35" s="1"/>
  <c r="H50" i="35" a="1"/>
  <c r="H50" i="35" s="1"/>
  <c r="AQ49" i="35"/>
  <c r="AN49" i="35"/>
  <c r="AO49" i="35" s="1" a="1"/>
  <c r="AO49" i="35" s="1"/>
  <c r="AJ49" i="35"/>
  <c r="AG49" i="35"/>
  <c r="AH49" i="35" s="1" a="1"/>
  <c r="AH49" i="35" s="1"/>
  <c r="AE49" i="35" a="1"/>
  <c r="AE49" i="35" s="1"/>
  <c r="J49" i="35"/>
  <c r="K49" i="35"/>
  <c r="I49" i="35" a="1"/>
  <c r="I49" i="35" s="1"/>
  <c r="H49" i="35" a="1"/>
  <c r="H49" i="35" s="1"/>
  <c r="AQ48" i="35"/>
  <c r="AN48" i="35"/>
  <c r="AO48" i="35" s="1" a="1"/>
  <c r="AO48" i="35" s="1"/>
  <c r="AJ48" i="35"/>
  <c r="AG48" i="35"/>
  <c r="AH48" i="35" s="1" a="1"/>
  <c r="AH48" i="35" s="1"/>
  <c r="AE48" i="35" a="1"/>
  <c r="AE48" i="35" s="1"/>
  <c r="K48" i="35"/>
  <c r="I48" i="35" a="1"/>
  <c r="I48" i="35" s="1"/>
  <c r="H48" i="35" a="1"/>
  <c r="H48" i="35" s="1"/>
  <c r="AQ47" i="35"/>
  <c r="AN47" i="35"/>
  <c r="AO47" i="35" s="1" a="1"/>
  <c r="AO47" i="35" s="1"/>
  <c r="AJ47" i="35"/>
  <c r="AG47" i="35"/>
  <c r="AH47" i="35" s="1" a="1"/>
  <c r="AH47" i="35" s="1"/>
  <c r="AE47" i="35" a="1"/>
  <c r="AE47" i="35" s="1"/>
  <c r="K47" i="35"/>
  <c r="J47" i="35"/>
  <c r="I47" i="35" a="1"/>
  <c r="I47" i="35" s="1"/>
  <c r="H47" i="35" a="1"/>
  <c r="H47" i="35" s="1"/>
  <c r="AQ46" i="35"/>
  <c r="AN46" i="35"/>
  <c r="AO46" i="35" s="1" a="1"/>
  <c r="AO46" i="35" s="1"/>
  <c r="AJ46" i="35"/>
  <c r="AG46" i="35"/>
  <c r="AH46" i="35" s="1" a="1"/>
  <c r="AH46" i="35" s="1"/>
  <c r="AE46" i="35" a="1"/>
  <c r="AE46" i="35" s="1"/>
  <c r="K46" i="35"/>
  <c r="I46" i="35" a="1"/>
  <c r="I46" i="35" s="1"/>
  <c r="H46" i="35" a="1"/>
  <c r="H46" i="35" s="1"/>
  <c r="AQ45" i="35"/>
  <c r="AN45" i="35"/>
  <c r="AO45" i="35" s="1" a="1"/>
  <c r="AO45" i="35" s="1"/>
  <c r="AJ45" i="35"/>
  <c r="AG45" i="35"/>
  <c r="AH45" i="35" s="1" a="1"/>
  <c r="AH45" i="35" s="1"/>
  <c r="AE45" i="35" a="1"/>
  <c r="AE45" i="35" s="1"/>
  <c r="K45" i="35"/>
  <c r="I45" i="35" a="1"/>
  <c r="I45" i="35" s="1"/>
  <c r="H45" i="35" a="1"/>
  <c r="H45" i="35" s="1"/>
  <c r="AQ44" i="35"/>
  <c r="AN44" i="35"/>
  <c r="AO44" i="35" s="1" a="1"/>
  <c r="AO44" i="35" s="1"/>
  <c r="AJ44" i="35"/>
  <c r="AG44" i="35"/>
  <c r="AH44" i="35" s="1" a="1"/>
  <c r="AH44" i="35" s="1"/>
  <c r="AE44" i="35" a="1"/>
  <c r="AE44" i="35" s="1"/>
  <c r="K44" i="35"/>
  <c r="I44" i="35" a="1"/>
  <c r="I44" i="35" s="1"/>
  <c r="H44" i="35" a="1"/>
  <c r="H44" i="35" s="1"/>
  <c r="AQ43" i="35"/>
  <c r="AN43" i="35"/>
  <c r="AO43" i="35" s="1" a="1"/>
  <c r="AO43" i="35" s="1"/>
  <c r="AJ43" i="35"/>
  <c r="AG43" i="35"/>
  <c r="AH43" i="35" s="1" a="1"/>
  <c r="AH43" i="35" s="1"/>
  <c r="AE43" i="35" a="1"/>
  <c r="AE43" i="35" s="1"/>
  <c r="K43" i="35"/>
  <c r="I43" i="35" a="1"/>
  <c r="I43" i="35" s="1"/>
  <c r="H43" i="35" a="1"/>
  <c r="H43" i="35" s="1"/>
  <c r="AQ42" i="35"/>
  <c r="AN42" i="35"/>
  <c r="AO42" i="35" s="1" a="1"/>
  <c r="AO42" i="35" s="1"/>
  <c r="AJ42" i="35"/>
  <c r="AG42" i="35"/>
  <c r="AH42" i="35" s="1" a="1"/>
  <c r="AH42" i="35" s="1"/>
  <c r="AE42" i="35" a="1"/>
  <c r="AE42" i="35" s="1"/>
  <c r="K42" i="35"/>
  <c r="I42" i="35" a="1"/>
  <c r="I42" i="35" s="1"/>
  <c r="H42" i="35" a="1"/>
  <c r="H42" i="35" s="1"/>
  <c r="AQ41" i="35"/>
  <c r="AN41" i="35"/>
  <c r="AO41" i="35" s="1" a="1"/>
  <c r="AO41" i="35" s="1"/>
  <c r="AJ41" i="35"/>
  <c r="AG41" i="35"/>
  <c r="AH41" i="35" s="1" a="1"/>
  <c r="AH41" i="35" s="1"/>
  <c r="AE41" i="35" a="1"/>
  <c r="AE41" i="35" s="1"/>
  <c r="K41" i="35"/>
  <c r="I41" i="35" a="1"/>
  <c r="I41" i="35" s="1"/>
  <c r="H41" i="35" a="1"/>
  <c r="H41" i="35" s="1"/>
  <c r="AQ40" i="35"/>
  <c r="AN40" i="35"/>
  <c r="AO40" i="35" s="1" a="1"/>
  <c r="AO40" i="35" s="1"/>
  <c r="AJ40" i="35"/>
  <c r="AG40" i="35"/>
  <c r="AH40" i="35" s="1" a="1"/>
  <c r="AH40" i="35" s="1"/>
  <c r="AE40" i="35" a="1"/>
  <c r="AE40" i="35" s="1"/>
  <c r="K40" i="35"/>
  <c r="J40" i="35"/>
  <c r="I40" i="35" a="1"/>
  <c r="I40" i="35" s="1"/>
  <c r="H40" i="35" a="1"/>
  <c r="H40" i="35" s="1"/>
  <c r="AQ39" i="35"/>
  <c r="AN39" i="35"/>
  <c r="AO39" i="35" s="1" a="1"/>
  <c r="AO39" i="35" s="1"/>
  <c r="AJ39" i="35"/>
  <c r="AG39" i="35"/>
  <c r="AH39" i="35" s="1" a="1"/>
  <c r="AH39" i="35" s="1"/>
  <c r="AE39" i="35" a="1"/>
  <c r="AE39" i="35" s="1"/>
  <c r="K39" i="35"/>
  <c r="I39" i="35" a="1"/>
  <c r="I39" i="35" s="1"/>
  <c r="H39" i="35" a="1"/>
  <c r="H39" i="35" s="1"/>
  <c r="AQ38" i="35"/>
  <c r="AN38" i="35"/>
  <c r="AO38" i="35" s="1" a="1"/>
  <c r="AO38" i="35" s="1"/>
  <c r="AJ38" i="35"/>
  <c r="AG38" i="35"/>
  <c r="AH38" i="35" s="1" a="1"/>
  <c r="AH38" i="35" s="1"/>
  <c r="AE38" i="35" a="1"/>
  <c r="AE38" i="35" s="1"/>
  <c r="K38" i="35"/>
  <c r="I38" i="35" a="1"/>
  <c r="I38" i="35" s="1"/>
  <c r="H38" i="35" a="1"/>
  <c r="H38" i="35" s="1"/>
  <c r="AQ37" i="35"/>
  <c r="AN37" i="35"/>
  <c r="AO37" i="35" s="1" a="1"/>
  <c r="AO37" i="35" s="1"/>
  <c r="AJ37" i="35"/>
  <c r="AG37" i="35"/>
  <c r="AH37" i="35" s="1" a="1"/>
  <c r="AH37" i="35" s="1"/>
  <c r="AE37" i="35" a="1"/>
  <c r="AE37" i="35" s="1"/>
  <c r="J37" i="35"/>
  <c r="K37" i="35"/>
  <c r="I37" i="35" a="1"/>
  <c r="I37" i="35" s="1"/>
  <c r="H37" i="35" a="1"/>
  <c r="H37" i="35" s="1"/>
  <c r="AQ36" i="35"/>
  <c r="AN36" i="35"/>
  <c r="AO36" i="35" s="1" a="1"/>
  <c r="AO36" i="35" s="1"/>
  <c r="AJ36" i="35"/>
  <c r="AG36" i="35"/>
  <c r="AH36" i="35" s="1" a="1"/>
  <c r="AH36" i="35" s="1"/>
  <c r="AE36" i="35" a="1"/>
  <c r="AE36" i="35" s="1"/>
  <c r="K36" i="35"/>
  <c r="I36" i="35" a="1"/>
  <c r="I36" i="35" s="1"/>
  <c r="H36" i="35" a="1"/>
  <c r="H36" i="35" s="1"/>
  <c r="AQ35" i="35"/>
  <c r="AN35" i="35"/>
  <c r="AO35" i="35" s="1" a="1"/>
  <c r="AO35" i="35" s="1"/>
  <c r="AJ35" i="35"/>
  <c r="AG35" i="35"/>
  <c r="AH35" i="35" s="1" a="1"/>
  <c r="AH35" i="35" s="1"/>
  <c r="AE35" i="35" a="1"/>
  <c r="AE35" i="35" s="1"/>
  <c r="J35" i="35"/>
  <c r="K35" i="35"/>
  <c r="I35" i="35" a="1"/>
  <c r="I35" i="35" s="1"/>
  <c r="H35" i="35" a="1"/>
  <c r="H35" i="35" s="1"/>
  <c r="AQ34" i="35"/>
  <c r="AN34" i="35"/>
  <c r="AO34" i="35" s="1" a="1"/>
  <c r="AO34" i="35" s="1"/>
  <c r="AJ34" i="35"/>
  <c r="AG34" i="35"/>
  <c r="AH34" i="35" s="1" a="1"/>
  <c r="AH34" i="35" s="1"/>
  <c r="AE34" i="35" a="1"/>
  <c r="AE34" i="35" s="1"/>
  <c r="K34" i="35"/>
  <c r="I34" i="35" a="1"/>
  <c r="I34" i="35" s="1"/>
  <c r="H34" i="35" a="1"/>
  <c r="H34" i="35" s="1"/>
  <c r="AQ33" i="35"/>
  <c r="AN33" i="35"/>
  <c r="AO33" i="35" s="1" a="1"/>
  <c r="AO33" i="35" s="1"/>
  <c r="AJ33" i="35"/>
  <c r="AG33" i="35"/>
  <c r="AH33" i="35" s="1" a="1"/>
  <c r="AH33" i="35" s="1"/>
  <c r="AE33" i="35" a="1"/>
  <c r="AE33" i="35" s="1"/>
  <c r="K33" i="35"/>
  <c r="I33" i="35" a="1"/>
  <c r="I33" i="35" s="1"/>
  <c r="H33" i="35" a="1"/>
  <c r="H33" i="35" s="1"/>
  <c r="AQ32" i="35"/>
  <c r="AN32" i="35"/>
  <c r="AO32" i="35" s="1" a="1"/>
  <c r="AO32" i="35" s="1"/>
  <c r="AJ32" i="35"/>
  <c r="AG32" i="35"/>
  <c r="AH32" i="35" s="1" a="1"/>
  <c r="AH32" i="35" s="1"/>
  <c r="AE32" i="35" a="1"/>
  <c r="AE32" i="35" s="1"/>
  <c r="K32" i="35"/>
  <c r="I32" i="35" a="1"/>
  <c r="I32" i="35" s="1"/>
  <c r="H32" i="35" a="1"/>
  <c r="H32" i="35" s="1"/>
  <c r="AQ31" i="35"/>
  <c r="AN31" i="35"/>
  <c r="AO31" i="35" s="1" a="1"/>
  <c r="AO31" i="35" s="1"/>
  <c r="AJ31" i="35"/>
  <c r="AG31" i="35"/>
  <c r="AH31" i="35" s="1" a="1"/>
  <c r="AH31" i="35" s="1"/>
  <c r="AE31" i="35" a="1"/>
  <c r="AE31" i="35" s="1"/>
  <c r="J31" i="35"/>
  <c r="K31" i="35"/>
  <c r="I31" i="35" a="1"/>
  <c r="I31" i="35" s="1"/>
  <c r="H31" i="35" a="1"/>
  <c r="H31" i="35" s="1"/>
  <c r="AQ30" i="35"/>
  <c r="AN30" i="35"/>
  <c r="AO30" i="35" s="1" a="1"/>
  <c r="AO30" i="35" s="1"/>
  <c r="AJ30" i="35"/>
  <c r="AG30" i="35"/>
  <c r="AH30" i="35" s="1" a="1"/>
  <c r="AH30" i="35" s="1"/>
  <c r="AE30" i="35" a="1"/>
  <c r="AE30" i="35" s="1"/>
  <c r="K30" i="35"/>
  <c r="I30" i="35" a="1"/>
  <c r="I30" i="35" s="1"/>
  <c r="H30" i="35" a="1"/>
  <c r="H30" i="35" s="1"/>
  <c r="AQ29" i="35"/>
  <c r="AN29" i="35"/>
  <c r="AO29" i="35" s="1" a="1"/>
  <c r="AO29" i="35" s="1"/>
  <c r="AJ29" i="35"/>
  <c r="AG29" i="35"/>
  <c r="AH29" i="35" s="1" a="1"/>
  <c r="AH29" i="35" s="1"/>
  <c r="AE29" i="35" a="1"/>
  <c r="AE29" i="35" s="1"/>
  <c r="J29" i="35"/>
  <c r="K29" i="35"/>
  <c r="I29" i="35" a="1"/>
  <c r="I29" i="35" s="1"/>
  <c r="H29" i="35" a="1"/>
  <c r="H29" i="35" s="1"/>
  <c r="AQ28" i="35"/>
  <c r="AN28" i="35"/>
  <c r="AO28" i="35" s="1" a="1"/>
  <c r="AO28" i="35" s="1"/>
  <c r="AJ28" i="35"/>
  <c r="AG28" i="35"/>
  <c r="AH28" i="35" s="1" a="1"/>
  <c r="AH28" i="35" s="1"/>
  <c r="AE28" i="35" a="1"/>
  <c r="AE28" i="35" s="1"/>
  <c r="K28" i="35"/>
  <c r="I28" i="35" a="1"/>
  <c r="I28" i="35" s="1"/>
  <c r="H28" i="35" a="1"/>
  <c r="H28" i="35" s="1"/>
  <c r="AQ27" i="35"/>
  <c r="AN27" i="35"/>
  <c r="AO27" i="35" s="1" a="1"/>
  <c r="AO27" i="35" s="1"/>
  <c r="AJ27" i="35"/>
  <c r="AG27" i="35"/>
  <c r="AH27" i="35" s="1" a="1"/>
  <c r="AH27" i="35" s="1"/>
  <c r="AE27" i="35" a="1"/>
  <c r="AE27" i="35" s="1"/>
  <c r="K27" i="35"/>
  <c r="I27" i="35" a="1"/>
  <c r="I27" i="35" s="1"/>
  <c r="H27" i="35" a="1"/>
  <c r="H27" i="35" s="1"/>
  <c r="AQ26" i="35"/>
  <c r="AN26" i="35"/>
  <c r="AO26" i="35" s="1" a="1"/>
  <c r="AO26" i="35" s="1"/>
  <c r="AJ26" i="35"/>
  <c r="AG26" i="35"/>
  <c r="AH26" i="35" s="1" a="1"/>
  <c r="AH26" i="35" s="1"/>
  <c r="AE26" i="35" a="1"/>
  <c r="AE26" i="35" s="1"/>
  <c r="K26" i="35"/>
  <c r="I26" i="35" a="1"/>
  <c r="I26" i="35" s="1"/>
  <c r="H26" i="35" a="1"/>
  <c r="H26" i="35" s="1"/>
  <c r="AQ25" i="35"/>
  <c r="AN25" i="35"/>
  <c r="AO25" i="35" s="1" a="1"/>
  <c r="AO25" i="35" s="1"/>
  <c r="AJ25" i="35"/>
  <c r="AG25" i="35"/>
  <c r="AH25" i="35" s="1" a="1"/>
  <c r="AH25" i="35" s="1"/>
  <c r="AE25" i="35" a="1"/>
  <c r="AE25" i="35" s="1"/>
  <c r="K25" i="35"/>
  <c r="I25" i="35" a="1"/>
  <c r="I25" i="35" s="1"/>
  <c r="H25" i="35" a="1"/>
  <c r="H25" i="35" s="1"/>
  <c r="AQ24" i="35"/>
  <c r="AN24" i="35"/>
  <c r="AO24" i="35" s="1" a="1"/>
  <c r="AO24" i="35" s="1"/>
  <c r="AJ24" i="35"/>
  <c r="AG24" i="35"/>
  <c r="AH24" i="35" s="1" a="1"/>
  <c r="AH24" i="35" s="1"/>
  <c r="AE24" i="35" a="1"/>
  <c r="AE24" i="35" s="1"/>
  <c r="K24" i="35"/>
  <c r="I24" i="35" a="1"/>
  <c r="I24" i="35" s="1"/>
  <c r="H24" i="35" a="1"/>
  <c r="H24" i="35" s="1"/>
  <c r="AQ23" i="35"/>
  <c r="AN23" i="35"/>
  <c r="AO23" i="35" s="1" a="1"/>
  <c r="AO23" i="35" s="1"/>
  <c r="AJ23" i="35"/>
  <c r="AG23" i="35"/>
  <c r="AH23" i="35" s="1" a="1"/>
  <c r="AH23" i="35" s="1"/>
  <c r="AE23" i="35" a="1"/>
  <c r="AE23" i="35" s="1"/>
  <c r="J23" i="35"/>
  <c r="K23" i="35"/>
  <c r="I23" i="35" a="1"/>
  <c r="I23" i="35" s="1"/>
  <c r="H23" i="35" a="1"/>
  <c r="H23" i="35" s="1"/>
  <c r="AQ22" i="35"/>
  <c r="AN22" i="35"/>
  <c r="AO22" i="35" s="1" a="1"/>
  <c r="AO22" i="35" s="1"/>
  <c r="AJ22" i="35"/>
  <c r="AG22" i="35"/>
  <c r="AH22" i="35" s="1" a="1"/>
  <c r="AH22" i="35" s="1"/>
  <c r="AE22" i="35" a="1"/>
  <c r="AE22" i="35" s="1"/>
  <c r="K22" i="35"/>
  <c r="I22" i="35" a="1"/>
  <c r="I22" i="35" s="1"/>
  <c r="H22" i="35" a="1"/>
  <c r="H22" i="35" s="1"/>
  <c r="AQ21" i="35"/>
  <c r="AN21" i="35"/>
  <c r="AO21" i="35" s="1" a="1"/>
  <c r="AO21" i="35" s="1"/>
  <c r="AJ21" i="35"/>
  <c r="AG21" i="35"/>
  <c r="AH21" i="35" s="1" a="1"/>
  <c r="AH21" i="35" s="1"/>
  <c r="AE21" i="35" a="1"/>
  <c r="AE21" i="35" s="1"/>
  <c r="K21" i="35"/>
  <c r="I21" i="35" a="1"/>
  <c r="I21" i="35" s="1"/>
  <c r="H21" i="35" a="1"/>
  <c r="H21" i="35" s="1"/>
  <c r="AQ20" i="35"/>
  <c r="AN20" i="35"/>
  <c r="AO20" i="35" s="1" a="1"/>
  <c r="AO20" i="35" s="1"/>
  <c r="AJ20" i="35"/>
  <c r="AG20" i="35"/>
  <c r="AH20" i="35" s="1" a="1"/>
  <c r="AH20" i="35" s="1"/>
  <c r="AE20" i="35" a="1"/>
  <c r="AE20" i="35" s="1"/>
  <c r="K20" i="35"/>
  <c r="I20" i="35" a="1"/>
  <c r="I20" i="35" s="1"/>
  <c r="H20" i="35" a="1"/>
  <c r="H20" i="35" s="1"/>
  <c r="AQ19" i="35"/>
  <c r="AN19" i="35"/>
  <c r="AO19" i="35" s="1" a="1"/>
  <c r="AO19" i="35" s="1"/>
  <c r="AJ19" i="35"/>
  <c r="AG19" i="35"/>
  <c r="AH19" i="35" s="1" a="1"/>
  <c r="AH19" i="35" s="1"/>
  <c r="AE19" i="35" a="1"/>
  <c r="AE19" i="35" s="1"/>
  <c r="K19" i="35"/>
  <c r="I19" i="35" a="1"/>
  <c r="I19" i="35" s="1"/>
  <c r="H19" i="35" a="1"/>
  <c r="H19" i="35" s="1"/>
  <c r="AQ18" i="35"/>
  <c r="AN18" i="35"/>
  <c r="AO18" i="35" s="1" a="1"/>
  <c r="AO18" i="35" s="1"/>
  <c r="AJ18" i="35"/>
  <c r="AG18" i="35"/>
  <c r="AH18" i="35" s="1" a="1"/>
  <c r="AH18" i="35" s="1"/>
  <c r="AE18" i="35" a="1"/>
  <c r="AE18" i="35" s="1"/>
  <c r="J18" i="35"/>
  <c r="K18" i="35"/>
  <c r="I18" i="35" a="1"/>
  <c r="I18" i="35" s="1"/>
  <c r="H18" i="35" a="1"/>
  <c r="H18" i="35" s="1"/>
  <c r="AQ17" i="35"/>
  <c r="AN17" i="35"/>
  <c r="AO17" i="35" s="1" a="1"/>
  <c r="AO17" i="35" s="1"/>
  <c r="AJ17" i="35"/>
  <c r="AG17" i="35"/>
  <c r="AH17" i="35" s="1" a="1"/>
  <c r="AH17" i="35" s="1"/>
  <c r="AE17" i="35" a="1"/>
  <c r="AE17" i="35" s="1"/>
  <c r="K17" i="35"/>
  <c r="I17" i="35" a="1"/>
  <c r="I17" i="35" s="1"/>
  <c r="H17" i="35" a="1"/>
  <c r="H17" i="35" s="1"/>
  <c r="AQ16" i="35"/>
  <c r="AN16" i="35"/>
  <c r="AO16" i="35" s="1" a="1"/>
  <c r="AO16" i="35" s="1"/>
  <c r="AJ16" i="35"/>
  <c r="AG16" i="35"/>
  <c r="AH16" i="35" s="1" a="1"/>
  <c r="AH16" i="35" s="1"/>
  <c r="AE16" i="35" a="1"/>
  <c r="AE16" i="35" s="1"/>
  <c r="K16" i="35"/>
  <c r="I16" i="35" a="1"/>
  <c r="I16" i="35" s="1"/>
  <c r="H16" i="35" a="1"/>
  <c r="H16" i="35" s="1"/>
  <c r="AQ15" i="35"/>
  <c r="AN15" i="35"/>
  <c r="AO15" i="35" s="1" a="1"/>
  <c r="AO15" i="35" s="1"/>
  <c r="AJ15" i="35"/>
  <c r="AG15" i="35"/>
  <c r="AH15" i="35" s="1" a="1"/>
  <c r="AH15" i="35" s="1"/>
  <c r="AE15" i="35" a="1"/>
  <c r="AE15" i="35" s="1"/>
  <c r="K15" i="35"/>
  <c r="I15" i="35" a="1"/>
  <c r="I15" i="35" s="1"/>
  <c r="H15" i="35" a="1"/>
  <c r="H15" i="35" s="1"/>
  <c r="AQ14" i="35"/>
  <c r="AN14" i="35"/>
  <c r="AO14" i="35" s="1" a="1"/>
  <c r="AO14" i="35" s="1"/>
  <c r="AJ14" i="35"/>
  <c r="AG14" i="35"/>
  <c r="AH14" i="35" s="1" a="1"/>
  <c r="AH14" i="35" s="1"/>
  <c r="AE14" i="35" a="1"/>
  <c r="AE14" i="35" s="1"/>
  <c r="J14" i="35"/>
  <c r="K14" i="35"/>
  <c r="I14" i="35" a="1"/>
  <c r="I14" i="35" s="1"/>
  <c r="H14" i="35" a="1"/>
  <c r="H14" i="35" s="1"/>
  <c r="AQ13" i="35"/>
  <c r="AN13" i="35"/>
  <c r="AO13" i="35" s="1" a="1"/>
  <c r="AO13" i="35" s="1"/>
  <c r="AJ13" i="35"/>
  <c r="AG13" i="35"/>
  <c r="AH13" i="35" s="1" a="1"/>
  <c r="AH13" i="35" s="1"/>
  <c r="AE13" i="35" a="1"/>
  <c r="AE13" i="35" s="1"/>
  <c r="K13" i="35"/>
  <c r="I13" i="35" a="1"/>
  <c r="I13" i="35" s="1"/>
  <c r="H13" i="35" a="1"/>
  <c r="H13" i="35" s="1"/>
  <c r="AQ12" i="35"/>
  <c r="AN12" i="35"/>
  <c r="AO12" i="35" s="1" a="1"/>
  <c r="AO12" i="35" s="1"/>
  <c r="AJ12" i="35"/>
  <c r="AG12" i="35"/>
  <c r="AH12" i="35" s="1" a="1"/>
  <c r="AH12" i="35" s="1"/>
  <c r="AE12" i="35" a="1"/>
  <c r="AE12" i="35" s="1"/>
  <c r="K12" i="35"/>
  <c r="I12" i="35" a="1"/>
  <c r="I12" i="35" s="1"/>
  <c r="H12" i="35" a="1"/>
  <c r="H12" i="35" s="1"/>
  <c r="AQ11" i="35"/>
  <c r="AN11" i="35"/>
  <c r="AO11" i="35" s="1" a="1"/>
  <c r="AO11" i="35" s="1"/>
  <c r="AJ11" i="35"/>
  <c r="AG11" i="35"/>
  <c r="AH11" i="35" s="1" a="1"/>
  <c r="AH11" i="35" s="1"/>
  <c r="AE11" i="35" a="1"/>
  <c r="AE11" i="35" s="1"/>
  <c r="K11" i="35"/>
  <c r="I11" i="35" a="1"/>
  <c r="I11" i="35" s="1"/>
  <c r="H11" i="35" a="1"/>
  <c r="H11" i="35" s="1"/>
  <c r="AQ10" i="35"/>
  <c r="AN10" i="35"/>
  <c r="AO10" i="35" s="1" a="1"/>
  <c r="AO10" i="35" s="1"/>
  <c r="AJ10" i="35"/>
  <c r="AG10" i="35"/>
  <c r="AH10" i="35" s="1" a="1"/>
  <c r="AH10" i="35" s="1"/>
  <c r="AE10" i="35" a="1"/>
  <c r="AE10" i="35" s="1"/>
  <c r="K10" i="35"/>
  <c r="I10" i="35" a="1"/>
  <c r="I10" i="35" s="1"/>
  <c r="H10" i="35" a="1"/>
  <c r="H10" i="35" s="1"/>
  <c r="AQ9" i="35"/>
  <c r="AN9" i="35"/>
  <c r="AO9" i="35" s="1" a="1"/>
  <c r="AO9" i="35" s="1"/>
  <c r="AJ9" i="35"/>
  <c r="AG9" i="35"/>
  <c r="AH9" i="35" s="1" a="1"/>
  <c r="AH9" i="35" s="1"/>
  <c r="AE9" i="35" a="1"/>
  <c r="AE9" i="35" s="1"/>
  <c r="J9" i="35"/>
  <c r="K9" i="35"/>
  <c r="I9" i="35" a="1"/>
  <c r="I9" i="35" s="1"/>
  <c r="H9" i="35" a="1"/>
  <c r="H9" i="35" s="1"/>
  <c r="AQ8" i="35"/>
  <c r="AN8" i="35"/>
  <c r="AO8" i="35" s="1" a="1"/>
  <c r="AO8" i="35" s="1"/>
  <c r="AJ8" i="35"/>
  <c r="AG8" i="35"/>
  <c r="AH8" i="35" s="1" a="1"/>
  <c r="AH8" i="35" s="1"/>
  <c r="AE8" i="35" a="1"/>
  <c r="AE8" i="35" s="1"/>
  <c r="K8" i="35"/>
  <c r="I8" i="35" a="1"/>
  <c r="I8" i="35" s="1"/>
  <c r="H8" i="35" a="1"/>
  <c r="H8" i="35" s="1"/>
  <c r="AQ7" i="35"/>
  <c r="AN7" i="35"/>
  <c r="AO7" i="35" s="1" a="1"/>
  <c r="AO7" i="35" s="1"/>
  <c r="AJ7" i="35"/>
  <c r="AG7" i="35"/>
  <c r="AH7" i="35" s="1" a="1"/>
  <c r="AH7" i="35" s="1"/>
  <c r="AE7" i="35" a="1"/>
  <c r="AE7" i="35" s="1"/>
  <c r="K7" i="35"/>
  <c r="I7" i="35" a="1"/>
  <c r="I7" i="35" s="1"/>
  <c r="H7" i="35" a="1"/>
  <c r="H7" i="35" s="1"/>
  <c r="AQ6" i="35"/>
  <c r="AN6" i="35"/>
  <c r="AO6" i="35" s="1" a="1"/>
  <c r="AO6" i="35" s="1"/>
  <c r="AJ6" i="35"/>
  <c r="AG6" i="35"/>
  <c r="AH6" i="35" s="1" a="1"/>
  <c r="AH6" i="35" s="1"/>
  <c r="AE6" i="35" a="1"/>
  <c r="AE6" i="35" s="1"/>
  <c r="K6" i="35"/>
  <c r="J6" i="35"/>
  <c r="I6" i="35" a="1"/>
  <c r="I6" i="35" s="1"/>
  <c r="H6" i="35" a="1"/>
  <c r="H6" i="35" s="1"/>
  <c r="L221" i="35" l="1"/>
  <c r="M221" i="35" s="1" a="1"/>
  <c r="M221" i="35" s="1"/>
  <c r="L31" i="35"/>
  <c r="M31" i="35" s="1" a="1"/>
  <c r="M31" i="35" s="1"/>
  <c r="L140" i="38"/>
  <c r="M140" i="38" s="1" a="1"/>
  <c r="M140" i="38" s="1"/>
  <c r="L148" i="38"/>
  <c r="M148" i="38" s="1" a="1"/>
  <c r="M148" i="38" s="1"/>
  <c r="L65" i="38"/>
  <c r="M65" i="38" s="1" a="1"/>
  <c r="M65" i="38" s="1"/>
  <c r="L29" i="38"/>
  <c r="M29" i="38" s="1" a="1"/>
  <c r="M29" i="38" s="1"/>
  <c r="L57" i="38"/>
  <c r="M57" i="38" s="1" a="1"/>
  <c r="M57" i="38" s="1"/>
  <c r="L26" i="38"/>
  <c r="M26" i="38" s="1" a="1"/>
  <c r="M26" i="38" s="1"/>
  <c r="L22" i="38"/>
  <c r="M22" i="38" s="1" a="1"/>
  <c r="M22" i="38" s="1"/>
  <c r="L146" i="37"/>
  <c r="M146" i="37" s="1" a="1"/>
  <c r="M146" i="37" s="1"/>
  <c r="L138" i="37"/>
  <c r="M138" i="37" s="1" a="1"/>
  <c r="M138" i="37" s="1"/>
  <c r="L98" i="37"/>
  <c r="M98" i="37" s="1" a="1"/>
  <c r="M98" i="37" s="1"/>
  <c r="L154" i="37"/>
  <c r="M154" i="37" s="1" a="1"/>
  <c r="M154" i="37" s="1"/>
  <c r="L77" i="37"/>
  <c r="M77" i="37" s="1" a="1"/>
  <c r="M77" i="37" s="1"/>
  <c r="L165" i="37"/>
  <c r="M165" i="37" s="1" a="1"/>
  <c r="M165" i="37" s="1"/>
  <c r="L57" i="37"/>
  <c r="M57" i="37" s="1" a="1"/>
  <c r="M57" i="37" s="1"/>
  <c r="L197" i="35"/>
  <c r="M197" i="35" s="1" a="1"/>
  <c r="M197" i="35" s="1"/>
  <c r="L87" i="35"/>
  <c r="M87" i="35" s="1" a="1"/>
  <c r="M87" i="35" s="1"/>
  <c r="L117" i="35"/>
  <c r="M117" i="35" s="1" a="1"/>
  <c r="M117" i="35" s="1"/>
  <c r="L251" i="35"/>
  <c r="M251" i="35" s="1" a="1"/>
  <c r="M251" i="35" s="1"/>
  <c r="L232" i="35"/>
  <c r="M232" i="35" s="1" a="1"/>
  <c r="M232" i="35" s="1"/>
  <c r="L261" i="35"/>
  <c r="M261" i="35" s="1" a="1"/>
  <c r="M261" i="35" s="1"/>
  <c r="L30" i="35"/>
  <c r="M30" i="35" s="1" a="1"/>
  <c r="M30" i="35" s="1"/>
  <c r="L113" i="35"/>
  <c r="M113" i="35" s="1" a="1"/>
  <c r="M113" i="35" s="1"/>
  <c r="L224" i="35"/>
  <c r="M224" i="35" s="1" a="1"/>
  <c r="M224" i="35" s="1"/>
  <c r="L25" i="35"/>
  <c r="M25" i="35" s="1" a="1"/>
  <c r="M25" i="35" s="1"/>
  <c r="L193" i="35"/>
  <c r="M193" i="35" s="1" a="1"/>
  <c r="M193" i="35" s="1"/>
  <c r="L45" i="35"/>
  <c r="M45" i="35" s="1" a="1"/>
  <c r="M45" i="35" s="1"/>
  <c r="L86" i="35"/>
  <c r="M86" i="35" s="1" a="1"/>
  <c r="M86" i="35" s="1"/>
  <c r="L179" i="35"/>
  <c r="M179" i="35" s="1" a="1"/>
  <c r="M179" i="35" s="1"/>
  <c r="L372" i="35"/>
  <c r="M372" i="35" s="1" a="1"/>
  <c r="M372" i="35" s="1"/>
  <c r="L12" i="35"/>
  <c r="M12" i="35" s="1" a="1"/>
  <c r="M12" i="35" s="1"/>
  <c r="L119" i="35"/>
  <c r="M119" i="35" s="1" a="1"/>
  <c r="M119" i="35" s="1"/>
  <c r="L124" i="35"/>
  <c r="M124" i="35" s="1" a="1"/>
  <c r="M124" i="35" s="1"/>
  <c r="L361" i="35"/>
  <c r="M361" i="35" s="1" a="1"/>
  <c r="M361" i="35" s="1"/>
  <c r="L311" i="35"/>
  <c r="M311" i="35" s="1" a="1"/>
  <c r="M311" i="35" s="1"/>
  <c r="L217" i="35"/>
  <c r="M217" i="35" s="1" a="1"/>
  <c r="M217" i="35" s="1"/>
  <c r="L287" i="35"/>
  <c r="M287" i="35" s="1" a="1"/>
  <c r="M287" i="35" s="1"/>
  <c r="L73" i="35"/>
  <c r="M73" i="35" s="1" a="1"/>
  <c r="M73" i="35" s="1"/>
  <c r="L93" i="35"/>
  <c r="M93" i="35" s="1" a="1"/>
  <c r="M93" i="35" s="1"/>
  <c r="L171" i="35"/>
  <c r="M171" i="35" s="1" a="1"/>
  <c r="M171" i="35" s="1"/>
  <c r="L225" i="35"/>
  <c r="M225" i="35" s="1" a="1"/>
  <c r="M225" i="35" s="1"/>
  <c r="L377" i="35"/>
  <c r="M377" i="35" s="1" a="1"/>
  <c r="M377" i="35" s="1"/>
  <c r="L386" i="35"/>
  <c r="M386" i="35" s="1" a="1"/>
  <c r="M386" i="35" s="1"/>
  <c r="L205" i="35"/>
  <c r="M205" i="35" s="1" a="1"/>
  <c r="M205" i="35" s="1"/>
  <c r="L289" i="35"/>
  <c r="M289" i="35" s="1" a="1"/>
  <c r="M289" i="35" s="1"/>
  <c r="L357" i="35"/>
  <c r="M357" i="35" s="1" a="1"/>
  <c r="M357" i="35" s="1"/>
  <c r="L82" i="35"/>
  <c r="M82" i="35" s="1" a="1"/>
  <c r="M82" i="35" s="1"/>
  <c r="L125" i="35"/>
  <c r="M125" i="35" s="1" a="1"/>
  <c r="M125" i="35" s="1"/>
  <c r="L146" i="35"/>
  <c r="M146" i="35" s="1" a="1"/>
  <c r="M146" i="35" s="1"/>
  <c r="L266" i="35"/>
  <c r="M266" i="35" s="1" a="1"/>
  <c r="M266" i="35" s="1"/>
  <c r="L268" i="35"/>
  <c r="M268" i="35" s="1" a="1"/>
  <c r="M268" i="35" s="1"/>
  <c r="L392" i="35"/>
  <c r="M392" i="35" s="1" a="1"/>
  <c r="M392" i="35" s="1"/>
  <c r="L343" i="35"/>
  <c r="M343" i="35" s="1" a="1"/>
  <c r="M343" i="35" s="1"/>
  <c r="L347" i="35"/>
  <c r="M347" i="35" s="1" a="1"/>
  <c r="M347" i="35" s="1"/>
  <c r="L175" i="35"/>
  <c r="M175" i="35" s="1" a="1"/>
  <c r="M175" i="35" s="1"/>
  <c r="L27" i="35"/>
  <c r="M27" i="35" s="1" a="1"/>
  <c r="M27" i="35" s="1"/>
  <c r="L165" i="35"/>
  <c r="M165" i="35" s="1" a="1"/>
  <c r="M165" i="35" s="1"/>
  <c r="L167" i="35"/>
  <c r="M167" i="35" s="1" a="1"/>
  <c r="M167" i="35" s="1"/>
  <c r="L202" i="35"/>
  <c r="M202" i="35" s="1" a="1"/>
  <c r="M202" i="35" s="1"/>
  <c r="L382" i="35"/>
  <c r="M382" i="35" s="1" a="1"/>
  <c r="M382" i="35" s="1"/>
  <c r="L262" i="35"/>
  <c r="M262" i="35" s="1" a="1"/>
  <c r="M262" i="35" s="1"/>
  <c r="L184" i="35"/>
  <c r="M184" i="35" s="1" a="1"/>
  <c r="M184" i="35" s="1"/>
  <c r="L9" i="35"/>
  <c r="M9" i="35" s="1" a="1"/>
  <c r="M9" i="35" s="1"/>
  <c r="L316" i="35"/>
  <c r="M316" i="35" s="1" a="1"/>
  <c r="M316" i="35" s="1"/>
  <c r="L57" i="35"/>
  <c r="M57" i="35" s="1" a="1"/>
  <c r="M57" i="35" s="1"/>
  <c r="L67" i="35"/>
  <c r="M67" i="35" s="1" a="1"/>
  <c r="M67" i="35" s="1"/>
  <c r="L264" i="35"/>
  <c r="M264" i="35" s="1" a="1"/>
  <c r="M264" i="35" s="1"/>
  <c r="L51" i="35"/>
  <c r="M51" i="35" s="1" a="1"/>
  <c r="M51" i="35" s="1"/>
  <c r="L241" i="35"/>
  <c r="M241" i="35" s="1" a="1"/>
  <c r="M241" i="35" s="1"/>
  <c r="L102" i="35"/>
  <c r="M102" i="35" s="1" a="1"/>
  <c r="M102" i="35" s="1"/>
  <c r="L174" i="35"/>
  <c r="M174" i="35" s="1" a="1"/>
  <c r="M174" i="35" s="1"/>
  <c r="L182" i="35"/>
  <c r="M182" i="35" s="1" a="1"/>
  <c r="M182" i="35" s="1"/>
  <c r="L249" i="35"/>
  <c r="M249" i="35" s="1" a="1"/>
  <c r="M249" i="35" s="1"/>
  <c r="L313" i="35"/>
  <c r="M313" i="35" s="1" a="1"/>
  <c r="M313" i="35" s="1"/>
  <c r="L325" i="35"/>
  <c r="M325" i="35" s="1" a="1"/>
  <c r="M325" i="35" s="1"/>
  <c r="L140" i="35"/>
  <c r="M140" i="35" s="1" a="1"/>
  <c r="M140" i="35" s="1"/>
  <c r="L26" i="35"/>
  <c r="M26" i="35" s="1" a="1"/>
  <c r="M26" i="35" s="1"/>
  <c r="L162" i="35"/>
  <c r="M162" i="35" s="1" a="1"/>
  <c r="M162" i="35" s="1"/>
  <c r="L203" i="35"/>
  <c r="M203" i="35" s="1" a="1"/>
  <c r="M203" i="35" s="1"/>
  <c r="L201" i="35"/>
  <c r="M201" i="35" s="1" a="1"/>
  <c r="M201" i="35" s="1"/>
  <c r="L286" i="35"/>
  <c r="M286" i="35" s="1" a="1"/>
  <c r="M286" i="35" s="1"/>
  <c r="L185" i="35"/>
  <c r="M185" i="35" s="1" a="1"/>
  <c r="M185" i="35" s="1"/>
  <c r="L234" i="35"/>
  <c r="M234" i="35" s="1" a="1"/>
  <c r="M234" i="35" s="1"/>
  <c r="L246" i="35"/>
  <c r="M246" i="35" s="1" a="1"/>
  <c r="M246" i="35" s="1"/>
  <c r="L270" i="35"/>
  <c r="M270" i="35" s="1" a="1"/>
  <c r="M270" i="35" s="1"/>
  <c r="L344" i="35"/>
  <c r="M344" i="35" s="1" a="1"/>
  <c r="M344" i="35" s="1"/>
  <c r="L162" i="36"/>
  <c r="M162" i="36" s="1" a="1"/>
  <c r="M162" i="36" s="1"/>
  <c r="L136" i="36"/>
  <c r="M136" i="36" s="1" a="1"/>
  <c r="M136" i="36" s="1"/>
  <c r="L127" i="36"/>
  <c r="M127" i="36" s="1" a="1"/>
  <c r="M127" i="36" s="1"/>
  <c r="L183" i="36"/>
  <c r="M183" i="36" s="1" a="1"/>
  <c r="M183" i="36" s="1"/>
  <c r="L203" i="36"/>
  <c r="M203" i="36" s="1" a="1"/>
  <c r="M203" i="36" s="1"/>
  <c r="L68" i="36"/>
  <c r="M68" i="36" s="1" a="1"/>
  <c r="M68" i="36" s="1"/>
  <c r="L112" i="36"/>
  <c r="M112" i="36" s="1" a="1"/>
  <c r="M112" i="36" s="1"/>
  <c r="L181" i="36"/>
  <c r="M181" i="36" s="1" a="1"/>
  <c r="M181" i="36" s="1"/>
  <c r="L24" i="36"/>
  <c r="M24" i="36" s="1" a="1"/>
  <c r="M24" i="36" s="1"/>
  <c r="L11" i="36"/>
  <c r="M11" i="36" s="1" a="1"/>
  <c r="M11" i="36" s="1"/>
  <c r="L36" i="36"/>
  <c r="M36" i="36" s="1" a="1"/>
  <c r="M36" i="36" s="1"/>
  <c r="L159" i="36"/>
  <c r="M159" i="36" s="1" a="1"/>
  <c r="M159" i="36" s="1"/>
  <c r="L143" i="36"/>
  <c r="M143" i="36" s="1" a="1"/>
  <c r="M143" i="36" s="1"/>
  <c r="L80" i="36"/>
  <c r="M80" i="36" s="1" a="1"/>
  <c r="M80" i="36" s="1"/>
  <c r="L44" i="36"/>
  <c r="M44" i="36" s="1" a="1"/>
  <c r="M44" i="36" s="1"/>
  <c r="L177" i="36"/>
  <c r="M177" i="36" s="1" a="1"/>
  <c r="M177" i="36" s="1"/>
  <c r="L74" i="36"/>
  <c r="M74" i="36" s="1" a="1"/>
  <c r="M74" i="36" s="1"/>
  <c r="L306" i="35"/>
  <c r="M306" i="35" s="1" a="1"/>
  <c r="M306" i="35" s="1"/>
  <c r="L349" i="35"/>
  <c r="M349" i="35" s="1" a="1"/>
  <c r="M349" i="35" s="1"/>
  <c r="L243" i="35"/>
  <c r="M243" i="35" s="1" a="1"/>
  <c r="M243" i="35" s="1"/>
  <c r="L263" i="35"/>
  <c r="M263" i="35" s="1" a="1"/>
  <c r="M263" i="35" s="1"/>
  <c r="L383" i="35"/>
  <c r="M383" i="35" s="1" a="1"/>
  <c r="M383" i="35" s="1"/>
  <c r="L296" i="35"/>
  <c r="M296" i="35" s="1" a="1"/>
  <c r="M296" i="35" s="1"/>
  <c r="L369" i="35"/>
  <c r="M369" i="35" s="1" a="1"/>
  <c r="M369" i="35" s="1"/>
  <c r="L257" i="35"/>
  <c r="M257" i="35" s="1" a="1"/>
  <c r="M257" i="35" s="1"/>
  <c r="L265" i="35"/>
  <c r="M265" i="35" s="1" a="1"/>
  <c r="M265" i="35" s="1"/>
  <c r="L323" i="35"/>
  <c r="M323" i="35" s="1" a="1"/>
  <c r="M323" i="35" s="1"/>
  <c r="L367" i="35"/>
  <c r="M367" i="35" s="1" a="1"/>
  <c r="M367" i="35" s="1"/>
  <c r="L235" i="35"/>
  <c r="M235" i="35" s="1" a="1"/>
  <c r="M235" i="35" s="1"/>
  <c r="L245" i="35"/>
  <c r="M245" i="35" s="1" a="1"/>
  <c r="M245" i="35" s="1"/>
  <c r="L267" i="35"/>
  <c r="M267" i="35" s="1" a="1"/>
  <c r="M267" i="35" s="1"/>
  <c r="L321" i="35"/>
  <c r="M321" i="35" s="1" a="1"/>
  <c r="M321" i="35" s="1"/>
  <c r="L227" i="35"/>
  <c r="M227" i="35" s="1" a="1"/>
  <c r="M227" i="35" s="1"/>
  <c r="L229" i="35"/>
  <c r="M229" i="35" s="1" a="1"/>
  <c r="M229" i="35" s="1"/>
  <c r="L269" i="35"/>
  <c r="M269" i="35" s="1" a="1"/>
  <c r="M269" i="35" s="1"/>
  <c r="L327" i="35"/>
  <c r="M327" i="35" s="1" a="1"/>
  <c r="M327" i="35" s="1"/>
  <c r="L254" i="35"/>
  <c r="M254" i="35" s="1" a="1"/>
  <c r="M254" i="35" s="1"/>
  <c r="L353" i="35"/>
  <c r="M353" i="35" s="1" a="1"/>
  <c r="M353" i="35" s="1"/>
  <c r="L324" i="35"/>
  <c r="M324" i="35" s="1" a="1"/>
  <c r="M324" i="35" s="1"/>
  <c r="L328" i="35"/>
  <c r="M328" i="35" s="1" a="1"/>
  <c r="M328" i="35" s="1"/>
  <c r="L281" i="35"/>
  <c r="M281" i="35" s="1" a="1"/>
  <c r="M281" i="35" s="1"/>
  <c r="L252" i="35"/>
  <c r="M252" i="35" s="1" a="1"/>
  <c r="M252" i="35" s="1"/>
  <c r="L216" i="35"/>
  <c r="M216" i="35" s="1" a="1"/>
  <c r="M216" i="35" s="1"/>
  <c r="L309" i="35"/>
  <c r="M309" i="35" s="1" a="1"/>
  <c r="M309" i="35" s="1"/>
  <c r="L236" i="35"/>
  <c r="M236" i="35" s="1" a="1"/>
  <c r="M236" i="35" s="1"/>
  <c r="L381" i="35"/>
  <c r="M381" i="35" s="1" a="1"/>
  <c r="M381" i="35" s="1"/>
  <c r="L253" i="35"/>
  <c r="M253" i="35" s="1" a="1"/>
  <c r="M253" i="35" s="1"/>
  <c r="L346" i="35"/>
  <c r="M346" i="35" s="1" a="1"/>
  <c r="M346" i="35" s="1"/>
  <c r="L391" i="35"/>
  <c r="M391" i="35" s="1" a="1"/>
  <c r="M391" i="35" s="1"/>
  <c r="L388" i="35"/>
  <c r="M388" i="35" s="1" a="1"/>
  <c r="M388" i="35" s="1"/>
  <c r="L336" i="35"/>
  <c r="M336" i="35" s="1" a="1"/>
  <c r="M336" i="35" s="1"/>
  <c r="L308" i="35"/>
  <c r="M308" i="35" s="1" a="1"/>
  <c r="M308" i="35" s="1"/>
  <c r="L310" i="35"/>
  <c r="M310" i="35" s="1" a="1"/>
  <c r="M310" i="35" s="1"/>
  <c r="L319" i="35"/>
  <c r="M319" i="35" s="1" a="1"/>
  <c r="M319" i="35" s="1"/>
  <c r="L371" i="35"/>
  <c r="M371" i="35" s="1" a="1"/>
  <c r="M371" i="35" s="1"/>
  <c r="L53" i="35"/>
  <c r="M53" i="35" s="1" a="1"/>
  <c r="M53" i="35" s="1"/>
  <c r="L108" i="35"/>
  <c r="M108" i="35" s="1" a="1"/>
  <c r="M108" i="35" s="1"/>
  <c r="L120" i="35"/>
  <c r="M120" i="35" s="1" a="1"/>
  <c r="M120" i="35" s="1"/>
  <c r="L142" i="35"/>
  <c r="M142" i="35" s="1" a="1"/>
  <c r="M142" i="35" s="1"/>
  <c r="L68" i="35"/>
  <c r="M68" i="35" s="1" a="1"/>
  <c r="M68" i="35" s="1"/>
  <c r="L145" i="35"/>
  <c r="M145" i="35" s="1" a="1"/>
  <c r="M145" i="35" s="1"/>
  <c r="L24" i="35"/>
  <c r="M24" i="35" s="1" a="1"/>
  <c r="M24" i="35" s="1"/>
  <c r="L66" i="35"/>
  <c r="M66" i="35" s="1" a="1"/>
  <c r="M66" i="35" s="1"/>
  <c r="L153" i="35"/>
  <c r="M153" i="35" s="1" a="1"/>
  <c r="M153" i="35" s="1"/>
  <c r="L46" i="35"/>
  <c r="M46" i="35" s="1" a="1"/>
  <c r="M46" i="35" s="1"/>
  <c r="L105" i="35"/>
  <c r="M105" i="35" s="1" a="1"/>
  <c r="M105" i="35" s="1"/>
  <c r="L65" i="35"/>
  <c r="M65" i="35" s="1" a="1"/>
  <c r="M65" i="35" s="1"/>
  <c r="L33" i="35"/>
  <c r="M33" i="35" s="1" a="1"/>
  <c r="M33" i="35" s="1"/>
  <c r="L63" i="35"/>
  <c r="M63" i="35" s="1" a="1"/>
  <c r="M63" i="35" s="1"/>
  <c r="L190" i="35"/>
  <c r="M190" i="35" s="1" a="1"/>
  <c r="M190" i="35" s="1"/>
  <c r="L18" i="35"/>
  <c r="M18" i="35" s="1" a="1"/>
  <c r="M18" i="35" s="1"/>
  <c r="L90" i="35"/>
  <c r="M90" i="35" s="1" a="1"/>
  <c r="M90" i="35" s="1"/>
  <c r="L122" i="35"/>
  <c r="M122" i="35" s="1" a="1"/>
  <c r="M122" i="35" s="1"/>
  <c r="L128" i="35"/>
  <c r="M128" i="35" s="1" a="1"/>
  <c r="M128" i="35" s="1"/>
  <c r="L34" i="35"/>
  <c r="M34" i="35" s="1" a="1"/>
  <c r="M34" i="35" s="1"/>
  <c r="L161" i="35"/>
  <c r="M161" i="35" s="1" a="1"/>
  <c r="M161" i="35" s="1"/>
  <c r="L85" i="35"/>
  <c r="M85" i="35" s="1" a="1"/>
  <c r="M85" i="35" s="1"/>
  <c r="L212" i="35"/>
  <c r="M212" i="35" s="1" a="1"/>
  <c r="M212" i="35" s="1"/>
  <c r="L89" i="35"/>
  <c r="M89" i="35" s="1" a="1"/>
  <c r="M89" i="35" s="1"/>
  <c r="L123" i="35"/>
  <c r="M123" i="35" s="1" a="1"/>
  <c r="M123" i="35" s="1"/>
  <c r="L130" i="35"/>
  <c r="M130" i="35" s="1" a="1"/>
  <c r="M130" i="35" s="1"/>
  <c r="L155" i="35"/>
  <c r="M155" i="35" s="1" a="1"/>
  <c r="M155" i="35" s="1"/>
  <c r="L32" i="35"/>
  <c r="M32" i="35" s="1" a="1"/>
  <c r="M32" i="35" s="1"/>
  <c r="L204" i="35"/>
  <c r="M204" i="35" s="1" a="1"/>
  <c r="M204" i="35" s="1"/>
  <c r="L208" i="35"/>
  <c r="M208" i="35" s="1" a="1"/>
  <c r="M208" i="35" s="1"/>
  <c r="L206" i="35"/>
  <c r="M206" i="35" s="1" a="1"/>
  <c r="M206" i="35" s="1"/>
  <c r="L42" i="35"/>
  <c r="M42" i="35" s="1" a="1"/>
  <c r="M42" i="35" s="1"/>
  <c r="L195" i="35"/>
  <c r="M195" i="35" s="1" a="1"/>
  <c r="M195" i="35" s="1"/>
  <c r="L9" i="38"/>
  <c r="M9" i="38" s="1" a="1"/>
  <c r="M9" i="38" s="1"/>
  <c r="L63" i="38"/>
  <c r="M63" i="38" s="1" a="1"/>
  <c r="M63" i="38" s="1"/>
  <c r="L18" i="38"/>
  <c r="M18" i="38" s="1" a="1"/>
  <c r="M18" i="38" s="1"/>
  <c r="L56" i="38"/>
  <c r="M56" i="38" s="1" a="1"/>
  <c r="M56" i="38" s="1"/>
  <c r="L6" i="38"/>
  <c r="M6" i="38" s="1" a="1"/>
  <c r="M6" i="38" s="1"/>
  <c r="J122" i="37"/>
  <c r="J187" i="37"/>
  <c r="I63" i="37" a="1"/>
  <c r="I63" i="37" s="1"/>
  <c r="L63" i="37" s="1"/>
  <c r="M63" i="37" s="1" a="1"/>
  <c r="M63" i="37" s="1"/>
  <c r="I122" i="37" a="1"/>
  <c r="I122" i="37" s="1"/>
  <c r="L122" i="37" s="1"/>
  <c r="M122" i="37" s="1" a="1"/>
  <c r="M122" i="37" s="1"/>
  <c r="I127" i="37" a="1"/>
  <c r="I127" i="37" s="1"/>
  <c r="L127" i="37" s="1"/>
  <c r="M127" i="37" s="1" a="1"/>
  <c r="M127" i="37" s="1"/>
  <c r="I142" i="37" a="1"/>
  <c r="I142" i="37" s="1"/>
  <c r="L142" i="37" s="1"/>
  <c r="M142" i="37" s="1" a="1"/>
  <c r="M142" i="37" s="1"/>
  <c r="I167" i="37" a="1"/>
  <c r="I167" i="37" s="1"/>
  <c r="L167" i="37" s="1"/>
  <c r="M167" i="37" s="1" a="1"/>
  <c r="M167" i="37" s="1"/>
  <c r="I187" i="37" a="1"/>
  <c r="I187" i="37" s="1"/>
  <c r="L187" i="37" s="1"/>
  <c r="M187" i="37" s="1" a="1"/>
  <c r="M187" i="37" s="1"/>
  <c r="I29" i="37" a="1"/>
  <c r="I29" i="37" s="1"/>
  <c r="L29" i="37" s="1"/>
  <c r="M29" i="37" s="1" a="1"/>
  <c r="M29" i="37" s="1"/>
  <c r="I61" i="37" a="1"/>
  <c r="I61" i="37" s="1"/>
  <c r="L61" i="37" s="1"/>
  <c r="M61" i="37" s="1" a="1"/>
  <c r="M61" i="37" s="1"/>
  <c r="I105" i="37" a="1"/>
  <c r="I105" i="37" s="1"/>
  <c r="L105" i="37" s="1"/>
  <c r="M105" i="37" s="1" a="1"/>
  <c r="M105" i="37" s="1"/>
  <c r="I110" i="37" a="1"/>
  <c r="I110" i="37" s="1"/>
  <c r="L110" i="37" s="1"/>
  <c r="M110" i="37" s="1" a="1"/>
  <c r="M110" i="37" s="1"/>
  <c r="J23" i="37"/>
  <c r="J43" i="37"/>
  <c r="J48" i="37"/>
  <c r="J63" i="37"/>
  <c r="J123" i="37"/>
  <c r="J143" i="37"/>
  <c r="J163" i="37"/>
  <c r="I49" i="37" a="1"/>
  <c r="I49" i="37" s="1"/>
  <c r="L49" i="37" s="1"/>
  <c r="M49" i="37" s="1" a="1"/>
  <c r="M49" i="37" s="1"/>
  <c r="I125" i="37" a="1"/>
  <c r="I125" i="37" s="1"/>
  <c r="L125" i="37" s="1"/>
  <c r="M125" i="37" s="1" a="1"/>
  <c r="M125" i="37" s="1"/>
  <c r="I130" i="37" a="1"/>
  <c r="I130" i="37" s="1"/>
  <c r="L130" i="37" s="1"/>
  <c r="M130" i="37" s="1" a="1"/>
  <c r="M130" i="37" s="1"/>
  <c r="I170" i="37" a="1"/>
  <c r="I170" i="37" s="1"/>
  <c r="L170" i="37" s="1"/>
  <c r="M170" i="37" s="1" a="1"/>
  <c r="M170" i="37" s="1"/>
  <c r="J89" i="37"/>
  <c r="J164" i="37"/>
  <c r="J20" i="37"/>
  <c r="J125" i="37"/>
  <c r="J170" i="37"/>
  <c r="I126" i="37" a="1"/>
  <c r="I126" i="37" s="1"/>
  <c r="L126" i="37" s="1"/>
  <c r="M126" i="37" s="1" a="1"/>
  <c r="M126" i="37" s="1"/>
  <c r="J21" i="37"/>
  <c r="J41" i="37"/>
  <c r="J46" i="37"/>
  <c r="J61" i="37"/>
  <c r="J86" i="37"/>
  <c r="J106" i="37"/>
  <c r="J126" i="37"/>
  <c r="J166" i="37"/>
  <c r="J186" i="37"/>
  <c r="J29" i="37"/>
  <c r="I20" i="37" a="1"/>
  <c r="I20" i="37" s="1"/>
  <c r="L20" i="37" s="1"/>
  <c r="M20" i="37" s="1" a="1"/>
  <c r="M20" i="37" s="1"/>
  <c r="I106" i="37" a="1"/>
  <c r="I106" i="37" s="1"/>
  <c r="L106" i="37" s="1"/>
  <c r="M106" i="37" s="1" a="1"/>
  <c r="M106" i="37" s="1"/>
  <c r="J105" i="37"/>
  <c r="J130" i="37"/>
  <c r="I166" i="37" a="1"/>
  <c r="I166" i="37" s="1"/>
  <c r="L166" i="37" s="1"/>
  <c r="M166" i="37" s="1" a="1"/>
  <c r="M166" i="37" s="1"/>
  <c r="L60" i="37"/>
  <c r="M60" i="37" s="1" a="1"/>
  <c r="M60" i="37" s="1"/>
  <c r="L67" i="37"/>
  <c r="M67" i="37" s="1" a="1"/>
  <c r="M67" i="37" s="1"/>
  <c r="L107" i="37"/>
  <c r="M107" i="37" s="1" a="1"/>
  <c r="M107" i="37" s="1"/>
  <c r="L121" i="37"/>
  <c r="M121" i="37" s="1" a="1"/>
  <c r="M121" i="37" s="1"/>
  <c r="L161" i="37"/>
  <c r="M161" i="37" s="1" a="1"/>
  <c r="M161" i="37" s="1"/>
  <c r="L195" i="37"/>
  <c r="M195" i="37" s="1" a="1"/>
  <c r="M195" i="37" s="1"/>
  <c r="L18" i="37"/>
  <c r="M18" i="37" s="1" a="1"/>
  <c r="M18" i="37" s="1"/>
  <c r="L51" i="37"/>
  <c r="M51" i="37" s="1" a="1"/>
  <c r="M51" i="37" s="1"/>
  <c r="L87" i="37"/>
  <c r="M87" i="37" s="1" a="1"/>
  <c r="M87" i="37" s="1"/>
  <c r="L137" i="37"/>
  <c r="M137" i="37" s="1" a="1"/>
  <c r="M137" i="37" s="1"/>
  <c r="L149" i="37"/>
  <c r="M149" i="37" s="1" a="1"/>
  <c r="M149" i="37" s="1"/>
  <c r="L198" i="37"/>
  <c r="M198" i="37" s="1" a="1"/>
  <c r="M198" i="37" s="1"/>
  <c r="L66" i="37"/>
  <c r="M66" i="37" s="1" a="1"/>
  <c r="M66" i="37" s="1"/>
  <c r="L135" i="37"/>
  <c r="M135" i="37" s="1" a="1"/>
  <c r="M135" i="37" s="1"/>
  <c r="L89" i="37"/>
  <c r="M89" i="37" s="1" a="1"/>
  <c r="M89" i="37" s="1"/>
  <c r="L179" i="37"/>
  <c r="M179" i="37" s="1" a="1"/>
  <c r="M179" i="37" s="1"/>
  <c r="L44" i="37"/>
  <c r="M44" i="37" s="1" a="1"/>
  <c r="M44" i="37" s="1"/>
  <c r="L91" i="37"/>
  <c r="M91" i="37" s="1" a="1"/>
  <c r="M91" i="37" s="1"/>
  <c r="L169" i="37"/>
  <c r="M169" i="37" s="1" a="1"/>
  <c r="M169" i="37" s="1"/>
  <c r="L90" i="37"/>
  <c r="M90" i="37" s="1" a="1"/>
  <c r="M90" i="37" s="1"/>
  <c r="L94" i="37"/>
  <c r="M94" i="37" s="1" a="1"/>
  <c r="M94" i="37" s="1"/>
  <c r="L102" i="37"/>
  <c r="M102" i="37" s="1" a="1"/>
  <c r="M102" i="37" s="1"/>
  <c r="L111" i="37"/>
  <c r="M111" i="37" s="1" a="1"/>
  <c r="M111" i="37" s="1"/>
  <c r="L201" i="37"/>
  <c r="M201" i="37" s="1" a="1"/>
  <c r="M201" i="37" s="1"/>
  <c r="L9" i="37"/>
  <c r="M9" i="37" s="1" a="1"/>
  <c r="M9" i="37" s="1"/>
  <c r="L54" i="37"/>
  <c r="M54" i="37" s="1" a="1"/>
  <c r="M54" i="37" s="1"/>
  <c r="L100" i="37"/>
  <c r="M100" i="37" s="1" a="1"/>
  <c r="M100" i="37" s="1"/>
  <c r="L113" i="37"/>
  <c r="M113" i="37" s="1" a="1"/>
  <c r="M113" i="37" s="1"/>
  <c r="L182" i="37"/>
  <c r="M182" i="37" s="1" a="1"/>
  <c r="M182" i="37" s="1"/>
  <c r="L73" i="37"/>
  <c r="M73" i="37" s="1" a="1"/>
  <c r="M73" i="37" s="1"/>
  <c r="L81" i="37"/>
  <c r="M81" i="37" s="1" a="1"/>
  <c r="M81" i="37" s="1"/>
  <c r="L96" i="37"/>
  <c r="M96" i="37" s="1" a="1"/>
  <c r="M96" i="37" s="1"/>
  <c r="L37" i="37"/>
  <c r="M37" i="37" s="1" a="1"/>
  <c r="M37" i="37" s="1"/>
  <c r="L79" i="37"/>
  <c r="M79" i="37" s="1" a="1"/>
  <c r="M79" i="37" s="1"/>
  <c r="L143" i="37"/>
  <c r="M143" i="37" s="1" a="1"/>
  <c r="M143" i="37" s="1"/>
  <c r="L196" i="37"/>
  <c r="M196" i="37" s="1" a="1"/>
  <c r="M196" i="37" s="1"/>
  <c r="L199" i="37"/>
  <c r="M199" i="37" s="1" a="1"/>
  <c r="M199" i="37" s="1"/>
  <c r="L200" i="37"/>
  <c r="M200" i="37" s="1" a="1"/>
  <c r="M200" i="37" s="1"/>
  <c r="L17" i="37"/>
  <c r="M17" i="37" s="1" a="1"/>
  <c r="M17" i="37" s="1"/>
  <c r="L197" i="37"/>
  <c r="M197" i="37" s="1" a="1"/>
  <c r="M197" i="37" s="1"/>
  <c r="L52" i="37"/>
  <c r="M52" i="37" s="1" a="1"/>
  <c r="M52" i="37" s="1"/>
  <c r="L35" i="37"/>
  <c r="M35" i="37" s="1" a="1"/>
  <c r="M35" i="37" s="1"/>
  <c r="L47" i="37"/>
  <c r="M47" i="37" s="1" a="1"/>
  <c r="M47" i="37" s="1"/>
  <c r="L133" i="37"/>
  <c r="M133" i="37" s="1" a="1"/>
  <c r="M133" i="37" s="1"/>
  <c r="L177" i="37"/>
  <c r="M177" i="37" s="1" a="1"/>
  <c r="M177" i="37" s="1"/>
  <c r="L62" i="37"/>
  <c r="M62" i="37" s="1" a="1"/>
  <c r="M62" i="37" s="1"/>
  <c r="L23" i="37"/>
  <c r="M23" i="37" s="1" a="1"/>
  <c r="M23" i="37" s="1"/>
  <c r="L115" i="37"/>
  <c r="M115" i="37" s="1" a="1"/>
  <c r="M115" i="37" s="1"/>
  <c r="L39" i="37"/>
  <c r="M39" i="37" s="1" a="1"/>
  <c r="M39" i="37" s="1"/>
  <c r="L99" i="37"/>
  <c r="M99" i="37" s="1" a="1"/>
  <c r="M99" i="37" s="1"/>
  <c r="L32" i="37"/>
  <c r="M32" i="37" s="1" a="1"/>
  <c r="M32" i="37" s="1"/>
  <c r="L153" i="37"/>
  <c r="M153" i="37" s="1" a="1"/>
  <c r="M153" i="37" s="1"/>
  <c r="L24" i="37"/>
  <c r="M24" i="37" s="1" a="1"/>
  <c r="M24" i="37" s="1"/>
  <c r="L112" i="37"/>
  <c r="M112" i="37" s="1" a="1"/>
  <c r="M112" i="37" s="1"/>
  <c r="L11" i="37"/>
  <c r="M11" i="37" s="1" a="1"/>
  <c r="M11" i="37" s="1"/>
  <c r="L185" i="37"/>
  <c r="M185" i="37" s="1" a="1"/>
  <c r="M185" i="37" s="1"/>
  <c r="L146" i="36"/>
  <c r="M146" i="36" s="1" a="1"/>
  <c r="M146" i="36" s="1"/>
  <c r="L153" i="36"/>
  <c r="M153" i="36" s="1" a="1"/>
  <c r="M153" i="36" s="1"/>
  <c r="L122" i="36"/>
  <c r="M122" i="36" s="1" a="1"/>
  <c r="M122" i="36" s="1"/>
  <c r="L81" i="36"/>
  <c r="M81" i="36" s="1" a="1"/>
  <c r="M81" i="36" s="1"/>
  <c r="L103" i="36"/>
  <c r="M103" i="36" s="1" a="1"/>
  <c r="M103" i="36" s="1"/>
  <c r="L125" i="36"/>
  <c r="M125" i="36" s="1" a="1"/>
  <c r="M125" i="36" s="1"/>
  <c r="L59" i="36"/>
  <c r="M59" i="36" s="1" a="1"/>
  <c r="M59" i="36" s="1"/>
  <c r="L211" i="36"/>
  <c r="M211" i="36" s="1" a="1"/>
  <c r="M211" i="36" s="1"/>
  <c r="L15" i="36"/>
  <c r="M15" i="36" s="1" a="1"/>
  <c r="M15" i="36" s="1"/>
  <c r="L132" i="36"/>
  <c r="M132" i="36" s="1" a="1"/>
  <c r="M132" i="36" s="1"/>
  <c r="L174" i="36"/>
  <c r="M174" i="36" s="1" a="1"/>
  <c r="M174" i="36" s="1"/>
  <c r="L142" i="36"/>
  <c r="M142" i="36" s="1" a="1"/>
  <c r="M142" i="36" s="1"/>
  <c r="L144" i="36"/>
  <c r="M144" i="36" s="1" a="1"/>
  <c r="M144" i="36" s="1"/>
  <c r="L157" i="36"/>
  <c r="M157" i="36" s="1" a="1"/>
  <c r="M157" i="36" s="1"/>
  <c r="L69" i="36"/>
  <c r="M69" i="36" s="1" a="1"/>
  <c r="M69" i="36" s="1"/>
  <c r="L164" i="36"/>
  <c r="M164" i="36" s="1" a="1"/>
  <c r="M164" i="36" s="1"/>
  <c r="L134" i="36"/>
  <c r="M134" i="36" s="1" a="1"/>
  <c r="M134" i="36" s="1"/>
  <c r="L19" i="36"/>
  <c r="M19" i="36" s="1" a="1"/>
  <c r="M19" i="36" s="1"/>
  <c r="L30" i="36"/>
  <c r="M30" i="36" s="1" a="1"/>
  <c r="M30" i="36" s="1"/>
  <c r="L197" i="36"/>
  <c r="M197" i="36" s="1" a="1"/>
  <c r="M197" i="36" s="1"/>
  <c r="L140" i="36"/>
  <c r="M140" i="36" s="1" a="1"/>
  <c r="M140" i="36" s="1"/>
  <c r="L101" i="36"/>
  <c r="M101" i="36" s="1" a="1"/>
  <c r="M101" i="36" s="1"/>
  <c r="L137" i="36"/>
  <c r="M137" i="36" s="1" a="1"/>
  <c r="M137" i="36" s="1"/>
  <c r="L186" i="36"/>
  <c r="M186" i="36" s="1" a="1"/>
  <c r="M186" i="36" s="1"/>
  <c r="L208" i="36"/>
  <c r="M208" i="36" s="1" a="1"/>
  <c r="M208" i="36" s="1"/>
  <c r="L139" i="36"/>
  <c r="M139" i="36" s="1" a="1"/>
  <c r="M139" i="36" s="1"/>
  <c r="L196" i="36"/>
  <c r="M196" i="36" s="1" a="1"/>
  <c r="M196" i="36" s="1"/>
  <c r="L200" i="36"/>
  <c r="M200" i="36" s="1" a="1"/>
  <c r="M200" i="36" s="1"/>
  <c r="L214" i="36"/>
  <c r="M214" i="36" s="1" a="1"/>
  <c r="M214" i="36" s="1"/>
  <c r="L41" i="36"/>
  <c r="M41" i="36" s="1" a="1"/>
  <c r="M41" i="36" s="1"/>
  <c r="L75" i="36"/>
  <c r="M75" i="36" s="1" a="1"/>
  <c r="M75" i="36" s="1"/>
  <c r="L169" i="36"/>
  <c r="M169" i="36" s="1" a="1"/>
  <c r="M169" i="36" s="1"/>
  <c r="L21" i="36"/>
  <c r="M21" i="36" s="1" a="1"/>
  <c r="M21" i="36" s="1"/>
  <c r="L109" i="36"/>
  <c r="M109" i="36" s="1" a="1"/>
  <c r="M109" i="36" s="1"/>
  <c r="L150" i="36"/>
  <c r="M150" i="36" s="1" a="1"/>
  <c r="M150" i="36" s="1"/>
  <c r="L119" i="36"/>
  <c r="M119" i="36" s="1" a="1"/>
  <c r="M119" i="36" s="1"/>
  <c r="L63" i="36"/>
  <c r="M63" i="36" s="1" a="1"/>
  <c r="M63" i="36" s="1"/>
  <c r="L39" i="36"/>
  <c r="M39" i="36" s="1" a="1"/>
  <c r="M39" i="36" s="1"/>
  <c r="L98" i="36"/>
  <c r="M98" i="36" s="1" a="1"/>
  <c r="M98" i="36" s="1"/>
  <c r="L45" i="36"/>
  <c r="M45" i="36" s="1" a="1"/>
  <c r="M45" i="36" s="1"/>
  <c r="L156" i="36"/>
  <c r="M156" i="36" s="1" a="1"/>
  <c r="M156" i="36" s="1"/>
  <c r="L204" i="36"/>
  <c r="M204" i="36" s="1" a="1"/>
  <c r="M204" i="36" s="1"/>
  <c r="L152" i="36"/>
  <c r="M152" i="36" s="1" a="1"/>
  <c r="M152" i="36" s="1"/>
  <c r="L60" i="36"/>
  <c r="M60" i="36" s="1" a="1"/>
  <c r="M60" i="36" s="1"/>
  <c r="L20" i="36"/>
  <c r="M20" i="36" s="1" a="1"/>
  <c r="M20" i="36" s="1"/>
  <c r="L212" i="36"/>
  <c r="M212" i="36" s="1" a="1"/>
  <c r="M212" i="36" s="1"/>
  <c r="L62" i="36"/>
  <c r="M62" i="36" s="1" a="1"/>
  <c r="M62" i="36" s="1"/>
  <c r="L79" i="36"/>
  <c r="M79" i="36" s="1" a="1"/>
  <c r="M79" i="36" s="1"/>
  <c r="L115" i="36"/>
  <c r="M115" i="36" s="1" a="1"/>
  <c r="M115" i="36" s="1"/>
  <c r="L193" i="36"/>
  <c r="M193" i="36" s="1" a="1"/>
  <c r="M193" i="36" s="1"/>
  <c r="L57" i="36"/>
  <c r="M57" i="36" s="1" a="1"/>
  <c r="M57" i="36" s="1"/>
  <c r="L90" i="36"/>
  <c r="M90" i="36" s="1" a="1"/>
  <c r="M90" i="36" s="1"/>
  <c r="L71" i="36"/>
  <c r="M71" i="36" s="1" a="1"/>
  <c r="M71" i="36" s="1"/>
  <c r="L17" i="36"/>
  <c r="M17" i="36" s="1" a="1"/>
  <c r="M17" i="36" s="1"/>
  <c r="L151" i="36"/>
  <c r="M151" i="36" s="1" a="1"/>
  <c r="M151" i="36" s="1"/>
  <c r="L66" i="36"/>
  <c r="M66" i="36" s="1" a="1"/>
  <c r="M66" i="36" s="1"/>
  <c r="L94" i="36"/>
  <c r="M94" i="36" s="1" a="1"/>
  <c r="M94" i="36" s="1"/>
  <c r="L209" i="36"/>
  <c r="M209" i="36" s="1" a="1"/>
  <c r="M209" i="36" s="1"/>
  <c r="L168" i="36"/>
  <c r="M168" i="36" s="1" a="1"/>
  <c r="M168" i="36" s="1"/>
  <c r="L37" i="36"/>
  <c r="M37" i="36" s="1" a="1"/>
  <c r="M37" i="36" s="1"/>
  <c r="L111" i="36"/>
  <c r="M111" i="36" s="1" a="1"/>
  <c r="M111" i="36" s="1"/>
  <c r="L166" i="36"/>
  <c r="M166" i="36" s="1" a="1"/>
  <c r="M166" i="36" s="1"/>
  <c r="L171" i="36"/>
  <c r="M171" i="36" s="1" a="1"/>
  <c r="M171" i="36" s="1"/>
  <c r="AA10" i="3" a="1"/>
  <c r="AA10" i="3" s="1"/>
  <c r="L14" i="35"/>
  <c r="M14" i="35" s="1" a="1"/>
  <c r="M14" i="35" s="1"/>
  <c r="L8" i="35"/>
  <c r="M8" i="35" s="1" a="1"/>
  <c r="M8" i="35" s="1"/>
  <c r="L168" i="35"/>
  <c r="M168" i="35" s="1" a="1"/>
  <c r="M168" i="35" s="1"/>
  <c r="AA11" i="3" a="1"/>
  <c r="AA11" i="3" s="1"/>
  <c r="L290" i="35"/>
  <c r="M290" i="35" s="1" a="1"/>
  <c r="M290" i="35" s="1"/>
  <c r="L95" i="35"/>
  <c r="M95" i="35" s="1" a="1"/>
  <c r="M95" i="35" s="1"/>
  <c r="L106" i="35"/>
  <c r="M106" i="35" s="1" a="1"/>
  <c r="M106" i="35" s="1"/>
  <c r="L285" i="35"/>
  <c r="M285" i="35" s="1" a="1"/>
  <c r="M285" i="35" s="1"/>
  <c r="L99" i="35"/>
  <c r="M99" i="35" s="1" a="1"/>
  <c r="M99" i="35" s="1"/>
  <c r="AA12" i="3"/>
  <c r="L58" i="35"/>
  <c r="M58" i="35" s="1" a="1"/>
  <c r="M58" i="35" s="1"/>
  <c r="L192" i="35"/>
  <c r="M192" i="35" s="1" a="1"/>
  <c r="M192" i="35" s="1"/>
  <c r="L255" i="35"/>
  <c r="M255" i="35" s="1" a="1"/>
  <c r="M255" i="35" s="1"/>
  <c r="L350" i="35"/>
  <c r="M350" i="35" s="1" a="1"/>
  <c r="M350" i="35" s="1"/>
  <c r="L48" i="35"/>
  <c r="M48" i="35" s="1" a="1"/>
  <c r="M48" i="35" s="1"/>
  <c r="L50" i="35"/>
  <c r="M50" i="35" s="1" a="1"/>
  <c r="M50" i="35" s="1"/>
  <c r="L121" i="35"/>
  <c r="M121" i="35" s="1" a="1"/>
  <c r="M121" i="35" s="1"/>
  <c r="L132" i="35"/>
  <c r="M132" i="35" s="1" a="1"/>
  <c r="M132" i="35" s="1"/>
  <c r="L250" i="35"/>
  <c r="M250" i="35" s="1" a="1"/>
  <c r="M250" i="35" s="1"/>
  <c r="L43" i="35"/>
  <c r="M43" i="35" s="1" a="1"/>
  <c r="M43" i="35" s="1"/>
  <c r="L143" i="35"/>
  <c r="M143" i="35" s="1" a="1"/>
  <c r="M143" i="35" s="1"/>
  <c r="L210" i="35"/>
  <c r="M210" i="35" s="1" a="1"/>
  <c r="M210" i="35" s="1"/>
  <c r="L362" i="35"/>
  <c r="M362" i="35" s="1" a="1"/>
  <c r="M362" i="35" s="1"/>
  <c r="L389" i="35"/>
  <c r="M389" i="35" s="1" a="1"/>
  <c r="M389" i="35" s="1"/>
  <c r="L79" i="35"/>
  <c r="M79" i="35" s="1" a="1"/>
  <c r="M79" i="35" s="1"/>
  <c r="L240" i="35"/>
  <c r="M240" i="35" s="1" a="1"/>
  <c r="M240" i="35" s="1"/>
  <c r="L247" i="35"/>
  <c r="M247" i="35" s="1" a="1"/>
  <c r="M247" i="35" s="1"/>
  <c r="L307" i="35"/>
  <c r="M307" i="35" s="1" a="1"/>
  <c r="M307" i="35" s="1"/>
  <c r="L135" i="35"/>
  <c r="M135" i="35" s="1" a="1"/>
  <c r="M135" i="35" s="1"/>
  <c r="L152" i="35"/>
  <c r="M152" i="35" s="1" a="1"/>
  <c r="M152" i="35" s="1"/>
  <c r="L272" i="35"/>
  <c r="M272" i="35" s="1" a="1"/>
  <c r="M272" i="35" s="1"/>
  <c r="L88" i="35"/>
  <c r="M88" i="35" s="1" a="1"/>
  <c r="M88" i="35" s="1"/>
  <c r="L112" i="35"/>
  <c r="M112" i="35" s="1" a="1"/>
  <c r="M112" i="35" s="1"/>
  <c r="L154" i="35"/>
  <c r="M154" i="35" s="1" a="1"/>
  <c r="M154" i="35" s="1"/>
  <c r="L180" i="35"/>
  <c r="M180" i="35" s="1" a="1"/>
  <c r="M180" i="35" s="1"/>
  <c r="L118" i="35"/>
  <c r="M118" i="35" s="1" a="1"/>
  <c r="M118" i="35" s="1"/>
  <c r="L74" i="35"/>
  <c r="M74" i="35" s="1" a="1"/>
  <c r="M74" i="35" s="1"/>
  <c r="L170" i="35"/>
  <c r="M170" i="35" s="1" a="1"/>
  <c r="M170" i="35" s="1"/>
  <c r="L276" i="35"/>
  <c r="M276" i="35" s="1" a="1"/>
  <c r="M276" i="35" s="1"/>
  <c r="L230" i="35"/>
  <c r="M230" i="35" s="1" a="1"/>
  <c r="M230" i="35" s="1"/>
  <c r="L131" i="35"/>
  <c r="M131" i="35" s="1" a="1"/>
  <c r="M131" i="35" s="1"/>
  <c r="L209" i="35"/>
  <c r="M209" i="35" s="1" a="1"/>
  <c r="M209" i="35" s="1"/>
  <c r="L282" i="35"/>
  <c r="M282" i="35" s="1" a="1"/>
  <c r="M282" i="35" s="1"/>
  <c r="L83" i="35"/>
  <c r="M83" i="35" s="1" a="1"/>
  <c r="M83" i="35" s="1"/>
  <c r="L129" i="35"/>
  <c r="M129" i="35" s="1" a="1"/>
  <c r="M129" i="35" s="1"/>
  <c r="L177" i="35"/>
  <c r="M177" i="35" s="1" a="1"/>
  <c r="M177" i="35" s="1"/>
  <c r="L280" i="35"/>
  <c r="M280" i="35" s="1" a="1"/>
  <c r="M280" i="35" s="1"/>
  <c r="L335" i="35"/>
  <c r="M335" i="35" s="1" a="1"/>
  <c r="M335" i="35" s="1"/>
  <c r="L352" i="35"/>
  <c r="M352" i="35" s="1" a="1"/>
  <c r="M352" i="35" s="1"/>
  <c r="L375" i="35"/>
  <c r="M375" i="35" s="1" a="1"/>
  <c r="M375" i="35" s="1"/>
  <c r="L80" i="35"/>
  <c r="M80" i="35" s="1" a="1"/>
  <c r="M80" i="35" s="1"/>
  <c r="L100" i="35"/>
  <c r="M100" i="35" s="1" a="1"/>
  <c r="M100" i="35" s="1"/>
  <c r="L110" i="35"/>
  <c r="M110" i="35" s="1" a="1"/>
  <c r="M110" i="35" s="1"/>
  <c r="L149" i="35"/>
  <c r="M149" i="35" s="1" a="1"/>
  <c r="M149" i="35" s="1"/>
  <c r="L172" i="35"/>
  <c r="M172" i="35" s="1" a="1"/>
  <c r="M172" i="35" s="1"/>
  <c r="L214" i="35"/>
  <c r="M214" i="35" s="1" a="1"/>
  <c r="M214" i="35" s="1"/>
  <c r="L297" i="35"/>
  <c r="M297" i="35" s="1" a="1"/>
  <c r="M297" i="35" s="1"/>
  <c r="L337" i="35"/>
  <c r="M337" i="35" s="1" a="1"/>
  <c r="M337" i="35" s="1"/>
  <c r="L387" i="35"/>
  <c r="M387" i="35" s="1" a="1"/>
  <c r="M387" i="35" s="1"/>
  <c r="Y11" i="3"/>
  <c r="L92" i="35"/>
  <c r="M92" i="35" s="1" a="1"/>
  <c r="M92" i="35" s="1"/>
  <c r="L49" i="35"/>
  <c r="M49" i="35" s="1" a="1"/>
  <c r="M49" i="35" s="1"/>
  <c r="L133" i="35"/>
  <c r="M133" i="35" s="1" a="1"/>
  <c r="M133" i="35" s="1"/>
  <c r="L160" i="35"/>
  <c r="M160" i="35" s="1" a="1"/>
  <c r="M160" i="35" s="1"/>
  <c r="L211" i="35"/>
  <c r="M211" i="35" s="1" a="1"/>
  <c r="M211" i="35" s="1"/>
  <c r="L303" i="35"/>
  <c r="M303" i="35" s="1" a="1"/>
  <c r="M303" i="35" s="1"/>
  <c r="L22" i="35"/>
  <c r="M22" i="35" s="1" a="1"/>
  <c r="M22" i="35" s="1"/>
  <c r="L29" i="35"/>
  <c r="M29" i="35" s="1" a="1"/>
  <c r="M29" i="35" s="1"/>
  <c r="L187" i="35"/>
  <c r="M187" i="35" s="1" a="1"/>
  <c r="M187" i="35" s="1"/>
  <c r="L322" i="35"/>
  <c r="M322" i="35" s="1" a="1"/>
  <c r="M322" i="35" s="1"/>
  <c r="L385" i="35"/>
  <c r="M385" i="35" s="1" a="1"/>
  <c r="M385" i="35" s="1"/>
  <c r="L28" i="35"/>
  <c r="M28" i="35" s="1" a="1"/>
  <c r="M28" i="35" s="1"/>
  <c r="L248" i="35"/>
  <c r="M248" i="35" s="1" a="1"/>
  <c r="M248" i="35" s="1"/>
  <c r="L339" i="35"/>
  <c r="M339" i="35" s="1" a="1"/>
  <c r="M339" i="35" s="1"/>
  <c r="X11" i="3"/>
  <c r="Z11" i="3" s="1"/>
  <c r="L94" i="35"/>
  <c r="M94" i="35" s="1" a="1"/>
  <c r="M94" i="35" s="1"/>
  <c r="L147" i="35"/>
  <c r="M147" i="35" s="1" a="1"/>
  <c r="M147" i="35" s="1"/>
  <c r="L163" i="35"/>
  <c r="M163" i="35" s="1" a="1"/>
  <c r="M163" i="35" s="1"/>
  <c r="L219" i="35"/>
  <c r="M219" i="35" s="1" a="1"/>
  <c r="M219" i="35" s="1"/>
  <c r="L228" i="35"/>
  <c r="M228" i="35" s="1" a="1"/>
  <c r="M228" i="35" s="1"/>
  <c r="L333" i="35"/>
  <c r="M333" i="35" s="1" a="1"/>
  <c r="M333" i="35" s="1"/>
  <c r="L390" i="35"/>
  <c r="M390" i="35" s="1" a="1"/>
  <c r="M390" i="35" s="1"/>
  <c r="L75" i="35"/>
  <c r="M75" i="35" s="1" a="1"/>
  <c r="M75" i="35" s="1"/>
  <c r="L301" i="35"/>
  <c r="M301" i="35" s="1" a="1"/>
  <c r="M301" i="35" s="1"/>
  <c r="L379" i="35"/>
  <c r="M379" i="35" s="1" a="1"/>
  <c r="M379" i="35" s="1"/>
  <c r="L39" i="35"/>
  <c r="M39" i="35" s="1" a="1"/>
  <c r="M39" i="35" s="1"/>
  <c r="L41" i="35"/>
  <c r="M41" i="35" s="1" a="1"/>
  <c r="M41" i="35" s="1"/>
  <c r="L64" i="35"/>
  <c r="M64" i="35" s="1" a="1"/>
  <c r="M64" i="35" s="1"/>
  <c r="L158" i="35"/>
  <c r="M158" i="35" s="1" a="1"/>
  <c r="M158" i="35" s="1"/>
  <c r="L305" i="35"/>
  <c r="M305" i="35" s="1" a="1"/>
  <c r="M305" i="35" s="1"/>
  <c r="L239" i="35"/>
  <c r="M239" i="35" s="1" a="1"/>
  <c r="M239" i="35" s="1"/>
  <c r="L7" i="35"/>
  <c r="M7" i="35" s="1" a="1"/>
  <c r="M7" i="35" s="1"/>
  <c r="L15" i="35"/>
  <c r="M15" i="35" s="1" a="1"/>
  <c r="M15" i="35" s="1"/>
  <c r="L21" i="35"/>
  <c r="M21" i="35" s="1" a="1"/>
  <c r="M21" i="35" s="1"/>
  <c r="L70" i="35"/>
  <c r="M70" i="35" s="1" a="1"/>
  <c r="M70" i="35" s="1"/>
  <c r="L157" i="35"/>
  <c r="M157" i="35" s="1" a="1"/>
  <c r="M157" i="35" s="1"/>
  <c r="L54" i="35"/>
  <c r="M54" i="35" s="1" a="1"/>
  <c r="M54" i="35" s="1"/>
  <c r="L183" i="35"/>
  <c r="M183" i="35" s="1" a="1"/>
  <c r="M183" i="35" s="1"/>
  <c r="L320" i="35"/>
  <c r="M320" i="35" s="1" a="1"/>
  <c r="M320" i="35" s="1"/>
  <c r="L354" i="35"/>
  <c r="M354" i="35" s="1" a="1"/>
  <c r="M354" i="35" s="1"/>
  <c r="L393" i="35"/>
  <c r="M393" i="35" s="1" a="1"/>
  <c r="M393" i="35" s="1"/>
  <c r="L19" i="35"/>
  <c r="M19" i="35" s="1" a="1"/>
  <c r="M19" i="35" s="1"/>
  <c r="L47" i="35"/>
  <c r="M47" i="35" s="1" a="1"/>
  <c r="M47" i="35" s="1"/>
  <c r="L77" i="35"/>
  <c r="M77" i="35" s="1" a="1"/>
  <c r="M77" i="35" s="1"/>
  <c r="L91" i="35"/>
  <c r="M91" i="35" s="1" a="1"/>
  <c r="M91" i="35" s="1"/>
  <c r="L188" i="35"/>
  <c r="M188" i="35" s="1" a="1"/>
  <c r="M188" i="35" s="1"/>
  <c r="L315" i="35"/>
  <c r="M315" i="35" s="1" a="1"/>
  <c r="M315" i="35" s="1"/>
  <c r="L345" i="35"/>
  <c r="M345" i="35" s="1" a="1"/>
  <c r="M345" i="35" s="1"/>
  <c r="L351" i="35"/>
  <c r="M351" i="35" s="1" a="1"/>
  <c r="M351" i="35" s="1"/>
  <c r="L332" i="35"/>
  <c r="M332" i="35" s="1" a="1"/>
  <c r="M332" i="35" s="1"/>
  <c r="L356" i="35"/>
  <c r="M356" i="35" s="1" a="1"/>
  <c r="M356" i="35" s="1"/>
  <c r="L376" i="35"/>
  <c r="M376" i="35" s="1" a="1"/>
  <c r="M376" i="35" s="1"/>
  <c r="X10" i="3"/>
  <c r="Z10" i="3" s="1"/>
  <c r="L312" i="35"/>
  <c r="M312" i="35" s="1" a="1"/>
  <c r="M312" i="35" s="1"/>
  <c r="L329" i="35"/>
  <c r="M329" i="35" s="1" a="1"/>
  <c r="M329" i="35" s="1"/>
  <c r="L363" i="35"/>
  <c r="M363" i="35" s="1" a="1"/>
  <c r="M363" i="35" s="1"/>
  <c r="Y10" i="3"/>
  <c r="L366" i="35"/>
  <c r="M366" i="35" s="1" a="1"/>
  <c r="M366" i="35" s="1"/>
  <c r="L274" i="35"/>
  <c r="M274" i="35" s="1" a="1"/>
  <c r="M274" i="35" s="1"/>
  <c r="L334" i="35"/>
  <c r="M334" i="35" s="1" a="1"/>
  <c r="M334" i="35" s="1"/>
  <c r="L283" i="35"/>
  <c r="M283" i="35" s="1" a="1"/>
  <c r="M283" i="35" s="1"/>
  <c r="L295" i="35"/>
  <c r="M295" i="35" s="1" a="1"/>
  <c r="M295" i="35" s="1"/>
  <c r="L348" i="35"/>
  <c r="M348" i="35" s="1" a="1"/>
  <c r="M348" i="35" s="1"/>
  <c r="L138" i="36"/>
  <c r="M138" i="36" s="1" a="1"/>
  <c r="M138" i="36" s="1"/>
  <c r="L163" i="36"/>
  <c r="M163" i="36" s="1" a="1"/>
  <c r="M163" i="36" s="1"/>
  <c r="X9" i="3"/>
  <c r="Z9" i="3" s="1"/>
  <c r="L49" i="36"/>
  <c r="M49" i="36" s="1" a="1"/>
  <c r="M49" i="36" s="1"/>
  <c r="L182" i="36"/>
  <c r="M182" i="36" s="1" a="1"/>
  <c r="M182" i="36" s="1"/>
  <c r="AA9" i="3" a="1"/>
  <c r="AA9" i="3" s="1"/>
  <c r="L29" i="36"/>
  <c r="M29" i="36" s="1" a="1"/>
  <c r="M29" i="36" s="1"/>
  <c r="L172" i="36"/>
  <c r="M172" i="36" s="1" a="1"/>
  <c r="M172" i="36" s="1"/>
  <c r="L110" i="36"/>
  <c r="M110" i="36" s="1" a="1"/>
  <c r="M110" i="36" s="1"/>
  <c r="L131" i="36"/>
  <c r="M131" i="36" s="1" a="1"/>
  <c r="M131" i="36" s="1"/>
  <c r="L198" i="36"/>
  <c r="M198" i="36" s="1" a="1"/>
  <c r="M198" i="36" s="1"/>
  <c r="Y9" i="3"/>
  <c r="L108" i="36"/>
  <c r="M108" i="36" s="1" a="1"/>
  <c r="M108" i="36" s="1"/>
  <c r="L116" i="36"/>
  <c r="M116" i="36" s="1" a="1"/>
  <c r="M116" i="36" s="1"/>
  <c r="L31" i="36"/>
  <c r="M31" i="36" s="1" a="1"/>
  <c r="M31" i="36" s="1"/>
  <c r="L141" i="36"/>
  <c r="M141" i="36" s="1" a="1"/>
  <c r="M141" i="36" s="1"/>
  <c r="L96" i="36"/>
  <c r="M96" i="36" s="1" a="1"/>
  <c r="M96" i="36" s="1"/>
  <c r="L133" i="36"/>
  <c r="M133" i="36" s="1" a="1"/>
  <c r="M133" i="36" s="1"/>
  <c r="L48" i="36"/>
  <c r="M48" i="36" s="1" a="1"/>
  <c r="M48" i="36" s="1"/>
  <c r="L91" i="36"/>
  <c r="M91" i="36" s="1" a="1"/>
  <c r="M91" i="36" s="1"/>
  <c r="L158" i="36"/>
  <c r="M158" i="36" s="1" a="1"/>
  <c r="M158" i="36" s="1"/>
  <c r="L86" i="36"/>
  <c r="M86" i="36" s="1" a="1"/>
  <c r="M86" i="36" s="1"/>
  <c r="L82" i="36"/>
  <c r="M82" i="36" s="1" a="1"/>
  <c r="M82" i="36" s="1"/>
  <c r="L192" i="36"/>
  <c r="M192" i="36" s="1" a="1"/>
  <c r="M192" i="36" s="1"/>
  <c r="L22" i="36"/>
  <c r="M22" i="36" s="1" a="1"/>
  <c r="M22" i="36" s="1"/>
  <c r="L104" i="36"/>
  <c r="M104" i="36" s="1" a="1"/>
  <c r="M104" i="36" s="1"/>
  <c r="L117" i="36"/>
  <c r="M117" i="36" s="1" a="1"/>
  <c r="M117" i="36" s="1"/>
  <c r="L178" i="36"/>
  <c r="M178" i="36" s="1" a="1"/>
  <c r="M178" i="36" s="1"/>
  <c r="L202" i="36"/>
  <c r="M202" i="36" s="1" a="1"/>
  <c r="M202" i="36" s="1"/>
  <c r="L51" i="36"/>
  <c r="M51" i="36" s="1" a="1"/>
  <c r="M51" i="36" s="1"/>
  <c r="L161" i="36"/>
  <c r="M161" i="36" s="1" a="1"/>
  <c r="M161" i="36" s="1"/>
  <c r="L13" i="36"/>
  <c r="M13" i="36" s="1" a="1"/>
  <c r="M13" i="36" s="1"/>
  <c r="L16" i="36"/>
  <c r="M16" i="36" s="1" a="1"/>
  <c r="M16" i="36" s="1"/>
  <c r="L77" i="36"/>
  <c r="M77" i="36" s="1" a="1"/>
  <c r="M77" i="36" s="1"/>
  <c r="L92" i="36"/>
  <c r="M92" i="36" s="1" a="1"/>
  <c r="M92" i="36" s="1"/>
  <c r="L149" i="36"/>
  <c r="M149" i="36" s="1" a="1"/>
  <c r="M149" i="36" s="1"/>
  <c r="L175" i="36"/>
  <c r="M175" i="36" s="1" a="1"/>
  <c r="M175" i="36" s="1"/>
  <c r="L210" i="36"/>
  <c r="M210" i="36" s="1" a="1"/>
  <c r="M210" i="36" s="1"/>
  <c r="L28" i="36"/>
  <c r="M28" i="36" s="1" a="1"/>
  <c r="M28" i="36" s="1"/>
  <c r="L54" i="36"/>
  <c r="M54" i="36" s="1" a="1"/>
  <c r="M54" i="36" s="1"/>
  <c r="L78" i="36"/>
  <c r="M78" i="36" s="1" a="1"/>
  <c r="M78" i="36" s="1"/>
  <c r="L95" i="36"/>
  <c r="M95" i="36" s="1" a="1"/>
  <c r="M95" i="36" s="1"/>
  <c r="L121" i="36"/>
  <c r="M121" i="36" s="1" a="1"/>
  <c r="M121" i="36" s="1"/>
  <c r="L155" i="36"/>
  <c r="M155" i="36" s="1" a="1"/>
  <c r="M155" i="36" s="1"/>
  <c r="L191" i="36"/>
  <c r="M191" i="36" s="1" a="1"/>
  <c r="M191" i="36" s="1"/>
  <c r="L42" i="36"/>
  <c r="M42" i="36" s="1" a="1"/>
  <c r="M42" i="36" s="1"/>
  <c r="L126" i="36"/>
  <c r="M126" i="36" s="1" a="1"/>
  <c r="M126" i="36" s="1"/>
  <c r="L176" i="36"/>
  <c r="M176" i="36" s="1" a="1"/>
  <c r="M176" i="36" s="1"/>
  <c r="L73" i="36"/>
  <c r="M73" i="36" s="1" a="1"/>
  <c r="M73" i="36" s="1"/>
  <c r="L123" i="36"/>
  <c r="M123" i="36" s="1" a="1"/>
  <c r="M123" i="36" s="1"/>
  <c r="L97" i="36"/>
  <c r="M97" i="36" s="1" a="1"/>
  <c r="M97" i="36" s="1"/>
  <c r="L118" i="36"/>
  <c r="M118" i="36" s="1" a="1"/>
  <c r="M118" i="36" s="1"/>
  <c r="L170" i="36"/>
  <c r="M170" i="36" s="1" a="1"/>
  <c r="M170" i="36" s="1"/>
  <c r="L173" i="36"/>
  <c r="M173" i="36" s="1" a="1"/>
  <c r="M173" i="36" s="1"/>
  <c r="L53" i="36"/>
  <c r="M53" i="36" s="1" a="1"/>
  <c r="M53" i="36" s="1"/>
  <c r="L61" i="36"/>
  <c r="M61" i="36" s="1" a="1"/>
  <c r="M61" i="36" s="1"/>
  <c r="L106" i="36"/>
  <c r="M106" i="36" s="1" a="1"/>
  <c r="M106" i="36" s="1"/>
  <c r="L120" i="36"/>
  <c r="M120" i="36" s="1" a="1"/>
  <c r="M120" i="36" s="1"/>
  <c r="L128" i="36"/>
  <c r="M128" i="36" s="1" a="1"/>
  <c r="M128" i="36" s="1"/>
  <c r="L114" i="36"/>
  <c r="M114" i="36" s="1" a="1"/>
  <c r="M114" i="36" s="1"/>
  <c r="L55" i="36"/>
  <c r="M55" i="36" s="1" a="1"/>
  <c r="M55" i="36" s="1"/>
  <c r="L83" i="36"/>
  <c r="M83" i="36" s="1" a="1"/>
  <c r="M83" i="36" s="1"/>
  <c r="L189" i="36"/>
  <c r="M189" i="36" s="1" a="1"/>
  <c r="M189" i="36" s="1"/>
  <c r="L199" i="36"/>
  <c r="M199" i="36" s="1" a="1"/>
  <c r="M199" i="36" s="1"/>
  <c r="L213" i="36"/>
  <c r="M213" i="36" s="1" a="1"/>
  <c r="M213" i="36" s="1"/>
  <c r="L9" i="36"/>
  <c r="M9" i="36" s="1" a="1"/>
  <c r="M9" i="36" s="1"/>
  <c r="L38" i="36"/>
  <c r="M38" i="36" s="1" a="1"/>
  <c r="M38" i="36" s="1"/>
  <c r="L85" i="36"/>
  <c r="M85" i="36" s="1" a="1"/>
  <c r="M85" i="36" s="1"/>
  <c r="L93" i="36"/>
  <c r="M93" i="36" s="1" a="1"/>
  <c r="M93" i="36" s="1"/>
  <c r="L130" i="36"/>
  <c r="M130" i="36" s="1" a="1"/>
  <c r="M130" i="36" s="1"/>
  <c r="L35" i="36"/>
  <c r="M35" i="36" s="1" a="1"/>
  <c r="M35" i="36" s="1"/>
  <c r="L40" i="36"/>
  <c r="M40" i="36" s="1" a="1"/>
  <c r="M40" i="36" s="1"/>
  <c r="L147" i="36"/>
  <c r="M147" i="36" s="1" a="1"/>
  <c r="M147" i="36" s="1"/>
  <c r="L160" i="36"/>
  <c r="M160" i="36" s="1" a="1"/>
  <c r="M160" i="36" s="1"/>
  <c r="L194" i="36"/>
  <c r="M194" i="36" s="1" a="1"/>
  <c r="M194" i="36" s="1"/>
  <c r="L47" i="36"/>
  <c r="M47" i="36" s="1" a="1"/>
  <c r="M47" i="36" s="1"/>
  <c r="L84" i="36"/>
  <c r="M84" i="36" s="1" a="1"/>
  <c r="M84" i="36" s="1"/>
  <c r="L8" i="36"/>
  <c r="M8" i="36" s="1" a="1"/>
  <c r="M8" i="36" s="1"/>
  <c r="L113" i="36"/>
  <c r="M113" i="36" s="1" a="1"/>
  <c r="M113" i="36" s="1"/>
  <c r="L23" i="36"/>
  <c r="M23" i="36" s="1" a="1"/>
  <c r="M23" i="36" s="1"/>
  <c r="L33" i="36"/>
  <c r="M33" i="36" s="1" a="1"/>
  <c r="M33" i="36" s="1"/>
  <c r="L70" i="36"/>
  <c r="M70" i="36" s="1" a="1"/>
  <c r="M70" i="36" s="1"/>
  <c r="L179" i="36"/>
  <c r="M179" i="36" s="1" a="1"/>
  <c r="M179" i="36" s="1"/>
  <c r="L187" i="36"/>
  <c r="M187" i="36" s="1" a="1"/>
  <c r="M187" i="36" s="1"/>
  <c r="L129" i="36"/>
  <c r="M129" i="36" s="1" a="1"/>
  <c r="M129" i="36" s="1"/>
  <c r="L34" i="37"/>
  <c r="M34" i="37" s="1" a="1"/>
  <c r="M34" i="37" s="1"/>
  <c r="L74" i="37"/>
  <c r="M74" i="37" s="1" a="1"/>
  <c r="M74" i="37" s="1"/>
  <c r="L124" i="37"/>
  <c r="M124" i="37" s="1" a="1"/>
  <c r="M124" i="37" s="1"/>
  <c r="L181" i="37"/>
  <c r="M181" i="37" s="1" a="1"/>
  <c r="M181" i="37" s="1"/>
  <c r="L10" i="37"/>
  <c r="M10" i="37" s="1" a="1"/>
  <c r="M10" i="37" s="1"/>
  <c r="L12" i="37"/>
  <c r="M12" i="37" s="1" a="1"/>
  <c r="M12" i="37" s="1"/>
  <c r="L53" i="37"/>
  <c r="M53" i="37" s="1" a="1"/>
  <c r="M53" i="37" s="1"/>
  <c r="L129" i="37"/>
  <c r="M129" i="37" s="1" a="1"/>
  <c r="M129" i="37" s="1"/>
  <c r="L141" i="37"/>
  <c r="M141" i="37" s="1" a="1"/>
  <c r="M141" i="37" s="1"/>
  <c r="L171" i="37"/>
  <c r="M171" i="37" s="1" a="1"/>
  <c r="M171" i="37" s="1"/>
  <c r="L16" i="37"/>
  <c r="M16" i="37" s="1" a="1"/>
  <c r="M16" i="37" s="1"/>
  <c r="L80" i="37"/>
  <c r="M80" i="37" s="1" a="1"/>
  <c r="M80" i="37" s="1"/>
  <c r="L114" i="37"/>
  <c r="M114" i="37" s="1" a="1"/>
  <c r="M114" i="37" s="1"/>
  <c r="L147" i="37"/>
  <c r="M147" i="37" s="1" a="1"/>
  <c r="M147" i="37" s="1"/>
  <c r="L168" i="37"/>
  <c r="M168" i="37" s="1" a="1"/>
  <c r="M168" i="37" s="1"/>
  <c r="L193" i="37"/>
  <c r="M193" i="37" s="1" a="1"/>
  <c r="M193" i="37" s="1"/>
  <c r="L42" i="37"/>
  <c r="M42" i="37" s="1" a="1"/>
  <c r="M42" i="37" s="1"/>
  <c r="L156" i="37"/>
  <c r="M156" i="37" s="1" a="1"/>
  <c r="M156" i="37" s="1"/>
  <c r="L33" i="37"/>
  <c r="M33" i="37" s="1" a="1"/>
  <c r="M33" i="37" s="1"/>
  <c r="L71" i="37"/>
  <c r="M71" i="37" s="1" a="1"/>
  <c r="M71" i="37" s="1"/>
  <c r="L148" i="37"/>
  <c r="M148" i="37" s="1" a="1"/>
  <c r="M148" i="37" s="1"/>
  <c r="L194" i="37"/>
  <c r="M194" i="37" s="1" a="1"/>
  <c r="M194" i="37" s="1"/>
  <c r="L64" i="37"/>
  <c r="M64" i="37" s="1" a="1"/>
  <c r="M64" i="37" s="1"/>
  <c r="L176" i="37"/>
  <c r="M176" i="37" s="1" a="1"/>
  <c r="M176" i="37" s="1"/>
  <c r="L144" i="37"/>
  <c r="M144" i="37" s="1" a="1"/>
  <c r="M144" i="37" s="1"/>
  <c r="L178" i="37"/>
  <c r="M178" i="37" s="1" a="1"/>
  <c r="M178" i="37" s="1"/>
  <c r="L183" i="37"/>
  <c r="M183" i="37" s="1" a="1"/>
  <c r="M183" i="37" s="1"/>
  <c r="L162" i="37"/>
  <c r="M162" i="37" s="1" a="1"/>
  <c r="M162" i="37" s="1"/>
  <c r="X14" i="3"/>
  <c r="Z14" i="3" s="1"/>
  <c r="L139" i="37"/>
  <c r="M139" i="37" s="1" a="1"/>
  <c r="M139" i="37" s="1"/>
  <c r="L175" i="37"/>
  <c r="M175" i="37" s="1" a="1"/>
  <c r="M175" i="37" s="1"/>
  <c r="L93" i="37"/>
  <c r="M93" i="37" s="1" a="1"/>
  <c r="M93" i="37" s="1"/>
  <c r="L159" i="37"/>
  <c r="M159" i="37" s="1" a="1"/>
  <c r="M159" i="37" s="1"/>
  <c r="L40" i="37"/>
  <c r="M40" i="37" s="1" a="1"/>
  <c r="M40" i="37" s="1"/>
  <c r="L55" i="37"/>
  <c r="M55" i="37" s="1" a="1"/>
  <c r="M55" i="37" s="1"/>
  <c r="L173" i="37"/>
  <c r="M173" i="37" s="1" a="1"/>
  <c r="M173" i="37" s="1"/>
  <c r="Y14" i="3"/>
  <c r="L26" i="37"/>
  <c r="M26" i="37" s="1" a="1"/>
  <c r="M26" i="37" s="1"/>
  <c r="L83" i="37"/>
  <c r="M83" i="37" s="1" a="1"/>
  <c r="M83" i="37" s="1"/>
  <c r="L58" i="37"/>
  <c r="M58" i="37" s="1" a="1"/>
  <c r="M58" i="37" s="1"/>
  <c r="L180" i="37"/>
  <c r="M180" i="37" s="1" a="1"/>
  <c r="M180" i="37" s="1"/>
  <c r="L31" i="37"/>
  <c r="M31" i="37" s="1" a="1"/>
  <c r="M31" i="37" s="1"/>
  <c r="L36" i="37"/>
  <c r="M36" i="37" s="1" a="1"/>
  <c r="M36" i="37" s="1"/>
  <c r="L68" i="37"/>
  <c r="M68" i="37" s="1" a="1"/>
  <c r="M68" i="37" s="1"/>
  <c r="L136" i="37"/>
  <c r="M136" i="37" s="1" a="1"/>
  <c r="M136" i="37" s="1"/>
  <c r="L92" i="37"/>
  <c r="M92" i="37" s="1" a="1"/>
  <c r="M92" i="37" s="1"/>
  <c r="L145" i="37"/>
  <c r="M145" i="37" s="1" a="1"/>
  <c r="M145" i="37" s="1"/>
  <c r="L28" i="37"/>
  <c r="M28" i="37" s="1" a="1"/>
  <c r="M28" i="37" s="1"/>
  <c r="L140" i="37"/>
  <c r="M140" i="37" s="1" a="1"/>
  <c r="M140" i="37" s="1"/>
  <c r="L6" i="37"/>
  <c r="M6" i="37" s="1" a="1"/>
  <c r="M6" i="37" s="1"/>
  <c r="L174" i="37"/>
  <c r="M174" i="37" s="1" a="1"/>
  <c r="M174" i="37" s="1"/>
  <c r="L70" i="37"/>
  <c r="M70" i="37" s="1" a="1"/>
  <c r="M70" i="37" s="1"/>
  <c r="L95" i="37"/>
  <c r="M95" i="37" s="1" a="1"/>
  <c r="M95" i="37" s="1"/>
  <c r="L103" i="37"/>
  <c r="M103" i="37" s="1" a="1"/>
  <c r="M103" i="37" s="1"/>
  <c r="L132" i="37"/>
  <c r="M132" i="37" s="1" a="1"/>
  <c r="M132" i="37" s="1"/>
  <c r="L150" i="37"/>
  <c r="M150" i="37" s="1" a="1"/>
  <c r="M150" i="37" s="1"/>
  <c r="L41" i="37"/>
  <c r="M41" i="37" s="1" a="1"/>
  <c r="M41" i="37" s="1"/>
  <c r="L86" i="37"/>
  <c r="M86" i="37" s="1" a="1"/>
  <c r="M86" i="37" s="1"/>
  <c r="L188" i="37"/>
  <c r="M188" i="37" s="1" a="1"/>
  <c r="M188" i="37" s="1"/>
  <c r="L7" i="37"/>
  <c r="M7" i="37" s="1" a="1"/>
  <c r="M7" i="37" s="1"/>
  <c r="L38" i="37"/>
  <c r="M38" i="37" s="1" a="1"/>
  <c r="M38" i="37" s="1"/>
  <c r="L116" i="37"/>
  <c r="M116" i="37" s="1" a="1"/>
  <c r="M116" i="37" s="1"/>
  <c r="L104" i="37"/>
  <c r="M104" i="37" s="1" a="1"/>
  <c r="M104" i="37" s="1"/>
  <c r="L155" i="37"/>
  <c r="M155" i="37" s="1" a="1"/>
  <c r="M155" i="37" s="1"/>
  <c r="L118" i="37"/>
  <c r="M118" i="37" s="1" a="1"/>
  <c r="M118" i="37" s="1"/>
  <c r="L128" i="37"/>
  <c r="M128" i="37" s="1" a="1"/>
  <c r="M128" i="37" s="1"/>
  <c r="L158" i="37"/>
  <c r="M158" i="37" s="1" a="1"/>
  <c r="M158" i="37" s="1"/>
  <c r="Y13" i="3"/>
  <c r="L32" i="38"/>
  <c r="M32" i="38" s="1" a="1"/>
  <c r="M32" i="38" s="1"/>
  <c r="L72" i="38"/>
  <c r="M72" i="38" s="1" a="1"/>
  <c r="M72" i="38" s="1"/>
  <c r="L145" i="38"/>
  <c r="M145" i="38" s="1" a="1"/>
  <c r="M145" i="38" s="1"/>
  <c r="L129" i="38"/>
  <c r="M129" i="38" s="1" a="1"/>
  <c r="M129" i="38" s="1"/>
  <c r="L35" i="38"/>
  <c r="M35" i="38" s="1" a="1"/>
  <c r="M35" i="38" s="1"/>
  <c r="L144" i="38"/>
  <c r="M144" i="38" s="1" a="1"/>
  <c r="M144" i="38" s="1"/>
  <c r="L153" i="38"/>
  <c r="M153" i="38" s="1" a="1"/>
  <c r="M153" i="38" s="1"/>
  <c r="L59" i="38"/>
  <c r="M59" i="38" s="1" a="1"/>
  <c r="M59" i="38" s="1"/>
  <c r="L111" i="38"/>
  <c r="M111" i="38" s="1" a="1"/>
  <c r="M111" i="38" s="1"/>
  <c r="L127" i="38"/>
  <c r="M127" i="38" s="1" a="1"/>
  <c r="M127" i="38" s="1"/>
  <c r="X13" i="3"/>
  <c r="Z13" i="3" s="1"/>
  <c r="L122" i="38"/>
  <c r="M122" i="38" s="1" a="1"/>
  <c r="M122" i="38" s="1"/>
  <c r="AH11" i="3" a="1"/>
  <c r="AD10" i="3" a="1"/>
  <c r="AL11" i="3" a="1"/>
  <c r="AD14" i="3" a="1"/>
  <c r="AH14" i="3" a="1"/>
  <c r="AL14" i="3" a="1"/>
  <c r="V12" i="3"/>
  <c r="W12" i="3"/>
  <c r="AH10" i="3" a="1"/>
  <c r="AL10" i="3" a="1"/>
  <c r="AL13" i="3" a="1"/>
  <c r="AD11" i="3" a="1"/>
  <c r="L114" i="35"/>
  <c r="M114" i="35" s="1" a="1"/>
  <c r="M114" i="35" s="1"/>
  <c r="L151" i="35"/>
  <c r="M151" i="35" s="1" a="1"/>
  <c r="M151" i="35" s="1"/>
  <c r="L126" i="35"/>
  <c r="M126" i="35" s="1" a="1"/>
  <c r="M126" i="35" s="1"/>
  <c r="L144" i="35"/>
  <c r="M144" i="35" s="1" a="1"/>
  <c r="M144" i="35" s="1"/>
  <c r="L6" i="35"/>
  <c r="M6" i="35" s="1" a="1"/>
  <c r="M6" i="35" s="1"/>
  <c r="L40" i="35"/>
  <c r="M40" i="35" s="1" a="1"/>
  <c r="M40" i="35" s="1"/>
  <c r="L60" i="35"/>
  <c r="M60" i="35" s="1" a="1"/>
  <c r="M60" i="35" s="1"/>
  <c r="L127" i="35"/>
  <c r="M127" i="35" s="1" a="1"/>
  <c r="M127" i="35" s="1"/>
  <c r="L111" i="35"/>
  <c r="M111" i="35" s="1" a="1"/>
  <c r="M111" i="35" s="1"/>
  <c r="L44" i="35"/>
  <c r="M44" i="35" s="1" a="1"/>
  <c r="M44" i="35" s="1"/>
  <c r="L148" i="35"/>
  <c r="M148" i="35" s="1" a="1"/>
  <c r="M148" i="35" s="1"/>
  <c r="L16" i="35"/>
  <c r="M16" i="35" s="1" a="1"/>
  <c r="M16" i="35" s="1"/>
  <c r="K141" i="38"/>
  <c r="L141" i="38" s="1"/>
  <c r="M141" i="38" s="1" a="1"/>
  <c r="M141" i="38" s="1"/>
  <c r="I146" i="38" a="1"/>
  <c r="I146" i="38" s="1"/>
  <c r="L146" i="38" s="1"/>
  <c r="M146" i="38" s="1" a="1"/>
  <c r="M146" i="38" s="1"/>
  <c r="J146" i="38"/>
  <c r="I159" i="38" a="1"/>
  <c r="I159" i="38" s="1"/>
  <c r="J159" i="38"/>
  <c r="L109" i="35"/>
  <c r="M109" i="35" s="1" a="1"/>
  <c r="M109" i="35" s="1"/>
  <c r="L231" i="35"/>
  <c r="M231" i="35" s="1" a="1"/>
  <c r="M231" i="35" s="1"/>
  <c r="L355" i="35"/>
  <c r="M355" i="35" s="1" a="1"/>
  <c r="M355" i="35" s="1"/>
  <c r="L102" i="36"/>
  <c r="M102" i="36" s="1" a="1"/>
  <c r="M102" i="36" s="1"/>
  <c r="L199" i="35"/>
  <c r="M199" i="35" s="1" a="1"/>
  <c r="M199" i="35" s="1"/>
  <c r="L20" i="35"/>
  <c r="M20" i="35" s="1" a="1"/>
  <c r="M20" i="35" s="1"/>
  <c r="L159" i="35"/>
  <c r="M159" i="35" s="1" a="1"/>
  <c r="M159" i="35" s="1"/>
  <c r="L200" i="35"/>
  <c r="M200" i="35" s="1" a="1"/>
  <c r="M200" i="35" s="1"/>
  <c r="L215" i="35"/>
  <c r="M215" i="35" s="1" a="1"/>
  <c r="M215" i="35" s="1"/>
  <c r="L258" i="35"/>
  <c r="M258" i="35" s="1" a="1"/>
  <c r="M258" i="35" s="1"/>
  <c r="L167" i="36"/>
  <c r="M167" i="36" s="1" a="1"/>
  <c r="M167" i="36" s="1"/>
  <c r="I16" i="38" a="1"/>
  <c r="I16" i="38" s="1"/>
  <c r="L16" i="38" s="1"/>
  <c r="M16" i="38" s="1" a="1"/>
  <c r="M16" i="38" s="1"/>
  <c r="J16" i="38"/>
  <c r="I158" i="38" a="1"/>
  <c r="I158" i="38" s="1"/>
  <c r="L158" i="38" s="1"/>
  <c r="M158" i="38" s="1" a="1"/>
  <c r="M158" i="38" s="1"/>
  <c r="J158" i="38"/>
  <c r="L52" i="35"/>
  <c r="M52" i="35" s="1" a="1"/>
  <c r="M52" i="35" s="1"/>
  <c r="L137" i="35"/>
  <c r="M137" i="35" s="1" a="1"/>
  <c r="M137" i="35" s="1"/>
  <c r="L34" i="36"/>
  <c r="M34" i="36" s="1" a="1"/>
  <c r="M34" i="36" s="1"/>
  <c r="L38" i="35"/>
  <c r="M38" i="35" s="1" a="1"/>
  <c r="M38" i="35" s="1"/>
  <c r="L198" i="35"/>
  <c r="M198" i="35" s="1" a="1"/>
  <c r="M198" i="35" s="1"/>
  <c r="L364" i="35"/>
  <c r="M364" i="35" s="1" a="1"/>
  <c r="M364" i="35" s="1"/>
  <c r="L178" i="35"/>
  <c r="M178" i="35" s="1" a="1"/>
  <c r="M178" i="35" s="1"/>
  <c r="L62" i="35"/>
  <c r="M62" i="35" s="1" a="1"/>
  <c r="M62" i="35" s="1"/>
  <c r="L72" i="35"/>
  <c r="M72" i="35" s="1" a="1"/>
  <c r="M72" i="35" s="1"/>
  <c r="L32" i="36"/>
  <c r="M32" i="36" s="1" a="1"/>
  <c r="M32" i="36" s="1"/>
  <c r="L99" i="36"/>
  <c r="M99" i="36" s="1" a="1"/>
  <c r="M99" i="36" s="1"/>
  <c r="K159" i="38"/>
  <c r="L84" i="35"/>
  <c r="M84" i="35" s="1" a="1"/>
  <c r="M84" i="35" s="1"/>
  <c r="L181" i="35"/>
  <c r="M181" i="35" s="1" a="1"/>
  <c r="M181" i="35" s="1"/>
  <c r="L189" i="35"/>
  <c r="M189" i="35" s="1" a="1"/>
  <c r="M189" i="35" s="1"/>
  <c r="L222" i="35"/>
  <c r="M222" i="35" s="1" a="1"/>
  <c r="M222" i="35" s="1"/>
  <c r="L237" i="35"/>
  <c r="M237" i="35" s="1" a="1"/>
  <c r="M237" i="35" s="1"/>
  <c r="L293" i="35"/>
  <c r="M293" i="35" s="1" a="1"/>
  <c r="M293" i="35" s="1"/>
  <c r="L165" i="36"/>
  <c r="M165" i="36" s="1" a="1"/>
  <c r="M165" i="36" s="1"/>
  <c r="L35" i="35"/>
  <c r="M35" i="35" s="1" a="1"/>
  <c r="M35" i="35" s="1"/>
  <c r="L78" i="35"/>
  <c r="M78" i="35" s="1" a="1"/>
  <c r="M78" i="35" s="1"/>
  <c r="L116" i="35"/>
  <c r="M116" i="35" s="1" a="1"/>
  <c r="M116" i="35" s="1"/>
  <c r="L138" i="35"/>
  <c r="M138" i="35" s="1" a="1"/>
  <c r="M138" i="35" s="1"/>
  <c r="L292" i="35"/>
  <c r="M292" i="35" s="1" a="1"/>
  <c r="M292" i="35" s="1"/>
  <c r="L341" i="35"/>
  <c r="M341" i="35" s="1" a="1"/>
  <c r="M341" i="35" s="1"/>
  <c r="L43" i="36"/>
  <c r="M43" i="36" s="1" a="1"/>
  <c r="M43" i="36" s="1"/>
  <c r="L52" i="36"/>
  <c r="M52" i="36" s="1" a="1"/>
  <c r="M52" i="36" s="1"/>
  <c r="K50" i="38"/>
  <c r="L50" i="38" s="1"/>
  <c r="M50" i="38" s="1" a="1"/>
  <c r="M50" i="38" s="1"/>
  <c r="L380" i="35"/>
  <c r="M380" i="35" s="1" a="1"/>
  <c r="M380" i="35" s="1"/>
  <c r="L10" i="35"/>
  <c r="M10" i="35" s="1" a="1"/>
  <c r="M10" i="35" s="1"/>
  <c r="J12" i="38"/>
  <c r="I12" i="38" a="1"/>
  <c r="I12" i="38" s="1"/>
  <c r="I11" i="38" a="1"/>
  <c r="I11" i="38" s="1"/>
  <c r="J11" i="38"/>
  <c r="L61" i="35"/>
  <c r="M61" i="35" s="1" a="1"/>
  <c r="M61" i="35" s="1"/>
  <c r="L378" i="35"/>
  <c r="M378" i="35" s="1" a="1"/>
  <c r="M378" i="35" s="1"/>
  <c r="L98" i="35"/>
  <c r="M98" i="35" s="1" a="1"/>
  <c r="M98" i="35" s="1"/>
  <c r="L359" i="35"/>
  <c r="M359" i="35" s="1" a="1"/>
  <c r="M359" i="35" s="1"/>
  <c r="L331" i="35"/>
  <c r="M331" i="35" s="1" a="1"/>
  <c r="M331" i="35" s="1"/>
  <c r="L59" i="35"/>
  <c r="M59" i="35" s="1" a="1"/>
  <c r="M59" i="35" s="1"/>
  <c r="L37" i="35"/>
  <c r="M37" i="35" s="1" a="1"/>
  <c r="M37" i="35" s="1"/>
  <c r="J10" i="38"/>
  <c r="I10" i="38" a="1"/>
  <c r="I10" i="38" s="1"/>
  <c r="L10" i="38" s="1"/>
  <c r="M10" i="38" s="1" a="1"/>
  <c r="M10" i="38" s="1"/>
  <c r="L55" i="35"/>
  <c r="M55" i="35" s="1" a="1"/>
  <c r="M55" i="35" s="1"/>
  <c r="L186" i="35"/>
  <c r="M186" i="35" s="1" a="1"/>
  <c r="M186" i="35" s="1"/>
  <c r="L43" i="37"/>
  <c r="M43" i="37" s="1" a="1"/>
  <c r="M43" i="37" s="1"/>
  <c r="L107" i="35"/>
  <c r="M107" i="35" s="1" a="1"/>
  <c r="M107" i="35" s="1"/>
  <c r="L166" i="35"/>
  <c r="M166" i="35" s="1" a="1"/>
  <c r="M166" i="35" s="1"/>
  <c r="L365" i="35"/>
  <c r="M365" i="35" s="1" a="1"/>
  <c r="M365" i="35" s="1"/>
  <c r="L11" i="35"/>
  <c r="M11" i="35" s="1" a="1"/>
  <c r="M11" i="35" s="1"/>
  <c r="L150" i="35"/>
  <c r="M150" i="35" s="1" a="1"/>
  <c r="M150" i="35" s="1"/>
  <c r="L76" i="35"/>
  <c r="M76" i="35" s="1" a="1"/>
  <c r="M76" i="35" s="1"/>
  <c r="L207" i="35"/>
  <c r="M207" i="35" s="1" a="1"/>
  <c r="M207" i="35" s="1"/>
  <c r="L156" i="35"/>
  <c r="M156" i="35" s="1" a="1"/>
  <c r="M156" i="35" s="1"/>
  <c r="L317" i="35"/>
  <c r="M317" i="35" s="1" a="1"/>
  <c r="M317" i="35" s="1"/>
  <c r="L134" i="35"/>
  <c r="M134" i="35" s="1" a="1"/>
  <c r="M134" i="35" s="1"/>
  <c r="L139" i="35"/>
  <c r="M139" i="35" s="1" a="1"/>
  <c r="M139" i="35" s="1"/>
  <c r="L56" i="35"/>
  <c r="M56" i="35" s="1" a="1"/>
  <c r="M56" i="35" s="1"/>
  <c r="L71" i="35"/>
  <c r="M71" i="35" s="1" a="1"/>
  <c r="M71" i="35" s="1"/>
  <c r="L69" i="35"/>
  <c r="M69" i="35" s="1" a="1"/>
  <c r="M69" i="35" s="1"/>
  <c r="L96" i="35"/>
  <c r="M96" i="35" s="1" a="1"/>
  <c r="M96" i="35" s="1"/>
  <c r="L218" i="35"/>
  <c r="M218" i="35" s="1" a="1"/>
  <c r="M218" i="35" s="1"/>
  <c r="L302" i="35"/>
  <c r="M302" i="35" s="1" a="1"/>
  <c r="M302" i="35" s="1"/>
  <c r="L101" i="35"/>
  <c r="M101" i="35" s="1" a="1"/>
  <c r="M101" i="35" s="1"/>
  <c r="L173" i="35"/>
  <c r="M173" i="35" s="1" a="1"/>
  <c r="M173" i="35" s="1"/>
  <c r="L300" i="35"/>
  <c r="M300" i="35" s="1" a="1"/>
  <c r="M300" i="35" s="1"/>
  <c r="L23" i="35"/>
  <c r="M23" i="35" s="1" a="1"/>
  <c r="M23" i="35" s="1"/>
  <c r="L141" i="35"/>
  <c r="M141" i="35" s="1" a="1"/>
  <c r="M141" i="35" s="1"/>
  <c r="L103" i="35"/>
  <c r="M103" i="35" s="1" a="1"/>
  <c r="M103" i="35" s="1"/>
  <c r="L194" i="35"/>
  <c r="M194" i="35" s="1" a="1"/>
  <c r="M194" i="35" s="1"/>
  <c r="L368" i="35"/>
  <c r="M368" i="35" s="1" a="1"/>
  <c r="M368" i="35" s="1"/>
  <c r="L242" i="35"/>
  <c r="M242" i="35" s="1" a="1"/>
  <c r="M242" i="35" s="1"/>
  <c r="L13" i="35"/>
  <c r="M13" i="35" s="1" a="1"/>
  <c r="M13" i="35" s="1"/>
  <c r="L17" i="35"/>
  <c r="M17" i="35" s="1" a="1"/>
  <c r="M17" i="35" s="1"/>
  <c r="L294" i="35"/>
  <c r="M294" i="35" s="1" a="1"/>
  <c r="M294" i="35" s="1"/>
  <c r="L201" i="36"/>
  <c r="M201" i="36" s="1" a="1"/>
  <c r="M201" i="36" s="1"/>
  <c r="L191" i="35"/>
  <c r="M191" i="35" s="1" a="1"/>
  <c r="M191" i="35" s="1"/>
  <c r="L299" i="35"/>
  <c r="M299" i="35" s="1" a="1"/>
  <c r="M299" i="35" s="1"/>
  <c r="L81" i="35"/>
  <c r="M81" i="35" s="1" a="1"/>
  <c r="M81" i="35" s="1"/>
  <c r="L97" i="35"/>
  <c r="M97" i="35" s="1" a="1"/>
  <c r="M97" i="35" s="1"/>
  <c r="L169" i="35"/>
  <c r="M169" i="35" s="1" a="1"/>
  <c r="M169" i="35" s="1"/>
  <c r="L256" i="35"/>
  <c r="M256" i="35" s="1" a="1"/>
  <c r="M256" i="35" s="1"/>
  <c r="L259" i="35"/>
  <c r="M259" i="35" s="1" a="1"/>
  <c r="M259" i="35" s="1"/>
  <c r="L271" i="35"/>
  <c r="M271" i="35" s="1" a="1"/>
  <c r="M271" i="35" s="1"/>
  <c r="L284" i="35"/>
  <c r="M284" i="35" s="1" a="1"/>
  <c r="M284" i="35" s="1"/>
  <c r="L326" i="35"/>
  <c r="M326" i="35" s="1" a="1"/>
  <c r="M326" i="35" s="1"/>
  <c r="L373" i="35"/>
  <c r="M373" i="35" s="1" a="1"/>
  <c r="M373" i="35" s="1"/>
  <c r="L104" i="35"/>
  <c r="M104" i="35" s="1" a="1"/>
  <c r="M104" i="35" s="1"/>
  <c r="L244" i="35"/>
  <c r="M244" i="35" s="1" a="1"/>
  <c r="M244" i="35" s="1"/>
  <c r="L273" i="35"/>
  <c r="M273" i="35" s="1" a="1"/>
  <c r="M273" i="35" s="1"/>
  <c r="L115" i="35"/>
  <c r="M115" i="35" s="1" a="1"/>
  <c r="M115" i="35" s="1"/>
  <c r="L288" i="35"/>
  <c r="M288" i="35" s="1" a="1"/>
  <c r="M288" i="35" s="1"/>
  <c r="L298" i="35"/>
  <c r="M298" i="35" s="1" a="1"/>
  <c r="M298" i="35" s="1"/>
  <c r="L164" i="37"/>
  <c r="M164" i="37" s="1" a="1"/>
  <c r="M164" i="37" s="1"/>
  <c r="L196" i="35"/>
  <c r="M196" i="35" s="1" a="1"/>
  <c r="M196" i="35" s="1"/>
  <c r="L291" i="35"/>
  <c r="M291" i="35" s="1" a="1"/>
  <c r="M291" i="35" s="1"/>
  <c r="L50" i="36"/>
  <c r="M50" i="36" s="1" a="1"/>
  <c r="M50" i="36" s="1"/>
  <c r="I13" i="38" a="1"/>
  <c r="I13" i="38" s="1"/>
  <c r="L13" i="38" s="1"/>
  <c r="M13" i="38" s="1" a="1"/>
  <c r="M13" i="38" s="1"/>
  <c r="J13" i="38"/>
  <c r="L304" i="35"/>
  <c r="M304" i="35" s="1" a="1"/>
  <c r="M304" i="35" s="1"/>
  <c r="L7" i="36"/>
  <c r="M7" i="36" s="1" a="1"/>
  <c r="M7" i="36" s="1"/>
  <c r="L220" i="35"/>
  <c r="M220" i="35" s="1" a="1"/>
  <c r="M220" i="35" s="1"/>
  <c r="L277" i="35"/>
  <c r="M277" i="35" s="1" a="1"/>
  <c r="M277" i="35" s="1"/>
  <c r="L188" i="36"/>
  <c r="M188" i="36" s="1" a="1"/>
  <c r="M188" i="36" s="1"/>
  <c r="L65" i="36"/>
  <c r="M65" i="36" s="1" a="1"/>
  <c r="M65" i="36" s="1"/>
  <c r="L136" i="35"/>
  <c r="M136" i="35" s="1" a="1"/>
  <c r="M136" i="35" s="1"/>
  <c r="L213" i="35"/>
  <c r="M213" i="35" s="1" a="1"/>
  <c r="M213" i="35" s="1"/>
  <c r="L278" i="35"/>
  <c r="M278" i="35" s="1" a="1"/>
  <c r="M278" i="35" s="1"/>
  <c r="L358" i="35"/>
  <c r="M358" i="35" s="1" a="1"/>
  <c r="M358" i="35" s="1"/>
  <c r="L10" i="36"/>
  <c r="M10" i="36" s="1" a="1"/>
  <c r="M10" i="36" s="1"/>
  <c r="L14" i="36"/>
  <c r="M14" i="36" s="1" a="1"/>
  <c r="M14" i="36" s="1"/>
  <c r="L36" i="35"/>
  <c r="M36" i="35" s="1" a="1"/>
  <c r="M36" i="35" s="1"/>
  <c r="L164" i="35"/>
  <c r="M164" i="35" s="1" a="1"/>
  <c r="M164" i="35" s="1"/>
  <c r="L226" i="35"/>
  <c r="M226" i="35" s="1" a="1"/>
  <c r="M226" i="35" s="1"/>
  <c r="L238" i="35"/>
  <c r="M238" i="35" s="1" a="1"/>
  <c r="M238" i="35" s="1"/>
  <c r="L279" i="35"/>
  <c r="M279" i="35" s="1" a="1"/>
  <c r="M279" i="35" s="1"/>
  <c r="L26" i="36"/>
  <c r="M26" i="36" s="1" a="1"/>
  <c r="M26" i="36" s="1"/>
  <c r="L27" i="36"/>
  <c r="M27" i="36" s="1" a="1"/>
  <c r="M27" i="36" s="1"/>
  <c r="L50" i="37"/>
  <c r="M50" i="37" s="1" a="1"/>
  <c r="M50" i="37" s="1"/>
  <c r="L56" i="37"/>
  <c r="M56" i="37" s="1" a="1"/>
  <c r="M56" i="37" s="1"/>
  <c r="L56" i="36"/>
  <c r="M56" i="36" s="1" a="1"/>
  <c r="M56" i="36" s="1"/>
  <c r="I36" i="38" a="1"/>
  <c r="I36" i="38" s="1"/>
  <c r="L36" i="38" s="1"/>
  <c r="M36" i="38" s="1" a="1"/>
  <c r="M36" i="38" s="1"/>
  <c r="J36" i="38"/>
  <c r="L342" i="35"/>
  <c r="M342" i="35" s="1" a="1"/>
  <c r="M342" i="35" s="1"/>
  <c r="L384" i="35"/>
  <c r="M384" i="35" s="1" a="1"/>
  <c r="M384" i="35" s="1"/>
  <c r="L67" i="36"/>
  <c r="M67" i="36" s="1" a="1"/>
  <c r="M67" i="36" s="1"/>
  <c r="L117" i="37"/>
  <c r="M117" i="37" s="1" a="1"/>
  <c r="M117" i="37" s="1"/>
  <c r="L233" i="35"/>
  <c r="M233" i="35" s="1" a="1"/>
  <c r="M233" i="35" s="1"/>
  <c r="L176" i="35"/>
  <c r="M176" i="35" s="1" a="1"/>
  <c r="M176" i="35" s="1"/>
  <c r="L318" i="35"/>
  <c r="M318" i="35" s="1" a="1"/>
  <c r="M318" i="35" s="1"/>
  <c r="L6" i="36"/>
  <c r="M6" i="36" s="1" a="1"/>
  <c r="M6" i="36" s="1"/>
  <c r="L58" i="36"/>
  <c r="M58" i="36" s="1" a="1"/>
  <c r="M58" i="36" s="1"/>
  <c r="L215" i="36"/>
  <c r="M215" i="36" s="1" a="1"/>
  <c r="M215" i="36" s="1"/>
  <c r="L59" i="37"/>
  <c r="M59" i="37" s="1" a="1"/>
  <c r="M59" i="37" s="1"/>
  <c r="L314" i="35"/>
  <c r="M314" i="35" s="1" a="1"/>
  <c r="M314" i="35" s="1"/>
  <c r="L330" i="35"/>
  <c r="M330" i="35" s="1" a="1"/>
  <c r="M330" i="35" s="1"/>
  <c r="L338" i="35"/>
  <c r="M338" i="35" s="1" a="1"/>
  <c r="M338" i="35" s="1"/>
  <c r="L18" i="36"/>
  <c r="M18" i="36" s="1" a="1"/>
  <c r="M18" i="36" s="1"/>
  <c r="L145" i="36"/>
  <c r="M145" i="36" s="1" a="1"/>
  <c r="M145" i="36" s="1"/>
  <c r="L105" i="36"/>
  <c r="M105" i="36" s="1" a="1"/>
  <c r="M105" i="36" s="1"/>
  <c r="J17" i="38"/>
  <c r="I17" i="38" a="1"/>
  <c r="I17" i="38" s="1"/>
  <c r="I48" i="38" a="1"/>
  <c r="I48" i="38" s="1"/>
  <c r="L48" i="38" s="1"/>
  <c r="M48" i="38" s="1" a="1"/>
  <c r="M48" i="38" s="1"/>
  <c r="J48" i="38"/>
  <c r="L107" i="36"/>
  <c r="M107" i="36" s="1" a="1"/>
  <c r="M107" i="36" s="1"/>
  <c r="L275" i="35"/>
  <c r="M275" i="35" s="1" a="1"/>
  <c r="M275" i="35" s="1"/>
  <c r="L25" i="36"/>
  <c r="M25" i="36" s="1" a="1"/>
  <c r="M25" i="36" s="1"/>
  <c r="L135" i="36"/>
  <c r="M135" i="36" s="1" a="1"/>
  <c r="M135" i="36" s="1"/>
  <c r="L25" i="37"/>
  <c r="M25" i="37" s="1" a="1"/>
  <c r="M25" i="37" s="1"/>
  <c r="K40" i="38"/>
  <c r="L40" i="38" s="1"/>
  <c r="M40" i="38" s="1" a="1"/>
  <c r="M40" i="38" s="1"/>
  <c r="K44" i="38"/>
  <c r="L190" i="37"/>
  <c r="M190" i="37" s="1" a="1"/>
  <c r="M190" i="37" s="1"/>
  <c r="L100" i="36"/>
  <c r="M100" i="36" s="1" a="1"/>
  <c r="M100" i="36" s="1"/>
  <c r="L195" i="36"/>
  <c r="M195" i="36" s="1" a="1"/>
  <c r="M195" i="36" s="1"/>
  <c r="L13" i="37"/>
  <c r="M13" i="37" s="1" a="1"/>
  <c r="M13" i="37" s="1"/>
  <c r="L72" i="37"/>
  <c r="M72" i="37" s="1" a="1"/>
  <c r="M72" i="37" s="1"/>
  <c r="L109" i="37"/>
  <c r="M109" i="37" s="1" a="1"/>
  <c r="M109" i="37" s="1"/>
  <c r="L97" i="37"/>
  <c r="M97" i="37" s="1" a="1"/>
  <c r="M97" i="37" s="1"/>
  <c r="J51" i="38"/>
  <c r="I51" i="38" a="1"/>
  <c r="I51" i="38" s="1"/>
  <c r="L51" i="38" s="1"/>
  <c r="M51" i="38" s="1" a="1"/>
  <c r="M51" i="38" s="1"/>
  <c r="K53" i="38"/>
  <c r="L124" i="36"/>
  <c r="M124" i="36" s="1" a="1"/>
  <c r="M124" i="36" s="1"/>
  <c r="L260" i="35"/>
  <c r="M260" i="35" s="1" a="1"/>
  <c r="M260" i="35" s="1"/>
  <c r="L360" i="35"/>
  <c r="M360" i="35" s="1" a="1"/>
  <c r="M360" i="35" s="1"/>
  <c r="L46" i="36"/>
  <c r="M46" i="36" s="1" a="1"/>
  <c r="M46" i="36" s="1"/>
  <c r="L72" i="36"/>
  <c r="M72" i="36" s="1" a="1"/>
  <c r="M72" i="36" s="1"/>
  <c r="L148" i="36"/>
  <c r="M148" i="36" s="1" a="1"/>
  <c r="M148" i="36" s="1"/>
  <c r="L154" i="36"/>
  <c r="M154" i="36" s="1" a="1"/>
  <c r="M154" i="36" s="1"/>
  <c r="L184" i="36"/>
  <c r="M184" i="36" s="1" a="1"/>
  <c r="M184" i="36" s="1"/>
  <c r="L185" i="36"/>
  <c r="M185" i="36" s="1" a="1"/>
  <c r="M185" i="36" s="1"/>
  <c r="L45" i="37"/>
  <c r="M45" i="37" s="1" a="1"/>
  <c r="M45" i="37" s="1"/>
  <c r="L131" i="37"/>
  <c r="M131" i="37" s="1" a="1"/>
  <c r="M131" i="37" s="1"/>
  <c r="L186" i="37"/>
  <c r="M186" i="37" s="1" a="1"/>
  <c r="M186" i="37" s="1"/>
  <c r="K81" i="38"/>
  <c r="L81" i="38" s="1"/>
  <c r="M81" i="38" s="1" a="1"/>
  <c r="M81" i="38" s="1"/>
  <c r="L189" i="37"/>
  <c r="M189" i="37" s="1" a="1"/>
  <c r="M189" i="37" s="1"/>
  <c r="I27" i="38" a="1"/>
  <c r="I27" i="38" s="1"/>
  <c r="J27" i="38"/>
  <c r="L8" i="37"/>
  <c r="M8" i="37" s="1" a="1"/>
  <c r="M8" i="37" s="1"/>
  <c r="L85" i="37"/>
  <c r="M85" i="37" s="1" a="1"/>
  <c r="M85" i="37" s="1"/>
  <c r="K7" i="38"/>
  <c r="K27" i="38"/>
  <c r="K28" i="38"/>
  <c r="L340" i="35"/>
  <c r="M340" i="35" s="1" a="1"/>
  <c r="M340" i="35" s="1"/>
  <c r="L374" i="35"/>
  <c r="M374" i="35" s="1" a="1"/>
  <c r="M374" i="35" s="1"/>
  <c r="L12" i="36"/>
  <c r="M12" i="36" s="1" a="1"/>
  <c r="M12" i="36" s="1"/>
  <c r="L19" i="37"/>
  <c r="M19" i="37" s="1" a="1"/>
  <c r="M19" i="37" s="1"/>
  <c r="L30" i="37"/>
  <c r="M30" i="37" s="1" a="1"/>
  <c r="M30" i="37" s="1"/>
  <c r="K14" i="38"/>
  <c r="L180" i="36"/>
  <c r="M180" i="36" s="1" a="1"/>
  <c r="M180" i="36" s="1"/>
  <c r="L190" i="36"/>
  <c r="M190" i="36" s="1" a="1"/>
  <c r="M190" i="36" s="1"/>
  <c r="L48" i="37"/>
  <c r="M48" i="37" s="1" a="1"/>
  <c r="M48" i="37" s="1"/>
  <c r="K8" i="38"/>
  <c r="L8" i="38" s="1"/>
  <c r="M8" i="38" s="1" a="1"/>
  <c r="M8" i="38" s="1"/>
  <c r="K64" i="38"/>
  <c r="L14" i="37"/>
  <c r="M14" i="37" s="1" a="1"/>
  <c r="M14" i="37" s="1"/>
  <c r="I28" i="38" a="1"/>
  <c r="I28" i="38" s="1"/>
  <c r="L88" i="36"/>
  <c r="M88" i="36" s="1" a="1"/>
  <c r="M88" i="36" s="1"/>
  <c r="L206" i="36"/>
  <c r="M206" i="36" s="1" a="1"/>
  <c r="M206" i="36" s="1"/>
  <c r="L207" i="36"/>
  <c r="M207" i="36" s="1" a="1"/>
  <c r="M207" i="36" s="1"/>
  <c r="L69" i="37"/>
  <c r="M69" i="37" s="1" a="1"/>
  <c r="M69" i="37" s="1"/>
  <c r="I30" i="38" a="1"/>
  <c r="I30" i="38" s="1"/>
  <c r="J30" i="38"/>
  <c r="J76" i="38"/>
  <c r="I76" i="38" a="1"/>
  <c r="I76" i="38" s="1"/>
  <c r="L76" i="38" s="1"/>
  <c r="M76" i="38" s="1" a="1"/>
  <c r="M76" i="38" s="1"/>
  <c r="L15" i="37"/>
  <c r="M15" i="37" s="1" a="1"/>
  <c r="M15" i="37" s="1"/>
  <c r="K23" i="38"/>
  <c r="L23" i="38" s="1"/>
  <c r="M23" i="38" s="1" a="1"/>
  <c r="M23" i="38" s="1"/>
  <c r="I39" i="38" a="1"/>
  <c r="I39" i="38" s="1"/>
  <c r="L39" i="38" s="1"/>
  <c r="M39" i="38" s="1" a="1"/>
  <c r="M39" i="38" s="1"/>
  <c r="J39" i="38"/>
  <c r="K92" i="38"/>
  <c r="L92" i="38" s="1"/>
  <c r="M92" i="38" s="1" a="1"/>
  <c r="M92" i="38" s="1"/>
  <c r="L21" i="37"/>
  <c r="M21" i="37" s="1" a="1"/>
  <c r="M21" i="37" s="1"/>
  <c r="L27" i="37"/>
  <c r="M27" i="37" s="1" a="1"/>
  <c r="M27" i="37" s="1"/>
  <c r="K30" i="38"/>
  <c r="I31" i="38" a="1"/>
  <c r="I31" i="38" s="1"/>
  <c r="L31" i="38" s="1"/>
  <c r="M31" i="38" s="1" a="1"/>
  <c r="M31" i="38" s="1"/>
  <c r="K61" i="38"/>
  <c r="L61" i="38" s="1"/>
  <c r="M61" i="38" s="1" a="1"/>
  <c r="M61" i="38" s="1"/>
  <c r="I75" i="38" a="1"/>
  <c r="I75" i="38" s="1"/>
  <c r="L75" i="38" s="1"/>
  <c r="M75" i="38" s="1" a="1"/>
  <c r="M75" i="38" s="1"/>
  <c r="J75" i="38"/>
  <c r="J24" i="38"/>
  <c r="I24" i="38" a="1"/>
  <c r="I24" i="38" s="1"/>
  <c r="J38" i="38"/>
  <c r="I38" i="38" a="1"/>
  <c r="I38" i="38" s="1"/>
  <c r="L38" i="38" s="1"/>
  <c r="M38" i="38" s="1" a="1"/>
  <c r="M38" i="38" s="1"/>
  <c r="K98" i="38"/>
  <c r="L98" i="38" s="1"/>
  <c r="M98" i="38" s="1" a="1"/>
  <c r="M98" i="38" s="1"/>
  <c r="K106" i="38"/>
  <c r="L106" i="38" s="1"/>
  <c r="M106" i="38" s="1" a="1"/>
  <c r="M106" i="38" s="1"/>
  <c r="K110" i="38"/>
  <c r="L110" i="38" s="1"/>
  <c r="M110" i="38" s="1" a="1"/>
  <c r="M110" i="38" s="1"/>
  <c r="K12" i="38"/>
  <c r="L19" i="38"/>
  <c r="M19" i="38" s="1" a="1"/>
  <c r="M19" i="38" s="1"/>
  <c r="K24" i="38"/>
  <c r="L22" i="37"/>
  <c r="M22" i="37" s="1" a="1"/>
  <c r="M22" i="37" s="1"/>
  <c r="L65" i="37"/>
  <c r="M65" i="37" s="1" a="1"/>
  <c r="M65" i="37" s="1"/>
  <c r="K25" i="38"/>
  <c r="L25" i="38" s="1"/>
  <c r="M25" i="38" s="1" a="1"/>
  <c r="M25" i="38" s="1"/>
  <c r="J42" i="38"/>
  <c r="I42" i="38" a="1"/>
  <c r="I42" i="38" s="1"/>
  <c r="L205" i="36"/>
  <c r="M205" i="36" s="1" a="1"/>
  <c r="M205" i="36" s="1"/>
  <c r="L88" i="37"/>
  <c r="M88" i="37" s="1" a="1"/>
  <c r="M88" i="37" s="1"/>
  <c r="L119" i="37"/>
  <c r="M119" i="37" s="1" a="1"/>
  <c r="M119" i="37" s="1"/>
  <c r="K33" i="38"/>
  <c r="L33" i="38" s="1"/>
  <c r="M33" i="38" s="1" a="1"/>
  <c r="M33" i="38" s="1"/>
  <c r="J60" i="38"/>
  <c r="I60" i="38" a="1"/>
  <c r="I60" i="38" s="1"/>
  <c r="L60" i="38" s="1"/>
  <c r="M60" i="38" s="1" a="1"/>
  <c r="M60" i="38" s="1"/>
  <c r="I67" i="38" a="1"/>
  <c r="I67" i="38" s="1"/>
  <c r="J67" i="38"/>
  <c r="I88" i="38" a="1"/>
  <c r="I88" i="38" s="1"/>
  <c r="J88" i="38"/>
  <c r="J124" i="38"/>
  <c r="I124" i="38" a="1"/>
  <c r="I124" i="38" s="1"/>
  <c r="L120" i="37"/>
  <c r="M120" i="37" s="1" a="1"/>
  <c r="M120" i="37" s="1"/>
  <c r="L163" i="37"/>
  <c r="M163" i="37" s="1" a="1"/>
  <c r="M163" i="37" s="1"/>
  <c r="K55" i="38"/>
  <c r="L55" i="38" s="1"/>
  <c r="M55" i="38" s="1" a="1"/>
  <c r="M55" i="38" s="1"/>
  <c r="K66" i="38"/>
  <c r="L184" i="37"/>
  <c r="M184" i="37" s="1" a="1"/>
  <c r="M184" i="37" s="1"/>
  <c r="L191" i="37"/>
  <c r="M191" i="37" s="1" a="1"/>
  <c r="M191" i="37" s="1"/>
  <c r="J99" i="38"/>
  <c r="I99" i="38" a="1"/>
  <c r="I99" i="38" s="1"/>
  <c r="J44" i="38"/>
  <c r="I44" i="38" a="1"/>
  <c r="I44" i="38" s="1"/>
  <c r="I53" i="38" a="1"/>
  <c r="I53" i="38" s="1"/>
  <c r="I87" i="38" a="1"/>
  <c r="I87" i="38" s="1"/>
  <c r="J87" i="38"/>
  <c r="J96" i="38"/>
  <c r="I96" i="38" a="1"/>
  <c r="I96" i="38" s="1"/>
  <c r="L96" i="38" s="1"/>
  <c r="M96" i="38" s="1" a="1"/>
  <c r="M96" i="38" s="1"/>
  <c r="L101" i="37"/>
  <c r="M101" i="37" s="1" a="1"/>
  <c r="M101" i="37" s="1"/>
  <c r="J14" i="38"/>
  <c r="I14" i="38" a="1"/>
  <c r="I14" i="38" s="1"/>
  <c r="J53" i="38"/>
  <c r="L78" i="37"/>
  <c r="M78" i="37" s="1" a="1"/>
  <c r="M78" i="37" s="1"/>
  <c r="K11" i="38"/>
  <c r="K90" i="38"/>
  <c r="L46" i="37"/>
  <c r="M46" i="37" s="1" a="1"/>
  <c r="M46" i="37" s="1"/>
  <c r="L151" i="37"/>
  <c r="M151" i="37" s="1" a="1"/>
  <c r="M151" i="37" s="1"/>
  <c r="J15" i="38"/>
  <c r="I15" i="38" a="1"/>
  <c r="I15" i="38" s="1"/>
  <c r="L15" i="38" s="1"/>
  <c r="M15" i="38" s="1" a="1"/>
  <c r="M15" i="38" s="1"/>
  <c r="J20" i="38"/>
  <c r="I20" i="38" a="1"/>
  <c r="I20" i="38" s="1"/>
  <c r="L20" i="38" s="1"/>
  <c r="M20" i="38" s="1" a="1"/>
  <c r="M20" i="38" s="1"/>
  <c r="K46" i="38"/>
  <c r="K115" i="38"/>
  <c r="L115" i="38" s="1"/>
  <c r="M115" i="38" s="1" a="1"/>
  <c r="M115" i="38" s="1"/>
  <c r="K131" i="38"/>
  <c r="L131" i="38" s="1"/>
  <c r="M131" i="38" s="1" a="1"/>
  <c r="M131" i="38" s="1"/>
  <c r="L160" i="37"/>
  <c r="M160" i="37" s="1" a="1"/>
  <c r="M160" i="37" s="1"/>
  <c r="L172" i="37"/>
  <c r="M172" i="37" s="1" a="1"/>
  <c r="M172" i="37" s="1"/>
  <c r="I7" i="38" a="1"/>
  <c r="I7" i="38" s="1"/>
  <c r="J7" i="38"/>
  <c r="J21" i="38"/>
  <c r="J46" i="38"/>
  <c r="I46" i="38" a="1"/>
  <c r="I46" i="38" s="1"/>
  <c r="J90" i="38"/>
  <c r="I90" i="38" a="1"/>
  <c r="I90" i="38" s="1"/>
  <c r="K95" i="38"/>
  <c r="L95" i="38" s="1"/>
  <c r="M95" i="38" s="1" a="1"/>
  <c r="M95" i="38" s="1"/>
  <c r="I154" i="38" a="1"/>
  <c r="I154" i="38" s="1"/>
  <c r="J154" i="38"/>
  <c r="L21" i="38"/>
  <c r="M21" i="38" s="1" a="1"/>
  <c r="M21" i="38" s="1"/>
  <c r="L41" i="38"/>
  <c r="M41" i="38" s="1" a="1"/>
  <c r="M41" i="38" s="1"/>
  <c r="L45" i="38"/>
  <c r="M45" i="38" s="1" a="1"/>
  <c r="M45" i="38" s="1"/>
  <c r="I78" i="38" a="1"/>
  <c r="I78" i="38" s="1"/>
  <c r="L78" i="38" s="1"/>
  <c r="M78" i="38" s="1" a="1"/>
  <c r="M78" i="38" s="1"/>
  <c r="L47" i="38"/>
  <c r="M47" i="38" s="1" a="1"/>
  <c r="M47" i="38" s="1"/>
  <c r="J78" i="38"/>
  <c r="K102" i="38"/>
  <c r="L102" i="38" s="1"/>
  <c r="M102" i="38" s="1" a="1"/>
  <c r="M102" i="38" s="1"/>
  <c r="L84" i="37"/>
  <c r="M84" i="37" s="1" a="1"/>
  <c r="M84" i="37" s="1"/>
  <c r="L157" i="37"/>
  <c r="M157" i="37" s="1" a="1"/>
  <c r="M157" i="37" s="1"/>
  <c r="K17" i="38"/>
  <c r="K42" i="38"/>
  <c r="K67" i="38"/>
  <c r="I71" i="38" a="1"/>
  <c r="I71" i="38" s="1"/>
  <c r="L71" i="38" s="1"/>
  <c r="M71" i="38" s="1" a="1"/>
  <c r="M71" i="38" s="1"/>
  <c r="J71" i="38"/>
  <c r="K62" i="38"/>
  <c r="L62" i="38" s="1"/>
  <c r="M62" i="38" s="1" a="1"/>
  <c r="M62" i="38" s="1"/>
  <c r="K125" i="38"/>
  <c r="K49" i="38"/>
  <c r="L49" i="38" s="1"/>
  <c r="M49" i="38" s="1" a="1"/>
  <c r="M49" i="38" s="1"/>
  <c r="K132" i="38"/>
  <c r="K88" i="38"/>
  <c r="L88" i="38" s="1"/>
  <c r="M88" i="38" s="1" a="1"/>
  <c r="M88" i="38" s="1"/>
  <c r="J66" i="38"/>
  <c r="I66" i="38" a="1"/>
  <c r="I66" i="38" s="1"/>
  <c r="J84" i="38"/>
  <c r="K105" i="38"/>
  <c r="L105" i="38" s="1"/>
  <c r="M105" i="38" s="1" a="1"/>
  <c r="M105" i="38" s="1"/>
  <c r="L37" i="38"/>
  <c r="M37" i="38" s="1" a="1"/>
  <c r="M37" i="38" s="1"/>
  <c r="K93" i="38"/>
  <c r="L93" i="38" s="1"/>
  <c r="M93" i="38" s="1" a="1"/>
  <c r="M93" i="38" s="1"/>
  <c r="I142" i="38" a="1"/>
  <c r="I142" i="38" s="1"/>
  <c r="L142" i="38" s="1"/>
  <c r="M142" i="38" s="1" a="1"/>
  <c r="M142" i="38" s="1"/>
  <c r="J142" i="38"/>
  <c r="K79" i="38"/>
  <c r="K80" i="38"/>
  <c r="L80" i="38" s="1"/>
  <c r="M80" i="38" s="1" a="1"/>
  <c r="M80" i="38" s="1"/>
  <c r="L84" i="38"/>
  <c r="M84" i="38" s="1" a="1"/>
  <c r="M84" i="38" s="1"/>
  <c r="K107" i="38"/>
  <c r="K77" i="38"/>
  <c r="K114" i="38"/>
  <c r="L114" i="38" s="1"/>
  <c r="M114" i="38" s="1" a="1"/>
  <c r="M114" i="38" s="1"/>
  <c r="I128" i="38" a="1"/>
  <c r="I128" i="38" s="1"/>
  <c r="L128" i="38" s="1"/>
  <c r="M128" i="38" s="1" a="1"/>
  <c r="M128" i="38" s="1"/>
  <c r="J128" i="38"/>
  <c r="L152" i="37"/>
  <c r="M152" i="37" s="1" a="1"/>
  <c r="M152" i="37" s="1"/>
  <c r="L192" i="37"/>
  <c r="M192" i="37" s="1" a="1"/>
  <c r="M192" i="37" s="1"/>
  <c r="I52" i="38" a="1"/>
  <c r="I52" i="38" s="1"/>
  <c r="L52" i="38" s="1"/>
  <c r="M52" i="38" s="1" a="1"/>
  <c r="M52" i="38" s="1"/>
  <c r="J52" i="38"/>
  <c r="I73" i="38" a="1"/>
  <c r="I73" i="38" s="1"/>
  <c r="L73" i="38" s="1"/>
  <c r="M73" i="38" s="1" a="1"/>
  <c r="M73" i="38" s="1"/>
  <c r="J73" i="38"/>
  <c r="J152" i="38"/>
  <c r="I152" i="38" a="1"/>
  <c r="I152" i="38" s="1"/>
  <c r="L152" i="38" s="1"/>
  <c r="M152" i="38" s="1" a="1"/>
  <c r="M152" i="38" s="1"/>
  <c r="J64" i="38"/>
  <c r="I64" i="38" a="1"/>
  <c r="I64" i="38" s="1"/>
  <c r="J74" i="38"/>
  <c r="I74" i="38" a="1"/>
  <c r="I74" i="38" s="1"/>
  <c r="L74" i="38" s="1"/>
  <c r="M74" i="38" s="1" a="1"/>
  <c r="M74" i="38" s="1"/>
  <c r="J100" i="38"/>
  <c r="I100" i="38" a="1"/>
  <c r="I100" i="38" s="1"/>
  <c r="L100" i="38" s="1"/>
  <c r="M100" i="38" s="1" a="1"/>
  <c r="M100" i="38" s="1"/>
  <c r="K108" i="38"/>
  <c r="L108" i="38" s="1"/>
  <c r="M108" i="38" s="1" a="1"/>
  <c r="M108" i="38" s="1"/>
  <c r="K116" i="38"/>
  <c r="L116" i="38" s="1"/>
  <c r="M116" i="38" s="1" a="1"/>
  <c r="M116" i="38" s="1"/>
  <c r="J118" i="38"/>
  <c r="I118" i="38" a="1"/>
  <c r="I118" i="38" s="1"/>
  <c r="L118" i="38" s="1"/>
  <c r="M118" i="38" s="1" a="1"/>
  <c r="M118" i="38" s="1"/>
  <c r="L34" i="38"/>
  <c r="M34" i="38" s="1" a="1"/>
  <c r="M34" i="38" s="1"/>
  <c r="I43" i="38" a="1"/>
  <c r="I43" i="38" s="1"/>
  <c r="L43" i="38" s="1"/>
  <c r="M43" i="38" s="1" a="1"/>
  <c r="M43" i="38" s="1"/>
  <c r="J43" i="38"/>
  <c r="J150" i="38"/>
  <c r="I150" i="38" a="1"/>
  <c r="I150" i="38" s="1"/>
  <c r="L150" i="38" s="1"/>
  <c r="M150" i="38" s="1" a="1"/>
  <c r="M150" i="38" s="1"/>
  <c r="J61" i="38"/>
  <c r="K136" i="38"/>
  <c r="L58" i="38"/>
  <c r="M58" i="38" s="1" a="1"/>
  <c r="M58" i="38" s="1"/>
  <c r="J72" i="38"/>
  <c r="K86" i="38"/>
  <c r="L86" i="38" s="1"/>
  <c r="M86" i="38" s="1" a="1"/>
  <c r="M86" i="38" s="1"/>
  <c r="J125" i="38"/>
  <c r="I125" i="38" a="1"/>
  <c r="I125" i="38" s="1"/>
  <c r="K138" i="38"/>
  <c r="K156" i="38"/>
  <c r="L156" i="38" s="1"/>
  <c r="M156" i="38" s="1" a="1"/>
  <c r="M156" i="38" s="1"/>
  <c r="J54" i="38"/>
  <c r="I54" i="38" a="1"/>
  <c r="I54" i="38" s="1"/>
  <c r="L54" i="38" s="1"/>
  <c r="M54" i="38" s="1" a="1"/>
  <c r="M54" i="38" s="1"/>
  <c r="I69" i="38" a="1"/>
  <c r="I69" i="38" s="1"/>
  <c r="L69" i="38" s="1"/>
  <c r="M69" i="38" s="1" a="1"/>
  <c r="M69" i="38" s="1"/>
  <c r="J69" i="38"/>
  <c r="J91" i="38"/>
  <c r="I91" i="38" a="1"/>
  <c r="I91" i="38" s="1"/>
  <c r="J77" i="38"/>
  <c r="I77" i="38" a="1"/>
  <c r="I77" i="38" s="1"/>
  <c r="L87" i="38"/>
  <c r="M87" i="38" s="1" a="1"/>
  <c r="M87" i="38" s="1"/>
  <c r="K91" i="38"/>
  <c r="L91" i="38" s="1"/>
  <c r="M91" i="38" s="1" a="1"/>
  <c r="M91" i="38" s="1"/>
  <c r="J70" i="38"/>
  <c r="I70" i="38" a="1"/>
  <c r="I70" i="38" s="1"/>
  <c r="L70" i="38" s="1"/>
  <c r="M70" i="38" s="1" a="1"/>
  <c r="M70" i="38" s="1"/>
  <c r="I119" i="38" a="1"/>
  <c r="I119" i="38" s="1"/>
  <c r="L119" i="38" s="1"/>
  <c r="M119" i="38" s="1" a="1"/>
  <c r="M119" i="38" s="1"/>
  <c r="J119" i="38"/>
  <c r="J130" i="38"/>
  <c r="I130" i="38" a="1"/>
  <c r="I130" i="38" s="1"/>
  <c r="K147" i="38"/>
  <c r="L147" i="38" s="1"/>
  <c r="M147" i="38" s="1" a="1"/>
  <c r="M147" i="38" s="1"/>
  <c r="K68" i="38"/>
  <c r="L68" i="38" s="1"/>
  <c r="M68" i="38" s="1" a="1"/>
  <c r="M68" i="38" s="1"/>
  <c r="I101" i="38" a="1"/>
  <c r="I101" i="38" s="1"/>
  <c r="L101" i="38" s="1"/>
  <c r="M101" i="38" s="1" a="1"/>
  <c r="M101" i="38" s="1"/>
  <c r="K157" i="38"/>
  <c r="L157" i="38" s="1"/>
  <c r="M157" i="38" s="1" a="1"/>
  <c r="M157" i="38" s="1"/>
  <c r="L89" i="38"/>
  <c r="M89" i="38" s="1" a="1"/>
  <c r="M89" i="38" s="1"/>
  <c r="K151" i="38"/>
  <c r="L151" i="38" s="1"/>
  <c r="M151" i="38" s="1" a="1"/>
  <c r="M151" i="38" s="1"/>
  <c r="J97" i="38"/>
  <c r="I97" i="38" a="1"/>
  <c r="I97" i="38" s="1"/>
  <c r="L97" i="38" s="1"/>
  <c r="M97" i="38" s="1" a="1"/>
  <c r="M97" i="38" s="1"/>
  <c r="J103" i="38"/>
  <c r="I112" i="38" a="1"/>
  <c r="I112" i="38" s="1"/>
  <c r="J112" i="38"/>
  <c r="J117" i="38"/>
  <c r="I117" i="38" a="1"/>
  <c r="I117" i="38" s="1"/>
  <c r="L117" i="38" s="1"/>
  <c r="M117" i="38" s="1" a="1"/>
  <c r="M117" i="38" s="1"/>
  <c r="L120" i="38"/>
  <c r="M120" i="38" s="1" a="1"/>
  <c r="M120" i="38" s="1"/>
  <c r="K124" i="38"/>
  <c r="L124" i="38" s="1"/>
  <c r="M124" i="38" s="1" a="1"/>
  <c r="M124" i="38" s="1"/>
  <c r="K149" i="38"/>
  <c r="L149" i="38" s="1"/>
  <c r="M149" i="38" s="1" a="1"/>
  <c r="M149" i="38" s="1"/>
  <c r="L104" i="38"/>
  <c r="M104" i="38" s="1" a="1"/>
  <c r="M104" i="38" s="1"/>
  <c r="K112" i="38"/>
  <c r="K113" i="38"/>
  <c r="K126" i="38"/>
  <c r="L126" i="38" s="1"/>
  <c r="M126" i="38" s="1" a="1"/>
  <c r="M126" i="38" s="1"/>
  <c r="I138" i="38" a="1"/>
  <c r="I138" i="38" s="1"/>
  <c r="J138" i="38"/>
  <c r="I113" i="38" a="1"/>
  <c r="I113" i="38" s="1"/>
  <c r="J113" i="38"/>
  <c r="J126" i="38"/>
  <c r="L82" i="38"/>
  <c r="M82" i="38" s="1" a="1"/>
  <c r="M82" i="38" s="1"/>
  <c r="J109" i="38"/>
  <c r="I109" i="38" a="1"/>
  <c r="I109" i="38" s="1"/>
  <c r="L109" i="38" s="1"/>
  <c r="M109" i="38" s="1" a="1"/>
  <c r="M109" i="38" s="1"/>
  <c r="I79" i="38" a="1"/>
  <c r="I79" i="38" s="1"/>
  <c r="J79" i="38"/>
  <c r="K94" i="38"/>
  <c r="L94" i="38" s="1"/>
  <c r="M94" i="38" s="1" a="1"/>
  <c r="M94" i="38" s="1"/>
  <c r="J107" i="38"/>
  <c r="I107" i="38" a="1"/>
  <c r="I107" i="38" s="1"/>
  <c r="J135" i="38"/>
  <c r="I135" i="38" a="1"/>
  <c r="I135" i="38" s="1"/>
  <c r="L135" i="38" s="1"/>
  <c r="M135" i="38" s="1" a="1"/>
  <c r="M135" i="38" s="1"/>
  <c r="J136" i="38"/>
  <c r="I136" i="38" a="1"/>
  <c r="I136" i="38" s="1"/>
  <c r="J83" i="38"/>
  <c r="I83" i="38" a="1"/>
  <c r="I83" i="38" s="1"/>
  <c r="L83" i="38" s="1"/>
  <c r="M83" i="38" s="1" a="1"/>
  <c r="M83" i="38" s="1"/>
  <c r="I123" i="38" a="1"/>
  <c r="I123" i="38" s="1"/>
  <c r="L123" i="38" s="1"/>
  <c r="M123" i="38" s="1" a="1"/>
  <c r="M123" i="38" s="1"/>
  <c r="K139" i="38"/>
  <c r="K99" i="38"/>
  <c r="J121" i="38"/>
  <c r="I121" i="38" a="1"/>
  <c r="I121" i="38" s="1"/>
  <c r="K154" i="38"/>
  <c r="I155" i="38" a="1"/>
  <c r="I155" i="38" s="1"/>
  <c r="L155" i="38" s="1"/>
  <c r="M155" i="38" s="1" a="1"/>
  <c r="M155" i="38" s="1"/>
  <c r="J155" i="38"/>
  <c r="K121" i="38"/>
  <c r="K134" i="38"/>
  <c r="L134" i="38" s="1"/>
  <c r="M134" i="38" s="1" a="1"/>
  <c r="M134" i="38" s="1"/>
  <c r="L85" i="38"/>
  <c r="M85" i="38" s="1" a="1"/>
  <c r="M85" i="38" s="1"/>
  <c r="L137" i="38"/>
  <c r="M137" i="38" s="1" a="1"/>
  <c r="M137" i="38" s="1"/>
  <c r="I132" i="38" a="1"/>
  <c r="I132" i="38" s="1"/>
  <c r="J132" i="38"/>
  <c r="J95" i="38"/>
  <c r="J133" i="38"/>
  <c r="I133" i="38" a="1"/>
  <c r="I133" i="38" s="1"/>
  <c r="L133" i="38" s="1"/>
  <c r="M133" i="38" s="1" a="1"/>
  <c r="M133" i="38" s="1"/>
  <c r="I139" i="38" a="1"/>
  <c r="I139" i="38" s="1"/>
  <c r="J143" i="38"/>
  <c r="I143" i="38" a="1"/>
  <c r="I143" i="38" s="1"/>
  <c r="L143" i="38" s="1"/>
  <c r="M143" i="38" s="1" a="1"/>
  <c r="M143" i="38" s="1"/>
  <c r="K130" i="38"/>
  <c r="L103" i="38"/>
  <c r="M103" i="38" s="1" a="1"/>
  <c r="M103" i="38" s="1"/>
  <c r="J145" i="38"/>
  <c r="J147" i="38"/>
  <c r="L67" i="38" l="1"/>
  <c r="M67" i="38" s="1" a="1"/>
  <c r="M67" i="38" s="1"/>
  <c r="L139" i="38"/>
  <c r="M139" i="38" s="1" a="1"/>
  <c r="M139" i="38" s="1"/>
  <c r="L130" i="38"/>
  <c r="M130" i="38" s="1" a="1"/>
  <c r="M130" i="38" s="1"/>
  <c r="AA13" i="3" a="1"/>
  <c r="AA13" i="3" s="1"/>
  <c r="L121" i="38"/>
  <c r="M121" i="38" s="1" a="1"/>
  <c r="M121" i="38" s="1"/>
  <c r="L66" i="38"/>
  <c r="M66" i="38" s="1" a="1"/>
  <c r="M66" i="38" s="1"/>
  <c r="AA14" i="3" a="1"/>
  <c r="AA14" i="3" s="1"/>
  <c r="AK10" i="3"/>
  <c r="AE10" i="3"/>
  <c r="AF10" i="3"/>
  <c r="AH10" i="3" s="1"/>
  <c r="AM10" i="3"/>
  <c r="AI10" i="3" a="1"/>
  <c r="AI10" i="3" s="1"/>
  <c r="AC10" i="3"/>
  <c r="AB10" i="3"/>
  <c r="AD10" i="3" s="1"/>
  <c r="AJ10" i="3"/>
  <c r="AL10" i="3" s="1"/>
  <c r="AG10" i="3"/>
  <c r="AM12" i="3" a="1"/>
  <c r="AM12" i="3" s="1"/>
  <c r="AB11" i="3"/>
  <c r="AD11" i="3" s="1"/>
  <c r="AJ11" i="3"/>
  <c r="AL11" i="3" s="1"/>
  <c r="AG11" i="3"/>
  <c r="AF11" i="3"/>
  <c r="AH11" i="3" s="1"/>
  <c r="AC11" i="3"/>
  <c r="AM11" i="3"/>
  <c r="AI11" i="3" a="1"/>
  <c r="AI11" i="3" s="1"/>
  <c r="AE12" i="3" a="1"/>
  <c r="AE12" i="3" s="1"/>
  <c r="AK11" i="3"/>
  <c r="AE11" i="3"/>
  <c r="AI12" i="3" a="1"/>
  <c r="AI12" i="3" s="1"/>
  <c r="X12" i="3"/>
  <c r="Z12" i="3" s="1"/>
  <c r="Y12" i="3"/>
  <c r="L17" i="38"/>
  <c r="M17" i="38" s="1" a="1"/>
  <c r="M17" i="38" s="1"/>
  <c r="L30" i="38"/>
  <c r="M30" i="38" s="1" a="1"/>
  <c r="M30" i="38" s="1"/>
  <c r="L14" i="38"/>
  <c r="M14" i="38" s="1" a="1"/>
  <c r="M14" i="38" s="1"/>
  <c r="AG14" i="3"/>
  <c r="AK14" i="3"/>
  <c r="AC14" i="3"/>
  <c r="AI14" i="3" a="1"/>
  <c r="AI14" i="3" s="1"/>
  <c r="AB14" i="3"/>
  <c r="AD14" i="3" s="1"/>
  <c r="AF14" i="3"/>
  <c r="AH14" i="3" s="1"/>
  <c r="AM14" i="3"/>
  <c r="AE14" i="3"/>
  <c r="AJ14" i="3"/>
  <c r="AL14" i="3" s="1"/>
  <c r="AF9" i="3"/>
  <c r="AH9" i="3" s="1"/>
  <c r="AE9" i="3"/>
  <c r="AG9" i="3"/>
  <c r="AJ9" i="3"/>
  <c r="AL9" i="3" s="1"/>
  <c r="AK9" i="3"/>
  <c r="AB9" i="3"/>
  <c r="AD9" i="3" s="1"/>
  <c r="AI9" i="3" a="1"/>
  <c r="AI9" i="3" s="1"/>
  <c r="AM9" i="3"/>
  <c r="AC9" i="3"/>
  <c r="L44" i="38"/>
  <c r="M44" i="38" s="1" a="1"/>
  <c r="M44" i="38" s="1"/>
  <c r="L90" i="38"/>
  <c r="M90" i="38" s="1" a="1"/>
  <c r="M90" i="38" s="1"/>
  <c r="L99" i="38"/>
  <c r="M99" i="38" s="1" a="1"/>
  <c r="M99" i="38" s="1"/>
  <c r="L132" i="38"/>
  <c r="M132" i="38" s="1" a="1"/>
  <c r="M132" i="38" s="1"/>
  <c r="L79" i="38"/>
  <c r="M79" i="38" s="1" a="1"/>
  <c r="M79" i="38" s="1"/>
  <c r="L53" i="38"/>
  <c r="M53" i="38" s="1" a="1"/>
  <c r="M53" i="38" s="1"/>
  <c r="L113" i="38"/>
  <c r="M113" i="38" s="1" a="1"/>
  <c r="M113" i="38" s="1"/>
  <c r="L77" i="38"/>
  <c r="M77" i="38" s="1" a="1"/>
  <c r="M77" i="38" s="1"/>
  <c r="L138" i="38"/>
  <c r="M138" i="38" s="1" a="1"/>
  <c r="M138" i="38" s="1"/>
  <c r="L42" i="38"/>
  <c r="M42" i="38" s="1" a="1"/>
  <c r="M42" i="38" s="1"/>
  <c r="L159" i="38"/>
  <c r="M159" i="38" s="1" a="1"/>
  <c r="M159" i="38" s="1"/>
  <c r="L112" i="38"/>
  <c r="M112" i="38" s="1" a="1"/>
  <c r="M112" i="38" s="1"/>
  <c r="L125" i="38"/>
  <c r="M125" i="38" s="1" a="1"/>
  <c r="M125" i="38" s="1"/>
  <c r="L11" i="38"/>
  <c r="M11" i="38" s="1" a="1"/>
  <c r="M11" i="38" s="1"/>
  <c r="L28" i="38"/>
  <c r="M28" i="38" s="1" a="1"/>
  <c r="M28" i="38" s="1"/>
  <c r="L27" i="38"/>
  <c r="M27" i="38" s="1" a="1"/>
  <c r="M27" i="38" s="1"/>
  <c r="L154" i="38"/>
  <c r="M154" i="38" s="1" a="1"/>
  <c r="M154" i="38" s="1"/>
  <c r="L24" i="38"/>
  <c r="M24" i="38" s="1" a="1"/>
  <c r="M24" i="38" s="1"/>
  <c r="L64" i="38"/>
  <c r="M64" i="38" s="1" a="1"/>
  <c r="M64" i="38" s="1"/>
  <c r="L107" i="38"/>
  <c r="M107" i="38" s="1" a="1"/>
  <c r="M107" i="38" s="1"/>
  <c r="L7" i="38"/>
  <c r="L46" i="38"/>
  <c r="M46" i="38" s="1" a="1"/>
  <c r="M46" i="38" s="1"/>
  <c r="L136" i="38"/>
  <c r="M136" i="38" s="1" a="1"/>
  <c r="M136" i="38" s="1"/>
  <c r="L12" i="38"/>
  <c r="M12" i="38" s="1" a="1"/>
  <c r="M12" i="38" s="1"/>
  <c r="AK12" i="3" l="1"/>
  <c r="AG12" i="3"/>
  <c r="AC12" i="3"/>
  <c r="AB12" i="3"/>
  <c r="AD12" i="3" s="1"/>
  <c r="AF12" i="3"/>
  <c r="AH12" i="3" s="1"/>
  <c r="AJ12" i="3"/>
  <c r="AL12" i="3" s="1"/>
  <c r="M7" i="38" a="1"/>
  <c r="M7" i="38" s="1"/>
  <c r="AJ13" i="3"/>
  <c r="AL13" i="3" s="1"/>
  <c r="AE13" i="3"/>
  <c r="AC13" i="3"/>
  <c r="AB13" i="3"/>
  <c r="AD13" i="3" s="1"/>
  <c r="AM13" i="3"/>
  <c r="AG13" i="3"/>
  <c r="AF13" i="3"/>
  <c r="AH13" i="3" s="1"/>
  <c r="AI13" i="3" a="1"/>
  <c r="AI13" i="3" s="1"/>
  <c r="AK13" i="3"/>
  <c r="P303" i="34" a="1"/>
  <c r="P303" i="34" s="1"/>
  <c r="P6" i="34" a="1"/>
  <c r="P6" i="34" s="1"/>
  <c r="AE95" i="17" l="1"/>
  <c r="AE94" i="17"/>
  <c r="AE93" i="17"/>
  <c r="AE92" i="17"/>
  <c r="AE91" i="17"/>
  <c r="AE90" i="17"/>
  <c r="AE89" i="17"/>
  <c r="AE88" i="17"/>
  <c r="AE87" i="17"/>
  <c r="AE86" i="17"/>
  <c r="AE85" i="17"/>
  <c r="AE84" i="17"/>
  <c r="AE83" i="17"/>
  <c r="AE82" i="17"/>
  <c r="AE81" i="17"/>
  <c r="AE80" i="17"/>
  <c r="AE79" i="17"/>
  <c r="AE78" i="17"/>
  <c r="AE77" i="17"/>
  <c r="AE76" i="17"/>
  <c r="AE75" i="17"/>
  <c r="AE74" i="17"/>
  <c r="AE73" i="17"/>
  <c r="AE72" i="17"/>
  <c r="AE71" i="17"/>
  <c r="AE70" i="17"/>
  <c r="AE69" i="17"/>
  <c r="AE68" i="17"/>
  <c r="AE67" i="17"/>
  <c r="AE66" i="17"/>
  <c r="AE65" i="17"/>
  <c r="AE64" i="17"/>
  <c r="AE63" i="17"/>
  <c r="AE62" i="17"/>
  <c r="AE61" i="17"/>
  <c r="AE60" i="17"/>
  <c r="AE59" i="17"/>
  <c r="AE58" i="17"/>
  <c r="AE57" i="17"/>
  <c r="AE56" i="17"/>
  <c r="AE55" i="17"/>
  <c r="AE54" i="17"/>
  <c r="AE53" i="17"/>
  <c r="AE52" i="17"/>
  <c r="AE51" i="17"/>
  <c r="AE50" i="17"/>
  <c r="AE49" i="17"/>
  <c r="AE48" i="17"/>
  <c r="AE47" i="17"/>
  <c r="AE46" i="17"/>
  <c r="AE45" i="17"/>
  <c r="AE44" i="17"/>
  <c r="AE43" i="17"/>
  <c r="AE42" i="17"/>
  <c r="AE41" i="17"/>
  <c r="AE40" i="17"/>
  <c r="AE39" i="17"/>
  <c r="AE38" i="17"/>
  <c r="AE37" i="17"/>
  <c r="AE36" i="17"/>
  <c r="AE35" i="17"/>
  <c r="AE34" i="17"/>
  <c r="AE33" i="17"/>
  <c r="AE32" i="17"/>
  <c r="AE31" i="17"/>
  <c r="AE30" i="17"/>
  <c r="AE29" i="17"/>
  <c r="AE28" i="17"/>
  <c r="AE27" i="17"/>
  <c r="AE26" i="17"/>
  <c r="AE25" i="17"/>
  <c r="AE24" i="17"/>
  <c r="AE23" i="17"/>
  <c r="AE22" i="17"/>
  <c r="AE21" i="17"/>
  <c r="AE20" i="17"/>
  <c r="AE19" i="17"/>
  <c r="AE18" i="17"/>
  <c r="AE17" i="17"/>
  <c r="AE16" i="17"/>
  <c r="AE15" i="17"/>
  <c r="AE14" i="17"/>
  <c r="AE13" i="17"/>
  <c r="AE12" i="17"/>
  <c r="AE11" i="17"/>
  <c r="AE10" i="17"/>
  <c r="AE9" i="17"/>
  <c r="AE8" i="17"/>
  <c r="AE7" i="17"/>
  <c r="AE6" i="17"/>
  <c r="I17" i="17"/>
  <c r="J61" i="20" l="1" a="1"/>
  <c r="J61" i="20" s="1"/>
  <c r="AA6" i="3" a="1"/>
  <c r="AG5" i="3" a="1"/>
  <c r="AF5" i="3" a="1"/>
  <c r="AC5" i="3" a="1"/>
  <c r="AB5" i="3" a="1"/>
  <c r="Y5" i="3" a="1"/>
  <c r="X5" i="3" a="1"/>
  <c r="W5" i="3" a="1"/>
  <c r="W5" i="3" s="1"/>
  <c r="AG4" i="3" a="1"/>
  <c r="AF4" i="3" a="1"/>
  <c r="AC4" i="3" a="1"/>
  <c r="AB4" i="3" a="1"/>
  <c r="Y4" i="3" a="1"/>
  <c r="X4" i="3" a="1"/>
  <c r="W4" i="3" a="1"/>
  <c r="W4" i="3" s="1"/>
  <c r="V6" i="3" l="1"/>
  <c r="AD5" i="3" a="1"/>
  <c r="W6" i="3"/>
  <c r="AD4" i="3" a="1"/>
  <c r="AH4" i="3" a="1"/>
  <c r="AL4" i="3" a="1"/>
  <c r="Y609" i="34"/>
  <c r="Z609" i="34" s="1" a="1"/>
  <c r="Z609" i="34" s="1"/>
  <c r="Y608" i="34"/>
  <c r="Z608" i="34" s="1" a="1"/>
  <c r="Z608" i="34" s="1"/>
  <c r="Y607" i="34"/>
  <c r="Z607" i="34" s="1" a="1"/>
  <c r="Z607" i="34" s="1"/>
  <c r="Y606" i="34"/>
  <c r="Z606" i="34" s="1" a="1"/>
  <c r="Z606" i="34" s="1"/>
  <c r="Y605" i="34"/>
  <c r="Z605" i="34" s="1" a="1"/>
  <c r="Z605" i="34" s="1"/>
  <c r="Y604" i="34"/>
  <c r="Z604" i="34" s="1" a="1"/>
  <c r="Z604" i="34" s="1"/>
  <c r="Y603" i="34"/>
  <c r="Z603" i="34" s="1" a="1"/>
  <c r="Z603" i="34" s="1"/>
  <c r="Y602" i="34"/>
  <c r="Z602" i="34" s="1" a="1"/>
  <c r="Z602" i="34" s="1"/>
  <c r="Y601" i="34"/>
  <c r="Z601" i="34" s="1" a="1"/>
  <c r="Z601" i="34" s="1"/>
  <c r="Y600" i="34"/>
  <c r="Z600" i="34" s="1" a="1"/>
  <c r="Z600" i="34" s="1"/>
  <c r="Y599" i="34"/>
  <c r="Z599" i="34" s="1" a="1"/>
  <c r="Z599" i="34" s="1"/>
  <c r="Y598" i="34"/>
  <c r="Z598" i="34" s="1" a="1"/>
  <c r="Z598" i="34" s="1"/>
  <c r="Y597" i="34"/>
  <c r="Z597" i="34" s="1" a="1"/>
  <c r="Z597" i="34" s="1"/>
  <c r="Y596" i="34"/>
  <c r="Z596" i="34" s="1" a="1"/>
  <c r="Z596" i="34" s="1"/>
  <c r="Y595" i="34"/>
  <c r="Z595" i="34" s="1" a="1"/>
  <c r="Z595" i="34" s="1"/>
  <c r="Y594" i="34"/>
  <c r="Z594" i="34" s="1" a="1"/>
  <c r="Z594" i="34" s="1"/>
  <c r="Y593" i="34"/>
  <c r="Z593" i="34" s="1" a="1"/>
  <c r="Z593" i="34" s="1"/>
  <c r="Y592" i="34"/>
  <c r="Z592" i="34" s="1" a="1"/>
  <c r="Z592" i="34" s="1"/>
  <c r="Y591" i="34"/>
  <c r="Z591" i="34" s="1" a="1"/>
  <c r="Z591" i="34" s="1"/>
  <c r="Y590" i="34"/>
  <c r="Z590" i="34" s="1" a="1"/>
  <c r="Z590" i="34" s="1"/>
  <c r="Y589" i="34"/>
  <c r="Z589" i="34" s="1" a="1"/>
  <c r="Z589" i="34" s="1"/>
  <c r="Y588" i="34"/>
  <c r="Z588" i="34" s="1" a="1"/>
  <c r="Z588" i="34" s="1"/>
  <c r="Y587" i="34"/>
  <c r="Z587" i="34" s="1" a="1"/>
  <c r="Z587" i="34" s="1"/>
  <c r="Y586" i="34"/>
  <c r="Z586" i="34" s="1" a="1"/>
  <c r="Z586" i="34" s="1"/>
  <c r="Y585" i="34"/>
  <c r="Z585" i="34" s="1" a="1"/>
  <c r="Z585" i="34" s="1"/>
  <c r="Y584" i="34"/>
  <c r="Z584" i="34" s="1" a="1"/>
  <c r="Z584" i="34" s="1"/>
  <c r="Y583" i="34"/>
  <c r="Z583" i="34" s="1" a="1"/>
  <c r="Z583" i="34" s="1"/>
  <c r="Y582" i="34"/>
  <c r="Z582" i="34" s="1" a="1"/>
  <c r="Z582" i="34" s="1"/>
  <c r="Y581" i="34"/>
  <c r="Z581" i="34" s="1" a="1"/>
  <c r="Z581" i="34" s="1"/>
  <c r="Y580" i="34"/>
  <c r="Z580" i="34" s="1" a="1"/>
  <c r="Z580" i="34" s="1"/>
  <c r="Y579" i="34"/>
  <c r="Z579" i="34" s="1" a="1"/>
  <c r="Z579" i="34" s="1"/>
  <c r="Y578" i="34"/>
  <c r="Z578" i="34" s="1" a="1"/>
  <c r="Z578" i="34" s="1"/>
  <c r="Y577" i="34"/>
  <c r="Z577" i="34" s="1" a="1"/>
  <c r="Z577" i="34" s="1"/>
  <c r="Y576" i="34"/>
  <c r="Z576" i="34" s="1" a="1"/>
  <c r="Z576" i="34" s="1"/>
  <c r="Y575" i="34"/>
  <c r="Z575" i="34" s="1" a="1"/>
  <c r="Z575" i="34" s="1"/>
  <c r="Y574" i="34"/>
  <c r="Z574" i="34" s="1" a="1"/>
  <c r="Z574" i="34" s="1"/>
  <c r="Y573" i="34"/>
  <c r="Z573" i="34" s="1" a="1"/>
  <c r="Z573" i="34" s="1"/>
  <c r="Y572" i="34"/>
  <c r="Z572" i="34" s="1" a="1"/>
  <c r="Z572" i="34" s="1"/>
  <c r="Y571" i="34"/>
  <c r="Z571" i="34" s="1" a="1"/>
  <c r="Z571" i="34" s="1"/>
  <c r="Y570" i="34"/>
  <c r="Z570" i="34" s="1" a="1"/>
  <c r="Z570" i="34" s="1"/>
  <c r="Y569" i="34"/>
  <c r="Z569" i="34" s="1" a="1"/>
  <c r="Z569" i="34" s="1"/>
  <c r="Y568" i="34"/>
  <c r="Z568" i="34" s="1" a="1"/>
  <c r="Z568" i="34" s="1"/>
  <c r="Y567" i="34"/>
  <c r="Z567" i="34" s="1" a="1"/>
  <c r="Z567" i="34" s="1"/>
  <c r="Y566" i="34"/>
  <c r="Z566" i="34" s="1" a="1"/>
  <c r="Z566" i="34" s="1"/>
  <c r="Y565" i="34"/>
  <c r="Z565" i="34" s="1" a="1"/>
  <c r="Z565" i="34" s="1"/>
  <c r="Y564" i="34"/>
  <c r="Z564" i="34" s="1" a="1"/>
  <c r="Z564" i="34" s="1"/>
  <c r="Y563" i="34"/>
  <c r="Z563" i="34" s="1" a="1"/>
  <c r="Z563" i="34" s="1"/>
  <c r="Y562" i="34"/>
  <c r="Z562" i="34" s="1" a="1"/>
  <c r="Z562" i="34" s="1"/>
  <c r="Y561" i="34"/>
  <c r="Z561" i="34" s="1" a="1"/>
  <c r="Z561" i="34" s="1"/>
  <c r="Y560" i="34"/>
  <c r="Z560" i="34" s="1" a="1"/>
  <c r="Z560" i="34" s="1"/>
  <c r="Y559" i="34"/>
  <c r="Z559" i="34" s="1" a="1"/>
  <c r="Z559" i="34" s="1"/>
  <c r="Y558" i="34"/>
  <c r="Z558" i="34" s="1" a="1"/>
  <c r="Z558" i="34" s="1"/>
  <c r="Y557" i="34"/>
  <c r="Z557" i="34" s="1" a="1"/>
  <c r="Z557" i="34" s="1"/>
  <c r="Y556" i="34"/>
  <c r="Z556" i="34" s="1" a="1"/>
  <c r="Z556" i="34" s="1"/>
  <c r="Y555" i="34"/>
  <c r="Z555" i="34" s="1" a="1"/>
  <c r="Z555" i="34" s="1"/>
  <c r="Y554" i="34"/>
  <c r="Z554" i="34" s="1" a="1"/>
  <c r="Z554" i="34" s="1"/>
  <c r="Y553" i="34"/>
  <c r="Z553" i="34" s="1" a="1"/>
  <c r="Z553" i="34" s="1"/>
  <c r="Y552" i="34"/>
  <c r="Z552" i="34" s="1" a="1"/>
  <c r="Z552" i="34" s="1"/>
  <c r="Y551" i="34"/>
  <c r="Z551" i="34" s="1" a="1"/>
  <c r="Z551" i="34" s="1"/>
  <c r="Y550" i="34"/>
  <c r="Z550" i="34" s="1" a="1"/>
  <c r="Z550" i="34" s="1"/>
  <c r="Y549" i="34"/>
  <c r="Z549" i="34" s="1" a="1"/>
  <c r="Z549" i="34" s="1"/>
  <c r="Y548" i="34"/>
  <c r="Z548" i="34" s="1" a="1"/>
  <c r="Z548" i="34" s="1"/>
  <c r="Y547" i="34"/>
  <c r="Z547" i="34" s="1" a="1"/>
  <c r="Z547" i="34" s="1"/>
  <c r="Y546" i="34"/>
  <c r="Z546" i="34" s="1" a="1"/>
  <c r="Z546" i="34" s="1"/>
  <c r="Y545" i="34"/>
  <c r="Z545" i="34" s="1" a="1"/>
  <c r="Z545" i="34" s="1"/>
  <c r="Y544" i="34"/>
  <c r="Z544" i="34" s="1" a="1"/>
  <c r="Z544" i="34" s="1"/>
  <c r="Y543" i="34"/>
  <c r="Z543" i="34" s="1" a="1"/>
  <c r="Z543" i="34" s="1"/>
  <c r="Y542" i="34"/>
  <c r="Z542" i="34" s="1" a="1"/>
  <c r="Z542" i="34" s="1"/>
  <c r="Y541" i="34"/>
  <c r="Z541" i="34" s="1" a="1"/>
  <c r="Z541" i="34" s="1"/>
  <c r="Y540" i="34"/>
  <c r="Z540" i="34" s="1" a="1"/>
  <c r="Z540" i="34" s="1"/>
  <c r="Y539" i="34"/>
  <c r="Z539" i="34" s="1" a="1"/>
  <c r="Z539" i="34" s="1"/>
  <c r="Y538" i="34"/>
  <c r="Z538" i="34" s="1" a="1"/>
  <c r="Z538" i="34" s="1"/>
  <c r="Y537" i="34"/>
  <c r="Z537" i="34" s="1" a="1"/>
  <c r="Z537" i="34" s="1"/>
  <c r="Y536" i="34"/>
  <c r="Z536" i="34" s="1" a="1"/>
  <c r="Z536" i="34" s="1"/>
  <c r="Y535" i="34"/>
  <c r="Z535" i="34" s="1" a="1"/>
  <c r="Z535" i="34" s="1"/>
  <c r="Y534" i="34"/>
  <c r="Z534" i="34" s="1" a="1"/>
  <c r="Z534" i="34" s="1"/>
  <c r="Y533" i="34"/>
  <c r="Z533" i="34" s="1" a="1"/>
  <c r="Z533" i="34" s="1"/>
  <c r="Y532" i="34"/>
  <c r="Z532" i="34" s="1" a="1"/>
  <c r="Z532" i="34" s="1"/>
  <c r="Y531" i="34"/>
  <c r="Z531" i="34" s="1" a="1"/>
  <c r="Z531" i="34" s="1"/>
  <c r="Y530" i="34"/>
  <c r="Z530" i="34" s="1" a="1"/>
  <c r="Z530" i="34" s="1"/>
  <c r="Y529" i="34"/>
  <c r="Z529" i="34" s="1" a="1"/>
  <c r="Z529" i="34" s="1"/>
  <c r="Y528" i="34"/>
  <c r="Z528" i="34" s="1" a="1"/>
  <c r="Z528" i="34" s="1"/>
  <c r="Y527" i="34"/>
  <c r="Z527" i="34" s="1" a="1"/>
  <c r="Z527" i="34" s="1"/>
  <c r="Y526" i="34"/>
  <c r="Z526" i="34" s="1" a="1"/>
  <c r="Z526" i="34" s="1"/>
  <c r="Y525" i="34"/>
  <c r="Z525" i="34" s="1" a="1"/>
  <c r="Z525" i="34" s="1"/>
  <c r="Y524" i="34"/>
  <c r="Z524" i="34" s="1" a="1"/>
  <c r="Z524" i="34" s="1"/>
  <c r="Y523" i="34"/>
  <c r="Z523" i="34" s="1" a="1"/>
  <c r="Z523" i="34" s="1"/>
  <c r="Y522" i="34"/>
  <c r="Z522" i="34" s="1" a="1"/>
  <c r="Z522" i="34" s="1"/>
  <c r="Y521" i="34"/>
  <c r="Z521" i="34" s="1" a="1"/>
  <c r="Z521" i="34" s="1"/>
  <c r="Y520" i="34"/>
  <c r="Z520" i="34" s="1" a="1"/>
  <c r="Z520" i="34" s="1"/>
  <c r="Y519" i="34"/>
  <c r="Z519" i="34" s="1" a="1"/>
  <c r="Z519" i="34" s="1"/>
  <c r="Y518" i="34"/>
  <c r="Z518" i="34" s="1" a="1"/>
  <c r="Z518" i="34" s="1"/>
  <c r="Y517" i="34"/>
  <c r="Z517" i="34" s="1" a="1"/>
  <c r="Z517" i="34" s="1"/>
  <c r="Y516" i="34"/>
  <c r="Z516" i="34" s="1" a="1"/>
  <c r="Z516" i="34" s="1"/>
  <c r="Y515" i="34"/>
  <c r="Z515" i="34" s="1" a="1"/>
  <c r="Z515" i="34" s="1"/>
  <c r="Y514" i="34"/>
  <c r="Z514" i="34" s="1" a="1"/>
  <c r="Z514" i="34" s="1"/>
  <c r="Y513" i="34"/>
  <c r="Z513" i="34" s="1" a="1"/>
  <c r="Z513" i="34" s="1"/>
  <c r="Y512" i="34"/>
  <c r="Z512" i="34" s="1" a="1"/>
  <c r="Z512" i="34" s="1"/>
  <c r="Y511" i="34"/>
  <c r="Z511" i="34" s="1" a="1"/>
  <c r="Z511" i="34" s="1"/>
  <c r="Y510" i="34"/>
  <c r="Z510" i="34" s="1" a="1"/>
  <c r="Z510" i="34" s="1"/>
  <c r="Y509" i="34"/>
  <c r="Z509" i="34" s="1" a="1"/>
  <c r="Z509" i="34" s="1"/>
  <c r="Y508" i="34"/>
  <c r="Z508" i="34" s="1" a="1"/>
  <c r="Z508" i="34" s="1"/>
  <c r="Y507" i="34"/>
  <c r="Z507" i="34" s="1" a="1"/>
  <c r="Z507" i="34" s="1"/>
  <c r="Y506" i="34"/>
  <c r="Z506" i="34" s="1" a="1"/>
  <c r="Z506" i="34" s="1"/>
  <c r="Y505" i="34"/>
  <c r="Z505" i="34" s="1" a="1"/>
  <c r="Z505" i="34" s="1"/>
  <c r="Y504" i="34"/>
  <c r="Z504" i="34" s="1" a="1"/>
  <c r="Z504" i="34" s="1"/>
  <c r="Y503" i="34"/>
  <c r="Z503" i="34" s="1" a="1"/>
  <c r="Z503" i="34" s="1"/>
  <c r="Y502" i="34"/>
  <c r="Z502" i="34" s="1" a="1"/>
  <c r="Z502" i="34" s="1"/>
  <c r="Y501" i="34"/>
  <c r="Z501" i="34" s="1" a="1"/>
  <c r="Z501" i="34" s="1"/>
  <c r="Y500" i="34"/>
  <c r="Z500" i="34" s="1" a="1"/>
  <c r="Z500" i="34" s="1"/>
  <c r="Y499" i="34"/>
  <c r="Z499" i="34" s="1" a="1"/>
  <c r="Z499" i="34" s="1"/>
  <c r="Y498" i="34"/>
  <c r="Z498" i="34" s="1" a="1"/>
  <c r="Z498" i="34" s="1"/>
  <c r="Y497" i="34"/>
  <c r="Z497" i="34" s="1" a="1"/>
  <c r="Z497" i="34" s="1"/>
  <c r="Y496" i="34"/>
  <c r="Z496" i="34" s="1" a="1"/>
  <c r="Z496" i="34" s="1"/>
  <c r="Y495" i="34"/>
  <c r="Z495" i="34" s="1" a="1"/>
  <c r="Z495" i="34" s="1"/>
  <c r="Y494" i="34"/>
  <c r="Z494" i="34" s="1" a="1"/>
  <c r="Z494" i="34" s="1"/>
  <c r="Y493" i="34"/>
  <c r="Z493" i="34" s="1" a="1"/>
  <c r="Z493" i="34" s="1"/>
  <c r="Y492" i="34"/>
  <c r="Z492" i="34" s="1" a="1"/>
  <c r="Z492" i="34" s="1"/>
  <c r="Y491" i="34"/>
  <c r="Z491" i="34" s="1" a="1"/>
  <c r="Z491" i="34" s="1"/>
  <c r="Y490" i="34"/>
  <c r="Z490" i="34" s="1" a="1"/>
  <c r="Z490" i="34" s="1"/>
  <c r="Y489" i="34"/>
  <c r="Z489" i="34" s="1" a="1"/>
  <c r="Z489" i="34" s="1"/>
  <c r="Y488" i="34"/>
  <c r="Z488" i="34" s="1" a="1"/>
  <c r="Z488" i="34" s="1"/>
  <c r="Y487" i="34"/>
  <c r="Z487" i="34" s="1" a="1"/>
  <c r="Z487" i="34" s="1"/>
  <c r="Y486" i="34"/>
  <c r="Z486" i="34" s="1" a="1"/>
  <c r="Z486" i="34" s="1"/>
  <c r="Y485" i="34"/>
  <c r="Z485" i="34" s="1" a="1"/>
  <c r="Z485" i="34" s="1"/>
  <c r="Y484" i="34"/>
  <c r="Z484" i="34" s="1" a="1"/>
  <c r="Z484" i="34" s="1"/>
  <c r="Y483" i="34"/>
  <c r="Z483" i="34" s="1" a="1"/>
  <c r="Z483" i="34" s="1"/>
  <c r="Y482" i="34"/>
  <c r="Z482" i="34" s="1" a="1"/>
  <c r="Z482" i="34" s="1"/>
  <c r="Y481" i="34"/>
  <c r="Z481" i="34" s="1" a="1"/>
  <c r="Z481" i="34" s="1"/>
  <c r="Y480" i="34"/>
  <c r="Z480" i="34" s="1" a="1"/>
  <c r="Z480" i="34" s="1"/>
  <c r="Y479" i="34"/>
  <c r="Z479" i="34" s="1" a="1"/>
  <c r="Z479" i="34" s="1"/>
  <c r="Y478" i="34"/>
  <c r="Z478" i="34" s="1" a="1"/>
  <c r="Z478" i="34" s="1"/>
  <c r="Y477" i="34"/>
  <c r="Z477" i="34" s="1" a="1"/>
  <c r="Z477" i="34" s="1"/>
  <c r="Y476" i="34"/>
  <c r="Z476" i="34" s="1" a="1"/>
  <c r="Z476" i="34" s="1"/>
  <c r="Y475" i="34"/>
  <c r="Z475" i="34" s="1" a="1"/>
  <c r="Z475" i="34" s="1"/>
  <c r="Y474" i="34"/>
  <c r="Z474" i="34" s="1" a="1"/>
  <c r="Z474" i="34" s="1"/>
  <c r="Y473" i="34"/>
  <c r="Z473" i="34" s="1" a="1"/>
  <c r="Z473" i="34" s="1"/>
  <c r="Y472" i="34"/>
  <c r="Z472" i="34" s="1" a="1"/>
  <c r="Z472" i="34" s="1"/>
  <c r="Y471" i="34"/>
  <c r="Z471" i="34" s="1" a="1"/>
  <c r="Z471" i="34" s="1"/>
  <c r="Y470" i="34"/>
  <c r="Z470" i="34" s="1" a="1"/>
  <c r="Z470" i="34" s="1"/>
  <c r="Y469" i="34"/>
  <c r="Z469" i="34" s="1" a="1"/>
  <c r="Z469" i="34" s="1"/>
  <c r="Y468" i="34"/>
  <c r="Z468" i="34" s="1" a="1"/>
  <c r="Z468" i="34" s="1"/>
  <c r="Y467" i="34"/>
  <c r="Z467" i="34" s="1" a="1"/>
  <c r="Z467" i="34" s="1"/>
  <c r="Y466" i="34"/>
  <c r="Z466" i="34" s="1" a="1"/>
  <c r="Z466" i="34" s="1"/>
  <c r="Y465" i="34"/>
  <c r="Z465" i="34" s="1" a="1"/>
  <c r="Z465" i="34" s="1"/>
  <c r="Y464" i="34"/>
  <c r="Z464" i="34" s="1" a="1"/>
  <c r="Z464" i="34" s="1"/>
  <c r="Y463" i="34"/>
  <c r="Z463" i="34" s="1" a="1"/>
  <c r="Z463" i="34" s="1"/>
  <c r="Y462" i="34"/>
  <c r="Z462" i="34" s="1" a="1"/>
  <c r="Z462" i="34" s="1"/>
  <c r="Y461" i="34"/>
  <c r="Z461" i="34" s="1" a="1"/>
  <c r="Z461" i="34" s="1"/>
  <c r="Y460" i="34"/>
  <c r="Z460" i="34" s="1" a="1"/>
  <c r="Z460" i="34" s="1"/>
  <c r="Y459" i="34"/>
  <c r="Z459" i="34" s="1" a="1"/>
  <c r="Z459" i="34" s="1"/>
  <c r="Y458" i="34"/>
  <c r="Z458" i="34" s="1" a="1"/>
  <c r="Z458" i="34" s="1"/>
  <c r="Y457" i="34"/>
  <c r="Z457" i="34" s="1" a="1"/>
  <c r="Z457" i="34" s="1"/>
  <c r="Y456" i="34"/>
  <c r="Z456" i="34" s="1" a="1"/>
  <c r="Z456" i="34" s="1"/>
  <c r="Y455" i="34"/>
  <c r="Z455" i="34" s="1" a="1"/>
  <c r="Z455" i="34" s="1"/>
  <c r="Y454" i="34"/>
  <c r="Z454" i="34" s="1" a="1"/>
  <c r="Z454" i="34" s="1"/>
  <c r="Y453" i="34"/>
  <c r="Z453" i="34" s="1" a="1"/>
  <c r="Z453" i="34" s="1"/>
  <c r="Y452" i="34"/>
  <c r="Z452" i="34" s="1" a="1"/>
  <c r="Z452" i="34" s="1"/>
  <c r="Y451" i="34"/>
  <c r="Z451" i="34" s="1" a="1"/>
  <c r="Z451" i="34" s="1"/>
  <c r="Y450" i="34"/>
  <c r="Z450" i="34" s="1" a="1"/>
  <c r="Z450" i="34" s="1"/>
  <c r="Y449" i="34"/>
  <c r="Z449" i="34" s="1" a="1"/>
  <c r="Z449" i="34" s="1"/>
  <c r="Y448" i="34"/>
  <c r="Z448" i="34" s="1" a="1"/>
  <c r="Z448" i="34" s="1"/>
  <c r="Y447" i="34"/>
  <c r="Z447" i="34" s="1" a="1"/>
  <c r="Z447" i="34" s="1"/>
  <c r="Y446" i="34"/>
  <c r="Z446" i="34" s="1" a="1"/>
  <c r="Z446" i="34" s="1"/>
  <c r="Y445" i="34"/>
  <c r="Z445" i="34" s="1" a="1"/>
  <c r="Z445" i="34" s="1"/>
  <c r="Y444" i="34"/>
  <c r="Z444" i="34" s="1" a="1"/>
  <c r="Z444" i="34" s="1"/>
  <c r="Y443" i="34"/>
  <c r="Z443" i="34" s="1" a="1"/>
  <c r="Z443" i="34" s="1"/>
  <c r="Y442" i="34"/>
  <c r="Z442" i="34" s="1" a="1"/>
  <c r="Z442" i="34" s="1"/>
  <c r="Y441" i="34"/>
  <c r="Z441" i="34" s="1" a="1"/>
  <c r="Z441" i="34" s="1"/>
  <c r="Y440" i="34"/>
  <c r="Z440" i="34" s="1" a="1"/>
  <c r="Z440" i="34" s="1"/>
  <c r="Y439" i="34"/>
  <c r="Z439" i="34" s="1" a="1"/>
  <c r="Z439" i="34" s="1"/>
  <c r="Y438" i="34"/>
  <c r="Z438" i="34" s="1" a="1"/>
  <c r="Z438" i="34" s="1"/>
  <c r="Y437" i="34"/>
  <c r="Z437" i="34" s="1" a="1"/>
  <c r="Z437" i="34" s="1"/>
  <c r="Y436" i="34"/>
  <c r="Z436" i="34" s="1" a="1"/>
  <c r="Z436" i="34" s="1"/>
  <c r="K582" i="34"/>
  <c r="I582" i="34"/>
  <c r="H582" i="34"/>
  <c r="K581" i="34"/>
  <c r="I581" i="34"/>
  <c r="H581" i="34"/>
  <c r="K580" i="34"/>
  <c r="J580" i="34"/>
  <c r="I580" i="34"/>
  <c r="H580" i="34"/>
  <c r="K579" i="34"/>
  <c r="J579" i="34"/>
  <c r="I579" i="34"/>
  <c r="H579" i="34"/>
  <c r="K578" i="34"/>
  <c r="I578" i="34"/>
  <c r="H578" i="34"/>
  <c r="K577" i="34"/>
  <c r="I577" i="34"/>
  <c r="H577" i="34"/>
  <c r="K576" i="34"/>
  <c r="I576" i="34"/>
  <c r="H576" i="34"/>
  <c r="K575" i="34"/>
  <c r="J575" i="34"/>
  <c r="I575" i="34"/>
  <c r="H575" i="34"/>
  <c r="K574" i="34"/>
  <c r="I574" i="34"/>
  <c r="H574" i="34"/>
  <c r="K573" i="34"/>
  <c r="I573" i="34"/>
  <c r="H573" i="34"/>
  <c r="K572" i="34"/>
  <c r="J572" i="34"/>
  <c r="I572" i="34"/>
  <c r="H572" i="34"/>
  <c r="K571" i="34"/>
  <c r="J571" i="34"/>
  <c r="I571" i="34"/>
  <c r="H571" i="34"/>
  <c r="K570" i="34"/>
  <c r="J570" i="34"/>
  <c r="I570" i="34"/>
  <c r="H570" i="34"/>
  <c r="K569" i="34"/>
  <c r="I569" i="34"/>
  <c r="H569" i="34"/>
  <c r="K568" i="34"/>
  <c r="J568" i="34"/>
  <c r="I568" i="34"/>
  <c r="H568" i="34"/>
  <c r="K567" i="34"/>
  <c r="J567" i="34"/>
  <c r="I567" i="34"/>
  <c r="H567" i="34"/>
  <c r="K566" i="34"/>
  <c r="J566" i="34"/>
  <c r="I566" i="34"/>
  <c r="H566" i="34"/>
  <c r="K565" i="34"/>
  <c r="I565" i="34"/>
  <c r="H565" i="34"/>
  <c r="K564" i="34"/>
  <c r="I564" i="34"/>
  <c r="H564" i="34"/>
  <c r="K563" i="34"/>
  <c r="I563" i="34"/>
  <c r="H563" i="34"/>
  <c r="K562" i="34"/>
  <c r="I562" i="34"/>
  <c r="H562" i="34"/>
  <c r="K561" i="34"/>
  <c r="I561" i="34"/>
  <c r="H561" i="34"/>
  <c r="K560" i="34"/>
  <c r="I560" i="34"/>
  <c r="H560" i="34"/>
  <c r="K559" i="34"/>
  <c r="J559" i="34"/>
  <c r="I559" i="34"/>
  <c r="H559" i="34"/>
  <c r="K558" i="34"/>
  <c r="J558" i="34"/>
  <c r="I558" i="34"/>
  <c r="H558" i="34"/>
  <c r="K557" i="34"/>
  <c r="J557" i="34"/>
  <c r="I557" i="34"/>
  <c r="H557" i="34"/>
  <c r="K556" i="34"/>
  <c r="J556" i="34"/>
  <c r="I556" i="34"/>
  <c r="H556" i="34"/>
  <c r="K555" i="34"/>
  <c r="J555" i="34"/>
  <c r="I555" i="34"/>
  <c r="H555" i="34"/>
  <c r="K554" i="34"/>
  <c r="J554" i="34"/>
  <c r="I554" i="34"/>
  <c r="H554" i="34"/>
  <c r="K553" i="34"/>
  <c r="J553" i="34"/>
  <c r="I553" i="34"/>
  <c r="H553" i="34"/>
  <c r="K552" i="34"/>
  <c r="J552" i="34"/>
  <c r="I552" i="34"/>
  <c r="H552" i="34"/>
  <c r="K551" i="34"/>
  <c r="J551" i="34"/>
  <c r="I551" i="34"/>
  <c r="H551" i="34"/>
  <c r="K550" i="34"/>
  <c r="J550" i="34"/>
  <c r="I550" i="34"/>
  <c r="H550" i="34"/>
  <c r="K549" i="34"/>
  <c r="J549" i="34"/>
  <c r="I549" i="34"/>
  <c r="H549" i="34"/>
  <c r="K548" i="34"/>
  <c r="J548" i="34"/>
  <c r="I548" i="34"/>
  <c r="H548" i="34"/>
  <c r="K547" i="34"/>
  <c r="J547" i="34"/>
  <c r="I547" i="34"/>
  <c r="H547" i="34"/>
  <c r="K546" i="34"/>
  <c r="J546" i="34"/>
  <c r="I546" i="34"/>
  <c r="H546" i="34"/>
  <c r="K545" i="34"/>
  <c r="J545" i="34"/>
  <c r="I545" i="34"/>
  <c r="H545" i="34"/>
  <c r="K544" i="34"/>
  <c r="J544" i="34"/>
  <c r="I544" i="34"/>
  <c r="H544" i="34"/>
  <c r="K543" i="34"/>
  <c r="J543" i="34"/>
  <c r="I543" i="34"/>
  <c r="H543" i="34"/>
  <c r="K542" i="34"/>
  <c r="J542" i="34"/>
  <c r="I542" i="34"/>
  <c r="H542" i="34"/>
  <c r="K541" i="34"/>
  <c r="J541" i="34"/>
  <c r="I541" i="34"/>
  <c r="H541" i="34"/>
  <c r="K540" i="34"/>
  <c r="J540" i="34"/>
  <c r="I540" i="34"/>
  <c r="H540" i="34"/>
  <c r="K539" i="34"/>
  <c r="J539" i="34"/>
  <c r="I539" i="34"/>
  <c r="H539" i="34"/>
  <c r="K538" i="34"/>
  <c r="J538" i="34"/>
  <c r="I538" i="34"/>
  <c r="H538" i="34"/>
  <c r="K537" i="34"/>
  <c r="J537" i="34"/>
  <c r="I537" i="34"/>
  <c r="H537" i="34"/>
  <c r="K536" i="34"/>
  <c r="J536" i="34"/>
  <c r="I536" i="34"/>
  <c r="H536" i="34"/>
  <c r="K535" i="34"/>
  <c r="J535" i="34"/>
  <c r="I535" i="34"/>
  <c r="H535" i="34"/>
  <c r="K534" i="34"/>
  <c r="J534" i="34"/>
  <c r="I534" i="34"/>
  <c r="H534" i="34"/>
  <c r="K533" i="34"/>
  <c r="J533" i="34"/>
  <c r="I533" i="34"/>
  <c r="H533" i="34"/>
  <c r="K532" i="34"/>
  <c r="J532" i="34"/>
  <c r="I532" i="34"/>
  <c r="H532" i="34"/>
  <c r="K531" i="34"/>
  <c r="J531" i="34"/>
  <c r="I531" i="34"/>
  <c r="H531" i="34"/>
  <c r="K530" i="34"/>
  <c r="J530" i="34"/>
  <c r="I530" i="34"/>
  <c r="H530" i="34"/>
  <c r="K529" i="34"/>
  <c r="J529" i="34"/>
  <c r="I529" i="34"/>
  <c r="H529" i="34"/>
  <c r="K528" i="34"/>
  <c r="J528" i="34"/>
  <c r="I528" i="34"/>
  <c r="H528" i="34"/>
  <c r="K527" i="34"/>
  <c r="J527" i="34"/>
  <c r="I527" i="34"/>
  <c r="H527" i="34"/>
  <c r="K526" i="34"/>
  <c r="J526" i="34"/>
  <c r="I526" i="34"/>
  <c r="H526" i="34"/>
  <c r="K525" i="34"/>
  <c r="J525" i="34"/>
  <c r="I525" i="34"/>
  <c r="H525" i="34"/>
  <c r="K524" i="34"/>
  <c r="J524" i="34"/>
  <c r="I524" i="34"/>
  <c r="H524" i="34"/>
  <c r="K523" i="34"/>
  <c r="J523" i="34"/>
  <c r="I523" i="34"/>
  <c r="H523" i="34"/>
  <c r="K522" i="34"/>
  <c r="J522" i="34"/>
  <c r="I522" i="34"/>
  <c r="H522" i="34"/>
  <c r="K521" i="34"/>
  <c r="J521" i="34"/>
  <c r="I521" i="34"/>
  <c r="H521" i="34"/>
  <c r="K520" i="34"/>
  <c r="J520" i="34"/>
  <c r="I520" i="34"/>
  <c r="H520" i="34"/>
  <c r="K519" i="34"/>
  <c r="J519" i="34"/>
  <c r="I519" i="34"/>
  <c r="H519" i="34"/>
  <c r="K518" i="34"/>
  <c r="J518" i="34"/>
  <c r="I518" i="34"/>
  <c r="H518" i="34"/>
  <c r="K517" i="34"/>
  <c r="J517" i="34"/>
  <c r="I517" i="34"/>
  <c r="H517" i="34"/>
  <c r="K516" i="34"/>
  <c r="J516" i="34"/>
  <c r="I516" i="34"/>
  <c r="H516" i="34"/>
  <c r="K515" i="34"/>
  <c r="J515" i="34"/>
  <c r="I515" i="34"/>
  <c r="H515" i="34"/>
  <c r="K514" i="34"/>
  <c r="J514" i="34"/>
  <c r="I514" i="34"/>
  <c r="H514" i="34"/>
  <c r="K513" i="34"/>
  <c r="J513" i="34"/>
  <c r="I513" i="34"/>
  <c r="H513" i="34"/>
  <c r="K512" i="34"/>
  <c r="J512" i="34"/>
  <c r="I512" i="34"/>
  <c r="H512" i="34"/>
  <c r="K511" i="34"/>
  <c r="J511" i="34"/>
  <c r="I511" i="34"/>
  <c r="H511" i="34"/>
  <c r="K510" i="34"/>
  <c r="J510" i="34"/>
  <c r="I510" i="34"/>
  <c r="H510" i="34"/>
  <c r="K509" i="34"/>
  <c r="J509" i="34"/>
  <c r="I509" i="34"/>
  <c r="H509" i="34"/>
  <c r="K508" i="34"/>
  <c r="J508" i="34"/>
  <c r="I508" i="34"/>
  <c r="H508" i="34"/>
  <c r="K507" i="34"/>
  <c r="J507" i="34"/>
  <c r="I507" i="34"/>
  <c r="H507" i="34"/>
  <c r="K506" i="34"/>
  <c r="J506" i="34"/>
  <c r="I506" i="34"/>
  <c r="H506" i="34"/>
  <c r="K505" i="34"/>
  <c r="J505" i="34"/>
  <c r="I505" i="34"/>
  <c r="H505" i="34"/>
  <c r="K504" i="34"/>
  <c r="J504" i="34"/>
  <c r="I504" i="34"/>
  <c r="H504" i="34"/>
  <c r="K503" i="34"/>
  <c r="J503" i="34"/>
  <c r="I503" i="34"/>
  <c r="H503" i="34"/>
  <c r="K502" i="34"/>
  <c r="J502" i="34"/>
  <c r="I502" i="34"/>
  <c r="H502" i="34"/>
  <c r="K501" i="34"/>
  <c r="J501" i="34"/>
  <c r="I501" i="34"/>
  <c r="H501" i="34"/>
  <c r="K500" i="34"/>
  <c r="J500" i="34"/>
  <c r="I500" i="34"/>
  <c r="H500" i="34"/>
  <c r="K499" i="34"/>
  <c r="J499" i="34"/>
  <c r="I499" i="34"/>
  <c r="H499" i="34"/>
  <c r="K498" i="34"/>
  <c r="J498" i="34"/>
  <c r="I498" i="34"/>
  <c r="H498" i="34"/>
  <c r="K497" i="34"/>
  <c r="J497" i="34"/>
  <c r="I497" i="34"/>
  <c r="H497" i="34"/>
  <c r="K496" i="34"/>
  <c r="J496" i="34"/>
  <c r="I496" i="34"/>
  <c r="H496" i="34"/>
  <c r="K495" i="34"/>
  <c r="J495" i="34"/>
  <c r="I495" i="34"/>
  <c r="H495" i="34"/>
  <c r="K494" i="34"/>
  <c r="J494" i="34"/>
  <c r="I494" i="34"/>
  <c r="H494" i="34"/>
  <c r="K493" i="34"/>
  <c r="J493" i="34"/>
  <c r="I493" i="34"/>
  <c r="H493" i="34"/>
  <c r="K492" i="34"/>
  <c r="J492" i="34"/>
  <c r="I492" i="34"/>
  <c r="H492" i="34"/>
  <c r="K491" i="34"/>
  <c r="J491" i="34"/>
  <c r="I491" i="34"/>
  <c r="H491" i="34"/>
  <c r="K490" i="34"/>
  <c r="J490" i="34"/>
  <c r="I490" i="34"/>
  <c r="H490" i="34"/>
  <c r="K489" i="34"/>
  <c r="J489" i="34"/>
  <c r="I489" i="34"/>
  <c r="H489" i="34"/>
  <c r="K488" i="34"/>
  <c r="J488" i="34"/>
  <c r="I488" i="34"/>
  <c r="H488" i="34"/>
  <c r="K487" i="34"/>
  <c r="J487" i="34"/>
  <c r="I487" i="34"/>
  <c r="H487" i="34"/>
  <c r="K486" i="34"/>
  <c r="J486" i="34"/>
  <c r="I486" i="34"/>
  <c r="H486" i="34"/>
  <c r="K485" i="34"/>
  <c r="J485" i="34"/>
  <c r="I485" i="34"/>
  <c r="H485" i="34"/>
  <c r="K484" i="34"/>
  <c r="J484" i="34"/>
  <c r="I484" i="34"/>
  <c r="H484" i="34"/>
  <c r="K483" i="34"/>
  <c r="J483" i="34"/>
  <c r="I483" i="34"/>
  <c r="H483" i="34"/>
  <c r="K482" i="34"/>
  <c r="J482" i="34"/>
  <c r="I482" i="34"/>
  <c r="H482" i="34"/>
  <c r="K481" i="34"/>
  <c r="J481" i="34"/>
  <c r="I481" i="34"/>
  <c r="H481" i="34"/>
  <c r="K480" i="34"/>
  <c r="J480" i="34"/>
  <c r="I480" i="34"/>
  <c r="H480" i="34"/>
  <c r="K479" i="34"/>
  <c r="J479" i="34"/>
  <c r="I479" i="34"/>
  <c r="H479" i="34"/>
  <c r="K478" i="34"/>
  <c r="J478" i="34"/>
  <c r="I478" i="34"/>
  <c r="H478" i="34"/>
  <c r="K477" i="34"/>
  <c r="J477" i="34"/>
  <c r="I477" i="34"/>
  <c r="H477" i="34"/>
  <c r="K476" i="34"/>
  <c r="I476" i="34"/>
  <c r="H476" i="34"/>
  <c r="K475" i="34"/>
  <c r="I475" i="34"/>
  <c r="H475" i="34"/>
  <c r="K474" i="34"/>
  <c r="J474" i="34"/>
  <c r="I474" i="34"/>
  <c r="H474" i="34"/>
  <c r="K473" i="34"/>
  <c r="J473" i="34"/>
  <c r="I473" i="34"/>
  <c r="H473" i="34"/>
  <c r="K472" i="34"/>
  <c r="J472" i="34"/>
  <c r="I472" i="34"/>
  <c r="H472" i="34"/>
  <c r="K471" i="34"/>
  <c r="J471" i="34"/>
  <c r="I471" i="34"/>
  <c r="H471" i="34"/>
  <c r="K470" i="34"/>
  <c r="J470" i="34"/>
  <c r="I470" i="34"/>
  <c r="H470" i="34"/>
  <c r="K469" i="34"/>
  <c r="J469" i="34"/>
  <c r="I469" i="34"/>
  <c r="H469" i="34"/>
  <c r="K468" i="34"/>
  <c r="J468" i="34"/>
  <c r="I468" i="34"/>
  <c r="H468" i="34"/>
  <c r="K467" i="34"/>
  <c r="J467" i="34"/>
  <c r="I467" i="34"/>
  <c r="H467" i="34"/>
  <c r="K466" i="34"/>
  <c r="J466" i="34"/>
  <c r="I466" i="34"/>
  <c r="H466" i="34"/>
  <c r="K465" i="34"/>
  <c r="J465" i="34"/>
  <c r="I465" i="34"/>
  <c r="H465" i="34"/>
  <c r="K464" i="34"/>
  <c r="J464" i="34"/>
  <c r="I464" i="34"/>
  <c r="H464" i="34"/>
  <c r="K463" i="34"/>
  <c r="J463" i="34"/>
  <c r="I463" i="34"/>
  <c r="H463" i="34"/>
  <c r="K462" i="34"/>
  <c r="J462" i="34"/>
  <c r="I462" i="34"/>
  <c r="H462" i="34"/>
  <c r="K461" i="34"/>
  <c r="J461" i="34"/>
  <c r="I461" i="34"/>
  <c r="H461" i="34"/>
  <c r="K460" i="34"/>
  <c r="J460" i="34"/>
  <c r="I460" i="34"/>
  <c r="H460" i="34"/>
  <c r="K459" i="34"/>
  <c r="J459" i="34"/>
  <c r="I459" i="34"/>
  <c r="H459" i="34"/>
  <c r="K458" i="34"/>
  <c r="J458" i="34"/>
  <c r="I458" i="34"/>
  <c r="H458" i="34"/>
  <c r="K457" i="34"/>
  <c r="J457" i="34"/>
  <c r="I457" i="34"/>
  <c r="H457" i="34"/>
  <c r="K456" i="34"/>
  <c r="J456" i="34"/>
  <c r="I456" i="34"/>
  <c r="H456" i="34"/>
  <c r="K455" i="34"/>
  <c r="J455" i="34"/>
  <c r="I455" i="34"/>
  <c r="H455" i="34"/>
  <c r="K454" i="34"/>
  <c r="J454" i="34"/>
  <c r="I454" i="34"/>
  <c r="H454" i="34"/>
  <c r="K453" i="34"/>
  <c r="J453" i="34"/>
  <c r="I453" i="34"/>
  <c r="H453" i="34"/>
  <c r="K452" i="34"/>
  <c r="J452" i="34"/>
  <c r="I452" i="34"/>
  <c r="H452" i="34"/>
  <c r="K451" i="34"/>
  <c r="J451" i="34"/>
  <c r="I451" i="34"/>
  <c r="H451" i="34"/>
  <c r="K450" i="34"/>
  <c r="J450" i="34"/>
  <c r="I450" i="34"/>
  <c r="H450" i="34"/>
  <c r="K449" i="34"/>
  <c r="J449" i="34"/>
  <c r="I449" i="34"/>
  <c r="H449" i="34"/>
  <c r="K448" i="34"/>
  <c r="J448" i="34"/>
  <c r="I448" i="34"/>
  <c r="H448" i="34"/>
  <c r="K447" i="34"/>
  <c r="J447" i="34"/>
  <c r="I447" i="34"/>
  <c r="H447" i="34"/>
  <c r="K446" i="34"/>
  <c r="J446" i="34"/>
  <c r="I446" i="34"/>
  <c r="H446" i="34"/>
  <c r="K445" i="34"/>
  <c r="J445" i="34"/>
  <c r="I445" i="34"/>
  <c r="H445" i="34"/>
  <c r="K444" i="34"/>
  <c r="J444" i="34"/>
  <c r="I444" i="34"/>
  <c r="H444" i="34"/>
  <c r="K443" i="34"/>
  <c r="J443" i="34"/>
  <c r="I443" i="34"/>
  <c r="H443" i="34"/>
  <c r="K442" i="34"/>
  <c r="J442" i="34"/>
  <c r="I442" i="34"/>
  <c r="H442" i="34"/>
  <c r="K441" i="34"/>
  <c r="J441" i="34"/>
  <c r="I441" i="34"/>
  <c r="H441" i="34"/>
  <c r="K440" i="34"/>
  <c r="J440" i="34"/>
  <c r="I440" i="34"/>
  <c r="H440" i="34"/>
  <c r="K439" i="34"/>
  <c r="J439" i="34"/>
  <c r="I439" i="34"/>
  <c r="H439" i="34"/>
  <c r="K438" i="34"/>
  <c r="J438" i="34"/>
  <c r="I438" i="34"/>
  <c r="H438" i="34"/>
  <c r="K437" i="34"/>
  <c r="J437" i="34"/>
  <c r="I437" i="34"/>
  <c r="H437" i="34"/>
  <c r="K436" i="34"/>
  <c r="J436" i="34"/>
  <c r="I436" i="34"/>
  <c r="H436" i="34"/>
  <c r="J582" i="34"/>
  <c r="J581" i="34"/>
  <c r="J578" i="34"/>
  <c r="J577" i="34"/>
  <c r="J576" i="34"/>
  <c r="J574" i="34"/>
  <c r="J573" i="34"/>
  <c r="J569" i="34"/>
  <c r="J565" i="34"/>
  <c r="J564" i="34"/>
  <c r="J563" i="34"/>
  <c r="J562" i="34"/>
  <c r="J561" i="34"/>
  <c r="J560" i="34"/>
  <c r="J476" i="34"/>
  <c r="J475" i="34"/>
  <c r="I435" i="34"/>
  <c r="H435" i="34"/>
  <c r="H434" i="34"/>
  <c r="I433" i="34"/>
  <c r="H433" i="34"/>
  <c r="J433" i="34"/>
  <c r="I432" i="34"/>
  <c r="H432" i="34"/>
  <c r="Y431" i="34"/>
  <c r="Z431" i="34" s="1" a="1"/>
  <c r="Z431" i="34" s="1"/>
  <c r="I430" i="34"/>
  <c r="H429" i="34"/>
  <c r="Y428" i="34"/>
  <c r="H428" i="34"/>
  <c r="J428" i="34"/>
  <c r="I427" i="34"/>
  <c r="H426" i="34"/>
  <c r="H425" i="34"/>
  <c r="Y424" i="34"/>
  <c r="H424" i="34"/>
  <c r="I424" i="34"/>
  <c r="J424" i="34"/>
  <c r="Y423" i="34"/>
  <c r="Z423" i="34" s="1" a="1"/>
  <c r="Z423" i="34" s="1"/>
  <c r="H423" i="34"/>
  <c r="I423" i="34"/>
  <c r="Y422" i="34"/>
  <c r="Z422" i="34" s="1" a="1"/>
  <c r="Z422" i="34" s="1"/>
  <c r="K422" i="34"/>
  <c r="I422" i="34"/>
  <c r="K421" i="34"/>
  <c r="H421" i="34"/>
  <c r="K420" i="34"/>
  <c r="H420" i="34"/>
  <c r="Y419" i="34"/>
  <c r="Z419" i="34" s="1" a="1"/>
  <c r="Z419" i="34" s="1"/>
  <c r="I419" i="34"/>
  <c r="H419" i="34"/>
  <c r="K418" i="34"/>
  <c r="H418" i="34"/>
  <c r="J417" i="34"/>
  <c r="H417" i="34"/>
  <c r="I417" i="34"/>
  <c r="H416" i="34"/>
  <c r="I416" i="34"/>
  <c r="J416" i="34"/>
  <c r="H414" i="34"/>
  <c r="K414" i="34"/>
  <c r="I413" i="34"/>
  <c r="H413" i="34"/>
  <c r="Y412" i="34"/>
  <c r="Z412" i="34" s="1" a="1"/>
  <c r="Z412" i="34" s="1"/>
  <c r="H412" i="34"/>
  <c r="Y411" i="34"/>
  <c r="Z411" i="34" s="1" a="1"/>
  <c r="Z411" i="34" s="1"/>
  <c r="J411" i="34"/>
  <c r="H411" i="34"/>
  <c r="I411" i="34"/>
  <c r="H410" i="34"/>
  <c r="I409" i="34"/>
  <c r="H409" i="34"/>
  <c r="J409" i="34"/>
  <c r="Y408" i="34"/>
  <c r="Z408" i="34" s="1" a="1"/>
  <c r="Z408" i="34" s="1"/>
  <c r="I408" i="34"/>
  <c r="H408" i="34"/>
  <c r="J408" i="34"/>
  <c r="I407" i="34"/>
  <c r="K407" i="34"/>
  <c r="H407" i="34"/>
  <c r="K406" i="34"/>
  <c r="H406" i="34"/>
  <c r="H405" i="34"/>
  <c r="Y404" i="34"/>
  <c r="I404" i="34"/>
  <c r="H404" i="34"/>
  <c r="J404" i="34"/>
  <c r="I403" i="34"/>
  <c r="H403" i="34"/>
  <c r="J402" i="34"/>
  <c r="H402" i="34"/>
  <c r="I402" i="34"/>
  <c r="Y401" i="34"/>
  <c r="Z401" i="34" s="1" a="1"/>
  <c r="Z401" i="34" s="1"/>
  <c r="K401" i="34"/>
  <c r="I401" i="34"/>
  <c r="K400" i="34"/>
  <c r="I400" i="34"/>
  <c r="H400" i="34"/>
  <c r="H399" i="34"/>
  <c r="H397" i="34"/>
  <c r="Y396" i="34"/>
  <c r="Z396" i="34" s="1" a="1"/>
  <c r="Z396" i="34" s="1"/>
  <c r="H396" i="34"/>
  <c r="Y395" i="34"/>
  <c r="Z395" i="34" s="1" a="1"/>
  <c r="Z395" i="34" s="1"/>
  <c r="H394" i="34"/>
  <c r="I393" i="34"/>
  <c r="J392" i="34"/>
  <c r="H392" i="34"/>
  <c r="H391" i="34"/>
  <c r="Y390" i="34"/>
  <c r="Z390" i="34" s="1" a="1"/>
  <c r="Z390" i="34" s="1"/>
  <c r="J390" i="34"/>
  <c r="H390" i="34"/>
  <c r="I390" i="34"/>
  <c r="Y389" i="34"/>
  <c r="I389" i="34"/>
  <c r="H389" i="34"/>
  <c r="J388" i="34"/>
  <c r="H388" i="34"/>
  <c r="H387" i="34"/>
  <c r="I387" i="34"/>
  <c r="K387" i="34"/>
  <c r="H386" i="34"/>
  <c r="H385" i="34"/>
  <c r="I384" i="34"/>
  <c r="J384" i="34"/>
  <c r="Y383" i="34"/>
  <c r="Z383" i="34" s="1" a="1"/>
  <c r="Z383" i="34" s="1"/>
  <c r="J383" i="34"/>
  <c r="I383" i="34"/>
  <c r="H383" i="34"/>
  <c r="Y381" i="34"/>
  <c r="Z381" i="34" s="1" a="1"/>
  <c r="Z381" i="34" s="1"/>
  <c r="H381" i="34"/>
  <c r="J381" i="34"/>
  <c r="I380" i="34"/>
  <c r="I379" i="34"/>
  <c r="H379" i="34"/>
  <c r="H378" i="34"/>
  <c r="I377" i="34"/>
  <c r="J377" i="34"/>
  <c r="J376" i="34"/>
  <c r="H376" i="34"/>
  <c r="H375" i="34"/>
  <c r="I374" i="34"/>
  <c r="J373" i="34"/>
  <c r="H373" i="34"/>
  <c r="I373" i="34"/>
  <c r="Y372" i="34"/>
  <c r="Z372" i="34" s="1" a="1"/>
  <c r="Z372" i="34" s="1"/>
  <c r="J372" i="34"/>
  <c r="K372" i="34"/>
  <c r="Y371" i="34"/>
  <c r="H371" i="34"/>
  <c r="H370" i="34"/>
  <c r="H369" i="34"/>
  <c r="K369" i="34"/>
  <c r="H368" i="34"/>
  <c r="K368" i="34"/>
  <c r="H366" i="34"/>
  <c r="K366" i="34"/>
  <c r="I366" i="34"/>
  <c r="J366" i="34"/>
  <c r="Y365" i="34"/>
  <c r="Z365" i="34" s="1" a="1"/>
  <c r="Z365" i="34" s="1"/>
  <c r="H364" i="34"/>
  <c r="K364" i="34"/>
  <c r="H363" i="34"/>
  <c r="I362" i="34"/>
  <c r="H362" i="34"/>
  <c r="J362" i="34"/>
  <c r="Y361" i="34"/>
  <c r="Z361" i="34" s="1" a="1"/>
  <c r="Z361" i="34" s="1"/>
  <c r="H361" i="34"/>
  <c r="J361" i="34"/>
  <c r="H360" i="34"/>
  <c r="Y359" i="34"/>
  <c r="K359" i="34"/>
  <c r="H359" i="34"/>
  <c r="K358" i="34"/>
  <c r="H358" i="34"/>
  <c r="I358" i="34"/>
  <c r="J358" i="34"/>
  <c r="I357" i="34"/>
  <c r="H357" i="34"/>
  <c r="I356" i="34"/>
  <c r="H356" i="34"/>
  <c r="K355" i="34"/>
  <c r="H355" i="34"/>
  <c r="H354" i="34"/>
  <c r="K353" i="34"/>
  <c r="J353" i="34"/>
  <c r="H353" i="34"/>
  <c r="J352" i="34"/>
  <c r="H352" i="34"/>
  <c r="I352" i="34"/>
  <c r="Y351" i="34"/>
  <c r="Z351" i="34" s="1" a="1"/>
  <c r="Z351" i="34" s="1"/>
  <c r="I351" i="34"/>
  <c r="H350" i="34"/>
  <c r="Y349" i="34"/>
  <c r="K349" i="34"/>
  <c r="H349" i="34"/>
  <c r="H348" i="34"/>
  <c r="I347" i="34"/>
  <c r="H346" i="34"/>
  <c r="K345" i="34"/>
  <c r="H345" i="34"/>
  <c r="Y343" i="34"/>
  <c r="Z343" i="34" s="1" a="1"/>
  <c r="Z343" i="34" s="1"/>
  <c r="H343" i="34"/>
  <c r="J342" i="34"/>
  <c r="H341" i="34"/>
  <c r="Y340" i="34"/>
  <c r="Z340" i="34" s="1" a="1"/>
  <c r="Z340" i="34" s="1"/>
  <c r="K340" i="34"/>
  <c r="K339" i="34"/>
  <c r="H339" i="34"/>
  <c r="K338" i="34"/>
  <c r="H338" i="34"/>
  <c r="H337" i="34"/>
  <c r="Y336" i="34"/>
  <c r="K336" i="34"/>
  <c r="H336" i="34"/>
  <c r="H335" i="34"/>
  <c r="K335" i="34"/>
  <c r="K334" i="34"/>
  <c r="H334" i="34"/>
  <c r="H333" i="34"/>
  <c r="H332" i="34"/>
  <c r="Y331" i="34"/>
  <c r="Z331" i="34" s="1" a="1"/>
  <c r="Z331" i="34" s="1"/>
  <c r="H331" i="34"/>
  <c r="Y329" i="34"/>
  <c r="Z329" i="34" s="1" a="1"/>
  <c r="Z329" i="34" s="1"/>
  <c r="K329" i="34"/>
  <c r="H328" i="34"/>
  <c r="I327" i="34"/>
  <c r="H327" i="34"/>
  <c r="I326" i="34"/>
  <c r="H326" i="34"/>
  <c r="Y325" i="34"/>
  <c r="H325" i="34"/>
  <c r="K324" i="34"/>
  <c r="H324" i="34"/>
  <c r="H323" i="34"/>
  <c r="H322" i="34"/>
  <c r="Y321" i="34"/>
  <c r="Z321" i="34" s="1" a="1"/>
  <c r="Z321" i="34" s="1"/>
  <c r="H321" i="34"/>
  <c r="K321" i="34"/>
  <c r="Y320" i="34"/>
  <c r="H320" i="34"/>
  <c r="I319" i="34"/>
  <c r="K319" i="34"/>
  <c r="H319" i="34"/>
  <c r="H318" i="34"/>
  <c r="H316" i="34"/>
  <c r="J316" i="34"/>
  <c r="Y315" i="34"/>
  <c r="H315" i="34"/>
  <c r="H314" i="34"/>
  <c r="I314" i="34"/>
  <c r="Y313" i="34"/>
  <c r="H313" i="34"/>
  <c r="H311" i="34"/>
  <c r="J310" i="34"/>
  <c r="I309" i="34"/>
  <c r="H309" i="34"/>
  <c r="Y308" i="34"/>
  <c r="H308" i="34"/>
  <c r="K306" i="34"/>
  <c r="H306" i="34"/>
  <c r="Y305" i="34"/>
  <c r="K305" i="34"/>
  <c r="H305" i="34"/>
  <c r="J304" i="34"/>
  <c r="K304" i="34"/>
  <c r="H304" i="34"/>
  <c r="K303" i="34"/>
  <c r="J303" i="34"/>
  <c r="H302" i="34"/>
  <c r="H301" i="34"/>
  <c r="H300" i="34"/>
  <c r="H299" i="34"/>
  <c r="H298" i="34"/>
  <c r="I297" i="34"/>
  <c r="H297" i="34"/>
  <c r="H296" i="34"/>
  <c r="H295" i="34"/>
  <c r="K294" i="34"/>
  <c r="H294" i="34"/>
  <c r="I293" i="34"/>
  <c r="H293" i="34"/>
  <c r="K292" i="34"/>
  <c r="H292" i="34"/>
  <c r="H291" i="34"/>
  <c r="I291" i="34"/>
  <c r="H290" i="34"/>
  <c r="I290" i="34"/>
  <c r="K289" i="34"/>
  <c r="H289" i="34"/>
  <c r="K288" i="34"/>
  <c r="H288" i="34"/>
  <c r="I287" i="34"/>
  <c r="H287" i="34"/>
  <c r="J286" i="34"/>
  <c r="H286" i="34"/>
  <c r="I286" i="34"/>
  <c r="I285" i="34"/>
  <c r="H285" i="34"/>
  <c r="J285" i="34"/>
  <c r="H284" i="34"/>
  <c r="K283" i="34"/>
  <c r="I282" i="34"/>
  <c r="H282" i="34"/>
  <c r="J281" i="34"/>
  <c r="H281" i="34"/>
  <c r="K280" i="34"/>
  <c r="H280" i="34"/>
  <c r="K279" i="34"/>
  <c r="H278" i="34"/>
  <c r="K278" i="34"/>
  <c r="H277" i="34"/>
  <c r="K275" i="34"/>
  <c r="H275" i="34"/>
  <c r="I275" i="34"/>
  <c r="K274" i="34"/>
  <c r="H274" i="34"/>
  <c r="K273" i="34"/>
  <c r="H273" i="34"/>
  <c r="H272" i="34"/>
  <c r="I271" i="34"/>
  <c r="H271" i="34"/>
  <c r="J271" i="34"/>
  <c r="H270" i="34"/>
  <c r="K269" i="34"/>
  <c r="J269" i="34"/>
  <c r="H269" i="34"/>
  <c r="K267" i="34"/>
  <c r="H267" i="34"/>
  <c r="H266" i="34"/>
  <c r="K264" i="34"/>
  <c r="H264" i="34"/>
  <c r="H263" i="34"/>
  <c r="K263" i="34"/>
  <c r="I262" i="34"/>
  <c r="H261" i="34"/>
  <c r="H260" i="34"/>
  <c r="K259" i="34"/>
  <c r="H259" i="34"/>
  <c r="I259" i="34"/>
  <c r="J259" i="34"/>
  <c r="K258" i="34"/>
  <c r="H258" i="34"/>
  <c r="K257" i="34"/>
  <c r="H256" i="34"/>
  <c r="H253" i="34"/>
  <c r="H252" i="34"/>
  <c r="H250" i="34"/>
  <c r="I250" i="34"/>
  <c r="J250" i="34"/>
  <c r="J249" i="34"/>
  <c r="H248" i="34"/>
  <c r="J248" i="34"/>
  <c r="H247" i="34"/>
  <c r="H246" i="34"/>
  <c r="I246" i="34"/>
  <c r="J245" i="34"/>
  <c r="H245" i="34"/>
  <c r="H244" i="34"/>
  <c r="K244" i="34"/>
  <c r="I244" i="34"/>
  <c r="J244" i="34"/>
  <c r="K243" i="34"/>
  <c r="H243" i="34"/>
  <c r="H242" i="34"/>
  <c r="K241" i="34"/>
  <c r="K240" i="34"/>
  <c r="H240" i="34"/>
  <c r="K239" i="34"/>
  <c r="H239" i="34"/>
  <c r="I238" i="34"/>
  <c r="H238" i="34"/>
  <c r="I237" i="34"/>
  <c r="H237" i="34"/>
  <c r="K236" i="34"/>
  <c r="H236" i="34"/>
  <c r="H235" i="34"/>
  <c r="K235" i="34"/>
  <c r="H234" i="34"/>
  <c r="I233" i="34"/>
  <c r="H233" i="34"/>
  <c r="H232" i="34"/>
  <c r="H230" i="34"/>
  <c r="J230" i="34"/>
  <c r="K229" i="34"/>
  <c r="H229" i="34"/>
  <c r="K228" i="34"/>
  <c r="H228" i="34"/>
  <c r="H227" i="34"/>
  <c r="H226" i="34"/>
  <c r="I225" i="34"/>
  <c r="H225" i="34"/>
  <c r="K224" i="34"/>
  <c r="H224" i="34"/>
  <c r="K223" i="34"/>
  <c r="H223" i="34"/>
  <c r="K222" i="34"/>
  <c r="H222" i="34"/>
  <c r="H221" i="34"/>
  <c r="K220" i="34"/>
  <c r="H220" i="34"/>
  <c r="K219" i="34"/>
  <c r="H219" i="34"/>
  <c r="I219" i="34"/>
  <c r="J219" i="34"/>
  <c r="K218" i="34"/>
  <c r="H218" i="34"/>
  <c r="I217" i="34"/>
  <c r="H217" i="34"/>
  <c r="K216" i="34"/>
  <c r="H216" i="34"/>
  <c r="H215" i="34"/>
  <c r="I215" i="34"/>
  <c r="K214" i="34"/>
  <c r="H214" i="34"/>
  <c r="I214" i="34"/>
  <c r="J214" i="34"/>
  <c r="I213" i="34"/>
  <c r="H213" i="34"/>
  <c r="H212" i="34"/>
  <c r="H211" i="34"/>
  <c r="K210" i="34"/>
  <c r="H210" i="34"/>
  <c r="K209" i="34"/>
  <c r="H209" i="34"/>
  <c r="H208" i="34"/>
  <c r="J208" i="34"/>
  <c r="I207" i="34"/>
  <c r="J207" i="34"/>
  <c r="H207" i="34"/>
  <c r="H205" i="34"/>
  <c r="K204" i="34"/>
  <c r="I204" i="34"/>
  <c r="H203" i="34"/>
  <c r="K203" i="34"/>
  <c r="H202" i="34"/>
  <c r="K201" i="34"/>
  <c r="H201" i="34"/>
  <c r="J200" i="34"/>
  <c r="H199" i="34"/>
  <c r="I198" i="34"/>
  <c r="K198" i="34"/>
  <c r="K197" i="34"/>
  <c r="I197" i="34"/>
  <c r="H197" i="34"/>
  <c r="H196" i="34"/>
  <c r="I196" i="34"/>
  <c r="I195" i="34"/>
  <c r="H195" i="34"/>
  <c r="K194" i="34"/>
  <c r="H194" i="34"/>
  <c r="I194" i="34"/>
  <c r="H193" i="34"/>
  <c r="H192" i="34"/>
  <c r="H189" i="34"/>
  <c r="K189" i="34"/>
  <c r="K188" i="34"/>
  <c r="H188" i="34"/>
  <c r="H186" i="34"/>
  <c r="I185" i="34"/>
  <c r="K184" i="34"/>
  <c r="H184" i="34"/>
  <c r="H183" i="34"/>
  <c r="K182" i="34"/>
  <c r="J180" i="34"/>
  <c r="I179" i="34"/>
  <c r="H179" i="34"/>
  <c r="H178" i="34"/>
  <c r="H177" i="34"/>
  <c r="H175" i="34"/>
  <c r="K175" i="34"/>
  <c r="I175" i="34"/>
  <c r="J175" i="34"/>
  <c r="K174" i="34"/>
  <c r="H174" i="34"/>
  <c r="H173" i="34"/>
  <c r="I172" i="34"/>
  <c r="J172" i="34"/>
  <c r="K171" i="34"/>
  <c r="H170" i="34"/>
  <c r="K169" i="34"/>
  <c r="H168" i="34"/>
  <c r="K167" i="34"/>
  <c r="H167" i="34"/>
  <c r="I167" i="34"/>
  <c r="J167" i="34"/>
  <c r="I166" i="34"/>
  <c r="H166" i="34"/>
  <c r="K165" i="34"/>
  <c r="I165" i="34"/>
  <c r="H165" i="34"/>
  <c r="I164" i="34"/>
  <c r="H164" i="34"/>
  <c r="J163" i="34"/>
  <c r="H163" i="34"/>
  <c r="K162" i="34"/>
  <c r="H162" i="34"/>
  <c r="K160" i="34"/>
  <c r="I160" i="34"/>
  <c r="H159" i="34"/>
  <c r="K159" i="34"/>
  <c r="I157" i="34"/>
  <c r="K156" i="34"/>
  <c r="I156" i="34"/>
  <c r="H156" i="34"/>
  <c r="H155" i="34"/>
  <c r="H154" i="34"/>
  <c r="H153" i="34"/>
  <c r="K153" i="34"/>
  <c r="I152" i="34"/>
  <c r="H152" i="34"/>
  <c r="H151" i="34"/>
  <c r="I151" i="34"/>
  <c r="H150" i="34"/>
  <c r="I149" i="34"/>
  <c r="H149" i="34"/>
  <c r="J149" i="34"/>
  <c r="I148" i="34"/>
  <c r="I147" i="34"/>
  <c r="H147" i="34"/>
  <c r="J147" i="34"/>
  <c r="K146" i="34"/>
  <c r="H146" i="34"/>
  <c r="H145" i="34"/>
  <c r="J144" i="34"/>
  <c r="I143" i="34"/>
  <c r="H142" i="34"/>
  <c r="K142" i="34"/>
  <c r="H141" i="34"/>
  <c r="K141" i="34"/>
  <c r="I140" i="34"/>
  <c r="H140" i="34"/>
  <c r="K139" i="34"/>
  <c r="H139" i="34"/>
  <c r="H138" i="34"/>
  <c r="K138" i="34"/>
  <c r="J138" i="34"/>
  <c r="H137" i="34"/>
  <c r="J134" i="34"/>
  <c r="H133" i="34"/>
  <c r="I132" i="34"/>
  <c r="H132" i="34"/>
  <c r="K131" i="34"/>
  <c r="H131" i="34"/>
  <c r="H130" i="34"/>
  <c r="H129" i="34"/>
  <c r="K128" i="34"/>
  <c r="J127" i="34"/>
  <c r="H127" i="34"/>
  <c r="I127" i="34"/>
  <c r="K126" i="34"/>
  <c r="I126" i="34"/>
  <c r="H126" i="34"/>
  <c r="I125" i="34"/>
  <c r="K125" i="34"/>
  <c r="J125" i="34"/>
  <c r="J124" i="34"/>
  <c r="I124" i="34"/>
  <c r="H124" i="34"/>
  <c r="K123" i="34"/>
  <c r="H123" i="34"/>
  <c r="I122" i="34"/>
  <c r="I121" i="34"/>
  <c r="H120" i="34"/>
  <c r="K119" i="34"/>
  <c r="H119" i="34"/>
  <c r="I118" i="34"/>
  <c r="H118" i="34"/>
  <c r="H117" i="34"/>
  <c r="I116" i="34"/>
  <c r="J116" i="34"/>
  <c r="I115" i="34"/>
  <c r="H114" i="34"/>
  <c r="K114" i="34"/>
  <c r="H113" i="34"/>
  <c r="I113" i="34"/>
  <c r="J113" i="34"/>
  <c r="H112" i="34"/>
  <c r="K112" i="34"/>
  <c r="K111" i="34"/>
  <c r="I111" i="34"/>
  <c r="H111" i="34"/>
  <c r="H110" i="34"/>
  <c r="K109" i="34"/>
  <c r="I108" i="34"/>
  <c r="H108" i="34"/>
  <c r="I107" i="34"/>
  <c r="H107" i="34"/>
  <c r="I106" i="34"/>
  <c r="H105" i="34"/>
  <c r="H104" i="34"/>
  <c r="I103" i="34"/>
  <c r="H102" i="34"/>
  <c r="I101" i="34"/>
  <c r="H100" i="34"/>
  <c r="J100" i="34"/>
  <c r="K99" i="34"/>
  <c r="J99" i="34"/>
  <c r="I99" i="34"/>
  <c r="H99" i="34"/>
  <c r="K98" i="34"/>
  <c r="H98" i="34"/>
  <c r="I97" i="34"/>
  <c r="H97" i="34"/>
  <c r="K96" i="34"/>
  <c r="J95" i="34"/>
  <c r="H95" i="34"/>
  <c r="H94" i="34"/>
  <c r="H93" i="34"/>
  <c r="K93" i="34"/>
  <c r="I93" i="34"/>
  <c r="J93" i="34"/>
  <c r="I92" i="34"/>
  <c r="H92" i="34"/>
  <c r="H91" i="34"/>
  <c r="I90" i="34"/>
  <c r="H90" i="34"/>
  <c r="K89" i="34"/>
  <c r="K88" i="34"/>
  <c r="I88" i="34"/>
  <c r="I87" i="34"/>
  <c r="H87" i="34"/>
  <c r="K86" i="34"/>
  <c r="H85" i="34"/>
  <c r="K84" i="34"/>
  <c r="H84" i="34"/>
  <c r="I83" i="34"/>
  <c r="H83" i="34"/>
  <c r="K82" i="34"/>
  <c r="H82" i="34"/>
  <c r="H81" i="34"/>
  <c r="K81" i="34"/>
  <c r="H79" i="34"/>
  <c r="H78" i="34"/>
  <c r="H77" i="34"/>
  <c r="K76" i="34"/>
  <c r="J76" i="34"/>
  <c r="I75" i="34"/>
  <c r="H75" i="34"/>
  <c r="K74" i="34"/>
  <c r="I74" i="34"/>
  <c r="K73" i="34"/>
  <c r="H73" i="34"/>
  <c r="K72" i="34"/>
  <c r="J72" i="34"/>
  <c r="H71" i="34"/>
  <c r="J70" i="34"/>
  <c r="H70" i="34"/>
  <c r="I69" i="34"/>
  <c r="H69" i="34"/>
  <c r="I68" i="34"/>
  <c r="I67" i="34"/>
  <c r="H67" i="34"/>
  <c r="K66" i="34"/>
  <c r="K65" i="34"/>
  <c r="J65" i="34"/>
  <c r="H64" i="34"/>
  <c r="I63" i="34"/>
  <c r="J62" i="34"/>
  <c r="H61" i="34"/>
  <c r="H60" i="34"/>
  <c r="H59" i="34"/>
  <c r="K58" i="34"/>
  <c r="I58" i="34"/>
  <c r="H58" i="34"/>
  <c r="K57" i="34"/>
  <c r="I57" i="34"/>
  <c r="H57" i="34"/>
  <c r="J56" i="34"/>
  <c r="H56" i="34"/>
  <c r="H55" i="34"/>
  <c r="H54" i="34"/>
  <c r="I54" i="34"/>
  <c r="J54" i="34"/>
  <c r="I53" i="34"/>
  <c r="H53" i="34"/>
  <c r="I52" i="34"/>
  <c r="H52" i="34"/>
  <c r="I51" i="34"/>
  <c r="H51" i="34"/>
  <c r="J51" i="34"/>
  <c r="K50" i="34"/>
  <c r="H50" i="34"/>
  <c r="H49" i="34"/>
  <c r="I49" i="34"/>
  <c r="K48" i="34"/>
  <c r="H48" i="34"/>
  <c r="I47" i="34"/>
  <c r="J47" i="34"/>
  <c r="H47" i="34"/>
  <c r="H46" i="34"/>
  <c r="I46" i="34"/>
  <c r="H45" i="34"/>
  <c r="H42" i="34"/>
  <c r="K41" i="34"/>
  <c r="I41" i="34"/>
  <c r="H41" i="34"/>
  <c r="H40" i="34"/>
  <c r="I40" i="34"/>
  <c r="J39" i="34"/>
  <c r="H39" i="34"/>
  <c r="I39" i="34"/>
  <c r="H38" i="34"/>
  <c r="I38" i="34"/>
  <c r="J38" i="34"/>
  <c r="K37" i="34"/>
  <c r="H37" i="34"/>
  <c r="I36" i="34"/>
  <c r="H36" i="34"/>
  <c r="I35" i="34"/>
  <c r="H35" i="34"/>
  <c r="H34" i="34"/>
  <c r="H33" i="34"/>
  <c r="H31" i="34"/>
  <c r="H30" i="34"/>
  <c r="H29" i="34"/>
  <c r="J29" i="34"/>
  <c r="I29" i="34"/>
  <c r="K28" i="34"/>
  <c r="H27" i="34"/>
  <c r="H26" i="34"/>
  <c r="I26" i="34"/>
  <c r="K25" i="34"/>
  <c r="H25" i="34"/>
  <c r="J24" i="34"/>
  <c r="H24" i="34"/>
  <c r="I23" i="34"/>
  <c r="K22" i="34"/>
  <c r="H22" i="34"/>
  <c r="I20" i="34"/>
  <c r="H20" i="34"/>
  <c r="K19" i="34"/>
  <c r="H18" i="34"/>
  <c r="I17" i="34"/>
  <c r="H15" i="34"/>
  <c r="H14" i="34"/>
  <c r="H13" i="34"/>
  <c r="J13" i="34"/>
  <c r="I12" i="34"/>
  <c r="H11" i="34"/>
  <c r="H10" i="34"/>
  <c r="J9" i="34"/>
  <c r="H9" i="34"/>
  <c r="H8" i="34"/>
  <c r="I8" i="34"/>
  <c r="H6" i="34"/>
  <c r="U6" i="34"/>
  <c r="R6" i="34"/>
  <c r="S6" i="34" s="1" a="1"/>
  <c r="S6" i="34" s="1"/>
  <c r="J6" i="34"/>
  <c r="L491" i="34" l="1"/>
  <c r="M491" i="34" s="1" a="1"/>
  <c r="M491" i="34" s="1"/>
  <c r="L451" i="34"/>
  <c r="M451" i="34" s="1" a="1"/>
  <c r="M451" i="34" s="1"/>
  <c r="L471" i="34"/>
  <c r="M471" i="34" s="1" a="1"/>
  <c r="M471" i="34" s="1"/>
  <c r="L450" i="34"/>
  <c r="M450" i="34" s="1" a="1"/>
  <c r="M450" i="34" s="1"/>
  <c r="L460" i="34"/>
  <c r="M460" i="34" s="1" a="1"/>
  <c r="M460" i="34" s="1"/>
  <c r="L443" i="34"/>
  <c r="M443" i="34" s="1" a="1"/>
  <c r="M443" i="34" s="1"/>
  <c r="L453" i="34"/>
  <c r="M453" i="34" s="1" a="1"/>
  <c r="M453" i="34" s="1"/>
  <c r="L463" i="34"/>
  <c r="M463" i="34" s="1" a="1"/>
  <c r="M463" i="34" s="1"/>
  <c r="L564" i="34"/>
  <c r="M564" i="34" s="1" a="1"/>
  <c r="M564" i="34" s="1"/>
  <c r="L481" i="34"/>
  <c r="M481" i="34" s="1" a="1"/>
  <c r="M481" i="34" s="1"/>
  <c r="L526" i="34"/>
  <c r="M526" i="34" s="1" a="1"/>
  <c r="M526" i="34" s="1"/>
  <c r="L536" i="34"/>
  <c r="M536" i="34" s="1" a="1"/>
  <c r="M536" i="34" s="1"/>
  <c r="L482" i="34"/>
  <c r="M482" i="34" s="1" a="1"/>
  <c r="M482" i="34" s="1"/>
  <c r="L573" i="34"/>
  <c r="M573" i="34" s="1" a="1"/>
  <c r="M573" i="34" s="1"/>
  <c r="L579" i="34"/>
  <c r="M579" i="34" s="1" a="1"/>
  <c r="M579" i="34" s="1"/>
  <c r="L521" i="34"/>
  <c r="M521" i="34" s="1" a="1"/>
  <c r="M521" i="34" s="1"/>
  <c r="L541" i="34"/>
  <c r="M541" i="34" s="1" a="1"/>
  <c r="M541" i="34" s="1"/>
  <c r="L551" i="34"/>
  <c r="M551" i="34" s="1" a="1"/>
  <c r="M551" i="34" s="1"/>
  <c r="L517" i="34"/>
  <c r="M517" i="34" s="1" a="1"/>
  <c r="M517" i="34" s="1"/>
  <c r="L547" i="34"/>
  <c r="M547" i="34" s="1" a="1"/>
  <c r="M547" i="34" s="1"/>
  <c r="L442" i="34"/>
  <c r="M442" i="34" s="1" a="1"/>
  <c r="M442" i="34" s="1"/>
  <c r="L462" i="34"/>
  <c r="M462" i="34" s="1" a="1"/>
  <c r="M462" i="34" s="1"/>
  <c r="L467" i="34"/>
  <c r="M467" i="34" s="1" a="1"/>
  <c r="M467" i="34" s="1"/>
  <c r="L574" i="34"/>
  <c r="M574" i="34" s="1" a="1"/>
  <c r="M574" i="34" s="1"/>
  <c r="L479" i="34"/>
  <c r="M479" i="34" s="1" a="1"/>
  <c r="M479" i="34" s="1"/>
  <c r="L444" i="34"/>
  <c r="M444" i="34" s="1" a="1"/>
  <c r="M444" i="34" s="1"/>
  <c r="L464" i="34"/>
  <c r="M464" i="34" s="1" a="1"/>
  <c r="M464" i="34" s="1"/>
  <c r="L469" i="34"/>
  <c r="M469" i="34" s="1" a="1"/>
  <c r="M469" i="34" s="1"/>
  <c r="L474" i="34"/>
  <c r="M474" i="34" s="1" a="1"/>
  <c r="M474" i="34" s="1"/>
  <c r="L440" i="34"/>
  <c r="M440" i="34" s="1" a="1"/>
  <c r="M440" i="34" s="1"/>
  <c r="L484" i="34"/>
  <c r="M484" i="34" s="1" a="1"/>
  <c r="M484" i="34" s="1"/>
  <c r="L566" i="34"/>
  <c r="M566" i="34" s="1" a="1"/>
  <c r="M566" i="34" s="1"/>
  <c r="L571" i="34"/>
  <c r="M571" i="34" s="1" a="1"/>
  <c r="M571" i="34" s="1"/>
  <c r="L493" i="34"/>
  <c r="M493" i="34" s="1" a="1"/>
  <c r="M493" i="34" s="1"/>
  <c r="L513" i="34"/>
  <c r="M513" i="34" s="1" a="1"/>
  <c r="M513" i="34" s="1"/>
  <c r="L543" i="34"/>
  <c r="M543" i="34" s="1" a="1"/>
  <c r="M543" i="34" s="1"/>
  <c r="L569" i="34"/>
  <c r="M569" i="34" s="1" a="1"/>
  <c r="M569" i="34" s="1"/>
  <c r="L504" i="34"/>
  <c r="M504" i="34" s="1" a="1"/>
  <c r="M504" i="34" s="1"/>
  <c r="L524" i="34"/>
  <c r="M524" i="34" s="1" a="1"/>
  <c r="M524" i="34" s="1"/>
  <c r="L544" i="34"/>
  <c r="M544" i="34" s="1" a="1"/>
  <c r="M544" i="34" s="1"/>
  <c r="L554" i="34"/>
  <c r="M554" i="34" s="1" a="1"/>
  <c r="M554" i="34" s="1"/>
  <c r="L559" i="34"/>
  <c r="M559" i="34" s="1" a="1"/>
  <c r="M559" i="34" s="1"/>
  <c r="L525" i="34"/>
  <c r="M525" i="34" s="1" a="1"/>
  <c r="M525" i="34" s="1"/>
  <c r="L530" i="34"/>
  <c r="M530" i="34" s="1" a="1"/>
  <c r="M530" i="34" s="1"/>
  <c r="L511" i="34"/>
  <c r="M511" i="34" s="1" a="1"/>
  <c r="M511" i="34" s="1"/>
  <c r="L520" i="34"/>
  <c r="M520" i="34" s="1" a="1"/>
  <c r="M520" i="34" s="1"/>
  <c r="L436" i="34"/>
  <c r="M436" i="34" s="1" a="1"/>
  <c r="M436" i="34" s="1"/>
  <c r="L523" i="34"/>
  <c r="M523" i="34" s="1" a="1"/>
  <c r="M523" i="34" s="1"/>
  <c r="L538" i="34"/>
  <c r="M538" i="34" s="1" a="1"/>
  <c r="M538" i="34" s="1"/>
  <c r="L557" i="34"/>
  <c r="M557" i="34" s="1" a="1"/>
  <c r="M557" i="34" s="1"/>
  <c r="L576" i="34"/>
  <c r="M576" i="34" s="1" a="1"/>
  <c r="M576" i="34" s="1"/>
  <c r="L446" i="34"/>
  <c r="M446" i="34" s="1" a="1"/>
  <c r="M446" i="34" s="1"/>
  <c r="L494" i="34"/>
  <c r="M494" i="34" s="1" a="1"/>
  <c r="M494" i="34" s="1"/>
  <c r="L567" i="34"/>
  <c r="M567" i="34" s="1" a="1"/>
  <c r="M567" i="34" s="1"/>
  <c r="L456" i="34"/>
  <c r="M456" i="34" s="1" a="1"/>
  <c r="M456" i="34" s="1"/>
  <c r="L470" i="34"/>
  <c r="M470" i="34" s="1" a="1"/>
  <c r="M470" i="34" s="1"/>
  <c r="L509" i="34"/>
  <c r="M509" i="34" s="1" a="1"/>
  <c r="M509" i="34" s="1"/>
  <c r="L514" i="34"/>
  <c r="M514" i="34" s="1" a="1"/>
  <c r="M514" i="34" s="1"/>
  <c r="L548" i="34"/>
  <c r="M548" i="34" s="1" a="1"/>
  <c r="M548" i="34" s="1"/>
  <c r="L486" i="34"/>
  <c r="M486" i="34" s="1" a="1"/>
  <c r="M486" i="34" s="1"/>
  <c r="L501" i="34"/>
  <c r="M501" i="34" s="1" a="1"/>
  <c r="M501" i="34" s="1"/>
  <c r="L477" i="34"/>
  <c r="M477" i="34" s="1" a="1"/>
  <c r="M477" i="34" s="1"/>
  <c r="L506" i="34"/>
  <c r="M506" i="34" s="1" a="1"/>
  <c r="M506" i="34" s="1"/>
  <c r="L516" i="34"/>
  <c r="M516" i="34" s="1" a="1"/>
  <c r="M516" i="34" s="1"/>
  <c r="L531" i="34"/>
  <c r="M531" i="34" s="1" a="1"/>
  <c r="M531" i="34" s="1"/>
  <c r="L550" i="34"/>
  <c r="M550" i="34" s="1" a="1"/>
  <c r="M550" i="34" s="1"/>
  <c r="L533" i="34"/>
  <c r="M533" i="34" s="1" a="1"/>
  <c r="M533" i="34" s="1"/>
  <c r="L562" i="34"/>
  <c r="M562" i="34" s="1" a="1"/>
  <c r="M562" i="34" s="1"/>
  <c r="L581" i="34"/>
  <c r="M581" i="34" s="1" a="1"/>
  <c r="M581" i="34" s="1"/>
  <c r="L489" i="34"/>
  <c r="M489" i="34" s="1" a="1"/>
  <c r="M489" i="34" s="1"/>
  <c r="L499" i="34"/>
  <c r="M499" i="34" s="1" a="1"/>
  <c r="M499" i="34" s="1"/>
  <c r="L487" i="34"/>
  <c r="M487" i="34" s="1" a="1"/>
  <c r="M487" i="34" s="1"/>
  <c r="L492" i="34"/>
  <c r="M492" i="34" s="1" a="1"/>
  <c r="M492" i="34" s="1"/>
  <c r="L497" i="34"/>
  <c r="M497" i="34" s="1" a="1"/>
  <c r="M497" i="34" s="1"/>
  <c r="L502" i="34"/>
  <c r="M502" i="34" s="1" a="1"/>
  <c r="M502" i="34" s="1"/>
  <c r="L454" i="34"/>
  <c r="M454" i="34" s="1" a="1"/>
  <c r="M454" i="34" s="1"/>
  <c r="L459" i="34"/>
  <c r="M459" i="34" s="1" a="1"/>
  <c r="M459" i="34" s="1"/>
  <c r="L473" i="34"/>
  <c r="M473" i="34" s="1" a="1"/>
  <c r="M473" i="34" s="1"/>
  <c r="L507" i="34"/>
  <c r="M507" i="34" s="1" a="1"/>
  <c r="M507" i="34" s="1"/>
  <c r="L546" i="34"/>
  <c r="M546" i="34" s="1" a="1"/>
  <c r="M546" i="34" s="1"/>
  <c r="L570" i="34"/>
  <c r="M570" i="34" s="1" a="1"/>
  <c r="M570" i="34" s="1"/>
  <c r="L483" i="34"/>
  <c r="M483" i="34" s="1" a="1"/>
  <c r="M483" i="34" s="1"/>
  <c r="L522" i="34"/>
  <c r="M522" i="34" s="1" a="1"/>
  <c r="M522" i="34" s="1"/>
  <c r="L561" i="34"/>
  <c r="M561" i="34" s="1" a="1"/>
  <c r="M561" i="34" s="1"/>
  <c r="L387" i="34"/>
  <c r="M387" i="34" s="1" a="1"/>
  <c r="M387" i="34" s="1"/>
  <c r="L527" i="34"/>
  <c r="M527" i="34" s="1" a="1"/>
  <c r="M527" i="34" s="1"/>
  <c r="L537" i="34"/>
  <c r="M537" i="34" s="1" a="1"/>
  <c r="M537" i="34" s="1"/>
  <c r="L542" i="34"/>
  <c r="M542" i="34" s="1" a="1"/>
  <c r="M542" i="34" s="1"/>
  <c r="L556" i="34"/>
  <c r="M556" i="34" s="1" a="1"/>
  <c r="M556" i="34" s="1"/>
  <c r="L437" i="34"/>
  <c r="M437" i="34" s="1" a="1"/>
  <c r="M437" i="34" s="1"/>
  <c r="L480" i="34"/>
  <c r="M480" i="34" s="1" a="1"/>
  <c r="M480" i="34" s="1"/>
  <c r="L519" i="34"/>
  <c r="M519" i="34" s="1" a="1"/>
  <c r="M519" i="34" s="1"/>
  <c r="L553" i="34"/>
  <c r="M553" i="34" s="1" a="1"/>
  <c r="M553" i="34" s="1"/>
  <c r="L466" i="34"/>
  <c r="M466" i="34" s="1" a="1"/>
  <c r="M466" i="34" s="1"/>
  <c r="L529" i="34"/>
  <c r="M529" i="34" s="1" a="1"/>
  <c r="M529" i="34" s="1"/>
  <c r="L534" i="34"/>
  <c r="M534" i="34" s="1" a="1"/>
  <c r="M534" i="34" s="1"/>
  <c r="L539" i="34"/>
  <c r="M539" i="34" s="1" a="1"/>
  <c r="M539" i="34" s="1"/>
  <c r="L558" i="34"/>
  <c r="M558" i="34" s="1" a="1"/>
  <c r="M558" i="34" s="1"/>
  <c r="L563" i="34"/>
  <c r="M563" i="34" s="1" a="1"/>
  <c r="M563" i="34" s="1"/>
  <c r="L577" i="34"/>
  <c r="M577" i="34" s="1" a="1"/>
  <c r="M577" i="34" s="1"/>
  <c r="L582" i="34"/>
  <c r="M582" i="34" s="1" a="1"/>
  <c r="M582" i="34" s="1"/>
  <c r="L447" i="34"/>
  <c r="M447" i="34" s="1" a="1"/>
  <c r="M447" i="34" s="1"/>
  <c r="L490" i="34"/>
  <c r="M490" i="34" s="1" a="1"/>
  <c r="M490" i="34" s="1"/>
  <c r="L500" i="34"/>
  <c r="M500" i="34" s="1" a="1"/>
  <c r="M500" i="34" s="1"/>
  <c r="L457" i="34"/>
  <c r="M457" i="34" s="1" a="1"/>
  <c r="M457" i="34" s="1"/>
  <c r="L476" i="34"/>
  <c r="M476" i="34" s="1" a="1"/>
  <c r="M476" i="34" s="1"/>
  <c r="L510" i="34"/>
  <c r="M510" i="34" s="1" a="1"/>
  <c r="M510" i="34" s="1"/>
  <c r="L515" i="34"/>
  <c r="M515" i="34" s="1" a="1"/>
  <c r="M515" i="34" s="1"/>
  <c r="L549" i="34"/>
  <c r="M549" i="34" s="1" a="1"/>
  <c r="M549" i="34" s="1"/>
  <c r="L503" i="34"/>
  <c r="M503" i="34" s="1" a="1"/>
  <c r="M503" i="34" s="1"/>
  <c r="L439" i="34"/>
  <c r="M439" i="34" s="1" a="1"/>
  <c r="M439" i="34" s="1"/>
  <c r="L496" i="34"/>
  <c r="M496" i="34" s="1" a="1"/>
  <c r="M496" i="34" s="1"/>
  <c r="L540" i="34"/>
  <c r="M540" i="34" s="1" a="1"/>
  <c r="M540" i="34" s="1"/>
  <c r="L461" i="34"/>
  <c r="M461" i="34" s="1" a="1"/>
  <c r="M461" i="34" s="1"/>
  <c r="L578" i="34"/>
  <c r="M578" i="34" s="1" a="1"/>
  <c r="M578" i="34" s="1"/>
  <c r="L575" i="34"/>
  <c r="M575" i="34" s="1" a="1"/>
  <c r="M575" i="34" s="1"/>
  <c r="L438" i="34"/>
  <c r="M438" i="34" s="1" a="1"/>
  <c r="M438" i="34" s="1"/>
  <c r="L565" i="34"/>
  <c r="M565" i="34" s="1" a="1"/>
  <c r="M565" i="34" s="1"/>
  <c r="L532" i="34"/>
  <c r="M532" i="34" s="1" a="1"/>
  <c r="M532" i="34" s="1"/>
  <c r="L555" i="34"/>
  <c r="M555" i="34" s="1" a="1"/>
  <c r="M555" i="34" s="1"/>
  <c r="L468" i="34"/>
  <c r="M468" i="34" s="1" a="1"/>
  <c r="M468" i="34" s="1"/>
  <c r="L552" i="34"/>
  <c r="M552" i="34" s="1" a="1"/>
  <c r="M552" i="34" s="1"/>
  <c r="L458" i="34"/>
  <c r="M458" i="34" s="1" a="1"/>
  <c r="M458" i="34" s="1"/>
  <c r="L448" i="34"/>
  <c r="M448" i="34" s="1" a="1"/>
  <c r="M448" i="34" s="1"/>
  <c r="L545" i="34"/>
  <c r="M545" i="34" s="1" a="1"/>
  <c r="M545" i="34" s="1"/>
  <c r="L560" i="34"/>
  <c r="M560" i="34" s="1" a="1"/>
  <c r="M560" i="34" s="1"/>
  <c r="L441" i="34"/>
  <c r="M441" i="34" s="1" a="1"/>
  <c r="M441" i="34" s="1"/>
  <c r="L512" i="34"/>
  <c r="M512" i="34" s="1" a="1"/>
  <c r="M512" i="34" s="1"/>
  <c r="L568" i="34"/>
  <c r="M568" i="34" s="1" a="1"/>
  <c r="M568" i="34" s="1"/>
  <c r="L445" i="34"/>
  <c r="M445" i="34" s="1" a="1"/>
  <c r="M445" i="34" s="1"/>
  <c r="L452" i="34"/>
  <c r="M452" i="34" s="1" a="1"/>
  <c r="M452" i="34" s="1"/>
  <c r="L572" i="34"/>
  <c r="M572" i="34" s="1" a="1"/>
  <c r="M572" i="34" s="1"/>
  <c r="L449" i="34"/>
  <c r="M449" i="34" s="1" a="1"/>
  <c r="M449" i="34" s="1"/>
  <c r="L535" i="34"/>
  <c r="M535" i="34" s="1" a="1"/>
  <c r="M535" i="34" s="1"/>
  <c r="L580" i="34"/>
  <c r="M580" i="34" s="1" a="1"/>
  <c r="M580" i="34" s="1"/>
  <c r="L478" i="34"/>
  <c r="M478" i="34" s="1" a="1"/>
  <c r="M478" i="34" s="1"/>
  <c r="L465" i="34"/>
  <c r="M465" i="34" s="1" a="1"/>
  <c r="M465" i="34" s="1"/>
  <c r="L488" i="34"/>
  <c r="M488" i="34" s="1" a="1"/>
  <c r="M488" i="34" s="1"/>
  <c r="L475" i="34"/>
  <c r="M475" i="34" s="1" a="1"/>
  <c r="M475" i="34" s="1"/>
  <c r="L498" i="34"/>
  <c r="M498" i="34" s="1" a="1"/>
  <c r="M498" i="34" s="1"/>
  <c r="L485" i="34"/>
  <c r="M485" i="34" s="1" a="1"/>
  <c r="M485" i="34" s="1"/>
  <c r="L508" i="34"/>
  <c r="M508" i="34" s="1" a="1"/>
  <c r="M508" i="34" s="1"/>
  <c r="L472" i="34"/>
  <c r="M472" i="34" s="1" a="1"/>
  <c r="M472" i="34" s="1"/>
  <c r="L495" i="34"/>
  <c r="M495" i="34" s="1" a="1"/>
  <c r="M495" i="34" s="1"/>
  <c r="L518" i="34"/>
  <c r="M518" i="34" s="1" a="1"/>
  <c r="M518" i="34" s="1"/>
  <c r="L455" i="34"/>
  <c r="M455" i="34" s="1" a="1"/>
  <c r="M455" i="34" s="1"/>
  <c r="L505" i="34"/>
  <c r="M505" i="34" s="1" a="1"/>
  <c r="M505" i="34" s="1"/>
  <c r="L528" i="34"/>
  <c r="M528" i="34" s="1" a="1"/>
  <c r="M528" i="34" s="1"/>
  <c r="L400" i="34"/>
  <c r="M400" i="34" s="1" a="1"/>
  <c r="M400" i="34" s="1"/>
  <c r="L401" i="34"/>
  <c r="M401" i="34" s="1" a="1"/>
  <c r="M401" i="34" s="1"/>
  <c r="L275" i="34"/>
  <c r="M275" i="34" s="1" a="1"/>
  <c r="M275" i="34" s="1"/>
  <c r="L366" i="34"/>
  <c r="M366" i="34" s="1" a="1"/>
  <c r="M366" i="34" s="1"/>
  <c r="L197" i="34"/>
  <c r="M197" i="34" s="1" a="1"/>
  <c r="M197" i="34" s="1"/>
  <c r="L175" i="34"/>
  <c r="M175" i="34" s="1" a="1"/>
  <c r="M175" i="34" s="1"/>
  <c r="L93" i="34"/>
  <c r="M93" i="34" s="1" a="1"/>
  <c r="M93" i="34" s="1"/>
  <c r="L99" i="34"/>
  <c r="M99" i="34" s="1" a="1"/>
  <c r="M99" i="34" s="1"/>
  <c r="L219" i="34"/>
  <c r="M219" i="34" s="1" a="1"/>
  <c r="M219" i="34" s="1"/>
  <c r="K144" i="34"/>
  <c r="K134" i="34"/>
  <c r="K193" i="34"/>
  <c r="K40" i="34"/>
  <c r="L40" i="34" s="1"/>
  <c r="M40" i="34" s="1" a="1"/>
  <c r="M40" i="34" s="1"/>
  <c r="K265" i="34"/>
  <c r="J308" i="34"/>
  <c r="I308" i="34"/>
  <c r="H268" i="34"/>
  <c r="Y380" i="34"/>
  <c r="Z380" i="34" s="1" a="1"/>
  <c r="Z380" i="34" s="1"/>
  <c r="K46" i="34"/>
  <c r="L46" i="34" s="1"/>
  <c r="M46" i="34" s="1" a="1"/>
  <c r="M46" i="34" s="1"/>
  <c r="I120" i="34"/>
  <c r="J120" i="34"/>
  <c r="K411" i="34"/>
  <c r="L411" i="34" s="1"/>
  <c r="M411" i="34" s="1" a="1"/>
  <c r="M411" i="34" s="1"/>
  <c r="K33" i="34"/>
  <c r="K325" i="34"/>
  <c r="Y399" i="34"/>
  <c r="Z399" i="34" s="1" a="1"/>
  <c r="Z399" i="34" s="1"/>
  <c r="J12" i="34"/>
  <c r="I24" i="34"/>
  <c r="H89" i="34"/>
  <c r="J174" i="34"/>
  <c r="I174" i="34"/>
  <c r="L174" i="34" s="1"/>
  <c r="M174" i="34" s="1" a="1"/>
  <c r="M174" i="34" s="1"/>
  <c r="K217" i="34"/>
  <c r="L217" i="34" s="1"/>
  <c r="M217" i="34" s="1" a="1"/>
  <c r="M217" i="34" s="1"/>
  <c r="Z308" i="34" a="1"/>
  <c r="Z308" i="34" s="1"/>
  <c r="Y317" i="34"/>
  <c r="Z317" i="34" s="1" a="1"/>
  <c r="Z317" i="34" s="1"/>
  <c r="K419" i="34"/>
  <c r="L419" i="34" s="1"/>
  <c r="M419" i="34" s="1" a="1"/>
  <c r="M419" i="34" s="1"/>
  <c r="J60" i="34"/>
  <c r="I60" i="34"/>
  <c r="I203" i="34"/>
  <c r="L203" i="34" s="1"/>
  <c r="M203" i="34" s="1" a="1"/>
  <c r="M203" i="34" s="1"/>
  <c r="H180" i="34"/>
  <c r="I84" i="34"/>
  <c r="L84" i="34" s="1"/>
  <c r="M84" i="34" s="1" a="1"/>
  <c r="M84" i="34" s="1"/>
  <c r="L156" i="34"/>
  <c r="M156" i="34" s="1" a="1"/>
  <c r="M156" i="34" s="1"/>
  <c r="J323" i="34"/>
  <c r="I323" i="34"/>
  <c r="K375" i="34"/>
  <c r="Y375" i="34"/>
  <c r="Z375" i="34" s="1" a="1"/>
  <c r="Z375" i="34" s="1"/>
  <c r="I105" i="34"/>
  <c r="J105" i="34"/>
  <c r="K233" i="34"/>
  <c r="L233" i="34" s="1"/>
  <c r="M233" i="34" s="1" a="1"/>
  <c r="M233" i="34" s="1"/>
  <c r="I134" i="34"/>
  <c r="J165" i="34"/>
  <c r="K391" i="34"/>
  <c r="K403" i="34"/>
  <c r="L403" i="34" s="1"/>
  <c r="M403" i="34" s="1" a="1"/>
  <c r="M403" i="34" s="1"/>
  <c r="K376" i="34"/>
  <c r="J354" i="34"/>
  <c r="J329" i="34"/>
  <c r="H23" i="34"/>
  <c r="K116" i="34"/>
  <c r="L116" i="34" s="1"/>
  <c r="M116" i="34" s="1" a="1"/>
  <c r="M116" i="34" s="1"/>
  <c r="I183" i="34"/>
  <c r="K390" i="34"/>
  <c r="L390" i="34" s="1"/>
  <c r="M390" i="34" s="1" a="1"/>
  <c r="M390" i="34" s="1"/>
  <c r="L111" i="34"/>
  <c r="M111" i="34" s="1" a="1"/>
  <c r="M111" i="34" s="1"/>
  <c r="Y347" i="34"/>
  <c r="Z347" i="34" s="1" a="1"/>
  <c r="Z347" i="34" s="1"/>
  <c r="K402" i="34"/>
  <c r="L402" i="34" s="1"/>
  <c r="M402" i="34" s="1" a="1"/>
  <c r="M402" i="34" s="1"/>
  <c r="K36" i="34"/>
  <c r="L36" i="34" s="1"/>
  <c r="M36" i="34" s="1" a="1"/>
  <c r="M36" i="34" s="1"/>
  <c r="I239" i="34"/>
  <c r="L239" i="34" s="1"/>
  <c r="M239" i="34" s="1" a="1"/>
  <c r="M239" i="34" s="1"/>
  <c r="K343" i="34"/>
  <c r="K272" i="34"/>
  <c r="J148" i="34"/>
  <c r="J415" i="34"/>
  <c r="J378" i="34"/>
  <c r="I378" i="34"/>
  <c r="K26" i="34"/>
  <c r="L26" i="34" s="1"/>
  <c r="M26" i="34" s="1" a="1"/>
  <c r="M26" i="34" s="1"/>
  <c r="J32" i="34"/>
  <c r="J152" i="34"/>
  <c r="J397" i="34"/>
  <c r="I397" i="34"/>
  <c r="J44" i="34"/>
  <c r="K62" i="34"/>
  <c r="K103" i="34"/>
  <c r="L103" i="34" s="1"/>
  <c r="M103" i="34" s="1" a="1"/>
  <c r="M103" i="34" s="1"/>
  <c r="J429" i="34"/>
  <c r="AB6" i="34"/>
  <c r="I62" i="34"/>
  <c r="Y348" i="34"/>
  <c r="Z348" i="34" s="1" a="1"/>
  <c r="Z348" i="34" s="1"/>
  <c r="Y427" i="34"/>
  <c r="Z427" i="34" s="1" a="1"/>
  <c r="Z427" i="34" s="1"/>
  <c r="L74" i="34"/>
  <c r="M74" i="34" s="1" a="1"/>
  <c r="M74" i="34" s="1"/>
  <c r="H172" i="34"/>
  <c r="L214" i="34"/>
  <c r="M214" i="34" s="1" a="1"/>
  <c r="M214" i="34" s="1"/>
  <c r="Y377" i="34"/>
  <c r="Z377" i="34" s="1" a="1"/>
  <c r="Z377" i="34" s="1"/>
  <c r="I15" i="34"/>
  <c r="H43" i="34"/>
  <c r="J277" i="34"/>
  <c r="I277" i="34"/>
  <c r="H254" i="34"/>
  <c r="J291" i="34"/>
  <c r="Y312" i="34"/>
  <c r="Z312" i="34" s="1" a="1"/>
  <c r="Z312" i="34" s="1"/>
  <c r="H96" i="34"/>
  <c r="K107" i="34"/>
  <c r="L107" i="34" s="1"/>
  <c r="M107" i="34" s="1" a="1"/>
  <c r="M107" i="34" s="1"/>
  <c r="H136" i="34"/>
  <c r="J199" i="34"/>
  <c r="I360" i="34"/>
  <c r="J360" i="34"/>
  <c r="Y366" i="34"/>
  <c r="Z366" i="34" s="1" a="1"/>
  <c r="Z366" i="34" s="1"/>
  <c r="H384" i="34"/>
  <c r="K297" i="34"/>
  <c r="L297" i="34" s="1"/>
  <c r="M297" i="34" s="1" a="1"/>
  <c r="M297" i="34" s="1"/>
  <c r="Y393" i="34"/>
  <c r="Z393" i="34" s="1" a="1"/>
  <c r="Z393" i="34" s="1"/>
  <c r="I31" i="34"/>
  <c r="I72" i="34"/>
  <c r="L72" i="34" s="1"/>
  <c r="M72" i="34" s="1" a="1"/>
  <c r="M72" i="34" s="1"/>
  <c r="K35" i="34"/>
  <c r="L35" i="34" s="1"/>
  <c r="M35" i="34" s="1" a="1"/>
  <c r="M35" i="34" s="1"/>
  <c r="J40" i="34"/>
  <c r="J141" i="34"/>
  <c r="I141" i="34"/>
  <c r="L141" i="34" s="1"/>
  <c r="M141" i="34" s="1" a="1"/>
  <c r="M141" i="34" s="1"/>
  <c r="J169" i="34"/>
  <c r="K202" i="34"/>
  <c r="J236" i="34"/>
  <c r="H251" i="34"/>
  <c r="J288" i="34"/>
  <c r="Y328" i="34"/>
  <c r="Z328" i="34" s="1" a="1"/>
  <c r="Z328" i="34" s="1"/>
  <c r="Y355" i="34"/>
  <c r="Z355" i="34" s="1" a="1"/>
  <c r="Z355" i="34" s="1"/>
  <c r="Y397" i="34"/>
  <c r="Z397" i="34" s="1" a="1"/>
  <c r="Z397" i="34" s="1"/>
  <c r="J240" i="34"/>
  <c r="J203" i="34"/>
  <c r="J215" i="34"/>
  <c r="J326" i="34"/>
  <c r="L57" i="34"/>
  <c r="M57" i="34" s="1" a="1"/>
  <c r="M57" i="34" s="1"/>
  <c r="J78" i="34"/>
  <c r="K378" i="34"/>
  <c r="Y378" i="34"/>
  <c r="Z378" i="34" s="1" a="1"/>
  <c r="Z378" i="34" s="1"/>
  <c r="J419" i="34"/>
  <c r="J86" i="34"/>
  <c r="I86" i="34"/>
  <c r="L86" i="34" s="1"/>
  <c r="M86" i="34" s="1" a="1"/>
  <c r="M86" i="34" s="1"/>
  <c r="J41" i="34"/>
  <c r="I112" i="34"/>
  <c r="L112" i="34" s="1"/>
  <c r="M112" i="34" s="1" a="1"/>
  <c r="M112" i="34" s="1"/>
  <c r="J131" i="34"/>
  <c r="H265" i="34"/>
  <c r="Y352" i="34"/>
  <c r="Z352" i="34" s="1" a="1"/>
  <c r="Z352" i="34" s="1"/>
  <c r="I191" i="34"/>
  <c r="K54" i="34"/>
  <c r="L54" i="34" s="1"/>
  <c r="M54" i="34" s="1" a="1"/>
  <c r="M54" i="34" s="1"/>
  <c r="H109" i="34"/>
  <c r="I163" i="34"/>
  <c r="K215" i="34"/>
  <c r="L215" i="34" s="1"/>
  <c r="M215" i="34" s="1" a="1"/>
  <c r="M215" i="34" s="1"/>
  <c r="Y339" i="34"/>
  <c r="Z339" i="34" s="1" a="1"/>
  <c r="Z339" i="34" s="1"/>
  <c r="I81" i="34"/>
  <c r="L81" i="34" s="1"/>
  <c r="M81" i="34" s="1" a="1"/>
  <c r="M81" i="34" s="1"/>
  <c r="I100" i="34"/>
  <c r="H303" i="34"/>
  <c r="K427" i="34"/>
  <c r="L427" i="34" s="1"/>
  <c r="M427" i="34" s="1" a="1"/>
  <c r="M427" i="34" s="1"/>
  <c r="Y385" i="34"/>
  <c r="Z385" i="34" s="1" a="1"/>
  <c r="Z385" i="34" s="1"/>
  <c r="Y421" i="34"/>
  <c r="Z421" i="34" s="1" a="1"/>
  <c r="Z421" i="34" s="1"/>
  <c r="J431" i="34"/>
  <c r="J49" i="34"/>
  <c r="J74" i="34"/>
  <c r="J92" i="34"/>
  <c r="H125" i="34"/>
  <c r="K332" i="34"/>
  <c r="Y373" i="34"/>
  <c r="Z373" i="34" s="1" a="1"/>
  <c r="Z373" i="34" s="1"/>
  <c r="H198" i="34"/>
  <c r="Y346" i="34"/>
  <c r="Z346" i="34" s="1" a="1"/>
  <c r="Z346" i="34" s="1"/>
  <c r="I102" i="34"/>
  <c r="H115" i="34"/>
  <c r="L125" i="34"/>
  <c r="M125" i="34" s="1" a="1"/>
  <c r="M125" i="34" s="1"/>
  <c r="H134" i="34"/>
  <c r="J136" i="34"/>
  <c r="Y322" i="34"/>
  <c r="Z322" i="34" s="1" a="1"/>
  <c r="Z322" i="34" s="1"/>
  <c r="I359" i="34"/>
  <c r="L359" i="34" s="1"/>
  <c r="M359" i="34" s="1" a="1"/>
  <c r="M359" i="34" s="1"/>
  <c r="Z359" i="34" a="1"/>
  <c r="Z359" i="34" s="1"/>
  <c r="J403" i="34"/>
  <c r="Z404" i="34" a="1"/>
  <c r="Z404" i="34" s="1"/>
  <c r="J422" i="34"/>
  <c r="I44" i="34"/>
  <c r="J132" i="34"/>
  <c r="J157" i="34"/>
  <c r="I232" i="34"/>
  <c r="J247" i="34"/>
  <c r="Y327" i="34"/>
  <c r="Z327" i="34" s="1" a="1"/>
  <c r="Z327" i="34" s="1"/>
  <c r="Y330" i="34"/>
  <c r="Z330" i="34" s="1" a="1"/>
  <c r="Z330" i="34" s="1"/>
  <c r="J435" i="34"/>
  <c r="J135" i="34"/>
  <c r="J156" i="34"/>
  <c r="H169" i="34"/>
  <c r="J195" i="34"/>
  <c r="J292" i="34"/>
  <c r="J385" i="34"/>
  <c r="Y392" i="34"/>
  <c r="Z392" i="34" s="1" a="1"/>
  <c r="Z392" i="34" s="1"/>
  <c r="I65" i="34"/>
  <c r="L65" i="34" s="1"/>
  <c r="M65" i="34" s="1" a="1"/>
  <c r="M65" i="34" s="1"/>
  <c r="H86" i="34"/>
  <c r="J88" i="34"/>
  <c r="J89" i="34"/>
  <c r="J176" i="34"/>
  <c r="K290" i="34"/>
  <c r="L290" i="34" s="1"/>
  <c r="M290" i="34" s="1" a="1"/>
  <c r="M290" i="34" s="1"/>
  <c r="Y388" i="34"/>
  <c r="Z388" i="34" s="1" a="1"/>
  <c r="Z388" i="34" s="1"/>
  <c r="J69" i="34"/>
  <c r="J160" i="34"/>
  <c r="I180" i="34"/>
  <c r="H191" i="34"/>
  <c r="Z313" i="34" a="1"/>
  <c r="Z313" i="34" s="1"/>
  <c r="Y324" i="34"/>
  <c r="Z324" i="34" s="1" a="1"/>
  <c r="Z324" i="34" s="1"/>
  <c r="Y403" i="34"/>
  <c r="Z403" i="34" s="1" a="1"/>
  <c r="Z403" i="34" s="1"/>
  <c r="J221" i="34"/>
  <c r="I221" i="34"/>
  <c r="Y304" i="34"/>
  <c r="Z304" i="34" s="1" a="1"/>
  <c r="Z304" i="34" s="1"/>
  <c r="Y416" i="34"/>
  <c r="Z416" i="34" s="1" a="1"/>
  <c r="Z416" i="34" s="1"/>
  <c r="J418" i="34"/>
  <c r="I425" i="34"/>
  <c r="I187" i="34"/>
  <c r="J191" i="34"/>
  <c r="J302" i="34"/>
  <c r="H427" i="34"/>
  <c r="J432" i="34"/>
  <c r="H17" i="34"/>
  <c r="J87" i="34"/>
  <c r="I200" i="34"/>
  <c r="I231" i="34"/>
  <c r="I265" i="34"/>
  <c r="Y306" i="34"/>
  <c r="Z306" i="34" s="1" a="1"/>
  <c r="Z306" i="34" s="1"/>
  <c r="I431" i="34"/>
  <c r="J178" i="34"/>
  <c r="J187" i="34"/>
  <c r="J197" i="34"/>
  <c r="I208" i="34"/>
  <c r="J220" i="34"/>
  <c r="I220" i="34"/>
  <c r="L220" i="34" s="1"/>
  <c r="M220" i="34" s="1" a="1"/>
  <c r="M220" i="34" s="1"/>
  <c r="K248" i="34"/>
  <c r="Y357" i="34"/>
  <c r="Z357" i="34" s="1" a="1"/>
  <c r="Z357" i="34" s="1"/>
  <c r="I381" i="34"/>
  <c r="J164" i="34"/>
  <c r="K192" i="34"/>
  <c r="K237" i="34"/>
  <c r="L237" i="34" s="1"/>
  <c r="M237" i="34" s="1" a="1"/>
  <c r="M237" i="34" s="1"/>
  <c r="H310" i="34"/>
  <c r="Y338" i="34"/>
  <c r="Z338" i="34" s="1" a="1"/>
  <c r="Z338" i="34" s="1"/>
  <c r="Y344" i="34"/>
  <c r="Z344" i="34" s="1" a="1"/>
  <c r="Z344" i="34" s="1"/>
  <c r="Y369" i="34"/>
  <c r="Z369" i="34" s="1" a="1"/>
  <c r="Z369" i="34" s="1"/>
  <c r="J379" i="34"/>
  <c r="Y382" i="34"/>
  <c r="Z382" i="34" s="1" a="1"/>
  <c r="Z382" i="34" s="1"/>
  <c r="Y402" i="34"/>
  <c r="Z402" i="34" s="1" a="1"/>
  <c r="Z402" i="34" s="1"/>
  <c r="J393" i="34"/>
  <c r="Y360" i="34"/>
  <c r="Z360" i="34" s="1" a="1"/>
  <c r="Z360" i="34" s="1"/>
  <c r="J401" i="34"/>
  <c r="K434" i="34"/>
  <c r="I281" i="34"/>
  <c r="J351" i="34"/>
  <c r="K281" i="34"/>
  <c r="J391" i="34"/>
  <c r="J356" i="34"/>
  <c r="J374" i="34"/>
  <c r="J380" i="34"/>
  <c r="Y398" i="34"/>
  <c r="Z398" i="34" s="1" a="1"/>
  <c r="Z398" i="34" s="1"/>
  <c r="J426" i="34"/>
  <c r="Z428" i="34" a="1"/>
  <c r="Z428" i="34" s="1"/>
  <c r="K11" i="34"/>
  <c r="J22" i="34"/>
  <c r="I22" i="34"/>
  <c r="L22" i="34" s="1"/>
  <c r="M22" i="34" s="1" a="1"/>
  <c r="M22" i="34" s="1"/>
  <c r="I110" i="34"/>
  <c r="J110" i="34"/>
  <c r="K118" i="34"/>
  <c r="L118" i="34" s="1"/>
  <c r="M118" i="34" s="1" a="1"/>
  <c r="M118" i="34" s="1"/>
  <c r="J145" i="34"/>
  <c r="I145" i="34"/>
  <c r="I37" i="34"/>
  <c r="L37" i="34" s="1"/>
  <c r="M37" i="34" s="1" a="1"/>
  <c r="M37" i="34" s="1"/>
  <c r="J37" i="34"/>
  <c r="K44" i="34"/>
  <c r="K47" i="34"/>
  <c r="L47" i="34" s="1"/>
  <c r="M47" i="34" s="1" a="1"/>
  <c r="M47" i="34" s="1"/>
  <c r="K299" i="34"/>
  <c r="K315" i="34"/>
  <c r="I7" i="34"/>
  <c r="J7" i="34"/>
  <c r="K13" i="34"/>
  <c r="K251" i="34"/>
  <c r="K53" i="34"/>
  <c r="L53" i="34" s="1"/>
  <c r="M53" i="34" s="1" a="1"/>
  <c r="M53" i="34" s="1"/>
  <c r="I79" i="34"/>
  <c r="J79" i="34"/>
  <c r="I117" i="34"/>
  <c r="J117" i="34"/>
  <c r="K341" i="34"/>
  <c r="K43" i="34"/>
  <c r="K158" i="34"/>
  <c r="K10" i="34"/>
  <c r="K30" i="34"/>
  <c r="K49" i="34"/>
  <c r="L49" i="34" s="1"/>
  <c r="M49" i="34" s="1" a="1"/>
  <c r="M49" i="34" s="1"/>
  <c r="I136" i="34"/>
  <c r="K176" i="34"/>
  <c r="K9" i="34"/>
  <c r="K12" i="34"/>
  <c r="L12" i="34" s="1"/>
  <c r="M12" i="34" s="1" a="1"/>
  <c r="M12" i="34" s="1"/>
  <c r="K60" i="34"/>
  <c r="K147" i="34"/>
  <c r="L147" i="34" s="1"/>
  <c r="M147" i="34" s="1" a="1"/>
  <c r="M147" i="34" s="1"/>
  <c r="K191" i="34"/>
  <c r="K253" i="34"/>
  <c r="I224" i="34"/>
  <c r="L224" i="34" s="1"/>
  <c r="M224" i="34" s="1" a="1"/>
  <c r="M224" i="34" s="1"/>
  <c r="J224" i="34"/>
  <c r="I73" i="34"/>
  <c r="L73" i="34" s="1"/>
  <c r="M73" i="34" s="1" a="1"/>
  <c r="M73" i="34" s="1"/>
  <c r="J73" i="34"/>
  <c r="J10" i="34"/>
  <c r="I10" i="34"/>
  <c r="K207" i="34"/>
  <c r="L207" i="34" s="1"/>
  <c r="M207" i="34" s="1" a="1"/>
  <c r="M207" i="34" s="1"/>
  <c r="H161" i="34"/>
  <c r="K31" i="34"/>
  <c r="I284" i="34"/>
  <c r="J284" i="34"/>
  <c r="K348" i="34"/>
  <c r="K15" i="34"/>
  <c r="K206" i="34"/>
  <c r="K181" i="34"/>
  <c r="K75" i="34"/>
  <c r="L75" i="34" s="1"/>
  <c r="M75" i="34" s="1" a="1"/>
  <c r="M75" i="34" s="1"/>
  <c r="K78" i="34"/>
  <c r="K20" i="34"/>
  <c r="L20" i="34" s="1"/>
  <c r="M20" i="34" s="1" a="1"/>
  <c r="M20" i="34" s="1"/>
  <c r="I98" i="34"/>
  <c r="L98" i="34" s="1"/>
  <c r="M98" i="34" s="1" a="1"/>
  <c r="M98" i="34" s="1"/>
  <c r="J98" i="34"/>
  <c r="K170" i="34"/>
  <c r="I45" i="34"/>
  <c r="J45" i="34"/>
  <c r="I11" i="34"/>
  <c r="J11" i="34"/>
  <c r="I55" i="34"/>
  <c r="J55" i="34"/>
  <c r="K100" i="34"/>
  <c r="I14" i="34"/>
  <c r="I16" i="34"/>
  <c r="J16" i="34"/>
  <c r="K130" i="34"/>
  <c r="K232" i="34"/>
  <c r="I190" i="34"/>
  <c r="J190" i="34"/>
  <c r="K39" i="34"/>
  <c r="L39" i="34" s="1"/>
  <c r="M39" i="34" s="1" a="1"/>
  <c r="M39" i="34" s="1"/>
  <c r="K124" i="34"/>
  <c r="L124" i="34" s="1"/>
  <c r="M124" i="34" s="1" a="1"/>
  <c r="M124" i="34" s="1"/>
  <c r="I91" i="34"/>
  <c r="J91" i="34"/>
  <c r="K154" i="34"/>
  <c r="K23" i="34"/>
  <c r="L23" i="34" s="1"/>
  <c r="M23" i="34" s="1" a="1"/>
  <c r="M23" i="34" s="1"/>
  <c r="K166" i="34"/>
  <c r="L166" i="34" s="1"/>
  <c r="M166" i="34" s="1" a="1"/>
  <c r="M166" i="34" s="1"/>
  <c r="J80" i="34"/>
  <c r="K282" i="34"/>
  <c r="L282" i="34" s="1"/>
  <c r="M282" i="34" s="1" a="1"/>
  <c r="M282" i="34" s="1"/>
  <c r="J328" i="34"/>
  <c r="I328" i="34"/>
  <c r="K8" i="34"/>
  <c r="L8" i="34" s="1"/>
  <c r="M8" i="34" s="1" a="1"/>
  <c r="M8" i="34" s="1"/>
  <c r="J59" i="34"/>
  <c r="J204" i="34"/>
  <c r="K213" i="34"/>
  <c r="L213" i="34" s="1"/>
  <c r="M213" i="34" s="1" a="1"/>
  <c r="M213" i="34" s="1"/>
  <c r="J97" i="34"/>
  <c r="J108" i="34"/>
  <c r="L204" i="34"/>
  <c r="M204" i="34" s="1" a="1"/>
  <c r="M204" i="34" s="1"/>
  <c r="I211" i="34"/>
  <c r="J211" i="34"/>
  <c r="K51" i="34"/>
  <c r="L51" i="34" s="1"/>
  <c r="M51" i="34" s="1" a="1"/>
  <c r="M51" i="34" s="1"/>
  <c r="I71" i="34"/>
  <c r="J71" i="34"/>
  <c r="K108" i="34"/>
  <c r="L108" i="34" s="1"/>
  <c r="M108" i="34" s="1" a="1"/>
  <c r="M108" i="34" s="1"/>
  <c r="I223" i="34"/>
  <c r="L223" i="34" s="1"/>
  <c r="M223" i="34" s="1" a="1"/>
  <c r="M223" i="34" s="1"/>
  <c r="J223" i="34"/>
  <c r="K38" i="34"/>
  <c r="L38" i="34" s="1"/>
  <c r="M38" i="34" s="1" a="1"/>
  <c r="M38" i="34" s="1"/>
  <c r="Y6" i="34"/>
  <c r="Z6" i="34" s="1" a="1"/>
  <c r="Z6" i="34" s="1"/>
  <c r="K6" i="34"/>
  <c r="I13" i="34"/>
  <c r="K71" i="34"/>
  <c r="J85" i="34"/>
  <c r="I85" i="34"/>
  <c r="K91" i="34"/>
  <c r="K120" i="34"/>
  <c r="J130" i="34"/>
  <c r="I130" i="34"/>
  <c r="K200" i="34"/>
  <c r="K211" i="34"/>
  <c r="J255" i="34"/>
  <c r="I255" i="34"/>
  <c r="I305" i="34"/>
  <c r="L305" i="34" s="1"/>
  <c r="M305" i="34" s="1" a="1"/>
  <c r="M305" i="34" s="1"/>
  <c r="J305" i="34"/>
  <c r="K331" i="34"/>
  <c r="J84" i="34"/>
  <c r="K106" i="34"/>
  <c r="L106" i="34" s="1"/>
  <c r="M106" i="34" s="1" a="1"/>
  <c r="M106" i="34" s="1"/>
  <c r="I153" i="34"/>
  <c r="L153" i="34" s="1"/>
  <c r="M153" i="34" s="1" a="1"/>
  <c r="M153" i="34" s="1"/>
  <c r="J153" i="34"/>
  <c r="J209" i="34"/>
  <c r="I209" i="34"/>
  <c r="L209" i="34" s="1"/>
  <c r="M209" i="34" s="1" a="1"/>
  <c r="M209" i="34" s="1"/>
  <c r="J222" i="34"/>
  <c r="I222" i="34"/>
  <c r="L222" i="34" s="1"/>
  <c r="M222" i="34" s="1" a="1"/>
  <c r="M222" i="34" s="1"/>
  <c r="I334" i="34"/>
  <c r="L334" i="34" s="1"/>
  <c r="M334" i="34" s="1" a="1"/>
  <c r="M334" i="34" s="1"/>
  <c r="J334" i="34"/>
  <c r="K352" i="34"/>
  <c r="L352" i="34" s="1"/>
  <c r="M352" i="34" s="1" a="1"/>
  <c r="M352" i="34" s="1"/>
  <c r="K389" i="34"/>
  <c r="L389" i="34" s="1"/>
  <c r="M389" i="34" s="1" a="1"/>
  <c r="M389" i="34" s="1"/>
  <c r="J140" i="34"/>
  <c r="L160" i="34"/>
  <c r="M160" i="34" s="1" a="1"/>
  <c r="M160" i="34" s="1"/>
  <c r="J189" i="34"/>
  <c r="I189" i="34"/>
  <c r="L189" i="34" s="1"/>
  <c r="M189" i="34" s="1" a="1"/>
  <c r="M189" i="34" s="1"/>
  <c r="J201" i="34"/>
  <c r="I201" i="34"/>
  <c r="L201" i="34" s="1"/>
  <c r="M201" i="34" s="1" a="1"/>
  <c r="M201" i="34" s="1"/>
  <c r="K221" i="34"/>
  <c r="I249" i="34"/>
  <c r="J254" i="34"/>
  <c r="I254" i="34"/>
  <c r="K271" i="34"/>
  <c r="L271" i="34" s="1"/>
  <c r="M271" i="34" s="1" a="1"/>
  <c r="M271" i="34" s="1"/>
  <c r="Y425" i="34"/>
  <c r="Z425" i="34" s="1" a="1"/>
  <c r="Z425" i="34" s="1"/>
  <c r="K435" i="34"/>
  <c r="L435" i="34" s="1"/>
  <c r="M435" i="34" s="1" a="1"/>
  <c r="M435" i="34" s="1"/>
  <c r="K302" i="34"/>
  <c r="J48" i="34"/>
  <c r="I48" i="34"/>
  <c r="L48" i="34" s="1"/>
  <c r="M48" i="34" s="1" a="1"/>
  <c r="M48" i="34" s="1"/>
  <c r="K113" i="34"/>
  <c r="L113" i="34" s="1"/>
  <c r="M113" i="34" s="1" a="1"/>
  <c r="M113" i="34" s="1"/>
  <c r="I123" i="34"/>
  <c r="L123" i="34" s="1"/>
  <c r="M123" i="34" s="1" a="1"/>
  <c r="M123" i="34" s="1"/>
  <c r="J123" i="34"/>
  <c r="K266" i="34"/>
  <c r="K293" i="34"/>
  <c r="L293" i="34" s="1"/>
  <c r="M293" i="34" s="1" a="1"/>
  <c r="M293" i="34" s="1"/>
  <c r="J61" i="34"/>
  <c r="I61" i="34"/>
  <c r="H190" i="34"/>
  <c r="J77" i="34"/>
  <c r="L88" i="34"/>
  <c r="M88" i="34" s="1" a="1"/>
  <c r="M88" i="34" s="1"/>
  <c r="J90" i="34"/>
  <c r="K133" i="34"/>
  <c r="K205" i="34"/>
  <c r="J75" i="34"/>
  <c r="K95" i="34"/>
  <c r="J118" i="34"/>
  <c r="J122" i="34"/>
  <c r="K121" i="34"/>
  <c r="L121" i="34" s="1"/>
  <c r="M121" i="34" s="1" a="1"/>
  <c r="M121" i="34" s="1"/>
  <c r="J101" i="34"/>
  <c r="J210" i="34"/>
  <c r="I210" i="34"/>
  <c r="L210" i="34" s="1"/>
  <c r="M210" i="34" s="1" a="1"/>
  <c r="M210" i="34" s="1"/>
  <c r="J234" i="34"/>
  <c r="I234" i="34"/>
  <c r="Y311" i="34"/>
  <c r="Z311" i="34" s="1" a="1"/>
  <c r="Z311" i="34" s="1"/>
  <c r="I322" i="34"/>
  <c r="J322" i="34"/>
  <c r="J106" i="34"/>
  <c r="K122" i="34"/>
  <c r="L122" i="34" s="1"/>
  <c r="M122" i="34" s="1" a="1"/>
  <c r="M122" i="34" s="1"/>
  <c r="K177" i="34"/>
  <c r="I264" i="34"/>
  <c r="L264" i="34" s="1"/>
  <c r="M264" i="34" s="1" a="1"/>
  <c r="M264" i="34" s="1"/>
  <c r="J264" i="34"/>
  <c r="I332" i="34"/>
  <c r="Y332" i="34"/>
  <c r="Z332" i="34" s="1" a="1"/>
  <c r="Z332" i="34" s="1"/>
  <c r="J339" i="34"/>
  <c r="I339" i="34"/>
  <c r="L339" i="34" s="1"/>
  <c r="M339" i="34" s="1" a="1"/>
  <c r="M339" i="34" s="1"/>
  <c r="L41" i="34"/>
  <c r="M41" i="34" s="1" a="1"/>
  <c r="M41" i="34" s="1"/>
  <c r="K45" i="34"/>
  <c r="K101" i="34"/>
  <c r="L101" i="34" s="1"/>
  <c r="M101" i="34" s="1" a="1"/>
  <c r="M101" i="34" s="1"/>
  <c r="I162" i="34"/>
  <c r="L162" i="34" s="1"/>
  <c r="M162" i="34" s="1" a="1"/>
  <c r="M162" i="34" s="1"/>
  <c r="J162" i="34"/>
  <c r="K296" i="34"/>
  <c r="J42" i="34"/>
  <c r="I42" i="34"/>
  <c r="K117" i="34"/>
  <c r="J15" i="34"/>
  <c r="J30" i="34"/>
  <c r="I30" i="34"/>
  <c r="J34" i="34"/>
  <c r="I34" i="34"/>
  <c r="I139" i="34"/>
  <c r="L139" i="34" s="1"/>
  <c r="M139" i="34" s="1" a="1"/>
  <c r="M139" i="34" s="1"/>
  <c r="I161" i="34"/>
  <c r="I216" i="34"/>
  <c r="L216" i="34" s="1"/>
  <c r="M216" i="34" s="1" a="1"/>
  <c r="M216" i="34" s="1"/>
  <c r="J216" i="34"/>
  <c r="J239" i="34"/>
  <c r="K245" i="34"/>
  <c r="K270" i="34"/>
  <c r="I278" i="34"/>
  <c r="L278" i="34" s="1"/>
  <c r="M278" i="34" s="1" a="1"/>
  <c r="M278" i="34" s="1"/>
  <c r="J278" i="34"/>
  <c r="K417" i="34"/>
  <c r="L417" i="34" s="1"/>
  <c r="M417" i="34" s="1" a="1"/>
  <c r="M417" i="34" s="1"/>
  <c r="K18" i="34"/>
  <c r="I32" i="34"/>
  <c r="J35" i="34"/>
  <c r="J67" i="34"/>
  <c r="K87" i="34"/>
  <c r="L87" i="34" s="1"/>
  <c r="M87" i="34" s="1" a="1"/>
  <c r="M87" i="34" s="1"/>
  <c r="K115" i="34"/>
  <c r="L115" i="34" s="1"/>
  <c r="M115" i="34" s="1" a="1"/>
  <c r="M115" i="34" s="1"/>
  <c r="K127" i="34"/>
  <c r="L127" i="34" s="1"/>
  <c r="M127" i="34" s="1" a="1"/>
  <c r="M127" i="34" s="1"/>
  <c r="J129" i="34"/>
  <c r="I129" i="34"/>
  <c r="J139" i="34"/>
  <c r="K140" i="34"/>
  <c r="L140" i="34" s="1"/>
  <c r="M140" i="34" s="1" a="1"/>
  <c r="M140" i="34" s="1"/>
  <c r="J161" i="34"/>
  <c r="K172" i="34"/>
  <c r="L172" i="34" s="1"/>
  <c r="M172" i="34" s="1" a="1"/>
  <c r="M172" i="34" s="1"/>
  <c r="I184" i="34"/>
  <c r="L184" i="34" s="1"/>
  <c r="M184" i="34" s="1" a="1"/>
  <c r="M184" i="34" s="1"/>
  <c r="J184" i="34"/>
  <c r="J309" i="34"/>
  <c r="I330" i="34"/>
  <c r="J330" i="34"/>
  <c r="J399" i="34"/>
  <c r="I399" i="34"/>
  <c r="Y400" i="34"/>
  <c r="Z400" i="34" s="1" a="1"/>
  <c r="Z400" i="34" s="1"/>
  <c r="K423" i="34"/>
  <c r="L423" i="34" s="1"/>
  <c r="M423" i="34" s="1" a="1"/>
  <c r="M423" i="34" s="1"/>
  <c r="K63" i="34"/>
  <c r="L63" i="34" s="1"/>
  <c r="M63" i="34" s="1" a="1"/>
  <c r="M63" i="34" s="1"/>
  <c r="K262" i="34"/>
  <c r="L262" i="34" s="1"/>
  <c r="M262" i="34" s="1" a="1"/>
  <c r="M262" i="34" s="1"/>
  <c r="J213" i="34"/>
  <c r="K357" i="34"/>
  <c r="L357" i="34" s="1"/>
  <c r="M357" i="34" s="1" a="1"/>
  <c r="M357" i="34" s="1"/>
  <c r="I50" i="34"/>
  <c r="L50" i="34" s="1"/>
  <c r="M50" i="34" s="1" a="1"/>
  <c r="M50" i="34" s="1"/>
  <c r="J50" i="34"/>
  <c r="J52" i="34"/>
  <c r="I131" i="34"/>
  <c r="L131" i="34" s="1"/>
  <c r="M131" i="34" s="1" a="1"/>
  <c r="M131" i="34" s="1"/>
  <c r="J218" i="34"/>
  <c r="I218" i="34"/>
  <c r="L218" i="34" s="1"/>
  <c r="M218" i="34" s="1" a="1"/>
  <c r="M218" i="34" s="1"/>
  <c r="K314" i="34"/>
  <c r="L314" i="34" s="1"/>
  <c r="M314" i="34" s="1" a="1"/>
  <c r="M314" i="34" s="1"/>
  <c r="J344" i="34"/>
  <c r="I344" i="34"/>
  <c r="K52" i="34"/>
  <c r="L52" i="34" s="1"/>
  <c r="M52" i="34" s="1" a="1"/>
  <c r="M52" i="34" s="1"/>
  <c r="J53" i="34"/>
  <c r="K157" i="34"/>
  <c r="L157" i="34" s="1"/>
  <c r="M157" i="34" s="1" a="1"/>
  <c r="M157" i="34" s="1"/>
  <c r="K90" i="34"/>
  <c r="L90" i="34" s="1"/>
  <c r="M90" i="34" s="1" a="1"/>
  <c r="M90" i="34" s="1"/>
  <c r="K178" i="34"/>
  <c r="L58" i="34"/>
  <c r="M58" i="34" s="1" a="1"/>
  <c r="M58" i="34" s="1"/>
  <c r="K104" i="34"/>
  <c r="K97" i="34"/>
  <c r="L97" i="34" s="1"/>
  <c r="M97" i="34" s="1" a="1"/>
  <c r="M97" i="34" s="1"/>
  <c r="K16" i="34"/>
  <c r="H66" i="34"/>
  <c r="K67" i="34"/>
  <c r="L67" i="34" s="1"/>
  <c r="M67" i="34" s="1" a="1"/>
  <c r="M67" i="34" s="1"/>
  <c r="K68" i="34"/>
  <c r="L68" i="34" s="1"/>
  <c r="M68" i="34" s="1" a="1"/>
  <c r="M68" i="34" s="1"/>
  <c r="K77" i="34"/>
  <c r="K129" i="34"/>
  <c r="J142" i="34"/>
  <c r="I142" i="34"/>
  <c r="L142" i="34" s="1"/>
  <c r="M142" i="34" s="1" a="1"/>
  <c r="M142" i="34" s="1"/>
  <c r="K326" i="34"/>
  <c r="L326" i="34" s="1"/>
  <c r="M326" i="34" s="1" a="1"/>
  <c r="M326" i="34" s="1"/>
  <c r="K330" i="34"/>
  <c r="I25" i="34"/>
  <c r="L25" i="34" s="1"/>
  <c r="M25" i="34" s="1" a="1"/>
  <c r="M25" i="34" s="1"/>
  <c r="J25" i="34"/>
  <c r="I56" i="34"/>
  <c r="I66" i="34"/>
  <c r="L66" i="34" s="1"/>
  <c r="M66" i="34" s="1" a="1"/>
  <c r="M66" i="34" s="1"/>
  <c r="K83" i="34"/>
  <c r="L83" i="34" s="1"/>
  <c r="M83" i="34" s="1" a="1"/>
  <c r="M83" i="34" s="1"/>
  <c r="J242" i="34"/>
  <c r="I242" i="34"/>
  <c r="I299" i="34"/>
  <c r="J299" i="34"/>
  <c r="K416" i="34"/>
  <c r="L416" i="34" s="1"/>
  <c r="M416" i="34" s="1" a="1"/>
  <c r="M416" i="34" s="1"/>
  <c r="K14" i="34"/>
  <c r="K29" i="34"/>
  <c r="L29" i="34" s="1"/>
  <c r="M29" i="34" s="1" a="1"/>
  <c r="M29" i="34" s="1"/>
  <c r="J64" i="34"/>
  <c r="I64" i="34"/>
  <c r="J66" i="34"/>
  <c r="K137" i="34"/>
  <c r="H148" i="34"/>
  <c r="K152" i="34"/>
  <c r="L152" i="34" s="1"/>
  <c r="M152" i="34" s="1" a="1"/>
  <c r="M152" i="34" s="1"/>
  <c r="I171" i="34"/>
  <c r="L171" i="34" s="1"/>
  <c r="M171" i="34" s="1" a="1"/>
  <c r="M171" i="34" s="1"/>
  <c r="I227" i="34"/>
  <c r="J227" i="34"/>
  <c r="H231" i="34"/>
  <c r="I279" i="34"/>
  <c r="L279" i="34" s="1"/>
  <c r="M279" i="34" s="1" a="1"/>
  <c r="M279" i="34" s="1"/>
  <c r="I320" i="34"/>
  <c r="H7" i="34"/>
  <c r="J26" i="34"/>
  <c r="J27" i="34"/>
  <c r="I27" i="34"/>
  <c r="H62" i="34"/>
  <c r="J63" i="34"/>
  <c r="K105" i="34"/>
  <c r="J126" i="34"/>
  <c r="H158" i="34"/>
  <c r="J198" i="34"/>
  <c r="J206" i="34"/>
  <c r="I206" i="34"/>
  <c r="J226" i="34"/>
  <c r="I226" i="34"/>
  <c r="K287" i="34"/>
  <c r="L287" i="34" s="1"/>
  <c r="M287" i="34" s="1" a="1"/>
  <c r="M287" i="34" s="1"/>
  <c r="J320" i="34"/>
  <c r="I410" i="34"/>
  <c r="J410" i="34"/>
  <c r="J420" i="34"/>
  <c r="I420" i="34"/>
  <c r="L420" i="34" s="1"/>
  <c r="M420" i="34" s="1" a="1"/>
  <c r="M420" i="34" s="1"/>
  <c r="I78" i="34"/>
  <c r="I133" i="34"/>
  <c r="J133" i="34"/>
  <c r="J146" i="34"/>
  <c r="I146" i="34"/>
  <c r="L146" i="34" s="1"/>
  <c r="M146" i="34" s="1" a="1"/>
  <c r="M146" i="34" s="1"/>
  <c r="I235" i="34"/>
  <c r="L235" i="34" s="1"/>
  <c r="M235" i="34" s="1" a="1"/>
  <c r="M235" i="34" s="1"/>
  <c r="J273" i="34"/>
  <c r="I273" i="34"/>
  <c r="L273" i="34" s="1"/>
  <c r="M273" i="34" s="1" a="1"/>
  <c r="M273" i="34" s="1"/>
  <c r="K307" i="34"/>
  <c r="K186" i="34"/>
  <c r="J235" i="34"/>
  <c r="J58" i="34"/>
  <c r="I89" i="34"/>
  <c r="L89" i="34" s="1"/>
  <c r="M89" i="34" s="1" a="1"/>
  <c r="M89" i="34" s="1"/>
  <c r="K163" i="34"/>
  <c r="K102" i="34"/>
  <c r="H128" i="34"/>
  <c r="K388" i="34"/>
  <c r="H19" i="34"/>
  <c r="K185" i="34"/>
  <c r="L185" i="34" s="1"/>
  <c r="M185" i="34" s="1" a="1"/>
  <c r="M185" i="34" s="1"/>
  <c r="H257" i="34"/>
  <c r="J262" i="34"/>
  <c r="I341" i="34"/>
  <c r="J341" i="34"/>
  <c r="K199" i="34"/>
  <c r="J151" i="34"/>
  <c r="H187" i="34"/>
  <c r="K32" i="34"/>
  <c r="K64" i="34"/>
  <c r="H80" i="34"/>
  <c r="J159" i="34"/>
  <c r="K168" i="34"/>
  <c r="I193" i="34"/>
  <c r="J193" i="34"/>
  <c r="Z305" i="34" a="1"/>
  <c r="Z305" i="34" s="1"/>
  <c r="K320" i="34"/>
  <c r="K21" i="34"/>
  <c r="K136" i="34"/>
  <c r="K148" i="34"/>
  <c r="L148" i="34" s="1"/>
  <c r="M148" i="34" s="1" a="1"/>
  <c r="M148" i="34" s="1"/>
  <c r="K195" i="34"/>
  <c r="L195" i="34" s="1"/>
  <c r="M195" i="34" s="1" a="1"/>
  <c r="M195" i="34" s="1"/>
  <c r="K415" i="34"/>
  <c r="K225" i="34"/>
  <c r="L225" i="34" s="1"/>
  <c r="M225" i="34" s="1" a="1"/>
  <c r="M225" i="34" s="1"/>
  <c r="J104" i="34"/>
  <c r="I104" i="34"/>
  <c r="J256" i="34"/>
  <c r="I256" i="34"/>
  <c r="K79" i="34"/>
  <c r="J177" i="34"/>
  <c r="I177" i="34"/>
  <c r="I260" i="34"/>
  <c r="J260" i="34"/>
  <c r="I94" i="34"/>
  <c r="J94" i="34"/>
  <c r="K7" i="34"/>
  <c r="H28" i="34"/>
  <c r="K69" i="34"/>
  <c r="L69" i="34" s="1"/>
  <c r="M69" i="34" s="1" a="1"/>
  <c r="M69" i="34" s="1"/>
  <c r="K150" i="34"/>
  <c r="J252" i="34"/>
  <c r="I252" i="34"/>
  <c r="J14" i="34"/>
  <c r="K34" i="34"/>
  <c r="H65" i="34"/>
  <c r="J137" i="34"/>
  <c r="I137" i="34"/>
  <c r="K143" i="34"/>
  <c r="L143" i="34" s="1"/>
  <c r="M143" i="34" s="1" a="1"/>
  <c r="M143" i="34" s="1"/>
  <c r="I154" i="34"/>
  <c r="H182" i="34"/>
  <c r="K208" i="34"/>
  <c r="I288" i="34"/>
  <c r="L288" i="34" s="1"/>
  <c r="M288" i="34" s="1" a="1"/>
  <c r="M288" i="34" s="1"/>
  <c r="I82" i="34"/>
  <c r="L82" i="34" s="1"/>
  <c r="M82" i="34" s="1" a="1"/>
  <c r="M82" i="34" s="1"/>
  <c r="J82" i="34"/>
  <c r="I114" i="34"/>
  <c r="L114" i="34" s="1"/>
  <c r="M114" i="34" s="1" a="1"/>
  <c r="M114" i="34" s="1"/>
  <c r="J114" i="34"/>
  <c r="I119" i="34"/>
  <c r="L119" i="34" s="1"/>
  <c r="M119" i="34" s="1" a="1"/>
  <c r="M119" i="34" s="1"/>
  <c r="I170" i="34"/>
  <c r="J170" i="34"/>
  <c r="K183" i="34"/>
  <c r="L194" i="34"/>
  <c r="M194" i="34" s="1" a="1"/>
  <c r="M194" i="34" s="1"/>
  <c r="K346" i="34"/>
  <c r="J18" i="34"/>
  <c r="I18" i="34"/>
  <c r="I80" i="34"/>
  <c r="K164" i="34"/>
  <c r="L164" i="34" s="1"/>
  <c r="M164" i="34" s="1" a="1"/>
  <c r="M164" i="34" s="1"/>
  <c r="J171" i="34"/>
  <c r="H21" i="34"/>
  <c r="K24" i="34"/>
  <c r="J8" i="34"/>
  <c r="I9" i="34"/>
  <c r="I59" i="34"/>
  <c r="I77" i="34"/>
  <c r="H135" i="34"/>
  <c r="I138" i="34"/>
  <c r="L138" i="34" s="1"/>
  <c r="M138" i="34" s="1" a="1"/>
  <c r="M138" i="34" s="1"/>
  <c r="J158" i="34"/>
  <c r="I158" i="34"/>
  <c r="I178" i="34"/>
  <c r="J194" i="34"/>
  <c r="H241" i="34"/>
  <c r="J251" i="34"/>
  <c r="I251" i="34"/>
  <c r="J282" i="34"/>
  <c r="J311" i="34"/>
  <c r="I311" i="34"/>
  <c r="I354" i="34"/>
  <c r="K145" i="34"/>
  <c r="H171" i="34"/>
  <c r="J205" i="34"/>
  <c r="I205" i="34"/>
  <c r="J263" i="34"/>
  <c r="I263" i="34"/>
  <c r="L263" i="34" s="1"/>
  <c r="M263" i="34" s="1" a="1"/>
  <c r="M263" i="34" s="1"/>
  <c r="I301" i="34"/>
  <c r="I325" i="34"/>
  <c r="J325" i="34"/>
  <c r="J363" i="34"/>
  <c r="I363" i="34"/>
  <c r="K55" i="34"/>
  <c r="H74" i="34"/>
  <c r="I76" i="34"/>
  <c r="L76" i="34" s="1"/>
  <c r="M76" i="34" s="1" a="1"/>
  <c r="M76" i="34" s="1"/>
  <c r="L126" i="34"/>
  <c r="M126" i="34" s="1" a="1"/>
  <c r="M126" i="34" s="1"/>
  <c r="J173" i="34"/>
  <c r="I173" i="34"/>
  <c r="I199" i="34"/>
  <c r="K226" i="34"/>
  <c r="K227" i="34"/>
  <c r="K250" i="34"/>
  <c r="L250" i="34" s="1"/>
  <c r="M250" i="34" s="1" a="1"/>
  <c r="M250" i="34" s="1"/>
  <c r="J283" i="34"/>
  <c r="I283" i="34"/>
  <c r="L283" i="34" s="1"/>
  <c r="M283" i="34" s="1" a="1"/>
  <c r="M283" i="34" s="1"/>
  <c r="I300" i="34"/>
  <c r="J300" i="34"/>
  <c r="L319" i="34"/>
  <c r="M319" i="34" s="1" a="1"/>
  <c r="M319" i="34" s="1"/>
  <c r="H340" i="34"/>
  <c r="J414" i="34"/>
  <c r="I414" i="34"/>
  <c r="L414" i="34" s="1"/>
  <c r="M414" i="34" s="1" a="1"/>
  <c r="M414" i="34" s="1"/>
  <c r="J31" i="34"/>
  <c r="H32" i="34"/>
  <c r="J36" i="34"/>
  <c r="K59" i="34"/>
  <c r="K61" i="34"/>
  <c r="H68" i="34"/>
  <c r="I70" i="34"/>
  <c r="J81" i="34"/>
  <c r="K110" i="34"/>
  <c r="J111" i="34"/>
  <c r="I176" i="34"/>
  <c r="I236" i="34"/>
  <c r="L236" i="34" s="1"/>
  <c r="M236" i="34" s="1" a="1"/>
  <c r="M236" i="34" s="1"/>
  <c r="I240" i="34"/>
  <c r="L240" i="34" s="1"/>
  <c r="M240" i="34" s="1" a="1"/>
  <c r="M240" i="34" s="1"/>
  <c r="K247" i="34"/>
  <c r="H249" i="34"/>
  <c r="I276" i="34"/>
  <c r="J276" i="34"/>
  <c r="J340" i="34"/>
  <c r="I340" i="34"/>
  <c r="L340" i="34" s="1"/>
  <c r="M340" i="34" s="1" a="1"/>
  <c r="M340" i="34" s="1"/>
  <c r="J396" i="34"/>
  <c r="I396" i="34"/>
  <c r="Y432" i="34"/>
  <c r="Z432" i="34" s="1" a="1"/>
  <c r="Z432" i="34" s="1"/>
  <c r="H283" i="34"/>
  <c r="K285" i="34"/>
  <c r="L285" i="34" s="1"/>
  <c r="M285" i="34" s="1" a="1"/>
  <c r="M285" i="34" s="1"/>
  <c r="K295" i="34"/>
  <c r="J301" i="34"/>
  <c r="I303" i="34"/>
  <c r="L303" i="34" s="1"/>
  <c r="M303" i="34" s="1" a="1"/>
  <c r="M303" i="34" s="1"/>
  <c r="J312" i="34"/>
  <c r="I312" i="34"/>
  <c r="K316" i="34"/>
  <c r="J335" i="34"/>
  <c r="I335" i="34"/>
  <c r="L335" i="34" s="1"/>
  <c r="M335" i="34" s="1" a="1"/>
  <c r="M335" i="34" s="1"/>
  <c r="H12" i="34"/>
  <c r="J46" i="34"/>
  <c r="K56" i="34"/>
  <c r="K80" i="34"/>
  <c r="I95" i="34"/>
  <c r="H101" i="34"/>
  <c r="J112" i="34"/>
  <c r="I135" i="34"/>
  <c r="K149" i="34"/>
  <c r="L149" i="34" s="1"/>
  <c r="M149" i="34" s="1" a="1"/>
  <c r="M149" i="34" s="1"/>
  <c r="L198" i="34"/>
  <c r="M198" i="34" s="1" a="1"/>
  <c r="M198" i="34" s="1"/>
  <c r="K256" i="34"/>
  <c r="I261" i="34"/>
  <c r="J261" i="34"/>
  <c r="K286" i="34"/>
  <c r="L286" i="34" s="1"/>
  <c r="M286" i="34" s="1" a="1"/>
  <c r="M286" i="34" s="1"/>
  <c r="K300" i="34"/>
  <c r="J307" i="34"/>
  <c r="I307" i="34"/>
  <c r="K308" i="34"/>
  <c r="J315" i="34"/>
  <c r="I315" i="34"/>
  <c r="K431" i="34"/>
  <c r="K17" i="34"/>
  <c r="L17" i="34" s="1"/>
  <c r="M17" i="34" s="1" a="1"/>
  <c r="M17" i="34" s="1"/>
  <c r="J20" i="34"/>
  <c r="I33" i="34"/>
  <c r="J68" i="34"/>
  <c r="J166" i="34"/>
  <c r="L167" i="34"/>
  <c r="M167" i="34" s="1" a="1"/>
  <c r="M167" i="34" s="1"/>
  <c r="K252" i="34"/>
  <c r="Z320" i="34" a="1"/>
  <c r="Z320" i="34" s="1"/>
  <c r="Z325" i="34" a="1"/>
  <c r="Z325" i="34" s="1"/>
  <c r="Y337" i="34"/>
  <c r="Z337" i="34" s="1" a="1"/>
  <c r="Z337" i="34" s="1"/>
  <c r="Y356" i="34"/>
  <c r="Z356" i="34" s="1" a="1"/>
  <c r="Z356" i="34" s="1"/>
  <c r="I418" i="34"/>
  <c r="L418" i="34" s="1"/>
  <c r="M418" i="34" s="1" a="1"/>
  <c r="M418" i="34" s="1"/>
  <c r="I28" i="34"/>
  <c r="L28" i="34" s="1"/>
  <c r="M28" i="34" s="1" a="1"/>
  <c r="M28" i="34" s="1"/>
  <c r="K242" i="34"/>
  <c r="J258" i="34"/>
  <c r="I258" i="34"/>
  <c r="L258" i="34" s="1"/>
  <c r="M258" i="34" s="1" a="1"/>
  <c r="M258" i="34" s="1"/>
  <c r="J272" i="34"/>
  <c r="I272" i="34"/>
  <c r="J306" i="34"/>
  <c r="I306" i="34"/>
  <c r="L306" i="34" s="1"/>
  <c r="M306" i="34" s="1" a="1"/>
  <c r="M306" i="34" s="1"/>
  <c r="I349" i="34"/>
  <c r="L349" i="34" s="1"/>
  <c r="M349" i="34" s="1" a="1"/>
  <c r="M349" i="34" s="1"/>
  <c r="J349" i="34"/>
  <c r="K350" i="34"/>
  <c r="J28" i="34"/>
  <c r="J33" i="34"/>
  <c r="J121" i="34"/>
  <c r="J128" i="34"/>
  <c r="J182" i="34"/>
  <c r="I182" i="34"/>
  <c r="L182" i="34" s="1"/>
  <c r="M182" i="34" s="1" a="1"/>
  <c r="M182" i="34" s="1"/>
  <c r="I186" i="34"/>
  <c r="J186" i="34"/>
  <c r="K190" i="34"/>
  <c r="K260" i="34"/>
  <c r="I274" i="34"/>
  <c r="L274" i="34" s="1"/>
  <c r="M274" i="34" s="1" a="1"/>
  <c r="M274" i="34" s="1"/>
  <c r="J274" i="34"/>
  <c r="Y323" i="34"/>
  <c r="Z323" i="34" s="1" a="1"/>
  <c r="Z323" i="34" s="1"/>
  <c r="K323" i="34"/>
  <c r="K333" i="34"/>
  <c r="Y353" i="34"/>
  <c r="Z353" i="34" s="1" a="1"/>
  <c r="Z353" i="34" s="1"/>
  <c r="K360" i="34"/>
  <c r="K380" i="34"/>
  <c r="L380" i="34" s="1"/>
  <c r="M380" i="34" s="1" a="1"/>
  <c r="M380" i="34" s="1"/>
  <c r="K42" i="34"/>
  <c r="K70" i="34"/>
  <c r="K94" i="34"/>
  <c r="J115" i="34"/>
  <c r="K135" i="34"/>
  <c r="H144" i="34"/>
  <c r="J154" i="34"/>
  <c r="K173" i="34"/>
  <c r="I181" i="34"/>
  <c r="J183" i="34"/>
  <c r="H185" i="34"/>
  <c r="J232" i="34"/>
  <c r="I289" i="34"/>
  <c r="L289" i="34" s="1"/>
  <c r="M289" i="34" s="1" a="1"/>
  <c r="M289" i="34" s="1"/>
  <c r="J289" i="34"/>
  <c r="Z315" i="34" a="1"/>
  <c r="Z315" i="34" s="1"/>
  <c r="K412" i="34"/>
  <c r="I426" i="34"/>
  <c r="I6" i="34"/>
  <c r="I21" i="34"/>
  <c r="J21" i="34"/>
  <c r="K27" i="34"/>
  <c r="H143" i="34"/>
  <c r="K151" i="34"/>
  <c r="L151" i="34" s="1"/>
  <c r="M151" i="34" s="1" a="1"/>
  <c r="M151" i="34" s="1"/>
  <c r="H181" i="34"/>
  <c r="K291" i="34"/>
  <c r="L291" i="34" s="1"/>
  <c r="M291" i="34" s="1" a="1"/>
  <c r="M291" i="34" s="1"/>
  <c r="Y391" i="34"/>
  <c r="Z391" i="34" s="1" a="1"/>
  <c r="Z391" i="34" s="1"/>
  <c r="I391" i="34"/>
  <c r="J107" i="34"/>
  <c r="H116" i="34"/>
  <c r="J179" i="34"/>
  <c r="J188" i="34"/>
  <c r="I188" i="34"/>
  <c r="L188" i="34" s="1"/>
  <c r="M188" i="34" s="1" a="1"/>
  <c r="M188" i="34" s="1"/>
  <c r="J371" i="34"/>
  <c r="I371" i="34"/>
  <c r="J387" i="34"/>
  <c r="I19" i="34"/>
  <c r="L19" i="34" s="1"/>
  <c r="M19" i="34" s="1" a="1"/>
  <c r="M19" i="34" s="1"/>
  <c r="I43" i="34"/>
  <c r="H63" i="34"/>
  <c r="H16" i="34"/>
  <c r="J43" i="34"/>
  <c r="J83" i="34"/>
  <c r="H103" i="34"/>
  <c r="I144" i="34"/>
  <c r="H157" i="34"/>
  <c r="I168" i="34"/>
  <c r="J168" i="34"/>
  <c r="J181" i="34"/>
  <c r="K187" i="34"/>
  <c r="I202" i="34"/>
  <c r="J202" i="34"/>
  <c r="H206" i="34"/>
  <c r="J241" i="34"/>
  <c r="I241" i="34"/>
  <c r="L241" i="34" s="1"/>
  <c r="M241" i="34" s="1" a="1"/>
  <c r="M241" i="34" s="1"/>
  <c r="J253" i="34"/>
  <c r="I253" i="34"/>
  <c r="I257" i="34"/>
  <c r="L257" i="34" s="1"/>
  <c r="M257" i="34" s="1" a="1"/>
  <c r="M257" i="34" s="1"/>
  <c r="J257" i="34"/>
  <c r="K261" i="34"/>
  <c r="J266" i="34"/>
  <c r="I266" i="34"/>
  <c r="J287" i="34"/>
  <c r="I304" i="34"/>
  <c r="L304" i="34" s="1"/>
  <c r="M304" i="34" s="1" a="1"/>
  <c r="M304" i="34" s="1"/>
  <c r="K377" i="34"/>
  <c r="L377" i="34" s="1"/>
  <c r="M377" i="34" s="1" a="1"/>
  <c r="M377" i="34" s="1"/>
  <c r="K379" i="34"/>
  <c r="L379" i="34" s="1"/>
  <c r="M379" i="34" s="1" a="1"/>
  <c r="M379" i="34" s="1"/>
  <c r="Y426" i="34"/>
  <c r="Z426" i="34" s="1" a="1"/>
  <c r="Z426" i="34" s="1"/>
  <c r="K426" i="34"/>
  <c r="I429" i="34"/>
  <c r="K386" i="34"/>
  <c r="I434" i="34"/>
  <c r="J434" i="34"/>
  <c r="I96" i="34"/>
  <c r="L96" i="34" s="1"/>
  <c r="M96" i="34" s="1" a="1"/>
  <c r="M96" i="34" s="1"/>
  <c r="J102" i="34"/>
  <c r="H121" i="34"/>
  <c r="I159" i="34"/>
  <c r="L159" i="34" s="1"/>
  <c r="M159" i="34" s="1" a="1"/>
  <c r="M159" i="34" s="1"/>
  <c r="J225" i="34"/>
  <c r="K268" i="34"/>
  <c r="K277" i="34"/>
  <c r="I280" i="34"/>
  <c r="L280" i="34" s="1"/>
  <c r="M280" i="34" s="1" a="1"/>
  <c r="M280" i="34" s="1"/>
  <c r="J280" i="34"/>
  <c r="J314" i="34"/>
  <c r="J327" i="34"/>
  <c r="H344" i="34"/>
  <c r="I345" i="34"/>
  <c r="L345" i="34" s="1"/>
  <c r="M345" i="34" s="1" a="1"/>
  <c r="M345" i="34" s="1"/>
  <c r="J345" i="34"/>
  <c r="Z349" i="34" a="1"/>
  <c r="Z349" i="34" s="1"/>
  <c r="I364" i="34"/>
  <c r="L364" i="34" s="1"/>
  <c r="M364" i="34" s="1" a="1"/>
  <c r="M364" i="34" s="1"/>
  <c r="J364" i="34"/>
  <c r="K367" i="34"/>
  <c r="J398" i="34"/>
  <c r="I398" i="34"/>
  <c r="J155" i="34"/>
  <c r="I155" i="34"/>
  <c r="K92" i="34"/>
  <c r="L92" i="34" s="1"/>
  <c r="M92" i="34" s="1" a="1"/>
  <c r="M92" i="34" s="1"/>
  <c r="J103" i="34"/>
  <c r="L165" i="34"/>
  <c r="M165" i="34" s="1" a="1"/>
  <c r="M165" i="34" s="1"/>
  <c r="J196" i="34"/>
  <c r="K212" i="34"/>
  <c r="J237" i="34"/>
  <c r="K238" i="34"/>
  <c r="L238" i="34" s="1"/>
  <c r="M238" i="34" s="1" a="1"/>
  <c r="M238" i="34" s="1"/>
  <c r="Y303" i="34"/>
  <c r="Z303" i="34" s="1" a="1"/>
  <c r="Z303" i="34" s="1"/>
  <c r="I313" i="34"/>
  <c r="J313" i="34"/>
  <c r="K322" i="34"/>
  <c r="J406" i="34"/>
  <c r="I406" i="34"/>
  <c r="L406" i="34" s="1"/>
  <c r="M406" i="34" s="1" a="1"/>
  <c r="M406" i="34" s="1"/>
  <c r="Y430" i="34"/>
  <c r="Z430" i="34" s="1" a="1"/>
  <c r="Z430" i="34" s="1"/>
  <c r="K430" i="34"/>
  <c r="L430" i="34" s="1"/>
  <c r="M430" i="34" s="1" a="1"/>
  <c r="M430" i="34" s="1"/>
  <c r="H44" i="34"/>
  <c r="H72" i="34"/>
  <c r="J96" i="34"/>
  <c r="J119" i="34"/>
  <c r="K132" i="34"/>
  <c r="L132" i="34" s="1"/>
  <c r="M132" i="34" s="1" a="1"/>
  <c r="M132" i="34" s="1"/>
  <c r="H160" i="34"/>
  <c r="J185" i="34"/>
  <c r="L259" i="34"/>
  <c r="M259" i="34" s="1" a="1"/>
  <c r="M259" i="34" s="1"/>
  <c r="K309" i="34"/>
  <c r="L309" i="34" s="1"/>
  <c r="M309" i="34" s="1" a="1"/>
  <c r="M309" i="34" s="1"/>
  <c r="K313" i="34"/>
  <c r="K318" i="34"/>
  <c r="Y318" i="34"/>
  <c r="Z318" i="34" s="1" a="1"/>
  <c r="Z318" i="34" s="1"/>
  <c r="Y334" i="34"/>
  <c r="Z334" i="34" s="1" a="1"/>
  <c r="Z334" i="34" s="1"/>
  <c r="J413" i="34"/>
  <c r="Y434" i="34"/>
  <c r="Z434" i="34" s="1" a="1"/>
  <c r="Z434" i="34" s="1"/>
  <c r="Y435" i="34"/>
  <c r="Z435" i="34" s="1" a="1"/>
  <c r="Z435" i="34" s="1"/>
  <c r="J17" i="34"/>
  <c r="J19" i="34"/>
  <c r="J23" i="34"/>
  <c r="K85" i="34"/>
  <c r="H122" i="34"/>
  <c r="K155" i="34"/>
  <c r="I169" i="34"/>
  <c r="L169" i="34" s="1"/>
  <c r="M169" i="34" s="1" a="1"/>
  <c r="M169" i="34" s="1"/>
  <c r="K179" i="34"/>
  <c r="L179" i="34" s="1"/>
  <c r="M179" i="34" s="1" a="1"/>
  <c r="M179" i="34" s="1"/>
  <c r="J192" i="34"/>
  <c r="I192" i="34"/>
  <c r="I243" i="34"/>
  <c r="L243" i="34" s="1"/>
  <c r="M243" i="34" s="1" a="1"/>
  <c r="M243" i="34" s="1"/>
  <c r="J243" i="34"/>
  <c r="Y310" i="34"/>
  <c r="Z310" i="34" s="1" a="1"/>
  <c r="Z310" i="34" s="1"/>
  <c r="H312" i="34"/>
  <c r="I337" i="34"/>
  <c r="J337" i="34"/>
  <c r="J382" i="34"/>
  <c r="I382" i="34"/>
  <c r="H401" i="34"/>
  <c r="K413" i="34"/>
  <c r="L413" i="34" s="1"/>
  <c r="M413" i="34" s="1" a="1"/>
  <c r="M413" i="34" s="1"/>
  <c r="J150" i="34"/>
  <c r="J57" i="34"/>
  <c r="H106" i="34"/>
  <c r="J109" i="34"/>
  <c r="I109" i="34"/>
  <c r="L109" i="34" s="1"/>
  <c r="M109" i="34" s="1" a="1"/>
  <c r="M109" i="34" s="1"/>
  <c r="H176" i="34"/>
  <c r="K230" i="34"/>
  <c r="K231" i="34"/>
  <c r="I245" i="34"/>
  <c r="J246" i="34"/>
  <c r="I316" i="34"/>
  <c r="J331" i="34"/>
  <c r="I331" i="34"/>
  <c r="I342" i="34"/>
  <c r="J389" i="34"/>
  <c r="Z389" i="34" a="1"/>
  <c r="Z389" i="34" s="1"/>
  <c r="J405" i="34"/>
  <c r="I405" i="34"/>
  <c r="K428" i="34"/>
  <c r="H88" i="34"/>
  <c r="K180" i="34"/>
  <c r="J229" i="34"/>
  <c r="I229" i="34"/>
  <c r="L229" i="34" s="1"/>
  <c r="M229" i="34" s="1" a="1"/>
  <c r="M229" i="34" s="1"/>
  <c r="I230" i="34"/>
  <c r="K254" i="34"/>
  <c r="Y309" i="34"/>
  <c r="Z309" i="34" s="1" a="1"/>
  <c r="Z309" i="34" s="1"/>
  <c r="H351" i="34"/>
  <c r="K356" i="34"/>
  <c r="L356" i="34" s="1"/>
  <c r="M356" i="34" s="1" a="1"/>
  <c r="M356" i="34" s="1"/>
  <c r="Y374" i="34"/>
  <c r="Z374" i="34" s="1" a="1"/>
  <c r="Z374" i="34" s="1"/>
  <c r="Y394" i="34"/>
  <c r="Z394" i="34" s="1" a="1"/>
  <c r="Z394" i="34" s="1"/>
  <c r="K394" i="34"/>
  <c r="K408" i="34"/>
  <c r="L408" i="34" s="1"/>
  <c r="M408" i="34" s="1" a="1"/>
  <c r="M408" i="34" s="1"/>
  <c r="K429" i="34"/>
  <c r="K249" i="34"/>
  <c r="H255" i="34"/>
  <c r="J265" i="34"/>
  <c r="K276" i="34"/>
  <c r="I324" i="34"/>
  <c r="L324" i="34" s="1"/>
  <c r="M324" i="34" s="1" a="1"/>
  <c r="M324" i="34" s="1"/>
  <c r="J324" i="34"/>
  <c r="J348" i="34"/>
  <c r="I348" i="34"/>
  <c r="J368" i="34"/>
  <c r="I368" i="34"/>
  <c r="L368" i="34" s="1"/>
  <c r="M368" i="34" s="1" a="1"/>
  <c r="M368" i="34" s="1"/>
  <c r="I386" i="34"/>
  <c r="J386" i="34"/>
  <c r="I128" i="34"/>
  <c r="L128" i="34" s="1"/>
  <c r="M128" i="34" s="1" a="1"/>
  <c r="M128" i="34" s="1"/>
  <c r="I150" i="34"/>
  <c r="K196" i="34"/>
  <c r="L196" i="34" s="1"/>
  <c r="M196" i="34" s="1" a="1"/>
  <c r="M196" i="34" s="1"/>
  <c r="J212" i="34"/>
  <c r="I212" i="34"/>
  <c r="J238" i="34"/>
  <c r="I267" i="34"/>
  <c r="L267" i="34" s="1"/>
  <c r="M267" i="34" s="1" a="1"/>
  <c r="M267" i="34" s="1"/>
  <c r="J267" i="34"/>
  <c r="J275" i="34"/>
  <c r="I292" i="34"/>
  <c r="L292" i="34" s="1"/>
  <c r="M292" i="34" s="1" a="1"/>
  <c r="M292" i="34" s="1"/>
  <c r="Y341" i="34"/>
  <c r="Z341" i="34" s="1" a="1"/>
  <c r="Z341" i="34" s="1"/>
  <c r="K347" i="34"/>
  <c r="L347" i="34" s="1"/>
  <c r="M347" i="34" s="1" a="1"/>
  <c r="M347" i="34" s="1"/>
  <c r="I385" i="34"/>
  <c r="K409" i="34"/>
  <c r="L409" i="34" s="1"/>
  <c r="M409" i="34" s="1" a="1"/>
  <c r="M409" i="34" s="1"/>
  <c r="H415" i="34"/>
  <c r="I295" i="34"/>
  <c r="J296" i="34"/>
  <c r="I296" i="34"/>
  <c r="I298" i="34"/>
  <c r="J298" i="34"/>
  <c r="Y314" i="34"/>
  <c r="Z314" i="34" s="1" a="1"/>
  <c r="Z314" i="34" s="1"/>
  <c r="H317" i="34"/>
  <c r="J318" i="34"/>
  <c r="I318" i="34"/>
  <c r="J336" i="34"/>
  <c r="I336" i="34"/>
  <c r="L336" i="34" s="1"/>
  <c r="M336" i="34" s="1" a="1"/>
  <c r="M336" i="34" s="1"/>
  <c r="J365" i="34"/>
  <c r="I365" i="34"/>
  <c r="H380" i="34"/>
  <c r="K384" i="34"/>
  <c r="L384" i="34" s="1"/>
  <c r="M384" i="34" s="1" a="1"/>
  <c r="M384" i="34" s="1"/>
  <c r="H76" i="34"/>
  <c r="H204" i="34"/>
  <c r="J268" i="34"/>
  <c r="I268" i="34"/>
  <c r="I270" i="34"/>
  <c r="J270" i="34"/>
  <c r="J294" i="34"/>
  <c r="I294" i="34"/>
  <c r="L294" i="34" s="1"/>
  <c r="M294" i="34" s="1" a="1"/>
  <c r="M294" i="34" s="1"/>
  <c r="J295" i="34"/>
  <c r="J297" i="34"/>
  <c r="K311" i="34"/>
  <c r="K312" i="34"/>
  <c r="I317" i="34"/>
  <c r="J317" i="34"/>
  <c r="I333" i="34"/>
  <c r="J333" i="34"/>
  <c r="I367" i="34"/>
  <c r="Y370" i="34"/>
  <c r="Z370" i="34" s="1" a="1"/>
  <c r="Z370" i="34" s="1"/>
  <c r="J375" i="34"/>
  <c r="I375" i="34"/>
  <c r="I395" i="34"/>
  <c r="J395" i="34"/>
  <c r="Y418" i="34"/>
  <c r="Z418" i="34" s="1" a="1"/>
  <c r="Z418" i="34" s="1"/>
  <c r="K424" i="34"/>
  <c r="L424" i="34" s="1"/>
  <c r="M424" i="34" s="1" a="1"/>
  <c r="M424" i="34" s="1"/>
  <c r="K432" i="34"/>
  <c r="L432" i="34" s="1"/>
  <c r="M432" i="34" s="1" a="1"/>
  <c r="M432" i="34" s="1"/>
  <c r="J143" i="34"/>
  <c r="K161" i="34"/>
  <c r="H200" i="34"/>
  <c r="J233" i="34"/>
  <c r="I269" i="34"/>
  <c r="L269" i="34" s="1"/>
  <c r="M269" i="34" s="1" a="1"/>
  <c r="M269" i="34" s="1"/>
  <c r="K298" i="34"/>
  <c r="H307" i="34"/>
  <c r="K365" i="34"/>
  <c r="J367" i="34"/>
  <c r="K395" i="34"/>
  <c r="H431" i="34"/>
  <c r="K246" i="34"/>
  <c r="L246" i="34" s="1"/>
  <c r="M246" i="34" s="1" a="1"/>
  <c r="M246" i="34" s="1"/>
  <c r="I247" i="34"/>
  <c r="K255" i="34"/>
  <c r="Y354" i="34"/>
  <c r="Z354" i="34" s="1" a="1"/>
  <c r="Z354" i="34" s="1"/>
  <c r="K354" i="34"/>
  <c r="Y367" i="34"/>
  <c r="Z367" i="34" s="1" a="1"/>
  <c r="Z367" i="34" s="1"/>
  <c r="K383" i="34"/>
  <c r="L383" i="34" s="1"/>
  <c r="M383" i="34" s="1" a="1"/>
  <c r="M383" i="34" s="1"/>
  <c r="I415" i="34"/>
  <c r="Y415" i="34"/>
  <c r="Z415" i="34" s="1" a="1"/>
  <c r="Z415" i="34" s="1"/>
  <c r="J217" i="34"/>
  <c r="H279" i="34"/>
  <c r="K284" i="34"/>
  <c r="Y316" i="34"/>
  <c r="Z316" i="34" s="1" a="1"/>
  <c r="Z316" i="34" s="1"/>
  <c r="Y319" i="34"/>
  <c r="Z319" i="34" s="1" a="1"/>
  <c r="Z319" i="34" s="1"/>
  <c r="K373" i="34"/>
  <c r="L373" i="34" s="1"/>
  <c r="M373" i="34" s="1" a="1"/>
  <c r="M373" i="34" s="1"/>
  <c r="K374" i="34"/>
  <c r="L374" i="34" s="1"/>
  <c r="M374" i="34" s="1" a="1"/>
  <c r="M374" i="34" s="1"/>
  <c r="K381" i="34"/>
  <c r="K410" i="34"/>
  <c r="J421" i="34"/>
  <c r="I421" i="34"/>
  <c r="L421" i="34" s="1"/>
  <c r="M421" i="34" s="1" a="1"/>
  <c r="M421" i="34" s="1"/>
  <c r="J228" i="34"/>
  <c r="I228" i="34"/>
  <c r="L228" i="34" s="1"/>
  <c r="M228" i="34" s="1" a="1"/>
  <c r="M228" i="34" s="1"/>
  <c r="H262" i="34"/>
  <c r="Z336" i="34" a="1"/>
  <c r="Z336" i="34" s="1"/>
  <c r="H342" i="34"/>
  <c r="I350" i="34"/>
  <c r="J350" i="34"/>
  <c r="K351" i="34"/>
  <c r="L351" i="34" s="1"/>
  <c r="M351" i="34" s="1" a="1"/>
  <c r="M351" i="34" s="1"/>
  <c r="I353" i="34"/>
  <c r="L353" i="34" s="1"/>
  <c r="M353" i="34" s="1" a="1"/>
  <c r="M353" i="34" s="1"/>
  <c r="I369" i="34"/>
  <c r="L369" i="34" s="1"/>
  <c r="M369" i="34" s="1" a="1"/>
  <c r="M369" i="34" s="1"/>
  <c r="J369" i="34"/>
  <c r="J231" i="34"/>
  <c r="K234" i="34"/>
  <c r="J355" i="34"/>
  <c r="I355" i="34"/>
  <c r="L355" i="34" s="1"/>
  <c r="M355" i="34" s="1" a="1"/>
  <c r="M355" i="34" s="1"/>
  <c r="J359" i="34"/>
  <c r="J394" i="34"/>
  <c r="I394" i="34"/>
  <c r="K404" i="34"/>
  <c r="L404" i="34" s="1"/>
  <c r="M404" i="34" s="1" a="1"/>
  <c r="M404" i="34" s="1"/>
  <c r="K405" i="34"/>
  <c r="Y410" i="34"/>
  <c r="Z410" i="34" s="1" a="1"/>
  <c r="Z410" i="34" s="1"/>
  <c r="L244" i="34"/>
  <c r="M244" i="34" s="1" a="1"/>
  <c r="M244" i="34" s="1"/>
  <c r="I248" i="34"/>
  <c r="K317" i="34"/>
  <c r="K361" i="34"/>
  <c r="K385" i="34"/>
  <c r="K392" i="34"/>
  <c r="K396" i="34"/>
  <c r="Y409" i="34"/>
  <c r="Z409" i="34" s="1" a="1"/>
  <c r="Z409" i="34" s="1"/>
  <c r="K310" i="34"/>
  <c r="K362" i="34"/>
  <c r="L362" i="34" s="1"/>
  <c r="M362" i="34" s="1" a="1"/>
  <c r="M362" i="34" s="1"/>
  <c r="H393" i="34"/>
  <c r="K344" i="34"/>
  <c r="Y363" i="34"/>
  <c r="Z363" i="34" s="1" a="1"/>
  <c r="Z363" i="34" s="1"/>
  <c r="I370" i="34"/>
  <c r="J370" i="34"/>
  <c r="H377" i="34"/>
  <c r="Y384" i="34"/>
  <c r="Z384" i="34" s="1" a="1"/>
  <c r="Z384" i="34" s="1"/>
  <c r="L422" i="34"/>
  <c r="M422" i="34" s="1" a="1"/>
  <c r="M422" i="34" s="1"/>
  <c r="K425" i="34"/>
  <c r="Y307" i="34"/>
  <c r="Z307" i="34" s="1" a="1"/>
  <c r="Z307" i="34" s="1"/>
  <c r="K328" i="34"/>
  <c r="H330" i="34"/>
  <c r="Y350" i="34"/>
  <c r="Z350" i="34" s="1" a="1"/>
  <c r="Z350" i="34" s="1"/>
  <c r="Y362" i="34"/>
  <c r="Z362" i="34" s="1" a="1"/>
  <c r="Z362" i="34" s="1"/>
  <c r="L407" i="34"/>
  <c r="M407" i="34" s="1" a="1"/>
  <c r="M407" i="34" s="1"/>
  <c r="Y433" i="34"/>
  <c r="Z433" i="34" s="1" a="1"/>
  <c r="Z433" i="34" s="1"/>
  <c r="K433" i="34"/>
  <c r="L433" i="34" s="1"/>
  <c r="M433" i="34" s="1" a="1"/>
  <c r="M433" i="34" s="1"/>
  <c r="J293" i="34"/>
  <c r="H367" i="34"/>
  <c r="Y413" i="34"/>
  <c r="Z413" i="34" s="1" a="1"/>
  <c r="Z413" i="34" s="1"/>
  <c r="J279" i="34"/>
  <c r="K327" i="34"/>
  <c r="L327" i="34" s="1"/>
  <c r="M327" i="34" s="1" a="1"/>
  <c r="M327" i="34" s="1"/>
  <c r="I338" i="34"/>
  <c r="L338" i="34" s="1"/>
  <c r="M338" i="34" s="1" a="1"/>
  <c r="M338" i="34" s="1"/>
  <c r="J338" i="34"/>
  <c r="K363" i="34"/>
  <c r="H365" i="34"/>
  <c r="K370" i="34"/>
  <c r="K371" i="34"/>
  <c r="I376" i="34"/>
  <c r="Y376" i="34"/>
  <c r="Z376" i="34" s="1" a="1"/>
  <c r="Z376" i="34" s="1"/>
  <c r="K399" i="34"/>
  <c r="J412" i="34"/>
  <c r="I412" i="34"/>
  <c r="I321" i="34"/>
  <c r="L321" i="34" s="1"/>
  <c r="M321" i="34" s="1" a="1"/>
  <c r="M321" i="34" s="1"/>
  <c r="J321" i="34"/>
  <c r="Y335" i="34"/>
  <c r="Z335" i="34" s="1" a="1"/>
  <c r="Z335" i="34" s="1"/>
  <c r="I302" i="34"/>
  <c r="I310" i="34"/>
  <c r="H329" i="34"/>
  <c r="J346" i="34"/>
  <c r="I346" i="34"/>
  <c r="H382" i="34"/>
  <c r="H395" i="34"/>
  <c r="Y407" i="34"/>
  <c r="Z407" i="34" s="1" a="1"/>
  <c r="Z407" i="34" s="1"/>
  <c r="J427" i="34"/>
  <c r="I428" i="34"/>
  <c r="Y333" i="34"/>
  <c r="Z333" i="34" s="1" a="1"/>
  <c r="Z333" i="34" s="1"/>
  <c r="Y379" i="34"/>
  <c r="Z379" i="34" s="1" a="1"/>
  <c r="Z379" i="34" s="1"/>
  <c r="K397" i="34"/>
  <c r="K398" i="34"/>
  <c r="J347" i="34"/>
  <c r="J357" i="34"/>
  <c r="Y368" i="34"/>
  <c r="Z368" i="34" s="1" a="1"/>
  <c r="Z368" i="34" s="1"/>
  <c r="H372" i="34"/>
  <c r="Y387" i="34"/>
  <c r="Z387" i="34" s="1" a="1"/>
  <c r="Z387" i="34" s="1"/>
  <c r="J407" i="34"/>
  <c r="I329" i="34"/>
  <c r="L329" i="34" s="1"/>
  <c r="M329" i="34" s="1" a="1"/>
  <c r="M329" i="34" s="1"/>
  <c r="K342" i="34"/>
  <c r="J343" i="34"/>
  <c r="I343" i="34"/>
  <c r="I372" i="34"/>
  <c r="L372" i="34" s="1"/>
  <c r="M372" i="34" s="1" a="1"/>
  <c r="M372" i="34" s="1"/>
  <c r="J319" i="34"/>
  <c r="K382" i="34"/>
  <c r="Y386" i="34"/>
  <c r="Z386" i="34" s="1" a="1"/>
  <c r="Z386" i="34" s="1"/>
  <c r="K393" i="34"/>
  <c r="L393" i="34" s="1"/>
  <c r="M393" i="34" s="1" a="1"/>
  <c r="M393" i="34" s="1"/>
  <c r="H276" i="34"/>
  <c r="J290" i="34"/>
  <c r="K301" i="34"/>
  <c r="J332" i="34"/>
  <c r="K337" i="34"/>
  <c r="H347" i="34"/>
  <c r="L358" i="34"/>
  <c r="M358" i="34" s="1" a="1"/>
  <c r="M358" i="34" s="1"/>
  <c r="Y364" i="34"/>
  <c r="Z364" i="34" s="1" a="1"/>
  <c r="Z364" i="34" s="1"/>
  <c r="Y429" i="34"/>
  <c r="Z429" i="34" s="1" a="1"/>
  <c r="Z429" i="34" s="1"/>
  <c r="Y345" i="34"/>
  <c r="Z345" i="34" s="1" a="1"/>
  <c r="Z345" i="34" s="1"/>
  <c r="J400" i="34"/>
  <c r="J423" i="34"/>
  <c r="Z371" i="34" a="1"/>
  <c r="Z371" i="34" s="1"/>
  <c r="I388" i="34"/>
  <c r="J425" i="34"/>
  <c r="Y342" i="34"/>
  <c r="Z342" i="34" s="1" a="1"/>
  <c r="Z342" i="34" s="1"/>
  <c r="I392" i="34"/>
  <c r="Z424" i="34" a="1"/>
  <c r="Z424" i="34" s="1"/>
  <c r="Y326" i="34"/>
  <c r="Z326" i="34" s="1" a="1"/>
  <c r="Z326" i="34" s="1"/>
  <c r="H398" i="34"/>
  <c r="Y414" i="34"/>
  <c r="Z414" i="34" s="1" a="1"/>
  <c r="Z414" i="34" s="1"/>
  <c r="Y405" i="34"/>
  <c r="Z405" i="34" s="1" a="1"/>
  <c r="Z405" i="34" s="1"/>
  <c r="Y417" i="34"/>
  <c r="Z417" i="34" s="1" a="1"/>
  <c r="Z417" i="34" s="1"/>
  <c r="Y420" i="34"/>
  <c r="Z420" i="34" s="1" a="1"/>
  <c r="Z420" i="34" s="1"/>
  <c r="H430" i="34"/>
  <c r="Y358" i="34"/>
  <c r="Z358" i="34" s="1" a="1"/>
  <c r="Z358" i="34" s="1"/>
  <c r="I361" i="34"/>
  <c r="J430" i="34"/>
  <c r="H374" i="34"/>
  <c r="H422" i="34"/>
  <c r="Y406" i="34"/>
  <c r="Z406" i="34" s="1" a="1"/>
  <c r="Z406" i="34" s="1"/>
  <c r="L211" i="34" l="1"/>
  <c r="M211" i="34" s="1" a="1"/>
  <c r="M211" i="34" s="1"/>
  <c r="Y4" i="3"/>
  <c r="X4" i="3"/>
  <c r="Z4" i="3" s="1"/>
  <c r="AA5" i="3" a="1"/>
  <c r="AA5" i="3" s="1"/>
  <c r="Y5" i="3"/>
  <c r="X5" i="3"/>
  <c r="Z5" i="3" s="1"/>
  <c r="AA4" i="3" a="1"/>
  <c r="AA4" i="3" s="1"/>
  <c r="AA6" i="3"/>
  <c r="H4" i="22" s="1"/>
  <c r="L365" i="34"/>
  <c r="M365" i="34" s="1" a="1"/>
  <c r="M365" i="34" s="1"/>
  <c r="L100" i="34"/>
  <c r="M100" i="34" s="1" a="1"/>
  <c r="M100" i="34" s="1"/>
  <c r="L202" i="34"/>
  <c r="M202" i="34" s="1" a="1"/>
  <c r="M202" i="34" s="1"/>
  <c r="L60" i="34"/>
  <c r="M60" i="34" s="1" a="1"/>
  <c r="M60" i="34" s="1"/>
  <c r="L200" i="34"/>
  <c r="M200" i="34" s="1" a="1"/>
  <c r="M200" i="34" s="1"/>
  <c r="L231" i="34"/>
  <c r="M231" i="34" s="1" a="1"/>
  <c r="M231" i="34" s="1"/>
  <c r="L397" i="34"/>
  <c r="M397" i="34" s="1" a="1"/>
  <c r="M397" i="34" s="1"/>
  <c r="L301" i="34"/>
  <c r="M301" i="34" s="1" a="1"/>
  <c r="M301" i="34" s="1"/>
  <c r="L344" i="34"/>
  <c r="M344" i="34" s="1" a="1"/>
  <c r="M344" i="34" s="1"/>
  <c r="L394" i="34"/>
  <c r="M394" i="34" s="1" a="1"/>
  <c r="M394" i="34" s="1"/>
  <c r="L155" i="34"/>
  <c r="M155" i="34" s="1" a="1"/>
  <c r="M155" i="34" s="1"/>
  <c r="L363" i="34"/>
  <c r="M363" i="34" s="1" a="1"/>
  <c r="M363" i="34" s="1"/>
  <c r="L254" i="34"/>
  <c r="M254" i="34" s="1" a="1"/>
  <c r="M254" i="34" s="1"/>
  <c r="L415" i="34"/>
  <c r="M415" i="34" s="1" a="1"/>
  <c r="M415" i="34" s="1"/>
  <c r="L318" i="34"/>
  <c r="M318" i="34" s="1" a="1"/>
  <c r="M318" i="34" s="1"/>
  <c r="L117" i="34"/>
  <c r="M117" i="34" s="1" a="1"/>
  <c r="M117" i="34" s="1"/>
  <c r="L176" i="34"/>
  <c r="M176" i="34" s="1" a="1"/>
  <c r="M176" i="34" s="1"/>
  <c r="L381" i="34"/>
  <c r="M381" i="34" s="1" a="1"/>
  <c r="M381" i="34" s="1"/>
  <c r="L281" i="34"/>
  <c r="M281" i="34" s="1" a="1"/>
  <c r="M281" i="34" s="1"/>
  <c r="L173" i="34"/>
  <c r="M173" i="34" s="1" a="1"/>
  <c r="M173" i="34" s="1"/>
  <c r="L85" i="34"/>
  <c r="M85" i="34" s="1" a="1"/>
  <c r="M85" i="34" s="1"/>
  <c r="L120" i="34"/>
  <c r="M120" i="34" s="1" a="1"/>
  <c r="M120" i="34" s="1"/>
  <c r="L110" i="34"/>
  <c r="M110" i="34" s="1" a="1"/>
  <c r="M110" i="34" s="1"/>
  <c r="L232" i="34"/>
  <c r="M232" i="34" s="1" a="1"/>
  <c r="M232" i="34" s="1"/>
  <c r="L343" i="34"/>
  <c r="M343" i="34" s="1" a="1"/>
  <c r="M343" i="34" s="1"/>
  <c r="L227" i="34"/>
  <c r="M227" i="34" s="1" a="1"/>
  <c r="M227" i="34" s="1"/>
  <c r="L226" i="34"/>
  <c r="M226" i="34" s="1" a="1"/>
  <c r="M226" i="34" s="1"/>
  <c r="L208" i="34"/>
  <c r="M208" i="34" s="1" a="1"/>
  <c r="M208" i="34" s="1"/>
  <c r="L378" i="34"/>
  <c r="M378" i="34" s="1" a="1"/>
  <c r="M378" i="34" s="1"/>
  <c r="L395" i="34"/>
  <c r="M395" i="34" s="1" a="1"/>
  <c r="M395" i="34" s="1"/>
  <c r="L161" i="34"/>
  <c r="M161" i="34" s="1" a="1"/>
  <c r="M161" i="34" s="1"/>
  <c r="L27" i="34"/>
  <c r="M27" i="34" s="1" a="1"/>
  <c r="M27" i="34" s="1"/>
  <c r="L396" i="34"/>
  <c r="M396" i="34" s="1" a="1"/>
  <c r="M396" i="34" s="1"/>
  <c r="L252" i="34"/>
  <c r="M252" i="34" s="1" a="1"/>
  <c r="M252" i="34" s="1"/>
  <c r="L64" i="34"/>
  <c r="M64" i="34" s="1" a="1"/>
  <c r="M64" i="34" s="1"/>
  <c r="L130" i="34"/>
  <c r="M130" i="34" s="1" a="1"/>
  <c r="M130" i="34" s="1"/>
  <c r="L330" i="34"/>
  <c r="M330" i="34" s="1" a="1"/>
  <c r="M330" i="34" s="1"/>
  <c r="L44" i="34"/>
  <c r="M44" i="34" s="1" a="1"/>
  <c r="M44" i="34" s="1"/>
  <c r="L382" i="34"/>
  <c r="M382" i="34" s="1" a="1"/>
  <c r="M382" i="34" s="1"/>
  <c r="L376" i="34"/>
  <c r="M376" i="34" s="1" a="1"/>
  <c r="M376" i="34" s="1"/>
  <c r="L230" i="34"/>
  <c r="M230" i="34" s="1" a="1"/>
  <c r="M230" i="34" s="1"/>
  <c r="L14" i="34"/>
  <c r="M14" i="34" s="1" a="1"/>
  <c r="M14" i="34" s="1"/>
  <c r="L62" i="34"/>
  <c r="M62" i="34" s="1" a="1"/>
  <c r="M62" i="34" s="1"/>
  <c r="L221" i="34"/>
  <c r="M221" i="34" s="1" a="1"/>
  <c r="M221" i="34" s="1"/>
  <c r="L24" i="34"/>
  <c r="M24" i="34" s="1" a="1"/>
  <c r="M24" i="34" s="1"/>
  <c r="L434" i="34"/>
  <c r="M434" i="34" s="1" a="1"/>
  <c r="M434" i="34" s="1"/>
  <c r="L134" i="34"/>
  <c r="M134" i="34" s="1" a="1"/>
  <c r="M134" i="34" s="1"/>
  <c r="L144" i="34"/>
  <c r="M144" i="34" s="1" a="1"/>
  <c r="M144" i="34" s="1"/>
  <c r="L272" i="34"/>
  <c r="M272" i="34" s="1" a="1"/>
  <c r="M272" i="34" s="1"/>
  <c r="L33" i="34"/>
  <c r="M33" i="34" s="1" a="1"/>
  <c r="M33" i="34" s="1"/>
  <c r="L332" i="34"/>
  <c r="M332" i="34" s="1" a="1"/>
  <c r="M332" i="34" s="1"/>
  <c r="L150" i="34"/>
  <c r="M150" i="34" s="1" a="1"/>
  <c r="M150" i="34" s="1"/>
  <c r="L399" i="34"/>
  <c r="M399" i="34" s="1" a="1"/>
  <c r="M399" i="34" s="1"/>
  <c r="L310" i="34"/>
  <c r="M310" i="34" s="1" a="1"/>
  <c r="M310" i="34" s="1"/>
  <c r="L277" i="34"/>
  <c r="M277" i="34" s="1" a="1"/>
  <c r="M277" i="34" s="1"/>
  <c r="L154" i="34"/>
  <c r="M154" i="34" s="1" a="1"/>
  <c r="M154" i="34" s="1"/>
  <c r="L56" i="34"/>
  <c r="M56" i="34" s="1" a="1"/>
  <c r="M56" i="34" s="1"/>
  <c r="L193" i="34"/>
  <c r="M193" i="34" s="1" a="1"/>
  <c r="M193" i="34" s="1"/>
  <c r="L91" i="34"/>
  <c r="M91" i="34" s="1" a="1"/>
  <c r="M91" i="34" s="1"/>
  <c r="L428" i="34"/>
  <c r="M428" i="34" s="1" a="1"/>
  <c r="M428" i="34" s="1"/>
  <c r="L163" i="34"/>
  <c r="M163" i="34" s="1" a="1"/>
  <c r="M163" i="34" s="1"/>
  <c r="L105" i="34"/>
  <c r="M105" i="34" s="1" a="1"/>
  <c r="M105" i="34" s="1"/>
  <c r="L249" i="34"/>
  <c r="M249" i="34" s="1" a="1"/>
  <c r="M249" i="34" s="1"/>
  <c r="L242" i="34"/>
  <c r="M242" i="34" s="1" a="1"/>
  <c r="M242" i="34" s="1"/>
  <c r="L31" i="34"/>
  <c r="M31" i="34" s="1" a="1"/>
  <c r="M31" i="34" s="1"/>
  <c r="L129" i="34"/>
  <c r="M129" i="34" s="1" a="1"/>
  <c r="M129" i="34" s="1"/>
  <c r="L325" i="34"/>
  <c r="M325" i="34" s="1" a="1"/>
  <c r="M325" i="34" s="1"/>
  <c r="L265" i="34"/>
  <c r="M265" i="34" s="1" a="1"/>
  <c r="M265" i="34" s="1"/>
  <c r="L145" i="34"/>
  <c r="M145" i="34" s="1" a="1"/>
  <c r="M145" i="34" s="1"/>
  <c r="L191" i="34"/>
  <c r="M191" i="34" s="1" a="1"/>
  <c r="M191" i="34" s="1"/>
  <c r="L248" i="34"/>
  <c r="M248" i="34" s="1" a="1"/>
  <c r="M248" i="34" s="1"/>
  <c r="L360" i="34"/>
  <c r="M360" i="34" s="1" a="1"/>
  <c r="M360" i="34" s="1"/>
  <c r="L206" i="34"/>
  <c r="M206" i="34" s="1" a="1"/>
  <c r="M206" i="34" s="1"/>
  <c r="L375" i="34"/>
  <c r="M375" i="34" s="1" a="1"/>
  <c r="M375" i="34" s="1"/>
  <c r="L15" i="34"/>
  <c r="M15" i="34" s="1" a="1"/>
  <c r="M15" i="34" s="1"/>
  <c r="L371" i="34"/>
  <c r="M371" i="34" s="1" a="1"/>
  <c r="M371" i="34" s="1"/>
  <c r="L322" i="34"/>
  <c r="M322" i="34" s="1" a="1"/>
  <c r="M322" i="34" s="1"/>
  <c r="L405" i="34"/>
  <c r="M405" i="34" s="1" a="1"/>
  <c r="M405" i="34" s="1"/>
  <c r="L180" i="34"/>
  <c r="M180" i="34" s="1" a="1"/>
  <c r="M180" i="34" s="1"/>
  <c r="L323" i="34"/>
  <c r="M323" i="34" s="1" a="1"/>
  <c r="M323" i="34" s="1"/>
  <c r="L190" i="34"/>
  <c r="M190" i="34" s="1" a="1"/>
  <c r="M190" i="34" s="1"/>
  <c r="L192" i="34"/>
  <c r="M192" i="34" s="1" a="1"/>
  <c r="M192" i="34" s="1"/>
  <c r="L307" i="34"/>
  <c r="M307" i="34" s="1" a="1"/>
  <c r="M307" i="34" s="1"/>
  <c r="L425" i="34"/>
  <c r="M425" i="34" s="1" a="1"/>
  <c r="M425" i="34" s="1"/>
  <c r="L431" i="34"/>
  <c r="M431" i="34" s="1" a="1"/>
  <c r="M431" i="34" s="1"/>
  <c r="L183" i="34"/>
  <c r="M183" i="34" s="1" a="1"/>
  <c r="M183" i="34" s="1"/>
  <c r="L391" i="34"/>
  <c r="M391" i="34" s="1" a="1"/>
  <c r="M391" i="34" s="1"/>
  <c r="L398" i="34"/>
  <c r="M398" i="34" s="1" a="1"/>
  <c r="M398" i="34" s="1"/>
  <c r="L187" i="34"/>
  <c r="M187" i="34" s="1" a="1"/>
  <c r="M187" i="34" s="1"/>
  <c r="L316" i="34"/>
  <c r="M316" i="34" s="1" a="1"/>
  <c r="M316" i="34" s="1"/>
  <c r="L168" i="34"/>
  <c r="M168" i="34" s="1" a="1"/>
  <c r="M168" i="34" s="1"/>
  <c r="L199" i="34"/>
  <c r="M199" i="34" s="1" a="1"/>
  <c r="M199" i="34" s="1"/>
  <c r="L102" i="34"/>
  <c r="M102" i="34" s="1" a="1"/>
  <c r="M102" i="34" s="1"/>
  <c r="L71" i="34"/>
  <c r="M71" i="34" s="1" a="1"/>
  <c r="M71" i="34" s="1"/>
  <c r="L55" i="34"/>
  <c r="M55" i="34" s="1" a="1"/>
  <c r="M55" i="34" s="1"/>
  <c r="L6" i="34"/>
  <c r="L251" i="34"/>
  <c r="M251" i="34" s="1" a="1"/>
  <c r="M251" i="34" s="1"/>
  <c r="L354" i="34"/>
  <c r="M354" i="34" s="1" a="1"/>
  <c r="M354" i="34" s="1"/>
  <c r="L212" i="34"/>
  <c r="M212" i="34" s="1" a="1"/>
  <c r="M212" i="34" s="1"/>
  <c r="L80" i="34"/>
  <c r="M80" i="34" s="1" a="1"/>
  <c r="M80" i="34" s="1"/>
  <c r="L59" i="34"/>
  <c r="M59" i="34" s="1" a="1"/>
  <c r="M59" i="34" s="1"/>
  <c r="L78" i="34"/>
  <c r="M78" i="34" s="1" a="1"/>
  <c r="M78" i="34" s="1"/>
  <c r="L308" i="34"/>
  <c r="M308" i="34" s="1" a="1"/>
  <c r="M308" i="34" s="1"/>
  <c r="L170" i="34"/>
  <c r="M170" i="34" s="1" a="1"/>
  <c r="M170" i="34" s="1"/>
  <c r="L385" i="34"/>
  <c r="M385" i="34" s="1" a="1"/>
  <c r="M385" i="34" s="1"/>
  <c r="L312" i="34"/>
  <c r="M312" i="34" s="1" a="1"/>
  <c r="M312" i="34" s="1"/>
  <c r="L247" i="34"/>
  <c r="M247" i="34" s="1" a="1"/>
  <c r="M247" i="34" s="1"/>
  <c r="L361" i="34"/>
  <c r="M361" i="34" s="1" a="1"/>
  <c r="M361" i="34" s="1"/>
  <c r="L311" i="34"/>
  <c r="M311" i="34" s="1" a="1"/>
  <c r="M311" i="34" s="1"/>
  <c r="L276" i="34"/>
  <c r="M276" i="34" s="1" a="1"/>
  <c r="M276" i="34" s="1"/>
  <c r="L328" i="34"/>
  <c r="M328" i="34" s="1" a="1"/>
  <c r="M328" i="34" s="1"/>
  <c r="L18" i="34"/>
  <c r="M18" i="34" s="1" a="1"/>
  <c r="M18" i="34" s="1"/>
  <c r="L45" i="34"/>
  <c r="M45" i="34" s="1" a="1"/>
  <c r="M45" i="34" s="1"/>
  <c r="L317" i="34"/>
  <c r="M317" i="34" s="1" a="1"/>
  <c r="M317" i="34" s="1"/>
  <c r="L295" i="34"/>
  <c r="M295" i="34" s="1" a="1"/>
  <c r="M295" i="34" s="1"/>
  <c r="L104" i="34"/>
  <c r="M104" i="34" s="1" a="1"/>
  <c r="M104" i="34" s="1"/>
  <c r="L178" i="34"/>
  <c r="M178" i="34" s="1" a="1"/>
  <c r="M178" i="34" s="1"/>
  <c r="L313" i="34"/>
  <c r="M313" i="34" s="1" a="1"/>
  <c r="M313" i="34" s="1"/>
  <c r="L298" i="34"/>
  <c r="M298" i="34" s="1" a="1"/>
  <c r="M298" i="34" s="1"/>
  <c r="L412" i="34"/>
  <c r="M412" i="34" s="1" a="1"/>
  <c r="M412" i="34" s="1"/>
  <c r="L135" i="34"/>
  <c r="M135" i="34" s="1" a="1"/>
  <c r="M135" i="34" s="1"/>
  <c r="L256" i="34"/>
  <c r="M256" i="34" s="1" a="1"/>
  <c r="M256" i="34" s="1"/>
  <c r="L270" i="34"/>
  <c r="M270" i="34" s="1" a="1"/>
  <c r="M270" i="34" s="1"/>
  <c r="L296" i="34"/>
  <c r="M296" i="34" s="1" a="1"/>
  <c r="M296" i="34" s="1"/>
  <c r="L205" i="34"/>
  <c r="M205" i="34" s="1" a="1"/>
  <c r="M205" i="34" s="1"/>
  <c r="L266" i="34"/>
  <c r="M266" i="34" s="1" a="1"/>
  <c r="M266" i="34" s="1"/>
  <c r="L30" i="34"/>
  <c r="M30" i="34" s="1" a="1"/>
  <c r="M30" i="34" s="1"/>
  <c r="L234" i="34"/>
  <c r="M234" i="34" s="1" a="1"/>
  <c r="M234" i="34" s="1"/>
  <c r="L284" i="34"/>
  <c r="M284" i="34" s="1" a="1"/>
  <c r="M284" i="34" s="1"/>
  <c r="L255" i="34"/>
  <c r="M255" i="34" s="1" a="1"/>
  <c r="M255" i="34" s="1"/>
  <c r="L268" i="34"/>
  <c r="M268" i="34" s="1" a="1"/>
  <c r="M268" i="34" s="1"/>
  <c r="L386" i="34"/>
  <c r="M386" i="34" s="1" a="1"/>
  <c r="M386" i="34" s="1"/>
  <c r="L261" i="34"/>
  <c r="M261" i="34" s="1" a="1"/>
  <c r="M261" i="34" s="1"/>
  <c r="L77" i="34"/>
  <c r="M77" i="34" s="1" a="1"/>
  <c r="M77" i="34" s="1"/>
  <c r="L181" i="34"/>
  <c r="M181" i="34" s="1" a="1"/>
  <c r="M181" i="34" s="1"/>
  <c r="L10" i="34"/>
  <c r="M10" i="34" s="1" a="1"/>
  <c r="M10" i="34" s="1"/>
  <c r="L300" i="34"/>
  <c r="M300" i="34" s="1" a="1"/>
  <c r="M300" i="34" s="1"/>
  <c r="L333" i="34"/>
  <c r="M333" i="34" s="1" a="1"/>
  <c r="M333" i="34" s="1"/>
  <c r="L61" i="34"/>
  <c r="M61" i="34" s="1" a="1"/>
  <c r="M61" i="34" s="1"/>
  <c r="L95" i="34"/>
  <c r="M95" i="34" s="1" a="1"/>
  <c r="M95" i="34" s="1"/>
  <c r="L253" i="34"/>
  <c r="M253" i="34" s="1" a="1"/>
  <c r="M253" i="34" s="1"/>
  <c r="L34" i="34"/>
  <c r="M34" i="34" s="1" a="1"/>
  <c r="M34" i="34" s="1"/>
  <c r="L133" i="34"/>
  <c r="M133" i="34" s="1" a="1"/>
  <c r="M133" i="34" s="1"/>
  <c r="L13" i="34"/>
  <c r="M13" i="34" s="1" a="1"/>
  <c r="M13" i="34" s="1"/>
  <c r="L337" i="34"/>
  <c r="M337" i="34" s="1" a="1"/>
  <c r="M337" i="34" s="1"/>
  <c r="L370" i="34"/>
  <c r="M370" i="34" s="1" a="1"/>
  <c r="M370" i="34" s="1"/>
  <c r="L367" i="34"/>
  <c r="M367" i="34" s="1" a="1"/>
  <c r="M367" i="34" s="1"/>
  <c r="L79" i="34"/>
  <c r="M79" i="34" s="1" a="1"/>
  <c r="M79" i="34" s="1"/>
  <c r="L136" i="34"/>
  <c r="M136" i="34" s="1" a="1"/>
  <c r="M136" i="34" s="1"/>
  <c r="L245" i="34"/>
  <c r="M245" i="34" s="1" a="1"/>
  <c r="M245" i="34" s="1"/>
  <c r="L410" i="34"/>
  <c r="M410" i="34" s="1" a="1"/>
  <c r="M410" i="34" s="1"/>
  <c r="L350" i="34"/>
  <c r="M350" i="34" s="1" a="1"/>
  <c r="M350" i="34" s="1"/>
  <c r="L32" i="34"/>
  <c r="M32" i="34" s="1" a="1"/>
  <c r="M32" i="34" s="1"/>
  <c r="L315" i="34"/>
  <c r="M315" i="34" s="1" a="1"/>
  <c r="M315" i="34" s="1"/>
  <c r="L21" i="34"/>
  <c r="M21" i="34" s="1" a="1"/>
  <c r="M21" i="34" s="1"/>
  <c r="L70" i="34"/>
  <c r="M70" i="34" s="1" a="1"/>
  <c r="M70" i="34" s="1"/>
  <c r="L137" i="34"/>
  <c r="M137" i="34" s="1" a="1"/>
  <c r="M137" i="34" s="1"/>
  <c r="L392" i="34"/>
  <c r="M392" i="34" s="1" a="1"/>
  <c r="M392" i="34" s="1"/>
  <c r="L429" i="34"/>
  <c r="M429" i="34" s="1" a="1"/>
  <c r="M429" i="34" s="1"/>
  <c r="L260" i="34"/>
  <c r="M260" i="34" s="1" a="1"/>
  <c r="M260" i="34" s="1"/>
  <c r="L346" i="34"/>
  <c r="M346" i="34" s="1" a="1"/>
  <c r="M346" i="34" s="1"/>
  <c r="L320" i="34"/>
  <c r="M320" i="34" s="1" a="1"/>
  <c r="M320" i="34" s="1"/>
  <c r="L186" i="34"/>
  <c r="M186" i="34" s="1" a="1"/>
  <c r="M186" i="34" s="1"/>
  <c r="L331" i="34"/>
  <c r="M331" i="34" s="1" a="1"/>
  <c r="M331" i="34" s="1"/>
  <c r="L348" i="34"/>
  <c r="M348" i="34" s="1" a="1"/>
  <c r="M348" i="34" s="1"/>
  <c r="L341" i="34"/>
  <c r="M341" i="34" s="1" a="1"/>
  <c r="M341" i="34" s="1"/>
  <c r="L299" i="34"/>
  <c r="M299" i="34" s="1" a="1"/>
  <c r="M299" i="34" s="1"/>
  <c r="L158" i="34"/>
  <c r="M158" i="34" s="1" a="1"/>
  <c r="M158" i="34" s="1"/>
  <c r="L426" i="34"/>
  <c r="M426" i="34" s="1" a="1"/>
  <c r="M426" i="34" s="1"/>
  <c r="L42" i="34"/>
  <c r="M42" i="34" s="1" a="1"/>
  <c r="M42" i="34" s="1"/>
  <c r="L7" i="34"/>
  <c r="M7" i="34" s="1" a="1"/>
  <c r="M7" i="34" s="1"/>
  <c r="L388" i="34"/>
  <c r="M388" i="34" s="1" a="1"/>
  <c r="M388" i="34" s="1"/>
  <c r="L16" i="34"/>
  <c r="M16" i="34" s="1" a="1"/>
  <c r="M16" i="34" s="1"/>
  <c r="L177" i="34"/>
  <c r="M177" i="34" s="1" a="1"/>
  <c r="M177" i="34" s="1"/>
  <c r="L94" i="34"/>
  <c r="M94" i="34" s="1" a="1"/>
  <c r="M94" i="34" s="1"/>
  <c r="L43" i="34"/>
  <c r="M43" i="34" s="1" a="1"/>
  <c r="M43" i="34" s="1"/>
  <c r="L342" i="34"/>
  <c r="M342" i="34" s="1" a="1"/>
  <c r="M342" i="34" s="1"/>
  <c r="L302" i="34"/>
  <c r="M302" i="34" s="1" a="1"/>
  <c r="M302" i="34" s="1"/>
  <c r="L9" i="34"/>
  <c r="M9" i="34" s="1" a="1"/>
  <c r="M9" i="34" s="1"/>
  <c r="L11" i="34"/>
  <c r="M11" i="34" s="1" a="1"/>
  <c r="M11" i="34" s="1"/>
  <c r="AB48" i="16"/>
  <c r="Y35" i="16"/>
  <c r="Z35" i="16" s="1"/>
  <c r="AB28" i="16"/>
  <c r="Y25" i="16"/>
  <c r="Z25" i="16" s="1"/>
  <c r="AB8" i="16"/>
  <c r="Y6" i="3" l="1"/>
  <c r="F4" i="22" s="1"/>
  <c r="M6" i="34" a="1"/>
  <c r="M6" i="34" s="1"/>
  <c r="AG4" i="3"/>
  <c r="AF4" i="3"/>
  <c r="AE6" i="3" a="1"/>
  <c r="AE6" i="3" s="1"/>
  <c r="AE4" i="3" a="1"/>
  <c r="AE4" i="3" s="1"/>
  <c r="AM4" i="3"/>
  <c r="AJ4" i="3"/>
  <c r="AI4" i="3" a="1"/>
  <c r="AI4" i="3" s="1"/>
  <c r="AI6" i="3" a="1"/>
  <c r="AI6" i="3" s="1"/>
  <c r="AK4" i="3"/>
  <c r="AM6" i="3" a="1"/>
  <c r="AM6" i="3" s="1"/>
  <c r="AB4" i="3"/>
  <c r="AC4" i="3"/>
  <c r="AB5" i="3"/>
  <c r="AD5" i="3" s="1"/>
  <c r="AC5" i="3"/>
  <c r="AG5" i="3"/>
  <c r="AE5" i="3" a="1"/>
  <c r="AE5" i="3" s="1"/>
  <c r="AI5" i="3" a="1"/>
  <c r="AI5" i="3" s="1"/>
  <c r="AK5" i="3"/>
  <c r="AM5" i="3"/>
  <c r="X6" i="3"/>
  <c r="AF5" i="3"/>
  <c r="AH5" i="3" s="1" a="1"/>
  <c r="AH5" i="3" s="1"/>
  <c r="AJ5" i="3"/>
  <c r="AL5" i="3" s="1" a="1"/>
  <c r="AL5" i="3" s="1"/>
  <c r="AB49" i="16"/>
  <c r="AB19" i="16"/>
  <c r="AB77" i="16"/>
  <c r="AB13" i="16"/>
  <c r="Y98" i="16"/>
  <c r="Z98" i="16" s="1"/>
  <c r="AB20" i="16"/>
  <c r="AB98" i="16"/>
  <c r="AB99" i="16"/>
  <c r="AB9" i="16"/>
  <c r="Y24" i="16"/>
  <c r="Z24" i="16" s="1"/>
  <c r="Y36" i="16"/>
  <c r="Z36" i="16" s="1"/>
  <c r="AB89" i="16"/>
  <c r="AB25" i="16"/>
  <c r="Y83" i="16"/>
  <c r="Z83" i="16" s="1"/>
  <c r="Y15" i="16"/>
  <c r="Z15" i="16" s="1"/>
  <c r="Y72" i="16"/>
  <c r="Z72" i="16" s="1"/>
  <c r="Y32" i="16"/>
  <c r="Z32" i="16" s="1"/>
  <c r="AB32" i="16"/>
  <c r="Y44" i="16"/>
  <c r="Z44" i="16" s="1"/>
  <c r="Y85" i="16"/>
  <c r="Z85" i="16" s="1"/>
  <c r="AB92" i="16"/>
  <c r="Y13" i="16"/>
  <c r="Z13" i="16" s="1"/>
  <c r="AB35" i="16"/>
  <c r="Y8" i="16"/>
  <c r="Z8" i="16" s="1"/>
  <c r="Y71" i="16"/>
  <c r="Z71" i="16" s="1"/>
  <c r="Y14" i="16"/>
  <c r="Z14" i="16" s="1"/>
  <c r="Y42" i="16"/>
  <c r="Z42" i="16" s="1"/>
  <c r="AB71" i="16"/>
  <c r="AB14" i="16"/>
  <c r="Y37" i="16"/>
  <c r="Z37" i="16" s="1"/>
  <c r="AB83" i="16"/>
  <c r="AB37" i="16"/>
  <c r="AB15" i="16"/>
  <c r="AB72" i="16"/>
  <c r="Y16" i="16"/>
  <c r="Z16" i="16" s="1"/>
  <c r="Y49" i="16"/>
  <c r="Z49" i="16" s="1"/>
  <c r="Y27" i="16"/>
  <c r="Z27" i="16" s="1"/>
  <c r="Y33" i="16"/>
  <c r="Z33" i="16" s="1"/>
  <c r="AB39" i="16"/>
  <c r="Y22" i="16"/>
  <c r="Z22" i="16" s="1"/>
  <c r="AB27" i="16"/>
  <c r="Y91" i="16"/>
  <c r="Z91" i="16" s="1"/>
  <c r="AB22" i="16"/>
  <c r="AB44" i="16"/>
  <c r="AB91" i="16"/>
  <c r="Y17" i="16"/>
  <c r="Z17" i="16" s="1"/>
  <c r="AB17" i="16"/>
  <c r="Y34" i="16"/>
  <c r="Z34" i="16" s="1"/>
  <c r="AB40" i="16"/>
  <c r="AB34" i="16"/>
  <c r="Y92" i="16"/>
  <c r="Z92" i="16" s="1"/>
  <c r="Y75" i="16"/>
  <c r="Z75" i="16" s="1"/>
  <c r="Y81" i="16"/>
  <c r="Z81" i="16" s="1"/>
  <c r="Y70" i="16"/>
  <c r="Z70" i="16" s="1"/>
  <c r="AB75" i="16"/>
  <c r="AB81" i="16"/>
  <c r="AB70" i="16"/>
  <c r="Y76" i="16"/>
  <c r="Z76" i="16" s="1"/>
  <c r="Y82" i="16"/>
  <c r="Z82" i="16" s="1"/>
  <c r="Y88" i="16"/>
  <c r="Z88" i="16" s="1"/>
  <c r="Y99" i="16"/>
  <c r="Z99" i="16" s="1"/>
  <c r="AB76" i="16"/>
  <c r="Y95" i="16"/>
  <c r="Z95" i="16" s="1"/>
  <c r="Y78" i="16"/>
  <c r="Z78" i="16" s="1"/>
  <c r="Y84" i="16"/>
  <c r="Z84" i="16" s="1"/>
  <c r="AB95" i="16"/>
  <c r="AB84" i="16"/>
  <c r="AB78" i="16"/>
  <c r="Y96" i="16"/>
  <c r="Z96" i="16" s="1"/>
  <c r="Y73" i="16"/>
  <c r="Z73" i="16" s="1"/>
  <c r="AB96" i="16"/>
  <c r="Y74" i="16"/>
  <c r="Z74" i="16" s="1"/>
  <c r="Y80" i="16"/>
  <c r="Z80" i="16" s="1"/>
  <c r="Y86" i="16"/>
  <c r="Z86" i="16" s="1"/>
  <c r="AB97" i="16"/>
  <c r="Y87" i="16"/>
  <c r="Z87" i="16" s="1"/>
  <c r="AB87" i="16"/>
  <c r="AB82" i="16"/>
  <c r="Y90" i="16"/>
  <c r="Z90" i="16" s="1"/>
  <c r="AB90" i="16"/>
  <c r="AB73" i="16"/>
  <c r="Y79" i="16"/>
  <c r="Z79" i="16" s="1"/>
  <c r="AB79" i="16"/>
  <c r="AB85" i="16"/>
  <c r="Y97" i="16"/>
  <c r="Z97" i="16" s="1"/>
  <c r="AB74" i="16"/>
  <c r="AB80" i="16"/>
  <c r="AB86" i="16"/>
  <c r="Y93" i="16"/>
  <c r="Z93" i="16" s="1"/>
  <c r="AB93" i="16"/>
  <c r="AB88" i="16"/>
  <c r="Y77" i="16"/>
  <c r="Z77" i="16" s="1"/>
  <c r="Y89" i="16"/>
  <c r="Z89" i="16" s="1"/>
  <c r="Y94" i="16"/>
  <c r="Z94" i="16" s="1"/>
  <c r="Y100" i="16"/>
  <c r="Z100" i="16" s="1"/>
  <c r="AB94" i="16"/>
  <c r="AB100" i="16"/>
  <c r="Y47" i="16"/>
  <c r="Z47" i="16" s="1"/>
  <c r="AB42" i="16"/>
  <c r="Y18" i="16"/>
  <c r="Z18" i="16" s="1"/>
  <c r="Y23" i="16"/>
  <c r="Z23" i="16" s="1"/>
  <c r="Y28" i="16"/>
  <c r="Z28" i="16" s="1"/>
  <c r="AB47" i="16"/>
  <c r="Y9" i="16"/>
  <c r="Z9" i="16" s="1"/>
  <c r="AB18" i="16"/>
  <c r="AB23" i="16"/>
  <c r="AB33" i="16"/>
  <c r="Y38" i="16"/>
  <c r="Z38" i="16" s="1"/>
  <c r="AB38" i="16"/>
  <c r="Y43" i="16"/>
  <c r="Z43" i="16" s="1"/>
  <c r="Y48" i="16"/>
  <c r="Z48" i="16" s="1"/>
  <c r="Y19" i="16"/>
  <c r="Z19" i="16" s="1"/>
  <c r="AB43" i="16"/>
  <c r="Y39" i="16"/>
  <c r="Z39" i="16" s="1"/>
  <c r="Y29" i="16"/>
  <c r="Z29" i="16" s="1"/>
  <c r="Y10" i="16"/>
  <c r="Z10" i="16" s="1"/>
  <c r="AB24" i="16"/>
  <c r="AB10" i="16"/>
  <c r="Y20" i="16"/>
  <c r="Z20" i="16" s="1"/>
  <c r="AB29" i="16"/>
  <c r="Y30" i="16"/>
  <c r="Z30" i="16" s="1"/>
  <c r="Y40" i="16"/>
  <c r="Z40" i="16" s="1"/>
  <c r="AB11" i="16"/>
  <c r="Y50" i="16"/>
  <c r="Z50" i="16" s="1"/>
  <c r="Y7" i="16"/>
  <c r="Z7" i="16" s="1"/>
  <c r="Y21" i="16"/>
  <c r="Z21" i="16" s="1"/>
  <c r="Y26" i="16"/>
  <c r="Z26" i="16" s="1"/>
  <c r="AB50" i="16"/>
  <c r="AB21" i="16"/>
  <c r="Y31" i="16"/>
  <c r="Z31" i="16" s="1"/>
  <c r="AB7" i="16"/>
  <c r="Y12" i="16"/>
  <c r="Z12" i="16" s="1"/>
  <c r="AB16" i="16"/>
  <c r="AB26" i="16"/>
  <c r="AB31" i="16"/>
  <c r="Y41" i="16"/>
  <c r="Z41" i="16" s="1"/>
  <c r="Y46" i="16"/>
  <c r="Z46" i="16" s="1"/>
  <c r="AB12" i="16"/>
  <c r="AB36" i="16"/>
  <c r="AB41" i="16"/>
  <c r="Y51" i="16"/>
  <c r="Z51" i="16" s="1"/>
  <c r="Y11" i="16"/>
  <c r="Z11" i="16" s="1"/>
  <c r="AB30" i="16"/>
  <c r="Y45" i="16"/>
  <c r="Z45" i="16" s="1"/>
  <c r="AB45" i="16"/>
  <c r="AB46" i="16"/>
  <c r="AB51" i="16"/>
  <c r="AK6" i="3" l="1"/>
  <c r="AG6" i="3"/>
  <c r="AF6" i="3"/>
  <c r="AH6" i="3" s="1"/>
  <c r="AH4" i="3"/>
  <c r="AC6" i="3"/>
  <c r="AB6" i="3"/>
  <c r="AD6" i="3" s="1"/>
  <c r="AD4" i="3"/>
  <c r="AJ6" i="3"/>
  <c r="AL6" i="3" s="1"/>
  <c r="AL4" i="3"/>
  <c r="E4" i="22"/>
  <c r="Z6" i="3"/>
  <c r="K435" i="4" l="1" a="1"/>
  <c r="K435" i="4" s="1"/>
  <c r="K434" i="4" a="1"/>
  <c r="K434" i="4" s="1"/>
  <c r="K433" i="4" a="1"/>
  <c r="K433" i="4" s="1"/>
  <c r="K432" i="4" a="1"/>
  <c r="K432" i="4" s="1"/>
  <c r="K431" i="4" a="1"/>
  <c r="K431" i="4" s="1"/>
  <c r="K430" i="4" a="1"/>
  <c r="K430" i="4" s="1"/>
  <c r="K429" i="4" a="1"/>
  <c r="K429" i="4" s="1"/>
  <c r="K428" i="4" a="1"/>
  <c r="K428" i="4" s="1"/>
  <c r="K427" i="4" a="1"/>
  <c r="K427" i="4" s="1"/>
  <c r="K426" i="4" a="1"/>
  <c r="K426" i="4" s="1"/>
  <c r="K425" i="4" a="1"/>
  <c r="K425" i="4" s="1"/>
  <c r="K424" i="4" a="1"/>
  <c r="K424" i="4" s="1"/>
  <c r="K423" i="4" a="1"/>
  <c r="K423" i="4" s="1"/>
  <c r="K422" i="4" a="1"/>
  <c r="K422" i="4" s="1"/>
  <c r="K421" i="4" a="1"/>
  <c r="K421" i="4" s="1"/>
  <c r="K420" i="4" a="1"/>
  <c r="K420" i="4" s="1"/>
  <c r="K419" i="4" a="1"/>
  <c r="K419" i="4" s="1"/>
  <c r="K418" i="4" a="1"/>
  <c r="K418" i="4" s="1"/>
  <c r="K417" i="4" a="1"/>
  <c r="K417" i="4" s="1"/>
  <c r="K416" i="4" a="1"/>
  <c r="K416" i="4" s="1"/>
  <c r="K415" i="4" a="1"/>
  <c r="K415" i="4" s="1"/>
  <c r="K414" i="4" a="1"/>
  <c r="K414" i="4" s="1"/>
  <c r="K413" i="4" a="1"/>
  <c r="K413" i="4" s="1"/>
  <c r="K412" i="4" a="1"/>
  <c r="K412" i="4" s="1"/>
  <c r="K411" i="4" a="1"/>
  <c r="K411" i="4" s="1"/>
  <c r="K410" i="4" a="1"/>
  <c r="K410" i="4" s="1"/>
  <c r="K409" i="4" a="1"/>
  <c r="K409" i="4" s="1"/>
  <c r="K408" i="4" a="1"/>
  <c r="K408" i="4" s="1"/>
  <c r="K407" i="4" a="1"/>
  <c r="K407" i="4" s="1"/>
  <c r="K406" i="4" a="1"/>
  <c r="K406" i="4" s="1"/>
  <c r="K405" i="4" a="1"/>
  <c r="K405" i="4" s="1"/>
  <c r="K404" i="4" a="1"/>
  <c r="K404" i="4" s="1"/>
  <c r="K403" i="4" a="1"/>
  <c r="K403" i="4" s="1"/>
  <c r="K402" i="4" a="1"/>
  <c r="K402" i="4" s="1"/>
  <c r="K401" i="4" a="1"/>
  <c r="K401" i="4" s="1"/>
  <c r="K400" i="4" a="1"/>
  <c r="K400" i="4" s="1"/>
  <c r="K399" i="4" a="1"/>
  <c r="K399" i="4" s="1"/>
  <c r="K398" i="4" a="1"/>
  <c r="K398" i="4" s="1"/>
  <c r="K397" i="4" a="1"/>
  <c r="K397" i="4" s="1"/>
  <c r="K396" i="4" a="1"/>
  <c r="K396" i="4" s="1"/>
  <c r="K395" i="4" a="1"/>
  <c r="K395" i="4" s="1"/>
  <c r="K394" i="4" a="1"/>
  <c r="K394" i="4" s="1"/>
  <c r="K393" i="4" a="1"/>
  <c r="K393" i="4" s="1"/>
  <c r="K392" i="4" a="1"/>
  <c r="K392" i="4" s="1"/>
  <c r="K391" i="4" a="1"/>
  <c r="K391" i="4" s="1"/>
  <c r="K390" i="4" a="1"/>
  <c r="K390" i="4" s="1"/>
  <c r="K389" i="4" a="1"/>
  <c r="K389" i="4" s="1"/>
  <c r="K388" i="4" a="1"/>
  <c r="K388" i="4" s="1"/>
  <c r="K387" i="4" a="1"/>
  <c r="K387" i="4" s="1"/>
  <c r="K386" i="4" a="1"/>
  <c r="K386" i="4" s="1"/>
  <c r="K385" i="4" a="1"/>
  <c r="K385" i="4" s="1"/>
  <c r="K384" i="4" a="1"/>
  <c r="K384" i="4" s="1"/>
  <c r="K383" i="4" a="1"/>
  <c r="K383" i="4" s="1"/>
  <c r="K382" i="4" a="1"/>
  <c r="K382" i="4" s="1"/>
  <c r="K381" i="4" a="1"/>
  <c r="K381" i="4" s="1"/>
  <c r="K380" i="4" a="1"/>
  <c r="K380" i="4" s="1"/>
  <c r="K379" i="4" a="1"/>
  <c r="K379" i="4" s="1"/>
  <c r="K378" i="4" a="1"/>
  <c r="K378" i="4" s="1"/>
  <c r="K377" i="4" a="1"/>
  <c r="K377" i="4" s="1"/>
  <c r="K376" i="4" a="1"/>
  <c r="K376" i="4" s="1"/>
  <c r="K375" i="4" a="1"/>
  <c r="K375" i="4" s="1"/>
  <c r="K374" i="4" a="1"/>
  <c r="K374" i="4" s="1"/>
  <c r="K373" i="4" a="1"/>
  <c r="K373" i="4" s="1"/>
  <c r="K372" i="4" a="1"/>
  <c r="K372" i="4" s="1"/>
  <c r="K371" i="4" a="1"/>
  <c r="K371" i="4" s="1"/>
  <c r="K370" i="4" a="1"/>
  <c r="K370" i="4" s="1"/>
  <c r="K369" i="4" a="1"/>
  <c r="K369" i="4" s="1"/>
  <c r="K368" i="4" a="1"/>
  <c r="K368" i="4" s="1"/>
  <c r="K367" i="4" a="1"/>
  <c r="K367" i="4" s="1"/>
  <c r="K366" i="4" a="1"/>
  <c r="K366" i="4" s="1"/>
  <c r="K365" i="4" a="1"/>
  <c r="K365" i="4" s="1"/>
  <c r="K364" i="4" a="1"/>
  <c r="K364" i="4" s="1"/>
  <c r="K363" i="4" a="1"/>
  <c r="K363" i="4" s="1"/>
  <c r="K362" i="4" a="1"/>
  <c r="K362" i="4" s="1"/>
  <c r="K361" i="4" a="1"/>
  <c r="K361" i="4" s="1"/>
  <c r="K360" i="4" a="1"/>
  <c r="K360" i="4" s="1"/>
  <c r="K359" i="4" a="1"/>
  <c r="K359" i="4" s="1"/>
  <c r="K358" i="4" a="1"/>
  <c r="K358" i="4" s="1"/>
  <c r="K357" i="4" a="1"/>
  <c r="K357" i="4" s="1"/>
  <c r="K356" i="4" a="1"/>
  <c r="K356" i="4" s="1"/>
  <c r="K355" i="4" a="1"/>
  <c r="K355" i="4" s="1"/>
  <c r="K354" i="4" a="1"/>
  <c r="K354" i="4" s="1"/>
  <c r="K353" i="4" a="1"/>
  <c r="K353" i="4" s="1"/>
  <c r="K352" i="4" a="1"/>
  <c r="K352" i="4" s="1"/>
  <c r="K351" i="4" a="1"/>
  <c r="K351" i="4" s="1"/>
  <c r="K350" i="4" a="1"/>
  <c r="K350" i="4" s="1"/>
  <c r="K349" i="4" a="1"/>
  <c r="K349" i="4" s="1"/>
  <c r="K348" i="4" a="1"/>
  <c r="K348" i="4" s="1"/>
  <c r="K347" i="4" a="1"/>
  <c r="K347" i="4" s="1"/>
  <c r="K346" i="4" a="1"/>
  <c r="K346" i="4" s="1"/>
  <c r="K345" i="4" a="1"/>
  <c r="K345" i="4" s="1"/>
  <c r="K344" i="4" a="1"/>
  <c r="K344" i="4" s="1"/>
  <c r="K343" i="4" a="1"/>
  <c r="K343" i="4" s="1"/>
  <c r="K342" i="4" a="1"/>
  <c r="K342" i="4" s="1"/>
  <c r="K341" i="4" a="1"/>
  <c r="K341" i="4" s="1"/>
  <c r="K340" i="4" a="1"/>
  <c r="K340" i="4" s="1"/>
  <c r="K339" i="4" a="1"/>
  <c r="K339" i="4" s="1"/>
  <c r="K338" i="4" a="1"/>
  <c r="K338" i="4" s="1"/>
  <c r="K337" i="4" a="1"/>
  <c r="K337" i="4" s="1"/>
  <c r="K336" i="4" a="1"/>
  <c r="K336" i="4" s="1"/>
  <c r="K335" i="4" a="1"/>
  <c r="K335" i="4" s="1"/>
  <c r="K334" i="4" a="1"/>
  <c r="K334" i="4" s="1"/>
  <c r="K333" i="4" a="1"/>
  <c r="K333" i="4" s="1"/>
  <c r="K332" i="4" a="1"/>
  <c r="K332" i="4" s="1"/>
  <c r="K331" i="4" a="1"/>
  <c r="K331" i="4" s="1"/>
  <c r="K330" i="4" a="1"/>
  <c r="K330" i="4" s="1"/>
  <c r="K329" i="4" a="1"/>
  <c r="K329" i="4" s="1"/>
  <c r="K328" i="4" a="1"/>
  <c r="K328" i="4" s="1"/>
  <c r="K327" i="4" a="1"/>
  <c r="K327" i="4" s="1"/>
  <c r="K326" i="4" a="1"/>
  <c r="K326" i="4" s="1"/>
  <c r="K325" i="4" a="1"/>
  <c r="K325" i="4" s="1"/>
  <c r="K324" i="4" a="1"/>
  <c r="K324" i="4" s="1"/>
  <c r="K323" i="4" a="1"/>
  <c r="K323" i="4" s="1"/>
  <c r="K322" i="4" a="1"/>
  <c r="K322" i="4" s="1"/>
  <c r="K321" i="4" a="1"/>
  <c r="K321" i="4" s="1"/>
  <c r="K320" i="4" a="1"/>
  <c r="K320" i="4" s="1"/>
  <c r="K319" i="4" a="1"/>
  <c r="K319" i="4" s="1"/>
  <c r="K318" i="4" a="1"/>
  <c r="K318" i="4" s="1"/>
  <c r="K317" i="4" a="1"/>
  <c r="K317" i="4" s="1"/>
  <c r="K316" i="4" a="1"/>
  <c r="K316" i="4" s="1"/>
  <c r="K315" i="4" a="1"/>
  <c r="K315" i="4" s="1"/>
  <c r="K314" i="4" a="1"/>
  <c r="K314" i="4" s="1"/>
  <c r="K313" i="4" a="1"/>
  <c r="K313" i="4" s="1"/>
  <c r="K312" i="4" a="1"/>
  <c r="K312" i="4" s="1"/>
  <c r="K311" i="4" a="1"/>
  <c r="K311" i="4" s="1"/>
  <c r="K310" i="4" a="1"/>
  <c r="K310" i="4" s="1"/>
  <c r="K309" i="4" a="1"/>
  <c r="K309" i="4" s="1"/>
  <c r="K308" i="4" a="1"/>
  <c r="K308" i="4" s="1"/>
  <c r="K307" i="4" a="1"/>
  <c r="K307" i="4" s="1"/>
  <c r="K306" i="4" a="1"/>
  <c r="K306" i="4" s="1"/>
  <c r="K305" i="4" a="1"/>
  <c r="K305" i="4" s="1"/>
  <c r="K304" i="4" a="1"/>
  <c r="K304" i="4" s="1"/>
  <c r="K303" i="4" a="1"/>
  <c r="K303" i="4" s="1"/>
  <c r="K302" i="4" a="1"/>
  <c r="K302" i="4" s="1"/>
  <c r="K301" i="4" a="1"/>
  <c r="K301" i="4" s="1"/>
  <c r="K300" i="4" a="1"/>
  <c r="K300" i="4" s="1"/>
  <c r="K299" i="4" a="1"/>
  <c r="K299" i="4" s="1"/>
  <c r="K298" i="4" a="1"/>
  <c r="K298" i="4" s="1"/>
  <c r="K297" i="4" a="1"/>
  <c r="K297" i="4" s="1"/>
  <c r="K296" i="4" a="1"/>
  <c r="K296" i="4" s="1"/>
  <c r="K295" i="4" a="1"/>
  <c r="K295" i="4" s="1"/>
  <c r="K294" i="4" a="1"/>
  <c r="K294" i="4" s="1"/>
  <c r="K293" i="4" a="1"/>
  <c r="K293" i="4" s="1"/>
  <c r="K292" i="4" a="1"/>
  <c r="K292" i="4" s="1"/>
  <c r="K291" i="4" a="1"/>
  <c r="K291" i="4" s="1"/>
  <c r="K290" i="4" a="1"/>
  <c r="K290" i="4" s="1"/>
  <c r="K289" i="4" a="1"/>
  <c r="K289" i="4" s="1"/>
  <c r="K288" i="4" a="1"/>
  <c r="K288" i="4" s="1"/>
  <c r="K287" i="4" a="1"/>
  <c r="K287" i="4" s="1"/>
  <c r="K286" i="4" a="1"/>
  <c r="K286" i="4" s="1"/>
  <c r="K285" i="4" a="1"/>
  <c r="K285" i="4" s="1"/>
  <c r="K284" i="4" a="1"/>
  <c r="K284" i="4" s="1"/>
  <c r="K283" i="4" a="1"/>
  <c r="K283" i="4" s="1"/>
  <c r="K282" i="4" a="1"/>
  <c r="K282" i="4" s="1"/>
  <c r="K281" i="4" a="1"/>
  <c r="K281" i="4" s="1"/>
  <c r="K280" i="4" a="1"/>
  <c r="K280" i="4" s="1"/>
  <c r="K279" i="4" a="1"/>
  <c r="K279" i="4" s="1"/>
  <c r="K278" i="4" a="1"/>
  <c r="K278" i="4" s="1"/>
  <c r="K277" i="4" a="1"/>
  <c r="K277" i="4" s="1"/>
  <c r="K276" i="4" a="1"/>
  <c r="K276" i="4" s="1"/>
  <c r="K275" i="4" a="1"/>
  <c r="K275" i="4" s="1"/>
  <c r="K274" i="4" a="1"/>
  <c r="K274" i="4" s="1"/>
  <c r="K273" i="4" a="1"/>
  <c r="K273" i="4" s="1"/>
  <c r="K272" i="4" a="1"/>
  <c r="K272" i="4" s="1"/>
  <c r="K271" i="4" a="1"/>
  <c r="K271" i="4" s="1"/>
  <c r="K270" i="4" a="1"/>
  <c r="K270" i="4" s="1"/>
  <c r="K269" i="4" a="1"/>
  <c r="K269" i="4" s="1"/>
  <c r="K268" i="4" a="1"/>
  <c r="K268" i="4" s="1"/>
  <c r="K267" i="4" a="1"/>
  <c r="K267" i="4" s="1"/>
  <c r="K266" i="4" a="1"/>
  <c r="K266" i="4" s="1"/>
  <c r="K265" i="4" a="1"/>
  <c r="K265" i="4" s="1"/>
  <c r="K264" i="4" a="1"/>
  <c r="K264" i="4" s="1"/>
  <c r="K263" i="4" a="1"/>
  <c r="K263" i="4" s="1"/>
  <c r="K262" i="4" a="1"/>
  <c r="K262" i="4" s="1"/>
  <c r="K261" i="4" a="1"/>
  <c r="K261" i="4" s="1"/>
  <c r="K260" i="4" a="1"/>
  <c r="K260" i="4" s="1"/>
  <c r="K259" i="4" a="1"/>
  <c r="K259" i="4" s="1"/>
  <c r="K258" i="4" a="1"/>
  <c r="K258" i="4" s="1"/>
  <c r="K257" i="4" a="1"/>
  <c r="K257" i="4" s="1"/>
  <c r="K256" i="4" a="1"/>
  <c r="K256" i="4" s="1"/>
  <c r="K255" i="4" a="1"/>
  <c r="K255" i="4" s="1"/>
  <c r="K254" i="4" a="1"/>
  <c r="K254" i="4" s="1"/>
  <c r="K253" i="4" a="1"/>
  <c r="K253" i="4" s="1"/>
  <c r="K252" i="4" a="1"/>
  <c r="K252" i="4" s="1"/>
  <c r="K251" i="4" a="1"/>
  <c r="K251" i="4" s="1"/>
  <c r="K250" i="4" a="1"/>
  <c r="K250" i="4" s="1"/>
  <c r="K249" i="4" a="1"/>
  <c r="K249" i="4" s="1"/>
  <c r="K248" i="4" a="1"/>
  <c r="K248" i="4" s="1"/>
  <c r="K247" i="4" a="1"/>
  <c r="K247" i="4" s="1"/>
  <c r="K246" i="4" a="1"/>
  <c r="K246" i="4" s="1"/>
  <c r="K245" i="4" a="1"/>
  <c r="K245" i="4" s="1"/>
  <c r="K244" i="4" a="1"/>
  <c r="K244" i="4" s="1"/>
  <c r="K243" i="4" a="1"/>
  <c r="K243" i="4" s="1"/>
  <c r="K242" i="4" a="1"/>
  <c r="K242" i="4" s="1"/>
  <c r="K241" i="4" a="1"/>
  <c r="K241" i="4" s="1"/>
  <c r="K240" i="4" a="1"/>
  <c r="K240" i="4" s="1"/>
  <c r="K239" i="4" a="1"/>
  <c r="K239" i="4" s="1"/>
  <c r="K238" i="4" a="1"/>
  <c r="K238" i="4" s="1"/>
  <c r="K237" i="4" a="1"/>
  <c r="K237" i="4" s="1"/>
  <c r="K236" i="4" a="1"/>
  <c r="K236" i="4" s="1"/>
  <c r="K235" i="4" a="1"/>
  <c r="K235" i="4" s="1"/>
  <c r="K234" i="4" a="1"/>
  <c r="K234" i="4" s="1"/>
  <c r="K233" i="4" a="1"/>
  <c r="K233" i="4" s="1"/>
  <c r="K232" i="4" a="1"/>
  <c r="K232" i="4" s="1"/>
  <c r="K231" i="4" a="1"/>
  <c r="K231" i="4" s="1"/>
  <c r="K230" i="4" a="1"/>
  <c r="K230" i="4" s="1"/>
  <c r="K229" i="4" a="1"/>
  <c r="K229" i="4" s="1"/>
  <c r="K228" i="4" a="1"/>
  <c r="K228" i="4" s="1"/>
  <c r="K227" i="4" a="1"/>
  <c r="K227" i="4" s="1"/>
  <c r="K226" i="4" a="1"/>
  <c r="K226" i="4" s="1"/>
  <c r="K225" i="4" a="1"/>
  <c r="K225" i="4" s="1"/>
  <c r="K224" i="4" a="1"/>
  <c r="K224" i="4" s="1"/>
  <c r="K223" i="4" a="1"/>
  <c r="K223" i="4" s="1"/>
  <c r="K222" i="4" a="1"/>
  <c r="K222" i="4" s="1"/>
  <c r="K221" i="4" a="1"/>
  <c r="K221" i="4" s="1"/>
  <c r="K220" i="4" a="1"/>
  <c r="K220" i="4" s="1"/>
  <c r="K219" i="4" a="1"/>
  <c r="K219" i="4" s="1"/>
  <c r="K218" i="4" a="1"/>
  <c r="K218" i="4" s="1"/>
  <c r="K217" i="4" a="1"/>
  <c r="K217" i="4" s="1"/>
  <c r="K216" i="4" a="1"/>
  <c r="K216" i="4" s="1"/>
  <c r="K215" i="4" a="1"/>
  <c r="K215" i="4" s="1"/>
  <c r="K214" i="4" a="1"/>
  <c r="K214" i="4" s="1"/>
  <c r="K213" i="4" a="1"/>
  <c r="K213" i="4" s="1"/>
  <c r="K212" i="4" a="1"/>
  <c r="K212" i="4" s="1"/>
  <c r="K211" i="4" a="1"/>
  <c r="K211" i="4" s="1"/>
  <c r="K210" i="4" a="1"/>
  <c r="K210" i="4" s="1"/>
  <c r="K209" i="4" a="1"/>
  <c r="K209" i="4" s="1"/>
  <c r="K208" i="4" a="1"/>
  <c r="K208" i="4" s="1"/>
  <c r="K207" i="4" a="1"/>
  <c r="K207" i="4" s="1"/>
  <c r="K206" i="4" a="1"/>
  <c r="K206" i="4" s="1"/>
  <c r="K205" i="4" a="1"/>
  <c r="K205" i="4" s="1"/>
  <c r="K204" i="4" a="1"/>
  <c r="K204" i="4" s="1"/>
  <c r="K203" i="4" a="1"/>
  <c r="K203" i="4" s="1"/>
  <c r="K202" i="4" a="1"/>
  <c r="K202" i="4" s="1"/>
  <c r="K201" i="4" a="1"/>
  <c r="K201" i="4" s="1"/>
  <c r="K200" i="4" a="1"/>
  <c r="K200" i="4" s="1"/>
  <c r="K199" i="4" a="1"/>
  <c r="K199" i="4" s="1"/>
  <c r="K198" i="4" a="1"/>
  <c r="K198" i="4" s="1"/>
  <c r="K197" i="4" a="1"/>
  <c r="K197" i="4" s="1"/>
  <c r="K196" i="4" a="1"/>
  <c r="K196" i="4" s="1"/>
  <c r="K195" i="4" a="1"/>
  <c r="K195" i="4" s="1"/>
  <c r="K194" i="4" a="1"/>
  <c r="K194" i="4" s="1"/>
  <c r="K193" i="4" a="1"/>
  <c r="K193" i="4" s="1"/>
  <c r="K192" i="4" a="1"/>
  <c r="K192" i="4" s="1"/>
  <c r="K191" i="4" a="1"/>
  <c r="K191" i="4" s="1"/>
  <c r="K190" i="4" a="1"/>
  <c r="K190" i="4" s="1"/>
  <c r="K189" i="4" a="1"/>
  <c r="K189" i="4" s="1"/>
  <c r="K188" i="4" a="1"/>
  <c r="K188" i="4" s="1"/>
  <c r="K187" i="4" a="1"/>
  <c r="K187" i="4" s="1"/>
  <c r="K186" i="4" a="1"/>
  <c r="K186" i="4" s="1"/>
  <c r="K185" i="4" a="1"/>
  <c r="K185" i="4" s="1"/>
  <c r="K184" i="4" a="1"/>
  <c r="K184" i="4" s="1"/>
  <c r="K183" i="4" a="1"/>
  <c r="K183" i="4" s="1"/>
  <c r="K182" i="4" a="1"/>
  <c r="K182" i="4" s="1"/>
  <c r="K181" i="4" a="1"/>
  <c r="K181" i="4" s="1"/>
  <c r="K180" i="4" a="1"/>
  <c r="K180" i="4" s="1"/>
  <c r="K179" i="4" a="1"/>
  <c r="K179" i="4" s="1"/>
  <c r="K178" i="4" a="1"/>
  <c r="K178" i="4" s="1"/>
  <c r="K177" i="4" a="1"/>
  <c r="K177" i="4" s="1"/>
  <c r="K176" i="4" a="1"/>
  <c r="K176" i="4" s="1"/>
  <c r="K175" i="4" a="1"/>
  <c r="K175" i="4" s="1"/>
  <c r="K174" i="4" a="1"/>
  <c r="K174" i="4" s="1"/>
  <c r="K173" i="4" a="1"/>
  <c r="K173" i="4" s="1"/>
  <c r="K172" i="4" a="1"/>
  <c r="K172" i="4" s="1"/>
  <c r="K171" i="4" a="1"/>
  <c r="K171" i="4" s="1"/>
  <c r="K170" i="4" a="1"/>
  <c r="K170" i="4" s="1"/>
  <c r="K169" i="4" a="1"/>
  <c r="K169" i="4" s="1"/>
  <c r="K168" i="4" a="1"/>
  <c r="K168" i="4" s="1"/>
  <c r="K167" i="4" a="1"/>
  <c r="K167" i="4" s="1"/>
  <c r="K166" i="4" a="1"/>
  <c r="K166" i="4" s="1"/>
  <c r="K165" i="4" a="1"/>
  <c r="K165" i="4" s="1"/>
  <c r="K164" i="4" a="1"/>
  <c r="K164" i="4" s="1"/>
  <c r="K163" i="4" a="1"/>
  <c r="K163" i="4" s="1"/>
  <c r="K162" i="4" a="1"/>
  <c r="K162" i="4" s="1"/>
  <c r="K161" i="4" a="1"/>
  <c r="K161" i="4" s="1"/>
  <c r="K160" i="4" a="1"/>
  <c r="K160" i="4" s="1"/>
  <c r="K159" i="4" a="1"/>
  <c r="K159" i="4" s="1"/>
  <c r="K158" i="4" a="1"/>
  <c r="K158" i="4" s="1"/>
  <c r="K157" i="4" a="1"/>
  <c r="K157" i="4" s="1"/>
  <c r="K156" i="4" a="1"/>
  <c r="K156" i="4" s="1"/>
  <c r="K155" i="4" a="1"/>
  <c r="K155" i="4" s="1"/>
  <c r="K154" i="4" a="1"/>
  <c r="K154" i="4" s="1"/>
  <c r="K153" i="4" a="1"/>
  <c r="K153" i="4" s="1"/>
  <c r="K152" i="4" a="1"/>
  <c r="K152" i="4" s="1"/>
  <c r="K151" i="4" a="1"/>
  <c r="K151" i="4" s="1"/>
  <c r="K150" i="4" a="1"/>
  <c r="K150" i="4" s="1"/>
  <c r="K149" i="4" a="1"/>
  <c r="K149" i="4" s="1"/>
  <c r="K148" i="4" a="1"/>
  <c r="K148" i="4" s="1"/>
  <c r="K147" i="4" a="1"/>
  <c r="K147" i="4" s="1"/>
  <c r="K146" i="4" a="1"/>
  <c r="K146" i="4" s="1"/>
  <c r="K145" i="4" a="1"/>
  <c r="K145" i="4" s="1"/>
  <c r="K144" i="4" a="1"/>
  <c r="K144" i="4" s="1"/>
  <c r="K143" i="4" a="1"/>
  <c r="K143" i="4" s="1"/>
  <c r="K142" i="4" a="1"/>
  <c r="K142" i="4" s="1"/>
  <c r="K141" i="4" a="1"/>
  <c r="K141" i="4" s="1"/>
  <c r="K140" i="4" a="1"/>
  <c r="K140" i="4" s="1"/>
  <c r="K139" i="4" a="1"/>
  <c r="K139" i="4" s="1"/>
  <c r="K138" i="4" a="1"/>
  <c r="K138" i="4" s="1"/>
  <c r="K137" i="4" a="1"/>
  <c r="K137" i="4" s="1"/>
  <c r="K136" i="4" a="1"/>
  <c r="K136" i="4" s="1"/>
  <c r="K135" i="4" a="1"/>
  <c r="K135" i="4" s="1"/>
  <c r="K134" i="4" a="1"/>
  <c r="K134" i="4" s="1"/>
  <c r="K133" i="4" a="1"/>
  <c r="K133" i="4" s="1"/>
  <c r="K132" i="4" a="1"/>
  <c r="K132" i="4" s="1"/>
  <c r="K131" i="4" a="1"/>
  <c r="K131" i="4" s="1"/>
  <c r="K130" i="4" a="1"/>
  <c r="K130" i="4" s="1"/>
  <c r="K129" i="4" a="1"/>
  <c r="K129" i="4" s="1"/>
  <c r="K128" i="4" a="1"/>
  <c r="K128" i="4" s="1"/>
  <c r="K127" i="4" a="1"/>
  <c r="K127" i="4" s="1"/>
  <c r="K126" i="4" a="1"/>
  <c r="K126" i="4" s="1"/>
  <c r="K125" i="4" a="1"/>
  <c r="K125" i="4" s="1"/>
  <c r="K124" i="4" a="1"/>
  <c r="K124" i="4" s="1"/>
  <c r="K123" i="4" a="1"/>
  <c r="K123" i="4" s="1"/>
  <c r="K122" i="4" a="1"/>
  <c r="K122" i="4" s="1"/>
  <c r="K121" i="4" a="1"/>
  <c r="K121" i="4" s="1"/>
  <c r="K120" i="4" a="1"/>
  <c r="K120" i="4" s="1"/>
  <c r="K119" i="4" a="1"/>
  <c r="K119" i="4" s="1"/>
  <c r="K118" i="4" a="1"/>
  <c r="K118" i="4" s="1"/>
  <c r="K117" i="4" a="1"/>
  <c r="K117" i="4" s="1"/>
  <c r="K116" i="4" a="1"/>
  <c r="K116" i="4" s="1"/>
  <c r="K115" i="4" a="1"/>
  <c r="K115" i="4" s="1"/>
  <c r="K114" i="4" a="1"/>
  <c r="K114" i="4" s="1"/>
  <c r="K113" i="4" a="1"/>
  <c r="K113" i="4" s="1"/>
  <c r="K112" i="4" a="1"/>
  <c r="K112" i="4" s="1"/>
  <c r="K111" i="4" a="1"/>
  <c r="K111" i="4" s="1"/>
  <c r="K110" i="4" a="1"/>
  <c r="K110" i="4" s="1"/>
  <c r="K109" i="4" a="1"/>
  <c r="K109" i="4" s="1"/>
  <c r="K108" i="4" a="1"/>
  <c r="K108" i="4" s="1"/>
  <c r="K107" i="4" a="1"/>
  <c r="K107" i="4" s="1"/>
  <c r="K106" i="4" a="1"/>
  <c r="K106" i="4" s="1"/>
  <c r="K105" i="4" a="1"/>
  <c r="K105" i="4" s="1"/>
  <c r="K104" i="4" a="1"/>
  <c r="K104" i="4" s="1"/>
  <c r="K103" i="4" a="1"/>
  <c r="K103" i="4" s="1"/>
  <c r="K102" i="4" a="1"/>
  <c r="K102" i="4" s="1"/>
  <c r="K101" i="4" a="1"/>
  <c r="K101" i="4" s="1"/>
  <c r="K100" i="4" a="1"/>
  <c r="K100" i="4" s="1"/>
  <c r="K99" i="4" a="1"/>
  <c r="K99" i="4" s="1"/>
  <c r="K98" i="4" a="1"/>
  <c r="K98" i="4" s="1"/>
  <c r="K97" i="4" a="1"/>
  <c r="K97" i="4" s="1"/>
  <c r="K96" i="4" a="1"/>
  <c r="K96" i="4" s="1"/>
  <c r="K95" i="4" a="1"/>
  <c r="K95" i="4" s="1"/>
  <c r="K94" i="4" a="1"/>
  <c r="K94" i="4" s="1"/>
  <c r="K93" i="4" a="1"/>
  <c r="K93" i="4" s="1"/>
  <c r="K92" i="4" a="1"/>
  <c r="K92" i="4" s="1"/>
  <c r="K91" i="4" a="1"/>
  <c r="K91" i="4" s="1"/>
  <c r="K90" i="4" a="1"/>
  <c r="K90" i="4" s="1"/>
  <c r="K89" i="4" a="1"/>
  <c r="K89" i="4" s="1"/>
  <c r="K88" i="4" a="1"/>
  <c r="K88" i="4" s="1"/>
  <c r="K87" i="4" a="1"/>
  <c r="K87" i="4" s="1"/>
  <c r="K86" i="4" a="1"/>
  <c r="K86" i="4" s="1"/>
  <c r="K85" i="4" a="1"/>
  <c r="K85" i="4" s="1"/>
  <c r="K84" i="4" a="1"/>
  <c r="K84" i="4" s="1"/>
  <c r="K83" i="4" a="1"/>
  <c r="K83" i="4" s="1"/>
  <c r="K82" i="4" a="1"/>
  <c r="K82" i="4" s="1"/>
  <c r="K81" i="4" a="1"/>
  <c r="K81" i="4" s="1"/>
  <c r="K80" i="4" a="1"/>
  <c r="K80" i="4" s="1"/>
  <c r="K79" i="4" a="1"/>
  <c r="K79" i="4" s="1"/>
  <c r="K78" i="4" a="1"/>
  <c r="K78" i="4" s="1"/>
  <c r="K77" i="4" a="1"/>
  <c r="K77" i="4" s="1"/>
  <c r="K76" i="4" a="1"/>
  <c r="K76" i="4" s="1"/>
  <c r="K75" i="4" a="1"/>
  <c r="K75" i="4" s="1"/>
  <c r="K74" i="4" a="1"/>
  <c r="K74" i="4" s="1"/>
  <c r="K73" i="4" a="1"/>
  <c r="K73" i="4" s="1"/>
  <c r="K72" i="4" a="1"/>
  <c r="K72" i="4" s="1"/>
  <c r="K71" i="4" a="1"/>
  <c r="K71" i="4" s="1"/>
  <c r="K70" i="4" a="1"/>
  <c r="K70" i="4" s="1"/>
  <c r="K69" i="4" a="1"/>
  <c r="K69" i="4" s="1"/>
  <c r="K68" i="4" a="1"/>
  <c r="K68" i="4" s="1"/>
  <c r="K67" i="4" a="1"/>
  <c r="K67" i="4" s="1"/>
  <c r="K66" i="4" a="1"/>
  <c r="K66" i="4" s="1"/>
  <c r="K65" i="4" a="1"/>
  <c r="K65" i="4" s="1"/>
  <c r="K64" i="4" a="1"/>
  <c r="K64" i="4" s="1"/>
  <c r="K63" i="4" a="1"/>
  <c r="K63" i="4" s="1"/>
  <c r="K62" i="4" a="1"/>
  <c r="K62" i="4" s="1"/>
  <c r="K61" i="4" a="1"/>
  <c r="K61" i="4" s="1"/>
  <c r="K60" i="4" a="1"/>
  <c r="K60" i="4" s="1"/>
  <c r="K59" i="4" a="1"/>
  <c r="K59" i="4" s="1"/>
  <c r="K58" i="4" a="1"/>
  <c r="K58" i="4" s="1"/>
  <c r="K57" i="4" a="1"/>
  <c r="K57" i="4" s="1"/>
  <c r="K56" i="4" a="1"/>
  <c r="K56" i="4" s="1"/>
  <c r="K55" i="4" a="1"/>
  <c r="K55" i="4" s="1"/>
  <c r="K54" i="4" a="1"/>
  <c r="K54" i="4" s="1"/>
  <c r="K53" i="4" a="1"/>
  <c r="K53" i="4" s="1"/>
  <c r="K52" i="4" a="1"/>
  <c r="K52" i="4" s="1"/>
  <c r="K51" i="4" a="1"/>
  <c r="K51" i="4" s="1"/>
  <c r="K50" i="4" a="1"/>
  <c r="K50" i="4" s="1"/>
  <c r="K49" i="4" a="1"/>
  <c r="K49" i="4" s="1"/>
  <c r="K48" i="4" a="1"/>
  <c r="K48" i="4" s="1"/>
  <c r="K47" i="4" a="1"/>
  <c r="K47" i="4" s="1"/>
  <c r="K46" i="4" a="1"/>
  <c r="K46" i="4" s="1"/>
  <c r="K45" i="4" a="1"/>
  <c r="K45" i="4" s="1"/>
  <c r="K44" i="4" a="1"/>
  <c r="K44" i="4" s="1"/>
  <c r="K43" i="4" a="1"/>
  <c r="K43" i="4" s="1"/>
  <c r="K42" i="4" a="1"/>
  <c r="K42" i="4" s="1"/>
  <c r="K41" i="4" a="1"/>
  <c r="K41" i="4" s="1"/>
  <c r="K40" i="4" a="1"/>
  <c r="K40" i="4" s="1"/>
  <c r="K39" i="4" a="1"/>
  <c r="K39" i="4" s="1"/>
  <c r="K38" i="4" a="1"/>
  <c r="K38" i="4" s="1"/>
  <c r="K37" i="4" a="1"/>
  <c r="K37" i="4" s="1"/>
  <c r="K36" i="4" a="1"/>
  <c r="K36" i="4" s="1"/>
  <c r="K35" i="4" a="1"/>
  <c r="K35" i="4" s="1"/>
  <c r="K34" i="4" a="1"/>
  <c r="K34" i="4" s="1"/>
  <c r="K33" i="4" a="1"/>
  <c r="K33" i="4" s="1"/>
  <c r="K32" i="4" a="1"/>
  <c r="K32" i="4" s="1"/>
  <c r="K31" i="4" a="1"/>
  <c r="K31" i="4" s="1"/>
  <c r="K30" i="4" a="1"/>
  <c r="K30" i="4" s="1"/>
  <c r="K29" i="4" a="1"/>
  <c r="K29" i="4" s="1"/>
  <c r="K28" i="4" a="1"/>
  <c r="K28" i="4" s="1"/>
  <c r="K27" i="4" a="1"/>
  <c r="K27" i="4" s="1"/>
  <c r="K26" i="4" a="1"/>
  <c r="K26" i="4" s="1"/>
  <c r="K25" i="4" a="1"/>
  <c r="K25" i="4" s="1"/>
  <c r="K24" i="4" a="1"/>
  <c r="K24" i="4" s="1"/>
  <c r="K23" i="4" a="1"/>
  <c r="K23" i="4" s="1"/>
  <c r="K22" i="4" a="1"/>
  <c r="K22" i="4" s="1"/>
  <c r="K21" i="4" a="1"/>
  <c r="K21" i="4" s="1"/>
  <c r="K20" i="4" a="1"/>
  <c r="K20" i="4" s="1"/>
  <c r="K19" i="4" a="1"/>
  <c r="K19" i="4" s="1"/>
  <c r="K18" i="4" a="1"/>
  <c r="K18" i="4" s="1"/>
  <c r="K17" i="4" a="1"/>
  <c r="K17" i="4" s="1"/>
  <c r="K16" i="4" a="1"/>
  <c r="K16" i="4" s="1"/>
  <c r="K15" i="4" a="1"/>
  <c r="K15" i="4" s="1"/>
  <c r="K14" i="4" a="1"/>
  <c r="K14" i="4" s="1"/>
  <c r="K13" i="4" a="1"/>
  <c r="K13" i="4" s="1"/>
  <c r="K12" i="4" a="1"/>
  <c r="K12" i="4" s="1"/>
  <c r="K11" i="4" a="1"/>
  <c r="K11" i="4" s="1"/>
  <c r="K10" i="4" a="1"/>
  <c r="K10" i="4" s="1"/>
  <c r="K9" i="4" a="1"/>
  <c r="K9" i="4" s="1"/>
  <c r="K8" i="4" a="1"/>
  <c r="K8" i="4" s="1"/>
  <c r="K7" i="4" a="1"/>
  <c r="K7" i="4" s="1"/>
  <c r="K6" i="4" a="1"/>
  <c r="K6" i="4" s="1"/>
  <c r="AL60" i="33" l="1"/>
  <c r="AL61" i="33" s="1"/>
  <c r="AK60" i="33"/>
  <c r="AK61" i="33" s="1"/>
  <c r="AJ60" i="33"/>
  <c r="AJ61" i="33" s="1"/>
  <c r="AI60" i="33"/>
  <c r="AI61" i="33" s="1"/>
  <c r="AH60" i="33"/>
  <c r="AH61" i="33" s="1"/>
  <c r="AG60" i="33"/>
  <c r="AG61" i="33" s="1"/>
  <c r="AF60" i="33"/>
  <c r="AF61" i="33" s="1"/>
  <c r="AC56" i="33"/>
  <c r="AB56" i="33"/>
  <c r="AA56" i="33"/>
  <c r="AC59" i="33"/>
  <c r="AB59" i="33"/>
  <c r="AA59" i="33"/>
  <c r="AC58" i="33"/>
  <c r="AB58" i="33"/>
  <c r="AA58" i="33"/>
  <c r="AC57" i="33"/>
  <c r="AB57" i="33"/>
  <c r="AA57" i="33"/>
  <c r="AC55" i="33"/>
  <c r="AB55" i="33"/>
  <c r="AA55" i="33"/>
  <c r="AC54" i="33"/>
  <c r="AB54" i="33"/>
  <c r="AA54" i="33"/>
  <c r="AC52" i="33"/>
  <c r="AB52" i="33"/>
  <c r="AA52" i="33"/>
  <c r="AC51" i="33"/>
  <c r="AB51" i="33"/>
  <c r="AA51" i="33"/>
  <c r="AC50" i="33"/>
  <c r="AB50" i="33"/>
  <c r="AA50" i="33"/>
  <c r="AC49" i="33"/>
  <c r="AB49" i="33"/>
  <c r="AA49" i="33"/>
  <c r="AC48" i="33"/>
  <c r="AB48" i="33"/>
  <c r="AA48" i="33"/>
  <c r="AC47" i="33"/>
  <c r="AB47" i="33"/>
  <c r="AA47" i="33"/>
  <c r="AC46" i="33"/>
  <c r="AB46" i="33"/>
  <c r="AA46" i="33"/>
  <c r="W70" i="33"/>
  <c r="V70" i="33"/>
  <c r="U70" i="33"/>
  <c r="T70" i="33"/>
  <c r="W71" i="33"/>
  <c r="V71" i="33"/>
  <c r="W69" i="33"/>
  <c r="V69" i="33"/>
  <c r="W67" i="33"/>
  <c r="V67" i="33"/>
  <c r="W66" i="33"/>
  <c r="V66" i="33"/>
  <c r="W65" i="33"/>
  <c r="V65" i="33"/>
  <c r="O60" i="33"/>
  <c r="N60" i="33"/>
  <c r="X51" i="33"/>
  <c r="M58" i="33"/>
  <c r="U58" i="33" s="1"/>
  <c r="L58" i="33"/>
  <c r="T58" i="33" s="1"/>
  <c r="K58" i="33"/>
  <c r="S58" i="33" s="1"/>
  <c r="J58" i="33"/>
  <c r="R58" i="33" s="1"/>
  <c r="I58" i="33"/>
  <c r="Q58" i="33" s="1"/>
  <c r="W58" i="33"/>
  <c r="V58" i="33"/>
  <c r="W56" i="33"/>
  <c r="V56" i="33"/>
  <c r="U56" i="33"/>
  <c r="T56" i="33"/>
  <c r="Q56" i="33"/>
  <c r="W59" i="33"/>
  <c r="V59" i="33"/>
  <c r="Q59" i="33"/>
  <c r="W57" i="33"/>
  <c r="V57" i="33"/>
  <c r="W55" i="33"/>
  <c r="V55" i="33"/>
  <c r="W54" i="33"/>
  <c r="W60" i="33" s="1"/>
  <c r="V54" i="33"/>
  <c r="V60" i="33" s="1"/>
  <c r="U54" i="33"/>
  <c r="W50" i="33"/>
  <c r="V50" i="33"/>
  <c r="W52" i="33"/>
  <c r="V52" i="33"/>
  <c r="W51" i="33"/>
  <c r="V51" i="33"/>
  <c r="W49" i="33"/>
  <c r="V49" i="33"/>
  <c r="W48" i="33"/>
  <c r="V48" i="33"/>
  <c r="W47" i="33"/>
  <c r="V47" i="33"/>
  <c r="S47" i="33"/>
  <c r="W46" i="33"/>
  <c r="V46" i="33"/>
  <c r="K56" i="33"/>
  <c r="S56" i="33" s="1"/>
  <c r="I50" i="33"/>
  <c r="Q50" i="33" s="1"/>
  <c r="H50" i="33"/>
  <c r="X50" i="33" s="1"/>
  <c r="D60" i="33"/>
  <c r="E58" i="33"/>
  <c r="E50" i="33"/>
  <c r="AC25" i="33"/>
  <c r="W40" i="33"/>
  <c r="V40" i="33"/>
  <c r="U40" i="33"/>
  <c r="T40" i="33"/>
  <c r="W39" i="33"/>
  <c r="V39" i="33"/>
  <c r="U39" i="33"/>
  <c r="T39" i="33"/>
  <c r="W38" i="33"/>
  <c r="V38" i="33"/>
  <c r="U38" i="33"/>
  <c r="T38" i="33"/>
  <c r="W37" i="33"/>
  <c r="V37" i="33"/>
  <c r="U37" i="33"/>
  <c r="T37" i="33"/>
  <c r="W36" i="33"/>
  <c r="V36" i="33"/>
  <c r="U36" i="33"/>
  <c r="T36" i="33"/>
  <c r="W35" i="33"/>
  <c r="V35" i="33"/>
  <c r="U35" i="33"/>
  <c r="T35" i="33"/>
  <c r="W34" i="33"/>
  <c r="V34" i="33"/>
  <c r="U34" i="33"/>
  <c r="T34" i="33"/>
  <c r="W33" i="33"/>
  <c r="V33" i="33"/>
  <c r="U33" i="33"/>
  <c r="T33" i="33"/>
  <c r="W32" i="33"/>
  <c r="V32" i="33"/>
  <c r="U32" i="33"/>
  <c r="T32" i="33"/>
  <c r="W30" i="33"/>
  <c r="V30" i="33"/>
  <c r="U30" i="33"/>
  <c r="T30" i="33"/>
  <c r="W29" i="33"/>
  <c r="V29" i="33"/>
  <c r="U29" i="33"/>
  <c r="T29" i="33"/>
  <c r="W28" i="33"/>
  <c r="V28" i="33"/>
  <c r="U28" i="33"/>
  <c r="T28" i="33"/>
  <c r="W27" i="33"/>
  <c r="V27" i="33"/>
  <c r="U27" i="33"/>
  <c r="T27" i="33"/>
  <c r="W26" i="33"/>
  <c r="V26" i="33"/>
  <c r="U26" i="33"/>
  <c r="T26" i="33"/>
  <c r="W25" i="33"/>
  <c r="V25" i="33"/>
  <c r="U25" i="33"/>
  <c r="T25" i="33"/>
  <c r="W24" i="33"/>
  <c r="V24" i="33"/>
  <c r="U24" i="33"/>
  <c r="T24" i="33"/>
  <c r="W23" i="33"/>
  <c r="V23" i="33"/>
  <c r="U23" i="33"/>
  <c r="T23" i="33"/>
  <c r="W22" i="33"/>
  <c r="V22" i="33"/>
  <c r="U22" i="33"/>
  <c r="T22" i="33"/>
  <c r="W16" i="33"/>
  <c r="V16" i="33"/>
  <c r="W15" i="33"/>
  <c r="V15" i="33"/>
  <c r="W14" i="33"/>
  <c r="V14" i="33"/>
  <c r="W13" i="33"/>
  <c r="V13" i="33"/>
  <c r="W12" i="33"/>
  <c r="V12" i="33"/>
  <c r="W11" i="33"/>
  <c r="V11" i="33"/>
  <c r="W10" i="33"/>
  <c r="V10" i="33"/>
  <c r="W8" i="33"/>
  <c r="V8" i="33"/>
  <c r="W7" i="33"/>
  <c r="V7" i="33"/>
  <c r="W6" i="33"/>
  <c r="V6" i="33"/>
  <c r="W5" i="33"/>
  <c r="V5" i="33"/>
  <c r="W4" i="33"/>
  <c r="V4" i="33"/>
  <c r="W3" i="33"/>
  <c r="V3" i="33"/>
  <c r="Z7" i="33"/>
  <c r="Z6" i="33"/>
  <c r="AL71" i="33"/>
  <c r="AK71" i="33"/>
  <c r="AL70" i="33"/>
  <c r="AK70" i="33"/>
  <c r="AJ70" i="33"/>
  <c r="AI70" i="33"/>
  <c r="AL69" i="33"/>
  <c r="AK69" i="33"/>
  <c r="AL67" i="33"/>
  <c r="AK67" i="33"/>
  <c r="AL66" i="33"/>
  <c r="AK66" i="33"/>
  <c r="AL65" i="33"/>
  <c r="AK65" i="33"/>
  <c r="AL58" i="33"/>
  <c r="AK58" i="33"/>
  <c r="AL59" i="33"/>
  <c r="AK59" i="33"/>
  <c r="AL57" i="33"/>
  <c r="AK57" i="33"/>
  <c r="AL56" i="33"/>
  <c r="AK56" i="33"/>
  <c r="AL55" i="33"/>
  <c r="AK55" i="33"/>
  <c r="AL54" i="33"/>
  <c r="AK54" i="33"/>
  <c r="AL52" i="33"/>
  <c r="AK52" i="33"/>
  <c r="AL51" i="33"/>
  <c r="AK51" i="33"/>
  <c r="AL50" i="33"/>
  <c r="AK50" i="33"/>
  <c r="AL49" i="33"/>
  <c r="AK49" i="33"/>
  <c r="AL48" i="33"/>
  <c r="AK48" i="33"/>
  <c r="AL46" i="33"/>
  <c r="AK46" i="33"/>
  <c r="AL47" i="33"/>
  <c r="AK47" i="33"/>
  <c r="AL40" i="33"/>
  <c r="AK40" i="33"/>
  <c r="AJ40" i="33"/>
  <c r="AI40" i="33"/>
  <c r="AL39" i="33"/>
  <c r="AK39" i="33"/>
  <c r="AJ39" i="33"/>
  <c r="AI39" i="33"/>
  <c r="AL38" i="33"/>
  <c r="AK38" i="33"/>
  <c r="AJ38" i="33"/>
  <c r="AI38" i="33"/>
  <c r="AL37" i="33"/>
  <c r="AK37" i="33"/>
  <c r="AJ37" i="33"/>
  <c r="AI37" i="33"/>
  <c r="AL36" i="33"/>
  <c r="AK36" i="33"/>
  <c r="AJ36" i="33"/>
  <c r="AI36" i="33"/>
  <c r="AL35" i="33"/>
  <c r="AK35" i="33"/>
  <c r="AJ35" i="33"/>
  <c r="AI35" i="33"/>
  <c r="AL34" i="33"/>
  <c r="AK34" i="33"/>
  <c r="AJ34" i="33"/>
  <c r="AI34" i="33"/>
  <c r="AL33" i="33"/>
  <c r="AK33" i="33"/>
  <c r="AJ33" i="33"/>
  <c r="AI33" i="33"/>
  <c r="AL32" i="33"/>
  <c r="AK32" i="33"/>
  <c r="AJ32" i="33"/>
  <c r="AI32" i="33"/>
  <c r="AL30" i="33"/>
  <c r="AK30" i="33"/>
  <c r="AJ30" i="33"/>
  <c r="AI30" i="33"/>
  <c r="AL29" i="33"/>
  <c r="AK29" i="33"/>
  <c r="AJ29" i="33"/>
  <c r="AI29" i="33"/>
  <c r="AL28" i="33"/>
  <c r="AK28" i="33"/>
  <c r="AJ28" i="33"/>
  <c r="AI28" i="33"/>
  <c r="AL27" i="33"/>
  <c r="AK27" i="33"/>
  <c r="AJ27" i="33"/>
  <c r="AI27" i="33"/>
  <c r="AL26" i="33"/>
  <c r="AK26" i="33"/>
  <c r="AJ26" i="33"/>
  <c r="AI26" i="33"/>
  <c r="AL25" i="33"/>
  <c r="AK25" i="33"/>
  <c r="AJ25" i="33"/>
  <c r="AI25" i="33"/>
  <c r="AL24" i="33"/>
  <c r="AK24" i="33"/>
  <c r="AJ24" i="33"/>
  <c r="AI24" i="33"/>
  <c r="AL23" i="33"/>
  <c r="AK23" i="33"/>
  <c r="AJ23" i="33"/>
  <c r="AI23" i="33"/>
  <c r="AL22" i="33"/>
  <c r="AK22" i="33"/>
  <c r="AJ22" i="33"/>
  <c r="AI22" i="33"/>
  <c r="AL16" i="33"/>
  <c r="AK16" i="33"/>
  <c r="AL15" i="33"/>
  <c r="AK15" i="33"/>
  <c r="AL14" i="33"/>
  <c r="AK14" i="33"/>
  <c r="AL13" i="33"/>
  <c r="AK13" i="33"/>
  <c r="AL12" i="33"/>
  <c r="AK12" i="33"/>
  <c r="AL11" i="33"/>
  <c r="AK11" i="33"/>
  <c r="AL10" i="33"/>
  <c r="AK10" i="33"/>
  <c r="AL8" i="33"/>
  <c r="AK8" i="33"/>
  <c r="AL7" i="33"/>
  <c r="AK7" i="33"/>
  <c r="AL6" i="33"/>
  <c r="AK6" i="33"/>
  <c r="AL5" i="33"/>
  <c r="AK5" i="33"/>
  <c r="AL4" i="33"/>
  <c r="AK4" i="33"/>
  <c r="AL3" i="33"/>
  <c r="AK3" i="33"/>
  <c r="O53" i="33"/>
  <c r="N53" i="33"/>
  <c r="O41" i="33"/>
  <c r="N41" i="33"/>
  <c r="O31" i="33"/>
  <c r="N31" i="33"/>
  <c r="O17" i="33"/>
  <c r="N17" i="33"/>
  <c r="O9" i="33"/>
  <c r="N9" i="33"/>
  <c r="D73" i="33" a="1"/>
  <c r="D73" i="33" s="1"/>
  <c r="H73" i="33" s="1"/>
  <c r="AC73" i="33" s="1"/>
  <c r="D72" i="33" a="1"/>
  <c r="D72" i="33" s="1"/>
  <c r="L72" i="33" s="1"/>
  <c r="T72" i="33" s="1"/>
  <c r="D71" i="33" a="1"/>
  <c r="D71" i="33" s="1"/>
  <c r="M71" i="33" s="1"/>
  <c r="U71" i="33" s="1"/>
  <c r="D70" i="33" a="1"/>
  <c r="D70" i="33" s="1"/>
  <c r="K70" i="33" s="1"/>
  <c r="S70" i="33" s="1"/>
  <c r="D69" i="33" a="1"/>
  <c r="D69" i="33" s="1"/>
  <c r="D68" i="33" a="1"/>
  <c r="D68" i="33" s="1"/>
  <c r="H68" i="33" s="1"/>
  <c r="AA68" i="33" s="1"/>
  <c r="D67" i="33" a="1"/>
  <c r="D67" i="33" s="1"/>
  <c r="M67" i="33" s="1"/>
  <c r="U67" i="33" s="1"/>
  <c r="D66" i="33" a="1"/>
  <c r="D66" i="33" s="1"/>
  <c r="M66" i="33" s="1"/>
  <c r="U66" i="33" s="1"/>
  <c r="D65" i="33" a="1"/>
  <c r="D65" i="33" s="1"/>
  <c r="C73" i="33"/>
  <c r="C72" i="33"/>
  <c r="E72" i="33" s="1"/>
  <c r="C71" i="33"/>
  <c r="E71" i="33" s="1"/>
  <c r="F71" i="33" s="1"/>
  <c r="G71" i="33" s="1"/>
  <c r="Y71" i="33" s="1"/>
  <c r="C70" i="33"/>
  <c r="E70" i="33" s="1"/>
  <c r="F70" i="33" s="1"/>
  <c r="G70" i="33" s="1"/>
  <c r="Z70" i="33" s="1"/>
  <c r="C69" i="33"/>
  <c r="E69" i="33" s="1"/>
  <c r="F69" i="33" s="1"/>
  <c r="G69" i="33" s="1"/>
  <c r="Z69" i="33" s="1"/>
  <c r="C68" i="33"/>
  <c r="E68" i="33" s="1"/>
  <c r="C67" i="33"/>
  <c r="E67" i="33" s="1"/>
  <c r="F67" i="33" s="1"/>
  <c r="G67" i="33" s="1"/>
  <c r="Y67" i="33" s="1"/>
  <c r="C66" i="33"/>
  <c r="C65" i="33"/>
  <c r="E65" i="33" s="1"/>
  <c r="F65" i="33" s="1"/>
  <c r="G65" i="33" s="1"/>
  <c r="Y65" i="33" s="1"/>
  <c r="D59" i="33" a="1"/>
  <c r="D59" i="33" s="1"/>
  <c r="I59" i="33" s="1"/>
  <c r="AF59" i="33" s="1"/>
  <c r="D58" i="33" a="1"/>
  <c r="D58" i="33" s="1"/>
  <c r="D57" i="33" a="1"/>
  <c r="D57" i="33" s="1"/>
  <c r="M57" i="33" s="1"/>
  <c r="U57" i="33" s="1"/>
  <c r="D56" i="33" a="1"/>
  <c r="D56" i="33" s="1"/>
  <c r="I56" i="33" s="1"/>
  <c r="J56" i="33" s="1"/>
  <c r="R56" i="33" s="1"/>
  <c r="D55" i="33" a="1"/>
  <c r="D55" i="33" s="1"/>
  <c r="K55" i="33" s="1"/>
  <c r="S55" i="33" s="1"/>
  <c r="D54" i="33" a="1"/>
  <c r="D54" i="33" s="1"/>
  <c r="M54" i="33" s="1"/>
  <c r="D52" i="33" a="1"/>
  <c r="D52" i="33" s="1"/>
  <c r="M52" i="33" s="1"/>
  <c r="U52" i="33" s="1"/>
  <c r="D51" i="33" a="1"/>
  <c r="D51" i="33" s="1"/>
  <c r="H51" i="33" s="1"/>
  <c r="D50" i="33" a="1"/>
  <c r="D50" i="33" s="1"/>
  <c r="L50" i="33" s="1"/>
  <c r="T50" i="33" s="1"/>
  <c r="D49" i="33" a="1"/>
  <c r="D49" i="33" s="1"/>
  <c r="H49" i="33" s="1"/>
  <c r="X49" i="33" s="1"/>
  <c r="D48" i="33" a="1"/>
  <c r="D48" i="33" s="1"/>
  <c r="D47" i="33" a="1"/>
  <c r="D47" i="33" s="1"/>
  <c r="K47" i="33" s="1"/>
  <c r="AH47" i="33" s="1"/>
  <c r="D46" i="33" a="1"/>
  <c r="D46" i="33" s="1"/>
  <c r="C59" i="33"/>
  <c r="E59" i="33" s="1"/>
  <c r="F59" i="33" s="1"/>
  <c r="C58" i="33"/>
  <c r="C57" i="33"/>
  <c r="C56" i="33"/>
  <c r="E56" i="33" s="1"/>
  <c r="C55" i="33"/>
  <c r="E55" i="33" s="1"/>
  <c r="F55" i="33" s="1"/>
  <c r="C54" i="33"/>
  <c r="C52" i="33"/>
  <c r="E52" i="33" s="1"/>
  <c r="F52" i="33" s="1"/>
  <c r="C51" i="33"/>
  <c r="E51" i="33" s="1"/>
  <c r="F51" i="33" s="1"/>
  <c r="C50" i="33"/>
  <c r="C49" i="33"/>
  <c r="E49" i="33" s="1"/>
  <c r="F49" i="33" s="1"/>
  <c r="C48" i="33"/>
  <c r="E48" i="33" s="1"/>
  <c r="F48" i="33" s="1"/>
  <c r="C47" i="33"/>
  <c r="C46" i="33"/>
  <c r="E46" i="33" s="1"/>
  <c r="F46" i="33" s="1"/>
  <c r="D33" i="33"/>
  <c r="H33" i="33" s="1"/>
  <c r="AA33" i="33" s="1"/>
  <c r="D34" i="33"/>
  <c r="K34" i="33" s="1"/>
  <c r="S34" i="33" s="1"/>
  <c r="D35" i="33"/>
  <c r="I35" i="33" s="1"/>
  <c r="AF35" i="33" s="1"/>
  <c r="D36" i="33"/>
  <c r="K36" i="33" s="1"/>
  <c r="S36" i="33" s="1"/>
  <c r="D37" i="33"/>
  <c r="H37" i="33" s="1"/>
  <c r="X37" i="33" s="1"/>
  <c r="D38" i="33"/>
  <c r="H38" i="33" s="1"/>
  <c r="AC38" i="33" s="1"/>
  <c r="D39" i="33"/>
  <c r="D40" i="33"/>
  <c r="K40" i="33" s="1"/>
  <c r="S40" i="33" s="1"/>
  <c r="D32" i="33"/>
  <c r="H32" i="33" s="1"/>
  <c r="AA32" i="33" s="1"/>
  <c r="D23" i="33"/>
  <c r="K23" i="33" s="1"/>
  <c r="S23" i="33" s="1"/>
  <c r="D24" i="33"/>
  <c r="I24" i="33" s="1"/>
  <c r="J24" i="33" s="1"/>
  <c r="R24" i="33" s="1"/>
  <c r="D25" i="33"/>
  <c r="H25" i="33" s="1"/>
  <c r="AB25" i="33" s="1"/>
  <c r="D26" i="33"/>
  <c r="D27" i="33"/>
  <c r="D28" i="33"/>
  <c r="D29" i="33"/>
  <c r="D30" i="33"/>
  <c r="I30" i="33" s="1"/>
  <c r="Q30" i="33" s="1"/>
  <c r="D22" i="33"/>
  <c r="H22" i="33" s="1"/>
  <c r="X22" i="33" s="1"/>
  <c r="C40" i="33"/>
  <c r="E40" i="33" s="1"/>
  <c r="F40" i="33" s="1"/>
  <c r="C39" i="33"/>
  <c r="E39" i="33" s="1"/>
  <c r="F39" i="33" s="1"/>
  <c r="C38" i="33"/>
  <c r="E38" i="33" s="1"/>
  <c r="C37" i="33"/>
  <c r="E37" i="33" s="1"/>
  <c r="C36" i="33"/>
  <c r="E36" i="33" s="1"/>
  <c r="C35" i="33"/>
  <c r="E35" i="33" s="1"/>
  <c r="C34" i="33"/>
  <c r="E34" i="33" s="1"/>
  <c r="C33" i="33"/>
  <c r="E33" i="33" s="1"/>
  <c r="C32" i="33"/>
  <c r="E32" i="33" s="1"/>
  <c r="F32" i="33" s="1"/>
  <c r="C30" i="33"/>
  <c r="E30" i="33" s="1"/>
  <c r="C29" i="33"/>
  <c r="E29" i="33" s="1"/>
  <c r="C28" i="33"/>
  <c r="E28" i="33" s="1"/>
  <c r="C27" i="33"/>
  <c r="E27" i="33" s="1"/>
  <c r="C26" i="33"/>
  <c r="C25" i="33"/>
  <c r="E25" i="33" s="1"/>
  <c r="F25" i="33" s="1"/>
  <c r="C24" i="33"/>
  <c r="E24" i="33" s="1"/>
  <c r="C23" i="33"/>
  <c r="E23" i="33" s="1"/>
  <c r="F23" i="33" s="1"/>
  <c r="C22" i="33"/>
  <c r="E22" i="33" s="1"/>
  <c r="F22" i="33" s="1"/>
  <c r="C16" i="33"/>
  <c r="E16" i="33" s="1"/>
  <c r="F16" i="33" s="1"/>
  <c r="G16" i="33" s="1"/>
  <c r="Y16" i="33" s="1"/>
  <c r="C15" i="33"/>
  <c r="E15" i="33" s="1"/>
  <c r="F15" i="33" s="1"/>
  <c r="G15" i="33" s="1"/>
  <c r="Y15" i="33" s="1"/>
  <c r="C14" i="33"/>
  <c r="E14" i="33" s="1"/>
  <c r="F14" i="33" s="1"/>
  <c r="G14" i="33" s="1"/>
  <c r="Y14" i="33" s="1"/>
  <c r="C13" i="33"/>
  <c r="E13" i="33" s="1"/>
  <c r="F13" i="33" s="1"/>
  <c r="G13" i="33" s="1"/>
  <c r="Y13" i="33" s="1"/>
  <c r="C12" i="33"/>
  <c r="E12" i="33" s="1"/>
  <c r="F12" i="33" s="1"/>
  <c r="G12" i="33" s="1"/>
  <c r="Y12" i="33" s="1"/>
  <c r="C11" i="33"/>
  <c r="E11" i="33" s="1"/>
  <c r="F11" i="33" s="1"/>
  <c r="G11" i="33" s="1"/>
  <c r="Y11" i="33" s="1"/>
  <c r="C10" i="33"/>
  <c r="E10" i="33" s="1"/>
  <c r="C8" i="33"/>
  <c r="E8" i="33" s="1"/>
  <c r="F8" i="33" s="1"/>
  <c r="G8" i="33" s="1"/>
  <c r="Y8" i="33" s="1"/>
  <c r="C7" i="33"/>
  <c r="E7" i="33" s="1"/>
  <c r="F7" i="33" s="1"/>
  <c r="G7" i="33" s="1"/>
  <c r="Y7" i="33" s="1"/>
  <c r="C6" i="33"/>
  <c r="E6" i="33" s="1"/>
  <c r="F6" i="33" s="1"/>
  <c r="G6" i="33" s="1"/>
  <c r="Y6" i="33" s="1"/>
  <c r="C5" i="33"/>
  <c r="E5" i="33" s="1"/>
  <c r="C4" i="33"/>
  <c r="E4" i="33" s="1"/>
  <c r="F4" i="33" s="1"/>
  <c r="G4" i="33" s="1"/>
  <c r="Y4" i="33" s="1"/>
  <c r="C3" i="33"/>
  <c r="E3" i="33" s="1"/>
  <c r="F3" i="33" s="1"/>
  <c r="G3" i="33" s="1"/>
  <c r="Y3" i="33" s="1"/>
  <c r="Z67" i="33" l="1"/>
  <c r="Y69" i="33"/>
  <c r="Z65" i="33"/>
  <c r="X73" i="33"/>
  <c r="Z71" i="33"/>
  <c r="X68" i="33"/>
  <c r="AB68" i="33"/>
  <c r="AC68" i="33"/>
  <c r="AA73" i="33"/>
  <c r="Y70" i="33"/>
  <c r="AB73" i="33"/>
  <c r="J50" i="33"/>
  <c r="R50" i="33" s="1"/>
  <c r="X25" i="33"/>
  <c r="X32" i="33"/>
  <c r="X38" i="33"/>
  <c r="AA22" i="33"/>
  <c r="AB22" i="33"/>
  <c r="AC22" i="33"/>
  <c r="AB32" i="33"/>
  <c r="Q24" i="33"/>
  <c r="AC32" i="33"/>
  <c r="C60" i="33"/>
  <c r="AA38" i="33"/>
  <c r="O61" i="33"/>
  <c r="AB38" i="33"/>
  <c r="N61" i="33"/>
  <c r="F50" i="33"/>
  <c r="AC37" i="33"/>
  <c r="AA25" i="33"/>
  <c r="X33" i="33"/>
  <c r="AA37" i="33"/>
  <c r="AB33" i="33"/>
  <c r="AC33" i="33"/>
  <c r="AB37" i="33"/>
  <c r="Q35" i="33"/>
  <c r="Z4" i="33"/>
  <c r="Z3" i="33"/>
  <c r="Z12" i="33"/>
  <c r="Z8" i="33"/>
  <c r="Z11" i="33"/>
  <c r="Z13" i="33"/>
  <c r="Z14" i="33"/>
  <c r="Z15" i="33"/>
  <c r="Z16" i="33"/>
  <c r="W31" i="33"/>
  <c r="V53" i="33"/>
  <c r="AK9" i="33"/>
  <c r="V9" i="33"/>
  <c r="AL9" i="33"/>
  <c r="V41" i="33"/>
  <c r="W41" i="33"/>
  <c r="W17" i="33"/>
  <c r="AH23" i="33"/>
  <c r="AL41" i="33"/>
  <c r="AF56" i="33"/>
  <c r="AI72" i="33"/>
  <c r="AI31" i="33"/>
  <c r="AJ31" i="33"/>
  <c r="AJ52" i="33"/>
  <c r="AL31" i="33"/>
  <c r="AH36" i="33"/>
  <c r="AF24" i="33"/>
  <c r="AJ58" i="33"/>
  <c r="AH70" i="33"/>
  <c r="AG24" i="33"/>
  <c r="AJ67" i="33"/>
  <c r="F24" i="33"/>
  <c r="G24" i="33" s="1"/>
  <c r="AF30" i="33"/>
  <c r="G25" i="33"/>
  <c r="AI50" i="33"/>
  <c r="F27" i="33"/>
  <c r="G27" i="33" s="1"/>
  <c r="G23" i="33"/>
  <c r="G39" i="33"/>
  <c r="G40" i="33"/>
  <c r="AH34" i="33"/>
  <c r="AJ54" i="33"/>
  <c r="W53" i="33"/>
  <c r="F28" i="33"/>
  <c r="G28" i="33" s="1"/>
  <c r="AJ57" i="33"/>
  <c r="F29" i="33"/>
  <c r="G29" i="33" s="1"/>
  <c r="AH40" i="33"/>
  <c r="F58" i="33"/>
  <c r="G58" i="33" s="1"/>
  <c r="F30" i="33"/>
  <c r="G30" i="33" s="1"/>
  <c r="AK17" i="33"/>
  <c r="AJ71" i="33"/>
  <c r="F56" i="33"/>
  <c r="G56" i="33" s="1"/>
  <c r="F33" i="33"/>
  <c r="G33" i="33" s="1"/>
  <c r="AL17" i="33"/>
  <c r="AH55" i="33"/>
  <c r="F34" i="33"/>
  <c r="G34" i="33" s="1"/>
  <c r="W9" i="33"/>
  <c r="F35" i="33"/>
  <c r="G35" i="33" s="1"/>
  <c r="AI41" i="33"/>
  <c r="F36" i="33"/>
  <c r="G36" i="33" s="1"/>
  <c r="AJ41" i="33"/>
  <c r="F37" i="33"/>
  <c r="G37" i="33" s="1"/>
  <c r="AK41" i="33"/>
  <c r="AJ66" i="33"/>
  <c r="F38" i="33"/>
  <c r="G38" i="33" s="1"/>
  <c r="G32" i="33"/>
  <c r="G59" i="33"/>
  <c r="G52" i="33"/>
  <c r="V31" i="33"/>
  <c r="AK53" i="33"/>
  <c r="AL53" i="33"/>
  <c r="AK31" i="33"/>
  <c r="O42" i="33"/>
  <c r="V17" i="33"/>
  <c r="I25" i="33"/>
  <c r="Q25" i="33" s="1"/>
  <c r="M59" i="33"/>
  <c r="U59" i="33" s="1"/>
  <c r="N18" i="33"/>
  <c r="O18" i="33"/>
  <c r="N42" i="33"/>
  <c r="K25" i="33"/>
  <c r="S25" i="33" s="1"/>
  <c r="H70" i="33"/>
  <c r="I66" i="33"/>
  <c r="Q66" i="33" s="1"/>
  <c r="K66" i="33"/>
  <c r="S66" i="33" s="1"/>
  <c r="L66" i="33"/>
  <c r="T66" i="33" s="1"/>
  <c r="M69" i="33"/>
  <c r="U69" i="33" s="1"/>
  <c r="I69" i="33"/>
  <c r="Q69" i="33" s="1"/>
  <c r="L69" i="33"/>
  <c r="T69" i="33" s="1"/>
  <c r="K69" i="33"/>
  <c r="S69" i="33" s="1"/>
  <c r="H72" i="33"/>
  <c r="C53" i="33"/>
  <c r="I54" i="33"/>
  <c r="K54" i="33"/>
  <c r="L54" i="33"/>
  <c r="H55" i="33"/>
  <c r="D53" i="33"/>
  <c r="I55" i="33"/>
  <c r="Q55" i="33" s="1"/>
  <c r="I67" i="33"/>
  <c r="Q67" i="33" s="1"/>
  <c r="K67" i="33"/>
  <c r="S67" i="33" s="1"/>
  <c r="L67" i="33"/>
  <c r="T67" i="33" s="1"/>
  <c r="H36" i="33"/>
  <c r="K57" i="33"/>
  <c r="S57" i="33" s="1"/>
  <c r="L57" i="33"/>
  <c r="T57" i="33" s="1"/>
  <c r="I71" i="33"/>
  <c r="Q71" i="33" s="1"/>
  <c r="K71" i="33"/>
  <c r="S71" i="33" s="1"/>
  <c r="C74" i="33"/>
  <c r="L71" i="33"/>
  <c r="T71" i="33" s="1"/>
  <c r="E73" i="33"/>
  <c r="F73" i="33" s="1"/>
  <c r="G73" i="33" s="1"/>
  <c r="F68" i="33"/>
  <c r="G68" i="33" s="1"/>
  <c r="D74" i="33"/>
  <c r="E66" i="33"/>
  <c r="F66" i="33" s="1"/>
  <c r="K33" i="33"/>
  <c r="S33" i="33" s="1"/>
  <c r="I49" i="33"/>
  <c r="K35" i="33"/>
  <c r="S35" i="33" s="1"/>
  <c r="K49" i="33"/>
  <c r="S49" i="33" s="1"/>
  <c r="H57" i="33"/>
  <c r="L49" i="33"/>
  <c r="T49" i="33" s="1"/>
  <c r="I57" i="33"/>
  <c r="Q57" i="33" s="1"/>
  <c r="H46" i="33"/>
  <c r="I46" i="33"/>
  <c r="Q46" i="33" s="1"/>
  <c r="M49" i="33"/>
  <c r="U49" i="33" s="1"/>
  <c r="H52" i="33"/>
  <c r="H58" i="33"/>
  <c r="K52" i="33"/>
  <c r="S52" i="33" s="1"/>
  <c r="I33" i="33"/>
  <c r="Q33" i="33" s="1"/>
  <c r="I52" i="33"/>
  <c r="Q52" i="33" s="1"/>
  <c r="L52" i="33"/>
  <c r="T52" i="33" s="1"/>
  <c r="K46" i="33"/>
  <c r="S46" i="33" s="1"/>
  <c r="L46" i="33"/>
  <c r="T46" i="33" s="1"/>
  <c r="H54" i="33"/>
  <c r="K59" i="33"/>
  <c r="S59" i="33" s="1"/>
  <c r="L59" i="33"/>
  <c r="T59" i="33" s="1"/>
  <c r="J59" i="33"/>
  <c r="R59" i="33" s="1"/>
  <c r="L65" i="33"/>
  <c r="T65" i="33" s="1"/>
  <c r="H65" i="33"/>
  <c r="K65" i="33"/>
  <c r="S65" i="33" s="1"/>
  <c r="I65" i="33"/>
  <c r="Q65" i="33" s="1"/>
  <c r="M65" i="33"/>
  <c r="U65" i="33" s="1"/>
  <c r="H48" i="33"/>
  <c r="M48" i="33"/>
  <c r="U48" i="33" s="1"/>
  <c r="I48" i="33"/>
  <c r="Q48" i="33" s="1"/>
  <c r="L48" i="33"/>
  <c r="T48" i="33" s="1"/>
  <c r="K48" i="33"/>
  <c r="S48" i="33" s="1"/>
  <c r="E54" i="33"/>
  <c r="M46" i="33"/>
  <c r="U46" i="33" s="1"/>
  <c r="L47" i="33"/>
  <c r="T47" i="33" s="1"/>
  <c r="K50" i="33"/>
  <c r="S50" i="33" s="1"/>
  <c r="M50" i="33"/>
  <c r="U50" i="33" s="1"/>
  <c r="K51" i="33"/>
  <c r="S51" i="33" s="1"/>
  <c r="L55" i="33"/>
  <c r="T55" i="33" s="1"/>
  <c r="G50" i="33"/>
  <c r="L51" i="33"/>
  <c r="T51" i="33" s="1"/>
  <c r="M55" i="33"/>
  <c r="U55" i="33" s="1"/>
  <c r="U60" i="33" s="1"/>
  <c r="H47" i="33"/>
  <c r="I47" i="33"/>
  <c r="M47" i="33"/>
  <c r="U47" i="33" s="1"/>
  <c r="G48" i="33"/>
  <c r="I51" i="33"/>
  <c r="Q51" i="33" s="1"/>
  <c r="G49" i="33"/>
  <c r="G51" i="33"/>
  <c r="M51" i="33"/>
  <c r="U51" i="33" s="1"/>
  <c r="H56" i="33"/>
  <c r="H59" i="33"/>
  <c r="I32" i="33"/>
  <c r="Q32" i="33" s="1"/>
  <c r="K32" i="33"/>
  <c r="S32" i="33" s="1"/>
  <c r="E57" i="33"/>
  <c r="F72" i="33"/>
  <c r="G72" i="33" s="1"/>
  <c r="H35" i="33"/>
  <c r="H71" i="33"/>
  <c r="M73" i="33"/>
  <c r="U73" i="33" s="1"/>
  <c r="L73" i="33"/>
  <c r="T73" i="33" s="1"/>
  <c r="K73" i="33"/>
  <c r="S73" i="33" s="1"/>
  <c r="I73" i="33"/>
  <c r="Q73" i="33" s="1"/>
  <c r="H69" i="33"/>
  <c r="I70" i="33"/>
  <c r="Q70" i="33" s="1"/>
  <c r="H66" i="33"/>
  <c r="H67" i="33"/>
  <c r="L68" i="33"/>
  <c r="T68" i="33" s="1"/>
  <c r="M68" i="33"/>
  <c r="U68" i="33" s="1"/>
  <c r="K68" i="33"/>
  <c r="S68" i="33" s="1"/>
  <c r="I68" i="33"/>
  <c r="Q68" i="33" s="1"/>
  <c r="K72" i="33"/>
  <c r="S72" i="33" s="1"/>
  <c r="M72" i="33"/>
  <c r="U72" i="33" s="1"/>
  <c r="I72" i="33"/>
  <c r="Q72" i="33" s="1"/>
  <c r="E47" i="33"/>
  <c r="C31" i="33"/>
  <c r="H23" i="33"/>
  <c r="I36" i="33"/>
  <c r="Q36" i="33" s="1"/>
  <c r="H24" i="33"/>
  <c r="H30" i="33"/>
  <c r="K30" i="33"/>
  <c r="S30" i="33" s="1"/>
  <c r="H40" i="33"/>
  <c r="E26" i="33"/>
  <c r="K24" i="33"/>
  <c r="S24" i="33" s="1"/>
  <c r="K29" i="33"/>
  <c r="S29" i="33" s="1"/>
  <c r="I29" i="33"/>
  <c r="Q29" i="33" s="1"/>
  <c r="H29" i="33"/>
  <c r="K28" i="33"/>
  <c r="S28" i="33" s="1"/>
  <c r="I28" i="33"/>
  <c r="Q28" i="33" s="1"/>
  <c r="H28" i="33"/>
  <c r="K27" i="33"/>
  <c r="S27" i="33" s="1"/>
  <c r="I27" i="33"/>
  <c r="Q27" i="33" s="1"/>
  <c r="H27" i="33"/>
  <c r="K26" i="33"/>
  <c r="S26" i="33" s="1"/>
  <c r="I26" i="33"/>
  <c r="Q26" i="33" s="1"/>
  <c r="H26" i="33"/>
  <c r="J35" i="33"/>
  <c r="R35" i="33" s="1"/>
  <c r="E41" i="33"/>
  <c r="K38" i="33"/>
  <c r="S38" i="33" s="1"/>
  <c r="I38" i="33"/>
  <c r="Q38" i="33" s="1"/>
  <c r="K37" i="33"/>
  <c r="S37" i="33" s="1"/>
  <c r="I37" i="33"/>
  <c r="Q37" i="33" s="1"/>
  <c r="H39" i="33"/>
  <c r="K39" i="33"/>
  <c r="S39" i="33" s="1"/>
  <c r="I39" i="33"/>
  <c r="Q39" i="33" s="1"/>
  <c r="J30" i="33"/>
  <c r="R30" i="33" s="1"/>
  <c r="C41" i="33"/>
  <c r="I40" i="33"/>
  <c r="Q40" i="33" s="1"/>
  <c r="H34" i="33"/>
  <c r="I34" i="33"/>
  <c r="Q34" i="33" s="1"/>
  <c r="G55" i="33"/>
  <c r="D41" i="33"/>
  <c r="D31" i="33"/>
  <c r="I23" i="33"/>
  <c r="Q23" i="33" s="1"/>
  <c r="I22" i="33"/>
  <c r="Q22" i="33" s="1"/>
  <c r="K22" i="33"/>
  <c r="S22" i="33" s="1"/>
  <c r="E17" i="33"/>
  <c r="F10" i="33"/>
  <c r="E9" i="33"/>
  <c r="F5" i="33"/>
  <c r="G5" i="33" s="1"/>
  <c r="Z5" i="33" s="1"/>
  <c r="C9" i="33"/>
  <c r="C17" i="33"/>
  <c r="X70" i="33" l="1"/>
  <c r="AC70" i="33"/>
  <c r="AA70" i="33"/>
  <c r="AB70" i="33"/>
  <c r="AC67" i="33"/>
  <c r="AA67" i="33"/>
  <c r="X67" i="33"/>
  <c r="AB67" i="33"/>
  <c r="X72" i="33"/>
  <c r="AC72" i="33"/>
  <c r="AB72" i="33"/>
  <c r="AA72" i="33"/>
  <c r="AA66" i="33"/>
  <c r="X66" i="33"/>
  <c r="AC66" i="33"/>
  <c r="AB66" i="33"/>
  <c r="X71" i="33"/>
  <c r="X74" i="33" s="1"/>
  <c r="AC71" i="33"/>
  <c r="AB71" i="33"/>
  <c r="AA71" i="33"/>
  <c r="Y73" i="33"/>
  <c r="Z73" i="33"/>
  <c r="AB65" i="33"/>
  <c r="AA65" i="33"/>
  <c r="AC65" i="33"/>
  <c r="X65" i="33"/>
  <c r="AA69" i="33"/>
  <c r="X69" i="33"/>
  <c r="AB69" i="33"/>
  <c r="AC69" i="33"/>
  <c r="Z68" i="33"/>
  <c r="Y68" i="33"/>
  <c r="Y72" i="33"/>
  <c r="Z72" i="33"/>
  <c r="J49" i="33"/>
  <c r="R49" i="33" s="1"/>
  <c r="Q49" i="33"/>
  <c r="X47" i="33"/>
  <c r="X55" i="33"/>
  <c r="Z52" i="33"/>
  <c r="Y52" i="33"/>
  <c r="Y59" i="33"/>
  <c r="Z59" i="33"/>
  <c r="X54" i="33"/>
  <c r="H60" i="33"/>
  <c r="Y58" i="33"/>
  <c r="Z58" i="33"/>
  <c r="X56" i="33"/>
  <c r="X58" i="33"/>
  <c r="Z49" i="33"/>
  <c r="Y49" i="33"/>
  <c r="Z48" i="33"/>
  <c r="Y48" i="33"/>
  <c r="X48" i="33"/>
  <c r="AC53" i="33"/>
  <c r="AB53" i="33"/>
  <c r="X46" i="33"/>
  <c r="S54" i="33"/>
  <c r="S60" i="33" s="1"/>
  <c r="K60" i="33"/>
  <c r="Y50" i="33"/>
  <c r="Z50" i="33"/>
  <c r="I60" i="33"/>
  <c r="Q54" i="33"/>
  <c r="Q60" i="33" s="1"/>
  <c r="Z56" i="33"/>
  <c r="Y56" i="33"/>
  <c r="Y55" i="33"/>
  <c r="Z55" i="33"/>
  <c r="X59" i="33"/>
  <c r="X52" i="33"/>
  <c r="L60" i="33"/>
  <c r="T54" i="33"/>
  <c r="T60" i="33" s="1"/>
  <c r="F54" i="33"/>
  <c r="E60" i="33"/>
  <c r="Z51" i="33"/>
  <c r="Y51" i="33"/>
  <c r="M60" i="33"/>
  <c r="J47" i="33"/>
  <c r="R47" i="33" s="1"/>
  <c r="Q47" i="33"/>
  <c r="X57" i="33"/>
  <c r="Z40" i="33"/>
  <c r="Y40" i="33"/>
  <c r="AC34" i="33"/>
  <c r="AC41" i="33" s="1"/>
  <c r="AB34" i="33"/>
  <c r="AB41" i="33" s="1"/>
  <c r="X34" i="33"/>
  <c r="AA34" i="33"/>
  <c r="AC27" i="33"/>
  <c r="X27" i="33"/>
  <c r="AB27" i="33"/>
  <c r="AA27" i="33"/>
  <c r="Z34" i="33"/>
  <c r="Y34" i="33"/>
  <c r="Y39" i="33"/>
  <c r="Z39" i="33"/>
  <c r="Y23" i="33"/>
  <c r="Z23" i="33"/>
  <c r="Z27" i="33"/>
  <c r="Y27" i="33"/>
  <c r="Z37" i="33"/>
  <c r="Y37" i="33"/>
  <c r="Y35" i="33"/>
  <c r="Z35" i="33"/>
  <c r="Z25" i="33"/>
  <c r="Y25" i="33"/>
  <c r="AC39" i="33"/>
  <c r="AA39" i="33"/>
  <c r="X39" i="33"/>
  <c r="AB39" i="33"/>
  <c r="Z24" i="33"/>
  <c r="Y24" i="33"/>
  <c r="Y29" i="33"/>
  <c r="Z29" i="33"/>
  <c r="Z36" i="33"/>
  <c r="Y36" i="33"/>
  <c r="AA35" i="33"/>
  <c r="AB35" i="33"/>
  <c r="AC35" i="33"/>
  <c r="X35" i="33"/>
  <c r="Z33" i="33"/>
  <c r="Y33" i="33"/>
  <c r="Z32" i="33"/>
  <c r="Y32" i="33"/>
  <c r="Z30" i="33"/>
  <c r="Y30" i="33"/>
  <c r="AC23" i="33"/>
  <c r="AB23" i="33"/>
  <c r="AA23" i="33"/>
  <c r="X23" i="33"/>
  <c r="AB26" i="33"/>
  <c r="AC26" i="33"/>
  <c r="AA26" i="33"/>
  <c r="X26" i="33"/>
  <c r="Z38" i="33"/>
  <c r="Y38" i="33"/>
  <c r="AB30" i="33"/>
  <c r="AC30" i="33"/>
  <c r="AA30" i="33"/>
  <c r="X30" i="33"/>
  <c r="AA24" i="33"/>
  <c r="X24" i="33"/>
  <c r="AC24" i="33"/>
  <c r="AB24" i="33"/>
  <c r="Z9" i="33"/>
  <c r="AB28" i="33"/>
  <c r="X28" i="33"/>
  <c r="AA28" i="33"/>
  <c r="AC28" i="33"/>
  <c r="AA40" i="33"/>
  <c r="X40" i="33"/>
  <c r="AC40" i="33"/>
  <c r="AB40" i="33"/>
  <c r="X36" i="33"/>
  <c r="X41" i="33" s="1"/>
  <c r="AB36" i="33"/>
  <c r="AC36" i="33"/>
  <c r="AA36" i="33"/>
  <c r="Z28" i="33"/>
  <c r="Y28" i="33"/>
  <c r="AC29" i="33"/>
  <c r="AB29" i="33"/>
  <c r="X29" i="33"/>
  <c r="AA29" i="33"/>
  <c r="AK18" i="33"/>
  <c r="V61" i="33"/>
  <c r="AK42" i="33"/>
  <c r="W18" i="33"/>
  <c r="W42" i="33"/>
  <c r="G9" i="33"/>
  <c r="Y5" i="33"/>
  <c r="Y9" i="33" s="1"/>
  <c r="E74" i="33"/>
  <c r="AL42" i="33"/>
  <c r="W61" i="33"/>
  <c r="V18" i="33"/>
  <c r="AL18" i="33"/>
  <c r="AJ42" i="33"/>
  <c r="AI42" i="33"/>
  <c r="F41" i="33"/>
  <c r="V42" i="33"/>
  <c r="AG49" i="33"/>
  <c r="AH65" i="33"/>
  <c r="AI69" i="33"/>
  <c r="AF34" i="33"/>
  <c r="AG35" i="33"/>
  <c r="J36" i="33"/>
  <c r="R36" i="33" s="1"/>
  <c r="AF36" i="33"/>
  <c r="AI73" i="33"/>
  <c r="AI51" i="33"/>
  <c r="AG59" i="33"/>
  <c r="AH57" i="33"/>
  <c r="AI66" i="33"/>
  <c r="AJ73" i="33"/>
  <c r="AI59" i="33"/>
  <c r="AF57" i="33"/>
  <c r="AH66" i="33"/>
  <c r="AH22" i="33"/>
  <c r="AF40" i="33"/>
  <c r="AF26" i="33"/>
  <c r="AI55" i="33"/>
  <c r="AH59" i="33"/>
  <c r="AI49" i="33"/>
  <c r="AI67" i="33"/>
  <c r="J66" i="33"/>
  <c r="R66" i="33" s="1"/>
  <c r="AF66" i="33"/>
  <c r="AF22" i="33"/>
  <c r="AH26" i="33"/>
  <c r="F47" i="33"/>
  <c r="G47" i="33" s="1"/>
  <c r="AH51" i="33"/>
  <c r="AI56" i="33"/>
  <c r="J23" i="33"/>
  <c r="R23" i="33" s="1"/>
  <c r="AF23" i="33"/>
  <c r="AJ50" i="33"/>
  <c r="AH67" i="33"/>
  <c r="AF27" i="33"/>
  <c r="F57" i="33"/>
  <c r="AI46" i="33"/>
  <c r="AH49" i="33"/>
  <c r="AH56" i="33"/>
  <c r="AH25" i="33"/>
  <c r="AG30" i="33"/>
  <c r="AH27" i="33"/>
  <c r="AG56" i="33"/>
  <c r="AH32" i="33"/>
  <c r="AH50" i="33"/>
  <c r="AH46" i="33"/>
  <c r="AH35" i="33"/>
  <c r="J67" i="33"/>
  <c r="R67" i="33" s="1"/>
  <c r="AF67" i="33"/>
  <c r="AJ47" i="33"/>
  <c r="AF73" i="33"/>
  <c r="J71" i="33"/>
  <c r="R71" i="33" s="1"/>
  <c r="AF71" i="33"/>
  <c r="AI65" i="33"/>
  <c r="AI57" i="33"/>
  <c r="AF39" i="33"/>
  <c r="AF72" i="33"/>
  <c r="AF32" i="33"/>
  <c r="AI58" i="33"/>
  <c r="AJ56" i="33"/>
  <c r="AF28" i="33"/>
  <c r="AI52" i="33"/>
  <c r="AF49" i="33"/>
  <c r="AH28" i="33"/>
  <c r="AH72" i="33"/>
  <c r="AH33" i="33"/>
  <c r="AF68" i="33"/>
  <c r="AH48" i="33"/>
  <c r="AF52" i="33"/>
  <c r="AH68" i="33"/>
  <c r="AF50" i="33"/>
  <c r="AI54" i="33"/>
  <c r="AH29" i="33"/>
  <c r="AJ68" i="33"/>
  <c r="AF48" i="33"/>
  <c r="J33" i="33"/>
  <c r="R33" i="33" s="1"/>
  <c r="AF33" i="33"/>
  <c r="AH54" i="33"/>
  <c r="AI68" i="33"/>
  <c r="AF38" i="33"/>
  <c r="F26" i="33"/>
  <c r="F31" i="33" s="1"/>
  <c r="AH52" i="33"/>
  <c r="J25" i="33"/>
  <c r="R25" i="33" s="1"/>
  <c r="AF25" i="33"/>
  <c r="AH30" i="33"/>
  <c r="J70" i="33"/>
  <c r="R70" i="33" s="1"/>
  <c r="AF70" i="33"/>
  <c r="AF65" i="33"/>
  <c r="AH69" i="33"/>
  <c r="AF47" i="33"/>
  <c r="AH71" i="33"/>
  <c r="AJ49" i="33"/>
  <c r="J69" i="33"/>
  <c r="R69" i="33" s="1"/>
  <c r="AF69" i="33"/>
  <c r="AH73" i="33"/>
  <c r="AJ55" i="33"/>
  <c r="J46" i="33"/>
  <c r="R46" i="33" s="1"/>
  <c r="AF46" i="33"/>
  <c r="AJ69" i="33"/>
  <c r="AI47" i="33"/>
  <c r="AF55" i="33"/>
  <c r="AH39" i="33"/>
  <c r="AJ72" i="33"/>
  <c r="AJ46" i="33"/>
  <c r="AJ51" i="33"/>
  <c r="J32" i="33"/>
  <c r="R32" i="33" s="1"/>
  <c r="AF29" i="33"/>
  <c r="AI48" i="33"/>
  <c r="AF37" i="33"/>
  <c r="AJ59" i="33"/>
  <c r="AH37" i="33"/>
  <c r="P24" i="33"/>
  <c r="AH24" i="33"/>
  <c r="AD24" i="33" s="1"/>
  <c r="AF51" i="33"/>
  <c r="AJ48" i="33"/>
  <c r="AH58" i="33"/>
  <c r="J54" i="33"/>
  <c r="AF54" i="33"/>
  <c r="AH38" i="33"/>
  <c r="AJ65" i="33"/>
  <c r="AF58" i="33"/>
  <c r="AI71" i="33"/>
  <c r="D42" i="33"/>
  <c r="F74" i="33"/>
  <c r="N73" i="33"/>
  <c r="V73" i="33" s="1"/>
  <c r="N72" i="33"/>
  <c r="V72" i="33" s="1"/>
  <c r="J55" i="33"/>
  <c r="R55" i="33" s="1"/>
  <c r="N68" i="33"/>
  <c r="V68" i="33" s="1"/>
  <c r="H53" i="33"/>
  <c r="C42" i="33"/>
  <c r="J57" i="33"/>
  <c r="R57" i="33" s="1"/>
  <c r="H74" i="33"/>
  <c r="M74" i="33"/>
  <c r="I74" i="33"/>
  <c r="K74" i="33"/>
  <c r="L74" i="33"/>
  <c r="H31" i="33"/>
  <c r="M53" i="33"/>
  <c r="J52" i="33"/>
  <c r="R52" i="33" s="1"/>
  <c r="E31" i="33"/>
  <c r="E42" i="33" s="1"/>
  <c r="K53" i="33"/>
  <c r="J48" i="33"/>
  <c r="R48" i="33" s="1"/>
  <c r="J65" i="33"/>
  <c r="R65" i="33" s="1"/>
  <c r="J51" i="33"/>
  <c r="R51" i="33" s="1"/>
  <c r="L53" i="33"/>
  <c r="I53" i="33"/>
  <c r="E53" i="33"/>
  <c r="J73" i="33"/>
  <c r="R73" i="33" s="1"/>
  <c r="J72" i="33"/>
  <c r="R72" i="33" s="1"/>
  <c r="G66" i="33"/>
  <c r="J68" i="33"/>
  <c r="R68" i="33" s="1"/>
  <c r="D61" i="33"/>
  <c r="J34" i="33"/>
  <c r="R34" i="33" s="1"/>
  <c r="J39" i="33"/>
  <c r="R39" i="33" s="1"/>
  <c r="J26" i="33"/>
  <c r="R26" i="33" s="1"/>
  <c r="C61" i="33"/>
  <c r="J27" i="33"/>
  <c r="R27" i="33" s="1"/>
  <c r="J37" i="33"/>
  <c r="R37" i="33" s="1"/>
  <c r="J29" i="33"/>
  <c r="R29" i="33" s="1"/>
  <c r="J40" i="33"/>
  <c r="R40" i="33" s="1"/>
  <c r="J28" i="33"/>
  <c r="R28" i="33" s="1"/>
  <c r="J38" i="33"/>
  <c r="R38" i="33" s="1"/>
  <c r="I31" i="33"/>
  <c r="G46" i="33"/>
  <c r="T41" i="33"/>
  <c r="K41" i="33"/>
  <c r="H41" i="33"/>
  <c r="M41" i="33"/>
  <c r="L41" i="33"/>
  <c r="I41" i="33"/>
  <c r="K31" i="33"/>
  <c r="L31" i="33"/>
  <c r="M31" i="33"/>
  <c r="J22" i="33"/>
  <c r="R22" i="33" s="1"/>
  <c r="T31" i="33"/>
  <c r="G41" i="33"/>
  <c r="U41" i="33"/>
  <c r="U31" i="33"/>
  <c r="E18" i="33"/>
  <c r="C18" i="33"/>
  <c r="F17" i="33"/>
  <c r="G10" i="33"/>
  <c r="Z10" i="33" s="1"/>
  <c r="Z17" i="33" s="1"/>
  <c r="F9" i="33"/>
  <c r="AA74" i="33" l="1"/>
  <c r="AC74" i="33"/>
  <c r="AB74" i="33"/>
  <c r="G74" i="33"/>
  <c r="Z66" i="33"/>
  <c r="Z74" i="33" s="1"/>
  <c r="Y66" i="33"/>
  <c r="Y74" i="33" s="1"/>
  <c r="X53" i="33"/>
  <c r="R54" i="33"/>
  <c r="R60" i="33" s="1"/>
  <c r="J60" i="33"/>
  <c r="AA60" i="33"/>
  <c r="X60" i="33"/>
  <c r="X61" i="33" s="1"/>
  <c r="AB60" i="33"/>
  <c r="AB61" i="33" s="1"/>
  <c r="AG47" i="33"/>
  <c r="AD47" i="33" s="1"/>
  <c r="AC60" i="33"/>
  <c r="AC61" i="33" s="1"/>
  <c r="Z47" i="33"/>
  <c r="Y47" i="33"/>
  <c r="Z46" i="33"/>
  <c r="Z53" i="33" s="1"/>
  <c r="Y46" i="33"/>
  <c r="Y53" i="33" s="1"/>
  <c r="F60" i="33"/>
  <c r="Z18" i="33"/>
  <c r="AA53" i="33"/>
  <c r="AB31" i="33"/>
  <c r="AB42" i="33" s="1"/>
  <c r="AA41" i="33"/>
  <c r="AC31" i="33"/>
  <c r="AC42" i="33" s="1"/>
  <c r="X31" i="33"/>
  <c r="X42" i="33" s="1"/>
  <c r="Y41" i="33"/>
  <c r="AA31" i="33"/>
  <c r="Z41" i="33"/>
  <c r="G17" i="33"/>
  <c r="G18" i="33" s="1"/>
  <c r="Y10" i="33"/>
  <c r="Y17" i="33" s="1"/>
  <c r="Y18" i="33" s="1"/>
  <c r="T53" i="33"/>
  <c r="U53" i="33"/>
  <c r="S53" i="33"/>
  <c r="F42" i="33"/>
  <c r="S41" i="33"/>
  <c r="P59" i="33"/>
  <c r="G26" i="33"/>
  <c r="AH41" i="33"/>
  <c r="P56" i="33"/>
  <c r="AH31" i="33"/>
  <c r="AD30" i="33"/>
  <c r="P30" i="33"/>
  <c r="E61" i="33"/>
  <c r="P49" i="33"/>
  <c r="S31" i="33"/>
  <c r="P47" i="33"/>
  <c r="P35" i="33"/>
  <c r="AD35" i="33"/>
  <c r="P66" i="33"/>
  <c r="AG66" i="33"/>
  <c r="AD66" i="33" s="1"/>
  <c r="AG51" i="33"/>
  <c r="AD51" i="33" s="1"/>
  <c r="P26" i="33"/>
  <c r="AG26" i="33"/>
  <c r="AD26" i="33" s="1"/>
  <c r="P65" i="33"/>
  <c r="AG65" i="33"/>
  <c r="AD65" i="33" s="1"/>
  <c r="G57" i="33"/>
  <c r="P69" i="33"/>
  <c r="AG69" i="33"/>
  <c r="AD69" i="33" s="1"/>
  <c r="P70" i="33"/>
  <c r="AG70" i="33"/>
  <c r="AD70" i="33" s="1"/>
  <c r="G53" i="33"/>
  <c r="P39" i="33"/>
  <c r="AG39" i="33"/>
  <c r="AD39" i="33" s="1"/>
  <c r="P57" i="33"/>
  <c r="AG57" i="33"/>
  <c r="AD57" i="33" s="1"/>
  <c r="AF41" i="33"/>
  <c r="P48" i="33"/>
  <c r="AG48" i="33"/>
  <c r="AD48" i="33" s="1"/>
  <c r="AJ53" i="33"/>
  <c r="P34" i="33"/>
  <c r="AG34" i="33"/>
  <c r="AD34" i="33" s="1"/>
  <c r="F53" i="33"/>
  <c r="F61" i="33" s="1"/>
  <c r="P54" i="33"/>
  <c r="P60" i="33" s="1"/>
  <c r="AG54" i="33"/>
  <c r="AG38" i="33"/>
  <c r="AD38" i="33" s="1"/>
  <c r="P38" i="33"/>
  <c r="AI53" i="33"/>
  <c r="AH74" i="33"/>
  <c r="AF31" i="33"/>
  <c r="AD56" i="33"/>
  <c r="AD60" i="33" s="1"/>
  <c r="AD61" i="33" s="1"/>
  <c r="AG28" i="33"/>
  <c r="AD28" i="33" s="1"/>
  <c r="P28" i="33"/>
  <c r="AD49" i="33"/>
  <c r="AK68" i="33"/>
  <c r="AG72" i="33"/>
  <c r="AJ74" i="33"/>
  <c r="P40" i="33"/>
  <c r="AG40" i="33"/>
  <c r="AD40" i="33" s="1"/>
  <c r="P55" i="33"/>
  <c r="AG55" i="33"/>
  <c r="AD55" i="33" s="1"/>
  <c r="AK72" i="33"/>
  <c r="AK73" i="33"/>
  <c r="P29" i="33"/>
  <c r="AG29" i="33"/>
  <c r="AD29" i="33" s="1"/>
  <c r="AG22" i="33"/>
  <c r="AD22" i="33" s="1"/>
  <c r="P46" i="33"/>
  <c r="AG46" i="33"/>
  <c r="AD46" i="33" s="1"/>
  <c r="AI74" i="33"/>
  <c r="P27" i="33"/>
  <c r="AG27" i="33"/>
  <c r="AD27" i="33" s="1"/>
  <c r="AF74" i="33"/>
  <c r="P36" i="33"/>
  <c r="AG36" i="33"/>
  <c r="AD36" i="33" s="1"/>
  <c r="P71" i="33"/>
  <c r="AG71" i="33"/>
  <c r="AD71" i="33" s="1"/>
  <c r="AG23" i="33"/>
  <c r="AD23" i="33" s="1"/>
  <c r="P23" i="33"/>
  <c r="AG68" i="33"/>
  <c r="P50" i="33"/>
  <c r="AG50" i="33"/>
  <c r="AD50" i="33" s="1"/>
  <c r="P58" i="33"/>
  <c r="AG58" i="33"/>
  <c r="AD58" i="33" s="1"/>
  <c r="P67" i="33"/>
  <c r="AG67" i="33"/>
  <c r="AD67" i="33" s="1"/>
  <c r="AG73" i="33"/>
  <c r="P52" i="33"/>
  <c r="AG52" i="33"/>
  <c r="AG32" i="33"/>
  <c r="AD32" i="33" s="1"/>
  <c r="AF53" i="33"/>
  <c r="AD59" i="33"/>
  <c r="P33" i="33"/>
  <c r="AG33" i="33"/>
  <c r="AD33" i="33" s="1"/>
  <c r="P25" i="33"/>
  <c r="AG25" i="33"/>
  <c r="AD25" i="33" s="1"/>
  <c r="AH53" i="33"/>
  <c r="P37" i="33"/>
  <c r="AG37" i="33"/>
  <c r="AD37" i="33" s="1"/>
  <c r="H42" i="33"/>
  <c r="O72" i="33"/>
  <c r="W72" i="33" s="1"/>
  <c r="O73" i="33"/>
  <c r="W73" i="33" s="1"/>
  <c r="Q53" i="33"/>
  <c r="L61" i="33"/>
  <c r="I61" i="33"/>
  <c r="N74" i="33"/>
  <c r="O68" i="33"/>
  <c r="W68" i="33" s="1"/>
  <c r="S74" i="33"/>
  <c r="M61" i="33"/>
  <c r="T74" i="33"/>
  <c r="Q74" i="33"/>
  <c r="U74" i="33"/>
  <c r="J74" i="33"/>
  <c r="G54" i="33"/>
  <c r="J53" i="33"/>
  <c r="I42" i="33"/>
  <c r="U42" i="33"/>
  <c r="T42" i="33"/>
  <c r="K61" i="33"/>
  <c r="H61" i="33"/>
  <c r="J41" i="33"/>
  <c r="Q41" i="33"/>
  <c r="M42" i="33"/>
  <c r="L42" i="33"/>
  <c r="K42" i="33"/>
  <c r="J31" i="33"/>
  <c r="Q31" i="33"/>
  <c r="G22" i="33"/>
  <c r="F18" i="33"/>
  <c r="V95" i="20"/>
  <c r="V94" i="20"/>
  <c r="V93" i="20"/>
  <c r="V92" i="20"/>
  <c r="V91" i="20"/>
  <c r="V90" i="20"/>
  <c r="V89" i="20"/>
  <c r="V88" i="20"/>
  <c r="V87" i="20"/>
  <c r="V86" i="20"/>
  <c r="V85" i="20"/>
  <c r="V84" i="20"/>
  <c r="V83" i="20"/>
  <c r="V82" i="20"/>
  <c r="V81" i="20"/>
  <c r="V80" i="20"/>
  <c r="V79" i="20"/>
  <c r="V78" i="20"/>
  <c r="V77" i="20"/>
  <c r="V76" i="20"/>
  <c r="V75" i="20"/>
  <c r="V74" i="20"/>
  <c r="V73" i="20"/>
  <c r="V72" i="20"/>
  <c r="V71" i="20"/>
  <c r="V70" i="20"/>
  <c r="V69" i="20"/>
  <c r="V68" i="20"/>
  <c r="V67" i="20"/>
  <c r="V66" i="20"/>
  <c r="V65" i="20"/>
  <c r="V64" i="20"/>
  <c r="V63" i="20"/>
  <c r="V62" i="20"/>
  <c r="V61" i="20"/>
  <c r="V60" i="20"/>
  <c r="V59" i="20"/>
  <c r="V58" i="20"/>
  <c r="V57" i="20"/>
  <c r="V56" i="20"/>
  <c r="V55" i="20"/>
  <c r="V54" i="20"/>
  <c r="V53" i="20"/>
  <c r="V52" i="20"/>
  <c r="V51" i="20"/>
  <c r="V50" i="20"/>
  <c r="V49" i="20"/>
  <c r="V48" i="20"/>
  <c r="V47" i="20"/>
  <c r="V46" i="20"/>
  <c r="V45" i="20"/>
  <c r="V44" i="20"/>
  <c r="V43" i="20"/>
  <c r="V42" i="20"/>
  <c r="V41" i="20"/>
  <c r="V40" i="20"/>
  <c r="V39" i="20"/>
  <c r="V38" i="20"/>
  <c r="V37" i="20"/>
  <c r="V36" i="20"/>
  <c r="V35" i="20"/>
  <c r="V34" i="20"/>
  <c r="V33" i="20"/>
  <c r="V32" i="20"/>
  <c r="V31" i="20"/>
  <c r="V30" i="20"/>
  <c r="V29" i="20"/>
  <c r="V28" i="20"/>
  <c r="V27" i="20"/>
  <c r="V26" i="20"/>
  <c r="V25" i="20"/>
  <c r="V24" i="20"/>
  <c r="V23" i="20"/>
  <c r="V22" i="20"/>
  <c r="V21" i="20"/>
  <c r="V20" i="20"/>
  <c r="V19" i="20"/>
  <c r="V18" i="20"/>
  <c r="V17" i="20"/>
  <c r="V16" i="20"/>
  <c r="V15" i="20"/>
  <c r="V14" i="20"/>
  <c r="V13" i="20"/>
  <c r="V12" i="20"/>
  <c r="V11" i="20"/>
  <c r="V10" i="20"/>
  <c r="V9" i="20"/>
  <c r="V8" i="20"/>
  <c r="V7" i="20"/>
  <c r="V6" i="20"/>
  <c r="H93" i="20"/>
  <c r="H89" i="20"/>
  <c r="H75" i="20"/>
  <c r="H71" i="20"/>
  <c r="H69" i="20"/>
  <c r="H52" i="20"/>
  <c r="H41" i="20"/>
  <c r="H39" i="20"/>
  <c r="I37" i="20"/>
  <c r="H37" i="20"/>
  <c r="I26" i="20"/>
  <c r="H26" i="20"/>
  <c r="H18" i="20"/>
  <c r="H17" i="20"/>
  <c r="I18" i="20"/>
  <c r="I17" i="20"/>
  <c r="I15" i="20"/>
  <c r="H15" i="20"/>
  <c r="H14" i="20"/>
  <c r="I14" i="20"/>
  <c r="I13" i="20"/>
  <c r="H13" i="20"/>
  <c r="I9" i="20"/>
  <c r="H9" i="20"/>
  <c r="Z57" i="33" l="1"/>
  <c r="Y57" i="33"/>
  <c r="Z54" i="33"/>
  <c r="Z60" i="33" s="1"/>
  <c r="Z61" i="33" s="1"/>
  <c r="Y54" i="33"/>
  <c r="Y60" i="33" s="1"/>
  <c r="Y61" i="33" s="1"/>
  <c r="G60" i="33"/>
  <c r="AA61" i="33"/>
  <c r="Y22" i="33"/>
  <c r="Z22" i="33"/>
  <c r="AA42" i="33"/>
  <c r="Z26" i="33"/>
  <c r="Y26" i="33"/>
  <c r="U61" i="33"/>
  <c r="S42" i="33"/>
  <c r="S61" i="33"/>
  <c r="T61" i="33"/>
  <c r="AG53" i="33"/>
  <c r="V74" i="33"/>
  <c r="R41" i="33"/>
  <c r="G31" i="33"/>
  <c r="G42" i="33" s="1"/>
  <c r="R53" i="33"/>
  <c r="R31" i="33"/>
  <c r="AH42" i="33"/>
  <c r="P51" i="33"/>
  <c r="P53" i="33" s="1"/>
  <c r="G61" i="33"/>
  <c r="P32" i="33"/>
  <c r="P41" i="33" s="1"/>
  <c r="AD54" i="33"/>
  <c r="AD52" i="33"/>
  <c r="AD53" i="33" s="1"/>
  <c r="AG31" i="33"/>
  <c r="P73" i="33"/>
  <c r="AL73" i="33"/>
  <c r="AD73" i="33" s="1"/>
  <c r="AD41" i="33"/>
  <c r="P72" i="33"/>
  <c r="AL72" i="33"/>
  <c r="AD72" i="33" s="1"/>
  <c r="AF42" i="33"/>
  <c r="AL68" i="33"/>
  <c r="AG74" i="33"/>
  <c r="AD31" i="33"/>
  <c r="AG41" i="33"/>
  <c r="AK74" i="33"/>
  <c r="P22" i="33"/>
  <c r="P31" i="33" s="1"/>
  <c r="O74" i="33"/>
  <c r="R74" i="33"/>
  <c r="Q42" i="33"/>
  <c r="J42" i="33"/>
  <c r="J61" i="33"/>
  <c r="Q61" i="33"/>
  <c r="Y31" i="33" l="1"/>
  <c r="Y42" i="33" s="1"/>
  <c r="Z31" i="33"/>
  <c r="Z42" i="33" s="1"/>
  <c r="R61" i="33"/>
  <c r="AD42" i="33"/>
  <c r="R42" i="33"/>
  <c r="P61" i="33"/>
  <c r="AG42" i="33"/>
  <c r="AL74" i="33"/>
  <c r="AD68" i="33"/>
  <c r="AD74" i="33" s="1"/>
  <c r="W74" i="33"/>
  <c r="P68" i="33"/>
  <c r="P74" i="33" s="1"/>
  <c r="P42" i="33"/>
  <c r="AG7" i="3" a="1"/>
  <c r="AF7" i="3" a="1"/>
  <c r="AE7" i="3" a="1"/>
  <c r="AC7" i="3" a="1"/>
  <c r="AB7" i="3" a="1"/>
  <c r="Y7" i="3" a="1"/>
  <c r="X7" i="3" a="1"/>
  <c r="W7" i="3" a="1"/>
  <c r="W7" i="3" s="1"/>
  <c r="V7" i="3" a="1"/>
  <c r="V7" i="3" s="1"/>
  <c r="U7" i="3"/>
  <c r="K435" i="32"/>
  <c r="I435" i="32"/>
  <c r="H435" i="32"/>
  <c r="K434" i="32"/>
  <c r="I434" i="32"/>
  <c r="H434" i="32"/>
  <c r="K433" i="32"/>
  <c r="I433" i="32"/>
  <c r="H433" i="32"/>
  <c r="K432" i="32"/>
  <c r="I432" i="32"/>
  <c r="H432" i="32"/>
  <c r="K431" i="32"/>
  <c r="I431" i="32"/>
  <c r="H431" i="32"/>
  <c r="K430" i="32"/>
  <c r="I430" i="32"/>
  <c r="H430" i="32"/>
  <c r="K429" i="32"/>
  <c r="I429" i="32"/>
  <c r="H429" i="32"/>
  <c r="K428" i="32"/>
  <c r="I428" i="32"/>
  <c r="H428" i="32"/>
  <c r="K427" i="32"/>
  <c r="I427" i="32"/>
  <c r="H427" i="32"/>
  <c r="K426" i="32"/>
  <c r="I426" i="32"/>
  <c r="H426" i="32"/>
  <c r="K425" i="32"/>
  <c r="I425" i="32"/>
  <c r="H425" i="32"/>
  <c r="K424" i="32"/>
  <c r="I424" i="32"/>
  <c r="H424" i="32"/>
  <c r="K423" i="32"/>
  <c r="I423" i="32"/>
  <c r="H423" i="32"/>
  <c r="K422" i="32"/>
  <c r="I422" i="32"/>
  <c r="H422" i="32"/>
  <c r="K421" i="32"/>
  <c r="I421" i="32"/>
  <c r="H421" i="32"/>
  <c r="K420" i="32"/>
  <c r="I420" i="32"/>
  <c r="H420" i="32"/>
  <c r="K419" i="32"/>
  <c r="I419" i="32"/>
  <c r="H419" i="32"/>
  <c r="K418" i="32"/>
  <c r="I418" i="32"/>
  <c r="H418" i="32"/>
  <c r="K417" i="32"/>
  <c r="I417" i="32"/>
  <c r="H417" i="32"/>
  <c r="K416" i="32"/>
  <c r="I416" i="32"/>
  <c r="H416" i="32"/>
  <c r="K415" i="32"/>
  <c r="I415" i="32"/>
  <c r="H415" i="32"/>
  <c r="K414" i="32"/>
  <c r="I414" i="32"/>
  <c r="H414" i="32"/>
  <c r="K413" i="32"/>
  <c r="I413" i="32"/>
  <c r="H413" i="32"/>
  <c r="K412" i="32"/>
  <c r="I412" i="32"/>
  <c r="H412" i="32"/>
  <c r="K411" i="32"/>
  <c r="I411" i="32"/>
  <c r="H411" i="32"/>
  <c r="K410" i="32"/>
  <c r="I410" i="32"/>
  <c r="H410" i="32"/>
  <c r="K409" i="32"/>
  <c r="I409" i="32"/>
  <c r="H409" i="32"/>
  <c r="K408" i="32"/>
  <c r="I408" i="32"/>
  <c r="H408" i="32"/>
  <c r="K407" i="32"/>
  <c r="I407" i="32"/>
  <c r="H407" i="32"/>
  <c r="K406" i="32"/>
  <c r="I406" i="32"/>
  <c r="H406" i="32"/>
  <c r="K405" i="32"/>
  <c r="I405" i="32"/>
  <c r="H405" i="32"/>
  <c r="K404" i="32"/>
  <c r="I404" i="32"/>
  <c r="H404" i="32"/>
  <c r="K403" i="32"/>
  <c r="I403" i="32"/>
  <c r="H403" i="32"/>
  <c r="K402" i="32"/>
  <c r="I402" i="32"/>
  <c r="H402" i="32"/>
  <c r="K401" i="32"/>
  <c r="I401" i="32"/>
  <c r="H401" i="32"/>
  <c r="K400" i="32"/>
  <c r="I400" i="32"/>
  <c r="H400" i="32"/>
  <c r="K399" i="32"/>
  <c r="I399" i="32"/>
  <c r="H399" i="32"/>
  <c r="K398" i="32"/>
  <c r="I398" i="32"/>
  <c r="H398" i="32"/>
  <c r="K397" i="32"/>
  <c r="I397" i="32"/>
  <c r="H397" i="32"/>
  <c r="K396" i="32"/>
  <c r="I396" i="32"/>
  <c r="H396" i="32"/>
  <c r="K395" i="32"/>
  <c r="I395" i="32"/>
  <c r="H395" i="32"/>
  <c r="K394" i="32"/>
  <c r="I394" i="32"/>
  <c r="H394" i="32"/>
  <c r="K393" i="32"/>
  <c r="I393" i="32"/>
  <c r="H393" i="32"/>
  <c r="K392" i="32"/>
  <c r="I392" i="32"/>
  <c r="H392" i="32"/>
  <c r="K391" i="32"/>
  <c r="I391" i="32"/>
  <c r="H391" i="32"/>
  <c r="K390" i="32"/>
  <c r="I390" i="32"/>
  <c r="H390" i="32"/>
  <c r="K389" i="32"/>
  <c r="I389" i="32"/>
  <c r="H389" i="32"/>
  <c r="K388" i="32"/>
  <c r="I388" i="32"/>
  <c r="H388" i="32"/>
  <c r="K387" i="32"/>
  <c r="I387" i="32"/>
  <c r="H387" i="32"/>
  <c r="K386" i="32"/>
  <c r="I386" i="32"/>
  <c r="H386" i="32"/>
  <c r="K385" i="32"/>
  <c r="I385" i="32"/>
  <c r="H385" i="32"/>
  <c r="K384" i="32"/>
  <c r="I384" i="32"/>
  <c r="H384" i="32"/>
  <c r="K383" i="32"/>
  <c r="I383" i="32"/>
  <c r="H383" i="32"/>
  <c r="K382" i="32"/>
  <c r="I382" i="32"/>
  <c r="H382" i="32"/>
  <c r="K381" i="32"/>
  <c r="I381" i="32"/>
  <c r="H381" i="32"/>
  <c r="K380" i="32"/>
  <c r="I380" i="32"/>
  <c r="H380" i="32"/>
  <c r="K379" i="32"/>
  <c r="I379" i="32"/>
  <c r="H379" i="32"/>
  <c r="K378" i="32"/>
  <c r="I378" i="32"/>
  <c r="H378" i="32"/>
  <c r="K377" i="32"/>
  <c r="I377" i="32"/>
  <c r="H377" i="32"/>
  <c r="K376" i="32"/>
  <c r="I376" i="32"/>
  <c r="H376" i="32"/>
  <c r="K375" i="32"/>
  <c r="I375" i="32"/>
  <c r="H375" i="32"/>
  <c r="K374" i="32"/>
  <c r="I374" i="32"/>
  <c r="H374" i="32"/>
  <c r="K373" i="32"/>
  <c r="I373" i="32"/>
  <c r="H373" i="32"/>
  <c r="K372" i="32"/>
  <c r="I372" i="32"/>
  <c r="H372" i="32"/>
  <c r="K371" i="32"/>
  <c r="I371" i="32"/>
  <c r="H371" i="32"/>
  <c r="K370" i="32"/>
  <c r="I370" i="32"/>
  <c r="H370" i="32"/>
  <c r="K369" i="32"/>
  <c r="I369" i="32"/>
  <c r="H369" i="32"/>
  <c r="K368" i="32"/>
  <c r="I368" i="32"/>
  <c r="H368" i="32"/>
  <c r="K367" i="32"/>
  <c r="I367" i="32"/>
  <c r="H367" i="32"/>
  <c r="K366" i="32"/>
  <c r="I366" i="32"/>
  <c r="H366" i="32"/>
  <c r="K365" i="32"/>
  <c r="I365" i="32"/>
  <c r="H365" i="32"/>
  <c r="K364" i="32"/>
  <c r="I364" i="32"/>
  <c r="H364" i="32"/>
  <c r="K363" i="32"/>
  <c r="I363" i="32"/>
  <c r="H363" i="32"/>
  <c r="K362" i="32"/>
  <c r="I362" i="32"/>
  <c r="H362" i="32"/>
  <c r="K361" i="32"/>
  <c r="I361" i="32"/>
  <c r="H361" i="32"/>
  <c r="K360" i="32"/>
  <c r="I360" i="32"/>
  <c r="H360" i="32"/>
  <c r="K359" i="32"/>
  <c r="I359" i="32"/>
  <c r="H359" i="32"/>
  <c r="K358" i="32"/>
  <c r="I358" i="32"/>
  <c r="H358" i="32"/>
  <c r="K357" i="32"/>
  <c r="I357" i="32"/>
  <c r="H357" i="32"/>
  <c r="K356" i="32"/>
  <c r="I356" i="32"/>
  <c r="H356" i="32"/>
  <c r="K355" i="32"/>
  <c r="I355" i="32"/>
  <c r="H355" i="32"/>
  <c r="K354" i="32"/>
  <c r="I354" i="32"/>
  <c r="H354" i="32"/>
  <c r="K353" i="32"/>
  <c r="I353" i="32"/>
  <c r="H353" i="32"/>
  <c r="K352" i="32"/>
  <c r="I352" i="32"/>
  <c r="H352" i="32"/>
  <c r="K351" i="32"/>
  <c r="I351" i="32"/>
  <c r="H351" i="32"/>
  <c r="K350" i="32"/>
  <c r="I350" i="32"/>
  <c r="H350" i="32"/>
  <c r="K349" i="32"/>
  <c r="I349" i="32"/>
  <c r="H349" i="32"/>
  <c r="K348" i="32"/>
  <c r="I348" i="32"/>
  <c r="H348" i="32"/>
  <c r="K347" i="32"/>
  <c r="I347" i="32"/>
  <c r="H347" i="32"/>
  <c r="K346" i="32"/>
  <c r="I346" i="32"/>
  <c r="H346" i="32"/>
  <c r="K345" i="32"/>
  <c r="I345" i="32"/>
  <c r="H345" i="32"/>
  <c r="K344" i="32"/>
  <c r="I344" i="32"/>
  <c r="H344" i="32"/>
  <c r="K343" i="32"/>
  <c r="I343" i="32"/>
  <c r="H343" i="32"/>
  <c r="K342" i="32"/>
  <c r="I342" i="32"/>
  <c r="H342" i="32"/>
  <c r="K341" i="32"/>
  <c r="I341" i="32"/>
  <c r="H341" i="32"/>
  <c r="K340" i="32"/>
  <c r="I340" i="32"/>
  <c r="H340" i="32"/>
  <c r="K339" i="32"/>
  <c r="I339" i="32"/>
  <c r="H339" i="32"/>
  <c r="K338" i="32"/>
  <c r="I338" i="32"/>
  <c r="H338" i="32"/>
  <c r="K337" i="32"/>
  <c r="I337" i="32"/>
  <c r="H337" i="32"/>
  <c r="K336" i="32"/>
  <c r="I336" i="32"/>
  <c r="H336" i="32"/>
  <c r="K335" i="32"/>
  <c r="I335" i="32"/>
  <c r="H335" i="32"/>
  <c r="K334" i="32"/>
  <c r="I334" i="32"/>
  <c r="H334" i="32"/>
  <c r="K333" i="32"/>
  <c r="I333" i="32"/>
  <c r="H333" i="32"/>
  <c r="K332" i="32"/>
  <c r="I332" i="32"/>
  <c r="H332" i="32"/>
  <c r="K331" i="32"/>
  <c r="I331" i="32"/>
  <c r="H331" i="32"/>
  <c r="K330" i="32"/>
  <c r="I330" i="32"/>
  <c r="H330" i="32"/>
  <c r="K329" i="32"/>
  <c r="I329" i="32"/>
  <c r="H329" i="32"/>
  <c r="K328" i="32"/>
  <c r="I328" i="32"/>
  <c r="H328" i="32"/>
  <c r="K327" i="32"/>
  <c r="I327" i="32"/>
  <c r="H327" i="32"/>
  <c r="K326" i="32"/>
  <c r="I326" i="32"/>
  <c r="H326" i="32"/>
  <c r="K325" i="32"/>
  <c r="I325" i="32"/>
  <c r="H325" i="32"/>
  <c r="K324" i="32"/>
  <c r="I324" i="32"/>
  <c r="H324" i="32"/>
  <c r="K323" i="32"/>
  <c r="I323" i="32"/>
  <c r="H323" i="32"/>
  <c r="K322" i="32"/>
  <c r="I322" i="32"/>
  <c r="H322" i="32"/>
  <c r="K321" i="32"/>
  <c r="I321" i="32"/>
  <c r="H321" i="32"/>
  <c r="K320" i="32"/>
  <c r="I320" i="32"/>
  <c r="H320" i="32"/>
  <c r="K319" i="32"/>
  <c r="I319" i="32"/>
  <c r="H319" i="32"/>
  <c r="K318" i="32"/>
  <c r="I318" i="32"/>
  <c r="H318" i="32"/>
  <c r="K317" i="32"/>
  <c r="I317" i="32"/>
  <c r="H317" i="32"/>
  <c r="K316" i="32"/>
  <c r="I316" i="32"/>
  <c r="H316" i="32"/>
  <c r="K315" i="32"/>
  <c r="I315" i="32"/>
  <c r="H315" i="32"/>
  <c r="K314" i="32"/>
  <c r="I314" i="32"/>
  <c r="H314" i="32"/>
  <c r="K313" i="32"/>
  <c r="I313" i="32"/>
  <c r="H313" i="32"/>
  <c r="K312" i="32"/>
  <c r="I312" i="32"/>
  <c r="H312" i="32"/>
  <c r="K311" i="32"/>
  <c r="I311" i="32"/>
  <c r="H311" i="32"/>
  <c r="K310" i="32"/>
  <c r="I310" i="32"/>
  <c r="H310" i="32"/>
  <c r="K309" i="32"/>
  <c r="I309" i="32"/>
  <c r="H309" i="32"/>
  <c r="K308" i="32"/>
  <c r="I308" i="32"/>
  <c r="H308" i="32"/>
  <c r="K307" i="32"/>
  <c r="I307" i="32"/>
  <c r="H307" i="32"/>
  <c r="K306" i="32"/>
  <c r="I306" i="32"/>
  <c r="H306" i="32"/>
  <c r="K305" i="32"/>
  <c r="I305" i="32"/>
  <c r="H305" i="32"/>
  <c r="K304" i="32"/>
  <c r="I304" i="32"/>
  <c r="H304" i="32"/>
  <c r="K303" i="32"/>
  <c r="I303" i="32"/>
  <c r="H303" i="32"/>
  <c r="K302" i="32"/>
  <c r="I302" i="32"/>
  <c r="H302" i="32"/>
  <c r="K301" i="32"/>
  <c r="I301" i="32"/>
  <c r="H301" i="32"/>
  <c r="K300" i="32"/>
  <c r="I300" i="32"/>
  <c r="H300" i="32"/>
  <c r="AB435" i="32"/>
  <c r="AB434" i="32"/>
  <c r="AB433" i="32"/>
  <c r="AB432" i="32"/>
  <c r="AB431" i="32"/>
  <c r="AB430" i="32"/>
  <c r="AB429" i="32"/>
  <c r="AB428" i="32"/>
  <c r="AB427" i="32"/>
  <c r="AB426" i="32"/>
  <c r="AB425" i="32"/>
  <c r="AB424" i="32"/>
  <c r="AB423" i="32"/>
  <c r="AB422" i="32"/>
  <c r="AB421" i="32"/>
  <c r="AB420" i="32"/>
  <c r="AB419" i="32"/>
  <c r="AB418" i="32"/>
  <c r="AB417" i="32"/>
  <c r="AB416" i="32"/>
  <c r="AB415" i="32"/>
  <c r="AB414" i="32"/>
  <c r="AB413" i="32"/>
  <c r="AB412" i="32"/>
  <c r="AB411" i="32"/>
  <c r="AB410" i="32"/>
  <c r="AB409" i="32"/>
  <c r="AB408" i="32"/>
  <c r="AB407" i="32"/>
  <c r="AB406" i="32"/>
  <c r="AB405" i="32"/>
  <c r="AB404" i="32"/>
  <c r="AB403" i="32"/>
  <c r="AB402" i="32"/>
  <c r="AB401" i="32"/>
  <c r="AB400" i="32"/>
  <c r="AB399" i="32"/>
  <c r="AB398" i="32"/>
  <c r="AB397" i="32"/>
  <c r="AB396" i="32"/>
  <c r="AB395" i="32"/>
  <c r="AB394" i="32"/>
  <c r="AB393" i="32"/>
  <c r="AB392" i="32"/>
  <c r="AB391" i="32"/>
  <c r="AB390" i="32"/>
  <c r="AB389" i="32"/>
  <c r="AB388" i="32"/>
  <c r="AB387" i="32"/>
  <c r="AB386" i="32"/>
  <c r="AB385" i="32"/>
  <c r="AB384" i="32"/>
  <c r="AB383" i="32"/>
  <c r="AB382" i="32"/>
  <c r="AB381" i="32"/>
  <c r="AB380" i="32"/>
  <c r="AB379" i="32"/>
  <c r="AB378" i="32"/>
  <c r="AB377" i="32"/>
  <c r="AB376" i="32"/>
  <c r="AB375" i="32"/>
  <c r="AB374" i="32"/>
  <c r="AB373" i="32"/>
  <c r="AB372" i="32"/>
  <c r="AB371" i="32"/>
  <c r="AB370" i="32"/>
  <c r="AB369" i="32"/>
  <c r="AB368" i="32"/>
  <c r="AB367" i="32"/>
  <c r="AB366" i="32"/>
  <c r="AB365" i="32"/>
  <c r="AB364" i="32"/>
  <c r="AB363" i="32"/>
  <c r="AB362" i="32"/>
  <c r="AB361" i="32"/>
  <c r="AB360" i="32"/>
  <c r="AB359" i="32"/>
  <c r="AB358" i="32"/>
  <c r="AB357" i="32"/>
  <c r="AB356" i="32"/>
  <c r="AB355" i="32"/>
  <c r="AB354" i="32"/>
  <c r="AB353" i="32"/>
  <c r="AB352" i="32"/>
  <c r="AB351" i="32"/>
  <c r="AB350" i="32"/>
  <c r="AB349" i="32"/>
  <c r="AB348" i="32"/>
  <c r="AB347" i="32"/>
  <c r="AB346" i="32"/>
  <c r="AB345" i="32"/>
  <c r="AB344" i="32"/>
  <c r="AB343" i="32"/>
  <c r="AB342" i="32"/>
  <c r="AB341" i="32"/>
  <c r="AB340" i="32"/>
  <c r="AB339" i="32"/>
  <c r="AB338" i="32"/>
  <c r="AB337" i="32"/>
  <c r="AB336" i="32"/>
  <c r="AB335" i="32"/>
  <c r="AB334" i="32"/>
  <c r="AB333" i="32"/>
  <c r="AB332" i="32"/>
  <c r="AB331" i="32"/>
  <c r="AB330" i="32"/>
  <c r="AB329" i="32"/>
  <c r="AB328" i="32"/>
  <c r="AB327" i="32"/>
  <c r="AB326" i="32"/>
  <c r="AB325" i="32"/>
  <c r="AB324" i="32"/>
  <c r="AB323" i="32"/>
  <c r="AB322" i="32"/>
  <c r="AB321" i="32"/>
  <c r="AB320" i="32"/>
  <c r="AB319" i="32"/>
  <c r="AB318" i="32"/>
  <c r="AB317" i="32"/>
  <c r="AB316" i="32"/>
  <c r="AB315" i="32"/>
  <c r="AB314" i="32"/>
  <c r="AB313" i="32"/>
  <c r="AB312" i="32"/>
  <c r="AB311" i="32"/>
  <c r="AB310" i="32"/>
  <c r="AB309" i="32"/>
  <c r="AB308" i="32"/>
  <c r="AB307" i="32"/>
  <c r="AB306" i="32"/>
  <c r="AB305" i="32"/>
  <c r="AB304" i="32"/>
  <c r="AB303" i="32"/>
  <c r="AB302" i="32"/>
  <c r="AB301" i="32"/>
  <c r="AB300" i="32"/>
  <c r="AB299" i="32"/>
  <c r="AB298" i="32"/>
  <c r="AB297" i="32"/>
  <c r="AB296" i="32"/>
  <c r="AB295" i="32"/>
  <c r="AB294" i="32"/>
  <c r="AB293" i="32"/>
  <c r="AB292" i="32"/>
  <c r="AB291" i="32"/>
  <c r="AB290" i="32"/>
  <c r="AB289" i="32"/>
  <c r="AB288" i="32"/>
  <c r="AB287" i="32"/>
  <c r="AB286" i="32"/>
  <c r="AB285" i="32"/>
  <c r="AB284" i="32"/>
  <c r="AB283" i="32"/>
  <c r="AB282" i="32"/>
  <c r="AB281" i="32"/>
  <c r="AB280" i="32"/>
  <c r="AB279" i="32"/>
  <c r="AB278" i="32"/>
  <c r="AB277" i="32"/>
  <c r="AB276" i="32"/>
  <c r="AB275" i="32"/>
  <c r="AB274" i="32"/>
  <c r="AB273" i="32"/>
  <c r="AB272" i="32"/>
  <c r="AB271" i="32"/>
  <c r="AB270" i="32"/>
  <c r="AB269" i="32"/>
  <c r="AB268" i="32"/>
  <c r="AB267" i="32"/>
  <c r="AB266" i="32"/>
  <c r="AB265" i="32"/>
  <c r="AB264" i="32"/>
  <c r="AB263" i="32"/>
  <c r="AB262" i="32"/>
  <c r="AB261" i="32"/>
  <c r="AB260" i="32"/>
  <c r="AB259" i="32"/>
  <c r="AB258" i="32"/>
  <c r="AB257" i="32"/>
  <c r="AB256" i="32"/>
  <c r="AB255" i="32"/>
  <c r="AB254" i="32"/>
  <c r="AB253" i="32"/>
  <c r="AB252" i="32"/>
  <c r="AB251" i="32"/>
  <c r="AB250" i="32"/>
  <c r="AB249" i="32"/>
  <c r="AB248" i="32"/>
  <c r="AB247" i="32"/>
  <c r="AB246" i="32"/>
  <c r="AB245" i="32"/>
  <c r="AB244" i="32"/>
  <c r="AB243" i="32"/>
  <c r="AB242" i="32"/>
  <c r="AB241" i="32"/>
  <c r="AB240" i="32"/>
  <c r="AB239" i="32"/>
  <c r="AB238" i="32"/>
  <c r="AB237" i="32"/>
  <c r="AB236" i="32"/>
  <c r="AB235" i="32"/>
  <c r="AB234" i="32"/>
  <c r="AB233" i="32"/>
  <c r="AB232" i="32"/>
  <c r="AB231" i="32"/>
  <c r="AB230" i="32"/>
  <c r="AB229" i="32"/>
  <c r="AB228" i="32"/>
  <c r="AB227" i="32"/>
  <c r="AB226" i="32"/>
  <c r="AB225" i="32"/>
  <c r="AB224" i="32"/>
  <c r="AB223" i="32"/>
  <c r="AB222" i="32"/>
  <c r="AB221" i="32"/>
  <c r="AB220" i="32"/>
  <c r="AB219" i="32"/>
  <c r="AB218" i="32"/>
  <c r="AB217" i="32"/>
  <c r="AB216" i="32"/>
  <c r="AB215" i="32"/>
  <c r="AB214" i="32"/>
  <c r="AB213" i="32"/>
  <c r="AB212" i="32"/>
  <c r="AB211" i="32"/>
  <c r="AB210" i="32"/>
  <c r="AB209" i="32"/>
  <c r="AB208" i="32"/>
  <c r="AB207" i="32"/>
  <c r="AB206" i="32"/>
  <c r="AB205" i="32"/>
  <c r="AB204" i="32"/>
  <c r="AB203" i="32"/>
  <c r="AB202" i="32"/>
  <c r="AB201" i="32"/>
  <c r="AB200" i="32"/>
  <c r="AB199" i="32"/>
  <c r="AB198" i="32"/>
  <c r="AB197" i="32"/>
  <c r="AB196" i="32"/>
  <c r="AB195" i="32"/>
  <c r="AB194" i="32"/>
  <c r="AB193" i="32"/>
  <c r="AB192" i="32"/>
  <c r="AB191" i="32"/>
  <c r="AB190" i="32"/>
  <c r="AB189" i="32"/>
  <c r="AB188" i="32"/>
  <c r="AB187" i="32"/>
  <c r="AB186" i="32"/>
  <c r="AB185" i="32"/>
  <c r="AB184" i="32"/>
  <c r="AB183" i="32"/>
  <c r="AB182" i="32"/>
  <c r="AB181" i="32"/>
  <c r="AB180" i="32"/>
  <c r="AB179" i="32"/>
  <c r="AB178" i="32"/>
  <c r="AB177" i="32"/>
  <c r="AB176" i="32"/>
  <c r="AB175" i="32"/>
  <c r="AB174" i="32"/>
  <c r="AB173" i="32"/>
  <c r="AB172" i="32"/>
  <c r="AB171" i="32"/>
  <c r="AB170" i="32"/>
  <c r="AB169" i="32"/>
  <c r="AB168" i="32"/>
  <c r="AB167" i="32"/>
  <c r="AB166" i="32"/>
  <c r="AB165" i="32"/>
  <c r="AB164" i="32"/>
  <c r="AB163" i="32"/>
  <c r="AB162" i="32"/>
  <c r="AB161" i="32"/>
  <c r="AB160" i="32"/>
  <c r="AB159" i="32"/>
  <c r="AB158" i="32"/>
  <c r="AB157" i="32"/>
  <c r="AB156" i="32"/>
  <c r="AB155" i="32"/>
  <c r="AB154" i="32"/>
  <c r="AB153" i="32"/>
  <c r="AB152" i="32"/>
  <c r="AB151" i="32"/>
  <c r="AB150" i="32"/>
  <c r="AB149" i="32"/>
  <c r="AB148" i="32"/>
  <c r="AB147" i="32"/>
  <c r="AB146" i="32"/>
  <c r="AB145" i="32"/>
  <c r="AB144" i="32"/>
  <c r="AB143" i="32"/>
  <c r="AB142" i="32"/>
  <c r="AB141" i="32"/>
  <c r="AB140" i="32"/>
  <c r="AB139" i="32"/>
  <c r="AB138" i="32"/>
  <c r="AB137" i="32"/>
  <c r="AB136" i="32"/>
  <c r="AB135" i="32"/>
  <c r="AB134" i="32"/>
  <c r="AB133" i="32"/>
  <c r="AB132" i="32"/>
  <c r="AB131" i="32"/>
  <c r="AB130" i="32"/>
  <c r="AB129" i="32"/>
  <c r="AB128" i="32"/>
  <c r="AB127" i="32"/>
  <c r="AB126" i="32"/>
  <c r="AB125" i="32"/>
  <c r="AB124" i="32"/>
  <c r="AB123" i="32"/>
  <c r="AB122" i="32"/>
  <c r="AB121" i="32"/>
  <c r="AB120" i="32"/>
  <c r="AB119" i="32"/>
  <c r="AB118" i="32"/>
  <c r="AB117" i="32"/>
  <c r="AB116" i="32"/>
  <c r="AB115" i="32"/>
  <c r="AB114" i="32"/>
  <c r="AB113" i="32"/>
  <c r="AB112" i="32"/>
  <c r="AB111" i="32"/>
  <c r="AB110" i="32"/>
  <c r="AB109" i="32"/>
  <c r="AB108" i="32"/>
  <c r="AB107" i="32"/>
  <c r="AB106" i="32"/>
  <c r="AB105" i="32"/>
  <c r="AB104" i="32"/>
  <c r="AB103" i="32"/>
  <c r="AB102" i="32"/>
  <c r="AB101" i="32"/>
  <c r="AB100" i="32"/>
  <c r="AB99" i="32"/>
  <c r="AB98" i="32"/>
  <c r="AB97" i="32"/>
  <c r="AB96" i="32"/>
  <c r="AB95" i="32"/>
  <c r="AB94" i="32"/>
  <c r="AB93" i="32"/>
  <c r="AB92" i="32"/>
  <c r="AB91" i="32"/>
  <c r="AB90" i="32"/>
  <c r="AB89" i="32"/>
  <c r="AB88" i="32"/>
  <c r="AB87" i="32"/>
  <c r="AB86" i="32"/>
  <c r="AB85" i="32"/>
  <c r="AB84" i="32"/>
  <c r="AB83" i="32"/>
  <c r="AB82" i="32"/>
  <c r="AB81" i="32"/>
  <c r="AB80" i="32"/>
  <c r="AB79" i="32"/>
  <c r="AB78" i="32"/>
  <c r="AB77" i="32"/>
  <c r="AB76" i="32"/>
  <c r="AB75" i="32"/>
  <c r="AB74" i="32"/>
  <c r="AB73" i="32"/>
  <c r="AB72" i="32"/>
  <c r="AB71" i="32"/>
  <c r="AB70" i="32"/>
  <c r="AB69" i="32"/>
  <c r="AB68" i="32"/>
  <c r="AB67" i="32"/>
  <c r="AB66" i="32"/>
  <c r="AB65" i="32"/>
  <c r="AB64" i="32"/>
  <c r="AB63" i="32"/>
  <c r="AB62" i="32"/>
  <c r="AB61" i="32"/>
  <c r="AB60" i="32"/>
  <c r="AB59" i="32"/>
  <c r="AB58" i="32"/>
  <c r="AB57" i="32"/>
  <c r="AB56" i="32"/>
  <c r="AB55" i="32"/>
  <c r="AB54" i="32"/>
  <c r="AB53" i="32"/>
  <c r="AB52" i="32"/>
  <c r="AB51" i="32"/>
  <c r="AB50" i="32"/>
  <c r="AB49" i="32"/>
  <c r="AB48" i="32"/>
  <c r="AB47" i="32"/>
  <c r="AB46" i="32"/>
  <c r="AB45" i="32"/>
  <c r="AB44" i="32"/>
  <c r="AB43" i="32"/>
  <c r="AB42" i="32"/>
  <c r="AB41" i="32"/>
  <c r="AB40" i="32"/>
  <c r="AB39" i="32"/>
  <c r="AB38" i="32"/>
  <c r="AB37" i="32"/>
  <c r="AB36" i="32"/>
  <c r="AB35" i="32"/>
  <c r="AB34" i="32"/>
  <c r="AB33" i="32"/>
  <c r="AB32" i="32"/>
  <c r="AB31" i="32"/>
  <c r="AB30" i="32"/>
  <c r="AB29" i="32"/>
  <c r="AB28" i="32"/>
  <c r="AB27" i="32"/>
  <c r="AB26" i="32"/>
  <c r="AB25" i="32"/>
  <c r="AB24" i="32"/>
  <c r="AB23" i="32"/>
  <c r="AB22" i="32"/>
  <c r="AB21" i="32"/>
  <c r="AB20" i="32"/>
  <c r="AB19" i="32"/>
  <c r="AB18" i="32"/>
  <c r="AB17" i="32"/>
  <c r="AB16" i="32"/>
  <c r="AB15" i="32"/>
  <c r="AB14" i="32"/>
  <c r="AB13" i="32"/>
  <c r="AB12" i="32"/>
  <c r="AB11" i="32"/>
  <c r="AB10" i="32"/>
  <c r="AB9" i="32"/>
  <c r="AB8" i="32"/>
  <c r="AB7" i="32"/>
  <c r="AB6" i="32"/>
  <c r="U435" i="32"/>
  <c r="U434" i="32"/>
  <c r="U433" i="32"/>
  <c r="U432" i="32"/>
  <c r="U431" i="32"/>
  <c r="U430" i="32"/>
  <c r="U429" i="32"/>
  <c r="U428" i="32"/>
  <c r="U427" i="32"/>
  <c r="U426" i="32"/>
  <c r="U425" i="32"/>
  <c r="U424" i="32"/>
  <c r="U423" i="32"/>
  <c r="U422" i="32"/>
  <c r="U421" i="32"/>
  <c r="U420" i="32"/>
  <c r="U419" i="32"/>
  <c r="U418" i="32"/>
  <c r="U417" i="32"/>
  <c r="U416" i="32"/>
  <c r="U415" i="32"/>
  <c r="U414" i="32"/>
  <c r="U413" i="32"/>
  <c r="U412" i="32"/>
  <c r="U411" i="32"/>
  <c r="U410" i="32"/>
  <c r="U409" i="32"/>
  <c r="U408" i="32"/>
  <c r="U407" i="32"/>
  <c r="U406" i="32"/>
  <c r="U405" i="32"/>
  <c r="U404" i="32"/>
  <c r="U403" i="32"/>
  <c r="U402" i="32"/>
  <c r="U401" i="32"/>
  <c r="U400" i="32"/>
  <c r="U399" i="32"/>
  <c r="U398" i="32"/>
  <c r="U397" i="32"/>
  <c r="U396" i="32"/>
  <c r="U395" i="32"/>
  <c r="U394" i="32"/>
  <c r="U393" i="32"/>
  <c r="U392" i="32"/>
  <c r="U391" i="32"/>
  <c r="U390" i="32"/>
  <c r="U389" i="32"/>
  <c r="U388" i="32"/>
  <c r="U387" i="32"/>
  <c r="U386" i="32"/>
  <c r="U385" i="32"/>
  <c r="U384" i="32"/>
  <c r="U383" i="32"/>
  <c r="U382" i="32"/>
  <c r="U381" i="32"/>
  <c r="U380" i="32"/>
  <c r="U379" i="32"/>
  <c r="U378" i="32"/>
  <c r="U377" i="32"/>
  <c r="U376" i="32"/>
  <c r="U375" i="32"/>
  <c r="U374" i="32"/>
  <c r="U373" i="32"/>
  <c r="U372" i="32"/>
  <c r="U371" i="32"/>
  <c r="U370" i="32"/>
  <c r="U369" i="32"/>
  <c r="U368" i="32"/>
  <c r="U367" i="32"/>
  <c r="U366" i="32"/>
  <c r="U365" i="32"/>
  <c r="U364" i="32"/>
  <c r="U363" i="32"/>
  <c r="U362" i="32"/>
  <c r="U361" i="32"/>
  <c r="U360" i="32"/>
  <c r="U359" i="32"/>
  <c r="U358" i="32"/>
  <c r="U357" i="32"/>
  <c r="U356" i="32"/>
  <c r="U355" i="32"/>
  <c r="U354" i="32"/>
  <c r="U353" i="32"/>
  <c r="U352" i="32"/>
  <c r="U351" i="32"/>
  <c r="U350" i="32"/>
  <c r="U349" i="32"/>
  <c r="U348" i="32"/>
  <c r="U347" i="32"/>
  <c r="U346" i="32"/>
  <c r="U345" i="32"/>
  <c r="U344" i="32"/>
  <c r="U343" i="32"/>
  <c r="U342" i="32"/>
  <c r="U341" i="32"/>
  <c r="U340" i="32"/>
  <c r="U339" i="32"/>
  <c r="U338" i="32"/>
  <c r="U337" i="32"/>
  <c r="U336" i="32"/>
  <c r="U335" i="32"/>
  <c r="U334" i="32"/>
  <c r="U333" i="32"/>
  <c r="U332" i="32"/>
  <c r="U331" i="32"/>
  <c r="U330" i="32"/>
  <c r="U329" i="32"/>
  <c r="U328" i="32"/>
  <c r="U327" i="32"/>
  <c r="U326" i="32"/>
  <c r="U325" i="32"/>
  <c r="U324" i="32"/>
  <c r="U323" i="32"/>
  <c r="U322" i="32"/>
  <c r="U321" i="32"/>
  <c r="U320" i="32"/>
  <c r="U319" i="32"/>
  <c r="U318" i="32"/>
  <c r="U317" i="32"/>
  <c r="U316" i="32"/>
  <c r="U315" i="32"/>
  <c r="U314" i="32"/>
  <c r="U313" i="32"/>
  <c r="U312" i="32"/>
  <c r="U311" i="32"/>
  <c r="U310" i="32"/>
  <c r="U309" i="32"/>
  <c r="U308" i="32"/>
  <c r="U307" i="32"/>
  <c r="U306" i="32"/>
  <c r="U305" i="32"/>
  <c r="U304" i="32"/>
  <c r="U303" i="32"/>
  <c r="U302" i="32"/>
  <c r="U301" i="32"/>
  <c r="U300" i="32"/>
  <c r="U299" i="32"/>
  <c r="U298" i="32"/>
  <c r="U297" i="32"/>
  <c r="U296" i="32"/>
  <c r="U295" i="32"/>
  <c r="U294" i="32"/>
  <c r="U293" i="32"/>
  <c r="U292" i="32"/>
  <c r="U291" i="32"/>
  <c r="U290" i="32"/>
  <c r="U289" i="32"/>
  <c r="U288" i="32"/>
  <c r="U287" i="32"/>
  <c r="U286" i="32"/>
  <c r="U285" i="32"/>
  <c r="U284" i="32"/>
  <c r="U283" i="32"/>
  <c r="U282" i="32"/>
  <c r="U281" i="32"/>
  <c r="U280" i="32"/>
  <c r="U279" i="32"/>
  <c r="U278" i="32"/>
  <c r="U277" i="32"/>
  <c r="U276" i="32"/>
  <c r="U275" i="32"/>
  <c r="U274" i="32"/>
  <c r="U273" i="32"/>
  <c r="U272" i="32"/>
  <c r="U271" i="32"/>
  <c r="U270" i="32"/>
  <c r="U269" i="32"/>
  <c r="U268" i="32"/>
  <c r="U267" i="32"/>
  <c r="U266" i="32"/>
  <c r="U265" i="32"/>
  <c r="U264" i="32"/>
  <c r="U263" i="32"/>
  <c r="U262" i="32"/>
  <c r="U261" i="32"/>
  <c r="U260" i="32"/>
  <c r="U259" i="32"/>
  <c r="U258" i="32"/>
  <c r="U257" i="32"/>
  <c r="U256" i="32"/>
  <c r="U255" i="32"/>
  <c r="U254" i="32"/>
  <c r="U253" i="32"/>
  <c r="U252" i="32"/>
  <c r="U251" i="32"/>
  <c r="U250" i="32"/>
  <c r="U249" i="32"/>
  <c r="U248" i="32"/>
  <c r="U247" i="32"/>
  <c r="U246" i="32"/>
  <c r="U245" i="32"/>
  <c r="U244" i="32"/>
  <c r="U243" i="32"/>
  <c r="U242" i="32"/>
  <c r="U241" i="32"/>
  <c r="U240" i="32"/>
  <c r="U239" i="32"/>
  <c r="U238" i="32"/>
  <c r="U237" i="32"/>
  <c r="U236" i="32"/>
  <c r="U235" i="32"/>
  <c r="U234" i="32"/>
  <c r="U233" i="32"/>
  <c r="U232" i="32"/>
  <c r="U231" i="32"/>
  <c r="U230" i="32"/>
  <c r="U229" i="32"/>
  <c r="U228" i="32"/>
  <c r="U227" i="32"/>
  <c r="U226" i="32"/>
  <c r="U225" i="32"/>
  <c r="U224" i="32"/>
  <c r="U223" i="32"/>
  <c r="U222" i="32"/>
  <c r="U221" i="32"/>
  <c r="U220" i="32"/>
  <c r="U219" i="32"/>
  <c r="U218" i="32"/>
  <c r="U217" i="32"/>
  <c r="U216" i="32"/>
  <c r="U215" i="32"/>
  <c r="U214" i="32"/>
  <c r="U213" i="32"/>
  <c r="U212" i="32"/>
  <c r="U211" i="32"/>
  <c r="U210" i="32"/>
  <c r="U209" i="32"/>
  <c r="U208" i="32"/>
  <c r="U207" i="32"/>
  <c r="U206" i="32"/>
  <c r="U205" i="32"/>
  <c r="U204" i="32"/>
  <c r="U203" i="32"/>
  <c r="U202" i="32"/>
  <c r="U201" i="32"/>
  <c r="U200" i="32"/>
  <c r="U199" i="32"/>
  <c r="U198" i="32"/>
  <c r="U197" i="32"/>
  <c r="U196" i="32"/>
  <c r="U195" i="32"/>
  <c r="U194" i="32"/>
  <c r="U193" i="32"/>
  <c r="U192" i="32"/>
  <c r="U191" i="32"/>
  <c r="U190" i="32"/>
  <c r="U189" i="32"/>
  <c r="U188" i="32"/>
  <c r="U187" i="32"/>
  <c r="U186" i="32"/>
  <c r="U185" i="32"/>
  <c r="U184" i="32"/>
  <c r="U183" i="32"/>
  <c r="U182" i="32"/>
  <c r="U181" i="32"/>
  <c r="U180" i="32"/>
  <c r="U179" i="32"/>
  <c r="U178" i="32"/>
  <c r="U177" i="32"/>
  <c r="U176" i="32"/>
  <c r="U175" i="32"/>
  <c r="U174" i="32"/>
  <c r="U173" i="32"/>
  <c r="U172" i="32"/>
  <c r="U171" i="32"/>
  <c r="U170" i="32"/>
  <c r="U169" i="32"/>
  <c r="U168" i="32"/>
  <c r="U167" i="32"/>
  <c r="U166" i="32"/>
  <c r="U165" i="32"/>
  <c r="U164" i="32"/>
  <c r="U163" i="32"/>
  <c r="U162" i="32"/>
  <c r="U161" i="32"/>
  <c r="U160" i="32"/>
  <c r="U159" i="32"/>
  <c r="U158" i="32"/>
  <c r="U157" i="32"/>
  <c r="U156" i="32"/>
  <c r="U155" i="32"/>
  <c r="U154" i="32"/>
  <c r="U153" i="32"/>
  <c r="U152" i="32"/>
  <c r="U151" i="32"/>
  <c r="U150" i="32"/>
  <c r="U149" i="32"/>
  <c r="U148" i="32"/>
  <c r="U147" i="32"/>
  <c r="U146" i="32"/>
  <c r="U145" i="32"/>
  <c r="U144" i="32"/>
  <c r="U143" i="32"/>
  <c r="U142" i="32"/>
  <c r="U141" i="32"/>
  <c r="U140" i="32"/>
  <c r="U139" i="32"/>
  <c r="U138" i="32"/>
  <c r="U137" i="32"/>
  <c r="U136" i="32"/>
  <c r="U135" i="32"/>
  <c r="U134" i="32"/>
  <c r="U133" i="32"/>
  <c r="U132" i="32"/>
  <c r="U131" i="32"/>
  <c r="U130" i="32"/>
  <c r="U129" i="32"/>
  <c r="U128" i="32"/>
  <c r="U127" i="32"/>
  <c r="U126" i="32"/>
  <c r="U125" i="32"/>
  <c r="U124" i="32"/>
  <c r="U123" i="32"/>
  <c r="U122" i="32"/>
  <c r="U121" i="32"/>
  <c r="U120" i="32"/>
  <c r="U119" i="32"/>
  <c r="U118" i="32"/>
  <c r="U117" i="32"/>
  <c r="U116" i="32"/>
  <c r="U115" i="32"/>
  <c r="U114" i="32"/>
  <c r="U113" i="32"/>
  <c r="U112" i="32"/>
  <c r="U111" i="32"/>
  <c r="U110" i="32"/>
  <c r="U109" i="32"/>
  <c r="U108" i="32"/>
  <c r="U107" i="32"/>
  <c r="U106" i="32"/>
  <c r="U105" i="32"/>
  <c r="U104" i="32"/>
  <c r="U103" i="32"/>
  <c r="U102" i="32"/>
  <c r="U101" i="32"/>
  <c r="U100" i="32"/>
  <c r="U99" i="32"/>
  <c r="U98" i="32"/>
  <c r="U97" i="32"/>
  <c r="U96" i="32"/>
  <c r="U95" i="32"/>
  <c r="U94" i="32"/>
  <c r="U93" i="32"/>
  <c r="U92" i="32"/>
  <c r="U91" i="32"/>
  <c r="U90" i="32"/>
  <c r="U89" i="32"/>
  <c r="U88" i="32"/>
  <c r="U87" i="32"/>
  <c r="U86" i="32"/>
  <c r="U85" i="32"/>
  <c r="U84" i="32"/>
  <c r="U83" i="32"/>
  <c r="U82" i="32"/>
  <c r="U81" i="32"/>
  <c r="U80" i="32"/>
  <c r="U79" i="32"/>
  <c r="U78" i="32"/>
  <c r="U77" i="32"/>
  <c r="U76" i="32"/>
  <c r="U75" i="32"/>
  <c r="U74" i="32"/>
  <c r="U73" i="32"/>
  <c r="U72" i="32"/>
  <c r="U71" i="32"/>
  <c r="U70" i="32"/>
  <c r="U69" i="32"/>
  <c r="U68" i="32"/>
  <c r="U67" i="32"/>
  <c r="U66" i="32"/>
  <c r="U65" i="32"/>
  <c r="U64" i="32"/>
  <c r="U63" i="32"/>
  <c r="U62" i="32"/>
  <c r="U61" i="32"/>
  <c r="U60" i="32"/>
  <c r="U59" i="32"/>
  <c r="U58" i="32"/>
  <c r="U57" i="32"/>
  <c r="U56" i="32"/>
  <c r="U55" i="32"/>
  <c r="U54" i="32"/>
  <c r="U53" i="32"/>
  <c r="U52" i="32"/>
  <c r="U51" i="32"/>
  <c r="U50" i="32"/>
  <c r="U49" i="32"/>
  <c r="U48" i="32"/>
  <c r="U47" i="32"/>
  <c r="U46" i="32"/>
  <c r="U45" i="32"/>
  <c r="U44" i="32"/>
  <c r="U43" i="32"/>
  <c r="U42" i="32"/>
  <c r="U41" i="32"/>
  <c r="U40" i="32"/>
  <c r="U39" i="32"/>
  <c r="U38" i="32"/>
  <c r="U37" i="32"/>
  <c r="U36" i="32"/>
  <c r="U35" i="32"/>
  <c r="U34" i="32"/>
  <c r="U33" i="32"/>
  <c r="U32" i="32"/>
  <c r="U31" i="32"/>
  <c r="U30" i="32"/>
  <c r="U29" i="32"/>
  <c r="U28" i="32"/>
  <c r="U27" i="32"/>
  <c r="U26" i="32"/>
  <c r="U25" i="32"/>
  <c r="U24" i="32"/>
  <c r="U23" i="32"/>
  <c r="U22" i="32"/>
  <c r="U21" i="32"/>
  <c r="U20" i="32"/>
  <c r="U19" i="32"/>
  <c r="U18" i="32"/>
  <c r="U17" i="32"/>
  <c r="U16" i="32"/>
  <c r="U15" i="32"/>
  <c r="U14" i="32"/>
  <c r="U13" i="32"/>
  <c r="U12" i="32"/>
  <c r="U11" i="32"/>
  <c r="U10" i="32"/>
  <c r="U9" i="32"/>
  <c r="U8" i="32"/>
  <c r="U7" i="32"/>
  <c r="R435" i="32"/>
  <c r="R434" i="32"/>
  <c r="R433" i="32"/>
  <c r="R432" i="32"/>
  <c r="R431" i="32"/>
  <c r="R430" i="32"/>
  <c r="R429" i="32"/>
  <c r="R428" i="32"/>
  <c r="R427" i="32"/>
  <c r="R426" i="32"/>
  <c r="R425" i="32"/>
  <c r="R424" i="32"/>
  <c r="R423" i="32"/>
  <c r="R422" i="32"/>
  <c r="R421" i="32"/>
  <c r="R420" i="32"/>
  <c r="R419" i="32"/>
  <c r="R418" i="32"/>
  <c r="R417" i="32"/>
  <c r="R416" i="32"/>
  <c r="R415" i="32"/>
  <c r="R414" i="32"/>
  <c r="R413" i="32"/>
  <c r="R412" i="32"/>
  <c r="R411" i="32"/>
  <c r="R410" i="32"/>
  <c r="R409" i="32"/>
  <c r="R408" i="32"/>
  <c r="R407" i="32"/>
  <c r="R406" i="32"/>
  <c r="R405" i="32"/>
  <c r="R404" i="32"/>
  <c r="R403" i="32"/>
  <c r="R402" i="32"/>
  <c r="R401" i="32"/>
  <c r="R400" i="32"/>
  <c r="R399" i="32"/>
  <c r="R398" i="32"/>
  <c r="R397" i="32"/>
  <c r="R396" i="32"/>
  <c r="R395" i="32"/>
  <c r="R394" i="32"/>
  <c r="R393" i="32"/>
  <c r="R392" i="32"/>
  <c r="R391" i="32"/>
  <c r="R390" i="32"/>
  <c r="R389" i="32"/>
  <c r="R388" i="32"/>
  <c r="R387" i="32"/>
  <c r="R386" i="32"/>
  <c r="R385" i="32"/>
  <c r="R384" i="32"/>
  <c r="R383" i="32"/>
  <c r="R382" i="32"/>
  <c r="R381" i="32"/>
  <c r="R380" i="32"/>
  <c r="R379" i="32"/>
  <c r="R378" i="32"/>
  <c r="R377" i="32"/>
  <c r="R376" i="32"/>
  <c r="R375" i="32"/>
  <c r="R374" i="32"/>
  <c r="R373" i="32"/>
  <c r="R372" i="32"/>
  <c r="R371" i="32"/>
  <c r="R370" i="32"/>
  <c r="R369" i="32"/>
  <c r="R368" i="32"/>
  <c r="R367" i="32"/>
  <c r="R366" i="32"/>
  <c r="R365" i="32"/>
  <c r="R364" i="32"/>
  <c r="R363" i="32"/>
  <c r="R362" i="32"/>
  <c r="R361" i="32"/>
  <c r="R360" i="32"/>
  <c r="R359" i="32"/>
  <c r="R358" i="32"/>
  <c r="R357" i="32"/>
  <c r="R356" i="32"/>
  <c r="R355" i="32"/>
  <c r="R354" i="32"/>
  <c r="R353" i="32"/>
  <c r="R352" i="32"/>
  <c r="R351" i="32"/>
  <c r="R350" i="32"/>
  <c r="R349" i="32"/>
  <c r="R348" i="32"/>
  <c r="R347" i="32"/>
  <c r="R346" i="32"/>
  <c r="R345" i="32"/>
  <c r="R344" i="32"/>
  <c r="R343" i="32"/>
  <c r="R342" i="32"/>
  <c r="R341" i="32"/>
  <c r="R340" i="32"/>
  <c r="R339" i="32"/>
  <c r="R338" i="32"/>
  <c r="R337" i="32"/>
  <c r="R336" i="32"/>
  <c r="R335" i="32"/>
  <c r="R334" i="32"/>
  <c r="R333" i="32"/>
  <c r="R332" i="32"/>
  <c r="R331" i="32"/>
  <c r="R330" i="32"/>
  <c r="R329" i="32"/>
  <c r="R328" i="32"/>
  <c r="R327" i="32"/>
  <c r="R326" i="32"/>
  <c r="R325" i="32"/>
  <c r="R324" i="32"/>
  <c r="R323" i="32"/>
  <c r="R322" i="32"/>
  <c r="R321" i="32"/>
  <c r="R320" i="32"/>
  <c r="R319" i="32"/>
  <c r="R318" i="32"/>
  <c r="R317" i="32"/>
  <c r="R316" i="32"/>
  <c r="R315" i="32"/>
  <c r="R314" i="32"/>
  <c r="R313" i="32"/>
  <c r="R312" i="32"/>
  <c r="R311" i="32"/>
  <c r="R310" i="32"/>
  <c r="R309" i="32"/>
  <c r="R308" i="32"/>
  <c r="R307" i="32"/>
  <c r="R306" i="32"/>
  <c r="R305" i="32"/>
  <c r="R304" i="32"/>
  <c r="R303" i="32"/>
  <c r="R302" i="32"/>
  <c r="R301" i="32"/>
  <c r="R300" i="32"/>
  <c r="R299" i="32"/>
  <c r="R298" i="32"/>
  <c r="R297" i="32"/>
  <c r="R296" i="32"/>
  <c r="R295" i="32"/>
  <c r="R294" i="32"/>
  <c r="R293" i="32"/>
  <c r="R292" i="32"/>
  <c r="R291" i="32"/>
  <c r="R290" i="32"/>
  <c r="R289" i="32"/>
  <c r="R288" i="32"/>
  <c r="R287" i="32"/>
  <c r="R286" i="32"/>
  <c r="R285" i="32"/>
  <c r="R284" i="32"/>
  <c r="R283" i="32"/>
  <c r="R282" i="32"/>
  <c r="R281" i="32"/>
  <c r="R280" i="32"/>
  <c r="R279" i="32"/>
  <c r="R278" i="32"/>
  <c r="R277" i="32"/>
  <c r="R276" i="32"/>
  <c r="R275" i="32"/>
  <c r="R274" i="32"/>
  <c r="R273" i="32"/>
  <c r="R272" i="32"/>
  <c r="R271" i="32"/>
  <c r="R270" i="32"/>
  <c r="R269" i="32"/>
  <c r="R268" i="32"/>
  <c r="R267" i="32"/>
  <c r="R266" i="32"/>
  <c r="R265" i="32"/>
  <c r="R264" i="32"/>
  <c r="R263" i="32"/>
  <c r="R262" i="32"/>
  <c r="R261" i="32"/>
  <c r="R260" i="32"/>
  <c r="R259" i="32"/>
  <c r="R258" i="32"/>
  <c r="R257" i="32"/>
  <c r="R256" i="32"/>
  <c r="R255" i="32"/>
  <c r="R254" i="32"/>
  <c r="R253" i="32"/>
  <c r="R252" i="32"/>
  <c r="R251" i="32"/>
  <c r="R250" i="32"/>
  <c r="R249" i="32"/>
  <c r="R248" i="32"/>
  <c r="R247" i="32"/>
  <c r="R246" i="32"/>
  <c r="R245" i="32"/>
  <c r="R244" i="32"/>
  <c r="R243" i="32"/>
  <c r="R242" i="32"/>
  <c r="R241" i="32"/>
  <c r="R240" i="32"/>
  <c r="R239" i="32"/>
  <c r="R238" i="32"/>
  <c r="R237" i="32"/>
  <c r="R236" i="32"/>
  <c r="R235" i="32"/>
  <c r="R234" i="32"/>
  <c r="R233" i="32"/>
  <c r="R232" i="32"/>
  <c r="R231" i="32"/>
  <c r="R230" i="32"/>
  <c r="R229" i="32"/>
  <c r="R228" i="32"/>
  <c r="R227" i="32"/>
  <c r="R226" i="32"/>
  <c r="R225" i="32"/>
  <c r="R224" i="32"/>
  <c r="R223" i="32"/>
  <c r="R222" i="32"/>
  <c r="R221" i="32"/>
  <c r="R220" i="32"/>
  <c r="R219" i="32"/>
  <c r="R218" i="32"/>
  <c r="R217" i="32"/>
  <c r="R216" i="32"/>
  <c r="R215" i="32"/>
  <c r="R214" i="32"/>
  <c r="R213" i="32"/>
  <c r="R212" i="32"/>
  <c r="R211" i="32"/>
  <c r="R210" i="32"/>
  <c r="R209" i="32"/>
  <c r="R208" i="32"/>
  <c r="R207" i="32"/>
  <c r="R206" i="32"/>
  <c r="R205" i="32"/>
  <c r="R204" i="32"/>
  <c r="R203" i="32"/>
  <c r="R202" i="32"/>
  <c r="R201" i="32"/>
  <c r="R200" i="32"/>
  <c r="R199" i="32"/>
  <c r="R198" i="32"/>
  <c r="R197" i="32"/>
  <c r="R196" i="32"/>
  <c r="R195" i="32"/>
  <c r="R194" i="32"/>
  <c r="R193" i="32"/>
  <c r="R192" i="32"/>
  <c r="R191" i="32"/>
  <c r="R190" i="32"/>
  <c r="R189" i="32"/>
  <c r="R188" i="32"/>
  <c r="R187" i="32"/>
  <c r="R186" i="32"/>
  <c r="R185" i="32"/>
  <c r="R184" i="32"/>
  <c r="R183" i="32"/>
  <c r="R182" i="32"/>
  <c r="R181" i="32"/>
  <c r="R180" i="32"/>
  <c r="R179" i="32"/>
  <c r="R178" i="32"/>
  <c r="R177" i="32"/>
  <c r="R176" i="32"/>
  <c r="R175" i="32"/>
  <c r="R174" i="32"/>
  <c r="R173" i="32"/>
  <c r="R172" i="32"/>
  <c r="R171" i="32"/>
  <c r="R170" i="32"/>
  <c r="R169" i="32"/>
  <c r="R168" i="32"/>
  <c r="R167" i="32"/>
  <c r="R166" i="32"/>
  <c r="R165" i="32"/>
  <c r="R164" i="32"/>
  <c r="R163" i="32"/>
  <c r="R162" i="32"/>
  <c r="R161" i="32"/>
  <c r="R160" i="32"/>
  <c r="R159" i="32"/>
  <c r="R158" i="32"/>
  <c r="R157" i="32"/>
  <c r="R156" i="32"/>
  <c r="R155" i="32"/>
  <c r="R154" i="32"/>
  <c r="R153" i="32"/>
  <c r="R152" i="32"/>
  <c r="R151" i="32"/>
  <c r="R150" i="32"/>
  <c r="R149" i="32"/>
  <c r="R148" i="32"/>
  <c r="R147" i="32"/>
  <c r="R146" i="32"/>
  <c r="R145" i="32"/>
  <c r="R144" i="32"/>
  <c r="R143" i="32"/>
  <c r="R142" i="32"/>
  <c r="R141" i="32"/>
  <c r="R140" i="32"/>
  <c r="R139" i="32"/>
  <c r="R138" i="32"/>
  <c r="R137" i="32"/>
  <c r="R136" i="32"/>
  <c r="R135" i="32"/>
  <c r="R134" i="32"/>
  <c r="R133" i="32"/>
  <c r="R132" i="32"/>
  <c r="R131" i="32"/>
  <c r="R130" i="32"/>
  <c r="R129" i="32"/>
  <c r="R128" i="32"/>
  <c r="R127" i="32"/>
  <c r="R126" i="32"/>
  <c r="R125" i="32"/>
  <c r="R124" i="32"/>
  <c r="R123" i="32"/>
  <c r="R122" i="32"/>
  <c r="R121" i="32"/>
  <c r="R120" i="32"/>
  <c r="R119" i="32"/>
  <c r="R118" i="32"/>
  <c r="R117" i="32"/>
  <c r="R116" i="32"/>
  <c r="R115" i="32"/>
  <c r="R114" i="32"/>
  <c r="R113" i="32"/>
  <c r="R112" i="32"/>
  <c r="R111" i="32"/>
  <c r="R110" i="32"/>
  <c r="R109" i="32"/>
  <c r="R108" i="32"/>
  <c r="R107" i="32"/>
  <c r="R106" i="32"/>
  <c r="R105" i="32"/>
  <c r="R104" i="32"/>
  <c r="R103" i="32"/>
  <c r="R102" i="32"/>
  <c r="R101" i="32"/>
  <c r="R100" i="32"/>
  <c r="R99" i="32"/>
  <c r="R98" i="32"/>
  <c r="R97" i="32"/>
  <c r="R96" i="32"/>
  <c r="R95" i="32"/>
  <c r="R94" i="32"/>
  <c r="R93" i="32"/>
  <c r="R92" i="32"/>
  <c r="R91" i="32"/>
  <c r="R90" i="32"/>
  <c r="R89" i="32"/>
  <c r="R88" i="32"/>
  <c r="R87" i="32"/>
  <c r="R86" i="32"/>
  <c r="R85" i="32"/>
  <c r="R84" i="32"/>
  <c r="R83" i="32"/>
  <c r="R82" i="32"/>
  <c r="R81" i="32"/>
  <c r="R80" i="32"/>
  <c r="R79" i="32"/>
  <c r="R78" i="32"/>
  <c r="R77" i="32"/>
  <c r="R76" i="32"/>
  <c r="R75" i="32"/>
  <c r="R74" i="32"/>
  <c r="R73" i="32"/>
  <c r="R72" i="32"/>
  <c r="R71" i="32"/>
  <c r="R70" i="32"/>
  <c r="R69" i="32"/>
  <c r="R68" i="32"/>
  <c r="R67" i="32"/>
  <c r="R66" i="32"/>
  <c r="R65" i="32"/>
  <c r="R64" i="32"/>
  <c r="R63" i="32"/>
  <c r="R62" i="32"/>
  <c r="R61" i="32"/>
  <c r="R60" i="32"/>
  <c r="R59" i="32"/>
  <c r="R58" i="32"/>
  <c r="R57" i="32"/>
  <c r="R56" i="32"/>
  <c r="R55" i="32"/>
  <c r="R54" i="32"/>
  <c r="R53" i="32"/>
  <c r="R52" i="32"/>
  <c r="R51" i="32"/>
  <c r="R50" i="32"/>
  <c r="R49" i="32"/>
  <c r="R48" i="32"/>
  <c r="R47" i="32"/>
  <c r="R46" i="32"/>
  <c r="R45" i="32"/>
  <c r="R44" i="32"/>
  <c r="R43" i="32"/>
  <c r="R42" i="32"/>
  <c r="R41" i="32"/>
  <c r="R40" i="32"/>
  <c r="R39" i="32"/>
  <c r="R38" i="32"/>
  <c r="R37" i="32"/>
  <c r="R36" i="32"/>
  <c r="R35" i="32"/>
  <c r="R34" i="32"/>
  <c r="R33" i="32"/>
  <c r="R32" i="32"/>
  <c r="R31" i="32"/>
  <c r="R30" i="32"/>
  <c r="R29" i="32"/>
  <c r="R28" i="32"/>
  <c r="R27" i="32"/>
  <c r="R26" i="32"/>
  <c r="R25" i="32"/>
  <c r="R24" i="32"/>
  <c r="R23" i="32"/>
  <c r="R22" i="32"/>
  <c r="R21" i="32"/>
  <c r="R20" i="32"/>
  <c r="R19" i="32"/>
  <c r="R18" i="32"/>
  <c r="R17" i="32"/>
  <c r="R16" i="32"/>
  <c r="R15" i="32"/>
  <c r="R14" i="32"/>
  <c r="R13" i="32"/>
  <c r="R12" i="32"/>
  <c r="R11" i="32"/>
  <c r="R10" i="32"/>
  <c r="R9" i="32"/>
  <c r="R8" i="32"/>
  <c r="R7" i="32"/>
  <c r="G435" i="32" a="1"/>
  <c r="G435" i="32" s="1"/>
  <c r="G434" i="32" a="1"/>
  <c r="G434" i="32" s="1"/>
  <c r="G433" i="32" a="1"/>
  <c r="G433" i="32" s="1"/>
  <c r="G432" i="32" a="1"/>
  <c r="G432" i="32" s="1"/>
  <c r="G431" i="32" a="1"/>
  <c r="G431" i="32" s="1"/>
  <c r="G430" i="32" a="1"/>
  <c r="G430" i="32" s="1"/>
  <c r="G429" i="32" a="1"/>
  <c r="G429" i="32" s="1"/>
  <c r="G428" i="32" a="1"/>
  <c r="G428" i="32" s="1"/>
  <c r="G427" i="32" a="1"/>
  <c r="G427" i="32" s="1"/>
  <c r="G426" i="32" a="1"/>
  <c r="G426" i="32" s="1"/>
  <c r="G425" i="32" a="1"/>
  <c r="G425" i="32" s="1"/>
  <c r="G424" i="32" a="1"/>
  <c r="G424" i="32" s="1"/>
  <c r="G423" i="32" a="1"/>
  <c r="G423" i="32" s="1"/>
  <c r="G422" i="32" a="1"/>
  <c r="G422" i="32" s="1"/>
  <c r="G421" i="32" a="1"/>
  <c r="G421" i="32" s="1"/>
  <c r="G420" i="32" a="1"/>
  <c r="G420" i="32" s="1"/>
  <c r="G419" i="32" a="1"/>
  <c r="G419" i="32" s="1"/>
  <c r="G418" i="32" a="1"/>
  <c r="G418" i="32" s="1"/>
  <c r="G417" i="32" a="1"/>
  <c r="G417" i="32" s="1"/>
  <c r="G416" i="32" a="1"/>
  <c r="G416" i="32" s="1"/>
  <c r="G415" i="32" a="1"/>
  <c r="G415" i="32" s="1"/>
  <c r="G414" i="32" a="1"/>
  <c r="G414" i="32" s="1"/>
  <c r="G413" i="32" a="1"/>
  <c r="G413" i="32" s="1"/>
  <c r="G412" i="32" a="1"/>
  <c r="G412" i="32" s="1"/>
  <c r="G411" i="32" a="1"/>
  <c r="G411" i="32" s="1"/>
  <c r="G410" i="32" a="1"/>
  <c r="G410" i="32" s="1"/>
  <c r="G409" i="32" a="1"/>
  <c r="G409" i="32" s="1"/>
  <c r="G408" i="32" a="1"/>
  <c r="G408" i="32" s="1"/>
  <c r="G407" i="32" a="1"/>
  <c r="G407" i="32" s="1"/>
  <c r="G406" i="32" a="1"/>
  <c r="G406" i="32" s="1"/>
  <c r="G405" i="32" a="1"/>
  <c r="G405" i="32" s="1"/>
  <c r="G404" i="32" a="1"/>
  <c r="G404" i="32" s="1"/>
  <c r="G403" i="32" a="1"/>
  <c r="G403" i="32" s="1"/>
  <c r="G402" i="32" a="1"/>
  <c r="G402" i="32" s="1"/>
  <c r="G401" i="32" a="1"/>
  <c r="G401" i="32" s="1"/>
  <c r="G400" i="32" a="1"/>
  <c r="G400" i="32" s="1"/>
  <c r="G399" i="32" a="1"/>
  <c r="G399" i="32" s="1"/>
  <c r="G398" i="32" a="1"/>
  <c r="G398" i="32" s="1"/>
  <c r="G397" i="32" a="1"/>
  <c r="G397" i="32" s="1"/>
  <c r="G396" i="32" a="1"/>
  <c r="G396" i="32" s="1"/>
  <c r="G395" i="32" a="1"/>
  <c r="G395" i="32" s="1"/>
  <c r="G394" i="32" a="1"/>
  <c r="G394" i="32" s="1"/>
  <c r="G393" i="32" a="1"/>
  <c r="G393" i="32" s="1"/>
  <c r="G392" i="32" a="1"/>
  <c r="G392" i="32" s="1"/>
  <c r="G391" i="32" a="1"/>
  <c r="G391" i="32" s="1"/>
  <c r="G390" i="32" a="1"/>
  <c r="G390" i="32" s="1"/>
  <c r="G389" i="32" a="1"/>
  <c r="G389" i="32" s="1"/>
  <c r="G388" i="32" a="1"/>
  <c r="G388" i="32" s="1"/>
  <c r="G387" i="32" a="1"/>
  <c r="G387" i="32" s="1"/>
  <c r="G386" i="32" a="1"/>
  <c r="G386" i="32" s="1"/>
  <c r="G385" i="32" a="1"/>
  <c r="G385" i="32" s="1"/>
  <c r="G384" i="32" a="1"/>
  <c r="G384" i="32" s="1"/>
  <c r="G383" i="32" a="1"/>
  <c r="G383" i="32" s="1"/>
  <c r="G382" i="32" a="1"/>
  <c r="G382" i="32" s="1"/>
  <c r="G381" i="32" a="1"/>
  <c r="G381" i="32" s="1"/>
  <c r="G380" i="32" a="1"/>
  <c r="G380" i="32" s="1"/>
  <c r="G379" i="32" a="1"/>
  <c r="G379" i="32" s="1"/>
  <c r="G378" i="32" a="1"/>
  <c r="G378" i="32" s="1"/>
  <c r="G377" i="32" a="1"/>
  <c r="G377" i="32" s="1"/>
  <c r="G376" i="32" a="1"/>
  <c r="G376" i="32" s="1"/>
  <c r="G375" i="32" a="1"/>
  <c r="G375" i="32" s="1"/>
  <c r="G374" i="32" a="1"/>
  <c r="G374" i="32" s="1"/>
  <c r="G373" i="32" a="1"/>
  <c r="G373" i="32" s="1"/>
  <c r="G372" i="32" a="1"/>
  <c r="G372" i="32" s="1"/>
  <c r="G371" i="32" a="1"/>
  <c r="G371" i="32" s="1"/>
  <c r="G370" i="32" a="1"/>
  <c r="G370" i="32" s="1"/>
  <c r="G369" i="32" a="1"/>
  <c r="G369" i="32" s="1"/>
  <c r="G368" i="32" a="1"/>
  <c r="G368" i="32" s="1"/>
  <c r="G367" i="32" a="1"/>
  <c r="G367" i="32" s="1"/>
  <c r="G366" i="32" a="1"/>
  <c r="G366" i="32" s="1"/>
  <c r="G365" i="32" a="1"/>
  <c r="G365" i="32" s="1"/>
  <c r="G364" i="32" a="1"/>
  <c r="G364" i="32" s="1"/>
  <c r="G363" i="32" a="1"/>
  <c r="G363" i="32" s="1"/>
  <c r="G362" i="32" a="1"/>
  <c r="G362" i="32" s="1"/>
  <c r="G361" i="32" a="1"/>
  <c r="G361" i="32" s="1"/>
  <c r="G360" i="32" a="1"/>
  <c r="G360" i="32" s="1"/>
  <c r="G359" i="32" a="1"/>
  <c r="G359" i="32" s="1"/>
  <c r="G358" i="32" a="1"/>
  <c r="G358" i="32" s="1"/>
  <c r="G357" i="32" a="1"/>
  <c r="G357" i="32" s="1"/>
  <c r="G356" i="32" a="1"/>
  <c r="G356" i="32" s="1"/>
  <c r="G355" i="32" a="1"/>
  <c r="G355" i="32" s="1"/>
  <c r="G354" i="32" a="1"/>
  <c r="G354" i="32" s="1"/>
  <c r="G353" i="32" a="1"/>
  <c r="G353" i="32" s="1"/>
  <c r="G352" i="32" a="1"/>
  <c r="G352" i="32" s="1"/>
  <c r="G351" i="32" a="1"/>
  <c r="G351" i="32" s="1"/>
  <c r="G350" i="32" a="1"/>
  <c r="G350" i="32" s="1"/>
  <c r="G349" i="32" a="1"/>
  <c r="G349" i="32" s="1"/>
  <c r="G348" i="32" a="1"/>
  <c r="G348" i="32" s="1"/>
  <c r="G347" i="32" a="1"/>
  <c r="G347" i="32" s="1"/>
  <c r="G346" i="32" a="1"/>
  <c r="G346" i="32" s="1"/>
  <c r="G345" i="32" a="1"/>
  <c r="G345" i="32" s="1"/>
  <c r="G344" i="32" a="1"/>
  <c r="G344" i="32" s="1"/>
  <c r="G343" i="32" a="1"/>
  <c r="G343" i="32" s="1"/>
  <c r="G342" i="32" a="1"/>
  <c r="G342" i="32" s="1"/>
  <c r="G341" i="32" a="1"/>
  <c r="G341" i="32" s="1"/>
  <c r="G340" i="32" a="1"/>
  <c r="G340" i="32" s="1"/>
  <c r="G339" i="32" a="1"/>
  <c r="G339" i="32" s="1"/>
  <c r="G338" i="32" a="1"/>
  <c r="G338" i="32" s="1"/>
  <c r="G337" i="32" a="1"/>
  <c r="G337" i="32" s="1"/>
  <c r="G336" i="32" a="1"/>
  <c r="G336" i="32" s="1"/>
  <c r="G335" i="32" a="1"/>
  <c r="G335" i="32" s="1"/>
  <c r="G334" i="32" a="1"/>
  <c r="G334" i="32" s="1"/>
  <c r="G333" i="32" a="1"/>
  <c r="G333" i="32" s="1"/>
  <c r="G332" i="32" a="1"/>
  <c r="G332" i="32" s="1"/>
  <c r="G331" i="32" a="1"/>
  <c r="G331" i="32" s="1"/>
  <c r="G330" i="32" a="1"/>
  <c r="G330" i="32" s="1"/>
  <c r="G329" i="32" a="1"/>
  <c r="G329" i="32" s="1"/>
  <c r="G328" i="32" a="1"/>
  <c r="G328" i="32" s="1"/>
  <c r="G327" i="32" a="1"/>
  <c r="G327" i="32" s="1"/>
  <c r="G326" i="32" a="1"/>
  <c r="G326" i="32" s="1"/>
  <c r="G325" i="32" a="1"/>
  <c r="G325" i="32" s="1"/>
  <c r="G324" i="32" a="1"/>
  <c r="G324" i="32" s="1"/>
  <c r="G323" i="32" a="1"/>
  <c r="G323" i="32" s="1"/>
  <c r="G322" i="32" a="1"/>
  <c r="G322" i="32" s="1"/>
  <c r="G321" i="32" a="1"/>
  <c r="G321" i="32" s="1"/>
  <c r="G320" i="32" a="1"/>
  <c r="G320" i="32" s="1"/>
  <c r="G319" i="32" a="1"/>
  <c r="G319" i="32" s="1"/>
  <c r="G318" i="32" a="1"/>
  <c r="G318" i="32" s="1"/>
  <c r="G317" i="32" a="1"/>
  <c r="G317" i="32" s="1"/>
  <c r="G316" i="32" a="1"/>
  <c r="G316" i="32" s="1"/>
  <c r="G315" i="32" a="1"/>
  <c r="G315" i="32" s="1"/>
  <c r="G314" i="32" a="1"/>
  <c r="G314" i="32" s="1"/>
  <c r="G313" i="32" a="1"/>
  <c r="G313" i="32" s="1"/>
  <c r="G312" i="32" a="1"/>
  <c r="G312" i="32" s="1"/>
  <c r="G311" i="32" a="1"/>
  <c r="G311" i="32" s="1"/>
  <c r="G310" i="32" a="1"/>
  <c r="G310" i="32" s="1"/>
  <c r="G309" i="32" a="1"/>
  <c r="G309" i="32" s="1"/>
  <c r="G308" i="32" a="1"/>
  <c r="G308" i="32" s="1"/>
  <c r="G307" i="32" a="1"/>
  <c r="G307" i="32" s="1"/>
  <c r="G306" i="32" a="1"/>
  <c r="G306" i="32" s="1"/>
  <c r="G305" i="32" a="1"/>
  <c r="G305" i="32" s="1"/>
  <c r="G304" i="32" a="1"/>
  <c r="G304" i="32" s="1"/>
  <c r="G303" i="32" a="1"/>
  <c r="G303" i="32" s="1"/>
  <c r="G302" i="32" a="1"/>
  <c r="G302" i="32" s="1"/>
  <c r="G301" i="32" a="1"/>
  <c r="G301" i="32" s="1"/>
  <c r="G300" i="32" a="1"/>
  <c r="G300" i="32" s="1"/>
  <c r="G299" i="32" a="1"/>
  <c r="G299" i="32" s="1"/>
  <c r="G298" i="32" a="1"/>
  <c r="G298" i="32" s="1"/>
  <c r="G297" i="32" a="1"/>
  <c r="G297" i="32" s="1"/>
  <c r="G296" i="32" a="1"/>
  <c r="G296" i="32" s="1"/>
  <c r="G295" i="32" a="1"/>
  <c r="G295" i="32" s="1"/>
  <c r="G294" i="32" a="1"/>
  <c r="G294" i="32" s="1"/>
  <c r="G293" i="32" a="1"/>
  <c r="G293" i="32" s="1"/>
  <c r="G292" i="32" a="1"/>
  <c r="G292" i="32" s="1"/>
  <c r="G291" i="32" a="1"/>
  <c r="G291" i="32" s="1"/>
  <c r="G290" i="32" a="1"/>
  <c r="G290" i="32" s="1"/>
  <c r="G289" i="32" a="1"/>
  <c r="G289" i="32" s="1"/>
  <c r="G288" i="32" a="1"/>
  <c r="G288" i="32" s="1"/>
  <c r="G287" i="32" a="1"/>
  <c r="G287" i="32" s="1"/>
  <c r="G286" i="32" a="1"/>
  <c r="G286" i="32" s="1"/>
  <c r="G285" i="32" a="1"/>
  <c r="G285" i="32" s="1"/>
  <c r="G284" i="32" a="1"/>
  <c r="G284" i="32" s="1"/>
  <c r="G283" i="32" a="1"/>
  <c r="G283" i="32" s="1"/>
  <c r="G282" i="32" a="1"/>
  <c r="G282" i="32" s="1"/>
  <c r="G281" i="32" a="1"/>
  <c r="G281" i="32" s="1"/>
  <c r="G280" i="32" a="1"/>
  <c r="G280" i="32" s="1"/>
  <c r="G279" i="32" a="1"/>
  <c r="G279" i="32" s="1"/>
  <c r="G278" i="32" a="1"/>
  <c r="G278" i="32" s="1"/>
  <c r="G277" i="32" a="1"/>
  <c r="G277" i="32" s="1"/>
  <c r="G276" i="32" a="1"/>
  <c r="G276" i="32" s="1"/>
  <c r="G275" i="32" a="1"/>
  <c r="G275" i="32" s="1"/>
  <c r="G274" i="32" a="1"/>
  <c r="G274" i="32" s="1"/>
  <c r="G273" i="32" a="1"/>
  <c r="G273" i="32" s="1"/>
  <c r="G272" i="32" a="1"/>
  <c r="G272" i="32" s="1"/>
  <c r="G271" i="32" a="1"/>
  <c r="G271" i="32" s="1"/>
  <c r="G270" i="32" a="1"/>
  <c r="G270" i="32" s="1"/>
  <c r="G269" i="32" a="1"/>
  <c r="G269" i="32" s="1"/>
  <c r="G268" i="32" a="1"/>
  <c r="G268" i="32" s="1"/>
  <c r="G267" i="32" a="1"/>
  <c r="G267" i="32" s="1"/>
  <c r="G266" i="32" a="1"/>
  <c r="G266" i="32" s="1"/>
  <c r="G265" i="32" a="1"/>
  <c r="G265" i="32" s="1"/>
  <c r="G264" i="32" a="1"/>
  <c r="G264" i="32" s="1"/>
  <c r="G263" i="32" a="1"/>
  <c r="G263" i="32" s="1"/>
  <c r="G262" i="32" a="1"/>
  <c r="G262" i="32" s="1"/>
  <c r="G261" i="32" a="1"/>
  <c r="G261" i="32" s="1"/>
  <c r="G260" i="32" a="1"/>
  <c r="G260" i="32" s="1"/>
  <c r="G259" i="32" a="1"/>
  <c r="G259" i="32" s="1"/>
  <c r="G258" i="32" a="1"/>
  <c r="G258" i="32" s="1"/>
  <c r="G257" i="32" a="1"/>
  <c r="G257" i="32" s="1"/>
  <c r="G256" i="32" a="1"/>
  <c r="G256" i="32" s="1"/>
  <c r="G255" i="32" a="1"/>
  <c r="G255" i="32" s="1"/>
  <c r="G254" i="32" a="1"/>
  <c r="G254" i="32" s="1"/>
  <c r="G253" i="32" a="1"/>
  <c r="G253" i="32" s="1"/>
  <c r="G252" i="32" a="1"/>
  <c r="G252" i="32" s="1"/>
  <c r="G251" i="32" a="1"/>
  <c r="G251" i="32" s="1"/>
  <c r="G250" i="32" a="1"/>
  <c r="G250" i="32" s="1"/>
  <c r="G249" i="32" a="1"/>
  <c r="G249" i="32" s="1"/>
  <c r="G248" i="32" a="1"/>
  <c r="G248" i="32" s="1"/>
  <c r="G247" i="32" a="1"/>
  <c r="G247" i="32" s="1"/>
  <c r="G246" i="32" a="1"/>
  <c r="G246" i="32" s="1"/>
  <c r="G245" i="32" a="1"/>
  <c r="G245" i="32" s="1"/>
  <c r="G244" i="32" a="1"/>
  <c r="G244" i="32" s="1"/>
  <c r="G243" i="32" a="1"/>
  <c r="G243" i="32" s="1"/>
  <c r="G242" i="32" a="1"/>
  <c r="G242" i="32" s="1"/>
  <c r="G241" i="32" a="1"/>
  <c r="G241" i="32" s="1"/>
  <c r="G240" i="32" a="1"/>
  <c r="G240" i="32" s="1"/>
  <c r="G239" i="32" a="1"/>
  <c r="G239" i="32" s="1"/>
  <c r="G238" i="32" a="1"/>
  <c r="G238" i="32" s="1"/>
  <c r="G237" i="32" a="1"/>
  <c r="G237" i="32" s="1"/>
  <c r="G236" i="32" a="1"/>
  <c r="G236" i="32" s="1"/>
  <c r="G235" i="32" a="1"/>
  <c r="G235" i="32" s="1"/>
  <c r="G234" i="32" a="1"/>
  <c r="G234" i="32" s="1"/>
  <c r="G233" i="32" a="1"/>
  <c r="G233" i="32" s="1"/>
  <c r="G232" i="32" a="1"/>
  <c r="G232" i="32" s="1"/>
  <c r="G231" i="32" a="1"/>
  <c r="G231" i="32" s="1"/>
  <c r="G230" i="32" a="1"/>
  <c r="G230" i="32" s="1"/>
  <c r="G229" i="32" a="1"/>
  <c r="G229" i="32" s="1"/>
  <c r="G228" i="32" a="1"/>
  <c r="G228" i="32" s="1"/>
  <c r="G227" i="32" a="1"/>
  <c r="G227" i="32" s="1"/>
  <c r="G226" i="32" a="1"/>
  <c r="G226" i="32" s="1"/>
  <c r="G225" i="32" a="1"/>
  <c r="G225" i="32" s="1"/>
  <c r="G224" i="32" a="1"/>
  <c r="G224" i="32" s="1"/>
  <c r="G223" i="32" a="1"/>
  <c r="G223" i="32" s="1"/>
  <c r="G222" i="32" a="1"/>
  <c r="G222" i="32" s="1"/>
  <c r="G221" i="32" a="1"/>
  <c r="G221" i="32" s="1"/>
  <c r="G220" i="32" a="1"/>
  <c r="G220" i="32" s="1"/>
  <c r="G219" i="32" a="1"/>
  <c r="G219" i="32" s="1"/>
  <c r="G218" i="32" a="1"/>
  <c r="G218" i="32" s="1"/>
  <c r="G217" i="32" a="1"/>
  <c r="G217" i="32" s="1"/>
  <c r="G216" i="32" a="1"/>
  <c r="G216" i="32" s="1"/>
  <c r="G215" i="32" a="1"/>
  <c r="G215" i="32" s="1"/>
  <c r="G214" i="32" a="1"/>
  <c r="G214" i="32" s="1"/>
  <c r="G213" i="32" a="1"/>
  <c r="G213" i="32" s="1"/>
  <c r="G212" i="32" a="1"/>
  <c r="G212" i="32" s="1"/>
  <c r="G211" i="32" a="1"/>
  <c r="G211" i="32" s="1"/>
  <c r="G210" i="32" a="1"/>
  <c r="G210" i="32" s="1"/>
  <c r="G209" i="32" a="1"/>
  <c r="G209" i="32" s="1"/>
  <c r="G208" i="32" a="1"/>
  <c r="G208" i="32" s="1"/>
  <c r="G207" i="32" a="1"/>
  <c r="G207" i="32" s="1"/>
  <c r="G206" i="32" a="1"/>
  <c r="G206" i="32" s="1"/>
  <c r="G205" i="32" a="1"/>
  <c r="G205" i="32" s="1"/>
  <c r="G204" i="32" a="1"/>
  <c r="G204" i="32" s="1"/>
  <c r="G203" i="32" a="1"/>
  <c r="G203" i="32" s="1"/>
  <c r="G202" i="32" a="1"/>
  <c r="G202" i="32" s="1"/>
  <c r="G201" i="32" a="1"/>
  <c r="G201" i="32" s="1"/>
  <c r="G200" i="32" a="1"/>
  <c r="G200" i="32" s="1"/>
  <c r="G199" i="32" a="1"/>
  <c r="G199" i="32" s="1"/>
  <c r="G198" i="32" a="1"/>
  <c r="G198" i="32" s="1"/>
  <c r="G197" i="32" a="1"/>
  <c r="G197" i="32" s="1"/>
  <c r="G196" i="32" a="1"/>
  <c r="G196" i="32" s="1"/>
  <c r="G195" i="32" a="1"/>
  <c r="G195" i="32" s="1"/>
  <c r="G194" i="32" a="1"/>
  <c r="G194" i="32" s="1"/>
  <c r="G193" i="32" a="1"/>
  <c r="G193" i="32" s="1"/>
  <c r="G192" i="32" a="1"/>
  <c r="G192" i="32" s="1"/>
  <c r="G191" i="32" a="1"/>
  <c r="G191" i="32" s="1"/>
  <c r="G190" i="32" a="1"/>
  <c r="G190" i="32" s="1"/>
  <c r="G189" i="32" a="1"/>
  <c r="G189" i="32" s="1"/>
  <c r="G188" i="32" a="1"/>
  <c r="G188" i="32" s="1"/>
  <c r="G187" i="32" a="1"/>
  <c r="G187" i="32" s="1"/>
  <c r="G186" i="32" a="1"/>
  <c r="G186" i="32" s="1"/>
  <c r="G185" i="32" a="1"/>
  <c r="G185" i="32" s="1"/>
  <c r="G184" i="32" a="1"/>
  <c r="G184" i="32" s="1"/>
  <c r="G183" i="32" a="1"/>
  <c r="G183" i="32" s="1"/>
  <c r="G182" i="32" a="1"/>
  <c r="G182" i="32" s="1"/>
  <c r="G181" i="32" a="1"/>
  <c r="G181" i="32" s="1"/>
  <c r="G180" i="32" a="1"/>
  <c r="G180" i="32" s="1"/>
  <c r="G179" i="32" a="1"/>
  <c r="G179" i="32" s="1"/>
  <c r="G178" i="32" a="1"/>
  <c r="G178" i="32" s="1"/>
  <c r="G177" i="32" a="1"/>
  <c r="G177" i="32" s="1"/>
  <c r="G176" i="32" a="1"/>
  <c r="G176" i="32" s="1"/>
  <c r="G175" i="32" a="1"/>
  <c r="G175" i="32" s="1"/>
  <c r="G174" i="32" a="1"/>
  <c r="G174" i="32" s="1"/>
  <c r="G173" i="32" a="1"/>
  <c r="G173" i="32" s="1"/>
  <c r="G172" i="32" a="1"/>
  <c r="G172" i="32" s="1"/>
  <c r="G171" i="32" a="1"/>
  <c r="G171" i="32" s="1"/>
  <c r="G170" i="32" a="1"/>
  <c r="G170" i="32" s="1"/>
  <c r="G169" i="32" a="1"/>
  <c r="G169" i="32" s="1"/>
  <c r="G168" i="32" a="1"/>
  <c r="G168" i="32" s="1"/>
  <c r="G167" i="32" a="1"/>
  <c r="G167" i="32" s="1"/>
  <c r="G166" i="32" a="1"/>
  <c r="G166" i="32" s="1"/>
  <c r="G165" i="32" a="1"/>
  <c r="G165" i="32" s="1"/>
  <c r="G164" i="32" a="1"/>
  <c r="G164" i="32" s="1"/>
  <c r="G163" i="32" a="1"/>
  <c r="G163" i="32" s="1"/>
  <c r="G162" i="32" a="1"/>
  <c r="G162" i="32" s="1"/>
  <c r="G161" i="32" a="1"/>
  <c r="G161" i="32" s="1"/>
  <c r="G160" i="32" a="1"/>
  <c r="G160" i="32" s="1"/>
  <c r="G159" i="32" a="1"/>
  <c r="G159" i="32" s="1"/>
  <c r="G158" i="32" a="1"/>
  <c r="G158" i="32" s="1"/>
  <c r="G157" i="32" a="1"/>
  <c r="G157" i="32" s="1"/>
  <c r="G156" i="32" a="1"/>
  <c r="G156" i="32" s="1"/>
  <c r="G155" i="32" a="1"/>
  <c r="G155" i="32" s="1"/>
  <c r="G154" i="32" a="1"/>
  <c r="G154" i="32" s="1"/>
  <c r="G153" i="32" a="1"/>
  <c r="G153" i="32" s="1"/>
  <c r="G152" i="32" a="1"/>
  <c r="G152" i="32" s="1"/>
  <c r="G151" i="32" a="1"/>
  <c r="G151" i="32" s="1"/>
  <c r="G150" i="32" a="1"/>
  <c r="G150" i="32" s="1"/>
  <c r="G149" i="32" a="1"/>
  <c r="G149" i="32" s="1"/>
  <c r="G148" i="32" a="1"/>
  <c r="G148" i="32" s="1"/>
  <c r="G147" i="32" a="1"/>
  <c r="G147" i="32" s="1"/>
  <c r="G146" i="32" a="1"/>
  <c r="G146" i="32" s="1"/>
  <c r="G145" i="32" a="1"/>
  <c r="G145" i="32" s="1"/>
  <c r="G144" i="32" a="1"/>
  <c r="G144" i="32" s="1"/>
  <c r="G143" i="32" a="1"/>
  <c r="G143" i="32" s="1"/>
  <c r="G142" i="32" a="1"/>
  <c r="G142" i="32" s="1"/>
  <c r="G141" i="32" a="1"/>
  <c r="G141" i="32" s="1"/>
  <c r="G140" i="32" a="1"/>
  <c r="G140" i="32" s="1"/>
  <c r="G139" i="32" a="1"/>
  <c r="G139" i="32" s="1"/>
  <c r="G138" i="32" a="1"/>
  <c r="G138" i="32" s="1"/>
  <c r="G137" i="32" a="1"/>
  <c r="G137" i="32" s="1"/>
  <c r="G136" i="32" a="1"/>
  <c r="G136" i="32" s="1"/>
  <c r="G135" i="32" a="1"/>
  <c r="G135" i="32" s="1"/>
  <c r="G134" i="32" a="1"/>
  <c r="G134" i="32" s="1"/>
  <c r="G133" i="32" a="1"/>
  <c r="G133" i="32" s="1"/>
  <c r="G132" i="32" a="1"/>
  <c r="G132" i="32" s="1"/>
  <c r="G131" i="32" a="1"/>
  <c r="G131" i="32" s="1"/>
  <c r="G130" i="32" a="1"/>
  <c r="G130" i="32" s="1"/>
  <c r="G129" i="32" a="1"/>
  <c r="G129" i="32" s="1"/>
  <c r="G128" i="32" a="1"/>
  <c r="G128" i="32" s="1"/>
  <c r="G127" i="32" a="1"/>
  <c r="G127" i="32" s="1"/>
  <c r="G126" i="32" a="1"/>
  <c r="G126" i="32" s="1"/>
  <c r="G125" i="32" a="1"/>
  <c r="G125" i="32" s="1"/>
  <c r="G124" i="32" a="1"/>
  <c r="G124" i="32" s="1"/>
  <c r="G123" i="32" a="1"/>
  <c r="G123" i="32" s="1"/>
  <c r="G122" i="32" a="1"/>
  <c r="G122" i="32" s="1"/>
  <c r="G121" i="32" a="1"/>
  <c r="G121" i="32" s="1"/>
  <c r="G120" i="32" a="1"/>
  <c r="G120" i="32" s="1"/>
  <c r="G119" i="32" a="1"/>
  <c r="G119" i="32" s="1"/>
  <c r="G118" i="32" a="1"/>
  <c r="G118" i="32" s="1"/>
  <c r="G117" i="32" a="1"/>
  <c r="G117" i="32" s="1"/>
  <c r="G116" i="32" a="1"/>
  <c r="G116" i="32" s="1"/>
  <c r="G115" i="32" a="1"/>
  <c r="G115" i="32" s="1"/>
  <c r="G114" i="32" a="1"/>
  <c r="G114" i="32" s="1"/>
  <c r="G113" i="32" a="1"/>
  <c r="G113" i="32" s="1"/>
  <c r="G112" i="32" a="1"/>
  <c r="G112" i="32" s="1"/>
  <c r="G111" i="32" a="1"/>
  <c r="G111" i="32" s="1"/>
  <c r="G110" i="32" a="1"/>
  <c r="G110" i="32" s="1"/>
  <c r="G109" i="32" a="1"/>
  <c r="G109" i="32" s="1"/>
  <c r="G108" i="32" a="1"/>
  <c r="G108" i="32" s="1"/>
  <c r="G107" i="32" a="1"/>
  <c r="G107" i="32" s="1"/>
  <c r="G106" i="32" a="1"/>
  <c r="G106" i="32" s="1"/>
  <c r="G105" i="32" a="1"/>
  <c r="G105" i="32" s="1"/>
  <c r="G104" i="32" a="1"/>
  <c r="G104" i="32" s="1"/>
  <c r="G103" i="32" a="1"/>
  <c r="G103" i="32" s="1"/>
  <c r="G102" i="32" a="1"/>
  <c r="G102" i="32" s="1"/>
  <c r="G101" i="32" a="1"/>
  <c r="G101" i="32" s="1"/>
  <c r="G100" i="32" a="1"/>
  <c r="G100" i="32" s="1"/>
  <c r="G99" i="32" a="1"/>
  <c r="G99" i="32" s="1"/>
  <c r="G98" i="32" a="1"/>
  <c r="G98" i="32" s="1"/>
  <c r="G97" i="32" a="1"/>
  <c r="G97" i="32" s="1"/>
  <c r="G96" i="32" a="1"/>
  <c r="G96" i="32" s="1"/>
  <c r="G95" i="32" a="1"/>
  <c r="G95" i="32" s="1"/>
  <c r="G94" i="32" a="1"/>
  <c r="G94" i="32" s="1"/>
  <c r="G93" i="32" a="1"/>
  <c r="G93" i="32" s="1"/>
  <c r="G92" i="32" a="1"/>
  <c r="G92" i="32" s="1"/>
  <c r="G91" i="32" a="1"/>
  <c r="G91" i="32" s="1"/>
  <c r="G90" i="32" a="1"/>
  <c r="G90" i="32" s="1"/>
  <c r="G89" i="32" a="1"/>
  <c r="G89" i="32" s="1"/>
  <c r="G88" i="32" a="1"/>
  <c r="G88" i="32" s="1"/>
  <c r="G87" i="32" a="1"/>
  <c r="G87" i="32" s="1"/>
  <c r="G86" i="32" a="1"/>
  <c r="G86" i="32" s="1"/>
  <c r="G85" i="32" a="1"/>
  <c r="G85" i="32" s="1"/>
  <c r="G84" i="32" a="1"/>
  <c r="G84" i="32" s="1"/>
  <c r="G83" i="32" a="1"/>
  <c r="G83" i="32" s="1"/>
  <c r="G82" i="32" a="1"/>
  <c r="G82" i="32" s="1"/>
  <c r="G81" i="32" a="1"/>
  <c r="G81" i="32" s="1"/>
  <c r="G80" i="32" a="1"/>
  <c r="G80" i="32" s="1"/>
  <c r="G79" i="32" a="1"/>
  <c r="G79" i="32" s="1"/>
  <c r="G78" i="32" a="1"/>
  <c r="G78" i="32" s="1"/>
  <c r="G77" i="32" a="1"/>
  <c r="G77" i="32" s="1"/>
  <c r="G76" i="32" a="1"/>
  <c r="G76" i="32" s="1"/>
  <c r="G75" i="32" a="1"/>
  <c r="G75" i="32" s="1"/>
  <c r="G74" i="32" a="1"/>
  <c r="G74" i="32" s="1"/>
  <c r="G73" i="32" a="1"/>
  <c r="G73" i="32" s="1"/>
  <c r="G72" i="32" a="1"/>
  <c r="G72" i="32" s="1"/>
  <c r="G71" i="32" a="1"/>
  <c r="G71" i="32" s="1"/>
  <c r="G70" i="32" a="1"/>
  <c r="G70" i="32" s="1"/>
  <c r="G69" i="32" a="1"/>
  <c r="G69" i="32" s="1"/>
  <c r="G68" i="32" a="1"/>
  <c r="G68" i="32" s="1"/>
  <c r="G67" i="32" a="1"/>
  <c r="G67" i="32" s="1"/>
  <c r="G66" i="32" a="1"/>
  <c r="G66" i="32" s="1"/>
  <c r="G65" i="32" a="1"/>
  <c r="G65" i="32" s="1"/>
  <c r="G64" i="32" a="1"/>
  <c r="G64" i="32" s="1"/>
  <c r="G63" i="32" a="1"/>
  <c r="G63" i="32" s="1"/>
  <c r="G62" i="32" a="1"/>
  <c r="G62" i="32" s="1"/>
  <c r="G61" i="32" a="1"/>
  <c r="G61" i="32" s="1"/>
  <c r="G60" i="32" a="1"/>
  <c r="G60" i="32" s="1"/>
  <c r="G59" i="32" a="1"/>
  <c r="G59" i="32" s="1"/>
  <c r="G58" i="32" a="1"/>
  <c r="G58" i="32" s="1"/>
  <c r="G57" i="32" a="1"/>
  <c r="G57" i="32" s="1"/>
  <c r="G56" i="32" a="1"/>
  <c r="G56" i="32" s="1"/>
  <c r="G55" i="32" a="1"/>
  <c r="G55" i="32" s="1"/>
  <c r="G54" i="32" a="1"/>
  <c r="G54" i="32" s="1"/>
  <c r="G53" i="32" a="1"/>
  <c r="G53" i="32" s="1"/>
  <c r="G52" i="32" a="1"/>
  <c r="G52" i="32" s="1"/>
  <c r="G51" i="32" a="1"/>
  <c r="G51" i="32" s="1"/>
  <c r="G50" i="32" a="1"/>
  <c r="G50" i="32" s="1"/>
  <c r="G49" i="32" a="1"/>
  <c r="G49" i="32" s="1"/>
  <c r="G48" i="32" a="1"/>
  <c r="G48" i="32" s="1"/>
  <c r="G47" i="32" a="1"/>
  <c r="G47" i="32" s="1"/>
  <c r="G46" i="32" a="1"/>
  <c r="G46" i="32" s="1"/>
  <c r="G45" i="32" a="1"/>
  <c r="G45" i="32" s="1"/>
  <c r="G44" i="32" a="1"/>
  <c r="G44" i="32" s="1"/>
  <c r="G43" i="32" a="1"/>
  <c r="G43" i="32" s="1"/>
  <c r="G42" i="32" a="1"/>
  <c r="G42" i="32" s="1"/>
  <c r="G41" i="32" a="1"/>
  <c r="G41" i="32" s="1"/>
  <c r="G40" i="32" a="1"/>
  <c r="G40" i="32" s="1"/>
  <c r="G39" i="32" a="1"/>
  <c r="G39" i="32" s="1"/>
  <c r="G38" i="32" a="1"/>
  <c r="G38" i="32" s="1"/>
  <c r="G37" i="32" a="1"/>
  <c r="G37" i="32" s="1"/>
  <c r="G36" i="32" a="1"/>
  <c r="G36" i="32" s="1"/>
  <c r="G35" i="32" a="1"/>
  <c r="G35" i="32" s="1"/>
  <c r="G34" i="32" a="1"/>
  <c r="G34" i="32" s="1"/>
  <c r="G33" i="32" a="1"/>
  <c r="G33" i="32" s="1"/>
  <c r="G32" i="32" a="1"/>
  <c r="G32" i="32" s="1"/>
  <c r="G31" i="32" a="1"/>
  <c r="G31" i="32" s="1"/>
  <c r="G30" i="32" a="1"/>
  <c r="G30" i="32" s="1"/>
  <c r="G29" i="32" a="1"/>
  <c r="G29" i="32" s="1"/>
  <c r="G28" i="32" a="1"/>
  <c r="G28" i="32" s="1"/>
  <c r="G27" i="32" a="1"/>
  <c r="G27" i="32" s="1"/>
  <c r="G26" i="32" a="1"/>
  <c r="G26" i="32" s="1"/>
  <c r="G25" i="32" a="1"/>
  <c r="G25" i="32" s="1"/>
  <c r="G24" i="32" a="1"/>
  <c r="G24" i="32" s="1"/>
  <c r="G23" i="32" a="1"/>
  <c r="G23" i="32" s="1"/>
  <c r="G22" i="32" a="1"/>
  <c r="G22" i="32" s="1"/>
  <c r="G21" i="32" a="1"/>
  <c r="G21" i="32" s="1"/>
  <c r="G20" i="32" a="1"/>
  <c r="G20" i="32" s="1"/>
  <c r="G19" i="32" a="1"/>
  <c r="G19" i="32" s="1"/>
  <c r="G18" i="32" a="1"/>
  <c r="G18" i="32" s="1"/>
  <c r="G17" i="32" a="1"/>
  <c r="G17" i="32" s="1"/>
  <c r="G16" i="32" a="1"/>
  <c r="G16" i="32" s="1"/>
  <c r="G15" i="32" a="1"/>
  <c r="G15" i="32" s="1"/>
  <c r="G14" i="32" a="1"/>
  <c r="G14" i="32" s="1"/>
  <c r="G13" i="32" a="1"/>
  <c r="G13" i="32" s="1"/>
  <c r="G12" i="32" a="1"/>
  <c r="G12" i="32" s="1"/>
  <c r="G11" i="32" a="1"/>
  <c r="G11" i="32" s="1"/>
  <c r="G10" i="32" a="1"/>
  <c r="G10" i="32" s="1"/>
  <c r="G9" i="32" a="1"/>
  <c r="G9" i="32" s="1"/>
  <c r="G8" i="32" a="1"/>
  <c r="G8" i="32" s="1"/>
  <c r="G7" i="32" a="1"/>
  <c r="G7" i="32" s="1"/>
  <c r="G6" i="32" a="1"/>
  <c r="G6" i="32" s="1"/>
  <c r="L393" i="32" l="1"/>
  <c r="M393" i="32" s="1" a="1"/>
  <c r="M393" i="32" s="1"/>
  <c r="L434" i="32"/>
  <c r="M434" i="32" s="1" a="1"/>
  <c r="M434" i="32" s="1"/>
  <c r="L300" i="32"/>
  <c r="M300" i="32" s="1" a="1"/>
  <c r="M300" i="32" s="1"/>
  <c r="L340" i="32"/>
  <c r="M340" i="32" s="1" a="1"/>
  <c r="M340" i="32" s="1"/>
  <c r="L421" i="32"/>
  <c r="M421" i="32" s="1" a="1"/>
  <c r="M421" i="32" s="1"/>
  <c r="L307" i="32"/>
  <c r="M307" i="32" s="1" a="1"/>
  <c r="M307" i="32" s="1"/>
  <c r="L347" i="32"/>
  <c r="M347" i="32" s="1" a="1"/>
  <c r="M347" i="32" s="1"/>
  <c r="L387" i="32"/>
  <c r="M387" i="32" s="1" a="1"/>
  <c r="M387" i="32" s="1"/>
  <c r="L354" i="32"/>
  <c r="M354" i="32" s="1" a="1"/>
  <c r="M354" i="32" s="1"/>
  <c r="L414" i="32"/>
  <c r="M414" i="32" s="1" a="1"/>
  <c r="M414" i="32" s="1"/>
  <c r="L301" i="32"/>
  <c r="M301" i="32" s="1" a="1"/>
  <c r="M301" i="32" s="1"/>
  <c r="L361" i="32"/>
  <c r="M361" i="32" s="1" a="1"/>
  <c r="M361" i="32" s="1"/>
  <c r="L381" i="32"/>
  <c r="M381" i="32" s="1" a="1"/>
  <c r="M381" i="32" s="1"/>
  <c r="L388" i="32"/>
  <c r="M388" i="32" s="1" a="1"/>
  <c r="M388" i="32" s="1"/>
  <c r="L335" i="32"/>
  <c r="M335" i="32" s="1" a="1"/>
  <c r="M335" i="32" s="1"/>
  <c r="L302" i="32"/>
  <c r="M302" i="32" s="1" a="1"/>
  <c r="M302" i="32" s="1"/>
  <c r="L342" i="32"/>
  <c r="M342" i="32" s="1" a="1"/>
  <c r="M342" i="32" s="1"/>
  <c r="L362" i="32"/>
  <c r="M362" i="32" s="1" a="1"/>
  <c r="M362" i="32" s="1"/>
  <c r="L349" i="32"/>
  <c r="M349" i="32" s="1" a="1"/>
  <c r="M349" i="32" s="1"/>
  <c r="L323" i="32"/>
  <c r="M323" i="32" s="1" a="1"/>
  <c r="M323" i="32" s="1"/>
  <c r="L423" i="32"/>
  <c r="M423" i="32" s="1" a="1"/>
  <c r="M423" i="32" s="1"/>
  <c r="L430" i="32"/>
  <c r="M430" i="32" s="1" a="1"/>
  <c r="M430" i="32" s="1"/>
  <c r="L337" i="32"/>
  <c r="M337" i="32" s="1" a="1"/>
  <c r="M337" i="32" s="1"/>
  <c r="L357" i="32"/>
  <c r="M357" i="32" s="1" a="1"/>
  <c r="M357" i="32" s="1"/>
  <c r="L377" i="32"/>
  <c r="M377" i="32" s="1" a="1"/>
  <c r="M377" i="32" s="1"/>
  <c r="L344" i="32"/>
  <c r="M344" i="32" s="1" a="1"/>
  <c r="M344" i="32" s="1"/>
  <c r="L424" i="32"/>
  <c r="M424" i="32" s="1" a="1"/>
  <c r="M424" i="32" s="1"/>
  <c r="L431" i="32"/>
  <c r="M431" i="32" s="1" a="1"/>
  <c r="M431" i="32" s="1"/>
  <c r="L392" i="32"/>
  <c r="M392" i="32" s="1" a="1"/>
  <c r="M392" i="32" s="1"/>
  <c r="L399" i="32"/>
  <c r="M399" i="32" s="1" a="1"/>
  <c r="M399" i="32" s="1"/>
  <c r="L366" i="32"/>
  <c r="M366" i="32" s="1" a="1"/>
  <c r="M366" i="32" s="1"/>
  <c r="L330" i="32"/>
  <c r="M330" i="32" s="1" a="1"/>
  <c r="M330" i="32" s="1"/>
  <c r="L370" i="32"/>
  <c r="M370" i="32" s="1" a="1"/>
  <c r="M370" i="32" s="1"/>
  <c r="L383" i="32"/>
  <c r="M383" i="32" s="1" a="1"/>
  <c r="M383" i="32" s="1"/>
  <c r="L429" i="32"/>
  <c r="M429" i="32" s="1" a="1"/>
  <c r="M429" i="32" s="1"/>
  <c r="L364" i="32"/>
  <c r="M364" i="32" s="1" a="1"/>
  <c r="M364" i="32" s="1"/>
  <c r="L397" i="32"/>
  <c r="M397" i="32" s="1" a="1"/>
  <c r="M397" i="32" s="1"/>
  <c r="L417" i="32"/>
  <c r="M417" i="32" s="1" a="1"/>
  <c r="M417" i="32" s="1"/>
  <c r="L326" i="32"/>
  <c r="M326" i="32" s="1" a="1"/>
  <c r="M326" i="32" s="1"/>
  <c r="L378" i="32"/>
  <c r="M378" i="32" s="1" a="1"/>
  <c r="M378" i="32" s="1"/>
  <c r="L317" i="32"/>
  <c r="M317" i="32" s="1" a="1"/>
  <c r="M317" i="32" s="1"/>
  <c r="L376" i="32"/>
  <c r="M376" i="32" s="1" a="1"/>
  <c r="M376" i="32" s="1"/>
  <c r="L409" i="32"/>
  <c r="M409" i="32" s="1" a="1"/>
  <c r="M409" i="32" s="1"/>
  <c r="L319" i="32"/>
  <c r="M319" i="32" s="1" a="1"/>
  <c r="M319" i="32" s="1"/>
  <c r="L343" i="32"/>
  <c r="M343" i="32" s="1" a="1"/>
  <c r="M343" i="32" s="1"/>
  <c r="L356" i="32"/>
  <c r="M356" i="32" s="1" a="1"/>
  <c r="M356" i="32" s="1"/>
  <c r="L369" i="32"/>
  <c r="M369" i="32" s="1" a="1"/>
  <c r="M369" i="32" s="1"/>
  <c r="L428" i="32"/>
  <c r="M428" i="32" s="1" a="1"/>
  <c r="M428" i="32" s="1"/>
  <c r="L304" i="32"/>
  <c r="M304" i="32" s="1" a="1"/>
  <c r="M304" i="32" s="1"/>
  <c r="L324" i="32"/>
  <c r="M324" i="32" s="1" a="1"/>
  <c r="M324" i="32" s="1"/>
  <c r="L350" i="32"/>
  <c r="M350" i="32" s="1" a="1"/>
  <c r="M350" i="32" s="1"/>
  <c r="L363" i="32"/>
  <c r="M363" i="32" s="1" a="1"/>
  <c r="M363" i="32" s="1"/>
  <c r="L416" i="32"/>
  <c r="M416" i="32" s="1" a="1"/>
  <c r="M416" i="32" s="1"/>
  <c r="L410" i="32"/>
  <c r="M410" i="32" s="1" a="1"/>
  <c r="M410" i="32" s="1"/>
  <c r="L371" i="32"/>
  <c r="M371" i="32" s="1" a="1"/>
  <c r="M371" i="32" s="1"/>
  <c r="L384" i="32"/>
  <c r="M384" i="32" s="1" a="1"/>
  <c r="M384" i="32" s="1"/>
  <c r="L404" i="32"/>
  <c r="M404" i="32" s="1" a="1"/>
  <c r="M404" i="32" s="1"/>
  <c r="L345" i="32"/>
  <c r="M345" i="32" s="1" a="1"/>
  <c r="M345" i="32" s="1"/>
  <c r="L316" i="32"/>
  <c r="M316" i="32" s="1" a="1"/>
  <c r="M316" i="32" s="1"/>
  <c r="L402" i="32"/>
  <c r="M402" i="32" s="1" a="1"/>
  <c r="M402" i="32" s="1"/>
  <c r="L321" i="32"/>
  <c r="M321" i="32" s="1" a="1"/>
  <c r="M321" i="32" s="1"/>
  <c r="L359" i="32"/>
  <c r="M359" i="32" s="1" a="1"/>
  <c r="M359" i="32" s="1"/>
  <c r="L373" i="32"/>
  <c r="M373" i="32" s="1" a="1"/>
  <c r="M373" i="32" s="1"/>
  <c r="L407" i="32"/>
  <c r="M407" i="32" s="1" a="1"/>
  <c r="M407" i="32" s="1"/>
  <c r="L426" i="32"/>
  <c r="M426" i="32" s="1" a="1"/>
  <c r="M426" i="32" s="1"/>
  <c r="L403" i="32"/>
  <c r="M403" i="32" s="1" a="1"/>
  <c r="M403" i="32" s="1"/>
  <c r="L322" i="32"/>
  <c r="M322" i="32" s="1" a="1"/>
  <c r="M322" i="32" s="1"/>
  <c r="L341" i="32"/>
  <c r="M341" i="32" s="1" a="1"/>
  <c r="M341" i="32" s="1"/>
  <c r="L360" i="32"/>
  <c r="M360" i="32" s="1" a="1"/>
  <c r="M360" i="32" s="1"/>
  <c r="L374" i="32"/>
  <c r="M374" i="32" s="1" a="1"/>
  <c r="M374" i="32" s="1"/>
  <c r="L413" i="32"/>
  <c r="M413" i="32" s="1" a="1"/>
  <c r="M413" i="32" s="1"/>
  <c r="L427" i="32"/>
  <c r="M427" i="32" s="1" a="1"/>
  <c r="M427" i="32" s="1"/>
  <c r="L303" i="32"/>
  <c r="M303" i="32" s="1" a="1"/>
  <c r="M303" i="32" s="1"/>
  <c r="L379" i="32"/>
  <c r="M379" i="32" s="1" a="1"/>
  <c r="M379" i="32" s="1"/>
  <c r="L313" i="32"/>
  <c r="M313" i="32" s="1" a="1"/>
  <c r="M313" i="32" s="1"/>
  <c r="L327" i="32"/>
  <c r="M327" i="32" s="1" a="1"/>
  <c r="M327" i="32" s="1"/>
  <c r="L389" i="32"/>
  <c r="M389" i="32" s="1" a="1"/>
  <c r="M389" i="32" s="1"/>
  <c r="L394" i="32"/>
  <c r="M394" i="32" s="1" a="1"/>
  <c r="M394" i="32" s="1"/>
  <c r="L418" i="32"/>
  <c r="M418" i="32" s="1" a="1"/>
  <c r="M418" i="32" s="1"/>
  <c r="L380" i="32"/>
  <c r="M380" i="32" s="1" a="1"/>
  <c r="M380" i="32" s="1"/>
  <c r="L433" i="32"/>
  <c r="M433" i="32" s="1" a="1"/>
  <c r="M433" i="32" s="1"/>
  <c r="L309" i="32"/>
  <c r="M309" i="32" s="1" a="1"/>
  <c r="M309" i="32" s="1"/>
  <c r="L314" i="32"/>
  <c r="M314" i="32" s="1" a="1"/>
  <c r="M314" i="32" s="1"/>
  <c r="L328" i="32"/>
  <c r="M328" i="32" s="1" a="1"/>
  <c r="M328" i="32" s="1"/>
  <c r="L333" i="32"/>
  <c r="M333" i="32" s="1" a="1"/>
  <c r="M333" i="32" s="1"/>
  <c r="L352" i="32"/>
  <c r="M352" i="32" s="1" a="1"/>
  <c r="M352" i="32" s="1"/>
  <c r="L390" i="32"/>
  <c r="M390" i="32" s="1" a="1"/>
  <c r="M390" i="32" s="1"/>
  <c r="L419" i="32"/>
  <c r="M419" i="32" s="1" a="1"/>
  <c r="M419" i="32" s="1"/>
  <c r="L400" i="32"/>
  <c r="M400" i="32" s="1" a="1"/>
  <c r="M400" i="32" s="1"/>
  <c r="L310" i="32"/>
  <c r="M310" i="32" s="1" a="1"/>
  <c r="M310" i="32" s="1"/>
  <c r="L329" i="32"/>
  <c r="M329" i="32" s="1" a="1"/>
  <c r="M329" i="32" s="1"/>
  <c r="L334" i="32"/>
  <c r="M334" i="32" s="1" a="1"/>
  <c r="M334" i="32" s="1"/>
  <c r="L386" i="32"/>
  <c r="M386" i="32" s="1" a="1"/>
  <c r="M386" i="32" s="1"/>
  <c r="L420" i="32"/>
  <c r="M420" i="32" s="1" a="1"/>
  <c r="M420" i="32" s="1"/>
  <c r="L339" i="32"/>
  <c r="M339" i="32" s="1" a="1"/>
  <c r="M339" i="32" s="1"/>
  <c r="L367" i="32"/>
  <c r="M367" i="32" s="1" a="1"/>
  <c r="M367" i="32" s="1"/>
  <c r="L401" i="32"/>
  <c r="M401" i="32" s="1" a="1"/>
  <c r="M401" i="32" s="1"/>
  <c r="L320" i="32"/>
  <c r="M320" i="32" s="1" a="1"/>
  <c r="M320" i="32" s="1"/>
  <c r="L406" i="32"/>
  <c r="M406" i="32" s="1" a="1"/>
  <c r="M406" i="32" s="1"/>
  <c r="L306" i="32"/>
  <c r="M306" i="32" s="1" a="1"/>
  <c r="M306" i="32" s="1"/>
  <c r="L318" i="32"/>
  <c r="M318" i="32" s="1" a="1"/>
  <c r="M318" i="32" s="1"/>
  <c r="L411" i="32"/>
  <c r="M411" i="32" s="1" a="1"/>
  <c r="M411" i="32" s="1"/>
  <c r="L353" i="32"/>
  <c r="M353" i="32" s="1" a="1"/>
  <c r="M353" i="32" s="1"/>
  <c r="L311" i="32"/>
  <c r="M311" i="32" s="1" a="1"/>
  <c r="M311" i="32" s="1"/>
  <c r="L336" i="32"/>
  <c r="M336" i="32" s="1" a="1"/>
  <c r="M336" i="32" s="1"/>
  <c r="L432" i="32"/>
  <c r="M432" i="32" s="1" a="1"/>
  <c r="M432" i="32" s="1"/>
  <c r="L382" i="32"/>
  <c r="M382" i="32" s="1" a="1"/>
  <c r="M382" i="32" s="1"/>
  <c r="L332" i="32"/>
  <c r="M332" i="32" s="1" a="1"/>
  <c r="M332" i="32" s="1"/>
  <c r="L396" i="32"/>
  <c r="M396" i="32" s="1" a="1"/>
  <c r="M396" i="32" s="1"/>
  <c r="L375" i="32"/>
  <c r="M375" i="32" s="1" a="1"/>
  <c r="M375" i="32" s="1"/>
  <c r="L346" i="32"/>
  <c r="M346" i="32" s="1" a="1"/>
  <c r="M346" i="32" s="1"/>
  <c r="L425" i="32"/>
  <c r="M425" i="32" s="1" a="1"/>
  <c r="M425" i="32" s="1"/>
  <c r="L315" i="32"/>
  <c r="M315" i="32" s="1" a="1"/>
  <c r="M315" i="32" s="1"/>
  <c r="L415" i="32"/>
  <c r="M415" i="32" s="1" a="1"/>
  <c r="M415" i="32" s="1"/>
  <c r="L325" i="32"/>
  <c r="M325" i="32" s="1" a="1"/>
  <c r="M325" i="32" s="1"/>
  <c r="L422" i="32"/>
  <c r="M422" i="32" s="1" a="1"/>
  <c r="M422" i="32" s="1"/>
  <c r="L308" i="32"/>
  <c r="M308" i="32" s="1" a="1"/>
  <c r="M308" i="32" s="1"/>
  <c r="L391" i="32"/>
  <c r="M391" i="32" s="1" a="1"/>
  <c r="M391" i="32" s="1"/>
  <c r="L398" i="32"/>
  <c r="M398" i="32" s="1" a="1"/>
  <c r="M398" i="32" s="1"/>
  <c r="L408" i="32"/>
  <c r="M408" i="32" s="1" a="1"/>
  <c r="M408" i="32" s="1"/>
  <c r="L312" i="32"/>
  <c r="M312" i="32" s="1" a="1"/>
  <c r="M312" i="32" s="1"/>
  <c r="L412" i="32"/>
  <c r="M412" i="32" s="1" a="1"/>
  <c r="M412" i="32" s="1"/>
  <c r="L395" i="32"/>
  <c r="M395" i="32" s="1" a="1"/>
  <c r="M395" i="32" s="1"/>
  <c r="L305" i="32"/>
  <c r="M305" i="32" s="1" a="1"/>
  <c r="M305" i="32" s="1"/>
  <c r="L405" i="32"/>
  <c r="M405" i="32" s="1" a="1"/>
  <c r="M405" i="32" s="1"/>
  <c r="L385" i="32"/>
  <c r="M385" i="32" s="1" a="1"/>
  <c r="M385" i="32" s="1"/>
  <c r="L351" i="32"/>
  <c r="M351" i="32" s="1" a="1"/>
  <c r="M351" i="32" s="1"/>
  <c r="L358" i="32"/>
  <c r="M358" i="32" s="1" a="1"/>
  <c r="M358" i="32" s="1"/>
  <c r="L368" i="32"/>
  <c r="M368" i="32" s="1" a="1"/>
  <c r="M368" i="32" s="1"/>
  <c r="L372" i="32"/>
  <c r="M372" i="32" s="1" a="1"/>
  <c r="M372" i="32" s="1"/>
  <c r="L355" i="32"/>
  <c r="M355" i="32" s="1" a="1"/>
  <c r="M355" i="32" s="1"/>
  <c r="L365" i="32"/>
  <c r="M365" i="32" s="1" a="1"/>
  <c r="M365" i="32" s="1"/>
  <c r="L331" i="32"/>
  <c r="M331" i="32" s="1" a="1"/>
  <c r="M331" i="32" s="1"/>
  <c r="L338" i="32"/>
  <c r="M338" i="32" s="1" a="1"/>
  <c r="M338" i="32" s="1"/>
  <c r="L348" i="32"/>
  <c r="M348" i="32" s="1" a="1"/>
  <c r="M348" i="32" s="1"/>
  <c r="L435" i="32"/>
  <c r="M435" i="32" s="1" a="1"/>
  <c r="M435" i="32" s="1"/>
  <c r="Y435" i="32" l="1"/>
  <c r="Z435" i="32" s="1" a="1"/>
  <c r="Z435" i="32" s="1"/>
  <c r="S435" i="32" a="1"/>
  <c r="S435" i="32" s="1"/>
  <c r="P435" i="32" a="1"/>
  <c r="P435" i="32" s="1"/>
  <c r="J435" i="32" s="1"/>
  <c r="Y434" i="32"/>
  <c r="Z434" i="32" s="1" a="1"/>
  <c r="Z434" i="32" s="1"/>
  <c r="S434" i="32" a="1"/>
  <c r="S434" i="32" s="1"/>
  <c r="P434" i="32" a="1"/>
  <c r="P434" i="32" s="1"/>
  <c r="J434" i="32" s="1"/>
  <c r="Y433" i="32"/>
  <c r="Z433" i="32" s="1" a="1"/>
  <c r="Z433" i="32" s="1"/>
  <c r="S433" i="32" a="1"/>
  <c r="S433" i="32" s="1"/>
  <c r="P433" i="32" a="1"/>
  <c r="P433" i="32" s="1"/>
  <c r="J433" i="32" s="1"/>
  <c r="Y432" i="32"/>
  <c r="Z432" i="32" s="1" a="1"/>
  <c r="Z432" i="32" s="1"/>
  <c r="S432" i="32" a="1"/>
  <c r="S432" i="32" s="1"/>
  <c r="P432" i="32" a="1"/>
  <c r="P432" i="32" s="1"/>
  <c r="J432" i="32" s="1"/>
  <c r="Y431" i="32"/>
  <c r="Z431" i="32" s="1" a="1"/>
  <c r="Z431" i="32" s="1"/>
  <c r="S431" i="32" a="1"/>
  <c r="S431" i="32" s="1"/>
  <c r="P431" i="32" a="1"/>
  <c r="P431" i="32" s="1"/>
  <c r="J431" i="32" s="1"/>
  <c r="Y430" i="32"/>
  <c r="Z430" i="32" s="1" a="1"/>
  <c r="Z430" i="32" s="1"/>
  <c r="S430" i="32" a="1"/>
  <c r="S430" i="32" s="1"/>
  <c r="P430" i="32" a="1"/>
  <c r="P430" i="32" s="1"/>
  <c r="J430" i="32" s="1"/>
  <c r="Y429" i="32"/>
  <c r="Z429" i="32" s="1" a="1"/>
  <c r="Z429" i="32" s="1"/>
  <c r="S429" i="32" a="1"/>
  <c r="S429" i="32" s="1"/>
  <c r="P429" i="32" a="1"/>
  <c r="P429" i="32" s="1"/>
  <c r="J429" i="32" s="1"/>
  <c r="Y428" i="32"/>
  <c r="Z428" i="32" s="1" a="1"/>
  <c r="Z428" i="32" s="1"/>
  <c r="S428" i="32" a="1"/>
  <c r="S428" i="32" s="1"/>
  <c r="P428" i="32" a="1"/>
  <c r="P428" i="32" s="1"/>
  <c r="J428" i="32" s="1"/>
  <c r="Y427" i="32"/>
  <c r="Z427" i="32" s="1" a="1"/>
  <c r="Z427" i="32" s="1"/>
  <c r="S427" i="32" a="1"/>
  <c r="S427" i="32" s="1"/>
  <c r="P427" i="32" a="1"/>
  <c r="P427" i="32" s="1"/>
  <c r="J427" i="32" s="1"/>
  <c r="Y426" i="32"/>
  <c r="Z426" i="32" s="1" a="1"/>
  <c r="Z426" i="32" s="1"/>
  <c r="S426" i="32" a="1"/>
  <c r="S426" i="32" s="1"/>
  <c r="P426" i="32" a="1"/>
  <c r="P426" i="32" s="1"/>
  <c r="J426" i="32" s="1"/>
  <c r="Y425" i="32"/>
  <c r="Z425" i="32" s="1" a="1"/>
  <c r="Z425" i="32" s="1"/>
  <c r="S425" i="32" a="1"/>
  <c r="S425" i="32" s="1"/>
  <c r="P425" i="32" a="1"/>
  <c r="P425" i="32" s="1"/>
  <c r="J425" i="32" s="1"/>
  <c r="Y424" i="32"/>
  <c r="Z424" i="32" s="1" a="1"/>
  <c r="Z424" i="32" s="1"/>
  <c r="S424" i="32" a="1"/>
  <c r="S424" i="32" s="1"/>
  <c r="P424" i="32" a="1"/>
  <c r="P424" i="32" s="1"/>
  <c r="J424" i="32" s="1"/>
  <c r="Y423" i="32"/>
  <c r="Z423" i="32" s="1" a="1"/>
  <c r="Z423" i="32" s="1"/>
  <c r="S423" i="32" a="1"/>
  <c r="S423" i="32" s="1"/>
  <c r="P423" i="32" a="1"/>
  <c r="P423" i="32" s="1"/>
  <c r="J423" i="32" s="1"/>
  <c r="Y422" i="32"/>
  <c r="Z422" i="32" s="1" a="1"/>
  <c r="Z422" i="32" s="1"/>
  <c r="S422" i="32" a="1"/>
  <c r="S422" i="32" s="1"/>
  <c r="P422" i="32" a="1"/>
  <c r="P422" i="32" s="1"/>
  <c r="J422" i="32" s="1"/>
  <c r="Y421" i="32"/>
  <c r="Z421" i="32" s="1" a="1"/>
  <c r="Z421" i="32" s="1"/>
  <c r="S421" i="32" a="1"/>
  <c r="S421" i="32" s="1"/>
  <c r="P421" i="32" a="1"/>
  <c r="P421" i="32" s="1"/>
  <c r="J421" i="32" s="1"/>
  <c r="Y420" i="32"/>
  <c r="Z420" i="32" s="1" a="1"/>
  <c r="Z420" i="32" s="1"/>
  <c r="S420" i="32" a="1"/>
  <c r="S420" i="32" s="1"/>
  <c r="P420" i="32" a="1"/>
  <c r="P420" i="32" s="1"/>
  <c r="J420" i="32" s="1"/>
  <c r="Y419" i="32"/>
  <c r="Z419" i="32" s="1" a="1"/>
  <c r="Z419" i="32" s="1"/>
  <c r="S419" i="32" a="1"/>
  <c r="S419" i="32" s="1"/>
  <c r="P419" i="32" a="1"/>
  <c r="P419" i="32" s="1"/>
  <c r="J419" i="32" s="1"/>
  <c r="Y418" i="32"/>
  <c r="Z418" i="32" s="1" a="1"/>
  <c r="Z418" i="32" s="1"/>
  <c r="S418" i="32" a="1"/>
  <c r="S418" i="32" s="1"/>
  <c r="P418" i="32" a="1"/>
  <c r="P418" i="32" s="1"/>
  <c r="J418" i="32" s="1"/>
  <c r="Y417" i="32"/>
  <c r="Z417" i="32" s="1" a="1"/>
  <c r="Z417" i="32" s="1"/>
  <c r="S417" i="32" a="1"/>
  <c r="S417" i="32" s="1"/>
  <c r="P417" i="32" a="1"/>
  <c r="P417" i="32" s="1"/>
  <c r="J417" i="32" s="1"/>
  <c r="Y416" i="32"/>
  <c r="Z416" i="32" s="1" a="1"/>
  <c r="Z416" i="32" s="1"/>
  <c r="S416" i="32" a="1"/>
  <c r="S416" i="32" s="1"/>
  <c r="P416" i="32" a="1"/>
  <c r="P416" i="32" s="1"/>
  <c r="J416" i="32" s="1"/>
  <c r="Y415" i="32"/>
  <c r="Z415" i="32" s="1" a="1"/>
  <c r="Z415" i="32" s="1"/>
  <c r="S415" i="32" a="1"/>
  <c r="S415" i="32" s="1"/>
  <c r="P415" i="32" a="1"/>
  <c r="P415" i="32" s="1"/>
  <c r="J415" i="32" s="1"/>
  <c r="Y414" i="32"/>
  <c r="Z414" i="32" s="1" a="1"/>
  <c r="Z414" i="32" s="1"/>
  <c r="S414" i="32" a="1"/>
  <c r="S414" i="32" s="1"/>
  <c r="P414" i="32" a="1"/>
  <c r="P414" i="32" s="1"/>
  <c r="J414" i="32" s="1"/>
  <c r="Y413" i="32"/>
  <c r="Z413" i="32" s="1" a="1"/>
  <c r="Z413" i="32" s="1"/>
  <c r="S413" i="32" a="1"/>
  <c r="S413" i="32" s="1"/>
  <c r="P413" i="32" a="1"/>
  <c r="P413" i="32" s="1"/>
  <c r="J413" i="32" s="1"/>
  <c r="Y412" i="32"/>
  <c r="Z412" i="32" s="1" a="1"/>
  <c r="Z412" i="32" s="1"/>
  <c r="S412" i="32" a="1"/>
  <c r="S412" i="32" s="1"/>
  <c r="P412" i="32" a="1"/>
  <c r="P412" i="32" s="1"/>
  <c r="J412" i="32" s="1"/>
  <c r="Y411" i="32"/>
  <c r="Z411" i="32" s="1" a="1"/>
  <c r="Z411" i="32" s="1"/>
  <c r="S411" i="32" a="1"/>
  <c r="S411" i="32" s="1"/>
  <c r="P411" i="32" a="1"/>
  <c r="P411" i="32" s="1"/>
  <c r="J411" i="32" s="1"/>
  <c r="Y410" i="32"/>
  <c r="Z410" i="32" s="1" a="1"/>
  <c r="Z410" i="32" s="1"/>
  <c r="S410" i="32" a="1"/>
  <c r="S410" i="32" s="1"/>
  <c r="P410" i="32" a="1"/>
  <c r="P410" i="32" s="1"/>
  <c r="J410" i="32" s="1"/>
  <c r="Y409" i="32"/>
  <c r="Z409" i="32" s="1" a="1"/>
  <c r="Z409" i="32" s="1"/>
  <c r="S409" i="32" a="1"/>
  <c r="S409" i="32" s="1"/>
  <c r="P409" i="32" a="1"/>
  <c r="P409" i="32" s="1"/>
  <c r="J409" i="32" s="1"/>
  <c r="Y408" i="32"/>
  <c r="Z408" i="32" s="1" a="1"/>
  <c r="Z408" i="32" s="1"/>
  <c r="S408" i="32" a="1"/>
  <c r="S408" i="32" s="1"/>
  <c r="P408" i="32" a="1"/>
  <c r="P408" i="32" s="1"/>
  <c r="J408" i="32" s="1"/>
  <c r="Y407" i="32"/>
  <c r="Z407" i="32" s="1" a="1"/>
  <c r="Z407" i="32" s="1"/>
  <c r="S407" i="32" a="1"/>
  <c r="S407" i="32" s="1"/>
  <c r="P407" i="32" a="1"/>
  <c r="P407" i="32" s="1"/>
  <c r="J407" i="32" s="1"/>
  <c r="Y406" i="32"/>
  <c r="Z406" i="32" s="1" a="1"/>
  <c r="Z406" i="32" s="1"/>
  <c r="S406" i="32" a="1"/>
  <c r="S406" i="32" s="1"/>
  <c r="P406" i="32" a="1"/>
  <c r="P406" i="32" s="1"/>
  <c r="J406" i="32" s="1"/>
  <c r="Y405" i="32"/>
  <c r="Z405" i="32" s="1" a="1"/>
  <c r="Z405" i="32" s="1"/>
  <c r="S405" i="32" a="1"/>
  <c r="S405" i="32" s="1"/>
  <c r="P405" i="32" a="1"/>
  <c r="P405" i="32" s="1"/>
  <c r="J405" i="32" s="1"/>
  <c r="Y404" i="32"/>
  <c r="Z404" i="32" s="1" a="1"/>
  <c r="Z404" i="32" s="1"/>
  <c r="S404" i="32" a="1"/>
  <c r="S404" i="32" s="1"/>
  <c r="P404" i="32" a="1"/>
  <c r="P404" i="32" s="1"/>
  <c r="J404" i="32" s="1"/>
  <c r="Y403" i="32"/>
  <c r="Z403" i="32" s="1" a="1"/>
  <c r="Z403" i="32" s="1"/>
  <c r="S403" i="32" a="1"/>
  <c r="S403" i="32" s="1"/>
  <c r="P403" i="32" a="1"/>
  <c r="P403" i="32" s="1"/>
  <c r="J403" i="32" s="1"/>
  <c r="Y402" i="32"/>
  <c r="Z402" i="32" s="1" a="1"/>
  <c r="Z402" i="32" s="1"/>
  <c r="S402" i="32" a="1"/>
  <c r="S402" i="32" s="1"/>
  <c r="P402" i="32" a="1"/>
  <c r="P402" i="32" s="1"/>
  <c r="J402" i="32" s="1"/>
  <c r="Y401" i="32"/>
  <c r="Z401" i="32" s="1" a="1"/>
  <c r="Z401" i="32" s="1"/>
  <c r="S401" i="32" a="1"/>
  <c r="S401" i="32" s="1"/>
  <c r="P401" i="32" a="1"/>
  <c r="P401" i="32" s="1"/>
  <c r="J401" i="32" s="1"/>
  <c r="Y400" i="32"/>
  <c r="Z400" i="32" s="1" a="1"/>
  <c r="Z400" i="32" s="1"/>
  <c r="S400" i="32" a="1"/>
  <c r="S400" i="32" s="1"/>
  <c r="P400" i="32" a="1"/>
  <c r="P400" i="32" s="1"/>
  <c r="J400" i="32" s="1"/>
  <c r="Y399" i="32"/>
  <c r="Z399" i="32" s="1" a="1"/>
  <c r="Z399" i="32" s="1"/>
  <c r="S399" i="32" a="1"/>
  <c r="S399" i="32" s="1"/>
  <c r="P399" i="32" a="1"/>
  <c r="P399" i="32" s="1"/>
  <c r="J399" i="32" s="1"/>
  <c r="Y398" i="32"/>
  <c r="Z398" i="32" s="1" a="1"/>
  <c r="Z398" i="32" s="1"/>
  <c r="S398" i="32" a="1"/>
  <c r="S398" i="32" s="1"/>
  <c r="P398" i="32" a="1"/>
  <c r="P398" i="32" s="1"/>
  <c r="J398" i="32" s="1"/>
  <c r="Y397" i="32"/>
  <c r="Z397" i="32" s="1" a="1"/>
  <c r="Z397" i="32" s="1"/>
  <c r="S397" i="32" a="1"/>
  <c r="S397" i="32" s="1"/>
  <c r="P397" i="32" a="1"/>
  <c r="P397" i="32" s="1"/>
  <c r="J397" i="32" s="1"/>
  <c r="Y396" i="32"/>
  <c r="Z396" i="32" s="1" a="1"/>
  <c r="Z396" i="32" s="1"/>
  <c r="S396" i="32" a="1"/>
  <c r="S396" i="32" s="1"/>
  <c r="P396" i="32" a="1"/>
  <c r="P396" i="32" s="1"/>
  <c r="J396" i="32" s="1"/>
  <c r="Y395" i="32"/>
  <c r="Z395" i="32" s="1" a="1"/>
  <c r="Z395" i="32" s="1"/>
  <c r="S395" i="32" a="1"/>
  <c r="S395" i="32" s="1"/>
  <c r="P395" i="32" a="1"/>
  <c r="P395" i="32" s="1"/>
  <c r="J395" i="32" s="1"/>
  <c r="Y394" i="32"/>
  <c r="Z394" i="32" s="1" a="1"/>
  <c r="Z394" i="32" s="1"/>
  <c r="S394" i="32" a="1"/>
  <c r="S394" i="32" s="1"/>
  <c r="P394" i="32" a="1"/>
  <c r="P394" i="32" s="1"/>
  <c r="J394" i="32" s="1"/>
  <c r="Y393" i="32"/>
  <c r="Z393" i="32" s="1" a="1"/>
  <c r="Z393" i="32" s="1"/>
  <c r="S393" i="32" a="1"/>
  <c r="S393" i="32" s="1"/>
  <c r="P393" i="32" a="1"/>
  <c r="P393" i="32" s="1"/>
  <c r="J393" i="32" s="1"/>
  <c r="Y392" i="32"/>
  <c r="Z392" i="32" s="1" a="1"/>
  <c r="Z392" i="32" s="1"/>
  <c r="S392" i="32" a="1"/>
  <c r="S392" i="32" s="1"/>
  <c r="P392" i="32" a="1"/>
  <c r="P392" i="32" s="1"/>
  <c r="J392" i="32" s="1"/>
  <c r="Y391" i="32"/>
  <c r="Z391" i="32" s="1" a="1"/>
  <c r="Z391" i="32" s="1"/>
  <c r="S391" i="32" a="1"/>
  <c r="S391" i="32" s="1"/>
  <c r="P391" i="32" a="1"/>
  <c r="P391" i="32" s="1"/>
  <c r="J391" i="32" s="1"/>
  <c r="Y390" i="32"/>
  <c r="Z390" i="32" s="1" a="1"/>
  <c r="Z390" i="32" s="1"/>
  <c r="S390" i="32" a="1"/>
  <c r="S390" i="32" s="1"/>
  <c r="P390" i="32" a="1"/>
  <c r="P390" i="32" s="1"/>
  <c r="J390" i="32" s="1"/>
  <c r="Y389" i="32"/>
  <c r="Z389" i="32" s="1" a="1"/>
  <c r="Z389" i="32" s="1"/>
  <c r="S389" i="32" a="1"/>
  <c r="S389" i="32" s="1"/>
  <c r="P389" i="32" a="1"/>
  <c r="P389" i="32" s="1"/>
  <c r="J389" i="32" s="1"/>
  <c r="Y388" i="32"/>
  <c r="Z388" i="32" s="1" a="1"/>
  <c r="Z388" i="32" s="1"/>
  <c r="S388" i="32" a="1"/>
  <c r="S388" i="32" s="1"/>
  <c r="P388" i="32" a="1"/>
  <c r="P388" i="32" s="1"/>
  <c r="J388" i="32" s="1"/>
  <c r="Y387" i="32"/>
  <c r="Z387" i="32" s="1" a="1"/>
  <c r="Z387" i="32" s="1"/>
  <c r="S387" i="32" a="1"/>
  <c r="S387" i="32" s="1"/>
  <c r="P387" i="32" a="1"/>
  <c r="P387" i="32" s="1"/>
  <c r="J387" i="32" s="1"/>
  <c r="Y386" i="32"/>
  <c r="Z386" i="32" s="1" a="1"/>
  <c r="Z386" i="32" s="1"/>
  <c r="S386" i="32" a="1"/>
  <c r="S386" i="32" s="1"/>
  <c r="P386" i="32" a="1"/>
  <c r="P386" i="32" s="1"/>
  <c r="J386" i="32" s="1"/>
  <c r="Y385" i="32"/>
  <c r="Z385" i="32" s="1" a="1"/>
  <c r="Z385" i="32" s="1"/>
  <c r="S385" i="32" a="1"/>
  <c r="S385" i="32" s="1"/>
  <c r="P385" i="32" a="1"/>
  <c r="P385" i="32" s="1"/>
  <c r="J385" i="32" s="1"/>
  <c r="Y384" i="32"/>
  <c r="Z384" i="32" s="1" a="1"/>
  <c r="Z384" i="32" s="1"/>
  <c r="S384" i="32" a="1"/>
  <c r="S384" i="32" s="1"/>
  <c r="P384" i="32" a="1"/>
  <c r="P384" i="32" s="1"/>
  <c r="J384" i="32" s="1"/>
  <c r="Y383" i="32"/>
  <c r="Z383" i="32" s="1" a="1"/>
  <c r="Z383" i="32" s="1"/>
  <c r="S383" i="32" a="1"/>
  <c r="S383" i="32" s="1"/>
  <c r="P383" i="32" a="1"/>
  <c r="P383" i="32" s="1"/>
  <c r="J383" i="32" s="1"/>
  <c r="Y382" i="32"/>
  <c r="Z382" i="32" s="1" a="1"/>
  <c r="Z382" i="32" s="1"/>
  <c r="S382" i="32" a="1"/>
  <c r="S382" i="32" s="1"/>
  <c r="P382" i="32" a="1"/>
  <c r="P382" i="32" s="1"/>
  <c r="J382" i="32" s="1"/>
  <c r="Y381" i="32"/>
  <c r="Z381" i="32" s="1" a="1"/>
  <c r="Z381" i="32" s="1"/>
  <c r="S381" i="32" a="1"/>
  <c r="S381" i="32" s="1"/>
  <c r="P381" i="32" a="1"/>
  <c r="P381" i="32" s="1"/>
  <c r="J381" i="32" s="1"/>
  <c r="Y380" i="32"/>
  <c r="Z380" i="32" s="1" a="1"/>
  <c r="Z380" i="32" s="1"/>
  <c r="S380" i="32" a="1"/>
  <c r="S380" i="32" s="1"/>
  <c r="P380" i="32" a="1"/>
  <c r="P380" i="32" s="1"/>
  <c r="J380" i="32" s="1"/>
  <c r="Y379" i="32"/>
  <c r="Z379" i="32" s="1" a="1"/>
  <c r="Z379" i="32" s="1"/>
  <c r="S379" i="32" a="1"/>
  <c r="S379" i="32" s="1"/>
  <c r="P379" i="32" a="1"/>
  <c r="P379" i="32" s="1"/>
  <c r="J379" i="32" s="1"/>
  <c r="Y378" i="32"/>
  <c r="Z378" i="32" s="1" a="1"/>
  <c r="Z378" i="32" s="1"/>
  <c r="S378" i="32" a="1"/>
  <c r="S378" i="32" s="1"/>
  <c r="P378" i="32" a="1"/>
  <c r="P378" i="32" s="1"/>
  <c r="J378" i="32" s="1"/>
  <c r="Y377" i="32"/>
  <c r="Z377" i="32" s="1" a="1"/>
  <c r="Z377" i="32" s="1"/>
  <c r="S377" i="32" a="1"/>
  <c r="S377" i="32" s="1"/>
  <c r="P377" i="32" a="1"/>
  <c r="P377" i="32" s="1"/>
  <c r="J377" i="32" s="1"/>
  <c r="Y376" i="32"/>
  <c r="Z376" i="32" s="1" a="1"/>
  <c r="Z376" i="32" s="1"/>
  <c r="S376" i="32" a="1"/>
  <c r="S376" i="32" s="1"/>
  <c r="P376" i="32" a="1"/>
  <c r="P376" i="32" s="1"/>
  <c r="J376" i="32" s="1"/>
  <c r="Y375" i="32"/>
  <c r="Z375" i="32" s="1" a="1"/>
  <c r="Z375" i="32" s="1"/>
  <c r="S375" i="32" a="1"/>
  <c r="S375" i="32" s="1"/>
  <c r="P375" i="32" a="1"/>
  <c r="P375" i="32" s="1"/>
  <c r="J375" i="32" s="1"/>
  <c r="Y374" i="32"/>
  <c r="Z374" i="32" s="1" a="1"/>
  <c r="Z374" i="32" s="1"/>
  <c r="S374" i="32" a="1"/>
  <c r="S374" i="32" s="1"/>
  <c r="P374" i="32" a="1"/>
  <c r="P374" i="32" s="1"/>
  <c r="J374" i="32" s="1"/>
  <c r="Y373" i="32"/>
  <c r="Z373" i="32" s="1" a="1"/>
  <c r="Z373" i="32" s="1"/>
  <c r="S373" i="32" a="1"/>
  <c r="S373" i="32" s="1"/>
  <c r="P373" i="32" a="1"/>
  <c r="P373" i="32" s="1"/>
  <c r="J373" i="32" s="1"/>
  <c r="Y372" i="32"/>
  <c r="Z372" i="32" s="1" a="1"/>
  <c r="Z372" i="32" s="1"/>
  <c r="S372" i="32" a="1"/>
  <c r="S372" i="32" s="1"/>
  <c r="P372" i="32" a="1"/>
  <c r="P372" i="32" s="1"/>
  <c r="J372" i="32" s="1"/>
  <c r="Y371" i="32"/>
  <c r="Z371" i="32" s="1" a="1"/>
  <c r="Z371" i="32" s="1"/>
  <c r="S371" i="32" a="1"/>
  <c r="S371" i="32" s="1"/>
  <c r="P371" i="32" a="1"/>
  <c r="P371" i="32" s="1"/>
  <c r="J371" i="32" s="1"/>
  <c r="Y370" i="32"/>
  <c r="Z370" i="32" s="1" a="1"/>
  <c r="Z370" i="32" s="1"/>
  <c r="S370" i="32" a="1"/>
  <c r="S370" i="32" s="1"/>
  <c r="P370" i="32" a="1"/>
  <c r="P370" i="32" s="1"/>
  <c r="J370" i="32" s="1"/>
  <c r="Y369" i="32"/>
  <c r="Z369" i="32" s="1" a="1"/>
  <c r="Z369" i="32" s="1"/>
  <c r="S369" i="32" a="1"/>
  <c r="S369" i="32" s="1"/>
  <c r="P369" i="32" a="1"/>
  <c r="P369" i="32" s="1"/>
  <c r="J369" i="32" s="1"/>
  <c r="Y368" i="32"/>
  <c r="Z368" i="32" s="1" a="1"/>
  <c r="Z368" i="32" s="1"/>
  <c r="S368" i="32" a="1"/>
  <c r="S368" i="32" s="1"/>
  <c r="P368" i="32" a="1"/>
  <c r="P368" i="32" s="1"/>
  <c r="J368" i="32" s="1"/>
  <c r="Y367" i="32"/>
  <c r="Z367" i="32" s="1" a="1"/>
  <c r="Z367" i="32" s="1"/>
  <c r="S367" i="32" a="1"/>
  <c r="S367" i="32" s="1"/>
  <c r="P367" i="32" a="1"/>
  <c r="P367" i="32" s="1"/>
  <c r="J367" i="32" s="1"/>
  <c r="Y366" i="32"/>
  <c r="Z366" i="32" s="1" a="1"/>
  <c r="Z366" i="32" s="1"/>
  <c r="S366" i="32" a="1"/>
  <c r="S366" i="32" s="1"/>
  <c r="P366" i="32" a="1"/>
  <c r="P366" i="32" s="1"/>
  <c r="J366" i="32" s="1"/>
  <c r="Y365" i="32"/>
  <c r="Z365" i="32" s="1" a="1"/>
  <c r="Z365" i="32" s="1"/>
  <c r="S365" i="32" a="1"/>
  <c r="S365" i="32" s="1"/>
  <c r="P365" i="32" a="1"/>
  <c r="P365" i="32" s="1"/>
  <c r="J365" i="32" s="1"/>
  <c r="Y364" i="32"/>
  <c r="Z364" i="32" s="1" a="1"/>
  <c r="Z364" i="32" s="1"/>
  <c r="S364" i="32" a="1"/>
  <c r="S364" i="32" s="1"/>
  <c r="P364" i="32" a="1"/>
  <c r="P364" i="32" s="1"/>
  <c r="J364" i="32" s="1"/>
  <c r="Y363" i="32"/>
  <c r="Z363" i="32" s="1" a="1"/>
  <c r="Z363" i="32" s="1"/>
  <c r="S363" i="32" a="1"/>
  <c r="S363" i="32" s="1"/>
  <c r="P363" i="32" a="1"/>
  <c r="P363" i="32" s="1"/>
  <c r="J363" i="32" s="1"/>
  <c r="Y362" i="32"/>
  <c r="Z362" i="32" s="1" a="1"/>
  <c r="Z362" i="32" s="1"/>
  <c r="S362" i="32" a="1"/>
  <c r="S362" i="32" s="1"/>
  <c r="P362" i="32" a="1"/>
  <c r="P362" i="32" s="1"/>
  <c r="J362" i="32" s="1"/>
  <c r="Y361" i="32"/>
  <c r="Z361" i="32" s="1" a="1"/>
  <c r="Z361" i="32" s="1"/>
  <c r="S361" i="32" a="1"/>
  <c r="S361" i="32" s="1"/>
  <c r="P361" i="32" a="1"/>
  <c r="P361" i="32" s="1"/>
  <c r="J361" i="32" s="1"/>
  <c r="Y360" i="32"/>
  <c r="Z360" i="32" s="1" a="1"/>
  <c r="Z360" i="32" s="1"/>
  <c r="S360" i="32" a="1"/>
  <c r="S360" i="32" s="1"/>
  <c r="P360" i="32" a="1"/>
  <c r="P360" i="32" s="1"/>
  <c r="J360" i="32" s="1"/>
  <c r="Y359" i="32"/>
  <c r="Z359" i="32" s="1" a="1"/>
  <c r="Z359" i="32" s="1"/>
  <c r="S359" i="32" a="1"/>
  <c r="S359" i="32" s="1"/>
  <c r="P359" i="32" a="1"/>
  <c r="P359" i="32" s="1"/>
  <c r="J359" i="32" s="1"/>
  <c r="Y358" i="32"/>
  <c r="Z358" i="32" s="1" a="1"/>
  <c r="Z358" i="32" s="1"/>
  <c r="S358" i="32" a="1"/>
  <c r="S358" i="32" s="1"/>
  <c r="P358" i="32" a="1"/>
  <c r="P358" i="32" s="1"/>
  <c r="J358" i="32" s="1"/>
  <c r="Y357" i="32"/>
  <c r="Z357" i="32" s="1" a="1"/>
  <c r="Z357" i="32" s="1"/>
  <c r="S357" i="32" a="1"/>
  <c r="S357" i="32" s="1"/>
  <c r="P357" i="32" a="1"/>
  <c r="P357" i="32" s="1"/>
  <c r="J357" i="32" s="1"/>
  <c r="Y356" i="32"/>
  <c r="Z356" i="32" s="1" a="1"/>
  <c r="Z356" i="32" s="1"/>
  <c r="S356" i="32" a="1"/>
  <c r="S356" i="32" s="1"/>
  <c r="P356" i="32" a="1"/>
  <c r="P356" i="32" s="1"/>
  <c r="J356" i="32" s="1"/>
  <c r="Y355" i="32"/>
  <c r="Z355" i="32" s="1" a="1"/>
  <c r="Z355" i="32" s="1"/>
  <c r="S355" i="32" a="1"/>
  <c r="S355" i="32" s="1"/>
  <c r="P355" i="32" a="1"/>
  <c r="P355" i="32" s="1"/>
  <c r="J355" i="32" s="1"/>
  <c r="Y354" i="32"/>
  <c r="Z354" i="32" s="1" a="1"/>
  <c r="Z354" i="32" s="1"/>
  <c r="S354" i="32" a="1"/>
  <c r="S354" i="32" s="1"/>
  <c r="P354" i="32" a="1"/>
  <c r="P354" i="32" s="1"/>
  <c r="J354" i="32" s="1"/>
  <c r="Y353" i="32"/>
  <c r="Z353" i="32" s="1" a="1"/>
  <c r="Z353" i="32" s="1"/>
  <c r="S353" i="32" a="1"/>
  <c r="S353" i="32" s="1"/>
  <c r="P353" i="32" a="1"/>
  <c r="P353" i="32" s="1"/>
  <c r="J353" i="32" s="1"/>
  <c r="Y352" i="32"/>
  <c r="Z352" i="32" s="1" a="1"/>
  <c r="Z352" i="32" s="1"/>
  <c r="S352" i="32" a="1"/>
  <c r="S352" i="32" s="1"/>
  <c r="P352" i="32" a="1"/>
  <c r="P352" i="32" s="1"/>
  <c r="J352" i="32" s="1"/>
  <c r="Y351" i="32"/>
  <c r="Z351" i="32" s="1" a="1"/>
  <c r="Z351" i="32" s="1"/>
  <c r="S351" i="32" a="1"/>
  <c r="S351" i="32" s="1"/>
  <c r="P351" i="32" a="1"/>
  <c r="P351" i="32" s="1"/>
  <c r="J351" i="32" s="1"/>
  <c r="Y350" i="32"/>
  <c r="Z350" i="32" s="1" a="1"/>
  <c r="Z350" i="32" s="1"/>
  <c r="S350" i="32" a="1"/>
  <c r="S350" i="32" s="1"/>
  <c r="P350" i="32" a="1"/>
  <c r="P350" i="32" s="1"/>
  <c r="J350" i="32" s="1"/>
  <c r="Y349" i="32"/>
  <c r="Z349" i="32" s="1" a="1"/>
  <c r="Z349" i="32" s="1"/>
  <c r="S349" i="32" a="1"/>
  <c r="S349" i="32" s="1"/>
  <c r="P349" i="32" a="1"/>
  <c r="P349" i="32" s="1"/>
  <c r="J349" i="32" s="1"/>
  <c r="Y348" i="32"/>
  <c r="Z348" i="32" s="1" a="1"/>
  <c r="Z348" i="32" s="1"/>
  <c r="S348" i="32" a="1"/>
  <c r="S348" i="32" s="1"/>
  <c r="P348" i="32" a="1"/>
  <c r="P348" i="32" s="1"/>
  <c r="J348" i="32" s="1"/>
  <c r="Y347" i="32"/>
  <c r="Z347" i="32" s="1" a="1"/>
  <c r="Z347" i="32" s="1"/>
  <c r="S347" i="32" a="1"/>
  <c r="S347" i="32" s="1"/>
  <c r="P347" i="32" a="1"/>
  <c r="P347" i="32" s="1"/>
  <c r="J347" i="32" s="1"/>
  <c r="Y346" i="32"/>
  <c r="Z346" i="32" s="1" a="1"/>
  <c r="Z346" i="32" s="1"/>
  <c r="S346" i="32" a="1"/>
  <c r="S346" i="32" s="1"/>
  <c r="P346" i="32" a="1"/>
  <c r="P346" i="32" s="1"/>
  <c r="J346" i="32" s="1"/>
  <c r="Y345" i="32"/>
  <c r="Z345" i="32" s="1" a="1"/>
  <c r="Z345" i="32" s="1"/>
  <c r="S345" i="32" a="1"/>
  <c r="S345" i="32" s="1"/>
  <c r="P345" i="32" a="1"/>
  <c r="P345" i="32" s="1"/>
  <c r="J345" i="32" s="1"/>
  <c r="Y344" i="32"/>
  <c r="Z344" i="32" s="1" a="1"/>
  <c r="Z344" i="32" s="1"/>
  <c r="S344" i="32" a="1"/>
  <c r="S344" i="32" s="1"/>
  <c r="P344" i="32" a="1"/>
  <c r="P344" i="32" s="1"/>
  <c r="J344" i="32" s="1"/>
  <c r="Y343" i="32"/>
  <c r="Z343" i="32" s="1" a="1"/>
  <c r="Z343" i="32" s="1"/>
  <c r="S343" i="32" a="1"/>
  <c r="S343" i="32" s="1"/>
  <c r="P343" i="32" a="1"/>
  <c r="P343" i="32" s="1"/>
  <c r="J343" i="32" s="1"/>
  <c r="Y342" i="32"/>
  <c r="Z342" i="32" s="1" a="1"/>
  <c r="Z342" i="32" s="1"/>
  <c r="S342" i="32" a="1"/>
  <c r="S342" i="32" s="1"/>
  <c r="P342" i="32" a="1"/>
  <c r="P342" i="32" s="1"/>
  <c r="J342" i="32" s="1"/>
  <c r="Y341" i="32"/>
  <c r="Z341" i="32" s="1" a="1"/>
  <c r="Z341" i="32" s="1"/>
  <c r="S341" i="32" a="1"/>
  <c r="S341" i="32" s="1"/>
  <c r="P341" i="32" a="1"/>
  <c r="P341" i="32" s="1"/>
  <c r="J341" i="32" s="1"/>
  <c r="Y340" i="32"/>
  <c r="Z340" i="32" s="1" a="1"/>
  <c r="Z340" i="32" s="1"/>
  <c r="S340" i="32" a="1"/>
  <c r="S340" i="32" s="1"/>
  <c r="P340" i="32" a="1"/>
  <c r="P340" i="32" s="1"/>
  <c r="J340" i="32" s="1"/>
  <c r="Y339" i="32"/>
  <c r="Z339" i="32" s="1" a="1"/>
  <c r="Z339" i="32" s="1"/>
  <c r="S339" i="32" a="1"/>
  <c r="S339" i="32" s="1"/>
  <c r="P339" i="32" a="1"/>
  <c r="P339" i="32" s="1"/>
  <c r="J339" i="32" s="1"/>
  <c r="Y338" i="32"/>
  <c r="Z338" i="32" s="1" a="1"/>
  <c r="Z338" i="32" s="1"/>
  <c r="S338" i="32" a="1"/>
  <c r="S338" i="32" s="1"/>
  <c r="P338" i="32" a="1"/>
  <c r="P338" i="32" s="1"/>
  <c r="J338" i="32" s="1"/>
  <c r="Y337" i="32"/>
  <c r="Z337" i="32" s="1" a="1"/>
  <c r="Z337" i="32" s="1"/>
  <c r="S337" i="32" a="1"/>
  <c r="S337" i="32" s="1"/>
  <c r="P337" i="32" a="1"/>
  <c r="P337" i="32" s="1"/>
  <c r="J337" i="32" s="1"/>
  <c r="Y336" i="32"/>
  <c r="Z336" i="32" s="1" a="1"/>
  <c r="Z336" i="32" s="1"/>
  <c r="S336" i="32" a="1"/>
  <c r="S336" i="32" s="1"/>
  <c r="P336" i="32" a="1"/>
  <c r="P336" i="32" s="1"/>
  <c r="J336" i="32" s="1"/>
  <c r="Y335" i="32"/>
  <c r="Z335" i="32" s="1" a="1"/>
  <c r="Z335" i="32" s="1"/>
  <c r="S335" i="32" a="1"/>
  <c r="S335" i="32" s="1"/>
  <c r="P335" i="32" a="1"/>
  <c r="P335" i="32" s="1"/>
  <c r="J335" i="32" s="1"/>
  <c r="Y334" i="32"/>
  <c r="Z334" i="32" s="1" a="1"/>
  <c r="Z334" i="32" s="1"/>
  <c r="S334" i="32" a="1"/>
  <c r="S334" i="32" s="1"/>
  <c r="P334" i="32" a="1"/>
  <c r="P334" i="32" s="1"/>
  <c r="J334" i="32" s="1"/>
  <c r="Y333" i="32"/>
  <c r="Z333" i="32" s="1" a="1"/>
  <c r="Z333" i="32" s="1"/>
  <c r="S333" i="32" a="1"/>
  <c r="S333" i="32" s="1"/>
  <c r="P333" i="32" a="1"/>
  <c r="P333" i="32" s="1"/>
  <c r="J333" i="32" s="1"/>
  <c r="Y332" i="32"/>
  <c r="Z332" i="32" s="1" a="1"/>
  <c r="Z332" i="32" s="1"/>
  <c r="S332" i="32" a="1"/>
  <c r="S332" i="32" s="1"/>
  <c r="P332" i="32" a="1"/>
  <c r="P332" i="32" s="1"/>
  <c r="J332" i="32" s="1"/>
  <c r="Y331" i="32"/>
  <c r="Z331" i="32" s="1" a="1"/>
  <c r="Z331" i="32" s="1"/>
  <c r="S331" i="32" a="1"/>
  <c r="S331" i="32" s="1"/>
  <c r="P331" i="32" a="1"/>
  <c r="P331" i="32" s="1"/>
  <c r="J331" i="32" s="1"/>
  <c r="Y330" i="32"/>
  <c r="Z330" i="32" s="1" a="1"/>
  <c r="Z330" i="32" s="1"/>
  <c r="S330" i="32" a="1"/>
  <c r="S330" i="32" s="1"/>
  <c r="P330" i="32" a="1"/>
  <c r="P330" i="32" s="1"/>
  <c r="J330" i="32" s="1"/>
  <c r="Y329" i="32"/>
  <c r="Z329" i="32" s="1" a="1"/>
  <c r="Z329" i="32" s="1"/>
  <c r="S329" i="32" a="1"/>
  <c r="S329" i="32" s="1"/>
  <c r="P329" i="32" a="1"/>
  <c r="P329" i="32" s="1"/>
  <c r="J329" i="32" s="1"/>
  <c r="Y328" i="32"/>
  <c r="Z328" i="32" s="1" a="1"/>
  <c r="Z328" i="32" s="1"/>
  <c r="S328" i="32" a="1"/>
  <c r="S328" i="32" s="1"/>
  <c r="P328" i="32" a="1"/>
  <c r="P328" i="32" s="1"/>
  <c r="J328" i="32" s="1"/>
  <c r="Y327" i="32"/>
  <c r="Z327" i="32" s="1" a="1"/>
  <c r="Z327" i="32" s="1"/>
  <c r="S327" i="32" a="1"/>
  <c r="S327" i="32" s="1"/>
  <c r="P327" i="32" a="1"/>
  <c r="P327" i="32" s="1"/>
  <c r="J327" i="32" s="1"/>
  <c r="Y326" i="32"/>
  <c r="Z326" i="32" s="1" a="1"/>
  <c r="Z326" i="32" s="1"/>
  <c r="S326" i="32" a="1"/>
  <c r="S326" i="32" s="1"/>
  <c r="P326" i="32" a="1"/>
  <c r="P326" i="32" s="1"/>
  <c r="J326" i="32" s="1"/>
  <c r="Y325" i="32"/>
  <c r="Z325" i="32" s="1" a="1"/>
  <c r="Z325" i="32" s="1"/>
  <c r="S325" i="32" a="1"/>
  <c r="S325" i="32" s="1"/>
  <c r="P325" i="32" a="1"/>
  <c r="P325" i="32" s="1"/>
  <c r="J325" i="32" s="1"/>
  <c r="Y324" i="32"/>
  <c r="Z324" i="32" s="1" a="1"/>
  <c r="Z324" i="32" s="1"/>
  <c r="S324" i="32" a="1"/>
  <c r="S324" i="32" s="1"/>
  <c r="P324" i="32" a="1"/>
  <c r="P324" i="32" s="1"/>
  <c r="J324" i="32" s="1"/>
  <c r="Y323" i="32"/>
  <c r="Z323" i="32" s="1" a="1"/>
  <c r="Z323" i="32" s="1"/>
  <c r="S323" i="32" a="1"/>
  <c r="S323" i="32" s="1"/>
  <c r="P323" i="32" a="1"/>
  <c r="P323" i="32" s="1"/>
  <c r="J323" i="32" s="1"/>
  <c r="Y322" i="32"/>
  <c r="Z322" i="32" s="1" a="1"/>
  <c r="Z322" i="32" s="1"/>
  <c r="S322" i="32" a="1"/>
  <c r="S322" i="32" s="1"/>
  <c r="P322" i="32" a="1"/>
  <c r="P322" i="32" s="1"/>
  <c r="J322" i="32" s="1"/>
  <c r="Y321" i="32"/>
  <c r="Z321" i="32" s="1" a="1"/>
  <c r="Z321" i="32" s="1"/>
  <c r="S321" i="32" a="1"/>
  <c r="S321" i="32" s="1"/>
  <c r="P321" i="32" a="1"/>
  <c r="P321" i="32" s="1"/>
  <c r="J321" i="32" s="1"/>
  <c r="Y320" i="32"/>
  <c r="Z320" i="32" s="1" a="1"/>
  <c r="Z320" i="32" s="1"/>
  <c r="S320" i="32" a="1"/>
  <c r="S320" i="32" s="1"/>
  <c r="P320" i="32" a="1"/>
  <c r="P320" i="32" s="1"/>
  <c r="J320" i="32" s="1"/>
  <c r="Y319" i="32"/>
  <c r="Z319" i="32" s="1" a="1"/>
  <c r="Z319" i="32" s="1"/>
  <c r="S319" i="32" a="1"/>
  <c r="S319" i="32" s="1"/>
  <c r="P319" i="32" a="1"/>
  <c r="P319" i="32" s="1"/>
  <c r="J319" i="32" s="1"/>
  <c r="Y318" i="32"/>
  <c r="Z318" i="32" s="1" a="1"/>
  <c r="Z318" i="32" s="1"/>
  <c r="S318" i="32" a="1"/>
  <c r="S318" i="32" s="1"/>
  <c r="P318" i="32" a="1"/>
  <c r="P318" i="32" s="1"/>
  <c r="J318" i="32" s="1"/>
  <c r="Y317" i="32"/>
  <c r="Z317" i="32" s="1" a="1"/>
  <c r="Z317" i="32" s="1"/>
  <c r="S317" i="32" a="1"/>
  <c r="S317" i="32" s="1"/>
  <c r="P317" i="32" a="1"/>
  <c r="P317" i="32" s="1"/>
  <c r="J317" i="32" s="1"/>
  <c r="Y316" i="32"/>
  <c r="Z316" i="32" s="1" a="1"/>
  <c r="Z316" i="32" s="1"/>
  <c r="S316" i="32" a="1"/>
  <c r="S316" i="32" s="1"/>
  <c r="P316" i="32" a="1"/>
  <c r="P316" i="32" s="1"/>
  <c r="J316" i="32" s="1"/>
  <c r="Y315" i="32"/>
  <c r="Z315" i="32" s="1" a="1"/>
  <c r="Z315" i="32" s="1"/>
  <c r="S315" i="32" a="1"/>
  <c r="S315" i="32" s="1"/>
  <c r="P315" i="32" a="1"/>
  <c r="P315" i="32" s="1"/>
  <c r="J315" i="32" s="1"/>
  <c r="Y314" i="32"/>
  <c r="Z314" i="32" s="1" a="1"/>
  <c r="Z314" i="32" s="1"/>
  <c r="S314" i="32" a="1"/>
  <c r="S314" i="32" s="1"/>
  <c r="P314" i="32" a="1"/>
  <c r="P314" i="32" s="1"/>
  <c r="J314" i="32" s="1"/>
  <c r="Y313" i="32"/>
  <c r="Z313" i="32" s="1" a="1"/>
  <c r="Z313" i="32" s="1"/>
  <c r="S313" i="32" a="1"/>
  <c r="S313" i="32" s="1"/>
  <c r="P313" i="32" a="1"/>
  <c r="P313" i="32" s="1"/>
  <c r="J313" i="32" s="1"/>
  <c r="Y312" i="32"/>
  <c r="Z312" i="32" s="1" a="1"/>
  <c r="Z312" i="32" s="1"/>
  <c r="S312" i="32" a="1"/>
  <c r="S312" i="32" s="1"/>
  <c r="P312" i="32" a="1"/>
  <c r="P312" i="32" s="1"/>
  <c r="J312" i="32" s="1"/>
  <c r="Y311" i="32"/>
  <c r="Z311" i="32" s="1" a="1"/>
  <c r="Z311" i="32" s="1"/>
  <c r="S311" i="32" a="1"/>
  <c r="S311" i="32" s="1"/>
  <c r="P311" i="32" a="1"/>
  <c r="P311" i="32" s="1"/>
  <c r="J311" i="32" s="1"/>
  <c r="Y310" i="32"/>
  <c r="Z310" i="32" s="1" a="1"/>
  <c r="Z310" i="32" s="1"/>
  <c r="S310" i="32" a="1"/>
  <c r="S310" i="32" s="1"/>
  <c r="P310" i="32" a="1"/>
  <c r="P310" i="32" s="1"/>
  <c r="J310" i="32" s="1"/>
  <c r="Y309" i="32"/>
  <c r="Z309" i="32" s="1" a="1"/>
  <c r="Z309" i="32" s="1"/>
  <c r="S309" i="32" a="1"/>
  <c r="S309" i="32" s="1"/>
  <c r="P309" i="32" a="1"/>
  <c r="P309" i="32" s="1"/>
  <c r="J309" i="32" s="1"/>
  <c r="Y308" i="32"/>
  <c r="Z308" i="32" s="1" a="1"/>
  <c r="Z308" i="32" s="1"/>
  <c r="S308" i="32" a="1"/>
  <c r="S308" i="32" s="1"/>
  <c r="P308" i="32" a="1"/>
  <c r="P308" i="32" s="1"/>
  <c r="J308" i="32" s="1"/>
  <c r="Y307" i="32"/>
  <c r="Z307" i="32" s="1" a="1"/>
  <c r="Z307" i="32" s="1"/>
  <c r="S307" i="32" a="1"/>
  <c r="S307" i="32" s="1"/>
  <c r="P307" i="32" a="1"/>
  <c r="P307" i="32" s="1"/>
  <c r="J307" i="32" s="1"/>
  <c r="Y306" i="32"/>
  <c r="Z306" i="32" s="1" a="1"/>
  <c r="Z306" i="32" s="1"/>
  <c r="S306" i="32" a="1"/>
  <c r="S306" i="32" s="1"/>
  <c r="P306" i="32" a="1"/>
  <c r="P306" i="32" s="1"/>
  <c r="J306" i="32" s="1"/>
  <c r="Y305" i="32"/>
  <c r="Z305" i="32" s="1" a="1"/>
  <c r="Z305" i="32" s="1"/>
  <c r="S305" i="32" a="1"/>
  <c r="S305" i="32" s="1"/>
  <c r="P305" i="32" a="1"/>
  <c r="P305" i="32" s="1"/>
  <c r="J305" i="32" s="1"/>
  <c r="Y304" i="32"/>
  <c r="Z304" i="32" s="1" a="1"/>
  <c r="Z304" i="32" s="1"/>
  <c r="S304" i="32" a="1"/>
  <c r="S304" i="32" s="1"/>
  <c r="P304" i="32" a="1"/>
  <c r="P304" i="32" s="1"/>
  <c r="J304" i="32" s="1"/>
  <c r="Y303" i="32"/>
  <c r="Z303" i="32" s="1" a="1"/>
  <c r="Z303" i="32" s="1"/>
  <c r="S303" i="32" a="1"/>
  <c r="S303" i="32" s="1"/>
  <c r="P303" i="32" a="1"/>
  <c r="P303" i="32" s="1"/>
  <c r="J303" i="32" s="1"/>
  <c r="Y302" i="32"/>
  <c r="Z302" i="32" s="1" a="1"/>
  <c r="Z302" i="32" s="1"/>
  <c r="S302" i="32" a="1"/>
  <c r="S302" i="32" s="1"/>
  <c r="P302" i="32" a="1"/>
  <c r="P302" i="32" s="1"/>
  <c r="J302" i="32" s="1"/>
  <c r="Y301" i="32"/>
  <c r="Z301" i="32" s="1" a="1"/>
  <c r="Z301" i="32" s="1"/>
  <c r="S301" i="32" a="1"/>
  <c r="S301" i="32" s="1"/>
  <c r="P301" i="32" a="1"/>
  <c r="P301" i="32" s="1"/>
  <c r="J301" i="32" s="1"/>
  <c r="Y300" i="32"/>
  <c r="Z300" i="32" s="1" a="1"/>
  <c r="Z300" i="32" s="1"/>
  <c r="S300" i="32" a="1"/>
  <c r="S300" i="32" s="1"/>
  <c r="P300" i="32" a="1"/>
  <c r="P300" i="32" s="1"/>
  <c r="J300" i="32" s="1"/>
  <c r="Y299" i="32"/>
  <c r="Z299" i="32" s="1" a="1"/>
  <c r="Z299" i="32" s="1"/>
  <c r="S299" i="32" a="1"/>
  <c r="S299" i="32" s="1"/>
  <c r="P299" i="32" a="1"/>
  <c r="P299" i="32" s="1"/>
  <c r="J299" i="32" s="1"/>
  <c r="K299" i="32"/>
  <c r="I299" i="32"/>
  <c r="H299" i="32"/>
  <c r="Y298" i="32"/>
  <c r="Z298" i="32" s="1" a="1"/>
  <c r="Z298" i="32" s="1"/>
  <c r="S298" i="32" a="1"/>
  <c r="S298" i="32" s="1"/>
  <c r="P298" i="32" a="1"/>
  <c r="P298" i="32" s="1"/>
  <c r="J298" i="32" s="1"/>
  <c r="K298" i="32"/>
  <c r="I298" i="32"/>
  <c r="H298" i="32"/>
  <c r="Y297" i="32"/>
  <c r="Z297" i="32" s="1" a="1"/>
  <c r="Z297" i="32" s="1"/>
  <c r="S297" i="32" a="1"/>
  <c r="S297" i="32" s="1"/>
  <c r="P297" i="32" a="1"/>
  <c r="P297" i="32" s="1"/>
  <c r="J297" i="32" s="1"/>
  <c r="K297" i="32"/>
  <c r="I297" i="32"/>
  <c r="H297" i="32"/>
  <c r="Y296" i="32"/>
  <c r="Z296" i="32" s="1" a="1"/>
  <c r="Z296" i="32" s="1"/>
  <c r="S296" i="32" a="1"/>
  <c r="S296" i="32" s="1"/>
  <c r="P296" i="32" a="1"/>
  <c r="P296" i="32" s="1"/>
  <c r="J296" i="32" s="1"/>
  <c r="K296" i="32"/>
  <c r="I296" i="32"/>
  <c r="H296" i="32"/>
  <c r="Y295" i="32"/>
  <c r="Z295" i="32" s="1" a="1"/>
  <c r="Z295" i="32" s="1"/>
  <c r="S295" i="32" a="1"/>
  <c r="S295" i="32" s="1"/>
  <c r="P295" i="32" a="1"/>
  <c r="P295" i="32" s="1"/>
  <c r="J295" i="32" s="1"/>
  <c r="K295" i="32"/>
  <c r="I295" i="32"/>
  <c r="H295" i="32"/>
  <c r="Y294" i="32"/>
  <c r="Z294" i="32" s="1" a="1"/>
  <c r="Z294" i="32" s="1"/>
  <c r="S294" i="32" a="1"/>
  <c r="S294" i="32" s="1"/>
  <c r="P294" i="32" a="1"/>
  <c r="P294" i="32" s="1"/>
  <c r="J294" i="32" s="1"/>
  <c r="K294" i="32"/>
  <c r="I294" i="32"/>
  <c r="H294" i="32"/>
  <c r="Y293" i="32"/>
  <c r="Z293" i="32" s="1" a="1"/>
  <c r="Z293" i="32" s="1"/>
  <c r="S293" i="32" a="1"/>
  <c r="S293" i="32" s="1"/>
  <c r="P293" i="32" a="1"/>
  <c r="P293" i="32" s="1"/>
  <c r="J293" i="32" s="1"/>
  <c r="K293" i="32"/>
  <c r="I293" i="32"/>
  <c r="H293" i="32"/>
  <c r="Y292" i="32"/>
  <c r="Z292" i="32" s="1" a="1"/>
  <c r="Z292" i="32" s="1"/>
  <c r="S292" i="32" a="1"/>
  <c r="S292" i="32" s="1"/>
  <c r="P292" i="32" a="1"/>
  <c r="P292" i="32" s="1"/>
  <c r="J292" i="32" s="1"/>
  <c r="K292" i="32"/>
  <c r="I292" i="32"/>
  <c r="H292" i="32"/>
  <c r="Y291" i="32"/>
  <c r="Z291" i="32" s="1" a="1"/>
  <c r="Z291" i="32" s="1"/>
  <c r="S291" i="32" a="1"/>
  <c r="S291" i="32" s="1"/>
  <c r="P291" i="32" a="1"/>
  <c r="P291" i="32" s="1"/>
  <c r="J291" i="32" s="1"/>
  <c r="K291" i="32"/>
  <c r="I291" i="32"/>
  <c r="H291" i="32"/>
  <c r="Y290" i="32"/>
  <c r="Z290" i="32" s="1" a="1"/>
  <c r="Z290" i="32" s="1"/>
  <c r="S290" i="32" a="1"/>
  <c r="S290" i="32" s="1"/>
  <c r="P290" i="32" a="1"/>
  <c r="P290" i="32" s="1"/>
  <c r="J290" i="32" s="1"/>
  <c r="K290" i="32"/>
  <c r="I290" i="32"/>
  <c r="H290" i="32"/>
  <c r="Y289" i="32"/>
  <c r="Z289" i="32" s="1" a="1"/>
  <c r="Z289" i="32" s="1"/>
  <c r="S289" i="32" a="1"/>
  <c r="S289" i="32" s="1"/>
  <c r="P289" i="32" a="1"/>
  <c r="P289" i="32" s="1"/>
  <c r="J289" i="32" s="1"/>
  <c r="K289" i="32"/>
  <c r="I289" i="32"/>
  <c r="H289" i="32"/>
  <c r="Y288" i="32"/>
  <c r="Z288" i="32" s="1" a="1"/>
  <c r="Z288" i="32" s="1"/>
  <c r="S288" i="32" a="1"/>
  <c r="S288" i="32" s="1"/>
  <c r="P288" i="32" a="1"/>
  <c r="P288" i="32" s="1"/>
  <c r="J288" i="32" s="1"/>
  <c r="K288" i="32"/>
  <c r="I288" i="32"/>
  <c r="H288" i="32"/>
  <c r="Y287" i="32"/>
  <c r="Z287" i="32" s="1" a="1"/>
  <c r="Z287" i="32" s="1"/>
  <c r="S287" i="32" a="1"/>
  <c r="S287" i="32" s="1"/>
  <c r="P287" i="32" a="1"/>
  <c r="P287" i="32" s="1"/>
  <c r="J287" i="32" s="1"/>
  <c r="K287" i="32"/>
  <c r="I287" i="32"/>
  <c r="H287" i="32"/>
  <c r="Y286" i="32"/>
  <c r="Z286" i="32" s="1" a="1"/>
  <c r="Z286" i="32" s="1"/>
  <c r="S286" i="32" a="1"/>
  <c r="S286" i="32" s="1"/>
  <c r="P286" i="32" a="1"/>
  <c r="P286" i="32" s="1"/>
  <c r="J286" i="32" s="1"/>
  <c r="K286" i="32"/>
  <c r="I286" i="32"/>
  <c r="H286" i="32"/>
  <c r="Y285" i="32"/>
  <c r="Z285" i="32" s="1" a="1"/>
  <c r="Z285" i="32" s="1"/>
  <c r="S285" i="32" a="1"/>
  <c r="S285" i="32" s="1"/>
  <c r="P285" i="32" a="1"/>
  <c r="P285" i="32" s="1"/>
  <c r="J285" i="32" s="1"/>
  <c r="K285" i="32"/>
  <c r="I285" i="32"/>
  <c r="H285" i="32"/>
  <c r="Y284" i="32"/>
  <c r="Z284" i="32" s="1" a="1"/>
  <c r="Z284" i="32" s="1"/>
  <c r="S284" i="32" a="1"/>
  <c r="S284" i="32" s="1"/>
  <c r="P284" i="32" a="1"/>
  <c r="P284" i="32" s="1"/>
  <c r="J284" i="32" s="1"/>
  <c r="K284" i="32"/>
  <c r="I284" i="32"/>
  <c r="H284" i="32"/>
  <c r="Y283" i="32"/>
  <c r="Z283" i="32" s="1" a="1"/>
  <c r="Z283" i="32" s="1"/>
  <c r="S283" i="32" a="1"/>
  <c r="S283" i="32" s="1"/>
  <c r="P283" i="32" a="1"/>
  <c r="P283" i="32" s="1"/>
  <c r="J283" i="32" s="1"/>
  <c r="K283" i="32"/>
  <c r="I283" i="32"/>
  <c r="H283" i="32"/>
  <c r="Y282" i="32"/>
  <c r="Z282" i="32" s="1" a="1"/>
  <c r="Z282" i="32" s="1"/>
  <c r="S282" i="32" a="1"/>
  <c r="S282" i="32" s="1"/>
  <c r="P282" i="32" a="1"/>
  <c r="P282" i="32" s="1"/>
  <c r="J282" i="32" s="1"/>
  <c r="K282" i="32"/>
  <c r="I282" i="32"/>
  <c r="H282" i="32"/>
  <c r="Y281" i="32"/>
  <c r="Z281" i="32" s="1" a="1"/>
  <c r="Z281" i="32" s="1"/>
  <c r="S281" i="32" a="1"/>
  <c r="S281" i="32" s="1"/>
  <c r="P281" i="32" a="1"/>
  <c r="P281" i="32" s="1"/>
  <c r="J281" i="32" s="1"/>
  <c r="K281" i="32"/>
  <c r="I281" i="32"/>
  <c r="H281" i="32"/>
  <c r="Y280" i="32"/>
  <c r="Z280" i="32" s="1" a="1"/>
  <c r="Z280" i="32" s="1"/>
  <c r="S280" i="32" a="1"/>
  <c r="S280" i="32" s="1"/>
  <c r="P280" i="32" a="1"/>
  <c r="P280" i="32" s="1"/>
  <c r="J280" i="32" s="1"/>
  <c r="K280" i="32"/>
  <c r="I280" i="32"/>
  <c r="H280" i="32"/>
  <c r="Y279" i="32"/>
  <c r="Z279" i="32" s="1" a="1"/>
  <c r="Z279" i="32" s="1"/>
  <c r="S279" i="32" a="1"/>
  <c r="S279" i="32" s="1"/>
  <c r="P279" i="32" a="1"/>
  <c r="P279" i="32" s="1"/>
  <c r="J279" i="32" s="1"/>
  <c r="K279" i="32"/>
  <c r="I279" i="32"/>
  <c r="H279" i="32"/>
  <c r="Y278" i="32"/>
  <c r="Z278" i="32" s="1" a="1"/>
  <c r="Z278" i="32" s="1"/>
  <c r="S278" i="32" a="1"/>
  <c r="S278" i="32" s="1"/>
  <c r="P278" i="32" a="1"/>
  <c r="P278" i="32" s="1"/>
  <c r="J278" i="32" s="1"/>
  <c r="K278" i="32"/>
  <c r="I278" i="32"/>
  <c r="H278" i="32"/>
  <c r="Y277" i="32"/>
  <c r="Z277" i="32" s="1" a="1"/>
  <c r="Z277" i="32" s="1"/>
  <c r="S277" i="32" a="1"/>
  <c r="S277" i="32" s="1"/>
  <c r="P277" i="32" a="1"/>
  <c r="P277" i="32" s="1"/>
  <c r="J277" i="32" s="1"/>
  <c r="K277" i="32"/>
  <c r="I277" i="32"/>
  <c r="H277" i="32"/>
  <c r="Y276" i="32"/>
  <c r="Z276" i="32" s="1" a="1"/>
  <c r="Z276" i="32" s="1"/>
  <c r="S276" i="32" a="1"/>
  <c r="S276" i="32" s="1"/>
  <c r="P276" i="32" a="1"/>
  <c r="P276" i="32" s="1"/>
  <c r="J276" i="32" s="1"/>
  <c r="K276" i="32"/>
  <c r="I276" i="32"/>
  <c r="H276" i="32"/>
  <c r="Y275" i="32"/>
  <c r="Z275" i="32" s="1" a="1"/>
  <c r="Z275" i="32" s="1"/>
  <c r="S275" i="32" a="1"/>
  <c r="S275" i="32" s="1"/>
  <c r="P275" i="32" a="1"/>
  <c r="P275" i="32" s="1"/>
  <c r="J275" i="32" s="1"/>
  <c r="K275" i="32"/>
  <c r="I275" i="32"/>
  <c r="H275" i="32"/>
  <c r="Y274" i="32"/>
  <c r="Z274" i="32" s="1" a="1"/>
  <c r="Z274" i="32" s="1"/>
  <c r="S274" i="32" a="1"/>
  <c r="S274" i="32" s="1"/>
  <c r="P274" i="32" a="1"/>
  <c r="P274" i="32" s="1"/>
  <c r="J274" i="32" s="1"/>
  <c r="K274" i="32"/>
  <c r="I274" i="32"/>
  <c r="H274" i="32"/>
  <c r="Y273" i="32"/>
  <c r="Z273" i="32" s="1" a="1"/>
  <c r="Z273" i="32" s="1"/>
  <c r="S273" i="32" a="1"/>
  <c r="S273" i="32" s="1"/>
  <c r="P273" i="32" a="1"/>
  <c r="P273" i="32" s="1"/>
  <c r="J273" i="32" s="1"/>
  <c r="K273" i="32"/>
  <c r="I273" i="32"/>
  <c r="H273" i="32"/>
  <c r="Y272" i="32"/>
  <c r="Z272" i="32" s="1" a="1"/>
  <c r="Z272" i="32" s="1"/>
  <c r="S272" i="32" a="1"/>
  <c r="S272" i="32" s="1"/>
  <c r="P272" i="32" a="1"/>
  <c r="P272" i="32" s="1"/>
  <c r="J272" i="32" s="1"/>
  <c r="K272" i="32"/>
  <c r="I272" i="32"/>
  <c r="H272" i="32"/>
  <c r="Y271" i="32"/>
  <c r="Z271" i="32" s="1" a="1"/>
  <c r="Z271" i="32" s="1"/>
  <c r="S271" i="32" a="1"/>
  <c r="S271" i="32" s="1"/>
  <c r="P271" i="32" a="1"/>
  <c r="P271" i="32" s="1"/>
  <c r="J271" i="32" s="1"/>
  <c r="K271" i="32"/>
  <c r="I271" i="32"/>
  <c r="H271" i="32"/>
  <c r="Y270" i="32"/>
  <c r="Z270" i="32" s="1" a="1"/>
  <c r="Z270" i="32" s="1"/>
  <c r="S270" i="32" a="1"/>
  <c r="S270" i="32" s="1"/>
  <c r="P270" i="32" a="1"/>
  <c r="P270" i="32" s="1"/>
  <c r="J270" i="32" s="1"/>
  <c r="K270" i="32"/>
  <c r="I270" i="32"/>
  <c r="H270" i="32"/>
  <c r="Y269" i="32"/>
  <c r="Z269" i="32" s="1" a="1"/>
  <c r="Z269" i="32" s="1"/>
  <c r="S269" i="32" a="1"/>
  <c r="S269" i="32" s="1"/>
  <c r="P269" i="32" a="1"/>
  <c r="P269" i="32" s="1"/>
  <c r="J269" i="32" s="1"/>
  <c r="K269" i="32"/>
  <c r="I269" i="32"/>
  <c r="H269" i="32"/>
  <c r="Y268" i="32"/>
  <c r="Z268" i="32" s="1" a="1"/>
  <c r="Z268" i="32" s="1"/>
  <c r="S268" i="32" a="1"/>
  <c r="S268" i="32" s="1"/>
  <c r="P268" i="32" a="1"/>
  <c r="P268" i="32" s="1"/>
  <c r="J268" i="32" s="1"/>
  <c r="K268" i="32"/>
  <c r="I268" i="32"/>
  <c r="H268" i="32"/>
  <c r="Y267" i="32"/>
  <c r="Z267" i="32" s="1" a="1"/>
  <c r="Z267" i="32" s="1"/>
  <c r="S267" i="32" a="1"/>
  <c r="S267" i="32" s="1"/>
  <c r="P267" i="32" a="1"/>
  <c r="P267" i="32" s="1"/>
  <c r="J267" i="32" s="1"/>
  <c r="K267" i="32"/>
  <c r="I267" i="32"/>
  <c r="H267" i="32"/>
  <c r="Y266" i="32"/>
  <c r="Z266" i="32" s="1" a="1"/>
  <c r="Z266" i="32" s="1"/>
  <c r="S266" i="32" a="1"/>
  <c r="S266" i="32" s="1"/>
  <c r="P266" i="32" a="1"/>
  <c r="P266" i="32" s="1"/>
  <c r="J266" i="32" s="1"/>
  <c r="K266" i="32"/>
  <c r="I266" i="32"/>
  <c r="H266" i="32"/>
  <c r="Y265" i="32"/>
  <c r="Z265" i="32" s="1" a="1"/>
  <c r="Z265" i="32" s="1"/>
  <c r="S265" i="32" a="1"/>
  <c r="S265" i="32" s="1"/>
  <c r="P265" i="32" a="1"/>
  <c r="P265" i="32" s="1"/>
  <c r="J265" i="32" s="1"/>
  <c r="K265" i="32"/>
  <c r="I265" i="32"/>
  <c r="H265" i="32"/>
  <c r="Y264" i="32"/>
  <c r="Z264" i="32" s="1" a="1"/>
  <c r="Z264" i="32" s="1"/>
  <c r="S264" i="32" a="1"/>
  <c r="S264" i="32" s="1"/>
  <c r="P264" i="32" a="1"/>
  <c r="P264" i="32" s="1"/>
  <c r="J264" i="32" s="1"/>
  <c r="K264" i="32"/>
  <c r="I264" i="32"/>
  <c r="H264" i="32"/>
  <c r="Y263" i="32"/>
  <c r="Z263" i="32" s="1" a="1"/>
  <c r="Z263" i="32" s="1"/>
  <c r="S263" i="32" a="1"/>
  <c r="S263" i="32" s="1"/>
  <c r="P263" i="32" a="1"/>
  <c r="P263" i="32" s="1"/>
  <c r="J263" i="32" s="1"/>
  <c r="K263" i="32"/>
  <c r="I263" i="32"/>
  <c r="H263" i="32"/>
  <c r="Y262" i="32"/>
  <c r="Z262" i="32" s="1" a="1"/>
  <c r="Z262" i="32" s="1"/>
  <c r="S262" i="32" a="1"/>
  <c r="S262" i="32" s="1"/>
  <c r="P262" i="32" a="1"/>
  <c r="P262" i="32" s="1"/>
  <c r="J262" i="32" s="1"/>
  <c r="K262" i="32"/>
  <c r="I262" i="32"/>
  <c r="H262" i="32"/>
  <c r="Y261" i="32"/>
  <c r="Z261" i="32" s="1" a="1"/>
  <c r="Z261" i="32" s="1"/>
  <c r="S261" i="32" a="1"/>
  <c r="S261" i="32" s="1"/>
  <c r="P261" i="32" a="1"/>
  <c r="P261" i="32" s="1"/>
  <c r="J261" i="32" s="1"/>
  <c r="K261" i="32"/>
  <c r="I261" i="32"/>
  <c r="H261" i="32"/>
  <c r="Y260" i="32"/>
  <c r="Z260" i="32" s="1" a="1"/>
  <c r="Z260" i="32" s="1"/>
  <c r="S260" i="32" a="1"/>
  <c r="S260" i="32" s="1"/>
  <c r="P260" i="32" a="1"/>
  <c r="P260" i="32" s="1"/>
  <c r="J260" i="32" s="1"/>
  <c r="K260" i="32"/>
  <c r="I260" i="32"/>
  <c r="H260" i="32"/>
  <c r="Y259" i="32"/>
  <c r="Z259" i="32" s="1" a="1"/>
  <c r="Z259" i="32" s="1"/>
  <c r="S259" i="32" a="1"/>
  <c r="S259" i="32" s="1"/>
  <c r="P259" i="32" a="1"/>
  <c r="P259" i="32" s="1"/>
  <c r="J259" i="32" s="1"/>
  <c r="K259" i="32"/>
  <c r="I259" i="32"/>
  <c r="H259" i="32"/>
  <c r="Y258" i="32"/>
  <c r="Z258" i="32" s="1" a="1"/>
  <c r="Z258" i="32" s="1"/>
  <c r="S258" i="32" a="1"/>
  <c r="S258" i="32" s="1"/>
  <c r="P258" i="32" a="1"/>
  <c r="P258" i="32" s="1"/>
  <c r="J258" i="32" s="1"/>
  <c r="K258" i="32"/>
  <c r="I258" i="32"/>
  <c r="H258" i="32"/>
  <c r="Y257" i="32"/>
  <c r="Z257" i="32" s="1" a="1"/>
  <c r="Z257" i="32" s="1"/>
  <c r="S257" i="32" a="1"/>
  <c r="S257" i="32" s="1"/>
  <c r="P257" i="32" a="1"/>
  <c r="P257" i="32" s="1"/>
  <c r="J257" i="32" s="1"/>
  <c r="K257" i="32"/>
  <c r="I257" i="32"/>
  <c r="H257" i="32"/>
  <c r="Y256" i="32"/>
  <c r="Z256" i="32" s="1" a="1"/>
  <c r="Z256" i="32" s="1"/>
  <c r="S256" i="32" a="1"/>
  <c r="S256" i="32" s="1"/>
  <c r="P256" i="32" a="1"/>
  <c r="P256" i="32" s="1"/>
  <c r="J256" i="32" s="1"/>
  <c r="K256" i="32"/>
  <c r="I256" i="32"/>
  <c r="H256" i="32"/>
  <c r="Y255" i="32"/>
  <c r="Z255" i="32" s="1" a="1"/>
  <c r="Z255" i="32" s="1"/>
  <c r="S255" i="32" a="1"/>
  <c r="S255" i="32" s="1"/>
  <c r="P255" i="32" a="1"/>
  <c r="P255" i="32" s="1"/>
  <c r="J255" i="32" s="1"/>
  <c r="K255" i="32"/>
  <c r="I255" i="32"/>
  <c r="H255" i="32"/>
  <c r="Y254" i="32"/>
  <c r="Z254" i="32" s="1" a="1"/>
  <c r="Z254" i="32" s="1"/>
  <c r="S254" i="32" a="1"/>
  <c r="S254" i="32" s="1"/>
  <c r="P254" i="32" a="1"/>
  <c r="P254" i="32" s="1"/>
  <c r="J254" i="32" s="1"/>
  <c r="K254" i="32"/>
  <c r="I254" i="32"/>
  <c r="H254" i="32"/>
  <c r="Y253" i="32"/>
  <c r="Z253" i="32" s="1" a="1"/>
  <c r="Z253" i="32" s="1"/>
  <c r="S253" i="32" a="1"/>
  <c r="S253" i="32" s="1"/>
  <c r="P253" i="32" a="1"/>
  <c r="P253" i="32" s="1"/>
  <c r="J253" i="32" s="1"/>
  <c r="K253" i="32"/>
  <c r="I253" i="32"/>
  <c r="H253" i="32"/>
  <c r="Y252" i="32"/>
  <c r="Z252" i="32" s="1" a="1"/>
  <c r="Z252" i="32" s="1"/>
  <c r="S252" i="32" a="1"/>
  <c r="S252" i="32" s="1"/>
  <c r="P252" i="32" a="1"/>
  <c r="P252" i="32" s="1"/>
  <c r="J252" i="32" s="1"/>
  <c r="K252" i="32"/>
  <c r="I252" i="32"/>
  <c r="H252" i="32"/>
  <c r="Y251" i="32"/>
  <c r="Z251" i="32" s="1" a="1"/>
  <c r="Z251" i="32" s="1"/>
  <c r="S251" i="32" a="1"/>
  <c r="S251" i="32" s="1"/>
  <c r="P251" i="32" a="1"/>
  <c r="P251" i="32" s="1"/>
  <c r="J251" i="32" s="1"/>
  <c r="K251" i="32"/>
  <c r="I251" i="32"/>
  <c r="H251" i="32"/>
  <c r="Y250" i="32"/>
  <c r="Z250" i="32" s="1" a="1"/>
  <c r="Z250" i="32" s="1"/>
  <c r="S250" i="32" a="1"/>
  <c r="S250" i="32" s="1"/>
  <c r="P250" i="32" a="1"/>
  <c r="P250" i="32" s="1"/>
  <c r="J250" i="32" s="1"/>
  <c r="K250" i="32"/>
  <c r="I250" i="32"/>
  <c r="H250" i="32"/>
  <c r="Y249" i="32"/>
  <c r="Z249" i="32" s="1" a="1"/>
  <c r="Z249" i="32" s="1"/>
  <c r="S249" i="32" a="1"/>
  <c r="S249" i="32" s="1"/>
  <c r="P249" i="32" a="1"/>
  <c r="P249" i="32" s="1"/>
  <c r="J249" i="32" s="1"/>
  <c r="K249" i="32"/>
  <c r="I249" i="32"/>
  <c r="H249" i="32"/>
  <c r="Y248" i="32"/>
  <c r="Z248" i="32" s="1" a="1"/>
  <c r="Z248" i="32" s="1"/>
  <c r="S248" i="32" a="1"/>
  <c r="S248" i="32" s="1"/>
  <c r="P248" i="32" a="1"/>
  <c r="P248" i="32" s="1"/>
  <c r="J248" i="32" s="1"/>
  <c r="K248" i="32"/>
  <c r="I248" i="32"/>
  <c r="H248" i="32"/>
  <c r="Y247" i="32"/>
  <c r="Z247" i="32" s="1" a="1"/>
  <c r="Z247" i="32" s="1"/>
  <c r="S247" i="32" a="1"/>
  <c r="S247" i="32" s="1"/>
  <c r="P247" i="32" a="1"/>
  <c r="P247" i="32" s="1"/>
  <c r="J247" i="32" s="1"/>
  <c r="K247" i="32"/>
  <c r="I247" i="32"/>
  <c r="H247" i="32"/>
  <c r="Y246" i="32"/>
  <c r="Z246" i="32" s="1" a="1"/>
  <c r="Z246" i="32" s="1"/>
  <c r="S246" i="32" a="1"/>
  <c r="S246" i="32" s="1"/>
  <c r="P246" i="32" a="1"/>
  <c r="P246" i="32" s="1"/>
  <c r="J246" i="32" s="1"/>
  <c r="K246" i="32"/>
  <c r="I246" i="32"/>
  <c r="H246" i="32"/>
  <c r="Y245" i="32"/>
  <c r="Z245" i="32" s="1" a="1"/>
  <c r="Z245" i="32" s="1"/>
  <c r="S245" i="32" a="1"/>
  <c r="S245" i="32" s="1"/>
  <c r="P245" i="32" a="1"/>
  <c r="P245" i="32" s="1"/>
  <c r="J245" i="32" s="1"/>
  <c r="K245" i="32"/>
  <c r="I245" i="32"/>
  <c r="H245" i="32"/>
  <c r="Y244" i="32"/>
  <c r="Z244" i="32" s="1" a="1"/>
  <c r="Z244" i="32" s="1"/>
  <c r="S244" i="32" a="1"/>
  <c r="S244" i="32" s="1"/>
  <c r="P244" i="32" a="1"/>
  <c r="P244" i="32" s="1"/>
  <c r="J244" i="32" s="1"/>
  <c r="K244" i="32"/>
  <c r="I244" i="32"/>
  <c r="H244" i="32"/>
  <c r="Y243" i="32"/>
  <c r="Z243" i="32" s="1" a="1"/>
  <c r="Z243" i="32" s="1"/>
  <c r="S243" i="32" a="1"/>
  <c r="S243" i="32" s="1"/>
  <c r="P243" i="32" a="1"/>
  <c r="P243" i="32" s="1"/>
  <c r="J243" i="32" s="1"/>
  <c r="K243" i="32"/>
  <c r="I243" i="32"/>
  <c r="H243" i="32"/>
  <c r="Y242" i="32"/>
  <c r="Z242" i="32" s="1" a="1"/>
  <c r="Z242" i="32" s="1"/>
  <c r="S242" i="32" a="1"/>
  <c r="S242" i="32" s="1"/>
  <c r="P242" i="32" a="1"/>
  <c r="P242" i="32" s="1"/>
  <c r="J242" i="32" s="1"/>
  <c r="K242" i="32"/>
  <c r="I242" i="32"/>
  <c r="H242" i="32"/>
  <c r="Y241" i="32"/>
  <c r="Z241" i="32" s="1" a="1"/>
  <c r="Z241" i="32" s="1"/>
  <c r="S241" i="32" a="1"/>
  <c r="S241" i="32" s="1"/>
  <c r="P241" i="32" a="1"/>
  <c r="P241" i="32" s="1"/>
  <c r="J241" i="32" s="1"/>
  <c r="K241" i="32"/>
  <c r="I241" i="32"/>
  <c r="H241" i="32"/>
  <c r="Y240" i="32"/>
  <c r="Z240" i="32" s="1" a="1"/>
  <c r="Z240" i="32" s="1"/>
  <c r="S240" i="32" a="1"/>
  <c r="S240" i="32" s="1"/>
  <c r="P240" i="32" a="1"/>
  <c r="P240" i="32" s="1"/>
  <c r="J240" i="32" s="1"/>
  <c r="K240" i="32"/>
  <c r="I240" i="32"/>
  <c r="H240" i="32"/>
  <c r="Y239" i="32"/>
  <c r="Z239" i="32" s="1" a="1"/>
  <c r="Z239" i="32" s="1"/>
  <c r="S239" i="32" a="1"/>
  <c r="S239" i="32" s="1"/>
  <c r="P239" i="32" a="1"/>
  <c r="P239" i="32" s="1"/>
  <c r="J239" i="32" s="1"/>
  <c r="K239" i="32"/>
  <c r="I239" i="32"/>
  <c r="H239" i="32"/>
  <c r="Y238" i="32"/>
  <c r="Z238" i="32" s="1" a="1"/>
  <c r="Z238" i="32" s="1"/>
  <c r="S238" i="32" a="1"/>
  <c r="S238" i="32" s="1"/>
  <c r="P238" i="32" a="1"/>
  <c r="P238" i="32" s="1"/>
  <c r="J238" i="32" s="1"/>
  <c r="K238" i="32"/>
  <c r="I238" i="32"/>
  <c r="H238" i="32"/>
  <c r="Y237" i="32"/>
  <c r="Z237" i="32" s="1" a="1"/>
  <c r="Z237" i="32" s="1"/>
  <c r="S237" i="32" a="1"/>
  <c r="S237" i="32" s="1"/>
  <c r="P237" i="32" a="1"/>
  <c r="P237" i="32" s="1"/>
  <c r="J237" i="32" s="1"/>
  <c r="K237" i="32"/>
  <c r="I237" i="32"/>
  <c r="H237" i="32"/>
  <c r="Y236" i="32"/>
  <c r="Z236" i="32" s="1" a="1"/>
  <c r="Z236" i="32" s="1"/>
  <c r="S236" i="32" a="1"/>
  <c r="S236" i="32" s="1"/>
  <c r="P236" i="32" a="1"/>
  <c r="P236" i="32" s="1"/>
  <c r="J236" i="32" s="1"/>
  <c r="K236" i="32"/>
  <c r="I236" i="32"/>
  <c r="H236" i="32"/>
  <c r="Y235" i="32"/>
  <c r="Z235" i="32" s="1" a="1"/>
  <c r="Z235" i="32" s="1"/>
  <c r="S235" i="32" a="1"/>
  <c r="S235" i="32" s="1"/>
  <c r="P235" i="32" a="1"/>
  <c r="P235" i="32" s="1"/>
  <c r="J235" i="32" s="1"/>
  <c r="K235" i="32"/>
  <c r="I235" i="32"/>
  <c r="H235" i="32"/>
  <c r="Y234" i="32"/>
  <c r="Z234" i="32" s="1" a="1"/>
  <c r="Z234" i="32" s="1"/>
  <c r="S234" i="32" a="1"/>
  <c r="S234" i="32" s="1"/>
  <c r="P234" i="32" a="1"/>
  <c r="P234" i="32" s="1"/>
  <c r="J234" i="32" s="1"/>
  <c r="K234" i="32"/>
  <c r="I234" i="32"/>
  <c r="H234" i="32"/>
  <c r="Y233" i="32"/>
  <c r="Z233" i="32" s="1" a="1"/>
  <c r="Z233" i="32" s="1"/>
  <c r="S233" i="32" a="1"/>
  <c r="S233" i="32" s="1"/>
  <c r="P233" i="32" a="1"/>
  <c r="P233" i="32" s="1"/>
  <c r="J233" i="32" s="1"/>
  <c r="K233" i="32"/>
  <c r="I233" i="32"/>
  <c r="H233" i="32"/>
  <c r="Y232" i="32"/>
  <c r="Z232" i="32" s="1" a="1"/>
  <c r="Z232" i="32" s="1"/>
  <c r="S232" i="32" a="1"/>
  <c r="S232" i="32" s="1"/>
  <c r="P232" i="32" a="1"/>
  <c r="P232" i="32" s="1"/>
  <c r="J232" i="32" s="1"/>
  <c r="K232" i="32"/>
  <c r="I232" i="32"/>
  <c r="H232" i="32"/>
  <c r="Y231" i="32"/>
  <c r="Z231" i="32" s="1" a="1"/>
  <c r="Z231" i="32" s="1"/>
  <c r="S231" i="32" a="1"/>
  <c r="S231" i="32" s="1"/>
  <c r="P231" i="32" a="1"/>
  <c r="P231" i="32" s="1"/>
  <c r="J231" i="32" s="1"/>
  <c r="K231" i="32"/>
  <c r="I231" i="32"/>
  <c r="H231" i="32"/>
  <c r="Y230" i="32"/>
  <c r="Z230" i="32" s="1" a="1"/>
  <c r="Z230" i="32" s="1"/>
  <c r="S230" i="32" a="1"/>
  <c r="S230" i="32" s="1"/>
  <c r="P230" i="32" a="1"/>
  <c r="P230" i="32" s="1"/>
  <c r="J230" i="32" s="1"/>
  <c r="K230" i="32"/>
  <c r="I230" i="32"/>
  <c r="H230" i="32"/>
  <c r="Y229" i="32"/>
  <c r="Z229" i="32" s="1" a="1"/>
  <c r="Z229" i="32" s="1"/>
  <c r="S229" i="32" a="1"/>
  <c r="S229" i="32" s="1"/>
  <c r="P229" i="32" a="1"/>
  <c r="P229" i="32" s="1"/>
  <c r="J229" i="32" s="1"/>
  <c r="K229" i="32"/>
  <c r="I229" i="32"/>
  <c r="H229" i="32"/>
  <c r="Y228" i="32"/>
  <c r="Z228" i="32" s="1" a="1"/>
  <c r="Z228" i="32" s="1"/>
  <c r="S228" i="32" a="1"/>
  <c r="S228" i="32" s="1"/>
  <c r="P228" i="32" a="1"/>
  <c r="P228" i="32" s="1"/>
  <c r="J228" i="32" s="1"/>
  <c r="K228" i="32"/>
  <c r="I228" i="32"/>
  <c r="H228" i="32"/>
  <c r="Y227" i="32"/>
  <c r="Z227" i="32" s="1" a="1"/>
  <c r="Z227" i="32" s="1"/>
  <c r="S227" i="32" a="1"/>
  <c r="S227" i="32" s="1"/>
  <c r="P227" i="32" a="1"/>
  <c r="P227" i="32" s="1"/>
  <c r="J227" i="32" s="1"/>
  <c r="K227" i="32"/>
  <c r="I227" i="32"/>
  <c r="H227" i="32"/>
  <c r="Y226" i="32"/>
  <c r="Z226" i="32" s="1" a="1"/>
  <c r="Z226" i="32" s="1"/>
  <c r="S226" i="32" a="1"/>
  <c r="S226" i="32" s="1"/>
  <c r="P226" i="32" a="1"/>
  <c r="P226" i="32" s="1"/>
  <c r="J226" i="32" s="1"/>
  <c r="K226" i="32"/>
  <c r="I226" i="32"/>
  <c r="H226" i="32"/>
  <c r="Y225" i="32"/>
  <c r="Z225" i="32" s="1" a="1"/>
  <c r="Z225" i="32" s="1"/>
  <c r="S225" i="32" a="1"/>
  <c r="S225" i="32" s="1"/>
  <c r="P225" i="32" a="1"/>
  <c r="P225" i="32" s="1"/>
  <c r="J225" i="32" s="1"/>
  <c r="K225" i="32"/>
  <c r="I225" i="32"/>
  <c r="H225" i="32"/>
  <c r="Y224" i="32"/>
  <c r="Z224" i="32" s="1" a="1"/>
  <c r="Z224" i="32" s="1"/>
  <c r="S224" i="32" a="1"/>
  <c r="S224" i="32" s="1"/>
  <c r="P224" i="32" a="1"/>
  <c r="P224" i="32" s="1"/>
  <c r="J224" i="32" s="1"/>
  <c r="K224" i="32"/>
  <c r="I224" i="32"/>
  <c r="H224" i="32"/>
  <c r="Y223" i="32"/>
  <c r="Z223" i="32" s="1" a="1"/>
  <c r="Z223" i="32" s="1"/>
  <c r="S223" i="32" a="1"/>
  <c r="S223" i="32" s="1"/>
  <c r="P223" i="32" a="1"/>
  <c r="P223" i="32" s="1"/>
  <c r="J223" i="32" s="1"/>
  <c r="K223" i="32"/>
  <c r="I223" i="32"/>
  <c r="H223" i="32"/>
  <c r="Y222" i="32"/>
  <c r="Z222" i="32" s="1" a="1"/>
  <c r="Z222" i="32" s="1"/>
  <c r="S222" i="32" a="1"/>
  <c r="S222" i="32" s="1"/>
  <c r="P222" i="32" a="1"/>
  <c r="P222" i="32" s="1"/>
  <c r="J222" i="32" s="1"/>
  <c r="K222" i="32"/>
  <c r="I222" i="32"/>
  <c r="H222" i="32"/>
  <c r="Y221" i="32"/>
  <c r="Z221" i="32" s="1" a="1"/>
  <c r="Z221" i="32" s="1"/>
  <c r="S221" i="32" a="1"/>
  <c r="S221" i="32" s="1"/>
  <c r="P221" i="32" a="1"/>
  <c r="P221" i="32" s="1"/>
  <c r="J221" i="32" s="1"/>
  <c r="K221" i="32"/>
  <c r="I221" i="32"/>
  <c r="H221" i="32"/>
  <c r="Y220" i="32"/>
  <c r="Z220" i="32" s="1" a="1"/>
  <c r="Z220" i="32" s="1"/>
  <c r="S220" i="32" a="1"/>
  <c r="S220" i="32" s="1"/>
  <c r="P220" i="32" a="1"/>
  <c r="P220" i="32" s="1"/>
  <c r="J220" i="32" s="1"/>
  <c r="K220" i="32"/>
  <c r="I220" i="32"/>
  <c r="H220" i="32"/>
  <c r="Y219" i="32"/>
  <c r="Z219" i="32" s="1" a="1"/>
  <c r="Z219" i="32" s="1"/>
  <c r="S219" i="32" a="1"/>
  <c r="S219" i="32" s="1"/>
  <c r="P219" i="32" a="1"/>
  <c r="P219" i="32" s="1"/>
  <c r="J219" i="32" s="1"/>
  <c r="K219" i="32"/>
  <c r="I219" i="32"/>
  <c r="H219" i="32"/>
  <c r="Y218" i="32"/>
  <c r="Z218" i="32" s="1" a="1"/>
  <c r="Z218" i="32" s="1"/>
  <c r="S218" i="32" a="1"/>
  <c r="S218" i="32" s="1"/>
  <c r="P218" i="32" a="1"/>
  <c r="P218" i="32" s="1"/>
  <c r="J218" i="32" s="1"/>
  <c r="K218" i="32"/>
  <c r="I218" i="32"/>
  <c r="H218" i="32"/>
  <c r="Y217" i="32"/>
  <c r="Z217" i="32" s="1" a="1"/>
  <c r="Z217" i="32" s="1"/>
  <c r="S217" i="32" a="1"/>
  <c r="S217" i="32" s="1"/>
  <c r="P217" i="32" a="1"/>
  <c r="P217" i="32" s="1"/>
  <c r="J217" i="32" s="1"/>
  <c r="K217" i="32"/>
  <c r="I217" i="32"/>
  <c r="H217" i="32"/>
  <c r="Y216" i="32"/>
  <c r="Z216" i="32" s="1" a="1"/>
  <c r="Z216" i="32" s="1"/>
  <c r="S216" i="32" a="1"/>
  <c r="S216" i="32" s="1"/>
  <c r="P216" i="32" a="1"/>
  <c r="P216" i="32" s="1"/>
  <c r="J216" i="32" s="1"/>
  <c r="K216" i="32"/>
  <c r="I216" i="32"/>
  <c r="H216" i="32"/>
  <c r="Y215" i="32"/>
  <c r="Z215" i="32" s="1" a="1"/>
  <c r="Z215" i="32" s="1"/>
  <c r="S215" i="32" a="1"/>
  <c r="S215" i="32" s="1"/>
  <c r="P215" i="32" a="1"/>
  <c r="P215" i="32" s="1"/>
  <c r="J215" i="32" s="1"/>
  <c r="K215" i="32"/>
  <c r="I215" i="32"/>
  <c r="H215" i="32"/>
  <c r="Y214" i="32"/>
  <c r="Z214" i="32" s="1" a="1"/>
  <c r="Z214" i="32" s="1"/>
  <c r="S214" i="32" a="1"/>
  <c r="S214" i="32" s="1"/>
  <c r="P214" i="32" a="1"/>
  <c r="P214" i="32" s="1"/>
  <c r="J214" i="32" s="1"/>
  <c r="K214" i="32"/>
  <c r="I214" i="32"/>
  <c r="H214" i="32"/>
  <c r="Y213" i="32"/>
  <c r="Z213" i="32" s="1" a="1"/>
  <c r="Z213" i="32" s="1"/>
  <c r="S213" i="32" a="1"/>
  <c r="S213" i="32" s="1"/>
  <c r="P213" i="32" a="1"/>
  <c r="P213" i="32" s="1"/>
  <c r="J213" i="32" s="1"/>
  <c r="K213" i="32"/>
  <c r="I213" i="32"/>
  <c r="H213" i="32"/>
  <c r="Y212" i="32"/>
  <c r="Z212" i="32" s="1" a="1"/>
  <c r="Z212" i="32" s="1"/>
  <c r="S212" i="32" a="1"/>
  <c r="S212" i="32" s="1"/>
  <c r="P212" i="32" a="1"/>
  <c r="P212" i="32" s="1"/>
  <c r="J212" i="32" s="1"/>
  <c r="K212" i="32"/>
  <c r="I212" i="32"/>
  <c r="H212" i="32"/>
  <c r="Y211" i="32"/>
  <c r="Z211" i="32" s="1" a="1"/>
  <c r="Z211" i="32" s="1"/>
  <c r="S211" i="32" a="1"/>
  <c r="S211" i="32" s="1"/>
  <c r="P211" i="32" a="1"/>
  <c r="P211" i="32" s="1"/>
  <c r="J211" i="32" s="1"/>
  <c r="K211" i="32"/>
  <c r="I211" i="32"/>
  <c r="H211" i="32"/>
  <c r="Y210" i="32"/>
  <c r="Z210" i="32" s="1" a="1"/>
  <c r="Z210" i="32" s="1"/>
  <c r="S210" i="32" a="1"/>
  <c r="S210" i="32" s="1"/>
  <c r="P210" i="32" a="1"/>
  <c r="P210" i="32" s="1"/>
  <c r="J210" i="32" s="1"/>
  <c r="K210" i="32"/>
  <c r="I210" i="32"/>
  <c r="H210" i="32"/>
  <c r="Y209" i="32"/>
  <c r="Z209" i="32" s="1" a="1"/>
  <c r="Z209" i="32" s="1"/>
  <c r="S209" i="32" a="1"/>
  <c r="S209" i="32" s="1"/>
  <c r="P209" i="32" a="1"/>
  <c r="P209" i="32" s="1"/>
  <c r="J209" i="32" s="1"/>
  <c r="K209" i="32"/>
  <c r="I209" i="32"/>
  <c r="H209" i="32"/>
  <c r="Y208" i="32"/>
  <c r="Z208" i="32" s="1" a="1"/>
  <c r="Z208" i="32" s="1"/>
  <c r="S208" i="32" a="1"/>
  <c r="S208" i="32" s="1"/>
  <c r="P208" i="32" a="1"/>
  <c r="P208" i="32" s="1"/>
  <c r="J208" i="32" s="1"/>
  <c r="K208" i="32"/>
  <c r="I208" i="32"/>
  <c r="H208" i="32"/>
  <c r="Y207" i="32"/>
  <c r="Z207" i="32" s="1" a="1"/>
  <c r="Z207" i="32" s="1"/>
  <c r="S207" i="32" a="1"/>
  <c r="S207" i="32" s="1"/>
  <c r="P207" i="32" a="1"/>
  <c r="P207" i="32" s="1"/>
  <c r="J207" i="32" s="1"/>
  <c r="K207" i="32"/>
  <c r="I207" i="32"/>
  <c r="H207" i="32"/>
  <c r="Y206" i="32"/>
  <c r="Z206" i="32" s="1" a="1"/>
  <c r="Z206" i="32" s="1"/>
  <c r="S206" i="32" a="1"/>
  <c r="S206" i="32" s="1"/>
  <c r="P206" i="32" a="1"/>
  <c r="P206" i="32" s="1"/>
  <c r="J206" i="32" s="1"/>
  <c r="K206" i="32"/>
  <c r="I206" i="32"/>
  <c r="H206" i="32"/>
  <c r="Y205" i="32"/>
  <c r="Z205" i="32" s="1" a="1"/>
  <c r="Z205" i="32" s="1"/>
  <c r="S205" i="32" a="1"/>
  <c r="S205" i="32" s="1"/>
  <c r="P205" i="32" a="1"/>
  <c r="P205" i="32" s="1"/>
  <c r="J205" i="32" s="1"/>
  <c r="K205" i="32"/>
  <c r="I205" i="32"/>
  <c r="H205" i="32"/>
  <c r="Y204" i="32"/>
  <c r="Z204" i="32" s="1" a="1"/>
  <c r="Z204" i="32" s="1"/>
  <c r="S204" i="32" a="1"/>
  <c r="S204" i="32" s="1"/>
  <c r="P204" i="32" a="1"/>
  <c r="P204" i="32" s="1"/>
  <c r="J204" i="32" s="1"/>
  <c r="K204" i="32"/>
  <c r="I204" i="32"/>
  <c r="H204" i="32"/>
  <c r="Y203" i="32"/>
  <c r="Z203" i="32" s="1" a="1"/>
  <c r="Z203" i="32" s="1"/>
  <c r="S203" i="32" a="1"/>
  <c r="S203" i="32" s="1"/>
  <c r="P203" i="32" a="1"/>
  <c r="P203" i="32" s="1"/>
  <c r="J203" i="32" s="1"/>
  <c r="K203" i="32"/>
  <c r="I203" i="32"/>
  <c r="H203" i="32"/>
  <c r="Y202" i="32"/>
  <c r="Z202" i="32" s="1" a="1"/>
  <c r="Z202" i="32" s="1"/>
  <c r="S202" i="32" a="1"/>
  <c r="S202" i="32" s="1"/>
  <c r="P202" i="32" a="1"/>
  <c r="P202" i="32" s="1"/>
  <c r="J202" i="32" s="1"/>
  <c r="K202" i="32"/>
  <c r="I202" i="32"/>
  <c r="H202" i="32"/>
  <c r="Y201" i="32"/>
  <c r="Z201" i="32" s="1" a="1"/>
  <c r="Z201" i="32" s="1"/>
  <c r="S201" i="32" a="1"/>
  <c r="S201" i="32" s="1"/>
  <c r="P201" i="32" a="1"/>
  <c r="P201" i="32" s="1"/>
  <c r="J201" i="32" s="1"/>
  <c r="K201" i="32"/>
  <c r="I201" i="32"/>
  <c r="H201" i="32"/>
  <c r="Y200" i="32"/>
  <c r="Z200" i="32" s="1" a="1"/>
  <c r="Z200" i="32" s="1"/>
  <c r="S200" i="32" a="1"/>
  <c r="S200" i="32" s="1"/>
  <c r="P200" i="32" a="1"/>
  <c r="P200" i="32" s="1"/>
  <c r="J200" i="32" s="1"/>
  <c r="K200" i="32"/>
  <c r="I200" i="32"/>
  <c r="H200" i="32"/>
  <c r="Y199" i="32"/>
  <c r="Z199" i="32" s="1" a="1"/>
  <c r="Z199" i="32" s="1"/>
  <c r="S199" i="32" a="1"/>
  <c r="S199" i="32" s="1"/>
  <c r="P199" i="32" a="1"/>
  <c r="P199" i="32" s="1"/>
  <c r="J199" i="32" s="1"/>
  <c r="K199" i="32"/>
  <c r="I199" i="32"/>
  <c r="H199" i="32"/>
  <c r="Y198" i="32"/>
  <c r="Z198" i="32" s="1" a="1"/>
  <c r="Z198" i="32" s="1"/>
  <c r="S198" i="32" a="1"/>
  <c r="S198" i="32" s="1"/>
  <c r="P198" i="32" a="1"/>
  <c r="P198" i="32" s="1"/>
  <c r="J198" i="32" s="1"/>
  <c r="K198" i="32"/>
  <c r="I198" i="32"/>
  <c r="H198" i="32"/>
  <c r="Y197" i="32"/>
  <c r="Z197" i="32" s="1" a="1"/>
  <c r="Z197" i="32" s="1"/>
  <c r="S197" i="32" a="1"/>
  <c r="S197" i="32" s="1"/>
  <c r="P197" i="32" a="1"/>
  <c r="P197" i="32" s="1"/>
  <c r="J197" i="32" s="1"/>
  <c r="K197" i="32"/>
  <c r="I197" i="32"/>
  <c r="H197" i="32"/>
  <c r="Y196" i="32"/>
  <c r="Z196" i="32" s="1" a="1"/>
  <c r="Z196" i="32" s="1"/>
  <c r="S196" i="32" a="1"/>
  <c r="S196" i="32" s="1"/>
  <c r="P196" i="32" a="1"/>
  <c r="P196" i="32" s="1"/>
  <c r="J196" i="32" s="1"/>
  <c r="K196" i="32"/>
  <c r="I196" i="32"/>
  <c r="H196" i="32"/>
  <c r="Y195" i="32"/>
  <c r="Z195" i="32" s="1" a="1"/>
  <c r="Z195" i="32" s="1"/>
  <c r="S195" i="32" a="1"/>
  <c r="S195" i="32" s="1"/>
  <c r="P195" i="32" a="1"/>
  <c r="P195" i="32" s="1"/>
  <c r="J195" i="32" s="1"/>
  <c r="K195" i="32"/>
  <c r="I195" i="32"/>
  <c r="H195" i="32"/>
  <c r="Y194" i="32"/>
  <c r="Z194" i="32" s="1" a="1"/>
  <c r="Z194" i="32" s="1"/>
  <c r="S194" i="32" a="1"/>
  <c r="S194" i="32" s="1"/>
  <c r="P194" i="32" a="1"/>
  <c r="P194" i="32" s="1"/>
  <c r="J194" i="32" s="1"/>
  <c r="K194" i="32"/>
  <c r="I194" i="32"/>
  <c r="H194" i="32"/>
  <c r="Y193" i="32"/>
  <c r="Z193" i="32" s="1" a="1"/>
  <c r="Z193" i="32" s="1"/>
  <c r="S193" i="32" a="1"/>
  <c r="S193" i="32" s="1"/>
  <c r="P193" i="32" a="1"/>
  <c r="P193" i="32" s="1"/>
  <c r="J193" i="32" s="1"/>
  <c r="K193" i="32"/>
  <c r="I193" i="32"/>
  <c r="H193" i="32"/>
  <c r="Y192" i="32"/>
  <c r="Z192" i="32" s="1" a="1"/>
  <c r="Z192" i="32" s="1"/>
  <c r="S192" i="32" a="1"/>
  <c r="S192" i="32" s="1"/>
  <c r="P192" i="32" a="1"/>
  <c r="P192" i="32" s="1"/>
  <c r="J192" i="32" s="1"/>
  <c r="K192" i="32"/>
  <c r="I192" i="32"/>
  <c r="H192" i="32"/>
  <c r="Y191" i="32"/>
  <c r="Z191" i="32" s="1" a="1"/>
  <c r="Z191" i="32" s="1"/>
  <c r="S191" i="32" a="1"/>
  <c r="S191" i="32" s="1"/>
  <c r="P191" i="32" a="1"/>
  <c r="P191" i="32" s="1"/>
  <c r="J191" i="32" s="1"/>
  <c r="K191" i="32"/>
  <c r="I191" i="32"/>
  <c r="H191" i="32"/>
  <c r="Y190" i="32"/>
  <c r="Z190" i="32" s="1" a="1"/>
  <c r="Z190" i="32" s="1"/>
  <c r="S190" i="32" a="1"/>
  <c r="S190" i="32" s="1"/>
  <c r="P190" i="32" a="1"/>
  <c r="P190" i="32" s="1"/>
  <c r="J190" i="32" s="1"/>
  <c r="K190" i="32"/>
  <c r="I190" i="32"/>
  <c r="H190" i="32"/>
  <c r="Y189" i="32"/>
  <c r="Z189" i="32" s="1" a="1"/>
  <c r="Z189" i="32" s="1"/>
  <c r="S189" i="32" a="1"/>
  <c r="S189" i="32" s="1"/>
  <c r="P189" i="32" a="1"/>
  <c r="P189" i="32" s="1"/>
  <c r="J189" i="32" s="1"/>
  <c r="K189" i="32"/>
  <c r="I189" i="32"/>
  <c r="H189" i="32"/>
  <c r="Y188" i="32"/>
  <c r="Z188" i="32" s="1" a="1"/>
  <c r="Z188" i="32" s="1"/>
  <c r="S188" i="32" a="1"/>
  <c r="S188" i="32" s="1"/>
  <c r="P188" i="32" a="1"/>
  <c r="P188" i="32" s="1"/>
  <c r="J188" i="32" s="1"/>
  <c r="K188" i="32"/>
  <c r="I188" i="32"/>
  <c r="H188" i="32"/>
  <c r="Y187" i="32"/>
  <c r="Z187" i="32" s="1" a="1"/>
  <c r="Z187" i="32" s="1"/>
  <c r="S187" i="32" a="1"/>
  <c r="S187" i="32" s="1"/>
  <c r="P187" i="32" a="1"/>
  <c r="P187" i="32" s="1"/>
  <c r="J187" i="32" s="1"/>
  <c r="K187" i="32"/>
  <c r="I187" i="32"/>
  <c r="H187" i="32"/>
  <c r="Y186" i="32"/>
  <c r="Z186" i="32" s="1" a="1"/>
  <c r="Z186" i="32" s="1"/>
  <c r="S186" i="32" a="1"/>
  <c r="S186" i="32" s="1"/>
  <c r="P186" i="32" a="1"/>
  <c r="P186" i="32" s="1"/>
  <c r="J186" i="32" s="1"/>
  <c r="K186" i="32"/>
  <c r="I186" i="32"/>
  <c r="H186" i="32"/>
  <c r="Y185" i="32"/>
  <c r="Z185" i="32" s="1" a="1"/>
  <c r="Z185" i="32" s="1"/>
  <c r="S185" i="32" a="1"/>
  <c r="S185" i="32" s="1"/>
  <c r="P185" i="32" a="1"/>
  <c r="P185" i="32" s="1"/>
  <c r="J185" i="32" s="1"/>
  <c r="K185" i="32"/>
  <c r="I185" i="32"/>
  <c r="H185" i="32"/>
  <c r="Y184" i="32"/>
  <c r="Z184" i="32" s="1" a="1"/>
  <c r="Z184" i="32" s="1"/>
  <c r="S184" i="32" a="1"/>
  <c r="S184" i="32" s="1"/>
  <c r="P184" i="32" a="1"/>
  <c r="P184" i="32" s="1"/>
  <c r="J184" i="32" s="1"/>
  <c r="K184" i="32"/>
  <c r="I184" i="32"/>
  <c r="H184" i="32"/>
  <c r="Y183" i="32"/>
  <c r="Z183" i="32" s="1" a="1"/>
  <c r="Z183" i="32" s="1"/>
  <c r="S183" i="32" a="1"/>
  <c r="S183" i="32" s="1"/>
  <c r="P183" i="32" a="1"/>
  <c r="P183" i="32" s="1"/>
  <c r="J183" i="32" s="1"/>
  <c r="K183" i="32"/>
  <c r="I183" i="32"/>
  <c r="H183" i="32"/>
  <c r="Y182" i="32"/>
  <c r="Z182" i="32" s="1" a="1"/>
  <c r="Z182" i="32" s="1"/>
  <c r="S182" i="32" a="1"/>
  <c r="S182" i="32" s="1"/>
  <c r="P182" i="32" a="1"/>
  <c r="P182" i="32" s="1"/>
  <c r="J182" i="32" s="1"/>
  <c r="K182" i="32"/>
  <c r="I182" i="32"/>
  <c r="H182" i="32"/>
  <c r="Y181" i="32"/>
  <c r="Z181" i="32" s="1" a="1"/>
  <c r="Z181" i="32" s="1"/>
  <c r="S181" i="32" a="1"/>
  <c r="S181" i="32" s="1"/>
  <c r="P181" i="32" a="1"/>
  <c r="P181" i="32" s="1"/>
  <c r="J181" i="32" s="1"/>
  <c r="K181" i="32"/>
  <c r="I181" i="32"/>
  <c r="H181" i="32"/>
  <c r="Y180" i="32"/>
  <c r="Z180" i="32" s="1" a="1"/>
  <c r="Z180" i="32" s="1"/>
  <c r="S180" i="32" a="1"/>
  <c r="S180" i="32" s="1"/>
  <c r="P180" i="32" a="1"/>
  <c r="P180" i="32" s="1"/>
  <c r="J180" i="32" s="1"/>
  <c r="K180" i="32"/>
  <c r="I180" i="32"/>
  <c r="H180" i="32"/>
  <c r="Y179" i="32"/>
  <c r="Z179" i="32" s="1" a="1"/>
  <c r="Z179" i="32" s="1"/>
  <c r="S179" i="32" a="1"/>
  <c r="S179" i="32" s="1"/>
  <c r="P179" i="32" a="1"/>
  <c r="P179" i="32" s="1"/>
  <c r="J179" i="32" s="1"/>
  <c r="K179" i="32"/>
  <c r="I179" i="32"/>
  <c r="H179" i="32"/>
  <c r="Y178" i="32"/>
  <c r="Z178" i="32" s="1" a="1"/>
  <c r="Z178" i="32" s="1"/>
  <c r="S178" i="32" a="1"/>
  <c r="S178" i="32" s="1"/>
  <c r="P178" i="32" a="1"/>
  <c r="P178" i="32" s="1"/>
  <c r="J178" i="32" s="1"/>
  <c r="K178" i="32"/>
  <c r="I178" i="32"/>
  <c r="H178" i="32"/>
  <c r="Y177" i="32"/>
  <c r="Z177" i="32" s="1" a="1"/>
  <c r="Z177" i="32" s="1"/>
  <c r="S177" i="32" a="1"/>
  <c r="S177" i="32" s="1"/>
  <c r="P177" i="32" a="1"/>
  <c r="P177" i="32" s="1"/>
  <c r="J177" i="32" s="1"/>
  <c r="K177" i="32"/>
  <c r="I177" i="32"/>
  <c r="H177" i="32"/>
  <c r="Y176" i="32"/>
  <c r="Z176" i="32" s="1" a="1"/>
  <c r="Z176" i="32" s="1"/>
  <c r="S176" i="32" a="1"/>
  <c r="S176" i="32" s="1"/>
  <c r="P176" i="32" a="1"/>
  <c r="P176" i="32" s="1"/>
  <c r="J176" i="32" s="1"/>
  <c r="K176" i="32"/>
  <c r="I176" i="32"/>
  <c r="H176" i="32"/>
  <c r="Y175" i="32"/>
  <c r="Z175" i="32" s="1" a="1"/>
  <c r="Z175" i="32" s="1"/>
  <c r="S175" i="32" a="1"/>
  <c r="S175" i="32" s="1"/>
  <c r="P175" i="32" a="1"/>
  <c r="P175" i="32" s="1"/>
  <c r="J175" i="32" s="1"/>
  <c r="K175" i="32"/>
  <c r="I175" i="32"/>
  <c r="H175" i="32"/>
  <c r="Y174" i="32"/>
  <c r="Z174" i="32" s="1" a="1"/>
  <c r="Z174" i="32" s="1"/>
  <c r="S174" i="32" a="1"/>
  <c r="S174" i="32" s="1"/>
  <c r="P174" i="32" a="1"/>
  <c r="P174" i="32" s="1"/>
  <c r="J174" i="32" s="1"/>
  <c r="K174" i="32"/>
  <c r="I174" i="32"/>
  <c r="H174" i="32"/>
  <c r="Y173" i="32"/>
  <c r="Z173" i="32" s="1" a="1"/>
  <c r="Z173" i="32" s="1"/>
  <c r="S173" i="32" a="1"/>
  <c r="S173" i="32" s="1"/>
  <c r="P173" i="32" a="1"/>
  <c r="P173" i="32" s="1"/>
  <c r="J173" i="32" s="1"/>
  <c r="K173" i="32"/>
  <c r="I173" i="32"/>
  <c r="H173" i="32"/>
  <c r="Y172" i="32"/>
  <c r="Z172" i="32" s="1" a="1"/>
  <c r="Z172" i="32" s="1"/>
  <c r="S172" i="32" a="1"/>
  <c r="S172" i="32" s="1"/>
  <c r="P172" i="32" a="1"/>
  <c r="P172" i="32" s="1"/>
  <c r="J172" i="32" s="1"/>
  <c r="K172" i="32"/>
  <c r="I172" i="32"/>
  <c r="H172" i="32"/>
  <c r="Y171" i="32"/>
  <c r="Z171" i="32" s="1" a="1"/>
  <c r="Z171" i="32" s="1"/>
  <c r="S171" i="32" a="1"/>
  <c r="S171" i="32" s="1"/>
  <c r="P171" i="32" a="1"/>
  <c r="P171" i="32" s="1"/>
  <c r="J171" i="32" s="1"/>
  <c r="K171" i="32"/>
  <c r="I171" i="32"/>
  <c r="H171" i="32"/>
  <c r="Y170" i="32"/>
  <c r="Z170" i="32" s="1" a="1"/>
  <c r="Z170" i="32" s="1"/>
  <c r="S170" i="32" a="1"/>
  <c r="S170" i="32" s="1"/>
  <c r="P170" i="32" a="1"/>
  <c r="P170" i="32" s="1"/>
  <c r="J170" i="32" s="1"/>
  <c r="K170" i="32"/>
  <c r="I170" i="32"/>
  <c r="H170" i="32"/>
  <c r="Y169" i="32"/>
  <c r="Z169" i="32" s="1" a="1"/>
  <c r="Z169" i="32" s="1"/>
  <c r="S169" i="32" a="1"/>
  <c r="S169" i="32" s="1"/>
  <c r="P169" i="32" a="1"/>
  <c r="P169" i="32" s="1"/>
  <c r="J169" i="32" s="1"/>
  <c r="K169" i="32"/>
  <c r="I169" i="32"/>
  <c r="H169" i="32"/>
  <c r="Y168" i="32"/>
  <c r="Z168" i="32" s="1" a="1"/>
  <c r="Z168" i="32" s="1"/>
  <c r="S168" i="32" a="1"/>
  <c r="S168" i="32" s="1"/>
  <c r="P168" i="32" a="1"/>
  <c r="P168" i="32" s="1"/>
  <c r="J168" i="32" s="1"/>
  <c r="K168" i="32"/>
  <c r="I168" i="32"/>
  <c r="H168" i="32"/>
  <c r="Y167" i="32"/>
  <c r="Z167" i="32" s="1" a="1"/>
  <c r="Z167" i="32" s="1"/>
  <c r="S167" i="32" a="1"/>
  <c r="S167" i="32" s="1"/>
  <c r="P167" i="32" a="1"/>
  <c r="P167" i="32" s="1"/>
  <c r="J167" i="32" s="1"/>
  <c r="K167" i="32"/>
  <c r="I167" i="32"/>
  <c r="H167" i="32"/>
  <c r="Y166" i="32"/>
  <c r="Z166" i="32" s="1" a="1"/>
  <c r="Z166" i="32" s="1"/>
  <c r="S166" i="32" a="1"/>
  <c r="S166" i="32" s="1"/>
  <c r="P166" i="32" a="1"/>
  <c r="P166" i="32" s="1"/>
  <c r="J166" i="32" s="1"/>
  <c r="K166" i="32"/>
  <c r="I166" i="32"/>
  <c r="H166" i="32"/>
  <c r="Y165" i="32"/>
  <c r="Z165" i="32" s="1" a="1"/>
  <c r="Z165" i="32" s="1"/>
  <c r="S165" i="32" a="1"/>
  <c r="S165" i="32" s="1"/>
  <c r="P165" i="32" a="1"/>
  <c r="P165" i="32" s="1"/>
  <c r="J165" i="32" s="1"/>
  <c r="K165" i="32"/>
  <c r="I165" i="32"/>
  <c r="H165" i="32"/>
  <c r="Y164" i="32"/>
  <c r="Z164" i="32" s="1" a="1"/>
  <c r="Z164" i="32" s="1"/>
  <c r="S164" i="32" a="1"/>
  <c r="S164" i="32" s="1"/>
  <c r="P164" i="32" a="1"/>
  <c r="P164" i="32" s="1"/>
  <c r="J164" i="32" s="1"/>
  <c r="K164" i="32"/>
  <c r="I164" i="32"/>
  <c r="H164" i="32"/>
  <c r="Y163" i="32"/>
  <c r="Z163" i="32" s="1" a="1"/>
  <c r="Z163" i="32" s="1"/>
  <c r="S163" i="32" a="1"/>
  <c r="S163" i="32" s="1"/>
  <c r="P163" i="32" a="1"/>
  <c r="P163" i="32" s="1"/>
  <c r="J163" i="32" s="1"/>
  <c r="K163" i="32"/>
  <c r="I163" i="32"/>
  <c r="H163" i="32"/>
  <c r="Y162" i="32"/>
  <c r="Z162" i="32" s="1" a="1"/>
  <c r="Z162" i="32" s="1"/>
  <c r="S162" i="32" a="1"/>
  <c r="S162" i="32" s="1"/>
  <c r="P162" i="32" a="1"/>
  <c r="P162" i="32" s="1"/>
  <c r="J162" i="32" s="1"/>
  <c r="K162" i="32"/>
  <c r="I162" i="32"/>
  <c r="H162" i="32"/>
  <c r="Y161" i="32"/>
  <c r="Z161" i="32" s="1" a="1"/>
  <c r="Z161" i="32" s="1"/>
  <c r="S161" i="32" a="1"/>
  <c r="S161" i="32" s="1"/>
  <c r="P161" i="32" a="1"/>
  <c r="P161" i="32" s="1"/>
  <c r="J161" i="32" s="1"/>
  <c r="K161" i="32"/>
  <c r="I161" i="32"/>
  <c r="H161" i="32"/>
  <c r="Y160" i="32"/>
  <c r="Z160" i="32" s="1" a="1"/>
  <c r="Z160" i="32" s="1"/>
  <c r="S160" i="32" a="1"/>
  <c r="S160" i="32" s="1"/>
  <c r="P160" i="32" a="1"/>
  <c r="P160" i="32" s="1"/>
  <c r="J160" i="32" s="1"/>
  <c r="K160" i="32"/>
  <c r="I160" i="32"/>
  <c r="H160" i="32"/>
  <c r="Y159" i="32"/>
  <c r="Z159" i="32" s="1" a="1"/>
  <c r="Z159" i="32" s="1"/>
  <c r="S159" i="32" a="1"/>
  <c r="S159" i="32" s="1"/>
  <c r="P159" i="32" a="1"/>
  <c r="P159" i="32" s="1"/>
  <c r="J159" i="32" s="1"/>
  <c r="K159" i="32"/>
  <c r="I159" i="32"/>
  <c r="H159" i="32"/>
  <c r="Y158" i="32"/>
  <c r="Z158" i="32" s="1" a="1"/>
  <c r="Z158" i="32" s="1"/>
  <c r="S158" i="32" a="1"/>
  <c r="S158" i="32" s="1"/>
  <c r="P158" i="32" a="1"/>
  <c r="P158" i="32" s="1"/>
  <c r="J158" i="32" s="1"/>
  <c r="K158" i="32"/>
  <c r="I158" i="32"/>
  <c r="H158" i="32"/>
  <c r="Y157" i="32"/>
  <c r="Z157" i="32" s="1" a="1"/>
  <c r="Z157" i="32" s="1"/>
  <c r="S157" i="32" a="1"/>
  <c r="S157" i="32" s="1"/>
  <c r="P157" i="32" a="1"/>
  <c r="P157" i="32" s="1"/>
  <c r="J157" i="32" s="1"/>
  <c r="K157" i="32"/>
  <c r="I157" i="32"/>
  <c r="H157" i="32"/>
  <c r="Y156" i="32"/>
  <c r="Z156" i="32" s="1" a="1"/>
  <c r="Z156" i="32" s="1"/>
  <c r="S156" i="32" a="1"/>
  <c r="S156" i="32" s="1"/>
  <c r="P156" i="32" a="1"/>
  <c r="P156" i="32" s="1"/>
  <c r="J156" i="32" s="1"/>
  <c r="K156" i="32"/>
  <c r="I156" i="32"/>
  <c r="H156" i="32"/>
  <c r="Y155" i="32"/>
  <c r="Z155" i="32" s="1" a="1"/>
  <c r="Z155" i="32" s="1"/>
  <c r="S155" i="32" a="1"/>
  <c r="S155" i="32" s="1"/>
  <c r="P155" i="32" a="1"/>
  <c r="P155" i="32" s="1"/>
  <c r="J155" i="32" s="1"/>
  <c r="K155" i="32"/>
  <c r="I155" i="32"/>
  <c r="H155" i="32"/>
  <c r="Y154" i="32"/>
  <c r="Z154" i="32" s="1" a="1"/>
  <c r="Z154" i="32" s="1"/>
  <c r="S154" i="32" a="1"/>
  <c r="S154" i="32" s="1"/>
  <c r="P154" i="32" a="1"/>
  <c r="P154" i="32" s="1"/>
  <c r="J154" i="32" s="1"/>
  <c r="K154" i="32"/>
  <c r="I154" i="32"/>
  <c r="H154" i="32"/>
  <c r="Y153" i="32"/>
  <c r="Z153" i="32" s="1" a="1"/>
  <c r="Z153" i="32" s="1"/>
  <c r="S153" i="32" a="1"/>
  <c r="S153" i="32" s="1"/>
  <c r="P153" i="32" a="1"/>
  <c r="P153" i="32" s="1"/>
  <c r="J153" i="32" s="1"/>
  <c r="K153" i="32"/>
  <c r="I153" i="32"/>
  <c r="H153" i="32"/>
  <c r="Y152" i="32"/>
  <c r="Z152" i="32" s="1" a="1"/>
  <c r="Z152" i="32" s="1"/>
  <c r="S152" i="32" a="1"/>
  <c r="S152" i="32" s="1"/>
  <c r="P152" i="32" a="1"/>
  <c r="P152" i="32" s="1"/>
  <c r="J152" i="32" s="1"/>
  <c r="K152" i="32"/>
  <c r="I152" i="32"/>
  <c r="H152" i="32"/>
  <c r="Y151" i="32"/>
  <c r="Z151" i="32" s="1" a="1"/>
  <c r="Z151" i="32" s="1"/>
  <c r="S151" i="32" a="1"/>
  <c r="S151" i="32" s="1"/>
  <c r="P151" i="32" a="1"/>
  <c r="P151" i="32" s="1"/>
  <c r="J151" i="32" s="1"/>
  <c r="K151" i="32"/>
  <c r="I151" i="32"/>
  <c r="H151" i="32"/>
  <c r="Y150" i="32"/>
  <c r="Z150" i="32" s="1" a="1"/>
  <c r="Z150" i="32" s="1"/>
  <c r="S150" i="32" a="1"/>
  <c r="S150" i="32" s="1"/>
  <c r="P150" i="32" a="1"/>
  <c r="P150" i="32" s="1"/>
  <c r="J150" i="32" s="1"/>
  <c r="K150" i="32"/>
  <c r="I150" i="32"/>
  <c r="H150" i="32"/>
  <c r="Y149" i="32"/>
  <c r="Z149" i="32" s="1" a="1"/>
  <c r="Z149" i="32" s="1"/>
  <c r="S149" i="32" a="1"/>
  <c r="S149" i="32" s="1"/>
  <c r="P149" i="32" a="1"/>
  <c r="P149" i="32" s="1"/>
  <c r="J149" i="32" s="1"/>
  <c r="K149" i="32"/>
  <c r="I149" i="32"/>
  <c r="H149" i="32"/>
  <c r="Y148" i="32"/>
  <c r="Z148" i="32" s="1" a="1"/>
  <c r="Z148" i="32" s="1"/>
  <c r="S148" i="32" a="1"/>
  <c r="S148" i="32" s="1"/>
  <c r="P148" i="32" a="1"/>
  <c r="P148" i="32" s="1"/>
  <c r="J148" i="32" s="1"/>
  <c r="K148" i="32"/>
  <c r="I148" i="32"/>
  <c r="H148" i="32"/>
  <c r="Y147" i="32"/>
  <c r="Z147" i="32" s="1" a="1"/>
  <c r="Z147" i="32" s="1"/>
  <c r="S147" i="32" a="1"/>
  <c r="S147" i="32" s="1"/>
  <c r="P147" i="32" a="1"/>
  <c r="P147" i="32" s="1"/>
  <c r="J147" i="32" s="1"/>
  <c r="K147" i="32"/>
  <c r="I147" i="32"/>
  <c r="H147" i="32"/>
  <c r="Y146" i="32"/>
  <c r="Z146" i="32" s="1" a="1"/>
  <c r="Z146" i="32" s="1"/>
  <c r="S146" i="32" a="1"/>
  <c r="S146" i="32" s="1"/>
  <c r="P146" i="32" a="1"/>
  <c r="P146" i="32" s="1"/>
  <c r="J146" i="32" s="1"/>
  <c r="K146" i="32"/>
  <c r="I146" i="32"/>
  <c r="H146" i="32"/>
  <c r="Y145" i="32"/>
  <c r="Z145" i="32" s="1" a="1"/>
  <c r="Z145" i="32" s="1"/>
  <c r="S145" i="32" a="1"/>
  <c r="S145" i="32" s="1"/>
  <c r="P145" i="32" a="1"/>
  <c r="P145" i="32" s="1"/>
  <c r="J145" i="32" s="1"/>
  <c r="K145" i="32"/>
  <c r="I145" i="32"/>
  <c r="H145" i="32"/>
  <c r="Y144" i="32"/>
  <c r="Z144" i="32" s="1" a="1"/>
  <c r="Z144" i="32" s="1"/>
  <c r="S144" i="32" a="1"/>
  <c r="S144" i="32" s="1"/>
  <c r="P144" i="32" a="1"/>
  <c r="P144" i="32" s="1"/>
  <c r="J144" i="32" s="1"/>
  <c r="K144" i="32"/>
  <c r="I144" i="32"/>
  <c r="H144" i="32"/>
  <c r="Y143" i="32"/>
  <c r="Z143" i="32" s="1" a="1"/>
  <c r="Z143" i="32" s="1"/>
  <c r="S143" i="32" a="1"/>
  <c r="S143" i="32" s="1"/>
  <c r="P143" i="32" a="1"/>
  <c r="P143" i="32" s="1"/>
  <c r="J143" i="32" s="1"/>
  <c r="K143" i="32"/>
  <c r="I143" i="32"/>
  <c r="H143" i="32"/>
  <c r="Y142" i="32"/>
  <c r="Z142" i="32" s="1" a="1"/>
  <c r="Z142" i="32" s="1"/>
  <c r="S142" i="32" a="1"/>
  <c r="S142" i="32" s="1"/>
  <c r="P142" i="32" a="1"/>
  <c r="P142" i="32" s="1"/>
  <c r="J142" i="32" s="1"/>
  <c r="K142" i="32"/>
  <c r="I142" i="32"/>
  <c r="H142" i="32"/>
  <c r="Y141" i="32"/>
  <c r="Z141" i="32" s="1" a="1"/>
  <c r="Z141" i="32" s="1"/>
  <c r="S141" i="32" a="1"/>
  <c r="S141" i="32" s="1"/>
  <c r="P141" i="32" a="1"/>
  <c r="P141" i="32" s="1"/>
  <c r="J141" i="32" s="1"/>
  <c r="K141" i="32"/>
  <c r="I141" i="32"/>
  <c r="H141" i="32"/>
  <c r="Y140" i="32"/>
  <c r="Z140" i="32" s="1" a="1"/>
  <c r="Z140" i="32" s="1"/>
  <c r="S140" i="32" a="1"/>
  <c r="S140" i="32" s="1"/>
  <c r="P140" i="32" a="1"/>
  <c r="P140" i="32" s="1"/>
  <c r="J140" i="32" s="1"/>
  <c r="K140" i="32"/>
  <c r="I140" i="32"/>
  <c r="H140" i="32"/>
  <c r="Y139" i="32"/>
  <c r="Z139" i="32" s="1" a="1"/>
  <c r="Z139" i="32" s="1"/>
  <c r="S139" i="32" a="1"/>
  <c r="S139" i="32" s="1"/>
  <c r="P139" i="32" a="1"/>
  <c r="P139" i="32" s="1"/>
  <c r="J139" i="32" s="1"/>
  <c r="K139" i="32"/>
  <c r="I139" i="32"/>
  <c r="H139" i="32"/>
  <c r="Y138" i="32"/>
  <c r="Z138" i="32" s="1" a="1"/>
  <c r="Z138" i="32" s="1"/>
  <c r="S138" i="32" a="1"/>
  <c r="S138" i="32" s="1"/>
  <c r="P138" i="32" a="1"/>
  <c r="P138" i="32" s="1"/>
  <c r="J138" i="32" s="1"/>
  <c r="K138" i="32"/>
  <c r="I138" i="32"/>
  <c r="H138" i="32"/>
  <c r="Y137" i="32"/>
  <c r="Z137" i="32" s="1" a="1"/>
  <c r="Z137" i="32" s="1"/>
  <c r="S137" i="32" a="1"/>
  <c r="S137" i="32" s="1"/>
  <c r="P137" i="32" a="1"/>
  <c r="P137" i="32" s="1"/>
  <c r="J137" i="32" s="1"/>
  <c r="K137" i="32"/>
  <c r="I137" i="32"/>
  <c r="H137" i="32"/>
  <c r="Y136" i="32"/>
  <c r="Z136" i="32" s="1" a="1"/>
  <c r="Z136" i="32" s="1"/>
  <c r="S136" i="32" a="1"/>
  <c r="S136" i="32" s="1"/>
  <c r="P136" i="32" a="1"/>
  <c r="P136" i="32" s="1"/>
  <c r="J136" i="32" s="1"/>
  <c r="K136" i="32"/>
  <c r="I136" i="32"/>
  <c r="H136" i="32"/>
  <c r="Y135" i="32"/>
  <c r="Z135" i="32" s="1" a="1"/>
  <c r="Z135" i="32" s="1"/>
  <c r="S135" i="32" a="1"/>
  <c r="S135" i="32" s="1"/>
  <c r="P135" i="32" a="1"/>
  <c r="P135" i="32" s="1"/>
  <c r="J135" i="32" s="1"/>
  <c r="K135" i="32"/>
  <c r="I135" i="32"/>
  <c r="H135" i="32"/>
  <c r="Y134" i="32"/>
  <c r="Z134" i="32" s="1" a="1"/>
  <c r="Z134" i="32" s="1"/>
  <c r="S134" i="32" a="1"/>
  <c r="S134" i="32" s="1"/>
  <c r="P134" i="32" a="1"/>
  <c r="P134" i="32" s="1"/>
  <c r="J134" i="32" s="1"/>
  <c r="K134" i="32"/>
  <c r="I134" i="32"/>
  <c r="H134" i="32"/>
  <c r="Y133" i="32"/>
  <c r="Z133" i="32" s="1" a="1"/>
  <c r="Z133" i="32" s="1"/>
  <c r="S133" i="32" a="1"/>
  <c r="S133" i="32" s="1"/>
  <c r="P133" i="32" a="1"/>
  <c r="P133" i="32" s="1"/>
  <c r="J133" i="32" s="1"/>
  <c r="K133" i="32"/>
  <c r="I133" i="32"/>
  <c r="H133" i="32"/>
  <c r="Y132" i="32"/>
  <c r="Z132" i="32" s="1" a="1"/>
  <c r="Z132" i="32" s="1"/>
  <c r="S132" i="32" a="1"/>
  <c r="S132" i="32" s="1"/>
  <c r="P132" i="32" a="1"/>
  <c r="P132" i="32" s="1"/>
  <c r="J132" i="32" s="1"/>
  <c r="K132" i="32"/>
  <c r="I132" i="32"/>
  <c r="H132" i="32"/>
  <c r="Y131" i="32"/>
  <c r="Z131" i="32" s="1" a="1"/>
  <c r="Z131" i="32" s="1"/>
  <c r="S131" i="32" a="1"/>
  <c r="S131" i="32" s="1"/>
  <c r="P131" i="32" a="1"/>
  <c r="P131" i="32" s="1"/>
  <c r="J131" i="32" s="1"/>
  <c r="K131" i="32"/>
  <c r="I131" i="32"/>
  <c r="H131" i="32"/>
  <c r="Y130" i="32"/>
  <c r="Z130" i="32" s="1" a="1"/>
  <c r="Z130" i="32" s="1"/>
  <c r="S130" i="32" a="1"/>
  <c r="S130" i="32" s="1"/>
  <c r="P130" i="32" a="1"/>
  <c r="P130" i="32" s="1"/>
  <c r="J130" i="32" s="1"/>
  <c r="K130" i="32"/>
  <c r="I130" i="32"/>
  <c r="H130" i="32"/>
  <c r="Y129" i="32"/>
  <c r="Z129" i="32" s="1" a="1"/>
  <c r="Z129" i="32" s="1"/>
  <c r="S129" i="32" a="1"/>
  <c r="S129" i="32" s="1"/>
  <c r="P129" i="32" a="1"/>
  <c r="P129" i="32" s="1"/>
  <c r="J129" i="32" s="1"/>
  <c r="K129" i="32"/>
  <c r="I129" i="32"/>
  <c r="H129" i="32"/>
  <c r="Y128" i="32"/>
  <c r="Z128" i="32" s="1" a="1"/>
  <c r="Z128" i="32" s="1"/>
  <c r="S128" i="32" a="1"/>
  <c r="S128" i="32" s="1"/>
  <c r="P128" i="32" a="1"/>
  <c r="P128" i="32" s="1"/>
  <c r="J128" i="32" s="1"/>
  <c r="K128" i="32"/>
  <c r="I128" i="32"/>
  <c r="H128" i="32"/>
  <c r="Y127" i="32"/>
  <c r="Z127" i="32" s="1" a="1"/>
  <c r="Z127" i="32" s="1"/>
  <c r="S127" i="32" a="1"/>
  <c r="S127" i="32" s="1"/>
  <c r="P127" i="32" a="1"/>
  <c r="P127" i="32" s="1"/>
  <c r="J127" i="32" s="1"/>
  <c r="K127" i="32"/>
  <c r="I127" i="32"/>
  <c r="H127" i="32"/>
  <c r="Y126" i="32"/>
  <c r="Z126" i="32" s="1" a="1"/>
  <c r="Z126" i="32" s="1"/>
  <c r="S126" i="32" a="1"/>
  <c r="S126" i="32" s="1"/>
  <c r="P126" i="32" a="1"/>
  <c r="P126" i="32" s="1"/>
  <c r="J126" i="32" s="1"/>
  <c r="K126" i="32"/>
  <c r="I126" i="32"/>
  <c r="H126" i="32"/>
  <c r="Y125" i="32"/>
  <c r="Z125" i="32" s="1" a="1"/>
  <c r="Z125" i="32" s="1"/>
  <c r="S125" i="32" a="1"/>
  <c r="S125" i="32" s="1"/>
  <c r="P125" i="32" a="1"/>
  <c r="P125" i="32" s="1"/>
  <c r="J125" i="32" s="1"/>
  <c r="K125" i="32"/>
  <c r="I125" i="32"/>
  <c r="H125" i="32"/>
  <c r="Y124" i="32"/>
  <c r="Z124" i="32" s="1" a="1"/>
  <c r="Z124" i="32" s="1"/>
  <c r="S124" i="32" a="1"/>
  <c r="S124" i="32" s="1"/>
  <c r="P124" i="32" a="1"/>
  <c r="P124" i="32" s="1"/>
  <c r="J124" i="32" s="1"/>
  <c r="K124" i="32"/>
  <c r="I124" i="32"/>
  <c r="H124" i="32"/>
  <c r="Y123" i="32"/>
  <c r="Z123" i="32" s="1" a="1"/>
  <c r="Z123" i="32" s="1"/>
  <c r="S123" i="32" a="1"/>
  <c r="S123" i="32" s="1"/>
  <c r="P123" i="32" a="1"/>
  <c r="P123" i="32" s="1"/>
  <c r="J123" i="32" s="1"/>
  <c r="K123" i="32"/>
  <c r="I123" i="32"/>
  <c r="H123" i="32"/>
  <c r="Y122" i="32"/>
  <c r="Z122" i="32" s="1" a="1"/>
  <c r="Z122" i="32" s="1"/>
  <c r="S122" i="32" a="1"/>
  <c r="S122" i="32" s="1"/>
  <c r="P122" i="32" a="1"/>
  <c r="P122" i="32" s="1"/>
  <c r="J122" i="32" s="1"/>
  <c r="K122" i="32"/>
  <c r="I122" i="32"/>
  <c r="H122" i="32"/>
  <c r="Y121" i="32"/>
  <c r="Z121" i="32" s="1" a="1"/>
  <c r="Z121" i="32" s="1"/>
  <c r="S121" i="32" a="1"/>
  <c r="S121" i="32" s="1"/>
  <c r="P121" i="32" a="1"/>
  <c r="P121" i="32" s="1"/>
  <c r="J121" i="32" s="1"/>
  <c r="K121" i="32"/>
  <c r="I121" i="32"/>
  <c r="H121" i="32"/>
  <c r="Y120" i="32"/>
  <c r="Z120" i="32" s="1" a="1"/>
  <c r="Z120" i="32" s="1"/>
  <c r="S120" i="32" a="1"/>
  <c r="S120" i="32" s="1"/>
  <c r="P120" i="32" a="1"/>
  <c r="P120" i="32" s="1"/>
  <c r="J120" i="32" s="1"/>
  <c r="K120" i="32"/>
  <c r="I120" i="32"/>
  <c r="H120" i="32"/>
  <c r="Y119" i="32"/>
  <c r="Z119" i="32" s="1" a="1"/>
  <c r="Z119" i="32" s="1"/>
  <c r="S119" i="32" a="1"/>
  <c r="S119" i="32" s="1"/>
  <c r="P119" i="32" a="1"/>
  <c r="P119" i="32" s="1"/>
  <c r="J119" i="32" s="1"/>
  <c r="K119" i="32"/>
  <c r="I119" i="32"/>
  <c r="H119" i="32"/>
  <c r="Y118" i="32"/>
  <c r="Z118" i="32" s="1" a="1"/>
  <c r="Z118" i="32" s="1"/>
  <c r="S118" i="32" a="1"/>
  <c r="S118" i="32" s="1"/>
  <c r="P118" i="32" a="1"/>
  <c r="P118" i="32" s="1"/>
  <c r="J118" i="32" s="1"/>
  <c r="K118" i="32"/>
  <c r="I118" i="32"/>
  <c r="H118" i="32"/>
  <c r="Y117" i="32"/>
  <c r="Z117" i="32" s="1" a="1"/>
  <c r="Z117" i="32" s="1"/>
  <c r="S117" i="32" a="1"/>
  <c r="S117" i="32" s="1"/>
  <c r="P117" i="32" a="1"/>
  <c r="P117" i="32" s="1"/>
  <c r="J117" i="32" s="1"/>
  <c r="K117" i="32"/>
  <c r="I117" i="32"/>
  <c r="H117" i="32"/>
  <c r="Y116" i="32"/>
  <c r="Z116" i="32" s="1" a="1"/>
  <c r="Z116" i="32" s="1"/>
  <c r="S116" i="32" a="1"/>
  <c r="S116" i="32" s="1"/>
  <c r="P116" i="32" a="1"/>
  <c r="P116" i="32" s="1"/>
  <c r="J116" i="32" s="1"/>
  <c r="K116" i="32"/>
  <c r="I116" i="32"/>
  <c r="H116" i="32"/>
  <c r="Y115" i="32"/>
  <c r="Z115" i="32" s="1" a="1"/>
  <c r="Z115" i="32" s="1"/>
  <c r="S115" i="32" a="1"/>
  <c r="S115" i="32" s="1"/>
  <c r="P115" i="32" a="1"/>
  <c r="P115" i="32" s="1"/>
  <c r="J115" i="32" s="1"/>
  <c r="K115" i="32"/>
  <c r="I115" i="32"/>
  <c r="H115" i="32"/>
  <c r="Y114" i="32"/>
  <c r="Z114" i="32" s="1" a="1"/>
  <c r="Z114" i="32" s="1"/>
  <c r="S114" i="32" a="1"/>
  <c r="S114" i="32" s="1"/>
  <c r="P114" i="32" a="1"/>
  <c r="P114" i="32" s="1"/>
  <c r="J114" i="32" s="1"/>
  <c r="K114" i="32"/>
  <c r="I114" i="32"/>
  <c r="H114" i="32"/>
  <c r="Y113" i="32"/>
  <c r="Z113" i="32" s="1" a="1"/>
  <c r="Z113" i="32" s="1"/>
  <c r="S113" i="32" a="1"/>
  <c r="S113" i="32" s="1"/>
  <c r="P113" i="32" a="1"/>
  <c r="P113" i="32" s="1"/>
  <c r="J113" i="32" s="1"/>
  <c r="K113" i="32"/>
  <c r="I113" i="32"/>
  <c r="H113" i="32"/>
  <c r="Y112" i="32"/>
  <c r="Z112" i="32" s="1" a="1"/>
  <c r="Z112" i="32" s="1"/>
  <c r="S112" i="32" a="1"/>
  <c r="S112" i="32" s="1"/>
  <c r="P112" i="32" a="1"/>
  <c r="P112" i="32" s="1"/>
  <c r="J112" i="32" s="1"/>
  <c r="K112" i="32"/>
  <c r="I112" i="32"/>
  <c r="H112" i="32"/>
  <c r="Y111" i="32"/>
  <c r="Z111" i="32" s="1" a="1"/>
  <c r="Z111" i="32" s="1"/>
  <c r="S111" i="32" a="1"/>
  <c r="S111" i="32" s="1"/>
  <c r="P111" i="32" a="1"/>
  <c r="P111" i="32" s="1"/>
  <c r="J111" i="32" s="1"/>
  <c r="K111" i="32"/>
  <c r="I111" i="32"/>
  <c r="H111" i="32"/>
  <c r="Y110" i="32"/>
  <c r="Z110" i="32" s="1" a="1"/>
  <c r="Z110" i="32" s="1"/>
  <c r="S110" i="32" a="1"/>
  <c r="S110" i="32" s="1"/>
  <c r="P110" i="32" a="1"/>
  <c r="P110" i="32" s="1"/>
  <c r="J110" i="32" s="1"/>
  <c r="K110" i="32"/>
  <c r="I110" i="32"/>
  <c r="H110" i="32"/>
  <c r="Y109" i="32"/>
  <c r="Z109" i="32" s="1" a="1"/>
  <c r="Z109" i="32" s="1"/>
  <c r="S109" i="32" a="1"/>
  <c r="S109" i="32" s="1"/>
  <c r="P109" i="32" a="1"/>
  <c r="P109" i="32" s="1"/>
  <c r="J109" i="32" s="1"/>
  <c r="K109" i="32"/>
  <c r="I109" i="32"/>
  <c r="H109" i="32"/>
  <c r="Y108" i="32"/>
  <c r="Z108" i="32" s="1" a="1"/>
  <c r="Z108" i="32" s="1"/>
  <c r="S108" i="32" a="1"/>
  <c r="S108" i="32" s="1"/>
  <c r="P108" i="32" a="1"/>
  <c r="P108" i="32" s="1"/>
  <c r="J108" i="32" s="1"/>
  <c r="K108" i="32"/>
  <c r="I108" i="32"/>
  <c r="H108" i="32"/>
  <c r="Y107" i="32"/>
  <c r="Z107" i="32" s="1" a="1"/>
  <c r="Z107" i="32" s="1"/>
  <c r="S107" i="32" a="1"/>
  <c r="S107" i="32" s="1"/>
  <c r="P107" i="32" a="1"/>
  <c r="P107" i="32" s="1"/>
  <c r="J107" i="32" s="1"/>
  <c r="K107" i="32"/>
  <c r="I107" i="32"/>
  <c r="H107" i="32"/>
  <c r="Y106" i="32"/>
  <c r="Z106" i="32" s="1" a="1"/>
  <c r="Z106" i="32" s="1"/>
  <c r="S106" i="32" a="1"/>
  <c r="S106" i="32" s="1"/>
  <c r="P106" i="32" a="1"/>
  <c r="P106" i="32" s="1"/>
  <c r="J106" i="32" s="1"/>
  <c r="K106" i="32"/>
  <c r="I106" i="32"/>
  <c r="H106" i="32"/>
  <c r="Y105" i="32"/>
  <c r="Z105" i="32" s="1" a="1"/>
  <c r="Z105" i="32" s="1"/>
  <c r="S105" i="32" a="1"/>
  <c r="S105" i="32" s="1"/>
  <c r="P105" i="32" a="1"/>
  <c r="P105" i="32" s="1"/>
  <c r="J105" i="32" s="1"/>
  <c r="K105" i="32"/>
  <c r="I105" i="32"/>
  <c r="H105" i="32"/>
  <c r="Y104" i="32"/>
  <c r="Z104" i="32" s="1" a="1"/>
  <c r="Z104" i="32" s="1"/>
  <c r="S104" i="32" a="1"/>
  <c r="S104" i="32" s="1"/>
  <c r="P104" i="32" a="1"/>
  <c r="P104" i="32" s="1"/>
  <c r="J104" i="32" s="1"/>
  <c r="K104" i="32"/>
  <c r="I104" i="32"/>
  <c r="H104" i="32"/>
  <c r="Y103" i="32"/>
  <c r="Z103" i="32" s="1" a="1"/>
  <c r="Z103" i="32" s="1"/>
  <c r="S103" i="32" a="1"/>
  <c r="S103" i="32" s="1"/>
  <c r="P103" i="32" a="1"/>
  <c r="P103" i="32" s="1"/>
  <c r="J103" i="32" s="1"/>
  <c r="K103" i="32"/>
  <c r="I103" i="32"/>
  <c r="H103" i="32"/>
  <c r="Y102" i="32"/>
  <c r="Z102" i="32" s="1" a="1"/>
  <c r="Z102" i="32" s="1"/>
  <c r="S102" i="32" a="1"/>
  <c r="S102" i="32" s="1"/>
  <c r="P102" i="32" a="1"/>
  <c r="P102" i="32" s="1"/>
  <c r="J102" i="32" s="1"/>
  <c r="K102" i="32"/>
  <c r="I102" i="32"/>
  <c r="H102" i="32"/>
  <c r="Y101" i="32"/>
  <c r="Z101" i="32" s="1" a="1"/>
  <c r="Z101" i="32" s="1"/>
  <c r="S101" i="32" a="1"/>
  <c r="S101" i="32" s="1"/>
  <c r="P101" i="32" a="1"/>
  <c r="P101" i="32" s="1"/>
  <c r="J101" i="32" s="1"/>
  <c r="K101" i="32"/>
  <c r="I101" i="32"/>
  <c r="H101" i="32"/>
  <c r="Y100" i="32"/>
  <c r="Z100" i="32" s="1" a="1"/>
  <c r="Z100" i="32" s="1"/>
  <c r="S100" i="32" a="1"/>
  <c r="S100" i="32" s="1"/>
  <c r="P100" i="32" a="1"/>
  <c r="P100" i="32" s="1"/>
  <c r="J100" i="32" s="1"/>
  <c r="K100" i="32"/>
  <c r="I100" i="32"/>
  <c r="H100" i="32"/>
  <c r="Y99" i="32"/>
  <c r="Z99" i="32" s="1" a="1"/>
  <c r="Z99" i="32" s="1"/>
  <c r="S99" i="32" a="1"/>
  <c r="S99" i="32" s="1"/>
  <c r="P99" i="32" a="1"/>
  <c r="P99" i="32" s="1"/>
  <c r="J99" i="32" s="1"/>
  <c r="K99" i="32"/>
  <c r="I99" i="32"/>
  <c r="H99" i="32"/>
  <c r="Y98" i="32"/>
  <c r="Z98" i="32" s="1" a="1"/>
  <c r="Z98" i="32" s="1"/>
  <c r="S98" i="32" a="1"/>
  <c r="S98" i="32" s="1"/>
  <c r="P98" i="32" a="1"/>
  <c r="P98" i="32" s="1"/>
  <c r="J98" i="32" s="1"/>
  <c r="K98" i="32"/>
  <c r="I98" i="32"/>
  <c r="H98" i="32"/>
  <c r="Y97" i="32"/>
  <c r="Z97" i="32" s="1" a="1"/>
  <c r="Z97" i="32" s="1"/>
  <c r="S97" i="32" a="1"/>
  <c r="S97" i="32" s="1"/>
  <c r="P97" i="32" a="1"/>
  <c r="P97" i="32" s="1"/>
  <c r="J97" i="32" s="1"/>
  <c r="K97" i="32"/>
  <c r="I97" i="32"/>
  <c r="H97" i="32"/>
  <c r="Y96" i="32"/>
  <c r="Z96" i="32" s="1" a="1"/>
  <c r="Z96" i="32" s="1"/>
  <c r="S96" i="32" a="1"/>
  <c r="S96" i="32" s="1"/>
  <c r="P96" i="32" a="1"/>
  <c r="P96" i="32" s="1"/>
  <c r="J96" i="32" s="1"/>
  <c r="K96" i="32"/>
  <c r="I96" i="32"/>
  <c r="H96" i="32"/>
  <c r="Y95" i="32"/>
  <c r="Z95" i="32" s="1" a="1"/>
  <c r="Z95" i="32" s="1"/>
  <c r="S95" i="32" a="1"/>
  <c r="S95" i="32" s="1"/>
  <c r="P95" i="32" a="1"/>
  <c r="P95" i="32" s="1"/>
  <c r="J95" i="32" s="1"/>
  <c r="K95" i="32"/>
  <c r="I95" i="32"/>
  <c r="H95" i="32"/>
  <c r="Y94" i="32"/>
  <c r="Z94" i="32" s="1" a="1"/>
  <c r="Z94" i="32" s="1"/>
  <c r="S94" i="32" a="1"/>
  <c r="S94" i="32" s="1"/>
  <c r="P94" i="32" a="1"/>
  <c r="P94" i="32" s="1"/>
  <c r="J94" i="32" s="1"/>
  <c r="K94" i="32"/>
  <c r="I94" i="32"/>
  <c r="H94" i="32"/>
  <c r="Y93" i="32"/>
  <c r="Z93" i="32" s="1" a="1"/>
  <c r="Z93" i="32" s="1"/>
  <c r="S93" i="32" a="1"/>
  <c r="S93" i="32" s="1"/>
  <c r="P93" i="32" a="1"/>
  <c r="P93" i="32" s="1"/>
  <c r="J93" i="32" s="1"/>
  <c r="K93" i="32"/>
  <c r="I93" i="32"/>
  <c r="H93" i="32"/>
  <c r="Y92" i="32"/>
  <c r="Z92" i="32" s="1" a="1"/>
  <c r="Z92" i="32" s="1"/>
  <c r="S92" i="32" a="1"/>
  <c r="S92" i="32" s="1"/>
  <c r="P92" i="32" a="1"/>
  <c r="P92" i="32" s="1"/>
  <c r="J92" i="32" s="1"/>
  <c r="K92" i="32"/>
  <c r="I92" i="32"/>
  <c r="H92" i="32"/>
  <c r="Y91" i="32"/>
  <c r="Z91" i="32" s="1" a="1"/>
  <c r="Z91" i="32" s="1"/>
  <c r="S91" i="32" a="1"/>
  <c r="S91" i="32" s="1"/>
  <c r="P91" i="32" a="1"/>
  <c r="P91" i="32" s="1"/>
  <c r="J91" i="32" s="1"/>
  <c r="K91" i="32"/>
  <c r="I91" i="32"/>
  <c r="H91" i="32"/>
  <c r="Y90" i="32"/>
  <c r="Z90" i="32" s="1" a="1"/>
  <c r="Z90" i="32" s="1"/>
  <c r="S90" i="32" a="1"/>
  <c r="S90" i="32" s="1"/>
  <c r="P90" i="32" a="1"/>
  <c r="P90" i="32" s="1"/>
  <c r="J90" i="32" s="1"/>
  <c r="K90" i="32"/>
  <c r="I90" i="32"/>
  <c r="H90" i="32"/>
  <c r="Y89" i="32"/>
  <c r="Z89" i="32" s="1" a="1"/>
  <c r="Z89" i="32" s="1"/>
  <c r="S89" i="32" a="1"/>
  <c r="S89" i="32" s="1"/>
  <c r="P89" i="32" a="1"/>
  <c r="P89" i="32" s="1"/>
  <c r="J89" i="32" s="1"/>
  <c r="K89" i="32"/>
  <c r="I89" i="32"/>
  <c r="H89" i="32"/>
  <c r="Y88" i="32"/>
  <c r="Z88" i="32" s="1" a="1"/>
  <c r="Z88" i="32" s="1"/>
  <c r="S88" i="32" a="1"/>
  <c r="S88" i="32" s="1"/>
  <c r="P88" i="32" a="1"/>
  <c r="P88" i="32" s="1"/>
  <c r="J88" i="32" s="1"/>
  <c r="K88" i="32"/>
  <c r="I88" i="32"/>
  <c r="H88" i="32"/>
  <c r="Y87" i="32"/>
  <c r="Z87" i="32" s="1" a="1"/>
  <c r="Z87" i="32" s="1"/>
  <c r="S87" i="32" a="1"/>
  <c r="S87" i="32" s="1"/>
  <c r="P87" i="32" a="1"/>
  <c r="P87" i="32" s="1"/>
  <c r="J87" i="32" s="1"/>
  <c r="K87" i="32"/>
  <c r="I87" i="32"/>
  <c r="H87" i="32"/>
  <c r="Y86" i="32"/>
  <c r="Z86" i="32" s="1" a="1"/>
  <c r="Z86" i="32" s="1"/>
  <c r="S86" i="32" a="1"/>
  <c r="S86" i="32" s="1"/>
  <c r="P86" i="32" a="1"/>
  <c r="P86" i="32" s="1"/>
  <c r="J86" i="32" s="1"/>
  <c r="K86" i="32"/>
  <c r="I86" i="32"/>
  <c r="H86" i="32"/>
  <c r="Y85" i="32"/>
  <c r="Z85" i="32" s="1" a="1"/>
  <c r="Z85" i="32" s="1"/>
  <c r="S85" i="32" a="1"/>
  <c r="S85" i="32" s="1"/>
  <c r="P85" i="32" a="1"/>
  <c r="P85" i="32" s="1"/>
  <c r="J85" i="32" s="1"/>
  <c r="K85" i="32"/>
  <c r="I85" i="32"/>
  <c r="H85" i="32"/>
  <c r="Y84" i="32"/>
  <c r="Z84" i="32" s="1" a="1"/>
  <c r="Z84" i="32" s="1"/>
  <c r="S84" i="32" a="1"/>
  <c r="S84" i="32" s="1"/>
  <c r="P84" i="32" a="1"/>
  <c r="P84" i="32" s="1"/>
  <c r="J84" i="32" s="1"/>
  <c r="K84" i="32"/>
  <c r="I84" i="32"/>
  <c r="H84" i="32"/>
  <c r="Y83" i="32"/>
  <c r="Z83" i="32" s="1" a="1"/>
  <c r="Z83" i="32" s="1"/>
  <c r="S83" i="32" a="1"/>
  <c r="S83" i="32" s="1"/>
  <c r="P83" i="32" a="1"/>
  <c r="P83" i="32" s="1"/>
  <c r="J83" i="32" s="1"/>
  <c r="K83" i="32"/>
  <c r="I83" i="32"/>
  <c r="H83" i="32"/>
  <c r="Y82" i="32"/>
  <c r="Z82" i="32" s="1" a="1"/>
  <c r="Z82" i="32" s="1"/>
  <c r="S82" i="32" a="1"/>
  <c r="S82" i="32" s="1"/>
  <c r="P82" i="32" a="1"/>
  <c r="P82" i="32" s="1"/>
  <c r="J82" i="32" s="1"/>
  <c r="K82" i="32"/>
  <c r="I82" i="32"/>
  <c r="H82" i="32"/>
  <c r="Y81" i="32"/>
  <c r="Z81" i="32" s="1" a="1"/>
  <c r="Z81" i="32" s="1"/>
  <c r="S81" i="32" a="1"/>
  <c r="S81" i="32" s="1"/>
  <c r="P81" i="32" a="1"/>
  <c r="P81" i="32" s="1"/>
  <c r="J81" i="32" s="1"/>
  <c r="K81" i="32"/>
  <c r="I81" i="32"/>
  <c r="H81" i="32"/>
  <c r="Y80" i="32"/>
  <c r="Z80" i="32" s="1" a="1"/>
  <c r="Z80" i="32" s="1"/>
  <c r="S80" i="32" a="1"/>
  <c r="S80" i="32" s="1"/>
  <c r="P80" i="32" a="1"/>
  <c r="P80" i="32" s="1"/>
  <c r="J80" i="32" s="1"/>
  <c r="K80" i="32"/>
  <c r="I80" i="32"/>
  <c r="H80" i="32"/>
  <c r="Y79" i="32"/>
  <c r="Z79" i="32" s="1" a="1"/>
  <c r="Z79" i="32" s="1"/>
  <c r="S79" i="32" a="1"/>
  <c r="S79" i="32" s="1"/>
  <c r="P79" i="32" a="1"/>
  <c r="P79" i="32" s="1"/>
  <c r="J79" i="32" s="1"/>
  <c r="K79" i="32"/>
  <c r="I79" i="32"/>
  <c r="H79" i="32"/>
  <c r="Y78" i="32"/>
  <c r="Z78" i="32" s="1" a="1"/>
  <c r="Z78" i="32" s="1"/>
  <c r="S78" i="32" a="1"/>
  <c r="S78" i="32" s="1"/>
  <c r="P78" i="32" a="1"/>
  <c r="P78" i="32" s="1"/>
  <c r="J78" i="32" s="1"/>
  <c r="K78" i="32"/>
  <c r="I78" i="32"/>
  <c r="H78" i="32"/>
  <c r="Y77" i="32"/>
  <c r="Z77" i="32" s="1" a="1"/>
  <c r="Z77" i="32" s="1"/>
  <c r="S77" i="32" a="1"/>
  <c r="S77" i="32" s="1"/>
  <c r="P77" i="32" a="1"/>
  <c r="P77" i="32" s="1"/>
  <c r="J77" i="32" s="1"/>
  <c r="K77" i="32"/>
  <c r="I77" i="32"/>
  <c r="H77" i="32"/>
  <c r="Y76" i="32"/>
  <c r="Z76" i="32" s="1" a="1"/>
  <c r="Z76" i="32" s="1"/>
  <c r="S76" i="32" a="1"/>
  <c r="S76" i="32" s="1"/>
  <c r="P76" i="32" a="1"/>
  <c r="P76" i="32" s="1"/>
  <c r="J76" i="32" s="1"/>
  <c r="K76" i="32"/>
  <c r="I76" i="32"/>
  <c r="H76" i="32"/>
  <c r="Y75" i="32"/>
  <c r="Z75" i="32" s="1" a="1"/>
  <c r="Z75" i="32" s="1"/>
  <c r="S75" i="32" a="1"/>
  <c r="S75" i="32" s="1"/>
  <c r="P75" i="32" a="1"/>
  <c r="P75" i="32" s="1"/>
  <c r="J75" i="32" s="1"/>
  <c r="K75" i="32"/>
  <c r="I75" i="32"/>
  <c r="H75" i="32"/>
  <c r="Y74" i="32"/>
  <c r="Z74" i="32" s="1" a="1"/>
  <c r="Z74" i="32" s="1"/>
  <c r="S74" i="32" a="1"/>
  <c r="S74" i="32" s="1"/>
  <c r="P74" i="32" a="1"/>
  <c r="P74" i="32" s="1"/>
  <c r="J74" i="32" s="1"/>
  <c r="K74" i="32"/>
  <c r="I74" i="32"/>
  <c r="H74" i="32"/>
  <c r="Y73" i="32"/>
  <c r="Z73" i="32" s="1" a="1"/>
  <c r="Z73" i="32" s="1"/>
  <c r="S73" i="32" a="1"/>
  <c r="S73" i="32" s="1"/>
  <c r="P73" i="32" a="1"/>
  <c r="P73" i="32" s="1"/>
  <c r="J73" i="32" s="1"/>
  <c r="K73" i="32"/>
  <c r="I73" i="32"/>
  <c r="H73" i="32"/>
  <c r="Y72" i="32"/>
  <c r="Z72" i="32" s="1" a="1"/>
  <c r="Z72" i="32" s="1"/>
  <c r="S72" i="32" a="1"/>
  <c r="S72" i="32" s="1"/>
  <c r="P72" i="32" a="1"/>
  <c r="P72" i="32" s="1"/>
  <c r="J72" i="32" s="1"/>
  <c r="K72" i="32"/>
  <c r="I72" i="32"/>
  <c r="H72" i="32"/>
  <c r="Y71" i="32"/>
  <c r="Z71" i="32" s="1" a="1"/>
  <c r="Z71" i="32" s="1"/>
  <c r="S71" i="32" a="1"/>
  <c r="S71" i="32" s="1"/>
  <c r="P71" i="32" a="1"/>
  <c r="P71" i="32" s="1"/>
  <c r="J71" i="32" s="1"/>
  <c r="K71" i="32"/>
  <c r="I71" i="32"/>
  <c r="H71" i="32"/>
  <c r="Y70" i="32"/>
  <c r="Z70" i="32" s="1" a="1"/>
  <c r="Z70" i="32" s="1"/>
  <c r="S70" i="32" a="1"/>
  <c r="S70" i="32" s="1"/>
  <c r="P70" i="32" a="1"/>
  <c r="P70" i="32" s="1"/>
  <c r="J70" i="32" s="1"/>
  <c r="K70" i="32"/>
  <c r="I70" i="32"/>
  <c r="H70" i="32"/>
  <c r="Y69" i="32"/>
  <c r="Z69" i="32" s="1" a="1"/>
  <c r="Z69" i="32" s="1"/>
  <c r="S69" i="32" a="1"/>
  <c r="S69" i="32" s="1"/>
  <c r="P69" i="32" a="1"/>
  <c r="P69" i="32" s="1"/>
  <c r="J69" i="32" s="1"/>
  <c r="K69" i="32"/>
  <c r="I69" i="32"/>
  <c r="H69" i="32"/>
  <c r="Y68" i="32"/>
  <c r="Z68" i="32" s="1" a="1"/>
  <c r="Z68" i="32" s="1"/>
  <c r="S68" i="32" a="1"/>
  <c r="S68" i="32" s="1"/>
  <c r="P68" i="32" a="1"/>
  <c r="P68" i="32" s="1"/>
  <c r="J68" i="32" s="1"/>
  <c r="K68" i="32"/>
  <c r="I68" i="32"/>
  <c r="H68" i="32"/>
  <c r="Y67" i="32"/>
  <c r="Z67" i="32" s="1" a="1"/>
  <c r="Z67" i="32" s="1"/>
  <c r="S67" i="32" a="1"/>
  <c r="S67" i="32" s="1"/>
  <c r="P67" i="32" a="1"/>
  <c r="P67" i="32" s="1"/>
  <c r="J67" i="32" s="1"/>
  <c r="K67" i="32"/>
  <c r="I67" i="32"/>
  <c r="H67" i="32"/>
  <c r="Y66" i="32"/>
  <c r="Z66" i="32" s="1" a="1"/>
  <c r="Z66" i="32" s="1"/>
  <c r="S66" i="32" a="1"/>
  <c r="S66" i="32" s="1"/>
  <c r="P66" i="32" a="1"/>
  <c r="P66" i="32" s="1"/>
  <c r="J66" i="32" s="1"/>
  <c r="K66" i="32"/>
  <c r="I66" i="32"/>
  <c r="H66" i="32"/>
  <c r="Y65" i="32"/>
  <c r="Z65" i="32" s="1" a="1"/>
  <c r="Z65" i="32" s="1"/>
  <c r="S65" i="32" a="1"/>
  <c r="S65" i="32" s="1"/>
  <c r="P65" i="32" a="1"/>
  <c r="P65" i="32" s="1"/>
  <c r="J65" i="32" s="1"/>
  <c r="K65" i="32"/>
  <c r="I65" i="32"/>
  <c r="H65" i="32"/>
  <c r="Y64" i="32"/>
  <c r="Z64" i="32" s="1" a="1"/>
  <c r="Z64" i="32" s="1"/>
  <c r="S64" i="32" a="1"/>
  <c r="S64" i="32" s="1"/>
  <c r="P64" i="32" a="1"/>
  <c r="P64" i="32" s="1"/>
  <c r="J64" i="32" s="1"/>
  <c r="K64" i="32"/>
  <c r="I64" i="32"/>
  <c r="H64" i="32"/>
  <c r="Y63" i="32"/>
  <c r="Z63" i="32" s="1" a="1"/>
  <c r="Z63" i="32" s="1"/>
  <c r="S63" i="32" a="1"/>
  <c r="S63" i="32" s="1"/>
  <c r="P63" i="32" a="1"/>
  <c r="P63" i="32" s="1"/>
  <c r="J63" i="32" s="1"/>
  <c r="K63" i="32"/>
  <c r="I63" i="32"/>
  <c r="H63" i="32"/>
  <c r="Y62" i="32"/>
  <c r="Z62" i="32" s="1" a="1"/>
  <c r="Z62" i="32" s="1"/>
  <c r="S62" i="32" a="1"/>
  <c r="S62" i="32" s="1"/>
  <c r="P62" i="32" a="1"/>
  <c r="P62" i="32" s="1"/>
  <c r="J62" i="32" s="1"/>
  <c r="K62" i="32"/>
  <c r="I62" i="32"/>
  <c r="H62" i="32"/>
  <c r="Y61" i="32"/>
  <c r="Z61" i="32" s="1" a="1"/>
  <c r="Z61" i="32" s="1"/>
  <c r="S61" i="32" a="1"/>
  <c r="S61" i="32" s="1"/>
  <c r="P61" i="32" a="1"/>
  <c r="P61" i="32" s="1"/>
  <c r="J61" i="32" s="1"/>
  <c r="K61" i="32"/>
  <c r="I61" i="32"/>
  <c r="H61" i="32"/>
  <c r="Y60" i="32"/>
  <c r="Z60" i="32" s="1" a="1"/>
  <c r="Z60" i="32" s="1"/>
  <c r="S60" i="32" a="1"/>
  <c r="S60" i="32" s="1"/>
  <c r="P60" i="32" a="1"/>
  <c r="P60" i="32" s="1"/>
  <c r="J60" i="32" s="1"/>
  <c r="K60" i="32"/>
  <c r="I60" i="32"/>
  <c r="H60" i="32"/>
  <c r="Y59" i="32"/>
  <c r="Z59" i="32" s="1" a="1"/>
  <c r="Z59" i="32" s="1"/>
  <c r="S59" i="32" a="1"/>
  <c r="S59" i="32" s="1"/>
  <c r="P59" i="32" a="1"/>
  <c r="P59" i="32" s="1"/>
  <c r="J59" i="32" s="1"/>
  <c r="K59" i="32"/>
  <c r="I59" i="32"/>
  <c r="H59" i="32"/>
  <c r="Y58" i="32"/>
  <c r="Z58" i="32" s="1" a="1"/>
  <c r="Z58" i="32" s="1"/>
  <c r="S58" i="32" a="1"/>
  <c r="S58" i="32" s="1"/>
  <c r="P58" i="32" a="1"/>
  <c r="P58" i="32" s="1"/>
  <c r="J58" i="32" s="1"/>
  <c r="K58" i="32"/>
  <c r="I58" i="32"/>
  <c r="H58" i="32"/>
  <c r="Y57" i="32"/>
  <c r="Z57" i="32" s="1" a="1"/>
  <c r="Z57" i="32" s="1"/>
  <c r="S57" i="32" a="1"/>
  <c r="S57" i="32" s="1"/>
  <c r="P57" i="32" a="1"/>
  <c r="P57" i="32" s="1"/>
  <c r="J57" i="32" s="1"/>
  <c r="K57" i="32"/>
  <c r="I57" i="32"/>
  <c r="H57" i="32"/>
  <c r="Y56" i="32"/>
  <c r="Z56" i="32" s="1" a="1"/>
  <c r="Z56" i="32" s="1"/>
  <c r="S56" i="32" a="1"/>
  <c r="S56" i="32" s="1"/>
  <c r="P56" i="32" a="1"/>
  <c r="P56" i="32" s="1"/>
  <c r="J56" i="32" s="1"/>
  <c r="K56" i="32"/>
  <c r="I56" i="32"/>
  <c r="H56" i="32"/>
  <c r="Y55" i="32"/>
  <c r="Z55" i="32" s="1" a="1"/>
  <c r="Z55" i="32" s="1"/>
  <c r="S55" i="32" a="1"/>
  <c r="S55" i="32" s="1"/>
  <c r="P55" i="32" a="1"/>
  <c r="P55" i="32" s="1"/>
  <c r="J55" i="32" s="1"/>
  <c r="K55" i="32"/>
  <c r="I55" i="32"/>
  <c r="H55" i="32"/>
  <c r="Y54" i="32"/>
  <c r="Z54" i="32" s="1" a="1"/>
  <c r="Z54" i="32" s="1"/>
  <c r="S54" i="32" a="1"/>
  <c r="S54" i="32" s="1"/>
  <c r="P54" i="32" a="1"/>
  <c r="P54" i="32" s="1"/>
  <c r="J54" i="32" s="1"/>
  <c r="K54" i="32"/>
  <c r="I54" i="32"/>
  <c r="H54" i="32"/>
  <c r="Y53" i="32"/>
  <c r="Z53" i="32" s="1" a="1"/>
  <c r="Z53" i="32" s="1"/>
  <c r="S53" i="32" a="1"/>
  <c r="S53" i="32" s="1"/>
  <c r="P53" i="32" a="1"/>
  <c r="P53" i="32" s="1"/>
  <c r="J53" i="32" s="1"/>
  <c r="K53" i="32"/>
  <c r="I53" i="32"/>
  <c r="H53" i="32"/>
  <c r="Y52" i="32"/>
  <c r="Z52" i="32" s="1" a="1"/>
  <c r="Z52" i="32" s="1"/>
  <c r="S52" i="32" a="1"/>
  <c r="S52" i="32" s="1"/>
  <c r="P52" i="32" a="1"/>
  <c r="P52" i="32" s="1"/>
  <c r="J52" i="32" s="1"/>
  <c r="K52" i="32"/>
  <c r="I52" i="32"/>
  <c r="H52" i="32"/>
  <c r="Y51" i="32"/>
  <c r="Z51" i="32" s="1" a="1"/>
  <c r="Z51" i="32" s="1"/>
  <c r="S51" i="32" a="1"/>
  <c r="S51" i="32" s="1"/>
  <c r="P51" i="32" a="1"/>
  <c r="P51" i="32" s="1"/>
  <c r="J51" i="32" s="1"/>
  <c r="K51" i="32"/>
  <c r="I51" i="32"/>
  <c r="H51" i="32"/>
  <c r="Y50" i="32"/>
  <c r="Z50" i="32" s="1" a="1"/>
  <c r="Z50" i="32" s="1"/>
  <c r="S50" i="32" a="1"/>
  <c r="S50" i="32" s="1"/>
  <c r="P50" i="32" a="1"/>
  <c r="P50" i="32" s="1"/>
  <c r="J50" i="32" s="1"/>
  <c r="K50" i="32"/>
  <c r="I50" i="32"/>
  <c r="H50" i="32"/>
  <c r="Y49" i="32"/>
  <c r="Z49" i="32" s="1" a="1"/>
  <c r="Z49" i="32" s="1"/>
  <c r="S49" i="32" a="1"/>
  <c r="S49" i="32" s="1"/>
  <c r="P49" i="32" a="1"/>
  <c r="P49" i="32" s="1"/>
  <c r="J49" i="32" s="1"/>
  <c r="K49" i="32"/>
  <c r="I49" i="32"/>
  <c r="H49" i="32"/>
  <c r="Y48" i="32"/>
  <c r="Z48" i="32" s="1" a="1"/>
  <c r="Z48" i="32" s="1"/>
  <c r="S48" i="32" a="1"/>
  <c r="S48" i="32" s="1"/>
  <c r="P48" i="32" a="1"/>
  <c r="P48" i="32" s="1"/>
  <c r="J48" i="32" s="1"/>
  <c r="K48" i="32"/>
  <c r="I48" i="32"/>
  <c r="H48" i="32"/>
  <c r="Y47" i="32"/>
  <c r="Z47" i="32" s="1" a="1"/>
  <c r="Z47" i="32" s="1"/>
  <c r="S47" i="32" a="1"/>
  <c r="S47" i="32" s="1"/>
  <c r="P47" i="32" a="1"/>
  <c r="P47" i="32" s="1"/>
  <c r="J47" i="32" s="1"/>
  <c r="K47" i="32"/>
  <c r="I47" i="32"/>
  <c r="H47" i="32"/>
  <c r="Y46" i="32"/>
  <c r="Z46" i="32" s="1" a="1"/>
  <c r="Z46" i="32" s="1"/>
  <c r="S46" i="32" a="1"/>
  <c r="S46" i="32" s="1"/>
  <c r="P46" i="32" a="1"/>
  <c r="P46" i="32" s="1"/>
  <c r="J46" i="32" s="1"/>
  <c r="K46" i="32"/>
  <c r="I46" i="32"/>
  <c r="H46" i="32"/>
  <c r="Y45" i="32"/>
  <c r="Z45" i="32" s="1" a="1"/>
  <c r="Z45" i="32" s="1"/>
  <c r="S45" i="32" a="1"/>
  <c r="S45" i="32" s="1"/>
  <c r="P45" i="32" a="1"/>
  <c r="P45" i="32" s="1"/>
  <c r="J45" i="32" s="1"/>
  <c r="K45" i="32"/>
  <c r="I45" i="32"/>
  <c r="H45" i="32"/>
  <c r="Y44" i="32"/>
  <c r="Z44" i="32" s="1" a="1"/>
  <c r="Z44" i="32" s="1"/>
  <c r="S44" i="32" a="1"/>
  <c r="S44" i="32" s="1"/>
  <c r="P44" i="32" a="1"/>
  <c r="P44" i="32" s="1"/>
  <c r="J44" i="32" s="1"/>
  <c r="K44" i="32"/>
  <c r="I44" i="32"/>
  <c r="H44" i="32"/>
  <c r="Y43" i="32"/>
  <c r="Z43" i="32" s="1" a="1"/>
  <c r="Z43" i="32" s="1"/>
  <c r="S43" i="32" a="1"/>
  <c r="S43" i="32" s="1"/>
  <c r="P43" i="32" a="1"/>
  <c r="P43" i="32" s="1"/>
  <c r="J43" i="32" s="1"/>
  <c r="K43" i="32"/>
  <c r="I43" i="32"/>
  <c r="H43" i="32"/>
  <c r="Y42" i="32"/>
  <c r="Z42" i="32" s="1" a="1"/>
  <c r="Z42" i="32" s="1"/>
  <c r="S42" i="32" a="1"/>
  <c r="S42" i="32" s="1"/>
  <c r="P42" i="32" a="1"/>
  <c r="P42" i="32" s="1"/>
  <c r="J42" i="32" s="1"/>
  <c r="K42" i="32"/>
  <c r="I42" i="32"/>
  <c r="H42" i="32"/>
  <c r="Y41" i="32"/>
  <c r="Z41" i="32" s="1" a="1"/>
  <c r="Z41" i="32" s="1"/>
  <c r="S41" i="32" a="1"/>
  <c r="S41" i="32" s="1"/>
  <c r="P41" i="32" a="1"/>
  <c r="P41" i="32" s="1"/>
  <c r="J41" i="32" s="1"/>
  <c r="K41" i="32"/>
  <c r="I41" i="32"/>
  <c r="H41" i="32"/>
  <c r="Y40" i="32"/>
  <c r="Z40" i="32" s="1" a="1"/>
  <c r="Z40" i="32" s="1"/>
  <c r="S40" i="32" a="1"/>
  <c r="S40" i="32" s="1"/>
  <c r="P40" i="32" a="1"/>
  <c r="P40" i="32" s="1"/>
  <c r="J40" i="32" s="1"/>
  <c r="K40" i="32"/>
  <c r="I40" i="32"/>
  <c r="H40" i="32"/>
  <c r="Y39" i="32"/>
  <c r="Z39" i="32" s="1" a="1"/>
  <c r="Z39" i="32" s="1"/>
  <c r="S39" i="32" a="1"/>
  <c r="S39" i="32" s="1"/>
  <c r="P39" i="32" a="1"/>
  <c r="P39" i="32" s="1"/>
  <c r="J39" i="32" s="1"/>
  <c r="K39" i="32"/>
  <c r="I39" i="32"/>
  <c r="H39" i="32"/>
  <c r="Y38" i="32"/>
  <c r="Z38" i="32" s="1" a="1"/>
  <c r="Z38" i="32" s="1"/>
  <c r="S38" i="32" a="1"/>
  <c r="S38" i="32" s="1"/>
  <c r="P38" i="32" a="1"/>
  <c r="P38" i="32" s="1"/>
  <c r="J38" i="32" s="1"/>
  <c r="K38" i="32"/>
  <c r="I38" i="32"/>
  <c r="H38" i="32"/>
  <c r="Y37" i="32"/>
  <c r="Z37" i="32" s="1" a="1"/>
  <c r="Z37" i="32" s="1"/>
  <c r="S37" i="32" a="1"/>
  <c r="S37" i="32" s="1"/>
  <c r="P37" i="32" a="1"/>
  <c r="P37" i="32" s="1"/>
  <c r="J37" i="32" s="1"/>
  <c r="K37" i="32"/>
  <c r="I37" i="32"/>
  <c r="H37" i="32"/>
  <c r="Y36" i="32"/>
  <c r="Z36" i="32" s="1" a="1"/>
  <c r="Z36" i="32" s="1"/>
  <c r="S36" i="32" a="1"/>
  <c r="S36" i="32" s="1"/>
  <c r="P36" i="32" a="1"/>
  <c r="P36" i="32" s="1"/>
  <c r="J36" i="32" s="1"/>
  <c r="K36" i="32"/>
  <c r="I36" i="32"/>
  <c r="H36" i="32"/>
  <c r="Y35" i="32"/>
  <c r="Z35" i="32" s="1" a="1"/>
  <c r="Z35" i="32" s="1"/>
  <c r="S35" i="32" a="1"/>
  <c r="S35" i="32" s="1"/>
  <c r="P35" i="32" a="1"/>
  <c r="P35" i="32" s="1"/>
  <c r="J35" i="32" s="1"/>
  <c r="K35" i="32"/>
  <c r="I35" i="32"/>
  <c r="H35" i="32"/>
  <c r="Y34" i="32"/>
  <c r="Z34" i="32" s="1" a="1"/>
  <c r="Z34" i="32" s="1"/>
  <c r="S34" i="32" a="1"/>
  <c r="S34" i="32" s="1"/>
  <c r="P34" i="32" a="1"/>
  <c r="P34" i="32" s="1"/>
  <c r="J34" i="32" s="1"/>
  <c r="K34" i="32"/>
  <c r="I34" i="32"/>
  <c r="H34" i="32"/>
  <c r="Y33" i="32"/>
  <c r="Z33" i="32" s="1" a="1"/>
  <c r="Z33" i="32" s="1"/>
  <c r="S33" i="32" a="1"/>
  <c r="S33" i="32" s="1"/>
  <c r="P33" i="32" a="1"/>
  <c r="P33" i="32" s="1"/>
  <c r="J33" i="32" s="1"/>
  <c r="K33" i="32"/>
  <c r="I33" i="32"/>
  <c r="H33" i="32"/>
  <c r="Y32" i="32"/>
  <c r="Z32" i="32" s="1" a="1"/>
  <c r="Z32" i="32" s="1"/>
  <c r="S32" i="32" a="1"/>
  <c r="S32" i="32" s="1"/>
  <c r="P32" i="32" a="1"/>
  <c r="P32" i="32" s="1"/>
  <c r="J32" i="32" s="1"/>
  <c r="K32" i="32"/>
  <c r="I32" i="32"/>
  <c r="H32" i="32"/>
  <c r="Y31" i="32"/>
  <c r="Z31" i="32" s="1" a="1"/>
  <c r="Z31" i="32" s="1"/>
  <c r="S31" i="32" a="1"/>
  <c r="S31" i="32" s="1"/>
  <c r="P31" i="32" a="1"/>
  <c r="P31" i="32" s="1"/>
  <c r="J31" i="32" s="1"/>
  <c r="K31" i="32"/>
  <c r="I31" i="32"/>
  <c r="H31" i="32"/>
  <c r="Y30" i="32"/>
  <c r="Z30" i="32" s="1" a="1"/>
  <c r="Z30" i="32" s="1"/>
  <c r="S30" i="32" a="1"/>
  <c r="S30" i="32" s="1"/>
  <c r="P30" i="32" a="1"/>
  <c r="P30" i="32" s="1"/>
  <c r="J30" i="32" s="1"/>
  <c r="K30" i="32"/>
  <c r="I30" i="32"/>
  <c r="H30" i="32"/>
  <c r="Y29" i="32"/>
  <c r="Z29" i="32" s="1" a="1"/>
  <c r="Z29" i="32" s="1"/>
  <c r="S29" i="32" a="1"/>
  <c r="S29" i="32" s="1"/>
  <c r="P29" i="32" a="1"/>
  <c r="P29" i="32" s="1"/>
  <c r="J29" i="32" s="1"/>
  <c r="K29" i="32"/>
  <c r="I29" i="32"/>
  <c r="H29" i="32"/>
  <c r="Y28" i="32"/>
  <c r="Z28" i="32" s="1" a="1"/>
  <c r="Z28" i="32" s="1"/>
  <c r="S28" i="32" a="1"/>
  <c r="S28" i="32" s="1"/>
  <c r="P28" i="32" a="1"/>
  <c r="P28" i="32" s="1"/>
  <c r="J28" i="32" s="1"/>
  <c r="K28" i="32"/>
  <c r="I28" i="32"/>
  <c r="H28" i="32"/>
  <c r="Y27" i="32"/>
  <c r="Z27" i="32" s="1" a="1"/>
  <c r="Z27" i="32" s="1"/>
  <c r="S27" i="32" a="1"/>
  <c r="S27" i="32" s="1"/>
  <c r="P27" i="32" a="1"/>
  <c r="P27" i="32" s="1"/>
  <c r="J27" i="32" s="1"/>
  <c r="K27" i="32"/>
  <c r="I27" i="32"/>
  <c r="H27" i="32"/>
  <c r="Y26" i="32"/>
  <c r="Z26" i="32" s="1" a="1"/>
  <c r="Z26" i="32" s="1"/>
  <c r="S26" i="32" a="1"/>
  <c r="S26" i="32" s="1"/>
  <c r="P26" i="32" a="1"/>
  <c r="P26" i="32" s="1"/>
  <c r="J26" i="32" s="1"/>
  <c r="K26" i="32"/>
  <c r="I26" i="32"/>
  <c r="H26" i="32"/>
  <c r="Y25" i="32"/>
  <c r="Z25" i="32" s="1" a="1"/>
  <c r="Z25" i="32" s="1"/>
  <c r="S25" i="32" a="1"/>
  <c r="S25" i="32" s="1"/>
  <c r="P25" i="32" a="1"/>
  <c r="P25" i="32" s="1"/>
  <c r="J25" i="32" s="1"/>
  <c r="K25" i="32"/>
  <c r="I25" i="32"/>
  <c r="H25" i="32"/>
  <c r="Y24" i="32"/>
  <c r="Z24" i="32" s="1" a="1"/>
  <c r="Z24" i="32" s="1"/>
  <c r="S24" i="32" a="1"/>
  <c r="S24" i="32" s="1"/>
  <c r="P24" i="32" a="1"/>
  <c r="P24" i="32" s="1"/>
  <c r="J24" i="32" s="1"/>
  <c r="K24" i="32"/>
  <c r="I24" i="32"/>
  <c r="H24" i="32"/>
  <c r="Y23" i="32"/>
  <c r="Z23" i="32" s="1" a="1"/>
  <c r="Z23" i="32" s="1"/>
  <c r="S23" i="32" a="1"/>
  <c r="S23" i="32" s="1"/>
  <c r="P23" i="32" a="1"/>
  <c r="P23" i="32" s="1"/>
  <c r="J23" i="32" s="1"/>
  <c r="K23" i="32"/>
  <c r="I23" i="32"/>
  <c r="H23" i="32"/>
  <c r="Y22" i="32"/>
  <c r="Z22" i="32" s="1" a="1"/>
  <c r="Z22" i="32" s="1"/>
  <c r="S22" i="32" a="1"/>
  <c r="S22" i="32" s="1"/>
  <c r="P22" i="32" a="1"/>
  <c r="P22" i="32" s="1"/>
  <c r="J22" i="32" s="1"/>
  <c r="K22" i="32"/>
  <c r="I22" i="32"/>
  <c r="H22" i="32"/>
  <c r="Y21" i="32"/>
  <c r="Z21" i="32" s="1" a="1"/>
  <c r="Z21" i="32" s="1"/>
  <c r="S21" i="32" a="1"/>
  <c r="S21" i="32" s="1"/>
  <c r="P21" i="32" a="1"/>
  <c r="P21" i="32" s="1"/>
  <c r="J21" i="32" s="1"/>
  <c r="K21" i="32"/>
  <c r="I21" i="32"/>
  <c r="H21" i="32"/>
  <c r="Y20" i="32"/>
  <c r="Z20" i="32" s="1" a="1"/>
  <c r="Z20" i="32" s="1"/>
  <c r="S20" i="32" a="1"/>
  <c r="S20" i="32" s="1"/>
  <c r="P20" i="32" a="1"/>
  <c r="P20" i="32" s="1"/>
  <c r="J20" i="32" s="1"/>
  <c r="K20" i="32"/>
  <c r="I20" i="32"/>
  <c r="H20" i="32"/>
  <c r="Y19" i="32"/>
  <c r="Z19" i="32" s="1" a="1"/>
  <c r="Z19" i="32" s="1"/>
  <c r="S19" i="32" a="1"/>
  <c r="S19" i="32" s="1"/>
  <c r="P19" i="32" a="1"/>
  <c r="P19" i="32" s="1"/>
  <c r="J19" i="32" s="1"/>
  <c r="K19" i="32"/>
  <c r="I19" i="32"/>
  <c r="H19" i="32"/>
  <c r="Y18" i="32"/>
  <c r="Z18" i="32" s="1" a="1"/>
  <c r="Z18" i="32" s="1"/>
  <c r="S18" i="32" a="1"/>
  <c r="S18" i="32" s="1"/>
  <c r="P18" i="32" a="1"/>
  <c r="P18" i="32" s="1"/>
  <c r="J18" i="32" s="1"/>
  <c r="K18" i="32"/>
  <c r="I18" i="32"/>
  <c r="H18" i="32"/>
  <c r="Y17" i="32"/>
  <c r="Z17" i="32" s="1" a="1"/>
  <c r="Z17" i="32" s="1"/>
  <c r="S17" i="32" a="1"/>
  <c r="S17" i="32" s="1"/>
  <c r="P17" i="32" a="1"/>
  <c r="P17" i="32" s="1"/>
  <c r="J17" i="32" s="1"/>
  <c r="K17" i="32"/>
  <c r="I17" i="32"/>
  <c r="H17" i="32"/>
  <c r="Y16" i="32"/>
  <c r="Z16" i="32" s="1" a="1"/>
  <c r="Z16" i="32" s="1"/>
  <c r="S16" i="32" a="1"/>
  <c r="S16" i="32" s="1"/>
  <c r="P16" i="32" a="1"/>
  <c r="P16" i="32" s="1"/>
  <c r="J16" i="32" s="1"/>
  <c r="K16" i="32"/>
  <c r="I16" i="32"/>
  <c r="H16" i="32"/>
  <c r="Y15" i="32"/>
  <c r="Z15" i="32" s="1" a="1"/>
  <c r="Z15" i="32" s="1"/>
  <c r="S15" i="32" a="1"/>
  <c r="S15" i="32" s="1"/>
  <c r="P15" i="32" a="1"/>
  <c r="P15" i="32" s="1"/>
  <c r="J15" i="32" s="1"/>
  <c r="K15" i="32"/>
  <c r="I15" i="32"/>
  <c r="H15" i="32"/>
  <c r="Y14" i="32"/>
  <c r="Z14" i="32" s="1" a="1"/>
  <c r="Z14" i="32" s="1"/>
  <c r="S14" i="32" a="1"/>
  <c r="S14" i="32" s="1"/>
  <c r="P14" i="32" a="1"/>
  <c r="P14" i="32" s="1"/>
  <c r="J14" i="32" s="1"/>
  <c r="K14" i="32"/>
  <c r="I14" i="32"/>
  <c r="H14" i="32"/>
  <c r="Y13" i="32"/>
  <c r="Z13" i="32" s="1" a="1"/>
  <c r="Z13" i="32" s="1"/>
  <c r="S13" i="32" a="1"/>
  <c r="S13" i="32" s="1"/>
  <c r="P13" i="32" a="1"/>
  <c r="P13" i="32" s="1"/>
  <c r="J13" i="32" s="1"/>
  <c r="K13" i="32"/>
  <c r="I13" i="32"/>
  <c r="H13" i="32"/>
  <c r="Y12" i="32"/>
  <c r="Z12" i="32" s="1" a="1"/>
  <c r="Z12" i="32" s="1"/>
  <c r="S12" i="32" a="1"/>
  <c r="S12" i="32" s="1"/>
  <c r="P12" i="32" a="1"/>
  <c r="P12" i="32" s="1"/>
  <c r="J12" i="32" s="1"/>
  <c r="K12" i="32"/>
  <c r="I12" i="32"/>
  <c r="H12" i="32"/>
  <c r="Y11" i="32"/>
  <c r="Z11" i="32" s="1" a="1"/>
  <c r="Z11" i="32" s="1"/>
  <c r="S11" i="32" a="1"/>
  <c r="S11" i="32" s="1"/>
  <c r="P11" i="32" a="1"/>
  <c r="P11" i="32" s="1"/>
  <c r="J11" i="32" s="1"/>
  <c r="K11" i="32"/>
  <c r="I11" i="32"/>
  <c r="H11" i="32"/>
  <c r="Y10" i="32"/>
  <c r="Z10" i="32" s="1" a="1"/>
  <c r="Z10" i="32" s="1"/>
  <c r="S10" i="32" a="1"/>
  <c r="S10" i="32" s="1"/>
  <c r="P10" i="32" a="1"/>
  <c r="P10" i="32" s="1"/>
  <c r="J10" i="32" s="1"/>
  <c r="K10" i="32"/>
  <c r="I10" i="32"/>
  <c r="H10" i="32"/>
  <c r="Y9" i="32"/>
  <c r="Z9" i="32" s="1" a="1"/>
  <c r="Z9" i="32" s="1"/>
  <c r="S9" i="32" a="1"/>
  <c r="S9" i="32" s="1"/>
  <c r="P9" i="32" a="1"/>
  <c r="P9" i="32" s="1"/>
  <c r="J9" i="32" s="1"/>
  <c r="K9" i="32"/>
  <c r="I9" i="32"/>
  <c r="H9" i="32"/>
  <c r="Y8" i="32"/>
  <c r="Z8" i="32" s="1" a="1"/>
  <c r="Z8" i="32" s="1"/>
  <c r="S8" i="32" a="1"/>
  <c r="S8" i="32" s="1"/>
  <c r="P8" i="32" a="1"/>
  <c r="P8" i="32" s="1"/>
  <c r="J8" i="32" s="1"/>
  <c r="K8" i="32"/>
  <c r="I8" i="32"/>
  <c r="H8" i="32"/>
  <c r="Y7" i="32"/>
  <c r="Z7" i="32" s="1" a="1"/>
  <c r="Z7" i="32" s="1"/>
  <c r="S7" i="32" a="1"/>
  <c r="S7" i="32" s="1"/>
  <c r="P7" i="32" a="1"/>
  <c r="P7" i="32" s="1"/>
  <c r="J7" i="32" s="1"/>
  <c r="K7" i="32"/>
  <c r="I7" i="32"/>
  <c r="H7" i="32"/>
  <c r="Y6" i="32"/>
  <c r="Z6" i="32" s="1" a="1"/>
  <c r="Z6" i="32" s="1"/>
  <c r="U6" i="32"/>
  <c r="R6" i="32"/>
  <c r="S6" i="32" s="1" a="1"/>
  <c r="S6" i="32" s="1"/>
  <c r="P6" i="32" a="1"/>
  <c r="P6" i="32" s="1"/>
  <c r="J6" i="32" s="1"/>
  <c r="K6" i="32"/>
  <c r="I6" i="32"/>
  <c r="H6" i="32"/>
  <c r="N19" i="31"/>
  <c r="O19" i="31" s="1"/>
  <c r="M19" i="31" a="1"/>
  <c r="M19" i="31" s="1"/>
  <c r="N18" i="31"/>
  <c r="O18" i="31" s="1"/>
  <c r="M18" i="31" a="1"/>
  <c r="M18" i="31" s="1"/>
  <c r="N17" i="31"/>
  <c r="O17" i="31" s="1"/>
  <c r="M17" i="31" a="1"/>
  <c r="M17" i="31" s="1"/>
  <c r="N16" i="31"/>
  <c r="O16" i="31" s="1"/>
  <c r="M16" i="31" a="1"/>
  <c r="M16" i="31" s="1"/>
  <c r="N15" i="31"/>
  <c r="O15" i="31" s="1"/>
  <c r="M15" i="31" a="1"/>
  <c r="M15" i="31" s="1"/>
  <c r="N14" i="31"/>
  <c r="O14" i="31" s="1"/>
  <c r="M14" i="31" a="1"/>
  <c r="M14" i="31" s="1"/>
  <c r="N13" i="31"/>
  <c r="O13" i="31" s="1"/>
  <c r="M13" i="31" a="1"/>
  <c r="M13" i="31" s="1"/>
  <c r="N12" i="31"/>
  <c r="O12" i="31" s="1"/>
  <c r="M12" i="31" a="1"/>
  <c r="M12" i="31" s="1"/>
  <c r="N11" i="31"/>
  <c r="O11" i="31" s="1"/>
  <c r="M11" i="31" a="1"/>
  <c r="M11" i="31" s="1"/>
  <c r="N10" i="31"/>
  <c r="O10" i="31" s="1"/>
  <c r="M10" i="31" a="1"/>
  <c r="M10" i="31" s="1"/>
  <c r="N9" i="31"/>
  <c r="O9" i="31" s="1"/>
  <c r="M9" i="31" a="1"/>
  <c r="M9" i="31" s="1"/>
  <c r="N8" i="31"/>
  <c r="O8" i="31" s="1"/>
  <c r="M8" i="31" a="1"/>
  <c r="M8" i="31" s="1"/>
  <c r="N7" i="31"/>
  <c r="O7" i="31" s="1"/>
  <c r="M7" i="31" a="1"/>
  <c r="M7" i="31" s="1"/>
  <c r="N6" i="31"/>
  <c r="O6" i="31" s="1"/>
  <c r="M6" i="31" a="1"/>
  <c r="M6" i="31" s="1"/>
  <c r="N5" i="31"/>
  <c r="O5" i="31" s="1"/>
  <c r="M5" i="31" a="1"/>
  <c r="M5" i="31" s="1"/>
  <c r="N4" i="31"/>
  <c r="O4" i="31" s="1"/>
  <c r="M4" i="31" a="1"/>
  <c r="M4" i="31" s="1"/>
  <c r="N3" i="31"/>
  <c r="O3" i="31" s="1"/>
  <c r="M3" i="31" a="1"/>
  <c r="M3" i="31" s="1"/>
  <c r="N2" i="31"/>
  <c r="O2" i="31"/>
  <c r="M2" i="31" a="1"/>
  <c r="M2" i="31"/>
  <c r="I2" i="31"/>
  <c r="J2" i="31"/>
  <c r="K2" i="31"/>
  <c r="I19" i="31"/>
  <c r="I18" i="31"/>
  <c r="I17" i="31"/>
  <c r="I16" i="31"/>
  <c r="I15" i="31"/>
  <c r="I14" i="31"/>
  <c r="I13" i="31"/>
  <c r="I12" i="31"/>
  <c r="I11" i="31"/>
  <c r="I10" i="31"/>
  <c r="I9" i="31"/>
  <c r="I8" i="31"/>
  <c r="I7" i="31"/>
  <c r="J7" i="31" s="1"/>
  <c r="J8" i="31"/>
  <c r="I6" i="31"/>
  <c r="J6" i="31"/>
  <c r="I5" i="31"/>
  <c r="I4" i="31"/>
  <c r="I3" i="31"/>
  <c r="J3" i="31" s="1"/>
  <c r="J19" i="31"/>
  <c r="J18" i="31"/>
  <c r="J17" i="31"/>
  <c r="J16" i="31"/>
  <c r="J15" i="31"/>
  <c r="J14" i="31"/>
  <c r="J13" i="31"/>
  <c r="J12" i="31"/>
  <c r="J11" i="31"/>
  <c r="J10" i="31"/>
  <c r="J9" i="31"/>
  <c r="J5" i="31"/>
  <c r="J4" i="31"/>
  <c r="L19" i="31"/>
  <c r="L18" i="31"/>
  <c r="L17" i="31"/>
  <c r="L16" i="31"/>
  <c r="L15" i="31"/>
  <c r="L14" i="31"/>
  <c r="L13" i="31"/>
  <c r="L12" i="31"/>
  <c r="L11" i="31"/>
  <c r="L10" i="31"/>
  <c r="L9" i="31"/>
  <c r="L8" i="31"/>
  <c r="L7" i="31"/>
  <c r="L6" i="31"/>
  <c r="L5" i="31"/>
  <c r="L4" i="31"/>
  <c r="L3" i="31"/>
  <c r="L2" i="31"/>
  <c r="K19" i="31"/>
  <c r="K18" i="31"/>
  <c r="K17" i="31"/>
  <c r="K16" i="31"/>
  <c r="K15" i="31"/>
  <c r="K14" i="31"/>
  <c r="K13" i="31"/>
  <c r="K12" i="31"/>
  <c r="K11" i="31"/>
  <c r="K10" i="31"/>
  <c r="K9" i="31"/>
  <c r="K8" i="31"/>
  <c r="K7" i="31"/>
  <c r="K6" i="31"/>
  <c r="K5" i="31"/>
  <c r="K4" i="31"/>
  <c r="K3" i="31"/>
  <c r="R5" i="30"/>
  <c r="H24" i="31"/>
  <c r="H22" i="31"/>
  <c r="E24" i="31"/>
  <c r="E22" i="31"/>
  <c r="D24" i="31"/>
  <c r="D22" i="31"/>
  <c r="L85" i="32" l="1"/>
  <c r="M85" i="32" s="1" a="1"/>
  <c r="M85" i="32" s="1"/>
  <c r="L49" i="32"/>
  <c r="M49" i="32" s="1" a="1"/>
  <c r="M49" i="32" s="1"/>
  <c r="L79" i="32"/>
  <c r="M79" i="32" s="1" a="1"/>
  <c r="M79" i="32" s="1"/>
  <c r="L139" i="32"/>
  <c r="M139" i="32" s="1" a="1"/>
  <c r="M139" i="32" s="1"/>
  <c r="L149" i="32"/>
  <c r="M149" i="32" s="1" a="1"/>
  <c r="M149" i="32" s="1"/>
  <c r="L144" i="32"/>
  <c r="M144" i="32" s="1" a="1"/>
  <c r="M144" i="32" s="1"/>
  <c r="L184" i="32"/>
  <c r="M184" i="32" s="1" a="1"/>
  <c r="M184" i="32" s="1"/>
  <c r="L100" i="32"/>
  <c r="M100" i="32" s="1" a="1"/>
  <c r="M100" i="32" s="1"/>
  <c r="L36" i="32"/>
  <c r="M36" i="32" s="1" a="1"/>
  <c r="M36" i="32" s="1"/>
  <c r="L197" i="32"/>
  <c r="M197" i="32" s="1" a="1"/>
  <c r="M197" i="32" s="1"/>
  <c r="L207" i="32"/>
  <c r="M207" i="32" s="1" a="1"/>
  <c r="M207" i="32" s="1"/>
  <c r="L231" i="32"/>
  <c r="M231" i="32" s="1" a="1"/>
  <c r="M231" i="32" s="1"/>
  <c r="L194" i="32"/>
  <c r="M194" i="32" s="1" a="1"/>
  <c r="M194" i="32" s="1"/>
  <c r="L178" i="32"/>
  <c r="M178" i="32" s="1" a="1"/>
  <c r="M178" i="32" s="1"/>
  <c r="L133" i="32"/>
  <c r="M133" i="32" s="1" a="1"/>
  <c r="M133" i="32" s="1"/>
  <c r="L193" i="32"/>
  <c r="M193" i="32" s="1" a="1"/>
  <c r="M193" i="32" s="1"/>
  <c r="L196" i="32"/>
  <c r="M196" i="32" s="1" a="1"/>
  <c r="M196" i="32" s="1"/>
  <c r="L67" i="32"/>
  <c r="M67" i="32" s="1" a="1"/>
  <c r="M67" i="32" s="1"/>
  <c r="L150" i="32"/>
  <c r="M150" i="32" s="1" a="1"/>
  <c r="M150" i="32" s="1"/>
  <c r="L216" i="32"/>
  <c r="M216" i="32" s="1" a="1"/>
  <c r="M216" i="32" s="1"/>
  <c r="L259" i="32"/>
  <c r="M259" i="32" s="1" a="1"/>
  <c r="M259" i="32" s="1"/>
  <c r="L269" i="32"/>
  <c r="M269" i="32" s="1" a="1"/>
  <c r="M269" i="32" s="1"/>
  <c r="L279" i="32"/>
  <c r="M279" i="32" s="1" a="1"/>
  <c r="M279" i="32" s="1"/>
  <c r="AA7" i="3" a="1"/>
  <c r="AA7" i="3" s="1"/>
  <c r="H5" i="22" s="1"/>
  <c r="X7" i="3"/>
  <c r="Y7" i="3"/>
  <c r="F5" i="22" s="1"/>
  <c r="L119" i="32"/>
  <c r="M119" i="32" s="1" a="1"/>
  <c r="M119" i="32" s="1"/>
  <c r="L129" i="32"/>
  <c r="M129" i="32" s="1" a="1"/>
  <c r="M129" i="32" s="1"/>
  <c r="L43" i="32"/>
  <c r="M43" i="32" s="1" a="1"/>
  <c r="M43" i="32" s="1"/>
  <c r="L212" i="32"/>
  <c r="M212" i="32" s="1" a="1"/>
  <c r="M212" i="32" s="1"/>
  <c r="L275" i="32"/>
  <c r="M275" i="32" s="1" a="1"/>
  <c r="M275" i="32" s="1"/>
  <c r="L246" i="32"/>
  <c r="M246" i="32" s="1" a="1"/>
  <c r="M246" i="32" s="1"/>
  <c r="L134" i="32"/>
  <c r="M134" i="32" s="1" a="1"/>
  <c r="M134" i="32" s="1"/>
  <c r="L195" i="32"/>
  <c r="M195" i="32" s="1" a="1"/>
  <c r="M195" i="32" s="1"/>
  <c r="L164" i="32"/>
  <c r="M164" i="32" s="1" a="1"/>
  <c r="M164" i="32" s="1"/>
  <c r="L153" i="32"/>
  <c r="M153" i="32" s="1" a="1"/>
  <c r="M153" i="32" s="1"/>
  <c r="L215" i="32"/>
  <c r="M215" i="32" s="1" a="1"/>
  <c r="M215" i="32" s="1"/>
  <c r="L268" i="32"/>
  <c r="M268" i="32" s="1" a="1"/>
  <c r="M268" i="32" s="1"/>
  <c r="L200" i="32"/>
  <c r="M200" i="32" s="1" a="1"/>
  <c r="M200" i="32" s="1"/>
  <c r="L23" i="32"/>
  <c r="M23" i="32" s="1" a="1"/>
  <c r="M23" i="32" s="1"/>
  <c r="L210" i="32"/>
  <c r="M210" i="32" s="1" a="1"/>
  <c r="M210" i="32" s="1"/>
  <c r="L226" i="32"/>
  <c r="M226" i="32" s="1" a="1"/>
  <c r="M226" i="32" s="1"/>
  <c r="L53" i="32"/>
  <c r="M53" i="32" s="1" a="1"/>
  <c r="M53" i="32" s="1"/>
  <c r="L76" i="32"/>
  <c r="M76" i="32" s="1" a="1"/>
  <c r="M76" i="32" s="1"/>
  <c r="L296" i="32"/>
  <c r="M296" i="32" s="1" a="1"/>
  <c r="M296" i="32" s="1"/>
  <c r="L169" i="32"/>
  <c r="M169" i="32" s="1" a="1"/>
  <c r="M169" i="32" s="1"/>
  <c r="L211" i="32"/>
  <c r="M211" i="32" s="1" a="1"/>
  <c r="M211" i="32" s="1"/>
  <c r="L38" i="32"/>
  <c r="M38" i="32" s="1" a="1"/>
  <c r="M38" i="32" s="1"/>
  <c r="L188" i="32"/>
  <c r="M188" i="32" s="1" a="1"/>
  <c r="M188" i="32" s="1"/>
  <c r="L198" i="32"/>
  <c r="M198" i="32" s="1" a="1"/>
  <c r="M198" i="32" s="1"/>
  <c r="L221" i="32"/>
  <c r="M221" i="32" s="1" a="1"/>
  <c r="M221" i="32" s="1"/>
  <c r="L12" i="32"/>
  <c r="M12" i="32" s="1" a="1"/>
  <c r="M12" i="32" s="1"/>
  <c r="L8" i="32"/>
  <c r="M8" i="32" s="1" a="1"/>
  <c r="M8" i="32" s="1"/>
  <c r="L190" i="32"/>
  <c r="M190" i="32" s="1" a="1"/>
  <c r="M190" i="32" s="1"/>
  <c r="L227" i="32"/>
  <c r="M227" i="32" s="1" a="1"/>
  <c r="M227" i="32" s="1"/>
  <c r="L191" i="32"/>
  <c r="M191" i="32" s="1" a="1"/>
  <c r="M191" i="32" s="1"/>
  <c r="L214" i="32"/>
  <c r="M214" i="32" s="1" a="1"/>
  <c r="M214" i="32" s="1"/>
  <c r="L224" i="32"/>
  <c r="M224" i="32" s="1" a="1"/>
  <c r="M224" i="32" s="1"/>
  <c r="L127" i="32"/>
  <c r="M127" i="32" s="1" a="1"/>
  <c r="M127" i="32" s="1"/>
  <c r="L40" i="32"/>
  <c r="M40" i="32" s="1" a="1"/>
  <c r="M40" i="32" s="1"/>
  <c r="L264" i="32"/>
  <c r="M264" i="32" s="1" a="1"/>
  <c r="M264" i="32" s="1"/>
  <c r="L111" i="32"/>
  <c r="M111" i="32" s="1" a="1"/>
  <c r="M111" i="32" s="1"/>
  <c r="L154" i="32"/>
  <c r="M154" i="32" s="1" a="1"/>
  <c r="M154" i="32" s="1"/>
  <c r="L209" i="32"/>
  <c r="M209" i="32" s="1" a="1"/>
  <c r="M209" i="32" s="1"/>
  <c r="L284" i="32"/>
  <c r="M284" i="32" s="1" a="1"/>
  <c r="M284" i="32" s="1"/>
  <c r="L233" i="32"/>
  <c r="M233" i="32" s="1" a="1"/>
  <c r="M233" i="32" s="1"/>
  <c r="L56" i="32"/>
  <c r="M56" i="32" s="1" a="1"/>
  <c r="M56" i="32" s="1"/>
  <c r="L87" i="32"/>
  <c r="M87" i="32" s="1" a="1"/>
  <c r="M87" i="32" s="1"/>
  <c r="L199" i="32"/>
  <c r="M199" i="32" s="1" a="1"/>
  <c r="M199" i="32" s="1"/>
  <c r="L125" i="32"/>
  <c r="M125" i="32" s="1" a="1"/>
  <c r="M125" i="32" s="1"/>
  <c r="L243" i="32"/>
  <c r="M243" i="32" s="1" a="1"/>
  <c r="M243" i="32" s="1"/>
  <c r="L265" i="32"/>
  <c r="M265" i="32" s="1" a="1"/>
  <c r="M265" i="32" s="1"/>
  <c r="L63" i="32"/>
  <c r="M63" i="32" s="1" a="1"/>
  <c r="M63" i="32" s="1"/>
  <c r="L181" i="32"/>
  <c r="M181" i="32" s="1" a="1"/>
  <c r="M181" i="32" s="1"/>
  <c r="L281" i="32"/>
  <c r="M281" i="32" s="1" a="1"/>
  <c r="M281" i="32" s="1"/>
  <c r="L60" i="32"/>
  <c r="M60" i="32" s="1" a="1"/>
  <c r="M60" i="32" s="1"/>
  <c r="L206" i="32"/>
  <c r="M206" i="32" s="1" a="1"/>
  <c r="M206" i="32" s="1"/>
  <c r="L116" i="32"/>
  <c r="M116" i="32" s="1" a="1"/>
  <c r="M116" i="32" s="1"/>
  <c r="L138" i="32"/>
  <c r="M138" i="32" s="1" a="1"/>
  <c r="M138" i="32" s="1"/>
  <c r="L250" i="32"/>
  <c r="M250" i="32" s="1" a="1"/>
  <c r="M250" i="32" s="1"/>
  <c r="L288" i="32"/>
  <c r="M288" i="32" s="1" a="1"/>
  <c r="M288" i="32" s="1"/>
  <c r="L146" i="32"/>
  <c r="M146" i="32" s="1" a="1"/>
  <c r="M146" i="32" s="1"/>
  <c r="L155" i="32"/>
  <c r="M155" i="32" s="1" a="1"/>
  <c r="M155" i="32" s="1"/>
  <c r="L183" i="32"/>
  <c r="M183" i="32" s="1" a="1"/>
  <c r="M183" i="32" s="1"/>
  <c r="L37" i="32"/>
  <c r="M37" i="32" s="1" a="1"/>
  <c r="M37" i="32" s="1"/>
  <c r="L143" i="32"/>
  <c r="M143" i="32" s="1" a="1"/>
  <c r="M143" i="32" s="1"/>
  <c r="L16" i="32"/>
  <c r="M16" i="32" s="1" a="1"/>
  <c r="M16" i="32" s="1"/>
  <c r="L11" i="32"/>
  <c r="M11" i="32" s="1" a="1"/>
  <c r="M11" i="32" s="1"/>
  <c r="L70" i="32"/>
  <c r="M70" i="32" s="1" a="1"/>
  <c r="M70" i="32" s="1"/>
  <c r="L24" i="32"/>
  <c r="M24" i="32" s="1" a="1"/>
  <c r="M24" i="32" s="1"/>
  <c r="L33" i="32"/>
  <c r="M33" i="32" s="1" a="1"/>
  <c r="M33" i="32" s="1"/>
  <c r="L161" i="32"/>
  <c r="M161" i="32" s="1" a="1"/>
  <c r="M161" i="32" s="1"/>
  <c r="L276" i="32"/>
  <c r="M276" i="32" s="1" a="1"/>
  <c r="M276" i="32" s="1"/>
  <c r="L18" i="32"/>
  <c r="M18" i="32" s="1" a="1"/>
  <c r="M18" i="32" s="1"/>
  <c r="L117" i="32"/>
  <c r="M117" i="32" s="1" a="1"/>
  <c r="M117" i="32" s="1"/>
  <c r="L108" i="32"/>
  <c r="M108" i="32" s="1" a="1"/>
  <c r="M108" i="32" s="1"/>
  <c r="L201" i="32"/>
  <c r="M201" i="32" s="1" a="1"/>
  <c r="M201" i="32" s="1"/>
  <c r="L220" i="32"/>
  <c r="M220" i="32" s="1" a="1"/>
  <c r="M220" i="32" s="1"/>
  <c r="L245" i="32"/>
  <c r="M245" i="32" s="1" a="1"/>
  <c r="M245" i="32" s="1"/>
  <c r="L261" i="32"/>
  <c r="M261" i="32" s="1" a="1"/>
  <c r="M261" i="32" s="1"/>
  <c r="L179" i="32"/>
  <c r="M179" i="32" s="1" a="1"/>
  <c r="M179" i="32" s="1"/>
  <c r="L174" i="32"/>
  <c r="M174" i="32" s="1" a="1"/>
  <c r="M174" i="32" s="1"/>
  <c r="L229" i="32"/>
  <c r="M229" i="32" s="1" a="1"/>
  <c r="M229" i="32" s="1"/>
  <c r="L118" i="32"/>
  <c r="M118" i="32" s="1" a="1"/>
  <c r="M118" i="32" s="1"/>
  <c r="L222" i="32"/>
  <c r="M222" i="32" s="1" a="1"/>
  <c r="M222" i="32" s="1"/>
  <c r="L140" i="32"/>
  <c r="M140" i="32" s="1" a="1"/>
  <c r="M140" i="32" s="1"/>
  <c r="L238" i="32"/>
  <c r="M238" i="32" s="1" a="1"/>
  <c r="M238" i="32" s="1"/>
  <c r="L57" i="32"/>
  <c r="M57" i="32" s="1" a="1"/>
  <c r="M57" i="32" s="1"/>
  <c r="L124" i="32"/>
  <c r="M124" i="32" s="1" a="1"/>
  <c r="M124" i="32" s="1"/>
  <c r="L151" i="32"/>
  <c r="M151" i="32" s="1" a="1"/>
  <c r="M151" i="32" s="1"/>
  <c r="L159" i="32"/>
  <c r="M159" i="32" s="1" a="1"/>
  <c r="M159" i="32" s="1"/>
  <c r="L273" i="32"/>
  <c r="M273" i="32" s="1" a="1"/>
  <c r="M273" i="32" s="1"/>
  <c r="L77" i="32"/>
  <c r="M77" i="32" s="1" a="1"/>
  <c r="M77" i="32" s="1"/>
  <c r="L28" i="32"/>
  <c r="M28" i="32" s="1" a="1"/>
  <c r="M28" i="32" s="1"/>
  <c r="L68" i="32"/>
  <c r="M68" i="32" s="1" a="1"/>
  <c r="M68" i="32" s="1"/>
  <c r="L203" i="32"/>
  <c r="M203" i="32" s="1" a="1"/>
  <c r="M203" i="32" s="1"/>
  <c r="L21" i="32"/>
  <c r="M21" i="32" s="1" a="1"/>
  <c r="M21" i="32" s="1"/>
  <c r="L82" i="32"/>
  <c r="M82" i="32" s="1" a="1"/>
  <c r="M82" i="32" s="1"/>
  <c r="L51" i="32"/>
  <c r="M51" i="32" s="1" a="1"/>
  <c r="M51" i="32" s="1"/>
  <c r="L208" i="32"/>
  <c r="M208" i="32" s="1" a="1"/>
  <c r="M208" i="32" s="1"/>
  <c r="L218" i="32"/>
  <c r="M218" i="32" s="1" a="1"/>
  <c r="M218" i="32" s="1"/>
  <c r="L230" i="32"/>
  <c r="M230" i="32" s="1" a="1"/>
  <c r="M230" i="32" s="1"/>
  <c r="L295" i="32"/>
  <c r="M295" i="32" s="1" a="1"/>
  <c r="M295" i="32" s="1"/>
  <c r="L44" i="32"/>
  <c r="M44" i="32" s="1" a="1"/>
  <c r="M44" i="32" s="1"/>
  <c r="L92" i="32"/>
  <c r="M92" i="32" s="1" a="1"/>
  <c r="M92" i="32" s="1"/>
  <c r="L97" i="32"/>
  <c r="M97" i="32" s="1" a="1"/>
  <c r="M97" i="32" s="1"/>
  <c r="L102" i="32"/>
  <c r="M102" i="32" s="1" a="1"/>
  <c r="M102" i="32" s="1"/>
  <c r="L114" i="32"/>
  <c r="M114" i="32" s="1" a="1"/>
  <c r="M114" i="32" s="1"/>
  <c r="L30" i="32"/>
  <c r="M30" i="32" s="1" a="1"/>
  <c r="M30" i="32" s="1"/>
  <c r="L95" i="32"/>
  <c r="M95" i="32" s="1" a="1"/>
  <c r="M95" i="32" s="1"/>
  <c r="L107" i="32"/>
  <c r="M107" i="32" s="1" a="1"/>
  <c r="M107" i="32" s="1"/>
  <c r="L135" i="32"/>
  <c r="M135" i="32" s="1" a="1"/>
  <c r="M135" i="32" s="1"/>
  <c r="L290" i="32"/>
  <c r="M290" i="32" s="1" a="1"/>
  <c r="M290" i="32" s="1"/>
  <c r="L285" i="32"/>
  <c r="M285" i="32" s="1" a="1"/>
  <c r="M285" i="32" s="1"/>
  <c r="L293" i="32"/>
  <c r="M293" i="32" s="1" a="1"/>
  <c r="M293" i="32" s="1"/>
  <c r="L186" i="32"/>
  <c r="M186" i="32" s="1" a="1"/>
  <c r="M186" i="32" s="1"/>
  <c r="L45" i="32"/>
  <c r="M45" i="32" s="1" a="1"/>
  <c r="M45" i="32" s="1"/>
  <c r="L93" i="32"/>
  <c r="M93" i="32" s="1" a="1"/>
  <c r="M93" i="32" s="1"/>
  <c r="L98" i="32"/>
  <c r="M98" i="32" s="1" a="1"/>
  <c r="M98" i="32" s="1"/>
  <c r="L253" i="32"/>
  <c r="M253" i="32" s="1" a="1"/>
  <c r="M253" i="32" s="1"/>
  <c r="L50" i="32"/>
  <c r="M50" i="32" s="1" a="1"/>
  <c r="M50" i="32" s="1"/>
  <c r="L189" i="32"/>
  <c r="M189" i="32" s="1" a="1"/>
  <c r="M189" i="32" s="1"/>
  <c r="L71" i="32"/>
  <c r="M71" i="32" s="1" a="1"/>
  <c r="M71" i="32" s="1"/>
  <c r="L266" i="32"/>
  <c r="M266" i="32" s="1" a="1"/>
  <c r="M266" i="32" s="1"/>
  <c r="L258" i="32"/>
  <c r="M258" i="32" s="1" a="1"/>
  <c r="M258" i="32" s="1"/>
  <c r="L73" i="32"/>
  <c r="M73" i="32" s="1" a="1"/>
  <c r="M73" i="32" s="1"/>
  <c r="L90" i="32"/>
  <c r="M90" i="32" s="1" a="1"/>
  <c r="M90" i="32" s="1"/>
  <c r="L131" i="32"/>
  <c r="M131" i="32" s="1" a="1"/>
  <c r="M131" i="32" s="1"/>
  <c r="L110" i="32"/>
  <c r="M110" i="32" s="1" a="1"/>
  <c r="M110" i="32" s="1"/>
  <c r="L236" i="32"/>
  <c r="M236" i="32" s="1" a="1"/>
  <c r="M236" i="32" s="1"/>
  <c r="L59" i="32"/>
  <c r="M59" i="32" s="1" a="1"/>
  <c r="M59" i="32" s="1"/>
  <c r="L64" i="32"/>
  <c r="M64" i="32" s="1" a="1"/>
  <c r="M64" i="32" s="1"/>
  <c r="L83" i="32"/>
  <c r="M83" i="32" s="1" a="1"/>
  <c r="M83" i="32" s="1"/>
  <c r="L126" i="32"/>
  <c r="M126" i="32" s="1" a="1"/>
  <c r="M126" i="32" s="1"/>
  <c r="L234" i="32"/>
  <c r="M234" i="32" s="1" a="1"/>
  <c r="M234" i="32" s="1"/>
  <c r="L22" i="32"/>
  <c r="M22" i="32" s="1" a="1"/>
  <c r="M22" i="32" s="1"/>
  <c r="L217" i="32"/>
  <c r="M217" i="32" s="1" a="1"/>
  <c r="M217" i="32" s="1"/>
  <c r="L299" i="32"/>
  <c r="M299" i="32" s="1" a="1"/>
  <c r="M299" i="32" s="1"/>
  <c r="L29" i="32"/>
  <c r="M29" i="32" s="1" a="1"/>
  <c r="M29" i="32" s="1"/>
  <c r="L239" i="32"/>
  <c r="M239" i="32" s="1" a="1"/>
  <c r="M239" i="32" s="1"/>
  <c r="L20" i="32"/>
  <c r="M20" i="32" s="1" a="1"/>
  <c r="M20" i="32" s="1"/>
  <c r="L94" i="32"/>
  <c r="M94" i="32" s="1" a="1"/>
  <c r="M94" i="32" s="1"/>
  <c r="L249" i="32"/>
  <c r="M249" i="32" s="1" a="1"/>
  <c r="M249" i="32" s="1"/>
  <c r="L34" i="32"/>
  <c r="M34" i="32" s="1" a="1"/>
  <c r="M34" i="32" s="1"/>
  <c r="L280" i="32"/>
  <c r="M280" i="32" s="1" a="1"/>
  <c r="M280" i="32" s="1"/>
  <c r="L9" i="32"/>
  <c r="M9" i="32" s="1" a="1"/>
  <c r="M9" i="32" s="1"/>
  <c r="L14" i="32"/>
  <c r="M14" i="32" s="1" a="1"/>
  <c r="M14" i="32" s="1"/>
  <c r="L61" i="32"/>
  <c r="M61" i="32" s="1" a="1"/>
  <c r="M61" i="32" s="1"/>
  <c r="L120" i="32"/>
  <c r="M120" i="32" s="1" a="1"/>
  <c r="M120" i="32" s="1"/>
  <c r="L112" i="32"/>
  <c r="M112" i="32" s="1" a="1"/>
  <c r="M112" i="32" s="1"/>
  <c r="L283" i="32"/>
  <c r="M283" i="32" s="1" a="1"/>
  <c r="M283" i="32" s="1"/>
  <c r="L103" i="32"/>
  <c r="M103" i="32" s="1" a="1"/>
  <c r="M103" i="32" s="1"/>
  <c r="L136" i="32"/>
  <c r="M136" i="32" s="1" a="1"/>
  <c r="M136" i="32" s="1"/>
  <c r="L31" i="32"/>
  <c r="M31" i="32" s="1" a="1"/>
  <c r="M31" i="32" s="1"/>
  <c r="L96" i="32"/>
  <c r="M96" i="32" s="1" a="1"/>
  <c r="M96" i="32" s="1"/>
  <c r="L78" i="32"/>
  <c r="M78" i="32" s="1" a="1"/>
  <c r="M78" i="32" s="1"/>
  <c r="L88" i="32"/>
  <c r="M88" i="32" s="1" a="1"/>
  <c r="M88" i="32" s="1"/>
  <c r="L256" i="32"/>
  <c r="M256" i="32" s="1" a="1"/>
  <c r="M256" i="32" s="1"/>
  <c r="L10" i="32"/>
  <c r="M10" i="32" s="1" a="1"/>
  <c r="M10" i="32" s="1"/>
  <c r="L121" i="32"/>
  <c r="M121" i="32" s="1" a="1"/>
  <c r="M121" i="32" s="1"/>
  <c r="L48" i="32"/>
  <c r="M48" i="32" s="1" a="1"/>
  <c r="M48" i="32" s="1"/>
  <c r="L101" i="32"/>
  <c r="M101" i="32" s="1" a="1"/>
  <c r="M101" i="32" s="1"/>
  <c r="L113" i="32"/>
  <c r="M113" i="32" s="1" a="1"/>
  <c r="M113" i="32" s="1"/>
  <c r="L74" i="32"/>
  <c r="M74" i="32" s="1" a="1"/>
  <c r="M74" i="32" s="1"/>
  <c r="L41" i="32"/>
  <c r="M41" i="32" s="1" a="1"/>
  <c r="M41" i="32" s="1"/>
  <c r="L62" i="32"/>
  <c r="M62" i="32" s="1" a="1"/>
  <c r="M62" i="32" s="1"/>
  <c r="L137" i="32"/>
  <c r="M137" i="32" s="1" a="1"/>
  <c r="M137" i="32" s="1"/>
  <c r="L165" i="32"/>
  <c r="M165" i="32" s="1" a="1"/>
  <c r="M165" i="32" s="1"/>
  <c r="L180" i="32"/>
  <c r="M180" i="32" s="1" a="1"/>
  <c r="M180" i="32" s="1"/>
  <c r="L192" i="32"/>
  <c r="M192" i="32" s="1" a="1"/>
  <c r="M192" i="32" s="1"/>
  <c r="L242" i="32"/>
  <c r="M242" i="32" s="1" a="1"/>
  <c r="M242" i="32" s="1"/>
  <c r="L274" i="32"/>
  <c r="M274" i="32" s="1" a="1"/>
  <c r="M274" i="32" s="1"/>
  <c r="L173" i="32"/>
  <c r="M173" i="32" s="1" a="1"/>
  <c r="M173" i="32" s="1"/>
  <c r="L202" i="32"/>
  <c r="M202" i="32" s="1" a="1"/>
  <c r="M202" i="32" s="1"/>
  <c r="L237" i="32"/>
  <c r="M237" i="32" s="1" a="1"/>
  <c r="M237" i="32" s="1"/>
  <c r="L292" i="32"/>
  <c r="M292" i="32" s="1" a="1"/>
  <c r="M292" i="32" s="1"/>
  <c r="L13" i="32"/>
  <c r="M13" i="32" s="1" a="1"/>
  <c r="M13" i="32" s="1"/>
  <c r="L27" i="32"/>
  <c r="M27" i="32" s="1" a="1"/>
  <c r="M27" i="32" s="1"/>
  <c r="L46" i="32"/>
  <c r="M46" i="32" s="1" a="1"/>
  <c r="M46" i="32" s="1"/>
  <c r="L160" i="32"/>
  <c r="M160" i="32" s="1" a="1"/>
  <c r="M160" i="32" s="1"/>
  <c r="L168" i="32"/>
  <c r="M168" i="32" s="1" a="1"/>
  <c r="M168" i="32" s="1"/>
  <c r="L86" i="32"/>
  <c r="M86" i="32" s="1" a="1"/>
  <c r="M86" i="32" s="1"/>
  <c r="L182" i="32"/>
  <c r="M182" i="32" s="1" a="1"/>
  <c r="M182" i="32" s="1"/>
  <c r="L271" i="32"/>
  <c r="M271" i="32" s="1" a="1"/>
  <c r="M271" i="32" s="1"/>
  <c r="L19" i="32"/>
  <c r="M19" i="32" s="1" a="1"/>
  <c r="M19" i="32" s="1"/>
  <c r="L7" i="32"/>
  <c r="M7" i="32" s="1" a="1"/>
  <c r="M7" i="32" s="1"/>
  <c r="L26" i="32"/>
  <c r="M26" i="32" s="1" a="1"/>
  <c r="M26" i="32" s="1"/>
  <c r="L42" i="32"/>
  <c r="M42" i="32" s="1" a="1"/>
  <c r="M42" i="32" s="1"/>
  <c r="L58" i="32"/>
  <c r="M58" i="32" s="1" a="1"/>
  <c r="M58" i="32" s="1"/>
  <c r="L72" i="32"/>
  <c r="M72" i="32" s="1" a="1"/>
  <c r="M72" i="32" s="1"/>
  <c r="L99" i="32"/>
  <c r="M99" i="32" s="1" a="1"/>
  <c r="M99" i="32" s="1"/>
  <c r="L104" i="32"/>
  <c r="M104" i="32" s="1" a="1"/>
  <c r="M104" i="32" s="1"/>
  <c r="L157" i="32"/>
  <c r="M157" i="32" s="1" a="1"/>
  <c r="M157" i="32" s="1"/>
  <c r="L175" i="32"/>
  <c r="M175" i="32" s="1" a="1"/>
  <c r="M175" i="32" s="1"/>
  <c r="L15" i="32"/>
  <c r="M15" i="32" s="1" a="1"/>
  <c r="M15" i="32" s="1"/>
  <c r="L47" i="32"/>
  <c r="M47" i="32" s="1" a="1"/>
  <c r="M47" i="32" s="1"/>
  <c r="L89" i="32"/>
  <c r="M89" i="32" s="1" a="1"/>
  <c r="M89" i="32" s="1"/>
  <c r="L225" i="32"/>
  <c r="M225" i="32" s="1" a="1"/>
  <c r="M225" i="32" s="1"/>
  <c r="L54" i="32"/>
  <c r="M54" i="32" s="1" a="1"/>
  <c r="M54" i="32" s="1"/>
  <c r="L52" i="32"/>
  <c r="M52" i="32" s="1" a="1"/>
  <c r="M52" i="32" s="1"/>
  <c r="L69" i="32"/>
  <c r="M69" i="32" s="1" a="1"/>
  <c r="M69" i="32" s="1"/>
  <c r="L177" i="32"/>
  <c r="M177" i="32" s="1" a="1"/>
  <c r="M177" i="32" s="1"/>
  <c r="L204" i="32"/>
  <c r="M204" i="32" s="1" a="1"/>
  <c r="M204" i="32" s="1"/>
  <c r="L145" i="32"/>
  <c r="M145" i="32" s="1" a="1"/>
  <c r="M145" i="32" s="1"/>
  <c r="L6" i="32"/>
  <c r="M6" i="32" s="1" a="1"/>
  <c r="M6" i="32" s="1"/>
  <c r="L17" i="32"/>
  <c r="M17" i="32" s="1" a="1"/>
  <c r="M17" i="32" s="1"/>
  <c r="L109" i="32"/>
  <c r="M109" i="32" s="1" a="1"/>
  <c r="M109" i="32" s="1"/>
  <c r="L219" i="32"/>
  <c r="M219" i="32" s="1" a="1"/>
  <c r="M219" i="32" s="1"/>
  <c r="L298" i="32"/>
  <c r="M298" i="32" s="1" a="1"/>
  <c r="M298" i="32" s="1"/>
  <c r="L122" i="32"/>
  <c r="M122" i="32" s="1" a="1"/>
  <c r="M122" i="32" s="1"/>
  <c r="L241" i="32"/>
  <c r="M241" i="32" s="1" a="1"/>
  <c r="M241" i="32" s="1"/>
  <c r="L66" i="32"/>
  <c r="M66" i="32" s="1" a="1"/>
  <c r="M66" i="32" s="1"/>
  <c r="L185" i="32"/>
  <c r="M185" i="32" s="1" a="1"/>
  <c r="M185" i="32" s="1"/>
  <c r="L260" i="32"/>
  <c r="M260" i="32" s="1" a="1"/>
  <c r="M260" i="32" s="1"/>
  <c r="L106" i="32"/>
  <c r="M106" i="32" s="1" a="1"/>
  <c r="M106" i="32" s="1"/>
  <c r="L262" i="32"/>
  <c r="M262" i="32" s="1" a="1"/>
  <c r="M262" i="32" s="1"/>
  <c r="L80" i="32"/>
  <c r="M80" i="32" s="1" a="1"/>
  <c r="M80" i="32" s="1"/>
  <c r="L166" i="32"/>
  <c r="M166" i="32" s="1" a="1"/>
  <c r="M166" i="32" s="1"/>
  <c r="L270" i="32"/>
  <c r="M270" i="32" s="1" a="1"/>
  <c r="M270" i="32" s="1"/>
  <c r="L115" i="32"/>
  <c r="M115" i="32" s="1" a="1"/>
  <c r="M115" i="32" s="1"/>
  <c r="L272" i="32"/>
  <c r="M272" i="32" s="1" a="1"/>
  <c r="M272" i="32" s="1"/>
  <c r="L75" i="32"/>
  <c r="M75" i="32" s="1" a="1"/>
  <c r="M75" i="32" s="1"/>
  <c r="L291" i="32"/>
  <c r="M291" i="32" s="1" a="1"/>
  <c r="M291" i="32" s="1"/>
  <c r="L289" i="32"/>
  <c r="M289" i="32" s="1" a="1"/>
  <c r="M289" i="32" s="1"/>
  <c r="L35" i="32"/>
  <c r="M35" i="32" s="1" a="1"/>
  <c r="M35" i="32" s="1"/>
  <c r="L148" i="32"/>
  <c r="M148" i="32" s="1" a="1"/>
  <c r="M148" i="32" s="1"/>
  <c r="L128" i="32"/>
  <c r="M128" i="32" s="1" a="1"/>
  <c r="M128" i="32" s="1"/>
  <c r="L130" i="32"/>
  <c r="M130" i="32" s="1" a="1"/>
  <c r="M130" i="32" s="1"/>
  <c r="L171" i="32"/>
  <c r="M171" i="32" s="1" a="1"/>
  <c r="M171" i="32" s="1"/>
  <c r="L156" i="32"/>
  <c r="M156" i="32" s="1" a="1"/>
  <c r="M156" i="32" s="1"/>
  <c r="L251" i="32"/>
  <c r="M251" i="32" s="1" a="1"/>
  <c r="M251" i="32" s="1"/>
  <c r="L39" i="32"/>
  <c r="M39" i="32" s="1" a="1"/>
  <c r="M39" i="32" s="1"/>
  <c r="L91" i="32"/>
  <c r="M91" i="32" s="1" a="1"/>
  <c r="M91" i="32" s="1"/>
  <c r="L25" i="32"/>
  <c r="M25" i="32" s="1" a="1"/>
  <c r="M25" i="32" s="1"/>
  <c r="L81" i="32"/>
  <c r="M81" i="32" s="1" a="1"/>
  <c r="M81" i="32" s="1"/>
  <c r="L84" i="32"/>
  <c r="M84" i="32" s="1" a="1"/>
  <c r="M84" i="32" s="1"/>
  <c r="L147" i="32"/>
  <c r="M147" i="32" s="1" a="1"/>
  <c r="M147" i="32" s="1"/>
  <c r="L228" i="32"/>
  <c r="M228" i="32" s="1" a="1"/>
  <c r="M228" i="32" s="1"/>
  <c r="L255" i="32"/>
  <c r="M255" i="32" s="1" a="1"/>
  <c r="M255" i="32" s="1"/>
  <c r="L163" i="32"/>
  <c r="M163" i="32" s="1" a="1"/>
  <c r="M163" i="32" s="1"/>
  <c r="L282" i="32"/>
  <c r="M282" i="32" s="1" a="1"/>
  <c r="M282" i="32" s="1"/>
  <c r="L105" i="32"/>
  <c r="M105" i="32" s="1" a="1"/>
  <c r="M105" i="32" s="1"/>
  <c r="L248" i="32"/>
  <c r="M248" i="32" s="1" a="1"/>
  <c r="M248" i="32" s="1"/>
  <c r="L257" i="32"/>
  <c r="M257" i="32" s="1" a="1"/>
  <c r="M257" i="32" s="1"/>
  <c r="L142" i="32"/>
  <c r="M142" i="32" s="1" a="1"/>
  <c r="M142" i="32" s="1"/>
  <c r="L240" i="32"/>
  <c r="M240" i="32" s="1" a="1"/>
  <c r="M240" i="32" s="1"/>
  <c r="L32" i="32"/>
  <c r="M32" i="32" s="1" a="1"/>
  <c r="M32" i="32" s="1"/>
  <c r="L65" i="32"/>
  <c r="M65" i="32" s="1" a="1"/>
  <c r="M65" i="32" s="1"/>
  <c r="L158" i="32"/>
  <c r="M158" i="32" s="1" a="1"/>
  <c r="M158" i="32" s="1"/>
  <c r="L213" i="32"/>
  <c r="M213" i="32" s="1" a="1"/>
  <c r="M213" i="32" s="1"/>
  <c r="L55" i="32"/>
  <c r="M55" i="32" s="1" a="1"/>
  <c r="M55" i="32" s="1"/>
  <c r="L132" i="32"/>
  <c r="M132" i="32" s="1" a="1"/>
  <c r="M132" i="32" s="1"/>
  <c r="L286" i="32"/>
  <c r="M286" i="32" s="1" a="1"/>
  <c r="M286" i="32" s="1"/>
  <c r="L162" i="32"/>
  <c r="M162" i="32" s="1" a="1"/>
  <c r="M162" i="32" s="1"/>
  <c r="L176" i="32"/>
  <c r="M176" i="32" s="1" a="1"/>
  <c r="M176" i="32" s="1"/>
  <c r="L254" i="32"/>
  <c r="M254" i="32" s="1" a="1"/>
  <c r="M254" i="32" s="1"/>
  <c r="L167" i="32"/>
  <c r="M167" i="32" s="1" a="1"/>
  <c r="M167" i="32" s="1"/>
  <c r="L123" i="32"/>
  <c r="M123" i="32" s="1" a="1"/>
  <c r="M123" i="32" s="1"/>
  <c r="L244" i="32"/>
  <c r="M244" i="32" s="1" a="1"/>
  <c r="M244" i="32" s="1"/>
  <c r="L223" i="32"/>
  <c r="M223" i="32" s="1" a="1"/>
  <c r="M223" i="32" s="1"/>
  <c r="L232" i="32"/>
  <c r="M232" i="32" s="1" a="1"/>
  <c r="M232" i="32" s="1"/>
  <c r="L141" i="32"/>
  <c r="M141" i="32" s="1" a="1"/>
  <c r="M141" i="32" s="1"/>
  <c r="L152" i="32"/>
  <c r="M152" i="32" s="1" a="1"/>
  <c r="M152" i="32" s="1"/>
  <c r="L170" i="32"/>
  <c r="M170" i="32" s="1" a="1"/>
  <c r="M170" i="32" s="1"/>
  <c r="L267" i="32"/>
  <c r="M267" i="32" s="1" a="1"/>
  <c r="M267" i="32" s="1"/>
  <c r="L278" i="32"/>
  <c r="M278" i="32" s="1" a="1"/>
  <c r="M278" i="32" s="1"/>
  <c r="L294" i="32"/>
  <c r="M294" i="32" s="1" a="1"/>
  <c r="M294" i="32" s="1"/>
  <c r="L172" i="32"/>
  <c r="M172" i="32" s="1" a="1"/>
  <c r="M172" i="32" s="1"/>
  <c r="L263" i="32"/>
  <c r="M263" i="32" s="1" a="1"/>
  <c r="M263" i="32" s="1"/>
  <c r="L187" i="32"/>
  <c r="M187" i="32" s="1" a="1"/>
  <c r="M187" i="32" s="1"/>
  <c r="L235" i="32"/>
  <c r="M235" i="32" s="1" a="1"/>
  <c r="M235" i="32" s="1"/>
  <c r="L297" i="32"/>
  <c r="M297" i="32" s="1" a="1"/>
  <c r="M297" i="32" s="1"/>
  <c r="L205" i="32"/>
  <c r="M205" i="32" s="1" a="1"/>
  <c r="M205" i="32" s="1"/>
  <c r="L247" i="32"/>
  <c r="M247" i="32" s="1" a="1"/>
  <c r="M247" i="32" s="1"/>
  <c r="L287" i="32"/>
  <c r="M287" i="32" s="1" a="1"/>
  <c r="M287" i="32" s="1"/>
  <c r="L252" i="32"/>
  <c r="M252" i="32" s="1" a="1"/>
  <c r="M252" i="32" s="1"/>
  <c r="L277" i="32"/>
  <c r="M277" i="32" s="1" a="1"/>
  <c r="M277" i="32" s="1"/>
  <c r="H19" i="31"/>
  <c r="H18" i="31"/>
  <c r="H17" i="31"/>
  <c r="H15" i="31"/>
  <c r="H14" i="31"/>
  <c r="H13" i="31"/>
  <c r="H12" i="31"/>
  <c r="E15" i="31"/>
  <c r="E14" i="31"/>
  <c r="E13" i="31"/>
  <c r="E12" i="31"/>
  <c r="Z7" i="3" l="1"/>
  <c r="E5" i="22"/>
  <c r="AE7" i="3"/>
  <c r="AG7" i="3"/>
  <c r="AF7" i="3"/>
  <c r="AC7" i="3"/>
  <c r="AB7" i="3"/>
  <c r="AJ7" i="3"/>
  <c r="AK7" i="3"/>
  <c r="AI7" i="3" a="1"/>
  <c r="AI7" i="3" s="1"/>
  <c r="AM7" i="3"/>
  <c r="H8" i="31"/>
  <c r="H7" i="31"/>
  <c r="H10" i="31"/>
  <c r="E10" i="31"/>
  <c r="E9" i="31"/>
  <c r="AL7" i="3" l="1" a="1"/>
  <c r="AL7" i="3" s="1"/>
  <c r="AD7" i="3"/>
  <c r="AD7" i="3" a="1"/>
  <c r="AH7" i="3" a="1"/>
  <c r="AH7" i="3" s="1"/>
  <c r="E6" i="31"/>
  <c r="E5" i="31"/>
  <c r="E4" i="31"/>
  <c r="E11" i="31" l="1"/>
  <c r="D21" i="31"/>
  <c r="D20" i="31"/>
  <c r="D11" i="31"/>
  <c r="H3" i="31" l="1"/>
  <c r="H2" i="31"/>
  <c r="H9" i="31" l="1"/>
  <c r="E35" i="31" l="1"/>
  <c r="H28" i="31"/>
  <c r="H30" i="31" s="1"/>
  <c r="E28" i="31"/>
  <c r="H27" i="31"/>
  <c r="R7" i="30"/>
  <c r="AZ29" i="22" l="1"/>
  <c r="AX29" i="22"/>
  <c r="AV29" i="22"/>
  <c r="AT29" i="22"/>
  <c r="AR29" i="22"/>
  <c r="AP29" i="22"/>
  <c r="AJ29" i="22"/>
  <c r="AL29" i="22"/>
  <c r="AN29" i="22"/>
  <c r="B10" i="3" l="1"/>
  <c r="B11" i="3"/>
  <c r="Z215" i="26" l="1"/>
  <c r="Z214" i="26"/>
  <c r="Z213" i="26"/>
  <c r="Z212" i="26"/>
  <c r="Z211" i="26"/>
  <c r="Z210" i="26"/>
  <c r="Z209" i="26"/>
  <c r="Z208" i="26"/>
  <c r="Z207" i="26"/>
  <c r="Z206" i="26"/>
  <c r="Z205" i="26"/>
  <c r="Z204" i="26"/>
  <c r="Z203" i="26"/>
  <c r="Z202" i="26"/>
  <c r="Z201" i="26"/>
  <c r="Z200" i="26"/>
  <c r="Z199" i="26"/>
  <c r="Z198" i="26"/>
  <c r="Z197" i="26"/>
  <c r="Z196" i="26"/>
  <c r="Z195" i="26"/>
  <c r="Z194" i="26"/>
  <c r="Z193" i="26"/>
  <c r="Z192" i="26"/>
  <c r="Z191" i="26"/>
  <c r="Z190" i="26"/>
  <c r="Z189" i="26"/>
  <c r="Z188" i="26"/>
  <c r="Z187" i="26"/>
  <c r="Z186" i="26"/>
  <c r="Z185" i="26"/>
  <c r="Z184" i="26"/>
  <c r="Z183" i="26"/>
  <c r="Z182" i="26"/>
  <c r="Z181" i="26"/>
  <c r="Z180" i="26"/>
  <c r="Z179" i="26"/>
  <c r="Z178" i="26"/>
  <c r="Z177" i="26"/>
  <c r="Z176" i="26"/>
  <c r="Z175" i="26"/>
  <c r="Z174" i="26"/>
  <c r="Z173" i="26"/>
  <c r="Z172" i="26"/>
  <c r="Z171" i="26"/>
  <c r="Z170" i="26"/>
  <c r="Z169" i="26"/>
  <c r="Z168" i="26"/>
  <c r="Z167" i="26"/>
  <c r="Z166" i="26"/>
  <c r="Z165" i="26"/>
  <c r="Z164" i="26"/>
  <c r="Z163" i="26"/>
  <c r="Z162" i="26"/>
  <c r="Z161" i="26"/>
  <c r="Z160" i="26"/>
  <c r="Z159" i="26"/>
  <c r="Z158" i="26"/>
  <c r="Z157" i="26"/>
  <c r="Z156" i="26"/>
  <c r="Z155" i="26"/>
  <c r="Z154" i="26"/>
  <c r="Z153" i="26"/>
  <c r="Z152" i="26"/>
  <c r="Z151" i="26"/>
  <c r="Z150" i="26"/>
  <c r="Z149" i="26"/>
  <c r="Z148" i="26"/>
  <c r="Z147" i="26"/>
  <c r="Z146" i="26"/>
  <c r="Z145" i="26"/>
  <c r="Z144" i="26"/>
  <c r="Z143" i="26"/>
  <c r="Z142" i="26"/>
  <c r="Z141" i="26"/>
  <c r="Z140" i="26"/>
  <c r="Z139" i="26"/>
  <c r="Z138" i="26"/>
  <c r="Z137" i="26"/>
  <c r="Z136" i="26"/>
  <c r="Z135" i="26"/>
  <c r="Z134" i="26"/>
  <c r="Z133" i="26"/>
  <c r="Z132" i="26"/>
  <c r="Z131" i="26"/>
  <c r="Z130" i="26"/>
  <c r="Z129" i="26"/>
  <c r="Z128" i="26"/>
  <c r="Z127" i="26"/>
  <c r="Z126" i="26"/>
  <c r="Z125" i="26"/>
  <c r="Z124" i="26"/>
  <c r="Z123" i="26"/>
  <c r="Z122" i="26"/>
  <c r="Z121" i="26"/>
  <c r="Z120" i="26"/>
  <c r="Z119" i="26"/>
  <c r="Z118" i="26"/>
  <c r="Z117" i="26"/>
  <c r="Z116" i="26"/>
  <c r="Z115" i="26"/>
  <c r="Z114" i="26"/>
  <c r="Z113" i="26"/>
  <c r="Z112" i="26"/>
  <c r="Z111" i="26"/>
  <c r="Z110" i="26"/>
  <c r="Z109" i="26"/>
  <c r="Z108" i="26"/>
  <c r="Z107" i="26"/>
  <c r="Z106" i="26"/>
  <c r="Z105" i="26"/>
  <c r="Z104" i="26"/>
  <c r="Z103" i="26"/>
  <c r="Z102" i="26"/>
  <c r="Z101" i="26"/>
  <c r="Z100" i="26"/>
  <c r="Z99" i="26"/>
  <c r="Z98" i="26"/>
  <c r="Z97" i="26"/>
  <c r="Z96" i="26"/>
  <c r="Z95" i="26"/>
  <c r="Z94" i="26"/>
  <c r="Z93" i="26"/>
  <c r="Z92" i="26"/>
  <c r="Z91" i="26"/>
  <c r="Z90" i="26"/>
  <c r="Z89" i="26"/>
  <c r="Z88" i="26"/>
  <c r="Z87" i="26"/>
  <c r="Z86" i="26"/>
  <c r="Z85" i="26"/>
  <c r="Z84" i="26"/>
  <c r="Z83" i="26"/>
  <c r="Z82" i="26"/>
  <c r="Z81" i="26"/>
  <c r="Z80" i="26"/>
  <c r="Z79" i="26"/>
  <c r="Z78" i="26"/>
  <c r="Z77" i="26"/>
  <c r="Z76" i="26"/>
  <c r="Z75" i="26"/>
  <c r="Z74" i="26"/>
  <c r="Z73" i="26"/>
  <c r="Z72" i="26"/>
  <c r="Z71" i="26"/>
  <c r="Z70" i="26"/>
  <c r="Z69" i="26"/>
  <c r="Z68" i="26"/>
  <c r="Z67" i="26"/>
  <c r="Z66" i="26"/>
  <c r="Z65" i="26"/>
  <c r="Z64" i="26"/>
  <c r="Z63" i="26"/>
  <c r="Z62" i="26"/>
  <c r="Z61" i="26"/>
  <c r="Z60" i="26"/>
  <c r="Z59" i="26"/>
  <c r="Z58" i="26"/>
  <c r="Z57" i="26"/>
  <c r="Z56" i="26"/>
  <c r="Z55" i="26"/>
  <c r="Z54" i="26"/>
  <c r="Z53" i="26"/>
  <c r="Z52" i="26"/>
  <c r="Z51" i="26"/>
  <c r="Z50" i="26"/>
  <c r="Z49" i="26"/>
  <c r="Z48" i="26"/>
  <c r="Z47" i="26"/>
  <c r="Z46" i="26"/>
  <c r="Z45" i="26"/>
  <c r="Z44" i="26"/>
  <c r="Z43" i="26"/>
  <c r="Z42" i="26"/>
  <c r="Z41" i="26"/>
  <c r="Z40" i="26"/>
  <c r="Z39" i="26"/>
  <c r="Z38" i="26"/>
  <c r="Z37" i="26"/>
  <c r="Z36" i="26"/>
  <c r="Z35" i="26"/>
  <c r="Z34" i="26"/>
  <c r="Z33" i="26"/>
  <c r="Z32" i="26"/>
  <c r="Z31" i="26"/>
  <c r="Z30" i="26"/>
  <c r="Z29" i="26"/>
  <c r="Z28" i="26"/>
  <c r="Z27" i="26"/>
  <c r="Z26" i="26"/>
  <c r="Z25" i="26"/>
  <c r="Z24" i="26"/>
  <c r="Z23" i="26"/>
  <c r="Z22" i="26"/>
  <c r="Z21" i="26"/>
  <c r="Z20" i="26"/>
  <c r="Z19" i="26"/>
  <c r="Z18" i="26"/>
  <c r="Z17" i="26"/>
  <c r="Z16" i="26"/>
  <c r="Z15" i="26"/>
  <c r="Z14" i="26"/>
  <c r="Z13" i="26"/>
  <c r="Z12" i="26"/>
  <c r="Z11" i="26"/>
  <c r="Z10" i="26"/>
  <c r="Z9" i="26"/>
  <c r="Z8" i="26"/>
  <c r="Z7" i="26"/>
  <c r="Z6" i="26"/>
  <c r="R215" i="26"/>
  <c r="R214" i="26"/>
  <c r="R213" i="26"/>
  <c r="R212" i="26"/>
  <c r="R211" i="26"/>
  <c r="R210" i="26"/>
  <c r="R209" i="26"/>
  <c r="R208" i="26"/>
  <c r="R207" i="26"/>
  <c r="R206" i="26"/>
  <c r="R205" i="26"/>
  <c r="R204" i="26"/>
  <c r="R203" i="26"/>
  <c r="R202" i="26"/>
  <c r="R201" i="26"/>
  <c r="R200" i="26"/>
  <c r="R199" i="26"/>
  <c r="R198" i="26"/>
  <c r="R197" i="26"/>
  <c r="R196" i="26"/>
  <c r="R195" i="26"/>
  <c r="R194" i="26"/>
  <c r="R193" i="26"/>
  <c r="R192" i="26"/>
  <c r="R191" i="26"/>
  <c r="R190" i="26"/>
  <c r="R189" i="26"/>
  <c r="R188" i="26"/>
  <c r="R187" i="26"/>
  <c r="R186" i="26"/>
  <c r="R185" i="26"/>
  <c r="R184" i="26"/>
  <c r="R183" i="26"/>
  <c r="R182" i="26"/>
  <c r="R181" i="26"/>
  <c r="R180" i="26"/>
  <c r="R179" i="26"/>
  <c r="R178" i="26"/>
  <c r="R177" i="26"/>
  <c r="R176" i="26"/>
  <c r="R175" i="26"/>
  <c r="R174" i="26"/>
  <c r="R173" i="26"/>
  <c r="R172" i="26"/>
  <c r="R171" i="26"/>
  <c r="R170" i="26"/>
  <c r="R169" i="26"/>
  <c r="R168" i="26"/>
  <c r="R167" i="26"/>
  <c r="R166" i="26"/>
  <c r="R165" i="26"/>
  <c r="R164" i="26"/>
  <c r="R163" i="26"/>
  <c r="R162" i="26"/>
  <c r="R161" i="26"/>
  <c r="R160" i="26"/>
  <c r="R159" i="26"/>
  <c r="R158" i="26"/>
  <c r="R157" i="26"/>
  <c r="R156" i="26"/>
  <c r="R155" i="26"/>
  <c r="R154" i="26"/>
  <c r="R153" i="26"/>
  <c r="R152" i="26"/>
  <c r="R151" i="26"/>
  <c r="R150" i="26"/>
  <c r="R149" i="26"/>
  <c r="R148" i="26"/>
  <c r="R147" i="26"/>
  <c r="R146" i="26"/>
  <c r="R145" i="26"/>
  <c r="R144" i="26"/>
  <c r="R143" i="26"/>
  <c r="R142" i="26"/>
  <c r="R141" i="26"/>
  <c r="R140" i="26"/>
  <c r="R139" i="26"/>
  <c r="R138" i="26"/>
  <c r="R137" i="26"/>
  <c r="R136" i="26"/>
  <c r="R135" i="26"/>
  <c r="R134" i="26"/>
  <c r="R133" i="26"/>
  <c r="R132" i="26"/>
  <c r="R131" i="26"/>
  <c r="R130" i="26"/>
  <c r="R129" i="26"/>
  <c r="R128" i="26"/>
  <c r="R127" i="26"/>
  <c r="R126" i="26"/>
  <c r="R125" i="26"/>
  <c r="R124" i="26"/>
  <c r="R123" i="26"/>
  <c r="R122" i="26"/>
  <c r="R121" i="26"/>
  <c r="R120" i="26"/>
  <c r="R119" i="26"/>
  <c r="R118" i="26"/>
  <c r="R117" i="26"/>
  <c r="R116" i="26"/>
  <c r="R115" i="26"/>
  <c r="R114" i="26"/>
  <c r="R113" i="26"/>
  <c r="R112" i="26"/>
  <c r="R111" i="26"/>
  <c r="R110" i="26"/>
  <c r="R109" i="26"/>
  <c r="R108" i="26"/>
  <c r="R107" i="26"/>
  <c r="R106" i="26"/>
  <c r="R105" i="26"/>
  <c r="R104" i="26"/>
  <c r="R103" i="26"/>
  <c r="R102" i="26"/>
  <c r="R101" i="26"/>
  <c r="R100" i="26"/>
  <c r="R99" i="26"/>
  <c r="R98" i="26"/>
  <c r="R97" i="26"/>
  <c r="R96" i="26"/>
  <c r="R95" i="26"/>
  <c r="R94" i="26"/>
  <c r="R93" i="26"/>
  <c r="R92" i="26"/>
  <c r="R91" i="26"/>
  <c r="R90" i="26"/>
  <c r="R89" i="26"/>
  <c r="R88" i="26"/>
  <c r="R87" i="26"/>
  <c r="R86" i="26"/>
  <c r="R85" i="26"/>
  <c r="R84" i="26"/>
  <c r="R83" i="26"/>
  <c r="R82" i="26"/>
  <c r="R81" i="26"/>
  <c r="R80" i="26"/>
  <c r="R79" i="26"/>
  <c r="R78" i="26"/>
  <c r="R77" i="26"/>
  <c r="R76" i="26"/>
  <c r="R75" i="26"/>
  <c r="R74" i="26"/>
  <c r="R73" i="26"/>
  <c r="R72" i="26"/>
  <c r="R71" i="26"/>
  <c r="R70" i="26"/>
  <c r="R69" i="26"/>
  <c r="R68" i="26"/>
  <c r="R67" i="26"/>
  <c r="R66" i="26"/>
  <c r="R65" i="26"/>
  <c r="R64" i="26"/>
  <c r="R63" i="26"/>
  <c r="R62" i="26"/>
  <c r="R61" i="26"/>
  <c r="R60" i="26"/>
  <c r="R59" i="26"/>
  <c r="R58" i="26"/>
  <c r="R57" i="26"/>
  <c r="R56" i="26"/>
  <c r="R55" i="26"/>
  <c r="R54" i="26"/>
  <c r="R53" i="26"/>
  <c r="R52" i="26"/>
  <c r="R51" i="26"/>
  <c r="R50" i="26"/>
  <c r="R49" i="26"/>
  <c r="R48" i="26"/>
  <c r="R47" i="26"/>
  <c r="R46" i="26"/>
  <c r="R45" i="26"/>
  <c r="R44" i="26"/>
  <c r="R43" i="26"/>
  <c r="R42" i="26"/>
  <c r="R41" i="26"/>
  <c r="R40" i="26"/>
  <c r="R39" i="26"/>
  <c r="R38" i="26"/>
  <c r="R37" i="26"/>
  <c r="R36" i="26"/>
  <c r="R35" i="26"/>
  <c r="R34" i="26"/>
  <c r="R33" i="26"/>
  <c r="R32" i="26"/>
  <c r="R31" i="26"/>
  <c r="R30" i="26"/>
  <c r="R29" i="26"/>
  <c r="R28" i="26"/>
  <c r="R27" i="26"/>
  <c r="R26" i="26"/>
  <c r="R25" i="26"/>
  <c r="R24" i="26"/>
  <c r="R23" i="26"/>
  <c r="R22" i="26"/>
  <c r="R21" i="26"/>
  <c r="R20" i="26"/>
  <c r="R19" i="26"/>
  <c r="R18" i="26"/>
  <c r="R17" i="26"/>
  <c r="R16" i="26"/>
  <c r="R15" i="26"/>
  <c r="R14" i="26"/>
  <c r="R13" i="26"/>
  <c r="R12" i="26"/>
  <c r="R11" i="26"/>
  <c r="R10" i="26"/>
  <c r="R9" i="26"/>
  <c r="R8" i="26"/>
  <c r="R7" i="26"/>
  <c r="R6" i="26"/>
  <c r="N215" i="26"/>
  <c r="K215" i="26"/>
  <c r="I215" i="26"/>
  <c r="J215" i="26" s="1" a="1"/>
  <c r="J215" i="26" s="1"/>
  <c r="H215" i="26"/>
  <c r="N214" i="26"/>
  <c r="K214" i="26"/>
  <c r="I214" i="26"/>
  <c r="J214" i="26" s="1" a="1"/>
  <c r="J214" i="26" s="1"/>
  <c r="H214" i="26"/>
  <c r="N213" i="26"/>
  <c r="K213" i="26"/>
  <c r="I213" i="26"/>
  <c r="J213" i="26" s="1" a="1"/>
  <c r="J213" i="26" s="1"/>
  <c r="H213" i="26"/>
  <c r="N212" i="26"/>
  <c r="K212" i="26"/>
  <c r="I212" i="26"/>
  <c r="J212" i="26" s="1" a="1"/>
  <c r="J212" i="26" s="1"/>
  <c r="H212" i="26"/>
  <c r="N211" i="26"/>
  <c r="K211" i="26"/>
  <c r="I211" i="26"/>
  <c r="J211" i="26" s="1" a="1"/>
  <c r="J211" i="26" s="1"/>
  <c r="H211" i="26"/>
  <c r="N210" i="26"/>
  <c r="K210" i="26"/>
  <c r="I210" i="26"/>
  <c r="J210" i="26" s="1" a="1"/>
  <c r="J210" i="26" s="1"/>
  <c r="H210" i="26"/>
  <c r="N209" i="26"/>
  <c r="K209" i="26"/>
  <c r="I209" i="26"/>
  <c r="J209" i="26" s="1" a="1"/>
  <c r="J209" i="26" s="1"/>
  <c r="H209" i="26"/>
  <c r="N208" i="26"/>
  <c r="K208" i="26"/>
  <c r="I208" i="26"/>
  <c r="J208" i="26" s="1" a="1"/>
  <c r="J208" i="26" s="1"/>
  <c r="H208" i="26"/>
  <c r="N207" i="26"/>
  <c r="K207" i="26"/>
  <c r="I207" i="26"/>
  <c r="J207" i="26" s="1" a="1"/>
  <c r="J207" i="26" s="1"/>
  <c r="H207" i="26"/>
  <c r="N206" i="26"/>
  <c r="K206" i="26"/>
  <c r="I206" i="26"/>
  <c r="J206" i="26" s="1" a="1"/>
  <c r="J206" i="26" s="1"/>
  <c r="H206" i="26"/>
  <c r="N205" i="26"/>
  <c r="K205" i="26"/>
  <c r="I205" i="26"/>
  <c r="J205" i="26" s="1" a="1"/>
  <c r="J205" i="26" s="1"/>
  <c r="H205" i="26"/>
  <c r="N204" i="26"/>
  <c r="K204" i="26"/>
  <c r="I204" i="26"/>
  <c r="H204" i="26"/>
  <c r="N203" i="26"/>
  <c r="K203" i="26"/>
  <c r="I203" i="26"/>
  <c r="J203" i="26" s="1" a="1"/>
  <c r="J203" i="26" s="1"/>
  <c r="H203" i="26"/>
  <c r="N202" i="26"/>
  <c r="K202" i="26"/>
  <c r="I202" i="26"/>
  <c r="H202" i="26"/>
  <c r="N201" i="26"/>
  <c r="K201" i="26"/>
  <c r="I201" i="26"/>
  <c r="J201" i="26" s="1" a="1"/>
  <c r="J201" i="26" s="1"/>
  <c r="H201" i="26"/>
  <c r="N200" i="26"/>
  <c r="K200" i="26"/>
  <c r="I200" i="26"/>
  <c r="J200" i="26" s="1" a="1"/>
  <c r="J200" i="26" s="1"/>
  <c r="H200" i="26"/>
  <c r="N199" i="26"/>
  <c r="K199" i="26"/>
  <c r="I199" i="26"/>
  <c r="J199" i="26" s="1" a="1"/>
  <c r="J199" i="26" s="1"/>
  <c r="H199" i="26"/>
  <c r="N198" i="26"/>
  <c r="K198" i="26"/>
  <c r="I198" i="26"/>
  <c r="J198" i="26" s="1" a="1"/>
  <c r="J198" i="26" s="1"/>
  <c r="H198" i="26"/>
  <c r="N197" i="26"/>
  <c r="K197" i="26"/>
  <c r="I197" i="26"/>
  <c r="J197" i="26" s="1" a="1"/>
  <c r="J197" i="26" s="1"/>
  <c r="H197" i="26"/>
  <c r="N196" i="26"/>
  <c r="K196" i="26"/>
  <c r="I196" i="26"/>
  <c r="J196" i="26" s="1" a="1"/>
  <c r="J196" i="26" s="1"/>
  <c r="H196" i="26"/>
  <c r="N195" i="26"/>
  <c r="K195" i="26"/>
  <c r="I195" i="26"/>
  <c r="J195" i="26" s="1" a="1"/>
  <c r="J195" i="26" s="1"/>
  <c r="H195" i="26"/>
  <c r="N194" i="26"/>
  <c r="K194" i="26"/>
  <c r="I194" i="26"/>
  <c r="J194" i="26" s="1" a="1"/>
  <c r="J194" i="26" s="1"/>
  <c r="H194" i="26"/>
  <c r="N193" i="26"/>
  <c r="K193" i="26"/>
  <c r="I193" i="26"/>
  <c r="J193" i="26" s="1" a="1"/>
  <c r="J193" i="26" s="1"/>
  <c r="H193" i="26"/>
  <c r="N192" i="26"/>
  <c r="K192" i="26"/>
  <c r="I192" i="26"/>
  <c r="J192" i="26" s="1" a="1"/>
  <c r="J192" i="26" s="1"/>
  <c r="H192" i="26"/>
  <c r="N191" i="26"/>
  <c r="K191" i="26"/>
  <c r="I191" i="26"/>
  <c r="J191" i="26" s="1" a="1"/>
  <c r="J191" i="26" s="1"/>
  <c r="H191" i="26"/>
  <c r="N190" i="26"/>
  <c r="K190" i="26"/>
  <c r="I190" i="26"/>
  <c r="J190" i="26" s="1" a="1"/>
  <c r="J190" i="26" s="1"/>
  <c r="H190" i="26"/>
  <c r="N189" i="26"/>
  <c r="K189" i="26"/>
  <c r="I189" i="26"/>
  <c r="J189" i="26" s="1" a="1"/>
  <c r="J189" i="26" s="1"/>
  <c r="H189" i="26"/>
  <c r="N188" i="26"/>
  <c r="K188" i="26"/>
  <c r="I188" i="26"/>
  <c r="J188" i="26" s="1" a="1"/>
  <c r="J188" i="26" s="1"/>
  <c r="H188" i="26"/>
  <c r="N187" i="26"/>
  <c r="K187" i="26"/>
  <c r="I187" i="26"/>
  <c r="J187" i="26" s="1" a="1"/>
  <c r="J187" i="26" s="1"/>
  <c r="H187" i="26"/>
  <c r="N186" i="26"/>
  <c r="K186" i="26"/>
  <c r="I186" i="26"/>
  <c r="J186" i="26" s="1" a="1"/>
  <c r="J186" i="26" s="1"/>
  <c r="H186" i="26"/>
  <c r="N185" i="26"/>
  <c r="K185" i="26"/>
  <c r="I185" i="26"/>
  <c r="J185" i="26" s="1" a="1"/>
  <c r="J185" i="26" s="1"/>
  <c r="H185" i="26"/>
  <c r="N184" i="26"/>
  <c r="K184" i="26"/>
  <c r="I184" i="26"/>
  <c r="H184" i="26"/>
  <c r="N183" i="26"/>
  <c r="K183" i="26"/>
  <c r="I183" i="26"/>
  <c r="J183" i="26" s="1" a="1"/>
  <c r="J183" i="26" s="1"/>
  <c r="H183" i="26"/>
  <c r="N182" i="26"/>
  <c r="K182" i="26"/>
  <c r="I182" i="26"/>
  <c r="H182" i="26"/>
  <c r="N181" i="26"/>
  <c r="K181" i="26"/>
  <c r="I181" i="26"/>
  <c r="J181" i="26" s="1" a="1"/>
  <c r="J181" i="26" s="1"/>
  <c r="H181" i="26"/>
  <c r="N180" i="26"/>
  <c r="K180" i="26"/>
  <c r="I180" i="26"/>
  <c r="J180" i="26" s="1" a="1"/>
  <c r="J180" i="26" s="1"/>
  <c r="H180" i="26"/>
  <c r="N179" i="26"/>
  <c r="K179" i="26"/>
  <c r="I179" i="26"/>
  <c r="J179" i="26" s="1" a="1"/>
  <c r="J179" i="26" s="1"/>
  <c r="H179" i="26"/>
  <c r="N178" i="26"/>
  <c r="K178" i="26"/>
  <c r="I178" i="26"/>
  <c r="J178" i="26" s="1" a="1"/>
  <c r="J178" i="26" s="1"/>
  <c r="H178" i="26"/>
  <c r="N177" i="26"/>
  <c r="K177" i="26"/>
  <c r="I177" i="26"/>
  <c r="J177" i="26" s="1" a="1"/>
  <c r="J177" i="26" s="1"/>
  <c r="H177" i="26"/>
  <c r="N176" i="26"/>
  <c r="K176" i="26"/>
  <c r="I176" i="26"/>
  <c r="J176" i="26" s="1" a="1"/>
  <c r="J176" i="26" s="1"/>
  <c r="H176" i="26"/>
  <c r="N175" i="26"/>
  <c r="K175" i="26"/>
  <c r="I175" i="26"/>
  <c r="J175" i="26" s="1" a="1"/>
  <c r="J175" i="26" s="1"/>
  <c r="H175" i="26"/>
  <c r="N174" i="26"/>
  <c r="K174" i="26"/>
  <c r="I174" i="26"/>
  <c r="J174" i="26" s="1" a="1"/>
  <c r="J174" i="26" s="1"/>
  <c r="H174" i="26"/>
  <c r="N173" i="26"/>
  <c r="K173" i="26"/>
  <c r="I173" i="26"/>
  <c r="J173" i="26" s="1" a="1"/>
  <c r="J173" i="26" s="1"/>
  <c r="H173" i="26"/>
  <c r="N172" i="26"/>
  <c r="K172" i="26"/>
  <c r="I172" i="26"/>
  <c r="J172" i="26" s="1" a="1"/>
  <c r="J172" i="26" s="1"/>
  <c r="H172" i="26"/>
  <c r="N171" i="26"/>
  <c r="K171" i="26"/>
  <c r="I171" i="26"/>
  <c r="J171" i="26" s="1" a="1"/>
  <c r="J171" i="26" s="1"/>
  <c r="H171" i="26"/>
  <c r="N170" i="26"/>
  <c r="K170" i="26"/>
  <c r="I170" i="26"/>
  <c r="J170" i="26" s="1" a="1"/>
  <c r="J170" i="26" s="1"/>
  <c r="H170" i="26"/>
  <c r="N169" i="26"/>
  <c r="K169" i="26"/>
  <c r="I169" i="26"/>
  <c r="J169" i="26" s="1" a="1"/>
  <c r="J169" i="26" s="1"/>
  <c r="H169" i="26"/>
  <c r="N168" i="26"/>
  <c r="K168" i="26"/>
  <c r="I168" i="26"/>
  <c r="J168" i="26" s="1" a="1"/>
  <c r="J168" i="26" s="1"/>
  <c r="H168" i="26"/>
  <c r="N167" i="26"/>
  <c r="K167" i="26"/>
  <c r="I167" i="26"/>
  <c r="J167" i="26" s="1" a="1"/>
  <c r="J167" i="26" s="1"/>
  <c r="H167" i="26"/>
  <c r="N166" i="26"/>
  <c r="K166" i="26"/>
  <c r="I166" i="26"/>
  <c r="J166" i="26" s="1" a="1"/>
  <c r="J166" i="26" s="1"/>
  <c r="H166" i="26"/>
  <c r="N165" i="26"/>
  <c r="K165" i="26"/>
  <c r="I165" i="26"/>
  <c r="J165" i="26" s="1" a="1"/>
  <c r="J165" i="26" s="1"/>
  <c r="H165" i="26"/>
  <c r="N164" i="26"/>
  <c r="K164" i="26"/>
  <c r="I164" i="26"/>
  <c r="H164" i="26"/>
  <c r="N163" i="26"/>
  <c r="K163" i="26"/>
  <c r="I163" i="26"/>
  <c r="J163" i="26" s="1" a="1"/>
  <c r="J163" i="26" s="1"/>
  <c r="H163" i="26"/>
  <c r="N162" i="26"/>
  <c r="K162" i="26"/>
  <c r="I162" i="26"/>
  <c r="J162" i="26" s="1" a="1"/>
  <c r="J162" i="26" s="1"/>
  <c r="H162" i="26"/>
  <c r="N161" i="26"/>
  <c r="K161" i="26"/>
  <c r="I161" i="26"/>
  <c r="J161" i="26" s="1" a="1"/>
  <c r="J161" i="26" s="1"/>
  <c r="H161" i="26"/>
  <c r="N160" i="26"/>
  <c r="K160" i="26"/>
  <c r="I160" i="26"/>
  <c r="J160" i="26" s="1" a="1"/>
  <c r="J160" i="26" s="1"/>
  <c r="H160" i="26"/>
  <c r="N159" i="26"/>
  <c r="K159" i="26"/>
  <c r="I159" i="26"/>
  <c r="J159" i="26" s="1" a="1"/>
  <c r="J159" i="26" s="1"/>
  <c r="H159" i="26"/>
  <c r="N158" i="26"/>
  <c r="K158" i="26"/>
  <c r="I158" i="26"/>
  <c r="J158" i="26" s="1" a="1"/>
  <c r="J158" i="26" s="1"/>
  <c r="H158" i="26"/>
  <c r="N157" i="26"/>
  <c r="K157" i="26"/>
  <c r="I157" i="26"/>
  <c r="J157" i="26" s="1" a="1"/>
  <c r="J157" i="26" s="1"/>
  <c r="H157" i="26"/>
  <c r="N156" i="26"/>
  <c r="K156" i="26"/>
  <c r="I156" i="26"/>
  <c r="J156" i="26" s="1" a="1"/>
  <c r="J156" i="26" s="1"/>
  <c r="H156" i="26"/>
  <c r="N155" i="26"/>
  <c r="K155" i="26"/>
  <c r="I155" i="26"/>
  <c r="J155" i="26" s="1" a="1"/>
  <c r="J155" i="26" s="1"/>
  <c r="H155" i="26"/>
  <c r="N154" i="26"/>
  <c r="K154" i="26"/>
  <c r="I154" i="26"/>
  <c r="J154" i="26" s="1" a="1"/>
  <c r="J154" i="26" s="1"/>
  <c r="H154" i="26"/>
  <c r="N153" i="26"/>
  <c r="K153" i="26"/>
  <c r="I153" i="26"/>
  <c r="J153" i="26" s="1" a="1"/>
  <c r="J153" i="26" s="1"/>
  <c r="H153" i="26"/>
  <c r="N152" i="26"/>
  <c r="K152" i="26"/>
  <c r="I152" i="26"/>
  <c r="J152" i="26" s="1" a="1"/>
  <c r="J152" i="26" s="1"/>
  <c r="H152" i="26"/>
  <c r="N151" i="26"/>
  <c r="K151" i="26"/>
  <c r="I151" i="26"/>
  <c r="J151" i="26" s="1" a="1"/>
  <c r="J151" i="26" s="1"/>
  <c r="H151" i="26"/>
  <c r="N150" i="26"/>
  <c r="K150" i="26"/>
  <c r="I150" i="26"/>
  <c r="J150" i="26" s="1" a="1"/>
  <c r="J150" i="26" s="1"/>
  <c r="H150" i="26"/>
  <c r="N149" i="26"/>
  <c r="K149" i="26"/>
  <c r="I149" i="26"/>
  <c r="J149" i="26" s="1" a="1"/>
  <c r="J149" i="26" s="1"/>
  <c r="H149" i="26"/>
  <c r="N148" i="26"/>
  <c r="K148" i="26"/>
  <c r="I148" i="26"/>
  <c r="J148" i="26" s="1" a="1"/>
  <c r="J148" i="26" s="1"/>
  <c r="H148" i="26"/>
  <c r="N147" i="26"/>
  <c r="K147" i="26"/>
  <c r="I147" i="26"/>
  <c r="J147" i="26" s="1" a="1"/>
  <c r="J147" i="26" s="1"/>
  <c r="H147" i="26"/>
  <c r="N146" i="26"/>
  <c r="K146" i="26"/>
  <c r="I146" i="26"/>
  <c r="J146" i="26" s="1" a="1"/>
  <c r="J146" i="26" s="1"/>
  <c r="H146" i="26"/>
  <c r="N145" i="26"/>
  <c r="K145" i="26"/>
  <c r="I145" i="26"/>
  <c r="J145" i="26" s="1" a="1"/>
  <c r="J145" i="26" s="1"/>
  <c r="H145" i="26"/>
  <c r="N144" i="26"/>
  <c r="K144" i="26"/>
  <c r="I144" i="26"/>
  <c r="H144" i="26"/>
  <c r="N143" i="26"/>
  <c r="K143" i="26"/>
  <c r="I143" i="26"/>
  <c r="J143" i="26" s="1" a="1"/>
  <c r="J143" i="26" s="1"/>
  <c r="H143" i="26"/>
  <c r="N142" i="26"/>
  <c r="K142" i="26"/>
  <c r="I142" i="26"/>
  <c r="J142" i="26" s="1" a="1"/>
  <c r="J142" i="26" s="1"/>
  <c r="H142" i="26"/>
  <c r="N141" i="26"/>
  <c r="K141" i="26"/>
  <c r="I141" i="26"/>
  <c r="J141" i="26" s="1" a="1"/>
  <c r="J141" i="26" s="1"/>
  <c r="H141" i="26"/>
  <c r="N140" i="26"/>
  <c r="K140" i="26"/>
  <c r="I140" i="26"/>
  <c r="J140" i="26" s="1" a="1"/>
  <c r="J140" i="26" s="1"/>
  <c r="H140" i="26"/>
  <c r="N139" i="26"/>
  <c r="K139" i="26"/>
  <c r="I139" i="26"/>
  <c r="J139" i="26" s="1" a="1"/>
  <c r="J139" i="26" s="1"/>
  <c r="H139" i="26"/>
  <c r="N138" i="26"/>
  <c r="K138" i="26"/>
  <c r="I138" i="26"/>
  <c r="J138" i="26" s="1" a="1"/>
  <c r="J138" i="26" s="1"/>
  <c r="H138" i="26"/>
  <c r="N137" i="26"/>
  <c r="K137" i="26"/>
  <c r="I137" i="26"/>
  <c r="J137" i="26" s="1" a="1"/>
  <c r="J137" i="26" s="1"/>
  <c r="H137" i="26"/>
  <c r="N136" i="26"/>
  <c r="K136" i="26"/>
  <c r="I136" i="26"/>
  <c r="J136" i="26" s="1" a="1"/>
  <c r="J136" i="26" s="1"/>
  <c r="H136" i="26"/>
  <c r="N135" i="26"/>
  <c r="K135" i="26"/>
  <c r="I135" i="26"/>
  <c r="H135" i="26"/>
  <c r="N134" i="26"/>
  <c r="K134" i="26"/>
  <c r="I134" i="26"/>
  <c r="J134" i="26" s="1" a="1"/>
  <c r="J134" i="26" s="1"/>
  <c r="H134" i="26"/>
  <c r="N133" i="26"/>
  <c r="K133" i="26"/>
  <c r="I133" i="26"/>
  <c r="J133" i="26" s="1" a="1"/>
  <c r="J133" i="26" s="1"/>
  <c r="H133" i="26"/>
  <c r="N132" i="26"/>
  <c r="K132" i="26"/>
  <c r="I132" i="26"/>
  <c r="J132" i="26" s="1" a="1"/>
  <c r="J132" i="26" s="1"/>
  <c r="H132" i="26"/>
  <c r="N131" i="26"/>
  <c r="K131" i="26"/>
  <c r="I131" i="26"/>
  <c r="J131" i="26" s="1" a="1"/>
  <c r="J131" i="26" s="1"/>
  <c r="H131" i="26"/>
  <c r="N130" i="26"/>
  <c r="K130" i="26"/>
  <c r="I130" i="26"/>
  <c r="J130" i="26" s="1" a="1"/>
  <c r="J130" i="26" s="1"/>
  <c r="H130" i="26"/>
  <c r="N129" i="26"/>
  <c r="K129" i="26"/>
  <c r="I129" i="26"/>
  <c r="J129" i="26" s="1" a="1"/>
  <c r="J129" i="26" s="1"/>
  <c r="H129" i="26"/>
  <c r="N128" i="26"/>
  <c r="K128" i="26"/>
  <c r="I128" i="26"/>
  <c r="J128" i="26" s="1" a="1"/>
  <c r="J128" i="26" s="1"/>
  <c r="H128" i="26"/>
  <c r="N127" i="26"/>
  <c r="K127" i="26"/>
  <c r="I127" i="26"/>
  <c r="J127" i="26" s="1" a="1"/>
  <c r="J127" i="26" s="1"/>
  <c r="H127" i="26"/>
  <c r="N126" i="26"/>
  <c r="K126" i="26"/>
  <c r="I126" i="26"/>
  <c r="J126" i="26" s="1" a="1"/>
  <c r="J126" i="26" s="1"/>
  <c r="H126" i="26"/>
  <c r="N125" i="26"/>
  <c r="K125" i="26"/>
  <c r="I125" i="26"/>
  <c r="J125" i="26" s="1" a="1"/>
  <c r="J125" i="26" s="1"/>
  <c r="H125" i="26"/>
  <c r="N124" i="26"/>
  <c r="K124" i="26"/>
  <c r="I124" i="26"/>
  <c r="H124" i="26"/>
  <c r="N123" i="26"/>
  <c r="K123" i="26"/>
  <c r="I123" i="26"/>
  <c r="J123" i="26" s="1" a="1"/>
  <c r="J123" i="26" s="1"/>
  <c r="H123" i="26"/>
  <c r="N122" i="26"/>
  <c r="K122" i="26"/>
  <c r="I122" i="26"/>
  <c r="J122" i="26" s="1" a="1"/>
  <c r="J122" i="26" s="1"/>
  <c r="H122" i="26"/>
  <c r="N121" i="26"/>
  <c r="K121" i="26"/>
  <c r="I121" i="26"/>
  <c r="H121" i="26"/>
  <c r="N120" i="26"/>
  <c r="K120" i="26"/>
  <c r="I120" i="26"/>
  <c r="J120" i="26" s="1" a="1"/>
  <c r="J120" i="26" s="1"/>
  <c r="H120" i="26"/>
  <c r="N119" i="26"/>
  <c r="K119" i="26"/>
  <c r="I119" i="26"/>
  <c r="J119" i="26" s="1" a="1"/>
  <c r="J119" i="26" s="1"/>
  <c r="H119" i="26"/>
  <c r="N118" i="26"/>
  <c r="K118" i="26"/>
  <c r="I118" i="26"/>
  <c r="J118" i="26" s="1" a="1"/>
  <c r="J118" i="26" s="1"/>
  <c r="H118" i="26"/>
  <c r="N117" i="26"/>
  <c r="K117" i="26"/>
  <c r="I117" i="26"/>
  <c r="J117" i="26" s="1" a="1"/>
  <c r="J117" i="26" s="1"/>
  <c r="H117" i="26"/>
  <c r="N116" i="26"/>
  <c r="K116" i="26"/>
  <c r="I116" i="26"/>
  <c r="J116" i="26" s="1" a="1"/>
  <c r="J116" i="26" s="1"/>
  <c r="H116" i="26"/>
  <c r="N115" i="26"/>
  <c r="K115" i="26"/>
  <c r="I115" i="26"/>
  <c r="H115" i="26"/>
  <c r="N114" i="26"/>
  <c r="K114" i="26"/>
  <c r="I114" i="26"/>
  <c r="J114" i="26" s="1" a="1"/>
  <c r="J114" i="26" s="1"/>
  <c r="H114" i="26"/>
  <c r="N113" i="26"/>
  <c r="K113" i="26"/>
  <c r="I113" i="26"/>
  <c r="J113" i="26" s="1" a="1"/>
  <c r="J113" i="26" s="1"/>
  <c r="H113" i="26"/>
  <c r="N112" i="26"/>
  <c r="K112" i="26"/>
  <c r="I112" i="26"/>
  <c r="J112" i="26" s="1" a="1"/>
  <c r="J112" i="26" s="1"/>
  <c r="H112" i="26"/>
  <c r="N111" i="26"/>
  <c r="K111" i="26"/>
  <c r="I111" i="26"/>
  <c r="J111" i="26" s="1" a="1"/>
  <c r="J111" i="26" s="1"/>
  <c r="H111" i="26"/>
  <c r="N110" i="26"/>
  <c r="K110" i="26"/>
  <c r="I110" i="26"/>
  <c r="J110" i="26" s="1" a="1"/>
  <c r="J110" i="26" s="1"/>
  <c r="H110" i="26"/>
  <c r="N109" i="26"/>
  <c r="K109" i="26"/>
  <c r="I109" i="26"/>
  <c r="J109" i="26" s="1" a="1"/>
  <c r="J109" i="26" s="1"/>
  <c r="H109" i="26"/>
  <c r="N108" i="26"/>
  <c r="K108" i="26"/>
  <c r="I108" i="26"/>
  <c r="J108" i="26" s="1" a="1"/>
  <c r="J108" i="26" s="1"/>
  <c r="H108" i="26"/>
  <c r="N107" i="26"/>
  <c r="K107" i="26"/>
  <c r="I107" i="26"/>
  <c r="J107" i="26" s="1" a="1"/>
  <c r="J107" i="26" s="1"/>
  <c r="H107" i="26"/>
  <c r="N106" i="26"/>
  <c r="K106" i="26"/>
  <c r="I106" i="26"/>
  <c r="J106" i="26" s="1" a="1"/>
  <c r="J106" i="26" s="1"/>
  <c r="H106" i="26"/>
  <c r="N105" i="26"/>
  <c r="K105" i="26"/>
  <c r="I105" i="26"/>
  <c r="J105" i="26" s="1" a="1"/>
  <c r="J105" i="26" s="1"/>
  <c r="H105" i="26"/>
  <c r="N104" i="26"/>
  <c r="K104" i="26"/>
  <c r="I104" i="26"/>
  <c r="H104" i="26"/>
  <c r="N103" i="26"/>
  <c r="K103" i="26"/>
  <c r="I103" i="26"/>
  <c r="J103" i="26" s="1" a="1"/>
  <c r="J103" i="26" s="1"/>
  <c r="H103" i="26"/>
  <c r="N102" i="26"/>
  <c r="K102" i="26"/>
  <c r="I102" i="26"/>
  <c r="J102" i="26" s="1" a="1"/>
  <c r="J102" i="26" s="1"/>
  <c r="H102" i="26"/>
  <c r="N101" i="26"/>
  <c r="K101" i="26"/>
  <c r="I101" i="26"/>
  <c r="J101" i="26" s="1" a="1"/>
  <c r="J101" i="26" s="1"/>
  <c r="H101" i="26"/>
  <c r="N100" i="26"/>
  <c r="K100" i="26"/>
  <c r="I100" i="26"/>
  <c r="J100" i="26" s="1" a="1"/>
  <c r="J100" i="26" s="1"/>
  <c r="H100" i="26"/>
  <c r="N99" i="26"/>
  <c r="K99" i="26"/>
  <c r="I99" i="26"/>
  <c r="J99" i="26" s="1" a="1"/>
  <c r="J99" i="26" s="1"/>
  <c r="H99" i="26"/>
  <c r="N98" i="26"/>
  <c r="K98" i="26"/>
  <c r="I98" i="26"/>
  <c r="J98" i="26" s="1" a="1"/>
  <c r="J98" i="26" s="1"/>
  <c r="H98" i="26"/>
  <c r="N97" i="26"/>
  <c r="K97" i="26"/>
  <c r="I97" i="26"/>
  <c r="J97" i="26" s="1" a="1"/>
  <c r="J97" i="26" s="1"/>
  <c r="H97" i="26"/>
  <c r="N96" i="26"/>
  <c r="K96" i="26"/>
  <c r="I96" i="26"/>
  <c r="J96" i="26" s="1" a="1"/>
  <c r="J96" i="26" s="1"/>
  <c r="H96" i="26"/>
  <c r="N95" i="26"/>
  <c r="K95" i="26"/>
  <c r="I95" i="26"/>
  <c r="J95" i="26" s="1" a="1"/>
  <c r="J95" i="26" s="1"/>
  <c r="H95" i="26"/>
  <c r="N94" i="26"/>
  <c r="K94" i="26"/>
  <c r="I94" i="26"/>
  <c r="J94" i="26" s="1" a="1"/>
  <c r="J94" i="26" s="1"/>
  <c r="H94" i="26"/>
  <c r="N93" i="26"/>
  <c r="K93" i="26"/>
  <c r="I93" i="26"/>
  <c r="J93" i="26" s="1" a="1"/>
  <c r="J93" i="26" s="1"/>
  <c r="H93" i="26"/>
  <c r="N92" i="26"/>
  <c r="K92" i="26"/>
  <c r="I92" i="26"/>
  <c r="J92" i="26" s="1" a="1"/>
  <c r="J92" i="26" s="1"/>
  <c r="H92" i="26"/>
  <c r="N91" i="26"/>
  <c r="K91" i="26"/>
  <c r="I91" i="26"/>
  <c r="J91" i="26" s="1" a="1"/>
  <c r="J91" i="26" s="1"/>
  <c r="H91" i="26"/>
  <c r="N90" i="26"/>
  <c r="K90" i="26"/>
  <c r="I90" i="26"/>
  <c r="J90" i="26" s="1" a="1"/>
  <c r="J90" i="26" s="1"/>
  <c r="H90" i="26"/>
  <c r="N89" i="26"/>
  <c r="K89" i="26"/>
  <c r="I89" i="26"/>
  <c r="J89" i="26" s="1" a="1"/>
  <c r="J89" i="26" s="1"/>
  <c r="H89" i="26"/>
  <c r="N88" i="26"/>
  <c r="K88" i="26"/>
  <c r="I88" i="26"/>
  <c r="J88" i="26" s="1" a="1"/>
  <c r="J88" i="26" s="1"/>
  <c r="H88" i="26"/>
  <c r="N87" i="26"/>
  <c r="K87" i="26"/>
  <c r="I87" i="26"/>
  <c r="J87" i="26" s="1" a="1"/>
  <c r="J87" i="26" s="1"/>
  <c r="H87" i="26"/>
  <c r="N86" i="26"/>
  <c r="K86" i="26"/>
  <c r="I86" i="26"/>
  <c r="J86" i="26" s="1" a="1"/>
  <c r="J86" i="26" s="1"/>
  <c r="H86" i="26"/>
  <c r="N85" i="26"/>
  <c r="K85" i="26"/>
  <c r="I85" i="26"/>
  <c r="J85" i="26" s="1" a="1"/>
  <c r="J85" i="26" s="1"/>
  <c r="H85" i="26"/>
  <c r="N84" i="26"/>
  <c r="K84" i="26"/>
  <c r="I84" i="26"/>
  <c r="J84" i="26" s="1" a="1"/>
  <c r="J84" i="26" s="1"/>
  <c r="H84" i="26"/>
  <c r="N83" i="26"/>
  <c r="K83" i="26"/>
  <c r="I83" i="26"/>
  <c r="J83" i="26" s="1" a="1"/>
  <c r="J83" i="26" s="1"/>
  <c r="H83" i="26"/>
  <c r="N82" i="26"/>
  <c r="K82" i="26"/>
  <c r="I82" i="26"/>
  <c r="J82" i="26" s="1" a="1"/>
  <c r="J82" i="26" s="1"/>
  <c r="H82" i="26"/>
  <c r="N81" i="26"/>
  <c r="K81" i="26"/>
  <c r="I81" i="26"/>
  <c r="J81" i="26" s="1" a="1"/>
  <c r="J81" i="26" s="1"/>
  <c r="H81" i="26"/>
  <c r="N80" i="26"/>
  <c r="K80" i="26"/>
  <c r="I80" i="26"/>
  <c r="J80" i="26" s="1" a="1"/>
  <c r="J80" i="26" s="1"/>
  <c r="H80" i="26"/>
  <c r="N79" i="26"/>
  <c r="K79" i="26"/>
  <c r="I79" i="26"/>
  <c r="J79" i="26" s="1" a="1"/>
  <c r="J79" i="26" s="1"/>
  <c r="H79" i="26"/>
  <c r="N78" i="26"/>
  <c r="K78" i="26"/>
  <c r="I78" i="26"/>
  <c r="J78" i="26" s="1" a="1"/>
  <c r="J78" i="26" s="1"/>
  <c r="H78" i="26"/>
  <c r="N77" i="26"/>
  <c r="K77" i="26"/>
  <c r="I77" i="26"/>
  <c r="J77" i="26" s="1" a="1"/>
  <c r="J77" i="26" s="1"/>
  <c r="H77" i="26"/>
  <c r="N76" i="26"/>
  <c r="K76" i="26"/>
  <c r="I76" i="26"/>
  <c r="J76" i="26" s="1" a="1"/>
  <c r="J76" i="26" s="1"/>
  <c r="H76" i="26"/>
  <c r="N75" i="26"/>
  <c r="K75" i="26"/>
  <c r="I75" i="26"/>
  <c r="H75" i="26"/>
  <c r="N74" i="26"/>
  <c r="K74" i="26"/>
  <c r="I74" i="26"/>
  <c r="J74" i="26" s="1" a="1"/>
  <c r="J74" i="26" s="1"/>
  <c r="H74" i="26"/>
  <c r="N73" i="26"/>
  <c r="K73" i="26"/>
  <c r="I73" i="26"/>
  <c r="J73" i="26" s="1" a="1"/>
  <c r="J73" i="26" s="1"/>
  <c r="H73" i="26"/>
  <c r="N72" i="26"/>
  <c r="K72" i="26"/>
  <c r="I72" i="26"/>
  <c r="J72" i="26" s="1" a="1"/>
  <c r="J72" i="26" s="1"/>
  <c r="H72" i="26"/>
  <c r="N71" i="26"/>
  <c r="K71" i="26"/>
  <c r="I71" i="26"/>
  <c r="J71" i="26" s="1" a="1"/>
  <c r="J71" i="26" s="1"/>
  <c r="H71" i="26"/>
  <c r="N70" i="26"/>
  <c r="K70" i="26"/>
  <c r="I70" i="26"/>
  <c r="J70" i="26" s="1" a="1"/>
  <c r="J70" i="26" s="1"/>
  <c r="H70" i="26"/>
  <c r="N69" i="26"/>
  <c r="K69" i="26"/>
  <c r="I69" i="26"/>
  <c r="J69" i="26" s="1" a="1"/>
  <c r="J69" i="26" s="1"/>
  <c r="H69" i="26"/>
  <c r="N68" i="26"/>
  <c r="K68" i="26"/>
  <c r="I68" i="26"/>
  <c r="J68" i="26" s="1" a="1"/>
  <c r="J68" i="26" s="1"/>
  <c r="H68" i="26"/>
  <c r="N67" i="26"/>
  <c r="K67" i="26"/>
  <c r="I67" i="26"/>
  <c r="J67" i="26" s="1" a="1"/>
  <c r="J67" i="26" s="1"/>
  <c r="H67" i="26"/>
  <c r="N66" i="26"/>
  <c r="K66" i="26"/>
  <c r="I66" i="26"/>
  <c r="J66" i="26" s="1" a="1"/>
  <c r="J66" i="26" s="1"/>
  <c r="H66" i="26"/>
  <c r="N65" i="26"/>
  <c r="K65" i="26"/>
  <c r="I65" i="26"/>
  <c r="H65" i="26"/>
  <c r="N64" i="26"/>
  <c r="K64" i="26"/>
  <c r="I64" i="26"/>
  <c r="H64" i="26"/>
  <c r="N63" i="26"/>
  <c r="K63" i="26"/>
  <c r="I63" i="26"/>
  <c r="J63" i="26" s="1" a="1"/>
  <c r="J63" i="26" s="1"/>
  <c r="H63" i="26"/>
  <c r="N62" i="26"/>
  <c r="K62" i="26"/>
  <c r="I62" i="26"/>
  <c r="J62" i="26" s="1" a="1"/>
  <c r="J62" i="26" s="1"/>
  <c r="H62" i="26"/>
  <c r="N61" i="26"/>
  <c r="K61" i="26"/>
  <c r="I61" i="26"/>
  <c r="J61" i="26" s="1" a="1"/>
  <c r="J61" i="26" s="1"/>
  <c r="H61" i="26"/>
  <c r="N60" i="26"/>
  <c r="K60" i="26"/>
  <c r="I60" i="26"/>
  <c r="J60" i="26" s="1" a="1"/>
  <c r="J60" i="26" s="1"/>
  <c r="H60" i="26"/>
  <c r="N59" i="26"/>
  <c r="K59" i="26"/>
  <c r="I59" i="26"/>
  <c r="H59" i="26"/>
  <c r="N58" i="26"/>
  <c r="K58" i="26"/>
  <c r="I58" i="26"/>
  <c r="J58" i="26" s="1" a="1"/>
  <c r="J58" i="26" s="1"/>
  <c r="H58" i="26"/>
  <c r="N57" i="26"/>
  <c r="K57" i="26"/>
  <c r="I57" i="26"/>
  <c r="J57" i="26" s="1" a="1"/>
  <c r="J57" i="26" s="1"/>
  <c r="H57" i="26"/>
  <c r="N56" i="26"/>
  <c r="K56" i="26"/>
  <c r="I56" i="26"/>
  <c r="J56" i="26" s="1" a="1"/>
  <c r="J56" i="26" s="1"/>
  <c r="H56" i="26"/>
  <c r="N55" i="26"/>
  <c r="K55" i="26"/>
  <c r="I55" i="26"/>
  <c r="H55" i="26"/>
  <c r="N54" i="26"/>
  <c r="K54" i="26"/>
  <c r="I54" i="26"/>
  <c r="H54" i="26"/>
  <c r="N53" i="26"/>
  <c r="K53" i="26"/>
  <c r="I53" i="26"/>
  <c r="J53" i="26" s="1" a="1"/>
  <c r="J53" i="26" s="1"/>
  <c r="H53" i="26"/>
  <c r="N52" i="26"/>
  <c r="K52" i="26"/>
  <c r="I52" i="26"/>
  <c r="J52" i="26" s="1" a="1"/>
  <c r="J52" i="26" s="1"/>
  <c r="H52" i="26"/>
  <c r="N51" i="26"/>
  <c r="K51" i="26"/>
  <c r="I51" i="26"/>
  <c r="J51" i="26" s="1" a="1"/>
  <c r="J51" i="26" s="1"/>
  <c r="H51" i="26"/>
  <c r="N50" i="26"/>
  <c r="K50" i="26"/>
  <c r="I50" i="26"/>
  <c r="H50" i="26"/>
  <c r="N49" i="26"/>
  <c r="K49" i="26"/>
  <c r="I49" i="26"/>
  <c r="J49" i="26" s="1" a="1"/>
  <c r="J49" i="26" s="1"/>
  <c r="H49" i="26"/>
  <c r="N48" i="26"/>
  <c r="K48" i="26"/>
  <c r="I48" i="26"/>
  <c r="J48" i="26" s="1" a="1"/>
  <c r="J48" i="26" s="1"/>
  <c r="H48" i="26"/>
  <c r="N47" i="26"/>
  <c r="K47" i="26"/>
  <c r="I47" i="26"/>
  <c r="J47" i="26" s="1" a="1"/>
  <c r="J47" i="26" s="1"/>
  <c r="H47" i="26"/>
  <c r="N46" i="26"/>
  <c r="K46" i="26"/>
  <c r="I46" i="26"/>
  <c r="J46" i="26" s="1" a="1"/>
  <c r="J46" i="26" s="1"/>
  <c r="H46" i="26"/>
  <c r="N45" i="26"/>
  <c r="K45" i="26"/>
  <c r="I45" i="26"/>
  <c r="J45" i="26" s="1" a="1"/>
  <c r="J45" i="26" s="1"/>
  <c r="H45" i="26"/>
  <c r="N44" i="26"/>
  <c r="K44" i="26"/>
  <c r="I44" i="26"/>
  <c r="J44" i="26" s="1" a="1"/>
  <c r="J44" i="26" s="1"/>
  <c r="H44" i="26"/>
  <c r="N43" i="26"/>
  <c r="K43" i="26"/>
  <c r="I43" i="26"/>
  <c r="J43" i="26" s="1" a="1"/>
  <c r="J43" i="26" s="1"/>
  <c r="H43" i="26"/>
  <c r="N42" i="26"/>
  <c r="K42" i="26"/>
  <c r="I42" i="26"/>
  <c r="J42" i="26" s="1" a="1"/>
  <c r="J42" i="26" s="1"/>
  <c r="H42" i="26"/>
  <c r="N41" i="26"/>
  <c r="K41" i="26"/>
  <c r="I41" i="26"/>
  <c r="J41" i="26" s="1" a="1"/>
  <c r="J41" i="26" s="1"/>
  <c r="H41" i="26"/>
  <c r="N40" i="26"/>
  <c r="K40" i="26"/>
  <c r="I40" i="26"/>
  <c r="J40" i="26" s="1" a="1"/>
  <c r="J40" i="26" s="1"/>
  <c r="H40" i="26"/>
  <c r="N39" i="26"/>
  <c r="K39" i="26"/>
  <c r="I39" i="26"/>
  <c r="J39" i="26" s="1" a="1"/>
  <c r="J39" i="26" s="1"/>
  <c r="H39" i="26"/>
  <c r="N38" i="26"/>
  <c r="K38" i="26"/>
  <c r="I38" i="26"/>
  <c r="J38" i="26" s="1" a="1"/>
  <c r="J38" i="26" s="1"/>
  <c r="H38" i="26"/>
  <c r="N37" i="26"/>
  <c r="K37" i="26"/>
  <c r="I37" i="26"/>
  <c r="J37" i="26" s="1" a="1"/>
  <c r="J37" i="26" s="1"/>
  <c r="H37" i="26"/>
  <c r="N36" i="26"/>
  <c r="K36" i="26"/>
  <c r="I36" i="26"/>
  <c r="J36" i="26" s="1" a="1"/>
  <c r="J36" i="26" s="1"/>
  <c r="H36" i="26"/>
  <c r="N35" i="26"/>
  <c r="K35" i="26"/>
  <c r="I35" i="26"/>
  <c r="H35" i="26"/>
  <c r="N34" i="26"/>
  <c r="K34" i="26"/>
  <c r="I34" i="26"/>
  <c r="J34" i="26" s="1" a="1"/>
  <c r="J34" i="26" s="1"/>
  <c r="H34" i="26"/>
  <c r="N33" i="26"/>
  <c r="K33" i="26"/>
  <c r="I33" i="26"/>
  <c r="J33" i="26" s="1" a="1"/>
  <c r="J33" i="26" s="1"/>
  <c r="H33" i="26"/>
  <c r="N32" i="26"/>
  <c r="K32" i="26"/>
  <c r="I32" i="26"/>
  <c r="H32" i="26"/>
  <c r="N31" i="26"/>
  <c r="K31" i="26"/>
  <c r="I31" i="26"/>
  <c r="J31" i="26" s="1" a="1"/>
  <c r="J31" i="26" s="1"/>
  <c r="H31" i="26"/>
  <c r="N30" i="26"/>
  <c r="K30" i="26"/>
  <c r="I30" i="26"/>
  <c r="J30" i="26" s="1" a="1"/>
  <c r="J30" i="26" s="1"/>
  <c r="H30" i="26"/>
  <c r="N29" i="26"/>
  <c r="K29" i="26"/>
  <c r="I29" i="26"/>
  <c r="J29" i="26" s="1" a="1"/>
  <c r="J29" i="26" s="1"/>
  <c r="H29" i="26"/>
  <c r="N28" i="26"/>
  <c r="K28" i="26"/>
  <c r="I28" i="26"/>
  <c r="J28" i="26" s="1" a="1"/>
  <c r="J28" i="26" s="1"/>
  <c r="H28" i="26"/>
  <c r="N27" i="26"/>
  <c r="K27" i="26"/>
  <c r="I27" i="26"/>
  <c r="J27" i="26" s="1" a="1"/>
  <c r="J27" i="26" s="1"/>
  <c r="H27" i="26"/>
  <c r="N26" i="26"/>
  <c r="K26" i="26"/>
  <c r="I26" i="26"/>
  <c r="J26" i="26" s="1" a="1"/>
  <c r="J26" i="26" s="1"/>
  <c r="H26" i="26"/>
  <c r="N25" i="26"/>
  <c r="K25" i="26"/>
  <c r="I25" i="26"/>
  <c r="J25" i="26" s="1" a="1"/>
  <c r="J25" i="26" s="1"/>
  <c r="H25" i="26"/>
  <c r="N24" i="26"/>
  <c r="K24" i="26"/>
  <c r="I24" i="26"/>
  <c r="H24" i="26"/>
  <c r="N23" i="26"/>
  <c r="K23" i="26"/>
  <c r="I23" i="26"/>
  <c r="J23" i="26" s="1" a="1"/>
  <c r="J23" i="26" s="1"/>
  <c r="H23" i="26"/>
  <c r="N22" i="26"/>
  <c r="K22" i="26"/>
  <c r="I22" i="26"/>
  <c r="J22" i="26" s="1" a="1"/>
  <c r="J22" i="26" s="1"/>
  <c r="H22" i="26"/>
  <c r="N20" i="26"/>
  <c r="K20" i="26"/>
  <c r="I20" i="26"/>
  <c r="J20" i="26" s="1" a="1"/>
  <c r="J20" i="26" s="1"/>
  <c r="H20" i="26"/>
  <c r="N19" i="26"/>
  <c r="K19" i="26"/>
  <c r="I19" i="26"/>
  <c r="J19" i="26" s="1" a="1"/>
  <c r="J19" i="26" s="1"/>
  <c r="H19" i="26"/>
  <c r="N18" i="26"/>
  <c r="K18" i="26"/>
  <c r="I18" i="26"/>
  <c r="J18" i="26" s="1" a="1"/>
  <c r="J18" i="26" s="1"/>
  <c r="H18" i="26"/>
  <c r="N17" i="26"/>
  <c r="K17" i="26"/>
  <c r="I17" i="26"/>
  <c r="J17" i="26" s="1" a="1"/>
  <c r="J17" i="26" s="1"/>
  <c r="H17" i="26"/>
  <c r="N16" i="26"/>
  <c r="K16" i="26"/>
  <c r="I16" i="26"/>
  <c r="J16" i="26" s="1" a="1"/>
  <c r="J16" i="26" s="1"/>
  <c r="H16" i="26"/>
  <c r="N14" i="26"/>
  <c r="K14" i="26"/>
  <c r="I14" i="26"/>
  <c r="J14" i="26" s="1" a="1"/>
  <c r="J14" i="26" s="1"/>
  <c r="H14" i="26"/>
  <c r="N13" i="26"/>
  <c r="K13" i="26"/>
  <c r="I13" i="26"/>
  <c r="J13" i="26" s="1" a="1"/>
  <c r="J13" i="26" s="1"/>
  <c r="H13" i="26"/>
  <c r="N12" i="26"/>
  <c r="K12" i="26"/>
  <c r="I12" i="26"/>
  <c r="J12" i="26" s="1" a="1"/>
  <c r="J12" i="26" s="1"/>
  <c r="H12" i="26"/>
  <c r="N11" i="26"/>
  <c r="K11" i="26"/>
  <c r="I11" i="26"/>
  <c r="J11" i="26" s="1" a="1"/>
  <c r="J11" i="26" s="1"/>
  <c r="H11" i="26"/>
  <c r="N10" i="26"/>
  <c r="K10" i="26"/>
  <c r="I10" i="26"/>
  <c r="H10" i="26"/>
  <c r="N9" i="26"/>
  <c r="K9" i="26"/>
  <c r="I9" i="26"/>
  <c r="J9" i="26" s="1" a="1"/>
  <c r="J9" i="26" s="1"/>
  <c r="H9" i="26"/>
  <c r="N8" i="26"/>
  <c r="K8" i="26"/>
  <c r="I8" i="26"/>
  <c r="J8" i="26" s="1" a="1"/>
  <c r="J8" i="26" s="1"/>
  <c r="H8" i="26"/>
  <c r="N7" i="26"/>
  <c r="K7" i="26"/>
  <c r="I7" i="26"/>
  <c r="H7" i="26"/>
  <c r="N6" i="26"/>
  <c r="K6" i="26"/>
  <c r="I6" i="26"/>
  <c r="H6" i="26"/>
  <c r="W215" i="26" a="1"/>
  <c r="W215" i="26" s="1"/>
  <c r="T215" i="26"/>
  <c r="U215" i="26" s="1" a="1"/>
  <c r="U215" i="26" s="1"/>
  <c r="W214" i="26" a="1"/>
  <c r="W214" i="26" s="1"/>
  <c r="T214" i="26"/>
  <c r="U214" i="26" s="1" a="1"/>
  <c r="U214" i="26" s="1"/>
  <c r="W213" i="26" a="1"/>
  <c r="W213" i="26" s="1"/>
  <c r="T213" i="26"/>
  <c r="U213" i="26" s="1" a="1"/>
  <c r="U213" i="26" s="1"/>
  <c r="W212" i="26" a="1"/>
  <c r="W212" i="26" s="1"/>
  <c r="T212" i="26"/>
  <c r="U212" i="26" s="1" a="1"/>
  <c r="U212" i="26" s="1"/>
  <c r="W211" i="26" a="1"/>
  <c r="W211" i="26" s="1"/>
  <c r="T211" i="26"/>
  <c r="U211" i="26" s="1" a="1"/>
  <c r="U211" i="26" s="1"/>
  <c r="W210" i="26" a="1"/>
  <c r="W210" i="26" s="1"/>
  <c r="T210" i="26"/>
  <c r="U210" i="26" s="1" a="1"/>
  <c r="U210" i="26" s="1"/>
  <c r="W209" i="26" a="1"/>
  <c r="W209" i="26" s="1"/>
  <c r="T209" i="26"/>
  <c r="U209" i="26" s="1" a="1"/>
  <c r="U209" i="26" s="1"/>
  <c r="W208" i="26" a="1"/>
  <c r="W208" i="26" s="1"/>
  <c r="T208" i="26"/>
  <c r="U208" i="26" s="1" a="1"/>
  <c r="U208" i="26" s="1"/>
  <c r="W207" i="26" a="1"/>
  <c r="W207" i="26" s="1"/>
  <c r="T207" i="26"/>
  <c r="U207" i="26" s="1" a="1"/>
  <c r="U207" i="26" s="1"/>
  <c r="W206" i="26" a="1"/>
  <c r="W206" i="26" s="1"/>
  <c r="T206" i="26"/>
  <c r="U206" i="26" s="1" a="1"/>
  <c r="U206" i="26" s="1"/>
  <c r="W205" i="26" a="1"/>
  <c r="W205" i="26" s="1"/>
  <c r="T205" i="26"/>
  <c r="U205" i="26" s="1" a="1"/>
  <c r="U205" i="26" s="1"/>
  <c r="W204" i="26" a="1"/>
  <c r="W204" i="26" s="1"/>
  <c r="T204" i="26"/>
  <c r="U204" i="26" s="1" a="1"/>
  <c r="U204" i="26" s="1"/>
  <c r="W203" i="26" a="1"/>
  <c r="W203" i="26" s="1"/>
  <c r="T203" i="26"/>
  <c r="U203" i="26" s="1" a="1"/>
  <c r="U203" i="26" s="1"/>
  <c r="W202" i="26" a="1"/>
  <c r="W202" i="26" s="1"/>
  <c r="T202" i="26"/>
  <c r="U202" i="26" s="1" a="1"/>
  <c r="U202" i="26" s="1"/>
  <c r="W201" i="26" a="1"/>
  <c r="W201" i="26" s="1"/>
  <c r="T201" i="26"/>
  <c r="U201" i="26" s="1" a="1"/>
  <c r="U201" i="26" s="1"/>
  <c r="W200" i="26" a="1"/>
  <c r="W200" i="26" s="1"/>
  <c r="T200" i="26"/>
  <c r="U200" i="26" s="1" a="1"/>
  <c r="U200" i="26" s="1"/>
  <c r="W199" i="26" a="1"/>
  <c r="W199" i="26" s="1"/>
  <c r="T199" i="26"/>
  <c r="U199" i="26" s="1" a="1"/>
  <c r="U199" i="26" s="1"/>
  <c r="W198" i="26" a="1"/>
  <c r="W198" i="26" s="1"/>
  <c r="T198" i="26"/>
  <c r="U198" i="26" s="1" a="1"/>
  <c r="U198" i="26" s="1"/>
  <c r="W197" i="26" a="1"/>
  <c r="W197" i="26" s="1"/>
  <c r="T197" i="26"/>
  <c r="U197" i="26" s="1" a="1"/>
  <c r="U197" i="26" s="1"/>
  <c r="W196" i="26" a="1"/>
  <c r="W196" i="26" s="1"/>
  <c r="T196" i="26"/>
  <c r="U196" i="26" s="1" a="1"/>
  <c r="U196" i="26" s="1"/>
  <c r="W195" i="26" a="1"/>
  <c r="W195" i="26" s="1"/>
  <c r="T195" i="26"/>
  <c r="U195" i="26" s="1" a="1"/>
  <c r="U195" i="26" s="1"/>
  <c r="W194" i="26" a="1"/>
  <c r="W194" i="26" s="1"/>
  <c r="T194" i="26"/>
  <c r="U194" i="26" s="1" a="1"/>
  <c r="U194" i="26" s="1"/>
  <c r="W193" i="26" a="1"/>
  <c r="W193" i="26" s="1"/>
  <c r="T193" i="26"/>
  <c r="U193" i="26" s="1" a="1"/>
  <c r="U193" i="26" s="1"/>
  <c r="W192" i="26" a="1"/>
  <c r="W192" i="26" s="1"/>
  <c r="T192" i="26"/>
  <c r="U192" i="26" s="1" a="1"/>
  <c r="U192" i="26" s="1"/>
  <c r="W191" i="26" a="1"/>
  <c r="W191" i="26" s="1"/>
  <c r="T191" i="26"/>
  <c r="U191" i="26" s="1" a="1"/>
  <c r="U191" i="26" s="1"/>
  <c r="W190" i="26" a="1"/>
  <c r="W190" i="26" s="1"/>
  <c r="T190" i="26"/>
  <c r="U190" i="26" s="1" a="1"/>
  <c r="U190" i="26" s="1"/>
  <c r="W189" i="26" a="1"/>
  <c r="W189" i="26" s="1"/>
  <c r="T189" i="26"/>
  <c r="U189" i="26" s="1" a="1"/>
  <c r="U189" i="26" s="1"/>
  <c r="W188" i="26" a="1"/>
  <c r="W188" i="26" s="1"/>
  <c r="T188" i="26"/>
  <c r="U188" i="26" s="1" a="1"/>
  <c r="U188" i="26" s="1"/>
  <c r="W187" i="26" a="1"/>
  <c r="W187" i="26" s="1"/>
  <c r="T187" i="26"/>
  <c r="U187" i="26" s="1" a="1"/>
  <c r="U187" i="26" s="1"/>
  <c r="W186" i="26" a="1"/>
  <c r="W186" i="26" s="1"/>
  <c r="T186" i="26"/>
  <c r="U186" i="26" s="1" a="1"/>
  <c r="U186" i="26" s="1"/>
  <c r="W185" i="26" a="1"/>
  <c r="W185" i="26" s="1"/>
  <c r="T185" i="26"/>
  <c r="U185" i="26" s="1" a="1"/>
  <c r="U185" i="26" s="1"/>
  <c r="W184" i="26" a="1"/>
  <c r="W184" i="26" s="1"/>
  <c r="T184" i="26"/>
  <c r="U184" i="26" s="1" a="1"/>
  <c r="U184" i="26" s="1"/>
  <c r="W183" i="26" a="1"/>
  <c r="W183" i="26" s="1"/>
  <c r="T183" i="26"/>
  <c r="U183" i="26" s="1" a="1"/>
  <c r="U183" i="26" s="1"/>
  <c r="W182" i="26" a="1"/>
  <c r="W182" i="26" s="1"/>
  <c r="T182" i="26"/>
  <c r="U182" i="26" s="1" a="1"/>
  <c r="U182" i="26" s="1"/>
  <c r="W181" i="26" a="1"/>
  <c r="W181" i="26" s="1"/>
  <c r="T181" i="26"/>
  <c r="U181" i="26" s="1" a="1"/>
  <c r="U181" i="26" s="1"/>
  <c r="W180" i="26" a="1"/>
  <c r="W180" i="26" s="1"/>
  <c r="T180" i="26"/>
  <c r="U180" i="26" s="1" a="1"/>
  <c r="U180" i="26" s="1"/>
  <c r="W179" i="26" a="1"/>
  <c r="W179" i="26" s="1"/>
  <c r="T179" i="26"/>
  <c r="U179" i="26" s="1" a="1"/>
  <c r="U179" i="26" s="1"/>
  <c r="W178" i="26" a="1"/>
  <c r="W178" i="26" s="1"/>
  <c r="T178" i="26"/>
  <c r="U178" i="26" s="1" a="1"/>
  <c r="U178" i="26" s="1"/>
  <c r="W177" i="26" a="1"/>
  <c r="W177" i="26" s="1"/>
  <c r="T177" i="26"/>
  <c r="U177" i="26" s="1" a="1"/>
  <c r="U177" i="26" s="1"/>
  <c r="W176" i="26" a="1"/>
  <c r="W176" i="26" s="1"/>
  <c r="T176" i="26"/>
  <c r="U176" i="26" s="1" a="1"/>
  <c r="U176" i="26" s="1"/>
  <c r="W175" i="26" a="1"/>
  <c r="W175" i="26" s="1"/>
  <c r="T175" i="26"/>
  <c r="U175" i="26" s="1" a="1"/>
  <c r="U175" i="26" s="1"/>
  <c r="W174" i="26" a="1"/>
  <c r="W174" i="26" s="1"/>
  <c r="T174" i="26"/>
  <c r="U174" i="26" s="1" a="1"/>
  <c r="U174" i="26" s="1"/>
  <c r="W173" i="26" a="1"/>
  <c r="W173" i="26" s="1"/>
  <c r="T173" i="26"/>
  <c r="U173" i="26" s="1" a="1"/>
  <c r="U173" i="26" s="1"/>
  <c r="W172" i="26" a="1"/>
  <c r="W172" i="26" s="1"/>
  <c r="T172" i="26"/>
  <c r="U172" i="26" s="1" a="1"/>
  <c r="U172" i="26" s="1"/>
  <c r="W171" i="26" a="1"/>
  <c r="W171" i="26" s="1"/>
  <c r="T171" i="26"/>
  <c r="U171" i="26" s="1" a="1"/>
  <c r="U171" i="26" s="1"/>
  <c r="W170" i="26" a="1"/>
  <c r="W170" i="26" s="1"/>
  <c r="T170" i="26"/>
  <c r="U170" i="26" s="1" a="1"/>
  <c r="U170" i="26" s="1"/>
  <c r="W169" i="26" a="1"/>
  <c r="W169" i="26" s="1"/>
  <c r="T169" i="26"/>
  <c r="U169" i="26" s="1" a="1"/>
  <c r="U169" i="26" s="1"/>
  <c r="W168" i="26" a="1"/>
  <c r="W168" i="26" s="1"/>
  <c r="T168" i="26"/>
  <c r="U168" i="26" s="1" a="1"/>
  <c r="U168" i="26" s="1"/>
  <c r="W167" i="26" a="1"/>
  <c r="W167" i="26" s="1"/>
  <c r="T167" i="26"/>
  <c r="U167" i="26" s="1" a="1"/>
  <c r="U167" i="26" s="1"/>
  <c r="W166" i="26" a="1"/>
  <c r="W166" i="26" s="1"/>
  <c r="T166" i="26"/>
  <c r="U166" i="26" s="1" a="1"/>
  <c r="U166" i="26" s="1"/>
  <c r="W165" i="26" a="1"/>
  <c r="W165" i="26" s="1"/>
  <c r="T165" i="26"/>
  <c r="U165" i="26" s="1" a="1"/>
  <c r="U165" i="26" s="1"/>
  <c r="W164" i="26" a="1"/>
  <c r="W164" i="26" s="1"/>
  <c r="T164" i="26"/>
  <c r="U164" i="26" s="1" a="1"/>
  <c r="U164" i="26" s="1"/>
  <c r="W163" i="26" a="1"/>
  <c r="W163" i="26" s="1"/>
  <c r="T163" i="26"/>
  <c r="U163" i="26" s="1" a="1"/>
  <c r="U163" i="26" s="1"/>
  <c r="W162" i="26" a="1"/>
  <c r="W162" i="26" s="1"/>
  <c r="T162" i="26"/>
  <c r="U162" i="26" s="1" a="1"/>
  <c r="U162" i="26" s="1"/>
  <c r="W161" i="26" a="1"/>
  <c r="W161" i="26" s="1"/>
  <c r="T161" i="26"/>
  <c r="U161" i="26" s="1" a="1"/>
  <c r="U161" i="26" s="1"/>
  <c r="W160" i="26" a="1"/>
  <c r="W160" i="26" s="1"/>
  <c r="T160" i="26"/>
  <c r="U160" i="26" s="1" a="1"/>
  <c r="U160" i="26" s="1"/>
  <c r="W159" i="26" a="1"/>
  <c r="W159" i="26" s="1"/>
  <c r="T159" i="26"/>
  <c r="U159" i="26" s="1" a="1"/>
  <c r="U159" i="26" s="1"/>
  <c r="W158" i="26" a="1"/>
  <c r="W158" i="26" s="1"/>
  <c r="T158" i="26"/>
  <c r="U158" i="26" s="1" a="1"/>
  <c r="U158" i="26" s="1"/>
  <c r="W157" i="26" a="1"/>
  <c r="W157" i="26" s="1"/>
  <c r="T157" i="26"/>
  <c r="U157" i="26" s="1" a="1"/>
  <c r="U157" i="26" s="1"/>
  <c r="W156" i="26" a="1"/>
  <c r="W156" i="26" s="1"/>
  <c r="T156" i="26"/>
  <c r="U156" i="26" s="1" a="1"/>
  <c r="U156" i="26" s="1"/>
  <c r="W155" i="26" a="1"/>
  <c r="W155" i="26" s="1"/>
  <c r="T155" i="26"/>
  <c r="U155" i="26" s="1" a="1"/>
  <c r="U155" i="26" s="1"/>
  <c r="W154" i="26" a="1"/>
  <c r="W154" i="26" s="1"/>
  <c r="T154" i="26"/>
  <c r="U154" i="26" s="1" a="1"/>
  <c r="U154" i="26" s="1"/>
  <c r="W153" i="26" a="1"/>
  <c r="W153" i="26" s="1"/>
  <c r="T153" i="26"/>
  <c r="U153" i="26" s="1" a="1"/>
  <c r="U153" i="26" s="1"/>
  <c r="W152" i="26" a="1"/>
  <c r="W152" i="26" s="1"/>
  <c r="T152" i="26"/>
  <c r="U152" i="26" s="1" a="1"/>
  <c r="U152" i="26" s="1"/>
  <c r="W151" i="26" a="1"/>
  <c r="W151" i="26" s="1"/>
  <c r="T151" i="26"/>
  <c r="U151" i="26" s="1" a="1"/>
  <c r="U151" i="26" s="1"/>
  <c r="W150" i="26" a="1"/>
  <c r="W150" i="26" s="1"/>
  <c r="T150" i="26"/>
  <c r="U150" i="26" s="1" a="1"/>
  <c r="U150" i="26" s="1"/>
  <c r="W149" i="26" a="1"/>
  <c r="W149" i="26" s="1"/>
  <c r="T149" i="26"/>
  <c r="U149" i="26" s="1" a="1"/>
  <c r="U149" i="26" s="1"/>
  <c r="W148" i="26" a="1"/>
  <c r="W148" i="26" s="1"/>
  <c r="T148" i="26"/>
  <c r="U148" i="26" s="1" a="1"/>
  <c r="U148" i="26" s="1"/>
  <c r="W147" i="26" a="1"/>
  <c r="W147" i="26" s="1"/>
  <c r="T147" i="26"/>
  <c r="U147" i="26" s="1" a="1"/>
  <c r="U147" i="26" s="1"/>
  <c r="W146" i="26" a="1"/>
  <c r="W146" i="26" s="1"/>
  <c r="T146" i="26"/>
  <c r="U146" i="26" s="1" a="1"/>
  <c r="U146" i="26" s="1"/>
  <c r="W145" i="26" a="1"/>
  <c r="W145" i="26" s="1"/>
  <c r="T145" i="26"/>
  <c r="U145" i="26" s="1" a="1"/>
  <c r="U145" i="26" s="1"/>
  <c r="W144" i="26" a="1"/>
  <c r="W144" i="26" s="1"/>
  <c r="T144" i="26"/>
  <c r="U144" i="26" s="1" a="1"/>
  <c r="U144" i="26" s="1"/>
  <c r="W143" i="26" a="1"/>
  <c r="W143" i="26" s="1"/>
  <c r="T143" i="26"/>
  <c r="U143" i="26" s="1" a="1"/>
  <c r="U143" i="26" s="1"/>
  <c r="W142" i="26" a="1"/>
  <c r="W142" i="26" s="1"/>
  <c r="T142" i="26"/>
  <c r="U142" i="26" s="1" a="1"/>
  <c r="U142" i="26" s="1"/>
  <c r="W141" i="26" a="1"/>
  <c r="W141" i="26" s="1"/>
  <c r="T141" i="26"/>
  <c r="U141" i="26" s="1" a="1"/>
  <c r="U141" i="26" s="1"/>
  <c r="W140" i="26" a="1"/>
  <c r="W140" i="26" s="1"/>
  <c r="T140" i="26"/>
  <c r="U140" i="26" s="1" a="1"/>
  <c r="U140" i="26" s="1"/>
  <c r="W139" i="26" a="1"/>
  <c r="W139" i="26" s="1"/>
  <c r="T139" i="26"/>
  <c r="U139" i="26" s="1" a="1"/>
  <c r="U139" i="26" s="1"/>
  <c r="W138" i="26" a="1"/>
  <c r="W138" i="26" s="1"/>
  <c r="T138" i="26"/>
  <c r="U138" i="26" s="1" a="1"/>
  <c r="U138" i="26" s="1"/>
  <c r="W137" i="26" a="1"/>
  <c r="W137" i="26" s="1"/>
  <c r="T137" i="26"/>
  <c r="U137" i="26" s="1" a="1"/>
  <c r="U137" i="26" s="1"/>
  <c r="W136" i="26" a="1"/>
  <c r="W136" i="26" s="1"/>
  <c r="T136" i="26"/>
  <c r="U136" i="26" s="1" a="1"/>
  <c r="U136" i="26" s="1"/>
  <c r="W135" i="26" a="1"/>
  <c r="W135" i="26" s="1"/>
  <c r="T135" i="26"/>
  <c r="U135" i="26" s="1" a="1"/>
  <c r="U135" i="26" s="1"/>
  <c r="W134" i="26" a="1"/>
  <c r="W134" i="26" s="1"/>
  <c r="T134" i="26"/>
  <c r="U134" i="26" s="1" a="1"/>
  <c r="U134" i="26" s="1"/>
  <c r="W133" i="26" a="1"/>
  <c r="W133" i="26" s="1"/>
  <c r="T133" i="26"/>
  <c r="U133" i="26" s="1" a="1"/>
  <c r="U133" i="26" s="1"/>
  <c r="W132" i="26" a="1"/>
  <c r="W132" i="26" s="1"/>
  <c r="T132" i="26"/>
  <c r="U132" i="26" s="1" a="1"/>
  <c r="U132" i="26" s="1"/>
  <c r="W131" i="26" a="1"/>
  <c r="W131" i="26" s="1"/>
  <c r="T131" i="26"/>
  <c r="U131" i="26" s="1" a="1"/>
  <c r="U131" i="26" s="1"/>
  <c r="W130" i="26" a="1"/>
  <c r="W130" i="26" s="1"/>
  <c r="T130" i="26"/>
  <c r="U130" i="26" s="1" a="1"/>
  <c r="U130" i="26" s="1"/>
  <c r="W129" i="26" a="1"/>
  <c r="W129" i="26" s="1"/>
  <c r="T129" i="26"/>
  <c r="U129" i="26" s="1" a="1"/>
  <c r="U129" i="26" s="1"/>
  <c r="W128" i="26" a="1"/>
  <c r="W128" i="26" s="1"/>
  <c r="T128" i="26"/>
  <c r="U128" i="26" s="1" a="1"/>
  <c r="U128" i="26" s="1"/>
  <c r="W127" i="26" a="1"/>
  <c r="W127" i="26" s="1"/>
  <c r="T127" i="26"/>
  <c r="U127" i="26" s="1" a="1"/>
  <c r="U127" i="26" s="1"/>
  <c r="W126" i="26" a="1"/>
  <c r="W126" i="26" s="1"/>
  <c r="T126" i="26"/>
  <c r="U126" i="26" s="1" a="1"/>
  <c r="U126" i="26" s="1"/>
  <c r="W125" i="26" a="1"/>
  <c r="W125" i="26" s="1"/>
  <c r="T125" i="26"/>
  <c r="U125" i="26" s="1" a="1"/>
  <c r="U125" i="26" s="1"/>
  <c r="W124" i="26" a="1"/>
  <c r="W124" i="26" s="1"/>
  <c r="T124" i="26"/>
  <c r="U124" i="26" s="1" a="1"/>
  <c r="U124" i="26" s="1"/>
  <c r="W123" i="26" a="1"/>
  <c r="W123" i="26" s="1"/>
  <c r="T123" i="26"/>
  <c r="U123" i="26" s="1" a="1"/>
  <c r="U123" i="26" s="1"/>
  <c r="W122" i="26" a="1"/>
  <c r="W122" i="26" s="1"/>
  <c r="T122" i="26"/>
  <c r="U122" i="26" s="1" a="1"/>
  <c r="U122" i="26" s="1"/>
  <c r="W121" i="26" a="1"/>
  <c r="W121" i="26" s="1"/>
  <c r="T121" i="26"/>
  <c r="U121" i="26" s="1" a="1"/>
  <c r="U121" i="26" s="1"/>
  <c r="W120" i="26" a="1"/>
  <c r="W120" i="26" s="1"/>
  <c r="T120" i="26"/>
  <c r="U120" i="26" s="1" a="1"/>
  <c r="U120" i="26" s="1"/>
  <c r="W119" i="26" a="1"/>
  <c r="W119" i="26" s="1"/>
  <c r="T119" i="26"/>
  <c r="U119" i="26" s="1" a="1"/>
  <c r="U119" i="26" s="1"/>
  <c r="W118" i="26" a="1"/>
  <c r="W118" i="26" s="1"/>
  <c r="T118" i="26"/>
  <c r="U118" i="26" s="1" a="1"/>
  <c r="U118" i="26" s="1"/>
  <c r="W117" i="26" a="1"/>
  <c r="W117" i="26" s="1"/>
  <c r="T117" i="26"/>
  <c r="U117" i="26" s="1" a="1"/>
  <c r="U117" i="26" s="1"/>
  <c r="W116" i="26" a="1"/>
  <c r="W116" i="26" s="1"/>
  <c r="T116" i="26"/>
  <c r="U116" i="26" s="1" a="1"/>
  <c r="U116" i="26" s="1"/>
  <c r="W115" i="26" a="1"/>
  <c r="W115" i="26" s="1"/>
  <c r="T115" i="26"/>
  <c r="U115" i="26" s="1" a="1"/>
  <c r="U115" i="26" s="1"/>
  <c r="W114" i="26" a="1"/>
  <c r="W114" i="26" s="1"/>
  <c r="T114" i="26"/>
  <c r="U114" i="26" s="1" a="1"/>
  <c r="U114" i="26" s="1"/>
  <c r="W113" i="26" a="1"/>
  <c r="W113" i="26" s="1"/>
  <c r="T113" i="26"/>
  <c r="U113" i="26" s="1" a="1"/>
  <c r="U113" i="26" s="1"/>
  <c r="W112" i="26" a="1"/>
  <c r="W112" i="26" s="1"/>
  <c r="T112" i="26"/>
  <c r="U112" i="26" s="1" a="1"/>
  <c r="U112" i="26" s="1"/>
  <c r="W111" i="26" a="1"/>
  <c r="W111" i="26" s="1"/>
  <c r="T111" i="26"/>
  <c r="U111" i="26" s="1" a="1"/>
  <c r="U111" i="26" s="1"/>
  <c r="W110" i="26" a="1"/>
  <c r="W110" i="26" s="1"/>
  <c r="T110" i="26"/>
  <c r="U110" i="26" s="1" a="1"/>
  <c r="U110" i="26" s="1"/>
  <c r="W109" i="26" a="1"/>
  <c r="W109" i="26" s="1"/>
  <c r="T109" i="26"/>
  <c r="U109" i="26" s="1" a="1"/>
  <c r="U109" i="26" s="1"/>
  <c r="W108" i="26" a="1"/>
  <c r="W108" i="26" s="1"/>
  <c r="T108" i="26"/>
  <c r="U108" i="26" s="1" a="1"/>
  <c r="U108" i="26" s="1"/>
  <c r="W107" i="26" a="1"/>
  <c r="W107" i="26" s="1"/>
  <c r="T107" i="26"/>
  <c r="U107" i="26" s="1" a="1"/>
  <c r="U107" i="26" s="1"/>
  <c r="W106" i="26" a="1"/>
  <c r="W106" i="26" s="1"/>
  <c r="T106" i="26"/>
  <c r="U106" i="26" s="1" a="1"/>
  <c r="U106" i="26" s="1"/>
  <c r="W105" i="26" a="1"/>
  <c r="W105" i="26" s="1"/>
  <c r="T105" i="26"/>
  <c r="U105" i="26" s="1" a="1"/>
  <c r="U105" i="26" s="1"/>
  <c r="W104" i="26" a="1"/>
  <c r="W104" i="26" s="1"/>
  <c r="T104" i="26"/>
  <c r="U104" i="26" s="1" a="1"/>
  <c r="U104" i="26" s="1"/>
  <c r="W103" i="26" a="1"/>
  <c r="W103" i="26" s="1"/>
  <c r="T103" i="26"/>
  <c r="U103" i="26" s="1" a="1"/>
  <c r="U103" i="26" s="1"/>
  <c r="W102" i="26" a="1"/>
  <c r="W102" i="26" s="1"/>
  <c r="T102" i="26"/>
  <c r="U102" i="26" s="1" a="1"/>
  <c r="U102" i="26" s="1"/>
  <c r="W101" i="26" a="1"/>
  <c r="W101" i="26" s="1"/>
  <c r="T101" i="26"/>
  <c r="U101" i="26" s="1" a="1"/>
  <c r="U101" i="26" s="1"/>
  <c r="W100" i="26" a="1"/>
  <c r="W100" i="26" s="1"/>
  <c r="T100" i="26"/>
  <c r="U100" i="26" s="1" a="1"/>
  <c r="U100" i="26" s="1"/>
  <c r="W99" i="26" a="1"/>
  <c r="W99" i="26" s="1"/>
  <c r="T99" i="26"/>
  <c r="U99" i="26" s="1" a="1"/>
  <c r="U99" i="26" s="1"/>
  <c r="W98" i="26" a="1"/>
  <c r="W98" i="26" s="1"/>
  <c r="T98" i="26"/>
  <c r="U98" i="26" s="1" a="1"/>
  <c r="U98" i="26" s="1"/>
  <c r="W97" i="26" a="1"/>
  <c r="W97" i="26" s="1"/>
  <c r="T97" i="26"/>
  <c r="U97" i="26" s="1" a="1"/>
  <c r="U97" i="26" s="1"/>
  <c r="W96" i="26" a="1"/>
  <c r="W96" i="26" s="1"/>
  <c r="T96" i="26"/>
  <c r="U96" i="26" s="1" a="1"/>
  <c r="U96" i="26" s="1"/>
  <c r="W95" i="26" a="1"/>
  <c r="W95" i="26" s="1"/>
  <c r="T95" i="26"/>
  <c r="U95" i="26" s="1" a="1"/>
  <c r="U95" i="26" s="1"/>
  <c r="W94" i="26" a="1"/>
  <c r="W94" i="26" s="1"/>
  <c r="T94" i="26"/>
  <c r="U94" i="26" s="1" a="1"/>
  <c r="U94" i="26" s="1"/>
  <c r="W93" i="26" a="1"/>
  <c r="W93" i="26" s="1"/>
  <c r="T93" i="26"/>
  <c r="U93" i="26" s="1" a="1"/>
  <c r="U93" i="26" s="1"/>
  <c r="W92" i="26" a="1"/>
  <c r="W92" i="26" s="1"/>
  <c r="T92" i="26"/>
  <c r="U92" i="26" s="1" a="1"/>
  <c r="U92" i="26" s="1"/>
  <c r="W91" i="26" a="1"/>
  <c r="W91" i="26" s="1"/>
  <c r="T91" i="26"/>
  <c r="U91" i="26" s="1" a="1"/>
  <c r="U91" i="26" s="1"/>
  <c r="W90" i="26" a="1"/>
  <c r="W90" i="26" s="1"/>
  <c r="T90" i="26"/>
  <c r="U90" i="26" s="1" a="1"/>
  <c r="U90" i="26" s="1"/>
  <c r="W89" i="26" a="1"/>
  <c r="W89" i="26" s="1"/>
  <c r="T89" i="26"/>
  <c r="U89" i="26" s="1" a="1"/>
  <c r="U89" i="26" s="1"/>
  <c r="W88" i="26" a="1"/>
  <c r="W88" i="26" s="1"/>
  <c r="T88" i="26"/>
  <c r="U88" i="26" s="1" a="1"/>
  <c r="U88" i="26" s="1"/>
  <c r="W87" i="26" a="1"/>
  <c r="W87" i="26" s="1"/>
  <c r="T87" i="26"/>
  <c r="U87" i="26" s="1" a="1"/>
  <c r="U87" i="26" s="1"/>
  <c r="W86" i="26" a="1"/>
  <c r="W86" i="26" s="1"/>
  <c r="T86" i="26"/>
  <c r="U86" i="26" s="1" a="1"/>
  <c r="U86" i="26" s="1"/>
  <c r="W85" i="26" a="1"/>
  <c r="W85" i="26" s="1"/>
  <c r="T85" i="26"/>
  <c r="U85" i="26" s="1" a="1"/>
  <c r="U85" i="26" s="1"/>
  <c r="W84" i="26" a="1"/>
  <c r="W84" i="26" s="1"/>
  <c r="T84" i="26"/>
  <c r="U84" i="26" s="1" a="1"/>
  <c r="U84" i="26" s="1"/>
  <c r="W83" i="26" a="1"/>
  <c r="W83" i="26" s="1"/>
  <c r="T83" i="26"/>
  <c r="U83" i="26" s="1" a="1"/>
  <c r="U83" i="26" s="1"/>
  <c r="W82" i="26" a="1"/>
  <c r="W82" i="26" s="1"/>
  <c r="T82" i="26"/>
  <c r="U82" i="26" s="1" a="1"/>
  <c r="U82" i="26" s="1"/>
  <c r="W81" i="26" a="1"/>
  <c r="W81" i="26" s="1"/>
  <c r="T81" i="26"/>
  <c r="U81" i="26" s="1" a="1"/>
  <c r="U81" i="26" s="1"/>
  <c r="W80" i="26" a="1"/>
  <c r="W80" i="26" s="1"/>
  <c r="T80" i="26"/>
  <c r="U80" i="26" s="1" a="1"/>
  <c r="U80" i="26" s="1"/>
  <c r="W79" i="26" a="1"/>
  <c r="W79" i="26" s="1"/>
  <c r="T79" i="26"/>
  <c r="U79" i="26" s="1" a="1"/>
  <c r="U79" i="26" s="1"/>
  <c r="W78" i="26" a="1"/>
  <c r="W78" i="26" s="1"/>
  <c r="T78" i="26"/>
  <c r="U78" i="26" s="1" a="1"/>
  <c r="U78" i="26" s="1"/>
  <c r="W77" i="26" a="1"/>
  <c r="W77" i="26" s="1"/>
  <c r="T77" i="26"/>
  <c r="U77" i="26" s="1" a="1"/>
  <c r="U77" i="26" s="1"/>
  <c r="W76" i="26" a="1"/>
  <c r="W76" i="26" s="1"/>
  <c r="T76" i="26"/>
  <c r="U76" i="26" s="1" a="1"/>
  <c r="U76" i="26" s="1"/>
  <c r="W75" i="26" a="1"/>
  <c r="W75" i="26" s="1"/>
  <c r="T75" i="26"/>
  <c r="U75" i="26" s="1" a="1"/>
  <c r="U75" i="26" s="1"/>
  <c r="W74" i="26" a="1"/>
  <c r="W74" i="26" s="1"/>
  <c r="T74" i="26"/>
  <c r="U74" i="26" s="1" a="1"/>
  <c r="U74" i="26" s="1"/>
  <c r="W73" i="26" a="1"/>
  <c r="W73" i="26" s="1"/>
  <c r="T73" i="26"/>
  <c r="U73" i="26" s="1" a="1"/>
  <c r="U73" i="26" s="1"/>
  <c r="W72" i="26" a="1"/>
  <c r="W72" i="26" s="1"/>
  <c r="T72" i="26"/>
  <c r="U72" i="26" s="1" a="1"/>
  <c r="U72" i="26" s="1"/>
  <c r="W71" i="26" a="1"/>
  <c r="W71" i="26" s="1"/>
  <c r="T71" i="26"/>
  <c r="U71" i="26" s="1" a="1"/>
  <c r="U71" i="26" s="1"/>
  <c r="W70" i="26" a="1"/>
  <c r="W70" i="26" s="1"/>
  <c r="T70" i="26"/>
  <c r="U70" i="26" s="1" a="1"/>
  <c r="U70" i="26" s="1"/>
  <c r="W69" i="26" a="1"/>
  <c r="W69" i="26" s="1"/>
  <c r="T69" i="26"/>
  <c r="U69" i="26" s="1" a="1"/>
  <c r="U69" i="26" s="1"/>
  <c r="W68" i="26" a="1"/>
  <c r="W68" i="26" s="1"/>
  <c r="T68" i="26"/>
  <c r="U68" i="26" s="1" a="1"/>
  <c r="U68" i="26" s="1"/>
  <c r="W67" i="26" a="1"/>
  <c r="W67" i="26" s="1"/>
  <c r="T67" i="26"/>
  <c r="U67" i="26" s="1" a="1"/>
  <c r="U67" i="26" s="1"/>
  <c r="W66" i="26" a="1"/>
  <c r="W66" i="26" s="1"/>
  <c r="T66" i="26"/>
  <c r="U66" i="26" s="1" a="1"/>
  <c r="U66" i="26" s="1"/>
  <c r="W65" i="26" a="1"/>
  <c r="W65" i="26" s="1"/>
  <c r="T65" i="26"/>
  <c r="U65" i="26" s="1" a="1"/>
  <c r="U65" i="26" s="1"/>
  <c r="W64" i="26" a="1"/>
  <c r="W64" i="26" s="1"/>
  <c r="T64" i="26"/>
  <c r="U64" i="26" s="1" a="1"/>
  <c r="U64" i="26" s="1"/>
  <c r="W63" i="26" a="1"/>
  <c r="W63" i="26" s="1"/>
  <c r="T63" i="26"/>
  <c r="U63" i="26" s="1" a="1"/>
  <c r="U63" i="26" s="1"/>
  <c r="W62" i="26" a="1"/>
  <c r="W62" i="26" s="1"/>
  <c r="T62" i="26"/>
  <c r="U62" i="26" s="1" a="1"/>
  <c r="U62" i="26" s="1"/>
  <c r="W61" i="26" a="1"/>
  <c r="W61" i="26" s="1"/>
  <c r="T61" i="26"/>
  <c r="U61" i="26" s="1" a="1"/>
  <c r="U61" i="26" s="1"/>
  <c r="W60" i="26" a="1"/>
  <c r="W60" i="26" s="1"/>
  <c r="T60" i="26"/>
  <c r="U60" i="26" s="1" a="1"/>
  <c r="U60" i="26" s="1"/>
  <c r="W59" i="26" a="1"/>
  <c r="W59" i="26" s="1"/>
  <c r="T59" i="26"/>
  <c r="U59" i="26" s="1" a="1"/>
  <c r="U59" i="26" s="1"/>
  <c r="W58" i="26" a="1"/>
  <c r="W58" i="26" s="1"/>
  <c r="T58" i="26"/>
  <c r="U58" i="26" s="1" a="1"/>
  <c r="U58" i="26" s="1"/>
  <c r="W57" i="26" a="1"/>
  <c r="W57" i="26" s="1"/>
  <c r="T57" i="26"/>
  <c r="U57" i="26" s="1" a="1"/>
  <c r="U57" i="26" s="1"/>
  <c r="W56" i="26" a="1"/>
  <c r="W56" i="26" s="1"/>
  <c r="T56" i="26"/>
  <c r="U56" i="26" s="1" a="1"/>
  <c r="U56" i="26" s="1"/>
  <c r="W55" i="26" a="1"/>
  <c r="W55" i="26" s="1"/>
  <c r="T55" i="26"/>
  <c r="U55" i="26" s="1" a="1"/>
  <c r="U55" i="26" s="1"/>
  <c r="W54" i="26" a="1"/>
  <c r="W54" i="26" s="1"/>
  <c r="T54" i="26"/>
  <c r="U54" i="26" s="1" a="1"/>
  <c r="U54" i="26" s="1"/>
  <c r="W53" i="26" a="1"/>
  <c r="W53" i="26" s="1"/>
  <c r="T53" i="26"/>
  <c r="U53" i="26" s="1" a="1"/>
  <c r="U53" i="26" s="1"/>
  <c r="W52" i="26" a="1"/>
  <c r="W52" i="26" s="1"/>
  <c r="T52" i="26"/>
  <c r="U52" i="26" s="1" a="1"/>
  <c r="U52" i="26" s="1"/>
  <c r="W51" i="26" a="1"/>
  <c r="W51" i="26" s="1"/>
  <c r="T51" i="26"/>
  <c r="U51" i="26" s="1" a="1"/>
  <c r="U51" i="26" s="1"/>
  <c r="W50" i="26" a="1"/>
  <c r="W50" i="26" s="1"/>
  <c r="T50" i="26"/>
  <c r="U50" i="26" s="1" a="1"/>
  <c r="U50" i="26" s="1"/>
  <c r="W49" i="26" a="1"/>
  <c r="W49" i="26" s="1"/>
  <c r="T49" i="26"/>
  <c r="U49" i="26" s="1" a="1"/>
  <c r="U49" i="26" s="1"/>
  <c r="W48" i="26" a="1"/>
  <c r="W48" i="26" s="1"/>
  <c r="T48" i="26"/>
  <c r="U48" i="26" s="1" a="1"/>
  <c r="U48" i="26" s="1"/>
  <c r="W47" i="26" a="1"/>
  <c r="W47" i="26" s="1"/>
  <c r="T47" i="26"/>
  <c r="U47" i="26" s="1" a="1"/>
  <c r="U47" i="26" s="1"/>
  <c r="W46" i="26" a="1"/>
  <c r="W46" i="26" s="1"/>
  <c r="T46" i="26"/>
  <c r="U46" i="26" s="1" a="1"/>
  <c r="U46" i="26" s="1"/>
  <c r="W45" i="26" a="1"/>
  <c r="W45" i="26" s="1"/>
  <c r="T45" i="26"/>
  <c r="U45" i="26" s="1" a="1"/>
  <c r="U45" i="26" s="1"/>
  <c r="W44" i="26" a="1"/>
  <c r="W44" i="26" s="1"/>
  <c r="T44" i="26"/>
  <c r="U44" i="26" s="1" a="1"/>
  <c r="U44" i="26" s="1"/>
  <c r="W43" i="26" a="1"/>
  <c r="W43" i="26" s="1"/>
  <c r="T43" i="26"/>
  <c r="U43" i="26" s="1" a="1"/>
  <c r="U43" i="26" s="1"/>
  <c r="W42" i="26" a="1"/>
  <c r="W42" i="26" s="1"/>
  <c r="T42" i="26"/>
  <c r="U42" i="26" s="1" a="1"/>
  <c r="U42" i="26" s="1"/>
  <c r="W41" i="26" a="1"/>
  <c r="W41" i="26" s="1"/>
  <c r="T41" i="26"/>
  <c r="U41" i="26" s="1" a="1"/>
  <c r="U41" i="26" s="1"/>
  <c r="W40" i="26" a="1"/>
  <c r="W40" i="26" s="1"/>
  <c r="T40" i="26"/>
  <c r="U40" i="26" s="1" a="1"/>
  <c r="U40" i="26" s="1"/>
  <c r="W39" i="26" a="1"/>
  <c r="W39" i="26" s="1"/>
  <c r="T39" i="26"/>
  <c r="U39" i="26" s="1" a="1"/>
  <c r="U39" i="26" s="1"/>
  <c r="W38" i="26" a="1"/>
  <c r="W38" i="26" s="1"/>
  <c r="T38" i="26"/>
  <c r="U38" i="26" s="1" a="1"/>
  <c r="U38" i="26" s="1"/>
  <c r="W37" i="26" a="1"/>
  <c r="W37" i="26" s="1"/>
  <c r="T37" i="26"/>
  <c r="U37" i="26" s="1" a="1"/>
  <c r="U37" i="26" s="1"/>
  <c r="W36" i="26" a="1"/>
  <c r="W36" i="26" s="1"/>
  <c r="T36" i="26"/>
  <c r="U36" i="26" s="1" a="1"/>
  <c r="U36" i="26" s="1"/>
  <c r="W35" i="26" a="1"/>
  <c r="W35" i="26" s="1"/>
  <c r="T35" i="26"/>
  <c r="U35" i="26" s="1" a="1"/>
  <c r="U35" i="26" s="1"/>
  <c r="W34" i="26" a="1"/>
  <c r="W34" i="26" s="1"/>
  <c r="T34" i="26"/>
  <c r="U34" i="26" s="1" a="1"/>
  <c r="U34" i="26" s="1"/>
  <c r="W33" i="26" a="1"/>
  <c r="W33" i="26" s="1"/>
  <c r="T33" i="26"/>
  <c r="U33" i="26" s="1" a="1"/>
  <c r="U33" i="26" s="1"/>
  <c r="W32" i="26" a="1"/>
  <c r="W32" i="26" s="1"/>
  <c r="T32" i="26"/>
  <c r="U32" i="26" s="1" a="1"/>
  <c r="U32" i="26" s="1"/>
  <c r="W31" i="26" a="1"/>
  <c r="W31" i="26" s="1"/>
  <c r="T31" i="26"/>
  <c r="U31" i="26" s="1" a="1"/>
  <c r="U31" i="26" s="1"/>
  <c r="W30" i="26" a="1"/>
  <c r="W30" i="26" s="1"/>
  <c r="T30" i="26"/>
  <c r="U30" i="26" s="1" a="1"/>
  <c r="U30" i="26" s="1"/>
  <c r="W29" i="26" a="1"/>
  <c r="W29" i="26" s="1"/>
  <c r="T29" i="26"/>
  <c r="U29" i="26" s="1" a="1"/>
  <c r="U29" i="26" s="1"/>
  <c r="W28" i="26" a="1"/>
  <c r="W28" i="26" s="1"/>
  <c r="T28" i="26"/>
  <c r="U28" i="26" s="1" a="1"/>
  <c r="U28" i="26" s="1"/>
  <c r="W27" i="26" a="1"/>
  <c r="W27" i="26" s="1"/>
  <c r="T27" i="26"/>
  <c r="U27" i="26" s="1" a="1"/>
  <c r="U27" i="26" s="1"/>
  <c r="W26" i="26" a="1"/>
  <c r="W26" i="26" s="1"/>
  <c r="T26" i="26"/>
  <c r="U26" i="26" s="1" a="1"/>
  <c r="U26" i="26" s="1"/>
  <c r="W25" i="26" a="1"/>
  <c r="W25" i="26" s="1"/>
  <c r="T25" i="26"/>
  <c r="U25" i="26" s="1" a="1"/>
  <c r="U25" i="26" s="1"/>
  <c r="W24" i="26" a="1"/>
  <c r="W24" i="26" s="1"/>
  <c r="T24" i="26"/>
  <c r="U24" i="26" s="1" a="1"/>
  <c r="U24" i="26" s="1"/>
  <c r="W23" i="26" a="1"/>
  <c r="W23" i="26" s="1"/>
  <c r="T23" i="26"/>
  <c r="U23" i="26" s="1" a="1"/>
  <c r="U23" i="26" s="1"/>
  <c r="W22" i="26" a="1"/>
  <c r="W22" i="26" s="1"/>
  <c r="T22" i="26"/>
  <c r="U22" i="26" s="1" a="1"/>
  <c r="U22" i="26" s="1"/>
  <c r="W21" i="26" a="1"/>
  <c r="W21" i="26" s="1"/>
  <c r="T21" i="26"/>
  <c r="U21" i="26" s="1" a="1"/>
  <c r="U21" i="26" s="1"/>
  <c r="W20" i="26" a="1"/>
  <c r="W20" i="26" s="1"/>
  <c r="T20" i="26"/>
  <c r="U20" i="26" s="1" a="1"/>
  <c r="U20" i="26" s="1"/>
  <c r="W19" i="26" a="1"/>
  <c r="W19" i="26" s="1"/>
  <c r="T19" i="26"/>
  <c r="U19" i="26" s="1" a="1"/>
  <c r="U19" i="26" s="1"/>
  <c r="W18" i="26" a="1"/>
  <c r="W18" i="26" s="1"/>
  <c r="T18" i="26"/>
  <c r="U18" i="26" s="1" a="1"/>
  <c r="U18" i="26" s="1"/>
  <c r="W17" i="26" a="1"/>
  <c r="W17" i="26" s="1"/>
  <c r="T17" i="26"/>
  <c r="U17" i="26" s="1" a="1"/>
  <c r="U17" i="26" s="1"/>
  <c r="W16" i="26" a="1"/>
  <c r="W16" i="26" s="1"/>
  <c r="T16" i="26"/>
  <c r="U16" i="26" s="1" a="1"/>
  <c r="U16" i="26" s="1"/>
  <c r="W15" i="26" a="1"/>
  <c r="W15" i="26" s="1"/>
  <c r="T15" i="26"/>
  <c r="U15" i="26" s="1" a="1"/>
  <c r="U15" i="26" s="1"/>
  <c r="W14" i="26" a="1"/>
  <c r="W14" i="26" s="1"/>
  <c r="T14" i="26"/>
  <c r="U14" i="26" s="1" a="1"/>
  <c r="U14" i="26" s="1"/>
  <c r="W13" i="26" a="1"/>
  <c r="W13" i="26" s="1"/>
  <c r="T13" i="26"/>
  <c r="U13" i="26" s="1" a="1"/>
  <c r="U13" i="26" s="1"/>
  <c r="W12" i="26" a="1"/>
  <c r="W12" i="26" s="1"/>
  <c r="T12" i="26"/>
  <c r="U12" i="26" s="1" a="1"/>
  <c r="U12" i="26" s="1"/>
  <c r="W11" i="26" a="1"/>
  <c r="W11" i="26" s="1"/>
  <c r="T11" i="26"/>
  <c r="U11" i="26" s="1" a="1"/>
  <c r="U11" i="26" s="1"/>
  <c r="W10" i="26" a="1"/>
  <c r="W10" i="26" s="1"/>
  <c r="T10" i="26"/>
  <c r="U10" i="26" s="1" a="1"/>
  <c r="U10" i="26" s="1"/>
  <c r="W9" i="26" a="1"/>
  <c r="W9" i="26" s="1"/>
  <c r="T9" i="26"/>
  <c r="U9" i="26" s="1" a="1"/>
  <c r="U9" i="26" s="1"/>
  <c r="W8" i="26" a="1"/>
  <c r="W8" i="26" s="1"/>
  <c r="T8" i="26"/>
  <c r="U8" i="26" s="1" a="1"/>
  <c r="U8" i="26" s="1"/>
  <c r="W7" i="26" a="1"/>
  <c r="W7" i="26" s="1"/>
  <c r="T7" i="26"/>
  <c r="U7" i="26" s="1" a="1"/>
  <c r="U7" i="26" s="1"/>
  <c r="W6" i="26" a="1"/>
  <c r="W6" i="26" s="1"/>
  <c r="T6" i="26"/>
  <c r="U6" i="26" s="1" a="1"/>
  <c r="U6" i="26" s="1"/>
  <c r="L32" i="26" l="1"/>
  <c r="M32" i="26" s="1" a="1"/>
  <c r="M32" i="26" s="1"/>
  <c r="L202" i="26"/>
  <c r="M202" i="26" s="1" a="1"/>
  <c r="M202" i="26" s="1"/>
  <c r="L204" i="26"/>
  <c r="M204" i="26" s="1" a="1"/>
  <c r="M204" i="26" s="1"/>
  <c r="L50" i="26"/>
  <c r="M50" i="26" s="1" a="1"/>
  <c r="M50" i="26" s="1"/>
  <c r="L24" i="26"/>
  <c r="M24" i="26" s="1" a="1"/>
  <c r="M24" i="26" s="1"/>
  <c r="L54" i="26"/>
  <c r="M54" i="26" s="1" a="1"/>
  <c r="M54" i="26" s="1"/>
  <c r="L59" i="26"/>
  <c r="M59" i="26" s="1" a="1"/>
  <c r="M59" i="26" s="1"/>
  <c r="L64" i="26"/>
  <c r="M64" i="26" s="1" a="1"/>
  <c r="M64" i="26" s="1"/>
  <c r="L119" i="26"/>
  <c r="M119" i="26" s="1" a="1"/>
  <c r="M119" i="26" s="1"/>
  <c r="L110" i="26"/>
  <c r="M110" i="26" s="1" a="1"/>
  <c r="M110" i="26" s="1"/>
  <c r="L120" i="26"/>
  <c r="M120" i="26" s="1" a="1"/>
  <c r="M120" i="26" s="1"/>
  <c r="L130" i="26"/>
  <c r="M130" i="26" s="1" a="1"/>
  <c r="M130" i="26" s="1"/>
  <c r="L185" i="26"/>
  <c r="M185" i="26" s="1" a="1"/>
  <c r="M185" i="26" s="1"/>
  <c r="L151" i="26"/>
  <c r="M151" i="26" s="1" a="1"/>
  <c r="M151" i="26" s="1"/>
  <c r="L164" i="26"/>
  <c r="M164" i="26" s="1" a="1"/>
  <c r="M164" i="26" s="1"/>
  <c r="L184" i="26"/>
  <c r="M184" i="26" s="1" a="1"/>
  <c r="M184" i="26" s="1"/>
  <c r="L47" i="26"/>
  <c r="M47" i="26" s="1" a="1"/>
  <c r="M47" i="26" s="1"/>
  <c r="L140" i="26"/>
  <c r="M140" i="26" s="1" a="1"/>
  <c r="M140" i="26" s="1"/>
  <c r="L78" i="26"/>
  <c r="M78" i="26" s="1" a="1"/>
  <c r="M78" i="26" s="1"/>
  <c r="L12" i="26"/>
  <c r="M12" i="26" s="1" a="1"/>
  <c r="M12" i="26" s="1"/>
  <c r="L133" i="26"/>
  <c r="M133" i="26" s="1" a="1"/>
  <c r="M133" i="26" s="1"/>
  <c r="L49" i="26"/>
  <c r="M49" i="26" s="1" a="1"/>
  <c r="M49" i="26" s="1"/>
  <c r="L124" i="26"/>
  <c r="M124" i="26" s="1" a="1"/>
  <c r="M124" i="26" s="1"/>
  <c r="L152" i="26"/>
  <c r="M152" i="26" s="1" a="1"/>
  <c r="M152" i="26" s="1"/>
  <c r="L139" i="26"/>
  <c r="M139" i="26" s="1" a="1"/>
  <c r="M139" i="26" s="1"/>
  <c r="L100" i="26"/>
  <c r="M100" i="26" s="1" a="1"/>
  <c r="M100" i="26" s="1"/>
  <c r="L191" i="26"/>
  <c r="M191" i="26" s="1" a="1"/>
  <c r="M191" i="26" s="1"/>
  <c r="L169" i="26"/>
  <c r="M169" i="26" s="1" a="1"/>
  <c r="M169" i="26" s="1"/>
  <c r="L211" i="26"/>
  <c r="M211" i="26" s="1" a="1"/>
  <c r="M211" i="26" s="1"/>
  <c r="L71" i="26"/>
  <c r="M71" i="26" s="1" a="1"/>
  <c r="M71" i="26" s="1"/>
  <c r="L91" i="26"/>
  <c r="M91" i="26" s="1" a="1"/>
  <c r="M91" i="26" s="1"/>
  <c r="L121" i="26"/>
  <c r="M121" i="26" s="1" a="1"/>
  <c r="M121" i="26" s="1"/>
  <c r="L87" i="26"/>
  <c r="M87" i="26" s="1" a="1"/>
  <c r="M87" i="26" s="1"/>
  <c r="L158" i="26"/>
  <c r="M158" i="26" s="1" a="1"/>
  <c r="M158" i="26" s="1"/>
  <c r="L131" i="26"/>
  <c r="M131" i="26" s="1" a="1"/>
  <c r="M131" i="26" s="1"/>
  <c r="L79" i="26"/>
  <c r="M79" i="26" s="1" a="1"/>
  <c r="M79" i="26" s="1"/>
  <c r="L107" i="26"/>
  <c r="M107" i="26" s="1" a="1"/>
  <c r="M107" i="26" s="1"/>
  <c r="L112" i="26"/>
  <c r="M112" i="26" s="1" a="1"/>
  <c r="M112" i="26" s="1"/>
  <c r="L146" i="26"/>
  <c r="M146" i="26" s="1" a="1"/>
  <c r="M146" i="26" s="1"/>
  <c r="L193" i="26"/>
  <c r="M193" i="26" s="1" a="1"/>
  <c r="M193" i="26" s="1"/>
  <c r="L31" i="26"/>
  <c r="M31" i="26" s="1" a="1"/>
  <c r="M31" i="26" s="1"/>
  <c r="L60" i="26"/>
  <c r="M60" i="26" s="1" a="1"/>
  <c r="M60" i="26" s="1"/>
  <c r="L94" i="26"/>
  <c r="M94" i="26" s="1" a="1"/>
  <c r="M94" i="26" s="1"/>
  <c r="L142" i="26"/>
  <c r="M142" i="26" s="1" a="1"/>
  <c r="M142" i="26" s="1"/>
  <c r="L16" i="26"/>
  <c r="M16" i="26" s="1" a="1"/>
  <c r="M16" i="26" s="1"/>
  <c r="L51" i="26"/>
  <c r="M51" i="26" s="1" a="1"/>
  <c r="M51" i="26" s="1"/>
  <c r="L80" i="26"/>
  <c r="M80" i="26" s="1" a="1"/>
  <c r="M80" i="26" s="1"/>
  <c r="L85" i="26"/>
  <c r="M85" i="26" s="1" a="1"/>
  <c r="M85" i="26" s="1"/>
  <c r="L161" i="26"/>
  <c r="M161" i="26" s="1" a="1"/>
  <c r="M161" i="26" s="1"/>
  <c r="L180" i="26"/>
  <c r="M180" i="26" s="1" a="1"/>
  <c r="M180" i="26" s="1"/>
  <c r="L189" i="26"/>
  <c r="M189" i="26" s="1" a="1"/>
  <c r="M189" i="26" s="1"/>
  <c r="L102" i="26"/>
  <c r="M102" i="26" s="1" a="1"/>
  <c r="M102" i="26" s="1"/>
  <c r="L98" i="26"/>
  <c r="M98" i="26" s="1" a="1"/>
  <c r="M98" i="26" s="1"/>
  <c r="L207" i="26"/>
  <c r="M207" i="26" s="1" a="1"/>
  <c r="M207" i="26" s="1"/>
  <c r="L27" i="26"/>
  <c r="M27" i="26" s="1" a="1"/>
  <c r="M27" i="26" s="1"/>
  <c r="L66" i="26"/>
  <c r="M66" i="26" s="1" a="1"/>
  <c r="M66" i="26" s="1"/>
  <c r="L104" i="26"/>
  <c r="M104" i="26" s="1" a="1"/>
  <c r="M104" i="26" s="1"/>
  <c r="L118" i="26"/>
  <c r="M118" i="26" s="1" a="1"/>
  <c r="M118" i="26" s="1"/>
  <c r="L147" i="26"/>
  <c r="M147" i="26" s="1" a="1"/>
  <c r="M147" i="26" s="1"/>
  <c r="L213" i="26"/>
  <c r="M213" i="26" s="1" a="1"/>
  <c r="M213" i="26" s="1"/>
  <c r="L178" i="26"/>
  <c r="M178" i="26" s="1" a="1"/>
  <c r="M178" i="26" s="1"/>
  <c r="L23" i="26"/>
  <c r="M23" i="26" s="1" a="1"/>
  <c r="M23" i="26" s="1"/>
  <c r="L129" i="26"/>
  <c r="M129" i="26" s="1" a="1"/>
  <c r="M129" i="26" s="1"/>
  <c r="L134" i="26"/>
  <c r="M134" i="26" s="1" a="1"/>
  <c r="M134" i="26" s="1"/>
  <c r="L144" i="26"/>
  <c r="M144" i="26" s="1" a="1"/>
  <c r="M144" i="26" s="1"/>
  <c r="L67" i="26"/>
  <c r="M67" i="26" s="1" a="1"/>
  <c r="M67" i="26" s="1"/>
  <c r="L7" i="26"/>
  <c r="M7" i="26" s="1" a="1"/>
  <c r="M7" i="26" s="1"/>
  <c r="L96" i="26"/>
  <c r="M96" i="26" s="1" a="1"/>
  <c r="M96" i="26" s="1"/>
  <c r="L105" i="26"/>
  <c r="M105" i="26" s="1" a="1"/>
  <c r="M105" i="26" s="1"/>
  <c r="L182" i="26"/>
  <c r="M182" i="26" s="1" a="1"/>
  <c r="M182" i="26" s="1"/>
  <c r="L111" i="26"/>
  <c r="M111" i="26" s="1" a="1"/>
  <c r="M111" i="26" s="1"/>
  <c r="L25" i="26"/>
  <c r="M25" i="26" s="1" a="1"/>
  <c r="M25" i="26" s="1"/>
  <c r="L40" i="26"/>
  <c r="M40" i="26" s="1" a="1"/>
  <c r="M40" i="26" s="1"/>
  <c r="L109" i="26"/>
  <c r="M109" i="26" s="1" a="1"/>
  <c r="M109" i="26" s="1"/>
  <c r="L171" i="26"/>
  <c r="M171" i="26" s="1" a="1"/>
  <c r="M171" i="26" s="1"/>
  <c r="L167" i="26"/>
  <c r="M167" i="26" s="1" a="1"/>
  <c r="M167" i="26" s="1"/>
  <c r="L58" i="26"/>
  <c r="M58" i="26" s="1" a="1"/>
  <c r="M58" i="26" s="1"/>
  <c r="L101" i="26"/>
  <c r="M101" i="26" s="1" a="1"/>
  <c r="M101" i="26" s="1"/>
  <c r="L149" i="26"/>
  <c r="M149" i="26" s="1" a="1"/>
  <c r="M149" i="26" s="1"/>
  <c r="L196" i="26"/>
  <c r="M196" i="26" s="1" a="1"/>
  <c r="M196" i="26" s="1"/>
  <c r="L39" i="26"/>
  <c r="M39" i="26" s="1" a="1"/>
  <c r="M39" i="26" s="1"/>
  <c r="L68" i="26"/>
  <c r="M68" i="26" s="1" a="1"/>
  <c r="M68" i="26" s="1"/>
  <c r="L56" i="26"/>
  <c r="M56" i="26" s="1" a="1"/>
  <c r="M56" i="26" s="1"/>
  <c r="L103" i="26"/>
  <c r="M103" i="26" s="1" a="1"/>
  <c r="M103" i="26" s="1"/>
  <c r="L200" i="26"/>
  <c r="M200" i="26" s="1" a="1"/>
  <c r="M200" i="26" s="1"/>
  <c r="L122" i="26"/>
  <c r="M122" i="26" s="1" a="1"/>
  <c r="M122" i="26" s="1"/>
  <c r="L160" i="26"/>
  <c r="M160" i="26" s="1" a="1"/>
  <c r="M160" i="26" s="1"/>
  <c r="L88" i="26"/>
  <c r="M88" i="26" s="1" a="1"/>
  <c r="M88" i="26" s="1"/>
  <c r="L18" i="26"/>
  <c r="M18" i="26" s="1" a="1"/>
  <c r="M18" i="26" s="1"/>
  <c r="L61" i="26"/>
  <c r="M61" i="26" s="1" a="1"/>
  <c r="M61" i="26" s="1"/>
  <c r="L8" i="26"/>
  <c r="M8" i="26" s="1" a="1"/>
  <c r="M8" i="26" s="1"/>
  <c r="L77" i="26"/>
  <c r="M77" i="26" s="1" a="1"/>
  <c r="M77" i="26" s="1"/>
  <c r="L168" i="26"/>
  <c r="M168" i="26" s="1" a="1"/>
  <c r="M168" i="26" s="1"/>
  <c r="L9" i="26"/>
  <c r="M9" i="26" s="1" a="1"/>
  <c r="M9" i="26" s="1"/>
  <c r="L57" i="26"/>
  <c r="M57" i="26" s="1" a="1"/>
  <c r="M57" i="26" s="1"/>
  <c r="L212" i="26"/>
  <c r="M212" i="26" s="1" a="1"/>
  <c r="M212" i="26" s="1"/>
  <c r="L19" i="26"/>
  <c r="M19" i="26" s="1" a="1"/>
  <c r="M19" i="26" s="1"/>
  <c r="L37" i="26"/>
  <c r="M37" i="26" s="1" a="1"/>
  <c r="M37" i="26" s="1"/>
  <c r="L45" i="26"/>
  <c r="M45" i="26" s="1" a="1"/>
  <c r="M45" i="26" s="1"/>
  <c r="L69" i="26"/>
  <c r="M69" i="26" s="1" a="1"/>
  <c r="M69" i="26" s="1"/>
  <c r="L116" i="26"/>
  <c r="M116" i="26" s="1" a="1"/>
  <c r="M116" i="26" s="1"/>
  <c r="L127" i="26"/>
  <c r="M127" i="26" s="1" a="1"/>
  <c r="M127" i="26" s="1"/>
  <c r="L156" i="26"/>
  <c r="M156" i="26" s="1" a="1"/>
  <c r="M156" i="26" s="1"/>
  <c r="L205" i="26"/>
  <c r="M205" i="26" s="1" a="1"/>
  <c r="M205" i="26" s="1"/>
  <c r="L14" i="26"/>
  <c r="M14" i="26" s="1" a="1"/>
  <c r="M14" i="26" s="1"/>
  <c r="L81" i="26"/>
  <c r="M81" i="26" s="1" a="1"/>
  <c r="M81" i="26" s="1"/>
  <c r="L89" i="26"/>
  <c r="M89" i="26" s="1" a="1"/>
  <c r="M89" i="26" s="1"/>
  <c r="L172" i="26"/>
  <c r="M172" i="26" s="1" a="1"/>
  <c r="M172" i="26" s="1"/>
  <c r="L10" i="26"/>
  <c r="M10" i="26" s="1" a="1"/>
  <c r="M10" i="26" s="1"/>
  <c r="L29" i="26"/>
  <c r="M29" i="26" s="1" a="1"/>
  <c r="M29" i="26" s="1"/>
  <c r="L33" i="26"/>
  <c r="M33" i="26" s="1" a="1"/>
  <c r="M33" i="26" s="1"/>
  <c r="L53" i="26"/>
  <c r="M53" i="26" s="1" a="1"/>
  <c r="M53" i="26" s="1"/>
  <c r="L73" i="26"/>
  <c r="M73" i="26" s="1" a="1"/>
  <c r="M73" i="26" s="1"/>
  <c r="L93" i="26"/>
  <c r="M93" i="26" s="1" a="1"/>
  <c r="M93" i="26" s="1"/>
  <c r="L181" i="26"/>
  <c r="M181" i="26" s="1" a="1"/>
  <c r="M181" i="26" s="1"/>
  <c r="L209" i="26"/>
  <c r="M209" i="26" s="1" a="1"/>
  <c r="M209" i="26" s="1"/>
  <c r="L143" i="26"/>
  <c r="M143" i="26" s="1" a="1"/>
  <c r="M143" i="26" s="1"/>
  <c r="L20" i="26"/>
  <c r="M20" i="26" s="1" a="1"/>
  <c r="M20" i="26" s="1"/>
  <c r="L117" i="26"/>
  <c r="M117" i="26" s="1" a="1"/>
  <c r="M117" i="26" s="1"/>
  <c r="L128" i="26"/>
  <c r="M128" i="26" s="1" a="1"/>
  <c r="M128" i="26" s="1"/>
  <c r="L132" i="26"/>
  <c r="M132" i="26" s="1" a="1"/>
  <c r="M132" i="26" s="1"/>
  <c r="L62" i="26"/>
  <c r="M62" i="26" s="1" a="1"/>
  <c r="M62" i="26" s="1"/>
  <c r="L70" i="26"/>
  <c r="M70" i="26" s="1" a="1"/>
  <c r="M70" i="26" s="1"/>
  <c r="J121" i="26" a="1"/>
  <c r="J121" i="26" s="1"/>
  <c r="L166" i="26"/>
  <c r="M166" i="26" s="1" a="1"/>
  <c r="M166" i="26" s="1"/>
  <c r="L34" i="26"/>
  <c r="M34" i="26" s="1" a="1"/>
  <c r="M34" i="26" s="1"/>
  <c r="L42" i="26"/>
  <c r="M42" i="26" s="1" a="1"/>
  <c r="M42" i="26" s="1"/>
  <c r="L82" i="26"/>
  <c r="M82" i="26" s="1" a="1"/>
  <c r="M82" i="26" s="1"/>
  <c r="L90" i="26"/>
  <c r="M90" i="26" s="1" a="1"/>
  <c r="M90" i="26" s="1"/>
  <c r="L113" i="26"/>
  <c r="M113" i="26" s="1" a="1"/>
  <c r="M113" i="26" s="1"/>
  <c r="L153" i="26"/>
  <c r="M153" i="26" s="1" a="1"/>
  <c r="M153" i="26" s="1"/>
  <c r="L210" i="26"/>
  <c r="M210" i="26" s="1" a="1"/>
  <c r="M210" i="26" s="1"/>
  <c r="L214" i="26"/>
  <c r="M214" i="26" s="1" a="1"/>
  <c r="M214" i="26" s="1"/>
  <c r="L201" i="26"/>
  <c r="M201" i="26" s="1" a="1"/>
  <c r="M201" i="26" s="1"/>
  <c r="L38" i="26"/>
  <c r="M38" i="26" s="1" a="1"/>
  <c r="M38" i="26" s="1"/>
  <c r="L11" i="26"/>
  <c r="M11" i="26" s="1" a="1"/>
  <c r="M11" i="26" s="1"/>
  <c r="L141" i="26"/>
  <c r="M141" i="26" s="1" a="1"/>
  <c r="M141" i="26" s="1"/>
  <c r="L162" i="26"/>
  <c r="M162" i="26" s="1" a="1"/>
  <c r="M162" i="26" s="1"/>
  <c r="L190" i="26"/>
  <c r="M190" i="26" s="1" a="1"/>
  <c r="M190" i="26" s="1"/>
  <c r="L72" i="26"/>
  <c r="M72" i="26" s="1" a="1"/>
  <c r="M72" i="26" s="1"/>
  <c r="L188" i="26"/>
  <c r="M188" i="26" s="1" a="1"/>
  <c r="M188" i="26" s="1"/>
  <c r="L46" i="26"/>
  <c r="M46" i="26" s="1" a="1"/>
  <c r="M46" i="26" s="1"/>
  <c r="L22" i="26"/>
  <c r="M22" i="26" s="1" a="1"/>
  <c r="M22" i="26" s="1"/>
  <c r="L170" i="26"/>
  <c r="M170" i="26" s="1" a="1"/>
  <c r="M170" i="26" s="1"/>
  <c r="L198" i="26"/>
  <c r="M198" i="26" s="1" a="1"/>
  <c r="M198" i="26" s="1"/>
  <c r="L206" i="26"/>
  <c r="M206" i="26" s="1" a="1"/>
  <c r="M206" i="26" s="1"/>
  <c r="L157" i="26"/>
  <c r="M157" i="26" s="1" a="1"/>
  <c r="M157" i="26" s="1"/>
  <c r="L173" i="26"/>
  <c r="M173" i="26" s="1" a="1"/>
  <c r="M173" i="26" s="1"/>
  <c r="L17" i="26"/>
  <c r="M17" i="26" s="1" a="1"/>
  <c r="M17" i="26" s="1"/>
  <c r="L83" i="26"/>
  <c r="M83" i="26" s="1" a="1"/>
  <c r="M83" i="26" s="1"/>
  <c r="L99" i="26"/>
  <c r="M99" i="26" s="1" a="1"/>
  <c r="M99" i="26" s="1"/>
  <c r="L138" i="26"/>
  <c r="M138" i="26" s="1" a="1"/>
  <c r="M138" i="26" s="1"/>
  <c r="L154" i="26"/>
  <c r="M154" i="26" s="1" a="1"/>
  <c r="M154" i="26" s="1"/>
  <c r="L179" i="26"/>
  <c r="M179" i="26" s="1" a="1"/>
  <c r="M179" i="26" s="1"/>
  <c r="L183" i="26"/>
  <c r="M183" i="26" s="1" a="1"/>
  <c r="M183" i="26" s="1"/>
  <c r="L187" i="26"/>
  <c r="M187" i="26" s="1" a="1"/>
  <c r="M187" i="26" s="1"/>
  <c r="L203" i="26"/>
  <c r="M203" i="26" s="1" a="1"/>
  <c r="M203" i="26" s="1"/>
  <c r="L52" i="26"/>
  <c r="M52" i="26" s="1" a="1"/>
  <c r="M52" i="26" s="1"/>
  <c r="L163" i="26"/>
  <c r="M163" i="26" s="1" a="1"/>
  <c r="M163" i="26" s="1"/>
  <c r="L125" i="26"/>
  <c r="M125" i="26" s="1" a="1"/>
  <c r="M125" i="26" s="1"/>
  <c r="L174" i="26"/>
  <c r="M174" i="26" s="1" a="1"/>
  <c r="M174" i="26" s="1"/>
  <c r="J75" i="26" a="1"/>
  <c r="J75" i="26" s="1"/>
  <c r="L75" i="26"/>
  <c r="M75" i="26" s="1" a="1"/>
  <c r="M75" i="26" s="1"/>
  <c r="J65" i="26" a="1"/>
  <c r="J65" i="26" s="1"/>
  <c r="L65" i="26"/>
  <c r="M65" i="26" s="1" a="1"/>
  <c r="M65" i="26" s="1"/>
  <c r="L43" i="26"/>
  <c r="M43" i="26" s="1" a="1"/>
  <c r="M43" i="26" s="1"/>
  <c r="L177" i="26"/>
  <c r="M177" i="26" s="1" a="1"/>
  <c r="M177" i="26" s="1"/>
  <c r="J54" i="26" a="1"/>
  <c r="J54" i="26" s="1"/>
  <c r="L28" i="26"/>
  <c r="M28" i="26" s="1" a="1"/>
  <c r="M28" i="26" s="1"/>
  <c r="L76" i="26"/>
  <c r="M76" i="26" s="1" a="1"/>
  <c r="M76" i="26" s="1"/>
  <c r="L97" i="26"/>
  <c r="M97" i="26" s="1" a="1"/>
  <c r="M97" i="26" s="1"/>
  <c r="L199" i="26"/>
  <c r="M199" i="26" s="1" a="1"/>
  <c r="M199" i="26" s="1"/>
  <c r="J59" i="26" a="1"/>
  <c r="J59" i="26" s="1"/>
  <c r="J32" i="26" a="1"/>
  <c r="J32" i="26" s="1"/>
  <c r="J50" i="26" a="1"/>
  <c r="J50" i="26" s="1"/>
  <c r="L74" i="26"/>
  <c r="M74" i="26" s="1" a="1"/>
  <c r="M74" i="26" s="1"/>
  <c r="L92" i="26"/>
  <c r="M92" i="26" s="1" a="1"/>
  <c r="M92" i="26" s="1"/>
  <c r="L145" i="26"/>
  <c r="M145" i="26" s="1" a="1"/>
  <c r="M145" i="26" s="1"/>
  <c r="L86" i="26"/>
  <c r="M86" i="26" s="1" a="1"/>
  <c r="M86" i="26" s="1"/>
  <c r="L155" i="26"/>
  <c r="M155" i="26" s="1" a="1"/>
  <c r="M155" i="26" s="1"/>
  <c r="L165" i="26"/>
  <c r="M165" i="26" s="1" a="1"/>
  <c r="M165" i="26" s="1"/>
  <c r="L194" i="26"/>
  <c r="M194" i="26" s="1" a="1"/>
  <c r="M194" i="26" s="1"/>
  <c r="L26" i="26"/>
  <c r="M26" i="26" s="1" a="1"/>
  <c r="M26" i="26" s="1"/>
  <c r="L159" i="26"/>
  <c r="M159" i="26" s="1" a="1"/>
  <c r="M159" i="26" s="1"/>
  <c r="L41" i="26"/>
  <c r="M41" i="26" s="1" a="1"/>
  <c r="M41" i="26" s="1"/>
  <c r="L108" i="26"/>
  <c r="M108" i="26" s="1" a="1"/>
  <c r="M108" i="26" s="1"/>
  <c r="L114" i="26"/>
  <c r="M114" i="26" s="1" a="1"/>
  <c r="M114" i="26" s="1"/>
  <c r="L123" i="26"/>
  <c r="M123" i="26" s="1" a="1"/>
  <c r="M123" i="26" s="1"/>
  <c r="L136" i="26"/>
  <c r="M136" i="26" s="1" a="1"/>
  <c r="M136" i="26" s="1"/>
  <c r="L36" i="26"/>
  <c r="M36" i="26" s="1" a="1"/>
  <c r="M36" i="26" s="1"/>
  <c r="L30" i="26"/>
  <c r="M30" i="26" s="1" a="1"/>
  <c r="M30" i="26" s="1"/>
  <c r="L48" i="26"/>
  <c r="M48" i="26" s="1" a="1"/>
  <c r="M48" i="26" s="1"/>
  <c r="L63" i="26"/>
  <c r="M63" i="26" s="1" a="1"/>
  <c r="M63" i="26" s="1"/>
  <c r="L176" i="26"/>
  <c r="M176" i="26" s="1" a="1"/>
  <c r="M176" i="26" s="1"/>
  <c r="L150" i="26"/>
  <c r="M150" i="26" s="1" a="1"/>
  <c r="M150" i="26" s="1"/>
  <c r="L192" i="26"/>
  <c r="M192" i="26" s="1" a="1"/>
  <c r="M192" i="26" s="1"/>
  <c r="L186" i="26"/>
  <c r="M186" i="26" s="1" a="1"/>
  <c r="M186" i="26" s="1"/>
  <c r="L208" i="26"/>
  <c r="M208" i="26" s="1" a="1"/>
  <c r="M208" i="26" s="1"/>
  <c r="J35" i="26" a="1"/>
  <c r="J35" i="26" s="1"/>
  <c r="L35" i="26"/>
  <c r="M35" i="26" s="1" a="1"/>
  <c r="M35" i="26" s="1"/>
  <c r="L95" i="26"/>
  <c r="M95" i="26" s="1" a="1"/>
  <c r="M95" i="26" s="1"/>
  <c r="L175" i="26"/>
  <c r="M175" i="26" s="1" a="1"/>
  <c r="M175" i="26" s="1"/>
  <c r="L197" i="26"/>
  <c r="M197" i="26" s="1" a="1"/>
  <c r="M197" i="26" s="1"/>
  <c r="L106" i="26"/>
  <c r="M106" i="26" s="1" a="1"/>
  <c r="M106" i="26" s="1"/>
  <c r="L195" i="26"/>
  <c r="M195" i="26" s="1" a="1"/>
  <c r="M195" i="26" s="1"/>
  <c r="L55" i="26"/>
  <c r="M55" i="26" s="1" a="1"/>
  <c r="M55" i="26" s="1"/>
  <c r="J55" i="26" a="1"/>
  <c r="J55" i="26" s="1"/>
  <c r="L137" i="26"/>
  <c r="M137" i="26" s="1" a="1"/>
  <c r="M137" i="26" s="1"/>
  <c r="J115" i="26" a="1"/>
  <c r="J115" i="26" s="1"/>
  <c r="L115" i="26"/>
  <c r="M115" i="26" s="1" a="1"/>
  <c r="M115" i="26" s="1"/>
  <c r="L126" i="26"/>
  <c r="M126" i="26" s="1" a="1"/>
  <c r="M126" i="26" s="1"/>
  <c r="L148" i="26"/>
  <c r="M148" i="26" s="1" a="1"/>
  <c r="M148" i="26" s="1"/>
  <c r="L215" i="26"/>
  <c r="M215" i="26" s="1" a="1"/>
  <c r="M215" i="26" s="1"/>
  <c r="J135" i="26" a="1"/>
  <c r="J135" i="26" s="1"/>
  <c r="L135" i="26"/>
  <c r="M135" i="26" s="1" a="1"/>
  <c r="M135" i="26" s="1"/>
  <c r="J124" i="26" a="1"/>
  <c r="J124" i="26" s="1"/>
  <c r="J204" i="26" a="1"/>
  <c r="J204" i="26" s="1"/>
  <c r="J64" i="26" a="1"/>
  <c r="J64" i="26" s="1"/>
  <c r="J104" i="26" a="1"/>
  <c r="J104" i="26" s="1"/>
  <c r="J144" i="26" a="1"/>
  <c r="J144" i="26" s="1"/>
  <c r="J164" i="26" a="1"/>
  <c r="J164" i="26" s="1"/>
  <c r="J184" i="26" a="1"/>
  <c r="J184" i="26" s="1"/>
  <c r="J24" i="26" a="1"/>
  <c r="J24" i="26" s="1"/>
  <c r="J182" i="26" a="1"/>
  <c r="J182" i="26" s="1"/>
  <c r="J202" i="26" a="1"/>
  <c r="J202" i="26" s="1"/>
  <c r="L44" i="26"/>
  <c r="M44" i="26" s="1" a="1"/>
  <c r="M44" i="26" s="1"/>
  <c r="L84" i="26"/>
  <c r="M84" i="26" s="1" a="1"/>
  <c r="M84" i="26" s="1"/>
  <c r="L13" i="26"/>
  <c r="M13" i="26" s="1" a="1"/>
  <c r="M13" i="26" s="1"/>
  <c r="J10" i="26" a="1"/>
  <c r="J10" i="26" s="1"/>
  <c r="J7" i="26" a="1"/>
  <c r="J7" i="26" s="1"/>
  <c r="AE215" i="26" l="1" a="1"/>
  <c r="AE215" i="26" s="1"/>
  <c r="AB215" i="26"/>
  <c r="AC215" i="26" s="1" a="1"/>
  <c r="AC215" i="26" s="1"/>
  <c r="AE214" i="26" a="1"/>
  <c r="AE214" i="26" s="1"/>
  <c r="AB214" i="26"/>
  <c r="AC214" i="26" s="1" a="1"/>
  <c r="AC214" i="26" s="1"/>
  <c r="AE213" i="26" a="1"/>
  <c r="AE213" i="26" s="1"/>
  <c r="AB213" i="26"/>
  <c r="AC213" i="26" s="1" a="1"/>
  <c r="AC213" i="26" s="1"/>
  <c r="AE212" i="26" a="1"/>
  <c r="AE212" i="26" s="1"/>
  <c r="AB212" i="26"/>
  <c r="AC212" i="26" s="1" a="1"/>
  <c r="AC212" i="26" s="1"/>
  <c r="AE211" i="26" a="1"/>
  <c r="AE211" i="26" s="1"/>
  <c r="AB211" i="26"/>
  <c r="AC211" i="26" s="1" a="1"/>
  <c r="AC211" i="26" s="1"/>
  <c r="AE210" i="26" a="1"/>
  <c r="AE210" i="26" s="1"/>
  <c r="AB210" i="26"/>
  <c r="AC210" i="26" s="1" a="1"/>
  <c r="AC210" i="26" s="1"/>
  <c r="AE209" i="26" a="1"/>
  <c r="AE209" i="26" s="1"/>
  <c r="AB209" i="26"/>
  <c r="AC209" i="26" s="1" a="1"/>
  <c r="AC209" i="26" s="1"/>
  <c r="AE208" i="26" a="1"/>
  <c r="AE208" i="26" s="1"/>
  <c r="AB208" i="26"/>
  <c r="AC208" i="26" s="1" a="1"/>
  <c r="AC208" i="26" s="1"/>
  <c r="AE207" i="26" a="1"/>
  <c r="AE207" i="26" s="1"/>
  <c r="AB207" i="26"/>
  <c r="AC207" i="26" s="1" a="1"/>
  <c r="AC207" i="26" s="1"/>
  <c r="AE206" i="26" a="1"/>
  <c r="AE206" i="26" s="1"/>
  <c r="AB206" i="26"/>
  <c r="AC206" i="26" s="1" a="1"/>
  <c r="AC206" i="26" s="1"/>
  <c r="AE205" i="26" a="1"/>
  <c r="AE205" i="26" s="1"/>
  <c r="AB205" i="26"/>
  <c r="AC205" i="26" s="1" a="1"/>
  <c r="AC205" i="26" s="1"/>
  <c r="AE204" i="26" a="1"/>
  <c r="AE204" i="26" s="1"/>
  <c r="AB204" i="26"/>
  <c r="AC204" i="26" s="1" a="1"/>
  <c r="AC204" i="26" s="1"/>
  <c r="AE203" i="26" a="1"/>
  <c r="AE203" i="26" s="1"/>
  <c r="AB203" i="26"/>
  <c r="AC203" i="26" s="1" a="1"/>
  <c r="AC203" i="26" s="1"/>
  <c r="AE202" i="26" a="1"/>
  <c r="AE202" i="26" s="1"/>
  <c r="AB202" i="26"/>
  <c r="AC202" i="26" s="1" a="1"/>
  <c r="AC202" i="26" s="1"/>
  <c r="AE201" i="26" a="1"/>
  <c r="AE201" i="26" s="1"/>
  <c r="AB201" i="26"/>
  <c r="AC201" i="26" s="1" a="1"/>
  <c r="AC201" i="26" s="1"/>
  <c r="AE200" i="26" a="1"/>
  <c r="AE200" i="26" s="1"/>
  <c r="AB200" i="26"/>
  <c r="AC200" i="26" s="1" a="1"/>
  <c r="AC200" i="26" s="1"/>
  <c r="AE199" i="26" a="1"/>
  <c r="AE199" i="26" s="1"/>
  <c r="AB199" i="26"/>
  <c r="AC199" i="26" s="1" a="1"/>
  <c r="AC199" i="26" s="1"/>
  <c r="AE198" i="26" a="1"/>
  <c r="AE198" i="26" s="1"/>
  <c r="AB198" i="26"/>
  <c r="AC198" i="26" s="1" a="1"/>
  <c r="AC198" i="26" s="1"/>
  <c r="AE197" i="26" a="1"/>
  <c r="AE197" i="26" s="1"/>
  <c r="AB197" i="26"/>
  <c r="AC197" i="26" s="1" a="1"/>
  <c r="AC197" i="26" s="1"/>
  <c r="AE196" i="26" a="1"/>
  <c r="AE196" i="26" s="1"/>
  <c r="AB196" i="26"/>
  <c r="AC196" i="26" s="1" a="1"/>
  <c r="AC196" i="26" s="1"/>
  <c r="AE195" i="26" a="1"/>
  <c r="AE195" i="26" s="1"/>
  <c r="AB195" i="26"/>
  <c r="AC195" i="26" s="1" a="1"/>
  <c r="AC195" i="26" s="1"/>
  <c r="AE194" i="26" a="1"/>
  <c r="AE194" i="26" s="1"/>
  <c r="AB194" i="26"/>
  <c r="AC194" i="26" s="1" a="1"/>
  <c r="AC194" i="26" s="1"/>
  <c r="AE193" i="26" a="1"/>
  <c r="AE193" i="26" s="1"/>
  <c r="AB193" i="26"/>
  <c r="AC193" i="26" s="1" a="1"/>
  <c r="AC193" i="26" s="1"/>
  <c r="AE192" i="26" a="1"/>
  <c r="AE192" i="26" s="1"/>
  <c r="AB192" i="26"/>
  <c r="AC192" i="26" s="1" a="1"/>
  <c r="AC192" i="26" s="1"/>
  <c r="AE191" i="26" a="1"/>
  <c r="AE191" i="26" s="1"/>
  <c r="AB191" i="26"/>
  <c r="AC191" i="26" s="1" a="1"/>
  <c r="AC191" i="26" s="1"/>
  <c r="AE190" i="26" a="1"/>
  <c r="AE190" i="26" s="1"/>
  <c r="AB190" i="26"/>
  <c r="AC190" i="26" s="1" a="1"/>
  <c r="AC190" i="26" s="1"/>
  <c r="AE189" i="26" a="1"/>
  <c r="AE189" i="26" s="1"/>
  <c r="AB189" i="26"/>
  <c r="AC189" i="26" s="1" a="1"/>
  <c r="AC189" i="26" s="1"/>
  <c r="AE188" i="26" a="1"/>
  <c r="AE188" i="26" s="1"/>
  <c r="AB188" i="26"/>
  <c r="AC188" i="26" s="1" a="1"/>
  <c r="AC188" i="26" s="1"/>
  <c r="AE187" i="26" a="1"/>
  <c r="AE187" i="26" s="1"/>
  <c r="AB187" i="26"/>
  <c r="AC187" i="26" s="1" a="1"/>
  <c r="AC187" i="26" s="1"/>
  <c r="AE186" i="26" a="1"/>
  <c r="AE186" i="26" s="1"/>
  <c r="AB186" i="26"/>
  <c r="AC186" i="26" s="1" a="1"/>
  <c r="AC186" i="26" s="1"/>
  <c r="AE185" i="26" a="1"/>
  <c r="AE185" i="26" s="1"/>
  <c r="AB185" i="26"/>
  <c r="AC185" i="26" s="1" a="1"/>
  <c r="AC185" i="26" s="1"/>
  <c r="AE184" i="26" a="1"/>
  <c r="AE184" i="26" s="1"/>
  <c r="AB184" i="26"/>
  <c r="AC184" i="26" s="1" a="1"/>
  <c r="AC184" i="26" s="1"/>
  <c r="AE183" i="26" a="1"/>
  <c r="AE183" i="26" s="1"/>
  <c r="AB183" i="26"/>
  <c r="AC183" i="26" s="1" a="1"/>
  <c r="AC183" i="26" s="1"/>
  <c r="AE182" i="26" a="1"/>
  <c r="AE182" i="26" s="1"/>
  <c r="AB182" i="26"/>
  <c r="AC182" i="26" s="1" a="1"/>
  <c r="AC182" i="26" s="1"/>
  <c r="AE181" i="26" a="1"/>
  <c r="AE181" i="26" s="1"/>
  <c r="AB181" i="26"/>
  <c r="AC181" i="26" s="1" a="1"/>
  <c r="AC181" i="26" s="1"/>
  <c r="AE180" i="26" a="1"/>
  <c r="AE180" i="26" s="1"/>
  <c r="AB180" i="26"/>
  <c r="AC180" i="26" s="1" a="1"/>
  <c r="AC180" i="26" s="1"/>
  <c r="AE179" i="26" a="1"/>
  <c r="AE179" i="26" s="1"/>
  <c r="AB179" i="26"/>
  <c r="AC179" i="26" s="1" a="1"/>
  <c r="AC179" i="26" s="1"/>
  <c r="AE178" i="26" a="1"/>
  <c r="AE178" i="26" s="1"/>
  <c r="AB178" i="26"/>
  <c r="AC178" i="26" s="1" a="1"/>
  <c r="AC178" i="26" s="1"/>
  <c r="AE177" i="26" a="1"/>
  <c r="AE177" i="26" s="1"/>
  <c r="AB177" i="26"/>
  <c r="AC177" i="26" s="1" a="1"/>
  <c r="AC177" i="26" s="1"/>
  <c r="AE176" i="26" a="1"/>
  <c r="AE176" i="26" s="1"/>
  <c r="AB176" i="26"/>
  <c r="AC176" i="26" s="1" a="1"/>
  <c r="AC176" i="26" s="1"/>
  <c r="AE175" i="26" a="1"/>
  <c r="AE175" i="26" s="1"/>
  <c r="AB175" i="26"/>
  <c r="AC175" i="26" s="1" a="1"/>
  <c r="AC175" i="26" s="1"/>
  <c r="AE174" i="26" a="1"/>
  <c r="AE174" i="26" s="1"/>
  <c r="AB174" i="26"/>
  <c r="AC174" i="26" s="1" a="1"/>
  <c r="AC174" i="26" s="1"/>
  <c r="AE173" i="26" a="1"/>
  <c r="AE173" i="26" s="1"/>
  <c r="AB173" i="26"/>
  <c r="AC173" i="26" s="1" a="1"/>
  <c r="AC173" i="26" s="1"/>
  <c r="AE172" i="26" a="1"/>
  <c r="AE172" i="26" s="1"/>
  <c r="AB172" i="26"/>
  <c r="AC172" i="26" s="1" a="1"/>
  <c r="AC172" i="26" s="1"/>
  <c r="AE171" i="26" a="1"/>
  <c r="AE171" i="26" s="1"/>
  <c r="AB171" i="26"/>
  <c r="AC171" i="26" s="1" a="1"/>
  <c r="AC171" i="26" s="1"/>
  <c r="AE170" i="26" a="1"/>
  <c r="AE170" i="26" s="1"/>
  <c r="AB170" i="26"/>
  <c r="AC170" i="26" s="1" a="1"/>
  <c r="AC170" i="26" s="1"/>
  <c r="AE169" i="26" a="1"/>
  <c r="AE169" i="26" s="1"/>
  <c r="AB169" i="26"/>
  <c r="AC169" i="26" s="1" a="1"/>
  <c r="AC169" i="26" s="1"/>
  <c r="AE168" i="26" a="1"/>
  <c r="AE168" i="26" s="1"/>
  <c r="AB168" i="26"/>
  <c r="AC168" i="26" s="1" a="1"/>
  <c r="AC168" i="26" s="1"/>
  <c r="AE167" i="26" a="1"/>
  <c r="AE167" i="26" s="1"/>
  <c r="AB167" i="26"/>
  <c r="AC167" i="26" s="1" a="1"/>
  <c r="AC167" i="26" s="1"/>
  <c r="AE166" i="26" a="1"/>
  <c r="AE166" i="26" s="1"/>
  <c r="AB166" i="26"/>
  <c r="AC166" i="26" s="1" a="1"/>
  <c r="AC166" i="26" s="1"/>
  <c r="AE165" i="26" a="1"/>
  <c r="AE165" i="26" s="1"/>
  <c r="AB165" i="26"/>
  <c r="AC165" i="26" s="1" a="1"/>
  <c r="AC165" i="26" s="1"/>
  <c r="AE164" i="26" a="1"/>
  <c r="AE164" i="26" s="1"/>
  <c r="AB164" i="26"/>
  <c r="AC164" i="26" s="1" a="1"/>
  <c r="AC164" i="26" s="1"/>
  <c r="AE163" i="26" a="1"/>
  <c r="AE163" i="26" s="1"/>
  <c r="AB163" i="26"/>
  <c r="AC163" i="26" s="1" a="1"/>
  <c r="AC163" i="26" s="1"/>
  <c r="AE162" i="26" a="1"/>
  <c r="AE162" i="26" s="1"/>
  <c r="AB162" i="26"/>
  <c r="AC162" i="26" s="1" a="1"/>
  <c r="AC162" i="26" s="1"/>
  <c r="AE161" i="26" a="1"/>
  <c r="AE161" i="26" s="1"/>
  <c r="AB161" i="26"/>
  <c r="AC161" i="26" s="1" a="1"/>
  <c r="AC161" i="26" s="1"/>
  <c r="AE160" i="26" a="1"/>
  <c r="AE160" i="26" s="1"/>
  <c r="AB160" i="26"/>
  <c r="AC160" i="26" s="1" a="1"/>
  <c r="AC160" i="26" s="1"/>
  <c r="AE159" i="26" a="1"/>
  <c r="AE159" i="26" s="1"/>
  <c r="AB159" i="26"/>
  <c r="AC159" i="26" s="1" a="1"/>
  <c r="AC159" i="26" s="1"/>
  <c r="AE158" i="26" a="1"/>
  <c r="AE158" i="26" s="1"/>
  <c r="AB158" i="26"/>
  <c r="AC158" i="26" s="1" a="1"/>
  <c r="AC158" i="26" s="1"/>
  <c r="AE157" i="26" a="1"/>
  <c r="AE157" i="26" s="1"/>
  <c r="AB157" i="26"/>
  <c r="AC157" i="26" s="1" a="1"/>
  <c r="AC157" i="26" s="1"/>
  <c r="AE156" i="26" a="1"/>
  <c r="AE156" i="26" s="1"/>
  <c r="AB156" i="26"/>
  <c r="AC156" i="26" s="1" a="1"/>
  <c r="AC156" i="26" s="1"/>
  <c r="AE155" i="26" a="1"/>
  <c r="AE155" i="26" s="1"/>
  <c r="AB155" i="26"/>
  <c r="AC155" i="26" s="1" a="1"/>
  <c r="AC155" i="26" s="1"/>
  <c r="AE154" i="26" a="1"/>
  <c r="AE154" i="26" s="1"/>
  <c r="AB154" i="26"/>
  <c r="AC154" i="26" s="1" a="1"/>
  <c r="AC154" i="26" s="1"/>
  <c r="AE153" i="26" a="1"/>
  <c r="AE153" i="26" s="1"/>
  <c r="AB153" i="26"/>
  <c r="AC153" i="26" s="1" a="1"/>
  <c r="AC153" i="26" s="1"/>
  <c r="AE152" i="26" a="1"/>
  <c r="AE152" i="26" s="1"/>
  <c r="AB152" i="26"/>
  <c r="AC152" i="26" s="1" a="1"/>
  <c r="AC152" i="26" s="1"/>
  <c r="AE151" i="26" a="1"/>
  <c r="AE151" i="26" s="1"/>
  <c r="AB151" i="26"/>
  <c r="AC151" i="26" s="1" a="1"/>
  <c r="AC151" i="26" s="1"/>
  <c r="AE150" i="26" a="1"/>
  <c r="AE150" i="26" s="1"/>
  <c r="AB150" i="26"/>
  <c r="AC150" i="26" s="1" a="1"/>
  <c r="AC150" i="26" s="1"/>
  <c r="AE149" i="26" a="1"/>
  <c r="AE149" i="26" s="1"/>
  <c r="AB149" i="26"/>
  <c r="AC149" i="26" s="1" a="1"/>
  <c r="AC149" i="26" s="1"/>
  <c r="AE148" i="26" a="1"/>
  <c r="AE148" i="26" s="1"/>
  <c r="AB148" i="26"/>
  <c r="AC148" i="26" s="1" a="1"/>
  <c r="AC148" i="26" s="1"/>
  <c r="AE147" i="26" a="1"/>
  <c r="AE147" i="26" s="1"/>
  <c r="AB147" i="26"/>
  <c r="AC147" i="26" s="1" a="1"/>
  <c r="AC147" i="26" s="1"/>
  <c r="AE146" i="26" a="1"/>
  <c r="AE146" i="26" s="1"/>
  <c r="AB146" i="26"/>
  <c r="AC146" i="26" s="1" a="1"/>
  <c r="AC146" i="26" s="1"/>
  <c r="AE145" i="26" a="1"/>
  <c r="AE145" i="26" s="1"/>
  <c r="AB145" i="26"/>
  <c r="AC145" i="26" s="1" a="1"/>
  <c r="AC145" i="26" s="1"/>
  <c r="AE144" i="26" a="1"/>
  <c r="AE144" i="26" s="1"/>
  <c r="AB144" i="26"/>
  <c r="AC144" i="26" s="1" a="1"/>
  <c r="AC144" i="26" s="1"/>
  <c r="AE143" i="26" a="1"/>
  <c r="AE143" i="26" s="1"/>
  <c r="AB143" i="26"/>
  <c r="AC143" i="26" s="1" a="1"/>
  <c r="AC143" i="26" s="1"/>
  <c r="AE142" i="26" a="1"/>
  <c r="AE142" i="26" s="1"/>
  <c r="AB142" i="26"/>
  <c r="AC142" i="26" s="1" a="1"/>
  <c r="AC142" i="26" s="1"/>
  <c r="AE141" i="26" a="1"/>
  <c r="AE141" i="26" s="1"/>
  <c r="AB141" i="26"/>
  <c r="AC141" i="26" s="1" a="1"/>
  <c r="AC141" i="26" s="1"/>
  <c r="AE140" i="26" a="1"/>
  <c r="AE140" i="26" s="1"/>
  <c r="AB140" i="26"/>
  <c r="AC140" i="26" s="1" a="1"/>
  <c r="AC140" i="26" s="1"/>
  <c r="AE139" i="26" a="1"/>
  <c r="AE139" i="26" s="1"/>
  <c r="AB139" i="26"/>
  <c r="AC139" i="26" s="1" a="1"/>
  <c r="AC139" i="26" s="1"/>
  <c r="AE138" i="26" a="1"/>
  <c r="AE138" i="26" s="1"/>
  <c r="AB138" i="26"/>
  <c r="AC138" i="26" s="1" a="1"/>
  <c r="AC138" i="26" s="1"/>
  <c r="AE137" i="26" a="1"/>
  <c r="AE137" i="26" s="1"/>
  <c r="AB137" i="26"/>
  <c r="AC137" i="26" s="1" a="1"/>
  <c r="AC137" i="26" s="1"/>
  <c r="AE136" i="26" a="1"/>
  <c r="AE136" i="26" s="1"/>
  <c r="AB136" i="26"/>
  <c r="AC136" i="26" s="1" a="1"/>
  <c r="AC136" i="26" s="1"/>
  <c r="AE135" i="26" a="1"/>
  <c r="AE135" i="26" s="1"/>
  <c r="AB135" i="26"/>
  <c r="AC135" i="26" s="1" a="1"/>
  <c r="AC135" i="26" s="1"/>
  <c r="AE134" i="26" a="1"/>
  <c r="AE134" i="26" s="1"/>
  <c r="AB134" i="26"/>
  <c r="AC134" i="26" s="1" a="1"/>
  <c r="AC134" i="26" s="1"/>
  <c r="AE133" i="26" a="1"/>
  <c r="AE133" i="26" s="1"/>
  <c r="AB133" i="26"/>
  <c r="AC133" i="26" s="1" a="1"/>
  <c r="AC133" i="26" s="1"/>
  <c r="AE132" i="26" a="1"/>
  <c r="AE132" i="26" s="1"/>
  <c r="AB132" i="26"/>
  <c r="AC132" i="26" s="1" a="1"/>
  <c r="AC132" i="26" s="1"/>
  <c r="AE131" i="26" a="1"/>
  <c r="AE131" i="26" s="1"/>
  <c r="AB131" i="26"/>
  <c r="AC131" i="26" s="1" a="1"/>
  <c r="AC131" i="26" s="1"/>
  <c r="AE130" i="26" a="1"/>
  <c r="AE130" i="26" s="1"/>
  <c r="AB130" i="26"/>
  <c r="AC130" i="26" s="1" a="1"/>
  <c r="AC130" i="26" s="1"/>
  <c r="AE129" i="26" a="1"/>
  <c r="AE129" i="26" s="1"/>
  <c r="AB129" i="26"/>
  <c r="AC129" i="26" s="1" a="1"/>
  <c r="AC129" i="26" s="1"/>
  <c r="AE128" i="26" a="1"/>
  <c r="AE128" i="26" s="1"/>
  <c r="AB128" i="26"/>
  <c r="AC128" i="26" s="1" a="1"/>
  <c r="AC128" i="26" s="1"/>
  <c r="AE127" i="26" a="1"/>
  <c r="AE127" i="26" s="1"/>
  <c r="AB127" i="26"/>
  <c r="AC127" i="26" s="1" a="1"/>
  <c r="AC127" i="26" s="1"/>
  <c r="AE126" i="26" a="1"/>
  <c r="AE126" i="26" s="1"/>
  <c r="AB126" i="26"/>
  <c r="AC126" i="26" s="1" a="1"/>
  <c r="AC126" i="26" s="1"/>
  <c r="AE125" i="26" a="1"/>
  <c r="AE125" i="26" s="1"/>
  <c r="AB125" i="26"/>
  <c r="AC125" i="26" s="1" a="1"/>
  <c r="AC125" i="26" s="1"/>
  <c r="AE124" i="26" a="1"/>
  <c r="AE124" i="26" s="1"/>
  <c r="AB124" i="26"/>
  <c r="AC124" i="26" s="1" a="1"/>
  <c r="AC124" i="26" s="1"/>
  <c r="AE123" i="26" a="1"/>
  <c r="AE123" i="26" s="1"/>
  <c r="AB123" i="26"/>
  <c r="AC123" i="26" s="1" a="1"/>
  <c r="AC123" i="26" s="1"/>
  <c r="AE122" i="26" a="1"/>
  <c r="AE122" i="26" s="1"/>
  <c r="AB122" i="26"/>
  <c r="AC122" i="26" s="1" a="1"/>
  <c r="AC122" i="26" s="1"/>
  <c r="AE121" i="26" a="1"/>
  <c r="AE121" i="26" s="1"/>
  <c r="AB121" i="26"/>
  <c r="AC121" i="26" s="1" a="1"/>
  <c r="AC121" i="26" s="1"/>
  <c r="AE120" i="26" a="1"/>
  <c r="AE120" i="26" s="1"/>
  <c r="AB120" i="26"/>
  <c r="AC120" i="26" s="1" a="1"/>
  <c r="AC120" i="26" s="1"/>
  <c r="AE119" i="26" a="1"/>
  <c r="AE119" i="26" s="1"/>
  <c r="AB119" i="26"/>
  <c r="AC119" i="26" s="1" a="1"/>
  <c r="AC119" i="26" s="1"/>
  <c r="AE118" i="26" a="1"/>
  <c r="AE118" i="26" s="1"/>
  <c r="AB118" i="26"/>
  <c r="AC118" i="26" s="1" a="1"/>
  <c r="AC118" i="26" s="1"/>
  <c r="AE117" i="26" a="1"/>
  <c r="AE117" i="26" s="1"/>
  <c r="AB117" i="26"/>
  <c r="AC117" i="26" s="1" a="1"/>
  <c r="AC117" i="26" s="1"/>
  <c r="AE116" i="26" a="1"/>
  <c r="AE116" i="26" s="1"/>
  <c r="AB116" i="26"/>
  <c r="AC116" i="26" s="1" a="1"/>
  <c r="AC116" i="26" s="1"/>
  <c r="AE115" i="26" a="1"/>
  <c r="AE115" i="26" s="1"/>
  <c r="AB115" i="26"/>
  <c r="AC115" i="26" s="1" a="1"/>
  <c r="AC115" i="26" s="1"/>
  <c r="AE114" i="26" a="1"/>
  <c r="AE114" i="26" s="1"/>
  <c r="AB114" i="26"/>
  <c r="AC114" i="26" s="1" a="1"/>
  <c r="AC114" i="26" s="1"/>
  <c r="AE113" i="26" a="1"/>
  <c r="AE113" i="26" s="1"/>
  <c r="AB113" i="26"/>
  <c r="AC113" i="26" s="1" a="1"/>
  <c r="AC113" i="26" s="1"/>
  <c r="AE112" i="26" a="1"/>
  <c r="AE112" i="26" s="1"/>
  <c r="AB112" i="26"/>
  <c r="AC112" i="26" s="1" a="1"/>
  <c r="AC112" i="26" s="1"/>
  <c r="AE111" i="26" a="1"/>
  <c r="AE111" i="26" s="1"/>
  <c r="AB111" i="26"/>
  <c r="AC111" i="26" s="1" a="1"/>
  <c r="AC111" i="26" s="1"/>
  <c r="AE110" i="26" a="1"/>
  <c r="AE110" i="26" s="1"/>
  <c r="AB110" i="26"/>
  <c r="AC110" i="26" s="1" a="1"/>
  <c r="AC110" i="26" s="1"/>
  <c r="AE109" i="26" a="1"/>
  <c r="AE109" i="26" s="1"/>
  <c r="AB109" i="26"/>
  <c r="AC109" i="26" s="1" a="1"/>
  <c r="AC109" i="26" s="1"/>
  <c r="AE108" i="26" a="1"/>
  <c r="AE108" i="26" s="1"/>
  <c r="AB108" i="26"/>
  <c r="AC108" i="26" s="1" a="1"/>
  <c r="AC108" i="26" s="1"/>
  <c r="AE107" i="26" a="1"/>
  <c r="AE107" i="26" s="1"/>
  <c r="AB107" i="26"/>
  <c r="AC107" i="26" s="1" a="1"/>
  <c r="AC107" i="26" s="1"/>
  <c r="AE106" i="26" a="1"/>
  <c r="AE106" i="26" s="1"/>
  <c r="AB106" i="26"/>
  <c r="AC106" i="26" s="1" a="1"/>
  <c r="AC106" i="26" s="1"/>
  <c r="AE105" i="26" a="1"/>
  <c r="AE105" i="26" s="1"/>
  <c r="AB105" i="26"/>
  <c r="AC105" i="26" s="1" a="1"/>
  <c r="AC105" i="26" s="1"/>
  <c r="AE104" i="26" a="1"/>
  <c r="AE104" i="26" s="1"/>
  <c r="AB104" i="26"/>
  <c r="AC104" i="26" s="1" a="1"/>
  <c r="AC104" i="26" s="1"/>
  <c r="AE103" i="26" a="1"/>
  <c r="AE103" i="26" s="1"/>
  <c r="AB103" i="26"/>
  <c r="AC103" i="26" s="1" a="1"/>
  <c r="AC103" i="26" s="1"/>
  <c r="AE102" i="26" a="1"/>
  <c r="AE102" i="26" s="1"/>
  <c r="AB102" i="26"/>
  <c r="AC102" i="26" s="1" a="1"/>
  <c r="AC102" i="26" s="1"/>
  <c r="AE101" i="26" a="1"/>
  <c r="AE101" i="26" s="1"/>
  <c r="AB101" i="26"/>
  <c r="AC101" i="26" s="1" a="1"/>
  <c r="AC101" i="26" s="1"/>
  <c r="AE100" i="26" a="1"/>
  <c r="AE100" i="26" s="1"/>
  <c r="AB100" i="26"/>
  <c r="AC100" i="26" s="1" a="1"/>
  <c r="AC100" i="26" s="1"/>
  <c r="AE99" i="26" a="1"/>
  <c r="AE99" i="26" s="1"/>
  <c r="AB99" i="26"/>
  <c r="AC99" i="26" s="1" a="1"/>
  <c r="AC99" i="26" s="1"/>
  <c r="AE98" i="26" a="1"/>
  <c r="AE98" i="26" s="1"/>
  <c r="AB98" i="26"/>
  <c r="AC98" i="26" s="1" a="1"/>
  <c r="AC98" i="26" s="1"/>
  <c r="AE97" i="26" a="1"/>
  <c r="AE97" i="26" s="1"/>
  <c r="AB97" i="26"/>
  <c r="AC97" i="26" s="1" a="1"/>
  <c r="AC97" i="26" s="1"/>
  <c r="AE96" i="26" a="1"/>
  <c r="AE96" i="26" s="1"/>
  <c r="AB96" i="26"/>
  <c r="AC96" i="26" s="1" a="1"/>
  <c r="AC96" i="26" s="1"/>
  <c r="AE95" i="26" a="1"/>
  <c r="AE95" i="26" s="1"/>
  <c r="AB95" i="26"/>
  <c r="AC95" i="26" s="1" a="1"/>
  <c r="AC95" i="26" s="1"/>
  <c r="AE94" i="26" a="1"/>
  <c r="AE94" i="26" s="1"/>
  <c r="AB94" i="26"/>
  <c r="AC94" i="26" s="1" a="1"/>
  <c r="AC94" i="26" s="1"/>
  <c r="AE93" i="26" a="1"/>
  <c r="AE93" i="26" s="1"/>
  <c r="AB93" i="26"/>
  <c r="AC93" i="26" s="1" a="1"/>
  <c r="AC93" i="26" s="1"/>
  <c r="AE92" i="26" a="1"/>
  <c r="AE92" i="26" s="1"/>
  <c r="AB92" i="26"/>
  <c r="AC92" i="26" s="1" a="1"/>
  <c r="AC92" i="26" s="1"/>
  <c r="AE91" i="26" a="1"/>
  <c r="AE91" i="26" s="1"/>
  <c r="AB91" i="26"/>
  <c r="AC91" i="26" s="1" a="1"/>
  <c r="AC91" i="26" s="1"/>
  <c r="AE90" i="26" a="1"/>
  <c r="AE90" i="26" s="1"/>
  <c r="AB90" i="26"/>
  <c r="AC90" i="26" s="1" a="1"/>
  <c r="AC90" i="26" s="1"/>
  <c r="AE89" i="26" a="1"/>
  <c r="AE89" i="26" s="1"/>
  <c r="AB89" i="26"/>
  <c r="AC89" i="26" s="1" a="1"/>
  <c r="AC89" i="26" s="1"/>
  <c r="AE88" i="26" a="1"/>
  <c r="AE88" i="26" s="1"/>
  <c r="AB88" i="26"/>
  <c r="AC88" i="26" s="1" a="1"/>
  <c r="AC88" i="26" s="1"/>
  <c r="AE87" i="26" a="1"/>
  <c r="AE87" i="26" s="1"/>
  <c r="AB87" i="26"/>
  <c r="AC87" i="26" s="1" a="1"/>
  <c r="AC87" i="26" s="1"/>
  <c r="AE86" i="26" a="1"/>
  <c r="AE86" i="26" s="1"/>
  <c r="AB86" i="26"/>
  <c r="AC86" i="26" s="1" a="1"/>
  <c r="AC86" i="26" s="1"/>
  <c r="AE85" i="26" a="1"/>
  <c r="AE85" i="26" s="1"/>
  <c r="AB85" i="26"/>
  <c r="AC85" i="26" s="1" a="1"/>
  <c r="AC85" i="26" s="1"/>
  <c r="AE84" i="26" a="1"/>
  <c r="AE84" i="26" s="1"/>
  <c r="AB84" i="26"/>
  <c r="AC84" i="26" s="1" a="1"/>
  <c r="AC84" i="26" s="1"/>
  <c r="AE83" i="26" a="1"/>
  <c r="AE83" i="26" s="1"/>
  <c r="AB83" i="26"/>
  <c r="AC83" i="26" s="1" a="1"/>
  <c r="AC83" i="26" s="1"/>
  <c r="AE82" i="26" a="1"/>
  <c r="AE82" i="26" s="1"/>
  <c r="AB82" i="26"/>
  <c r="AC82" i="26" s="1" a="1"/>
  <c r="AC82" i="26" s="1"/>
  <c r="AE81" i="26" a="1"/>
  <c r="AE81" i="26" s="1"/>
  <c r="AB81" i="26"/>
  <c r="AC81" i="26" s="1" a="1"/>
  <c r="AC81" i="26" s="1"/>
  <c r="AE80" i="26" a="1"/>
  <c r="AE80" i="26" s="1"/>
  <c r="AB80" i="26"/>
  <c r="AC80" i="26" s="1" a="1"/>
  <c r="AC80" i="26" s="1"/>
  <c r="AE79" i="26" a="1"/>
  <c r="AE79" i="26" s="1"/>
  <c r="AB79" i="26"/>
  <c r="AC79" i="26" s="1" a="1"/>
  <c r="AC79" i="26" s="1"/>
  <c r="AE78" i="26" a="1"/>
  <c r="AE78" i="26" s="1"/>
  <c r="AB78" i="26"/>
  <c r="AC78" i="26" s="1" a="1"/>
  <c r="AC78" i="26" s="1"/>
  <c r="AE77" i="26" a="1"/>
  <c r="AE77" i="26" s="1"/>
  <c r="AB77" i="26"/>
  <c r="AC77" i="26" s="1" a="1"/>
  <c r="AC77" i="26" s="1"/>
  <c r="AE76" i="26" a="1"/>
  <c r="AE76" i="26" s="1"/>
  <c r="AB76" i="26"/>
  <c r="AC76" i="26" s="1" a="1"/>
  <c r="AC76" i="26" s="1"/>
  <c r="AE75" i="26" a="1"/>
  <c r="AE75" i="26" s="1"/>
  <c r="AB75" i="26"/>
  <c r="AC75" i="26" s="1" a="1"/>
  <c r="AC75" i="26" s="1"/>
  <c r="AE74" i="26" a="1"/>
  <c r="AE74" i="26" s="1"/>
  <c r="AB74" i="26"/>
  <c r="AC74" i="26" s="1" a="1"/>
  <c r="AC74" i="26" s="1"/>
  <c r="AE73" i="26" a="1"/>
  <c r="AE73" i="26" s="1"/>
  <c r="AB73" i="26"/>
  <c r="AC73" i="26" s="1" a="1"/>
  <c r="AC73" i="26" s="1"/>
  <c r="AE72" i="26" a="1"/>
  <c r="AE72" i="26" s="1"/>
  <c r="AB72" i="26"/>
  <c r="AC72" i="26" s="1" a="1"/>
  <c r="AC72" i="26" s="1"/>
  <c r="AE71" i="26" a="1"/>
  <c r="AE71" i="26" s="1"/>
  <c r="AB71" i="26"/>
  <c r="AC71" i="26" s="1" a="1"/>
  <c r="AC71" i="26" s="1"/>
  <c r="AE70" i="26" a="1"/>
  <c r="AE70" i="26" s="1"/>
  <c r="AB70" i="26"/>
  <c r="AC70" i="26" s="1" a="1"/>
  <c r="AC70" i="26" s="1"/>
  <c r="AE69" i="26" a="1"/>
  <c r="AE69" i="26" s="1"/>
  <c r="AB69" i="26"/>
  <c r="AC69" i="26" s="1" a="1"/>
  <c r="AC69" i="26" s="1"/>
  <c r="AE68" i="26" a="1"/>
  <c r="AE68" i="26" s="1"/>
  <c r="AB68" i="26"/>
  <c r="AC68" i="26" s="1" a="1"/>
  <c r="AC68" i="26" s="1"/>
  <c r="AE67" i="26" a="1"/>
  <c r="AE67" i="26" s="1"/>
  <c r="AB67" i="26"/>
  <c r="AC67" i="26" s="1" a="1"/>
  <c r="AC67" i="26" s="1"/>
  <c r="AE66" i="26" a="1"/>
  <c r="AE66" i="26" s="1"/>
  <c r="AB66" i="26"/>
  <c r="AC66" i="26" s="1" a="1"/>
  <c r="AC66" i="26" s="1"/>
  <c r="AE65" i="26" a="1"/>
  <c r="AE65" i="26" s="1"/>
  <c r="AB65" i="26"/>
  <c r="AC65" i="26" s="1" a="1"/>
  <c r="AC65" i="26" s="1"/>
  <c r="AE64" i="26" a="1"/>
  <c r="AE64" i="26" s="1"/>
  <c r="AB64" i="26"/>
  <c r="AC64" i="26" s="1" a="1"/>
  <c r="AC64" i="26" s="1"/>
  <c r="AE63" i="26" a="1"/>
  <c r="AE63" i="26" s="1"/>
  <c r="AB63" i="26"/>
  <c r="AC63" i="26" s="1" a="1"/>
  <c r="AC63" i="26" s="1"/>
  <c r="AE62" i="26" a="1"/>
  <c r="AE62" i="26" s="1"/>
  <c r="AB62" i="26"/>
  <c r="AC62" i="26" s="1" a="1"/>
  <c r="AC62" i="26" s="1"/>
  <c r="AE61" i="26" a="1"/>
  <c r="AE61" i="26" s="1"/>
  <c r="AB61" i="26"/>
  <c r="AC61" i="26" s="1" a="1"/>
  <c r="AC61" i="26" s="1"/>
  <c r="AE60" i="26" a="1"/>
  <c r="AE60" i="26" s="1"/>
  <c r="AB60" i="26"/>
  <c r="AC60" i="26" s="1" a="1"/>
  <c r="AC60" i="26" s="1"/>
  <c r="AE59" i="26" a="1"/>
  <c r="AE59" i="26" s="1"/>
  <c r="AB59" i="26"/>
  <c r="AC59" i="26" s="1" a="1"/>
  <c r="AC59" i="26" s="1"/>
  <c r="AE58" i="26" a="1"/>
  <c r="AE58" i="26" s="1"/>
  <c r="AB58" i="26"/>
  <c r="AC58" i="26" s="1" a="1"/>
  <c r="AC58" i="26" s="1"/>
  <c r="AE57" i="26" a="1"/>
  <c r="AE57" i="26" s="1"/>
  <c r="AB57" i="26"/>
  <c r="AC57" i="26" s="1" a="1"/>
  <c r="AC57" i="26" s="1"/>
  <c r="AE56" i="26" a="1"/>
  <c r="AE56" i="26" s="1"/>
  <c r="AB56" i="26"/>
  <c r="AC56" i="26" s="1" a="1"/>
  <c r="AC56" i="26" s="1"/>
  <c r="AE55" i="26" a="1"/>
  <c r="AE55" i="26" s="1"/>
  <c r="AB55" i="26"/>
  <c r="AC55" i="26" s="1" a="1"/>
  <c r="AC55" i="26" s="1"/>
  <c r="AE54" i="26" a="1"/>
  <c r="AE54" i="26" s="1"/>
  <c r="AB54" i="26"/>
  <c r="AC54" i="26" s="1" a="1"/>
  <c r="AC54" i="26" s="1"/>
  <c r="AE53" i="26" a="1"/>
  <c r="AE53" i="26" s="1"/>
  <c r="AB53" i="26"/>
  <c r="AC53" i="26" s="1" a="1"/>
  <c r="AC53" i="26" s="1"/>
  <c r="AE52" i="26" a="1"/>
  <c r="AE52" i="26" s="1"/>
  <c r="AB52" i="26"/>
  <c r="AC52" i="26" s="1" a="1"/>
  <c r="AC52" i="26" s="1"/>
  <c r="AE51" i="26" a="1"/>
  <c r="AE51" i="26" s="1"/>
  <c r="AB51" i="26"/>
  <c r="AC51" i="26" s="1" a="1"/>
  <c r="AC51" i="26" s="1"/>
  <c r="AE50" i="26" a="1"/>
  <c r="AE50" i="26" s="1"/>
  <c r="AB50" i="26"/>
  <c r="AC50" i="26" s="1" a="1"/>
  <c r="AC50" i="26" s="1"/>
  <c r="AE49" i="26" a="1"/>
  <c r="AE49" i="26" s="1"/>
  <c r="AB49" i="26"/>
  <c r="AC49" i="26" s="1" a="1"/>
  <c r="AC49" i="26" s="1"/>
  <c r="AE48" i="26" a="1"/>
  <c r="AE48" i="26" s="1"/>
  <c r="AB48" i="26"/>
  <c r="AC48" i="26" s="1" a="1"/>
  <c r="AC48" i="26" s="1"/>
  <c r="AE47" i="26" a="1"/>
  <c r="AE47" i="26" s="1"/>
  <c r="AB47" i="26"/>
  <c r="AC47" i="26" s="1" a="1"/>
  <c r="AC47" i="26" s="1"/>
  <c r="AE46" i="26" a="1"/>
  <c r="AE46" i="26" s="1"/>
  <c r="AB46" i="26"/>
  <c r="AC46" i="26" s="1" a="1"/>
  <c r="AC46" i="26" s="1"/>
  <c r="AE45" i="26" a="1"/>
  <c r="AE45" i="26" s="1"/>
  <c r="AB45" i="26"/>
  <c r="AC45" i="26" s="1" a="1"/>
  <c r="AC45" i="26" s="1"/>
  <c r="AE44" i="26" a="1"/>
  <c r="AE44" i="26" s="1"/>
  <c r="AB44" i="26"/>
  <c r="AC44" i="26" s="1" a="1"/>
  <c r="AC44" i="26" s="1"/>
  <c r="AE43" i="26" a="1"/>
  <c r="AE43" i="26" s="1"/>
  <c r="AB43" i="26"/>
  <c r="AC43" i="26" s="1" a="1"/>
  <c r="AC43" i="26" s="1"/>
  <c r="AE42" i="26" a="1"/>
  <c r="AE42" i="26" s="1"/>
  <c r="AB42" i="26"/>
  <c r="AC42" i="26" s="1" a="1"/>
  <c r="AC42" i="26" s="1"/>
  <c r="AE41" i="26" a="1"/>
  <c r="AE41" i="26" s="1"/>
  <c r="AB41" i="26"/>
  <c r="AC41" i="26" s="1" a="1"/>
  <c r="AC41" i="26" s="1"/>
  <c r="AE40" i="26" a="1"/>
  <c r="AE40" i="26" s="1"/>
  <c r="AB40" i="26"/>
  <c r="AC40" i="26" s="1" a="1"/>
  <c r="AC40" i="26" s="1"/>
  <c r="AE39" i="26" a="1"/>
  <c r="AE39" i="26" s="1"/>
  <c r="AB39" i="26"/>
  <c r="AC39" i="26" s="1" a="1"/>
  <c r="AC39" i="26" s="1"/>
  <c r="AE38" i="26" a="1"/>
  <c r="AE38" i="26" s="1"/>
  <c r="AB38" i="26"/>
  <c r="AC38" i="26" s="1" a="1"/>
  <c r="AC38" i="26" s="1"/>
  <c r="AE37" i="26" a="1"/>
  <c r="AE37" i="26" s="1"/>
  <c r="AB37" i="26"/>
  <c r="AC37" i="26" s="1" a="1"/>
  <c r="AC37" i="26" s="1"/>
  <c r="AE36" i="26" a="1"/>
  <c r="AE36" i="26" s="1"/>
  <c r="AB36" i="26"/>
  <c r="AC36" i="26" s="1" a="1"/>
  <c r="AC36" i="26" s="1"/>
  <c r="AE35" i="26" a="1"/>
  <c r="AE35" i="26" s="1"/>
  <c r="AB35" i="26"/>
  <c r="AC35" i="26" s="1" a="1"/>
  <c r="AC35" i="26" s="1"/>
  <c r="AE34" i="26" a="1"/>
  <c r="AE34" i="26" s="1"/>
  <c r="AB34" i="26"/>
  <c r="AC34" i="26" s="1" a="1"/>
  <c r="AC34" i="26" s="1"/>
  <c r="AE33" i="26" a="1"/>
  <c r="AE33" i="26" s="1"/>
  <c r="AB33" i="26"/>
  <c r="AC33" i="26" s="1" a="1"/>
  <c r="AC33" i="26" s="1"/>
  <c r="AE32" i="26" a="1"/>
  <c r="AE32" i="26" s="1"/>
  <c r="AB32" i="26"/>
  <c r="AC32" i="26" s="1" a="1"/>
  <c r="AC32" i="26" s="1"/>
  <c r="AE31" i="26" a="1"/>
  <c r="AE31" i="26" s="1"/>
  <c r="AB31" i="26"/>
  <c r="AC31" i="26" s="1" a="1"/>
  <c r="AC31" i="26" s="1"/>
  <c r="AE30" i="26" a="1"/>
  <c r="AE30" i="26" s="1"/>
  <c r="AB30" i="26"/>
  <c r="AC30" i="26" s="1" a="1"/>
  <c r="AC30" i="26" s="1"/>
  <c r="AE29" i="26" a="1"/>
  <c r="AE29" i="26" s="1"/>
  <c r="AB29" i="26"/>
  <c r="AC29" i="26" s="1" a="1"/>
  <c r="AC29" i="26" s="1"/>
  <c r="AE28" i="26" a="1"/>
  <c r="AE28" i="26" s="1"/>
  <c r="AB28" i="26"/>
  <c r="AC28" i="26" s="1" a="1"/>
  <c r="AC28" i="26" s="1"/>
  <c r="AE27" i="26" a="1"/>
  <c r="AE27" i="26" s="1"/>
  <c r="AB27" i="26"/>
  <c r="AC27" i="26" s="1" a="1"/>
  <c r="AC27" i="26" s="1"/>
  <c r="AE26" i="26" a="1"/>
  <c r="AE26" i="26" s="1"/>
  <c r="AB26" i="26"/>
  <c r="AC26" i="26" s="1" a="1"/>
  <c r="AC26" i="26" s="1"/>
  <c r="AE25" i="26" a="1"/>
  <c r="AE25" i="26" s="1"/>
  <c r="AB25" i="26"/>
  <c r="AC25" i="26" s="1" a="1"/>
  <c r="AC25" i="26" s="1"/>
  <c r="AE24" i="26" a="1"/>
  <c r="AE24" i="26" s="1"/>
  <c r="AB24" i="26"/>
  <c r="AC24" i="26" s="1" a="1"/>
  <c r="AC24" i="26" s="1"/>
  <c r="AE23" i="26" a="1"/>
  <c r="AE23" i="26" s="1"/>
  <c r="AB23" i="26"/>
  <c r="AC23" i="26" s="1" a="1"/>
  <c r="AC23" i="26" s="1"/>
  <c r="AE22" i="26" a="1"/>
  <c r="AE22" i="26" s="1"/>
  <c r="AB22" i="26"/>
  <c r="AC22" i="26" s="1" a="1"/>
  <c r="AC22" i="26" s="1"/>
  <c r="AE21" i="26" a="1"/>
  <c r="AE21" i="26" s="1"/>
  <c r="AB21" i="26"/>
  <c r="AC21" i="26" s="1" a="1"/>
  <c r="AC21" i="26" s="1"/>
  <c r="AE20" i="26" a="1"/>
  <c r="AE20" i="26" s="1"/>
  <c r="AB20" i="26"/>
  <c r="AC20" i="26" s="1" a="1"/>
  <c r="AC20" i="26" s="1"/>
  <c r="AE19" i="26" a="1"/>
  <c r="AE19" i="26" s="1"/>
  <c r="AB19" i="26"/>
  <c r="AC19" i="26" s="1" a="1"/>
  <c r="AC19" i="26" s="1"/>
  <c r="AE18" i="26" a="1"/>
  <c r="AE18" i="26" s="1"/>
  <c r="AB18" i="26"/>
  <c r="AC18" i="26" s="1" a="1"/>
  <c r="AC18" i="26" s="1"/>
  <c r="AE17" i="26" a="1"/>
  <c r="AE17" i="26" s="1"/>
  <c r="AB17" i="26"/>
  <c r="AC17" i="26" s="1" a="1"/>
  <c r="AC17" i="26" s="1"/>
  <c r="AE16" i="26" a="1"/>
  <c r="AE16" i="26" s="1"/>
  <c r="AB16" i="26"/>
  <c r="AC16" i="26" s="1" a="1"/>
  <c r="AC16" i="26" s="1"/>
  <c r="AE15" i="26" a="1"/>
  <c r="AE15" i="26" s="1"/>
  <c r="AB15" i="26"/>
  <c r="AC15" i="26" s="1" a="1"/>
  <c r="AC15" i="26" s="1"/>
  <c r="AE14" i="26" a="1"/>
  <c r="AE14" i="26" s="1"/>
  <c r="AB14" i="26"/>
  <c r="AC14" i="26" s="1" a="1"/>
  <c r="AC14" i="26" s="1"/>
  <c r="AE13" i="26" a="1"/>
  <c r="AE13" i="26" s="1"/>
  <c r="AB13" i="26"/>
  <c r="AC13" i="26" s="1" a="1"/>
  <c r="AC13" i="26" s="1"/>
  <c r="AE12" i="26" a="1"/>
  <c r="AE12" i="26" s="1"/>
  <c r="AB12" i="26"/>
  <c r="AC12" i="26" s="1" a="1"/>
  <c r="AC12" i="26" s="1"/>
  <c r="AE11" i="26" a="1"/>
  <c r="AE11" i="26" s="1"/>
  <c r="AB11" i="26"/>
  <c r="AC11" i="26" s="1" a="1"/>
  <c r="AC11" i="26" s="1"/>
  <c r="AE10" i="26" a="1"/>
  <c r="AE10" i="26" s="1"/>
  <c r="AB10" i="26"/>
  <c r="AC10" i="26" s="1" a="1"/>
  <c r="AC10" i="26" s="1"/>
  <c r="AE9" i="26" a="1"/>
  <c r="AE9" i="26" s="1"/>
  <c r="AB9" i="26"/>
  <c r="AC9" i="26" s="1" a="1"/>
  <c r="AC9" i="26" s="1"/>
  <c r="AE8" i="26" a="1"/>
  <c r="AE8" i="26" s="1"/>
  <c r="AB8" i="26"/>
  <c r="AC8" i="26" s="1" a="1"/>
  <c r="AC8" i="26" s="1"/>
  <c r="AE7" i="26" a="1"/>
  <c r="AE7" i="26" s="1"/>
  <c r="AB7" i="26"/>
  <c r="AC7" i="26" s="1" a="1"/>
  <c r="AC7" i="26" s="1"/>
  <c r="AE6" i="26" a="1"/>
  <c r="AE6" i="26" s="1"/>
  <c r="AB6" i="26"/>
  <c r="AC6" i="26" s="1" a="1"/>
  <c r="AC6" i="26" s="1"/>
  <c r="AJ95" i="17" l="1"/>
  <c r="AG95" i="17"/>
  <c r="AH95" i="17" s="1"/>
  <c r="AN94" i="17"/>
  <c r="AO94" i="17" s="1"/>
  <c r="AN93" i="17"/>
  <c r="AO93" i="17" s="1"/>
  <c r="AG92" i="17"/>
  <c r="AH92" i="17" s="1"/>
  <c r="AG91" i="17"/>
  <c r="AH91" i="17" s="1"/>
  <c r="AN90" i="17"/>
  <c r="AO90" i="17" s="1"/>
  <c r="AN89" i="17"/>
  <c r="AO89" i="17" s="1"/>
  <c r="AJ89" i="17"/>
  <c r="AJ88" i="17"/>
  <c r="AG88" i="17"/>
  <c r="AH88" i="17" s="1"/>
  <c r="AJ87" i="17"/>
  <c r="AG87" i="17"/>
  <c r="AH87" i="17" s="1"/>
  <c r="AG86" i="17"/>
  <c r="AH86" i="17" s="1"/>
  <c r="AN85" i="17"/>
  <c r="AO85" i="17" s="1"/>
  <c r="AQ84" i="17"/>
  <c r="AN84" i="17"/>
  <c r="AO84" i="17" s="1"/>
  <c r="AJ84" i="17"/>
  <c r="AG84" i="17"/>
  <c r="AH84" i="17" s="1"/>
  <c r="AJ83" i="17"/>
  <c r="AG83" i="17"/>
  <c r="AH83" i="17" s="1"/>
  <c r="AJ82" i="17"/>
  <c r="AG82" i="17"/>
  <c r="AH82" i="17" s="1"/>
  <c r="AJ81" i="17"/>
  <c r="AG81" i="17"/>
  <c r="AH81" i="17" s="1"/>
  <c r="AQ79" i="17"/>
  <c r="AN79" i="17"/>
  <c r="AO79" i="17" s="1"/>
  <c r="AJ79" i="17"/>
  <c r="AG79" i="17"/>
  <c r="AH79" i="17" s="1"/>
  <c r="AQ78" i="17"/>
  <c r="AN78" i="17"/>
  <c r="AO78" i="17" s="1"/>
  <c r="AJ78" i="17"/>
  <c r="AG78" i="17"/>
  <c r="AH78" i="17" s="1"/>
  <c r="AN77" i="17"/>
  <c r="AO77" i="17" s="1"/>
  <c r="AJ76" i="17"/>
  <c r="AG76" i="17"/>
  <c r="AH76" i="17" s="1"/>
  <c r="AQ75" i="17"/>
  <c r="AN75" i="17"/>
  <c r="AO75" i="17" s="1"/>
  <c r="AQ74" i="17"/>
  <c r="AN74" i="17"/>
  <c r="AO74" i="17" s="1"/>
  <c r="AJ74" i="17"/>
  <c r="AQ73" i="17"/>
  <c r="AN73" i="17"/>
  <c r="AO73" i="17" s="1"/>
  <c r="AQ72" i="17"/>
  <c r="AN72" i="17"/>
  <c r="AO72" i="17" s="1"/>
  <c r="AQ71" i="17"/>
  <c r="AN71" i="17"/>
  <c r="AO71" i="17" s="1"/>
  <c r="AQ70" i="17"/>
  <c r="AN70" i="17"/>
  <c r="AO70" i="17" s="1"/>
  <c r="AJ70" i="17"/>
  <c r="AJ69" i="17"/>
  <c r="AG69" i="17"/>
  <c r="AH69" i="17" s="1"/>
  <c r="AQ67" i="17"/>
  <c r="AQ66" i="17"/>
  <c r="AN66" i="17"/>
  <c r="AO66" i="17" s="1"/>
  <c r="AJ66" i="17"/>
  <c r="AG66" i="17"/>
  <c r="AH66" i="17" s="1"/>
  <c r="AJ65" i="17"/>
  <c r="AN64" i="17"/>
  <c r="AO64" i="17" s="1"/>
  <c r="AJ64" i="17"/>
  <c r="AG64" i="17"/>
  <c r="AH64" i="17" s="1"/>
  <c r="AQ63" i="17"/>
  <c r="AJ63" i="17"/>
  <c r="AG63" i="17"/>
  <c r="AH63" i="17" s="1"/>
  <c r="AJ62" i="17"/>
  <c r="AG62" i="17"/>
  <c r="AH62" i="17" s="1"/>
  <c r="AG61" i="17"/>
  <c r="AH61" i="17" s="1"/>
  <c r="AQ60" i="17"/>
  <c r="AQ59" i="17"/>
  <c r="AN59" i="17"/>
  <c r="AO59" i="17" s="1"/>
  <c r="AQ58" i="17"/>
  <c r="AN58" i="17"/>
  <c r="AO58" i="17" s="1"/>
  <c r="AJ58" i="17"/>
  <c r="AG58" i="17"/>
  <c r="AH58" i="17" s="1"/>
  <c r="AJ57" i="17"/>
  <c r="AG57" i="17"/>
  <c r="AH57" i="17" s="1"/>
  <c r="AN56" i="17"/>
  <c r="AO56" i="17" s="1"/>
  <c r="AJ56" i="17"/>
  <c r="AG56" i="17"/>
  <c r="AH56" i="17" s="1"/>
  <c r="AQ55" i="17"/>
  <c r="AN55" i="17"/>
  <c r="AO55" i="17" s="1"/>
  <c r="AJ55" i="17"/>
  <c r="AJ54" i="17"/>
  <c r="AG54" i="17"/>
  <c r="AH54" i="17" s="1"/>
  <c r="AN53" i="17"/>
  <c r="AO53" i="17" s="1"/>
  <c r="AJ53" i="17"/>
  <c r="AG53" i="17"/>
  <c r="AH53" i="17" s="1"/>
  <c r="AQ52" i="17"/>
  <c r="AN52" i="17"/>
  <c r="AO52" i="17" s="1"/>
  <c r="AJ52" i="17"/>
  <c r="AG52" i="17"/>
  <c r="AH52" i="17" s="1"/>
  <c r="AQ51" i="17"/>
  <c r="AN51" i="17"/>
  <c r="AO51" i="17" s="1"/>
  <c r="AJ51" i="17"/>
  <c r="AG51" i="17"/>
  <c r="AH51" i="17" s="1"/>
  <c r="AN50" i="17"/>
  <c r="AO50" i="17" s="1"/>
  <c r="AQ50" i="17"/>
  <c r="AJ50" i="17"/>
  <c r="AG50" i="17"/>
  <c r="AH50" i="17" s="1"/>
  <c r="AN49" i="17"/>
  <c r="AO49" i="17" s="1"/>
  <c r="AN48" i="17"/>
  <c r="AO48" i="17" s="1"/>
  <c r="AJ48" i="17"/>
  <c r="AG48" i="17"/>
  <c r="AH48" i="17" s="1"/>
  <c r="AG47" i="17"/>
  <c r="AH47" i="17" s="1"/>
  <c r="AJ47" i="17"/>
  <c r="AG46" i="17"/>
  <c r="AH46" i="17" s="1"/>
  <c r="AQ44" i="17"/>
  <c r="AN44" i="17"/>
  <c r="AO44" i="17" s="1"/>
  <c r="AQ43" i="17"/>
  <c r="AJ43" i="17"/>
  <c r="AG43" i="17"/>
  <c r="AH43" i="17" s="1"/>
  <c r="AQ42" i="17"/>
  <c r="AN42" i="17"/>
  <c r="AO42" i="17" s="1"/>
  <c r="AJ41" i="17"/>
  <c r="AG41" i="17"/>
  <c r="AH41" i="17" s="1"/>
  <c r="AN40" i="17"/>
  <c r="AO40" i="17" s="1"/>
  <c r="AQ40" i="17"/>
  <c r="AQ39" i="17"/>
  <c r="AN39" i="17"/>
  <c r="AO39" i="17" s="1"/>
  <c r="AJ39" i="17"/>
  <c r="AG39" i="17"/>
  <c r="AH39" i="17" s="1"/>
  <c r="AN38" i="17"/>
  <c r="AO38" i="17" s="1"/>
  <c r="AJ38" i="17"/>
  <c r="AG38" i="17"/>
  <c r="AH38" i="17" s="1"/>
  <c r="AN37" i="17"/>
  <c r="AO37" i="17" s="1"/>
  <c r="AJ37" i="17"/>
  <c r="AG37" i="17"/>
  <c r="AH37" i="17" s="1"/>
  <c r="AQ36" i="17"/>
  <c r="AN36" i="17"/>
  <c r="AO36" i="17" s="1"/>
  <c r="AQ35" i="17"/>
  <c r="AN35" i="17"/>
  <c r="AO35" i="17" s="1"/>
  <c r="AQ34" i="17"/>
  <c r="AJ33" i="17"/>
  <c r="AG33" i="17"/>
  <c r="AH33" i="17" s="1"/>
  <c r="AQ32" i="17"/>
  <c r="AN32" i="17"/>
  <c r="AO32" i="17" s="1"/>
  <c r="AJ32" i="17"/>
  <c r="AG32" i="17"/>
  <c r="AH32" i="17" s="1"/>
  <c r="AQ31" i="17"/>
  <c r="AN31" i="17"/>
  <c r="AO31" i="17" s="1"/>
  <c r="AJ31" i="17"/>
  <c r="AG31" i="17"/>
  <c r="AH31" i="17" s="1"/>
  <c r="AN30" i="17"/>
  <c r="AO30" i="17" s="1"/>
  <c r="AQ30" i="17"/>
  <c r="AJ30" i="17"/>
  <c r="AG30" i="17"/>
  <c r="AH30" i="17" s="1"/>
  <c r="AN29" i="17"/>
  <c r="AO29" i="17" s="1"/>
  <c r="AQ29" i="17"/>
  <c r="AJ29" i="17"/>
  <c r="AG29" i="17"/>
  <c r="AH29" i="17" s="1"/>
  <c r="AJ28" i="17"/>
  <c r="AG28" i="17"/>
  <c r="AH28" i="17" s="1"/>
  <c r="AQ27" i="17"/>
  <c r="AJ27" i="17"/>
  <c r="AG27" i="17"/>
  <c r="AH27" i="17" s="1"/>
  <c r="AQ26" i="17"/>
  <c r="AJ26" i="17"/>
  <c r="AG26" i="17"/>
  <c r="AH26" i="17" s="1"/>
  <c r="AJ25" i="17"/>
  <c r="AG25" i="17"/>
  <c r="AH25" i="17" s="1"/>
  <c r="AQ24" i="17"/>
  <c r="AN24" i="17"/>
  <c r="AO24" i="17" s="1"/>
  <c r="AN23" i="17"/>
  <c r="AO23" i="17" s="1"/>
  <c r="AJ23" i="17"/>
  <c r="AG23" i="17"/>
  <c r="AH23" i="17" s="1"/>
  <c r="AN22" i="17"/>
  <c r="AO22" i="17" s="1"/>
  <c r="AQ22" i="17"/>
  <c r="AN21" i="17"/>
  <c r="AO21" i="17" s="1"/>
  <c r="AJ21" i="17"/>
  <c r="AG21" i="17"/>
  <c r="AH21" i="17" s="1"/>
  <c r="AN20" i="17"/>
  <c r="AO20" i="17" s="1"/>
  <c r="AJ20" i="17"/>
  <c r="AG20" i="17"/>
  <c r="AH20" i="17" s="1"/>
  <c r="AN19" i="17"/>
  <c r="AO19" i="17" s="1"/>
  <c r="AN18" i="17"/>
  <c r="AO18" i="17" s="1"/>
  <c r="AJ18" i="17"/>
  <c r="AG18" i="17"/>
  <c r="AH18" i="17" s="1"/>
  <c r="AN17" i="17"/>
  <c r="AO17" i="17" s="1"/>
  <c r="AQ17" i="17"/>
  <c r="AJ17" i="17"/>
  <c r="AG17" i="17"/>
  <c r="AH17" i="17" s="1"/>
  <c r="AQ16" i="17"/>
  <c r="AN16" i="17"/>
  <c r="AO16" i="17" s="1"/>
  <c r="AJ16" i="17"/>
  <c r="AG16" i="17"/>
  <c r="AH16" i="17" s="1"/>
  <c r="AJ15" i="17"/>
  <c r="AG15" i="17"/>
  <c r="AH15" i="17" s="1"/>
  <c r="AN13" i="17"/>
  <c r="AO13" i="17" s="1"/>
  <c r="AJ13" i="17"/>
  <c r="AG13" i="17"/>
  <c r="AH13" i="17" s="1"/>
  <c r="AQ12" i="17"/>
  <c r="AN12" i="17"/>
  <c r="AO12" i="17" s="1"/>
  <c r="AJ12" i="17"/>
  <c r="AQ11" i="17"/>
  <c r="AN11" i="17"/>
  <c r="AO11" i="17" s="1"/>
  <c r="AJ11" i="17"/>
  <c r="AG11" i="17"/>
  <c r="AH11" i="17" s="1"/>
  <c r="AN10" i="17"/>
  <c r="AO10" i="17" s="1"/>
  <c r="AQ9" i="17"/>
  <c r="AN9" i="17"/>
  <c r="AO9" i="17" s="1"/>
  <c r="AJ8" i="17"/>
  <c r="AN7" i="17"/>
  <c r="AO7" i="17" s="1"/>
  <c r="AJ7" i="17"/>
  <c r="AG7" i="17"/>
  <c r="AH7" i="17" s="1"/>
  <c r="AJ6" i="17"/>
  <c r="AG6" i="17"/>
  <c r="AH6" i="17" s="1"/>
  <c r="AN28" i="17" l="1"/>
  <c r="AO28" i="17" s="1"/>
  <c r="AG94" i="17"/>
  <c r="AH94" i="17" s="1"/>
  <c r="AG10" i="17"/>
  <c r="AH10" i="17" s="1"/>
  <c r="AJ34" i="17"/>
  <c r="AG77" i="17"/>
  <c r="AH77" i="17" s="1"/>
  <c r="AN86" i="17"/>
  <c r="AO86" i="17" s="1"/>
  <c r="AN88" i="17"/>
  <c r="AO88" i="17" s="1"/>
  <c r="AJ22" i="17"/>
  <c r="AN57" i="17"/>
  <c r="AO57" i="17" s="1"/>
  <c r="AG36" i="17"/>
  <c r="AH36" i="17" s="1"/>
  <c r="AQ48" i="17"/>
  <c r="AJ77" i="17"/>
  <c r="AG24" i="17"/>
  <c r="AH24" i="17" s="1"/>
  <c r="AJ36" i="17"/>
  <c r="AG85" i="17"/>
  <c r="AH85" i="17" s="1"/>
  <c r="AG12" i="17"/>
  <c r="AH12" i="17" s="1"/>
  <c r="AJ24" i="17"/>
  <c r="AQ68" i="17"/>
  <c r="AG67" i="17"/>
  <c r="AH67" i="17" s="1"/>
  <c r="AG40" i="17"/>
  <c r="AH40" i="17" s="1"/>
  <c r="AQ83" i="17"/>
  <c r="AN33" i="17"/>
  <c r="AO33" i="17" s="1"/>
  <c r="AG42" i="17"/>
  <c r="AH42" i="17" s="1"/>
  <c r="AN14" i="17"/>
  <c r="AO14" i="17" s="1"/>
  <c r="AN26" i="17"/>
  <c r="AO26" i="17" s="1"/>
  <c r="AJ46" i="17"/>
  <c r="AN60" i="17"/>
  <c r="AO60" i="17" s="1"/>
  <c r="AN8" i="17"/>
  <c r="AO8" i="17" s="1"/>
  <c r="AG19" i="17"/>
  <c r="AH19" i="17" s="1"/>
  <c r="AN65" i="17"/>
  <c r="AO65" i="17" s="1"/>
  <c r="AN83" i="17"/>
  <c r="AO83" i="17" s="1"/>
  <c r="AG71" i="17"/>
  <c r="AH71" i="17" s="1"/>
  <c r="AJ40" i="17"/>
  <c r="AQ14" i="17"/>
  <c r="AQ33" i="17"/>
  <c r="AJ42" i="17"/>
  <c r="AQ49" i="17"/>
  <c r="AJ9" i="17"/>
  <c r="AQ45" i="17"/>
  <c r="AJ71" i="17"/>
  <c r="AN92" i="17"/>
  <c r="AO92" i="17" s="1"/>
  <c r="AJ94" i="17"/>
  <c r="AG35" i="17"/>
  <c r="AH35" i="17" s="1"/>
  <c r="AN61" i="17"/>
  <c r="AO61" i="17" s="1"/>
  <c r="AJ35" i="17"/>
  <c r="AJ44" i="17"/>
  <c r="AQ61" i="17"/>
  <c r="AN69" i="17"/>
  <c r="AO69" i="17" s="1"/>
  <c r="AN15" i="17"/>
  <c r="AO15" i="17" s="1"/>
  <c r="AN87" i="17"/>
  <c r="AO87" i="17" s="1"/>
  <c r="AN6" i="17"/>
  <c r="AO6" i="17" s="1"/>
  <c r="AG14" i="17"/>
  <c r="AH14" i="17" s="1"/>
  <c r="AN27" i="17"/>
  <c r="AO27" i="17" s="1"/>
  <c r="AG68" i="17"/>
  <c r="AH68" i="17" s="1"/>
  <c r="AQ69" i="17"/>
  <c r="AG73" i="17"/>
  <c r="AH73" i="17" s="1"/>
  <c r="AQ87" i="17"/>
  <c r="AG93" i="17"/>
  <c r="AH93" i="17" s="1"/>
  <c r="AQ21" i="17"/>
  <c r="AQ47" i="17"/>
  <c r="AJ49" i="17"/>
  <c r="AN63" i="17"/>
  <c r="AO63" i="17" s="1"/>
  <c r="AQ82" i="17"/>
  <c r="AJ91" i="17"/>
  <c r="AQ56" i="17"/>
  <c r="AQ64" i="17"/>
  <c r="AQ10" i="17"/>
  <c r="AG44" i="17"/>
  <c r="AH44" i="17" s="1"/>
  <c r="AJ68" i="17"/>
  <c r="AJ14" i="17"/>
  <c r="AG34" i="17"/>
  <c r="AH34" i="17" s="1"/>
  <c r="AG70" i="17"/>
  <c r="AH70" i="17" s="1"/>
  <c r="AQ89" i="17"/>
  <c r="AQ77" i="17"/>
  <c r="AJ86" i="17"/>
  <c r="AJ19" i="17"/>
  <c r="AQ20" i="17"/>
  <c r="AG59" i="17"/>
  <c r="AH59" i="17" s="1"/>
  <c r="AN62" i="17"/>
  <c r="AO62" i="17" s="1"/>
  <c r="AG72" i="17"/>
  <c r="AH72" i="17" s="1"/>
  <c r="AQ81" i="17"/>
  <c r="AJ85" i="17"/>
  <c r="AJ90" i="17"/>
  <c r="AG45" i="17"/>
  <c r="AH45" i="17" s="1"/>
  <c r="AQ54" i="17"/>
  <c r="AQ62" i="17"/>
  <c r="AN76" i="17"/>
  <c r="AO76" i="17" s="1"/>
  <c r="AJ10" i="17"/>
  <c r="AJ45" i="17"/>
  <c r="AQ65" i="17"/>
  <c r="AQ76" i="17"/>
  <c r="AQ8" i="17"/>
  <c r="AN25" i="17"/>
  <c r="AO25" i="17" s="1"/>
  <c r="AQ41" i="17"/>
  <c r="AN43" i="17"/>
  <c r="AO43" i="17" s="1"/>
  <c r="AJ61" i="17"/>
  <c r="AG75" i="17"/>
  <c r="AH75" i="17" s="1"/>
  <c r="AG80" i="17"/>
  <c r="AH80" i="17" s="1"/>
  <c r="AQ88" i="17"/>
  <c r="AQ92" i="17"/>
  <c r="AG22" i="17"/>
  <c r="AH22" i="17" s="1"/>
  <c r="AQ57" i="17"/>
  <c r="AQ15" i="17"/>
  <c r="AQ37" i="17"/>
  <c r="AQ46" i="17"/>
  <c r="AN67" i="17"/>
  <c r="AO67" i="17" s="1"/>
  <c r="AN80" i="17"/>
  <c r="AO80" i="17" s="1"/>
  <c r="AQ86" i="17"/>
  <c r="AQ90" i="17"/>
  <c r="AJ93" i="17"/>
  <c r="AN34" i="17"/>
  <c r="AO34" i="17" s="1"/>
  <c r="AN45" i="17"/>
  <c r="AO45" i="17" s="1"/>
  <c r="AQ13" i="17"/>
  <c r="AQ80" i="17"/>
  <c r="AQ85" i="17"/>
  <c r="AG55" i="17"/>
  <c r="AH55" i="17" s="1"/>
  <c r="AQ94" i="17"/>
  <c r="AJ75" i="17"/>
  <c r="AG74" i="17"/>
  <c r="AH74" i="17" s="1"/>
  <c r="AQ7" i="17"/>
  <c r="AQ19" i="17"/>
  <c r="AN47" i="17"/>
  <c r="AO47" i="17" s="1"/>
  <c r="AQ28" i="17"/>
  <c r="AJ67" i="17"/>
  <c r="AN91" i="17"/>
  <c r="AO91" i="17" s="1"/>
  <c r="AN68" i="17"/>
  <c r="AO68" i="17" s="1"/>
  <c r="AN81" i="17"/>
  <c r="AO81" i="17" s="1"/>
  <c r="AQ6" i="17"/>
  <c r="AQ38" i="17"/>
  <c r="AN46" i="17"/>
  <c r="AO46" i="17" s="1"/>
  <c r="AG65" i="17"/>
  <c r="AH65" i="17" s="1"/>
  <c r="AN95" i="17"/>
  <c r="AO95" i="17" s="1"/>
  <c r="AN82" i="17"/>
  <c r="AO82" i="17" s="1"/>
  <c r="AG90" i="17"/>
  <c r="AH90" i="17" s="1"/>
  <c r="AJ60" i="17"/>
  <c r="AQ18" i="17"/>
  <c r="AN54" i="17"/>
  <c r="AO54" i="17" s="1"/>
  <c r="AJ80" i="17"/>
  <c r="AG89" i="17"/>
  <c r="AH89" i="17" s="1"/>
  <c r="AJ59" i="17"/>
  <c r="AQ91" i="17"/>
  <c r="AG49" i="17"/>
  <c r="AH49" i="17" s="1"/>
  <c r="AG8" i="17"/>
  <c r="AH8" i="17" s="1"/>
  <c r="AG9" i="17"/>
  <c r="AH9" i="17" s="1"/>
  <c r="AG60" i="17"/>
  <c r="AH60" i="17" s="1"/>
  <c r="AQ93" i="17"/>
  <c r="AJ73" i="17"/>
  <c r="AJ92" i="17"/>
  <c r="AQ53" i="17"/>
  <c r="AQ23" i="17"/>
  <c r="AQ25" i="17"/>
  <c r="AN41" i="17"/>
  <c r="AO41" i="17" s="1"/>
  <c r="AJ72" i="17"/>
  <c r="AQ95" i="17"/>
  <c r="AG8" i="3" l="1" a="1"/>
  <c r="AF8" i="3" a="1"/>
  <c r="AC8" i="3" a="1"/>
  <c r="AB8" i="3" a="1"/>
  <c r="Y8" i="3" a="1"/>
  <c r="X8" i="3" a="1"/>
  <c r="W8" i="3" a="1"/>
  <c r="W8" i="3" s="1"/>
  <c r="V8" i="3" a="1"/>
  <c r="V8" i="3" s="1"/>
  <c r="K299" i="12"/>
  <c r="I299" i="12"/>
  <c r="H299" i="12"/>
  <c r="K298" i="12"/>
  <c r="I298" i="12"/>
  <c r="H298" i="12"/>
  <c r="K297" i="12"/>
  <c r="I297" i="12"/>
  <c r="H297" i="12"/>
  <c r="K296" i="12"/>
  <c r="I296" i="12"/>
  <c r="H296" i="12"/>
  <c r="K295" i="12"/>
  <c r="I295" i="12"/>
  <c r="H295" i="12"/>
  <c r="K294" i="12"/>
  <c r="I294" i="12"/>
  <c r="H294" i="12"/>
  <c r="K293" i="12"/>
  <c r="I293" i="12"/>
  <c r="H293" i="12"/>
  <c r="K292" i="12"/>
  <c r="I292" i="12"/>
  <c r="H292" i="12"/>
  <c r="K291" i="12"/>
  <c r="I291" i="12"/>
  <c r="H291" i="12"/>
  <c r="K290" i="12"/>
  <c r="I290" i="12"/>
  <c r="H290" i="12"/>
  <c r="K289" i="12"/>
  <c r="I289" i="12"/>
  <c r="H289" i="12"/>
  <c r="K288" i="12"/>
  <c r="I288" i="12"/>
  <c r="H288" i="12"/>
  <c r="K287" i="12"/>
  <c r="I287" i="12"/>
  <c r="H287" i="12"/>
  <c r="K286" i="12"/>
  <c r="I286" i="12"/>
  <c r="H286" i="12"/>
  <c r="K285" i="12"/>
  <c r="I285" i="12"/>
  <c r="H285" i="12"/>
  <c r="K284" i="12"/>
  <c r="I284" i="12"/>
  <c r="H284" i="12"/>
  <c r="K283" i="12"/>
  <c r="I283" i="12"/>
  <c r="H283" i="12"/>
  <c r="K282" i="12"/>
  <c r="I282" i="12"/>
  <c r="H282" i="12"/>
  <c r="K281" i="12"/>
  <c r="I281" i="12"/>
  <c r="H281" i="12"/>
  <c r="K280" i="12"/>
  <c r="I280" i="12"/>
  <c r="H280" i="12"/>
  <c r="K279" i="12"/>
  <c r="I279" i="12"/>
  <c r="H279" i="12"/>
  <c r="K278" i="12"/>
  <c r="I278" i="12"/>
  <c r="H278" i="12"/>
  <c r="K277" i="12"/>
  <c r="I277" i="12"/>
  <c r="H277" i="12"/>
  <c r="K276" i="12"/>
  <c r="I276" i="12"/>
  <c r="H276" i="12"/>
  <c r="K275" i="12"/>
  <c r="I275" i="12"/>
  <c r="H275" i="12"/>
  <c r="K274" i="12"/>
  <c r="I274" i="12"/>
  <c r="H274" i="12"/>
  <c r="K273" i="12"/>
  <c r="I273" i="12"/>
  <c r="H273" i="12"/>
  <c r="K272" i="12"/>
  <c r="I272" i="12"/>
  <c r="H272" i="12"/>
  <c r="K271" i="12"/>
  <c r="I271" i="12"/>
  <c r="H271" i="12"/>
  <c r="K270" i="12"/>
  <c r="I270" i="12"/>
  <c r="H270" i="12"/>
  <c r="K269" i="12"/>
  <c r="I269" i="12"/>
  <c r="H269" i="12"/>
  <c r="K268" i="12"/>
  <c r="I268" i="12"/>
  <c r="H268" i="12"/>
  <c r="K267" i="12"/>
  <c r="I267" i="12"/>
  <c r="H267" i="12"/>
  <c r="K266" i="12"/>
  <c r="I266" i="12"/>
  <c r="H266" i="12"/>
  <c r="K265" i="12"/>
  <c r="I265" i="12"/>
  <c r="H265" i="12"/>
  <c r="K264" i="12"/>
  <c r="I264" i="12"/>
  <c r="H264" i="12"/>
  <c r="K263" i="12"/>
  <c r="I263" i="12"/>
  <c r="H263" i="12"/>
  <c r="K262" i="12"/>
  <c r="I262" i="12"/>
  <c r="H262" i="12"/>
  <c r="K261" i="12"/>
  <c r="I261" i="12"/>
  <c r="H261" i="12"/>
  <c r="K260" i="12"/>
  <c r="I260" i="12"/>
  <c r="H260" i="12"/>
  <c r="K259" i="12"/>
  <c r="I259" i="12"/>
  <c r="H259" i="12"/>
  <c r="K258" i="12"/>
  <c r="I258" i="12"/>
  <c r="H258" i="12"/>
  <c r="K257" i="12"/>
  <c r="I257" i="12"/>
  <c r="H257" i="12"/>
  <c r="K256" i="12"/>
  <c r="I256" i="12"/>
  <c r="H256" i="12"/>
  <c r="K255" i="12"/>
  <c r="I255" i="12"/>
  <c r="H255" i="12"/>
  <c r="K254" i="12"/>
  <c r="I254" i="12"/>
  <c r="H254" i="12"/>
  <c r="K253" i="12"/>
  <c r="I253" i="12"/>
  <c r="H253" i="12"/>
  <c r="K252" i="12"/>
  <c r="I252" i="12"/>
  <c r="H252" i="12"/>
  <c r="K251" i="12"/>
  <c r="I251" i="12"/>
  <c r="H251" i="12"/>
  <c r="K250" i="12"/>
  <c r="I250" i="12"/>
  <c r="H250" i="12"/>
  <c r="K249" i="12"/>
  <c r="I249" i="12"/>
  <c r="H249" i="12"/>
  <c r="K248" i="12"/>
  <c r="I248" i="12"/>
  <c r="H248" i="12"/>
  <c r="K247" i="12"/>
  <c r="I247" i="12"/>
  <c r="H247" i="12"/>
  <c r="K246" i="12"/>
  <c r="I246" i="12"/>
  <c r="H246" i="12"/>
  <c r="K245" i="12"/>
  <c r="I245" i="12"/>
  <c r="H245" i="12"/>
  <c r="K244" i="12"/>
  <c r="I244" i="12"/>
  <c r="H244" i="12"/>
  <c r="K243" i="12"/>
  <c r="I243" i="12"/>
  <c r="H243" i="12"/>
  <c r="K242" i="12"/>
  <c r="I242" i="12"/>
  <c r="H242" i="12"/>
  <c r="K241" i="12"/>
  <c r="I241" i="12"/>
  <c r="H241" i="12"/>
  <c r="K240" i="12"/>
  <c r="I240" i="12"/>
  <c r="H240" i="12"/>
  <c r="K239" i="12"/>
  <c r="I239" i="12"/>
  <c r="H239" i="12"/>
  <c r="K238" i="12"/>
  <c r="I238" i="12"/>
  <c r="H238" i="12"/>
  <c r="K237" i="12"/>
  <c r="I237" i="12"/>
  <c r="H237" i="12"/>
  <c r="K236" i="12"/>
  <c r="I236" i="12"/>
  <c r="H236" i="12"/>
  <c r="K235" i="12"/>
  <c r="I235" i="12"/>
  <c r="H235" i="12"/>
  <c r="K234" i="12"/>
  <c r="I234" i="12"/>
  <c r="H234" i="12"/>
  <c r="K233" i="12"/>
  <c r="I233" i="12"/>
  <c r="H233" i="12"/>
  <c r="K232" i="12"/>
  <c r="I232" i="12"/>
  <c r="H232" i="12"/>
  <c r="K231" i="12"/>
  <c r="I231" i="12"/>
  <c r="H231" i="12"/>
  <c r="K230" i="12"/>
  <c r="I230" i="12"/>
  <c r="H230" i="12"/>
  <c r="K229" i="12"/>
  <c r="I229" i="12"/>
  <c r="H229" i="12"/>
  <c r="K228" i="12"/>
  <c r="I228" i="12"/>
  <c r="H228" i="12"/>
  <c r="K227" i="12"/>
  <c r="I227" i="12"/>
  <c r="H227" i="12"/>
  <c r="K226" i="12"/>
  <c r="I226" i="12"/>
  <c r="H226" i="12"/>
  <c r="K225" i="12"/>
  <c r="I225" i="12"/>
  <c r="H225" i="12"/>
  <c r="K224" i="12"/>
  <c r="I224" i="12"/>
  <c r="H224" i="12"/>
  <c r="K223" i="12"/>
  <c r="I223" i="12"/>
  <c r="H223" i="12"/>
  <c r="K222" i="12"/>
  <c r="I222" i="12"/>
  <c r="H222" i="12"/>
  <c r="K221" i="12"/>
  <c r="I221" i="12"/>
  <c r="H221" i="12"/>
  <c r="K220" i="12"/>
  <c r="I220" i="12"/>
  <c r="H220" i="12"/>
  <c r="K219" i="12"/>
  <c r="I219" i="12"/>
  <c r="H219" i="12"/>
  <c r="K218" i="12"/>
  <c r="I218" i="12"/>
  <c r="H218" i="12"/>
  <c r="K217" i="12"/>
  <c r="I217" i="12"/>
  <c r="H217" i="12"/>
  <c r="K216" i="12"/>
  <c r="I216" i="12"/>
  <c r="H216" i="12"/>
  <c r="K215" i="12"/>
  <c r="I215" i="12"/>
  <c r="H215" i="12"/>
  <c r="K214" i="12"/>
  <c r="I214" i="12"/>
  <c r="H214" i="12"/>
  <c r="K213" i="12"/>
  <c r="I213" i="12"/>
  <c r="H213" i="12"/>
  <c r="K212" i="12"/>
  <c r="I212" i="12"/>
  <c r="H212" i="12"/>
  <c r="K211" i="12"/>
  <c r="I211" i="12"/>
  <c r="H211" i="12"/>
  <c r="K210" i="12"/>
  <c r="I210" i="12"/>
  <c r="H210" i="12"/>
  <c r="K209" i="12"/>
  <c r="I209" i="12"/>
  <c r="H209" i="12"/>
  <c r="K208" i="12"/>
  <c r="I208" i="12"/>
  <c r="H208" i="12"/>
  <c r="K207" i="12"/>
  <c r="I207" i="12"/>
  <c r="H207" i="12"/>
  <c r="K206" i="12"/>
  <c r="I206" i="12"/>
  <c r="H206" i="12"/>
  <c r="K205" i="12"/>
  <c r="I205" i="12"/>
  <c r="H205" i="12"/>
  <c r="K204" i="12"/>
  <c r="I204" i="12"/>
  <c r="H204" i="12"/>
  <c r="K203" i="12"/>
  <c r="I203" i="12"/>
  <c r="H203" i="12"/>
  <c r="K202" i="12"/>
  <c r="I202" i="12"/>
  <c r="H202" i="12"/>
  <c r="K201" i="12"/>
  <c r="I201" i="12"/>
  <c r="H201" i="12"/>
  <c r="K200" i="12"/>
  <c r="I200" i="12"/>
  <c r="H200" i="12"/>
  <c r="K199" i="12"/>
  <c r="I199" i="12"/>
  <c r="H199" i="12"/>
  <c r="K198" i="12"/>
  <c r="I198" i="12"/>
  <c r="H198" i="12"/>
  <c r="K197" i="12"/>
  <c r="I197" i="12"/>
  <c r="H197" i="12"/>
  <c r="K196" i="12"/>
  <c r="I196" i="12"/>
  <c r="H196" i="12"/>
  <c r="K195" i="12"/>
  <c r="I195" i="12"/>
  <c r="H195" i="12"/>
  <c r="K194" i="12"/>
  <c r="I194" i="12"/>
  <c r="H194" i="12"/>
  <c r="K193" i="12"/>
  <c r="I193" i="12"/>
  <c r="H193" i="12"/>
  <c r="K192" i="12"/>
  <c r="I192" i="12"/>
  <c r="H192" i="12"/>
  <c r="K191" i="12"/>
  <c r="I191" i="12"/>
  <c r="H191" i="12"/>
  <c r="K190" i="12"/>
  <c r="I190" i="12"/>
  <c r="H190" i="12"/>
  <c r="K189" i="12"/>
  <c r="I189" i="12"/>
  <c r="H189" i="12"/>
  <c r="K188" i="12"/>
  <c r="I188" i="12"/>
  <c r="H188" i="12"/>
  <c r="K187" i="12"/>
  <c r="I187" i="12"/>
  <c r="H187" i="12"/>
  <c r="K186" i="12"/>
  <c r="I186" i="12"/>
  <c r="H186" i="12"/>
  <c r="K185" i="12"/>
  <c r="I185" i="12"/>
  <c r="H185" i="12"/>
  <c r="K184" i="12"/>
  <c r="I184" i="12"/>
  <c r="H184" i="12"/>
  <c r="K183" i="12"/>
  <c r="I183" i="12"/>
  <c r="H183" i="12"/>
  <c r="K182" i="12"/>
  <c r="I182" i="12"/>
  <c r="H182" i="12"/>
  <c r="K181" i="12"/>
  <c r="I181" i="12"/>
  <c r="H181" i="12"/>
  <c r="K180" i="12"/>
  <c r="I180" i="12"/>
  <c r="H180" i="12"/>
  <c r="K179" i="12"/>
  <c r="I179" i="12"/>
  <c r="H179" i="12"/>
  <c r="K178" i="12"/>
  <c r="I178" i="12"/>
  <c r="H178" i="12"/>
  <c r="K177" i="12"/>
  <c r="I177" i="12"/>
  <c r="H177" i="12"/>
  <c r="K176" i="12"/>
  <c r="I176" i="12"/>
  <c r="H176" i="12"/>
  <c r="K175" i="12"/>
  <c r="I175" i="12"/>
  <c r="H175" i="12"/>
  <c r="K174" i="12"/>
  <c r="I174" i="12"/>
  <c r="H174" i="12"/>
  <c r="K173" i="12"/>
  <c r="I173" i="12"/>
  <c r="H173" i="12"/>
  <c r="K172" i="12"/>
  <c r="I172" i="12"/>
  <c r="H172" i="12"/>
  <c r="K171" i="12"/>
  <c r="I171" i="12"/>
  <c r="H171" i="12"/>
  <c r="K170" i="12"/>
  <c r="I170" i="12"/>
  <c r="H170" i="12"/>
  <c r="K169" i="12"/>
  <c r="I169" i="12"/>
  <c r="H169" i="12"/>
  <c r="K168" i="12"/>
  <c r="I168" i="12"/>
  <c r="H168" i="12"/>
  <c r="K167" i="12"/>
  <c r="I167" i="12"/>
  <c r="H167" i="12"/>
  <c r="K166" i="12"/>
  <c r="I166" i="12"/>
  <c r="H166" i="12"/>
  <c r="K165" i="12"/>
  <c r="I165" i="12"/>
  <c r="H165" i="12"/>
  <c r="K164" i="12"/>
  <c r="I164" i="12"/>
  <c r="H164" i="12"/>
  <c r="K163" i="12"/>
  <c r="I163" i="12"/>
  <c r="H163" i="12"/>
  <c r="K162" i="12"/>
  <c r="I162" i="12"/>
  <c r="H162" i="12"/>
  <c r="K161" i="12"/>
  <c r="I161" i="12"/>
  <c r="H161" i="12"/>
  <c r="K160" i="12"/>
  <c r="I160" i="12"/>
  <c r="H160" i="12"/>
  <c r="K159" i="12"/>
  <c r="I159" i="12"/>
  <c r="H159" i="12"/>
  <c r="K158" i="12"/>
  <c r="I158" i="12"/>
  <c r="H158" i="12"/>
  <c r="K157" i="12"/>
  <c r="I157" i="12"/>
  <c r="H157" i="12"/>
  <c r="K156" i="12"/>
  <c r="I156" i="12"/>
  <c r="H156" i="12"/>
  <c r="K155" i="12"/>
  <c r="I155" i="12"/>
  <c r="H155" i="12"/>
  <c r="K154" i="12"/>
  <c r="I154" i="12"/>
  <c r="H154" i="12"/>
  <c r="K153" i="12"/>
  <c r="I153" i="12"/>
  <c r="H153" i="12"/>
  <c r="K152" i="12"/>
  <c r="I152" i="12"/>
  <c r="H152" i="12"/>
  <c r="K151" i="12"/>
  <c r="I151" i="12"/>
  <c r="H151" i="12"/>
  <c r="K150" i="12"/>
  <c r="I150" i="12"/>
  <c r="H150" i="12"/>
  <c r="K149" i="12"/>
  <c r="I149" i="12"/>
  <c r="H149" i="12"/>
  <c r="K148" i="12"/>
  <c r="I148" i="12"/>
  <c r="H148" i="12"/>
  <c r="K147" i="12"/>
  <c r="I147" i="12"/>
  <c r="H147" i="12"/>
  <c r="K146" i="12"/>
  <c r="I146" i="12"/>
  <c r="H146" i="12"/>
  <c r="K145" i="12"/>
  <c r="I145" i="12"/>
  <c r="H145" i="12"/>
  <c r="K144" i="12"/>
  <c r="I144" i="12"/>
  <c r="H144" i="12"/>
  <c r="K143" i="12"/>
  <c r="I143" i="12"/>
  <c r="H143" i="12"/>
  <c r="K142" i="12"/>
  <c r="I142" i="12"/>
  <c r="H142" i="12"/>
  <c r="K141" i="12"/>
  <c r="I141" i="12"/>
  <c r="H141" i="12"/>
  <c r="K140" i="12"/>
  <c r="I140" i="12"/>
  <c r="H140" i="12"/>
  <c r="K139" i="12"/>
  <c r="I139" i="12"/>
  <c r="H139" i="12"/>
  <c r="K138" i="12"/>
  <c r="I138" i="12"/>
  <c r="H138" i="12"/>
  <c r="K137" i="12"/>
  <c r="I137" i="12"/>
  <c r="H137" i="12"/>
  <c r="K136" i="12"/>
  <c r="I136" i="12"/>
  <c r="H136" i="12"/>
  <c r="K135" i="12"/>
  <c r="I135" i="12"/>
  <c r="H135" i="12"/>
  <c r="K134" i="12"/>
  <c r="I134" i="12"/>
  <c r="H134" i="12"/>
  <c r="K133" i="12"/>
  <c r="I133" i="12"/>
  <c r="H133" i="12"/>
  <c r="K132" i="12"/>
  <c r="I132" i="12"/>
  <c r="H132" i="12"/>
  <c r="K131" i="12"/>
  <c r="I131" i="12"/>
  <c r="H131" i="12"/>
  <c r="K130" i="12"/>
  <c r="I130" i="12"/>
  <c r="H130" i="12"/>
  <c r="K129" i="12"/>
  <c r="I129" i="12"/>
  <c r="H129" i="12"/>
  <c r="K128" i="12"/>
  <c r="I128" i="12"/>
  <c r="H128" i="12"/>
  <c r="K127" i="12"/>
  <c r="I127" i="12"/>
  <c r="H127" i="12"/>
  <c r="K126" i="12"/>
  <c r="I126" i="12"/>
  <c r="H126" i="12"/>
  <c r="K125" i="12"/>
  <c r="I125" i="12"/>
  <c r="H125" i="12"/>
  <c r="K124" i="12"/>
  <c r="I124" i="12"/>
  <c r="H124" i="12"/>
  <c r="K123" i="12"/>
  <c r="I123" i="12"/>
  <c r="H123" i="12"/>
  <c r="K122" i="12"/>
  <c r="I122" i="12"/>
  <c r="H122" i="12"/>
  <c r="K121" i="12"/>
  <c r="I121" i="12"/>
  <c r="H121" i="12"/>
  <c r="K120" i="12"/>
  <c r="I120" i="12"/>
  <c r="H120" i="12"/>
  <c r="K119" i="12"/>
  <c r="I119" i="12"/>
  <c r="H119" i="12"/>
  <c r="K118" i="12"/>
  <c r="I118" i="12"/>
  <c r="H118" i="12"/>
  <c r="K117" i="12"/>
  <c r="I117" i="12"/>
  <c r="H117" i="12"/>
  <c r="K116" i="12"/>
  <c r="I116" i="12"/>
  <c r="H116" i="12"/>
  <c r="K115" i="12"/>
  <c r="I115" i="12"/>
  <c r="H115" i="12"/>
  <c r="K114" i="12"/>
  <c r="I114" i="12"/>
  <c r="H114" i="12"/>
  <c r="K113" i="12"/>
  <c r="I113" i="12"/>
  <c r="H113" i="12"/>
  <c r="K112" i="12"/>
  <c r="I112" i="12"/>
  <c r="H112" i="12"/>
  <c r="K111" i="12"/>
  <c r="I111" i="12"/>
  <c r="H111" i="12"/>
  <c r="K110" i="12"/>
  <c r="I110" i="12"/>
  <c r="H110" i="12"/>
  <c r="K109" i="12"/>
  <c r="I109" i="12"/>
  <c r="H109" i="12"/>
  <c r="K108" i="12"/>
  <c r="I108" i="12"/>
  <c r="H108" i="12"/>
  <c r="K107" i="12"/>
  <c r="I107" i="12"/>
  <c r="H107" i="12"/>
  <c r="K106" i="12"/>
  <c r="I106" i="12"/>
  <c r="H106" i="12"/>
  <c r="K105" i="12"/>
  <c r="I105" i="12"/>
  <c r="H105" i="12"/>
  <c r="K104" i="12"/>
  <c r="I104" i="12"/>
  <c r="H104" i="12"/>
  <c r="K103" i="12"/>
  <c r="I103" i="12"/>
  <c r="H103" i="12"/>
  <c r="K102" i="12"/>
  <c r="I102" i="12"/>
  <c r="H102" i="12"/>
  <c r="K101" i="12"/>
  <c r="I101" i="12"/>
  <c r="H101" i="12"/>
  <c r="K100" i="12"/>
  <c r="I100" i="12"/>
  <c r="H100" i="12"/>
  <c r="K99" i="12"/>
  <c r="I99" i="12"/>
  <c r="H99" i="12"/>
  <c r="K98" i="12"/>
  <c r="I98" i="12"/>
  <c r="H98" i="12"/>
  <c r="K97" i="12"/>
  <c r="I97" i="12"/>
  <c r="H97" i="12"/>
  <c r="K96" i="12"/>
  <c r="I96" i="12"/>
  <c r="H96" i="12"/>
  <c r="K95" i="12"/>
  <c r="I95" i="12"/>
  <c r="H95" i="12"/>
  <c r="K94" i="12"/>
  <c r="I94" i="12"/>
  <c r="H94" i="12"/>
  <c r="K93" i="12"/>
  <c r="I93" i="12"/>
  <c r="H93" i="12"/>
  <c r="K92" i="12"/>
  <c r="I92" i="12"/>
  <c r="H92" i="12"/>
  <c r="K91" i="12"/>
  <c r="I91" i="12"/>
  <c r="H91" i="12"/>
  <c r="K90" i="12"/>
  <c r="I90" i="12"/>
  <c r="H90" i="12"/>
  <c r="K89" i="12"/>
  <c r="I89" i="12"/>
  <c r="H89" i="12"/>
  <c r="K88" i="12"/>
  <c r="I88" i="12"/>
  <c r="H88" i="12"/>
  <c r="K87" i="12"/>
  <c r="I87" i="12"/>
  <c r="H87" i="12"/>
  <c r="K86" i="12"/>
  <c r="I86" i="12"/>
  <c r="H86" i="12"/>
  <c r="K85" i="12"/>
  <c r="I85" i="12"/>
  <c r="H85" i="12"/>
  <c r="K84" i="12"/>
  <c r="I84" i="12"/>
  <c r="H84" i="12"/>
  <c r="K83" i="12"/>
  <c r="I83" i="12"/>
  <c r="H83" i="12"/>
  <c r="K82" i="12"/>
  <c r="I82" i="12"/>
  <c r="H82" i="12"/>
  <c r="K81" i="12"/>
  <c r="I81" i="12"/>
  <c r="H81" i="12"/>
  <c r="K80" i="12"/>
  <c r="I80" i="12"/>
  <c r="H80" i="12"/>
  <c r="K79" i="12"/>
  <c r="I79" i="12"/>
  <c r="H79" i="12"/>
  <c r="K78" i="12"/>
  <c r="I78" i="12"/>
  <c r="H78" i="12"/>
  <c r="K77" i="12"/>
  <c r="I77" i="12"/>
  <c r="H77" i="12"/>
  <c r="K76" i="12"/>
  <c r="I76" i="12"/>
  <c r="H76" i="12"/>
  <c r="K75" i="12"/>
  <c r="I75" i="12"/>
  <c r="H75" i="12"/>
  <c r="K74" i="12"/>
  <c r="I74" i="12"/>
  <c r="H74" i="12"/>
  <c r="K73" i="12"/>
  <c r="I73" i="12"/>
  <c r="H73" i="12"/>
  <c r="K72" i="12"/>
  <c r="I72" i="12"/>
  <c r="H72" i="12"/>
  <c r="K71" i="12"/>
  <c r="I71" i="12"/>
  <c r="H71" i="12"/>
  <c r="K70" i="12"/>
  <c r="I70" i="12"/>
  <c r="H70" i="12"/>
  <c r="K69" i="12"/>
  <c r="I69" i="12"/>
  <c r="H69" i="12"/>
  <c r="K68" i="12"/>
  <c r="I68" i="12"/>
  <c r="H68" i="12"/>
  <c r="K67" i="12"/>
  <c r="I67" i="12"/>
  <c r="H67" i="12"/>
  <c r="K66" i="12"/>
  <c r="I66" i="12"/>
  <c r="H66" i="12"/>
  <c r="K65" i="12"/>
  <c r="I65" i="12"/>
  <c r="H65" i="12"/>
  <c r="K64" i="12"/>
  <c r="I64" i="12"/>
  <c r="H64" i="12"/>
  <c r="K63" i="12"/>
  <c r="I63" i="12"/>
  <c r="H63" i="12"/>
  <c r="K62" i="12"/>
  <c r="I62" i="12"/>
  <c r="H62" i="12"/>
  <c r="K61" i="12"/>
  <c r="I61" i="12"/>
  <c r="H61" i="12"/>
  <c r="K60" i="12"/>
  <c r="I60" i="12"/>
  <c r="H60" i="12"/>
  <c r="K59" i="12"/>
  <c r="I59" i="12"/>
  <c r="H59" i="12"/>
  <c r="K58" i="12"/>
  <c r="I58" i="12"/>
  <c r="H58" i="12"/>
  <c r="K57" i="12"/>
  <c r="I57" i="12"/>
  <c r="H57" i="12"/>
  <c r="K56" i="12"/>
  <c r="I56" i="12"/>
  <c r="H56" i="12"/>
  <c r="K55" i="12"/>
  <c r="I55" i="12"/>
  <c r="H55" i="12"/>
  <c r="K54" i="12"/>
  <c r="I54" i="12"/>
  <c r="H54" i="12"/>
  <c r="K53" i="12"/>
  <c r="I53" i="12"/>
  <c r="H53" i="12"/>
  <c r="K52" i="12"/>
  <c r="I52" i="12"/>
  <c r="H52" i="12"/>
  <c r="K51" i="12"/>
  <c r="I51" i="12"/>
  <c r="H51" i="12"/>
  <c r="K50" i="12"/>
  <c r="I50" i="12"/>
  <c r="H50" i="12"/>
  <c r="K49" i="12"/>
  <c r="I49" i="12"/>
  <c r="H49" i="12"/>
  <c r="K48" i="12"/>
  <c r="I48" i="12"/>
  <c r="H48" i="12"/>
  <c r="K47" i="12"/>
  <c r="I47" i="12"/>
  <c r="H47" i="12"/>
  <c r="K46" i="12"/>
  <c r="I46" i="12"/>
  <c r="H46" i="12"/>
  <c r="K45" i="12"/>
  <c r="I45" i="12"/>
  <c r="H45" i="12"/>
  <c r="K44" i="12"/>
  <c r="I44" i="12"/>
  <c r="H44" i="12"/>
  <c r="K43" i="12"/>
  <c r="I43" i="12"/>
  <c r="H43" i="12"/>
  <c r="K42" i="12"/>
  <c r="I42" i="12"/>
  <c r="H42" i="12"/>
  <c r="K41" i="12"/>
  <c r="I41" i="12"/>
  <c r="H41" i="12"/>
  <c r="K40" i="12"/>
  <c r="I40" i="12"/>
  <c r="H40" i="12"/>
  <c r="K39" i="12"/>
  <c r="I39" i="12"/>
  <c r="H39" i="12"/>
  <c r="K38" i="12"/>
  <c r="I38" i="12"/>
  <c r="H38" i="12"/>
  <c r="K37" i="12"/>
  <c r="I37" i="12"/>
  <c r="H37" i="12"/>
  <c r="K36" i="12"/>
  <c r="I36" i="12"/>
  <c r="H36" i="12"/>
  <c r="K35" i="12"/>
  <c r="I35" i="12"/>
  <c r="H35" i="12"/>
  <c r="K34" i="12"/>
  <c r="I34" i="12"/>
  <c r="H34" i="12"/>
  <c r="K33" i="12"/>
  <c r="I33" i="12"/>
  <c r="H33" i="12"/>
  <c r="K32" i="12"/>
  <c r="I32" i="12"/>
  <c r="H32" i="12"/>
  <c r="K31" i="12"/>
  <c r="I31" i="12"/>
  <c r="H31" i="12"/>
  <c r="K30" i="12"/>
  <c r="I30" i="12"/>
  <c r="H30" i="12"/>
  <c r="K29" i="12"/>
  <c r="I29" i="12"/>
  <c r="H29" i="12"/>
  <c r="K28" i="12"/>
  <c r="I28" i="12"/>
  <c r="H28" i="12"/>
  <c r="K27" i="12"/>
  <c r="I27" i="12"/>
  <c r="H27" i="12"/>
  <c r="K26" i="12"/>
  <c r="I26" i="12"/>
  <c r="H26" i="12"/>
  <c r="K25" i="12"/>
  <c r="I25" i="12"/>
  <c r="H25" i="12"/>
  <c r="K24" i="12"/>
  <c r="I24" i="12"/>
  <c r="H24" i="12"/>
  <c r="K23" i="12"/>
  <c r="I23" i="12"/>
  <c r="H23" i="12"/>
  <c r="K22" i="12"/>
  <c r="I22" i="12"/>
  <c r="H22" i="12"/>
  <c r="K21" i="12"/>
  <c r="I21" i="12"/>
  <c r="H21" i="12"/>
  <c r="K20" i="12"/>
  <c r="I20" i="12"/>
  <c r="H20" i="12"/>
  <c r="K19" i="12"/>
  <c r="I19" i="12"/>
  <c r="H19" i="12"/>
  <c r="K18" i="12"/>
  <c r="I18" i="12"/>
  <c r="H18" i="12"/>
  <c r="K17" i="12"/>
  <c r="I17" i="12"/>
  <c r="H17" i="12"/>
  <c r="K16" i="12"/>
  <c r="I16" i="12"/>
  <c r="H16" i="12"/>
  <c r="K15" i="12"/>
  <c r="I15" i="12"/>
  <c r="H15" i="12"/>
  <c r="K14" i="12"/>
  <c r="I14" i="12"/>
  <c r="H14" i="12"/>
  <c r="K13" i="12"/>
  <c r="I13" i="12"/>
  <c r="H13" i="12"/>
  <c r="K12" i="12"/>
  <c r="I12" i="12"/>
  <c r="H12" i="12"/>
  <c r="K11" i="12"/>
  <c r="I11" i="12"/>
  <c r="H11" i="12"/>
  <c r="K10" i="12"/>
  <c r="I10" i="12"/>
  <c r="H10" i="12"/>
  <c r="K9" i="12"/>
  <c r="I9" i="12"/>
  <c r="H9" i="12"/>
  <c r="K8" i="12"/>
  <c r="I8" i="12"/>
  <c r="H8" i="12"/>
  <c r="K7" i="12"/>
  <c r="I7" i="12"/>
  <c r="H7" i="12"/>
  <c r="K6" i="12"/>
  <c r="I6" i="12"/>
  <c r="H6" i="12"/>
  <c r="L186" i="12" l="1"/>
  <c r="M186" i="12" s="1" a="1"/>
  <c r="M186" i="12" s="1"/>
  <c r="AA8" i="3" a="1"/>
  <c r="AA8" i="3" s="1"/>
  <c r="X8" i="3"/>
  <c r="Z8" i="3" s="1"/>
  <c r="Y8" i="3"/>
  <c r="L226" i="12"/>
  <c r="M226" i="12" s="1" a="1"/>
  <c r="M226" i="12" s="1"/>
  <c r="L266" i="12"/>
  <c r="M266" i="12" s="1" a="1"/>
  <c r="M266" i="12" s="1"/>
  <c r="L286" i="12"/>
  <c r="M286" i="12" s="1" a="1"/>
  <c r="M286" i="12" s="1"/>
  <c r="L84" i="12"/>
  <c r="M84" i="12" s="1" a="1"/>
  <c r="M84" i="12" s="1"/>
  <c r="L40" i="12"/>
  <c r="M40" i="12" s="1" a="1"/>
  <c r="M40" i="12" s="1"/>
  <c r="L60" i="12"/>
  <c r="M60" i="12" s="1" a="1"/>
  <c r="M60" i="12" s="1"/>
  <c r="L47" i="12"/>
  <c r="M47" i="12" s="1" a="1"/>
  <c r="M47" i="12" s="1"/>
  <c r="L140" i="12"/>
  <c r="M140" i="12" s="1" a="1"/>
  <c r="M140" i="12" s="1"/>
  <c r="L180" i="12"/>
  <c r="M180" i="12" s="1" a="1"/>
  <c r="M180" i="12" s="1"/>
  <c r="L253" i="12"/>
  <c r="M253" i="12" s="1" a="1"/>
  <c r="M253" i="12" s="1"/>
  <c r="L240" i="12"/>
  <c r="M240" i="12" s="1" a="1"/>
  <c r="M240" i="12" s="1"/>
  <c r="L260" i="12"/>
  <c r="M260" i="12" s="1" a="1"/>
  <c r="M260" i="12" s="1"/>
  <c r="L94" i="12"/>
  <c r="M94" i="12" s="1" a="1"/>
  <c r="M94" i="12" s="1"/>
  <c r="L28" i="12"/>
  <c r="M28" i="12" s="1" a="1"/>
  <c r="M28" i="12" s="1"/>
  <c r="L68" i="12"/>
  <c r="M68" i="12" s="1" a="1"/>
  <c r="M68" i="12" s="1"/>
  <c r="L35" i="12"/>
  <c r="M35" i="12" s="1" a="1"/>
  <c r="M35" i="12" s="1"/>
  <c r="L55" i="12"/>
  <c r="M55" i="12" s="1" a="1"/>
  <c r="M55" i="12" s="1"/>
  <c r="L108" i="12"/>
  <c r="M108" i="12" s="1" a="1"/>
  <c r="M108" i="12" s="1"/>
  <c r="L148" i="12"/>
  <c r="M148" i="12" s="1" a="1"/>
  <c r="M148" i="12" s="1"/>
  <c r="L188" i="12"/>
  <c r="M188" i="12" s="1" a="1"/>
  <c r="M188" i="12" s="1"/>
  <c r="L82" i="12"/>
  <c r="M82" i="12" s="1" a="1"/>
  <c r="M82" i="12" s="1"/>
  <c r="L95" i="12"/>
  <c r="M95" i="12" s="1" a="1"/>
  <c r="M95" i="12" s="1"/>
  <c r="L135" i="12"/>
  <c r="M135" i="12" s="1" a="1"/>
  <c r="M135" i="12" s="1"/>
  <c r="L228" i="12"/>
  <c r="M228" i="12" s="1" a="1"/>
  <c r="M228" i="12" s="1"/>
  <c r="L182" i="12"/>
  <c r="M182" i="12" s="1" a="1"/>
  <c r="M182" i="12" s="1"/>
  <c r="L202" i="12"/>
  <c r="M202" i="12" s="1" a="1"/>
  <c r="M202" i="12" s="1"/>
  <c r="L235" i="12"/>
  <c r="M235" i="12" s="1" a="1"/>
  <c r="M235" i="12" s="1"/>
  <c r="L255" i="12"/>
  <c r="M255" i="12" s="1" a="1"/>
  <c r="M255" i="12" s="1"/>
  <c r="L275" i="12"/>
  <c r="M275" i="12" s="1" a="1"/>
  <c r="M275" i="12" s="1"/>
  <c r="L36" i="12"/>
  <c r="M36" i="12" s="1" a="1"/>
  <c r="M36" i="12" s="1"/>
  <c r="L56" i="12"/>
  <c r="M56" i="12" s="1" a="1"/>
  <c r="M56" i="12" s="1"/>
  <c r="L89" i="12"/>
  <c r="M89" i="12" s="1" a="1"/>
  <c r="M89" i="12" s="1"/>
  <c r="L242" i="12"/>
  <c r="M242" i="12" s="1" a="1"/>
  <c r="M242" i="12" s="1"/>
  <c r="L50" i="12"/>
  <c r="M50" i="12" s="1" a="1"/>
  <c r="M50" i="12" s="1"/>
  <c r="L256" i="12"/>
  <c r="M256" i="12" s="1" a="1"/>
  <c r="M256" i="12" s="1"/>
  <c r="L77" i="12"/>
  <c r="M77" i="12" s="1" a="1"/>
  <c r="M77" i="12" s="1"/>
  <c r="L157" i="12"/>
  <c r="M157" i="12" s="1" a="1"/>
  <c r="M157" i="12" s="1"/>
  <c r="L250" i="12"/>
  <c r="M250" i="12" s="1" a="1"/>
  <c r="M250" i="12" s="1"/>
  <c r="L104" i="12"/>
  <c r="M104" i="12" s="1" a="1"/>
  <c r="M104" i="12" s="1"/>
  <c r="L124" i="12"/>
  <c r="M124" i="12" s="1" a="1"/>
  <c r="M124" i="12" s="1"/>
  <c r="L204" i="12"/>
  <c r="M204" i="12" s="1" a="1"/>
  <c r="M204" i="12" s="1"/>
  <c r="L277" i="12"/>
  <c r="M277" i="12" s="1" a="1"/>
  <c r="M277" i="12" s="1"/>
  <c r="L58" i="12"/>
  <c r="M58" i="12" s="1" a="1"/>
  <c r="M58" i="12" s="1"/>
  <c r="L264" i="12"/>
  <c r="M264" i="12" s="1" a="1"/>
  <c r="M264" i="12" s="1"/>
  <c r="L138" i="12"/>
  <c r="M138" i="12" s="1" a="1"/>
  <c r="M138" i="12" s="1"/>
  <c r="L158" i="12"/>
  <c r="M158" i="12" s="1" a="1"/>
  <c r="M158" i="12" s="1"/>
  <c r="L152" i="12"/>
  <c r="M152" i="12" s="1" a="1"/>
  <c r="M152" i="12" s="1"/>
  <c r="L6" i="12"/>
  <c r="M6" i="12" s="1" a="1"/>
  <c r="M6" i="12" s="1"/>
  <c r="L26" i="12"/>
  <c r="M26" i="12" s="1" a="1"/>
  <c r="M26" i="12" s="1"/>
  <c r="L66" i="12"/>
  <c r="M66" i="12" s="1" a="1"/>
  <c r="M66" i="12" s="1"/>
  <c r="L53" i="12"/>
  <c r="M53" i="12" s="1" a="1"/>
  <c r="M53" i="12" s="1"/>
  <c r="L106" i="12"/>
  <c r="M106" i="12" s="1" a="1"/>
  <c r="M106" i="12" s="1"/>
  <c r="L206" i="12"/>
  <c r="M206" i="12" s="1" a="1"/>
  <c r="M206" i="12" s="1"/>
  <c r="L48" i="12"/>
  <c r="M48" i="12" s="1" a="1"/>
  <c r="M48" i="12" s="1"/>
  <c r="L173" i="12"/>
  <c r="M173" i="12" s="1" a="1"/>
  <c r="M173" i="12" s="1"/>
  <c r="L42" i="12"/>
  <c r="M42" i="12" s="1" a="1"/>
  <c r="M42" i="12" s="1"/>
  <c r="L90" i="12"/>
  <c r="M90" i="12" s="1" a="1"/>
  <c r="M90" i="12" s="1"/>
  <c r="L96" i="12"/>
  <c r="M96" i="12" s="1" a="1"/>
  <c r="M96" i="12" s="1"/>
  <c r="L13" i="12"/>
  <c r="M13" i="12" s="1" a="1"/>
  <c r="M13" i="12" s="1"/>
  <c r="L222" i="12"/>
  <c r="M222" i="12" s="1" a="1"/>
  <c r="M222" i="12" s="1"/>
  <c r="L31" i="12"/>
  <c r="M31" i="12" s="1" a="1"/>
  <c r="M31" i="12" s="1"/>
  <c r="L37" i="12"/>
  <c r="M37" i="12" s="1" a="1"/>
  <c r="M37" i="12" s="1"/>
  <c r="L8" i="12"/>
  <c r="M8" i="12" s="1" a="1"/>
  <c r="M8" i="12" s="1"/>
  <c r="L62" i="12"/>
  <c r="M62" i="12" s="1" a="1"/>
  <c r="M62" i="12" s="1"/>
  <c r="L80" i="12"/>
  <c r="M80" i="12" s="1" a="1"/>
  <c r="M80" i="12" s="1"/>
  <c r="L175" i="12"/>
  <c r="M175" i="12" s="1" a="1"/>
  <c r="M175" i="12" s="1"/>
  <c r="L122" i="12"/>
  <c r="M122" i="12" s="1" a="1"/>
  <c r="M122" i="12" s="1"/>
  <c r="L75" i="12"/>
  <c r="M75" i="12" s="1" a="1"/>
  <c r="M75" i="12" s="1"/>
  <c r="L170" i="12"/>
  <c r="M170" i="12" s="1" a="1"/>
  <c r="M170" i="12" s="1"/>
  <c r="L248" i="12"/>
  <c r="M248" i="12" s="1" a="1"/>
  <c r="M248" i="12" s="1"/>
  <c r="L272" i="12"/>
  <c r="M272" i="12" s="1" a="1"/>
  <c r="M272" i="12" s="1"/>
  <c r="L164" i="12"/>
  <c r="M164" i="12" s="1" a="1"/>
  <c r="M164" i="12" s="1"/>
  <c r="L224" i="12"/>
  <c r="M224" i="12" s="1" a="1"/>
  <c r="M224" i="12" s="1"/>
  <c r="L117" i="12"/>
  <c r="M117" i="12" s="1" a="1"/>
  <c r="M117" i="12" s="1"/>
  <c r="L16" i="12"/>
  <c r="M16" i="12" s="1" a="1"/>
  <c r="M16" i="12" s="1"/>
  <c r="L70" i="12"/>
  <c r="M70" i="12" s="1" a="1"/>
  <c r="M70" i="12" s="1"/>
  <c r="L213" i="12"/>
  <c r="M213" i="12" s="1" a="1"/>
  <c r="M213" i="12" s="1"/>
  <c r="L237" i="12"/>
  <c r="M237" i="12" s="1" a="1"/>
  <c r="M237" i="12" s="1"/>
  <c r="L112" i="12"/>
  <c r="M112" i="12" s="1" a="1"/>
  <c r="M112" i="12" s="1"/>
  <c r="L130" i="12"/>
  <c r="M130" i="12" s="1" a="1"/>
  <c r="M130" i="12" s="1"/>
  <c r="L136" i="12"/>
  <c r="M136" i="12" s="1" a="1"/>
  <c r="M136" i="12" s="1"/>
  <c r="L262" i="12"/>
  <c r="M262" i="12" s="1" a="1"/>
  <c r="M262" i="12" s="1"/>
  <c r="L197" i="12"/>
  <c r="M197" i="12" s="1" a="1"/>
  <c r="M197" i="12" s="1"/>
  <c r="L208" i="12"/>
  <c r="M208" i="12" s="1" a="1"/>
  <c r="M208" i="12" s="1"/>
  <c r="L246" i="12"/>
  <c r="M246" i="12" s="1" a="1"/>
  <c r="M246" i="12" s="1"/>
  <c r="L295" i="12"/>
  <c r="M295" i="12" s="1" a="1"/>
  <c r="M295" i="12" s="1"/>
  <c r="L102" i="12"/>
  <c r="M102" i="12" s="1" a="1"/>
  <c r="M102" i="12" s="1"/>
  <c r="L154" i="12"/>
  <c r="M154" i="12" s="1" a="1"/>
  <c r="M154" i="12" s="1"/>
  <c r="L290" i="12"/>
  <c r="M290" i="12" s="1" a="1"/>
  <c r="M290" i="12" s="1"/>
  <c r="L22" i="12"/>
  <c r="M22" i="12" s="1" a="1"/>
  <c r="M22" i="12" s="1"/>
  <c r="L192" i="12"/>
  <c r="M192" i="12" s="1" a="1"/>
  <c r="M192" i="12" s="1"/>
  <c r="L268" i="12"/>
  <c r="M268" i="12" s="1" a="1"/>
  <c r="M268" i="12" s="1"/>
  <c r="L38" i="12"/>
  <c r="M38" i="12" s="1" a="1"/>
  <c r="M38" i="12" s="1"/>
  <c r="L86" i="12"/>
  <c r="M86" i="12" s="1" a="1"/>
  <c r="M86" i="12" s="1"/>
  <c r="L144" i="12"/>
  <c r="M144" i="12" s="1" a="1"/>
  <c r="M144" i="12" s="1"/>
  <c r="L149" i="12"/>
  <c r="M149" i="12" s="1" a="1"/>
  <c r="M149" i="12" s="1"/>
  <c r="L160" i="12"/>
  <c r="M160" i="12" s="1" a="1"/>
  <c r="M160" i="12" s="1"/>
  <c r="L198" i="12"/>
  <c r="M198" i="12" s="1" a="1"/>
  <c r="M198" i="12" s="1"/>
  <c r="L296" i="12"/>
  <c r="M296" i="12" s="1" a="1"/>
  <c r="M296" i="12" s="1"/>
  <c r="L33" i="12"/>
  <c r="M33" i="12" s="1" a="1"/>
  <c r="M33" i="12" s="1"/>
  <c r="L155" i="12"/>
  <c r="M155" i="12" s="1" a="1"/>
  <c r="M155" i="12" s="1"/>
  <c r="L280" i="12"/>
  <c r="M280" i="12" s="1" a="1"/>
  <c r="M280" i="12" s="1"/>
  <c r="L24" i="12"/>
  <c r="M24" i="12" s="1" a="1"/>
  <c r="M24" i="12" s="1"/>
  <c r="L115" i="12"/>
  <c r="M115" i="12" s="1" a="1"/>
  <c r="M115" i="12" s="1"/>
  <c r="L194" i="12"/>
  <c r="M194" i="12" s="1" a="1"/>
  <c r="M194" i="12" s="1"/>
  <c r="L232" i="12"/>
  <c r="M232" i="12" s="1" a="1"/>
  <c r="M232" i="12" s="1"/>
  <c r="L46" i="12"/>
  <c r="M46" i="12" s="1" a="1"/>
  <c r="M46" i="12" s="1"/>
  <c r="L78" i="12"/>
  <c r="M78" i="12" s="1" a="1"/>
  <c r="M78" i="12" s="1"/>
  <c r="L110" i="12"/>
  <c r="M110" i="12" s="1" a="1"/>
  <c r="M110" i="12" s="1"/>
  <c r="L146" i="12"/>
  <c r="M146" i="12" s="1" a="1"/>
  <c r="M146" i="12" s="1"/>
  <c r="L168" i="12"/>
  <c r="M168" i="12" s="1" a="1"/>
  <c r="M168" i="12" s="1"/>
  <c r="L276" i="12"/>
  <c r="M276" i="12" s="1" a="1"/>
  <c r="M276" i="12" s="1"/>
  <c r="L73" i="12"/>
  <c r="M73" i="12" s="1" a="1"/>
  <c r="M73" i="12" s="1"/>
  <c r="L131" i="12"/>
  <c r="M131" i="12" s="1" a="1"/>
  <c r="M131" i="12" s="1"/>
  <c r="L184" i="12"/>
  <c r="M184" i="12" s="1" a="1"/>
  <c r="M184" i="12" s="1"/>
  <c r="L189" i="12"/>
  <c r="M189" i="12" s="1" a="1"/>
  <c r="M189" i="12" s="1"/>
  <c r="L238" i="12"/>
  <c r="M238" i="12" s="1" a="1"/>
  <c r="M238" i="12" s="1"/>
  <c r="L52" i="12"/>
  <c r="M52" i="12" s="1" a="1"/>
  <c r="M52" i="12" s="1"/>
  <c r="L100" i="12"/>
  <c r="M100" i="12" s="1" a="1"/>
  <c r="M100" i="12" s="1"/>
  <c r="L126" i="12"/>
  <c r="M126" i="12" s="1" a="1"/>
  <c r="M126" i="12" s="1"/>
  <c r="L271" i="12"/>
  <c r="M271" i="12" s="1" a="1"/>
  <c r="M271" i="12" s="1"/>
  <c r="L282" i="12"/>
  <c r="M282" i="12" s="1" a="1"/>
  <c r="M282" i="12" s="1"/>
  <c r="L44" i="12"/>
  <c r="M44" i="12" s="1" a="1"/>
  <c r="M44" i="12" s="1"/>
  <c r="L64" i="12"/>
  <c r="M64" i="12" s="1" a="1"/>
  <c r="M64" i="12" s="1"/>
  <c r="L88" i="12"/>
  <c r="M88" i="12" s="1" a="1"/>
  <c r="M88" i="12" s="1"/>
  <c r="L93" i="12"/>
  <c r="M93" i="12" s="1" a="1"/>
  <c r="M93" i="12" s="1"/>
  <c r="L98" i="12"/>
  <c r="M98" i="12" s="1" a="1"/>
  <c r="M98" i="12" s="1"/>
  <c r="L195" i="12"/>
  <c r="M195" i="12" s="1" a="1"/>
  <c r="M195" i="12" s="1"/>
  <c r="L210" i="12"/>
  <c r="M210" i="12" s="1" a="1"/>
  <c r="M210" i="12" s="1"/>
  <c r="L215" i="12"/>
  <c r="M215" i="12" s="1" a="1"/>
  <c r="M215" i="12" s="1"/>
  <c r="L220" i="12"/>
  <c r="M220" i="12" s="1" a="1"/>
  <c r="M220" i="12" s="1"/>
  <c r="L244" i="12"/>
  <c r="M244" i="12" s="1" a="1"/>
  <c r="M244" i="12" s="1"/>
  <c r="L10" i="12"/>
  <c r="M10" i="12" s="1" a="1"/>
  <c r="M10" i="12" s="1"/>
  <c r="L15" i="12"/>
  <c r="M15" i="12" s="1" a="1"/>
  <c r="M15" i="12" s="1"/>
  <c r="L20" i="12"/>
  <c r="M20" i="12" s="1" a="1"/>
  <c r="M20" i="12" s="1"/>
  <c r="L142" i="12"/>
  <c r="M142" i="12" s="1" a="1"/>
  <c r="M142" i="12" s="1"/>
  <c r="L278" i="12"/>
  <c r="M278" i="12" s="1" a="1"/>
  <c r="M278" i="12" s="1"/>
  <c r="L288" i="12"/>
  <c r="M288" i="12" s="1" a="1"/>
  <c r="M288" i="12" s="1"/>
  <c r="L293" i="12"/>
  <c r="M293" i="12" s="1" a="1"/>
  <c r="M293" i="12" s="1"/>
  <c r="L166" i="12"/>
  <c r="M166" i="12" s="1" a="1"/>
  <c r="M166" i="12" s="1"/>
  <c r="L200" i="12"/>
  <c r="M200" i="12" s="1" a="1"/>
  <c r="M200" i="12" s="1"/>
  <c r="L128" i="12"/>
  <c r="M128" i="12" s="1" a="1"/>
  <c r="M128" i="12" s="1"/>
  <c r="L133" i="12"/>
  <c r="M133" i="12" s="1" a="1"/>
  <c r="M133" i="12" s="1"/>
  <c r="L147" i="12"/>
  <c r="M147" i="12" s="1" a="1"/>
  <c r="M147" i="12" s="1"/>
  <c r="L284" i="12"/>
  <c r="M284" i="12" s="1" a="1"/>
  <c r="M284" i="12" s="1"/>
  <c r="L178" i="12"/>
  <c r="M178" i="12" s="1" a="1"/>
  <c r="M178" i="12" s="1"/>
  <c r="L120" i="12"/>
  <c r="M120" i="12" s="1" a="1"/>
  <c r="M120" i="12" s="1"/>
  <c r="L18" i="12"/>
  <c r="M18" i="12" s="1" a="1"/>
  <c r="M18" i="12" s="1"/>
  <c r="L145" i="12"/>
  <c r="M145" i="12" s="1" a="1"/>
  <c r="M145" i="12" s="1"/>
  <c r="L176" i="12"/>
  <c r="M176" i="12" s="1" a="1"/>
  <c r="M176" i="12" s="1"/>
  <c r="L118" i="12"/>
  <c r="M118" i="12" s="1" a="1"/>
  <c r="M118" i="12" s="1"/>
  <c r="L229" i="12"/>
  <c r="M229" i="12" s="1" a="1"/>
  <c r="M229" i="12" s="1"/>
  <c r="L234" i="12"/>
  <c r="M234" i="12" s="1" a="1"/>
  <c r="M234" i="12" s="1"/>
  <c r="L162" i="12"/>
  <c r="M162" i="12" s="1" a="1"/>
  <c r="M162" i="12" s="1"/>
  <c r="L216" i="12"/>
  <c r="M216" i="12" s="1" a="1"/>
  <c r="M216" i="12" s="1"/>
  <c r="L29" i="12"/>
  <c r="M29" i="12" s="1" a="1"/>
  <c r="M29" i="12" s="1"/>
  <c r="L34" i="12"/>
  <c r="M34" i="12" s="1" a="1"/>
  <c r="M34" i="12" s="1"/>
  <c r="L71" i="12"/>
  <c r="M71" i="12" s="1" a="1"/>
  <c r="M71" i="12" s="1"/>
  <c r="L76" i="12"/>
  <c r="M76" i="12" s="1" a="1"/>
  <c r="M76" i="12" s="1"/>
  <c r="L113" i="12"/>
  <c r="M113" i="12" s="1" a="1"/>
  <c r="M113" i="12" s="1"/>
  <c r="L150" i="12"/>
  <c r="M150" i="12" s="1" a="1"/>
  <c r="M150" i="12" s="1"/>
  <c r="L211" i="12"/>
  <c r="M211" i="12" s="1" a="1"/>
  <c r="M211" i="12" s="1"/>
  <c r="L225" i="12"/>
  <c r="M225" i="12" s="1" a="1"/>
  <c r="M225" i="12" s="1"/>
  <c r="L258" i="12"/>
  <c r="M258" i="12" s="1" a="1"/>
  <c r="M258" i="12" s="1"/>
  <c r="L11" i="12"/>
  <c r="M11" i="12" s="1" a="1"/>
  <c r="M11" i="12" s="1"/>
  <c r="L127" i="12"/>
  <c r="M127" i="12" s="1" a="1"/>
  <c r="M127" i="12" s="1"/>
  <c r="L132" i="12"/>
  <c r="M132" i="12" s="1" a="1"/>
  <c r="M132" i="12" s="1"/>
  <c r="L169" i="12"/>
  <c r="M169" i="12" s="1" a="1"/>
  <c r="M169" i="12" s="1"/>
  <c r="L174" i="12"/>
  <c r="M174" i="12" s="1" a="1"/>
  <c r="M174" i="12" s="1"/>
  <c r="L67" i="12"/>
  <c r="M67" i="12" s="1" a="1"/>
  <c r="M67" i="12" s="1"/>
  <c r="L193" i="12"/>
  <c r="M193" i="12" s="1" a="1"/>
  <c r="M193" i="12" s="1"/>
  <c r="L249" i="12"/>
  <c r="M249" i="12" s="1" a="1"/>
  <c r="M249" i="12" s="1"/>
  <c r="L254" i="12"/>
  <c r="M254" i="12" s="1" a="1"/>
  <c r="M254" i="12" s="1"/>
  <c r="L72" i="12"/>
  <c r="M72" i="12" s="1" a="1"/>
  <c r="M72" i="12" s="1"/>
  <c r="L109" i="12"/>
  <c r="M109" i="12" s="1" a="1"/>
  <c r="M109" i="12" s="1"/>
  <c r="L151" i="12"/>
  <c r="M151" i="12" s="1" a="1"/>
  <c r="M151" i="12" s="1"/>
  <c r="L207" i="12"/>
  <c r="M207" i="12" s="1" a="1"/>
  <c r="M207" i="12" s="1"/>
  <c r="L7" i="12"/>
  <c r="L12" i="12"/>
  <c r="M12" i="12" s="1" a="1"/>
  <c r="M12" i="12" s="1"/>
  <c r="L49" i="12"/>
  <c r="M49" i="12" s="1" a="1"/>
  <c r="M49" i="12" s="1"/>
  <c r="L54" i="12"/>
  <c r="M54" i="12" s="1" a="1"/>
  <c r="M54" i="12" s="1"/>
  <c r="L91" i="12"/>
  <c r="M91" i="12" s="1" a="1"/>
  <c r="M91" i="12" s="1"/>
  <c r="L273" i="12"/>
  <c r="M273" i="12" s="1" a="1"/>
  <c r="M273" i="12" s="1"/>
  <c r="L25" i="12"/>
  <c r="M25" i="12" s="1" a="1"/>
  <c r="M25" i="12" s="1"/>
  <c r="L230" i="12"/>
  <c r="M230" i="12" s="1" a="1"/>
  <c r="M230" i="12" s="1"/>
  <c r="L291" i="12"/>
  <c r="M291" i="12" s="1" a="1"/>
  <c r="M291" i="12" s="1"/>
  <c r="L30" i="12"/>
  <c r="M30" i="12" s="1" a="1"/>
  <c r="M30" i="12" s="1"/>
  <c r="L114" i="12"/>
  <c r="M114" i="12" s="1" a="1"/>
  <c r="M114" i="12" s="1"/>
  <c r="L156" i="12"/>
  <c r="M156" i="12" s="1" a="1"/>
  <c r="M156" i="12" s="1"/>
  <c r="L212" i="12"/>
  <c r="M212" i="12" s="1" a="1"/>
  <c r="M212" i="12" s="1"/>
  <c r="L105" i="12"/>
  <c r="M105" i="12" s="1" a="1"/>
  <c r="M105" i="12" s="1"/>
  <c r="L231" i="12"/>
  <c r="M231" i="12" s="1" a="1"/>
  <c r="M231" i="12" s="1"/>
  <c r="L236" i="12"/>
  <c r="M236" i="12" s="1" a="1"/>
  <c r="M236" i="12" s="1"/>
  <c r="L287" i="12"/>
  <c r="M287" i="12" s="1" a="1"/>
  <c r="M287" i="12" s="1"/>
  <c r="L292" i="12"/>
  <c r="M292" i="12" s="1" a="1"/>
  <c r="M292" i="12" s="1"/>
  <c r="L32" i="12"/>
  <c r="M32" i="12" s="1" a="1"/>
  <c r="M32" i="12" s="1"/>
  <c r="L65" i="12"/>
  <c r="M65" i="12" s="1" a="1"/>
  <c r="M65" i="12" s="1"/>
  <c r="L233" i="12"/>
  <c r="M233" i="12" s="1" a="1"/>
  <c r="M233" i="12" s="1"/>
  <c r="L289" i="12"/>
  <c r="M289" i="12" s="1" a="1"/>
  <c r="M289" i="12" s="1"/>
  <c r="L294" i="12"/>
  <c r="M294" i="12" s="1" a="1"/>
  <c r="M294" i="12" s="1"/>
  <c r="L87" i="12"/>
  <c r="M87" i="12" s="1" a="1"/>
  <c r="M87" i="12" s="1"/>
  <c r="L92" i="12"/>
  <c r="M92" i="12" s="1" a="1"/>
  <c r="M92" i="12" s="1"/>
  <c r="L129" i="12"/>
  <c r="M129" i="12" s="1" a="1"/>
  <c r="M129" i="12" s="1"/>
  <c r="L134" i="12"/>
  <c r="M134" i="12" s="1" a="1"/>
  <c r="M134" i="12" s="1"/>
  <c r="L171" i="12"/>
  <c r="M171" i="12" s="1" a="1"/>
  <c r="M171" i="12" s="1"/>
  <c r="L185" i="12"/>
  <c r="M185" i="12" s="1" a="1"/>
  <c r="M185" i="12" s="1"/>
  <c r="L218" i="12"/>
  <c r="M218" i="12" s="1" a="1"/>
  <c r="M218" i="12" s="1"/>
  <c r="L269" i="12"/>
  <c r="M269" i="12" s="1" a="1"/>
  <c r="M269" i="12" s="1"/>
  <c r="L274" i="12"/>
  <c r="M274" i="12" s="1" a="1"/>
  <c r="M274" i="12" s="1"/>
  <c r="L27" i="12"/>
  <c r="M27" i="12" s="1" a="1"/>
  <c r="M27" i="12" s="1"/>
  <c r="L190" i="12"/>
  <c r="M190" i="12" s="1" a="1"/>
  <c r="M190" i="12" s="1"/>
  <c r="L251" i="12"/>
  <c r="M251" i="12" s="1" a="1"/>
  <c r="M251" i="12" s="1"/>
  <c r="L265" i="12"/>
  <c r="M265" i="12" s="1" a="1"/>
  <c r="M265" i="12" s="1"/>
  <c r="L298" i="12"/>
  <c r="M298" i="12" s="1" a="1"/>
  <c r="M298" i="12" s="1"/>
  <c r="L69" i="12"/>
  <c r="M69" i="12" s="1" a="1"/>
  <c r="M69" i="12" s="1"/>
  <c r="L74" i="12"/>
  <c r="M74" i="12" s="1" a="1"/>
  <c r="M74" i="12" s="1"/>
  <c r="L111" i="12"/>
  <c r="M111" i="12" s="1" a="1"/>
  <c r="M111" i="12" s="1"/>
  <c r="L116" i="12"/>
  <c r="M116" i="12" s="1" a="1"/>
  <c r="M116" i="12" s="1"/>
  <c r="L153" i="12"/>
  <c r="M153" i="12" s="1" a="1"/>
  <c r="M153" i="12" s="1"/>
  <c r="L209" i="12"/>
  <c r="M209" i="12" s="1" a="1"/>
  <c r="M209" i="12" s="1"/>
  <c r="L214" i="12"/>
  <c r="M214" i="12" s="1" a="1"/>
  <c r="M214" i="12" s="1"/>
  <c r="L9" i="12"/>
  <c r="M9" i="12" s="1" a="1"/>
  <c r="M9" i="12" s="1"/>
  <c r="L14" i="12"/>
  <c r="M14" i="12" s="1" a="1"/>
  <c r="M14" i="12" s="1"/>
  <c r="L51" i="12"/>
  <c r="M51" i="12" s="1" a="1"/>
  <c r="M51" i="12" s="1"/>
  <c r="L167" i="12"/>
  <c r="M167" i="12" s="1" a="1"/>
  <c r="M167" i="12" s="1"/>
  <c r="L172" i="12"/>
  <c r="M172" i="12" s="1" a="1"/>
  <c r="M172" i="12" s="1"/>
  <c r="L270" i="12"/>
  <c r="M270" i="12" s="1" a="1"/>
  <c r="M270" i="12" s="1"/>
  <c r="L107" i="12"/>
  <c r="M107" i="12" s="1" a="1"/>
  <c r="M107" i="12" s="1"/>
  <c r="L191" i="12"/>
  <c r="M191" i="12" s="1" a="1"/>
  <c r="M191" i="12" s="1"/>
  <c r="L196" i="12"/>
  <c r="M196" i="12" s="1" a="1"/>
  <c r="M196" i="12" s="1"/>
  <c r="L247" i="12"/>
  <c r="M247" i="12" s="1" a="1"/>
  <c r="M247" i="12" s="1"/>
  <c r="L252" i="12"/>
  <c r="M252" i="12" s="1" a="1"/>
  <c r="M252" i="12" s="1"/>
  <c r="L123" i="12"/>
  <c r="M123" i="12" s="1" a="1"/>
  <c r="M123" i="12" s="1"/>
  <c r="L61" i="12"/>
  <c r="M61" i="12" s="1" a="1"/>
  <c r="M61" i="12" s="1"/>
  <c r="L261" i="12"/>
  <c r="M261" i="12" s="1" a="1"/>
  <c r="M261" i="12" s="1"/>
  <c r="L39" i="12"/>
  <c r="M39" i="12" s="1" a="1"/>
  <c r="M39" i="12" s="1"/>
  <c r="L79" i="12"/>
  <c r="M79" i="12" s="1" a="1"/>
  <c r="M79" i="12" s="1"/>
  <c r="L119" i="12"/>
  <c r="M119" i="12" s="1" a="1"/>
  <c r="M119" i="12" s="1"/>
  <c r="L159" i="12"/>
  <c r="M159" i="12" s="1" a="1"/>
  <c r="M159" i="12" s="1"/>
  <c r="L199" i="12"/>
  <c r="M199" i="12" s="1" a="1"/>
  <c r="M199" i="12" s="1"/>
  <c r="L239" i="12"/>
  <c r="M239" i="12" s="1" a="1"/>
  <c r="M239" i="12" s="1"/>
  <c r="L279" i="12"/>
  <c r="M279" i="12" s="1" a="1"/>
  <c r="M279" i="12" s="1"/>
  <c r="L43" i="12"/>
  <c r="M43" i="12" s="1" a="1"/>
  <c r="M43" i="12" s="1"/>
  <c r="L83" i="12"/>
  <c r="M83" i="12" s="1" a="1"/>
  <c r="M83" i="12" s="1"/>
  <c r="L163" i="12"/>
  <c r="M163" i="12" s="1" a="1"/>
  <c r="M163" i="12" s="1"/>
  <c r="L203" i="12"/>
  <c r="M203" i="12" s="1" a="1"/>
  <c r="M203" i="12" s="1"/>
  <c r="L243" i="12"/>
  <c r="M243" i="12" s="1" a="1"/>
  <c r="M243" i="12" s="1"/>
  <c r="L283" i="12"/>
  <c r="M283" i="12" s="1" a="1"/>
  <c r="M283" i="12" s="1"/>
  <c r="L21" i="12"/>
  <c r="M21" i="12" s="1" a="1"/>
  <c r="M21" i="12" s="1"/>
  <c r="L101" i="12"/>
  <c r="M101" i="12" s="1" a="1"/>
  <c r="M101" i="12" s="1"/>
  <c r="L141" i="12"/>
  <c r="M141" i="12" s="1" a="1"/>
  <c r="M141" i="12" s="1"/>
  <c r="L181" i="12"/>
  <c r="M181" i="12" s="1" a="1"/>
  <c r="M181" i="12" s="1"/>
  <c r="L221" i="12"/>
  <c r="M221" i="12" s="1" a="1"/>
  <c r="M221" i="12" s="1"/>
  <c r="L17" i="12"/>
  <c r="M17" i="12" s="1" a="1"/>
  <c r="M17" i="12" s="1"/>
  <c r="L57" i="12"/>
  <c r="M57" i="12" s="1" a="1"/>
  <c r="M57" i="12" s="1"/>
  <c r="L97" i="12"/>
  <c r="M97" i="12" s="1" a="1"/>
  <c r="M97" i="12" s="1"/>
  <c r="L137" i="12"/>
  <c r="M137" i="12" s="1" a="1"/>
  <c r="M137" i="12" s="1"/>
  <c r="L177" i="12"/>
  <c r="M177" i="12" s="1" a="1"/>
  <c r="M177" i="12" s="1"/>
  <c r="L217" i="12"/>
  <c r="M217" i="12" s="1" a="1"/>
  <c r="M217" i="12" s="1"/>
  <c r="L257" i="12"/>
  <c r="M257" i="12" s="1" a="1"/>
  <c r="M257" i="12" s="1"/>
  <c r="L297" i="12"/>
  <c r="M297" i="12" s="1" a="1"/>
  <c r="M297" i="12" s="1"/>
  <c r="L187" i="12"/>
  <c r="M187" i="12" s="1" a="1"/>
  <c r="M187" i="12" s="1"/>
  <c r="L227" i="12"/>
  <c r="M227" i="12" s="1" a="1"/>
  <c r="M227" i="12" s="1"/>
  <c r="L267" i="12"/>
  <c r="M267" i="12" s="1" a="1"/>
  <c r="M267" i="12" s="1"/>
  <c r="L45" i="12"/>
  <c r="M45" i="12" s="1" a="1"/>
  <c r="M45" i="12" s="1"/>
  <c r="L85" i="12"/>
  <c r="M85" i="12" s="1" a="1"/>
  <c r="M85" i="12" s="1"/>
  <c r="L125" i="12"/>
  <c r="M125" i="12" s="1" a="1"/>
  <c r="M125" i="12" s="1"/>
  <c r="L165" i="12"/>
  <c r="M165" i="12" s="1" a="1"/>
  <c r="M165" i="12" s="1"/>
  <c r="L205" i="12"/>
  <c r="M205" i="12" s="1" a="1"/>
  <c r="M205" i="12" s="1"/>
  <c r="L245" i="12"/>
  <c r="M245" i="12" s="1" a="1"/>
  <c r="M245" i="12" s="1"/>
  <c r="L285" i="12"/>
  <c r="M285" i="12" s="1" a="1"/>
  <c r="M285" i="12" s="1"/>
  <c r="L23" i="12"/>
  <c r="M23" i="12" s="1" a="1"/>
  <c r="M23" i="12" s="1"/>
  <c r="L63" i="12"/>
  <c r="M63" i="12" s="1" a="1"/>
  <c r="M63" i="12" s="1"/>
  <c r="L103" i="12"/>
  <c r="M103" i="12" s="1" a="1"/>
  <c r="M103" i="12" s="1"/>
  <c r="L143" i="12"/>
  <c r="M143" i="12" s="1" a="1"/>
  <c r="M143" i="12" s="1"/>
  <c r="L183" i="12"/>
  <c r="M183" i="12" s="1" a="1"/>
  <c r="M183" i="12" s="1"/>
  <c r="L223" i="12"/>
  <c r="M223" i="12" s="1" a="1"/>
  <c r="M223" i="12" s="1"/>
  <c r="L263" i="12"/>
  <c r="M263" i="12" s="1" a="1"/>
  <c r="M263" i="12" s="1"/>
  <c r="L41" i="12"/>
  <c r="M41" i="12" s="1" a="1"/>
  <c r="M41" i="12" s="1"/>
  <c r="L81" i="12"/>
  <c r="M81" i="12" s="1" a="1"/>
  <c r="M81" i="12" s="1"/>
  <c r="L121" i="12"/>
  <c r="M121" i="12" s="1" a="1"/>
  <c r="M121" i="12" s="1"/>
  <c r="L161" i="12"/>
  <c r="M161" i="12" s="1" a="1"/>
  <c r="M161" i="12" s="1"/>
  <c r="L201" i="12"/>
  <c r="M201" i="12" s="1" a="1"/>
  <c r="M201" i="12" s="1"/>
  <c r="L241" i="12"/>
  <c r="M241" i="12" s="1" a="1"/>
  <c r="M241" i="12" s="1"/>
  <c r="L281" i="12"/>
  <c r="M281" i="12" s="1" a="1"/>
  <c r="M281" i="12" s="1"/>
  <c r="L19" i="12"/>
  <c r="M19" i="12" s="1" a="1"/>
  <c r="M19" i="12" s="1"/>
  <c r="L59" i="12"/>
  <c r="M59" i="12" s="1" a="1"/>
  <c r="M59" i="12" s="1"/>
  <c r="L99" i="12"/>
  <c r="M99" i="12" s="1" a="1"/>
  <c r="M99" i="12" s="1"/>
  <c r="L139" i="12"/>
  <c r="M139" i="12" s="1" a="1"/>
  <c r="M139" i="12" s="1"/>
  <c r="L179" i="12"/>
  <c r="M179" i="12" s="1" a="1"/>
  <c r="M179" i="12" s="1"/>
  <c r="L219" i="12"/>
  <c r="M219" i="12" s="1" a="1"/>
  <c r="M219" i="12" s="1"/>
  <c r="L259" i="12"/>
  <c r="M259" i="12" s="1" a="1"/>
  <c r="M259" i="12" s="1"/>
  <c r="L299" i="12"/>
  <c r="M299" i="12" s="1" a="1"/>
  <c r="M299" i="12" s="1"/>
  <c r="M7" i="12" l="1" a="1"/>
  <c r="M7" i="12" s="1"/>
  <c r="AM8" i="3"/>
  <c r="AK8" i="3"/>
  <c r="AJ8" i="3"/>
  <c r="AI8" i="3" a="1"/>
  <c r="AI8" i="3" s="1"/>
  <c r="AG8" i="3"/>
  <c r="AF8" i="3"/>
  <c r="AC8" i="3"/>
  <c r="AB8" i="3"/>
  <c r="AD8" i="3" l="1" a="1"/>
  <c r="AD8" i="3" s="1"/>
  <c r="AH8" i="3" a="1"/>
  <c r="AH8" i="3" s="1"/>
  <c r="AL8" i="3" a="1"/>
  <c r="AL8" i="3" s="1"/>
  <c r="H23" i="31"/>
  <c r="E29" i="31"/>
  <c r="E30" i="31" s="1"/>
  <c r="E27" i="31"/>
  <c r="E20" i="31"/>
  <c r="E21" i="31" l="1"/>
  <c r="R2" i="30" l="1"/>
  <c r="K95" i="17" l="1"/>
  <c r="I95" i="17" a="1"/>
  <c r="I95" i="17" s="1"/>
  <c r="H95" i="17" a="1"/>
  <c r="H95" i="17" s="1"/>
  <c r="K94" i="17"/>
  <c r="I94" i="17" a="1"/>
  <c r="I94" i="17" s="1"/>
  <c r="H94" i="17" a="1"/>
  <c r="H94" i="17" s="1"/>
  <c r="K93" i="17"/>
  <c r="I93" i="17" a="1"/>
  <c r="I93" i="17" s="1"/>
  <c r="H93" i="17" a="1"/>
  <c r="H93" i="17" s="1"/>
  <c r="K92" i="17"/>
  <c r="I92" i="17" a="1"/>
  <c r="I92" i="17" s="1"/>
  <c r="H92" i="17" a="1"/>
  <c r="H92" i="17" s="1"/>
  <c r="K91" i="17"/>
  <c r="I91" i="17" a="1"/>
  <c r="I91" i="17" s="1"/>
  <c r="H91" i="17" a="1"/>
  <c r="H91" i="17" s="1"/>
  <c r="K90" i="17"/>
  <c r="I90" i="17" a="1"/>
  <c r="I90" i="17" s="1"/>
  <c r="H90" i="17" a="1"/>
  <c r="H90" i="17" s="1"/>
  <c r="K89" i="17"/>
  <c r="I89" i="17" a="1"/>
  <c r="I89" i="17" s="1"/>
  <c r="H89" i="17" a="1"/>
  <c r="H89" i="17" s="1"/>
  <c r="K88" i="17"/>
  <c r="I88" i="17" a="1"/>
  <c r="I88" i="17" s="1"/>
  <c r="H88" i="17" a="1"/>
  <c r="H88" i="17" s="1"/>
  <c r="K87" i="17"/>
  <c r="I87" i="17" a="1"/>
  <c r="I87" i="17" s="1"/>
  <c r="H87" i="17" a="1"/>
  <c r="H87" i="17" s="1"/>
  <c r="K86" i="17"/>
  <c r="I86" i="17" a="1"/>
  <c r="I86" i="17" s="1"/>
  <c r="H86" i="17" a="1"/>
  <c r="H86" i="17" s="1"/>
  <c r="K85" i="17"/>
  <c r="I85" i="17" a="1"/>
  <c r="I85" i="17" s="1"/>
  <c r="H85" i="17" a="1"/>
  <c r="H85" i="17" s="1"/>
  <c r="K84" i="17"/>
  <c r="I84" i="17" a="1"/>
  <c r="I84" i="17" s="1"/>
  <c r="H84" i="17" a="1"/>
  <c r="H84" i="17" s="1"/>
  <c r="K83" i="17"/>
  <c r="I83" i="17" a="1"/>
  <c r="I83" i="17" s="1"/>
  <c r="H83" i="17" a="1"/>
  <c r="H83" i="17" s="1"/>
  <c r="K82" i="17"/>
  <c r="I82" i="17" a="1"/>
  <c r="I82" i="17" s="1"/>
  <c r="H82" i="17" a="1"/>
  <c r="H82" i="17" s="1"/>
  <c r="K81" i="17"/>
  <c r="I81" i="17" a="1"/>
  <c r="I81" i="17" s="1"/>
  <c r="H81" i="17" a="1"/>
  <c r="H81" i="17" s="1"/>
  <c r="K80" i="17"/>
  <c r="I80" i="17" a="1"/>
  <c r="I80" i="17" s="1"/>
  <c r="H80" i="17" a="1"/>
  <c r="H80" i="17" s="1"/>
  <c r="K79" i="17"/>
  <c r="I79" i="17" a="1"/>
  <c r="I79" i="17" s="1"/>
  <c r="H79" i="17" a="1"/>
  <c r="H79" i="17" s="1"/>
  <c r="K78" i="17"/>
  <c r="I78" i="17" a="1"/>
  <c r="I78" i="17" s="1"/>
  <c r="H78" i="17" a="1"/>
  <c r="H78" i="17" s="1"/>
  <c r="K77" i="17"/>
  <c r="I77" i="17" a="1"/>
  <c r="I77" i="17" s="1"/>
  <c r="H77" i="17" a="1"/>
  <c r="H77" i="17" s="1"/>
  <c r="K76" i="17"/>
  <c r="I76" i="17" a="1"/>
  <c r="I76" i="17" s="1"/>
  <c r="H76" i="17" a="1"/>
  <c r="H76" i="17" s="1"/>
  <c r="K75" i="17"/>
  <c r="I75" i="17" a="1"/>
  <c r="I75" i="17" s="1"/>
  <c r="H75" i="17" a="1"/>
  <c r="H75" i="17" s="1"/>
  <c r="K74" i="17"/>
  <c r="I74" i="17" a="1"/>
  <c r="I74" i="17" s="1"/>
  <c r="H74" i="17" a="1"/>
  <c r="H74" i="17" s="1"/>
  <c r="K73" i="17"/>
  <c r="I73" i="17" a="1"/>
  <c r="I73" i="17" s="1"/>
  <c r="H73" i="17" a="1"/>
  <c r="H73" i="17" s="1"/>
  <c r="K72" i="17"/>
  <c r="I72" i="17" a="1"/>
  <c r="I72" i="17" s="1"/>
  <c r="H72" i="17" a="1"/>
  <c r="H72" i="17" s="1"/>
  <c r="K71" i="17"/>
  <c r="I71" i="17" a="1"/>
  <c r="I71" i="17" s="1"/>
  <c r="H71" i="17" a="1"/>
  <c r="H71" i="17" s="1"/>
  <c r="K70" i="17"/>
  <c r="I70" i="17" a="1"/>
  <c r="I70" i="17" s="1"/>
  <c r="H70" i="17" a="1"/>
  <c r="H70" i="17" s="1"/>
  <c r="K69" i="17"/>
  <c r="I69" i="17" a="1"/>
  <c r="I69" i="17" s="1"/>
  <c r="H69" i="17" a="1"/>
  <c r="H69" i="17" s="1"/>
  <c r="K68" i="17"/>
  <c r="I68" i="17" a="1"/>
  <c r="I68" i="17" s="1"/>
  <c r="H68" i="17" a="1"/>
  <c r="H68" i="17" s="1"/>
  <c r="K67" i="17"/>
  <c r="I67" i="17" a="1"/>
  <c r="I67" i="17" s="1"/>
  <c r="H67" i="17" a="1"/>
  <c r="H67" i="17" s="1"/>
  <c r="K66" i="17"/>
  <c r="I66" i="17" a="1"/>
  <c r="I66" i="17" s="1"/>
  <c r="H66" i="17" a="1"/>
  <c r="H66" i="17" s="1"/>
  <c r="K65" i="17"/>
  <c r="I65" i="17" a="1"/>
  <c r="I65" i="17" s="1"/>
  <c r="H65" i="17" a="1"/>
  <c r="H65" i="17" s="1"/>
  <c r="K64" i="17"/>
  <c r="I64" i="17" a="1"/>
  <c r="I64" i="17" s="1"/>
  <c r="H64" i="17" a="1"/>
  <c r="H64" i="17" s="1"/>
  <c r="K63" i="17"/>
  <c r="I63" i="17" a="1"/>
  <c r="I63" i="17" s="1"/>
  <c r="H63" i="17" a="1"/>
  <c r="H63" i="17" s="1"/>
  <c r="K62" i="17"/>
  <c r="I62" i="17" a="1"/>
  <c r="I62" i="17" s="1"/>
  <c r="H62" i="17" a="1"/>
  <c r="H62" i="17" s="1"/>
  <c r="K61" i="17"/>
  <c r="I61" i="17" a="1"/>
  <c r="I61" i="17" s="1"/>
  <c r="H61" i="17" a="1"/>
  <c r="H61" i="17" s="1"/>
  <c r="K60" i="17"/>
  <c r="I60" i="17" a="1"/>
  <c r="I60" i="17" s="1"/>
  <c r="H60" i="17" a="1"/>
  <c r="H60" i="17" s="1"/>
  <c r="K59" i="17"/>
  <c r="I59" i="17" a="1"/>
  <c r="I59" i="17" s="1"/>
  <c r="H59" i="17" a="1"/>
  <c r="H59" i="17" s="1"/>
  <c r="K58" i="17"/>
  <c r="I58" i="17" a="1"/>
  <c r="I58" i="17" s="1"/>
  <c r="H58" i="17" a="1"/>
  <c r="H58" i="17" s="1"/>
  <c r="K57" i="17"/>
  <c r="I57" i="17" a="1"/>
  <c r="I57" i="17" s="1"/>
  <c r="H57" i="17" a="1"/>
  <c r="H57" i="17" s="1"/>
  <c r="K56" i="17"/>
  <c r="I56" i="17" a="1"/>
  <c r="I56" i="17" s="1"/>
  <c r="H56" i="17" a="1"/>
  <c r="H56" i="17" s="1"/>
  <c r="K55" i="17"/>
  <c r="I55" i="17" a="1"/>
  <c r="I55" i="17" s="1"/>
  <c r="H55" i="17" a="1"/>
  <c r="H55" i="17" s="1"/>
  <c r="K54" i="17"/>
  <c r="I54" i="17" a="1"/>
  <c r="I54" i="17" s="1"/>
  <c r="H54" i="17" a="1"/>
  <c r="H54" i="17" s="1"/>
  <c r="K53" i="17"/>
  <c r="I53" i="17" a="1"/>
  <c r="I53" i="17" s="1"/>
  <c r="H53" i="17" a="1"/>
  <c r="H53" i="17" s="1"/>
  <c r="K52" i="17"/>
  <c r="I52" i="17" a="1"/>
  <c r="I52" i="17" s="1"/>
  <c r="H52" i="17" a="1"/>
  <c r="H52" i="17" s="1"/>
  <c r="K51" i="17"/>
  <c r="I51" i="17" a="1"/>
  <c r="I51" i="17" s="1"/>
  <c r="H51" i="17" a="1"/>
  <c r="H51" i="17" s="1"/>
  <c r="K50" i="17"/>
  <c r="I50" i="17" a="1"/>
  <c r="I50" i="17" s="1"/>
  <c r="H50" i="17" a="1"/>
  <c r="H50" i="17" s="1"/>
  <c r="K49" i="17"/>
  <c r="I49" i="17" a="1"/>
  <c r="I49" i="17" s="1"/>
  <c r="H49" i="17" a="1"/>
  <c r="H49" i="17" s="1"/>
  <c r="K48" i="17"/>
  <c r="I48" i="17" a="1"/>
  <c r="I48" i="17" s="1"/>
  <c r="H48" i="17" a="1"/>
  <c r="H48" i="17" s="1"/>
  <c r="K47" i="17"/>
  <c r="I47" i="17" a="1"/>
  <c r="I47" i="17" s="1"/>
  <c r="H47" i="17" a="1"/>
  <c r="H47" i="17" s="1"/>
  <c r="K46" i="17"/>
  <c r="I46" i="17" a="1"/>
  <c r="I46" i="17" s="1"/>
  <c r="H46" i="17" a="1"/>
  <c r="H46" i="17" s="1"/>
  <c r="K45" i="17"/>
  <c r="I45" i="17" a="1"/>
  <c r="I45" i="17" s="1"/>
  <c r="H45" i="17" a="1"/>
  <c r="H45" i="17" s="1"/>
  <c r="K44" i="17"/>
  <c r="I44" i="17" a="1"/>
  <c r="I44" i="17" s="1"/>
  <c r="H44" i="17" a="1"/>
  <c r="H44" i="17" s="1"/>
  <c r="K43" i="17"/>
  <c r="I43" i="17" a="1"/>
  <c r="I43" i="17" s="1"/>
  <c r="H43" i="17" a="1"/>
  <c r="H43" i="17" s="1"/>
  <c r="K42" i="17"/>
  <c r="I42" i="17" a="1"/>
  <c r="I42" i="17" s="1"/>
  <c r="H42" i="17" a="1"/>
  <c r="H42" i="17" s="1"/>
  <c r="K41" i="17"/>
  <c r="I41" i="17" a="1"/>
  <c r="I41" i="17" s="1"/>
  <c r="H41" i="17" a="1"/>
  <c r="H41" i="17" s="1"/>
  <c r="K40" i="17"/>
  <c r="I40" i="17" a="1"/>
  <c r="I40" i="17" s="1"/>
  <c r="H40" i="17" a="1"/>
  <c r="H40" i="17" s="1"/>
  <c r="K39" i="17"/>
  <c r="I39" i="17" a="1"/>
  <c r="I39" i="17" s="1"/>
  <c r="H39" i="17" a="1"/>
  <c r="H39" i="17" s="1"/>
  <c r="K38" i="17"/>
  <c r="I38" i="17" a="1"/>
  <c r="I38" i="17" s="1"/>
  <c r="H38" i="17" a="1"/>
  <c r="H38" i="17" s="1"/>
  <c r="K37" i="17"/>
  <c r="I37" i="17" a="1"/>
  <c r="I37" i="17" s="1"/>
  <c r="H37" i="17" a="1"/>
  <c r="H37" i="17" s="1"/>
  <c r="K36" i="17"/>
  <c r="I36" i="17" a="1"/>
  <c r="I36" i="17" s="1"/>
  <c r="H36" i="17" a="1"/>
  <c r="H36" i="17" s="1"/>
  <c r="K35" i="17"/>
  <c r="I35" i="17" a="1"/>
  <c r="I35" i="17" s="1"/>
  <c r="H35" i="17" a="1"/>
  <c r="H35" i="17" s="1"/>
  <c r="K34" i="17"/>
  <c r="I34" i="17" a="1"/>
  <c r="I34" i="17" s="1"/>
  <c r="H34" i="17" a="1"/>
  <c r="H34" i="17" s="1"/>
  <c r="K33" i="17"/>
  <c r="I33" i="17" a="1"/>
  <c r="I33" i="17" s="1"/>
  <c r="H33" i="17" a="1"/>
  <c r="H33" i="17" s="1"/>
  <c r="K32" i="17"/>
  <c r="I32" i="17" a="1"/>
  <c r="I32" i="17" s="1"/>
  <c r="H32" i="17" a="1"/>
  <c r="H32" i="17" s="1"/>
  <c r="K31" i="17"/>
  <c r="I31" i="17" a="1"/>
  <c r="I31" i="17" s="1"/>
  <c r="H31" i="17" a="1"/>
  <c r="H31" i="17" s="1"/>
  <c r="K30" i="17"/>
  <c r="I30" i="17" a="1"/>
  <c r="I30" i="17" s="1"/>
  <c r="H30" i="17" a="1"/>
  <c r="H30" i="17" s="1"/>
  <c r="K29" i="17"/>
  <c r="I29" i="17" a="1"/>
  <c r="I29" i="17" s="1"/>
  <c r="H29" i="17" a="1"/>
  <c r="H29" i="17" s="1"/>
  <c r="K28" i="17"/>
  <c r="I28" i="17" a="1"/>
  <c r="I28" i="17" s="1"/>
  <c r="H28" i="17" a="1"/>
  <c r="H28" i="17" s="1"/>
  <c r="K27" i="17"/>
  <c r="I27" i="17" a="1"/>
  <c r="I27" i="17" s="1"/>
  <c r="H27" i="17" a="1"/>
  <c r="H27" i="17" s="1"/>
  <c r="K26" i="17"/>
  <c r="I26" i="17" a="1"/>
  <c r="I26" i="17" s="1"/>
  <c r="H26" i="17" a="1"/>
  <c r="H26" i="17" s="1"/>
  <c r="K25" i="17"/>
  <c r="I25" i="17" a="1"/>
  <c r="I25" i="17" s="1"/>
  <c r="H25" i="17" a="1"/>
  <c r="H25" i="17" s="1"/>
  <c r="K24" i="17"/>
  <c r="I24" i="17" a="1"/>
  <c r="I24" i="17" s="1"/>
  <c r="H24" i="17" a="1"/>
  <c r="H24" i="17" s="1"/>
  <c r="K23" i="17"/>
  <c r="I23" i="17" a="1"/>
  <c r="I23" i="17" s="1"/>
  <c r="H23" i="17" a="1"/>
  <c r="H23" i="17" s="1"/>
  <c r="K22" i="17"/>
  <c r="I22" i="17" a="1"/>
  <c r="I22" i="17" s="1"/>
  <c r="H22" i="17" a="1"/>
  <c r="H22" i="17" s="1"/>
  <c r="K21" i="17"/>
  <c r="I21" i="17" a="1"/>
  <c r="I21" i="17" s="1"/>
  <c r="H21" i="17" a="1"/>
  <c r="H21" i="17" s="1"/>
  <c r="K20" i="17"/>
  <c r="I20" i="17" a="1"/>
  <c r="I20" i="17" s="1"/>
  <c r="H20" i="17" a="1"/>
  <c r="H20" i="17" s="1"/>
  <c r="K19" i="17"/>
  <c r="I19" i="17" a="1"/>
  <c r="I19" i="17" s="1"/>
  <c r="H19" i="17" a="1"/>
  <c r="H19" i="17" s="1"/>
  <c r="K18" i="17"/>
  <c r="I18" i="17" a="1"/>
  <c r="I18" i="17" s="1"/>
  <c r="H18" i="17" a="1"/>
  <c r="H18" i="17" s="1"/>
  <c r="K17" i="17"/>
  <c r="H17" i="17" a="1"/>
  <c r="H17" i="17" s="1"/>
  <c r="K16" i="17"/>
  <c r="I16" i="17" a="1"/>
  <c r="I16" i="17" s="1"/>
  <c r="H16" i="17" a="1"/>
  <c r="H16" i="17" s="1"/>
  <c r="K15" i="17"/>
  <c r="I15" i="17" a="1"/>
  <c r="I15" i="17" s="1"/>
  <c r="H15" i="17" a="1"/>
  <c r="H15" i="17" s="1"/>
  <c r="K14" i="17"/>
  <c r="I14" i="17" a="1"/>
  <c r="I14" i="17" s="1"/>
  <c r="H14" i="17" a="1"/>
  <c r="H14" i="17" s="1"/>
  <c r="K13" i="17"/>
  <c r="I13" i="17" a="1"/>
  <c r="I13" i="17" s="1"/>
  <c r="H13" i="17" a="1"/>
  <c r="H13" i="17" s="1"/>
  <c r="K12" i="17"/>
  <c r="I12" i="17" a="1"/>
  <c r="I12" i="17" s="1"/>
  <c r="H12" i="17" a="1"/>
  <c r="H12" i="17" s="1"/>
  <c r="K11" i="17"/>
  <c r="I11" i="17" a="1"/>
  <c r="I11" i="17" s="1"/>
  <c r="H11" i="17" a="1"/>
  <c r="H11" i="17" s="1"/>
  <c r="K10" i="17"/>
  <c r="I10" i="17" a="1"/>
  <c r="I10" i="17" s="1"/>
  <c r="H10" i="17" a="1"/>
  <c r="H10" i="17" s="1"/>
  <c r="K9" i="17"/>
  <c r="I9" i="17" a="1"/>
  <c r="I9" i="17" s="1"/>
  <c r="H9" i="17" a="1"/>
  <c r="H9" i="17" s="1"/>
  <c r="K8" i="17"/>
  <c r="I8" i="17" a="1"/>
  <c r="I8" i="17" s="1"/>
  <c r="H8" i="17" a="1"/>
  <c r="H8" i="17" s="1"/>
  <c r="K7" i="17"/>
  <c r="I7" i="17" a="1"/>
  <c r="I7" i="17" s="1"/>
  <c r="H7" i="17" a="1"/>
  <c r="H7" i="17" s="1"/>
  <c r="K6" i="17"/>
  <c r="I6" i="17" a="1"/>
  <c r="I6" i="17" s="1"/>
  <c r="H6" i="17" a="1"/>
  <c r="H6" i="17" s="1"/>
  <c r="L7" i="17" l="1"/>
  <c r="M7" i="17" s="1" a="1"/>
  <c r="M7" i="17" s="1"/>
  <c r="L22" i="17"/>
  <c r="M22" i="17" s="1" a="1"/>
  <c r="M22" i="17" s="1"/>
  <c r="L62" i="17"/>
  <c r="M62" i="17" s="1" a="1"/>
  <c r="M62" i="17" s="1"/>
  <c r="L82" i="17"/>
  <c r="M82" i="17" s="1" a="1"/>
  <c r="M82" i="17" s="1"/>
  <c r="L84" i="17"/>
  <c r="M84" i="17" s="1" a="1"/>
  <c r="M84" i="17" s="1"/>
  <c r="L21" i="17"/>
  <c r="M21" i="17" s="1" a="1"/>
  <c r="M21" i="17" s="1"/>
  <c r="L61" i="17"/>
  <c r="M61" i="17" s="1" a="1"/>
  <c r="M61" i="17" s="1"/>
  <c r="L79" i="17"/>
  <c r="M79" i="17" s="1" a="1"/>
  <c r="M79" i="17" s="1"/>
  <c r="L94" i="17"/>
  <c r="M94" i="17" s="1" a="1"/>
  <c r="M94" i="17" s="1"/>
  <c r="L89" i="17"/>
  <c r="M89" i="17" s="1" a="1"/>
  <c r="M89" i="17" s="1"/>
  <c r="L51" i="17"/>
  <c r="M51" i="17" s="1" a="1"/>
  <c r="M51" i="17" s="1"/>
  <c r="L86" i="17"/>
  <c r="M86" i="17" s="1" a="1"/>
  <c r="M86" i="17" s="1"/>
  <c r="L12" i="17"/>
  <c r="M12" i="17" s="1" a="1"/>
  <c r="M12" i="17" s="1"/>
  <c r="L23" i="17"/>
  <c r="M23" i="17" s="1" a="1"/>
  <c r="M23" i="17" s="1"/>
  <c r="L88" i="17"/>
  <c r="M88" i="17" s="1" a="1"/>
  <c r="M88" i="17" s="1"/>
  <c r="L26" i="17"/>
  <c r="M26" i="17" s="1" a="1"/>
  <c r="M26" i="17" s="1"/>
  <c r="L56" i="17"/>
  <c r="M56" i="17" s="1" a="1"/>
  <c r="M56" i="17" s="1"/>
  <c r="L91" i="17"/>
  <c r="M91" i="17" s="1" a="1"/>
  <c r="M91" i="17" s="1"/>
  <c r="L17" i="17"/>
  <c r="M17" i="17" s="1" a="1"/>
  <c r="M17" i="17" s="1"/>
  <c r="L67" i="17"/>
  <c r="M67" i="17" s="1" a="1"/>
  <c r="M67" i="17" s="1"/>
  <c r="L58" i="17"/>
  <c r="M58" i="17" s="1" a="1"/>
  <c r="M58" i="17" s="1"/>
  <c r="L31" i="17"/>
  <c r="M31" i="17" s="1" a="1"/>
  <c r="M31" i="17" s="1"/>
  <c r="L72" i="17"/>
  <c r="M72" i="17" s="1" a="1"/>
  <c r="M72" i="17" s="1"/>
  <c r="L28" i="17"/>
  <c r="M28" i="17" s="1" a="1"/>
  <c r="M28" i="17" s="1"/>
  <c r="L83" i="17"/>
  <c r="M83" i="17" s="1" a="1"/>
  <c r="M83" i="17" s="1"/>
  <c r="L34" i="17"/>
  <c r="M34" i="17" s="1" a="1"/>
  <c r="M34" i="17" s="1"/>
  <c r="L59" i="17"/>
  <c r="M59" i="17" s="1" a="1"/>
  <c r="M59" i="17" s="1"/>
  <c r="L16" i="17"/>
  <c r="M16" i="17" s="1" a="1"/>
  <c r="M16" i="17" s="1"/>
  <c r="L41" i="17"/>
  <c r="M41" i="17" s="1" a="1"/>
  <c r="M41" i="17" s="1"/>
  <c r="L66" i="17"/>
  <c r="M66" i="17" s="1" a="1"/>
  <c r="M66" i="17" s="1"/>
  <c r="L76" i="17"/>
  <c r="M76" i="17" s="1" a="1"/>
  <c r="M76" i="17" s="1"/>
  <c r="L42" i="17"/>
  <c r="M42" i="17" s="1" a="1"/>
  <c r="M42" i="17" s="1"/>
  <c r="L38" i="17"/>
  <c r="M38" i="17" s="1" a="1"/>
  <c r="M38" i="17" s="1"/>
  <c r="L68" i="17"/>
  <c r="M68" i="17" s="1" a="1"/>
  <c r="M68" i="17" s="1"/>
  <c r="L19" i="17"/>
  <c r="M19" i="17" s="1" a="1"/>
  <c r="M19" i="17" s="1"/>
  <c r="L29" i="17"/>
  <c r="M29" i="17" s="1" a="1"/>
  <c r="M29" i="17" s="1"/>
  <c r="L44" i="17"/>
  <c r="M44" i="17" s="1" a="1"/>
  <c r="M44" i="17" s="1"/>
  <c r="L54" i="17"/>
  <c r="M54" i="17" s="1" a="1"/>
  <c r="M54" i="17" s="1"/>
  <c r="L69" i="17"/>
  <c r="M69" i="17" s="1" a="1"/>
  <c r="M69" i="17" s="1"/>
  <c r="L32" i="17"/>
  <c r="M32" i="17" s="1" a="1"/>
  <c r="M32" i="17" s="1"/>
  <c r="L57" i="17"/>
  <c r="M57" i="17" s="1" a="1"/>
  <c r="M57" i="17" s="1"/>
  <c r="L87" i="17"/>
  <c r="M87" i="17" s="1" a="1"/>
  <c r="M87" i="17" s="1"/>
  <c r="L18" i="17"/>
  <c r="M18" i="17" s="1" a="1"/>
  <c r="M18" i="17" s="1"/>
  <c r="L48" i="17"/>
  <c r="M48" i="17" s="1" a="1"/>
  <c r="M48" i="17" s="1"/>
  <c r="L78" i="17"/>
  <c r="M78" i="17" s="1" a="1"/>
  <c r="M78" i="17" s="1"/>
  <c r="L24" i="17"/>
  <c r="M24" i="17" s="1" a="1"/>
  <c r="M24" i="17" s="1"/>
  <c r="L39" i="17"/>
  <c r="M39" i="17" s="1" a="1"/>
  <c r="M39" i="17" s="1"/>
  <c r="L49" i="17"/>
  <c r="M49" i="17" s="1" a="1"/>
  <c r="M49" i="17" s="1"/>
  <c r="L64" i="17"/>
  <c r="M64" i="17" s="1" a="1"/>
  <c r="M64" i="17" s="1"/>
  <c r="L74" i="17"/>
  <c r="M74" i="17" s="1" a="1"/>
  <c r="M74" i="17" s="1"/>
  <c r="L46" i="17"/>
  <c r="M46" i="17" s="1" a="1"/>
  <c r="M46" i="17" s="1"/>
  <c r="L81" i="17"/>
  <c r="M81" i="17" s="1" a="1"/>
  <c r="M81" i="17" s="1"/>
  <c r="L47" i="17"/>
  <c r="M47" i="17" s="1" a="1"/>
  <c r="M47" i="17" s="1"/>
  <c r="L8" i="17"/>
  <c r="M8" i="17" s="1" a="1"/>
  <c r="M8" i="17" s="1"/>
  <c r="L63" i="17"/>
  <c r="M63" i="17" s="1" a="1"/>
  <c r="M63" i="17" s="1"/>
  <c r="L14" i="17"/>
  <c r="M14" i="17" s="1" a="1"/>
  <c r="M14" i="17" s="1"/>
  <c r="L11" i="17"/>
  <c r="M11" i="17" s="1" a="1"/>
  <c r="M11" i="17" s="1"/>
  <c r="L36" i="17"/>
  <c r="M36" i="17" s="1" a="1"/>
  <c r="M36" i="17" s="1"/>
  <c r="L71" i="17"/>
  <c r="M71" i="17" s="1" a="1"/>
  <c r="M71" i="17" s="1"/>
  <c r="L37" i="17"/>
  <c r="M37" i="17" s="1" a="1"/>
  <c r="M37" i="17" s="1"/>
  <c r="L77" i="17"/>
  <c r="M77" i="17" s="1" a="1"/>
  <c r="M77" i="17" s="1"/>
  <c r="L33" i="17"/>
  <c r="M33" i="17" s="1" a="1"/>
  <c r="M33" i="17" s="1"/>
  <c r="L53" i="17"/>
  <c r="M53" i="17" s="1" a="1"/>
  <c r="M53" i="17" s="1"/>
  <c r="L93" i="17"/>
  <c r="M93" i="17" s="1" a="1"/>
  <c r="M93" i="17" s="1"/>
  <c r="L9" i="17"/>
  <c r="M9" i="17" s="1" a="1"/>
  <c r="M9" i="17" s="1"/>
  <c r="L15" i="17"/>
  <c r="M15" i="17" s="1" a="1"/>
  <c r="M15" i="17" s="1"/>
  <c r="L20" i="17"/>
  <c r="M20" i="17" s="1" a="1"/>
  <c r="M20" i="17" s="1"/>
  <c r="L25" i="17"/>
  <c r="M25" i="17" s="1" a="1"/>
  <c r="M25" i="17" s="1"/>
  <c r="L30" i="17"/>
  <c r="M30" i="17" s="1" a="1"/>
  <c r="M30" i="17" s="1"/>
  <c r="L35" i="17"/>
  <c r="M35" i="17" s="1" a="1"/>
  <c r="M35" i="17" s="1"/>
  <c r="L40" i="17"/>
  <c r="M40" i="17" s="1" a="1"/>
  <c r="M40" i="17" s="1"/>
  <c r="L45" i="17"/>
  <c r="M45" i="17" s="1" a="1"/>
  <c r="M45" i="17" s="1"/>
  <c r="L50" i="17"/>
  <c r="M50" i="17" s="1" a="1"/>
  <c r="M50" i="17" s="1"/>
  <c r="L55" i="17"/>
  <c r="M55" i="17" s="1" a="1"/>
  <c r="M55" i="17" s="1"/>
  <c r="L60" i="17"/>
  <c r="M60" i="17" s="1" a="1"/>
  <c r="M60" i="17" s="1"/>
  <c r="L65" i="17"/>
  <c r="M65" i="17" s="1" a="1"/>
  <c r="M65" i="17" s="1"/>
  <c r="L70" i="17"/>
  <c r="M70" i="17" s="1" a="1"/>
  <c r="M70" i="17" s="1"/>
  <c r="L75" i="17"/>
  <c r="M75" i="17" s="1" a="1"/>
  <c r="M75" i="17" s="1"/>
  <c r="L80" i="17"/>
  <c r="M80" i="17" s="1" a="1"/>
  <c r="M80" i="17" s="1"/>
  <c r="L85" i="17"/>
  <c r="M85" i="17" s="1" a="1"/>
  <c r="M85" i="17" s="1"/>
  <c r="L90" i="17"/>
  <c r="M90" i="17" s="1" a="1"/>
  <c r="M90" i="17" s="1"/>
  <c r="L95" i="17"/>
  <c r="M95" i="17" s="1" a="1"/>
  <c r="M95" i="17" s="1"/>
  <c r="L27" i="17"/>
  <c r="M27" i="17" s="1" a="1"/>
  <c r="M27" i="17" s="1"/>
  <c r="L52" i="17"/>
  <c r="M52" i="17" s="1" a="1"/>
  <c r="M52" i="17" s="1"/>
  <c r="L92" i="17"/>
  <c r="M92" i="17" s="1" a="1"/>
  <c r="M92" i="17" s="1"/>
  <c r="L13" i="17"/>
  <c r="M13" i="17" s="1" a="1"/>
  <c r="M13" i="17" s="1"/>
  <c r="L43" i="17"/>
  <c r="M43" i="17" s="1" a="1"/>
  <c r="M43" i="17" s="1"/>
  <c r="L73" i="17"/>
  <c r="M73" i="17" s="1" a="1"/>
  <c r="M73" i="17" s="1"/>
  <c r="L10" i="17"/>
  <c r="M10" i="17" s="1" a="1"/>
  <c r="M10" i="17" s="1"/>
  <c r="J16" i="17"/>
  <c r="J41" i="17"/>
  <c r="J56" i="17"/>
  <c r="J81" i="17"/>
  <c r="J7" i="17"/>
  <c r="J27" i="17"/>
  <c r="J47" i="17"/>
  <c r="J72" i="17"/>
  <c r="J53" i="17"/>
  <c r="J78" i="17"/>
  <c r="J93" i="17"/>
  <c r="J14" i="17"/>
  <c r="J34" i="17"/>
  <c r="J59" i="17"/>
  <c r="J79" i="17"/>
  <c r="J31" i="17"/>
  <c r="J61" i="17"/>
  <c r="J86" i="17"/>
  <c r="J22" i="17"/>
  <c r="J52" i="17"/>
  <c r="J77" i="17"/>
  <c r="J18" i="17"/>
  <c r="J43" i="17"/>
  <c r="J68" i="17"/>
  <c r="J9" i="17"/>
  <c r="J39" i="17"/>
  <c r="J64" i="17"/>
  <c r="J36" i="17"/>
  <c r="J66" i="17"/>
  <c r="J37" i="17"/>
  <c r="J67" i="17"/>
  <c r="J92" i="17"/>
  <c r="J28" i="17"/>
  <c r="J58" i="17"/>
  <c r="J88" i="17"/>
  <c r="J24" i="17"/>
  <c r="J54" i="17"/>
  <c r="J84" i="17"/>
  <c r="J20" i="17"/>
  <c r="J30" i="17"/>
  <c r="J35" i="17"/>
  <c r="J40" i="17"/>
  <c r="J45" i="17"/>
  <c r="J50" i="17"/>
  <c r="J55" i="17"/>
  <c r="J60" i="17"/>
  <c r="J65" i="17"/>
  <c r="J70" i="17"/>
  <c r="J75" i="17"/>
  <c r="J80" i="17"/>
  <c r="J85" i="17"/>
  <c r="J90" i="17"/>
  <c r="J95" i="17"/>
  <c r="J21" i="17"/>
  <c r="J46" i="17"/>
  <c r="J71" i="17"/>
  <c r="J91" i="17"/>
  <c r="J17" i="17"/>
  <c r="J42" i="17"/>
  <c r="J62" i="17"/>
  <c r="J87" i="17"/>
  <c r="J13" i="17"/>
  <c r="J38" i="17"/>
  <c r="J63" i="17"/>
  <c r="J83" i="17"/>
  <c r="J29" i="17"/>
  <c r="J49" i="17"/>
  <c r="J69" i="17"/>
  <c r="J89" i="17"/>
  <c r="J15" i="17"/>
  <c r="J11" i="17"/>
  <c r="J26" i="17"/>
  <c r="J51" i="17"/>
  <c r="J12" i="17"/>
  <c r="J32" i="17"/>
  <c r="J57" i="17"/>
  <c r="J82" i="17"/>
  <c r="J23" i="17"/>
  <c r="J48" i="17"/>
  <c r="J73" i="17"/>
  <c r="J19" i="17"/>
  <c r="J44" i="17"/>
  <c r="J74" i="17"/>
  <c r="J94" i="17"/>
  <c r="J10" i="17"/>
  <c r="J25" i="17"/>
  <c r="J33" i="17"/>
  <c r="J8" i="17"/>
  <c r="J76" i="17"/>
  <c r="P100" i="16" l="1"/>
  <c r="P99" i="16"/>
  <c r="P98" i="16"/>
  <c r="P97" i="16"/>
  <c r="P96" i="16"/>
  <c r="P95" i="16"/>
  <c r="P94" i="16"/>
  <c r="P93" i="16"/>
  <c r="P92" i="16"/>
  <c r="P91" i="16"/>
  <c r="P90" i="16"/>
  <c r="P89" i="16"/>
  <c r="P88" i="16"/>
  <c r="P87" i="16"/>
  <c r="P86" i="16"/>
  <c r="P85" i="16"/>
  <c r="P84" i="16"/>
  <c r="P83" i="16"/>
  <c r="P82" i="16"/>
  <c r="P81" i="16"/>
  <c r="P80" i="16"/>
  <c r="P79" i="16"/>
  <c r="P78" i="16"/>
  <c r="P77" i="16"/>
  <c r="P76" i="16"/>
  <c r="P75" i="16"/>
  <c r="P74" i="16"/>
  <c r="P73" i="16"/>
  <c r="P72" i="16"/>
  <c r="P71" i="16"/>
  <c r="P70" i="16"/>
  <c r="P51" i="16"/>
  <c r="P50" i="16"/>
  <c r="P49" i="16"/>
  <c r="P48" i="16"/>
  <c r="P47" i="16"/>
  <c r="P46" i="16"/>
  <c r="P45" i="16"/>
  <c r="P44" i="16"/>
  <c r="P43" i="16"/>
  <c r="P42" i="16"/>
  <c r="P41" i="16"/>
  <c r="P40" i="16"/>
  <c r="P39" i="16"/>
  <c r="P38" i="16"/>
  <c r="P37" i="16"/>
  <c r="P36" i="16"/>
  <c r="P35" i="16"/>
  <c r="P34" i="16"/>
  <c r="P33" i="16"/>
  <c r="P32" i="16"/>
  <c r="P31" i="16"/>
  <c r="P30" i="16"/>
  <c r="P29" i="16"/>
  <c r="P28" i="16"/>
  <c r="P27" i="16"/>
  <c r="P26" i="16"/>
  <c r="P25" i="16"/>
  <c r="P24" i="16"/>
  <c r="P23" i="16"/>
  <c r="P22" i="16"/>
  <c r="P21" i="16"/>
  <c r="P20" i="16"/>
  <c r="P19" i="16"/>
  <c r="P18" i="16"/>
  <c r="P17" i="16"/>
  <c r="P16" i="16"/>
  <c r="P15" i="16"/>
  <c r="P14" i="16"/>
  <c r="P13" i="16"/>
  <c r="P12" i="16"/>
  <c r="P11" i="16"/>
  <c r="P10" i="16"/>
  <c r="P9" i="16"/>
  <c r="P8" i="16"/>
  <c r="P7" i="16"/>
  <c r="R18" i="16" l="1"/>
  <c r="S18" i="16" s="1"/>
  <c r="R43" i="16"/>
  <c r="S43" i="16" s="1"/>
  <c r="R41" i="16"/>
  <c r="S41" i="16" s="1"/>
  <c r="R83" i="16"/>
  <c r="S83" i="16" s="1"/>
  <c r="U47" i="16"/>
  <c r="R31" i="16"/>
  <c r="S31" i="16" s="1"/>
  <c r="R48" i="16"/>
  <c r="S48" i="16" s="1"/>
  <c r="R13" i="16"/>
  <c r="S13" i="16" s="1"/>
  <c r="R47" i="16"/>
  <c r="S47" i="16" s="1"/>
  <c r="R25" i="16"/>
  <c r="S25" i="16" s="1"/>
  <c r="U25" i="16"/>
  <c r="R37" i="16"/>
  <c r="S37" i="16" s="1"/>
  <c r="R9" i="16"/>
  <c r="S9" i="16" s="1"/>
  <c r="U37" i="16"/>
  <c r="U9" i="16"/>
  <c r="R91" i="16"/>
  <c r="S91" i="16" s="1"/>
  <c r="R15" i="16"/>
  <c r="S15" i="16" s="1"/>
  <c r="R38" i="16"/>
  <c r="S38" i="16" s="1"/>
  <c r="U43" i="16"/>
  <c r="R73" i="16"/>
  <c r="S73" i="16" s="1"/>
  <c r="U79" i="16"/>
  <c r="U85" i="16"/>
  <c r="U91" i="16"/>
  <c r="U15" i="16"/>
  <c r="R21" i="16"/>
  <c r="S21" i="16" s="1"/>
  <c r="U73" i="16"/>
  <c r="U13" i="16"/>
  <c r="U83" i="16"/>
  <c r="U21" i="16"/>
  <c r="U27" i="16"/>
  <c r="U33" i="16"/>
  <c r="R11" i="16"/>
  <c r="S11" i="16" s="1"/>
  <c r="R45" i="16"/>
  <c r="S45" i="16" s="1"/>
  <c r="R17" i="16"/>
  <c r="S17" i="16" s="1"/>
  <c r="U45" i="16"/>
  <c r="R75" i="16"/>
  <c r="S75" i="16" s="1"/>
  <c r="R23" i="16"/>
  <c r="S23" i="16" s="1"/>
  <c r="U75" i="16"/>
  <c r="U23" i="16"/>
  <c r="U35" i="16"/>
  <c r="R27" i="16"/>
  <c r="S27" i="16" s="1"/>
  <c r="R33" i="16"/>
  <c r="S33" i="16" s="1"/>
  <c r="R50" i="16"/>
  <c r="S50" i="16" s="1"/>
  <c r="R28" i="16"/>
  <c r="S28" i="16" s="1"/>
  <c r="R34" i="16"/>
  <c r="S34" i="16" s="1"/>
  <c r="U11" i="16"/>
  <c r="R51" i="16"/>
  <c r="S51" i="16" s="1"/>
  <c r="U17" i="16"/>
  <c r="R35" i="16"/>
  <c r="S35" i="16" s="1"/>
  <c r="R99" i="16"/>
  <c r="S99" i="16" s="1"/>
  <c r="R87" i="16"/>
  <c r="S87" i="16" s="1"/>
  <c r="R93" i="16"/>
  <c r="S93" i="16" s="1"/>
  <c r="U99" i="16"/>
  <c r="R81" i="16"/>
  <c r="S81" i="16" s="1"/>
  <c r="U87" i="16"/>
  <c r="U93" i="16"/>
  <c r="U81" i="16"/>
  <c r="R95" i="16"/>
  <c r="S95" i="16" s="1"/>
  <c r="R89" i="16"/>
  <c r="S89" i="16" s="1"/>
  <c r="U95" i="16"/>
  <c r="R71" i="16"/>
  <c r="S71" i="16" s="1"/>
  <c r="R77" i="16"/>
  <c r="S77" i="16" s="1"/>
  <c r="U89" i="16"/>
  <c r="U71" i="16"/>
  <c r="U77" i="16"/>
  <c r="R97" i="16"/>
  <c r="S97" i="16" s="1"/>
  <c r="R79" i="16"/>
  <c r="S79" i="16" s="1"/>
  <c r="R85" i="16"/>
  <c r="S85" i="16" s="1"/>
  <c r="U97" i="16"/>
  <c r="R92" i="16"/>
  <c r="S92" i="16" s="1"/>
  <c r="R76" i="16"/>
  <c r="S76" i="16" s="1"/>
  <c r="U92" i="16"/>
  <c r="U76" i="16"/>
  <c r="U84" i="16"/>
  <c r="U98" i="16"/>
  <c r="R74" i="16"/>
  <c r="S74" i="16" s="1"/>
  <c r="R82" i="16"/>
  <c r="S82" i="16" s="1"/>
  <c r="R90" i="16"/>
  <c r="S90" i="16" s="1"/>
  <c r="U74" i="16"/>
  <c r="U82" i="16"/>
  <c r="U90" i="16"/>
  <c r="R96" i="16"/>
  <c r="S96" i="16" s="1"/>
  <c r="R84" i="16"/>
  <c r="S84" i="16" s="1"/>
  <c r="R98" i="16"/>
  <c r="S98" i="16" s="1"/>
  <c r="U96" i="16"/>
  <c r="R72" i="16"/>
  <c r="S72" i="16" s="1"/>
  <c r="R80" i="16"/>
  <c r="S80" i="16" s="1"/>
  <c r="R88" i="16"/>
  <c r="S88" i="16" s="1"/>
  <c r="U72" i="16"/>
  <c r="U80" i="16"/>
  <c r="U88" i="16"/>
  <c r="R94" i="16"/>
  <c r="S94" i="16" s="1"/>
  <c r="U94" i="16"/>
  <c r="R70" i="16"/>
  <c r="S70" i="16" s="1"/>
  <c r="R78" i="16"/>
  <c r="S78" i="16" s="1"/>
  <c r="R86" i="16"/>
  <c r="S86" i="16" s="1"/>
  <c r="R100" i="16"/>
  <c r="S100" i="16" s="1"/>
  <c r="U70" i="16"/>
  <c r="U78" i="16"/>
  <c r="U86" i="16"/>
  <c r="U100" i="16"/>
  <c r="R26" i="16"/>
  <c r="S26" i="16" s="1"/>
  <c r="R16" i="16"/>
  <c r="S16" i="16" s="1"/>
  <c r="R10" i="16"/>
  <c r="S10" i="16" s="1"/>
  <c r="U39" i="16"/>
  <c r="R40" i="16"/>
  <c r="S40" i="16" s="1"/>
  <c r="U48" i="16"/>
  <c r="R44" i="16"/>
  <c r="S44" i="16" s="1"/>
  <c r="U31" i="16"/>
  <c r="R19" i="16"/>
  <c r="S19" i="16" s="1"/>
  <c r="R49" i="16"/>
  <c r="S49" i="16" s="1"/>
  <c r="U19" i="16"/>
  <c r="R32" i="16"/>
  <c r="S32" i="16" s="1"/>
  <c r="U49" i="16"/>
  <c r="R7" i="16"/>
  <c r="S7" i="16" s="1"/>
  <c r="R36" i="16"/>
  <c r="S36" i="16" s="1"/>
  <c r="R22" i="16"/>
  <c r="S22" i="16" s="1"/>
  <c r="R39" i="16"/>
  <c r="S39" i="16" s="1"/>
  <c r="R14" i="16"/>
  <c r="S14" i="16" s="1"/>
  <c r="U18" i="16"/>
  <c r="U7" i="16"/>
  <c r="R20" i="16"/>
  <c r="S20" i="16" s="1"/>
  <c r="R8" i="16"/>
  <c r="S8" i="16" s="1"/>
  <c r="R12" i="16"/>
  <c r="S12" i="16" s="1"/>
  <c r="R24" i="16"/>
  <c r="S24" i="16" s="1"/>
  <c r="U28" i="16"/>
  <c r="U41" i="16"/>
  <c r="U8" i="16"/>
  <c r="R42" i="16"/>
  <c r="S42" i="16" s="1"/>
  <c r="R29" i="16"/>
  <c r="S29" i="16" s="1"/>
  <c r="R46" i="16"/>
  <c r="S46" i="16" s="1"/>
  <c r="U29" i="16"/>
  <c r="R30" i="16"/>
  <c r="S30" i="16" s="1"/>
  <c r="U38" i="16"/>
  <c r="U51" i="16"/>
  <c r="U16" i="16"/>
  <c r="U26" i="16"/>
  <c r="U36" i="16"/>
  <c r="U46" i="16"/>
  <c r="U14" i="16"/>
  <c r="U24" i="16"/>
  <c r="U34" i="16"/>
  <c r="U44" i="16"/>
  <c r="U12" i="16"/>
  <c r="U22" i="16"/>
  <c r="U32" i="16"/>
  <c r="U42" i="16"/>
  <c r="U10" i="16"/>
  <c r="U20" i="16"/>
  <c r="U30" i="16"/>
  <c r="U40" i="16"/>
  <c r="U50" i="16"/>
  <c r="W37" i="22" l="1"/>
  <c r="V37" i="22" a="1"/>
  <c r="V37" i="22" s="1"/>
  <c r="U37" i="22" a="1"/>
  <c r="U37" i="22" s="1"/>
  <c r="S39" i="22"/>
  <c r="S38" i="22"/>
  <c r="S37" i="22"/>
  <c r="S36" i="22"/>
  <c r="AW40" i="22" a="1"/>
  <c r="AW40" i="22" s="1"/>
  <c r="AW39" i="22" a="1"/>
  <c r="AW39" i="22" s="1"/>
  <c r="AW38" i="22" a="1"/>
  <c r="AW38" i="22" s="1"/>
  <c r="AW37" i="22" a="1"/>
  <c r="AW37" i="22" s="1"/>
  <c r="AW35" i="22" a="1"/>
  <c r="AW34" i="22" a="1"/>
  <c r="AV40" i="22"/>
  <c r="AV39" i="22"/>
  <c r="AV38" i="22"/>
  <c r="AV37" i="22"/>
  <c r="AV35" i="22" a="1"/>
  <c r="AV34" i="22" a="1"/>
  <c r="AQ40" i="22" a="1"/>
  <c r="AQ40" i="22" s="1"/>
  <c r="AQ39" i="22" a="1"/>
  <c r="AQ39" i="22" s="1"/>
  <c r="AQ38" i="22" a="1"/>
  <c r="AQ38" i="22" s="1"/>
  <c r="AQ37" i="22" a="1"/>
  <c r="AQ37" i="22" s="1"/>
  <c r="AQ35" i="22" a="1"/>
  <c r="AQ34" i="22" a="1"/>
  <c r="AP40" i="22"/>
  <c r="AP39" i="22"/>
  <c r="AP38" i="22"/>
  <c r="AP37" i="22"/>
  <c r="AP35" i="22" a="1"/>
  <c r="AP34" i="22" a="1"/>
  <c r="AK40" i="22" a="1"/>
  <c r="AK40" i="22" s="1"/>
  <c r="AK39" i="22" a="1"/>
  <c r="AK39" i="22" s="1"/>
  <c r="AK38" i="22" a="1"/>
  <c r="AK38" i="22" s="1"/>
  <c r="AK37" i="22" a="1"/>
  <c r="AK37" i="22" s="1"/>
  <c r="AK35" i="22" a="1"/>
  <c r="AK34" i="22" a="1"/>
  <c r="AJ40" i="22"/>
  <c r="AJ39" i="22"/>
  <c r="AJ38" i="22"/>
  <c r="AJ37" i="22"/>
  <c r="AJ35" i="22" a="1"/>
  <c r="AJ34" i="22" a="1"/>
  <c r="AE40" i="22" a="1"/>
  <c r="AE40" i="22" s="1"/>
  <c r="AE39" i="22" a="1"/>
  <c r="AE39" i="22" s="1"/>
  <c r="AE38" i="22" a="1"/>
  <c r="AE38" i="22" s="1"/>
  <c r="AE37" i="22" a="1"/>
  <c r="AE37" i="22" s="1"/>
  <c r="AE35" i="22" a="1"/>
  <c r="AE34" i="22" a="1"/>
  <c r="AD40" i="22"/>
  <c r="AD39" i="22"/>
  <c r="AD38" i="22"/>
  <c r="AD37" i="22"/>
  <c r="AD36" i="22"/>
  <c r="AD35" i="22" a="1"/>
  <c r="AD34" i="22" a="1"/>
  <c r="AC36" i="22"/>
  <c r="S35" i="22" s="1"/>
  <c r="AC35" i="22"/>
  <c r="S34" i="22" s="1"/>
  <c r="AC34" i="22"/>
  <c r="S33" i="22" s="1"/>
  <c r="AC33" i="22"/>
  <c r="S32" i="22" s="1"/>
  <c r="AC32" i="22"/>
  <c r="S31" i="22" s="1"/>
  <c r="N7" i="30" l="1"/>
  <c r="N6" i="30" s="1"/>
  <c r="M6" i="27" l="1" a="1"/>
  <c r="M6" i="27" s="1"/>
  <c r="S13" i="3"/>
  <c r="Q13" i="3"/>
  <c r="P13" i="3"/>
  <c r="W36" i="22" s="1"/>
  <c r="O13" i="3" a="1"/>
  <c r="O13" i="3" s="1"/>
  <c r="M13" i="3" a="1"/>
  <c r="M13" i="3" s="1"/>
  <c r="L13" i="3" a="1"/>
  <c r="L13" i="3" s="1"/>
  <c r="K13" i="3" a="1"/>
  <c r="K13" i="3" s="1"/>
  <c r="I13" i="3"/>
  <c r="H13" i="3" a="1"/>
  <c r="H13" i="3" s="1"/>
  <c r="G13" i="3" a="1"/>
  <c r="G13" i="3" s="1"/>
  <c r="E13" i="3" a="1"/>
  <c r="E13" i="3" s="1"/>
  <c r="D13" i="3" a="1"/>
  <c r="D13" i="3" s="1"/>
  <c r="C13" i="3"/>
  <c r="B13" i="3"/>
  <c r="U10" i="3"/>
  <c r="S7" i="30"/>
  <c r="S6" i="30"/>
  <c r="S4" i="30"/>
  <c r="S11" i="30"/>
  <c r="S10" i="30"/>
  <c r="S2" i="30"/>
  <c r="U36" i="22" l="1" a="1"/>
  <c r="U36" i="22" s="1"/>
  <c r="V36" i="22"/>
  <c r="V36" i="22" a="1"/>
  <c r="F13" i="3"/>
  <c r="T36" i="22"/>
  <c r="J13" i="3" a="1"/>
  <c r="J13" i="3" s="1"/>
  <c r="N13" i="3" a="1"/>
  <c r="N13" i="3" s="1"/>
  <c r="R13" i="3" a="1"/>
  <c r="R13" i="3" s="1"/>
  <c r="K92" i="20" a="1"/>
  <c r="K92" i="20" s="1"/>
  <c r="K90" i="20" a="1"/>
  <c r="K90" i="20" s="1"/>
  <c r="K86" i="20" a="1"/>
  <c r="K86" i="20" s="1"/>
  <c r="K85" i="20" a="1"/>
  <c r="K85" i="20" s="1"/>
  <c r="K84" i="20" a="1"/>
  <c r="K84" i="20" s="1"/>
  <c r="K79" i="20" a="1"/>
  <c r="K79" i="20" s="1"/>
  <c r="K73" i="20" a="1"/>
  <c r="K73" i="20" s="1"/>
  <c r="K70" i="20" a="1"/>
  <c r="K70" i="20" s="1"/>
  <c r="K68" i="20" a="1"/>
  <c r="K68" i="20" s="1"/>
  <c r="K67" i="20" a="1"/>
  <c r="K67" i="20" s="1"/>
  <c r="K66" i="20" a="1"/>
  <c r="K66" i="20" s="1"/>
  <c r="K65" i="20" a="1"/>
  <c r="K65" i="20" s="1"/>
  <c r="K63" i="20" a="1"/>
  <c r="K63" i="20" s="1"/>
  <c r="K62" i="20" a="1"/>
  <c r="K62" i="20" s="1"/>
  <c r="K60" i="20" a="1"/>
  <c r="K60" i="20" s="1"/>
  <c r="K58" i="20" a="1"/>
  <c r="K58" i="20" s="1"/>
  <c r="K57" i="20" a="1"/>
  <c r="K57" i="20" s="1"/>
  <c r="K50" i="20" a="1"/>
  <c r="K50" i="20" s="1"/>
  <c r="K45" i="20" a="1"/>
  <c r="K45" i="20" s="1"/>
  <c r="K43" i="20" a="1"/>
  <c r="K43" i="20" s="1"/>
  <c r="K42" i="20" a="1"/>
  <c r="K42" i="20" s="1"/>
  <c r="K40" i="20" a="1"/>
  <c r="K40" i="20" s="1"/>
  <c r="K35" i="20" a="1"/>
  <c r="K35" i="20" s="1"/>
  <c r="K30" i="20" a="1"/>
  <c r="K30" i="20" s="1"/>
  <c r="K29" i="20" a="1"/>
  <c r="K29" i="20" s="1"/>
  <c r="K28" i="20" a="1"/>
  <c r="K28" i="20" s="1"/>
  <c r="K25" i="20" a="1"/>
  <c r="K25" i="20" s="1"/>
  <c r="K22" i="20" a="1"/>
  <c r="K22" i="20" s="1"/>
  <c r="K21" i="20" a="1"/>
  <c r="K21" i="20" s="1"/>
  <c r="K19" i="20" a="1"/>
  <c r="K19" i="20" s="1"/>
  <c r="K16" i="20" a="1"/>
  <c r="K16" i="20" s="1"/>
  <c r="K12" i="20" a="1"/>
  <c r="K12" i="20" s="1"/>
  <c r="K11" i="20" a="1"/>
  <c r="K11" i="20" s="1"/>
  <c r="K10" i="20" a="1"/>
  <c r="K10" i="20" s="1"/>
  <c r="K6" i="20" a="1"/>
  <c r="K6" i="20" s="1"/>
  <c r="I92" i="20" a="1"/>
  <c r="I92" i="20" s="1"/>
  <c r="I90" i="20" a="1"/>
  <c r="I90" i="20" s="1"/>
  <c r="I86" i="20" a="1"/>
  <c r="I86" i="20" s="1"/>
  <c r="I85" i="20" a="1"/>
  <c r="I85" i="20" s="1"/>
  <c r="I84" i="20" a="1"/>
  <c r="I84" i="20" s="1"/>
  <c r="I79" i="20" a="1"/>
  <c r="I79" i="20" s="1"/>
  <c r="I73" i="20" a="1"/>
  <c r="I73" i="20" s="1"/>
  <c r="I70" i="20" a="1"/>
  <c r="I70" i="20" s="1"/>
  <c r="I68" i="20" a="1"/>
  <c r="I68" i="20" s="1"/>
  <c r="I67" i="20" a="1"/>
  <c r="I67" i="20" s="1"/>
  <c r="I66" i="20" a="1"/>
  <c r="I66" i="20" s="1"/>
  <c r="I65" i="20" a="1"/>
  <c r="I65" i="20" s="1"/>
  <c r="I63" i="20" a="1"/>
  <c r="I63" i="20" s="1"/>
  <c r="I62" i="20" a="1"/>
  <c r="I62" i="20" s="1"/>
  <c r="I60" i="20" a="1"/>
  <c r="I60" i="20" s="1"/>
  <c r="I58" i="20" a="1"/>
  <c r="I58" i="20" s="1"/>
  <c r="I57" i="20" a="1"/>
  <c r="I57" i="20" s="1"/>
  <c r="I50" i="20" a="1"/>
  <c r="I50" i="20" s="1"/>
  <c r="I45" i="20" a="1"/>
  <c r="I45" i="20" s="1"/>
  <c r="I43" i="20" a="1"/>
  <c r="I43" i="20" s="1"/>
  <c r="I42" i="20" a="1"/>
  <c r="I42" i="20" s="1"/>
  <c r="I40" i="20" a="1"/>
  <c r="I40" i="20" s="1"/>
  <c r="I35" i="20" a="1"/>
  <c r="I35" i="20" s="1"/>
  <c r="I30" i="20" a="1"/>
  <c r="I30" i="20" s="1"/>
  <c r="I29" i="20" a="1"/>
  <c r="I29" i="20" s="1"/>
  <c r="I28" i="20" a="1"/>
  <c r="I28" i="20" s="1"/>
  <c r="I25" i="20" a="1"/>
  <c r="I25" i="20" s="1"/>
  <c r="I22" i="20" a="1"/>
  <c r="I22" i="20" s="1"/>
  <c r="I21" i="20" a="1"/>
  <c r="I21" i="20" s="1"/>
  <c r="I19" i="20" a="1"/>
  <c r="I19" i="20" s="1"/>
  <c r="I16" i="20" a="1"/>
  <c r="I16" i="20" s="1"/>
  <c r="I12" i="20" a="1"/>
  <c r="I12" i="20" s="1"/>
  <c r="I11" i="20" a="1"/>
  <c r="I11" i="20" s="1"/>
  <c r="I10" i="20" a="1"/>
  <c r="I10" i="20" s="1"/>
  <c r="I6" i="20" a="1"/>
  <c r="I6" i="20" s="1"/>
  <c r="H92" i="20" a="1"/>
  <c r="H92" i="20" s="1"/>
  <c r="H90" i="20" a="1"/>
  <c r="H90" i="20" s="1"/>
  <c r="H86" i="20" a="1"/>
  <c r="H86" i="20" s="1"/>
  <c r="H85" i="20" a="1"/>
  <c r="H85" i="20" s="1"/>
  <c r="H84" i="20" a="1"/>
  <c r="H84" i="20" s="1"/>
  <c r="H79" i="20" a="1"/>
  <c r="H79" i="20" s="1"/>
  <c r="H73" i="20" a="1"/>
  <c r="H73" i="20" s="1"/>
  <c r="H70" i="20" a="1"/>
  <c r="H70" i="20" s="1"/>
  <c r="H68" i="20" a="1"/>
  <c r="H68" i="20" s="1"/>
  <c r="H67" i="20" a="1"/>
  <c r="H67" i="20" s="1"/>
  <c r="H66" i="20" a="1"/>
  <c r="H66" i="20" s="1"/>
  <c r="H65" i="20" a="1"/>
  <c r="H65" i="20" s="1"/>
  <c r="H63" i="20" a="1"/>
  <c r="H63" i="20" s="1"/>
  <c r="H62" i="20" a="1"/>
  <c r="H62" i="20" s="1"/>
  <c r="H60" i="20" a="1"/>
  <c r="H60" i="20" s="1"/>
  <c r="H58" i="20" a="1"/>
  <c r="H58" i="20" s="1"/>
  <c r="H57" i="20" a="1"/>
  <c r="H57" i="20" s="1"/>
  <c r="H50" i="20" a="1"/>
  <c r="H50" i="20" s="1"/>
  <c r="H45" i="20" a="1"/>
  <c r="H45" i="20" s="1"/>
  <c r="H43" i="20" a="1"/>
  <c r="H43" i="20" s="1"/>
  <c r="H42" i="20" a="1"/>
  <c r="H42" i="20" s="1"/>
  <c r="H40" i="20" a="1"/>
  <c r="H40" i="20" s="1"/>
  <c r="H35" i="20" a="1"/>
  <c r="H35" i="20" s="1"/>
  <c r="H30" i="20" a="1"/>
  <c r="H30" i="20" s="1"/>
  <c r="H29" i="20" a="1"/>
  <c r="H29" i="20" s="1"/>
  <c r="H28" i="20" a="1"/>
  <c r="H28" i="20" s="1"/>
  <c r="H25" i="20" a="1"/>
  <c r="H25" i="20" s="1"/>
  <c r="H22" i="20" a="1"/>
  <c r="H22" i="20" s="1"/>
  <c r="H21" i="20" a="1"/>
  <c r="H21" i="20" s="1"/>
  <c r="H19" i="20" a="1"/>
  <c r="H19" i="20" s="1"/>
  <c r="H16" i="20" a="1"/>
  <c r="H16" i="20" s="1"/>
  <c r="H12" i="20" a="1"/>
  <c r="H12" i="20" s="1"/>
  <c r="H11" i="20" a="1"/>
  <c r="H11" i="20" s="1"/>
  <c r="H10" i="20" a="1"/>
  <c r="H10" i="20" s="1"/>
  <c r="H6" i="20" a="1"/>
  <c r="H6" i="20" s="1"/>
  <c r="F8" i="22" l="1"/>
  <c r="E8" i="22" l="1"/>
  <c r="L6" i="17"/>
  <c r="M6" i="17" s="1" a="1"/>
  <c r="M6" i="17" s="1"/>
  <c r="AH36" i="22" l="1"/>
  <c r="W16" i="3"/>
  <c r="V16" i="3"/>
  <c r="K80" i="16"/>
  <c r="K78" i="16"/>
  <c r="K48" i="16"/>
  <c r="K47" i="16"/>
  <c r="K37" i="16"/>
  <c r="K36" i="16"/>
  <c r="K33" i="16"/>
  <c r="K30" i="16"/>
  <c r="I80" i="16"/>
  <c r="I78" i="16"/>
  <c r="I48" i="16"/>
  <c r="I47" i="16"/>
  <c r="I37" i="16"/>
  <c r="I36" i="16"/>
  <c r="I33" i="16"/>
  <c r="I30" i="16"/>
  <c r="H80" i="16"/>
  <c r="H78" i="16"/>
  <c r="H48" i="16"/>
  <c r="H47" i="16"/>
  <c r="H37" i="16"/>
  <c r="H36" i="16"/>
  <c r="H33" i="16"/>
  <c r="K100" i="16"/>
  <c r="I98" i="16"/>
  <c r="H98" i="16"/>
  <c r="K97" i="16"/>
  <c r="I97" i="16"/>
  <c r="I95" i="16"/>
  <c r="H94" i="16"/>
  <c r="K91" i="16"/>
  <c r="K90" i="16"/>
  <c r="I89" i="16"/>
  <c r="K88" i="16"/>
  <c r="H88" i="16"/>
  <c r="I87" i="16"/>
  <c r="H86" i="16"/>
  <c r="K85" i="16"/>
  <c r="I85" i="16"/>
  <c r="H85" i="16"/>
  <c r="K84" i="16"/>
  <c r="I84" i="16"/>
  <c r="I77" i="16"/>
  <c r="H77" i="16"/>
  <c r="K76" i="16"/>
  <c r="I75" i="16"/>
  <c r="H75" i="16"/>
  <c r="K74" i="16"/>
  <c r="I74" i="16"/>
  <c r="H74" i="16"/>
  <c r="I73" i="16"/>
  <c r="I71" i="16"/>
  <c r="I70" i="16"/>
  <c r="H70" i="16"/>
  <c r="K49" i="16"/>
  <c r="I49" i="16"/>
  <c r="K45" i="16"/>
  <c r="I44" i="16"/>
  <c r="K43" i="16"/>
  <c r="K42" i="16"/>
  <c r="I42" i="16"/>
  <c r="K40" i="16"/>
  <c r="I40" i="16"/>
  <c r="H40" i="16"/>
  <c r="K39" i="16"/>
  <c r="I39" i="16"/>
  <c r="K35" i="16"/>
  <c r="K32" i="16"/>
  <c r="I29" i="16"/>
  <c r="H29" i="16"/>
  <c r="K28" i="16"/>
  <c r="I28" i="16"/>
  <c r="K26" i="16"/>
  <c r="I26" i="16"/>
  <c r="I25" i="16"/>
  <c r="H25" i="16"/>
  <c r="I23" i="16"/>
  <c r="K22" i="16"/>
  <c r="I22" i="16"/>
  <c r="H22" i="16"/>
  <c r="K21" i="16"/>
  <c r="I20" i="16"/>
  <c r="K19" i="16"/>
  <c r="H19" i="16"/>
  <c r="I17" i="16"/>
  <c r="H17" i="16"/>
  <c r="H16" i="16"/>
  <c r="I15" i="16"/>
  <c r="H15" i="16"/>
  <c r="I13" i="16"/>
  <c r="H12" i="16"/>
  <c r="K11" i="16"/>
  <c r="I10" i="16"/>
  <c r="H10" i="16"/>
  <c r="K9" i="16"/>
  <c r="I9" i="16"/>
  <c r="H9" i="16"/>
  <c r="K8" i="16"/>
  <c r="I8" i="16"/>
  <c r="K6" i="16"/>
  <c r="I6" i="16"/>
  <c r="K94" i="16"/>
  <c r="I94" i="16"/>
  <c r="K93" i="16"/>
  <c r="I93" i="16"/>
  <c r="K73" i="16"/>
  <c r="K29" i="16"/>
  <c r="K23" i="16"/>
  <c r="K20" i="16"/>
  <c r="I19" i="16"/>
  <c r="K16" i="16"/>
  <c r="I16" i="16"/>
  <c r="K13" i="16"/>
  <c r="K12" i="16"/>
  <c r="I12" i="16"/>
  <c r="I11" i="16"/>
  <c r="K10" i="16"/>
  <c r="H93" i="16"/>
  <c r="H73" i="16"/>
  <c r="H49" i="16"/>
  <c r="H26" i="16"/>
  <c r="H23" i="16"/>
  <c r="H20" i="16"/>
  <c r="H13" i="16"/>
  <c r="H11" i="16"/>
  <c r="H8" i="16"/>
  <c r="K99" i="16"/>
  <c r="K98" i="16"/>
  <c r="K96" i="16"/>
  <c r="K95" i="16"/>
  <c r="K92" i="16"/>
  <c r="K89" i="16"/>
  <c r="K87" i="16"/>
  <c r="K86" i="16"/>
  <c r="K81" i="16"/>
  <c r="K79" i="16"/>
  <c r="K77" i="16"/>
  <c r="K75" i="16"/>
  <c r="K72" i="16"/>
  <c r="K71" i="16"/>
  <c r="K70" i="16"/>
  <c r="K51" i="16"/>
  <c r="K46" i="16"/>
  <c r="K44" i="16"/>
  <c r="K41" i="16"/>
  <c r="K38" i="16"/>
  <c r="K34" i="16"/>
  <c r="K31" i="16"/>
  <c r="K27" i="16"/>
  <c r="K25" i="16"/>
  <c r="K24" i="16"/>
  <c r="K18" i="16"/>
  <c r="K17" i="16"/>
  <c r="K15" i="16"/>
  <c r="K14" i="16"/>
  <c r="K7" i="16"/>
  <c r="I100" i="16"/>
  <c r="H100" i="16"/>
  <c r="I99" i="16"/>
  <c r="H99" i="16"/>
  <c r="H97" i="16"/>
  <c r="I96" i="16"/>
  <c r="H96" i="16"/>
  <c r="H95" i="16"/>
  <c r="I92" i="16"/>
  <c r="H92" i="16"/>
  <c r="I91" i="16"/>
  <c r="H91" i="16"/>
  <c r="I90" i="16"/>
  <c r="H90" i="16"/>
  <c r="H89" i="16"/>
  <c r="I88" i="16"/>
  <c r="H87" i="16"/>
  <c r="I86" i="16"/>
  <c r="H84" i="16"/>
  <c r="I81" i="16"/>
  <c r="H81" i="16"/>
  <c r="I79" i="16"/>
  <c r="H79" i="16"/>
  <c r="I76" i="16"/>
  <c r="H76" i="16"/>
  <c r="I72" i="16"/>
  <c r="H72" i="16"/>
  <c r="H71" i="16"/>
  <c r="I51" i="16"/>
  <c r="H51" i="16"/>
  <c r="I46" i="16"/>
  <c r="H46" i="16"/>
  <c r="I45" i="16"/>
  <c r="H45" i="16"/>
  <c r="H44" i="16"/>
  <c r="I43" i="16"/>
  <c r="H43" i="16"/>
  <c r="H42" i="16"/>
  <c r="I41" i="16"/>
  <c r="H41" i="16"/>
  <c r="H39" i="16"/>
  <c r="I38" i="16"/>
  <c r="H38" i="16"/>
  <c r="I35" i="16"/>
  <c r="H35" i="16"/>
  <c r="I34" i="16"/>
  <c r="H34" i="16"/>
  <c r="I32" i="16"/>
  <c r="H32" i="16"/>
  <c r="I31" i="16"/>
  <c r="H31" i="16"/>
  <c r="H28" i="16"/>
  <c r="I27" i="16"/>
  <c r="H27" i="16"/>
  <c r="I24" i="16"/>
  <c r="H24" i="16"/>
  <c r="I21" i="16"/>
  <c r="H21" i="16"/>
  <c r="I18" i="16"/>
  <c r="H18" i="16"/>
  <c r="I14" i="16"/>
  <c r="H14" i="16"/>
  <c r="I7" i="16"/>
  <c r="H7" i="16"/>
  <c r="H6" i="16"/>
  <c r="L87" i="16" l="1"/>
  <c r="M87" i="16" s="1" a="1"/>
  <c r="M87" i="16" s="1"/>
  <c r="K50" i="16"/>
  <c r="I50" i="16"/>
  <c r="H30" i="16"/>
  <c r="L14" i="16"/>
  <c r="M14" i="16" s="1" a="1"/>
  <c r="M14" i="16" s="1"/>
  <c r="L77" i="16"/>
  <c r="M77" i="16" s="1" a="1"/>
  <c r="M77" i="16" s="1"/>
  <c r="L97" i="16"/>
  <c r="M97" i="16" s="1" a="1"/>
  <c r="M97" i="16" s="1"/>
  <c r="L47" i="16"/>
  <c r="M47" i="16" s="1" a="1"/>
  <c r="M47" i="16" s="1"/>
  <c r="L35" i="16"/>
  <c r="M35" i="16" s="1" a="1"/>
  <c r="M35" i="16" s="1"/>
  <c r="L48" i="16"/>
  <c r="M48" i="16" s="1" a="1"/>
  <c r="M48" i="16" s="1"/>
  <c r="L23" i="16"/>
  <c r="M23" i="16" s="1" a="1"/>
  <c r="M23" i="16" s="1"/>
  <c r="L30" i="16"/>
  <c r="M30" i="16" s="1" a="1"/>
  <c r="M30" i="16" s="1"/>
  <c r="L76" i="16"/>
  <c r="M76" i="16" s="1" a="1"/>
  <c r="M76" i="16" s="1"/>
  <c r="L17" i="16"/>
  <c r="M17" i="16" s="1" a="1"/>
  <c r="M17" i="16" s="1"/>
  <c r="L37" i="16"/>
  <c r="M37" i="16" s="1" a="1"/>
  <c r="M37" i="16" s="1"/>
  <c r="L24" i="16"/>
  <c r="M24" i="16" s="1" a="1"/>
  <c r="M24" i="16" s="1"/>
  <c r="L7" i="16"/>
  <c r="M7" i="16" s="1" a="1"/>
  <c r="M7" i="16" s="1"/>
  <c r="L40" i="16"/>
  <c r="M40" i="16" s="1" a="1"/>
  <c r="M40" i="16" s="1"/>
  <c r="L86" i="16"/>
  <c r="M86" i="16" s="1" a="1"/>
  <c r="M86" i="16" s="1"/>
  <c r="L27" i="16"/>
  <c r="M27" i="16" s="1" a="1"/>
  <c r="M27" i="16" s="1"/>
  <c r="L93" i="16"/>
  <c r="M93" i="16" s="1" a="1"/>
  <c r="M93" i="16" s="1"/>
  <c r="L45" i="16"/>
  <c r="M45" i="16" s="1" a="1"/>
  <c r="M45" i="16" s="1"/>
  <c r="L71" i="16"/>
  <c r="M71" i="16" s="1" a="1"/>
  <c r="M71" i="16" s="1"/>
  <c r="L98" i="16"/>
  <c r="M98" i="16" s="1" a="1"/>
  <c r="M98" i="16" s="1"/>
  <c r="L19" i="16"/>
  <c r="M19" i="16" s="1" a="1"/>
  <c r="M19" i="16" s="1"/>
  <c r="L72" i="16"/>
  <c r="M72" i="16" s="1" a="1"/>
  <c r="M72" i="16" s="1"/>
  <c r="L36" i="16"/>
  <c r="M36" i="16" s="1" a="1"/>
  <c r="M36" i="16" s="1"/>
  <c r="L94" i="16"/>
  <c r="M94" i="16" s="1" a="1"/>
  <c r="M94" i="16" s="1"/>
  <c r="L33" i="16"/>
  <c r="M33" i="16" s="1" a="1"/>
  <c r="M33" i="16" s="1"/>
  <c r="L96" i="16"/>
  <c r="M96" i="16" s="1" a="1"/>
  <c r="M96" i="16" s="1"/>
  <c r="L9" i="16"/>
  <c r="M9" i="16" s="1" a="1"/>
  <c r="M9" i="16" s="1"/>
  <c r="L43" i="16"/>
  <c r="M43" i="16" s="1" a="1"/>
  <c r="M43" i="16" s="1"/>
  <c r="L39" i="16"/>
  <c r="M39" i="16" s="1" a="1"/>
  <c r="M39" i="16" s="1"/>
  <c r="L15" i="16"/>
  <c r="M15" i="16" s="1" a="1"/>
  <c r="M15" i="16" s="1"/>
  <c r="L49" i="16"/>
  <c r="M49" i="16" s="1" a="1"/>
  <c r="M49" i="16" s="1"/>
  <c r="L73" i="16"/>
  <c r="M73" i="16" s="1" a="1"/>
  <c r="M73" i="16" s="1"/>
  <c r="L16" i="16"/>
  <c r="M16" i="16" s="1" a="1"/>
  <c r="M16" i="16" s="1"/>
  <c r="L74" i="16"/>
  <c r="M74" i="16" s="1" a="1"/>
  <c r="M74" i="16" s="1"/>
  <c r="L89" i="16"/>
  <c r="M89" i="16" s="1" a="1"/>
  <c r="M89" i="16" s="1"/>
  <c r="L29" i="16"/>
  <c r="M29" i="16" s="1" a="1"/>
  <c r="M29" i="16" s="1"/>
  <c r="L34" i="16"/>
  <c r="M34" i="16" s="1" a="1"/>
  <c r="M34" i="16" s="1"/>
  <c r="L92" i="16"/>
  <c r="M92" i="16" s="1" a="1"/>
  <c r="M92" i="16" s="1"/>
  <c r="L10" i="16"/>
  <c r="M10" i="16" s="1" a="1"/>
  <c r="M10" i="16" s="1"/>
  <c r="L44" i="16"/>
  <c r="M44" i="16" s="1" a="1"/>
  <c r="M44" i="16" s="1"/>
  <c r="L6" i="16"/>
  <c r="M6" i="16" s="1" a="1"/>
  <c r="M6" i="16" s="1"/>
  <c r="L20" i="16"/>
  <c r="M20" i="16" s="1" a="1"/>
  <c r="M20" i="16" s="1"/>
  <c r="L25" i="16"/>
  <c r="M25" i="16" s="1" a="1"/>
  <c r="M25" i="16" s="1"/>
  <c r="L21" i="16"/>
  <c r="M21" i="16" s="1" a="1"/>
  <c r="M21" i="16" s="1"/>
  <c r="L26" i="16"/>
  <c r="M26" i="16" s="1" a="1"/>
  <c r="M26" i="16" s="1"/>
  <c r="L79" i="16"/>
  <c r="M79" i="16" s="1" a="1"/>
  <c r="M79" i="16" s="1"/>
  <c r="L84" i="16"/>
  <c r="M84" i="16" s="1" a="1"/>
  <c r="M84" i="16" s="1"/>
  <c r="L12" i="16"/>
  <c r="M12" i="16" s="1" a="1"/>
  <c r="M12" i="16" s="1"/>
  <c r="L46" i="16"/>
  <c r="M46" i="16" s="1" a="1"/>
  <c r="M46" i="16" s="1"/>
  <c r="L99" i="16"/>
  <c r="M99" i="16" s="1" a="1"/>
  <c r="M99" i="16" s="1"/>
  <c r="L70" i="16"/>
  <c r="M70" i="16" s="1" a="1"/>
  <c r="M70" i="16" s="1"/>
  <c r="L75" i="16"/>
  <c r="M75" i="16" s="1" a="1"/>
  <c r="M75" i="16" s="1"/>
  <c r="L22" i="16"/>
  <c r="M22" i="16" s="1" a="1"/>
  <c r="M22" i="16" s="1"/>
  <c r="L80" i="16"/>
  <c r="M80" i="16" s="1" a="1"/>
  <c r="M80" i="16" s="1"/>
  <c r="L85" i="16"/>
  <c r="M85" i="16" s="1" a="1"/>
  <c r="M85" i="16" s="1"/>
  <c r="L32" i="16"/>
  <c r="M32" i="16" s="1" a="1"/>
  <c r="M32" i="16" s="1"/>
  <c r="L90" i="16"/>
  <c r="M90" i="16" s="1" a="1"/>
  <c r="M90" i="16" s="1"/>
  <c r="L95" i="16"/>
  <c r="M95" i="16" s="1" a="1"/>
  <c r="M95" i="16" s="1"/>
  <c r="L13" i="16"/>
  <c r="M13" i="16" s="1" a="1"/>
  <c r="M13" i="16" s="1"/>
  <c r="L42" i="16"/>
  <c r="M42" i="16" s="1" a="1"/>
  <c r="M42" i="16" s="1"/>
  <c r="L100" i="16"/>
  <c r="M100" i="16" s="1" a="1"/>
  <c r="M100" i="16" s="1"/>
  <c r="L28" i="16"/>
  <c r="M28" i="16" s="1" a="1"/>
  <c r="M28" i="16" s="1"/>
  <c r="L51" i="16"/>
  <c r="M51" i="16" s="1" a="1"/>
  <c r="M51" i="16" s="1"/>
  <c r="L78" i="16"/>
  <c r="M78" i="16" s="1" a="1"/>
  <c r="M78" i="16" s="1"/>
  <c r="L11" i="16"/>
  <c r="M11" i="16" s="1" a="1"/>
  <c r="M11" i="16" s="1"/>
  <c r="L38" i="16"/>
  <c r="M38" i="16" s="1" a="1"/>
  <c r="M38" i="16" s="1"/>
  <c r="L88" i="16"/>
  <c r="M88" i="16" s="1" a="1"/>
  <c r="M88" i="16" s="1"/>
  <c r="L8" i="16"/>
  <c r="M8" i="16" s="1" a="1"/>
  <c r="M8" i="16" s="1"/>
  <c r="L31" i="16"/>
  <c r="M31" i="16" s="1" a="1"/>
  <c r="M31" i="16" s="1"/>
  <c r="L81" i="16"/>
  <c r="M81" i="16" s="1" a="1"/>
  <c r="M81" i="16" s="1"/>
  <c r="L18" i="16"/>
  <c r="M18" i="16" s="1" a="1"/>
  <c r="M18" i="16" s="1"/>
  <c r="L41" i="16"/>
  <c r="M41" i="16" s="1" a="1"/>
  <c r="M41" i="16" s="1"/>
  <c r="L91" i="16"/>
  <c r="M91" i="16" s="1" a="1"/>
  <c r="M91" i="16" s="1"/>
  <c r="L50" i="16" l="1"/>
  <c r="M50" i="16" s="1" a="1"/>
  <c r="M50" i="16" s="1"/>
  <c r="H83" i="16" l="1"/>
  <c r="H82" i="16"/>
  <c r="I82" i="16" l="1"/>
  <c r="K82" i="16"/>
  <c r="I83" i="16"/>
  <c r="K83" i="16"/>
  <c r="L83" i="16" l="1"/>
  <c r="M83" i="16" s="1" a="1"/>
  <c r="M83" i="16" s="1"/>
  <c r="L82" i="16"/>
  <c r="M82" i="16" s="1" a="1"/>
  <c r="M82" i="16" s="1"/>
  <c r="H50" i="16" l="1"/>
  <c r="H393" i="10" l="1" a="1"/>
  <c r="H393" i="10" s="1"/>
  <c r="H392" i="10" a="1"/>
  <c r="H392" i="10" s="1"/>
  <c r="H391" i="10" a="1"/>
  <c r="H391" i="10" s="1"/>
  <c r="H390" i="10" a="1"/>
  <c r="H390" i="10" s="1"/>
  <c r="H389" i="10" a="1"/>
  <c r="H389" i="10" s="1"/>
  <c r="H388" i="10" a="1"/>
  <c r="H388" i="10" s="1"/>
  <c r="H387" i="10" a="1"/>
  <c r="H387" i="10" s="1"/>
  <c r="H386" i="10" a="1"/>
  <c r="H386" i="10" s="1"/>
  <c r="H385" i="10" a="1"/>
  <c r="H385" i="10" s="1"/>
  <c r="H384" i="10" a="1"/>
  <c r="H384" i="10" s="1"/>
  <c r="H383" i="10" a="1"/>
  <c r="H383" i="10" s="1"/>
  <c r="H382" i="10" a="1"/>
  <c r="H382" i="10" s="1"/>
  <c r="H381" i="10" a="1"/>
  <c r="H381" i="10" s="1"/>
  <c r="H380" i="10" a="1"/>
  <c r="H380" i="10" s="1"/>
  <c r="H379" i="10" a="1"/>
  <c r="H379" i="10" s="1"/>
  <c r="H378" i="10" a="1"/>
  <c r="H378" i="10" s="1"/>
  <c r="H377" i="10" a="1"/>
  <c r="H377" i="10" s="1"/>
  <c r="H376" i="10" a="1"/>
  <c r="H376" i="10" s="1"/>
  <c r="H375" i="10" a="1"/>
  <c r="H375" i="10" s="1"/>
  <c r="H374" i="10" a="1"/>
  <c r="H374" i="10" s="1"/>
  <c r="H373" i="10" a="1"/>
  <c r="H373" i="10" s="1"/>
  <c r="H372" i="10" a="1"/>
  <c r="H372" i="10" s="1"/>
  <c r="H371" i="10" a="1"/>
  <c r="H371" i="10" s="1"/>
  <c r="H370" i="10" a="1"/>
  <c r="H370" i="10" s="1"/>
  <c r="H369" i="10" a="1"/>
  <c r="H369" i="10" s="1"/>
  <c r="H368" i="10" a="1"/>
  <c r="H368" i="10" s="1"/>
  <c r="H367" i="10" a="1"/>
  <c r="H367" i="10" s="1"/>
  <c r="H366" i="10" a="1"/>
  <c r="H366" i="10" s="1"/>
  <c r="H365" i="10" a="1"/>
  <c r="H365" i="10" s="1"/>
  <c r="H364" i="10" a="1"/>
  <c r="H364" i="10" s="1"/>
  <c r="H362" i="10" a="1"/>
  <c r="H362" i="10" s="1"/>
  <c r="H361" i="10" a="1"/>
  <c r="H361" i="10" s="1"/>
  <c r="H360" i="10" a="1"/>
  <c r="H360" i="10" s="1"/>
  <c r="H359" i="10" a="1"/>
  <c r="H359" i="10" s="1"/>
  <c r="H358" i="10" a="1"/>
  <c r="H358" i="10" s="1"/>
  <c r="H357" i="10" a="1"/>
  <c r="H357" i="10" s="1"/>
  <c r="H356" i="10" a="1"/>
  <c r="H356" i="10" s="1"/>
  <c r="H355" i="10" a="1"/>
  <c r="H355" i="10" s="1"/>
  <c r="H354" i="10" a="1"/>
  <c r="H354" i="10" s="1"/>
  <c r="H353" i="10" a="1"/>
  <c r="H353" i="10" s="1"/>
  <c r="H352" i="10" a="1"/>
  <c r="H352" i="10" s="1"/>
  <c r="H351" i="10" a="1"/>
  <c r="H351" i="10" s="1"/>
  <c r="H350" i="10" a="1"/>
  <c r="H350" i="10" s="1"/>
  <c r="H349" i="10" a="1"/>
  <c r="H349" i="10" s="1"/>
  <c r="H348" i="10" a="1"/>
  <c r="H348" i="10" s="1"/>
  <c r="H347" i="10" a="1"/>
  <c r="H347" i="10" s="1"/>
  <c r="H346" i="10" a="1"/>
  <c r="H346" i="10" s="1"/>
  <c r="H345" i="10" a="1"/>
  <c r="H345" i="10" s="1"/>
  <c r="H344" i="10" a="1"/>
  <c r="H344" i="10" s="1"/>
  <c r="H343" i="10" a="1"/>
  <c r="H343" i="10" s="1"/>
  <c r="H342" i="10" a="1"/>
  <c r="H342" i="10" s="1"/>
  <c r="H341" i="10" a="1"/>
  <c r="H341" i="10" s="1"/>
  <c r="H340" i="10" a="1"/>
  <c r="H340" i="10" s="1"/>
  <c r="H339" i="10" a="1"/>
  <c r="H339" i="10" s="1"/>
  <c r="H338" i="10" a="1"/>
  <c r="H338" i="10" s="1"/>
  <c r="H337" i="10" a="1"/>
  <c r="H337" i="10" s="1"/>
  <c r="H336" i="10" a="1"/>
  <c r="H336" i="10" s="1"/>
  <c r="H335" i="10" a="1"/>
  <c r="H335" i="10" s="1"/>
  <c r="H334" i="10" a="1"/>
  <c r="H334" i="10" s="1"/>
  <c r="H333" i="10" a="1"/>
  <c r="H333" i="10" s="1"/>
  <c r="H332" i="10" a="1"/>
  <c r="H332" i="10" s="1"/>
  <c r="H331" i="10" a="1"/>
  <c r="H331" i="10" s="1"/>
  <c r="H330" i="10" a="1"/>
  <c r="H330" i="10" s="1"/>
  <c r="H329" i="10" a="1"/>
  <c r="H329" i="10" s="1"/>
  <c r="H328" i="10" a="1"/>
  <c r="H328" i="10" s="1"/>
  <c r="H327" i="10" a="1"/>
  <c r="H327" i="10" s="1"/>
  <c r="H326" i="10" a="1"/>
  <c r="H326" i="10" s="1"/>
  <c r="H325" i="10" a="1"/>
  <c r="H325" i="10" s="1"/>
  <c r="H324" i="10" a="1"/>
  <c r="H324" i="10" s="1"/>
  <c r="H323" i="10" a="1"/>
  <c r="H323" i="10" s="1"/>
  <c r="H322" i="10" a="1"/>
  <c r="H322" i="10" s="1"/>
  <c r="H321" i="10" a="1"/>
  <c r="H321" i="10" s="1"/>
  <c r="H320" i="10" a="1"/>
  <c r="H320" i="10" s="1"/>
  <c r="H319" i="10" a="1"/>
  <c r="H319" i="10" s="1"/>
  <c r="H318" i="10" a="1"/>
  <c r="H318" i="10" s="1"/>
  <c r="H317" i="10" a="1"/>
  <c r="H317" i="10" s="1"/>
  <c r="H316" i="10" a="1"/>
  <c r="H316" i="10" s="1"/>
  <c r="H315" i="10" a="1"/>
  <c r="H315" i="10" s="1"/>
  <c r="H314" i="10" a="1"/>
  <c r="H314" i="10" s="1"/>
  <c r="H313" i="10" a="1"/>
  <c r="H313" i="10" s="1"/>
  <c r="H312" i="10" a="1"/>
  <c r="H312" i="10" s="1"/>
  <c r="H311" i="10" a="1"/>
  <c r="H311" i="10" s="1"/>
  <c r="H310" i="10" a="1"/>
  <c r="H310" i="10" s="1"/>
  <c r="H309" i="10" a="1"/>
  <c r="H309" i="10" s="1"/>
  <c r="H308" i="10" a="1"/>
  <c r="H308" i="10" s="1"/>
  <c r="H307" i="10" a="1"/>
  <c r="H307" i="10" s="1"/>
  <c r="H306" i="10" a="1"/>
  <c r="H306" i="10" s="1"/>
  <c r="H305" i="10" a="1"/>
  <c r="H305" i="10" s="1"/>
  <c r="H304" i="10" a="1"/>
  <c r="H304" i="10" s="1"/>
  <c r="H303" i="10" a="1"/>
  <c r="H303" i="10" s="1"/>
  <c r="H302" i="10" a="1"/>
  <c r="H302" i="10" s="1"/>
  <c r="H301" i="10" a="1"/>
  <c r="H301" i="10" s="1"/>
  <c r="H300" i="10" a="1"/>
  <c r="H300" i="10" s="1"/>
  <c r="H299" i="10" a="1"/>
  <c r="H299" i="10" s="1"/>
  <c r="H298" i="10" a="1"/>
  <c r="H298" i="10" s="1"/>
  <c r="H297" i="10" a="1"/>
  <c r="H297" i="10" s="1"/>
  <c r="H296" i="10" a="1"/>
  <c r="H296" i="10" s="1"/>
  <c r="H295" i="10" a="1"/>
  <c r="H295" i="10" s="1"/>
  <c r="H294" i="10" a="1"/>
  <c r="H294" i="10" s="1"/>
  <c r="H293" i="10" a="1"/>
  <c r="H293" i="10" s="1"/>
  <c r="H292" i="10" a="1"/>
  <c r="H292" i="10" s="1"/>
  <c r="H291" i="10" a="1"/>
  <c r="H291" i="10" s="1"/>
  <c r="H290" i="10" a="1"/>
  <c r="H290" i="10" s="1"/>
  <c r="H289" i="10" a="1"/>
  <c r="H289" i="10" s="1"/>
  <c r="H288" i="10" a="1"/>
  <c r="H288" i="10" s="1"/>
  <c r="H287" i="10" a="1"/>
  <c r="H287" i="10" s="1"/>
  <c r="H286" i="10" a="1"/>
  <c r="H286" i="10" s="1"/>
  <c r="H285" i="10" a="1"/>
  <c r="H285" i="10" s="1"/>
  <c r="H283" i="10" a="1"/>
  <c r="H283" i="10" s="1"/>
  <c r="H282" i="10" a="1"/>
  <c r="H282" i="10" s="1"/>
  <c r="H281" i="10" a="1"/>
  <c r="H281" i="10" s="1"/>
  <c r="H280" i="10" a="1"/>
  <c r="H280" i="10" s="1"/>
  <c r="H279" i="10" a="1"/>
  <c r="H279" i="10" s="1"/>
  <c r="H278" i="10" a="1"/>
  <c r="H278" i="10" s="1"/>
  <c r="H277" i="10" a="1"/>
  <c r="H277" i="10" s="1"/>
  <c r="H276" i="10" a="1"/>
  <c r="H276" i="10" s="1"/>
  <c r="H275" i="10" a="1"/>
  <c r="H275" i="10" s="1"/>
  <c r="H274" i="10" a="1"/>
  <c r="H274" i="10" s="1"/>
  <c r="H272" i="10" a="1"/>
  <c r="H272" i="10" s="1"/>
  <c r="H271" i="10" a="1"/>
  <c r="H271" i="10" s="1"/>
  <c r="H270" i="10" a="1"/>
  <c r="H270" i="10" s="1"/>
  <c r="H269" i="10" a="1"/>
  <c r="H269" i="10" s="1"/>
  <c r="H268" i="10" a="1"/>
  <c r="H268" i="10" s="1"/>
  <c r="H267" i="10" a="1"/>
  <c r="H267" i="10" s="1"/>
  <c r="H266" i="10" a="1"/>
  <c r="H266" i="10" s="1"/>
  <c r="H265" i="10" a="1"/>
  <c r="H265" i="10" s="1"/>
  <c r="H264" i="10" a="1"/>
  <c r="H264" i="10" s="1"/>
  <c r="H263" i="10" a="1"/>
  <c r="H263" i="10" s="1"/>
  <c r="H262" i="10" a="1"/>
  <c r="H262" i="10" s="1"/>
  <c r="H261" i="10" a="1"/>
  <c r="H261" i="10" s="1"/>
  <c r="H260" i="10" a="1"/>
  <c r="H260" i="10" s="1"/>
  <c r="H259" i="10" a="1"/>
  <c r="H259" i="10" s="1"/>
  <c r="H258" i="10" a="1"/>
  <c r="H258" i="10" s="1"/>
  <c r="H257" i="10" a="1"/>
  <c r="H257" i="10" s="1"/>
  <c r="H256" i="10" a="1"/>
  <c r="H256" i="10" s="1"/>
  <c r="H255" i="10" a="1"/>
  <c r="H255" i="10" s="1"/>
  <c r="H254" i="10" a="1"/>
  <c r="H254" i="10" s="1"/>
  <c r="H253" i="10" a="1"/>
  <c r="H253" i="10" s="1"/>
  <c r="H252" i="10" a="1"/>
  <c r="H252" i="10" s="1"/>
  <c r="H251" i="10" a="1"/>
  <c r="H251" i="10" s="1"/>
  <c r="H250" i="10" a="1"/>
  <c r="H250" i="10" s="1"/>
  <c r="H249" i="10" a="1"/>
  <c r="H249" i="10" s="1"/>
  <c r="H248" i="10" a="1"/>
  <c r="H248" i="10" s="1"/>
  <c r="H247" i="10" a="1"/>
  <c r="H247" i="10" s="1"/>
  <c r="H245" i="10" a="1"/>
  <c r="H245" i="10" s="1"/>
  <c r="H244" i="10" a="1"/>
  <c r="H244" i="10" s="1"/>
  <c r="H243" i="10" a="1"/>
  <c r="H243" i="10" s="1"/>
  <c r="H238" i="10" a="1"/>
  <c r="H238" i="10" s="1"/>
  <c r="H237" i="10" a="1"/>
  <c r="H237" i="10" s="1"/>
  <c r="H235" i="10" a="1"/>
  <c r="H235" i="10" s="1"/>
  <c r="H234" i="10" a="1"/>
  <c r="H234" i="10" s="1"/>
  <c r="H233" i="10" a="1"/>
  <c r="H233" i="10" s="1"/>
  <c r="H232" i="10" a="1"/>
  <c r="H232" i="10" s="1"/>
  <c r="H231" i="10" a="1"/>
  <c r="H231" i="10" s="1"/>
  <c r="H227" i="10" a="1"/>
  <c r="H227" i="10" s="1"/>
  <c r="H226" i="10" a="1"/>
  <c r="H226" i="10" s="1"/>
  <c r="H225" i="10" a="1"/>
  <c r="H225" i="10" s="1"/>
  <c r="H224" i="10" a="1"/>
  <c r="H224" i="10" s="1"/>
  <c r="H223" i="10" a="1"/>
  <c r="H223" i="10" s="1"/>
  <c r="H218" i="10" a="1"/>
  <c r="H218" i="10" s="1"/>
  <c r="H217" i="10" a="1"/>
  <c r="H217" i="10" s="1"/>
  <c r="H216" i="10" a="1"/>
  <c r="H216" i="10" s="1"/>
  <c r="H215" i="10" a="1"/>
  <c r="H215" i="10" s="1"/>
  <c r="H214" i="10" a="1"/>
  <c r="H214" i="10" s="1"/>
  <c r="I393" i="10" a="1"/>
  <c r="I393" i="10" s="1"/>
  <c r="I392" i="10" a="1"/>
  <c r="I392" i="10" s="1"/>
  <c r="I391" i="10" a="1"/>
  <c r="I391" i="10" s="1"/>
  <c r="I390" i="10" a="1"/>
  <c r="I390" i="10" s="1"/>
  <c r="I389" i="10" a="1"/>
  <c r="I389" i="10" s="1"/>
  <c r="I388" i="10" a="1"/>
  <c r="I388" i="10" s="1"/>
  <c r="I387" i="10" a="1"/>
  <c r="I387" i="10" s="1"/>
  <c r="I386" i="10" a="1"/>
  <c r="I386" i="10" s="1"/>
  <c r="I385" i="10" a="1"/>
  <c r="I385" i="10" s="1"/>
  <c r="I384" i="10" a="1"/>
  <c r="I384" i="10" s="1"/>
  <c r="I383" i="10" a="1"/>
  <c r="I383" i="10" s="1"/>
  <c r="I382" i="10" a="1"/>
  <c r="I382" i="10" s="1"/>
  <c r="I381" i="10" a="1"/>
  <c r="I381" i="10" s="1"/>
  <c r="I380" i="10" a="1"/>
  <c r="I380" i="10" s="1"/>
  <c r="I379" i="10" a="1"/>
  <c r="I379" i="10" s="1"/>
  <c r="I378" i="10" a="1"/>
  <c r="I378" i="10" s="1"/>
  <c r="I377" i="10" a="1"/>
  <c r="I377" i="10" s="1"/>
  <c r="I376" i="10" a="1"/>
  <c r="I376" i="10" s="1"/>
  <c r="I375" i="10" a="1"/>
  <c r="I375" i="10" s="1"/>
  <c r="I374" i="10" a="1"/>
  <c r="I374" i="10" s="1"/>
  <c r="I373" i="10" a="1"/>
  <c r="I373" i="10" s="1"/>
  <c r="I372" i="10" a="1"/>
  <c r="I372" i="10" s="1"/>
  <c r="I371" i="10" a="1"/>
  <c r="I371" i="10" s="1"/>
  <c r="I370" i="10" a="1"/>
  <c r="I370" i="10" s="1"/>
  <c r="I369" i="10" a="1"/>
  <c r="I369" i="10" s="1"/>
  <c r="I368" i="10" a="1"/>
  <c r="I368" i="10" s="1"/>
  <c r="I367" i="10" a="1"/>
  <c r="I367" i="10" s="1"/>
  <c r="I366" i="10" a="1"/>
  <c r="I366" i="10" s="1"/>
  <c r="I365" i="10" a="1"/>
  <c r="I365" i="10" s="1"/>
  <c r="I364" i="10" a="1"/>
  <c r="I364" i="10" s="1"/>
  <c r="I363" i="10" a="1"/>
  <c r="I363" i="10" s="1"/>
  <c r="I362" i="10" a="1"/>
  <c r="I362" i="10" s="1"/>
  <c r="I361" i="10" a="1"/>
  <c r="I361" i="10" s="1"/>
  <c r="I360" i="10" a="1"/>
  <c r="I360" i="10" s="1"/>
  <c r="I359" i="10" a="1"/>
  <c r="I359" i="10" s="1"/>
  <c r="I358" i="10" a="1"/>
  <c r="I358" i="10" s="1"/>
  <c r="I357" i="10" a="1"/>
  <c r="I357" i="10" s="1"/>
  <c r="I356" i="10" a="1"/>
  <c r="I356" i="10" s="1"/>
  <c r="I355" i="10" a="1"/>
  <c r="I355" i="10" s="1"/>
  <c r="I354" i="10" a="1"/>
  <c r="I354" i="10" s="1"/>
  <c r="I353" i="10" a="1"/>
  <c r="I353" i="10" s="1"/>
  <c r="I352" i="10" a="1"/>
  <c r="I352" i="10" s="1"/>
  <c r="I351" i="10" a="1"/>
  <c r="I351" i="10" s="1"/>
  <c r="I350" i="10" a="1"/>
  <c r="I350" i="10" s="1"/>
  <c r="I349" i="10" a="1"/>
  <c r="I349" i="10" s="1"/>
  <c r="I348" i="10" a="1"/>
  <c r="I348" i="10" s="1"/>
  <c r="I347" i="10" a="1"/>
  <c r="I347" i="10" s="1"/>
  <c r="I346" i="10" a="1"/>
  <c r="I346" i="10" s="1"/>
  <c r="I345" i="10" a="1"/>
  <c r="I345" i="10" s="1"/>
  <c r="I344" i="10" a="1"/>
  <c r="I344" i="10" s="1"/>
  <c r="I343" i="10" a="1"/>
  <c r="I343" i="10" s="1"/>
  <c r="I342" i="10" a="1"/>
  <c r="I342" i="10" s="1"/>
  <c r="I341" i="10" a="1"/>
  <c r="I341" i="10" s="1"/>
  <c r="I340" i="10" a="1"/>
  <c r="I340" i="10" s="1"/>
  <c r="I339" i="10" a="1"/>
  <c r="I339" i="10" s="1"/>
  <c r="I338" i="10" a="1"/>
  <c r="I338" i="10" s="1"/>
  <c r="I337" i="10" a="1"/>
  <c r="I337" i="10" s="1"/>
  <c r="I336" i="10" a="1"/>
  <c r="I336" i="10" s="1"/>
  <c r="I335" i="10" a="1"/>
  <c r="I335" i="10" s="1"/>
  <c r="I334" i="10" a="1"/>
  <c r="I334" i="10" s="1"/>
  <c r="I333" i="10" a="1"/>
  <c r="I333" i="10" s="1"/>
  <c r="I332" i="10" a="1"/>
  <c r="I332" i="10" s="1"/>
  <c r="I331" i="10" a="1"/>
  <c r="I331" i="10" s="1"/>
  <c r="I330" i="10" a="1"/>
  <c r="I330" i="10" s="1"/>
  <c r="I329" i="10" a="1"/>
  <c r="I329" i="10" s="1"/>
  <c r="I328" i="10" a="1"/>
  <c r="I328" i="10" s="1"/>
  <c r="I327" i="10" a="1"/>
  <c r="I327" i="10" s="1"/>
  <c r="I326" i="10" a="1"/>
  <c r="I326" i="10" s="1"/>
  <c r="I325" i="10" a="1"/>
  <c r="I325" i="10" s="1"/>
  <c r="I324" i="10" a="1"/>
  <c r="I324" i="10" s="1"/>
  <c r="I323" i="10" a="1"/>
  <c r="I323" i="10" s="1"/>
  <c r="I322" i="10" a="1"/>
  <c r="I322" i="10" s="1"/>
  <c r="I321" i="10" a="1"/>
  <c r="I321" i="10" s="1"/>
  <c r="I320" i="10" a="1"/>
  <c r="I320" i="10" s="1"/>
  <c r="I319" i="10" a="1"/>
  <c r="I319" i="10" s="1"/>
  <c r="I318" i="10" a="1"/>
  <c r="I318" i="10" s="1"/>
  <c r="I317" i="10" a="1"/>
  <c r="I317" i="10" s="1"/>
  <c r="I316" i="10" a="1"/>
  <c r="I316" i="10" s="1"/>
  <c r="I315" i="10" a="1"/>
  <c r="I315" i="10" s="1"/>
  <c r="I314" i="10" a="1"/>
  <c r="I314" i="10" s="1"/>
  <c r="I313" i="10" a="1"/>
  <c r="I313" i="10" s="1"/>
  <c r="I312" i="10" a="1"/>
  <c r="I312" i="10" s="1"/>
  <c r="I311" i="10" a="1"/>
  <c r="I311" i="10" s="1"/>
  <c r="I310" i="10" a="1"/>
  <c r="I310" i="10" s="1"/>
  <c r="I309" i="10" a="1"/>
  <c r="I309" i="10" s="1"/>
  <c r="I308" i="10" a="1"/>
  <c r="I308" i="10" s="1"/>
  <c r="I307" i="10" a="1"/>
  <c r="I307" i="10" s="1"/>
  <c r="I306" i="10" a="1"/>
  <c r="I306" i="10" s="1"/>
  <c r="I305" i="10" a="1"/>
  <c r="I305" i="10" s="1"/>
  <c r="I304" i="10" a="1"/>
  <c r="I304" i="10" s="1"/>
  <c r="I303" i="10" a="1"/>
  <c r="I303" i="10" s="1"/>
  <c r="I302" i="10" a="1"/>
  <c r="I302" i="10" s="1"/>
  <c r="I301" i="10" a="1"/>
  <c r="I301" i="10" s="1"/>
  <c r="I300" i="10" a="1"/>
  <c r="I300" i="10" s="1"/>
  <c r="I299" i="10" a="1"/>
  <c r="I299" i="10" s="1"/>
  <c r="I298" i="10" a="1"/>
  <c r="I298" i="10" s="1"/>
  <c r="I297" i="10" a="1"/>
  <c r="I297" i="10" s="1"/>
  <c r="I296" i="10" a="1"/>
  <c r="I296" i="10" s="1"/>
  <c r="I295" i="10" a="1"/>
  <c r="I295" i="10" s="1"/>
  <c r="I294" i="10" a="1"/>
  <c r="I294" i="10" s="1"/>
  <c r="I293" i="10" a="1"/>
  <c r="I293" i="10" s="1"/>
  <c r="I292" i="10" a="1"/>
  <c r="I292" i="10" s="1"/>
  <c r="I291" i="10" a="1"/>
  <c r="I291" i="10" s="1"/>
  <c r="I290" i="10" a="1"/>
  <c r="I290" i="10" s="1"/>
  <c r="I289" i="10" a="1"/>
  <c r="I289" i="10" s="1"/>
  <c r="I288" i="10" a="1"/>
  <c r="I288" i="10" s="1"/>
  <c r="I287" i="10" a="1"/>
  <c r="I287" i="10" s="1"/>
  <c r="I286" i="10" a="1"/>
  <c r="I286" i="10" s="1"/>
  <c r="I285" i="10" a="1"/>
  <c r="I285" i="10" s="1"/>
  <c r="I284" i="10" a="1"/>
  <c r="I284" i="10" s="1"/>
  <c r="I283" i="10" a="1"/>
  <c r="I283" i="10" s="1"/>
  <c r="I282" i="10" a="1"/>
  <c r="I282" i="10" s="1"/>
  <c r="I281" i="10" a="1"/>
  <c r="I281" i="10" s="1"/>
  <c r="I280" i="10" a="1"/>
  <c r="I280" i="10" s="1"/>
  <c r="I279" i="10" a="1"/>
  <c r="I279" i="10" s="1"/>
  <c r="I278" i="10" a="1"/>
  <c r="I278" i="10" s="1"/>
  <c r="I277" i="10" a="1"/>
  <c r="I277" i="10" s="1"/>
  <c r="I276" i="10" a="1"/>
  <c r="I276" i="10" s="1"/>
  <c r="I275" i="10" a="1"/>
  <c r="I275" i="10" s="1"/>
  <c r="I274" i="10" a="1"/>
  <c r="I274" i="10" s="1"/>
  <c r="I273" i="10" a="1"/>
  <c r="I273" i="10" s="1"/>
  <c r="I272" i="10" a="1"/>
  <c r="I272" i="10" s="1"/>
  <c r="I271" i="10" a="1"/>
  <c r="I271" i="10" s="1"/>
  <c r="I270" i="10" a="1"/>
  <c r="I270" i="10" s="1"/>
  <c r="I269" i="10" a="1"/>
  <c r="I269" i="10" s="1"/>
  <c r="I268" i="10" a="1"/>
  <c r="I268" i="10" s="1"/>
  <c r="I267" i="10" a="1"/>
  <c r="I267" i="10" s="1"/>
  <c r="I266" i="10" a="1"/>
  <c r="I266" i="10" s="1"/>
  <c r="I265" i="10" a="1"/>
  <c r="I265" i="10" s="1"/>
  <c r="I264" i="10" a="1"/>
  <c r="I264" i="10" s="1"/>
  <c r="I263" i="10" a="1"/>
  <c r="I263" i="10" s="1"/>
  <c r="I262" i="10" a="1"/>
  <c r="I262" i="10" s="1"/>
  <c r="I261" i="10" a="1"/>
  <c r="I261" i="10" s="1"/>
  <c r="I260" i="10" a="1"/>
  <c r="I260" i="10" s="1"/>
  <c r="I259" i="10" a="1"/>
  <c r="I259" i="10" s="1"/>
  <c r="I258" i="10" a="1"/>
  <c r="I258" i="10" s="1"/>
  <c r="I257" i="10" a="1"/>
  <c r="I257" i="10" s="1"/>
  <c r="I256" i="10" a="1"/>
  <c r="I256" i="10" s="1"/>
  <c r="I255" i="10" a="1"/>
  <c r="I255" i="10" s="1"/>
  <c r="I254" i="10" a="1"/>
  <c r="I254" i="10" s="1"/>
  <c r="I253" i="10" a="1"/>
  <c r="I253" i="10" s="1"/>
  <c r="I252" i="10" a="1"/>
  <c r="I252" i="10" s="1"/>
  <c r="I251" i="10" a="1"/>
  <c r="I251" i="10" s="1"/>
  <c r="I250" i="10" a="1"/>
  <c r="I250" i="10" s="1"/>
  <c r="I249" i="10" a="1"/>
  <c r="I249" i="10" s="1"/>
  <c r="I248" i="10" a="1"/>
  <c r="I248" i="10" s="1"/>
  <c r="I247" i="10" a="1"/>
  <c r="I247" i="10" s="1"/>
  <c r="I246" i="10" a="1"/>
  <c r="I246" i="10" s="1"/>
  <c r="I245" i="10" a="1"/>
  <c r="I245" i="10" s="1"/>
  <c r="I244" i="10" a="1"/>
  <c r="I244" i="10" s="1"/>
  <c r="I243" i="10" a="1"/>
  <c r="I243" i="10" s="1"/>
  <c r="I242" i="10" a="1"/>
  <c r="I242" i="10" s="1"/>
  <c r="I241" i="10" a="1"/>
  <c r="I241" i="10" s="1"/>
  <c r="I240" i="10" a="1"/>
  <c r="I240" i="10" s="1"/>
  <c r="I239" i="10" a="1"/>
  <c r="I239" i="10" s="1"/>
  <c r="I238" i="10" a="1"/>
  <c r="I238" i="10" s="1"/>
  <c r="I237" i="10" a="1"/>
  <c r="I237" i="10" s="1"/>
  <c r="I236" i="10" a="1"/>
  <c r="I236" i="10" s="1"/>
  <c r="I235" i="10" a="1"/>
  <c r="I235" i="10" s="1"/>
  <c r="I234" i="10" a="1"/>
  <c r="I234" i="10" s="1"/>
  <c r="I233" i="10" a="1"/>
  <c r="I233" i="10" s="1"/>
  <c r="I232" i="10" a="1"/>
  <c r="I232" i="10" s="1"/>
  <c r="I231" i="10" a="1"/>
  <c r="I231" i="10" s="1"/>
  <c r="I230" i="10" a="1"/>
  <c r="I230" i="10" s="1"/>
  <c r="I229" i="10" a="1"/>
  <c r="I229" i="10" s="1"/>
  <c r="I228" i="10" a="1"/>
  <c r="I228" i="10" s="1"/>
  <c r="I227" i="10" a="1"/>
  <c r="I227" i="10" s="1"/>
  <c r="I226" i="10" a="1"/>
  <c r="I226" i="10" s="1"/>
  <c r="I225" i="10" a="1"/>
  <c r="I225" i="10" s="1"/>
  <c r="I224" i="10" a="1"/>
  <c r="I224" i="10" s="1"/>
  <c r="I223" i="10" a="1"/>
  <c r="I223" i="10" s="1"/>
  <c r="I222" i="10" a="1"/>
  <c r="I222" i="10" s="1"/>
  <c r="I221" i="10" a="1"/>
  <c r="I221" i="10" s="1"/>
  <c r="I220" i="10" a="1"/>
  <c r="I220" i="10" s="1"/>
  <c r="I219" i="10" a="1"/>
  <c r="I219" i="10" s="1"/>
  <c r="I218" i="10" a="1"/>
  <c r="I218" i="10" s="1"/>
  <c r="I217" i="10" a="1"/>
  <c r="I217" i="10" s="1"/>
  <c r="I216" i="10" a="1"/>
  <c r="I216" i="10" s="1"/>
  <c r="I215" i="10" a="1"/>
  <c r="I215" i="10" s="1"/>
  <c r="I214" i="10" a="1"/>
  <c r="I214" i="10" s="1"/>
  <c r="N213" i="10" l="1" a="1"/>
  <c r="N213" i="10" s="1"/>
  <c r="N212" i="10" a="1"/>
  <c r="N212" i="10" s="1"/>
  <c r="N211" i="10" a="1"/>
  <c r="N211" i="10" s="1"/>
  <c r="N210" i="10" a="1"/>
  <c r="N210" i="10" s="1"/>
  <c r="N209" i="10" a="1"/>
  <c r="N209" i="10" s="1"/>
  <c r="N208" i="10" a="1"/>
  <c r="N208" i="10" s="1"/>
  <c r="N207" i="10" a="1"/>
  <c r="N207" i="10" s="1"/>
  <c r="N206" i="10" a="1"/>
  <c r="N206" i="10" s="1"/>
  <c r="N205" i="10" a="1"/>
  <c r="N205" i="10" s="1"/>
  <c r="N204" i="10" a="1"/>
  <c r="N204" i="10" s="1"/>
  <c r="N203" i="10" a="1"/>
  <c r="N203" i="10" s="1"/>
  <c r="N202" i="10" a="1"/>
  <c r="N202" i="10" s="1"/>
  <c r="N201" i="10" a="1"/>
  <c r="N201" i="10" s="1"/>
  <c r="N200" i="10" a="1"/>
  <c r="N200" i="10" s="1"/>
  <c r="N199" i="10" a="1"/>
  <c r="N199" i="10" s="1"/>
  <c r="N198" i="10" a="1"/>
  <c r="N198" i="10" s="1"/>
  <c r="N197" i="10" a="1"/>
  <c r="N197" i="10" s="1"/>
  <c r="N196" i="10" a="1"/>
  <c r="N196" i="10" s="1"/>
  <c r="N195" i="10" a="1"/>
  <c r="N195" i="10" s="1"/>
  <c r="N194" i="10" a="1"/>
  <c r="N194" i="10" s="1"/>
  <c r="N193" i="10" a="1"/>
  <c r="N193" i="10" s="1"/>
  <c r="N192" i="10" a="1"/>
  <c r="N192" i="10" s="1"/>
  <c r="N191" i="10" a="1"/>
  <c r="N191" i="10" s="1"/>
  <c r="N190" i="10" a="1"/>
  <c r="N190" i="10" s="1"/>
  <c r="N189" i="10" a="1"/>
  <c r="N189" i="10" s="1"/>
  <c r="N188" i="10" a="1"/>
  <c r="N188" i="10" s="1"/>
  <c r="N187" i="10" a="1"/>
  <c r="N187" i="10" s="1"/>
  <c r="N186" i="10" a="1"/>
  <c r="N186" i="10" s="1"/>
  <c r="N185" i="10" a="1"/>
  <c r="N185" i="10" s="1"/>
  <c r="N184" i="10" a="1"/>
  <c r="N184" i="10" s="1"/>
  <c r="N183" i="10" a="1"/>
  <c r="N183" i="10" s="1"/>
  <c r="N182" i="10" a="1"/>
  <c r="N182" i="10" s="1"/>
  <c r="N181" i="10" a="1"/>
  <c r="N181" i="10" s="1"/>
  <c r="N180" i="10" a="1"/>
  <c r="N180" i="10" s="1"/>
  <c r="N179" i="10" a="1"/>
  <c r="N179" i="10" s="1"/>
  <c r="N178" i="10" a="1"/>
  <c r="N178" i="10" s="1"/>
  <c r="N177" i="10" a="1"/>
  <c r="N177" i="10" s="1"/>
  <c r="N176" i="10" a="1"/>
  <c r="N176" i="10" s="1"/>
  <c r="N175" i="10" a="1"/>
  <c r="N175" i="10" s="1"/>
  <c r="N174" i="10" a="1"/>
  <c r="N174" i="10" s="1"/>
  <c r="N173" i="10" a="1"/>
  <c r="N173" i="10" s="1"/>
  <c r="N172" i="10" a="1"/>
  <c r="N172" i="10" s="1"/>
  <c r="N171" i="10" a="1"/>
  <c r="N171" i="10" s="1"/>
  <c r="N170" i="10" a="1"/>
  <c r="N170" i="10" s="1"/>
  <c r="N169" i="10" a="1"/>
  <c r="N169" i="10" s="1"/>
  <c r="N168" i="10" a="1"/>
  <c r="N168" i="10" s="1"/>
  <c r="N167" i="10" a="1"/>
  <c r="N167" i="10" s="1"/>
  <c r="N166" i="10" a="1"/>
  <c r="N166" i="10" s="1"/>
  <c r="N165" i="10" a="1"/>
  <c r="N165" i="10" s="1"/>
  <c r="N164" i="10" a="1"/>
  <c r="N164" i="10" s="1"/>
  <c r="N163" i="10" a="1"/>
  <c r="N163" i="10" s="1"/>
  <c r="N162" i="10" a="1"/>
  <c r="N162" i="10" s="1"/>
  <c r="N161" i="10" a="1"/>
  <c r="N161" i="10" s="1"/>
  <c r="N160" i="10" a="1"/>
  <c r="N160" i="10" s="1"/>
  <c r="N159" i="10" a="1"/>
  <c r="N159" i="10" s="1"/>
  <c r="N158" i="10" a="1"/>
  <c r="N158" i="10" s="1"/>
  <c r="N157" i="10" a="1"/>
  <c r="N157" i="10" s="1"/>
  <c r="N156" i="10" a="1"/>
  <c r="N156" i="10" s="1"/>
  <c r="N148" i="10" a="1"/>
  <c r="N148" i="10" s="1"/>
  <c r="N139" i="10" a="1"/>
  <c r="N139" i="10" s="1"/>
  <c r="N120" i="10" a="1"/>
  <c r="N120" i="10" s="1"/>
  <c r="N106" i="10" a="1"/>
  <c r="N106" i="10" s="1"/>
  <c r="N105" i="10" a="1"/>
  <c r="N105" i="10" s="1"/>
  <c r="N104" i="10" a="1"/>
  <c r="N104" i="10" s="1"/>
  <c r="N103" i="10" a="1"/>
  <c r="N103" i="10" s="1"/>
  <c r="N102" i="10" a="1"/>
  <c r="N102" i="10" s="1"/>
  <c r="N95" i="10" a="1"/>
  <c r="N95" i="10" s="1"/>
  <c r="N94" i="10" a="1"/>
  <c r="N94" i="10" s="1"/>
  <c r="N93" i="10" a="1"/>
  <c r="N93" i="10" s="1"/>
  <c r="N92" i="10" a="1"/>
  <c r="N92" i="10" s="1"/>
  <c r="N91" i="10" a="1"/>
  <c r="N91" i="10" s="1"/>
  <c r="N90" i="10" a="1"/>
  <c r="N90" i="10" s="1"/>
  <c r="N89" i="10" a="1"/>
  <c r="N89" i="10" s="1"/>
  <c r="N88" i="10" a="1"/>
  <c r="N88" i="10" s="1"/>
  <c r="N87" i="10" a="1"/>
  <c r="N87" i="10" s="1"/>
  <c r="N86" i="10" a="1"/>
  <c r="N86" i="10" s="1"/>
  <c r="N85" i="10" a="1"/>
  <c r="N85" i="10" s="1"/>
  <c r="N84" i="10" a="1"/>
  <c r="N84" i="10" s="1"/>
  <c r="N83" i="10" a="1"/>
  <c r="N83" i="10" s="1"/>
  <c r="N82" i="10" a="1"/>
  <c r="N82" i="10" s="1"/>
  <c r="N81" i="10" a="1"/>
  <c r="N81" i="10" s="1"/>
  <c r="N80" i="10" a="1"/>
  <c r="N80" i="10" s="1"/>
  <c r="N79" i="10" a="1"/>
  <c r="N79" i="10" s="1"/>
  <c r="N78" i="10" a="1"/>
  <c r="N78" i="10" s="1"/>
  <c r="N77" i="10" a="1"/>
  <c r="N77" i="10" s="1"/>
  <c r="N76" i="10" a="1"/>
  <c r="N76" i="10" s="1"/>
  <c r="N75" i="10" a="1"/>
  <c r="N75" i="10" s="1"/>
  <c r="N74" i="10" a="1"/>
  <c r="N74" i="10" s="1"/>
  <c r="N73" i="10" a="1"/>
  <c r="N73" i="10" s="1"/>
  <c r="N72" i="10" a="1"/>
  <c r="N72" i="10" s="1"/>
  <c r="N71" i="10" a="1"/>
  <c r="N71" i="10" s="1"/>
  <c r="N70" i="10" a="1"/>
  <c r="N70" i="10" s="1"/>
  <c r="N69" i="10" a="1"/>
  <c r="N69" i="10" s="1"/>
  <c r="N68" i="10" a="1"/>
  <c r="N68" i="10" s="1"/>
  <c r="N67" i="10" a="1"/>
  <c r="N67" i="10" s="1"/>
  <c r="N66" i="10" a="1"/>
  <c r="N66" i="10" s="1"/>
  <c r="K213" i="10" a="1"/>
  <c r="K213" i="10" s="1"/>
  <c r="K212" i="10" a="1"/>
  <c r="K212" i="10" s="1"/>
  <c r="K211" i="10" a="1"/>
  <c r="K211" i="10" s="1"/>
  <c r="K210" i="10" a="1"/>
  <c r="K210" i="10" s="1"/>
  <c r="K209" i="10" a="1"/>
  <c r="K209" i="10" s="1"/>
  <c r="K208" i="10" a="1"/>
  <c r="K208" i="10" s="1"/>
  <c r="K207" i="10" a="1"/>
  <c r="K207" i="10" s="1"/>
  <c r="K206" i="10" a="1"/>
  <c r="K206" i="10" s="1"/>
  <c r="K205" i="10" a="1"/>
  <c r="K205" i="10" s="1"/>
  <c r="K204" i="10" a="1"/>
  <c r="K204" i="10" s="1"/>
  <c r="K203" i="10" a="1"/>
  <c r="K203" i="10" s="1"/>
  <c r="K202" i="10" a="1"/>
  <c r="K202" i="10" s="1"/>
  <c r="K201" i="10" a="1"/>
  <c r="K201" i="10" s="1"/>
  <c r="K200" i="10" a="1"/>
  <c r="K200" i="10" s="1"/>
  <c r="K199" i="10" a="1"/>
  <c r="K199" i="10" s="1"/>
  <c r="K198" i="10" a="1"/>
  <c r="K198" i="10" s="1"/>
  <c r="K197" i="10" a="1"/>
  <c r="K197" i="10" s="1"/>
  <c r="K196" i="10" a="1"/>
  <c r="K196" i="10" s="1"/>
  <c r="K195" i="10" a="1"/>
  <c r="K195" i="10" s="1"/>
  <c r="K194" i="10" a="1"/>
  <c r="K194" i="10" s="1"/>
  <c r="K193" i="10" a="1"/>
  <c r="K193" i="10" s="1"/>
  <c r="K192" i="10" a="1"/>
  <c r="K192" i="10" s="1"/>
  <c r="K191" i="10" a="1"/>
  <c r="K191" i="10" s="1"/>
  <c r="K190" i="10" a="1"/>
  <c r="K190" i="10" s="1"/>
  <c r="K189" i="10" a="1"/>
  <c r="K189" i="10" s="1"/>
  <c r="K188" i="10" a="1"/>
  <c r="K188" i="10" s="1"/>
  <c r="K187" i="10" a="1"/>
  <c r="K187" i="10" s="1"/>
  <c r="K186" i="10" a="1"/>
  <c r="K186" i="10" s="1"/>
  <c r="K185" i="10" a="1"/>
  <c r="K185" i="10" s="1"/>
  <c r="K184" i="10" a="1"/>
  <c r="K184" i="10" s="1"/>
  <c r="K183" i="10" a="1"/>
  <c r="K183" i="10" s="1"/>
  <c r="K182" i="10" a="1"/>
  <c r="K182" i="10" s="1"/>
  <c r="K181" i="10" a="1"/>
  <c r="K181" i="10" s="1"/>
  <c r="K180" i="10" a="1"/>
  <c r="K180" i="10" s="1"/>
  <c r="K179" i="10" a="1"/>
  <c r="K179" i="10" s="1"/>
  <c r="K178" i="10" a="1"/>
  <c r="K178" i="10" s="1"/>
  <c r="K177" i="10" a="1"/>
  <c r="K177" i="10" s="1"/>
  <c r="K176" i="10" a="1"/>
  <c r="K176" i="10" s="1"/>
  <c r="K175" i="10" a="1"/>
  <c r="K175" i="10" s="1"/>
  <c r="K174" i="10" a="1"/>
  <c r="K174" i="10" s="1"/>
  <c r="K173" i="10" a="1"/>
  <c r="K173" i="10" s="1"/>
  <c r="K172" i="10" a="1"/>
  <c r="K172" i="10" s="1"/>
  <c r="K171" i="10" a="1"/>
  <c r="K171" i="10" s="1"/>
  <c r="K170" i="10" a="1"/>
  <c r="K170" i="10" s="1"/>
  <c r="K169" i="10" a="1"/>
  <c r="K169" i="10" s="1"/>
  <c r="K168" i="10" a="1"/>
  <c r="K168" i="10" s="1"/>
  <c r="K167" i="10" a="1"/>
  <c r="K167" i="10" s="1"/>
  <c r="K166" i="10" a="1"/>
  <c r="K166" i="10" s="1"/>
  <c r="K165" i="10" a="1"/>
  <c r="K165" i="10" s="1"/>
  <c r="K164" i="10" a="1"/>
  <c r="K164" i="10" s="1"/>
  <c r="K163" i="10" a="1"/>
  <c r="K163" i="10" s="1"/>
  <c r="K162" i="10" a="1"/>
  <c r="K162" i="10" s="1"/>
  <c r="K161" i="10" a="1"/>
  <c r="K161" i="10" s="1"/>
  <c r="K160" i="10" a="1"/>
  <c r="K160" i="10" s="1"/>
  <c r="K159" i="10" a="1"/>
  <c r="K159" i="10" s="1"/>
  <c r="K158" i="10" a="1"/>
  <c r="K158" i="10" s="1"/>
  <c r="K157" i="10" a="1"/>
  <c r="K157" i="10" s="1"/>
  <c r="K156" i="10" a="1"/>
  <c r="K156" i="10" s="1"/>
  <c r="K153" i="10" a="1"/>
  <c r="K153" i="10" s="1"/>
  <c r="K145" i="10" a="1"/>
  <c r="K145" i="10" s="1"/>
  <c r="K144" i="10" a="1"/>
  <c r="K144" i="10" s="1"/>
  <c r="K142" i="10" a="1"/>
  <c r="K142" i="10" s="1"/>
  <c r="K141" i="10" a="1"/>
  <c r="K141" i="10" s="1"/>
  <c r="K139" i="10" a="1"/>
  <c r="K139" i="10" s="1"/>
  <c r="K133" i="10" a="1"/>
  <c r="K133" i="10" s="1"/>
  <c r="K130" i="10" a="1"/>
  <c r="K130" i="10" s="1"/>
  <c r="K129" i="10" a="1"/>
  <c r="K129" i="10" s="1"/>
  <c r="K128" i="10" a="1"/>
  <c r="K128" i="10" s="1"/>
  <c r="K126" i="10" a="1"/>
  <c r="K126" i="10" s="1"/>
  <c r="K123" i="10" a="1"/>
  <c r="K123" i="10" s="1"/>
  <c r="K122" i="10" a="1"/>
  <c r="K122" i="10" s="1"/>
  <c r="K116" i="10" a="1"/>
  <c r="K116" i="10" s="1"/>
  <c r="K115" i="10" a="1"/>
  <c r="K115" i="10" s="1"/>
  <c r="K114" i="10" a="1"/>
  <c r="K114" i="10" s="1"/>
  <c r="K112" i="10" a="1"/>
  <c r="K112" i="10" s="1"/>
  <c r="K108" i="10" a="1"/>
  <c r="K108" i="10" s="1"/>
  <c r="K107" i="10" a="1"/>
  <c r="K107" i="10" s="1"/>
  <c r="K105" i="10" a="1"/>
  <c r="K105" i="10" s="1"/>
  <c r="K104" i="10" a="1"/>
  <c r="K104" i="10" s="1"/>
  <c r="K103" i="10" a="1"/>
  <c r="K103" i="10" s="1"/>
  <c r="K96" i="10" a="1"/>
  <c r="K96" i="10" s="1"/>
  <c r="K95" i="10" a="1"/>
  <c r="K95" i="10" s="1"/>
  <c r="K94" i="10" a="1"/>
  <c r="K94" i="10" s="1"/>
  <c r="K93" i="10" a="1"/>
  <c r="K93" i="10" s="1"/>
  <c r="K92" i="10" a="1"/>
  <c r="K92" i="10" s="1"/>
  <c r="K91" i="10" a="1"/>
  <c r="K91" i="10" s="1"/>
  <c r="K90" i="10" a="1"/>
  <c r="K90" i="10" s="1"/>
  <c r="K89" i="10" a="1"/>
  <c r="K89" i="10" s="1"/>
  <c r="K88" i="10" a="1"/>
  <c r="K88" i="10" s="1"/>
  <c r="K87" i="10" a="1"/>
  <c r="K87" i="10" s="1"/>
  <c r="K86" i="10" a="1"/>
  <c r="K86" i="10" s="1"/>
  <c r="K85" i="10" a="1"/>
  <c r="K85" i="10" s="1"/>
  <c r="K84" i="10" a="1"/>
  <c r="K84" i="10" s="1"/>
  <c r="K83" i="10" a="1"/>
  <c r="K83" i="10" s="1"/>
  <c r="K82" i="10" a="1"/>
  <c r="K82" i="10" s="1"/>
  <c r="K81" i="10" a="1"/>
  <c r="K81" i="10" s="1"/>
  <c r="K80" i="10" a="1"/>
  <c r="K80" i="10" s="1"/>
  <c r="K79" i="10" a="1"/>
  <c r="K79" i="10" s="1"/>
  <c r="K78" i="10" a="1"/>
  <c r="K78" i="10" s="1"/>
  <c r="K77" i="10" a="1"/>
  <c r="K77" i="10" s="1"/>
  <c r="K76" i="10" a="1"/>
  <c r="K76" i="10" s="1"/>
  <c r="K75" i="10" a="1"/>
  <c r="K75" i="10" s="1"/>
  <c r="K74" i="10" a="1"/>
  <c r="K74" i="10" s="1"/>
  <c r="K73" i="10" a="1"/>
  <c r="K73" i="10" s="1"/>
  <c r="K72" i="10" a="1"/>
  <c r="K72" i="10" s="1"/>
  <c r="K71" i="10" a="1"/>
  <c r="K71" i="10" s="1"/>
  <c r="K70" i="10" a="1"/>
  <c r="K70" i="10" s="1"/>
  <c r="K69" i="10" a="1"/>
  <c r="K69" i="10" s="1"/>
  <c r="K68" i="10" a="1"/>
  <c r="K68" i="10" s="1"/>
  <c r="K67" i="10" a="1"/>
  <c r="K67" i="10" s="1"/>
  <c r="K66" i="10" a="1"/>
  <c r="K66" i="10" s="1"/>
  <c r="K49" i="10" a="1"/>
  <c r="K49" i="10" s="1"/>
  <c r="K23" i="10" a="1"/>
  <c r="K23" i="10" s="1"/>
  <c r="K21" i="10" a="1"/>
  <c r="K21" i="10" s="1"/>
  <c r="I213" i="10" a="1"/>
  <c r="I213" i="10" s="1"/>
  <c r="I212" i="10" a="1"/>
  <c r="I212" i="10" s="1"/>
  <c r="I211" i="10" a="1"/>
  <c r="I211" i="10" s="1"/>
  <c r="I210" i="10" a="1"/>
  <c r="I210" i="10" s="1"/>
  <c r="I209" i="10" a="1"/>
  <c r="I209" i="10" s="1"/>
  <c r="I208" i="10" a="1"/>
  <c r="I208" i="10" s="1"/>
  <c r="I207" i="10" a="1"/>
  <c r="I207" i="10" s="1"/>
  <c r="I206" i="10" a="1"/>
  <c r="I206" i="10" s="1"/>
  <c r="I205" i="10" a="1"/>
  <c r="I205" i="10" s="1"/>
  <c r="I204" i="10" a="1"/>
  <c r="I204" i="10" s="1"/>
  <c r="I203" i="10" a="1"/>
  <c r="I203" i="10" s="1"/>
  <c r="I202" i="10" a="1"/>
  <c r="I202" i="10" s="1"/>
  <c r="I201" i="10" a="1"/>
  <c r="I201" i="10" s="1"/>
  <c r="I200" i="10" a="1"/>
  <c r="I200" i="10" s="1"/>
  <c r="I199" i="10" a="1"/>
  <c r="I199" i="10" s="1"/>
  <c r="I198" i="10" a="1"/>
  <c r="I198" i="10" s="1"/>
  <c r="I197" i="10" a="1"/>
  <c r="I197" i="10" s="1"/>
  <c r="I196" i="10" a="1"/>
  <c r="I196" i="10" s="1"/>
  <c r="I195" i="10" a="1"/>
  <c r="I195" i="10" s="1"/>
  <c r="I194" i="10" a="1"/>
  <c r="I194" i="10" s="1"/>
  <c r="I193" i="10" a="1"/>
  <c r="I193" i="10" s="1"/>
  <c r="I192" i="10" a="1"/>
  <c r="I192" i="10" s="1"/>
  <c r="I191" i="10" a="1"/>
  <c r="I191" i="10" s="1"/>
  <c r="I190" i="10" a="1"/>
  <c r="I190" i="10" s="1"/>
  <c r="I189" i="10" a="1"/>
  <c r="I189" i="10" s="1"/>
  <c r="I188" i="10" a="1"/>
  <c r="I188" i="10" s="1"/>
  <c r="I187" i="10" a="1"/>
  <c r="I187" i="10" s="1"/>
  <c r="I186" i="10" a="1"/>
  <c r="I186" i="10" s="1"/>
  <c r="I185" i="10" a="1"/>
  <c r="I185" i="10" s="1"/>
  <c r="I184" i="10" a="1"/>
  <c r="I184" i="10" s="1"/>
  <c r="I183" i="10" a="1"/>
  <c r="I183" i="10" s="1"/>
  <c r="I182" i="10" a="1"/>
  <c r="I182" i="10" s="1"/>
  <c r="I181" i="10" a="1"/>
  <c r="I181" i="10" s="1"/>
  <c r="I180" i="10" a="1"/>
  <c r="I180" i="10" s="1"/>
  <c r="I179" i="10" a="1"/>
  <c r="I179" i="10" s="1"/>
  <c r="I178" i="10" a="1"/>
  <c r="I178" i="10" s="1"/>
  <c r="I177" i="10" a="1"/>
  <c r="I177" i="10" s="1"/>
  <c r="I176" i="10" a="1"/>
  <c r="I176" i="10" s="1"/>
  <c r="I175" i="10" a="1"/>
  <c r="I175" i="10" s="1"/>
  <c r="I174" i="10" a="1"/>
  <c r="I174" i="10" s="1"/>
  <c r="I173" i="10" a="1"/>
  <c r="I173" i="10" s="1"/>
  <c r="I172" i="10" a="1"/>
  <c r="I172" i="10" s="1"/>
  <c r="I171" i="10" a="1"/>
  <c r="I171" i="10" s="1"/>
  <c r="I170" i="10" a="1"/>
  <c r="I170" i="10" s="1"/>
  <c r="I169" i="10" a="1"/>
  <c r="I169" i="10" s="1"/>
  <c r="I168" i="10" a="1"/>
  <c r="I168" i="10" s="1"/>
  <c r="I167" i="10" a="1"/>
  <c r="I167" i="10" s="1"/>
  <c r="I166" i="10" a="1"/>
  <c r="I166" i="10" s="1"/>
  <c r="I165" i="10" a="1"/>
  <c r="I165" i="10" s="1"/>
  <c r="I164" i="10" a="1"/>
  <c r="I164" i="10" s="1"/>
  <c r="I163" i="10" a="1"/>
  <c r="I163" i="10" s="1"/>
  <c r="I162" i="10" a="1"/>
  <c r="I162" i="10" s="1"/>
  <c r="I161" i="10" a="1"/>
  <c r="I161" i="10" s="1"/>
  <c r="I160" i="10" a="1"/>
  <c r="I160" i="10" s="1"/>
  <c r="I159" i="10" a="1"/>
  <c r="I159" i="10" s="1"/>
  <c r="I158" i="10" a="1"/>
  <c r="I158" i="10" s="1"/>
  <c r="I157" i="10" a="1"/>
  <c r="I157" i="10" s="1"/>
  <c r="I156" i="10" a="1"/>
  <c r="I156" i="10" s="1"/>
  <c r="I149" i="10" a="1"/>
  <c r="I149" i="10" s="1"/>
  <c r="I148" i="10" a="1"/>
  <c r="I148" i="10" s="1"/>
  <c r="I147" i="10" a="1"/>
  <c r="I147" i="10" s="1"/>
  <c r="I137" i="10" a="1"/>
  <c r="I137" i="10" s="1"/>
  <c r="I129" i="10" a="1"/>
  <c r="I129" i="10" s="1"/>
  <c r="I126" i="10" a="1"/>
  <c r="I126" i="10" s="1"/>
  <c r="I125" i="10" a="1"/>
  <c r="I125" i="10" s="1"/>
  <c r="I124" i="10" a="1"/>
  <c r="I124" i="10" s="1"/>
  <c r="I98" i="10" a="1"/>
  <c r="I98" i="10" s="1"/>
  <c r="I97" i="10" a="1"/>
  <c r="I97" i="10" s="1"/>
  <c r="I96" i="10" a="1"/>
  <c r="I96" i="10" s="1"/>
  <c r="I95" i="10" a="1"/>
  <c r="I95" i="10" s="1"/>
  <c r="I94" i="10" a="1"/>
  <c r="I94" i="10" s="1"/>
  <c r="I93" i="10" a="1"/>
  <c r="I93" i="10" s="1"/>
  <c r="I92" i="10" a="1"/>
  <c r="I92" i="10" s="1"/>
  <c r="I91" i="10" a="1"/>
  <c r="I91" i="10" s="1"/>
  <c r="I90" i="10" a="1"/>
  <c r="I90" i="10" s="1"/>
  <c r="I89" i="10" a="1"/>
  <c r="I89" i="10" s="1"/>
  <c r="I88" i="10" a="1"/>
  <c r="I88" i="10" s="1"/>
  <c r="I87" i="10" a="1"/>
  <c r="I87" i="10" s="1"/>
  <c r="I86" i="10" a="1"/>
  <c r="I86" i="10" s="1"/>
  <c r="I85" i="10" a="1"/>
  <c r="I85" i="10" s="1"/>
  <c r="I84" i="10" a="1"/>
  <c r="I84" i="10" s="1"/>
  <c r="I83" i="10" a="1"/>
  <c r="I83" i="10" s="1"/>
  <c r="I82" i="10" a="1"/>
  <c r="I82" i="10" s="1"/>
  <c r="I81" i="10" a="1"/>
  <c r="I81" i="10" s="1"/>
  <c r="I80" i="10" a="1"/>
  <c r="I80" i="10" s="1"/>
  <c r="I79" i="10" a="1"/>
  <c r="I79" i="10" s="1"/>
  <c r="I78" i="10" a="1"/>
  <c r="I78" i="10" s="1"/>
  <c r="I77" i="10" a="1"/>
  <c r="I77" i="10" s="1"/>
  <c r="I76" i="10" a="1"/>
  <c r="I76" i="10" s="1"/>
  <c r="I75" i="10" a="1"/>
  <c r="I75" i="10" s="1"/>
  <c r="I74" i="10" a="1"/>
  <c r="I74" i="10" s="1"/>
  <c r="I73" i="10" a="1"/>
  <c r="I73" i="10" s="1"/>
  <c r="I72" i="10" a="1"/>
  <c r="I72" i="10" s="1"/>
  <c r="I71" i="10" a="1"/>
  <c r="I71" i="10" s="1"/>
  <c r="I70" i="10" a="1"/>
  <c r="I70" i="10" s="1"/>
  <c r="I69" i="10" a="1"/>
  <c r="I69" i="10" s="1"/>
  <c r="I68" i="10" a="1"/>
  <c r="I68" i="10" s="1"/>
  <c r="I67" i="10" a="1"/>
  <c r="I67" i="10" s="1"/>
  <c r="I66" i="10" a="1"/>
  <c r="I66" i="10" s="1"/>
  <c r="I27" i="10" a="1"/>
  <c r="I27" i="10" s="1"/>
  <c r="I26" i="10" a="1"/>
  <c r="I26" i="10" s="1"/>
  <c r="I25" i="10" a="1"/>
  <c r="I25" i="10" s="1"/>
  <c r="I24" i="10" a="1"/>
  <c r="I24" i="10" s="1"/>
  <c r="I9" i="10" a="1"/>
  <c r="I9" i="10" s="1"/>
  <c r="I7" i="10" a="1"/>
  <c r="I7" i="10" s="1"/>
  <c r="I6" i="10" a="1"/>
  <c r="I6" i="10" s="1"/>
  <c r="K37" i="10" a="1"/>
  <c r="K37" i="10" s="1"/>
  <c r="K36" i="10" a="1"/>
  <c r="K36" i="10" s="1"/>
  <c r="K35" i="10" a="1"/>
  <c r="K35" i="10" s="1"/>
  <c r="K34" i="10" a="1"/>
  <c r="K34" i="10" s="1"/>
  <c r="K33" i="10" a="1"/>
  <c r="K33" i="10" s="1"/>
  <c r="K32" i="10" a="1"/>
  <c r="K32" i="10" s="1"/>
  <c r="K31" i="10" a="1"/>
  <c r="K31" i="10" s="1"/>
  <c r="K30" i="10" a="1"/>
  <c r="K30" i="10" s="1"/>
  <c r="K29" i="10" a="1"/>
  <c r="K29" i="10" s="1"/>
  <c r="K28" i="10" a="1"/>
  <c r="K28" i="10" s="1"/>
  <c r="K27" i="10" a="1"/>
  <c r="K27" i="10" s="1"/>
  <c r="K26" i="10" a="1"/>
  <c r="K26" i="10" s="1"/>
  <c r="K25" i="10" a="1"/>
  <c r="K25" i="10" s="1"/>
  <c r="K24" i="10" a="1"/>
  <c r="K24" i="10" s="1"/>
  <c r="K22" i="10" a="1"/>
  <c r="K22" i="10" s="1"/>
  <c r="K20" i="10" a="1"/>
  <c r="K20" i="10" s="1"/>
  <c r="K19" i="10" a="1"/>
  <c r="K19" i="10" s="1"/>
  <c r="K18" i="10" a="1"/>
  <c r="K18" i="10" s="1"/>
  <c r="K17" i="10" a="1"/>
  <c r="K17" i="10" s="1"/>
  <c r="K16" i="10" a="1"/>
  <c r="K16" i="10" s="1"/>
  <c r="K15" i="10" a="1"/>
  <c r="K15" i="10" s="1"/>
  <c r="K14" i="10" a="1"/>
  <c r="K14" i="10" s="1"/>
  <c r="K13" i="10" a="1"/>
  <c r="K13" i="10" s="1"/>
  <c r="K12" i="10" a="1"/>
  <c r="K12" i="10" s="1"/>
  <c r="K11" i="10" a="1"/>
  <c r="K11" i="10" s="1"/>
  <c r="K10" i="10" a="1"/>
  <c r="K10" i="10" s="1"/>
  <c r="K9" i="10" a="1"/>
  <c r="K9" i="10" s="1"/>
  <c r="K8" i="10" a="1"/>
  <c r="K8" i="10" s="1"/>
  <c r="K7" i="10" a="1"/>
  <c r="K7" i="10" s="1"/>
  <c r="K6" i="10" a="1"/>
  <c r="K6" i="10" s="1"/>
  <c r="N37" i="10" a="1"/>
  <c r="N37" i="10" s="1"/>
  <c r="N36" i="10" a="1"/>
  <c r="N36" i="10" s="1"/>
  <c r="N35" i="10" a="1"/>
  <c r="N35" i="10" s="1"/>
  <c r="N34" i="10" a="1"/>
  <c r="N34" i="10" s="1"/>
  <c r="N33" i="10" a="1"/>
  <c r="N33" i="10" s="1"/>
  <c r="N32" i="10" a="1"/>
  <c r="N32" i="10" s="1"/>
  <c r="N31" i="10" a="1"/>
  <c r="N31" i="10" s="1"/>
  <c r="N30" i="10" a="1"/>
  <c r="N30" i="10" s="1"/>
  <c r="N29" i="10" a="1"/>
  <c r="N29" i="10" s="1"/>
  <c r="N28" i="10" a="1"/>
  <c r="N28" i="10" s="1"/>
  <c r="N27" i="10" a="1"/>
  <c r="N27" i="10" s="1"/>
  <c r="N26" i="10" a="1"/>
  <c r="N26" i="10" s="1"/>
  <c r="N25" i="10" a="1"/>
  <c r="N25" i="10" s="1"/>
  <c r="N24" i="10" a="1"/>
  <c r="N24" i="10" s="1"/>
  <c r="N23" i="10" a="1"/>
  <c r="N23" i="10" s="1"/>
  <c r="N22" i="10" a="1"/>
  <c r="N22" i="10" s="1"/>
  <c r="N21" i="10" a="1"/>
  <c r="N21" i="10" s="1"/>
  <c r="N20" i="10" a="1"/>
  <c r="N20" i="10" s="1"/>
  <c r="N19" i="10" a="1"/>
  <c r="N19" i="10" s="1"/>
  <c r="N18" i="10" a="1"/>
  <c r="N18" i="10" s="1"/>
  <c r="N17" i="10" a="1"/>
  <c r="N17" i="10" s="1"/>
  <c r="N16" i="10" a="1"/>
  <c r="N16" i="10" s="1"/>
  <c r="N15" i="10" a="1"/>
  <c r="N15" i="10" s="1"/>
  <c r="N14" i="10" a="1"/>
  <c r="N14" i="10" s="1"/>
  <c r="N13" i="10" a="1"/>
  <c r="N13" i="10" s="1"/>
  <c r="N12" i="10" a="1"/>
  <c r="N12" i="10" s="1"/>
  <c r="N11" i="10" a="1"/>
  <c r="N11" i="10" s="1"/>
  <c r="N10" i="10" a="1"/>
  <c r="N10" i="10" s="1"/>
  <c r="N9" i="10" a="1"/>
  <c r="N9" i="10" s="1"/>
  <c r="N8" i="10" a="1"/>
  <c r="N8" i="10" s="1"/>
  <c r="N7" i="10" a="1"/>
  <c r="N7" i="10" s="1"/>
  <c r="N6" i="10" a="1"/>
  <c r="N6" i="10" s="1"/>
  <c r="I37" i="10" a="1"/>
  <c r="I37" i="10" s="1"/>
  <c r="I36" i="10" a="1"/>
  <c r="I36" i="10" s="1"/>
  <c r="I35" i="10" a="1"/>
  <c r="I35" i="10" s="1"/>
  <c r="I34" i="10" a="1"/>
  <c r="I34" i="10" s="1"/>
  <c r="I33" i="10" a="1"/>
  <c r="I33" i="10" s="1"/>
  <c r="I32" i="10" a="1"/>
  <c r="I32" i="10" s="1"/>
  <c r="I31" i="10" a="1"/>
  <c r="I31" i="10" s="1"/>
  <c r="I30" i="10" a="1"/>
  <c r="I30" i="10" s="1"/>
  <c r="I29" i="10" a="1"/>
  <c r="I29" i="10" s="1"/>
  <c r="I28" i="10" a="1"/>
  <c r="I28" i="10" s="1"/>
  <c r="I23" i="10" a="1"/>
  <c r="I23" i="10" s="1"/>
  <c r="I22" i="10" a="1"/>
  <c r="I22" i="10" s="1"/>
  <c r="I21" i="10" a="1"/>
  <c r="I21" i="10" s="1"/>
  <c r="I20" i="10" a="1"/>
  <c r="I20" i="10" s="1"/>
  <c r="I19" i="10" a="1"/>
  <c r="I19" i="10" s="1"/>
  <c r="I18" i="10" a="1"/>
  <c r="I18" i="10" s="1"/>
  <c r="I17" i="10" a="1"/>
  <c r="I17" i="10" s="1"/>
  <c r="I16" i="10" a="1"/>
  <c r="I16" i="10" s="1"/>
  <c r="I15" i="10" a="1"/>
  <c r="I15" i="10" s="1"/>
  <c r="I14" i="10" a="1"/>
  <c r="I14" i="10" s="1"/>
  <c r="I13" i="10" a="1"/>
  <c r="I13" i="10" s="1"/>
  <c r="I12" i="10" a="1"/>
  <c r="I12" i="10" s="1"/>
  <c r="I11" i="10" a="1"/>
  <c r="I11" i="10" s="1"/>
  <c r="I10" i="10" a="1"/>
  <c r="I10" i="10" s="1"/>
  <c r="I8" i="10" a="1"/>
  <c r="I8" i="10" s="1"/>
  <c r="K155" i="10" a="1"/>
  <c r="K155" i="10" s="1"/>
  <c r="K154" i="10" a="1"/>
  <c r="K154" i="10" s="1"/>
  <c r="K152" i="10" a="1"/>
  <c r="K152" i="10" s="1"/>
  <c r="K151" i="10" a="1"/>
  <c r="K151" i="10" s="1"/>
  <c r="K150" i="10" a="1"/>
  <c r="K150" i="10" s="1"/>
  <c r="K149" i="10" a="1"/>
  <c r="K149" i="10" s="1"/>
  <c r="K148" i="10" a="1"/>
  <c r="K148" i="10" s="1"/>
  <c r="K147" i="10" a="1"/>
  <c r="K147" i="10" s="1"/>
  <c r="K146" i="10" a="1"/>
  <c r="K146" i="10" s="1"/>
  <c r="K143" i="10" a="1"/>
  <c r="K143" i="10" s="1"/>
  <c r="K140" i="10" a="1"/>
  <c r="K140" i="10" s="1"/>
  <c r="K138" i="10" a="1"/>
  <c r="K138" i="10" s="1"/>
  <c r="K137" i="10" a="1"/>
  <c r="K137" i="10" s="1"/>
  <c r="K136" i="10" a="1"/>
  <c r="K136" i="10" s="1"/>
  <c r="K135" i="10" a="1"/>
  <c r="K135" i="10" s="1"/>
  <c r="K134" i="10" a="1"/>
  <c r="K134" i="10" s="1"/>
  <c r="K132" i="10" a="1"/>
  <c r="K132" i="10" s="1"/>
  <c r="K131" i="10" a="1"/>
  <c r="K131" i="10" s="1"/>
  <c r="K127" i="10" a="1"/>
  <c r="K127" i="10" s="1"/>
  <c r="N155" i="10" a="1"/>
  <c r="N155" i="10" s="1"/>
  <c r="N154" i="10" a="1"/>
  <c r="N154" i="10" s="1"/>
  <c r="N153" i="10" a="1"/>
  <c r="N153" i="10" s="1"/>
  <c r="N152" i="10" a="1"/>
  <c r="N152" i="10" s="1"/>
  <c r="N151" i="10" a="1"/>
  <c r="N151" i="10" s="1"/>
  <c r="N150" i="10" a="1"/>
  <c r="N150" i="10" s="1"/>
  <c r="N149" i="10" a="1"/>
  <c r="N149" i="10" s="1"/>
  <c r="N147" i="10" a="1"/>
  <c r="N147" i="10" s="1"/>
  <c r="N146" i="10" a="1"/>
  <c r="N146" i="10" s="1"/>
  <c r="N145" i="10" a="1"/>
  <c r="N145" i="10" s="1"/>
  <c r="N144" i="10" a="1"/>
  <c r="N144" i="10" s="1"/>
  <c r="N143" i="10" a="1"/>
  <c r="N143" i="10" s="1"/>
  <c r="N142" i="10" a="1"/>
  <c r="N142" i="10" s="1"/>
  <c r="N141" i="10" a="1"/>
  <c r="N141" i="10" s="1"/>
  <c r="N140" i="10" a="1"/>
  <c r="N140" i="10" s="1"/>
  <c r="N138" i="10" a="1"/>
  <c r="N138" i="10" s="1"/>
  <c r="N137" i="10" a="1"/>
  <c r="N137" i="10" s="1"/>
  <c r="N136" i="10" a="1"/>
  <c r="N136" i="10" s="1"/>
  <c r="N135" i="10" a="1"/>
  <c r="N135" i="10" s="1"/>
  <c r="N134" i="10" a="1"/>
  <c r="N134" i="10" s="1"/>
  <c r="N133" i="10" a="1"/>
  <c r="N133" i="10" s="1"/>
  <c r="N132" i="10" a="1"/>
  <c r="N132" i="10" s="1"/>
  <c r="N131" i="10" a="1"/>
  <c r="N131" i="10" s="1"/>
  <c r="N130" i="10" a="1"/>
  <c r="N130" i="10" s="1"/>
  <c r="N129" i="10" a="1"/>
  <c r="N129" i="10" s="1"/>
  <c r="N128" i="10" a="1"/>
  <c r="N128" i="10" s="1"/>
  <c r="N127" i="10" a="1"/>
  <c r="N127" i="10" s="1"/>
  <c r="I155" i="10" a="1"/>
  <c r="I155" i="10" s="1"/>
  <c r="I154" i="10" a="1"/>
  <c r="I154" i="10" s="1"/>
  <c r="I153" i="10" a="1"/>
  <c r="I153" i="10" s="1"/>
  <c r="I152" i="10" a="1"/>
  <c r="I152" i="10" s="1"/>
  <c r="I151" i="10" a="1"/>
  <c r="I151" i="10" s="1"/>
  <c r="I150" i="10" a="1"/>
  <c r="I150" i="10" s="1"/>
  <c r="I146" i="10" a="1"/>
  <c r="I146" i="10" s="1"/>
  <c r="I145" i="10" a="1"/>
  <c r="I145" i="10" s="1"/>
  <c r="I144" i="10" a="1"/>
  <c r="I144" i="10" s="1"/>
  <c r="I143" i="10" a="1"/>
  <c r="I143" i="10" s="1"/>
  <c r="I142" i="10" a="1"/>
  <c r="I142" i="10" s="1"/>
  <c r="I141" i="10" a="1"/>
  <c r="I141" i="10" s="1"/>
  <c r="I140" i="10" a="1"/>
  <c r="I140" i="10" s="1"/>
  <c r="I139" i="10" a="1"/>
  <c r="I139" i="10" s="1"/>
  <c r="I138" i="10" a="1"/>
  <c r="I138" i="10" s="1"/>
  <c r="I136" i="10" a="1"/>
  <c r="I136" i="10" s="1"/>
  <c r="I135" i="10" a="1"/>
  <c r="I135" i="10" s="1"/>
  <c r="I134" i="10" a="1"/>
  <c r="I134" i="10" s="1"/>
  <c r="I133" i="10" a="1"/>
  <c r="I133" i="10" s="1"/>
  <c r="I132" i="10" a="1"/>
  <c r="I132" i="10" s="1"/>
  <c r="I131" i="10" a="1"/>
  <c r="I131" i="10" s="1"/>
  <c r="I130" i="10" a="1"/>
  <c r="I130" i="10" s="1"/>
  <c r="I128" i="10" a="1"/>
  <c r="I128" i="10" s="1"/>
  <c r="I127" i="10" a="1"/>
  <c r="I127" i="10" s="1"/>
  <c r="K125" i="10" a="1"/>
  <c r="K125" i="10" s="1"/>
  <c r="K124" i="10" a="1"/>
  <c r="K124" i="10" s="1"/>
  <c r="K121" i="10" a="1"/>
  <c r="K121" i="10" s="1"/>
  <c r="K120" i="10" a="1"/>
  <c r="K120" i="10" s="1"/>
  <c r="K119" i="10" a="1"/>
  <c r="K119" i="10" s="1"/>
  <c r="K118" i="10" a="1"/>
  <c r="K118" i="10" s="1"/>
  <c r="K117" i="10" a="1"/>
  <c r="K117" i="10" s="1"/>
  <c r="K113" i="10" a="1"/>
  <c r="K113" i="10" s="1"/>
  <c r="K111" i="10" a="1"/>
  <c r="K111" i="10" s="1"/>
  <c r="K110" i="10" a="1"/>
  <c r="K110" i="10" s="1"/>
  <c r="K109" i="10" a="1"/>
  <c r="K109" i="10" s="1"/>
  <c r="K106" i="10" a="1"/>
  <c r="K106" i="10" s="1"/>
  <c r="K102" i="10" a="1"/>
  <c r="K102" i="10" s="1"/>
  <c r="K101" i="10" a="1"/>
  <c r="K101" i="10" s="1"/>
  <c r="K100" i="10" a="1"/>
  <c r="K100" i="10" s="1"/>
  <c r="K99" i="10" a="1"/>
  <c r="K99" i="10" s="1"/>
  <c r="K98" i="10" a="1"/>
  <c r="K98" i="10" s="1"/>
  <c r="K97" i="10" a="1"/>
  <c r="K97" i="10" s="1"/>
  <c r="N126" i="10" a="1"/>
  <c r="N126" i="10" s="1"/>
  <c r="N125" i="10" a="1"/>
  <c r="N125" i="10" s="1"/>
  <c r="N124" i="10" a="1"/>
  <c r="N124" i="10" s="1"/>
  <c r="N123" i="10" a="1"/>
  <c r="N123" i="10" s="1"/>
  <c r="N122" i="10" a="1"/>
  <c r="N122" i="10" s="1"/>
  <c r="N121" i="10" a="1"/>
  <c r="N121" i="10" s="1"/>
  <c r="N119" i="10" a="1"/>
  <c r="N119" i="10" s="1"/>
  <c r="N118" i="10" a="1"/>
  <c r="N118" i="10" s="1"/>
  <c r="N117" i="10" a="1"/>
  <c r="N117" i="10" s="1"/>
  <c r="N116" i="10" a="1"/>
  <c r="N116" i="10" s="1"/>
  <c r="N115" i="10" a="1"/>
  <c r="N115" i="10" s="1"/>
  <c r="N114" i="10" a="1"/>
  <c r="N114" i="10" s="1"/>
  <c r="N113" i="10" a="1"/>
  <c r="N113" i="10" s="1"/>
  <c r="N112" i="10" a="1"/>
  <c r="N112" i="10" s="1"/>
  <c r="N111" i="10" a="1"/>
  <c r="N111" i="10" s="1"/>
  <c r="N110" i="10" a="1"/>
  <c r="N110" i="10" s="1"/>
  <c r="N109" i="10" a="1"/>
  <c r="N109" i="10" s="1"/>
  <c r="N108" i="10" a="1"/>
  <c r="N108" i="10" s="1"/>
  <c r="N107" i="10" a="1"/>
  <c r="N107" i="10" s="1"/>
  <c r="N101" i="10" a="1"/>
  <c r="N101" i="10" s="1"/>
  <c r="N100" i="10" a="1"/>
  <c r="N100" i="10" s="1"/>
  <c r="N99" i="10" a="1"/>
  <c r="N99" i="10" s="1"/>
  <c r="N98" i="10" a="1"/>
  <c r="N98" i="10" s="1"/>
  <c r="N97" i="10" a="1"/>
  <c r="N97" i="10" s="1"/>
  <c r="N96" i="10" a="1"/>
  <c r="N96" i="10" s="1"/>
  <c r="I123" i="10" a="1"/>
  <c r="I123" i="10" s="1"/>
  <c r="I122" i="10" a="1"/>
  <c r="I122" i="10" s="1"/>
  <c r="I121" i="10" a="1"/>
  <c r="I121" i="10" s="1"/>
  <c r="I120" i="10" a="1"/>
  <c r="I120" i="10" s="1"/>
  <c r="I119" i="10" a="1"/>
  <c r="I119" i="10" s="1"/>
  <c r="I118" i="10" a="1"/>
  <c r="I118" i="10" s="1"/>
  <c r="I117" i="10" a="1"/>
  <c r="I117" i="10" s="1"/>
  <c r="I116" i="10" a="1"/>
  <c r="I116" i="10" s="1"/>
  <c r="I115" i="10" a="1"/>
  <c r="I115" i="10" s="1"/>
  <c r="I114" i="10" a="1"/>
  <c r="I114" i="10" s="1"/>
  <c r="I113" i="10" a="1"/>
  <c r="I113" i="10" s="1"/>
  <c r="I112" i="10" a="1"/>
  <c r="I112" i="10" s="1"/>
  <c r="I111" i="10" a="1"/>
  <c r="I111" i="10" s="1"/>
  <c r="I110" i="10" a="1"/>
  <c r="I110" i="10" s="1"/>
  <c r="I109" i="10" a="1"/>
  <c r="I109" i="10" s="1"/>
  <c r="I108" i="10" a="1"/>
  <c r="I108" i="10" s="1"/>
  <c r="I107" i="10" a="1"/>
  <c r="I107" i="10" s="1"/>
  <c r="I106" i="10" a="1"/>
  <c r="I106" i="10" s="1"/>
  <c r="I105" i="10" a="1"/>
  <c r="I105" i="10" s="1"/>
  <c r="I104" i="10" a="1"/>
  <c r="I104" i="10" s="1"/>
  <c r="I103" i="10" a="1"/>
  <c r="I103" i="10" s="1"/>
  <c r="I102" i="10" a="1"/>
  <c r="I102" i="10" s="1"/>
  <c r="I101" i="10" a="1"/>
  <c r="I101" i="10" s="1"/>
  <c r="I100" i="10" a="1"/>
  <c r="I100" i="10" s="1"/>
  <c r="I99" i="10" a="1"/>
  <c r="I99" i="10" s="1"/>
  <c r="AI36" i="22" l="1"/>
  <c r="H8" i="22"/>
  <c r="BA36" i="22"/>
  <c r="AO36" i="22"/>
  <c r="AU36" i="22"/>
  <c r="O66" i="10" a="1"/>
  <c r="O66" i="10" s="1"/>
  <c r="O86" i="10" a="1"/>
  <c r="O86" i="10" s="1"/>
  <c r="O67" i="10" a="1"/>
  <c r="O67" i="10" s="1"/>
  <c r="O9" i="10" a="1"/>
  <c r="O9" i="10" s="1"/>
  <c r="O118" i="10" a="1"/>
  <c r="O118" i="10" s="1"/>
  <c r="O28" i="10" a="1"/>
  <c r="O28" i="10" s="1"/>
  <c r="O196" i="10" a="1"/>
  <c r="O196" i="10" s="1"/>
  <c r="O68" i="10" a="1"/>
  <c r="O68" i="10" s="1"/>
  <c r="O69" i="10" a="1"/>
  <c r="O69" i="10" s="1"/>
  <c r="O70" i="10" a="1"/>
  <c r="O70" i="10" s="1"/>
  <c r="O101" i="10" a="1"/>
  <c r="O101" i="10" s="1"/>
  <c r="O107" i="10" a="1"/>
  <c r="O107" i="10" s="1"/>
  <c r="O90" i="10" a="1"/>
  <c r="O90" i="10" s="1"/>
  <c r="O113" i="10" a="1"/>
  <c r="O113" i="10" s="1"/>
  <c r="O81" i="10" a="1"/>
  <c r="O81" i="10" s="1"/>
  <c r="O147" i="10" a="1"/>
  <c r="O147" i="10" s="1"/>
  <c r="O132" i="10" a="1"/>
  <c r="O132" i="10" s="1"/>
  <c r="O134" i="10" a="1"/>
  <c r="O134" i="10" s="1"/>
  <c r="O133" i="10" a="1"/>
  <c r="O133" i="10" s="1"/>
  <c r="O156" i="10" a="1"/>
  <c r="O156" i="10" s="1"/>
  <c r="O103" i="10" a="1"/>
  <c r="O103" i="10" s="1"/>
  <c r="O178" i="10" a="1"/>
  <c r="O178" i="10" s="1"/>
  <c r="O104" i="10" a="1"/>
  <c r="O104" i="10" s="1"/>
  <c r="O198" i="10" a="1"/>
  <c r="O198" i="10" s="1"/>
  <c r="O32" i="10" a="1"/>
  <c r="O32" i="10" s="1"/>
  <c r="O180" i="10" a="1"/>
  <c r="O180" i="10" s="1"/>
  <c r="O199" i="10" a="1"/>
  <c r="O199" i="10" s="1"/>
  <c r="O33" i="10" a="1"/>
  <c r="O33" i="10" s="1"/>
  <c r="O181" i="10" a="1"/>
  <c r="O181" i="10" s="1"/>
  <c r="O200" i="10" a="1"/>
  <c r="O200" i="10" s="1"/>
  <c r="O24" i="10" a="1"/>
  <c r="O24" i="10" s="1"/>
  <c r="O34" i="10" a="1"/>
  <c r="O34" i="10" s="1"/>
  <c r="O82" i="10" a="1"/>
  <c r="O82" i="10" s="1"/>
  <c r="O182" i="10" a="1"/>
  <c r="O182" i="10" s="1"/>
  <c r="O201" i="10" a="1"/>
  <c r="O201" i="10" s="1"/>
  <c r="O96" i="10" a="1"/>
  <c r="O96" i="10" s="1"/>
  <c r="O116" i="10" a="1"/>
  <c r="O116" i="10" s="1"/>
  <c r="O129" i="10" a="1"/>
  <c r="O129" i="10" s="1"/>
  <c r="O149" i="10" a="1"/>
  <c r="O149" i="10" s="1"/>
  <c r="O25" i="10" a="1"/>
  <c r="O25" i="10" s="1"/>
  <c r="O35" i="10" a="1"/>
  <c r="O35" i="10" s="1"/>
  <c r="O83" i="10" a="1"/>
  <c r="O83" i="10" s="1"/>
  <c r="O163" i="10" a="1"/>
  <c r="O163" i="10" s="1"/>
  <c r="O183" i="10" a="1"/>
  <c r="O183" i="10" s="1"/>
  <c r="O97" i="10" a="1"/>
  <c r="O97" i="10" s="1"/>
  <c r="O117" i="10" a="1"/>
  <c r="O117" i="10" s="1"/>
  <c r="O150" i="10" a="1"/>
  <c r="O150" i="10" s="1"/>
  <c r="O6" i="10" a="1"/>
  <c r="O6" i="10" s="1"/>
  <c r="O26" i="10" a="1"/>
  <c r="O26" i="10" s="1"/>
  <c r="O84" i="10" a="1"/>
  <c r="O84" i="10" s="1"/>
  <c r="O164" i="10" a="1"/>
  <c r="O164" i="10" s="1"/>
  <c r="O98" i="10" a="1"/>
  <c r="O98" i="10" s="1"/>
  <c r="O151" i="10" a="1"/>
  <c r="O151" i="10" s="1"/>
  <c r="O7" i="10" a="1"/>
  <c r="O7" i="10" s="1"/>
  <c r="O27" i="10" a="1"/>
  <c r="O27" i="10" s="1"/>
  <c r="O85" i="10" a="1"/>
  <c r="O85" i="10" s="1"/>
  <c r="O102" i="10" a="1"/>
  <c r="O102" i="10" s="1"/>
  <c r="O99" i="10" a="1"/>
  <c r="O99" i="10" s="1"/>
  <c r="O152" i="10" a="1"/>
  <c r="O152" i="10" s="1"/>
  <c r="O8" i="10" a="1"/>
  <c r="O8" i="10" s="1"/>
  <c r="O130" i="10" a="1"/>
  <c r="O130" i="10" s="1"/>
  <c r="O166" i="10" a="1"/>
  <c r="O166" i="10" s="1"/>
  <c r="O100" i="10" a="1"/>
  <c r="O100" i="10" s="1"/>
  <c r="O153" i="10" a="1"/>
  <c r="O153" i="10" s="1"/>
  <c r="O29" i="10" a="1"/>
  <c r="O29" i="10" s="1"/>
  <c r="O154" i="10" a="1"/>
  <c r="O154" i="10" s="1"/>
  <c r="O123" i="10" a="1"/>
  <c r="O123" i="10" s="1"/>
  <c r="O155" i="10" a="1"/>
  <c r="O155" i="10" s="1"/>
  <c r="O11" i="10" a="1"/>
  <c r="O11" i="10" s="1"/>
  <c r="O12" i="10" a="1"/>
  <c r="O12" i="10" s="1"/>
  <c r="O137" i="10" a="1"/>
  <c r="O137" i="10" s="1"/>
  <c r="O71" i="10" a="1"/>
  <c r="O71" i="10" s="1"/>
  <c r="O138" i="10" a="1"/>
  <c r="O138" i="10" s="1"/>
  <c r="O191" i="10" a="1"/>
  <c r="O191" i="10" s="1"/>
  <c r="O126" i="10" a="1"/>
  <c r="O126" i="10" s="1"/>
  <c r="O14" i="10" a="1"/>
  <c r="O14" i="10" s="1"/>
  <c r="O197" i="10" a="1"/>
  <c r="O197" i="10" s="1"/>
  <c r="O179" i="10" a="1"/>
  <c r="O179" i="10" s="1"/>
  <c r="O119" i="10" a="1"/>
  <c r="O119" i="10" s="1"/>
  <c r="O131" i="10" a="1"/>
  <c r="O131" i="10" s="1"/>
  <c r="O122" i="10" a="1"/>
  <c r="O122" i="10" s="1"/>
  <c r="O10" i="10" a="1"/>
  <c r="O10" i="10" s="1"/>
  <c r="O135" i="10" a="1"/>
  <c r="O135" i="10" s="1"/>
  <c r="O31" i="10" a="1"/>
  <c r="O31" i="10" s="1"/>
  <c r="O124" i="10" a="1"/>
  <c r="O124" i="10" s="1"/>
  <c r="O136" i="10" a="1"/>
  <c r="O136" i="10" s="1"/>
  <c r="O190" i="10" a="1"/>
  <c r="O190" i="10" s="1"/>
  <c r="O125" i="10" a="1"/>
  <c r="O125" i="10" s="1"/>
  <c r="O91" i="10" a="1"/>
  <c r="O91" i="10" s="1"/>
  <c r="O210" i="10" a="1"/>
  <c r="O210" i="10" s="1"/>
  <c r="O72" i="10" a="1"/>
  <c r="O72" i="10" s="1"/>
  <c r="O172" i="10" a="1"/>
  <c r="O172" i="10" s="1"/>
  <c r="O192" i="10" a="1"/>
  <c r="O192" i="10" s="1"/>
  <c r="O15" i="10" a="1"/>
  <c r="O15" i="10" s="1"/>
  <c r="O73" i="10" a="1"/>
  <c r="O73" i="10" s="1"/>
  <c r="O173" i="10" a="1"/>
  <c r="O173" i="10" s="1"/>
  <c r="O16" i="10" a="1"/>
  <c r="O16" i="10" s="1"/>
  <c r="O74" i="10" a="1"/>
  <c r="O74" i="10" s="1"/>
  <c r="O174" i="10" a="1"/>
  <c r="O174" i="10" s="1"/>
  <c r="O146" i="10" a="1"/>
  <c r="O146" i="10" s="1"/>
  <c r="O165" i="10" a="1"/>
  <c r="O165" i="10" s="1"/>
  <c r="O184" i="10" a="1"/>
  <c r="O184" i="10" s="1"/>
  <c r="O36" i="10" a="1"/>
  <c r="O36" i="10" s="1"/>
  <c r="O13" i="10" a="1"/>
  <c r="O13" i="10" s="1"/>
  <c r="O114" i="10" a="1"/>
  <c r="O114" i="10" s="1"/>
  <c r="O115" i="10" a="1"/>
  <c r="O115" i="10" s="1"/>
  <c r="O148" i="10" a="1"/>
  <c r="O148" i="10" s="1"/>
  <c r="O17" i="10" a="1"/>
  <c r="O17" i="10" s="1"/>
  <c r="O18" i="10" a="1"/>
  <c r="O18" i="10" s="1"/>
  <c r="O109" i="10" a="1"/>
  <c r="O109" i="10" s="1"/>
  <c r="O143" i="10" a="1"/>
  <c r="O143" i="10" s="1"/>
  <c r="O171" i="10" a="1"/>
  <c r="O171" i="10" s="1"/>
  <c r="O21" i="10" a="1"/>
  <c r="O21" i="10" s="1"/>
  <c r="O112" i="10" a="1"/>
  <c r="O112" i="10" s="1"/>
  <c r="O145" i="10" a="1"/>
  <c r="O145" i="10" s="1"/>
  <c r="O22" i="10" a="1"/>
  <c r="O22" i="10" s="1"/>
  <c r="O121" i="10" a="1"/>
  <c r="O121" i="10" s="1"/>
  <c r="O30" i="10" a="1"/>
  <c r="O30" i="10" s="1"/>
  <c r="O37" i="10" a="1"/>
  <c r="O37" i="10" s="1"/>
  <c r="O205" i="10" a="1"/>
  <c r="O205" i="10" s="1"/>
  <c r="O140" i="10" a="1"/>
  <c r="O140" i="10" s="1"/>
  <c r="O188" i="10" a="1"/>
  <c r="O188" i="10" s="1"/>
  <c r="O108" i="10" a="1"/>
  <c r="O108" i="10" s="1"/>
  <c r="O141" i="10" a="1"/>
  <c r="O141" i="10" s="1"/>
  <c r="O189" i="10" a="1"/>
  <c r="O189" i="10" s="1"/>
  <c r="O110" i="10" a="1"/>
  <c r="O110" i="10" s="1"/>
  <c r="O144" i="10" a="1"/>
  <c r="O144" i="10" s="1"/>
  <c r="O128" i="10" a="1"/>
  <c r="O128" i="10" s="1"/>
  <c r="O206" i="10" a="1"/>
  <c r="O206" i="10" s="1"/>
  <c r="O75" i="10" a="1"/>
  <c r="O75" i="10" s="1"/>
  <c r="O142" i="10" a="1"/>
  <c r="O142" i="10" s="1"/>
  <c r="O19" i="10" a="1"/>
  <c r="O19" i="10" s="1"/>
  <c r="O20" i="10" a="1"/>
  <c r="O20" i="10" s="1"/>
  <c r="O111" i="10" a="1"/>
  <c r="O111" i="10" s="1"/>
  <c r="O127" i="10" a="1"/>
  <c r="O127" i="10" s="1"/>
  <c r="O175" i="10" a="1"/>
  <c r="O175" i="10" s="1"/>
  <c r="O167" i="10" a="1"/>
  <c r="O167" i="10" s="1"/>
  <c r="O202" i="10" a="1"/>
  <c r="O202" i="10" s="1"/>
  <c r="O87" i="10" a="1"/>
  <c r="O87" i="10" s="1"/>
  <c r="O105" i="10" a="1"/>
  <c r="O105" i="10" s="1"/>
  <c r="O120" i="10" a="1"/>
  <c r="O120" i="10" s="1"/>
  <c r="O168" i="10" a="1"/>
  <c r="O168" i="10" s="1"/>
  <c r="O185" i="10" a="1"/>
  <c r="O185" i="10" s="1"/>
  <c r="O203" i="10" a="1"/>
  <c r="O203" i="10" s="1"/>
  <c r="O23" i="10" a="1"/>
  <c r="O23" i="10" s="1"/>
  <c r="O88" i="10" a="1"/>
  <c r="O88" i="10" s="1"/>
  <c r="O106" i="10" a="1"/>
  <c r="O106" i="10" s="1"/>
  <c r="O169" i="10" a="1"/>
  <c r="O169" i="10" s="1"/>
  <c r="O186" i="10" a="1"/>
  <c r="O186" i="10" s="1"/>
  <c r="O204" i="10" a="1"/>
  <c r="O204" i="10" s="1"/>
  <c r="O89" i="10" a="1"/>
  <c r="O89" i="10" s="1"/>
  <c r="O170" i="10" a="1"/>
  <c r="O170" i="10" s="1"/>
  <c r="O187" i="10" a="1"/>
  <c r="O187" i="10" s="1"/>
  <c r="O92" i="10" a="1"/>
  <c r="O92" i="10" s="1"/>
  <c r="O207" i="10" a="1"/>
  <c r="O207" i="10" s="1"/>
  <c r="O208" i="10" a="1"/>
  <c r="O208" i="10" s="1"/>
  <c r="O76" i="10" a="1"/>
  <c r="O76" i="10" s="1"/>
  <c r="O209" i="10" a="1"/>
  <c r="O209" i="10" s="1"/>
  <c r="O77" i="10" a="1"/>
  <c r="O77" i="10" s="1"/>
  <c r="O94" i="10" a="1"/>
  <c r="O94" i="10" s="1"/>
  <c r="O95" i="10" a="1"/>
  <c r="O95" i="10" s="1"/>
  <c r="O160" i="10" a="1"/>
  <c r="O160" i="10" s="1"/>
  <c r="O194" i="10" a="1"/>
  <c r="O194" i="10" s="1"/>
  <c r="O211" i="10" a="1"/>
  <c r="O211" i="10" s="1"/>
  <c r="O79" i="10" a="1"/>
  <c r="O79" i="10" s="1"/>
  <c r="O161" i="10" a="1"/>
  <c r="O161" i="10" s="1"/>
  <c r="O176" i="10" a="1"/>
  <c r="O176" i="10" s="1"/>
  <c r="O195" i="10" a="1"/>
  <c r="O195" i="10" s="1"/>
  <c r="O212" i="10" a="1"/>
  <c r="O212" i="10" s="1"/>
  <c r="O139" i="10" a="1"/>
  <c r="O139" i="10" s="1"/>
  <c r="O157" i="10" a="1"/>
  <c r="O157" i="10" s="1"/>
  <c r="O93" i="10" a="1"/>
  <c r="O93" i="10" s="1"/>
  <c r="O158" i="10" a="1"/>
  <c r="O158" i="10" s="1"/>
  <c r="O159" i="10" a="1"/>
  <c r="O159" i="10" s="1"/>
  <c r="O193" i="10" a="1"/>
  <c r="O193" i="10" s="1"/>
  <c r="O78" i="10" a="1"/>
  <c r="O78" i="10" s="1"/>
  <c r="O80" i="10" a="1"/>
  <c r="O80" i="10" s="1"/>
  <c r="O162" i="10" a="1"/>
  <c r="O162" i="10" s="1"/>
  <c r="O177" i="10" a="1"/>
  <c r="O177" i="10" s="1"/>
  <c r="O213" i="10" a="1"/>
  <c r="O213" i="10" s="1"/>
  <c r="K65" i="10" a="1"/>
  <c r="K65" i="10" s="1"/>
  <c r="K64" i="10" a="1"/>
  <c r="K64" i="10" s="1"/>
  <c r="K63" i="10" a="1"/>
  <c r="K63" i="10" s="1"/>
  <c r="K62" i="10" a="1"/>
  <c r="K62" i="10" s="1"/>
  <c r="K61" i="10" a="1"/>
  <c r="K61" i="10" s="1"/>
  <c r="K60" i="10" a="1"/>
  <c r="K60" i="10" s="1"/>
  <c r="K59" i="10" a="1"/>
  <c r="K59" i="10" s="1"/>
  <c r="K58" i="10" a="1"/>
  <c r="K58" i="10" s="1"/>
  <c r="K57" i="10" a="1"/>
  <c r="K57" i="10" s="1"/>
  <c r="K56" i="10" a="1"/>
  <c r="K56" i="10" s="1"/>
  <c r="K55" i="10" a="1"/>
  <c r="K55" i="10" s="1"/>
  <c r="K54" i="10" a="1"/>
  <c r="K54" i="10" s="1"/>
  <c r="K53" i="10" a="1"/>
  <c r="K53" i="10" s="1"/>
  <c r="K52" i="10" a="1"/>
  <c r="K52" i="10" s="1"/>
  <c r="K51" i="10" a="1"/>
  <c r="K51" i="10" s="1"/>
  <c r="K50" i="10" a="1"/>
  <c r="K50" i="10" s="1"/>
  <c r="K48" i="10" a="1"/>
  <c r="K48" i="10" s="1"/>
  <c r="K47" i="10" a="1"/>
  <c r="K47" i="10" s="1"/>
  <c r="K46" i="10" a="1"/>
  <c r="K46" i="10" s="1"/>
  <c r="K45" i="10" a="1"/>
  <c r="K45" i="10" s="1"/>
  <c r="K44" i="10" a="1"/>
  <c r="K44" i="10" s="1"/>
  <c r="K43" i="10" a="1"/>
  <c r="K43" i="10" s="1"/>
  <c r="K42" i="10" a="1"/>
  <c r="K42" i="10" s="1"/>
  <c r="K41" i="10" a="1"/>
  <c r="K41" i="10" s="1"/>
  <c r="K40" i="10" a="1"/>
  <c r="K40" i="10" s="1"/>
  <c r="K39" i="10" a="1"/>
  <c r="K39" i="10" s="1"/>
  <c r="K38" i="10" a="1"/>
  <c r="K38" i="10" s="1"/>
  <c r="N65" i="10" a="1"/>
  <c r="N65" i="10" s="1"/>
  <c r="N64" i="10" a="1"/>
  <c r="N64" i="10" s="1"/>
  <c r="N63" i="10" a="1"/>
  <c r="N63" i="10" s="1"/>
  <c r="N62" i="10" a="1"/>
  <c r="N62" i="10" s="1"/>
  <c r="N61" i="10" a="1"/>
  <c r="N61" i="10" s="1"/>
  <c r="N60" i="10" a="1"/>
  <c r="N60" i="10" s="1"/>
  <c r="N59" i="10" a="1"/>
  <c r="N59" i="10" s="1"/>
  <c r="N58" i="10" a="1"/>
  <c r="N58" i="10" s="1"/>
  <c r="N57" i="10" a="1"/>
  <c r="N57" i="10" s="1"/>
  <c r="N56" i="10" a="1"/>
  <c r="N56" i="10" s="1"/>
  <c r="N55" i="10" a="1"/>
  <c r="N55" i="10" s="1"/>
  <c r="N54" i="10" a="1"/>
  <c r="N54" i="10" s="1"/>
  <c r="N53" i="10" a="1"/>
  <c r="N53" i="10" s="1"/>
  <c r="N52" i="10" a="1"/>
  <c r="N52" i="10" s="1"/>
  <c r="N51" i="10" a="1"/>
  <c r="N51" i="10" s="1"/>
  <c r="N50" i="10" a="1"/>
  <c r="N50" i="10" s="1"/>
  <c r="N49" i="10" a="1"/>
  <c r="N49" i="10" s="1"/>
  <c r="N48" i="10" a="1"/>
  <c r="N48" i="10" s="1"/>
  <c r="N47" i="10" a="1"/>
  <c r="N47" i="10" s="1"/>
  <c r="N46" i="10" a="1"/>
  <c r="N46" i="10" s="1"/>
  <c r="N45" i="10" a="1"/>
  <c r="N45" i="10" s="1"/>
  <c r="N44" i="10" a="1"/>
  <c r="N44" i="10" s="1"/>
  <c r="N43" i="10" a="1"/>
  <c r="N43" i="10" s="1"/>
  <c r="N42" i="10" a="1"/>
  <c r="N42" i="10" s="1"/>
  <c r="N41" i="10" a="1"/>
  <c r="N41" i="10" s="1"/>
  <c r="N40" i="10" a="1"/>
  <c r="N40" i="10" s="1"/>
  <c r="N39" i="10" a="1"/>
  <c r="N39" i="10" s="1"/>
  <c r="N38" i="10" a="1"/>
  <c r="N38" i="10" s="1"/>
  <c r="I65" i="10" a="1"/>
  <c r="I65" i="10" s="1"/>
  <c r="I64" i="10" a="1"/>
  <c r="I64" i="10" s="1"/>
  <c r="I63" i="10" a="1"/>
  <c r="I63" i="10" s="1"/>
  <c r="I62" i="10" a="1"/>
  <c r="I62" i="10" s="1"/>
  <c r="I61" i="10" a="1"/>
  <c r="I61" i="10" s="1"/>
  <c r="I60" i="10" a="1"/>
  <c r="I60" i="10" s="1"/>
  <c r="I59" i="10" a="1"/>
  <c r="I59" i="10" s="1"/>
  <c r="I58" i="10" a="1"/>
  <c r="I58" i="10" s="1"/>
  <c r="I57" i="10" a="1"/>
  <c r="I57" i="10" s="1"/>
  <c r="I56" i="10" a="1"/>
  <c r="I56" i="10" s="1"/>
  <c r="I55" i="10" a="1"/>
  <c r="I55" i="10" s="1"/>
  <c r="I54" i="10" a="1"/>
  <c r="I54" i="10" s="1"/>
  <c r="I53" i="10" a="1"/>
  <c r="I53" i="10" s="1"/>
  <c r="I52" i="10" a="1"/>
  <c r="I52" i="10" s="1"/>
  <c r="I51" i="10" a="1"/>
  <c r="I51" i="10" s="1"/>
  <c r="I50" i="10" a="1"/>
  <c r="I50" i="10" s="1"/>
  <c r="I49" i="10" a="1"/>
  <c r="I49" i="10" s="1"/>
  <c r="I48" i="10" a="1"/>
  <c r="I48" i="10" s="1"/>
  <c r="I47" i="10" a="1"/>
  <c r="I47" i="10" s="1"/>
  <c r="I46" i="10" a="1"/>
  <c r="I46" i="10" s="1"/>
  <c r="I45" i="10" a="1"/>
  <c r="I45" i="10" s="1"/>
  <c r="I44" i="10" a="1"/>
  <c r="I44" i="10" s="1"/>
  <c r="I43" i="10" a="1"/>
  <c r="I43" i="10" s="1"/>
  <c r="I42" i="10" a="1"/>
  <c r="I42" i="10" s="1"/>
  <c r="I41" i="10" a="1"/>
  <c r="I41" i="10" s="1"/>
  <c r="I40" i="10" a="1"/>
  <c r="I40" i="10" s="1"/>
  <c r="I39" i="10" a="1"/>
  <c r="I39" i="10" s="1"/>
  <c r="I38" i="10" a="1"/>
  <c r="I38" i="10" s="1"/>
  <c r="AT36" i="22" l="1"/>
  <c r="AN36" i="22"/>
  <c r="AZ36" i="22"/>
  <c r="O38" i="10" a="1"/>
  <c r="O38" i="10" s="1"/>
  <c r="O58" i="10" a="1"/>
  <c r="O58" i="10" s="1"/>
  <c r="O41" i="10" a="1"/>
  <c r="O41" i="10" s="1"/>
  <c r="O39" i="10" a="1"/>
  <c r="O39" i="10" s="1"/>
  <c r="O59" i="10" a="1"/>
  <c r="O59" i="10" s="1"/>
  <c r="O40" i="10" a="1"/>
  <c r="O40" i="10" s="1"/>
  <c r="O60" i="10" a="1"/>
  <c r="O60" i="10" s="1"/>
  <c r="O57" i="10" a="1"/>
  <c r="O57" i="10" s="1"/>
  <c r="O61" i="10" a="1"/>
  <c r="O61" i="10" s="1"/>
  <c r="O54" i="10" a="1"/>
  <c r="O54" i="10" s="1"/>
  <c r="O55" i="10" a="1"/>
  <c r="O55" i="10" s="1"/>
  <c r="O56" i="10" a="1"/>
  <c r="O56" i="10" s="1"/>
  <c r="O44" i="10" a="1"/>
  <c r="O44" i="10" s="1"/>
  <c r="O64" i="10" a="1"/>
  <c r="O64" i="10" s="1"/>
  <c r="O42" i="10" a="1"/>
  <c r="O42" i="10" s="1"/>
  <c r="O63" i="10" a="1"/>
  <c r="O63" i="10" s="1"/>
  <c r="O45" i="10" a="1"/>
  <c r="O45" i="10" s="1"/>
  <c r="O62" i="10" a="1"/>
  <c r="O62" i="10" s="1"/>
  <c r="O43" i="10" a="1"/>
  <c r="O43" i="10" s="1"/>
  <c r="O65" i="10" a="1"/>
  <c r="O65" i="10" s="1"/>
  <c r="O46" i="10" a="1"/>
  <c r="O46" i="10" s="1"/>
  <c r="O50" i="10" a="1"/>
  <c r="O50" i="10" s="1"/>
  <c r="O51" i="10" a="1"/>
  <c r="O51" i="10" s="1"/>
  <c r="O52" i="10" a="1"/>
  <c r="O52" i="10" s="1"/>
  <c r="O47" i="10" a="1"/>
  <c r="O47" i="10" s="1"/>
  <c r="O48" i="10" a="1"/>
  <c r="O48" i="10" s="1"/>
  <c r="O49" i="10" a="1"/>
  <c r="O49" i="10" s="1"/>
  <c r="O53" i="10" a="1"/>
  <c r="O53" i="10" s="1"/>
  <c r="O214" i="26" l="1" a="1"/>
  <c r="O214" i="26" s="1"/>
  <c r="O211" i="26" a="1"/>
  <c r="O211" i="26" s="1"/>
  <c r="O208" i="26" a="1"/>
  <c r="O208" i="26" s="1"/>
  <c r="O207" i="26" a="1"/>
  <c r="O207" i="26" s="1"/>
  <c r="O206" i="26" a="1"/>
  <c r="O206" i="26" s="1"/>
  <c r="O205" i="26" a="1"/>
  <c r="O205" i="26" s="1"/>
  <c r="O204" i="26" a="1"/>
  <c r="O204" i="26" s="1"/>
  <c r="O203" i="26" a="1"/>
  <c r="O203" i="26" s="1"/>
  <c r="O202" i="26" a="1"/>
  <c r="O202" i="26" s="1"/>
  <c r="O201" i="26" a="1"/>
  <c r="O201" i="26" s="1"/>
  <c r="O200" i="26" a="1"/>
  <c r="O200" i="26" s="1"/>
  <c r="O198" i="26" a="1"/>
  <c r="O198" i="26" s="1"/>
  <c r="O196" i="26" a="1"/>
  <c r="O196" i="26" s="1"/>
  <c r="O194" i="26" a="1"/>
  <c r="O194" i="26" s="1"/>
  <c r="O193" i="26" a="1"/>
  <c r="O193" i="26" s="1"/>
  <c r="O192" i="26" a="1"/>
  <c r="O192" i="26" s="1"/>
  <c r="O191" i="26" a="1"/>
  <c r="O191" i="26" s="1"/>
  <c r="O190" i="26" a="1"/>
  <c r="O190" i="26" s="1"/>
  <c r="O189" i="26" a="1"/>
  <c r="O189" i="26" s="1"/>
  <c r="O187" i="26" a="1"/>
  <c r="O187" i="26" s="1"/>
  <c r="O185" i="26" a="1"/>
  <c r="O185" i="26" s="1"/>
  <c r="O184" i="26" a="1"/>
  <c r="O184" i="26" s="1"/>
  <c r="O183" i="26" a="1"/>
  <c r="O183" i="26" s="1"/>
  <c r="O182" i="26" a="1"/>
  <c r="O182" i="26" s="1"/>
  <c r="O180" i="26" a="1"/>
  <c r="O180" i="26" s="1"/>
  <c r="O177" i="26" a="1"/>
  <c r="O177" i="26" s="1"/>
  <c r="O176" i="26" a="1"/>
  <c r="O176" i="26" s="1"/>
  <c r="O175" i="26" a="1"/>
  <c r="O175" i="26" s="1"/>
  <c r="O174" i="26" a="1"/>
  <c r="O174" i="26" s="1"/>
  <c r="O173" i="26" a="1"/>
  <c r="O173" i="26" s="1"/>
  <c r="O172" i="26" a="1"/>
  <c r="O172" i="26" s="1"/>
  <c r="O171" i="26" a="1"/>
  <c r="O171" i="26" s="1"/>
  <c r="O169" i="26" a="1"/>
  <c r="O169" i="26" s="1"/>
  <c r="O167" i="26" a="1"/>
  <c r="O167" i="26" s="1"/>
  <c r="O165" i="26" a="1"/>
  <c r="O165" i="26" s="1"/>
  <c r="O164" i="26" a="1"/>
  <c r="O164" i="26" s="1"/>
  <c r="O163" i="26" a="1"/>
  <c r="O163" i="26" s="1"/>
  <c r="O162" i="26" a="1"/>
  <c r="O162" i="26" s="1"/>
  <c r="O161" i="26" a="1"/>
  <c r="O161" i="26" s="1"/>
  <c r="O159" i="26" a="1"/>
  <c r="O159" i="26" s="1"/>
  <c r="O158" i="26" a="1"/>
  <c r="O158" i="26" s="1"/>
  <c r="O157" i="26" a="1"/>
  <c r="O157" i="26" s="1"/>
  <c r="O156" i="26" a="1"/>
  <c r="O156" i="26" s="1"/>
  <c r="O154" i="26" a="1"/>
  <c r="O154" i="26" s="1"/>
  <c r="O153" i="26" a="1"/>
  <c r="O153" i="26" s="1"/>
  <c r="O152" i="26" a="1"/>
  <c r="O152" i="26" s="1"/>
  <c r="O151" i="26" a="1"/>
  <c r="O151" i="26" s="1"/>
  <c r="O149" i="26" a="1"/>
  <c r="O149" i="26" s="1"/>
  <c r="O148" i="26" a="1"/>
  <c r="O148" i="26" s="1"/>
  <c r="O147" i="26" a="1"/>
  <c r="O147" i="26" s="1"/>
  <c r="O143" i="26" a="1"/>
  <c r="O143" i="26" s="1"/>
  <c r="O142" i="26" a="1"/>
  <c r="O142" i="26" s="1"/>
  <c r="O140" i="26" a="1"/>
  <c r="O140" i="26" s="1"/>
  <c r="O139" i="26" a="1"/>
  <c r="O139" i="26" s="1"/>
  <c r="O138" i="26" a="1"/>
  <c r="O138" i="26" s="1"/>
  <c r="O137" i="26" a="1"/>
  <c r="O137" i="26" s="1"/>
  <c r="O136" i="26" a="1"/>
  <c r="O136" i="26" s="1"/>
  <c r="O134" i="26" a="1"/>
  <c r="O134" i="26" s="1"/>
  <c r="O133" i="26" a="1"/>
  <c r="O133" i="26" s="1"/>
  <c r="O132" i="26" a="1"/>
  <c r="O132" i="26" s="1"/>
  <c r="O131" i="26" a="1"/>
  <c r="O131" i="26" s="1"/>
  <c r="O130" i="26" a="1"/>
  <c r="O130" i="26" s="1"/>
  <c r="O129" i="26" a="1"/>
  <c r="O129" i="26" s="1"/>
  <c r="O128" i="26" a="1"/>
  <c r="O128" i="26" s="1"/>
  <c r="O126" i="26" a="1"/>
  <c r="O126" i="26" s="1"/>
  <c r="O125" i="26" a="1"/>
  <c r="O125" i="26" s="1"/>
  <c r="O124" i="26" a="1"/>
  <c r="O124" i="26" s="1"/>
  <c r="O123" i="26" a="1"/>
  <c r="O123" i="26" s="1"/>
  <c r="O121" i="26" a="1"/>
  <c r="O121" i="26" s="1"/>
  <c r="O120" i="26" a="1"/>
  <c r="O120" i="26" s="1"/>
  <c r="O119" i="26" a="1"/>
  <c r="O119" i="26" s="1"/>
  <c r="O118" i="26" a="1"/>
  <c r="O118" i="26" s="1"/>
  <c r="O117" i="26" a="1"/>
  <c r="O117" i="26" s="1"/>
  <c r="O115" i="26" a="1"/>
  <c r="O115" i="26" s="1"/>
  <c r="O114" i="26" a="1"/>
  <c r="O114" i="26" s="1"/>
  <c r="O113" i="26" a="1"/>
  <c r="O113" i="26" s="1"/>
  <c r="O112" i="26" a="1"/>
  <c r="O112" i="26" s="1"/>
  <c r="O111" i="26" a="1"/>
  <c r="O111" i="26" s="1"/>
  <c r="O110" i="26" a="1"/>
  <c r="O110" i="26" s="1"/>
  <c r="O109" i="26" a="1"/>
  <c r="O109" i="26" s="1"/>
  <c r="O108" i="26" a="1"/>
  <c r="O108" i="26" s="1"/>
  <c r="O106" i="26" a="1"/>
  <c r="O106" i="26" s="1"/>
  <c r="O104" i="26" a="1"/>
  <c r="O104" i="26" s="1"/>
  <c r="O103" i="26" a="1"/>
  <c r="O103" i="26" s="1"/>
  <c r="O102" i="26" a="1"/>
  <c r="O102" i="26" s="1"/>
  <c r="O98" i="26" a="1"/>
  <c r="O98" i="26" s="1"/>
  <c r="O97" i="26" a="1"/>
  <c r="O97" i="26" s="1"/>
  <c r="O96" i="26" a="1"/>
  <c r="O96" i="26" s="1"/>
  <c r="O94" i="26" a="1"/>
  <c r="O94" i="26" s="1"/>
  <c r="O92" i="26" a="1"/>
  <c r="O92" i="26" s="1"/>
  <c r="O91" i="26" a="1"/>
  <c r="O91" i="26" s="1"/>
  <c r="O88" i="26" a="1"/>
  <c r="O88" i="26" s="1"/>
  <c r="O86" i="26" a="1"/>
  <c r="O86" i="26" s="1"/>
  <c r="O85" i="26" a="1"/>
  <c r="O85" i="26" s="1"/>
  <c r="O83" i="26" a="1"/>
  <c r="O83" i="26" s="1"/>
  <c r="O81" i="26" a="1"/>
  <c r="O81" i="26" s="1"/>
  <c r="O80" i="26" a="1"/>
  <c r="O80" i="26" s="1"/>
  <c r="O79" i="26" a="1"/>
  <c r="O79" i="26" s="1"/>
  <c r="O77" i="26" a="1"/>
  <c r="O77" i="26" s="1"/>
  <c r="O76" i="26" a="1"/>
  <c r="O76" i="26" s="1"/>
  <c r="O75" i="26" a="1"/>
  <c r="O75" i="26" s="1"/>
  <c r="O71" i="26" a="1"/>
  <c r="O71" i="26" s="1"/>
  <c r="O70" i="26" a="1"/>
  <c r="O70" i="26" s="1"/>
  <c r="O68" i="26" a="1"/>
  <c r="O68" i="26" s="1"/>
  <c r="O65" i="26" a="1"/>
  <c r="O65" i="26" s="1"/>
  <c r="O64" i="26" a="1"/>
  <c r="O64" i="26" s="1"/>
  <c r="O63" i="26" a="1"/>
  <c r="O63" i="26" s="1"/>
  <c r="O60" i="26" a="1"/>
  <c r="O60" i="26" s="1"/>
  <c r="O59" i="26" a="1"/>
  <c r="O59" i="26" s="1"/>
  <c r="O58" i="26" a="1"/>
  <c r="O58" i="26" s="1"/>
  <c r="O57" i="26" a="1"/>
  <c r="O57" i="26" s="1"/>
  <c r="O56" i="26" a="1"/>
  <c r="O56" i="26" s="1"/>
  <c r="O55" i="26" a="1"/>
  <c r="O55" i="26" s="1"/>
  <c r="O53" i="26" a="1"/>
  <c r="O53" i="26" s="1"/>
  <c r="O50" i="26" a="1"/>
  <c r="O50" i="26" s="1"/>
  <c r="O48" i="26" a="1"/>
  <c r="O48" i="26" s="1"/>
  <c r="O46" i="26" a="1"/>
  <c r="O46" i="26" s="1"/>
  <c r="O44" i="26" a="1"/>
  <c r="O44" i="26" s="1"/>
  <c r="O41" i="26" a="1"/>
  <c r="O41" i="26" s="1"/>
  <c r="O39" i="26" a="1"/>
  <c r="O39" i="26" s="1"/>
  <c r="O37" i="26" a="1"/>
  <c r="O37" i="26" s="1"/>
  <c r="O34" i="26" a="1"/>
  <c r="O34" i="26" s="1"/>
  <c r="O33" i="26" a="1"/>
  <c r="O33" i="26" s="1"/>
  <c r="O32" i="26" a="1"/>
  <c r="O32" i="26" s="1"/>
  <c r="O30" i="26" a="1"/>
  <c r="O30" i="26" s="1"/>
  <c r="O28" i="26" a="1"/>
  <c r="O28" i="26" s="1"/>
  <c r="O27" i="26" a="1"/>
  <c r="O27" i="26" s="1"/>
  <c r="O26" i="26" a="1"/>
  <c r="O26" i="26" s="1"/>
  <c r="O25" i="26" a="1"/>
  <c r="O25" i="26" s="1"/>
  <c r="O24" i="26" a="1"/>
  <c r="O24" i="26" s="1"/>
  <c r="O23" i="26" a="1"/>
  <c r="O23" i="26" s="1"/>
  <c r="O22" i="26" a="1"/>
  <c r="O22" i="26" s="1"/>
  <c r="O20" i="26" a="1"/>
  <c r="O20" i="26" s="1"/>
  <c r="O19" i="26" a="1"/>
  <c r="O19" i="26" s="1"/>
  <c r="O18" i="26" a="1"/>
  <c r="O18" i="26" s="1"/>
  <c r="O17" i="26" a="1"/>
  <c r="O17" i="26" s="1"/>
  <c r="O16" i="26" a="1"/>
  <c r="O16" i="26" s="1"/>
  <c r="J15" i="26" a="1"/>
  <c r="J15" i="26" s="1"/>
  <c r="O14" i="26" a="1"/>
  <c r="O14" i="26" s="1"/>
  <c r="O13" i="26" a="1"/>
  <c r="O13" i="26" s="1"/>
  <c r="O12" i="26" a="1"/>
  <c r="O12" i="26" s="1"/>
  <c r="O10" i="26" a="1"/>
  <c r="O10" i="26" s="1"/>
  <c r="O9" i="26" a="1"/>
  <c r="O9" i="26" s="1"/>
  <c r="O7" i="26" a="1"/>
  <c r="O7" i="26" s="1"/>
  <c r="J21" i="26" a="1"/>
  <c r="J21" i="26" s="1"/>
  <c r="O36" i="26" l="1" a="1"/>
  <c r="O36" i="26" s="1"/>
  <c r="L15" i="26"/>
  <c r="M15" i="26" s="1" a="1"/>
  <c r="M15" i="26" s="1"/>
  <c r="O29" i="26" a="1"/>
  <c r="O29" i="26" s="1"/>
  <c r="O62" i="26" a="1"/>
  <c r="O62" i="26" s="1"/>
  <c r="O11" i="26" a="1"/>
  <c r="O11" i="26" s="1"/>
  <c r="O31" i="26" a="1"/>
  <c r="O31" i="26" s="1"/>
  <c r="O21" i="26" a="1"/>
  <c r="O21" i="26" s="1"/>
  <c r="O42" i="26" a="1"/>
  <c r="O42" i="26" s="1"/>
  <c r="O15" i="26" a="1"/>
  <c r="O15" i="26" s="1"/>
  <c r="O35" i="26" a="1"/>
  <c r="O35" i="26" s="1"/>
  <c r="O73" i="26" a="1"/>
  <c r="O73" i="26" s="1"/>
  <c r="O66" i="26" a="1"/>
  <c r="O66" i="26" s="1"/>
  <c r="L21" i="26"/>
  <c r="M21" i="26" s="1" a="1"/>
  <c r="M21" i="26" s="1"/>
  <c r="O179" i="26" a="1"/>
  <c r="O179" i="26" s="1"/>
  <c r="O51" i="26" a="1"/>
  <c r="O51" i="26" s="1"/>
  <c r="O8" i="26" a="1"/>
  <c r="O8" i="26" s="1"/>
  <c r="O101" i="26" a="1"/>
  <c r="O101" i="26" s="1"/>
  <c r="O188" i="26" a="1"/>
  <c r="O188" i="26" s="1"/>
  <c r="O210" i="26" a="1"/>
  <c r="O210" i="26" s="1"/>
  <c r="O78" i="26" a="1"/>
  <c r="O78" i="26" s="1"/>
  <c r="O89" i="26" a="1"/>
  <c r="O89" i="26" s="1"/>
  <c r="O95" i="26" a="1"/>
  <c r="O95" i="26" s="1"/>
  <c r="O170" i="26" a="1"/>
  <c r="O170" i="26" s="1"/>
  <c r="O93" i="26" a="1"/>
  <c r="O93" i="26" s="1"/>
  <c r="O127" i="26" a="1"/>
  <c r="O127" i="26" s="1"/>
  <c r="O150" i="26" a="1"/>
  <c r="O150" i="26" s="1"/>
  <c r="O141" i="26" a="1"/>
  <c r="O141" i="26" s="1"/>
  <c r="O107" i="26" a="1"/>
  <c r="O107" i="26" s="1"/>
  <c r="O144" i="26" a="1"/>
  <c r="O144" i="26" s="1"/>
  <c r="O87" i="26" a="1"/>
  <c r="O87" i="26" s="1"/>
  <c r="O90" i="26" a="1"/>
  <c r="O90" i="26" s="1"/>
  <c r="O168" i="26" a="1"/>
  <c r="O168" i="26" s="1"/>
  <c r="O84" i="26" a="1"/>
  <c r="O84" i="26" s="1"/>
  <c r="O199" i="26" a="1"/>
  <c r="O199" i="26" s="1"/>
  <c r="O105" i="26" a="1"/>
  <c r="O105" i="26" s="1"/>
  <c r="O181" i="26" a="1"/>
  <c r="O181" i="26" s="1"/>
  <c r="O212" i="26" a="1"/>
  <c r="O212" i="26" s="1"/>
  <c r="O160" i="26" a="1"/>
  <c r="O160" i="26" s="1"/>
  <c r="O197" i="26" a="1"/>
  <c r="O197" i="26" s="1"/>
  <c r="O100" i="26" a="1"/>
  <c r="O100" i="26" s="1"/>
  <c r="O209" i="26" a="1"/>
  <c r="O209" i="26" s="1"/>
  <c r="O178" i="26" a="1"/>
  <c r="O178" i="26" s="1"/>
  <c r="O186" i="26" a="1"/>
  <c r="O186" i="26" s="1"/>
  <c r="O82" i="26" a="1"/>
  <c r="O82" i="26" s="1"/>
  <c r="O122" i="26" a="1"/>
  <c r="O122" i="26" s="1"/>
  <c r="O145" i="26" a="1"/>
  <c r="O145" i="26" s="1"/>
  <c r="O116" i="26" a="1"/>
  <c r="O116" i="26" s="1"/>
  <c r="O213" i="26" a="1"/>
  <c r="O213" i="26" s="1"/>
  <c r="O155" i="26" a="1"/>
  <c r="O155" i="26" s="1"/>
  <c r="O166" i="26" a="1"/>
  <c r="O166" i="26" s="1"/>
  <c r="O99" i="26" a="1"/>
  <c r="O99" i="26" s="1"/>
  <c r="O135" i="26" a="1"/>
  <c r="O135" i="26" s="1"/>
  <c r="O146" i="26" a="1"/>
  <c r="O146" i="26" s="1"/>
  <c r="O195" i="26" a="1"/>
  <c r="O195" i="26" s="1"/>
  <c r="O215" i="26" a="1"/>
  <c r="O215" i="26" s="1"/>
  <c r="O61" i="26" a="1"/>
  <c r="O61" i="26" s="1"/>
  <c r="O49" i="26" a="1"/>
  <c r="O49" i="26" s="1"/>
  <c r="O54" i="26" a="1"/>
  <c r="O54" i="26" s="1"/>
  <c r="O40" i="26" a="1"/>
  <c r="O40" i="26" s="1"/>
  <c r="O47" i="26" a="1"/>
  <c r="O47" i="26" s="1"/>
  <c r="O69" i="26" a="1"/>
  <c r="O69" i="26" s="1"/>
  <c r="O52" i="26" a="1"/>
  <c r="O52" i="26" s="1"/>
  <c r="O38" i="26" a="1"/>
  <c r="O38" i="26" s="1"/>
  <c r="O45" i="26" a="1"/>
  <c r="O45" i="26" s="1"/>
  <c r="O74" i="26" a="1"/>
  <c r="O74" i="26" s="1"/>
  <c r="O67" i="26" a="1"/>
  <c r="O67" i="26" s="1"/>
  <c r="O72" i="26" a="1"/>
  <c r="O72" i="26" s="1"/>
  <c r="O43" i="26" a="1"/>
  <c r="O43" i="26" s="1"/>
  <c r="R3" i="30" l="1"/>
  <c r="F8" i="30"/>
  <c r="F6" i="30"/>
  <c r="F5" i="30"/>
  <c r="F11" i="30"/>
  <c r="F10" i="30"/>
  <c r="F7" i="30"/>
  <c r="F4" i="30"/>
  <c r="F3" i="30"/>
  <c r="F2" i="30"/>
  <c r="E12" i="30"/>
  <c r="C12" i="30"/>
  <c r="K8" i="30"/>
  <c r="N9" i="30" s="1"/>
  <c r="S9" i="30" s="1"/>
  <c r="K7" i="30"/>
  <c r="K6" i="30"/>
  <c r="R12" i="30" l="1"/>
  <c r="S3" i="30"/>
  <c r="N8" i="30"/>
  <c r="S8" i="30" s="1"/>
  <c r="F12" i="30"/>
  <c r="I8" i="30"/>
  <c r="H7" i="30" a="1"/>
  <c r="G7" i="30" a="1"/>
  <c r="H6" i="30" a="1"/>
  <c r="G6" i="30" a="1"/>
  <c r="N5" i="30"/>
  <c r="S5" i="30" s="1"/>
  <c r="L3" i="30"/>
  <c r="L12" i="30" s="1"/>
  <c r="S12" i="30" l="1"/>
  <c r="N12" i="30"/>
  <c r="D613" i="24" l="1"/>
  <c r="D612" i="24"/>
  <c r="Y438" i="10" l="1"/>
  <c r="Y437" i="10"/>
  <c r="X438" i="10"/>
  <c r="S438" i="10"/>
  <c r="W438" i="10" s="1"/>
  <c r="X437" i="10"/>
  <c r="W437" i="10"/>
  <c r="V437" i="10"/>
  <c r="U437" i="10"/>
  <c r="T437" i="10" a="1"/>
  <c r="T437" i="10"/>
  <c r="S437" i="10"/>
  <c r="Q435" i="4" a="1"/>
  <c r="Q415" i="4" a="1"/>
  <c r="Q407" i="4" a="1"/>
  <c r="Q402" i="4" a="1"/>
  <c r="Q399" i="4" a="1"/>
  <c r="Q386" i="4" a="1"/>
  <c r="Q379" i="4" a="1"/>
  <c r="Q372" i="4" a="1"/>
  <c r="Q370" i="4" a="1"/>
  <c r="Q369" i="4" a="1"/>
  <c r="Q361" i="4" a="1"/>
  <c r="Q360" i="4" a="1"/>
  <c r="Q359" i="4" a="1"/>
  <c r="Q354" i="4" a="1"/>
  <c r="Q349" i="4" a="1"/>
  <c r="Q347" i="4" a="1"/>
  <c r="Q340" i="4" a="1"/>
  <c r="Q336" i="4" a="1"/>
  <c r="Q335" i="4" a="1"/>
  <c r="Q334" i="4" a="1"/>
  <c r="Q333" i="4" a="1"/>
  <c r="Q332" i="4" a="1"/>
  <c r="Q329" i="4" a="1"/>
  <c r="Q326" i="4" a="1"/>
  <c r="Q319" i="4" a="1"/>
  <c r="Q314" i="4" a="1"/>
  <c r="Q312" i="4" a="1"/>
  <c r="Q311" i="4" a="1"/>
  <c r="Q310" i="4" a="1"/>
  <c r="Q306" i="4" a="1"/>
  <c r="Q305" i="4" a="1"/>
  <c r="Q303" i="4" a="1"/>
  <c r="Q299" i="4" a="1"/>
  <c r="Q295" i="4" a="1"/>
  <c r="Q293" i="4" a="1"/>
  <c r="Q286" i="4" a="1"/>
  <c r="Q279" i="4" a="1"/>
  <c r="Q276" i="4" a="1"/>
  <c r="Q267" i="4" a="1"/>
  <c r="Q261" i="4" a="1"/>
  <c r="Q254" i="4" a="1"/>
  <c r="Q236" i="4" a="1"/>
  <c r="Q235" i="4" a="1"/>
  <c r="Q234" i="4" a="1"/>
  <c r="Q230" i="4" a="1"/>
  <c r="Q227" i="4" a="1"/>
  <c r="Q226" i="4" a="1"/>
  <c r="Q225" i="4" a="1"/>
  <c r="Q219" i="4" a="1"/>
  <c r="Q216" i="4" a="1"/>
  <c r="Q215" i="4" a="1"/>
  <c r="Q213" i="4" a="1"/>
  <c r="Q212" i="4" a="1"/>
  <c r="Q211" i="4" a="1"/>
  <c r="Q207" i="4" a="1"/>
  <c r="Q205" i="4" a="1"/>
  <c r="Q202" i="4" a="1"/>
  <c r="Q195" i="4" a="1"/>
  <c r="Q177" i="4" a="1"/>
  <c r="Q174" i="4" a="1"/>
  <c r="Q164" i="4" a="1"/>
  <c r="Q161" i="4" a="1"/>
  <c r="Q160" i="4" a="1"/>
  <c r="Q159" i="4" a="1"/>
  <c r="Q154" i="4" a="1"/>
  <c r="Q152" i="4" a="1"/>
  <c r="Q148" i="4" a="1"/>
  <c r="Q146" i="4" a="1"/>
  <c r="Q144" i="4" a="1"/>
  <c r="Q139" i="4" a="1"/>
  <c r="Q138" i="4" a="1"/>
  <c r="Q136" i="4" a="1"/>
  <c r="Q134" i="4" a="1"/>
  <c r="Q124" i="4" a="1"/>
  <c r="Q120" i="4" a="1"/>
  <c r="Q116" i="4" a="1"/>
  <c r="Q115" i="4" a="1"/>
  <c r="Q114" i="4" a="1"/>
  <c r="Q104" i="4" a="1"/>
  <c r="Q98" i="4" a="1"/>
  <c r="Q94" i="4" a="1"/>
  <c r="Q84" i="4" a="1"/>
  <c r="Q82" i="4" a="1"/>
  <c r="Q76" i="4" a="1"/>
  <c r="Q75" i="4" a="1"/>
  <c r="Q74" i="4" a="1"/>
  <c r="Q71" i="4" a="1"/>
  <c r="Q66" i="4" a="1"/>
  <c r="Q64" i="4" a="1"/>
  <c r="Q61" i="4" a="1"/>
  <c r="Q58" i="4" a="1"/>
  <c r="Q54" i="4" a="1"/>
  <c r="Q52" i="4" a="1"/>
  <c r="Q50" i="4" a="1"/>
  <c r="Q46" i="4" a="1"/>
  <c r="Q45" i="4" a="1"/>
  <c r="Q44" i="4" a="1"/>
  <c r="Q43" i="4" a="1"/>
  <c r="Q40" i="4" a="1"/>
  <c r="Q38" i="4" a="1"/>
  <c r="Q34" i="4" a="1"/>
  <c r="Q30" i="4" a="1"/>
  <c r="Q29" i="4" a="1"/>
  <c r="Q24" i="4" a="1"/>
  <c r="Q23" i="4" a="1"/>
  <c r="Q14" i="4" a="1"/>
  <c r="Q13" i="4" a="1"/>
  <c r="Q12" i="4" a="1"/>
  <c r="Q11" i="4" a="1"/>
  <c r="Q6" i="4" a="1"/>
  <c r="G615" i="2"/>
  <c r="T438" i="10" l="1" a="1"/>
  <c r="T438" i="10" s="1"/>
  <c r="U438" i="10"/>
  <c r="V438" i="10"/>
  <c r="Q36" i="4" a="1"/>
  <c r="Q201" i="4" a="1"/>
  <c r="Q352" i="4" a="1"/>
  <c r="Q274" i="4" a="1"/>
  <c r="Q282" i="4" a="1"/>
  <c r="Q302" i="4" a="1"/>
  <c r="Q433" i="4" a="1"/>
  <c r="Q101" i="4" a="1"/>
  <c r="Q110" i="4" a="1"/>
  <c r="Q251" i="4" a="1"/>
  <c r="Q257" i="4" a="1"/>
  <c r="Q307" i="4" a="1"/>
  <c r="Q313" i="4" a="1"/>
  <c r="Q328" i="4" a="1"/>
  <c r="Q416" i="4" a="1"/>
  <c r="Q102" i="4" a="1"/>
  <c r="Q275" i="4" a="1"/>
  <c r="Q25" i="4" a="1"/>
  <c r="Q31" i="4" a="1"/>
  <c r="Q48" i="4" a="1"/>
  <c r="Q67" i="4" a="1"/>
  <c r="Q95" i="4" a="1"/>
  <c r="Q111" i="4" a="1"/>
  <c r="Q135" i="4" a="1"/>
  <c r="Q169" i="4" a="1"/>
  <c r="Q258" i="4" a="1"/>
  <c r="Q162" i="4" a="1"/>
  <c r="Q308" i="4" a="1"/>
  <c r="Q21" i="4" a="1"/>
  <c r="Q178" i="4" a="1"/>
  <c r="Q341" i="4" a="1"/>
  <c r="Q426" i="4" a="1"/>
  <c r="Q49" i="4" a="1"/>
  <c r="Q68" i="4" a="1"/>
  <c r="Q88" i="4" a="1"/>
  <c r="Q158" i="4" a="1"/>
  <c r="Q184" i="4" a="1"/>
  <c r="Q309" i="4" a="1"/>
  <c r="Q63" i="4" a="1"/>
  <c r="Q112" i="4" a="1"/>
  <c r="Q130" i="4" a="1"/>
  <c r="Q163" i="4" a="1"/>
  <c r="Q296" i="4" a="1"/>
  <c r="Q362" i="4" a="1"/>
  <c r="Q397" i="4" a="1"/>
  <c r="Q404" i="4" a="1"/>
  <c r="Q16" i="4" a="1"/>
  <c r="Q26" i="4" a="1"/>
  <c r="Q39" i="4" a="1"/>
  <c r="Q69" i="4" a="1"/>
  <c r="Q147" i="4" a="1"/>
  <c r="Q221" i="4" a="1"/>
  <c r="Q253" i="4" a="1"/>
  <c r="Q268" i="4" a="1"/>
  <c r="Q292" i="4" a="1"/>
  <c r="Q405" i="4" a="1"/>
  <c r="Q428" i="4" a="1"/>
  <c r="Q131" i="4" a="1"/>
  <c r="Q143" i="4" a="1"/>
  <c r="Q185" i="4" a="1"/>
  <c r="Q191" i="4" a="1"/>
  <c r="Q323" i="4" a="1"/>
  <c r="Q330" i="4" a="1"/>
  <c r="Q356" i="4" a="1"/>
  <c r="Q89" i="4" a="1"/>
  <c r="Q173" i="4" a="1"/>
  <c r="Q22" i="4" a="1"/>
  <c r="Q83" i="4" a="1"/>
  <c r="Q105" i="4" a="1"/>
  <c r="Q246" i="4" a="1"/>
  <c r="Q357" i="4" a="1"/>
  <c r="Q90" i="4" a="1"/>
  <c r="Q180" i="4" a="1"/>
  <c r="Q345" i="4" a="1"/>
  <c r="Q363" i="4" a="1"/>
  <c r="Q420" i="4" a="1"/>
  <c r="Q429" i="4" a="1"/>
  <c r="Q106" i="4" a="1"/>
  <c r="Q126" i="4" a="1"/>
  <c r="Q206" i="4" a="1"/>
  <c r="Q240" i="4" a="1"/>
  <c r="Q270" i="4" a="1"/>
  <c r="Q298" i="4" a="1"/>
  <c r="Q317" i="4" a="1"/>
  <c r="Q383" i="4" a="1"/>
  <c r="Q72" i="4" a="1"/>
  <c r="Q288" i="4" a="1"/>
  <c r="Q325" i="4" a="1"/>
  <c r="Q358" i="4" a="1"/>
  <c r="Q35" i="4" a="1"/>
  <c r="Q77" i="4" a="1"/>
  <c r="Q93" i="4" a="1"/>
  <c r="Q99" i="4" a="1"/>
  <c r="Q200" i="4" a="1"/>
  <c r="Q262" i="4" a="1"/>
  <c r="Q350" i="4" a="1"/>
  <c r="Q365" i="4" a="1"/>
  <c r="Q414" i="4" a="1"/>
  <c r="Q18" i="4" a="1"/>
  <c r="Q53" i="4" a="1"/>
  <c r="Q59" i="4" a="1"/>
  <c r="Q73" i="4" a="1"/>
  <c r="Q263" i="4" a="1"/>
  <c r="Q384" i="4" a="1"/>
  <c r="Q78" i="4" a="1"/>
  <c r="Q109" i="4" a="1"/>
  <c r="Q121" i="4" a="1"/>
  <c r="Q241" i="4" a="1"/>
  <c r="Q281" i="4" a="1"/>
  <c r="Q346" i="4" a="1"/>
  <c r="Q385" i="4" a="1"/>
  <c r="Q331" i="4" a="1"/>
  <c r="Q398" i="4" a="1"/>
  <c r="Q41" i="4" a="1"/>
  <c r="Q140" i="4" a="1"/>
  <c r="Q423" i="4" a="1"/>
  <c r="Q91" i="4" a="1"/>
  <c r="Q122" i="4" a="1"/>
  <c r="Q150" i="4" a="1"/>
  <c r="Q165" i="4" a="1"/>
  <c r="Q406" i="4" a="1"/>
  <c r="Q418" i="4" a="1"/>
  <c r="Q70" i="4" a="1"/>
  <c r="Q80" i="4" a="1"/>
  <c r="Q151" i="4" a="1"/>
  <c r="Q209" i="4" a="1"/>
  <c r="Q92" i="4" a="1"/>
  <c r="Q108" i="4" a="1"/>
  <c r="Q118" i="4" a="1"/>
  <c r="Q123" i="4" a="1"/>
  <c r="Q166" i="4" a="1"/>
  <c r="Q278" i="4" a="1"/>
  <c r="Q388" i="4" a="1"/>
  <c r="Q394" i="4" a="1"/>
  <c r="Q401" i="4" a="1"/>
  <c r="Q15" i="4" a="1"/>
  <c r="Q81" i="4" a="1"/>
  <c r="Q171" i="4" a="1"/>
  <c r="Q199" i="4" a="1"/>
  <c r="Q233" i="4" a="1"/>
  <c r="Q255" i="4" a="1"/>
  <c r="Q272" i="4" a="1"/>
  <c r="Q291" i="4" a="1"/>
  <c r="Q419" i="4" a="1"/>
  <c r="Q425" i="4" a="1"/>
  <c r="Q181" i="4" a="1"/>
  <c r="Q192" i="4" a="1"/>
  <c r="Q247" i="4" a="1"/>
  <c r="Q265" i="4" a="1"/>
  <c r="Q392" i="4" a="1"/>
  <c r="Q430" i="4" a="1"/>
  <c r="Q32" i="4" a="1"/>
  <c r="Q55" i="4" a="1"/>
  <c r="Q79" i="4" a="1"/>
  <c r="Q141" i="4" a="1"/>
  <c r="Q304" i="4" a="1"/>
  <c r="Q320" i="4" a="1"/>
  <c r="Q411" i="4" a="1"/>
  <c r="Q51" i="4" a="1"/>
  <c r="Q85" i="4" a="1"/>
  <c r="Q97" i="4" a="1"/>
  <c r="Q107" i="4" a="1"/>
  <c r="Q113" i="4" a="1"/>
  <c r="Q198" i="4" a="1"/>
  <c r="Q218" i="4" a="1"/>
  <c r="Q237" i="4" a="1"/>
  <c r="Q277" i="4" a="1"/>
  <c r="Q371" i="4" a="1"/>
  <c r="Q376" i="4" a="1"/>
  <c r="Q381" i="4" a="1"/>
  <c r="Q393" i="4" a="1"/>
  <c r="Q28" i="4" a="1"/>
  <c r="Q10" i="4" a="1"/>
  <c r="Q204" i="4" a="1"/>
  <c r="Q214" i="4" a="1"/>
  <c r="Q228" i="4" a="1"/>
  <c r="Q243" i="4" a="1"/>
  <c r="Q249" i="4" a="1"/>
  <c r="Q285" i="4" a="1"/>
  <c r="Q300" i="4" a="1"/>
  <c r="Q337" i="4" a="1"/>
  <c r="Q343" i="4" a="1"/>
  <c r="Q65" i="4" a="1"/>
  <c r="Q86" i="4" a="1"/>
  <c r="Q103" i="4" a="1"/>
  <c r="Q194" i="4" a="1"/>
  <c r="Q250" i="4" a="1"/>
  <c r="Q327" i="4" a="1"/>
  <c r="Q338" i="4" a="1"/>
  <c r="Q355" i="4" a="1"/>
  <c r="Q395" i="4" a="1"/>
  <c r="Q248" i="4" a="1"/>
  <c r="Q273" i="4" a="1"/>
  <c r="Q342" i="4" a="1"/>
  <c r="Q27" i="4" a="1"/>
  <c r="Q167" i="4" a="1"/>
  <c r="Q172" i="4" a="1"/>
  <c r="Q187" i="4" a="1"/>
  <c r="Q220" i="4" a="1"/>
  <c r="Q229" i="4" a="1"/>
  <c r="Q353" i="4" a="1"/>
  <c r="Q400" i="4" a="1"/>
  <c r="Q427" i="4" a="1"/>
  <c r="Q96" i="4" a="1"/>
  <c r="Q434" i="4" a="1"/>
  <c r="Q119" i="4" a="1"/>
  <c r="Q155" i="4" a="1"/>
  <c r="Q188" i="4" a="1"/>
  <c r="Q244" i="4" a="1"/>
  <c r="Q264" i="4" a="1"/>
  <c r="Q269" i="4" a="1"/>
  <c r="Q324" i="4" a="1"/>
  <c r="Q339" i="4" a="1"/>
  <c r="Q366" i="4" a="1"/>
  <c r="Q301" i="4" a="1"/>
  <c r="Q318" i="4" a="1"/>
  <c r="Q351" i="4" a="1"/>
  <c r="Q364" i="4" a="1"/>
  <c r="Q100" i="4" a="1"/>
  <c r="Q197" i="4" a="1"/>
  <c r="Q242" i="4" a="1"/>
  <c r="Q297" i="4" a="1"/>
  <c r="Q322" i="4" a="1"/>
  <c r="Q421" i="4" a="1"/>
  <c r="Q133" i="4" a="1"/>
  <c r="Q290" i="4" a="1"/>
  <c r="Q378" i="4" a="1"/>
  <c r="Q391" i="4" a="1"/>
  <c r="Q422" i="4" a="1"/>
  <c r="Q20" i="4" a="1"/>
  <c r="Q125" i="4" a="1"/>
  <c r="Q129" i="4" a="1"/>
  <c r="Q153" i="4" a="1"/>
  <c r="Q157" i="4" a="1"/>
  <c r="Q186" i="4" a="1"/>
  <c r="Q239" i="4" a="1"/>
  <c r="Q315" i="4" a="1"/>
  <c r="Q344" i="4" a="1"/>
  <c r="Q374" i="4" a="1"/>
  <c r="Q387" i="4" a="1"/>
  <c r="Q409" i="4" a="1"/>
  <c r="Q413" i="4" a="1"/>
  <c r="Q294" i="4" a="1"/>
  <c r="Q224" i="4" a="1"/>
  <c r="Q231" i="4" a="1"/>
  <c r="Q424" i="4" a="1"/>
  <c r="Q431" i="4" a="1"/>
  <c r="O159" i="28" l="1" a="1"/>
  <c r="O159" i="28" s="1"/>
  <c r="L159" i="28"/>
  <c r="M159" i="28" s="1" a="1"/>
  <c r="M159" i="28" s="1"/>
  <c r="J159" i="28" a="1"/>
  <c r="J159" i="28" s="1"/>
  <c r="O158" i="28" a="1"/>
  <c r="O158" i="28" s="1"/>
  <c r="L158" i="28"/>
  <c r="M158" i="28" s="1" a="1"/>
  <c r="M158" i="28" s="1"/>
  <c r="J158" i="28" a="1"/>
  <c r="J158" i="28" s="1"/>
  <c r="O157" i="28" a="1"/>
  <c r="O157" i="28" s="1"/>
  <c r="L157" i="28"/>
  <c r="M157" i="28" s="1" a="1"/>
  <c r="M157" i="28" s="1"/>
  <c r="J157" i="28" a="1"/>
  <c r="J157" i="28" s="1"/>
  <c r="O156" i="28" a="1"/>
  <c r="O156" i="28" s="1"/>
  <c r="L156" i="28"/>
  <c r="M156" i="28" s="1" a="1"/>
  <c r="M156" i="28" s="1"/>
  <c r="J156" i="28" a="1"/>
  <c r="J156" i="28" s="1"/>
  <c r="O155" i="28" a="1"/>
  <c r="O155" i="28" s="1"/>
  <c r="L155" i="28"/>
  <c r="M155" i="28" s="1" a="1"/>
  <c r="M155" i="28" s="1"/>
  <c r="J155" i="28" a="1"/>
  <c r="J155" i="28" s="1"/>
  <c r="O154" i="28" a="1"/>
  <c r="O154" i="28" s="1"/>
  <c r="L154" i="28"/>
  <c r="M154" i="28" s="1" a="1"/>
  <c r="M154" i="28" s="1"/>
  <c r="J154" i="28" a="1"/>
  <c r="J154" i="28" s="1"/>
  <c r="O153" i="28"/>
  <c r="O153" i="28" a="1"/>
  <c r="L153" i="28"/>
  <c r="M153" i="28" s="1" a="1"/>
  <c r="M153" i="28" s="1"/>
  <c r="J153" i="28" a="1"/>
  <c r="J153" i="28" s="1"/>
  <c r="O152" i="28" a="1"/>
  <c r="O152" i="28" s="1"/>
  <c r="L152" i="28"/>
  <c r="M152" i="28" s="1" a="1"/>
  <c r="M152" i="28" s="1"/>
  <c r="J152" i="28" a="1"/>
  <c r="J152" i="28" s="1"/>
  <c r="O151" i="28" a="1"/>
  <c r="O151" i="28" s="1"/>
  <c r="M151" i="28"/>
  <c r="M151" i="28" a="1"/>
  <c r="L151" i="28"/>
  <c r="J151" i="28" a="1"/>
  <c r="J151" i="28" s="1"/>
  <c r="O150" i="28" a="1"/>
  <c r="O150" i="28" s="1"/>
  <c r="M150" i="28"/>
  <c r="M150" i="28" a="1"/>
  <c r="L150" i="28"/>
  <c r="J150" i="28" a="1"/>
  <c r="J150" i="28" s="1"/>
  <c r="O149" i="28" a="1"/>
  <c r="O149" i="28" s="1"/>
  <c r="L149" i="28"/>
  <c r="M149" i="28" s="1" a="1"/>
  <c r="M149" i="28" s="1"/>
  <c r="J149" i="28" a="1"/>
  <c r="J149" i="28" s="1"/>
  <c r="O148" i="28" a="1"/>
  <c r="O148" i="28" s="1"/>
  <c r="M148" i="28"/>
  <c r="M148" i="28" a="1"/>
  <c r="L148" i="28"/>
  <c r="J148" i="28" a="1"/>
  <c r="J148" i="28" s="1"/>
  <c r="O147" i="28" a="1"/>
  <c r="O147" i="28" s="1"/>
  <c r="M147" i="28"/>
  <c r="L147" i="28"/>
  <c r="M147" i="28" s="1" a="1"/>
  <c r="J147" i="28" a="1"/>
  <c r="J147" i="28" s="1"/>
  <c r="O146" i="28" a="1"/>
  <c r="O146" i="28" s="1"/>
  <c r="L146" i="28"/>
  <c r="M146" i="28" s="1" a="1"/>
  <c r="M146" i="28" s="1"/>
  <c r="J146" i="28" a="1"/>
  <c r="J146" i="28" s="1"/>
  <c r="O145" i="28" a="1"/>
  <c r="O145" i="28" s="1"/>
  <c r="L145" i="28"/>
  <c r="M145" i="28" s="1" a="1"/>
  <c r="M145" i="28" s="1"/>
  <c r="J145" i="28" a="1"/>
  <c r="J145" i="28" s="1"/>
  <c r="O144" i="28" a="1"/>
  <c r="O144" i="28" s="1"/>
  <c r="L144" i="28"/>
  <c r="M144" i="28" s="1" a="1"/>
  <c r="M144" i="28" s="1"/>
  <c r="J144" i="28" a="1"/>
  <c r="J144" i="28" s="1"/>
  <c r="O143" i="28"/>
  <c r="O143" i="28" a="1"/>
  <c r="L143" i="28"/>
  <c r="M143" i="28" s="1" a="1"/>
  <c r="M143" i="28" s="1"/>
  <c r="J143" i="28" a="1"/>
  <c r="J143" i="28" s="1"/>
  <c r="O142" i="28"/>
  <c r="O142" i="28" a="1"/>
  <c r="L142" i="28"/>
  <c r="M142" i="28" s="1" a="1"/>
  <c r="M142" i="28" s="1"/>
  <c r="J142" i="28" a="1"/>
  <c r="J142" i="28" s="1"/>
  <c r="O141" i="28"/>
  <c r="O141" i="28" a="1"/>
  <c r="M141" i="28" a="1"/>
  <c r="M141" i="28" s="1"/>
  <c r="L141" i="28"/>
  <c r="J141" i="28" a="1"/>
  <c r="J141" i="28" s="1"/>
  <c r="O140" i="28" a="1"/>
  <c r="O140" i="28" s="1"/>
  <c r="L140" i="28"/>
  <c r="M140" i="28" s="1" a="1"/>
  <c r="M140" i="28" s="1"/>
  <c r="J140" i="28" a="1"/>
  <c r="J140" i="28" s="1"/>
  <c r="O139" i="28"/>
  <c r="O139" i="28" a="1"/>
  <c r="L139" i="28"/>
  <c r="M139" i="28" s="1" a="1"/>
  <c r="M139" i="28" s="1"/>
  <c r="J139" i="28" a="1"/>
  <c r="J139" i="28" s="1"/>
  <c r="O138" i="28" a="1"/>
  <c r="O138" i="28" s="1"/>
  <c r="L138" i="28"/>
  <c r="M138" i="28" s="1" a="1"/>
  <c r="M138" i="28" s="1"/>
  <c r="J138" i="28" a="1"/>
  <c r="J138" i="28" s="1"/>
  <c r="O137" i="28" a="1"/>
  <c r="O137" i="28" s="1"/>
  <c r="M137" i="28" a="1"/>
  <c r="M137" i="28" s="1"/>
  <c r="L137" i="28"/>
  <c r="J137" i="28" a="1"/>
  <c r="J137" i="28" s="1"/>
  <c r="O136" i="28" a="1"/>
  <c r="O136" i="28" s="1"/>
  <c r="L136" i="28"/>
  <c r="M136" i="28" s="1" a="1"/>
  <c r="M136" i="28" s="1"/>
  <c r="J136" i="28" a="1"/>
  <c r="J136" i="28" s="1"/>
  <c r="O135" i="28" a="1"/>
  <c r="O135" i="28" s="1"/>
  <c r="M135" i="28" a="1"/>
  <c r="M135" i="28" s="1"/>
  <c r="L135" i="28"/>
  <c r="J135" i="28" a="1"/>
  <c r="J135" i="28" s="1"/>
  <c r="O134" i="28" a="1"/>
  <c r="O134" i="28" s="1"/>
  <c r="M134" i="28" a="1"/>
  <c r="M134" i="28" s="1"/>
  <c r="L134" i="28"/>
  <c r="J134" i="28" a="1"/>
  <c r="J134" i="28" s="1"/>
  <c r="O133" i="28" a="1"/>
  <c r="O133" i="28" s="1"/>
  <c r="L133" i="28"/>
  <c r="M133" i="28" s="1" a="1"/>
  <c r="M133" i="28" s="1"/>
  <c r="J133" i="28" a="1"/>
  <c r="J133" i="28" s="1"/>
  <c r="O132" i="28" a="1"/>
  <c r="O132" i="28" s="1"/>
  <c r="L132" i="28"/>
  <c r="M132" i="28" s="1" a="1"/>
  <c r="M132" i="28" s="1"/>
  <c r="J132" i="28" a="1"/>
  <c r="J132" i="28" s="1"/>
  <c r="O131" i="28"/>
  <c r="O131" i="28" a="1"/>
  <c r="M131" i="28" a="1"/>
  <c r="M131" i="28" s="1"/>
  <c r="L131" i="28"/>
  <c r="J131" i="28" a="1"/>
  <c r="J131" i="28" s="1"/>
  <c r="O130" i="28" a="1"/>
  <c r="O130" i="28" s="1"/>
  <c r="M130" i="28" a="1"/>
  <c r="M130" i="28" s="1"/>
  <c r="L130" i="28"/>
  <c r="J130" i="28" a="1"/>
  <c r="J130" i="28" s="1"/>
  <c r="O129" i="28" a="1"/>
  <c r="O129" i="28" s="1"/>
  <c r="L129" i="28"/>
  <c r="M129" i="28" s="1" a="1"/>
  <c r="M129" i="28" s="1"/>
  <c r="J129" i="28" a="1"/>
  <c r="J129" i="28" s="1"/>
  <c r="O128" i="28" a="1"/>
  <c r="O128" i="28" s="1"/>
  <c r="M128" i="28"/>
  <c r="M128" i="28" a="1"/>
  <c r="L128" i="28"/>
  <c r="J128" i="28" a="1"/>
  <c r="J128" i="28" s="1"/>
  <c r="O127" i="28" a="1"/>
  <c r="O127" i="28" s="1"/>
  <c r="M127" i="28"/>
  <c r="L127" i="28"/>
  <c r="M127" i="28" s="1" a="1"/>
  <c r="J127" i="28" a="1"/>
  <c r="J127" i="28" s="1"/>
  <c r="O126" i="28" a="1"/>
  <c r="O126" i="28" s="1"/>
  <c r="L126" i="28"/>
  <c r="M126" i="28" s="1" a="1"/>
  <c r="M126" i="28" s="1"/>
  <c r="J126" i="28" a="1"/>
  <c r="J126" i="28" s="1"/>
  <c r="O125" i="28" a="1"/>
  <c r="O125" i="28" s="1"/>
  <c r="L125" i="28"/>
  <c r="M125" i="28" s="1" a="1"/>
  <c r="M125" i="28" s="1"/>
  <c r="J125" i="28" a="1"/>
  <c r="J125" i="28" s="1"/>
  <c r="O124" i="28"/>
  <c r="O124" i="28" a="1"/>
  <c r="L124" i="28"/>
  <c r="M124" i="28" s="1" a="1"/>
  <c r="M124" i="28" s="1"/>
  <c r="J124" i="28" a="1"/>
  <c r="J124" i="28" s="1"/>
  <c r="O123" i="28"/>
  <c r="O123" i="28" a="1"/>
  <c r="L123" i="28"/>
  <c r="M123" i="28" s="1" a="1"/>
  <c r="M123" i="28" s="1"/>
  <c r="J123" i="28" a="1"/>
  <c r="J123" i="28" s="1"/>
  <c r="O122" i="28"/>
  <c r="O122" i="28" a="1"/>
  <c r="L122" i="28"/>
  <c r="M122" i="28" s="1" a="1"/>
  <c r="M122" i="28" s="1"/>
  <c r="J122" i="28" a="1"/>
  <c r="J122" i="28" s="1"/>
  <c r="O121" i="28"/>
  <c r="O121" i="28" a="1"/>
  <c r="L121" i="28"/>
  <c r="M121" i="28" s="1" a="1"/>
  <c r="M121" i="28" s="1"/>
  <c r="J121" i="28" a="1"/>
  <c r="J121" i="28" s="1"/>
  <c r="O120" i="28"/>
  <c r="O120" i="28" a="1"/>
  <c r="L120" i="28"/>
  <c r="M120" i="28" s="1" a="1"/>
  <c r="M120" i="28" s="1"/>
  <c r="J120" i="28" a="1"/>
  <c r="J120" i="28" s="1"/>
  <c r="O119" i="28"/>
  <c r="O119" i="28" a="1"/>
  <c r="L119" i="28"/>
  <c r="M119" i="28" s="1" a="1"/>
  <c r="M119" i="28" s="1"/>
  <c r="J119" i="28" a="1"/>
  <c r="J119" i="28" s="1"/>
  <c r="O118" i="28" a="1"/>
  <c r="O118" i="28" s="1"/>
  <c r="L118" i="28"/>
  <c r="M118" i="28" s="1" a="1"/>
  <c r="M118" i="28" s="1"/>
  <c r="J118" i="28" a="1"/>
  <c r="J118" i="28" s="1"/>
  <c r="O117" i="28"/>
  <c r="O117" i="28" a="1"/>
  <c r="L117" i="28"/>
  <c r="M117" i="28" s="1" a="1"/>
  <c r="M117" i="28" s="1"/>
  <c r="J117" i="28" a="1"/>
  <c r="J117" i="28" s="1"/>
  <c r="O116" i="28" a="1"/>
  <c r="O116" i="28" s="1"/>
  <c r="L116" i="28"/>
  <c r="M116" i="28" s="1" a="1"/>
  <c r="M116" i="28" s="1"/>
  <c r="J116" i="28" a="1"/>
  <c r="J116" i="28" s="1"/>
  <c r="O115" i="28" a="1"/>
  <c r="O115" i="28" s="1"/>
  <c r="L115" i="28"/>
  <c r="M115" i="28" s="1" a="1"/>
  <c r="M115" i="28" s="1"/>
  <c r="J115" i="28" a="1"/>
  <c r="J115" i="28" s="1"/>
  <c r="O114" i="28"/>
  <c r="O114" i="28" a="1"/>
  <c r="L114" i="28"/>
  <c r="M114" i="28" s="1" a="1"/>
  <c r="M114" i="28" s="1"/>
  <c r="J114" i="28"/>
  <c r="J114" i="28" a="1"/>
  <c r="O113" i="28" a="1"/>
  <c r="O113" i="28" s="1"/>
  <c r="L113" i="28"/>
  <c r="M113" i="28" s="1" a="1"/>
  <c r="M113" i="28" s="1"/>
  <c r="J113" i="28" a="1"/>
  <c r="J113" i="28" s="1"/>
  <c r="O112" i="28" a="1"/>
  <c r="O112" i="28" s="1"/>
  <c r="L112" i="28"/>
  <c r="M112" i="28" s="1" a="1"/>
  <c r="M112" i="28" s="1"/>
  <c r="J112" i="28" a="1"/>
  <c r="J112" i="28" s="1"/>
  <c r="O111" i="28"/>
  <c r="O111" i="28" a="1"/>
  <c r="M111" i="28" a="1"/>
  <c r="M111" i="28" s="1"/>
  <c r="L111" i="28"/>
  <c r="J111" i="28" a="1"/>
  <c r="J111" i="28" s="1"/>
  <c r="O110" i="28" a="1"/>
  <c r="O110" i="28" s="1"/>
  <c r="M110" i="28" a="1"/>
  <c r="M110" i="28" s="1"/>
  <c r="L110" i="28"/>
  <c r="J110" i="28" a="1"/>
  <c r="J110" i="28" s="1"/>
  <c r="O109" i="28" a="1"/>
  <c r="O109" i="28" s="1"/>
  <c r="L109" i="28"/>
  <c r="M109" i="28" s="1" a="1"/>
  <c r="M109" i="28" s="1"/>
  <c r="J109" i="28" a="1"/>
  <c r="J109" i="28" s="1"/>
  <c r="O108" i="28"/>
  <c r="O108" i="28" a="1"/>
  <c r="M108" i="28"/>
  <c r="M108" i="28" a="1"/>
  <c r="L108" i="28"/>
  <c r="J108" i="28" a="1"/>
  <c r="J108" i="28" s="1"/>
  <c r="O107" i="28" a="1"/>
  <c r="O107" i="28" s="1"/>
  <c r="M107" i="28"/>
  <c r="L107" i="28"/>
  <c r="M107" i="28" s="1" a="1"/>
  <c r="J107" i="28" a="1"/>
  <c r="J107" i="28" s="1"/>
  <c r="O106" i="28" a="1"/>
  <c r="O106" i="28" s="1"/>
  <c r="L106" i="28"/>
  <c r="M106" i="28" s="1" a="1"/>
  <c r="M106" i="28" s="1"/>
  <c r="J106" i="28" a="1"/>
  <c r="J106" i="28" s="1"/>
  <c r="O105" i="28"/>
  <c r="O105" i="28" a="1"/>
  <c r="L105" i="28"/>
  <c r="M105" i="28" s="1" a="1"/>
  <c r="M105" i="28" s="1"/>
  <c r="J105" i="28" a="1"/>
  <c r="J105" i="28" s="1"/>
  <c r="O104" i="28" a="1"/>
  <c r="O104" i="28" s="1"/>
  <c r="L104" i="28"/>
  <c r="M104" i="28" s="1" a="1"/>
  <c r="M104" i="28" s="1"/>
  <c r="J104" i="28" a="1"/>
  <c r="J104" i="28" s="1"/>
  <c r="O103" i="28" a="1"/>
  <c r="O103" i="28" s="1"/>
  <c r="L103" i="28"/>
  <c r="M103" i="28" s="1" a="1"/>
  <c r="M103" i="28" s="1"/>
  <c r="J103" i="28" a="1"/>
  <c r="J103" i="28" s="1"/>
  <c r="O102" i="28"/>
  <c r="O102" i="28" a="1"/>
  <c r="M102" i="28" a="1"/>
  <c r="M102" i="28" s="1"/>
  <c r="L102" i="28"/>
  <c r="J102" i="28" a="1"/>
  <c r="J102" i="28" s="1"/>
  <c r="O101" i="28"/>
  <c r="O101" i="28" a="1"/>
  <c r="L101" i="28"/>
  <c r="M101" i="28" s="1" a="1"/>
  <c r="M101" i="28" s="1"/>
  <c r="J101" i="28" a="1"/>
  <c r="J101" i="28" s="1"/>
  <c r="O100" i="28"/>
  <c r="O100" i="28" a="1"/>
  <c r="L100" i="28"/>
  <c r="M100" i="28" s="1" a="1"/>
  <c r="M100" i="28" s="1"/>
  <c r="J100" i="28" a="1"/>
  <c r="J100" i="28" s="1"/>
  <c r="O99" i="28"/>
  <c r="O99" i="28" a="1"/>
  <c r="M99" i="28"/>
  <c r="L99" i="28"/>
  <c r="M99" i="28" s="1" a="1"/>
  <c r="J99" i="28" a="1"/>
  <c r="J99" i="28" s="1"/>
  <c r="O98" i="28" a="1"/>
  <c r="O98" i="28" s="1"/>
  <c r="L98" i="28"/>
  <c r="M98" i="28" s="1" a="1"/>
  <c r="M98" i="28" s="1"/>
  <c r="J98" i="28" a="1"/>
  <c r="J98" i="28" s="1"/>
  <c r="O97" i="28" a="1"/>
  <c r="O97" i="28" s="1"/>
  <c r="L97" i="28"/>
  <c r="M97" i="28" s="1" a="1"/>
  <c r="M97" i="28" s="1"/>
  <c r="J97" i="28" a="1"/>
  <c r="J97" i="28" s="1"/>
  <c r="O96" i="28" a="1"/>
  <c r="O96" i="28" s="1"/>
  <c r="M96" i="28" a="1"/>
  <c r="M96" i="28" s="1"/>
  <c r="L96" i="28"/>
  <c r="J96" i="28" a="1"/>
  <c r="J96" i="28" s="1"/>
  <c r="O95" i="28" a="1"/>
  <c r="O95" i="28" s="1"/>
  <c r="L95" i="28"/>
  <c r="M95" i="28" s="1" a="1"/>
  <c r="M95" i="28" s="1"/>
  <c r="J95" i="28" a="1"/>
  <c r="J95" i="28" s="1"/>
  <c r="O94" i="28"/>
  <c r="O94" i="28" a="1"/>
  <c r="M94" i="28" a="1"/>
  <c r="M94" i="28" s="1"/>
  <c r="L94" i="28"/>
  <c r="J94" i="28" a="1"/>
  <c r="J94" i="28" s="1"/>
  <c r="O93" i="28" a="1"/>
  <c r="O93" i="28" s="1"/>
  <c r="L93" i="28"/>
  <c r="M93" i="28" s="1" a="1"/>
  <c r="M93" i="28" s="1"/>
  <c r="J93" i="28" a="1"/>
  <c r="J93" i="28" s="1"/>
  <c r="O92" i="28" a="1"/>
  <c r="O92" i="28" s="1"/>
  <c r="M92" i="28" a="1"/>
  <c r="M92" i="28" s="1"/>
  <c r="L92" i="28"/>
  <c r="J92" i="28" a="1"/>
  <c r="J92" i="28" s="1"/>
  <c r="O91" i="28" a="1"/>
  <c r="O91" i="28" s="1"/>
  <c r="M91" i="28" a="1"/>
  <c r="M91" i="28" s="1"/>
  <c r="L91" i="28"/>
  <c r="J91" i="28" a="1"/>
  <c r="J91" i="28" s="1"/>
  <c r="O90" i="28" a="1"/>
  <c r="O90" i="28" s="1"/>
  <c r="M90" i="28" a="1"/>
  <c r="M90" i="28" s="1"/>
  <c r="L90" i="28"/>
  <c r="J90" i="28" a="1"/>
  <c r="J90" i="28" s="1"/>
  <c r="O89" i="28" a="1"/>
  <c r="O89" i="28" s="1"/>
  <c r="L89" i="28"/>
  <c r="M89" i="28" s="1" a="1"/>
  <c r="M89" i="28" s="1"/>
  <c r="J89" i="28" a="1"/>
  <c r="J89" i="28" s="1"/>
  <c r="O88" i="28"/>
  <c r="O88" i="28" a="1"/>
  <c r="M88" i="28"/>
  <c r="M88" i="28" a="1"/>
  <c r="L88" i="28"/>
  <c r="J88" i="28" a="1"/>
  <c r="J88" i="28" s="1"/>
  <c r="O87" i="28"/>
  <c r="O87" i="28" a="1"/>
  <c r="M87" i="28"/>
  <c r="L87" i="28"/>
  <c r="M87" i="28" s="1" a="1"/>
  <c r="J87" i="28" a="1"/>
  <c r="J87" i="28" s="1"/>
  <c r="O86" i="28" a="1"/>
  <c r="O86" i="28" s="1"/>
  <c r="L86" i="28"/>
  <c r="M86" i="28" s="1" a="1"/>
  <c r="M86" i="28" s="1"/>
  <c r="J86" i="28" a="1"/>
  <c r="J86" i="28" s="1"/>
  <c r="O85" i="28" a="1"/>
  <c r="O85" i="28" s="1"/>
  <c r="L85" i="28"/>
  <c r="M85" i="28" s="1" a="1"/>
  <c r="M85" i="28" s="1"/>
  <c r="J85" i="28" a="1"/>
  <c r="J85" i="28" s="1"/>
  <c r="O84" i="28" a="1"/>
  <c r="O84" i="28" s="1"/>
  <c r="L84" i="28"/>
  <c r="M84" i="28" s="1" a="1"/>
  <c r="M84" i="28" s="1"/>
  <c r="J84" i="28" a="1"/>
  <c r="J84" i="28" s="1"/>
  <c r="O83" i="28" a="1"/>
  <c r="O83" i="28" s="1"/>
  <c r="L83" i="28"/>
  <c r="M83" i="28" s="1" a="1"/>
  <c r="M83" i="28" s="1"/>
  <c r="J83" i="28" a="1"/>
  <c r="J83" i="28" s="1"/>
  <c r="O82" i="28"/>
  <c r="O82" i="28" a="1"/>
  <c r="L82" i="28"/>
  <c r="M82" i="28" s="1" a="1"/>
  <c r="M82" i="28" s="1"/>
  <c r="J82" i="28" a="1"/>
  <c r="J82" i="28" s="1"/>
  <c r="O81" i="28"/>
  <c r="O81" i="28" a="1"/>
  <c r="L81" i="28"/>
  <c r="M81" i="28" s="1" a="1"/>
  <c r="M81" i="28" s="1"/>
  <c r="J81" i="28" a="1"/>
  <c r="J81" i="28" s="1"/>
  <c r="O80" i="28" a="1"/>
  <c r="O80" i="28" s="1"/>
  <c r="L80" i="28"/>
  <c r="M80" i="28" s="1" a="1"/>
  <c r="M80" i="28" s="1"/>
  <c r="J80" i="28" a="1"/>
  <c r="J80" i="28" s="1"/>
  <c r="O79" i="28"/>
  <c r="O79" i="28" a="1"/>
  <c r="L79" i="28"/>
  <c r="M79" i="28" s="1" a="1"/>
  <c r="M79" i="28" s="1"/>
  <c r="J79" i="28" a="1"/>
  <c r="J79" i="28" s="1"/>
  <c r="O78" i="28" a="1"/>
  <c r="O78" i="28" s="1"/>
  <c r="L78" i="28"/>
  <c r="M78" i="28" s="1" a="1"/>
  <c r="M78" i="28" s="1"/>
  <c r="J78" i="28" a="1"/>
  <c r="J78" i="28" s="1"/>
  <c r="O77" i="28" a="1"/>
  <c r="O77" i="28" s="1"/>
  <c r="L77" i="28"/>
  <c r="M77" i="28" s="1" a="1"/>
  <c r="M77" i="28" s="1"/>
  <c r="J77" i="28" a="1"/>
  <c r="J77" i="28" s="1"/>
  <c r="O76" i="28" a="1"/>
  <c r="O76" i="28" s="1"/>
  <c r="L76" i="28"/>
  <c r="M76" i="28" s="1" a="1"/>
  <c r="M76" i="28" s="1"/>
  <c r="J76" i="28" a="1"/>
  <c r="J76" i="28" s="1"/>
  <c r="O75" i="28" a="1"/>
  <c r="O75" i="28" s="1"/>
  <c r="L75" i="28"/>
  <c r="M75" i="28" s="1" a="1"/>
  <c r="M75" i="28" s="1"/>
  <c r="J75" i="28" a="1"/>
  <c r="J75" i="28" s="1"/>
  <c r="O74" i="28" a="1"/>
  <c r="O74" i="28" s="1"/>
  <c r="M74" i="28" a="1"/>
  <c r="M74" i="28" s="1"/>
  <c r="L74" i="28"/>
  <c r="J74" i="28" a="1"/>
  <c r="J74" i="28" s="1"/>
  <c r="O73" i="28" a="1"/>
  <c r="O73" i="28" s="1"/>
  <c r="L73" i="28"/>
  <c r="M73" i="28" s="1" a="1"/>
  <c r="M73" i="28" s="1"/>
  <c r="J73" i="28" a="1"/>
  <c r="J73" i="28" s="1"/>
  <c r="O72" i="28"/>
  <c r="O72" i="28" a="1"/>
  <c r="L72" i="28"/>
  <c r="M72" i="28" s="1" a="1"/>
  <c r="M72" i="28" s="1"/>
  <c r="J72" i="28" a="1"/>
  <c r="J72" i="28" s="1"/>
  <c r="O71" i="28" a="1"/>
  <c r="O71" i="28" s="1"/>
  <c r="M71" i="28" a="1"/>
  <c r="M71" i="28" s="1"/>
  <c r="L71" i="28"/>
  <c r="J71" i="28" a="1"/>
  <c r="J71" i="28" s="1"/>
  <c r="O70" i="28" a="1"/>
  <c r="O70" i="28" s="1"/>
  <c r="M70" i="28"/>
  <c r="M70" i="28" a="1"/>
  <c r="L70" i="28"/>
  <c r="J70" i="28" a="1"/>
  <c r="J70" i="28" s="1"/>
  <c r="O69" i="28" a="1"/>
  <c r="O69" i="28" s="1"/>
  <c r="M69" i="28" a="1"/>
  <c r="M69" i="28" s="1"/>
  <c r="L69" i="28"/>
  <c r="J69" i="28" a="1"/>
  <c r="J69" i="28" s="1"/>
  <c r="O68" i="28" a="1"/>
  <c r="O68" i="28" s="1"/>
  <c r="M68" i="28"/>
  <c r="M68" i="28" a="1"/>
  <c r="L68" i="28"/>
  <c r="J68" i="28" a="1"/>
  <c r="J68" i="28" s="1"/>
  <c r="O67" i="28" a="1"/>
  <c r="O67" i="28" s="1"/>
  <c r="M67" i="28"/>
  <c r="L67" i="28"/>
  <c r="M67" i="28" s="1" a="1"/>
  <c r="J67" i="28" a="1"/>
  <c r="J67" i="28" s="1"/>
  <c r="O66" i="28" a="1"/>
  <c r="O66" i="28" s="1"/>
  <c r="L66" i="28"/>
  <c r="M66" i="28" s="1" a="1"/>
  <c r="M66" i="28" s="1"/>
  <c r="J66" i="28" a="1"/>
  <c r="J66" i="28" s="1"/>
  <c r="O65" i="28" a="1"/>
  <c r="O65" i="28" s="1"/>
  <c r="L65" i="28"/>
  <c r="M65" i="28" s="1" a="1"/>
  <c r="M65" i="28" s="1"/>
  <c r="J65" i="28" a="1"/>
  <c r="J65" i="28" s="1"/>
  <c r="O64" i="28" a="1"/>
  <c r="O64" i="28" s="1"/>
  <c r="L64" i="28"/>
  <c r="M64" i="28" s="1" a="1"/>
  <c r="M64" i="28" s="1"/>
  <c r="J64" i="28" a="1"/>
  <c r="J64" i="28" s="1"/>
  <c r="O63" i="28" a="1"/>
  <c r="O63" i="28" s="1"/>
  <c r="L63" i="28"/>
  <c r="M63" i="28" s="1" a="1"/>
  <c r="M63" i="28" s="1"/>
  <c r="J63" i="28" a="1"/>
  <c r="J63" i="28" s="1"/>
  <c r="O62" i="28"/>
  <c r="O62" i="28" a="1"/>
  <c r="L62" i="28"/>
  <c r="M62" i="28" s="1" a="1"/>
  <c r="M62" i="28" s="1"/>
  <c r="J62" i="28" a="1"/>
  <c r="J62" i="28" s="1"/>
  <c r="O61" i="28"/>
  <c r="O61" i="28" a="1"/>
  <c r="L61" i="28"/>
  <c r="M61" i="28" s="1" a="1"/>
  <c r="M61" i="28" s="1"/>
  <c r="J61" i="28" a="1"/>
  <c r="J61" i="28" s="1"/>
  <c r="O60" i="28" a="1"/>
  <c r="O60" i="28" s="1"/>
  <c r="L60" i="28"/>
  <c r="M60" i="28" s="1" a="1"/>
  <c r="M60" i="28" s="1"/>
  <c r="J60" i="28" a="1"/>
  <c r="J60" i="28" s="1"/>
  <c r="O59" i="28"/>
  <c r="O59" i="28" a="1"/>
  <c r="L59" i="28"/>
  <c r="M59" i="28" s="1" a="1"/>
  <c r="M59" i="28" s="1"/>
  <c r="J59" i="28" a="1"/>
  <c r="J59" i="28" s="1"/>
  <c r="O58" i="28" a="1"/>
  <c r="O58" i="28" s="1"/>
  <c r="L58" i="28"/>
  <c r="M58" i="28" s="1" a="1"/>
  <c r="M58" i="28" s="1"/>
  <c r="J58" i="28" a="1"/>
  <c r="J58" i="28" s="1"/>
  <c r="O57" i="28" a="1"/>
  <c r="O57" i="28" s="1"/>
  <c r="M57" i="28" a="1"/>
  <c r="M57" i="28" s="1"/>
  <c r="L57" i="28"/>
  <c r="J57" i="28" a="1"/>
  <c r="J57" i="28" s="1"/>
  <c r="O56" i="28" a="1"/>
  <c r="O56" i="28" s="1"/>
  <c r="L56" i="28"/>
  <c r="M56" i="28" s="1" a="1"/>
  <c r="M56" i="28" s="1"/>
  <c r="J56" i="28" a="1"/>
  <c r="J56" i="28" s="1"/>
  <c r="O55" i="28" a="1"/>
  <c r="O55" i="28" s="1"/>
  <c r="L55" i="28"/>
  <c r="M55" i="28" s="1" a="1"/>
  <c r="M55" i="28" s="1"/>
  <c r="J55" i="28" a="1"/>
  <c r="J55" i="28" s="1"/>
  <c r="O54" i="28" a="1"/>
  <c r="O54" i="28" s="1"/>
  <c r="L54" i="28"/>
  <c r="M54" i="28" s="1" a="1"/>
  <c r="M54" i="28" s="1"/>
  <c r="J54" i="28" a="1"/>
  <c r="J54" i="28" s="1"/>
  <c r="O53" i="28"/>
  <c r="O53" i="28" a="1"/>
  <c r="L53" i="28"/>
  <c r="M53" i="28" s="1" a="1"/>
  <c r="M53" i="28" s="1"/>
  <c r="J53" i="28" a="1"/>
  <c r="J53" i="28" s="1"/>
  <c r="O52" i="28" a="1"/>
  <c r="O52" i="28" s="1"/>
  <c r="M52" i="28" a="1"/>
  <c r="M52" i="28" s="1"/>
  <c r="L52" i="28"/>
  <c r="J52" i="28" a="1"/>
  <c r="J52" i="28" s="1"/>
  <c r="O51" i="28" a="1"/>
  <c r="O51" i="28" s="1"/>
  <c r="M51" i="28" a="1"/>
  <c r="M51" i="28" s="1"/>
  <c r="L51" i="28"/>
  <c r="J51" i="28" a="1"/>
  <c r="J51" i="28" s="1"/>
  <c r="O50" i="28" a="1"/>
  <c r="O50" i="28" s="1"/>
  <c r="M50" i="28" a="1"/>
  <c r="M50" i="28" s="1"/>
  <c r="L50" i="28"/>
  <c r="J50" i="28" a="1"/>
  <c r="J50" i="28" s="1"/>
  <c r="O49" i="28" a="1"/>
  <c r="O49" i="28" s="1"/>
  <c r="L49" i="28"/>
  <c r="M49" i="28" s="1" a="1"/>
  <c r="M49" i="28" s="1"/>
  <c r="J49" i="28" a="1"/>
  <c r="J49" i="28" s="1"/>
  <c r="O48" i="28" a="1"/>
  <c r="O48" i="28" s="1"/>
  <c r="M48" i="28"/>
  <c r="M48" i="28" a="1"/>
  <c r="L48" i="28"/>
  <c r="J48" i="28" a="1"/>
  <c r="J48" i="28" s="1"/>
  <c r="O47" i="28"/>
  <c r="O47" i="28" a="1"/>
  <c r="L47" i="28"/>
  <c r="M47" i="28" s="1" a="1"/>
  <c r="M47" i="28" s="1"/>
  <c r="J47" i="28" a="1"/>
  <c r="J47" i="28" s="1"/>
  <c r="O46" i="28" a="1"/>
  <c r="O46" i="28" s="1"/>
  <c r="L46" i="28"/>
  <c r="M46" i="28" s="1" a="1"/>
  <c r="M46" i="28" s="1"/>
  <c r="J46" i="28" a="1"/>
  <c r="J46" i="28" s="1"/>
  <c r="O45" i="28" a="1"/>
  <c r="O45" i="28" s="1"/>
  <c r="L45" i="28"/>
  <c r="M45" i="28" s="1" a="1"/>
  <c r="M45" i="28" s="1"/>
  <c r="J45" i="28" a="1"/>
  <c r="J45" i="28" s="1"/>
  <c r="O44" i="28" a="1"/>
  <c r="O44" i="28" s="1"/>
  <c r="M44" i="28" a="1"/>
  <c r="M44" i="28" s="1"/>
  <c r="L44" i="28"/>
  <c r="J44" i="28" a="1"/>
  <c r="J44" i="28" s="1"/>
  <c r="O43" i="28" a="1"/>
  <c r="O43" i="28" s="1"/>
  <c r="L43" i="28"/>
  <c r="M43" i="28" s="1" a="1"/>
  <c r="M43" i="28" s="1"/>
  <c r="J43" i="28" a="1"/>
  <c r="J43" i="28" s="1"/>
  <c r="O42" i="28"/>
  <c r="O42" i="28" a="1"/>
  <c r="L42" i="28"/>
  <c r="M42" i="28" s="1" a="1"/>
  <c r="M42" i="28" s="1"/>
  <c r="J42" i="28" a="1"/>
  <c r="J42" i="28" s="1"/>
  <c r="O41" i="28"/>
  <c r="O41" i="28" a="1"/>
  <c r="M41" i="28" a="1"/>
  <c r="M41" i="28" s="1"/>
  <c r="L41" i="28"/>
  <c r="J41" i="28" a="1"/>
  <c r="J41" i="28" s="1"/>
  <c r="O40" i="28" a="1"/>
  <c r="O40" i="28" s="1"/>
  <c r="L40" i="28"/>
  <c r="M40" i="28" s="1" a="1"/>
  <c r="M40" i="28" s="1"/>
  <c r="J40" i="28" a="1"/>
  <c r="J40" i="28" s="1"/>
  <c r="O39" i="28"/>
  <c r="O39" i="28" a="1"/>
  <c r="L39" i="28"/>
  <c r="M39" i="28" s="1" a="1"/>
  <c r="M39" i="28" s="1"/>
  <c r="J39" i="28" a="1"/>
  <c r="J39" i="28" s="1"/>
  <c r="O38" i="28" a="1"/>
  <c r="O38" i="28" s="1"/>
  <c r="M38" i="28" a="1"/>
  <c r="M38" i="28" s="1"/>
  <c r="L38" i="28"/>
  <c r="J38" i="28" a="1"/>
  <c r="J38" i="28" s="1"/>
  <c r="O37" i="28" a="1"/>
  <c r="O37" i="28" s="1"/>
  <c r="L37" i="28"/>
  <c r="M37" i="28" s="1" a="1"/>
  <c r="M37" i="28" s="1"/>
  <c r="J37" i="28"/>
  <c r="J37" i="28" a="1"/>
  <c r="O36" i="28" a="1"/>
  <c r="O36" i="28" s="1"/>
  <c r="L36" i="28"/>
  <c r="M36" i="28" s="1" a="1"/>
  <c r="M36" i="28" s="1"/>
  <c r="J36" i="28" a="1"/>
  <c r="J36" i="28" s="1"/>
  <c r="O35" i="28" a="1"/>
  <c r="O35" i="28" s="1"/>
  <c r="M35" i="28" a="1"/>
  <c r="M35" i="28" s="1"/>
  <c r="L35" i="28"/>
  <c r="J35" i="28" a="1"/>
  <c r="J35" i="28" s="1"/>
  <c r="O34" i="28" a="1"/>
  <c r="O34" i="28" s="1"/>
  <c r="L34" i="28"/>
  <c r="M34" i="28" s="1" a="1"/>
  <c r="M34" i="28" s="1"/>
  <c r="J34" i="28" a="1"/>
  <c r="J34" i="28" s="1"/>
  <c r="O33" i="28" a="1"/>
  <c r="O33" i="28" s="1"/>
  <c r="L33" i="28"/>
  <c r="M33" i="28" s="1" a="1"/>
  <c r="M33" i="28" s="1"/>
  <c r="J33" i="28" a="1"/>
  <c r="J33" i="28" s="1"/>
  <c r="O32" i="28" a="1"/>
  <c r="O32" i="28" s="1"/>
  <c r="M32" i="28" a="1"/>
  <c r="M32" i="28" s="1"/>
  <c r="L32" i="28"/>
  <c r="J32" i="28" a="1"/>
  <c r="J32" i="28" s="1"/>
  <c r="O31" i="28" a="1"/>
  <c r="O31" i="28" s="1"/>
  <c r="M31" i="28" a="1"/>
  <c r="M31" i="28" s="1"/>
  <c r="L31" i="28"/>
  <c r="J31" i="28" a="1"/>
  <c r="J31" i="28" s="1"/>
  <c r="O30" i="28" a="1"/>
  <c r="O30" i="28" s="1"/>
  <c r="M30" i="28" a="1"/>
  <c r="M30" i="28" s="1"/>
  <c r="L30" i="28"/>
  <c r="J30" i="28" a="1"/>
  <c r="J30" i="28" s="1"/>
  <c r="O29" i="28" a="1"/>
  <c r="O29" i="28" s="1"/>
  <c r="M29" i="28" a="1"/>
  <c r="M29" i="28" s="1"/>
  <c r="L29" i="28"/>
  <c r="J29" i="28" a="1"/>
  <c r="J29" i="28" s="1"/>
  <c r="O28" i="28" a="1"/>
  <c r="O28" i="28" s="1"/>
  <c r="M28" i="28"/>
  <c r="M28" i="28" a="1"/>
  <c r="L28" i="28"/>
  <c r="J28" i="28" a="1"/>
  <c r="J28" i="28" s="1"/>
  <c r="O27" i="28" a="1"/>
  <c r="O27" i="28" s="1"/>
  <c r="L27" i="28"/>
  <c r="M27" i="28" s="1" a="1"/>
  <c r="M27" i="28" s="1"/>
  <c r="J27" i="28" a="1"/>
  <c r="J27" i="28" s="1"/>
  <c r="O26" i="28" a="1"/>
  <c r="O26" i="28" s="1"/>
  <c r="M26" i="28" a="1"/>
  <c r="M26" i="28" s="1"/>
  <c r="L26" i="28"/>
  <c r="J26" i="28" a="1"/>
  <c r="J26" i="28" s="1"/>
  <c r="O25" i="28" a="1"/>
  <c r="O25" i="28" s="1"/>
  <c r="L25" i="28"/>
  <c r="M25" i="28" s="1" a="1"/>
  <c r="M25" i="28" s="1"/>
  <c r="J25" i="28" a="1"/>
  <c r="J25" i="28" s="1"/>
  <c r="O24" i="28" a="1"/>
  <c r="O24" i="28" s="1"/>
  <c r="L24" i="28"/>
  <c r="M24" i="28" s="1" a="1"/>
  <c r="M24" i="28" s="1"/>
  <c r="J24" i="28" a="1"/>
  <c r="J24" i="28" s="1"/>
  <c r="O23" i="28" a="1"/>
  <c r="O23" i="28" s="1"/>
  <c r="M23" i="28" a="1"/>
  <c r="M23" i="28" s="1"/>
  <c r="L23" i="28"/>
  <c r="J23" i="28" a="1"/>
  <c r="J23" i="28" s="1"/>
  <c r="O22" i="28"/>
  <c r="O22" i="28" a="1"/>
  <c r="L22" i="28"/>
  <c r="M22" i="28" s="1" a="1"/>
  <c r="M22" i="28" s="1"/>
  <c r="J22" i="28" a="1"/>
  <c r="J22" i="28" s="1"/>
  <c r="O21" i="28"/>
  <c r="O21" i="28" a="1"/>
  <c r="L21" i="28"/>
  <c r="M21" i="28" s="1" a="1"/>
  <c r="M21" i="28" s="1"/>
  <c r="J21" i="28" a="1"/>
  <c r="J21" i="28" s="1"/>
  <c r="O20" i="28" a="1"/>
  <c r="O20" i="28" s="1"/>
  <c r="L20" i="28"/>
  <c r="M20" i="28" s="1" a="1"/>
  <c r="M20" i="28" s="1"/>
  <c r="J20" i="28" a="1"/>
  <c r="J20" i="28" s="1"/>
  <c r="O19" i="28"/>
  <c r="O19" i="28" a="1"/>
  <c r="L19" i="28"/>
  <c r="M19" i="28" s="1" a="1"/>
  <c r="M19" i="28" s="1"/>
  <c r="J19" i="28" a="1"/>
  <c r="J19" i="28" s="1"/>
  <c r="O18" i="28" a="1"/>
  <c r="O18" i="28" s="1"/>
  <c r="L18" i="28"/>
  <c r="M18" i="28" s="1" a="1"/>
  <c r="M18" i="28" s="1"/>
  <c r="J18" i="28" a="1"/>
  <c r="J18" i="28" s="1"/>
  <c r="O17" i="28" a="1"/>
  <c r="O17" i="28" s="1"/>
  <c r="L17" i="28"/>
  <c r="M17" i="28" s="1" a="1"/>
  <c r="M17" i="28" s="1"/>
  <c r="J17" i="28" a="1"/>
  <c r="J17" i="28" s="1"/>
  <c r="O16" i="28" a="1"/>
  <c r="O16" i="28" s="1"/>
  <c r="L16" i="28"/>
  <c r="M16" i="28" s="1" a="1"/>
  <c r="M16" i="28" s="1"/>
  <c r="J16" i="28" a="1"/>
  <c r="J16" i="28" s="1"/>
  <c r="O15" i="28" a="1"/>
  <c r="O15" i="28" s="1"/>
  <c r="L15" i="28"/>
  <c r="M15" i="28" s="1" a="1"/>
  <c r="M15" i="28" s="1"/>
  <c r="J15" i="28" a="1"/>
  <c r="J15" i="28" s="1"/>
  <c r="O14" i="28" a="1"/>
  <c r="O14" i="28" s="1"/>
  <c r="L14" i="28"/>
  <c r="M14" i="28" s="1" a="1"/>
  <c r="M14" i="28" s="1"/>
  <c r="J14" i="28" a="1"/>
  <c r="J14" i="28" s="1"/>
  <c r="O13" i="28" a="1"/>
  <c r="O13" i="28" s="1"/>
  <c r="L13" i="28"/>
  <c r="M13" i="28" s="1" a="1"/>
  <c r="M13" i="28" s="1"/>
  <c r="J13" i="28" a="1"/>
  <c r="J13" i="28" s="1"/>
  <c r="O12" i="28"/>
  <c r="O12" i="28" a="1"/>
  <c r="L12" i="28"/>
  <c r="M12" i="28" s="1" a="1"/>
  <c r="M12" i="28" s="1"/>
  <c r="J12" i="28" a="1"/>
  <c r="J12" i="28" s="1"/>
  <c r="O11" i="28"/>
  <c r="O11" i="28" a="1"/>
  <c r="M11" i="28" a="1"/>
  <c r="M11" i="28" s="1"/>
  <c r="L11" i="28"/>
  <c r="J11" i="28" a="1"/>
  <c r="J11" i="28" s="1"/>
  <c r="O10" i="28" a="1"/>
  <c r="O10" i="28" s="1"/>
  <c r="M10" i="28" a="1"/>
  <c r="M10" i="28" s="1"/>
  <c r="L10" i="28"/>
  <c r="J10" i="28" a="1"/>
  <c r="J10" i="28" s="1"/>
  <c r="O9" i="28" a="1"/>
  <c r="O9" i="28" s="1"/>
  <c r="L9" i="28"/>
  <c r="M9" i="28" s="1" a="1"/>
  <c r="M9" i="28" s="1"/>
  <c r="J9" i="28" a="1"/>
  <c r="J9" i="28" s="1"/>
  <c r="O8" i="28" a="1"/>
  <c r="O8" i="28" s="1"/>
  <c r="M8" i="28"/>
  <c r="M8" i="28" a="1"/>
  <c r="L8" i="28"/>
  <c r="J8" i="28"/>
  <c r="J8" i="28" a="1"/>
  <c r="O7" i="28" a="1"/>
  <c r="O7" i="28" s="1"/>
  <c r="L7" i="28"/>
  <c r="M7" i="28" s="1" a="1"/>
  <c r="M7" i="28" s="1"/>
  <c r="J7" i="28" a="1"/>
  <c r="J7" i="28" s="1"/>
  <c r="O6" i="28" a="1"/>
  <c r="O6" i="28" s="1"/>
  <c r="L6" i="28"/>
  <c r="M6" i="28" s="1" a="1"/>
  <c r="M6" i="28" s="1"/>
  <c r="J6" i="28" a="1"/>
  <c r="J6" i="28" s="1"/>
  <c r="S8" i="3"/>
  <c r="Q8" i="3"/>
  <c r="P8" i="3"/>
  <c r="W33" i="22" s="1"/>
  <c r="O8" i="3" a="1"/>
  <c r="O8" i="3" s="1"/>
  <c r="M8" i="3" a="1"/>
  <c r="M8" i="3" s="1"/>
  <c r="L8" i="3" a="1"/>
  <c r="L8" i="3" s="1"/>
  <c r="V33" i="22" s="1"/>
  <c r="K8" i="3" a="1"/>
  <c r="K8" i="3" s="1"/>
  <c r="I8" i="3"/>
  <c r="H8" i="3" a="1"/>
  <c r="H8" i="3" s="1"/>
  <c r="U33" i="22" s="1"/>
  <c r="G8" i="3" a="1"/>
  <c r="G8" i="3" s="1"/>
  <c r="E8" i="3" a="1"/>
  <c r="E8" i="3" s="1"/>
  <c r="D8" i="3" a="1"/>
  <c r="D8" i="3" s="1"/>
  <c r="T33" i="22" s="1"/>
  <c r="C8" i="3"/>
  <c r="B8" i="3"/>
  <c r="U8" i="3"/>
  <c r="O299" i="27" a="1"/>
  <c r="O299" i="27" s="1"/>
  <c r="L299" i="27"/>
  <c r="M299" i="27" s="1" a="1"/>
  <c r="M299" i="27" s="1"/>
  <c r="J299" i="27"/>
  <c r="J299" i="27" a="1"/>
  <c r="O298" i="27" a="1"/>
  <c r="O298" i="27" s="1"/>
  <c r="L298" i="27"/>
  <c r="M298" i="27" s="1" a="1"/>
  <c r="M298" i="27" s="1"/>
  <c r="J298" i="27" a="1"/>
  <c r="J298" i="27" s="1"/>
  <c r="O297" i="27" a="1"/>
  <c r="O297" i="27" s="1"/>
  <c r="L297" i="27"/>
  <c r="M297" i="27" s="1" a="1"/>
  <c r="M297" i="27" s="1"/>
  <c r="J297" i="27"/>
  <c r="J297" i="27" a="1"/>
  <c r="O296" i="27" a="1"/>
  <c r="O296" i="27" s="1"/>
  <c r="L296" i="27"/>
  <c r="M296" i="27" s="1" a="1"/>
  <c r="M296" i="27" s="1"/>
  <c r="J296" i="27" a="1"/>
  <c r="J296" i="27" s="1"/>
  <c r="O295" i="27" a="1"/>
  <c r="O295" i="27" s="1"/>
  <c r="L295" i="27"/>
  <c r="M295" i="27" s="1" a="1"/>
  <c r="M295" i="27" s="1"/>
  <c r="J295" i="27" a="1"/>
  <c r="J295" i="27" s="1"/>
  <c r="O294" i="27"/>
  <c r="O294" i="27" a="1"/>
  <c r="L294" i="27"/>
  <c r="M294" i="27" s="1" a="1"/>
  <c r="M294" i="27" s="1"/>
  <c r="J294" i="27" a="1"/>
  <c r="J294" i="27" s="1"/>
  <c r="O293" i="27" a="1"/>
  <c r="O293" i="27" s="1"/>
  <c r="M293" i="27"/>
  <c r="M293" i="27" a="1"/>
  <c r="L293" i="27"/>
  <c r="J293" i="27" a="1"/>
  <c r="J293" i="27" s="1"/>
  <c r="O292" i="27" a="1"/>
  <c r="O292" i="27" s="1"/>
  <c r="M292" i="27"/>
  <c r="L292" i="27"/>
  <c r="M292" i="27" s="1" a="1"/>
  <c r="J292" i="27" a="1"/>
  <c r="J292" i="27" s="1"/>
  <c r="O291" i="27" a="1"/>
  <c r="O291" i="27" s="1"/>
  <c r="M291" i="27"/>
  <c r="M291" i="27" a="1"/>
  <c r="L291" i="27"/>
  <c r="J291" i="27" a="1"/>
  <c r="J291" i="27" s="1"/>
  <c r="O290" i="27" a="1"/>
  <c r="O290" i="27" s="1"/>
  <c r="L290" i="27"/>
  <c r="M290" i="27" s="1" a="1"/>
  <c r="M290" i="27" s="1"/>
  <c r="J290" i="27" a="1"/>
  <c r="J290" i="27" s="1"/>
  <c r="O289" i="27" a="1"/>
  <c r="O289" i="27" s="1"/>
  <c r="M289" i="27" a="1"/>
  <c r="M289" i="27" s="1"/>
  <c r="L289" i="27"/>
  <c r="J289" i="27" a="1"/>
  <c r="J289" i="27" s="1"/>
  <c r="O288" i="27" a="1"/>
  <c r="O288" i="27" s="1"/>
  <c r="L288" i="27"/>
  <c r="M288" i="27" s="1" a="1"/>
  <c r="M288" i="27" s="1"/>
  <c r="J288" i="27" a="1"/>
  <c r="J288" i="27" s="1"/>
  <c r="O287" i="27" a="1"/>
  <c r="O287" i="27" s="1"/>
  <c r="L287" i="27"/>
  <c r="M287" i="27" s="1" a="1"/>
  <c r="M287" i="27" s="1"/>
  <c r="J287" i="27" a="1"/>
  <c r="J287" i="27" s="1"/>
  <c r="O286" i="27" a="1"/>
  <c r="O286" i="27" s="1"/>
  <c r="L286" i="27"/>
  <c r="M286" i="27" s="1" a="1"/>
  <c r="M286" i="27" s="1"/>
  <c r="J286" i="27"/>
  <c r="J286" i="27" a="1"/>
  <c r="O285" i="27" a="1"/>
  <c r="O285" i="27" s="1"/>
  <c r="L285" i="27"/>
  <c r="M285" i="27" s="1" a="1"/>
  <c r="M285" i="27" s="1"/>
  <c r="J285" i="27"/>
  <c r="J285" i="27" a="1"/>
  <c r="O284" i="27"/>
  <c r="O284" i="27" a="1"/>
  <c r="L284" i="27"/>
  <c r="M284" i="27" s="1" a="1"/>
  <c r="M284" i="27" s="1"/>
  <c r="J284" i="27"/>
  <c r="J284" i="27" a="1"/>
  <c r="O283" i="27" a="1"/>
  <c r="O283" i="27" s="1"/>
  <c r="L283" i="27"/>
  <c r="M283" i="27" s="1" a="1"/>
  <c r="M283" i="27" s="1"/>
  <c r="J283" i="27" a="1"/>
  <c r="J283" i="27" s="1"/>
  <c r="O282" i="27"/>
  <c r="O282" i="27" a="1"/>
  <c r="L282" i="27"/>
  <c r="M282" i="27" s="1" a="1"/>
  <c r="M282" i="27" s="1"/>
  <c r="J282" i="27" a="1"/>
  <c r="J282" i="27" s="1"/>
  <c r="O281" i="27" a="1"/>
  <c r="O281" i="27" s="1"/>
  <c r="M281" i="27" a="1"/>
  <c r="M281" i="27" s="1"/>
  <c r="L281" i="27"/>
  <c r="J281" i="27" a="1"/>
  <c r="J281" i="27" s="1"/>
  <c r="O280" i="27" a="1"/>
  <c r="O280" i="27" s="1"/>
  <c r="M280" i="27"/>
  <c r="L280" i="27"/>
  <c r="M280" i="27" s="1" a="1"/>
  <c r="J280" i="27" a="1"/>
  <c r="J280" i="27" s="1"/>
  <c r="O279" i="27" a="1"/>
  <c r="O279" i="27" s="1"/>
  <c r="L279" i="27"/>
  <c r="M279" i="27" s="1" a="1"/>
  <c r="M279" i="27" s="1"/>
  <c r="J279" i="27"/>
  <c r="J279" i="27" a="1"/>
  <c r="O278" i="27" a="1"/>
  <c r="O278" i="27" s="1"/>
  <c r="L278" i="27"/>
  <c r="M278" i="27" s="1" a="1"/>
  <c r="M278" i="27" s="1"/>
  <c r="J278" i="27" a="1"/>
  <c r="J278" i="27" s="1"/>
  <c r="O277" i="27" a="1"/>
  <c r="O277" i="27" s="1"/>
  <c r="M277" i="27" a="1"/>
  <c r="M277" i="27" s="1"/>
  <c r="L277" i="27"/>
  <c r="J277" i="27"/>
  <c r="J277" i="27" a="1"/>
  <c r="O276" i="27" a="1"/>
  <c r="O276" i="27" s="1"/>
  <c r="M276" i="27" a="1"/>
  <c r="M276" i="27" s="1"/>
  <c r="L276" i="27"/>
  <c r="J276" i="27" a="1"/>
  <c r="J276" i="27" s="1"/>
  <c r="O275" i="27"/>
  <c r="O275" i="27" a="1"/>
  <c r="L275" i="27"/>
  <c r="M275" i="27" s="1" a="1"/>
  <c r="M275" i="27" s="1"/>
  <c r="J275" i="27" a="1"/>
  <c r="J275" i="27" s="1"/>
  <c r="O274" i="27"/>
  <c r="O274" i="27" a="1"/>
  <c r="L274" i="27"/>
  <c r="M274" i="27" s="1" a="1"/>
  <c r="M274" i="27" s="1"/>
  <c r="J274" i="27" a="1"/>
  <c r="J274" i="27" s="1"/>
  <c r="O273" i="27" a="1"/>
  <c r="O273" i="27" s="1"/>
  <c r="M273" i="27" a="1"/>
  <c r="M273" i="27" s="1"/>
  <c r="L273" i="27"/>
  <c r="J273" i="27" a="1"/>
  <c r="J273" i="27" s="1"/>
  <c r="O272" i="27" a="1"/>
  <c r="O272" i="27" s="1"/>
  <c r="L272" i="27"/>
  <c r="M272" i="27" s="1" a="1"/>
  <c r="M272" i="27" s="1"/>
  <c r="J272" i="27" a="1"/>
  <c r="J272" i="27" s="1"/>
  <c r="O271" i="27"/>
  <c r="O271" i="27" a="1"/>
  <c r="M271" i="27" a="1"/>
  <c r="M271" i="27" s="1"/>
  <c r="L271" i="27"/>
  <c r="J271" i="27" a="1"/>
  <c r="J271" i="27" s="1"/>
  <c r="O270" i="27" a="1"/>
  <c r="O270" i="27" s="1"/>
  <c r="L270" i="27"/>
  <c r="M270" i="27" s="1" a="1"/>
  <c r="M270" i="27" s="1"/>
  <c r="J270" i="27"/>
  <c r="J270" i="27" a="1"/>
  <c r="O269" i="27" a="1"/>
  <c r="O269" i="27" s="1"/>
  <c r="L269" i="27"/>
  <c r="M269" i="27" s="1" a="1"/>
  <c r="M269" i="27" s="1"/>
  <c r="J269" i="27" a="1"/>
  <c r="J269" i="27" s="1"/>
  <c r="O268" i="27" a="1"/>
  <c r="O268" i="27" s="1"/>
  <c r="L268" i="27"/>
  <c r="M268" i="27" s="1" a="1"/>
  <c r="M268" i="27" s="1"/>
  <c r="J268" i="27" a="1"/>
  <c r="J268" i="27" s="1"/>
  <c r="O267" i="27"/>
  <c r="O267" i="27" a="1"/>
  <c r="L267" i="27"/>
  <c r="M267" i="27" s="1" a="1"/>
  <c r="M267" i="27" s="1"/>
  <c r="J267" i="27" a="1"/>
  <c r="J267" i="27" s="1"/>
  <c r="O266" i="27" a="1"/>
  <c r="O266" i="27" s="1"/>
  <c r="L266" i="27"/>
  <c r="M266" i="27" s="1" a="1"/>
  <c r="M266" i="27" s="1"/>
  <c r="J266" i="27" a="1"/>
  <c r="J266" i="27" s="1"/>
  <c r="O265" i="27" a="1"/>
  <c r="O265" i="27" s="1"/>
  <c r="L265" i="27"/>
  <c r="M265" i="27" s="1" a="1"/>
  <c r="M265" i="27" s="1"/>
  <c r="J265" i="27" a="1"/>
  <c r="J265" i="27" s="1"/>
  <c r="O264" i="27"/>
  <c r="O264" i="27" a="1"/>
  <c r="L264" i="27"/>
  <c r="M264" i="27" s="1" a="1"/>
  <c r="M264" i="27" s="1"/>
  <c r="J264" i="27" a="1"/>
  <c r="J264" i="27" s="1"/>
  <c r="O263" i="27"/>
  <c r="O263" i="27" a="1"/>
  <c r="M263" i="27" a="1"/>
  <c r="M263" i="27" s="1"/>
  <c r="L263" i="27"/>
  <c r="J263" i="27" a="1"/>
  <c r="J263" i="27" s="1"/>
  <c r="O262" i="27"/>
  <c r="O262" i="27" a="1"/>
  <c r="L262" i="27"/>
  <c r="M262" i="27" s="1" a="1"/>
  <c r="M262" i="27" s="1"/>
  <c r="J262" i="27" a="1"/>
  <c r="J262" i="27" s="1"/>
  <c r="O261" i="27" a="1"/>
  <c r="O261" i="27" s="1"/>
  <c r="L261" i="27"/>
  <c r="M261" i="27" s="1" a="1"/>
  <c r="M261" i="27" s="1"/>
  <c r="J261" i="27"/>
  <c r="J261" i="27" a="1"/>
  <c r="O260" i="27" a="1"/>
  <c r="O260" i="27" s="1"/>
  <c r="M260" i="27" a="1"/>
  <c r="M260" i="27" s="1"/>
  <c r="L260" i="27"/>
  <c r="J260" i="27" a="1"/>
  <c r="J260" i="27" s="1"/>
  <c r="O259" i="27" a="1"/>
  <c r="O259" i="27" s="1"/>
  <c r="L259" i="27"/>
  <c r="M259" i="27" s="1" a="1"/>
  <c r="M259" i="27" s="1"/>
  <c r="J259" i="27"/>
  <c r="J259" i="27" a="1"/>
  <c r="O258" i="27" a="1"/>
  <c r="O258" i="27" s="1"/>
  <c r="L258" i="27"/>
  <c r="M258" i="27" s="1" a="1"/>
  <c r="M258" i="27" s="1"/>
  <c r="J258" i="27" a="1"/>
  <c r="J258" i="27" s="1"/>
  <c r="O257" i="27" a="1"/>
  <c r="O257" i="27" s="1"/>
  <c r="L257" i="27"/>
  <c r="M257" i="27" s="1" a="1"/>
  <c r="M257" i="27" s="1"/>
  <c r="J257" i="27"/>
  <c r="J257" i="27" a="1"/>
  <c r="O256" i="27" a="1"/>
  <c r="O256" i="27" s="1"/>
  <c r="L256" i="27"/>
  <c r="M256" i="27" s="1" a="1"/>
  <c r="M256" i="27" s="1"/>
  <c r="J256" i="27" a="1"/>
  <c r="J256" i="27" s="1"/>
  <c r="O255" i="27"/>
  <c r="O255" i="27" a="1"/>
  <c r="L255" i="27"/>
  <c r="M255" i="27" s="1" a="1"/>
  <c r="M255" i="27" s="1"/>
  <c r="J255" i="27" a="1"/>
  <c r="J255" i="27" s="1"/>
  <c r="O254" i="27"/>
  <c r="O254" i="27" a="1"/>
  <c r="M254" i="27" a="1"/>
  <c r="M254" i="27" s="1"/>
  <c r="L254" i="27"/>
  <c r="J254" i="27" a="1"/>
  <c r="J254" i="27" s="1"/>
  <c r="O253" i="27"/>
  <c r="O253" i="27" a="1"/>
  <c r="M253" i="27" a="1"/>
  <c r="M253" i="27" s="1"/>
  <c r="L253" i="27"/>
  <c r="J253" i="27" a="1"/>
  <c r="J253" i="27" s="1"/>
  <c r="O252" i="27" a="1"/>
  <c r="O252" i="27" s="1"/>
  <c r="M252" i="27" a="1"/>
  <c r="M252" i="27" s="1"/>
  <c r="L252" i="27"/>
  <c r="J252" i="27" a="1"/>
  <c r="J252" i="27" s="1"/>
  <c r="O251" i="27" a="1"/>
  <c r="O251" i="27" s="1"/>
  <c r="M251" i="27" a="1"/>
  <c r="M251" i="27" s="1"/>
  <c r="L251" i="27"/>
  <c r="J251" i="27" a="1"/>
  <c r="J251" i="27" s="1"/>
  <c r="O250" i="27" a="1"/>
  <c r="O250" i="27" s="1"/>
  <c r="L250" i="27"/>
  <c r="M250" i="27" s="1" a="1"/>
  <c r="M250" i="27" s="1"/>
  <c r="J250" i="27"/>
  <c r="J250" i="27" a="1"/>
  <c r="O249" i="27"/>
  <c r="O249" i="27" a="1"/>
  <c r="L249" i="27"/>
  <c r="M249" i="27" s="1" a="1"/>
  <c r="M249" i="27" s="1"/>
  <c r="J249" i="27" a="1"/>
  <c r="J249" i="27" s="1"/>
  <c r="O248" i="27" a="1"/>
  <c r="O248" i="27" s="1"/>
  <c r="M248" i="27"/>
  <c r="L248" i="27"/>
  <c r="M248" i="27" s="1" a="1"/>
  <c r="J248" i="27" a="1"/>
  <c r="J248" i="27" s="1"/>
  <c r="O247" i="27" a="1"/>
  <c r="O247" i="27" s="1"/>
  <c r="L247" i="27"/>
  <c r="M247" i="27" s="1" a="1"/>
  <c r="M247" i="27" s="1"/>
  <c r="J247" i="27" a="1"/>
  <c r="J247" i="27" s="1"/>
  <c r="O246" i="27"/>
  <c r="O246" i="27" a="1"/>
  <c r="L246" i="27"/>
  <c r="M246" i="27" s="1" a="1"/>
  <c r="M246" i="27" s="1"/>
  <c r="J246" i="27" a="1"/>
  <c r="J246" i="27" s="1"/>
  <c r="O245" i="27" a="1"/>
  <c r="O245" i="27" s="1"/>
  <c r="L245" i="27"/>
  <c r="M245" i="27" s="1" a="1"/>
  <c r="M245" i="27" s="1"/>
  <c r="J245" i="27"/>
  <c r="J245" i="27" a="1"/>
  <c r="O244" i="27"/>
  <c r="O244" i="27" a="1"/>
  <c r="L244" i="27"/>
  <c r="M244" i="27" s="1" a="1"/>
  <c r="M244" i="27" s="1"/>
  <c r="J244" i="27" a="1"/>
  <c r="J244" i="27" s="1"/>
  <c r="O243" i="27" a="1"/>
  <c r="O243" i="27" s="1"/>
  <c r="L243" i="27"/>
  <c r="M243" i="27" s="1" a="1"/>
  <c r="M243" i="27" s="1"/>
  <c r="J243" i="27" a="1"/>
  <c r="J243" i="27" s="1"/>
  <c r="O242" i="27"/>
  <c r="O242" i="27" a="1"/>
  <c r="L242" i="27"/>
  <c r="M242" i="27" s="1" a="1"/>
  <c r="M242" i="27" s="1"/>
  <c r="J242" i="27" a="1"/>
  <c r="J242" i="27" s="1"/>
  <c r="O241" i="27" a="1"/>
  <c r="O241" i="27" s="1"/>
  <c r="L241" i="27"/>
  <c r="M241" i="27" s="1" a="1"/>
  <c r="M241" i="27" s="1"/>
  <c r="J241" i="27" a="1"/>
  <c r="J241" i="27" s="1"/>
  <c r="O240" i="27"/>
  <c r="O240" i="27" a="1"/>
  <c r="L240" i="27"/>
  <c r="M240" i="27" s="1" a="1"/>
  <c r="M240" i="27" s="1"/>
  <c r="J240" i="27" a="1"/>
  <c r="J240" i="27" s="1"/>
  <c r="O239" i="27" a="1"/>
  <c r="O239" i="27" s="1"/>
  <c r="L239" i="27"/>
  <c r="M239" i="27" s="1" a="1"/>
  <c r="M239" i="27" s="1"/>
  <c r="J239" i="27"/>
  <c r="J239" i="27" a="1"/>
  <c r="O238" i="27" a="1"/>
  <c r="O238" i="27" s="1"/>
  <c r="L238" i="27"/>
  <c r="M238" i="27" s="1" a="1"/>
  <c r="M238" i="27" s="1"/>
  <c r="J238" i="27"/>
  <c r="J238" i="27" a="1"/>
  <c r="O237" i="27" a="1"/>
  <c r="O237" i="27" s="1"/>
  <c r="L237" i="27"/>
  <c r="M237" i="27" s="1" a="1"/>
  <c r="M237" i="27" s="1"/>
  <c r="J237" i="27"/>
  <c r="J237" i="27" a="1"/>
  <c r="O236" i="27" a="1"/>
  <c r="O236" i="27" s="1"/>
  <c r="L236" i="27"/>
  <c r="M236" i="27" s="1" a="1"/>
  <c r="M236" i="27" s="1"/>
  <c r="J236" i="27" a="1"/>
  <c r="J236" i="27" s="1"/>
  <c r="O235" i="27" a="1"/>
  <c r="O235" i="27" s="1"/>
  <c r="M235" i="27" a="1"/>
  <c r="M235" i="27" s="1"/>
  <c r="L235" i="27"/>
  <c r="J235" i="27" a="1"/>
  <c r="J235" i="27" s="1"/>
  <c r="O234" i="27" a="1"/>
  <c r="O234" i="27" s="1"/>
  <c r="L234" i="27"/>
  <c r="M234" i="27" s="1" a="1"/>
  <c r="M234" i="27" s="1"/>
  <c r="J234" i="27" a="1"/>
  <c r="J234" i="27" s="1"/>
  <c r="O233" i="27" a="1"/>
  <c r="O233" i="27" s="1"/>
  <c r="M233" i="27" a="1"/>
  <c r="M233" i="27" s="1"/>
  <c r="L233" i="27"/>
  <c r="J233" i="27" a="1"/>
  <c r="J233" i="27" s="1"/>
  <c r="O232" i="27" a="1"/>
  <c r="O232" i="27" s="1"/>
  <c r="L232" i="27"/>
  <c r="M232" i="27" s="1" a="1"/>
  <c r="M232" i="27" s="1"/>
  <c r="J232" i="27" a="1"/>
  <c r="J232" i="27" s="1"/>
  <c r="O231" i="27"/>
  <c r="O231" i="27" a="1"/>
  <c r="M231" i="27" a="1"/>
  <c r="M231" i="27" s="1"/>
  <c r="L231" i="27"/>
  <c r="J231" i="27" a="1"/>
  <c r="J231" i="27" s="1"/>
  <c r="O230" i="27"/>
  <c r="O230" i="27" a="1"/>
  <c r="L230" i="27"/>
  <c r="M230" i="27" s="1" a="1"/>
  <c r="M230" i="27" s="1"/>
  <c r="J230" i="27" a="1"/>
  <c r="J230" i="27" s="1"/>
  <c r="O229" i="27" a="1"/>
  <c r="O229" i="27" s="1"/>
  <c r="L229" i="27"/>
  <c r="M229" i="27" s="1" a="1"/>
  <c r="M229" i="27" s="1"/>
  <c r="J229" i="27"/>
  <c r="J229" i="27" a="1"/>
  <c r="O228" i="27" a="1"/>
  <c r="O228" i="27" s="1"/>
  <c r="M228" i="27"/>
  <c r="L228" i="27"/>
  <c r="M228" i="27" s="1" a="1"/>
  <c r="J228" i="27"/>
  <c r="J228" i="27" a="1"/>
  <c r="O227" i="27" a="1"/>
  <c r="O227" i="27" s="1"/>
  <c r="L227" i="27"/>
  <c r="M227" i="27" s="1" a="1"/>
  <c r="M227" i="27" s="1"/>
  <c r="J227" i="27"/>
  <c r="J227" i="27" a="1"/>
  <c r="O226" i="27" a="1"/>
  <c r="O226" i="27" s="1"/>
  <c r="L226" i="27"/>
  <c r="M226" i="27" s="1" a="1"/>
  <c r="M226" i="27" s="1"/>
  <c r="J226" i="27" a="1"/>
  <c r="J226" i="27" s="1"/>
  <c r="O225" i="27"/>
  <c r="O225" i="27" a="1"/>
  <c r="L225" i="27"/>
  <c r="M225" i="27" s="1" a="1"/>
  <c r="M225" i="27" s="1"/>
  <c r="J225" i="27" a="1"/>
  <c r="J225" i="27" s="1"/>
  <c r="O224" i="27"/>
  <c r="O224" i="27" a="1"/>
  <c r="L224" i="27"/>
  <c r="M224" i="27" s="1" a="1"/>
  <c r="M224" i="27" s="1"/>
  <c r="J224" i="27" a="1"/>
  <c r="J224" i="27" s="1"/>
  <c r="O223" i="27" a="1"/>
  <c r="O223" i="27" s="1"/>
  <c r="L223" i="27"/>
  <c r="M223" i="27" s="1" a="1"/>
  <c r="M223" i="27" s="1"/>
  <c r="J223" i="27" a="1"/>
  <c r="J223" i="27" s="1"/>
  <c r="O222" i="27"/>
  <c r="O222" i="27" a="1"/>
  <c r="M222" i="27" a="1"/>
  <c r="M222" i="27" s="1"/>
  <c r="L222" i="27"/>
  <c r="J222" i="27" a="1"/>
  <c r="J222" i="27" s="1"/>
  <c r="O221" i="27" a="1"/>
  <c r="O221" i="27" s="1"/>
  <c r="M221" i="27" a="1"/>
  <c r="M221" i="27" s="1"/>
  <c r="L221" i="27"/>
  <c r="J221" i="27" a="1"/>
  <c r="J221" i="27" s="1"/>
  <c r="O220" i="27" a="1"/>
  <c r="O220" i="27" s="1"/>
  <c r="L220" i="27"/>
  <c r="M220" i="27" s="1" a="1"/>
  <c r="M220" i="27" s="1"/>
  <c r="J220" i="27" a="1"/>
  <c r="J220" i="27" s="1"/>
  <c r="O219" i="27" a="1"/>
  <c r="O219" i="27" s="1"/>
  <c r="L219" i="27"/>
  <c r="M219" i="27" s="1" a="1"/>
  <c r="M219" i="27" s="1"/>
  <c r="J219" i="27"/>
  <c r="J219" i="27" a="1"/>
  <c r="O218" i="27" a="1"/>
  <c r="O218" i="27" s="1"/>
  <c r="L218" i="27"/>
  <c r="M218" i="27" s="1" a="1"/>
  <c r="M218" i="27" s="1"/>
  <c r="J218" i="27" a="1"/>
  <c r="J218" i="27" s="1"/>
  <c r="O217" i="27"/>
  <c r="O217" i="27" a="1"/>
  <c r="L217" i="27"/>
  <c r="M217" i="27" s="1" a="1"/>
  <c r="M217" i="27" s="1"/>
  <c r="J217" i="27"/>
  <c r="J217" i="27" a="1"/>
  <c r="O216" i="27" a="1"/>
  <c r="O216" i="27" s="1"/>
  <c r="L216" i="27"/>
  <c r="M216" i="27" s="1" a="1"/>
  <c r="M216" i="27" s="1"/>
  <c r="J216" i="27" a="1"/>
  <c r="J216" i="27" s="1"/>
  <c r="O215" i="27" a="1"/>
  <c r="O215" i="27" s="1"/>
  <c r="L215" i="27"/>
  <c r="M215" i="27" s="1" a="1"/>
  <c r="M215" i="27" s="1"/>
  <c r="J215" i="27"/>
  <c r="J215" i="27" a="1"/>
  <c r="O214" i="27" a="1"/>
  <c r="O214" i="27" s="1"/>
  <c r="M214" i="27" a="1"/>
  <c r="M214" i="27" s="1"/>
  <c r="L214" i="27"/>
  <c r="J214" i="27" a="1"/>
  <c r="J214" i="27" s="1"/>
  <c r="O213" i="27" a="1"/>
  <c r="O213" i="27" s="1"/>
  <c r="M213" i="27" a="1"/>
  <c r="M213" i="27" s="1"/>
  <c r="L213" i="27"/>
  <c r="J213" i="27" a="1"/>
  <c r="J213" i="27" s="1"/>
  <c r="O212" i="27"/>
  <c r="O212" i="27" a="1"/>
  <c r="L212" i="27"/>
  <c r="M212" i="27" s="1" a="1"/>
  <c r="M212" i="27" s="1"/>
  <c r="J212" i="27" a="1"/>
  <c r="J212" i="27" s="1"/>
  <c r="O211" i="27" a="1"/>
  <c r="O211" i="27" s="1"/>
  <c r="M211" i="27" a="1"/>
  <c r="M211" i="27" s="1"/>
  <c r="L211" i="27"/>
  <c r="J211" i="27" a="1"/>
  <c r="J211" i="27" s="1"/>
  <c r="O210" i="27"/>
  <c r="O210" i="27" a="1"/>
  <c r="L210" i="27"/>
  <c r="M210" i="27" s="1" a="1"/>
  <c r="M210" i="27" s="1"/>
  <c r="J210" i="27" a="1"/>
  <c r="J210" i="27" s="1"/>
  <c r="O209" i="27"/>
  <c r="O209" i="27" a="1"/>
  <c r="L209" i="27"/>
  <c r="M209" i="27" s="1" a="1"/>
  <c r="M209" i="27" s="1"/>
  <c r="J209" i="27" a="1"/>
  <c r="J209" i="27" s="1"/>
  <c r="O208" i="27"/>
  <c r="O208" i="27" a="1"/>
  <c r="L208" i="27"/>
  <c r="M208" i="27" s="1" a="1"/>
  <c r="M208" i="27" s="1"/>
  <c r="J208" i="27"/>
  <c r="J208" i="27" a="1"/>
  <c r="O207" i="27" a="1"/>
  <c r="O207" i="27" s="1"/>
  <c r="L207" i="27"/>
  <c r="M207" i="27" s="1" a="1"/>
  <c r="M207" i="27" s="1"/>
  <c r="J207" i="27"/>
  <c r="J207" i="27" a="1"/>
  <c r="O206" i="27" a="1"/>
  <c r="O206" i="27" s="1"/>
  <c r="L206" i="27"/>
  <c r="M206" i="27" s="1" a="1"/>
  <c r="M206" i="27" s="1"/>
  <c r="J206" i="27"/>
  <c r="J206" i="27" a="1"/>
  <c r="O205" i="27" a="1"/>
  <c r="O205" i="27" s="1"/>
  <c r="L205" i="27"/>
  <c r="M205" i="27" s="1" a="1"/>
  <c r="M205" i="27" s="1"/>
  <c r="J205" i="27" a="1"/>
  <c r="J205" i="27" s="1"/>
  <c r="O204" i="27"/>
  <c r="O204" i="27" a="1"/>
  <c r="L204" i="27"/>
  <c r="M204" i="27" s="1" a="1"/>
  <c r="M204" i="27" s="1"/>
  <c r="J204" i="27"/>
  <c r="J204" i="27" a="1"/>
  <c r="O203" i="27" a="1"/>
  <c r="O203" i="27" s="1"/>
  <c r="M203" i="27" a="1"/>
  <c r="M203" i="27" s="1"/>
  <c r="L203" i="27"/>
  <c r="J203" i="27" a="1"/>
  <c r="J203" i="27" s="1"/>
  <c r="O202" i="27"/>
  <c r="O202" i="27" a="1"/>
  <c r="M202" i="27" a="1"/>
  <c r="M202" i="27" s="1"/>
  <c r="L202" i="27"/>
  <c r="J202" i="27" a="1"/>
  <c r="J202" i="27" s="1"/>
  <c r="O201" i="27" a="1"/>
  <c r="O201" i="27" s="1"/>
  <c r="L201" i="27"/>
  <c r="M201" i="27" s="1" a="1"/>
  <c r="M201" i="27" s="1"/>
  <c r="J201" i="27" a="1"/>
  <c r="J201" i="27" s="1"/>
  <c r="O200" i="27" a="1"/>
  <c r="O200" i="27" s="1"/>
  <c r="L200" i="27"/>
  <c r="M200" i="27" s="1" a="1"/>
  <c r="M200" i="27" s="1"/>
  <c r="J200" i="27" a="1"/>
  <c r="J200" i="27" s="1"/>
  <c r="O199" i="27" a="1"/>
  <c r="O199" i="27" s="1"/>
  <c r="L199" i="27"/>
  <c r="M199" i="27" s="1" a="1"/>
  <c r="M199" i="27" s="1"/>
  <c r="J199" i="27"/>
  <c r="J199" i="27" a="1"/>
  <c r="O198" i="27" a="1"/>
  <c r="O198" i="27" s="1"/>
  <c r="L198" i="27"/>
  <c r="M198" i="27" s="1" a="1"/>
  <c r="M198" i="27" s="1"/>
  <c r="J198" i="27" a="1"/>
  <c r="J198" i="27" s="1"/>
  <c r="O197" i="27" a="1"/>
  <c r="O197" i="27" s="1"/>
  <c r="L197" i="27"/>
  <c r="M197" i="27" s="1" a="1"/>
  <c r="M197" i="27" s="1"/>
  <c r="J197" i="27"/>
  <c r="J197" i="27" a="1"/>
  <c r="O196" i="27" a="1"/>
  <c r="O196" i="27" s="1"/>
  <c r="L196" i="27"/>
  <c r="M196" i="27" s="1" a="1"/>
  <c r="M196" i="27" s="1"/>
  <c r="J196" i="27" a="1"/>
  <c r="J196" i="27" s="1"/>
  <c r="O195" i="27" a="1"/>
  <c r="O195" i="27" s="1"/>
  <c r="L195" i="27"/>
  <c r="M195" i="27" s="1" a="1"/>
  <c r="M195" i="27" s="1"/>
  <c r="J195" i="27" a="1"/>
  <c r="J195" i="27" s="1"/>
  <c r="O194" i="27" a="1"/>
  <c r="O194" i="27" s="1"/>
  <c r="M194" i="27" a="1"/>
  <c r="M194" i="27" s="1"/>
  <c r="L194" i="27"/>
  <c r="J194" i="27" a="1"/>
  <c r="J194" i="27" s="1"/>
  <c r="O193" i="27" a="1"/>
  <c r="O193" i="27" s="1"/>
  <c r="M193" i="27"/>
  <c r="M193" i="27" a="1"/>
  <c r="L193" i="27"/>
  <c r="J193" i="27"/>
  <c r="J193" i="27" a="1"/>
  <c r="O192" i="27" a="1"/>
  <c r="O192" i="27" s="1"/>
  <c r="L192" i="27"/>
  <c r="M192" i="27" s="1" a="1"/>
  <c r="M192" i="27" s="1"/>
  <c r="J192" i="27" a="1"/>
  <c r="J192" i="27" s="1"/>
  <c r="O191" i="27" a="1"/>
  <c r="O191" i="27" s="1"/>
  <c r="M191" i="27"/>
  <c r="M191" i="27" a="1"/>
  <c r="L191" i="27"/>
  <c r="J191" i="27" a="1"/>
  <c r="J191" i="27" s="1"/>
  <c r="O190" i="27" a="1"/>
  <c r="O190" i="27" s="1"/>
  <c r="L190" i="27"/>
  <c r="M190" i="27" s="1" a="1"/>
  <c r="M190" i="27" s="1"/>
  <c r="J190" i="27"/>
  <c r="J190" i="27" a="1"/>
  <c r="O189" i="27" a="1"/>
  <c r="O189" i="27" s="1"/>
  <c r="L189" i="27"/>
  <c r="M189" i="27" s="1" a="1"/>
  <c r="M189" i="27" s="1"/>
  <c r="J189" i="27"/>
  <c r="J189" i="27" a="1"/>
  <c r="O188" i="27" a="1"/>
  <c r="O188" i="27" s="1"/>
  <c r="L188" i="27"/>
  <c r="M188" i="27" s="1" a="1"/>
  <c r="M188" i="27" s="1"/>
  <c r="J188" i="27" a="1"/>
  <c r="J188" i="27" s="1"/>
  <c r="O187" i="27"/>
  <c r="O187" i="27" a="1"/>
  <c r="L187" i="27"/>
  <c r="M187" i="27" s="1" a="1"/>
  <c r="M187" i="27" s="1"/>
  <c r="J187" i="27"/>
  <c r="J187" i="27" a="1"/>
  <c r="O186" i="27"/>
  <c r="O186" i="27" a="1"/>
  <c r="L186" i="27"/>
  <c r="M186" i="27" s="1" a="1"/>
  <c r="M186" i="27" s="1"/>
  <c r="J186" i="27" a="1"/>
  <c r="J186" i="27" s="1"/>
  <c r="O185" i="27" a="1"/>
  <c r="O185" i="27" s="1"/>
  <c r="L185" i="27"/>
  <c r="M185" i="27" s="1" a="1"/>
  <c r="M185" i="27" s="1"/>
  <c r="J185" i="27" a="1"/>
  <c r="J185" i="27" s="1"/>
  <c r="O184" i="27"/>
  <c r="O184" i="27" a="1"/>
  <c r="L184" i="27"/>
  <c r="M184" i="27" s="1" a="1"/>
  <c r="M184" i="27" s="1"/>
  <c r="J184" i="27" a="1"/>
  <c r="J184" i="27" s="1"/>
  <c r="O183" i="27" a="1"/>
  <c r="O183" i="27" s="1"/>
  <c r="L183" i="27"/>
  <c r="M183" i="27" s="1" a="1"/>
  <c r="M183" i="27" s="1"/>
  <c r="J183" i="27" a="1"/>
  <c r="J183" i="27" s="1"/>
  <c r="O182" i="27"/>
  <c r="O182" i="27" a="1"/>
  <c r="L182" i="27"/>
  <c r="M182" i="27" s="1" a="1"/>
  <c r="M182" i="27" s="1"/>
  <c r="J182" i="27" a="1"/>
  <c r="J182" i="27" s="1"/>
  <c r="O181" i="27" a="1"/>
  <c r="O181" i="27" s="1"/>
  <c r="M181" i="27" a="1"/>
  <c r="M181" i="27" s="1"/>
  <c r="L181" i="27"/>
  <c r="J181" i="27" a="1"/>
  <c r="J181" i="27" s="1"/>
  <c r="O180" i="27" a="1"/>
  <c r="O180" i="27" s="1"/>
  <c r="L180" i="27"/>
  <c r="M180" i="27" s="1" a="1"/>
  <c r="M180" i="27" s="1"/>
  <c r="J180" i="27" a="1"/>
  <c r="J180" i="27" s="1"/>
  <c r="O179" i="27" a="1"/>
  <c r="O179" i="27" s="1"/>
  <c r="M179" i="27" a="1"/>
  <c r="M179" i="27" s="1"/>
  <c r="L179" i="27"/>
  <c r="J179" i="27"/>
  <c r="J179" i="27" a="1"/>
  <c r="O178" i="27" a="1"/>
  <c r="O178" i="27" s="1"/>
  <c r="M178" i="27"/>
  <c r="M178" i="27" a="1"/>
  <c r="L178" i="27"/>
  <c r="J178" i="27" a="1"/>
  <c r="J178" i="27" s="1"/>
  <c r="O177" i="27" a="1"/>
  <c r="O177" i="27" s="1"/>
  <c r="L177" i="27"/>
  <c r="M177" i="27" s="1" a="1"/>
  <c r="M177" i="27" s="1"/>
  <c r="J177" i="27"/>
  <c r="J177" i="27" a="1"/>
  <c r="O176" i="27" a="1"/>
  <c r="O176" i="27" s="1"/>
  <c r="L176" i="27"/>
  <c r="M176" i="27" s="1" a="1"/>
  <c r="M176" i="27" s="1"/>
  <c r="J176" i="27" a="1"/>
  <c r="J176" i="27" s="1"/>
  <c r="O175" i="27" a="1"/>
  <c r="O175" i="27" s="1"/>
  <c r="L175" i="27"/>
  <c r="M175" i="27" s="1" a="1"/>
  <c r="M175" i="27" s="1"/>
  <c r="J175" i="27" a="1"/>
  <c r="J175" i="27" s="1"/>
  <c r="O174" i="27" a="1"/>
  <c r="O174" i="27" s="1"/>
  <c r="M174" i="27" a="1"/>
  <c r="M174" i="27" s="1"/>
  <c r="L174" i="27"/>
  <c r="J174" i="27" a="1"/>
  <c r="J174" i="27" s="1"/>
  <c r="O173" i="27"/>
  <c r="O173" i="27" a="1"/>
  <c r="M173" i="27" a="1"/>
  <c r="M173" i="27" s="1"/>
  <c r="L173" i="27"/>
  <c r="J173" i="27" a="1"/>
  <c r="J173" i="27" s="1"/>
  <c r="O172" i="27"/>
  <c r="O172" i="27" a="1"/>
  <c r="L172" i="27"/>
  <c r="M172" i="27" s="1" a="1"/>
  <c r="M172" i="27" s="1"/>
  <c r="J172" i="27" a="1"/>
  <c r="J172" i="27" s="1"/>
  <c r="O171" i="27"/>
  <c r="O171" i="27" a="1"/>
  <c r="M171" i="27" a="1"/>
  <c r="M171" i="27" s="1"/>
  <c r="L171" i="27"/>
  <c r="J171" i="27" a="1"/>
  <c r="J171" i="27" s="1"/>
  <c r="O170" i="27" a="1"/>
  <c r="O170" i="27" s="1"/>
  <c r="L170" i="27"/>
  <c r="M170" i="27" s="1" a="1"/>
  <c r="M170" i="27" s="1"/>
  <c r="J170" i="27" a="1"/>
  <c r="J170" i="27" s="1"/>
  <c r="O169" i="27" a="1"/>
  <c r="O169" i="27" s="1"/>
  <c r="L169" i="27"/>
  <c r="M169" i="27" s="1" a="1"/>
  <c r="M169" i="27" s="1"/>
  <c r="J169" i="27"/>
  <c r="J169" i="27" a="1"/>
  <c r="O168" i="27" a="1"/>
  <c r="O168" i="27" s="1"/>
  <c r="M168" i="27"/>
  <c r="L168" i="27"/>
  <c r="M168" i="27" s="1" a="1"/>
  <c r="J168" i="27"/>
  <c r="J168" i="27" a="1"/>
  <c r="O167" i="27" a="1"/>
  <c r="O167" i="27" s="1"/>
  <c r="L167" i="27"/>
  <c r="M167" i="27" s="1" a="1"/>
  <c r="M167" i="27" s="1"/>
  <c r="J167" i="27" a="1"/>
  <c r="J167" i="27" s="1"/>
  <c r="O166" i="27" a="1"/>
  <c r="O166" i="27" s="1"/>
  <c r="L166" i="27"/>
  <c r="M166" i="27" s="1" a="1"/>
  <c r="M166" i="27" s="1"/>
  <c r="J166" i="27"/>
  <c r="J166" i="27" a="1"/>
  <c r="O165" i="27" a="1"/>
  <c r="O165" i="27" s="1"/>
  <c r="L165" i="27"/>
  <c r="M165" i="27" s="1" a="1"/>
  <c r="M165" i="27" s="1"/>
  <c r="J165" i="27" a="1"/>
  <c r="J165" i="27" s="1"/>
  <c r="O164" i="27"/>
  <c r="O164" i="27" a="1"/>
  <c r="L164" i="27"/>
  <c r="M164" i="27" s="1" a="1"/>
  <c r="M164" i="27" s="1"/>
  <c r="J164" i="27" a="1"/>
  <c r="J164" i="27" s="1"/>
  <c r="O163" i="27" a="1"/>
  <c r="O163" i="27" s="1"/>
  <c r="L163" i="27"/>
  <c r="M163" i="27" s="1" a="1"/>
  <c r="M163" i="27" s="1"/>
  <c r="J163" i="27" a="1"/>
  <c r="J163" i="27" s="1"/>
  <c r="O162" i="27"/>
  <c r="O162" i="27" a="1"/>
  <c r="L162" i="27"/>
  <c r="M162" i="27" s="1" a="1"/>
  <c r="M162" i="27" s="1"/>
  <c r="J162" i="27"/>
  <c r="J162" i="27" a="1"/>
  <c r="O161" i="27" a="1"/>
  <c r="O161" i="27" s="1"/>
  <c r="L161" i="27"/>
  <c r="M161" i="27" s="1" a="1"/>
  <c r="M161" i="27" s="1"/>
  <c r="J161" i="27"/>
  <c r="J161" i="27" a="1"/>
  <c r="O160" i="27" a="1"/>
  <c r="O160" i="27" s="1"/>
  <c r="L160" i="27"/>
  <c r="M160" i="27" s="1" a="1"/>
  <c r="M160" i="27" s="1"/>
  <c r="J160" i="27" a="1"/>
  <c r="J160" i="27" s="1"/>
  <c r="O159" i="27" a="1"/>
  <c r="O159" i="27" s="1"/>
  <c r="L159" i="27"/>
  <c r="M159" i="27" s="1" a="1"/>
  <c r="M159" i="27" s="1"/>
  <c r="J159" i="27"/>
  <c r="J159" i="27" a="1"/>
  <c r="O158" i="27" a="1"/>
  <c r="O158" i="27" s="1"/>
  <c r="L158" i="27"/>
  <c r="M158" i="27" s="1" a="1"/>
  <c r="M158" i="27" s="1"/>
  <c r="J158" i="27" a="1"/>
  <c r="J158" i="27" s="1"/>
  <c r="O157" i="27" a="1"/>
  <c r="O157" i="27" s="1"/>
  <c r="L157" i="27"/>
  <c r="M157" i="27" s="1" a="1"/>
  <c r="M157" i="27" s="1"/>
  <c r="J157" i="27"/>
  <c r="J157" i="27" a="1"/>
  <c r="O156" i="27" a="1"/>
  <c r="O156" i="27" s="1"/>
  <c r="L156" i="27"/>
  <c r="M156" i="27" s="1" a="1"/>
  <c r="M156" i="27" s="1"/>
  <c r="J156" i="27" a="1"/>
  <c r="J156" i="27" s="1"/>
  <c r="O155" i="27" a="1"/>
  <c r="O155" i="27" s="1"/>
  <c r="M155" i="27" a="1"/>
  <c r="M155" i="27" s="1"/>
  <c r="L155" i="27"/>
  <c r="J155" i="27" a="1"/>
  <c r="J155" i="27" s="1"/>
  <c r="O154" i="27" a="1"/>
  <c r="O154" i="27" s="1"/>
  <c r="M154" i="27" a="1"/>
  <c r="M154" i="27" s="1"/>
  <c r="L154" i="27"/>
  <c r="J154" i="27" a="1"/>
  <c r="J154" i="27" s="1"/>
  <c r="O153" i="27"/>
  <c r="O153" i="27" a="1"/>
  <c r="M153" i="27" a="1"/>
  <c r="M153" i="27" s="1"/>
  <c r="L153" i="27"/>
  <c r="J153" i="27"/>
  <c r="J153" i="27" a="1"/>
  <c r="O152" i="27" a="1"/>
  <c r="O152" i="27" s="1"/>
  <c r="L152" i="27"/>
  <c r="M152" i="27" s="1" a="1"/>
  <c r="M152" i="27" s="1"/>
  <c r="J152" i="27"/>
  <c r="J152" i="27" a="1"/>
  <c r="O151" i="27" a="1"/>
  <c r="O151" i="27" s="1"/>
  <c r="M151" i="27" a="1"/>
  <c r="M151" i="27" s="1"/>
  <c r="L151" i="27"/>
  <c r="J151" i="27" a="1"/>
  <c r="J151" i="27" s="1"/>
  <c r="O150" i="27" a="1"/>
  <c r="O150" i="27" s="1"/>
  <c r="L150" i="27"/>
  <c r="M150" i="27" s="1" a="1"/>
  <c r="M150" i="27" s="1"/>
  <c r="J150" i="27" a="1"/>
  <c r="J150" i="27" s="1"/>
  <c r="O149" i="27" a="1"/>
  <c r="O149" i="27" s="1"/>
  <c r="L149" i="27"/>
  <c r="M149" i="27" s="1" a="1"/>
  <c r="M149" i="27" s="1"/>
  <c r="J149" i="27" a="1"/>
  <c r="J149" i="27" s="1"/>
  <c r="O148" i="27"/>
  <c r="O148" i="27" a="1"/>
  <c r="L148" i="27"/>
  <c r="M148" i="27" s="1" a="1"/>
  <c r="M148" i="27" s="1"/>
  <c r="J148" i="27" a="1"/>
  <c r="J148" i="27" s="1"/>
  <c r="O147" i="27"/>
  <c r="O147" i="27" a="1"/>
  <c r="L147" i="27"/>
  <c r="M147" i="27" s="1" a="1"/>
  <c r="M147" i="27" s="1"/>
  <c r="J147" i="27" a="1"/>
  <c r="J147" i="27" s="1"/>
  <c r="O146" i="27"/>
  <c r="O146" i="27" a="1"/>
  <c r="L146" i="27"/>
  <c r="M146" i="27" s="1" a="1"/>
  <c r="M146" i="27" s="1"/>
  <c r="J146" i="27" a="1"/>
  <c r="J146" i="27" s="1"/>
  <c r="O145" i="27" a="1"/>
  <c r="O145" i="27" s="1"/>
  <c r="L145" i="27"/>
  <c r="M145" i="27" s="1" a="1"/>
  <c r="M145" i="27" s="1"/>
  <c r="J145" i="27" a="1"/>
  <c r="J145" i="27" s="1"/>
  <c r="O144" i="27"/>
  <c r="O144" i="27" a="1"/>
  <c r="L144" i="27"/>
  <c r="M144" i="27" s="1" a="1"/>
  <c r="M144" i="27" s="1"/>
  <c r="J144" i="27" a="1"/>
  <c r="J144" i="27" s="1"/>
  <c r="O143" i="27"/>
  <c r="O143" i="27" a="1"/>
  <c r="L143" i="27"/>
  <c r="M143" i="27" s="1" a="1"/>
  <c r="M143" i="27" s="1"/>
  <c r="J143" i="27" a="1"/>
  <c r="J143" i="27" s="1"/>
  <c r="O142" i="27"/>
  <c r="O142" i="27" a="1"/>
  <c r="L142" i="27"/>
  <c r="M142" i="27" s="1" a="1"/>
  <c r="M142" i="27" s="1"/>
  <c r="J142" i="27" a="1"/>
  <c r="J142" i="27" s="1"/>
  <c r="O141" i="27" a="1"/>
  <c r="O141" i="27" s="1"/>
  <c r="L141" i="27"/>
  <c r="M141" i="27" s="1" a="1"/>
  <c r="M141" i="27" s="1"/>
  <c r="J141" i="27" a="1"/>
  <c r="J141" i="27" s="1"/>
  <c r="O140" i="27"/>
  <c r="O140" i="27" a="1"/>
  <c r="L140" i="27"/>
  <c r="M140" i="27" s="1" a="1"/>
  <c r="M140" i="27" s="1"/>
  <c r="J140" i="27" a="1"/>
  <c r="J140" i="27" s="1"/>
  <c r="O139" i="27" a="1"/>
  <c r="O139" i="27" s="1"/>
  <c r="L139" i="27"/>
  <c r="M139" i="27" s="1" a="1"/>
  <c r="M139" i="27" s="1"/>
  <c r="J139" i="27"/>
  <c r="J139" i="27" a="1"/>
  <c r="O138" i="27" a="1"/>
  <c r="O138" i="27" s="1"/>
  <c r="L138" i="27"/>
  <c r="M138" i="27" s="1" a="1"/>
  <c r="M138" i="27" s="1"/>
  <c r="J138" i="27"/>
  <c r="J138" i="27" a="1"/>
  <c r="O137" i="27"/>
  <c r="O137" i="27" a="1"/>
  <c r="L137" i="27"/>
  <c r="M137" i="27" s="1" a="1"/>
  <c r="M137" i="27" s="1"/>
  <c r="J137" i="27"/>
  <c r="J137" i="27" a="1"/>
  <c r="O136" i="27" a="1"/>
  <c r="O136" i="27" s="1"/>
  <c r="L136" i="27"/>
  <c r="M136" i="27" s="1" a="1"/>
  <c r="M136" i="27" s="1"/>
  <c r="J136" i="27" a="1"/>
  <c r="J136" i="27" s="1"/>
  <c r="O135" i="27"/>
  <c r="O135" i="27" a="1"/>
  <c r="L135" i="27"/>
  <c r="M135" i="27" s="1" a="1"/>
  <c r="M135" i="27" s="1"/>
  <c r="J135" i="27" a="1"/>
  <c r="J135" i="27" s="1"/>
  <c r="O134" i="27"/>
  <c r="O134" i="27" a="1"/>
  <c r="L134" i="27"/>
  <c r="M134" i="27" s="1" a="1"/>
  <c r="M134" i="27" s="1"/>
  <c r="J134" i="27" a="1"/>
  <c r="J134" i="27" s="1"/>
  <c r="O133" i="27" a="1"/>
  <c r="O133" i="27" s="1"/>
  <c r="M133" i="27" a="1"/>
  <c r="M133" i="27" s="1"/>
  <c r="L133" i="27"/>
  <c r="J133" i="27" a="1"/>
  <c r="J133" i="27" s="1"/>
  <c r="O132" i="27" a="1"/>
  <c r="O132" i="27" s="1"/>
  <c r="L132" i="27"/>
  <c r="M132" i="27" s="1" a="1"/>
  <c r="M132" i="27" s="1"/>
  <c r="J132" i="27"/>
  <c r="J132" i="27" a="1"/>
  <c r="O131" i="27"/>
  <c r="O131" i="27" a="1"/>
  <c r="M131" i="27" a="1"/>
  <c r="M131" i="27" s="1"/>
  <c r="L131" i="27"/>
  <c r="J131" i="27"/>
  <c r="J131" i="27" a="1"/>
  <c r="O130" i="27" a="1"/>
  <c r="O130" i="27" s="1"/>
  <c r="L130" i="27"/>
  <c r="M130" i="27" s="1" a="1"/>
  <c r="M130" i="27" s="1"/>
  <c r="J130" i="27" a="1"/>
  <c r="J130" i="27" s="1"/>
  <c r="O129" i="27" a="1"/>
  <c r="O129" i="27" s="1"/>
  <c r="L129" i="27"/>
  <c r="M129" i="27" s="1" a="1"/>
  <c r="M129" i="27" s="1"/>
  <c r="J129" i="27" a="1"/>
  <c r="J129" i="27" s="1"/>
  <c r="O128" i="27"/>
  <c r="O128" i="27" a="1"/>
  <c r="L128" i="27"/>
  <c r="M128" i="27" s="1" a="1"/>
  <c r="M128" i="27" s="1"/>
  <c r="J128" i="27" a="1"/>
  <c r="J128" i="27" s="1"/>
  <c r="O127" i="27" a="1"/>
  <c r="O127" i="27" s="1"/>
  <c r="M127" i="27" a="1"/>
  <c r="M127" i="27" s="1"/>
  <c r="L127" i="27"/>
  <c r="J127" i="27" a="1"/>
  <c r="J127" i="27" s="1"/>
  <c r="O126" i="27" a="1"/>
  <c r="O126" i="27" s="1"/>
  <c r="L126" i="27"/>
  <c r="M126" i="27" s="1" a="1"/>
  <c r="M126" i="27" s="1"/>
  <c r="J126" i="27" a="1"/>
  <c r="J126" i="27" s="1"/>
  <c r="O125" i="27" a="1"/>
  <c r="O125" i="27" s="1"/>
  <c r="L125" i="27"/>
  <c r="M125" i="27" s="1" a="1"/>
  <c r="M125" i="27" s="1"/>
  <c r="J125" i="27"/>
  <c r="J125" i="27" a="1"/>
  <c r="O124" i="27"/>
  <c r="O124" i="27" a="1"/>
  <c r="L124" i="27"/>
  <c r="M124" i="27" s="1" a="1"/>
  <c r="M124" i="27" s="1"/>
  <c r="J124" i="27"/>
  <c r="J124" i="27" a="1"/>
  <c r="O123" i="27" a="1"/>
  <c r="O123" i="27" s="1"/>
  <c r="L123" i="27"/>
  <c r="M123" i="27" s="1" a="1"/>
  <c r="M123" i="27" s="1"/>
  <c r="J123" i="27" a="1"/>
  <c r="J123" i="27" s="1"/>
  <c r="O122" i="27"/>
  <c r="O122" i="27" a="1"/>
  <c r="L122" i="27"/>
  <c r="M122" i="27" s="1" a="1"/>
  <c r="M122" i="27" s="1"/>
  <c r="J122" i="27" a="1"/>
  <c r="J122" i="27" s="1"/>
  <c r="O121" i="27" a="1"/>
  <c r="O121" i="27" s="1"/>
  <c r="L121" i="27"/>
  <c r="M121" i="27" s="1" a="1"/>
  <c r="M121" i="27" s="1"/>
  <c r="J121" i="27" a="1"/>
  <c r="J121" i="27" s="1"/>
  <c r="O120" i="27"/>
  <c r="O120" i="27" a="1"/>
  <c r="L120" i="27"/>
  <c r="M120" i="27" s="1" a="1"/>
  <c r="M120" i="27" s="1"/>
  <c r="J120" i="27" a="1"/>
  <c r="J120" i="27" s="1"/>
  <c r="O119" i="27" a="1"/>
  <c r="O119" i="27" s="1"/>
  <c r="L119" i="27"/>
  <c r="M119" i="27" s="1" a="1"/>
  <c r="M119" i="27" s="1"/>
  <c r="J119" i="27"/>
  <c r="J119" i="27" a="1"/>
  <c r="O118" i="27" a="1"/>
  <c r="O118" i="27" s="1"/>
  <c r="L118" i="27"/>
  <c r="M118" i="27" s="1" a="1"/>
  <c r="M118" i="27" s="1"/>
  <c r="J118" i="27" a="1"/>
  <c r="J118" i="27" s="1"/>
  <c r="O117" i="27" a="1"/>
  <c r="O117" i="27" s="1"/>
  <c r="L117" i="27"/>
  <c r="M117" i="27" s="1" a="1"/>
  <c r="M117" i="27" s="1"/>
  <c r="J117" i="27"/>
  <c r="J117" i="27" a="1"/>
  <c r="O116" i="27" a="1"/>
  <c r="O116" i="27" s="1"/>
  <c r="L116" i="27"/>
  <c r="M116" i="27" s="1" a="1"/>
  <c r="M116" i="27" s="1"/>
  <c r="J116" i="27" a="1"/>
  <c r="J116" i="27" s="1"/>
  <c r="O115" i="27" a="1"/>
  <c r="O115" i="27" s="1"/>
  <c r="M115" i="27" a="1"/>
  <c r="M115" i="27" s="1"/>
  <c r="L115" i="27"/>
  <c r="J115" i="27" a="1"/>
  <c r="J115" i="27" s="1"/>
  <c r="O114" i="27"/>
  <c r="O114" i="27" a="1"/>
  <c r="L114" i="27"/>
  <c r="M114" i="27" s="1" a="1"/>
  <c r="M114" i="27" s="1"/>
  <c r="J114" i="27" a="1"/>
  <c r="J114" i="27" s="1"/>
  <c r="O113" i="27" a="1"/>
  <c r="O113" i="27" s="1"/>
  <c r="M113" i="27"/>
  <c r="M113" i="27" a="1"/>
  <c r="L113" i="27"/>
  <c r="J113" i="27" a="1"/>
  <c r="J113" i="27" s="1"/>
  <c r="O112" i="27"/>
  <c r="O112" i="27" a="1"/>
  <c r="L112" i="27"/>
  <c r="M112" i="27" s="1" a="1"/>
  <c r="M112" i="27" s="1"/>
  <c r="J112" i="27" a="1"/>
  <c r="J112" i="27" s="1"/>
  <c r="O111" i="27" a="1"/>
  <c r="O111" i="27" s="1"/>
  <c r="M111" i="27"/>
  <c r="M111" i="27" a="1"/>
  <c r="L111" i="27"/>
  <c r="J111" i="27" a="1"/>
  <c r="J111" i="27" s="1"/>
  <c r="O110" i="27"/>
  <c r="O110" i="27" a="1"/>
  <c r="L110" i="27"/>
  <c r="M110" i="27" s="1" a="1"/>
  <c r="M110" i="27" s="1"/>
  <c r="J110" i="27" a="1"/>
  <c r="J110" i="27" s="1"/>
  <c r="O109" i="27" a="1"/>
  <c r="O109" i="27" s="1"/>
  <c r="L109" i="27"/>
  <c r="M109" i="27" s="1" a="1"/>
  <c r="M109" i="27" s="1"/>
  <c r="J109" i="27" a="1"/>
  <c r="J109" i="27" s="1"/>
  <c r="O108" i="27" a="1"/>
  <c r="O108" i="27" s="1"/>
  <c r="M108" i="27"/>
  <c r="L108" i="27"/>
  <c r="M108" i="27" s="1" a="1"/>
  <c r="J108" i="27" a="1"/>
  <c r="J108" i="27" s="1"/>
  <c r="O107" i="27" a="1"/>
  <c r="O107" i="27" s="1"/>
  <c r="M107" i="27" a="1"/>
  <c r="M107" i="27" s="1"/>
  <c r="L107" i="27"/>
  <c r="J107" i="27" a="1"/>
  <c r="J107" i="27" s="1"/>
  <c r="O106" i="27" a="1"/>
  <c r="O106" i="27" s="1"/>
  <c r="L106" i="27"/>
  <c r="M106" i="27" s="1" a="1"/>
  <c r="M106" i="27" s="1"/>
  <c r="J106" i="27" a="1"/>
  <c r="J106" i="27" s="1"/>
  <c r="O105" i="27" a="1"/>
  <c r="O105" i="27" s="1"/>
  <c r="L105" i="27"/>
  <c r="M105" i="27" s="1" a="1"/>
  <c r="M105" i="27" s="1"/>
  <c r="J105" i="27" a="1"/>
  <c r="J105" i="27" s="1"/>
  <c r="O104" i="27"/>
  <c r="O104" i="27" a="1"/>
  <c r="M104" i="27" a="1"/>
  <c r="M104" i="27" s="1"/>
  <c r="L104" i="27"/>
  <c r="J104" i="27" a="1"/>
  <c r="J104" i="27" s="1"/>
  <c r="O103" i="27"/>
  <c r="O103" i="27" a="1"/>
  <c r="L103" i="27"/>
  <c r="M103" i="27" s="1" a="1"/>
  <c r="M103" i="27" s="1"/>
  <c r="J103" i="27" a="1"/>
  <c r="J103" i="27" s="1"/>
  <c r="O102" i="27"/>
  <c r="O102" i="27" a="1"/>
  <c r="M102" i="27" a="1"/>
  <c r="M102" i="27" s="1"/>
  <c r="L102" i="27"/>
  <c r="J102" i="27" a="1"/>
  <c r="J102" i="27" s="1"/>
  <c r="O101" i="27" a="1"/>
  <c r="O101" i="27" s="1"/>
  <c r="M101" i="27"/>
  <c r="M101" i="27" a="1"/>
  <c r="L101" i="27"/>
  <c r="J101" i="27" a="1"/>
  <c r="J101" i="27" s="1"/>
  <c r="O100" i="27" a="1"/>
  <c r="O100" i="27" s="1"/>
  <c r="L100" i="27"/>
  <c r="M100" i="27" s="1" a="1"/>
  <c r="M100" i="27" s="1"/>
  <c r="J100" i="27" a="1"/>
  <c r="J100" i="27" s="1"/>
  <c r="O99" i="27" a="1"/>
  <c r="O99" i="27" s="1"/>
  <c r="L99" i="27"/>
  <c r="M99" i="27" s="1" a="1"/>
  <c r="M99" i="27" s="1"/>
  <c r="J99" i="27"/>
  <c r="J99" i="27" a="1"/>
  <c r="O98" i="27" a="1"/>
  <c r="O98" i="27" s="1"/>
  <c r="M98" i="27" a="1"/>
  <c r="M98" i="27" s="1"/>
  <c r="L98" i="27"/>
  <c r="J98" i="27" a="1"/>
  <c r="J98" i="27" s="1"/>
  <c r="O97" i="27" a="1"/>
  <c r="O97" i="27" s="1"/>
  <c r="M97" i="27" a="1"/>
  <c r="M97" i="27" s="1"/>
  <c r="L97" i="27"/>
  <c r="J97" i="27"/>
  <c r="J97" i="27" a="1"/>
  <c r="O96" i="27" a="1"/>
  <c r="O96" i="27" s="1"/>
  <c r="M96" i="27" a="1"/>
  <c r="M96" i="27" s="1"/>
  <c r="L96" i="27"/>
  <c r="J96" i="27" a="1"/>
  <c r="J96" i="27" s="1"/>
  <c r="O95" i="27" a="1"/>
  <c r="O95" i="27" s="1"/>
  <c r="M95" i="27" a="1"/>
  <c r="M95" i="27" s="1"/>
  <c r="L95" i="27"/>
  <c r="J95" i="27" a="1"/>
  <c r="J95" i="27" s="1"/>
  <c r="O94" i="27" a="1"/>
  <c r="O94" i="27" s="1"/>
  <c r="L94" i="27"/>
  <c r="M94" i="27" s="1" a="1"/>
  <c r="M94" i="27" s="1"/>
  <c r="J94" i="27" a="1"/>
  <c r="J94" i="27" s="1"/>
  <c r="O93" i="27" a="1"/>
  <c r="O93" i="27" s="1"/>
  <c r="M93" i="27" a="1"/>
  <c r="M93" i="27" s="1"/>
  <c r="L93" i="27"/>
  <c r="J93" i="27" a="1"/>
  <c r="J93" i="27" s="1"/>
  <c r="O92" i="27" a="1"/>
  <c r="O92" i="27" s="1"/>
  <c r="M92" i="27" a="1"/>
  <c r="M92" i="27" s="1"/>
  <c r="L92" i="27"/>
  <c r="J92" i="27" a="1"/>
  <c r="J92" i="27" s="1"/>
  <c r="O91" i="27"/>
  <c r="O91" i="27" a="1"/>
  <c r="M91" i="27" a="1"/>
  <c r="M91" i="27" s="1"/>
  <c r="L91" i="27"/>
  <c r="J91" i="27" a="1"/>
  <c r="J91" i="27" s="1"/>
  <c r="O90" i="27" a="1"/>
  <c r="O90" i="27" s="1"/>
  <c r="L90" i="27"/>
  <c r="M90" i="27" s="1" a="1"/>
  <c r="M90" i="27" s="1"/>
  <c r="J90" i="27" a="1"/>
  <c r="J90" i="27" s="1"/>
  <c r="O89" i="27" a="1"/>
  <c r="O89" i="27" s="1"/>
  <c r="M89" i="27" a="1"/>
  <c r="M89" i="27" s="1"/>
  <c r="L89" i="27"/>
  <c r="J89" i="27" a="1"/>
  <c r="J89" i="27" s="1"/>
  <c r="O88" i="27" a="1"/>
  <c r="O88" i="27" s="1"/>
  <c r="M88" i="27"/>
  <c r="L88" i="27"/>
  <c r="M88" i="27" s="1" a="1"/>
  <c r="J88" i="27" a="1"/>
  <c r="J88" i="27" s="1"/>
  <c r="O87" i="27" a="1"/>
  <c r="O87" i="27" s="1"/>
  <c r="M87" i="27" a="1"/>
  <c r="M87" i="27" s="1"/>
  <c r="L87" i="27"/>
  <c r="J87" i="27"/>
  <c r="J87" i="27" a="1"/>
  <c r="O86" i="27" a="1"/>
  <c r="O86" i="27" s="1"/>
  <c r="L86" i="27"/>
  <c r="M86" i="27" s="1" a="1"/>
  <c r="M86" i="27" s="1"/>
  <c r="J86" i="27" a="1"/>
  <c r="J86" i="27" s="1"/>
  <c r="O85" i="27" a="1"/>
  <c r="O85" i="27" s="1"/>
  <c r="L85" i="27"/>
  <c r="M85" i="27" s="1" a="1"/>
  <c r="M85" i="27" s="1"/>
  <c r="J85" i="27" a="1"/>
  <c r="J85" i="27" s="1"/>
  <c r="O84" i="27"/>
  <c r="O84" i="27" a="1"/>
  <c r="L84" i="27"/>
  <c r="M84" i="27" s="1" a="1"/>
  <c r="M84" i="27" s="1"/>
  <c r="J84" i="27"/>
  <c r="J84" i="27" a="1"/>
  <c r="O83" i="27" a="1"/>
  <c r="O83" i="27" s="1"/>
  <c r="L83" i="27"/>
  <c r="M83" i="27" s="1" a="1"/>
  <c r="M83" i="27" s="1"/>
  <c r="J83" i="27" a="1"/>
  <c r="J83" i="27" s="1"/>
  <c r="O82" i="27"/>
  <c r="O82" i="27" a="1"/>
  <c r="L82" i="27"/>
  <c r="M82" i="27" s="1" a="1"/>
  <c r="M82" i="27" s="1"/>
  <c r="J82" i="27" a="1"/>
  <c r="J82" i="27" s="1"/>
  <c r="O81" i="27" a="1"/>
  <c r="O81" i="27" s="1"/>
  <c r="L81" i="27"/>
  <c r="M81" i="27" s="1" a="1"/>
  <c r="M81" i="27" s="1"/>
  <c r="J81" i="27"/>
  <c r="J81" i="27" a="1"/>
  <c r="O80" i="27" a="1"/>
  <c r="O80" i="27" s="1"/>
  <c r="L80" i="27"/>
  <c r="M80" i="27" s="1" a="1"/>
  <c r="M80" i="27" s="1"/>
  <c r="J80" i="27" a="1"/>
  <c r="J80" i="27" s="1"/>
  <c r="O79" i="27" a="1"/>
  <c r="O79" i="27" s="1"/>
  <c r="L79" i="27"/>
  <c r="M79" i="27" s="1" a="1"/>
  <c r="M79" i="27" s="1"/>
  <c r="J79" i="27"/>
  <c r="J79" i="27" a="1"/>
  <c r="O78" i="27" a="1"/>
  <c r="O78" i="27" s="1"/>
  <c r="M78" i="27" a="1"/>
  <c r="M78" i="27" s="1"/>
  <c r="L78" i="27"/>
  <c r="J78" i="27"/>
  <c r="J78" i="27" a="1"/>
  <c r="O77" i="27" a="1"/>
  <c r="O77" i="27" s="1"/>
  <c r="M77" i="27" a="1"/>
  <c r="M77" i="27" s="1"/>
  <c r="L77" i="27"/>
  <c r="J77" i="27"/>
  <c r="J77" i="27" a="1"/>
  <c r="O76" i="27" a="1"/>
  <c r="O76" i="27" s="1"/>
  <c r="M76" i="27" a="1"/>
  <c r="M76" i="27" s="1"/>
  <c r="L76" i="27"/>
  <c r="J76" i="27" a="1"/>
  <c r="J76" i="27" s="1"/>
  <c r="O75" i="27" a="1"/>
  <c r="O75" i="27" s="1"/>
  <c r="L75" i="27"/>
  <c r="M75" i="27" s="1" a="1"/>
  <c r="M75" i="27" s="1"/>
  <c r="J75" i="27"/>
  <c r="J75" i="27" a="1"/>
  <c r="O74" i="27" a="1"/>
  <c r="O74" i="27" s="1"/>
  <c r="L74" i="27"/>
  <c r="M74" i="27" s="1" a="1"/>
  <c r="M74" i="27" s="1"/>
  <c r="J74" i="27" a="1"/>
  <c r="J74" i="27" s="1"/>
  <c r="O73" i="27" a="1"/>
  <c r="O73" i="27" s="1"/>
  <c r="M73" i="27" a="1"/>
  <c r="M73" i="27" s="1"/>
  <c r="L73" i="27"/>
  <c r="J73" i="27" a="1"/>
  <c r="J73" i="27" s="1"/>
  <c r="O72" i="27" a="1"/>
  <c r="O72" i="27" s="1"/>
  <c r="L72" i="27"/>
  <c r="M72" i="27" s="1" a="1"/>
  <c r="M72" i="27" s="1"/>
  <c r="J72" i="27"/>
  <c r="J72" i="27" a="1"/>
  <c r="O71" i="27" a="1"/>
  <c r="O71" i="27" s="1"/>
  <c r="M71" i="27" a="1"/>
  <c r="M71" i="27" s="1"/>
  <c r="L71" i="27"/>
  <c r="J71" i="27" a="1"/>
  <c r="J71" i="27" s="1"/>
  <c r="O70" i="27"/>
  <c r="O70" i="27" a="1"/>
  <c r="L70" i="27"/>
  <c r="M70" i="27" s="1" a="1"/>
  <c r="M70" i="27" s="1"/>
  <c r="J70" i="27" a="1"/>
  <c r="J70" i="27" s="1"/>
  <c r="O69" i="27"/>
  <c r="O69" i="27" a="1"/>
  <c r="L69" i="27"/>
  <c r="M69" i="27" s="1" a="1"/>
  <c r="M69" i="27" s="1"/>
  <c r="J69" i="27"/>
  <c r="J69" i="27" a="1"/>
  <c r="O68" i="27" a="1"/>
  <c r="O68" i="27" s="1"/>
  <c r="M68" i="27"/>
  <c r="L68" i="27"/>
  <c r="M68" i="27" s="1" a="1"/>
  <c r="J68" i="27"/>
  <c r="J68" i="27" a="1"/>
  <c r="O67" i="27" a="1"/>
  <c r="O67" i="27" s="1"/>
  <c r="L67" i="27"/>
  <c r="M67" i="27" s="1" a="1"/>
  <c r="M67" i="27" s="1"/>
  <c r="J67" i="27" a="1"/>
  <c r="J67" i="27" s="1"/>
  <c r="O66" i="27" a="1"/>
  <c r="O66" i="27" s="1"/>
  <c r="L66" i="27"/>
  <c r="M66" i="27" s="1" a="1"/>
  <c r="M66" i="27" s="1"/>
  <c r="J66" i="27" a="1"/>
  <c r="J66" i="27" s="1"/>
  <c r="O65" i="27" a="1"/>
  <c r="O65" i="27" s="1"/>
  <c r="L65" i="27"/>
  <c r="M65" i="27" s="1" a="1"/>
  <c r="M65" i="27" s="1"/>
  <c r="J65" i="27" a="1"/>
  <c r="J65" i="27" s="1"/>
  <c r="O64" i="27"/>
  <c r="O64" i="27" a="1"/>
  <c r="L64" i="27"/>
  <c r="M64" i="27" s="1" a="1"/>
  <c r="M64" i="27" s="1"/>
  <c r="J64" i="27"/>
  <c r="J64" i="27" a="1"/>
  <c r="O63" i="27" a="1"/>
  <c r="O63" i="27" s="1"/>
  <c r="L63" i="27"/>
  <c r="M63" i="27" s="1" a="1"/>
  <c r="M63" i="27" s="1"/>
  <c r="J63" i="27" a="1"/>
  <c r="J63" i="27" s="1"/>
  <c r="O62" i="27"/>
  <c r="O62" i="27" a="1"/>
  <c r="L62" i="27"/>
  <c r="M62" i="27" s="1" a="1"/>
  <c r="M62" i="27" s="1"/>
  <c r="J62" i="27"/>
  <c r="J62" i="27" a="1"/>
  <c r="O61" i="27" a="1"/>
  <c r="O61" i="27" s="1"/>
  <c r="L61" i="27"/>
  <c r="M61" i="27" s="1" a="1"/>
  <c r="M61" i="27" s="1"/>
  <c r="J61" i="27"/>
  <c r="J61" i="27" a="1"/>
  <c r="O60" i="27" a="1"/>
  <c r="O60" i="27" s="1"/>
  <c r="L60" i="27"/>
  <c r="M60" i="27" s="1" a="1"/>
  <c r="M60" i="27" s="1"/>
  <c r="J60" i="27" a="1"/>
  <c r="J60" i="27" s="1"/>
  <c r="O59" i="27" a="1"/>
  <c r="O59" i="27" s="1"/>
  <c r="L59" i="27"/>
  <c r="M59" i="27" s="1" a="1"/>
  <c r="M59" i="27" s="1"/>
  <c r="J59" i="27"/>
  <c r="J59" i="27" a="1"/>
  <c r="O58" i="27" a="1"/>
  <c r="O58" i="27" s="1"/>
  <c r="L58" i="27"/>
  <c r="M58" i="27" s="1" a="1"/>
  <c r="M58" i="27" s="1"/>
  <c r="J58" i="27" a="1"/>
  <c r="J58" i="27" s="1"/>
  <c r="O57" i="27"/>
  <c r="O57" i="27" a="1"/>
  <c r="L57" i="27"/>
  <c r="M57" i="27" s="1" a="1"/>
  <c r="M57" i="27" s="1"/>
  <c r="J57" i="27"/>
  <c r="J57" i="27" a="1"/>
  <c r="O56" i="27" a="1"/>
  <c r="O56" i="27" s="1"/>
  <c r="L56" i="27"/>
  <c r="M56" i="27" s="1" a="1"/>
  <c r="M56" i="27" s="1"/>
  <c r="J56" i="27" a="1"/>
  <c r="J56" i="27" s="1"/>
  <c r="O55" i="27" a="1"/>
  <c r="O55" i="27" s="1"/>
  <c r="M55" i="27" a="1"/>
  <c r="M55" i="27" s="1"/>
  <c r="L55" i="27"/>
  <c r="J55" i="27" a="1"/>
  <c r="J55" i="27" s="1"/>
  <c r="O54" i="27" a="1"/>
  <c r="O54" i="27" s="1"/>
  <c r="L54" i="27"/>
  <c r="M54" i="27" s="1" a="1"/>
  <c r="M54" i="27" s="1"/>
  <c r="J54" i="27" a="1"/>
  <c r="J54" i="27" s="1"/>
  <c r="O53" i="27"/>
  <c r="O53" i="27" a="1"/>
  <c r="M53" i="27" a="1"/>
  <c r="M53" i="27" s="1"/>
  <c r="L53" i="27"/>
  <c r="J53" i="27" a="1"/>
  <c r="J53" i="27" s="1"/>
  <c r="O52" i="27" a="1"/>
  <c r="O52" i="27" s="1"/>
  <c r="L52" i="27"/>
  <c r="M52" i="27" s="1" a="1"/>
  <c r="M52" i="27" s="1"/>
  <c r="J52" i="27"/>
  <c r="J52" i="27" a="1"/>
  <c r="O51" i="27" a="1"/>
  <c r="O51" i="27" s="1"/>
  <c r="M51" i="27" a="1"/>
  <c r="M51" i="27" s="1"/>
  <c r="L51" i="27"/>
  <c r="J51" i="27" a="1"/>
  <c r="J51" i="27" s="1"/>
  <c r="O50" i="27" a="1"/>
  <c r="O50" i="27" s="1"/>
  <c r="L50" i="27"/>
  <c r="M50" i="27" s="1" a="1"/>
  <c r="M50" i="27" s="1"/>
  <c r="J50" i="27" a="1"/>
  <c r="J50" i="27" s="1"/>
  <c r="O49" i="27" a="1"/>
  <c r="O49" i="27" s="1"/>
  <c r="L49" i="27"/>
  <c r="M49" i="27" s="1" a="1"/>
  <c r="M49" i="27" s="1"/>
  <c r="J49" i="27" a="1"/>
  <c r="J49" i="27" s="1"/>
  <c r="O48" i="27"/>
  <c r="O48" i="27" a="1"/>
  <c r="L48" i="27"/>
  <c r="M48" i="27" s="1" a="1"/>
  <c r="M48" i="27" s="1"/>
  <c r="J48" i="27" a="1"/>
  <c r="J48" i="27" s="1"/>
  <c r="O47" i="27"/>
  <c r="O47" i="27" a="1"/>
  <c r="L47" i="27"/>
  <c r="M47" i="27" s="1" a="1"/>
  <c r="M47" i="27" s="1"/>
  <c r="J47" i="27" a="1"/>
  <c r="J47" i="27" s="1"/>
  <c r="O46" i="27"/>
  <c r="O46" i="27" a="1"/>
  <c r="L46" i="27"/>
  <c r="M46" i="27" s="1" a="1"/>
  <c r="M46" i="27" s="1"/>
  <c r="J46" i="27" a="1"/>
  <c r="J46" i="27" s="1"/>
  <c r="O45" i="27" a="1"/>
  <c r="O45" i="27" s="1"/>
  <c r="L45" i="27"/>
  <c r="M45" i="27" s="1" a="1"/>
  <c r="M45" i="27" s="1"/>
  <c r="J45" i="27" a="1"/>
  <c r="J45" i="27" s="1"/>
  <c r="O44" i="27"/>
  <c r="O44" i="27" a="1"/>
  <c r="L44" i="27"/>
  <c r="M44" i="27" s="1" a="1"/>
  <c r="M44" i="27" s="1"/>
  <c r="J44" i="27"/>
  <c r="J44" i="27" a="1"/>
  <c r="O43" i="27"/>
  <c r="O43" i="27" a="1"/>
  <c r="L43" i="27"/>
  <c r="M43" i="27" s="1" a="1"/>
  <c r="M43" i="27" s="1"/>
  <c r="J43" i="27" a="1"/>
  <c r="J43" i="27" s="1"/>
  <c r="O42" i="27"/>
  <c r="O42" i="27" a="1"/>
  <c r="L42" i="27"/>
  <c r="M42" i="27" s="1" a="1"/>
  <c r="M42" i="27" s="1"/>
  <c r="J42" i="27" a="1"/>
  <c r="J42" i="27" s="1"/>
  <c r="O41" i="27" a="1"/>
  <c r="O41" i="27" s="1"/>
  <c r="L41" i="27"/>
  <c r="M41" i="27" s="1" a="1"/>
  <c r="M41" i="27" s="1"/>
  <c r="J41" i="27" a="1"/>
  <c r="J41" i="27" s="1"/>
  <c r="O40" i="27"/>
  <c r="O40" i="27" a="1"/>
  <c r="L40" i="27"/>
  <c r="M40" i="27" s="1" a="1"/>
  <c r="M40" i="27" s="1"/>
  <c r="J40" i="27" a="1"/>
  <c r="J40" i="27" s="1"/>
  <c r="O39" i="27" a="1"/>
  <c r="O39" i="27" s="1"/>
  <c r="L39" i="27"/>
  <c r="M39" i="27" s="1" a="1"/>
  <c r="M39" i="27" s="1"/>
  <c r="J39" i="27"/>
  <c r="J39" i="27" a="1"/>
  <c r="O38" i="27" a="1"/>
  <c r="O38" i="27" s="1"/>
  <c r="L38" i="27"/>
  <c r="M38" i="27" s="1" a="1"/>
  <c r="M38" i="27" s="1"/>
  <c r="J38" i="27"/>
  <c r="J38" i="27" a="1"/>
  <c r="O37" i="27"/>
  <c r="O37" i="27" a="1"/>
  <c r="L37" i="27"/>
  <c r="M37" i="27" s="1" a="1"/>
  <c r="M37" i="27" s="1"/>
  <c r="J37" i="27"/>
  <c r="J37" i="27" a="1"/>
  <c r="O36" i="27" a="1"/>
  <c r="O36" i="27" s="1"/>
  <c r="L36" i="27"/>
  <c r="M36" i="27" s="1" a="1"/>
  <c r="M36" i="27" s="1"/>
  <c r="J36" i="27" a="1"/>
  <c r="J36" i="27" s="1"/>
  <c r="O35" i="27" a="1"/>
  <c r="O35" i="27" s="1"/>
  <c r="L35" i="27"/>
  <c r="M35" i="27" s="1" a="1"/>
  <c r="M35" i="27" s="1"/>
  <c r="J35" i="27" a="1"/>
  <c r="J35" i="27" s="1"/>
  <c r="O34" i="27"/>
  <c r="O34" i="27" a="1"/>
  <c r="L34" i="27"/>
  <c r="M34" i="27" s="1" a="1"/>
  <c r="M34" i="27" s="1"/>
  <c r="J34" i="27" a="1"/>
  <c r="J34" i="27" s="1"/>
  <c r="O33" i="27" a="1"/>
  <c r="O33" i="27" s="1"/>
  <c r="M33" i="27"/>
  <c r="M33" i="27" a="1"/>
  <c r="L33" i="27"/>
  <c r="J33" i="27" a="1"/>
  <c r="J33" i="27" s="1"/>
  <c r="O32" i="27" a="1"/>
  <c r="O32" i="27" s="1"/>
  <c r="L32" i="27"/>
  <c r="M32" i="27" s="1" a="1"/>
  <c r="M32" i="27" s="1"/>
  <c r="J32" i="27" a="1"/>
  <c r="J32" i="27" s="1"/>
  <c r="O31" i="27"/>
  <c r="O31" i="27" a="1"/>
  <c r="M31" i="27" a="1"/>
  <c r="M31" i="27" s="1"/>
  <c r="L31" i="27"/>
  <c r="J31" i="27" a="1"/>
  <c r="J31" i="27" s="1"/>
  <c r="O30" i="27" a="1"/>
  <c r="O30" i="27" s="1"/>
  <c r="L30" i="27"/>
  <c r="M30" i="27" s="1" a="1"/>
  <c r="M30" i="27" s="1"/>
  <c r="J30" i="27" a="1"/>
  <c r="J30" i="27" s="1"/>
  <c r="O29" i="27" a="1"/>
  <c r="O29" i="27" s="1"/>
  <c r="L29" i="27"/>
  <c r="M29" i="27" s="1" a="1"/>
  <c r="M29" i="27" s="1"/>
  <c r="J29" i="27" a="1"/>
  <c r="J29" i="27" s="1"/>
  <c r="O28" i="27"/>
  <c r="O28" i="27" a="1"/>
  <c r="M28" i="27"/>
  <c r="L28" i="27"/>
  <c r="M28" i="27" s="1" a="1"/>
  <c r="J28" i="27" a="1"/>
  <c r="J28" i="27" s="1"/>
  <c r="O27" i="27"/>
  <c r="O27" i="27" a="1"/>
  <c r="L27" i="27"/>
  <c r="M27" i="27" s="1" a="1"/>
  <c r="M27" i="27" s="1"/>
  <c r="J27" i="27" a="1"/>
  <c r="J27" i="27" s="1"/>
  <c r="O26" i="27"/>
  <c r="O26" i="27" a="1"/>
  <c r="L26" i="27"/>
  <c r="M26" i="27" s="1" a="1"/>
  <c r="M26" i="27" s="1"/>
  <c r="J26" i="27" a="1"/>
  <c r="J26" i="27" s="1"/>
  <c r="O25" i="27" a="1"/>
  <c r="O25" i="27" s="1"/>
  <c r="L25" i="27"/>
  <c r="M25" i="27" s="1" a="1"/>
  <c r="M25" i="27" s="1"/>
  <c r="J25" i="27" a="1"/>
  <c r="J25" i="27" s="1"/>
  <c r="O24" i="27"/>
  <c r="O24" i="27" a="1"/>
  <c r="M24" i="27" a="1"/>
  <c r="M24" i="27" s="1"/>
  <c r="L24" i="27"/>
  <c r="J24" i="27" a="1"/>
  <c r="J24" i="27" s="1"/>
  <c r="O23" i="27" a="1"/>
  <c r="O23" i="27" s="1"/>
  <c r="M23" i="27"/>
  <c r="L23" i="27"/>
  <c r="M23" i="27" s="1" a="1"/>
  <c r="J23" i="27" a="1"/>
  <c r="J23" i="27" s="1"/>
  <c r="O22" i="27"/>
  <c r="O22" i="27" a="1"/>
  <c r="L22" i="27"/>
  <c r="M22" i="27" s="1" a="1"/>
  <c r="M22" i="27" s="1"/>
  <c r="J22" i="27" a="1"/>
  <c r="J22" i="27" s="1"/>
  <c r="O21" i="27" a="1"/>
  <c r="O21" i="27" s="1"/>
  <c r="L21" i="27"/>
  <c r="M21" i="27" s="1" a="1"/>
  <c r="M21" i="27" s="1"/>
  <c r="J21" i="27"/>
  <c r="J21" i="27" a="1"/>
  <c r="O20" i="27" a="1"/>
  <c r="O20" i="27" s="1"/>
  <c r="L20" i="27"/>
  <c r="M20" i="27" s="1" a="1"/>
  <c r="M20" i="27" s="1"/>
  <c r="J20" i="27"/>
  <c r="J20" i="27" a="1"/>
  <c r="O19" i="27" a="1"/>
  <c r="O19" i="27" s="1"/>
  <c r="L19" i="27"/>
  <c r="M19" i="27" s="1" a="1"/>
  <c r="M19" i="27" s="1"/>
  <c r="J19" i="27"/>
  <c r="J19" i="27" a="1"/>
  <c r="O18" i="27"/>
  <c r="O18" i="27" a="1"/>
  <c r="L18" i="27"/>
  <c r="M18" i="27" s="1" a="1"/>
  <c r="M18" i="27" s="1"/>
  <c r="J18" i="27" a="1"/>
  <c r="J18" i="27" s="1"/>
  <c r="O17" i="27"/>
  <c r="O17" i="27" a="1"/>
  <c r="L17" i="27"/>
  <c r="M17" i="27" s="1" a="1"/>
  <c r="M17" i="27" s="1"/>
  <c r="J17" i="27"/>
  <c r="J17" i="27" a="1"/>
  <c r="O16" i="27"/>
  <c r="O16" i="27" a="1"/>
  <c r="L16" i="27"/>
  <c r="M16" i="27" s="1" a="1"/>
  <c r="M16" i="27" s="1"/>
  <c r="J16" i="27" a="1"/>
  <c r="J16" i="27" s="1"/>
  <c r="O15" i="27" a="1"/>
  <c r="O15" i="27" s="1"/>
  <c r="L15" i="27"/>
  <c r="M15" i="27" s="1" a="1"/>
  <c r="M15" i="27" s="1"/>
  <c r="J15" i="27"/>
  <c r="J15" i="27" a="1"/>
  <c r="O14" i="27" a="1"/>
  <c r="O14" i="27" s="1"/>
  <c r="M14" i="27"/>
  <c r="L14" i="27"/>
  <c r="M14" i="27" s="1" a="1"/>
  <c r="J14" i="27" a="1"/>
  <c r="J14" i="27" s="1"/>
  <c r="O13" i="27" a="1"/>
  <c r="O13" i="27" s="1"/>
  <c r="M13" i="27"/>
  <c r="M13" i="27" a="1"/>
  <c r="L13" i="27"/>
  <c r="J13" i="27" a="1"/>
  <c r="J13" i="27" s="1"/>
  <c r="O12" i="27" a="1"/>
  <c r="O12" i="27" s="1"/>
  <c r="M12" i="27" a="1"/>
  <c r="M12" i="27" s="1"/>
  <c r="L12" i="27"/>
  <c r="J12" i="27" a="1"/>
  <c r="J12" i="27" s="1"/>
  <c r="O11" i="27" a="1"/>
  <c r="O11" i="27" s="1"/>
  <c r="M11" i="27"/>
  <c r="M11" i="27" a="1"/>
  <c r="L11" i="27"/>
  <c r="J11" i="27" a="1"/>
  <c r="J11" i="27" s="1"/>
  <c r="O10" i="27" a="1"/>
  <c r="O10" i="27" s="1"/>
  <c r="L10" i="27"/>
  <c r="M10" i="27" s="1" a="1"/>
  <c r="M10" i="27" s="1"/>
  <c r="J10" i="27" a="1"/>
  <c r="J10" i="27" s="1"/>
  <c r="O9" i="27" a="1"/>
  <c r="O9" i="27" s="1"/>
  <c r="L9" i="27"/>
  <c r="M9" i="27" s="1" a="1"/>
  <c r="M9" i="27" s="1"/>
  <c r="J9" i="27" a="1"/>
  <c r="J9" i="27" s="1"/>
  <c r="O8" i="27" a="1"/>
  <c r="O8" i="27" s="1"/>
  <c r="M8" i="27"/>
  <c r="L8" i="27"/>
  <c r="M8" i="27" s="1" a="1"/>
  <c r="J8" i="27" a="1"/>
  <c r="J8" i="27" s="1"/>
  <c r="O7" i="27" a="1"/>
  <c r="O7" i="27" s="1"/>
  <c r="M7" i="27" a="1"/>
  <c r="M7" i="27" s="1"/>
  <c r="L7" i="27"/>
  <c r="J7" i="27" a="1"/>
  <c r="J7" i="27" s="1"/>
  <c r="O6" i="27" a="1"/>
  <c r="O6" i="27" s="1"/>
  <c r="L6" i="27"/>
  <c r="J6" i="27" a="1"/>
  <c r="J6" i="27" s="1"/>
  <c r="F8" i="3" l="1"/>
  <c r="J8" i="3" a="1"/>
  <c r="J8" i="3" s="1"/>
  <c r="N8" i="3" a="1"/>
  <c r="N8" i="3" s="1"/>
  <c r="R8" i="3" a="1"/>
  <c r="R8" i="3" s="1"/>
  <c r="M9" i="3" l="1" a="1"/>
  <c r="L9" i="3" a="1"/>
  <c r="H9" i="3" a="1"/>
  <c r="G9" i="3" a="1"/>
  <c r="E9" i="3" a="1"/>
  <c r="D9" i="3" a="1"/>
  <c r="C9" i="3"/>
  <c r="K4" i="30" s="1"/>
  <c r="P12" i="30" s="1"/>
  <c r="B9" i="3"/>
  <c r="B4" i="30" s="1"/>
  <c r="D4" i="30" s="1"/>
  <c r="U9" i="3"/>
  <c r="O6" i="26" a="1"/>
  <c r="O6" i="26" s="1"/>
  <c r="D9" i="3" l="1"/>
  <c r="T34" i="22" s="1"/>
  <c r="E9" i="3"/>
  <c r="M19" i="22" s="1"/>
  <c r="G9" i="3"/>
  <c r="O19" i="22" s="1"/>
  <c r="J6" i="17"/>
  <c r="F9" i="3" l="1"/>
  <c r="L19" i="22"/>
  <c r="K97" i="19" l="1" a="1"/>
  <c r="K97" i="19" s="1"/>
  <c r="K92" i="19" a="1"/>
  <c r="K92" i="19" s="1"/>
  <c r="K88" i="19" a="1"/>
  <c r="K88" i="19" s="1"/>
  <c r="K83" i="19" a="1"/>
  <c r="K83" i="19" s="1"/>
  <c r="K82" i="19" a="1"/>
  <c r="K82" i="19" s="1"/>
  <c r="K81" i="19" a="1"/>
  <c r="K81" i="19" s="1"/>
  <c r="K76" i="19" a="1"/>
  <c r="K76" i="19" s="1"/>
  <c r="K72" i="19" a="1"/>
  <c r="K72" i="19" s="1"/>
  <c r="K51" i="19" a="1"/>
  <c r="K51" i="19" s="1"/>
  <c r="K48" i="19" a="1"/>
  <c r="K48" i="19" s="1"/>
  <c r="K46" i="19" a="1"/>
  <c r="K46" i="19" s="1"/>
  <c r="K45" i="19" a="1"/>
  <c r="K45" i="19" s="1"/>
  <c r="K42" i="19" a="1"/>
  <c r="K42" i="19" s="1"/>
  <c r="K41" i="19" a="1"/>
  <c r="K41" i="19" s="1"/>
  <c r="K39" i="19" a="1"/>
  <c r="K39" i="19" s="1"/>
  <c r="K38" i="19" a="1"/>
  <c r="K38" i="19" s="1"/>
  <c r="K36" i="19" a="1"/>
  <c r="K36" i="19" s="1"/>
  <c r="K33" i="19" a="1"/>
  <c r="K33" i="19" s="1"/>
  <c r="K31" i="19" a="1"/>
  <c r="K31" i="19" s="1"/>
  <c r="K27" i="19" a="1"/>
  <c r="K27" i="19" s="1"/>
  <c r="K17" i="19" a="1"/>
  <c r="K17" i="19" s="1"/>
  <c r="K14" i="19" a="1"/>
  <c r="K14" i="19" s="1"/>
  <c r="K12" i="19" a="1"/>
  <c r="K12" i="19" s="1"/>
  <c r="K10" i="19" a="1"/>
  <c r="K10" i="19" s="1"/>
  <c r="K9" i="19" a="1"/>
  <c r="K9" i="19" s="1"/>
  <c r="K8" i="19" a="1"/>
  <c r="K8" i="19" s="1"/>
  <c r="I97" i="19" a="1"/>
  <c r="I97" i="19" s="1"/>
  <c r="I92" i="19" a="1"/>
  <c r="I92" i="19" s="1"/>
  <c r="I88" i="19" a="1"/>
  <c r="I88" i="19" s="1"/>
  <c r="I83" i="19" a="1"/>
  <c r="I83" i="19" s="1"/>
  <c r="I82" i="19" a="1"/>
  <c r="I82" i="19" s="1"/>
  <c r="I81" i="19" a="1"/>
  <c r="I81" i="19" s="1"/>
  <c r="I76" i="19" a="1"/>
  <c r="I76" i="19" s="1"/>
  <c r="I72" i="19" a="1"/>
  <c r="I72" i="19" s="1"/>
  <c r="I51" i="19" a="1"/>
  <c r="I51" i="19" s="1"/>
  <c r="I48" i="19" a="1"/>
  <c r="I48" i="19" s="1"/>
  <c r="I46" i="19" a="1"/>
  <c r="I46" i="19" s="1"/>
  <c r="I45" i="19" a="1"/>
  <c r="I45" i="19" s="1"/>
  <c r="I42" i="19" a="1"/>
  <c r="I42" i="19" s="1"/>
  <c r="I41" i="19" a="1"/>
  <c r="I41" i="19" s="1"/>
  <c r="I39" i="19" a="1"/>
  <c r="I39" i="19" s="1"/>
  <c r="I38" i="19" a="1"/>
  <c r="I38" i="19" s="1"/>
  <c r="I36" i="19" a="1"/>
  <c r="I36" i="19" s="1"/>
  <c r="I33" i="19" a="1"/>
  <c r="I33" i="19" s="1"/>
  <c r="I31" i="19" a="1"/>
  <c r="I31" i="19" s="1"/>
  <c r="I27" i="19" a="1"/>
  <c r="I27" i="19" s="1"/>
  <c r="I17" i="19" a="1"/>
  <c r="I17" i="19" s="1"/>
  <c r="I14" i="19" a="1"/>
  <c r="I14" i="19" s="1"/>
  <c r="I12" i="19" a="1"/>
  <c r="I12" i="19" s="1"/>
  <c r="I10" i="19" a="1"/>
  <c r="I10" i="19" s="1"/>
  <c r="I9" i="19" a="1"/>
  <c r="I9" i="19" s="1"/>
  <c r="I8" i="19" a="1"/>
  <c r="I8" i="19" s="1"/>
  <c r="J100" i="16" l="1"/>
  <c r="J98" i="16"/>
  <c r="J95" i="16"/>
  <c r="J94" i="16"/>
  <c r="J93" i="16"/>
  <c r="J90" i="16"/>
  <c r="J87" i="16"/>
  <c r="J85" i="16"/>
  <c r="J78" i="16"/>
  <c r="J74" i="16"/>
  <c r="J73" i="16"/>
  <c r="J72" i="16"/>
  <c r="J71" i="16"/>
  <c r="J70" i="16"/>
  <c r="J50" i="16"/>
  <c r="J49" i="16"/>
  <c r="J48" i="16"/>
  <c r="J47" i="16"/>
  <c r="J45" i="16"/>
  <c r="J37" i="16"/>
  <c r="J36" i="16"/>
  <c r="J35" i="16"/>
  <c r="J33" i="16"/>
  <c r="J31" i="16"/>
  <c r="J30" i="16"/>
  <c r="J29" i="16"/>
  <c r="J28" i="16"/>
  <c r="J27" i="16"/>
  <c r="J26" i="16"/>
  <c r="J25" i="16"/>
  <c r="J16" i="16"/>
  <c r="J15" i="16"/>
  <c r="J14" i="16"/>
  <c r="J13" i="16"/>
  <c r="J12" i="16"/>
  <c r="J11" i="16"/>
  <c r="J10" i="16"/>
  <c r="J9" i="16"/>
  <c r="J8" i="16"/>
  <c r="J7" i="16"/>
  <c r="P6" i="16"/>
  <c r="J6" i="16" s="1"/>
  <c r="J99" i="16"/>
  <c r="J97" i="16"/>
  <c r="J96" i="16"/>
  <c r="J92" i="16"/>
  <c r="J91" i="16"/>
  <c r="J89" i="16"/>
  <c r="J88" i="16"/>
  <c r="J86" i="16"/>
  <c r="J84" i="16"/>
  <c r="J83" i="16"/>
  <c r="J82" i="16"/>
  <c r="J81" i="16"/>
  <c r="J80" i="16"/>
  <c r="J79" i="16"/>
  <c r="J77" i="16"/>
  <c r="J76" i="16"/>
  <c r="J75" i="16"/>
  <c r="J51" i="16"/>
  <c r="J46" i="16"/>
  <c r="J44" i="16"/>
  <c r="J43" i="16"/>
  <c r="J42" i="16"/>
  <c r="J41" i="16"/>
  <c r="J40" i="16"/>
  <c r="J39" i="16"/>
  <c r="J38" i="16"/>
  <c r="J34" i="16"/>
  <c r="J32" i="16"/>
  <c r="J24" i="16"/>
  <c r="J23" i="16"/>
  <c r="J22" i="16"/>
  <c r="J21" i="16"/>
  <c r="J20" i="16"/>
  <c r="J19" i="16"/>
  <c r="J18" i="16"/>
  <c r="J17" i="16"/>
  <c r="AB159" i="16" l="1"/>
  <c r="AB158" i="16"/>
  <c r="AB157" i="16"/>
  <c r="AB156" i="16"/>
  <c r="AB155" i="16"/>
  <c r="AB154" i="16"/>
  <c r="AB153" i="16"/>
  <c r="AB152" i="16"/>
  <c r="AB151" i="16"/>
  <c r="AB150" i="16"/>
  <c r="AB149" i="16"/>
  <c r="AB148" i="16"/>
  <c r="AB147" i="16"/>
  <c r="AB146" i="16"/>
  <c r="AB145" i="16"/>
  <c r="AB144" i="16"/>
  <c r="AB143" i="16"/>
  <c r="AB142" i="16"/>
  <c r="AB141" i="16"/>
  <c r="AB140" i="16"/>
  <c r="AB139" i="16"/>
  <c r="AB138" i="16"/>
  <c r="AB137" i="16"/>
  <c r="AB136" i="16"/>
  <c r="AB135" i="16"/>
  <c r="AB134" i="16"/>
  <c r="AB133" i="16"/>
  <c r="AB132" i="16"/>
  <c r="AB131" i="16"/>
  <c r="AB130" i="16"/>
  <c r="AB129" i="16"/>
  <c r="AB128" i="16"/>
  <c r="AB127" i="16"/>
  <c r="AB126" i="16"/>
  <c r="AB125" i="16"/>
  <c r="AB124" i="16"/>
  <c r="AB123" i="16"/>
  <c r="AB122" i="16"/>
  <c r="AB121" i="16"/>
  <c r="AB120" i="16"/>
  <c r="AB119" i="16"/>
  <c r="AB118" i="16"/>
  <c r="AB117" i="16"/>
  <c r="AB116" i="16"/>
  <c r="AB115" i="16"/>
  <c r="AB114" i="16"/>
  <c r="AB113" i="16"/>
  <c r="AB112" i="16"/>
  <c r="AB111" i="16"/>
  <c r="AB110" i="16"/>
  <c r="AB109" i="16"/>
  <c r="AB108" i="16"/>
  <c r="AB107" i="16"/>
  <c r="AB106" i="16"/>
  <c r="AB105" i="16"/>
  <c r="AB104" i="16"/>
  <c r="AB103" i="16"/>
  <c r="AB102" i="16"/>
  <c r="AB101" i="16"/>
  <c r="AB6" i="16"/>
  <c r="U159" i="16"/>
  <c r="U158" i="16"/>
  <c r="U157" i="16"/>
  <c r="U156" i="16"/>
  <c r="U155" i="16"/>
  <c r="U154" i="16"/>
  <c r="U153" i="16"/>
  <c r="U152" i="16"/>
  <c r="U151" i="16"/>
  <c r="U150" i="16"/>
  <c r="U149" i="16"/>
  <c r="U148" i="16"/>
  <c r="U147" i="16"/>
  <c r="U146" i="16"/>
  <c r="U145" i="16"/>
  <c r="U144" i="16"/>
  <c r="U143" i="16"/>
  <c r="U142" i="16"/>
  <c r="U141" i="16"/>
  <c r="U140" i="16"/>
  <c r="U139" i="16"/>
  <c r="U138" i="16"/>
  <c r="U137" i="16"/>
  <c r="U136" i="16"/>
  <c r="U135" i="16"/>
  <c r="U134" i="16"/>
  <c r="U133" i="16"/>
  <c r="U132" i="16"/>
  <c r="U131" i="16"/>
  <c r="U130" i="16"/>
  <c r="U129" i="16"/>
  <c r="U128" i="16"/>
  <c r="U127" i="16"/>
  <c r="U126" i="16"/>
  <c r="U125" i="16"/>
  <c r="U124" i="16"/>
  <c r="U123" i="16"/>
  <c r="U122" i="16"/>
  <c r="U121" i="16"/>
  <c r="U120" i="16"/>
  <c r="U119" i="16"/>
  <c r="U118" i="16"/>
  <c r="U117" i="16"/>
  <c r="U116" i="16"/>
  <c r="U115" i="16"/>
  <c r="U114" i="16"/>
  <c r="U113" i="16"/>
  <c r="U112" i="16"/>
  <c r="U111" i="16"/>
  <c r="U110" i="16"/>
  <c r="U109" i="16"/>
  <c r="U108" i="16"/>
  <c r="U107" i="16"/>
  <c r="U106" i="16"/>
  <c r="U105" i="16"/>
  <c r="U104" i="16"/>
  <c r="U103" i="16"/>
  <c r="U102" i="16"/>
  <c r="U101" i="16"/>
  <c r="U6" i="16"/>
  <c r="L6" i="26" l="1"/>
  <c r="J6" i="26" a="1"/>
  <c r="J6" i="26" s="1"/>
  <c r="U284" i="12"/>
  <c r="U283" i="12"/>
  <c r="U264" i="12"/>
  <c r="U184" i="12"/>
  <c r="U144" i="12"/>
  <c r="U124" i="12"/>
  <c r="U93" i="12"/>
  <c r="U294" i="12"/>
  <c r="U262" i="12"/>
  <c r="U242" i="12"/>
  <c r="U222" i="12"/>
  <c r="U214" i="12"/>
  <c r="U182" i="12"/>
  <c r="U162" i="12"/>
  <c r="U147" i="12"/>
  <c r="U127" i="12"/>
  <c r="U96" i="12"/>
  <c r="O9" i="3" l="1" a="1"/>
  <c r="K9" i="3" a="1"/>
  <c r="U42" i="12"/>
  <c r="U282" i="12"/>
  <c r="U153" i="12"/>
  <c r="U173" i="12"/>
  <c r="U193" i="12"/>
  <c r="U233" i="12"/>
  <c r="U273" i="12"/>
  <c r="U23" i="12"/>
  <c r="U36" i="12"/>
  <c r="U26" i="12"/>
  <c r="U145" i="12"/>
  <c r="U205" i="12"/>
  <c r="U265" i="12"/>
  <c r="U166" i="12"/>
  <c r="U226" i="12"/>
  <c r="U286" i="12"/>
  <c r="U236" i="12"/>
  <c r="U8" i="12"/>
  <c r="U247" i="12"/>
  <c r="U197" i="12"/>
  <c r="U168" i="12"/>
  <c r="U228" i="12"/>
  <c r="U278" i="12"/>
  <c r="U229" i="12"/>
  <c r="U6" i="12"/>
  <c r="U66" i="12"/>
  <c r="U125" i="12"/>
  <c r="U185" i="12"/>
  <c r="U245" i="12"/>
  <c r="U7" i="12"/>
  <c r="U87" i="12"/>
  <c r="U206" i="12"/>
  <c r="U246" i="12"/>
  <c r="U88" i="12"/>
  <c r="U157" i="12"/>
  <c r="U217" i="12"/>
  <c r="U277" i="12"/>
  <c r="U268" i="12"/>
  <c r="U91" i="12"/>
  <c r="U45" i="12"/>
  <c r="U46" i="12"/>
  <c r="U165" i="12"/>
  <c r="U27" i="12"/>
  <c r="U266" i="12"/>
  <c r="U167" i="12"/>
  <c r="U227" i="12"/>
  <c r="U287" i="12"/>
  <c r="U297" i="12"/>
  <c r="U208" i="12"/>
  <c r="U288" i="12"/>
  <c r="U74" i="12"/>
  <c r="U94" i="12"/>
  <c r="U17" i="12"/>
  <c r="U56" i="12"/>
  <c r="U154" i="12"/>
  <c r="U174" i="12"/>
  <c r="U194" i="12"/>
  <c r="U37" i="12"/>
  <c r="U57" i="12"/>
  <c r="U175" i="12"/>
  <c r="U19" i="12"/>
  <c r="U77" i="12"/>
  <c r="U116" i="12"/>
  <c r="U136" i="12"/>
  <c r="U156" i="12"/>
  <c r="U176" i="12"/>
  <c r="U196" i="12"/>
  <c r="U256" i="12"/>
  <c r="U28" i="12"/>
  <c r="U148" i="12"/>
  <c r="U89" i="12"/>
  <c r="U149" i="12"/>
  <c r="U110" i="12"/>
  <c r="U230" i="12"/>
  <c r="U119" i="12"/>
  <c r="U131" i="12"/>
  <c r="U191" i="12"/>
  <c r="U231" i="12"/>
  <c r="U251" i="12"/>
  <c r="U271" i="12"/>
  <c r="U291" i="12"/>
  <c r="U81" i="12"/>
  <c r="U101" i="12"/>
  <c r="U120" i="12"/>
  <c r="U140" i="12"/>
  <c r="U180" i="12"/>
  <c r="U248" i="12"/>
  <c r="U9" i="12"/>
  <c r="U129" i="12"/>
  <c r="U21" i="12"/>
  <c r="U10" i="12"/>
  <c r="U70" i="12"/>
  <c r="U130" i="12"/>
  <c r="U250" i="12"/>
  <c r="U80" i="12"/>
  <c r="U139" i="12"/>
  <c r="U11" i="12"/>
  <c r="U52" i="12"/>
  <c r="U212" i="12"/>
  <c r="U292" i="12"/>
  <c r="U24" i="12"/>
  <c r="U121" i="12"/>
  <c r="U281" i="12"/>
  <c r="U117" i="12"/>
  <c r="U237" i="12"/>
  <c r="U158" i="12"/>
  <c r="U90" i="12"/>
  <c r="U150" i="12"/>
  <c r="U41" i="12"/>
  <c r="U100" i="12"/>
  <c r="U279" i="12"/>
  <c r="U25" i="12"/>
  <c r="U44" i="12"/>
  <c r="U64" i="12"/>
  <c r="U152" i="12"/>
  <c r="U132" i="12"/>
  <c r="U134" i="12"/>
  <c r="U113" i="12"/>
  <c r="U133" i="12"/>
  <c r="U20" i="12"/>
  <c r="U76" i="12"/>
  <c r="U135" i="12"/>
  <c r="U192" i="12"/>
  <c r="U211" i="12"/>
  <c r="U98" i="12"/>
  <c r="U137" i="12"/>
  <c r="U213" i="12"/>
  <c r="U216" i="12"/>
  <c r="U61" i="12"/>
  <c r="U79" i="12"/>
  <c r="U99" i="12"/>
  <c r="U118" i="12"/>
  <c r="U177" i="12"/>
  <c r="U267" i="12"/>
  <c r="U285" i="12"/>
  <c r="U65" i="12"/>
  <c r="U141" i="12"/>
  <c r="U161" i="12"/>
  <c r="U235" i="12"/>
  <c r="U84" i="12"/>
  <c r="U104" i="12"/>
  <c r="U123" i="12"/>
  <c r="U181" i="12"/>
  <c r="U218" i="12"/>
  <c r="U47" i="12"/>
  <c r="U85" i="12"/>
  <c r="U105" i="12"/>
  <c r="U201" i="12"/>
  <c r="U219" i="12"/>
  <c r="U232" i="12"/>
  <c r="U48" i="12"/>
  <c r="U67" i="12"/>
  <c r="U86" i="12"/>
  <c r="U106" i="12"/>
  <c r="U164" i="12"/>
  <c r="U220" i="12"/>
  <c r="U238" i="12"/>
  <c r="U257" i="12"/>
  <c r="U31" i="12"/>
  <c r="U49" i="12"/>
  <c r="U68" i="12"/>
  <c r="U107" i="12"/>
  <c r="U126" i="12"/>
  <c r="U203" i="12"/>
  <c r="U221" i="12"/>
  <c r="U239" i="12"/>
  <c r="U258" i="12"/>
  <c r="U252" i="12"/>
  <c r="U254" i="12"/>
  <c r="U263" i="12"/>
  <c r="U32" i="12"/>
  <c r="U146" i="12"/>
  <c r="U204" i="12"/>
  <c r="U240" i="12"/>
  <c r="U259" i="12"/>
  <c r="U274" i="12"/>
  <c r="U62" i="12"/>
  <c r="U63" i="12"/>
  <c r="U13" i="12"/>
  <c r="U33" i="12"/>
  <c r="U51" i="12"/>
  <c r="U223" i="12"/>
  <c r="U241" i="12"/>
  <c r="U151" i="12"/>
  <c r="U253" i="12"/>
  <c r="U183" i="12"/>
  <c r="U14" i="12"/>
  <c r="U34" i="12"/>
  <c r="U71" i="12"/>
  <c r="U186" i="12"/>
  <c r="U224" i="12"/>
  <c r="U276" i="12"/>
  <c r="U82" i="12"/>
  <c r="U15" i="12"/>
  <c r="U187" i="12"/>
  <c r="U225" i="12"/>
  <c r="U261" i="12"/>
  <c r="U114" i="12"/>
  <c r="U97" i="12"/>
  <c r="U234" i="12"/>
  <c r="U43" i="12"/>
  <c r="U249" i="12"/>
  <c r="U16" i="12"/>
  <c r="U188" i="12"/>
  <c r="U207" i="12"/>
  <c r="U244" i="12"/>
  <c r="M6" i="26" a="1"/>
  <c r="M6" i="26" s="1"/>
  <c r="U103" i="12"/>
  <c r="U122" i="12"/>
  <c r="U142" i="12"/>
  <c r="U50" i="12"/>
  <c r="U69" i="12"/>
  <c r="U143" i="12"/>
  <c r="U272" i="12"/>
  <c r="U171" i="12"/>
  <c r="U111" i="12"/>
  <c r="U202" i="12"/>
  <c r="U169" i="12"/>
  <c r="U290" i="12"/>
  <c r="U172" i="12"/>
  <c r="U270" i="12"/>
  <c r="U170" i="12"/>
  <c r="U269" i="12"/>
  <c r="U112" i="12"/>
  <c r="U289" i="12"/>
  <c r="U209" i="12"/>
  <c r="U210" i="12"/>
  <c r="U29" i="12"/>
  <c r="U83" i="12"/>
  <c r="U189" i="12"/>
  <c r="U255" i="12"/>
  <c r="U12" i="12"/>
  <c r="U30" i="12"/>
  <c r="U102" i="12"/>
  <c r="U138" i="12"/>
  <c r="U155" i="12"/>
  <c r="U190" i="12"/>
  <c r="U159" i="12"/>
  <c r="U178" i="12"/>
  <c r="U275" i="12"/>
  <c r="U35" i="12"/>
  <c r="U53" i="12"/>
  <c r="U160" i="12"/>
  <c r="U179" i="12"/>
  <c r="U243" i="12"/>
  <c r="U260" i="12"/>
  <c r="U293" i="12"/>
  <c r="U18" i="12"/>
  <c r="U54" i="12"/>
  <c r="U108" i="12"/>
  <c r="U195" i="12"/>
  <c r="U109" i="12"/>
  <c r="U92" i="12"/>
  <c r="U39" i="12"/>
  <c r="U75" i="12"/>
  <c r="U198" i="12"/>
  <c r="U215" i="12"/>
  <c r="U280" i="12"/>
  <c r="U295" i="12"/>
  <c r="U128" i="12"/>
  <c r="U296" i="12"/>
  <c r="U55" i="12"/>
  <c r="U72" i="12"/>
  <c r="U73" i="12"/>
  <c r="U163" i="12"/>
  <c r="U38" i="12"/>
  <c r="U22" i="12"/>
  <c r="U40" i="12"/>
  <c r="U58" i="12"/>
  <c r="U59" i="12"/>
  <c r="U95" i="12"/>
  <c r="U199" i="12"/>
  <c r="U60" i="12"/>
  <c r="U200" i="12"/>
  <c r="U298" i="12"/>
  <c r="U78" i="12"/>
  <c r="U115" i="12"/>
  <c r="U299" i="12"/>
  <c r="Q9" i="3" l="1"/>
  <c r="I9" i="3"/>
  <c r="L9" i="3"/>
  <c r="V34" i="22" s="1"/>
  <c r="M9" i="3"/>
  <c r="H9" i="3"/>
  <c r="P9" i="3"/>
  <c r="W34" i="22" s="1"/>
  <c r="O9" i="3"/>
  <c r="K9" i="3"/>
  <c r="S9" i="3"/>
  <c r="D32" i="31" l="1"/>
  <c r="H4" i="30"/>
  <c r="I4" i="30" s="1"/>
  <c r="U34" i="22"/>
  <c r="R9" i="3" a="1"/>
  <c r="R9" i="3" s="1"/>
  <c r="J9" i="3" a="1"/>
  <c r="J9" i="3" s="1"/>
  <c r="N9" i="3" a="1"/>
  <c r="N9" i="3" s="1"/>
  <c r="AA392" i="24"/>
  <c r="AA391" i="24"/>
  <c r="AA390" i="24"/>
  <c r="AA389" i="24"/>
  <c r="AA388" i="24"/>
  <c r="AA387" i="24"/>
  <c r="AA386" i="24"/>
  <c r="AA385" i="24"/>
  <c r="AA384" i="24"/>
  <c r="AA383" i="24"/>
  <c r="AA382" i="24"/>
  <c r="AA381" i="24"/>
  <c r="AA380" i="24"/>
  <c r="AA379" i="24"/>
  <c r="AA378" i="24"/>
  <c r="AA377" i="24"/>
  <c r="AA376" i="24"/>
  <c r="AA375" i="24"/>
  <c r="AA374" i="24"/>
  <c r="AA373" i="24"/>
  <c r="AA372" i="24"/>
  <c r="AA371" i="24"/>
  <c r="AA370" i="24"/>
  <c r="AA369" i="24"/>
  <c r="AA368" i="24"/>
  <c r="AA367" i="24"/>
  <c r="AA366" i="24"/>
  <c r="AA365" i="24"/>
  <c r="AA364" i="24"/>
  <c r="AA363" i="24"/>
  <c r="AA362" i="24"/>
  <c r="AA361" i="24"/>
  <c r="AA360" i="24"/>
  <c r="AA359" i="24"/>
  <c r="AA358" i="24"/>
  <c r="AA357" i="24"/>
  <c r="AA356" i="24"/>
  <c r="AA355" i="24"/>
  <c r="AA354" i="24"/>
  <c r="AA353" i="24"/>
  <c r="AA352" i="24"/>
  <c r="AA351" i="24"/>
  <c r="AA350" i="24"/>
  <c r="AA349" i="24"/>
  <c r="AA348" i="24"/>
  <c r="AA347" i="24"/>
  <c r="AA346" i="24"/>
  <c r="AA345" i="24"/>
  <c r="AA344" i="24"/>
  <c r="AA343" i="24"/>
  <c r="AA342" i="24"/>
  <c r="AA341" i="24"/>
  <c r="AA340" i="24"/>
  <c r="AA339" i="24"/>
  <c r="AA338" i="24"/>
  <c r="AA337" i="24"/>
  <c r="AA336" i="24"/>
  <c r="AA335" i="24"/>
  <c r="AA334" i="24"/>
  <c r="AA333" i="24"/>
  <c r="AA332" i="24"/>
  <c r="AA331" i="24"/>
  <c r="AA330" i="24"/>
  <c r="AA329" i="24"/>
  <c r="AA328" i="24"/>
  <c r="AA327" i="24"/>
  <c r="AA326" i="24"/>
  <c r="AA325" i="24"/>
  <c r="AA324" i="24"/>
  <c r="AA323" i="24"/>
  <c r="AA322" i="24"/>
  <c r="AA321" i="24"/>
  <c r="AA320" i="24"/>
  <c r="AA319" i="24"/>
  <c r="AA318" i="24"/>
  <c r="AA317" i="24"/>
  <c r="AA316" i="24"/>
  <c r="AA315" i="24"/>
  <c r="AA314" i="24"/>
  <c r="AA313" i="24"/>
  <c r="AA312" i="24"/>
  <c r="AA311" i="24"/>
  <c r="AA310" i="24"/>
  <c r="AA309" i="24"/>
  <c r="AA308" i="24"/>
  <c r="AA307" i="24"/>
  <c r="AA306" i="24"/>
  <c r="AA305" i="24"/>
  <c r="AA304" i="24"/>
  <c r="AA303" i="24"/>
  <c r="AA302" i="24"/>
  <c r="AA301" i="24"/>
  <c r="AA300" i="24"/>
  <c r="AA299" i="24"/>
  <c r="AA298" i="24"/>
  <c r="AA297" i="24"/>
  <c r="AA296" i="24"/>
  <c r="AA295" i="24"/>
  <c r="AA294" i="24"/>
  <c r="AA293" i="24"/>
  <c r="AA292" i="24"/>
  <c r="AA291" i="24"/>
  <c r="AA290" i="24"/>
  <c r="AA289" i="24"/>
  <c r="AA288" i="24"/>
  <c r="AA287" i="24"/>
  <c r="AA286" i="24"/>
  <c r="AA285" i="24"/>
  <c r="AA284" i="24"/>
  <c r="AA283" i="24"/>
  <c r="AA282" i="24"/>
  <c r="AA281" i="24"/>
  <c r="AA280" i="24"/>
  <c r="AA279" i="24"/>
  <c r="AA278" i="24"/>
  <c r="AA277" i="24"/>
  <c r="AA276" i="24"/>
  <c r="AA275" i="24"/>
  <c r="AA274" i="24"/>
  <c r="AA273" i="24"/>
  <c r="AA272" i="24"/>
  <c r="AA271" i="24"/>
  <c r="AA270" i="24"/>
  <c r="AA269" i="24"/>
  <c r="AA268" i="24"/>
  <c r="AA267" i="24"/>
  <c r="AA266" i="24"/>
  <c r="AA265" i="24"/>
  <c r="AA264" i="24"/>
  <c r="AA263" i="24"/>
  <c r="AA262" i="24"/>
  <c r="AA261" i="24"/>
  <c r="AA260" i="24"/>
  <c r="AA259" i="24"/>
  <c r="AA258" i="24"/>
  <c r="AA257" i="24"/>
  <c r="AA256" i="24"/>
  <c r="AA255" i="24"/>
  <c r="AA254" i="24"/>
  <c r="AA253" i="24"/>
  <c r="AA252" i="24"/>
  <c r="AA251" i="24"/>
  <c r="AA250" i="24"/>
  <c r="AA249" i="24"/>
  <c r="AA248" i="24"/>
  <c r="AA247" i="24"/>
  <c r="AA246" i="24"/>
  <c r="AA245" i="24"/>
  <c r="AA244" i="24"/>
  <c r="AA243" i="24"/>
  <c r="AA242" i="24"/>
  <c r="AA241" i="24"/>
  <c r="AA240" i="24"/>
  <c r="AA239" i="24"/>
  <c r="AA238" i="24"/>
  <c r="AA237" i="24"/>
  <c r="AA236" i="24"/>
  <c r="AA235" i="24"/>
  <c r="AA234" i="24"/>
  <c r="AA233" i="24"/>
  <c r="AA232" i="24"/>
  <c r="AA231" i="24"/>
  <c r="AA230" i="24"/>
  <c r="AA229" i="24"/>
  <c r="AA228" i="24"/>
  <c r="AA227" i="24"/>
  <c r="AA226" i="24"/>
  <c r="AA225" i="24"/>
  <c r="AA224" i="24"/>
  <c r="AA223" i="24"/>
  <c r="AA222" i="24"/>
  <c r="AA221" i="24"/>
  <c r="AA220" i="24"/>
  <c r="AA219" i="24"/>
  <c r="AA218" i="24"/>
  <c r="AA217" i="24"/>
  <c r="AA216" i="24"/>
  <c r="AA215" i="24"/>
  <c r="AA214" i="24"/>
  <c r="AA213" i="24"/>
  <c r="AA212" i="24"/>
  <c r="AA211" i="24"/>
  <c r="AA210" i="24"/>
  <c r="AA209" i="24"/>
  <c r="AA208" i="24"/>
  <c r="AA207" i="24"/>
  <c r="AA206" i="24"/>
  <c r="AA205" i="24"/>
  <c r="AA204" i="24"/>
  <c r="AA203" i="24"/>
  <c r="AA202" i="24"/>
  <c r="AA201" i="24"/>
  <c r="AA200" i="24"/>
  <c r="AA199" i="24"/>
  <c r="AA198" i="24"/>
  <c r="AA197" i="24"/>
  <c r="AA196" i="24"/>
  <c r="AA195" i="24"/>
  <c r="AA194" i="24"/>
  <c r="AA193" i="24"/>
  <c r="AA192" i="24"/>
  <c r="AA191" i="24"/>
  <c r="AA190" i="24"/>
  <c r="AA189" i="24"/>
  <c r="AA188" i="24"/>
  <c r="AA187" i="24"/>
  <c r="AA186" i="24"/>
  <c r="AA185" i="24"/>
  <c r="AA184" i="24"/>
  <c r="AA183" i="24"/>
  <c r="AA182" i="24"/>
  <c r="AA181" i="24"/>
  <c r="AA180" i="24"/>
  <c r="AA179" i="24"/>
  <c r="AA178" i="24"/>
  <c r="AA177" i="24"/>
  <c r="AA176" i="24"/>
  <c r="AA175" i="24"/>
  <c r="AA174" i="24"/>
  <c r="AA173" i="24"/>
  <c r="AA172" i="24"/>
  <c r="AA171" i="24"/>
  <c r="AA170" i="24"/>
  <c r="AA169" i="24"/>
  <c r="AA168" i="24"/>
  <c r="AA167" i="24"/>
  <c r="AA166" i="24"/>
  <c r="AA165" i="24"/>
  <c r="AA164" i="24"/>
  <c r="AA163" i="24"/>
  <c r="AA162" i="24"/>
  <c r="AA161" i="24"/>
  <c r="AA160" i="24"/>
  <c r="AA159" i="24"/>
  <c r="AA158" i="24"/>
  <c r="AA157" i="24"/>
  <c r="AA156" i="24"/>
  <c r="AA155" i="24"/>
  <c r="AA154" i="24"/>
  <c r="AA153" i="24"/>
  <c r="AA152" i="24"/>
  <c r="AA151" i="24"/>
  <c r="AA150" i="24"/>
  <c r="AA149" i="24"/>
  <c r="AA148" i="24"/>
  <c r="AA147" i="24"/>
  <c r="AA146" i="24"/>
  <c r="AA145" i="24"/>
  <c r="AA144" i="24"/>
  <c r="AA143" i="24"/>
  <c r="AA142" i="24"/>
  <c r="AA141" i="24"/>
  <c r="AA140" i="24"/>
  <c r="AA139" i="24"/>
  <c r="AA138" i="24"/>
  <c r="AA137" i="24"/>
  <c r="AA136" i="24"/>
  <c r="AA135" i="24"/>
  <c r="AA134" i="24"/>
  <c r="AA133" i="24"/>
  <c r="AA132" i="24"/>
  <c r="AA131" i="24"/>
  <c r="AA130" i="24"/>
  <c r="AA129" i="24"/>
  <c r="AA128" i="24"/>
  <c r="AA127" i="24"/>
  <c r="AA126" i="24"/>
  <c r="AA125" i="24"/>
  <c r="AA124" i="24"/>
  <c r="AA123" i="24"/>
  <c r="AA122" i="24"/>
  <c r="AA121" i="24"/>
  <c r="AA120" i="24"/>
  <c r="AA119" i="24"/>
  <c r="AA118" i="24"/>
  <c r="AA117" i="24"/>
  <c r="AA116" i="24"/>
  <c r="AA115" i="24"/>
  <c r="AA114" i="24"/>
  <c r="AA113" i="24"/>
  <c r="AA112" i="24"/>
  <c r="AA111" i="24"/>
  <c r="AA110" i="24"/>
  <c r="AA109" i="24"/>
  <c r="AA108" i="24"/>
  <c r="AA107" i="24"/>
  <c r="AA106" i="24"/>
  <c r="AA105" i="24"/>
  <c r="AA104" i="24"/>
  <c r="AA103" i="24"/>
  <c r="AA102" i="24"/>
  <c r="AA101" i="24"/>
  <c r="AA100" i="24"/>
  <c r="AA99" i="24"/>
  <c r="AA98" i="24"/>
  <c r="AA97" i="24"/>
  <c r="AA96" i="24"/>
  <c r="AA95" i="24"/>
  <c r="AA94" i="24"/>
  <c r="AA93" i="24"/>
  <c r="AA92" i="24"/>
  <c r="AA91" i="24"/>
  <c r="AA90" i="24"/>
  <c r="AA89" i="24"/>
  <c r="AA88" i="24"/>
  <c r="AA87" i="24"/>
  <c r="AA86" i="24"/>
  <c r="AA85" i="24"/>
  <c r="AA84" i="24"/>
  <c r="AA83" i="24"/>
  <c r="AA82" i="24"/>
  <c r="AA81" i="24"/>
  <c r="AA80" i="24"/>
  <c r="AA79" i="24"/>
  <c r="AA78" i="24"/>
  <c r="AA77" i="24"/>
  <c r="AA76" i="24"/>
  <c r="AA75" i="24"/>
  <c r="AA74" i="24"/>
  <c r="AA73" i="24"/>
  <c r="AA72" i="24"/>
  <c r="AA71" i="24"/>
  <c r="AA70" i="24"/>
  <c r="AA69" i="24"/>
  <c r="AA68" i="24"/>
  <c r="AA67" i="24"/>
  <c r="AA66" i="24"/>
  <c r="AA65" i="24"/>
  <c r="AA64" i="24"/>
  <c r="AA63" i="24"/>
  <c r="AA62" i="24"/>
  <c r="AA61" i="24"/>
  <c r="AA60" i="24"/>
  <c r="AA59" i="24"/>
  <c r="AA58" i="24"/>
  <c r="AA57" i="24"/>
  <c r="AA56" i="24"/>
  <c r="AA55" i="24"/>
  <c r="AA54" i="24"/>
  <c r="AA53" i="24"/>
  <c r="AA52" i="24"/>
  <c r="AA51" i="24"/>
  <c r="AA50" i="24"/>
  <c r="AA49" i="24"/>
  <c r="AA48" i="24"/>
  <c r="AA47" i="24"/>
  <c r="AA46" i="24"/>
  <c r="AA45" i="24"/>
  <c r="AA44" i="24"/>
  <c r="AA43" i="24"/>
  <c r="AA42" i="24"/>
  <c r="AA41" i="24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25" i="24"/>
  <c r="AA24" i="24"/>
  <c r="AA23" i="24"/>
  <c r="AA22" i="24"/>
  <c r="AA21" i="24"/>
  <c r="AA20" i="24"/>
  <c r="AA19" i="24"/>
  <c r="AA18" i="24"/>
  <c r="AA17" i="24"/>
  <c r="AA16" i="24"/>
  <c r="AA15" i="24"/>
  <c r="AA14" i="24"/>
  <c r="AA13" i="24"/>
  <c r="AA12" i="24"/>
  <c r="AA11" i="24"/>
  <c r="AA10" i="24"/>
  <c r="AA9" i="24"/>
  <c r="AA8" i="24"/>
  <c r="AA7" i="24"/>
  <c r="AA6" i="24"/>
  <c r="AA5" i="24"/>
  <c r="AH392" i="24"/>
  <c r="AI392" i="24" s="1"/>
  <c r="AC392" i="24"/>
  <c r="AD392" i="24" s="1"/>
  <c r="AH390" i="24"/>
  <c r="AI390" i="24" s="1"/>
  <c r="AC390" i="24"/>
  <c r="AD390" i="24" s="1"/>
  <c r="AC389" i="24"/>
  <c r="AD389" i="24" s="1"/>
  <c r="AH388" i="24"/>
  <c r="AI388" i="24" s="1"/>
  <c r="AH387" i="24"/>
  <c r="AI387" i="24" s="1"/>
  <c r="AC387" i="24"/>
  <c r="AD387" i="24" s="1"/>
  <c r="AH386" i="24"/>
  <c r="AI386" i="24" s="1"/>
  <c r="AC386" i="24"/>
  <c r="AD386" i="24" s="1"/>
  <c r="AH385" i="24"/>
  <c r="AI385" i="24" s="1"/>
  <c r="AC385" i="24"/>
  <c r="AD385" i="24" s="1"/>
  <c r="AH384" i="24"/>
  <c r="AI384" i="24" s="1"/>
  <c r="AC384" i="24"/>
  <c r="AD384" i="24" s="1"/>
  <c r="AC383" i="24"/>
  <c r="AD383" i="24" s="1"/>
  <c r="AH382" i="24"/>
  <c r="AI382" i="24" s="1"/>
  <c r="AC382" i="24"/>
  <c r="AD382" i="24" s="1"/>
  <c r="AH381" i="24"/>
  <c r="AI381" i="24" s="1"/>
  <c r="AH380" i="24"/>
  <c r="AI380" i="24" s="1"/>
  <c r="AC380" i="24"/>
  <c r="AD380" i="24" s="1"/>
  <c r="AC379" i="24"/>
  <c r="AD379" i="24" s="1"/>
  <c r="AH378" i="24"/>
  <c r="AI378" i="24" s="1"/>
  <c r="AC378" i="24"/>
  <c r="AD378" i="24" s="1"/>
  <c r="AH376" i="24"/>
  <c r="AI376" i="24" s="1"/>
  <c r="AC376" i="24"/>
  <c r="AD376" i="24" s="1"/>
  <c r="AH375" i="24"/>
  <c r="AI375" i="24" s="1"/>
  <c r="AC375" i="24"/>
  <c r="AD375" i="24" s="1"/>
  <c r="AC374" i="24"/>
  <c r="AD374" i="24" s="1"/>
  <c r="AH373" i="24"/>
  <c r="AI373" i="24" s="1"/>
  <c r="AH372" i="24"/>
  <c r="AI372" i="24" s="1"/>
  <c r="AH370" i="24"/>
  <c r="AI370" i="24" s="1"/>
  <c r="AC370" i="24"/>
  <c r="AD370" i="24" s="1"/>
  <c r="AH369" i="24"/>
  <c r="AI369" i="24" s="1"/>
  <c r="AC368" i="24"/>
  <c r="AD368" i="24" s="1"/>
  <c r="AH367" i="24"/>
  <c r="AI367" i="24" s="1"/>
  <c r="AC367" i="24"/>
  <c r="AD367" i="24" s="1"/>
  <c r="AH366" i="24"/>
  <c r="AI366" i="24" s="1"/>
  <c r="AH365" i="24"/>
  <c r="AI365" i="24" s="1"/>
  <c r="AC365" i="24"/>
  <c r="AD365" i="24" s="1"/>
  <c r="AH364" i="24"/>
  <c r="AI364" i="24" s="1"/>
  <c r="AC364" i="24"/>
  <c r="AD364" i="24" s="1"/>
  <c r="AH363" i="24"/>
  <c r="AI363" i="24" s="1"/>
  <c r="AH362" i="24"/>
  <c r="AI362" i="24" s="1"/>
  <c r="AC362" i="24"/>
  <c r="AD362" i="24" s="1"/>
  <c r="AC361" i="24"/>
  <c r="AD361" i="24" s="1"/>
  <c r="AC360" i="24"/>
  <c r="AD360" i="24" s="1"/>
  <c r="AC358" i="24"/>
  <c r="AD358" i="24" s="1"/>
  <c r="AH357" i="24"/>
  <c r="AI357" i="24" s="1"/>
  <c r="AC357" i="24"/>
  <c r="AD357" i="24" s="1"/>
  <c r="AH356" i="24"/>
  <c r="AI356" i="24" s="1"/>
  <c r="AH355" i="24"/>
  <c r="AI355" i="24" s="1"/>
  <c r="AC355" i="24"/>
  <c r="AD355" i="24" s="1"/>
  <c r="AH354" i="24"/>
  <c r="AI354" i="24" s="1"/>
  <c r="AC354" i="24"/>
  <c r="AD354" i="24" s="1"/>
  <c r="AH353" i="24"/>
  <c r="AI353" i="24" s="1"/>
  <c r="AH352" i="24"/>
  <c r="AI352" i="24" s="1"/>
  <c r="AC352" i="24"/>
  <c r="AD352" i="24" s="1"/>
  <c r="AH351" i="24"/>
  <c r="AI351" i="24" s="1"/>
  <c r="AH350" i="24"/>
  <c r="AI350" i="24" s="1"/>
  <c r="AC350" i="24"/>
  <c r="AD350" i="24" s="1"/>
  <c r="AC349" i="24"/>
  <c r="AD349" i="24" s="1"/>
  <c r="AC348" i="24"/>
  <c r="AD348" i="24" s="1"/>
  <c r="AH347" i="24"/>
  <c r="AI347" i="24" s="1"/>
  <c r="AC347" i="24"/>
  <c r="AD347" i="24" s="1"/>
  <c r="AH346" i="24"/>
  <c r="AI346" i="24" s="1"/>
  <c r="AC346" i="24"/>
  <c r="AD346" i="24" s="1"/>
  <c r="AH345" i="24"/>
  <c r="AI345" i="24" s="1"/>
  <c r="AC345" i="24"/>
  <c r="AD345" i="24" s="1"/>
  <c r="AC344" i="24"/>
  <c r="AD344" i="24" s="1"/>
  <c r="AH343" i="24"/>
  <c r="AI343" i="24" s="1"/>
  <c r="AH342" i="24"/>
  <c r="AI342" i="24" s="1"/>
  <c r="AC342" i="24"/>
  <c r="AD342" i="24" s="1"/>
  <c r="AH341" i="24"/>
  <c r="AI341" i="24" s="1"/>
  <c r="AC341" i="24"/>
  <c r="AD341" i="24" s="1"/>
  <c r="AH340" i="24"/>
  <c r="AI340" i="24" s="1"/>
  <c r="AC340" i="24"/>
  <c r="AD340" i="24" s="1"/>
  <c r="AH339" i="24"/>
  <c r="AI339" i="24" s="1"/>
  <c r="AH338" i="24"/>
  <c r="AI338" i="24" s="1"/>
  <c r="AC338" i="24"/>
  <c r="AD338" i="24" s="1"/>
  <c r="AC337" i="24"/>
  <c r="AD337" i="24" s="1"/>
  <c r="AH336" i="24"/>
  <c r="AI336" i="24" s="1"/>
  <c r="AC336" i="24"/>
  <c r="AD336" i="24" s="1"/>
  <c r="AH335" i="24"/>
  <c r="AI335" i="24" s="1"/>
  <c r="AC335" i="24"/>
  <c r="AD335" i="24" s="1"/>
  <c r="AH334" i="24"/>
  <c r="AI334" i="24" s="1"/>
  <c r="AC334" i="24"/>
  <c r="AD334" i="24" s="1"/>
  <c r="AH333" i="24"/>
  <c r="AI333" i="24" s="1"/>
  <c r="AC333" i="24"/>
  <c r="AD333" i="24" s="1"/>
  <c r="AH332" i="24"/>
  <c r="AI332" i="24" s="1"/>
  <c r="AC331" i="24"/>
  <c r="AD331" i="24" s="1"/>
  <c r="AH330" i="24"/>
  <c r="AI330" i="24" s="1"/>
  <c r="AC330" i="24"/>
  <c r="AD330" i="24" s="1"/>
  <c r="AH329" i="24"/>
  <c r="AI329" i="24" s="1"/>
  <c r="AH328" i="24"/>
  <c r="AI328" i="24" s="1"/>
  <c r="AH327" i="24"/>
  <c r="AI327" i="24" s="1"/>
  <c r="AC327" i="24"/>
  <c r="AD327" i="24" s="1"/>
  <c r="AH326" i="24"/>
  <c r="AI326" i="24" s="1"/>
  <c r="AC326" i="24"/>
  <c r="AD326" i="24" s="1"/>
  <c r="AH325" i="24"/>
  <c r="AI325" i="24" s="1"/>
  <c r="AH324" i="24"/>
  <c r="AI324" i="24" s="1"/>
  <c r="AC324" i="24"/>
  <c r="AD324" i="24" s="1"/>
  <c r="AH323" i="24"/>
  <c r="AI323" i="24" s="1"/>
  <c r="AC323" i="24"/>
  <c r="AD323" i="24" s="1"/>
  <c r="AH321" i="24"/>
  <c r="AI321" i="24" s="1"/>
  <c r="AC320" i="24"/>
  <c r="AD320" i="24" s="1"/>
  <c r="AH319" i="24"/>
  <c r="AI319" i="24" s="1"/>
  <c r="AC319" i="24"/>
  <c r="AD319" i="24" s="1"/>
  <c r="AH318" i="24"/>
  <c r="AI318" i="24" s="1"/>
  <c r="AC318" i="24"/>
  <c r="AD318" i="24" s="1"/>
  <c r="AH317" i="24"/>
  <c r="AI317" i="24" s="1"/>
  <c r="AH316" i="24"/>
  <c r="AI316" i="24" s="1"/>
  <c r="AH315" i="24"/>
  <c r="AI315" i="24" s="1"/>
  <c r="AC315" i="24"/>
  <c r="AD315" i="24" s="1"/>
  <c r="AC314" i="24"/>
  <c r="AD314" i="24" s="1"/>
  <c r="AH313" i="24"/>
  <c r="AI313" i="24" s="1"/>
  <c r="AC313" i="24"/>
  <c r="AD313" i="24" s="1"/>
  <c r="AH312" i="24"/>
  <c r="AI312" i="24" s="1"/>
  <c r="AC312" i="24"/>
  <c r="AD312" i="24" s="1"/>
  <c r="AC311" i="24"/>
  <c r="AD311" i="24" s="1"/>
  <c r="AH310" i="24"/>
  <c r="AI310" i="24" s="1"/>
  <c r="AH309" i="24"/>
  <c r="AI309" i="24" s="1"/>
  <c r="AC308" i="24"/>
  <c r="AD308" i="24" s="1"/>
  <c r="AC307" i="24"/>
  <c r="AD307" i="24" s="1"/>
  <c r="AH306" i="24"/>
  <c r="AI306" i="24" s="1"/>
  <c r="AH305" i="24"/>
  <c r="AI305" i="24" s="1"/>
  <c r="AH304" i="24"/>
  <c r="AI304" i="24" s="1"/>
  <c r="AH303" i="24"/>
  <c r="AI303" i="24" s="1"/>
  <c r="AH302" i="24"/>
  <c r="AI302" i="24" s="1"/>
  <c r="AH301" i="24"/>
  <c r="AI301" i="24" s="1"/>
  <c r="AC301" i="24"/>
  <c r="AD301" i="24" s="1"/>
  <c r="AH300" i="24"/>
  <c r="AI300" i="24" s="1"/>
  <c r="AC300" i="24"/>
  <c r="AD300" i="24" s="1"/>
  <c r="AC299" i="24"/>
  <c r="AD299" i="24" s="1"/>
  <c r="AH298" i="24"/>
  <c r="AI298" i="24" s="1"/>
  <c r="AC298" i="24"/>
  <c r="AD298" i="24" s="1"/>
  <c r="AH296" i="24"/>
  <c r="AI296" i="24" s="1"/>
  <c r="AH295" i="24"/>
  <c r="AI295" i="24" s="1"/>
  <c r="AC295" i="24"/>
  <c r="AD295" i="24" s="1"/>
  <c r="AH294" i="24"/>
  <c r="AI294" i="24" s="1"/>
  <c r="AC294" i="24"/>
  <c r="AD294" i="24" s="1"/>
  <c r="AH293" i="24"/>
  <c r="AI293" i="24" s="1"/>
  <c r="AC293" i="24"/>
  <c r="AD293" i="24" s="1"/>
  <c r="AC292" i="24"/>
  <c r="AD292" i="24" s="1"/>
  <c r="AH291" i="24"/>
  <c r="AI291" i="24" s="1"/>
  <c r="AH290" i="24"/>
  <c r="AI290" i="24" s="1"/>
  <c r="AC290" i="24"/>
  <c r="AD290" i="24" s="1"/>
  <c r="AH289" i="24"/>
  <c r="AI289" i="24" s="1"/>
  <c r="AC289" i="24"/>
  <c r="AD289" i="24" s="1"/>
  <c r="AC288" i="24"/>
  <c r="AD288" i="24" s="1"/>
  <c r="AH287" i="24"/>
  <c r="AI287" i="24" s="1"/>
  <c r="AH286" i="24"/>
  <c r="AI286" i="24" s="1"/>
  <c r="AC286" i="24"/>
  <c r="AD286" i="24" s="1"/>
  <c r="AC285" i="24"/>
  <c r="AD285" i="24" s="1"/>
  <c r="AH284" i="24"/>
  <c r="AI284" i="24" s="1"/>
  <c r="AC284" i="24"/>
  <c r="AD284" i="24" s="1"/>
  <c r="AH283" i="24"/>
  <c r="AI283" i="24" s="1"/>
  <c r="AH282" i="24"/>
  <c r="AI282" i="24" s="1"/>
  <c r="AC282" i="24"/>
  <c r="AD282" i="24" s="1"/>
  <c r="AH281" i="24"/>
  <c r="AI281" i="24" s="1"/>
  <c r="AH280" i="24"/>
  <c r="AI280" i="24" s="1"/>
  <c r="AC280" i="24"/>
  <c r="AD280" i="24" s="1"/>
  <c r="AH279" i="24"/>
  <c r="AI279" i="24" s="1"/>
  <c r="AC278" i="24"/>
  <c r="AD278" i="24" s="1"/>
  <c r="AH276" i="24"/>
  <c r="AI276" i="24" s="1"/>
  <c r="AH275" i="24"/>
  <c r="AI275" i="24" s="1"/>
  <c r="AC275" i="24"/>
  <c r="AD275" i="24" s="1"/>
  <c r="AH274" i="24"/>
  <c r="AI274" i="24" s="1"/>
  <c r="AC274" i="24"/>
  <c r="AD274" i="24" s="1"/>
  <c r="AH272" i="24"/>
  <c r="AI272" i="24" s="1"/>
  <c r="AC271" i="24"/>
  <c r="AD271" i="24" s="1"/>
  <c r="AH270" i="24"/>
  <c r="AI270" i="24" s="1"/>
  <c r="AC270" i="24"/>
  <c r="AD270" i="24" s="1"/>
  <c r="AH268" i="24"/>
  <c r="AI268" i="24" s="1"/>
  <c r="AC268" i="24"/>
  <c r="AD268" i="24" s="1"/>
  <c r="AH267" i="24"/>
  <c r="AI267" i="24" s="1"/>
  <c r="AC267" i="24"/>
  <c r="AD267" i="24" s="1"/>
  <c r="AH266" i="24"/>
  <c r="AI266" i="24" s="1"/>
  <c r="AC266" i="24"/>
  <c r="AD266" i="24" s="1"/>
  <c r="AH265" i="24"/>
  <c r="AI265" i="24" s="1"/>
  <c r="AC265" i="24"/>
  <c r="AD265" i="24" s="1"/>
  <c r="AC264" i="24"/>
  <c r="AD264" i="24" s="1"/>
  <c r="AH263" i="24"/>
  <c r="AI263" i="24" s="1"/>
  <c r="AC263" i="24"/>
  <c r="AD263" i="24" s="1"/>
  <c r="AH262" i="24"/>
  <c r="AI262" i="24" s="1"/>
  <c r="AC262" i="24"/>
  <c r="AD262" i="24" s="1"/>
  <c r="AH261" i="24"/>
  <c r="AI261" i="24" s="1"/>
  <c r="AH260" i="24"/>
  <c r="AI260" i="24" s="1"/>
  <c r="AC260" i="24"/>
  <c r="AD260" i="24" s="1"/>
  <c r="AH259" i="24"/>
  <c r="AI259" i="24" s="1"/>
  <c r="AC259" i="24"/>
  <c r="AD259" i="24" s="1"/>
  <c r="AC258" i="24"/>
  <c r="AD258" i="24" s="1"/>
  <c r="AC257" i="24"/>
  <c r="AD257" i="24" s="1"/>
  <c r="AH256" i="24"/>
  <c r="AI256" i="24" s="1"/>
  <c r="AH255" i="24"/>
  <c r="AI255" i="24" s="1"/>
  <c r="AH254" i="24"/>
  <c r="AI254" i="24" s="1"/>
  <c r="AC254" i="24"/>
  <c r="AD254" i="24" s="1"/>
  <c r="AH251" i="24"/>
  <c r="AI251" i="24" s="1"/>
  <c r="AC251" i="24"/>
  <c r="AD251" i="24" s="1"/>
  <c r="AC250" i="24"/>
  <c r="AD250" i="24" s="1"/>
  <c r="AC249" i="24"/>
  <c r="AD249" i="24" s="1"/>
  <c r="AH248" i="24"/>
  <c r="AI248" i="24" s="1"/>
  <c r="AH247" i="24"/>
  <c r="AI247" i="24" s="1"/>
  <c r="AC247" i="24"/>
  <c r="AD247" i="24" s="1"/>
  <c r="AH246" i="24"/>
  <c r="AI246" i="24" s="1"/>
  <c r="AH245" i="24"/>
  <c r="AI245" i="24" s="1"/>
  <c r="AH244" i="24"/>
  <c r="AI244" i="24" s="1"/>
  <c r="AC243" i="24"/>
  <c r="AD243" i="24" s="1"/>
  <c r="AH242" i="24"/>
  <c r="AI242" i="24" s="1"/>
  <c r="AC242" i="24"/>
  <c r="AD242" i="24" s="1"/>
  <c r="AH240" i="24"/>
  <c r="AI240" i="24" s="1"/>
  <c r="AC240" i="24"/>
  <c r="AD240" i="24" s="1"/>
  <c r="AH239" i="24"/>
  <c r="AI239" i="24" s="1"/>
  <c r="AC239" i="24"/>
  <c r="AD239" i="24" s="1"/>
  <c r="AH238" i="24"/>
  <c r="AI238" i="24" s="1"/>
  <c r="AC238" i="24"/>
  <c r="AD238" i="24" s="1"/>
  <c r="AC237" i="24"/>
  <c r="AD237" i="24" s="1"/>
  <c r="AH235" i="24"/>
  <c r="AI235" i="24" s="1"/>
  <c r="AH234" i="24"/>
  <c r="AI234" i="24" s="1"/>
  <c r="AC234" i="24"/>
  <c r="AD234" i="24" s="1"/>
  <c r="AH232" i="24"/>
  <c r="AI232" i="24" s="1"/>
  <c r="AC232" i="24"/>
  <c r="AD232" i="24" s="1"/>
  <c r="AH231" i="24"/>
  <c r="AI231" i="24" s="1"/>
  <c r="AH230" i="24"/>
  <c r="AI230" i="24" s="1"/>
  <c r="AC230" i="24"/>
  <c r="AD230" i="24" s="1"/>
  <c r="AH229" i="24"/>
  <c r="AI229" i="24" s="1"/>
  <c r="AH228" i="24"/>
  <c r="AI228" i="24" s="1"/>
  <c r="AH227" i="24"/>
  <c r="AI227" i="24" s="1"/>
  <c r="AC227" i="24"/>
  <c r="AD227" i="24" s="1"/>
  <c r="AH226" i="24"/>
  <c r="AI226" i="24" s="1"/>
  <c r="AH225" i="24"/>
  <c r="AI225" i="24" s="1"/>
  <c r="AC225" i="24"/>
  <c r="AD225" i="24" s="1"/>
  <c r="AH224" i="24"/>
  <c r="AI224" i="24" s="1"/>
  <c r="AC224" i="24"/>
  <c r="AD224" i="24" s="1"/>
  <c r="AH223" i="24"/>
  <c r="AI223" i="24" s="1"/>
  <c r="AC223" i="24"/>
  <c r="AD223" i="24" s="1"/>
  <c r="AH222" i="24"/>
  <c r="AI222" i="24" s="1"/>
  <c r="AC222" i="24"/>
  <c r="AD222" i="24" s="1"/>
  <c r="AH221" i="24"/>
  <c r="AI221" i="24" s="1"/>
  <c r="AC221" i="24"/>
  <c r="AD221" i="24" s="1"/>
  <c r="AH220" i="24"/>
  <c r="AI220" i="24" s="1"/>
  <c r="AC220" i="24"/>
  <c r="AD220" i="24" s="1"/>
  <c r="AH219" i="24"/>
  <c r="AI219" i="24" s="1"/>
  <c r="AC219" i="24"/>
  <c r="AD219" i="24" s="1"/>
  <c r="AH218" i="24"/>
  <c r="AI218" i="24" s="1"/>
  <c r="AH217" i="24"/>
  <c r="AI217" i="24" s="1"/>
  <c r="AH216" i="24"/>
  <c r="AI216" i="24" s="1"/>
  <c r="AC216" i="24"/>
  <c r="AD216" i="24" s="1"/>
  <c r="AH215" i="24"/>
  <c r="AI215" i="24" s="1"/>
  <c r="AC215" i="24"/>
  <c r="AD215" i="24" s="1"/>
  <c r="AH214" i="24"/>
  <c r="AI214" i="24" s="1"/>
  <c r="AC214" i="24"/>
  <c r="AD214" i="24" s="1"/>
  <c r="AH213" i="24"/>
  <c r="AI213" i="24" s="1"/>
  <c r="AC213" i="24"/>
  <c r="AD213" i="24" s="1"/>
  <c r="AH212" i="24"/>
  <c r="AI212" i="24" s="1"/>
  <c r="AH211" i="24"/>
  <c r="AI211" i="24" s="1"/>
  <c r="AH210" i="24"/>
  <c r="AI210" i="24" s="1"/>
  <c r="AC210" i="24"/>
  <c r="AD210" i="24" s="1"/>
  <c r="AH209" i="24"/>
  <c r="AI209" i="24" s="1"/>
  <c r="AC209" i="24"/>
  <c r="AD209" i="24" s="1"/>
  <c r="AC208" i="24"/>
  <c r="AD208" i="24" s="1"/>
  <c r="AH207" i="24"/>
  <c r="AI207" i="24" s="1"/>
  <c r="AC207" i="24"/>
  <c r="AD207" i="24" s="1"/>
  <c r="AH206" i="24"/>
  <c r="AI206" i="24" s="1"/>
  <c r="AC206" i="24"/>
  <c r="AD206" i="24" s="1"/>
  <c r="AH205" i="24"/>
  <c r="AI205" i="24" s="1"/>
  <c r="AC205" i="24"/>
  <c r="AD205" i="24" s="1"/>
  <c r="AH204" i="24"/>
  <c r="AI204" i="24" s="1"/>
  <c r="AC204" i="24"/>
  <c r="AD204" i="24" s="1"/>
  <c r="AH203" i="24"/>
  <c r="AI203" i="24" s="1"/>
  <c r="AC203" i="24"/>
  <c r="AD203" i="24" s="1"/>
  <c r="AH202" i="24"/>
  <c r="AI202" i="24" s="1"/>
  <c r="AC202" i="24"/>
  <c r="AD202" i="24" s="1"/>
  <c r="AH201" i="24"/>
  <c r="AI201" i="24" s="1"/>
  <c r="AC200" i="24"/>
  <c r="AD200" i="24" s="1"/>
  <c r="AC199" i="24"/>
  <c r="AD199" i="24" s="1"/>
  <c r="AH198" i="24"/>
  <c r="AI198" i="24" s="1"/>
  <c r="AC197" i="24"/>
  <c r="AD197" i="24" s="1"/>
  <c r="AH196" i="24"/>
  <c r="AI196" i="24" s="1"/>
  <c r="AH195" i="24"/>
  <c r="AI195" i="24" s="1"/>
  <c r="AH194" i="24"/>
  <c r="AI194" i="24" s="1"/>
  <c r="AC194" i="24"/>
  <c r="AD194" i="24" s="1"/>
  <c r="AH192" i="24"/>
  <c r="AI192" i="24" s="1"/>
  <c r="AC192" i="24"/>
  <c r="AD192" i="24" s="1"/>
  <c r="AC191" i="24"/>
  <c r="AD191" i="24" s="1"/>
  <c r="AH190" i="24"/>
  <c r="AI190" i="24" s="1"/>
  <c r="AC190" i="24"/>
  <c r="AD190" i="24" s="1"/>
  <c r="AH189" i="24"/>
  <c r="AI189" i="24" s="1"/>
  <c r="AH188" i="24"/>
  <c r="AI188" i="24" s="1"/>
  <c r="AC188" i="24"/>
  <c r="AD188" i="24" s="1"/>
  <c r="AH187" i="24"/>
  <c r="AI187" i="24" s="1"/>
  <c r="AH186" i="24"/>
  <c r="AI186" i="24" s="1"/>
  <c r="AC186" i="24"/>
  <c r="AD186" i="24" s="1"/>
  <c r="AH185" i="24"/>
  <c r="AI185" i="24" s="1"/>
  <c r="AC185" i="24"/>
  <c r="AD185" i="24" s="1"/>
  <c r="AH184" i="24"/>
  <c r="AI184" i="24" s="1"/>
  <c r="AC184" i="24"/>
  <c r="AD184" i="24" s="1"/>
  <c r="AH183" i="24"/>
  <c r="AI183" i="24" s="1"/>
  <c r="AC183" i="24"/>
  <c r="AD183" i="24" s="1"/>
  <c r="AH182" i="24"/>
  <c r="AI182" i="24" s="1"/>
  <c r="AC182" i="24"/>
  <c r="AD182" i="24" s="1"/>
  <c r="AH181" i="24"/>
  <c r="AI181" i="24" s="1"/>
  <c r="AC181" i="24"/>
  <c r="AD181" i="24" s="1"/>
  <c r="AH180" i="24"/>
  <c r="AI180" i="24" s="1"/>
  <c r="AC180" i="24"/>
  <c r="AD180" i="24" s="1"/>
  <c r="AH179" i="24"/>
  <c r="AI179" i="24" s="1"/>
  <c r="AH178" i="24"/>
  <c r="AI178" i="24" s="1"/>
  <c r="AC178" i="24"/>
  <c r="AD178" i="24" s="1"/>
  <c r="AH177" i="24"/>
  <c r="AI177" i="24" s="1"/>
  <c r="AC177" i="24"/>
  <c r="AD177" i="24" s="1"/>
  <c r="AH176" i="24"/>
  <c r="AI176" i="24" s="1"/>
  <c r="AC176" i="24"/>
  <c r="AD176" i="24" s="1"/>
  <c r="AH175" i="24"/>
  <c r="AI175" i="24" s="1"/>
  <c r="AC175" i="24"/>
  <c r="AD175" i="24" s="1"/>
  <c r="AH174" i="24"/>
  <c r="AI174" i="24" s="1"/>
  <c r="AC174" i="24"/>
  <c r="AD174" i="24" s="1"/>
  <c r="AH173" i="24"/>
  <c r="AI173" i="24" s="1"/>
  <c r="AH172" i="24"/>
  <c r="AI172" i="24" s="1"/>
  <c r="AH171" i="24"/>
  <c r="AI171" i="24" s="1"/>
  <c r="AC171" i="24"/>
  <c r="AD171" i="24" s="1"/>
  <c r="AC170" i="24"/>
  <c r="AD170" i="24" s="1"/>
  <c r="AH169" i="24"/>
  <c r="AI169" i="24" s="1"/>
  <c r="AC169" i="24"/>
  <c r="AD169" i="24" s="1"/>
  <c r="AH168" i="24"/>
  <c r="AI168" i="24" s="1"/>
  <c r="AC168" i="24"/>
  <c r="AD168" i="24" s="1"/>
  <c r="AH167" i="24"/>
  <c r="AI167" i="24" s="1"/>
  <c r="AC167" i="24"/>
  <c r="AD167" i="24" s="1"/>
  <c r="AH166" i="24"/>
  <c r="AI166" i="24" s="1"/>
  <c r="AC165" i="24"/>
  <c r="AD165" i="24" s="1"/>
  <c r="AH164" i="24"/>
  <c r="AI164" i="24" s="1"/>
  <c r="AC164" i="24"/>
  <c r="AD164" i="24" s="1"/>
  <c r="AC163" i="24"/>
  <c r="AD163" i="24" s="1"/>
  <c r="AH162" i="24"/>
  <c r="AI162" i="24" s="1"/>
  <c r="AC162" i="24"/>
  <c r="AD162" i="24" s="1"/>
  <c r="AH161" i="24"/>
  <c r="AI161" i="24" s="1"/>
  <c r="AC161" i="24"/>
  <c r="AD161" i="24" s="1"/>
  <c r="AH160" i="24"/>
  <c r="AI160" i="24" s="1"/>
  <c r="AC160" i="24"/>
  <c r="AD160" i="24" s="1"/>
  <c r="AH158" i="24"/>
  <c r="AI158" i="24" s="1"/>
  <c r="AH157" i="24"/>
  <c r="AI157" i="24" s="1"/>
  <c r="AC157" i="24"/>
  <c r="AD157" i="24" s="1"/>
  <c r="AH155" i="24"/>
  <c r="AI155" i="24" s="1"/>
  <c r="AC155" i="24"/>
  <c r="AD155" i="24" s="1"/>
  <c r="AH154" i="24"/>
  <c r="AI154" i="24" s="1"/>
  <c r="AH153" i="24"/>
  <c r="AI153" i="24" s="1"/>
  <c r="AC153" i="24"/>
  <c r="AD153" i="24" s="1"/>
  <c r="AH152" i="24"/>
  <c r="AI152" i="24" s="1"/>
  <c r="AC152" i="24"/>
  <c r="AD152" i="24" s="1"/>
  <c r="AH151" i="24"/>
  <c r="AI151" i="24" s="1"/>
  <c r="AH150" i="24"/>
  <c r="AI150" i="24" s="1"/>
  <c r="AH149" i="24"/>
  <c r="AI149" i="24" s="1"/>
  <c r="AC149" i="24"/>
  <c r="AD149" i="24" s="1"/>
  <c r="AH148" i="24"/>
  <c r="AI148" i="24" s="1"/>
  <c r="AC148" i="24"/>
  <c r="AD148" i="24" s="1"/>
  <c r="AH147" i="24"/>
  <c r="AI147" i="24" s="1"/>
  <c r="AC147" i="24"/>
  <c r="AD147" i="24" s="1"/>
  <c r="AH146" i="24"/>
  <c r="AI146" i="24" s="1"/>
  <c r="AC146" i="24"/>
  <c r="AD146" i="24" s="1"/>
  <c r="AH145" i="24"/>
  <c r="AI145" i="24" s="1"/>
  <c r="AC145" i="24"/>
  <c r="AD145" i="24" s="1"/>
  <c r="AC144" i="24"/>
  <c r="AD144" i="24" s="1"/>
  <c r="AH143" i="24"/>
  <c r="AI143" i="24" s="1"/>
  <c r="AC143" i="24"/>
  <c r="AD143" i="24" s="1"/>
  <c r="AH142" i="24"/>
  <c r="AI142" i="24" s="1"/>
  <c r="AC142" i="24"/>
  <c r="AD142" i="24" s="1"/>
  <c r="AH141" i="24"/>
  <c r="AI141" i="24" s="1"/>
  <c r="AC141" i="24"/>
  <c r="AD141" i="24" s="1"/>
  <c r="AH140" i="24"/>
  <c r="AI140" i="24" s="1"/>
  <c r="AC140" i="24"/>
  <c r="AD140" i="24" s="1"/>
  <c r="AH139" i="24"/>
  <c r="AI139" i="24" s="1"/>
  <c r="AC139" i="24"/>
  <c r="AD139" i="24" s="1"/>
  <c r="AH138" i="24"/>
  <c r="AI138" i="24" s="1"/>
  <c r="AC137" i="24"/>
  <c r="AD137" i="24" s="1"/>
  <c r="AH136" i="24"/>
  <c r="AI136" i="24" s="1"/>
  <c r="AC136" i="24"/>
  <c r="AD136" i="24" s="1"/>
  <c r="AH135" i="24"/>
  <c r="AI135" i="24" s="1"/>
  <c r="AH134" i="24"/>
  <c r="AI134" i="24" s="1"/>
  <c r="AC134" i="24"/>
  <c r="AD134" i="24" s="1"/>
  <c r="AH133" i="24"/>
  <c r="AI133" i="24" s="1"/>
  <c r="AC133" i="24"/>
  <c r="AD133" i="24" s="1"/>
  <c r="AC132" i="24"/>
  <c r="AD132" i="24" s="1"/>
  <c r="AH131" i="24"/>
  <c r="AI131" i="24" s="1"/>
  <c r="AC131" i="24"/>
  <c r="AD131" i="24" s="1"/>
  <c r="AH130" i="24"/>
  <c r="AI130" i="24" s="1"/>
  <c r="AH129" i="24"/>
  <c r="AI129" i="24" s="1"/>
  <c r="AC129" i="24"/>
  <c r="AD129" i="24" s="1"/>
  <c r="AH128" i="24"/>
  <c r="AI128" i="24" s="1"/>
  <c r="AH127" i="24"/>
  <c r="AI127" i="24" s="1"/>
  <c r="AC127" i="24"/>
  <c r="AD127" i="24" s="1"/>
  <c r="AH126" i="24"/>
  <c r="AI126" i="24" s="1"/>
  <c r="AC126" i="24"/>
  <c r="AD126" i="24" s="1"/>
  <c r="AH125" i="24"/>
  <c r="AI125" i="24" s="1"/>
  <c r="AH124" i="24"/>
  <c r="AI124" i="24" s="1"/>
  <c r="AC124" i="24"/>
  <c r="AD124" i="24" s="1"/>
  <c r="AH123" i="24"/>
  <c r="AI123" i="24" s="1"/>
  <c r="AC123" i="24"/>
  <c r="AD123" i="24" s="1"/>
  <c r="AH122" i="24"/>
  <c r="AI122" i="24" s="1"/>
  <c r="AC122" i="24"/>
  <c r="AD122" i="24" s="1"/>
  <c r="AH121" i="24"/>
  <c r="AI121" i="24" s="1"/>
  <c r="AH120" i="24"/>
  <c r="AI120" i="24" s="1"/>
  <c r="AC120" i="24"/>
  <c r="AD120" i="24" s="1"/>
  <c r="AC119" i="24"/>
  <c r="AD119" i="24" s="1"/>
  <c r="AC118" i="24"/>
  <c r="AD118" i="24" s="1"/>
  <c r="AC117" i="24"/>
  <c r="AD117" i="24" s="1"/>
  <c r="AH116" i="24"/>
  <c r="AI116" i="24" s="1"/>
  <c r="AH115" i="24"/>
  <c r="AI115" i="24" s="1"/>
  <c r="AC115" i="24"/>
  <c r="AD115" i="24" s="1"/>
  <c r="AH114" i="24"/>
  <c r="AI114" i="24" s="1"/>
  <c r="AC114" i="24"/>
  <c r="AD114" i="24" s="1"/>
  <c r="AH112" i="24"/>
  <c r="AI112" i="24" s="1"/>
  <c r="AC112" i="24"/>
  <c r="AD112" i="24" s="1"/>
  <c r="AH111" i="24"/>
  <c r="AI111" i="24" s="1"/>
  <c r="AH110" i="24"/>
  <c r="AI110" i="24" s="1"/>
  <c r="AC110" i="24"/>
  <c r="AD110" i="24" s="1"/>
  <c r="AH109" i="24"/>
  <c r="AI109" i="24" s="1"/>
  <c r="AC109" i="24"/>
  <c r="AD109" i="24" s="1"/>
  <c r="AC108" i="24"/>
  <c r="AD108" i="24" s="1"/>
  <c r="AH107" i="24"/>
  <c r="AI107" i="24" s="1"/>
  <c r="AC107" i="24"/>
  <c r="AD107" i="24" s="1"/>
  <c r="AH106" i="24"/>
  <c r="AI106" i="24" s="1"/>
  <c r="AC106" i="24"/>
  <c r="AD106" i="24" s="1"/>
  <c r="AH105" i="24"/>
  <c r="AI105" i="24" s="1"/>
  <c r="AC105" i="24"/>
  <c r="AD105" i="24" s="1"/>
  <c r="AH104" i="24"/>
  <c r="AI104" i="24" s="1"/>
  <c r="AC104" i="24"/>
  <c r="AD104" i="24" s="1"/>
  <c r="AH103" i="24"/>
  <c r="AI103" i="24" s="1"/>
  <c r="AC103" i="24"/>
  <c r="AD103" i="24" s="1"/>
  <c r="AC102" i="24"/>
  <c r="AD102" i="24" s="1"/>
  <c r="AC101" i="24"/>
  <c r="AD101" i="24" s="1"/>
  <c r="AH100" i="24"/>
  <c r="AI100" i="24" s="1"/>
  <c r="AC100" i="24"/>
  <c r="AD100" i="24" s="1"/>
  <c r="AH99" i="24"/>
  <c r="AI99" i="24" s="1"/>
  <c r="AC98" i="24"/>
  <c r="AD98" i="24" s="1"/>
  <c r="AC97" i="24"/>
  <c r="AD97" i="24" s="1"/>
  <c r="AH96" i="24"/>
  <c r="AI96" i="24" s="1"/>
  <c r="AH95" i="24"/>
  <c r="AI95" i="24" s="1"/>
  <c r="AC95" i="24"/>
  <c r="AD95" i="24" s="1"/>
  <c r="AH94" i="24"/>
  <c r="AI94" i="24" s="1"/>
  <c r="AH93" i="24"/>
  <c r="AI93" i="24" s="1"/>
  <c r="AH92" i="24"/>
  <c r="AI92" i="24" s="1"/>
  <c r="AC92" i="24"/>
  <c r="AD92" i="24" s="1"/>
  <c r="AC91" i="24"/>
  <c r="AD91" i="24" s="1"/>
  <c r="AH90" i="24"/>
  <c r="AI90" i="24" s="1"/>
  <c r="AC90" i="24"/>
  <c r="AD90" i="24" s="1"/>
  <c r="AH89" i="24"/>
  <c r="AI89" i="24" s="1"/>
  <c r="AC89" i="24"/>
  <c r="AD89" i="24" s="1"/>
  <c r="AH88" i="24"/>
  <c r="AI88" i="24" s="1"/>
  <c r="AC88" i="24"/>
  <c r="AD88" i="24" s="1"/>
  <c r="AH87" i="24"/>
  <c r="AI87" i="24" s="1"/>
  <c r="AC87" i="24"/>
  <c r="AD87" i="24" s="1"/>
  <c r="AH86" i="24"/>
  <c r="AI86" i="24" s="1"/>
  <c r="AC86" i="24"/>
  <c r="AD86" i="24" s="1"/>
  <c r="AH85" i="24"/>
  <c r="AI85" i="24" s="1"/>
  <c r="AH84" i="24"/>
  <c r="AI84" i="24" s="1"/>
  <c r="AC84" i="24"/>
  <c r="AD84" i="24" s="1"/>
  <c r="AH83" i="24"/>
  <c r="AI83" i="24" s="1"/>
  <c r="AC83" i="24"/>
  <c r="AD83" i="24" s="1"/>
  <c r="AH82" i="24"/>
  <c r="AI82" i="24" s="1"/>
  <c r="AC82" i="24"/>
  <c r="AD82" i="24" s="1"/>
  <c r="AH81" i="24"/>
  <c r="AI81" i="24" s="1"/>
  <c r="AH80" i="24"/>
  <c r="AI80" i="24" s="1"/>
  <c r="AC80" i="24"/>
  <c r="AD80" i="24" s="1"/>
  <c r="AH79" i="24"/>
  <c r="AI79" i="24" s="1"/>
  <c r="AH78" i="24"/>
  <c r="AI78" i="24" s="1"/>
  <c r="AC78" i="24"/>
  <c r="AD78" i="24" s="1"/>
  <c r="AC77" i="24"/>
  <c r="AD77" i="24" s="1"/>
  <c r="AH76" i="24"/>
  <c r="AI76" i="24" s="1"/>
  <c r="AH75" i="24"/>
  <c r="AI75" i="24" s="1"/>
  <c r="AH74" i="24"/>
  <c r="AI74" i="24" s="1"/>
  <c r="AC74" i="24"/>
  <c r="AD74" i="24" s="1"/>
  <c r="AH73" i="24"/>
  <c r="AI73" i="24" s="1"/>
  <c r="AC73" i="24"/>
  <c r="AD73" i="24" s="1"/>
  <c r="AC71" i="24"/>
  <c r="AD71" i="24" s="1"/>
  <c r="AH70" i="24"/>
  <c r="AI70" i="24" s="1"/>
  <c r="AC70" i="24"/>
  <c r="AD70" i="24" s="1"/>
  <c r="AC69" i="24"/>
  <c r="AD69" i="24" s="1"/>
  <c r="AH68" i="24"/>
  <c r="AI68" i="24" s="1"/>
  <c r="AC68" i="24"/>
  <c r="AD68" i="24" s="1"/>
  <c r="AH67" i="24"/>
  <c r="AI67" i="24" s="1"/>
  <c r="AC67" i="24"/>
  <c r="AD67" i="24" s="1"/>
  <c r="AH66" i="24"/>
  <c r="AI66" i="24" s="1"/>
  <c r="AC66" i="24"/>
  <c r="AD66" i="24" s="1"/>
  <c r="AH65" i="24"/>
  <c r="AI65" i="24" s="1"/>
  <c r="AC65" i="24"/>
  <c r="AD65" i="24" s="1"/>
  <c r="AH64" i="24"/>
  <c r="AI64" i="24" s="1"/>
  <c r="AH63" i="24"/>
  <c r="AI63" i="24" s="1"/>
  <c r="AC63" i="24"/>
  <c r="AD63" i="24" s="1"/>
  <c r="AH62" i="24"/>
  <c r="AI62" i="24" s="1"/>
  <c r="AC62" i="24"/>
  <c r="AD62" i="24" s="1"/>
  <c r="AC61" i="24"/>
  <c r="AD61" i="24" s="1"/>
  <c r="AH60" i="24"/>
  <c r="AI60" i="24" s="1"/>
  <c r="AC60" i="24"/>
  <c r="AD60" i="24" s="1"/>
  <c r="AH59" i="24"/>
  <c r="AI59" i="24" s="1"/>
  <c r="AH58" i="24"/>
  <c r="AI58" i="24" s="1"/>
  <c r="AC58" i="24"/>
  <c r="AD58" i="24" s="1"/>
  <c r="AC57" i="24"/>
  <c r="AD57" i="24" s="1"/>
  <c r="AH56" i="24"/>
  <c r="AI56" i="24" s="1"/>
  <c r="AC56" i="24"/>
  <c r="AD56" i="24" s="1"/>
  <c r="AH55" i="24"/>
  <c r="AI55" i="24" s="1"/>
  <c r="AH54" i="24"/>
  <c r="AI54" i="24" s="1"/>
  <c r="AC54" i="24"/>
  <c r="AD54" i="24" s="1"/>
  <c r="AH53" i="24"/>
  <c r="AI53" i="24" s="1"/>
  <c r="AC53" i="24"/>
  <c r="AD53" i="24" s="1"/>
  <c r="AH52" i="24"/>
  <c r="AI52" i="24" s="1"/>
  <c r="AC52" i="24"/>
  <c r="AD52" i="24" s="1"/>
  <c r="AH51" i="24"/>
  <c r="AI51" i="24" s="1"/>
  <c r="AC51" i="24"/>
  <c r="AD51" i="24" s="1"/>
  <c r="AH49" i="24"/>
  <c r="AI49" i="24" s="1"/>
  <c r="AC49" i="24"/>
  <c r="AD49" i="24" s="1"/>
  <c r="AH48" i="24"/>
  <c r="AI48" i="24" s="1"/>
  <c r="AC48" i="24"/>
  <c r="AD48" i="24" s="1"/>
  <c r="AH47" i="24"/>
  <c r="AI47" i="24" s="1"/>
  <c r="AH46" i="24"/>
  <c r="AI46" i="24" s="1"/>
  <c r="AH45" i="24"/>
  <c r="AI45" i="24" s="1"/>
  <c r="AC45" i="24"/>
  <c r="AD45" i="24" s="1"/>
  <c r="AH44" i="24"/>
  <c r="AI44" i="24" s="1"/>
  <c r="AC44" i="24"/>
  <c r="AD44" i="24" s="1"/>
  <c r="AH43" i="24"/>
  <c r="AI43" i="24" s="1"/>
  <c r="AC43" i="24"/>
  <c r="AD43" i="24" s="1"/>
  <c r="AH42" i="24"/>
  <c r="AI42" i="24" s="1"/>
  <c r="AC41" i="24"/>
  <c r="AD41" i="24" s="1"/>
  <c r="AH40" i="24"/>
  <c r="AI40" i="24" s="1"/>
  <c r="AH39" i="24"/>
  <c r="AI39" i="24" s="1"/>
  <c r="AC39" i="24"/>
  <c r="AD39" i="24" s="1"/>
  <c r="AH38" i="24"/>
  <c r="AI38" i="24" s="1"/>
  <c r="AC38" i="24"/>
  <c r="AD38" i="24" s="1"/>
  <c r="AH37" i="24"/>
  <c r="AI37" i="24" s="1"/>
  <c r="AH36" i="24"/>
  <c r="AI36" i="24" s="1"/>
  <c r="AC36" i="24"/>
  <c r="AD36" i="24" s="1"/>
  <c r="AH35" i="24"/>
  <c r="AI35" i="24" s="1"/>
  <c r="AC35" i="24"/>
  <c r="AD35" i="24" s="1"/>
  <c r="AH34" i="24"/>
  <c r="AI34" i="24" s="1"/>
  <c r="AC34" i="24"/>
  <c r="AD34" i="24" s="1"/>
  <c r="AH33" i="24"/>
  <c r="AI33" i="24" s="1"/>
  <c r="AH32" i="24"/>
  <c r="AI32" i="24" s="1"/>
  <c r="AC32" i="24"/>
  <c r="AD32" i="24" s="1"/>
  <c r="AH31" i="24"/>
  <c r="AI31" i="24" s="1"/>
  <c r="AC31" i="24"/>
  <c r="AD31" i="24" s="1"/>
  <c r="AH30" i="24"/>
  <c r="AI30" i="24" s="1"/>
  <c r="AC30" i="24"/>
  <c r="AD30" i="24" s="1"/>
  <c r="AH29" i="24"/>
  <c r="AI29" i="24" s="1"/>
  <c r="AC29" i="24"/>
  <c r="AD29" i="24" s="1"/>
  <c r="AH28" i="24"/>
  <c r="AI28" i="24" s="1"/>
  <c r="AH27" i="24"/>
  <c r="AI27" i="24" s="1"/>
  <c r="AC27" i="24"/>
  <c r="AD27" i="24" s="1"/>
  <c r="AH26" i="24"/>
  <c r="AI26" i="24" s="1"/>
  <c r="AC26" i="24"/>
  <c r="AD26" i="24" s="1"/>
  <c r="AC25" i="24"/>
  <c r="AD25" i="24" s="1"/>
  <c r="AH24" i="24"/>
  <c r="AI24" i="24" s="1"/>
  <c r="AC24" i="24"/>
  <c r="AD24" i="24" s="1"/>
  <c r="AH23" i="24"/>
  <c r="AI23" i="24" s="1"/>
  <c r="AC23" i="24"/>
  <c r="AD23" i="24" s="1"/>
  <c r="AC22" i="24"/>
  <c r="AD22" i="24" s="1"/>
  <c r="AH20" i="24"/>
  <c r="AI20" i="24" s="1"/>
  <c r="AC20" i="24"/>
  <c r="AD20" i="24" s="1"/>
  <c r="AH19" i="24"/>
  <c r="AI19" i="24" s="1"/>
  <c r="AC19" i="24"/>
  <c r="AD19" i="24" s="1"/>
  <c r="AC18" i="24"/>
  <c r="AD18" i="24" s="1"/>
  <c r="AH17" i="24"/>
  <c r="AI17" i="24" s="1"/>
  <c r="AH16" i="24"/>
  <c r="AI16" i="24" s="1"/>
  <c r="AC16" i="24"/>
  <c r="AD16" i="24" s="1"/>
  <c r="AH15" i="24"/>
  <c r="AI15" i="24" s="1"/>
  <c r="AC15" i="24"/>
  <c r="AD15" i="24" s="1"/>
  <c r="AC14" i="24"/>
  <c r="AD14" i="24" s="1"/>
  <c r="AC13" i="24"/>
  <c r="AD13" i="24" s="1"/>
  <c r="AH12" i="24"/>
  <c r="AI12" i="24" s="1"/>
  <c r="AC12" i="24"/>
  <c r="AD12" i="24" s="1"/>
  <c r="AH11" i="24"/>
  <c r="AI11" i="24" s="1"/>
  <c r="AH10" i="24"/>
  <c r="AI10" i="24" s="1"/>
  <c r="AH9" i="24"/>
  <c r="AI9" i="24" s="1"/>
  <c r="AC9" i="24"/>
  <c r="AD9" i="24" s="1"/>
  <c r="AC8" i="24"/>
  <c r="AD8" i="24" s="1"/>
  <c r="AH7" i="24"/>
  <c r="AI7" i="24" s="1"/>
  <c r="AC7" i="24"/>
  <c r="AD7" i="24" s="1"/>
  <c r="AH6" i="24"/>
  <c r="AI6" i="24" s="1"/>
  <c r="AC6" i="24"/>
  <c r="AD6" i="24" s="1"/>
  <c r="AC5" i="24"/>
  <c r="AD5" i="24" s="1"/>
  <c r="C584" i="24"/>
  <c r="W577" i="24"/>
  <c r="W576" i="24"/>
  <c r="W575" i="24"/>
  <c r="W574" i="24"/>
  <c r="W573" i="24"/>
  <c r="W572" i="24"/>
  <c r="W571" i="24"/>
  <c r="W570" i="24"/>
  <c r="W569" i="24"/>
  <c r="W568" i="24"/>
  <c r="W567" i="24"/>
  <c r="W566" i="24"/>
  <c r="W565" i="24"/>
  <c r="W564" i="24"/>
  <c r="W563" i="24"/>
  <c r="W562" i="24"/>
  <c r="W561" i="24"/>
  <c r="W560" i="24"/>
  <c r="W559" i="24"/>
  <c r="W558" i="24"/>
  <c r="W557" i="24"/>
  <c r="W556" i="24"/>
  <c r="W555" i="24"/>
  <c r="W554" i="24"/>
  <c r="W553" i="24"/>
  <c r="W552" i="24"/>
  <c r="W551" i="24"/>
  <c r="W550" i="24"/>
  <c r="W549" i="24"/>
  <c r="W548" i="24"/>
  <c r="W547" i="24"/>
  <c r="W546" i="24"/>
  <c r="W545" i="24"/>
  <c r="W544" i="24"/>
  <c r="W543" i="24"/>
  <c r="W542" i="24"/>
  <c r="W541" i="24"/>
  <c r="W540" i="24"/>
  <c r="W539" i="24"/>
  <c r="W538" i="24"/>
  <c r="W537" i="24"/>
  <c r="W536" i="24"/>
  <c r="W535" i="24"/>
  <c r="W534" i="24"/>
  <c r="W533" i="24"/>
  <c r="W532" i="24"/>
  <c r="W531" i="24"/>
  <c r="W530" i="24"/>
  <c r="W529" i="24"/>
  <c r="W528" i="24"/>
  <c r="W527" i="24"/>
  <c r="W526" i="24"/>
  <c r="W525" i="24"/>
  <c r="W524" i="24"/>
  <c r="W523" i="24"/>
  <c r="W522" i="24"/>
  <c r="W521" i="24"/>
  <c r="W520" i="24"/>
  <c r="W519" i="24"/>
  <c r="W518" i="24"/>
  <c r="W517" i="24"/>
  <c r="W516" i="24"/>
  <c r="W515" i="24"/>
  <c r="W514" i="24"/>
  <c r="W513" i="24"/>
  <c r="W512" i="24"/>
  <c r="W511" i="24"/>
  <c r="W510" i="24"/>
  <c r="W509" i="24"/>
  <c r="W508" i="24"/>
  <c r="W507" i="24"/>
  <c r="W506" i="24"/>
  <c r="W505" i="24"/>
  <c r="W504" i="24"/>
  <c r="W503" i="24"/>
  <c r="W502" i="24"/>
  <c r="W501" i="24"/>
  <c r="W500" i="24"/>
  <c r="W499" i="24"/>
  <c r="W498" i="24"/>
  <c r="W497" i="24"/>
  <c r="W496" i="24"/>
  <c r="W495" i="24"/>
  <c r="W494" i="24"/>
  <c r="W493" i="24"/>
  <c r="W492" i="24"/>
  <c r="W491" i="24"/>
  <c r="W490" i="24"/>
  <c r="W489" i="24"/>
  <c r="W488" i="24"/>
  <c r="W487" i="24"/>
  <c r="W486" i="24"/>
  <c r="W485" i="24"/>
  <c r="W484" i="24"/>
  <c r="W483" i="24"/>
  <c r="W482" i="24"/>
  <c r="W481" i="24"/>
  <c r="W480" i="24"/>
  <c r="W479" i="24"/>
  <c r="W478" i="24"/>
  <c r="W477" i="24"/>
  <c r="W476" i="24"/>
  <c r="W475" i="24"/>
  <c r="W474" i="24"/>
  <c r="W473" i="24"/>
  <c r="W472" i="24"/>
  <c r="W471" i="24"/>
  <c r="W470" i="24"/>
  <c r="W469" i="24"/>
  <c r="W468" i="24"/>
  <c r="W467" i="24"/>
  <c r="W466" i="24"/>
  <c r="W465" i="24"/>
  <c r="W464" i="24"/>
  <c r="W463" i="24"/>
  <c r="W462" i="24"/>
  <c r="W461" i="24"/>
  <c r="W460" i="24"/>
  <c r="W459" i="24"/>
  <c r="W458" i="24"/>
  <c r="W457" i="24"/>
  <c r="W456" i="24"/>
  <c r="W455" i="24"/>
  <c r="W454" i="24"/>
  <c r="W453" i="24"/>
  <c r="W452" i="24"/>
  <c r="W451" i="24"/>
  <c r="W450" i="24"/>
  <c r="W449" i="24"/>
  <c r="W448" i="24"/>
  <c r="W447" i="24"/>
  <c r="W446" i="24"/>
  <c r="W445" i="24"/>
  <c r="W444" i="24"/>
  <c r="W443" i="24"/>
  <c r="W442" i="24"/>
  <c r="W441" i="24"/>
  <c r="W440" i="24"/>
  <c r="W439" i="24"/>
  <c r="W438" i="24"/>
  <c r="W437" i="24"/>
  <c r="W436" i="24"/>
  <c r="W435" i="24"/>
  <c r="W434" i="24"/>
  <c r="W433" i="24"/>
  <c r="W432" i="24"/>
  <c r="W431" i="24"/>
  <c r="W430" i="24"/>
  <c r="W429" i="24"/>
  <c r="W428" i="24"/>
  <c r="W427" i="24"/>
  <c r="W426" i="24"/>
  <c r="W425" i="24"/>
  <c r="W424" i="24"/>
  <c r="W423" i="24"/>
  <c r="W422" i="24"/>
  <c r="W421" i="24"/>
  <c r="W420" i="24"/>
  <c r="W419" i="24"/>
  <c r="W418" i="24"/>
  <c r="W417" i="24"/>
  <c r="W416" i="24"/>
  <c r="W415" i="24"/>
  <c r="W414" i="24"/>
  <c r="W413" i="24"/>
  <c r="W412" i="24"/>
  <c r="W411" i="24"/>
  <c r="W410" i="24"/>
  <c r="W409" i="24"/>
  <c r="W408" i="24"/>
  <c r="W407" i="24"/>
  <c r="W406" i="24"/>
  <c r="W405" i="24"/>
  <c r="W404" i="24"/>
  <c r="W403" i="24"/>
  <c r="W402" i="24"/>
  <c r="W401" i="24"/>
  <c r="W400" i="24"/>
  <c r="W399" i="24"/>
  <c r="W398" i="24"/>
  <c r="W397" i="24"/>
  <c r="W396" i="24"/>
  <c r="W395" i="24"/>
  <c r="W394" i="24"/>
  <c r="W393" i="24"/>
  <c r="R577" i="24"/>
  <c r="R576" i="24"/>
  <c r="R575" i="24"/>
  <c r="R574" i="24"/>
  <c r="R573" i="24"/>
  <c r="R572" i="24"/>
  <c r="R571" i="24"/>
  <c r="R570" i="24"/>
  <c r="R569" i="24"/>
  <c r="R568" i="24"/>
  <c r="R567" i="24"/>
  <c r="R566" i="24"/>
  <c r="R565" i="24"/>
  <c r="R564" i="24"/>
  <c r="R563" i="24"/>
  <c r="R562" i="24"/>
  <c r="R561" i="24"/>
  <c r="R560" i="24"/>
  <c r="R559" i="24"/>
  <c r="R558" i="24"/>
  <c r="R557" i="24"/>
  <c r="R556" i="24"/>
  <c r="R555" i="24"/>
  <c r="R554" i="24"/>
  <c r="R553" i="24"/>
  <c r="R552" i="24"/>
  <c r="R551" i="24"/>
  <c r="R550" i="24"/>
  <c r="R549" i="24"/>
  <c r="R548" i="24"/>
  <c r="R547" i="24"/>
  <c r="R546" i="24"/>
  <c r="R545" i="24"/>
  <c r="R544" i="24"/>
  <c r="R543" i="24"/>
  <c r="R542" i="24"/>
  <c r="R541" i="24"/>
  <c r="R540" i="24"/>
  <c r="R539" i="24"/>
  <c r="R538" i="24"/>
  <c r="R537" i="24"/>
  <c r="R536" i="24"/>
  <c r="R535" i="24"/>
  <c r="R534" i="24"/>
  <c r="R533" i="24"/>
  <c r="R532" i="24"/>
  <c r="R531" i="24"/>
  <c r="R530" i="24"/>
  <c r="R529" i="24"/>
  <c r="R528" i="24"/>
  <c r="R527" i="24"/>
  <c r="R526" i="24"/>
  <c r="R525" i="24"/>
  <c r="R524" i="24"/>
  <c r="R523" i="24"/>
  <c r="R522" i="24"/>
  <c r="R521" i="24"/>
  <c r="R520" i="24"/>
  <c r="R519" i="24"/>
  <c r="R518" i="24"/>
  <c r="R517" i="24"/>
  <c r="R516" i="24"/>
  <c r="R515" i="24"/>
  <c r="R514" i="24"/>
  <c r="R513" i="24"/>
  <c r="R512" i="24"/>
  <c r="R511" i="24"/>
  <c r="R510" i="24"/>
  <c r="R509" i="24"/>
  <c r="R508" i="24"/>
  <c r="R507" i="24"/>
  <c r="R506" i="24"/>
  <c r="R505" i="24"/>
  <c r="R504" i="24"/>
  <c r="R503" i="24"/>
  <c r="R502" i="24"/>
  <c r="R501" i="24"/>
  <c r="R500" i="24"/>
  <c r="R499" i="24"/>
  <c r="R498" i="24"/>
  <c r="R497" i="24"/>
  <c r="R496" i="24"/>
  <c r="R495" i="24"/>
  <c r="R494" i="24"/>
  <c r="R493" i="24"/>
  <c r="R492" i="24"/>
  <c r="R491" i="24"/>
  <c r="R490" i="24"/>
  <c r="R489" i="24"/>
  <c r="R488" i="24"/>
  <c r="R487" i="24"/>
  <c r="R486" i="24"/>
  <c r="R485" i="24"/>
  <c r="R484" i="24"/>
  <c r="R483" i="24"/>
  <c r="R482" i="24"/>
  <c r="R481" i="24"/>
  <c r="R480" i="24"/>
  <c r="R479" i="24"/>
  <c r="R478" i="24"/>
  <c r="R477" i="24"/>
  <c r="R476" i="24"/>
  <c r="R475" i="24"/>
  <c r="R474" i="24"/>
  <c r="R473" i="24"/>
  <c r="R472" i="24"/>
  <c r="R471" i="24"/>
  <c r="R470" i="24"/>
  <c r="R469" i="24"/>
  <c r="R468" i="24"/>
  <c r="R467" i="24"/>
  <c r="R466" i="24"/>
  <c r="R465" i="24"/>
  <c r="R464" i="24"/>
  <c r="R463" i="24"/>
  <c r="R462" i="24"/>
  <c r="R461" i="24"/>
  <c r="R460" i="24"/>
  <c r="R459" i="24"/>
  <c r="R458" i="24"/>
  <c r="R457" i="24"/>
  <c r="R456" i="24"/>
  <c r="R455" i="24"/>
  <c r="R454" i="24"/>
  <c r="R453" i="24"/>
  <c r="R452" i="24"/>
  <c r="R451" i="24"/>
  <c r="R450" i="24"/>
  <c r="R449" i="24"/>
  <c r="R448" i="24"/>
  <c r="R447" i="24"/>
  <c r="R446" i="24"/>
  <c r="R445" i="24"/>
  <c r="R444" i="24"/>
  <c r="R443" i="24"/>
  <c r="R442" i="24"/>
  <c r="R441" i="24"/>
  <c r="R440" i="24"/>
  <c r="R439" i="24"/>
  <c r="R438" i="24"/>
  <c r="R437" i="24"/>
  <c r="R436" i="24"/>
  <c r="R435" i="24"/>
  <c r="R434" i="24"/>
  <c r="R433" i="24"/>
  <c r="R432" i="24"/>
  <c r="R431" i="24"/>
  <c r="R430" i="24"/>
  <c r="R429" i="24"/>
  <c r="R428" i="24"/>
  <c r="R427" i="24"/>
  <c r="R426" i="24"/>
  <c r="R425" i="24"/>
  <c r="R424" i="24"/>
  <c r="R423" i="24"/>
  <c r="R422" i="24"/>
  <c r="R421" i="24"/>
  <c r="R420" i="24"/>
  <c r="R419" i="24"/>
  <c r="R418" i="24"/>
  <c r="R417" i="24"/>
  <c r="R416" i="24"/>
  <c r="R415" i="24"/>
  <c r="R414" i="24"/>
  <c r="R413" i="24"/>
  <c r="R412" i="24"/>
  <c r="R411" i="24"/>
  <c r="R410" i="24"/>
  <c r="R409" i="24"/>
  <c r="R408" i="24"/>
  <c r="R407" i="24"/>
  <c r="R406" i="24"/>
  <c r="R405" i="24"/>
  <c r="R404" i="24"/>
  <c r="R403" i="24"/>
  <c r="R402" i="24"/>
  <c r="R401" i="24"/>
  <c r="R400" i="24"/>
  <c r="R399" i="24"/>
  <c r="R398" i="24"/>
  <c r="R397" i="24"/>
  <c r="R396" i="24"/>
  <c r="R395" i="24"/>
  <c r="R394" i="24"/>
  <c r="R393" i="24"/>
  <c r="L577" i="24"/>
  <c r="L576" i="24"/>
  <c r="L575" i="24"/>
  <c r="L574" i="24"/>
  <c r="L573" i="24"/>
  <c r="L572" i="24"/>
  <c r="L571" i="24"/>
  <c r="L570" i="24"/>
  <c r="L569" i="24"/>
  <c r="L568" i="24"/>
  <c r="L567" i="24"/>
  <c r="L566" i="24"/>
  <c r="L565" i="24"/>
  <c r="L564" i="24"/>
  <c r="L563" i="24"/>
  <c r="L562" i="24"/>
  <c r="L561" i="24"/>
  <c r="L560" i="24"/>
  <c r="L559" i="24"/>
  <c r="L558" i="24"/>
  <c r="L557" i="24"/>
  <c r="L556" i="24"/>
  <c r="L555" i="24"/>
  <c r="L554" i="24"/>
  <c r="L553" i="24"/>
  <c r="L552" i="24"/>
  <c r="L551" i="24"/>
  <c r="L550" i="24"/>
  <c r="L549" i="24"/>
  <c r="L548" i="24"/>
  <c r="L547" i="24"/>
  <c r="L546" i="24"/>
  <c r="L545" i="24"/>
  <c r="L544" i="24"/>
  <c r="L543" i="24"/>
  <c r="L542" i="24"/>
  <c r="L541" i="24"/>
  <c r="L540" i="24"/>
  <c r="L539" i="24"/>
  <c r="L538" i="24"/>
  <c r="L537" i="24"/>
  <c r="L536" i="24"/>
  <c r="L535" i="24"/>
  <c r="L534" i="24"/>
  <c r="L533" i="24"/>
  <c r="L532" i="24"/>
  <c r="L531" i="24"/>
  <c r="L530" i="24"/>
  <c r="L529" i="24"/>
  <c r="L528" i="24"/>
  <c r="L527" i="24"/>
  <c r="L526" i="24"/>
  <c r="L525" i="24"/>
  <c r="L524" i="24"/>
  <c r="L523" i="24"/>
  <c r="L522" i="24"/>
  <c r="L521" i="24"/>
  <c r="L520" i="24"/>
  <c r="L519" i="24"/>
  <c r="L518" i="24"/>
  <c r="L517" i="24"/>
  <c r="L516" i="24"/>
  <c r="L515" i="24"/>
  <c r="L514" i="24"/>
  <c r="L513" i="24"/>
  <c r="L512" i="24"/>
  <c r="L511" i="24"/>
  <c r="L510" i="24"/>
  <c r="L509" i="24"/>
  <c r="L508" i="24"/>
  <c r="L507" i="24"/>
  <c r="L506" i="24"/>
  <c r="L505" i="24"/>
  <c r="L504" i="24"/>
  <c r="L503" i="24"/>
  <c r="L502" i="24"/>
  <c r="L501" i="24"/>
  <c r="L500" i="24"/>
  <c r="L499" i="24"/>
  <c r="L498" i="24"/>
  <c r="L497" i="24"/>
  <c r="L496" i="24"/>
  <c r="L495" i="24"/>
  <c r="L494" i="24"/>
  <c r="L493" i="24"/>
  <c r="L492" i="24"/>
  <c r="L491" i="24"/>
  <c r="L490" i="24"/>
  <c r="L489" i="24"/>
  <c r="L488" i="24"/>
  <c r="L487" i="24"/>
  <c r="L486" i="24"/>
  <c r="L485" i="24"/>
  <c r="L484" i="24"/>
  <c r="L483" i="24"/>
  <c r="L482" i="24"/>
  <c r="L481" i="24"/>
  <c r="L480" i="24"/>
  <c r="L479" i="24"/>
  <c r="L478" i="24"/>
  <c r="L477" i="24"/>
  <c r="L476" i="24"/>
  <c r="L475" i="24"/>
  <c r="L474" i="24"/>
  <c r="L473" i="24"/>
  <c r="L472" i="24"/>
  <c r="L471" i="24"/>
  <c r="L470" i="24"/>
  <c r="L469" i="24"/>
  <c r="L468" i="24"/>
  <c r="L467" i="24"/>
  <c r="L466" i="24"/>
  <c r="L465" i="24"/>
  <c r="L464" i="24"/>
  <c r="L463" i="24"/>
  <c r="L462" i="24"/>
  <c r="L461" i="24"/>
  <c r="L460" i="24"/>
  <c r="L459" i="24"/>
  <c r="L458" i="24"/>
  <c r="L457" i="24"/>
  <c r="L456" i="24"/>
  <c r="L455" i="24"/>
  <c r="L454" i="24"/>
  <c r="L453" i="24"/>
  <c r="L452" i="24"/>
  <c r="L451" i="24"/>
  <c r="L450" i="24"/>
  <c r="L449" i="24"/>
  <c r="L448" i="24"/>
  <c r="L447" i="24"/>
  <c r="L446" i="24"/>
  <c r="L445" i="24"/>
  <c r="L444" i="24"/>
  <c r="L443" i="24"/>
  <c r="L442" i="24"/>
  <c r="L441" i="24"/>
  <c r="L440" i="24"/>
  <c r="L439" i="24"/>
  <c r="L438" i="24"/>
  <c r="L437" i="24"/>
  <c r="L436" i="24"/>
  <c r="L435" i="24"/>
  <c r="L434" i="24"/>
  <c r="L433" i="24"/>
  <c r="L432" i="24"/>
  <c r="L431" i="24"/>
  <c r="L430" i="24"/>
  <c r="L429" i="24"/>
  <c r="L428" i="24"/>
  <c r="L427" i="24"/>
  <c r="L426" i="24"/>
  <c r="L425" i="24"/>
  <c r="L424" i="24"/>
  <c r="L423" i="24"/>
  <c r="L422" i="24"/>
  <c r="L421" i="24"/>
  <c r="L420" i="24"/>
  <c r="L419" i="24"/>
  <c r="L418" i="24"/>
  <c r="L417" i="24"/>
  <c r="L416" i="24"/>
  <c r="L415" i="24"/>
  <c r="L414" i="24"/>
  <c r="L413" i="24"/>
  <c r="L412" i="24"/>
  <c r="L411" i="24"/>
  <c r="L410" i="24"/>
  <c r="L409" i="24"/>
  <c r="L408" i="24"/>
  <c r="L407" i="24"/>
  <c r="L406" i="24"/>
  <c r="L405" i="24"/>
  <c r="L404" i="24"/>
  <c r="L403" i="24"/>
  <c r="L402" i="24"/>
  <c r="L401" i="24"/>
  <c r="L400" i="24"/>
  <c r="L399" i="24"/>
  <c r="L398" i="24"/>
  <c r="L397" i="24"/>
  <c r="L396" i="24"/>
  <c r="L395" i="24"/>
  <c r="L394" i="24"/>
  <c r="L393" i="24"/>
  <c r="U54" i="24"/>
  <c r="V54" i="24"/>
  <c r="U64" i="24"/>
  <c r="V64" i="24"/>
  <c r="U107" i="24"/>
  <c r="V107" i="24"/>
  <c r="U157" i="24"/>
  <c r="V157" i="24"/>
  <c r="U158" i="24"/>
  <c r="V158" i="24"/>
  <c r="U175" i="24"/>
  <c r="V175" i="24"/>
  <c r="U176" i="24"/>
  <c r="V176" i="24"/>
  <c r="U183" i="24"/>
  <c r="V183" i="24"/>
  <c r="O15" i="24"/>
  <c r="P15" i="24" s="1"/>
  <c r="Q15" i="24"/>
  <c r="O16" i="24"/>
  <c r="P16" i="24" s="1"/>
  <c r="Q16" i="24"/>
  <c r="O17" i="24"/>
  <c r="Q17" i="24"/>
  <c r="O18" i="24"/>
  <c r="P18" i="24" s="1"/>
  <c r="Q18" i="24"/>
  <c r="O26" i="24"/>
  <c r="P26" i="24" s="1"/>
  <c r="Q26" i="24"/>
  <c r="O27" i="24"/>
  <c r="Q27" i="24"/>
  <c r="O28" i="24"/>
  <c r="P28" i="24" s="1"/>
  <c r="Q28" i="24"/>
  <c r="O32" i="24"/>
  <c r="P32" i="24" s="1"/>
  <c r="Q32" i="24"/>
  <c r="O34" i="24"/>
  <c r="P34" i="24" s="1"/>
  <c r="Q34" i="24"/>
  <c r="O35" i="24"/>
  <c r="P35" i="24" s="1"/>
  <c r="Q35" i="24"/>
  <c r="O36" i="24"/>
  <c r="P36" i="24" s="1"/>
  <c r="Q36" i="24"/>
  <c r="O41" i="24"/>
  <c r="P41" i="24" s="1"/>
  <c r="Q41" i="24"/>
  <c r="O44" i="24"/>
  <c r="P44" i="24" s="1"/>
  <c r="Q44" i="24"/>
  <c r="O45" i="24"/>
  <c r="P45" i="24" s="1"/>
  <c r="Q45" i="24"/>
  <c r="O52" i="24"/>
  <c r="P52" i="24" s="1"/>
  <c r="Q52" i="24"/>
  <c r="O53" i="24"/>
  <c r="Q53" i="24"/>
  <c r="O55" i="24"/>
  <c r="P55" i="24" s="1"/>
  <c r="Q55" i="24"/>
  <c r="O56" i="24"/>
  <c r="P56" i="24" s="1"/>
  <c r="Q56" i="24"/>
  <c r="O73" i="24"/>
  <c r="P73" i="24" s="1"/>
  <c r="Q73" i="24"/>
  <c r="O74" i="24"/>
  <c r="P74" i="24" s="1"/>
  <c r="Q74" i="24"/>
  <c r="O78" i="24"/>
  <c r="P78" i="24" s="1"/>
  <c r="Q78" i="24"/>
  <c r="O79" i="24"/>
  <c r="P79" i="24" s="1"/>
  <c r="Q79" i="24"/>
  <c r="O80" i="24"/>
  <c r="P80" i="24" s="1"/>
  <c r="Q80" i="24"/>
  <c r="O97" i="24"/>
  <c r="P97" i="24" s="1"/>
  <c r="Q97" i="24"/>
  <c r="O98" i="24"/>
  <c r="P98" i="24" s="1"/>
  <c r="Q98" i="24"/>
  <c r="O109" i="24"/>
  <c r="P109" i="24" s="1"/>
  <c r="Q109" i="24"/>
  <c r="O110" i="24"/>
  <c r="P110" i="24" s="1"/>
  <c r="Q110" i="24"/>
  <c r="O130" i="24"/>
  <c r="P130" i="24" s="1"/>
  <c r="Q130" i="24"/>
  <c r="O135" i="24"/>
  <c r="P135" i="24" s="1"/>
  <c r="Q135" i="24"/>
  <c r="O136" i="24"/>
  <c r="P136" i="24" s="1"/>
  <c r="Q136" i="24"/>
  <c r="O143" i="24"/>
  <c r="P143" i="24" s="1"/>
  <c r="Q143" i="24"/>
  <c r="O144" i="24"/>
  <c r="Q144" i="24"/>
  <c r="O145" i="24"/>
  <c r="P145" i="24" s="1"/>
  <c r="Q145" i="24"/>
  <c r="O146" i="24"/>
  <c r="P146" i="24" s="1"/>
  <c r="Q146" i="24"/>
  <c r="O148" i="24"/>
  <c r="P148" i="24" s="1"/>
  <c r="Q148" i="24"/>
  <c r="O149" i="24"/>
  <c r="P149" i="24" s="1"/>
  <c r="Q149" i="24"/>
  <c r="O155" i="24"/>
  <c r="P155" i="24" s="1"/>
  <c r="Q155" i="24"/>
  <c r="O156" i="24"/>
  <c r="P156" i="24" s="1"/>
  <c r="Q156" i="24"/>
  <c r="O164" i="24"/>
  <c r="Q164" i="24"/>
  <c r="O165" i="24"/>
  <c r="P165" i="24" s="1"/>
  <c r="Q165" i="24"/>
  <c r="O173" i="24"/>
  <c r="Q173" i="24"/>
  <c r="O174" i="24"/>
  <c r="P174" i="24" s="1"/>
  <c r="Q174" i="24"/>
  <c r="O181" i="24"/>
  <c r="P181" i="24" s="1"/>
  <c r="Q181" i="24"/>
  <c r="O182" i="24"/>
  <c r="P182" i="24" s="1"/>
  <c r="Q182" i="24"/>
  <c r="O190" i="24"/>
  <c r="P190" i="24" s="1"/>
  <c r="Q190" i="24"/>
  <c r="O191" i="24"/>
  <c r="P191" i="24" s="1"/>
  <c r="Q191" i="24"/>
  <c r="O192" i="24"/>
  <c r="P192" i="24" s="1"/>
  <c r="Q192" i="24"/>
  <c r="O193" i="24"/>
  <c r="P193" i="24" s="1"/>
  <c r="Q193" i="24"/>
  <c r="O201" i="24"/>
  <c r="P201" i="24" s="1"/>
  <c r="Q201" i="24"/>
  <c r="O202" i="24"/>
  <c r="P202" i="24" s="1"/>
  <c r="Q202" i="24"/>
  <c r="O212" i="24"/>
  <c r="P212" i="24" s="1"/>
  <c r="Q212" i="24"/>
  <c r="O389" i="24"/>
  <c r="P389" i="24" s="1"/>
  <c r="Q389" i="24"/>
  <c r="K392" i="24" a="1"/>
  <c r="K392" i="24" s="1"/>
  <c r="I392" i="24" a="1"/>
  <c r="I392" i="24" s="1"/>
  <c r="J392" i="24" s="1" a="1"/>
  <c r="J392" i="24" s="1"/>
  <c r="K391" i="24" a="1"/>
  <c r="K391" i="24" s="1"/>
  <c r="I391" i="24" a="1"/>
  <c r="I391" i="24" s="1"/>
  <c r="J391" i="24" s="1" a="1"/>
  <c r="J391" i="24" s="1"/>
  <c r="K390" i="24" a="1"/>
  <c r="K390" i="24" s="1"/>
  <c r="I390" i="24" a="1"/>
  <c r="I390" i="24" s="1"/>
  <c r="J390" i="24" s="1" a="1"/>
  <c r="J390" i="24" s="1"/>
  <c r="K389" i="24" a="1"/>
  <c r="K389" i="24" s="1"/>
  <c r="I389" i="24" a="1"/>
  <c r="I389" i="24" s="1"/>
  <c r="J389" i="24" s="1" a="1"/>
  <c r="J389" i="24" s="1"/>
  <c r="K388" i="24" a="1"/>
  <c r="K388" i="24" s="1"/>
  <c r="I388" i="24" a="1"/>
  <c r="I388" i="24" s="1"/>
  <c r="J388" i="24" s="1" a="1"/>
  <c r="J388" i="24" s="1"/>
  <c r="K387" i="24" a="1"/>
  <c r="K387" i="24" s="1"/>
  <c r="I387" i="24" a="1"/>
  <c r="I387" i="24" s="1"/>
  <c r="J387" i="24" s="1" a="1"/>
  <c r="J387" i="24" s="1"/>
  <c r="K386" i="24" a="1"/>
  <c r="K386" i="24" s="1"/>
  <c r="I386" i="24" a="1"/>
  <c r="I386" i="24" s="1"/>
  <c r="J386" i="24" s="1" a="1"/>
  <c r="J386" i="24" s="1"/>
  <c r="K385" i="24" a="1"/>
  <c r="K385" i="24" s="1"/>
  <c r="I385" i="24" a="1"/>
  <c r="I385" i="24" s="1"/>
  <c r="J385" i="24" s="1" a="1"/>
  <c r="J385" i="24" s="1"/>
  <c r="K384" i="24" a="1"/>
  <c r="K384" i="24" s="1"/>
  <c r="I384" i="24" a="1"/>
  <c r="I384" i="24" s="1"/>
  <c r="J384" i="24" s="1" a="1"/>
  <c r="J384" i="24" s="1"/>
  <c r="K383" i="24" a="1"/>
  <c r="K383" i="24" s="1"/>
  <c r="I383" i="24" a="1"/>
  <c r="I383" i="24" s="1"/>
  <c r="J383" i="24" s="1" a="1"/>
  <c r="J383" i="24" s="1"/>
  <c r="K382" i="24" a="1"/>
  <c r="K382" i="24" s="1"/>
  <c r="I382" i="24" a="1"/>
  <c r="I382" i="24" s="1"/>
  <c r="J382" i="24" s="1" a="1"/>
  <c r="J382" i="24" s="1"/>
  <c r="K381" i="24" a="1"/>
  <c r="K381" i="24" s="1"/>
  <c r="I381" i="24" a="1"/>
  <c r="I381" i="24" s="1"/>
  <c r="J381" i="24" s="1" a="1"/>
  <c r="J381" i="24" s="1"/>
  <c r="K380" i="24" a="1"/>
  <c r="K380" i="24" s="1"/>
  <c r="I380" i="24" a="1"/>
  <c r="I380" i="24" s="1"/>
  <c r="J380" i="24" s="1" a="1"/>
  <c r="J380" i="24" s="1"/>
  <c r="K379" i="24" a="1"/>
  <c r="K379" i="24" s="1"/>
  <c r="I379" i="24" a="1"/>
  <c r="I379" i="24" s="1"/>
  <c r="J379" i="24" s="1" a="1"/>
  <c r="J379" i="24" s="1"/>
  <c r="K378" i="24" a="1"/>
  <c r="K378" i="24" s="1"/>
  <c r="I378" i="24" a="1"/>
  <c r="I378" i="24" s="1"/>
  <c r="J378" i="24" s="1" a="1"/>
  <c r="J378" i="24" s="1"/>
  <c r="K377" i="24" a="1"/>
  <c r="K377" i="24" s="1"/>
  <c r="I377" i="24" a="1"/>
  <c r="I377" i="24" s="1"/>
  <c r="J377" i="24" s="1" a="1"/>
  <c r="J377" i="24" s="1"/>
  <c r="K376" i="24" a="1"/>
  <c r="K376" i="24" s="1"/>
  <c r="I376" i="24" a="1"/>
  <c r="I376" i="24" s="1"/>
  <c r="J376" i="24" s="1" a="1"/>
  <c r="J376" i="24" s="1"/>
  <c r="K375" i="24" a="1"/>
  <c r="K375" i="24" s="1"/>
  <c r="I375" i="24" a="1"/>
  <c r="I375" i="24" s="1"/>
  <c r="J375" i="24" s="1" a="1"/>
  <c r="J375" i="24" s="1"/>
  <c r="K374" i="24" a="1"/>
  <c r="K374" i="24" s="1"/>
  <c r="I374" i="24" a="1"/>
  <c r="I374" i="24" s="1"/>
  <c r="J374" i="24" s="1" a="1"/>
  <c r="J374" i="24" s="1"/>
  <c r="K373" i="24" a="1"/>
  <c r="K373" i="24" s="1"/>
  <c r="I373" i="24" a="1"/>
  <c r="I373" i="24" s="1"/>
  <c r="J373" i="24" s="1" a="1"/>
  <c r="J373" i="24" s="1"/>
  <c r="K372" i="24" a="1"/>
  <c r="K372" i="24" s="1"/>
  <c r="I372" i="24" a="1"/>
  <c r="I372" i="24" s="1"/>
  <c r="J372" i="24" s="1" a="1"/>
  <c r="J372" i="24" s="1"/>
  <c r="K371" i="24" a="1"/>
  <c r="K371" i="24" s="1"/>
  <c r="I371" i="24" a="1"/>
  <c r="I371" i="24" s="1"/>
  <c r="J371" i="24" s="1" a="1"/>
  <c r="J371" i="24" s="1"/>
  <c r="K370" i="24" a="1"/>
  <c r="K370" i="24" s="1"/>
  <c r="I370" i="24" a="1"/>
  <c r="I370" i="24" s="1"/>
  <c r="J370" i="24" s="1" a="1"/>
  <c r="J370" i="24" s="1"/>
  <c r="K369" i="24" a="1"/>
  <c r="K369" i="24" s="1"/>
  <c r="I369" i="24" a="1"/>
  <c r="I369" i="24" s="1"/>
  <c r="J369" i="24" s="1" a="1"/>
  <c r="J369" i="24" s="1"/>
  <c r="K368" i="24" a="1"/>
  <c r="K368" i="24" s="1"/>
  <c r="I368" i="24" a="1"/>
  <c r="I368" i="24" s="1"/>
  <c r="J368" i="24" s="1" a="1"/>
  <c r="J368" i="24" s="1"/>
  <c r="K367" i="24" a="1"/>
  <c r="K367" i="24" s="1"/>
  <c r="I367" i="24" a="1"/>
  <c r="I367" i="24" s="1"/>
  <c r="J367" i="24" s="1" a="1"/>
  <c r="J367" i="24" s="1"/>
  <c r="K366" i="24" a="1"/>
  <c r="K366" i="24" s="1"/>
  <c r="I366" i="24" a="1"/>
  <c r="I366" i="24" s="1"/>
  <c r="J366" i="24" s="1" a="1"/>
  <c r="J366" i="24" s="1"/>
  <c r="K365" i="24" a="1"/>
  <c r="K365" i="24" s="1"/>
  <c r="I365" i="24" a="1"/>
  <c r="I365" i="24" s="1"/>
  <c r="J365" i="24" s="1" a="1"/>
  <c r="J365" i="24" s="1"/>
  <c r="K364" i="24" a="1"/>
  <c r="K364" i="24" s="1"/>
  <c r="I364" i="24" a="1"/>
  <c r="I364" i="24" s="1"/>
  <c r="J364" i="24" s="1" a="1"/>
  <c r="J364" i="24" s="1"/>
  <c r="K363" i="24" a="1"/>
  <c r="K363" i="24" s="1"/>
  <c r="I363" i="24" a="1"/>
  <c r="I363" i="24" s="1"/>
  <c r="J363" i="24" s="1" a="1"/>
  <c r="J363" i="24" s="1"/>
  <c r="K362" i="24" a="1"/>
  <c r="K362" i="24" s="1"/>
  <c r="I362" i="24" a="1"/>
  <c r="I362" i="24" s="1"/>
  <c r="J362" i="24" s="1" a="1"/>
  <c r="J362" i="24" s="1"/>
  <c r="K361" i="24" a="1"/>
  <c r="K361" i="24" s="1"/>
  <c r="I361" i="24" a="1"/>
  <c r="I361" i="24" s="1"/>
  <c r="J361" i="24" s="1" a="1"/>
  <c r="J361" i="24" s="1"/>
  <c r="K360" i="24" a="1"/>
  <c r="K360" i="24" s="1"/>
  <c r="I360" i="24" a="1"/>
  <c r="I360" i="24" s="1"/>
  <c r="J360" i="24" s="1" a="1"/>
  <c r="J360" i="24" s="1"/>
  <c r="K359" i="24" a="1"/>
  <c r="K359" i="24" s="1"/>
  <c r="I359" i="24" a="1"/>
  <c r="I359" i="24" s="1"/>
  <c r="J359" i="24" s="1" a="1"/>
  <c r="J359" i="24" s="1"/>
  <c r="K358" i="24" a="1"/>
  <c r="K358" i="24" s="1"/>
  <c r="I358" i="24" a="1"/>
  <c r="I358" i="24" s="1"/>
  <c r="J358" i="24" s="1" a="1"/>
  <c r="J358" i="24" s="1"/>
  <c r="K357" i="24" a="1"/>
  <c r="K357" i="24" s="1"/>
  <c r="I357" i="24" a="1"/>
  <c r="I357" i="24" s="1"/>
  <c r="J357" i="24" s="1" a="1"/>
  <c r="J357" i="24" s="1"/>
  <c r="K356" i="24" a="1"/>
  <c r="K356" i="24" s="1"/>
  <c r="I356" i="24" a="1"/>
  <c r="I356" i="24" s="1"/>
  <c r="J356" i="24" s="1" a="1"/>
  <c r="J356" i="24" s="1"/>
  <c r="K355" i="24" a="1"/>
  <c r="K355" i="24" s="1"/>
  <c r="I355" i="24" a="1"/>
  <c r="I355" i="24" s="1"/>
  <c r="J355" i="24" s="1" a="1"/>
  <c r="J355" i="24" s="1"/>
  <c r="K354" i="24" a="1"/>
  <c r="K354" i="24" s="1"/>
  <c r="I354" i="24" a="1"/>
  <c r="I354" i="24" s="1"/>
  <c r="J354" i="24" s="1" a="1"/>
  <c r="J354" i="24" s="1"/>
  <c r="K353" i="24" a="1"/>
  <c r="K353" i="24" s="1"/>
  <c r="I353" i="24" a="1"/>
  <c r="I353" i="24" s="1"/>
  <c r="J353" i="24" s="1" a="1"/>
  <c r="J353" i="24" s="1"/>
  <c r="K352" i="24" a="1"/>
  <c r="K352" i="24" s="1"/>
  <c r="I352" i="24" a="1"/>
  <c r="I352" i="24" s="1"/>
  <c r="J352" i="24" s="1" a="1"/>
  <c r="J352" i="24" s="1"/>
  <c r="K351" i="24" a="1"/>
  <c r="K351" i="24" s="1"/>
  <c r="I351" i="24" a="1"/>
  <c r="I351" i="24" s="1"/>
  <c r="J351" i="24" s="1" a="1"/>
  <c r="J351" i="24" s="1"/>
  <c r="K350" i="24" a="1"/>
  <c r="K350" i="24" s="1"/>
  <c r="I350" i="24" a="1"/>
  <c r="I350" i="24" s="1"/>
  <c r="J350" i="24" s="1" a="1"/>
  <c r="J350" i="24" s="1"/>
  <c r="K349" i="24" a="1"/>
  <c r="K349" i="24" s="1"/>
  <c r="I349" i="24" a="1"/>
  <c r="I349" i="24" s="1"/>
  <c r="J349" i="24" s="1" a="1"/>
  <c r="J349" i="24" s="1"/>
  <c r="K348" i="24" a="1"/>
  <c r="K348" i="24" s="1"/>
  <c r="I348" i="24" a="1"/>
  <c r="I348" i="24" s="1"/>
  <c r="J348" i="24" s="1" a="1"/>
  <c r="J348" i="24" s="1"/>
  <c r="K347" i="24" a="1"/>
  <c r="K347" i="24" s="1"/>
  <c r="I347" i="24" a="1"/>
  <c r="I347" i="24" s="1"/>
  <c r="J347" i="24" s="1" a="1"/>
  <c r="J347" i="24" s="1"/>
  <c r="K346" i="24" a="1"/>
  <c r="K346" i="24" s="1"/>
  <c r="I346" i="24" a="1"/>
  <c r="I346" i="24" s="1"/>
  <c r="J346" i="24" s="1" a="1"/>
  <c r="J346" i="24" s="1"/>
  <c r="K345" i="24" a="1"/>
  <c r="K345" i="24" s="1"/>
  <c r="I345" i="24" a="1"/>
  <c r="I345" i="24" s="1"/>
  <c r="J345" i="24" s="1" a="1"/>
  <c r="J345" i="24" s="1"/>
  <c r="K344" i="24" a="1"/>
  <c r="K344" i="24" s="1"/>
  <c r="I344" i="24" a="1"/>
  <c r="I344" i="24" s="1"/>
  <c r="J344" i="24" s="1" a="1"/>
  <c r="J344" i="24" s="1"/>
  <c r="K343" i="24" a="1"/>
  <c r="K343" i="24" s="1"/>
  <c r="I343" i="24" a="1"/>
  <c r="I343" i="24" s="1"/>
  <c r="J343" i="24" s="1" a="1"/>
  <c r="J343" i="24" s="1"/>
  <c r="K342" i="24" a="1"/>
  <c r="K342" i="24" s="1"/>
  <c r="I342" i="24" a="1"/>
  <c r="I342" i="24" s="1"/>
  <c r="J342" i="24" s="1" a="1"/>
  <c r="J342" i="24" s="1"/>
  <c r="K341" i="24" a="1"/>
  <c r="K341" i="24" s="1"/>
  <c r="I341" i="24" a="1"/>
  <c r="I341" i="24" s="1"/>
  <c r="J341" i="24" s="1" a="1"/>
  <c r="J341" i="24" s="1"/>
  <c r="K340" i="24" a="1"/>
  <c r="K340" i="24" s="1"/>
  <c r="I340" i="24" a="1"/>
  <c r="I340" i="24" s="1"/>
  <c r="J340" i="24" s="1" a="1"/>
  <c r="J340" i="24" s="1"/>
  <c r="K339" i="24" a="1"/>
  <c r="K339" i="24" s="1"/>
  <c r="I339" i="24" a="1"/>
  <c r="I339" i="24" s="1"/>
  <c r="J339" i="24" s="1" a="1"/>
  <c r="J339" i="24" s="1"/>
  <c r="K338" i="24" a="1"/>
  <c r="K338" i="24" s="1"/>
  <c r="I338" i="24" a="1"/>
  <c r="I338" i="24" s="1"/>
  <c r="J338" i="24" s="1" a="1"/>
  <c r="J338" i="24" s="1"/>
  <c r="K337" i="24" a="1"/>
  <c r="K337" i="24" s="1"/>
  <c r="I337" i="24" a="1"/>
  <c r="I337" i="24" s="1"/>
  <c r="J337" i="24" s="1" a="1"/>
  <c r="J337" i="24" s="1"/>
  <c r="K336" i="24" a="1"/>
  <c r="K336" i="24" s="1"/>
  <c r="I336" i="24" a="1"/>
  <c r="I336" i="24" s="1"/>
  <c r="J336" i="24" s="1" a="1"/>
  <c r="J336" i="24" s="1"/>
  <c r="K335" i="24" a="1"/>
  <c r="K335" i="24" s="1"/>
  <c r="I335" i="24" a="1"/>
  <c r="I335" i="24" s="1"/>
  <c r="J335" i="24" s="1" a="1"/>
  <c r="J335" i="24" s="1"/>
  <c r="K334" i="24" a="1"/>
  <c r="K334" i="24" s="1"/>
  <c r="I334" i="24" a="1"/>
  <c r="I334" i="24" s="1"/>
  <c r="J334" i="24" s="1" a="1"/>
  <c r="J334" i="24" s="1"/>
  <c r="K333" i="24" a="1"/>
  <c r="K333" i="24" s="1"/>
  <c r="I333" i="24" a="1"/>
  <c r="I333" i="24" s="1"/>
  <c r="J333" i="24" s="1" a="1"/>
  <c r="J333" i="24" s="1"/>
  <c r="K332" i="24" a="1"/>
  <c r="K332" i="24" s="1"/>
  <c r="I332" i="24" a="1"/>
  <c r="I332" i="24" s="1"/>
  <c r="J332" i="24" s="1" a="1"/>
  <c r="J332" i="24" s="1"/>
  <c r="K331" i="24" a="1"/>
  <c r="K331" i="24" s="1"/>
  <c r="I331" i="24" a="1"/>
  <c r="I331" i="24" s="1"/>
  <c r="J331" i="24" s="1" a="1"/>
  <c r="J331" i="24" s="1"/>
  <c r="K330" i="24" a="1"/>
  <c r="K330" i="24" s="1"/>
  <c r="I330" i="24" a="1"/>
  <c r="I330" i="24" s="1"/>
  <c r="J330" i="24" s="1" a="1"/>
  <c r="J330" i="24" s="1"/>
  <c r="K329" i="24" a="1"/>
  <c r="K329" i="24" s="1"/>
  <c r="I329" i="24" a="1"/>
  <c r="I329" i="24" s="1"/>
  <c r="J329" i="24" s="1" a="1"/>
  <c r="J329" i="24" s="1"/>
  <c r="K328" i="24" a="1"/>
  <c r="K328" i="24" s="1"/>
  <c r="I328" i="24" a="1"/>
  <c r="I328" i="24" s="1"/>
  <c r="J328" i="24" s="1" a="1"/>
  <c r="J328" i="24" s="1"/>
  <c r="K327" i="24" a="1"/>
  <c r="K327" i="24" s="1"/>
  <c r="I327" i="24" a="1"/>
  <c r="I327" i="24" s="1"/>
  <c r="J327" i="24" s="1" a="1"/>
  <c r="J327" i="24" s="1"/>
  <c r="K326" i="24" a="1"/>
  <c r="K326" i="24" s="1"/>
  <c r="I326" i="24" a="1"/>
  <c r="I326" i="24" s="1"/>
  <c r="J326" i="24" s="1" a="1"/>
  <c r="J326" i="24" s="1"/>
  <c r="K325" i="24" a="1"/>
  <c r="K325" i="24" s="1"/>
  <c r="I325" i="24" a="1"/>
  <c r="I325" i="24" s="1"/>
  <c r="J325" i="24" s="1" a="1"/>
  <c r="J325" i="24" s="1"/>
  <c r="K324" i="24" a="1"/>
  <c r="K324" i="24" s="1"/>
  <c r="I324" i="24" a="1"/>
  <c r="I324" i="24" s="1"/>
  <c r="J324" i="24" s="1" a="1"/>
  <c r="J324" i="24" s="1"/>
  <c r="K323" i="24" a="1"/>
  <c r="K323" i="24" s="1"/>
  <c r="I323" i="24" a="1"/>
  <c r="I323" i="24" s="1"/>
  <c r="J323" i="24" s="1" a="1"/>
  <c r="J323" i="24" s="1"/>
  <c r="K322" i="24" a="1"/>
  <c r="K322" i="24" s="1"/>
  <c r="I322" i="24" a="1"/>
  <c r="I322" i="24" s="1"/>
  <c r="J322" i="24" s="1" a="1"/>
  <c r="J322" i="24" s="1"/>
  <c r="K321" i="24" a="1"/>
  <c r="K321" i="24" s="1"/>
  <c r="I321" i="24" a="1"/>
  <c r="I321" i="24" s="1"/>
  <c r="J321" i="24" s="1" a="1"/>
  <c r="J321" i="24" s="1"/>
  <c r="K320" i="24" a="1"/>
  <c r="K320" i="24" s="1"/>
  <c r="I320" i="24" a="1"/>
  <c r="I320" i="24" s="1"/>
  <c r="J320" i="24" s="1" a="1"/>
  <c r="J320" i="24" s="1"/>
  <c r="K319" i="24" a="1"/>
  <c r="K319" i="24" s="1"/>
  <c r="I319" i="24" a="1"/>
  <c r="I319" i="24" s="1"/>
  <c r="J319" i="24" s="1" a="1"/>
  <c r="J319" i="24" s="1"/>
  <c r="K318" i="24" a="1"/>
  <c r="K318" i="24" s="1"/>
  <c r="I318" i="24" a="1"/>
  <c r="I318" i="24" s="1"/>
  <c r="J318" i="24" s="1" a="1"/>
  <c r="J318" i="24" s="1"/>
  <c r="K317" i="24" a="1"/>
  <c r="K317" i="24" s="1"/>
  <c r="I317" i="24" a="1"/>
  <c r="I317" i="24" s="1"/>
  <c r="J317" i="24" s="1" a="1"/>
  <c r="J317" i="24" s="1"/>
  <c r="K316" i="24" a="1"/>
  <c r="K316" i="24" s="1"/>
  <c r="I316" i="24" a="1"/>
  <c r="I316" i="24" s="1"/>
  <c r="J316" i="24" s="1" a="1"/>
  <c r="J316" i="24" s="1"/>
  <c r="K315" i="24" a="1"/>
  <c r="K315" i="24" s="1"/>
  <c r="I315" i="24" a="1"/>
  <c r="I315" i="24" s="1"/>
  <c r="J315" i="24" s="1" a="1"/>
  <c r="J315" i="24" s="1"/>
  <c r="K314" i="24" a="1"/>
  <c r="K314" i="24" s="1"/>
  <c r="I314" i="24" a="1"/>
  <c r="I314" i="24" s="1"/>
  <c r="J314" i="24" s="1" a="1"/>
  <c r="J314" i="24" s="1"/>
  <c r="K313" i="24" a="1"/>
  <c r="K313" i="24" s="1"/>
  <c r="I313" i="24" a="1"/>
  <c r="I313" i="24" s="1"/>
  <c r="J313" i="24" s="1" a="1"/>
  <c r="J313" i="24" s="1"/>
  <c r="K312" i="24" a="1"/>
  <c r="K312" i="24" s="1"/>
  <c r="I312" i="24" a="1"/>
  <c r="I312" i="24" s="1"/>
  <c r="J312" i="24" s="1" a="1"/>
  <c r="J312" i="24" s="1"/>
  <c r="K311" i="24" a="1"/>
  <c r="K311" i="24" s="1"/>
  <c r="I311" i="24" a="1"/>
  <c r="I311" i="24" s="1"/>
  <c r="J311" i="24" s="1" a="1"/>
  <c r="J311" i="24" s="1"/>
  <c r="K310" i="24" a="1"/>
  <c r="K310" i="24" s="1"/>
  <c r="I310" i="24" a="1"/>
  <c r="I310" i="24" s="1"/>
  <c r="J310" i="24" s="1" a="1"/>
  <c r="J310" i="24" s="1"/>
  <c r="K309" i="24" a="1"/>
  <c r="K309" i="24" s="1"/>
  <c r="I309" i="24" a="1"/>
  <c r="I309" i="24" s="1"/>
  <c r="J309" i="24" s="1" a="1"/>
  <c r="J309" i="24" s="1"/>
  <c r="K308" i="24" a="1"/>
  <c r="K308" i="24" s="1"/>
  <c r="I308" i="24" a="1"/>
  <c r="I308" i="24" s="1"/>
  <c r="J308" i="24" s="1" a="1"/>
  <c r="J308" i="24" s="1"/>
  <c r="K307" i="24" a="1"/>
  <c r="K307" i="24" s="1"/>
  <c r="I307" i="24" a="1"/>
  <c r="I307" i="24" s="1"/>
  <c r="J307" i="24" s="1" a="1"/>
  <c r="J307" i="24" s="1"/>
  <c r="K306" i="24" a="1"/>
  <c r="K306" i="24" s="1"/>
  <c r="I306" i="24" a="1"/>
  <c r="I306" i="24" s="1"/>
  <c r="J306" i="24" s="1" a="1"/>
  <c r="J306" i="24" s="1"/>
  <c r="K305" i="24" a="1"/>
  <c r="K305" i="24" s="1"/>
  <c r="I305" i="24" a="1"/>
  <c r="I305" i="24" s="1"/>
  <c r="J305" i="24" s="1" a="1"/>
  <c r="J305" i="24" s="1"/>
  <c r="K304" i="24" a="1"/>
  <c r="K304" i="24" s="1"/>
  <c r="I304" i="24" a="1"/>
  <c r="I304" i="24" s="1"/>
  <c r="J304" i="24" s="1" a="1"/>
  <c r="J304" i="24" s="1"/>
  <c r="K303" i="24" a="1"/>
  <c r="K303" i="24" s="1"/>
  <c r="I303" i="24" a="1"/>
  <c r="I303" i="24" s="1"/>
  <c r="J303" i="24" s="1" a="1"/>
  <c r="J303" i="24" s="1"/>
  <c r="K302" i="24" a="1"/>
  <c r="K302" i="24" s="1"/>
  <c r="I302" i="24" a="1"/>
  <c r="I302" i="24" s="1"/>
  <c r="J302" i="24" s="1" a="1"/>
  <c r="J302" i="24" s="1"/>
  <c r="K301" i="24" a="1"/>
  <c r="K301" i="24" s="1"/>
  <c r="I301" i="24" a="1"/>
  <c r="I301" i="24" s="1"/>
  <c r="J301" i="24" s="1" a="1"/>
  <c r="J301" i="24" s="1"/>
  <c r="K300" i="24" a="1"/>
  <c r="K300" i="24" s="1"/>
  <c r="I300" i="24" a="1"/>
  <c r="I300" i="24" s="1"/>
  <c r="J300" i="24" s="1" a="1"/>
  <c r="J300" i="24" s="1"/>
  <c r="K299" i="24" a="1"/>
  <c r="K299" i="24" s="1"/>
  <c r="I299" i="24" a="1"/>
  <c r="I299" i="24" s="1"/>
  <c r="J299" i="24" s="1" a="1"/>
  <c r="J299" i="24" s="1"/>
  <c r="K298" i="24" a="1"/>
  <c r="K298" i="24" s="1"/>
  <c r="I298" i="24" a="1"/>
  <c r="I298" i="24" s="1"/>
  <c r="J298" i="24" s="1" a="1"/>
  <c r="J298" i="24" s="1"/>
  <c r="K297" i="24" a="1"/>
  <c r="K297" i="24" s="1"/>
  <c r="I297" i="24" a="1"/>
  <c r="I297" i="24" s="1"/>
  <c r="J297" i="24" s="1" a="1"/>
  <c r="J297" i="24" s="1"/>
  <c r="K296" i="24" a="1"/>
  <c r="K296" i="24" s="1"/>
  <c r="I296" i="24" a="1"/>
  <c r="I296" i="24" s="1"/>
  <c r="J296" i="24" s="1" a="1"/>
  <c r="J296" i="24" s="1"/>
  <c r="K295" i="24" a="1"/>
  <c r="K295" i="24" s="1"/>
  <c r="I295" i="24" a="1"/>
  <c r="I295" i="24" s="1"/>
  <c r="J295" i="24" s="1" a="1"/>
  <c r="J295" i="24" s="1"/>
  <c r="K294" i="24" a="1"/>
  <c r="K294" i="24" s="1"/>
  <c r="I294" i="24" a="1"/>
  <c r="I294" i="24" s="1"/>
  <c r="J294" i="24" s="1" a="1"/>
  <c r="J294" i="24" s="1"/>
  <c r="K293" i="24" a="1"/>
  <c r="K293" i="24" s="1"/>
  <c r="I293" i="24" a="1"/>
  <c r="I293" i="24" s="1"/>
  <c r="J293" i="24" s="1" a="1"/>
  <c r="J293" i="24" s="1"/>
  <c r="K292" i="24" a="1"/>
  <c r="K292" i="24" s="1"/>
  <c r="I292" i="24" a="1"/>
  <c r="I292" i="24" s="1"/>
  <c r="J292" i="24" s="1" a="1"/>
  <c r="J292" i="24" s="1"/>
  <c r="K291" i="24" a="1"/>
  <c r="K291" i="24" s="1"/>
  <c r="I291" i="24" a="1"/>
  <c r="I291" i="24" s="1"/>
  <c r="J291" i="24" s="1" a="1"/>
  <c r="J291" i="24" s="1"/>
  <c r="K290" i="24" a="1"/>
  <c r="K290" i="24" s="1"/>
  <c r="I290" i="24" a="1"/>
  <c r="I290" i="24" s="1"/>
  <c r="J290" i="24" s="1" a="1"/>
  <c r="J290" i="24" s="1"/>
  <c r="K289" i="24" a="1"/>
  <c r="K289" i="24" s="1"/>
  <c r="I289" i="24" a="1"/>
  <c r="I289" i="24" s="1"/>
  <c r="J289" i="24" s="1" a="1"/>
  <c r="J289" i="24" s="1"/>
  <c r="K288" i="24" a="1"/>
  <c r="K288" i="24" s="1"/>
  <c r="I288" i="24" a="1"/>
  <c r="I288" i="24" s="1"/>
  <c r="J288" i="24" s="1" a="1"/>
  <c r="J288" i="24" s="1"/>
  <c r="K287" i="24" a="1"/>
  <c r="K287" i="24" s="1"/>
  <c r="I287" i="24" a="1"/>
  <c r="I287" i="24" s="1"/>
  <c r="J287" i="24" s="1" a="1"/>
  <c r="J287" i="24" s="1"/>
  <c r="K286" i="24" a="1"/>
  <c r="K286" i="24" s="1"/>
  <c r="I286" i="24" a="1"/>
  <c r="I286" i="24" s="1"/>
  <c r="J286" i="24" s="1" a="1"/>
  <c r="J286" i="24" s="1"/>
  <c r="K285" i="24" a="1"/>
  <c r="K285" i="24" s="1"/>
  <c r="I285" i="24" a="1"/>
  <c r="I285" i="24" s="1"/>
  <c r="J285" i="24" s="1" a="1"/>
  <c r="J285" i="24" s="1"/>
  <c r="K284" i="24" a="1"/>
  <c r="K284" i="24" s="1"/>
  <c r="I284" i="24" a="1"/>
  <c r="I284" i="24" s="1"/>
  <c r="J284" i="24" s="1" a="1"/>
  <c r="J284" i="24" s="1"/>
  <c r="K283" i="24" a="1"/>
  <c r="K283" i="24" s="1"/>
  <c r="I283" i="24" a="1"/>
  <c r="I283" i="24" s="1"/>
  <c r="J283" i="24" s="1" a="1"/>
  <c r="J283" i="24" s="1"/>
  <c r="K282" i="24" a="1"/>
  <c r="K282" i="24" s="1"/>
  <c r="I282" i="24" a="1"/>
  <c r="I282" i="24" s="1"/>
  <c r="J282" i="24" s="1" a="1"/>
  <c r="J282" i="24" s="1"/>
  <c r="K281" i="24" a="1"/>
  <c r="K281" i="24" s="1"/>
  <c r="I281" i="24" a="1"/>
  <c r="I281" i="24" s="1"/>
  <c r="J281" i="24" s="1" a="1"/>
  <c r="J281" i="24" s="1"/>
  <c r="K280" i="24" a="1"/>
  <c r="K280" i="24" s="1"/>
  <c r="I280" i="24" a="1"/>
  <c r="I280" i="24" s="1"/>
  <c r="J280" i="24" s="1" a="1"/>
  <c r="J280" i="24" s="1"/>
  <c r="K279" i="24" a="1"/>
  <c r="K279" i="24" s="1"/>
  <c r="I279" i="24" a="1"/>
  <c r="I279" i="24" s="1"/>
  <c r="J279" i="24" s="1" a="1"/>
  <c r="J279" i="24" s="1"/>
  <c r="K278" i="24" a="1"/>
  <c r="K278" i="24" s="1"/>
  <c r="I278" i="24" a="1"/>
  <c r="I278" i="24" s="1"/>
  <c r="J278" i="24" s="1" a="1"/>
  <c r="J278" i="24" s="1"/>
  <c r="K277" i="24" a="1"/>
  <c r="K277" i="24" s="1"/>
  <c r="I277" i="24" a="1"/>
  <c r="I277" i="24" s="1"/>
  <c r="J277" i="24" s="1" a="1"/>
  <c r="J277" i="24" s="1"/>
  <c r="K276" i="24" a="1"/>
  <c r="K276" i="24" s="1"/>
  <c r="I276" i="24" a="1"/>
  <c r="I276" i="24" s="1"/>
  <c r="J276" i="24" s="1" a="1"/>
  <c r="J276" i="24" s="1"/>
  <c r="K275" i="24" a="1"/>
  <c r="K275" i="24" s="1"/>
  <c r="I275" i="24" a="1"/>
  <c r="I275" i="24" s="1"/>
  <c r="J275" i="24" s="1" a="1"/>
  <c r="J275" i="24" s="1"/>
  <c r="K274" i="24" a="1"/>
  <c r="K274" i="24" s="1"/>
  <c r="I274" i="24" a="1"/>
  <c r="I274" i="24" s="1"/>
  <c r="J274" i="24" s="1" a="1"/>
  <c r="J274" i="24" s="1"/>
  <c r="K273" i="24" a="1"/>
  <c r="K273" i="24" s="1"/>
  <c r="I273" i="24" a="1"/>
  <c r="I273" i="24" s="1"/>
  <c r="J273" i="24" s="1" a="1"/>
  <c r="J273" i="24" s="1"/>
  <c r="K272" i="24" a="1"/>
  <c r="K272" i="24" s="1"/>
  <c r="I272" i="24" a="1"/>
  <c r="I272" i="24" s="1"/>
  <c r="J272" i="24" s="1" a="1"/>
  <c r="J272" i="24" s="1"/>
  <c r="K271" i="24" a="1"/>
  <c r="K271" i="24" s="1"/>
  <c r="I271" i="24" a="1"/>
  <c r="I271" i="24" s="1"/>
  <c r="J271" i="24" s="1" a="1"/>
  <c r="J271" i="24" s="1"/>
  <c r="K270" i="24" a="1"/>
  <c r="K270" i="24" s="1"/>
  <c r="I270" i="24" a="1"/>
  <c r="I270" i="24" s="1"/>
  <c r="J270" i="24" s="1" a="1"/>
  <c r="J270" i="24" s="1"/>
  <c r="K269" i="24" a="1"/>
  <c r="K269" i="24" s="1"/>
  <c r="I269" i="24" a="1"/>
  <c r="I269" i="24" s="1"/>
  <c r="J269" i="24" s="1" a="1"/>
  <c r="J269" i="24" s="1"/>
  <c r="K268" i="24" a="1"/>
  <c r="K268" i="24" s="1"/>
  <c r="I268" i="24" a="1"/>
  <c r="I268" i="24" s="1"/>
  <c r="J268" i="24" s="1" a="1"/>
  <c r="J268" i="24" s="1"/>
  <c r="K267" i="24" a="1"/>
  <c r="K267" i="24" s="1"/>
  <c r="I267" i="24" a="1"/>
  <c r="I267" i="24" s="1"/>
  <c r="J267" i="24" s="1" a="1"/>
  <c r="J267" i="24" s="1"/>
  <c r="K266" i="24" a="1"/>
  <c r="K266" i="24" s="1"/>
  <c r="I266" i="24" a="1"/>
  <c r="I266" i="24" s="1"/>
  <c r="J266" i="24" s="1" a="1"/>
  <c r="J266" i="24" s="1"/>
  <c r="K265" i="24" a="1"/>
  <c r="K265" i="24" s="1"/>
  <c r="I265" i="24" a="1"/>
  <c r="I265" i="24" s="1"/>
  <c r="J265" i="24" s="1" a="1"/>
  <c r="J265" i="24" s="1"/>
  <c r="K264" i="24" a="1"/>
  <c r="K264" i="24" s="1"/>
  <c r="I264" i="24" a="1"/>
  <c r="I264" i="24" s="1"/>
  <c r="J264" i="24" s="1" a="1"/>
  <c r="J264" i="24" s="1"/>
  <c r="K263" i="24" a="1"/>
  <c r="K263" i="24" s="1"/>
  <c r="I263" i="24" a="1"/>
  <c r="I263" i="24" s="1"/>
  <c r="J263" i="24" s="1" a="1"/>
  <c r="J263" i="24" s="1"/>
  <c r="K262" i="24" a="1"/>
  <c r="K262" i="24" s="1"/>
  <c r="I262" i="24" a="1"/>
  <c r="I262" i="24" s="1"/>
  <c r="J262" i="24" s="1" a="1"/>
  <c r="J262" i="24" s="1"/>
  <c r="K261" i="24" a="1"/>
  <c r="K261" i="24" s="1"/>
  <c r="I261" i="24" a="1"/>
  <c r="I261" i="24" s="1"/>
  <c r="J261" i="24" s="1" a="1"/>
  <c r="J261" i="24" s="1"/>
  <c r="K260" i="24" a="1"/>
  <c r="K260" i="24" s="1"/>
  <c r="I260" i="24" a="1"/>
  <c r="I260" i="24" s="1"/>
  <c r="J260" i="24" s="1" a="1"/>
  <c r="J260" i="24" s="1"/>
  <c r="K259" i="24" a="1"/>
  <c r="K259" i="24" s="1"/>
  <c r="I259" i="24" a="1"/>
  <c r="I259" i="24" s="1"/>
  <c r="J259" i="24" s="1" a="1"/>
  <c r="J259" i="24" s="1"/>
  <c r="K258" i="24" a="1"/>
  <c r="K258" i="24" s="1"/>
  <c r="I258" i="24" a="1"/>
  <c r="I258" i="24" s="1"/>
  <c r="K257" i="24" a="1"/>
  <c r="K257" i="24" s="1"/>
  <c r="I257" i="24" a="1"/>
  <c r="I257" i="24" s="1"/>
  <c r="J257" i="24" s="1" a="1"/>
  <c r="J257" i="24" s="1"/>
  <c r="K256" i="24" a="1"/>
  <c r="K256" i="24" s="1"/>
  <c r="I256" i="24" a="1"/>
  <c r="I256" i="24" s="1"/>
  <c r="J256" i="24" s="1" a="1"/>
  <c r="J256" i="24" s="1"/>
  <c r="K255" i="24" a="1"/>
  <c r="K255" i="24" s="1"/>
  <c r="I255" i="24" a="1"/>
  <c r="I255" i="24" s="1"/>
  <c r="J255" i="24" s="1" a="1"/>
  <c r="J255" i="24" s="1"/>
  <c r="K254" i="24" a="1"/>
  <c r="K254" i="24" s="1"/>
  <c r="I254" i="24" a="1"/>
  <c r="I254" i="24" s="1"/>
  <c r="J254" i="24" s="1" a="1"/>
  <c r="J254" i="24" s="1"/>
  <c r="K253" i="24" a="1"/>
  <c r="K253" i="24" s="1"/>
  <c r="I253" i="24" a="1"/>
  <c r="I253" i="24" s="1"/>
  <c r="J253" i="24" s="1" a="1"/>
  <c r="J253" i="24" s="1"/>
  <c r="K252" i="24" a="1"/>
  <c r="K252" i="24" s="1"/>
  <c r="I252" i="24" a="1"/>
  <c r="I252" i="24" s="1"/>
  <c r="K251" i="24" a="1"/>
  <c r="K251" i="24" s="1"/>
  <c r="I251" i="24" a="1"/>
  <c r="I251" i="24" s="1"/>
  <c r="J251" i="24" s="1" a="1"/>
  <c r="J251" i="24" s="1"/>
  <c r="K250" i="24" a="1"/>
  <c r="K250" i="24" s="1"/>
  <c r="I250" i="24" a="1"/>
  <c r="I250" i="24" s="1"/>
  <c r="J250" i="24" s="1" a="1"/>
  <c r="J250" i="24" s="1"/>
  <c r="K249" i="24" a="1"/>
  <c r="K249" i="24" s="1"/>
  <c r="I249" i="24" a="1"/>
  <c r="I249" i="24" s="1"/>
  <c r="J249" i="24" s="1" a="1"/>
  <c r="J249" i="24" s="1"/>
  <c r="K248" i="24" a="1"/>
  <c r="K248" i="24" s="1"/>
  <c r="I248" i="24" a="1"/>
  <c r="I248" i="24" s="1"/>
  <c r="J248" i="24" s="1" a="1"/>
  <c r="J248" i="24" s="1"/>
  <c r="K247" i="24" a="1"/>
  <c r="K247" i="24" s="1"/>
  <c r="I247" i="24" a="1"/>
  <c r="I247" i="24" s="1"/>
  <c r="J247" i="24" s="1" a="1"/>
  <c r="J247" i="24" s="1"/>
  <c r="K246" i="24" a="1"/>
  <c r="K246" i="24" s="1"/>
  <c r="I246" i="24" a="1"/>
  <c r="I246" i="24" s="1"/>
  <c r="J246" i="24" s="1" a="1"/>
  <c r="J246" i="24" s="1"/>
  <c r="K245" i="24" a="1"/>
  <c r="K245" i="24" s="1"/>
  <c r="I245" i="24" a="1"/>
  <c r="I245" i="24" s="1"/>
  <c r="J245" i="24" s="1" a="1"/>
  <c r="J245" i="24" s="1"/>
  <c r="K244" i="24" a="1"/>
  <c r="K244" i="24" s="1"/>
  <c r="I244" i="24" a="1"/>
  <c r="I244" i="24" s="1"/>
  <c r="J244" i="24" s="1" a="1"/>
  <c r="J244" i="24" s="1"/>
  <c r="K243" i="24" a="1"/>
  <c r="K243" i="24" s="1"/>
  <c r="I243" i="24" a="1"/>
  <c r="I243" i="24" s="1"/>
  <c r="J243" i="24" s="1" a="1"/>
  <c r="J243" i="24" s="1"/>
  <c r="K242" i="24" a="1"/>
  <c r="K242" i="24" s="1"/>
  <c r="I242" i="24" a="1"/>
  <c r="I242" i="24" s="1"/>
  <c r="J242" i="24" s="1" a="1"/>
  <c r="J242" i="24" s="1"/>
  <c r="K241" i="24" a="1"/>
  <c r="K241" i="24" s="1"/>
  <c r="I241" i="24" a="1"/>
  <c r="I241" i="24" s="1"/>
  <c r="J241" i="24" s="1" a="1"/>
  <c r="J241" i="24" s="1"/>
  <c r="K240" i="24" a="1"/>
  <c r="K240" i="24" s="1"/>
  <c r="I240" i="24" a="1"/>
  <c r="I240" i="24" s="1"/>
  <c r="J240" i="24" s="1" a="1"/>
  <c r="J240" i="24" s="1"/>
  <c r="K239" i="24" a="1"/>
  <c r="K239" i="24" s="1"/>
  <c r="I239" i="24" a="1"/>
  <c r="I239" i="24" s="1"/>
  <c r="J239" i="24" s="1" a="1"/>
  <c r="J239" i="24" s="1"/>
  <c r="K238" i="24" a="1"/>
  <c r="K238" i="24" s="1"/>
  <c r="I238" i="24" a="1"/>
  <c r="I238" i="24" s="1"/>
  <c r="J238" i="24" s="1" a="1"/>
  <c r="J238" i="24" s="1"/>
  <c r="K237" i="24" a="1"/>
  <c r="K237" i="24" s="1"/>
  <c r="I237" i="24" a="1"/>
  <c r="I237" i="24" s="1"/>
  <c r="J237" i="24" s="1" a="1"/>
  <c r="J237" i="24" s="1"/>
  <c r="K236" i="24" a="1"/>
  <c r="K236" i="24" s="1"/>
  <c r="I236" i="24" a="1"/>
  <c r="I236" i="24" s="1"/>
  <c r="J236" i="24" s="1" a="1"/>
  <c r="J236" i="24" s="1"/>
  <c r="K235" i="24" a="1"/>
  <c r="K235" i="24" s="1"/>
  <c r="I235" i="24" a="1"/>
  <c r="I235" i="24" s="1"/>
  <c r="J235" i="24" s="1" a="1"/>
  <c r="J235" i="24" s="1"/>
  <c r="K234" i="24" a="1"/>
  <c r="K234" i="24" s="1"/>
  <c r="I234" i="24" a="1"/>
  <c r="I234" i="24" s="1"/>
  <c r="J234" i="24" s="1" a="1"/>
  <c r="J234" i="24" s="1"/>
  <c r="K233" i="24" a="1"/>
  <c r="K233" i="24" s="1"/>
  <c r="I233" i="24" a="1"/>
  <c r="I233" i="24" s="1"/>
  <c r="J233" i="24" s="1" a="1"/>
  <c r="J233" i="24" s="1"/>
  <c r="K232" i="24" a="1"/>
  <c r="K232" i="24" s="1"/>
  <c r="I232" i="24" a="1"/>
  <c r="I232" i="24" s="1"/>
  <c r="J232" i="24" s="1" a="1"/>
  <c r="J232" i="24" s="1"/>
  <c r="K231" i="24" a="1"/>
  <c r="K231" i="24" s="1"/>
  <c r="I231" i="24" a="1"/>
  <c r="I231" i="24" s="1"/>
  <c r="J231" i="24" s="1" a="1"/>
  <c r="J231" i="24" s="1"/>
  <c r="K230" i="24" a="1"/>
  <c r="K230" i="24" s="1"/>
  <c r="I230" i="24" a="1"/>
  <c r="I230" i="24" s="1"/>
  <c r="J230" i="24" s="1" a="1"/>
  <c r="J230" i="24" s="1"/>
  <c r="K229" i="24" a="1"/>
  <c r="K229" i="24" s="1"/>
  <c r="I229" i="24" a="1"/>
  <c r="I229" i="24" s="1"/>
  <c r="J229" i="24" s="1" a="1"/>
  <c r="J229" i="24" s="1"/>
  <c r="K228" i="24" a="1"/>
  <c r="K228" i="24" s="1"/>
  <c r="I228" i="24" a="1"/>
  <c r="I228" i="24" s="1"/>
  <c r="J228" i="24" s="1" a="1"/>
  <c r="J228" i="24" s="1"/>
  <c r="K227" i="24" a="1"/>
  <c r="K227" i="24" s="1"/>
  <c r="I227" i="24" a="1"/>
  <c r="I227" i="24" s="1"/>
  <c r="J227" i="24" s="1" a="1"/>
  <c r="J227" i="24" s="1"/>
  <c r="K226" i="24" a="1"/>
  <c r="K226" i="24" s="1"/>
  <c r="I226" i="24" a="1"/>
  <c r="I226" i="24" s="1"/>
  <c r="J226" i="24" s="1" a="1"/>
  <c r="J226" i="24" s="1"/>
  <c r="K225" i="24" a="1"/>
  <c r="K225" i="24" s="1"/>
  <c r="I225" i="24" a="1"/>
  <c r="I225" i="24" s="1"/>
  <c r="J225" i="24" s="1" a="1"/>
  <c r="J225" i="24" s="1"/>
  <c r="K224" i="24" a="1"/>
  <c r="K224" i="24" s="1"/>
  <c r="I224" i="24" a="1"/>
  <c r="I224" i="24" s="1"/>
  <c r="J224" i="24" s="1" a="1"/>
  <c r="J224" i="24" s="1"/>
  <c r="K223" i="24" a="1"/>
  <c r="K223" i="24" s="1"/>
  <c r="I223" i="24" a="1"/>
  <c r="I223" i="24" s="1"/>
  <c r="J223" i="24" s="1" a="1"/>
  <c r="J223" i="24" s="1"/>
  <c r="K222" i="24" a="1"/>
  <c r="K222" i="24" s="1"/>
  <c r="I222" i="24" a="1"/>
  <c r="I222" i="24" s="1"/>
  <c r="J222" i="24" s="1" a="1"/>
  <c r="J222" i="24" s="1"/>
  <c r="K221" i="24" a="1"/>
  <c r="K221" i="24" s="1"/>
  <c r="I221" i="24" a="1"/>
  <c r="I221" i="24" s="1"/>
  <c r="J221" i="24" s="1" a="1"/>
  <c r="J221" i="24" s="1"/>
  <c r="K220" i="24" a="1"/>
  <c r="K220" i="24" s="1"/>
  <c r="I220" i="24" a="1"/>
  <c r="I220" i="24" s="1"/>
  <c r="J220" i="24" s="1" a="1"/>
  <c r="J220" i="24" s="1"/>
  <c r="K219" i="24" a="1"/>
  <c r="K219" i="24" s="1"/>
  <c r="I219" i="24" a="1"/>
  <c r="I219" i="24" s="1"/>
  <c r="J219" i="24" s="1" a="1"/>
  <c r="J219" i="24" s="1"/>
  <c r="K218" i="24" a="1"/>
  <c r="K218" i="24" s="1"/>
  <c r="I218" i="24" a="1"/>
  <c r="I218" i="24" s="1"/>
  <c r="J218" i="24" s="1" a="1"/>
  <c r="J218" i="24" s="1"/>
  <c r="K217" i="24" a="1"/>
  <c r="K217" i="24" s="1"/>
  <c r="I217" i="24" a="1"/>
  <c r="I217" i="24" s="1"/>
  <c r="J217" i="24" s="1" a="1"/>
  <c r="J217" i="24" s="1"/>
  <c r="K216" i="24" a="1"/>
  <c r="K216" i="24" s="1"/>
  <c r="I216" i="24" a="1"/>
  <c r="I216" i="24" s="1"/>
  <c r="J216" i="24" s="1" a="1"/>
  <c r="J216" i="24" s="1"/>
  <c r="K215" i="24" a="1"/>
  <c r="K215" i="24" s="1"/>
  <c r="I215" i="24" a="1"/>
  <c r="I215" i="24" s="1"/>
  <c r="K214" i="24" a="1"/>
  <c r="K214" i="24" s="1"/>
  <c r="I214" i="24" a="1"/>
  <c r="I214" i="24" s="1"/>
  <c r="J214" i="24" s="1" a="1"/>
  <c r="J214" i="24" s="1"/>
  <c r="K213" i="24" a="1"/>
  <c r="K213" i="24" s="1"/>
  <c r="I213" i="24" a="1"/>
  <c r="I213" i="24" s="1"/>
  <c r="J213" i="24" s="1" a="1"/>
  <c r="J213" i="24" s="1"/>
  <c r="K212" i="24" a="1"/>
  <c r="K212" i="24" s="1"/>
  <c r="I212" i="24" a="1"/>
  <c r="I212" i="24" s="1"/>
  <c r="J212" i="24" s="1" a="1"/>
  <c r="J212" i="24" s="1"/>
  <c r="K211" i="24" a="1"/>
  <c r="K211" i="24" s="1"/>
  <c r="I211" i="24" a="1"/>
  <c r="I211" i="24" s="1"/>
  <c r="J211" i="24" s="1" a="1"/>
  <c r="J211" i="24" s="1"/>
  <c r="K210" i="24" a="1"/>
  <c r="K210" i="24" s="1"/>
  <c r="I210" i="24" a="1"/>
  <c r="I210" i="24" s="1"/>
  <c r="J210" i="24" s="1" a="1"/>
  <c r="J210" i="24" s="1"/>
  <c r="K209" i="24" a="1"/>
  <c r="K209" i="24" s="1"/>
  <c r="I209" i="24" a="1"/>
  <c r="I209" i="24" s="1"/>
  <c r="J209" i="24" s="1" a="1"/>
  <c r="J209" i="24" s="1"/>
  <c r="K208" i="24" a="1"/>
  <c r="K208" i="24" s="1"/>
  <c r="I208" i="24" a="1"/>
  <c r="I208" i="24" s="1"/>
  <c r="J208" i="24" s="1" a="1"/>
  <c r="J208" i="24" s="1"/>
  <c r="K207" i="24" a="1"/>
  <c r="K207" i="24" s="1"/>
  <c r="I207" i="24" a="1"/>
  <c r="I207" i="24" s="1"/>
  <c r="J207" i="24" s="1" a="1"/>
  <c r="J207" i="24" s="1"/>
  <c r="K206" i="24" a="1"/>
  <c r="K206" i="24" s="1"/>
  <c r="I206" i="24" a="1"/>
  <c r="I206" i="24" s="1"/>
  <c r="J206" i="24" s="1" a="1"/>
  <c r="J206" i="24" s="1"/>
  <c r="K205" i="24" a="1"/>
  <c r="K205" i="24" s="1"/>
  <c r="I205" i="24" a="1"/>
  <c r="I205" i="24" s="1"/>
  <c r="J205" i="24" s="1" a="1"/>
  <c r="J205" i="24" s="1"/>
  <c r="K204" i="24" a="1"/>
  <c r="K204" i="24" s="1"/>
  <c r="I204" i="24" a="1"/>
  <c r="I204" i="24" s="1"/>
  <c r="J204" i="24" s="1" a="1"/>
  <c r="J204" i="24" s="1"/>
  <c r="K203" i="24" a="1"/>
  <c r="K203" i="24" s="1"/>
  <c r="I203" i="24" a="1"/>
  <c r="I203" i="24" s="1"/>
  <c r="J203" i="24" s="1" a="1"/>
  <c r="J203" i="24" s="1"/>
  <c r="K202" i="24" a="1"/>
  <c r="K202" i="24" s="1"/>
  <c r="I202" i="24" a="1"/>
  <c r="I202" i="24" s="1"/>
  <c r="J202" i="24" s="1" a="1"/>
  <c r="J202" i="24" s="1"/>
  <c r="K201" i="24" a="1"/>
  <c r="K201" i="24" s="1"/>
  <c r="I201" i="24" a="1"/>
  <c r="I201" i="24" s="1"/>
  <c r="J201" i="24" s="1" a="1"/>
  <c r="J201" i="24" s="1"/>
  <c r="K200" i="24" a="1"/>
  <c r="K200" i="24" s="1"/>
  <c r="I200" i="24" a="1"/>
  <c r="I200" i="24" s="1"/>
  <c r="J200" i="24" s="1" a="1"/>
  <c r="J200" i="24" s="1"/>
  <c r="K199" i="24" a="1"/>
  <c r="K199" i="24" s="1"/>
  <c r="I199" i="24" a="1"/>
  <c r="I199" i="24" s="1"/>
  <c r="J199" i="24" s="1" a="1"/>
  <c r="J199" i="24" s="1"/>
  <c r="K198" i="24" a="1"/>
  <c r="K198" i="24" s="1"/>
  <c r="I198" i="24" a="1"/>
  <c r="I198" i="24" s="1"/>
  <c r="J198" i="24" s="1" a="1"/>
  <c r="J198" i="24" s="1"/>
  <c r="K197" i="24" a="1"/>
  <c r="K197" i="24" s="1"/>
  <c r="I197" i="24" a="1"/>
  <c r="I197" i="24" s="1"/>
  <c r="J197" i="24" s="1" a="1"/>
  <c r="J197" i="24" s="1"/>
  <c r="K196" i="24" a="1"/>
  <c r="K196" i="24" s="1"/>
  <c r="I196" i="24" a="1"/>
  <c r="I196" i="24" s="1"/>
  <c r="J196" i="24" s="1" a="1"/>
  <c r="J196" i="24" s="1"/>
  <c r="K195" i="24" a="1"/>
  <c r="K195" i="24" s="1"/>
  <c r="I195" i="24" a="1"/>
  <c r="I195" i="24" s="1"/>
  <c r="J195" i="24" s="1" a="1"/>
  <c r="J195" i="24" s="1"/>
  <c r="K194" i="24" a="1"/>
  <c r="K194" i="24" s="1"/>
  <c r="I194" i="24" a="1"/>
  <c r="I194" i="24" s="1"/>
  <c r="J194" i="24" s="1" a="1"/>
  <c r="J194" i="24" s="1"/>
  <c r="K193" i="24" a="1"/>
  <c r="K193" i="24" s="1"/>
  <c r="I193" i="24" a="1"/>
  <c r="I193" i="24" s="1"/>
  <c r="J193" i="24" s="1" a="1"/>
  <c r="J193" i="24" s="1"/>
  <c r="K192" i="24" a="1"/>
  <c r="K192" i="24" s="1"/>
  <c r="I192" i="24" a="1"/>
  <c r="I192" i="24" s="1"/>
  <c r="J192" i="24" s="1" a="1"/>
  <c r="J192" i="24" s="1"/>
  <c r="K191" i="24" a="1"/>
  <c r="K191" i="24" s="1"/>
  <c r="I191" i="24" a="1"/>
  <c r="I191" i="24" s="1"/>
  <c r="J191" i="24" s="1" a="1"/>
  <c r="J191" i="24" s="1"/>
  <c r="K190" i="24" a="1"/>
  <c r="K190" i="24" s="1"/>
  <c r="I190" i="24" a="1"/>
  <c r="I190" i="24" s="1"/>
  <c r="J190" i="24" s="1" a="1"/>
  <c r="J190" i="24" s="1"/>
  <c r="K189" i="24" a="1"/>
  <c r="K189" i="24" s="1"/>
  <c r="I189" i="24" a="1"/>
  <c r="I189" i="24" s="1"/>
  <c r="J189" i="24" s="1" a="1"/>
  <c r="J189" i="24" s="1"/>
  <c r="K188" i="24" a="1"/>
  <c r="K188" i="24" s="1"/>
  <c r="I188" i="24" a="1"/>
  <c r="I188" i="24" s="1"/>
  <c r="J188" i="24" s="1" a="1"/>
  <c r="J188" i="24" s="1"/>
  <c r="K187" i="24" a="1"/>
  <c r="K187" i="24" s="1"/>
  <c r="I187" i="24" a="1"/>
  <c r="I187" i="24" s="1"/>
  <c r="K186" i="24" a="1"/>
  <c r="K186" i="24" s="1"/>
  <c r="I186" i="24" a="1"/>
  <c r="I186" i="24" s="1"/>
  <c r="J186" i="24" s="1" a="1"/>
  <c r="J186" i="24" s="1"/>
  <c r="K185" i="24" a="1"/>
  <c r="K185" i="24" s="1"/>
  <c r="I185" i="24" a="1"/>
  <c r="I185" i="24" s="1"/>
  <c r="J185" i="24" s="1" a="1"/>
  <c r="J185" i="24" s="1"/>
  <c r="K184" i="24" a="1"/>
  <c r="K184" i="24" s="1"/>
  <c r="I184" i="24" a="1"/>
  <c r="I184" i="24" s="1"/>
  <c r="J184" i="24" s="1" a="1"/>
  <c r="J184" i="24" s="1"/>
  <c r="K183" i="24" a="1"/>
  <c r="K183" i="24" s="1"/>
  <c r="I183" i="24" a="1"/>
  <c r="I183" i="24" s="1"/>
  <c r="J183" i="24" s="1" a="1"/>
  <c r="J183" i="24" s="1"/>
  <c r="K182" i="24" a="1"/>
  <c r="K182" i="24" s="1"/>
  <c r="I182" i="24" a="1"/>
  <c r="I182" i="24" s="1"/>
  <c r="J182" i="24" s="1" a="1"/>
  <c r="J182" i="24" s="1"/>
  <c r="K181" i="24" a="1"/>
  <c r="K181" i="24" s="1"/>
  <c r="I181" i="24" a="1"/>
  <c r="I181" i="24" s="1"/>
  <c r="J181" i="24" s="1" a="1"/>
  <c r="J181" i="24" s="1"/>
  <c r="K180" i="24" a="1"/>
  <c r="K180" i="24" s="1"/>
  <c r="I180" i="24" a="1"/>
  <c r="I180" i="24" s="1"/>
  <c r="J180" i="24" s="1" a="1"/>
  <c r="J180" i="24" s="1"/>
  <c r="K179" i="24" a="1"/>
  <c r="K179" i="24" s="1"/>
  <c r="I179" i="24" a="1"/>
  <c r="I179" i="24" s="1"/>
  <c r="J179" i="24" s="1" a="1"/>
  <c r="J179" i="24" s="1"/>
  <c r="K178" i="24" a="1"/>
  <c r="K178" i="24" s="1"/>
  <c r="I178" i="24" a="1"/>
  <c r="I178" i="24" s="1"/>
  <c r="K177" i="24" a="1"/>
  <c r="K177" i="24" s="1"/>
  <c r="I177" i="24" a="1"/>
  <c r="I177" i="24" s="1"/>
  <c r="J177" i="24" s="1" a="1"/>
  <c r="J177" i="24" s="1"/>
  <c r="K176" i="24" a="1"/>
  <c r="K176" i="24" s="1"/>
  <c r="I176" i="24" a="1"/>
  <c r="I176" i="24" s="1"/>
  <c r="J176" i="24" s="1" a="1"/>
  <c r="J176" i="24" s="1"/>
  <c r="K175" i="24" a="1"/>
  <c r="K175" i="24" s="1"/>
  <c r="I175" i="24" a="1"/>
  <c r="I175" i="24" s="1"/>
  <c r="J175" i="24" s="1" a="1"/>
  <c r="J175" i="24" s="1"/>
  <c r="K174" i="24" a="1"/>
  <c r="K174" i="24" s="1"/>
  <c r="I174" i="24" a="1"/>
  <c r="I174" i="24" s="1"/>
  <c r="J174" i="24" s="1" a="1"/>
  <c r="J174" i="24" s="1"/>
  <c r="K173" i="24" a="1"/>
  <c r="K173" i="24" s="1"/>
  <c r="I173" i="24" a="1"/>
  <c r="I173" i="24" s="1"/>
  <c r="J173" i="24" s="1" a="1"/>
  <c r="J173" i="24" s="1"/>
  <c r="K172" i="24" a="1"/>
  <c r="K172" i="24" s="1"/>
  <c r="I172" i="24" a="1"/>
  <c r="I172" i="24" s="1"/>
  <c r="J172" i="24" s="1" a="1"/>
  <c r="J172" i="24" s="1"/>
  <c r="K171" i="24" a="1"/>
  <c r="K171" i="24" s="1"/>
  <c r="I171" i="24" a="1"/>
  <c r="I171" i="24" s="1"/>
  <c r="J171" i="24" s="1" a="1"/>
  <c r="J171" i="24" s="1"/>
  <c r="K170" i="24" a="1"/>
  <c r="K170" i="24" s="1"/>
  <c r="I170" i="24" a="1"/>
  <c r="I170" i="24" s="1"/>
  <c r="J170" i="24" s="1" a="1"/>
  <c r="J170" i="24" s="1"/>
  <c r="K169" i="24" a="1"/>
  <c r="K169" i="24" s="1"/>
  <c r="I169" i="24" a="1"/>
  <c r="I169" i="24" s="1"/>
  <c r="J169" i="24" s="1" a="1"/>
  <c r="J169" i="24" s="1"/>
  <c r="K168" i="24" a="1"/>
  <c r="K168" i="24" s="1"/>
  <c r="I168" i="24" a="1"/>
  <c r="I168" i="24" s="1"/>
  <c r="J168" i="24" s="1" a="1"/>
  <c r="J168" i="24" s="1"/>
  <c r="K167" i="24" a="1"/>
  <c r="K167" i="24" s="1"/>
  <c r="I167" i="24" a="1"/>
  <c r="I167" i="24" s="1"/>
  <c r="J167" i="24" s="1" a="1"/>
  <c r="J167" i="24" s="1"/>
  <c r="K166" i="24" a="1"/>
  <c r="K166" i="24" s="1"/>
  <c r="I166" i="24" a="1"/>
  <c r="I166" i="24" s="1"/>
  <c r="J166" i="24" s="1" a="1"/>
  <c r="J166" i="24" s="1"/>
  <c r="K165" i="24" a="1"/>
  <c r="K165" i="24" s="1"/>
  <c r="I165" i="24" a="1"/>
  <c r="I165" i="24" s="1"/>
  <c r="J165" i="24" s="1" a="1"/>
  <c r="J165" i="24" s="1"/>
  <c r="K164" i="24" a="1"/>
  <c r="K164" i="24" s="1"/>
  <c r="I164" i="24" a="1"/>
  <c r="I164" i="24" s="1"/>
  <c r="J164" i="24" s="1" a="1"/>
  <c r="J164" i="24" s="1"/>
  <c r="K163" i="24" a="1"/>
  <c r="K163" i="24" s="1"/>
  <c r="I163" i="24" a="1"/>
  <c r="I163" i="24" s="1"/>
  <c r="J163" i="24" s="1" a="1"/>
  <c r="J163" i="24" s="1"/>
  <c r="K162" i="24" a="1"/>
  <c r="K162" i="24" s="1"/>
  <c r="I162" i="24" a="1"/>
  <c r="I162" i="24" s="1"/>
  <c r="J162" i="24" s="1" a="1"/>
  <c r="J162" i="24" s="1"/>
  <c r="K161" i="24" a="1"/>
  <c r="K161" i="24" s="1"/>
  <c r="I161" i="24" a="1"/>
  <c r="I161" i="24" s="1"/>
  <c r="J161" i="24" s="1" a="1"/>
  <c r="J161" i="24" s="1"/>
  <c r="K160" i="24" a="1"/>
  <c r="K160" i="24" s="1"/>
  <c r="I160" i="24" a="1"/>
  <c r="I160" i="24" s="1"/>
  <c r="J160" i="24" s="1" a="1"/>
  <c r="J160" i="24" s="1"/>
  <c r="K159" i="24" a="1"/>
  <c r="K159" i="24" s="1"/>
  <c r="I159" i="24" a="1"/>
  <c r="I159" i="24" s="1"/>
  <c r="J159" i="24" s="1" a="1"/>
  <c r="J159" i="24" s="1"/>
  <c r="K158" i="24" a="1"/>
  <c r="K158" i="24" s="1"/>
  <c r="I158" i="24" a="1"/>
  <c r="I158" i="24" s="1"/>
  <c r="J158" i="24" s="1" a="1"/>
  <c r="J158" i="24" s="1"/>
  <c r="K157" i="24" a="1"/>
  <c r="K157" i="24" s="1"/>
  <c r="I157" i="24" a="1"/>
  <c r="I157" i="24" s="1"/>
  <c r="J157" i="24" s="1" a="1"/>
  <c r="J157" i="24" s="1"/>
  <c r="K156" i="24" a="1"/>
  <c r="K156" i="24" s="1"/>
  <c r="I156" i="24" a="1"/>
  <c r="I156" i="24" s="1"/>
  <c r="J156" i="24" s="1" a="1"/>
  <c r="J156" i="24" s="1"/>
  <c r="K155" i="24" a="1"/>
  <c r="K155" i="24" s="1"/>
  <c r="I155" i="24" a="1"/>
  <c r="I155" i="24" s="1"/>
  <c r="J155" i="24" s="1" a="1"/>
  <c r="J155" i="24" s="1"/>
  <c r="K154" i="24" a="1"/>
  <c r="K154" i="24" s="1"/>
  <c r="I154" i="24" a="1"/>
  <c r="I154" i="24" s="1"/>
  <c r="J154" i="24" s="1" a="1"/>
  <c r="J154" i="24" s="1"/>
  <c r="K153" i="24" a="1"/>
  <c r="K153" i="24" s="1"/>
  <c r="I153" i="24" a="1"/>
  <c r="I153" i="24" s="1"/>
  <c r="J153" i="24" s="1" a="1"/>
  <c r="J153" i="24" s="1"/>
  <c r="K152" i="24" a="1"/>
  <c r="K152" i="24" s="1"/>
  <c r="I152" i="24" a="1"/>
  <c r="I152" i="24" s="1"/>
  <c r="J152" i="24" s="1" a="1"/>
  <c r="J152" i="24" s="1"/>
  <c r="K151" i="24" a="1"/>
  <c r="K151" i="24" s="1"/>
  <c r="I151" i="24" a="1"/>
  <c r="I151" i="24" s="1"/>
  <c r="J151" i="24" s="1" a="1"/>
  <c r="J151" i="24" s="1"/>
  <c r="K150" i="24" a="1"/>
  <c r="K150" i="24" s="1"/>
  <c r="I150" i="24" a="1"/>
  <c r="I150" i="24" s="1"/>
  <c r="J150" i="24" s="1" a="1"/>
  <c r="J150" i="24" s="1"/>
  <c r="K149" i="24" a="1"/>
  <c r="K149" i="24" s="1"/>
  <c r="I149" i="24" a="1"/>
  <c r="I149" i="24" s="1"/>
  <c r="J149" i="24" s="1" a="1"/>
  <c r="J149" i="24" s="1"/>
  <c r="K148" i="24" a="1"/>
  <c r="K148" i="24" s="1"/>
  <c r="I148" i="24" a="1"/>
  <c r="I148" i="24" s="1"/>
  <c r="J148" i="24" s="1" a="1"/>
  <c r="J148" i="24" s="1"/>
  <c r="K147" i="24" a="1"/>
  <c r="K147" i="24" s="1"/>
  <c r="I147" i="24" a="1"/>
  <c r="I147" i="24" s="1"/>
  <c r="J147" i="24" s="1" a="1"/>
  <c r="J147" i="24" s="1"/>
  <c r="K146" i="24" a="1"/>
  <c r="K146" i="24" s="1"/>
  <c r="I146" i="24" a="1"/>
  <c r="I146" i="24" s="1"/>
  <c r="J146" i="24" s="1" a="1"/>
  <c r="J146" i="24" s="1"/>
  <c r="K145" i="24" a="1"/>
  <c r="K145" i="24" s="1"/>
  <c r="I145" i="24" a="1"/>
  <c r="I145" i="24" s="1"/>
  <c r="J145" i="24" s="1" a="1"/>
  <c r="J145" i="24" s="1"/>
  <c r="K144" i="24" a="1"/>
  <c r="K144" i="24" s="1"/>
  <c r="I144" i="24" a="1"/>
  <c r="I144" i="24" s="1"/>
  <c r="J144" i="24" s="1" a="1"/>
  <c r="J144" i="24" s="1"/>
  <c r="K143" i="24" a="1"/>
  <c r="K143" i="24" s="1"/>
  <c r="I143" i="24" a="1"/>
  <c r="I143" i="24" s="1"/>
  <c r="J143" i="24" s="1" a="1"/>
  <c r="J143" i="24" s="1"/>
  <c r="K142" i="24" a="1"/>
  <c r="K142" i="24" s="1"/>
  <c r="I142" i="24" a="1"/>
  <c r="I142" i="24" s="1"/>
  <c r="J142" i="24" s="1" a="1"/>
  <c r="J142" i="24" s="1"/>
  <c r="K141" i="24" a="1"/>
  <c r="K141" i="24" s="1"/>
  <c r="I141" i="24" a="1"/>
  <c r="I141" i="24" s="1"/>
  <c r="J141" i="24" s="1" a="1"/>
  <c r="J141" i="24" s="1"/>
  <c r="K140" i="24" a="1"/>
  <c r="K140" i="24" s="1"/>
  <c r="I140" i="24" a="1"/>
  <c r="I140" i="24" s="1"/>
  <c r="J140" i="24" s="1" a="1"/>
  <c r="J140" i="24" s="1"/>
  <c r="K139" i="24" a="1"/>
  <c r="K139" i="24" s="1"/>
  <c r="I139" i="24" a="1"/>
  <c r="I139" i="24" s="1"/>
  <c r="J139" i="24" s="1" a="1"/>
  <c r="J139" i="24" s="1"/>
  <c r="K138" i="24" a="1"/>
  <c r="K138" i="24" s="1"/>
  <c r="I138" i="24" a="1"/>
  <c r="I138" i="24" s="1"/>
  <c r="J138" i="24" s="1" a="1"/>
  <c r="J138" i="24" s="1"/>
  <c r="K137" i="24" a="1"/>
  <c r="K137" i="24" s="1"/>
  <c r="I137" i="24" a="1"/>
  <c r="I137" i="24" s="1"/>
  <c r="J137" i="24" s="1" a="1"/>
  <c r="J137" i="24" s="1"/>
  <c r="K136" i="24" a="1"/>
  <c r="K136" i="24" s="1"/>
  <c r="I136" i="24" a="1"/>
  <c r="I136" i="24" s="1"/>
  <c r="J136" i="24" s="1" a="1"/>
  <c r="J136" i="24" s="1"/>
  <c r="K135" i="24" a="1"/>
  <c r="K135" i="24" s="1"/>
  <c r="I135" i="24" a="1"/>
  <c r="I135" i="24" s="1"/>
  <c r="J135" i="24" s="1" a="1"/>
  <c r="J135" i="24" s="1"/>
  <c r="K134" i="24" a="1"/>
  <c r="K134" i="24" s="1"/>
  <c r="I134" i="24" a="1"/>
  <c r="I134" i="24" s="1"/>
  <c r="J134" i="24" s="1" a="1"/>
  <c r="J134" i="24" s="1"/>
  <c r="K133" i="24" a="1"/>
  <c r="K133" i="24" s="1"/>
  <c r="I133" i="24" a="1"/>
  <c r="I133" i="24" s="1"/>
  <c r="J133" i="24" s="1" a="1"/>
  <c r="J133" i="24" s="1"/>
  <c r="K132" i="24" a="1"/>
  <c r="K132" i="24" s="1"/>
  <c r="I132" i="24" a="1"/>
  <c r="I132" i="24" s="1"/>
  <c r="J132" i="24" s="1" a="1"/>
  <c r="J132" i="24" s="1"/>
  <c r="K131" i="24" a="1"/>
  <c r="K131" i="24" s="1"/>
  <c r="I131" i="24" a="1"/>
  <c r="I131" i="24" s="1"/>
  <c r="J131" i="24" s="1" a="1"/>
  <c r="J131" i="24" s="1"/>
  <c r="K130" i="24" a="1"/>
  <c r="K130" i="24" s="1"/>
  <c r="I130" i="24" a="1"/>
  <c r="I130" i="24" s="1"/>
  <c r="J130" i="24" s="1" a="1"/>
  <c r="J130" i="24" s="1"/>
  <c r="K129" i="24" a="1"/>
  <c r="K129" i="24" s="1"/>
  <c r="I129" i="24" a="1"/>
  <c r="I129" i="24" s="1"/>
  <c r="J129" i="24" s="1" a="1"/>
  <c r="J129" i="24" s="1"/>
  <c r="K128" i="24" a="1"/>
  <c r="K128" i="24" s="1"/>
  <c r="I128" i="24" a="1"/>
  <c r="I128" i="24" s="1"/>
  <c r="J128" i="24" s="1" a="1"/>
  <c r="J128" i="24" s="1"/>
  <c r="K127" i="24" a="1"/>
  <c r="K127" i="24" s="1"/>
  <c r="I127" i="24" a="1"/>
  <c r="I127" i="24" s="1"/>
  <c r="J127" i="24" s="1" a="1"/>
  <c r="J127" i="24" s="1"/>
  <c r="K126" i="24" a="1"/>
  <c r="K126" i="24" s="1"/>
  <c r="I126" i="24" a="1"/>
  <c r="I126" i="24" s="1"/>
  <c r="J126" i="24" s="1" a="1"/>
  <c r="J126" i="24" s="1"/>
  <c r="K125" i="24" a="1"/>
  <c r="K125" i="24" s="1"/>
  <c r="I125" i="24" a="1"/>
  <c r="I125" i="24" s="1"/>
  <c r="J125" i="24" s="1" a="1"/>
  <c r="J125" i="24" s="1"/>
  <c r="K124" i="24" a="1"/>
  <c r="K124" i="24" s="1"/>
  <c r="I124" i="24" a="1"/>
  <c r="I124" i="24" s="1"/>
  <c r="J124" i="24" s="1" a="1"/>
  <c r="J124" i="24" s="1"/>
  <c r="K123" i="24" a="1"/>
  <c r="K123" i="24" s="1"/>
  <c r="I123" i="24" a="1"/>
  <c r="I123" i="24" s="1"/>
  <c r="J123" i="24" s="1" a="1"/>
  <c r="J123" i="24" s="1"/>
  <c r="K122" i="24" a="1"/>
  <c r="K122" i="24" s="1"/>
  <c r="I122" i="24" a="1"/>
  <c r="I122" i="24" s="1"/>
  <c r="J122" i="24" s="1" a="1"/>
  <c r="J122" i="24" s="1"/>
  <c r="K121" i="24" a="1"/>
  <c r="K121" i="24" s="1"/>
  <c r="I121" i="24" a="1"/>
  <c r="I121" i="24" s="1"/>
  <c r="J121" i="24" s="1" a="1"/>
  <c r="J121" i="24" s="1"/>
  <c r="K120" i="24" a="1"/>
  <c r="K120" i="24" s="1"/>
  <c r="I120" i="24" a="1"/>
  <c r="I120" i="24" s="1"/>
  <c r="J120" i="24" s="1" a="1"/>
  <c r="J120" i="24" s="1"/>
  <c r="K119" i="24" a="1"/>
  <c r="K119" i="24" s="1"/>
  <c r="I119" i="24" a="1"/>
  <c r="I119" i="24" s="1"/>
  <c r="J119" i="24" s="1" a="1"/>
  <c r="J119" i="24" s="1"/>
  <c r="K118" i="24" a="1"/>
  <c r="K118" i="24" s="1"/>
  <c r="I118" i="24" a="1"/>
  <c r="I118" i="24" s="1"/>
  <c r="J118" i="24" s="1" a="1"/>
  <c r="J118" i="24" s="1"/>
  <c r="K117" i="24" a="1"/>
  <c r="K117" i="24" s="1"/>
  <c r="I117" i="24" a="1"/>
  <c r="I117" i="24" s="1"/>
  <c r="J117" i="24" s="1" a="1"/>
  <c r="J117" i="24" s="1"/>
  <c r="K116" i="24" a="1"/>
  <c r="K116" i="24" s="1"/>
  <c r="I116" i="24" a="1"/>
  <c r="I116" i="24" s="1"/>
  <c r="J116" i="24" s="1" a="1"/>
  <c r="J116" i="24" s="1"/>
  <c r="K115" i="24" a="1"/>
  <c r="K115" i="24" s="1"/>
  <c r="I115" i="24" a="1"/>
  <c r="I115" i="24" s="1"/>
  <c r="J115" i="24" s="1" a="1"/>
  <c r="J115" i="24" s="1"/>
  <c r="K114" i="24" a="1"/>
  <c r="K114" i="24" s="1"/>
  <c r="I114" i="24" a="1"/>
  <c r="I114" i="24" s="1"/>
  <c r="J114" i="24" s="1" a="1"/>
  <c r="J114" i="24" s="1"/>
  <c r="K113" i="24" a="1"/>
  <c r="K113" i="24" s="1"/>
  <c r="I113" i="24" a="1"/>
  <c r="I113" i="24" s="1"/>
  <c r="J113" i="24" s="1" a="1"/>
  <c r="J113" i="24" s="1"/>
  <c r="K112" i="24" a="1"/>
  <c r="K112" i="24" s="1"/>
  <c r="I112" i="24" a="1"/>
  <c r="I112" i="24" s="1"/>
  <c r="J112" i="24" s="1" a="1"/>
  <c r="J112" i="24" s="1"/>
  <c r="K111" i="24" a="1"/>
  <c r="K111" i="24" s="1"/>
  <c r="I111" i="24" a="1"/>
  <c r="I111" i="24" s="1"/>
  <c r="J111" i="24" s="1" a="1"/>
  <c r="J111" i="24" s="1"/>
  <c r="K110" i="24" a="1"/>
  <c r="K110" i="24" s="1"/>
  <c r="I110" i="24" a="1"/>
  <c r="I110" i="24" s="1"/>
  <c r="J110" i="24" s="1" a="1"/>
  <c r="J110" i="24" s="1"/>
  <c r="K109" i="24" a="1"/>
  <c r="K109" i="24" s="1"/>
  <c r="I109" i="24" a="1"/>
  <c r="I109" i="24" s="1"/>
  <c r="J109" i="24" s="1" a="1"/>
  <c r="J109" i="24" s="1"/>
  <c r="K108" i="24" a="1"/>
  <c r="K108" i="24" s="1"/>
  <c r="I108" i="24" a="1"/>
  <c r="I108" i="24" s="1"/>
  <c r="J108" i="24" s="1" a="1"/>
  <c r="J108" i="24" s="1"/>
  <c r="K107" i="24" a="1"/>
  <c r="K107" i="24" s="1"/>
  <c r="I107" i="24" a="1"/>
  <c r="I107" i="24" s="1"/>
  <c r="J107" i="24" s="1" a="1"/>
  <c r="J107" i="24" s="1"/>
  <c r="K106" i="24" a="1"/>
  <c r="K106" i="24" s="1"/>
  <c r="I106" i="24" a="1"/>
  <c r="I106" i="24" s="1"/>
  <c r="J106" i="24" s="1" a="1"/>
  <c r="J106" i="24" s="1"/>
  <c r="K105" i="24" a="1"/>
  <c r="K105" i="24" s="1"/>
  <c r="I105" i="24" a="1"/>
  <c r="I105" i="24" s="1"/>
  <c r="J105" i="24" s="1" a="1"/>
  <c r="J105" i="24" s="1"/>
  <c r="K104" i="24" a="1"/>
  <c r="K104" i="24" s="1"/>
  <c r="I104" i="24" a="1"/>
  <c r="I104" i="24" s="1"/>
  <c r="J104" i="24" s="1" a="1"/>
  <c r="J104" i="24" s="1"/>
  <c r="K103" i="24" a="1"/>
  <c r="K103" i="24" s="1"/>
  <c r="I103" i="24" a="1"/>
  <c r="I103" i="24" s="1"/>
  <c r="J103" i="24" s="1" a="1"/>
  <c r="J103" i="24" s="1"/>
  <c r="K102" i="24" a="1"/>
  <c r="K102" i="24" s="1"/>
  <c r="I102" i="24" a="1"/>
  <c r="I102" i="24" s="1"/>
  <c r="J102" i="24" s="1" a="1"/>
  <c r="J102" i="24" s="1"/>
  <c r="K101" i="24" a="1"/>
  <c r="K101" i="24" s="1"/>
  <c r="I101" i="24" a="1"/>
  <c r="I101" i="24" s="1"/>
  <c r="J101" i="24" s="1" a="1"/>
  <c r="J101" i="24" s="1"/>
  <c r="K100" i="24" a="1"/>
  <c r="K100" i="24" s="1"/>
  <c r="I100" i="24" a="1"/>
  <c r="I100" i="24" s="1"/>
  <c r="J100" i="24" s="1" a="1"/>
  <c r="J100" i="24" s="1"/>
  <c r="K99" i="24" a="1"/>
  <c r="K99" i="24" s="1"/>
  <c r="I99" i="24" a="1"/>
  <c r="I99" i="24" s="1"/>
  <c r="J99" i="24" s="1" a="1"/>
  <c r="J99" i="24" s="1"/>
  <c r="K98" i="24" a="1"/>
  <c r="K98" i="24" s="1"/>
  <c r="I98" i="24" a="1"/>
  <c r="I98" i="24" s="1"/>
  <c r="J98" i="24" s="1" a="1"/>
  <c r="J98" i="24" s="1"/>
  <c r="K97" i="24" a="1"/>
  <c r="K97" i="24" s="1"/>
  <c r="I97" i="24" a="1"/>
  <c r="I97" i="24" s="1"/>
  <c r="J97" i="24" s="1" a="1"/>
  <c r="J97" i="24" s="1"/>
  <c r="K96" i="24" a="1"/>
  <c r="K96" i="24" s="1"/>
  <c r="I96" i="24" a="1"/>
  <c r="I96" i="24" s="1"/>
  <c r="J96" i="24" s="1" a="1"/>
  <c r="J96" i="24" s="1"/>
  <c r="K95" i="24" a="1"/>
  <c r="K95" i="24" s="1"/>
  <c r="I95" i="24" a="1"/>
  <c r="I95" i="24" s="1"/>
  <c r="J95" i="24" s="1" a="1"/>
  <c r="J95" i="24" s="1"/>
  <c r="K94" i="24" a="1"/>
  <c r="K94" i="24" s="1"/>
  <c r="I94" i="24" a="1"/>
  <c r="I94" i="24" s="1"/>
  <c r="J94" i="24" s="1" a="1"/>
  <c r="J94" i="24" s="1"/>
  <c r="K93" i="24" a="1"/>
  <c r="K93" i="24" s="1"/>
  <c r="I93" i="24" a="1"/>
  <c r="I93" i="24" s="1"/>
  <c r="J93" i="24" s="1" a="1"/>
  <c r="J93" i="24" s="1"/>
  <c r="K92" i="24" a="1"/>
  <c r="K92" i="24" s="1"/>
  <c r="I92" i="24" a="1"/>
  <c r="I92" i="24" s="1"/>
  <c r="K91" i="24" a="1"/>
  <c r="K91" i="24" s="1"/>
  <c r="I91" i="24" a="1"/>
  <c r="I91" i="24" s="1"/>
  <c r="J91" i="24" s="1" a="1"/>
  <c r="J91" i="24" s="1"/>
  <c r="K90" i="24" a="1"/>
  <c r="K90" i="24" s="1"/>
  <c r="I90" i="24" a="1"/>
  <c r="I90" i="24" s="1"/>
  <c r="J90" i="24" s="1" a="1"/>
  <c r="J90" i="24" s="1"/>
  <c r="K89" i="24" a="1"/>
  <c r="K89" i="24" s="1"/>
  <c r="I89" i="24" a="1"/>
  <c r="I89" i="24" s="1"/>
  <c r="J89" i="24" s="1" a="1"/>
  <c r="J89" i="24" s="1"/>
  <c r="K88" i="24" a="1"/>
  <c r="K88" i="24" s="1"/>
  <c r="I88" i="24" a="1"/>
  <c r="I88" i="24" s="1"/>
  <c r="J88" i="24" s="1" a="1"/>
  <c r="J88" i="24" s="1"/>
  <c r="K87" i="24" a="1"/>
  <c r="K87" i="24" s="1"/>
  <c r="I87" i="24" a="1"/>
  <c r="I87" i="24" s="1"/>
  <c r="J87" i="24" s="1" a="1"/>
  <c r="J87" i="24" s="1"/>
  <c r="K86" i="24" a="1"/>
  <c r="K86" i="24" s="1"/>
  <c r="I86" i="24" a="1"/>
  <c r="I86" i="24" s="1"/>
  <c r="J86" i="24" s="1" a="1"/>
  <c r="J86" i="24" s="1"/>
  <c r="K85" i="24" a="1"/>
  <c r="K85" i="24" s="1"/>
  <c r="I85" i="24" a="1"/>
  <c r="I85" i="24" s="1"/>
  <c r="J85" i="24" s="1" a="1"/>
  <c r="J85" i="24" s="1"/>
  <c r="K84" i="24" a="1"/>
  <c r="K84" i="24" s="1"/>
  <c r="I84" i="24" a="1"/>
  <c r="I84" i="24" s="1"/>
  <c r="K83" i="24" a="1"/>
  <c r="K83" i="24" s="1"/>
  <c r="I83" i="24" a="1"/>
  <c r="I83" i="24" s="1"/>
  <c r="J83" i="24" s="1" a="1"/>
  <c r="J83" i="24" s="1"/>
  <c r="K82" i="24" a="1"/>
  <c r="K82" i="24" s="1"/>
  <c r="I82" i="24" a="1"/>
  <c r="I82" i="24" s="1"/>
  <c r="J82" i="24" s="1" a="1"/>
  <c r="J82" i="24" s="1"/>
  <c r="K81" i="24" a="1"/>
  <c r="K81" i="24" s="1"/>
  <c r="I81" i="24" a="1"/>
  <c r="I81" i="24" s="1"/>
  <c r="J81" i="24" s="1" a="1"/>
  <c r="J81" i="24" s="1"/>
  <c r="K80" i="24" a="1"/>
  <c r="K80" i="24" s="1"/>
  <c r="I80" i="24" a="1"/>
  <c r="I80" i="24" s="1"/>
  <c r="J80" i="24" s="1" a="1"/>
  <c r="J80" i="24" s="1"/>
  <c r="K79" i="24" a="1"/>
  <c r="K79" i="24" s="1"/>
  <c r="I79" i="24" a="1"/>
  <c r="I79" i="24" s="1"/>
  <c r="J79" i="24" s="1" a="1"/>
  <c r="J79" i="24" s="1"/>
  <c r="K78" i="24" a="1"/>
  <c r="K78" i="24" s="1"/>
  <c r="I78" i="24" a="1"/>
  <c r="I78" i="24" s="1"/>
  <c r="J78" i="24" s="1" a="1"/>
  <c r="J78" i="24" s="1"/>
  <c r="K77" i="24" a="1"/>
  <c r="K77" i="24" s="1"/>
  <c r="I77" i="24" a="1"/>
  <c r="I77" i="24" s="1"/>
  <c r="J77" i="24" s="1" a="1"/>
  <c r="J77" i="24" s="1"/>
  <c r="K76" i="24" a="1"/>
  <c r="K76" i="24" s="1"/>
  <c r="I76" i="24" a="1"/>
  <c r="I76" i="24" s="1"/>
  <c r="J76" i="24" s="1" a="1"/>
  <c r="J76" i="24" s="1"/>
  <c r="K75" i="24" a="1"/>
  <c r="K75" i="24" s="1"/>
  <c r="I75" i="24" a="1"/>
  <c r="I75" i="24" s="1"/>
  <c r="J75" i="24" s="1" a="1"/>
  <c r="J75" i="24" s="1"/>
  <c r="K74" i="24" a="1"/>
  <c r="K74" i="24" s="1"/>
  <c r="I74" i="24" a="1"/>
  <c r="I74" i="24" s="1"/>
  <c r="J74" i="24" s="1" a="1"/>
  <c r="J74" i="24" s="1"/>
  <c r="K73" i="24" a="1"/>
  <c r="K73" i="24" s="1"/>
  <c r="I73" i="24" a="1"/>
  <c r="I73" i="24" s="1"/>
  <c r="J73" i="24" s="1" a="1"/>
  <c r="J73" i="24" s="1"/>
  <c r="K72" i="24" a="1"/>
  <c r="K72" i="24" s="1"/>
  <c r="I72" i="24" a="1"/>
  <c r="I72" i="24" s="1"/>
  <c r="J72" i="24" s="1" a="1"/>
  <c r="J72" i="24" s="1"/>
  <c r="K71" i="24" a="1"/>
  <c r="K71" i="24" s="1"/>
  <c r="I71" i="24" a="1"/>
  <c r="I71" i="24" s="1"/>
  <c r="J71" i="24" s="1" a="1"/>
  <c r="J71" i="24" s="1"/>
  <c r="K70" i="24" a="1"/>
  <c r="K70" i="24" s="1"/>
  <c r="I70" i="24" a="1"/>
  <c r="I70" i="24" s="1"/>
  <c r="K69" i="24" a="1"/>
  <c r="K69" i="24" s="1"/>
  <c r="I69" i="24" a="1"/>
  <c r="I69" i="24" s="1"/>
  <c r="J69" i="24" s="1" a="1"/>
  <c r="J69" i="24" s="1"/>
  <c r="K68" i="24" a="1"/>
  <c r="K68" i="24" s="1"/>
  <c r="I68" i="24" a="1"/>
  <c r="I68" i="24" s="1"/>
  <c r="J68" i="24" s="1" a="1"/>
  <c r="J68" i="24" s="1"/>
  <c r="K67" i="24" a="1"/>
  <c r="K67" i="24" s="1"/>
  <c r="I67" i="24" a="1"/>
  <c r="I67" i="24" s="1"/>
  <c r="J67" i="24" s="1" a="1"/>
  <c r="J67" i="24" s="1"/>
  <c r="K66" i="24" a="1"/>
  <c r="K66" i="24" s="1"/>
  <c r="I66" i="24" a="1"/>
  <c r="I66" i="24" s="1"/>
  <c r="J66" i="24" s="1" a="1"/>
  <c r="J66" i="24" s="1"/>
  <c r="K65" i="24" a="1"/>
  <c r="K65" i="24" s="1"/>
  <c r="I65" i="24" a="1"/>
  <c r="I65" i="24" s="1"/>
  <c r="J65" i="24" s="1" a="1"/>
  <c r="J65" i="24" s="1"/>
  <c r="K64" i="24" a="1"/>
  <c r="K64" i="24" s="1"/>
  <c r="I64" i="24" a="1"/>
  <c r="I64" i="24" s="1"/>
  <c r="J64" i="24" s="1" a="1"/>
  <c r="J64" i="24" s="1"/>
  <c r="K63" i="24" a="1"/>
  <c r="K63" i="24" s="1"/>
  <c r="I63" i="24" a="1"/>
  <c r="I63" i="24" s="1"/>
  <c r="J63" i="24" s="1" a="1"/>
  <c r="J63" i="24" s="1"/>
  <c r="K62" i="24" a="1"/>
  <c r="K62" i="24" s="1"/>
  <c r="I62" i="24" a="1"/>
  <c r="I62" i="24" s="1"/>
  <c r="J62" i="24" s="1" a="1"/>
  <c r="J62" i="24" s="1"/>
  <c r="K61" i="24" a="1"/>
  <c r="K61" i="24" s="1"/>
  <c r="I61" i="24" a="1"/>
  <c r="I61" i="24" s="1"/>
  <c r="J61" i="24" s="1" a="1"/>
  <c r="J61" i="24" s="1"/>
  <c r="K60" i="24" a="1"/>
  <c r="K60" i="24" s="1"/>
  <c r="I60" i="24" a="1"/>
  <c r="I60" i="24" s="1"/>
  <c r="J60" i="24" s="1" a="1"/>
  <c r="J60" i="24" s="1"/>
  <c r="K59" i="24" a="1"/>
  <c r="K59" i="24" s="1"/>
  <c r="I59" i="24" a="1"/>
  <c r="I59" i="24" s="1"/>
  <c r="J59" i="24" s="1" a="1"/>
  <c r="J59" i="24" s="1"/>
  <c r="K58" i="24" a="1"/>
  <c r="K58" i="24" s="1"/>
  <c r="I58" i="24" a="1"/>
  <c r="I58" i="24" s="1"/>
  <c r="J58" i="24" s="1" a="1"/>
  <c r="J58" i="24" s="1"/>
  <c r="K57" i="24" a="1"/>
  <c r="K57" i="24" s="1"/>
  <c r="I57" i="24" a="1"/>
  <c r="I57" i="24" s="1"/>
  <c r="J57" i="24" s="1" a="1"/>
  <c r="J57" i="24" s="1"/>
  <c r="K56" i="24" a="1"/>
  <c r="K56" i="24" s="1"/>
  <c r="I56" i="24" a="1"/>
  <c r="I56" i="24" s="1"/>
  <c r="J56" i="24" s="1" a="1"/>
  <c r="J56" i="24" s="1"/>
  <c r="K55" i="24" a="1"/>
  <c r="K55" i="24" s="1"/>
  <c r="I55" i="24" a="1"/>
  <c r="I55" i="24" s="1"/>
  <c r="J55" i="24" s="1" a="1"/>
  <c r="J55" i="24" s="1"/>
  <c r="K54" i="24" a="1"/>
  <c r="K54" i="24" s="1"/>
  <c r="I54" i="24" a="1"/>
  <c r="I54" i="24" s="1"/>
  <c r="J54" i="24" s="1" a="1"/>
  <c r="J54" i="24" s="1"/>
  <c r="K53" i="24" a="1"/>
  <c r="K53" i="24" s="1"/>
  <c r="I53" i="24" a="1"/>
  <c r="I53" i="24" s="1"/>
  <c r="J53" i="24" s="1" a="1"/>
  <c r="J53" i="24" s="1"/>
  <c r="K52" i="24" a="1"/>
  <c r="K52" i="24" s="1"/>
  <c r="I52" i="24" a="1"/>
  <c r="I52" i="24" s="1"/>
  <c r="J52" i="24" s="1" a="1"/>
  <c r="J52" i="24" s="1"/>
  <c r="K51" i="24" a="1"/>
  <c r="K51" i="24" s="1"/>
  <c r="I51" i="24" a="1"/>
  <c r="I51" i="24" s="1"/>
  <c r="J51" i="24" s="1" a="1"/>
  <c r="J51" i="24" s="1"/>
  <c r="K50" i="24" a="1"/>
  <c r="K50" i="24" s="1"/>
  <c r="I50" i="24" a="1"/>
  <c r="I50" i="24" s="1"/>
  <c r="J50" i="24" s="1" a="1"/>
  <c r="J50" i="24" s="1"/>
  <c r="K49" i="24" a="1"/>
  <c r="K49" i="24" s="1"/>
  <c r="I49" i="24" a="1"/>
  <c r="I49" i="24" s="1"/>
  <c r="J49" i="24" s="1" a="1"/>
  <c r="J49" i="24" s="1"/>
  <c r="K48" i="24" a="1"/>
  <c r="K48" i="24" s="1"/>
  <c r="I48" i="24" a="1"/>
  <c r="I48" i="24" s="1"/>
  <c r="J48" i="24" s="1" a="1"/>
  <c r="J48" i="24" s="1"/>
  <c r="K47" i="24" a="1"/>
  <c r="K47" i="24" s="1"/>
  <c r="I47" i="24" a="1"/>
  <c r="I47" i="24" s="1"/>
  <c r="J47" i="24" s="1" a="1"/>
  <c r="J47" i="24" s="1"/>
  <c r="K46" i="24" a="1"/>
  <c r="K46" i="24" s="1"/>
  <c r="I46" i="24" a="1"/>
  <c r="I46" i="24" s="1"/>
  <c r="J46" i="24" s="1" a="1"/>
  <c r="J46" i="24" s="1"/>
  <c r="K45" i="24" a="1"/>
  <c r="K45" i="24" s="1"/>
  <c r="I45" i="24" a="1"/>
  <c r="I45" i="24" s="1"/>
  <c r="J45" i="24" s="1" a="1"/>
  <c r="J45" i="24" s="1"/>
  <c r="K44" i="24" a="1"/>
  <c r="K44" i="24" s="1"/>
  <c r="I44" i="24" a="1"/>
  <c r="I44" i="24" s="1"/>
  <c r="J44" i="24" s="1" a="1"/>
  <c r="J44" i="24" s="1"/>
  <c r="K43" i="24" a="1"/>
  <c r="K43" i="24" s="1"/>
  <c r="I43" i="24" a="1"/>
  <c r="I43" i="24" s="1"/>
  <c r="J43" i="24" s="1" a="1"/>
  <c r="J43" i="24" s="1"/>
  <c r="K42" i="24" a="1"/>
  <c r="K42" i="24" s="1"/>
  <c r="I42" i="24" a="1"/>
  <c r="I42" i="24" s="1"/>
  <c r="J42" i="24" s="1" a="1"/>
  <c r="J42" i="24" s="1"/>
  <c r="K41" i="24" a="1"/>
  <c r="K41" i="24" s="1"/>
  <c r="I41" i="24" a="1"/>
  <c r="I41" i="24" s="1"/>
  <c r="K40" i="24" a="1"/>
  <c r="K40" i="24" s="1"/>
  <c r="I40" i="24" a="1"/>
  <c r="I40" i="24" s="1"/>
  <c r="J40" i="24" s="1" a="1"/>
  <c r="J40" i="24" s="1"/>
  <c r="K39" i="24" a="1"/>
  <c r="K39" i="24" s="1"/>
  <c r="I39" i="24" a="1"/>
  <c r="I39" i="24" s="1"/>
  <c r="J39" i="24" s="1" a="1"/>
  <c r="J39" i="24" s="1"/>
  <c r="K38" i="24" a="1"/>
  <c r="K38" i="24" s="1"/>
  <c r="I38" i="24" a="1"/>
  <c r="I38" i="24" s="1"/>
  <c r="K37" i="24" a="1"/>
  <c r="K37" i="24" s="1"/>
  <c r="I37" i="24" a="1"/>
  <c r="I37" i="24" s="1"/>
  <c r="J37" i="24" s="1" a="1"/>
  <c r="J37" i="24" s="1"/>
  <c r="K36" i="24" a="1"/>
  <c r="K36" i="24" s="1"/>
  <c r="I36" i="24" a="1"/>
  <c r="I36" i="24" s="1"/>
  <c r="J36" i="24" s="1" a="1"/>
  <c r="J36" i="24" s="1"/>
  <c r="K35" i="24" a="1"/>
  <c r="K35" i="24" s="1"/>
  <c r="I35" i="24" a="1"/>
  <c r="I35" i="24" s="1"/>
  <c r="J35" i="24" s="1" a="1"/>
  <c r="J35" i="24" s="1"/>
  <c r="K34" i="24" a="1"/>
  <c r="K34" i="24" s="1"/>
  <c r="I34" i="24" a="1"/>
  <c r="I34" i="24" s="1"/>
  <c r="J34" i="24" s="1" a="1"/>
  <c r="J34" i="24" s="1"/>
  <c r="K33" i="24" a="1"/>
  <c r="K33" i="24" s="1"/>
  <c r="I33" i="24" a="1"/>
  <c r="I33" i="24" s="1"/>
  <c r="J33" i="24" s="1" a="1"/>
  <c r="J33" i="24" s="1"/>
  <c r="K32" i="24" a="1"/>
  <c r="K32" i="24" s="1"/>
  <c r="I32" i="24" a="1"/>
  <c r="I32" i="24" s="1"/>
  <c r="J32" i="24" s="1" a="1"/>
  <c r="J32" i="24" s="1"/>
  <c r="K31" i="24" a="1"/>
  <c r="K31" i="24" s="1"/>
  <c r="I31" i="24" a="1"/>
  <c r="I31" i="24" s="1"/>
  <c r="J31" i="24" s="1" a="1"/>
  <c r="J31" i="24" s="1"/>
  <c r="K30" i="24" a="1"/>
  <c r="K30" i="24" s="1"/>
  <c r="I30" i="24" a="1"/>
  <c r="I30" i="24" s="1"/>
  <c r="J30" i="24" s="1" a="1"/>
  <c r="J30" i="24" s="1"/>
  <c r="K29" i="24" a="1"/>
  <c r="K29" i="24" s="1"/>
  <c r="I29" i="24" a="1"/>
  <c r="I29" i="24" s="1"/>
  <c r="J29" i="24" s="1" a="1"/>
  <c r="J29" i="24" s="1"/>
  <c r="K28" i="24" a="1"/>
  <c r="K28" i="24" s="1"/>
  <c r="I28" i="24" a="1"/>
  <c r="I28" i="24" s="1"/>
  <c r="J28" i="24" s="1" a="1"/>
  <c r="J28" i="24" s="1"/>
  <c r="K27" i="24" a="1"/>
  <c r="K27" i="24" s="1"/>
  <c r="I27" i="24" a="1"/>
  <c r="I27" i="24" s="1"/>
  <c r="J27" i="24" s="1" a="1"/>
  <c r="J27" i="24" s="1"/>
  <c r="K26" i="24" a="1"/>
  <c r="K26" i="24" s="1"/>
  <c r="I26" i="24" a="1"/>
  <c r="I26" i="24" s="1"/>
  <c r="J26" i="24" s="1" a="1"/>
  <c r="J26" i="24" s="1"/>
  <c r="K25" i="24" a="1"/>
  <c r="K25" i="24" s="1"/>
  <c r="I25" i="24" a="1"/>
  <c r="I25" i="24" s="1"/>
  <c r="J25" i="24" s="1" a="1"/>
  <c r="J25" i="24" s="1"/>
  <c r="K24" i="24" a="1"/>
  <c r="K24" i="24" s="1"/>
  <c r="I24" i="24" a="1"/>
  <c r="I24" i="24" s="1"/>
  <c r="J24" i="24" s="1" a="1"/>
  <c r="J24" i="24" s="1"/>
  <c r="K23" i="24" a="1"/>
  <c r="K23" i="24" s="1"/>
  <c r="I23" i="24" a="1"/>
  <c r="I23" i="24" s="1"/>
  <c r="J23" i="24" s="1" a="1"/>
  <c r="J23" i="24" s="1"/>
  <c r="K22" i="24" a="1"/>
  <c r="K22" i="24" s="1"/>
  <c r="I22" i="24" a="1"/>
  <c r="I22" i="24" s="1"/>
  <c r="J22" i="24" s="1" a="1"/>
  <c r="J22" i="24" s="1"/>
  <c r="K21" i="24" a="1"/>
  <c r="K21" i="24" s="1"/>
  <c r="I21" i="24" a="1"/>
  <c r="I21" i="24" s="1"/>
  <c r="J21" i="24" s="1" a="1"/>
  <c r="J21" i="24" s="1"/>
  <c r="K20" i="24" a="1"/>
  <c r="K20" i="24" s="1"/>
  <c r="I20" i="24" a="1"/>
  <c r="I20" i="24" s="1"/>
  <c r="J20" i="24" s="1" a="1"/>
  <c r="J20" i="24" s="1"/>
  <c r="K19" i="24" a="1"/>
  <c r="K19" i="24" s="1"/>
  <c r="I19" i="24" a="1"/>
  <c r="I19" i="24" s="1"/>
  <c r="J19" i="24" s="1" a="1"/>
  <c r="J19" i="24" s="1"/>
  <c r="K18" i="24" a="1"/>
  <c r="K18" i="24" s="1"/>
  <c r="I18" i="24" a="1"/>
  <c r="I18" i="24" s="1"/>
  <c r="J18" i="24" s="1" a="1"/>
  <c r="J18" i="24" s="1"/>
  <c r="K17" i="24" a="1"/>
  <c r="K17" i="24" s="1"/>
  <c r="I17" i="24" a="1"/>
  <c r="I17" i="24" s="1"/>
  <c r="K16" i="24" a="1"/>
  <c r="K16" i="24" s="1"/>
  <c r="I16" i="24" a="1"/>
  <c r="I16" i="24" s="1"/>
  <c r="J16" i="24" s="1" a="1"/>
  <c r="J16" i="24" s="1"/>
  <c r="K15" i="24" a="1"/>
  <c r="K15" i="24" s="1"/>
  <c r="I15" i="24" a="1"/>
  <c r="I15" i="24" s="1"/>
  <c r="J15" i="24" s="1" a="1"/>
  <c r="J15" i="24" s="1"/>
  <c r="K14" i="24" a="1"/>
  <c r="K14" i="24" s="1"/>
  <c r="I14" i="24" a="1"/>
  <c r="I14" i="24" s="1"/>
  <c r="J14" i="24" s="1" a="1"/>
  <c r="J14" i="24" s="1"/>
  <c r="K13" i="24" a="1"/>
  <c r="K13" i="24" s="1"/>
  <c r="I13" i="24" a="1"/>
  <c r="I13" i="24" s="1"/>
  <c r="J13" i="24" s="1" a="1"/>
  <c r="J13" i="24" s="1"/>
  <c r="K12" i="24" a="1"/>
  <c r="K12" i="24" s="1"/>
  <c r="I12" i="24" a="1"/>
  <c r="I12" i="24" s="1"/>
  <c r="J12" i="24" s="1" a="1"/>
  <c r="J12" i="24" s="1"/>
  <c r="K11" i="24" a="1"/>
  <c r="K11" i="24" s="1"/>
  <c r="I11" i="24" a="1"/>
  <c r="I11" i="24" s="1"/>
  <c r="J11" i="24" s="1" a="1"/>
  <c r="J11" i="24" s="1"/>
  <c r="K10" i="24" a="1"/>
  <c r="K10" i="24" s="1"/>
  <c r="I10" i="24" a="1"/>
  <c r="I10" i="24" s="1"/>
  <c r="J10" i="24" s="1" a="1"/>
  <c r="J10" i="24" s="1"/>
  <c r="K9" i="24" a="1"/>
  <c r="K9" i="24" s="1"/>
  <c r="I9" i="24" a="1"/>
  <c r="I9" i="24" s="1"/>
  <c r="J9" i="24" s="1" a="1"/>
  <c r="J9" i="24" s="1"/>
  <c r="K8" i="24" a="1"/>
  <c r="K8" i="24" s="1"/>
  <c r="I8" i="24" a="1"/>
  <c r="I8" i="24" s="1"/>
  <c r="J8" i="24" s="1" a="1"/>
  <c r="J8" i="24" s="1"/>
  <c r="K7" i="24" a="1"/>
  <c r="K7" i="24" s="1"/>
  <c r="I7" i="24" a="1"/>
  <c r="I7" i="24" s="1"/>
  <c r="J7" i="24" s="1" a="1"/>
  <c r="J7" i="24" s="1"/>
  <c r="K6" i="24" a="1"/>
  <c r="K6" i="24" s="1"/>
  <c r="I6" i="24" a="1"/>
  <c r="I6" i="24" s="1"/>
  <c r="J6" i="24" s="1" a="1"/>
  <c r="J6" i="24" s="1"/>
  <c r="K5" i="24" a="1"/>
  <c r="K5" i="24" s="1"/>
  <c r="I5" i="24" a="1"/>
  <c r="I5" i="24" s="1"/>
  <c r="J5" i="24" s="1" a="1"/>
  <c r="J5" i="24" s="1"/>
  <c r="AM26" i="21"/>
  <c r="AL26" i="21"/>
  <c r="AK26" i="21"/>
  <c r="AM25" i="21"/>
  <c r="AL25" i="21"/>
  <c r="AK25" i="21"/>
  <c r="AM24" i="21"/>
  <c r="AL24" i="21"/>
  <c r="AK24" i="21"/>
  <c r="AM23" i="21"/>
  <c r="AL23" i="21"/>
  <c r="AK23" i="21"/>
  <c r="AL22" i="21"/>
  <c r="AK22" i="21"/>
  <c r="AM21" i="21"/>
  <c r="AL21" i="21"/>
  <c r="AK21" i="21"/>
  <c r="AJ26" i="21"/>
  <c r="AJ25" i="21"/>
  <c r="AJ24" i="21"/>
  <c r="AJ23" i="21"/>
  <c r="AJ22" i="21"/>
  <c r="AI26" i="21"/>
  <c r="AI25" i="21"/>
  <c r="AI24" i="21"/>
  <c r="AI23" i="21"/>
  <c r="AI22" i="21"/>
  <c r="AI21" i="21"/>
  <c r="AI20" i="21"/>
  <c r="AI19" i="21"/>
  <c r="AI18" i="21"/>
  <c r="AJ21" i="21"/>
  <c r="AC26" i="21"/>
  <c r="AB26" i="21"/>
  <c r="AA26" i="21"/>
  <c r="AC25" i="21"/>
  <c r="AB25" i="21"/>
  <c r="AA25" i="21"/>
  <c r="AC24" i="21"/>
  <c r="AB24" i="21"/>
  <c r="AC23" i="21"/>
  <c r="AB23" i="21"/>
  <c r="AA23" i="21"/>
  <c r="AB22" i="21"/>
  <c r="AA22" i="21"/>
  <c r="AC21" i="21"/>
  <c r="AB21" i="21"/>
  <c r="AA21" i="21"/>
  <c r="Z26" i="21"/>
  <c r="Z25" i="21"/>
  <c r="Z24" i="21"/>
  <c r="Z23" i="21"/>
  <c r="Z22" i="21"/>
  <c r="Z21" i="21"/>
  <c r="Z20" i="21"/>
  <c r="AC20" i="21"/>
  <c r="AB20" i="21"/>
  <c r="AA20" i="21"/>
  <c r="Y26" i="21"/>
  <c r="Y25" i="21"/>
  <c r="Y24" i="21"/>
  <c r="Y23" i="21"/>
  <c r="Y22" i="21"/>
  <c r="Y21" i="21"/>
  <c r="Y20" i="21"/>
  <c r="Y19" i="21"/>
  <c r="Y18" i="21"/>
  <c r="Q22" i="21"/>
  <c r="P22" i="21"/>
  <c r="O22" i="21"/>
  <c r="Q19" i="21"/>
  <c r="P19" i="21"/>
  <c r="O19" i="21"/>
  <c r="P18" i="21"/>
  <c r="Q18" i="21"/>
  <c r="O18" i="21"/>
  <c r="M26" i="21"/>
  <c r="M25" i="21"/>
  <c r="M24" i="21"/>
  <c r="M23" i="21"/>
  <c r="M22" i="21"/>
  <c r="M21" i="21"/>
  <c r="M20" i="21"/>
  <c r="M19" i="21"/>
  <c r="M18" i="21"/>
  <c r="J5" i="21"/>
  <c r="I5" i="21"/>
  <c r="N19" i="21" s="1"/>
  <c r="J4" i="21"/>
  <c r="I4" i="21"/>
  <c r="N18" i="21" s="1"/>
  <c r="F10" i="21"/>
  <c r="E10" i="21"/>
  <c r="J8" i="21"/>
  <c r="I8" i="21"/>
  <c r="N22" i="21" s="1"/>
  <c r="R78" i="24" l="1"/>
  <c r="S78" i="24" s="1"/>
  <c r="R36" i="24"/>
  <c r="S36" i="24" s="1"/>
  <c r="R15" i="24"/>
  <c r="S15" i="24" s="1"/>
  <c r="R136" i="24"/>
  <c r="S136" i="24" s="1"/>
  <c r="R35" i="24"/>
  <c r="S35" i="24" s="1"/>
  <c r="R155" i="24"/>
  <c r="S155" i="24" s="1"/>
  <c r="R181" i="24"/>
  <c r="S181" i="24" s="1"/>
  <c r="R16" i="24"/>
  <c r="S16" i="24" s="1"/>
  <c r="R27" i="24"/>
  <c r="S27" i="24" s="1"/>
  <c r="R148" i="24"/>
  <c r="S148" i="24" s="1"/>
  <c r="R110" i="24"/>
  <c r="S110" i="24" s="1"/>
  <c r="R55" i="24"/>
  <c r="S55" i="24" s="1"/>
  <c r="W175" i="24"/>
  <c r="X175" i="24" s="1"/>
  <c r="R98" i="24"/>
  <c r="S98" i="24" s="1"/>
  <c r="R52" i="24"/>
  <c r="S52" i="24" s="1"/>
  <c r="W107" i="24"/>
  <c r="X107" i="24" s="1"/>
  <c r="R44" i="24"/>
  <c r="S44" i="24" s="1"/>
  <c r="R193" i="24"/>
  <c r="S193" i="24" s="1"/>
  <c r="R73" i="24"/>
  <c r="S73" i="24" s="1"/>
  <c r="R109" i="24"/>
  <c r="S109" i="24" s="1"/>
  <c r="R182" i="24"/>
  <c r="S182" i="24" s="1"/>
  <c r="R6" i="16"/>
  <c r="S6" i="16" s="1"/>
  <c r="R201" i="24"/>
  <c r="S201" i="24" s="1"/>
  <c r="R165" i="24"/>
  <c r="S165" i="24" s="1"/>
  <c r="R56" i="24"/>
  <c r="S56" i="24" s="1"/>
  <c r="R190" i="24"/>
  <c r="S190" i="24" s="1"/>
  <c r="R143" i="24"/>
  <c r="S143" i="24" s="1"/>
  <c r="R28" i="24"/>
  <c r="S28" i="24" s="1"/>
  <c r="R53" i="24"/>
  <c r="S53" i="24" s="1"/>
  <c r="W158" i="24"/>
  <c r="X158" i="24" s="1"/>
  <c r="R212" i="24"/>
  <c r="S212" i="24" s="1"/>
  <c r="R145" i="24"/>
  <c r="S145" i="24" s="1"/>
  <c r="R174" i="24"/>
  <c r="S174" i="24" s="1"/>
  <c r="R97" i="24"/>
  <c r="S97" i="24" s="1"/>
  <c r="R26" i="24"/>
  <c r="S26" i="24" s="1"/>
  <c r="AH208" i="24"/>
  <c r="AI208" i="24" s="1"/>
  <c r="AH243" i="24"/>
  <c r="AI243" i="24" s="1"/>
  <c r="AC256" i="24"/>
  <c r="AD256" i="24" s="1"/>
  <c r="AH379" i="24"/>
  <c r="AI379" i="24" s="1"/>
  <c r="AC11" i="24"/>
  <c r="AD11" i="24" s="1"/>
  <c r="AH22" i="24"/>
  <c r="AI22" i="24" s="1"/>
  <c r="AC198" i="24"/>
  <c r="AD198" i="24" s="1"/>
  <c r="AC55" i="24"/>
  <c r="AD55" i="24" s="1"/>
  <c r="AH163" i="24"/>
  <c r="AI163" i="24" s="1"/>
  <c r="AH132" i="24"/>
  <c r="AI132" i="24" s="1"/>
  <c r="AC81" i="24"/>
  <c r="AD81" i="24" s="1"/>
  <c r="AC296" i="24"/>
  <c r="AD296" i="24" s="1"/>
  <c r="AH331" i="24"/>
  <c r="AI331" i="24" s="1"/>
  <c r="AC217" i="24"/>
  <c r="AD217" i="24" s="1"/>
  <c r="AC229" i="24"/>
  <c r="AD229" i="24" s="1"/>
  <c r="AC366" i="24"/>
  <c r="AD366" i="24" s="1"/>
  <c r="AC195" i="24"/>
  <c r="AD195" i="24" s="1"/>
  <c r="AC343" i="24"/>
  <c r="AD343" i="24" s="1"/>
  <c r="AC351" i="24"/>
  <c r="AD351" i="24" s="1"/>
  <c r="AH253" i="24"/>
  <c r="AI253" i="24" s="1"/>
  <c r="AC261" i="24"/>
  <c r="AD261" i="24" s="1"/>
  <c r="AH308" i="24"/>
  <c r="AI308" i="24" s="1"/>
  <c r="AH320" i="24"/>
  <c r="AI320" i="24" s="1"/>
  <c r="AH8" i="24"/>
  <c r="AI8" i="24" s="1"/>
  <c r="AC75" i="24"/>
  <c r="AD75" i="24" s="1"/>
  <c r="AH249" i="24"/>
  <c r="AI249" i="24" s="1"/>
  <c r="AC329" i="24"/>
  <c r="AD329" i="24" s="1"/>
  <c r="AH191" i="24"/>
  <c r="AI191" i="24" s="1"/>
  <c r="AC269" i="24"/>
  <c r="AD269" i="24" s="1"/>
  <c r="AC281" i="24"/>
  <c r="AD281" i="24" s="1"/>
  <c r="AC305" i="24"/>
  <c r="AD305" i="24" s="1"/>
  <c r="AC317" i="24"/>
  <c r="AD317" i="24" s="1"/>
  <c r="AC363" i="24"/>
  <c r="AD363" i="24" s="1"/>
  <c r="AC226" i="24"/>
  <c r="AD226" i="24" s="1"/>
  <c r="AH269" i="24"/>
  <c r="AI269" i="24" s="1"/>
  <c r="AH389" i="24"/>
  <c r="AI389" i="24" s="1"/>
  <c r="AH118" i="24"/>
  <c r="AI118" i="24" s="1"/>
  <c r="AC272" i="24"/>
  <c r="AD272" i="24" s="1"/>
  <c r="AC50" i="24"/>
  <c r="AD50" i="24" s="1"/>
  <c r="AC158" i="24"/>
  <c r="AD158" i="24" s="1"/>
  <c r="AC235" i="24"/>
  <c r="AD235" i="24" s="1"/>
  <c r="AH258" i="24"/>
  <c r="AI258" i="24" s="1"/>
  <c r="AH5" i="24"/>
  <c r="AI5" i="24" s="1"/>
  <c r="AC302" i="24"/>
  <c r="AD302" i="24" s="1"/>
  <c r="AH360" i="24"/>
  <c r="AI360" i="24" s="1"/>
  <c r="AC371" i="24"/>
  <c r="AD371" i="24" s="1"/>
  <c r="AH13" i="24"/>
  <c r="AI13" i="24" s="1"/>
  <c r="AH72" i="24"/>
  <c r="AI72" i="24" s="1"/>
  <c r="AH314" i="24"/>
  <c r="AI314" i="24" s="1"/>
  <c r="AH348" i="24"/>
  <c r="AI348" i="24" s="1"/>
  <c r="AC47" i="24"/>
  <c r="AD47" i="24" s="1"/>
  <c r="AH98" i="24"/>
  <c r="AI98" i="24" s="1"/>
  <c r="AC135" i="24"/>
  <c r="AD135" i="24" s="1"/>
  <c r="AC189" i="24"/>
  <c r="AD189" i="24" s="1"/>
  <c r="AH200" i="24"/>
  <c r="AI200" i="24" s="1"/>
  <c r="AH278" i="24"/>
  <c r="AI278" i="24" s="1"/>
  <c r="AH250" i="24"/>
  <c r="AI250" i="24" s="1"/>
  <c r="AH374" i="24"/>
  <c r="AI374" i="24" s="1"/>
  <c r="AH383" i="24"/>
  <c r="AI383" i="24" s="1"/>
  <c r="AH299" i="24"/>
  <c r="AI299" i="24" s="1"/>
  <c r="AC321" i="24"/>
  <c r="AD321" i="24" s="1"/>
  <c r="AC59" i="24"/>
  <c r="AD59" i="24" s="1"/>
  <c r="AC201" i="24"/>
  <c r="AD201" i="24" s="1"/>
  <c r="AC236" i="24"/>
  <c r="AD236" i="24" s="1"/>
  <c r="AC42" i="24"/>
  <c r="AD42" i="24" s="1"/>
  <c r="AH119" i="24"/>
  <c r="AI119" i="24" s="1"/>
  <c r="AC150" i="24"/>
  <c r="AD150" i="24" s="1"/>
  <c r="AC381" i="24"/>
  <c r="AD381" i="24" s="1"/>
  <c r="AH144" i="24"/>
  <c r="AI144" i="24" s="1"/>
  <c r="AC196" i="24"/>
  <c r="AD196" i="24" s="1"/>
  <c r="AH264" i="24"/>
  <c r="AI264" i="24" s="1"/>
  <c r="AH288" i="24"/>
  <c r="AI288" i="24" s="1"/>
  <c r="AH361" i="24"/>
  <c r="AI361" i="24" s="1"/>
  <c r="AC241" i="24"/>
  <c r="AD241" i="24" s="1"/>
  <c r="AC244" i="24"/>
  <c r="AD244" i="24" s="1"/>
  <c r="AH371" i="24"/>
  <c r="AI371" i="24" s="1"/>
  <c r="AH41" i="24"/>
  <c r="AI41" i="24" s="1"/>
  <c r="AC130" i="24"/>
  <c r="AD130" i="24" s="1"/>
  <c r="AC76" i="24"/>
  <c r="AD76" i="24" s="1"/>
  <c r="AC93" i="24"/>
  <c r="AD93" i="24" s="1"/>
  <c r="AC372" i="24"/>
  <c r="AD372" i="24" s="1"/>
  <c r="AC332" i="24"/>
  <c r="AD332" i="24" s="1"/>
  <c r="AH349" i="24"/>
  <c r="AI349" i="24" s="1"/>
  <c r="AH25" i="24"/>
  <c r="AI25" i="24" s="1"/>
  <c r="AH102" i="24"/>
  <c r="AI102" i="24" s="1"/>
  <c r="AC159" i="24"/>
  <c r="AD159" i="24" s="1"/>
  <c r="AC233" i="24"/>
  <c r="AD233" i="24" s="1"/>
  <c r="AC245" i="24"/>
  <c r="AD245" i="24" s="1"/>
  <c r="AC248" i="24"/>
  <c r="AD248" i="24" s="1"/>
  <c r="AH273" i="24"/>
  <c r="AI273" i="24" s="1"/>
  <c r="AC306" i="24"/>
  <c r="AD306" i="24" s="1"/>
  <c r="AC128" i="24"/>
  <c r="AD128" i="24" s="1"/>
  <c r="AC193" i="24"/>
  <c r="AD193" i="24" s="1"/>
  <c r="AC85" i="24"/>
  <c r="AD85" i="24" s="1"/>
  <c r="AC94" i="24"/>
  <c r="AD94" i="24" s="1"/>
  <c r="AH159" i="24"/>
  <c r="AI159" i="24" s="1"/>
  <c r="AC179" i="24"/>
  <c r="AD179" i="24" s="1"/>
  <c r="AH233" i="24"/>
  <c r="AI233" i="24" s="1"/>
  <c r="AC297" i="24"/>
  <c r="AD297" i="24" s="1"/>
  <c r="AH193" i="24"/>
  <c r="AI193" i="24" s="1"/>
  <c r="AC277" i="24"/>
  <c r="AD277" i="24" s="1"/>
  <c r="AC310" i="24"/>
  <c r="AD310" i="24" s="1"/>
  <c r="AH344" i="24"/>
  <c r="AI344" i="24" s="1"/>
  <c r="AC373" i="24"/>
  <c r="AD373" i="24" s="1"/>
  <c r="AC21" i="24"/>
  <c r="AD21" i="24" s="1"/>
  <c r="AC37" i="24"/>
  <c r="AD37" i="24" s="1"/>
  <c r="AH97" i="24"/>
  <c r="AI97" i="24" s="1"/>
  <c r="AC154" i="24"/>
  <c r="AD154" i="24" s="1"/>
  <c r="AC339" i="24"/>
  <c r="AD339" i="24" s="1"/>
  <c r="AC356" i="24"/>
  <c r="AD356" i="24" s="1"/>
  <c r="AH91" i="24"/>
  <c r="AI91" i="24" s="1"/>
  <c r="AH108" i="24"/>
  <c r="AI108" i="24" s="1"/>
  <c r="AC151" i="24"/>
  <c r="AD151" i="24" s="1"/>
  <c r="AH199" i="24"/>
  <c r="AI199" i="24" s="1"/>
  <c r="AC211" i="24"/>
  <c r="AD211" i="24" s="1"/>
  <c r="AC246" i="24"/>
  <c r="AD246" i="24" s="1"/>
  <c r="AH271" i="24"/>
  <c r="AI271" i="24" s="1"/>
  <c r="AC322" i="24"/>
  <c r="AD322" i="24" s="1"/>
  <c r="AC388" i="24"/>
  <c r="AD388" i="24" s="1"/>
  <c r="AH368" i="24"/>
  <c r="AI368" i="24" s="1"/>
  <c r="AC33" i="24"/>
  <c r="AD33" i="24" s="1"/>
  <c r="AH61" i="24"/>
  <c r="AI61" i="24" s="1"/>
  <c r="AC96" i="24"/>
  <c r="AD96" i="24" s="1"/>
  <c r="AC113" i="24"/>
  <c r="AD113" i="24" s="1"/>
  <c r="AC116" i="24"/>
  <c r="AD116" i="24" s="1"/>
  <c r="AH241" i="24"/>
  <c r="AI241" i="24" s="1"/>
  <c r="AC273" i="24"/>
  <c r="AD273" i="24" s="1"/>
  <c r="AC279" i="24"/>
  <c r="AD279" i="24" s="1"/>
  <c r="AC291" i="24"/>
  <c r="AD291" i="24" s="1"/>
  <c r="AH14" i="24"/>
  <c r="AI14" i="24" s="1"/>
  <c r="AC28" i="24"/>
  <c r="AD28" i="24" s="1"/>
  <c r="AC369" i="24"/>
  <c r="AD369" i="24" s="1"/>
  <c r="AH113" i="24"/>
  <c r="AI113" i="24" s="1"/>
  <c r="AH50" i="24"/>
  <c r="AI50" i="24" s="1"/>
  <c r="AC79" i="24"/>
  <c r="AD79" i="24" s="1"/>
  <c r="AC125" i="24"/>
  <c r="AD125" i="24" s="1"/>
  <c r="AC156" i="24"/>
  <c r="AD156" i="24" s="1"/>
  <c r="AC187" i="24"/>
  <c r="AD187" i="24" s="1"/>
  <c r="AH285" i="24"/>
  <c r="AI285" i="24" s="1"/>
  <c r="AC303" i="24"/>
  <c r="AD303" i="24" s="1"/>
  <c r="AH358" i="24"/>
  <c r="AI358" i="24" s="1"/>
  <c r="AH165" i="24"/>
  <c r="AI165" i="24" s="1"/>
  <c r="AH156" i="24"/>
  <c r="AI156" i="24" s="1"/>
  <c r="AC316" i="24"/>
  <c r="AD316" i="24" s="1"/>
  <c r="AC353" i="24"/>
  <c r="AD353" i="24" s="1"/>
  <c r="AC111" i="24"/>
  <c r="AD111" i="24" s="1"/>
  <c r="AC166" i="24"/>
  <c r="AD166" i="24" s="1"/>
  <c r="AC283" i="24"/>
  <c r="AD283" i="24" s="1"/>
  <c r="AC359" i="24"/>
  <c r="AD359" i="24" s="1"/>
  <c r="AC40" i="24"/>
  <c r="AD40" i="24" s="1"/>
  <c r="AC10" i="24"/>
  <c r="AD10" i="24" s="1"/>
  <c r="AH18" i="24"/>
  <c r="AI18" i="24" s="1"/>
  <c r="AH71" i="24"/>
  <c r="AI71" i="24" s="1"/>
  <c r="AC172" i="24"/>
  <c r="AD172" i="24" s="1"/>
  <c r="AC228" i="24"/>
  <c r="AD228" i="24" s="1"/>
  <c r="AC252" i="24"/>
  <c r="AD252" i="24" s="1"/>
  <c r="AC304" i="24"/>
  <c r="AD304" i="24" s="1"/>
  <c r="AH307" i="24"/>
  <c r="AI307" i="24" s="1"/>
  <c r="AC325" i="24"/>
  <c r="AD325" i="24" s="1"/>
  <c r="AC377" i="24"/>
  <c r="AD377" i="24" s="1"/>
  <c r="AC46" i="24"/>
  <c r="AD46" i="24" s="1"/>
  <c r="AH77" i="24"/>
  <c r="AI77" i="24" s="1"/>
  <c r="AH101" i="24"/>
  <c r="AI101" i="24" s="1"/>
  <c r="AH117" i="24"/>
  <c r="AI117" i="24" s="1"/>
  <c r="AC138" i="24"/>
  <c r="AD138" i="24" s="1"/>
  <c r="AH236" i="24"/>
  <c r="AI236" i="24" s="1"/>
  <c r="AH322" i="24"/>
  <c r="AI322" i="24" s="1"/>
  <c r="AC391" i="24"/>
  <c r="AD391" i="24" s="1"/>
  <c r="AC99" i="24"/>
  <c r="AD99" i="24" s="1"/>
  <c r="AH252" i="24"/>
  <c r="AI252" i="24" s="1"/>
  <c r="AC309" i="24"/>
  <c r="AD309" i="24" s="1"/>
  <c r="AC328" i="24"/>
  <c r="AD328" i="24" s="1"/>
  <c r="AH377" i="24"/>
  <c r="AI377" i="24" s="1"/>
  <c r="AC64" i="24"/>
  <c r="AD64" i="24" s="1"/>
  <c r="AC212" i="24"/>
  <c r="AD212" i="24" s="1"/>
  <c r="AC255" i="24"/>
  <c r="AD255" i="24" s="1"/>
  <c r="AC276" i="24"/>
  <c r="AD276" i="24" s="1"/>
  <c r="AC218" i="24"/>
  <c r="AD218" i="24" s="1"/>
  <c r="AC231" i="24"/>
  <c r="AD231" i="24" s="1"/>
  <c r="AC287" i="24"/>
  <c r="AD287" i="24" s="1"/>
  <c r="AC17" i="24"/>
  <c r="AD17" i="24" s="1"/>
  <c r="AC121" i="24"/>
  <c r="AD121" i="24" s="1"/>
  <c r="AH197" i="24"/>
  <c r="AI197" i="24" s="1"/>
  <c r="AH237" i="24"/>
  <c r="AI237" i="24" s="1"/>
  <c r="AH257" i="24"/>
  <c r="AI257" i="24" s="1"/>
  <c r="AH297" i="24"/>
  <c r="AI297" i="24" s="1"/>
  <c r="AH21" i="24"/>
  <c r="AI21" i="24" s="1"/>
  <c r="AH69" i="24"/>
  <c r="AI69" i="24" s="1"/>
  <c r="AC72" i="24"/>
  <c r="AD72" i="24" s="1"/>
  <c r="AH170" i="24"/>
  <c r="AI170" i="24" s="1"/>
  <c r="AH277" i="24"/>
  <c r="AI277" i="24" s="1"/>
  <c r="AH292" i="24"/>
  <c r="AI292" i="24" s="1"/>
  <c r="AH359" i="24"/>
  <c r="AI359" i="24" s="1"/>
  <c r="AH57" i="24"/>
  <c r="AI57" i="24" s="1"/>
  <c r="AC173" i="24"/>
  <c r="AD173" i="24" s="1"/>
  <c r="AH311" i="24"/>
  <c r="AI311" i="24" s="1"/>
  <c r="AH337" i="24"/>
  <c r="AI337" i="24" s="1"/>
  <c r="AH137" i="24"/>
  <c r="AI137" i="24" s="1"/>
  <c r="AC253" i="24"/>
  <c r="AD253" i="24" s="1"/>
  <c r="AH391" i="24"/>
  <c r="AI391" i="24" s="1"/>
  <c r="R164" i="24"/>
  <c r="S164" i="24" s="1"/>
  <c r="R192" i="24"/>
  <c r="S192" i="24" s="1"/>
  <c r="R173" i="24"/>
  <c r="S173" i="24" s="1"/>
  <c r="L310" i="24"/>
  <c r="M310" i="24" s="1"/>
  <c r="R156" i="24"/>
  <c r="S156" i="24" s="1"/>
  <c r="R80" i="24"/>
  <c r="S80" i="24" s="1"/>
  <c r="R79" i="24"/>
  <c r="S79" i="24" s="1"/>
  <c r="R17" i="24"/>
  <c r="S17" i="24" s="1"/>
  <c r="W54" i="24"/>
  <c r="X54" i="24" s="1"/>
  <c r="L250" i="24"/>
  <c r="M250" i="24" s="1"/>
  <c r="R74" i="24"/>
  <c r="S74" i="24" s="1"/>
  <c r="R149" i="24"/>
  <c r="S149" i="24" s="1"/>
  <c r="R34" i="24"/>
  <c r="S34" i="24" s="1"/>
  <c r="W183" i="24"/>
  <c r="X183" i="24" s="1"/>
  <c r="W176" i="24"/>
  <c r="X176" i="24" s="1"/>
  <c r="R45" i="24"/>
  <c r="S45" i="24" s="1"/>
  <c r="P164" i="24"/>
  <c r="R135" i="24"/>
  <c r="S135" i="24" s="1"/>
  <c r="R191" i="24"/>
  <c r="S191" i="24" s="1"/>
  <c r="R18" i="24"/>
  <c r="S18" i="24" s="1"/>
  <c r="W64" i="24"/>
  <c r="X64" i="24" s="1"/>
  <c r="R32" i="24"/>
  <c r="S32" i="24" s="1"/>
  <c r="R130" i="24"/>
  <c r="S130" i="24" s="1"/>
  <c r="R41" i="24"/>
  <c r="S41" i="24" s="1"/>
  <c r="R146" i="24"/>
  <c r="S146" i="24" s="1"/>
  <c r="R202" i="24"/>
  <c r="S202" i="24" s="1"/>
  <c r="R144" i="24"/>
  <c r="S144" i="24" s="1"/>
  <c r="P144" i="24"/>
  <c r="R389" i="24"/>
  <c r="S389" i="24" s="1"/>
  <c r="W157" i="24"/>
  <c r="X157" i="24" s="1"/>
  <c r="L390" i="24"/>
  <c r="M390" i="24" s="1"/>
  <c r="L130" i="24"/>
  <c r="M130" i="24" s="1"/>
  <c r="L30" i="24"/>
  <c r="M30" i="24" s="1"/>
  <c r="L70" i="24"/>
  <c r="M70" i="24" s="1"/>
  <c r="L150" i="24"/>
  <c r="M150" i="24" s="1"/>
  <c r="L215" i="24"/>
  <c r="M215" i="24" s="1"/>
  <c r="L20" i="24"/>
  <c r="M20" i="24" s="1"/>
  <c r="L210" i="24"/>
  <c r="M210" i="24" s="1"/>
  <c r="L260" i="24"/>
  <c r="M260" i="24" s="1"/>
  <c r="L11" i="24"/>
  <c r="M11" i="24" s="1"/>
  <c r="L61" i="24"/>
  <c r="M61" i="24" s="1"/>
  <c r="L131" i="24"/>
  <c r="M131" i="24" s="1"/>
  <c r="L161" i="24"/>
  <c r="M161" i="24" s="1"/>
  <c r="L251" i="24"/>
  <c r="M251" i="24" s="1"/>
  <c r="L391" i="24"/>
  <c r="M391" i="24" s="1"/>
  <c r="L12" i="24"/>
  <c r="M12" i="24" s="1"/>
  <c r="L222" i="24"/>
  <c r="M222" i="24" s="1"/>
  <c r="L282" i="24"/>
  <c r="M282" i="24" s="1"/>
  <c r="L382" i="24"/>
  <c r="M382" i="24" s="1"/>
  <c r="L100" i="24"/>
  <c r="M100" i="24" s="1"/>
  <c r="L81" i="24"/>
  <c r="M81" i="24" s="1"/>
  <c r="L311" i="24"/>
  <c r="M311" i="24" s="1"/>
  <c r="L378" i="24"/>
  <c r="M378" i="24" s="1"/>
  <c r="L10" i="24"/>
  <c r="M10" i="24" s="1"/>
  <c r="L101" i="24"/>
  <c r="M101" i="24" s="1"/>
  <c r="L231" i="24"/>
  <c r="M231" i="24" s="1"/>
  <c r="L361" i="24"/>
  <c r="M361" i="24" s="1"/>
  <c r="L330" i="24"/>
  <c r="M330" i="24" s="1"/>
  <c r="L90" i="24"/>
  <c r="M90" i="24" s="1"/>
  <c r="L71" i="24"/>
  <c r="M71" i="24" s="1"/>
  <c r="L211" i="24"/>
  <c r="M211" i="24" s="1"/>
  <c r="L321" i="24"/>
  <c r="M321" i="24" s="1"/>
  <c r="L388" i="24"/>
  <c r="M388" i="24" s="1"/>
  <c r="L80" i="24"/>
  <c r="M80" i="24" s="1"/>
  <c r="L230" i="24"/>
  <c r="M230" i="24" s="1"/>
  <c r="L121" i="24"/>
  <c r="M121" i="24" s="1"/>
  <c r="L241" i="24"/>
  <c r="M241" i="24" s="1"/>
  <c r="L341" i="24"/>
  <c r="M341" i="24" s="1"/>
  <c r="L60" i="24"/>
  <c r="M60" i="24" s="1"/>
  <c r="L190" i="24"/>
  <c r="M190" i="24" s="1"/>
  <c r="L290" i="24"/>
  <c r="M290" i="24" s="1"/>
  <c r="L41" i="24"/>
  <c r="M41" i="24" s="1"/>
  <c r="L141" i="24"/>
  <c r="M141" i="24" s="1"/>
  <c r="L191" i="24"/>
  <c r="M191" i="24" s="1"/>
  <c r="L281" i="24"/>
  <c r="M281" i="24" s="1"/>
  <c r="L351" i="24"/>
  <c r="M351" i="24" s="1"/>
  <c r="L40" i="24"/>
  <c r="M40" i="24" s="1"/>
  <c r="L200" i="24"/>
  <c r="M200" i="24" s="1"/>
  <c r="L21" i="24"/>
  <c r="M21" i="24" s="1"/>
  <c r="L91" i="24"/>
  <c r="M91" i="24" s="1"/>
  <c r="L171" i="24"/>
  <c r="M171" i="24" s="1"/>
  <c r="L261" i="24"/>
  <c r="M261" i="24" s="1"/>
  <c r="L331" i="24"/>
  <c r="M331" i="24" s="1"/>
  <c r="L110" i="24"/>
  <c r="M110" i="24" s="1"/>
  <c r="L170" i="24"/>
  <c r="M170" i="24" s="1"/>
  <c r="L270" i="24"/>
  <c r="M270" i="24" s="1"/>
  <c r="L51" i="24"/>
  <c r="M51" i="24" s="1"/>
  <c r="L151" i="24"/>
  <c r="M151" i="24" s="1"/>
  <c r="L201" i="24"/>
  <c r="M201" i="24" s="1"/>
  <c r="L291" i="24"/>
  <c r="M291" i="24" s="1"/>
  <c r="L371" i="24"/>
  <c r="M371" i="24" s="1"/>
  <c r="L50" i="24"/>
  <c r="M50" i="24" s="1"/>
  <c r="L180" i="24"/>
  <c r="M180" i="24" s="1"/>
  <c r="L31" i="24"/>
  <c r="M31" i="24" s="1"/>
  <c r="L111" i="24"/>
  <c r="M111" i="24" s="1"/>
  <c r="L181" i="24"/>
  <c r="M181" i="24" s="1"/>
  <c r="L271" i="24"/>
  <c r="M271" i="24" s="1"/>
  <c r="L327" i="24"/>
  <c r="M327" i="24" s="1"/>
  <c r="L337" i="24"/>
  <c r="M337" i="24" s="1"/>
  <c r="L347" i="24"/>
  <c r="M347" i="24" s="1"/>
  <c r="L357" i="24"/>
  <c r="M357" i="24" s="1"/>
  <c r="L367" i="24"/>
  <c r="M367" i="24" s="1"/>
  <c r="L387" i="24"/>
  <c r="M387" i="24" s="1"/>
  <c r="L172" i="24"/>
  <c r="M172" i="24" s="1"/>
  <c r="L72" i="24"/>
  <c r="M72" i="24" s="1"/>
  <c r="L212" i="24"/>
  <c r="M212" i="24" s="1"/>
  <c r="L252" i="24"/>
  <c r="M252" i="24" s="1"/>
  <c r="L312" i="24"/>
  <c r="M312" i="24" s="1"/>
  <c r="L362" i="24"/>
  <c r="M362" i="24" s="1"/>
  <c r="L52" i="24"/>
  <c r="M52" i="24" s="1"/>
  <c r="L262" i="24"/>
  <c r="M262" i="24" s="1"/>
  <c r="L352" i="24"/>
  <c r="M352" i="24" s="1"/>
  <c r="L302" i="24"/>
  <c r="M302" i="24" s="1"/>
  <c r="L92" i="24"/>
  <c r="M92" i="24" s="1"/>
  <c r="L192" i="24"/>
  <c r="M192" i="24" s="1"/>
  <c r="L232" i="24"/>
  <c r="M232" i="24" s="1"/>
  <c r="L272" i="24"/>
  <c r="M272" i="24" s="1"/>
  <c r="L322" i="24"/>
  <c r="M322" i="24" s="1"/>
  <c r="L372" i="24"/>
  <c r="M372" i="24" s="1"/>
  <c r="L39" i="24"/>
  <c r="M39" i="24" s="1"/>
  <c r="L69" i="24"/>
  <c r="M69" i="24" s="1"/>
  <c r="L99" i="24"/>
  <c r="M99" i="24" s="1"/>
  <c r="L129" i="24"/>
  <c r="M129" i="24" s="1"/>
  <c r="L159" i="24"/>
  <c r="M159" i="24" s="1"/>
  <c r="L189" i="24"/>
  <c r="M189" i="24" s="1"/>
  <c r="L219" i="24"/>
  <c r="M219" i="24" s="1"/>
  <c r="L112" i="24"/>
  <c r="M112" i="24" s="1"/>
  <c r="L152" i="24"/>
  <c r="M152" i="24" s="1"/>
  <c r="L202" i="24"/>
  <c r="M202" i="24" s="1"/>
  <c r="L242" i="24"/>
  <c r="M242" i="24" s="1"/>
  <c r="L292" i="24"/>
  <c r="M292" i="24" s="1"/>
  <c r="L332" i="24"/>
  <c r="M332" i="24" s="1"/>
  <c r="L392" i="24"/>
  <c r="M392" i="24" s="1"/>
  <c r="L49" i="24"/>
  <c r="M49" i="24" s="1"/>
  <c r="L79" i="24"/>
  <c r="M79" i="24" s="1"/>
  <c r="L109" i="24"/>
  <c r="M109" i="24" s="1"/>
  <c r="L139" i="24"/>
  <c r="M139" i="24" s="1"/>
  <c r="L169" i="24"/>
  <c r="M169" i="24" s="1"/>
  <c r="L199" i="24"/>
  <c r="M199" i="24" s="1"/>
  <c r="L229" i="24"/>
  <c r="M229" i="24" s="1"/>
  <c r="L120" i="24"/>
  <c r="M120" i="24" s="1"/>
  <c r="L140" i="24"/>
  <c r="M140" i="24" s="1"/>
  <c r="L160" i="24"/>
  <c r="M160" i="24" s="1"/>
  <c r="L220" i="24"/>
  <c r="M220" i="24" s="1"/>
  <c r="L240" i="24"/>
  <c r="M240" i="24" s="1"/>
  <c r="L280" i="24"/>
  <c r="M280" i="24" s="1"/>
  <c r="L300" i="24"/>
  <c r="M300" i="24" s="1"/>
  <c r="L320" i="24"/>
  <c r="M320" i="24" s="1"/>
  <c r="L340" i="24"/>
  <c r="M340" i="24" s="1"/>
  <c r="L350" i="24"/>
  <c r="M350" i="24" s="1"/>
  <c r="L360" i="24"/>
  <c r="M360" i="24" s="1"/>
  <c r="L370" i="24"/>
  <c r="M370" i="24" s="1"/>
  <c r="L380" i="24"/>
  <c r="M380" i="24" s="1"/>
  <c r="L342" i="24"/>
  <c r="M342" i="24" s="1"/>
  <c r="L29" i="24"/>
  <c r="M29" i="24" s="1"/>
  <c r="L59" i="24"/>
  <c r="M59" i="24" s="1"/>
  <c r="L89" i="24"/>
  <c r="M89" i="24" s="1"/>
  <c r="L119" i="24"/>
  <c r="M119" i="24" s="1"/>
  <c r="L149" i="24"/>
  <c r="M149" i="24" s="1"/>
  <c r="L179" i="24"/>
  <c r="M179" i="24" s="1"/>
  <c r="L209" i="24"/>
  <c r="M209" i="24" s="1"/>
  <c r="L239" i="24"/>
  <c r="M239" i="24" s="1"/>
  <c r="L132" i="24"/>
  <c r="M132" i="24" s="1"/>
  <c r="L122" i="24"/>
  <c r="M122" i="24" s="1"/>
  <c r="L93" i="24"/>
  <c r="M93" i="24" s="1"/>
  <c r="L143" i="24"/>
  <c r="M143" i="24" s="1"/>
  <c r="L233" i="24"/>
  <c r="M233" i="24" s="1"/>
  <c r="L283" i="24"/>
  <c r="M283" i="24" s="1"/>
  <c r="L363" i="24"/>
  <c r="M363" i="24" s="1"/>
  <c r="L34" i="24"/>
  <c r="M34" i="24" s="1"/>
  <c r="L94" i="24"/>
  <c r="M94" i="24" s="1"/>
  <c r="L154" i="24"/>
  <c r="M154" i="24" s="1"/>
  <c r="L214" i="24"/>
  <c r="M214" i="24" s="1"/>
  <c r="L274" i="24"/>
  <c r="M274" i="24" s="1"/>
  <c r="L324" i="24"/>
  <c r="M324" i="24" s="1"/>
  <c r="K579" i="24"/>
  <c r="L25" i="24"/>
  <c r="M25" i="24" s="1"/>
  <c r="L45" i="24"/>
  <c r="M45" i="24" s="1"/>
  <c r="L65" i="24"/>
  <c r="M65" i="24" s="1"/>
  <c r="L85" i="24"/>
  <c r="M85" i="24" s="1"/>
  <c r="L105" i="24"/>
  <c r="M105" i="24" s="1"/>
  <c r="L125" i="24"/>
  <c r="M125" i="24" s="1"/>
  <c r="L145" i="24"/>
  <c r="M145" i="24" s="1"/>
  <c r="L165" i="24"/>
  <c r="M165" i="24" s="1"/>
  <c r="L185" i="24"/>
  <c r="M185" i="24" s="1"/>
  <c r="L205" i="24"/>
  <c r="M205" i="24" s="1"/>
  <c r="L225" i="24"/>
  <c r="M225" i="24" s="1"/>
  <c r="L245" i="24"/>
  <c r="M245" i="24" s="1"/>
  <c r="L265" i="24"/>
  <c r="M265" i="24" s="1"/>
  <c r="L285" i="24"/>
  <c r="M285" i="24" s="1"/>
  <c r="L305" i="24"/>
  <c r="M305" i="24" s="1"/>
  <c r="L325" i="24"/>
  <c r="M325" i="24" s="1"/>
  <c r="L345" i="24"/>
  <c r="M345" i="24" s="1"/>
  <c r="L365" i="24"/>
  <c r="M365" i="24" s="1"/>
  <c r="L385" i="24"/>
  <c r="M385" i="24" s="1"/>
  <c r="L32" i="24"/>
  <c r="M32" i="24" s="1"/>
  <c r="L53" i="24"/>
  <c r="M53" i="24" s="1"/>
  <c r="L183" i="24"/>
  <c r="M183" i="24" s="1"/>
  <c r="L343" i="24"/>
  <c r="M343" i="24" s="1"/>
  <c r="L74" i="24"/>
  <c r="M74" i="24" s="1"/>
  <c r="L204" i="24"/>
  <c r="M204" i="24" s="1"/>
  <c r="L344" i="24"/>
  <c r="M344" i="24" s="1"/>
  <c r="L126" i="24"/>
  <c r="M126" i="24" s="1"/>
  <c r="L256" i="24"/>
  <c r="M256" i="24" s="1"/>
  <c r="L386" i="24"/>
  <c r="M386" i="24" s="1"/>
  <c r="L162" i="24"/>
  <c r="M162" i="24" s="1"/>
  <c r="L13" i="24"/>
  <c r="M13" i="24" s="1"/>
  <c r="L163" i="24"/>
  <c r="M163" i="24" s="1"/>
  <c r="L303" i="24"/>
  <c r="M303" i="24" s="1"/>
  <c r="L14" i="24"/>
  <c r="M14" i="24" s="1"/>
  <c r="L164" i="24"/>
  <c r="M164" i="24" s="1"/>
  <c r="L314" i="24"/>
  <c r="M314" i="24" s="1"/>
  <c r="L106" i="24"/>
  <c r="M106" i="24" s="1"/>
  <c r="L216" i="24"/>
  <c r="M216" i="24" s="1"/>
  <c r="L326" i="24"/>
  <c r="M326" i="24" s="1"/>
  <c r="L117" i="24"/>
  <c r="M117" i="24" s="1"/>
  <c r="L187" i="24"/>
  <c r="M187" i="24" s="1"/>
  <c r="L197" i="24"/>
  <c r="M197" i="24" s="1"/>
  <c r="L207" i="24"/>
  <c r="M207" i="24" s="1"/>
  <c r="L217" i="24"/>
  <c r="M217" i="24" s="1"/>
  <c r="L227" i="24"/>
  <c r="M227" i="24" s="1"/>
  <c r="L237" i="24"/>
  <c r="M237" i="24" s="1"/>
  <c r="L247" i="24"/>
  <c r="M247" i="24" s="1"/>
  <c r="L257" i="24"/>
  <c r="M257" i="24" s="1"/>
  <c r="L267" i="24"/>
  <c r="M267" i="24" s="1"/>
  <c r="L277" i="24"/>
  <c r="M277" i="24" s="1"/>
  <c r="L287" i="24"/>
  <c r="M287" i="24" s="1"/>
  <c r="L297" i="24"/>
  <c r="M297" i="24" s="1"/>
  <c r="L307" i="24"/>
  <c r="M307" i="24" s="1"/>
  <c r="L317" i="24"/>
  <c r="M317" i="24" s="1"/>
  <c r="L377" i="24"/>
  <c r="M377" i="24" s="1"/>
  <c r="L22" i="24"/>
  <c r="M22" i="24" s="1"/>
  <c r="L43" i="24"/>
  <c r="M43" i="24" s="1"/>
  <c r="L203" i="24"/>
  <c r="M203" i="24" s="1"/>
  <c r="L333" i="24"/>
  <c r="M333" i="24" s="1"/>
  <c r="L104" i="24"/>
  <c r="M104" i="24" s="1"/>
  <c r="L234" i="24"/>
  <c r="M234" i="24" s="1"/>
  <c r="L384" i="24"/>
  <c r="M384" i="24" s="1"/>
  <c r="L86" i="24"/>
  <c r="M86" i="24" s="1"/>
  <c r="L206" i="24"/>
  <c r="M206" i="24" s="1"/>
  <c r="L336" i="24"/>
  <c r="M336" i="24" s="1"/>
  <c r="L7" i="24"/>
  <c r="M7" i="24" s="1"/>
  <c r="L137" i="24"/>
  <c r="M137" i="24" s="1"/>
  <c r="L33" i="24"/>
  <c r="M33" i="24" s="1"/>
  <c r="L173" i="24"/>
  <c r="M173" i="24" s="1"/>
  <c r="L323" i="24"/>
  <c r="M323" i="24" s="1"/>
  <c r="L96" i="24"/>
  <c r="M96" i="24" s="1"/>
  <c r="L226" i="24"/>
  <c r="M226" i="24" s="1"/>
  <c r="L356" i="24"/>
  <c r="M356" i="24" s="1"/>
  <c r="L27" i="24"/>
  <c r="M27" i="24" s="1"/>
  <c r="L147" i="24"/>
  <c r="M147" i="24" s="1"/>
  <c r="L48" i="24"/>
  <c r="M48" i="24" s="1"/>
  <c r="L148" i="24"/>
  <c r="M148" i="24" s="1"/>
  <c r="L218" i="24"/>
  <c r="M218" i="24" s="1"/>
  <c r="L258" i="24"/>
  <c r="M258" i="24" s="1"/>
  <c r="L268" i="24"/>
  <c r="M268" i="24" s="1"/>
  <c r="L278" i="24"/>
  <c r="M278" i="24" s="1"/>
  <c r="L288" i="24"/>
  <c r="M288" i="24" s="1"/>
  <c r="L298" i="24"/>
  <c r="M298" i="24" s="1"/>
  <c r="L308" i="24"/>
  <c r="M308" i="24" s="1"/>
  <c r="L318" i="24"/>
  <c r="M318" i="24" s="1"/>
  <c r="L328" i="24"/>
  <c r="M328" i="24" s="1"/>
  <c r="L338" i="24"/>
  <c r="M338" i="24" s="1"/>
  <c r="L348" i="24"/>
  <c r="M348" i="24" s="1"/>
  <c r="L358" i="24"/>
  <c r="M358" i="24" s="1"/>
  <c r="L368" i="24"/>
  <c r="M368" i="24" s="1"/>
  <c r="L62" i="24"/>
  <c r="M62" i="24" s="1"/>
  <c r="L23" i="24"/>
  <c r="M23" i="24" s="1"/>
  <c r="L103" i="24"/>
  <c r="M103" i="24" s="1"/>
  <c r="L153" i="24"/>
  <c r="M153" i="24" s="1"/>
  <c r="L243" i="24"/>
  <c r="M243" i="24" s="1"/>
  <c r="L293" i="24"/>
  <c r="M293" i="24" s="1"/>
  <c r="L383" i="24"/>
  <c r="M383" i="24" s="1"/>
  <c r="L54" i="24"/>
  <c r="M54" i="24" s="1"/>
  <c r="L124" i="24"/>
  <c r="M124" i="24" s="1"/>
  <c r="L184" i="24"/>
  <c r="M184" i="24" s="1"/>
  <c r="L254" i="24"/>
  <c r="M254" i="24" s="1"/>
  <c r="L284" i="24"/>
  <c r="M284" i="24" s="1"/>
  <c r="L334" i="24"/>
  <c r="M334" i="24" s="1"/>
  <c r="L26" i="24"/>
  <c r="M26" i="24" s="1"/>
  <c r="L66" i="24"/>
  <c r="M66" i="24" s="1"/>
  <c r="L146" i="24"/>
  <c r="M146" i="24" s="1"/>
  <c r="L176" i="24"/>
  <c r="M176" i="24" s="1"/>
  <c r="L246" i="24"/>
  <c r="M246" i="24" s="1"/>
  <c r="L296" i="24"/>
  <c r="M296" i="24" s="1"/>
  <c r="L346" i="24"/>
  <c r="M346" i="24" s="1"/>
  <c r="L17" i="24"/>
  <c r="M17" i="24" s="1"/>
  <c r="L67" i="24"/>
  <c r="M67" i="24" s="1"/>
  <c r="L107" i="24"/>
  <c r="M107" i="24" s="1"/>
  <c r="L167" i="24"/>
  <c r="M167" i="24" s="1"/>
  <c r="L38" i="24"/>
  <c r="M38" i="24" s="1"/>
  <c r="L88" i="24"/>
  <c r="M88" i="24" s="1"/>
  <c r="L128" i="24"/>
  <c r="M128" i="24" s="1"/>
  <c r="L178" i="24"/>
  <c r="M178" i="24" s="1"/>
  <c r="L228" i="24"/>
  <c r="M228" i="24" s="1"/>
  <c r="L221" i="24"/>
  <c r="M221" i="24" s="1"/>
  <c r="L301" i="24"/>
  <c r="M301" i="24" s="1"/>
  <c r="L42" i="24"/>
  <c r="M42" i="24" s="1"/>
  <c r="L73" i="24"/>
  <c r="M73" i="24" s="1"/>
  <c r="L133" i="24"/>
  <c r="M133" i="24" s="1"/>
  <c r="L223" i="24"/>
  <c r="M223" i="24" s="1"/>
  <c r="L273" i="24"/>
  <c r="M273" i="24" s="1"/>
  <c r="L373" i="24"/>
  <c r="M373" i="24" s="1"/>
  <c r="L24" i="24"/>
  <c r="M24" i="24" s="1"/>
  <c r="L84" i="24"/>
  <c r="M84" i="24" s="1"/>
  <c r="L144" i="24"/>
  <c r="M144" i="24" s="1"/>
  <c r="L194" i="24"/>
  <c r="M194" i="24" s="1"/>
  <c r="L264" i="24"/>
  <c r="M264" i="24" s="1"/>
  <c r="L354" i="24"/>
  <c r="M354" i="24" s="1"/>
  <c r="L6" i="24"/>
  <c r="M6" i="24" s="1"/>
  <c r="L46" i="24"/>
  <c r="M46" i="24" s="1"/>
  <c r="L116" i="24"/>
  <c r="M116" i="24" s="1"/>
  <c r="L166" i="24"/>
  <c r="M166" i="24" s="1"/>
  <c r="L236" i="24"/>
  <c r="M236" i="24" s="1"/>
  <c r="L286" i="24"/>
  <c r="M286" i="24" s="1"/>
  <c r="L366" i="24"/>
  <c r="M366" i="24" s="1"/>
  <c r="L47" i="24"/>
  <c r="M47" i="24" s="1"/>
  <c r="L87" i="24"/>
  <c r="M87" i="24" s="1"/>
  <c r="L177" i="24"/>
  <c r="M177" i="24" s="1"/>
  <c r="L28" i="24"/>
  <c r="M28" i="24" s="1"/>
  <c r="L78" i="24"/>
  <c r="M78" i="24" s="1"/>
  <c r="L118" i="24"/>
  <c r="M118" i="24" s="1"/>
  <c r="L168" i="24"/>
  <c r="M168" i="24" s="1"/>
  <c r="L208" i="24"/>
  <c r="M208" i="24" s="1"/>
  <c r="L249" i="24"/>
  <c r="M249" i="24" s="1"/>
  <c r="L259" i="24"/>
  <c r="M259" i="24" s="1"/>
  <c r="L269" i="24"/>
  <c r="M269" i="24" s="1"/>
  <c r="L279" i="24"/>
  <c r="M279" i="24" s="1"/>
  <c r="L289" i="24"/>
  <c r="M289" i="24" s="1"/>
  <c r="L299" i="24"/>
  <c r="M299" i="24" s="1"/>
  <c r="L309" i="24"/>
  <c r="M309" i="24" s="1"/>
  <c r="L319" i="24"/>
  <c r="M319" i="24" s="1"/>
  <c r="L329" i="24"/>
  <c r="M329" i="24" s="1"/>
  <c r="L339" i="24"/>
  <c r="M339" i="24" s="1"/>
  <c r="L349" i="24"/>
  <c r="M349" i="24" s="1"/>
  <c r="L359" i="24"/>
  <c r="M359" i="24" s="1"/>
  <c r="L369" i="24"/>
  <c r="M369" i="24" s="1"/>
  <c r="L379" i="24"/>
  <c r="M379" i="24" s="1"/>
  <c r="L389" i="24"/>
  <c r="M389" i="24" s="1"/>
  <c r="L381" i="24"/>
  <c r="M381" i="24" s="1"/>
  <c r="L102" i="24"/>
  <c r="M102" i="24" s="1"/>
  <c r="L63" i="24"/>
  <c r="M63" i="24" s="1"/>
  <c r="L113" i="24"/>
  <c r="M113" i="24" s="1"/>
  <c r="L193" i="24"/>
  <c r="M193" i="24" s="1"/>
  <c r="L253" i="24"/>
  <c r="M253" i="24" s="1"/>
  <c r="L313" i="24"/>
  <c r="M313" i="24" s="1"/>
  <c r="L64" i="24"/>
  <c r="M64" i="24" s="1"/>
  <c r="L134" i="24"/>
  <c r="M134" i="24" s="1"/>
  <c r="L224" i="24"/>
  <c r="M224" i="24" s="1"/>
  <c r="L294" i="24"/>
  <c r="M294" i="24" s="1"/>
  <c r="L364" i="24"/>
  <c r="M364" i="24" s="1"/>
  <c r="L36" i="24"/>
  <c r="M36" i="24" s="1"/>
  <c r="L76" i="24"/>
  <c r="M76" i="24" s="1"/>
  <c r="L156" i="24"/>
  <c r="M156" i="24" s="1"/>
  <c r="L196" i="24"/>
  <c r="M196" i="24" s="1"/>
  <c r="L276" i="24"/>
  <c r="M276" i="24" s="1"/>
  <c r="L316" i="24"/>
  <c r="M316" i="24" s="1"/>
  <c r="L57" i="24"/>
  <c r="M57" i="24" s="1"/>
  <c r="L97" i="24"/>
  <c r="M97" i="24" s="1"/>
  <c r="L157" i="24"/>
  <c r="M157" i="24" s="1"/>
  <c r="L8" i="24"/>
  <c r="M8" i="24" s="1"/>
  <c r="L58" i="24"/>
  <c r="M58" i="24" s="1"/>
  <c r="L98" i="24"/>
  <c r="M98" i="24" s="1"/>
  <c r="L138" i="24"/>
  <c r="M138" i="24" s="1"/>
  <c r="L188" i="24"/>
  <c r="M188" i="24" s="1"/>
  <c r="L238" i="24"/>
  <c r="M238" i="24" s="1"/>
  <c r="L9" i="24"/>
  <c r="M9" i="24" s="1"/>
  <c r="L82" i="24"/>
  <c r="M82" i="24" s="1"/>
  <c r="L83" i="24"/>
  <c r="M83" i="24" s="1"/>
  <c r="L123" i="24"/>
  <c r="M123" i="24" s="1"/>
  <c r="L213" i="24"/>
  <c r="M213" i="24" s="1"/>
  <c r="L263" i="24"/>
  <c r="M263" i="24" s="1"/>
  <c r="L353" i="24"/>
  <c r="M353" i="24" s="1"/>
  <c r="L44" i="24"/>
  <c r="M44" i="24" s="1"/>
  <c r="L114" i="24"/>
  <c r="M114" i="24" s="1"/>
  <c r="L174" i="24"/>
  <c r="M174" i="24" s="1"/>
  <c r="L244" i="24"/>
  <c r="M244" i="24" s="1"/>
  <c r="L304" i="24"/>
  <c r="M304" i="24" s="1"/>
  <c r="L374" i="24"/>
  <c r="M374" i="24" s="1"/>
  <c r="L16" i="24"/>
  <c r="M16" i="24" s="1"/>
  <c r="L56" i="24"/>
  <c r="M56" i="24" s="1"/>
  <c r="L136" i="24"/>
  <c r="M136" i="24" s="1"/>
  <c r="L186" i="24"/>
  <c r="M186" i="24" s="1"/>
  <c r="L266" i="24"/>
  <c r="M266" i="24" s="1"/>
  <c r="L306" i="24"/>
  <c r="M306" i="24" s="1"/>
  <c r="L376" i="24"/>
  <c r="M376" i="24" s="1"/>
  <c r="L37" i="24"/>
  <c r="M37" i="24" s="1"/>
  <c r="L77" i="24"/>
  <c r="M77" i="24" s="1"/>
  <c r="L127" i="24"/>
  <c r="M127" i="24" s="1"/>
  <c r="L18" i="24"/>
  <c r="M18" i="24" s="1"/>
  <c r="L68" i="24"/>
  <c r="M68" i="24" s="1"/>
  <c r="L108" i="24"/>
  <c r="M108" i="24" s="1"/>
  <c r="L158" i="24"/>
  <c r="M158" i="24" s="1"/>
  <c r="L198" i="24"/>
  <c r="M198" i="24" s="1"/>
  <c r="L248" i="24"/>
  <c r="M248" i="24" s="1"/>
  <c r="L19" i="24"/>
  <c r="M19" i="24" s="1"/>
  <c r="L95" i="24"/>
  <c r="M95" i="24" s="1"/>
  <c r="L295" i="24"/>
  <c r="M295" i="24" s="1"/>
  <c r="L375" i="24"/>
  <c r="M375" i="24" s="1"/>
  <c r="L155" i="24"/>
  <c r="M155" i="24" s="1"/>
  <c r="L335" i="24"/>
  <c r="M335" i="24" s="1"/>
  <c r="L75" i="24"/>
  <c r="M75" i="24" s="1"/>
  <c r="L135" i="24"/>
  <c r="M135" i="24" s="1"/>
  <c r="L175" i="24"/>
  <c r="M175" i="24" s="1"/>
  <c r="L235" i="24"/>
  <c r="M235" i="24" s="1"/>
  <c r="L255" i="24"/>
  <c r="M255" i="24" s="1"/>
  <c r="L355" i="24"/>
  <c r="M355" i="24" s="1"/>
  <c r="L142" i="24"/>
  <c r="M142" i="24" s="1"/>
  <c r="L182" i="24"/>
  <c r="M182" i="24" s="1"/>
  <c r="L35" i="24"/>
  <c r="M35" i="24" s="1"/>
  <c r="I579" i="24"/>
  <c r="L55" i="24"/>
  <c r="M55" i="24" s="1"/>
  <c r="L115" i="24"/>
  <c r="M115" i="24" s="1"/>
  <c r="L275" i="24"/>
  <c r="M275" i="24" s="1"/>
  <c r="L15" i="24"/>
  <c r="M15" i="24" s="1"/>
  <c r="L195" i="24"/>
  <c r="M195" i="24" s="1"/>
  <c r="L315" i="24"/>
  <c r="M315" i="24" s="1"/>
  <c r="L5" i="24"/>
  <c r="J178" i="24" a="1"/>
  <c r="J178" i="24" s="1"/>
  <c r="J70" i="24" a="1"/>
  <c r="J70" i="24" s="1"/>
  <c r="P173" i="24"/>
  <c r="P27" i="24"/>
  <c r="P53" i="24"/>
  <c r="P17" i="24"/>
  <c r="J84" i="24" a="1"/>
  <c r="J84" i="24" s="1"/>
  <c r="J41" i="24" a="1"/>
  <c r="J41" i="24" s="1"/>
  <c r="J215" i="24" a="1"/>
  <c r="J215" i="24" s="1"/>
  <c r="J38" i="24" a="1"/>
  <c r="J38" i="24" s="1"/>
  <c r="J258" i="24" a="1"/>
  <c r="J258" i="24" s="1"/>
  <c r="J17" i="24" a="1"/>
  <c r="J17" i="24" s="1"/>
  <c r="J187" i="24" a="1"/>
  <c r="J187" i="24" s="1"/>
  <c r="J92" i="24" a="1"/>
  <c r="J92" i="24" s="1"/>
  <c r="J252" i="24" a="1"/>
  <c r="J252" i="24" s="1"/>
  <c r="F12" i="21"/>
  <c r="H6" i="30" l="1"/>
  <c r="G6" i="30"/>
  <c r="G7" i="30"/>
  <c r="H7" i="30"/>
  <c r="M5" i="24"/>
  <c r="L579" i="24"/>
  <c r="E12" i="21"/>
  <c r="F11" i="21"/>
  <c r="E11" i="21"/>
  <c r="I7" i="30" l="1"/>
  <c r="I6" i="30"/>
  <c r="E9" i="21"/>
  <c r="F9" i="21"/>
  <c r="E7" i="21" l="1"/>
  <c r="F7" i="21"/>
  <c r="F8" i="21" l="1"/>
  <c r="E8" i="21" l="1"/>
  <c r="C15" i="3" l="1"/>
  <c r="K11" i="30" s="1"/>
  <c r="B15" i="3"/>
  <c r="B11" i="30" s="1"/>
  <c r="D11" i="30" s="1"/>
  <c r="E15" i="3" l="1" a="1"/>
  <c r="E15" i="3" s="1"/>
  <c r="M24" i="22" s="1"/>
  <c r="D15" i="3" a="1"/>
  <c r="D15" i="3" s="1"/>
  <c r="T38" i="22" s="1"/>
  <c r="G15" i="3" a="1"/>
  <c r="G15" i="3" s="1"/>
  <c r="O24" i="22" s="1"/>
  <c r="G11" i="30" l="1"/>
  <c r="F15" i="3"/>
  <c r="L24" i="22"/>
  <c r="J95" i="20" a="1"/>
  <c r="J95" i="20" s="1"/>
  <c r="J94" i="20" a="1"/>
  <c r="J94" i="20" s="1"/>
  <c r="J93" i="20" a="1"/>
  <c r="J93" i="20" s="1"/>
  <c r="J92" i="20" a="1"/>
  <c r="J92" i="20" s="1"/>
  <c r="J91" i="20" a="1"/>
  <c r="J91" i="20" s="1"/>
  <c r="J90" i="20" a="1"/>
  <c r="J90" i="20" s="1"/>
  <c r="J89" i="20" a="1"/>
  <c r="J89" i="20" s="1"/>
  <c r="J88" i="20" a="1"/>
  <c r="J88" i="20" s="1"/>
  <c r="J87" i="20" a="1"/>
  <c r="J87" i="20" s="1"/>
  <c r="J86" i="20" a="1"/>
  <c r="J86" i="20" s="1"/>
  <c r="J85" i="20" a="1"/>
  <c r="J85" i="20" s="1"/>
  <c r="J84" i="20" a="1"/>
  <c r="J84" i="20" s="1"/>
  <c r="J83" i="20" a="1"/>
  <c r="J83" i="20" s="1"/>
  <c r="J82" i="20" a="1"/>
  <c r="J82" i="20" s="1"/>
  <c r="J81" i="20" a="1"/>
  <c r="J81" i="20" s="1"/>
  <c r="J80" i="20" a="1"/>
  <c r="J80" i="20" s="1"/>
  <c r="J79" i="20" a="1"/>
  <c r="J79" i="20" s="1"/>
  <c r="J78" i="20" a="1"/>
  <c r="J78" i="20" s="1"/>
  <c r="J77" i="20" a="1"/>
  <c r="J77" i="20" s="1"/>
  <c r="J76" i="20" a="1"/>
  <c r="J76" i="20" s="1"/>
  <c r="J75" i="20" a="1"/>
  <c r="J75" i="20" s="1"/>
  <c r="J74" i="20" a="1"/>
  <c r="J74" i="20" s="1"/>
  <c r="J73" i="20" a="1"/>
  <c r="J73" i="20" s="1"/>
  <c r="J72" i="20" a="1"/>
  <c r="J72" i="20" s="1"/>
  <c r="J71" i="20" a="1"/>
  <c r="J71" i="20" s="1"/>
  <c r="J70" i="20" a="1"/>
  <c r="J70" i="20" s="1"/>
  <c r="J69" i="20" a="1"/>
  <c r="J69" i="20" s="1"/>
  <c r="J68" i="20" a="1"/>
  <c r="J68" i="20" s="1"/>
  <c r="J67" i="20" a="1"/>
  <c r="J67" i="20" s="1"/>
  <c r="J66" i="20" a="1"/>
  <c r="J66" i="20" s="1"/>
  <c r="J65" i="20" a="1"/>
  <c r="J65" i="20" s="1"/>
  <c r="J64" i="20" a="1"/>
  <c r="J64" i="20" s="1"/>
  <c r="J63" i="20" a="1"/>
  <c r="J63" i="20" s="1"/>
  <c r="J62" i="20" a="1"/>
  <c r="J62" i="20" s="1"/>
  <c r="J60" i="20" a="1"/>
  <c r="J60" i="20" s="1"/>
  <c r="J59" i="20" a="1"/>
  <c r="J59" i="20" s="1"/>
  <c r="J58" i="20" a="1"/>
  <c r="J58" i="20" s="1"/>
  <c r="J57" i="20" a="1"/>
  <c r="J57" i="20" s="1"/>
  <c r="J56" i="20" a="1"/>
  <c r="J56" i="20" s="1"/>
  <c r="J55" i="20" a="1"/>
  <c r="J55" i="20" s="1"/>
  <c r="J54" i="20" a="1"/>
  <c r="J54" i="20" s="1"/>
  <c r="J53" i="20" a="1"/>
  <c r="J53" i="20" s="1"/>
  <c r="J52" i="20" a="1"/>
  <c r="J52" i="20" s="1"/>
  <c r="J51" i="20" a="1"/>
  <c r="J51" i="20" s="1"/>
  <c r="J50" i="20" a="1"/>
  <c r="J50" i="20" s="1"/>
  <c r="J49" i="20" a="1"/>
  <c r="J49" i="20" s="1"/>
  <c r="J48" i="20" a="1"/>
  <c r="J48" i="20" s="1"/>
  <c r="J47" i="20" a="1"/>
  <c r="J47" i="20" s="1"/>
  <c r="J46" i="20" a="1"/>
  <c r="J46" i="20" s="1"/>
  <c r="J45" i="20" a="1"/>
  <c r="J45" i="20" s="1"/>
  <c r="J44" i="20" a="1"/>
  <c r="J44" i="20" s="1"/>
  <c r="J43" i="20" a="1"/>
  <c r="J43" i="20" s="1"/>
  <c r="J42" i="20" a="1"/>
  <c r="J42" i="20" s="1"/>
  <c r="J41" i="20" a="1"/>
  <c r="J41" i="20" s="1"/>
  <c r="J40" i="20" a="1"/>
  <c r="J40" i="20" s="1"/>
  <c r="J39" i="20" a="1"/>
  <c r="J39" i="20" s="1"/>
  <c r="J38" i="20" a="1"/>
  <c r="J38" i="20" s="1"/>
  <c r="J37" i="20" a="1"/>
  <c r="J37" i="20" s="1"/>
  <c r="J36" i="20" a="1"/>
  <c r="J36" i="20" s="1"/>
  <c r="J35" i="20" a="1"/>
  <c r="J35" i="20" s="1"/>
  <c r="J34" i="20" a="1"/>
  <c r="J34" i="20" s="1"/>
  <c r="J33" i="20" a="1"/>
  <c r="J33" i="20" s="1"/>
  <c r="J32" i="20" a="1"/>
  <c r="J32" i="20" s="1"/>
  <c r="J31" i="20" a="1"/>
  <c r="J31" i="20" s="1"/>
  <c r="J30" i="20" a="1"/>
  <c r="J30" i="20" s="1"/>
  <c r="J29" i="20" a="1"/>
  <c r="J29" i="20" s="1"/>
  <c r="J28" i="20" a="1"/>
  <c r="J28" i="20" s="1"/>
  <c r="J27" i="20" a="1"/>
  <c r="J27" i="20" s="1"/>
  <c r="J26" i="20" a="1"/>
  <c r="J26" i="20" s="1"/>
  <c r="J25" i="20" a="1"/>
  <c r="J25" i="20" s="1"/>
  <c r="J24" i="20" a="1"/>
  <c r="J24" i="20" s="1"/>
  <c r="J23" i="20" a="1"/>
  <c r="J23" i="20" s="1"/>
  <c r="J22" i="20" a="1"/>
  <c r="J22" i="20" s="1"/>
  <c r="J21" i="20" a="1"/>
  <c r="J21" i="20" s="1"/>
  <c r="J20" i="20" a="1"/>
  <c r="J20" i="20" s="1"/>
  <c r="J19" i="20" a="1"/>
  <c r="J19" i="20" s="1"/>
  <c r="J18" i="20" a="1"/>
  <c r="J18" i="20" s="1"/>
  <c r="J17" i="20" a="1"/>
  <c r="J17" i="20" s="1"/>
  <c r="J16" i="20" a="1"/>
  <c r="J16" i="20" s="1"/>
  <c r="J15" i="20" a="1"/>
  <c r="J15" i="20" s="1"/>
  <c r="J14" i="20" a="1"/>
  <c r="J14" i="20" s="1"/>
  <c r="J13" i="20" a="1"/>
  <c r="J13" i="20" s="1"/>
  <c r="J12" i="20" a="1"/>
  <c r="J12" i="20" s="1"/>
  <c r="J11" i="20" a="1"/>
  <c r="J11" i="20" s="1"/>
  <c r="J10" i="20" a="1"/>
  <c r="J10" i="20" s="1"/>
  <c r="J9" i="20" a="1"/>
  <c r="J9" i="20" s="1"/>
  <c r="J8" i="20" a="1"/>
  <c r="J8" i="20" s="1"/>
  <c r="J7" i="20" a="1"/>
  <c r="J7" i="20" s="1"/>
  <c r="J6" i="20" a="1"/>
  <c r="J6" i="20" s="1"/>
  <c r="L89" i="20" l="1"/>
  <c r="M89" i="20" s="1"/>
  <c r="L47" i="20"/>
  <c r="M47" i="20" s="1"/>
  <c r="L56" i="20"/>
  <c r="M56" i="20" s="1"/>
  <c r="L76" i="20"/>
  <c r="M76" i="20" s="1"/>
  <c r="L95" i="20"/>
  <c r="M95" i="20" s="1"/>
  <c r="L32" i="20"/>
  <c r="M32" i="20" s="1"/>
  <c r="L36" i="20"/>
  <c r="M36" i="20" s="1"/>
  <c r="L49" i="20"/>
  <c r="M49" i="20" s="1"/>
  <c r="L29" i="20"/>
  <c r="M29" i="20" s="1"/>
  <c r="L51" i="20"/>
  <c r="M51" i="20" s="1"/>
  <c r="L88" i="20"/>
  <c r="M88" i="20" s="1"/>
  <c r="L61" i="20"/>
  <c r="M61" i="20" s="1"/>
  <c r="L71" i="20"/>
  <c r="M71" i="20" s="1"/>
  <c r="L25" i="20"/>
  <c r="M25" i="20" s="1"/>
  <c r="L66" i="20"/>
  <c r="M66" i="20" s="1"/>
  <c r="L90" i="20"/>
  <c r="M90" i="20" s="1"/>
  <c r="L39" i="20"/>
  <c r="M39" i="20" s="1"/>
  <c r="L57" i="20"/>
  <c r="M57" i="20" s="1"/>
  <c r="L78" i="20"/>
  <c r="M78" i="20" s="1"/>
  <c r="L30" i="20"/>
  <c r="M30" i="20" s="1"/>
  <c r="L92" i="20"/>
  <c r="M92" i="20" s="1"/>
  <c r="L59" i="20"/>
  <c r="M59" i="20" s="1"/>
  <c r="L37" i="20"/>
  <c r="M37" i="20" s="1"/>
  <c r="L20" i="20"/>
  <c r="M20" i="20" s="1"/>
  <c r="L34" i="20"/>
  <c r="M34" i="20" s="1"/>
  <c r="L9" i="20"/>
  <c r="M9" i="20" s="1"/>
  <c r="L69" i="20"/>
  <c r="M69" i="20" s="1"/>
  <c r="L45" i="20"/>
  <c r="M45" i="20" s="1"/>
  <c r="L85" i="20"/>
  <c r="M85" i="20" s="1"/>
  <c r="L16" i="20"/>
  <c r="M16" i="20" s="1"/>
  <c r="L41" i="20"/>
  <c r="M41" i="20" s="1"/>
  <c r="L86" i="20"/>
  <c r="M86" i="20" s="1"/>
  <c r="L18" i="20"/>
  <c r="M18" i="20" s="1"/>
  <c r="L26" i="20"/>
  <c r="M26" i="20" s="1"/>
  <c r="L43" i="20"/>
  <c r="M43" i="20" s="1"/>
  <c r="L7" i="20"/>
  <c r="M7" i="20" s="1"/>
  <c r="L13" i="20"/>
  <c r="M13" i="20" s="1"/>
  <c r="L27" i="20"/>
  <c r="M27" i="20" s="1"/>
  <c r="L84" i="20"/>
  <c r="M84" i="20" s="1"/>
  <c r="L64" i="20"/>
  <c r="M64" i="20" s="1"/>
  <c r="L23" i="20"/>
  <c r="M23" i="20" s="1"/>
  <c r="L52" i="20"/>
  <c r="M52" i="20" s="1"/>
  <c r="L73" i="20"/>
  <c r="M73" i="20" s="1"/>
  <c r="L54" i="20"/>
  <c r="M54" i="20" s="1"/>
  <c r="L81" i="20"/>
  <c r="M81" i="20" s="1"/>
  <c r="L6" i="20"/>
  <c r="M6" i="20" s="1"/>
  <c r="L82" i="20"/>
  <c r="M82" i="20" s="1"/>
  <c r="L91" i="20"/>
  <c r="M91" i="20" s="1"/>
  <c r="L11" i="20"/>
  <c r="M11" i="20" s="1"/>
  <c r="L50" i="20"/>
  <c r="M50" i="20" s="1"/>
  <c r="L79" i="20"/>
  <c r="M79" i="20" s="1"/>
  <c r="L14" i="20"/>
  <c r="M14" i="20" s="1"/>
  <c r="L35" i="20"/>
  <c r="M35" i="20" s="1"/>
  <c r="L62" i="20"/>
  <c r="M62" i="20" s="1"/>
  <c r="L21" i="20"/>
  <c r="M21" i="20" s="1"/>
  <c r="L33" i="20"/>
  <c r="M33" i="20" s="1"/>
  <c r="L74" i="20"/>
  <c r="M74" i="20" s="1"/>
  <c r="L93" i="20"/>
  <c r="M93" i="20" s="1"/>
  <c r="L72" i="20"/>
  <c r="M72" i="20" s="1"/>
  <c r="L28" i="20"/>
  <c r="M28" i="20" s="1"/>
  <c r="L67" i="20"/>
  <c r="M67" i="20" s="1"/>
  <c r="L77" i="20"/>
  <c r="M77" i="20" s="1"/>
  <c r="L19" i="20"/>
  <c r="M19" i="20" s="1"/>
  <c r="L83" i="20"/>
  <c r="M83" i="20" s="1"/>
  <c r="L63" i="20"/>
  <c r="M63" i="20" s="1"/>
  <c r="L42" i="20"/>
  <c r="M42" i="20" s="1"/>
  <c r="L48" i="20"/>
  <c r="M48" i="20" s="1"/>
  <c r="L40" i="20"/>
  <c r="M40" i="20" s="1"/>
  <c r="L68" i="20"/>
  <c r="M68" i="20" s="1"/>
  <c r="L94" i="20"/>
  <c r="M94" i="20" s="1"/>
  <c r="L80" i="20"/>
  <c r="M80" i="20" s="1"/>
  <c r="L15" i="20"/>
  <c r="M15" i="20" s="1"/>
  <c r="L31" i="20"/>
  <c r="M31" i="20" s="1"/>
  <c r="L12" i="20"/>
  <c r="M12" i="20" s="1"/>
  <c r="L22" i="20"/>
  <c r="M22" i="20" s="1"/>
  <c r="L58" i="20"/>
  <c r="M58" i="20" s="1"/>
  <c r="L53" i="20"/>
  <c r="M53" i="20" s="1"/>
  <c r="L8" i="20"/>
  <c r="M8" i="20" s="1"/>
  <c r="L24" i="20"/>
  <c r="M24" i="20" s="1"/>
  <c r="L46" i="20"/>
  <c r="M46" i="20" s="1"/>
  <c r="L38" i="20"/>
  <c r="M38" i="20" s="1"/>
  <c r="L55" i="20"/>
  <c r="M55" i="20" s="1"/>
  <c r="L65" i="20"/>
  <c r="M65" i="20" s="1"/>
  <c r="L75" i="20"/>
  <c r="M75" i="20" s="1"/>
  <c r="L17" i="20"/>
  <c r="M17" i="20" s="1"/>
  <c r="L60" i="20"/>
  <c r="M60" i="20" s="1"/>
  <c r="L70" i="20"/>
  <c r="M70" i="20" s="1"/>
  <c r="L87" i="20"/>
  <c r="M87" i="20" s="1"/>
  <c r="L10" i="20"/>
  <c r="M10" i="20" s="1"/>
  <c r="L44" i="20"/>
  <c r="M44" i="20" s="1"/>
  <c r="S15" i="3" l="1"/>
  <c r="Q15" i="3"/>
  <c r="P15" i="3"/>
  <c r="O15" i="3" a="1"/>
  <c r="O15" i="3" s="1"/>
  <c r="H15" i="3" a="1"/>
  <c r="H15" i="3" s="1"/>
  <c r="U38" i="22" s="1" a="1"/>
  <c r="K15" i="3" a="1"/>
  <c r="K15" i="3" s="1"/>
  <c r="D34" i="31" s="1"/>
  <c r="I15" i="3"/>
  <c r="M15" i="3" a="1"/>
  <c r="M15" i="3" s="1"/>
  <c r="L15" i="3" a="1"/>
  <c r="L15" i="3" s="1"/>
  <c r="V38" i="22" l="1" a="1"/>
  <c r="V38" i="22" s="1"/>
  <c r="H11" i="30"/>
  <c r="I11" i="30" s="1"/>
  <c r="U38" i="22"/>
  <c r="R15" i="3" a="1"/>
  <c r="R15" i="3" s="1"/>
  <c r="W38" i="22"/>
  <c r="N15" i="3" a="1"/>
  <c r="N15" i="3" s="1"/>
  <c r="J15" i="3" a="1"/>
  <c r="J15" i="3" s="1"/>
  <c r="C16" i="3" l="1"/>
  <c r="K10" i="30" s="1"/>
  <c r="B16" i="3"/>
  <c r="B10" i="30" s="1"/>
  <c r="D10" i="30" s="1"/>
  <c r="J95" i="19" a="1"/>
  <c r="J95" i="19" s="1"/>
  <c r="J93" i="19" a="1"/>
  <c r="J93" i="19" s="1"/>
  <c r="J84" i="19" a="1"/>
  <c r="J84" i="19" s="1"/>
  <c r="J74" i="19" a="1"/>
  <c r="J74" i="19" s="1"/>
  <c r="J69" i="19" a="1"/>
  <c r="J69" i="19" s="1"/>
  <c r="J64" i="19" a="1"/>
  <c r="J64" i="19" s="1"/>
  <c r="J61" i="19" a="1"/>
  <c r="J61" i="19" s="1"/>
  <c r="J60" i="19" a="1"/>
  <c r="J60" i="19" s="1"/>
  <c r="J56" i="19" a="1"/>
  <c r="J56" i="19" s="1"/>
  <c r="J28" i="19" a="1"/>
  <c r="J28" i="19" s="1"/>
  <c r="J20" i="19" a="1"/>
  <c r="J20" i="19" s="1"/>
  <c r="J18" i="19" a="1"/>
  <c r="J18" i="19" s="1"/>
  <c r="J16" i="19" a="1"/>
  <c r="J16" i="19" s="1"/>
  <c r="J11" i="19" a="1"/>
  <c r="J11" i="19" s="1"/>
  <c r="J7" i="19" a="1"/>
  <c r="J7" i="19" s="1"/>
  <c r="J72" i="19" l="1" a="1"/>
  <c r="J72" i="19" s="1"/>
  <c r="J33" i="19" a="1"/>
  <c r="J33" i="19" s="1"/>
  <c r="J41" i="19" a="1"/>
  <c r="J41" i="19" s="1"/>
  <c r="J83" i="19" a="1"/>
  <c r="J83" i="19" s="1"/>
  <c r="J92" i="19" a="1"/>
  <c r="J92" i="19" s="1"/>
  <c r="J36" i="19" a="1"/>
  <c r="J36" i="19" s="1"/>
  <c r="J48" i="19" a="1"/>
  <c r="J48" i="19" s="1"/>
  <c r="E16" i="3" a="1"/>
  <c r="E16" i="3" s="1"/>
  <c r="M23" i="22" s="1"/>
  <c r="G16" i="3" a="1"/>
  <c r="G16" i="3" s="1"/>
  <c r="O23" i="22" s="1"/>
  <c r="D16" i="3" a="1"/>
  <c r="D16" i="3" s="1"/>
  <c r="L87" i="19"/>
  <c r="M87" i="19" s="1" a="1"/>
  <c r="M87" i="19" s="1"/>
  <c r="L100" i="19"/>
  <c r="M100" i="19" s="1" a="1"/>
  <c r="M100" i="19" s="1"/>
  <c r="L91" i="19"/>
  <c r="M91" i="19" s="1" a="1"/>
  <c r="M91" i="19" s="1"/>
  <c r="L22" i="19"/>
  <c r="M22" i="19" s="1" a="1"/>
  <c r="M22" i="19" s="1"/>
  <c r="L75" i="19"/>
  <c r="M75" i="19" s="1" a="1"/>
  <c r="M75" i="19" s="1"/>
  <c r="L64" i="19"/>
  <c r="M64" i="19" s="1" a="1"/>
  <c r="M64" i="19" s="1"/>
  <c r="L34" i="19"/>
  <c r="M34" i="19" s="1" a="1"/>
  <c r="M34" i="19" s="1"/>
  <c r="L46" i="19"/>
  <c r="M46" i="19" s="1" a="1"/>
  <c r="M46" i="19" s="1"/>
  <c r="L14" i="19"/>
  <c r="M14" i="19" s="1" a="1"/>
  <c r="M14" i="19" s="1"/>
  <c r="L48" i="19"/>
  <c r="M48" i="19" s="1" a="1"/>
  <c r="M48" i="19" s="1"/>
  <c r="L56" i="19"/>
  <c r="M56" i="19" s="1" a="1"/>
  <c r="M56" i="19" s="1"/>
  <c r="L92" i="19"/>
  <c r="M92" i="19" s="1" a="1"/>
  <c r="M92" i="19" s="1"/>
  <c r="L45" i="19"/>
  <c r="M45" i="19" s="1" a="1"/>
  <c r="M45" i="19" s="1"/>
  <c r="L93" i="19"/>
  <c r="M93" i="19" s="1" a="1"/>
  <c r="M93" i="19" s="1"/>
  <c r="L24" i="19"/>
  <c r="M24" i="19" s="1" a="1"/>
  <c r="M24" i="19" s="1"/>
  <c r="L73" i="19"/>
  <c r="M73" i="19" s="1" a="1"/>
  <c r="M73" i="19" s="1"/>
  <c r="L60" i="19"/>
  <c r="M60" i="19" s="1" a="1"/>
  <c r="M60" i="19" s="1"/>
  <c r="L88" i="19"/>
  <c r="M88" i="19" s="1" a="1"/>
  <c r="M88" i="19" s="1"/>
  <c r="L54" i="19"/>
  <c r="M54" i="19" s="1" a="1"/>
  <c r="M54" i="19" s="1"/>
  <c r="L20" i="19"/>
  <c r="M20" i="19" s="1" a="1"/>
  <c r="M20" i="19" s="1"/>
  <c r="J76" i="19" a="1"/>
  <c r="J76" i="19" s="1"/>
  <c r="L76" i="19"/>
  <c r="M76" i="19" s="1" a="1"/>
  <c r="M76" i="19" s="1"/>
  <c r="L9" i="19"/>
  <c r="M9" i="19" s="1" a="1"/>
  <c r="M9" i="19" s="1"/>
  <c r="J58" i="19" a="1"/>
  <c r="J58" i="19" s="1"/>
  <c r="J49" i="19" a="1"/>
  <c r="J49" i="19" s="1"/>
  <c r="J96" i="19" a="1"/>
  <c r="J96" i="19" s="1"/>
  <c r="J9" i="19" a="1"/>
  <c r="J9" i="19" s="1"/>
  <c r="J21" i="19" a="1"/>
  <c r="J21" i="19" s="1"/>
  <c r="L61" i="19"/>
  <c r="M61" i="19" s="1" a="1"/>
  <c r="M61" i="19" s="1"/>
  <c r="L33" i="19"/>
  <c r="M33" i="19" s="1" a="1"/>
  <c r="M33" i="19" s="1"/>
  <c r="J79" i="19" a="1"/>
  <c r="J79" i="19" s="1"/>
  <c r="L95" i="19"/>
  <c r="M95" i="19" s="1" a="1"/>
  <c r="M95" i="19" s="1"/>
  <c r="L49" i="19"/>
  <c r="M49" i="19" s="1" a="1"/>
  <c r="M49" i="19" s="1"/>
  <c r="J62" i="19" a="1"/>
  <c r="J62" i="19" s="1"/>
  <c r="L16" i="19"/>
  <c r="M16" i="19" s="1" a="1"/>
  <c r="M16" i="19" s="1"/>
  <c r="J38" i="19" a="1"/>
  <c r="J38" i="19" s="1"/>
  <c r="J42" i="19" a="1"/>
  <c r="J42" i="19" s="1"/>
  <c r="L79" i="19"/>
  <c r="M79" i="19" s="1" a="1"/>
  <c r="M79" i="19" s="1"/>
  <c r="J70" i="19" a="1"/>
  <c r="J70" i="19" s="1"/>
  <c r="J46" i="19" a="1"/>
  <c r="J46" i="19" s="1"/>
  <c r="L18" i="19"/>
  <c r="M18" i="19" s="1" a="1"/>
  <c r="M18" i="19" s="1"/>
  <c r="J39" i="19" a="1"/>
  <c r="J39" i="19" s="1"/>
  <c r="J31" i="19" a="1"/>
  <c r="J31" i="19" s="1"/>
  <c r="L55" i="19"/>
  <c r="M55" i="19" s="1" a="1"/>
  <c r="M55" i="19" s="1"/>
  <c r="J47" i="19" a="1"/>
  <c r="J47" i="19" s="1"/>
  <c r="L70" i="19"/>
  <c r="M70" i="19" s="1" a="1"/>
  <c r="M70" i="19" s="1"/>
  <c r="L62" i="19"/>
  <c r="M62" i="19" s="1" a="1"/>
  <c r="M62" i="19" s="1"/>
  <c r="L35" i="19"/>
  <c r="M35" i="19" s="1" a="1"/>
  <c r="M35" i="19" s="1"/>
  <c r="L39" i="19"/>
  <c r="M39" i="19" s="1" a="1"/>
  <c r="M39" i="19" s="1"/>
  <c r="J27" i="19" a="1"/>
  <c r="J27" i="19" s="1"/>
  <c r="L43" i="19"/>
  <c r="M43" i="19" s="1" a="1"/>
  <c r="M43" i="19" s="1"/>
  <c r="J12" i="19" a="1"/>
  <c r="J12" i="19" s="1"/>
  <c r="L58" i="19"/>
  <c r="M58" i="19" s="1" a="1"/>
  <c r="M58" i="19" s="1"/>
  <c r="L77" i="19"/>
  <c r="M77" i="19" s="1" a="1"/>
  <c r="M77" i="19" s="1"/>
  <c r="L74" i="19"/>
  <c r="M74" i="19" s="1" a="1"/>
  <c r="M74" i="19" s="1"/>
  <c r="L50" i="19"/>
  <c r="M50" i="19" s="1" a="1"/>
  <c r="M50" i="19" s="1"/>
  <c r="J82" i="19" a="1"/>
  <c r="J82" i="19" s="1"/>
  <c r="J98" i="19" a="1"/>
  <c r="J98" i="19" s="1"/>
  <c r="J8" i="19" a="1"/>
  <c r="J8" i="19" s="1"/>
  <c r="J40" i="19" a="1"/>
  <c r="J40" i="19" s="1"/>
  <c r="L31" i="19"/>
  <c r="M31" i="19" s="1" a="1"/>
  <c r="M31" i="19" s="1"/>
  <c r="L98" i="19"/>
  <c r="M98" i="19" s="1" a="1"/>
  <c r="M98" i="19" s="1"/>
  <c r="J29" i="19" a="1"/>
  <c r="J29" i="19" s="1"/>
  <c r="J85" i="19" a="1"/>
  <c r="J85" i="19" s="1"/>
  <c r="J63" i="19" a="1"/>
  <c r="J63" i="19" s="1"/>
  <c r="J67" i="19" a="1"/>
  <c r="J67" i="19" s="1"/>
  <c r="J25" i="19" a="1"/>
  <c r="J25" i="19" s="1"/>
  <c r="L25" i="19"/>
  <c r="M25" i="19" s="1" a="1"/>
  <c r="M25" i="19" s="1"/>
  <c r="L96" i="19"/>
  <c r="M96" i="19" s="1" a="1"/>
  <c r="M96" i="19" s="1"/>
  <c r="L78" i="19"/>
  <c r="M78" i="19" s="1" a="1"/>
  <c r="M78" i="19" s="1"/>
  <c r="J10" i="19" a="1"/>
  <c r="J10" i="19" s="1"/>
  <c r="L36" i="19"/>
  <c r="M36" i="19" s="1" a="1"/>
  <c r="M36" i="19" s="1"/>
  <c r="L90" i="19"/>
  <c r="M90" i="19" s="1" a="1"/>
  <c r="M90" i="19" s="1"/>
  <c r="J15" i="19" a="1"/>
  <c r="J15" i="19" s="1"/>
  <c r="J77" i="19" a="1"/>
  <c r="J77" i="19" s="1"/>
  <c r="J6" i="19" a="1"/>
  <c r="J6" i="19" s="1"/>
  <c r="J94" i="19" a="1"/>
  <c r="J94" i="19" s="1"/>
  <c r="L94" i="19"/>
  <c r="M94" i="19" s="1" a="1"/>
  <c r="M94" i="19" s="1"/>
  <c r="J37" i="19" a="1"/>
  <c r="J37" i="19" s="1"/>
  <c r="L80" i="19"/>
  <c r="M80" i="19" s="1" a="1"/>
  <c r="M80" i="19" s="1"/>
  <c r="J80" i="19" a="1"/>
  <c r="J80" i="19" s="1"/>
  <c r="L82" i="19"/>
  <c r="M82" i="19" s="1" a="1"/>
  <c r="M82" i="19" s="1"/>
  <c r="L23" i="19"/>
  <c r="M23" i="19" s="1" a="1"/>
  <c r="M23" i="19" s="1"/>
  <c r="J89" i="19" a="1"/>
  <c r="J89" i="19" s="1"/>
  <c r="J17" i="19" a="1"/>
  <c r="J17" i="19" s="1"/>
  <c r="J50" i="19" a="1"/>
  <c r="J50" i="19" s="1"/>
  <c r="J100" i="19" a="1"/>
  <c r="J100" i="19" s="1"/>
  <c r="J91" i="19" a="1"/>
  <c r="J91" i="19" s="1"/>
  <c r="L29" i="19"/>
  <c r="M29" i="19" s="1" a="1"/>
  <c r="M29" i="19" s="1"/>
  <c r="J59" i="19" a="1"/>
  <c r="J59" i="19" s="1"/>
  <c r="L68" i="19"/>
  <c r="M68" i="19" s="1" a="1"/>
  <c r="M68" i="19" s="1"/>
  <c r="L72" i="19"/>
  <c r="M72" i="19" s="1" a="1"/>
  <c r="M72" i="19" s="1"/>
  <c r="J97" i="19" a="1"/>
  <c r="J97" i="19" s="1"/>
  <c r="J26" i="19" a="1"/>
  <c r="J26" i="19" s="1"/>
  <c r="L26" i="19"/>
  <c r="M26" i="19" s="1" a="1"/>
  <c r="M26" i="19" s="1"/>
  <c r="J44" i="19" a="1"/>
  <c r="J44" i="19" s="1"/>
  <c r="J68" i="19" a="1"/>
  <c r="J68" i="19" s="1"/>
  <c r="L6" i="19"/>
  <c r="M6" i="19" s="1" a="1"/>
  <c r="M6" i="19" s="1"/>
  <c r="J23" i="19" a="1"/>
  <c r="J23" i="19" s="1"/>
  <c r="J35" i="19" a="1"/>
  <c r="J35" i="19" s="1"/>
  <c r="J65" i="19" a="1"/>
  <c r="J65" i="19" s="1"/>
  <c r="J30" i="19" a="1"/>
  <c r="J30" i="19" s="1"/>
  <c r="L65" i="19"/>
  <c r="M65" i="19" s="1" a="1"/>
  <c r="M65" i="19" s="1"/>
  <c r="L15" i="19"/>
  <c r="M15" i="19" s="1" a="1"/>
  <c r="M15" i="19" s="1"/>
  <c r="L38" i="19"/>
  <c r="M38" i="19" s="1" a="1"/>
  <c r="M38" i="19" s="1"/>
  <c r="L41" i="19"/>
  <c r="M41" i="19" s="1" a="1"/>
  <c r="M41" i="19" s="1"/>
  <c r="L44" i="19"/>
  <c r="M44" i="19" s="1" a="1"/>
  <c r="M44" i="19" s="1"/>
  <c r="J51" i="19" a="1"/>
  <c r="J51" i="19" s="1"/>
  <c r="J57" i="19" a="1"/>
  <c r="J57" i="19" s="1"/>
  <c r="L51" i="19"/>
  <c r="M51" i="19" s="1" a="1"/>
  <c r="M51" i="19" s="1"/>
  <c r="L57" i="19"/>
  <c r="M57" i="19" s="1" a="1"/>
  <c r="M57" i="19" s="1"/>
  <c r="L69" i="19"/>
  <c r="M69" i="19" s="1" a="1"/>
  <c r="M69" i="19" s="1"/>
  <c r="J87" i="19" a="1"/>
  <c r="J87" i="19" s="1"/>
  <c r="J81" i="19" a="1"/>
  <c r="J81" i="19" s="1"/>
  <c r="L81" i="19"/>
  <c r="M81" i="19" s="1" a="1"/>
  <c r="M81" i="19" s="1"/>
  <c r="L84" i="19"/>
  <c r="M84" i="19" s="1" a="1"/>
  <c r="M84" i="19" s="1"/>
  <c r="L89" i="19"/>
  <c r="M89" i="19" s="1" a="1"/>
  <c r="M89" i="19" s="1"/>
  <c r="J78" i="19" a="1"/>
  <c r="J78" i="19" s="1"/>
  <c r="J13" i="19" a="1"/>
  <c r="J13" i="19" s="1"/>
  <c r="J99" i="19" a="1"/>
  <c r="J99" i="19" s="1"/>
  <c r="L40" i="19"/>
  <c r="M40" i="19" s="1" a="1"/>
  <c r="M40" i="19" s="1"/>
  <c r="J52" i="19" a="1"/>
  <c r="J52" i="19" s="1"/>
  <c r="J66" i="19" a="1"/>
  <c r="J66" i="19" s="1"/>
  <c r="L66" i="19"/>
  <c r="M66" i="19" s="1" a="1"/>
  <c r="M66" i="19" s="1"/>
  <c r="L85" i="19"/>
  <c r="M85" i="19" s="1" a="1"/>
  <c r="M85" i="19" s="1"/>
  <c r="L10" i="19"/>
  <c r="M10" i="19" s="1" a="1"/>
  <c r="M10" i="19" s="1"/>
  <c r="L13" i="19"/>
  <c r="M13" i="19" s="1" a="1"/>
  <c r="M13" i="19" s="1"/>
  <c r="J55" i="19" a="1"/>
  <c r="J55" i="19" s="1"/>
  <c r="L11" i="19"/>
  <c r="M11" i="19" s="1" a="1"/>
  <c r="M11" i="19" s="1"/>
  <c r="L27" i="19"/>
  <c r="M27" i="19" s="1" a="1"/>
  <c r="M27" i="19" s="1"/>
  <c r="J53" i="19" a="1"/>
  <c r="J53" i="19" s="1"/>
  <c r="L83" i="19"/>
  <c r="M83" i="19" s="1" a="1"/>
  <c r="M83" i="19" s="1"/>
  <c r="L8" i="19"/>
  <c r="M8" i="19" s="1" a="1"/>
  <c r="M8" i="19" s="1"/>
  <c r="J22" i="19" a="1"/>
  <c r="J22" i="19" s="1"/>
  <c r="L53" i="19"/>
  <c r="M53" i="19" s="1" a="1"/>
  <c r="M53" i="19" s="1"/>
  <c r="L37" i="19"/>
  <c r="M37" i="19" s="1" a="1"/>
  <c r="M37" i="19" s="1"/>
  <c r="L67" i="19"/>
  <c r="M67" i="19" s="1" a="1"/>
  <c r="M67" i="19" s="1"/>
  <c r="L63" i="19"/>
  <c r="M63" i="19" s="1" a="1"/>
  <c r="M63" i="19" s="1"/>
  <c r="L42" i="19"/>
  <c r="M42" i="19" s="1" a="1"/>
  <c r="M42" i="19" s="1"/>
  <c r="J88" i="19" a="1"/>
  <c r="J88" i="19" s="1"/>
  <c r="L17" i="19"/>
  <c r="M17" i="19" s="1" a="1"/>
  <c r="M17" i="19" s="1"/>
  <c r="J24" i="19" a="1"/>
  <c r="J24" i="19" s="1"/>
  <c r="L30" i="19"/>
  <c r="M30" i="19" s="1" a="1"/>
  <c r="M30" i="19" s="1"/>
  <c r="L7" i="19"/>
  <c r="M7" i="19" s="1" a="1"/>
  <c r="M7" i="19" s="1"/>
  <c r="L86" i="19"/>
  <c r="M86" i="19" s="1" a="1"/>
  <c r="M86" i="19" s="1"/>
  <c r="J86" i="19" a="1"/>
  <c r="J86" i="19" s="1"/>
  <c r="L99" i="19"/>
  <c r="M99" i="19" s="1" a="1"/>
  <c r="M99" i="19" s="1"/>
  <c r="J19" i="19" a="1"/>
  <c r="J19" i="19" s="1"/>
  <c r="L21" i="19"/>
  <c r="M21" i="19" s="1" a="1"/>
  <c r="M21" i="19" s="1"/>
  <c r="J90" i="19" a="1"/>
  <c r="J90" i="19" s="1"/>
  <c r="J32" i="19" a="1"/>
  <c r="J32" i="19" s="1"/>
  <c r="L19" i="19"/>
  <c r="M19" i="19" s="1" a="1"/>
  <c r="M19" i="19" s="1"/>
  <c r="J45" i="19" a="1"/>
  <c r="J45" i="19" s="1"/>
  <c r="L59" i="19"/>
  <c r="M59" i="19" s="1" a="1"/>
  <c r="M59" i="19" s="1"/>
  <c r="L28" i="19"/>
  <c r="M28" i="19" s="1" a="1"/>
  <c r="M28" i="19" s="1"/>
  <c r="J43" i="19" a="1"/>
  <c r="J43" i="19" s="1"/>
  <c r="L71" i="19"/>
  <c r="M71" i="19" s="1" a="1"/>
  <c r="M71" i="19" s="1"/>
  <c r="J71" i="19" a="1"/>
  <c r="J71" i="19" s="1"/>
  <c r="J73" i="19" a="1"/>
  <c r="J73" i="19" s="1"/>
  <c r="L47" i="19"/>
  <c r="M47" i="19" s="1" a="1"/>
  <c r="M47" i="19" s="1"/>
  <c r="L97" i="19"/>
  <c r="M97" i="19" s="1" a="1"/>
  <c r="M97" i="19" s="1"/>
  <c r="J54" i="19" a="1"/>
  <c r="J54" i="19" s="1"/>
  <c r="J75" i="19" a="1"/>
  <c r="J75" i="19" s="1"/>
  <c r="J14" i="19" a="1"/>
  <c r="J14" i="19" s="1"/>
  <c r="J34" i="19" a="1"/>
  <c r="J34" i="19" s="1"/>
  <c r="L12" i="19"/>
  <c r="M12" i="19" s="1" a="1"/>
  <c r="M12" i="19" s="1"/>
  <c r="L32" i="19"/>
  <c r="M32" i="19" s="1" a="1"/>
  <c r="M32" i="19" s="1"/>
  <c r="L52" i="19"/>
  <c r="M52" i="19" s="1" a="1"/>
  <c r="M52" i="19" s="1"/>
  <c r="G10" i="30" l="1"/>
  <c r="T39" i="22"/>
  <c r="L23" i="22"/>
  <c r="Q16" i="3"/>
  <c r="P16" i="3"/>
  <c r="W39" i="22" s="1"/>
  <c r="M16" i="3" a="1"/>
  <c r="M16" i="3" s="1"/>
  <c r="L16" i="3" a="1"/>
  <c r="L16" i="3" s="1"/>
  <c r="I16" i="3"/>
  <c r="H16" i="3" a="1"/>
  <c r="H16" i="3" s="1"/>
  <c r="S16" i="3"/>
  <c r="O16" i="3" a="1"/>
  <c r="O16" i="3" s="1"/>
  <c r="K16" i="3" a="1"/>
  <c r="K16" i="3" s="1"/>
  <c r="U39" i="22" l="1" a="1"/>
  <c r="U39" i="22" s="1"/>
  <c r="V39" i="22"/>
  <c r="V39" i="22" a="1"/>
  <c r="H10" i="30"/>
  <c r="I10" i="30" s="1"/>
  <c r="O213" i="24"/>
  <c r="P213" i="24" s="1"/>
  <c r="K393" i="10" a="1"/>
  <c r="K393" i="10" s="1"/>
  <c r="K392" i="10" a="1"/>
  <c r="K392" i="10" s="1"/>
  <c r="K391" i="10" a="1"/>
  <c r="K391" i="10" s="1"/>
  <c r="K390" i="10" a="1"/>
  <c r="K390" i="10" s="1"/>
  <c r="K389" i="10" a="1"/>
  <c r="K389" i="10" s="1"/>
  <c r="K388" i="10" a="1"/>
  <c r="K388" i="10" s="1"/>
  <c r="K387" i="10" a="1"/>
  <c r="K387" i="10" s="1"/>
  <c r="K386" i="10" a="1"/>
  <c r="K386" i="10" s="1"/>
  <c r="K385" i="10" a="1"/>
  <c r="K385" i="10" s="1"/>
  <c r="K384" i="10" a="1"/>
  <c r="K384" i="10" s="1"/>
  <c r="K383" i="10" a="1"/>
  <c r="K383" i="10" s="1"/>
  <c r="K382" i="10" a="1"/>
  <c r="K382" i="10" s="1"/>
  <c r="K381" i="10" a="1"/>
  <c r="K381" i="10" s="1"/>
  <c r="K380" i="10" a="1"/>
  <c r="K380" i="10" s="1"/>
  <c r="K379" i="10" a="1"/>
  <c r="K379" i="10" s="1"/>
  <c r="K378" i="10" a="1"/>
  <c r="K378" i="10" s="1"/>
  <c r="K377" i="10" a="1"/>
  <c r="K377" i="10" s="1"/>
  <c r="K376" i="10" a="1"/>
  <c r="K376" i="10" s="1"/>
  <c r="K375" i="10" a="1"/>
  <c r="K375" i="10" s="1"/>
  <c r="K374" i="10" a="1"/>
  <c r="K374" i="10" s="1"/>
  <c r="K373" i="10" a="1"/>
  <c r="K373" i="10" s="1"/>
  <c r="K372" i="10" a="1"/>
  <c r="K372" i="10" s="1"/>
  <c r="K371" i="10" a="1"/>
  <c r="K371" i="10" s="1"/>
  <c r="K370" i="10" a="1"/>
  <c r="K370" i="10" s="1"/>
  <c r="K369" i="10" a="1"/>
  <c r="K369" i="10" s="1"/>
  <c r="K368" i="10" a="1"/>
  <c r="K368" i="10" s="1"/>
  <c r="K367" i="10" a="1"/>
  <c r="K367" i="10" s="1"/>
  <c r="K366" i="10" a="1"/>
  <c r="K366" i="10" s="1"/>
  <c r="K365" i="10" a="1"/>
  <c r="K365" i="10" s="1"/>
  <c r="K364" i="10" a="1"/>
  <c r="K364" i="10" s="1"/>
  <c r="K363" i="10" a="1"/>
  <c r="K363" i="10" s="1"/>
  <c r="K362" i="10" a="1"/>
  <c r="K362" i="10" s="1"/>
  <c r="K361" i="10" a="1"/>
  <c r="K361" i="10" s="1"/>
  <c r="K360" i="10" a="1"/>
  <c r="K360" i="10" s="1"/>
  <c r="K359" i="10" a="1"/>
  <c r="K359" i="10" s="1"/>
  <c r="K358" i="10" a="1"/>
  <c r="K358" i="10" s="1"/>
  <c r="K357" i="10" a="1"/>
  <c r="K357" i="10" s="1"/>
  <c r="K356" i="10" a="1"/>
  <c r="K356" i="10" s="1"/>
  <c r="K355" i="10" a="1"/>
  <c r="K355" i="10" s="1"/>
  <c r="K354" i="10" a="1"/>
  <c r="K354" i="10" s="1"/>
  <c r="K353" i="10" a="1"/>
  <c r="K353" i="10" s="1"/>
  <c r="K352" i="10" a="1"/>
  <c r="K352" i="10" s="1"/>
  <c r="K351" i="10" a="1"/>
  <c r="K351" i="10" s="1"/>
  <c r="K350" i="10" a="1"/>
  <c r="K350" i="10" s="1"/>
  <c r="K349" i="10" a="1"/>
  <c r="K349" i="10" s="1"/>
  <c r="K348" i="10" a="1"/>
  <c r="K348" i="10" s="1"/>
  <c r="K347" i="10" a="1"/>
  <c r="K347" i="10" s="1"/>
  <c r="K346" i="10" a="1"/>
  <c r="K346" i="10" s="1"/>
  <c r="K345" i="10" a="1"/>
  <c r="K345" i="10" s="1"/>
  <c r="K344" i="10" a="1"/>
  <c r="K344" i="10" s="1"/>
  <c r="K343" i="10" a="1"/>
  <c r="K343" i="10" s="1"/>
  <c r="K342" i="10" a="1"/>
  <c r="K342" i="10" s="1"/>
  <c r="K341" i="10" a="1"/>
  <c r="K341" i="10" s="1"/>
  <c r="K340" i="10" a="1"/>
  <c r="K340" i="10" s="1"/>
  <c r="K339" i="10" a="1"/>
  <c r="K339" i="10" s="1"/>
  <c r="K338" i="10" a="1"/>
  <c r="K338" i="10" s="1"/>
  <c r="K337" i="10" a="1"/>
  <c r="K337" i="10" s="1"/>
  <c r="K336" i="10" a="1"/>
  <c r="K336" i="10" s="1"/>
  <c r="K335" i="10" a="1"/>
  <c r="K335" i="10" s="1"/>
  <c r="K334" i="10" a="1"/>
  <c r="K334" i="10" s="1"/>
  <c r="K333" i="10" a="1"/>
  <c r="K333" i="10" s="1"/>
  <c r="K332" i="10" a="1"/>
  <c r="K332" i="10" s="1"/>
  <c r="K331" i="10" a="1"/>
  <c r="K331" i="10" s="1"/>
  <c r="K330" i="10" a="1"/>
  <c r="K330" i="10" s="1"/>
  <c r="K329" i="10" a="1"/>
  <c r="K329" i="10" s="1"/>
  <c r="K328" i="10" a="1"/>
  <c r="K328" i="10" s="1"/>
  <c r="K327" i="10" a="1"/>
  <c r="K327" i="10" s="1"/>
  <c r="K326" i="10" a="1"/>
  <c r="K326" i="10" s="1"/>
  <c r="K325" i="10" a="1"/>
  <c r="K325" i="10" s="1"/>
  <c r="K324" i="10" a="1"/>
  <c r="K324" i="10" s="1"/>
  <c r="K323" i="10" a="1"/>
  <c r="K323" i="10" s="1"/>
  <c r="K322" i="10" a="1"/>
  <c r="K322" i="10" s="1"/>
  <c r="K321" i="10" a="1"/>
  <c r="K321" i="10" s="1"/>
  <c r="K320" i="10" a="1"/>
  <c r="K320" i="10" s="1"/>
  <c r="K319" i="10" a="1"/>
  <c r="K319" i="10" s="1"/>
  <c r="K318" i="10" a="1"/>
  <c r="K318" i="10" s="1"/>
  <c r="K317" i="10" a="1"/>
  <c r="K317" i="10" s="1"/>
  <c r="K316" i="10" a="1"/>
  <c r="K316" i="10" s="1"/>
  <c r="K315" i="10" a="1"/>
  <c r="K315" i="10" s="1"/>
  <c r="K314" i="10" a="1"/>
  <c r="K314" i="10" s="1"/>
  <c r="K313" i="10" a="1"/>
  <c r="K313" i="10" s="1"/>
  <c r="K312" i="10" a="1"/>
  <c r="K312" i="10" s="1"/>
  <c r="K311" i="10" a="1"/>
  <c r="K311" i="10" s="1"/>
  <c r="K310" i="10" a="1"/>
  <c r="K310" i="10" s="1"/>
  <c r="K309" i="10" a="1"/>
  <c r="K309" i="10" s="1"/>
  <c r="K308" i="10" a="1"/>
  <c r="K308" i="10" s="1"/>
  <c r="K307" i="10" a="1"/>
  <c r="K307" i="10" s="1"/>
  <c r="K306" i="10" a="1"/>
  <c r="K306" i="10" s="1"/>
  <c r="K305" i="10" a="1"/>
  <c r="K305" i="10" s="1"/>
  <c r="K304" i="10" a="1"/>
  <c r="K304" i="10" s="1"/>
  <c r="K303" i="10" a="1"/>
  <c r="K303" i="10" s="1"/>
  <c r="K302" i="10" a="1"/>
  <c r="K302" i="10" s="1"/>
  <c r="K301" i="10" a="1"/>
  <c r="K301" i="10" s="1"/>
  <c r="K300" i="10" a="1"/>
  <c r="K300" i="10" s="1"/>
  <c r="K299" i="10" a="1"/>
  <c r="K299" i="10" s="1"/>
  <c r="K298" i="10" a="1"/>
  <c r="K298" i="10" s="1"/>
  <c r="K297" i="10" a="1"/>
  <c r="K297" i="10" s="1"/>
  <c r="K296" i="10" a="1"/>
  <c r="K296" i="10" s="1"/>
  <c r="K295" i="10" a="1"/>
  <c r="K295" i="10" s="1"/>
  <c r="K294" i="10" a="1"/>
  <c r="K294" i="10" s="1"/>
  <c r="K293" i="10" a="1"/>
  <c r="K293" i="10" s="1"/>
  <c r="K292" i="10" a="1"/>
  <c r="K292" i="10" s="1"/>
  <c r="K291" i="10" a="1"/>
  <c r="K291" i="10" s="1"/>
  <c r="K290" i="10" a="1"/>
  <c r="K290" i="10" s="1"/>
  <c r="K289" i="10" a="1"/>
  <c r="K289" i="10" s="1"/>
  <c r="K288" i="10" a="1"/>
  <c r="K288" i="10" s="1"/>
  <c r="K287" i="10" a="1"/>
  <c r="K287" i="10" s="1"/>
  <c r="K286" i="10" a="1"/>
  <c r="K286" i="10" s="1"/>
  <c r="K285" i="10" a="1"/>
  <c r="K285" i="10" s="1"/>
  <c r="K284" i="10" a="1"/>
  <c r="K284" i="10" s="1"/>
  <c r="K283" i="10" a="1"/>
  <c r="K283" i="10" s="1"/>
  <c r="K282" i="10" a="1"/>
  <c r="K282" i="10" s="1"/>
  <c r="K281" i="10" a="1"/>
  <c r="K281" i="10" s="1"/>
  <c r="K280" i="10" a="1"/>
  <c r="K280" i="10" s="1"/>
  <c r="K279" i="10" a="1"/>
  <c r="K279" i="10" s="1"/>
  <c r="K278" i="10" a="1"/>
  <c r="K278" i="10" s="1"/>
  <c r="K277" i="10" a="1"/>
  <c r="K277" i="10" s="1"/>
  <c r="K276" i="10" a="1"/>
  <c r="K276" i="10" s="1"/>
  <c r="K275" i="10" a="1"/>
  <c r="K275" i="10" s="1"/>
  <c r="K274" i="10" a="1"/>
  <c r="K274" i="10" s="1"/>
  <c r="K273" i="10" a="1"/>
  <c r="K273" i="10" s="1"/>
  <c r="K272" i="10" a="1"/>
  <c r="K272" i="10" s="1"/>
  <c r="K271" i="10" a="1"/>
  <c r="K271" i="10" s="1"/>
  <c r="K270" i="10" a="1"/>
  <c r="K270" i="10" s="1"/>
  <c r="K269" i="10" a="1"/>
  <c r="K269" i="10" s="1"/>
  <c r="K268" i="10" a="1"/>
  <c r="K268" i="10" s="1"/>
  <c r="K267" i="10" a="1"/>
  <c r="K267" i="10" s="1"/>
  <c r="K266" i="10" a="1"/>
  <c r="K266" i="10" s="1"/>
  <c r="K265" i="10" a="1"/>
  <c r="K265" i="10" s="1"/>
  <c r="K264" i="10" a="1"/>
  <c r="K264" i="10" s="1"/>
  <c r="K263" i="10" a="1"/>
  <c r="K263" i="10" s="1"/>
  <c r="K262" i="10" a="1"/>
  <c r="K262" i="10" s="1"/>
  <c r="K261" i="10" a="1"/>
  <c r="K261" i="10" s="1"/>
  <c r="K260" i="10" a="1"/>
  <c r="K260" i="10" s="1"/>
  <c r="K259" i="10" a="1"/>
  <c r="K259" i="10" s="1"/>
  <c r="K258" i="10" a="1"/>
  <c r="K258" i="10" s="1"/>
  <c r="K257" i="10" a="1"/>
  <c r="K257" i="10" s="1"/>
  <c r="K256" i="10" a="1"/>
  <c r="K256" i="10" s="1"/>
  <c r="K255" i="10" a="1"/>
  <c r="K255" i="10" s="1"/>
  <c r="K254" i="10" a="1"/>
  <c r="K254" i="10" s="1"/>
  <c r="K253" i="10" a="1"/>
  <c r="K253" i="10" s="1"/>
  <c r="K252" i="10" a="1"/>
  <c r="K252" i="10" s="1"/>
  <c r="K251" i="10" a="1"/>
  <c r="K251" i="10" s="1"/>
  <c r="K250" i="10" a="1"/>
  <c r="K250" i="10" s="1"/>
  <c r="K249" i="10" a="1"/>
  <c r="K249" i="10" s="1"/>
  <c r="K248" i="10" a="1"/>
  <c r="K248" i="10" s="1"/>
  <c r="K247" i="10" a="1"/>
  <c r="K247" i="10" s="1"/>
  <c r="K246" i="10" a="1"/>
  <c r="K246" i="10" s="1"/>
  <c r="K245" i="10" a="1"/>
  <c r="K245" i="10" s="1"/>
  <c r="K244" i="10" a="1"/>
  <c r="K244" i="10" s="1"/>
  <c r="K243" i="10" a="1"/>
  <c r="K243" i="10" s="1"/>
  <c r="K242" i="10" a="1"/>
  <c r="K242" i="10" s="1"/>
  <c r="K241" i="10" a="1"/>
  <c r="K241" i="10" s="1"/>
  <c r="K240" i="10" a="1"/>
  <c r="K240" i="10" s="1"/>
  <c r="K239" i="10" a="1"/>
  <c r="K239" i="10" s="1"/>
  <c r="K238" i="10" a="1"/>
  <c r="K238" i="10" s="1"/>
  <c r="K237" i="10" a="1"/>
  <c r="K237" i="10" s="1"/>
  <c r="K236" i="10" a="1"/>
  <c r="K236" i="10" s="1"/>
  <c r="K235" i="10" a="1"/>
  <c r="K235" i="10" s="1"/>
  <c r="K234" i="10" a="1"/>
  <c r="K234" i="10" s="1"/>
  <c r="K233" i="10" a="1"/>
  <c r="K233" i="10" s="1"/>
  <c r="K232" i="10" a="1"/>
  <c r="K232" i="10" s="1"/>
  <c r="K231" i="10" a="1"/>
  <c r="K231" i="10" s="1"/>
  <c r="K230" i="10" a="1"/>
  <c r="K230" i="10" s="1"/>
  <c r="K229" i="10" a="1"/>
  <c r="K229" i="10" s="1"/>
  <c r="K228" i="10" a="1"/>
  <c r="K228" i="10" s="1"/>
  <c r="K227" i="10" a="1"/>
  <c r="K227" i="10" s="1"/>
  <c r="K226" i="10" a="1"/>
  <c r="K226" i="10" s="1"/>
  <c r="K225" i="10" a="1"/>
  <c r="K225" i="10" s="1"/>
  <c r="K224" i="10" a="1"/>
  <c r="K224" i="10" s="1"/>
  <c r="K223" i="10" a="1"/>
  <c r="K223" i="10" s="1"/>
  <c r="K222" i="10" a="1"/>
  <c r="K222" i="10" s="1"/>
  <c r="K221" i="10" a="1"/>
  <c r="K221" i="10" s="1"/>
  <c r="K220" i="10" a="1"/>
  <c r="K220" i="10" s="1"/>
  <c r="K219" i="10" a="1"/>
  <c r="K219" i="10" s="1"/>
  <c r="K218" i="10" a="1"/>
  <c r="K218" i="10" s="1"/>
  <c r="K217" i="10" a="1"/>
  <c r="K217" i="10" s="1"/>
  <c r="K216" i="10" a="1"/>
  <c r="K216" i="10" s="1"/>
  <c r="K215" i="10" a="1"/>
  <c r="K215" i="10" s="1"/>
  <c r="K214" i="10" a="1"/>
  <c r="K214" i="10" s="1"/>
  <c r="Q42" i="24" l="1"/>
  <c r="V15" i="24"/>
  <c r="V165" i="24"/>
  <c r="U263" i="24"/>
  <c r="Q23" i="24"/>
  <c r="U36" i="24"/>
  <c r="U156" i="24"/>
  <c r="V213" i="24"/>
  <c r="V353" i="24"/>
  <c r="O196" i="24"/>
  <c r="P196" i="24" s="1"/>
  <c r="V126" i="24"/>
  <c r="Q315" i="24"/>
  <c r="U324" i="24"/>
  <c r="O37" i="24"/>
  <c r="P37" i="24" s="1"/>
  <c r="O117" i="24"/>
  <c r="P117" i="24" s="1"/>
  <c r="O197" i="24"/>
  <c r="P197" i="24" s="1"/>
  <c r="U27" i="24"/>
  <c r="U77" i="24"/>
  <c r="U117" i="24"/>
  <c r="U147" i="24"/>
  <c r="U197" i="24"/>
  <c r="Q216" i="24"/>
  <c r="Q276" i="24"/>
  <c r="Q336" i="24"/>
  <c r="V214" i="24"/>
  <c r="V244" i="24"/>
  <c r="V284" i="24"/>
  <c r="V314" i="24"/>
  <c r="V344" i="24"/>
  <c r="V374" i="24"/>
  <c r="Q66" i="24"/>
  <c r="Q126" i="24"/>
  <c r="Q206" i="24"/>
  <c r="O118" i="24"/>
  <c r="P118" i="24" s="1"/>
  <c r="O198" i="24"/>
  <c r="P198" i="24" s="1"/>
  <c r="V17" i="24"/>
  <c r="V47" i="24"/>
  <c r="V87" i="24"/>
  <c r="V127" i="24"/>
  <c r="V167" i="24"/>
  <c r="V207" i="24"/>
  <c r="Q257" i="24"/>
  <c r="Q317" i="24"/>
  <c r="Q377" i="24"/>
  <c r="U235" i="24"/>
  <c r="U275" i="24"/>
  <c r="U305" i="24"/>
  <c r="U335" i="24"/>
  <c r="U375" i="24"/>
  <c r="Q7" i="24"/>
  <c r="Q107" i="24"/>
  <c r="Q187" i="24"/>
  <c r="O39" i="24"/>
  <c r="P39" i="24" s="1"/>
  <c r="O119" i="24"/>
  <c r="P119" i="24" s="1"/>
  <c r="O199" i="24"/>
  <c r="P199" i="24" s="1"/>
  <c r="U18" i="24"/>
  <c r="U48" i="24"/>
  <c r="U88" i="24"/>
  <c r="U118" i="24"/>
  <c r="U148" i="24"/>
  <c r="U198" i="24"/>
  <c r="Q218" i="24"/>
  <c r="Q278" i="24"/>
  <c r="Q338" i="24"/>
  <c r="V215" i="24"/>
  <c r="V235" i="24"/>
  <c r="V255" i="24"/>
  <c r="V265" i="24"/>
  <c r="V275" i="24"/>
  <c r="V285" i="24"/>
  <c r="V295" i="24"/>
  <c r="V305" i="24"/>
  <c r="V315" i="24"/>
  <c r="V325" i="24"/>
  <c r="V335" i="24"/>
  <c r="V345" i="24"/>
  <c r="V355" i="24"/>
  <c r="V365" i="24"/>
  <c r="V375" i="24"/>
  <c r="V385" i="24"/>
  <c r="Q122" i="24"/>
  <c r="O94" i="24"/>
  <c r="P94" i="24" s="1"/>
  <c r="V45" i="24"/>
  <c r="V85" i="24"/>
  <c r="V135" i="24"/>
  <c r="Q213" i="24"/>
  <c r="Q353" i="24"/>
  <c r="U233" i="24"/>
  <c r="U293" i="24"/>
  <c r="U383" i="24"/>
  <c r="Q123" i="24"/>
  <c r="O75" i="24"/>
  <c r="P75" i="24" s="1"/>
  <c r="U46" i="24"/>
  <c r="U86" i="24"/>
  <c r="U186" i="24"/>
  <c r="Q234" i="24"/>
  <c r="Q314" i="24"/>
  <c r="V243" i="24"/>
  <c r="V293" i="24"/>
  <c r="V373" i="24"/>
  <c r="Q184" i="24"/>
  <c r="V6" i="24"/>
  <c r="V56" i="24"/>
  <c r="V116" i="24"/>
  <c r="V166" i="24"/>
  <c r="Q295" i="24"/>
  <c r="U234" i="24"/>
  <c r="U284" i="24"/>
  <c r="U334" i="24"/>
  <c r="Q5" i="24"/>
  <c r="Q205" i="24"/>
  <c r="O57" i="24"/>
  <c r="P57" i="24" s="1"/>
  <c r="O77" i="24"/>
  <c r="P77" i="24" s="1"/>
  <c r="O137" i="24"/>
  <c r="P137" i="24" s="1"/>
  <c r="O157" i="24"/>
  <c r="P157" i="24" s="1"/>
  <c r="O177" i="24"/>
  <c r="P177" i="24" s="1"/>
  <c r="U7" i="24"/>
  <c r="U17" i="24"/>
  <c r="U37" i="24"/>
  <c r="U47" i="24"/>
  <c r="U57" i="24"/>
  <c r="U67" i="24"/>
  <c r="U87" i="24"/>
  <c r="U97" i="24"/>
  <c r="U127" i="24"/>
  <c r="U137" i="24"/>
  <c r="U167" i="24"/>
  <c r="U177" i="24"/>
  <c r="U187" i="24"/>
  <c r="U207" i="24"/>
  <c r="Q236" i="24"/>
  <c r="Q256" i="24"/>
  <c r="Q296" i="24"/>
  <c r="Q316" i="24"/>
  <c r="Q356" i="24"/>
  <c r="Q376" i="24"/>
  <c r="V224" i="24"/>
  <c r="V234" i="24"/>
  <c r="V254" i="24"/>
  <c r="V264" i="24"/>
  <c r="V274" i="24"/>
  <c r="V294" i="24"/>
  <c r="V304" i="24"/>
  <c r="V324" i="24"/>
  <c r="V334" i="24"/>
  <c r="V354" i="24"/>
  <c r="V364" i="24"/>
  <c r="V384" i="24"/>
  <c r="Q6" i="24"/>
  <c r="Q46" i="24"/>
  <c r="Q86" i="24"/>
  <c r="Q106" i="24"/>
  <c r="Q166" i="24"/>
  <c r="Q186" i="24"/>
  <c r="O38" i="24"/>
  <c r="P38" i="24" s="1"/>
  <c r="O58" i="24"/>
  <c r="P58" i="24" s="1"/>
  <c r="O138" i="24"/>
  <c r="P138" i="24" s="1"/>
  <c r="O158" i="24"/>
  <c r="P158" i="24" s="1"/>
  <c r="O178" i="24"/>
  <c r="P178" i="24" s="1"/>
  <c r="V7" i="24"/>
  <c r="V27" i="24"/>
  <c r="V37" i="24"/>
  <c r="V57" i="24"/>
  <c r="V67" i="24"/>
  <c r="V77" i="24"/>
  <c r="V97" i="24"/>
  <c r="V117" i="24"/>
  <c r="V137" i="24"/>
  <c r="V147" i="24"/>
  <c r="V177" i="24"/>
  <c r="V187" i="24"/>
  <c r="V197" i="24"/>
  <c r="Q217" i="24"/>
  <c r="Q237" i="24"/>
  <c r="Q277" i="24"/>
  <c r="Q297" i="24"/>
  <c r="Q337" i="24"/>
  <c r="Q357" i="24"/>
  <c r="U215" i="24"/>
  <c r="U225" i="24"/>
  <c r="U245" i="24"/>
  <c r="U255" i="24"/>
  <c r="U265" i="24"/>
  <c r="U285" i="24"/>
  <c r="U295" i="24"/>
  <c r="U315" i="24"/>
  <c r="U325" i="24"/>
  <c r="U345" i="24"/>
  <c r="U355" i="24"/>
  <c r="U365" i="24"/>
  <c r="U385" i="24"/>
  <c r="Q47" i="24"/>
  <c r="Q67" i="24"/>
  <c r="Q87" i="24"/>
  <c r="Q127" i="24"/>
  <c r="Q147" i="24"/>
  <c r="Q167" i="24"/>
  <c r="Q207" i="24"/>
  <c r="O19" i="24"/>
  <c r="P19" i="24" s="1"/>
  <c r="O59" i="24"/>
  <c r="P59" i="24" s="1"/>
  <c r="O99" i="24"/>
  <c r="P99" i="24" s="1"/>
  <c r="O139" i="24"/>
  <c r="P139" i="24" s="1"/>
  <c r="O159" i="24"/>
  <c r="P159" i="24" s="1"/>
  <c r="O179" i="24"/>
  <c r="P179" i="24" s="1"/>
  <c r="U8" i="24"/>
  <c r="U28" i="24"/>
  <c r="U38" i="24"/>
  <c r="U58" i="24"/>
  <c r="U68" i="24"/>
  <c r="U78" i="24"/>
  <c r="U98" i="24"/>
  <c r="U108" i="24"/>
  <c r="U128" i="24"/>
  <c r="U138" i="24"/>
  <c r="U168" i="24"/>
  <c r="U178" i="24"/>
  <c r="U188" i="24"/>
  <c r="U208" i="24"/>
  <c r="Q238" i="24"/>
  <c r="Q258" i="24"/>
  <c r="Q298" i="24"/>
  <c r="Q318" i="24"/>
  <c r="Q358" i="24"/>
  <c r="Q378" i="24"/>
  <c r="V225" i="24"/>
  <c r="V245" i="24"/>
  <c r="Q8" i="24"/>
  <c r="Q48" i="24"/>
  <c r="Q68" i="24"/>
  <c r="Q88" i="24"/>
  <c r="Q108" i="24"/>
  <c r="Q128" i="24"/>
  <c r="Q168" i="24"/>
  <c r="Q188" i="24"/>
  <c r="Q208" i="24"/>
  <c r="O20" i="24"/>
  <c r="P20" i="24" s="1"/>
  <c r="O40" i="24"/>
  <c r="P40" i="24" s="1"/>
  <c r="O60" i="24"/>
  <c r="P60" i="24" s="1"/>
  <c r="O100" i="24"/>
  <c r="P100" i="24" s="1"/>
  <c r="O120" i="24"/>
  <c r="P120" i="24" s="1"/>
  <c r="O140" i="24"/>
  <c r="P140" i="24" s="1"/>
  <c r="O160" i="24"/>
  <c r="P160" i="24" s="1"/>
  <c r="O180" i="24"/>
  <c r="P180" i="24" s="1"/>
  <c r="O200" i="24"/>
  <c r="P200" i="24" s="1"/>
  <c r="V8" i="24"/>
  <c r="V18" i="24"/>
  <c r="V28" i="24"/>
  <c r="V38" i="24"/>
  <c r="V48" i="24"/>
  <c r="V58" i="24"/>
  <c r="V68" i="24"/>
  <c r="V78" i="24"/>
  <c r="V88" i="24"/>
  <c r="V98" i="24"/>
  <c r="V108" i="24"/>
  <c r="V118" i="24"/>
  <c r="V128" i="24"/>
  <c r="V138" i="24"/>
  <c r="V148" i="24"/>
  <c r="V168" i="24"/>
  <c r="V178" i="24"/>
  <c r="V188" i="24"/>
  <c r="V198" i="24"/>
  <c r="V208" i="24"/>
  <c r="Q219" i="24"/>
  <c r="Q239" i="24"/>
  <c r="Q259" i="24"/>
  <c r="Q279" i="24"/>
  <c r="Q299" i="24"/>
  <c r="Q319" i="24"/>
  <c r="Q339" i="24"/>
  <c r="Q359" i="24"/>
  <c r="Q379" i="24"/>
  <c r="U216" i="24"/>
  <c r="U226" i="24"/>
  <c r="U236" i="24"/>
  <c r="U246" i="24"/>
  <c r="U256" i="24"/>
  <c r="U266" i="24"/>
  <c r="U276" i="24"/>
  <c r="U286" i="24"/>
  <c r="U296" i="24"/>
  <c r="U306" i="24"/>
  <c r="U316" i="24"/>
  <c r="U326" i="24"/>
  <c r="U336" i="24"/>
  <c r="U346" i="24"/>
  <c r="U356" i="24"/>
  <c r="U366" i="24"/>
  <c r="U376" i="24"/>
  <c r="U386" i="24"/>
  <c r="Q142" i="24"/>
  <c r="O134" i="24"/>
  <c r="P134" i="24" s="1"/>
  <c r="V75" i="24"/>
  <c r="V155" i="24"/>
  <c r="Q253" i="24"/>
  <c r="U213" i="24"/>
  <c r="U273" i="24"/>
  <c r="U363" i="24"/>
  <c r="Q103" i="24"/>
  <c r="O95" i="24"/>
  <c r="P95" i="24" s="1"/>
  <c r="U66" i="24"/>
  <c r="U116" i="24"/>
  <c r="Q274" i="24"/>
  <c r="V233" i="24"/>
  <c r="V313" i="24"/>
  <c r="Q24" i="24"/>
  <c r="Q204" i="24"/>
  <c r="V36" i="24"/>
  <c r="V96" i="24"/>
  <c r="V206" i="24"/>
  <c r="Q335" i="24"/>
  <c r="U254" i="24"/>
  <c r="U344" i="24"/>
  <c r="Q25" i="24"/>
  <c r="Q29" i="24"/>
  <c r="Q129" i="24"/>
  <c r="O101" i="24"/>
  <c r="P101" i="24" s="1"/>
  <c r="U19" i="24"/>
  <c r="U89" i="24"/>
  <c r="U129" i="24"/>
  <c r="U209" i="24"/>
  <c r="Q340" i="24"/>
  <c r="V236" i="24"/>
  <c r="V326" i="24"/>
  <c r="V376" i="24"/>
  <c r="Q150" i="24"/>
  <c r="O102" i="24"/>
  <c r="P102" i="24" s="1"/>
  <c r="V19" i="24"/>
  <c r="V89" i="24"/>
  <c r="V129" i="24"/>
  <c r="V209" i="24"/>
  <c r="Q321" i="24"/>
  <c r="U227" i="24"/>
  <c r="U297" i="24"/>
  <c r="U317" i="24"/>
  <c r="U377" i="24"/>
  <c r="Q31" i="24"/>
  <c r="Q171" i="24"/>
  <c r="O83" i="24"/>
  <c r="P83" i="24" s="1"/>
  <c r="U30" i="24"/>
  <c r="U70" i="24"/>
  <c r="U130" i="24"/>
  <c r="U210" i="24"/>
  <c r="Q282" i="24"/>
  <c r="V217" i="24"/>
  <c r="V257" i="24"/>
  <c r="V317" i="24"/>
  <c r="V377" i="24"/>
  <c r="Q152" i="24"/>
  <c r="O104" i="24"/>
  <c r="P104" i="24" s="1"/>
  <c r="O184" i="24"/>
  <c r="P184" i="24" s="1"/>
  <c r="V10" i="24"/>
  <c r="V40" i="24"/>
  <c r="V60" i="24"/>
  <c r="V80" i="24"/>
  <c r="V110" i="24"/>
  <c r="V130" i="24"/>
  <c r="V150" i="24"/>
  <c r="V180" i="24"/>
  <c r="V200" i="24"/>
  <c r="Q223" i="24"/>
  <c r="Q263" i="24"/>
  <c r="Q323" i="24"/>
  <c r="Q363" i="24"/>
  <c r="U218" i="24"/>
  <c r="U248" i="24"/>
  <c r="U268" i="24"/>
  <c r="U288" i="24"/>
  <c r="U308" i="24"/>
  <c r="U338" i="24"/>
  <c r="U358" i="24"/>
  <c r="U378" i="24"/>
  <c r="Q33" i="24"/>
  <c r="Q113" i="24"/>
  <c r="Q153" i="24"/>
  <c r="O25" i="24"/>
  <c r="O105" i="24"/>
  <c r="P105" i="24" s="1"/>
  <c r="O185" i="24"/>
  <c r="P185" i="24" s="1"/>
  <c r="U11" i="24"/>
  <c r="U41" i="24"/>
  <c r="U71" i="24"/>
  <c r="U91" i="24"/>
  <c r="U111" i="24"/>
  <c r="U131" i="24"/>
  <c r="U151" i="24"/>
  <c r="U171" i="24"/>
  <c r="U201" i="24"/>
  <c r="Q224" i="24"/>
  <c r="Q264" i="24"/>
  <c r="Q304" i="24"/>
  <c r="Q364" i="24"/>
  <c r="V218" i="24"/>
  <c r="V238" i="24"/>
  <c r="V268" i="24"/>
  <c r="V288" i="24"/>
  <c r="V308" i="24"/>
  <c r="V328" i="24"/>
  <c r="V358" i="24"/>
  <c r="V378" i="24"/>
  <c r="Q54" i="24"/>
  <c r="Q134" i="24"/>
  <c r="Q194" i="24"/>
  <c r="O46" i="24"/>
  <c r="P46" i="24" s="1"/>
  <c r="O86" i="24"/>
  <c r="P86" i="24" s="1"/>
  <c r="O126" i="24"/>
  <c r="P126" i="24" s="1"/>
  <c r="O186" i="24"/>
  <c r="P186" i="24" s="1"/>
  <c r="O206" i="24"/>
  <c r="P206" i="24" s="1"/>
  <c r="V11" i="24"/>
  <c r="V21" i="24"/>
  <c r="V31" i="24"/>
  <c r="V41" i="24"/>
  <c r="V51" i="24"/>
  <c r="V61" i="24"/>
  <c r="V71" i="24"/>
  <c r="V81" i="24"/>
  <c r="V91" i="24"/>
  <c r="V101" i="24"/>
  <c r="V111" i="24"/>
  <c r="V121" i="24"/>
  <c r="V131" i="24"/>
  <c r="V141" i="24"/>
  <c r="V151" i="24"/>
  <c r="V161" i="24"/>
  <c r="V171" i="24"/>
  <c r="V181" i="24"/>
  <c r="V191" i="24"/>
  <c r="V201" i="24"/>
  <c r="V211" i="24"/>
  <c r="Q225" i="24"/>
  <c r="Q245" i="24"/>
  <c r="Q265" i="24"/>
  <c r="Q285" i="24"/>
  <c r="Q305" i="24"/>
  <c r="Q325" i="24"/>
  <c r="Q345" i="24"/>
  <c r="Q365" i="24"/>
  <c r="Q385" i="24"/>
  <c r="U219" i="24"/>
  <c r="U229" i="24"/>
  <c r="U239" i="24"/>
  <c r="U249" i="24"/>
  <c r="U259" i="24"/>
  <c r="U269" i="24"/>
  <c r="U279" i="24"/>
  <c r="U289" i="24"/>
  <c r="U299" i="24"/>
  <c r="U309" i="24"/>
  <c r="U319" i="24"/>
  <c r="U329" i="24"/>
  <c r="U339" i="24"/>
  <c r="U349" i="24"/>
  <c r="U359" i="24"/>
  <c r="U369" i="24"/>
  <c r="U379" i="24"/>
  <c r="U389" i="24"/>
  <c r="Q82" i="24"/>
  <c r="O14" i="24"/>
  <c r="P14" i="24" s="1"/>
  <c r="V5" i="24"/>
  <c r="V55" i="24"/>
  <c r="V105" i="24"/>
  <c r="V195" i="24"/>
  <c r="Q293" i="24"/>
  <c r="U223" i="24"/>
  <c r="U253" i="24"/>
  <c r="U303" i="24"/>
  <c r="U353" i="24"/>
  <c r="Q63" i="24"/>
  <c r="Q183" i="24"/>
  <c r="O175" i="24"/>
  <c r="P175" i="24" s="1"/>
  <c r="U56" i="24"/>
  <c r="U106" i="24"/>
  <c r="U166" i="24"/>
  <c r="Q254" i="24"/>
  <c r="Q354" i="24"/>
  <c r="V253" i="24"/>
  <c r="V303" i="24"/>
  <c r="V383" i="24"/>
  <c r="Q84" i="24"/>
  <c r="O116" i="24"/>
  <c r="P116" i="24" s="1"/>
  <c r="V46" i="24"/>
  <c r="V86" i="24"/>
  <c r="V186" i="24"/>
  <c r="Q275" i="24"/>
  <c r="Q355" i="24"/>
  <c r="U244" i="24"/>
  <c r="U294" i="24"/>
  <c r="U384" i="24"/>
  <c r="Q185" i="24"/>
  <c r="Q89" i="24"/>
  <c r="Q169" i="24"/>
  <c r="O121" i="24"/>
  <c r="P121" i="24" s="1"/>
  <c r="U9" i="24"/>
  <c r="U69" i="24"/>
  <c r="U99" i="24"/>
  <c r="U139" i="24"/>
  <c r="U199" i="24"/>
  <c r="Q320" i="24"/>
  <c r="V216" i="24"/>
  <c r="V226" i="24"/>
  <c r="V276" i="24"/>
  <c r="V336" i="24"/>
  <c r="V386" i="24"/>
  <c r="Q50" i="24"/>
  <c r="Q170" i="24"/>
  <c r="O122" i="24"/>
  <c r="P122" i="24" s="1"/>
  <c r="V9" i="24"/>
  <c r="V29" i="24"/>
  <c r="V99" i="24"/>
  <c r="V139" i="24"/>
  <c r="V199" i="24"/>
  <c r="Q241" i="24"/>
  <c r="Q361" i="24"/>
  <c r="U237" i="24"/>
  <c r="U327" i="24"/>
  <c r="Q11" i="24"/>
  <c r="Q151" i="24"/>
  <c r="O43" i="24"/>
  <c r="P43" i="24" s="1"/>
  <c r="O123" i="24"/>
  <c r="P123" i="24" s="1"/>
  <c r="U10" i="24"/>
  <c r="U50" i="24"/>
  <c r="U110" i="24"/>
  <c r="U140" i="24"/>
  <c r="U200" i="24"/>
  <c r="Q242" i="24"/>
  <c r="Q322" i="24"/>
  <c r="V227" i="24"/>
  <c r="V267" i="24"/>
  <c r="V297" i="24"/>
  <c r="V327" i="24"/>
  <c r="V367" i="24"/>
  <c r="Q12" i="24"/>
  <c r="O24" i="24"/>
  <c r="P24" i="24" s="1"/>
  <c r="O84" i="24"/>
  <c r="P84" i="24" s="1"/>
  <c r="O124" i="24"/>
  <c r="P124" i="24" s="1"/>
  <c r="O204" i="24"/>
  <c r="P204" i="24" s="1"/>
  <c r="V20" i="24"/>
  <c r="V30" i="24"/>
  <c r="V50" i="24"/>
  <c r="V70" i="24"/>
  <c r="V90" i="24"/>
  <c r="V100" i="24"/>
  <c r="V120" i="24"/>
  <c r="V140" i="24"/>
  <c r="V160" i="24"/>
  <c r="V170" i="24"/>
  <c r="V190" i="24"/>
  <c r="V210" i="24"/>
  <c r="Q243" i="24"/>
  <c r="Q283" i="24"/>
  <c r="Q303" i="24"/>
  <c r="Q343" i="24"/>
  <c r="Q383" i="24"/>
  <c r="U228" i="24"/>
  <c r="U238" i="24"/>
  <c r="U258" i="24"/>
  <c r="U278" i="24"/>
  <c r="U298" i="24"/>
  <c r="U318" i="24"/>
  <c r="U328" i="24"/>
  <c r="U348" i="24"/>
  <c r="U368" i="24"/>
  <c r="U388" i="24"/>
  <c r="Q13" i="24"/>
  <c r="Q93" i="24"/>
  <c r="Q133" i="24"/>
  <c r="O5" i="24"/>
  <c r="O65" i="24"/>
  <c r="P65" i="24" s="1"/>
  <c r="O85" i="24"/>
  <c r="O125" i="24"/>
  <c r="P125" i="24" s="1"/>
  <c r="O205" i="24"/>
  <c r="P205" i="24" s="1"/>
  <c r="U21" i="24"/>
  <c r="U31" i="24"/>
  <c r="U51" i="24"/>
  <c r="U61" i="24"/>
  <c r="U81" i="24"/>
  <c r="U101" i="24"/>
  <c r="U121" i="24"/>
  <c r="U141" i="24"/>
  <c r="U161" i="24"/>
  <c r="U181" i="24"/>
  <c r="U191" i="24"/>
  <c r="U211" i="24"/>
  <c r="Q244" i="24"/>
  <c r="Q284" i="24"/>
  <c r="Q324" i="24"/>
  <c r="Q344" i="24"/>
  <c r="Q384" i="24"/>
  <c r="V228" i="24"/>
  <c r="V248" i="24"/>
  <c r="V258" i="24"/>
  <c r="V278" i="24"/>
  <c r="V298" i="24"/>
  <c r="V318" i="24"/>
  <c r="V338" i="24"/>
  <c r="V348" i="24"/>
  <c r="V368" i="24"/>
  <c r="V388" i="24"/>
  <c r="Q14" i="24"/>
  <c r="Q94" i="24"/>
  <c r="Q114" i="24"/>
  <c r="Q154" i="24"/>
  <c r="O6" i="24"/>
  <c r="P6" i="24" s="1"/>
  <c r="O66" i="24"/>
  <c r="P66" i="24" s="1"/>
  <c r="O106" i="24"/>
  <c r="P106" i="24" s="1"/>
  <c r="O166" i="24"/>
  <c r="P166" i="24" s="1"/>
  <c r="Q75" i="24"/>
  <c r="Q95" i="24"/>
  <c r="Q115" i="24"/>
  <c r="Q175" i="24"/>
  <c r="Q195" i="24"/>
  <c r="O7" i="24"/>
  <c r="P7" i="24" s="1"/>
  <c r="O47" i="24"/>
  <c r="P47" i="24" s="1"/>
  <c r="O67" i="24"/>
  <c r="P67" i="24" s="1"/>
  <c r="O87" i="24"/>
  <c r="P87" i="24" s="1"/>
  <c r="O107" i="24"/>
  <c r="P107" i="24" s="1"/>
  <c r="O127" i="24"/>
  <c r="P127" i="24" s="1"/>
  <c r="O147" i="24"/>
  <c r="P147" i="24" s="1"/>
  <c r="O167" i="24"/>
  <c r="P167" i="24" s="1"/>
  <c r="O187" i="24"/>
  <c r="P187" i="24" s="1"/>
  <c r="O207" i="24"/>
  <c r="P207" i="24" s="1"/>
  <c r="U12" i="24"/>
  <c r="U22" i="24"/>
  <c r="U32" i="24"/>
  <c r="U42" i="24"/>
  <c r="U52" i="24"/>
  <c r="U62" i="24"/>
  <c r="U72" i="24"/>
  <c r="U82" i="24"/>
  <c r="U92" i="24"/>
  <c r="U102" i="24"/>
  <c r="U112" i="24"/>
  <c r="U122" i="24"/>
  <c r="U132" i="24"/>
  <c r="U142" i="24"/>
  <c r="U152" i="24"/>
  <c r="U162" i="24"/>
  <c r="U172" i="24"/>
  <c r="U182" i="24"/>
  <c r="U192" i="24"/>
  <c r="U202" i="24"/>
  <c r="U212" i="24"/>
  <c r="Q226" i="24"/>
  <c r="Q246" i="24"/>
  <c r="Q266" i="24"/>
  <c r="Q286" i="24"/>
  <c r="Q306" i="24"/>
  <c r="Q326" i="24"/>
  <c r="Q346" i="24"/>
  <c r="Q366" i="24"/>
  <c r="Q386" i="24"/>
  <c r="V219" i="24"/>
  <c r="V229" i="24"/>
  <c r="V239" i="24"/>
  <c r="V249" i="24"/>
  <c r="V259" i="24"/>
  <c r="V269" i="24"/>
  <c r="V279" i="24"/>
  <c r="V289" i="24"/>
  <c r="V299" i="24"/>
  <c r="V309" i="24"/>
  <c r="V319" i="24"/>
  <c r="V329" i="24"/>
  <c r="V339" i="24"/>
  <c r="V349" i="24"/>
  <c r="V359" i="24"/>
  <c r="V369" i="24"/>
  <c r="V379" i="24"/>
  <c r="V389" i="24"/>
  <c r="O114" i="24"/>
  <c r="P114" i="24" s="1"/>
  <c r="V115" i="24"/>
  <c r="Q273" i="24"/>
  <c r="U323" i="24"/>
  <c r="O195" i="24"/>
  <c r="P195" i="24" s="1"/>
  <c r="U126" i="24"/>
  <c r="Q294" i="24"/>
  <c r="V323" i="24"/>
  <c r="O76" i="24"/>
  <c r="P76" i="24" s="1"/>
  <c r="V106" i="24"/>
  <c r="Q215" i="24"/>
  <c r="U314" i="24"/>
  <c r="Q125" i="24"/>
  <c r="O21" i="24"/>
  <c r="P21" i="24" s="1"/>
  <c r="U29" i="24"/>
  <c r="U149" i="24"/>
  <c r="Q240" i="24"/>
  <c r="V296" i="24"/>
  <c r="Q10" i="24"/>
  <c r="O42" i="24"/>
  <c r="P42" i="24" s="1"/>
  <c r="V39" i="24"/>
  <c r="V149" i="24"/>
  <c r="Q281" i="24"/>
  <c r="U247" i="24"/>
  <c r="U347" i="24"/>
  <c r="Q111" i="24"/>
  <c r="O203" i="24"/>
  <c r="P203" i="24" s="1"/>
  <c r="U100" i="24"/>
  <c r="U190" i="24"/>
  <c r="Q382" i="24"/>
  <c r="V337" i="24"/>
  <c r="Q132" i="24"/>
  <c r="Q176" i="24"/>
  <c r="O128" i="24"/>
  <c r="P128" i="24" s="1"/>
  <c r="V42" i="24"/>
  <c r="V72" i="24"/>
  <c r="V122" i="24"/>
  <c r="V132" i="24"/>
  <c r="V142" i="24"/>
  <c r="V152" i="24"/>
  <c r="V162" i="24"/>
  <c r="V172" i="24"/>
  <c r="V182" i="24"/>
  <c r="V192" i="24"/>
  <c r="V202" i="24"/>
  <c r="V212" i="24"/>
  <c r="Q227" i="24"/>
  <c r="Q247" i="24"/>
  <c r="Q267" i="24"/>
  <c r="Q287" i="24"/>
  <c r="Q307" i="24"/>
  <c r="Q327" i="24"/>
  <c r="Q347" i="24"/>
  <c r="Q367" i="24"/>
  <c r="Q387" i="24"/>
  <c r="U220" i="24"/>
  <c r="U230" i="24"/>
  <c r="U240" i="24"/>
  <c r="U250" i="24"/>
  <c r="U260" i="24"/>
  <c r="U270" i="24"/>
  <c r="U280" i="24"/>
  <c r="U290" i="24"/>
  <c r="U300" i="24"/>
  <c r="U310" i="24"/>
  <c r="U320" i="24"/>
  <c r="U330" i="24"/>
  <c r="U340" i="24"/>
  <c r="U350" i="24"/>
  <c r="U360" i="24"/>
  <c r="U370" i="24"/>
  <c r="U380" i="24"/>
  <c r="U390" i="24"/>
  <c r="Q102" i="24"/>
  <c r="V25" i="24"/>
  <c r="V185" i="24"/>
  <c r="U313" i="24"/>
  <c r="Q83" i="24"/>
  <c r="U26" i="24"/>
  <c r="U136" i="24"/>
  <c r="V223" i="24"/>
  <c r="V363" i="24"/>
  <c r="V16" i="24"/>
  <c r="V196" i="24"/>
  <c r="U224" i="24"/>
  <c r="U354" i="24"/>
  <c r="Q9" i="24"/>
  <c r="O81" i="24"/>
  <c r="P81" i="24" s="1"/>
  <c r="U49" i="24"/>
  <c r="U169" i="24"/>
  <c r="Q300" i="24"/>
  <c r="V256" i="24"/>
  <c r="V356" i="24"/>
  <c r="O62" i="24"/>
  <c r="P62" i="24" s="1"/>
  <c r="V69" i="24"/>
  <c r="V169" i="24"/>
  <c r="Q341" i="24"/>
  <c r="U277" i="24"/>
  <c r="U357" i="24"/>
  <c r="Q91" i="24"/>
  <c r="O163" i="24"/>
  <c r="P163" i="24" s="1"/>
  <c r="U80" i="24"/>
  <c r="U160" i="24"/>
  <c r="V277" i="24"/>
  <c r="Q112" i="24"/>
  <c r="Q96" i="24"/>
  <c r="O88" i="24"/>
  <c r="P88" i="24" s="1"/>
  <c r="V12" i="24"/>
  <c r="V102" i="24"/>
  <c r="Q137" i="24"/>
  <c r="O49" i="24"/>
  <c r="P49" i="24" s="1"/>
  <c r="O169" i="24"/>
  <c r="P169" i="24" s="1"/>
  <c r="U43" i="24"/>
  <c r="U93" i="24"/>
  <c r="U133" i="24"/>
  <c r="U143" i="24"/>
  <c r="U153" i="24"/>
  <c r="U163" i="24"/>
  <c r="U173" i="24"/>
  <c r="U193" i="24"/>
  <c r="U203" i="24"/>
  <c r="Q228" i="24"/>
  <c r="Q248" i="24"/>
  <c r="Q268" i="24"/>
  <c r="Q288" i="24"/>
  <c r="Q308" i="24"/>
  <c r="Q328" i="24"/>
  <c r="Q348" i="24"/>
  <c r="Q368" i="24"/>
  <c r="Q388" i="24"/>
  <c r="V220" i="24"/>
  <c r="V230" i="24"/>
  <c r="V240" i="24"/>
  <c r="V250" i="24"/>
  <c r="V260" i="24"/>
  <c r="V270" i="24"/>
  <c r="V280" i="24"/>
  <c r="V290" i="24"/>
  <c r="V300" i="24"/>
  <c r="V310" i="24"/>
  <c r="V320" i="24"/>
  <c r="V330" i="24"/>
  <c r="V340" i="24"/>
  <c r="V350" i="24"/>
  <c r="V360" i="24"/>
  <c r="V370" i="24"/>
  <c r="V380" i="24"/>
  <c r="V390" i="24"/>
  <c r="Q22" i="24"/>
  <c r="O154" i="24"/>
  <c r="P154" i="24" s="1"/>
  <c r="V125" i="24"/>
  <c r="Q313" i="24"/>
  <c r="U343" i="24"/>
  <c r="U16" i="24"/>
  <c r="U196" i="24"/>
  <c r="V283" i="24"/>
  <c r="Q64" i="24"/>
  <c r="V26" i="24"/>
  <c r="V156" i="24"/>
  <c r="U304" i="24"/>
  <c r="Q105" i="24"/>
  <c r="Q189" i="24"/>
  <c r="U39" i="24"/>
  <c r="U159" i="24"/>
  <c r="Q220" i="24"/>
  <c r="V286" i="24"/>
  <c r="Q30" i="24"/>
  <c r="O82" i="24"/>
  <c r="P82" i="24" s="1"/>
  <c r="V59" i="24"/>
  <c r="V159" i="24"/>
  <c r="Q301" i="24"/>
  <c r="U267" i="24"/>
  <c r="U367" i="24"/>
  <c r="Q131" i="24"/>
  <c r="O183" i="24"/>
  <c r="P183" i="24" s="1"/>
  <c r="U90" i="24"/>
  <c r="U170" i="24"/>
  <c r="Q342" i="24"/>
  <c r="V347" i="24"/>
  <c r="Q92" i="24"/>
  <c r="Q116" i="24"/>
  <c r="O108" i="24"/>
  <c r="P108" i="24" s="1"/>
  <c r="V32" i="24"/>
  <c r="V92" i="24"/>
  <c r="Q117" i="24"/>
  <c r="O9" i="24"/>
  <c r="P9" i="24" s="1"/>
  <c r="O129" i="24"/>
  <c r="P129" i="24" s="1"/>
  <c r="U33" i="24"/>
  <c r="U103" i="24"/>
  <c r="Q38" i="24"/>
  <c r="Q178" i="24"/>
  <c r="O70" i="24"/>
  <c r="P70" i="24" s="1"/>
  <c r="O170" i="24"/>
  <c r="P170" i="24" s="1"/>
  <c r="O210" i="24"/>
  <c r="P210" i="24" s="1"/>
  <c r="V13" i="24"/>
  <c r="V23" i="24"/>
  <c r="V33" i="24"/>
  <c r="V43" i="24"/>
  <c r="V53" i="24"/>
  <c r="V63" i="24"/>
  <c r="V73" i="24"/>
  <c r="V83" i="24"/>
  <c r="V93" i="24"/>
  <c r="V103" i="24"/>
  <c r="V113" i="24"/>
  <c r="V123" i="24"/>
  <c r="V133" i="24"/>
  <c r="V143" i="24"/>
  <c r="V153" i="24"/>
  <c r="V163" i="24"/>
  <c r="V173" i="24"/>
  <c r="V193" i="24"/>
  <c r="V203" i="24"/>
  <c r="Q229" i="24"/>
  <c r="Q249" i="24"/>
  <c r="Q269" i="24"/>
  <c r="Q289" i="24"/>
  <c r="Q309" i="24"/>
  <c r="Q329" i="24"/>
  <c r="Q349" i="24"/>
  <c r="Q369" i="24"/>
  <c r="U221" i="24"/>
  <c r="U231" i="24"/>
  <c r="U241" i="24"/>
  <c r="U251" i="24"/>
  <c r="U261" i="24"/>
  <c r="U271" i="24"/>
  <c r="U281" i="24"/>
  <c r="U291" i="24"/>
  <c r="U301" i="24"/>
  <c r="U311" i="24"/>
  <c r="U321" i="24"/>
  <c r="U331" i="24"/>
  <c r="U341" i="24"/>
  <c r="U351" i="24"/>
  <c r="U361" i="24"/>
  <c r="U371" i="24"/>
  <c r="U381" i="24"/>
  <c r="U391" i="24"/>
  <c r="U204" i="24"/>
  <c r="Q230" i="24"/>
  <c r="Q250" i="24"/>
  <c r="Q270" i="24"/>
  <c r="Q290" i="24"/>
  <c r="Q310" i="24"/>
  <c r="Q330" i="24"/>
  <c r="Q350" i="24"/>
  <c r="Q370" i="24"/>
  <c r="Q390" i="24"/>
  <c r="V221" i="24"/>
  <c r="V231" i="24"/>
  <c r="V241" i="24"/>
  <c r="V251" i="24"/>
  <c r="V261" i="24"/>
  <c r="V271" i="24"/>
  <c r="V281" i="24"/>
  <c r="V291" i="24"/>
  <c r="V301" i="24"/>
  <c r="V311" i="24"/>
  <c r="V321" i="24"/>
  <c r="V331" i="24"/>
  <c r="V341" i="24"/>
  <c r="V351" i="24"/>
  <c r="V361" i="24"/>
  <c r="V371" i="24"/>
  <c r="V381" i="24"/>
  <c r="V391" i="24"/>
  <c r="Q62" i="24"/>
  <c r="O54" i="24"/>
  <c r="P54" i="24" s="1"/>
  <c r="V35" i="24"/>
  <c r="V95" i="24"/>
  <c r="V205" i="24"/>
  <c r="Q333" i="24"/>
  <c r="U243" i="24"/>
  <c r="U333" i="24"/>
  <c r="Q43" i="24"/>
  <c r="Q203" i="24"/>
  <c r="U6" i="24"/>
  <c r="U96" i="24"/>
  <c r="U206" i="24"/>
  <c r="Q334" i="24"/>
  <c r="V273" i="24"/>
  <c r="V343" i="24"/>
  <c r="Q124" i="24"/>
  <c r="O176" i="24"/>
  <c r="P176" i="24" s="1"/>
  <c r="V76" i="24"/>
  <c r="V136" i="24"/>
  <c r="Q255" i="24"/>
  <c r="U214" i="24"/>
  <c r="U274" i="24"/>
  <c r="U374" i="24"/>
  <c r="Q85" i="24"/>
  <c r="Q69" i="24"/>
  <c r="O61" i="24"/>
  <c r="P61" i="24" s="1"/>
  <c r="O141" i="24"/>
  <c r="P141" i="24" s="1"/>
  <c r="U59" i="24"/>
  <c r="U109" i="24"/>
  <c r="U179" i="24"/>
  <c r="Q260" i="24"/>
  <c r="Q360" i="24"/>
  <c r="V246" i="24"/>
  <c r="V316" i="24"/>
  <c r="V366" i="24"/>
  <c r="Q90" i="24"/>
  <c r="O22" i="24"/>
  <c r="P22" i="24" s="1"/>
  <c r="O162" i="24"/>
  <c r="P162" i="24" s="1"/>
  <c r="V79" i="24"/>
  <c r="V119" i="24"/>
  <c r="V179" i="24"/>
  <c r="Q261" i="24"/>
  <c r="U217" i="24"/>
  <c r="U287" i="24"/>
  <c r="U307" i="24"/>
  <c r="U387" i="24"/>
  <c r="Q71" i="24"/>
  <c r="O23" i="24"/>
  <c r="P23" i="24" s="1"/>
  <c r="O103" i="24"/>
  <c r="P103" i="24" s="1"/>
  <c r="U40" i="24"/>
  <c r="U150" i="24"/>
  <c r="Q222" i="24"/>
  <c r="Q302" i="24"/>
  <c r="V237" i="24"/>
  <c r="V287" i="24"/>
  <c r="V357" i="24"/>
  <c r="Q72" i="24"/>
  <c r="O64" i="24"/>
  <c r="P64" i="24" s="1"/>
  <c r="Q196" i="24"/>
  <c r="O68" i="24"/>
  <c r="P68" i="24" s="1"/>
  <c r="O188" i="24"/>
  <c r="P188" i="24" s="1"/>
  <c r="V22" i="24"/>
  <c r="V62" i="24"/>
  <c r="V112" i="24"/>
  <c r="Q57" i="24"/>
  <c r="Q157" i="24"/>
  <c r="Q197" i="24"/>
  <c r="O69" i="24"/>
  <c r="P69" i="24" s="1"/>
  <c r="O189" i="24"/>
  <c r="P189" i="24" s="1"/>
  <c r="U13" i="24"/>
  <c r="U53" i="24"/>
  <c r="U73" i="24"/>
  <c r="U113" i="24"/>
  <c r="Q58" i="24"/>
  <c r="Q138" i="24"/>
  <c r="Q198" i="24"/>
  <c r="O30" i="24"/>
  <c r="P30" i="24" s="1"/>
  <c r="O90" i="24"/>
  <c r="P90" i="24" s="1"/>
  <c r="Q19" i="24"/>
  <c r="Q59" i="24"/>
  <c r="Q119" i="24"/>
  <c r="Q159" i="24"/>
  <c r="Q199" i="24"/>
  <c r="O31" i="24"/>
  <c r="P31" i="24" s="1"/>
  <c r="O71" i="24"/>
  <c r="P71" i="24" s="1"/>
  <c r="O111" i="24"/>
  <c r="P111" i="24" s="1"/>
  <c r="O151" i="24"/>
  <c r="P151" i="24" s="1"/>
  <c r="O211" i="24"/>
  <c r="P211" i="24" s="1"/>
  <c r="U24" i="24"/>
  <c r="U44" i="24"/>
  <c r="U84" i="24"/>
  <c r="U104" i="24"/>
  <c r="U124" i="24"/>
  <c r="U144" i="24"/>
  <c r="U164" i="24"/>
  <c r="U184" i="24"/>
  <c r="Q20" i="24"/>
  <c r="Q60" i="24"/>
  <c r="Q120" i="24"/>
  <c r="Q140" i="24"/>
  <c r="Q180" i="24"/>
  <c r="Q200" i="24"/>
  <c r="O12" i="24"/>
  <c r="P12" i="24" s="1"/>
  <c r="O72" i="24"/>
  <c r="P72" i="24" s="1"/>
  <c r="O92" i="24"/>
  <c r="P92" i="24" s="1"/>
  <c r="O112" i="24"/>
  <c r="P112" i="24" s="1"/>
  <c r="O132" i="24"/>
  <c r="P132" i="24" s="1"/>
  <c r="O152" i="24"/>
  <c r="P152" i="24" s="1"/>
  <c r="O172" i="24"/>
  <c r="P172" i="24" s="1"/>
  <c r="V14" i="24"/>
  <c r="V24" i="24"/>
  <c r="V34" i="24"/>
  <c r="V44" i="24"/>
  <c r="V74" i="24"/>
  <c r="V84" i="24"/>
  <c r="V94" i="24"/>
  <c r="V104" i="24"/>
  <c r="V114" i="24"/>
  <c r="V124" i="24"/>
  <c r="V134" i="24"/>
  <c r="V144" i="24"/>
  <c r="V154" i="24"/>
  <c r="V164" i="24"/>
  <c r="V174" i="24"/>
  <c r="V184" i="24"/>
  <c r="V194" i="24"/>
  <c r="V204" i="24"/>
  <c r="Q231" i="24"/>
  <c r="Q251" i="24"/>
  <c r="Q271" i="24"/>
  <c r="Q291" i="24"/>
  <c r="Q311" i="24"/>
  <c r="Q331" i="24"/>
  <c r="Q351" i="24"/>
  <c r="Q371" i="24"/>
  <c r="Q391" i="24"/>
  <c r="U222" i="24"/>
  <c r="U232" i="24"/>
  <c r="U242" i="24"/>
  <c r="U252" i="24"/>
  <c r="U262" i="24"/>
  <c r="U272" i="24"/>
  <c r="U282" i="24"/>
  <c r="U292" i="24"/>
  <c r="U302" i="24"/>
  <c r="U312" i="24"/>
  <c r="U322" i="24"/>
  <c r="U332" i="24"/>
  <c r="U342" i="24"/>
  <c r="U352" i="24"/>
  <c r="U362" i="24"/>
  <c r="U372" i="24"/>
  <c r="U382" i="24"/>
  <c r="U392" i="24"/>
  <c r="Q162" i="24"/>
  <c r="O194" i="24"/>
  <c r="P194" i="24" s="1"/>
  <c r="V65" i="24"/>
  <c r="V145" i="24"/>
  <c r="Q233" i="24"/>
  <c r="Q373" i="24"/>
  <c r="U283" i="24"/>
  <c r="U373" i="24"/>
  <c r="Q163" i="24"/>
  <c r="O115" i="24"/>
  <c r="P115" i="24" s="1"/>
  <c r="U76" i="24"/>
  <c r="U146" i="24"/>
  <c r="Q214" i="24"/>
  <c r="Q374" i="24"/>
  <c r="V263" i="24"/>
  <c r="V333" i="24"/>
  <c r="Q104" i="24"/>
  <c r="O96" i="24"/>
  <c r="P96" i="24" s="1"/>
  <c r="V66" i="24"/>
  <c r="V146" i="24"/>
  <c r="Q235" i="24"/>
  <c r="Q375" i="24"/>
  <c r="U264" i="24"/>
  <c r="U364" i="24"/>
  <c r="Q65" i="24"/>
  <c r="Q49" i="24"/>
  <c r="Q209" i="24"/>
  <c r="O161" i="24"/>
  <c r="P161" i="24" s="1"/>
  <c r="U79" i="24"/>
  <c r="U119" i="24"/>
  <c r="U189" i="24"/>
  <c r="Q280" i="24"/>
  <c r="Q380" i="24"/>
  <c r="V266" i="24"/>
  <c r="V306" i="24"/>
  <c r="V346" i="24"/>
  <c r="Q70" i="24"/>
  <c r="Q210" i="24"/>
  <c r="O142" i="24"/>
  <c r="P142" i="24" s="1"/>
  <c r="V49" i="24"/>
  <c r="V109" i="24"/>
  <c r="V189" i="24"/>
  <c r="Q221" i="24"/>
  <c r="Q381" i="24"/>
  <c r="U257" i="24"/>
  <c r="U337" i="24"/>
  <c r="Q51" i="24"/>
  <c r="Q211" i="24"/>
  <c r="O63" i="24"/>
  <c r="P63" i="24" s="1"/>
  <c r="U20" i="24"/>
  <c r="U60" i="24"/>
  <c r="U120" i="24"/>
  <c r="U180" i="24"/>
  <c r="Q262" i="24"/>
  <c r="Q362" i="24"/>
  <c r="V247" i="24"/>
  <c r="V307" i="24"/>
  <c r="V387" i="24"/>
  <c r="Q172" i="24"/>
  <c r="Q76" i="24"/>
  <c r="O8" i="24"/>
  <c r="P8" i="24" s="1"/>
  <c r="O48" i="24"/>
  <c r="P48" i="24" s="1"/>
  <c r="O168" i="24"/>
  <c r="P168" i="24" s="1"/>
  <c r="O208" i="24"/>
  <c r="P208" i="24" s="1"/>
  <c r="V52" i="24"/>
  <c r="V82" i="24"/>
  <c r="Q37" i="24"/>
  <c r="Q77" i="24"/>
  <c r="Q177" i="24"/>
  <c r="O29" i="24"/>
  <c r="P29" i="24" s="1"/>
  <c r="O89" i="24"/>
  <c r="P89" i="24" s="1"/>
  <c r="O209" i="24"/>
  <c r="P209" i="24" s="1"/>
  <c r="U23" i="24"/>
  <c r="U63" i="24"/>
  <c r="U83" i="24"/>
  <c r="U123" i="24"/>
  <c r="Q118" i="24"/>
  <c r="Q158" i="24"/>
  <c r="O10" i="24"/>
  <c r="P10" i="24" s="1"/>
  <c r="O50" i="24"/>
  <c r="P50" i="24" s="1"/>
  <c r="O150" i="24"/>
  <c r="P150" i="24" s="1"/>
  <c r="Q39" i="24"/>
  <c r="Q99" i="24"/>
  <c r="Q139" i="24"/>
  <c r="Q179" i="24"/>
  <c r="O11" i="24"/>
  <c r="P11" i="24" s="1"/>
  <c r="O51" i="24"/>
  <c r="P51" i="24" s="1"/>
  <c r="O91" i="24"/>
  <c r="P91" i="24" s="1"/>
  <c r="O131" i="24"/>
  <c r="P131" i="24" s="1"/>
  <c r="O171" i="24"/>
  <c r="P171" i="24" s="1"/>
  <c r="U14" i="24"/>
  <c r="U34" i="24"/>
  <c r="U74" i="24"/>
  <c r="U94" i="24"/>
  <c r="U114" i="24"/>
  <c r="U134" i="24"/>
  <c r="U154" i="24"/>
  <c r="U174" i="24"/>
  <c r="U194" i="24"/>
  <c r="Q40" i="24"/>
  <c r="Q100" i="24"/>
  <c r="Q160" i="24"/>
  <c r="Q21" i="24"/>
  <c r="Q61" i="24"/>
  <c r="Q81" i="24"/>
  <c r="Q101" i="24"/>
  <c r="Q121" i="24"/>
  <c r="Q141" i="24"/>
  <c r="Q161" i="24"/>
  <c r="O13" i="24"/>
  <c r="P13" i="24" s="1"/>
  <c r="O33" i="24"/>
  <c r="O93" i="24"/>
  <c r="P93" i="24" s="1"/>
  <c r="O113" i="24"/>
  <c r="P113" i="24" s="1"/>
  <c r="O133" i="24"/>
  <c r="P133" i="24" s="1"/>
  <c r="O153" i="24"/>
  <c r="P153" i="24" s="1"/>
  <c r="U5" i="24"/>
  <c r="U15" i="24"/>
  <c r="U25" i="24"/>
  <c r="U35" i="24"/>
  <c r="U45" i="24"/>
  <c r="U55" i="24"/>
  <c r="U65" i="24"/>
  <c r="U75" i="24"/>
  <c r="U85" i="24"/>
  <c r="U95" i="24"/>
  <c r="U105" i="24"/>
  <c r="U115" i="24"/>
  <c r="U125" i="24"/>
  <c r="U135" i="24"/>
  <c r="U145" i="24"/>
  <c r="U155" i="24"/>
  <c r="U165" i="24"/>
  <c r="U185" i="24"/>
  <c r="U195" i="24"/>
  <c r="U205" i="24"/>
  <c r="Q232" i="24"/>
  <c r="Q252" i="24"/>
  <c r="Q272" i="24"/>
  <c r="Q292" i="24"/>
  <c r="Q312" i="24"/>
  <c r="Q332" i="24"/>
  <c r="Q352" i="24"/>
  <c r="Q372" i="24"/>
  <c r="Q392" i="24"/>
  <c r="V222" i="24"/>
  <c r="V232" i="24"/>
  <c r="V242" i="24"/>
  <c r="V252" i="24"/>
  <c r="V262" i="24"/>
  <c r="V272" i="24"/>
  <c r="V282" i="24"/>
  <c r="V292" i="24"/>
  <c r="V302" i="24"/>
  <c r="V312" i="24"/>
  <c r="V322" i="24"/>
  <c r="V332" i="24"/>
  <c r="V342" i="24"/>
  <c r="V352" i="24"/>
  <c r="V362" i="24"/>
  <c r="V372" i="24"/>
  <c r="V382" i="24"/>
  <c r="V392" i="24"/>
  <c r="W101" i="24" l="1"/>
  <c r="W307" i="24"/>
  <c r="X307" i="24" s="1"/>
  <c r="W159" i="24"/>
  <c r="X159" i="24" s="1"/>
  <c r="W242" i="24"/>
  <c r="X242" i="24" s="1"/>
  <c r="W179" i="24"/>
  <c r="X179" i="24" s="1"/>
  <c r="W153" i="24"/>
  <c r="X153" i="24" s="1"/>
  <c r="W234" i="24"/>
  <c r="X234" i="24" s="1"/>
  <c r="W342" i="24"/>
  <c r="X342" i="24" s="1"/>
  <c r="W24" i="24"/>
  <c r="X24" i="24" s="1"/>
  <c r="W156" i="24"/>
  <c r="X156" i="24" s="1"/>
  <c r="W317" i="24"/>
  <c r="X317" i="24" s="1"/>
  <c r="R204" i="24"/>
  <c r="S204" i="24" s="1"/>
  <c r="W38" i="24"/>
  <c r="X38" i="24" s="1"/>
  <c r="W137" i="24"/>
  <c r="X137" i="24" s="1"/>
  <c r="W314" i="24"/>
  <c r="X314" i="24" s="1"/>
  <c r="W69" i="24"/>
  <c r="X69" i="24" s="1"/>
  <c r="R37" i="24"/>
  <c r="S37" i="24" s="1"/>
  <c r="W347" i="24"/>
  <c r="X347" i="24" s="1"/>
  <c r="W379" i="24"/>
  <c r="X379" i="24" s="1"/>
  <c r="W138" i="24"/>
  <c r="X138" i="24" s="1"/>
  <c r="R118" i="24"/>
  <c r="S118" i="24" s="1"/>
  <c r="R119" i="24"/>
  <c r="S119" i="24" s="1"/>
  <c r="R22" i="24"/>
  <c r="S22" i="24" s="1"/>
  <c r="W279" i="24"/>
  <c r="X279" i="24" s="1"/>
  <c r="W210" i="24"/>
  <c r="X210" i="24" s="1"/>
  <c r="W29" i="24"/>
  <c r="X29" i="24" s="1"/>
  <c r="W59" i="24"/>
  <c r="X59" i="24" s="1"/>
  <c r="W213" i="24"/>
  <c r="X213" i="24" s="1"/>
  <c r="W392" i="24"/>
  <c r="X392" i="24" s="1"/>
  <c r="W292" i="24"/>
  <c r="X292" i="24" s="1"/>
  <c r="W359" i="24"/>
  <c r="X359" i="24" s="1"/>
  <c r="W259" i="24"/>
  <c r="X259" i="24" s="1"/>
  <c r="R160" i="24"/>
  <c r="S160" i="24" s="1"/>
  <c r="W119" i="24"/>
  <c r="X119" i="24" s="1"/>
  <c r="W76" i="24"/>
  <c r="X76" i="24" s="1"/>
  <c r="W212" i="24"/>
  <c r="X212" i="24" s="1"/>
  <c r="W349" i="24"/>
  <c r="X349" i="24" s="1"/>
  <c r="W249" i="24"/>
  <c r="X249" i="24" s="1"/>
  <c r="W160" i="24"/>
  <c r="X160" i="24" s="1"/>
  <c r="W71" i="24"/>
  <c r="X71" i="24" s="1"/>
  <c r="W108" i="24"/>
  <c r="X108" i="24" s="1"/>
  <c r="W99" i="24"/>
  <c r="X99" i="24" s="1"/>
  <c r="W189" i="24"/>
  <c r="X189" i="24" s="1"/>
  <c r="W386" i="24"/>
  <c r="X386" i="24" s="1"/>
  <c r="W198" i="24"/>
  <c r="X198" i="24" s="1"/>
  <c r="W57" i="24"/>
  <c r="X57" i="24" s="1"/>
  <c r="W299" i="24"/>
  <c r="X299" i="24" s="1"/>
  <c r="W139" i="24"/>
  <c r="X139" i="24" s="1"/>
  <c r="R170" i="24"/>
  <c r="S170" i="24" s="1"/>
  <c r="W339" i="24"/>
  <c r="X339" i="24" s="1"/>
  <c r="W239" i="24"/>
  <c r="X239" i="24" s="1"/>
  <c r="W89" i="24"/>
  <c r="X89" i="24" s="1"/>
  <c r="W112" i="24"/>
  <c r="X112" i="24" s="1"/>
  <c r="R19" i="24"/>
  <c r="S19" i="24" s="1"/>
  <c r="W301" i="24"/>
  <c r="X301" i="24" s="1"/>
  <c r="W117" i="24"/>
  <c r="X117" i="24" s="1"/>
  <c r="W355" i="24"/>
  <c r="X355" i="24" s="1"/>
  <c r="W288" i="24"/>
  <c r="X288" i="24" s="1"/>
  <c r="W118" i="24"/>
  <c r="X118" i="24" s="1"/>
  <c r="W375" i="24"/>
  <c r="X375" i="24" s="1"/>
  <c r="W311" i="24"/>
  <c r="X311" i="24" s="1"/>
  <c r="W328" i="24"/>
  <c r="X328" i="24" s="1"/>
  <c r="W365" i="24"/>
  <c r="X365" i="24" s="1"/>
  <c r="W82" i="24"/>
  <c r="X82" i="24" s="1"/>
  <c r="R167" i="24"/>
  <c r="S167" i="24" s="1"/>
  <c r="W136" i="24"/>
  <c r="X136" i="24" s="1"/>
  <c r="W383" i="24"/>
  <c r="X383" i="24" s="1"/>
  <c r="R157" i="24"/>
  <c r="S157" i="24" s="1"/>
  <c r="R124" i="24"/>
  <c r="S124" i="24" s="1"/>
  <c r="W196" i="24"/>
  <c r="X196" i="24" s="1"/>
  <c r="W186" i="24"/>
  <c r="X186" i="24" s="1"/>
  <c r="R198" i="24"/>
  <c r="S198" i="24" s="1"/>
  <c r="W86" i="24"/>
  <c r="X86" i="24" s="1"/>
  <c r="W237" i="24"/>
  <c r="X237" i="24" s="1"/>
  <c r="W316" i="24"/>
  <c r="X316" i="24" s="1"/>
  <c r="W266" i="24"/>
  <c r="X266" i="24" s="1"/>
  <c r="W23" i="24"/>
  <c r="X23" i="24" s="1"/>
  <c r="R161" i="24"/>
  <c r="S161" i="24" s="1"/>
  <c r="R177" i="24"/>
  <c r="S177" i="24" s="1"/>
  <c r="R172" i="24"/>
  <c r="S172" i="24" s="1"/>
  <c r="W66" i="24"/>
  <c r="X66" i="24" s="1"/>
  <c r="R163" i="24"/>
  <c r="S163" i="24" s="1"/>
  <c r="W164" i="24"/>
  <c r="X164" i="24" s="1"/>
  <c r="W44" i="24"/>
  <c r="X44" i="24" s="1"/>
  <c r="R199" i="24"/>
  <c r="S199" i="24" s="1"/>
  <c r="W62" i="24"/>
  <c r="X62" i="24" s="1"/>
  <c r="W246" i="24"/>
  <c r="X246" i="24" s="1"/>
  <c r="W95" i="24"/>
  <c r="X95" i="24" s="1"/>
  <c r="W331" i="24"/>
  <c r="X331" i="24" s="1"/>
  <c r="W231" i="24"/>
  <c r="X231" i="24" s="1"/>
  <c r="W173" i="24"/>
  <c r="X173" i="24" s="1"/>
  <c r="W73" i="24"/>
  <c r="X73" i="24" s="1"/>
  <c r="R178" i="24"/>
  <c r="S178" i="24" s="1"/>
  <c r="R116" i="24"/>
  <c r="S116" i="24" s="1"/>
  <c r="R105" i="24"/>
  <c r="S105" i="24" s="1"/>
  <c r="W125" i="24"/>
  <c r="X125" i="24" s="1"/>
  <c r="W320" i="24"/>
  <c r="X320" i="24" s="1"/>
  <c r="W220" i="24"/>
  <c r="X220" i="24" s="1"/>
  <c r="W223" i="24"/>
  <c r="X223" i="24" s="1"/>
  <c r="W162" i="24"/>
  <c r="X162" i="24" s="1"/>
  <c r="W337" i="24"/>
  <c r="X337" i="24" s="1"/>
  <c r="W39" i="24"/>
  <c r="X39" i="24" s="1"/>
  <c r="R175" i="24"/>
  <c r="S175" i="24" s="1"/>
  <c r="R94" i="24"/>
  <c r="S94" i="24" s="1"/>
  <c r="W248" i="24"/>
  <c r="X248" i="24" s="1"/>
  <c r="W70" i="24"/>
  <c r="X70" i="24" s="1"/>
  <c r="W327" i="24"/>
  <c r="X327" i="24" s="1"/>
  <c r="W226" i="24"/>
  <c r="X226" i="24" s="1"/>
  <c r="R89" i="24"/>
  <c r="S89" i="24" s="1"/>
  <c r="W55" i="24"/>
  <c r="X55" i="24" s="1"/>
  <c r="W121" i="24"/>
  <c r="X121" i="24" s="1"/>
  <c r="W21" i="24"/>
  <c r="X21" i="24" s="1"/>
  <c r="W378" i="24"/>
  <c r="X378" i="24" s="1"/>
  <c r="W180" i="24"/>
  <c r="X180" i="24" s="1"/>
  <c r="R152" i="24"/>
  <c r="S152" i="24" s="1"/>
  <c r="W96" i="24"/>
  <c r="X96" i="24" s="1"/>
  <c r="R103" i="24"/>
  <c r="S103" i="24" s="1"/>
  <c r="W168" i="24"/>
  <c r="X168" i="24" s="1"/>
  <c r="W58" i="24"/>
  <c r="X58" i="24" s="1"/>
  <c r="R88" i="24"/>
  <c r="S88" i="24" s="1"/>
  <c r="W177" i="24"/>
  <c r="X177" i="24" s="1"/>
  <c r="W7" i="24"/>
  <c r="X7" i="24" s="1"/>
  <c r="R46" i="24"/>
  <c r="S46" i="24" s="1"/>
  <c r="W264" i="24"/>
  <c r="X264" i="24" s="1"/>
  <c r="Q579" i="24"/>
  <c r="R5" i="24"/>
  <c r="S5" i="24" s="1"/>
  <c r="W373" i="24"/>
  <c r="X373" i="24" s="1"/>
  <c r="W385" i="24"/>
  <c r="X385" i="24" s="1"/>
  <c r="W285" i="24"/>
  <c r="X285" i="24" s="1"/>
  <c r="R7" i="24"/>
  <c r="S7" i="24" s="1"/>
  <c r="W167" i="24"/>
  <c r="X167" i="24" s="1"/>
  <c r="W374" i="24"/>
  <c r="X374" i="24" s="1"/>
  <c r="W352" i="24"/>
  <c r="X352" i="24" s="1"/>
  <c r="W252" i="24"/>
  <c r="X252" i="24" s="1"/>
  <c r="R141" i="24"/>
  <c r="S141" i="24" s="1"/>
  <c r="R158" i="24"/>
  <c r="S158" i="24" s="1"/>
  <c r="R77" i="24"/>
  <c r="S77" i="24" s="1"/>
  <c r="W387" i="24"/>
  <c r="X387" i="24" s="1"/>
  <c r="R211" i="24"/>
  <c r="S211" i="24" s="1"/>
  <c r="R210" i="24"/>
  <c r="S210" i="24" s="1"/>
  <c r="W154" i="24"/>
  <c r="X154" i="24" s="1"/>
  <c r="W34" i="24"/>
  <c r="X34" i="24" s="1"/>
  <c r="R200" i="24"/>
  <c r="S200" i="24" s="1"/>
  <c r="R159" i="24"/>
  <c r="S159" i="24" s="1"/>
  <c r="W22" i="24"/>
  <c r="X22" i="24" s="1"/>
  <c r="W35" i="24"/>
  <c r="X35" i="24" s="1"/>
  <c r="W321" i="24"/>
  <c r="X321" i="24" s="1"/>
  <c r="W221" i="24"/>
  <c r="X221" i="24" s="1"/>
  <c r="W163" i="24"/>
  <c r="X163" i="24" s="1"/>
  <c r="W63" i="24"/>
  <c r="X63" i="24" s="1"/>
  <c r="R38" i="24"/>
  <c r="S38" i="24" s="1"/>
  <c r="R92" i="24"/>
  <c r="S92" i="24" s="1"/>
  <c r="W310" i="24"/>
  <c r="X310" i="24" s="1"/>
  <c r="R137" i="24"/>
  <c r="S137" i="24" s="1"/>
  <c r="R91" i="24"/>
  <c r="S91" i="24" s="1"/>
  <c r="W152" i="24"/>
  <c r="X152" i="24" s="1"/>
  <c r="W106" i="24"/>
  <c r="X106" i="24" s="1"/>
  <c r="W389" i="24"/>
  <c r="X389" i="24" s="1"/>
  <c r="W289" i="24"/>
  <c r="X289" i="24" s="1"/>
  <c r="R115" i="24"/>
  <c r="S115" i="24" s="1"/>
  <c r="R14" i="24"/>
  <c r="S14" i="24" s="1"/>
  <c r="W228" i="24"/>
  <c r="X228" i="24" s="1"/>
  <c r="W50" i="24"/>
  <c r="X50" i="24" s="1"/>
  <c r="W297" i="24"/>
  <c r="X297" i="24" s="1"/>
  <c r="W216" i="24"/>
  <c r="X216" i="24" s="1"/>
  <c r="R185" i="24"/>
  <c r="S185" i="24" s="1"/>
  <c r="R84" i="24"/>
  <c r="S84" i="24" s="1"/>
  <c r="R183" i="24"/>
  <c r="S183" i="24" s="1"/>
  <c r="W5" i="24"/>
  <c r="X5" i="24" s="1"/>
  <c r="V579" i="24"/>
  <c r="W211" i="24"/>
  <c r="X211" i="24" s="1"/>
  <c r="W111" i="24"/>
  <c r="X111" i="24" s="1"/>
  <c r="W11" i="24"/>
  <c r="X11" i="24" s="1"/>
  <c r="W358" i="24"/>
  <c r="X358" i="24" s="1"/>
  <c r="W150" i="24"/>
  <c r="X150" i="24" s="1"/>
  <c r="W377" i="24"/>
  <c r="X377" i="24" s="1"/>
  <c r="R171" i="24"/>
  <c r="S171" i="24" s="1"/>
  <c r="W19" i="24"/>
  <c r="X19" i="24" s="1"/>
  <c r="W36" i="24"/>
  <c r="X36" i="24" s="1"/>
  <c r="W148" i="24"/>
  <c r="X148" i="24" s="1"/>
  <c r="W48" i="24"/>
  <c r="X48" i="24" s="1"/>
  <c r="R68" i="24"/>
  <c r="S68" i="24" s="1"/>
  <c r="W147" i="24"/>
  <c r="X147" i="24" s="1"/>
  <c r="R6" i="24"/>
  <c r="S6" i="24" s="1"/>
  <c r="W254" i="24"/>
  <c r="X254" i="24" s="1"/>
  <c r="W293" i="24"/>
  <c r="X293" i="24" s="1"/>
  <c r="W275" i="24"/>
  <c r="X275" i="24" s="1"/>
  <c r="W127" i="24"/>
  <c r="X127" i="24" s="1"/>
  <c r="W344" i="24"/>
  <c r="X344" i="24" s="1"/>
  <c r="W353" i="24"/>
  <c r="X353" i="24" s="1"/>
  <c r="W312" i="24"/>
  <c r="X312" i="24" s="1"/>
  <c r="R61" i="24"/>
  <c r="S61" i="24" s="1"/>
  <c r="R139" i="24"/>
  <c r="S139" i="24" s="1"/>
  <c r="W145" i="24"/>
  <c r="X145" i="24" s="1"/>
  <c r="W114" i="24"/>
  <c r="X114" i="24" s="1"/>
  <c r="R60" i="24"/>
  <c r="S60" i="24" s="1"/>
  <c r="R43" i="24"/>
  <c r="S43" i="24" s="1"/>
  <c r="W381" i="24"/>
  <c r="X381" i="24" s="1"/>
  <c r="W281" i="24"/>
  <c r="X281" i="24" s="1"/>
  <c r="W123" i="24"/>
  <c r="X123" i="24" s="1"/>
  <c r="W286" i="24"/>
  <c r="X286" i="24" s="1"/>
  <c r="W283" i="24"/>
  <c r="X283" i="24" s="1"/>
  <c r="W370" i="24"/>
  <c r="X370" i="24" s="1"/>
  <c r="W270" i="24"/>
  <c r="X270" i="24" s="1"/>
  <c r="R96" i="24"/>
  <c r="S96" i="24" s="1"/>
  <c r="W169" i="24"/>
  <c r="X169" i="24" s="1"/>
  <c r="W185" i="24"/>
  <c r="X185" i="24" s="1"/>
  <c r="W72" i="24"/>
  <c r="X72" i="24" s="1"/>
  <c r="R111" i="24"/>
  <c r="S111" i="24" s="1"/>
  <c r="W338" i="24"/>
  <c r="X338" i="24" s="1"/>
  <c r="R93" i="24"/>
  <c r="S93" i="24" s="1"/>
  <c r="W171" i="24"/>
  <c r="X171" i="24" s="1"/>
  <c r="W268" i="24"/>
  <c r="X268" i="24" s="1"/>
  <c r="R113" i="24"/>
  <c r="S113" i="24" s="1"/>
  <c r="W60" i="24"/>
  <c r="X60" i="24" s="1"/>
  <c r="W326" i="24"/>
  <c r="X326" i="24" s="1"/>
  <c r="R25" i="24"/>
  <c r="S25" i="24" s="1"/>
  <c r="W233" i="24"/>
  <c r="X233" i="24" s="1"/>
  <c r="W155" i="24"/>
  <c r="X155" i="24" s="1"/>
  <c r="W8" i="24"/>
  <c r="X8" i="24" s="1"/>
  <c r="R208" i="24"/>
  <c r="S208" i="24" s="1"/>
  <c r="W225" i="24"/>
  <c r="X225" i="24" s="1"/>
  <c r="R127" i="24"/>
  <c r="S127" i="24" s="1"/>
  <c r="W77" i="24"/>
  <c r="X77" i="24" s="1"/>
  <c r="W334" i="24"/>
  <c r="X334" i="24" s="1"/>
  <c r="W166" i="24"/>
  <c r="X166" i="24" s="1"/>
  <c r="W135" i="24"/>
  <c r="X135" i="24" s="1"/>
  <c r="W335" i="24"/>
  <c r="X335" i="24" s="1"/>
  <c r="W215" i="24"/>
  <c r="X215" i="24" s="1"/>
  <c r="W214" i="24"/>
  <c r="X214" i="24" s="1"/>
  <c r="R23" i="24"/>
  <c r="S23" i="24" s="1"/>
  <c r="R209" i="24"/>
  <c r="S209" i="24" s="1"/>
  <c r="W53" i="24"/>
  <c r="X53" i="24" s="1"/>
  <c r="W300" i="24"/>
  <c r="X300" i="24" s="1"/>
  <c r="R95" i="24"/>
  <c r="S95" i="24" s="1"/>
  <c r="R31" i="24"/>
  <c r="S31" i="24" s="1"/>
  <c r="W290" i="24"/>
  <c r="X290" i="24" s="1"/>
  <c r="R83" i="24"/>
  <c r="S83" i="24" s="1"/>
  <c r="W296" i="24"/>
  <c r="X296" i="24" s="1"/>
  <c r="P5" i="24"/>
  <c r="W9" i="24"/>
  <c r="X9" i="24" s="1"/>
  <c r="R150" i="24"/>
  <c r="S150" i="24" s="1"/>
  <c r="W128" i="24"/>
  <c r="X128" i="24" s="1"/>
  <c r="W224" i="24"/>
  <c r="X224" i="24" s="1"/>
  <c r="W52" i="24"/>
  <c r="X52" i="24" s="1"/>
  <c r="W263" i="24"/>
  <c r="X263" i="24" s="1"/>
  <c r="W280" i="24"/>
  <c r="X280" i="24" s="1"/>
  <c r="W376" i="24"/>
  <c r="X376" i="24" s="1"/>
  <c r="W97" i="24"/>
  <c r="X97" i="24" s="1"/>
  <c r="R21" i="24"/>
  <c r="S21" i="24" s="1"/>
  <c r="R99" i="24"/>
  <c r="S99" i="24" s="1"/>
  <c r="W65" i="24"/>
  <c r="X65" i="24" s="1"/>
  <c r="W104" i="24"/>
  <c r="X104" i="24" s="1"/>
  <c r="R20" i="24"/>
  <c r="S20" i="24" s="1"/>
  <c r="R197" i="24"/>
  <c r="S197" i="24" s="1"/>
  <c r="R72" i="24"/>
  <c r="S72" i="24" s="1"/>
  <c r="R71" i="24"/>
  <c r="S71" i="24" s="1"/>
  <c r="W371" i="24"/>
  <c r="X371" i="24" s="1"/>
  <c r="W271" i="24"/>
  <c r="X271" i="24" s="1"/>
  <c r="W113" i="24"/>
  <c r="X113" i="24" s="1"/>
  <c r="W13" i="24"/>
  <c r="X13" i="24" s="1"/>
  <c r="R117" i="24"/>
  <c r="S117" i="24" s="1"/>
  <c r="W360" i="24"/>
  <c r="X360" i="24" s="1"/>
  <c r="W260" i="24"/>
  <c r="X260" i="24" s="1"/>
  <c r="R112" i="24"/>
  <c r="S112" i="24" s="1"/>
  <c r="W25" i="24"/>
  <c r="X25" i="24" s="1"/>
  <c r="W202" i="24"/>
  <c r="X202" i="24" s="1"/>
  <c r="W42" i="24"/>
  <c r="X42" i="24" s="1"/>
  <c r="R13" i="24"/>
  <c r="S13" i="24" s="1"/>
  <c r="W140" i="24"/>
  <c r="X140" i="24" s="1"/>
  <c r="R50" i="24"/>
  <c r="S50" i="24" s="1"/>
  <c r="W161" i="24"/>
  <c r="X161" i="24" s="1"/>
  <c r="W61" i="24"/>
  <c r="X61" i="24" s="1"/>
  <c r="W238" i="24"/>
  <c r="X238" i="24" s="1"/>
  <c r="R33" i="24"/>
  <c r="S33" i="24" s="1"/>
  <c r="W40" i="24"/>
  <c r="X40" i="24" s="1"/>
  <c r="W236" i="24"/>
  <c r="X236" i="24" s="1"/>
  <c r="W75" i="24"/>
  <c r="X75" i="24" s="1"/>
  <c r="W208" i="24"/>
  <c r="X208" i="24" s="1"/>
  <c r="W98" i="24"/>
  <c r="X98" i="24" s="1"/>
  <c r="R188" i="24"/>
  <c r="S188" i="24" s="1"/>
  <c r="R87" i="24"/>
  <c r="S87" i="24" s="1"/>
  <c r="W67" i="24"/>
  <c r="X67" i="24" s="1"/>
  <c r="R186" i="24"/>
  <c r="S186" i="24" s="1"/>
  <c r="W324" i="24"/>
  <c r="X324" i="24" s="1"/>
  <c r="W116" i="24"/>
  <c r="X116" i="24" s="1"/>
  <c r="W85" i="24"/>
  <c r="X85" i="24" s="1"/>
  <c r="W325" i="24"/>
  <c r="X325" i="24" s="1"/>
  <c r="W247" i="24"/>
  <c r="X247" i="24" s="1"/>
  <c r="W255" i="24"/>
  <c r="X255" i="24" s="1"/>
  <c r="W345" i="24"/>
  <c r="X345" i="24" s="1"/>
  <c r="W204" i="24"/>
  <c r="X204" i="24" s="1"/>
  <c r="W318" i="24"/>
  <c r="X318" i="24" s="1"/>
  <c r="W265" i="24"/>
  <c r="X265" i="24" s="1"/>
  <c r="R49" i="24"/>
  <c r="S49" i="24" s="1"/>
  <c r="W235" i="24"/>
  <c r="X235" i="24" s="1"/>
  <c r="W361" i="24"/>
  <c r="X361" i="24" s="1"/>
  <c r="W92" i="24"/>
  <c r="X92" i="24" s="1"/>
  <c r="R102" i="24"/>
  <c r="S102" i="24" s="1"/>
  <c r="W120" i="24"/>
  <c r="X120" i="24" s="1"/>
  <c r="W151" i="24"/>
  <c r="X151" i="24" s="1"/>
  <c r="W51" i="24"/>
  <c r="X51" i="24" s="1"/>
  <c r="R194" i="24"/>
  <c r="S194" i="24" s="1"/>
  <c r="W218" i="24"/>
  <c r="X218" i="24" s="1"/>
  <c r="W10" i="24"/>
  <c r="X10" i="24" s="1"/>
  <c r="W88" i="24"/>
  <c r="X88" i="24" s="1"/>
  <c r="R168" i="24"/>
  <c r="S168" i="24" s="1"/>
  <c r="R67" i="24"/>
  <c r="S67" i="24" s="1"/>
  <c r="R166" i="24"/>
  <c r="S166" i="24" s="1"/>
  <c r="W304" i="24"/>
  <c r="X304" i="24" s="1"/>
  <c r="W56" i="24"/>
  <c r="X56" i="24" s="1"/>
  <c r="W45" i="24"/>
  <c r="X45" i="24" s="1"/>
  <c r="W315" i="24"/>
  <c r="X315" i="24" s="1"/>
  <c r="R206" i="24"/>
  <c r="S206" i="24" s="1"/>
  <c r="W165" i="24"/>
  <c r="X165" i="24" s="1"/>
  <c r="R51" i="24"/>
  <c r="S51" i="24" s="1"/>
  <c r="W267" i="24"/>
  <c r="X267" i="24" s="1"/>
  <c r="W384" i="24"/>
  <c r="X384" i="24" s="1"/>
  <c r="W332" i="24"/>
  <c r="X332" i="24" s="1"/>
  <c r="R140" i="24"/>
  <c r="S140" i="24" s="1"/>
  <c r="W323" i="24"/>
  <c r="X323" i="24" s="1"/>
  <c r="W308" i="24"/>
  <c r="X308" i="24" s="1"/>
  <c r="W257" i="24"/>
  <c r="X257" i="24" s="1"/>
  <c r="R8" i="24"/>
  <c r="S8" i="24" s="1"/>
  <c r="R81" i="24"/>
  <c r="S81" i="24" s="1"/>
  <c r="W79" i="24"/>
  <c r="X79" i="24" s="1"/>
  <c r="W348" i="24"/>
  <c r="X348" i="24" s="1"/>
  <c r="R153" i="24"/>
  <c r="S153" i="24" s="1"/>
  <c r="W313" i="24"/>
  <c r="X313" i="24" s="1"/>
  <c r="W18" i="24"/>
  <c r="X18" i="24" s="1"/>
  <c r="R147" i="24"/>
  <c r="S147" i="24" s="1"/>
  <c r="W357" i="24"/>
  <c r="X357" i="24" s="1"/>
  <c r="W261" i="24"/>
  <c r="X261" i="24" s="1"/>
  <c r="R131" i="24"/>
  <c r="S131" i="24" s="1"/>
  <c r="W350" i="24"/>
  <c r="X350" i="24" s="1"/>
  <c r="W250" i="24"/>
  <c r="X250" i="24" s="1"/>
  <c r="W277" i="24"/>
  <c r="X277" i="24" s="1"/>
  <c r="W192" i="24"/>
  <c r="X192" i="24" s="1"/>
  <c r="W329" i="24"/>
  <c r="X329" i="24" s="1"/>
  <c r="W229" i="24"/>
  <c r="X229" i="24" s="1"/>
  <c r="W298" i="24"/>
  <c r="X298" i="24" s="1"/>
  <c r="R70" i="24"/>
  <c r="S70" i="24" s="1"/>
  <c r="R180" i="24"/>
  <c r="S180" i="24" s="1"/>
  <c r="R63" i="24"/>
  <c r="S63" i="24" s="1"/>
  <c r="W130" i="24"/>
  <c r="X130" i="24" s="1"/>
  <c r="R207" i="24"/>
  <c r="S207" i="24" s="1"/>
  <c r="W243" i="24"/>
  <c r="X243" i="24" s="1"/>
  <c r="R101" i="24"/>
  <c r="S101" i="24" s="1"/>
  <c r="W346" i="24"/>
  <c r="X346" i="24" s="1"/>
  <c r="W134" i="24"/>
  <c r="X134" i="24" s="1"/>
  <c r="R62" i="24"/>
  <c r="S62" i="24" s="1"/>
  <c r="W43" i="24"/>
  <c r="X43" i="24" s="1"/>
  <c r="W227" i="24"/>
  <c r="X227" i="24" s="1"/>
  <c r="W303" i="24"/>
  <c r="X303" i="24" s="1"/>
  <c r="W91" i="24"/>
  <c r="X91" i="24" s="1"/>
  <c r="W110" i="24"/>
  <c r="X110" i="24" s="1"/>
  <c r="R65" i="24"/>
  <c r="S65" i="24" s="1"/>
  <c r="R203" i="24"/>
  <c r="S203" i="24" s="1"/>
  <c r="R64" i="24"/>
  <c r="S64" i="24" s="1"/>
  <c r="W122" i="24"/>
  <c r="X122" i="24" s="1"/>
  <c r="R11" i="24"/>
  <c r="S11" i="24" s="1"/>
  <c r="R29" i="24"/>
  <c r="S29" i="24" s="1"/>
  <c r="W245" i="24"/>
  <c r="X245" i="24" s="1"/>
  <c r="R213" i="24"/>
  <c r="S213" i="24" s="1"/>
  <c r="R90" i="24"/>
  <c r="S90" i="24" s="1"/>
  <c r="W184" i="24"/>
  <c r="X184" i="24" s="1"/>
  <c r="R138" i="24"/>
  <c r="S138" i="24" s="1"/>
  <c r="R69" i="24"/>
  <c r="S69" i="24" s="1"/>
  <c r="W251" i="24"/>
  <c r="X251" i="24" s="1"/>
  <c r="W93" i="24"/>
  <c r="X93" i="24" s="1"/>
  <c r="W32" i="24"/>
  <c r="X32" i="24" s="1"/>
  <c r="W340" i="24"/>
  <c r="X340" i="24" s="1"/>
  <c r="W240" i="24"/>
  <c r="X240" i="24" s="1"/>
  <c r="W356" i="24"/>
  <c r="X356" i="24" s="1"/>
  <c r="W16" i="24"/>
  <c r="X16" i="24" s="1"/>
  <c r="W182" i="24"/>
  <c r="X182" i="24" s="1"/>
  <c r="R176" i="24"/>
  <c r="S176" i="24" s="1"/>
  <c r="R125" i="24"/>
  <c r="S125" i="24" s="1"/>
  <c r="W319" i="24"/>
  <c r="X319" i="24" s="1"/>
  <c r="W219" i="24"/>
  <c r="X219" i="24" s="1"/>
  <c r="R154" i="24"/>
  <c r="S154" i="24" s="1"/>
  <c r="W278" i="24"/>
  <c r="X278" i="24" s="1"/>
  <c r="W100" i="24"/>
  <c r="X100" i="24" s="1"/>
  <c r="R12" i="24"/>
  <c r="S12" i="24" s="1"/>
  <c r="W336" i="24"/>
  <c r="X336" i="24" s="1"/>
  <c r="W195" i="24"/>
  <c r="X195" i="24" s="1"/>
  <c r="W141" i="24"/>
  <c r="X141" i="24" s="1"/>
  <c r="W41" i="24"/>
  <c r="X41" i="24" s="1"/>
  <c r="R134" i="24"/>
  <c r="S134" i="24" s="1"/>
  <c r="W209" i="24"/>
  <c r="X209" i="24" s="1"/>
  <c r="R142" i="24"/>
  <c r="S142" i="24" s="1"/>
  <c r="W188" i="24"/>
  <c r="X188" i="24" s="1"/>
  <c r="W78" i="24"/>
  <c r="X78" i="24" s="1"/>
  <c r="R128" i="24"/>
  <c r="S128" i="24" s="1"/>
  <c r="R47" i="24"/>
  <c r="S47" i="24" s="1"/>
  <c r="W197" i="24"/>
  <c r="X197" i="24" s="1"/>
  <c r="W37" i="24"/>
  <c r="X37" i="24" s="1"/>
  <c r="R106" i="24"/>
  <c r="S106" i="24" s="1"/>
  <c r="W294" i="24"/>
  <c r="X294" i="24" s="1"/>
  <c r="W6" i="24"/>
  <c r="X6" i="24" s="1"/>
  <c r="W305" i="24"/>
  <c r="X305" i="24" s="1"/>
  <c r="R187" i="24"/>
  <c r="S187" i="24" s="1"/>
  <c r="R126" i="24"/>
  <c r="S126" i="24" s="1"/>
  <c r="W15" i="24"/>
  <c r="X15" i="24" s="1"/>
  <c r="W262" i="24"/>
  <c r="X262" i="24" s="1"/>
  <c r="R104" i="24"/>
  <c r="S104" i="24" s="1"/>
  <c r="R10" i="24"/>
  <c r="S10" i="24" s="1"/>
  <c r="R48" i="24"/>
  <c r="S48" i="24" s="1"/>
  <c r="W87" i="24"/>
  <c r="X87" i="24" s="1"/>
  <c r="U579" i="24"/>
  <c r="W143" i="24"/>
  <c r="X143" i="24" s="1"/>
  <c r="W390" i="24"/>
  <c r="X390" i="24" s="1"/>
  <c r="R151" i="24"/>
  <c r="S151" i="24" s="1"/>
  <c r="R82" i="24"/>
  <c r="S82" i="24" s="1"/>
  <c r="R24" i="24"/>
  <c r="S24" i="24" s="1"/>
  <c r="W28" i="24"/>
  <c r="X28" i="24" s="1"/>
  <c r="W322" i="24"/>
  <c r="X322" i="24" s="1"/>
  <c r="R179" i="24"/>
  <c r="S179" i="24" s="1"/>
  <c r="R120" i="24"/>
  <c r="S120" i="24" s="1"/>
  <c r="W291" i="24"/>
  <c r="X291" i="24" s="1"/>
  <c r="W133" i="24"/>
  <c r="X133" i="24" s="1"/>
  <c r="W380" i="24"/>
  <c r="X380" i="24" s="1"/>
  <c r="R9" i="24"/>
  <c r="S9" i="24" s="1"/>
  <c r="R133" i="24"/>
  <c r="S133" i="24" s="1"/>
  <c r="W244" i="24"/>
  <c r="X244" i="24" s="1"/>
  <c r="W302" i="24"/>
  <c r="X302" i="24" s="1"/>
  <c r="W94" i="24"/>
  <c r="X94" i="24" s="1"/>
  <c r="W382" i="24"/>
  <c r="X382" i="24" s="1"/>
  <c r="W282" i="24"/>
  <c r="X282" i="24" s="1"/>
  <c r="R100" i="24"/>
  <c r="S100" i="24" s="1"/>
  <c r="W109" i="24"/>
  <c r="X109" i="24" s="1"/>
  <c r="R162" i="24"/>
  <c r="S162" i="24" s="1"/>
  <c r="W84" i="24"/>
  <c r="X84" i="24" s="1"/>
  <c r="R57" i="24"/>
  <c r="S57" i="24" s="1"/>
  <c r="W287" i="24"/>
  <c r="X287" i="24" s="1"/>
  <c r="W366" i="24"/>
  <c r="X366" i="24" s="1"/>
  <c r="W343" i="24"/>
  <c r="X343" i="24" s="1"/>
  <c r="W351" i="24"/>
  <c r="X351" i="24" s="1"/>
  <c r="W203" i="24"/>
  <c r="X203" i="24" s="1"/>
  <c r="W362" i="24"/>
  <c r="X362" i="24" s="1"/>
  <c r="R121" i="24"/>
  <c r="S121" i="24" s="1"/>
  <c r="W144" i="24"/>
  <c r="X144" i="24" s="1"/>
  <c r="W142" i="24"/>
  <c r="X142" i="24" s="1"/>
  <c r="R59" i="24"/>
  <c r="S59" i="24" s="1"/>
  <c r="W26" i="24"/>
  <c r="X26" i="24" s="1"/>
  <c r="W132" i="24"/>
  <c r="X132" i="24" s="1"/>
  <c r="W269" i="24"/>
  <c r="X269" i="24" s="1"/>
  <c r="W368" i="24"/>
  <c r="X368" i="24" s="1"/>
  <c r="W20" i="24"/>
  <c r="X20" i="24" s="1"/>
  <c r="W364" i="24"/>
  <c r="X364" i="24" s="1"/>
  <c r="W284" i="24"/>
  <c r="X284" i="24" s="1"/>
  <c r="R30" i="24"/>
  <c r="S30" i="24" s="1"/>
  <c r="W170" i="24"/>
  <c r="X170" i="24" s="1"/>
  <c r="W181" i="24"/>
  <c r="X181" i="24" s="1"/>
  <c r="W217" i="24"/>
  <c r="X217" i="24" s="1"/>
  <c r="W272" i="24"/>
  <c r="X272" i="24" s="1"/>
  <c r="W74" i="24"/>
  <c r="X74" i="24" s="1"/>
  <c r="R85" i="24"/>
  <c r="S85" i="24" s="1"/>
  <c r="W205" i="24"/>
  <c r="X205" i="24" s="1"/>
  <c r="W83" i="24"/>
  <c r="X83" i="24" s="1"/>
  <c r="R189" i="24"/>
  <c r="S189" i="24" s="1"/>
  <c r="W330" i="24"/>
  <c r="X330" i="24" s="1"/>
  <c r="W230" i="24"/>
  <c r="X230" i="24" s="1"/>
  <c r="W256" i="24"/>
  <c r="X256" i="24" s="1"/>
  <c r="W363" i="24"/>
  <c r="X363" i="24" s="1"/>
  <c r="W172" i="24"/>
  <c r="X172" i="24" s="1"/>
  <c r="R132" i="24"/>
  <c r="S132" i="24" s="1"/>
  <c r="W115" i="24"/>
  <c r="X115" i="24" s="1"/>
  <c r="W309" i="24"/>
  <c r="X309" i="24" s="1"/>
  <c r="R195" i="24"/>
  <c r="S195" i="24" s="1"/>
  <c r="R114" i="24"/>
  <c r="S114" i="24" s="1"/>
  <c r="W258" i="24"/>
  <c r="X258" i="24" s="1"/>
  <c r="W90" i="24"/>
  <c r="X90" i="24" s="1"/>
  <c r="W367" i="24"/>
  <c r="X367" i="24" s="1"/>
  <c r="W199" i="24"/>
  <c r="X199" i="24" s="1"/>
  <c r="W276" i="24"/>
  <c r="X276" i="24" s="1"/>
  <c r="R169" i="24"/>
  <c r="S169" i="24" s="1"/>
  <c r="W46" i="24"/>
  <c r="X46" i="24" s="1"/>
  <c r="W105" i="24"/>
  <c r="X105" i="24" s="1"/>
  <c r="W131" i="24"/>
  <c r="X131" i="24" s="1"/>
  <c r="W31" i="24"/>
  <c r="X31" i="24" s="1"/>
  <c r="R54" i="24"/>
  <c r="S54" i="24" s="1"/>
  <c r="W200" i="24"/>
  <c r="X200" i="24" s="1"/>
  <c r="W129" i="24"/>
  <c r="X129" i="24" s="1"/>
  <c r="W206" i="24"/>
  <c r="X206" i="24" s="1"/>
  <c r="W178" i="24"/>
  <c r="X178" i="24" s="1"/>
  <c r="W68" i="24"/>
  <c r="X68" i="24" s="1"/>
  <c r="R108" i="24"/>
  <c r="S108" i="24" s="1"/>
  <c r="W187" i="24"/>
  <c r="X187" i="24" s="1"/>
  <c r="W27" i="24"/>
  <c r="X27" i="24" s="1"/>
  <c r="R86" i="24"/>
  <c r="S86" i="24" s="1"/>
  <c r="W274" i="24"/>
  <c r="X274" i="24" s="1"/>
  <c r="R205" i="24"/>
  <c r="S205" i="24" s="1"/>
  <c r="R184" i="24"/>
  <c r="S184" i="24" s="1"/>
  <c r="R123" i="24"/>
  <c r="S123" i="24" s="1"/>
  <c r="R122" i="24"/>
  <c r="S122" i="24" s="1"/>
  <c r="W295" i="24"/>
  <c r="X295" i="24" s="1"/>
  <c r="R107" i="24"/>
  <c r="S107" i="24" s="1"/>
  <c r="W207" i="24"/>
  <c r="X207" i="24" s="1"/>
  <c r="R66" i="24"/>
  <c r="S66" i="24" s="1"/>
  <c r="W126" i="24"/>
  <c r="X126" i="24" s="1"/>
  <c r="R42" i="24"/>
  <c r="S42" i="24" s="1"/>
  <c r="W102" i="24"/>
  <c r="X102" i="24" s="1"/>
  <c r="W388" i="24"/>
  <c r="X388" i="24" s="1"/>
  <c r="W30" i="24"/>
  <c r="X30" i="24" s="1"/>
  <c r="W201" i="24"/>
  <c r="X201" i="24" s="1"/>
  <c r="W232" i="24"/>
  <c r="X232" i="24" s="1"/>
  <c r="W333" i="24"/>
  <c r="X333" i="24" s="1"/>
  <c r="W14" i="24"/>
  <c r="X14" i="24" s="1"/>
  <c r="W12" i="24"/>
  <c r="X12" i="24" s="1"/>
  <c r="W369" i="24"/>
  <c r="X369" i="24" s="1"/>
  <c r="R75" i="24"/>
  <c r="S75" i="24" s="1"/>
  <c r="W190" i="24"/>
  <c r="X190" i="24" s="1"/>
  <c r="W191" i="24"/>
  <c r="X191" i="24" s="1"/>
  <c r="R129" i="24"/>
  <c r="S129" i="24" s="1"/>
  <c r="W47" i="24"/>
  <c r="X47" i="24" s="1"/>
  <c r="W222" i="24"/>
  <c r="X222" i="24" s="1"/>
  <c r="W306" i="24"/>
  <c r="X306" i="24" s="1"/>
  <c r="W124" i="24"/>
  <c r="X124" i="24" s="1"/>
  <c r="R196" i="24"/>
  <c r="S196" i="24" s="1"/>
  <c r="W391" i="24"/>
  <c r="X391" i="24" s="1"/>
  <c r="W33" i="24"/>
  <c r="X33" i="24" s="1"/>
  <c r="W253" i="24"/>
  <c r="X253" i="24" s="1"/>
  <c r="W81" i="24"/>
  <c r="X81" i="24" s="1"/>
  <c r="W80" i="24"/>
  <c r="X80" i="24" s="1"/>
  <c r="W354" i="24"/>
  <c r="X354" i="24" s="1"/>
  <c r="W17" i="24"/>
  <c r="X17" i="24" s="1"/>
  <c r="R39" i="24"/>
  <c r="S39" i="24" s="1"/>
  <c r="W194" i="24"/>
  <c r="X194" i="24" s="1"/>
  <c r="W103" i="24"/>
  <c r="X103" i="24" s="1"/>
  <c r="W372" i="24"/>
  <c r="X372" i="24" s="1"/>
  <c r="R40" i="24"/>
  <c r="S40" i="24" s="1"/>
  <c r="R76" i="24"/>
  <c r="S76" i="24" s="1"/>
  <c r="W49" i="24"/>
  <c r="X49" i="24" s="1"/>
  <c r="W146" i="24"/>
  <c r="X146" i="24" s="1"/>
  <c r="W174" i="24"/>
  <c r="X174" i="24" s="1"/>
  <c r="R58" i="24"/>
  <c r="S58" i="24" s="1"/>
  <c r="W273" i="24"/>
  <c r="X273" i="24" s="1"/>
  <c r="W341" i="24"/>
  <c r="X341" i="24" s="1"/>
  <c r="W241" i="24"/>
  <c r="X241" i="24" s="1"/>
  <c r="W193" i="24"/>
  <c r="X193" i="24" s="1"/>
  <c r="W149" i="24"/>
  <c r="X149" i="24" s="1"/>
  <c r="O240" i="24"/>
  <c r="O272" i="24"/>
  <c r="O262" i="24"/>
  <c r="P262" i="24" s="1"/>
  <c r="O270" i="24"/>
  <c r="P270" i="24" s="1"/>
  <c r="O241" i="24"/>
  <c r="P241" i="24" s="1"/>
  <c r="O347" i="24"/>
  <c r="P347" i="24" s="1"/>
  <c r="O228" i="24"/>
  <c r="P228" i="24" s="1"/>
  <c r="O302" i="24"/>
  <c r="P302" i="24" s="1"/>
  <c r="O252" i="24"/>
  <c r="P252" i="24" s="1"/>
  <c r="O310" i="24"/>
  <c r="P310" i="24" s="1"/>
  <c r="O285" i="24"/>
  <c r="O237" i="24"/>
  <c r="O327" i="24"/>
  <c r="P327" i="24" s="1"/>
  <c r="O366" i="24"/>
  <c r="P366" i="24" s="1"/>
  <c r="O265" i="24"/>
  <c r="P265" i="24" s="1"/>
  <c r="O349" i="24"/>
  <c r="P349" i="24" s="1"/>
  <c r="O381" i="24"/>
  <c r="P381" i="24" s="1"/>
  <c r="O318" i="24"/>
  <c r="P318" i="24" s="1"/>
  <c r="O339" i="24"/>
  <c r="P339" i="24" s="1"/>
  <c r="O291" i="24"/>
  <c r="P291" i="24" s="1"/>
  <c r="O229" i="24"/>
  <c r="P229" i="24" s="1"/>
  <c r="O340" i="24"/>
  <c r="P340" i="24" s="1"/>
  <c r="O355" i="24"/>
  <c r="P355" i="24" s="1"/>
  <c r="O307" i="24"/>
  <c r="P307" i="24" s="1"/>
  <c r="O227" i="24"/>
  <c r="O281" i="24"/>
  <c r="P281" i="24" s="1"/>
  <c r="O244" i="24"/>
  <c r="P244" i="24" s="1"/>
  <c r="O274" i="24"/>
  <c r="P274" i="24" s="1"/>
  <c r="O312" i="24"/>
  <c r="P312" i="24" s="1"/>
  <c r="O289" i="24"/>
  <c r="O309" i="24"/>
  <c r="P309" i="24" s="1"/>
  <c r="O321" i="24"/>
  <c r="P321" i="24" s="1"/>
  <c r="O336" i="24"/>
  <c r="P336" i="24" s="1"/>
  <c r="O269" i="24"/>
  <c r="P269" i="24" s="1"/>
  <c r="O359" i="24"/>
  <c r="P359" i="24" s="1"/>
  <c r="O388" i="24"/>
  <c r="R388" i="24" s="1"/>
  <c r="O247" i="24"/>
  <c r="O221" i="24"/>
  <c r="P221" i="24" s="1"/>
  <c r="O330" i="24"/>
  <c r="P330" i="24" s="1"/>
  <c r="O378" i="24"/>
  <c r="P378" i="24" s="1"/>
  <c r="O215" i="24"/>
  <c r="P215" i="24" s="1"/>
  <c r="O287" i="24"/>
  <c r="P287" i="24" s="1"/>
  <c r="O214" i="24"/>
  <c r="O280" i="24"/>
  <c r="P280" i="24" s="1"/>
  <c r="O298" i="24"/>
  <c r="P298" i="24" s="1"/>
  <c r="O348" i="24"/>
  <c r="R348" i="24" s="1"/>
  <c r="O323" i="24"/>
  <c r="P323" i="24" s="1"/>
  <c r="O313" i="24"/>
  <c r="P313" i="24" s="1"/>
  <c r="O379" i="24"/>
  <c r="O317" i="24"/>
  <c r="O306" i="24"/>
  <c r="P306" i="24" s="1"/>
  <c r="O235" i="24"/>
  <c r="P235" i="24" s="1"/>
  <c r="O333" i="24"/>
  <c r="P333" i="24" s="1"/>
  <c r="O337" i="24"/>
  <c r="P337" i="24" s="1"/>
  <c r="O369" i="24"/>
  <c r="P369" i="24" s="1"/>
  <c r="O286" i="24"/>
  <c r="P286" i="24" s="1"/>
  <c r="O338" i="24"/>
  <c r="O232" i="24"/>
  <c r="O385" i="24"/>
  <c r="P385" i="24" s="1"/>
  <c r="O362" i="24"/>
  <c r="P362" i="24" s="1"/>
  <c r="O275" i="24"/>
  <c r="P275" i="24" s="1"/>
  <c r="O264" i="24"/>
  <c r="P264" i="24" s="1"/>
  <c r="O250" i="24"/>
  <c r="P250" i="24" s="1"/>
  <c r="O238" i="24"/>
  <c r="P238" i="24" s="1"/>
  <c r="O243" i="24"/>
  <c r="O230" i="24"/>
  <c r="O373" i="24"/>
  <c r="P373" i="24" s="1"/>
  <c r="O324" i="24"/>
  <c r="P324" i="24" s="1"/>
  <c r="O328" i="24"/>
  <c r="P328" i="24" s="1"/>
  <c r="O374" i="24"/>
  <c r="P374" i="24" s="1"/>
  <c r="O216" i="24"/>
  <c r="P216" i="24" s="1"/>
  <c r="O316" i="24"/>
  <c r="P316" i="24" s="1"/>
  <c r="O384" i="24"/>
  <c r="R384" i="24" s="1"/>
  <c r="O320" i="24"/>
  <c r="P320" i="24" s="1"/>
  <c r="O360" i="24"/>
  <c r="R360" i="24" s="1"/>
  <c r="O353" i="24"/>
  <c r="P353" i="24" s="1"/>
  <c r="O224" i="24"/>
  <c r="P224" i="24" s="1"/>
  <c r="O364" i="24"/>
  <c r="R364" i="24" s="1"/>
  <c r="O357" i="24"/>
  <c r="P357" i="24" s="1"/>
  <c r="O218" i="24"/>
  <c r="P218" i="24" s="1"/>
  <c r="O256" i="24"/>
  <c r="O301" i="24"/>
  <c r="P301" i="24" s="1"/>
  <c r="O354" i="24"/>
  <c r="P354" i="24" s="1"/>
  <c r="O368" i="24"/>
  <c r="R368" i="24" s="1"/>
  <c r="O239" i="24"/>
  <c r="P239" i="24" s="1"/>
  <c r="P25" i="24"/>
  <c r="O242" i="24"/>
  <c r="P242" i="24" s="1"/>
  <c r="O390" i="24"/>
  <c r="O234" i="24"/>
  <c r="O341" i="24"/>
  <c r="P341" i="24" s="1"/>
  <c r="O254" i="24"/>
  <c r="P254" i="24" s="1"/>
  <c r="O303" i="24"/>
  <c r="P303" i="24" s="1"/>
  <c r="O276" i="24"/>
  <c r="P276" i="24" s="1"/>
  <c r="O292" i="24"/>
  <c r="P292" i="24" s="1"/>
  <c r="O277" i="24"/>
  <c r="P277" i="24" s="1"/>
  <c r="O351" i="24"/>
  <c r="O314" i="24"/>
  <c r="O220" i="24"/>
  <c r="P220" i="24" s="1"/>
  <c r="O329" i="24"/>
  <c r="P329" i="24" s="1"/>
  <c r="O249" i="24"/>
  <c r="P249" i="24" s="1"/>
  <c r="O294" i="24"/>
  <c r="P294" i="24" s="1"/>
  <c r="O300" i="24"/>
  <c r="P300" i="24" s="1"/>
  <c r="O263" i="24"/>
  <c r="P263" i="24" s="1"/>
  <c r="P85" i="24"/>
  <c r="O367" i="24"/>
  <c r="P367" i="24" s="1"/>
  <c r="O363" i="24"/>
  <c r="P363" i="24" s="1"/>
  <c r="O279" i="24"/>
  <c r="P279" i="24" s="1"/>
  <c r="O350" i="24"/>
  <c r="P350" i="24" s="1"/>
  <c r="O326" i="24"/>
  <c r="P326" i="24" s="1"/>
  <c r="O370" i="24"/>
  <c r="P370" i="24" s="1"/>
  <c r="O335" i="24"/>
  <c r="P335" i="24" s="1"/>
  <c r="O257" i="24"/>
  <c r="P257" i="24" s="1"/>
  <c r="O325" i="24"/>
  <c r="R325" i="24" s="1"/>
  <c r="O319" i="24"/>
  <c r="P319" i="24" s="1"/>
  <c r="O233" i="24"/>
  <c r="P233" i="24" s="1"/>
  <c r="O308" i="24"/>
  <c r="P308" i="24" s="1"/>
  <c r="O253" i="24"/>
  <c r="P253" i="24" s="1"/>
  <c r="O386" i="24"/>
  <c r="P386" i="24" s="1"/>
  <c r="O222" i="24"/>
  <c r="P222" i="24" s="1"/>
  <c r="O236" i="24"/>
  <c r="P236" i="24" s="1"/>
  <c r="O246" i="24"/>
  <c r="P246" i="24" s="1"/>
  <c r="O356" i="24"/>
  <c r="R356" i="24" s="1"/>
  <c r="O372" i="24"/>
  <c r="R372" i="24" s="1"/>
  <c r="O297" i="24"/>
  <c r="P297" i="24" s="1"/>
  <c r="O278" i="24"/>
  <c r="P278" i="24" s="1"/>
  <c r="O248" i="24"/>
  <c r="P248" i="24" s="1"/>
  <c r="X101" i="24"/>
  <c r="O380" i="24"/>
  <c r="R380" i="24" s="1"/>
  <c r="O273" i="24"/>
  <c r="P273" i="24" s="1"/>
  <c r="O293" i="24"/>
  <c r="P293" i="24" s="1"/>
  <c r="O322" i="24"/>
  <c r="O365" i="24"/>
  <c r="O375" i="24"/>
  <c r="P375" i="24" s="1"/>
  <c r="O258" i="24"/>
  <c r="P258" i="24" s="1"/>
  <c r="O311" i="24"/>
  <c r="P311" i="24" s="1"/>
  <c r="O332" i="24"/>
  <c r="P332" i="24" s="1"/>
  <c r="O361" i="24"/>
  <c r="P361" i="24" s="1"/>
  <c r="O226" i="24"/>
  <c r="P226" i="24" s="1"/>
  <c r="O342" i="24"/>
  <c r="P342" i="24" s="1"/>
  <c r="O255" i="24"/>
  <c r="P255" i="24" s="1"/>
  <c r="O260" i="24"/>
  <c r="P260" i="24" s="1"/>
  <c r="O245" i="24"/>
  <c r="R245" i="24" s="1"/>
  <c r="O217" i="24"/>
  <c r="P217" i="24" s="1"/>
  <c r="O288" i="24"/>
  <c r="P288" i="24" s="1"/>
  <c r="O304" i="24"/>
  <c r="P304" i="24" s="1"/>
  <c r="O283" i="24"/>
  <c r="O331" i="24"/>
  <c r="O352" i="24"/>
  <c r="R352" i="24" s="1"/>
  <c r="O268" i="24"/>
  <c r="P268" i="24" s="1"/>
  <c r="O392" i="24"/>
  <c r="R392" i="24" s="1"/>
  <c r="O371" i="24"/>
  <c r="O267" i="24"/>
  <c r="P33" i="24"/>
  <c r="O225" i="24"/>
  <c r="P225" i="24" s="1"/>
  <c r="O343" i="24"/>
  <c r="O315" i="24"/>
  <c r="O387" i="24"/>
  <c r="P387" i="24" s="1"/>
  <c r="O259" i="24"/>
  <c r="P259" i="24" s="1"/>
  <c r="O382" i="24"/>
  <c r="P382" i="24" s="1"/>
  <c r="O391" i="24"/>
  <c r="P391" i="24" s="1"/>
  <c r="O284" i="24"/>
  <c r="P284" i="24" s="1"/>
  <c r="O346" i="24"/>
  <c r="P346" i="24" s="1"/>
  <c r="O334" i="24"/>
  <c r="P334" i="24" s="1"/>
  <c r="O383" i="24"/>
  <c r="P383" i="24" s="1"/>
  <c r="O376" i="24"/>
  <c r="R376" i="24" s="1"/>
  <c r="O344" i="24"/>
  <c r="R344" i="24" s="1"/>
  <c r="O223" i="24"/>
  <c r="O282" i="24"/>
  <c r="P282" i="24" s="1"/>
  <c r="O231" i="24"/>
  <c r="P231" i="24" s="1"/>
  <c r="O251" i="24"/>
  <c r="P251" i="24" s="1"/>
  <c r="O295" i="24"/>
  <c r="P295" i="24" s="1"/>
  <c r="O266" i="24"/>
  <c r="P266" i="24" s="1"/>
  <c r="O296" i="24"/>
  <c r="P296" i="24" s="1"/>
  <c r="O299" i="24"/>
  <c r="O377" i="24"/>
  <c r="O261" i="24"/>
  <c r="P261" i="24" s="1"/>
  <c r="O305" i="24"/>
  <c r="P305" i="24" s="1"/>
  <c r="O271" i="24"/>
  <c r="P271" i="24" s="1"/>
  <c r="O290" i="24"/>
  <c r="P290" i="24" s="1"/>
  <c r="O219" i="24"/>
  <c r="P219" i="24" s="1"/>
  <c r="O345" i="24"/>
  <c r="P345" i="24" s="1"/>
  <c r="R304" i="24" l="1"/>
  <c r="S304" i="24" s="1"/>
  <c r="R382" i="24"/>
  <c r="S382" i="24" s="1"/>
  <c r="R362" i="24"/>
  <c r="S362" i="24" s="1"/>
  <c r="R330" i="24"/>
  <c r="S330" i="24" s="1"/>
  <c r="R221" i="24"/>
  <c r="S221" i="24" s="1"/>
  <c r="R321" i="24"/>
  <c r="S321" i="24" s="1"/>
  <c r="R263" i="24"/>
  <c r="S263" i="24" s="1"/>
  <c r="R270" i="24"/>
  <c r="S270" i="24" s="1"/>
  <c r="R354" i="24"/>
  <c r="S354" i="24" s="1"/>
  <c r="R288" i="24"/>
  <c r="S288" i="24" s="1"/>
  <c r="R298" i="24"/>
  <c r="S298" i="24" s="1"/>
  <c r="R337" i="24"/>
  <c r="S337" i="24" s="1"/>
  <c r="R374" i="24"/>
  <c r="S374" i="24" s="1"/>
  <c r="R228" i="24"/>
  <c r="S228" i="24" s="1"/>
  <c r="R309" i="24"/>
  <c r="S309" i="24" s="1"/>
  <c r="R375" i="24"/>
  <c r="S375" i="24" s="1"/>
  <c r="R266" i="24"/>
  <c r="S266" i="24" s="1"/>
  <c r="R280" i="24"/>
  <c r="S280" i="24" s="1"/>
  <c r="R241" i="24"/>
  <c r="S241" i="24" s="1"/>
  <c r="R342" i="24"/>
  <c r="S342" i="24" s="1"/>
  <c r="R248" i="24"/>
  <c r="S248" i="24" s="1"/>
  <c r="R370" i="24"/>
  <c r="S370" i="24" s="1"/>
  <c r="R391" i="24"/>
  <c r="S391" i="24" s="1"/>
  <c r="R216" i="24"/>
  <c r="S216" i="24" s="1"/>
  <c r="R220" i="24"/>
  <c r="S220" i="24" s="1"/>
  <c r="R355" i="24"/>
  <c r="S355" i="24" s="1"/>
  <c r="R229" i="24"/>
  <c r="S229" i="24" s="1"/>
  <c r="R305" i="24"/>
  <c r="S305" i="24" s="1"/>
  <c r="R381" i="24"/>
  <c r="S381" i="24" s="1"/>
  <c r="R215" i="24"/>
  <c r="S215" i="24" s="1"/>
  <c r="R254" i="24"/>
  <c r="S254" i="24" s="1"/>
  <c r="R262" i="24"/>
  <c r="S262" i="24" s="1"/>
  <c r="R319" i="24"/>
  <c r="S319" i="24" s="1"/>
  <c r="R275" i="24"/>
  <c r="S275" i="24" s="1"/>
  <c r="R281" i="24"/>
  <c r="S281" i="24" s="1"/>
  <c r="R226" i="24"/>
  <c r="S226" i="24" s="1"/>
  <c r="R279" i="24"/>
  <c r="S279" i="24" s="1"/>
  <c r="R308" i="24"/>
  <c r="S308" i="24" s="1"/>
  <c r="R386" i="24"/>
  <c r="S386" i="24" s="1"/>
  <c r="R295" i="24"/>
  <c r="S295" i="24" s="1"/>
  <c r="R385" i="24"/>
  <c r="S385" i="24" s="1"/>
  <c r="R271" i="24"/>
  <c r="S271" i="24" s="1"/>
  <c r="R276" i="24"/>
  <c r="S276" i="24" s="1"/>
  <c r="R261" i="24"/>
  <c r="S261" i="24" s="1"/>
  <c r="R268" i="24"/>
  <c r="S268" i="24" s="1"/>
  <c r="R320" i="24"/>
  <c r="S320" i="24" s="1"/>
  <c r="R329" i="24"/>
  <c r="S329" i="24" s="1"/>
  <c r="R224" i="24"/>
  <c r="S224" i="24" s="1"/>
  <c r="R306" i="24"/>
  <c r="S306" i="24" s="1"/>
  <c r="R290" i="24"/>
  <c r="S290" i="24" s="1"/>
  <c r="R255" i="24"/>
  <c r="S255" i="24" s="1"/>
  <c r="R318" i="24"/>
  <c r="S318" i="24" s="1"/>
  <c r="R259" i="24"/>
  <c r="S259" i="24" s="1"/>
  <c r="R239" i="24"/>
  <c r="S239" i="24" s="1"/>
  <c r="R278" i="24"/>
  <c r="S278" i="24" s="1"/>
  <c r="R333" i="24"/>
  <c r="S333" i="24" s="1"/>
  <c r="R378" i="24"/>
  <c r="S378" i="24" s="1"/>
  <c r="R260" i="24"/>
  <c r="S260" i="24" s="1"/>
  <c r="R294" i="24"/>
  <c r="S294" i="24" s="1"/>
  <c r="R225" i="24"/>
  <c r="S225" i="24" s="1"/>
  <c r="R235" i="24"/>
  <c r="S235" i="24" s="1"/>
  <c r="R297" i="24"/>
  <c r="S297" i="24" s="1"/>
  <c r="R327" i="24"/>
  <c r="S327" i="24" s="1"/>
  <c r="R269" i="24"/>
  <c r="S269" i="24" s="1"/>
  <c r="P230" i="24"/>
  <c r="R230" i="24"/>
  <c r="S230" i="24" s="1"/>
  <c r="P377" i="24"/>
  <c r="R377" i="24"/>
  <c r="S377" i="24" s="1"/>
  <c r="P299" i="24"/>
  <c r="R299" i="24"/>
  <c r="S299" i="24" s="1"/>
  <c r="P365" i="24"/>
  <c r="R365" i="24"/>
  <c r="S365" i="24" s="1"/>
  <c r="P234" i="24"/>
  <c r="R234" i="24"/>
  <c r="S234" i="24" s="1"/>
  <c r="P227" i="24"/>
  <c r="R227" i="24"/>
  <c r="S227" i="24" s="1"/>
  <c r="P256" i="24"/>
  <c r="R256" i="24"/>
  <c r="S256" i="24" s="1"/>
  <c r="P289" i="24"/>
  <c r="R289" i="24"/>
  <c r="S289" i="24" s="1"/>
  <c r="P322" i="24"/>
  <c r="R322" i="24"/>
  <c r="S322" i="24" s="1"/>
  <c r="P314" i="24"/>
  <c r="R314" i="24"/>
  <c r="S314" i="24" s="1"/>
  <c r="P390" i="24"/>
  <c r="R390" i="24"/>
  <c r="S390" i="24" s="1"/>
  <c r="P267" i="24"/>
  <c r="R267" i="24"/>
  <c r="S267" i="24" s="1"/>
  <c r="P247" i="24"/>
  <c r="R247" i="24"/>
  <c r="S247" i="24" s="1"/>
  <c r="P272" i="24"/>
  <c r="R272" i="24"/>
  <c r="S272" i="24" s="1"/>
  <c r="P343" i="24"/>
  <c r="R343" i="24"/>
  <c r="S343" i="24" s="1"/>
  <c r="P237" i="24"/>
  <c r="R237" i="24"/>
  <c r="S237" i="24" s="1"/>
  <c r="P240" i="24"/>
  <c r="R240" i="24"/>
  <c r="S240" i="24" s="1"/>
  <c r="P331" i="24"/>
  <c r="R331" i="24"/>
  <c r="S331" i="24" s="1"/>
  <c r="P283" i="24"/>
  <c r="R283" i="24"/>
  <c r="S283" i="24" s="1"/>
  <c r="P379" i="24"/>
  <c r="R379" i="24"/>
  <c r="S379" i="24" s="1"/>
  <c r="P338" i="24"/>
  <c r="R338" i="24"/>
  <c r="S338" i="24" s="1"/>
  <c r="P351" i="24"/>
  <c r="R351" i="24"/>
  <c r="S351" i="24" s="1"/>
  <c r="P214" i="24"/>
  <c r="R214" i="24"/>
  <c r="S214" i="24" s="1"/>
  <c r="P317" i="24"/>
  <c r="R317" i="24"/>
  <c r="S317" i="24" s="1"/>
  <c r="P315" i="24"/>
  <c r="R315" i="24"/>
  <c r="S315" i="24" s="1"/>
  <c r="P232" i="24"/>
  <c r="R232" i="24"/>
  <c r="S232" i="24" s="1"/>
  <c r="P243" i="24"/>
  <c r="R243" i="24"/>
  <c r="S243" i="24" s="1"/>
  <c r="P371" i="24"/>
  <c r="R371" i="24"/>
  <c r="S371" i="24" s="1"/>
  <c r="P223" i="24"/>
  <c r="R223" i="24"/>
  <c r="S223" i="24" s="1"/>
  <c r="P285" i="24"/>
  <c r="R285" i="24"/>
  <c r="S285" i="24" s="1"/>
  <c r="R387" i="24"/>
  <c r="S387" i="24" s="1"/>
  <c r="R287" i="24"/>
  <c r="S287" i="24" s="1"/>
  <c r="R242" i="24"/>
  <c r="S242" i="24" s="1"/>
  <c r="R236" i="24"/>
  <c r="S236" i="24" s="1"/>
  <c r="R357" i="24"/>
  <c r="S357" i="24" s="1"/>
  <c r="R335" i="24"/>
  <c r="S335" i="24" s="1"/>
  <c r="R341" i="24"/>
  <c r="S341" i="24" s="1"/>
  <c r="R291" i="24"/>
  <c r="S291" i="24" s="1"/>
  <c r="R284" i="24"/>
  <c r="S284" i="24" s="1"/>
  <c r="R257" i="24"/>
  <c r="S257" i="24" s="1"/>
  <c r="R293" i="24"/>
  <c r="S293" i="24" s="1"/>
  <c r="R369" i="24"/>
  <c r="S369" i="24" s="1"/>
  <c r="R253" i="24"/>
  <c r="S253" i="24" s="1"/>
  <c r="R218" i="24"/>
  <c r="S218" i="24" s="1"/>
  <c r="R273" i="24"/>
  <c r="S273" i="24" s="1"/>
  <c r="R373" i="24"/>
  <c r="S373" i="24" s="1"/>
  <c r="R296" i="24"/>
  <c r="S296" i="24" s="1"/>
  <c r="R383" i="24"/>
  <c r="S383" i="24" s="1"/>
  <c r="R336" i="24"/>
  <c r="S336" i="24" s="1"/>
  <c r="R219" i="24"/>
  <c r="S219" i="24" s="1"/>
  <c r="R324" i="24"/>
  <c r="S324" i="24" s="1"/>
  <c r="R300" i="24"/>
  <c r="S300" i="24" s="1"/>
  <c r="R217" i="24"/>
  <c r="S217" i="24" s="1"/>
  <c r="R249" i="24"/>
  <c r="S249" i="24" s="1"/>
  <c r="W579" i="24"/>
  <c r="R250" i="24"/>
  <c r="S250" i="24" s="1"/>
  <c r="R332" i="24"/>
  <c r="S332" i="24" s="1"/>
  <c r="R310" i="24"/>
  <c r="S310" i="24" s="1"/>
  <c r="R346" i="24"/>
  <c r="S346" i="24" s="1"/>
  <c r="R264" i="24"/>
  <c r="S264" i="24" s="1"/>
  <c r="R222" i="24"/>
  <c r="S222" i="24" s="1"/>
  <c r="R233" i="24"/>
  <c r="S233" i="24" s="1"/>
  <c r="R347" i="24"/>
  <c r="S347" i="24" s="1"/>
  <c r="R251" i="24"/>
  <c r="S251" i="24" s="1"/>
  <c r="R274" i="24"/>
  <c r="S274" i="24" s="1"/>
  <c r="R244" i="24"/>
  <c r="S244" i="24" s="1"/>
  <c r="R345" i="24"/>
  <c r="S345" i="24" s="1"/>
  <c r="R277" i="24"/>
  <c r="S277" i="24" s="1"/>
  <c r="R238" i="24"/>
  <c r="S238" i="24" s="1"/>
  <c r="R252" i="24"/>
  <c r="S252" i="24" s="1"/>
  <c r="R361" i="24"/>
  <c r="S361" i="24" s="1"/>
  <c r="R292" i="24"/>
  <c r="S292" i="24" s="1"/>
  <c r="R328" i="24"/>
  <c r="S328" i="24" s="1"/>
  <c r="R303" i="24"/>
  <c r="S303" i="24" s="1"/>
  <c r="R350" i="24"/>
  <c r="S350" i="24" s="1"/>
  <c r="R246" i="24"/>
  <c r="S246" i="24" s="1"/>
  <c r="R334" i="24"/>
  <c r="S334" i="24" s="1"/>
  <c r="R286" i="24"/>
  <c r="S286" i="24" s="1"/>
  <c r="R339" i="24"/>
  <c r="S339" i="24" s="1"/>
  <c r="R367" i="24"/>
  <c r="S367" i="24" s="1"/>
  <c r="R326" i="24"/>
  <c r="S326" i="24" s="1"/>
  <c r="R282" i="24"/>
  <c r="S282" i="24" s="1"/>
  <c r="R231" i="24"/>
  <c r="S231" i="24" s="1"/>
  <c r="R307" i="24"/>
  <c r="S307" i="24" s="1"/>
  <c r="R312" i="24"/>
  <c r="S312" i="24" s="1"/>
  <c r="R353" i="24"/>
  <c r="S353" i="24" s="1"/>
  <c r="R316" i="24"/>
  <c r="S316" i="24" s="1"/>
  <c r="R311" i="24"/>
  <c r="S311" i="24" s="1"/>
  <c r="R258" i="24"/>
  <c r="S258" i="24" s="1"/>
  <c r="R359" i="24"/>
  <c r="S359" i="24" s="1"/>
  <c r="R313" i="24"/>
  <c r="S313" i="24" s="1"/>
  <c r="R265" i="24"/>
  <c r="S265" i="24" s="1"/>
  <c r="R340" i="24"/>
  <c r="S340" i="24" s="1"/>
  <c r="R323" i="24"/>
  <c r="S323" i="24" s="1"/>
  <c r="R363" i="24"/>
  <c r="S363" i="24" s="1"/>
  <c r="R349" i="24"/>
  <c r="S349" i="24" s="1"/>
  <c r="R366" i="24"/>
  <c r="S366" i="24" s="1"/>
  <c r="R301" i="24"/>
  <c r="S301" i="24" s="1"/>
  <c r="R302" i="24"/>
  <c r="S302" i="24" s="1"/>
  <c r="S348" i="24"/>
  <c r="P348" i="24"/>
  <c r="S360" i="24"/>
  <c r="P360" i="24"/>
  <c r="S372" i="24"/>
  <c r="P372" i="24"/>
  <c r="S356" i="24"/>
  <c r="P356" i="24"/>
  <c r="S352" i="24"/>
  <c r="P352" i="24"/>
  <c r="S344" i="24"/>
  <c r="P344" i="24"/>
  <c r="O358" i="24"/>
  <c r="R358" i="24" s="1"/>
  <c r="S380" i="24"/>
  <c r="P380" i="24"/>
  <c r="S245" i="24"/>
  <c r="P245" i="24"/>
  <c r="S384" i="24"/>
  <c r="P384" i="24"/>
  <c r="S392" i="24"/>
  <c r="P392" i="24"/>
  <c r="S364" i="24"/>
  <c r="P364" i="24"/>
  <c r="S368" i="24"/>
  <c r="P368" i="24"/>
  <c r="S388" i="24"/>
  <c r="P388" i="24"/>
  <c r="S376" i="24"/>
  <c r="P376" i="24"/>
  <c r="S325" i="24"/>
  <c r="P325" i="24"/>
  <c r="O579" i="24" l="1"/>
  <c r="R579" i="24" s="1"/>
  <c r="P358" i="24"/>
  <c r="S358" i="24"/>
  <c r="O250" i="4" l="1" a="1"/>
  <c r="O250" i="4" s="1"/>
  <c r="O249" i="4" a="1"/>
  <c r="O249" i="4" s="1"/>
  <c r="G435" i="4" a="1"/>
  <c r="G435" i="4" s="1"/>
  <c r="P435" i="4" s="1"/>
  <c r="G434" i="4" a="1"/>
  <c r="G434" i="4" s="1"/>
  <c r="P434" i="4" s="1"/>
  <c r="G433" i="4" a="1"/>
  <c r="G433" i="4" s="1"/>
  <c r="P433" i="4" s="1"/>
  <c r="G432" i="4" a="1"/>
  <c r="G432" i="4" s="1"/>
  <c r="P432" i="4" s="1"/>
  <c r="G431" i="4" a="1"/>
  <c r="G431" i="4" s="1"/>
  <c r="P431" i="4" s="1"/>
  <c r="G430" i="4" a="1"/>
  <c r="G430" i="4" s="1"/>
  <c r="P430" i="4" s="1"/>
  <c r="G429" i="4" a="1"/>
  <c r="G429" i="4" s="1"/>
  <c r="P429" i="4" s="1"/>
  <c r="G428" i="4" a="1"/>
  <c r="G428" i="4" s="1"/>
  <c r="P428" i="4" s="1"/>
  <c r="G427" i="4" a="1"/>
  <c r="G427" i="4" s="1"/>
  <c r="P427" i="4" s="1"/>
  <c r="G426" i="4" a="1"/>
  <c r="G426" i="4" s="1"/>
  <c r="P426" i="4" s="1"/>
  <c r="G425" i="4" a="1"/>
  <c r="G425" i="4" s="1"/>
  <c r="P425" i="4" s="1"/>
  <c r="G424" i="4" a="1"/>
  <c r="G424" i="4" s="1"/>
  <c r="P424" i="4" s="1"/>
  <c r="G423" i="4" a="1"/>
  <c r="G423" i="4" s="1"/>
  <c r="P423" i="4" s="1"/>
  <c r="G422" i="4" a="1"/>
  <c r="G422" i="4" s="1"/>
  <c r="P422" i="4" s="1"/>
  <c r="G421" i="4" a="1"/>
  <c r="G421" i="4" s="1"/>
  <c r="P421" i="4" s="1"/>
  <c r="G420" i="4" a="1"/>
  <c r="G420" i="4" s="1"/>
  <c r="P420" i="4" s="1"/>
  <c r="G419" i="4" a="1"/>
  <c r="G419" i="4" s="1"/>
  <c r="P419" i="4" s="1"/>
  <c r="G418" i="4" a="1"/>
  <c r="G418" i="4" s="1"/>
  <c r="P418" i="4" s="1"/>
  <c r="G417" i="4" a="1"/>
  <c r="G417" i="4" s="1"/>
  <c r="P417" i="4" s="1"/>
  <c r="G416" i="4" a="1"/>
  <c r="G416" i="4" s="1"/>
  <c r="P416" i="4" s="1"/>
  <c r="G415" i="4" a="1"/>
  <c r="G415" i="4" s="1"/>
  <c r="P415" i="4" s="1"/>
  <c r="G414" i="4" a="1"/>
  <c r="G414" i="4" s="1"/>
  <c r="P414" i="4" s="1"/>
  <c r="G413" i="4" a="1"/>
  <c r="G413" i="4" s="1"/>
  <c r="P413" i="4" s="1"/>
  <c r="G412" i="4" a="1"/>
  <c r="G412" i="4" s="1"/>
  <c r="P412" i="4" s="1"/>
  <c r="G411" i="4" a="1"/>
  <c r="G411" i="4" s="1"/>
  <c r="P411" i="4" s="1"/>
  <c r="G410" i="4" a="1"/>
  <c r="G410" i="4" s="1"/>
  <c r="P410" i="4" s="1"/>
  <c r="G409" i="4" a="1"/>
  <c r="G409" i="4" s="1"/>
  <c r="P409" i="4" s="1"/>
  <c r="G408" i="4" a="1"/>
  <c r="G408" i="4" s="1"/>
  <c r="P408" i="4" s="1"/>
  <c r="G407" i="4" a="1"/>
  <c r="G407" i="4" s="1"/>
  <c r="P407" i="4" s="1"/>
  <c r="G406" i="4" a="1"/>
  <c r="G406" i="4" s="1"/>
  <c r="P406" i="4" s="1"/>
  <c r="G405" i="4" a="1"/>
  <c r="G405" i="4" s="1"/>
  <c r="P405" i="4" s="1"/>
  <c r="G404" i="4" a="1"/>
  <c r="G404" i="4" s="1"/>
  <c r="P404" i="4" s="1"/>
  <c r="G403" i="4" a="1"/>
  <c r="G403" i="4" s="1"/>
  <c r="P403" i="4" s="1"/>
  <c r="G402" i="4" a="1"/>
  <c r="G402" i="4" s="1"/>
  <c r="P402" i="4" s="1"/>
  <c r="G401" i="4" a="1"/>
  <c r="G401" i="4" s="1"/>
  <c r="P401" i="4" s="1"/>
  <c r="G400" i="4" a="1"/>
  <c r="G400" i="4" s="1"/>
  <c r="P400" i="4" s="1"/>
  <c r="G399" i="4" a="1"/>
  <c r="G399" i="4" s="1"/>
  <c r="P399" i="4" s="1"/>
  <c r="G398" i="4" a="1"/>
  <c r="G398" i="4" s="1"/>
  <c r="P398" i="4" s="1"/>
  <c r="G397" i="4" a="1"/>
  <c r="G397" i="4" s="1"/>
  <c r="P397" i="4" s="1"/>
  <c r="G396" i="4" a="1"/>
  <c r="G396" i="4" s="1"/>
  <c r="P396" i="4" s="1"/>
  <c r="G395" i="4" a="1"/>
  <c r="G395" i="4" s="1"/>
  <c r="P395" i="4" s="1"/>
  <c r="G394" i="4" a="1"/>
  <c r="G394" i="4" s="1"/>
  <c r="P394" i="4" s="1"/>
  <c r="G393" i="4" a="1"/>
  <c r="G393" i="4" s="1"/>
  <c r="P393" i="4" s="1"/>
  <c r="G392" i="4" a="1"/>
  <c r="G392" i="4" s="1"/>
  <c r="P392" i="4" s="1"/>
  <c r="G391" i="4" a="1"/>
  <c r="G391" i="4" s="1"/>
  <c r="P391" i="4" s="1"/>
  <c r="G390" i="4" a="1"/>
  <c r="G390" i="4" s="1"/>
  <c r="P390" i="4" s="1"/>
  <c r="G389" i="4" a="1"/>
  <c r="G389" i="4" s="1"/>
  <c r="P389" i="4" s="1"/>
  <c r="G388" i="4" a="1"/>
  <c r="G388" i="4" s="1"/>
  <c r="P388" i="4" s="1"/>
  <c r="G387" i="4" a="1"/>
  <c r="G387" i="4" s="1"/>
  <c r="P387" i="4" s="1"/>
  <c r="G386" i="4" a="1"/>
  <c r="G386" i="4" s="1"/>
  <c r="P386" i="4" s="1"/>
  <c r="G385" i="4" a="1"/>
  <c r="G385" i="4" s="1"/>
  <c r="P385" i="4" s="1"/>
  <c r="G384" i="4" a="1"/>
  <c r="G384" i="4" s="1"/>
  <c r="P384" i="4" s="1"/>
  <c r="G383" i="4" a="1"/>
  <c r="G383" i="4" s="1"/>
  <c r="P383" i="4" s="1"/>
  <c r="G382" i="4" a="1"/>
  <c r="G382" i="4" s="1"/>
  <c r="P382" i="4" s="1"/>
  <c r="G381" i="4" a="1"/>
  <c r="G381" i="4" s="1"/>
  <c r="P381" i="4" s="1"/>
  <c r="G380" i="4" a="1"/>
  <c r="G380" i="4" s="1"/>
  <c r="P380" i="4" s="1"/>
  <c r="G379" i="4" a="1"/>
  <c r="G379" i="4" s="1"/>
  <c r="P379" i="4" s="1"/>
  <c r="G378" i="4" a="1"/>
  <c r="G378" i="4" s="1"/>
  <c r="P378" i="4" s="1"/>
  <c r="G377" i="4" a="1"/>
  <c r="G377" i="4" s="1"/>
  <c r="P377" i="4" s="1"/>
  <c r="G376" i="4" a="1"/>
  <c r="G376" i="4" s="1"/>
  <c r="P376" i="4" s="1"/>
  <c r="G375" i="4" a="1"/>
  <c r="G375" i="4" s="1"/>
  <c r="P375" i="4" s="1"/>
  <c r="G374" i="4" a="1"/>
  <c r="G374" i="4" s="1"/>
  <c r="P374" i="4" s="1"/>
  <c r="G373" i="4" a="1"/>
  <c r="G373" i="4" s="1"/>
  <c r="P373" i="4" s="1"/>
  <c r="G372" i="4" a="1"/>
  <c r="G372" i="4" s="1"/>
  <c r="P372" i="4" s="1"/>
  <c r="G371" i="4" a="1"/>
  <c r="G371" i="4" s="1"/>
  <c r="P371" i="4" s="1"/>
  <c r="G370" i="4" a="1"/>
  <c r="G370" i="4" s="1"/>
  <c r="P370" i="4" s="1"/>
  <c r="G369" i="4" a="1"/>
  <c r="G369" i="4" s="1"/>
  <c r="P369" i="4" s="1"/>
  <c r="G368" i="4" a="1"/>
  <c r="G368" i="4" s="1"/>
  <c r="P368" i="4" s="1"/>
  <c r="G367" i="4" a="1"/>
  <c r="G367" i="4" s="1"/>
  <c r="P367" i="4" s="1"/>
  <c r="G366" i="4" a="1"/>
  <c r="G366" i="4" s="1"/>
  <c r="P366" i="4" s="1"/>
  <c r="G365" i="4" a="1"/>
  <c r="G365" i="4" s="1"/>
  <c r="P365" i="4" s="1"/>
  <c r="G364" i="4" a="1"/>
  <c r="G364" i="4" s="1"/>
  <c r="P364" i="4" s="1"/>
  <c r="G363" i="4" a="1"/>
  <c r="G363" i="4" s="1"/>
  <c r="P363" i="4" s="1"/>
  <c r="G362" i="4" a="1"/>
  <c r="G362" i="4" s="1"/>
  <c r="P362" i="4" s="1"/>
  <c r="G361" i="4" a="1"/>
  <c r="G361" i="4" s="1"/>
  <c r="P361" i="4" s="1"/>
  <c r="G360" i="4" a="1"/>
  <c r="G360" i="4" s="1"/>
  <c r="P360" i="4" s="1"/>
  <c r="G359" i="4" a="1"/>
  <c r="G359" i="4" s="1"/>
  <c r="P359" i="4" s="1"/>
  <c r="G358" i="4" a="1"/>
  <c r="G358" i="4" s="1"/>
  <c r="P358" i="4" s="1"/>
  <c r="G357" i="4" a="1"/>
  <c r="G357" i="4" s="1"/>
  <c r="P357" i="4" s="1"/>
  <c r="G356" i="4" a="1"/>
  <c r="G356" i="4" s="1"/>
  <c r="P356" i="4" s="1"/>
  <c r="G355" i="4" a="1"/>
  <c r="G355" i="4" s="1"/>
  <c r="P355" i="4" s="1"/>
  <c r="G354" i="4" a="1"/>
  <c r="G354" i="4" s="1"/>
  <c r="P354" i="4" s="1"/>
  <c r="G353" i="4" a="1"/>
  <c r="G353" i="4" s="1"/>
  <c r="P353" i="4" s="1"/>
  <c r="G352" i="4" a="1"/>
  <c r="G352" i="4" s="1"/>
  <c r="P352" i="4" s="1"/>
  <c r="G351" i="4" a="1"/>
  <c r="G351" i="4" s="1"/>
  <c r="P351" i="4" s="1"/>
  <c r="G350" i="4" a="1"/>
  <c r="G350" i="4" s="1"/>
  <c r="P350" i="4" s="1"/>
  <c r="G349" i="4" a="1"/>
  <c r="G349" i="4" s="1"/>
  <c r="P349" i="4" s="1"/>
  <c r="G348" i="4" a="1"/>
  <c r="G348" i="4" s="1"/>
  <c r="P348" i="4" s="1"/>
  <c r="G347" i="4" a="1"/>
  <c r="G347" i="4" s="1"/>
  <c r="P347" i="4" s="1"/>
  <c r="G346" i="4" a="1"/>
  <c r="G346" i="4" s="1"/>
  <c r="P346" i="4" s="1"/>
  <c r="G345" i="4" a="1"/>
  <c r="G345" i="4" s="1"/>
  <c r="P345" i="4" s="1"/>
  <c r="G344" i="4" a="1"/>
  <c r="G344" i="4" s="1"/>
  <c r="P344" i="4" s="1"/>
  <c r="G343" i="4" a="1"/>
  <c r="G343" i="4" s="1"/>
  <c r="P343" i="4" s="1"/>
  <c r="G342" i="4" a="1"/>
  <c r="G342" i="4" s="1"/>
  <c r="P342" i="4" s="1"/>
  <c r="G341" i="4" a="1"/>
  <c r="G341" i="4" s="1"/>
  <c r="P341" i="4" s="1"/>
  <c r="G340" i="4" a="1"/>
  <c r="G340" i="4" s="1"/>
  <c r="P340" i="4" s="1"/>
  <c r="G339" i="4" a="1"/>
  <c r="G339" i="4" s="1"/>
  <c r="P339" i="4" s="1"/>
  <c r="G338" i="4" a="1"/>
  <c r="G338" i="4" s="1"/>
  <c r="P338" i="4" s="1"/>
  <c r="G337" i="4" a="1"/>
  <c r="G337" i="4" s="1"/>
  <c r="P337" i="4" s="1"/>
  <c r="G336" i="4" a="1"/>
  <c r="G336" i="4" s="1"/>
  <c r="P336" i="4" s="1"/>
  <c r="G335" i="4" a="1"/>
  <c r="G335" i="4" s="1"/>
  <c r="P335" i="4" s="1"/>
  <c r="G334" i="4" a="1"/>
  <c r="G334" i="4" s="1"/>
  <c r="P334" i="4" s="1"/>
  <c r="G333" i="4" a="1"/>
  <c r="G333" i="4" s="1"/>
  <c r="P333" i="4" s="1"/>
  <c r="G332" i="4" a="1"/>
  <c r="G332" i="4" s="1"/>
  <c r="P332" i="4" s="1"/>
  <c r="G331" i="4" a="1"/>
  <c r="G331" i="4" s="1"/>
  <c r="P331" i="4" s="1"/>
  <c r="G330" i="4" a="1"/>
  <c r="G330" i="4" s="1"/>
  <c r="P330" i="4" s="1"/>
  <c r="G329" i="4" a="1"/>
  <c r="G329" i="4" s="1"/>
  <c r="P329" i="4" s="1"/>
  <c r="G328" i="4" a="1"/>
  <c r="G328" i="4" s="1"/>
  <c r="P328" i="4" s="1"/>
  <c r="G327" i="4" a="1"/>
  <c r="G327" i="4" s="1"/>
  <c r="P327" i="4" s="1"/>
  <c r="G326" i="4" a="1"/>
  <c r="G326" i="4" s="1"/>
  <c r="P326" i="4" s="1"/>
  <c r="G325" i="4" a="1"/>
  <c r="G325" i="4" s="1"/>
  <c r="P325" i="4" s="1"/>
  <c r="G324" i="4" a="1"/>
  <c r="G324" i="4" s="1"/>
  <c r="P324" i="4" s="1"/>
  <c r="G323" i="4" a="1"/>
  <c r="G323" i="4" s="1"/>
  <c r="P323" i="4" s="1"/>
  <c r="G322" i="4" a="1"/>
  <c r="G322" i="4" s="1"/>
  <c r="P322" i="4" s="1"/>
  <c r="G321" i="4" a="1"/>
  <c r="G321" i="4" s="1"/>
  <c r="P321" i="4" s="1"/>
  <c r="G320" i="4" a="1"/>
  <c r="G320" i="4" s="1"/>
  <c r="P320" i="4" s="1"/>
  <c r="G319" i="4" a="1"/>
  <c r="G319" i="4" s="1"/>
  <c r="P319" i="4" s="1"/>
  <c r="G318" i="4" a="1"/>
  <c r="G318" i="4" s="1"/>
  <c r="P318" i="4" s="1"/>
  <c r="G317" i="4" a="1"/>
  <c r="G317" i="4" s="1"/>
  <c r="P317" i="4" s="1"/>
  <c r="G316" i="4" a="1"/>
  <c r="G316" i="4" s="1"/>
  <c r="P316" i="4" s="1"/>
  <c r="G315" i="4" a="1"/>
  <c r="G315" i="4" s="1"/>
  <c r="P315" i="4" s="1"/>
  <c r="G314" i="4" a="1"/>
  <c r="G314" i="4" s="1"/>
  <c r="P314" i="4" s="1"/>
  <c r="G313" i="4" a="1"/>
  <c r="G313" i="4" s="1"/>
  <c r="P313" i="4" s="1"/>
  <c r="G312" i="4" a="1"/>
  <c r="G312" i="4" s="1"/>
  <c r="P312" i="4" s="1"/>
  <c r="G311" i="4" a="1"/>
  <c r="G311" i="4" s="1"/>
  <c r="P311" i="4" s="1"/>
  <c r="G310" i="4" a="1"/>
  <c r="G310" i="4" s="1"/>
  <c r="P310" i="4" s="1"/>
  <c r="G309" i="4" a="1"/>
  <c r="G309" i="4" s="1"/>
  <c r="P309" i="4" s="1"/>
  <c r="G308" i="4" a="1"/>
  <c r="G308" i="4" s="1"/>
  <c r="P308" i="4" s="1"/>
  <c r="G307" i="4" a="1"/>
  <c r="G307" i="4" s="1"/>
  <c r="P307" i="4" s="1"/>
  <c r="G306" i="4" a="1"/>
  <c r="G306" i="4" s="1"/>
  <c r="P306" i="4" s="1"/>
  <c r="G305" i="4" a="1"/>
  <c r="G305" i="4" s="1"/>
  <c r="P305" i="4" s="1"/>
  <c r="G304" i="4" a="1"/>
  <c r="G304" i="4" s="1"/>
  <c r="P304" i="4" s="1"/>
  <c r="G303" i="4" a="1"/>
  <c r="G303" i="4" s="1"/>
  <c r="P303" i="4" s="1"/>
  <c r="G302" i="4" a="1"/>
  <c r="G302" i="4" s="1"/>
  <c r="P302" i="4" s="1"/>
  <c r="G301" i="4" a="1"/>
  <c r="G301" i="4" s="1"/>
  <c r="P301" i="4" s="1"/>
  <c r="G300" i="4" a="1"/>
  <c r="G300" i="4" s="1"/>
  <c r="P300" i="4" s="1"/>
  <c r="G299" i="4" a="1"/>
  <c r="G299" i="4" s="1"/>
  <c r="P299" i="4" s="1"/>
  <c r="G298" i="4" a="1"/>
  <c r="G298" i="4" s="1"/>
  <c r="P298" i="4" s="1"/>
  <c r="G297" i="4" a="1"/>
  <c r="G297" i="4" s="1"/>
  <c r="P297" i="4" s="1"/>
  <c r="G296" i="4" a="1"/>
  <c r="G296" i="4" s="1"/>
  <c r="P296" i="4" s="1"/>
  <c r="G295" i="4" a="1"/>
  <c r="G295" i="4" s="1"/>
  <c r="P295" i="4" s="1"/>
  <c r="G294" i="4" a="1"/>
  <c r="G294" i="4" s="1"/>
  <c r="P294" i="4" s="1"/>
  <c r="G293" i="4" a="1"/>
  <c r="G293" i="4" s="1"/>
  <c r="P293" i="4" s="1"/>
  <c r="G292" i="4" a="1"/>
  <c r="G292" i="4" s="1"/>
  <c r="P292" i="4" s="1"/>
  <c r="G291" i="4" a="1"/>
  <c r="G291" i="4" s="1"/>
  <c r="P291" i="4" s="1"/>
  <c r="G290" i="4" a="1"/>
  <c r="G290" i="4" s="1"/>
  <c r="P290" i="4" s="1"/>
  <c r="G289" i="4" a="1"/>
  <c r="G289" i="4" s="1"/>
  <c r="P289" i="4" s="1"/>
  <c r="G288" i="4" a="1"/>
  <c r="G288" i="4" s="1"/>
  <c r="P288" i="4" s="1"/>
  <c r="G287" i="4" a="1"/>
  <c r="G287" i="4" s="1"/>
  <c r="P287" i="4" s="1"/>
  <c r="G286" i="4" a="1"/>
  <c r="G286" i="4" s="1"/>
  <c r="P286" i="4" s="1"/>
  <c r="G285" i="4" a="1"/>
  <c r="G285" i="4" s="1"/>
  <c r="P285" i="4" s="1"/>
  <c r="G284" i="4" a="1"/>
  <c r="G284" i="4" s="1"/>
  <c r="P284" i="4" s="1"/>
  <c r="G283" i="4" a="1"/>
  <c r="G283" i="4" s="1"/>
  <c r="P283" i="4" s="1"/>
  <c r="G282" i="4" a="1"/>
  <c r="G282" i="4" s="1"/>
  <c r="P282" i="4" s="1"/>
  <c r="G281" i="4" a="1"/>
  <c r="G281" i="4" s="1"/>
  <c r="P281" i="4" s="1"/>
  <c r="G280" i="4" a="1"/>
  <c r="G280" i="4" s="1"/>
  <c r="P280" i="4" s="1"/>
  <c r="G279" i="4" a="1"/>
  <c r="G279" i="4" s="1"/>
  <c r="P279" i="4" s="1"/>
  <c r="G278" i="4" a="1"/>
  <c r="G278" i="4" s="1"/>
  <c r="P278" i="4" s="1"/>
  <c r="G277" i="4" a="1"/>
  <c r="G277" i="4" s="1"/>
  <c r="P277" i="4" s="1"/>
  <c r="G276" i="4" a="1"/>
  <c r="G276" i="4" s="1"/>
  <c r="P276" i="4" s="1"/>
  <c r="G275" i="4" a="1"/>
  <c r="G275" i="4" s="1"/>
  <c r="P275" i="4" s="1"/>
  <c r="G274" i="4" a="1"/>
  <c r="G274" i="4" s="1"/>
  <c r="P274" i="4" s="1"/>
  <c r="G273" i="4" a="1"/>
  <c r="G273" i="4" s="1"/>
  <c r="P273" i="4" s="1"/>
  <c r="G272" i="4" a="1"/>
  <c r="G272" i="4" s="1"/>
  <c r="P272" i="4" s="1"/>
  <c r="G271" i="4" a="1"/>
  <c r="G271" i="4" s="1"/>
  <c r="P271" i="4" s="1"/>
  <c r="G270" i="4" a="1"/>
  <c r="G270" i="4" s="1"/>
  <c r="P270" i="4" s="1"/>
  <c r="G269" i="4" a="1"/>
  <c r="G269" i="4" s="1"/>
  <c r="P269" i="4" s="1"/>
  <c r="G268" i="4" a="1"/>
  <c r="G268" i="4" s="1"/>
  <c r="P268" i="4" s="1"/>
  <c r="G267" i="4" a="1"/>
  <c r="G267" i="4" s="1"/>
  <c r="P267" i="4" s="1"/>
  <c r="G266" i="4" a="1"/>
  <c r="G266" i="4" s="1"/>
  <c r="P266" i="4" s="1"/>
  <c r="G265" i="4" a="1"/>
  <c r="G265" i="4" s="1"/>
  <c r="P265" i="4" s="1"/>
  <c r="G264" i="4" a="1"/>
  <c r="G264" i="4" s="1"/>
  <c r="P264" i="4" s="1"/>
  <c r="G263" i="4" a="1"/>
  <c r="G263" i="4" s="1"/>
  <c r="P263" i="4" s="1"/>
  <c r="G262" i="4" a="1"/>
  <c r="G262" i="4" s="1"/>
  <c r="P262" i="4" s="1"/>
  <c r="G261" i="4" a="1"/>
  <c r="G261" i="4" s="1"/>
  <c r="P261" i="4" s="1"/>
  <c r="G260" i="4" a="1"/>
  <c r="G260" i="4" s="1"/>
  <c r="P260" i="4" s="1"/>
  <c r="G259" i="4" a="1"/>
  <c r="G259" i="4" s="1"/>
  <c r="P259" i="4" s="1"/>
  <c r="G258" i="4" a="1"/>
  <c r="G258" i="4" s="1"/>
  <c r="P258" i="4" s="1"/>
  <c r="G257" i="4" a="1"/>
  <c r="G257" i="4" s="1"/>
  <c r="P257" i="4" s="1"/>
  <c r="G256" i="4" a="1"/>
  <c r="G256" i="4" s="1"/>
  <c r="P256" i="4" s="1"/>
  <c r="G255" i="4" a="1"/>
  <c r="G255" i="4" s="1"/>
  <c r="P255" i="4" s="1"/>
  <c r="G254" i="4" a="1"/>
  <c r="G254" i="4" s="1"/>
  <c r="P254" i="4" s="1"/>
  <c r="G253" i="4" a="1"/>
  <c r="G253" i="4" s="1"/>
  <c r="P253" i="4" s="1"/>
  <c r="G252" i="4" a="1"/>
  <c r="G252" i="4" s="1"/>
  <c r="P252" i="4" s="1"/>
  <c r="G251" i="4" a="1"/>
  <c r="G251" i="4" s="1"/>
  <c r="P251" i="4" s="1"/>
  <c r="G250" i="4" a="1"/>
  <c r="G250" i="4" s="1"/>
  <c r="P250" i="4" s="1"/>
  <c r="G249" i="4" a="1"/>
  <c r="G249" i="4" s="1"/>
  <c r="P249" i="4" s="1"/>
  <c r="G248" i="4" a="1"/>
  <c r="G248" i="4" s="1"/>
  <c r="P248" i="4" s="1"/>
  <c r="G247" i="4" a="1"/>
  <c r="G247" i="4" s="1"/>
  <c r="P247" i="4" s="1"/>
  <c r="G246" i="4" a="1"/>
  <c r="G246" i="4" s="1"/>
  <c r="P246" i="4" s="1"/>
  <c r="G245" i="4" a="1"/>
  <c r="G245" i="4" s="1"/>
  <c r="P245" i="4" s="1"/>
  <c r="G244" i="4" a="1"/>
  <c r="G244" i="4" s="1"/>
  <c r="P244" i="4" s="1"/>
  <c r="G243" i="4" a="1"/>
  <c r="G243" i="4" s="1"/>
  <c r="P243" i="4" s="1"/>
  <c r="G242" i="4" a="1"/>
  <c r="G242" i="4" s="1"/>
  <c r="P242" i="4" s="1"/>
  <c r="G241" i="4" a="1"/>
  <c r="G241" i="4" s="1"/>
  <c r="P241" i="4" s="1"/>
  <c r="G240" i="4" a="1"/>
  <c r="G240" i="4" s="1"/>
  <c r="P240" i="4" s="1"/>
  <c r="G239" i="4" a="1"/>
  <c r="G239" i="4" s="1"/>
  <c r="P239" i="4" s="1"/>
  <c r="G238" i="4" a="1"/>
  <c r="G238" i="4" s="1"/>
  <c r="P238" i="4" s="1"/>
  <c r="G237" i="4" a="1"/>
  <c r="G237" i="4" s="1"/>
  <c r="P237" i="4" s="1"/>
  <c r="G236" i="4" a="1"/>
  <c r="G236" i="4" s="1"/>
  <c r="P236" i="4" s="1"/>
  <c r="G235" i="4" a="1"/>
  <c r="G235" i="4" s="1"/>
  <c r="P235" i="4" s="1"/>
  <c r="G234" i="4" a="1"/>
  <c r="G234" i="4" s="1"/>
  <c r="P234" i="4" s="1"/>
  <c r="G233" i="4" a="1"/>
  <c r="G233" i="4" s="1"/>
  <c r="P233" i="4" s="1"/>
  <c r="G232" i="4" a="1"/>
  <c r="G232" i="4" s="1"/>
  <c r="P232" i="4" s="1"/>
  <c r="G231" i="4" a="1"/>
  <c r="G231" i="4" s="1"/>
  <c r="P231" i="4" s="1"/>
  <c r="G230" i="4" a="1"/>
  <c r="G230" i="4" s="1"/>
  <c r="P230" i="4" s="1"/>
  <c r="G229" i="4" a="1"/>
  <c r="G229" i="4" s="1"/>
  <c r="P229" i="4" s="1"/>
  <c r="G228" i="4" a="1"/>
  <c r="G228" i="4" s="1"/>
  <c r="P228" i="4" s="1"/>
  <c r="G227" i="4" a="1"/>
  <c r="G227" i="4" s="1"/>
  <c r="P227" i="4" s="1"/>
  <c r="G226" i="4" a="1"/>
  <c r="G226" i="4" s="1"/>
  <c r="P226" i="4" s="1"/>
  <c r="G225" i="4" a="1"/>
  <c r="G225" i="4" s="1"/>
  <c r="P225" i="4" s="1"/>
  <c r="G224" i="4" a="1"/>
  <c r="G224" i="4" s="1"/>
  <c r="P224" i="4" s="1"/>
  <c r="G223" i="4" a="1"/>
  <c r="G223" i="4" s="1"/>
  <c r="P223" i="4" s="1"/>
  <c r="G222" i="4" a="1"/>
  <c r="G222" i="4" s="1"/>
  <c r="P222" i="4" s="1"/>
  <c r="G221" i="4" a="1"/>
  <c r="G221" i="4" s="1"/>
  <c r="P221" i="4" s="1"/>
  <c r="G220" i="4" a="1"/>
  <c r="G220" i="4" s="1"/>
  <c r="P220" i="4" s="1"/>
  <c r="G219" i="4" a="1"/>
  <c r="G219" i="4" s="1"/>
  <c r="P219" i="4" s="1"/>
  <c r="G218" i="4" a="1"/>
  <c r="G218" i="4" s="1"/>
  <c r="P218" i="4" s="1"/>
  <c r="G217" i="4" a="1"/>
  <c r="G217" i="4" s="1"/>
  <c r="P217" i="4" s="1"/>
  <c r="G216" i="4" a="1"/>
  <c r="G216" i="4" s="1"/>
  <c r="P216" i="4" s="1"/>
  <c r="G215" i="4" a="1"/>
  <c r="G215" i="4" s="1"/>
  <c r="P215" i="4" s="1"/>
  <c r="G214" i="4" a="1"/>
  <c r="G214" i="4" s="1"/>
  <c r="P214" i="4" s="1"/>
  <c r="G213" i="4" a="1"/>
  <c r="G213" i="4" s="1"/>
  <c r="P213" i="4" s="1"/>
  <c r="G212" i="4" a="1"/>
  <c r="G212" i="4" s="1"/>
  <c r="P212" i="4" s="1"/>
  <c r="G211" i="4" a="1"/>
  <c r="G211" i="4" s="1"/>
  <c r="P211" i="4" s="1"/>
  <c r="G210" i="4" a="1"/>
  <c r="G210" i="4" s="1"/>
  <c r="P210" i="4" s="1"/>
  <c r="G209" i="4" a="1"/>
  <c r="G209" i="4" s="1"/>
  <c r="P209" i="4" s="1"/>
  <c r="G208" i="4" a="1"/>
  <c r="G208" i="4" s="1"/>
  <c r="P208" i="4" s="1"/>
  <c r="G207" i="4" a="1"/>
  <c r="G207" i="4" s="1"/>
  <c r="P207" i="4" s="1"/>
  <c r="G206" i="4" a="1"/>
  <c r="G206" i="4" s="1"/>
  <c r="P206" i="4" s="1"/>
  <c r="G205" i="4" a="1"/>
  <c r="G205" i="4" s="1"/>
  <c r="P205" i="4" s="1"/>
  <c r="G204" i="4" a="1"/>
  <c r="G204" i="4" s="1"/>
  <c r="P204" i="4" s="1"/>
  <c r="G203" i="4" a="1"/>
  <c r="G203" i="4" s="1"/>
  <c r="P203" i="4" s="1"/>
  <c r="G202" i="4" a="1"/>
  <c r="G202" i="4" s="1"/>
  <c r="P202" i="4" s="1"/>
  <c r="G201" i="4" a="1"/>
  <c r="G201" i="4" s="1"/>
  <c r="P201" i="4" s="1"/>
  <c r="G200" i="4" a="1"/>
  <c r="G200" i="4" s="1"/>
  <c r="P200" i="4" s="1"/>
  <c r="G199" i="4" a="1"/>
  <c r="G199" i="4" s="1"/>
  <c r="P199" i="4" s="1"/>
  <c r="G198" i="4" a="1"/>
  <c r="G198" i="4" s="1"/>
  <c r="P198" i="4" s="1"/>
  <c r="G197" i="4" a="1"/>
  <c r="G197" i="4" s="1"/>
  <c r="P197" i="4" s="1"/>
  <c r="G196" i="4" a="1"/>
  <c r="G196" i="4" s="1"/>
  <c r="P196" i="4" s="1"/>
  <c r="G195" i="4" a="1"/>
  <c r="G195" i="4" s="1"/>
  <c r="P195" i="4" s="1"/>
  <c r="G194" i="4" a="1"/>
  <c r="G194" i="4" s="1"/>
  <c r="P194" i="4" s="1"/>
  <c r="G193" i="4" a="1"/>
  <c r="G193" i="4" s="1"/>
  <c r="P193" i="4" s="1"/>
  <c r="G192" i="4" a="1"/>
  <c r="G192" i="4" s="1"/>
  <c r="P192" i="4" s="1"/>
  <c r="G191" i="4" a="1"/>
  <c r="G191" i="4" s="1"/>
  <c r="P191" i="4" s="1"/>
  <c r="G190" i="4" a="1"/>
  <c r="G190" i="4" s="1"/>
  <c r="P190" i="4" s="1"/>
  <c r="G189" i="4" a="1"/>
  <c r="G189" i="4" s="1"/>
  <c r="P189" i="4" s="1"/>
  <c r="G188" i="4" a="1"/>
  <c r="G188" i="4" s="1"/>
  <c r="P188" i="4" s="1"/>
  <c r="G187" i="4" a="1"/>
  <c r="G187" i="4" s="1"/>
  <c r="P187" i="4" s="1"/>
  <c r="G186" i="4" a="1"/>
  <c r="G186" i="4" s="1"/>
  <c r="P186" i="4" s="1"/>
  <c r="G185" i="4" a="1"/>
  <c r="G185" i="4" s="1"/>
  <c r="P185" i="4" s="1"/>
  <c r="G184" i="4" a="1"/>
  <c r="G184" i="4" s="1"/>
  <c r="P184" i="4" s="1"/>
  <c r="G183" i="4" a="1"/>
  <c r="G183" i="4" s="1"/>
  <c r="P183" i="4" s="1"/>
  <c r="G182" i="4" a="1"/>
  <c r="G182" i="4" s="1"/>
  <c r="P182" i="4" s="1"/>
  <c r="G181" i="4" a="1"/>
  <c r="G181" i="4" s="1"/>
  <c r="P181" i="4" s="1"/>
  <c r="G180" i="4" a="1"/>
  <c r="G180" i="4" s="1"/>
  <c r="P180" i="4" s="1"/>
  <c r="G179" i="4" a="1"/>
  <c r="G179" i="4" s="1"/>
  <c r="P179" i="4" s="1"/>
  <c r="G178" i="4" a="1"/>
  <c r="G178" i="4" s="1"/>
  <c r="P178" i="4" s="1"/>
  <c r="G177" i="4" a="1"/>
  <c r="G177" i="4" s="1"/>
  <c r="P177" i="4" s="1"/>
  <c r="G176" i="4" a="1"/>
  <c r="G176" i="4" s="1"/>
  <c r="P176" i="4" s="1"/>
  <c r="G175" i="4" a="1"/>
  <c r="G175" i="4" s="1"/>
  <c r="P175" i="4" s="1"/>
  <c r="G174" i="4" a="1"/>
  <c r="G174" i="4" s="1"/>
  <c r="P174" i="4" s="1"/>
  <c r="G173" i="4" a="1"/>
  <c r="G173" i="4" s="1"/>
  <c r="P173" i="4" s="1"/>
  <c r="G172" i="4" a="1"/>
  <c r="G172" i="4" s="1"/>
  <c r="P172" i="4" s="1"/>
  <c r="G171" i="4" a="1"/>
  <c r="G171" i="4" s="1"/>
  <c r="P171" i="4" s="1"/>
  <c r="G170" i="4" a="1"/>
  <c r="G170" i="4" s="1"/>
  <c r="P170" i="4" s="1"/>
  <c r="G169" i="4" a="1"/>
  <c r="G169" i="4" s="1"/>
  <c r="P169" i="4" s="1"/>
  <c r="G168" i="4" a="1"/>
  <c r="G168" i="4" s="1"/>
  <c r="P168" i="4" s="1"/>
  <c r="G167" i="4" a="1"/>
  <c r="G167" i="4" s="1"/>
  <c r="P167" i="4" s="1"/>
  <c r="G166" i="4" a="1"/>
  <c r="G166" i="4" s="1"/>
  <c r="P166" i="4" s="1"/>
  <c r="G165" i="4" a="1"/>
  <c r="G165" i="4" s="1"/>
  <c r="P165" i="4" s="1"/>
  <c r="G164" i="4" a="1"/>
  <c r="G164" i="4" s="1"/>
  <c r="P164" i="4" s="1"/>
  <c r="G163" i="4" a="1"/>
  <c r="G163" i="4" s="1"/>
  <c r="P163" i="4" s="1"/>
  <c r="G162" i="4" a="1"/>
  <c r="G162" i="4" s="1"/>
  <c r="P162" i="4" s="1"/>
  <c r="G161" i="4" a="1"/>
  <c r="G161" i="4" s="1"/>
  <c r="P161" i="4" s="1"/>
  <c r="G160" i="4" a="1"/>
  <c r="G160" i="4" s="1"/>
  <c r="P160" i="4" s="1"/>
  <c r="G159" i="4" a="1"/>
  <c r="G159" i="4" s="1"/>
  <c r="P159" i="4" s="1"/>
  <c r="G158" i="4" a="1"/>
  <c r="G158" i="4" s="1"/>
  <c r="P158" i="4" s="1"/>
  <c r="G157" i="4" a="1"/>
  <c r="G157" i="4" s="1"/>
  <c r="P157" i="4" s="1"/>
  <c r="G156" i="4" a="1"/>
  <c r="G156" i="4" s="1"/>
  <c r="P156" i="4" s="1"/>
  <c r="G155" i="4" a="1"/>
  <c r="G155" i="4" s="1"/>
  <c r="P155" i="4" s="1"/>
  <c r="G154" i="4" a="1"/>
  <c r="G154" i="4" s="1"/>
  <c r="P154" i="4" s="1"/>
  <c r="G153" i="4" a="1"/>
  <c r="G153" i="4" s="1"/>
  <c r="P153" i="4" s="1"/>
  <c r="G152" i="4" a="1"/>
  <c r="G152" i="4" s="1"/>
  <c r="P152" i="4" s="1"/>
  <c r="G151" i="4" a="1"/>
  <c r="G151" i="4" s="1"/>
  <c r="P151" i="4" s="1"/>
  <c r="G150" i="4" a="1"/>
  <c r="G150" i="4" s="1"/>
  <c r="P150" i="4" s="1"/>
  <c r="G149" i="4" a="1"/>
  <c r="G149" i="4" s="1"/>
  <c r="P149" i="4" s="1"/>
  <c r="G148" i="4" a="1"/>
  <c r="G148" i="4" s="1"/>
  <c r="P148" i="4" s="1"/>
  <c r="G147" i="4" a="1"/>
  <c r="G147" i="4" s="1"/>
  <c r="P147" i="4" s="1"/>
  <c r="G146" i="4" a="1"/>
  <c r="G146" i="4" s="1"/>
  <c r="P146" i="4" s="1"/>
  <c r="G145" i="4" a="1"/>
  <c r="G145" i="4" s="1"/>
  <c r="P145" i="4" s="1"/>
  <c r="G144" i="4" a="1"/>
  <c r="G144" i="4" s="1"/>
  <c r="P144" i="4" s="1"/>
  <c r="G143" i="4" a="1"/>
  <c r="G143" i="4" s="1"/>
  <c r="P143" i="4" s="1"/>
  <c r="G142" i="4" a="1"/>
  <c r="G142" i="4" s="1"/>
  <c r="P142" i="4" s="1"/>
  <c r="G141" i="4" a="1"/>
  <c r="G141" i="4" s="1"/>
  <c r="P141" i="4" s="1"/>
  <c r="G140" i="4" a="1"/>
  <c r="G140" i="4" s="1"/>
  <c r="P140" i="4" s="1"/>
  <c r="G139" i="4" a="1"/>
  <c r="G139" i="4" s="1"/>
  <c r="P139" i="4" s="1"/>
  <c r="G138" i="4" a="1"/>
  <c r="G138" i="4" s="1"/>
  <c r="P138" i="4" s="1"/>
  <c r="G137" i="4" a="1"/>
  <c r="G137" i="4" s="1"/>
  <c r="P137" i="4" s="1"/>
  <c r="G136" i="4" a="1"/>
  <c r="G136" i="4" s="1"/>
  <c r="P136" i="4" s="1"/>
  <c r="G135" i="4" a="1"/>
  <c r="G135" i="4" s="1"/>
  <c r="P135" i="4" s="1"/>
  <c r="G134" i="4" a="1"/>
  <c r="G134" i="4" s="1"/>
  <c r="P134" i="4" s="1"/>
  <c r="G133" i="4" a="1"/>
  <c r="G133" i="4" s="1"/>
  <c r="P133" i="4" s="1"/>
  <c r="G132" i="4" a="1"/>
  <c r="G132" i="4" s="1"/>
  <c r="P132" i="4" s="1"/>
  <c r="G131" i="4" a="1"/>
  <c r="G131" i="4" s="1"/>
  <c r="P131" i="4" s="1"/>
  <c r="G130" i="4" a="1"/>
  <c r="G130" i="4" s="1"/>
  <c r="P130" i="4" s="1"/>
  <c r="G129" i="4" a="1"/>
  <c r="G129" i="4" s="1"/>
  <c r="P129" i="4" s="1"/>
  <c r="G128" i="4" a="1"/>
  <c r="G128" i="4" s="1"/>
  <c r="P128" i="4" s="1"/>
  <c r="G127" i="4" a="1"/>
  <c r="G127" i="4" s="1"/>
  <c r="P127" i="4" s="1"/>
  <c r="G126" i="4" a="1"/>
  <c r="G126" i="4" s="1"/>
  <c r="P126" i="4" s="1"/>
  <c r="G125" i="4" a="1"/>
  <c r="G125" i="4" s="1"/>
  <c r="P125" i="4" s="1"/>
  <c r="G124" i="4" a="1"/>
  <c r="G124" i="4" s="1"/>
  <c r="P124" i="4" s="1"/>
  <c r="G123" i="4" a="1"/>
  <c r="G123" i="4" s="1"/>
  <c r="P123" i="4" s="1"/>
  <c r="G122" i="4" a="1"/>
  <c r="G122" i="4" s="1"/>
  <c r="P122" i="4" s="1"/>
  <c r="G121" i="4" a="1"/>
  <c r="G121" i="4" s="1"/>
  <c r="P121" i="4" s="1"/>
  <c r="G120" i="4" a="1"/>
  <c r="G120" i="4" s="1"/>
  <c r="P120" i="4" s="1"/>
  <c r="G119" i="4" a="1"/>
  <c r="G119" i="4" s="1"/>
  <c r="P119" i="4" s="1"/>
  <c r="G118" i="4" a="1"/>
  <c r="G118" i="4" s="1"/>
  <c r="P118" i="4" s="1"/>
  <c r="G117" i="4" a="1"/>
  <c r="G117" i="4" s="1"/>
  <c r="P117" i="4" s="1"/>
  <c r="G116" i="4" a="1"/>
  <c r="G116" i="4" s="1"/>
  <c r="P116" i="4" s="1"/>
  <c r="G115" i="4" a="1"/>
  <c r="G115" i="4" s="1"/>
  <c r="P115" i="4" s="1"/>
  <c r="G114" i="4" a="1"/>
  <c r="G114" i="4" s="1"/>
  <c r="P114" i="4" s="1"/>
  <c r="G113" i="4" a="1"/>
  <c r="G113" i="4" s="1"/>
  <c r="P113" i="4" s="1"/>
  <c r="G112" i="4" a="1"/>
  <c r="G112" i="4" s="1"/>
  <c r="P112" i="4" s="1"/>
  <c r="G111" i="4" a="1"/>
  <c r="G111" i="4" s="1"/>
  <c r="P111" i="4" s="1"/>
  <c r="G110" i="4" a="1"/>
  <c r="G110" i="4" s="1"/>
  <c r="P110" i="4" s="1"/>
  <c r="G109" i="4" a="1"/>
  <c r="G109" i="4" s="1"/>
  <c r="P109" i="4" s="1"/>
  <c r="G108" i="4" a="1"/>
  <c r="G108" i="4" s="1"/>
  <c r="P108" i="4" s="1"/>
  <c r="G107" i="4" a="1"/>
  <c r="G107" i="4" s="1"/>
  <c r="P107" i="4" s="1"/>
  <c r="G106" i="4" a="1"/>
  <c r="G106" i="4" s="1"/>
  <c r="P106" i="4" s="1"/>
  <c r="G105" i="4" a="1"/>
  <c r="G105" i="4" s="1"/>
  <c r="P105" i="4" s="1"/>
  <c r="G104" i="4" a="1"/>
  <c r="G104" i="4" s="1"/>
  <c r="P104" i="4" s="1"/>
  <c r="G103" i="4" a="1"/>
  <c r="G103" i="4" s="1"/>
  <c r="P103" i="4" s="1"/>
  <c r="G102" i="4" a="1"/>
  <c r="G102" i="4" s="1"/>
  <c r="P102" i="4" s="1"/>
  <c r="G101" i="4" a="1"/>
  <c r="G101" i="4" s="1"/>
  <c r="P101" i="4" s="1"/>
  <c r="G100" i="4" a="1"/>
  <c r="G100" i="4" s="1"/>
  <c r="P100" i="4" s="1"/>
  <c r="G99" i="4" a="1"/>
  <c r="G99" i="4" s="1"/>
  <c r="P99" i="4" s="1"/>
  <c r="G98" i="4" a="1"/>
  <c r="G98" i="4" s="1"/>
  <c r="P98" i="4" s="1"/>
  <c r="G97" i="4" a="1"/>
  <c r="G97" i="4" s="1"/>
  <c r="P97" i="4" s="1"/>
  <c r="G96" i="4" a="1"/>
  <c r="G96" i="4" s="1"/>
  <c r="P96" i="4" s="1"/>
  <c r="G95" i="4" a="1"/>
  <c r="G95" i="4" s="1"/>
  <c r="P95" i="4" s="1"/>
  <c r="G94" i="4" a="1"/>
  <c r="G94" i="4" s="1"/>
  <c r="P94" i="4" s="1"/>
  <c r="G93" i="4" a="1"/>
  <c r="G93" i="4" s="1"/>
  <c r="P93" i="4" s="1"/>
  <c r="G92" i="4" a="1"/>
  <c r="G92" i="4" s="1"/>
  <c r="P92" i="4" s="1"/>
  <c r="G91" i="4" a="1"/>
  <c r="G91" i="4" s="1"/>
  <c r="P91" i="4" s="1"/>
  <c r="G90" i="4" a="1"/>
  <c r="G90" i="4" s="1"/>
  <c r="P90" i="4" s="1"/>
  <c r="G89" i="4" a="1"/>
  <c r="G89" i="4" s="1"/>
  <c r="P89" i="4" s="1"/>
  <c r="G88" i="4" a="1"/>
  <c r="G88" i="4" s="1"/>
  <c r="P88" i="4" s="1"/>
  <c r="G87" i="4" a="1"/>
  <c r="G87" i="4" s="1"/>
  <c r="P87" i="4" s="1"/>
  <c r="G86" i="4" a="1"/>
  <c r="G86" i="4" s="1"/>
  <c r="P86" i="4" s="1"/>
  <c r="G85" i="4" a="1"/>
  <c r="G85" i="4" s="1"/>
  <c r="P85" i="4" s="1"/>
  <c r="G84" i="4" a="1"/>
  <c r="G84" i="4" s="1"/>
  <c r="P84" i="4" s="1"/>
  <c r="G83" i="4" a="1"/>
  <c r="G83" i="4" s="1"/>
  <c r="P83" i="4" s="1"/>
  <c r="G82" i="4" a="1"/>
  <c r="G82" i="4" s="1"/>
  <c r="P82" i="4" s="1"/>
  <c r="G81" i="4" a="1"/>
  <c r="G81" i="4" s="1"/>
  <c r="P81" i="4" s="1"/>
  <c r="G80" i="4" a="1"/>
  <c r="G80" i="4" s="1"/>
  <c r="P80" i="4" s="1"/>
  <c r="G79" i="4" a="1"/>
  <c r="G79" i="4" s="1"/>
  <c r="P79" i="4" s="1"/>
  <c r="G78" i="4" a="1"/>
  <c r="G78" i="4" s="1"/>
  <c r="P78" i="4" s="1"/>
  <c r="G77" i="4" a="1"/>
  <c r="G77" i="4" s="1"/>
  <c r="P77" i="4" s="1"/>
  <c r="G76" i="4" a="1"/>
  <c r="G76" i="4" s="1"/>
  <c r="P76" i="4" s="1"/>
  <c r="G75" i="4" a="1"/>
  <c r="G75" i="4" s="1"/>
  <c r="P75" i="4" s="1"/>
  <c r="G74" i="4" a="1"/>
  <c r="G74" i="4" s="1"/>
  <c r="P74" i="4" s="1"/>
  <c r="G73" i="4" a="1"/>
  <c r="G73" i="4" s="1"/>
  <c r="P73" i="4" s="1"/>
  <c r="G72" i="4" a="1"/>
  <c r="G72" i="4" s="1"/>
  <c r="P72" i="4" s="1"/>
  <c r="G71" i="4" a="1"/>
  <c r="G71" i="4" s="1"/>
  <c r="P71" i="4" s="1"/>
  <c r="G70" i="4" a="1"/>
  <c r="G70" i="4" s="1"/>
  <c r="P70" i="4" s="1"/>
  <c r="G69" i="4" a="1"/>
  <c r="G69" i="4" s="1"/>
  <c r="P69" i="4" s="1"/>
  <c r="G68" i="4" a="1"/>
  <c r="G68" i="4" s="1"/>
  <c r="P68" i="4" s="1"/>
  <c r="G67" i="4" a="1"/>
  <c r="G67" i="4" s="1"/>
  <c r="P67" i="4" s="1"/>
  <c r="G66" i="4" a="1"/>
  <c r="G66" i="4" s="1"/>
  <c r="P66" i="4" s="1"/>
  <c r="G65" i="4" a="1"/>
  <c r="G65" i="4" s="1"/>
  <c r="P65" i="4" s="1"/>
  <c r="G64" i="4" a="1"/>
  <c r="G64" i="4" s="1"/>
  <c r="P64" i="4" s="1"/>
  <c r="G63" i="4" a="1"/>
  <c r="G63" i="4" s="1"/>
  <c r="P63" i="4" s="1"/>
  <c r="G62" i="4" a="1"/>
  <c r="G62" i="4" s="1"/>
  <c r="P62" i="4" s="1"/>
  <c r="G61" i="4" a="1"/>
  <c r="G61" i="4" s="1"/>
  <c r="P61" i="4" s="1"/>
  <c r="G60" i="4" a="1"/>
  <c r="G60" i="4" s="1"/>
  <c r="P60" i="4" s="1"/>
  <c r="G59" i="4" a="1"/>
  <c r="G59" i="4" s="1"/>
  <c r="P59" i="4" s="1"/>
  <c r="G58" i="4" a="1"/>
  <c r="G58" i="4" s="1"/>
  <c r="P58" i="4" s="1"/>
  <c r="G57" i="4" a="1"/>
  <c r="G57" i="4" s="1"/>
  <c r="P57" i="4" s="1"/>
  <c r="G56" i="4" a="1"/>
  <c r="G56" i="4" s="1"/>
  <c r="P56" i="4" s="1"/>
  <c r="G55" i="4" a="1"/>
  <c r="G55" i="4" s="1"/>
  <c r="P55" i="4" s="1"/>
  <c r="G54" i="4" a="1"/>
  <c r="G54" i="4" s="1"/>
  <c r="P54" i="4" s="1"/>
  <c r="G53" i="4" a="1"/>
  <c r="G53" i="4" s="1"/>
  <c r="P53" i="4" s="1"/>
  <c r="G52" i="4" a="1"/>
  <c r="G52" i="4" s="1"/>
  <c r="P52" i="4" s="1"/>
  <c r="G51" i="4" a="1"/>
  <c r="G51" i="4" s="1"/>
  <c r="P51" i="4" s="1"/>
  <c r="G50" i="4" a="1"/>
  <c r="G50" i="4" s="1"/>
  <c r="P50" i="4" s="1"/>
  <c r="G49" i="4" a="1"/>
  <c r="G49" i="4" s="1"/>
  <c r="P49" i="4" s="1"/>
  <c r="G48" i="4" a="1"/>
  <c r="G48" i="4" s="1"/>
  <c r="P48" i="4" s="1"/>
  <c r="G47" i="4" a="1"/>
  <c r="G47" i="4" s="1"/>
  <c r="P47" i="4" s="1"/>
  <c r="G46" i="4" a="1"/>
  <c r="G46" i="4" s="1"/>
  <c r="P46" i="4" s="1"/>
  <c r="G45" i="4" a="1"/>
  <c r="G45" i="4" s="1"/>
  <c r="P45" i="4" s="1"/>
  <c r="G44" i="4" a="1"/>
  <c r="G44" i="4" s="1"/>
  <c r="P44" i="4" s="1"/>
  <c r="G43" i="4" a="1"/>
  <c r="G43" i="4" s="1"/>
  <c r="P43" i="4" s="1"/>
  <c r="G42" i="4" a="1"/>
  <c r="G42" i="4" s="1"/>
  <c r="P42" i="4" s="1"/>
  <c r="G41" i="4" a="1"/>
  <c r="G41" i="4" s="1"/>
  <c r="P41" i="4" s="1"/>
  <c r="G40" i="4" a="1"/>
  <c r="G40" i="4" s="1"/>
  <c r="P40" i="4" s="1"/>
  <c r="G39" i="4" a="1"/>
  <c r="G39" i="4" s="1"/>
  <c r="P39" i="4" s="1"/>
  <c r="G38" i="4" a="1"/>
  <c r="G38" i="4" s="1"/>
  <c r="P38" i="4" s="1"/>
  <c r="G37" i="4" a="1"/>
  <c r="G37" i="4" s="1"/>
  <c r="P37" i="4" s="1"/>
  <c r="G36" i="4" a="1"/>
  <c r="G36" i="4" s="1"/>
  <c r="P36" i="4" s="1"/>
  <c r="G35" i="4" a="1"/>
  <c r="G35" i="4" s="1"/>
  <c r="P35" i="4" s="1"/>
  <c r="G34" i="4" a="1"/>
  <c r="G34" i="4" s="1"/>
  <c r="P34" i="4" s="1"/>
  <c r="G33" i="4" a="1"/>
  <c r="G33" i="4" s="1"/>
  <c r="P33" i="4" s="1"/>
  <c r="G32" i="4" a="1"/>
  <c r="G32" i="4" s="1"/>
  <c r="P32" i="4" s="1"/>
  <c r="G31" i="4" a="1"/>
  <c r="G31" i="4" s="1"/>
  <c r="P31" i="4" s="1"/>
  <c r="G30" i="4" a="1"/>
  <c r="G30" i="4" s="1"/>
  <c r="P30" i="4" s="1"/>
  <c r="G29" i="4" a="1"/>
  <c r="G29" i="4" s="1"/>
  <c r="P29" i="4" s="1"/>
  <c r="G28" i="4" a="1"/>
  <c r="G28" i="4" s="1"/>
  <c r="P28" i="4" s="1"/>
  <c r="G27" i="4" a="1"/>
  <c r="G27" i="4" s="1"/>
  <c r="P27" i="4" s="1"/>
  <c r="G26" i="4" a="1"/>
  <c r="G26" i="4" s="1"/>
  <c r="P26" i="4" s="1"/>
  <c r="G25" i="4" a="1"/>
  <c r="G25" i="4" s="1"/>
  <c r="P25" i="4" s="1"/>
  <c r="G24" i="4" a="1"/>
  <c r="G24" i="4" s="1"/>
  <c r="P24" i="4" s="1"/>
  <c r="G23" i="4" a="1"/>
  <c r="G23" i="4" s="1"/>
  <c r="P23" i="4" s="1"/>
  <c r="G22" i="4" a="1"/>
  <c r="G22" i="4" s="1"/>
  <c r="P22" i="4" s="1"/>
  <c r="G21" i="4" a="1"/>
  <c r="G21" i="4" s="1"/>
  <c r="P21" i="4" s="1"/>
  <c r="G20" i="4" a="1"/>
  <c r="G20" i="4" s="1"/>
  <c r="P20" i="4" s="1"/>
  <c r="G19" i="4" a="1"/>
  <c r="G19" i="4" s="1"/>
  <c r="P19" i="4" s="1"/>
  <c r="G18" i="4" a="1"/>
  <c r="G18" i="4" s="1"/>
  <c r="P18" i="4" s="1"/>
  <c r="G17" i="4" a="1"/>
  <c r="G17" i="4" s="1"/>
  <c r="P17" i="4" s="1"/>
  <c r="G16" i="4" a="1"/>
  <c r="G16" i="4" s="1"/>
  <c r="P16" i="4" s="1"/>
  <c r="G15" i="4" a="1"/>
  <c r="G15" i="4" s="1"/>
  <c r="P15" i="4" s="1"/>
  <c r="G14" i="4" a="1"/>
  <c r="G14" i="4" s="1"/>
  <c r="P14" i="4" s="1"/>
  <c r="G13" i="4" a="1"/>
  <c r="G13" i="4" s="1"/>
  <c r="P13" i="4" s="1"/>
  <c r="G12" i="4" a="1"/>
  <c r="G12" i="4" s="1"/>
  <c r="P12" i="4" s="1"/>
  <c r="G11" i="4" a="1"/>
  <c r="G11" i="4" s="1"/>
  <c r="P11" i="4" s="1"/>
  <c r="G10" i="4" a="1"/>
  <c r="G10" i="4" s="1"/>
  <c r="P10" i="4" s="1"/>
  <c r="G9" i="4" a="1"/>
  <c r="G9" i="4" s="1"/>
  <c r="P9" i="4" s="1"/>
  <c r="G8" i="4" a="1"/>
  <c r="G8" i="4" s="1"/>
  <c r="P8" i="4" s="1"/>
  <c r="G7" i="4" a="1"/>
  <c r="G7" i="4" s="1"/>
  <c r="P7" i="4" s="1"/>
  <c r="G6" i="4" a="1"/>
  <c r="G6" i="4" s="1"/>
  <c r="P6" i="4" s="1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600" i="2" a="1"/>
  <c r="D600" i="2" s="1"/>
  <c r="D599" i="2" a="1"/>
  <c r="D599" i="2" s="1"/>
  <c r="D598" i="2" a="1"/>
  <c r="D598" i="2" s="1"/>
  <c r="D597" i="2" a="1"/>
  <c r="D597" i="2" s="1"/>
  <c r="D596" i="2" a="1"/>
  <c r="D596" i="2" s="1"/>
  <c r="D595" i="2" a="1"/>
  <c r="D595" i="2" s="1"/>
  <c r="D594" i="2" a="1"/>
  <c r="D594" i="2" s="1"/>
  <c r="D593" i="2" a="1"/>
  <c r="D593" i="2" s="1"/>
  <c r="D592" i="2" a="1"/>
  <c r="D592" i="2" s="1"/>
  <c r="D591" i="2" a="1"/>
  <c r="D591" i="2" s="1"/>
  <c r="D590" i="2" a="1"/>
  <c r="D590" i="2" s="1"/>
  <c r="D589" i="2" a="1"/>
  <c r="D589" i="2" s="1"/>
  <c r="D588" i="2" a="1"/>
  <c r="D588" i="2" s="1"/>
  <c r="D587" i="2" a="1"/>
  <c r="D587" i="2" s="1"/>
  <c r="D586" i="2" a="1"/>
  <c r="D586" i="2" s="1"/>
  <c r="D585" i="2" a="1"/>
  <c r="D585" i="2" s="1"/>
  <c r="D584" i="2" a="1"/>
  <c r="D584" i="2" s="1"/>
  <c r="D583" i="2" a="1"/>
  <c r="D583" i="2" s="1"/>
  <c r="K600" i="4"/>
  <c r="I600" i="4"/>
  <c r="G600" i="4"/>
  <c r="K599" i="4"/>
  <c r="I599" i="4"/>
  <c r="G599" i="4"/>
  <c r="K598" i="4"/>
  <c r="I598" i="4"/>
  <c r="G598" i="4"/>
  <c r="K597" i="4"/>
  <c r="I597" i="4"/>
  <c r="G597" i="4"/>
  <c r="K596" i="4"/>
  <c r="I596" i="4"/>
  <c r="G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I435" i="4" a="1"/>
  <c r="I435" i="4" s="1"/>
  <c r="I434" i="4" a="1"/>
  <c r="I434" i="4" s="1"/>
  <c r="I433" i="4" a="1"/>
  <c r="I433" i="4" s="1"/>
  <c r="I432" i="4" a="1"/>
  <c r="I432" i="4" s="1"/>
  <c r="I431" i="4" a="1"/>
  <c r="I431" i="4" s="1"/>
  <c r="I430" i="4" a="1"/>
  <c r="I430" i="4" s="1"/>
  <c r="I429" i="4" a="1"/>
  <c r="I429" i="4" s="1"/>
  <c r="I428" i="4" a="1"/>
  <c r="I428" i="4" s="1"/>
  <c r="I427" i="4" a="1"/>
  <c r="I427" i="4" s="1"/>
  <c r="I426" i="4" a="1"/>
  <c r="I426" i="4" s="1"/>
  <c r="I425" i="4" a="1"/>
  <c r="I425" i="4" s="1"/>
  <c r="I424" i="4" a="1"/>
  <c r="I424" i="4" s="1"/>
  <c r="I423" i="4" a="1"/>
  <c r="I423" i="4" s="1"/>
  <c r="I422" i="4" a="1"/>
  <c r="I422" i="4" s="1"/>
  <c r="I421" i="4" a="1"/>
  <c r="I421" i="4" s="1"/>
  <c r="I420" i="4" a="1"/>
  <c r="I420" i="4" s="1"/>
  <c r="I419" i="4" a="1"/>
  <c r="I419" i="4" s="1"/>
  <c r="I418" i="4" a="1"/>
  <c r="I418" i="4" s="1"/>
  <c r="I417" i="4" a="1"/>
  <c r="I417" i="4" s="1"/>
  <c r="I416" i="4" a="1"/>
  <c r="I416" i="4" s="1"/>
  <c r="I415" i="4" a="1"/>
  <c r="I415" i="4" s="1"/>
  <c r="I414" i="4" a="1"/>
  <c r="I414" i="4" s="1"/>
  <c r="I413" i="4" a="1"/>
  <c r="I413" i="4" s="1"/>
  <c r="I412" i="4" a="1"/>
  <c r="I412" i="4" s="1"/>
  <c r="I411" i="4" a="1"/>
  <c r="I411" i="4" s="1"/>
  <c r="I410" i="4" a="1"/>
  <c r="I410" i="4" s="1"/>
  <c r="I409" i="4" a="1"/>
  <c r="I409" i="4" s="1"/>
  <c r="I408" i="4" a="1"/>
  <c r="I408" i="4" s="1"/>
  <c r="I407" i="4" a="1"/>
  <c r="I407" i="4" s="1"/>
  <c r="I406" i="4" a="1"/>
  <c r="I406" i="4" s="1"/>
  <c r="I405" i="4" a="1"/>
  <c r="I405" i="4" s="1"/>
  <c r="I404" i="4" a="1"/>
  <c r="I404" i="4" s="1"/>
  <c r="I403" i="4" a="1"/>
  <c r="I403" i="4" s="1"/>
  <c r="I402" i="4" a="1"/>
  <c r="I402" i="4" s="1"/>
  <c r="I401" i="4" a="1"/>
  <c r="I401" i="4" s="1"/>
  <c r="I400" i="4" a="1"/>
  <c r="I400" i="4" s="1"/>
  <c r="I399" i="4" a="1"/>
  <c r="I399" i="4" s="1"/>
  <c r="I398" i="4" a="1"/>
  <c r="I398" i="4" s="1"/>
  <c r="I397" i="4" a="1"/>
  <c r="I397" i="4" s="1"/>
  <c r="I396" i="4" a="1"/>
  <c r="I396" i="4" s="1"/>
  <c r="I395" i="4" a="1"/>
  <c r="I395" i="4" s="1"/>
  <c r="I394" i="4" a="1"/>
  <c r="I394" i="4" s="1"/>
  <c r="I393" i="4" a="1"/>
  <c r="I393" i="4" s="1"/>
  <c r="I392" i="4" a="1"/>
  <c r="I392" i="4" s="1"/>
  <c r="I391" i="4" a="1"/>
  <c r="I391" i="4" s="1"/>
  <c r="I390" i="4" a="1"/>
  <c r="I390" i="4" s="1"/>
  <c r="I389" i="4" a="1"/>
  <c r="I389" i="4" s="1"/>
  <c r="I388" i="4" a="1"/>
  <c r="I388" i="4" s="1"/>
  <c r="I387" i="4" a="1"/>
  <c r="I387" i="4" s="1"/>
  <c r="I386" i="4" a="1"/>
  <c r="I386" i="4" s="1"/>
  <c r="I385" i="4" a="1"/>
  <c r="I385" i="4" s="1"/>
  <c r="I384" i="4" a="1"/>
  <c r="I384" i="4" s="1"/>
  <c r="I383" i="4" a="1"/>
  <c r="I383" i="4" s="1"/>
  <c r="I382" i="4" a="1"/>
  <c r="I382" i="4" s="1"/>
  <c r="I381" i="4" a="1"/>
  <c r="I381" i="4" s="1"/>
  <c r="I380" i="4" a="1"/>
  <c r="I380" i="4" s="1"/>
  <c r="I379" i="4" a="1"/>
  <c r="I379" i="4" s="1"/>
  <c r="I378" i="4" a="1"/>
  <c r="I378" i="4" s="1"/>
  <c r="I377" i="4" a="1"/>
  <c r="I377" i="4" s="1"/>
  <c r="I376" i="4" a="1"/>
  <c r="I376" i="4" s="1"/>
  <c r="I375" i="4" a="1"/>
  <c r="I375" i="4" s="1"/>
  <c r="I374" i="4" a="1"/>
  <c r="I374" i="4" s="1"/>
  <c r="I373" i="4" a="1"/>
  <c r="I373" i="4" s="1"/>
  <c r="I372" i="4" a="1"/>
  <c r="I372" i="4" s="1"/>
  <c r="I371" i="4" a="1"/>
  <c r="I371" i="4" s="1"/>
  <c r="I370" i="4" a="1"/>
  <c r="I370" i="4" s="1"/>
  <c r="I369" i="4" a="1"/>
  <c r="I369" i="4" s="1"/>
  <c r="I368" i="4" a="1"/>
  <c r="I368" i="4" s="1"/>
  <c r="I367" i="4" a="1"/>
  <c r="I367" i="4" s="1"/>
  <c r="I366" i="4" a="1"/>
  <c r="I366" i="4" s="1"/>
  <c r="I365" i="4" a="1"/>
  <c r="I365" i="4" s="1"/>
  <c r="I364" i="4" a="1"/>
  <c r="I364" i="4" s="1"/>
  <c r="I363" i="4" a="1"/>
  <c r="I363" i="4" s="1"/>
  <c r="I362" i="4" a="1"/>
  <c r="I362" i="4" s="1"/>
  <c r="I361" i="4" a="1"/>
  <c r="I361" i="4" s="1"/>
  <c r="I360" i="4" a="1"/>
  <c r="I360" i="4" s="1"/>
  <c r="I359" i="4" a="1"/>
  <c r="I359" i="4" s="1"/>
  <c r="I358" i="4" a="1"/>
  <c r="I358" i="4" s="1"/>
  <c r="I357" i="4" a="1"/>
  <c r="I357" i="4" s="1"/>
  <c r="I356" i="4" a="1"/>
  <c r="I356" i="4" s="1"/>
  <c r="I355" i="4" a="1"/>
  <c r="I355" i="4" s="1"/>
  <c r="I354" i="4" a="1"/>
  <c r="I354" i="4" s="1"/>
  <c r="I353" i="4" a="1"/>
  <c r="I353" i="4" s="1"/>
  <c r="I352" i="4" a="1"/>
  <c r="I352" i="4" s="1"/>
  <c r="I351" i="4" a="1"/>
  <c r="I351" i="4" s="1"/>
  <c r="I350" i="4" a="1"/>
  <c r="I350" i="4" s="1"/>
  <c r="I349" i="4" a="1"/>
  <c r="I349" i="4" s="1"/>
  <c r="I348" i="4" a="1"/>
  <c r="I348" i="4" s="1"/>
  <c r="I347" i="4" a="1"/>
  <c r="I347" i="4" s="1"/>
  <c r="I346" i="4" a="1"/>
  <c r="I346" i="4" s="1"/>
  <c r="I345" i="4" a="1"/>
  <c r="I345" i="4" s="1"/>
  <c r="I344" i="4" a="1"/>
  <c r="I344" i="4" s="1"/>
  <c r="I343" i="4" a="1"/>
  <c r="I343" i="4" s="1"/>
  <c r="I342" i="4" a="1"/>
  <c r="I342" i="4" s="1"/>
  <c r="I341" i="4" a="1"/>
  <c r="I341" i="4" s="1"/>
  <c r="I340" i="4" a="1"/>
  <c r="I340" i="4" s="1"/>
  <c r="I339" i="4" a="1"/>
  <c r="I339" i="4" s="1"/>
  <c r="I338" i="4" a="1"/>
  <c r="I338" i="4" s="1"/>
  <c r="I337" i="4" a="1"/>
  <c r="I337" i="4" s="1"/>
  <c r="I336" i="4" a="1"/>
  <c r="I336" i="4" s="1"/>
  <c r="I335" i="4" a="1"/>
  <c r="I335" i="4" s="1"/>
  <c r="I334" i="4" a="1"/>
  <c r="I334" i="4" s="1"/>
  <c r="I333" i="4" a="1"/>
  <c r="I333" i="4" s="1"/>
  <c r="I332" i="4" a="1"/>
  <c r="I332" i="4" s="1"/>
  <c r="I331" i="4" a="1"/>
  <c r="I331" i="4" s="1"/>
  <c r="I330" i="4" a="1"/>
  <c r="I330" i="4" s="1"/>
  <c r="I329" i="4" a="1"/>
  <c r="I329" i="4" s="1"/>
  <c r="I328" i="4" a="1"/>
  <c r="I328" i="4" s="1"/>
  <c r="I327" i="4" a="1"/>
  <c r="I327" i="4" s="1"/>
  <c r="I326" i="4" a="1"/>
  <c r="I326" i="4" s="1"/>
  <c r="I325" i="4" a="1"/>
  <c r="I325" i="4" s="1"/>
  <c r="I324" i="4" a="1"/>
  <c r="I324" i="4" s="1"/>
  <c r="I323" i="4" a="1"/>
  <c r="I323" i="4" s="1"/>
  <c r="I322" i="4" a="1"/>
  <c r="I322" i="4" s="1"/>
  <c r="I321" i="4" a="1"/>
  <c r="I321" i="4" s="1"/>
  <c r="I320" i="4" a="1"/>
  <c r="I320" i="4" s="1"/>
  <c r="I319" i="4" a="1"/>
  <c r="I319" i="4" s="1"/>
  <c r="I318" i="4" a="1"/>
  <c r="I318" i="4" s="1"/>
  <c r="I317" i="4" a="1"/>
  <c r="I317" i="4" s="1"/>
  <c r="I316" i="4" a="1"/>
  <c r="I316" i="4" s="1"/>
  <c r="I315" i="4" a="1"/>
  <c r="I315" i="4" s="1"/>
  <c r="I314" i="4" a="1"/>
  <c r="I314" i="4" s="1"/>
  <c r="I313" i="4" a="1"/>
  <c r="I313" i="4" s="1"/>
  <c r="I312" i="4" a="1"/>
  <c r="I312" i="4" s="1"/>
  <c r="I311" i="4" a="1"/>
  <c r="I311" i="4" s="1"/>
  <c r="I310" i="4" a="1"/>
  <c r="I310" i="4" s="1"/>
  <c r="I309" i="4" a="1"/>
  <c r="I309" i="4" s="1"/>
  <c r="I308" i="4" a="1"/>
  <c r="I308" i="4" s="1"/>
  <c r="I307" i="4" a="1"/>
  <c r="I307" i="4" s="1"/>
  <c r="I306" i="4" a="1"/>
  <c r="I306" i="4" s="1"/>
  <c r="I305" i="4" a="1"/>
  <c r="I305" i="4" s="1"/>
  <c r="I304" i="4" a="1"/>
  <c r="I304" i="4" s="1"/>
  <c r="I303" i="4" a="1"/>
  <c r="I303" i="4" s="1"/>
  <c r="I302" i="4" a="1"/>
  <c r="I302" i="4" s="1"/>
  <c r="I301" i="4" a="1"/>
  <c r="I301" i="4" s="1"/>
  <c r="I300" i="4" a="1"/>
  <c r="I300" i="4" s="1"/>
  <c r="I299" i="4" a="1"/>
  <c r="I299" i="4" s="1"/>
  <c r="I298" i="4" a="1"/>
  <c r="I298" i="4" s="1"/>
  <c r="I297" i="4" a="1"/>
  <c r="I297" i="4" s="1"/>
  <c r="I296" i="4" a="1"/>
  <c r="I296" i="4" s="1"/>
  <c r="I295" i="4" a="1"/>
  <c r="I295" i="4" s="1"/>
  <c r="I294" i="4" a="1"/>
  <c r="I294" i="4" s="1"/>
  <c r="I293" i="4" a="1"/>
  <c r="I293" i="4" s="1"/>
  <c r="I292" i="4" a="1"/>
  <c r="I292" i="4" s="1"/>
  <c r="I291" i="4" a="1"/>
  <c r="I291" i="4" s="1"/>
  <c r="I290" i="4" a="1"/>
  <c r="I290" i="4" s="1"/>
  <c r="I289" i="4" a="1"/>
  <c r="I289" i="4" s="1"/>
  <c r="I288" i="4" a="1"/>
  <c r="I288" i="4" s="1"/>
  <c r="I287" i="4" a="1"/>
  <c r="I287" i="4" s="1"/>
  <c r="I286" i="4" a="1"/>
  <c r="I286" i="4" s="1"/>
  <c r="I285" i="4" a="1"/>
  <c r="I285" i="4" s="1"/>
  <c r="I284" i="4" a="1"/>
  <c r="I284" i="4" s="1"/>
  <c r="I283" i="4" a="1"/>
  <c r="I283" i="4" s="1"/>
  <c r="I282" i="4" a="1"/>
  <c r="I282" i="4" s="1"/>
  <c r="I281" i="4" a="1"/>
  <c r="I281" i="4" s="1"/>
  <c r="I280" i="4" a="1"/>
  <c r="I280" i="4" s="1"/>
  <c r="I279" i="4" a="1"/>
  <c r="I279" i="4" s="1"/>
  <c r="I278" i="4" a="1"/>
  <c r="I278" i="4" s="1"/>
  <c r="I277" i="4" a="1"/>
  <c r="I277" i="4" s="1"/>
  <c r="I276" i="4" a="1"/>
  <c r="I276" i="4" s="1"/>
  <c r="I275" i="4" a="1"/>
  <c r="I275" i="4" s="1"/>
  <c r="I274" i="4" a="1"/>
  <c r="I274" i="4" s="1"/>
  <c r="I273" i="4" a="1"/>
  <c r="I273" i="4" s="1"/>
  <c r="I272" i="4" a="1"/>
  <c r="I272" i="4" s="1"/>
  <c r="I271" i="4" a="1"/>
  <c r="I271" i="4" s="1"/>
  <c r="I270" i="4" a="1"/>
  <c r="I270" i="4" s="1"/>
  <c r="I269" i="4" a="1"/>
  <c r="I269" i="4" s="1"/>
  <c r="I268" i="4" a="1"/>
  <c r="I268" i="4" s="1"/>
  <c r="I267" i="4" a="1"/>
  <c r="I267" i="4" s="1"/>
  <c r="I266" i="4" a="1"/>
  <c r="I266" i="4" s="1"/>
  <c r="I265" i="4" a="1"/>
  <c r="I265" i="4" s="1"/>
  <c r="I264" i="4" a="1"/>
  <c r="I264" i="4" s="1"/>
  <c r="I263" i="4" a="1"/>
  <c r="I263" i="4" s="1"/>
  <c r="I262" i="4" a="1"/>
  <c r="I262" i="4" s="1"/>
  <c r="I261" i="4" a="1"/>
  <c r="I261" i="4" s="1"/>
  <c r="I260" i="4" a="1"/>
  <c r="I260" i="4" s="1"/>
  <c r="I259" i="4" a="1"/>
  <c r="I259" i="4" s="1"/>
  <c r="I258" i="4" a="1"/>
  <c r="I258" i="4" s="1"/>
  <c r="I257" i="4" a="1"/>
  <c r="I257" i="4" s="1"/>
  <c r="I256" i="4" a="1"/>
  <c r="I256" i="4" s="1"/>
  <c r="I255" i="4" a="1"/>
  <c r="I255" i="4" s="1"/>
  <c r="I254" i="4" a="1"/>
  <c r="I254" i="4" s="1"/>
  <c r="I253" i="4" a="1"/>
  <c r="I253" i="4" s="1"/>
  <c r="I252" i="4" a="1"/>
  <c r="I252" i="4" s="1"/>
  <c r="I251" i="4" a="1"/>
  <c r="I251" i="4" s="1"/>
  <c r="I250" i="4" a="1"/>
  <c r="I250" i="4" s="1"/>
  <c r="I249" i="4" a="1"/>
  <c r="I249" i="4" s="1"/>
  <c r="I248" i="4" a="1"/>
  <c r="I248" i="4" s="1"/>
  <c r="I247" i="4" a="1"/>
  <c r="I247" i="4" s="1"/>
  <c r="I246" i="4" a="1"/>
  <c r="I246" i="4" s="1"/>
  <c r="I245" i="4" a="1"/>
  <c r="I245" i="4" s="1"/>
  <c r="I244" i="4" a="1"/>
  <c r="I244" i="4" s="1"/>
  <c r="I243" i="4" a="1"/>
  <c r="I243" i="4" s="1"/>
  <c r="I242" i="4" a="1"/>
  <c r="I242" i="4" s="1"/>
  <c r="I241" i="4" a="1"/>
  <c r="I241" i="4" s="1"/>
  <c r="I240" i="4" a="1"/>
  <c r="I240" i="4" s="1"/>
  <c r="I239" i="4" a="1"/>
  <c r="I239" i="4" s="1"/>
  <c r="I238" i="4" a="1"/>
  <c r="I238" i="4" s="1"/>
  <c r="I237" i="4" a="1"/>
  <c r="I237" i="4" s="1"/>
  <c r="I236" i="4" a="1"/>
  <c r="I236" i="4" s="1"/>
  <c r="I235" i="4" a="1"/>
  <c r="I235" i="4" s="1"/>
  <c r="I234" i="4" a="1"/>
  <c r="I234" i="4" s="1"/>
  <c r="I233" i="4" a="1"/>
  <c r="I233" i="4" s="1"/>
  <c r="I232" i="4" a="1"/>
  <c r="I232" i="4" s="1"/>
  <c r="I231" i="4" a="1"/>
  <c r="I231" i="4" s="1"/>
  <c r="I230" i="4" a="1"/>
  <c r="I230" i="4" s="1"/>
  <c r="I229" i="4" a="1"/>
  <c r="I229" i="4" s="1"/>
  <c r="I228" i="4" a="1"/>
  <c r="I228" i="4" s="1"/>
  <c r="I227" i="4" a="1"/>
  <c r="I227" i="4" s="1"/>
  <c r="I226" i="4" a="1"/>
  <c r="I226" i="4" s="1"/>
  <c r="I225" i="4" a="1"/>
  <c r="I225" i="4" s="1"/>
  <c r="I224" i="4" a="1"/>
  <c r="I224" i="4" s="1"/>
  <c r="I223" i="4" a="1"/>
  <c r="I223" i="4" s="1"/>
  <c r="I222" i="4" a="1"/>
  <c r="I222" i="4" s="1"/>
  <c r="I221" i="4" a="1"/>
  <c r="I221" i="4" s="1"/>
  <c r="I220" i="4" a="1"/>
  <c r="I220" i="4" s="1"/>
  <c r="I219" i="4" a="1"/>
  <c r="I219" i="4" s="1"/>
  <c r="I218" i="4" a="1"/>
  <c r="I218" i="4" s="1"/>
  <c r="I217" i="4" a="1"/>
  <c r="I217" i="4" s="1"/>
  <c r="I216" i="4" a="1"/>
  <c r="I216" i="4" s="1"/>
  <c r="I215" i="4" a="1"/>
  <c r="I215" i="4" s="1"/>
  <c r="I214" i="4" a="1"/>
  <c r="I214" i="4" s="1"/>
  <c r="I213" i="4" a="1"/>
  <c r="I213" i="4" s="1"/>
  <c r="I212" i="4" a="1"/>
  <c r="I212" i="4" s="1"/>
  <c r="I211" i="4" a="1"/>
  <c r="I211" i="4" s="1"/>
  <c r="I210" i="4" a="1"/>
  <c r="I210" i="4" s="1"/>
  <c r="I209" i="4" a="1"/>
  <c r="I209" i="4" s="1"/>
  <c r="I208" i="4" a="1"/>
  <c r="I208" i="4" s="1"/>
  <c r="I207" i="4" a="1"/>
  <c r="I207" i="4" s="1"/>
  <c r="I206" i="4" a="1"/>
  <c r="I206" i="4" s="1"/>
  <c r="I205" i="4" a="1"/>
  <c r="I205" i="4" s="1"/>
  <c r="I204" i="4" a="1"/>
  <c r="I204" i="4" s="1"/>
  <c r="I203" i="4" a="1"/>
  <c r="I203" i="4" s="1"/>
  <c r="I202" i="4" a="1"/>
  <c r="I202" i="4" s="1"/>
  <c r="I201" i="4" a="1"/>
  <c r="I201" i="4" s="1"/>
  <c r="I200" i="4" a="1"/>
  <c r="I200" i="4" s="1"/>
  <c r="I199" i="4" a="1"/>
  <c r="I199" i="4" s="1"/>
  <c r="I198" i="4" a="1"/>
  <c r="I198" i="4" s="1"/>
  <c r="I197" i="4" a="1"/>
  <c r="I197" i="4" s="1"/>
  <c r="I196" i="4" a="1"/>
  <c r="I196" i="4" s="1"/>
  <c r="I195" i="4" a="1"/>
  <c r="I195" i="4" s="1"/>
  <c r="I194" i="4" a="1"/>
  <c r="I194" i="4" s="1"/>
  <c r="I193" i="4" a="1"/>
  <c r="I193" i="4" s="1"/>
  <c r="I192" i="4" a="1"/>
  <c r="I192" i="4" s="1"/>
  <c r="I191" i="4" a="1"/>
  <c r="I191" i="4" s="1"/>
  <c r="I190" i="4" a="1"/>
  <c r="I190" i="4" s="1"/>
  <c r="I189" i="4" a="1"/>
  <c r="I189" i="4" s="1"/>
  <c r="I188" i="4" a="1"/>
  <c r="I188" i="4" s="1"/>
  <c r="I187" i="4" a="1"/>
  <c r="I187" i="4" s="1"/>
  <c r="I186" i="4" a="1"/>
  <c r="I186" i="4" s="1"/>
  <c r="I185" i="4" a="1"/>
  <c r="I185" i="4" s="1"/>
  <c r="I184" i="4" a="1"/>
  <c r="I184" i="4" s="1"/>
  <c r="I183" i="4" a="1"/>
  <c r="I183" i="4" s="1"/>
  <c r="I182" i="4" a="1"/>
  <c r="I182" i="4" s="1"/>
  <c r="I181" i="4" a="1"/>
  <c r="I181" i="4" s="1"/>
  <c r="I180" i="4" a="1"/>
  <c r="I180" i="4" s="1"/>
  <c r="I179" i="4" a="1"/>
  <c r="I179" i="4" s="1"/>
  <c r="I178" i="4" a="1"/>
  <c r="I178" i="4" s="1"/>
  <c r="I177" i="4" a="1"/>
  <c r="I177" i="4" s="1"/>
  <c r="I176" i="4" a="1"/>
  <c r="I176" i="4" s="1"/>
  <c r="I175" i="4" a="1"/>
  <c r="I175" i="4" s="1"/>
  <c r="I174" i="4" a="1"/>
  <c r="I174" i="4" s="1"/>
  <c r="I173" i="4" a="1"/>
  <c r="I173" i="4" s="1"/>
  <c r="I172" i="4" a="1"/>
  <c r="I172" i="4" s="1"/>
  <c r="I171" i="4" a="1"/>
  <c r="I171" i="4" s="1"/>
  <c r="I170" i="4" a="1"/>
  <c r="I170" i="4" s="1"/>
  <c r="I169" i="4" a="1"/>
  <c r="I169" i="4" s="1"/>
  <c r="I168" i="4" a="1"/>
  <c r="I168" i="4" s="1"/>
  <c r="I167" i="4" a="1"/>
  <c r="I167" i="4" s="1"/>
  <c r="I166" i="4" a="1"/>
  <c r="I166" i="4" s="1"/>
  <c r="I165" i="4" a="1"/>
  <c r="I165" i="4" s="1"/>
  <c r="I164" i="4" a="1"/>
  <c r="I164" i="4" s="1"/>
  <c r="I163" i="4" a="1"/>
  <c r="I163" i="4" s="1"/>
  <c r="I162" i="4" a="1"/>
  <c r="I162" i="4" s="1"/>
  <c r="I161" i="4" a="1"/>
  <c r="I161" i="4" s="1"/>
  <c r="I160" i="4" a="1"/>
  <c r="I160" i="4" s="1"/>
  <c r="I159" i="4" a="1"/>
  <c r="I159" i="4" s="1"/>
  <c r="I158" i="4" a="1"/>
  <c r="I158" i="4" s="1"/>
  <c r="I157" i="4" a="1"/>
  <c r="I157" i="4" s="1"/>
  <c r="I156" i="4" a="1"/>
  <c r="I156" i="4" s="1"/>
  <c r="I155" i="4" a="1"/>
  <c r="I155" i="4" s="1"/>
  <c r="I154" i="4" a="1"/>
  <c r="I154" i="4" s="1"/>
  <c r="I153" i="4" a="1"/>
  <c r="I153" i="4" s="1"/>
  <c r="I152" i="4" a="1"/>
  <c r="I152" i="4" s="1"/>
  <c r="I151" i="4" a="1"/>
  <c r="I151" i="4" s="1"/>
  <c r="I150" i="4" a="1"/>
  <c r="I150" i="4" s="1"/>
  <c r="I149" i="4" a="1"/>
  <c r="I149" i="4" s="1"/>
  <c r="I148" i="4" a="1"/>
  <c r="I148" i="4" s="1"/>
  <c r="I147" i="4" a="1"/>
  <c r="I147" i="4" s="1"/>
  <c r="I146" i="4" a="1"/>
  <c r="I146" i="4" s="1"/>
  <c r="I145" i="4" a="1"/>
  <c r="I145" i="4" s="1"/>
  <c r="I144" i="4" a="1"/>
  <c r="I144" i="4" s="1"/>
  <c r="I143" i="4" a="1"/>
  <c r="I143" i="4" s="1"/>
  <c r="I142" i="4" a="1"/>
  <c r="I142" i="4" s="1"/>
  <c r="I141" i="4" a="1"/>
  <c r="I141" i="4" s="1"/>
  <c r="I140" i="4" a="1"/>
  <c r="I140" i="4" s="1"/>
  <c r="I139" i="4" a="1"/>
  <c r="I139" i="4" s="1"/>
  <c r="I138" i="4" a="1"/>
  <c r="I138" i="4" s="1"/>
  <c r="I137" i="4" a="1"/>
  <c r="I137" i="4" s="1"/>
  <c r="I136" i="4" a="1"/>
  <c r="I136" i="4" s="1"/>
  <c r="I135" i="4" a="1"/>
  <c r="I135" i="4" s="1"/>
  <c r="I134" i="4" a="1"/>
  <c r="I134" i="4" s="1"/>
  <c r="I133" i="4" a="1"/>
  <c r="I133" i="4" s="1"/>
  <c r="I132" i="4" a="1"/>
  <c r="I132" i="4" s="1"/>
  <c r="I131" i="4" a="1"/>
  <c r="I131" i="4" s="1"/>
  <c r="I130" i="4" a="1"/>
  <c r="I130" i="4" s="1"/>
  <c r="I129" i="4" a="1"/>
  <c r="I129" i="4" s="1"/>
  <c r="I128" i="4" a="1"/>
  <c r="I128" i="4" s="1"/>
  <c r="I127" i="4" a="1"/>
  <c r="I127" i="4" s="1"/>
  <c r="I126" i="4" a="1"/>
  <c r="I126" i="4" s="1"/>
  <c r="I125" i="4" a="1"/>
  <c r="I125" i="4" s="1"/>
  <c r="I124" i="4" a="1"/>
  <c r="I124" i="4" s="1"/>
  <c r="I123" i="4" a="1"/>
  <c r="I123" i="4" s="1"/>
  <c r="I122" i="4" a="1"/>
  <c r="I122" i="4" s="1"/>
  <c r="I121" i="4" a="1"/>
  <c r="I121" i="4" s="1"/>
  <c r="I120" i="4" a="1"/>
  <c r="I120" i="4" s="1"/>
  <c r="I119" i="4" a="1"/>
  <c r="I119" i="4" s="1"/>
  <c r="I118" i="4" a="1"/>
  <c r="I118" i="4" s="1"/>
  <c r="I117" i="4" a="1"/>
  <c r="I117" i="4" s="1"/>
  <c r="I116" i="4" a="1"/>
  <c r="I116" i="4" s="1"/>
  <c r="I115" i="4" a="1"/>
  <c r="I115" i="4" s="1"/>
  <c r="I114" i="4" a="1"/>
  <c r="I114" i="4" s="1"/>
  <c r="I113" i="4" a="1"/>
  <c r="I113" i="4" s="1"/>
  <c r="I112" i="4" a="1"/>
  <c r="I112" i="4" s="1"/>
  <c r="I111" i="4" a="1"/>
  <c r="I111" i="4" s="1"/>
  <c r="I110" i="4" a="1"/>
  <c r="I110" i="4" s="1"/>
  <c r="I109" i="4" a="1"/>
  <c r="I109" i="4" s="1"/>
  <c r="I108" i="4" a="1"/>
  <c r="I108" i="4" s="1"/>
  <c r="I107" i="4" a="1"/>
  <c r="I107" i="4" s="1"/>
  <c r="I106" i="4" a="1"/>
  <c r="I106" i="4" s="1"/>
  <c r="I105" i="4" a="1"/>
  <c r="I105" i="4" s="1"/>
  <c r="I104" i="4" a="1"/>
  <c r="I104" i="4" s="1"/>
  <c r="I103" i="4" a="1"/>
  <c r="I103" i="4" s="1"/>
  <c r="I102" i="4" a="1"/>
  <c r="I102" i="4" s="1"/>
  <c r="I101" i="4" a="1"/>
  <c r="I101" i="4" s="1"/>
  <c r="I100" i="4" a="1"/>
  <c r="I100" i="4" s="1"/>
  <c r="I99" i="4" a="1"/>
  <c r="I99" i="4" s="1"/>
  <c r="I98" i="4" a="1"/>
  <c r="I98" i="4" s="1"/>
  <c r="I97" i="4" a="1"/>
  <c r="I97" i="4" s="1"/>
  <c r="I96" i="4" a="1"/>
  <c r="I96" i="4" s="1"/>
  <c r="I95" i="4" a="1"/>
  <c r="I95" i="4" s="1"/>
  <c r="I94" i="4" a="1"/>
  <c r="I94" i="4" s="1"/>
  <c r="I93" i="4" a="1"/>
  <c r="I93" i="4" s="1"/>
  <c r="I92" i="4" a="1"/>
  <c r="I92" i="4" s="1"/>
  <c r="I91" i="4" a="1"/>
  <c r="I91" i="4" s="1"/>
  <c r="I90" i="4" a="1"/>
  <c r="I90" i="4" s="1"/>
  <c r="I89" i="4" a="1"/>
  <c r="I89" i="4" s="1"/>
  <c r="I88" i="4" a="1"/>
  <c r="I88" i="4" s="1"/>
  <c r="I87" i="4" a="1"/>
  <c r="I87" i="4" s="1"/>
  <c r="I86" i="4" a="1"/>
  <c r="I86" i="4" s="1"/>
  <c r="I85" i="4" a="1"/>
  <c r="I85" i="4" s="1"/>
  <c r="I84" i="4" a="1"/>
  <c r="I84" i="4" s="1"/>
  <c r="I83" i="4" a="1"/>
  <c r="I83" i="4" s="1"/>
  <c r="I82" i="4" a="1"/>
  <c r="I82" i="4" s="1"/>
  <c r="I81" i="4" a="1"/>
  <c r="I81" i="4" s="1"/>
  <c r="I80" i="4" a="1"/>
  <c r="I80" i="4" s="1"/>
  <c r="I79" i="4" a="1"/>
  <c r="I79" i="4" s="1"/>
  <c r="I78" i="4" a="1"/>
  <c r="I78" i="4" s="1"/>
  <c r="I77" i="4" a="1"/>
  <c r="I77" i="4" s="1"/>
  <c r="I76" i="4" a="1"/>
  <c r="I76" i="4" s="1"/>
  <c r="I75" i="4" a="1"/>
  <c r="I75" i="4" s="1"/>
  <c r="I74" i="4" a="1"/>
  <c r="I74" i="4" s="1"/>
  <c r="I73" i="4" a="1"/>
  <c r="I73" i="4" s="1"/>
  <c r="I72" i="4" a="1"/>
  <c r="I72" i="4" s="1"/>
  <c r="I71" i="4" a="1"/>
  <c r="I71" i="4" s="1"/>
  <c r="I70" i="4" a="1"/>
  <c r="I70" i="4" s="1"/>
  <c r="I69" i="4" a="1"/>
  <c r="I69" i="4" s="1"/>
  <c r="I68" i="4" a="1"/>
  <c r="I68" i="4" s="1"/>
  <c r="I67" i="4" a="1"/>
  <c r="I67" i="4" s="1"/>
  <c r="I66" i="4" a="1"/>
  <c r="I66" i="4" s="1"/>
  <c r="I65" i="4" a="1"/>
  <c r="I65" i="4" s="1"/>
  <c r="I64" i="4" a="1"/>
  <c r="I64" i="4" s="1"/>
  <c r="I63" i="4" a="1"/>
  <c r="I63" i="4" s="1"/>
  <c r="I62" i="4" a="1"/>
  <c r="I62" i="4" s="1"/>
  <c r="I61" i="4" a="1"/>
  <c r="I61" i="4" s="1"/>
  <c r="I60" i="4" a="1"/>
  <c r="I60" i="4" s="1"/>
  <c r="I59" i="4" a="1"/>
  <c r="I59" i="4" s="1"/>
  <c r="I58" i="4" a="1"/>
  <c r="I58" i="4" s="1"/>
  <c r="I57" i="4" a="1"/>
  <c r="I57" i="4" s="1"/>
  <c r="I56" i="4" a="1"/>
  <c r="I56" i="4" s="1"/>
  <c r="I55" i="4" a="1"/>
  <c r="I55" i="4" s="1"/>
  <c r="I54" i="4" a="1"/>
  <c r="I54" i="4" s="1"/>
  <c r="I53" i="4" a="1"/>
  <c r="I53" i="4" s="1"/>
  <c r="I52" i="4" a="1"/>
  <c r="I52" i="4" s="1"/>
  <c r="I51" i="4" a="1"/>
  <c r="I51" i="4" s="1"/>
  <c r="I50" i="4" a="1"/>
  <c r="I50" i="4" s="1"/>
  <c r="I49" i="4" a="1"/>
  <c r="I49" i="4" s="1"/>
  <c r="I48" i="4" a="1"/>
  <c r="I48" i="4" s="1"/>
  <c r="I47" i="4" a="1"/>
  <c r="I47" i="4" s="1"/>
  <c r="I46" i="4" a="1"/>
  <c r="I46" i="4" s="1"/>
  <c r="I45" i="4" a="1"/>
  <c r="I45" i="4" s="1"/>
  <c r="I44" i="4" a="1"/>
  <c r="I44" i="4" s="1"/>
  <c r="I43" i="4" a="1"/>
  <c r="I43" i="4" s="1"/>
  <c r="I42" i="4" a="1"/>
  <c r="I42" i="4" s="1"/>
  <c r="I41" i="4" a="1"/>
  <c r="I41" i="4" s="1"/>
  <c r="I40" i="4" a="1"/>
  <c r="I40" i="4" s="1"/>
  <c r="I39" i="4" a="1"/>
  <c r="I39" i="4" s="1"/>
  <c r="I38" i="4" a="1"/>
  <c r="I38" i="4" s="1"/>
  <c r="I37" i="4" a="1"/>
  <c r="I37" i="4" s="1"/>
  <c r="I36" i="4" a="1"/>
  <c r="I36" i="4" s="1"/>
  <c r="I35" i="4" a="1"/>
  <c r="I35" i="4" s="1"/>
  <c r="I34" i="4" a="1"/>
  <c r="I34" i="4" s="1"/>
  <c r="I33" i="4" a="1"/>
  <c r="I33" i="4" s="1"/>
  <c r="I32" i="4" a="1"/>
  <c r="I32" i="4" s="1"/>
  <c r="I31" i="4" a="1"/>
  <c r="I31" i="4" s="1"/>
  <c r="I30" i="4" a="1"/>
  <c r="I30" i="4" s="1"/>
  <c r="I29" i="4" a="1"/>
  <c r="I29" i="4" s="1"/>
  <c r="I28" i="4" a="1"/>
  <c r="I28" i="4" s="1"/>
  <c r="I27" i="4" a="1"/>
  <c r="I27" i="4" s="1"/>
  <c r="I26" i="4" a="1"/>
  <c r="I26" i="4" s="1"/>
  <c r="I25" i="4" a="1"/>
  <c r="I25" i="4" s="1"/>
  <c r="I24" i="4" a="1"/>
  <c r="I24" i="4" s="1"/>
  <c r="I23" i="4" a="1"/>
  <c r="I23" i="4" s="1"/>
  <c r="I22" i="4" a="1"/>
  <c r="I22" i="4" s="1"/>
  <c r="I21" i="4" a="1"/>
  <c r="I21" i="4" s="1"/>
  <c r="I20" i="4" a="1"/>
  <c r="I20" i="4" s="1"/>
  <c r="I19" i="4" a="1"/>
  <c r="I19" i="4" s="1"/>
  <c r="I18" i="4" a="1"/>
  <c r="I18" i="4" s="1"/>
  <c r="I17" i="4" a="1"/>
  <c r="I17" i="4" s="1"/>
  <c r="I16" i="4" a="1"/>
  <c r="I16" i="4" s="1"/>
  <c r="I15" i="4" a="1"/>
  <c r="I15" i="4" s="1"/>
  <c r="I14" i="4" a="1"/>
  <c r="I14" i="4" s="1"/>
  <c r="I13" i="4" a="1"/>
  <c r="I13" i="4" s="1"/>
  <c r="I12" i="4" a="1"/>
  <c r="I12" i="4" s="1"/>
  <c r="I11" i="4" a="1"/>
  <c r="I11" i="4" s="1"/>
  <c r="I10" i="4" a="1"/>
  <c r="I10" i="4" s="1"/>
  <c r="I9" i="4" a="1"/>
  <c r="I9" i="4" s="1"/>
  <c r="I8" i="4" a="1"/>
  <c r="I8" i="4" s="1"/>
  <c r="I7" i="4" a="1"/>
  <c r="I7" i="4" s="1"/>
  <c r="I6" i="4" a="1"/>
  <c r="I6" i="4" s="1"/>
  <c r="H435" i="4" a="1"/>
  <c r="H435" i="4" s="1"/>
  <c r="H434" i="4" a="1"/>
  <c r="H434" i="4" s="1"/>
  <c r="H433" i="4" a="1"/>
  <c r="H433" i="4" s="1"/>
  <c r="H432" i="4" a="1"/>
  <c r="H432" i="4" s="1"/>
  <c r="H431" i="4" a="1"/>
  <c r="H431" i="4" s="1"/>
  <c r="H430" i="4" a="1"/>
  <c r="H430" i="4" s="1"/>
  <c r="H429" i="4" a="1"/>
  <c r="H429" i="4" s="1"/>
  <c r="H428" i="4" a="1"/>
  <c r="H428" i="4" s="1"/>
  <c r="H427" i="4" a="1"/>
  <c r="H427" i="4" s="1"/>
  <c r="H426" i="4" a="1"/>
  <c r="H426" i="4" s="1"/>
  <c r="H425" i="4" a="1"/>
  <c r="H425" i="4" s="1"/>
  <c r="H424" i="4" a="1"/>
  <c r="H424" i="4" s="1"/>
  <c r="H423" i="4" a="1"/>
  <c r="H423" i="4" s="1"/>
  <c r="H422" i="4" a="1"/>
  <c r="H422" i="4" s="1"/>
  <c r="H421" i="4" a="1"/>
  <c r="H421" i="4" s="1"/>
  <c r="H420" i="4" a="1"/>
  <c r="H420" i="4" s="1"/>
  <c r="H419" i="4" a="1"/>
  <c r="H419" i="4" s="1"/>
  <c r="H418" i="4" a="1"/>
  <c r="H418" i="4" s="1"/>
  <c r="H417" i="4" a="1"/>
  <c r="H417" i="4" s="1"/>
  <c r="H416" i="4" a="1"/>
  <c r="H416" i="4" s="1"/>
  <c r="H415" i="4" a="1"/>
  <c r="H415" i="4" s="1"/>
  <c r="H414" i="4" a="1"/>
  <c r="H414" i="4" s="1"/>
  <c r="H413" i="4" a="1"/>
  <c r="H413" i="4" s="1"/>
  <c r="H412" i="4" a="1"/>
  <c r="H412" i="4" s="1"/>
  <c r="H411" i="4" a="1"/>
  <c r="H411" i="4" s="1"/>
  <c r="H410" i="4" a="1"/>
  <c r="H410" i="4" s="1"/>
  <c r="H409" i="4" a="1"/>
  <c r="H409" i="4" s="1"/>
  <c r="H408" i="4" a="1"/>
  <c r="H408" i="4" s="1"/>
  <c r="H407" i="4" a="1"/>
  <c r="H407" i="4" s="1"/>
  <c r="H406" i="4" a="1"/>
  <c r="H406" i="4" s="1"/>
  <c r="H405" i="4" a="1"/>
  <c r="H405" i="4" s="1"/>
  <c r="H404" i="4" a="1"/>
  <c r="H404" i="4" s="1"/>
  <c r="H403" i="4" a="1"/>
  <c r="H403" i="4" s="1"/>
  <c r="H402" i="4" a="1"/>
  <c r="H402" i="4" s="1"/>
  <c r="H401" i="4" a="1"/>
  <c r="H401" i="4" s="1"/>
  <c r="H400" i="4" a="1"/>
  <c r="H400" i="4" s="1"/>
  <c r="H399" i="4" a="1"/>
  <c r="H399" i="4" s="1"/>
  <c r="H398" i="4" a="1"/>
  <c r="H398" i="4" s="1"/>
  <c r="H397" i="4" a="1"/>
  <c r="H397" i="4" s="1"/>
  <c r="H396" i="4" a="1"/>
  <c r="H396" i="4" s="1"/>
  <c r="H395" i="4" a="1"/>
  <c r="H395" i="4" s="1"/>
  <c r="H394" i="4" a="1"/>
  <c r="H394" i="4" s="1"/>
  <c r="H393" i="4" a="1"/>
  <c r="H393" i="4" s="1"/>
  <c r="H392" i="4" a="1"/>
  <c r="H392" i="4" s="1"/>
  <c r="H391" i="4" a="1"/>
  <c r="H391" i="4" s="1"/>
  <c r="H390" i="4" a="1"/>
  <c r="H390" i="4" s="1"/>
  <c r="H389" i="4" a="1"/>
  <c r="H389" i="4" s="1"/>
  <c r="H388" i="4" a="1"/>
  <c r="H388" i="4" s="1"/>
  <c r="H387" i="4" a="1"/>
  <c r="H387" i="4" s="1"/>
  <c r="H386" i="4" a="1"/>
  <c r="H386" i="4" s="1"/>
  <c r="H385" i="4" a="1"/>
  <c r="H385" i="4" s="1"/>
  <c r="H384" i="4" a="1"/>
  <c r="H384" i="4" s="1"/>
  <c r="H383" i="4" a="1"/>
  <c r="H383" i="4" s="1"/>
  <c r="H382" i="4" a="1"/>
  <c r="H382" i="4" s="1"/>
  <c r="H381" i="4" a="1"/>
  <c r="H381" i="4" s="1"/>
  <c r="H380" i="4" a="1"/>
  <c r="H380" i="4" s="1"/>
  <c r="H379" i="4" a="1"/>
  <c r="H379" i="4" s="1"/>
  <c r="H378" i="4" a="1"/>
  <c r="H378" i="4" s="1"/>
  <c r="H377" i="4" a="1"/>
  <c r="H377" i="4" s="1"/>
  <c r="H376" i="4" a="1"/>
  <c r="H376" i="4" s="1"/>
  <c r="H375" i="4" a="1"/>
  <c r="H375" i="4" s="1"/>
  <c r="H374" i="4" a="1"/>
  <c r="H374" i="4" s="1"/>
  <c r="H373" i="4" a="1"/>
  <c r="H373" i="4" s="1"/>
  <c r="H372" i="4" a="1"/>
  <c r="H372" i="4" s="1"/>
  <c r="H371" i="4" a="1"/>
  <c r="H371" i="4" s="1"/>
  <c r="H370" i="4" a="1"/>
  <c r="H370" i="4" s="1"/>
  <c r="H369" i="4" a="1"/>
  <c r="H369" i="4" s="1"/>
  <c r="H368" i="4" a="1"/>
  <c r="H368" i="4" s="1"/>
  <c r="H367" i="4" a="1"/>
  <c r="H367" i="4" s="1"/>
  <c r="H366" i="4" a="1"/>
  <c r="H366" i="4" s="1"/>
  <c r="H365" i="4" a="1"/>
  <c r="H365" i="4" s="1"/>
  <c r="H364" i="4" a="1"/>
  <c r="H364" i="4" s="1"/>
  <c r="H363" i="4" a="1"/>
  <c r="H363" i="4" s="1"/>
  <c r="H362" i="4" a="1"/>
  <c r="H362" i="4" s="1"/>
  <c r="H361" i="4" a="1"/>
  <c r="H361" i="4" s="1"/>
  <c r="H360" i="4" a="1"/>
  <c r="H360" i="4" s="1"/>
  <c r="H359" i="4" a="1"/>
  <c r="H359" i="4" s="1"/>
  <c r="H358" i="4" a="1"/>
  <c r="H358" i="4" s="1"/>
  <c r="H357" i="4" a="1"/>
  <c r="H357" i="4" s="1"/>
  <c r="H356" i="4" a="1"/>
  <c r="H356" i="4" s="1"/>
  <c r="H355" i="4" a="1"/>
  <c r="H355" i="4" s="1"/>
  <c r="H354" i="4" a="1"/>
  <c r="H354" i="4" s="1"/>
  <c r="H353" i="4" a="1"/>
  <c r="H353" i="4" s="1"/>
  <c r="H352" i="4" a="1"/>
  <c r="H352" i="4" s="1"/>
  <c r="H351" i="4" a="1"/>
  <c r="H351" i="4" s="1"/>
  <c r="H350" i="4" a="1"/>
  <c r="H350" i="4" s="1"/>
  <c r="H349" i="4" a="1"/>
  <c r="H349" i="4" s="1"/>
  <c r="H348" i="4" a="1"/>
  <c r="H348" i="4" s="1"/>
  <c r="H347" i="4" a="1"/>
  <c r="H347" i="4" s="1"/>
  <c r="H346" i="4" a="1"/>
  <c r="H346" i="4" s="1"/>
  <c r="H345" i="4" a="1"/>
  <c r="H345" i="4" s="1"/>
  <c r="H344" i="4" a="1"/>
  <c r="H344" i="4" s="1"/>
  <c r="H343" i="4" a="1"/>
  <c r="H343" i="4" s="1"/>
  <c r="H342" i="4" a="1"/>
  <c r="H342" i="4" s="1"/>
  <c r="H341" i="4" a="1"/>
  <c r="H341" i="4" s="1"/>
  <c r="H340" i="4" a="1"/>
  <c r="H340" i="4" s="1"/>
  <c r="H339" i="4" a="1"/>
  <c r="H339" i="4" s="1"/>
  <c r="H338" i="4" a="1"/>
  <c r="H338" i="4" s="1"/>
  <c r="H337" i="4" a="1"/>
  <c r="H337" i="4" s="1"/>
  <c r="H336" i="4" a="1"/>
  <c r="H336" i="4" s="1"/>
  <c r="H335" i="4" a="1"/>
  <c r="H335" i="4" s="1"/>
  <c r="H334" i="4" a="1"/>
  <c r="H334" i="4" s="1"/>
  <c r="H333" i="4" a="1"/>
  <c r="H333" i="4" s="1"/>
  <c r="H332" i="4" a="1"/>
  <c r="H332" i="4" s="1"/>
  <c r="H331" i="4" a="1"/>
  <c r="H331" i="4" s="1"/>
  <c r="H330" i="4" a="1"/>
  <c r="H330" i="4" s="1"/>
  <c r="H329" i="4" a="1"/>
  <c r="H329" i="4" s="1"/>
  <c r="H328" i="4" a="1"/>
  <c r="H328" i="4" s="1"/>
  <c r="H327" i="4" a="1"/>
  <c r="H327" i="4" s="1"/>
  <c r="H326" i="4" a="1"/>
  <c r="H326" i="4" s="1"/>
  <c r="H325" i="4" a="1"/>
  <c r="H325" i="4" s="1"/>
  <c r="H324" i="4" a="1"/>
  <c r="H324" i="4" s="1"/>
  <c r="H323" i="4" a="1"/>
  <c r="H323" i="4" s="1"/>
  <c r="H322" i="4" a="1"/>
  <c r="H322" i="4" s="1"/>
  <c r="H321" i="4" a="1"/>
  <c r="H321" i="4" s="1"/>
  <c r="H320" i="4" a="1"/>
  <c r="H320" i="4" s="1"/>
  <c r="H319" i="4" a="1"/>
  <c r="H319" i="4" s="1"/>
  <c r="H318" i="4" a="1"/>
  <c r="H318" i="4" s="1"/>
  <c r="H317" i="4" a="1"/>
  <c r="H317" i="4" s="1"/>
  <c r="H316" i="4" a="1"/>
  <c r="H316" i="4" s="1"/>
  <c r="H315" i="4" a="1"/>
  <c r="H315" i="4" s="1"/>
  <c r="H314" i="4" a="1"/>
  <c r="H314" i="4" s="1"/>
  <c r="H313" i="4" a="1"/>
  <c r="H313" i="4" s="1"/>
  <c r="H312" i="4" a="1"/>
  <c r="H312" i="4" s="1"/>
  <c r="H311" i="4" a="1"/>
  <c r="H311" i="4" s="1"/>
  <c r="H310" i="4" a="1"/>
  <c r="H310" i="4" s="1"/>
  <c r="H309" i="4" a="1"/>
  <c r="H309" i="4" s="1"/>
  <c r="H308" i="4" a="1"/>
  <c r="H308" i="4" s="1"/>
  <c r="H307" i="4" a="1"/>
  <c r="H307" i="4" s="1"/>
  <c r="H306" i="4" a="1"/>
  <c r="H306" i="4" s="1"/>
  <c r="H305" i="4" a="1"/>
  <c r="H305" i="4" s="1"/>
  <c r="H304" i="4" a="1"/>
  <c r="H304" i="4" s="1"/>
  <c r="H303" i="4" a="1"/>
  <c r="H303" i="4" s="1"/>
  <c r="H302" i="4" a="1"/>
  <c r="H302" i="4" s="1"/>
  <c r="H301" i="4" a="1"/>
  <c r="H301" i="4" s="1"/>
  <c r="H300" i="4" a="1"/>
  <c r="H300" i="4" s="1"/>
  <c r="H299" i="4" a="1"/>
  <c r="H299" i="4" s="1"/>
  <c r="H298" i="4" a="1"/>
  <c r="H298" i="4" s="1"/>
  <c r="H297" i="4" a="1"/>
  <c r="H297" i="4" s="1"/>
  <c r="H296" i="4" a="1"/>
  <c r="H296" i="4" s="1"/>
  <c r="H295" i="4" a="1"/>
  <c r="H295" i="4" s="1"/>
  <c r="H294" i="4" a="1"/>
  <c r="H294" i="4" s="1"/>
  <c r="H293" i="4" a="1"/>
  <c r="H293" i="4" s="1"/>
  <c r="H292" i="4" a="1"/>
  <c r="H292" i="4" s="1"/>
  <c r="H291" i="4" a="1"/>
  <c r="H291" i="4" s="1"/>
  <c r="H290" i="4" a="1"/>
  <c r="H290" i="4" s="1"/>
  <c r="H289" i="4" a="1"/>
  <c r="H289" i="4" s="1"/>
  <c r="H288" i="4" a="1"/>
  <c r="H288" i="4" s="1"/>
  <c r="H287" i="4" a="1"/>
  <c r="H287" i="4" s="1"/>
  <c r="H286" i="4" a="1"/>
  <c r="H286" i="4" s="1"/>
  <c r="H285" i="4" a="1"/>
  <c r="H285" i="4" s="1"/>
  <c r="H284" i="4" a="1"/>
  <c r="H284" i="4" s="1"/>
  <c r="H283" i="4" a="1"/>
  <c r="H283" i="4" s="1"/>
  <c r="H282" i="4" a="1"/>
  <c r="H282" i="4" s="1"/>
  <c r="H281" i="4" a="1"/>
  <c r="H281" i="4" s="1"/>
  <c r="H280" i="4" a="1"/>
  <c r="H280" i="4" s="1"/>
  <c r="H279" i="4" a="1"/>
  <c r="H279" i="4" s="1"/>
  <c r="H278" i="4" a="1"/>
  <c r="H278" i="4" s="1"/>
  <c r="H277" i="4" a="1"/>
  <c r="H277" i="4" s="1"/>
  <c r="H276" i="4" a="1"/>
  <c r="H276" i="4" s="1"/>
  <c r="H275" i="4" a="1"/>
  <c r="H275" i="4" s="1"/>
  <c r="H274" i="4" a="1"/>
  <c r="H274" i="4" s="1"/>
  <c r="H273" i="4" a="1"/>
  <c r="H273" i="4" s="1"/>
  <c r="H272" i="4" a="1"/>
  <c r="H272" i="4" s="1"/>
  <c r="H271" i="4" a="1"/>
  <c r="H271" i="4" s="1"/>
  <c r="H270" i="4" a="1"/>
  <c r="H270" i="4" s="1"/>
  <c r="H269" i="4" a="1"/>
  <c r="H269" i="4" s="1"/>
  <c r="H268" i="4" a="1"/>
  <c r="H268" i="4" s="1"/>
  <c r="H267" i="4" a="1"/>
  <c r="H267" i="4" s="1"/>
  <c r="H266" i="4" a="1"/>
  <c r="H266" i="4" s="1"/>
  <c r="H265" i="4" a="1"/>
  <c r="H265" i="4" s="1"/>
  <c r="H264" i="4" a="1"/>
  <c r="H264" i="4" s="1"/>
  <c r="H263" i="4" a="1"/>
  <c r="H263" i="4" s="1"/>
  <c r="H262" i="4" a="1"/>
  <c r="H262" i="4" s="1"/>
  <c r="H261" i="4" a="1"/>
  <c r="H261" i="4" s="1"/>
  <c r="H260" i="4" a="1"/>
  <c r="H260" i="4" s="1"/>
  <c r="H259" i="4" a="1"/>
  <c r="H259" i="4" s="1"/>
  <c r="H258" i="4" a="1"/>
  <c r="H258" i="4" s="1"/>
  <c r="H257" i="4" a="1"/>
  <c r="H257" i="4" s="1"/>
  <c r="H256" i="4" a="1"/>
  <c r="H256" i="4" s="1"/>
  <c r="H255" i="4" a="1"/>
  <c r="H255" i="4" s="1"/>
  <c r="H254" i="4" a="1"/>
  <c r="H254" i="4" s="1"/>
  <c r="H253" i="4" a="1"/>
  <c r="H253" i="4" s="1"/>
  <c r="H252" i="4" a="1"/>
  <c r="H252" i="4" s="1"/>
  <c r="H251" i="4" a="1"/>
  <c r="H251" i="4" s="1"/>
  <c r="H250" i="4" a="1"/>
  <c r="H250" i="4" s="1"/>
  <c r="H249" i="4" a="1"/>
  <c r="H249" i="4" s="1"/>
  <c r="H248" i="4" a="1"/>
  <c r="H248" i="4" s="1"/>
  <c r="H247" i="4" a="1"/>
  <c r="H247" i="4" s="1"/>
  <c r="H246" i="4" a="1"/>
  <c r="H246" i="4" s="1"/>
  <c r="H245" i="4" a="1"/>
  <c r="H245" i="4" s="1"/>
  <c r="H244" i="4" a="1"/>
  <c r="H244" i="4" s="1"/>
  <c r="H243" i="4" a="1"/>
  <c r="H243" i="4" s="1"/>
  <c r="H242" i="4" a="1"/>
  <c r="H242" i="4" s="1"/>
  <c r="H241" i="4" a="1"/>
  <c r="H241" i="4" s="1"/>
  <c r="H240" i="4" a="1"/>
  <c r="H240" i="4" s="1"/>
  <c r="H239" i="4" a="1"/>
  <c r="H239" i="4" s="1"/>
  <c r="H238" i="4" a="1"/>
  <c r="H238" i="4" s="1"/>
  <c r="H237" i="4" a="1"/>
  <c r="H237" i="4" s="1"/>
  <c r="H236" i="4" a="1"/>
  <c r="H236" i="4" s="1"/>
  <c r="H235" i="4" a="1"/>
  <c r="H235" i="4" s="1"/>
  <c r="H234" i="4" a="1"/>
  <c r="H234" i="4" s="1"/>
  <c r="H233" i="4" a="1"/>
  <c r="H233" i="4" s="1"/>
  <c r="H232" i="4" a="1"/>
  <c r="H232" i="4" s="1"/>
  <c r="H231" i="4" a="1"/>
  <c r="H231" i="4" s="1"/>
  <c r="H230" i="4" a="1"/>
  <c r="H230" i="4" s="1"/>
  <c r="H229" i="4" a="1"/>
  <c r="H229" i="4" s="1"/>
  <c r="H228" i="4" a="1"/>
  <c r="H228" i="4" s="1"/>
  <c r="H227" i="4" a="1"/>
  <c r="H227" i="4" s="1"/>
  <c r="H226" i="4" a="1"/>
  <c r="H226" i="4" s="1"/>
  <c r="H225" i="4" a="1"/>
  <c r="H225" i="4" s="1"/>
  <c r="H224" i="4" a="1"/>
  <c r="H224" i="4" s="1"/>
  <c r="H223" i="4" a="1"/>
  <c r="H223" i="4" s="1"/>
  <c r="H222" i="4" a="1"/>
  <c r="H222" i="4" s="1"/>
  <c r="H221" i="4" a="1"/>
  <c r="H221" i="4" s="1"/>
  <c r="H220" i="4" a="1"/>
  <c r="H220" i="4" s="1"/>
  <c r="H219" i="4" a="1"/>
  <c r="H219" i="4" s="1"/>
  <c r="H218" i="4" a="1"/>
  <c r="H218" i="4" s="1"/>
  <c r="H217" i="4" a="1"/>
  <c r="H217" i="4" s="1"/>
  <c r="H216" i="4" a="1"/>
  <c r="H216" i="4" s="1"/>
  <c r="H215" i="4" a="1"/>
  <c r="H215" i="4" s="1"/>
  <c r="H214" i="4" a="1"/>
  <c r="H214" i="4" s="1"/>
  <c r="H213" i="4" a="1"/>
  <c r="H213" i="4" s="1"/>
  <c r="H212" i="4" a="1"/>
  <c r="H212" i="4" s="1"/>
  <c r="H211" i="4" a="1"/>
  <c r="H211" i="4" s="1"/>
  <c r="H210" i="4" a="1"/>
  <c r="H210" i="4" s="1"/>
  <c r="H209" i="4" a="1"/>
  <c r="H209" i="4" s="1"/>
  <c r="H208" i="4" a="1"/>
  <c r="H208" i="4" s="1"/>
  <c r="H207" i="4" a="1"/>
  <c r="H207" i="4" s="1"/>
  <c r="H206" i="4" a="1"/>
  <c r="H206" i="4" s="1"/>
  <c r="H205" i="4" a="1"/>
  <c r="H205" i="4" s="1"/>
  <c r="H204" i="4" a="1"/>
  <c r="H204" i="4" s="1"/>
  <c r="H203" i="4" a="1"/>
  <c r="H203" i="4" s="1"/>
  <c r="H202" i="4" a="1"/>
  <c r="H202" i="4" s="1"/>
  <c r="H201" i="4" a="1"/>
  <c r="H201" i="4" s="1"/>
  <c r="H200" i="4" a="1"/>
  <c r="H200" i="4" s="1"/>
  <c r="H199" i="4" a="1"/>
  <c r="H199" i="4" s="1"/>
  <c r="H198" i="4" a="1"/>
  <c r="H198" i="4" s="1"/>
  <c r="H197" i="4" a="1"/>
  <c r="H197" i="4" s="1"/>
  <c r="H196" i="4" a="1"/>
  <c r="H196" i="4" s="1"/>
  <c r="H195" i="4" a="1"/>
  <c r="H195" i="4" s="1"/>
  <c r="H194" i="4" a="1"/>
  <c r="H194" i="4" s="1"/>
  <c r="H193" i="4" a="1"/>
  <c r="H193" i="4" s="1"/>
  <c r="H192" i="4" a="1"/>
  <c r="H192" i="4" s="1"/>
  <c r="H191" i="4" a="1"/>
  <c r="H191" i="4" s="1"/>
  <c r="H190" i="4" a="1"/>
  <c r="H190" i="4" s="1"/>
  <c r="H189" i="4" a="1"/>
  <c r="H189" i="4" s="1"/>
  <c r="H188" i="4" a="1"/>
  <c r="H188" i="4" s="1"/>
  <c r="H187" i="4" a="1"/>
  <c r="H187" i="4" s="1"/>
  <c r="H186" i="4" a="1"/>
  <c r="H186" i="4" s="1"/>
  <c r="H185" i="4" a="1"/>
  <c r="H185" i="4" s="1"/>
  <c r="H184" i="4" a="1"/>
  <c r="H184" i="4" s="1"/>
  <c r="H183" i="4" a="1"/>
  <c r="H183" i="4" s="1"/>
  <c r="H182" i="4" a="1"/>
  <c r="H182" i="4" s="1"/>
  <c r="H181" i="4" a="1"/>
  <c r="H181" i="4" s="1"/>
  <c r="H180" i="4" a="1"/>
  <c r="H180" i="4" s="1"/>
  <c r="H179" i="4" a="1"/>
  <c r="H179" i="4" s="1"/>
  <c r="H178" i="4" a="1"/>
  <c r="H178" i="4" s="1"/>
  <c r="H177" i="4" a="1"/>
  <c r="H177" i="4" s="1"/>
  <c r="H176" i="4" a="1"/>
  <c r="H176" i="4" s="1"/>
  <c r="H175" i="4" a="1"/>
  <c r="H175" i="4" s="1"/>
  <c r="H174" i="4" a="1"/>
  <c r="H174" i="4" s="1"/>
  <c r="H173" i="4" a="1"/>
  <c r="H173" i="4" s="1"/>
  <c r="H172" i="4" a="1"/>
  <c r="H172" i="4" s="1"/>
  <c r="H171" i="4" a="1"/>
  <c r="H171" i="4" s="1"/>
  <c r="H170" i="4" a="1"/>
  <c r="H170" i="4" s="1"/>
  <c r="H169" i="4" a="1"/>
  <c r="H169" i="4" s="1"/>
  <c r="H168" i="4" a="1"/>
  <c r="H168" i="4" s="1"/>
  <c r="H167" i="4" a="1"/>
  <c r="H167" i="4" s="1"/>
  <c r="H166" i="4" a="1"/>
  <c r="H166" i="4" s="1"/>
  <c r="H165" i="4" a="1"/>
  <c r="H165" i="4" s="1"/>
  <c r="H164" i="4" a="1"/>
  <c r="H164" i="4" s="1"/>
  <c r="H163" i="4" a="1"/>
  <c r="H163" i="4" s="1"/>
  <c r="H162" i="4" a="1"/>
  <c r="H162" i="4" s="1"/>
  <c r="H161" i="4" a="1"/>
  <c r="H161" i="4" s="1"/>
  <c r="H160" i="4" a="1"/>
  <c r="H160" i="4" s="1"/>
  <c r="H159" i="4" a="1"/>
  <c r="H159" i="4" s="1"/>
  <c r="H158" i="4" a="1"/>
  <c r="H158" i="4" s="1"/>
  <c r="H157" i="4" a="1"/>
  <c r="H157" i="4" s="1"/>
  <c r="H156" i="4" a="1"/>
  <c r="H156" i="4" s="1"/>
  <c r="H155" i="4" a="1"/>
  <c r="H155" i="4" s="1"/>
  <c r="H154" i="4" a="1"/>
  <c r="H154" i="4" s="1"/>
  <c r="H153" i="4" a="1"/>
  <c r="H153" i="4" s="1"/>
  <c r="H152" i="4" a="1"/>
  <c r="H152" i="4" s="1"/>
  <c r="H151" i="4" a="1"/>
  <c r="H151" i="4" s="1"/>
  <c r="H150" i="4" a="1"/>
  <c r="H150" i="4" s="1"/>
  <c r="H149" i="4" a="1"/>
  <c r="H149" i="4" s="1"/>
  <c r="H148" i="4" a="1"/>
  <c r="H148" i="4" s="1"/>
  <c r="H147" i="4" a="1"/>
  <c r="H147" i="4" s="1"/>
  <c r="H146" i="4" a="1"/>
  <c r="H146" i="4" s="1"/>
  <c r="H145" i="4" a="1"/>
  <c r="H145" i="4" s="1"/>
  <c r="H144" i="4" a="1"/>
  <c r="H144" i="4" s="1"/>
  <c r="H143" i="4" a="1"/>
  <c r="H143" i="4" s="1"/>
  <c r="H142" i="4" a="1"/>
  <c r="H142" i="4" s="1"/>
  <c r="H141" i="4" a="1"/>
  <c r="H141" i="4" s="1"/>
  <c r="H140" i="4" a="1"/>
  <c r="H140" i="4" s="1"/>
  <c r="H139" i="4" a="1"/>
  <c r="H139" i="4" s="1"/>
  <c r="H138" i="4" a="1"/>
  <c r="H138" i="4" s="1"/>
  <c r="H137" i="4" a="1"/>
  <c r="H137" i="4" s="1"/>
  <c r="H136" i="4" a="1"/>
  <c r="H136" i="4" s="1"/>
  <c r="H135" i="4" a="1"/>
  <c r="H135" i="4" s="1"/>
  <c r="H134" i="4" a="1"/>
  <c r="H134" i="4" s="1"/>
  <c r="H133" i="4" a="1"/>
  <c r="H133" i="4" s="1"/>
  <c r="H132" i="4" a="1"/>
  <c r="H132" i="4" s="1"/>
  <c r="H131" i="4" a="1"/>
  <c r="H131" i="4" s="1"/>
  <c r="H130" i="4" a="1"/>
  <c r="H130" i="4" s="1"/>
  <c r="H129" i="4" a="1"/>
  <c r="H129" i="4" s="1"/>
  <c r="H128" i="4" a="1"/>
  <c r="H128" i="4" s="1"/>
  <c r="H127" i="4" a="1"/>
  <c r="H127" i="4" s="1"/>
  <c r="H126" i="4" a="1"/>
  <c r="H126" i="4" s="1"/>
  <c r="H125" i="4" a="1"/>
  <c r="H125" i="4" s="1"/>
  <c r="H124" i="4" a="1"/>
  <c r="H124" i="4" s="1"/>
  <c r="H123" i="4" a="1"/>
  <c r="H123" i="4" s="1"/>
  <c r="H122" i="4" a="1"/>
  <c r="H122" i="4" s="1"/>
  <c r="H121" i="4" a="1"/>
  <c r="H121" i="4" s="1"/>
  <c r="H120" i="4" a="1"/>
  <c r="H120" i="4" s="1"/>
  <c r="H119" i="4" a="1"/>
  <c r="H119" i="4" s="1"/>
  <c r="H118" i="4" a="1"/>
  <c r="H118" i="4" s="1"/>
  <c r="H117" i="4" a="1"/>
  <c r="H117" i="4" s="1"/>
  <c r="H116" i="4" a="1"/>
  <c r="H116" i="4" s="1"/>
  <c r="H115" i="4" a="1"/>
  <c r="H115" i="4" s="1"/>
  <c r="H114" i="4" a="1"/>
  <c r="H114" i="4" s="1"/>
  <c r="H113" i="4" a="1"/>
  <c r="H113" i="4" s="1"/>
  <c r="H112" i="4" a="1"/>
  <c r="H112" i="4" s="1"/>
  <c r="H111" i="4" a="1"/>
  <c r="H111" i="4" s="1"/>
  <c r="H110" i="4" a="1"/>
  <c r="H110" i="4" s="1"/>
  <c r="H109" i="4" a="1"/>
  <c r="H109" i="4" s="1"/>
  <c r="H108" i="4" a="1"/>
  <c r="H108" i="4" s="1"/>
  <c r="H107" i="4" a="1"/>
  <c r="H107" i="4" s="1"/>
  <c r="H106" i="4" a="1"/>
  <c r="H106" i="4" s="1"/>
  <c r="H105" i="4" a="1"/>
  <c r="H105" i="4" s="1"/>
  <c r="H104" i="4" a="1"/>
  <c r="H104" i="4" s="1"/>
  <c r="H103" i="4" a="1"/>
  <c r="H103" i="4" s="1"/>
  <c r="H102" i="4" a="1"/>
  <c r="H102" i="4" s="1"/>
  <c r="H101" i="4" a="1"/>
  <c r="H101" i="4" s="1"/>
  <c r="H100" i="4" a="1"/>
  <c r="H100" i="4" s="1"/>
  <c r="H99" i="4" a="1"/>
  <c r="H99" i="4" s="1"/>
  <c r="H98" i="4" a="1"/>
  <c r="H98" i="4" s="1"/>
  <c r="H97" i="4" a="1"/>
  <c r="H97" i="4" s="1"/>
  <c r="H96" i="4" a="1"/>
  <c r="H96" i="4" s="1"/>
  <c r="H95" i="4" a="1"/>
  <c r="H95" i="4" s="1"/>
  <c r="H94" i="4" a="1"/>
  <c r="H94" i="4" s="1"/>
  <c r="H93" i="4" a="1"/>
  <c r="H93" i="4" s="1"/>
  <c r="H92" i="4" a="1"/>
  <c r="H92" i="4" s="1"/>
  <c r="H91" i="4" a="1"/>
  <c r="H91" i="4" s="1"/>
  <c r="H90" i="4" a="1"/>
  <c r="H90" i="4" s="1"/>
  <c r="H89" i="4" a="1"/>
  <c r="H89" i="4" s="1"/>
  <c r="H88" i="4" a="1"/>
  <c r="H88" i="4" s="1"/>
  <c r="H87" i="4" a="1"/>
  <c r="H87" i="4" s="1"/>
  <c r="H86" i="4" a="1"/>
  <c r="H86" i="4" s="1"/>
  <c r="H85" i="4" a="1"/>
  <c r="H85" i="4" s="1"/>
  <c r="H84" i="4" a="1"/>
  <c r="H84" i="4" s="1"/>
  <c r="H83" i="4" a="1"/>
  <c r="H83" i="4" s="1"/>
  <c r="H82" i="4" a="1"/>
  <c r="H82" i="4" s="1"/>
  <c r="H81" i="4" a="1"/>
  <c r="H81" i="4" s="1"/>
  <c r="H80" i="4" a="1"/>
  <c r="H80" i="4" s="1"/>
  <c r="H79" i="4" a="1"/>
  <c r="H79" i="4" s="1"/>
  <c r="H78" i="4" a="1"/>
  <c r="H78" i="4" s="1"/>
  <c r="H77" i="4" a="1"/>
  <c r="H77" i="4" s="1"/>
  <c r="H76" i="4" a="1"/>
  <c r="H76" i="4" s="1"/>
  <c r="H75" i="4" a="1"/>
  <c r="H75" i="4" s="1"/>
  <c r="H74" i="4" a="1"/>
  <c r="H74" i="4" s="1"/>
  <c r="H73" i="4" a="1"/>
  <c r="H73" i="4" s="1"/>
  <c r="H72" i="4" a="1"/>
  <c r="H72" i="4" s="1"/>
  <c r="H71" i="4" a="1"/>
  <c r="H71" i="4" s="1"/>
  <c r="H70" i="4" a="1"/>
  <c r="H70" i="4" s="1"/>
  <c r="H69" i="4" a="1"/>
  <c r="H69" i="4" s="1"/>
  <c r="H68" i="4" a="1"/>
  <c r="H68" i="4" s="1"/>
  <c r="H67" i="4" a="1"/>
  <c r="H67" i="4" s="1"/>
  <c r="H66" i="4" a="1"/>
  <c r="H66" i="4" s="1"/>
  <c r="H65" i="4" a="1"/>
  <c r="H65" i="4" s="1"/>
  <c r="H64" i="4" a="1"/>
  <c r="H64" i="4" s="1"/>
  <c r="H63" i="4" a="1"/>
  <c r="H63" i="4" s="1"/>
  <c r="H62" i="4" a="1"/>
  <c r="H62" i="4" s="1"/>
  <c r="H61" i="4" a="1"/>
  <c r="H61" i="4" s="1"/>
  <c r="H60" i="4" a="1"/>
  <c r="H60" i="4" s="1"/>
  <c r="H59" i="4" a="1"/>
  <c r="H59" i="4" s="1"/>
  <c r="H58" i="4" a="1"/>
  <c r="H58" i="4" s="1"/>
  <c r="H57" i="4" a="1"/>
  <c r="H57" i="4" s="1"/>
  <c r="H56" i="4" a="1"/>
  <c r="H56" i="4" s="1"/>
  <c r="H55" i="4" a="1"/>
  <c r="H55" i="4" s="1"/>
  <c r="H54" i="4" a="1"/>
  <c r="H54" i="4" s="1"/>
  <c r="H53" i="4" a="1"/>
  <c r="H53" i="4" s="1"/>
  <c r="H52" i="4" a="1"/>
  <c r="H52" i="4" s="1"/>
  <c r="H51" i="4" a="1"/>
  <c r="H51" i="4" s="1"/>
  <c r="H50" i="4" a="1"/>
  <c r="H50" i="4" s="1"/>
  <c r="H49" i="4" a="1"/>
  <c r="H49" i="4" s="1"/>
  <c r="H48" i="4" a="1"/>
  <c r="H48" i="4" s="1"/>
  <c r="H47" i="4" a="1"/>
  <c r="H47" i="4" s="1"/>
  <c r="H46" i="4" a="1"/>
  <c r="H46" i="4" s="1"/>
  <c r="H45" i="4" a="1"/>
  <c r="H45" i="4" s="1"/>
  <c r="H44" i="4" a="1"/>
  <c r="H44" i="4" s="1"/>
  <c r="H43" i="4" a="1"/>
  <c r="H43" i="4" s="1"/>
  <c r="H42" i="4" a="1"/>
  <c r="H42" i="4" s="1"/>
  <c r="H41" i="4" a="1"/>
  <c r="H41" i="4" s="1"/>
  <c r="H40" i="4" a="1"/>
  <c r="H40" i="4" s="1"/>
  <c r="H39" i="4" a="1"/>
  <c r="H39" i="4" s="1"/>
  <c r="H38" i="4" a="1"/>
  <c r="H38" i="4" s="1"/>
  <c r="H37" i="4" a="1"/>
  <c r="H37" i="4" s="1"/>
  <c r="H36" i="4" a="1"/>
  <c r="H36" i="4" s="1"/>
  <c r="H35" i="4" a="1"/>
  <c r="H35" i="4" s="1"/>
  <c r="H34" i="4" a="1"/>
  <c r="H34" i="4" s="1"/>
  <c r="H33" i="4" a="1"/>
  <c r="H33" i="4" s="1"/>
  <c r="H32" i="4" a="1"/>
  <c r="H32" i="4" s="1"/>
  <c r="H31" i="4" a="1"/>
  <c r="H31" i="4" s="1"/>
  <c r="H30" i="4" a="1"/>
  <c r="H30" i="4" s="1"/>
  <c r="H29" i="4" a="1"/>
  <c r="H29" i="4" s="1"/>
  <c r="H28" i="4" a="1"/>
  <c r="H28" i="4" s="1"/>
  <c r="H27" i="4" a="1"/>
  <c r="H27" i="4" s="1"/>
  <c r="H26" i="4" a="1"/>
  <c r="H26" i="4" s="1"/>
  <c r="H25" i="4" a="1"/>
  <c r="H25" i="4" s="1"/>
  <c r="H24" i="4" a="1"/>
  <c r="H24" i="4" s="1"/>
  <c r="H23" i="4" a="1"/>
  <c r="H23" i="4" s="1"/>
  <c r="H22" i="4" a="1"/>
  <c r="H22" i="4" s="1"/>
  <c r="H21" i="4" a="1"/>
  <c r="H21" i="4" s="1"/>
  <c r="H20" i="4" a="1"/>
  <c r="H20" i="4" s="1"/>
  <c r="H19" i="4" a="1"/>
  <c r="H19" i="4" s="1"/>
  <c r="H18" i="4" a="1"/>
  <c r="H18" i="4" s="1"/>
  <c r="H17" i="4" a="1"/>
  <c r="H17" i="4" s="1"/>
  <c r="H16" i="4" a="1"/>
  <c r="H16" i="4" s="1"/>
  <c r="H15" i="4" a="1"/>
  <c r="H15" i="4" s="1"/>
  <c r="H14" i="4" a="1"/>
  <c r="H14" i="4" s="1"/>
  <c r="H13" i="4" a="1"/>
  <c r="H13" i="4" s="1"/>
  <c r="H12" i="4" a="1"/>
  <c r="H12" i="4" s="1"/>
  <c r="H11" i="4" a="1"/>
  <c r="H11" i="4" s="1"/>
  <c r="H10" i="4" a="1"/>
  <c r="H10" i="4" s="1"/>
  <c r="H9" i="4" a="1"/>
  <c r="H9" i="4" s="1"/>
  <c r="H8" i="4" a="1"/>
  <c r="H8" i="4" s="1"/>
  <c r="H7" i="4" a="1"/>
  <c r="H7" i="4" s="1"/>
  <c r="H6" i="4" a="1"/>
  <c r="H6" i="4" s="1"/>
  <c r="R242" i="4" l="1"/>
  <c r="S242" i="4"/>
  <c r="T242" i="4"/>
  <c r="Q242" i="4"/>
  <c r="T43" i="4"/>
  <c r="S43" i="4"/>
  <c r="R43" i="4"/>
  <c r="Q43" i="4"/>
  <c r="R18" i="4"/>
  <c r="T18" i="4"/>
  <c r="S18" i="4"/>
  <c r="Q18" i="4"/>
  <c r="R38" i="4"/>
  <c r="S38" i="4"/>
  <c r="T38" i="4"/>
  <c r="Q38" i="4"/>
  <c r="S58" i="4"/>
  <c r="R58" i="4"/>
  <c r="Q58" i="4"/>
  <c r="T58" i="4"/>
  <c r="S78" i="4"/>
  <c r="T78" i="4"/>
  <c r="R78" i="4"/>
  <c r="Q78" i="4"/>
  <c r="S98" i="4"/>
  <c r="T98" i="4"/>
  <c r="R98" i="4"/>
  <c r="Q98" i="4"/>
  <c r="T118" i="4"/>
  <c r="S118" i="4"/>
  <c r="R118" i="4"/>
  <c r="Q118" i="4"/>
  <c r="R138" i="4"/>
  <c r="T138" i="4"/>
  <c r="S138" i="4"/>
  <c r="Q138" i="4"/>
  <c r="T158" i="4"/>
  <c r="S158" i="4"/>
  <c r="R158" i="4"/>
  <c r="Q158" i="4"/>
  <c r="T178" i="4"/>
  <c r="S178" i="4"/>
  <c r="R178" i="4"/>
  <c r="Q178" i="4"/>
  <c r="T198" i="4"/>
  <c r="R198" i="4"/>
  <c r="S198" i="4"/>
  <c r="Q198" i="4"/>
  <c r="S218" i="4"/>
  <c r="T218" i="4"/>
  <c r="R218" i="4"/>
  <c r="Q218" i="4"/>
  <c r="Q238" i="4" a="1"/>
  <c r="Q238" i="4" s="1"/>
  <c r="T238" i="4"/>
  <c r="S238" i="4"/>
  <c r="R238" i="4"/>
  <c r="S258" i="4"/>
  <c r="R258" i="4"/>
  <c r="T258" i="4"/>
  <c r="Q258" i="4"/>
  <c r="S278" i="4"/>
  <c r="R278" i="4"/>
  <c r="T278" i="4"/>
  <c r="Q278" i="4"/>
  <c r="S298" i="4"/>
  <c r="R298" i="4"/>
  <c r="T298" i="4"/>
  <c r="Q298" i="4"/>
  <c r="R318" i="4"/>
  <c r="S318" i="4"/>
  <c r="T318" i="4"/>
  <c r="Q318" i="4"/>
  <c r="T338" i="4"/>
  <c r="S338" i="4"/>
  <c r="R338" i="4"/>
  <c r="Q338" i="4"/>
  <c r="S358" i="4"/>
  <c r="R358" i="4"/>
  <c r="T358" i="4"/>
  <c r="Q358" i="4"/>
  <c r="S378" i="4"/>
  <c r="R378" i="4"/>
  <c r="T378" i="4"/>
  <c r="Q378" i="4"/>
  <c r="R398" i="4"/>
  <c r="T398" i="4"/>
  <c r="S398" i="4"/>
  <c r="Q398" i="4"/>
  <c r="S418" i="4"/>
  <c r="R418" i="4"/>
  <c r="T418" i="4"/>
  <c r="Q418" i="4"/>
  <c r="T122" i="4"/>
  <c r="R122" i="4"/>
  <c r="S122" i="4"/>
  <c r="Q122" i="4"/>
  <c r="T323" i="4"/>
  <c r="S323" i="4"/>
  <c r="R323" i="4"/>
  <c r="Q323" i="4"/>
  <c r="Q19" i="4" a="1"/>
  <c r="Q19" i="4" s="1"/>
  <c r="T19" i="4"/>
  <c r="S19" i="4"/>
  <c r="R19" i="4"/>
  <c r="S39" i="4"/>
  <c r="R39" i="4"/>
  <c r="T39" i="4"/>
  <c r="Q39" i="4"/>
  <c r="T59" i="4"/>
  <c r="S59" i="4"/>
  <c r="R59" i="4"/>
  <c r="Q59" i="4"/>
  <c r="S79" i="4"/>
  <c r="R79" i="4"/>
  <c r="T79" i="4"/>
  <c r="Q79" i="4"/>
  <c r="T99" i="4"/>
  <c r="R99" i="4"/>
  <c r="S99" i="4"/>
  <c r="Q99" i="4"/>
  <c r="R119" i="4"/>
  <c r="S119" i="4"/>
  <c r="T119" i="4"/>
  <c r="Q119" i="4"/>
  <c r="R139" i="4"/>
  <c r="T139" i="4"/>
  <c r="S139" i="4"/>
  <c r="Q139" i="4"/>
  <c r="S159" i="4"/>
  <c r="R159" i="4"/>
  <c r="T159" i="4"/>
  <c r="Q159" i="4"/>
  <c r="Q179" i="4" a="1"/>
  <c r="Q179" i="4" s="1"/>
  <c r="S179" i="4"/>
  <c r="T179" i="4"/>
  <c r="R179" i="4"/>
  <c r="T199" i="4"/>
  <c r="S199" i="4"/>
  <c r="R199" i="4"/>
  <c r="Q199" i="4"/>
  <c r="R219" i="4"/>
  <c r="T219" i="4"/>
  <c r="S219" i="4"/>
  <c r="Q219" i="4"/>
  <c r="S239" i="4"/>
  <c r="T239" i="4"/>
  <c r="R239" i="4"/>
  <c r="Q239" i="4"/>
  <c r="Q259" i="4" a="1"/>
  <c r="Q259" i="4" s="1"/>
  <c r="T259" i="4"/>
  <c r="S259" i="4"/>
  <c r="R259" i="4"/>
  <c r="S279" i="4"/>
  <c r="Q279" i="4"/>
  <c r="R279" i="4"/>
  <c r="T279" i="4"/>
  <c r="T299" i="4"/>
  <c r="S299" i="4"/>
  <c r="R299" i="4"/>
  <c r="Q299" i="4"/>
  <c r="T319" i="4"/>
  <c r="S319" i="4"/>
  <c r="R319" i="4"/>
  <c r="Q319" i="4"/>
  <c r="R339" i="4"/>
  <c r="T339" i="4"/>
  <c r="S339" i="4"/>
  <c r="Q339" i="4"/>
  <c r="R359" i="4"/>
  <c r="Q359" i="4"/>
  <c r="S359" i="4"/>
  <c r="T359" i="4"/>
  <c r="T379" i="4"/>
  <c r="S379" i="4"/>
  <c r="R379" i="4"/>
  <c r="Q379" i="4"/>
  <c r="Q399" i="4"/>
  <c r="R399" i="4"/>
  <c r="T399" i="4"/>
  <c r="S399" i="4"/>
  <c r="R419" i="4"/>
  <c r="T419" i="4"/>
  <c r="S419" i="4"/>
  <c r="Q419" i="4"/>
  <c r="Q222" i="4" a="1"/>
  <c r="Q222" i="4" s="1"/>
  <c r="S222" i="4"/>
  <c r="R222" i="4"/>
  <c r="T222" i="4"/>
  <c r="T83" i="4"/>
  <c r="R83" i="4"/>
  <c r="S83" i="4"/>
  <c r="Q83" i="4"/>
  <c r="T20" i="4"/>
  <c r="R20" i="4"/>
  <c r="S20" i="4"/>
  <c r="Q20" i="4"/>
  <c r="T40" i="4"/>
  <c r="Q40" i="4"/>
  <c r="S40" i="4"/>
  <c r="R40" i="4"/>
  <c r="Q60" i="4" a="1"/>
  <c r="Q60" i="4" s="1"/>
  <c r="T60" i="4"/>
  <c r="S60" i="4"/>
  <c r="R60" i="4"/>
  <c r="R80" i="4"/>
  <c r="T80" i="4"/>
  <c r="S80" i="4"/>
  <c r="Q80" i="4"/>
  <c r="T100" i="4"/>
  <c r="S100" i="4"/>
  <c r="R100" i="4"/>
  <c r="Q100" i="4"/>
  <c r="T120" i="4"/>
  <c r="Q120" i="4"/>
  <c r="R120" i="4"/>
  <c r="S120" i="4"/>
  <c r="S140" i="4"/>
  <c r="R140" i="4"/>
  <c r="T140" i="4"/>
  <c r="Q140" i="4"/>
  <c r="T160" i="4"/>
  <c r="R160" i="4"/>
  <c r="S160" i="4"/>
  <c r="Q160" i="4"/>
  <c r="S180" i="4"/>
  <c r="R180" i="4"/>
  <c r="T180" i="4"/>
  <c r="Q180" i="4"/>
  <c r="S200" i="4"/>
  <c r="T200" i="4"/>
  <c r="R200" i="4"/>
  <c r="Q200" i="4"/>
  <c r="S220" i="4"/>
  <c r="R220" i="4"/>
  <c r="T220" i="4"/>
  <c r="Q220" i="4"/>
  <c r="T240" i="4"/>
  <c r="R240" i="4"/>
  <c r="S240" i="4"/>
  <c r="Q240" i="4"/>
  <c r="Q260" i="4" a="1"/>
  <c r="Q260" i="4" s="1"/>
  <c r="R260" i="4"/>
  <c r="S260" i="4"/>
  <c r="T260" i="4"/>
  <c r="Q280" i="4" a="1"/>
  <c r="Q280" i="4" s="1"/>
  <c r="T280" i="4"/>
  <c r="S280" i="4"/>
  <c r="R280" i="4"/>
  <c r="S300" i="4"/>
  <c r="T300" i="4"/>
  <c r="R300" i="4"/>
  <c r="Q300" i="4"/>
  <c r="T320" i="4"/>
  <c r="R320" i="4"/>
  <c r="S320" i="4"/>
  <c r="Q320" i="4"/>
  <c r="T340" i="4"/>
  <c r="S340" i="4"/>
  <c r="R340" i="4"/>
  <c r="Q340" i="4"/>
  <c r="R360" i="4"/>
  <c r="Q360" i="4"/>
  <c r="T360" i="4"/>
  <c r="S360" i="4"/>
  <c r="Q380" i="4" a="1"/>
  <c r="Q380" i="4" s="1"/>
  <c r="S380" i="4"/>
  <c r="R380" i="4"/>
  <c r="T380" i="4"/>
  <c r="T400" i="4"/>
  <c r="S400" i="4"/>
  <c r="R400" i="4"/>
  <c r="Q400" i="4"/>
  <c r="S420" i="4"/>
  <c r="R420" i="4"/>
  <c r="T420" i="4"/>
  <c r="Q420" i="4"/>
  <c r="S102" i="4"/>
  <c r="R102" i="4"/>
  <c r="T102" i="4"/>
  <c r="Q102" i="4"/>
  <c r="R343" i="4"/>
  <c r="T343" i="4"/>
  <c r="S343" i="4"/>
  <c r="Q343" i="4"/>
  <c r="T21" i="4"/>
  <c r="R21" i="4"/>
  <c r="S21" i="4"/>
  <c r="Q21" i="4"/>
  <c r="T41" i="4"/>
  <c r="R41" i="4"/>
  <c r="S41" i="4"/>
  <c r="Q41" i="4"/>
  <c r="S61" i="4"/>
  <c r="T61" i="4"/>
  <c r="R61" i="4"/>
  <c r="Q61" i="4"/>
  <c r="R81" i="4"/>
  <c r="T81" i="4"/>
  <c r="S81" i="4"/>
  <c r="Q81" i="4"/>
  <c r="S101" i="4"/>
  <c r="T101" i="4"/>
  <c r="R101" i="4"/>
  <c r="Q101" i="4"/>
  <c r="S121" i="4"/>
  <c r="R121" i="4"/>
  <c r="T121" i="4"/>
  <c r="Q121" i="4"/>
  <c r="R141" i="4"/>
  <c r="S141" i="4"/>
  <c r="T141" i="4"/>
  <c r="Q141" i="4"/>
  <c r="R161" i="4"/>
  <c r="T161" i="4"/>
  <c r="Q161" i="4"/>
  <c r="S161" i="4"/>
  <c r="R181" i="4"/>
  <c r="S181" i="4"/>
  <c r="T181" i="4"/>
  <c r="Q181" i="4"/>
  <c r="S201" i="4"/>
  <c r="R201" i="4"/>
  <c r="T201" i="4"/>
  <c r="Q201" i="4"/>
  <c r="T221" i="4"/>
  <c r="S221" i="4"/>
  <c r="R221" i="4"/>
  <c r="Q221" i="4"/>
  <c r="T241" i="4"/>
  <c r="S241" i="4"/>
  <c r="R241" i="4"/>
  <c r="Q241" i="4"/>
  <c r="S261" i="4"/>
  <c r="R261" i="4"/>
  <c r="Q261" i="4"/>
  <c r="T261" i="4"/>
  <c r="R281" i="4"/>
  <c r="T281" i="4"/>
  <c r="S281" i="4"/>
  <c r="Q281" i="4"/>
  <c r="S301" i="4"/>
  <c r="T301" i="4"/>
  <c r="R301" i="4"/>
  <c r="Q301" i="4"/>
  <c r="Q321" i="4" a="1"/>
  <c r="Q321" i="4" s="1"/>
  <c r="R321" i="4"/>
  <c r="T321" i="4"/>
  <c r="S321" i="4"/>
  <c r="S341" i="4"/>
  <c r="T341" i="4"/>
  <c r="R341" i="4"/>
  <c r="Q341" i="4"/>
  <c r="R361" i="4"/>
  <c r="T361" i="4"/>
  <c r="S361" i="4"/>
  <c r="Q361" i="4"/>
  <c r="T381" i="4"/>
  <c r="R381" i="4"/>
  <c r="S381" i="4"/>
  <c r="Q381" i="4"/>
  <c r="T401" i="4"/>
  <c r="R401" i="4"/>
  <c r="S401" i="4"/>
  <c r="Q401" i="4"/>
  <c r="R421" i="4"/>
  <c r="T421" i="4"/>
  <c r="S421" i="4"/>
  <c r="Q421" i="4"/>
  <c r="S423" i="4"/>
  <c r="T423" i="4"/>
  <c r="R423" i="4"/>
  <c r="Q423" i="4"/>
  <c r="R82" i="4"/>
  <c r="S82" i="4"/>
  <c r="T82" i="4"/>
  <c r="Q82" i="4"/>
  <c r="T262" i="4"/>
  <c r="S262" i="4"/>
  <c r="R262" i="4"/>
  <c r="Q262" i="4"/>
  <c r="R143" i="4"/>
  <c r="T143" i="4"/>
  <c r="S143" i="4"/>
  <c r="Q143" i="4"/>
  <c r="Q283" i="4" a="1"/>
  <c r="Q283" i="4" s="1"/>
  <c r="S283" i="4"/>
  <c r="T283" i="4"/>
  <c r="R283" i="4"/>
  <c r="S104" i="4"/>
  <c r="T104" i="4"/>
  <c r="R104" i="4"/>
  <c r="Q104" i="4"/>
  <c r="S264" i="4"/>
  <c r="R264" i="4"/>
  <c r="T264" i="4"/>
  <c r="Q264" i="4"/>
  <c r="R384" i="4"/>
  <c r="T384" i="4"/>
  <c r="S384" i="4"/>
  <c r="Q384" i="4"/>
  <c r="Q145" i="4" a="1"/>
  <c r="Q145" i="4"/>
  <c r="T145" i="4"/>
  <c r="S145" i="4"/>
  <c r="R145" i="4"/>
  <c r="S285" i="4"/>
  <c r="R285" i="4"/>
  <c r="T285" i="4"/>
  <c r="Q285" i="4"/>
  <c r="T425" i="4"/>
  <c r="R425" i="4"/>
  <c r="S425" i="4"/>
  <c r="Q425" i="4"/>
  <c r="T26" i="4"/>
  <c r="R26" i="4"/>
  <c r="S26" i="4"/>
  <c r="Q26" i="4"/>
  <c r="R166" i="4"/>
  <c r="T166" i="4"/>
  <c r="S166" i="4"/>
  <c r="Q166" i="4"/>
  <c r="R306" i="4"/>
  <c r="Q306" i="4"/>
  <c r="S306" i="4"/>
  <c r="T306" i="4"/>
  <c r="S282" i="4"/>
  <c r="T282" i="4"/>
  <c r="R282" i="4"/>
  <c r="Q282" i="4"/>
  <c r="R123" i="4"/>
  <c r="T123" i="4"/>
  <c r="S123" i="4"/>
  <c r="Q123" i="4"/>
  <c r="S24" i="4"/>
  <c r="R24" i="4"/>
  <c r="Q24" i="4"/>
  <c r="T24" i="4"/>
  <c r="R324" i="4"/>
  <c r="T324" i="4"/>
  <c r="S324" i="4"/>
  <c r="Q324" i="4"/>
  <c r="T205" i="4"/>
  <c r="S205" i="4"/>
  <c r="Q205" i="4"/>
  <c r="R205" i="4"/>
  <c r="T46" i="4"/>
  <c r="S46" i="4"/>
  <c r="R46" i="4"/>
  <c r="Q46" i="4"/>
  <c r="T326" i="4"/>
  <c r="S326" i="4"/>
  <c r="R326" i="4"/>
  <c r="Q326" i="4"/>
  <c r="S267" i="4"/>
  <c r="R267" i="4"/>
  <c r="T267" i="4"/>
  <c r="Q267" i="4"/>
  <c r="Q8" i="4" a="1"/>
  <c r="Q8" i="4" s="1"/>
  <c r="T8" i="4"/>
  <c r="S8" i="4"/>
  <c r="R8" i="4"/>
  <c r="R28" i="4"/>
  <c r="T28" i="4"/>
  <c r="S28" i="4"/>
  <c r="Q28" i="4"/>
  <c r="T48" i="4"/>
  <c r="S48" i="4"/>
  <c r="R48" i="4"/>
  <c r="Q48" i="4"/>
  <c r="R68" i="4"/>
  <c r="T68" i="4"/>
  <c r="S68" i="4"/>
  <c r="Q68" i="4"/>
  <c r="R88" i="4"/>
  <c r="S88" i="4"/>
  <c r="T88" i="4"/>
  <c r="Q88" i="4"/>
  <c r="S108" i="4"/>
  <c r="R108" i="4"/>
  <c r="T108" i="4"/>
  <c r="Q108" i="4"/>
  <c r="Q128" i="4" a="1"/>
  <c r="Q128" i="4" s="1"/>
  <c r="S128" i="4"/>
  <c r="R128" i="4"/>
  <c r="T128" i="4"/>
  <c r="T148" i="4"/>
  <c r="S148" i="4"/>
  <c r="R148" i="4"/>
  <c r="Q148" i="4"/>
  <c r="Q168" i="4" a="1"/>
  <c r="Q168" i="4"/>
  <c r="T168" i="4"/>
  <c r="S168" i="4"/>
  <c r="R168" i="4"/>
  <c r="R188" i="4"/>
  <c r="T188" i="4"/>
  <c r="S188" i="4"/>
  <c r="Q188" i="4"/>
  <c r="Q208" i="4" a="1"/>
  <c r="Q208" i="4" s="1"/>
  <c r="R208" i="4"/>
  <c r="S208" i="4"/>
  <c r="T208" i="4"/>
  <c r="S228" i="4"/>
  <c r="T228" i="4"/>
  <c r="R228" i="4"/>
  <c r="Q228" i="4"/>
  <c r="R248" i="4"/>
  <c r="S248" i="4"/>
  <c r="T248" i="4"/>
  <c r="Q248" i="4"/>
  <c r="T268" i="4"/>
  <c r="S268" i="4"/>
  <c r="R268" i="4"/>
  <c r="Q268" i="4"/>
  <c r="T288" i="4"/>
  <c r="S288" i="4"/>
  <c r="R288" i="4"/>
  <c r="Q288" i="4"/>
  <c r="R308" i="4"/>
  <c r="S308" i="4"/>
  <c r="T308" i="4"/>
  <c r="Q308" i="4"/>
  <c r="R328" i="4"/>
  <c r="S328" i="4"/>
  <c r="T328" i="4"/>
  <c r="Q328" i="4"/>
  <c r="Q348" i="4" a="1"/>
  <c r="Q348" i="4" s="1"/>
  <c r="S348" i="4"/>
  <c r="R348" i="4"/>
  <c r="T348" i="4"/>
  <c r="Q368" i="4" a="1"/>
  <c r="Q368" i="4"/>
  <c r="T368" i="4"/>
  <c r="S368" i="4"/>
  <c r="R368" i="4"/>
  <c r="T388" i="4"/>
  <c r="S388" i="4"/>
  <c r="R388" i="4"/>
  <c r="Q388" i="4"/>
  <c r="Q408" i="4" a="1"/>
  <c r="S408" i="4"/>
  <c r="T408" i="4"/>
  <c r="R408" i="4"/>
  <c r="Q408" i="4"/>
  <c r="T428" i="4"/>
  <c r="S428" i="4"/>
  <c r="R428" i="4"/>
  <c r="Q428" i="4"/>
  <c r="R429" i="4"/>
  <c r="S429" i="4"/>
  <c r="T429" i="4"/>
  <c r="Q429" i="4"/>
  <c r="Q142" i="4" a="1"/>
  <c r="Q142" i="4" s="1"/>
  <c r="T142" i="4"/>
  <c r="S142" i="4"/>
  <c r="R142" i="4"/>
  <c r="R322" i="4"/>
  <c r="T322" i="4"/>
  <c r="S322" i="4"/>
  <c r="Q322" i="4"/>
  <c r="R23" i="4"/>
  <c r="S23" i="4"/>
  <c r="T23" i="4"/>
  <c r="Q23" i="4"/>
  <c r="Q183" i="4" a="1"/>
  <c r="Q183" i="4" s="1"/>
  <c r="T183" i="4"/>
  <c r="S183" i="4"/>
  <c r="R183" i="4"/>
  <c r="Q403" i="4" a="1"/>
  <c r="Q403" i="4" s="1"/>
  <c r="T403" i="4"/>
  <c r="S403" i="4"/>
  <c r="R403" i="4"/>
  <c r="T44" i="4"/>
  <c r="R44" i="4"/>
  <c r="S44" i="4"/>
  <c r="Q44" i="4"/>
  <c r="S144" i="4"/>
  <c r="R144" i="4"/>
  <c r="Q144" i="4"/>
  <c r="T144" i="4"/>
  <c r="Q284" i="4" a="1"/>
  <c r="Q284" i="4" s="1"/>
  <c r="T284" i="4"/>
  <c r="S284" i="4"/>
  <c r="R284" i="4"/>
  <c r="S404" i="4"/>
  <c r="R404" i="4"/>
  <c r="T404" i="4"/>
  <c r="Q404" i="4"/>
  <c r="S65" i="4"/>
  <c r="T65" i="4"/>
  <c r="R65" i="4"/>
  <c r="Q65" i="4"/>
  <c r="R165" i="4"/>
  <c r="T165" i="4"/>
  <c r="S165" i="4"/>
  <c r="Q165" i="4"/>
  <c r="S305" i="4"/>
  <c r="R305" i="4"/>
  <c r="T305" i="4"/>
  <c r="Q305" i="4"/>
  <c r="T66" i="4"/>
  <c r="S66" i="4"/>
  <c r="R66" i="4"/>
  <c r="Q66" i="4"/>
  <c r="S186" i="4"/>
  <c r="R186" i="4"/>
  <c r="T186" i="4"/>
  <c r="Q186" i="4"/>
  <c r="T346" i="4"/>
  <c r="S346" i="4"/>
  <c r="R346" i="4"/>
  <c r="Q346" i="4"/>
  <c r="Q87" i="4" a="1"/>
  <c r="Q87" i="4" s="1"/>
  <c r="T87" i="4"/>
  <c r="S87" i="4"/>
  <c r="R87" i="4"/>
  <c r="T187" i="4"/>
  <c r="S187" i="4"/>
  <c r="R187" i="4"/>
  <c r="Q187" i="4"/>
  <c r="T327" i="4"/>
  <c r="S327" i="4"/>
  <c r="R327" i="4"/>
  <c r="Q327" i="4"/>
  <c r="T29" i="4"/>
  <c r="S29" i="4"/>
  <c r="R29" i="4"/>
  <c r="Q29" i="4"/>
  <c r="T89" i="4"/>
  <c r="R89" i="4"/>
  <c r="S89" i="4"/>
  <c r="Q89" i="4"/>
  <c r="R129" i="4"/>
  <c r="S129" i="4"/>
  <c r="T129" i="4"/>
  <c r="Q129" i="4"/>
  <c r="T169" i="4"/>
  <c r="S169" i="4"/>
  <c r="R169" i="4"/>
  <c r="Q169" i="4"/>
  <c r="R209" i="4"/>
  <c r="T209" i="4"/>
  <c r="S209" i="4"/>
  <c r="Q209" i="4"/>
  <c r="R249" i="4"/>
  <c r="T249" i="4"/>
  <c r="S249" i="4"/>
  <c r="Q249" i="4"/>
  <c r="Q289" i="4" a="1"/>
  <c r="T289" i="4"/>
  <c r="S289" i="4"/>
  <c r="R289" i="4"/>
  <c r="Q289" i="4"/>
  <c r="R329" i="4"/>
  <c r="T329" i="4"/>
  <c r="S329" i="4"/>
  <c r="Q329" i="4"/>
  <c r="R369" i="4"/>
  <c r="T369" i="4"/>
  <c r="S369" i="4"/>
  <c r="Q369" i="4"/>
  <c r="T409" i="4"/>
  <c r="S409" i="4"/>
  <c r="R409" i="4"/>
  <c r="Q409" i="4"/>
  <c r="S10" i="4"/>
  <c r="R10" i="4"/>
  <c r="T10" i="4"/>
  <c r="Q10" i="4"/>
  <c r="T30" i="4"/>
  <c r="R30" i="4"/>
  <c r="S30" i="4"/>
  <c r="Q30" i="4"/>
  <c r="S50" i="4"/>
  <c r="R50" i="4"/>
  <c r="Q50" i="4"/>
  <c r="T50" i="4"/>
  <c r="T70" i="4"/>
  <c r="R70" i="4"/>
  <c r="S70" i="4"/>
  <c r="Q70" i="4"/>
  <c r="S90" i="4"/>
  <c r="R90" i="4"/>
  <c r="T90" i="4"/>
  <c r="Q90" i="4"/>
  <c r="S110" i="4"/>
  <c r="R110" i="4"/>
  <c r="T110" i="4"/>
  <c r="Q110" i="4"/>
  <c r="S130" i="4"/>
  <c r="R130" i="4"/>
  <c r="T130" i="4"/>
  <c r="Q130" i="4"/>
  <c r="T150" i="4"/>
  <c r="S150" i="4"/>
  <c r="R150" i="4"/>
  <c r="Q150" i="4"/>
  <c r="Q170" i="4" a="1"/>
  <c r="Q170" i="4" s="1"/>
  <c r="T170" i="4"/>
  <c r="S170" i="4"/>
  <c r="R170" i="4"/>
  <c r="Q190" i="4" a="1"/>
  <c r="Q190" i="4" s="1"/>
  <c r="S190" i="4"/>
  <c r="R190" i="4"/>
  <c r="T190" i="4"/>
  <c r="Q210" i="4" a="1"/>
  <c r="S210" i="4"/>
  <c r="T210" i="4"/>
  <c r="R210" i="4"/>
  <c r="Q210" i="4"/>
  <c r="T230" i="4"/>
  <c r="R230" i="4"/>
  <c r="S230" i="4"/>
  <c r="Q230" i="4"/>
  <c r="T250" i="4"/>
  <c r="S250" i="4"/>
  <c r="R250" i="4"/>
  <c r="Q250" i="4"/>
  <c r="S270" i="4"/>
  <c r="T270" i="4"/>
  <c r="R270" i="4"/>
  <c r="Q270" i="4"/>
  <c r="R290" i="4"/>
  <c r="S290" i="4"/>
  <c r="T290" i="4"/>
  <c r="Q290" i="4"/>
  <c r="S310" i="4"/>
  <c r="R310" i="4"/>
  <c r="T310" i="4"/>
  <c r="Q310" i="4"/>
  <c r="R330" i="4"/>
  <c r="T330" i="4"/>
  <c r="S330" i="4"/>
  <c r="Q330" i="4"/>
  <c r="S350" i="4"/>
  <c r="R350" i="4"/>
  <c r="T350" i="4"/>
  <c r="Q350" i="4"/>
  <c r="T370" i="4"/>
  <c r="R370" i="4"/>
  <c r="S370" i="4"/>
  <c r="Q370" i="4"/>
  <c r="Q390" i="4" a="1"/>
  <c r="Q390" i="4" s="1"/>
  <c r="T390" i="4"/>
  <c r="S390" i="4"/>
  <c r="R390" i="4"/>
  <c r="Q410" i="4" a="1"/>
  <c r="Q410" i="4" s="1"/>
  <c r="T410" i="4"/>
  <c r="S410" i="4"/>
  <c r="R410" i="4"/>
  <c r="S430" i="4"/>
  <c r="R430" i="4"/>
  <c r="T430" i="4"/>
  <c r="Q430" i="4"/>
  <c r="S107" i="4"/>
  <c r="R107" i="4"/>
  <c r="T107" i="4"/>
  <c r="Q107" i="4"/>
  <c r="T207" i="4"/>
  <c r="S207" i="4"/>
  <c r="R207" i="4"/>
  <c r="Q207" i="4"/>
  <c r="Q407" i="4"/>
  <c r="R407" i="4"/>
  <c r="T407" i="4"/>
  <c r="S407" i="4"/>
  <c r="Q9" i="4" a="1"/>
  <c r="Q9" i="4" s="1"/>
  <c r="S9" i="4"/>
  <c r="R9" i="4"/>
  <c r="T9" i="4"/>
  <c r="S49" i="4"/>
  <c r="R49" i="4"/>
  <c r="T49" i="4"/>
  <c r="Q49" i="4"/>
  <c r="T69" i="4"/>
  <c r="S69" i="4"/>
  <c r="R69" i="4"/>
  <c r="Q69" i="4"/>
  <c r="T109" i="4"/>
  <c r="R109" i="4"/>
  <c r="S109" i="4"/>
  <c r="Q109" i="4"/>
  <c r="Q149" i="4" a="1"/>
  <c r="Q149" i="4" s="1"/>
  <c r="T149" i="4"/>
  <c r="S149" i="4"/>
  <c r="R149" i="4"/>
  <c r="Q189" i="4" a="1"/>
  <c r="Q189" i="4" s="1"/>
  <c r="T189" i="4"/>
  <c r="S189" i="4"/>
  <c r="R189" i="4"/>
  <c r="T229" i="4"/>
  <c r="S229" i="4"/>
  <c r="R229" i="4"/>
  <c r="Q229" i="4"/>
  <c r="T269" i="4"/>
  <c r="S269" i="4"/>
  <c r="R269" i="4"/>
  <c r="Q269" i="4"/>
  <c r="T309" i="4"/>
  <c r="S309" i="4"/>
  <c r="R309" i="4"/>
  <c r="Q309" i="4"/>
  <c r="T349" i="4"/>
  <c r="S349" i="4"/>
  <c r="R349" i="4"/>
  <c r="Q349" i="4"/>
  <c r="Q389" i="4" a="1"/>
  <c r="T389" i="4"/>
  <c r="S389" i="4"/>
  <c r="R389" i="4"/>
  <c r="Q389" i="4"/>
  <c r="Q11" i="4"/>
  <c r="S11" i="4"/>
  <c r="R11" i="4"/>
  <c r="T11" i="4"/>
  <c r="T31" i="4"/>
  <c r="R31" i="4"/>
  <c r="S31" i="4"/>
  <c r="Q31" i="4"/>
  <c r="R51" i="4"/>
  <c r="T51" i="4"/>
  <c r="S51" i="4"/>
  <c r="Q51" i="4"/>
  <c r="R71" i="4"/>
  <c r="T71" i="4"/>
  <c r="S71" i="4"/>
  <c r="Q71" i="4"/>
  <c r="T91" i="4"/>
  <c r="S91" i="4"/>
  <c r="R91" i="4"/>
  <c r="Q91" i="4"/>
  <c r="R111" i="4"/>
  <c r="S111" i="4"/>
  <c r="T111" i="4"/>
  <c r="Q111" i="4"/>
  <c r="T131" i="4"/>
  <c r="S131" i="4"/>
  <c r="R131" i="4"/>
  <c r="Q131" i="4"/>
  <c r="S151" i="4"/>
  <c r="R151" i="4"/>
  <c r="T151" i="4"/>
  <c r="Q151" i="4"/>
  <c r="T171" i="4"/>
  <c r="R171" i="4"/>
  <c r="S171" i="4"/>
  <c r="Q171" i="4"/>
  <c r="R191" i="4"/>
  <c r="T191" i="4"/>
  <c r="S191" i="4"/>
  <c r="Q191" i="4"/>
  <c r="R211" i="4"/>
  <c r="S211" i="4"/>
  <c r="T211" i="4"/>
  <c r="Q211" i="4"/>
  <c r="R231" i="4"/>
  <c r="T231" i="4"/>
  <c r="S231" i="4"/>
  <c r="Q231" i="4"/>
  <c r="S251" i="4"/>
  <c r="R251" i="4"/>
  <c r="T251" i="4"/>
  <c r="Q251" i="4"/>
  <c r="Q271" i="4" a="1"/>
  <c r="Q271" i="4" s="1"/>
  <c r="R271" i="4"/>
  <c r="S271" i="4"/>
  <c r="T271" i="4"/>
  <c r="R291" i="4"/>
  <c r="S291" i="4"/>
  <c r="T291" i="4"/>
  <c r="Q291" i="4"/>
  <c r="S311" i="4"/>
  <c r="R311" i="4"/>
  <c r="T311" i="4"/>
  <c r="Q311" i="4"/>
  <c r="S331" i="4"/>
  <c r="R331" i="4"/>
  <c r="T331" i="4"/>
  <c r="Q331" i="4"/>
  <c r="S351" i="4"/>
  <c r="R351" i="4"/>
  <c r="T351" i="4"/>
  <c r="Q351" i="4"/>
  <c r="T371" i="4"/>
  <c r="R371" i="4"/>
  <c r="S371" i="4"/>
  <c r="Q371" i="4"/>
  <c r="R391" i="4"/>
  <c r="T391" i="4"/>
  <c r="S391" i="4"/>
  <c r="Q391" i="4"/>
  <c r="R411" i="4"/>
  <c r="S411" i="4"/>
  <c r="T411" i="4"/>
  <c r="Q411" i="4"/>
  <c r="R431" i="4"/>
  <c r="S431" i="4"/>
  <c r="T431" i="4"/>
  <c r="Q431" i="4"/>
  <c r="T402" i="4"/>
  <c r="S402" i="4"/>
  <c r="R402" i="4"/>
  <c r="Q402" i="4"/>
  <c r="S263" i="4"/>
  <c r="R263" i="4"/>
  <c r="T263" i="4"/>
  <c r="Q263" i="4"/>
  <c r="T204" i="4"/>
  <c r="R204" i="4"/>
  <c r="S204" i="4"/>
  <c r="Q204" i="4"/>
  <c r="T45" i="4"/>
  <c r="R45" i="4"/>
  <c r="S45" i="4"/>
  <c r="Q45" i="4"/>
  <c r="T365" i="4"/>
  <c r="S365" i="4"/>
  <c r="R365" i="4"/>
  <c r="Q365" i="4"/>
  <c r="Q266" i="4" a="1"/>
  <c r="Q266" i="4" s="1"/>
  <c r="R266" i="4"/>
  <c r="S266" i="4"/>
  <c r="T266" i="4"/>
  <c r="T67" i="4"/>
  <c r="R67" i="4"/>
  <c r="S67" i="4"/>
  <c r="Q67" i="4"/>
  <c r="Q367" i="4" a="1"/>
  <c r="Q367" i="4" s="1"/>
  <c r="T367" i="4"/>
  <c r="S367" i="4"/>
  <c r="R367" i="4"/>
  <c r="S12" i="4"/>
  <c r="R12" i="4"/>
  <c r="T12" i="4"/>
  <c r="Q12" i="4"/>
  <c r="S32" i="4"/>
  <c r="T32" i="4"/>
  <c r="R32" i="4"/>
  <c r="Q32" i="4"/>
  <c r="R52" i="4"/>
  <c r="T52" i="4"/>
  <c r="S52" i="4"/>
  <c r="Q52" i="4"/>
  <c r="R72" i="4"/>
  <c r="S72" i="4"/>
  <c r="T72" i="4"/>
  <c r="Q72" i="4"/>
  <c r="R92" i="4"/>
  <c r="T92" i="4"/>
  <c r="S92" i="4"/>
  <c r="Q92" i="4"/>
  <c r="T112" i="4"/>
  <c r="R112" i="4"/>
  <c r="S112" i="4"/>
  <c r="Q112" i="4"/>
  <c r="Q132" i="4" a="1"/>
  <c r="Q132" i="4" s="1"/>
  <c r="S132" i="4"/>
  <c r="R132" i="4"/>
  <c r="T132" i="4"/>
  <c r="R152" i="4"/>
  <c r="T152" i="4"/>
  <c r="S152" i="4"/>
  <c r="Q152" i="4"/>
  <c r="T172" i="4"/>
  <c r="R172" i="4"/>
  <c r="S172" i="4"/>
  <c r="Q172" i="4"/>
  <c r="R192" i="4"/>
  <c r="S192" i="4"/>
  <c r="T192" i="4"/>
  <c r="Q192" i="4"/>
  <c r="T212" i="4"/>
  <c r="S212" i="4"/>
  <c r="R212" i="4"/>
  <c r="Q212" i="4"/>
  <c r="Q232" i="4" a="1"/>
  <c r="Q232" i="4" s="1"/>
  <c r="R232" i="4"/>
  <c r="T232" i="4"/>
  <c r="S232" i="4"/>
  <c r="Q252" i="4" a="1"/>
  <c r="Q252" i="4" s="1"/>
  <c r="S252" i="4"/>
  <c r="R252" i="4"/>
  <c r="T252" i="4"/>
  <c r="R272" i="4"/>
  <c r="T272" i="4"/>
  <c r="S272" i="4"/>
  <c r="Q272" i="4"/>
  <c r="T292" i="4"/>
  <c r="R292" i="4"/>
  <c r="S292" i="4"/>
  <c r="Q292" i="4"/>
  <c r="T312" i="4"/>
  <c r="S312" i="4"/>
  <c r="R312" i="4"/>
  <c r="Q312" i="4"/>
  <c r="T332" i="4"/>
  <c r="S332" i="4"/>
  <c r="R332" i="4"/>
  <c r="Q332" i="4"/>
  <c r="S352" i="4"/>
  <c r="R352" i="4"/>
  <c r="T352" i="4"/>
  <c r="Q352" i="4"/>
  <c r="T372" i="4"/>
  <c r="S372" i="4"/>
  <c r="R372" i="4"/>
  <c r="Q372" i="4"/>
  <c r="T392" i="4"/>
  <c r="R392" i="4"/>
  <c r="S392" i="4"/>
  <c r="Q392" i="4"/>
  <c r="Q412" i="4" a="1"/>
  <c r="T412" i="4"/>
  <c r="S412" i="4"/>
  <c r="Q412" i="4"/>
  <c r="R412" i="4"/>
  <c r="Q432" i="4" a="1"/>
  <c r="Q432" i="4" s="1"/>
  <c r="T432" i="4"/>
  <c r="S432" i="4"/>
  <c r="R432" i="4"/>
  <c r="R422" i="4"/>
  <c r="T422" i="4"/>
  <c r="S422" i="4"/>
  <c r="Q422" i="4"/>
  <c r="T243" i="4"/>
  <c r="S243" i="4"/>
  <c r="R243" i="4"/>
  <c r="Q243" i="4"/>
  <c r="T224" i="4"/>
  <c r="S224" i="4"/>
  <c r="R224" i="4"/>
  <c r="Q224" i="4"/>
  <c r="T25" i="4"/>
  <c r="S25" i="4"/>
  <c r="R25" i="4"/>
  <c r="Q25" i="4"/>
  <c r="T345" i="4"/>
  <c r="R345" i="4"/>
  <c r="S345" i="4"/>
  <c r="Q345" i="4"/>
  <c r="R226" i="4"/>
  <c r="T226" i="4"/>
  <c r="S226" i="4"/>
  <c r="Q226" i="4"/>
  <c r="Q47" i="4" a="1"/>
  <c r="Q47" i="4" s="1"/>
  <c r="T47" i="4"/>
  <c r="S47" i="4"/>
  <c r="R47" i="4"/>
  <c r="Q347" i="4"/>
  <c r="T347" i="4"/>
  <c r="S347" i="4"/>
  <c r="R347" i="4"/>
  <c r="T13" i="4"/>
  <c r="S13" i="4"/>
  <c r="R13" i="4"/>
  <c r="Q13" i="4"/>
  <c r="Q33" i="4" a="1"/>
  <c r="Q33" i="4" s="1"/>
  <c r="R33" i="4"/>
  <c r="T33" i="4"/>
  <c r="S33" i="4"/>
  <c r="T53" i="4"/>
  <c r="R53" i="4"/>
  <c r="S53" i="4"/>
  <c r="Q53" i="4"/>
  <c r="R73" i="4"/>
  <c r="T73" i="4"/>
  <c r="S73" i="4"/>
  <c r="Q73" i="4"/>
  <c r="T93" i="4"/>
  <c r="R93" i="4"/>
  <c r="S93" i="4"/>
  <c r="Q93" i="4"/>
  <c r="T113" i="4"/>
  <c r="S113" i="4"/>
  <c r="R113" i="4"/>
  <c r="Q113" i="4"/>
  <c r="S133" i="4"/>
  <c r="R133" i="4"/>
  <c r="T133" i="4"/>
  <c r="Q133" i="4"/>
  <c r="T153" i="4"/>
  <c r="S153" i="4"/>
  <c r="R153" i="4"/>
  <c r="Q153" i="4"/>
  <c r="S173" i="4"/>
  <c r="R173" i="4"/>
  <c r="T173" i="4"/>
  <c r="Q173" i="4"/>
  <c r="Q193" i="4" a="1"/>
  <c r="Q193" i="4" s="1"/>
  <c r="S193" i="4"/>
  <c r="R193" i="4"/>
  <c r="T193" i="4"/>
  <c r="T213" i="4"/>
  <c r="Q213" i="4"/>
  <c r="R213" i="4"/>
  <c r="S213" i="4"/>
  <c r="R233" i="4"/>
  <c r="S233" i="4"/>
  <c r="T233" i="4"/>
  <c r="Q233" i="4"/>
  <c r="S253" i="4"/>
  <c r="R253" i="4"/>
  <c r="T253" i="4"/>
  <c r="Q253" i="4"/>
  <c r="T273" i="4"/>
  <c r="S273" i="4"/>
  <c r="R273" i="4"/>
  <c r="Q273" i="4"/>
  <c r="R293" i="4"/>
  <c r="Q293" i="4"/>
  <c r="T293" i="4"/>
  <c r="S293" i="4"/>
  <c r="T313" i="4"/>
  <c r="R313" i="4"/>
  <c r="S313" i="4"/>
  <c r="Q313" i="4"/>
  <c r="Q333" i="4"/>
  <c r="S333" i="4"/>
  <c r="T333" i="4"/>
  <c r="R333" i="4"/>
  <c r="R353" i="4"/>
  <c r="S353" i="4"/>
  <c r="T353" i="4"/>
  <c r="Q353" i="4"/>
  <c r="Q373" i="4" a="1"/>
  <c r="Q373" i="4" s="1"/>
  <c r="S373" i="4"/>
  <c r="R373" i="4"/>
  <c r="T373" i="4"/>
  <c r="T393" i="4"/>
  <c r="S393" i="4"/>
  <c r="R393" i="4"/>
  <c r="Q393" i="4"/>
  <c r="T413" i="4"/>
  <c r="S413" i="4"/>
  <c r="R413" i="4"/>
  <c r="Q413" i="4"/>
  <c r="T433" i="4"/>
  <c r="S433" i="4"/>
  <c r="R433" i="4"/>
  <c r="Q433" i="4"/>
  <c r="Q42" i="4" a="1"/>
  <c r="Q42" i="4" s="1"/>
  <c r="S42" i="4"/>
  <c r="R42" i="4"/>
  <c r="T42" i="4"/>
  <c r="Q182" i="4" a="1"/>
  <c r="T182" i="4"/>
  <c r="R182" i="4"/>
  <c r="Q182" i="4"/>
  <c r="S182" i="4"/>
  <c r="Q382" i="4" a="1"/>
  <c r="Q382" i="4" s="1"/>
  <c r="T382" i="4"/>
  <c r="R382" i="4"/>
  <c r="S382" i="4"/>
  <c r="T103" i="4"/>
  <c r="S103" i="4"/>
  <c r="R103" i="4"/>
  <c r="Q103" i="4"/>
  <c r="T303" i="4"/>
  <c r="S303" i="4"/>
  <c r="R303" i="4"/>
  <c r="Q303" i="4"/>
  <c r="T124" i="4"/>
  <c r="S124" i="4"/>
  <c r="Q124" i="4"/>
  <c r="R124" i="4"/>
  <c r="T244" i="4"/>
  <c r="S244" i="4"/>
  <c r="R244" i="4"/>
  <c r="Q244" i="4"/>
  <c r="T344" i="4"/>
  <c r="S344" i="4"/>
  <c r="R344" i="4"/>
  <c r="Q344" i="4"/>
  <c r="T125" i="4"/>
  <c r="S125" i="4"/>
  <c r="R125" i="4"/>
  <c r="Q125" i="4"/>
  <c r="S265" i="4"/>
  <c r="T265" i="4"/>
  <c r="R265" i="4"/>
  <c r="Q265" i="4"/>
  <c r="R405" i="4"/>
  <c r="T405" i="4"/>
  <c r="S405" i="4"/>
  <c r="Q405" i="4"/>
  <c r="P583" i="4"/>
  <c r="T6" i="4"/>
  <c r="R6" i="4"/>
  <c r="S6" i="4"/>
  <c r="Q6" i="4"/>
  <c r="R146" i="4"/>
  <c r="T146" i="4"/>
  <c r="S146" i="4"/>
  <c r="Q146" i="4"/>
  <c r="T286" i="4"/>
  <c r="S286" i="4"/>
  <c r="R286" i="4"/>
  <c r="Q286" i="4"/>
  <c r="R426" i="4"/>
  <c r="T426" i="4"/>
  <c r="S426" i="4"/>
  <c r="Q426" i="4"/>
  <c r="T27" i="4"/>
  <c r="R27" i="4"/>
  <c r="S27" i="4"/>
  <c r="Q27" i="4"/>
  <c r="S167" i="4"/>
  <c r="T167" i="4"/>
  <c r="R167" i="4"/>
  <c r="Q167" i="4"/>
  <c r="R307" i="4"/>
  <c r="S307" i="4"/>
  <c r="T307" i="4"/>
  <c r="Q307" i="4"/>
  <c r="T174" i="4"/>
  <c r="S174" i="4"/>
  <c r="R174" i="4"/>
  <c r="Q174" i="4"/>
  <c r="S194" i="4"/>
  <c r="T194" i="4"/>
  <c r="R194" i="4"/>
  <c r="Q194" i="4"/>
  <c r="R214" i="4"/>
  <c r="S214" i="4"/>
  <c r="T214" i="4"/>
  <c r="Q214" i="4"/>
  <c r="R234" i="4"/>
  <c r="S234" i="4"/>
  <c r="Q234" i="4"/>
  <c r="T234" i="4"/>
  <c r="T254" i="4"/>
  <c r="S254" i="4"/>
  <c r="R254" i="4"/>
  <c r="Q254" i="4"/>
  <c r="T274" i="4"/>
  <c r="S274" i="4"/>
  <c r="R274" i="4"/>
  <c r="Q274" i="4"/>
  <c r="S294" i="4"/>
  <c r="R294" i="4"/>
  <c r="T294" i="4"/>
  <c r="Q294" i="4"/>
  <c r="T314" i="4"/>
  <c r="S314" i="4"/>
  <c r="R314" i="4"/>
  <c r="Q314" i="4"/>
  <c r="S334" i="4"/>
  <c r="R334" i="4"/>
  <c r="T334" i="4"/>
  <c r="Q334" i="4"/>
  <c r="T354" i="4"/>
  <c r="S354" i="4"/>
  <c r="R354" i="4"/>
  <c r="Q354" i="4"/>
  <c r="R374" i="4"/>
  <c r="T374" i="4"/>
  <c r="S374" i="4"/>
  <c r="Q374" i="4"/>
  <c r="S394" i="4"/>
  <c r="R394" i="4"/>
  <c r="T394" i="4"/>
  <c r="Q394" i="4"/>
  <c r="T414" i="4"/>
  <c r="R414" i="4"/>
  <c r="S414" i="4"/>
  <c r="Q414" i="4"/>
  <c r="S434" i="4"/>
  <c r="R434" i="4"/>
  <c r="T434" i="4"/>
  <c r="Q434" i="4"/>
  <c r="S302" i="4"/>
  <c r="T302" i="4"/>
  <c r="R302" i="4"/>
  <c r="Q302" i="4"/>
  <c r="S163" i="4"/>
  <c r="T163" i="4"/>
  <c r="R163" i="4"/>
  <c r="Q163" i="4"/>
  <c r="T84" i="4"/>
  <c r="S84" i="4"/>
  <c r="R84" i="4"/>
  <c r="Q84" i="4"/>
  <c r="T364" i="4"/>
  <c r="R364" i="4"/>
  <c r="S364" i="4"/>
  <c r="Q364" i="4"/>
  <c r="Q245" i="4" a="1"/>
  <c r="Q245" i="4" s="1"/>
  <c r="R245" i="4"/>
  <c r="S245" i="4"/>
  <c r="T245" i="4"/>
  <c r="S86" i="4"/>
  <c r="T86" i="4"/>
  <c r="R86" i="4"/>
  <c r="Q86" i="4"/>
  <c r="R386" i="4"/>
  <c r="T386" i="4"/>
  <c r="S386" i="4"/>
  <c r="Q386" i="4"/>
  <c r="T247" i="4"/>
  <c r="S247" i="4"/>
  <c r="R247" i="4"/>
  <c r="Q247" i="4"/>
  <c r="S34" i="4"/>
  <c r="R34" i="4"/>
  <c r="T34" i="4"/>
  <c r="Q34" i="4"/>
  <c r="S134" i="4"/>
  <c r="T134" i="4"/>
  <c r="R134" i="4"/>
  <c r="Q134" i="4"/>
  <c r="S15" i="4"/>
  <c r="T15" i="4"/>
  <c r="R15" i="4"/>
  <c r="Q15" i="4"/>
  <c r="S35" i="4"/>
  <c r="T35" i="4"/>
  <c r="R35" i="4"/>
  <c r="Q35" i="4"/>
  <c r="S55" i="4"/>
  <c r="T55" i="4"/>
  <c r="R55" i="4"/>
  <c r="Q55" i="4"/>
  <c r="S75" i="4"/>
  <c r="R75" i="4"/>
  <c r="T75" i="4"/>
  <c r="Q75" i="4"/>
  <c r="T95" i="4"/>
  <c r="S95" i="4"/>
  <c r="R95" i="4"/>
  <c r="Q95" i="4"/>
  <c r="S115" i="4"/>
  <c r="R115" i="4"/>
  <c r="T115" i="4"/>
  <c r="Q115" i="4"/>
  <c r="T135" i="4"/>
  <c r="S135" i="4"/>
  <c r="R135" i="4"/>
  <c r="Q135" i="4"/>
  <c r="R155" i="4"/>
  <c r="S155" i="4"/>
  <c r="T155" i="4"/>
  <c r="Q155" i="4"/>
  <c r="Q175" i="4" a="1"/>
  <c r="Q175" i="4" s="1"/>
  <c r="T175" i="4"/>
  <c r="S175" i="4"/>
  <c r="R175" i="4"/>
  <c r="R195" i="4"/>
  <c r="Q195" i="4"/>
  <c r="T195" i="4"/>
  <c r="S195" i="4"/>
  <c r="T215" i="4"/>
  <c r="R215" i="4"/>
  <c r="S215" i="4"/>
  <c r="Q215" i="4"/>
  <c r="T235" i="4"/>
  <c r="R235" i="4"/>
  <c r="S235" i="4"/>
  <c r="Q235" i="4"/>
  <c r="R255" i="4"/>
  <c r="S255" i="4"/>
  <c r="T255" i="4"/>
  <c r="Q255" i="4"/>
  <c r="T275" i="4"/>
  <c r="S275" i="4"/>
  <c r="R275" i="4"/>
  <c r="Q275" i="4"/>
  <c r="T295" i="4"/>
  <c r="S295" i="4"/>
  <c r="R295" i="4"/>
  <c r="Q295" i="4"/>
  <c r="R315" i="4"/>
  <c r="T315" i="4"/>
  <c r="S315" i="4"/>
  <c r="Q315" i="4"/>
  <c r="T335" i="4"/>
  <c r="S335" i="4"/>
  <c r="R335" i="4"/>
  <c r="Q335" i="4"/>
  <c r="T355" i="4"/>
  <c r="R355" i="4"/>
  <c r="S355" i="4"/>
  <c r="Q355" i="4"/>
  <c r="Q375" i="4" a="1"/>
  <c r="Q375" i="4" s="1"/>
  <c r="R375" i="4"/>
  <c r="T375" i="4"/>
  <c r="S375" i="4"/>
  <c r="R395" i="4"/>
  <c r="T395" i="4"/>
  <c r="S395" i="4"/>
  <c r="Q395" i="4"/>
  <c r="Q415" i="4"/>
  <c r="R415" i="4"/>
  <c r="T415" i="4"/>
  <c r="S415" i="4"/>
  <c r="S435" i="4"/>
  <c r="R435" i="4"/>
  <c r="T435" i="4"/>
  <c r="Q435" i="4"/>
  <c r="S22" i="4"/>
  <c r="T22" i="4"/>
  <c r="R22" i="4"/>
  <c r="Q22" i="4"/>
  <c r="R162" i="4"/>
  <c r="S162" i="4"/>
  <c r="T162" i="4"/>
  <c r="Q162" i="4"/>
  <c r="R342" i="4"/>
  <c r="S342" i="4"/>
  <c r="T342" i="4"/>
  <c r="Q342" i="4"/>
  <c r="T63" i="4"/>
  <c r="R63" i="4"/>
  <c r="S63" i="4"/>
  <c r="Q63" i="4"/>
  <c r="Q223" i="4" a="1"/>
  <c r="Q223" i="4" s="1"/>
  <c r="T223" i="4"/>
  <c r="S223" i="4"/>
  <c r="R223" i="4"/>
  <c r="T363" i="4"/>
  <c r="S363" i="4"/>
  <c r="R363" i="4"/>
  <c r="Q363" i="4"/>
  <c r="T184" i="4"/>
  <c r="R184" i="4"/>
  <c r="S184" i="4"/>
  <c r="Q184" i="4"/>
  <c r="T105" i="4"/>
  <c r="S105" i="4"/>
  <c r="R105" i="4"/>
  <c r="Q105" i="4"/>
  <c r="T225" i="4"/>
  <c r="S225" i="4"/>
  <c r="R225" i="4"/>
  <c r="Q225" i="4"/>
  <c r="R385" i="4"/>
  <c r="S385" i="4"/>
  <c r="T385" i="4"/>
  <c r="Q385" i="4"/>
  <c r="T126" i="4"/>
  <c r="S126" i="4"/>
  <c r="R126" i="4"/>
  <c r="Q126" i="4"/>
  <c r="R246" i="4"/>
  <c r="S246" i="4"/>
  <c r="T246" i="4"/>
  <c r="Q246" i="4"/>
  <c r="S406" i="4"/>
  <c r="T406" i="4"/>
  <c r="R406" i="4"/>
  <c r="Q406" i="4"/>
  <c r="Q7" i="4" a="1"/>
  <c r="Q7" i="4" s="1"/>
  <c r="S7" i="4"/>
  <c r="R7" i="4"/>
  <c r="T7" i="4"/>
  <c r="T147" i="4"/>
  <c r="S147" i="4"/>
  <c r="R147" i="4"/>
  <c r="Q147" i="4"/>
  <c r="Q287" i="4" a="1"/>
  <c r="Q287" i="4" s="1"/>
  <c r="R287" i="4"/>
  <c r="T287" i="4"/>
  <c r="S287" i="4"/>
  <c r="S427" i="4"/>
  <c r="R427" i="4"/>
  <c r="T427" i="4"/>
  <c r="Q427" i="4"/>
  <c r="T14" i="4"/>
  <c r="S14" i="4"/>
  <c r="R14" i="4"/>
  <c r="Q14" i="4"/>
  <c r="T74" i="4"/>
  <c r="S74" i="4"/>
  <c r="R74" i="4"/>
  <c r="Q74" i="4"/>
  <c r="R114" i="4"/>
  <c r="S114" i="4"/>
  <c r="T114" i="4"/>
  <c r="Q114" i="4"/>
  <c r="R16" i="4"/>
  <c r="T16" i="4"/>
  <c r="S16" i="4"/>
  <c r="Q16" i="4"/>
  <c r="R36" i="4"/>
  <c r="S36" i="4"/>
  <c r="T36" i="4"/>
  <c r="Q36" i="4"/>
  <c r="Q56" i="4" a="1"/>
  <c r="Q56" i="4" s="1"/>
  <c r="T56" i="4"/>
  <c r="R56" i="4"/>
  <c r="S56" i="4"/>
  <c r="R76" i="4"/>
  <c r="T76" i="4"/>
  <c r="S76" i="4"/>
  <c r="Q76" i="4"/>
  <c r="T96" i="4"/>
  <c r="S96" i="4"/>
  <c r="R96" i="4"/>
  <c r="Q96" i="4"/>
  <c r="S116" i="4"/>
  <c r="R116" i="4"/>
  <c r="T116" i="4"/>
  <c r="Q116" i="4"/>
  <c r="S136" i="4"/>
  <c r="R136" i="4"/>
  <c r="T136" i="4"/>
  <c r="Q136" i="4"/>
  <c r="Q156" i="4" a="1"/>
  <c r="S156" i="4"/>
  <c r="R156" i="4"/>
  <c r="T156" i="4"/>
  <c r="Q156" i="4"/>
  <c r="Q176" i="4" a="1"/>
  <c r="Q176" i="4" s="1"/>
  <c r="S176" i="4"/>
  <c r="T176" i="4"/>
  <c r="R176" i="4"/>
  <c r="Q196" i="4" a="1"/>
  <c r="Q196" i="4" s="1"/>
  <c r="S196" i="4"/>
  <c r="R196" i="4"/>
  <c r="T196" i="4"/>
  <c r="T216" i="4"/>
  <c r="R216" i="4"/>
  <c r="S216" i="4"/>
  <c r="Q216" i="4"/>
  <c r="T236" i="4"/>
  <c r="S236" i="4"/>
  <c r="R236" i="4"/>
  <c r="Q236" i="4"/>
  <c r="Q256" i="4" a="1"/>
  <c r="Q256" i="4" s="1"/>
  <c r="T256" i="4"/>
  <c r="R256" i="4"/>
  <c r="S256" i="4"/>
  <c r="R276" i="4"/>
  <c r="T276" i="4"/>
  <c r="S276" i="4"/>
  <c r="Q276" i="4"/>
  <c r="R296" i="4"/>
  <c r="S296" i="4"/>
  <c r="T296" i="4"/>
  <c r="Q296" i="4"/>
  <c r="Q316" i="4" a="1"/>
  <c r="Q316" i="4" s="1"/>
  <c r="T316" i="4"/>
  <c r="R316" i="4"/>
  <c r="S316" i="4"/>
  <c r="R336" i="4"/>
  <c r="S336" i="4"/>
  <c r="T336" i="4"/>
  <c r="Q336" i="4"/>
  <c r="R356" i="4"/>
  <c r="S356" i="4"/>
  <c r="T356" i="4"/>
  <c r="Q356" i="4"/>
  <c r="T376" i="4"/>
  <c r="R376" i="4"/>
  <c r="S376" i="4"/>
  <c r="Q376" i="4"/>
  <c r="Q396" i="4" a="1"/>
  <c r="Q396" i="4" s="1"/>
  <c r="T396" i="4"/>
  <c r="S396" i="4"/>
  <c r="R396" i="4"/>
  <c r="S416" i="4"/>
  <c r="T416" i="4"/>
  <c r="R416" i="4"/>
  <c r="Q416" i="4"/>
  <c r="Q62" i="4" a="1"/>
  <c r="Q62" i="4" s="1"/>
  <c r="S62" i="4"/>
  <c r="T62" i="4"/>
  <c r="R62" i="4"/>
  <c r="T202" i="4"/>
  <c r="Q202" i="4"/>
  <c r="R202" i="4"/>
  <c r="S202" i="4"/>
  <c r="R362" i="4"/>
  <c r="S362" i="4"/>
  <c r="T362" i="4"/>
  <c r="Q362" i="4"/>
  <c r="Q203" i="4" a="1"/>
  <c r="Q203" i="4" s="1"/>
  <c r="T203" i="4"/>
  <c r="S203" i="4"/>
  <c r="R203" i="4"/>
  <c r="S383" i="4"/>
  <c r="T383" i="4"/>
  <c r="R383" i="4"/>
  <c r="Q383" i="4"/>
  <c r="T64" i="4"/>
  <c r="S64" i="4"/>
  <c r="R64" i="4"/>
  <c r="Q64" i="4"/>
  <c r="S164" i="4"/>
  <c r="Q164" i="4"/>
  <c r="T164" i="4"/>
  <c r="R164" i="4"/>
  <c r="T304" i="4"/>
  <c r="S304" i="4"/>
  <c r="R304" i="4"/>
  <c r="Q304" i="4"/>
  <c r="T424" i="4"/>
  <c r="S424" i="4"/>
  <c r="R424" i="4"/>
  <c r="Q424" i="4"/>
  <c r="S85" i="4"/>
  <c r="T85" i="4"/>
  <c r="R85" i="4"/>
  <c r="Q85" i="4"/>
  <c r="S185" i="4"/>
  <c r="R185" i="4"/>
  <c r="T185" i="4"/>
  <c r="Q185" i="4"/>
  <c r="T325" i="4"/>
  <c r="R325" i="4"/>
  <c r="S325" i="4"/>
  <c r="Q325" i="4"/>
  <c r="S106" i="4"/>
  <c r="T106" i="4"/>
  <c r="R106" i="4"/>
  <c r="Q106" i="4"/>
  <c r="S206" i="4"/>
  <c r="R206" i="4"/>
  <c r="T206" i="4"/>
  <c r="Q206" i="4"/>
  <c r="R366" i="4"/>
  <c r="T366" i="4"/>
  <c r="S366" i="4"/>
  <c r="Q366" i="4"/>
  <c r="Q127" i="4" a="1"/>
  <c r="Q127" i="4" s="1"/>
  <c r="R127" i="4"/>
  <c r="S127" i="4"/>
  <c r="T127" i="4"/>
  <c r="T227" i="4"/>
  <c r="Q227" i="4"/>
  <c r="S227" i="4"/>
  <c r="R227" i="4"/>
  <c r="R387" i="4"/>
  <c r="T387" i="4"/>
  <c r="S387" i="4"/>
  <c r="Q387" i="4"/>
  <c r="S54" i="4"/>
  <c r="T54" i="4"/>
  <c r="R54" i="4"/>
  <c r="Q54" i="4"/>
  <c r="T94" i="4"/>
  <c r="S94" i="4"/>
  <c r="R94" i="4"/>
  <c r="Q94" i="4"/>
  <c r="T154" i="4"/>
  <c r="S154" i="4"/>
  <c r="R154" i="4"/>
  <c r="Q154" i="4"/>
  <c r="Q17" i="4" a="1"/>
  <c r="Q17" i="4" s="1"/>
  <c r="R17" i="4"/>
  <c r="S17" i="4"/>
  <c r="T17" i="4"/>
  <c r="Q37" i="4" a="1"/>
  <c r="Q37" i="4" s="1"/>
  <c r="S37" i="4"/>
  <c r="T37" i="4"/>
  <c r="R37" i="4"/>
  <c r="Q57" i="4" a="1"/>
  <c r="Q57" i="4" s="1"/>
  <c r="R57" i="4"/>
  <c r="S57" i="4"/>
  <c r="T57" i="4"/>
  <c r="R77" i="4"/>
  <c r="S77" i="4"/>
  <c r="T77" i="4"/>
  <c r="Q77" i="4"/>
  <c r="R97" i="4"/>
  <c r="T97" i="4"/>
  <c r="S97" i="4"/>
  <c r="Q97" i="4"/>
  <c r="Q117" i="4" a="1"/>
  <c r="Q117" i="4" s="1"/>
  <c r="R117" i="4"/>
  <c r="T117" i="4"/>
  <c r="S117" i="4"/>
  <c r="Q137" i="4" a="1"/>
  <c r="Q137" i="4" s="1"/>
  <c r="T137" i="4"/>
  <c r="S137" i="4"/>
  <c r="R137" i="4"/>
  <c r="R157" i="4"/>
  <c r="S157" i="4"/>
  <c r="T157" i="4"/>
  <c r="Q157" i="4"/>
  <c r="T177" i="4"/>
  <c r="S177" i="4"/>
  <c r="R177" i="4"/>
  <c r="Q177" i="4"/>
  <c r="T197" i="4"/>
  <c r="R197" i="4"/>
  <c r="S197" i="4"/>
  <c r="Q197" i="4"/>
  <c r="Q217" i="4" a="1"/>
  <c r="T217" i="4"/>
  <c r="S217" i="4"/>
  <c r="Q217" i="4"/>
  <c r="R217" i="4"/>
  <c r="T237" i="4"/>
  <c r="S237" i="4"/>
  <c r="R237" i="4"/>
  <c r="Q237" i="4"/>
  <c r="R257" i="4"/>
  <c r="T257" i="4"/>
  <c r="S257" i="4"/>
  <c r="Q257" i="4"/>
  <c r="T277" i="4"/>
  <c r="S277" i="4"/>
  <c r="R277" i="4"/>
  <c r="Q277" i="4"/>
  <c r="R297" i="4"/>
  <c r="T297" i="4"/>
  <c r="S297" i="4"/>
  <c r="Q297" i="4"/>
  <c r="T317" i="4"/>
  <c r="S317" i="4"/>
  <c r="R317" i="4"/>
  <c r="Q317" i="4"/>
  <c r="R337" i="4"/>
  <c r="T337" i="4"/>
  <c r="S337" i="4"/>
  <c r="Q337" i="4"/>
  <c r="T357" i="4"/>
  <c r="S357" i="4"/>
  <c r="R357" i="4"/>
  <c r="Q357" i="4"/>
  <c r="Q377" i="4" a="1"/>
  <c r="Q377" i="4" s="1"/>
  <c r="S377" i="4"/>
  <c r="T377" i="4"/>
  <c r="R377" i="4"/>
  <c r="T397" i="4"/>
  <c r="R397" i="4"/>
  <c r="S397" i="4"/>
  <c r="Q397" i="4"/>
  <c r="Q417" i="4" a="1"/>
  <c r="Q417" i="4" s="1"/>
  <c r="S417" i="4"/>
  <c r="T417" i="4"/>
  <c r="R417" i="4"/>
  <c r="D603" i="2"/>
  <c r="D606" i="2"/>
  <c r="F16" i="3"/>
  <c r="D607" i="2"/>
  <c r="D608" i="2"/>
  <c r="D602" i="2"/>
  <c r="D604" i="2"/>
  <c r="D604" i="4"/>
  <c r="D605" i="2"/>
  <c r="D601" i="2"/>
  <c r="E604" i="4"/>
  <c r="D605" i="4"/>
  <c r="E602" i="4"/>
  <c r="G588" i="4"/>
  <c r="D8" i="33" s="1"/>
  <c r="D602" i="4"/>
  <c r="E605" i="4"/>
  <c r="D603" i="4"/>
  <c r="E603" i="4"/>
  <c r="D601" i="4"/>
  <c r="G591" i="4"/>
  <c r="D12" i="33" s="1"/>
  <c r="G584" i="4"/>
  <c r="D4" i="33" s="1"/>
  <c r="G589" i="4"/>
  <c r="D10" i="33" s="1"/>
  <c r="G583" i="4"/>
  <c r="D3" i="33" s="1"/>
  <c r="G594" i="4"/>
  <c r="D15" i="33" s="1"/>
  <c r="G590" i="4"/>
  <c r="D11" i="33" s="1"/>
  <c r="G587" i="4"/>
  <c r="D7" i="33" s="1"/>
  <c r="G593" i="4"/>
  <c r="D14" i="33" s="1"/>
  <c r="G585" i="4"/>
  <c r="D5" i="33" s="1"/>
  <c r="G586" i="4"/>
  <c r="D6" i="33" s="1"/>
  <c r="G592" i="4"/>
  <c r="D13" i="33" s="1"/>
  <c r="G595" i="4"/>
  <c r="D16" i="33" s="1"/>
  <c r="I585" i="4"/>
  <c r="I587" i="4"/>
  <c r="I595" i="4"/>
  <c r="I590" i="4"/>
  <c r="I593" i="4"/>
  <c r="I584" i="4"/>
  <c r="I586" i="4"/>
  <c r="I591" i="4"/>
  <c r="I592" i="4"/>
  <c r="I583" i="4"/>
  <c r="I594" i="4"/>
  <c r="I589" i="4"/>
  <c r="I588" i="4"/>
  <c r="J598" i="4" a="1"/>
  <c r="J598" i="4" s="1"/>
  <c r="J599" i="4" a="1"/>
  <c r="J599" i="4" s="1"/>
  <c r="L599" i="4"/>
  <c r="M599" i="4" s="1"/>
  <c r="L597" i="4"/>
  <c r="M597" i="4" s="1"/>
  <c r="L598" i="4"/>
  <c r="M598" i="4" s="1"/>
  <c r="J600" i="4" a="1"/>
  <c r="J600" i="4" s="1"/>
  <c r="J596" i="4" a="1"/>
  <c r="J596" i="4" s="1"/>
  <c r="L600" i="4"/>
  <c r="M600" i="4" s="1"/>
  <c r="E601" i="4"/>
  <c r="L596" i="4"/>
  <c r="M596" i="4" s="1"/>
  <c r="J597" i="4" a="1"/>
  <c r="J597" i="4" s="1"/>
  <c r="H5" i="33" l="1"/>
  <c r="I5" i="33"/>
  <c r="K5" i="33"/>
  <c r="M5" i="33"/>
  <c r="L5" i="33"/>
  <c r="K15" i="33"/>
  <c r="H15" i="33"/>
  <c r="I15" i="33"/>
  <c r="M15" i="33"/>
  <c r="L15" i="33"/>
  <c r="L10" i="33"/>
  <c r="M10" i="33"/>
  <c r="K10" i="33"/>
  <c r="I10" i="33"/>
  <c r="D17" i="33"/>
  <c r="H10" i="33"/>
  <c r="K12" i="33"/>
  <c r="M12" i="33"/>
  <c r="H12" i="33"/>
  <c r="I12" i="33"/>
  <c r="L12" i="33"/>
  <c r="M14" i="33"/>
  <c r="L14" i="33"/>
  <c r="K14" i="33"/>
  <c r="H14" i="33"/>
  <c r="I14" i="33"/>
  <c r="M11" i="33"/>
  <c r="H11" i="33"/>
  <c r="I11" i="33"/>
  <c r="K11" i="33"/>
  <c r="L11" i="33"/>
  <c r="M3" i="33"/>
  <c r="K3" i="33"/>
  <c r="H3" i="33"/>
  <c r="L3" i="33"/>
  <c r="I3" i="33"/>
  <c r="D9" i="33"/>
  <c r="H4" i="33"/>
  <c r="I4" i="33"/>
  <c r="K4" i="33"/>
  <c r="L4" i="33"/>
  <c r="M4" i="33"/>
  <c r="M7" i="33"/>
  <c r="I7" i="33"/>
  <c r="H7" i="33"/>
  <c r="K7" i="33"/>
  <c r="L7" i="33"/>
  <c r="L8" i="33"/>
  <c r="I8" i="33"/>
  <c r="M8" i="33"/>
  <c r="K8" i="33"/>
  <c r="H8" i="33"/>
  <c r="M13" i="33"/>
  <c r="H13" i="33"/>
  <c r="L13" i="33"/>
  <c r="K13" i="33"/>
  <c r="I13" i="33"/>
  <c r="M16" i="33"/>
  <c r="H16" i="33"/>
  <c r="L16" i="33"/>
  <c r="I16" i="33"/>
  <c r="K16" i="33"/>
  <c r="H6" i="33"/>
  <c r="K6" i="33"/>
  <c r="I6" i="33"/>
  <c r="L6" i="33"/>
  <c r="M6" i="33"/>
  <c r="S583" i="4"/>
  <c r="R583" i="4"/>
  <c r="T583" i="4"/>
  <c r="Q583" i="4"/>
  <c r="J588" i="4" a="1"/>
  <c r="J588" i="4" s="1"/>
  <c r="E609" i="4"/>
  <c r="D610" i="4"/>
  <c r="I603" i="4"/>
  <c r="D609" i="4"/>
  <c r="G602" i="4"/>
  <c r="I605" i="4"/>
  <c r="J585" i="4" a="1"/>
  <c r="J585" i="4" s="1"/>
  <c r="I604" i="4"/>
  <c r="I602" i="4"/>
  <c r="I601" i="4"/>
  <c r="G604" i="4"/>
  <c r="E610" i="4"/>
  <c r="J584" i="4" a="1"/>
  <c r="J584" i="4" s="1"/>
  <c r="J591" i="4" a="1"/>
  <c r="J591" i="4" s="1"/>
  <c r="G603" i="4"/>
  <c r="G605" i="4"/>
  <c r="J590" i="4" a="1"/>
  <c r="J590" i="4" s="1"/>
  <c r="J595" i="4" a="1"/>
  <c r="J595" i="4" s="1"/>
  <c r="G601" i="4"/>
  <c r="J583" i="4" a="1"/>
  <c r="J583" i="4" s="1"/>
  <c r="J586" i="4" a="1"/>
  <c r="J586" i="4" s="1"/>
  <c r="J589" i="4" a="1"/>
  <c r="J589" i="4" s="1"/>
  <c r="J594" i="4" a="1"/>
  <c r="J594" i="4" s="1"/>
  <c r="J593" i="4" a="1"/>
  <c r="J593" i="4" s="1"/>
  <c r="J587" i="4" a="1"/>
  <c r="J587" i="4" s="1"/>
  <c r="J592" i="4" a="1"/>
  <c r="J592" i="4" s="1"/>
  <c r="T16" i="33" l="1"/>
  <c r="AI16" i="33"/>
  <c r="Q13" i="33"/>
  <c r="AF13" i="33"/>
  <c r="J13" i="33"/>
  <c r="AH12" i="33"/>
  <c r="S12" i="33"/>
  <c r="Q3" i="33"/>
  <c r="AF3" i="33"/>
  <c r="J3" i="33"/>
  <c r="I9" i="33"/>
  <c r="T3" i="33"/>
  <c r="AI3" i="33"/>
  <c r="L9" i="33"/>
  <c r="S8" i="33"/>
  <c r="AH8" i="33"/>
  <c r="T11" i="33"/>
  <c r="AI11" i="33"/>
  <c r="T10" i="33"/>
  <c r="AI10" i="33"/>
  <c r="L17" i="33"/>
  <c r="Q16" i="33"/>
  <c r="AF16" i="33"/>
  <c r="J16" i="33"/>
  <c r="T4" i="33"/>
  <c r="AI4" i="33"/>
  <c r="AB5" i="33"/>
  <c r="AC5" i="33"/>
  <c r="AA5" i="33"/>
  <c r="X5" i="33"/>
  <c r="AC12" i="33"/>
  <c r="X12" i="33"/>
  <c r="AA12" i="33"/>
  <c r="AB12" i="33"/>
  <c r="U16" i="33"/>
  <c r="AJ16" i="33"/>
  <c r="AC4" i="33"/>
  <c r="AA4" i="33"/>
  <c r="X4" i="33"/>
  <c r="AB4" i="33"/>
  <c r="D18" i="33"/>
  <c r="AC13" i="33"/>
  <c r="X13" i="33"/>
  <c r="AA13" i="33"/>
  <c r="AB13" i="33"/>
  <c r="Q10" i="33"/>
  <c r="J10" i="33"/>
  <c r="AF10" i="33"/>
  <c r="I17" i="33"/>
  <c r="S10" i="33"/>
  <c r="AH10" i="33"/>
  <c r="K17" i="33"/>
  <c r="U8" i="33"/>
  <c r="AJ8" i="33"/>
  <c r="S11" i="33"/>
  <c r="AH11" i="33"/>
  <c r="T15" i="33"/>
  <c r="AI15" i="33"/>
  <c r="Q15" i="33"/>
  <c r="J15" i="33"/>
  <c r="AF15" i="33"/>
  <c r="U6" i="33"/>
  <c r="AJ6" i="33"/>
  <c r="T6" i="33"/>
  <c r="AI6" i="33"/>
  <c r="S7" i="33"/>
  <c r="AH7" i="33"/>
  <c r="Q14" i="33"/>
  <c r="J14" i="33"/>
  <c r="AF14" i="33"/>
  <c r="AH15" i="33"/>
  <c r="S15" i="33"/>
  <c r="T14" i="33"/>
  <c r="AI14" i="33"/>
  <c r="S5" i="33"/>
  <c r="AH5" i="33"/>
  <c r="T12" i="33"/>
  <c r="AI12" i="33"/>
  <c r="S4" i="33"/>
  <c r="AH4" i="33"/>
  <c r="Q12" i="33"/>
  <c r="AF12" i="33"/>
  <c r="J12" i="33"/>
  <c r="AC16" i="33"/>
  <c r="AA16" i="33"/>
  <c r="X16" i="33"/>
  <c r="AB16" i="33"/>
  <c r="Q4" i="33"/>
  <c r="J4" i="33"/>
  <c r="AF4" i="33"/>
  <c r="U12" i="33"/>
  <c r="AJ12" i="33"/>
  <c r="S13" i="33"/>
  <c r="AH13" i="33"/>
  <c r="AC10" i="33"/>
  <c r="X10" i="33"/>
  <c r="AB10" i="33"/>
  <c r="AA10" i="33"/>
  <c r="H17" i="33"/>
  <c r="T13" i="33"/>
  <c r="AI13" i="33"/>
  <c r="AC3" i="33"/>
  <c r="AA3" i="33"/>
  <c r="H9" i="33"/>
  <c r="X3" i="33"/>
  <c r="AB3" i="33"/>
  <c r="U13" i="33"/>
  <c r="AJ13" i="33"/>
  <c r="S3" i="33"/>
  <c r="K9" i="33"/>
  <c r="AH3" i="33"/>
  <c r="AC8" i="33"/>
  <c r="AA8" i="33"/>
  <c r="X8" i="33"/>
  <c r="AB8" i="33"/>
  <c r="U3" i="33"/>
  <c r="AJ3" i="33"/>
  <c r="M9" i="33"/>
  <c r="U10" i="33"/>
  <c r="AJ10" i="33"/>
  <c r="M17" i="33"/>
  <c r="Q8" i="33"/>
  <c r="AF8" i="33"/>
  <c r="J8" i="33"/>
  <c r="Q11" i="33"/>
  <c r="AF11" i="33"/>
  <c r="J11" i="33"/>
  <c r="U15" i="33"/>
  <c r="AJ15" i="33"/>
  <c r="T8" i="33"/>
  <c r="AI8" i="33"/>
  <c r="AC11" i="33"/>
  <c r="X11" i="33"/>
  <c r="AB11" i="33"/>
  <c r="AA11" i="33"/>
  <c r="T7" i="33"/>
  <c r="AI7" i="33"/>
  <c r="U11" i="33"/>
  <c r="AJ11" i="33"/>
  <c r="AC15" i="33"/>
  <c r="AB15" i="33"/>
  <c r="X15" i="33"/>
  <c r="AA15" i="33"/>
  <c r="Q6" i="33"/>
  <c r="J6" i="33"/>
  <c r="AF6" i="33"/>
  <c r="AC7" i="33"/>
  <c r="AA7" i="33"/>
  <c r="X7" i="33"/>
  <c r="AB7" i="33"/>
  <c r="AC14" i="33"/>
  <c r="X14" i="33"/>
  <c r="AB14" i="33"/>
  <c r="AA14" i="33"/>
  <c r="T5" i="33"/>
  <c r="AI5" i="33"/>
  <c r="S6" i="33"/>
  <c r="AH6" i="33"/>
  <c r="Q7" i="33"/>
  <c r="J7" i="33"/>
  <c r="AF7" i="33"/>
  <c r="S14" i="33"/>
  <c r="AH14" i="33"/>
  <c r="U5" i="33"/>
  <c r="AJ5" i="33"/>
  <c r="AC6" i="33"/>
  <c r="AA6" i="33"/>
  <c r="X6" i="33"/>
  <c r="AB6" i="33"/>
  <c r="AJ7" i="33"/>
  <c r="U7" i="33"/>
  <c r="S16" i="33"/>
  <c r="AH16" i="33"/>
  <c r="U4" i="33"/>
  <c r="AJ4" i="33"/>
  <c r="U14" i="33"/>
  <c r="AJ14" i="33"/>
  <c r="Q5" i="33"/>
  <c r="J5" i="33"/>
  <c r="AF5" i="33"/>
  <c r="Q585" i="4"/>
  <c r="K5" i="30" s="1"/>
  <c r="E613" i="4"/>
  <c r="D613" i="4"/>
  <c r="G609" i="4"/>
  <c r="J602" i="4" a="1"/>
  <c r="J602" i="4" s="1"/>
  <c r="J604" i="4" a="1"/>
  <c r="J604" i="4" s="1"/>
  <c r="I610" i="4"/>
  <c r="I609" i="4"/>
  <c r="G610" i="4"/>
  <c r="J601" i="4" a="1"/>
  <c r="J601" i="4" s="1"/>
  <c r="J605" i="4" a="1"/>
  <c r="J605" i="4" s="1"/>
  <c r="J603" i="4" a="1"/>
  <c r="J603" i="4" s="1"/>
  <c r="AJ17" i="33" l="1"/>
  <c r="H18" i="33"/>
  <c r="AA17" i="33"/>
  <c r="AB17" i="33"/>
  <c r="K18" i="33"/>
  <c r="AI17" i="33"/>
  <c r="U17" i="33"/>
  <c r="AJ9" i="33"/>
  <c r="AC9" i="33"/>
  <c r="R5" i="33"/>
  <c r="P5" i="33" s="1"/>
  <c r="AG5" i="33"/>
  <c r="AD5" i="33" s="1"/>
  <c r="X17" i="33"/>
  <c r="AH17" i="33"/>
  <c r="R7" i="33"/>
  <c r="P7" i="33" s="1"/>
  <c r="AG7" i="33"/>
  <c r="AD7" i="33" s="1"/>
  <c r="R15" i="33"/>
  <c r="P15" i="33" s="1"/>
  <c r="AG15" i="33"/>
  <c r="AD15" i="33" s="1"/>
  <c r="T17" i="33"/>
  <c r="AB18" i="33"/>
  <c r="U9" i="33"/>
  <c r="U18" i="33" s="1"/>
  <c r="AC17" i="33"/>
  <c r="AI9" i="33"/>
  <c r="T9" i="33"/>
  <c r="AH9" i="33"/>
  <c r="S17" i="33"/>
  <c r="R3" i="33"/>
  <c r="J9" i="33"/>
  <c r="AG3" i="33"/>
  <c r="S9" i="33"/>
  <c r="R4" i="33"/>
  <c r="AG4" i="33"/>
  <c r="AD4" i="33" s="1"/>
  <c r="R14" i="33"/>
  <c r="AG14" i="33"/>
  <c r="AD14" i="33" s="1"/>
  <c r="I18" i="33"/>
  <c r="AF9" i="33"/>
  <c r="AD3" i="33"/>
  <c r="P4" i="33"/>
  <c r="P14" i="33"/>
  <c r="AF17" i="33"/>
  <c r="AF18" i="33" s="1"/>
  <c r="AD10" i="33"/>
  <c r="Q9" i="33"/>
  <c r="R11" i="33"/>
  <c r="P11" i="33" s="1"/>
  <c r="AG11" i="33"/>
  <c r="AD11" i="33" s="1"/>
  <c r="R10" i="33"/>
  <c r="P10" i="33" s="1"/>
  <c r="J17" i="33"/>
  <c r="AG10" i="33"/>
  <c r="AB9" i="33"/>
  <c r="Q17" i="33"/>
  <c r="R6" i="33"/>
  <c r="AG6" i="33"/>
  <c r="AD6" i="33" s="1"/>
  <c r="X9" i="33"/>
  <c r="R13" i="33"/>
  <c r="P13" i="33" s="1"/>
  <c r="AG13" i="33"/>
  <c r="AD13" i="33" s="1"/>
  <c r="P6" i="33"/>
  <c r="R8" i="33"/>
  <c r="P8" i="33" s="1"/>
  <c r="AG8" i="33"/>
  <c r="AD8" i="33" s="1"/>
  <c r="R16" i="33"/>
  <c r="P16" i="33" s="1"/>
  <c r="AG16" i="33"/>
  <c r="AD16" i="33" s="1"/>
  <c r="AA9" i="33"/>
  <c r="AA18" i="33" s="1"/>
  <c r="R12" i="33"/>
  <c r="P12" i="33" s="1"/>
  <c r="AG12" i="33"/>
  <c r="AD12" i="33" s="1"/>
  <c r="M18" i="33"/>
  <c r="L18" i="33"/>
  <c r="Q586" i="4"/>
  <c r="G613" i="4"/>
  <c r="G615" i="4" s="1"/>
  <c r="I613" i="4"/>
  <c r="J609" i="4" a="1"/>
  <c r="J609" i="4" s="1"/>
  <c r="J610" i="4" a="1"/>
  <c r="J610" i="4" s="1"/>
  <c r="O230" i="4" a="1"/>
  <c r="O230" i="4" s="1"/>
  <c r="X18" i="33" l="1"/>
  <c r="J18" i="33"/>
  <c r="R9" i="33"/>
  <c r="P9" i="33" s="1"/>
  <c r="S18" i="33"/>
  <c r="P3" i="33"/>
  <c r="AI18" i="33"/>
  <c r="AC18" i="33"/>
  <c r="AJ18" i="33"/>
  <c r="P17" i="33"/>
  <c r="T18" i="33"/>
  <c r="Q18" i="33"/>
  <c r="AH18" i="33"/>
  <c r="AG9" i="33"/>
  <c r="AD9" i="33" s="1"/>
  <c r="AG17" i="33"/>
  <c r="AD17" i="33"/>
  <c r="R17" i="33"/>
  <c r="J613" i="4" a="1"/>
  <c r="J613" i="4" s="1"/>
  <c r="O246" i="4" a="1"/>
  <c r="O246" i="4" s="1"/>
  <c r="O239" i="4" a="1"/>
  <c r="O239" i="4" s="1"/>
  <c r="O240" i="4" a="1"/>
  <c r="O240" i="4" s="1"/>
  <c r="O244" i="4" a="1"/>
  <c r="O244" i="4" s="1"/>
  <c r="O238" i="4" a="1"/>
  <c r="O238" i="4" s="1"/>
  <c r="O234" i="4" a="1"/>
  <c r="O234" i="4" s="1"/>
  <c r="O248" i="4" a="1"/>
  <c r="O248" i="4" s="1"/>
  <c r="O243" i="4" a="1"/>
  <c r="O243" i="4" s="1"/>
  <c r="O231" i="4" a="1"/>
  <c r="O231" i="4" s="1"/>
  <c r="O232" i="4" a="1"/>
  <c r="O232" i="4" s="1"/>
  <c r="O228" i="4" a="1"/>
  <c r="O228" i="4" s="1"/>
  <c r="O237" i="4" a="1"/>
  <c r="O237" i="4" s="1"/>
  <c r="O233" i="4" a="1"/>
  <c r="O233" i="4" s="1"/>
  <c r="O227" i="4" a="1"/>
  <c r="O227" i="4" s="1"/>
  <c r="O242" i="4" a="1"/>
  <c r="O242" i="4" s="1"/>
  <c r="O229" i="4" a="1"/>
  <c r="O229" i="4" s="1"/>
  <c r="O247" i="4" a="1"/>
  <c r="O247" i="4" s="1"/>
  <c r="AG18" i="33" l="1"/>
  <c r="R18" i="33"/>
  <c r="AD18" i="33"/>
  <c r="P18" i="33"/>
  <c r="K583" i="4"/>
  <c r="L583" i="4" l="1"/>
  <c r="M583" i="4" s="1"/>
  <c r="K586" i="4" l="1"/>
  <c r="L586" i="4" l="1"/>
  <c r="M586" i="4" s="1"/>
  <c r="O235" i="4" l="1" a="1"/>
  <c r="O235" i="4" s="1"/>
  <c r="O236" i="4" l="1" a="1"/>
  <c r="O236" i="4" s="1"/>
  <c r="K584" i="4"/>
  <c r="K592" i="4" l="1"/>
  <c r="L584" i="4"/>
  <c r="M584" i="4" s="1"/>
  <c r="L592" i="4" l="1"/>
  <c r="M592" i="4" s="1"/>
  <c r="O241" i="4" l="1" a="1"/>
  <c r="O241" i="4" s="1"/>
  <c r="O245" i="4" a="1"/>
  <c r="O245" i="4" s="1"/>
  <c r="K593" i="4" l="1"/>
  <c r="K604" i="4" s="1"/>
  <c r="K594" i="4"/>
  <c r="L594" i="4" l="1"/>
  <c r="M594" i="4" s="1"/>
  <c r="L593" i="4"/>
  <c r="M593" i="4" s="1"/>
  <c r="K595" i="4" l="1"/>
  <c r="L595" i="4" s="1"/>
  <c r="M595" i="4" s="1"/>
  <c r="O224" i="4" a="1"/>
  <c r="O224" i="4" s="1"/>
  <c r="O254" i="4" a="1"/>
  <c r="O254" i="4" s="1"/>
  <c r="O226" i="4" a="1"/>
  <c r="O226" i="4" s="1"/>
  <c r="O253" i="4" a="1"/>
  <c r="O253" i="4" s="1"/>
  <c r="O251" i="4" a="1"/>
  <c r="O251" i="4" s="1"/>
  <c r="O225" i="4" a="1"/>
  <c r="O225" i="4" s="1"/>
  <c r="O252" i="4" a="1"/>
  <c r="O252" i="4" s="1"/>
  <c r="K591" i="4"/>
  <c r="L591" i="4" s="1"/>
  <c r="M591" i="4" s="1"/>
  <c r="K585" i="4"/>
  <c r="K601" i="4" s="1"/>
  <c r="K588" i="4"/>
  <c r="L588" i="4" s="1"/>
  <c r="M588" i="4" s="1"/>
  <c r="K587" i="4"/>
  <c r="K589" i="4"/>
  <c r="K605" i="4" l="1"/>
  <c r="L605" i="4" s="1"/>
  <c r="M605" i="4" s="1"/>
  <c r="K602" i="4"/>
  <c r="K609" i="4" s="1"/>
  <c r="K590" i="4"/>
  <c r="L604" i="4" s="1"/>
  <c r="M604" i="4" s="1"/>
  <c r="L589" i="4"/>
  <c r="M589" i="4" s="1"/>
  <c r="L587" i="4"/>
  <c r="M587" i="4" s="1"/>
  <c r="L585" i="4"/>
  <c r="M585" i="4" s="1"/>
  <c r="L602" i="4" l="1"/>
  <c r="M602" i="4" s="1"/>
  <c r="K603" i="4"/>
  <c r="K610" i="4" s="1"/>
  <c r="K613" i="4" s="1"/>
  <c r="L590" i="4"/>
  <c r="M590" i="4" s="1"/>
  <c r="L601" i="4"/>
  <c r="L603" i="4" l="1"/>
  <c r="M603" i="4" s="1"/>
  <c r="L610" i="4"/>
  <c r="M610" i="4" s="1"/>
  <c r="M601" i="4"/>
  <c r="L609" i="4"/>
  <c r="M609" i="4" s="1"/>
  <c r="L613" i="4" l="1"/>
  <c r="M613" i="4" s="1"/>
  <c r="K522" i="2" l="1" a="1"/>
  <c r="K522" i="2" s="1"/>
  <c r="K521" i="2" a="1"/>
  <c r="K521" i="2" s="1"/>
  <c r="K520" i="2" a="1"/>
  <c r="K520" i="2" s="1"/>
  <c r="K519" i="2" a="1"/>
  <c r="K519" i="2" s="1"/>
  <c r="K518" i="2" a="1"/>
  <c r="K518" i="2" s="1"/>
  <c r="K517" i="2" a="1"/>
  <c r="K517" i="2" s="1"/>
  <c r="H522" i="2" a="1"/>
  <c r="H522" i="2" s="1"/>
  <c r="I522" i="2" a="1"/>
  <c r="I522" i="2" s="1"/>
  <c r="J522" i="2" s="1" a="1"/>
  <c r="J522" i="2" s="1"/>
  <c r="I521" i="2" a="1"/>
  <c r="I521" i="2" s="1"/>
  <c r="J521" i="2" s="1" a="1"/>
  <c r="J521" i="2" s="1"/>
  <c r="I520" i="2" a="1"/>
  <c r="I520" i="2" s="1"/>
  <c r="J520" i="2" s="1" a="1"/>
  <c r="J520" i="2" s="1"/>
  <c r="I519" i="2" a="1"/>
  <c r="I519" i="2" s="1"/>
  <c r="J519" i="2" s="1" a="1"/>
  <c r="J519" i="2" s="1"/>
  <c r="I518" i="2" a="1"/>
  <c r="I518" i="2" s="1"/>
  <c r="J518" i="2" s="1" a="1"/>
  <c r="J518" i="2" s="1"/>
  <c r="I517" i="2" a="1"/>
  <c r="I517" i="2" s="1"/>
  <c r="J517" i="2" s="1" a="1"/>
  <c r="J517" i="2" s="1"/>
  <c r="H521" i="2" a="1"/>
  <c r="H521" i="2" s="1"/>
  <c r="H520" i="2" a="1"/>
  <c r="H520" i="2" s="1"/>
  <c r="H519" i="2" a="1"/>
  <c r="H519" i="2" s="1"/>
  <c r="H518" i="2" a="1"/>
  <c r="H518" i="2" s="1"/>
  <c r="H517" i="2" a="1"/>
  <c r="H517" i="2" s="1"/>
  <c r="K582" i="2" a="1"/>
  <c r="K582" i="2" s="1"/>
  <c r="K581" i="2" a="1"/>
  <c r="K581" i="2" s="1"/>
  <c r="K580" i="2" a="1"/>
  <c r="K580" i="2" s="1"/>
  <c r="K579" i="2" a="1"/>
  <c r="K579" i="2" s="1"/>
  <c r="K578" i="2" a="1"/>
  <c r="K578" i="2" s="1"/>
  <c r="K577" i="2" a="1"/>
  <c r="K577" i="2" s="1"/>
  <c r="K576" i="2" a="1"/>
  <c r="K576" i="2" s="1"/>
  <c r="K575" i="2" a="1"/>
  <c r="K575" i="2" s="1"/>
  <c r="K574" i="2" a="1"/>
  <c r="K574" i="2" s="1"/>
  <c r="K573" i="2" a="1"/>
  <c r="K573" i="2" s="1"/>
  <c r="K572" i="2" a="1"/>
  <c r="K572" i="2" s="1"/>
  <c r="K571" i="2" a="1"/>
  <c r="K571" i="2" s="1"/>
  <c r="K570" i="2" a="1"/>
  <c r="K570" i="2" s="1"/>
  <c r="K569" i="2" a="1"/>
  <c r="K569" i="2" s="1"/>
  <c r="K568" i="2" a="1"/>
  <c r="K568" i="2" s="1"/>
  <c r="K567" i="2" a="1"/>
  <c r="K567" i="2" s="1"/>
  <c r="K566" i="2" a="1"/>
  <c r="K566" i="2" s="1"/>
  <c r="K565" i="2" a="1"/>
  <c r="K565" i="2" s="1"/>
  <c r="K564" i="2" a="1"/>
  <c r="K564" i="2" s="1"/>
  <c r="K563" i="2" a="1"/>
  <c r="K563" i="2" s="1"/>
  <c r="K562" i="2" a="1"/>
  <c r="K562" i="2" s="1"/>
  <c r="K561" i="2" a="1"/>
  <c r="K561" i="2" s="1"/>
  <c r="K560" i="2" a="1"/>
  <c r="K560" i="2" s="1"/>
  <c r="K559" i="2" a="1"/>
  <c r="K559" i="2" s="1"/>
  <c r="K558" i="2" a="1"/>
  <c r="K558" i="2" s="1"/>
  <c r="K557" i="2" a="1"/>
  <c r="K557" i="2" s="1"/>
  <c r="K556" i="2" a="1"/>
  <c r="K556" i="2" s="1"/>
  <c r="K555" i="2" a="1"/>
  <c r="K555" i="2" s="1"/>
  <c r="K554" i="2" a="1"/>
  <c r="K554" i="2" s="1"/>
  <c r="K553" i="2" a="1"/>
  <c r="K553" i="2" s="1"/>
  <c r="K552" i="2" a="1"/>
  <c r="K552" i="2" s="1"/>
  <c r="K551" i="2" a="1"/>
  <c r="K551" i="2" s="1"/>
  <c r="K550" i="2" a="1"/>
  <c r="K550" i="2" s="1"/>
  <c r="K549" i="2" a="1"/>
  <c r="K549" i="2" s="1"/>
  <c r="K548" i="2" a="1"/>
  <c r="K548" i="2" s="1"/>
  <c r="K547" i="2" a="1"/>
  <c r="K547" i="2" s="1"/>
  <c r="K546" i="2" a="1"/>
  <c r="K546" i="2" s="1"/>
  <c r="K545" i="2" a="1"/>
  <c r="K545" i="2" s="1"/>
  <c r="K544" i="2" a="1"/>
  <c r="K544" i="2" s="1"/>
  <c r="K543" i="2" a="1"/>
  <c r="K543" i="2" s="1"/>
  <c r="K542" i="2" a="1"/>
  <c r="K542" i="2" s="1"/>
  <c r="K541" i="2" a="1"/>
  <c r="K541" i="2" s="1"/>
  <c r="K540" i="2" a="1"/>
  <c r="K540" i="2" s="1"/>
  <c r="K539" i="2" a="1"/>
  <c r="K539" i="2" s="1"/>
  <c r="K538" i="2" a="1"/>
  <c r="K538" i="2" s="1"/>
  <c r="K537" i="2" a="1"/>
  <c r="K537" i="2" s="1"/>
  <c r="K536" i="2" a="1"/>
  <c r="K536" i="2" s="1"/>
  <c r="K535" i="2" a="1"/>
  <c r="K535" i="2" s="1"/>
  <c r="K534" i="2" a="1"/>
  <c r="K534" i="2" s="1"/>
  <c r="K533" i="2" a="1"/>
  <c r="K533" i="2" s="1"/>
  <c r="K532" i="2" a="1"/>
  <c r="K532" i="2" s="1"/>
  <c r="K531" i="2" a="1"/>
  <c r="K531" i="2" s="1"/>
  <c r="K530" i="2" a="1"/>
  <c r="K530" i="2" s="1"/>
  <c r="K529" i="2" a="1"/>
  <c r="K529" i="2" s="1"/>
  <c r="K528" i="2" a="1"/>
  <c r="K528" i="2" s="1"/>
  <c r="K527" i="2" a="1"/>
  <c r="K527" i="2" s="1"/>
  <c r="K526" i="2" a="1"/>
  <c r="K526" i="2" s="1"/>
  <c r="K525" i="2" a="1"/>
  <c r="K525" i="2" s="1"/>
  <c r="K524" i="2" a="1"/>
  <c r="K524" i="2" s="1"/>
  <c r="K523" i="2" a="1"/>
  <c r="K523" i="2" s="1"/>
  <c r="K516" i="2" a="1"/>
  <c r="K516" i="2" s="1"/>
  <c r="K515" i="2" a="1"/>
  <c r="K515" i="2" s="1"/>
  <c r="K514" i="2" a="1"/>
  <c r="K514" i="2" s="1"/>
  <c r="K513" i="2" a="1"/>
  <c r="K513" i="2" s="1"/>
  <c r="K512" i="2" a="1"/>
  <c r="K512" i="2" s="1"/>
  <c r="K511" i="2" a="1"/>
  <c r="K511" i="2" s="1"/>
  <c r="K510" i="2" a="1"/>
  <c r="K510" i="2" s="1"/>
  <c r="K509" i="2" a="1"/>
  <c r="K509" i="2" s="1"/>
  <c r="K508" i="2" a="1"/>
  <c r="K508" i="2" s="1"/>
  <c r="K507" i="2" a="1"/>
  <c r="K507" i="2" s="1"/>
  <c r="K506" i="2" a="1"/>
  <c r="K506" i="2" s="1"/>
  <c r="K505" i="2" a="1"/>
  <c r="K505" i="2" s="1"/>
  <c r="K504" i="2" a="1"/>
  <c r="K504" i="2" s="1"/>
  <c r="K503" i="2" a="1"/>
  <c r="K503" i="2" s="1"/>
  <c r="K502" i="2" a="1"/>
  <c r="K502" i="2" s="1"/>
  <c r="K501" i="2" a="1"/>
  <c r="K501" i="2" s="1"/>
  <c r="K500" i="2" a="1"/>
  <c r="K500" i="2" s="1"/>
  <c r="K499" i="2" a="1"/>
  <c r="K499" i="2" s="1"/>
  <c r="K498" i="2" a="1"/>
  <c r="K498" i="2" s="1"/>
  <c r="K497" i="2" a="1"/>
  <c r="K497" i="2" s="1"/>
  <c r="K496" i="2" a="1"/>
  <c r="K496" i="2" s="1"/>
  <c r="K495" i="2" a="1"/>
  <c r="K495" i="2" s="1"/>
  <c r="K494" i="2" a="1"/>
  <c r="K494" i="2" s="1"/>
  <c r="K493" i="2" a="1"/>
  <c r="K493" i="2" s="1"/>
  <c r="K492" i="2" a="1"/>
  <c r="K492" i="2" s="1"/>
  <c r="K491" i="2" a="1"/>
  <c r="K491" i="2" s="1"/>
  <c r="K490" i="2" a="1"/>
  <c r="K490" i="2" s="1"/>
  <c r="K489" i="2" a="1"/>
  <c r="K489" i="2" s="1"/>
  <c r="K488" i="2" a="1"/>
  <c r="K488" i="2" s="1"/>
  <c r="K487" i="2" a="1"/>
  <c r="K487" i="2" s="1"/>
  <c r="K486" i="2" a="1"/>
  <c r="K486" i="2" s="1"/>
  <c r="K485" i="2" a="1"/>
  <c r="K485" i="2" s="1"/>
  <c r="K484" i="2" a="1"/>
  <c r="K484" i="2" s="1"/>
  <c r="K483" i="2" a="1"/>
  <c r="K483" i="2" s="1"/>
  <c r="K482" i="2" a="1"/>
  <c r="K482" i="2" s="1"/>
  <c r="K481" i="2" a="1"/>
  <c r="K481" i="2" s="1"/>
  <c r="K480" i="2" a="1"/>
  <c r="K480" i="2" s="1"/>
  <c r="K479" i="2" a="1"/>
  <c r="K479" i="2" s="1"/>
  <c r="K478" i="2" a="1"/>
  <c r="K478" i="2" s="1"/>
  <c r="K477" i="2" a="1"/>
  <c r="K477" i="2" s="1"/>
  <c r="K476" i="2" a="1"/>
  <c r="K476" i="2" s="1"/>
  <c r="K475" i="2" a="1"/>
  <c r="K475" i="2" s="1"/>
  <c r="K474" i="2" a="1"/>
  <c r="K474" i="2" s="1"/>
  <c r="K473" i="2" a="1"/>
  <c r="K473" i="2" s="1"/>
  <c r="K472" i="2" a="1"/>
  <c r="K472" i="2" s="1"/>
  <c r="K471" i="2" a="1"/>
  <c r="K471" i="2" s="1"/>
  <c r="K470" i="2" a="1"/>
  <c r="K470" i="2" s="1"/>
  <c r="K469" i="2" a="1"/>
  <c r="K469" i="2" s="1"/>
  <c r="K468" i="2" a="1"/>
  <c r="K468" i="2" s="1"/>
  <c r="K467" i="2" a="1"/>
  <c r="K467" i="2" s="1"/>
  <c r="K466" i="2" a="1"/>
  <c r="K466" i="2" s="1"/>
  <c r="K465" i="2" a="1"/>
  <c r="K465" i="2" s="1"/>
  <c r="K464" i="2" a="1"/>
  <c r="K464" i="2" s="1"/>
  <c r="K463" i="2" a="1"/>
  <c r="K463" i="2" s="1"/>
  <c r="K462" i="2" a="1"/>
  <c r="K462" i="2" s="1"/>
  <c r="K461" i="2" a="1"/>
  <c r="K461" i="2" s="1"/>
  <c r="K460" i="2" a="1"/>
  <c r="K460" i="2" s="1"/>
  <c r="K459" i="2" a="1"/>
  <c r="K459" i="2" s="1"/>
  <c r="K458" i="2" a="1"/>
  <c r="K458" i="2" s="1"/>
  <c r="K457" i="2" a="1"/>
  <c r="K457" i="2" s="1"/>
  <c r="K456" i="2" a="1"/>
  <c r="K456" i="2" s="1"/>
  <c r="K455" i="2" a="1"/>
  <c r="K455" i="2" s="1"/>
  <c r="K454" i="2" a="1"/>
  <c r="K454" i="2" s="1"/>
  <c r="K453" i="2" a="1"/>
  <c r="K453" i="2" s="1"/>
  <c r="K452" i="2" a="1"/>
  <c r="K452" i="2" s="1"/>
  <c r="K451" i="2" a="1"/>
  <c r="K451" i="2" s="1"/>
  <c r="K450" i="2" a="1"/>
  <c r="K450" i="2" s="1"/>
  <c r="K449" i="2" a="1"/>
  <c r="K449" i="2" s="1"/>
  <c r="K448" i="2" a="1"/>
  <c r="K448" i="2" s="1"/>
  <c r="K447" i="2" a="1"/>
  <c r="K447" i="2" s="1"/>
  <c r="K446" i="2" a="1"/>
  <c r="K446" i="2" s="1"/>
  <c r="K445" i="2" a="1"/>
  <c r="K445" i="2" s="1"/>
  <c r="K444" i="2" a="1"/>
  <c r="K444" i="2" s="1"/>
  <c r="K443" i="2" a="1"/>
  <c r="K443" i="2" s="1"/>
  <c r="K442" i="2" a="1"/>
  <c r="K442" i="2" s="1"/>
  <c r="K441" i="2" a="1"/>
  <c r="K441" i="2" s="1"/>
  <c r="K440" i="2" a="1"/>
  <c r="K440" i="2" s="1"/>
  <c r="K439" i="2" a="1"/>
  <c r="K439" i="2" s="1"/>
  <c r="K438" i="2" a="1"/>
  <c r="K438" i="2" s="1"/>
  <c r="K437" i="2" a="1"/>
  <c r="K437" i="2" s="1"/>
  <c r="K436" i="2" a="1"/>
  <c r="K436" i="2" s="1"/>
  <c r="K435" i="2" a="1"/>
  <c r="K435" i="2" s="1"/>
  <c r="K434" i="2" a="1"/>
  <c r="K434" i="2" s="1"/>
  <c r="K433" i="2" a="1"/>
  <c r="K433" i="2" s="1"/>
  <c r="K432" i="2" a="1"/>
  <c r="K432" i="2" s="1"/>
  <c r="K431" i="2" a="1"/>
  <c r="K431" i="2" s="1"/>
  <c r="K430" i="2" a="1"/>
  <c r="K430" i="2" s="1"/>
  <c r="K429" i="2" a="1"/>
  <c r="K429" i="2" s="1"/>
  <c r="K428" i="2" a="1"/>
  <c r="K428" i="2" s="1"/>
  <c r="K427" i="2" a="1"/>
  <c r="K427" i="2" s="1"/>
  <c r="K426" i="2" a="1"/>
  <c r="K426" i="2" s="1"/>
  <c r="K425" i="2" a="1"/>
  <c r="K425" i="2" s="1"/>
  <c r="K424" i="2" a="1"/>
  <c r="K424" i="2" s="1"/>
  <c r="K423" i="2" a="1"/>
  <c r="K423" i="2" s="1"/>
  <c r="K422" i="2" a="1"/>
  <c r="K422" i="2" s="1"/>
  <c r="K421" i="2" a="1"/>
  <c r="K421" i="2" s="1"/>
  <c r="K420" i="2" a="1"/>
  <c r="K420" i="2" s="1"/>
  <c r="K419" i="2" a="1"/>
  <c r="K419" i="2" s="1"/>
  <c r="K418" i="2" a="1"/>
  <c r="K418" i="2" s="1"/>
  <c r="K417" i="2" a="1"/>
  <c r="K417" i="2" s="1"/>
  <c r="K416" i="2" a="1"/>
  <c r="K416" i="2" s="1"/>
  <c r="K415" i="2" a="1"/>
  <c r="K415" i="2" s="1"/>
  <c r="K414" i="2" a="1"/>
  <c r="K414" i="2" s="1"/>
  <c r="K413" i="2" a="1"/>
  <c r="K413" i="2" s="1"/>
  <c r="K412" i="2" a="1"/>
  <c r="K412" i="2" s="1"/>
  <c r="K411" i="2" a="1"/>
  <c r="K411" i="2" s="1"/>
  <c r="K410" i="2" a="1"/>
  <c r="K410" i="2" s="1"/>
  <c r="K409" i="2" a="1"/>
  <c r="K409" i="2" s="1"/>
  <c r="K408" i="2" a="1"/>
  <c r="K408" i="2" s="1"/>
  <c r="K407" i="2" a="1"/>
  <c r="K407" i="2" s="1"/>
  <c r="K406" i="2" a="1"/>
  <c r="K406" i="2" s="1"/>
  <c r="K405" i="2" a="1"/>
  <c r="K405" i="2" s="1"/>
  <c r="K404" i="2" a="1"/>
  <c r="K404" i="2" s="1"/>
  <c r="K403" i="2" a="1"/>
  <c r="K403" i="2" s="1"/>
  <c r="K402" i="2" a="1"/>
  <c r="K402" i="2" s="1"/>
  <c r="K401" i="2" a="1"/>
  <c r="K401" i="2" s="1"/>
  <c r="K400" i="2" a="1"/>
  <c r="K400" i="2" s="1"/>
  <c r="K399" i="2" a="1"/>
  <c r="K399" i="2" s="1"/>
  <c r="K398" i="2" a="1"/>
  <c r="K398" i="2" s="1"/>
  <c r="K397" i="2" a="1"/>
  <c r="K397" i="2" s="1"/>
  <c r="K396" i="2" a="1"/>
  <c r="K396" i="2" s="1"/>
  <c r="K395" i="2" a="1"/>
  <c r="K395" i="2" s="1"/>
  <c r="K394" i="2" a="1"/>
  <c r="K394" i="2" s="1"/>
  <c r="K393" i="2" a="1"/>
  <c r="K393" i="2" s="1"/>
  <c r="K392" i="2" a="1"/>
  <c r="K392" i="2" s="1"/>
  <c r="K391" i="2" a="1"/>
  <c r="K391" i="2" s="1"/>
  <c r="K390" i="2" a="1"/>
  <c r="K390" i="2" s="1"/>
  <c r="K389" i="2" a="1"/>
  <c r="K389" i="2" s="1"/>
  <c r="K388" i="2" a="1"/>
  <c r="K388" i="2" s="1"/>
  <c r="K387" i="2" a="1"/>
  <c r="K387" i="2" s="1"/>
  <c r="K386" i="2" a="1"/>
  <c r="K386" i="2" s="1"/>
  <c r="K385" i="2" a="1"/>
  <c r="K385" i="2" s="1"/>
  <c r="K384" i="2" a="1"/>
  <c r="K384" i="2" s="1"/>
  <c r="K383" i="2" a="1"/>
  <c r="K383" i="2" s="1"/>
  <c r="K382" i="2" a="1"/>
  <c r="K382" i="2" s="1"/>
  <c r="K381" i="2" a="1"/>
  <c r="K381" i="2" s="1"/>
  <c r="K380" i="2" a="1"/>
  <c r="K380" i="2" s="1"/>
  <c r="K379" i="2" a="1"/>
  <c r="K379" i="2" s="1"/>
  <c r="K378" i="2" a="1"/>
  <c r="K378" i="2" s="1"/>
  <c r="K377" i="2" a="1"/>
  <c r="K377" i="2" s="1"/>
  <c r="K376" i="2" a="1"/>
  <c r="K376" i="2" s="1"/>
  <c r="K375" i="2" a="1"/>
  <c r="K375" i="2" s="1"/>
  <c r="K374" i="2" a="1"/>
  <c r="K374" i="2" s="1"/>
  <c r="K373" i="2" a="1"/>
  <c r="K373" i="2" s="1"/>
  <c r="K372" i="2" a="1"/>
  <c r="K372" i="2" s="1"/>
  <c r="K371" i="2" a="1"/>
  <c r="K371" i="2" s="1"/>
  <c r="K370" i="2" a="1"/>
  <c r="K370" i="2" s="1"/>
  <c r="K369" i="2" a="1"/>
  <c r="K369" i="2" s="1"/>
  <c r="K368" i="2" a="1"/>
  <c r="K368" i="2" s="1"/>
  <c r="K367" i="2" a="1"/>
  <c r="K367" i="2" s="1"/>
  <c r="K366" i="2" a="1"/>
  <c r="K366" i="2" s="1"/>
  <c r="K365" i="2" a="1"/>
  <c r="K365" i="2" s="1"/>
  <c r="K364" i="2" a="1"/>
  <c r="K364" i="2" s="1"/>
  <c r="K363" i="2" a="1"/>
  <c r="K363" i="2" s="1"/>
  <c r="K362" i="2" a="1"/>
  <c r="K362" i="2" s="1"/>
  <c r="K361" i="2" a="1"/>
  <c r="K361" i="2" s="1"/>
  <c r="K360" i="2" a="1"/>
  <c r="K360" i="2" s="1"/>
  <c r="K359" i="2" a="1"/>
  <c r="K359" i="2" s="1"/>
  <c r="K358" i="2" a="1"/>
  <c r="K358" i="2" s="1"/>
  <c r="K357" i="2" a="1"/>
  <c r="K357" i="2" s="1"/>
  <c r="K356" i="2" a="1"/>
  <c r="K356" i="2" s="1"/>
  <c r="K355" i="2" a="1"/>
  <c r="K355" i="2" s="1"/>
  <c r="K354" i="2" a="1"/>
  <c r="K354" i="2" s="1"/>
  <c r="K353" i="2" a="1"/>
  <c r="K353" i="2" s="1"/>
  <c r="K352" i="2" a="1"/>
  <c r="K352" i="2" s="1"/>
  <c r="K351" i="2" a="1"/>
  <c r="K351" i="2" s="1"/>
  <c r="K350" i="2" a="1"/>
  <c r="K350" i="2" s="1"/>
  <c r="K349" i="2" a="1"/>
  <c r="K349" i="2" s="1"/>
  <c r="K348" i="2" a="1"/>
  <c r="K348" i="2" s="1"/>
  <c r="K347" i="2" a="1"/>
  <c r="K347" i="2" s="1"/>
  <c r="K346" i="2" a="1"/>
  <c r="K346" i="2" s="1"/>
  <c r="K345" i="2" a="1"/>
  <c r="K345" i="2" s="1"/>
  <c r="K344" i="2" a="1"/>
  <c r="K344" i="2" s="1"/>
  <c r="K343" i="2" a="1"/>
  <c r="K343" i="2" s="1"/>
  <c r="K342" i="2" a="1"/>
  <c r="K342" i="2" s="1"/>
  <c r="K341" i="2" a="1"/>
  <c r="K341" i="2" s="1"/>
  <c r="K340" i="2" a="1"/>
  <c r="K340" i="2" s="1"/>
  <c r="K339" i="2" a="1"/>
  <c r="K339" i="2" s="1"/>
  <c r="K338" i="2" a="1"/>
  <c r="K338" i="2" s="1"/>
  <c r="K337" i="2" a="1"/>
  <c r="K337" i="2" s="1"/>
  <c r="K336" i="2" a="1"/>
  <c r="K336" i="2" s="1"/>
  <c r="K335" i="2" a="1"/>
  <c r="K335" i="2" s="1"/>
  <c r="K334" i="2" a="1"/>
  <c r="K334" i="2" s="1"/>
  <c r="K333" i="2" a="1"/>
  <c r="K333" i="2" s="1"/>
  <c r="K332" i="2" a="1"/>
  <c r="K332" i="2" s="1"/>
  <c r="K331" i="2" a="1"/>
  <c r="K331" i="2" s="1"/>
  <c r="K330" i="2" a="1"/>
  <c r="K330" i="2" s="1"/>
  <c r="K329" i="2" a="1"/>
  <c r="K329" i="2" s="1"/>
  <c r="K328" i="2" a="1"/>
  <c r="K328" i="2" s="1"/>
  <c r="K327" i="2" a="1"/>
  <c r="K327" i="2" s="1"/>
  <c r="K326" i="2" a="1"/>
  <c r="K326" i="2" s="1"/>
  <c r="K325" i="2" a="1"/>
  <c r="K325" i="2" s="1"/>
  <c r="K324" i="2" a="1"/>
  <c r="K324" i="2" s="1"/>
  <c r="K323" i="2" a="1"/>
  <c r="K323" i="2" s="1"/>
  <c r="K322" i="2" a="1"/>
  <c r="K322" i="2" s="1"/>
  <c r="K321" i="2" a="1"/>
  <c r="K321" i="2" s="1"/>
  <c r="K320" i="2" a="1"/>
  <c r="K320" i="2" s="1"/>
  <c r="K319" i="2" a="1"/>
  <c r="K319" i="2" s="1"/>
  <c r="K318" i="2" a="1"/>
  <c r="K318" i="2" s="1"/>
  <c r="K317" i="2" a="1"/>
  <c r="K317" i="2" s="1"/>
  <c r="K316" i="2" a="1"/>
  <c r="K316" i="2" s="1"/>
  <c r="K315" i="2" a="1"/>
  <c r="K315" i="2" s="1"/>
  <c r="K314" i="2" a="1"/>
  <c r="K314" i="2" s="1"/>
  <c r="K313" i="2" a="1"/>
  <c r="K313" i="2" s="1"/>
  <c r="K312" i="2" a="1"/>
  <c r="K312" i="2" s="1"/>
  <c r="K311" i="2" a="1"/>
  <c r="K311" i="2" s="1"/>
  <c r="K310" i="2" a="1"/>
  <c r="K310" i="2" s="1"/>
  <c r="K309" i="2" a="1"/>
  <c r="K309" i="2" s="1"/>
  <c r="K308" i="2" a="1"/>
  <c r="K308" i="2" s="1"/>
  <c r="K307" i="2" a="1"/>
  <c r="K307" i="2" s="1"/>
  <c r="K306" i="2" a="1"/>
  <c r="K306" i="2" s="1"/>
  <c r="K305" i="2" a="1"/>
  <c r="K305" i="2" s="1"/>
  <c r="K304" i="2" a="1"/>
  <c r="K304" i="2" s="1"/>
  <c r="K303" i="2" a="1"/>
  <c r="K303" i="2" s="1"/>
  <c r="K302" i="2" a="1"/>
  <c r="K302" i="2" s="1"/>
  <c r="K301" i="2" a="1"/>
  <c r="K301" i="2" s="1"/>
  <c r="K300" i="2" a="1"/>
  <c r="K300" i="2" s="1"/>
  <c r="K299" i="2" a="1"/>
  <c r="K299" i="2" s="1"/>
  <c r="K298" i="2" a="1"/>
  <c r="K298" i="2" s="1"/>
  <c r="K297" i="2" a="1"/>
  <c r="K297" i="2" s="1"/>
  <c r="K296" i="2" a="1"/>
  <c r="K296" i="2" s="1"/>
  <c r="K295" i="2" a="1"/>
  <c r="K295" i="2" s="1"/>
  <c r="K294" i="2" a="1"/>
  <c r="K294" i="2" s="1"/>
  <c r="K293" i="2" a="1"/>
  <c r="K293" i="2" s="1"/>
  <c r="K292" i="2" a="1"/>
  <c r="K292" i="2" s="1"/>
  <c r="K291" i="2" a="1"/>
  <c r="K291" i="2" s="1"/>
  <c r="K290" i="2" a="1"/>
  <c r="K290" i="2" s="1"/>
  <c r="K289" i="2" a="1"/>
  <c r="K289" i="2" s="1"/>
  <c r="K288" i="2" a="1"/>
  <c r="K288" i="2" s="1"/>
  <c r="K287" i="2" a="1"/>
  <c r="K287" i="2" s="1"/>
  <c r="K286" i="2" a="1"/>
  <c r="K286" i="2" s="1"/>
  <c r="K285" i="2" a="1"/>
  <c r="K285" i="2" s="1"/>
  <c r="K284" i="2" a="1"/>
  <c r="K284" i="2" s="1"/>
  <c r="K283" i="2" a="1"/>
  <c r="K283" i="2" s="1"/>
  <c r="K282" i="2" a="1"/>
  <c r="K282" i="2" s="1"/>
  <c r="K281" i="2" a="1"/>
  <c r="K281" i="2" s="1"/>
  <c r="K280" i="2" a="1"/>
  <c r="K280" i="2" s="1"/>
  <c r="K279" i="2" a="1"/>
  <c r="K279" i="2" s="1"/>
  <c r="K278" i="2" a="1"/>
  <c r="K278" i="2" s="1"/>
  <c r="K277" i="2" a="1"/>
  <c r="K277" i="2" s="1"/>
  <c r="K276" i="2" a="1"/>
  <c r="K276" i="2" s="1"/>
  <c r="K275" i="2" a="1"/>
  <c r="K275" i="2" s="1"/>
  <c r="K274" i="2" a="1"/>
  <c r="K274" i="2" s="1"/>
  <c r="K273" i="2" a="1"/>
  <c r="K273" i="2" s="1"/>
  <c r="K272" i="2" a="1"/>
  <c r="K272" i="2" s="1"/>
  <c r="K271" i="2" a="1"/>
  <c r="K271" i="2" s="1"/>
  <c r="K270" i="2" a="1"/>
  <c r="K270" i="2" s="1"/>
  <c r="K269" i="2" a="1"/>
  <c r="K269" i="2" s="1"/>
  <c r="K268" i="2" a="1"/>
  <c r="K268" i="2" s="1"/>
  <c r="K267" i="2" a="1"/>
  <c r="K267" i="2" s="1"/>
  <c r="K266" i="2" a="1"/>
  <c r="K266" i="2" s="1"/>
  <c r="K265" i="2" a="1"/>
  <c r="K265" i="2" s="1"/>
  <c r="K264" i="2" a="1"/>
  <c r="K264" i="2" s="1"/>
  <c r="K263" i="2" a="1"/>
  <c r="K263" i="2" s="1"/>
  <c r="K262" i="2" a="1"/>
  <c r="K262" i="2" s="1"/>
  <c r="K261" i="2" a="1"/>
  <c r="K261" i="2" s="1"/>
  <c r="K260" i="2" a="1"/>
  <c r="K260" i="2" s="1"/>
  <c r="K259" i="2" a="1"/>
  <c r="K259" i="2" s="1"/>
  <c r="K258" i="2" a="1"/>
  <c r="K258" i="2" s="1"/>
  <c r="K257" i="2" a="1"/>
  <c r="K257" i="2" s="1"/>
  <c r="K256" i="2" a="1"/>
  <c r="K256" i="2" s="1"/>
  <c r="K255" i="2" a="1"/>
  <c r="K255" i="2" s="1"/>
  <c r="K254" i="2" a="1"/>
  <c r="K254" i="2" s="1"/>
  <c r="K253" i="2" a="1"/>
  <c r="K253" i="2" s="1"/>
  <c r="K252" i="2" a="1"/>
  <c r="K252" i="2" s="1"/>
  <c r="K251" i="2" a="1"/>
  <c r="K251" i="2" s="1"/>
  <c r="K250" i="2" a="1"/>
  <c r="K250" i="2" s="1"/>
  <c r="K249" i="2" a="1"/>
  <c r="K249" i="2" s="1"/>
  <c r="K248" i="2" a="1"/>
  <c r="K248" i="2" s="1"/>
  <c r="K247" i="2" a="1"/>
  <c r="K247" i="2" s="1"/>
  <c r="K246" i="2" a="1"/>
  <c r="K246" i="2" s="1"/>
  <c r="K245" i="2" a="1"/>
  <c r="K245" i="2" s="1"/>
  <c r="K244" i="2" a="1"/>
  <c r="K244" i="2" s="1"/>
  <c r="K243" i="2" a="1"/>
  <c r="K243" i="2" s="1"/>
  <c r="K242" i="2" a="1"/>
  <c r="K242" i="2" s="1"/>
  <c r="K241" i="2" a="1"/>
  <c r="K241" i="2" s="1"/>
  <c r="K240" i="2" a="1"/>
  <c r="K240" i="2" s="1"/>
  <c r="K239" i="2" a="1"/>
  <c r="K239" i="2" s="1"/>
  <c r="K238" i="2" a="1"/>
  <c r="K238" i="2" s="1"/>
  <c r="K237" i="2" a="1"/>
  <c r="K237" i="2" s="1"/>
  <c r="K236" i="2" a="1"/>
  <c r="K236" i="2" s="1"/>
  <c r="K235" i="2" a="1"/>
  <c r="K235" i="2" s="1"/>
  <c r="K234" i="2" a="1"/>
  <c r="K234" i="2" s="1"/>
  <c r="K233" i="2" a="1"/>
  <c r="K233" i="2" s="1"/>
  <c r="K232" i="2" a="1"/>
  <c r="K232" i="2" s="1"/>
  <c r="K231" i="2" a="1"/>
  <c r="K231" i="2" s="1"/>
  <c r="K230" i="2" a="1"/>
  <c r="K230" i="2" s="1"/>
  <c r="K229" i="2" a="1"/>
  <c r="K229" i="2" s="1"/>
  <c r="K228" i="2" a="1"/>
  <c r="K228" i="2" s="1"/>
  <c r="K227" i="2" a="1"/>
  <c r="K227" i="2" s="1"/>
  <c r="K226" i="2" a="1"/>
  <c r="K226" i="2" s="1"/>
  <c r="K225" i="2" a="1"/>
  <c r="K225" i="2" s="1"/>
  <c r="K224" i="2" a="1"/>
  <c r="K224" i="2" s="1"/>
  <c r="K223" i="2" a="1"/>
  <c r="K223" i="2" s="1"/>
  <c r="K222" i="2" a="1"/>
  <c r="K222" i="2" s="1"/>
  <c r="K221" i="2" a="1"/>
  <c r="K221" i="2" s="1"/>
  <c r="K220" i="2" a="1"/>
  <c r="K220" i="2" s="1"/>
  <c r="K219" i="2" a="1"/>
  <c r="K219" i="2" s="1"/>
  <c r="K218" i="2" a="1"/>
  <c r="K218" i="2" s="1"/>
  <c r="K217" i="2" a="1"/>
  <c r="K217" i="2" s="1"/>
  <c r="K216" i="2" a="1"/>
  <c r="K216" i="2" s="1"/>
  <c r="K215" i="2" a="1"/>
  <c r="K215" i="2" s="1"/>
  <c r="K214" i="2" a="1"/>
  <c r="K214" i="2" s="1"/>
  <c r="K213" i="2" a="1"/>
  <c r="K213" i="2" s="1"/>
  <c r="K212" i="2" a="1"/>
  <c r="K212" i="2" s="1"/>
  <c r="K211" i="2" a="1"/>
  <c r="K211" i="2" s="1"/>
  <c r="K210" i="2" a="1"/>
  <c r="K210" i="2" s="1"/>
  <c r="K209" i="2" a="1"/>
  <c r="K209" i="2" s="1"/>
  <c r="K208" i="2" a="1"/>
  <c r="K208" i="2" s="1"/>
  <c r="K207" i="2" a="1"/>
  <c r="K207" i="2" s="1"/>
  <c r="K206" i="2" a="1"/>
  <c r="K206" i="2" s="1"/>
  <c r="K205" i="2" a="1"/>
  <c r="K205" i="2" s="1"/>
  <c r="K204" i="2" a="1"/>
  <c r="K204" i="2" s="1"/>
  <c r="K203" i="2" a="1"/>
  <c r="K203" i="2" s="1"/>
  <c r="K202" i="2" a="1"/>
  <c r="K202" i="2" s="1"/>
  <c r="K201" i="2" a="1"/>
  <c r="K201" i="2" s="1"/>
  <c r="K200" i="2" a="1"/>
  <c r="K200" i="2" s="1"/>
  <c r="K199" i="2" a="1"/>
  <c r="K199" i="2" s="1"/>
  <c r="K198" i="2" a="1"/>
  <c r="K198" i="2" s="1"/>
  <c r="K197" i="2" a="1"/>
  <c r="K197" i="2" s="1"/>
  <c r="K196" i="2" a="1"/>
  <c r="K196" i="2" s="1"/>
  <c r="K195" i="2" a="1"/>
  <c r="K195" i="2" s="1"/>
  <c r="K194" i="2" a="1"/>
  <c r="K194" i="2" s="1"/>
  <c r="K193" i="2" a="1"/>
  <c r="K193" i="2" s="1"/>
  <c r="K192" i="2" a="1"/>
  <c r="K192" i="2" s="1"/>
  <c r="K191" i="2" a="1"/>
  <c r="K191" i="2" s="1"/>
  <c r="K190" i="2" a="1"/>
  <c r="K190" i="2" s="1"/>
  <c r="K189" i="2" a="1"/>
  <c r="K189" i="2" s="1"/>
  <c r="K188" i="2" a="1"/>
  <c r="K188" i="2" s="1"/>
  <c r="K187" i="2" a="1"/>
  <c r="K187" i="2" s="1"/>
  <c r="K186" i="2" a="1"/>
  <c r="K186" i="2" s="1"/>
  <c r="K185" i="2" a="1"/>
  <c r="K185" i="2" s="1"/>
  <c r="K184" i="2" a="1"/>
  <c r="K184" i="2" s="1"/>
  <c r="K183" i="2" a="1"/>
  <c r="K183" i="2" s="1"/>
  <c r="K182" i="2" a="1"/>
  <c r="K182" i="2" s="1"/>
  <c r="K181" i="2" a="1"/>
  <c r="K181" i="2" s="1"/>
  <c r="K180" i="2" a="1"/>
  <c r="K180" i="2" s="1"/>
  <c r="K179" i="2" a="1"/>
  <c r="K179" i="2" s="1"/>
  <c r="K178" i="2" a="1"/>
  <c r="K178" i="2" s="1"/>
  <c r="K177" i="2" a="1"/>
  <c r="K177" i="2" s="1"/>
  <c r="K176" i="2" a="1"/>
  <c r="K176" i="2" s="1"/>
  <c r="K175" i="2" a="1"/>
  <c r="K175" i="2" s="1"/>
  <c r="K174" i="2" a="1"/>
  <c r="K174" i="2" s="1"/>
  <c r="K173" i="2" a="1"/>
  <c r="K173" i="2" s="1"/>
  <c r="K172" i="2" a="1"/>
  <c r="K172" i="2" s="1"/>
  <c r="K171" i="2" a="1"/>
  <c r="K171" i="2" s="1"/>
  <c r="K170" i="2" a="1"/>
  <c r="K170" i="2" s="1"/>
  <c r="K169" i="2" a="1"/>
  <c r="K169" i="2" s="1"/>
  <c r="K168" i="2" a="1"/>
  <c r="K168" i="2" s="1"/>
  <c r="K167" i="2" a="1"/>
  <c r="K167" i="2" s="1"/>
  <c r="K166" i="2" a="1"/>
  <c r="K166" i="2" s="1"/>
  <c r="K165" i="2" a="1"/>
  <c r="K165" i="2" s="1"/>
  <c r="K164" i="2" a="1"/>
  <c r="K164" i="2" s="1"/>
  <c r="K163" i="2" a="1"/>
  <c r="K163" i="2" s="1"/>
  <c r="K162" i="2" a="1"/>
  <c r="K162" i="2" s="1"/>
  <c r="K161" i="2" a="1"/>
  <c r="K161" i="2" s="1"/>
  <c r="K160" i="2" a="1"/>
  <c r="K160" i="2" s="1"/>
  <c r="K159" i="2" a="1"/>
  <c r="K159" i="2" s="1"/>
  <c r="K158" i="2" a="1"/>
  <c r="K158" i="2" s="1"/>
  <c r="K157" i="2" a="1"/>
  <c r="K157" i="2" s="1"/>
  <c r="K156" i="2" a="1"/>
  <c r="K156" i="2" s="1"/>
  <c r="K155" i="2" a="1"/>
  <c r="K155" i="2" s="1"/>
  <c r="K154" i="2" a="1"/>
  <c r="K154" i="2" s="1"/>
  <c r="K153" i="2" a="1"/>
  <c r="K153" i="2" s="1"/>
  <c r="K152" i="2" a="1"/>
  <c r="K152" i="2" s="1"/>
  <c r="K151" i="2" a="1"/>
  <c r="K151" i="2" s="1"/>
  <c r="K150" i="2" a="1"/>
  <c r="K150" i="2" s="1"/>
  <c r="K149" i="2" a="1"/>
  <c r="K149" i="2" s="1"/>
  <c r="K148" i="2" a="1"/>
  <c r="K148" i="2" s="1"/>
  <c r="K147" i="2" a="1"/>
  <c r="K147" i="2" s="1"/>
  <c r="K146" i="2" a="1"/>
  <c r="K146" i="2" s="1"/>
  <c r="K145" i="2" a="1"/>
  <c r="K145" i="2" s="1"/>
  <c r="K144" i="2" a="1"/>
  <c r="K144" i="2" s="1"/>
  <c r="K143" i="2" a="1"/>
  <c r="K143" i="2" s="1"/>
  <c r="K142" i="2" a="1"/>
  <c r="K142" i="2" s="1"/>
  <c r="K141" i="2" a="1"/>
  <c r="K141" i="2" s="1"/>
  <c r="K140" i="2" a="1"/>
  <c r="K140" i="2" s="1"/>
  <c r="K139" i="2" a="1"/>
  <c r="K139" i="2" s="1"/>
  <c r="K138" i="2" a="1"/>
  <c r="K138" i="2" s="1"/>
  <c r="K137" i="2" a="1"/>
  <c r="K137" i="2" s="1"/>
  <c r="K136" i="2" a="1"/>
  <c r="K136" i="2" s="1"/>
  <c r="K135" i="2" a="1"/>
  <c r="K135" i="2" s="1"/>
  <c r="K134" i="2" a="1"/>
  <c r="K134" i="2" s="1"/>
  <c r="K133" i="2" a="1"/>
  <c r="K133" i="2" s="1"/>
  <c r="K132" i="2" a="1"/>
  <c r="K132" i="2" s="1"/>
  <c r="K131" i="2" a="1"/>
  <c r="K131" i="2" s="1"/>
  <c r="K130" i="2" a="1"/>
  <c r="K130" i="2" s="1"/>
  <c r="K129" i="2" a="1"/>
  <c r="K129" i="2" s="1"/>
  <c r="K128" i="2" a="1"/>
  <c r="K128" i="2" s="1"/>
  <c r="K127" i="2" a="1"/>
  <c r="K127" i="2" s="1"/>
  <c r="K126" i="2" a="1"/>
  <c r="K126" i="2" s="1"/>
  <c r="K125" i="2" a="1"/>
  <c r="K125" i="2" s="1"/>
  <c r="K124" i="2" a="1"/>
  <c r="K124" i="2" s="1"/>
  <c r="K123" i="2" a="1"/>
  <c r="K123" i="2" s="1"/>
  <c r="K122" i="2" a="1"/>
  <c r="K122" i="2" s="1"/>
  <c r="K121" i="2" a="1"/>
  <c r="K121" i="2" s="1"/>
  <c r="K120" i="2" a="1"/>
  <c r="K120" i="2" s="1"/>
  <c r="K119" i="2" a="1"/>
  <c r="K119" i="2" s="1"/>
  <c r="K118" i="2" a="1"/>
  <c r="K118" i="2" s="1"/>
  <c r="K117" i="2" a="1"/>
  <c r="K117" i="2" s="1"/>
  <c r="K116" i="2" a="1"/>
  <c r="K116" i="2" s="1"/>
  <c r="K115" i="2" a="1"/>
  <c r="K115" i="2" s="1"/>
  <c r="K114" i="2" a="1"/>
  <c r="K114" i="2" s="1"/>
  <c r="K113" i="2" a="1"/>
  <c r="K113" i="2" s="1"/>
  <c r="K112" i="2" a="1"/>
  <c r="K112" i="2" s="1"/>
  <c r="K111" i="2" a="1"/>
  <c r="K111" i="2" s="1"/>
  <c r="K110" i="2" a="1"/>
  <c r="K110" i="2" s="1"/>
  <c r="K109" i="2" a="1"/>
  <c r="K109" i="2" s="1"/>
  <c r="K108" i="2" a="1"/>
  <c r="K108" i="2" s="1"/>
  <c r="K107" i="2" a="1"/>
  <c r="K107" i="2" s="1"/>
  <c r="K106" i="2" a="1"/>
  <c r="K106" i="2" s="1"/>
  <c r="K105" i="2" a="1"/>
  <c r="K105" i="2" s="1"/>
  <c r="K104" i="2" a="1"/>
  <c r="K104" i="2" s="1"/>
  <c r="K103" i="2" a="1"/>
  <c r="K103" i="2" s="1"/>
  <c r="K102" i="2" a="1"/>
  <c r="K102" i="2" s="1"/>
  <c r="K101" i="2" a="1"/>
  <c r="K101" i="2" s="1"/>
  <c r="K100" i="2" a="1"/>
  <c r="K100" i="2" s="1"/>
  <c r="K99" i="2" a="1"/>
  <c r="K99" i="2" s="1"/>
  <c r="K98" i="2" a="1"/>
  <c r="K98" i="2" s="1"/>
  <c r="K97" i="2" a="1"/>
  <c r="K97" i="2" s="1"/>
  <c r="K96" i="2" a="1"/>
  <c r="K96" i="2" s="1"/>
  <c r="K95" i="2" a="1"/>
  <c r="K95" i="2" s="1"/>
  <c r="K94" i="2" a="1"/>
  <c r="K94" i="2" s="1"/>
  <c r="K93" i="2" a="1"/>
  <c r="K93" i="2" s="1"/>
  <c r="K92" i="2" a="1"/>
  <c r="K92" i="2" s="1"/>
  <c r="K91" i="2" a="1"/>
  <c r="K91" i="2" s="1"/>
  <c r="K90" i="2" a="1"/>
  <c r="K90" i="2" s="1"/>
  <c r="K89" i="2" a="1"/>
  <c r="K89" i="2" s="1"/>
  <c r="K88" i="2" a="1"/>
  <c r="K88" i="2" s="1"/>
  <c r="K87" i="2" a="1"/>
  <c r="K87" i="2" s="1"/>
  <c r="K86" i="2" a="1"/>
  <c r="K86" i="2" s="1"/>
  <c r="K85" i="2" a="1"/>
  <c r="K85" i="2" s="1"/>
  <c r="K84" i="2" a="1"/>
  <c r="K84" i="2" s="1"/>
  <c r="K83" i="2" a="1"/>
  <c r="K83" i="2" s="1"/>
  <c r="K82" i="2" a="1"/>
  <c r="K82" i="2" s="1"/>
  <c r="K81" i="2" a="1"/>
  <c r="K81" i="2" s="1"/>
  <c r="K80" i="2" a="1"/>
  <c r="K80" i="2" s="1"/>
  <c r="K79" i="2" a="1"/>
  <c r="K79" i="2" s="1"/>
  <c r="K78" i="2" a="1"/>
  <c r="K78" i="2" s="1"/>
  <c r="K77" i="2" a="1"/>
  <c r="K77" i="2" s="1"/>
  <c r="K76" i="2" a="1"/>
  <c r="K76" i="2" s="1"/>
  <c r="K75" i="2" a="1"/>
  <c r="K75" i="2" s="1"/>
  <c r="K74" i="2" a="1"/>
  <c r="K74" i="2" s="1"/>
  <c r="K73" i="2" a="1"/>
  <c r="K73" i="2" s="1"/>
  <c r="K72" i="2" a="1"/>
  <c r="K72" i="2" s="1"/>
  <c r="K71" i="2" a="1"/>
  <c r="K71" i="2" s="1"/>
  <c r="K70" i="2" a="1"/>
  <c r="K70" i="2" s="1"/>
  <c r="K69" i="2" a="1"/>
  <c r="K69" i="2" s="1"/>
  <c r="K68" i="2" a="1"/>
  <c r="K68" i="2" s="1"/>
  <c r="K67" i="2" a="1"/>
  <c r="K67" i="2" s="1"/>
  <c r="K66" i="2" a="1"/>
  <c r="K66" i="2" s="1"/>
  <c r="K65" i="2" a="1"/>
  <c r="K65" i="2" s="1"/>
  <c r="K64" i="2" a="1"/>
  <c r="K64" i="2" s="1"/>
  <c r="K63" i="2" a="1"/>
  <c r="K63" i="2" s="1"/>
  <c r="K62" i="2" a="1"/>
  <c r="K62" i="2" s="1"/>
  <c r="K61" i="2" a="1"/>
  <c r="K61" i="2" s="1"/>
  <c r="K60" i="2" a="1"/>
  <c r="K60" i="2" s="1"/>
  <c r="K59" i="2" a="1"/>
  <c r="K59" i="2" s="1"/>
  <c r="K58" i="2" a="1"/>
  <c r="K58" i="2" s="1"/>
  <c r="K57" i="2" a="1"/>
  <c r="K57" i="2" s="1"/>
  <c r="K56" i="2" a="1"/>
  <c r="K56" i="2" s="1"/>
  <c r="K55" i="2" a="1"/>
  <c r="K55" i="2" s="1"/>
  <c r="K54" i="2" a="1"/>
  <c r="K54" i="2" s="1"/>
  <c r="K53" i="2" a="1"/>
  <c r="K53" i="2" s="1"/>
  <c r="K52" i="2" a="1"/>
  <c r="K52" i="2" s="1"/>
  <c r="K51" i="2" a="1"/>
  <c r="K51" i="2" s="1"/>
  <c r="K50" i="2" a="1"/>
  <c r="K50" i="2" s="1"/>
  <c r="K49" i="2" a="1"/>
  <c r="K49" i="2" s="1"/>
  <c r="K48" i="2" a="1"/>
  <c r="K48" i="2" s="1"/>
  <c r="K47" i="2" a="1"/>
  <c r="K47" i="2" s="1"/>
  <c r="K46" i="2" a="1"/>
  <c r="K46" i="2" s="1"/>
  <c r="K45" i="2" a="1"/>
  <c r="K45" i="2" s="1"/>
  <c r="K44" i="2" a="1"/>
  <c r="K44" i="2" s="1"/>
  <c r="K43" i="2" a="1"/>
  <c r="K43" i="2" s="1"/>
  <c r="K42" i="2" a="1"/>
  <c r="K42" i="2" s="1"/>
  <c r="K41" i="2" a="1"/>
  <c r="K41" i="2" s="1"/>
  <c r="K40" i="2" a="1"/>
  <c r="K40" i="2" s="1"/>
  <c r="K39" i="2" a="1"/>
  <c r="K39" i="2" s="1"/>
  <c r="K38" i="2" a="1"/>
  <c r="K38" i="2" s="1"/>
  <c r="K37" i="2" a="1"/>
  <c r="K37" i="2" s="1"/>
  <c r="K36" i="2" a="1"/>
  <c r="K36" i="2" s="1"/>
  <c r="K35" i="2" a="1"/>
  <c r="K35" i="2" s="1"/>
  <c r="K34" i="2" a="1"/>
  <c r="K34" i="2" s="1"/>
  <c r="K33" i="2" a="1"/>
  <c r="K33" i="2" s="1"/>
  <c r="K32" i="2" a="1"/>
  <c r="K32" i="2" s="1"/>
  <c r="K31" i="2" a="1"/>
  <c r="K31" i="2" s="1"/>
  <c r="K30" i="2" a="1"/>
  <c r="K30" i="2" s="1"/>
  <c r="K29" i="2" a="1"/>
  <c r="K29" i="2" s="1"/>
  <c r="K28" i="2" a="1"/>
  <c r="K28" i="2" s="1"/>
  <c r="K27" i="2" a="1"/>
  <c r="K27" i="2" s="1"/>
  <c r="K26" i="2" a="1"/>
  <c r="K26" i="2" s="1"/>
  <c r="K25" i="2" a="1"/>
  <c r="K25" i="2" s="1"/>
  <c r="K24" i="2" a="1"/>
  <c r="K24" i="2" s="1"/>
  <c r="K23" i="2" a="1"/>
  <c r="K23" i="2" s="1"/>
  <c r="K22" i="2" a="1"/>
  <c r="K22" i="2" s="1"/>
  <c r="K21" i="2" a="1"/>
  <c r="K21" i="2" s="1"/>
  <c r="K20" i="2" a="1"/>
  <c r="K20" i="2" s="1"/>
  <c r="K19" i="2" a="1"/>
  <c r="K19" i="2" s="1"/>
  <c r="K18" i="2" a="1"/>
  <c r="K18" i="2" s="1"/>
  <c r="K17" i="2" a="1"/>
  <c r="K17" i="2" s="1"/>
  <c r="K16" i="2" a="1"/>
  <c r="K16" i="2" s="1"/>
  <c r="K15" i="2" a="1"/>
  <c r="K15" i="2" s="1"/>
  <c r="K14" i="2" a="1"/>
  <c r="K14" i="2" s="1"/>
  <c r="K13" i="2" a="1"/>
  <c r="K13" i="2" s="1"/>
  <c r="K12" i="2" a="1"/>
  <c r="K12" i="2" s="1"/>
  <c r="K11" i="2" a="1"/>
  <c r="K11" i="2" s="1"/>
  <c r="K10" i="2" a="1"/>
  <c r="K10" i="2" s="1"/>
  <c r="K9" i="2" a="1"/>
  <c r="K9" i="2" s="1"/>
  <c r="K8" i="2" a="1"/>
  <c r="K8" i="2" s="1"/>
  <c r="K7" i="2" a="1"/>
  <c r="K7" i="2" s="1"/>
  <c r="K6" i="2" a="1"/>
  <c r="K6" i="2" s="1"/>
  <c r="I582" i="2" a="1"/>
  <c r="I582" i="2" s="1"/>
  <c r="I581" i="2" a="1"/>
  <c r="I581" i="2" s="1"/>
  <c r="I580" i="2" a="1"/>
  <c r="I580" i="2" s="1"/>
  <c r="I579" i="2" a="1"/>
  <c r="I579" i="2" s="1"/>
  <c r="I578" i="2" a="1"/>
  <c r="I578" i="2" s="1"/>
  <c r="I577" i="2" a="1"/>
  <c r="I577" i="2" s="1"/>
  <c r="I576" i="2" a="1"/>
  <c r="I576" i="2" s="1"/>
  <c r="I575" i="2" a="1"/>
  <c r="I575" i="2" s="1"/>
  <c r="I574" i="2" a="1"/>
  <c r="I574" i="2" s="1"/>
  <c r="I573" i="2" a="1"/>
  <c r="I573" i="2" s="1"/>
  <c r="I572" i="2" a="1"/>
  <c r="I572" i="2" s="1"/>
  <c r="I571" i="2" a="1"/>
  <c r="I571" i="2" s="1"/>
  <c r="I570" i="2" a="1"/>
  <c r="I570" i="2" s="1"/>
  <c r="I569" i="2" a="1"/>
  <c r="I569" i="2" s="1"/>
  <c r="I568" i="2" a="1"/>
  <c r="I568" i="2" s="1"/>
  <c r="I567" i="2" a="1"/>
  <c r="I567" i="2" s="1"/>
  <c r="I566" i="2" a="1"/>
  <c r="I566" i="2" s="1"/>
  <c r="I565" i="2" a="1"/>
  <c r="I565" i="2" s="1"/>
  <c r="I564" i="2" a="1"/>
  <c r="I564" i="2" s="1"/>
  <c r="I563" i="2" a="1"/>
  <c r="I563" i="2" s="1"/>
  <c r="I562" i="2" a="1"/>
  <c r="I562" i="2" s="1"/>
  <c r="I561" i="2" a="1"/>
  <c r="I561" i="2" s="1"/>
  <c r="I560" i="2" a="1"/>
  <c r="I560" i="2" s="1"/>
  <c r="I559" i="2" a="1"/>
  <c r="I559" i="2" s="1"/>
  <c r="I558" i="2" a="1"/>
  <c r="I558" i="2" s="1"/>
  <c r="I557" i="2" a="1"/>
  <c r="I557" i="2" s="1"/>
  <c r="I556" i="2" a="1"/>
  <c r="I556" i="2" s="1"/>
  <c r="I555" i="2" a="1"/>
  <c r="I555" i="2" s="1"/>
  <c r="I554" i="2" a="1"/>
  <c r="I554" i="2" s="1"/>
  <c r="I553" i="2" a="1"/>
  <c r="I553" i="2" s="1"/>
  <c r="I552" i="2" a="1"/>
  <c r="I552" i="2" s="1"/>
  <c r="I551" i="2" a="1"/>
  <c r="I551" i="2" s="1"/>
  <c r="I550" i="2" a="1"/>
  <c r="I550" i="2" s="1"/>
  <c r="I549" i="2" a="1"/>
  <c r="I549" i="2" s="1"/>
  <c r="I548" i="2" a="1"/>
  <c r="I548" i="2" s="1"/>
  <c r="I547" i="2" a="1"/>
  <c r="I547" i="2" s="1"/>
  <c r="I546" i="2" a="1"/>
  <c r="I546" i="2" s="1"/>
  <c r="I545" i="2" a="1"/>
  <c r="I545" i="2" s="1"/>
  <c r="I544" i="2" a="1"/>
  <c r="I544" i="2" s="1"/>
  <c r="I543" i="2" a="1"/>
  <c r="I543" i="2" s="1"/>
  <c r="I542" i="2" a="1"/>
  <c r="I542" i="2" s="1"/>
  <c r="I541" i="2" a="1"/>
  <c r="I541" i="2" s="1"/>
  <c r="I540" i="2" a="1"/>
  <c r="I540" i="2" s="1"/>
  <c r="I539" i="2" a="1"/>
  <c r="I539" i="2" s="1"/>
  <c r="I538" i="2" a="1"/>
  <c r="I538" i="2" s="1"/>
  <c r="I537" i="2" a="1"/>
  <c r="I537" i="2" s="1"/>
  <c r="I536" i="2" a="1"/>
  <c r="I536" i="2" s="1"/>
  <c r="I535" i="2" a="1"/>
  <c r="I535" i="2" s="1"/>
  <c r="I534" i="2" a="1"/>
  <c r="I534" i="2" s="1"/>
  <c r="I533" i="2" a="1"/>
  <c r="I533" i="2" s="1"/>
  <c r="I532" i="2" a="1"/>
  <c r="I532" i="2" s="1"/>
  <c r="I531" i="2" a="1"/>
  <c r="I531" i="2" s="1"/>
  <c r="I530" i="2" a="1"/>
  <c r="I530" i="2" s="1"/>
  <c r="I529" i="2" a="1"/>
  <c r="I529" i="2" s="1"/>
  <c r="I528" i="2" a="1"/>
  <c r="I528" i="2" s="1"/>
  <c r="I527" i="2" a="1"/>
  <c r="I527" i="2" s="1"/>
  <c r="I526" i="2" a="1"/>
  <c r="I526" i="2" s="1"/>
  <c r="I525" i="2" a="1"/>
  <c r="I525" i="2" s="1"/>
  <c r="I524" i="2" a="1"/>
  <c r="I524" i="2" s="1"/>
  <c r="I523" i="2" a="1"/>
  <c r="I523" i="2" s="1"/>
  <c r="I516" i="2" a="1"/>
  <c r="I516" i="2" s="1"/>
  <c r="I515" i="2" a="1"/>
  <c r="I515" i="2" s="1"/>
  <c r="I514" i="2" a="1"/>
  <c r="I514" i="2" s="1"/>
  <c r="I513" i="2" a="1"/>
  <c r="I513" i="2" s="1"/>
  <c r="I512" i="2" a="1"/>
  <c r="I512" i="2" s="1"/>
  <c r="I511" i="2" a="1"/>
  <c r="I511" i="2" s="1"/>
  <c r="I510" i="2" a="1"/>
  <c r="I510" i="2" s="1"/>
  <c r="I509" i="2" a="1"/>
  <c r="I509" i="2" s="1"/>
  <c r="I508" i="2" a="1"/>
  <c r="I508" i="2" s="1"/>
  <c r="I507" i="2" a="1"/>
  <c r="I507" i="2" s="1"/>
  <c r="I506" i="2" a="1"/>
  <c r="I506" i="2" s="1"/>
  <c r="I505" i="2" a="1"/>
  <c r="I505" i="2" s="1"/>
  <c r="I504" i="2" a="1"/>
  <c r="I504" i="2" s="1"/>
  <c r="I503" i="2" a="1"/>
  <c r="I503" i="2" s="1"/>
  <c r="I502" i="2" a="1"/>
  <c r="I502" i="2" s="1"/>
  <c r="I501" i="2" a="1"/>
  <c r="I501" i="2" s="1"/>
  <c r="I500" i="2" a="1"/>
  <c r="I500" i="2" s="1"/>
  <c r="I499" i="2" a="1"/>
  <c r="I499" i="2" s="1"/>
  <c r="I498" i="2" a="1"/>
  <c r="I498" i="2" s="1"/>
  <c r="I497" i="2" a="1"/>
  <c r="I497" i="2" s="1"/>
  <c r="I496" i="2" a="1"/>
  <c r="I496" i="2" s="1"/>
  <c r="I495" i="2" a="1"/>
  <c r="I495" i="2" s="1"/>
  <c r="I494" i="2" a="1"/>
  <c r="I494" i="2" s="1"/>
  <c r="I493" i="2" a="1"/>
  <c r="I493" i="2" s="1"/>
  <c r="I492" i="2" a="1"/>
  <c r="I492" i="2" s="1"/>
  <c r="I491" i="2" a="1"/>
  <c r="I491" i="2" s="1"/>
  <c r="I490" i="2" a="1"/>
  <c r="I490" i="2" s="1"/>
  <c r="I489" i="2" a="1"/>
  <c r="I489" i="2" s="1"/>
  <c r="I488" i="2" a="1"/>
  <c r="I488" i="2" s="1"/>
  <c r="I487" i="2" a="1"/>
  <c r="I487" i="2" s="1"/>
  <c r="I486" i="2" a="1"/>
  <c r="I486" i="2" s="1"/>
  <c r="I485" i="2" a="1"/>
  <c r="I485" i="2" s="1"/>
  <c r="I484" i="2" a="1"/>
  <c r="I484" i="2" s="1"/>
  <c r="I483" i="2" a="1"/>
  <c r="I483" i="2" s="1"/>
  <c r="I482" i="2" a="1"/>
  <c r="I482" i="2" s="1"/>
  <c r="I481" i="2" a="1"/>
  <c r="I481" i="2" s="1"/>
  <c r="I480" i="2" a="1"/>
  <c r="I480" i="2" s="1"/>
  <c r="I479" i="2" a="1"/>
  <c r="I479" i="2" s="1"/>
  <c r="I478" i="2" a="1"/>
  <c r="I478" i="2" s="1"/>
  <c r="I477" i="2" a="1"/>
  <c r="I477" i="2" s="1"/>
  <c r="I476" i="2" a="1"/>
  <c r="I476" i="2" s="1"/>
  <c r="I475" i="2" a="1"/>
  <c r="I475" i="2" s="1"/>
  <c r="I474" i="2" a="1"/>
  <c r="I474" i="2" s="1"/>
  <c r="I473" i="2" a="1"/>
  <c r="I473" i="2" s="1"/>
  <c r="I472" i="2" a="1"/>
  <c r="I472" i="2" s="1"/>
  <c r="I471" i="2" a="1"/>
  <c r="I471" i="2" s="1"/>
  <c r="I470" i="2" a="1"/>
  <c r="I470" i="2" s="1"/>
  <c r="I469" i="2" a="1"/>
  <c r="I469" i="2" s="1"/>
  <c r="I468" i="2" a="1"/>
  <c r="I468" i="2" s="1"/>
  <c r="I467" i="2" a="1"/>
  <c r="I467" i="2" s="1"/>
  <c r="I466" i="2" a="1"/>
  <c r="I466" i="2" s="1"/>
  <c r="I465" i="2" a="1"/>
  <c r="I465" i="2" s="1"/>
  <c r="I464" i="2" a="1"/>
  <c r="I464" i="2" s="1"/>
  <c r="I463" i="2" a="1"/>
  <c r="I463" i="2" s="1"/>
  <c r="I462" i="2" a="1"/>
  <c r="I462" i="2" s="1"/>
  <c r="I461" i="2" a="1"/>
  <c r="I461" i="2" s="1"/>
  <c r="I460" i="2" a="1"/>
  <c r="I460" i="2" s="1"/>
  <c r="I459" i="2" a="1"/>
  <c r="I459" i="2" s="1"/>
  <c r="I458" i="2" a="1"/>
  <c r="I458" i="2" s="1"/>
  <c r="I457" i="2" a="1"/>
  <c r="I457" i="2" s="1"/>
  <c r="I456" i="2" a="1"/>
  <c r="I456" i="2" s="1"/>
  <c r="I455" i="2" a="1"/>
  <c r="I455" i="2" s="1"/>
  <c r="I454" i="2" a="1"/>
  <c r="I454" i="2" s="1"/>
  <c r="I453" i="2" a="1"/>
  <c r="I453" i="2" s="1"/>
  <c r="I452" i="2" a="1"/>
  <c r="I452" i="2" s="1"/>
  <c r="I451" i="2" a="1"/>
  <c r="I451" i="2" s="1"/>
  <c r="I450" i="2" a="1"/>
  <c r="I450" i="2" s="1"/>
  <c r="I449" i="2" a="1"/>
  <c r="I449" i="2" s="1"/>
  <c r="I448" i="2" a="1"/>
  <c r="I448" i="2" s="1"/>
  <c r="I447" i="2" a="1"/>
  <c r="I447" i="2" s="1"/>
  <c r="I446" i="2" a="1"/>
  <c r="I446" i="2" s="1"/>
  <c r="I445" i="2" a="1"/>
  <c r="I445" i="2" s="1"/>
  <c r="I444" i="2" a="1"/>
  <c r="I444" i="2" s="1"/>
  <c r="I443" i="2" a="1"/>
  <c r="I443" i="2" s="1"/>
  <c r="I442" i="2" a="1"/>
  <c r="I442" i="2" s="1"/>
  <c r="I441" i="2" a="1"/>
  <c r="I441" i="2" s="1"/>
  <c r="I440" i="2" a="1"/>
  <c r="I440" i="2" s="1"/>
  <c r="I439" i="2" a="1"/>
  <c r="I439" i="2" s="1"/>
  <c r="I438" i="2" a="1"/>
  <c r="I438" i="2" s="1"/>
  <c r="I437" i="2" a="1"/>
  <c r="I437" i="2" s="1"/>
  <c r="I436" i="2" a="1"/>
  <c r="I436" i="2" s="1"/>
  <c r="I435" i="2" a="1"/>
  <c r="I435" i="2" s="1"/>
  <c r="I434" i="2" a="1"/>
  <c r="I434" i="2" s="1"/>
  <c r="I433" i="2" a="1"/>
  <c r="I433" i="2" s="1"/>
  <c r="I432" i="2" a="1"/>
  <c r="I432" i="2" s="1"/>
  <c r="I431" i="2" a="1"/>
  <c r="I431" i="2" s="1"/>
  <c r="I430" i="2" a="1"/>
  <c r="I430" i="2" s="1"/>
  <c r="I429" i="2" a="1"/>
  <c r="I429" i="2" s="1"/>
  <c r="I428" i="2" a="1"/>
  <c r="I428" i="2" s="1"/>
  <c r="I427" i="2" a="1"/>
  <c r="I427" i="2" s="1"/>
  <c r="I426" i="2" a="1"/>
  <c r="I426" i="2" s="1"/>
  <c r="I425" i="2" a="1"/>
  <c r="I425" i="2" s="1"/>
  <c r="I424" i="2" a="1"/>
  <c r="I424" i="2" s="1"/>
  <c r="I423" i="2" a="1"/>
  <c r="I423" i="2" s="1"/>
  <c r="I422" i="2" a="1"/>
  <c r="I422" i="2" s="1"/>
  <c r="I421" i="2" a="1"/>
  <c r="I421" i="2" s="1"/>
  <c r="I420" i="2" a="1"/>
  <c r="I420" i="2" s="1"/>
  <c r="I419" i="2" a="1"/>
  <c r="I419" i="2" s="1"/>
  <c r="I418" i="2" a="1"/>
  <c r="I418" i="2" s="1"/>
  <c r="I417" i="2" a="1"/>
  <c r="I417" i="2" s="1"/>
  <c r="I416" i="2" a="1"/>
  <c r="I416" i="2" s="1"/>
  <c r="I415" i="2" a="1"/>
  <c r="I415" i="2" s="1"/>
  <c r="I414" i="2" a="1"/>
  <c r="I414" i="2" s="1"/>
  <c r="I413" i="2" a="1"/>
  <c r="I413" i="2" s="1"/>
  <c r="I412" i="2" a="1"/>
  <c r="I412" i="2" s="1"/>
  <c r="I411" i="2" a="1"/>
  <c r="I411" i="2" s="1"/>
  <c r="I410" i="2" a="1"/>
  <c r="I410" i="2" s="1"/>
  <c r="I409" i="2" a="1"/>
  <c r="I409" i="2" s="1"/>
  <c r="I408" i="2" a="1"/>
  <c r="I408" i="2" s="1"/>
  <c r="I407" i="2" a="1"/>
  <c r="I407" i="2" s="1"/>
  <c r="I406" i="2" a="1"/>
  <c r="I406" i="2" s="1"/>
  <c r="I405" i="2" a="1"/>
  <c r="I405" i="2" s="1"/>
  <c r="I404" i="2" a="1"/>
  <c r="I404" i="2" s="1"/>
  <c r="I403" i="2" a="1"/>
  <c r="I403" i="2" s="1"/>
  <c r="I402" i="2" a="1"/>
  <c r="I402" i="2" s="1"/>
  <c r="I401" i="2" a="1"/>
  <c r="I401" i="2" s="1"/>
  <c r="I400" i="2" a="1"/>
  <c r="I400" i="2" s="1"/>
  <c r="I399" i="2" a="1"/>
  <c r="I399" i="2" s="1"/>
  <c r="I398" i="2" a="1"/>
  <c r="I398" i="2" s="1"/>
  <c r="I397" i="2" a="1"/>
  <c r="I397" i="2" s="1"/>
  <c r="I396" i="2" a="1"/>
  <c r="I396" i="2" s="1"/>
  <c r="I395" i="2" a="1"/>
  <c r="I395" i="2" s="1"/>
  <c r="I394" i="2" a="1"/>
  <c r="I394" i="2" s="1"/>
  <c r="I393" i="2" a="1"/>
  <c r="I393" i="2" s="1"/>
  <c r="I392" i="2" a="1"/>
  <c r="I392" i="2" s="1"/>
  <c r="I391" i="2" a="1"/>
  <c r="I391" i="2" s="1"/>
  <c r="I390" i="2" a="1"/>
  <c r="I390" i="2" s="1"/>
  <c r="I389" i="2" a="1"/>
  <c r="I389" i="2" s="1"/>
  <c r="I388" i="2" a="1"/>
  <c r="I388" i="2" s="1"/>
  <c r="I387" i="2" a="1"/>
  <c r="I387" i="2" s="1"/>
  <c r="I386" i="2" a="1"/>
  <c r="I386" i="2" s="1"/>
  <c r="I385" i="2" a="1"/>
  <c r="I385" i="2" s="1"/>
  <c r="I384" i="2" a="1"/>
  <c r="I384" i="2" s="1"/>
  <c r="I383" i="2" a="1"/>
  <c r="I383" i="2" s="1"/>
  <c r="I382" i="2" a="1"/>
  <c r="I382" i="2" s="1"/>
  <c r="I381" i="2" a="1"/>
  <c r="I381" i="2" s="1"/>
  <c r="I380" i="2" a="1"/>
  <c r="I380" i="2" s="1"/>
  <c r="I379" i="2" a="1"/>
  <c r="I379" i="2" s="1"/>
  <c r="I378" i="2" a="1"/>
  <c r="I378" i="2" s="1"/>
  <c r="I377" i="2" a="1"/>
  <c r="I377" i="2" s="1"/>
  <c r="I376" i="2" a="1"/>
  <c r="I376" i="2" s="1"/>
  <c r="I375" i="2" a="1"/>
  <c r="I375" i="2" s="1"/>
  <c r="I374" i="2" a="1"/>
  <c r="I374" i="2" s="1"/>
  <c r="I373" i="2" a="1"/>
  <c r="I373" i="2" s="1"/>
  <c r="I372" i="2" a="1"/>
  <c r="I372" i="2" s="1"/>
  <c r="I371" i="2" a="1"/>
  <c r="I371" i="2" s="1"/>
  <c r="I370" i="2" a="1"/>
  <c r="I370" i="2" s="1"/>
  <c r="I369" i="2" a="1"/>
  <c r="I369" i="2" s="1"/>
  <c r="I368" i="2" a="1"/>
  <c r="I368" i="2" s="1"/>
  <c r="I367" i="2" a="1"/>
  <c r="I367" i="2" s="1"/>
  <c r="I366" i="2" a="1"/>
  <c r="I366" i="2" s="1"/>
  <c r="I365" i="2" a="1"/>
  <c r="I365" i="2" s="1"/>
  <c r="I364" i="2" a="1"/>
  <c r="I364" i="2" s="1"/>
  <c r="I363" i="2" a="1"/>
  <c r="I363" i="2" s="1"/>
  <c r="I362" i="2" a="1"/>
  <c r="I362" i="2" s="1"/>
  <c r="I361" i="2" a="1"/>
  <c r="I361" i="2" s="1"/>
  <c r="I360" i="2" a="1"/>
  <c r="I360" i="2" s="1"/>
  <c r="I359" i="2" a="1"/>
  <c r="I359" i="2" s="1"/>
  <c r="I358" i="2" a="1"/>
  <c r="I358" i="2" s="1"/>
  <c r="I357" i="2" a="1"/>
  <c r="I357" i="2" s="1"/>
  <c r="I356" i="2" a="1"/>
  <c r="I356" i="2" s="1"/>
  <c r="I355" i="2" a="1"/>
  <c r="I355" i="2" s="1"/>
  <c r="I354" i="2" a="1"/>
  <c r="I354" i="2" s="1"/>
  <c r="I353" i="2" a="1"/>
  <c r="I353" i="2" s="1"/>
  <c r="I352" i="2" a="1"/>
  <c r="I352" i="2" s="1"/>
  <c r="I351" i="2" a="1"/>
  <c r="I351" i="2" s="1"/>
  <c r="I350" i="2" a="1"/>
  <c r="I350" i="2" s="1"/>
  <c r="I349" i="2" a="1"/>
  <c r="I349" i="2" s="1"/>
  <c r="I348" i="2" a="1"/>
  <c r="I348" i="2" s="1"/>
  <c r="I347" i="2" a="1"/>
  <c r="I347" i="2" s="1"/>
  <c r="I346" i="2" a="1"/>
  <c r="I346" i="2" s="1"/>
  <c r="I345" i="2" a="1"/>
  <c r="I345" i="2" s="1"/>
  <c r="I344" i="2" a="1"/>
  <c r="I344" i="2" s="1"/>
  <c r="I343" i="2" a="1"/>
  <c r="I343" i="2" s="1"/>
  <c r="I342" i="2" a="1"/>
  <c r="I342" i="2" s="1"/>
  <c r="I341" i="2" a="1"/>
  <c r="I341" i="2" s="1"/>
  <c r="I340" i="2" a="1"/>
  <c r="I340" i="2" s="1"/>
  <c r="I339" i="2" a="1"/>
  <c r="I339" i="2" s="1"/>
  <c r="I338" i="2" a="1"/>
  <c r="I338" i="2" s="1"/>
  <c r="I337" i="2" a="1"/>
  <c r="I337" i="2" s="1"/>
  <c r="I336" i="2" a="1"/>
  <c r="I336" i="2" s="1"/>
  <c r="I335" i="2" a="1"/>
  <c r="I335" i="2" s="1"/>
  <c r="I334" i="2" a="1"/>
  <c r="I334" i="2" s="1"/>
  <c r="I333" i="2" a="1"/>
  <c r="I333" i="2" s="1"/>
  <c r="I332" i="2" a="1"/>
  <c r="I332" i="2" s="1"/>
  <c r="I331" i="2" a="1"/>
  <c r="I331" i="2" s="1"/>
  <c r="I330" i="2" a="1"/>
  <c r="I330" i="2" s="1"/>
  <c r="I329" i="2" a="1"/>
  <c r="I329" i="2" s="1"/>
  <c r="I328" i="2" a="1"/>
  <c r="I328" i="2" s="1"/>
  <c r="I327" i="2" a="1"/>
  <c r="I327" i="2" s="1"/>
  <c r="I326" i="2" a="1"/>
  <c r="I326" i="2" s="1"/>
  <c r="I325" i="2" a="1"/>
  <c r="I325" i="2" s="1"/>
  <c r="I324" i="2" a="1"/>
  <c r="I324" i="2" s="1"/>
  <c r="I323" i="2" a="1"/>
  <c r="I323" i="2" s="1"/>
  <c r="I322" i="2" a="1"/>
  <c r="I322" i="2" s="1"/>
  <c r="I321" i="2" a="1"/>
  <c r="I321" i="2" s="1"/>
  <c r="I320" i="2" a="1"/>
  <c r="I320" i="2" s="1"/>
  <c r="I319" i="2" a="1"/>
  <c r="I319" i="2" s="1"/>
  <c r="I318" i="2" a="1"/>
  <c r="I318" i="2" s="1"/>
  <c r="I317" i="2" a="1"/>
  <c r="I317" i="2" s="1"/>
  <c r="I316" i="2" a="1"/>
  <c r="I316" i="2" s="1"/>
  <c r="I315" i="2" a="1"/>
  <c r="I315" i="2" s="1"/>
  <c r="I314" i="2" a="1"/>
  <c r="I314" i="2" s="1"/>
  <c r="I313" i="2" a="1"/>
  <c r="I313" i="2" s="1"/>
  <c r="I312" i="2" a="1"/>
  <c r="I312" i="2" s="1"/>
  <c r="I311" i="2" a="1"/>
  <c r="I311" i="2" s="1"/>
  <c r="I310" i="2" a="1"/>
  <c r="I310" i="2" s="1"/>
  <c r="I309" i="2" a="1"/>
  <c r="I309" i="2" s="1"/>
  <c r="I308" i="2" a="1"/>
  <c r="I308" i="2" s="1"/>
  <c r="I307" i="2" a="1"/>
  <c r="I307" i="2" s="1"/>
  <c r="I306" i="2" a="1"/>
  <c r="I306" i="2" s="1"/>
  <c r="I305" i="2" a="1"/>
  <c r="I305" i="2" s="1"/>
  <c r="I304" i="2" a="1"/>
  <c r="I304" i="2" s="1"/>
  <c r="I303" i="2" a="1"/>
  <c r="I303" i="2" s="1"/>
  <c r="I302" i="2" a="1"/>
  <c r="I302" i="2" s="1"/>
  <c r="I301" i="2" a="1"/>
  <c r="I301" i="2" s="1"/>
  <c r="I300" i="2" a="1"/>
  <c r="I300" i="2" s="1"/>
  <c r="I299" i="2" a="1"/>
  <c r="I299" i="2" s="1"/>
  <c r="I298" i="2" a="1"/>
  <c r="I298" i="2" s="1"/>
  <c r="I297" i="2" a="1"/>
  <c r="I297" i="2" s="1"/>
  <c r="I296" i="2" a="1"/>
  <c r="I296" i="2" s="1"/>
  <c r="I295" i="2" a="1"/>
  <c r="I295" i="2" s="1"/>
  <c r="I294" i="2" a="1"/>
  <c r="I294" i="2" s="1"/>
  <c r="I293" i="2" a="1"/>
  <c r="I293" i="2" s="1"/>
  <c r="I292" i="2" a="1"/>
  <c r="I292" i="2" s="1"/>
  <c r="I291" i="2" a="1"/>
  <c r="I291" i="2" s="1"/>
  <c r="I290" i="2" a="1"/>
  <c r="I290" i="2" s="1"/>
  <c r="I289" i="2" a="1"/>
  <c r="I289" i="2" s="1"/>
  <c r="I288" i="2" a="1"/>
  <c r="I288" i="2" s="1"/>
  <c r="I287" i="2" a="1"/>
  <c r="I287" i="2" s="1"/>
  <c r="I286" i="2" a="1"/>
  <c r="I286" i="2" s="1"/>
  <c r="I285" i="2" a="1"/>
  <c r="I285" i="2" s="1"/>
  <c r="I284" i="2" a="1"/>
  <c r="I284" i="2" s="1"/>
  <c r="I283" i="2" a="1"/>
  <c r="I283" i="2" s="1"/>
  <c r="I282" i="2" a="1"/>
  <c r="I282" i="2" s="1"/>
  <c r="I281" i="2" a="1"/>
  <c r="I281" i="2" s="1"/>
  <c r="I280" i="2" a="1"/>
  <c r="I280" i="2" s="1"/>
  <c r="I279" i="2" a="1"/>
  <c r="I279" i="2" s="1"/>
  <c r="I278" i="2" a="1"/>
  <c r="I278" i="2" s="1"/>
  <c r="I277" i="2" a="1"/>
  <c r="I277" i="2" s="1"/>
  <c r="I276" i="2" a="1"/>
  <c r="I276" i="2" s="1"/>
  <c r="I275" i="2" a="1"/>
  <c r="I275" i="2" s="1"/>
  <c r="I274" i="2" a="1"/>
  <c r="I274" i="2" s="1"/>
  <c r="I273" i="2" a="1"/>
  <c r="I273" i="2" s="1"/>
  <c r="I272" i="2" a="1"/>
  <c r="I272" i="2" s="1"/>
  <c r="I271" i="2" a="1"/>
  <c r="I271" i="2" s="1"/>
  <c r="I270" i="2" a="1"/>
  <c r="I270" i="2" s="1"/>
  <c r="I269" i="2" a="1"/>
  <c r="I269" i="2" s="1"/>
  <c r="I268" i="2" a="1"/>
  <c r="I268" i="2" s="1"/>
  <c r="I267" i="2" a="1"/>
  <c r="I267" i="2" s="1"/>
  <c r="I266" i="2" a="1"/>
  <c r="I266" i="2" s="1"/>
  <c r="I265" i="2" a="1"/>
  <c r="I265" i="2" s="1"/>
  <c r="I264" i="2" a="1"/>
  <c r="I264" i="2" s="1"/>
  <c r="I263" i="2" a="1"/>
  <c r="I263" i="2" s="1"/>
  <c r="I262" i="2" a="1"/>
  <c r="I262" i="2" s="1"/>
  <c r="I261" i="2" a="1"/>
  <c r="I261" i="2" s="1"/>
  <c r="I260" i="2" a="1"/>
  <c r="I260" i="2" s="1"/>
  <c r="I259" i="2" a="1"/>
  <c r="I259" i="2" s="1"/>
  <c r="I258" i="2" a="1"/>
  <c r="I258" i="2" s="1"/>
  <c r="I257" i="2" a="1"/>
  <c r="I257" i="2" s="1"/>
  <c r="I256" i="2" a="1"/>
  <c r="I256" i="2" s="1"/>
  <c r="I255" i="2" a="1"/>
  <c r="I255" i="2" s="1"/>
  <c r="I254" i="2" a="1"/>
  <c r="I254" i="2" s="1"/>
  <c r="I253" i="2" a="1"/>
  <c r="I253" i="2" s="1"/>
  <c r="I252" i="2" a="1"/>
  <c r="I252" i="2" s="1"/>
  <c r="I251" i="2" a="1"/>
  <c r="I251" i="2" s="1"/>
  <c r="I250" i="2" a="1"/>
  <c r="I250" i="2" s="1"/>
  <c r="I249" i="2" a="1"/>
  <c r="I249" i="2" s="1"/>
  <c r="I248" i="2" a="1"/>
  <c r="I248" i="2" s="1"/>
  <c r="I247" i="2" a="1"/>
  <c r="I247" i="2" s="1"/>
  <c r="I246" i="2" a="1"/>
  <c r="I246" i="2" s="1"/>
  <c r="I245" i="2" a="1"/>
  <c r="I245" i="2" s="1"/>
  <c r="I244" i="2" a="1"/>
  <c r="I244" i="2" s="1"/>
  <c r="I243" i="2" a="1"/>
  <c r="I243" i="2" s="1"/>
  <c r="I242" i="2" a="1"/>
  <c r="I242" i="2" s="1"/>
  <c r="I241" i="2" a="1"/>
  <c r="I241" i="2" s="1"/>
  <c r="I240" i="2" a="1"/>
  <c r="I240" i="2" s="1"/>
  <c r="I239" i="2" a="1"/>
  <c r="I239" i="2" s="1"/>
  <c r="I238" i="2" a="1"/>
  <c r="I238" i="2" s="1"/>
  <c r="I237" i="2" a="1"/>
  <c r="I237" i="2" s="1"/>
  <c r="I236" i="2" a="1"/>
  <c r="I236" i="2" s="1"/>
  <c r="I235" i="2" a="1"/>
  <c r="I235" i="2" s="1"/>
  <c r="I234" i="2" a="1"/>
  <c r="I234" i="2" s="1"/>
  <c r="I233" i="2" a="1"/>
  <c r="I233" i="2" s="1"/>
  <c r="I232" i="2" a="1"/>
  <c r="I232" i="2" s="1"/>
  <c r="I231" i="2" a="1"/>
  <c r="I231" i="2" s="1"/>
  <c r="I230" i="2" a="1"/>
  <c r="I230" i="2" s="1"/>
  <c r="I229" i="2" a="1"/>
  <c r="I229" i="2" s="1"/>
  <c r="I228" i="2" a="1"/>
  <c r="I228" i="2" s="1"/>
  <c r="I227" i="2" a="1"/>
  <c r="I227" i="2" s="1"/>
  <c r="I226" i="2" a="1"/>
  <c r="I226" i="2" s="1"/>
  <c r="I225" i="2" a="1"/>
  <c r="I225" i="2" s="1"/>
  <c r="I224" i="2" a="1"/>
  <c r="I224" i="2" s="1"/>
  <c r="I223" i="2" a="1"/>
  <c r="I223" i="2" s="1"/>
  <c r="I222" i="2" a="1"/>
  <c r="I222" i="2" s="1"/>
  <c r="I221" i="2" a="1"/>
  <c r="I221" i="2" s="1"/>
  <c r="I220" i="2" a="1"/>
  <c r="I220" i="2" s="1"/>
  <c r="I219" i="2" a="1"/>
  <c r="I219" i="2" s="1"/>
  <c r="I218" i="2" a="1"/>
  <c r="I218" i="2" s="1"/>
  <c r="I217" i="2" a="1"/>
  <c r="I217" i="2" s="1"/>
  <c r="I216" i="2" a="1"/>
  <c r="I216" i="2" s="1"/>
  <c r="I215" i="2" a="1"/>
  <c r="I215" i="2" s="1"/>
  <c r="I214" i="2" a="1"/>
  <c r="I214" i="2" s="1"/>
  <c r="I213" i="2" a="1"/>
  <c r="I213" i="2" s="1"/>
  <c r="I212" i="2" a="1"/>
  <c r="I212" i="2" s="1"/>
  <c r="I211" i="2" a="1"/>
  <c r="I211" i="2" s="1"/>
  <c r="I210" i="2" a="1"/>
  <c r="I210" i="2" s="1"/>
  <c r="I209" i="2" a="1"/>
  <c r="I209" i="2" s="1"/>
  <c r="I208" i="2" a="1"/>
  <c r="I208" i="2" s="1"/>
  <c r="I207" i="2" a="1"/>
  <c r="I207" i="2" s="1"/>
  <c r="I206" i="2" a="1"/>
  <c r="I206" i="2" s="1"/>
  <c r="I205" i="2" a="1"/>
  <c r="I205" i="2" s="1"/>
  <c r="I204" i="2" a="1"/>
  <c r="I204" i="2" s="1"/>
  <c r="I203" i="2" a="1"/>
  <c r="I203" i="2" s="1"/>
  <c r="I202" i="2" a="1"/>
  <c r="I202" i="2" s="1"/>
  <c r="I201" i="2" a="1"/>
  <c r="I201" i="2" s="1"/>
  <c r="I200" i="2" a="1"/>
  <c r="I200" i="2" s="1"/>
  <c r="I199" i="2" a="1"/>
  <c r="I199" i="2" s="1"/>
  <c r="I198" i="2" a="1"/>
  <c r="I198" i="2" s="1"/>
  <c r="I197" i="2" a="1"/>
  <c r="I197" i="2" s="1"/>
  <c r="I196" i="2" a="1"/>
  <c r="I196" i="2" s="1"/>
  <c r="I195" i="2" a="1"/>
  <c r="I195" i="2" s="1"/>
  <c r="I194" i="2" a="1"/>
  <c r="I194" i="2" s="1"/>
  <c r="I193" i="2" a="1"/>
  <c r="I193" i="2" s="1"/>
  <c r="I192" i="2" a="1"/>
  <c r="I192" i="2" s="1"/>
  <c r="I191" i="2" a="1"/>
  <c r="I191" i="2" s="1"/>
  <c r="I190" i="2" a="1"/>
  <c r="I190" i="2" s="1"/>
  <c r="I189" i="2" a="1"/>
  <c r="I189" i="2" s="1"/>
  <c r="I188" i="2" a="1"/>
  <c r="I188" i="2" s="1"/>
  <c r="I187" i="2" a="1"/>
  <c r="I187" i="2" s="1"/>
  <c r="I186" i="2" a="1"/>
  <c r="I186" i="2" s="1"/>
  <c r="I185" i="2" a="1"/>
  <c r="I185" i="2" s="1"/>
  <c r="I184" i="2" a="1"/>
  <c r="I184" i="2" s="1"/>
  <c r="I183" i="2" a="1"/>
  <c r="I183" i="2" s="1"/>
  <c r="I182" i="2" a="1"/>
  <c r="I182" i="2" s="1"/>
  <c r="I181" i="2" a="1"/>
  <c r="I181" i="2" s="1"/>
  <c r="I180" i="2" a="1"/>
  <c r="I180" i="2" s="1"/>
  <c r="I179" i="2" a="1"/>
  <c r="I179" i="2" s="1"/>
  <c r="I178" i="2" a="1"/>
  <c r="I178" i="2" s="1"/>
  <c r="I177" i="2" a="1"/>
  <c r="I177" i="2" s="1"/>
  <c r="I176" i="2" a="1"/>
  <c r="I176" i="2" s="1"/>
  <c r="I175" i="2" a="1"/>
  <c r="I175" i="2" s="1"/>
  <c r="I174" i="2" a="1"/>
  <c r="I174" i="2" s="1"/>
  <c r="I173" i="2" a="1"/>
  <c r="I173" i="2" s="1"/>
  <c r="I172" i="2" a="1"/>
  <c r="I172" i="2" s="1"/>
  <c r="I171" i="2" a="1"/>
  <c r="I171" i="2" s="1"/>
  <c r="I170" i="2" a="1"/>
  <c r="I170" i="2" s="1"/>
  <c r="I169" i="2" a="1"/>
  <c r="I169" i="2" s="1"/>
  <c r="I168" i="2" a="1"/>
  <c r="I168" i="2" s="1"/>
  <c r="I167" i="2" a="1"/>
  <c r="I167" i="2" s="1"/>
  <c r="I166" i="2" a="1"/>
  <c r="I166" i="2" s="1"/>
  <c r="I165" i="2" a="1"/>
  <c r="I165" i="2" s="1"/>
  <c r="I164" i="2" a="1"/>
  <c r="I164" i="2" s="1"/>
  <c r="I163" i="2" a="1"/>
  <c r="I163" i="2" s="1"/>
  <c r="I162" i="2" a="1"/>
  <c r="I162" i="2" s="1"/>
  <c r="I161" i="2" a="1"/>
  <c r="I161" i="2" s="1"/>
  <c r="I160" i="2" a="1"/>
  <c r="I160" i="2" s="1"/>
  <c r="I159" i="2" a="1"/>
  <c r="I159" i="2" s="1"/>
  <c r="I158" i="2" a="1"/>
  <c r="I158" i="2" s="1"/>
  <c r="I157" i="2" a="1"/>
  <c r="I157" i="2" s="1"/>
  <c r="I156" i="2" a="1"/>
  <c r="I156" i="2" s="1"/>
  <c r="I155" i="2" a="1"/>
  <c r="I155" i="2" s="1"/>
  <c r="I154" i="2" a="1"/>
  <c r="I154" i="2" s="1"/>
  <c r="I153" i="2" a="1"/>
  <c r="I153" i="2" s="1"/>
  <c r="I152" i="2" a="1"/>
  <c r="I152" i="2" s="1"/>
  <c r="I151" i="2" a="1"/>
  <c r="I151" i="2" s="1"/>
  <c r="I150" i="2" a="1"/>
  <c r="I150" i="2" s="1"/>
  <c r="I149" i="2" a="1"/>
  <c r="I149" i="2" s="1"/>
  <c r="I148" i="2" a="1"/>
  <c r="I148" i="2" s="1"/>
  <c r="I147" i="2" a="1"/>
  <c r="I147" i="2" s="1"/>
  <c r="I146" i="2" a="1"/>
  <c r="I146" i="2" s="1"/>
  <c r="I145" i="2" a="1"/>
  <c r="I145" i="2" s="1"/>
  <c r="I144" i="2" a="1"/>
  <c r="I144" i="2" s="1"/>
  <c r="I143" i="2" a="1"/>
  <c r="I143" i="2" s="1"/>
  <c r="I142" i="2" a="1"/>
  <c r="I142" i="2" s="1"/>
  <c r="I141" i="2" a="1"/>
  <c r="I141" i="2" s="1"/>
  <c r="I140" i="2" a="1"/>
  <c r="I140" i="2" s="1"/>
  <c r="I139" i="2" a="1"/>
  <c r="I139" i="2" s="1"/>
  <c r="I138" i="2" a="1"/>
  <c r="I138" i="2" s="1"/>
  <c r="I137" i="2" a="1"/>
  <c r="I137" i="2" s="1"/>
  <c r="I136" i="2" a="1"/>
  <c r="I136" i="2" s="1"/>
  <c r="I135" i="2" a="1"/>
  <c r="I135" i="2" s="1"/>
  <c r="I134" i="2" a="1"/>
  <c r="I134" i="2" s="1"/>
  <c r="I133" i="2" a="1"/>
  <c r="I133" i="2" s="1"/>
  <c r="I132" i="2" a="1"/>
  <c r="I132" i="2" s="1"/>
  <c r="I131" i="2" a="1"/>
  <c r="I131" i="2" s="1"/>
  <c r="I130" i="2" a="1"/>
  <c r="I130" i="2" s="1"/>
  <c r="I129" i="2" a="1"/>
  <c r="I129" i="2" s="1"/>
  <c r="I128" i="2" a="1"/>
  <c r="I128" i="2" s="1"/>
  <c r="I127" i="2" a="1"/>
  <c r="I127" i="2" s="1"/>
  <c r="I126" i="2" a="1"/>
  <c r="I126" i="2" s="1"/>
  <c r="I125" i="2" a="1"/>
  <c r="I125" i="2" s="1"/>
  <c r="I124" i="2" a="1"/>
  <c r="I124" i="2" s="1"/>
  <c r="I123" i="2" a="1"/>
  <c r="I123" i="2" s="1"/>
  <c r="I122" i="2" a="1"/>
  <c r="I122" i="2" s="1"/>
  <c r="I121" i="2" a="1"/>
  <c r="I121" i="2" s="1"/>
  <c r="I120" i="2" a="1"/>
  <c r="I120" i="2" s="1"/>
  <c r="I119" i="2" a="1"/>
  <c r="I119" i="2" s="1"/>
  <c r="I118" i="2" a="1"/>
  <c r="I118" i="2" s="1"/>
  <c r="I117" i="2" a="1"/>
  <c r="I117" i="2" s="1"/>
  <c r="I116" i="2" a="1"/>
  <c r="I116" i="2" s="1"/>
  <c r="I115" i="2" a="1"/>
  <c r="I115" i="2" s="1"/>
  <c r="I114" i="2" a="1"/>
  <c r="I114" i="2" s="1"/>
  <c r="I113" i="2" a="1"/>
  <c r="I113" i="2" s="1"/>
  <c r="I112" i="2" a="1"/>
  <c r="I112" i="2" s="1"/>
  <c r="I111" i="2" a="1"/>
  <c r="I111" i="2" s="1"/>
  <c r="I110" i="2" a="1"/>
  <c r="I110" i="2" s="1"/>
  <c r="I109" i="2" a="1"/>
  <c r="I109" i="2" s="1"/>
  <c r="I108" i="2" a="1"/>
  <c r="I108" i="2" s="1"/>
  <c r="I107" i="2" a="1"/>
  <c r="I107" i="2" s="1"/>
  <c r="I106" i="2" a="1"/>
  <c r="I106" i="2" s="1"/>
  <c r="I105" i="2" a="1"/>
  <c r="I105" i="2" s="1"/>
  <c r="I104" i="2" a="1"/>
  <c r="I104" i="2" s="1"/>
  <c r="I103" i="2" a="1"/>
  <c r="I103" i="2" s="1"/>
  <c r="I102" i="2" a="1"/>
  <c r="I102" i="2" s="1"/>
  <c r="I101" i="2" a="1"/>
  <c r="I101" i="2" s="1"/>
  <c r="I100" i="2" a="1"/>
  <c r="I100" i="2" s="1"/>
  <c r="I99" i="2" a="1"/>
  <c r="I99" i="2" s="1"/>
  <c r="I98" i="2" a="1"/>
  <c r="I98" i="2" s="1"/>
  <c r="I97" i="2" a="1"/>
  <c r="I97" i="2" s="1"/>
  <c r="I96" i="2" a="1"/>
  <c r="I96" i="2" s="1"/>
  <c r="I95" i="2" a="1"/>
  <c r="I95" i="2" s="1"/>
  <c r="I94" i="2" a="1"/>
  <c r="I94" i="2" s="1"/>
  <c r="I93" i="2" a="1"/>
  <c r="I93" i="2" s="1"/>
  <c r="I92" i="2" a="1"/>
  <c r="I92" i="2" s="1"/>
  <c r="I91" i="2" a="1"/>
  <c r="I91" i="2" s="1"/>
  <c r="I90" i="2" a="1"/>
  <c r="I90" i="2" s="1"/>
  <c r="I89" i="2" a="1"/>
  <c r="I89" i="2" s="1"/>
  <c r="I88" i="2" a="1"/>
  <c r="I88" i="2" s="1"/>
  <c r="I87" i="2" a="1"/>
  <c r="I87" i="2" s="1"/>
  <c r="I86" i="2" a="1"/>
  <c r="I86" i="2" s="1"/>
  <c r="I85" i="2" a="1"/>
  <c r="I85" i="2" s="1"/>
  <c r="I84" i="2" a="1"/>
  <c r="I84" i="2" s="1"/>
  <c r="I83" i="2" a="1"/>
  <c r="I83" i="2" s="1"/>
  <c r="I82" i="2" a="1"/>
  <c r="I82" i="2" s="1"/>
  <c r="I81" i="2" a="1"/>
  <c r="I81" i="2" s="1"/>
  <c r="I80" i="2" a="1"/>
  <c r="I80" i="2" s="1"/>
  <c r="I79" i="2" a="1"/>
  <c r="I79" i="2" s="1"/>
  <c r="I78" i="2" a="1"/>
  <c r="I78" i="2" s="1"/>
  <c r="I77" i="2" a="1"/>
  <c r="I77" i="2" s="1"/>
  <c r="I76" i="2" a="1"/>
  <c r="I76" i="2" s="1"/>
  <c r="I75" i="2" a="1"/>
  <c r="I75" i="2" s="1"/>
  <c r="I74" i="2" a="1"/>
  <c r="I74" i="2" s="1"/>
  <c r="I73" i="2" a="1"/>
  <c r="I73" i="2" s="1"/>
  <c r="I72" i="2" a="1"/>
  <c r="I72" i="2" s="1"/>
  <c r="I71" i="2" a="1"/>
  <c r="I71" i="2" s="1"/>
  <c r="I70" i="2" a="1"/>
  <c r="I70" i="2" s="1"/>
  <c r="I69" i="2" a="1"/>
  <c r="I69" i="2" s="1"/>
  <c r="I68" i="2" a="1"/>
  <c r="I68" i="2" s="1"/>
  <c r="I67" i="2" a="1"/>
  <c r="I67" i="2" s="1"/>
  <c r="I66" i="2" a="1"/>
  <c r="I66" i="2" s="1"/>
  <c r="I65" i="2" a="1"/>
  <c r="I65" i="2" s="1"/>
  <c r="I64" i="2" a="1"/>
  <c r="I64" i="2" s="1"/>
  <c r="I63" i="2" a="1"/>
  <c r="I63" i="2" s="1"/>
  <c r="I62" i="2" a="1"/>
  <c r="I62" i="2" s="1"/>
  <c r="I61" i="2" a="1"/>
  <c r="I61" i="2" s="1"/>
  <c r="I60" i="2" a="1"/>
  <c r="I60" i="2" s="1"/>
  <c r="I59" i="2" a="1"/>
  <c r="I59" i="2" s="1"/>
  <c r="I58" i="2" a="1"/>
  <c r="I58" i="2" s="1"/>
  <c r="I57" i="2" a="1"/>
  <c r="I57" i="2" s="1"/>
  <c r="I56" i="2" a="1"/>
  <c r="I56" i="2" s="1"/>
  <c r="I55" i="2" a="1"/>
  <c r="I55" i="2" s="1"/>
  <c r="I54" i="2" a="1"/>
  <c r="I54" i="2" s="1"/>
  <c r="I53" i="2" a="1"/>
  <c r="I53" i="2" s="1"/>
  <c r="I52" i="2" a="1"/>
  <c r="I52" i="2" s="1"/>
  <c r="I51" i="2" a="1"/>
  <c r="I51" i="2" s="1"/>
  <c r="I50" i="2" a="1"/>
  <c r="I50" i="2" s="1"/>
  <c r="I49" i="2" a="1"/>
  <c r="I49" i="2" s="1"/>
  <c r="I48" i="2" a="1"/>
  <c r="I48" i="2" s="1"/>
  <c r="I47" i="2" a="1"/>
  <c r="I47" i="2" s="1"/>
  <c r="I46" i="2" a="1"/>
  <c r="I46" i="2" s="1"/>
  <c r="I45" i="2" a="1"/>
  <c r="I45" i="2" s="1"/>
  <c r="I44" i="2" a="1"/>
  <c r="I44" i="2" s="1"/>
  <c r="I43" i="2" a="1"/>
  <c r="I43" i="2" s="1"/>
  <c r="I42" i="2" a="1"/>
  <c r="I42" i="2" s="1"/>
  <c r="I41" i="2" a="1"/>
  <c r="I41" i="2" s="1"/>
  <c r="I40" i="2" a="1"/>
  <c r="I40" i="2" s="1"/>
  <c r="I39" i="2" a="1"/>
  <c r="I39" i="2" s="1"/>
  <c r="I38" i="2" a="1"/>
  <c r="I38" i="2" s="1"/>
  <c r="I37" i="2" a="1"/>
  <c r="I37" i="2" s="1"/>
  <c r="I36" i="2" a="1"/>
  <c r="I36" i="2" s="1"/>
  <c r="I35" i="2" a="1"/>
  <c r="I35" i="2" s="1"/>
  <c r="I34" i="2" a="1"/>
  <c r="I34" i="2" s="1"/>
  <c r="I33" i="2" a="1"/>
  <c r="I33" i="2" s="1"/>
  <c r="I32" i="2" a="1"/>
  <c r="I32" i="2" s="1"/>
  <c r="I31" i="2" a="1"/>
  <c r="I31" i="2" s="1"/>
  <c r="I30" i="2" a="1"/>
  <c r="I30" i="2" s="1"/>
  <c r="I29" i="2" a="1"/>
  <c r="I29" i="2" s="1"/>
  <c r="I28" i="2" a="1"/>
  <c r="I28" i="2" s="1"/>
  <c r="I27" i="2" a="1"/>
  <c r="I27" i="2" s="1"/>
  <c r="I26" i="2" a="1"/>
  <c r="I26" i="2" s="1"/>
  <c r="I25" i="2" a="1"/>
  <c r="I25" i="2" s="1"/>
  <c r="I24" i="2" a="1"/>
  <c r="I24" i="2" s="1"/>
  <c r="I23" i="2" a="1"/>
  <c r="I23" i="2" s="1"/>
  <c r="I22" i="2" a="1"/>
  <c r="I22" i="2" s="1"/>
  <c r="I21" i="2" a="1"/>
  <c r="I21" i="2" s="1"/>
  <c r="I20" i="2" a="1"/>
  <c r="I20" i="2" s="1"/>
  <c r="I19" i="2" a="1"/>
  <c r="I19" i="2" s="1"/>
  <c r="I18" i="2" a="1"/>
  <c r="I18" i="2" s="1"/>
  <c r="I17" i="2" a="1"/>
  <c r="I17" i="2" s="1"/>
  <c r="I16" i="2" a="1"/>
  <c r="I16" i="2" s="1"/>
  <c r="I15" i="2" a="1"/>
  <c r="I15" i="2" s="1"/>
  <c r="I14" i="2" a="1"/>
  <c r="I14" i="2" s="1"/>
  <c r="I13" i="2" a="1"/>
  <c r="I13" i="2" s="1"/>
  <c r="I12" i="2" a="1"/>
  <c r="I12" i="2" s="1"/>
  <c r="I11" i="2" a="1"/>
  <c r="I11" i="2" s="1"/>
  <c r="I10" i="2" a="1"/>
  <c r="I10" i="2" s="1"/>
  <c r="I9" i="2" a="1"/>
  <c r="I9" i="2" s="1"/>
  <c r="I8" i="2" a="1"/>
  <c r="I8" i="2" s="1"/>
  <c r="I7" i="2" a="1"/>
  <c r="I7" i="2" s="1"/>
  <c r="I6" i="2" a="1"/>
  <c r="I6" i="2" s="1"/>
  <c r="H582" i="2" a="1"/>
  <c r="H582" i="2" s="1"/>
  <c r="H581" i="2" a="1"/>
  <c r="H581" i="2" s="1"/>
  <c r="H580" i="2" a="1"/>
  <c r="H580" i="2" s="1"/>
  <c r="H579" i="2" a="1"/>
  <c r="H579" i="2" s="1"/>
  <c r="H578" i="2" a="1"/>
  <c r="H578" i="2" s="1"/>
  <c r="H577" i="2" a="1"/>
  <c r="H577" i="2" s="1"/>
  <c r="H576" i="2" a="1"/>
  <c r="H576" i="2" s="1"/>
  <c r="H575" i="2" a="1"/>
  <c r="H575" i="2" s="1"/>
  <c r="H574" i="2" a="1"/>
  <c r="H574" i="2" s="1"/>
  <c r="H573" i="2" a="1"/>
  <c r="H573" i="2" s="1"/>
  <c r="H572" i="2" a="1"/>
  <c r="H572" i="2" s="1"/>
  <c r="H571" i="2" a="1"/>
  <c r="H571" i="2" s="1"/>
  <c r="H570" i="2" a="1"/>
  <c r="H570" i="2" s="1"/>
  <c r="H569" i="2" a="1"/>
  <c r="H569" i="2" s="1"/>
  <c r="H568" i="2" a="1"/>
  <c r="H568" i="2" s="1"/>
  <c r="H567" i="2" a="1"/>
  <c r="H567" i="2" s="1"/>
  <c r="H566" i="2" a="1"/>
  <c r="H566" i="2" s="1"/>
  <c r="H565" i="2" a="1"/>
  <c r="H565" i="2" s="1"/>
  <c r="H564" i="2" a="1"/>
  <c r="H564" i="2" s="1"/>
  <c r="H563" i="2" a="1"/>
  <c r="H563" i="2" s="1"/>
  <c r="H562" i="2" a="1"/>
  <c r="H562" i="2" s="1"/>
  <c r="H561" i="2" a="1"/>
  <c r="H561" i="2" s="1"/>
  <c r="H560" i="2" a="1"/>
  <c r="H560" i="2" s="1"/>
  <c r="H559" i="2" a="1"/>
  <c r="H559" i="2" s="1"/>
  <c r="H558" i="2" a="1"/>
  <c r="H558" i="2" s="1"/>
  <c r="H557" i="2" a="1"/>
  <c r="H557" i="2" s="1"/>
  <c r="H556" i="2" a="1"/>
  <c r="H556" i="2" s="1"/>
  <c r="H555" i="2" a="1"/>
  <c r="H555" i="2" s="1"/>
  <c r="H554" i="2" a="1"/>
  <c r="H554" i="2" s="1"/>
  <c r="H553" i="2" a="1"/>
  <c r="H553" i="2" s="1"/>
  <c r="H552" i="2" a="1"/>
  <c r="H552" i="2" s="1"/>
  <c r="H551" i="2" a="1"/>
  <c r="H551" i="2" s="1"/>
  <c r="H550" i="2" a="1"/>
  <c r="H550" i="2" s="1"/>
  <c r="H549" i="2" a="1"/>
  <c r="H549" i="2" s="1"/>
  <c r="H548" i="2" a="1"/>
  <c r="H548" i="2" s="1"/>
  <c r="H547" i="2" a="1"/>
  <c r="H547" i="2" s="1"/>
  <c r="H546" i="2" a="1"/>
  <c r="H546" i="2" s="1"/>
  <c r="H545" i="2" a="1"/>
  <c r="H545" i="2" s="1"/>
  <c r="H544" i="2" a="1"/>
  <c r="H544" i="2" s="1"/>
  <c r="H543" i="2" a="1"/>
  <c r="H543" i="2" s="1"/>
  <c r="H542" i="2" a="1"/>
  <c r="H542" i="2" s="1"/>
  <c r="H541" i="2" a="1"/>
  <c r="H541" i="2" s="1"/>
  <c r="H540" i="2" a="1"/>
  <c r="H540" i="2" s="1"/>
  <c r="H539" i="2" a="1"/>
  <c r="H539" i="2" s="1"/>
  <c r="H538" i="2" a="1"/>
  <c r="H538" i="2" s="1"/>
  <c r="H537" i="2" a="1"/>
  <c r="H537" i="2" s="1"/>
  <c r="H536" i="2" a="1"/>
  <c r="H536" i="2" s="1"/>
  <c r="H535" i="2" a="1"/>
  <c r="H535" i="2" s="1"/>
  <c r="H534" i="2" a="1"/>
  <c r="H534" i="2" s="1"/>
  <c r="H533" i="2" a="1"/>
  <c r="H533" i="2" s="1"/>
  <c r="H532" i="2" a="1"/>
  <c r="H532" i="2" s="1"/>
  <c r="H531" i="2" a="1"/>
  <c r="H531" i="2" s="1"/>
  <c r="H530" i="2" a="1"/>
  <c r="H530" i="2" s="1"/>
  <c r="H529" i="2" a="1"/>
  <c r="H529" i="2" s="1"/>
  <c r="H528" i="2" a="1"/>
  <c r="H528" i="2" s="1"/>
  <c r="H527" i="2" a="1"/>
  <c r="H527" i="2" s="1"/>
  <c r="H526" i="2" a="1"/>
  <c r="H526" i="2" s="1"/>
  <c r="H525" i="2" a="1"/>
  <c r="H525" i="2" s="1"/>
  <c r="H524" i="2" a="1"/>
  <c r="H524" i="2" s="1"/>
  <c r="H523" i="2" a="1"/>
  <c r="H523" i="2" s="1"/>
  <c r="H516" i="2" a="1"/>
  <c r="H516" i="2" s="1"/>
  <c r="H515" i="2" a="1"/>
  <c r="H515" i="2" s="1"/>
  <c r="H514" i="2" a="1"/>
  <c r="H514" i="2" s="1"/>
  <c r="H513" i="2" a="1"/>
  <c r="H513" i="2" s="1"/>
  <c r="H512" i="2" a="1"/>
  <c r="H512" i="2" s="1"/>
  <c r="H511" i="2" a="1"/>
  <c r="H511" i="2" s="1"/>
  <c r="H510" i="2" a="1"/>
  <c r="H510" i="2" s="1"/>
  <c r="H509" i="2" a="1"/>
  <c r="H509" i="2" s="1"/>
  <c r="H508" i="2" a="1"/>
  <c r="H508" i="2" s="1"/>
  <c r="H507" i="2" a="1"/>
  <c r="H507" i="2" s="1"/>
  <c r="H506" i="2" a="1"/>
  <c r="H506" i="2" s="1"/>
  <c r="H505" i="2" a="1"/>
  <c r="H505" i="2" s="1"/>
  <c r="H504" i="2" a="1"/>
  <c r="H504" i="2" s="1"/>
  <c r="H503" i="2" a="1"/>
  <c r="H503" i="2" s="1"/>
  <c r="H502" i="2" a="1"/>
  <c r="H502" i="2" s="1"/>
  <c r="H501" i="2" a="1"/>
  <c r="H501" i="2" s="1"/>
  <c r="H500" i="2" a="1"/>
  <c r="H500" i="2" s="1"/>
  <c r="H499" i="2" a="1"/>
  <c r="H499" i="2" s="1"/>
  <c r="H498" i="2" a="1"/>
  <c r="H498" i="2" s="1"/>
  <c r="H497" i="2" a="1"/>
  <c r="H497" i="2" s="1"/>
  <c r="H496" i="2" a="1"/>
  <c r="H496" i="2" s="1"/>
  <c r="H495" i="2" a="1"/>
  <c r="H495" i="2" s="1"/>
  <c r="H494" i="2" a="1"/>
  <c r="H494" i="2" s="1"/>
  <c r="H493" i="2" a="1"/>
  <c r="H493" i="2" s="1"/>
  <c r="H492" i="2" a="1"/>
  <c r="H492" i="2" s="1"/>
  <c r="H491" i="2" a="1"/>
  <c r="H491" i="2" s="1"/>
  <c r="H490" i="2" a="1"/>
  <c r="H490" i="2" s="1"/>
  <c r="H489" i="2" a="1"/>
  <c r="H489" i="2" s="1"/>
  <c r="H488" i="2" a="1"/>
  <c r="H488" i="2" s="1"/>
  <c r="H487" i="2" a="1"/>
  <c r="H487" i="2" s="1"/>
  <c r="H486" i="2" a="1"/>
  <c r="H486" i="2" s="1"/>
  <c r="H485" i="2" a="1"/>
  <c r="H485" i="2" s="1"/>
  <c r="H484" i="2" a="1"/>
  <c r="H484" i="2" s="1"/>
  <c r="H483" i="2" a="1"/>
  <c r="H483" i="2" s="1"/>
  <c r="H482" i="2" a="1"/>
  <c r="H482" i="2" s="1"/>
  <c r="H481" i="2" a="1"/>
  <c r="H481" i="2" s="1"/>
  <c r="H480" i="2" a="1"/>
  <c r="H480" i="2" s="1"/>
  <c r="H479" i="2" a="1"/>
  <c r="H479" i="2" s="1"/>
  <c r="H478" i="2" a="1"/>
  <c r="H478" i="2" s="1"/>
  <c r="H477" i="2" a="1"/>
  <c r="H477" i="2" s="1"/>
  <c r="H476" i="2" a="1"/>
  <c r="H476" i="2" s="1"/>
  <c r="H475" i="2" a="1"/>
  <c r="H475" i="2" s="1"/>
  <c r="H474" i="2" a="1"/>
  <c r="H474" i="2" s="1"/>
  <c r="H473" i="2" a="1"/>
  <c r="H473" i="2" s="1"/>
  <c r="H472" i="2" a="1"/>
  <c r="H472" i="2" s="1"/>
  <c r="H471" i="2" a="1"/>
  <c r="H471" i="2" s="1"/>
  <c r="H470" i="2" a="1"/>
  <c r="H470" i="2" s="1"/>
  <c r="H469" i="2" a="1"/>
  <c r="H469" i="2" s="1"/>
  <c r="H468" i="2" a="1"/>
  <c r="H468" i="2" s="1"/>
  <c r="H467" i="2" a="1"/>
  <c r="H467" i="2" s="1"/>
  <c r="H466" i="2" a="1"/>
  <c r="H466" i="2" s="1"/>
  <c r="H465" i="2" a="1"/>
  <c r="H465" i="2" s="1"/>
  <c r="H464" i="2" a="1"/>
  <c r="H464" i="2" s="1"/>
  <c r="H463" i="2" a="1"/>
  <c r="H463" i="2" s="1"/>
  <c r="H462" i="2" a="1"/>
  <c r="H462" i="2" s="1"/>
  <c r="H461" i="2" a="1"/>
  <c r="H461" i="2" s="1"/>
  <c r="H460" i="2" a="1"/>
  <c r="H460" i="2" s="1"/>
  <c r="H459" i="2" a="1"/>
  <c r="H459" i="2" s="1"/>
  <c r="H458" i="2" a="1"/>
  <c r="H458" i="2" s="1"/>
  <c r="H457" i="2" a="1"/>
  <c r="H457" i="2" s="1"/>
  <c r="H456" i="2" a="1"/>
  <c r="H456" i="2" s="1"/>
  <c r="H455" i="2" a="1"/>
  <c r="H455" i="2" s="1"/>
  <c r="H454" i="2" a="1"/>
  <c r="H454" i="2" s="1"/>
  <c r="H453" i="2" a="1"/>
  <c r="H453" i="2" s="1"/>
  <c r="H452" i="2" a="1"/>
  <c r="H452" i="2" s="1"/>
  <c r="H451" i="2" a="1"/>
  <c r="H451" i="2" s="1"/>
  <c r="H450" i="2" a="1"/>
  <c r="H450" i="2" s="1"/>
  <c r="H449" i="2" a="1"/>
  <c r="H449" i="2" s="1"/>
  <c r="H448" i="2" a="1"/>
  <c r="H448" i="2" s="1"/>
  <c r="H447" i="2" a="1"/>
  <c r="H447" i="2" s="1"/>
  <c r="H446" i="2" a="1"/>
  <c r="H446" i="2" s="1"/>
  <c r="H445" i="2" a="1"/>
  <c r="H445" i="2" s="1"/>
  <c r="H444" i="2" a="1"/>
  <c r="H444" i="2" s="1"/>
  <c r="H443" i="2" a="1"/>
  <c r="H443" i="2" s="1"/>
  <c r="H442" i="2" a="1"/>
  <c r="H442" i="2" s="1"/>
  <c r="H441" i="2" a="1"/>
  <c r="H441" i="2" s="1"/>
  <c r="H440" i="2" a="1"/>
  <c r="H440" i="2" s="1"/>
  <c r="H439" i="2" a="1"/>
  <c r="H439" i="2" s="1"/>
  <c r="H438" i="2" a="1"/>
  <c r="H438" i="2" s="1"/>
  <c r="H437" i="2" a="1"/>
  <c r="H437" i="2" s="1"/>
  <c r="H436" i="2" a="1"/>
  <c r="H436" i="2" s="1"/>
  <c r="H435" i="2" a="1"/>
  <c r="H435" i="2" s="1"/>
  <c r="H434" i="2" a="1"/>
  <c r="H434" i="2" s="1"/>
  <c r="H433" i="2" a="1"/>
  <c r="H433" i="2" s="1"/>
  <c r="H432" i="2" a="1"/>
  <c r="H432" i="2" s="1"/>
  <c r="H431" i="2" a="1"/>
  <c r="H431" i="2" s="1"/>
  <c r="H430" i="2" a="1"/>
  <c r="H430" i="2" s="1"/>
  <c r="H429" i="2" a="1"/>
  <c r="H429" i="2" s="1"/>
  <c r="H428" i="2" a="1"/>
  <c r="H428" i="2" s="1"/>
  <c r="H427" i="2" a="1"/>
  <c r="H427" i="2" s="1"/>
  <c r="H426" i="2" a="1"/>
  <c r="H426" i="2" s="1"/>
  <c r="H425" i="2" a="1"/>
  <c r="H425" i="2" s="1"/>
  <c r="H424" i="2" a="1"/>
  <c r="H424" i="2" s="1"/>
  <c r="H423" i="2" a="1"/>
  <c r="H423" i="2" s="1"/>
  <c r="H422" i="2" a="1"/>
  <c r="H422" i="2" s="1"/>
  <c r="H421" i="2" a="1"/>
  <c r="H421" i="2" s="1"/>
  <c r="H420" i="2" a="1"/>
  <c r="H420" i="2" s="1"/>
  <c r="H419" i="2" a="1"/>
  <c r="H419" i="2" s="1"/>
  <c r="H418" i="2" a="1"/>
  <c r="H418" i="2" s="1"/>
  <c r="H417" i="2" a="1"/>
  <c r="H417" i="2" s="1"/>
  <c r="H416" i="2" a="1"/>
  <c r="H416" i="2" s="1"/>
  <c r="H415" i="2" a="1"/>
  <c r="H415" i="2" s="1"/>
  <c r="H414" i="2" a="1"/>
  <c r="H414" i="2" s="1"/>
  <c r="H413" i="2" a="1"/>
  <c r="H413" i="2" s="1"/>
  <c r="H412" i="2" a="1"/>
  <c r="H412" i="2" s="1"/>
  <c r="H411" i="2" a="1"/>
  <c r="H411" i="2" s="1"/>
  <c r="H410" i="2" a="1"/>
  <c r="H410" i="2" s="1"/>
  <c r="H409" i="2" a="1"/>
  <c r="H409" i="2" s="1"/>
  <c r="H408" i="2" a="1"/>
  <c r="H408" i="2" s="1"/>
  <c r="H407" i="2" a="1"/>
  <c r="H407" i="2" s="1"/>
  <c r="H406" i="2" a="1"/>
  <c r="H406" i="2" s="1"/>
  <c r="H405" i="2" a="1"/>
  <c r="H405" i="2" s="1"/>
  <c r="H404" i="2" a="1"/>
  <c r="H404" i="2" s="1"/>
  <c r="H403" i="2" a="1"/>
  <c r="H403" i="2" s="1"/>
  <c r="H402" i="2" a="1"/>
  <c r="H402" i="2" s="1"/>
  <c r="H401" i="2" a="1"/>
  <c r="H401" i="2" s="1"/>
  <c r="H400" i="2" a="1"/>
  <c r="H400" i="2" s="1"/>
  <c r="H399" i="2" a="1"/>
  <c r="H399" i="2" s="1"/>
  <c r="H398" i="2" a="1"/>
  <c r="H398" i="2" s="1"/>
  <c r="H397" i="2" a="1"/>
  <c r="H397" i="2" s="1"/>
  <c r="H396" i="2" a="1"/>
  <c r="H396" i="2" s="1"/>
  <c r="H395" i="2" a="1"/>
  <c r="H395" i="2" s="1"/>
  <c r="H394" i="2" a="1"/>
  <c r="H394" i="2" s="1"/>
  <c r="H393" i="2" a="1"/>
  <c r="H393" i="2" s="1"/>
  <c r="H392" i="2" a="1"/>
  <c r="H392" i="2" s="1"/>
  <c r="H391" i="2" a="1"/>
  <c r="H391" i="2" s="1"/>
  <c r="H390" i="2" a="1"/>
  <c r="H390" i="2" s="1"/>
  <c r="H389" i="2" a="1"/>
  <c r="H389" i="2" s="1"/>
  <c r="H388" i="2" a="1"/>
  <c r="H388" i="2" s="1"/>
  <c r="H387" i="2" a="1"/>
  <c r="H387" i="2" s="1"/>
  <c r="H386" i="2" a="1"/>
  <c r="H386" i="2" s="1"/>
  <c r="H385" i="2" a="1"/>
  <c r="H385" i="2" s="1"/>
  <c r="H384" i="2" a="1"/>
  <c r="H384" i="2" s="1"/>
  <c r="H383" i="2" a="1"/>
  <c r="H383" i="2" s="1"/>
  <c r="H382" i="2" a="1"/>
  <c r="H382" i="2" s="1"/>
  <c r="H381" i="2" a="1"/>
  <c r="H381" i="2" s="1"/>
  <c r="H380" i="2" a="1"/>
  <c r="H380" i="2" s="1"/>
  <c r="H379" i="2" a="1"/>
  <c r="H379" i="2" s="1"/>
  <c r="H378" i="2" a="1"/>
  <c r="H378" i="2" s="1"/>
  <c r="H377" i="2" a="1"/>
  <c r="H377" i="2" s="1"/>
  <c r="H376" i="2" a="1"/>
  <c r="H376" i="2" s="1"/>
  <c r="H375" i="2" a="1"/>
  <c r="H375" i="2" s="1"/>
  <c r="H374" i="2" a="1"/>
  <c r="H374" i="2" s="1"/>
  <c r="H373" i="2" a="1"/>
  <c r="H373" i="2" s="1"/>
  <c r="H372" i="2" a="1"/>
  <c r="H372" i="2" s="1"/>
  <c r="H371" i="2" a="1"/>
  <c r="H371" i="2" s="1"/>
  <c r="H370" i="2" a="1"/>
  <c r="H370" i="2" s="1"/>
  <c r="H369" i="2" a="1"/>
  <c r="H369" i="2" s="1"/>
  <c r="H368" i="2" a="1"/>
  <c r="H368" i="2" s="1"/>
  <c r="H367" i="2" a="1"/>
  <c r="H367" i="2" s="1"/>
  <c r="H366" i="2" a="1"/>
  <c r="H366" i="2" s="1"/>
  <c r="H365" i="2" a="1"/>
  <c r="H365" i="2" s="1"/>
  <c r="H364" i="2" a="1"/>
  <c r="H364" i="2" s="1"/>
  <c r="H363" i="2" a="1"/>
  <c r="H363" i="2" s="1"/>
  <c r="H362" i="2" a="1"/>
  <c r="H362" i="2" s="1"/>
  <c r="H361" i="2" a="1"/>
  <c r="H361" i="2" s="1"/>
  <c r="H360" i="2" a="1"/>
  <c r="H360" i="2" s="1"/>
  <c r="H359" i="2" a="1"/>
  <c r="H359" i="2" s="1"/>
  <c r="H358" i="2" a="1"/>
  <c r="H358" i="2" s="1"/>
  <c r="H357" i="2" a="1"/>
  <c r="H357" i="2" s="1"/>
  <c r="H356" i="2" a="1"/>
  <c r="H356" i="2" s="1"/>
  <c r="H355" i="2" a="1"/>
  <c r="H355" i="2" s="1"/>
  <c r="H354" i="2" a="1"/>
  <c r="H354" i="2" s="1"/>
  <c r="H353" i="2" a="1"/>
  <c r="H353" i="2" s="1"/>
  <c r="H352" i="2" a="1"/>
  <c r="H352" i="2" s="1"/>
  <c r="H351" i="2" a="1"/>
  <c r="H351" i="2" s="1"/>
  <c r="H350" i="2" a="1"/>
  <c r="H350" i="2" s="1"/>
  <c r="H349" i="2" a="1"/>
  <c r="H349" i="2" s="1"/>
  <c r="H348" i="2" a="1"/>
  <c r="H348" i="2" s="1"/>
  <c r="H347" i="2" a="1"/>
  <c r="H347" i="2" s="1"/>
  <c r="H346" i="2" a="1"/>
  <c r="H346" i="2" s="1"/>
  <c r="H345" i="2" a="1"/>
  <c r="H345" i="2" s="1"/>
  <c r="H344" i="2" a="1"/>
  <c r="H344" i="2" s="1"/>
  <c r="H343" i="2" a="1"/>
  <c r="H343" i="2" s="1"/>
  <c r="H342" i="2" a="1"/>
  <c r="H342" i="2" s="1"/>
  <c r="H341" i="2" a="1"/>
  <c r="H341" i="2" s="1"/>
  <c r="H340" i="2" a="1"/>
  <c r="H340" i="2" s="1"/>
  <c r="H339" i="2" a="1"/>
  <c r="H339" i="2" s="1"/>
  <c r="H338" i="2" a="1"/>
  <c r="H338" i="2" s="1"/>
  <c r="H337" i="2" a="1"/>
  <c r="H337" i="2" s="1"/>
  <c r="H336" i="2" a="1"/>
  <c r="H336" i="2" s="1"/>
  <c r="H335" i="2" a="1"/>
  <c r="H335" i="2" s="1"/>
  <c r="H334" i="2" a="1"/>
  <c r="H334" i="2" s="1"/>
  <c r="H333" i="2" a="1"/>
  <c r="H333" i="2" s="1"/>
  <c r="H332" i="2" a="1"/>
  <c r="H332" i="2" s="1"/>
  <c r="H331" i="2" a="1"/>
  <c r="H331" i="2" s="1"/>
  <c r="H330" i="2" a="1"/>
  <c r="H330" i="2" s="1"/>
  <c r="H329" i="2" a="1"/>
  <c r="H329" i="2" s="1"/>
  <c r="H328" i="2" a="1"/>
  <c r="H328" i="2" s="1"/>
  <c r="H327" i="2" a="1"/>
  <c r="H327" i="2" s="1"/>
  <c r="H326" i="2" a="1"/>
  <c r="H326" i="2" s="1"/>
  <c r="H325" i="2" a="1"/>
  <c r="H325" i="2" s="1"/>
  <c r="H324" i="2" a="1"/>
  <c r="H324" i="2" s="1"/>
  <c r="H323" i="2" a="1"/>
  <c r="H323" i="2" s="1"/>
  <c r="H322" i="2" a="1"/>
  <c r="H322" i="2" s="1"/>
  <c r="H321" i="2" a="1"/>
  <c r="H321" i="2" s="1"/>
  <c r="H320" i="2" a="1"/>
  <c r="H320" i="2" s="1"/>
  <c r="H319" i="2" a="1"/>
  <c r="H319" i="2" s="1"/>
  <c r="H318" i="2" a="1"/>
  <c r="H318" i="2" s="1"/>
  <c r="H317" i="2" a="1"/>
  <c r="H317" i="2" s="1"/>
  <c r="H316" i="2" a="1"/>
  <c r="H316" i="2" s="1"/>
  <c r="H315" i="2" a="1"/>
  <c r="H315" i="2" s="1"/>
  <c r="H314" i="2" a="1"/>
  <c r="H314" i="2" s="1"/>
  <c r="H313" i="2" a="1"/>
  <c r="H313" i="2" s="1"/>
  <c r="H312" i="2" a="1"/>
  <c r="H312" i="2" s="1"/>
  <c r="H311" i="2" a="1"/>
  <c r="H311" i="2" s="1"/>
  <c r="H310" i="2" a="1"/>
  <c r="H310" i="2" s="1"/>
  <c r="H309" i="2" a="1"/>
  <c r="H309" i="2" s="1"/>
  <c r="H308" i="2" a="1"/>
  <c r="H308" i="2" s="1"/>
  <c r="H307" i="2" a="1"/>
  <c r="H307" i="2" s="1"/>
  <c r="H306" i="2" a="1"/>
  <c r="H306" i="2" s="1"/>
  <c r="H305" i="2" a="1"/>
  <c r="H305" i="2" s="1"/>
  <c r="H304" i="2" a="1"/>
  <c r="H304" i="2" s="1"/>
  <c r="H303" i="2" a="1"/>
  <c r="H303" i="2" s="1"/>
  <c r="H302" i="2" a="1"/>
  <c r="H302" i="2" s="1"/>
  <c r="H301" i="2" a="1"/>
  <c r="H301" i="2" s="1"/>
  <c r="H300" i="2" a="1"/>
  <c r="H300" i="2" s="1"/>
  <c r="H299" i="2" a="1"/>
  <c r="H299" i="2" s="1"/>
  <c r="H298" i="2" a="1"/>
  <c r="H298" i="2" s="1"/>
  <c r="H297" i="2" a="1"/>
  <c r="H297" i="2" s="1"/>
  <c r="H296" i="2" a="1"/>
  <c r="H296" i="2" s="1"/>
  <c r="H295" i="2" a="1"/>
  <c r="H295" i="2" s="1"/>
  <c r="H294" i="2" a="1"/>
  <c r="H294" i="2" s="1"/>
  <c r="H293" i="2" a="1"/>
  <c r="H293" i="2" s="1"/>
  <c r="H292" i="2" a="1"/>
  <c r="H292" i="2" s="1"/>
  <c r="H291" i="2" a="1"/>
  <c r="H291" i="2" s="1"/>
  <c r="H290" i="2" a="1"/>
  <c r="H290" i="2" s="1"/>
  <c r="H289" i="2" a="1"/>
  <c r="H289" i="2" s="1"/>
  <c r="H288" i="2" a="1"/>
  <c r="H288" i="2" s="1"/>
  <c r="H287" i="2" a="1"/>
  <c r="H287" i="2" s="1"/>
  <c r="H286" i="2" a="1"/>
  <c r="H286" i="2" s="1"/>
  <c r="H285" i="2" a="1"/>
  <c r="H285" i="2" s="1"/>
  <c r="H284" i="2" a="1"/>
  <c r="H284" i="2" s="1"/>
  <c r="H283" i="2" a="1"/>
  <c r="H283" i="2" s="1"/>
  <c r="H282" i="2" a="1"/>
  <c r="H282" i="2" s="1"/>
  <c r="H281" i="2" a="1"/>
  <c r="H281" i="2" s="1"/>
  <c r="H280" i="2" a="1"/>
  <c r="H280" i="2" s="1"/>
  <c r="H279" i="2" a="1"/>
  <c r="H279" i="2" s="1"/>
  <c r="H278" i="2" a="1"/>
  <c r="H278" i="2" s="1"/>
  <c r="H277" i="2" a="1"/>
  <c r="H277" i="2" s="1"/>
  <c r="H276" i="2" a="1"/>
  <c r="H276" i="2" s="1"/>
  <c r="H275" i="2" a="1"/>
  <c r="H275" i="2" s="1"/>
  <c r="H274" i="2" a="1"/>
  <c r="H274" i="2" s="1"/>
  <c r="H273" i="2" a="1"/>
  <c r="H273" i="2" s="1"/>
  <c r="H272" i="2" a="1"/>
  <c r="H272" i="2" s="1"/>
  <c r="H271" i="2" a="1"/>
  <c r="H271" i="2" s="1"/>
  <c r="H270" i="2" a="1"/>
  <c r="H270" i="2" s="1"/>
  <c r="H269" i="2" a="1"/>
  <c r="H269" i="2" s="1"/>
  <c r="H268" i="2" a="1"/>
  <c r="H268" i="2" s="1"/>
  <c r="H267" i="2" a="1"/>
  <c r="H267" i="2" s="1"/>
  <c r="H266" i="2" a="1"/>
  <c r="H266" i="2" s="1"/>
  <c r="H265" i="2" a="1"/>
  <c r="H265" i="2" s="1"/>
  <c r="H264" i="2" a="1"/>
  <c r="H264" i="2" s="1"/>
  <c r="H263" i="2" a="1"/>
  <c r="H263" i="2" s="1"/>
  <c r="H262" i="2" a="1"/>
  <c r="H262" i="2" s="1"/>
  <c r="H261" i="2" a="1"/>
  <c r="H261" i="2" s="1"/>
  <c r="H260" i="2" a="1"/>
  <c r="H260" i="2" s="1"/>
  <c r="H259" i="2" a="1"/>
  <c r="H259" i="2" s="1"/>
  <c r="H258" i="2" a="1"/>
  <c r="H258" i="2" s="1"/>
  <c r="H257" i="2" a="1"/>
  <c r="H257" i="2" s="1"/>
  <c r="H256" i="2" a="1"/>
  <c r="H256" i="2" s="1"/>
  <c r="H255" i="2" a="1"/>
  <c r="H255" i="2" s="1"/>
  <c r="H254" i="2" a="1"/>
  <c r="H254" i="2" s="1"/>
  <c r="H253" i="2" a="1"/>
  <c r="H253" i="2" s="1"/>
  <c r="H252" i="2" a="1"/>
  <c r="H252" i="2" s="1"/>
  <c r="H251" i="2" a="1"/>
  <c r="H251" i="2" s="1"/>
  <c r="H250" i="2" a="1"/>
  <c r="H250" i="2" s="1"/>
  <c r="H249" i="2" a="1"/>
  <c r="H249" i="2" s="1"/>
  <c r="H248" i="2" a="1"/>
  <c r="H248" i="2" s="1"/>
  <c r="H247" i="2" a="1"/>
  <c r="H247" i="2" s="1"/>
  <c r="H246" i="2" a="1"/>
  <c r="H246" i="2" s="1"/>
  <c r="H245" i="2" a="1"/>
  <c r="H245" i="2" s="1"/>
  <c r="H244" i="2" a="1"/>
  <c r="H244" i="2" s="1"/>
  <c r="H243" i="2" a="1"/>
  <c r="H243" i="2" s="1"/>
  <c r="H242" i="2" a="1"/>
  <c r="H242" i="2" s="1"/>
  <c r="H241" i="2" a="1"/>
  <c r="H241" i="2" s="1"/>
  <c r="H240" i="2" a="1"/>
  <c r="H240" i="2" s="1"/>
  <c r="H239" i="2" a="1"/>
  <c r="H239" i="2" s="1"/>
  <c r="H238" i="2" a="1"/>
  <c r="H238" i="2" s="1"/>
  <c r="H237" i="2" a="1"/>
  <c r="H237" i="2" s="1"/>
  <c r="H236" i="2" a="1"/>
  <c r="H236" i="2" s="1"/>
  <c r="H235" i="2" a="1"/>
  <c r="H235" i="2" s="1"/>
  <c r="H234" i="2" a="1"/>
  <c r="H234" i="2" s="1"/>
  <c r="H233" i="2" a="1"/>
  <c r="H233" i="2" s="1"/>
  <c r="H232" i="2" a="1"/>
  <c r="H232" i="2" s="1"/>
  <c r="H231" i="2" a="1"/>
  <c r="H231" i="2" s="1"/>
  <c r="H230" i="2" a="1"/>
  <c r="H230" i="2" s="1"/>
  <c r="H229" i="2" a="1"/>
  <c r="H229" i="2" s="1"/>
  <c r="H228" i="2" a="1"/>
  <c r="H228" i="2" s="1"/>
  <c r="H227" i="2" a="1"/>
  <c r="H227" i="2" s="1"/>
  <c r="H226" i="2" a="1"/>
  <c r="H226" i="2" s="1"/>
  <c r="H225" i="2" a="1"/>
  <c r="H225" i="2" s="1"/>
  <c r="H224" i="2" a="1"/>
  <c r="H224" i="2" s="1"/>
  <c r="H223" i="2" a="1"/>
  <c r="H223" i="2" s="1"/>
  <c r="H222" i="2" a="1"/>
  <c r="H222" i="2" s="1"/>
  <c r="H221" i="2" a="1"/>
  <c r="H221" i="2" s="1"/>
  <c r="H220" i="2" a="1"/>
  <c r="H220" i="2" s="1"/>
  <c r="H219" i="2" a="1"/>
  <c r="H219" i="2" s="1"/>
  <c r="H218" i="2" a="1"/>
  <c r="H218" i="2" s="1"/>
  <c r="H217" i="2" a="1"/>
  <c r="H217" i="2" s="1"/>
  <c r="H216" i="2" a="1"/>
  <c r="H216" i="2" s="1"/>
  <c r="H215" i="2" a="1"/>
  <c r="H215" i="2" s="1"/>
  <c r="H214" i="2" a="1"/>
  <c r="H214" i="2" s="1"/>
  <c r="H213" i="2" a="1"/>
  <c r="H213" i="2" s="1"/>
  <c r="H212" i="2" a="1"/>
  <c r="H212" i="2" s="1"/>
  <c r="H211" i="2" a="1"/>
  <c r="H211" i="2" s="1"/>
  <c r="H210" i="2" a="1"/>
  <c r="H210" i="2" s="1"/>
  <c r="H209" i="2" a="1"/>
  <c r="H209" i="2" s="1"/>
  <c r="H208" i="2" a="1"/>
  <c r="H208" i="2" s="1"/>
  <c r="H207" i="2" a="1"/>
  <c r="H207" i="2" s="1"/>
  <c r="H206" i="2" a="1"/>
  <c r="H206" i="2" s="1"/>
  <c r="H205" i="2" a="1"/>
  <c r="H205" i="2" s="1"/>
  <c r="H204" i="2" a="1"/>
  <c r="H204" i="2" s="1"/>
  <c r="H203" i="2" a="1"/>
  <c r="H203" i="2" s="1"/>
  <c r="H202" i="2" a="1"/>
  <c r="H202" i="2" s="1"/>
  <c r="H201" i="2" a="1"/>
  <c r="H201" i="2" s="1"/>
  <c r="H200" i="2" a="1"/>
  <c r="H200" i="2" s="1"/>
  <c r="H199" i="2" a="1"/>
  <c r="H199" i="2" s="1"/>
  <c r="H198" i="2" a="1"/>
  <c r="H198" i="2" s="1"/>
  <c r="H197" i="2" a="1"/>
  <c r="H197" i="2" s="1"/>
  <c r="H196" i="2" a="1"/>
  <c r="H196" i="2" s="1"/>
  <c r="H195" i="2" a="1"/>
  <c r="H195" i="2" s="1"/>
  <c r="H194" i="2" a="1"/>
  <c r="H194" i="2" s="1"/>
  <c r="H193" i="2" a="1"/>
  <c r="H193" i="2" s="1"/>
  <c r="H192" i="2" a="1"/>
  <c r="H192" i="2" s="1"/>
  <c r="H191" i="2" a="1"/>
  <c r="H191" i="2" s="1"/>
  <c r="H190" i="2" a="1"/>
  <c r="H190" i="2" s="1"/>
  <c r="H189" i="2" a="1"/>
  <c r="H189" i="2" s="1"/>
  <c r="H188" i="2" a="1"/>
  <c r="H188" i="2" s="1"/>
  <c r="H187" i="2" a="1"/>
  <c r="H187" i="2" s="1"/>
  <c r="H186" i="2" a="1"/>
  <c r="H186" i="2" s="1"/>
  <c r="H185" i="2" a="1"/>
  <c r="H185" i="2" s="1"/>
  <c r="H184" i="2" a="1"/>
  <c r="H184" i="2" s="1"/>
  <c r="H183" i="2" a="1"/>
  <c r="H183" i="2" s="1"/>
  <c r="H182" i="2" a="1"/>
  <c r="H182" i="2" s="1"/>
  <c r="H181" i="2" a="1"/>
  <c r="H181" i="2" s="1"/>
  <c r="H180" i="2" a="1"/>
  <c r="H180" i="2" s="1"/>
  <c r="H179" i="2" a="1"/>
  <c r="H179" i="2" s="1"/>
  <c r="H178" i="2" a="1"/>
  <c r="H178" i="2" s="1"/>
  <c r="H177" i="2" a="1"/>
  <c r="H177" i="2" s="1"/>
  <c r="H176" i="2" a="1"/>
  <c r="H176" i="2" s="1"/>
  <c r="H175" i="2" a="1"/>
  <c r="H175" i="2" s="1"/>
  <c r="H174" i="2" a="1"/>
  <c r="H174" i="2" s="1"/>
  <c r="H173" i="2" a="1"/>
  <c r="H173" i="2" s="1"/>
  <c r="H172" i="2" a="1"/>
  <c r="H172" i="2" s="1"/>
  <c r="H171" i="2" a="1"/>
  <c r="H171" i="2" s="1"/>
  <c r="H170" i="2" a="1"/>
  <c r="H170" i="2" s="1"/>
  <c r="H169" i="2" a="1"/>
  <c r="H169" i="2" s="1"/>
  <c r="H168" i="2" a="1"/>
  <c r="H168" i="2" s="1"/>
  <c r="H167" i="2" a="1"/>
  <c r="H167" i="2" s="1"/>
  <c r="H166" i="2" a="1"/>
  <c r="H166" i="2" s="1"/>
  <c r="H165" i="2" a="1"/>
  <c r="H165" i="2" s="1"/>
  <c r="H164" i="2" a="1"/>
  <c r="H164" i="2" s="1"/>
  <c r="H163" i="2" a="1"/>
  <c r="H163" i="2" s="1"/>
  <c r="H162" i="2" a="1"/>
  <c r="H162" i="2" s="1"/>
  <c r="H161" i="2" a="1"/>
  <c r="H161" i="2" s="1"/>
  <c r="H160" i="2" a="1"/>
  <c r="H160" i="2" s="1"/>
  <c r="H159" i="2" a="1"/>
  <c r="H159" i="2" s="1"/>
  <c r="H158" i="2" a="1"/>
  <c r="H158" i="2" s="1"/>
  <c r="H157" i="2" a="1"/>
  <c r="H157" i="2" s="1"/>
  <c r="H156" i="2" a="1"/>
  <c r="H156" i="2" s="1"/>
  <c r="H155" i="2" a="1"/>
  <c r="H155" i="2" s="1"/>
  <c r="H154" i="2" a="1"/>
  <c r="H154" i="2" s="1"/>
  <c r="H153" i="2" a="1"/>
  <c r="H153" i="2" s="1"/>
  <c r="H152" i="2" a="1"/>
  <c r="H152" i="2" s="1"/>
  <c r="H151" i="2" a="1"/>
  <c r="H151" i="2" s="1"/>
  <c r="H150" i="2" a="1"/>
  <c r="H150" i="2" s="1"/>
  <c r="H149" i="2" a="1"/>
  <c r="H149" i="2" s="1"/>
  <c r="H148" i="2" a="1"/>
  <c r="H148" i="2" s="1"/>
  <c r="H147" i="2" a="1"/>
  <c r="H147" i="2" s="1"/>
  <c r="H146" i="2" a="1"/>
  <c r="H146" i="2" s="1"/>
  <c r="H145" i="2" a="1"/>
  <c r="H145" i="2" s="1"/>
  <c r="H144" i="2" a="1"/>
  <c r="H144" i="2" s="1"/>
  <c r="H143" i="2" a="1"/>
  <c r="H143" i="2" s="1"/>
  <c r="H142" i="2" a="1"/>
  <c r="H142" i="2" s="1"/>
  <c r="H141" i="2" a="1"/>
  <c r="H141" i="2" s="1"/>
  <c r="H140" i="2" a="1"/>
  <c r="H140" i="2" s="1"/>
  <c r="H139" i="2" a="1"/>
  <c r="H139" i="2" s="1"/>
  <c r="H138" i="2" a="1"/>
  <c r="H138" i="2" s="1"/>
  <c r="H137" i="2" a="1"/>
  <c r="H137" i="2" s="1"/>
  <c r="H136" i="2" a="1"/>
  <c r="H136" i="2" s="1"/>
  <c r="H135" i="2" a="1"/>
  <c r="H135" i="2" s="1"/>
  <c r="H134" i="2" a="1"/>
  <c r="H134" i="2" s="1"/>
  <c r="H133" i="2" a="1"/>
  <c r="H133" i="2" s="1"/>
  <c r="H132" i="2" a="1"/>
  <c r="H132" i="2" s="1"/>
  <c r="H131" i="2" a="1"/>
  <c r="H131" i="2" s="1"/>
  <c r="H130" i="2" a="1"/>
  <c r="H130" i="2" s="1"/>
  <c r="H129" i="2" a="1"/>
  <c r="H129" i="2" s="1"/>
  <c r="H128" i="2" a="1"/>
  <c r="H128" i="2" s="1"/>
  <c r="H127" i="2" a="1"/>
  <c r="H127" i="2" s="1"/>
  <c r="H126" i="2" a="1"/>
  <c r="H126" i="2" s="1"/>
  <c r="H125" i="2" a="1"/>
  <c r="H125" i="2" s="1"/>
  <c r="H124" i="2" a="1"/>
  <c r="H124" i="2" s="1"/>
  <c r="H123" i="2" a="1"/>
  <c r="H123" i="2" s="1"/>
  <c r="H122" i="2" a="1"/>
  <c r="H122" i="2" s="1"/>
  <c r="H121" i="2" a="1"/>
  <c r="H121" i="2" s="1"/>
  <c r="H120" i="2" a="1"/>
  <c r="H120" i="2" s="1"/>
  <c r="H119" i="2" a="1"/>
  <c r="H119" i="2" s="1"/>
  <c r="H118" i="2" a="1"/>
  <c r="H118" i="2" s="1"/>
  <c r="H117" i="2" a="1"/>
  <c r="H117" i="2" s="1"/>
  <c r="H116" i="2" a="1"/>
  <c r="H116" i="2" s="1"/>
  <c r="H115" i="2" a="1"/>
  <c r="H115" i="2" s="1"/>
  <c r="H114" i="2" a="1"/>
  <c r="H114" i="2" s="1"/>
  <c r="H113" i="2" a="1"/>
  <c r="H113" i="2" s="1"/>
  <c r="H112" i="2" a="1"/>
  <c r="H112" i="2" s="1"/>
  <c r="H111" i="2" a="1"/>
  <c r="H111" i="2" s="1"/>
  <c r="H110" i="2" a="1"/>
  <c r="H110" i="2" s="1"/>
  <c r="H109" i="2" a="1"/>
  <c r="H109" i="2" s="1"/>
  <c r="H108" i="2" a="1"/>
  <c r="H108" i="2" s="1"/>
  <c r="H107" i="2" a="1"/>
  <c r="H107" i="2" s="1"/>
  <c r="H106" i="2" a="1"/>
  <c r="H106" i="2" s="1"/>
  <c r="H105" i="2" a="1"/>
  <c r="H105" i="2" s="1"/>
  <c r="H104" i="2" a="1"/>
  <c r="H104" i="2" s="1"/>
  <c r="H103" i="2" a="1"/>
  <c r="H103" i="2" s="1"/>
  <c r="H102" i="2" a="1"/>
  <c r="H102" i="2" s="1"/>
  <c r="H101" i="2" a="1"/>
  <c r="H101" i="2" s="1"/>
  <c r="H100" i="2" a="1"/>
  <c r="H100" i="2" s="1"/>
  <c r="H99" i="2" a="1"/>
  <c r="H99" i="2" s="1"/>
  <c r="H98" i="2" a="1"/>
  <c r="H98" i="2" s="1"/>
  <c r="H97" i="2" a="1"/>
  <c r="H97" i="2" s="1"/>
  <c r="H96" i="2" a="1"/>
  <c r="H96" i="2" s="1"/>
  <c r="H95" i="2" a="1"/>
  <c r="H95" i="2" s="1"/>
  <c r="H94" i="2" a="1"/>
  <c r="H94" i="2" s="1"/>
  <c r="H93" i="2" a="1"/>
  <c r="H93" i="2" s="1"/>
  <c r="H92" i="2" a="1"/>
  <c r="H92" i="2" s="1"/>
  <c r="H91" i="2" a="1"/>
  <c r="H91" i="2" s="1"/>
  <c r="H90" i="2" a="1"/>
  <c r="H90" i="2" s="1"/>
  <c r="H89" i="2" a="1"/>
  <c r="H89" i="2" s="1"/>
  <c r="H88" i="2" a="1"/>
  <c r="H88" i="2" s="1"/>
  <c r="H87" i="2" a="1"/>
  <c r="H87" i="2" s="1"/>
  <c r="H86" i="2" a="1"/>
  <c r="H86" i="2" s="1"/>
  <c r="H85" i="2" a="1"/>
  <c r="H85" i="2" s="1"/>
  <c r="H84" i="2" a="1"/>
  <c r="H84" i="2" s="1"/>
  <c r="H83" i="2" a="1"/>
  <c r="H83" i="2" s="1"/>
  <c r="H82" i="2" a="1"/>
  <c r="H82" i="2" s="1"/>
  <c r="H81" i="2" a="1"/>
  <c r="H81" i="2" s="1"/>
  <c r="H80" i="2" a="1"/>
  <c r="H80" i="2" s="1"/>
  <c r="H79" i="2" a="1"/>
  <c r="H79" i="2" s="1"/>
  <c r="H78" i="2" a="1"/>
  <c r="H78" i="2" s="1"/>
  <c r="H77" i="2" a="1"/>
  <c r="H77" i="2" s="1"/>
  <c r="H76" i="2" a="1"/>
  <c r="H76" i="2" s="1"/>
  <c r="H75" i="2" a="1"/>
  <c r="H75" i="2" s="1"/>
  <c r="H74" i="2" a="1"/>
  <c r="H74" i="2" s="1"/>
  <c r="H73" i="2" a="1"/>
  <c r="H73" i="2" s="1"/>
  <c r="H72" i="2" a="1"/>
  <c r="H72" i="2" s="1"/>
  <c r="H71" i="2" a="1"/>
  <c r="H71" i="2" s="1"/>
  <c r="H70" i="2" a="1"/>
  <c r="H70" i="2" s="1"/>
  <c r="H69" i="2" a="1"/>
  <c r="H69" i="2" s="1"/>
  <c r="H68" i="2" a="1"/>
  <c r="H68" i="2" s="1"/>
  <c r="H67" i="2" a="1"/>
  <c r="H67" i="2" s="1"/>
  <c r="H66" i="2" a="1"/>
  <c r="H66" i="2" s="1"/>
  <c r="H65" i="2" a="1"/>
  <c r="H65" i="2" s="1"/>
  <c r="H64" i="2" a="1"/>
  <c r="H64" i="2" s="1"/>
  <c r="H63" i="2" a="1"/>
  <c r="H63" i="2" s="1"/>
  <c r="H62" i="2" a="1"/>
  <c r="H62" i="2" s="1"/>
  <c r="H61" i="2" a="1"/>
  <c r="H61" i="2" s="1"/>
  <c r="H60" i="2" a="1"/>
  <c r="H60" i="2" s="1"/>
  <c r="H59" i="2" a="1"/>
  <c r="H59" i="2" s="1"/>
  <c r="H58" i="2" a="1"/>
  <c r="H58" i="2" s="1"/>
  <c r="H57" i="2" a="1"/>
  <c r="H57" i="2" s="1"/>
  <c r="H56" i="2" a="1"/>
  <c r="H56" i="2" s="1"/>
  <c r="H55" i="2" a="1"/>
  <c r="H55" i="2" s="1"/>
  <c r="H54" i="2" a="1"/>
  <c r="H54" i="2" s="1"/>
  <c r="H53" i="2" a="1"/>
  <c r="H53" i="2" s="1"/>
  <c r="H52" i="2" a="1"/>
  <c r="H52" i="2" s="1"/>
  <c r="H51" i="2" a="1"/>
  <c r="H51" i="2" s="1"/>
  <c r="H50" i="2" a="1"/>
  <c r="H50" i="2" s="1"/>
  <c r="H49" i="2" a="1"/>
  <c r="H49" i="2" s="1"/>
  <c r="H48" i="2" a="1"/>
  <c r="H48" i="2" s="1"/>
  <c r="H47" i="2" a="1"/>
  <c r="H47" i="2" s="1"/>
  <c r="H46" i="2" a="1"/>
  <c r="H46" i="2" s="1"/>
  <c r="H45" i="2" a="1"/>
  <c r="H45" i="2" s="1"/>
  <c r="H44" i="2" a="1"/>
  <c r="H44" i="2" s="1"/>
  <c r="H43" i="2" a="1"/>
  <c r="H43" i="2" s="1"/>
  <c r="H42" i="2" a="1"/>
  <c r="H42" i="2" s="1"/>
  <c r="H41" i="2" a="1"/>
  <c r="H41" i="2" s="1"/>
  <c r="H40" i="2" a="1"/>
  <c r="H40" i="2" s="1"/>
  <c r="H39" i="2" a="1"/>
  <c r="H39" i="2" s="1"/>
  <c r="H38" i="2" a="1"/>
  <c r="H38" i="2" s="1"/>
  <c r="H37" i="2" a="1"/>
  <c r="H37" i="2" s="1"/>
  <c r="H36" i="2" a="1"/>
  <c r="H36" i="2" s="1"/>
  <c r="H35" i="2" a="1"/>
  <c r="H35" i="2" s="1"/>
  <c r="H34" i="2" a="1"/>
  <c r="H34" i="2" s="1"/>
  <c r="H33" i="2" a="1"/>
  <c r="H33" i="2" s="1"/>
  <c r="H32" i="2" a="1"/>
  <c r="H32" i="2" s="1"/>
  <c r="H31" i="2" a="1"/>
  <c r="H31" i="2" s="1"/>
  <c r="H30" i="2" a="1"/>
  <c r="H30" i="2" s="1"/>
  <c r="H29" i="2" a="1"/>
  <c r="H29" i="2" s="1"/>
  <c r="H28" i="2" a="1"/>
  <c r="H28" i="2" s="1"/>
  <c r="H27" i="2" a="1"/>
  <c r="H27" i="2" s="1"/>
  <c r="H26" i="2" a="1"/>
  <c r="H26" i="2" s="1"/>
  <c r="H25" i="2" a="1"/>
  <c r="H25" i="2" s="1"/>
  <c r="H24" i="2" a="1"/>
  <c r="H24" i="2" s="1"/>
  <c r="H23" i="2" a="1"/>
  <c r="H23" i="2" s="1"/>
  <c r="H22" i="2" a="1"/>
  <c r="H22" i="2" s="1"/>
  <c r="H21" i="2" a="1"/>
  <c r="H21" i="2" s="1"/>
  <c r="H20" i="2" a="1"/>
  <c r="H20" i="2" s="1"/>
  <c r="H19" i="2" a="1"/>
  <c r="H19" i="2" s="1"/>
  <c r="H18" i="2" a="1"/>
  <c r="H18" i="2" s="1"/>
  <c r="H17" i="2" a="1"/>
  <c r="H17" i="2" s="1"/>
  <c r="H16" i="2" a="1"/>
  <c r="H16" i="2" s="1"/>
  <c r="H15" i="2" a="1"/>
  <c r="H15" i="2" s="1"/>
  <c r="H14" i="2" a="1"/>
  <c r="H14" i="2" s="1"/>
  <c r="H13" i="2" a="1"/>
  <c r="H13" i="2" s="1"/>
  <c r="H12" i="2" a="1"/>
  <c r="H12" i="2" s="1"/>
  <c r="H11" i="2" a="1"/>
  <c r="H11" i="2" s="1"/>
  <c r="H10" i="2" a="1"/>
  <c r="H10" i="2" s="1"/>
  <c r="H9" i="2" a="1"/>
  <c r="H9" i="2" s="1"/>
  <c r="H8" i="2" a="1"/>
  <c r="H8" i="2" s="1"/>
  <c r="H7" i="2" a="1"/>
  <c r="H7" i="2" s="1"/>
  <c r="H6" i="2" a="1"/>
  <c r="H6" i="2" s="1"/>
  <c r="L517" i="2" l="1"/>
  <c r="M517" i="2" s="1" a="1"/>
  <c r="M517" i="2" s="1"/>
  <c r="L518" i="2"/>
  <c r="M518" i="2" s="1" a="1"/>
  <c r="M518" i="2" s="1"/>
  <c r="L519" i="2"/>
  <c r="M519" i="2" s="1" a="1"/>
  <c r="M519" i="2" s="1"/>
  <c r="L520" i="2"/>
  <c r="M520" i="2" s="1" a="1"/>
  <c r="M520" i="2" s="1"/>
  <c r="L521" i="2"/>
  <c r="M521" i="2" s="1" a="1"/>
  <c r="M521" i="2" s="1"/>
  <c r="L522" i="2"/>
  <c r="M522" i="2" s="1" a="1"/>
  <c r="M522" i="2" s="1"/>
  <c r="U16" i="3"/>
  <c r="W15" i="3" a="1"/>
  <c r="W15" i="3" s="1"/>
  <c r="U15" i="3"/>
  <c r="Y15" i="3" a="1"/>
  <c r="C12" i="22" l="1"/>
  <c r="N24" i="22" s="1"/>
  <c r="C12" i="21"/>
  <c r="G12" i="21" s="1"/>
  <c r="D12" i="22"/>
  <c r="D12" i="21"/>
  <c r="D11" i="22"/>
  <c r="D11" i="21"/>
  <c r="C11" i="22"/>
  <c r="N23" i="22" s="1"/>
  <c r="C11" i="21"/>
  <c r="G11" i="21" s="1"/>
  <c r="Y16" i="3" a="1"/>
  <c r="Y16" i="3" s="1"/>
  <c r="F11" i="22" s="1"/>
  <c r="X16" i="3" a="1"/>
  <c r="X16" i="3" s="1"/>
  <c r="AH40" i="22" s="1"/>
  <c r="X15" i="3" a="1"/>
  <c r="X15" i="3" s="1"/>
  <c r="AA16" i="3" a="1"/>
  <c r="AA16" i="3" s="1"/>
  <c r="Y15" i="3"/>
  <c r="F12" i="22" s="1"/>
  <c r="AA15" i="3" a="1"/>
  <c r="AA15" i="3" s="1"/>
  <c r="H11" i="22" l="1"/>
  <c r="AI40" i="22"/>
  <c r="H12" i="22"/>
  <c r="AI39" i="22"/>
  <c r="E12" i="22"/>
  <c r="G12" i="22" s="1"/>
  <c r="AH39" i="22"/>
  <c r="E11" i="22"/>
  <c r="G11" i="22" s="1"/>
  <c r="Z15" i="3"/>
  <c r="Z16" i="3"/>
  <c r="F9" i="22"/>
  <c r="B8" i="30"/>
  <c r="Y6" i="16"/>
  <c r="Z6" i="16" s="1"/>
  <c r="AH38" i="22" l="1"/>
  <c r="E9" i="22"/>
  <c r="C10" i="22"/>
  <c r="C10" i="21"/>
  <c r="G10" i="21" s="1"/>
  <c r="D10" i="21"/>
  <c r="D10" i="22"/>
  <c r="C9" i="21"/>
  <c r="G9" i="21" s="1"/>
  <c r="C9" i="22"/>
  <c r="D9" i="22"/>
  <c r="D9" i="21"/>
  <c r="AM16" i="3"/>
  <c r="BA40" i="22" s="1"/>
  <c r="AJ16" i="3"/>
  <c r="AZ40" i="22" s="1"/>
  <c r="AK16" i="3"/>
  <c r="AG16" i="3" a="1"/>
  <c r="AG16" i="3" s="1"/>
  <c r="AF16" i="3" a="1"/>
  <c r="AF16" i="3" s="1"/>
  <c r="AT40" i="22" s="1"/>
  <c r="AB16" i="3" a="1"/>
  <c r="AB16" i="3" s="1"/>
  <c r="AN40" i="22" s="1"/>
  <c r="AC16" i="3" a="1"/>
  <c r="AC16" i="3" s="1"/>
  <c r="F10" i="22"/>
  <c r="AG15" i="3" a="1"/>
  <c r="AG15" i="3" s="1"/>
  <c r="AF15" i="3" a="1"/>
  <c r="AF15" i="3" s="1"/>
  <c r="AT39" i="22" s="1"/>
  <c r="AH37" i="22"/>
  <c r="AI16" i="3" a="1"/>
  <c r="AI16" i="3" s="1"/>
  <c r="AU40" i="22" s="1"/>
  <c r="AE16" i="3" a="1"/>
  <c r="AE16" i="3" s="1"/>
  <c r="AO40" i="22" s="1"/>
  <c r="AM15" i="3"/>
  <c r="BA39" i="22" s="1"/>
  <c r="AJ15" i="3"/>
  <c r="AZ39" i="22" s="1"/>
  <c r="AK15" i="3"/>
  <c r="AB15" i="3"/>
  <c r="AN39" i="22" s="1"/>
  <c r="AE15" i="3"/>
  <c r="AO39" i="22" s="1"/>
  <c r="AC15" i="3"/>
  <c r="AI15" i="3" a="1"/>
  <c r="AI15" i="3" s="1"/>
  <c r="AU39" i="22" s="1"/>
  <c r="H9" i="22" l="1"/>
  <c r="AI38" i="22"/>
  <c r="H10" i="22"/>
  <c r="AI37" i="22"/>
  <c r="G9" i="22"/>
  <c r="E10" i="22"/>
  <c r="G10" i="22" s="1"/>
  <c r="AZ37" i="22"/>
  <c r="BA37" i="22"/>
  <c r="AT37" i="22"/>
  <c r="AN37" i="22"/>
  <c r="AN38" i="22"/>
  <c r="AZ38" i="22"/>
  <c r="AT38" i="22"/>
  <c r="AD16" i="3" a="1"/>
  <c r="AD16" i="3" s="1"/>
  <c r="AL16" i="3" a="1"/>
  <c r="AL16" i="3" s="1"/>
  <c r="AH16" i="3" a="1"/>
  <c r="AH16" i="3" s="1"/>
  <c r="AO37" i="22"/>
  <c r="AU37" i="22"/>
  <c r="AD15" i="3" a="1"/>
  <c r="AD15" i="3" s="1"/>
  <c r="AL15" i="3" a="1"/>
  <c r="AL15" i="3" s="1"/>
  <c r="AH15" i="3" a="1"/>
  <c r="AH15" i="3" s="1"/>
  <c r="AU38" i="22"/>
  <c r="AO38" i="22"/>
  <c r="BA38" i="22"/>
  <c r="C7" i="21" l="1"/>
  <c r="G7" i="21" s="1"/>
  <c r="C7" i="22"/>
  <c r="N19" i="22" s="1"/>
  <c r="D7" i="21"/>
  <c r="D7" i="22"/>
  <c r="F7" i="22"/>
  <c r="AH35" i="22"/>
  <c r="D6" i="21"/>
  <c r="D6" i="22" s="1"/>
  <c r="Y435" i="12"/>
  <c r="Z435" i="12" s="1" a="1"/>
  <c r="Z435" i="12" s="1"/>
  <c r="R435" i="12"/>
  <c r="S435" i="12" s="1" a="1"/>
  <c r="S435" i="12" s="1"/>
  <c r="P435" i="12" a="1"/>
  <c r="P435" i="12" s="1"/>
  <c r="Y434" i="12"/>
  <c r="Z434" i="12" s="1" a="1"/>
  <c r="Z434" i="12" s="1"/>
  <c r="R434" i="12"/>
  <c r="S434" i="12" s="1" a="1"/>
  <c r="S434" i="12" s="1"/>
  <c r="P434" i="12" a="1"/>
  <c r="P434" i="12" s="1"/>
  <c r="Y433" i="12"/>
  <c r="Z433" i="12" s="1" a="1"/>
  <c r="Z433" i="12" s="1"/>
  <c r="R433" i="12"/>
  <c r="S433" i="12" s="1" a="1"/>
  <c r="S433" i="12" s="1"/>
  <c r="P433" i="12" a="1"/>
  <c r="P433" i="12" s="1"/>
  <c r="Y432" i="12"/>
  <c r="Z432" i="12" s="1" a="1"/>
  <c r="Z432" i="12" s="1"/>
  <c r="R432" i="12"/>
  <c r="S432" i="12" s="1" a="1"/>
  <c r="S432" i="12" s="1"/>
  <c r="P432" i="12" a="1"/>
  <c r="P432" i="12" s="1"/>
  <c r="Y431" i="12"/>
  <c r="Z431" i="12" s="1" a="1"/>
  <c r="Z431" i="12" s="1"/>
  <c r="R431" i="12"/>
  <c r="S431" i="12" s="1" a="1"/>
  <c r="S431" i="12" s="1"/>
  <c r="P431" i="12" a="1"/>
  <c r="P431" i="12" s="1"/>
  <c r="Y430" i="12"/>
  <c r="Z430" i="12" s="1" a="1"/>
  <c r="Z430" i="12" s="1"/>
  <c r="R430" i="12"/>
  <c r="S430" i="12" s="1" a="1"/>
  <c r="S430" i="12" s="1"/>
  <c r="P430" i="12" a="1"/>
  <c r="P430" i="12" s="1"/>
  <c r="Y429" i="12"/>
  <c r="Z429" i="12" s="1" a="1"/>
  <c r="Z429" i="12" s="1"/>
  <c r="R429" i="12"/>
  <c r="S429" i="12" s="1" a="1"/>
  <c r="S429" i="12" s="1"/>
  <c r="P429" i="12" a="1"/>
  <c r="P429" i="12" s="1"/>
  <c r="Y428" i="12"/>
  <c r="Z428" i="12" s="1" a="1"/>
  <c r="Z428" i="12" s="1"/>
  <c r="R428" i="12"/>
  <c r="S428" i="12" s="1" a="1"/>
  <c r="S428" i="12" s="1"/>
  <c r="P428" i="12" a="1"/>
  <c r="P428" i="12" s="1"/>
  <c r="Y427" i="12"/>
  <c r="Z427" i="12" s="1" a="1"/>
  <c r="Z427" i="12" s="1"/>
  <c r="R427" i="12"/>
  <c r="S427" i="12" s="1" a="1"/>
  <c r="S427" i="12" s="1"/>
  <c r="P427" i="12" a="1"/>
  <c r="P427" i="12" s="1"/>
  <c r="Y426" i="12"/>
  <c r="Z426" i="12" s="1" a="1"/>
  <c r="Z426" i="12" s="1"/>
  <c r="R426" i="12"/>
  <c r="S426" i="12" s="1" a="1"/>
  <c r="S426" i="12" s="1"/>
  <c r="P426" i="12" a="1"/>
  <c r="P426" i="12" s="1"/>
  <c r="Y425" i="12"/>
  <c r="Z425" i="12" s="1" a="1"/>
  <c r="Z425" i="12" s="1"/>
  <c r="R425" i="12"/>
  <c r="S425" i="12" s="1" a="1"/>
  <c r="S425" i="12" s="1"/>
  <c r="P425" i="12" a="1"/>
  <c r="P425" i="12" s="1"/>
  <c r="Y424" i="12"/>
  <c r="Z424" i="12" s="1" a="1"/>
  <c r="Z424" i="12" s="1"/>
  <c r="R424" i="12"/>
  <c r="S424" i="12" s="1" a="1"/>
  <c r="S424" i="12" s="1"/>
  <c r="P424" i="12" a="1"/>
  <c r="P424" i="12" s="1"/>
  <c r="Y423" i="12"/>
  <c r="Z423" i="12" s="1" a="1"/>
  <c r="Z423" i="12" s="1"/>
  <c r="R423" i="12"/>
  <c r="S423" i="12" s="1" a="1"/>
  <c r="S423" i="12" s="1"/>
  <c r="P423" i="12" a="1"/>
  <c r="P423" i="12" s="1"/>
  <c r="Y422" i="12"/>
  <c r="Z422" i="12" s="1" a="1"/>
  <c r="Z422" i="12" s="1"/>
  <c r="R422" i="12"/>
  <c r="S422" i="12" s="1" a="1"/>
  <c r="S422" i="12" s="1"/>
  <c r="P422" i="12" a="1"/>
  <c r="P422" i="12" s="1"/>
  <c r="Y421" i="12"/>
  <c r="Z421" i="12" s="1" a="1"/>
  <c r="Z421" i="12" s="1"/>
  <c r="R421" i="12"/>
  <c r="S421" i="12" s="1" a="1"/>
  <c r="S421" i="12" s="1"/>
  <c r="P421" i="12" a="1"/>
  <c r="P421" i="12" s="1"/>
  <c r="Y420" i="12"/>
  <c r="Z420" i="12" s="1" a="1"/>
  <c r="Z420" i="12" s="1"/>
  <c r="R420" i="12"/>
  <c r="S420" i="12" s="1" a="1"/>
  <c r="S420" i="12" s="1"/>
  <c r="P420" i="12" a="1"/>
  <c r="P420" i="12" s="1"/>
  <c r="Y419" i="12"/>
  <c r="Z419" i="12" s="1" a="1"/>
  <c r="Z419" i="12" s="1"/>
  <c r="R419" i="12"/>
  <c r="S419" i="12" s="1" a="1"/>
  <c r="S419" i="12" s="1"/>
  <c r="P419" i="12" a="1"/>
  <c r="P419" i="12" s="1"/>
  <c r="Y418" i="12"/>
  <c r="Z418" i="12" s="1" a="1"/>
  <c r="Z418" i="12" s="1"/>
  <c r="R418" i="12"/>
  <c r="S418" i="12" s="1" a="1"/>
  <c r="S418" i="12" s="1"/>
  <c r="P418" i="12" a="1"/>
  <c r="P418" i="12" s="1"/>
  <c r="Y417" i="12"/>
  <c r="Z417" i="12" s="1" a="1"/>
  <c r="Z417" i="12" s="1"/>
  <c r="R417" i="12"/>
  <c r="S417" i="12" s="1" a="1"/>
  <c r="S417" i="12" s="1"/>
  <c r="P417" i="12" a="1"/>
  <c r="P417" i="12" s="1"/>
  <c r="Y416" i="12"/>
  <c r="Z416" i="12" s="1" a="1"/>
  <c r="Z416" i="12" s="1"/>
  <c r="R416" i="12"/>
  <c r="S416" i="12" s="1" a="1"/>
  <c r="S416" i="12" s="1"/>
  <c r="P416" i="12" a="1"/>
  <c r="P416" i="12" s="1"/>
  <c r="Y415" i="12"/>
  <c r="Z415" i="12" s="1" a="1"/>
  <c r="Z415" i="12" s="1"/>
  <c r="R415" i="12"/>
  <c r="S415" i="12" s="1" a="1"/>
  <c r="S415" i="12" s="1"/>
  <c r="P415" i="12" a="1"/>
  <c r="P415" i="12" s="1"/>
  <c r="Y414" i="12"/>
  <c r="Z414" i="12" s="1" a="1"/>
  <c r="Z414" i="12" s="1"/>
  <c r="R414" i="12"/>
  <c r="S414" i="12" s="1" a="1"/>
  <c r="S414" i="12" s="1"/>
  <c r="P414" i="12" a="1"/>
  <c r="P414" i="12" s="1"/>
  <c r="Y413" i="12"/>
  <c r="Z413" i="12" s="1" a="1"/>
  <c r="Z413" i="12" s="1"/>
  <c r="R413" i="12"/>
  <c r="S413" i="12" s="1" a="1"/>
  <c r="S413" i="12" s="1"/>
  <c r="P413" i="12" a="1"/>
  <c r="P413" i="12" s="1"/>
  <c r="Y412" i="12"/>
  <c r="Z412" i="12" s="1" a="1"/>
  <c r="Z412" i="12" s="1"/>
  <c r="R412" i="12"/>
  <c r="S412" i="12" s="1" a="1"/>
  <c r="S412" i="12" s="1"/>
  <c r="P412" i="12" a="1"/>
  <c r="P412" i="12" s="1"/>
  <c r="Y411" i="12"/>
  <c r="Z411" i="12" s="1" a="1"/>
  <c r="Z411" i="12" s="1"/>
  <c r="R411" i="12"/>
  <c r="S411" i="12" s="1" a="1"/>
  <c r="S411" i="12" s="1"/>
  <c r="P411" i="12" a="1"/>
  <c r="P411" i="12" s="1"/>
  <c r="Y410" i="12"/>
  <c r="Z410" i="12" s="1" a="1"/>
  <c r="Z410" i="12" s="1"/>
  <c r="R410" i="12"/>
  <c r="S410" i="12" s="1" a="1"/>
  <c r="S410" i="12" s="1"/>
  <c r="P410" i="12" a="1"/>
  <c r="P410" i="12" s="1"/>
  <c r="Y409" i="12"/>
  <c r="Z409" i="12" s="1" a="1"/>
  <c r="Z409" i="12" s="1"/>
  <c r="R409" i="12"/>
  <c r="S409" i="12" s="1" a="1"/>
  <c r="S409" i="12" s="1"/>
  <c r="P409" i="12" a="1"/>
  <c r="P409" i="12" s="1"/>
  <c r="Y408" i="12"/>
  <c r="Z408" i="12" s="1" a="1"/>
  <c r="Z408" i="12" s="1"/>
  <c r="R408" i="12"/>
  <c r="S408" i="12" s="1" a="1"/>
  <c r="S408" i="12" s="1"/>
  <c r="P408" i="12" a="1"/>
  <c r="P408" i="12" s="1"/>
  <c r="Y407" i="12"/>
  <c r="Z407" i="12" s="1" a="1"/>
  <c r="Z407" i="12" s="1"/>
  <c r="R407" i="12"/>
  <c r="S407" i="12" s="1" a="1"/>
  <c r="S407" i="12" s="1"/>
  <c r="P407" i="12" a="1"/>
  <c r="P407" i="12" s="1"/>
  <c r="Y406" i="12"/>
  <c r="Z406" i="12" s="1" a="1"/>
  <c r="Z406" i="12" s="1"/>
  <c r="R406" i="12"/>
  <c r="S406" i="12" s="1" a="1"/>
  <c r="S406" i="12" s="1"/>
  <c r="P406" i="12" a="1"/>
  <c r="P406" i="12" s="1"/>
  <c r="Y405" i="12"/>
  <c r="Z405" i="12" s="1" a="1"/>
  <c r="Z405" i="12" s="1"/>
  <c r="R405" i="12"/>
  <c r="S405" i="12" s="1" a="1"/>
  <c r="S405" i="12" s="1"/>
  <c r="P405" i="12" a="1"/>
  <c r="P405" i="12" s="1"/>
  <c r="Y404" i="12"/>
  <c r="Z404" i="12" s="1" a="1"/>
  <c r="Z404" i="12" s="1"/>
  <c r="R404" i="12"/>
  <c r="S404" i="12" s="1" a="1"/>
  <c r="S404" i="12" s="1"/>
  <c r="P404" i="12" a="1"/>
  <c r="P404" i="12" s="1"/>
  <c r="Y403" i="12"/>
  <c r="Z403" i="12" s="1" a="1"/>
  <c r="Z403" i="12" s="1"/>
  <c r="R403" i="12"/>
  <c r="S403" i="12" s="1" a="1"/>
  <c r="S403" i="12" s="1"/>
  <c r="P403" i="12" a="1"/>
  <c r="P403" i="12" s="1"/>
  <c r="Y402" i="12"/>
  <c r="Z402" i="12" s="1" a="1"/>
  <c r="Z402" i="12" s="1"/>
  <c r="R402" i="12"/>
  <c r="S402" i="12" s="1" a="1"/>
  <c r="S402" i="12" s="1"/>
  <c r="P402" i="12" a="1"/>
  <c r="P402" i="12" s="1"/>
  <c r="Y401" i="12"/>
  <c r="Z401" i="12" s="1" a="1"/>
  <c r="Z401" i="12" s="1"/>
  <c r="R401" i="12"/>
  <c r="S401" i="12" s="1" a="1"/>
  <c r="S401" i="12" s="1"/>
  <c r="P401" i="12" a="1"/>
  <c r="P401" i="12" s="1"/>
  <c r="Y400" i="12"/>
  <c r="Z400" i="12" s="1" a="1"/>
  <c r="Z400" i="12" s="1"/>
  <c r="R400" i="12"/>
  <c r="S400" i="12" s="1" a="1"/>
  <c r="S400" i="12" s="1"/>
  <c r="P400" i="12" a="1"/>
  <c r="P400" i="12" s="1"/>
  <c r="Y399" i="12"/>
  <c r="Z399" i="12" s="1" a="1"/>
  <c r="Z399" i="12" s="1"/>
  <c r="R399" i="12"/>
  <c r="S399" i="12" s="1" a="1"/>
  <c r="S399" i="12" s="1"/>
  <c r="P399" i="12" a="1"/>
  <c r="P399" i="12" s="1"/>
  <c r="Y398" i="12"/>
  <c r="Z398" i="12" s="1" a="1"/>
  <c r="Z398" i="12" s="1"/>
  <c r="R398" i="12"/>
  <c r="S398" i="12" s="1" a="1"/>
  <c r="S398" i="12" s="1"/>
  <c r="P398" i="12" a="1"/>
  <c r="P398" i="12" s="1"/>
  <c r="Y397" i="12"/>
  <c r="Z397" i="12" s="1" a="1"/>
  <c r="Z397" i="12" s="1"/>
  <c r="R397" i="12"/>
  <c r="S397" i="12" s="1" a="1"/>
  <c r="S397" i="12" s="1"/>
  <c r="P397" i="12" a="1"/>
  <c r="P397" i="12" s="1"/>
  <c r="Y396" i="12"/>
  <c r="Z396" i="12" s="1" a="1"/>
  <c r="Z396" i="12" s="1"/>
  <c r="R396" i="12"/>
  <c r="S396" i="12" s="1" a="1"/>
  <c r="S396" i="12" s="1"/>
  <c r="P396" i="12" a="1"/>
  <c r="P396" i="12" s="1"/>
  <c r="Y395" i="12"/>
  <c r="Z395" i="12" s="1" a="1"/>
  <c r="Z395" i="12" s="1"/>
  <c r="R395" i="12"/>
  <c r="S395" i="12" s="1" a="1"/>
  <c r="S395" i="12" s="1"/>
  <c r="P395" i="12" a="1"/>
  <c r="P395" i="12" s="1"/>
  <c r="Y394" i="12"/>
  <c r="Z394" i="12" s="1" a="1"/>
  <c r="Z394" i="12" s="1"/>
  <c r="R394" i="12"/>
  <c r="S394" i="12" s="1" a="1"/>
  <c r="S394" i="12" s="1"/>
  <c r="P394" i="12" a="1"/>
  <c r="P394" i="12" s="1"/>
  <c r="Y393" i="12"/>
  <c r="Z393" i="12" s="1" a="1"/>
  <c r="Z393" i="12" s="1"/>
  <c r="R393" i="12"/>
  <c r="S393" i="12" s="1" a="1"/>
  <c r="S393" i="12" s="1"/>
  <c r="P393" i="12" a="1"/>
  <c r="P393" i="12" s="1"/>
  <c r="Y392" i="12"/>
  <c r="Z392" i="12" s="1" a="1"/>
  <c r="Z392" i="12" s="1"/>
  <c r="R392" i="12"/>
  <c r="S392" i="12" s="1" a="1"/>
  <c r="S392" i="12" s="1"/>
  <c r="P392" i="12" a="1"/>
  <c r="P392" i="12" s="1"/>
  <c r="Y391" i="12"/>
  <c r="Z391" i="12" s="1" a="1"/>
  <c r="Z391" i="12" s="1"/>
  <c r="R391" i="12"/>
  <c r="S391" i="12" s="1" a="1"/>
  <c r="S391" i="12" s="1"/>
  <c r="P391" i="12" a="1"/>
  <c r="P391" i="12" s="1"/>
  <c r="Y390" i="12"/>
  <c r="Z390" i="12" s="1" a="1"/>
  <c r="Z390" i="12" s="1"/>
  <c r="R390" i="12"/>
  <c r="S390" i="12" s="1" a="1"/>
  <c r="S390" i="12" s="1"/>
  <c r="P390" i="12" a="1"/>
  <c r="P390" i="12" s="1"/>
  <c r="Y389" i="12"/>
  <c r="Z389" i="12" s="1" a="1"/>
  <c r="Z389" i="12" s="1"/>
  <c r="R389" i="12"/>
  <c r="S389" i="12" s="1" a="1"/>
  <c r="S389" i="12" s="1"/>
  <c r="P389" i="12" a="1"/>
  <c r="P389" i="12" s="1"/>
  <c r="Y388" i="12"/>
  <c r="Z388" i="12" s="1" a="1"/>
  <c r="Z388" i="12" s="1"/>
  <c r="R388" i="12"/>
  <c r="S388" i="12" s="1" a="1"/>
  <c r="S388" i="12" s="1"/>
  <c r="P388" i="12" a="1"/>
  <c r="P388" i="12" s="1"/>
  <c r="Y387" i="12"/>
  <c r="Z387" i="12" s="1" a="1"/>
  <c r="Z387" i="12" s="1"/>
  <c r="R387" i="12"/>
  <c r="S387" i="12" s="1" a="1"/>
  <c r="S387" i="12" s="1"/>
  <c r="P387" i="12" a="1"/>
  <c r="P387" i="12" s="1"/>
  <c r="Y386" i="12"/>
  <c r="Z386" i="12" s="1" a="1"/>
  <c r="Z386" i="12" s="1"/>
  <c r="R386" i="12"/>
  <c r="S386" i="12" s="1" a="1"/>
  <c r="S386" i="12" s="1"/>
  <c r="P386" i="12" a="1"/>
  <c r="P386" i="12" s="1"/>
  <c r="Y385" i="12"/>
  <c r="Z385" i="12" s="1" a="1"/>
  <c r="Z385" i="12" s="1"/>
  <c r="R385" i="12"/>
  <c r="S385" i="12" s="1" a="1"/>
  <c r="S385" i="12" s="1"/>
  <c r="P385" i="12" a="1"/>
  <c r="P385" i="12" s="1"/>
  <c r="Y384" i="12"/>
  <c r="Z384" i="12" s="1" a="1"/>
  <c r="Z384" i="12" s="1"/>
  <c r="R384" i="12"/>
  <c r="S384" i="12" s="1" a="1"/>
  <c r="S384" i="12" s="1"/>
  <c r="P384" i="12" a="1"/>
  <c r="P384" i="12" s="1"/>
  <c r="Y383" i="12"/>
  <c r="Z383" i="12" s="1" a="1"/>
  <c r="Z383" i="12" s="1"/>
  <c r="R383" i="12"/>
  <c r="S383" i="12" s="1" a="1"/>
  <c r="S383" i="12" s="1"/>
  <c r="P383" i="12" a="1"/>
  <c r="P383" i="12" s="1"/>
  <c r="Y382" i="12"/>
  <c r="Z382" i="12" s="1" a="1"/>
  <c r="Z382" i="12" s="1"/>
  <c r="R382" i="12"/>
  <c r="S382" i="12" s="1" a="1"/>
  <c r="S382" i="12" s="1"/>
  <c r="P382" i="12" a="1"/>
  <c r="P382" i="12" s="1"/>
  <c r="Y381" i="12"/>
  <c r="Z381" i="12" s="1" a="1"/>
  <c r="Z381" i="12" s="1"/>
  <c r="R381" i="12"/>
  <c r="S381" i="12" s="1" a="1"/>
  <c r="S381" i="12" s="1"/>
  <c r="P381" i="12" a="1"/>
  <c r="P381" i="12" s="1"/>
  <c r="Y380" i="12"/>
  <c r="Z380" i="12" s="1" a="1"/>
  <c r="Z380" i="12" s="1"/>
  <c r="R380" i="12"/>
  <c r="S380" i="12" s="1" a="1"/>
  <c r="S380" i="12" s="1"/>
  <c r="P380" i="12" a="1"/>
  <c r="P380" i="12" s="1"/>
  <c r="Y379" i="12"/>
  <c r="Z379" i="12" s="1" a="1"/>
  <c r="Z379" i="12" s="1"/>
  <c r="R379" i="12"/>
  <c r="S379" i="12" s="1" a="1"/>
  <c r="S379" i="12" s="1"/>
  <c r="P379" i="12" a="1"/>
  <c r="P379" i="12" s="1"/>
  <c r="Y378" i="12"/>
  <c r="Z378" i="12" s="1" a="1"/>
  <c r="Z378" i="12" s="1"/>
  <c r="R378" i="12"/>
  <c r="S378" i="12" s="1" a="1"/>
  <c r="S378" i="12" s="1"/>
  <c r="P378" i="12" a="1"/>
  <c r="P378" i="12" s="1"/>
  <c r="Y377" i="12"/>
  <c r="Z377" i="12" s="1" a="1"/>
  <c r="Z377" i="12" s="1"/>
  <c r="R377" i="12"/>
  <c r="S377" i="12" s="1" a="1"/>
  <c r="S377" i="12" s="1"/>
  <c r="P377" i="12" a="1"/>
  <c r="P377" i="12" s="1"/>
  <c r="Y376" i="12"/>
  <c r="Z376" i="12" s="1" a="1"/>
  <c r="Z376" i="12" s="1"/>
  <c r="R376" i="12"/>
  <c r="S376" i="12" s="1" a="1"/>
  <c r="S376" i="12" s="1"/>
  <c r="P376" i="12" a="1"/>
  <c r="P376" i="12" s="1"/>
  <c r="Y375" i="12"/>
  <c r="Z375" i="12" s="1" a="1"/>
  <c r="Z375" i="12" s="1"/>
  <c r="R375" i="12"/>
  <c r="S375" i="12" s="1" a="1"/>
  <c r="S375" i="12" s="1"/>
  <c r="P375" i="12" a="1"/>
  <c r="P375" i="12" s="1"/>
  <c r="Y374" i="12"/>
  <c r="Z374" i="12" s="1" a="1"/>
  <c r="Z374" i="12" s="1"/>
  <c r="R374" i="12"/>
  <c r="S374" i="12" s="1" a="1"/>
  <c r="S374" i="12" s="1"/>
  <c r="P374" i="12" a="1"/>
  <c r="P374" i="12" s="1"/>
  <c r="Y373" i="12"/>
  <c r="Z373" i="12" s="1" a="1"/>
  <c r="Z373" i="12" s="1"/>
  <c r="R373" i="12"/>
  <c r="S373" i="12" s="1" a="1"/>
  <c r="S373" i="12" s="1"/>
  <c r="P373" i="12" a="1"/>
  <c r="P373" i="12" s="1"/>
  <c r="Y372" i="12"/>
  <c r="Z372" i="12" s="1" a="1"/>
  <c r="Z372" i="12" s="1"/>
  <c r="R372" i="12"/>
  <c r="S372" i="12" s="1" a="1"/>
  <c r="S372" i="12" s="1"/>
  <c r="P372" i="12" a="1"/>
  <c r="P372" i="12" s="1"/>
  <c r="Y371" i="12"/>
  <c r="Z371" i="12" s="1" a="1"/>
  <c r="Z371" i="12" s="1"/>
  <c r="R371" i="12"/>
  <c r="S371" i="12" s="1" a="1"/>
  <c r="S371" i="12" s="1"/>
  <c r="P371" i="12" a="1"/>
  <c r="P371" i="12" s="1"/>
  <c r="Y370" i="12"/>
  <c r="Z370" i="12" s="1" a="1"/>
  <c r="Z370" i="12" s="1"/>
  <c r="R370" i="12"/>
  <c r="S370" i="12" s="1" a="1"/>
  <c r="S370" i="12" s="1"/>
  <c r="P370" i="12" a="1"/>
  <c r="P370" i="12" s="1"/>
  <c r="Y369" i="12"/>
  <c r="Z369" i="12" s="1" a="1"/>
  <c r="Z369" i="12" s="1"/>
  <c r="R369" i="12"/>
  <c r="S369" i="12" s="1" a="1"/>
  <c r="S369" i="12" s="1"/>
  <c r="P369" i="12" a="1"/>
  <c r="P369" i="12" s="1"/>
  <c r="Y368" i="12"/>
  <c r="Z368" i="12" s="1" a="1"/>
  <c r="Z368" i="12" s="1"/>
  <c r="R368" i="12"/>
  <c r="S368" i="12" s="1" a="1"/>
  <c r="S368" i="12" s="1"/>
  <c r="P368" i="12" a="1"/>
  <c r="P368" i="12" s="1"/>
  <c r="Y367" i="12"/>
  <c r="Z367" i="12" s="1" a="1"/>
  <c r="Z367" i="12" s="1"/>
  <c r="R367" i="12"/>
  <c r="S367" i="12" s="1" a="1"/>
  <c r="S367" i="12" s="1"/>
  <c r="P367" i="12" a="1"/>
  <c r="P367" i="12" s="1"/>
  <c r="Y366" i="12"/>
  <c r="Z366" i="12" s="1" a="1"/>
  <c r="Z366" i="12" s="1"/>
  <c r="R366" i="12"/>
  <c r="S366" i="12" s="1" a="1"/>
  <c r="S366" i="12" s="1"/>
  <c r="P366" i="12" a="1"/>
  <c r="P366" i="12" s="1"/>
  <c r="Y365" i="12"/>
  <c r="Z365" i="12" s="1" a="1"/>
  <c r="Z365" i="12" s="1"/>
  <c r="R365" i="12"/>
  <c r="S365" i="12" s="1" a="1"/>
  <c r="S365" i="12" s="1"/>
  <c r="P365" i="12" a="1"/>
  <c r="P365" i="12" s="1"/>
  <c r="Y364" i="12"/>
  <c r="Z364" i="12" s="1" a="1"/>
  <c r="Z364" i="12" s="1"/>
  <c r="R364" i="12"/>
  <c r="S364" i="12" s="1" a="1"/>
  <c r="S364" i="12" s="1"/>
  <c r="P364" i="12" a="1"/>
  <c r="P364" i="12" s="1"/>
  <c r="Y363" i="12"/>
  <c r="Z363" i="12" s="1" a="1"/>
  <c r="Z363" i="12" s="1"/>
  <c r="R363" i="12"/>
  <c r="S363" i="12" s="1" a="1"/>
  <c r="S363" i="12" s="1"/>
  <c r="P363" i="12" a="1"/>
  <c r="P363" i="12" s="1"/>
  <c r="Y362" i="12"/>
  <c r="Z362" i="12" s="1" a="1"/>
  <c r="Z362" i="12" s="1"/>
  <c r="R362" i="12"/>
  <c r="S362" i="12" s="1" a="1"/>
  <c r="S362" i="12" s="1"/>
  <c r="P362" i="12" a="1"/>
  <c r="P362" i="12" s="1"/>
  <c r="Y361" i="12"/>
  <c r="Z361" i="12" s="1" a="1"/>
  <c r="Z361" i="12" s="1"/>
  <c r="R361" i="12"/>
  <c r="S361" i="12" s="1" a="1"/>
  <c r="S361" i="12" s="1"/>
  <c r="P361" i="12" a="1"/>
  <c r="P361" i="12" s="1"/>
  <c r="Y360" i="12"/>
  <c r="Z360" i="12" s="1" a="1"/>
  <c r="Z360" i="12" s="1"/>
  <c r="R360" i="12"/>
  <c r="S360" i="12" s="1" a="1"/>
  <c r="S360" i="12" s="1"/>
  <c r="P360" i="12" a="1"/>
  <c r="P360" i="12" s="1"/>
  <c r="Y359" i="12"/>
  <c r="Z359" i="12" s="1" a="1"/>
  <c r="Z359" i="12" s="1"/>
  <c r="R359" i="12"/>
  <c r="S359" i="12" s="1" a="1"/>
  <c r="S359" i="12" s="1"/>
  <c r="P359" i="12" a="1"/>
  <c r="P359" i="12" s="1"/>
  <c r="Y358" i="12"/>
  <c r="Z358" i="12" s="1" a="1"/>
  <c r="Z358" i="12" s="1"/>
  <c r="R358" i="12"/>
  <c r="S358" i="12" s="1" a="1"/>
  <c r="S358" i="12" s="1"/>
  <c r="P358" i="12" a="1"/>
  <c r="P358" i="12" s="1"/>
  <c r="Y357" i="12"/>
  <c r="Z357" i="12" s="1" a="1"/>
  <c r="Z357" i="12" s="1"/>
  <c r="R357" i="12"/>
  <c r="S357" i="12" s="1" a="1"/>
  <c r="S357" i="12" s="1"/>
  <c r="P357" i="12" a="1"/>
  <c r="P357" i="12" s="1"/>
  <c r="Y356" i="12"/>
  <c r="Z356" i="12" s="1" a="1"/>
  <c r="Z356" i="12" s="1"/>
  <c r="R356" i="12"/>
  <c r="S356" i="12" s="1" a="1"/>
  <c r="S356" i="12" s="1"/>
  <c r="P356" i="12" a="1"/>
  <c r="P356" i="12" s="1"/>
  <c r="Y355" i="12"/>
  <c r="Z355" i="12" s="1" a="1"/>
  <c r="Z355" i="12" s="1"/>
  <c r="R355" i="12"/>
  <c r="S355" i="12" s="1" a="1"/>
  <c r="S355" i="12" s="1"/>
  <c r="P355" i="12" a="1"/>
  <c r="P355" i="12" s="1"/>
  <c r="Y354" i="12"/>
  <c r="Z354" i="12" s="1" a="1"/>
  <c r="Z354" i="12" s="1"/>
  <c r="R354" i="12"/>
  <c r="S354" i="12" s="1" a="1"/>
  <c r="S354" i="12" s="1"/>
  <c r="P354" i="12" a="1"/>
  <c r="P354" i="12" s="1"/>
  <c r="Y353" i="12"/>
  <c r="Z353" i="12" s="1" a="1"/>
  <c r="Z353" i="12" s="1"/>
  <c r="R353" i="12"/>
  <c r="S353" i="12" s="1" a="1"/>
  <c r="S353" i="12" s="1"/>
  <c r="P353" i="12" a="1"/>
  <c r="P353" i="12" s="1"/>
  <c r="Y352" i="12"/>
  <c r="Z352" i="12" s="1" a="1"/>
  <c r="Z352" i="12" s="1"/>
  <c r="R352" i="12"/>
  <c r="S352" i="12" s="1" a="1"/>
  <c r="S352" i="12" s="1"/>
  <c r="P352" i="12" a="1"/>
  <c r="P352" i="12" s="1"/>
  <c r="Y351" i="12"/>
  <c r="Z351" i="12" s="1" a="1"/>
  <c r="Z351" i="12" s="1"/>
  <c r="R351" i="12"/>
  <c r="S351" i="12" s="1" a="1"/>
  <c r="S351" i="12" s="1"/>
  <c r="P351" i="12" a="1"/>
  <c r="P351" i="12" s="1"/>
  <c r="Y350" i="12"/>
  <c r="Z350" i="12" s="1" a="1"/>
  <c r="Z350" i="12" s="1"/>
  <c r="R350" i="12"/>
  <c r="S350" i="12" s="1" a="1"/>
  <c r="S350" i="12" s="1"/>
  <c r="P350" i="12" a="1"/>
  <c r="P350" i="12" s="1"/>
  <c r="Y349" i="12"/>
  <c r="Z349" i="12" s="1" a="1"/>
  <c r="Z349" i="12" s="1"/>
  <c r="R349" i="12"/>
  <c r="S349" i="12" s="1" a="1"/>
  <c r="S349" i="12" s="1"/>
  <c r="P349" i="12" a="1"/>
  <c r="P349" i="12" s="1"/>
  <c r="Y348" i="12"/>
  <c r="Z348" i="12" s="1" a="1"/>
  <c r="Z348" i="12" s="1"/>
  <c r="R348" i="12"/>
  <c r="S348" i="12" s="1" a="1"/>
  <c r="S348" i="12" s="1"/>
  <c r="P348" i="12" a="1"/>
  <c r="P348" i="12" s="1"/>
  <c r="Y347" i="12"/>
  <c r="Z347" i="12" s="1" a="1"/>
  <c r="Z347" i="12" s="1"/>
  <c r="R347" i="12"/>
  <c r="S347" i="12" s="1" a="1"/>
  <c r="S347" i="12" s="1"/>
  <c r="P347" i="12" a="1"/>
  <c r="P347" i="12" s="1"/>
  <c r="Y346" i="12"/>
  <c r="Z346" i="12" s="1" a="1"/>
  <c r="Z346" i="12" s="1"/>
  <c r="R346" i="12"/>
  <c r="S346" i="12" s="1" a="1"/>
  <c r="S346" i="12" s="1"/>
  <c r="P346" i="12" a="1"/>
  <c r="P346" i="12" s="1"/>
  <c r="Y345" i="12"/>
  <c r="Z345" i="12" s="1" a="1"/>
  <c r="Z345" i="12" s="1"/>
  <c r="R345" i="12"/>
  <c r="S345" i="12" s="1" a="1"/>
  <c r="S345" i="12" s="1"/>
  <c r="P345" i="12" a="1"/>
  <c r="P345" i="12" s="1"/>
  <c r="Y344" i="12"/>
  <c r="Z344" i="12" s="1" a="1"/>
  <c r="Z344" i="12" s="1"/>
  <c r="R344" i="12"/>
  <c r="S344" i="12" s="1" a="1"/>
  <c r="S344" i="12" s="1"/>
  <c r="P344" i="12" a="1"/>
  <c r="P344" i="12" s="1"/>
  <c r="Y343" i="12"/>
  <c r="Z343" i="12" s="1" a="1"/>
  <c r="Z343" i="12" s="1"/>
  <c r="R343" i="12"/>
  <c r="S343" i="12" s="1" a="1"/>
  <c r="S343" i="12" s="1"/>
  <c r="P343" i="12" a="1"/>
  <c r="P343" i="12" s="1"/>
  <c r="Y342" i="12"/>
  <c r="Z342" i="12" s="1" a="1"/>
  <c r="Z342" i="12" s="1"/>
  <c r="R342" i="12"/>
  <c r="S342" i="12" s="1" a="1"/>
  <c r="S342" i="12" s="1"/>
  <c r="P342" i="12" a="1"/>
  <c r="P342" i="12" s="1"/>
  <c r="Y341" i="12"/>
  <c r="Z341" i="12" s="1" a="1"/>
  <c r="Z341" i="12" s="1"/>
  <c r="R341" i="12"/>
  <c r="S341" i="12" s="1" a="1"/>
  <c r="S341" i="12" s="1"/>
  <c r="P341" i="12" a="1"/>
  <c r="P341" i="12" s="1"/>
  <c r="Y340" i="12"/>
  <c r="Z340" i="12" s="1" a="1"/>
  <c r="Z340" i="12" s="1"/>
  <c r="R340" i="12"/>
  <c r="S340" i="12" s="1" a="1"/>
  <c r="S340" i="12" s="1"/>
  <c r="P340" i="12" a="1"/>
  <c r="P340" i="12" s="1"/>
  <c r="Y339" i="12"/>
  <c r="Z339" i="12" s="1" a="1"/>
  <c r="Z339" i="12" s="1"/>
  <c r="R339" i="12"/>
  <c r="S339" i="12" s="1" a="1"/>
  <c r="S339" i="12" s="1"/>
  <c r="P339" i="12" a="1"/>
  <c r="P339" i="12" s="1"/>
  <c r="Y338" i="12"/>
  <c r="Z338" i="12" s="1" a="1"/>
  <c r="Z338" i="12" s="1"/>
  <c r="R338" i="12"/>
  <c r="S338" i="12" s="1" a="1"/>
  <c r="S338" i="12" s="1"/>
  <c r="P338" i="12" a="1"/>
  <c r="P338" i="12" s="1"/>
  <c r="Y337" i="12"/>
  <c r="Z337" i="12" s="1" a="1"/>
  <c r="Z337" i="12" s="1"/>
  <c r="R337" i="12"/>
  <c r="S337" i="12" s="1" a="1"/>
  <c r="S337" i="12" s="1"/>
  <c r="P337" i="12" a="1"/>
  <c r="P337" i="12" s="1"/>
  <c r="Y336" i="12"/>
  <c r="Z336" i="12" s="1" a="1"/>
  <c r="Z336" i="12" s="1"/>
  <c r="R336" i="12"/>
  <c r="S336" i="12" s="1" a="1"/>
  <c r="S336" i="12" s="1"/>
  <c r="P336" i="12" a="1"/>
  <c r="P336" i="12" s="1"/>
  <c r="Y335" i="12"/>
  <c r="Z335" i="12" s="1" a="1"/>
  <c r="Z335" i="12" s="1"/>
  <c r="R335" i="12"/>
  <c r="S335" i="12" s="1" a="1"/>
  <c r="S335" i="12" s="1"/>
  <c r="P335" i="12" a="1"/>
  <c r="P335" i="12" s="1"/>
  <c r="Y334" i="12"/>
  <c r="Z334" i="12" s="1" a="1"/>
  <c r="Z334" i="12" s="1"/>
  <c r="R334" i="12"/>
  <c r="S334" i="12" s="1" a="1"/>
  <c r="S334" i="12" s="1"/>
  <c r="P334" i="12" a="1"/>
  <c r="P334" i="12" s="1"/>
  <c r="Y333" i="12"/>
  <c r="Z333" i="12" s="1" a="1"/>
  <c r="Z333" i="12" s="1"/>
  <c r="R333" i="12"/>
  <c r="S333" i="12" s="1" a="1"/>
  <c r="S333" i="12" s="1"/>
  <c r="P333" i="12" a="1"/>
  <c r="P333" i="12" s="1"/>
  <c r="Y332" i="12"/>
  <c r="Z332" i="12" s="1" a="1"/>
  <c r="Z332" i="12" s="1"/>
  <c r="R332" i="12"/>
  <c r="S332" i="12" s="1" a="1"/>
  <c r="S332" i="12" s="1"/>
  <c r="P332" i="12" a="1"/>
  <c r="P332" i="12" s="1"/>
  <c r="Y331" i="12"/>
  <c r="Z331" i="12" s="1" a="1"/>
  <c r="Z331" i="12" s="1"/>
  <c r="R331" i="12"/>
  <c r="S331" i="12" s="1" a="1"/>
  <c r="S331" i="12" s="1"/>
  <c r="P331" i="12" a="1"/>
  <c r="P331" i="12" s="1"/>
  <c r="Y330" i="12"/>
  <c r="Z330" i="12" s="1" a="1"/>
  <c r="Z330" i="12" s="1"/>
  <c r="R330" i="12"/>
  <c r="S330" i="12" s="1" a="1"/>
  <c r="S330" i="12" s="1"/>
  <c r="P330" i="12" a="1"/>
  <c r="P330" i="12" s="1"/>
  <c r="Y329" i="12"/>
  <c r="Z329" i="12" s="1" a="1"/>
  <c r="Z329" i="12" s="1"/>
  <c r="R329" i="12"/>
  <c r="S329" i="12" s="1" a="1"/>
  <c r="S329" i="12" s="1"/>
  <c r="P329" i="12" a="1"/>
  <c r="P329" i="12" s="1"/>
  <c r="Y328" i="12"/>
  <c r="Z328" i="12" s="1" a="1"/>
  <c r="Z328" i="12" s="1"/>
  <c r="R328" i="12"/>
  <c r="S328" i="12" s="1" a="1"/>
  <c r="S328" i="12" s="1"/>
  <c r="P328" i="12" a="1"/>
  <c r="P328" i="12" s="1"/>
  <c r="Y327" i="12"/>
  <c r="Z327" i="12" s="1" a="1"/>
  <c r="Z327" i="12" s="1"/>
  <c r="R327" i="12"/>
  <c r="S327" i="12" s="1" a="1"/>
  <c r="S327" i="12" s="1"/>
  <c r="P327" i="12" a="1"/>
  <c r="P327" i="12" s="1"/>
  <c r="Y326" i="12"/>
  <c r="Z326" i="12" s="1" a="1"/>
  <c r="Z326" i="12" s="1"/>
  <c r="R326" i="12"/>
  <c r="S326" i="12" s="1" a="1"/>
  <c r="S326" i="12" s="1"/>
  <c r="P326" i="12" a="1"/>
  <c r="P326" i="12" s="1"/>
  <c r="Y325" i="12"/>
  <c r="Z325" i="12" s="1" a="1"/>
  <c r="Z325" i="12" s="1"/>
  <c r="R325" i="12"/>
  <c r="S325" i="12" s="1" a="1"/>
  <c r="S325" i="12" s="1"/>
  <c r="P325" i="12" a="1"/>
  <c r="P325" i="12" s="1"/>
  <c r="Y324" i="12"/>
  <c r="Z324" i="12" s="1" a="1"/>
  <c r="Z324" i="12" s="1"/>
  <c r="R324" i="12"/>
  <c r="S324" i="12" s="1" a="1"/>
  <c r="S324" i="12" s="1"/>
  <c r="P324" i="12" a="1"/>
  <c r="P324" i="12" s="1"/>
  <c r="Y323" i="12"/>
  <c r="Z323" i="12" s="1" a="1"/>
  <c r="Z323" i="12" s="1"/>
  <c r="R323" i="12"/>
  <c r="S323" i="12" s="1" a="1"/>
  <c r="S323" i="12" s="1"/>
  <c r="P323" i="12" a="1"/>
  <c r="P323" i="12" s="1"/>
  <c r="Y322" i="12"/>
  <c r="Z322" i="12" s="1" a="1"/>
  <c r="Z322" i="12" s="1"/>
  <c r="R322" i="12"/>
  <c r="S322" i="12" s="1" a="1"/>
  <c r="S322" i="12" s="1"/>
  <c r="P322" i="12" a="1"/>
  <c r="P322" i="12" s="1"/>
  <c r="Y321" i="12"/>
  <c r="Z321" i="12" s="1" a="1"/>
  <c r="Z321" i="12" s="1"/>
  <c r="R321" i="12"/>
  <c r="S321" i="12" s="1" a="1"/>
  <c r="S321" i="12" s="1"/>
  <c r="P321" i="12" a="1"/>
  <c r="P321" i="12" s="1"/>
  <c r="Y320" i="12"/>
  <c r="Z320" i="12" s="1" a="1"/>
  <c r="Z320" i="12" s="1"/>
  <c r="R320" i="12"/>
  <c r="S320" i="12" s="1" a="1"/>
  <c r="S320" i="12" s="1"/>
  <c r="P320" i="12" a="1"/>
  <c r="P320" i="12" s="1"/>
  <c r="Y319" i="12"/>
  <c r="Z319" i="12" s="1" a="1"/>
  <c r="Z319" i="12" s="1"/>
  <c r="R319" i="12"/>
  <c r="S319" i="12" s="1" a="1"/>
  <c r="S319" i="12" s="1"/>
  <c r="P319" i="12" a="1"/>
  <c r="P319" i="12" s="1"/>
  <c r="Y318" i="12"/>
  <c r="Z318" i="12" s="1" a="1"/>
  <c r="Z318" i="12" s="1"/>
  <c r="R318" i="12"/>
  <c r="S318" i="12" s="1" a="1"/>
  <c r="S318" i="12" s="1"/>
  <c r="P318" i="12" a="1"/>
  <c r="P318" i="12" s="1"/>
  <c r="Y317" i="12"/>
  <c r="Z317" i="12" s="1" a="1"/>
  <c r="Z317" i="12" s="1"/>
  <c r="R317" i="12"/>
  <c r="S317" i="12" s="1" a="1"/>
  <c r="S317" i="12" s="1"/>
  <c r="P317" i="12" a="1"/>
  <c r="P317" i="12" s="1"/>
  <c r="Y316" i="12"/>
  <c r="Z316" i="12" s="1" a="1"/>
  <c r="Z316" i="12" s="1"/>
  <c r="R316" i="12"/>
  <c r="S316" i="12" s="1" a="1"/>
  <c r="S316" i="12" s="1"/>
  <c r="P316" i="12" a="1"/>
  <c r="P316" i="12" s="1"/>
  <c r="Y315" i="12"/>
  <c r="Z315" i="12" s="1" a="1"/>
  <c r="Z315" i="12" s="1"/>
  <c r="R315" i="12"/>
  <c r="S315" i="12" s="1" a="1"/>
  <c r="S315" i="12" s="1"/>
  <c r="P315" i="12" a="1"/>
  <c r="P315" i="12" s="1"/>
  <c r="Y314" i="12"/>
  <c r="Z314" i="12" s="1" a="1"/>
  <c r="Z314" i="12" s="1"/>
  <c r="R314" i="12"/>
  <c r="S314" i="12" s="1" a="1"/>
  <c r="S314" i="12" s="1"/>
  <c r="P314" i="12" a="1"/>
  <c r="P314" i="12" s="1"/>
  <c r="Y313" i="12"/>
  <c r="Z313" i="12" s="1" a="1"/>
  <c r="Z313" i="12" s="1"/>
  <c r="R313" i="12"/>
  <c r="S313" i="12" s="1" a="1"/>
  <c r="S313" i="12" s="1"/>
  <c r="P313" i="12" a="1"/>
  <c r="P313" i="12" s="1"/>
  <c r="Y312" i="12"/>
  <c r="Z312" i="12" s="1" a="1"/>
  <c r="Z312" i="12" s="1"/>
  <c r="R312" i="12"/>
  <c r="S312" i="12" s="1" a="1"/>
  <c r="S312" i="12" s="1"/>
  <c r="P312" i="12" a="1"/>
  <c r="P312" i="12" s="1"/>
  <c r="Y311" i="12"/>
  <c r="Z311" i="12" s="1" a="1"/>
  <c r="Z311" i="12" s="1"/>
  <c r="R311" i="12"/>
  <c r="S311" i="12" s="1" a="1"/>
  <c r="S311" i="12" s="1"/>
  <c r="P311" i="12" a="1"/>
  <c r="P311" i="12" s="1"/>
  <c r="Y310" i="12"/>
  <c r="Z310" i="12" s="1" a="1"/>
  <c r="Z310" i="12" s="1"/>
  <c r="R310" i="12"/>
  <c r="S310" i="12" s="1" a="1"/>
  <c r="S310" i="12" s="1"/>
  <c r="P310" i="12" a="1"/>
  <c r="P310" i="12" s="1"/>
  <c r="Y309" i="12"/>
  <c r="Z309" i="12" s="1" a="1"/>
  <c r="Z309" i="12" s="1"/>
  <c r="R309" i="12"/>
  <c r="S309" i="12" s="1" a="1"/>
  <c r="S309" i="12" s="1"/>
  <c r="P309" i="12" a="1"/>
  <c r="P309" i="12" s="1"/>
  <c r="Y308" i="12"/>
  <c r="Z308" i="12" s="1" a="1"/>
  <c r="Z308" i="12" s="1"/>
  <c r="R308" i="12"/>
  <c r="S308" i="12" s="1" a="1"/>
  <c r="S308" i="12" s="1"/>
  <c r="P308" i="12" a="1"/>
  <c r="P308" i="12" s="1"/>
  <c r="Y307" i="12"/>
  <c r="Z307" i="12" s="1" a="1"/>
  <c r="Z307" i="12" s="1"/>
  <c r="R307" i="12"/>
  <c r="S307" i="12" s="1" a="1"/>
  <c r="S307" i="12" s="1"/>
  <c r="P307" i="12" a="1"/>
  <c r="P307" i="12" s="1"/>
  <c r="Y306" i="12"/>
  <c r="Z306" i="12" s="1" a="1"/>
  <c r="Z306" i="12" s="1"/>
  <c r="R306" i="12"/>
  <c r="S306" i="12" s="1" a="1"/>
  <c r="S306" i="12" s="1"/>
  <c r="P306" i="12" a="1"/>
  <c r="P306" i="12" s="1"/>
  <c r="Y305" i="12"/>
  <c r="Z305" i="12" s="1" a="1"/>
  <c r="Z305" i="12" s="1"/>
  <c r="R305" i="12"/>
  <c r="S305" i="12" s="1" a="1"/>
  <c r="S305" i="12" s="1"/>
  <c r="P305" i="12" a="1"/>
  <c r="P305" i="12" s="1"/>
  <c r="Y304" i="12"/>
  <c r="Z304" i="12" s="1" a="1"/>
  <c r="Z304" i="12" s="1"/>
  <c r="R304" i="12"/>
  <c r="S304" i="12" s="1" a="1"/>
  <c r="S304" i="12" s="1"/>
  <c r="P304" i="12" a="1"/>
  <c r="P304" i="12" s="1"/>
  <c r="Y303" i="12"/>
  <c r="Z303" i="12" s="1" a="1"/>
  <c r="Z303" i="12" s="1"/>
  <c r="R303" i="12"/>
  <c r="S303" i="12" s="1" a="1"/>
  <c r="S303" i="12" s="1"/>
  <c r="P303" i="12" a="1"/>
  <c r="P303" i="12" s="1"/>
  <c r="Y302" i="12"/>
  <c r="Z302" i="12" s="1" a="1"/>
  <c r="Z302" i="12" s="1"/>
  <c r="R302" i="12"/>
  <c r="S302" i="12" s="1" a="1"/>
  <c r="S302" i="12" s="1"/>
  <c r="P302" i="12" a="1"/>
  <c r="P302" i="12" s="1"/>
  <c r="Y301" i="12"/>
  <c r="Z301" i="12" s="1" a="1"/>
  <c r="Z301" i="12" s="1"/>
  <c r="R301" i="12"/>
  <c r="S301" i="12" s="1" a="1"/>
  <c r="S301" i="12" s="1"/>
  <c r="P301" i="12" a="1"/>
  <c r="P301" i="12" s="1"/>
  <c r="Y300" i="12"/>
  <c r="Z300" i="12" s="1" a="1"/>
  <c r="Z300" i="12" s="1"/>
  <c r="R300" i="12"/>
  <c r="S300" i="12" s="1" a="1"/>
  <c r="S300" i="12" s="1"/>
  <c r="P300" i="12" a="1"/>
  <c r="P300" i="12" s="1"/>
  <c r="Y299" i="12"/>
  <c r="Z299" i="12" s="1" a="1"/>
  <c r="Z299" i="12" s="1"/>
  <c r="R299" i="12"/>
  <c r="S299" i="12" s="1" a="1"/>
  <c r="S299" i="12" s="1"/>
  <c r="P299" i="12" a="1"/>
  <c r="P299" i="12" s="1"/>
  <c r="J299" i="12" s="1"/>
  <c r="Y298" i="12"/>
  <c r="Z298" i="12" s="1" a="1"/>
  <c r="Z298" i="12" s="1"/>
  <c r="R298" i="12"/>
  <c r="S298" i="12" s="1" a="1"/>
  <c r="S298" i="12" s="1"/>
  <c r="P298" i="12" a="1"/>
  <c r="P298" i="12" s="1"/>
  <c r="J298" i="12" s="1"/>
  <c r="Y297" i="12"/>
  <c r="Z297" i="12" s="1" a="1"/>
  <c r="Z297" i="12" s="1"/>
  <c r="R297" i="12"/>
  <c r="S297" i="12" s="1" a="1"/>
  <c r="S297" i="12" s="1"/>
  <c r="P297" i="12" a="1"/>
  <c r="P297" i="12" s="1"/>
  <c r="J297" i="12" s="1"/>
  <c r="Y296" i="12"/>
  <c r="Z296" i="12" s="1" a="1"/>
  <c r="Z296" i="12" s="1"/>
  <c r="R296" i="12"/>
  <c r="S296" i="12" s="1" a="1"/>
  <c r="S296" i="12" s="1"/>
  <c r="P296" i="12" a="1"/>
  <c r="P296" i="12" s="1"/>
  <c r="J296" i="12" s="1"/>
  <c r="Y295" i="12"/>
  <c r="Z295" i="12" s="1" a="1"/>
  <c r="Z295" i="12" s="1"/>
  <c r="R295" i="12"/>
  <c r="S295" i="12" s="1" a="1"/>
  <c r="S295" i="12" s="1"/>
  <c r="P295" i="12" a="1"/>
  <c r="P295" i="12" s="1"/>
  <c r="J295" i="12" s="1"/>
  <c r="Y294" i="12"/>
  <c r="Z294" i="12" s="1" a="1"/>
  <c r="Z294" i="12" s="1"/>
  <c r="R294" i="12"/>
  <c r="S294" i="12" s="1" a="1"/>
  <c r="S294" i="12" s="1"/>
  <c r="P294" i="12" a="1"/>
  <c r="P294" i="12" s="1"/>
  <c r="J294" i="12" s="1"/>
  <c r="Y293" i="12"/>
  <c r="Z293" i="12" s="1" a="1"/>
  <c r="Z293" i="12" s="1"/>
  <c r="R293" i="12"/>
  <c r="S293" i="12" s="1" a="1"/>
  <c r="S293" i="12" s="1"/>
  <c r="P293" i="12" a="1"/>
  <c r="P293" i="12" s="1"/>
  <c r="J293" i="12" s="1"/>
  <c r="Y292" i="12"/>
  <c r="Z292" i="12" s="1" a="1"/>
  <c r="Z292" i="12" s="1"/>
  <c r="R292" i="12"/>
  <c r="S292" i="12" s="1" a="1"/>
  <c r="S292" i="12" s="1"/>
  <c r="P292" i="12" a="1"/>
  <c r="P292" i="12" s="1"/>
  <c r="J292" i="12" s="1"/>
  <c r="Y291" i="12"/>
  <c r="Z291" i="12" s="1" a="1"/>
  <c r="Z291" i="12" s="1"/>
  <c r="R291" i="12"/>
  <c r="S291" i="12" s="1" a="1"/>
  <c r="S291" i="12" s="1"/>
  <c r="P291" i="12" a="1"/>
  <c r="P291" i="12" s="1"/>
  <c r="J291" i="12" s="1"/>
  <c r="Y290" i="12"/>
  <c r="Z290" i="12" s="1" a="1"/>
  <c r="Z290" i="12" s="1"/>
  <c r="R290" i="12"/>
  <c r="S290" i="12" s="1" a="1"/>
  <c r="S290" i="12" s="1"/>
  <c r="P290" i="12" a="1"/>
  <c r="P290" i="12" s="1"/>
  <c r="J290" i="12" s="1"/>
  <c r="Y289" i="12"/>
  <c r="Z289" i="12" s="1" a="1"/>
  <c r="Z289" i="12" s="1"/>
  <c r="R289" i="12"/>
  <c r="S289" i="12" s="1" a="1"/>
  <c r="S289" i="12" s="1"/>
  <c r="P289" i="12" a="1"/>
  <c r="P289" i="12" s="1"/>
  <c r="J289" i="12" s="1"/>
  <c r="Y288" i="12"/>
  <c r="Z288" i="12" s="1" a="1"/>
  <c r="Z288" i="12" s="1"/>
  <c r="R288" i="12"/>
  <c r="S288" i="12" s="1" a="1"/>
  <c r="S288" i="12" s="1"/>
  <c r="P288" i="12" a="1"/>
  <c r="P288" i="12" s="1"/>
  <c r="J288" i="12" s="1"/>
  <c r="Y287" i="12"/>
  <c r="Z287" i="12" s="1" a="1"/>
  <c r="Z287" i="12" s="1"/>
  <c r="R287" i="12"/>
  <c r="S287" i="12" s="1" a="1"/>
  <c r="S287" i="12" s="1"/>
  <c r="P287" i="12" a="1"/>
  <c r="P287" i="12" s="1"/>
  <c r="J287" i="12" s="1"/>
  <c r="Y286" i="12"/>
  <c r="Z286" i="12" s="1" a="1"/>
  <c r="Z286" i="12" s="1"/>
  <c r="R286" i="12"/>
  <c r="S286" i="12" s="1" a="1"/>
  <c r="S286" i="12" s="1"/>
  <c r="P286" i="12" a="1"/>
  <c r="P286" i="12" s="1"/>
  <c r="J286" i="12" s="1"/>
  <c r="Y285" i="12"/>
  <c r="Z285" i="12" s="1" a="1"/>
  <c r="Z285" i="12" s="1"/>
  <c r="R285" i="12"/>
  <c r="S285" i="12" s="1" a="1"/>
  <c r="S285" i="12" s="1"/>
  <c r="P285" i="12" a="1"/>
  <c r="P285" i="12" s="1"/>
  <c r="J285" i="12" s="1"/>
  <c r="Y284" i="12"/>
  <c r="Z284" i="12" s="1" a="1"/>
  <c r="Z284" i="12" s="1"/>
  <c r="R284" i="12"/>
  <c r="S284" i="12" s="1" a="1"/>
  <c r="S284" i="12" s="1"/>
  <c r="P284" i="12" a="1"/>
  <c r="P284" i="12" s="1"/>
  <c r="J284" i="12" s="1"/>
  <c r="Y283" i="12"/>
  <c r="Z283" i="12" s="1" a="1"/>
  <c r="Z283" i="12" s="1"/>
  <c r="R283" i="12"/>
  <c r="S283" i="12" s="1" a="1"/>
  <c r="S283" i="12" s="1"/>
  <c r="P283" i="12" a="1"/>
  <c r="P283" i="12" s="1"/>
  <c r="J283" i="12" s="1"/>
  <c r="Y282" i="12"/>
  <c r="Z282" i="12" s="1" a="1"/>
  <c r="Z282" i="12" s="1"/>
  <c r="R282" i="12"/>
  <c r="S282" i="12" s="1" a="1"/>
  <c r="S282" i="12" s="1"/>
  <c r="P282" i="12" a="1"/>
  <c r="P282" i="12" s="1"/>
  <c r="J282" i="12" s="1"/>
  <c r="Y281" i="12"/>
  <c r="Z281" i="12" s="1" a="1"/>
  <c r="Z281" i="12" s="1"/>
  <c r="R281" i="12"/>
  <c r="S281" i="12" s="1" a="1"/>
  <c r="S281" i="12" s="1"/>
  <c r="P281" i="12" a="1"/>
  <c r="P281" i="12" s="1"/>
  <c r="J281" i="12" s="1"/>
  <c r="Y280" i="12"/>
  <c r="Z280" i="12" s="1" a="1"/>
  <c r="Z280" i="12" s="1"/>
  <c r="R280" i="12"/>
  <c r="S280" i="12" s="1" a="1"/>
  <c r="S280" i="12" s="1"/>
  <c r="P280" i="12" a="1"/>
  <c r="P280" i="12" s="1"/>
  <c r="J280" i="12" s="1"/>
  <c r="Y279" i="12"/>
  <c r="Z279" i="12" s="1" a="1"/>
  <c r="Z279" i="12" s="1"/>
  <c r="R279" i="12"/>
  <c r="S279" i="12" s="1" a="1"/>
  <c r="S279" i="12" s="1"/>
  <c r="P279" i="12" a="1"/>
  <c r="P279" i="12" s="1"/>
  <c r="J279" i="12" s="1"/>
  <c r="Y278" i="12"/>
  <c r="Z278" i="12" s="1" a="1"/>
  <c r="Z278" i="12" s="1"/>
  <c r="R278" i="12"/>
  <c r="S278" i="12" s="1" a="1"/>
  <c r="S278" i="12" s="1"/>
  <c r="P278" i="12" a="1"/>
  <c r="P278" i="12" s="1"/>
  <c r="J278" i="12" s="1"/>
  <c r="Y277" i="12"/>
  <c r="Z277" i="12" s="1" a="1"/>
  <c r="Z277" i="12" s="1"/>
  <c r="R277" i="12"/>
  <c r="S277" i="12" s="1" a="1"/>
  <c r="S277" i="12" s="1"/>
  <c r="P277" i="12" a="1"/>
  <c r="P277" i="12" s="1"/>
  <c r="J277" i="12" s="1"/>
  <c r="Y276" i="12"/>
  <c r="Z276" i="12" s="1" a="1"/>
  <c r="Z276" i="12" s="1"/>
  <c r="R276" i="12"/>
  <c r="S276" i="12" s="1" a="1"/>
  <c r="S276" i="12" s="1"/>
  <c r="P276" i="12" a="1"/>
  <c r="P276" i="12" s="1"/>
  <c r="J276" i="12" s="1"/>
  <c r="Y275" i="12"/>
  <c r="Z275" i="12" s="1" a="1"/>
  <c r="Z275" i="12" s="1"/>
  <c r="R275" i="12"/>
  <c r="S275" i="12" s="1" a="1"/>
  <c r="S275" i="12" s="1"/>
  <c r="P275" i="12" a="1"/>
  <c r="P275" i="12" s="1"/>
  <c r="J275" i="12" s="1"/>
  <c r="Y274" i="12"/>
  <c r="Z274" i="12" s="1" a="1"/>
  <c r="Z274" i="12" s="1"/>
  <c r="R274" i="12"/>
  <c r="S274" i="12" s="1" a="1"/>
  <c r="S274" i="12" s="1"/>
  <c r="P274" i="12" a="1"/>
  <c r="P274" i="12" s="1"/>
  <c r="J274" i="12" s="1"/>
  <c r="Y273" i="12"/>
  <c r="Z273" i="12" s="1" a="1"/>
  <c r="Z273" i="12" s="1"/>
  <c r="R273" i="12"/>
  <c r="S273" i="12" s="1" a="1"/>
  <c r="S273" i="12" s="1"/>
  <c r="P273" i="12" a="1"/>
  <c r="P273" i="12" s="1"/>
  <c r="J273" i="12" s="1"/>
  <c r="Y272" i="12"/>
  <c r="Z272" i="12" s="1" a="1"/>
  <c r="Z272" i="12" s="1"/>
  <c r="R272" i="12"/>
  <c r="S272" i="12" s="1" a="1"/>
  <c r="S272" i="12" s="1"/>
  <c r="P272" i="12" a="1"/>
  <c r="P272" i="12" s="1"/>
  <c r="J272" i="12" s="1"/>
  <c r="Y271" i="12"/>
  <c r="Z271" i="12" s="1" a="1"/>
  <c r="Z271" i="12" s="1"/>
  <c r="R271" i="12"/>
  <c r="S271" i="12" s="1" a="1"/>
  <c r="S271" i="12" s="1"/>
  <c r="P271" i="12" a="1"/>
  <c r="P271" i="12" s="1"/>
  <c r="J271" i="12" s="1"/>
  <c r="Y270" i="12"/>
  <c r="Z270" i="12" s="1" a="1"/>
  <c r="Z270" i="12" s="1"/>
  <c r="R270" i="12"/>
  <c r="S270" i="12" s="1" a="1"/>
  <c r="S270" i="12" s="1"/>
  <c r="P270" i="12" a="1"/>
  <c r="P270" i="12" s="1"/>
  <c r="J270" i="12" s="1"/>
  <c r="Y269" i="12"/>
  <c r="Z269" i="12" s="1" a="1"/>
  <c r="Z269" i="12" s="1"/>
  <c r="R269" i="12"/>
  <c r="S269" i="12" s="1" a="1"/>
  <c r="S269" i="12" s="1"/>
  <c r="P269" i="12" a="1"/>
  <c r="P269" i="12" s="1"/>
  <c r="J269" i="12" s="1"/>
  <c r="Y268" i="12"/>
  <c r="Z268" i="12" s="1" a="1"/>
  <c r="Z268" i="12" s="1"/>
  <c r="R268" i="12"/>
  <c r="S268" i="12" s="1" a="1"/>
  <c r="S268" i="12" s="1"/>
  <c r="P268" i="12" a="1"/>
  <c r="P268" i="12" s="1"/>
  <c r="J268" i="12" s="1"/>
  <c r="Y267" i="12"/>
  <c r="Z267" i="12" s="1" a="1"/>
  <c r="Z267" i="12" s="1"/>
  <c r="R267" i="12"/>
  <c r="S267" i="12" s="1" a="1"/>
  <c r="S267" i="12" s="1"/>
  <c r="P267" i="12" a="1"/>
  <c r="P267" i="12" s="1"/>
  <c r="J267" i="12" s="1"/>
  <c r="Y266" i="12"/>
  <c r="Z266" i="12" s="1" a="1"/>
  <c r="Z266" i="12" s="1"/>
  <c r="R266" i="12"/>
  <c r="S266" i="12" s="1" a="1"/>
  <c r="S266" i="12" s="1"/>
  <c r="P266" i="12" a="1"/>
  <c r="P266" i="12" s="1"/>
  <c r="J266" i="12" s="1"/>
  <c r="Y265" i="12"/>
  <c r="Z265" i="12" s="1" a="1"/>
  <c r="Z265" i="12" s="1"/>
  <c r="R265" i="12"/>
  <c r="S265" i="12" s="1" a="1"/>
  <c r="S265" i="12" s="1"/>
  <c r="P265" i="12" a="1"/>
  <c r="P265" i="12" s="1"/>
  <c r="J265" i="12" s="1"/>
  <c r="Y264" i="12"/>
  <c r="Z264" i="12" s="1" a="1"/>
  <c r="Z264" i="12" s="1"/>
  <c r="R264" i="12"/>
  <c r="S264" i="12" s="1" a="1"/>
  <c r="S264" i="12" s="1"/>
  <c r="P264" i="12" a="1"/>
  <c r="P264" i="12" s="1"/>
  <c r="J264" i="12" s="1"/>
  <c r="Y263" i="12"/>
  <c r="Z263" i="12" s="1" a="1"/>
  <c r="Z263" i="12" s="1"/>
  <c r="R263" i="12"/>
  <c r="S263" i="12" s="1" a="1"/>
  <c r="S263" i="12" s="1"/>
  <c r="P263" i="12" a="1"/>
  <c r="P263" i="12" s="1"/>
  <c r="J263" i="12" s="1"/>
  <c r="Y262" i="12"/>
  <c r="Z262" i="12" s="1" a="1"/>
  <c r="Z262" i="12" s="1"/>
  <c r="R262" i="12"/>
  <c r="S262" i="12" s="1" a="1"/>
  <c r="S262" i="12" s="1"/>
  <c r="P262" i="12" a="1"/>
  <c r="P262" i="12" s="1"/>
  <c r="J262" i="12" s="1"/>
  <c r="Y261" i="12"/>
  <c r="Z261" i="12" s="1" a="1"/>
  <c r="Z261" i="12" s="1"/>
  <c r="R261" i="12"/>
  <c r="S261" i="12" s="1" a="1"/>
  <c r="S261" i="12" s="1"/>
  <c r="P261" i="12" a="1"/>
  <c r="P261" i="12" s="1"/>
  <c r="J261" i="12" s="1"/>
  <c r="Y260" i="12"/>
  <c r="Z260" i="12" s="1" a="1"/>
  <c r="Z260" i="12" s="1"/>
  <c r="R260" i="12"/>
  <c r="S260" i="12" s="1" a="1"/>
  <c r="S260" i="12" s="1"/>
  <c r="P260" i="12" a="1"/>
  <c r="P260" i="12" s="1"/>
  <c r="J260" i="12" s="1"/>
  <c r="Y259" i="12"/>
  <c r="Z259" i="12" s="1" a="1"/>
  <c r="Z259" i="12" s="1"/>
  <c r="R259" i="12"/>
  <c r="S259" i="12" s="1" a="1"/>
  <c r="S259" i="12" s="1"/>
  <c r="P259" i="12" a="1"/>
  <c r="P259" i="12" s="1"/>
  <c r="J259" i="12" s="1"/>
  <c r="Y258" i="12"/>
  <c r="Z258" i="12" s="1" a="1"/>
  <c r="Z258" i="12" s="1"/>
  <c r="R258" i="12"/>
  <c r="S258" i="12" s="1" a="1"/>
  <c r="S258" i="12" s="1"/>
  <c r="P258" i="12" a="1"/>
  <c r="P258" i="12" s="1"/>
  <c r="J258" i="12" s="1"/>
  <c r="Y257" i="12"/>
  <c r="Z257" i="12" s="1" a="1"/>
  <c r="Z257" i="12" s="1"/>
  <c r="R257" i="12"/>
  <c r="S257" i="12" s="1" a="1"/>
  <c r="S257" i="12" s="1"/>
  <c r="P257" i="12" a="1"/>
  <c r="P257" i="12" s="1"/>
  <c r="J257" i="12" s="1"/>
  <c r="Y256" i="12"/>
  <c r="Z256" i="12" s="1" a="1"/>
  <c r="Z256" i="12" s="1"/>
  <c r="R256" i="12"/>
  <c r="S256" i="12" s="1" a="1"/>
  <c r="S256" i="12" s="1"/>
  <c r="P256" i="12" a="1"/>
  <c r="P256" i="12" s="1"/>
  <c r="J256" i="12" s="1"/>
  <c r="Y255" i="12"/>
  <c r="Z255" i="12" s="1" a="1"/>
  <c r="Z255" i="12" s="1"/>
  <c r="R255" i="12"/>
  <c r="S255" i="12" s="1" a="1"/>
  <c r="S255" i="12" s="1"/>
  <c r="P255" i="12" a="1"/>
  <c r="P255" i="12" s="1"/>
  <c r="J255" i="12" s="1"/>
  <c r="Y254" i="12"/>
  <c r="Z254" i="12" s="1" a="1"/>
  <c r="Z254" i="12" s="1"/>
  <c r="R254" i="12"/>
  <c r="S254" i="12" s="1" a="1"/>
  <c r="S254" i="12" s="1"/>
  <c r="P254" i="12" a="1"/>
  <c r="P254" i="12" s="1"/>
  <c r="J254" i="12" s="1"/>
  <c r="Y253" i="12"/>
  <c r="Z253" i="12" s="1" a="1"/>
  <c r="Z253" i="12" s="1"/>
  <c r="R253" i="12"/>
  <c r="S253" i="12" s="1" a="1"/>
  <c r="S253" i="12" s="1"/>
  <c r="P253" i="12" a="1"/>
  <c r="P253" i="12" s="1"/>
  <c r="J253" i="12" s="1"/>
  <c r="Y252" i="12"/>
  <c r="Z252" i="12" s="1" a="1"/>
  <c r="Z252" i="12" s="1"/>
  <c r="R252" i="12"/>
  <c r="S252" i="12" s="1" a="1"/>
  <c r="S252" i="12" s="1"/>
  <c r="P252" i="12" a="1"/>
  <c r="P252" i="12" s="1"/>
  <c r="J252" i="12" s="1"/>
  <c r="Y251" i="12"/>
  <c r="Z251" i="12" s="1" a="1"/>
  <c r="Z251" i="12" s="1"/>
  <c r="R251" i="12"/>
  <c r="S251" i="12" s="1" a="1"/>
  <c r="S251" i="12" s="1"/>
  <c r="P251" i="12" a="1"/>
  <c r="P251" i="12" s="1"/>
  <c r="J251" i="12" s="1"/>
  <c r="Y250" i="12"/>
  <c r="Z250" i="12" s="1" a="1"/>
  <c r="Z250" i="12" s="1"/>
  <c r="R250" i="12"/>
  <c r="S250" i="12" s="1" a="1"/>
  <c r="S250" i="12" s="1"/>
  <c r="P250" i="12" a="1"/>
  <c r="P250" i="12" s="1"/>
  <c r="J250" i="12" s="1"/>
  <c r="Y249" i="12"/>
  <c r="Z249" i="12" s="1" a="1"/>
  <c r="Z249" i="12" s="1"/>
  <c r="R249" i="12"/>
  <c r="S249" i="12" s="1" a="1"/>
  <c r="S249" i="12" s="1"/>
  <c r="P249" i="12" a="1"/>
  <c r="P249" i="12" s="1"/>
  <c r="J249" i="12" s="1"/>
  <c r="Y248" i="12"/>
  <c r="Z248" i="12" s="1" a="1"/>
  <c r="Z248" i="12" s="1"/>
  <c r="R248" i="12"/>
  <c r="S248" i="12" s="1" a="1"/>
  <c r="S248" i="12" s="1"/>
  <c r="P248" i="12" a="1"/>
  <c r="P248" i="12" s="1"/>
  <c r="J248" i="12" s="1"/>
  <c r="Y247" i="12"/>
  <c r="Z247" i="12" s="1" a="1"/>
  <c r="Z247" i="12" s="1"/>
  <c r="R247" i="12"/>
  <c r="S247" i="12" s="1" a="1"/>
  <c r="S247" i="12" s="1"/>
  <c r="P247" i="12" a="1"/>
  <c r="P247" i="12" s="1"/>
  <c r="J247" i="12" s="1"/>
  <c r="Y246" i="12"/>
  <c r="Z246" i="12" s="1" a="1"/>
  <c r="Z246" i="12" s="1"/>
  <c r="R246" i="12"/>
  <c r="S246" i="12" s="1" a="1"/>
  <c r="S246" i="12" s="1"/>
  <c r="P246" i="12" a="1"/>
  <c r="P246" i="12" s="1"/>
  <c r="J246" i="12" s="1"/>
  <c r="Y245" i="12"/>
  <c r="Z245" i="12" s="1" a="1"/>
  <c r="Z245" i="12" s="1"/>
  <c r="R245" i="12"/>
  <c r="S245" i="12" s="1" a="1"/>
  <c r="S245" i="12" s="1"/>
  <c r="P245" i="12" a="1"/>
  <c r="P245" i="12" s="1"/>
  <c r="J245" i="12" s="1"/>
  <c r="Y244" i="12"/>
  <c r="Z244" i="12" s="1" a="1"/>
  <c r="Z244" i="12" s="1"/>
  <c r="R244" i="12"/>
  <c r="S244" i="12" s="1" a="1"/>
  <c r="S244" i="12" s="1"/>
  <c r="P244" i="12" a="1"/>
  <c r="P244" i="12" s="1"/>
  <c r="J244" i="12" s="1"/>
  <c r="Y243" i="12"/>
  <c r="Z243" i="12" s="1" a="1"/>
  <c r="Z243" i="12" s="1"/>
  <c r="R243" i="12"/>
  <c r="S243" i="12" s="1" a="1"/>
  <c r="S243" i="12" s="1"/>
  <c r="P243" i="12" a="1"/>
  <c r="P243" i="12" s="1"/>
  <c r="J243" i="12" s="1"/>
  <c r="Y242" i="12"/>
  <c r="Z242" i="12" s="1" a="1"/>
  <c r="Z242" i="12" s="1"/>
  <c r="R242" i="12"/>
  <c r="S242" i="12" s="1" a="1"/>
  <c r="S242" i="12" s="1"/>
  <c r="P242" i="12" a="1"/>
  <c r="P242" i="12" s="1"/>
  <c r="J242" i="12" s="1"/>
  <c r="Y241" i="12"/>
  <c r="Z241" i="12" s="1" a="1"/>
  <c r="Z241" i="12" s="1"/>
  <c r="R241" i="12"/>
  <c r="S241" i="12" s="1" a="1"/>
  <c r="S241" i="12" s="1"/>
  <c r="P241" i="12" a="1"/>
  <c r="P241" i="12" s="1"/>
  <c r="J241" i="12" s="1"/>
  <c r="Y240" i="12"/>
  <c r="Z240" i="12" s="1" a="1"/>
  <c r="Z240" i="12" s="1"/>
  <c r="R240" i="12"/>
  <c r="S240" i="12" s="1" a="1"/>
  <c r="S240" i="12" s="1"/>
  <c r="P240" i="12" a="1"/>
  <c r="P240" i="12" s="1"/>
  <c r="J240" i="12" s="1"/>
  <c r="Y239" i="12"/>
  <c r="Z239" i="12" s="1" a="1"/>
  <c r="Z239" i="12" s="1"/>
  <c r="R239" i="12"/>
  <c r="S239" i="12" s="1" a="1"/>
  <c r="S239" i="12" s="1"/>
  <c r="P239" i="12" a="1"/>
  <c r="P239" i="12" s="1"/>
  <c r="J239" i="12" s="1"/>
  <c r="Y238" i="12"/>
  <c r="Z238" i="12" s="1" a="1"/>
  <c r="Z238" i="12" s="1"/>
  <c r="R238" i="12"/>
  <c r="S238" i="12" s="1" a="1"/>
  <c r="S238" i="12" s="1"/>
  <c r="P238" i="12" a="1"/>
  <c r="P238" i="12" s="1"/>
  <c r="J238" i="12" s="1"/>
  <c r="Y237" i="12"/>
  <c r="Z237" i="12" s="1" a="1"/>
  <c r="Z237" i="12" s="1"/>
  <c r="R237" i="12"/>
  <c r="S237" i="12" s="1" a="1"/>
  <c r="S237" i="12" s="1"/>
  <c r="P237" i="12" a="1"/>
  <c r="P237" i="12" s="1"/>
  <c r="J237" i="12" s="1"/>
  <c r="Y236" i="12"/>
  <c r="Z236" i="12" s="1" a="1"/>
  <c r="Z236" i="12" s="1"/>
  <c r="R236" i="12"/>
  <c r="S236" i="12" s="1" a="1"/>
  <c r="S236" i="12" s="1"/>
  <c r="P236" i="12" a="1"/>
  <c r="P236" i="12" s="1"/>
  <c r="J236" i="12" s="1"/>
  <c r="Y235" i="12"/>
  <c r="Z235" i="12" s="1" a="1"/>
  <c r="Z235" i="12" s="1"/>
  <c r="R235" i="12"/>
  <c r="S235" i="12" s="1" a="1"/>
  <c r="S235" i="12" s="1"/>
  <c r="P235" i="12" a="1"/>
  <c r="P235" i="12" s="1"/>
  <c r="J235" i="12" s="1"/>
  <c r="Y234" i="12"/>
  <c r="Z234" i="12" s="1" a="1"/>
  <c r="Z234" i="12" s="1"/>
  <c r="R234" i="12"/>
  <c r="S234" i="12" s="1" a="1"/>
  <c r="S234" i="12" s="1"/>
  <c r="P234" i="12" a="1"/>
  <c r="P234" i="12" s="1"/>
  <c r="J234" i="12" s="1"/>
  <c r="Y233" i="12"/>
  <c r="Z233" i="12" s="1" a="1"/>
  <c r="Z233" i="12" s="1"/>
  <c r="R233" i="12"/>
  <c r="S233" i="12" s="1" a="1"/>
  <c r="S233" i="12" s="1"/>
  <c r="P233" i="12" a="1"/>
  <c r="P233" i="12" s="1"/>
  <c r="J233" i="12" s="1"/>
  <c r="Y232" i="12"/>
  <c r="Z232" i="12" s="1" a="1"/>
  <c r="Z232" i="12" s="1"/>
  <c r="R232" i="12"/>
  <c r="S232" i="12" s="1" a="1"/>
  <c r="S232" i="12" s="1"/>
  <c r="P232" i="12" a="1"/>
  <c r="P232" i="12" s="1"/>
  <c r="J232" i="12" s="1"/>
  <c r="Y231" i="12"/>
  <c r="Z231" i="12" s="1" a="1"/>
  <c r="Z231" i="12" s="1"/>
  <c r="R231" i="12"/>
  <c r="S231" i="12" s="1" a="1"/>
  <c r="S231" i="12" s="1"/>
  <c r="P231" i="12" a="1"/>
  <c r="P231" i="12" s="1"/>
  <c r="J231" i="12" s="1"/>
  <c r="Y230" i="12"/>
  <c r="Z230" i="12" s="1" a="1"/>
  <c r="Z230" i="12" s="1"/>
  <c r="R230" i="12"/>
  <c r="S230" i="12" s="1" a="1"/>
  <c r="S230" i="12" s="1"/>
  <c r="P230" i="12" a="1"/>
  <c r="P230" i="12" s="1"/>
  <c r="J230" i="12" s="1"/>
  <c r="Y229" i="12"/>
  <c r="Z229" i="12" s="1" a="1"/>
  <c r="Z229" i="12" s="1"/>
  <c r="R229" i="12"/>
  <c r="S229" i="12" s="1" a="1"/>
  <c r="S229" i="12" s="1"/>
  <c r="P229" i="12" a="1"/>
  <c r="P229" i="12" s="1"/>
  <c r="J229" i="12" s="1"/>
  <c r="Y228" i="12"/>
  <c r="Z228" i="12" s="1" a="1"/>
  <c r="Z228" i="12" s="1"/>
  <c r="R228" i="12"/>
  <c r="S228" i="12" s="1" a="1"/>
  <c r="S228" i="12" s="1"/>
  <c r="P228" i="12" a="1"/>
  <c r="P228" i="12" s="1"/>
  <c r="J228" i="12" s="1"/>
  <c r="Y227" i="12"/>
  <c r="Z227" i="12" s="1" a="1"/>
  <c r="Z227" i="12" s="1"/>
  <c r="R227" i="12"/>
  <c r="S227" i="12" s="1" a="1"/>
  <c r="S227" i="12" s="1"/>
  <c r="P227" i="12" a="1"/>
  <c r="P227" i="12" s="1"/>
  <c r="J227" i="12" s="1"/>
  <c r="Y226" i="12"/>
  <c r="Z226" i="12" s="1" a="1"/>
  <c r="Z226" i="12" s="1"/>
  <c r="R226" i="12"/>
  <c r="S226" i="12" s="1" a="1"/>
  <c r="S226" i="12" s="1"/>
  <c r="P226" i="12" a="1"/>
  <c r="P226" i="12" s="1"/>
  <c r="J226" i="12" s="1"/>
  <c r="Y225" i="12"/>
  <c r="Z225" i="12" s="1" a="1"/>
  <c r="Z225" i="12" s="1"/>
  <c r="R225" i="12"/>
  <c r="S225" i="12" s="1" a="1"/>
  <c r="S225" i="12" s="1"/>
  <c r="P225" i="12" a="1"/>
  <c r="P225" i="12" s="1"/>
  <c r="J225" i="12" s="1"/>
  <c r="Y224" i="12"/>
  <c r="Z224" i="12" s="1" a="1"/>
  <c r="Z224" i="12" s="1"/>
  <c r="R224" i="12"/>
  <c r="S224" i="12" s="1" a="1"/>
  <c r="S224" i="12" s="1"/>
  <c r="P224" i="12" a="1"/>
  <c r="P224" i="12" s="1"/>
  <c r="J224" i="12" s="1"/>
  <c r="Y223" i="12"/>
  <c r="Z223" i="12" s="1" a="1"/>
  <c r="Z223" i="12" s="1"/>
  <c r="R223" i="12"/>
  <c r="S223" i="12" s="1" a="1"/>
  <c r="S223" i="12" s="1"/>
  <c r="P223" i="12" a="1"/>
  <c r="P223" i="12" s="1"/>
  <c r="J223" i="12" s="1"/>
  <c r="Y222" i="12"/>
  <c r="Z222" i="12" s="1" a="1"/>
  <c r="Z222" i="12" s="1"/>
  <c r="R222" i="12"/>
  <c r="S222" i="12" s="1" a="1"/>
  <c r="S222" i="12" s="1"/>
  <c r="P222" i="12" a="1"/>
  <c r="P222" i="12" s="1"/>
  <c r="J222" i="12" s="1"/>
  <c r="Y221" i="12"/>
  <c r="Z221" i="12" s="1" a="1"/>
  <c r="Z221" i="12" s="1"/>
  <c r="R221" i="12"/>
  <c r="S221" i="12" s="1" a="1"/>
  <c r="S221" i="12" s="1"/>
  <c r="P221" i="12" a="1"/>
  <c r="P221" i="12" s="1"/>
  <c r="J221" i="12" s="1"/>
  <c r="Y220" i="12"/>
  <c r="Z220" i="12" s="1" a="1"/>
  <c r="Z220" i="12" s="1"/>
  <c r="R220" i="12"/>
  <c r="S220" i="12" s="1" a="1"/>
  <c r="S220" i="12" s="1"/>
  <c r="P220" i="12" a="1"/>
  <c r="P220" i="12" s="1"/>
  <c r="J220" i="12" s="1"/>
  <c r="Y219" i="12"/>
  <c r="Z219" i="12" s="1" a="1"/>
  <c r="Z219" i="12" s="1"/>
  <c r="R219" i="12"/>
  <c r="S219" i="12" s="1" a="1"/>
  <c r="S219" i="12" s="1"/>
  <c r="P219" i="12" a="1"/>
  <c r="P219" i="12" s="1"/>
  <c r="J219" i="12" s="1"/>
  <c r="Y218" i="12"/>
  <c r="Z218" i="12" s="1" a="1"/>
  <c r="Z218" i="12" s="1"/>
  <c r="R218" i="12"/>
  <c r="S218" i="12" s="1" a="1"/>
  <c r="S218" i="12" s="1"/>
  <c r="P218" i="12" a="1"/>
  <c r="P218" i="12" s="1"/>
  <c r="J218" i="12" s="1"/>
  <c r="Y217" i="12"/>
  <c r="Z217" i="12" s="1" a="1"/>
  <c r="Z217" i="12" s="1"/>
  <c r="R217" i="12"/>
  <c r="S217" i="12" s="1" a="1"/>
  <c r="S217" i="12" s="1"/>
  <c r="P217" i="12" a="1"/>
  <c r="P217" i="12" s="1"/>
  <c r="J217" i="12" s="1"/>
  <c r="Y216" i="12"/>
  <c r="Z216" i="12" s="1" a="1"/>
  <c r="Z216" i="12" s="1"/>
  <c r="R216" i="12"/>
  <c r="S216" i="12" s="1" a="1"/>
  <c r="S216" i="12" s="1"/>
  <c r="P216" i="12" a="1"/>
  <c r="P216" i="12" s="1"/>
  <c r="J216" i="12" s="1"/>
  <c r="Y215" i="12"/>
  <c r="Z215" i="12" s="1" a="1"/>
  <c r="Z215" i="12" s="1"/>
  <c r="R215" i="12"/>
  <c r="S215" i="12" s="1" a="1"/>
  <c r="S215" i="12" s="1"/>
  <c r="P215" i="12" a="1"/>
  <c r="P215" i="12" s="1"/>
  <c r="J215" i="12" s="1"/>
  <c r="Y214" i="12"/>
  <c r="Z214" i="12" s="1" a="1"/>
  <c r="Z214" i="12" s="1"/>
  <c r="R214" i="12"/>
  <c r="S214" i="12" s="1" a="1"/>
  <c r="S214" i="12" s="1"/>
  <c r="P214" i="12" a="1"/>
  <c r="P214" i="12" s="1"/>
  <c r="J214" i="12" s="1"/>
  <c r="Y213" i="12"/>
  <c r="Z213" i="12" s="1" a="1"/>
  <c r="Z213" i="12" s="1"/>
  <c r="R213" i="12"/>
  <c r="S213" i="12" s="1" a="1"/>
  <c r="S213" i="12" s="1"/>
  <c r="P213" i="12" a="1"/>
  <c r="P213" i="12" s="1"/>
  <c r="J213" i="12" s="1"/>
  <c r="Y212" i="12"/>
  <c r="Z212" i="12" s="1" a="1"/>
  <c r="Z212" i="12" s="1"/>
  <c r="R212" i="12"/>
  <c r="S212" i="12" s="1" a="1"/>
  <c r="S212" i="12" s="1"/>
  <c r="P212" i="12" a="1"/>
  <c r="P212" i="12" s="1"/>
  <c r="J212" i="12" s="1"/>
  <c r="Y211" i="12"/>
  <c r="Z211" i="12" s="1" a="1"/>
  <c r="Z211" i="12" s="1"/>
  <c r="R211" i="12"/>
  <c r="S211" i="12" s="1" a="1"/>
  <c r="S211" i="12" s="1"/>
  <c r="P211" i="12" a="1"/>
  <c r="P211" i="12" s="1"/>
  <c r="J211" i="12" s="1"/>
  <c r="Y210" i="12"/>
  <c r="Z210" i="12" s="1" a="1"/>
  <c r="Z210" i="12" s="1"/>
  <c r="R210" i="12"/>
  <c r="S210" i="12" s="1" a="1"/>
  <c r="S210" i="12" s="1"/>
  <c r="P210" i="12" a="1"/>
  <c r="P210" i="12" s="1"/>
  <c r="J210" i="12" s="1"/>
  <c r="Y209" i="12"/>
  <c r="Z209" i="12" s="1" a="1"/>
  <c r="Z209" i="12" s="1"/>
  <c r="R209" i="12"/>
  <c r="S209" i="12" s="1" a="1"/>
  <c r="S209" i="12" s="1"/>
  <c r="P209" i="12" a="1"/>
  <c r="P209" i="12" s="1"/>
  <c r="J209" i="12" s="1"/>
  <c r="Y208" i="12"/>
  <c r="Z208" i="12" s="1" a="1"/>
  <c r="Z208" i="12" s="1"/>
  <c r="R208" i="12"/>
  <c r="S208" i="12" s="1" a="1"/>
  <c r="S208" i="12" s="1"/>
  <c r="P208" i="12" a="1"/>
  <c r="P208" i="12" s="1"/>
  <c r="J208" i="12" s="1"/>
  <c r="Y207" i="12"/>
  <c r="Z207" i="12" s="1" a="1"/>
  <c r="Z207" i="12" s="1"/>
  <c r="R207" i="12"/>
  <c r="S207" i="12" s="1" a="1"/>
  <c r="S207" i="12" s="1"/>
  <c r="P207" i="12" a="1"/>
  <c r="P207" i="12" s="1"/>
  <c r="J207" i="12" s="1"/>
  <c r="Y206" i="12"/>
  <c r="Z206" i="12" s="1" a="1"/>
  <c r="Z206" i="12" s="1"/>
  <c r="R206" i="12"/>
  <c r="S206" i="12" s="1" a="1"/>
  <c r="S206" i="12" s="1"/>
  <c r="P206" i="12" a="1"/>
  <c r="P206" i="12" s="1"/>
  <c r="J206" i="12" s="1"/>
  <c r="Y205" i="12"/>
  <c r="Z205" i="12" s="1" a="1"/>
  <c r="Z205" i="12" s="1"/>
  <c r="R205" i="12"/>
  <c r="S205" i="12" s="1" a="1"/>
  <c r="S205" i="12" s="1"/>
  <c r="P205" i="12" a="1"/>
  <c r="P205" i="12" s="1"/>
  <c r="J205" i="12" s="1"/>
  <c r="Y204" i="12"/>
  <c r="Z204" i="12" s="1" a="1"/>
  <c r="Z204" i="12" s="1"/>
  <c r="R204" i="12"/>
  <c r="S204" i="12" s="1" a="1"/>
  <c r="S204" i="12" s="1"/>
  <c r="P204" i="12" a="1"/>
  <c r="P204" i="12" s="1"/>
  <c r="J204" i="12" s="1"/>
  <c r="Y203" i="12"/>
  <c r="Z203" i="12" s="1" a="1"/>
  <c r="Z203" i="12" s="1"/>
  <c r="R203" i="12"/>
  <c r="S203" i="12" s="1" a="1"/>
  <c r="S203" i="12" s="1"/>
  <c r="P203" i="12" a="1"/>
  <c r="P203" i="12" s="1"/>
  <c r="J203" i="12" s="1"/>
  <c r="Y202" i="12"/>
  <c r="Z202" i="12" s="1" a="1"/>
  <c r="Z202" i="12" s="1"/>
  <c r="R202" i="12"/>
  <c r="S202" i="12" s="1" a="1"/>
  <c r="S202" i="12" s="1"/>
  <c r="P202" i="12" a="1"/>
  <c r="P202" i="12" s="1"/>
  <c r="J202" i="12" s="1"/>
  <c r="Y201" i="12"/>
  <c r="Z201" i="12" s="1" a="1"/>
  <c r="Z201" i="12" s="1"/>
  <c r="R201" i="12"/>
  <c r="S201" i="12" s="1" a="1"/>
  <c r="S201" i="12" s="1"/>
  <c r="P201" i="12" a="1"/>
  <c r="P201" i="12" s="1"/>
  <c r="J201" i="12" s="1"/>
  <c r="Y200" i="12"/>
  <c r="Z200" i="12" s="1" a="1"/>
  <c r="Z200" i="12" s="1"/>
  <c r="R200" i="12"/>
  <c r="S200" i="12" s="1" a="1"/>
  <c r="S200" i="12" s="1"/>
  <c r="P200" i="12" a="1"/>
  <c r="P200" i="12" s="1"/>
  <c r="J200" i="12" s="1"/>
  <c r="Y199" i="12"/>
  <c r="Z199" i="12" s="1" a="1"/>
  <c r="Z199" i="12" s="1"/>
  <c r="R199" i="12"/>
  <c r="S199" i="12" s="1" a="1"/>
  <c r="S199" i="12" s="1"/>
  <c r="P199" i="12" a="1"/>
  <c r="P199" i="12" s="1"/>
  <c r="J199" i="12" s="1"/>
  <c r="Y198" i="12"/>
  <c r="Z198" i="12" s="1" a="1"/>
  <c r="Z198" i="12" s="1"/>
  <c r="R198" i="12"/>
  <c r="S198" i="12" s="1" a="1"/>
  <c r="S198" i="12" s="1"/>
  <c r="P198" i="12" a="1"/>
  <c r="P198" i="12" s="1"/>
  <c r="J198" i="12" s="1"/>
  <c r="Y197" i="12"/>
  <c r="Z197" i="12" s="1" a="1"/>
  <c r="Z197" i="12" s="1"/>
  <c r="R197" i="12"/>
  <c r="S197" i="12" s="1" a="1"/>
  <c r="S197" i="12" s="1"/>
  <c r="P197" i="12" a="1"/>
  <c r="P197" i="12" s="1"/>
  <c r="J197" i="12" s="1"/>
  <c r="Y196" i="12"/>
  <c r="Z196" i="12" s="1" a="1"/>
  <c r="Z196" i="12" s="1"/>
  <c r="R196" i="12"/>
  <c r="S196" i="12" s="1" a="1"/>
  <c r="S196" i="12" s="1"/>
  <c r="P196" i="12" a="1"/>
  <c r="P196" i="12" s="1"/>
  <c r="J196" i="12" s="1"/>
  <c r="Y195" i="12"/>
  <c r="Z195" i="12" s="1" a="1"/>
  <c r="Z195" i="12" s="1"/>
  <c r="R195" i="12"/>
  <c r="S195" i="12" s="1" a="1"/>
  <c r="S195" i="12" s="1"/>
  <c r="P195" i="12" a="1"/>
  <c r="P195" i="12" s="1"/>
  <c r="J195" i="12" s="1"/>
  <c r="Y194" i="12"/>
  <c r="Z194" i="12" s="1" a="1"/>
  <c r="Z194" i="12" s="1"/>
  <c r="R194" i="12"/>
  <c r="S194" i="12" s="1" a="1"/>
  <c r="S194" i="12" s="1"/>
  <c r="P194" i="12" a="1"/>
  <c r="P194" i="12" s="1"/>
  <c r="J194" i="12" s="1"/>
  <c r="Y193" i="12"/>
  <c r="Z193" i="12" s="1" a="1"/>
  <c r="Z193" i="12" s="1"/>
  <c r="R193" i="12"/>
  <c r="S193" i="12" s="1" a="1"/>
  <c r="S193" i="12" s="1"/>
  <c r="P193" i="12" a="1"/>
  <c r="P193" i="12" s="1"/>
  <c r="J193" i="12" s="1"/>
  <c r="Y192" i="12"/>
  <c r="Z192" i="12" s="1" a="1"/>
  <c r="Z192" i="12" s="1"/>
  <c r="R192" i="12"/>
  <c r="S192" i="12" s="1" a="1"/>
  <c r="S192" i="12" s="1"/>
  <c r="P192" i="12" a="1"/>
  <c r="P192" i="12" s="1"/>
  <c r="J192" i="12" s="1"/>
  <c r="Y191" i="12"/>
  <c r="Z191" i="12" s="1" a="1"/>
  <c r="Z191" i="12" s="1"/>
  <c r="R191" i="12"/>
  <c r="S191" i="12" s="1" a="1"/>
  <c r="S191" i="12" s="1"/>
  <c r="P191" i="12" a="1"/>
  <c r="P191" i="12" s="1"/>
  <c r="J191" i="12" s="1"/>
  <c r="Y190" i="12"/>
  <c r="Z190" i="12" s="1" a="1"/>
  <c r="Z190" i="12" s="1"/>
  <c r="R190" i="12"/>
  <c r="S190" i="12" s="1" a="1"/>
  <c r="S190" i="12" s="1"/>
  <c r="P190" i="12" a="1"/>
  <c r="P190" i="12" s="1"/>
  <c r="J190" i="12" s="1"/>
  <c r="Y189" i="12"/>
  <c r="Z189" i="12" s="1" a="1"/>
  <c r="Z189" i="12" s="1"/>
  <c r="R189" i="12"/>
  <c r="S189" i="12" s="1" a="1"/>
  <c r="S189" i="12" s="1"/>
  <c r="P189" i="12" a="1"/>
  <c r="P189" i="12" s="1"/>
  <c r="J189" i="12" s="1"/>
  <c r="Y188" i="12"/>
  <c r="Z188" i="12" s="1" a="1"/>
  <c r="Z188" i="12" s="1"/>
  <c r="R188" i="12"/>
  <c r="S188" i="12" s="1" a="1"/>
  <c r="S188" i="12" s="1"/>
  <c r="P188" i="12" a="1"/>
  <c r="P188" i="12" s="1"/>
  <c r="J188" i="12" s="1"/>
  <c r="Y187" i="12"/>
  <c r="Z187" i="12" s="1" a="1"/>
  <c r="Z187" i="12" s="1"/>
  <c r="R187" i="12"/>
  <c r="S187" i="12" s="1" a="1"/>
  <c r="S187" i="12" s="1"/>
  <c r="P187" i="12" a="1"/>
  <c r="P187" i="12" s="1"/>
  <c r="J187" i="12" s="1"/>
  <c r="Y186" i="12"/>
  <c r="Z186" i="12" s="1" a="1"/>
  <c r="Z186" i="12" s="1"/>
  <c r="R186" i="12"/>
  <c r="S186" i="12" s="1" a="1"/>
  <c r="S186" i="12" s="1"/>
  <c r="P186" i="12" a="1"/>
  <c r="P186" i="12" s="1"/>
  <c r="J186" i="12" s="1"/>
  <c r="Y185" i="12"/>
  <c r="Z185" i="12" s="1" a="1"/>
  <c r="Z185" i="12" s="1"/>
  <c r="R185" i="12"/>
  <c r="S185" i="12" s="1" a="1"/>
  <c r="S185" i="12" s="1"/>
  <c r="P185" i="12" a="1"/>
  <c r="P185" i="12" s="1"/>
  <c r="J185" i="12" s="1"/>
  <c r="Y184" i="12"/>
  <c r="Z184" i="12" s="1" a="1"/>
  <c r="Z184" i="12" s="1"/>
  <c r="R184" i="12"/>
  <c r="S184" i="12" s="1" a="1"/>
  <c r="S184" i="12" s="1"/>
  <c r="P184" i="12" a="1"/>
  <c r="P184" i="12" s="1"/>
  <c r="J184" i="12" s="1"/>
  <c r="Y183" i="12"/>
  <c r="Z183" i="12" s="1" a="1"/>
  <c r="Z183" i="12" s="1"/>
  <c r="R183" i="12"/>
  <c r="S183" i="12" s="1" a="1"/>
  <c r="S183" i="12" s="1"/>
  <c r="P183" i="12" a="1"/>
  <c r="P183" i="12" s="1"/>
  <c r="J183" i="12" s="1"/>
  <c r="Y182" i="12"/>
  <c r="Z182" i="12" s="1" a="1"/>
  <c r="Z182" i="12" s="1"/>
  <c r="R182" i="12"/>
  <c r="S182" i="12" s="1" a="1"/>
  <c r="S182" i="12" s="1"/>
  <c r="P182" i="12" a="1"/>
  <c r="P182" i="12" s="1"/>
  <c r="J182" i="12" s="1"/>
  <c r="Y181" i="12"/>
  <c r="Z181" i="12" s="1" a="1"/>
  <c r="Z181" i="12" s="1"/>
  <c r="R181" i="12"/>
  <c r="S181" i="12" s="1" a="1"/>
  <c r="S181" i="12" s="1"/>
  <c r="P181" i="12" a="1"/>
  <c r="P181" i="12" s="1"/>
  <c r="J181" i="12" s="1"/>
  <c r="Y180" i="12"/>
  <c r="Z180" i="12" s="1" a="1"/>
  <c r="Z180" i="12" s="1"/>
  <c r="R180" i="12"/>
  <c r="S180" i="12" s="1" a="1"/>
  <c r="S180" i="12" s="1"/>
  <c r="P180" i="12" a="1"/>
  <c r="P180" i="12" s="1"/>
  <c r="J180" i="12" s="1"/>
  <c r="Y179" i="12"/>
  <c r="Z179" i="12" s="1" a="1"/>
  <c r="Z179" i="12" s="1"/>
  <c r="R179" i="12"/>
  <c r="S179" i="12" s="1" a="1"/>
  <c r="S179" i="12" s="1"/>
  <c r="P179" i="12" a="1"/>
  <c r="P179" i="12" s="1"/>
  <c r="J179" i="12" s="1"/>
  <c r="Y178" i="12"/>
  <c r="Z178" i="12" s="1" a="1"/>
  <c r="Z178" i="12" s="1"/>
  <c r="R178" i="12"/>
  <c r="S178" i="12" s="1" a="1"/>
  <c r="S178" i="12" s="1"/>
  <c r="P178" i="12" a="1"/>
  <c r="P178" i="12" s="1"/>
  <c r="J178" i="12" s="1"/>
  <c r="Y177" i="12"/>
  <c r="Z177" i="12" s="1" a="1"/>
  <c r="Z177" i="12" s="1"/>
  <c r="R177" i="12"/>
  <c r="S177" i="12" s="1" a="1"/>
  <c r="S177" i="12" s="1"/>
  <c r="P177" i="12" a="1"/>
  <c r="P177" i="12" s="1"/>
  <c r="J177" i="12" s="1"/>
  <c r="Y176" i="12"/>
  <c r="Z176" i="12" s="1" a="1"/>
  <c r="Z176" i="12" s="1"/>
  <c r="R176" i="12"/>
  <c r="S176" i="12" s="1" a="1"/>
  <c r="S176" i="12" s="1"/>
  <c r="P176" i="12" a="1"/>
  <c r="P176" i="12" s="1"/>
  <c r="J176" i="12" s="1"/>
  <c r="Y175" i="12"/>
  <c r="Z175" i="12" s="1" a="1"/>
  <c r="Z175" i="12" s="1"/>
  <c r="R175" i="12"/>
  <c r="S175" i="12" s="1" a="1"/>
  <c r="S175" i="12" s="1"/>
  <c r="P175" i="12" a="1"/>
  <c r="P175" i="12" s="1"/>
  <c r="J175" i="12" s="1"/>
  <c r="Y174" i="12"/>
  <c r="Z174" i="12" s="1" a="1"/>
  <c r="Z174" i="12" s="1"/>
  <c r="R174" i="12"/>
  <c r="S174" i="12" s="1" a="1"/>
  <c r="S174" i="12" s="1"/>
  <c r="P174" i="12" a="1"/>
  <c r="P174" i="12" s="1"/>
  <c r="J174" i="12" s="1"/>
  <c r="Y173" i="12"/>
  <c r="Z173" i="12" s="1" a="1"/>
  <c r="Z173" i="12" s="1"/>
  <c r="R173" i="12"/>
  <c r="S173" i="12" s="1" a="1"/>
  <c r="S173" i="12" s="1"/>
  <c r="P173" i="12" a="1"/>
  <c r="P173" i="12" s="1"/>
  <c r="J173" i="12" s="1"/>
  <c r="Y172" i="12"/>
  <c r="Z172" i="12" s="1" a="1"/>
  <c r="Z172" i="12" s="1"/>
  <c r="R172" i="12"/>
  <c r="S172" i="12" s="1" a="1"/>
  <c r="S172" i="12" s="1"/>
  <c r="P172" i="12" a="1"/>
  <c r="P172" i="12" s="1"/>
  <c r="J172" i="12" s="1"/>
  <c r="Y171" i="12"/>
  <c r="Z171" i="12" s="1" a="1"/>
  <c r="Z171" i="12" s="1"/>
  <c r="R171" i="12"/>
  <c r="S171" i="12" s="1" a="1"/>
  <c r="S171" i="12" s="1"/>
  <c r="P171" i="12" a="1"/>
  <c r="P171" i="12" s="1"/>
  <c r="J171" i="12" s="1"/>
  <c r="Y170" i="12"/>
  <c r="Z170" i="12" s="1" a="1"/>
  <c r="Z170" i="12" s="1"/>
  <c r="R170" i="12"/>
  <c r="S170" i="12" s="1" a="1"/>
  <c r="S170" i="12" s="1"/>
  <c r="P170" i="12" a="1"/>
  <c r="P170" i="12" s="1"/>
  <c r="J170" i="12" s="1"/>
  <c r="Y169" i="12"/>
  <c r="Z169" i="12" s="1" a="1"/>
  <c r="Z169" i="12" s="1"/>
  <c r="R169" i="12"/>
  <c r="S169" i="12" s="1" a="1"/>
  <c r="S169" i="12" s="1"/>
  <c r="P169" i="12" a="1"/>
  <c r="P169" i="12" s="1"/>
  <c r="J169" i="12" s="1"/>
  <c r="Y168" i="12"/>
  <c r="Z168" i="12" s="1" a="1"/>
  <c r="Z168" i="12" s="1"/>
  <c r="R168" i="12"/>
  <c r="S168" i="12" s="1" a="1"/>
  <c r="S168" i="12" s="1"/>
  <c r="P168" i="12" a="1"/>
  <c r="P168" i="12" s="1"/>
  <c r="J168" i="12" s="1"/>
  <c r="Y167" i="12"/>
  <c r="Z167" i="12" s="1" a="1"/>
  <c r="Z167" i="12" s="1"/>
  <c r="R167" i="12"/>
  <c r="S167" i="12" s="1" a="1"/>
  <c r="S167" i="12" s="1"/>
  <c r="P167" i="12" a="1"/>
  <c r="P167" i="12" s="1"/>
  <c r="J167" i="12" s="1"/>
  <c r="Y166" i="12"/>
  <c r="Z166" i="12" s="1" a="1"/>
  <c r="Z166" i="12" s="1"/>
  <c r="R166" i="12"/>
  <c r="S166" i="12" s="1" a="1"/>
  <c r="S166" i="12" s="1"/>
  <c r="P166" i="12" a="1"/>
  <c r="P166" i="12" s="1"/>
  <c r="J166" i="12" s="1"/>
  <c r="Y165" i="12"/>
  <c r="Z165" i="12" s="1" a="1"/>
  <c r="Z165" i="12" s="1"/>
  <c r="R165" i="12"/>
  <c r="S165" i="12" s="1" a="1"/>
  <c r="S165" i="12" s="1"/>
  <c r="P165" i="12" a="1"/>
  <c r="P165" i="12" s="1"/>
  <c r="J165" i="12" s="1"/>
  <c r="Y164" i="12"/>
  <c r="Z164" i="12" s="1" a="1"/>
  <c r="Z164" i="12" s="1"/>
  <c r="R164" i="12"/>
  <c r="S164" i="12" s="1" a="1"/>
  <c r="S164" i="12" s="1"/>
  <c r="P164" i="12" a="1"/>
  <c r="P164" i="12" s="1"/>
  <c r="J164" i="12" s="1"/>
  <c r="Y163" i="12"/>
  <c r="Z163" i="12" s="1" a="1"/>
  <c r="Z163" i="12" s="1"/>
  <c r="R163" i="12"/>
  <c r="S163" i="12" s="1" a="1"/>
  <c r="S163" i="12" s="1"/>
  <c r="P163" i="12" a="1"/>
  <c r="P163" i="12" s="1"/>
  <c r="J163" i="12" s="1"/>
  <c r="Y162" i="12"/>
  <c r="Z162" i="12" s="1" a="1"/>
  <c r="Z162" i="12" s="1"/>
  <c r="R162" i="12"/>
  <c r="S162" i="12" s="1" a="1"/>
  <c r="S162" i="12" s="1"/>
  <c r="P162" i="12" a="1"/>
  <c r="P162" i="12" s="1"/>
  <c r="J162" i="12" s="1"/>
  <c r="Y161" i="12"/>
  <c r="Z161" i="12" s="1" a="1"/>
  <c r="Z161" i="12" s="1"/>
  <c r="R161" i="12"/>
  <c r="S161" i="12" s="1" a="1"/>
  <c r="S161" i="12" s="1"/>
  <c r="P161" i="12" a="1"/>
  <c r="P161" i="12" s="1"/>
  <c r="J161" i="12" s="1"/>
  <c r="Y160" i="12"/>
  <c r="Z160" i="12" s="1" a="1"/>
  <c r="Z160" i="12" s="1"/>
  <c r="R160" i="12"/>
  <c r="S160" i="12" s="1" a="1"/>
  <c r="S160" i="12" s="1"/>
  <c r="P160" i="12" a="1"/>
  <c r="P160" i="12" s="1"/>
  <c r="J160" i="12" s="1"/>
  <c r="Y159" i="12"/>
  <c r="Z159" i="12" s="1" a="1"/>
  <c r="Z159" i="12" s="1"/>
  <c r="R159" i="12"/>
  <c r="S159" i="12" s="1" a="1"/>
  <c r="S159" i="12" s="1"/>
  <c r="P159" i="12" a="1"/>
  <c r="P159" i="12" s="1"/>
  <c r="J159" i="12" s="1"/>
  <c r="Y158" i="12"/>
  <c r="Z158" i="12" s="1" a="1"/>
  <c r="Z158" i="12" s="1"/>
  <c r="R158" i="12"/>
  <c r="S158" i="12" s="1" a="1"/>
  <c r="S158" i="12" s="1"/>
  <c r="P158" i="12" a="1"/>
  <c r="P158" i="12" s="1"/>
  <c r="J158" i="12" s="1"/>
  <c r="Y157" i="12"/>
  <c r="Z157" i="12" s="1" a="1"/>
  <c r="Z157" i="12" s="1"/>
  <c r="R157" i="12"/>
  <c r="S157" i="12" s="1" a="1"/>
  <c r="S157" i="12" s="1"/>
  <c r="P157" i="12" a="1"/>
  <c r="P157" i="12" s="1"/>
  <c r="J157" i="12" s="1"/>
  <c r="Y156" i="12"/>
  <c r="Z156" i="12" s="1" a="1"/>
  <c r="Z156" i="12" s="1"/>
  <c r="R156" i="12"/>
  <c r="S156" i="12" s="1" a="1"/>
  <c r="S156" i="12" s="1"/>
  <c r="P156" i="12" a="1"/>
  <c r="P156" i="12" s="1"/>
  <c r="J156" i="12" s="1"/>
  <c r="Y155" i="12"/>
  <c r="Z155" i="12" s="1" a="1"/>
  <c r="Z155" i="12" s="1"/>
  <c r="R155" i="12"/>
  <c r="S155" i="12" s="1" a="1"/>
  <c r="S155" i="12" s="1"/>
  <c r="P155" i="12" a="1"/>
  <c r="P155" i="12" s="1"/>
  <c r="J155" i="12" s="1"/>
  <c r="Y154" i="12"/>
  <c r="Z154" i="12" s="1" a="1"/>
  <c r="Z154" i="12" s="1"/>
  <c r="R154" i="12"/>
  <c r="S154" i="12" s="1" a="1"/>
  <c r="S154" i="12" s="1"/>
  <c r="P154" i="12" a="1"/>
  <c r="P154" i="12" s="1"/>
  <c r="J154" i="12" s="1"/>
  <c r="Y153" i="12"/>
  <c r="Z153" i="12" s="1" a="1"/>
  <c r="Z153" i="12" s="1"/>
  <c r="R153" i="12"/>
  <c r="S153" i="12" s="1" a="1"/>
  <c r="S153" i="12" s="1"/>
  <c r="P153" i="12" a="1"/>
  <c r="P153" i="12" s="1"/>
  <c r="J153" i="12" s="1"/>
  <c r="Y152" i="12"/>
  <c r="Z152" i="12" s="1" a="1"/>
  <c r="Z152" i="12" s="1"/>
  <c r="R152" i="12"/>
  <c r="S152" i="12" s="1" a="1"/>
  <c r="S152" i="12" s="1"/>
  <c r="P152" i="12" a="1"/>
  <c r="P152" i="12" s="1"/>
  <c r="J152" i="12" s="1"/>
  <c r="Y151" i="12"/>
  <c r="Z151" i="12" s="1" a="1"/>
  <c r="Z151" i="12" s="1"/>
  <c r="R151" i="12"/>
  <c r="S151" i="12" s="1" a="1"/>
  <c r="S151" i="12" s="1"/>
  <c r="P151" i="12" a="1"/>
  <c r="P151" i="12" s="1"/>
  <c r="J151" i="12" s="1"/>
  <c r="Y150" i="12"/>
  <c r="Z150" i="12" s="1" a="1"/>
  <c r="Z150" i="12" s="1"/>
  <c r="R150" i="12"/>
  <c r="S150" i="12" s="1" a="1"/>
  <c r="S150" i="12" s="1"/>
  <c r="P150" i="12" a="1"/>
  <c r="P150" i="12" s="1"/>
  <c r="J150" i="12" s="1"/>
  <c r="Y149" i="12"/>
  <c r="Z149" i="12" s="1" a="1"/>
  <c r="Z149" i="12" s="1"/>
  <c r="R149" i="12"/>
  <c r="S149" i="12" s="1" a="1"/>
  <c r="S149" i="12" s="1"/>
  <c r="P149" i="12" a="1"/>
  <c r="P149" i="12" s="1"/>
  <c r="J149" i="12" s="1"/>
  <c r="Y148" i="12"/>
  <c r="Z148" i="12" s="1" a="1"/>
  <c r="Z148" i="12" s="1"/>
  <c r="R148" i="12"/>
  <c r="S148" i="12" s="1" a="1"/>
  <c r="S148" i="12" s="1"/>
  <c r="P148" i="12" a="1"/>
  <c r="P148" i="12" s="1"/>
  <c r="J148" i="12" s="1"/>
  <c r="Y147" i="12"/>
  <c r="Z147" i="12" s="1" a="1"/>
  <c r="Z147" i="12" s="1"/>
  <c r="R147" i="12"/>
  <c r="S147" i="12" s="1" a="1"/>
  <c r="S147" i="12" s="1"/>
  <c r="P147" i="12" a="1"/>
  <c r="P147" i="12" s="1"/>
  <c r="J147" i="12" s="1"/>
  <c r="Y146" i="12"/>
  <c r="Z146" i="12" s="1" a="1"/>
  <c r="Z146" i="12" s="1"/>
  <c r="R146" i="12"/>
  <c r="S146" i="12" s="1" a="1"/>
  <c r="S146" i="12" s="1"/>
  <c r="P146" i="12" a="1"/>
  <c r="P146" i="12" s="1"/>
  <c r="J146" i="12" s="1"/>
  <c r="Y145" i="12"/>
  <c r="Z145" i="12" s="1" a="1"/>
  <c r="Z145" i="12" s="1"/>
  <c r="R145" i="12"/>
  <c r="S145" i="12" s="1" a="1"/>
  <c r="S145" i="12" s="1"/>
  <c r="P145" i="12" a="1"/>
  <c r="P145" i="12" s="1"/>
  <c r="J145" i="12" s="1"/>
  <c r="Y144" i="12"/>
  <c r="Z144" i="12" s="1" a="1"/>
  <c r="Z144" i="12" s="1"/>
  <c r="R144" i="12"/>
  <c r="S144" i="12" s="1" a="1"/>
  <c r="S144" i="12" s="1"/>
  <c r="P144" i="12" a="1"/>
  <c r="P144" i="12" s="1"/>
  <c r="J144" i="12" s="1"/>
  <c r="Y143" i="12"/>
  <c r="Z143" i="12" s="1" a="1"/>
  <c r="Z143" i="12" s="1"/>
  <c r="R143" i="12"/>
  <c r="S143" i="12" s="1" a="1"/>
  <c r="S143" i="12" s="1"/>
  <c r="P143" i="12" a="1"/>
  <c r="P143" i="12" s="1"/>
  <c r="J143" i="12" s="1"/>
  <c r="Y142" i="12"/>
  <c r="Z142" i="12" s="1" a="1"/>
  <c r="Z142" i="12" s="1"/>
  <c r="R142" i="12"/>
  <c r="S142" i="12" s="1" a="1"/>
  <c r="S142" i="12" s="1"/>
  <c r="P142" i="12" a="1"/>
  <c r="P142" i="12" s="1"/>
  <c r="J142" i="12" s="1"/>
  <c r="Y141" i="12"/>
  <c r="Z141" i="12" s="1" a="1"/>
  <c r="Z141" i="12" s="1"/>
  <c r="R141" i="12"/>
  <c r="S141" i="12" s="1" a="1"/>
  <c r="S141" i="12" s="1"/>
  <c r="P141" i="12" a="1"/>
  <c r="P141" i="12" s="1"/>
  <c r="J141" i="12" s="1"/>
  <c r="Y140" i="12"/>
  <c r="Z140" i="12" s="1" a="1"/>
  <c r="Z140" i="12" s="1"/>
  <c r="R140" i="12"/>
  <c r="S140" i="12" s="1" a="1"/>
  <c r="S140" i="12" s="1"/>
  <c r="P140" i="12" a="1"/>
  <c r="P140" i="12" s="1"/>
  <c r="J140" i="12" s="1"/>
  <c r="Y139" i="12"/>
  <c r="Z139" i="12" s="1" a="1"/>
  <c r="Z139" i="12" s="1"/>
  <c r="R139" i="12"/>
  <c r="S139" i="12" s="1" a="1"/>
  <c r="S139" i="12" s="1"/>
  <c r="P139" i="12" a="1"/>
  <c r="P139" i="12" s="1"/>
  <c r="J139" i="12" s="1"/>
  <c r="Y138" i="12"/>
  <c r="Z138" i="12" s="1" a="1"/>
  <c r="Z138" i="12" s="1"/>
  <c r="R138" i="12"/>
  <c r="S138" i="12" s="1" a="1"/>
  <c r="S138" i="12" s="1"/>
  <c r="P138" i="12" a="1"/>
  <c r="P138" i="12" s="1"/>
  <c r="J138" i="12" s="1"/>
  <c r="Y137" i="12"/>
  <c r="Z137" i="12" s="1" a="1"/>
  <c r="Z137" i="12" s="1"/>
  <c r="R137" i="12"/>
  <c r="S137" i="12" s="1" a="1"/>
  <c r="S137" i="12" s="1"/>
  <c r="P137" i="12" a="1"/>
  <c r="P137" i="12" s="1"/>
  <c r="J137" i="12" s="1"/>
  <c r="Y136" i="12"/>
  <c r="Z136" i="12" s="1" a="1"/>
  <c r="Z136" i="12" s="1"/>
  <c r="R136" i="12"/>
  <c r="S136" i="12" s="1" a="1"/>
  <c r="S136" i="12" s="1"/>
  <c r="P136" i="12" a="1"/>
  <c r="P136" i="12" s="1"/>
  <c r="J136" i="12" s="1"/>
  <c r="Y135" i="12"/>
  <c r="Z135" i="12" s="1" a="1"/>
  <c r="Z135" i="12" s="1"/>
  <c r="R135" i="12"/>
  <c r="S135" i="12" s="1" a="1"/>
  <c r="S135" i="12" s="1"/>
  <c r="P135" i="12" a="1"/>
  <c r="P135" i="12" s="1"/>
  <c r="J135" i="12" s="1"/>
  <c r="Y134" i="12"/>
  <c r="Z134" i="12" s="1" a="1"/>
  <c r="Z134" i="12" s="1"/>
  <c r="R134" i="12"/>
  <c r="S134" i="12" s="1" a="1"/>
  <c r="S134" i="12" s="1"/>
  <c r="P134" i="12" a="1"/>
  <c r="P134" i="12" s="1"/>
  <c r="J134" i="12" s="1"/>
  <c r="Y133" i="12"/>
  <c r="Z133" i="12" s="1" a="1"/>
  <c r="Z133" i="12" s="1"/>
  <c r="R133" i="12"/>
  <c r="S133" i="12" s="1" a="1"/>
  <c r="S133" i="12" s="1"/>
  <c r="P133" i="12" a="1"/>
  <c r="P133" i="12" s="1"/>
  <c r="J133" i="12" s="1"/>
  <c r="Y132" i="12"/>
  <c r="Z132" i="12" s="1" a="1"/>
  <c r="Z132" i="12" s="1"/>
  <c r="R132" i="12"/>
  <c r="S132" i="12" s="1" a="1"/>
  <c r="S132" i="12" s="1"/>
  <c r="P132" i="12" a="1"/>
  <c r="P132" i="12" s="1"/>
  <c r="J132" i="12" s="1"/>
  <c r="Y131" i="12"/>
  <c r="Z131" i="12" s="1" a="1"/>
  <c r="Z131" i="12" s="1"/>
  <c r="R131" i="12"/>
  <c r="S131" i="12" s="1" a="1"/>
  <c r="S131" i="12" s="1"/>
  <c r="P131" i="12" a="1"/>
  <c r="P131" i="12" s="1"/>
  <c r="J131" i="12" s="1"/>
  <c r="Y130" i="12"/>
  <c r="Z130" i="12" s="1" a="1"/>
  <c r="Z130" i="12" s="1"/>
  <c r="R130" i="12"/>
  <c r="S130" i="12" s="1" a="1"/>
  <c r="S130" i="12" s="1"/>
  <c r="P130" i="12" a="1"/>
  <c r="P130" i="12" s="1"/>
  <c r="J130" i="12" s="1"/>
  <c r="Y129" i="12"/>
  <c r="Z129" i="12" s="1" a="1"/>
  <c r="Z129" i="12" s="1"/>
  <c r="R129" i="12"/>
  <c r="S129" i="12" s="1" a="1"/>
  <c r="S129" i="12" s="1"/>
  <c r="P129" i="12" a="1"/>
  <c r="P129" i="12" s="1"/>
  <c r="J129" i="12" s="1"/>
  <c r="Y128" i="12"/>
  <c r="Z128" i="12" s="1" a="1"/>
  <c r="Z128" i="12" s="1"/>
  <c r="R128" i="12"/>
  <c r="S128" i="12" s="1" a="1"/>
  <c r="S128" i="12" s="1"/>
  <c r="P128" i="12" a="1"/>
  <c r="P128" i="12" s="1"/>
  <c r="J128" i="12" s="1"/>
  <c r="Y127" i="12"/>
  <c r="Z127" i="12" s="1" a="1"/>
  <c r="Z127" i="12" s="1"/>
  <c r="R127" i="12"/>
  <c r="S127" i="12" s="1" a="1"/>
  <c r="S127" i="12" s="1"/>
  <c r="P127" i="12" a="1"/>
  <c r="P127" i="12" s="1"/>
  <c r="J127" i="12" s="1"/>
  <c r="Y126" i="12"/>
  <c r="Z126" i="12" s="1" a="1"/>
  <c r="Z126" i="12" s="1"/>
  <c r="R126" i="12"/>
  <c r="S126" i="12" s="1" a="1"/>
  <c r="S126" i="12" s="1"/>
  <c r="P126" i="12" a="1"/>
  <c r="P126" i="12" s="1"/>
  <c r="J126" i="12" s="1"/>
  <c r="Y125" i="12"/>
  <c r="Z125" i="12" s="1" a="1"/>
  <c r="Z125" i="12" s="1"/>
  <c r="R125" i="12"/>
  <c r="S125" i="12" s="1" a="1"/>
  <c r="S125" i="12" s="1"/>
  <c r="P125" i="12" a="1"/>
  <c r="P125" i="12" s="1"/>
  <c r="J125" i="12" s="1"/>
  <c r="Y124" i="12"/>
  <c r="Z124" i="12" s="1" a="1"/>
  <c r="Z124" i="12" s="1"/>
  <c r="R124" i="12"/>
  <c r="S124" i="12" s="1" a="1"/>
  <c r="S124" i="12" s="1"/>
  <c r="P124" i="12" a="1"/>
  <c r="P124" i="12" s="1"/>
  <c r="J124" i="12" s="1"/>
  <c r="Y123" i="12"/>
  <c r="Z123" i="12" s="1" a="1"/>
  <c r="Z123" i="12" s="1"/>
  <c r="R123" i="12"/>
  <c r="S123" i="12" s="1" a="1"/>
  <c r="S123" i="12" s="1"/>
  <c r="P123" i="12" a="1"/>
  <c r="P123" i="12" s="1"/>
  <c r="J123" i="12" s="1"/>
  <c r="Y122" i="12"/>
  <c r="Z122" i="12" s="1" a="1"/>
  <c r="Z122" i="12" s="1"/>
  <c r="R122" i="12"/>
  <c r="S122" i="12" s="1" a="1"/>
  <c r="S122" i="12" s="1"/>
  <c r="P122" i="12" a="1"/>
  <c r="P122" i="12" s="1"/>
  <c r="J122" i="12" s="1"/>
  <c r="Y121" i="12"/>
  <c r="Z121" i="12" s="1" a="1"/>
  <c r="Z121" i="12" s="1"/>
  <c r="R121" i="12"/>
  <c r="S121" i="12" s="1" a="1"/>
  <c r="S121" i="12" s="1"/>
  <c r="P121" i="12" a="1"/>
  <c r="P121" i="12" s="1"/>
  <c r="J121" i="12" s="1"/>
  <c r="Y120" i="12"/>
  <c r="Z120" i="12" s="1" a="1"/>
  <c r="Z120" i="12" s="1"/>
  <c r="R120" i="12"/>
  <c r="S120" i="12" s="1" a="1"/>
  <c r="S120" i="12" s="1"/>
  <c r="P120" i="12" a="1"/>
  <c r="P120" i="12" s="1"/>
  <c r="J120" i="12" s="1"/>
  <c r="Y119" i="12"/>
  <c r="Z119" i="12" s="1" a="1"/>
  <c r="Z119" i="12" s="1"/>
  <c r="R119" i="12"/>
  <c r="S119" i="12" s="1" a="1"/>
  <c r="S119" i="12" s="1"/>
  <c r="P119" i="12" a="1"/>
  <c r="P119" i="12" s="1"/>
  <c r="J119" i="12" s="1"/>
  <c r="Y118" i="12"/>
  <c r="Z118" i="12" s="1" a="1"/>
  <c r="Z118" i="12" s="1"/>
  <c r="R118" i="12"/>
  <c r="S118" i="12" s="1" a="1"/>
  <c r="S118" i="12" s="1"/>
  <c r="P118" i="12" a="1"/>
  <c r="P118" i="12" s="1"/>
  <c r="J118" i="12" s="1"/>
  <c r="Y117" i="12"/>
  <c r="Z117" i="12" s="1" a="1"/>
  <c r="Z117" i="12" s="1"/>
  <c r="R117" i="12"/>
  <c r="S117" i="12" s="1" a="1"/>
  <c r="S117" i="12" s="1"/>
  <c r="P117" i="12" a="1"/>
  <c r="P117" i="12" s="1"/>
  <c r="J117" i="12" s="1"/>
  <c r="Y116" i="12"/>
  <c r="Z116" i="12" s="1" a="1"/>
  <c r="Z116" i="12" s="1"/>
  <c r="R116" i="12"/>
  <c r="S116" i="12" s="1" a="1"/>
  <c r="S116" i="12" s="1"/>
  <c r="P116" i="12" a="1"/>
  <c r="P116" i="12" s="1"/>
  <c r="J116" i="12" s="1"/>
  <c r="Y115" i="12"/>
  <c r="Z115" i="12" s="1" a="1"/>
  <c r="Z115" i="12" s="1"/>
  <c r="R115" i="12"/>
  <c r="S115" i="12" s="1" a="1"/>
  <c r="S115" i="12" s="1"/>
  <c r="P115" i="12" a="1"/>
  <c r="P115" i="12" s="1"/>
  <c r="J115" i="12" s="1"/>
  <c r="Y114" i="12"/>
  <c r="Z114" i="12" s="1" a="1"/>
  <c r="Z114" i="12" s="1"/>
  <c r="R114" i="12"/>
  <c r="S114" i="12" s="1" a="1"/>
  <c r="S114" i="12" s="1"/>
  <c r="P114" i="12" a="1"/>
  <c r="P114" i="12" s="1"/>
  <c r="J114" i="12" s="1"/>
  <c r="Y113" i="12"/>
  <c r="Z113" i="12" s="1" a="1"/>
  <c r="Z113" i="12" s="1"/>
  <c r="R113" i="12"/>
  <c r="S113" i="12" s="1" a="1"/>
  <c r="S113" i="12" s="1"/>
  <c r="P113" i="12" a="1"/>
  <c r="P113" i="12" s="1"/>
  <c r="J113" i="12" s="1"/>
  <c r="Y112" i="12"/>
  <c r="Z112" i="12" s="1" a="1"/>
  <c r="Z112" i="12" s="1"/>
  <c r="R112" i="12"/>
  <c r="S112" i="12" s="1" a="1"/>
  <c r="S112" i="12" s="1"/>
  <c r="P112" i="12" a="1"/>
  <c r="P112" i="12" s="1"/>
  <c r="J112" i="12" s="1"/>
  <c r="Y111" i="12"/>
  <c r="Z111" i="12" s="1" a="1"/>
  <c r="Z111" i="12" s="1"/>
  <c r="R111" i="12"/>
  <c r="S111" i="12" s="1" a="1"/>
  <c r="S111" i="12" s="1"/>
  <c r="P111" i="12" a="1"/>
  <c r="P111" i="12" s="1"/>
  <c r="J111" i="12" s="1"/>
  <c r="Y110" i="12"/>
  <c r="Z110" i="12" s="1" a="1"/>
  <c r="Z110" i="12" s="1"/>
  <c r="R110" i="12"/>
  <c r="S110" i="12" s="1" a="1"/>
  <c r="S110" i="12" s="1"/>
  <c r="P110" i="12" a="1"/>
  <c r="P110" i="12" s="1"/>
  <c r="J110" i="12" s="1"/>
  <c r="Y109" i="12"/>
  <c r="Z109" i="12" s="1" a="1"/>
  <c r="Z109" i="12" s="1"/>
  <c r="R109" i="12"/>
  <c r="S109" i="12" s="1" a="1"/>
  <c r="S109" i="12" s="1"/>
  <c r="P109" i="12" a="1"/>
  <c r="P109" i="12" s="1"/>
  <c r="J109" i="12" s="1"/>
  <c r="Y108" i="12"/>
  <c r="Z108" i="12" s="1" a="1"/>
  <c r="Z108" i="12" s="1"/>
  <c r="R108" i="12"/>
  <c r="S108" i="12" s="1" a="1"/>
  <c r="S108" i="12" s="1"/>
  <c r="P108" i="12" a="1"/>
  <c r="P108" i="12" s="1"/>
  <c r="J108" i="12" s="1"/>
  <c r="Y107" i="12"/>
  <c r="Z107" i="12" s="1" a="1"/>
  <c r="Z107" i="12" s="1"/>
  <c r="R107" i="12"/>
  <c r="S107" i="12" s="1" a="1"/>
  <c r="S107" i="12" s="1"/>
  <c r="P107" i="12" a="1"/>
  <c r="P107" i="12" s="1"/>
  <c r="J107" i="12" s="1"/>
  <c r="Y106" i="12"/>
  <c r="Z106" i="12" s="1" a="1"/>
  <c r="Z106" i="12" s="1"/>
  <c r="R106" i="12"/>
  <c r="S106" i="12" s="1" a="1"/>
  <c r="S106" i="12" s="1"/>
  <c r="P106" i="12" a="1"/>
  <c r="P106" i="12" s="1"/>
  <c r="J106" i="12" s="1"/>
  <c r="Y105" i="12"/>
  <c r="Z105" i="12" s="1" a="1"/>
  <c r="Z105" i="12" s="1"/>
  <c r="R105" i="12"/>
  <c r="S105" i="12" s="1" a="1"/>
  <c r="S105" i="12" s="1"/>
  <c r="P105" i="12" a="1"/>
  <c r="P105" i="12" s="1"/>
  <c r="J105" i="12" s="1"/>
  <c r="Y104" i="12"/>
  <c r="Z104" i="12" s="1" a="1"/>
  <c r="Z104" i="12" s="1"/>
  <c r="R104" i="12"/>
  <c r="S104" i="12" s="1" a="1"/>
  <c r="S104" i="12" s="1"/>
  <c r="P104" i="12" a="1"/>
  <c r="P104" i="12" s="1"/>
  <c r="J104" i="12" s="1"/>
  <c r="Y103" i="12"/>
  <c r="Z103" i="12" s="1" a="1"/>
  <c r="Z103" i="12" s="1"/>
  <c r="R103" i="12"/>
  <c r="S103" i="12" s="1" a="1"/>
  <c r="S103" i="12" s="1"/>
  <c r="P103" i="12" a="1"/>
  <c r="P103" i="12" s="1"/>
  <c r="J103" i="12" s="1"/>
  <c r="Y102" i="12"/>
  <c r="Z102" i="12" s="1" a="1"/>
  <c r="Z102" i="12" s="1"/>
  <c r="R102" i="12"/>
  <c r="S102" i="12" s="1" a="1"/>
  <c r="S102" i="12" s="1"/>
  <c r="P102" i="12" a="1"/>
  <c r="P102" i="12" s="1"/>
  <c r="J102" i="12" s="1"/>
  <c r="Y101" i="12"/>
  <c r="Z101" i="12" s="1" a="1"/>
  <c r="Z101" i="12" s="1"/>
  <c r="R101" i="12"/>
  <c r="S101" i="12" s="1" a="1"/>
  <c r="S101" i="12" s="1"/>
  <c r="P101" i="12" a="1"/>
  <c r="P101" i="12" s="1"/>
  <c r="J101" i="12" s="1"/>
  <c r="Y100" i="12"/>
  <c r="Z100" i="12" s="1" a="1"/>
  <c r="Z100" i="12" s="1"/>
  <c r="R100" i="12"/>
  <c r="S100" i="12" s="1" a="1"/>
  <c r="S100" i="12" s="1"/>
  <c r="P100" i="12" a="1"/>
  <c r="P100" i="12" s="1"/>
  <c r="J100" i="12" s="1"/>
  <c r="Y99" i="12"/>
  <c r="Z99" i="12" s="1" a="1"/>
  <c r="Z99" i="12" s="1"/>
  <c r="R99" i="12"/>
  <c r="S99" i="12" s="1" a="1"/>
  <c r="S99" i="12" s="1"/>
  <c r="P99" i="12" a="1"/>
  <c r="P99" i="12" s="1"/>
  <c r="J99" i="12" s="1"/>
  <c r="Y98" i="12"/>
  <c r="Z98" i="12" s="1" a="1"/>
  <c r="Z98" i="12" s="1"/>
  <c r="R98" i="12"/>
  <c r="S98" i="12" s="1" a="1"/>
  <c r="S98" i="12" s="1"/>
  <c r="P98" i="12" a="1"/>
  <c r="P98" i="12" s="1"/>
  <c r="J98" i="12" s="1"/>
  <c r="Y97" i="12"/>
  <c r="Z97" i="12" s="1" a="1"/>
  <c r="Z97" i="12" s="1"/>
  <c r="R97" i="12"/>
  <c r="S97" i="12" s="1" a="1"/>
  <c r="S97" i="12" s="1"/>
  <c r="P97" i="12" a="1"/>
  <c r="P97" i="12" s="1"/>
  <c r="J97" i="12" s="1"/>
  <c r="Y96" i="12"/>
  <c r="Z96" i="12" s="1" a="1"/>
  <c r="Z96" i="12" s="1"/>
  <c r="R96" i="12"/>
  <c r="S96" i="12" s="1" a="1"/>
  <c r="S96" i="12" s="1"/>
  <c r="P96" i="12" a="1"/>
  <c r="P96" i="12" s="1"/>
  <c r="J96" i="12" s="1"/>
  <c r="Y95" i="12"/>
  <c r="Z95" i="12" s="1" a="1"/>
  <c r="Z95" i="12" s="1"/>
  <c r="R95" i="12"/>
  <c r="S95" i="12" s="1" a="1"/>
  <c r="S95" i="12" s="1"/>
  <c r="P95" i="12" a="1"/>
  <c r="P95" i="12" s="1"/>
  <c r="J95" i="12" s="1"/>
  <c r="Y94" i="12"/>
  <c r="Z94" i="12" s="1" a="1"/>
  <c r="Z94" i="12" s="1"/>
  <c r="R94" i="12"/>
  <c r="S94" i="12" s="1" a="1"/>
  <c r="S94" i="12" s="1"/>
  <c r="P94" i="12" a="1"/>
  <c r="P94" i="12" s="1"/>
  <c r="J94" i="12" s="1"/>
  <c r="Y93" i="12"/>
  <c r="Z93" i="12" s="1" a="1"/>
  <c r="Z93" i="12" s="1"/>
  <c r="R93" i="12"/>
  <c r="S93" i="12" s="1" a="1"/>
  <c r="S93" i="12" s="1"/>
  <c r="P93" i="12" a="1"/>
  <c r="P93" i="12" s="1"/>
  <c r="J93" i="12" s="1"/>
  <c r="Y92" i="12"/>
  <c r="Z92" i="12" s="1" a="1"/>
  <c r="Z92" i="12" s="1"/>
  <c r="R92" i="12"/>
  <c r="S92" i="12" s="1" a="1"/>
  <c r="S92" i="12" s="1"/>
  <c r="P92" i="12" a="1"/>
  <c r="P92" i="12" s="1"/>
  <c r="J92" i="12" s="1"/>
  <c r="Y91" i="12"/>
  <c r="Z91" i="12" s="1" a="1"/>
  <c r="Z91" i="12" s="1"/>
  <c r="R91" i="12"/>
  <c r="S91" i="12" s="1" a="1"/>
  <c r="S91" i="12" s="1"/>
  <c r="P91" i="12" a="1"/>
  <c r="P91" i="12" s="1"/>
  <c r="J91" i="12" s="1"/>
  <c r="Y90" i="12"/>
  <c r="Z90" i="12" s="1" a="1"/>
  <c r="Z90" i="12" s="1"/>
  <c r="R90" i="12"/>
  <c r="S90" i="12" s="1" a="1"/>
  <c r="S90" i="12" s="1"/>
  <c r="P90" i="12" a="1"/>
  <c r="P90" i="12" s="1"/>
  <c r="J90" i="12" s="1"/>
  <c r="Y89" i="12"/>
  <c r="Z89" i="12" s="1" a="1"/>
  <c r="Z89" i="12" s="1"/>
  <c r="R89" i="12"/>
  <c r="S89" i="12" s="1" a="1"/>
  <c r="S89" i="12" s="1"/>
  <c r="P89" i="12" a="1"/>
  <c r="P89" i="12" s="1"/>
  <c r="J89" i="12" s="1"/>
  <c r="Y88" i="12"/>
  <c r="Z88" i="12" s="1" a="1"/>
  <c r="Z88" i="12" s="1"/>
  <c r="R88" i="12"/>
  <c r="S88" i="12" s="1" a="1"/>
  <c r="S88" i="12" s="1"/>
  <c r="P88" i="12" a="1"/>
  <c r="P88" i="12" s="1"/>
  <c r="J88" i="12" s="1"/>
  <c r="Y87" i="12"/>
  <c r="Z87" i="12" s="1" a="1"/>
  <c r="Z87" i="12" s="1"/>
  <c r="R87" i="12"/>
  <c r="S87" i="12" s="1" a="1"/>
  <c r="S87" i="12" s="1"/>
  <c r="P87" i="12" a="1"/>
  <c r="P87" i="12" s="1"/>
  <c r="J87" i="12" s="1"/>
  <c r="Y86" i="12"/>
  <c r="Z86" i="12" s="1" a="1"/>
  <c r="Z86" i="12" s="1"/>
  <c r="R86" i="12"/>
  <c r="S86" i="12" s="1" a="1"/>
  <c r="S86" i="12" s="1"/>
  <c r="P86" i="12" a="1"/>
  <c r="P86" i="12" s="1"/>
  <c r="J86" i="12" s="1"/>
  <c r="Y85" i="12"/>
  <c r="Z85" i="12" s="1" a="1"/>
  <c r="Z85" i="12" s="1"/>
  <c r="R85" i="12"/>
  <c r="S85" i="12" s="1" a="1"/>
  <c r="S85" i="12" s="1"/>
  <c r="P85" i="12" a="1"/>
  <c r="P85" i="12" s="1"/>
  <c r="J85" i="12" s="1"/>
  <c r="Y84" i="12"/>
  <c r="Z84" i="12" s="1" a="1"/>
  <c r="Z84" i="12" s="1"/>
  <c r="R84" i="12"/>
  <c r="S84" i="12" s="1" a="1"/>
  <c r="S84" i="12" s="1"/>
  <c r="P84" i="12" a="1"/>
  <c r="P84" i="12" s="1"/>
  <c r="J84" i="12" s="1"/>
  <c r="Y83" i="12"/>
  <c r="Z83" i="12" s="1" a="1"/>
  <c r="Z83" i="12" s="1"/>
  <c r="R83" i="12"/>
  <c r="S83" i="12" s="1" a="1"/>
  <c r="S83" i="12" s="1"/>
  <c r="P83" i="12" a="1"/>
  <c r="P83" i="12" s="1"/>
  <c r="J83" i="12" s="1"/>
  <c r="Y82" i="12"/>
  <c r="Z82" i="12" s="1" a="1"/>
  <c r="Z82" i="12" s="1"/>
  <c r="R82" i="12"/>
  <c r="S82" i="12" s="1" a="1"/>
  <c r="S82" i="12" s="1"/>
  <c r="P82" i="12" a="1"/>
  <c r="P82" i="12" s="1"/>
  <c r="J82" i="12" s="1"/>
  <c r="Y81" i="12"/>
  <c r="Z81" i="12" s="1" a="1"/>
  <c r="Z81" i="12" s="1"/>
  <c r="R81" i="12"/>
  <c r="S81" i="12" s="1" a="1"/>
  <c r="S81" i="12" s="1"/>
  <c r="P81" i="12" a="1"/>
  <c r="P81" i="12" s="1"/>
  <c r="J81" i="12" s="1"/>
  <c r="Y80" i="12"/>
  <c r="Z80" i="12" s="1" a="1"/>
  <c r="Z80" i="12" s="1"/>
  <c r="R80" i="12"/>
  <c r="S80" i="12" s="1" a="1"/>
  <c r="S80" i="12" s="1"/>
  <c r="P80" i="12" a="1"/>
  <c r="P80" i="12" s="1"/>
  <c r="J80" i="12" s="1"/>
  <c r="Y79" i="12"/>
  <c r="Z79" i="12" s="1" a="1"/>
  <c r="Z79" i="12" s="1"/>
  <c r="R79" i="12"/>
  <c r="S79" i="12" s="1" a="1"/>
  <c r="S79" i="12" s="1"/>
  <c r="P79" i="12" a="1"/>
  <c r="P79" i="12" s="1"/>
  <c r="J79" i="12" s="1"/>
  <c r="Y78" i="12"/>
  <c r="Z78" i="12" s="1" a="1"/>
  <c r="Z78" i="12" s="1"/>
  <c r="R78" i="12"/>
  <c r="S78" i="12" s="1" a="1"/>
  <c r="S78" i="12" s="1"/>
  <c r="P78" i="12" a="1"/>
  <c r="P78" i="12" s="1"/>
  <c r="J78" i="12" s="1"/>
  <c r="Y77" i="12"/>
  <c r="Z77" i="12" s="1" a="1"/>
  <c r="Z77" i="12" s="1"/>
  <c r="R77" i="12"/>
  <c r="S77" i="12" s="1" a="1"/>
  <c r="S77" i="12" s="1"/>
  <c r="P77" i="12" a="1"/>
  <c r="P77" i="12" s="1"/>
  <c r="J77" i="12" s="1"/>
  <c r="Y76" i="12"/>
  <c r="Z76" i="12" s="1" a="1"/>
  <c r="Z76" i="12" s="1"/>
  <c r="R76" i="12"/>
  <c r="S76" i="12" s="1" a="1"/>
  <c r="S76" i="12" s="1"/>
  <c r="P76" i="12" a="1"/>
  <c r="P76" i="12" s="1"/>
  <c r="J76" i="12" s="1"/>
  <c r="Y75" i="12"/>
  <c r="Z75" i="12" s="1" a="1"/>
  <c r="Z75" i="12" s="1"/>
  <c r="R75" i="12"/>
  <c r="S75" i="12" s="1" a="1"/>
  <c r="S75" i="12" s="1"/>
  <c r="P75" i="12" a="1"/>
  <c r="P75" i="12" s="1"/>
  <c r="J75" i="12" s="1"/>
  <c r="Y74" i="12"/>
  <c r="Z74" i="12" s="1" a="1"/>
  <c r="Z74" i="12" s="1"/>
  <c r="R74" i="12"/>
  <c r="S74" i="12" s="1" a="1"/>
  <c r="S74" i="12" s="1"/>
  <c r="P74" i="12" a="1"/>
  <c r="P74" i="12" s="1"/>
  <c r="J74" i="12" s="1"/>
  <c r="Y73" i="12"/>
  <c r="Z73" i="12" s="1" a="1"/>
  <c r="Z73" i="12" s="1"/>
  <c r="R73" i="12"/>
  <c r="S73" i="12" s="1" a="1"/>
  <c r="S73" i="12" s="1"/>
  <c r="P73" i="12" a="1"/>
  <c r="P73" i="12" s="1"/>
  <c r="J73" i="12" s="1"/>
  <c r="Y72" i="12"/>
  <c r="Z72" i="12" s="1" a="1"/>
  <c r="Z72" i="12" s="1"/>
  <c r="R72" i="12"/>
  <c r="S72" i="12" s="1" a="1"/>
  <c r="S72" i="12" s="1"/>
  <c r="P72" i="12" a="1"/>
  <c r="P72" i="12" s="1"/>
  <c r="J72" i="12" s="1"/>
  <c r="Y71" i="12"/>
  <c r="Z71" i="12" s="1" a="1"/>
  <c r="Z71" i="12" s="1"/>
  <c r="R71" i="12"/>
  <c r="S71" i="12" s="1" a="1"/>
  <c r="S71" i="12" s="1"/>
  <c r="P71" i="12" a="1"/>
  <c r="P71" i="12" s="1"/>
  <c r="J71" i="12" s="1"/>
  <c r="Y70" i="12"/>
  <c r="Z70" i="12" s="1" a="1"/>
  <c r="Z70" i="12" s="1"/>
  <c r="R70" i="12"/>
  <c r="S70" i="12" s="1" a="1"/>
  <c r="S70" i="12" s="1"/>
  <c r="P70" i="12" a="1"/>
  <c r="P70" i="12" s="1"/>
  <c r="J70" i="12" s="1"/>
  <c r="Y69" i="12"/>
  <c r="Z69" i="12" s="1" a="1"/>
  <c r="Z69" i="12" s="1"/>
  <c r="R69" i="12"/>
  <c r="S69" i="12" s="1" a="1"/>
  <c r="S69" i="12" s="1"/>
  <c r="P69" i="12" a="1"/>
  <c r="P69" i="12" s="1"/>
  <c r="J69" i="12" s="1"/>
  <c r="Y68" i="12"/>
  <c r="Z68" i="12" s="1" a="1"/>
  <c r="Z68" i="12" s="1"/>
  <c r="R68" i="12"/>
  <c r="S68" i="12" s="1" a="1"/>
  <c r="S68" i="12" s="1"/>
  <c r="P68" i="12" a="1"/>
  <c r="P68" i="12" s="1"/>
  <c r="J68" i="12" s="1"/>
  <c r="Y67" i="12"/>
  <c r="Z67" i="12" s="1" a="1"/>
  <c r="Z67" i="12" s="1"/>
  <c r="R67" i="12"/>
  <c r="S67" i="12" s="1" a="1"/>
  <c r="S67" i="12" s="1"/>
  <c r="P67" i="12" a="1"/>
  <c r="P67" i="12" s="1"/>
  <c r="J67" i="12" s="1"/>
  <c r="Y66" i="12"/>
  <c r="Z66" i="12" s="1" a="1"/>
  <c r="Z66" i="12" s="1"/>
  <c r="R66" i="12"/>
  <c r="S66" i="12" s="1" a="1"/>
  <c r="S66" i="12" s="1"/>
  <c r="P66" i="12" a="1"/>
  <c r="P66" i="12" s="1"/>
  <c r="J66" i="12" s="1"/>
  <c r="Y65" i="12"/>
  <c r="Z65" i="12" s="1" a="1"/>
  <c r="Z65" i="12" s="1"/>
  <c r="R65" i="12"/>
  <c r="S65" i="12" s="1" a="1"/>
  <c r="S65" i="12" s="1"/>
  <c r="P65" i="12" a="1"/>
  <c r="P65" i="12" s="1"/>
  <c r="J65" i="12" s="1"/>
  <c r="Y64" i="12"/>
  <c r="Z64" i="12" s="1" a="1"/>
  <c r="Z64" i="12" s="1"/>
  <c r="R64" i="12"/>
  <c r="S64" i="12" s="1" a="1"/>
  <c r="S64" i="12" s="1"/>
  <c r="P64" i="12" a="1"/>
  <c r="P64" i="12" s="1"/>
  <c r="J64" i="12" s="1"/>
  <c r="Y63" i="12"/>
  <c r="Z63" i="12" s="1" a="1"/>
  <c r="Z63" i="12" s="1"/>
  <c r="R63" i="12"/>
  <c r="S63" i="12" s="1" a="1"/>
  <c r="S63" i="12" s="1"/>
  <c r="P63" i="12" a="1"/>
  <c r="P63" i="12" s="1"/>
  <c r="J63" i="12" s="1"/>
  <c r="Y62" i="12"/>
  <c r="Z62" i="12" s="1" a="1"/>
  <c r="Z62" i="12" s="1"/>
  <c r="R62" i="12"/>
  <c r="S62" i="12" s="1" a="1"/>
  <c r="S62" i="12" s="1"/>
  <c r="P62" i="12" a="1"/>
  <c r="P62" i="12" s="1"/>
  <c r="J62" i="12" s="1"/>
  <c r="Y61" i="12"/>
  <c r="Z61" i="12" s="1" a="1"/>
  <c r="Z61" i="12" s="1"/>
  <c r="R61" i="12"/>
  <c r="S61" i="12" s="1" a="1"/>
  <c r="S61" i="12" s="1"/>
  <c r="P61" i="12" a="1"/>
  <c r="P61" i="12" s="1"/>
  <c r="J61" i="12" s="1"/>
  <c r="Y60" i="12"/>
  <c r="Z60" i="12" s="1" a="1"/>
  <c r="Z60" i="12" s="1"/>
  <c r="R60" i="12"/>
  <c r="S60" i="12" s="1" a="1"/>
  <c r="S60" i="12" s="1"/>
  <c r="P60" i="12" a="1"/>
  <c r="P60" i="12" s="1"/>
  <c r="J60" i="12" s="1"/>
  <c r="Y59" i="12"/>
  <c r="Z59" i="12" s="1" a="1"/>
  <c r="Z59" i="12" s="1"/>
  <c r="R59" i="12"/>
  <c r="S59" i="12" s="1" a="1"/>
  <c r="S59" i="12" s="1"/>
  <c r="P59" i="12" a="1"/>
  <c r="P59" i="12" s="1"/>
  <c r="J59" i="12" s="1"/>
  <c r="Y58" i="12"/>
  <c r="Z58" i="12" s="1" a="1"/>
  <c r="Z58" i="12" s="1"/>
  <c r="R58" i="12"/>
  <c r="S58" i="12" s="1" a="1"/>
  <c r="S58" i="12" s="1"/>
  <c r="P58" i="12" a="1"/>
  <c r="P58" i="12" s="1"/>
  <c r="J58" i="12" s="1"/>
  <c r="Y57" i="12"/>
  <c r="Z57" i="12" s="1" a="1"/>
  <c r="Z57" i="12" s="1"/>
  <c r="R57" i="12"/>
  <c r="S57" i="12" s="1" a="1"/>
  <c r="S57" i="12" s="1"/>
  <c r="P57" i="12" a="1"/>
  <c r="P57" i="12" s="1"/>
  <c r="J57" i="12" s="1"/>
  <c r="Y56" i="12"/>
  <c r="Z56" i="12" s="1" a="1"/>
  <c r="Z56" i="12" s="1"/>
  <c r="R56" i="12"/>
  <c r="S56" i="12" s="1" a="1"/>
  <c r="S56" i="12" s="1"/>
  <c r="P56" i="12" a="1"/>
  <c r="P56" i="12" s="1"/>
  <c r="J56" i="12" s="1"/>
  <c r="Y55" i="12"/>
  <c r="Z55" i="12" s="1" a="1"/>
  <c r="Z55" i="12" s="1"/>
  <c r="R55" i="12"/>
  <c r="S55" i="12" s="1" a="1"/>
  <c r="S55" i="12" s="1"/>
  <c r="P55" i="12" a="1"/>
  <c r="P55" i="12" s="1"/>
  <c r="J55" i="12" s="1"/>
  <c r="Y54" i="12"/>
  <c r="Z54" i="12" s="1" a="1"/>
  <c r="Z54" i="12" s="1"/>
  <c r="R54" i="12"/>
  <c r="S54" i="12" s="1" a="1"/>
  <c r="S54" i="12" s="1"/>
  <c r="P54" i="12" a="1"/>
  <c r="P54" i="12" s="1"/>
  <c r="J54" i="12" s="1"/>
  <c r="Y53" i="12"/>
  <c r="Z53" i="12" s="1" a="1"/>
  <c r="Z53" i="12" s="1"/>
  <c r="R53" i="12"/>
  <c r="S53" i="12" s="1" a="1"/>
  <c r="S53" i="12" s="1"/>
  <c r="P53" i="12" a="1"/>
  <c r="P53" i="12" s="1"/>
  <c r="J53" i="12" s="1"/>
  <c r="Y52" i="12"/>
  <c r="Z52" i="12" s="1" a="1"/>
  <c r="Z52" i="12" s="1"/>
  <c r="R52" i="12"/>
  <c r="S52" i="12" s="1" a="1"/>
  <c r="S52" i="12" s="1"/>
  <c r="P52" i="12" a="1"/>
  <c r="P52" i="12" s="1"/>
  <c r="J52" i="12" s="1"/>
  <c r="Y51" i="12"/>
  <c r="Z51" i="12" s="1" a="1"/>
  <c r="Z51" i="12" s="1"/>
  <c r="R51" i="12"/>
  <c r="S51" i="12" s="1" a="1"/>
  <c r="S51" i="12" s="1"/>
  <c r="P51" i="12" a="1"/>
  <c r="P51" i="12" s="1"/>
  <c r="J51" i="12" s="1"/>
  <c r="Y50" i="12"/>
  <c r="Z50" i="12" s="1" a="1"/>
  <c r="Z50" i="12" s="1"/>
  <c r="R50" i="12"/>
  <c r="S50" i="12" s="1" a="1"/>
  <c r="S50" i="12" s="1"/>
  <c r="P50" i="12" a="1"/>
  <c r="P50" i="12" s="1"/>
  <c r="J50" i="12" s="1"/>
  <c r="Y49" i="12"/>
  <c r="Z49" i="12" s="1" a="1"/>
  <c r="Z49" i="12" s="1"/>
  <c r="R49" i="12"/>
  <c r="S49" i="12" s="1" a="1"/>
  <c r="S49" i="12" s="1"/>
  <c r="P49" i="12" a="1"/>
  <c r="P49" i="12" s="1"/>
  <c r="J49" i="12" s="1"/>
  <c r="Y48" i="12"/>
  <c r="Z48" i="12" s="1" a="1"/>
  <c r="Z48" i="12" s="1"/>
  <c r="R48" i="12"/>
  <c r="S48" i="12" s="1" a="1"/>
  <c r="S48" i="12" s="1"/>
  <c r="P48" i="12" a="1"/>
  <c r="P48" i="12" s="1"/>
  <c r="J48" i="12" s="1"/>
  <c r="Y47" i="12"/>
  <c r="Z47" i="12" s="1" a="1"/>
  <c r="Z47" i="12" s="1"/>
  <c r="R47" i="12"/>
  <c r="S47" i="12" s="1" a="1"/>
  <c r="S47" i="12" s="1"/>
  <c r="P47" i="12" a="1"/>
  <c r="P47" i="12" s="1"/>
  <c r="J47" i="12" s="1"/>
  <c r="Y46" i="12"/>
  <c r="Z46" i="12" s="1" a="1"/>
  <c r="Z46" i="12" s="1"/>
  <c r="R46" i="12"/>
  <c r="S46" i="12" s="1" a="1"/>
  <c r="S46" i="12" s="1"/>
  <c r="P46" i="12" a="1"/>
  <c r="P46" i="12" s="1"/>
  <c r="J46" i="12" s="1"/>
  <c r="Y45" i="12"/>
  <c r="Z45" i="12" s="1" a="1"/>
  <c r="Z45" i="12" s="1"/>
  <c r="R45" i="12"/>
  <c r="S45" i="12" s="1" a="1"/>
  <c r="S45" i="12" s="1"/>
  <c r="P45" i="12" a="1"/>
  <c r="P45" i="12" s="1"/>
  <c r="J45" i="12" s="1"/>
  <c r="Y44" i="12"/>
  <c r="Z44" i="12" s="1" a="1"/>
  <c r="Z44" i="12" s="1"/>
  <c r="R44" i="12"/>
  <c r="S44" i="12" s="1" a="1"/>
  <c r="S44" i="12" s="1"/>
  <c r="P44" i="12" a="1"/>
  <c r="P44" i="12" s="1"/>
  <c r="J44" i="12" s="1"/>
  <c r="Y43" i="12"/>
  <c r="Z43" i="12" s="1" a="1"/>
  <c r="Z43" i="12" s="1"/>
  <c r="R43" i="12"/>
  <c r="S43" i="12" s="1" a="1"/>
  <c r="S43" i="12" s="1"/>
  <c r="P43" i="12" a="1"/>
  <c r="P43" i="12" s="1"/>
  <c r="J43" i="12" s="1"/>
  <c r="Y42" i="12"/>
  <c r="Z42" i="12" s="1" a="1"/>
  <c r="Z42" i="12" s="1"/>
  <c r="R42" i="12"/>
  <c r="S42" i="12" s="1" a="1"/>
  <c r="S42" i="12" s="1"/>
  <c r="P42" i="12" a="1"/>
  <c r="P42" i="12" s="1"/>
  <c r="J42" i="12" s="1"/>
  <c r="Y41" i="12"/>
  <c r="Z41" i="12" s="1" a="1"/>
  <c r="Z41" i="12" s="1"/>
  <c r="R41" i="12"/>
  <c r="S41" i="12" s="1" a="1"/>
  <c r="S41" i="12" s="1"/>
  <c r="P41" i="12" a="1"/>
  <c r="P41" i="12" s="1"/>
  <c r="J41" i="12" s="1"/>
  <c r="Y40" i="12"/>
  <c r="Z40" i="12" s="1" a="1"/>
  <c r="Z40" i="12" s="1"/>
  <c r="R40" i="12"/>
  <c r="S40" i="12" s="1" a="1"/>
  <c r="S40" i="12" s="1"/>
  <c r="P40" i="12" a="1"/>
  <c r="P40" i="12" s="1"/>
  <c r="J40" i="12" s="1"/>
  <c r="Y39" i="12"/>
  <c r="Z39" i="12" s="1" a="1"/>
  <c r="Z39" i="12" s="1"/>
  <c r="R39" i="12"/>
  <c r="S39" i="12" s="1" a="1"/>
  <c r="S39" i="12" s="1"/>
  <c r="P39" i="12" a="1"/>
  <c r="P39" i="12" s="1"/>
  <c r="J39" i="12" s="1"/>
  <c r="Y38" i="12"/>
  <c r="Z38" i="12" s="1" a="1"/>
  <c r="Z38" i="12" s="1"/>
  <c r="R38" i="12"/>
  <c r="S38" i="12" s="1" a="1"/>
  <c r="S38" i="12" s="1"/>
  <c r="P38" i="12" a="1"/>
  <c r="P38" i="12" s="1"/>
  <c r="J38" i="12" s="1"/>
  <c r="Y37" i="12"/>
  <c r="Z37" i="12" s="1" a="1"/>
  <c r="Z37" i="12" s="1"/>
  <c r="R37" i="12"/>
  <c r="S37" i="12" s="1" a="1"/>
  <c r="S37" i="12" s="1"/>
  <c r="P37" i="12" a="1"/>
  <c r="P37" i="12" s="1"/>
  <c r="J37" i="12" s="1"/>
  <c r="Y36" i="12"/>
  <c r="Z36" i="12" s="1" a="1"/>
  <c r="Z36" i="12" s="1"/>
  <c r="R36" i="12"/>
  <c r="S36" i="12" s="1" a="1"/>
  <c r="S36" i="12" s="1"/>
  <c r="P36" i="12" a="1"/>
  <c r="P36" i="12" s="1"/>
  <c r="J36" i="12" s="1"/>
  <c r="Y35" i="12"/>
  <c r="Z35" i="12" s="1" a="1"/>
  <c r="Z35" i="12" s="1"/>
  <c r="R35" i="12"/>
  <c r="S35" i="12" s="1" a="1"/>
  <c r="S35" i="12" s="1"/>
  <c r="P35" i="12" a="1"/>
  <c r="P35" i="12" s="1"/>
  <c r="J35" i="12" s="1"/>
  <c r="Y34" i="12"/>
  <c r="Z34" i="12" s="1" a="1"/>
  <c r="Z34" i="12" s="1"/>
  <c r="R34" i="12"/>
  <c r="S34" i="12" s="1" a="1"/>
  <c r="S34" i="12" s="1"/>
  <c r="P34" i="12" a="1"/>
  <c r="P34" i="12" s="1"/>
  <c r="J34" i="12" s="1"/>
  <c r="Y33" i="12"/>
  <c r="Z33" i="12" s="1" a="1"/>
  <c r="Z33" i="12" s="1"/>
  <c r="R33" i="12"/>
  <c r="S33" i="12" s="1" a="1"/>
  <c r="S33" i="12" s="1"/>
  <c r="P33" i="12" a="1"/>
  <c r="P33" i="12" s="1"/>
  <c r="J33" i="12" s="1"/>
  <c r="Y32" i="12"/>
  <c r="Z32" i="12" s="1" a="1"/>
  <c r="Z32" i="12" s="1"/>
  <c r="R32" i="12"/>
  <c r="S32" i="12" s="1" a="1"/>
  <c r="S32" i="12" s="1"/>
  <c r="P32" i="12" a="1"/>
  <c r="P32" i="12" s="1"/>
  <c r="J32" i="12" s="1"/>
  <c r="Y31" i="12"/>
  <c r="Z31" i="12" s="1" a="1"/>
  <c r="Z31" i="12" s="1"/>
  <c r="R31" i="12"/>
  <c r="S31" i="12" s="1" a="1"/>
  <c r="S31" i="12" s="1"/>
  <c r="P31" i="12" a="1"/>
  <c r="P31" i="12" s="1"/>
  <c r="J31" i="12" s="1"/>
  <c r="Y30" i="12"/>
  <c r="Z30" i="12" s="1" a="1"/>
  <c r="Z30" i="12" s="1"/>
  <c r="R30" i="12"/>
  <c r="S30" i="12" s="1" a="1"/>
  <c r="S30" i="12" s="1"/>
  <c r="P30" i="12" a="1"/>
  <c r="P30" i="12" s="1"/>
  <c r="J30" i="12" s="1"/>
  <c r="Y29" i="12"/>
  <c r="Z29" i="12" s="1" a="1"/>
  <c r="Z29" i="12" s="1"/>
  <c r="R29" i="12"/>
  <c r="S29" i="12" s="1" a="1"/>
  <c r="S29" i="12" s="1"/>
  <c r="P29" i="12" a="1"/>
  <c r="P29" i="12" s="1"/>
  <c r="J29" i="12" s="1"/>
  <c r="Y28" i="12"/>
  <c r="Z28" i="12" s="1" a="1"/>
  <c r="Z28" i="12" s="1"/>
  <c r="R28" i="12"/>
  <c r="S28" i="12" s="1" a="1"/>
  <c r="S28" i="12" s="1"/>
  <c r="P28" i="12" a="1"/>
  <c r="P28" i="12" s="1"/>
  <c r="J28" i="12" s="1"/>
  <c r="Y27" i="12"/>
  <c r="Z27" i="12" s="1" a="1"/>
  <c r="Z27" i="12" s="1"/>
  <c r="R27" i="12"/>
  <c r="S27" i="12" s="1" a="1"/>
  <c r="S27" i="12" s="1"/>
  <c r="P27" i="12" a="1"/>
  <c r="P27" i="12" s="1"/>
  <c r="J27" i="12" s="1"/>
  <c r="Y26" i="12"/>
  <c r="Z26" i="12" s="1" a="1"/>
  <c r="Z26" i="12" s="1"/>
  <c r="R26" i="12"/>
  <c r="S26" i="12" s="1" a="1"/>
  <c r="S26" i="12" s="1"/>
  <c r="P26" i="12" a="1"/>
  <c r="P26" i="12" s="1"/>
  <c r="J26" i="12" s="1"/>
  <c r="Y25" i="12"/>
  <c r="Z25" i="12" s="1" a="1"/>
  <c r="Z25" i="12" s="1"/>
  <c r="R25" i="12"/>
  <c r="S25" i="12" s="1" a="1"/>
  <c r="S25" i="12" s="1"/>
  <c r="P25" i="12" a="1"/>
  <c r="P25" i="12" s="1"/>
  <c r="J25" i="12" s="1"/>
  <c r="Y24" i="12"/>
  <c r="Z24" i="12" s="1" a="1"/>
  <c r="Z24" i="12" s="1"/>
  <c r="R24" i="12"/>
  <c r="S24" i="12" s="1" a="1"/>
  <c r="S24" i="12" s="1"/>
  <c r="P24" i="12" a="1"/>
  <c r="P24" i="12" s="1"/>
  <c r="J24" i="12" s="1"/>
  <c r="Y23" i="12"/>
  <c r="Z23" i="12" s="1" a="1"/>
  <c r="Z23" i="12" s="1"/>
  <c r="R23" i="12"/>
  <c r="S23" i="12" s="1" a="1"/>
  <c r="S23" i="12" s="1"/>
  <c r="P23" i="12" a="1"/>
  <c r="P23" i="12" s="1"/>
  <c r="J23" i="12" s="1"/>
  <c r="Y22" i="12"/>
  <c r="Z22" i="12" s="1" a="1"/>
  <c r="Z22" i="12" s="1"/>
  <c r="R22" i="12"/>
  <c r="S22" i="12" s="1" a="1"/>
  <c r="S22" i="12" s="1"/>
  <c r="P22" i="12" a="1"/>
  <c r="P22" i="12" s="1"/>
  <c r="J22" i="12" s="1"/>
  <c r="Y21" i="12"/>
  <c r="Z21" i="12" s="1" a="1"/>
  <c r="Z21" i="12" s="1"/>
  <c r="R21" i="12"/>
  <c r="S21" i="12" s="1" a="1"/>
  <c r="S21" i="12" s="1"/>
  <c r="P21" i="12" a="1"/>
  <c r="P21" i="12" s="1"/>
  <c r="J21" i="12" s="1"/>
  <c r="Y20" i="12"/>
  <c r="Z20" i="12" s="1" a="1"/>
  <c r="Z20" i="12" s="1"/>
  <c r="R20" i="12"/>
  <c r="S20" i="12" s="1" a="1"/>
  <c r="S20" i="12" s="1"/>
  <c r="P20" i="12" a="1"/>
  <c r="P20" i="12" s="1"/>
  <c r="J20" i="12" s="1"/>
  <c r="Y19" i="12"/>
  <c r="Z19" i="12" s="1" a="1"/>
  <c r="Z19" i="12" s="1"/>
  <c r="R19" i="12"/>
  <c r="S19" i="12" s="1" a="1"/>
  <c r="S19" i="12" s="1"/>
  <c r="P19" i="12" a="1"/>
  <c r="P19" i="12" s="1"/>
  <c r="J19" i="12" s="1"/>
  <c r="Y18" i="12"/>
  <c r="Z18" i="12" s="1" a="1"/>
  <c r="Z18" i="12" s="1"/>
  <c r="R18" i="12"/>
  <c r="S18" i="12" s="1" a="1"/>
  <c r="S18" i="12" s="1"/>
  <c r="P18" i="12" a="1"/>
  <c r="P18" i="12" s="1"/>
  <c r="J18" i="12" s="1"/>
  <c r="Y17" i="12"/>
  <c r="Z17" i="12" s="1" a="1"/>
  <c r="Z17" i="12" s="1"/>
  <c r="R17" i="12"/>
  <c r="S17" i="12" s="1" a="1"/>
  <c r="S17" i="12" s="1"/>
  <c r="P17" i="12" a="1"/>
  <c r="P17" i="12" s="1"/>
  <c r="J17" i="12" s="1"/>
  <c r="Y16" i="12"/>
  <c r="Z16" i="12" s="1" a="1"/>
  <c r="Z16" i="12" s="1"/>
  <c r="R16" i="12"/>
  <c r="S16" i="12" s="1" a="1"/>
  <c r="S16" i="12" s="1"/>
  <c r="P16" i="12" a="1"/>
  <c r="P16" i="12" s="1"/>
  <c r="J16" i="12" s="1"/>
  <c r="Y15" i="12"/>
  <c r="Z15" i="12" s="1" a="1"/>
  <c r="Z15" i="12" s="1"/>
  <c r="R15" i="12"/>
  <c r="S15" i="12" s="1" a="1"/>
  <c r="S15" i="12" s="1"/>
  <c r="P15" i="12" a="1"/>
  <c r="P15" i="12" s="1"/>
  <c r="J15" i="12" s="1"/>
  <c r="Y14" i="12"/>
  <c r="Z14" i="12" s="1" a="1"/>
  <c r="Z14" i="12" s="1"/>
  <c r="R14" i="12"/>
  <c r="S14" i="12" s="1" a="1"/>
  <c r="S14" i="12" s="1"/>
  <c r="P14" i="12" a="1"/>
  <c r="P14" i="12" s="1"/>
  <c r="J14" i="12" s="1"/>
  <c r="Y13" i="12"/>
  <c r="Z13" i="12" s="1" a="1"/>
  <c r="Z13" i="12" s="1"/>
  <c r="R13" i="12"/>
  <c r="S13" i="12" s="1" a="1"/>
  <c r="S13" i="12" s="1"/>
  <c r="P13" i="12" a="1"/>
  <c r="P13" i="12" s="1"/>
  <c r="J13" i="12" s="1"/>
  <c r="Y12" i="12"/>
  <c r="Z12" i="12" s="1" a="1"/>
  <c r="Z12" i="12" s="1"/>
  <c r="R12" i="12"/>
  <c r="S12" i="12" s="1" a="1"/>
  <c r="S12" i="12" s="1"/>
  <c r="P12" i="12" a="1"/>
  <c r="P12" i="12" s="1"/>
  <c r="J12" i="12" s="1"/>
  <c r="Y11" i="12"/>
  <c r="Z11" i="12" s="1" a="1"/>
  <c r="Z11" i="12" s="1"/>
  <c r="R11" i="12"/>
  <c r="S11" i="12" s="1" a="1"/>
  <c r="S11" i="12" s="1"/>
  <c r="P11" i="12" a="1"/>
  <c r="P11" i="12" s="1"/>
  <c r="J11" i="12" s="1"/>
  <c r="Y10" i="12"/>
  <c r="Z10" i="12" s="1" a="1"/>
  <c r="Z10" i="12" s="1"/>
  <c r="R10" i="12"/>
  <c r="S10" i="12" s="1" a="1"/>
  <c r="S10" i="12" s="1"/>
  <c r="P10" i="12" a="1"/>
  <c r="P10" i="12" s="1"/>
  <c r="J10" i="12" s="1"/>
  <c r="Y9" i="12"/>
  <c r="Z9" i="12" s="1" a="1"/>
  <c r="Z9" i="12" s="1"/>
  <c r="R9" i="12"/>
  <c r="S9" i="12" s="1" a="1"/>
  <c r="S9" i="12" s="1"/>
  <c r="P9" i="12" a="1"/>
  <c r="P9" i="12" s="1"/>
  <c r="J9" i="12" s="1"/>
  <c r="Y8" i="12"/>
  <c r="Z8" i="12" s="1" a="1"/>
  <c r="Z8" i="12" s="1"/>
  <c r="R8" i="12"/>
  <c r="S8" i="12" s="1" a="1"/>
  <c r="S8" i="12" s="1"/>
  <c r="P8" i="12" a="1"/>
  <c r="P8" i="12" s="1"/>
  <c r="J8" i="12" s="1"/>
  <c r="Y7" i="12"/>
  <c r="Z7" i="12" s="1" a="1"/>
  <c r="Z7" i="12" s="1"/>
  <c r="R7" i="12"/>
  <c r="S7" i="12" s="1" a="1"/>
  <c r="S7" i="12" s="1"/>
  <c r="P7" i="12" a="1"/>
  <c r="P7" i="12" s="1"/>
  <c r="J7" i="12" s="1"/>
  <c r="Y6" i="12"/>
  <c r="Z6" i="12" s="1" a="1"/>
  <c r="Z6" i="12" s="1"/>
  <c r="R6" i="12"/>
  <c r="S6" i="12" s="1" a="1"/>
  <c r="S6" i="12" s="1"/>
  <c r="P6" i="12" a="1"/>
  <c r="P6" i="12" s="1"/>
  <c r="J6" i="12" s="1"/>
  <c r="E11" i="3" a="1"/>
  <c r="E11" i="3" s="1"/>
  <c r="C11" i="3" a="1"/>
  <c r="C11" i="3" s="1"/>
  <c r="E10" i="3" a="1"/>
  <c r="E10" i="3" s="1"/>
  <c r="C10" i="3" a="1"/>
  <c r="C10" i="3" s="1"/>
  <c r="E7" i="3" a="1"/>
  <c r="E7" i="3" s="1"/>
  <c r="M17" i="22" s="1"/>
  <c r="E5" i="3" a="1"/>
  <c r="E5" i="3" s="1"/>
  <c r="K3" i="30" s="1"/>
  <c r="E4" i="3" a="1"/>
  <c r="E4" i="3" s="1"/>
  <c r="K2" i="30" s="1"/>
  <c r="H7" i="22" l="1"/>
  <c r="AI35" i="22"/>
  <c r="AH34" i="22"/>
  <c r="E6" i="22"/>
  <c r="H6" i="22"/>
  <c r="AI34" i="22"/>
  <c r="F6" i="21"/>
  <c r="F6" i="22"/>
  <c r="K12" i="30"/>
  <c r="E7" i="22"/>
  <c r="G7" i="22" s="1"/>
  <c r="C6" i="21"/>
  <c r="C6" i="22" s="1"/>
  <c r="E6" i="21"/>
  <c r="AZ35" i="22"/>
  <c r="BA35" i="22"/>
  <c r="AZ34" i="22"/>
  <c r="BA34" i="22"/>
  <c r="AT34" i="22"/>
  <c r="AN34" i="22"/>
  <c r="AU34" i="22"/>
  <c r="AN35" i="22"/>
  <c r="AO35" i="22"/>
  <c r="AT35" i="22"/>
  <c r="C12" i="3"/>
  <c r="AU35" i="22"/>
  <c r="E6" i="3"/>
  <c r="M16" i="22" s="1"/>
  <c r="E12" i="3"/>
  <c r="G6" i="22" l="1"/>
  <c r="M20" i="22"/>
  <c r="D8" i="22"/>
  <c r="G6" i="21"/>
  <c r="D8" i="21"/>
  <c r="C7" i="3" l="1"/>
  <c r="C5" i="3"/>
  <c r="C4" i="3"/>
  <c r="Q9" i="10"/>
  <c r="Q11" i="10" s="1"/>
  <c r="G11" i="3" a="1"/>
  <c r="G11" i="3" s="1"/>
  <c r="D11" i="3" a="1"/>
  <c r="D11" i="3" s="1"/>
  <c r="B7" i="30"/>
  <c r="D7" i="30" s="1"/>
  <c r="G10" i="3" a="1"/>
  <c r="G10" i="3" s="1"/>
  <c r="D10" i="3" a="1"/>
  <c r="D10" i="3" s="1"/>
  <c r="B6" i="30"/>
  <c r="D6" i="30" s="1"/>
  <c r="L435" i="10"/>
  <c r="M435" i="10" s="1" a="1"/>
  <c r="M435" i="10" s="1"/>
  <c r="J435" i="10" a="1"/>
  <c r="J435" i="10" s="1"/>
  <c r="L434" i="10"/>
  <c r="M434" i="10" s="1" a="1"/>
  <c r="M434" i="10" s="1"/>
  <c r="J434" i="10" a="1"/>
  <c r="J434" i="10" s="1"/>
  <c r="L433" i="10"/>
  <c r="M433" i="10" s="1" a="1"/>
  <c r="M433" i="10" s="1"/>
  <c r="J433" i="10" a="1"/>
  <c r="J433" i="10" s="1"/>
  <c r="L432" i="10"/>
  <c r="M432" i="10" s="1" a="1"/>
  <c r="M432" i="10" s="1"/>
  <c r="J432" i="10" a="1"/>
  <c r="J432" i="10" s="1"/>
  <c r="L431" i="10"/>
  <c r="M431" i="10" s="1" a="1"/>
  <c r="M431" i="10" s="1"/>
  <c r="J431" i="10" a="1"/>
  <c r="J431" i="10" s="1"/>
  <c r="L430" i="10"/>
  <c r="M430" i="10" s="1" a="1"/>
  <c r="M430" i="10" s="1"/>
  <c r="J430" i="10" a="1"/>
  <c r="J430" i="10" s="1"/>
  <c r="L429" i="10"/>
  <c r="M429" i="10" s="1" a="1"/>
  <c r="M429" i="10" s="1"/>
  <c r="J429" i="10" a="1"/>
  <c r="J429" i="10" s="1"/>
  <c r="L428" i="10"/>
  <c r="M428" i="10" s="1" a="1"/>
  <c r="M428" i="10" s="1"/>
  <c r="J428" i="10" a="1"/>
  <c r="J428" i="10" s="1"/>
  <c r="L427" i="10"/>
  <c r="M427" i="10" s="1" a="1"/>
  <c r="M427" i="10" s="1"/>
  <c r="J427" i="10" a="1"/>
  <c r="J427" i="10" s="1"/>
  <c r="L426" i="10"/>
  <c r="M426" i="10" s="1" a="1"/>
  <c r="M426" i="10" s="1"/>
  <c r="J426" i="10" a="1"/>
  <c r="J426" i="10" s="1"/>
  <c r="L425" i="10"/>
  <c r="M425" i="10" s="1" a="1"/>
  <c r="M425" i="10" s="1"/>
  <c r="J425" i="10" a="1"/>
  <c r="J425" i="10" s="1"/>
  <c r="L424" i="10"/>
  <c r="M424" i="10" s="1" a="1"/>
  <c r="M424" i="10" s="1"/>
  <c r="J424" i="10" a="1"/>
  <c r="J424" i="10" s="1"/>
  <c r="L423" i="10"/>
  <c r="M423" i="10" s="1" a="1"/>
  <c r="M423" i="10" s="1"/>
  <c r="J423" i="10" a="1"/>
  <c r="J423" i="10" s="1"/>
  <c r="L422" i="10"/>
  <c r="M422" i="10" s="1" a="1"/>
  <c r="M422" i="10" s="1"/>
  <c r="J422" i="10" a="1"/>
  <c r="J422" i="10" s="1"/>
  <c r="L421" i="10"/>
  <c r="M421" i="10" s="1" a="1"/>
  <c r="M421" i="10" s="1"/>
  <c r="J421" i="10" a="1"/>
  <c r="J421" i="10" s="1"/>
  <c r="L420" i="10"/>
  <c r="M420" i="10" s="1" a="1"/>
  <c r="M420" i="10" s="1"/>
  <c r="J420" i="10" a="1"/>
  <c r="J420" i="10" s="1"/>
  <c r="L419" i="10"/>
  <c r="M419" i="10" s="1" a="1"/>
  <c r="M419" i="10" s="1"/>
  <c r="J419" i="10" a="1"/>
  <c r="J419" i="10" s="1"/>
  <c r="L418" i="10"/>
  <c r="M418" i="10" s="1" a="1"/>
  <c r="M418" i="10" s="1"/>
  <c r="J418" i="10" a="1"/>
  <c r="J418" i="10" s="1"/>
  <c r="L417" i="10"/>
  <c r="M417" i="10" s="1" a="1"/>
  <c r="M417" i="10" s="1"/>
  <c r="J417" i="10" a="1"/>
  <c r="J417" i="10" s="1"/>
  <c r="L416" i="10"/>
  <c r="M416" i="10" s="1" a="1"/>
  <c r="M416" i="10" s="1"/>
  <c r="J416" i="10" a="1"/>
  <c r="J416" i="10" s="1"/>
  <c r="L415" i="10"/>
  <c r="M415" i="10" s="1" a="1"/>
  <c r="M415" i="10" s="1"/>
  <c r="J415" i="10" a="1"/>
  <c r="J415" i="10" s="1"/>
  <c r="L414" i="10"/>
  <c r="M414" i="10" s="1" a="1"/>
  <c r="M414" i="10" s="1"/>
  <c r="J414" i="10" a="1"/>
  <c r="J414" i="10" s="1"/>
  <c r="L413" i="10"/>
  <c r="M413" i="10" s="1" a="1"/>
  <c r="M413" i="10" s="1"/>
  <c r="J413" i="10" a="1"/>
  <c r="J413" i="10" s="1"/>
  <c r="L412" i="10"/>
  <c r="M412" i="10" s="1" a="1"/>
  <c r="M412" i="10" s="1"/>
  <c r="J412" i="10" a="1"/>
  <c r="J412" i="10" s="1"/>
  <c r="L411" i="10"/>
  <c r="M411" i="10" s="1" a="1"/>
  <c r="M411" i="10" s="1"/>
  <c r="J411" i="10" a="1"/>
  <c r="J411" i="10" s="1"/>
  <c r="L410" i="10"/>
  <c r="M410" i="10" s="1" a="1"/>
  <c r="M410" i="10" s="1"/>
  <c r="J410" i="10" a="1"/>
  <c r="J410" i="10" s="1"/>
  <c r="L409" i="10"/>
  <c r="M409" i="10" s="1" a="1"/>
  <c r="M409" i="10" s="1"/>
  <c r="J409" i="10" a="1"/>
  <c r="J409" i="10" s="1"/>
  <c r="L408" i="10"/>
  <c r="M408" i="10" s="1" a="1"/>
  <c r="M408" i="10" s="1"/>
  <c r="J408" i="10" a="1"/>
  <c r="J408" i="10" s="1"/>
  <c r="L407" i="10"/>
  <c r="M407" i="10" s="1" a="1"/>
  <c r="M407" i="10" s="1"/>
  <c r="J407" i="10" a="1"/>
  <c r="J407" i="10" s="1"/>
  <c r="L406" i="10"/>
  <c r="M406" i="10" s="1" a="1"/>
  <c r="M406" i="10" s="1"/>
  <c r="J406" i="10" a="1"/>
  <c r="J406" i="10" s="1"/>
  <c r="L405" i="10"/>
  <c r="M405" i="10" s="1" a="1"/>
  <c r="M405" i="10" s="1"/>
  <c r="J405" i="10" a="1"/>
  <c r="J405" i="10" s="1"/>
  <c r="L404" i="10"/>
  <c r="M404" i="10" s="1" a="1"/>
  <c r="M404" i="10" s="1"/>
  <c r="J404" i="10" a="1"/>
  <c r="J404" i="10" s="1"/>
  <c r="L403" i="10"/>
  <c r="M403" i="10" s="1" a="1"/>
  <c r="M403" i="10" s="1"/>
  <c r="J403" i="10" a="1"/>
  <c r="J403" i="10" s="1"/>
  <c r="L402" i="10"/>
  <c r="M402" i="10" s="1" a="1"/>
  <c r="M402" i="10" s="1"/>
  <c r="J402" i="10" a="1"/>
  <c r="J402" i="10" s="1"/>
  <c r="L401" i="10"/>
  <c r="M401" i="10" s="1" a="1"/>
  <c r="M401" i="10" s="1"/>
  <c r="J401" i="10" a="1"/>
  <c r="J401" i="10" s="1"/>
  <c r="L400" i="10"/>
  <c r="M400" i="10" s="1" a="1"/>
  <c r="M400" i="10" s="1"/>
  <c r="J400" i="10" a="1"/>
  <c r="J400" i="10" s="1"/>
  <c r="L399" i="10"/>
  <c r="M399" i="10" s="1" a="1"/>
  <c r="M399" i="10" s="1"/>
  <c r="J399" i="10" a="1"/>
  <c r="J399" i="10" s="1"/>
  <c r="L398" i="10"/>
  <c r="M398" i="10" s="1" a="1"/>
  <c r="M398" i="10" s="1"/>
  <c r="J398" i="10" a="1"/>
  <c r="J398" i="10" s="1"/>
  <c r="L397" i="10"/>
  <c r="M397" i="10" s="1" a="1"/>
  <c r="M397" i="10" s="1"/>
  <c r="J397" i="10" a="1"/>
  <c r="J397" i="10" s="1"/>
  <c r="L396" i="10"/>
  <c r="M396" i="10" s="1" a="1"/>
  <c r="M396" i="10" s="1"/>
  <c r="J396" i="10" a="1"/>
  <c r="J396" i="10" s="1"/>
  <c r="L395" i="10"/>
  <c r="M395" i="10" s="1" a="1"/>
  <c r="M395" i="10" s="1"/>
  <c r="J395" i="10" a="1"/>
  <c r="J395" i="10" s="1"/>
  <c r="L394" i="10"/>
  <c r="M394" i="10" s="1" a="1"/>
  <c r="M394" i="10" s="1"/>
  <c r="J394" i="10" a="1"/>
  <c r="J394" i="10" s="1"/>
  <c r="L393" i="10"/>
  <c r="M393" i="10" s="1" a="1"/>
  <c r="M393" i="10" s="1"/>
  <c r="J393" i="10" a="1"/>
  <c r="J393" i="10" s="1"/>
  <c r="L392" i="10"/>
  <c r="M392" i="10" s="1" a="1"/>
  <c r="M392" i="10" s="1"/>
  <c r="J392" i="10" a="1"/>
  <c r="J392" i="10" s="1"/>
  <c r="L391" i="10"/>
  <c r="M391" i="10" s="1" a="1"/>
  <c r="M391" i="10" s="1"/>
  <c r="J391" i="10" a="1"/>
  <c r="J391" i="10" s="1"/>
  <c r="L390" i="10"/>
  <c r="M390" i="10" s="1" a="1"/>
  <c r="M390" i="10" s="1"/>
  <c r="J390" i="10" a="1"/>
  <c r="J390" i="10" s="1"/>
  <c r="L389" i="10"/>
  <c r="M389" i="10" s="1" a="1"/>
  <c r="M389" i="10" s="1"/>
  <c r="J389" i="10" a="1"/>
  <c r="J389" i="10" s="1"/>
  <c r="L388" i="10"/>
  <c r="M388" i="10" s="1" a="1"/>
  <c r="M388" i="10" s="1"/>
  <c r="J388" i="10" a="1"/>
  <c r="J388" i="10" s="1"/>
  <c r="L387" i="10"/>
  <c r="M387" i="10" s="1" a="1"/>
  <c r="M387" i="10" s="1"/>
  <c r="J387" i="10" a="1"/>
  <c r="J387" i="10" s="1"/>
  <c r="L386" i="10"/>
  <c r="M386" i="10" s="1" a="1"/>
  <c r="M386" i="10" s="1"/>
  <c r="J386" i="10" a="1"/>
  <c r="J386" i="10" s="1"/>
  <c r="L385" i="10"/>
  <c r="M385" i="10" s="1" a="1"/>
  <c r="M385" i="10" s="1"/>
  <c r="J385" i="10" a="1"/>
  <c r="J385" i="10" s="1"/>
  <c r="L384" i="10"/>
  <c r="M384" i="10" s="1" a="1"/>
  <c r="M384" i="10" s="1"/>
  <c r="J384" i="10" a="1"/>
  <c r="J384" i="10" s="1"/>
  <c r="L383" i="10"/>
  <c r="M383" i="10" s="1" a="1"/>
  <c r="M383" i="10" s="1"/>
  <c r="J383" i="10" a="1"/>
  <c r="J383" i="10" s="1"/>
  <c r="L382" i="10"/>
  <c r="M382" i="10" s="1" a="1"/>
  <c r="M382" i="10" s="1"/>
  <c r="J382" i="10" a="1"/>
  <c r="J382" i="10" s="1"/>
  <c r="L381" i="10"/>
  <c r="M381" i="10" s="1" a="1"/>
  <c r="M381" i="10" s="1"/>
  <c r="J381" i="10" a="1"/>
  <c r="J381" i="10" s="1"/>
  <c r="L380" i="10"/>
  <c r="M380" i="10" s="1" a="1"/>
  <c r="M380" i="10" s="1"/>
  <c r="J380" i="10" a="1"/>
  <c r="J380" i="10" s="1"/>
  <c r="L379" i="10"/>
  <c r="M379" i="10" s="1" a="1"/>
  <c r="M379" i="10" s="1"/>
  <c r="J379" i="10" a="1"/>
  <c r="J379" i="10" s="1"/>
  <c r="L378" i="10"/>
  <c r="M378" i="10" s="1" a="1"/>
  <c r="M378" i="10" s="1"/>
  <c r="J378" i="10" a="1"/>
  <c r="J378" i="10" s="1"/>
  <c r="L377" i="10"/>
  <c r="M377" i="10" s="1" a="1"/>
  <c r="M377" i="10" s="1"/>
  <c r="J377" i="10" a="1"/>
  <c r="J377" i="10" s="1"/>
  <c r="L376" i="10"/>
  <c r="M376" i="10" s="1" a="1"/>
  <c r="M376" i="10" s="1"/>
  <c r="J376" i="10" a="1"/>
  <c r="J376" i="10" s="1"/>
  <c r="L375" i="10"/>
  <c r="M375" i="10" s="1" a="1"/>
  <c r="M375" i="10" s="1"/>
  <c r="J375" i="10" a="1"/>
  <c r="J375" i="10" s="1"/>
  <c r="L374" i="10"/>
  <c r="M374" i="10" s="1" a="1"/>
  <c r="M374" i="10" s="1"/>
  <c r="J374" i="10" a="1"/>
  <c r="J374" i="10" s="1"/>
  <c r="L373" i="10"/>
  <c r="M373" i="10" s="1" a="1"/>
  <c r="M373" i="10" s="1"/>
  <c r="J373" i="10" a="1"/>
  <c r="J373" i="10" s="1"/>
  <c r="L372" i="10"/>
  <c r="M372" i="10" s="1" a="1"/>
  <c r="M372" i="10" s="1"/>
  <c r="J372" i="10" a="1"/>
  <c r="J372" i="10" s="1"/>
  <c r="L371" i="10"/>
  <c r="M371" i="10" s="1" a="1"/>
  <c r="M371" i="10" s="1"/>
  <c r="J371" i="10" a="1"/>
  <c r="J371" i="10" s="1"/>
  <c r="L370" i="10"/>
  <c r="M370" i="10" s="1" a="1"/>
  <c r="M370" i="10" s="1"/>
  <c r="J370" i="10" a="1"/>
  <c r="J370" i="10" s="1"/>
  <c r="L369" i="10"/>
  <c r="M369" i="10" s="1" a="1"/>
  <c r="M369" i="10" s="1"/>
  <c r="J369" i="10" a="1"/>
  <c r="J369" i="10" s="1"/>
  <c r="L368" i="10"/>
  <c r="M368" i="10" s="1" a="1"/>
  <c r="M368" i="10" s="1"/>
  <c r="J368" i="10" a="1"/>
  <c r="J368" i="10" s="1"/>
  <c r="L367" i="10"/>
  <c r="M367" i="10" s="1" a="1"/>
  <c r="M367" i="10" s="1"/>
  <c r="J367" i="10" a="1"/>
  <c r="J367" i="10" s="1"/>
  <c r="L366" i="10"/>
  <c r="M366" i="10" s="1" a="1"/>
  <c r="M366" i="10" s="1"/>
  <c r="J366" i="10" a="1"/>
  <c r="J366" i="10" s="1"/>
  <c r="L365" i="10"/>
  <c r="M365" i="10" s="1" a="1"/>
  <c r="M365" i="10" s="1"/>
  <c r="J365" i="10" a="1"/>
  <c r="J365" i="10" s="1"/>
  <c r="L364" i="10"/>
  <c r="M364" i="10" s="1" a="1"/>
  <c r="M364" i="10" s="1"/>
  <c r="J364" i="10" a="1"/>
  <c r="J364" i="10" s="1"/>
  <c r="L363" i="10"/>
  <c r="M363" i="10" s="1" a="1"/>
  <c r="M363" i="10" s="1"/>
  <c r="J363" i="10" a="1"/>
  <c r="J363" i="10" s="1"/>
  <c r="L362" i="10"/>
  <c r="M362" i="10" s="1" a="1"/>
  <c r="M362" i="10" s="1"/>
  <c r="J362" i="10" a="1"/>
  <c r="J362" i="10" s="1"/>
  <c r="L361" i="10"/>
  <c r="M361" i="10" s="1" a="1"/>
  <c r="M361" i="10" s="1"/>
  <c r="J361" i="10" a="1"/>
  <c r="J361" i="10" s="1"/>
  <c r="L360" i="10"/>
  <c r="M360" i="10" s="1" a="1"/>
  <c r="M360" i="10" s="1"/>
  <c r="J360" i="10" a="1"/>
  <c r="J360" i="10" s="1"/>
  <c r="L359" i="10"/>
  <c r="M359" i="10" s="1" a="1"/>
  <c r="M359" i="10" s="1"/>
  <c r="J359" i="10" a="1"/>
  <c r="J359" i="10" s="1"/>
  <c r="L358" i="10"/>
  <c r="M358" i="10" s="1" a="1"/>
  <c r="M358" i="10" s="1"/>
  <c r="J358" i="10" a="1"/>
  <c r="J358" i="10" s="1"/>
  <c r="L357" i="10"/>
  <c r="M357" i="10" s="1" a="1"/>
  <c r="M357" i="10" s="1"/>
  <c r="J357" i="10" a="1"/>
  <c r="J357" i="10" s="1"/>
  <c r="L356" i="10"/>
  <c r="M356" i="10" s="1" a="1"/>
  <c r="M356" i="10" s="1"/>
  <c r="J356" i="10" a="1"/>
  <c r="J356" i="10" s="1"/>
  <c r="L355" i="10"/>
  <c r="M355" i="10" s="1" a="1"/>
  <c r="M355" i="10" s="1"/>
  <c r="J355" i="10" a="1"/>
  <c r="J355" i="10" s="1"/>
  <c r="L354" i="10"/>
  <c r="M354" i="10" s="1" a="1"/>
  <c r="M354" i="10" s="1"/>
  <c r="J354" i="10" a="1"/>
  <c r="J354" i="10" s="1"/>
  <c r="L353" i="10"/>
  <c r="M353" i="10" s="1" a="1"/>
  <c r="M353" i="10" s="1"/>
  <c r="J353" i="10" a="1"/>
  <c r="J353" i="10" s="1"/>
  <c r="L352" i="10"/>
  <c r="M352" i="10" s="1" a="1"/>
  <c r="M352" i="10" s="1"/>
  <c r="J352" i="10" a="1"/>
  <c r="J352" i="10" s="1"/>
  <c r="L351" i="10"/>
  <c r="M351" i="10" s="1" a="1"/>
  <c r="M351" i="10" s="1"/>
  <c r="J351" i="10" a="1"/>
  <c r="J351" i="10" s="1"/>
  <c r="L350" i="10"/>
  <c r="M350" i="10" s="1" a="1"/>
  <c r="M350" i="10" s="1"/>
  <c r="J350" i="10" a="1"/>
  <c r="J350" i="10" s="1"/>
  <c r="L349" i="10"/>
  <c r="M349" i="10" s="1" a="1"/>
  <c r="M349" i="10" s="1"/>
  <c r="J349" i="10" a="1"/>
  <c r="J349" i="10" s="1"/>
  <c r="L348" i="10"/>
  <c r="M348" i="10" s="1" a="1"/>
  <c r="M348" i="10" s="1"/>
  <c r="J348" i="10" a="1"/>
  <c r="J348" i="10" s="1"/>
  <c r="L347" i="10"/>
  <c r="M347" i="10" s="1" a="1"/>
  <c r="M347" i="10" s="1"/>
  <c r="J347" i="10" a="1"/>
  <c r="J347" i="10" s="1"/>
  <c r="L346" i="10"/>
  <c r="M346" i="10" s="1" a="1"/>
  <c r="M346" i="10" s="1"/>
  <c r="J346" i="10" a="1"/>
  <c r="J346" i="10" s="1"/>
  <c r="L345" i="10"/>
  <c r="M345" i="10" s="1" a="1"/>
  <c r="M345" i="10" s="1"/>
  <c r="J345" i="10" a="1"/>
  <c r="J345" i="10" s="1"/>
  <c r="L344" i="10"/>
  <c r="M344" i="10" s="1" a="1"/>
  <c r="M344" i="10" s="1"/>
  <c r="J344" i="10" a="1"/>
  <c r="J344" i="10" s="1"/>
  <c r="L343" i="10"/>
  <c r="M343" i="10" s="1" a="1"/>
  <c r="M343" i="10" s="1"/>
  <c r="J343" i="10" a="1"/>
  <c r="J343" i="10" s="1"/>
  <c r="L342" i="10"/>
  <c r="M342" i="10" s="1" a="1"/>
  <c r="M342" i="10" s="1"/>
  <c r="J342" i="10" a="1"/>
  <c r="J342" i="10" s="1"/>
  <c r="L341" i="10"/>
  <c r="M341" i="10" s="1" a="1"/>
  <c r="M341" i="10" s="1"/>
  <c r="J341" i="10" a="1"/>
  <c r="J341" i="10" s="1"/>
  <c r="L340" i="10"/>
  <c r="M340" i="10" s="1" a="1"/>
  <c r="M340" i="10" s="1"/>
  <c r="J340" i="10" a="1"/>
  <c r="J340" i="10" s="1"/>
  <c r="L339" i="10"/>
  <c r="M339" i="10" s="1" a="1"/>
  <c r="M339" i="10" s="1"/>
  <c r="J339" i="10" a="1"/>
  <c r="J339" i="10" s="1"/>
  <c r="L338" i="10"/>
  <c r="M338" i="10" s="1" a="1"/>
  <c r="M338" i="10" s="1"/>
  <c r="J338" i="10" a="1"/>
  <c r="J338" i="10" s="1"/>
  <c r="L337" i="10"/>
  <c r="M337" i="10" s="1" a="1"/>
  <c r="M337" i="10" s="1"/>
  <c r="J337" i="10" a="1"/>
  <c r="J337" i="10" s="1"/>
  <c r="L336" i="10"/>
  <c r="M336" i="10" s="1" a="1"/>
  <c r="M336" i="10" s="1"/>
  <c r="J336" i="10" a="1"/>
  <c r="J336" i="10" s="1"/>
  <c r="L335" i="10"/>
  <c r="M335" i="10" s="1" a="1"/>
  <c r="M335" i="10" s="1"/>
  <c r="J335" i="10" a="1"/>
  <c r="J335" i="10" s="1"/>
  <c r="L334" i="10"/>
  <c r="M334" i="10" s="1" a="1"/>
  <c r="M334" i="10" s="1"/>
  <c r="J334" i="10" a="1"/>
  <c r="J334" i="10" s="1"/>
  <c r="L333" i="10"/>
  <c r="M333" i="10" s="1" a="1"/>
  <c r="M333" i="10" s="1"/>
  <c r="J333" i="10" a="1"/>
  <c r="J333" i="10" s="1"/>
  <c r="L332" i="10"/>
  <c r="M332" i="10" s="1" a="1"/>
  <c r="M332" i="10" s="1"/>
  <c r="J332" i="10" a="1"/>
  <c r="J332" i="10" s="1"/>
  <c r="L331" i="10"/>
  <c r="M331" i="10" s="1" a="1"/>
  <c r="M331" i="10" s="1"/>
  <c r="J331" i="10" a="1"/>
  <c r="J331" i="10" s="1"/>
  <c r="L330" i="10"/>
  <c r="M330" i="10" s="1" a="1"/>
  <c r="M330" i="10" s="1"/>
  <c r="J330" i="10" a="1"/>
  <c r="J330" i="10" s="1"/>
  <c r="L329" i="10"/>
  <c r="M329" i="10" s="1" a="1"/>
  <c r="M329" i="10" s="1"/>
  <c r="J329" i="10" a="1"/>
  <c r="J329" i="10" s="1"/>
  <c r="L328" i="10"/>
  <c r="M328" i="10" s="1" a="1"/>
  <c r="M328" i="10" s="1"/>
  <c r="J328" i="10" a="1"/>
  <c r="J328" i="10" s="1"/>
  <c r="L327" i="10"/>
  <c r="M327" i="10" s="1" a="1"/>
  <c r="M327" i="10" s="1"/>
  <c r="J327" i="10" a="1"/>
  <c r="J327" i="10" s="1"/>
  <c r="L326" i="10"/>
  <c r="M326" i="10" s="1" a="1"/>
  <c r="M326" i="10" s="1"/>
  <c r="J326" i="10" a="1"/>
  <c r="J326" i="10" s="1"/>
  <c r="L325" i="10"/>
  <c r="M325" i="10" s="1" a="1"/>
  <c r="M325" i="10" s="1"/>
  <c r="J325" i="10" a="1"/>
  <c r="J325" i="10" s="1"/>
  <c r="L324" i="10"/>
  <c r="M324" i="10" s="1" a="1"/>
  <c r="M324" i="10" s="1"/>
  <c r="J324" i="10" a="1"/>
  <c r="J324" i="10" s="1"/>
  <c r="L323" i="10"/>
  <c r="M323" i="10" s="1" a="1"/>
  <c r="M323" i="10" s="1"/>
  <c r="J323" i="10" a="1"/>
  <c r="J323" i="10" s="1"/>
  <c r="L322" i="10"/>
  <c r="M322" i="10" s="1" a="1"/>
  <c r="M322" i="10" s="1"/>
  <c r="J322" i="10" a="1"/>
  <c r="J322" i="10" s="1"/>
  <c r="L321" i="10"/>
  <c r="M321" i="10" s="1" a="1"/>
  <c r="M321" i="10" s="1"/>
  <c r="J321" i="10" a="1"/>
  <c r="J321" i="10" s="1"/>
  <c r="L320" i="10"/>
  <c r="M320" i="10" s="1" a="1"/>
  <c r="M320" i="10" s="1"/>
  <c r="J320" i="10" a="1"/>
  <c r="J320" i="10" s="1"/>
  <c r="L319" i="10"/>
  <c r="M319" i="10" s="1" a="1"/>
  <c r="M319" i="10" s="1"/>
  <c r="J319" i="10" a="1"/>
  <c r="J319" i="10" s="1"/>
  <c r="L318" i="10"/>
  <c r="M318" i="10" s="1" a="1"/>
  <c r="M318" i="10" s="1"/>
  <c r="J318" i="10" a="1"/>
  <c r="J318" i="10" s="1"/>
  <c r="L317" i="10"/>
  <c r="M317" i="10" s="1" a="1"/>
  <c r="M317" i="10" s="1"/>
  <c r="J317" i="10" a="1"/>
  <c r="J317" i="10" s="1"/>
  <c r="L316" i="10"/>
  <c r="M316" i="10" s="1" a="1"/>
  <c r="M316" i="10" s="1"/>
  <c r="J316" i="10" a="1"/>
  <c r="J316" i="10" s="1"/>
  <c r="L315" i="10"/>
  <c r="M315" i="10" s="1" a="1"/>
  <c r="M315" i="10" s="1"/>
  <c r="J315" i="10" a="1"/>
  <c r="J315" i="10" s="1"/>
  <c r="L314" i="10"/>
  <c r="M314" i="10" s="1" a="1"/>
  <c r="M314" i="10" s="1"/>
  <c r="J314" i="10" a="1"/>
  <c r="J314" i="10" s="1"/>
  <c r="L313" i="10"/>
  <c r="M313" i="10" s="1" a="1"/>
  <c r="M313" i="10" s="1"/>
  <c r="J313" i="10" a="1"/>
  <c r="J313" i="10" s="1"/>
  <c r="L312" i="10"/>
  <c r="M312" i="10" s="1" a="1"/>
  <c r="M312" i="10" s="1"/>
  <c r="J312" i="10" a="1"/>
  <c r="J312" i="10" s="1"/>
  <c r="L311" i="10"/>
  <c r="M311" i="10" s="1" a="1"/>
  <c r="M311" i="10" s="1"/>
  <c r="J311" i="10" a="1"/>
  <c r="J311" i="10" s="1"/>
  <c r="L310" i="10"/>
  <c r="M310" i="10" s="1" a="1"/>
  <c r="M310" i="10" s="1"/>
  <c r="J310" i="10" a="1"/>
  <c r="J310" i="10" s="1"/>
  <c r="L309" i="10"/>
  <c r="M309" i="10" s="1" a="1"/>
  <c r="M309" i="10" s="1"/>
  <c r="J309" i="10" a="1"/>
  <c r="J309" i="10" s="1"/>
  <c r="L308" i="10"/>
  <c r="M308" i="10" s="1" a="1"/>
  <c r="M308" i="10" s="1"/>
  <c r="J308" i="10" a="1"/>
  <c r="J308" i="10" s="1"/>
  <c r="L307" i="10"/>
  <c r="M307" i="10" s="1" a="1"/>
  <c r="M307" i="10" s="1"/>
  <c r="J307" i="10" a="1"/>
  <c r="J307" i="10" s="1"/>
  <c r="L306" i="10"/>
  <c r="M306" i="10" s="1" a="1"/>
  <c r="M306" i="10" s="1"/>
  <c r="J306" i="10" a="1"/>
  <c r="J306" i="10" s="1"/>
  <c r="L305" i="10"/>
  <c r="M305" i="10" s="1" a="1"/>
  <c r="M305" i="10" s="1"/>
  <c r="J305" i="10" a="1"/>
  <c r="J305" i="10" s="1"/>
  <c r="L304" i="10"/>
  <c r="M304" i="10" s="1" a="1"/>
  <c r="M304" i="10" s="1"/>
  <c r="J304" i="10" a="1"/>
  <c r="J304" i="10" s="1"/>
  <c r="L303" i="10"/>
  <c r="M303" i="10" s="1" a="1"/>
  <c r="M303" i="10" s="1"/>
  <c r="J303" i="10" a="1"/>
  <c r="J303" i="10" s="1"/>
  <c r="L302" i="10"/>
  <c r="M302" i="10" s="1" a="1"/>
  <c r="M302" i="10" s="1"/>
  <c r="J302" i="10" a="1"/>
  <c r="J302" i="10" s="1"/>
  <c r="L301" i="10"/>
  <c r="M301" i="10" s="1" a="1"/>
  <c r="M301" i="10" s="1"/>
  <c r="J301" i="10" a="1"/>
  <c r="J301" i="10" s="1"/>
  <c r="L300" i="10"/>
  <c r="M300" i="10" s="1" a="1"/>
  <c r="M300" i="10" s="1"/>
  <c r="J300" i="10" a="1"/>
  <c r="J300" i="10" s="1"/>
  <c r="L299" i="10"/>
  <c r="M299" i="10" s="1" a="1"/>
  <c r="M299" i="10" s="1"/>
  <c r="J299" i="10" a="1"/>
  <c r="J299" i="10" s="1"/>
  <c r="L298" i="10"/>
  <c r="M298" i="10" s="1" a="1"/>
  <c r="M298" i="10" s="1"/>
  <c r="J298" i="10" a="1"/>
  <c r="J298" i="10" s="1"/>
  <c r="L297" i="10"/>
  <c r="M297" i="10" s="1" a="1"/>
  <c r="M297" i="10" s="1"/>
  <c r="J297" i="10" a="1"/>
  <c r="J297" i="10" s="1"/>
  <c r="L296" i="10"/>
  <c r="M296" i="10" s="1" a="1"/>
  <c r="M296" i="10" s="1"/>
  <c r="J296" i="10" a="1"/>
  <c r="J296" i="10" s="1"/>
  <c r="L295" i="10"/>
  <c r="M295" i="10" s="1" a="1"/>
  <c r="M295" i="10" s="1"/>
  <c r="J295" i="10" a="1"/>
  <c r="J295" i="10" s="1"/>
  <c r="L294" i="10"/>
  <c r="M294" i="10" s="1" a="1"/>
  <c r="M294" i="10" s="1"/>
  <c r="J294" i="10" a="1"/>
  <c r="J294" i="10" s="1"/>
  <c r="L293" i="10"/>
  <c r="M293" i="10" s="1" a="1"/>
  <c r="M293" i="10" s="1"/>
  <c r="J293" i="10" a="1"/>
  <c r="J293" i="10" s="1"/>
  <c r="L292" i="10"/>
  <c r="M292" i="10" s="1" a="1"/>
  <c r="M292" i="10" s="1"/>
  <c r="J292" i="10" a="1"/>
  <c r="J292" i="10" s="1"/>
  <c r="L291" i="10"/>
  <c r="M291" i="10" s="1" a="1"/>
  <c r="M291" i="10" s="1"/>
  <c r="J291" i="10" a="1"/>
  <c r="J291" i="10" s="1"/>
  <c r="L290" i="10"/>
  <c r="M290" i="10" s="1" a="1"/>
  <c r="M290" i="10" s="1"/>
  <c r="J290" i="10" a="1"/>
  <c r="J290" i="10" s="1"/>
  <c r="L289" i="10"/>
  <c r="M289" i="10" s="1" a="1"/>
  <c r="M289" i="10" s="1"/>
  <c r="J289" i="10" a="1"/>
  <c r="J289" i="10" s="1"/>
  <c r="L288" i="10"/>
  <c r="M288" i="10" s="1" a="1"/>
  <c r="M288" i="10" s="1"/>
  <c r="J288" i="10" a="1"/>
  <c r="J288" i="10" s="1"/>
  <c r="L287" i="10"/>
  <c r="M287" i="10" s="1" a="1"/>
  <c r="M287" i="10" s="1"/>
  <c r="J287" i="10" a="1"/>
  <c r="J287" i="10" s="1"/>
  <c r="L286" i="10"/>
  <c r="M286" i="10" s="1" a="1"/>
  <c r="M286" i="10" s="1"/>
  <c r="J286" i="10" a="1"/>
  <c r="J286" i="10" s="1"/>
  <c r="L285" i="10"/>
  <c r="M285" i="10" s="1" a="1"/>
  <c r="M285" i="10" s="1"/>
  <c r="J285" i="10" a="1"/>
  <c r="J285" i="10" s="1"/>
  <c r="L284" i="10"/>
  <c r="M284" i="10" s="1" a="1"/>
  <c r="M284" i="10" s="1"/>
  <c r="J284" i="10" a="1"/>
  <c r="J284" i="10" s="1"/>
  <c r="L283" i="10"/>
  <c r="M283" i="10" s="1" a="1"/>
  <c r="M283" i="10" s="1"/>
  <c r="J283" i="10" a="1"/>
  <c r="J283" i="10" s="1"/>
  <c r="L282" i="10"/>
  <c r="M282" i="10" s="1" a="1"/>
  <c r="M282" i="10" s="1"/>
  <c r="J282" i="10" a="1"/>
  <c r="J282" i="10" s="1"/>
  <c r="L281" i="10"/>
  <c r="M281" i="10" s="1" a="1"/>
  <c r="M281" i="10" s="1"/>
  <c r="J281" i="10" a="1"/>
  <c r="J281" i="10" s="1"/>
  <c r="L280" i="10"/>
  <c r="M280" i="10" s="1" a="1"/>
  <c r="M280" i="10" s="1"/>
  <c r="J280" i="10" a="1"/>
  <c r="J280" i="10" s="1"/>
  <c r="L279" i="10"/>
  <c r="M279" i="10" s="1" a="1"/>
  <c r="M279" i="10" s="1"/>
  <c r="J279" i="10" a="1"/>
  <c r="J279" i="10" s="1"/>
  <c r="L278" i="10"/>
  <c r="M278" i="10" s="1" a="1"/>
  <c r="M278" i="10" s="1"/>
  <c r="J278" i="10" a="1"/>
  <c r="J278" i="10" s="1"/>
  <c r="L277" i="10"/>
  <c r="M277" i="10" s="1" a="1"/>
  <c r="M277" i="10" s="1"/>
  <c r="J277" i="10" a="1"/>
  <c r="J277" i="10" s="1"/>
  <c r="L276" i="10"/>
  <c r="M276" i="10" s="1" a="1"/>
  <c r="M276" i="10" s="1"/>
  <c r="J276" i="10" a="1"/>
  <c r="J276" i="10" s="1"/>
  <c r="L275" i="10"/>
  <c r="M275" i="10" s="1" a="1"/>
  <c r="M275" i="10" s="1"/>
  <c r="J275" i="10" a="1"/>
  <c r="J275" i="10" s="1"/>
  <c r="L274" i="10"/>
  <c r="M274" i="10" s="1" a="1"/>
  <c r="M274" i="10" s="1"/>
  <c r="J274" i="10" a="1"/>
  <c r="J274" i="10" s="1"/>
  <c r="L273" i="10"/>
  <c r="M273" i="10" s="1" a="1"/>
  <c r="M273" i="10" s="1"/>
  <c r="J273" i="10" a="1"/>
  <c r="J273" i="10" s="1"/>
  <c r="L272" i="10"/>
  <c r="M272" i="10" s="1" a="1"/>
  <c r="M272" i="10" s="1"/>
  <c r="J272" i="10" a="1"/>
  <c r="J272" i="10" s="1"/>
  <c r="L271" i="10"/>
  <c r="M271" i="10" s="1" a="1"/>
  <c r="M271" i="10" s="1"/>
  <c r="J271" i="10" a="1"/>
  <c r="J271" i="10" s="1"/>
  <c r="L270" i="10"/>
  <c r="M270" i="10" s="1" a="1"/>
  <c r="M270" i="10" s="1"/>
  <c r="J270" i="10" a="1"/>
  <c r="J270" i="10" s="1"/>
  <c r="L269" i="10"/>
  <c r="M269" i="10" s="1" a="1"/>
  <c r="M269" i="10" s="1"/>
  <c r="J269" i="10" a="1"/>
  <c r="J269" i="10" s="1"/>
  <c r="L268" i="10"/>
  <c r="M268" i="10" s="1" a="1"/>
  <c r="M268" i="10" s="1"/>
  <c r="J268" i="10" a="1"/>
  <c r="J268" i="10" s="1"/>
  <c r="L267" i="10"/>
  <c r="M267" i="10" s="1" a="1"/>
  <c r="M267" i="10" s="1"/>
  <c r="J267" i="10" a="1"/>
  <c r="J267" i="10" s="1"/>
  <c r="L266" i="10"/>
  <c r="M266" i="10" s="1" a="1"/>
  <c r="M266" i="10" s="1"/>
  <c r="J266" i="10" a="1"/>
  <c r="J266" i="10" s="1"/>
  <c r="L265" i="10"/>
  <c r="M265" i="10" s="1" a="1"/>
  <c r="M265" i="10" s="1"/>
  <c r="J265" i="10" a="1"/>
  <c r="J265" i="10" s="1"/>
  <c r="L264" i="10"/>
  <c r="M264" i="10" s="1" a="1"/>
  <c r="M264" i="10" s="1"/>
  <c r="J264" i="10" a="1"/>
  <c r="J264" i="10" s="1"/>
  <c r="L263" i="10"/>
  <c r="M263" i="10" s="1" a="1"/>
  <c r="M263" i="10" s="1"/>
  <c r="J263" i="10" a="1"/>
  <c r="J263" i="10" s="1"/>
  <c r="L262" i="10"/>
  <c r="M262" i="10" s="1" a="1"/>
  <c r="M262" i="10" s="1"/>
  <c r="J262" i="10" a="1"/>
  <c r="J262" i="10" s="1"/>
  <c r="L261" i="10"/>
  <c r="M261" i="10" s="1" a="1"/>
  <c r="M261" i="10" s="1"/>
  <c r="J261" i="10" a="1"/>
  <c r="J261" i="10" s="1"/>
  <c r="L260" i="10"/>
  <c r="M260" i="10" s="1" a="1"/>
  <c r="M260" i="10" s="1"/>
  <c r="J260" i="10" a="1"/>
  <c r="J260" i="10" s="1"/>
  <c r="L259" i="10"/>
  <c r="M259" i="10" s="1" a="1"/>
  <c r="M259" i="10" s="1"/>
  <c r="J259" i="10" a="1"/>
  <c r="J259" i="10" s="1"/>
  <c r="L258" i="10"/>
  <c r="M258" i="10" s="1" a="1"/>
  <c r="M258" i="10" s="1"/>
  <c r="J258" i="10" a="1"/>
  <c r="J258" i="10" s="1"/>
  <c r="L257" i="10"/>
  <c r="M257" i="10" s="1" a="1"/>
  <c r="M257" i="10" s="1"/>
  <c r="J257" i="10" a="1"/>
  <c r="J257" i="10" s="1"/>
  <c r="L256" i="10"/>
  <c r="M256" i="10" s="1" a="1"/>
  <c r="M256" i="10" s="1"/>
  <c r="J256" i="10" a="1"/>
  <c r="J256" i="10" s="1"/>
  <c r="L255" i="10"/>
  <c r="M255" i="10" s="1" a="1"/>
  <c r="M255" i="10" s="1"/>
  <c r="J255" i="10" a="1"/>
  <c r="J255" i="10" s="1"/>
  <c r="L254" i="10"/>
  <c r="M254" i="10" s="1" a="1"/>
  <c r="M254" i="10" s="1"/>
  <c r="J254" i="10" a="1"/>
  <c r="J254" i="10" s="1"/>
  <c r="L253" i="10"/>
  <c r="M253" i="10" s="1" a="1"/>
  <c r="M253" i="10" s="1"/>
  <c r="J253" i="10" a="1"/>
  <c r="J253" i="10" s="1"/>
  <c r="L252" i="10"/>
  <c r="M252" i="10" s="1" a="1"/>
  <c r="M252" i="10" s="1"/>
  <c r="J252" i="10" a="1"/>
  <c r="J252" i="10" s="1"/>
  <c r="L251" i="10"/>
  <c r="M251" i="10" s="1" a="1"/>
  <c r="M251" i="10" s="1"/>
  <c r="J251" i="10" a="1"/>
  <c r="J251" i="10" s="1"/>
  <c r="L250" i="10"/>
  <c r="M250" i="10" s="1" a="1"/>
  <c r="M250" i="10" s="1"/>
  <c r="J250" i="10" a="1"/>
  <c r="J250" i="10" s="1"/>
  <c r="L249" i="10"/>
  <c r="M249" i="10" s="1" a="1"/>
  <c r="M249" i="10" s="1"/>
  <c r="J249" i="10" a="1"/>
  <c r="J249" i="10" s="1"/>
  <c r="L248" i="10"/>
  <c r="M248" i="10" s="1" a="1"/>
  <c r="M248" i="10" s="1"/>
  <c r="J248" i="10" a="1"/>
  <c r="J248" i="10" s="1"/>
  <c r="L247" i="10"/>
  <c r="M247" i="10" s="1" a="1"/>
  <c r="M247" i="10" s="1"/>
  <c r="J247" i="10" a="1"/>
  <c r="J247" i="10" s="1"/>
  <c r="L246" i="10"/>
  <c r="M246" i="10" s="1" a="1"/>
  <c r="M246" i="10" s="1"/>
  <c r="J246" i="10" a="1"/>
  <c r="J246" i="10" s="1"/>
  <c r="L245" i="10"/>
  <c r="M245" i="10" s="1" a="1"/>
  <c r="M245" i="10" s="1"/>
  <c r="J245" i="10" a="1"/>
  <c r="J245" i="10" s="1"/>
  <c r="L244" i="10"/>
  <c r="M244" i="10" s="1" a="1"/>
  <c r="M244" i="10" s="1"/>
  <c r="J244" i="10" a="1"/>
  <c r="J244" i="10" s="1"/>
  <c r="L243" i="10"/>
  <c r="M243" i="10" s="1" a="1"/>
  <c r="M243" i="10" s="1"/>
  <c r="J243" i="10" a="1"/>
  <c r="J243" i="10" s="1"/>
  <c r="L242" i="10"/>
  <c r="M242" i="10" s="1" a="1"/>
  <c r="M242" i="10" s="1"/>
  <c r="J242" i="10" a="1"/>
  <c r="J242" i="10" s="1"/>
  <c r="L241" i="10"/>
  <c r="M241" i="10" s="1" a="1"/>
  <c r="M241" i="10" s="1"/>
  <c r="J241" i="10" a="1"/>
  <c r="J241" i="10" s="1"/>
  <c r="L240" i="10"/>
  <c r="M240" i="10" s="1" a="1"/>
  <c r="M240" i="10" s="1"/>
  <c r="J240" i="10" a="1"/>
  <c r="J240" i="10" s="1"/>
  <c r="L239" i="10"/>
  <c r="M239" i="10" s="1" a="1"/>
  <c r="M239" i="10" s="1"/>
  <c r="J239" i="10" a="1"/>
  <c r="J239" i="10" s="1"/>
  <c r="L238" i="10"/>
  <c r="M238" i="10" s="1" a="1"/>
  <c r="M238" i="10" s="1"/>
  <c r="J238" i="10" a="1"/>
  <c r="J238" i="10" s="1"/>
  <c r="L237" i="10"/>
  <c r="M237" i="10" s="1" a="1"/>
  <c r="M237" i="10" s="1"/>
  <c r="J237" i="10" a="1"/>
  <c r="J237" i="10" s="1"/>
  <c r="L236" i="10"/>
  <c r="M236" i="10" s="1" a="1"/>
  <c r="M236" i="10" s="1"/>
  <c r="J236" i="10" a="1"/>
  <c r="J236" i="10" s="1"/>
  <c r="L235" i="10"/>
  <c r="M235" i="10" s="1" a="1"/>
  <c r="M235" i="10" s="1"/>
  <c r="J235" i="10" a="1"/>
  <c r="J235" i="10" s="1"/>
  <c r="L234" i="10"/>
  <c r="M234" i="10" s="1" a="1"/>
  <c r="M234" i="10" s="1"/>
  <c r="J234" i="10" a="1"/>
  <c r="J234" i="10" s="1"/>
  <c r="L233" i="10"/>
  <c r="M233" i="10" s="1" a="1"/>
  <c r="M233" i="10" s="1"/>
  <c r="J233" i="10" a="1"/>
  <c r="J233" i="10" s="1"/>
  <c r="L232" i="10"/>
  <c r="M232" i="10" s="1" a="1"/>
  <c r="M232" i="10" s="1"/>
  <c r="J232" i="10" a="1"/>
  <c r="J232" i="10" s="1"/>
  <c r="L231" i="10"/>
  <c r="M231" i="10" s="1" a="1"/>
  <c r="M231" i="10" s="1"/>
  <c r="J231" i="10" a="1"/>
  <c r="J231" i="10" s="1"/>
  <c r="L230" i="10"/>
  <c r="M230" i="10" s="1" a="1"/>
  <c r="M230" i="10" s="1"/>
  <c r="J230" i="10" a="1"/>
  <c r="J230" i="10" s="1"/>
  <c r="L229" i="10"/>
  <c r="M229" i="10" s="1" a="1"/>
  <c r="M229" i="10" s="1"/>
  <c r="J229" i="10" a="1"/>
  <c r="J229" i="10" s="1"/>
  <c r="L228" i="10"/>
  <c r="M228" i="10" s="1" a="1"/>
  <c r="M228" i="10" s="1"/>
  <c r="J228" i="10" a="1"/>
  <c r="J228" i="10" s="1"/>
  <c r="L227" i="10"/>
  <c r="M227" i="10" s="1" a="1"/>
  <c r="M227" i="10" s="1"/>
  <c r="J227" i="10" a="1"/>
  <c r="J227" i="10" s="1"/>
  <c r="L226" i="10"/>
  <c r="M226" i="10" s="1" a="1"/>
  <c r="M226" i="10" s="1"/>
  <c r="J226" i="10" a="1"/>
  <c r="J226" i="10" s="1"/>
  <c r="L225" i="10"/>
  <c r="M225" i="10" s="1" a="1"/>
  <c r="M225" i="10" s="1"/>
  <c r="J225" i="10" a="1"/>
  <c r="J225" i="10" s="1"/>
  <c r="L224" i="10"/>
  <c r="M224" i="10" s="1" a="1"/>
  <c r="M224" i="10" s="1"/>
  <c r="J224" i="10" a="1"/>
  <c r="J224" i="10" s="1"/>
  <c r="L223" i="10"/>
  <c r="M223" i="10" s="1" a="1"/>
  <c r="M223" i="10" s="1"/>
  <c r="J223" i="10" a="1"/>
  <c r="J223" i="10" s="1"/>
  <c r="L222" i="10"/>
  <c r="M222" i="10" s="1" a="1"/>
  <c r="M222" i="10" s="1"/>
  <c r="J222" i="10" a="1"/>
  <c r="J222" i="10" s="1"/>
  <c r="L221" i="10"/>
  <c r="M221" i="10" s="1" a="1"/>
  <c r="M221" i="10" s="1"/>
  <c r="J221" i="10" a="1"/>
  <c r="J221" i="10" s="1"/>
  <c r="L220" i="10"/>
  <c r="M220" i="10" s="1" a="1"/>
  <c r="M220" i="10" s="1"/>
  <c r="J220" i="10" a="1"/>
  <c r="J220" i="10" s="1"/>
  <c r="L219" i="10"/>
  <c r="M219" i="10" s="1" a="1"/>
  <c r="M219" i="10" s="1"/>
  <c r="J219" i="10" a="1"/>
  <c r="J219" i="10" s="1"/>
  <c r="L218" i="10"/>
  <c r="M218" i="10" s="1" a="1"/>
  <c r="M218" i="10" s="1"/>
  <c r="J218" i="10" a="1"/>
  <c r="J218" i="10" s="1"/>
  <c r="L217" i="10"/>
  <c r="M217" i="10" s="1" a="1"/>
  <c r="M217" i="10" s="1"/>
  <c r="J217" i="10" a="1"/>
  <c r="J217" i="10" s="1"/>
  <c r="L216" i="10"/>
  <c r="M216" i="10" s="1" a="1"/>
  <c r="M216" i="10" s="1"/>
  <c r="J216" i="10" a="1"/>
  <c r="J216" i="10" s="1"/>
  <c r="L215" i="10"/>
  <c r="M215" i="10" s="1" a="1"/>
  <c r="M215" i="10" s="1"/>
  <c r="J215" i="10" a="1"/>
  <c r="J215" i="10" s="1"/>
  <c r="L214" i="10"/>
  <c r="M214" i="10" s="1" a="1"/>
  <c r="M214" i="10" s="1"/>
  <c r="J214" i="10" a="1"/>
  <c r="J214" i="10" s="1"/>
  <c r="L213" i="10"/>
  <c r="M213" i="10" s="1" a="1"/>
  <c r="M213" i="10" s="1"/>
  <c r="J213" i="10" a="1"/>
  <c r="J213" i="10" s="1"/>
  <c r="L212" i="10"/>
  <c r="M212" i="10" s="1" a="1"/>
  <c r="M212" i="10" s="1"/>
  <c r="J212" i="10" a="1"/>
  <c r="J212" i="10" s="1"/>
  <c r="L211" i="10"/>
  <c r="M211" i="10" s="1" a="1"/>
  <c r="M211" i="10" s="1"/>
  <c r="J211" i="10" a="1"/>
  <c r="J211" i="10" s="1"/>
  <c r="L210" i="10"/>
  <c r="M210" i="10" s="1" a="1"/>
  <c r="M210" i="10" s="1"/>
  <c r="J210" i="10" a="1"/>
  <c r="J210" i="10" s="1"/>
  <c r="L209" i="10"/>
  <c r="M209" i="10" s="1" a="1"/>
  <c r="M209" i="10" s="1"/>
  <c r="J209" i="10" a="1"/>
  <c r="J209" i="10" s="1"/>
  <c r="L208" i="10"/>
  <c r="M208" i="10" s="1" a="1"/>
  <c r="M208" i="10" s="1"/>
  <c r="J208" i="10" a="1"/>
  <c r="J208" i="10" s="1"/>
  <c r="L207" i="10"/>
  <c r="M207" i="10" s="1" a="1"/>
  <c r="M207" i="10" s="1"/>
  <c r="J207" i="10" a="1"/>
  <c r="J207" i="10" s="1"/>
  <c r="L206" i="10"/>
  <c r="M206" i="10" s="1" a="1"/>
  <c r="M206" i="10" s="1"/>
  <c r="J206" i="10" a="1"/>
  <c r="J206" i="10" s="1"/>
  <c r="L205" i="10"/>
  <c r="M205" i="10" s="1" a="1"/>
  <c r="M205" i="10" s="1"/>
  <c r="J205" i="10" a="1"/>
  <c r="J205" i="10" s="1"/>
  <c r="L204" i="10"/>
  <c r="M204" i="10" s="1" a="1"/>
  <c r="M204" i="10" s="1"/>
  <c r="J204" i="10" a="1"/>
  <c r="J204" i="10" s="1"/>
  <c r="L203" i="10"/>
  <c r="M203" i="10" s="1" a="1"/>
  <c r="M203" i="10" s="1"/>
  <c r="J203" i="10" a="1"/>
  <c r="J203" i="10" s="1"/>
  <c r="L202" i="10"/>
  <c r="M202" i="10" s="1" a="1"/>
  <c r="M202" i="10" s="1"/>
  <c r="J202" i="10" a="1"/>
  <c r="J202" i="10" s="1"/>
  <c r="L201" i="10"/>
  <c r="M201" i="10" s="1" a="1"/>
  <c r="M201" i="10" s="1"/>
  <c r="J201" i="10" a="1"/>
  <c r="J201" i="10" s="1"/>
  <c r="L200" i="10"/>
  <c r="M200" i="10" s="1" a="1"/>
  <c r="M200" i="10" s="1"/>
  <c r="J200" i="10" a="1"/>
  <c r="J200" i="10" s="1"/>
  <c r="L199" i="10"/>
  <c r="M199" i="10" s="1" a="1"/>
  <c r="M199" i="10" s="1"/>
  <c r="J199" i="10" a="1"/>
  <c r="J199" i="10" s="1"/>
  <c r="L198" i="10"/>
  <c r="M198" i="10" s="1" a="1"/>
  <c r="M198" i="10" s="1"/>
  <c r="J198" i="10" a="1"/>
  <c r="J198" i="10" s="1"/>
  <c r="L197" i="10"/>
  <c r="M197" i="10" s="1" a="1"/>
  <c r="M197" i="10" s="1"/>
  <c r="J197" i="10" a="1"/>
  <c r="J197" i="10" s="1"/>
  <c r="L196" i="10"/>
  <c r="M196" i="10" s="1" a="1"/>
  <c r="M196" i="10" s="1"/>
  <c r="J196" i="10" a="1"/>
  <c r="J196" i="10" s="1"/>
  <c r="L195" i="10"/>
  <c r="M195" i="10" s="1" a="1"/>
  <c r="M195" i="10" s="1"/>
  <c r="J195" i="10" a="1"/>
  <c r="J195" i="10" s="1"/>
  <c r="L194" i="10"/>
  <c r="M194" i="10" s="1" a="1"/>
  <c r="M194" i="10" s="1"/>
  <c r="J194" i="10" a="1"/>
  <c r="J194" i="10" s="1"/>
  <c r="L193" i="10"/>
  <c r="M193" i="10" s="1" a="1"/>
  <c r="M193" i="10" s="1"/>
  <c r="J193" i="10" a="1"/>
  <c r="J193" i="10" s="1"/>
  <c r="L192" i="10"/>
  <c r="M192" i="10" s="1" a="1"/>
  <c r="M192" i="10" s="1"/>
  <c r="J192" i="10" a="1"/>
  <c r="J192" i="10" s="1"/>
  <c r="L191" i="10"/>
  <c r="M191" i="10" s="1" a="1"/>
  <c r="M191" i="10" s="1"/>
  <c r="J191" i="10" a="1"/>
  <c r="J191" i="10" s="1"/>
  <c r="L190" i="10"/>
  <c r="M190" i="10" s="1" a="1"/>
  <c r="M190" i="10" s="1"/>
  <c r="J190" i="10" a="1"/>
  <c r="J190" i="10" s="1"/>
  <c r="L189" i="10"/>
  <c r="M189" i="10" s="1" a="1"/>
  <c r="M189" i="10" s="1"/>
  <c r="J189" i="10" a="1"/>
  <c r="J189" i="10" s="1"/>
  <c r="L188" i="10"/>
  <c r="M188" i="10" s="1" a="1"/>
  <c r="M188" i="10" s="1"/>
  <c r="J188" i="10" a="1"/>
  <c r="J188" i="10" s="1"/>
  <c r="L187" i="10"/>
  <c r="M187" i="10" s="1" a="1"/>
  <c r="M187" i="10" s="1"/>
  <c r="J187" i="10" a="1"/>
  <c r="J187" i="10" s="1"/>
  <c r="L186" i="10"/>
  <c r="M186" i="10" s="1" a="1"/>
  <c r="M186" i="10" s="1"/>
  <c r="J186" i="10" a="1"/>
  <c r="J186" i="10" s="1"/>
  <c r="L185" i="10"/>
  <c r="M185" i="10" s="1" a="1"/>
  <c r="M185" i="10" s="1"/>
  <c r="J185" i="10" a="1"/>
  <c r="J185" i="10" s="1"/>
  <c r="L184" i="10"/>
  <c r="M184" i="10" s="1" a="1"/>
  <c r="M184" i="10" s="1"/>
  <c r="J184" i="10" a="1"/>
  <c r="J184" i="10" s="1"/>
  <c r="L183" i="10"/>
  <c r="M183" i="10" s="1" a="1"/>
  <c r="M183" i="10" s="1"/>
  <c r="J183" i="10" a="1"/>
  <c r="J183" i="10" s="1"/>
  <c r="L182" i="10"/>
  <c r="M182" i="10" s="1" a="1"/>
  <c r="M182" i="10" s="1"/>
  <c r="J182" i="10" a="1"/>
  <c r="J182" i="10" s="1"/>
  <c r="L181" i="10"/>
  <c r="M181" i="10" s="1" a="1"/>
  <c r="M181" i="10" s="1"/>
  <c r="J181" i="10" a="1"/>
  <c r="J181" i="10" s="1"/>
  <c r="L180" i="10"/>
  <c r="M180" i="10" s="1" a="1"/>
  <c r="M180" i="10" s="1"/>
  <c r="J180" i="10" a="1"/>
  <c r="J180" i="10" s="1"/>
  <c r="L179" i="10"/>
  <c r="M179" i="10" s="1" a="1"/>
  <c r="M179" i="10" s="1"/>
  <c r="J179" i="10" a="1"/>
  <c r="J179" i="10" s="1"/>
  <c r="L178" i="10"/>
  <c r="M178" i="10" s="1" a="1"/>
  <c r="M178" i="10" s="1"/>
  <c r="J178" i="10" a="1"/>
  <c r="J178" i="10" s="1"/>
  <c r="L177" i="10"/>
  <c r="M177" i="10" s="1" a="1"/>
  <c r="M177" i="10" s="1"/>
  <c r="J177" i="10" a="1"/>
  <c r="J177" i="10" s="1"/>
  <c r="L176" i="10"/>
  <c r="M176" i="10" s="1" a="1"/>
  <c r="M176" i="10" s="1"/>
  <c r="J176" i="10" a="1"/>
  <c r="J176" i="10" s="1"/>
  <c r="L175" i="10"/>
  <c r="M175" i="10" s="1" a="1"/>
  <c r="M175" i="10" s="1"/>
  <c r="J175" i="10" a="1"/>
  <c r="J175" i="10" s="1"/>
  <c r="L174" i="10"/>
  <c r="M174" i="10" s="1" a="1"/>
  <c r="M174" i="10" s="1"/>
  <c r="J174" i="10" a="1"/>
  <c r="J174" i="10" s="1"/>
  <c r="L173" i="10"/>
  <c r="M173" i="10" s="1" a="1"/>
  <c r="M173" i="10" s="1"/>
  <c r="J173" i="10" a="1"/>
  <c r="J173" i="10" s="1"/>
  <c r="L172" i="10"/>
  <c r="M172" i="10" s="1" a="1"/>
  <c r="M172" i="10" s="1"/>
  <c r="J172" i="10" a="1"/>
  <c r="J172" i="10" s="1"/>
  <c r="L171" i="10"/>
  <c r="M171" i="10" s="1" a="1"/>
  <c r="M171" i="10" s="1"/>
  <c r="J171" i="10" a="1"/>
  <c r="J171" i="10" s="1"/>
  <c r="L170" i="10"/>
  <c r="M170" i="10" s="1" a="1"/>
  <c r="M170" i="10" s="1"/>
  <c r="J170" i="10" a="1"/>
  <c r="J170" i="10" s="1"/>
  <c r="L169" i="10"/>
  <c r="M169" i="10" s="1" a="1"/>
  <c r="M169" i="10" s="1"/>
  <c r="J169" i="10" a="1"/>
  <c r="J169" i="10" s="1"/>
  <c r="L168" i="10"/>
  <c r="M168" i="10" s="1" a="1"/>
  <c r="M168" i="10" s="1"/>
  <c r="J168" i="10" a="1"/>
  <c r="J168" i="10" s="1"/>
  <c r="L167" i="10"/>
  <c r="M167" i="10" s="1" a="1"/>
  <c r="M167" i="10" s="1"/>
  <c r="J167" i="10" a="1"/>
  <c r="J167" i="10" s="1"/>
  <c r="L166" i="10"/>
  <c r="M166" i="10" s="1" a="1"/>
  <c r="M166" i="10" s="1"/>
  <c r="J166" i="10" a="1"/>
  <c r="J166" i="10" s="1"/>
  <c r="L165" i="10"/>
  <c r="M165" i="10" s="1" a="1"/>
  <c r="M165" i="10" s="1"/>
  <c r="J165" i="10" a="1"/>
  <c r="J165" i="10" s="1"/>
  <c r="L164" i="10"/>
  <c r="M164" i="10" s="1" a="1"/>
  <c r="M164" i="10" s="1"/>
  <c r="J164" i="10" a="1"/>
  <c r="J164" i="10" s="1"/>
  <c r="L163" i="10"/>
  <c r="M163" i="10" s="1" a="1"/>
  <c r="M163" i="10" s="1"/>
  <c r="J163" i="10" a="1"/>
  <c r="J163" i="10" s="1"/>
  <c r="L162" i="10"/>
  <c r="M162" i="10" s="1" a="1"/>
  <c r="M162" i="10" s="1"/>
  <c r="J162" i="10" a="1"/>
  <c r="J162" i="10" s="1"/>
  <c r="L161" i="10"/>
  <c r="M161" i="10" s="1" a="1"/>
  <c r="M161" i="10" s="1"/>
  <c r="J161" i="10" a="1"/>
  <c r="J161" i="10" s="1"/>
  <c r="L160" i="10"/>
  <c r="M160" i="10" s="1" a="1"/>
  <c r="M160" i="10" s="1"/>
  <c r="J160" i="10" a="1"/>
  <c r="J160" i="10" s="1"/>
  <c r="L159" i="10"/>
  <c r="M159" i="10" s="1" a="1"/>
  <c r="M159" i="10" s="1"/>
  <c r="J159" i="10" a="1"/>
  <c r="J159" i="10" s="1"/>
  <c r="L158" i="10"/>
  <c r="M158" i="10" s="1" a="1"/>
  <c r="M158" i="10" s="1"/>
  <c r="J158" i="10" a="1"/>
  <c r="J158" i="10" s="1"/>
  <c r="L157" i="10"/>
  <c r="M157" i="10" s="1" a="1"/>
  <c r="M157" i="10" s="1"/>
  <c r="J157" i="10" a="1"/>
  <c r="J157" i="10" s="1"/>
  <c r="L156" i="10"/>
  <c r="M156" i="10" s="1" a="1"/>
  <c r="M156" i="10" s="1"/>
  <c r="J156" i="10" a="1"/>
  <c r="J156" i="10" s="1"/>
  <c r="L155" i="10"/>
  <c r="M155" i="10" s="1" a="1"/>
  <c r="M155" i="10" s="1"/>
  <c r="J155" i="10" a="1"/>
  <c r="J155" i="10" s="1"/>
  <c r="L154" i="10"/>
  <c r="M154" i="10" s="1" a="1"/>
  <c r="M154" i="10" s="1"/>
  <c r="J154" i="10" a="1"/>
  <c r="J154" i="10" s="1"/>
  <c r="L153" i="10"/>
  <c r="M153" i="10" s="1" a="1"/>
  <c r="M153" i="10" s="1"/>
  <c r="J153" i="10" a="1"/>
  <c r="J153" i="10" s="1"/>
  <c r="L152" i="10"/>
  <c r="M152" i="10" s="1" a="1"/>
  <c r="M152" i="10" s="1"/>
  <c r="J152" i="10" a="1"/>
  <c r="J152" i="10" s="1"/>
  <c r="L151" i="10"/>
  <c r="M151" i="10" s="1" a="1"/>
  <c r="M151" i="10" s="1"/>
  <c r="J151" i="10" a="1"/>
  <c r="J151" i="10" s="1"/>
  <c r="L150" i="10"/>
  <c r="M150" i="10" s="1" a="1"/>
  <c r="M150" i="10" s="1"/>
  <c r="J150" i="10" a="1"/>
  <c r="J150" i="10" s="1"/>
  <c r="L149" i="10"/>
  <c r="M149" i="10" s="1" a="1"/>
  <c r="M149" i="10" s="1"/>
  <c r="J149" i="10" a="1"/>
  <c r="J149" i="10" s="1"/>
  <c r="L148" i="10"/>
  <c r="M148" i="10" s="1" a="1"/>
  <c r="M148" i="10" s="1"/>
  <c r="J148" i="10" a="1"/>
  <c r="J148" i="10" s="1"/>
  <c r="L147" i="10"/>
  <c r="M147" i="10" s="1" a="1"/>
  <c r="M147" i="10" s="1"/>
  <c r="J147" i="10" a="1"/>
  <c r="J147" i="10" s="1"/>
  <c r="L146" i="10"/>
  <c r="M146" i="10" s="1" a="1"/>
  <c r="M146" i="10" s="1"/>
  <c r="J146" i="10" a="1"/>
  <c r="J146" i="10" s="1"/>
  <c r="L145" i="10"/>
  <c r="M145" i="10" s="1" a="1"/>
  <c r="M145" i="10" s="1"/>
  <c r="J145" i="10" a="1"/>
  <c r="J145" i="10" s="1"/>
  <c r="L144" i="10"/>
  <c r="M144" i="10" s="1" a="1"/>
  <c r="M144" i="10" s="1"/>
  <c r="J144" i="10" a="1"/>
  <c r="J144" i="10" s="1"/>
  <c r="L143" i="10"/>
  <c r="M143" i="10" s="1" a="1"/>
  <c r="M143" i="10" s="1"/>
  <c r="J143" i="10" a="1"/>
  <c r="J143" i="10" s="1"/>
  <c r="L142" i="10"/>
  <c r="M142" i="10" s="1" a="1"/>
  <c r="M142" i="10" s="1"/>
  <c r="J142" i="10" a="1"/>
  <c r="J142" i="10" s="1"/>
  <c r="L141" i="10"/>
  <c r="M141" i="10" s="1" a="1"/>
  <c r="M141" i="10" s="1"/>
  <c r="J141" i="10" a="1"/>
  <c r="J141" i="10" s="1"/>
  <c r="L140" i="10"/>
  <c r="M140" i="10" s="1" a="1"/>
  <c r="M140" i="10" s="1"/>
  <c r="J140" i="10" a="1"/>
  <c r="J140" i="10" s="1"/>
  <c r="L139" i="10"/>
  <c r="M139" i="10" s="1" a="1"/>
  <c r="M139" i="10" s="1"/>
  <c r="J139" i="10" a="1"/>
  <c r="J139" i="10" s="1"/>
  <c r="L138" i="10"/>
  <c r="M138" i="10" s="1" a="1"/>
  <c r="M138" i="10" s="1"/>
  <c r="J138" i="10" a="1"/>
  <c r="J138" i="10" s="1"/>
  <c r="L137" i="10"/>
  <c r="M137" i="10" s="1" a="1"/>
  <c r="M137" i="10" s="1"/>
  <c r="J137" i="10" a="1"/>
  <c r="J137" i="10" s="1"/>
  <c r="L136" i="10"/>
  <c r="M136" i="10" s="1" a="1"/>
  <c r="M136" i="10" s="1"/>
  <c r="J136" i="10" a="1"/>
  <c r="J136" i="10" s="1"/>
  <c r="L135" i="10"/>
  <c r="M135" i="10" s="1" a="1"/>
  <c r="M135" i="10" s="1"/>
  <c r="J135" i="10" a="1"/>
  <c r="J135" i="10" s="1"/>
  <c r="L134" i="10"/>
  <c r="M134" i="10" s="1" a="1"/>
  <c r="M134" i="10" s="1"/>
  <c r="J134" i="10" a="1"/>
  <c r="J134" i="10" s="1"/>
  <c r="L133" i="10"/>
  <c r="M133" i="10" s="1" a="1"/>
  <c r="M133" i="10" s="1"/>
  <c r="J133" i="10" a="1"/>
  <c r="J133" i="10" s="1"/>
  <c r="L132" i="10"/>
  <c r="M132" i="10" s="1" a="1"/>
  <c r="M132" i="10" s="1"/>
  <c r="J132" i="10" a="1"/>
  <c r="J132" i="10" s="1"/>
  <c r="L131" i="10"/>
  <c r="M131" i="10" s="1" a="1"/>
  <c r="M131" i="10" s="1"/>
  <c r="J131" i="10" a="1"/>
  <c r="J131" i="10" s="1"/>
  <c r="L130" i="10"/>
  <c r="M130" i="10" s="1" a="1"/>
  <c r="M130" i="10" s="1"/>
  <c r="J130" i="10" a="1"/>
  <c r="J130" i="10" s="1"/>
  <c r="L129" i="10"/>
  <c r="M129" i="10" s="1" a="1"/>
  <c r="M129" i="10" s="1"/>
  <c r="J129" i="10" a="1"/>
  <c r="J129" i="10" s="1"/>
  <c r="L128" i="10"/>
  <c r="M128" i="10" s="1" a="1"/>
  <c r="M128" i="10" s="1"/>
  <c r="J128" i="10" a="1"/>
  <c r="J128" i="10" s="1"/>
  <c r="L127" i="10"/>
  <c r="M127" i="10" s="1" a="1"/>
  <c r="M127" i="10" s="1"/>
  <c r="J127" i="10" a="1"/>
  <c r="J127" i="10" s="1"/>
  <c r="L126" i="10"/>
  <c r="M126" i="10" s="1" a="1"/>
  <c r="M126" i="10" s="1"/>
  <c r="J126" i="10" a="1"/>
  <c r="J126" i="10" s="1"/>
  <c r="L125" i="10"/>
  <c r="M125" i="10" s="1" a="1"/>
  <c r="M125" i="10" s="1"/>
  <c r="J125" i="10" a="1"/>
  <c r="J125" i="10" s="1"/>
  <c r="L124" i="10"/>
  <c r="M124" i="10" s="1" a="1"/>
  <c r="M124" i="10" s="1"/>
  <c r="J124" i="10" a="1"/>
  <c r="J124" i="10" s="1"/>
  <c r="L123" i="10"/>
  <c r="M123" i="10" s="1" a="1"/>
  <c r="M123" i="10" s="1"/>
  <c r="J123" i="10" a="1"/>
  <c r="J123" i="10" s="1"/>
  <c r="L122" i="10"/>
  <c r="M122" i="10" s="1" a="1"/>
  <c r="M122" i="10" s="1"/>
  <c r="J122" i="10" a="1"/>
  <c r="J122" i="10" s="1"/>
  <c r="L121" i="10"/>
  <c r="M121" i="10" s="1" a="1"/>
  <c r="M121" i="10" s="1"/>
  <c r="J121" i="10" a="1"/>
  <c r="J121" i="10" s="1"/>
  <c r="L120" i="10"/>
  <c r="M120" i="10" s="1" a="1"/>
  <c r="M120" i="10" s="1"/>
  <c r="J120" i="10" a="1"/>
  <c r="J120" i="10" s="1"/>
  <c r="L119" i="10"/>
  <c r="M119" i="10" s="1" a="1"/>
  <c r="M119" i="10" s="1"/>
  <c r="J119" i="10" a="1"/>
  <c r="J119" i="10" s="1"/>
  <c r="L118" i="10"/>
  <c r="M118" i="10" s="1" a="1"/>
  <c r="M118" i="10" s="1"/>
  <c r="J118" i="10" a="1"/>
  <c r="J118" i="10" s="1"/>
  <c r="L117" i="10"/>
  <c r="M117" i="10" s="1" a="1"/>
  <c r="M117" i="10" s="1"/>
  <c r="J117" i="10" a="1"/>
  <c r="J117" i="10" s="1"/>
  <c r="L116" i="10"/>
  <c r="M116" i="10" s="1" a="1"/>
  <c r="M116" i="10" s="1"/>
  <c r="J116" i="10" a="1"/>
  <c r="J116" i="10" s="1"/>
  <c r="L115" i="10"/>
  <c r="M115" i="10" s="1" a="1"/>
  <c r="M115" i="10" s="1"/>
  <c r="J115" i="10" a="1"/>
  <c r="J115" i="10" s="1"/>
  <c r="L114" i="10"/>
  <c r="M114" i="10" s="1" a="1"/>
  <c r="M114" i="10" s="1"/>
  <c r="J114" i="10" a="1"/>
  <c r="J114" i="10" s="1"/>
  <c r="L113" i="10"/>
  <c r="M113" i="10" s="1" a="1"/>
  <c r="M113" i="10" s="1"/>
  <c r="J113" i="10" a="1"/>
  <c r="J113" i="10" s="1"/>
  <c r="L112" i="10"/>
  <c r="M112" i="10" s="1" a="1"/>
  <c r="M112" i="10" s="1"/>
  <c r="J112" i="10" a="1"/>
  <c r="J112" i="10" s="1"/>
  <c r="L111" i="10"/>
  <c r="M111" i="10" s="1" a="1"/>
  <c r="M111" i="10" s="1"/>
  <c r="J111" i="10" a="1"/>
  <c r="J111" i="10" s="1"/>
  <c r="L110" i="10"/>
  <c r="M110" i="10" s="1" a="1"/>
  <c r="M110" i="10" s="1"/>
  <c r="J110" i="10" a="1"/>
  <c r="J110" i="10" s="1"/>
  <c r="L109" i="10"/>
  <c r="M109" i="10" s="1" a="1"/>
  <c r="M109" i="10" s="1"/>
  <c r="J109" i="10" a="1"/>
  <c r="J109" i="10" s="1"/>
  <c r="L108" i="10"/>
  <c r="M108" i="10" s="1" a="1"/>
  <c r="M108" i="10" s="1"/>
  <c r="J108" i="10" a="1"/>
  <c r="J108" i="10" s="1"/>
  <c r="L107" i="10"/>
  <c r="M107" i="10" s="1" a="1"/>
  <c r="M107" i="10" s="1"/>
  <c r="J107" i="10" a="1"/>
  <c r="J107" i="10" s="1"/>
  <c r="L106" i="10"/>
  <c r="M106" i="10" s="1" a="1"/>
  <c r="M106" i="10" s="1"/>
  <c r="J106" i="10" a="1"/>
  <c r="J106" i="10" s="1"/>
  <c r="L105" i="10"/>
  <c r="M105" i="10" s="1" a="1"/>
  <c r="M105" i="10" s="1"/>
  <c r="J105" i="10" a="1"/>
  <c r="J105" i="10" s="1"/>
  <c r="L104" i="10"/>
  <c r="M104" i="10" s="1" a="1"/>
  <c r="M104" i="10" s="1"/>
  <c r="J104" i="10" a="1"/>
  <c r="J104" i="10" s="1"/>
  <c r="L103" i="10"/>
  <c r="M103" i="10" s="1" a="1"/>
  <c r="M103" i="10" s="1"/>
  <c r="J103" i="10" a="1"/>
  <c r="J103" i="10" s="1"/>
  <c r="L102" i="10"/>
  <c r="M102" i="10" s="1" a="1"/>
  <c r="M102" i="10" s="1"/>
  <c r="J102" i="10" a="1"/>
  <c r="J102" i="10" s="1"/>
  <c r="L101" i="10"/>
  <c r="M101" i="10" s="1" a="1"/>
  <c r="M101" i="10" s="1"/>
  <c r="J101" i="10" a="1"/>
  <c r="J101" i="10" s="1"/>
  <c r="L100" i="10"/>
  <c r="M100" i="10" s="1" a="1"/>
  <c r="M100" i="10" s="1"/>
  <c r="J100" i="10" a="1"/>
  <c r="J100" i="10" s="1"/>
  <c r="L99" i="10"/>
  <c r="M99" i="10" s="1" a="1"/>
  <c r="M99" i="10" s="1"/>
  <c r="J99" i="10" a="1"/>
  <c r="J99" i="10" s="1"/>
  <c r="L98" i="10"/>
  <c r="M98" i="10" s="1" a="1"/>
  <c r="M98" i="10" s="1"/>
  <c r="J98" i="10" a="1"/>
  <c r="J98" i="10" s="1"/>
  <c r="L97" i="10"/>
  <c r="M97" i="10" s="1" a="1"/>
  <c r="M97" i="10" s="1"/>
  <c r="J97" i="10" a="1"/>
  <c r="J97" i="10" s="1"/>
  <c r="L96" i="10"/>
  <c r="M96" i="10" s="1" a="1"/>
  <c r="M96" i="10" s="1"/>
  <c r="J96" i="10" a="1"/>
  <c r="J96" i="10" s="1"/>
  <c r="L95" i="10"/>
  <c r="M95" i="10" s="1" a="1"/>
  <c r="M95" i="10" s="1"/>
  <c r="J95" i="10" a="1"/>
  <c r="J95" i="10" s="1"/>
  <c r="L94" i="10"/>
  <c r="M94" i="10" s="1" a="1"/>
  <c r="M94" i="10" s="1"/>
  <c r="J94" i="10" a="1"/>
  <c r="J94" i="10" s="1"/>
  <c r="L93" i="10"/>
  <c r="M93" i="10" s="1" a="1"/>
  <c r="M93" i="10" s="1"/>
  <c r="J93" i="10" a="1"/>
  <c r="J93" i="10" s="1"/>
  <c r="L92" i="10"/>
  <c r="M92" i="10" s="1" a="1"/>
  <c r="M92" i="10" s="1"/>
  <c r="J92" i="10" a="1"/>
  <c r="J92" i="10" s="1"/>
  <c r="L91" i="10"/>
  <c r="M91" i="10" s="1" a="1"/>
  <c r="M91" i="10" s="1"/>
  <c r="J91" i="10" a="1"/>
  <c r="J91" i="10" s="1"/>
  <c r="L90" i="10"/>
  <c r="M90" i="10" s="1" a="1"/>
  <c r="M90" i="10" s="1"/>
  <c r="J90" i="10" a="1"/>
  <c r="J90" i="10" s="1"/>
  <c r="L89" i="10"/>
  <c r="M89" i="10" s="1" a="1"/>
  <c r="M89" i="10" s="1"/>
  <c r="J89" i="10" a="1"/>
  <c r="J89" i="10" s="1"/>
  <c r="L88" i="10"/>
  <c r="M88" i="10" s="1" a="1"/>
  <c r="M88" i="10" s="1"/>
  <c r="J88" i="10" a="1"/>
  <c r="J88" i="10" s="1"/>
  <c r="L87" i="10"/>
  <c r="M87" i="10" s="1" a="1"/>
  <c r="M87" i="10" s="1"/>
  <c r="J87" i="10" a="1"/>
  <c r="J87" i="10" s="1"/>
  <c r="L86" i="10"/>
  <c r="M86" i="10" s="1" a="1"/>
  <c r="M86" i="10" s="1"/>
  <c r="J86" i="10" a="1"/>
  <c r="J86" i="10" s="1"/>
  <c r="L85" i="10"/>
  <c r="M85" i="10" s="1" a="1"/>
  <c r="M85" i="10" s="1"/>
  <c r="J85" i="10" a="1"/>
  <c r="J85" i="10" s="1"/>
  <c r="L84" i="10"/>
  <c r="M84" i="10" s="1" a="1"/>
  <c r="M84" i="10" s="1"/>
  <c r="J84" i="10" a="1"/>
  <c r="J84" i="10" s="1"/>
  <c r="L83" i="10"/>
  <c r="M83" i="10" s="1" a="1"/>
  <c r="M83" i="10" s="1"/>
  <c r="J83" i="10" a="1"/>
  <c r="J83" i="10" s="1"/>
  <c r="L82" i="10"/>
  <c r="M82" i="10" s="1" a="1"/>
  <c r="M82" i="10" s="1"/>
  <c r="J82" i="10" a="1"/>
  <c r="J82" i="10" s="1"/>
  <c r="L81" i="10"/>
  <c r="M81" i="10" s="1" a="1"/>
  <c r="M81" i="10" s="1"/>
  <c r="J81" i="10" a="1"/>
  <c r="J81" i="10" s="1"/>
  <c r="L80" i="10"/>
  <c r="M80" i="10" s="1" a="1"/>
  <c r="M80" i="10" s="1"/>
  <c r="J80" i="10" a="1"/>
  <c r="J80" i="10" s="1"/>
  <c r="L79" i="10"/>
  <c r="M79" i="10" s="1" a="1"/>
  <c r="M79" i="10" s="1"/>
  <c r="J79" i="10" a="1"/>
  <c r="J79" i="10" s="1"/>
  <c r="L78" i="10"/>
  <c r="M78" i="10" s="1" a="1"/>
  <c r="M78" i="10" s="1"/>
  <c r="J78" i="10" a="1"/>
  <c r="J78" i="10" s="1"/>
  <c r="L77" i="10"/>
  <c r="M77" i="10" s="1" a="1"/>
  <c r="M77" i="10" s="1"/>
  <c r="J77" i="10" a="1"/>
  <c r="J77" i="10" s="1"/>
  <c r="L76" i="10"/>
  <c r="M76" i="10" s="1" a="1"/>
  <c r="M76" i="10" s="1"/>
  <c r="J76" i="10" a="1"/>
  <c r="J76" i="10" s="1"/>
  <c r="L75" i="10"/>
  <c r="M75" i="10" s="1" a="1"/>
  <c r="M75" i="10" s="1"/>
  <c r="J75" i="10" a="1"/>
  <c r="J75" i="10" s="1"/>
  <c r="L74" i="10"/>
  <c r="M74" i="10" s="1" a="1"/>
  <c r="M74" i="10" s="1"/>
  <c r="J74" i="10" a="1"/>
  <c r="J74" i="10" s="1"/>
  <c r="L73" i="10"/>
  <c r="M73" i="10" s="1" a="1"/>
  <c r="M73" i="10" s="1"/>
  <c r="J73" i="10" a="1"/>
  <c r="J73" i="10" s="1"/>
  <c r="L72" i="10"/>
  <c r="M72" i="10" s="1" a="1"/>
  <c r="M72" i="10" s="1"/>
  <c r="J72" i="10" a="1"/>
  <c r="J72" i="10" s="1"/>
  <c r="L71" i="10"/>
  <c r="M71" i="10" s="1" a="1"/>
  <c r="M71" i="10" s="1"/>
  <c r="J71" i="10" a="1"/>
  <c r="J71" i="10" s="1"/>
  <c r="L70" i="10"/>
  <c r="M70" i="10" s="1" a="1"/>
  <c r="M70" i="10" s="1"/>
  <c r="J70" i="10" a="1"/>
  <c r="J70" i="10" s="1"/>
  <c r="L69" i="10"/>
  <c r="M69" i="10" s="1" a="1"/>
  <c r="M69" i="10" s="1"/>
  <c r="J69" i="10" a="1"/>
  <c r="J69" i="10" s="1"/>
  <c r="L68" i="10"/>
  <c r="M68" i="10" s="1" a="1"/>
  <c r="M68" i="10" s="1"/>
  <c r="J68" i="10" a="1"/>
  <c r="J68" i="10" s="1"/>
  <c r="L67" i="10"/>
  <c r="M67" i="10" s="1" a="1"/>
  <c r="M67" i="10" s="1"/>
  <c r="J67" i="10" a="1"/>
  <c r="J67" i="10" s="1"/>
  <c r="L66" i="10"/>
  <c r="M66" i="10" s="1" a="1"/>
  <c r="M66" i="10" s="1"/>
  <c r="J66" i="10" a="1"/>
  <c r="J66" i="10" s="1"/>
  <c r="L65" i="10"/>
  <c r="M65" i="10" s="1" a="1"/>
  <c r="M65" i="10" s="1"/>
  <c r="J65" i="10" a="1"/>
  <c r="J65" i="10" s="1"/>
  <c r="L64" i="10"/>
  <c r="M64" i="10" s="1" a="1"/>
  <c r="M64" i="10" s="1"/>
  <c r="J64" i="10" a="1"/>
  <c r="J64" i="10" s="1"/>
  <c r="L63" i="10"/>
  <c r="M63" i="10" s="1" a="1"/>
  <c r="M63" i="10" s="1"/>
  <c r="J63" i="10" a="1"/>
  <c r="J63" i="10" s="1"/>
  <c r="L62" i="10"/>
  <c r="M62" i="10" s="1" a="1"/>
  <c r="M62" i="10" s="1"/>
  <c r="J62" i="10" a="1"/>
  <c r="J62" i="10" s="1"/>
  <c r="L61" i="10"/>
  <c r="M61" i="10" s="1" a="1"/>
  <c r="M61" i="10" s="1"/>
  <c r="J61" i="10" a="1"/>
  <c r="J61" i="10" s="1"/>
  <c r="L60" i="10"/>
  <c r="M60" i="10" s="1" a="1"/>
  <c r="M60" i="10" s="1"/>
  <c r="J60" i="10" a="1"/>
  <c r="J60" i="10" s="1"/>
  <c r="L59" i="10"/>
  <c r="M59" i="10" s="1" a="1"/>
  <c r="M59" i="10" s="1"/>
  <c r="J59" i="10" a="1"/>
  <c r="J59" i="10" s="1"/>
  <c r="L58" i="10"/>
  <c r="M58" i="10" s="1" a="1"/>
  <c r="M58" i="10" s="1"/>
  <c r="J58" i="10" a="1"/>
  <c r="J58" i="10" s="1"/>
  <c r="L57" i="10"/>
  <c r="M57" i="10" s="1" a="1"/>
  <c r="M57" i="10" s="1"/>
  <c r="J57" i="10" a="1"/>
  <c r="J57" i="10" s="1"/>
  <c r="L56" i="10"/>
  <c r="M56" i="10" s="1" a="1"/>
  <c r="M56" i="10" s="1"/>
  <c r="J56" i="10" a="1"/>
  <c r="J56" i="10" s="1"/>
  <c r="L55" i="10"/>
  <c r="M55" i="10" s="1" a="1"/>
  <c r="M55" i="10" s="1"/>
  <c r="J55" i="10" a="1"/>
  <c r="J55" i="10" s="1"/>
  <c r="L54" i="10"/>
  <c r="M54" i="10" s="1" a="1"/>
  <c r="M54" i="10" s="1"/>
  <c r="J54" i="10" a="1"/>
  <c r="J54" i="10" s="1"/>
  <c r="L53" i="10"/>
  <c r="M53" i="10" s="1" a="1"/>
  <c r="M53" i="10" s="1"/>
  <c r="J53" i="10" a="1"/>
  <c r="J53" i="10" s="1"/>
  <c r="L52" i="10"/>
  <c r="M52" i="10" s="1" a="1"/>
  <c r="M52" i="10" s="1"/>
  <c r="J52" i="10" a="1"/>
  <c r="J52" i="10" s="1"/>
  <c r="L51" i="10"/>
  <c r="M51" i="10" s="1" a="1"/>
  <c r="M51" i="10" s="1"/>
  <c r="J51" i="10" a="1"/>
  <c r="J51" i="10" s="1"/>
  <c r="L50" i="10"/>
  <c r="M50" i="10" s="1" a="1"/>
  <c r="M50" i="10" s="1"/>
  <c r="J50" i="10" a="1"/>
  <c r="J50" i="10" s="1"/>
  <c r="L49" i="10"/>
  <c r="M49" i="10" s="1" a="1"/>
  <c r="M49" i="10" s="1"/>
  <c r="J49" i="10" a="1"/>
  <c r="J49" i="10" s="1"/>
  <c r="L48" i="10"/>
  <c r="M48" i="10" s="1" a="1"/>
  <c r="M48" i="10" s="1"/>
  <c r="J48" i="10" a="1"/>
  <c r="J48" i="10" s="1"/>
  <c r="L47" i="10"/>
  <c r="M47" i="10" s="1" a="1"/>
  <c r="M47" i="10" s="1"/>
  <c r="J47" i="10" a="1"/>
  <c r="J47" i="10" s="1"/>
  <c r="L46" i="10"/>
  <c r="M46" i="10" s="1" a="1"/>
  <c r="M46" i="10" s="1"/>
  <c r="J46" i="10" a="1"/>
  <c r="J46" i="10" s="1"/>
  <c r="L45" i="10"/>
  <c r="M45" i="10" s="1" a="1"/>
  <c r="M45" i="10" s="1"/>
  <c r="J45" i="10" a="1"/>
  <c r="J45" i="10" s="1"/>
  <c r="L44" i="10"/>
  <c r="M44" i="10" s="1" a="1"/>
  <c r="M44" i="10" s="1"/>
  <c r="J44" i="10" a="1"/>
  <c r="J44" i="10" s="1"/>
  <c r="L43" i="10"/>
  <c r="M43" i="10" s="1" a="1"/>
  <c r="M43" i="10" s="1"/>
  <c r="J43" i="10" a="1"/>
  <c r="J43" i="10" s="1"/>
  <c r="L42" i="10"/>
  <c r="M42" i="10" s="1" a="1"/>
  <c r="M42" i="10" s="1"/>
  <c r="J42" i="10" a="1"/>
  <c r="J42" i="10" s="1"/>
  <c r="L41" i="10"/>
  <c r="M41" i="10" s="1" a="1"/>
  <c r="M41" i="10" s="1"/>
  <c r="J41" i="10" a="1"/>
  <c r="J41" i="10" s="1"/>
  <c r="L40" i="10"/>
  <c r="M40" i="10" s="1" a="1"/>
  <c r="M40" i="10" s="1"/>
  <c r="J40" i="10" a="1"/>
  <c r="J40" i="10" s="1"/>
  <c r="L39" i="10"/>
  <c r="M39" i="10" s="1" a="1"/>
  <c r="M39" i="10" s="1"/>
  <c r="J39" i="10" a="1"/>
  <c r="J39" i="10" s="1"/>
  <c r="L38" i="10"/>
  <c r="M38" i="10" s="1" a="1"/>
  <c r="M38" i="10" s="1"/>
  <c r="J38" i="10" a="1"/>
  <c r="J38" i="10" s="1"/>
  <c r="L37" i="10"/>
  <c r="M37" i="10" s="1" a="1"/>
  <c r="M37" i="10" s="1"/>
  <c r="J37" i="10" a="1"/>
  <c r="J37" i="10" s="1"/>
  <c r="L36" i="10"/>
  <c r="M36" i="10" s="1" a="1"/>
  <c r="M36" i="10" s="1"/>
  <c r="J36" i="10" a="1"/>
  <c r="J36" i="10" s="1"/>
  <c r="L35" i="10"/>
  <c r="M35" i="10" s="1" a="1"/>
  <c r="M35" i="10" s="1"/>
  <c r="J35" i="10" a="1"/>
  <c r="J35" i="10" s="1"/>
  <c r="L34" i="10"/>
  <c r="M34" i="10" s="1" a="1"/>
  <c r="M34" i="10" s="1"/>
  <c r="J34" i="10" a="1"/>
  <c r="J34" i="10" s="1"/>
  <c r="L33" i="10"/>
  <c r="M33" i="10" s="1" a="1"/>
  <c r="M33" i="10" s="1"/>
  <c r="J33" i="10" a="1"/>
  <c r="J33" i="10" s="1"/>
  <c r="L32" i="10"/>
  <c r="M32" i="10" s="1" a="1"/>
  <c r="M32" i="10" s="1"/>
  <c r="J32" i="10" a="1"/>
  <c r="J32" i="10" s="1"/>
  <c r="L31" i="10"/>
  <c r="M31" i="10" s="1" a="1"/>
  <c r="M31" i="10" s="1"/>
  <c r="J31" i="10" a="1"/>
  <c r="J31" i="10" s="1"/>
  <c r="L30" i="10"/>
  <c r="M30" i="10" s="1" a="1"/>
  <c r="M30" i="10" s="1"/>
  <c r="J30" i="10" a="1"/>
  <c r="J30" i="10" s="1"/>
  <c r="L29" i="10"/>
  <c r="M29" i="10" s="1" a="1"/>
  <c r="M29" i="10" s="1"/>
  <c r="J29" i="10" a="1"/>
  <c r="J29" i="10" s="1"/>
  <c r="L28" i="10"/>
  <c r="M28" i="10" s="1" a="1"/>
  <c r="M28" i="10" s="1"/>
  <c r="J28" i="10" a="1"/>
  <c r="J28" i="10" s="1"/>
  <c r="L27" i="10"/>
  <c r="M27" i="10" s="1" a="1"/>
  <c r="M27" i="10" s="1"/>
  <c r="J27" i="10" a="1"/>
  <c r="J27" i="10" s="1"/>
  <c r="L26" i="10"/>
  <c r="M26" i="10" s="1" a="1"/>
  <c r="M26" i="10" s="1"/>
  <c r="J26" i="10" a="1"/>
  <c r="J26" i="10" s="1"/>
  <c r="L25" i="10"/>
  <c r="M25" i="10" s="1" a="1"/>
  <c r="M25" i="10" s="1"/>
  <c r="J25" i="10" a="1"/>
  <c r="J25" i="10" s="1"/>
  <c r="L24" i="10"/>
  <c r="M24" i="10" s="1" a="1"/>
  <c r="M24" i="10" s="1"/>
  <c r="J24" i="10" a="1"/>
  <c r="J24" i="10" s="1"/>
  <c r="L23" i="10"/>
  <c r="M23" i="10" s="1" a="1"/>
  <c r="M23" i="10" s="1"/>
  <c r="J23" i="10" a="1"/>
  <c r="J23" i="10" s="1"/>
  <c r="L22" i="10"/>
  <c r="M22" i="10" s="1" a="1"/>
  <c r="M22" i="10" s="1"/>
  <c r="J22" i="10" a="1"/>
  <c r="J22" i="10" s="1"/>
  <c r="L21" i="10"/>
  <c r="M21" i="10" s="1" a="1"/>
  <c r="M21" i="10" s="1"/>
  <c r="J21" i="10" a="1"/>
  <c r="J21" i="10" s="1"/>
  <c r="L20" i="10"/>
  <c r="M20" i="10" s="1" a="1"/>
  <c r="M20" i="10" s="1"/>
  <c r="J20" i="10" a="1"/>
  <c r="J20" i="10" s="1"/>
  <c r="L19" i="10"/>
  <c r="M19" i="10" s="1" a="1"/>
  <c r="M19" i="10" s="1"/>
  <c r="J19" i="10" a="1"/>
  <c r="J19" i="10" s="1"/>
  <c r="L18" i="10"/>
  <c r="M18" i="10" s="1" a="1"/>
  <c r="M18" i="10" s="1"/>
  <c r="J18" i="10" a="1"/>
  <c r="J18" i="10" s="1"/>
  <c r="L17" i="10"/>
  <c r="M17" i="10" s="1" a="1"/>
  <c r="M17" i="10" s="1"/>
  <c r="J17" i="10" a="1"/>
  <c r="J17" i="10" s="1"/>
  <c r="L16" i="10"/>
  <c r="M16" i="10" s="1" a="1"/>
  <c r="M16" i="10" s="1"/>
  <c r="J16" i="10" a="1"/>
  <c r="J16" i="10" s="1"/>
  <c r="L15" i="10"/>
  <c r="M15" i="10" s="1" a="1"/>
  <c r="M15" i="10" s="1"/>
  <c r="J15" i="10" a="1"/>
  <c r="J15" i="10" s="1"/>
  <c r="L14" i="10"/>
  <c r="M14" i="10" s="1" a="1"/>
  <c r="M14" i="10" s="1"/>
  <c r="J14" i="10" a="1"/>
  <c r="J14" i="10" s="1"/>
  <c r="L13" i="10"/>
  <c r="M13" i="10" s="1" a="1"/>
  <c r="M13" i="10" s="1"/>
  <c r="J13" i="10" a="1"/>
  <c r="J13" i="10" s="1"/>
  <c r="L12" i="10"/>
  <c r="M12" i="10" s="1" a="1"/>
  <c r="M12" i="10" s="1"/>
  <c r="J12" i="10" a="1"/>
  <c r="J12" i="10" s="1"/>
  <c r="L11" i="10"/>
  <c r="M11" i="10" s="1" a="1"/>
  <c r="M11" i="10" s="1"/>
  <c r="J11" i="10" a="1"/>
  <c r="J11" i="10" s="1"/>
  <c r="L10" i="10"/>
  <c r="M10" i="10" s="1" a="1"/>
  <c r="M10" i="10" s="1"/>
  <c r="J10" i="10" a="1"/>
  <c r="J10" i="10" s="1"/>
  <c r="L9" i="10"/>
  <c r="M9" i="10" s="1" a="1"/>
  <c r="M9" i="10" s="1"/>
  <c r="J9" i="10" a="1"/>
  <c r="J9" i="10" s="1"/>
  <c r="L8" i="10"/>
  <c r="M8" i="10" s="1" a="1"/>
  <c r="M8" i="10" s="1"/>
  <c r="J8" i="10" a="1"/>
  <c r="J8" i="10" s="1"/>
  <c r="L7" i="10"/>
  <c r="M7" i="10" s="1" a="1"/>
  <c r="M7" i="10" s="1"/>
  <c r="J7" i="10" a="1"/>
  <c r="J7" i="10" s="1"/>
  <c r="L6" i="10"/>
  <c r="M6" i="10" s="1" a="1"/>
  <c r="M6" i="10" s="1"/>
  <c r="J6" i="10" a="1"/>
  <c r="J6" i="10" s="1"/>
  <c r="D5" i="22" l="1"/>
  <c r="D5" i="21"/>
  <c r="C6" i="3"/>
  <c r="L11" i="3" a="1"/>
  <c r="L11" i="3" s="1"/>
  <c r="O11" i="3" a="1"/>
  <c r="O11" i="3" s="1"/>
  <c r="H11" i="3" a="1"/>
  <c r="H11" i="3" s="1"/>
  <c r="J11" i="3" s="1" a="1"/>
  <c r="M10" i="3" a="1"/>
  <c r="M10" i="3" s="1"/>
  <c r="Q10" i="3" a="1"/>
  <c r="Q10" i="3" s="1"/>
  <c r="I10" i="3" a="1"/>
  <c r="I10" i="3" s="1"/>
  <c r="K11" i="3" a="1"/>
  <c r="K11" i="3" s="1"/>
  <c r="O10" i="3" a="1"/>
  <c r="O10" i="3" s="1"/>
  <c r="P11" i="3" a="1"/>
  <c r="P11" i="3" s="1"/>
  <c r="K12" i="3" a="1"/>
  <c r="K12" i="3" s="1"/>
  <c r="O12" i="3" a="1"/>
  <c r="O12" i="3" s="1"/>
  <c r="G12" i="3" a="1"/>
  <c r="G12" i="3" s="1"/>
  <c r="O20" i="22" s="1"/>
  <c r="Q11" i="3" a="1"/>
  <c r="Q11" i="3" s="1"/>
  <c r="M11" i="3" a="1"/>
  <c r="M11" i="3" s="1"/>
  <c r="I11" i="3" a="1"/>
  <c r="I11" i="3" s="1"/>
  <c r="H10" i="3" a="1"/>
  <c r="H10" i="3" s="1"/>
  <c r="J10" i="3" s="1" a="1"/>
  <c r="K10" i="3" a="1"/>
  <c r="K10" i="3" s="1"/>
  <c r="L10" i="3" a="1"/>
  <c r="L10" i="3" s="1"/>
  <c r="S10" i="3"/>
  <c r="S11" i="3" a="1"/>
  <c r="S11" i="3" s="1"/>
  <c r="P10" i="3"/>
  <c r="R10" i="3" s="1" a="1"/>
  <c r="S12" i="3"/>
  <c r="F11" i="3"/>
  <c r="F10" i="3"/>
  <c r="B12" i="3"/>
  <c r="C8" i="22" s="1"/>
  <c r="G8" i="22" s="1"/>
  <c r="D12" i="3"/>
  <c r="T35" i="22" s="1"/>
  <c r="D4" i="21" l="1"/>
  <c r="D4" i="22"/>
  <c r="L20" i="22"/>
  <c r="C8" i="21"/>
  <c r="M12" i="3"/>
  <c r="Q12" i="3"/>
  <c r="I12" i="3"/>
  <c r="N10" i="3" a="1"/>
  <c r="N10" i="3" s="1"/>
  <c r="R11" i="3" a="1"/>
  <c r="R11" i="3" s="1"/>
  <c r="N11" i="3" a="1"/>
  <c r="N11" i="3" s="1"/>
  <c r="J11" i="3"/>
  <c r="P12" i="3"/>
  <c r="W35" i="22" s="1"/>
  <c r="L12" i="3"/>
  <c r="V35" i="22" s="1"/>
  <c r="H12" i="3"/>
  <c r="U35" i="22" s="1"/>
  <c r="R10" i="3"/>
  <c r="J10" i="3"/>
  <c r="F12" i="3"/>
  <c r="J12" i="3" l="1" a="1"/>
  <c r="J12" i="3" s="1"/>
  <c r="N12" i="3" a="1"/>
  <c r="N12" i="3" s="1"/>
  <c r="R12" i="3" a="1"/>
  <c r="N20" i="22"/>
  <c r="K8" i="21"/>
  <c r="G8" i="21"/>
  <c r="R12" i="3"/>
  <c r="AN231" i="7"/>
  <c r="AL231" i="7"/>
  <c r="AJ231" i="7"/>
  <c r="AK231" i="7" s="1"/>
  <c r="Z231" i="7"/>
  <c r="X231" i="7"/>
  <c r="V231" i="7"/>
  <c r="W231" i="7" s="1"/>
  <c r="M231" i="7"/>
  <c r="K231" i="7"/>
  <c r="I231" i="7"/>
  <c r="AN230" i="7"/>
  <c r="AL230" i="7"/>
  <c r="AJ230" i="7"/>
  <c r="AK230" i="7" s="1"/>
  <c r="Z230" i="7"/>
  <c r="X230" i="7"/>
  <c r="V230" i="7"/>
  <c r="W230" i="7" s="1"/>
  <c r="M230" i="7"/>
  <c r="K230" i="7"/>
  <c r="I230" i="7"/>
  <c r="AN229" i="7"/>
  <c r="AL229" i="7"/>
  <c r="AJ229" i="7"/>
  <c r="AK229" i="7" s="1"/>
  <c r="Z229" i="7"/>
  <c r="X229" i="7"/>
  <c r="V229" i="7"/>
  <c r="W229" i="7" s="1"/>
  <c r="M229" i="7"/>
  <c r="K229" i="7"/>
  <c r="I229" i="7"/>
  <c r="AN228" i="7"/>
  <c r="AL228" i="7"/>
  <c r="AJ228" i="7"/>
  <c r="AK228" i="7" s="1"/>
  <c r="Z228" i="7"/>
  <c r="X228" i="7"/>
  <c r="V228" i="7"/>
  <c r="M228" i="7"/>
  <c r="K228" i="7"/>
  <c r="I228" i="7"/>
  <c r="AN227" i="7"/>
  <c r="AL227" i="7"/>
  <c r="AJ227" i="7"/>
  <c r="AK227" i="7" s="1"/>
  <c r="Z227" i="7"/>
  <c r="X227" i="7"/>
  <c r="V227" i="7"/>
  <c r="M227" i="7"/>
  <c r="K227" i="7"/>
  <c r="I227" i="7"/>
  <c r="AN226" i="7"/>
  <c r="AL226" i="7"/>
  <c r="AJ226" i="7"/>
  <c r="AK226" i="7" s="1"/>
  <c r="Z226" i="7"/>
  <c r="X226" i="7"/>
  <c r="V226" i="7"/>
  <c r="W226" i="7" s="1"/>
  <c r="M226" i="7"/>
  <c r="K226" i="7"/>
  <c r="I226" i="7"/>
  <c r="AN225" i="7"/>
  <c r="AL225" i="7"/>
  <c r="AJ225" i="7"/>
  <c r="AK225" i="7" s="1"/>
  <c r="Z225" i="7"/>
  <c r="X225" i="7"/>
  <c r="V225" i="7"/>
  <c r="W225" i="7" s="1"/>
  <c r="M225" i="7"/>
  <c r="K225" i="7"/>
  <c r="I225" i="7"/>
  <c r="AN224" i="7"/>
  <c r="AL224" i="7"/>
  <c r="AJ224" i="7"/>
  <c r="AK224" i="7" s="1"/>
  <c r="Z224" i="7"/>
  <c r="X224" i="7"/>
  <c r="V224" i="7"/>
  <c r="W224" i="7" s="1"/>
  <c r="M224" i="7"/>
  <c r="K224" i="7"/>
  <c r="I224" i="7"/>
  <c r="AN223" i="7"/>
  <c r="AL223" i="7"/>
  <c r="AJ223" i="7"/>
  <c r="AK223" i="7" s="1"/>
  <c r="Z223" i="7"/>
  <c r="X223" i="7"/>
  <c r="V223" i="7"/>
  <c r="M223" i="7"/>
  <c r="K223" i="7"/>
  <c r="I223" i="7"/>
  <c r="AN222" i="7"/>
  <c r="AL222" i="7"/>
  <c r="AJ222" i="7"/>
  <c r="AK222" i="7" s="1"/>
  <c r="Z222" i="7"/>
  <c r="X222" i="7"/>
  <c r="V222" i="7"/>
  <c r="W222" i="7" s="1"/>
  <c r="M222" i="7"/>
  <c r="K222" i="7"/>
  <c r="I222" i="7"/>
  <c r="AN221" i="7"/>
  <c r="AL221" i="7"/>
  <c r="AJ221" i="7"/>
  <c r="AK221" i="7" s="1"/>
  <c r="Z221" i="7"/>
  <c r="X221" i="7"/>
  <c r="V221" i="7"/>
  <c r="W221" i="7" s="1"/>
  <c r="M221" i="7"/>
  <c r="K221" i="7"/>
  <c r="I221" i="7"/>
  <c r="AN220" i="7"/>
  <c r="AL220" i="7"/>
  <c r="AJ220" i="7"/>
  <c r="AK220" i="7" s="1"/>
  <c r="Z220" i="7"/>
  <c r="X220" i="7"/>
  <c r="V220" i="7"/>
  <c r="W220" i="7" s="1"/>
  <c r="M220" i="7"/>
  <c r="K220" i="7"/>
  <c r="I220" i="7"/>
  <c r="AN219" i="7"/>
  <c r="AL219" i="7"/>
  <c r="AJ219" i="7"/>
  <c r="AK219" i="7" s="1"/>
  <c r="Z219" i="7"/>
  <c r="X219" i="7"/>
  <c r="V219" i="7"/>
  <c r="W219" i="7" s="1"/>
  <c r="M219" i="7"/>
  <c r="K219" i="7"/>
  <c r="I219" i="7"/>
  <c r="AN218" i="7"/>
  <c r="AL218" i="7"/>
  <c r="AJ218" i="7"/>
  <c r="Z218" i="7"/>
  <c r="X218" i="7"/>
  <c r="V218" i="7"/>
  <c r="W218" i="7" s="1"/>
  <c r="M218" i="7"/>
  <c r="K218" i="7"/>
  <c r="I218" i="7"/>
  <c r="AN217" i="7"/>
  <c r="AL217" i="7"/>
  <c r="AJ217" i="7"/>
  <c r="AK217" i="7" s="1"/>
  <c r="Z217" i="7"/>
  <c r="X217" i="7"/>
  <c r="V217" i="7"/>
  <c r="W217" i="7" s="1"/>
  <c r="M217" i="7"/>
  <c r="K217" i="7"/>
  <c r="I217" i="7"/>
  <c r="AN216" i="7"/>
  <c r="AL216" i="7"/>
  <c r="AJ216" i="7"/>
  <c r="Z216" i="7"/>
  <c r="X216" i="7"/>
  <c r="V216" i="7"/>
  <c r="W216" i="7" s="1"/>
  <c r="M216" i="7"/>
  <c r="K216" i="7"/>
  <c r="I216" i="7"/>
  <c r="AN215" i="7"/>
  <c r="AL215" i="7"/>
  <c r="AJ215" i="7"/>
  <c r="AK215" i="7" s="1"/>
  <c r="Z215" i="7"/>
  <c r="X215" i="7"/>
  <c r="V215" i="7"/>
  <c r="M215" i="7"/>
  <c r="K215" i="7"/>
  <c r="I215" i="7"/>
  <c r="AN214" i="7"/>
  <c r="AL214" i="7"/>
  <c r="AJ214" i="7"/>
  <c r="AK214" i="7" s="1"/>
  <c r="Z214" i="7"/>
  <c r="X214" i="7"/>
  <c r="V214" i="7"/>
  <c r="W214" i="7" s="1"/>
  <c r="M214" i="7"/>
  <c r="K214" i="7"/>
  <c r="I214" i="7"/>
  <c r="AN213" i="7"/>
  <c r="AL213" i="7"/>
  <c r="AJ213" i="7"/>
  <c r="AK213" i="7" s="1"/>
  <c r="Z213" i="7"/>
  <c r="X213" i="7"/>
  <c r="V213" i="7"/>
  <c r="W213" i="7" s="1"/>
  <c r="M213" i="7"/>
  <c r="K213" i="7"/>
  <c r="I213" i="7"/>
  <c r="AN212" i="7"/>
  <c r="AL212" i="7"/>
  <c r="AJ212" i="7"/>
  <c r="AK212" i="7" s="1"/>
  <c r="AA212" i="7"/>
  <c r="Y212" i="7"/>
  <c r="W212" i="7"/>
  <c r="M212" i="7"/>
  <c r="K212" i="7"/>
  <c r="I212" i="7"/>
  <c r="AN211" i="7"/>
  <c r="AL211" i="7"/>
  <c r="AJ211" i="7"/>
  <c r="AA211" i="7"/>
  <c r="Y211" i="7"/>
  <c r="W211" i="7"/>
  <c r="M211" i="7"/>
  <c r="K211" i="7"/>
  <c r="I211" i="7"/>
  <c r="AN210" i="7"/>
  <c r="AL210" i="7"/>
  <c r="AJ210" i="7"/>
  <c r="AK210" i="7" s="1"/>
  <c r="Z210" i="7"/>
  <c r="X210" i="7"/>
  <c r="V210" i="7"/>
  <c r="W210" i="7" s="1"/>
  <c r="M210" i="7"/>
  <c r="K210" i="7"/>
  <c r="I210" i="7"/>
  <c r="AN209" i="7"/>
  <c r="AL209" i="7"/>
  <c r="AJ209" i="7"/>
  <c r="AK209" i="7" s="1"/>
  <c r="Z209" i="7"/>
  <c r="X209" i="7"/>
  <c r="V209" i="7"/>
  <c r="W209" i="7" s="1"/>
  <c r="M209" i="7"/>
  <c r="K209" i="7"/>
  <c r="I209" i="7"/>
  <c r="AN208" i="7"/>
  <c r="AL208" i="7"/>
  <c r="AJ208" i="7"/>
  <c r="Z208" i="7"/>
  <c r="X208" i="7"/>
  <c r="V208" i="7"/>
  <c r="W208" i="7" s="1"/>
  <c r="M208" i="7"/>
  <c r="K208" i="7"/>
  <c r="I208" i="7"/>
  <c r="AN207" i="7"/>
  <c r="AL207" i="7"/>
  <c r="AJ207" i="7"/>
  <c r="Z207" i="7"/>
  <c r="X207" i="7"/>
  <c r="V207" i="7"/>
  <c r="W207" i="7" s="1"/>
  <c r="M207" i="7"/>
  <c r="K207" i="7"/>
  <c r="I207" i="7"/>
  <c r="AN206" i="7"/>
  <c r="AL206" i="7"/>
  <c r="AJ206" i="7"/>
  <c r="Z206" i="7"/>
  <c r="X206" i="7"/>
  <c r="V206" i="7"/>
  <c r="W206" i="7" s="1"/>
  <c r="M206" i="7"/>
  <c r="K206" i="7"/>
  <c r="I206" i="7"/>
  <c r="AN205" i="7"/>
  <c r="AL205" i="7"/>
  <c r="AJ205" i="7"/>
  <c r="AK205" i="7" s="1"/>
  <c r="Z205" i="7"/>
  <c r="X205" i="7"/>
  <c r="V205" i="7"/>
  <c r="W205" i="7" s="1"/>
  <c r="M205" i="7"/>
  <c r="K205" i="7"/>
  <c r="I205" i="7"/>
  <c r="AN204" i="7"/>
  <c r="AL204" i="7"/>
  <c r="AJ204" i="7"/>
  <c r="AK204" i="7" s="1"/>
  <c r="Z204" i="7"/>
  <c r="X204" i="7"/>
  <c r="V204" i="7"/>
  <c r="W204" i="7" s="1"/>
  <c r="M204" i="7"/>
  <c r="K204" i="7"/>
  <c r="I204" i="7"/>
  <c r="AN203" i="7"/>
  <c r="AL203" i="7"/>
  <c r="AJ203" i="7"/>
  <c r="AK203" i="7" s="1"/>
  <c r="Z203" i="7"/>
  <c r="X203" i="7"/>
  <c r="V203" i="7"/>
  <c r="M203" i="7"/>
  <c r="K203" i="7"/>
  <c r="I203" i="7"/>
  <c r="AN202" i="7"/>
  <c r="AL202" i="7"/>
  <c r="AJ202" i="7"/>
  <c r="AK202" i="7" s="1"/>
  <c r="Z202" i="7"/>
  <c r="X202" i="7"/>
  <c r="V202" i="7"/>
  <c r="W202" i="7" s="1"/>
  <c r="M202" i="7"/>
  <c r="K202" i="7"/>
  <c r="I202" i="7"/>
  <c r="AN201" i="7"/>
  <c r="AL201" i="7"/>
  <c r="AJ201" i="7"/>
  <c r="AK201" i="7" s="1"/>
  <c r="Z201" i="7"/>
  <c r="X201" i="7"/>
  <c r="V201" i="7"/>
  <c r="W201" i="7" s="1"/>
  <c r="M201" i="7"/>
  <c r="K201" i="7"/>
  <c r="I201" i="7"/>
  <c r="AN200" i="7"/>
  <c r="AL200" i="7"/>
  <c r="AJ200" i="7"/>
  <c r="AK200" i="7" s="1"/>
  <c r="Z200" i="7"/>
  <c r="X200" i="7"/>
  <c r="V200" i="7"/>
  <c r="W200" i="7" s="1"/>
  <c r="M200" i="7"/>
  <c r="K200" i="7"/>
  <c r="I200" i="7"/>
  <c r="AN199" i="7"/>
  <c r="AL199" i="7"/>
  <c r="AJ199" i="7"/>
  <c r="Z199" i="7"/>
  <c r="X199" i="7"/>
  <c r="V199" i="7"/>
  <c r="W199" i="7" s="1"/>
  <c r="M199" i="7"/>
  <c r="K199" i="7"/>
  <c r="I199" i="7"/>
  <c r="AN198" i="7"/>
  <c r="AL198" i="7"/>
  <c r="AJ198" i="7"/>
  <c r="AK198" i="7" s="1"/>
  <c r="Z198" i="7"/>
  <c r="X198" i="7"/>
  <c r="V198" i="7"/>
  <c r="W198" i="7" s="1"/>
  <c r="M198" i="7"/>
  <c r="K198" i="7"/>
  <c r="I198" i="7"/>
  <c r="AN197" i="7"/>
  <c r="AL197" i="7"/>
  <c r="AJ197" i="7"/>
  <c r="AK197" i="7" s="1"/>
  <c r="Z197" i="7"/>
  <c r="X197" i="7"/>
  <c r="V197" i="7"/>
  <c r="W197" i="7" s="1"/>
  <c r="M197" i="7"/>
  <c r="K197" i="7"/>
  <c r="I197" i="7"/>
  <c r="AN196" i="7"/>
  <c r="AL196" i="7"/>
  <c r="AJ196" i="7"/>
  <c r="AK196" i="7" s="1"/>
  <c r="Z196" i="7"/>
  <c r="X196" i="7"/>
  <c r="V196" i="7"/>
  <c r="W196" i="7" s="1"/>
  <c r="M196" i="7"/>
  <c r="K196" i="7"/>
  <c r="I196" i="7"/>
  <c r="AN195" i="7"/>
  <c r="AL195" i="7"/>
  <c r="AJ195" i="7"/>
  <c r="AK195" i="7" s="1"/>
  <c r="Z195" i="7"/>
  <c r="X195" i="7"/>
  <c r="V195" i="7"/>
  <c r="W195" i="7" s="1"/>
  <c r="M195" i="7"/>
  <c r="K195" i="7"/>
  <c r="I195" i="7"/>
  <c r="AN194" i="7"/>
  <c r="AL194" i="7"/>
  <c r="AJ194" i="7"/>
  <c r="AK194" i="7" s="1"/>
  <c r="Z194" i="7"/>
  <c r="X194" i="7"/>
  <c r="V194" i="7"/>
  <c r="W194" i="7" s="1"/>
  <c r="M194" i="7"/>
  <c r="K194" i="7"/>
  <c r="I194" i="7"/>
  <c r="AN193" i="7"/>
  <c r="AL193" i="7"/>
  <c r="AJ193" i="7"/>
  <c r="AK193" i="7" s="1"/>
  <c r="Z193" i="7"/>
  <c r="X193" i="7"/>
  <c r="V193" i="7"/>
  <c r="W193" i="7" s="1"/>
  <c r="M193" i="7"/>
  <c r="K193" i="7"/>
  <c r="I193" i="7"/>
  <c r="AN192" i="7"/>
  <c r="AL192" i="7"/>
  <c r="AJ192" i="7"/>
  <c r="Z192" i="7"/>
  <c r="X192" i="7"/>
  <c r="V192" i="7"/>
  <c r="W192" i="7" s="1"/>
  <c r="M192" i="7"/>
  <c r="K192" i="7"/>
  <c r="I192" i="7"/>
  <c r="AN191" i="7"/>
  <c r="AL191" i="7"/>
  <c r="AJ191" i="7"/>
  <c r="AK191" i="7" s="1"/>
  <c r="Z191" i="7"/>
  <c r="X191" i="7"/>
  <c r="V191" i="7"/>
  <c r="W191" i="7" s="1"/>
  <c r="M191" i="7"/>
  <c r="K191" i="7"/>
  <c r="I191" i="7"/>
  <c r="AN190" i="7"/>
  <c r="AL190" i="7"/>
  <c r="AJ190" i="7"/>
  <c r="Z190" i="7"/>
  <c r="X190" i="7"/>
  <c r="V190" i="7"/>
  <c r="M190" i="7"/>
  <c r="K190" i="7"/>
  <c r="I190" i="7"/>
  <c r="AN189" i="7"/>
  <c r="AL189" i="7"/>
  <c r="AJ189" i="7"/>
  <c r="AK189" i="7" s="1"/>
  <c r="Z189" i="7"/>
  <c r="X189" i="7"/>
  <c r="V189" i="7"/>
  <c r="W189" i="7" s="1"/>
  <c r="M189" i="7"/>
  <c r="K189" i="7"/>
  <c r="I189" i="7"/>
  <c r="AN188" i="7"/>
  <c r="AL188" i="7"/>
  <c r="AJ188" i="7"/>
  <c r="Z188" i="7"/>
  <c r="X188" i="7"/>
  <c r="V188" i="7"/>
  <c r="W188" i="7" s="1"/>
  <c r="M188" i="7"/>
  <c r="K188" i="7"/>
  <c r="I188" i="7"/>
  <c r="AN187" i="7"/>
  <c r="AL187" i="7"/>
  <c r="AJ187" i="7"/>
  <c r="Z187" i="7"/>
  <c r="X187" i="7"/>
  <c r="V187" i="7"/>
  <c r="W187" i="7" s="1"/>
  <c r="M187" i="7"/>
  <c r="K187" i="7"/>
  <c r="I187" i="7"/>
  <c r="AN186" i="7"/>
  <c r="AL186" i="7"/>
  <c r="AJ186" i="7"/>
  <c r="AK186" i="7" s="1"/>
  <c r="Z186" i="7"/>
  <c r="X186" i="7"/>
  <c r="V186" i="7"/>
  <c r="W186" i="7" s="1"/>
  <c r="M186" i="7"/>
  <c r="K186" i="7"/>
  <c r="I186" i="7"/>
  <c r="AN185" i="7"/>
  <c r="AL185" i="7"/>
  <c r="AJ185" i="7"/>
  <c r="AK185" i="7" s="1"/>
  <c r="Z185" i="7"/>
  <c r="X185" i="7"/>
  <c r="V185" i="7"/>
  <c r="W185" i="7" s="1"/>
  <c r="M185" i="7"/>
  <c r="K185" i="7"/>
  <c r="I185" i="7"/>
  <c r="AN184" i="7"/>
  <c r="AL184" i="7"/>
  <c r="AJ184" i="7"/>
  <c r="AK184" i="7" s="1"/>
  <c r="Z184" i="7"/>
  <c r="X184" i="7"/>
  <c r="V184" i="7"/>
  <c r="W184" i="7" s="1"/>
  <c r="M184" i="7"/>
  <c r="K184" i="7"/>
  <c r="I184" i="7"/>
  <c r="AN183" i="7"/>
  <c r="AL183" i="7"/>
  <c r="AJ183" i="7"/>
  <c r="AK183" i="7" s="1"/>
  <c r="Z183" i="7"/>
  <c r="X183" i="7"/>
  <c r="V183" i="7"/>
  <c r="W183" i="7" s="1"/>
  <c r="M183" i="7"/>
  <c r="K183" i="7"/>
  <c r="I183" i="7"/>
  <c r="AN182" i="7"/>
  <c r="AL182" i="7"/>
  <c r="AJ182" i="7"/>
  <c r="AK182" i="7" s="1"/>
  <c r="Z182" i="7"/>
  <c r="X182" i="7"/>
  <c r="V182" i="7"/>
  <c r="W182" i="7" s="1"/>
  <c r="M182" i="7"/>
  <c r="K182" i="7"/>
  <c r="I182" i="7"/>
  <c r="AN181" i="7"/>
  <c r="AL181" i="7"/>
  <c r="AJ181" i="7"/>
  <c r="AK181" i="7" s="1"/>
  <c r="Z181" i="7"/>
  <c r="X181" i="7"/>
  <c r="V181" i="7"/>
  <c r="W181" i="7" s="1"/>
  <c r="M181" i="7"/>
  <c r="K181" i="7"/>
  <c r="I181" i="7"/>
  <c r="AN180" i="7"/>
  <c r="AL180" i="7"/>
  <c r="AJ180" i="7"/>
  <c r="AK180" i="7" s="1"/>
  <c r="Z180" i="7"/>
  <c r="X180" i="7"/>
  <c r="V180" i="7"/>
  <c r="W180" i="7" s="1"/>
  <c r="M180" i="7"/>
  <c r="K180" i="7"/>
  <c r="I180" i="7"/>
  <c r="AN179" i="7"/>
  <c r="AL179" i="7"/>
  <c r="AJ179" i="7"/>
  <c r="Z179" i="7"/>
  <c r="X179" i="7"/>
  <c r="V179" i="7"/>
  <c r="W179" i="7" s="1"/>
  <c r="M179" i="7"/>
  <c r="K179" i="7"/>
  <c r="I179" i="7"/>
  <c r="AN178" i="7"/>
  <c r="AL178" i="7"/>
  <c r="AJ178" i="7"/>
  <c r="AK178" i="7" s="1"/>
  <c r="Z178" i="7"/>
  <c r="X178" i="7"/>
  <c r="V178" i="7"/>
  <c r="W178" i="7" s="1"/>
  <c r="M178" i="7"/>
  <c r="K178" i="7"/>
  <c r="I178" i="7"/>
  <c r="AN177" i="7"/>
  <c r="AL177" i="7"/>
  <c r="AJ177" i="7"/>
  <c r="AK177" i="7" s="1"/>
  <c r="Z177" i="7"/>
  <c r="X177" i="7"/>
  <c r="V177" i="7"/>
  <c r="W177" i="7" s="1"/>
  <c r="M177" i="7"/>
  <c r="K177" i="7"/>
  <c r="I177" i="7"/>
  <c r="AN176" i="7"/>
  <c r="AL176" i="7"/>
  <c r="AJ176" i="7"/>
  <c r="AK176" i="7" s="1"/>
  <c r="Z176" i="7"/>
  <c r="X176" i="7"/>
  <c r="V176" i="7"/>
  <c r="W176" i="7" s="1"/>
  <c r="M176" i="7"/>
  <c r="K176" i="7"/>
  <c r="I176" i="7"/>
  <c r="AN175" i="7"/>
  <c r="AL175" i="7"/>
  <c r="AJ175" i="7"/>
  <c r="Z175" i="7"/>
  <c r="X175" i="7"/>
  <c r="V175" i="7"/>
  <c r="W175" i="7" s="1"/>
  <c r="M175" i="7"/>
  <c r="K175" i="7"/>
  <c r="I175" i="7"/>
  <c r="AN174" i="7"/>
  <c r="AL174" i="7"/>
  <c r="AJ174" i="7"/>
  <c r="Z174" i="7"/>
  <c r="X174" i="7"/>
  <c r="V174" i="7"/>
  <c r="W174" i="7" s="1"/>
  <c r="M174" i="7"/>
  <c r="K174" i="7"/>
  <c r="I174" i="7"/>
  <c r="AN173" i="7"/>
  <c r="AL173" i="7"/>
  <c r="AJ173" i="7"/>
  <c r="AK173" i="7" s="1"/>
  <c r="Z173" i="7"/>
  <c r="X173" i="7"/>
  <c r="V173" i="7"/>
  <c r="W173" i="7" s="1"/>
  <c r="M173" i="7"/>
  <c r="K173" i="7"/>
  <c r="I173" i="7"/>
  <c r="AN172" i="7"/>
  <c r="AL172" i="7"/>
  <c r="AJ172" i="7"/>
  <c r="AK172" i="7" s="1"/>
  <c r="Z172" i="7"/>
  <c r="X172" i="7"/>
  <c r="V172" i="7"/>
  <c r="W172" i="7" s="1"/>
  <c r="M172" i="7"/>
  <c r="K172" i="7"/>
  <c r="I172" i="7"/>
  <c r="AN171" i="7"/>
  <c r="AL171" i="7"/>
  <c r="AJ171" i="7"/>
  <c r="AK171" i="7" s="1"/>
  <c r="Z171" i="7"/>
  <c r="X171" i="7"/>
  <c r="V171" i="7"/>
  <c r="W171" i="7" s="1"/>
  <c r="M171" i="7"/>
  <c r="K171" i="7"/>
  <c r="I171" i="7"/>
  <c r="AN170" i="7"/>
  <c r="AL170" i="7"/>
  <c r="AJ170" i="7"/>
  <c r="AK170" i="7" s="1"/>
  <c r="Z170" i="7"/>
  <c r="X170" i="7"/>
  <c r="V170" i="7"/>
  <c r="W170" i="7" s="1"/>
  <c r="M170" i="7"/>
  <c r="K170" i="7"/>
  <c r="I170" i="7"/>
  <c r="AN169" i="7"/>
  <c r="AL169" i="7"/>
  <c r="AJ169" i="7"/>
  <c r="AK169" i="7" s="1"/>
  <c r="Z169" i="7"/>
  <c r="X169" i="7"/>
  <c r="V169" i="7"/>
  <c r="W169" i="7" s="1"/>
  <c r="M169" i="7"/>
  <c r="K169" i="7"/>
  <c r="I169" i="7"/>
  <c r="AN168" i="7"/>
  <c r="AL168" i="7"/>
  <c r="AJ168" i="7"/>
  <c r="Z168" i="7"/>
  <c r="X168" i="7"/>
  <c r="V168" i="7"/>
  <c r="W168" i="7" s="1"/>
  <c r="M168" i="7"/>
  <c r="K168" i="7"/>
  <c r="I168" i="7"/>
  <c r="AN167" i="7"/>
  <c r="AL167" i="7"/>
  <c r="AJ167" i="7"/>
  <c r="Z167" i="7"/>
  <c r="X167" i="7"/>
  <c r="V167" i="7"/>
  <c r="W167" i="7" s="1"/>
  <c r="M167" i="7"/>
  <c r="K167" i="7"/>
  <c r="I167" i="7"/>
  <c r="AN166" i="7"/>
  <c r="AL166" i="7"/>
  <c r="AJ166" i="7"/>
  <c r="AK166" i="7" s="1"/>
  <c r="Z166" i="7"/>
  <c r="X166" i="7"/>
  <c r="V166" i="7"/>
  <c r="W166" i="7" s="1"/>
  <c r="M166" i="7"/>
  <c r="K166" i="7"/>
  <c r="I166" i="7"/>
  <c r="AN165" i="7"/>
  <c r="AL165" i="7"/>
  <c r="AJ165" i="7"/>
  <c r="AK165" i="7" s="1"/>
  <c r="Z165" i="7"/>
  <c r="X165" i="7"/>
  <c r="V165" i="7"/>
  <c r="W165" i="7" s="1"/>
  <c r="M165" i="7"/>
  <c r="K165" i="7"/>
  <c r="I165" i="7"/>
  <c r="AN164" i="7"/>
  <c r="AL164" i="7"/>
  <c r="AJ164" i="7"/>
  <c r="AK164" i="7" s="1"/>
  <c r="Z164" i="7"/>
  <c r="X164" i="7"/>
  <c r="V164" i="7"/>
  <c r="M164" i="7"/>
  <c r="K164" i="7"/>
  <c r="I164" i="7"/>
  <c r="AN163" i="7"/>
  <c r="AL163" i="7"/>
  <c r="AJ163" i="7"/>
  <c r="AK163" i="7" s="1"/>
  <c r="Z163" i="7"/>
  <c r="X163" i="7"/>
  <c r="V163" i="7"/>
  <c r="W163" i="7" s="1"/>
  <c r="M163" i="7"/>
  <c r="K163" i="7"/>
  <c r="I163" i="7"/>
  <c r="AN162" i="7"/>
  <c r="AL162" i="7"/>
  <c r="AJ162" i="7"/>
  <c r="AK162" i="7" s="1"/>
  <c r="Z162" i="7"/>
  <c r="X162" i="7"/>
  <c r="V162" i="7"/>
  <c r="W162" i="7" s="1"/>
  <c r="M162" i="7"/>
  <c r="K162" i="7"/>
  <c r="I162" i="7"/>
  <c r="AN161" i="7"/>
  <c r="AL161" i="7"/>
  <c r="AJ161" i="7"/>
  <c r="AK161" i="7" s="1"/>
  <c r="Z161" i="7"/>
  <c r="X161" i="7"/>
  <c r="V161" i="7"/>
  <c r="M161" i="7"/>
  <c r="K161" i="7"/>
  <c r="I161" i="7"/>
  <c r="AN160" i="7"/>
  <c r="AL160" i="7"/>
  <c r="AJ160" i="7"/>
  <c r="Z160" i="7"/>
  <c r="X160" i="7"/>
  <c r="V160" i="7"/>
  <c r="W160" i="7" s="1"/>
  <c r="M160" i="7"/>
  <c r="K160" i="7"/>
  <c r="I160" i="7"/>
  <c r="AN159" i="7"/>
  <c r="AL159" i="7"/>
  <c r="AJ159" i="7"/>
  <c r="AK159" i="7" s="1"/>
  <c r="Z159" i="7"/>
  <c r="X159" i="7"/>
  <c r="V159" i="7"/>
  <c r="W159" i="7" s="1"/>
  <c r="M159" i="7"/>
  <c r="K159" i="7"/>
  <c r="I159" i="7"/>
  <c r="AN158" i="7"/>
  <c r="AL158" i="7"/>
  <c r="AJ158" i="7"/>
  <c r="AK158" i="7" s="1"/>
  <c r="Z158" i="7"/>
  <c r="X158" i="7"/>
  <c r="V158" i="7"/>
  <c r="W158" i="7" s="1"/>
  <c r="M158" i="7"/>
  <c r="K158" i="7"/>
  <c r="I158" i="7"/>
  <c r="AN157" i="7"/>
  <c r="AL157" i="7"/>
  <c r="AJ157" i="7"/>
  <c r="AK157" i="7" s="1"/>
  <c r="Z157" i="7"/>
  <c r="X157" i="7"/>
  <c r="V157" i="7"/>
  <c r="W157" i="7" s="1"/>
  <c r="M157" i="7"/>
  <c r="K157" i="7"/>
  <c r="I157" i="7"/>
  <c r="AN156" i="7"/>
  <c r="AL156" i="7"/>
  <c r="AJ156" i="7"/>
  <c r="AK156" i="7" s="1"/>
  <c r="Z156" i="7"/>
  <c r="X156" i="7"/>
  <c r="V156" i="7"/>
  <c r="W156" i="7" s="1"/>
  <c r="M156" i="7"/>
  <c r="K156" i="7"/>
  <c r="I156" i="7"/>
  <c r="AN155" i="7"/>
  <c r="AL155" i="7"/>
  <c r="AJ155" i="7"/>
  <c r="AK155" i="7" s="1"/>
  <c r="Z155" i="7"/>
  <c r="X155" i="7"/>
  <c r="V155" i="7"/>
  <c r="W155" i="7" s="1"/>
  <c r="M155" i="7"/>
  <c r="K155" i="7"/>
  <c r="I155" i="7"/>
  <c r="AN154" i="7"/>
  <c r="AL154" i="7"/>
  <c r="AJ154" i="7"/>
  <c r="AK154" i="7" s="1"/>
  <c r="Z154" i="7"/>
  <c r="X154" i="7"/>
  <c r="V154" i="7"/>
  <c r="W154" i="7" s="1"/>
  <c r="M154" i="7"/>
  <c r="K154" i="7"/>
  <c r="I154" i="7"/>
  <c r="AN153" i="7"/>
  <c r="AL153" i="7"/>
  <c r="AJ153" i="7"/>
  <c r="AK153" i="7" s="1"/>
  <c r="Z153" i="7"/>
  <c r="X153" i="7"/>
  <c r="V153" i="7"/>
  <c r="W153" i="7" s="1"/>
  <c r="M153" i="7"/>
  <c r="K153" i="7"/>
  <c r="I153" i="7"/>
  <c r="AN152" i="7"/>
  <c r="AL152" i="7"/>
  <c r="AJ152" i="7"/>
  <c r="Z152" i="7"/>
  <c r="X152" i="7"/>
  <c r="V152" i="7"/>
  <c r="W152" i="7" s="1"/>
  <c r="M152" i="7"/>
  <c r="K152" i="7"/>
  <c r="I152" i="7"/>
  <c r="AN151" i="7"/>
  <c r="AL151" i="7"/>
  <c r="AJ151" i="7"/>
  <c r="Z151" i="7"/>
  <c r="X151" i="7"/>
  <c r="V151" i="7"/>
  <c r="W151" i="7" s="1"/>
  <c r="M151" i="7"/>
  <c r="K151" i="7"/>
  <c r="I151" i="7"/>
  <c r="AN150" i="7"/>
  <c r="AL150" i="7"/>
  <c r="AJ150" i="7"/>
  <c r="AK150" i="7" s="1"/>
  <c r="Z150" i="7"/>
  <c r="X150" i="7"/>
  <c r="V150" i="7"/>
  <c r="M150" i="7"/>
  <c r="K150" i="7"/>
  <c r="I150" i="7"/>
  <c r="AN149" i="7"/>
  <c r="AL149" i="7"/>
  <c r="AJ149" i="7"/>
  <c r="AK149" i="7" s="1"/>
  <c r="Z149" i="7"/>
  <c r="X149" i="7"/>
  <c r="V149" i="7"/>
  <c r="W149" i="7" s="1"/>
  <c r="M149" i="7"/>
  <c r="K149" i="7"/>
  <c r="I149" i="7"/>
  <c r="AN148" i="7"/>
  <c r="AL148" i="7"/>
  <c r="AJ148" i="7"/>
  <c r="Z148" i="7"/>
  <c r="X148" i="7"/>
  <c r="V148" i="7"/>
  <c r="W148" i="7" s="1"/>
  <c r="M148" i="7"/>
  <c r="K148" i="7"/>
  <c r="I148" i="7"/>
  <c r="AN147" i="7"/>
  <c r="AL147" i="7"/>
  <c r="AJ147" i="7"/>
  <c r="Z147" i="7"/>
  <c r="X147" i="7"/>
  <c r="V147" i="7"/>
  <c r="W147" i="7" s="1"/>
  <c r="M147" i="7"/>
  <c r="K147" i="7"/>
  <c r="I147" i="7"/>
  <c r="AN146" i="7"/>
  <c r="AL146" i="7"/>
  <c r="AJ146" i="7"/>
  <c r="AK146" i="7" s="1"/>
  <c r="Z146" i="7"/>
  <c r="X146" i="7"/>
  <c r="V146" i="7"/>
  <c r="W146" i="7" s="1"/>
  <c r="M146" i="7"/>
  <c r="K146" i="7"/>
  <c r="I146" i="7"/>
  <c r="AN145" i="7"/>
  <c r="AL145" i="7"/>
  <c r="AJ145" i="7"/>
  <c r="AK145" i="7" s="1"/>
  <c r="Z145" i="7"/>
  <c r="X145" i="7"/>
  <c r="V145" i="7"/>
  <c r="W145" i="7" s="1"/>
  <c r="M145" i="7"/>
  <c r="K145" i="7"/>
  <c r="I145" i="7"/>
  <c r="AN144" i="7"/>
  <c r="AL144" i="7"/>
  <c r="AJ144" i="7"/>
  <c r="AK144" i="7" s="1"/>
  <c r="Z144" i="7"/>
  <c r="X144" i="7"/>
  <c r="V144" i="7"/>
  <c r="W144" i="7" s="1"/>
  <c r="M144" i="7"/>
  <c r="K144" i="7"/>
  <c r="I144" i="7"/>
  <c r="AN143" i="7"/>
  <c r="AL143" i="7"/>
  <c r="AJ143" i="7"/>
  <c r="AK143" i="7" s="1"/>
  <c r="Z143" i="7"/>
  <c r="X143" i="7"/>
  <c r="V143" i="7"/>
  <c r="W143" i="7" s="1"/>
  <c r="M143" i="7"/>
  <c r="K143" i="7"/>
  <c r="I143" i="7"/>
  <c r="AN142" i="7"/>
  <c r="AL142" i="7"/>
  <c r="AJ142" i="7"/>
  <c r="AK142" i="7" s="1"/>
  <c r="Z142" i="7"/>
  <c r="X142" i="7"/>
  <c r="V142" i="7"/>
  <c r="W142" i="7" s="1"/>
  <c r="M142" i="7"/>
  <c r="K142" i="7"/>
  <c r="I142" i="7"/>
  <c r="AN141" i="7"/>
  <c r="AL141" i="7"/>
  <c r="AJ141" i="7"/>
  <c r="AK141" i="7" s="1"/>
  <c r="Z141" i="7"/>
  <c r="X141" i="7"/>
  <c r="V141" i="7"/>
  <c r="W141" i="7" s="1"/>
  <c r="M141" i="7"/>
  <c r="K141" i="7"/>
  <c r="I141" i="7"/>
  <c r="AN140" i="7"/>
  <c r="AL140" i="7"/>
  <c r="AJ140" i="7"/>
  <c r="AK140" i="7" s="1"/>
  <c r="Z140" i="7"/>
  <c r="X140" i="7"/>
  <c r="V140" i="7"/>
  <c r="W140" i="7" s="1"/>
  <c r="M140" i="7"/>
  <c r="K140" i="7"/>
  <c r="I140" i="7"/>
  <c r="AN139" i="7"/>
  <c r="AL139" i="7"/>
  <c r="AJ139" i="7"/>
  <c r="AK139" i="7" s="1"/>
  <c r="Z139" i="7"/>
  <c r="X139" i="7"/>
  <c r="V139" i="7"/>
  <c r="M139" i="7"/>
  <c r="K139" i="7"/>
  <c r="I139" i="7"/>
  <c r="AN138" i="7"/>
  <c r="AL138" i="7"/>
  <c r="AJ138" i="7"/>
  <c r="AK138" i="7" s="1"/>
  <c r="Z138" i="7"/>
  <c r="X138" i="7"/>
  <c r="V138" i="7"/>
  <c r="M138" i="7"/>
  <c r="K138" i="7"/>
  <c r="I138" i="7"/>
  <c r="AN137" i="7"/>
  <c r="AL137" i="7"/>
  <c r="AJ137" i="7"/>
  <c r="AK137" i="7" s="1"/>
  <c r="Z137" i="7"/>
  <c r="X137" i="7"/>
  <c r="V137" i="7"/>
  <c r="W137" i="7" s="1"/>
  <c r="M137" i="7"/>
  <c r="K137" i="7"/>
  <c r="I137" i="7"/>
  <c r="AN136" i="7"/>
  <c r="AL136" i="7"/>
  <c r="AJ136" i="7"/>
  <c r="Z136" i="7"/>
  <c r="X136" i="7"/>
  <c r="V136" i="7"/>
  <c r="W136" i="7" s="1"/>
  <c r="M136" i="7"/>
  <c r="K136" i="7"/>
  <c r="I136" i="7"/>
  <c r="AN135" i="7"/>
  <c r="AL135" i="7"/>
  <c r="AJ135" i="7"/>
  <c r="Z135" i="7"/>
  <c r="X135" i="7"/>
  <c r="V135" i="7"/>
  <c r="W135" i="7" s="1"/>
  <c r="M135" i="7"/>
  <c r="K135" i="7"/>
  <c r="I135" i="7"/>
  <c r="AN134" i="7"/>
  <c r="AL134" i="7"/>
  <c r="AJ134" i="7"/>
  <c r="AK134" i="7" s="1"/>
  <c r="Z134" i="7"/>
  <c r="X134" i="7"/>
  <c r="V134" i="7"/>
  <c r="W134" i="7" s="1"/>
  <c r="M134" i="7"/>
  <c r="K134" i="7"/>
  <c r="I134" i="7"/>
  <c r="AN133" i="7"/>
  <c r="AL133" i="7"/>
  <c r="AJ133" i="7"/>
  <c r="AK133" i="7" s="1"/>
  <c r="Z133" i="7"/>
  <c r="X133" i="7"/>
  <c r="V133" i="7"/>
  <c r="W133" i="7" s="1"/>
  <c r="M133" i="7"/>
  <c r="K133" i="7"/>
  <c r="I133" i="7"/>
  <c r="AN132" i="7"/>
  <c r="AL132" i="7"/>
  <c r="AJ132" i="7"/>
  <c r="Z132" i="7"/>
  <c r="X132" i="7"/>
  <c r="V132" i="7"/>
  <c r="W132" i="7" s="1"/>
  <c r="M132" i="7"/>
  <c r="K132" i="7"/>
  <c r="I132" i="7"/>
  <c r="AN131" i="7"/>
  <c r="AL131" i="7"/>
  <c r="AJ131" i="7"/>
  <c r="AK131" i="7" s="1"/>
  <c r="Z131" i="7"/>
  <c r="X131" i="7"/>
  <c r="V131" i="7"/>
  <c r="W131" i="7" s="1"/>
  <c r="M131" i="7"/>
  <c r="K131" i="7"/>
  <c r="I131" i="7"/>
  <c r="AN130" i="7"/>
  <c r="AL130" i="7"/>
  <c r="AJ130" i="7"/>
  <c r="AK130" i="7" s="1"/>
  <c r="Z130" i="7"/>
  <c r="X130" i="7"/>
  <c r="V130" i="7"/>
  <c r="W130" i="7" s="1"/>
  <c r="M130" i="7"/>
  <c r="K130" i="7"/>
  <c r="I130" i="7"/>
  <c r="AN129" i="7"/>
  <c r="AL129" i="7"/>
  <c r="AJ129" i="7"/>
  <c r="AK129" i="7" s="1"/>
  <c r="Z129" i="7"/>
  <c r="X129" i="7"/>
  <c r="V129" i="7"/>
  <c r="W129" i="7" s="1"/>
  <c r="M129" i="7"/>
  <c r="K129" i="7"/>
  <c r="I129" i="7"/>
  <c r="AN128" i="7"/>
  <c r="AL128" i="7"/>
  <c r="AJ128" i="7"/>
  <c r="AK128" i="7" s="1"/>
  <c r="Z128" i="7"/>
  <c r="X128" i="7"/>
  <c r="V128" i="7"/>
  <c r="W128" i="7" s="1"/>
  <c r="M128" i="7"/>
  <c r="K128" i="7"/>
  <c r="I128" i="7"/>
  <c r="AN127" i="7"/>
  <c r="AL127" i="7"/>
  <c r="AJ127" i="7"/>
  <c r="AK127" i="7" s="1"/>
  <c r="Z127" i="7"/>
  <c r="X127" i="7"/>
  <c r="V127" i="7"/>
  <c r="W127" i="7" s="1"/>
  <c r="M127" i="7"/>
  <c r="K127" i="7"/>
  <c r="I127" i="7"/>
  <c r="AN126" i="7"/>
  <c r="AL126" i="7"/>
  <c r="AJ126" i="7"/>
  <c r="AK126" i="7" s="1"/>
  <c r="Z126" i="7"/>
  <c r="X126" i="7"/>
  <c r="V126" i="7"/>
  <c r="M126" i="7"/>
  <c r="K126" i="7"/>
  <c r="I126" i="7"/>
  <c r="AN125" i="7"/>
  <c r="AL125" i="7"/>
  <c r="AJ125" i="7"/>
  <c r="AK125" i="7" s="1"/>
  <c r="Z125" i="7"/>
  <c r="X125" i="7"/>
  <c r="V125" i="7"/>
  <c r="W125" i="7" s="1"/>
  <c r="M125" i="7"/>
  <c r="K125" i="7"/>
  <c r="I125" i="7"/>
  <c r="AN124" i="7"/>
  <c r="AL124" i="7"/>
  <c r="AJ124" i="7"/>
  <c r="AK124" i="7" s="1"/>
  <c r="Z124" i="7"/>
  <c r="X124" i="7"/>
  <c r="V124" i="7"/>
  <c r="W124" i="7" s="1"/>
  <c r="M124" i="7"/>
  <c r="K124" i="7"/>
  <c r="I124" i="7"/>
  <c r="AN123" i="7"/>
  <c r="AL123" i="7"/>
  <c r="AJ123" i="7"/>
  <c r="AK123" i="7" s="1"/>
  <c r="Z123" i="7"/>
  <c r="X123" i="7"/>
  <c r="V123" i="7"/>
  <c r="W123" i="7" s="1"/>
  <c r="M123" i="7"/>
  <c r="K123" i="7"/>
  <c r="I123" i="7"/>
  <c r="AN122" i="7"/>
  <c r="AL122" i="7"/>
  <c r="AJ122" i="7"/>
  <c r="AK122" i="7" s="1"/>
  <c r="Z122" i="7"/>
  <c r="X122" i="7"/>
  <c r="V122" i="7"/>
  <c r="W122" i="7" s="1"/>
  <c r="M122" i="7"/>
  <c r="K122" i="7"/>
  <c r="I122" i="7"/>
  <c r="AN121" i="7"/>
  <c r="AL121" i="7"/>
  <c r="AJ121" i="7"/>
  <c r="AK121" i="7" s="1"/>
  <c r="Z121" i="7"/>
  <c r="X121" i="7"/>
  <c r="V121" i="7"/>
  <c r="M121" i="7"/>
  <c r="K121" i="7"/>
  <c r="I121" i="7"/>
  <c r="AN120" i="7"/>
  <c r="AL120" i="7"/>
  <c r="AJ120" i="7"/>
  <c r="Z120" i="7"/>
  <c r="X120" i="7"/>
  <c r="V120" i="7"/>
  <c r="W120" i="7" s="1"/>
  <c r="M120" i="7"/>
  <c r="K120" i="7"/>
  <c r="I120" i="7"/>
  <c r="AN119" i="7"/>
  <c r="AL119" i="7"/>
  <c r="AJ119" i="7"/>
  <c r="AK119" i="7" s="1"/>
  <c r="Z119" i="7"/>
  <c r="X119" i="7"/>
  <c r="V119" i="7"/>
  <c r="W119" i="7" s="1"/>
  <c r="M119" i="7"/>
  <c r="K119" i="7"/>
  <c r="I119" i="7"/>
  <c r="AN118" i="7"/>
  <c r="AL118" i="7"/>
  <c r="AJ118" i="7"/>
  <c r="AK118" i="7" s="1"/>
  <c r="Z118" i="7"/>
  <c r="X118" i="7"/>
  <c r="V118" i="7"/>
  <c r="W118" i="7" s="1"/>
  <c r="M118" i="7"/>
  <c r="K118" i="7"/>
  <c r="I118" i="7"/>
  <c r="AN117" i="7"/>
  <c r="AL117" i="7"/>
  <c r="AJ117" i="7"/>
  <c r="AK117" i="7" s="1"/>
  <c r="Z117" i="7"/>
  <c r="X117" i="7"/>
  <c r="V117" i="7"/>
  <c r="W117" i="7" s="1"/>
  <c r="M117" i="7"/>
  <c r="K117" i="7"/>
  <c r="I117" i="7"/>
  <c r="AN116" i="7"/>
  <c r="AL116" i="7"/>
  <c r="AJ116" i="7"/>
  <c r="AK116" i="7" s="1"/>
  <c r="Z116" i="7"/>
  <c r="X116" i="7"/>
  <c r="V116" i="7"/>
  <c r="W116" i="7" s="1"/>
  <c r="M116" i="7"/>
  <c r="K116" i="7"/>
  <c r="I116" i="7"/>
  <c r="AN115" i="7"/>
  <c r="AL115" i="7"/>
  <c r="AJ115" i="7"/>
  <c r="Z115" i="7"/>
  <c r="X115" i="7"/>
  <c r="V115" i="7"/>
  <c r="W115" i="7" s="1"/>
  <c r="M115" i="7"/>
  <c r="K115" i="7"/>
  <c r="I115" i="7"/>
  <c r="AN114" i="7"/>
  <c r="AL114" i="7"/>
  <c r="AJ114" i="7"/>
  <c r="AK114" i="7" s="1"/>
  <c r="Z114" i="7"/>
  <c r="X114" i="7"/>
  <c r="V114" i="7"/>
  <c r="W114" i="7" s="1"/>
  <c r="M114" i="7"/>
  <c r="K114" i="7"/>
  <c r="I114" i="7"/>
  <c r="AN113" i="7"/>
  <c r="AL113" i="7"/>
  <c r="AJ113" i="7"/>
  <c r="AK113" i="7" s="1"/>
  <c r="Z113" i="7"/>
  <c r="X113" i="7"/>
  <c r="V113" i="7"/>
  <c r="W113" i="7" s="1"/>
  <c r="M113" i="7"/>
  <c r="K113" i="7"/>
  <c r="I113" i="7"/>
  <c r="AN112" i="7"/>
  <c r="AL112" i="7"/>
  <c r="AJ112" i="7"/>
  <c r="AK112" i="7" s="1"/>
  <c r="Z112" i="7"/>
  <c r="X112" i="7"/>
  <c r="V112" i="7"/>
  <c r="W112" i="7" s="1"/>
  <c r="M112" i="7"/>
  <c r="K112" i="7"/>
  <c r="I112" i="7"/>
  <c r="AN111" i="7"/>
  <c r="AL111" i="7"/>
  <c r="AJ111" i="7"/>
  <c r="AK111" i="7" s="1"/>
  <c r="Z111" i="7"/>
  <c r="X111" i="7"/>
  <c r="V111" i="7"/>
  <c r="W111" i="7" s="1"/>
  <c r="M111" i="7"/>
  <c r="K111" i="7"/>
  <c r="I111" i="7"/>
  <c r="AN110" i="7"/>
  <c r="AL110" i="7"/>
  <c r="AJ110" i="7"/>
  <c r="AK110" i="7" s="1"/>
  <c r="Z110" i="7"/>
  <c r="X110" i="7"/>
  <c r="V110" i="7"/>
  <c r="W110" i="7" s="1"/>
  <c r="M110" i="7"/>
  <c r="K110" i="7"/>
  <c r="I110" i="7"/>
  <c r="AN109" i="7"/>
  <c r="AL109" i="7"/>
  <c r="AJ109" i="7"/>
  <c r="AK109" i="7" s="1"/>
  <c r="Z109" i="7"/>
  <c r="X109" i="7"/>
  <c r="V109" i="7"/>
  <c r="W109" i="7" s="1"/>
  <c r="M109" i="7"/>
  <c r="K109" i="7"/>
  <c r="I109" i="7"/>
  <c r="AN108" i="7"/>
  <c r="AL108" i="7"/>
  <c r="AJ108" i="7"/>
  <c r="Z108" i="7"/>
  <c r="X108" i="7"/>
  <c r="V108" i="7"/>
  <c r="W108" i="7" s="1"/>
  <c r="M108" i="7"/>
  <c r="K108" i="7"/>
  <c r="I108" i="7"/>
  <c r="AN107" i="7"/>
  <c r="AL107" i="7"/>
  <c r="AJ107" i="7"/>
  <c r="AK107" i="7" s="1"/>
  <c r="Z107" i="7"/>
  <c r="X107" i="7"/>
  <c r="V107" i="7"/>
  <c r="W107" i="7" s="1"/>
  <c r="M107" i="7"/>
  <c r="K107" i="7"/>
  <c r="I107" i="7"/>
  <c r="AN106" i="7"/>
  <c r="AL106" i="7"/>
  <c r="AJ106" i="7"/>
  <c r="AK106" i="7" s="1"/>
  <c r="Z106" i="7"/>
  <c r="X106" i="7"/>
  <c r="V106" i="7"/>
  <c r="W106" i="7" s="1"/>
  <c r="M106" i="7"/>
  <c r="K106" i="7"/>
  <c r="I106" i="7"/>
  <c r="AN105" i="7"/>
  <c r="AL105" i="7"/>
  <c r="AJ105" i="7"/>
  <c r="AK105" i="7" s="1"/>
  <c r="Z105" i="7"/>
  <c r="X105" i="7"/>
  <c r="V105" i="7"/>
  <c r="W105" i="7" s="1"/>
  <c r="M105" i="7"/>
  <c r="K105" i="7"/>
  <c r="I105" i="7"/>
  <c r="AN104" i="7"/>
  <c r="AL104" i="7"/>
  <c r="AJ104" i="7"/>
  <c r="AK104" i="7" s="1"/>
  <c r="Z104" i="7"/>
  <c r="X104" i="7"/>
  <c r="V104" i="7"/>
  <c r="W104" i="7" s="1"/>
  <c r="M104" i="7"/>
  <c r="K104" i="7"/>
  <c r="I104" i="7"/>
  <c r="AN103" i="7"/>
  <c r="AL103" i="7"/>
  <c r="AJ103" i="7"/>
  <c r="AK103" i="7" s="1"/>
  <c r="Z103" i="7"/>
  <c r="X103" i="7"/>
  <c r="V103" i="7"/>
  <c r="W103" i="7" s="1"/>
  <c r="M103" i="7"/>
  <c r="K103" i="7"/>
  <c r="I103" i="7"/>
  <c r="AN102" i="7"/>
  <c r="AL102" i="7"/>
  <c r="AJ102" i="7"/>
  <c r="AK102" i="7" s="1"/>
  <c r="Z102" i="7"/>
  <c r="X102" i="7"/>
  <c r="V102" i="7"/>
  <c r="W102" i="7" s="1"/>
  <c r="M102" i="7"/>
  <c r="K102" i="7"/>
  <c r="I102" i="7"/>
  <c r="AN101" i="7"/>
  <c r="AL101" i="7"/>
  <c r="AJ101" i="7"/>
  <c r="AK101" i="7" s="1"/>
  <c r="Z101" i="7"/>
  <c r="X101" i="7"/>
  <c r="V101" i="7"/>
  <c r="W101" i="7" s="1"/>
  <c r="M101" i="7"/>
  <c r="K101" i="7"/>
  <c r="I101" i="7"/>
  <c r="AN100" i="7"/>
  <c r="AL100" i="7"/>
  <c r="AJ100" i="7"/>
  <c r="AK100" i="7" s="1"/>
  <c r="Z100" i="7"/>
  <c r="X100" i="7"/>
  <c r="V100" i="7"/>
  <c r="W100" i="7" s="1"/>
  <c r="M100" i="7"/>
  <c r="K100" i="7"/>
  <c r="I100" i="7"/>
  <c r="AN99" i="7"/>
  <c r="AL99" i="7"/>
  <c r="AJ99" i="7"/>
  <c r="AK99" i="7" s="1"/>
  <c r="AA99" i="7"/>
  <c r="Y99" i="7"/>
  <c r="W99" i="7"/>
  <c r="M99" i="7"/>
  <c r="K99" i="7"/>
  <c r="I99" i="7"/>
  <c r="AN98" i="7"/>
  <c r="AL98" i="7"/>
  <c r="AJ98" i="7"/>
  <c r="AK98" i="7" s="1"/>
  <c r="Z98" i="7"/>
  <c r="X98" i="7"/>
  <c r="V98" i="7"/>
  <c r="W98" i="7" s="1"/>
  <c r="M98" i="7"/>
  <c r="K98" i="7"/>
  <c r="I98" i="7"/>
  <c r="AN97" i="7"/>
  <c r="AL97" i="7"/>
  <c r="AJ97" i="7"/>
  <c r="AK97" i="7" s="1"/>
  <c r="AA97" i="7"/>
  <c r="Y97" i="7"/>
  <c r="W97" i="7"/>
  <c r="M97" i="7"/>
  <c r="K97" i="7"/>
  <c r="I97" i="7"/>
  <c r="AN96" i="7"/>
  <c r="AL96" i="7"/>
  <c r="AJ96" i="7"/>
  <c r="Z96" i="7"/>
  <c r="X96" i="7"/>
  <c r="V96" i="7"/>
  <c r="W96" i="7" s="1"/>
  <c r="M96" i="7"/>
  <c r="K96" i="7"/>
  <c r="I96" i="7"/>
  <c r="AN95" i="7"/>
  <c r="AL95" i="7"/>
  <c r="AJ95" i="7"/>
  <c r="AK95" i="7" s="1"/>
  <c r="Z95" i="7"/>
  <c r="X95" i="7"/>
  <c r="V95" i="7"/>
  <c r="W95" i="7" s="1"/>
  <c r="M95" i="7"/>
  <c r="K95" i="7"/>
  <c r="I95" i="7"/>
  <c r="AN94" i="7"/>
  <c r="AL94" i="7"/>
  <c r="AJ94" i="7"/>
  <c r="AK94" i="7" s="1"/>
  <c r="Z94" i="7"/>
  <c r="X94" i="7"/>
  <c r="V94" i="7"/>
  <c r="W94" i="7" s="1"/>
  <c r="M94" i="7"/>
  <c r="K94" i="7"/>
  <c r="I94" i="7"/>
  <c r="AN93" i="7"/>
  <c r="AL93" i="7"/>
  <c r="AJ93" i="7"/>
  <c r="AK93" i="7" s="1"/>
  <c r="Z93" i="7"/>
  <c r="X93" i="7"/>
  <c r="V93" i="7"/>
  <c r="W93" i="7" s="1"/>
  <c r="M93" i="7"/>
  <c r="K93" i="7"/>
  <c r="I93" i="7"/>
  <c r="AN92" i="7"/>
  <c r="AL92" i="7"/>
  <c r="AJ92" i="7"/>
  <c r="AK92" i="7" s="1"/>
  <c r="AA92" i="7"/>
  <c r="Y92" i="7"/>
  <c r="W92" i="7"/>
  <c r="M92" i="7"/>
  <c r="K92" i="7"/>
  <c r="I92" i="7"/>
  <c r="AN91" i="7"/>
  <c r="AL91" i="7"/>
  <c r="AJ91" i="7"/>
  <c r="Z91" i="7"/>
  <c r="X91" i="7"/>
  <c r="V91" i="7"/>
  <c r="W91" i="7" s="1"/>
  <c r="M91" i="7"/>
  <c r="K91" i="7"/>
  <c r="I91" i="7"/>
  <c r="AN90" i="7"/>
  <c r="AL90" i="7"/>
  <c r="AJ90" i="7"/>
  <c r="AK90" i="7" s="1"/>
  <c r="Z90" i="7"/>
  <c r="X90" i="7"/>
  <c r="V90" i="7"/>
  <c r="M90" i="7"/>
  <c r="K90" i="7"/>
  <c r="I90" i="7"/>
  <c r="AN89" i="7"/>
  <c r="AL89" i="7"/>
  <c r="AJ89" i="7"/>
  <c r="AK89" i="7" s="1"/>
  <c r="Z89" i="7"/>
  <c r="X89" i="7"/>
  <c r="V89" i="7"/>
  <c r="W89" i="7" s="1"/>
  <c r="M89" i="7"/>
  <c r="K89" i="7"/>
  <c r="I89" i="7"/>
  <c r="AN88" i="7"/>
  <c r="AL88" i="7"/>
  <c r="AJ88" i="7"/>
  <c r="AK88" i="7" s="1"/>
  <c r="Z88" i="7"/>
  <c r="X88" i="7"/>
  <c r="V88" i="7"/>
  <c r="W88" i="7" s="1"/>
  <c r="M88" i="7"/>
  <c r="K88" i="7"/>
  <c r="I88" i="7"/>
  <c r="AN87" i="7"/>
  <c r="AL87" i="7"/>
  <c r="AJ87" i="7"/>
  <c r="AK87" i="7" s="1"/>
  <c r="Z87" i="7"/>
  <c r="X87" i="7"/>
  <c r="V87" i="7"/>
  <c r="W87" i="7" s="1"/>
  <c r="M87" i="7"/>
  <c r="K87" i="7"/>
  <c r="I87" i="7"/>
  <c r="AN86" i="7"/>
  <c r="AL86" i="7"/>
  <c r="AJ86" i="7"/>
  <c r="AK86" i="7" s="1"/>
  <c r="Z86" i="7"/>
  <c r="X86" i="7"/>
  <c r="V86" i="7"/>
  <c r="W86" i="7" s="1"/>
  <c r="M86" i="7"/>
  <c r="K86" i="7"/>
  <c r="I86" i="7"/>
  <c r="AN85" i="7"/>
  <c r="AL85" i="7"/>
  <c r="AJ85" i="7"/>
  <c r="AK85" i="7" s="1"/>
  <c r="Z85" i="7"/>
  <c r="X85" i="7"/>
  <c r="V85" i="7"/>
  <c r="M85" i="7"/>
  <c r="K85" i="7"/>
  <c r="I85" i="7"/>
  <c r="AN84" i="7"/>
  <c r="AL84" i="7"/>
  <c r="AJ84" i="7"/>
  <c r="AK84" i="7" s="1"/>
  <c r="Z84" i="7"/>
  <c r="X84" i="7"/>
  <c r="V84" i="7"/>
  <c r="W84" i="7" s="1"/>
  <c r="M84" i="7"/>
  <c r="K84" i="7"/>
  <c r="I84" i="7"/>
  <c r="AN83" i="7"/>
  <c r="AL83" i="7"/>
  <c r="AJ83" i="7"/>
  <c r="AK83" i="7" s="1"/>
  <c r="Z83" i="7"/>
  <c r="X83" i="7"/>
  <c r="V83" i="7"/>
  <c r="W83" i="7" s="1"/>
  <c r="M83" i="7"/>
  <c r="K83" i="7"/>
  <c r="I83" i="7"/>
  <c r="AN82" i="7"/>
  <c r="AL82" i="7"/>
  <c r="AJ82" i="7"/>
  <c r="AK82" i="7" s="1"/>
  <c r="Z82" i="7"/>
  <c r="X82" i="7"/>
  <c r="V82" i="7"/>
  <c r="M82" i="7"/>
  <c r="K82" i="7"/>
  <c r="I82" i="7"/>
  <c r="AN81" i="7"/>
  <c r="AL81" i="7"/>
  <c r="AJ81" i="7"/>
  <c r="Z81" i="7"/>
  <c r="X81" i="7"/>
  <c r="V81" i="7"/>
  <c r="W81" i="7" s="1"/>
  <c r="M81" i="7"/>
  <c r="K81" i="7"/>
  <c r="I81" i="7"/>
  <c r="AN80" i="7"/>
  <c r="AL80" i="7"/>
  <c r="AJ80" i="7"/>
  <c r="AK80" i="7" s="1"/>
  <c r="Z80" i="7"/>
  <c r="X80" i="7"/>
  <c r="V80" i="7"/>
  <c r="W80" i="7" s="1"/>
  <c r="M80" i="7"/>
  <c r="K80" i="7"/>
  <c r="I80" i="7"/>
  <c r="AN79" i="7"/>
  <c r="AL79" i="7"/>
  <c r="AJ79" i="7"/>
  <c r="AK79" i="7" s="1"/>
  <c r="Z79" i="7"/>
  <c r="X79" i="7"/>
  <c r="V79" i="7"/>
  <c r="W79" i="7" s="1"/>
  <c r="M79" i="7"/>
  <c r="K79" i="7"/>
  <c r="I79" i="7"/>
  <c r="AN78" i="7"/>
  <c r="AL78" i="7"/>
  <c r="AJ78" i="7"/>
  <c r="AK78" i="7" s="1"/>
  <c r="Z78" i="7"/>
  <c r="X78" i="7"/>
  <c r="V78" i="7"/>
  <c r="M78" i="7"/>
  <c r="K78" i="7"/>
  <c r="I78" i="7"/>
  <c r="AN77" i="7"/>
  <c r="AL77" i="7"/>
  <c r="AJ77" i="7"/>
  <c r="Z77" i="7"/>
  <c r="X77" i="7"/>
  <c r="V77" i="7"/>
  <c r="W77" i="7" s="1"/>
  <c r="M77" i="7"/>
  <c r="K77" i="7"/>
  <c r="I77" i="7"/>
  <c r="AN76" i="7"/>
  <c r="AL76" i="7"/>
  <c r="AJ76" i="7"/>
  <c r="AK76" i="7" s="1"/>
  <c r="Z76" i="7"/>
  <c r="X76" i="7"/>
  <c r="V76" i="7"/>
  <c r="M76" i="7"/>
  <c r="K76" i="7"/>
  <c r="I76" i="7"/>
  <c r="AN75" i="7"/>
  <c r="AL75" i="7"/>
  <c r="AJ75" i="7"/>
  <c r="AK75" i="7" s="1"/>
  <c r="Z75" i="7"/>
  <c r="X75" i="7"/>
  <c r="V75" i="7"/>
  <c r="W75" i="7" s="1"/>
  <c r="M75" i="7"/>
  <c r="K75" i="7"/>
  <c r="I75" i="7"/>
  <c r="AN74" i="7"/>
  <c r="AL74" i="7"/>
  <c r="AJ74" i="7"/>
  <c r="AK74" i="7" s="1"/>
  <c r="Z74" i="7"/>
  <c r="X74" i="7"/>
  <c r="V74" i="7"/>
  <c r="M74" i="7"/>
  <c r="K74" i="7"/>
  <c r="I74" i="7"/>
  <c r="AN73" i="7"/>
  <c r="AL73" i="7"/>
  <c r="AJ73" i="7"/>
  <c r="AK73" i="7" s="1"/>
  <c r="Z73" i="7"/>
  <c r="X73" i="7"/>
  <c r="V73" i="7"/>
  <c r="W73" i="7" s="1"/>
  <c r="M73" i="7"/>
  <c r="K73" i="7"/>
  <c r="I73" i="7"/>
  <c r="AN72" i="7"/>
  <c r="AL72" i="7"/>
  <c r="AJ72" i="7"/>
  <c r="AK72" i="7" s="1"/>
  <c r="Z72" i="7"/>
  <c r="X72" i="7"/>
  <c r="V72" i="7"/>
  <c r="W72" i="7" s="1"/>
  <c r="M72" i="7"/>
  <c r="K72" i="7"/>
  <c r="I72" i="7"/>
  <c r="AN71" i="7"/>
  <c r="AL71" i="7"/>
  <c r="AJ71" i="7"/>
  <c r="AK71" i="7" s="1"/>
  <c r="AA71" i="7"/>
  <c r="Y71" i="7"/>
  <c r="W71" i="7"/>
  <c r="M71" i="7"/>
  <c r="K71" i="7"/>
  <c r="I71" i="7"/>
  <c r="AN70" i="7"/>
  <c r="AL70" i="7"/>
  <c r="AJ70" i="7"/>
  <c r="AK70" i="7" s="1"/>
  <c r="Z70" i="7"/>
  <c r="X70" i="7"/>
  <c r="V70" i="7"/>
  <c r="W70" i="7" s="1"/>
  <c r="M70" i="7"/>
  <c r="K70" i="7"/>
  <c r="I70" i="7"/>
  <c r="AN69" i="7"/>
  <c r="AL69" i="7"/>
  <c r="AJ69" i="7"/>
  <c r="AK69" i="7" s="1"/>
  <c r="Z69" i="7"/>
  <c r="X69" i="7"/>
  <c r="V69" i="7"/>
  <c r="W69" i="7" s="1"/>
  <c r="M69" i="7"/>
  <c r="K69" i="7"/>
  <c r="I69" i="7"/>
  <c r="AN68" i="7"/>
  <c r="AL68" i="7"/>
  <c r="AJ68" i="7"/>
  <c r="AK68" i="7" s="1"/>
  <c r="Z68" i="7"/>
  <c r="X68" i="7"/>
  <c r="V68" i="7"/>
  <c r="M68" i="7"/>
  <c r="K68" i="7"/>
  <c r="I68" i="7"/>
  <c r="AN67" i="7"/>
  <c r="AL67" i="7"/>
  <c r="AJ67" i="7"/>
  <c r="AK67" i="7" s="1"/>
  <c r="Z67" i="7"/>
  <c r="X67" i="7"/>
  <c r="V67" i="7"/>
  <c r="M67" i="7"/>
  <c r="K67" i="7"/>
  <c r="I67" i="7"/>
  <c r="AN66" i="7"/>
  <c r="AL66" i="7"/>
  <c r="AJ66" i="7"/>
  <c r="AK66" i="7" s="1"/>
  <c r="Z66" i="7"/>
  <c r="X66" i="7"/>
  <c r="V66" i="7"/>
  <c r="M66" i="7"/>
  <c r="K66" i="7"/>
  <c r="I66" i="7"/>
  <c r="AN65" i="7"/>
  <c r="AL65" i="7"/>
  <c r="AJ65" i="7"/>
  <c r="AK65" i="7" s="1"/>
  <c r="Z65" i="7"/>
  <c r="X65" i="7"/>
  <c r="V65" i="7"/>
  <c r="W65" i="7" s="1"/>
  <c r="M65" i="7"/>
  <c r="K65" i="7"/>
  <c r="I65" i="7"/>
  <c r="AN64" i="7"/>
  <c r="AL64" i="7"/>
  <c r="AJ64" i="7"/>
  <c r="AK64" i="7" s="1"/>
  <c r="Z64" i="7"/>
  <c r="X64" i="7"/>
  <c r="V64" i="7"/>
  <c r="M64" i="7"/>
  <c r="K64" i="7"/>
  <c r="I64" i="7"/>
  <c r="AN63" i="7"/>
  <c r="AL63" i="7"/>
  <c r="AJ63" i="7"/>
  <c r="AK63" i="7" s="1"/>
  <c r="Z63" i="7"/>
  <c r="X63" i="7"/>
  <c r="V63" i="7"/>
  <c r="W63" i="7" s="1"/>
  <c r="M63" i="7"/>
  <c r="K63" i="7"/>
  <c r="I63" i="7"/>
  <c r="AN62" i="7"/>
  <c r="AL62" i="7"/>
  <c r="AJ62" i="7"/>
  <c r="AK62" i="7" s="1"/>
  <c r="Z62" i="7"/>
  <c r="X62" i="7"/>
  <c r="V62" i="7"/>
  <c r="W62" i="7" s="1"/>
  <c r="M62" i="7"/>
  <c r="K62" i="7"/>
  <c r="I62" i="7"/>
  <c r="AN61" i="7"/>
  <c r="AL61" i="7"/>
  <c r="AJ61" i="7"/>
  <c r="Z61" i="7"/>
  <c r="X61" i="7"/>
  <c r="V61" i="7"/>
  <c r="W61" i="7" s="1"/>
  <c r="M61" i="7"/>
  <c r="K61" i="7"/>
  <c r="I61" i="7"/>
  <c r="AN60" i="7"/>
  <c r="AL60" i="7"/>
  <c r="AJ60" i="7"/>
  <c r="AK60" i="7" s="1"/>
  <c r="Z60" i="7"/>
  <c r="X60" i="7"/>
  <c r="V60" i="7"/>
  <c r="M60" i="7"/>
  <c r="K60" i="7"/>
  <c r="I60" i="7"/>
  <c r="AN59" i="7"/>
  <c r="AL59" i="7"/>
  <c r="AJ59" i="7"/>
  <c r="AK59" i="7" s="1"/>
  <c r="Z59" i="7"/>
  <c r="X59" i="7"/>
  <c r="V59" i="7"/>
  <c r="M59" i="7"/>
  <c r="K59" i="7"/>
  <c r="I59" i="7"/>
  <c r="AN58" i="7"/>
  <c r="AL58" i="7"/>
  <c r="AJ58" i="7"/>
  <c r="AK58" i="7" s="1"/>
  <c r="Z58" i="7"/>
  <c r="X58" i="7"/>
  <c r="V58" i="7"/>
  <c r="W58" i="7" s="1"/>
  <c r="M58" i="7"/>
  <c r="K58" i="7"/>
  <c r="I58" i="7"/>
  <c r="AN57" i="7"/>
  <c r="AL57" i="7"/>
  <c r="AJ57" i="7"/>
  <c r="AK57" i="7" s="1"/>
  <c r="Z57" i="7"/>
  <c r="X57" i="7"/>
  <c r="V57" i="7"/>
  <c r="W57" i="7" s="1"/>
  <c r="M57" i="7"/>
  <c r="K57" i="7"/>
  <c r="I57" i="7"/>
  <c r="AN56" i="7"/>
  <c r="AL56" i="7"/>
  <c r="AJ56" i="7"/>
  <c r="AK56" i="7" s="1"/>
  <c r="Z56" i="7"/>
  <c r="X56" i="7"/>
  <c r="V56" i="7"/>
  <c r="M56" i="7"/>
  <c r="K56" i="7"/>
  <c r="I56" i="7"/>
  <c r="AN55" i="7"/>
  <c r="AL55" i="7"/>
  <c r="AJ55" i="7"/>
  <c r="AK55" i="7" s="1"/>
  <c r="AA55" i="7"/>
  <c r="Y55" i="7"/>
  <c r="W55" i="7"/>
  <c r="M55" i="7"/>
  <c r="K55" i="7"/>
  <c r="I55" i="7"/>
  <c r="AN54" i="7"/>
  <c r="AL54" i="7"/>
  <c r="AJ54" i="7"/>
  <c r="AK54" i="7" s="1"/>
  <c r="AA54" i="7"/>
  <c r="Y54" i="7"/>
  <c r="W54" i="7"/>
  <c r="M54" i="7"/>
  <c r="K54" i="7"/>
  <c r="I54" i="7"/>
  <c r="AN53" i="7"/>
  <c r="AL53" i="7"/>
  <c r="AJ53" i="7"/>
  <c r="AK53" i="7" s="1"/>
  <c r="Z53" i="7"/>
  <c r="X53" i="7"/>
  <c r="V53" i="7"/>
  <c r="W53" i="7" s="1"/>
  <c r="M53" i="7"/>
  <c r="K53" i="7"/>
  <c r="I53" i="7"/>
  <c r="AN52" i="7"/>
  <c r="AL52" i="7"/>
  <c r="AJ52" i="7"/>
  <c r="Z52" i="7"/>
  <c r="X52" i="7"/>
  <c r="V52" i="7"/>
  <c r="W52" i="7" s="1"/>
  <c r="M52" i="7"/>
  <c r="K52" i="7"/>
  <c r="I52" i="7"/>
  <c r="AN51" i="7"/>
  <c r="AL51" i="7"/>
  <c r="AJ51" i="7"/>
  <c r="AK51" i="7" s="1"/>
  <c r="Z51" i="7"/>
  <c r="X51" i="7"/>
  <c r="V51" i="7"/>
  <c r="W51" i="7" s="1"/>
  <c r="M51" i="7"/>
  <c r="K51" i="7"/>
  <c r="I51" i="7"/>
  <c r="AN50" i="7"/>
  <c r="AL50" i="7"/>
  <c r="AJ50" i="7"/>
  <c r="AK50" i="7" s="1"/>
  <c r="Z50" i="7"/>
  <c r="X50" i="7"/>
  <c r="V50" i="7"/>
  <c r="W50" i="7" s="1"/>
  <c r="M50" i="7"/>
  <c r="K50" i="7"/>
  <c r="I50" i="7"/>
  <c r="AN49" i="7"/>
  <c r="AL49" i="7"/>
  <c r="AJ49" i="7"/>
  <c r="AK49" i="7" s="1"/>
  <c r="Z49" i="7"/>
  <c r="X49" i="7"/>
  <c r="V49" i="7"/>
  <c r="W49" i="7" s="1"/>
  <c r="M49" i="7"/>
  <c r="K49" i="7"/>
  <c r="I49" i="7"/>
  <c r="AN48" i="7"/>
  <c r="AL48" i="7"/>
  <c r="AJ48" i="7"/>
  <c r="AK48" i="7" s="1"/>
  <c r="Z48" i="7"/>
  <c r="X48" i="7"/>
  <c r="V48" i="7"/>
  <c r="W48" i="7" s="1"/>
  <c r="M48" i="7"/>
  <c r="K48" i="7"/>
  <c r="I48" i="7"/>
  <c r="AN47" i="7"/>
  <c r="AL47" i="7"/>
  <c r="AJ47" i="7"/>
  <c r="AK47" i="7" s="1"/>
  <c r="Z47" i="7"/>
  <c r="X47" i="7"/>
  <c r="V47" i="7"/>
  <c r="W47" i="7" s="1"/>
  <c r="M47" i="7"/>
  <c r="K47" i="7"/>
  <c r="I47" i="7"/>
  <c r="AN46" i="7"/>
  <c r="AL46" i="7"/>
  <c r="AJ46" i="7"/>
  <c r="AK46" i="7" s="1"/>
  <c r="Z46" i="7"/>
  <c r="X46" i="7"/>
  <c r="V46" i="7"/>
  <c r="W46" i="7" s="1"/>
  <c r="M46" i="7"/>
  <c r="K46" i="7"/>
  <c r="I46" i="7"/>
  <c r="AN45" i="7"/>
  <c r="AL45" i="7"/>
  <c r="AJ45" i="7"/>
  <c r="AK45" i="7" s="1"/>
  <c r="Z45" i="7"/>
  <c r="X45" i="7"/>
  <c r="V45" i="7"/>
  <c r="W45" i="7" s="1"/>
  <c r="M45" i="7"/>
  <c r="K45" i="7"/>
  <c r="I45" i="7"/>
  <c r="AN44" i="7"/>
  <c r="AL44" i="7"/>
  <c r="AJ44" i="7"/>
  <c r="AK44" i="7" s="1"/>
  <c r="Z44" i="7"/>
  <c r="X44" i="7"/>
  <c r="V44" i="7"/>
  <c r="W44" i="7" s="1"/>
  <c r="M44" i="7"/>
  <c r="K44" i="7"/>
  <c r="I44" i="7"/>
  <c r="AN43" i="7"/>
  <c r="AL43" i="7"/>
  <c r="AJ43" i="7"/>
  <c r="AK43" i="7" s="1"/>
  <c r="Z43" i="7"/>
  <c r="X43" i="7"/>
  <c r="V43" i="7"/>
  <c r="W43" i="7" s="1"/>
  <c r="M43" i="7"/>
  <c r="K43" i="7"/>
  <c r="I43" i="7"/>
  <c r="AN42" i="7"/>
  <c r="AL42" i="7"/>
  <c r="AJ42" i="7"/>
  <c r="AK42" i="7" s="1"/>
  <c r="Z42" i="7"/>
  <c r="X42" i="7"/>
  <c r="V42" i="7"/>
  <c r="W42" i="7" s="1"/>
  <c r="M42" i="7"/>
  <c r="K42" i="7"/>
  <c r="I42" i="7"/>
  <c r="AN41" i="7"/>
  <c r="AL41" i="7"/>
  <c r="AJ41" i="7"/>
  <c r="Z41" i="7"/>
  <c r="X41" i="7"/>
  <c r="V41" i="7"/>
  <c r="W41" i="7" s="1"/>
  <c r="M41" i="7"/>
  <c r="K41" i="7"/>
  <c r="I41" i="7"/>
  <c r="AN40" i="7"/>
  <c r="AL40" i="7"/>
  <c r="AJ40" i="7"/>
  <c r="AK40" i="7" s="1"/>
  <c r="Z40" i="7"/>
  <c r="X40" i="7"/>
  <c r="V40" i="7"/>
  <c r="W40" i="7" s="1"/>
  <c r="M40" i="7"/>
  <c r="K40" i="7"/>
  <c r="I40" i="7"/>
  <c r="AN39" i="7"/>
  <c r="AL39" i="7"/>
  <c r="AJ39" i="7"/>
  <c r="AK39" i="7" s="1"/>
  <c r="Z39" i="7"/>
  <c r="X39" i="7"/>
  <c r="V39" i="7"/>
  <c r="W39" i="7" s="1"/>
  <c r="M39" i="7"/>
  <c r="K39" i="7"/>
  <c r="I39" i="7"/>
  <c r="AN38" i="7"/>
  <c r="AL38" i="7"/>
  <c r="AJ38" i="7"/>
  <c r="AK38" i="7" s="1"/>
  <c r="Z38" i="7"/>
  <c r="X38" i="7"/>
  <c r="V38" i="7"/>
  <c r="W38" i="7" s="1"/>
  <c r="M38" i="7"/>
  <c r="K38" i="7"/>
  <c r="I38" i="7"/>
  <c r="AN37" i="7"/>
  <c r="AL37" i="7"/>
  <c r="AJ37" i="7"/>
  <c r="AK37" i="7" s="1"/>
  <c r="Z37" i="7"/>
  <c r="X37" i="7"/>
  <c r="V37" i="7"/>
  <c r="W37" i="7" s="1"/>
  <c r="M37" i="7"/>
  <c r="K37" i="7"/>
  <c r="I37" i="7"/>
  <c r="AN36" i="7"/>
  <c r="AL36" i="7"/>
  <c r="AJ36" i="7"/>
  <c r="AK36" i="7" s="1"/>
  <c r="Z36" i="7"/>
  <c r="X36" i="7"/>
  <c r="V36" i="7"/>
  <c r="W36" i="7" s="1"/>
  <c r="M36" i="7"/>
  <c r="K36" i="7"/>
  <c r="I36" i="7"/>
  <c r="AN35" i="7"/>
  <c r="AL35" i="7"/>
  <c r="AJ35" i="7"/>
  <c r="AK35" i="7" s="1"/>
  <c r="Z35" i="7"/>
  <c r="X35" i="7"/>
  <c r="V35" i="7"/>
  <c r="W35" i="7" s="1"/>
  <c r="M35" i="7"/>
  <c r="K35" i="7"/>
  <c r="I35" i="7"/>
  <c r="AN34" i="7"/>
  <c r="AL34" i="7"/>
  <c r="AJ34" i="7"/>
  <c r="AK34" i="7" s="1"/>
  <c r="Z34" i="7"/>
  <c r="X34" i="7"/>
  <c r="V34" i="7"/>
  <c r="W34" i="7" s="1"/>
  <c r="M34" i="7"/>
  <c r="K34" i="7"/>
  <c r="I34" i="7"/>
  <c r="AN33" i="7"/>
  <c r="AL33" i="7"/>
  <c r="AJ33" i="7"/>
  <c r="Z33" i="7"/>
  <c r="X33" i="7"/>
  <c r="V33" i="7"/>
  <c r="M33" i="7"/>
  <c r="K33" i="7"/>
  <c r="I33" i="7"/>
  <c r="AN32" i="7"/>
  <c r="AL32" i="7"/>
  <c r="AJ32" i="7"/>
  <c r="AK32" i="7" s="1"/>
  <c r="Z32" i="7"/>
  <c r="X32" i="7"/>
  <c r="V32" i="7"/>
  <c r="W32" i="7" s="1"/>
  <c r="M32" i="7"/>
  <c r="K32" i="7"/>
  <c r="I32" i="7"/>
  <c r="AN31" i="7"/>
  <c r="AL31" i="7"/>
  <c r="AJ31" i="7"/>
  <c r="AK31" i="7" s="1"/>
  <c r="Z31" i="7"/>
  <c r="X31" i="7"/>
  <c r="V31" i="7"/>
  <c r="W31" i="7" s="1"/>
  <c r="M31" i="7"/>
  <c r="K31" i="7"/>
  <c r="I31" i="7"/>
  <c r="AN30" i="7"/>
  <c r="AL30" i="7"/>
  <c r="AJ30" i="7"/>
  <c r="AK30" i="7" s="1"/>
  <c r="Z30" i="7"/>
  <c r="X30" i="7"/>
  <c r="V30" i="7"/>
  <c r="W30" i="7" s="1"/>
  <c r="M30" i="7"/>
  <c r="K30" i="7"/>
  <c r="I30" i="7"/>
  <c r="AN29" i="7"/>
  <c r="AL29" i="7"/>
  <c r="AJ29" i="7"/>
  <c r="AK29" i="7" s="1"/>
  <c r="Z29" i="7"/>
  <c r="X29" i="7"/>
  <c r="V29" i="7"/>
  <c r="W29" i="7" s="1"/>
  <c r="M29" i="7"/>
  <c r="K29" i="7"/>
  <c r="I29" i="7"/>
  <c r="AN28" i="7"/>
  <c r="AL28" i="7"/>
  <c r="AJ28" i="7"/>
  <c r="AK28" i="7" s="1"/>
  <c r="Z28" i="7"/>
  <c r="X28" i="7"/>
  <c r="V28" i="7"/>
  <c r="W28" i="7" s="1"/>
  <c r="M28" i="7"/>
  <c r="K28" i="7"/>
  <c r="I28" i="7"/>
  <c r="AN27" i="7"/>
  <c r="AL27" i="7"/>
  <c r="AJ27" i="7"/>
  <c r="AK27" i="7" s="1"/>
  <c r="Z27" i="7"/>
  <c r="X27" i="7"/>
  <c r="V27" i="7"/>
  <c r="W27" i="7" s="1"/>
  <c r="M27" i="7"/>
  <c r="K27" i="7"/>
  <c r="I27" i="7"/>
  <c r="AN26" i="7"/>
  <c r="AL26" i="7"/>
  <c r="AJ26" i="7"/>
  <c r="AK26" i="7" s="1"/>
  <c r="Z26" i="7"/>
  <c r="X26" i="7"/>
  <c r="V26" i="7"/>
  <c r="W26" i="7" s="1"/>
  <c r="M26" i="7"/>
  <c r="K26" i="7"/>
  <c r="I26" i="7"/>
  <c r="AN25" i="7"/>
  <c r="AL25" i="7"/>
  <c r="AJ25" i="7"/>
  <c r="AK25" i="7" s="1"/>
  <c r="Z25" i="7"/>
  <c r="X25" i="7"/>
  <c r="V25" i="7"/>
  <c r="W25" i="7" s="1"/>
  <c r="M25" i="7"/>
  <c r="K25" i="7"/>
  <c r="I25" i="7"/>
  <c r="AN24" i="7"/>
  <c r="AL24" i="7"/>
  <c r="AJ24" i="7"/>
  <c r="AK24" i="7" s="1"/>
  <c r="Z24" i="7"/>
  <c r="X24" i="7"/>
  <c r="V24" i="7"/>
  <c r="W24" i="7" s="1"/>
  <c r="M24" i="7"/>
  <c r="K24" i="7"/>
  <c r="I24" i="7"/>
  <c r="F18" i="7"/>
  <c r="F17" i="7"/>
  <c r="F16" i="7"/>
  <c r="AI15" i="7"/>
  <c r="AG15" i="7"/>
  <c r="U15" i="7"/>
  <c r="S15" i="7"/>
  <c r="L15" i="7"/>
  <c r="J15" i="7"/>
  <c r="H15" i="7"/>
  <c r="G15" i="7"/>
  <c r="E15" i="7"/>
  <c r="AI14" i="7"/>
  <c r="AG14" i="7"/>
  <c r="U14" i="7"/>
  <c r="S14" i="7"/>
  <c r="L14" i="7"/>
  <c r="J14" i="7"/>
  <c r="H14" i="7"/>
  <c r="G14" i="7"/>
  <c r="E14" i="7"/>
  <c r="AI13" i="7"/>
  <c r="AG13" i="7"/>
  <c r="U13" i="7"/>
  <c r="S13" i="7"/>
  <c r="L13" i="7"/>
  <c r="J13" i="7"/>
  <c r="H13" i="7"/>
  <c r="G13" i="7"/>
  <c r="E13" i="7"/>
  <c r="AI12" i="7"/>
  <c r="AG12" i="7"/>
  <c r="U12" i="7"/>
  <c r="S12" i="7"/>
  <c r="L12" i="7"/>
  <c r="J12" i="7"/>
  <c r="H12" i="7"/>
  <c r="G12" i="7"/>
  <c r="E12" i="7"/>
  <c r="AI11" i="7"/>
  <c r="AG11" i="7"/>
  <c r="U11" i="7"/>
  <c r="S11" i="7"/>
  <c r="L11" i="7"/>
  <c r="J11" i="7"/>
  <c r="H11" i="7"/>
  <c r="G11" i="7"/>
  <c r="E11" i="7"/>
  <c r="AI10" i="7"/>
  <c r="AG10" i="7"/>
  <c r="U10" i="7"/>
  <c r="S10" i="7"/>
  <c r="L10" i="7"/>
  <c r="J10" i="7"/>
  <c r="H10" i="7"/>
  <c r="G10" i="7"/>
  <c r="E10" i="7"/>
  <c r="AI9" i="7"/>
  <c r="AG9" i="7"/>
  <c r="U9" i="7"/>
  <c r="S9" i="7"/>
  <c r="L9" i="7"/>
  <c r="J9" i="7"/>
  <c r="H9" i="7"/>
  <c r="G9" i="7"/>
  <c r="E9" i="7"/>
  <c r="B3" i="7"/>
  <c r="AO175" i="7" l="1"/>
  <c r="Y227" i="7"/>
  <c r="AA146" i="7"/>
  <c r="U18" i="7"/>
  <c r="AA138" i="7"/>
  <c r="AM211" i="7"/>
  <c r="AO159" i="7"/>
  <c r="AM208" i="7"/>
  <c r="Y56" i="7"/>
  <c r="F19" i="7"/>
  <c r="AA190" i="7"/>
  <c r="AO218" i="7"/>
  <c r="AA59" i="7"/>
  <c r="Y228" i="7"/>
  <c r="AA144" i="7"/>
  <c r="K12" i="7"/>
  <c r="Y144" i="7"/>
  <c r="AA177" i="7"/>
  <c r="AO222" i="7"/>
  <c r="AO209" i="7"/>
  <c r="AG18" i="7"/>
  <c r="AI18" i="7"/>
  <c r="AA194" i="7"/>
  <c r="Y50" i="7"/>
  <c r="AA50" i="7"/>
  <c r="AO81" i="7"/>
  <c r="AO163" i="7"/>
  <c r="Y202" i="7"/>
  <c r="AA109" i="7"/>
  <c r="AA158" i="7"/>
  <c r="AO116" i="7"/>
  <c r="AG17" i="7"/>
  <c r="AO94" i="7"/>
  <c r="G18" i="7"/>
  <c r="AO46" i="7"/>
  <c r="AA202" i="7"/>
  <c r="AO193" i="7"/>
  <c r="AA147" i="7"/>
  <c r="AM116" i="7"/>
  <c r="E17" i="7"/>
  <c r="AO179" i="7"/>
  <c r="AM206" i="7"/>
  <c r="AM209" i="7"/>
  <c r="AM136" i="7"/>
  <c r="J18" i="7"/>
  <c r="AO168" i="7"/>
  <c r="AO188" i="7"/>
  <c r="AO199" i="7"/>
  <c r="Y113" i="7"/>
  <c r="AA180" i="7"/>
  <c r="AM193" i="7"/>
  <c r="AM229" i="7"/>
  <c r="U17" i="7"/>
  <c r="S16" i="7"/>
  <c r="L18" i="7"/>
  <c r="AM27" i="7"/>
  <c r="AM109" i="7"/>
  <c r="AA153" i="7"/>
  <c r="AM157" i="7"/>
  <c r="AM25" i="7"/>
  <c r="AA63" i="7"/>
  <c r="AA39" i="7"/>
  <c r="AM70" i="7"/>
  <c r="AA189" i="7"/>
  <c r="S17" i="7"/>
  <c r="AA132" i="7"/>
  <c r="AO180" i="7"/>
  <c r="AO226" i="7"/>
  <c r="AM68" i="7"/>
  <c r="Y86" i="7"/>
  <c r="AO112" i="7"/>
  <c r="AM156" i="7"/>
  <c r="AA198" i="7"/>
  <c r="E18" i="7"/>
  <c r="AM37" i="7"/>
  <c r="AO68" i="7"/>
  <c r="Y106" i="7"/>
  <c r="AO110" i="7"/>
  <c r="AM121" i="7"/>
  <c r="AO156" i="7"/>
  <c r="AO213" i="7"/>
  <c r="AO70" i="7"/>
  <c r="Y198" i="7"/>
  <c r="Y119" i="7"/>
  <c r="AA187" i="7"/>
  <c r="AG16" i="7"/>
  <c r="AI17" i="7"/>
  <c r="AA106" i="7"/>
  <c r="AM154" i="7"/>
  <c r="AA161" i="7"/>
  <c r="AA174" i="7"/>
  <c r="AM176" i="7"/>
  <c r="AA220" i="7"/>
  <c r="Y151" i="7"/>
  <c r="AO98" i="7"/>
  <c r="K15" i="7"/>
  <c r="AM44" i="7"/>
  <c r="Y148" i="7"/>
  <c r="E16" i="7"/>
  <c r="AO117" i="7"/>
  <c r="AO183" i="7"/>
  <c r="AO192" i="7"/>
  <c r="Y36" i="7"/>
  <c r="AA36" i="7"/>
  <c r="Y142" i="7"/>
  <c r="AO157" i="7"/>
  <c r="Y129" i="7"/>
  <c r="AA142" i="7"/>
  <c r="U16" i="7"/>
  <c r="AO27" i="7"/>
  <c r="Y43" i="7"/>
  <c r="Y63" i="7"/>
  <c r="AO109" i="7"/>
  <c r="AA129" i="7"/>
  <c r="Y173" i="7"/>
  <c r="AA162" i="7"/>
  <c r="Y216" i="7"/>
  <c r="H17" i="7"/>
  <c r="AO196" i="7"/>
  <c r="AA216" i="7"/>
  <c r="G16" i="7"/>
  <c r="AA29" i="7"/>
  <c r="AA49" i="7"/>
  <c r="AA111" i="7"/>
  <c r="AA113" i="7"/>
  <c r="AO135" i="7"/>
  <c r="Y146" i="7"/>
  <c r="AA201" i="7"/>
  <c r="Y230" i="7"/>
  <c r="AI16" i="7"/>
  <c r="I14" i="7"/>
  <c r="AA228" i="7"/>
  <c r="AA173" i="7"/>
  <c r="AO140" i="7"/>
  <c r="AO164" i="7"/>
  <c r="AM90" i="7"/>
  <c r="Y170" i="7"/>
  <c r="AA34" i="7"/>
  <c r="AM128" i="7"/>
  <c r="AO195" i="7"/>
  <c r="Y229" i="7"/>
  <c r="AA47" i="7"/>
  <c r="AM88" i="7"/>
  <c r="AM143" i="7"/>
  <c r="AO172" i="7"/>
  <c r="AO197" i="7"/>
  <c r="AM201" i="7"/>
  <c r="AA45" i="7"/>
  <c r="AO88" i="7"/>
  <c r="AA101" i="7"/>
  <c r="AM124" i="7"/>
  <c r="AO145" i="7"/>
  <c r="AM168" i="7"/>
  <c r="AO201" i="7"/>
  <c r="AA69" i="7"/>
  <c r="Y112" i="7"/>
  <c r="AO124" i="7"/>
  <c r="AO139" i="7"/>
  <c r="Y164" i="7"/>
  <c r="AM185" i="7"/>
  <c r="AM45" i="7"/>
  <c r="AM58" i="7"/>
  <c r="AA67" i="7"/>
  <c r="Y95" i="7"/>
  <c r="AM101" i="7"/>
  <c r="Y114" i="7"/>
  <c r="Y118" i="7"/>
  <c r="AM122" i="7"/>
  <c r="AA133" i="7"/>
  <c r="AM183" i="7"/>
  <c r="AM227" i="7"/>
  <c r="AO45" i="7"/>
  <c r="Y52" i="7"/>
  <c r="AO56" i="7"/>
  <c r="AO58" i="7"/>
  <c r="AM69" i="7"/>
  <c r="AM71" i="7"/>
  <c r="AO99" i="7"/>
  <c r="AO101" i="7"/>
  <c r="Y108" i="7"/>
  <c r="AA110" i="7"/>
  <c r="AA118" i="7"/>
  <c r="AO120" i="7"/>
  <c r="AO122" i="7"/>
  <c r="Y158" i="7"/>
  <c r="AO208" i="7"/>
  <c r="AA210" i="7"/>
  <c r="Y168" i="7"/>
  <c r="AM220" i="7"/>
  <c r="AA170" i="7"/>
  <c r="AM197" i="7"/>
  <c r="AM218" i="7"/>
  <c r="AO220" i="7"/>
  <c r="AO62" i="7"/>
  <c r="Y101" i="7"/>
  <c r="AM141" i="7"/>
  <c r="AM145" i="7"/>
  <c r="AO149" i="7"/>
  <c r="AO203" i="7"/>
  <c r="AM139" i="7"/>
  <c r="AO143" i="7"/>
  <c r="AO176" i="7"/>
  <c r="Y133" i="7"/>
  <c r="AO189" i="7"/>
  <c r="Y80" i="7"/>
  <c r="AO84" i="7"/>
  <c r="AA112" i="7"/>
  <c r="AM225" i="7"/>
  <c r="AM43" i="7"/>
  <c r="AA52" i="7"/>
  <c r="Y91" i="7"/>
  <c r="AA114" i="7"/>
  <c r="AA152" i="7"/>
  <c r="Y192" i="7"/>
  <c r="Y194" i="7"/>
  <c r="AM223" i="7"/>
  <c r="AA230" i="7"/>
  <c r="AM78" i="7"/>
  <c r="Y123" i="7"/>
  <c r="Y138" i="7"/>
  <c r="AM194" i="7"/>
  <c r="AM200" i="7"/>
  <c r="Y226" i="7"/>
  <c r="AA102" i="7"/>
  <c r="AO129" i="7"/>
  <c r="AO200" i="7"/>
  <c r="AA57" i="7"/>
  <c r="AO136" i="7"/>
  <c r="AL12" i="7"/>
  <c r="AO144" i="7"/>
  <c r="AO171" i="7"/>
  <c r="Y182" i="7"/>
  <c r="AM186" i="7"/>
  <c r="Y224" i="7"/>
  <c r="AM230" i="7"/>
  <c r="Y171" i="7"/>
  <c r="AO114" i="7"/>
  <c r="AO131" i="7"/>
  <c r="AM196" i="7"/>
  <c r="AM129" i="7"/>
  <c r="AO158" i="7"/>
  <c r="AM74" i="7"/>
  <c r="AO85" i="7"/>
  <c r="AM123" i="7"/>
  <c r="AO125" i="7"/>
  <c r="AK136" i="7"/>
  <c r="Y163" i="7"/>
  <c r="AA165" i="7"/>
  <c r="AM169" i="7"/>
  <c r="AA182" i="7"/>
  <c r="Y209" i="7"/>
  <c r="AO230" i="7"/>
  <c r="Y103" i="7"/>
  <c r="AM93" i="7"/>
  <c r="AM114" i="7"/>
  <c r="AO52" i="7"/>
  <c r="AA125" i="7"/>
  <c r="AM150" i="7"/>
  <c r="AM50" i="7"/>
  <c r="AO78" i="7"/>
  <c r="AA169" i="7"/>
  <c r="AO219" i="7"/>
  <c r="AO63" i="7"/>
  <c r="AO76" i="7"/>
  <c r="AM104" i="7"/>
  <c r="AM217" i="7"/>
  <c r="Y29" i="7"/>
  <c r="AM46" i="7"/>
  <c r="AM72" i="7"/>
  <c r="Y94" i="7"/>
  <c r="AM98" i="7"/>
  <c r="AA117" i="7"/>
  <c r="Y132" i="7"/>
  <c r="AO169" i="7"/>
  <c r="Y180" i="7"/>
  <c r="AM213" i="7"/>
  <c r="Y222" i="7"/>
  <c r="AM228" i="7"/>
  <c r="AO207" i="7"/>
  <c r="Y51" i="7"/>
  <c r="AO132" i="7"/>
  <c r="AM163" i="7"/>
  <c r="AK207" i="7"/>
  <c r="AA51" i="7"/>
  <c r="Y62" i="7"/>
  <c r="AA64" i="7"/>
  <c r="AA90" i="7"/>
  <c r="AO96" i="7"/>
  <c r="Y105" i="7"/>
  <c r="AM117" i="7"/>
  <c r="AA126" i="7"/>
  <c r="AA130" i="7"/>
  <c r="AM132" i="7"/>
  <c r="Y149" i="7"/>
  <c r="Y174" i="7"/>
  <c r="AA178" i="7"/>
  <c r="Y201" i="7"/>
  <c r="AM207" i="7"/>
  <c r="Y218" i="7"/>
  <c r="AO231" i="7"/>
  <c r="Y59" i="7"/>
  <c r="Y186" i="7"/>
  <c r="AA40" i="7"/>
  <c r="Y221" i="7"/>
  <c r="AM53" i="7"/>
  <c r="AA137" i="7"/>
  <c r="AO184" i="7"/>
  <c r="AO204" i="7"/>
  <c r="AM105" i="7"/>
  <c r="AM61" i="7"/>
  <c r="AA155" i="7"/>
  <c r="AM32" i="7"/>
  <c r="Y77" i="7"/>
  <c r="Y195" i="7"/>
  <c r="AO217" i="7"/>
  <c r="AO26" i="7"/>
  <c r="AA79" i="7"/>
  <c r="Y96" i="7"/>
  <c r="W150" i="7"/>
  <c r="AA150" i="7"/>
  <c r="AA166" i="7"/>
  <c r="AA195" i="7"/>
  <c r="AO107" i="7"/>
  <c r="AM103" i="7"/>
  <c r="Y188" i="7"/>
  <c r="AA120" i="7"/>
  <c r="Y79" i="7"/>
  <c r="AA98" i="7"/>
  <c r="Y75" i="7"/>
  <c r="AA96" i="7"/>
  <c r="Y150" i="7"/>
  <c r="AA197" i="7"/>
  <c r="Y219" i="7"/>
  <c r="AA28" i="7"/>
  <c r="AA75" i="7"/>
  <c r="AA94" i="7"/>
  <c r="Y122" i="7"/>
  <c r="AA157" i="7"/>
  <c r="AA122" i="7"/>
  <c r="AM164" i="7"/>
  <c r="AA42" i="7"/>
  <c r="AA188" i="7"/>
  <c r="AA186" i="7"/>
  <c r="AA38" i="7"/>
  <c r="AM57" i="7"/>
  <c r="Y85" i="7"/>
  <c r="AM153" i="7"/>
  <c r="Y137" i="7"/>
  <c r="Y28" i="7"/>
  <c r="AO105" i="7"/>
  <c r="AA124" i="7"/>
  <c r="AA26" i="7"/>
  <c r="AM92" i="7"/>
  <c r="AA44" i="7"/>
  <c r="AM173" i="7"/>
  <c r="Y155" i="7"/>
  <c r="AO103" i="7"/>
  <c r="Y38" i="7"/>
  <c r="Y204" i="7"/>
  <c r="AA206" i="7"/>
  <c r="AA204" i="7"/>
  <c r="AM55" i="7"/>
  <c r="Y135" i="7"/>
  <c r="AO155" i="7"/>
  <c r="AM184" i="7"/>
  <c r="AO73" i="7"/>
  <c r="AO90" i="7"/>
  <c r="AM144" i="7"/>
  <c r="AO32" i="7"/>
  <c r="AO71" i="7"/>
  <c r="Y177" i="7"/>
  <c r="W190" i="7"/>
  <c r="Y161" i="7"/>
  <c r="AA87" i="7"/>
  <c r="AM87" i="7"/>
  <c r="AA62" i="7"/>
  <c r="AA72" i="7"/>
  <c r="Y82" i="7"/>
  <c r="AO89" i="7"/>
  <c r="AA93" i="7"/>
  <c r="AM130" i="7"/>
  <c r="AO141" i="7"/>
  <c r="Y145" i="7"/>
  <c r="AO150" i="7"/>
  <c r="AA154" i="7"/>
  <c r="Y156" i="7"/>
  <c r="AM161" i="7"/>
  <c r="Y165" i="7"/>
  <c r="AM172" i="7"/>
  <c r="AA185" i="7"/>
  <c r="Y196" i="7"/>
  <c r="AM210" i="7"/>
  <c r="AA218" i="7"/>
  <c r="AA231" i="7"/>
  <c r="AO153" i="7"/>
  <c r="Y208" i="7"/>
  <c r="W161" i="7"/>
  <c r="AA115" i="7"/>
  <c r="AA35" i="7"/>
  <c r="AO48" i="7"/>
  <c r="Y58" i="7"/>
  <c r="AA58" i="7"/>
  <c r="AO104" i="7"/>
  <c r="AO130" i="7"/>
  <c r="AA134" i="7"/>
  <c r="AA145" i="7"/>
  <c r="AA156" i="7"/>
  <c r="AO161" i="7"/>
  <c r="AM181" i="7"/>
  <c r="AA196" i="7"/>
  <c r="Y205" i="7"/>
  <c r="AO210" i="7"/>
  <c r="AO214" i="7"/>
  <c r="AO67" i="7"/>
  <c r="Y98" i="7"/>
  <c r="AM63" i="7"/>
  <c r="AK81" i="7"/>
  <c r="AO24" i="7"/>
  <c r="AM38" i="7"/>
  <c r="AM51" i="7"/>
  <c r="AM81" i="7"/>
  <c r="Y102" i="7"/>
  <c r="AM113" i="7"/>
  <c r="AO146" i="7"/>
  <c r="AA179" i="7"/>
  <c r="AO225" i="7"/>
  <c r="AM48" i="7"/>
  <c r="Y41" i="7"/>
  <c r="AN9" i="7"/>
  <c r="AA41" i="7"/>
  <c r="Y45" i="7"/>
  <c r="AM52" i="7"/>
  <c r="AL10" i="7"/>
  <c r="AO66" i="7"/>
  <c r="AA84" i="7"/>
  <c r="AA95" i="7"/>
  <c r="AM112" i="7"/>
  <c r="AA119" i="7"/>
  <c r="W138" i="7"/>
  <c r="Y147" i="7"/>
  <c r="AA149" i="7"/>
  <c r="Y169" i="7"/>
  <c r="AO181" i="7"/>
  <c r="Y187" i="7"/>
  <c r="Y189" i="7"/>
  <c r="AM203" i="7"/>
  <c r="AA205" i="7"/>
  <c r="AK218" i="7"/>
  <c r="Y220" i="7"/>
  <c r="AO229" i="7"/>
  <c r="AM231" i="7"/>
  <c r="Y124" i="7"/>
  <c r="AA148" i="7"/>
  <c r="Y166" i="7"/>
  <c r="AO34" i="7"/>
  <c r="AA85" i="7"/>
  <c r="AM30" i="7"/>
  <c r="AO75" i="7"/>
  <c r="Y110" i="7"/>
  <c r="AM137" i="7"/>
  <c r="Y181" i="7"/>
  <c r="AA172" i="7"/>
  <c r="AO50" i="7"/>
  <c r="AO25" i="7"/>
  <c r="AO37" i="7"/>
  <c r="AM39" i="7"/>
  <c r="AA43" i="7"/>
  <c r="AO72" i="7"/>
  <c r="AM80" i="7"/>
  <c r="Y90" i="7"/>
  <c r="AO93" i="7"/>
  <c r="Y116" i="7"/>
  <c r="AA123" i="7"/>
  <c r="AO154" i="7"/>
  <c r="AO185" i="7"/>
  <c r="Y191" i="7"/>
  <c r="AO194" i="7"/>
  <c r="AA209" i="7"/>
  <c r="Y213" i="7"/>
  <c r="AA224" i="7"/>
  <c r="AA226" i="7"/>
  <c r="W228" i="7"/>
  <c r="AM34" i="7"/>
  <c r="Y83" i="7"/>
  <c r="AM73" i="7"/>
  <c r="AO92" i="7"/>
  <c r="AM28" i="7"/>
  <c r="Y126" i="7"/>
  <c r="Y152" i="7"/>
  <c r="AO221" i="7"/>
  <c r="AO113" i="7"/>
  <c r="AK192" i="7"/>
  <c r="Y35" i="7"/>
  <c r="AO29" i="7"/>
  <c r="Y47" i="7"/>
  <c r="AM76" i="7"/>
  <c r="AM82" i="7"/>
  <c r="AM84" i="7"/>
  <c r="AA116" i="7"/>
  <c r="AO121" i="7"/>
  <c r="AM149" i="7"/>
  <c r="AA160" i="7"/>
  <c r="AM165" i="7"/>
  <c r="Y178" i="7"/>
  <c r="AA191" i="7"/>
  <c r="Y193" i="7"/>
  <c r="AM205" i="7"/>
  <c r="AM222" i="7"/>
  <c r="AM133" i="7"/>
  <c r="Y206" i="7"/>
  <c r="AO228" i="7"/>
  <c r="AL9" i="7"/>
  <c r="AO133" i="7"/>
  <c r="AO55" i="7"/>
  <c r="Y89" i="7"/>
  <c r="AO83" i="7"/>
  <c r="Y172" i="7"/>
  <c r="AO186" i="7"/>
  <c r="AA214" i="7"/>
  <c r="AA181" i="7"/>
  <c r="Z11" i="7"/>
  <c r="AO95" i="7"/>
  <c r="AO160" i="7"/>
  <c r="AO165" i="7"/>
  <c r="AA193" i="7"/>
  <c r="AO205" i="7"/>
  <c r="AO43" i="7"/>
  <c r="Y69" i="7"/>
  <c r="AM99" i="7"/>
  <c r="AA105" i="7"/>
  <c r="Y111" i="7"/>
  <c r="AO123" i="7"/>
  <c r="AM125" i="7"/>
  <c r="AA151" i="7"/>
  <c r="Y153" i="7"/>
  <c r="Y162" i="7"/>
  <c r="AM189" i="7"/>
  <c r="Y217" i="7"/>
  <c r="AM226" i="7"/>
  <c r="Y157" i="7"/>
  <c r="AM182" i="7"/>
  <c r="AM204" i="7"/>
  <c r="W126" i="7"/>
  <c r="AA208" i="7"/>
  <c r="AM118" i="7"/>
  <c r="Y190" i="7"/>
  <c r="AO28" i="7"/>
  <c r="AO30" i="7"/>
  <c r="AO38" i="7"/>
  <c r="AM42" i="7"/>
  <c r="AO51" i="7"/>
  <c r="AO53" i="7"/>
  <c r="AM83" i="7"/>
  <c r="Y87" i="7"/>
  <c r="AA89" i="7"/>
  <c r="AM96" i="7"/>
  <c r="AO100" i="7"/>
  <c r="Y104" i="7"/>
  <c r="Y115" i="7"/>
  <c r="AO118" i="7"/>
  <c r="AO128" i="7"/>
  <c r="Y130" i="7"/>
  <c r="AA141" i="7"/>
  <c r="AM146" i="7"/>
  <c r="AA159" i="7"/>
  <c r="AO173" i="7"/>
  <c r="AA192" i="7"/>
  <c r="Y210" i="7"/>
  <c r="Y214" i="7"/>
  <c r="AM219" i="7"/>
  <c r="AM221" i="7"/>
  <c r="AA77" i="7"/>
  <c r="AO142" i="7"/>
  <c r="Y197" i="7"/>
  <c r="AM26" i="7"/>
  <c r="AA83" i="7"/>
  <c r="Y128" i="7"/>
  <c r="AA219" i="7"/>
  <c r="AN10" i="7"/>
  <c r="Y141" i="7"/>
  <c r="AO42" i="7"/>
  <c r="AA48" i="7"/>
  <c r="AM85" i="7"/>
  <c r="AA104" i="7"/>
  <c r="Y117" i="7"/>
  <c r="Y179" i="7"/>
  <c r="AO137" i="7"/>
  <c r="AA68" i="7"/>
  <c r="AM89" i="7"/>
  <c r="AM126" i="7"/>
  <c r="AM177" i="7"/>
  <c r="AM192" i="7"/>
  <c r="AK199" i="7"/>
  <c r="Y72" i="7"/>
  <c r="Y74" i="7"/>
  <c r="Y78" i="7"/>
  <c r="AO87" i="7"/>
  <c r="AA91" i="7"/>
  <c r="Y93" i="7"/>
  <c r="AM108" i="7"/>
  <c r="AO115" i="7"/>
  <c r="Y134" i="7"/>
  <c r="AO152" i="7"/>
  <c r="AA163" i="7"/>
  <c r="AO177" i="7"/>
  <c r="Y185" i="7"/>
  <c r="AM199" i="7"/>
  <c r="Y203" i="7"/>
  <c r="AM214" i="7"/>
  <c r="AO227" i="7"/>
  <c r="AA229" i="7"/>
  <c r="Y231" i="7"/>
  <c r="W139" i="7"/>
  <c r="Y139" i="7"/>
  <c r="AL15" i="7"/>
  <c r="AO191" i="7"/>
  <c r="AK132" i="7"/>
  <c r="AM170" i="7"/>
  <c r="AL11" i="7"/>
  <c r="Y225" i="7"/>
  <c r="I9" i="7"/>
  <c r="H16" i="7"/>
  <c r="W33" i="7"/>
  <c r="AA33" i="7"/>
  <c r="AM59" i="7"/>
  <c r="AA108" i="7"/>
  <c r="AA167" i="7"/>
  <c r="Z10" i="7"/>
  <c r="AA56" i="7"/>
  <c r="AO59" i="7"/>
  <c r="AO127" i="7"/>
  <c r="W164" i="7"/>
  <c r="V13" i="7"/>
  <c r="W13" i="7" s="1"/>
  <c r="Y176" i="7"/>
  <c r="X14" i="7"/>
  <c r="AK188" i="7"/>
  <c r="W227" i="7"/>
  <c r="AM29" i="7"/>
  <c r="AA31" i="7"/>
  <c r="AM66" i="7"/>
  <c r="AM142" i="7"/>
  <c r="Y27" i="7"/>
  <c r="AN12" i="7"/>
  <c r="AM36" i="7"/>
  <c r="AO36" i="7"/>
  <c r="AM212" i="7"/>
  <c r="H18" i="7"/>
  <c r="AM102" i="7"/>
  <c r="AN11" i="7"/>
  <c r="Y31" i="7"/>
  <c r="W74" i="7"/>
  <c r="AM127" i="7"/>
  <c r="AM160" i="7"/>
  <c r="I13" i="7"/>
  <c r="Y33" i="7"/>
  <c r="AM79" i="7"/>
  <c r="AO167" i="7"/>
  <c r="AK167" i="7"/>
  <c r="K13" i="7"/>
  <c r="Y65" i="7"/>
  <c r="Y131" i="7"/>
  <c r="Z14" i="7"/>
  <c r="AM188" i="7"/>
  <c r="G17" i="7"/>
  <c r="I12" i="7"/>
  <c r="M13" i="7"/>
  <c r="Y26" i="7"/>
  <c r="AM33" i="7"/>
  <c r="AK33" i="7"/>
  <c r="Y37" i="7"/>
  <c r="AA65" i="7"/>
  <c r="AA74" i="7"/>
  <c r="W76" i="7"/>
  <c r="Y76" i="7"/>
  <c r="AM106" i="7"/>
  <c r="AJ14" i="7"/>
  <c r="AK174" i="7"/>
  <c r="AK216" i="7"/>
  <c r="AO216" i="7"/>
  <c r="AJ10" i="7"/>
  <c r="AK10" i="7" s="1"/>
  <c r="Y44" i="7"/>
  <c r="AO54" i="7"/>
  <c r="W78" i="7"/>
  <c r="AO97" i="7"/>
  <c r="AO106" i="7"/>
  <c r="AK120" i="7"/>
  <c r="AA164" i="7"/>
  <c r="AM174" i="7"/>
  <c r="Y183" i="7"/>
  <c r="AM216" i="7"/>
  <c r="V9" i="7"/>
  <c r="J17" i="7"/>
  <c r="AM24" i="7"/>
  <c r="AM31" i="7"/>
  <c r="AO33" i="7"/>
  <c r="AM35" i="7"/>
  <c r="AO49" i="7"/>
  <c r="AM49" i="7"/>
  <c r="AM65" i="7"/>
  <c r="V12" i="7"/>
  <c r="AM120" i="7"/>
  <c r="AA140" i="7"/>
  <c r="AM162" i="7"/>
  <c r="AM62" i="7"/>
  <c r="W59" i="7"/>
  <c r="AM175" i="7"/>
  <c r="AA184" i="7"/>
  <c r="I10" i="7"/>
  <c r="M10" i="7"/>
  <c r="AK77" i="7"/>
  <c r="AO77" i="7"/>
  <c r="K10" i="7"/>
  <c r="AA86" i="7"/>
  <c r="AA200" i="7"/>
  <c r="W56" i="7"/>
  <c r="V10" i="7"/>
  <c r="W10" i="7" s="1"/>
  <c r="AO57" i="7"/>
  <c r="AM77" i="7"/>
  <c r="AA81" i="7"/>
  <c r="Y136" i="7"/>
  <c r="X9" i="7"/>
  <c r="Z13" i="7"/>
  <c r="AJ15" i="7"/>
  <c r="AK15" i="7" s="1"/>
  <c r="AK211" i="7"/>
  <c r="Y46" i="7"/>
  <c r="AM115" i="7"/>
  <c r="X13" i="7"/>
  <c r="AK206" i="7"/>
  <c r="AO69" i="7"/>
  <c r="AM152" i="7"/>
  <c r="Y154" i="7"/>
  <c r="I11" i="7"/>
  <c r="AN13" i="7"/>
  <c r="AA66" i="7"/>
  <c r="W66" i="7"/>
  <c r="X11" i="7"/>
  <c r="Y84" i="7"/>
  <c r="W121" i="7"/>
  <c r="AA121" i="7"/>
  <c r="AO147" i="7"/>
  <c r="AJ13" i="7"/>
  <c r="AK13" i="7" s="1"/>
  <c r="X10" i="7"/>
  <c r="AO60" i="7"/>
  <c r="Y64" i="7"/>
  <c r="W64" i="7"/>
  <c r="Y68" i="7"/>
  <c r="W68" i="7"/>
  <c r="AA100" i="7"/>
  <c r="Y121" i="7"/>
  <c r="AK135" i="7"/>
  <c r="AK147" i="7"/>
  <c r="Y175" i="7"/>
  <c r="AA203" i="7"/>
  <c r="Z15" i="7"/>
  <c r="AO206" i="7"/>
  <c r="AN15" i="7"/>
  <c r="AK208" i="7"/>
  <c r="AK175" i="7"/>
  <c r="Y184" i="7"/>
  <c r="AK151" i="7"/>
  <c r="AO151" i="7"/>
  <c r="Y223" i="7"/>
  <c r="AA223" i="7"/>
  <c r="W223" i="7"/>
  <c r="Y61" i="7"/>
  <c r="AO170" i="7"/>
  <c r="AK160" i="7"/>
  <c r="Y167" i="7"/>
  <c r="AJ12" i="7"/>
  <c r="M12" i="7"/>
  <c r="L17" i="7"/>
  <c r="AK115" i="7"/>
  <c r="Y215" i="7"/>
  <c r="W215" i="7"/>
  <c r="Y53" i="7"/>
  <c r="AK152" i="7"/>
  <c r="AJ9" i="7"/>
  <c r="AL13" i="7"/>
  <c r="V14" i="7"/>
  <c r="X12" i="7"/>
  <c r="AM60" i="7"/>
  <c r="AO211" i="7"/>
  <c r="AA215" i="7"/>
  <c r="X15" i="7"/>
  <c r="M11" i="7"/>
  <c r="Z12" i="7"/>
  <c r="Y25" i="7"/>
  <c r="AO39" i="7"/>
  <c r="AO41" i="7"/>
  <c r="AM41" i="7"/>
  <c r="AK41" i="7"/>
  <c r="Y57" i="7"/>
  <c r="AM135" i="7"/>
  <c r="AM147" i="7"/>
  <c r="AM178" i="7"/>
  <c r="AO44" i="7"/>
  <c r="AA46" i="7"/>
  <c r="AM54" i="7"/>
  <c r="AA61" i="7"/>
  <c r="AO64" i="7"/>
  <c r="Y73" i="7"/>
  <c r="V11" i="7"/>
  <c r="W11" i="7" s="1"/>
  <c r="Y88" i="7"/>
  <c r="Y100" i="7"/>
  <c r="AO111" i="7"/>
  <c r="AM134" i="7"/>
  <c r="AM167" i="7"/>
  <c r="AM215" i="7"/>
  <c r="AA227" i="7"/>
  <c r="Y30" i="7"/>
  <c r="AK61" i="7"/>
  <c r="AO61" i="7"/>
  <c r="W85" i="7"/>
  <c r="AA103" i="7"/>
  <c r="AA128" i="7"/>
  <c r="AO162" i="7"/>
  <c r="AA222" i="7"/>
  <c r="AA25" i="7"/>
  <c r="AA30" i="7"/>
  <c r="AM86" i="7"/>
  <c r="AK91" i="7"/>
  <c r="AO91" i="7"/>
  <c r="AO108" i="7"/>
  <c r="AK108" i="7"/>
  <c r="AO119" i="7"/>
  <c r="AM159" i="7"/>
  <c r="AK190" i="7"/>
  <c r="AM190" i="7"/>
  <c r="Y70" i="7"/>
  <c r="AM100" i="7"/>
  <c r="J16" i="7"/>
  <c r="K9" i="7"/>
  <c r="AA32" i="7"/>
  <c r="Y60" i="7"/>
  <c r="AA60" i="7"/>
  <c r="W60" i="7"/>
  <c r="AM179" i="7"/>
  <c r="Y199" i="7"/>
  <c r="AM202" i="7"/>
  <c r="AL14" i="7"/>
  <c r="AA37" i="7"/>
  <c r="W67" i="7"/>
  <c r="Y67" i="7"/>
  <c r="AM75" i="7"/>
  <c r="AA82" i="7"/>
  <c r="AM148" i="7"/>
  <c r="AA168" i="7"/>
  <c r="AO174" i="7"/>
  <c r="AN14" i="7"/>
  <c r="AA199" i="7"/>
  <c r="Y140" i="7"/>
  <c r="Y143" i="7"/>
  <c r="AA27" i="7"/>
  <c r="Y32" i="7"/>
  <c r="AA53" i="7"/>
  <c r="AA70" i="7"/>
  <c r="W82" i="7"/>
  <c r="Y125" i="7"/>
  <c r="AA176" i="7"/>
  <c r="AK179" i="7"/>
  <c r="AO187" i="7"/>
  <c r="AK187" i="7"/>
  <c r="AO212" i="7"/>
  <c r="Y120" i="7"/>
  <c r="AO148" i="7"/>
  <c r="AK148" i="7"/>
  <c r="AM224" i="7"/>
  <c r="Y24" i="7"/>
  <c r="AA24" i="7"/>
  <c r="Y34" i="7"/>
  <c r="AM40" i="7"/>
  <c r="AO80" i="7"/>
  <c r="AM95" i="7"/>
  <c r="Y107" i="7"/>
  <c r="AA135" i="7"/>
  <c r="AM138" i="7"/>
  <c r="AM166" i="7"/>
  <c r="AO182" i="7"/>
  <c r="AO138" i="7"/>
  <c r="AM97" i="7"/>
  <c r="Y160" i="7"/>
  <c r="Y207" i="7"/>
  <c r="AA221" i="7"/>
  <c r="M9" i="7"/>
  <c r="AO35" i="7"/>
  <c r="Y40" i="7"/>
  <c r="AM47" i="7"/>
  <c r="Y49" i="7"/>
  <c r="AO65" i="7"/>
  <c r="AO74" i="7"/>
  <c r="AA76" i="7"/>
  <c r="AO86" i="7"/>
  <c r="AA131" i="7"/>
  <c r="AA143" i="7"/>
  <c r="AM187" i="7"/>
  <c r="AA207" i="7"/>
  <c r="K11" i="7"/>
  <c r="AA73" i="7"/>
  <c r="AM94" i="7"/>
  <c r="AO126" i="7"/>
  <c r="AM140" i="7"/>
  <c r="AM155" i="7"/>
  <c r="AM158" i="7"/>
  <c r="AA175" i="7"/>
  <c r="AO190" i="7"/>
  <c r="AO202" i="7"/>
  <c r="I15" i="7"/>
  <c r="Y81" i="7"/>
  <c r="AA107" i="7"/>
  <c r="AO178" i="7"/>
  <c r="V15" i="7"/>
  <c r="W15" i="7" s="1"/>
  <c r="AO224" i="7"/>
  <c r="K14" i="7"/>
  <c r="Y66" i="7"/>
  <c r="W90" i="7"/>
  <c r="AK96" i="7"/>
  <c r="AO102" i="7"/>
  <c r="AM119" i="7"/>
  <c r="AA139" i="7"/>
  <c r="AA171" i="7"/>
  <c r="AA183" i="7"/>
  <c r="W203" i="7"/>
  <c r="AM64" i="7"/>
  <c r="AM67" i="7"/>
  <c r="AO82" i="7"/>
  <c r="AM91" i="7"/>
  <c r="Z9" i="7"/>
  <c r="L16" i="7"/>
  <c r="AK52" i="7"/>
  <c r="AO79" i="7"/>
  <c r="M14" i="7"/>
  <c r="AO31" i="7"/>
  <c r="Y39" i="7"/>
  <c r="AO40" i="7"/>
  <c r="Y42" i="7"/>
  <c r="Y48" i="7"/>
  <c r="AA78" i="7"/>
  <c r="AJ11" i="7"/>
  <c r="AK11" i="7" s="1"/>
  <c r="Y127" i="7"/>
  <c r="AO134" i="7"/>
  <c r="AA136" i="7"/>
  <c r="AO166" i="7"/>
  <c r="AM180" i="7"/>
  <c r="AM195" i="7"/>
  <c r="AM198" i="7"/>
  <c r="AO215" i="7"/>
  <c r="AA217" i="7"/>
  <c r="Y200" i="7"/>
  <c r="S18" i="7"/>
  <c r="M15" i="7"/>
  <c r="AM107" i="7"/>
  <c r="Y109" i="7"/>
  <c r="AM110" i="7"/>
  <c r="AA127" i="7"/>
  <c r="Y159" i="7"/>
  <c r="AK168" i="7"/>
  <c r="AO198" i="7"/>
  <c r="AA88" i="7"/>
  <c r="AA213" i="7"/>
  <c r="AM111" i="7"/>
  <c r="AM131" i="7"/>
  <c r="AM151" i="7"/>
  <c r="AM171" i="7"/>
  <c r="AM191" i="7"/>
  <c r="AO223" i="7"/>
  <c r="AO47" i="7"/>
  <c r="AM56" i="7"/>
  <c r="AA80" i="7"/>
  <c r="AA225" i="7"/>
  <c r="K17" i="7" l="1"/>
  <c r="AI19" i="7"/>
  <c r="AG19" i="7"/>
  <c r="M17" i="7"/>
  <c r="I18" i="7"/>
  <c r="I17" i="7"/>
  <c r="U19" i="7"/>
  <c r="K18" i="7"/>
  <c r="G19" i="7"/>
  <c r="M18" i="7"/>
  <c r="S19" i="7"/>
  <c r="AO9" i="7"/>
  <c r="E19" i="7"/>
  <c r="AN16" i="7"/>
  <c r="AA15" i="7"/>
  <c r="AM13" i="7"/>
  <c r="AO13" i="7"/>
  <c r="AO15" i="7"/>
  <c r="AM15" i="7"/>
  <c r="AA11" i="7"/>
  <c r="Y11" i="7"/>
  <c r="AM11" i="7"/>
  <c r="AO11" i="7"/>
  <c r="H19" i="7"/>
  <c r="I16" i="7"/>
  <c r="AK14" i="7"/>
  <c r="AJ18" i="7"/>
  <c r="AK18" i="7" s="1"/>
  <c r="K16" i="7"/>
  <c r="J19" i="7"/>
  <c r="M16" i="7"/>
  <c r="L19" i="7"/>
  <c r="Y14" i="7"/>
  <c r="X18" i="7"/>
  <c r="AK12" i="7"/>
  <c r="AJ17" i="7"/>
  <c r="AK17" i="7" s="1"/>
  <c r="AA12" i="7"/>
  <c r="Z17" i="7"/>
  <c r="Y13" i="7"/>
  <c r="Y15" i="7"/>
  <c r="AM10" i="7"/>
  <c r="AA9" i="7"/>
  <c r="Z16" i="7"/>
  <c r="AM12" i="7"/>
  <c r="AA13" i="7"/>
  <c r="AL16" i="7"/>
  <c r="W12" i="7"/>
  <c r="V17" i="7"/>
  <c r="W17" i="7" s="1"/>
  <c r="AJ16" i="7"/>
  <c r="AK9" i="7"/>
  <c r="AO14" i="7"/>
  <c r="AN18" i="7"/>
  <c r="W9" i="7"/>
  <c r="V16" i="7"/>
  <c r="AA10" i="7"/>
  <c r="AL17" i="7"/>
  <c r="AO10" i="7"/>
  <c r="AL18" i="7"/>
  <c r="AM14" i="7"/>
  <c r="X17" i="7"/>
  <c r="Y12" i="7"/>
  <c r="Y10" i="7"/>
  <c r="V18" i="7"/>
  <c r="W18" i="7" s="1"/>
  <c r="W14" i="7"/>
  <c r="X16" i="7"/>
  <c r="Y9" i="7"/>
  <c r="Z18" i="7"/>
  <c r="AA14" i="7"/>
  <c r="AO12" i="7"/>
  <c r="AN17" i="7"/>
  <c r="AM9" i="7"/>
  <c r="AO18" i="7" l="1"/>
  <c r="AM17" i="7"/>
  <c r="I19" i="7"/>
  <c r="Y17" i="7"/>
  <c r="AM18" i="7"/>
  <c r="AA17" i="7"/>
  <c r="AN19" i="7"/>
  <c r="V19" i="7"/>
  <c r="W19" i="7" s="1"/>
  <c r="W16" i="7"/>
  <c r="Y18" i="7"/>
  <c r="M19" i="7"/>
  <c r="AO17" i="7"/>
  <c r="K19" i="7"/>
  <c r="AJ19" i="7"/>
  <c r="AK19" i="7" s="1"/>
  <c r="AK16" i="7"/>
  <c r="Z19" i="7"/>
  <c r="AA16" i="7"/>
  <c r="AA18" i="7"/>
  <c r="AL19" i="7"/>
  <c r="AM16" i="7"/>
  <c r="X19" i="7"/>
  <c r="Y16" i="7"/>
  <c r="AO16" i="7"/>
  <c r="AO19" i="7" l="1"/>
  <c r="AM19" i="7"/>
  <c r="Y19" i="7"/>
  <c r="AA19" i="7"/>
  <c r="U199" i="6" l="1"/>
  <c r="T199" i="6"/>
  <c r="AB199" i="6" s="1"/>
  <c r="P199" i="6"/>
  <c r="O199" i="6"/>
  <c r="K199" i="6"/>
  <c r="I199" i="6"/>
  <c r="G199" i="6"/>
  <c r="U198" i="6"/>
  <c r="T198" i="6"/>
  <c r="P198" i="6"/>
  <c r="O198" i="6"/>
  <c r="AA198" i="6" s="1"/>
  <c r="K198" i="6"/>
  <c r="Z198" i="6" s="1"/>
  <c r="I198" i="6"/>
  <c r="G198" i="6"/>
  <c r="U197" i="6"/>
  <c r="T197" i="6"/>
  <c r="P197" i="6"/>
  <c r="O197" i="6"/>
  <c r="K197" i="6"/>
  <c r="Z197" i="6" s="1"/>
  <c r="I197" i="6"/>
  <c r="G197" i="6"/>
  <c r="U196" i="6"/>
  <c r="T196" i="6"/>
  <c r="AB196" i="6" s="1"/>
  <c r="P196" i="6"/>
  <c r="O196" i="6"/>
  <c r="K196" i="6"/>
  <c r="I196" i="6"/>
  <c r="G196" i="6"/>
  <c r="U195" i="6"/>
  <c r="T195" i="6"/>
  <c r="P195" i="6"/>
  <c r="O195" i="6"/>
  <c r="AA195" i="6" s="1"/>
  <c r="K195" i="6"/>
  <c r="I195" i="6"/>
  <c r="G195" i="6"/>
  <c r="U194" i="6"/>
  <c r="T194" i="6"/>
  <c r="AB194" i="6" s="1"/>
  <c r="P194" i="6"/>
  <c r="O194" i="6"/>
  <c r="AA194" i="6" s="1"/>
  <c r="K194" i="6"/>
  <c r="Z194" i="6" s="1"/>
  <c r="I194" i="6"/>
  <c r="G194" i="6"/>
  <c r="U193" i="6"/>
  <c r="T193" i="6"/>
  <c r="P193" i="6"/>
  <c r="O193" i="6"/>
  <c r="AA193" i="6" s="1"/>
  <c r="K193" i="6"/>
  <c r="Z193" i="6" s="1"/>
  <c r="I193" i="6"/>
  <c r="G193" i="6"/>
  <c r="U192" i="6"/>
  <c r="T192" i="6"/>
  <c r="AB192" i="6" s="1"/>
  <c r="P192" i="6"/>
  <c r="O192" i="6"/>
  <c r="K192" i="6"/>
  <c r="Z192" i="6" s="1"/>
  <c r="I192" i="6"/>
  <c r="G192" i="6"/>
  <c r="U191" i="6"/>
  <c r="T191" i="6"/>
  <c r="AB191" i="6" s="1"/>
  <c r="P191" i="6"/>
  <c r="O191" i="6"/>
  <c r="K191" i="6"/>
  <c r="I191" i="6"/>
  <c r="G191" i="6"/>
  <c r="U190" i="6"/>
  <c r="T190" i="6"/>
  <c r="P190" i="6"/>
  <c r="O190" i="6"/>
  <c r="AA190" i="6" s="1"/>
  <c r="K190" i="6"/>
  <c r="Z190" i="6" s="1"/>
  <c r="I190" i="6"/>
  <c r="G190" i="6"/>
  <c r="U189" i="6"/>
  <c r="T189" i="6"/>
  <c r="AB189" i="6" s="1"/>
  <c r="P189" i="6"/>
  <c r="O189" i="6"/>
  <c r="AA189" i="6" s="1"/>
  <c r="K189" i="6"/>
  <c r="I189" i="6"/>
  <c r="G189" i="6"/>
  <c r="U188" i="6"/>
  <c r="T188" i="6"/>
  <c r="AB188" i="6" s="1"/>
  <c r="P188" i="6"/>
  <c r="O188" i="6"/>
  <c r="AA188" i="6" s="1"/>
  <c r="K188" i="6"/>
  <c r="I188" i="6"/>
  <c r="G188" i="6"/>
  <c r="U187" i="6"/>
  <c r="T187" i="6"/>
  <c r="AB187" i="6" s="1"/>
  <c r="P187" i="6"/>
  <c r="O187" i="6"/>
  <c r="K187" i="6"/>
  <c r="I187" i="6"/>
  <c r="G187" i="6"/>
  <c r="U186" i="6"/>
  <c r="T186" i="6"/>
  <c r="AB186" i="6" s="1"/>
  <c r="P186" i="6"/>
  <c r="O186" i="6"/>
  <c r="K186" i="6"/>
  <c r="I186" i="6"/>
  <c r="G186" i="6"/>
  <c r="U185" i="6"/>
  <c r="T185" i="6"/>
  <c r="AB185" i="6" s="1"/>
  <c r="P185" i="6"/>
  <c r="O185" i="6"/>
  <c r="K185" i="6"/>
  <c r="I185" i="6"/>
  <c r="G185" i="6"/>
  <c r="U184" i="6"/>
  <c r="T184" i="6"/>
  <c r="AB184" i="6" s="1"/>
  <c r="P184" i="6"/>
  <c r="O184" i="6"/>
  <c r="K184" i="6"/>
  <c r="I184" i="6"/>
  <c r="G184" i="6"/>
  <c r="U183" i="6"/>
  <c r="T183" i="6"/>
  <c r="AB183" i="6" s="1"/>
  <c r="P183" i="6"/>
  <c r="O183" i="6"/>
  <c r="AA183" i="6" s="1"/>
  <c r="K183" i="6"/>
  <c r="I183" i="6"/>
  <c r="G183" i="6"/>
  <c r="U182" i="6"/>
  <c r="T182" i="6"/>
  <c r="AB182" i="6" s="1"/>
  <c r="P182" i="6"/>
  <c r="O182" i="6"/>
  <c r="AA182" i="6" s="1"/>
  <c r="K182" i="6"/>
  <c r="Z182" i="6" s="1"/>
  <c r="I182" i="6"/>
  <c r="G182" i="6"/>
  <c r="U181" i="6"/>
  <c r="T181" i="6"/>
  <c r="AB181" i="6" s="1"/>
  <c r="P181" i="6"/>
  <c r="O181" i="6"/>
  <c r="AA181" i="6" s="1"/>
  <c r="K181" i="6"/>
  <c r="I181" i="6"/>
  <c r="G181" i="6"/>
  <c r="U180" i="6"/>
  <c r="T180" i="6"/>
  <c r="AB180" i="6" s="1"/>
  <c r="P180" i="6"/>
  <c r="O180" i="6"/>
  <c r="K180" i="6"/>
  <c r="I180" i="6"/>
  <c r="G180" i="6"/>
  <c r="U179" i="6"/>
  <c r="T179" i="6"/>
  <c r="AB179" i="6" s="1"/>
  <c r="P179" i="6"/>
  <c r="O179" i="6"/>
  <c r="AA179" i="6" s="1"/>
  <c r="K179" i="6"/>
  <c r="Z179" i="6" s="1"/>
  <c r="I179" i="6"/>
  <c r="G179" i="6"/>
  <c r="U178" i="6"/>
  <c r="T178" i="6"/>
  <c r="AB178" i="6" s="1"/>
  <c r="P178" i="6"/>
  <c r="O178" i="6"/>
  <c r="K178" i="6"/>
  <c r="Z178" i="6" s="1"/>
  <c r="I178" i="6"/>
  <c r="G178" i="6"/>
  <c r="U177" i="6"/>
  <c r="T177" i="6"/>
  <c r="AB177" i="6" s="1"/>
  <c r="P177" i="6"/>
  <c r="O177" i="6"/>
  <c r="AA177" i="6" s="1"/>
  <c r="K177" i="6"/>
  <c r="Z177" i="6" s="1"/>
  <c r="I177" i="6"/>
  <c r="G177" i="6"/>
  <c r="U176" i="6"/>
  <c r="T176" i="6"/>
  <c r="AB176" i="6" s="1"/>
  <c r="P176" i="6"/>
  <c r="O176" i="6"/>
  <c r="K176" i="6"/>
  <c r="I176" i="6"/>
  <c r="G176" i="6"/>
  <c r="U175" i="6"/>
  <c r="T175" i="6"/>
  <c r="AB175" i="6" s="1"/>
  <c r="P175" i="6"/>
  <c r="O175" i="6"/>
  <c r="K175" i="6"/>
  <c r="I175" i="6"/>
  <c r="G175" i="6"/>
  <c r="U174" i="6"/>
  <c r="T174" i="6"/>
  <c r="P174" i="6"/>
  <c r="O174" i="6"/>
  <c r="AA174" i="6" s="1"/>
  <c r="K174" i="6"/>
  <c r="Z174" i="6" s="1"/>
  <c r="I174" i="6"/>
  <c r="G174" i="6"/>
  <c r="U173" i="6"/>
  <c r="T173" i="6"/>
  <c r="AB173" i="6" s="1"/>
  <c r="P173" i="6"/>
  <c r="O173" i="6"/>
  <c r="AA173" i="6" s="1"/>
  <c r="K173" i="6"/>
  <c r="I173" i="6"/>
  <c r="G173" i="6"/>
  <c r="U172" i="6"/>
  <c r="T172" i="6"/>
  <c r="AB172" i="6" s="1"/>
  <c r="P172" i="6"/>
  <c r="O172" i="6"/>
  <c r="AA172" i="6" s="1"/>
  <c r="K172" i="6"/>
  <c r="Z172" i="6" s="1"/>
  <c r="I172" i="6"/>
  <c r="G172" i="6"/>
  <c r="U171" i="6"/>
  <c r="T171" i="6"/>
  <c r="AB171" i="6" s="1"/>
  <c r="P171" i="6"/>
  <c r="O171" i="6"/>
  <c r="K171" i="6"/>
  <c r="I171" i="6"/>
  <c r="G171" i="6"/>
  <c r="U170" i="6"/>
  <c r="T170" i="6"/>
  <c r="P170" i="6"/>
  <c r="O170" i="6"/>
  <c r="K170" i="6"/>
  <c r="Z170" i="6" s="1"/>
  <c r="I170" i="6"/>
  <c r="G170" i="6"/>
  <c r="U169" i="6"/>
  <c r="T169" i="6"/>
  <c r="AB169" i="6" s="1"/>
  <c r="P169" i="6"/>
  <c r="O169" i="6"/>
  <c r="K169" i="6"/>
  <c r="I169" i="6"/>
  <c r="G169" i="6"/>
  <c r="U168" i="6"/>
  <c r="T168" i="6"/>
  <c r="P168" i="6"/>
  <c r="O168" i="6"/>
  <c r="K168" i="6"/>
  <c r="Z168" i="6" s="1"/>
  <c r="I168" i="6"/>
  <c r="G168" i="6"/>
  <c r="U167" i="6"/>
  <c r="T167" i="6"/>
  <c r="AB167" i="6" s="1"/>
  <c r="P167" i="6"/>
  <c r="O167" i="6"/>
  <c r="K167" i="6"/>
  <c r="I167" i="6"/>
  <c r="G167" i="6"/>
  <c r="U166" i="6"/>
  <c r="T166" i="6"/>
  <c r="AB166" i="6" s="1"/>
  <c r="P166" i="6"/>
  <c r="O166" i="6"/>
  <c r="K166" i="6"/>
  <c r="Z166" i="6" s="1"/>
  <c r="I166" i="6"/>
  <c r="G166" i="6"/>
  <c r="U165" i="6"/>
  <c r="T165" i="6"/>
  <c r="AB165" i="6" s="1"/>
  <c r="P165" i="6"/>
  <c r="O165" i="6"/>
  <c r="K165" i="6"/>
  <c r="I165" i="6"/>
  <c r="G165" i="6"/>
  <c r="U164" i="6"/>
  <c r="T164" i="6"/>
  <c r="P164" i="6"/>
  <c r="O164" i="6"/>
  <c r="K164" i="6"/>
  <c r="Z164" i="6" s="1"/>
  <c r="I164" i="6"/>
  <c r="G164" i="6"/>
  <c r="U163" i="6"/>
  <c r="T163" i="6"/>
  <c r="AB163" i="6" s="1"/>
  <c r="P163" i="6"/>
  <c r="O163" i="6"/>
  <c r="K163" i="6"/>
  <c r="I163" i="6"/>
  <c r="G163" i="6"/>
  <c r="U162" i="6"/>
  <c r="T162" i="6"/>
  <c r="AB162" i="6" s="1"/>
  <c r="P162" i="6"/>
  <c r="O162" i="6"/>
  <c r="K162" i="6"/>
  <c r="Z162" i="6" s="1"/>
  <c r="I162" i="6"/>
  <c r="G162" i="6"/>
  <c r="U161" i="6"/>
  <c r="T161" i="6"/>
  <c r="AB161" i="6" s="1"/>
  <c r="P161" i="6"/>
  <c r="O161" i="6"/>
  <c r="K161" i="6"/>
  <c r="Z161" i="6" s="1"/>
  <c r="I161" i="6"/>
  <c r="G161" i="6"/>
  <c r="U160" i="6"/>
  <c r="T160" i="6"/>
  <c r="AB160" i="6" s="1"/>
  <c r="P160" i="6"/>
  <c r="O160" i="6"/>
  <c r="AA160" i="6" s="1"/>
  <c r="K160" i="6"/>
  <c r="I160" i="6"/>
  <c r="G160" i="6"/>
  <c r="U159" i="6"/>
  <c r="T159" i="6"/>
  <c r="AB159" i="6" s="1"/>
  <c r="P159" i="6"/>
  <c r="O159" i="6"/>
  <c r="AA159" i="6" s="1"/>
  <c r="K159" i="6"/>
  <c r="I159" i="6"/>
  <c r="G159" i="6"/>
  <c r="U158" i="6"/>
  <c r="T158" i="6"/>
  <c r="AB158" i="6" s="1"/>
  <c r="P158" i="6"/>
  <c r="O158" i="6"/>
  <c r="AA158" i="6" s="1"/>
  <c r="K158" i="6"/>
  <c r="Z158" i="6" s="1"/>
  <c r="I158" i="6"/>
  <c r="G158" i="6"/>
  <c r="U157" i="6"/>
  <c r="T157" i="6"/>
  <c r="AB157" i="6" s="1"/>
  <c r="P157" i="6"/>
  <c r="O157" i="6"/>
  <c r="K157" i="6"/>
  <c r="Z157" i="6" s="1"/>
  <c r="I157" i="6"/>
  <c r="G157" i="6"/>
  <c r="U156" i="6"/>
  <c r="T156" i="6"/>
  <c r="AB156" i="6" s="1"/>
  <c r="P156" i="6"/>
  <c r="O156" i="6"/>
  <c r="K156" i="6"/>
  <c r="I156" i="6"/>
  <c r="G156" i="6"/>
  <c r="U155" i="6"/>
  <c r="T155" i="6"/>
  <c r="P155" i="6"/>
  <c r="O155" i="6"/>
  <c r="AA155" i="6" s="1"/>
  <c r="K155" i="6"/>
  <c r="I155" i="6"/>
  <c r="G155" i="6"/>
  <c r="U154" i="6"/>
  <c r="T154" i="6"/>
  <c r="AB154" i="6" s="1"/>
  <c r="P154" i="6"/>
  <c r="O154" i="6"/>
  <c r="K154" i="6"/>
  <c r="I154" i="6"/>
  <c r="G154" i="6"/>
  <c r="U153" i="6"/>
  <c r="T153" i="6"/>
  <c r="AB153" i="6" s="1"/>
  <c r="P153" i="6"/>
  <c r="O153" i="6"/>
  <c r="AA153" i="6" s="1"/>
  <c r="K153" i="6"/>
  <c r="I153" i="6"/>
  <c r="G153" i="6"/>
  <c r="U152" i="6"/>
  <c r="T152" i="6"/>
  <c r="AB152" i="6" s="1"/>
  <c r="P152" i="6"/>
  <c r="O152" i="6"/>
  <c r="K152" i="6"/>
  <c r="I152" i="6"/>
  <c r="G152" i="6"/>
  <c r="U151" i="6"/>
  <c r="T151" i="6"/>
  <c r="AB151" i="6" s="1"/>
  <c r="P151" i="6"/>
  <c r="O151" i="6"/>
  <c r="K151" i="6"/>
  <c r="I151" i="6"/>
  <c r="G151" i="6"/>
  <c r="U150" i="6"/>
  <c r="T150" i="6"/>
  <c r="AB150" i="6" s="1"/>
  <c r="P150" i="6"/>
  <c r="O150" i="6"/>
  <c r="AA150" i="6" s="1"/>
  <c r="K150" i="6"/>
  <c r="I150" i="6"/>
  <c r="G150" i="6"/>
  <c r="U149" i="6"/>
  <c r="T149" i="6"/>
  <c r="AB149" i="6" s="1"/>
  <c r="P149" i="6"/>
  <c r="O149" i="6"/>
  <c r="AA149" i="6" s="1"/>
  <c r="K149" i="6"/>
  <c r="Z149" i="6" s="1"/>
  <c r="I149" i="6"/>
  <c r="G149" i="6"/>
  <c r="U148" i="6"/>
  <c r="T148" i="6"/>
  <c r="AB148" i="6" s="1"/>
  <c r="P148" i="6"/>
  <c r="O148" i="6"/>
  <c r="K148" i="6"/>
  <c r="I148" i="6"/>
  <c r="G148" i="6"/>
  <c r="U147" i="6"/>
  <c r="T147" i="6"/>
  <c r="AB147" i="6" s="1"/>
  <c r="P147" i="6"/>
  <c r="O147" i="6"/>
  <c r="AA147" i="6" s="1"/>
  <c r="K147" i="6"/>
  <c r="I147" i="6"/>
  <c r="G147" i="6"/>
  <c r="U146" i="6"/>
  <c r="T146" i="6"/>
  <c r="P146" i="6"/>
  <c r="O146" i="6"/>
  <c r="AA146" i="6" s="1"/>
  <c r="K146" i="6"/>
  <c r="I146" i="6"/>
  <c r="G146" i="6"/>
  <c r="U145" i="6"/>
  <c r="T145" i="6"/>
  <c r="AB145" i="6" s="1"/>
  <c r="P145" i="6"/>
  <c r="O145" i="6"/>
  <c r="K145" i="6"/>
  <c r="Z145" i="6" s="1"/>
  <c r="I145" i="6"/>
  <c r="G145" i="6"/>
  <c r="U144" i="6"/>
  <c r="T144" i="6"/>
  <c r="AB144" i="6" s="1"/>
  <c r="P144" i="6"/>
  <c r="O144" i="6"/>
  <c r="AA144" i="6" s="1"/>
  <c r="K144" i="6"/>
  <c r="I144" i="6"/>
  <c r="G144" i="6"/>
  <c r="U143" i="6"/>
  <c r="T143" i="6"/>
  <c r="AB143" i="6" s="1"/>
  <c r="P143" i="6"/>
  <c r="O143" i="6"/>
  <c r="AA143" i="6" s="1"/>
  <c r="K143" i="6"/>
  <c r="I143" i="6"/>
  <c r="G143" i="6"/>
  <c r="U142" i="6"/>
  <c r="T142" i="6"/>
  <c r="P142" i="6"/>
  <c r="O142" i="6"/>
  <c r="K142" i="6"/>
  <c r="Z142" i="6" s="1"/>
  <c r="I142" i="6"/>
  <c r="G142" i="6"/>
  <c r="U141" i="6"/>
  <c r="T141" i="6"/>
  <c r="AB141" i="6" s="1"/>
  <c r="P141" i="6"/>
  <c r="O141" i="6"/>
  <c r="K141" i="6"/>
  <c r="I141" i="6"/>
  <c r="G141" i="6"/>
  <c r="U140" i="6"/>
  <c r="T140" i="6"/>
  <c r="AB140" i="6" s="1"/>
  <c r="P140" i="6"/>
  <c r="O140" i="6"/>
  <c r="AA140" i="6" s="1"/>
  <c r="K140" i="6"/>
  <c r="I140" i="6"/>
  <c r="G140" i="6"/>
  <c r="U139" i="6"/>
  <c r="T139" i="6"/>
  <c r="AB139" i="6" s="1"/>
  <c r="P139" i="6"/>
  <c r="O139" i="6"/>
  <c r="AA139" i="6" s="1"/>
  <c r="K139" i="6"/>
  <c r="Z139" i="6" s="1"/>
  <c r="I139" i="6"/>
  <c r="G139" i="6"/>
  <c r="U138" i="6"/>
  <c r="T138" i="6"/>
  <c r="P138" i="6"/>
  <c r="O138" i="6"/>
  <c r="K138" i="6"/>
  <c r="Z138" i="6" s="1"/>
  <c r="I138" i="6"/>
  <c r="G138" i="6"/>
  <c r="U137" i="6"/>
  <c r="T137" i="6"/>
  <c r="AB137" i="6" s="1"/>
  <c r="P137" i="6"/>
  <c r="O137" i="6"/>
  <c r="AA137" i="6" s="1"/>
  <c r="K137" i="6"/>
  <c r="Z137" i="6" s="1"/>
  <c r="I137" i="6"/>
  <c r="G137" i="6"/>
  <c r="U136" i="6"/>
  <c r="T136" i="6"/>
  <c r="AB136" i="6" s="1"/>
  <c r="P136" i="6"/>
  <c r="O136" i="6"/>
  <c r="K136" i="6"/>
  <c r="I136" i="6"/>
  <c r="G136" i="6"/>
  <c r="U135" i="6"/>
  <c r="T135" i="6"/>
  <c r="AB135" i="6" s="1"/>
  <c r="P135" i="6"/>
  <c r="O135" i="6"/>
  <c r="K135" i="6"/>
  <c r="Z135" i="6" s="1"/>
  <c r="I135" i="6"/>
  <c r="G135" i="6"/>
  <c r="U134" i="6"/>
  <c r="T134" i="6"/>
  <c r="P134" i="6"/>
  <c r="O134" i="6"/>
  <c r="K134" i="6"/>
  <c r="Z134" i="6" s="1"/>
  <c r="I134" i="6"/>
  <c r="G134" i="6"/>
  <c r="U133" i="6"/>
  <c r="T133" i="6"/>
  <c r="AB133" i="6" s="1"/>
  <c r="P133" i="6"/>
  <c r="O133" i="6"/>
  <c r="AA133" i="6" s="1"/>
  <c r="K133" i="6"/>
  <c r="I133" i="6"/>
  <c r="G133" i="6"/>
  <c r="U132" i="6"/>
  <c r="T132" i="6"/>
  <c r="AB132" i="6" s="1"/>
  <c r="P132" i="6"/>
  <c r="O132" i="6"/>
  <c r="K132" i="6"/>
  <c r="Z132" i="6" s="1"/>
  <c r="I132" i="6"/>
  <c r="G132" i="6"/>
  <c r="U131" i="6"/>
  <c r="T131" i="6"/>
  <c r="AB131" i="6" s="1"/>
  <c r="P131" i="6"/>
  <c r="O131" i="6"/>
  <c r="AA131" i="6" s="1"/>
  <c r="K131" i="6"/>
  <c r="I131" i="6"/>
  <c r="G131" i="6"/>
  <c r="U130" i="6"/>
  <c r="T130" i="6"/>
  <c r="P130" i="6"/>
  <c r="O130" i="6"/>
  <c r="AA130" i="6" s="1"/>
  <c r="K130" i="6"/>
  <c r="Z130" i="6" s="1"/>
  <c r="I130" i="6"/>
  <c r="G130" i="6"/>
  <c r="U129" i="6"/>
  <c r="T129" i="6"/>
  <c r="AB129" i="6" s="1"/>
  <c r="P129" i="6"/>
  <c r="O129" i="6"/>
  <c r="AA129" i="6" s="1"/>
  <c r="K129" i="6"/>
  <c r="Z129" i="6" s="1"/>
  <c r="I129" i="6"/>
  <c r="G129" i="6"/>
  <c r="U128" i="6"/>
  <c r="T128" i="6"/>
  <c r="AB128" i="6" s="1"/>
  <c r="P128" i="6"/>
  <c r="O128" i="6"/>
  <c r="K128" i="6"/>
  <c r="Z128" i="6" s="1"/>
  <c r="I128" i="6"/>
  <c r="G128" i="6"/>
  <c r="U127" i="6"/>
  <c r="T127" i="6"/>
  <c r="P127" i="6"/>
  <c r="O127" i="6"/>
  <c r="AA127" i="6" s="1"/>
  <c r="K127" i="6"/>
  <c r="I127" i="6"/>
  <c r="G127" i="6"/>
  <c r="U126" i="6"/>
  <c r="T126" i="6"/>
  <c r="AB126" i="6" s="1"/>
  <c r="P126" i="6"/>
  <c r="O126" i="6"/>
  <c r="K126" i="6"/>
  <c r="Z126" i="6" s="1"/>
  <c r="I126" i="6"/>
  <c r="G126" i="6"/>
  <c r="U125" i="6"/>
  <c r="T125" i="6"/>
  <c r="P125" i="6"/>
  <c r="O125" i="6"/>
  <c r="AA125" i="6" s="1"/>
  <c r="K125" i="6"/>
  <c r="I125" i="6"/>
  <c r="G125" i="6"/>
  <c r="U124" i="6"/>
  <c r="T124" i="6"/>
  <c r="AB124" i="6" s="1"/>
  <c r="P124" i="6"/>
  <c r="O124" i="6"/>
  <c r="K124" i="6"/>
  <c r="I124" i="6"/>
  <c r="G124" i="6"/>
  <c r="U123" i="6"/>
  <c r="T123" i="6"/>
  <c r="P123" i="6"/>
  <c r="O123" i="6"/>
  <c r="AA123" i="6" s="1"/>
  <c r="K123" i="6"/>
  <c r="I123" i="6"/>
  <c r="G123" i="6"/>
  <c r="U122" i="6"/>
  <c r="T122" i="6"/>
  <c r="P122" i="6"/>
  <c r="O122" i="6"/>
  <c r="K122" i="6"/>
  <c r="Z122" i="6" s="1"/>
  <c r="I122" i="6"/>
  <c r="G122" i="6"/>
  <c r="U121" i="6"/>
  <c r="T121" i="6"/>
  <c r="P121" i="6"/>
  <c r="O121" i="6"/>
  <c r="AA121" i="6" s="1"/>
  <c r="K121" i="6"/>
  <c r="Z121" i="6" s="1"/>
  <c r="I121" i="6"/>
  <c r="G121" i="6"/>
  <c r="U120" i="6"/>
  <c r="T120" i="6"/>
  <c r="AB120" i="6" s="1"/>
  <c r="P120" i="6"/>
  <c r="O120" i="6"/>
  <c r="AA120" i="6" s="1"/>
  <c r="K120" i="6"/>
  <c r="I120" i="6"/>
  <c r="G120" i="6"/>
  <c r="U119" i="6"/>
  <c r="T119" i="6"/>
  <c r="AB119" i="6" s="1"/>
  <c r="P119" i="6"/>
  <c r="O119" i="6"/>
  <c r="K119" i="6"/>
  <c r="I119" i="6"/>
  <c r="G119" i="6"/>
  <c r="U118" i="6"/>
  <c r="T118" i="6"/>
  <c r="AB118" i="6" s="1"/>
  <c r="P118" i="6"/>
  <c r="O118" i="6"/>
  <c r="K118" i="6"/>
  <c r="I118" i="6"/>
  <c r="G118" i="6"/>
  <c r="U117" i="6"/>
  <c r="T117" i="6"/>
  <c r="AB117" i="6" s="1"/>
  <c r="P117" i="6"/>
  <c r="O117" i="6"/>
  <c r="AA117" i="6" s="1"/>
  <c r="K117" i="6"/>
  <c r="Z117" i="6" s="1"/>
  <c r="I117" i="6"/>
  <c r="G117" i="6"/>
  <c r="U116" i="6"/>
  <c r="T116" i="6"/>
  <c r="AB116" i="6" s="1"/>
  <c r="P116" i="6"/>
  <c r="O116" i="6"/>
  <c r="AA116" i="6" s="1"/>
  <c r="K116" i="6"/>
  <c r="Z116" i="6" s="1"/>
  <c r="I116" i="6"/>
  <c r="G116" i="6"/>
  <c r="U115" i="6"/>
  <c r="T115" i="6"/>
  <c r="AB115" i="6" s="1"/>
  <c r="P115" i="6"/>
  <c r="O115" i="6"/>
  <c r="K115" i="6"/>
  <c r="I115" i="6"/>
  <c r="G115" i="6"/>
  <c r="U114" i="6"/>
  <c r="T114" i="6"/>
  <c r="AB114" i="6" s="1"/>
  <c r="P114" i="6"/>
  <c r="O114" i="6"/>
  <c r="K114" i="6"/>
  <c r="I114" i="6"/>
  <c r="G114" i="6"/>
  <c r="U113" i="6"/>
  <c r="T113" i="6"/>
  <c r="AB113" i="6" s="1"/>
  <c r="P113" i="6"/>
  <c r="O113" i="6"/>
  <c r="X113" i="6" s="1"/>
  <c r="K113" i="6"/>
  <c r="Z113" i="6" s="1"/>
  <c r="I113" i="6"/>
  <c r="G113" i="6"/>
  <c r="U112" i="6"/>
  <c r="T112" i="6"/>
  <c r="AB112" i="6" s="1"/>
  <c r="P112" i="6"/>
  <c r="O112" i="6"/>
  <c r="AA112" i="6" s="1"/>
  <c r="K112" i="6"/>
  <c r="Z112" i="6" s="1"/>
  <c r="I112" i="6"/>
  <c r="G112" i="6"/>
  <c r="U111" i="6"/>
  <c r="T111" i="6"/>
  <c r="AB111" i="6" s="1"/>
  <c r="P111" i="6"/>
  <c r="O111" i="6"/>
  <c r="AA111" i="6" s="1"/>
  <c r="K111" i="6"/>
  <c r="Z111" i="6" s="1"/>
  <c r="I111" i="6"/>
  <c r="G111" i="6"/>
  <c r="U110" i="6"/>
  <c r="T110" i="6"/>
  <c r="AB110" i="6" s="1"/>
  <c r="P110" i="6"/>
  <c r="O110" i="6"/>
  <c r="AA110" i="6" s="1"/>
  <c r="K110" i="6"/>
  <c r="I110" i="6"/>
  <c r="G110" i="6"/>
  <c r="U109" i="6"/>
  <c r="T109" i="6"/>
  <c r="AB109" i="6" s="1"/>
  <c r="P109" i="6"/>
  <c r="O109" i="6"/>
  <c r="K109" i="6"/>
  <c r="I109" i="6"/>
  <c r="G109" i="6"/>
  <c r="U108" i="6"/>
  <c r="T108" i="6"/>
  <c r="AB108" i="6" s="1"/>
  <c r="P108" i="6"/>
  <c r="O108" i="6"/>
  <c r="K108" i="6"/>
  <c r="Z108" i="6" s="1"/>
  <c r="I108" i="6"/>
  <c r="G108" i="6"/>
  <c r="U107" i="6"/>
  <c r="T107" i="6"/>
  <c r="AB107" i="6" s="1"/>
  <c r="P107" i="6"/>
  <c r="O107" i="6"/>
  <c r="K107" i="6"/>
  <c r="I107" i="6"/>
  <c r="G107" i="6"/>
  <c r="U106" i="6"/>
  <c r="T106" i="6"/>
  <c r="AB106" i="6" s="1"/>
  <c r="P106" i="6"/>
  <c r="O106" i="6"/>
  <c r="AA106" i="6" s="1"/>
  <c r="K106" i="6"/>
  <c r="Z106" i="6" s="1"/>
  <c r="I106" i="6"/>
  <c r="G106" i="6"/>
  <c r="U105" i="6"/>
  <c r="T105" i="6"/>
  <c r="AB105" i="6" s="1"/>
  <c r="P105" i="6"/>
  <c r="O105" i="6"/>
  <c r="K105" i="6"/>
  <c r="Z105" i="6" s="1"/>
  <c r="I105" i="6"/>
  <c r="G105" i="6"/>
  <c r="U104" i="6"/>
  <c r="T104" i="6"/>
  <c r="AB104" i="6" s="1"/>
  <c r="P104" i="6"/>
  <c r="O104" i="6"/>
  <c r="K104" i="6"/>
  <c r="I104" i="6"/>
  <c r="G104" i="6"/>
  <c r="U103" i="6"/>
  <c r="T103" i="6"/>
  <c r="AB103" i="6" s="1"/>
  <c r="P103" i="6"/>
  <c r="O103" i="6"/>
  <c r="AA103" i="6" s="1"/>
  <c r="K103" i="6"/>
  <c r="I103" i="6"/>
  <c r="G103" i="6"/>
  <c r="U102" i="6"/>
  <c r="T102" i="6"/>
  <c r="P102" i="6"/>
  <c r="O102" i="6"/>
  <c r="K102" i="6"/>
  <c r="Z102" i="6" s="1"/>
  <c r="I102" i="6"/>
  <c r="G102" i="6"/>
  <c r="U101" i="6"/>
  <c r="T101" i="6"/>
  <c r="AB101" i="6" s="1"/>
  <c r="P101" i="6"/>
  <c r="O101" i="6"/>
  <c r="K101" i="6"/>
  <c r="I101" i="6"/>
  <c r="G101" i="6"/>
  <c r="U100" i="6"/>
  <c r="T100" i="6"/>
  <c r="AB100" i="6" s="1"/>
  <c r="P100" i="6"/>
  <c r="O100" i="6"/>
  <c r="AA100" i="6" s="1"/>
  <c r="K100" i="6"/>
  <c r="I100" i="6"/>
  <c r="G100" i="6"/>
  <c r="U99" i="6"/>
  <c r="T99" i="6"/>
  <c r="AB99" i="6" s="1"/>
  <c r="P99" i="6"/>
  <c r="O99" i="6"/>
  <c r="AA99" i="6" s="1"/>
  <c r="K99" i="6"/>
  <c r="I99" i="6"/>
  <c r="G99" i="6"/>
  <c r="U98" i="6"/>
  <c r="T98" i="6"/>
  <c r="AB98" i="6" s="1"/>
  <c r="P98" i="6"/>
  <c r="O98" i="6"/>
  <c r="AA98" i="6" s="1"/>
  <c r="K98" i="6"/>
  <c r="I98" i="6"/>
  <c r="G98" i="6"/>
  <c r="U97" i="6"/>
  <c r="T97" i="6"/>
  <c r="AB97" i="6" s="1"/>
  <c r="P97" i="6"/>
  <c r="O97" i="6"/>
  <c r="K97" i="6"/>
  <c r="Z97" i="6" s="1"/>
  <c r="I97" i="6"/>
  <c r="G97" i="6"/>
  <c r="U96" i="6"/>
  <c r="T96" i="6"/>
  <c r="AB96" i="6" s="1"/>
  <c r="P96" i="6"/>
  <c r="O96" i="6"/>
  <c r="K96" i="6"/>
  <c r="I96" i="6"/>
  <c r="G96" i="6"/>
  <c r="U95" i="6"/>
  <c r="T95" i="6"/>
  <c r="P95" i="6"/>
  <c r="O95" i="6"/>
  <c r="AA95" i="6" s="1"/>
  <c r="K95" i="6"/>
  <c r="Z95" i="6" s="1"/>
  <c r="I95" i="6"/>
  <c r="G95" i="6"/>
  <c r="U94" i="6"/>
  <c r="T94" i="6"/>
  <c r="AB94" i="6" s="1"/>
  <c r="P94" i="6"/>
  <c r="O94" i="6"/>
  <c r="K94" i="6"/>
  <c r="I94" i="6"/>
  <c r="G94" i="6"/>
  <c r="U93" i="6"/>
  <c r="T93" i="6"/>
  <c r="AB93" i="6" s="1"/>
  <c r="P93" i="6"/>
  <c r="O93" i="6"/>
  <c r="K93" i="6"/>
  <c r="I93" i="6"/>
  <c r="G93" i="6"/>
  <c r="U92" i="6"/>
  <c r="T92" i="6"/>
  <c r="AB92" i="6" s="1"/>
  <c r="P92" i="6"/>
  <c r="O92" i="6"/>
  <c r="K92" i="6"/>
  <c r="I92" i="6"/>
  <c r="G92" i="6"/>
  <c r="U91" i="6"/>
  <c r="T91" i="6"/>
  <c r="AB91" i="6" s="1"/>
  <c r="P91" i="6"/>
  <c r="O91" i="6"/>
  <c r="AA91" i="6" s="1"/>
  <c r="K91" i="6"/>
  <c r="Z91" i="6" s="1"/>
  <c r="I91" i="6"/>
  <c r="G91" i="6"/>
  <c r="U90" i="6"/>
  <c r="T90" i="6"/>
  <c r="P90" i="6"/>
  <c r="O90" i="6"/>
  <c r="AA90" i="6" s="1"/>
  <c r="K90" i="6"/>
  <c r="Z90" i="6" s="1"/>
  <c r="I90" i="6"/>
  <c r="G90" i="6"/>
  <c r="U89" i="6"/>
  <c r="T89" i="6"/>
  <c r="AB89" i="6" s="1"/>
  <c r="P89" i="6"/>
  <c r="O89" i="6"/>
  <c r="AA89" i="6" s="1"/>
  <c r="K89" i="6"/>
  <c r="I89" i="6"/>
  <c r="G89" i="6"/>
  <c r="U88" i="6"/>
  <c r="T88" i="6"/>
  <c r="P88" i="6"/>
  <c r="O88" i="6"/>
  <c r="K88" i="6"/>
  <c r="Z88" i="6" s="1"/>
  <c r="I88" i="6"/>
  <c r="G88" i="6"/>
  <c r="U87" i="6"/>
  <c r="T87" i="6"/>
  <c r="AB87" i="6" s="1"/>
  <c r="P87" i="6"/>
  <c r="O87" i="6"/>
  <c r="AA87" i="6" s="1"/>
  <c r="K87" i="6"/>
  <c r="I87" i="6"/>
  <c r="G87" i="6"/>
  <c r="U86" i="6"/>
  <c r="T86" i="6"/>
  <c r="AB86" i="6" s="1"/>
  <c r="P86" i="6"/>
  <c r="O86" i="6"/>
  <c r="AA86" i="6" s="1"/>
  <c r="K86" i="6"/>
  <c r="I86" i="6"/>
  <c r="G86" i="6"/>
  <c r="U85" i="6"/>
  <c r="T85" i="6"/>
  <c r="AB85" i="6" s="1"/>
  <c r="P85" i="6"/>
  <c r="O85" i="6"/>
  <c r="K85" i="6"/>
  <c r="I85" i="6"/>
  <c r="G85" i="6"/>
  <c r="U84" i="6"/>
  <c r="T84" i="6"/>
  <c r="AB84" i="6" s="1"/>
  <c r="P84" i="6"/>
  <c r="O84" i="6"/>
  <c r="AA84" i="6" s="1"/>
  <c r="K84" i="6"/>
  <c r="Z84" i="6" s="1"/>
  <c r="I84" i="6"/>
  <c r="G84" i="6"/>
  <c r="U83" i="6"/>
  <c r="T83" i="6"/>
  <c r="AB83" i="6" s="1"/>
  <c r="P83" i="6"/>
  <c r="O83" i="6"/>
  <c r="K83" i="6"/>
  <c r="I83" i="6"/>
  <c r="G83" i="6"/>
  <c r="U82" i="6"/>
  <c r="T82" i="6"/>
  <c r="P82" i="6"/>
  <c r="O82" i="6"/>
  <c r="AA82" i="6" s="1"/>
  <c r="K82" i="6"/>
  <c r="Z82" i="6" s="1"/>
  <c r="I82" i="6"/>
  <c r="G82" i="6"/>
  <c r="U81" i="6"/>
  <c r="T81" i="6"/>
  <c r="AB81" i="6" s="1"/>
  <c r="P81" i="6"/>
  <c r="O81" i="6"/>
  <c r="AA81" i="6" s="1"/>
  <c r="K81" i="6"/>
  <c r="I81" i="6"/>
  <c r="G81" i="6"/>
  <c r="U80" i="6"/>
  <c r="T80" i="6"/>
  <c r="AB80" i="6" s="1"/>
  <c r="P80" i="6"/>
  <c r="O80" i="6"/>
  <c r="AA80" i="6" s="1"/>
  <c r="K80" i="6"/>
  <c r="I80" i="6"/>
  <c r="G80" i="6"/>
  <c r="U79" i="6"/>
  <c r="T79" i="6"/>
  <c r="AB79" i="6" s="1"/>
  <c r="P79" i="6"/>
  <c r="O79" i="6"/>
  <c r="AA79" i="6" s="1"/>
  <c r="K79" i="6"/>
  <c r="Z79" i="6" s="1"/>
  <c r="I79" i="6"/>
  <c r="G79" i="6"/>
  <c r="U78" i="6"/>
  <c r="T78" i="6"/>
  <c r="AB78" i="6" s="1"/>
  <c r="P78" i="6"/>
  <c r="O78" i="6"/>
  <c r="K78" i="6"/>
  <c r="Z78" i="6" s="1"/>
  <c r="I78" i="6"/>
  <c r="G78" i="6"/>
  <c r="U77" i="6"/>
  <c r="T77" i="6"/>
  <c r="AB77" i="6" s="1"/>
  <c r="P77" i="6"/>
  <c r="O77" i="6"/>
  <c r="K77" i="6"/>
  <c r="Z77" i="6" s="1"/>
  <c r="I77" i="6"/>
  <c r="G77" i="6"/>
  <c r="U76" i="6"/>
  <c r="T76" i="6"/>
  <c r="P76" i="6"/>
  <c r="O76" i="6"/>
  <c r="K76" i="6"/>
  <c r="Z76" i="6" s="1"/>
  <c r="I76" i="6"/>
  <c r="G76" i="6"/>
  <c r="U75" i="6"/>
  <c r="T75" i="6"/>
  <c r="AB75" i="6" s="1"/>
  <c r="P75" i="6"/>
  <c r="O75" i="6"/>
  <c r="AA75" i="6" s="1"/>
  <c r="K75" i="6"/>
  <c r="I75" i="6"/>
  <c r="G75" i="6"/>
  <c r="U74" i="6"/>
  <c r="T74" i="6"/>
  <c r="AB74" i="6" s="1"/>
  <c r="P74" i="6"/>
  <c r="O74" i="6"/>
  <c r="AA74" i="6" s="1"/>
  <c r="K74" i="6"/>
  <c r="Z74" i="6" s="1"/>
  <c r="I74" i="6"/>
  <c r="G74" i="6"/>
  <c r="U73" i="6"/>
  <c r="T73" i="6"/>
  <c r="P73" i="6"/>
  <c r="O73" i="6"/>
  <c r="AA73" i="6" s="1"/>
  <c r="K73" i="6"/>
  <c r="I73" i="6"/>
  <c r="G73" i="6"/>
  <c r="U72" i="6"/>
  <c r="T72" i="6"/>
  <c r="AB72" i="6" s="1"/>
  <c r="P72" i="6"/>
  <c r="O72" i="6"/>
  <c r="K72" i="6"/>
  <c r="I72" i="6"/>
  <c r="G72" i="6"/>
  <c r="U71" i="6"/>
  <c r="T71" i="6"/>
  <c r="AB71" i="6" s="1"/>
  <c r="P71" i="6"/>
  <c r="O71" i="6"/>
  <c r="K71" i="6"/>
  <c r="Z71" i="6" s="1"/>
  <c r="I71" i="6"/>
  <c r="G71" i="6"/>
  <c r="U70" i="6"/>
  <c r="T70" i="6"/>
  <c r="P70" i="6"/>
  <c r="O70" i="6"/>
  <c r="K70" i="6"/>
  <c r="Z70" i="6" s="1"/>
  <c r="I70" i="6"/>
  <c r="G70" i="6"/>
  <c r="U69" i="6"/>
  <c r="T69" i="6"/>
  <c r="AB69" i="6" s="1"/>
  <c r="P69" i="6"/>
  <c r="O69" i="6"/>
  <c r="AA69" i="6" s="1"/>
  <c r="K69" i="6"/>
  <c r="Z69" i="6" s="1"/>
  <c r="I69" i="6"/>
  <c r="G69" i="6"/>
  <c r="U68" i="6"/>
  <c r="T68" i="6"/>
  <c r="P68" i="6"/>
  <c r="O68" i="6"/>
  <c r="AA68" i="6" s="1"/>
  <c r="K68" i="6"/>
  <c r="Z68" i="6" s="1"/>
  <c r="I68" i="6"/>
  <c r="G68" i="6"/>
  <c r="U67" i="6"/>
  <c r="T67" i="6"/>
  <c r="AB67" i="6" s="1"/>
  <c r="P67" i="6"/>
  <c r="O67" i="6"/>
  <c r="AA67" i="6" s="1"/>
  <c r="K67" i="6"/>
  <c r="Z67" i="6" s="1"/>
  <c r="I67" i="6"/>
  <c r="G67" i="6"/>
  <c r="U66" i="6"/>
  <c r="T66" i="6"/>
  <c r="AB66" i="6" s="1"/>
  <c r="P66" i="6"/>
  <c r="O66" i="6"/>
  <c r="K66" i="6"/>
  <c r="Z66" i="6" s="1"/>
  <c r="I66" i="6"/>
  <c r="G66" i="6"/>
  <c r="U65" i="6"/>
  <c r="T65" i="6"/>
  <c r="AB65" i="6" s="1"/>
  <c r="P65" i="6"/>
  <c r="O65" i="6"/>
  <c r="K65" i="6"/>
  <c r="Z65" i="6" s="1"/>
  <c r="I65" i="6"/>
  <c r="G65" i="6"/>
  <c r="U64" i="6"/>
  <c r="T64" i="6"/>
  <c r="AB64" i="6" s="1"/>
  <c r="P64" i="6"/>
  <c r="O64" i="6"/>
  <c r="K64" i="6"/>
  <c r="I64" i="6"/>
  <c r="G64" i="6"/>
  <c r="U63" i="6"/>
  <c r="T63" i="6"/>
  <c r="P63" i="6"/>
  <c r="O63" i="6"/>
  <c r="AA63" i="6" s="1"/>
  <c r="K63" i="6"/>
  <c r="I63" i="6"/>
  <c r="G63" i="6"/>
  <c r="U62" i="6"/>
  <c r="T62" i="6"/>
  <c r="P62" i="6"/>
  <c r="O62" i="6"/>
  <c r="K62" i="6"/>
  <c r="Z62" i="6" s="1"/>
  <c r="I62" i="6"/>
  <c r="G62" i="6"/>
  <c r="U61" i="6"/>
  <c r="T61" i="6"/>
  <c r="P61" i="6"/>
  <c r="O61" i="6"/>
  <c r="AA61" i="6" s="1"/>
  <c r="K61" i="6"/>
  <c r="Z61" i="6" s="1"/>
  <c r="I61" i="6"/>
  <c r="G61" i="6"/>
  <c r="U60" i="6"/>
  <c r="T60" i="6"/>
  <c r="P60" i="6"/>
  <c r="O60" i="6"/>
  <c r="AA60" i="6" s="1"/>
  <c r="K60" i="6"/>
  <c r="Z60" i="6" s="1"/>
  <c r="I60" i="6"/>
  <c r="G60" i="6"/>
  <c r="U59" i="6"/>
  <c r="T59" i="6"/>
  <c r="P59" i="6"/>
  <c r="O59" i="6"/>
  <c r="K59" i="6"/>
  <c r="Z59" i="6" s="1"/>
  <c r="I59" i="6"/>
  <c r="G59" i="6"/>
  <c r="U58" i="6"/>
  <c r="T58" i="6"/>
  <c r="AB58" i="6" s="1"/>
  <c r="P58" i="6"/>
  <c r="O58" i="6"/>
  <c r="AA58" i="6" s="1"/>
  <c r="K58" i="6"/>
  <c r="I58" i="6"/>
  <c r="G58" i="6"/>
  <c r="U57" i="6"/>
  <c r="T57" i="6"/>
  <c r="P57" i="6"/>
  <c r="O57" i="6"/>
  <c r="AA57" i="6" s="1"/>
  <c r="K57" i="6"/>
  <c r="I57" i="6"/>
  <c r="G57" i="6"/>
  <c r="U56" i="6"/>
  <c r="T56" i="6"/>
  <c r="AB56" i="6" s="1"/>
  <c r="P56" i="6"/>
  <c r="O56" i="6"/>
  <c r="K56" i="6"/>
  <c r="I56" i="6"/>
  <c r="G56" i="6"/>
  <c r="U55" i="6"/>
  <c r="T55" i="6"/>
  <c r="AB55" i="6" s="1"/>
  <c r="P55" i="6"/>
  <c r="O55" i="6"/>
  <c r="AA55" i="6" s="1"/>
  <c r="K55" i="6"/>
  <c r="I55" i="6"/>
  <c r="G55" i="6"/>
  <c r="U54" i="6"/>
  <c r="T54" i="6"/>
  <c r="AB54" i="6" s="1"/>
  <c r="P54" i="6"/>
  <c r="O54" i="6"/>
  <c r="K54" i="6"/>
  <c r="Z54" i="6" s="1"/>
  <c r="I54" i="6"/>
  <c r="G54" i="6"/>
  <c r="U53" i="6"/>
  <c r="T53" i="6"/>
  <c r="AB53" i="6" s="1"/>
  <c r="P53" i="6"/>
  <c r="O53" i="6"/>
  <c r="AA53" i="6" s="1"/>
  <c r="K53" i="6"/>
  <c r="Z53" i="6" s="1"/>
  <c r="I53" i="6"/>
  <c r="G53" i="6"/>
  <c r="U52" i="6"/>
  <c r="T52" i="6"/>
  <c r="AB52" i="6" s="1"/>
  <c r="P52" i="6"/>
  <c r="O52" i="6"/>
  <c r="K52" i="6"/>
  <c r="I52" i="6"/>
  <c r="G52" i="6"/>
  <c r="U51" i="6"/>
  <c r="T51" i="6"/>
  <c r="AB51" i="6" s="1"/>
  <c r="P51" i="6"/>
  <c r="O51" i="6"/>
  <c r="AA51" i="6" s="1"/>
  <c r="K51" i="6"/>
  <c r="I51" i="6"/>
  <c r="G51" i="6"/>
  <c r="U50" i="6"/>
  <c r="T50" i="6"/>
  <c r="P50" i="6"/>
  <c r="O50" i="6"/>
  <c r="AA50" i="6" s="1"/>
  <c r="K50" i="6"/>
  <c r="Z50" i="6" s="1"/>
  <c r="I50" i="6"/>
  <c r="G50" i="6"/>
  <c r="U49" i="6"/>
  <c r="T49" i="6"/>
  <c r="AB49" i="6" s="1"/>
  <c r="P49" i="6"/>
  <c r="O49" i="6"/>
  <c r="AA49" i="6" s="1"/>
  <c r="K49" i="6"/>
  <c r="I49" i="6"/>
  <c r="G49" i="6"/>
  <c r="U48" i="6"/>
  <c r="T48" i="6"/>
  <c r="AB48" i="6" s="1"/>
  <c r="P48" i="6"/>
  <c r="O48" i="6"/>
  <c r="K48" i="6"/>
  <c r="Z48" i="6" s="1"/>
  <c r="I48" i="6"/>
  <c r="G48" i="6"/>
  <c r="U47" i="6"/>
  <c r="T47" i="6"/>
  <c r="AB47" i="6" s="1"/>
  <c r="P47" i="6"/>
  <c r="O47" i="6"/>
  <c r="K47" i="6"/>
  <c r="I47" i="6"/>
  <c r="G47" i="6"/>
  <c r="U46" i="6"/>
  <c r="T46" i="6"/>
  <c r="AB46" i="6" s="1"/>
  <c r="P46" i="6"/>
  <c r="O46" i="6"/>
  <c r="K46" i="6"/>
  <c r="I46" i="6"/>
  <c r="G46" i="6"/>
  <c r="U45" i="6"/>
  <c r="T45" i="6"/>
  <c r="AB45" i="6" s="1"/>
  <c r="P45" i="6"/>
  <c r="O45" i="6"/>
  <c r="K45" i="6"/>
  <c r="Z45" i="6" s="1"/>
  <c r="I45" i="6"/>
  <c r="G45" i="6"/>
  <c r="U44" i="6"/>
  <c r="T44" i="6"/>
  <c r="AB44" i="6" s="1"/>
  <c r="P44" i="6"/>
  <c r="O44" i="6"/>
  <c r="AA44" i="6" s="1"/>
  <c r="K44" i="6"/>
  <c r="I44" i="6"/>
  <c r="G44" i="6"/>
  <c r="U43" i="6"/>
  <c r="T43" i="6"/>
  <c r="AB43" i="6" s="1"/>
  <c r="P43" i="6"/>
  <c r="O43" i="6"/>
  <c r="AA43" i="6" s="1"/>
  <c r="K43" i="6"/>
  <c r="I43" i="6"/>
  <c r="G43" i="6"/>
  <c r="U42" i="6"/>
  <c r="T42" i="6"/>
  <c r="P42" i="6"/>
  <c r="O42" i="6"/>
  <c r="K42" i="6"/>
  <c r="I42" i="6"/>
  <c r="G42" i="6"/>
  <c r="U41" i="6"/>
  <c r="T41" i="6"/>
  <c r="AB41" i="6" s="1"/>
  <c r="P41" i="6"/>
  <c r="O41" i="6"/>
  <c r="K41" i="6"/>
  <c r="Z41" i="6" s="1"/>
  <c r="I41" i="6"/>
  <c r="G41" i="6"/>
  <c r="U40" i="6"/>
  <c r="T40" i="6"/>
  <c r="AB40" i="6" s="1"/>
  <c r="P40" i="6"/>
  <c r="O40" i="6"/>
  <c r="AA40" i="6" s="1"/>
  <c r="K40" i="6"/>
  <c r="I40" i="6"/>
  <c r="G40" i="6"/>
  <c r="U39" i="6"/>
  <c r="T39" i="6"/>
  <c r="AB39" i="6" s="1"/>
  <c r="P39" i="6"/>
  <c r="O39" i="6"/>
  <c r="AA39" i="6" s="1"/>
  <c r="K39" i="6"/>
  <c r="I39" i="6"/>
  <c r="G39" i="6"/>
  <c r="U38" i="6"/>
  <c r="T38" i="6"/>
  <c r="AB38" i="6" s="1"/>
  <c r="P38" i="6"/>
  <c r="O38" i="6"/>
  <c r="AA38" i="6" s="1"/>
  <c r="K38" i="6"/>
  <c r="Z38" i="6" s="1"/>
  <c r="I38" i="6"/>
  <c r="G38" i="6"/>
  <c r="U37" i="6"/>
  <c r="T37" i="6"/>
  <c r="AB37" i="6" s="1"/>
  <c r="P37" i="6"/>
  <c r="O37" i="6"/>
  <c r="K37" i="6"/>
  <c r="Z37" i="6" s="1"/>
  <c r="I37" i="6"/>
  <c r="G37" i="6"/>
  <c r="U36" i="6"/>
  <c r="T36" i="6"/>
  <c r="AB36" i="6" s="1"/>
  <c r="P36" i="6"/>
  <c r="O36" i="6"/>
  <c r="K36" i="6"/>
  <c r="Z36" i="6" s="1"/>
  <c r="I36" i="6"/>
  <c r="G36" i="6"/>
  <c r="U35" i="6"/>
  <c r="T35" i="6"/>
  <c r="AB35" i="6" s="1"/>
  <c r="P35" i="6"/>
  <c r="O35" i="6"/>
  <c r="K35" i="6"/>
  <c r="I35" i="6"/>
  <c r="G35" i="6"/>
  <c r="U34" i="6"/>
  <c r="T34" i="6"/>
  <c r="AB34" i="6" s="1"/>
  <c r="P34" i="6"/>
  <c r="O34" i="6"/>
  <c r="AA34" i="6" s="1"/>
  <c r="K34" i="6"/>
  <c r="I34" i="6"/>
  <c r="G34" i="6"/>
  <c r="U33" i="6"/>
  <c r="T33" i="6"/>
  <c r="P33" i="6"/>
  <c r="O33" i="6"/>
  <c r="AA33" i="6" s="1"/>
  <c r="K33" i="6"/>
  <c r="Z33" i="6" s="1"/>
  <c r="I33" i="6"/>
  <c r="G33" i="6"/>
  <c r="U32" i="6"/>
  <c r="T32" i="6"/>
  <c r="AB32" i="6" s="1"/>
  <c r="P32" i="6"/>
  <c r="O32" i="6"/>
  <c r="AA32" i="6" s="1"/>
  <c r="K32" i="6"/>
  <c r="I32" i="6"/>
  <c r="G32" i="6"/>
  <c r="U31" i="6"/>
  <c r="T31" i="6"/>
  <c r="AB31" i="6" s="1"/>
  <c r="P31" i="6"/>
  <c r="O31" i="6"/>
  <c r="K31" i="6"/>
  <c r="Z31" i="6" s="1"/>
  <c r="I31" i="6"/>
  <c r="G31" i="6"/>
  <c r="U30" i="6"/>
  <c r="T30" i="6"/>
  <c r="P30" i="6"/>
  <c r="O30" i="6"/>
  <c r="AA30" i="6" s="1"/>
  <c r="K30" i="6"/>
  <c r="I30" i="6"/>
  <c r="G30" i="6"/>
  <c r="U29" i="6"/>
  <c r="T29" i="6"/>
  <c r="P29" i="6"/>
  <c r="O29" i="6"/>
  <c r="AA29" i="6" s="1"/>
  <c r="K29" i="6"/>
  <c r="Z29" i="6" s="1"/>
  <c r="I29" i="6"/>
  <c r="G29" i="6"/>
  <c r="U28" i="6"/>
  <c r="T28" i="6"/>
  <c r="AB28" i="6" s="1"/>
  <c r="P28" i="6"/>
  <c r="O28" i="6"/>
  <c r="AA28" i="6" s="1"/>
  <c r="K28" i="6"/>
  <c r="Z28" i="6" s="1"/>
  <c r="I28" i="6"/>
  <c r="G28" i="6"/>
  <c r="U27" i="6"/>
  <c r="T27" i="6"/>
  <c r="AB27" i="6" s="1"/>
  <c r="P27" i="6"/>
  <c r="O27" i="6"/>
  <c r="AA27" i="6" s="1"/>
  <c r="K27" i="6"/>
  <c r="I27" i="6"/>
  <c r="G27" i="6"/>
  <c r="U26" i="6"/>
  <c r="T26" i="6"/>
  <c r="AB26" i="6" s="1"/>
  <c r="P26" i="6"/>
  <c r="O26" i="6"/>
  <c r="AA26" i="6" s="1"/>
  <c r="K26" i="6"/>
  <c r="I26" i="6"/>
  <c r="G26" i="6"/>
  <c r="U25" i="6"/>
  <c r="T25" i="6"/>
  <c r="AB25" i="6" s="1"/>
  <c r="P25" i="6"/>
  <c r="O25" i="6"/>
  <c r="AA25" i="6" s="1"/>
  <c r="K25" i="6"/>
  <c r="Z25" i="6" s="1"/>
  <c r="I25" i="6"/>
  <c r="G25" i="6"/>
  <c r="U24" i="6"/>
  <c r="T24" i="6"/>
  <c r="AB24" i="6" s="1"/>
  <c r="P24" i="6"/>
  <c r="O24" i="6"/>
  <c r="K24" i="6"/>
  <c r="Z24" i="6" s="1"/>
  <c r="I24" i="6"/>
  <c r="G24" i="6"/>
  <c r="Z23" i="6"/>
  <c r="U23" i="6"/>
  <c r="T23" i="6"/>
  <c r="W23" i="6" s="1"/>
  <c r="P23" i="6"/>
  <c r="O23" i="6"/>
  <c r="I23" i="6"/>
  <c r="G23" i="6"/>
  <c r="U22" i="6"/>
  <c r="T22" i="6"/>
  <c r="AB22" i="6" s="1"/>
  <c r="P22" i="6"/>
  <c r="O22" i="6"/>
  <c r="K22" i="6"/>
  <c r="I22" i="6"/>
  <c r="G22" i="6"/>
  <c r="U21" i="6"/>
  <c r="T21" i="6"/>
  <c r="AB21" i="6" s="1"/>
  <c r="P21" i="6"/>
  <c r="O21" i="6"/>
  <c r="K21" i="6"/>
  <c r="I21" i="6"/>
  <c r="G21" i="6"/>
  <c r="U20" i="6"/>
  <c r="T20" i="6"/>
  <c r="AB20" i="6" s="1"/>
  <c r="P20" i="6"/>
  <c r="O20" i="6"/>
  <c r="K20" i="6"/>
  <c r="I20" i="6"/>
  <c r="G20" i="6"/>
  <c r="S18" i="6"/>
  <c r="R18" i="6"/>
  <c r="Q18" i="6"/>
  <c r="N18" i="6"/>
  <c r="M18" i="6"/>
  <c r="L18" i="6"/>
  <c r="J18" i="6"/>
  <c r="H18" i="6"/>
  <c r="F18" i="6"/>
  <c r="E18" i="6"/>
  <c r="S17" i="6"/>
  <c r="R17" i="6"/>
  <c r="Q17" i="6"/>
  <c r="N17" i="6"/>
  <c r="M17" i="6"/>
  <c r="L17" i="6"/>
  <c r="J17" i="6"/>
  <c r="H17" i="6"/>
  <c r="F17" i="6"/>
  <c r="E17" i="6"/>
  <c r="S16" i="6"/>
  <c r="R16" i="6"/>
  <c r="Q16" i="6"/>
  <c r="N16" i="6"/>
  <c r="M16" i="6"/>
  <c r="L16" i="6"/>
  <c r="J16" i="6"/>
  <c r="H16" i="6"/>
  <c r="F16" i="6"/>
  <c r="E16" i="6"/>
  <c r="S15" i="6"/>
  <c r="R15" i="6"/>
  <c r="Q15" i="6"/>
  <c r="N15" i="6"/>
  <c r="M15" i="6"/>
  <c r="L15" i="6"/>
  <c r="J15" i="6"/>
  <c r="H15" i="6"/>
  <c r="F15" i="6"/>
  <c r="E15" i="6"/>
  <c r="S14" i="6"/>
  <c r="R14" i="6"/>
  <c r="Q14" i="6"/>
  <c r="N14" i="6"/>
  <c r="M14" i="6"/>
  <c r="L14" i="6"/>
  <c r="J14" i="6"/>
  <c r="H14" i="6"/>
  <c r="F14" i="6"/>
  <c r="E14" i="6"/>
  <c r="S13" i="6"/>
  <c r="R13" i="6"/>
  <c r="Q13" i="6"/>
  <c r="N13" i="6"/>
  <c r="M13" i="6"/>
  <c r="L13" i="6"/>
  <c r="J13" i="6"/>
  <c r="H13" i="6"/>
  <c r="F13" i="6"/>
  <c r="E13" i="6"/>
  <c r="V39" i="6" l="1"/>
  <c r="O16" i="6"/>
  <c r="X93" i="6"/>
  <c r="X36" i="6"/>
  <c r="V42" i="6"/>
  <c r="X47" i="6"/>
  <c r="V133" i="6"/>
  <c r="V51" i="6"/>
  <c r="V131" i="6"/>
  <c r="V114" i="6"/>
  <c r="V154" i="6"/>
  <c r="X198" i="6"/>
  <c r="AB198" i="6"/>
  <c r="AC198" i="6" s="1"/>
  <c r="W198" i="6"/>
  <c r="V152" i="6"/>
  <c r="X65" i="6"/>
  <c r="X105" i="6"/>
  <c r="X157" i="6"/>
  <c r="V143" i="6"/>
  <c r="V183" i="6"/>
  <c r="V148" i="6"/>
  <c r="X165" i="6"/>
  <c r="X185" i="6"/>
  <c r="V63" i="6"/>
  <c r="X175" i="6"/>
  <c r="W94" i="6"/>
  <c r="W199" i="6"/>
  <c r="AC137" i="6"/>
  <c r="AC177" i="6"/>
  <c r="W118" i="6"/>
  <c r="V181" i="6"/>
  <c r="X46" i="6"/>
  <c r="X66" i="6"/>
  <c r="X186" i="6"/>
  <c r="W98" i="6"/>
  <c r="X92" i="6"/>
  <c r="AC79" i="6"/>
  <c r="W159" i="6"/>
  <c r="X142" i="6"/>
  <c r="X52" i="6"/>
  <c r="V21" i="6"/>
  <c r="H12" i="6"/>
  <c r="V26" i="6"/>
  <c r="W46" i="6"/>
  <c r="X41" i="6"/>
  <c r="V40" i="6"/>
  <c r="V57" i="6"/>
  <c r="X154" i="6"/>
  <c r="O18" i="6"/>
  <c r="W43" i="6"/>
  <c r="V160" i="6"/>
  <c r="X44" i="6"/>
  <c r="L12" i="6"/>
  <c r="L10" i="6"/>
  <c r="M11" i="6"/>
  <c r="M12" i="6"/>
  <c r="V86" i="6"/>
  <c r="V146" i="6"/>
  <c r="W189" i="6"/>
  <c r="AC38" i="6"/>
  <c r="V55" i="6"/>
  <c r="W44" i="6"/>
  <c r="AC84" i="6"/>
  <c r="X161" i="6"/>
  <c r="N10" i="6"/>
  <c r="V147" i="6"/>
  <c r="K13" i="6"/>
  <c r="Z57" i="6"/>
  <c r="X163" i="6"/>
  <c r="AC129" i="6"/>
  <c r="V81" i="6"/>
  <c r="V101" i="6"/>
  <c r="W107" i="6"/>
  <c r="U18" i="6"/>
  <c r="W110" i="6"/>
  <c r="W22" i="6"/>
  <c r="Z44" i="6"/>
  <c r="AC44" i="6" s="1"/>
  <c r="X56" i="6"/>
  <c r="X70" i="6"/>
  <c r="V150" i="6"/>
  <c r="W174" i="6"/>
  <c r="N12" i="6"/>
  <c r="W99" i="6"/>
  <c r="Z146" i="6"/>
  <c r="T13" i="6"/>
  <c r="R11" i="6"/>
  <c r="X152" i="6"/>
  <c r="Q11" i="6"/>
  <c r="AC116" i="6"/>
  <c r="S11" i="6"/>
  <c r="W186" i="6"/>
  <c r="K16" i="6"/>
  <c r="I18" i="6"/>
  <c r="I15" i="6"/>
  <c r="S12" i="6"/>
  <c r="V30" i="6"/>
  <c r="X193" i="6"/>
  <c r="E10" i="6"/>
  <c r="Z46" i="6"/>
  <c r="V103" i="6"/>
  <c r="X170" i="6"/>
  <c r="V58" i="6"/>
  <c r="V123" i="6"/>
  <c r="V173" i="6"/>
  <c r="X184" i="6"/>
  <c r="W112" i="6"/>
  <c r="Z42" i="6"/>
  <c r="V28" i="6"/>
  <c r="Z118" i="6"/>
  <c r="W26" i="6"/>
  <c r="V74" i="6"/>
  <c r="W139" i="6"/>
  <c r="Z154" i="6"/>
  <c r="X26" i="6"/>
  <c r="V53" i="6"/>
  <c r="W74" i="6"/>
  <c r="Z26" i="6"/>
  <c r="AC26" i="6" s="1"/>
  <c r="X31" i="6"/>
  <c r="X132" i="6"/>
  <c r="W178" i="6"/>
  <c r="X192" i="6"/>
  <c r="O13" i="6"/>
  <c r="W42" i="6"/>
  <c r="P15" i="6"/>
  <c r="V24" i="6"/>
  <c r="V61" i="6"/>
  <c r="V194" i="6"/>
  <c r="AA154" i="6"/>
  <c r="W34" i="6"/>
  <c r="AC67" i="6"/>
  <c r="V72" i="6"/>
  <c r="AC106" i="6"/>
  <c r="X114" i="6"/>
  <c r="Z152" i="6"/>
  <c r="X189" i="6"/>
  <c r="X63" i="6"/>
  <c r="T17" i="6"/>
  <c r="Z30" i="6"/>
  <c r="X129" i="6"/>
  <c r="X131" i="6"/>
  <c r="G16" i="6"/>
  <c r="V50" i="6"/>
  <c r="W154" i="6"/>
  <c r="F11" i="6"/>
  <c r="AC25" i="6"/>
  <c r="X98" i="6"/>
  <c r="Z150" i="6"/>
  <c r="AC150" i="6" s="1"/>
  <c r="F10" i="6"/>
  <c r="T16" i="6"/>
  <c r="X34" i="6"/>
  <c r="AA36" i="6"/>
  <c r="AC36" i="6" s="1"/>
  <c r="Z98" i="6"/>
  <c r="AC98" i="6" s="1"/>
  <c r="W114" i="6"/>
  <c r="Z160" i="6"/>
  <c r="AC160" i="6" s="1"/>
  <c r="AC179" i="6"/>
  <c r="V198" i="6"/>
  <c r="W131" i="6"/>
  <c r="W61" i="6"/>
  <c r="X40" i="6"/>
  <c r="V82" i="6"/>
  <c r="V98" i="6"/>
  <c r="AA152" i="6"/>
  <c r="Z189" i="6"/>
  <c r="AC189" i="6" s="1"/>
  <c r="Q10" i="6"/>
  <c r="Z34" i="6"/>
  <c r="AC34" i="6" s="1"/>
  <c r="W70" i="6"/>
  <c r="W78" i="6"/>
  <c r="X101" i="6"/>
  <c r="Z114" i="6"/>
  <c r="X125" i="6"/>
  <c r="X128" i="6"/>
  <c r="V172" i="6"/>
  <c r="Z131" i="6"/>
  <c r="AC131" i="6" s="1"/>
  <c r="V137" i="6"/>
  <c r="G17" i="6"/>
  <c r="AA114" i="6"/>
  <c r="X138" i="6"/>
  <c r="AC194" i="6"/>
  <c r="AC111" i="6"/>
  <c r="AC149" i="6"/>
  <c r="AC117" i="6"/>
  <c r="AC158" i="6"/>
  <c r="V77" i="6"/>
  <c r="U15" i="6"/>
  <c r="W66" i="6"/>
  <c r="K14" i="6"/>
  <c r="X117" i="6"/>
  <c r="AA192" i="6"/>
  <c r="AC192" i="6" s="1"/>
  <c r="W161" i="6"/>
  <c r="W181" i="6"/>
  <c r="W79" i="6"/>
  <c r="AA138" i="6"/>
  <c r="V149" i="6"/>
  <c r="X153" i="6"/>
  <c r="X159" i="6"/>
  <c r="X181" i="6"/>
  <c r="W37" i="6"/>
  <c r="W45" i="6"/>
  <c r="X79" i="6"/>
  <c r="X81" i="6"/>
  <c r="W103" i="6"/>
  <c r="H10" i="6"/>
  <c r="T14" i="6"/>
  <c r="X21" i="6"/>
  <c r="W39" i="6"/>
  <c r="AA41" i="6"/>
  <c r="AC41" i="6" s="1"/>
  <c r="AA56" i="6"/>
  <c r="Z81" i="6"/>
  <c r="AC81" i="6" s="1"/>
  <c r="V95" i="6"/>
  <c r="X103" i="6"/>
  <c r="AA105" i="6"/>
  <c r="AC105" i="6" s="1"/>
  <c r="V126" i="6"/>
  <c r="W128" i="6"/>
  <c r="V132" i="6"/>
  <c r="W147" i="6"/>
  <c r="X149" i="6"/>
  <c r="V158" i="6"/>
  <c r="AA161" i="6"/>
  <c r="AC161" i="6" s="1"/>
  <c r="W177" i="6"/>
  <c r="X179" i="6"/>
  <c r="N11" i="6"/>
  <c r="V66" i="6"/>
  <c r="X100" i="6"/>
  <c r="X121" i="6"/>
  <c r="V157" i="6"/>
  <c r="W194" i="6"/>
  <c r="W138" i="6"/>
  <c r="X194" i="6"/>
  <c r="X33" i="6"/>
  <c r="X77" i="6"/>
  <c r="AA157" i="6"/>
  <c r="AC157" i="6" s="1"/>
  <c r="V161" i="6"/>
  <c r="AA66" i="6"/>
  <c r="AC66" i="6" s="1"/>
  <c r="V41" i="6"/>
  <c r="Z58" i="6"/>
  <c r="AC58" i="6" s="1"/>
  <c r="AA92" i="6"/>
  <c r="V190" i="6"/>
  <c r="W197" i="6"/>
  <c r="AB121" i="6"/>
  <c r="AC121" i="6" s="1"/>
  <c r="V128" i="6"/>
  <c r="AB138" i="6"/>
  <c r="X140" i="6"/>
  <c r="W149" i="6"/>
  <c r="V177" i="6"/>
  <c r="W179" i="6"/>
  <c r="Z181" i="6"/>
  <c r="AC181" i="6" s="1"/>
  <c r="P16" i="6"/>
  <c r="K18" i="6"/>
  <c r="X39" i="6"/>
  <c r="X61" i="6"/>
  <c r="W97" i="6"/>
  <c r="Z103" i="6"/>
  <c r="AC103" i="6" s="1"/>
  <c r="AC112" i="6"/>
  <c r="W126" i="6"/>
  <c r="V130" i="6"/>
  <c r="W132" i="6"/>
  <c r="W143" i="6"/>
  <c r="X147" i="6"/>
  <c r="X177" i="6"/>
  <c r="AB197" i="6"/>
  <c r="V94" i="6"/>
  <c r="W172" i="6"/>
  <c r="W117" i="6"/>
  <c r="AA142" i="6"/>
  <c r="AA70" i="6"/>
  <c r="AA77" i="6"/>
  <c r="AC77" i="6" s="1"/>
  <c r="G15" i="6"/>
  <c r="P18" i="6"/>
  <c r="W21" i="6"/>
  <c r="X27" i="6"/>
  <c r="W36" i="6"/>
  <c r="V38" i="6"/>
  <c r="AA52" i="6"/>
  <c r="Z63" i="6"/>
  <c r="AA65" i="6"/>
  <c r="AC65" i="6" s="1"/>
  <c r="Z86" i="6"/>
  <c r="AC86" i="6" s="1"/>
  <c r="Z99" i="6"/>
  <c r="AC99" i="6" s="1"/>
  <c r="V106" i="6"/>
  <c r="X110" i="6"/>
  <c r="AA132" i="6"/>
  <c r="AC132" i="6" s="1"/>
  <c r="Z143" i="6"/>
  <c r="AC143" i="6" s="1"/>
  <c r="W158" i="6"/>
  <c r="W166" i="6"/>
  <c r="V182" i="6"/>
  <c r="Z186" i="6"/>
  <c r="V193" i="6"/>
  <c r="X55" i="6"/>
  <c r="AB125" i="6"/>
  <c r="V70" i="6"/>
  <c r="W77" i="6"/>
  <c r="AA165" i="6"/>
  <c r="Z22" i="6"/>
  <c r="W54" i="6"/>
  <c r="V110" i="6"/>
  <c r="X99" i="6"/>
  <c r="X143" i="6"/>
  <c r="AA175" i="6"/>
  <c r="U16" i="6"/>
  <c r="Z21" i="6"/>
  <c r="AB23" i="6"/>
  <c r="AC69" i="6"/>
  <c r="X74" i="6"/>
  <c r="X80" i="6"/>
  <c r="Z110" i="6"/>
  <c r="AC110" i="6" s="1"/>
  <c r="X135" i="6"/>
  <c r="X158" i="6"/>
  <c r="V138" i="6"/>
  <c r="W53" i="6"/>
  <c r="W24" i="6"/>
  <c r="X94" i="6"/>
  <c r="V121" i="6"/>
  <c r="R12" i="6"/>
  <c r="X49" i="6"/>
  <c r="Z94" i="6"/>
  <c r="V113" i="6"/>
  <c r="AC172" i="6"/>
  <c r="W81" i="6"/>
  <c r="Z101" i="6"/>
  <c r="AA128" i="6"/>
  <c r="AC128" i="6" s="1"/>
  <c r="AA101" i="6"/>
  <c r="V118" i="6"/>
  <c r="J11" i="6"/>
  <c r="AA21" i="6"/>
  <c r="W38" i="6"/>
  <c r="AB63" i="6"/>
  <c r="W67" i="6"/>
  <c r="W106" i="6"/>
  <c r="V112" i="6"/>
  <c r="X120" i="6"/>
  <c r="W137" i="6"/>
  <c r="V184" i="6"/>
  <c r="T15" i="6"/>
  <c r="W87" i="6"/>
  <c r="W51" i="6"/>
  <c r="V117" i="6"/>
  <c r="AB174" i="6"/>
  <c r="AC174" i="6" s="1"/>
  <c r="V90" i="6"/>
  <c r="Z123" i="6"/>
  <c r="AB70" i="6"/>
  <c r="AA113" i="6"/>
  <c r="AC113" i="6" s="1"/>
  <c r="V34" i="6"/>
  <c r="V44" i="6"/>
  <c r="X84" i="6"/>
  <c r="X137" i="6"/>
  <c r="AA184" i="6"/>
  <c r="V189" i="6"/>
  <c r="K17" i="6"/>
  <c r="W157" i="6"/>
  <c r="X172" i="6"/>
  <c r="W121" i="6"/>
  <c r="V68" i="6"/>
  <c r="W155" i="6"/>
  <c r="Z183" i="6"/>
  <c r="AC183" i="6" s="1"/>
  <c r="V186" i="6"/>
  <c r="V29" i="6"/>
  <c r="AA31" i="6"/>
  <c r="AC31" i="6" s="1"/>
  <c r="V145" i="6"/>
  <c r="E11" i="6"/>
  <c r="L11" i="6"/>
  <c r="W48" i="6"/>
  <c r="X67" i="6"/>
  <c r="W108" i="6"/>
  <c r="X38" i="6"/>
  <c r="X53" i="6"/>
  <c r="AB61" i="6"/>
  <c r="AC61" i="6" s="1"/>
  <c r="X87" i="6"/>
  <c r="X89" i="6"/>
  <c r="X112" i="6"/>
  <c r="X118" i="6"/>
  <c r="W162" i="6"/>
  <c r="AA76" i="6"/>
  <c r="V76" i="6"/>
  <c r="X76" i="6"/>
  <c r="AA97" i="6"/>
  <c r="AC97" i="6" s="1"/>
  <c r="V97" i="6"/>
  <c r="X97" i="6"/>
  <c r="X29" i="6"/>
  <c r="W29" i="6"/>
  <c r="AA37" i="6"/>
  <c r="AC37" i="6" s="1"/>
  <c r="V37" i="6"/>
  <c r="X37" i="6"/>
  <c r="X136" i="6"/>
  <c r="AA136" i="6"/>
  <c r="V35" i="6"/>
  <c r="Z35" i="6"/>
  <c r="W35" i="6"/>
  <c r="AB29" i="6"/>
  <c r="AC29" i="6" s="1"/>
  <c r="X95" i="6"/>
  <c r="AB95" i="6"/>
  <c r="AC95" i="6" s="1"/>
  <c r="V187" i="6"/>
  <c r="W187" i="6"/>
  <c r="Z187" i="6"/>
  <c r="AB33" i="6"/>
  <c r="AC33" i="6" s="1"/>
  <c r="AA93" i="6"/>
  <c r="AA134" i="6"/>
  <c r="X134" i="6"/>
  <c r="V134" i="6"/>
  <c r="W185" i="6"/>
  <c r="V185" i="6"/>
  <c r="X187" i="6"/>
  <c r="AA187" i="6"/>
  <c r="AB60" i="6"/>
  <c r="AC60" i="6" s="1"/>
  <c r="X60" i="6"/>
  <c r="AC91" i="6"/>
  <c r="W95" i="6"/>
  <c r="AA85" i="6"/>
  <c r="X85" i="6"/>
  <c r="AB130" i="6"/>
  <c r="AC130" i="6" s="1"/>
  <c r="W130" i="6"/>
  <c r="X130" i="6"/>
  <c r="W134" i="6"/>
  <c r="AB134" i="6"/>
  <c r="W52" i="6"/>
  <c r="V52" i="6"/>
  <c r="Z52" i="6"/>
  <c r="AA54" i="6"/>
  <c r="AC54" i="6" s="1"/>
  <c r="X54" i="6"/>
  <c r="V54" i="6"/>
  <c r="W183" i="6"/>
  <c r="Z185" i="6"/>
  <c r="U17" i="6"/>
  <c r="Q12" i="6"/>
  <c r="AA22" i="6"/>
  <c r="X22" i="6"/>
  <c r="V22" i="6"/>
  <c r="AA83" i="6"/>
  <c r="X83" i="6"/>
  <c r="Z125" i="6"/>
  <c r="W125" i="6"/>
  <c r="V125" i="6"/>
  <c r="X183" i="6"/>
  <c r="AA185" i="6"/>
  <c r="AB76" i="6"/>
  <c r="W76" i="6"/>
  <c r="Z64" i="6"/>
  <c r="V64" i="6"/>
  <c r="W64" i="6"/>
  <c r="AA35" i="6"/>
  <c r="X35" i="6"/>
  <c r="X62" i="6"/>
  <c r="AA62" i="6"/>
  <c r="V62" i="6"/>
  <c r="Z196" i="6"/>
  <c r="W196" i="6"/>
  <c r="V196" i="6"/>
  <c r="W20" i="6"/>
  <c r="V20" i="6"/>
  <c r="Z20" i="6"/>
  <c r="V48" i="6"/>
  <c r="AA48" i="6"/>
  <c r="AC48" i="6" s="1"/>
  <c r="X48" i="6"/>
  <c r="AB50" i="6"/>
  <c r="AC50" i="6" s="1"/>
  <c r="W50" i="6"/>
  <c r="X50" i="6"/>
  <c r="V109" i="6"/>
  <c r="Z109" i="6"/>
  <c r="W109" i="6"/>
  <c r="V171" i="6"/>
  <c r="Z171" i="6"/>
  <c r="W171" i="6"/>
  <c r="AA20" i="6"/>
  <c r="X20" i="6"/>
  <c r="AA109" i="6"/>
  <c r="X109" i="6"/>
  <c r="X171" i="6"/>
  <c r="AA171" i="6"/>
  <c r="O14" i="6"/>
  <c r="M10" i="6"/>
  <c r="X71" i="6"/>
  <c r="AA71" i="6"/>
  <c r="AC71" i="6" s="1"/>
  <c r="V107" i="6"/>
  <c r="Z107" i="6"/>
  <c r="AA107" i="6"/>
  <c r="X107" i="6"/>
  <c r="W169" i="6"/>
  <c r="V169" i="6"/>
  <c r="Z169" i="6"/>
  <c r="I13" i="6"/>
  <c r="AA169" i="6"/>
  <c r="X169" i="6"/>
  <c r="X69" i="6"/>
  <c r="V167" i="6"/>
  <c r="Z167" i="6"/>
  <c r="W167" i="6"/>
  <c r="S10" i="6"/>
  <c r="U13" i="6"/>
  <c r="K15" i="6"/>
  <c r="G18" i="6"/>
  <c r="W32" i="6"/>
  <c r="V32" i="6"/>
  <c r="Z32" i="6"/>
  <c r="AC32" i="6" s="1"/>
  <c r="X123" i="6"/>
  <c r="AB123" i="6"/>
  <c r="V141" i="6"/>
  <c r="W141" i="6"/>
  <c r="Z141" i="6"/>
  <c r="W28" i="6"/>
  <c r="W30" i="6"/>
  <c r="AB30" i="6"/>
  <c r="X30" i="6"/>
  <c r="V88" i="6"/>
  <c r="X88" i="6"/>
  <c r="V96" i="6"/>
  <c r="Z96" i="6"/>
  <c r="AA119" i="6"/>
  <c r="X119" i="6"/>
  <c r="AA141" i="6"/>
  <c r="X141" i="6"/>
  <c r="AA178" i="6"/>
  <c r="AC178" i="6" s="1"/>
  <c r="X178" i="6"/>
  <c r="V178" i="6"/>
  <c r="O15" i="6"/>
  <c r="V23" i="6"/>
  <c r="X23" i="6"/>
  <c r="X28" i="6"/>
  <c r="X45" i="6"/>
  <c r="AA45" i="6"/>
  <c r="AC45" i="6" s="1"/>
  <c r="AC74" i="6"/>
  <c r="V84" i="6"/>
  <c r="W123" i="6"/>
  <c r="Z176" i="6"/>
  <c r="W176" i="6"/>
  <c r="X64" i="6"/>
  <c r="AA64" i="6"/>
  <c r="W165" i="6"/>
  <c r="Z165" i="6"/>
  <c r="W62" i="6"/>
  <c r="AB62" i="6"/>
  <c r="W92" i="6"/>
  <c r="V92" i="6"/>
  <c r="V163" i="6"/>
  <c r="W163" i="6"/>
  <c r="X167" i="6"/>
  <c r="AA167" i="6"/>
  <c r="AC28" i="6"/>
  <c r="V47" i="6"/>
  <c r="Z47" i="6"/>
  <c r="W47" i="6"/>
  <c r="AB68" i="6"/>
  <c r="AC68" i="6" s="1"/>
  <c r="X68" i="6"/>
  <c r="W84" i="6"/>
  <c r="AB88" i="6"/>
  <c r="W88" i="6"/>
  <c r="W100" i="6"/>
  <c r="V100" i="6"/>
  <c r="V102" i="6"/>
  <c r="AA102" i="6"/>
  <c r="X102" i="6"/>
  <c r="V165" i="6"/>
  <c r="AA176" i="6"/>
  <c r="X176" i="6"/>
  <c r="G14" i="6"/>
  <c r="AB57" i="6"/>
  <c r="X57" i="6"/>
  <c r="W86" i="6"/>
  <c r="W116" i="6"/>
  <c r="V116" i="6"/>
  <c r="AA135" i="6"/>
  <c r="AC135" i="6" s="1"/>
  <c r="Z163" i="6"/>
  <c r="V25" i="6"/>
  <c r="W73" i="6"/>
  <c r="V73" i="6"/>
  <c r="Z73" i="6"/>
  <c r="X86" i="6"/>
  <c r="Z92" i="6"/>
  <c r="W102" i="6"/>
  <c r="AB102" i="6"/>
  <c r="Z156" i="6"/>
  <c r="W156" i="6"/>
  <c r="V156" i="6"/>
  <c r="AA163" i="6"/>
  <c r="V174" i="6"/>
  <c r="AA199" i="6"/>
  <c r="X199" i="6"/>
  <c r="I14" i="6"/>
  <c r="W25" i="6"/>
  <c r="Z40" i="6"/>
  <c r="AC40" i="6" s="1"/>
  <c r="W40" i="6"/>
  <c r="V45" i="6"/>
  <c r="AA88" i="6"/>
  <c r="W96" i="6"/>
  <c r="X156" i="6"/>
  <c r="AA156" i="6"/>
  <c r="X174" i="6"/>
  <c r="AA23" i="6"/>
  <c r="X25" i="6"/>
  <c r="V36" i="6"/>
  <c r="W55" i="6"/>
  <c r="W57" i="6"/>
  <c r="Z120" i="6"/>
  <c r="AC120" i="6" s="1"/>
  <c r="V120" i="6"/>
  <c r="W120" i="6"/>
  <c r="Z124" i="6"/>
  <c r="W124" i="6"/>
  <c r="V124" i="6"/>
  <c r="X139" i="6"/>
  <c r="V176" i="6"/>
  <c r="AA47" i="6"/>
  <c r="W69" i="6"/>
  <c r="V69" i="6"/>
  <c r="AB73" i="6"/>
  <c r="X73" i="6"/>
  <c r="V191" i="6"/>
  <c r="W191" i="6"/>
  <c r="Z191" i="6"/>
  <c r="G13" i="6"/>
  <c r="Z55" i="6"/>
  <c r="AC55" i="6" s="1"/>
  <c r="V67" i="6"/>
  <c r="V83" i="6"/>
  <c r="Z83" i="6"/>
  <c r="W83" i="6"/>
  <c r="Z85" i="6"/>
  <c r="V85" i="6"/>
  <c r="W85" i="6"/>
  <c r="Z93" i="6"/>
  <c r="V93" i="6"/>
  <c r="W93" i="6"/>
  <c r="Z100" i="6"/>
  <c r="AC100" i="6" s="1"/>
  <c r="X116" i="6"/>
  <c r="X122" i="6"/>
  <c r="V122" i="6"/>
  <c r="AA122" i="6"/>
  <c r="V136" i="6"/>
  <c r="W136" i="6"/>
  <c r="Z136" i="6"/>
  <c r="X150" i="6"/>
  <c r="W150" i="6"/>
  <c r="W152" i="6"/>
  <c r="AA166" i="6"/>
  <c r="AC166" i="6" s="1"/>
  <c r="X166" i="6"/>
  <c r="V166" i="6"/>
  <c r="X191" i="6"/>
  <c r="AA191" i="6"/>
  <c r="AB195" i="6"/>
  <c r="W195" i="6"/>
  <c r="AA24" i="6"/>
  <c r="AC24" i="6" s="1"/>
  <c r="X24" i="6"/>
  <c r="U14" i="6"/>
  <c r="Z56" i="6"/>
  <c r="W56" i="6"/>
  <c r="V56" i="6"/>
  <c r="AB127" i="6"/>
  <c r="X127" i="6"/>
  <c r="AB142" i="6"/>
  <c r="W142" i="6"/>
  <c r="V175" i="6"/>
  <c r="Z175" i="6"/>
  <c r="W175" i="6"/>
  <c r="W193" i="6"/>
  <c r="X59" i="6"/>
  <c r="AA59" i="6"/>
  <c r="V78" i="6"/>
  <c r="AA78" i="6"/>
  <c r="AC78" i="6" s="1"/>
  <c r="AB90" i="6"/>
  <c r="AC90" i="6" s="1"/>
  <c r="W90" i="6"/>
  <c r="Z104" i="6"/>
  <c r="W104" i="6"/>
  <c r="W180" i="6"/>
  <c r="V180" i="6"/>
  <c r="Z180" i="6"/>
  <c r="E12" i="6"/>
  <c r="W27" i="6"/>
  <c r="V27" i="6"/>
  <c r="Z27" i="6"/>
  <c r="AC27" i="6" s="1"/>
  <c r="V80" i="6"/>
  <c r="Z80" i="6"/>
  <c r="AC80" i="6" s="1"/>
  <c r="W80" i="6"/>
  <c r="X104" i="6"/>
  <c r="AA104" i="6"/>
  <c r="AA180" i="6"/>
  <c r="X180" i="6"/>
  <c r="W49" i="6"/>
  <c r="V49" i="6"/>
  <c r="W59" i="6"/>
  <c r="AB59" i="6"/>
  <c r="X90" i="6"/>
  <c r="W140" i="6"/>
  <c r="V140" i="6"/>
  <c r="W153" i="6"/>
  <c r="V153" i="6"/>
  <c r="AA197" i="6"/>
  <c r="X197" i="6"/>
  <c r="V197" i="6"/>
  <c r="R10" i="6"/>
  <c r="J12" i="6"/>
  <c r="X32" i="6"/>
  <c r="AB42" i="6"/>
  <c r="V75" i="6"/>
  <c r="Z75" i="6"/>
  <c r="AC75" i="6" s="1"/>
  <c r="W75" i="6"/>
  <c r="W89" i="6"/>
  <c r="V89" i="6"/>
  <c r="W113" i="6"/>
  <c r="Z144" i="6"/>
  <c r="AC144" i="6" s="1"/>
  <c r="W144" i="6"/>
  <c r="V144" i="6"/>
  <c r="V151" i="6"/>
  <c r="W151" i="6"/>
  <c r="Z151" i="6"/>
  <c r="W160" i="6"/>
  <c r="X173" i="6"/>
  <c r="X182" i="6"/>
  <c r="Z188" i="6"/>
  <c r="AC188" i="6" s="1"/>
  <c r="V188" i="6"/>
  <c r="AB193" i="6"/>
  <c r="AC193" i="6" s="1"/>
  <c r="I17" i="6"/>
  <c r="X78" i="6"/>
  <c r="V104" i="6"/>
  <c r="X106" i="6"/>
  <c r="AA108" i="6"/>
  <c r="AC108" i="6" s="1"/>
  <c r="V108" i="6"/>
  <c r="W127" i="6"/>
  <c r="V135" i="6"/>
  <c r="W135" i="6"/>
  <c r="V142" i="6"/>
  <c r="X144" i="6"/>
  <c r="X151" i="6"/>
  <c r="AA151" i="6"/>
  <c r="X162" i="6"/>
  <c r="V162" i="6"/>
  <c r="X164" i="6"/>
  <c r="V164" i="6"/>
  <c r="AC182" i="6"/>
  <c r="P17" i="6"/>
  <c r="X51" i="6"/>
  <c r="X58" i="6"/>
  <c r="W58" i="6"/>
  <c r="W63" i="6"/>
  <c r="W68" i="6"/>
  <c r="X75" i="6"/>
  <c r="X91" i="6"/>
  <c r="W101" i="6"/>
  <c r="V159" i="6"/>
  <c r="Z159" i="6"/>
  <c r="AC159" i="6" s="1"/>
  <c r="AA186" i="6"/>
  <c r="W188" i="6"/>
  <c r="I16" i="6"/>
  <c r="H11" i="6"/>
  <c r="V31" i="6"/>
  <c r="W31" i="6"/>
  <c r="Z72" i="6"/>
  <c r="W72" i="6"/>
  <c r="W82" i="6"/>
  <c r="AB82" i="6"/>
  <c r="AC82" i="6" s="1"/>
  <c r="AA96" i="6"/>
  <c r="X96" i="6"/>
  <c r="AA124" i="6"/>
  <c r="X124" i="6"/>
  <c r="Z133" i="6"/>
  <c r="AC133" i="6" s="1"/>
  <c r="W133" i="6"/>
  <c r="AB146" i="6"/>
  <c r="X146" i="6"/>
  <c r="AB164" i="6"/>
  <c r="W164" i="6"/>
  <c r="T18" i="6"/>
  <c r="W41" i="6"/>
  <c r="AA46" i="6"/>
  <c r="V46" i="6"/>
  <c r="Z49" i="6"/>
  <c r="AC49" i="6" s="1"/>
  <c r="AC53" i="6"/>
  <c r="X72" i="6"/>
  <c r="AA72" i="6"/>
  <c r="V91" i="6"/>
  <c r="W91" i="6"/>
  <c r="W105" i="6"/>
  <c r="V105" i="6"/>
  <c r="W122" i="6"/>
  <c r="AB122" i="6"/>
  <c r="Z140" i="6"/>
  <c r="AC140" i="6" s="1"/>
  <c r="Z148" i="6"/>
  <c r="W148" i="6"/>
  <c r="Z153" i="6"/>
  <c r="AC153" i="6" s="1"/>
  <c r="V168" i="6"/>
  <c r="AA168" i="6"/>
  <c r="X168" i="6"/>
  <c r="V43" i="6"/>
  <c r="Z43" i="6"/>
  <c r="AC43" i="6" s="1"/>
  <c r="O17" i="6"/>
  <c r="X43" i="6"/>
  <c r="Z51" i="6"/>
  <c r="AC51" i="6" s="1"/>
  <c r="V79" i="6"/>
  <c r="Z89" i="6"/>
  <c r="AC89" i="6" s="1"/>
  <c r="AA94" i="6"/>
  <c r="X108" i="6"/>
  <c r="W115" i="6"/>
  <c r="V119" i="6"/>
  <c r="Z119" i="6"/>
  <c r="W119" i="6"/>
  <c r="W146" i="6"/>
  <c r="AB155" i="6"/>
  <c r="AA162" i="6"/>
  <c r="AC162" i="6" s="1"/>
  <c r="AA164" i="6"/>
  <c r="AB168" i="6"/>
  <c r="W168" i="6"/>
  <c r="X188" i="6"/>
  <c r="X190" i="6"/>
  <c r="W190" i="6"/>
  <c r="AB190" i="6"/>
  <c r="AC190" i="6" s="1"/>
  <c r="AC139" i="6"/>
  <c r="AA148" i="6"/>
  <c r="X148" i="6"/>
  <c r="AA170" i="6"/>
  <c r="V170" i="6"/>
  <c r="J10" i="6"/>
  <c r="Z184" i="6"/>
  <c r="W184" i="6"/>
  <c r="AB170" i="6"/>
  <c r="W170" i="6"/>
  <c r="W192" i="6"/>
  <c r="X42" i="6"/>
  <c r="AA42" i="6"/>
  <c r="X82" i="6"/>
  <c r="X145" i="6"/>
  <c r="AA145" i="6"/>
  <c r="AC145" i="6" s="1"/>
  <c r="W182" i="6"/>
  <c r="F12" i="6"/>
  <c r="W33" i="6"/>
  <c r="V33" i="6"/>
  <c r="W60" i="6"/>
  <c r="V60" i="6"/>
  <c r="W65" i="6"/>
  <c r="V65" i="6"/>
  <c r="W145" i="6"/>
  <c r="X160" i="6"/>
  <c r="V115" i="6"/>
  <c r="Z115" i="6"/>
  <c r="V127" i="6"/>
  <c r="Z127" i="6"/>
  <c r="X133" i="6"/>
  <c r="X196" i="6"/>
  <c r="V71" i="6"/>
  <c r="W71" i="6"/>
  <c r="V87" i="6"/>
  <c r="AA115" i="6"/>
  <c r="X115" i="6"/>
  <c r="Z173" i="6"/>
  <c r="AC173" i="6" s="1"/>
  <c r="W173" i="6"/>
  <c r="V199" i="6"/>
  <c r="P14" i="6"/>
  <c r="Z39" i="6"/>
  <c r="AC39" i="6" s="1"/>
  <c r="X111" i="6"/>
  <c r="W129" i="6"/>
  <c r="V129" i="6"/>
  <c r="Z147" i="6"/>
  <c r="AC147" i="6" s="1"/>
  <c r="AA196" i="6"/>
  <c r="V111" i="6"/>
  <c r="W111" i="6"/>
  <c r="V155" i="6"/>
  <c r="Z155" i="6"/>
  <c r="P13" i="6"/>
  <c r="Z87" i="6"/>
  <c r="AC87" i="6" s="1"/>
  <c r="AA118" i="6"/>
  <c r="AA126" i="6"/>
  <c r="AC126" i="6" s="1"/>
  <c r="X126" i="6"/>
  <c r="V192" i="6"/>
  <c r="V195" i="6"/>
  <c r="Z195" i="6"/>
  <c r="Z199" i="6"/>
  <c r="X155" i="6"/>
  <c r="X195" i="6"/>
  <c r="V59" i="6"/>
  <c r="V99" i="6"/>
  <c r="V139" i="6"/>
  <c r="V179" i="6"/>
  <c r="X16" i="6" l="1"/>
  <c r="AD198" i="6"/>
  <c r="AD65" i="6"/>
  <c r="AD114" i="6"/>
  <c r="AD46" i="6"/>
  <c r="AD105" i="6"/>
  <c r="AD139" i="6"/>
  <c r="AC63" i="6"/>
  <c r="K12" i="6"/>
  <c r="AC102" i="6"/>
  <c r="AD186" i="6"/>
  <c r="AC156" i="6"/>
  <c r="AD181" i="6"/>
  <c r="AC114" i="6"/>
  <c r="G10" i="6"/>
  <c r="AD152" i="6"/>
  <c r="V18" i="6"/>
  <c r="O11" i="6"/>
  <c r="AD22" i="6"/>
  <c r="O12" i="6"/>
  <c r="AD56" i="6"/>
  <c r="AC56" i="6"/>
  <c r="W13" i="6"/>
  <c r="AC134" i="6"/>
  <c r="AD44" i="6"/>
  <c r="AD52" i="6"/>
  <c r="AD154" i="6"/>
  <c r="P10" i="6"/>
  <c r="AC57" i="6"/>
  <c r="P12" i="6"/>
  <c r="N9" i="6"/>
  <c r="AD95" i="6"/>
  <c r="AD55" i="6"/>
  <c r="AC197" i="6"/>
  <c r="U11" i="6"/>
  <c r="AC168" i="6"/>
  <c r="AC70" i="6"/>
  <c r="T11" i="6"/>
  <c r="AD103" i="6"/>
  <c r="I11" i="6"/>
  <c r="AC94" i="6"/>
  <c r="AD130" i="6"/>
  <c r="AD74" i="6"/>
  <c r="Q9" i="6"/>
  <c r="AD53" i="6"/>
  <c r="AC154" i="6"/>
  <c r="AC146" i="6"/>
  <c r="AD172" i="6"/>
  <c r="AC138" i="6"/>
  <c r="W16" i="6"/>
  <c r="X14" i="6"/>
  <c r="AD98" i="6"/>
  <c r="AD100" i="6"/>
  <c r="AD158" i="6"/>
  <c r="AD157" i="6"/>
  <c r="AD94" i="6"/>
  <c r="AD70" i="6"/>
  <c r="AD21" i="6"/>
  <c r="AC119" i="6"/>
  <c r="AD58" i="6"/>
  <c r="AD150" i="6"/>
  <c r="AD134" i="6"/>
  <c r="AD137" i="6"/>
  <c r="AD189" i="6"/>
  <c r="AD36" i="6"/>
  <c r="AD194" i="6"/>
  <c r="AD26" i="6"/>
  <c r="AD180" i="6"/>
  <c r="W18" i="6"/>
  <c r="AD140" i="6"/>
  <c r="AC23" i="6"/>
  <c r="V16" i="6"/>
  <c r="AD51" i="6"/>
  <c r="AC30" i="6"/>
  <c r="AD131" i="6"/>
  <c r="AD29" i="6"/>
  <c r="AD145" i="6"/>
  <c r="AD125" i="6"/>
  <c r="AD155" i="6"/>
  <c r="AC104" i="6"/>
  <c r="AC20" i="6"/>
  <c r="AD34" i="6"/>
  <c r="AC195" i="6"/>
  <c r="AC85" i="6"/>
  <c r="T12" i="6"/>
  <c r="AD32" i="6"/>
  <c r="AC46" i="6"/>
  <c r="AC191" i="6"/>
  <c r="AD142" i="6"/>
  <c r="AC142" i="6"/>
  <c r="AC42" i="6"/>
  <c r="AD20" i="6"/>
  <c r="AD42" i="6"/>
  <c r="AD101" i="6"/>
  <c r="AD113" i="6"/>
  <c r="X13" i="6"/>
  <c r="AC107" i="6"/>
  <c r="AD159" i="6"/>
  <c r="V13" i="6"/>
  <c r="AD146" i="6"/>
  <c r="W17" i="6"/>
  <c r="AC184" i="6"/>
  <c r="E9" i="6"/>
  <c r="AC170" i="6"/>
  <c r="AD123" i="6"/>
  <c r="AD126" i="6"/>
  <c r="AD128" i="6"/>
  <c r="AD77" i="6"/>
  <c r="AC118" i="6"/>
  <c r="AD33" i="6"/>
  <c r="AD28" i="6"/>
  <c r="I10" i="6"/>
  <c r="AD121" i="6"/>
  <c r="AD112" i="6"/>
  <c r="AD138" i="6"/>
  <c r="AD63" i="6"/>
  <c r="AD40" i="6"/>
  <c r="AD50" i="6"/>
  <c r="AD129" i="6"/>
  <c r="AD61" i="6"/>
  <c r="AD133" i="6"/>
  <c r="AC152" i="6"/>
  <c r="AD184" i="6"/>
  <c r="AC76" i="6"/>
  <c r="AD118" i="6"/>
  <c r="AC141" i="6"/>
  <c r="AD81" i="6"/>
  <c r="AC52" i="6"/>
  <c r="AD68" i="6"/>
  <c r="AD173" i="6"/>
  <c r="AC125" i="6"/>
  <c r="AD82" i="6"/>
  <c r="AD86" i="6"/>
  <c r="AD164" i="6"/>
  <c r="P11" i="6"/>
  <c r="G11" i="6"/>
  <c r="AD174" i="6"/>
  <c r="AD162" i="6"/>
  <c r="AD177" i="6"/>
  <c r="AD89" i="6"/>
  <c r="AD79" i="6"/>
  <c r="AC22" i="6"/>
  <c r="AD72" i="6"/>
  <c r="AD190" i="6"/>
  <c r="AC93" i="6"/>
  <c r="AC92" i="6"/>
  <c r="AD182" i="6"/>
  <c r="AD193" i="6"/>
  <c r="X15" i="6"/>
  <c r="L9" i="6"/>
  <c r="AD30" i="6"/>
  <c r="AD132" i="6"/>
  <c r="AC123" i="6"/>
  <c r="AD149" i="6"/>
  <c r="AD166" i="6"/>
  <c r="AC62" i="6"/>
  <c r="AD178" i="6"/>
  <c r="AD122" i="6"/>
  <c r="AD108" i="6"/>
  <c r="AD106" i="6"/>
  <c r="AD179" i="6"/>
  <c r="AD80" i="6"/>
  <c r="AD99" i="6"/>
  <c r="AC165" i="6"/>
  <c r="AC101" i="6"/>
  <c r="AD41" i="6"/>
  <c r="AD143" i="6"/>
  <c r="AD110" i="6"/>
  <c r="AD24" i="6"/>
  <c r="K11" i="6"/>
  <c r="AD35" i="6"/>
  <c r="AD161" i="6"/>
  <c r="AC186" i="6"/>
  <c r="AD160" i="6"/>
  <c r="AD67" i="6"/>
  <c r="AC163" i="6"/>
  <c r="AD117" i="6"/>
  <c r="W14" i="6"/>
  <c r="AC122" i="6"/>
  <c r="AD57" i="6"/>
  <c r="AD49" i="6"/>
  <c r="AD87" i="6"/>
  <c r="AC175" i="6"/>
  <c r="AD45" i="6"/>
  <c r="AD25" i="6"/>
  <c r="AC136" i="6"/>
  <c r="AC124" i="6"/>
  <c r="AC21" i="6"/>
  <c r="AD39" i="6"/>
  <c r="AD38" i="6"/>
  <c r="AD147" i="6"/>
  <c r="AC115" i="6"/>
  <c r="AD115" i="6"/>
  <c r="AD27" i="6"/>
  <c r="AD148" i="6"/>
  <c r="AD153" i="6"/>
  <c r="X18" i="6"/>
  <c r="AD116" i="6"/>
  <c r="AD54" i="6"/>
  <c r="AD185" i="6"/>
  <c r="AD66" i="6"/>
  <c r="M9" i="6"/>
  <c r="O10" i="6"/>
  <c r="I12" i="6"/>
  <c r="G12" i="6"/>
  <c r="AD48" i="6"/>
  <c r="AD120" i="6"/>
  <c r="AD127" i="6"/>
  <c r="AD141" i="6"/>
  <c r="AD196" i="6"/>
  <c r="AD91" i="6"/>
  <c r="AD136" i="6"/>
  <c r="AD111" i="6"/>
  <c r="X17" i="6"/>
  <c r="V17" i="6"/>
  <c r="AD90" i="6"/>
  <c r="AC72" i="6"/>
  <c r="AD104" i="6"/>
  <c r="AD75" i="6"/>
  <c r="V14" i="6"/>
  <c r="AD31" i="6"/>
  <c r="AD78" i="6"/>
  <c r="AD191" i="6"/>
  <c r="AC169" i="6"/>
  <c r="AC59" i="6"/>
  <c r="AD169" i="6"/>
  <c r="AC199" i="6"/>
  <c r="AD188" i="6"/>
  <c r="AC196" i="6"/>
  <c r="AD97" i="6"/>
  <c r="AC164" i="6"/>
  <c r="AD168" i="6"/>
  <c r="AC47" i="6"/>
  <c r="AD62" i="6"/>
  <c r="AD195" i="6"/>
  <c r="R9" i="6"/>
  <c r="T10" i="6"/>
  <c r="AD69" i="6"/>
  <c r="AD156" i="6"/>
  <c r="AD47" i="6"/>
  <c r="AC176" i="6"/>
  <c r="AD192" i="6"/>
  <c r="AD199" i="6"/>
  <c r="AD197" i="6"/>
  <c r="AD93" i="6"/>
  <c r="U12" i="6"/>
  <c r="V15" i="6"/>
  <c r="W15" i="6"/>
  <c r="AC171" i="6"/>
  <c r="AC187" i="6"/>
  <c r="AD76" i="6"/>
  <c r="AD37" i="6"/>
  <c r="AC96" i="6"/>
  <c r="AD171" i="6"/>
  <c r="AD84" i="6"/>
  <c r="H9" i="6"/>
  <c r="AD187" i="6"/>
  <c r="AD85" i="6"/>
  <c r="AC109" i="6"/>
  <c r="AD165" i="6"/>
  <c r="AD88" i="6"/>
  <c r="AD109" i="6"/>
  <c r="K10" i="6"/>
  <c r="J9" i="6"/>
  <c r="AD64" i="6"/>
  <c r="AD170" i="6"/>
  <c r="AD135" i="6"/>
  <c r="AC64" i="6"/>
  <c r="AC127" i="6"/>
  <c r="AD23" i="6"/>
  <c r="AD59" i="6"/>
  <c r="AD43" i="6"/>
  <c r="AC148" i="6"/>
  <c r="AC151" i="6"/>
  <c r="F9" i="6"/>
  <c r="AD96" i="6"/>
  <c r="U10" i="6"/>
  <c r="S9" i="6"/>
  <c r="AD175" i="6"/>
  <c r="AD119" i="6"/>
  <c r="AD151" i="6"/>
  <c r="AC167" i="6"/>
  <c r="AD107" i="6"/>
  <c r="AD60" i="6"/>
  <c r="AD144" i="6"/>
  <c r="AD176" i="6"/>
  <c r="AD167" i="6"/>
  <c r="AC185" i="6"/>
  <c r="AC83" i="6"/>
  <c r="AC88" i="6"/>
  <c r="AC73" i="6"/>
  <c r="AD163" i="6"/>
  <c r="AD183" i="6"/>
  <c r="AC155" i="6"/>
  <c r="AD71" i="6"/>
  <c r="AC180" i="6"/>
  <c r="AD83" i="6"/>
  <c r="AD124" i="6"/>
  <c r="AD73" i="6"/>
  <c r="AD102" i="6"/>
  <c r="AD92" i="6"/>
  <c r="AC35" i="6"/>
  <c r="W12" i="6" l="1"/>
  <c r="V12" i="6"/>
  <c r="P9" i="6"/>
  <c r="V11" i="6"/>
  <c r="X11" i="6"/>
  <c r="U9" i="6"/>
  <c r="T9" i="6"/>
  <c r="X12" i="6"/>
  <c r="W11" i="6"/>
  <c r="G9" i="6"/>
  <c r="I9" i="6"/>
  <c r="O9" i="6"/>
  <c r="K9" i="6"/>
  <c r="V10" i="6"/>
  <c r="W10" i="6"/>
  <c r="X10" i="6"/>
  <c r="X9" i="6" l="1"/>
  <c r="W9" i="6"/>
  <c r="V9" i="6"/>
  <c r="T187" i="5" l="1"/>
  <c r="R187" i="5"/>
  <c r="Q187" i="5"/>
  <c r="M187" i="5"/>
  <c r="L187" i="5"/>
  <c r="T186" i="5"/>
  <c r="R186" i="5"/>
  <c r="Q186" i="5"/>
  <c r="M186" i="5"/>
  <c r="L186" i="5"/>
  <c r="T185" i="5"/>
  <c r="R185" i="5"/>
  <c r="Q185" i="5"/>
  <c r="M185" i="5"/>
  <c r="L185" i="5"/>
  <c r="T184" i="5"/>
  <c r="R184" i="5"/>
  <c r="Q184" i="5"/>
  <c r="M184" i="5"/>
  <c r="L184" i="5"/>
  <c r="T183" i="5"/>
  <c r="R183" i="5"/>
  <c r="Q183" i="5"/>
  <c r="M183" i="5"/>
  <c r="L183" i="5"/>
  <c r="T182" i="5"/>
  <c r="R182" i="5"/>
  <c r="Q182" i="5"/>
  <c r="M182" i="5"/>
  <c r="L182" i="5"/>
  <c r="T181" i="5"/>
  <c r="R181" i="5"/>
  <c r="Q181" i="5"/>
  <c r="M181" i="5"/>
  <c r="L181" i="5"/>
  <c r="T180" i="5"/>
  <c r="R180" i="5"/>
  <c r="Q180" i="5"/>
  <c r="M180" i="5"/>
  <c r="L180" i="5"/>
  <c r="T179" i="5"/>
  <c r="R179" i="5"/>
  <c r="Q179" i="5"/>
  <c r="M179" i="5"/>
  <c r="L179" i="5"/>
  <c r="T178" i="5"/>
  <c r="R178" i="5"/>
  <c r="Q178" i="5"/>
  <c r="M178" i="5"/>
  <c r="L178" i="5"/>
  <c r="T177" i="5"/>
  <c r="R177" i="5"/>
  <c r="Q177" i="5"/>
  <c r="M177" i="5"/>
  <c r="L177" i="5"/>
  <c r="T176" i="5"/>
  <c r="R176" i="5"/>
  <c r="Q176" i="5"/>
  <c r="M176" i="5"/>
  <c r="L176" i="5"/>
  <c r="T175" i="5"/>
  <c r="R175" i="5"/>
  <c r="Q175" i="5"/>
  <c r="M175" i="5"/>
  <c r="L175" i="5"/>
  <c r="T174" i="5"/>
  <c r="R174" i="5"/>
  <c r="Q174" i="5"/>
  <c r="M174" i="5"/>
  <c r="L174" i="5"/>
  <c r="T173" i="5"/>
  <c r="R173" i="5"/>
  <c r="Q173" i="5"/>
  <c r="M173" i="5"/>
  <c r="L173" i="5"/>
  <c r="T172" i="5"/>
  <c r="R172" i="5"/>
  <c r="Q172" i="5"/>
  <c r="M172" i="5"/>
  <c r="L172" i="5"/>
  <c r="T171" i="5"/>
  <c r="R171" i="5"/>
  <c r="Q171" i="5"/>
  <c r="M171" i="5"/>
  <c r="L171" i="5"/>
  <c r="T170" i="5"/>
  <c r="R170" i="5"/>
  <c r="Q170" i="5"/>
  <c r="M170" i="5"/>
  <c r="L170" i="5"/>
  <c r="T169" i="5"/>
  <c r="R169" i="5"/>
  <c r="Q169" i="5"/>
  <c r="M169" i="5"/>
  <c r="L169" i="5"/>
  <c r="T168" i="5"/>
  <c r="R168" i="5"/>
  <c r="Q168" i="5"/>
  <c r="M168" i="5"/>
  <c r="L168" i="5"/>
  <c r="T167" i="5"/>
  <c r="R167" i="5"/>
  <c r="Q167" i="5"/>
  <c r="M167" i="5"/>
  <c r="L167" i="5"/>
  <c r="T166" i="5"/>
  <c r="R166" i="5"/>
  <c r="Q166" i="5"/>
  <c r="M166" i="5"/>
  <c r="L166" i="5"/>
  <c r="T165" i="5"/>
  <c r="R165" i="5"/>
  <c r="Q165" i="5"/>
  <c r="M165" i="5"/>
  <c r="L165" i="5"/>
  <c r="T164" i="5"/>
  <c r="R164" i="5"/>
  <c r="Q164" i="5"/>
  <c r="M164" i="5"/>
  <c r="L164" i="5"/>
  <c r="T163" i="5"/>
  <c r="R163" i="5"/>
  <c r="Q163" i="5"/>
  <c r="M163" i="5"/>
  <c r="L163" i="5"/>
  <c r="T162" i="5"/>
  <c r="R162" i="5"/>
  <c r="Q162" i="5"/>
  <c r="M162" i="5"/>
  <c r="L162" i="5"/>
  <c r="T161" i="5"/>
  <c r="R161" i="5"/>
  <c r="Q161" i="5"/>
  <c r="M161" i="5"/>
  <c r="L161" i="5"/>
  <c r="T160" i="5"/>
  <c r="R160" i="5"/>
  <c r="Q160" i="5"/>
  <c r="M160" i="5"/>
  <c r="L160" i="5"/>
  <c r="T159" i="5"/>
  <c r="R159" i="5"/>
  <c r="Q159" i="5"/>
  <c r="M159" i="5"/>
  <c r="L159" i="5"/>
  <c r="T158" i="5"/>
  <c r="R158" i="5"/>
  <c r="Q158" i="5"/>
  <c r="M158" i="5"/>
  <c r="L158" i="5"/>
  <c r="T157" i="5"/>
  <c r="R157" i="5"/>
  <c r="Q157" i="5"/>
  <c r="M157" i="5"/>
  <c r="L157" i="5"/>
  <c r="T156" i="5"/>
  <c r="R156" i="5"/>
  <c r="Q156" i="5"/>
  <c r="M156" i="5"/>
  <c r="L156" i="5"/>
  <c r="T155" i="5"/>
  <c r="R155" i="5"/>
  <c r="Q155" i="5"/>
  <c r="M155" i="5"/>
  <c r="L155" i="5"/>
  <c r="T154" i="5"/>
  <c r="R154" i="5"/>
  <c r="Q154" i="5"/>
  <c r="M154" i="5"/>
  <c r="L154" i="5"/>
  <c r="T153" i="5"/>
  <c r="R153" i="5"/>
  <c r="Q153" i="5"/>
  <c r="M153" i="5"/>
  <c r="L153" i="5"/>
  <c r="T152" i="5"/>
  <c r="R152" i="5"/>
  <c r="Q152" i="5"/>
  <c r="M152" i="5"/>
  <c r="L152" i="5"/>
  <c r="T151" i="5"/>
  <c r="R151" i="5"/>
  <c r="Q151" i="5"/>
  <c r="M151" i="5"/>
  <c r="L151" i="5"/>
  <c r="T150" i="5"/>
  <c r="R150" i="5"/>
  <c r="Q150" i="5"/>
  <c r="M150" i="5"/>
  <c r="L150" i="5"/>
  <c r="T149" i="5"/>
  <c r="R149" i="5"/>
  <c r="Q149" i="5"/>
  <c r="M149" i="5"/>
  <c r="L149" i="5"/>
  <c r="T148" i="5"/>
  <c r="R148" i="5"/>
  <c r="Q148" i="5"/>
  <c r="M148" i="5"/>
  <c r="L148" i="5"/>
  <c r="T147" i="5"/>
  <c r="R147" i="5"/>
  <c r="Q147" i="5"/>
  <c r="M147" i="5"/>
  <c r="L147" i="5"/>
  <c r="T146" i="5"/>
  <c r="R146" i="5"/>
  <c r="Q146" i="5"/>
  <c r="M146" i="5"/>
  <c r="L146" i="5"/>
  <c r="T145" i="5"/>
  <c r="R145" i="5"/>
  <c r="Q145" i="5"/>
  <c r="M145" i="5"/>
  <c r="L145" i="5"/>
  <c r="T144" i="5"/>
  <c r="R144" i="5"/>
  <c r="Q144" i="5"/>
  <c r="M144" i="5"/>
  <c r="L144" i="5"/>
  <c r="T143" i="5"/>
  <c r="R143" i="5"/>
  <c r="Q143" i="5"/>
  <c r="M143" i="5"/>
  <c r="L143" i="5"/>
  <c r="T142" i="5"/>
  <c r="R142" i="5"/>
  <c r="Q142" i="5"/>
  <c r="M142" i="5"/>
  <c r="L142" i="5"/>
  <c r="T141" i="5"/>
  <c r="R141" i="5"/>
  <c r="Q141" i="5"/>
  <c r="M141" i="5"/>
  <c r="L141" i="5"/>
  <c r="T140" i="5"/>
  <c r="R140" i="5"/>
  <c r="Q140" i="5"/>
  <c r="M140" i="5"/>
  <c r="L140" i="5"/>
  <c r="T139" i="5"/>
  <c r="R139" i="5"/>
  <c r="Q139" i="5"/>
  <c r="M139" i="5"/>
  <c r="L139" i="5"/>
  <c r="T138" i="5"/>
  <c r="R138" i="5"/>
  <c r="Q138" i="5"/>
  <c r="M138" i="5"/>
  <c r="L138" i="5"/>
  <c r="T137" i="5"/>
  <c r="R137" i="5"/>
  <c r="Q137" i="5"/>
  <c r="M137" i="5"/>
  <c r="L137" i="5"/>
  <c r="T136" i="5"/>
  <c r="R136" i="5"/>
  <c r="Q136" i="5"/>
  <c r="M136" i="5"/>
  <c r="L136" i="5"/>
  <c r="T135" i="5"/>
  <c r="R135" i="5"/>
  <c r="Q135" i="5"/>
  <c r="M135" i="5"/>
  <c r="L135" i="5"/>
  <c r="T134" i="5"/>
  <c r="R134" i="5"/>
  <c r="Q134" i="5"/>
  <c r="M134" i="5"/>
  <c r="L134" i="5"/>
  <c r="T133" i="5"/>
  <c r="R133" i="5"/>
  <c r="Q133" i="5"/>
  <c r="M133" i="5"/>
  <c r="L133" i="5"/>
  <c r="T132" i="5"/>
  <c r="R132" i="5"/>
  <c r="Q132" i="5"/>
  <c r="M132" i="5"/>
  <c r="L132" i="5"/>
  <c r="T131" i="5"/>
  <c r="R131" i="5"/>
  <c r="Q131" i="5"/>
  <c r="M131" i="5"/>
  <c r="L131" i="5"/>
  <c r="T130" i="5"/>
  <c r="R130" i="5"/>
  <c r="Q130" i="5"/>
  <c r="M130" i="5"/>
  <c r="L130" i="5"/>
  <c r="T129" i="5"/>
  <c r="R129" i="5"/>
  <c r="Q129" i="5"/>
  <c r="M129" i="5"/>
  <c r="L129" i="5"/>
  <c r="T128" i="5"/>
  <c r="R128" i="5"/>
  <c r="Q128" i="5"/>
  <c r="M128" i="5"/>
  <c r="L128" i="5"/>
  <c r="T127" i="5"/>
  <c r="R127" i="5"/>
  <c r="Q127" i="5"/>
  <c r="M127" i="5"/>
  <c r="L127" i="5"/>
  <c r="T126" i="5"/>
  <c r="R126" i="5"/>
  <c r="Q126" i="5"/>
  <c r="M126" i="5"/>
  <c r="L126" i="5"/>
  <c r="T125" i="5"/>
  <c r="R125" i="5"/>
  <c r="Q125" i="5"/>
  <c r="M125" i="5"/>
  <c r="L125" i="5"/>
  <c r="T124" i="5"/>
  <c r="R124" i="5"/>
  <c r="Q124" i="5"/>
  <c r="M124" i="5"/>
  <c r="L124" i="5"/>
  <c r="T123" i="5"/>
  <c r="R123" i="5"/>
  <c r="Q123" i="5"/>
  <c r="M123" i="5"/>
  <c r="L123" i="5"/>
  <c r="T122" i="5"/>
  <c r="R122" i="5"/>
  <c r="Q122" i="5"/>
  <c r="M122" i="5"/>
  <c r="L122" i="5"/>
  <c r="T121" i="5"/>
  <c r="R121" i="5"/>
  <c r="Q121" i="5"/>
  <c r="M121" i="5"/>
  <c r="L121" i="5"/>
  <c r="T120" i="5"/>
  <c r="R120" i="5"/>
  <c r="Q120" i="5"/>
  <c r="M120" i="5"/>
  <c r="L120" i="5"/>
  <c r="T119" i="5"/>
  <c r="R119" i="5"/>
  <c r="Q119" i="5"/>
  <c r="M119" i="5"/>
  <c r="L119" i="5"/>
  <c r="T118" i="5"/>
  <c r="R118" i="5"/>
  <c r="Q118" i="5"/>
  <c r="M118" i="5"/>
  <c r="L118" i="5"/>
  <c r="T117" i="5"/>
  <c r="R117" i="5"/>
  <c r="Q117" i="5"/>
  <c r="M117" i="5"/>
  <c r="L117" i="5"/>
  <c r="T116" i="5"/>
  <c r="R116" i="5"/>
  <c r="Q116" i="5"/>
  <c r="M116" i="5"/>
  <c r="L116" i="5"/>
  <c r="T115" i="5"/>
  <c r="R115" i="5"/>
  <c r="Q115" i="5"/>
  <c r="M115" i="5"/>
  <c r="L115" i="5"/>
  <c r="T114" i="5"/>
  <c r="R114" i="5"/>
  <c r="Q114" i="5"/>
  <c r="M114" i="5"/>
  <c r="L114" i="5"/>
  <c r="T113" i="5"/>
  <c r="R113" i="5"/>
  <c r="Q113" i="5"/>
  <c r="M113" i="5"/>
  <c r="L113" i="5"/>
  <c r="T112" i="5"/>
  <c r="R112" i="5"/>
  <c r="Q112" i="5"/>
  <c r="M112" i="5"/>
  <c r="L112" i="5"/>
  <c r="T111" i="5"/>
  <c r="R111" i="5"/>
  <c r="Q111" i="5"/>
  <c r="M111" i="5"/>
  <c r="L111" i="5"/>
  <c r="T110" i="5"/>
  <c r="R110" i="5"/>
  <c r="Q110" i="5"/>
  <c r="M110" i="5"/>
  <c r="L110" i="5"/>
  <c r="T109" i="5"/>
  <c r="R109" i="5"/>
  <c r="Q109" i="5"/>
  <c r="M109" i="5"/>
  <c r="L109" i="5"/>
  <c r="T108" i="5"/>
  <c r="R108" i="5"/>
  <c r="Q108" i="5"/>
  <c r="M108" i="5"/>
  <c r="L108" i="5"/>
  <c r="T107" i="5"/>
  <c r="R107" i="5"/>
  <c r="Q107" i="5"/>
  <c r="M107" i="5"/>
  <c r="L107" i="5"/>
  <c r="T106" i="5"/>
  <c r="R106" i="5"/>
  <c r="Q106" i="5"/>
  <c r="M106" i="5"/>
  <c r="L106" i="5"/>
  <c r="T105" i="5"/>
  <c r="R105" i="5"/>
  <c r="Q105" i="5"/>
  <c r="M105" i="5"/>
  <c r="L105" i="5"/>
  <c r="T104" i="5"/>
  <c r="R104" i="5"/>
  <c r="Q104" i="5"/>
  <c r="M104" i="5"/>
  <c r="L104" i="5"/>
  <c r="T103" i="5"/>
  <c r="R103" i="5"/>
  <c r="Q103" i="5"/>
  <c r="M103" i="5"/>
  <c r="L103" i="5"/>
  <c r="T102" i="5"/>
  <c r="R102" i="5"/>
  <c r="Q102" i="5"/>
  <c r="M102" i="5"/>
  <c r="L102" i="5"/>
  <c r="T101" i="5"/>
  <c r="R101" i="5"/>
  <c r="Q101" i="5"/>
  <c r="M101" i="5"/>
  <c r="L101" i="5"/>
  <c r="T100" i="5"/>
  <c r="R100" i="5"/>
  <c r="Q100" i="5"/>
  <c r="M100" i="5"/>
  <c r="L100" i="5"/>
  <c r="T99" i="5"/>
  <c r="R99" i="5"/>
  <c r="Q99" i="5"/>
  <c r="M99" i="5"/>
  <c r="L99" i="5"/>
  <c r="T98" i="5"/>
  <c r="R98" i="5"/>
  <c r="Q98" i="5"/>
  <c r="M98" i="5"/>
  <c r="L98" i="5"/>
  <c r="T97" i="5"/>
  <c r="R97" i="5"/>
  <c r="Q97" i="5"/>
  <c r="M97" i="5"/>
  <c r="L97" i="5"/>
  <c r="T96" i="5"/>
  <c r="R96" i="5"/>
  <c r="Q96" i="5"/>
  <c r="M96" i="5"/>
  <c r="L96" i="5"/>
  <c r="T95" i="5"/>
  <c r="R95" i="5"/>
  <c r="Q95" i="5"/>
  <c r="M95" i="5"/>
  <c r="L95" i="5"/>
  <c r="T94" i="5"/>
  <c r="R94" i="5"/>
  <c r="Q94" i="5"/>
  <c r="M94" i="5"/>
  <c r="L94" i="5"/>
  <c r="T93" i="5"/>
  <c r="R93" i="5"/>
  <c r="Q93" i="5"/>
  <c r="M93" i="5"/>
  <c r="L93" i="5"/>
  <c r="T92" i="5"/>
  <c r="R92" i="5"/>
  <c r="Q92" i="5"/>
  <c r="M92" i="5"/>
  <c r="L92" i="5"/>
  <c r="T91" i="5"/>
  <c r="R91" i="5"/>
  <c r="Q91" i="5"/>
  <c r="M91" i="5"/>
  <c r="L91" i="5"/>
  <c r="T90" i="5"/>
  <c r="R90" i="5"/>
  <c r="Q90" i="5"/>
  <c r="M90" i="5"/>
  <c r="L90" i="5"/>
  <c r="T89" i="5"/>
  <c r="R89" i="5"/>
  <c r="Q89" i="5"/>
  <c r="M89" i="5"/>
  <c r="L89" i="5"/>
  <c r="T88" i="5"/>
  <c r="R88" i="5"/>
  <c r="Q88" i="5"/>
  <c r="M88" i="5"/>
  <c r="L88" i="5"/>
  <c r="T87" i="5"/>
  <c r="R87" i="5"/>
  <c r="Q87" i="5"/>
  <c r="M87" i="5"/>
  <c r="L87" i="5"/>
  <c r="T86" i="5"/>
  <c r="R86" i="5"/>
  <c r="Q86" i="5"/>
  <c r="M86" i="5"/>
  <c r="L86" i="5"/>
  <c r="T85" i="5"/>
  <c r="R85" i="5"/>
  <c r="Q85" i="5"/>
  <c r="M85" i="5"/>
  <c r="L85" i="5"/>
  <c r="T84" i="5"/>
  <c r="R84" i="5"/>
  <c r="Q84" i="5"/>
  <c r="M84" i="5"/>
  <c r="L84" i="5"/>
  <c r="T83" i="5"/>
  <c r="R83" i="5"/>
  <c r="Q83" i="5"/>
  <c r="M83" i="5"/>
  <c r="L83" i="5"/>
  <c r="T82" i="5"/>
  <c r="R82" i="5"/>
  <c r="Q82" i="5"/>
  <c r="M82" i="5"/>
  <c r="L82" i="5"/>
  <c r="T81" i="5"/>
  <c r="R81" i="5"/>
  <c r="Q81" i="5"/>
  <c r="M81" i="5"/>
  <c r="L81" i="5"/>
  <c r="T80" i="5"/>
  <c r="R80" i="5"/>
  <c r="Q80" i="5"/>
  <c r="M80" i="5"/>
  <c r="L80" i="5"/>
  <c r="T79" i="5"/>
  <c r="R79" i="5"/>
  <c r="Q79" i="5"/>
  <c r="M79" i="5"/>
  <c r="L79" i="5"/>
  <c r="T78" i="5"/>
  <c r="R78" i="5"/>
  <c r="Q78" i="5"/>
  <c r="M78" i="5"/>
  <c r="L78" i="5"/>
  <c r="T77" i="5"/>
  <c r="R77" i="5"/>
  <c r="Q77" i="5"/>
  <c r="M77" i="5"/>
  <c r="L77" i="5"/>
  <c r="T76" i="5"/>
  <c r="R76" i="5"/>
  <c r="Q76" i="5"/>
  <c r="M76" i="5"/>
  <c r="L76" i="5"/>
  <c r="T75" i="5"/>
  <c r="R75" i="5"/>
  <c r="Q75" i="5"/>
  <c r="M75" i="5"/>
  <c r="L75" i="5"/>
  <c r="T74" i="5"/>
  <c r="R74" i="5"/>
  <c r="Q74" i="5"/>
  <c r="M74" i="5"/>
  <c r="L74" i="5"/>
  <c r="T73" i="5"/>
  <c r="R73" i="5"/>
  <c r="Q73" i="5"/>
  <c r="M73" i="5"/>
  <c r="L73" i="5"/>
  <c r="T72" i="5"/>
  <c r="R72" i="5"/>
  <c r="Q72" i="5"/>
  <c r="M72" i="5"/>
  <c r="L72" i="5"/>
  <c r="T71" i="5"/>
  <c r="R71" i="5"/>
  <c r="Q71" i="5"/>
  <c r="M71" i="5"/>
  <c r="L71" i="5"/>
  <c r="T70" i="5"/>
  <c r="R70" i="5"/>
  <c r="Q70" i="5"/>
  <c r="M70" i="5"/>
  <c r="L70" i="5"/>
  <c r="T69" i="5"/>
  <c r="R69" i="5"/>
  <c r="Q69" i="5"/>
  <c r="M69" i="5"/>
  <c r="L69" i="5"/>
  <c r="T68" i="5"/>
  <c r="R68" i="5"/>
  <c r="Q68" i="5"/>
  <c r="M68" i="5"/>
  <c r="L68" i="5"/>
  <c r="T67" i="5"/>
  <c r="R67" i="5"/>
  <c r="Q67" i="5"/>
  <c r="M67" i="5"/>
  <c r="L67" i="5"/>
  <c r="T66" i="5"/>
  <c r="R66" i="5"/>
  <c r="Q66" i="5"/>
  <c r="M66" i="5"/>
  <c r="L66" i="5"/>
  <c r="X65" i="5"/>
  <c r="T65" i="5"/>
  <c r="R65" i="5"/>
  <c r="Q65" i="5"/>
  <c r="M65" i="5"/>
  <c r="L65" i="5"/>
  <c r="X64" i="5"/>
  <c r="T64" i="5"/>
  <c r="R64" i="5"/>
  <c r="Q64" i="5"/>
  <c r="M64" i="5"/>
  <c r="L64" i="5"/>
  <c r="X63" i="5"/>
  <c r="T63" i="5"/>
  <c r="R63" i="5"/>
  <c r="Q63" i="5"/>
  <c r="M63" i="5"/>
  <c r="L63" i="5"/>
  <c r="X62" i="5"/>
  <c r="T62" i="5"/>
  <c r="R62" i="5"/>
  <c r="Q62" i="5"/>
  <c r="M62" i="5"/>
  <c r="L62" i="5"/>
  <c r="X61" i="5"/>
  <c r="T61" i="5"/>
  <c r="R61" i="5"/>
  <c r="Q61" i="5"/>
  <c r="M61" i="5"/>
  <c r="L61" i="5"/>
  <c r="X60" i="5"/>
  <c r="T60" i="5"/>
  <c r="R60" i="5"/>
  <c r="Q60" i="5"/>
  <c r="M60" i="5"/>
  <c r="L60" i="5"/>
  <c r="X59" i="5"/>
  <c r="T59" i="5"/>
  <c r="R59" i="5"/>
  <c r="Q59" i="5"/>
  <c r="M59" i="5"/>
  <c r="L59" i="5"/>
  <c r="X58" i="5"/>
  <c r="T58" i="5"/>
  <c r="R58" i="5"/>
  <c r="Q58" i="5"/>
  <c r="M58" i="5"/>
  <c r="L58" i="5"/>
  <c r="X57" i="5"/>
  <c r="T57" i="5"/>
  <c r="R57" i="5"/>
  <c r="Q57" i="5"/>
  <c r="M57" i="5"/>
  <c r="L57" i="5"/>
  <c r="X56" i="5"/>
  <c r="T56" i="5"/>
  <c r="R56" i="5"/>
  <c r="Q56" i="5"/>
  <c r="M56" i="5"/>
  <c r="L56" i="5"/>
  <c r="X55" i="5"/>
  <c r="T55" i="5"/>
  <c r="R55" i="5"/>
  <c r="Q55" i="5"/>
  <c r="M55" i="5"/>
  <c r="L55" i="5"/>
  <c r="X54" i="5"/>
  <c r="T54" i="5"/>
  <c r="R54" i="5"/>
  <c r="Q54" i="5"/>
  <c r="M54" i="5"/>
  <c r="L54" i="5"/>
  <c r="X53" i="5"/>
  <c r="T53" i="5"/>
  <c r="R53" i="5"/>
  <c r="Q53" i="5"/>
  <c r="M53" i="5"/>
  <c r="L53" i="5"/>
  <c r="X52" i="5"/>
  <c r="T52" i="5"/>
  <c r="R52" i="5"/>
  <c r="Q52" i="5"/>
  <c r="M52" i="5"/>
  <c r="L52" i="5"/>
  <c r="X51" i="5"/>
  <c r="T51" i="5"/>
  <c r="R51" i="5"/>
  <c r="Q51" i="5"/>
  <c r="M51" i="5"/>
  <c r="L51" i="5"/>
  <c r="X50" i="5"/>
  <c r="T50" i="5"/>
  <c r="R50" i="5"/>
  <c r="Q50" i="5"/>
  <c r="M50" i="5"/>
  <c r="L50" i="5"/>
  <c r="X49" i="5"/>
  <c r="T49" i="5"/>
  <c r="R49" i="5"/>
  <c r="Q49" i="5"/>
  <c r="M49" i="5"/>
  <c r="L49" i="5"/>
  <c r="X48" i="5"/>
  <c r="T48" i="5"/>
  <c r="R48" i="5"/>
  <c r="Q48" i="5"/>
  <c r="M48" i="5"/>
  <c r="L48" i="5"/>
  <c r="X47" i="5"/>
  <c r="T47" i="5"/>
  <c r="R47" i="5"/>
  <c r="Q47" i="5"/>
  <c r="M47" i="5"/>
  <c r="L47" i="5"/>
  <c r="X46" i="5"/>
  <c r="T46" i="5"/>
  <c r="R46" i="5"/>
  <c r="Q46" i="5"/>
  <c r="M46" i="5"/>
  <c r="L46" i="5"/>
  <c r="X45" i="5"/>
  <c r="T45" i="5"/>
  <c r="R45" i="5"/>
  <c r="Q45" i="5"/>
  <c r="M45" i="5"/>
  <c r="L45" i="5"/>
  <c r="X44" i="5"/>
  <c r="T44" i="5"/>
  <c r="R44" i="5"/>
  <c r="Q44" i="5"/>
  <c r="M44" i="5"/>
  <c r="L44" i="5"/>
  <c r="X43" i="5"/>
  <c r="T43" i="5"/>
  <c r="R43" i="5"/>
  <c r="Q43" i="5"/>
  <c r="M43" i="5"/>
  <c r="L43" i="5"/>
  <c r="X42" i="5"/>
  <c r="T42" i="5"/>
  <c r="R42" i="5"/>
  <c r="Q42" i="5"/>
  <c r="M42" i="5"/>
  <c r="L42" i="5"/>
  <c r="X41" i="5"/>
  <c r="T41" i="5"/>
  <c r="R41" i="5"/>
  <c r="Q41" i="5"/>
  <c r="M41" i="5"/>
  <c r="L41" i="5"/>
  <c r="X40" i="5"/>
  <c r="T40" i="5"/>
  <c r="R40" i="5"/>
  <c r="Q40" i="5"/>
  <c r="M40" i="5"/>
  <c r="L40" i="5"/>
  <c r="X39" i="5"/>
  <c r="T39" i="5"/>
  <c r="R39" i="5"/>
  <c r="Q39" i="5"/>
  <c r="M39" i="5"/>
  <c r="L39" i="5"/>
  <c r="X38" i="5"/>
  <c r="T38" i="5"/>
  <c r="R38" i="5"/>
  <c r="Q38" i="5"/>
  <c r="M38" i="5"/>
  <c r="L38" i="5"/>
  <c r="X37" i="5"/>
  <c r="T37" i="5"/>
  <c r="R37" i="5"/>
  <c r="Q37" i="5"/>
  <c r="M37" i="5"/>
  <c r="L37" i="5"/>
  <c r="X36" i="5"/>
  <c r="T36" i="5"/>
  <c r="R36" i="5"/>
  <c r="Q36" i="5"/>
  <c r="M36" i="5"/>
  <c r="L36" i="5"/>
  <c r="X35" i="5"/>
  <c r="T35" i="5"/>
  <c r="R35" i="5"/>
  <c r="Q35" i="5"/>
  <c r="M35" i="5"/>
  <c r="L35" i="5"/>
  <c r="X34" i="5"/>
  <c r="T34" i="5"/>
  <c r="R34" i="5"/>
  <c r="Q34" i="5"/>
  <c r="M34" i="5"/>
  <c r="L34" i="5"/>
  <c r="X33" i="5"/>
  <c r="T33" i="5"/>
  <c r="R33" i="5"/>
  <c r="Q33" i="5"/>
  <c r="M33" i="5"/>
  <c r="L33" i="5"/>
  <c r="X32" i="5"/>
  <c r="T32" i="5"/>
  <c r="R32" i="5"/>
  <c r="Q32" i="5"/>
  <c r="M32" i="5"/>
  <c r="L32" i="5"/>
  <c r="X31" i="5"/>
  <c r="T31" i="5"/>
  <c r="R31" i="5"/>
  <c r="Q31" i="5"/>
  <c r="M31" i="5"/>
  <c r="L31" i="5"/>
  <c r="X30" i="5"/>
  <c r="T30" i="5"/>
  <c r="R30" i="5"/>
  <c r="Q30" i="5"/>
  <c r="M30" i="5"/>
  <c r="L30" i="5"/>
  <c r="X29" i="5"/>
  <c r="T29" i="5"/>
  <c r="R29" i="5"/>
  <c r="Q29" i="5"/>
  <c r="M29" i="5"/>
  <c r="L29" i="5"/>
  <c r="X28" i="5"/>
  <c r="T28" i="5"/>
  <c r="R28" i="5"/>
  <c r="Q28" i="5"/>
  <c r="M28" i="5"/>
  <c r="L28" i="5"/>
  <c r="X27" i="5"/>
  <c r="T27" i="5"/>
  <c r="R27" i="5"/>
  <c r="Q27" i="5"/>
  <c r="M27" i="5"/>
  <c r="L27" i="5"/>
  <c r="X26" i="5"/>
  <c r="T26" i="5"/>
  <c r="R26" i="5"/>
  <c r="Q26" i="5"/>
  <c r="M26" i="5"/>
  <c r="L26" i="5"/>
  <c r="X25" i="5"/>
  <c r="T25" i="5"/>
  <c r="R25" i="5"/>
  <c r="Q25" i="5"/>
  <c r="M25" i="5"/>
  <c r="L25" i="5"/>
  <c r="X24" i="5"/>
  <c r="T24" i="5"/>
  <c r="R24" i="5"/>
  <c r="Q24" i="5"/>
  <c r="M24" i="5"/>
  <c r="L24" i="5"/>
  <c r="X23" i="5"/>
  <c r="T23" i="5"/>
  <c r="R23" i="5"/>
  <c r="Q23" i="5"/>
  <c r="M23" i="5"/>
  <c r="L23" i="5"/>
  <c r="X22" i="5"/>
  <c r="T22" i="5"/>
  <c r="R22" i="5"/>
  <c r="Q22" i="5"/>
  <c r="M22" i="5"/>
  <c r="L22" i="5"/>
  <c r="X21" i="5"/>
  <c r="T21" i="5"/>
  <c r="R21" i="5"/>
  <c r="Q21" i="5"/>
  <c r="M21" i="5"/>
  <c r="L21" i="5"/>
  <c r="X20" i="5"/>
  <c r="T20" i="5"/>
  <c r="R20" i="5"/>
  <c r="Q20" i="5"/>
  <c r="M20" i="5"/>
  <c r="L20" i="5"/>
  <c r="X19" i="5"/>
  <c r="T19" i="5"/>
  <c r="R19" i="5"/>
  <c r="Q19" i="5"/>
  <c r="M19" i="5"/>
  <c r="L19" i="5"/>
  <c r="X18" i="5"/>
  <c r="T18" i="5"/>
  <c r="R18" i="5"/>
  <c r="Q18" i="5"/>
  <c r="M18" i="5"/>
  <c r="L18" i="5"/>
  <c r="X17" i="5"/>
  <c r="T17" i="5"/>
  <c r="R17" i="5"/>
  <c r="Q17" i="5"/>
  <c r="M17" i="5"/>
  <c r="L17" i="5"/>
  <c r="X16" i="5"/>
  <c r="T16" i="5"/>
  <c r="R16" i="5"/>
  <c r="Q16" i="5"/>
  <c r="M16" i="5"/>
  <c r="L16" i="5"/>
  <c r="X15" i="5"/>
  <c r="T15" i="5"/>
  <c r="R15" i="5"/>
  <c r="Q15" i="5"/>
  <c r="M15" i="5"/>
  <c r="L15" i="5"/>
  <c r="X14" i="5"/>
  <c r="T14" i="5"/>
  <c r="R14" i="5"/>
  <c r="Q14" i="5"/>
  <c r="M14" i="5"/>
  <c r="L14" i="5"/>
  <c r="X13" i="5"/>
  <c r="T13" i="5"/>
  <c r="R13" i="5"/>
  <c r="Q13" i="5"/>
  <c r="M13" i="5"/>
  <c r="L13" i="5"/>
  <c r="X12" i="5"/>
  <c r="T12" i="5"/>
  <c r="R12" i="5"/>
  <c r="Q12" i="5"/>
  <c r="M12" i="5"/>
  <c r="L12" i="5"/>
  <c r="X11" i="5"/>
  <c r="T11" i="5"/>
  <c r="R11" i="5"/>
  <c r="Q11" i="5"/>
  <c r="M11" i="5"/>
  <c r="L11" i="5"/>
  <c r="X10" i="5"/>
  <c r="T10" i="5"/>
  <c r="R10" i="5"/>
  <c r="Q10" i="5"/>
  <c r="M10" i="5"/>
  <c r="L10" i="5"/>
  <c r="X9" i="5"/>
  <c r="R9" i="5"/>
  <c r="Q9" i="5"/>
  <c r="M9" i="5"/>
  <c r="L9" i="5"/>
  <c r="X8" i="5"/>
  <c r="R8" i="5"/>
  <c r="Q8" i="5"/>
  <c r="M8" i="5"/>
  <c r="L8" i="5"/>
  <c r="X7" i="5"/>
  <c r="R7" i="5"/>
  <c r="Q7" i="5"/>
  <c r="M7" i="5"/>
  <c r="L7" i="5"/>
  <c r="X6" i="5"/>
  <c r="R6" i="5"/>
  <c r="Q6" i="5"/>
  <c r="M6" i="5"/>
  <c r="L6" i="5"/>
  <c r="G7" i="3" l="1" a="1"/>
  <c r="G7" i="3" s="1"/>
  <c r="O17" i="22" s="1"/>
  <c r="D7" i="3" a="1"/>
  <c r="D7" i="3" s="1"/>
  <c r="T32" i="22" s="1"/>
  <c r="B7" i="3"/>
  <c r="B5" i="30" s="1"/>
  <c r="L435" i="4"/>
  <c r="M435" i="4" s="1"/>
  <c r="J435" i="4" a="1"/>
  <c r="J435" i="4" s="1"/>
  <c r="L434" i="4"/>
  <c r="M434" i="4" s="1"/>
  <c r="J434" i="4" a="1"/>
  <c r="J434" i="4" s="1"/>
  <c r="L433" i="4"/>
  <c r="M433" i="4" s="1"/>
  <c r="J433" i="4" a="1"/>
  <c r="J433" i="4" s="1"/>
  <c r="L432" i="4"/>
  <c r="M432" i="4" s="1"/>
  <c r="J432" i="4" a="1"/>
  <c r="J432" i="4" s="1"/>
  <c r="L431" i="4"/>
  <c r="M431" i="4" s="1"/>
  <c r="J431" i="4" a="1"/>
  <c r="J431" i="4" s="1"/>
  <c r="L430" i="4"/>
  <c r="M430" i="4" s="1"/>
  <c r="J430" i="4" a="1"/>
  <c r="J430" i="4" s="1"/>
  <c r="L429" i="4"/>
  <c r="M429" i="4" s="1"/>
  <c r="J429" i="4" a="1"/>
  <c r="J429" i="4" s="1"/>
  <c r="L428" i="4"/>
  <c r="M428" i="4" s="1"/>
  <c r="J428" i="4" a="1"/>
  <c r="J428" i="4" s="1"/>
  <c r="L427" i="4"/>
  <c r="M427" i="4" s="1"/>
  <c r="J427" i="4" a="1"/>
  <c r="J427" i="4" s="1"/>
  <c r="L426" i="4"/>
  <c r="M426" i="4" s="1"/>
  <c r="J426" i="4" a="1"/>
  <c r="J426" i="4" s="1"/>
  <c r="L425" i="4"/>
  <c r="M425" i="4" s="1"/>
  <c r="J425" i="4" a="1"/>
  <c r="J425" i="4" s="1"/>
  <c r="L424" i="4"/>
  <c r="M424" i="4" s="1"/>
  <c r="J424" i="4" a="1"/>
  <c r="J424" i="4" s="1"/>
  <c r="L423" i="4"/>
  <c r="M423" i="4" s="1"/>
  <c r="J423" i="4" a="1"/>
  <c r="J423" i="4" s="1"/>
  <c r="L422" i="4"/>
  <c r="M422" i="4" s="1"/>
  <c r="J422" i="4" a="1"/>
  <c r="J422" i="4" s="1"/>
  <c r="L421" i="4"/>
  <c r="M421" i="4" s="1"/>
  <c r="J421" i="4" a="1"/>
  <c r="J421" i="4" s="1"/>
  <c r="L420" i="4"/>
  <c r="M420" i="4" s="1"/>
  <c r="J420" i="4" a="1"/>
  <c r="J420" i="4" s="1"/>
  <c r="L419" i="4"/>
  <c r="M419" i="4" s="1"/>
  <c r="J419" i="4" a="1"/>
  <c r="J419" i="4" s="1"/>
  <c r="L418" i="4"/>
  <c r="M418" i="4" s="1"/>
  <c r="J418" i="4" a="1"/>
  <c r="J418" i="4" s="1"/>
  <c r="L417" i="4"/>
  <c r="M417" i="4" s="1"/>
  <c r="J417" i="4" a="1"/>
  <c r="J417" i="4" s="1"/>
  <c r="L416" i="4"/>
  <c r="M416" i="4" s="1"/>
  <c r="J416" i="4" a="1"/>
  <c r="J416" i="4" s="1"/>
  <c r="L415" i="4"/>
  <c r="M415" i="4" s="1"/>
  <c r="J415" i="4" a="1"/>
  <c r="J415" i="4" s="1"/>
  <c r="L414" i="4"/>
  <c r="M414" i="4" s="1"/>
  <c r="J414" i="4" a="1"/>
  <c r="J414" i="4" s="1"/>
  <c r="L413" i="4"/>
  <c r="M413" i="4" s="1"/>
  <c r="J413" i="4" a="1"/>
  <c r="J413" i="4" s="1"/>
  <c r="L412" i="4"/>
  <c r="M412" i="4" s="1"/>
  <c r="J412" i="4" a="1"/>
  <c r="J412" i="4" s="1"/>
  <c r="L411" i="4"/>
  <c r="M411" i="4" s="1"/>
  <c r="J411" i="4" a="1"/>
  <c r="J411" i="4" s="1"/>
  <c r="L410" i="4"/>
  <c r="M410" i="4" s="1"/>
  <c r="J410" i="4" a="1"/>
  <c r="J410" i="4" s="1"/>
  <c r="L409" i="4"/>
  <c r="M409" i="4" s="1"/>
  <c r="J409" i="4" a="1"/>
  <c r="J409" i="4" s="1"/>
  <c r="L408" i="4"/>
  <c r="M408" i="4" s="1"/>
  <c r="J408" i="4" a="1"/>
  <c r="J408" i="4" s="1"/>
  <c r="L407" i="4"/>
  <c r="M407" i="4" s="1"/>
  <c r="J407" i="4" a="1"/>
  <c r="J407" i="4" s="1"/>
  <c r="L406" i="4"/>
  <c r="M406" i="4" s="1"/>
  <c r="J406" i="4" a="1"/>
  <c r="J406" i="4" s="1"/>
  <c r="L405" i="4"/>
  <c r="M405" i="4" s="1"/>
  <c r="J405" i="4" a="1"/>
  <c r="J405" i="4" s="1"/>
  <c r="L404" i="4"/>
  <c r="M404" i="4" s="1"/>
  <c r="J404" i="4" a="1"/>
  <c r="J404" i="4" s="1"/>
  <c r="L403" i="4"/>
  <c r="M403" i="4" s="1"/>
  <c r="J403" i="4" a="1"/>
  <c r="J403" i="4" s="1"/>
  <c r="L402" i="4"/>
  <c r="M402" i="4" s="1"/>
  <c r="J402" i="4" a="1"/>
  <c r="J402" i="4" s="1"/>
  <c r="L401" i="4"/>
  <c r="M401" i="4" s="1"/>
  <c r="J401" i="4" a="1"/>
  <c r="J401" i="4" s="1"/>
  <c r="L400" i="4"/>
  <c r="M400" i="4" s="1"/>
  <c r="J400" i="4" a="1"/>
  <c r="J400" i="4" s="1"/>
  <c r="L399" i="4"/>
  <c r="M399" i="4" s="1"/>
  <c r="J399" i="4" a="1"/>
  <c r="J399" i="4" s="1"/>
  <c r="L398" i="4"/>
  <c r="M398" i="4" s="1"/>
  <c r="J398" i="4" a="1"/>
  <c r="J398" i="4" s="1"/>
  <c r="L397" i="4"/>
  <c r="M397" i="4" s="1"/>
  <c r="J397" i="4" a="1"/>
  <c r="J397" i="4" s="1"/>
  <c r="L396" i="4"/>
  <c r="M396" i="4" s="1"/>
  <c r="J396" i="4" a="1"/>
  <c r="J396" i="4" s="1"/>
  <c r="L395" i="4"/>
  <c r="M395" i="4" s="1"/>
  <c r="J395" i="4" a="1"/>
  <c r="J395" i="4" s="1"/>
  <c r="L394" i="4"/>
  <c r="M394" i="4" s="1"/>
  <c r="J394" i="4" a="1"/>
  <c r="J394" i="4" s="1"/>
  <c r="L393" i="4"/>
  <c r="M393" i="4" s="1"/>
  <c r="J393" i="4" a="1"/>
  <c r="J393" i="4" s="1"/>
  <c r="L392" i="4"/>
  <c r="M392" i="4" s="1"/>
  <c r="J392" i="4" a="1"/>
  <c r="J392" i="4" s="1"/>
  <c r="L391" i="4"/>
  <c r="M391" i="4" s="1"/>
  <c r="J391" i="4" a="1"/>
  <c r="J391" i="4" s="1"/>
  <c r="L390" i="4"/>
  <c r="M390" i="4" s="1"/>
  <c r="J390" i="4" a="1"/>
  <c r="J390" i="4" s="1"/>
  <c r="L389" i="4"/>
  <c r="M389" i="4" s="1"/>
  <c r="J389" i="4" a="1"/>
  <c r="J389" i="4" s="1"/>
  <c r="L388" i="4"/>
  <c r="M388" i="4" s="1"/>
  <c r="J388" i="4" a="1"/>
  <c r="J388" i="4" s="1"/>
  <c r="L387" i="4"/>
  <c r="M387" i="4" s="1"/>
  <c r="J387" i="4" a="1"/>
  <c r="J387" i="4" s="1"/>
  <c r="L386" i="4"/>
  <c r="M386" i="4" s="1"/>
  <c r="J386" i="4" a="1"/>
  <c r="J386" i="4" s="1"/>
  <c r="L385" i="4"/>
  <c r="M385" i="4" s="1"/>
  <c r="J385" i="4" a="1"/>
  <c r="J385" i="4" s="1"/>
  <c r="L384" i="4"/>
  <c r="M384" i="4" s="1"/>
  <c r="J384" i="4" a="1"/>
  <c r="J384" i="4" s="1"/>
  <c r="L383" i="4"/>
  <c r="M383" i="4" s="1"/>
  <c r="J383" i="4" a="1"/>
  <c r="J383" i="4" s="1"/>
  <c r="L382" i="4"/>
  <c r="M382" i="4" s="1"/>
  <c r="J382" i="4" a="1"/>
  <c r="J382" i="4" s="1"/>
  <c r="L381" i="4"/>
  <c r="M381" i="4" s="1"/>
  <c r="J381" i="4" a="1"/>
  <c r="J381" i="4" s="1"/>
  <c r="L380" i="4"/>
  <c r="M380" i="4" s="1"/>
  <c r="J380" i="4" a="1"/>
  <c r="J380" i="4" s="1"/>
  <c r="L379" i="4"/>
  <c r="M379" i="4" s="1"/>
  <c r="J379" i="4" a="1"/>
  <c r="J379" i="4" s="1"/>
  <c r="L378" i="4"/>
  <c r="M378" i="4" s="1"/>
  <c r="J378" i="4" a="1"/>
  <c r="J378" i="4" s="1"/>
  <c r="L377" i="4"/>
  <c r="M377" i="4" s="1"/>
  <c r="J377" i="4" a="1"/>
  <c r="J377" i="4" s="1"/>
  <c r="L376" i="4"/>
  <c r="M376" i="4" s="1"/>
  <c r="J376" i="4" a="1"/>
  <c r="J376" i="4" s="1"/>
  <c r="L375" i="4"/>
  <c r="M375" i="4" s="1"/>
  <c r="J375" i="4" a="1"/>
  <c r="J375" i="4" s="1"/>
  <c r="L374" i="4"/>
  <c r="M374" i="4" s="1"/>
  <c r="J374" i="4" a="1"/>
  <c r="J374" i="4" s="1"/>
  <c r="L373" i="4"/>
  <c r="M373" i="4" s="1"/>
  <c r="J373" i="4" a="1"/>
  <c r="J373" i="4" s="1"/>
  <c r="L372" i="4"/>
  <c r="M372" i="4" s="1"/>
  <c r="J372" i="4" a="1"/>
  <c r="J372" i="4" s="1"/>
  <c r="L371" i="4"/>
  <c r="M371" i="4" s="1"/>
  <c r="J371" i="4" a="1"/>
  <c r="J371" i="4" s="1"/>
  <c r="L370" i="4"/>
  <c r="M370" i="4" s="1"/>
  <c r="J370" i="4" a="1"/>
  <c r="J370" i="4" s="1"/>
  <c r="L369" i="4"/>
  <c r="M369" i="4" s="1"/>
  <c r="J369" i="4" a="1"/>
  <c r="J369" i="4" s="1"/>
  <c r="L368" i="4"/>
  <c r="M368" i="4" s="1"/>
  <c r="J368" i="4" a="1"/>
  <c r="J368" i="4" s="1"/>
  <c r="L367" i="4"/>
  <c r="M367" i="4" s="1"/>
  <c r="J367" i="4" a="1"/>
  <c r="J367" i="4" s="1"/>
  <c r="L366" i="4"/>
  <c r="M366" i="4" s="1"/>
  <c r="J366" i="4" a="1"/>
  <c r="J366" i="4" s="1"/>
  <c r="L365" i="4"/>
  <c r="M365" i="4" s="1"/>
  <c r="J365" i="4" a="1"/>
  <c r="J365" i="4" s="1"/>
  <c r="L364" i="4"/>
  <c r="M364" i="4" s="1"/>
  <c r="J364" i="4" a="1"/>
  <c r="J364" i="4" s="1"/>
  <c r="L363" i="4"/>
  <c r="M363" i="4" s="1"/>
  <c r="J363" i="4" a="1"/>
  <c r="J363" i="4" s="1"/>
  <c r="L362" i="4"/>
  <c r="M362" i="4" s="1"/>
  <c r="J362" i="4" a="1"/>
  <c r="J362" i="4" s="1"/>
  <c r="L361" i="4"/>
  <c r="M361" i="4" s="1"/>
  <c r="J361" i="4" a="1"/>
  <c r="J361" i="4" s="1"/>
  <c r="L360" i="4"/>
  <c r="M360" i="4" s="1"/>
  <c r="J360" i="4" a="1"/>
  <c r="J360" i="4" s="1"/>
  <c r="L359" i="4"/>
  <c r="M359" i="4" s="1"/>
  <c r="J359" i="4" a="1"/>
  <c r="J359" i="4" s="1"/>
  <c r="L358" i="4"/>
  <c r="M358" i="4" s="1"/>
  <c r="J358" i="4" a="1"/>
  <c r="J358" i="4" s="1"/>
  <c r="L357" i="4"/>
  <c r="M357" i="4" s="1"/>
  <c r="J357" i="4" a="1"/>
  <c r="J357" i="4" s="1"/>
  <c r="L356" i="4"/>
  <c r="M356" i="4" s="1"/>
  <c r="J356" i="4" a="1"/>
  <c r="J356" i="4" s="1"/>
  <c r="L355" i="4"/>
  <c r="M355" i="4" s="1"/>
  <c r="J355" i="4" a="1"/>
  <c r="J355" i="4" s="1"/>
  <c r="L354" i="4"/>
  <c r="M354" i="4" s="1"/>
  <c r="J354" i="4" a="1"/>
  <c r="J354" i="4" s="1"/>
  <c r="L353" i="4"/>
  <c r="M353" i="4" s="1"/>
  <c r="J353" i="4" a="1"/>
  <c r="J353" i="4" s="1"/>
  <c r="L352" i="4"/>
  <c r="M352" i="4" s="1"/>
  <c r="J352" i="4" a="1"/>
  <c r="J352" i="4" s="1"/>
  <c r="L351" i="4"/>
  <c r="M351" i="4" s="1"/>
  <c r="J351" i="4" a="1"/>
  <c r="J351" i="4" s="1"/>
  <c r="L350" i="4"/>
  <c r="M350" i="4" s="1"/>
  <c r="J350" i="4" a="1"/>
  <c r="J350" i="4" s="1"/>
  <c r="L349" i="4"/>
  <c r="M349" i="4" s="1"/>
  <c r="J349" i="4" a="1"/>
  <c r="J349" i="4" s="1"/>
  <c r="L348" i="4"/>
  <c r="M348" i="4" s="1"/>
  <c r="J348" i="4" a="1"/>
  <c r="J348" i="4" s="1"/>
  <c r="L347" i="4"/>
  <c r="M347" i="4" s="1"/>
  <c r="J347" i="4" a="1"/>
  <c r="J347" i="4" s="1"/>
  <c r="L346" i="4"/>
  <c r="M346" i="4" s="1"/>
  <c r="J346" i="4" a="1"/>
  <c r="J346" i="4" s="1"/>
  <c r="L345" i="4"/>
  <c r="M345" i="4" s="1"/>
  <c r="J345" i="4" a="1"/>
  <c r="J345" i="4" s="1"/>
  <c r="L344" i="4"/>
  <c r="M344" i="4" s="1"/>
  <c r="J344" i="4" a="1"/>
  <c r="J344" i="4" s="1"/>
  <c r="L343" i="4"/>
  <c r="M343" i="4" s="1"/>
  <c r="J343" i="4" a="1"/>
  <c r="J343" i="4" s="1"/>
  <c r="L342" i="4"/>
  <c r="M342" i="4" s="1"/>
  <c r="J342" i="4" a="1"/>
  <c r="J342" i="4" s="1"/>
  <c r="L341" i="4"/>
  <c r="M341" i="4" s="1"/>
  <c r="J341" i="4" a="1"/>
  <c r="J341" i="4" s="1"/>
  <c r="L340" i="4"/>
  <c r="M340" i="4" s="1"/>
  <c r="J340" i="4" a="1"/>
  <c r="J340" i="4" s="1"/>
  <c r="L339" i="4"/>
  <c r="M339" i="4" s="1"/>
  <c r="J339" i="4" a="1"/>
  <c r="J339" i="4" s="1"/>
  <c r="L338" i="4"/>
  <c r="M338" i="4" s="1"/>
  <c r="J338" i="4" a="1"/>
  <c r="J338" i="4" s="1"/>
  <c r="L337" i="4"/>
  <c r="M337" i="4" s="1"/>
  <c r="J337" i="4" a="1"/>
  <c r="J337" i="4" s="1"/>
  <c r="L336" i="4"/>
  <c r="M336" i="4" s="1"/>
  <c r="J336" i="4" a="1"/>
  <c r="J336" i="4" s="1"/>
  <c r="L335" i="4"/>
  <c r="M335" i="4" s="1"/>
  <c r="J335" i="4" a="1"/>
  <c r="J335" i="4" s="1"/>
  <c r="L334" i="4"/>
  <c r="M334" i="4" s="1"/>
  <c r="J334" i="4" a="1"/>
  <c r="J334" i="4" s="1"/>
  <c r="L333" i="4"/>
  <c r="M333" i="4" s="1"/>
  <c r="J333" i="4" a="1"/>
  <c r="J333" i="4" s="1"/>
  <c r="L332" i="4"/>
  <c r="M332" i="4" s="1"/>
  <c r="J332" i="4" a="1"/>
  <c r="J332" i="4" s="1"/>
  <c r="L331" i="4"/>
  <c r="M331" i="4" s="1"/>
  <c r="J331" i="4" a="1"/>
  <c r="J331" i="4" s="1"/>
  <c r="L330" i="4"/>
  <c r="M330" i="4" s="1"/>
  <c r="J330" i="4" a="1"/>
  <c r="J330" i="4" s="1"/>
  <c r="L329" i="4"/>
  <c r="M329" i="4" s="1"/>
  <c r="J329" i="4" a="1"/>
  <c r="J329" i="4" s="1"/>
  <c r="L328" i="4"/>
  <c r="M328" i="4" s="1"/>
  <c r="J328" i="4" a="1"/>
  <c r="J328" i="4" s="1"/>
  <c r="L327" i="4"/>
  <c r="M327" i="4" s="1"/>
  <c r="J327" i="4" a="1"/>
  <c r="J327" i="4" s="1"/>
  <c r="L326" i="4"/>
  <c r="M326" i="4" s="1"/>
  <c r="J326" i="4" a="1"/>
  <c r="J326" i="4" s="1"/>
  <c r="L325" i="4"/>
  <c r="M325" i="4" s="1"/>
  <c r="J325" i="4" a="1"/>
  <c r="J325" i="4" s="1"/>
  <c r="L324" i="4"/>
  <c r="M324" i="4" s="1"/>
  <c r="J324" i="4" a="1"/>
  <c r="J324" i="4" s="1"/>
  <c r="L323" i="4"/>
  <c r="M323" i="4" s="1"/>
  <c r="J323" i="4" a="1"/>
  <c r="J323" i="4" s="1"/>
  <c r="L322" i="4"/>
  <c r="M322" i="4" s="1"/>
  <c r="J322" i="4" a="1"/>
  <c r="J322" i="4" s="1"/>
  <c r="L321" i="4"/>
  <c r="M321" i="4" s="1"/>
  <c r="J321" i="4" a="1"/>
  <c r="J321" i="4" s="1"/>
  <c r="L320" i="4"/>
  <c r="M320" i="4" s="1"/>
  <c r="J320" i="4" a="1"/>
  <c r="J320" i="4" s="1"/>
  <c r="L319" i="4"/>
  <c r="M319" i="4" s="1"/>
  <c r="J319" i="4" a="1"/>
  <c r="J319" i="4" s="1"/>
  <c r="L318" i="4"/>
  <c r="M318" i="4" s="1"/>
  <c r="J318" i="4" a="1"/>
  <c r="J318" i="4" s="1"/>
  <c r="L317" i="4"/>
  <c r="M317" i="4" s="1"/>
  <c r="J317" i="4" a="1"/>
  <c r="J317" i="4" s="1"/>
  <c r="L316" i="4"/>
  <c r="M316" i="4" s="1"/>
  <c r="J316" i="4" a="1"/>
  <c r="J316" i="4" s="1"/>
  <c r="L315" i="4"/>
  <c r="M315" i="4" s="1"/>
  <c r="J315" i="4" a="1"/>
  <c r="J315" i="4" s="1"/>
  <c r="L314" i="4"/>
  <c r="M314" i="4" s="1"/>
  <c r="J314" i="4" a="1"/>
  <c r="J314" i="4" s="1"/>
  <c r="L313" i="4"/>
  <c r="M313" i="4" s="1"/>
  <c r="J313" i="4" a="1"/>
  <c r="J313" i="4" s="1"/>
  <c r="L312" i="4"/>
  <c r="M312" i="4" s="1"/>
  <c r="J312" i="4" a="1"/>
  <c r="J312" i="4" s="1"/>
  <c r="L311" i="4"/>
  <c r="M311" i="4" s="1"/>
  <c r="J311" i="4" a="1"/>
  <c r="J311" i="4" s="1"/>
  <c r="L310" i="4"/>
  <c r="M310" i="4" s="1"/>
  <c r="J310" i="4" a="1"/>
  <c r="J310" i="4" s="1"/>
  <c r="L309" i="4"/>
  <c r="M309" i="4" s="1"/>
  <c r="J309" i="4" a="1"/>
  <c r="J309" i="4" s="1"/>
  <c r="L308" i="4"/>
  <c r="M308" i="4" s="1"/>
  <c r="J308" i="4" a="1"/>
  <c r="J308" i="4" s="1"/>
  <c r="L307" i="4"/>
  <c r="M307" i="4" s="1"/>
  <c r="J307" i="4" a="1"/>
  <c r="J307" i="4" s="1"/>
  <c r="L306" i="4"/>
  <c r="M306" i="4" s="1"/>
  <c r="J306" i="4" a="1"/>
  <c r="J306" i="4" s="1"/>
  <c r="L305" i="4"/>
  <c r="M305" i="4" s="1"/>
  <c r="J305" i="4" a="1"/>
  <c r="J305" i="4" s="1"/>
  <c r="L304" i="4"/>
  <c r="M304" i="4" s="1"/>
  <c r="J304" i="4" a="1"/>
  <c r="J304" i="4" s="1"/>
  <c r="L303" i="4"/>
  <c r="M303" i="4" s="1"/>
  <c r="J303" i="4" a="1"/>
  <c r="J303" i="4" s="1"/>
  <c r="J302" i="4" a="1"/>
  <c r="J302" i="4" s="1"/>
  <c r="J301" i="4" a="1"/>
  <c r="J301" i="4" s="1"/>
  <c r="J300" i="4" a="1"/>
  <c r="J300" i="4" s="1"/>
  <c r="J299" i="4" a="1"/>
  <c r="J299" i="4" s="1"/>
  <c r="J298" i="4" a="1"/>
  <c r="J298" i="4" s="1"/>
  <c r="J297" i="4" a="1"/>
  <c r="J297" i="4" s="1"/>
  <c r="J296" i="4" a="1"/>
  <c r="J296" i="4" s="1"/>
  <c r="J294" i="4" a="1"/>
  <c r="J294" i="4" s="1"/>
  <c r="J293" i="4" a="1"/>
  <c r="J293" i="4" s="1"/>
  <c r="J292" i="4" a="1"/>
  <c r="J292" i="4" s="1"/>
  <c r="J291" i="4" a="1"/>
  <c r="J291" i="4" s="1"/>
  <c r="J290" i="4" a="1"/>
  <c r="J290" i="4" s="1"/>
  <c r="J289" i="4" a="1"/>
  <c r="J289" i="4" s="1"/>
  <c r="J287" i="4" a="1"/>
  <c r="J287" i="4" s="1"/>
  <c r="L286" i="4"/>
  <c r="M286" i="4" s="1"/>
  <c r="J286" i="4" a="1"/>
  <c r="J286" i="4" s="1"/>
  <c r="L285" i="4"/>
  <c r="M285" i="4" s="1"/>
  <c r="J285" i="4" a="1"/>
  <c r="J285" i="4" s="1"/>
  <c r="L284" i="4"/>
  <c r="M284" i="4" s="1"/>
  <c r="J284" i="4" a="1"/>
  <c r="J284" i="4" s="1"/>
  <c r="L283" i="4"/>
  <c r="M283" i="4" s="1"/>
  <c r="J283" i="4" a="1"/>
  <c r="J283" i="4" s="1"/>
  <c r="L282" i="4"/>
  <c r="M282" i="4" s="1"/>
  <c r="J282" i="4" a="1"/>
  <c r="J282" i="4" s="1"/>
  <c r="L281" i="4"/>
  <c r="M281" i="4" s="1"/>
  <c r="J281" i="4" a="1"/>
  <c r="J281" i="4" s="1"/>
  <c r="L280" i="4"/>
  <c r="M280" i="4" s="1"/>
  <c r="J280" i="4" a="1"/>
  <c r="J280" i="4" s="1"/>
  <c r="L279" i="4"/>
  <c r="M279" i="4" s="1"/>
  <c r="J279" i="4" a="1"/>
  <c r="J279" i="4" s="1"/>
  <c r="L278" i="4"/>
  <c r="M278" i="4" s="1"/>
  <c r="J278" i="4" a="1"/>
  <c r="J278" i="4" s="1"/>
  <c r="L277" i="4"/>
  <c r="M277" i="4" s="1"/>
  <c r="J277" i="4" a="1"/>
  <c r="J277" i="4" s="1"/>
  <c r="L276" i="4"/>
  <c r="M276" i="4" s="1"/>
  <c r="J276" i="4" a="1"/>
  <c r="J276" i="4" s="1"/>
  <c r="L275" i="4"/>
  <c r="M275" i="4" s="1"/>
  <c r="J275" i="4" a="1"/>
  <c r="J275" i="4" s="1"/>
  <c r="L274" i="4"/>
  <c r="M274" i="4" s="1"/>
  <c r="J274" i="4" a="1"/>
  <c r="J274" i="4" s="1"/>
  <c r="L273" i="4"/>
  <c r="M273" i="4" s="1"/>
  <c r="J273" i="4" a="1"/>
  <c r="J273" i="4" s="1"/>
  <c r="L272" i="4"/>
  <c r="M272" i="4" s="1"/>
  <c r="J272" i="4" a="1"/>
  <c r="J272" i="4" s="1"/>
  <c r="J271" i="4" a="1"/>
  <c r="J271" i="4" s="1"/>
  <c r="L269" i="4"/>
  <c r="M269" i="4" s="1"/>
  <c r="J268" i="4" a="1"/>
  <c r="J268" i="4" s="1"/>
  <c r="J267" i="4" a="1"/>
  <c r="J267" i="4" s="1"/>
  <c r="J266" i="4" a="1"/>
  <c r="J266" i="4" s="1"/>
  <c r="J265" i="4" a="1"/>
  <c r="J265" i="4" s="1"/>
  <c r="J264" i="4" a="1"/>
  <c r="J264" i="4" s="1"/>
  <c r="J263" i="4" a="1"/>
  <c r="J263" i="4" s="1"/>
  <c r="J262" i="4" a="1"/>
  <c r="J262" i="4" s="1"/>
  <c r="L261" i="4"/>
  <c r="M261" i="4" s="1"/>
  <c r="J259" i="4" a="1"/>
  <c r="J259" i="4" s="1"/>
  <c r="J258" i="4" a="1"/>
  <c r="J258" i="4" s="1"/>
  <c r="J257" i="4" a="1"/>
  <c r="J257" i="4" s="1"/>
  <c r="J256" i="4" a="1"/>
  <c r="J256" i="4" s="1"/>
  <c r="J255" i="4" a="1"/>
  <c r="J255" i="4" s="1"/>
  <c r="J254" i="4" a="1"/>
  <c r="J254" i="4" s="1"/>
  <c r="J253" i="4" a="1"/>
  <c r="J253" i="4" s="1"/>
  <c r="J252" i="4" a="1"/>
  <c r="J252" i="4" s="1"/>
  <c r="L250" i="4"/>
  <c r="M250" i="4" s="1"/>
  <c r="J250" i="4" a="1"/>
  <c r="J250" i="4" s="1"/>
  <c r="L249" i="4"/>
  <c r="M249" i="4" s="1"/>
  <c r="J249" i="4" a="1"/>
  <c r="J249" i="4" s="1"/>
  <c r="L248" i="4"/>
  <c r="M248" i="4" s="1"/>
  <c r="J248" i="4" a="1"/>
  <c r="J248" i="4" s="1"/>
  <c r="L247" i="4"/>
  <c r="M247" i="4" s="1"/>
  <c r="J247" i="4" a="1"/>
  <c r="J247" i="4" s="1"/>
  <c r="L246" i="4"/>
  <c r="M246" i="4" s="1"/>
  <c r="J246" i="4" a="1"/>
  <c r="J246" i="4" s="1"/>
  <c r="L245" i="4"/>
  <c r="M245" i="4" s="1"/>
  <c r="J245" i="4" a="1"/>
  <c r="J245" i="4" s="1"/>
  <c r="L244" i="4"/>
  <c r="M244" i="4" s="1"/>
  <c r="J244" i="4" a="1"/>
  <c r="J244" i="4" s="1"/>
  <c r="L243" i="4"/>
  <c r="M243" i="4" s="1"/>
  <c r="J243" i="4" a="1"/>
  <c r="J243" i="4" s="1"/>
  <c r="L242" i="4"/>
  <c r="M242" i="4" s="1"/>
  <c r="J242" i="4" a="1"/>
  <c r="J242" i="4" s="1"/>
  <c r="L241" i="4"/>
  <c r="M241" i="4" s="1"/>
  <c r="J241" i="4" a="1"/>
  <c r="J241" i="4" s="1"/>
  <c r="L240" i="4"/>
  <c r="M240" i="4" s="1"/>
  <c r="J240" i="4" a="1"/>
  <c r="J240" i="4" s="1"/>
  <c r="L239" i="4"/>
  <c r="M239" i="4" s="1"/>
  <c r="J239" i="4" a="1"/>
  <c r="J239" i="4" s="1"/>
  <c r="L238" i="4"/>
  <c r="M238" i="4" s="1"/>
  <c r="J238" i="4" a="1"/>
  <c r="J238" i="4" s="1"/>
  <c r="L237" i="4"/>
  <c r="M237" i="4" s="1"/>
  <c r="J237" i="4" a="1"/>
  <c r="J237" i="4" s="1"/>
  <c r="L236" i="4"/>
  <c r="M236" i="4" s="1"/>
  <c r="J236" i="4" a="1"/>
  <c r="J236" i="4" s="1"/>
  <c r="L235" i="4"/>
  <c r="M235" i="4" s="1"/>
  <c r="J235" i="4" a="1"/>
  <c r="J235" i="4" s="1"/>
  <c r="J234" i="4" a="1"/>
  <c r="J234" i="4" s="1"/>
  <c r="J233" i="4" a="1"/>
  <c r="J233" i="4" s="1"/>
  <c r="J232" i="4" a="1"/>
  <c r="J232" i="4" s="1"/>
  <c r="J231" i="4" a="1"/>
  <c r="J231" i="4" s="1"/>
  <c r="J230" i="4" a="1"/>
  <c r="J230" i="4" s="1"/>
  <c r="J229" i="4" a="1"/>
  <c r="J229" i="4" s="1"/>
  <c r="J228" i="4" a="1"/>
  <c r="J228" i="4" s="1"/>
  <c r="J227" i="4" a="1"/>
  <c r="J227" i="4" s="1"/>
  <c r="J225" i="4" a="1"/>
  <c r="J225" i="4" s="1"/>
  <c r="J224" i="4" a="1"/>
  <c r="J224" i="4" s="1"/>
  <c r="J223" i="4" a="1"/>
  <c r="J223" i="4" s="1"/>
  <c r="L222" i="4"/>
  <c r="M222" i="4" s="1"/>
  <c r="J222" i="4" a="1"/>
  <c r="J222" i="4" s="1"/>
  <c r="L221" i="4"/>
  <c r="M221" i="4" s="1"/>
  <c r="J221" i="4" a="1"/>
  <c r="J221" i="4" s="1"/>
  <c r="L220" i="4"/>
  <c r="M220" i="4" s="1"/>
  <c r="J220" i="4" a="1"/>
  <c r="J220" i="4" s="1"/>
  <c r="L219" i="4"/>
  <c r="M219" i="4" s="1"/>
  <c r="J219" i="4" a="1"/>
  <c r="J219" i="4" s="1"/>
  <c r="J218" i="4" a="1"/>
  <c r="J218" i="4" s="1"/>
  <c r="J217" i="4" a="1"/>
  <c r="J217" i="4" s="1"/>
  <c r="J216" i="4" a="1"/>
  <c r="J216" i="4" s="1"/>
  <c r="J215" i="4" a="1"/>
  <c r="J215" i="4" s="1"/>
  <c r="J214" i="4" a="1"/>
  <c r="J214" i="4" s="1"/>
  <c r="J213" i="4" a="1"/>
  <c r="J213" i="4" s="1"/>
  <c r="J212" i="4" a="1"/>
  <c r="J212" i="4" s="1"/>
  <c r="J211" i="4" a="1"/>
  <c r="J211" i="4" s="1"/>
  <c r="L210" i="4"/>
  <c r="M210" i="4" s="1"/>
  <c r="J210" i="4" a="1"/>
  <c r="J210" i="4" s="1"/>
  <c r="L209" i="4"/>
  <c r="M209" i="4" s="1"/>
  <c r="J209" i="4" a="1"/>
  <c r="J209" i="4" s="1"/>
  <c r="L208" i="4"/>
  <c r="M208" i="4" s="1"/>
  <c r="J208" i="4" a="1"/>
  <c r="J208" i="4" s="1"/>
  <c r="L207" i="4"/>
  <c r="M207" i="4" s="1"/>
  <c r="J207" i="4" a="1"/>
  <c r="J207" i="4" s="1"/>
  <c r="L206" i="4"/>
  <c r="M206" i="4" s="1"/>
  <c r="J206" i="4" a="1"/>
  <c r="J206" i="4" s="1"/>
  <c r="L205" i="4"/>
  <c r="M205" i="4" s="1"/>
  <c r="J205" i="4" a="1"/>
  <c r="J205" i="4" s="1"/>
  <c r="L204" i="4"/>
  <c r="M204" i="4" s="1"/>
  <c r="J204" i="4" a="1"/>
  <c r="J204" i="4" s="1"/>
  <c r="L203" i="4"/>
  <c r="M203" i="4" s="1"/>
  <c r="J203" i="4" a="1"/>
  <c r="J203" i="4" s="1"/>
  <c r="L202" i="4"/>
  <c r="M202" i="4" s="1"/>
  <c r="J202" i="4" a="1"/>
  <c r="J202" i="4" s="1"/>
  <c r="L201" i="4"/>
  <c r="M201" i="4" s="1"/>
  <c r="J201" i="4" a="1"/>
  <c r="J201" i="4" s="1"/>
  <c r="L200" i="4"/>
  <c r="M200" i="4" s="1"/>
  <c r="J200" i="4" a="1"/>
  <c r="J200" i="4" s="1"/>
  <c r="J199" i="4" a="1"/>
  <c r="J199" i="4" s="1"/>
  <c r="J198" i="4" a="1"/>
  <c r="J198" i="4" s="1"/>
  <c r="J197" i="4" a="1"/>
  <c r="J197" i="4" s="1"/>
  <c r="J196" i="4" a="1"/>
  <c r="J196" i="4" s="1"/>
  <c r="J195" i="4" a="1"/>
  <c r="J195" i="4" s="1"/>
  <c r="J194" i="4" a="1"/>
  <c r="J194" i="4" s="1"/>
  <c r="J193" i="4" a="1"/>
  <c r="J193" i="4" s="1"/>
  <c r="J192" i="4" a="1"/>
  <c r="J192" i="4" s="1"/>
  <c r="J191" i="4" a="1"/>
  <c r="J191" i="4" s="1"/>
  <c r="J190" i="4" a="1"/>
  <c r="J190" i="4" s="1"/>
  <c r="J189" i="4" a="1"/>
  <c r="J189" i="4" s="1"/>
  <c r="L188" i="4"/>
  <c r="M188" i="4" s="1"/>
  <c r="J187" i="4" a="1"/>
  <c r="J187" i="4" s="1"/>
  <c r="J186" i="4" a="1"/>
  <c r="J186" i="4" s="1"/>
  <c r="J185" i="4" a="1"/>
  <c r="J185" i="4" s="1"/>
  <c r="J184" i="4" a="1"/>
  <c r="J184" i="4" s="1"/>
  <c r="J183" i="4" a="1"/>
  <c r="J183" i="4" s="1"/>
  <c r="J182" i="4" a="1"/>
  <c r="J182" i="4" s="1"/>
  <c r="J181" i="4" a="1"/>
  <c r="J181" i="4" s="1"/>
  <c r="J180" i="4" a="1"/>
  <c r="J180" i="4" s="1"/>
  <c r="J179" i="4" a="1"/>
  <c r="J179" i="4" s="1"/>
  <c r="L178" i="4"/>
  <c r="M178" i="4" s="1"/>
  <c r="J177" i="4" a="1"/>
  <c r="J177" i="4" s="1"/>
  <c r="J176" i="4" a="1"/>
  <c r="J176" i="4" s="1"/>
  <c r="J175" i="4" a="1"/>
  <c r="J175" i="4" s="1"/>
  <c r="J174" i="4" a="1"/>
  <c r="J174" i="4" s="1"/>
  <c r="J173" i="4" a="1"/>
  <c r="J173" i="4" s="1"/>
  <c r="L172" i="4"/>
  <c r="M172" i="4" s="1"/>
  <c r="J172" i="4" a="1"/>
  <c r="J172" i="4" s="1"/>
  <c r="L171" i="4"/>
  <c r="M171" i="4" s="1"/>
  <c r="J171" i="4" a="1"/>
  <c r="J171" i="4" s="1"/>
  <c r="L170" i="4"/>
  <c r="M170" i="4" s="1"/>
  <c r="J170" i="4" a="1"/>
  <c r="J170" i="4" s="1"/>
  <c r="L169" i="4"/>
  <c r="M169" i="4" s="1"/>
  <c r="J169" i="4" a="1"/>
  <c r="J169" i="4" s="1"/>
  <c r="L168" i="4"/>
  <c r="M168" i="4" s="1"/>
  <c r="J168" i="4" a="1"/>
  <c r="J168" i="4" s="1"/>
  <c r="L167" i="4"/>
  <c r="M167" i="4" s="1"/>
  <c r="J167" i="4" a="1"/>
  <c r="J167" i="4" s="1"/>
  <c r="L166" i="4"/>
  <c r="M166" i="4" s="1"/>
  <c r="J166" i="4" a="1"/>
  <c r="J166" i="4" s="1"/>
  <c r="J165" i="4" a="1"/>
  <c r="J165" i="4" s="1"/>
  <c r="L164" i="4"/>
  <c r="M164" i="4" s="1"/>
  <c r="J164" i="4" a="1"/>
  <c r="J164" i="4" s="1"/>
  <c r="L163" i="4"/>
  <c r="M163" i="4" s="1"/>
  <c r="J163" i="4" a="1"/>
  <c r="J163" i="4" s="1"/>
  <c r="L162" i="4"/>
  <c r="M162" i="4" s="1"/>
  <c r="J162" i="4" a="1"/>
  <c r="J162" i="4" s="1"/>
  <c r="L161" i="4"/>
  <c r="M161" i="4" s="1"/>
  <c r="J161" i="4" a="1"/>
  <c r="J161" i="4" s="1"/>
  <c r="L160" i="4"/>
  <c r="M160" i="4" s="1"/>
  <c r="J160" i="4" a="1"/>
  <c r="J160" i="4" s="1"/>
  <c r="L159" i="4"/>
  <c r="M159" i="4" s="1"/>
  <c r="J159" i="4" a="1"/>
  <c r="J159" i="4" s="1"/>
  <c r="L158" i="4"/>
  <c r="M158" i="4" s="1"/>
  <c r="J158" i="4" a="1"/>
  <c r="J158" i="4" s="1"/>
  <c r="J157" i="4" a="1"/>
  <c r="J157" i="4" s="1"/>
  <c r="J156" i="4" a="1"/>
  <c r="J156" i="4" s="1"/>
  <c r="J155" i="4" a="1"/>
  <c r="J155" i="4" s="1"/>
  <c r="J153" i="4" a="1"/>
  <c r="J153" i="4" s="1"/>
  <c r="J152" i="4" a="1"/>
  <c r="J152" i="4" s="1"/>
  <c r="J151" i="4" a="1"/>
  <c r="J151" i="4" s="1"/>
  <c r="J150" i="4" a="1"/>
  <c r="J150" i="4" s="1"/>
  <c r="J149" i="4" a="1"/>
  <c r="J149" i="4" s="1"/>
  <c r="L148" i="4"/>
  <c r="M148" i="4" s="1"/>
  <c r="J147" i="4" a="1"/>
  <c r="J147" i="4" s="1"/>
  <c r="J146" i="4" a="1"/>
  <c r="J146" i="4" s="1"/>
  <c r="J144" i="4" a="1"/>
  <c r="J144" i="4" s="1"/>
  <c r="L143" i="4"/>
  <c r="M143" i="4" s="1"/>
  <c r="J143" i="4" a="1"/>
  <c r="J143" i="4" s="1"/>
  <c r="L142" i="4"/>
  <c r="M142" i="4" s="1"/>
  <c r="J142" i="4" a="1"/>
  <c r="J142" i="4" s="1"/>
  <c r="L141" i="4"/>
  <c r="M141" i="4" s="1"/>
  <c r="J141" i="4" a="1"/>
  <c r="J141" i="4" s="1"/>
  <c r="L139" i="4"/>
  <c r="M139" i="4" s="1"/>
  <c r="J139" i="4" a="1"/>
  <c r="J139" i="4" s="1"/>
  <c r="L138" i="4"/>
  <c r="M138" i="4" s="1"/>
  <c r="J138" i="4" a="1"/>
  <c r="J138" i="4" s="1"/>
  <c r="L137" i="4"/>
  <c r="M137" i="4" s="1"/>
  <c r="J137" i="4" a="1"/>
  <c r="J137" i="4" s="1"/>
  <c r="L136" i="4"/>
  <c r="M136" i="4" s="1"/>
  <c r="J136" i="4" a="1"/>
  <c r="J136" i="4" s="1"/>
  <c r="L135" i="4"/>
  <c r="M135" i="4" s="1"/>
  <c r="J135" i="4" a="1"/>
  <c r="J135" i="4" s="1"/>
  <c r="L134" i="4"/>
  <c r="M134" i="4" s="1"/>
  <c r="J134" i="4" a="1"/>
  <c r="J134" i="4" s="1"/>
  <c r="L133" i="4"/>
  <c r="M133" i="4" s="1"/>
  <c r="J133" i="4" a="1"/>
  <c r="J133" i="4" s="1"/>
  <c r="L132" i="4"/>
  <c r="M132" i="4" s="1"/>
  <c r="J132" i="4" a="1"/>
  <c r="J132" i="4" s="1"/>
  <c r="L131" i="4"/>
  <c r="M131" i="4" s="1"/>
  <c r="J131" i="4" a="1"/>
  <c r="J131" i="4" s="1"/>
  <c r="L130" i="4"/>
  <c r="M130" i="4" s="1"/>
  <c r="J130" i="4" a="1"/>
  <c r="J130" i="4" s="1"/>
  <c r="J129" i="4" a="1"/>
  <c r="J129" i="4" s="1"/>
  <c r="J128" i="4" a="1"/>
  <c r="J128" i="4" s="1"/>
  <c r="J127" i="4" a="1"/>
  <c r="J127" i="4" s="1"/>
  <c r="J126" i="4" a="1"/>
  <c r="J126" i="4" s="1"/>
  <c r="L125" i="4"/>
  <c r="M125" i="4" s="1"/>
  <c r="L123" i="4"/>
  <c r="M123" i="4" s="1"/>
  <c r="J122" i="4" a="1"/>
  <c r="J122" i="4" s="1"/>
  <c r="J121" i="4" a="1"/>
  <c r="J121" i="4" s="1"/>
  <c r="J120" i="4" a="1"/>
  <c r="J120" i="4" s="1"/>
  <c r="J119" i="4" a="1"/>
  <c r="J119" i="4" s="1"/>
  <c r="J118" i="4" a="1"/>
  <c r="J118" i="4" s="1"/>
  <c r="L117" i="4"/>
  <c r="M117" i="4" s="1"/>
  <c r="J117" i="4" a="1"/>
  <c r="J117" i="4" s="1"/>
  <c r="L116" i="4"/>
  <c r="M116" i="4" s="1"/>
  <c r="J116" i="4" a="1"/>
  <c r="J116" i="4" s="1"/>
  <c r="L115" i="4"/>
  <c r="M115" i="4" s="1"/>
  <c r="J115" i="4" a="1"/>
  <c r="J115" i="4" s="1"/>
  <c r="L114" i="4"/>
  <c r="M114" i="4" s="1"/>
  <c r="J114" i="4" a="1"/>
  <c r="J114" i="4" s="1"/>
  <c r="J113" i="4" a="1"/>
  <c r="J113" i="4" s="1"/>
  <c r="L112" i="4"/>
  <c r="M112" i="4" s="1"/>
  <c r="J112" i="4" a="1"/>
  <c r="J112" i="4" s="1"/>
  <c r="L111" i="4"/>
  <c r="M111" i="4" s="1"/>
  <c r="J111" i="4" a="1"/>
  <c r="J111" i="4" s="1"/>
  <c r="L110" i="4"/>
  <c r="M110" i="4" s="1"/>
  <c r="J110" i="4" a="1"/>
  <c r="J110" i="4" s="1"/>
  <c r="L109" i="4"/>
  <c r="M109" i="4" s="1"/>
  <c r="J109" i="4" a="1"/>
  <c r="J109" i="4" s="1"/>
  <c r="J108" i="4" a="1"/>
  <c r="J108" i="4" s="1"/>
  <c r="L105" i="4"/>
  <c r="M105" i="4" s="1"/>
  <c r="J105" i="4" a="1"/>
  <c r="J105" i="4" s="1"/>
  <c r="J104" i="4" a="1"/>
  <c r="J104" i="4" s="1"/>
  <c r="J103" i="4" a="1"/>
  <c r="J103" i="4" s="1"/>
  <c r="L102" i="4"/>
  <c r="M102" i="4" s="1"/>
  <c r="J101" i="4" a="1"/>
  <c r="J101" i="4" s="1"/>
  <c r="J100" i="4" a="1"/>
  <c r="J100" i="4" s="1"/>
  <c r="L99" i="4"/>
  <c r="M99" i="4" s="1"/>
  <c r="J99" i="4" a="1"/>
  <c r="J99" i="4" s="1"/>
  <c r="L98" i="4"/>
  <c r="M98" i="4" s="1"/>
  <c r="J98" i="4" a="1"/>
  <c r="J98" i="4" s="1"/>
  <c r="L97" i="4"/>
  <c r="M97" i="4" s="1"/>
  <c r="J97" i="4" a="1"/>
  <c r="J97" i="4" s="1"/>
  <c r="L96" i="4"/>
  <c r="M96" i="4" s="1"/>
  <c r="J96" i="4" a="1"/>
  <c r="J96" i="4" s="1"/>
  <c r="L95" i="4"/>
  <c r="M95" i="4" s="1"/>
  <c r="J95" i="4" a="1"/>
  <c r="J95" i="4" s="1"/>
  <c r="L94" i="4"/>
  <c r="M94" i="4" s="1"/>
  <c r="J94" i="4" a="1"/>
  <c r="J94" i="4" s="1"/>
  <c r="L93" i="4"/>
  <c r="M93" i="4" s="1"/>
  <c r="J93" i="4" a="1"/>
  <c r="J93" i="4" s="1"/>
  <c r="L92" i="4"/>
  <c r="M92" i="4" s="1"/>
  <c r="J92" i="4" a="1"/>
  <c r="J92" i="4" s="1"/>
  <c r="L91" i="4"/>
  <c r="M91" i="4" s="1"/>
  <c r="J91" i="4" a="1"/>
  <c r="J91" i="4" s="1"/>
  <c r="L90" i="4"/>
  <c r="M90" i="4" s="1"/>
  <c r="J90" i="4" a="1"/>
  <c r="J90" i="4" s="1"/>
  <c r="L89" i="4"/>
  <c r="M89" i="4" s="1"/>
  <c r="J89" i="4" a="1"/>
  <c r="J89" i="4" s="1"/>
  <c r="L88" i="4"/>
  <c r="M88" i="4" s="1"/>
  <c r="J88" i="4" a="1"/>
  <c r="J88" i="4" s="1"/>
  <c r="L87" i="4"/>
  <c r="M87" i="4" s="1"/>
  <c r="J87" i="4" a="1"/>
  <c r="J87" i="4" s="1"/>
  <c r="L86" i="4"/>
  <c r="M86" i="4" s="1"/>
  <c r="J86" i="4" a="1"/>
  <c r="J86" i="4" s="1"/>
  <c r="L85" i="4"/>
  <c r="M85" i="4" s="1"/>
  <c r="J85" i="4" a="1"/>
  <c r="J85" i="4" s="1"/>
  <c r="L84" i="4"/>
  <c r="M84" i="4" s="1"/>
  <c r="J84" i="4" a="1"/>
  <c r="J84" i="4" s="1"/>
  <c r="J83" i="4" a="1"/>
  <c r="J83" i="4" s="1"/>
  <c r="J81" i="4" a="1"/>
  <c r="J81" i="4" s="1"/>
  <c r="J80" i="4" a="1"/>
  <c r="J80" i="4" s="1"/>
  <c r="J79" i="4" a="1"/>
  <c r="J79" i="4" s="1"/>
  <c r="J78" i="4" a="1"/>
  <c r="J78" i="4" s="1"/>
  <c r="J77" i="4" a="1"/>
  <c r="J77" i="4" s="1"/>
  <c r="J76" i="4" a="1"/>
  <c r="J76" i="4" s="1"/>
  <c r="J75" i="4" a="1"/>
  <c r="J75" i="4" s="1"/>
  <c r="J74" i="4" a="1"/>
  <c r="J74" i="4" s="1"/>
  <c r="J73" i="4" a="1"/>
  <c r="J73" i="4" s="1"/>
  <c r="L72" i="4"/>
  <c r="M72" i="4" s="1"/>
  <c r="J71" i="4" a="1"/>
  <c r="J71" i="4" s="1"/>
  <c r="L70" i="4"/>
  <c r="M70" i="4" s="1"/>
  <c r="J69" i="4" a="1"/>
  <c r="J69" i="4" s="1"/>
  <c r="J68" i="4" a="1"/>
  <c r="J68" i="4" s="1"/>
  <c r="J67" i="4" a="1"/>
  <c r="J67" i="4" s="1"/>
  <c r="J66" i="4" a="1"/>
  <c r="J66" i="4" s="1"/>
  <c r="J65" i="4" a="1"/>
  <c r="J65" i="4" s="1"/>
  <c r="J64" i="4" a="1"/>
  <c r="J64" i="4" s="1"/>
  <c r="L63" i="4"/>
  <c r="M63" i="4" s="1"/>
  <c r="L62" i="4"/>
  <c r="M62" i="4" s="1"/>
  <c r="J61" i="4" a="1"/>
  <c r="J61" i="4" s="1"/>
  <c r="J60" i="4" a="1"/>
  <c r="J60" i="4" s="1"/>
  <c r="J59" i="4" a="1"/>
  <c r="J59" i="4" s="1"/>
  <c r="J58" i="4" a="1"/>
  <c r="J58" i="4" s="1"/>
  <c r="J57" i="4" a="1"/>
  <c r="J57" i="4" s="1"/>
  <c r="J55" i="4" a="1"/>
  <c r="J55" i="4" s="1"/>
  <c r="J54" i="4" a="1"/>
  <c r="J54" i="4" s="1"/>
  <c r="L53" i="4"/>
  <c r="M53" i="4" s="1"/>
  <c r="J53" i="4" a="1"/>
  <c r="J53" i="4" s="1"/>
  <c r="L52" i="4"/>
  <c r="M52" i="4" s="1"/>
  <c r="J52" i="4" a="1"/>
  <c r="J52" i="4" s="1"/>
  <c r="L51" i="4"/>
  <c r="M51" i="4" s="1"/>
  <c r="J51" i="4" a="1"/>
  <c r="J51" i="4" s="1"/>
  <c r="L50" i="4"/>
  <c r="M50" i="4" s="1"/>
  <c r="L49" i="4"/>
  <c r="M49" i="4" s="1"/>
  <c r="J49" i="4" a="1"/>
  <c r="J49" i="4" s="1"/>
  <c r="L48" i="4"/>
  <c r="M48" i="4" s="1"/>
  <c r="J48" i="4" a="1"/>
  <c r="J48" i="4" s="1"/>
  <c r="L47" i="4"/>
  <c r="M47" i="4" s="1"/>
  <c r="J47" i="4" a="1"/>
  <c r="J47" i="4" s="1"/>
  <c r="L46" i="4"/>
  <c r="M46" i="4" s="1"/>
  <c r="J46" i="4" a="1"/>
  <c r="J46" i="4" s="1"/>
  <c r="L45" i="4"/>
  <c r="M45" i="4" s="1"/>
  <c r="J45" i="4" a="1"/>
  <c r="J45" i="4" s="1"/>
  <c r="L44" i="4"/>
  <c r="M44" i="4" s="1"/>
  <c r="J44" i="4" a="1"/>
  <c r="J44" i="4" s="1"/>
  <c r="L43" i="4"/>
  <c r="M43" i="4" s="1"/>
  <c r="J43" i="4" a="1"/>
  <c r="J43" i="4" s="1"/>
  <c r="L42" i="4"/>
  <c r="M42" i="4" s="1"/>
  <c r="J42" i="4" a="1"/>
  <c r="J42" i="4" s="1"/>
  <c r="L41" i="4"/>
  <c r="M41" i="4" s="1"/>
  <c r="J41" i="4" a="1"/>
  <c r="J41" i="4" s="1"/>
  <c r="L40" i="4"/>
  <c r="M40" i="4" s="1"/>
  <c r="J40" i="4" a="1"/>
  <c r="J40" i="4" s="1"/>
  <c r="L39" i="4"/>
  <c r="M39" i="4" s="1"/>
  <c r="J39" i="4" a="1"/>
  <c r="J39" i="4" s="1"/>
  <c r="L38" i="4"/>
  <c r="M38" i="4" s="1"/>
  <c r="J38" i="4" a="1"/>
  <c r="J38" i="4" s="1"/>
  <c r="L37" i="4"/>
  <c r="M37" i="4" s="1"/>
  <c r="J37" i="4" a="1"/>
  <c r="J37" i="4" s="1"/>
  <c r="J36" i="4" a="1"/>
  <c r="J36" i="4" s="1"/>
  <c r="J35" i="4" a="1"/>
  <c r="J35" i="4" s="1"/>
  <c r="L34" i="4"/>
  <c r="M34" i="4" s="1"/>
  <c r="J33" i="4" a="1"/>
  <c r="J33" i="4" s="1"/>
  <c r="L32" i="4"/>
  <c r="M32" i="4" s="1"/>
  <c r="J32" i="4" a="1"/>
  <c r="J32" i="4" s="1"/>
  <c r="L31" i="4"/>
  <c r="M31" i="4" s="1"/>
  <c r="J31" i="4" a="1"/>
  <c r="J31" i="4" s="1"/>
  <c r="J30" i="4" a="1"/>
  <c r="J30" i="4" s="1"/>
  <c r="L29" i="4"/>
  <c r="M29" i="4" s="1"/>
  <c r="J29" i="4" a="1"/>
  <c r="J29" i="4" s="1"/>
  <c r="L28" i="4"/>
  <c r="M28" i="4" s="1"/>
  <c r="J28" i="4" a="1"/>
  <c r="J28" i="4" s="1"/>
  <c r="L27" i="4"/>
  <c r="M27" i="4" s="1"/>
  <c r="J27" i="4" a="1"/>
  <c r="J27" i="4" s="1"/>
  <c r="J26" i="4" a="1"/>
  <c r="J26" i="4" s="1"/>
  <c r="J25" i="4" a="1"/>
  <c r="J25" i="4" s="1"/>
  <c r="J24" i="4" a="1"/>
  <c r="J24" i="4" s="1"/>
  <c r="J23" i="4" a="1"/>
  <c r="J23" i="4" s="1"/>
  <c r="J21" i="4" a="1"/>
  <c r="J21" i="4" s="1"/>
  <c r="L19" i="4"/>
  <c r="M19" i="4" s="1"/>
  <c r="J19" i="4" a="1"/>
  <c r="J19" i="4" s="1"/>
  <c r="L18" i="4"/>
  <c r="M18" i="4" s="1"/>
  <c r="J18" i="4" a="1"/>
  <c r="J18" i="4" s="1"/>
  <c r="L17" i="4"/>
  <c r="M17" i="4" s="1"/>
  <c r="J17" i="4" a="1"/>
  <c r="J17" i="4" s="1"/>
  <c r="L16" i="4"/>
  <c r="M16" i="4" s="1"/>
  <c r="J16" i="4" a="1"/>
  <c r="J16" i="4" s="1"/>
  <c r="L15" i="4"/>
  <c r="M15" i="4" s="1"/>
  <c r="J15" i="4" a="1"/>
  <c r="J15" i="4" s="1"/>
  <c r="L14" i="4"/>
  <c r="M14" i="4" s="1"/>
  <c r="J14" i="4" a="1"/>
  <c r="J14" i="4" s="1"/>
  <c r="L13" i="4"/>
  <c r="M13" i="4" s="1"/>
  <c r="J13" i="4" a="1"/>
  <c r="J13" i="4" s="1"/>
  <c r="L12" i="4"/>
  <c r="M12" i="4" s="1"/>
  <c r="J12" i="4" a="1"/>
  <c r="J12" i="4" s="1"/>
  <c r="L11" i="4"/>
  <c r="M11" i="4" s="1"/>
  <c r="J11" i="4" a="1"/>
  <c r="J11" i="4" s="1"/>
  <c r="L10" i="4"/>
  <c r="M10" i="4" s="1"/>
  <c r="J10" i="4" a="1"/>
  <c r="J10" i="4" s="1"/>
  <c r="L9" i="4"/>
  <c r="M9" i="4" s="1"/>
  <c r="J9" i="4" a="1"/>
  <c r="J9" i="4" s="1"/>
  <c r="L8" i="4"/>
  <c r="M8" i="4" s="1"/>
  <c r="J8" i="4" a="1"/>
  <c r="J8" i="4" s="1"/>
  <c r="L7" i="4"/>
  <c r="M7" i="4" s="1"/>
  <c r="J7" i="4" a="1"/>
  <c r="J7" i="4" s="1"/>
  <c r="L6" i="4"/>
  <c r="J6" i="4" a="1"/>
  <c r="J6" i="4" s="1"/>
  <c r="G5" i="30" l="1"/>
  <c r="D5" i="30"/>
  <c r="C5" i="21"/>
  <c r="K5" i="21" s="1"/>
  <c r="C5" i="22"/>
  <c r="G5" i="22" s="1"/>
  <c r="L17" i="22"/>
  <c r="M6" i="4"/>
  <c r="F7" i="3"/>
  <c r="L106" i="4"/>
  <c r="M106" i="4" s="1"/>
  <c r="L78" i="4"/>
  <c r="M78" i="4" s="1"/>
  <c r="L292" i="4"/>
  <c r="M292" i="4" s="1"/>
  <c r="L177" i="4"/>
  <c r="M177" i="4" s="1"/>
  <c r="L198" i="4"/>
  <c r="M198" i="4" s="1"/>
  <c r="L266" i="4"/>
  <c r="M266" i="4" s="1"/>
  <c r="L113" i="4"/>
  <c r="M113" i="4" s="1"/>
  <c r="L35" i="4"/>
  <c r="M35" i="4" s="1"/>
  <c r="L154" i="4"/>
  <c r="M154" i="4" s="1"/>
  <c r="L183" i="4"/>
  <c r="M183" i="4" s="1"/>
  <c r="L294" i="4"/>
  <c r="M294" i="4" s="1"/>
  <c r="L120" i="4"/>
  <c r="M120" i="4" s="1"/>
  <c r="L189" i="4"/>
  <c r="M189" i="4" s="1"/>
  <c r="L121" i="4"/>
  <c r="M121" i="4" s="1"/>
  <c r="L211" i="4"/>
  <c r="M211" i="4" s="1"/>
  <c r="L26" i="4"/>
  <c r="M26" i="4" s="1"/>
  <c r="L56" i="4"/>
  <c r="M56" i="4" s="1"/>
  <c r="L225" i="4"/>
  <c r="M225" i="4" s="1"/>
  <c r="L129" i="4"/>
  <c r="M129" i="4" s="1"/>
  <c r="L156" i="4"/>
  <c r="M156" i="4" s="1"/>
  <c r="L191" i="4"/>
  <c r="M191" i="4" s="1"/>
  <c r="L228" i="4"/>
  <c r="M228" i="4" s="1"/>
  <c r="L254" i="4"/>
  <c r="M254" i="4" s="1"/>
  <c r="L290" i="4"/>
  <c r="M290" i="4" s="1"/>
  <c r="L82" i="4"/>
  <c r="M82" i="4" s="1"/>
  <c r="L100" i="4"/>
  <c r="M100" i="4" s="1"/>
  <c r="L195" i="4"/>
  <c r="M195" i="4" s="1"/>
  <c r="L300" i="4"/>
  <c r="M300" i="4" s="1"/>
  <c r="L259" i="4"/>
  <c r="M259" i="4" s="1"/>
  <c r="L173" i="4"/>
  <c r="M173" i="4" s="1"/>
  <c r="L79" i="4"/>
  <c r="M79" i="4" s="1"/>
  <c r="L193" i="4"/>
  <c r="M193" i="4" s="1"/>
  <c r="L150" i="4"/>
  <c r="M150" i="4" s="1"/>
  <c r="L152" i="4"/>
  <c r="M152" i="4" s="1"/>
  <c r="L187" i="4"/>
  <c r="M187" i="4" s="1"/>
  <c r="L190" i="4"/>
  <c r="M190" i="4" s="1"/>
  <c r="L218" i="4"/>
  <c r="M218" i="4" s="1"/>
  <c r="L104" i="4"/>
  <c r="M104" i="4" s="1"/>
  <c r="L101" i="4"/>
  <c r="M101" i="4" s="1"/>
  <c r="L192" i="4"/>
  <c r="M192" i="4" s="1"/>
  <c r="L149" i="4"/>
  <c r="M149" i="4" s="1"/>
  <c r="L33" i="4"/>
  <c r="M33" i="4" s="1"/>
  <c r="L119" i="4"/>
  <c r="M119" i="4" s="1"/>
  <c r="L223" i="4"/>
  <c r="M223" i="4" s="1"/>
  <c r="L257" i="4"/>
  <c r="M257" i="4" s="1"/>
  <c r="L216" i="4"/>
  <c r="M216" i="4" s="1"/>
  <c r="L217" i="4"/>
  <c r="M217" i="4" s="1"/>
  <c r="L296" i="4"/>
  <c r="M296" i="4" s="1"/>
  <c r="L227" i="4"/>
  <c r="M227" i="4" s="1"/>
  <c r="L289" i="4"/>
  <c r="M289" i="4" s="1"/>
  <c r="L65" i="4"/>
  <c r="M65" i="4" s="1"/>
  <c r="L75" i="4"/>
  <c r="M75" i="4" s="1"/>
  <c r="L180" i="4"/>
  <c r="M180" i="4" s="1"/>
  <c r="L267" i="4"/>
  <c r="M267" i="4" s="1"/>
  <c r="J102" i="4" a="1"/>
  <c r="J102" i="4" s="1"/>
  <c r="L185" i="4"/>
  <c r="M185" i="4" s="1"/>
  <c r="J72" i="4" a="1"/>
  <c r="J72" i="4" s="1"/>
  <c r="L179" i="4"/>
  <c r="M179" i="4" s="1"/>
  <c r="L299" i="4"/>
  <c r="M299" i="4" s="1"/>
  <c r="L80" i="4"/>
  <c r="M80" i="4" s="1"/>
  <c r="L186" i="4"/>
  <c r="M186" i="4" s="1"/>
  <c r="L214" i="4"/>
  <c r="M214" i="4" s="1"/>
  <c r="L270" i="4"/>
  <c r="M270" i="4" s="1"/>
  <c r="L61" i="4"/>
  <c r="M61" i="4" s="1"/>
  <c r="L151" i="4"/>
  <c r="M151" i="4" s="1"/>
  <c r="L255" i="4"/>
  <c r="M255" i="4" s="1"/>
  <c r="L199" i="4"/>
  <c r="M199" i="4" s="1"/>
  <c r="L103" i="4"/>
  <c r="M103" i="4" s="1"/>
  <c r="L146" i="4"/>
  <c r="M146" i="4" s="1"/>
  <c r="L256" i="4"/>
  <c r="M256" i="4" s="1"/>
  <c r="L81" i="4"/>
  <c r="M81" i="4" s="1"/>
  <c r="L264" i="4"/>
  <c r="M264" i="4" s="1"/>
  <c r="L23" i="4"/>
  <c r="M23" i="4" s="1"/>
  <c r="J154" i="4" a="1"/>
  <c r="J154" i="4" s="1"/>
  <c r="L174" i="4"/>
  <c r="M174" i="4" s="1"/>
  <c r="L301" i="4"/>
  <c r="M301" i="4" s="1"/>
  <c r="J148" i="4" a="1"/>
  <c r="J148" i="4" s="1"/>
  <c r="L24" i="4"/>
  <c r="M24" i="4" s="1"/>
  <c r="L118" i="4"/>
  <c r="M118" i="4" s="1"/>
  <c r="L127" i="4"/>
  <c r="M127" i="4" s="1"/>
  <c r="L181" i="4"/>
  <c r="M181" i="4" s="1"/>
  <c r="L251" i="4"/>
  <c r="M251" i="4" s="1"/>
  <c r="L265" i="4"/>
  <c r="M265" i="4" s="1"/>
  <c r="L287" i="4"/>
  <c r="M287" i="4" s="1"/>
  <c r="L302" i="4"/>
  <c r="M302" i="4" s="1"/>
  <c r="L73" i="4"/>
  <c r="M73" i="4" s="1"/>
  <c r="J82" i="4" a="1"/>
  <c r="J82" i="4" s="1"/>
  <c r="L140" i="4"/>
  <c r="M140" i="4" s="1"/>
  <c r="L215" i="4"/>
  <c r="M215" i="4" s="1"/>
  <c r="L126" i="4"/>
  <c r="M126" i="4" s="1"/>
  <c r="L229" i="4"/>
  <c r="M229" i="4" s="1"/>
  <c r="L25" i="4"/>
  <c r="M25" i="4" s="1"/>
  <c r="L182" i="4"/>
  <c r="M182" i="4" s="1"/>
  <c r="L295" i="4"/>
  <c r="M295" i="4" s="1"/>
  <c r="L122" i="4"/>
  <c r="M122" i="4" s="1"/>
  <c r="L291" i="4"/>
  <c r="M291" i="4" s="1"/>
  <c r="L268" i="4"/>
  <c r="M268" i="4" s="1"/>
  <c r="L234" i="4"/>
  <c r="M234" i="4" s="1"/>
  <c r="L54" i="4"/>
  <c r="M54" i="4" s="1"/>
  <c r="L64" i="4"/>
  <c r="M64" i="4" s="1"/>
  <c r="L58" i="4"/>
  <c r="M58" i="4" s="1"/>
  <c r="L76" i="4"/>
  <c r="M76" i="4" s="1"/>
  <c r="L83" i="4"/>
  <c r="M83" i="4" s="1"/>
  <c r="L157" i="4"/>
  <c r="M157" i="4" s="1"/>
  <c r="L20" i="4"/>
  <c r="M20" i="4" s="1"/>
  <c r="L21" i="4"/>
  <c r="M21" i="4" s="1"/>
  <c r="L59" i="4"/>
  <c r="M59" i="4" s="1"/>
  <c r="L77" i="4"/>
  <c r="M77" i="4" s="1"/>
  <c r="L224" i="4"/>
  <c r="M224" i="4" s="1"/>
  <c r="L107" i="4"/>
  <c r="M107" i="4" s="1"/>
  <c r="L128" i="4"/>
  <c r="M128" i="4" s="1"/>
  <c r="L144" i="4"/>
  <c r="M144" i="4" s="1"/>
  <c r="L197" i="4"/>
  <c r="M197" i="4" s="1"/>
  <c r="L232" i="4"/>
  <c r="M232" i="4" s="1"/>
  <c r="L260" i="4"/>
  <c r="M260" i="4" s="1"/>
  <c r="L36" i="4"/>
  <c r="M36" i="4" s="1"/>
  <c r="L226" i="4"/>
  <c r="M226" i="4" s="1"/>
  <c r="L71" i="4"/>
  <c r="M71" i="4" s="1"/>
  <c r="L233" i="4"/>
  <c r="M233" i="4" s="1"/>
  <c r="L74" i="4"/>
  <c r="M74" i="4" s="1"/>
  <c r="J178" i="4" a="1"/>
  <c r="J178" i="4" s="1"/>
  <c r="J226" i="4" a="1"/>
  <c r="J226" i="4" s="1"/>
  <c r="L230" i="4"/>
  <c r="M230" i="4" s="1"/>
  <c r="J188" i="4" a="1"/>
  <c r="J188" i="4" s="1"/>
  <c r="L271" i="4"/>
  <c r="M271" i="4" s="1"/>
  <c r="J34" i="4" a="1"/>
  <c r="J34" i="4" s="1"/>
  <c r="J50" i="4" a="1"/>
  <c r="J50" i="4" s="1"/>
  <c r="J63" i="4" a="1"/>
  <c r="J63" i="4" s="1"/>
  <c r="J106" i="4" a="1"/>
  <c r="J106" i="4" s="1"/>
  <c r="L67" i="4"/>
  <c r="M67" i="4" s="1"/>
  <c r="L184" i="4"/>
  <c r="M184" i="4" s="1"/>
  <c r="L194" i="4"/>
  <c r="M194" i="4" s="1"/>
  <c r="J251" i="4" a="1"/>
  <c r="J251" i="4" s="1"/>
  <c r="L153" i="4"/>
  <c r="M153" i="4" s="1"/>
  <c r="L212" i="4"/>
  <c r="M212" i="4" s="1"/>
  <c r="L30" i="4"/>
  <c r="M30" i="4" s="1"/>
  <c r="J56" i="4" a="1"/>
  <c r="J56" i="4" s="1"/>
  <c r="L175" i="4"/>
  <c r="M175" i="4" s="1"/>
  <c r="L293" i="4"/>
  <c r="M293" i="4" s="1"/>
  <c r="J70" i="4" a="1"/>
  <c r="J70" i="4" s="1"/>
  <c r="L147" i="4"/>
  <c r="M147" i="4" s="1"/>
  <c r="L60" i="4"/>
  <c r="M60" i="4" s="1"/>
  <c r="L68" i="4"/>
  <c r="M68" i="4" s="1"/>
  <c r="J123" i="4" a="1"/>
  <c r="J123" i="4" s="1"/>
  <c r="L165" i="4"/>
  <c r="M165" i="4" s="1"/>
  <c r="L196" i="4"/>
  <c r="M196" i="4" s="1"/>
  <c r="J288" i="4" a="1"/>
  <c r="J288" i="4" s="1"/>
  <c r="J62" i="4" a="1"/>
  <c r="J62" i="4" s="1"/>
  <c r="L66" i="4"/>
  <c r="M66" i="4" s="1"/>
  <c r="L145" i="4"/>
  <c r="M145" i="4" s="1"/>
  <c r="J145" i="4" a="1"/>
  <c r="J145" i="4" s="1"/>
  <c r="J22" i="4" a="1"/>
  <c r="J22" i="4" s="1"/>
  <c r="L22" i="4"/>
  <c r="M22" i="4" s="1"/>
  <c r="J140" i="4" a="1"/>
  <c r="J140" i="4" s="1"/>
  <c r="L55" i="4"/>
  <c r="M55" i="4" s="1"/>
  <c r="J20" i="4" a="1"/>
  <c r="J20" i="4" s="1"/>
  <c r="J261" i="4" a="1"/>
  <c r="J261" i="4" s="1"/>
  <c r="L258" i="4"/>
  <c r="M258" i="4" s="1"/>
  <c r="J269" i="4" a="1"/>
  <c r="J269" i="4" s="1"/>
  <c r="J107" i="4" a="1"/>
  <c r="J107" i="4" s="1"/>
  <c r="L155" i="4"/>
  <c r="M155" i="4" s="1"/>
  <c r="L69" i="4"/>
  <c r="M69" i="4" s="1"/>
  <c r="L108" i="4"/>
  <c r="M108" i="4" s="1"/>
  <c r="L253" i="4"/>
  <c r="M253" i="4" s="1"/>
  <c r="J125" i="4" a="1"/>
  <c r="J125" i="4" s="1"/>
  <c r="L124" i="4"/>
  <c r="M124" i="4" s="1"/>
  <c r="J124" i="4" a="1"/>
  <c r="J124" i="4" s="1"/>
  <c r="L57" i="4"/>
  <c r="M57" i="4" s="1"/>
  <c r="L213" i="4"/>
  <c r="M213" i="4" s="1"/>
  <c r="L176" i="4"/>
  <c r="M176" i="4" s="1"/>
  <c r="L231" i="4"/>
  <c r="M231" i="4" s="1"/>
  <c r="L252" i="4"/>
  <c r="M252" i="4" s="1"/>
  <c r="L288" i="4"/>
  <c r="M288" i="4" s="1"/>
  <c r="L262" i="4"/>
  <c r="M262" i="4" s="1"/>
  <c r="L297" i="4"/>
  <c r="M297" i="4" s="1"/>
  <c r="L263" i="4"/>
  <c r="M263" i="4" s="1"/>
  <c r="L298" i="4"/>
  <c r="M298" i="4" s="1"/>
  <c r="J260" i="4" a="1"/>
  <c r="J260" i="4" s="1"/>
  <c r="J270" i="4" a="1"/>
  <c r="J270" i="4" s="1"/>
  <c r="J295" i="4" a="1"/>
  <c r="J295" i="4" s="1"/>
  <c r="N17" i="22" l="1"/>
  <c r="R16" i="3" a="1"/>
  <c r="R16" i="3" s="1"/>
  <c r="N16" i="3" a="1"/>
  <c r="N16" i="3" s="1"/>
  <c r="J16" i="3" a="1"/>
  <c r="J16" i="3" s="1"/>
  <c r="L7" i="3" a="1"/>
  <c r="L7" i="3" s="1"/>
  <c r="V32" i="22" s="1"/>
  <c r="O7" i="3" a="1"/>
  <c r="O7" i="3" s="1"/>
  <c r="M7" i="3" a="1"/>
  <c r="M7" i="3" s="1"/>
  <c r="Q7" i="3"/>
  <c r="S7" i="3"/>
  <c r="K7" i="3" a="1"/>
  <c r="K7" i="3" s="1"/>
  <c r="P7" i="3"/>
  <c r="W32" i="22" s="1"/>
  <c r="H7" i="3" a="1"/>
  <c r="H7" i="3" s="1"/>
  <c r="I7" i="3"/>
  <c r="G5" i="3" a="1"/>
  <c r="G5" i="3" s="1"/>
  <c r="G4" i="3" a="1"/>
  <c r="G4" i="3" s="1"/>
  <c r="D5" i="3"/>
  <c r="D4" i="3"/>
  <c r="B5" i="3"/>
  <c r="B4" i="3"/>
  <c r="J582" i="2" a="1"/>
  <c r="J582" i="2" s="1"/>
  <c r="J581" i="2" a="1"/>
  <c r="J581" i="2" s="1"/>
  <c r="J580" i="2" a="1"/>
  <c r="J580" i="2" s="1"/>
  <c r="J579" i="2" a="1"/>
  <c r="J579" i="2" s="1"/>
  <c r="J578" i="2" a="1"/>
  <c r="J578" i="2" s="1"/>
  <c r="J577" i="2" a="1"/>
  <c r="J577" i="2" s="1"/>
  <c r="J576" i="2" a="1"/>
  <c r="J576" i="2" s="1"/>
  <c r="J575" i="2" a="1"/>
  <c r="J575" i="2" s="1"/>
  <c r="J574" i="2" a="1"/>
  <c r="J574" i="2" s="1"/>
  <c r="J573" i="2" a="1"/>
  <c r="J573" i="2" s="1"/>
  <c r="J572" i="2" a="1"/>
  <c r="J572" i="2" s="1"/>
  <c r="J571" i="2" a="1"/>
  <c r="J571" i="2" s="1"/>
  <c r="J570" i="2" a="1"/>
  <c r="J570" i="2" s="1"/>
  <c r="J569" i="2" a="1"/>
  <c r="J569" i="2" s="1"/>
  <c r="J568" i="2" a="1"/>
  <c r="J568" i="2" s="1"/>
  <c r="J567" i="2" a="1"/>
  <c r="J567" i="2" s="1"/>
  <c r="J566" i="2" a="1"/>
  <c r="J566" i="2" s="1"/>
  <c r="J565" i="2" a="1"/>
  <c r="J565" i="2" s="1"/>
  <c r="J564" i="2" a="1"/>
  <c r="J564" i="2" s="1"/>
  <c r="J563" i="2" a="1"/>
  <c r="J563" i="2" s="1"/>
  <c r="J562" i="2" a="1"/>
  <c r="J562" i="2" s="1"/>
  <c r="J561" i="2" a="1"/>
  <c r="J561" i="2" s="1"/>
  <c r="J560" i="2" a="1"/>
  <c r="J560" i="2" s="1"/>
  <c r="J559" i="2" a="1"/>
  <c r="J559" i="2" s="1"/>
  <c r="J558" i="2" a="1"/>
  <c r="J558" i="2" s="1"/>
  <c r="J557" i="2" a="1"/>
  <c r="J557" i="2" s="1"/>
  <c r="J556" i="2" a="1"/>
  <c r="J556" i="2" s="1"/>
  <c r="J555" i="2" a="1"/>
  <c r="J555" i="2" s="1"/>
  <c r="J554" i="2" a="1"/>
  <c r="J554" i="2" s="1"/>
  <c r="J553" i="2" a="1"/>
  <c r="J553" i="2" s="1"/>
  <c r="J552" i="2" a="1"/>
  <c r="J552" i="2" s="1"/>
  <c r="J551" i="2" a="1"/>
  <c r="J551" i="2" s="1"/>
  <c r="J550" i="2" a="1"/>
  <c r="J550" i="2" s="1"/>
  <c r="J549" i="2" a="1"/>
  <c r="J549" i="2" s="1"/>
  <c r="J548" i="2" a="1"/>
  <c r="J548" i="2" s="1"/>
  <c r="J547" i="2" a="1"/>
  <c r="J547" i="2" s="1"/>
  <c r="J546" i="2" a="1"/>
  <c r="J546" i="2" s="1"/>
  <c r="J545" i="2" a="1"/>
  <c r="J545" i="2" s="1"/>
  <c r="J544" i="2" a="1"/>
  <c r="J544" i="2" s="1"/>
  <c r="J543" i="2" a="1"/>
  <c r="J543" i="2" s="1"/>
  <c r="J542" i="2" a="1"/>
  <c r="J542" i="2" s="1"/>
  <c r="J541" i="2" a="1"/>
  <c r="J541" i="2" s="1"/>
  <c r="J540" i="2" a="1"/>
  <c r="J540" i="2" s="1"/>
  <c r="J539" i="2" a="1"/>
  <c r="J539" i="2" s="1"/>
  <c r="J538" i="2" a="1"/>
  <c r="J538" i="2" s="1"/>
  <c r="J537" i="2" a="1"/>
  <c r="J537" i="2" s="1"/>
  <c r="J536" i="2" a="1"/>
  <c r="J536" i="2" s="1"/>
  <c r="J535" i="2" a="1"/>
  <c r="J535" i="2" s="1"/>
  <c r="J534" i="2" a="1"/>
  <c r="J534" i="2" s="1"/>
  <c r="J533" i="2" a="1"/>
  <c r="J533" i="2" s="1"/>
  <c r="J532" i="2" a="1"/>
  <c r="J532" i="2" s="1"/>
  <c r="J531" i="2" a="1"/>
  <c r="J531" i="2" s="1"/>
  <c r="J530" i="2" a="1"/>
  <c r="J530" i="2" s="1"/>
  <c r="J529" i="2" a="1"/>
  <c r="J529" i="2" s="1"/>
  <c r="J528" i="2" a="1"/>
  <c r="J528" i="2" s="1"/>
  <c r="J527" i="2" a="1"/>
  <c r="J527" i="2" s="1"/>
  <c r="J526" i="2" a="1"/>
  <c r="J526" i="2" s="1"/>
  <c r="J525" i="2" a="1"/>
  <c r="J525" i="2" s="1"/>
  <c r="J524" i="2" a="1"/>
  <c r="J524" i="2" s="1"/>
  <c r="J523" i="2" a="1"/>
  <c r="J523" i="2" s="1"/>
  <c r="J516" i="2" a="1"/>
  <c r="J516" i="2" s="1"/>
  <c r="J515" i="2" a="1"/>
  <c r="J515" i="2" s="1"/>
  <c r="J514" i="2" a="1"/>
  <c r="J514" i="2" s="1"/>
  <c r="J513" i="2" a="1"/>
  <c r="J513" i="2" s="1"/>
  <c r="J512" i="2" a="1"/>
  <c r="J512" i="2" s="1"/>
  <c r="J511" i="2" a="1"/>
  <c r="J511" i="2" s="1"/>
  <c r="J510" i="2" a="1"/>
  <c r="J510" i="2" s="1"/>
  <c r="J509" i="2" a="1"/>
  <c r="J509" i="2" s="1"/>
  <c r="J508" i="2" a="1"/>
  <c r="J508" i="2" s="1"/>
  <c r="J507" i="2" a="1"/>
  <c r="J507" i="2" s="1"/>
  <c r="J506" i="2" a="1"/>
  <c r="J506" i="2" s="1"/>
  <c r="J505" i="2" a="1"/>
  <c r="J505" i="2" s="1"/>
  <c r="J504" i="2" a="1"/>
  <c r="J504" i="2" s="1"/>
  <c r="J503" i="2" a="1"/>
  <c r="J503" i="2" s="1"/>
  <c r="J502" i="2" a="1"/>
  <c r="J502" i="2" s="1"/>
  <c r="J501" i="2" a="1"/>
  <c r="J501" i="2" s="1"/>
  <c r="J500" i="2" a="1"/>
  <c r="J500" i="2" s="1"/>
  <c r="J499" i="2" a="1"/>
  <c r="J499" i="2" s="1"/>
  <c r="J498" i="2" a="1"/>
  <c r="J498" i="2" s="1"/>
  <c r="J497" i="2" a="1"/>
  <c r="J497" i="2" s="1"/>
  <c r="J496" i="2" a="1"/>
  <c r="J496" i="2" s="1"/>
  <c r="J495" i="2" a="1"/>
  <c r="J495" i="2" s="1"/>
  <c r="J494" i="2" a="1"/>
  <c r="J494" i="2" s="1"/>
  <c r="J493" i="2" a="1"/>
  <c r="J493" i="2" s="1"/>
  <c r="J492" i="2" a="1"/>
  <c r="J492" i="2" s="1"/>
  <c r="J491" i="2" a="1"/>
  <c r="J491" i="2" s="1"/>
  <c r="J490" i="2" a="1"/>
  <c r="J490" i="2" s="1"/>
  <c r="J489" i="2" a="1"/>
  <c r="J489" i="2" s="1"/>
  <c r="J488" i="2" a="1"/>
  <c r="J488" i="2" s="1"/>
  <c r="J487" i="2" a="1"/>
  <c r="J487" i="2" s="1"/>
  <c r="J486" i="2" a="1"/>
  <c r="J486" i="2" s="1"/>
  <c r="J485" i="2" a="1"/>
  <c r="J485" i="2" s="1"/>
  <c r="J484" i="2" a="1"/>
  <c r="J484" i="2" s="1"/>
  <c r="J483" i="2" a="1"/>
  <c r="J483" i="2" s="1"/>
  <c r="J482" i="2" a="1"/>
  <c r="J482" i="2" s="1"/>
  <c r="J481" i="2" a="1"/>
  <c r="J481" i="2" s="1"/>
  <c r="J480" i="2" a="1"/>
  <c r="J480" i="2" s="1"/>
  <c r="J479" i="2" a="1"/>
  <c r="J479" i="2" s="1"/>
  <c r="J478" i="2" a="1"/>
  <c r="J478" i="2" s="1"/>
  <c r="J477" i="2" a="1"/>
  <c r="J477" i="2" s="1"/>
  <c r="J476" i="2" a="1"/>
  <c r="J476" i="2" s="1"/>
  <c r="J475" i="2" a="1"/>
  <c r="J475" i="2" s="1"/>
  <c r="J474" i="2" a="1"/>
  <c r="J474" i="2" s="1"/>
  <c r="J473" i="2" a="1"/>
  <c r="J473" i="2" s="1"/>
  <c r="J472" i="2" a="1"/>
  <c r="J472" i="2" s="1"/>
  <c r="J471" i="2" a="1"/>
  <c r="J471" i="2" s="1"/>
  <c r="J470" i="2" a="1"/>
  <c r="J470" i="2" s="1"/>
  <c r="J469" i="2" a="1"/>
  <c r="J469" i="2" s="1"/>
  <c r="J468" i="2" a="1"/>
  <c r="J468" i="2" s="1"/>
  <c r="J467" i="2" a="1"/>
  <c r="J467" i="2" s="1"/>
  <c r="J466" i="2" a="1"/>
  <c r="J466" i="2" s="1"/>
  <c r="J465" i="2" a="1"/>
  <c r="J465" i="2" s="1"/>
  <c r="J464" i="2" a="1"/>
  <c r="J464" i="2" s="1"/>
  <c r="J463" i="2" a="1"/>
  <c r="J463" i="2" s="1"/>
  <c r="J462" i="2" a="1"/>
  <c r="J462" i="2" s="1"/>
  <c r="J461" i="2" a="1"/>
  <c r="J461" i="2" s="1"/>
  <c r="J460" i="2" a="1"/>
  <c r="J460" i="2" s="1"/>
  <c r="J459" i="2" a="1"/>
  <c r="J459" i="2" s="1"/>
  <c r="J458" i="2" a="1"/>
  <c r="J458" i="2" s="1"/>
  <c r="J457" i="2" a="1"/>
  <c r="J457" i="2" s="1"/>
  <c r="J456" i="2" a="1"/>
  <c r="J456" i="2" s="1"/>
  <c r="J455" i="2" a="1"/>
  <c r="J455" i="2" s="1"/>
  <c r="J454" i="2" a="1"/>
  <c r="J454" i="2" s="1"/>
  <c r="J453" i="2" a="1"/>
  <c r="J453" i="2" s="1"/>
  <c r="J452" i="2" a="1"/>
  <c r="J452" i="2" s="1"/>
  <c r="J451" i="2" a="1"/>
  <c r="J451" i="2" s="1"/>
  <c r="J450" i="2" a="1"/>
  <c r="J450" i="2" s="1"/>
  <c r="J449" i="2" a="1"/>
  <c r="J449" i="2" s="1"/>
  <c r="J448" i="2" a="1"/>
  <c r="J448" i="2" s="1"/>
  <c r="J447" i="2" a="1"/>
  <c r="J447" i="2" s="1"/>
  <c r="J446" i="2" a="1"/>
  <c r="J446" i="2" s="1"/>
  <c r="J445" i="2" a="1"/>
  <c r="J445" i="2" s="1"/>
  <c r="J444" i="2" a="1"/>
  <c r="J444" i="2" s="1"/>
  <c r="J443" i="2" a="1"/>
  <c r="J443" i="2" s="1"/>
  <c r="J442" i="2" a="1"/>
  <c r="J442" i="2" s="1"/>
  <c r="J441" i="2" a="1"/>
  <c r="J441" i="2" s="1"/>
  <c r="J440" i="2" a="1"/>
  <c r="J440" i="2" s="1"/>
  <c r="J439" i="2" a="1"/>
  <c r="J439" i="2" s="1"/>
  <c r="J438" i="2" a="1"/>
  <c r="J438" i="2" s="1"/>
  <c r="J437" i="2" a="1"/>
  <c r="J437" i="2" s="1"/>
  <c r="J436" i="2" a="1"/>
  <c r="J436" i="2" s="1"/>
  <c r="J435" i="2" a="1"/>
  <c r="J435" i="2" s="1"/>
  <c r="J434" i="2" a="1"/>
  <c r="J434" i="2" s="1"/>
  <c r="J433" i="2" a="1"/>
  <c r="J433" i="2" s="1"/>
  <c r="J432" i="2" a="1"/>
  <c r="J432" i="2" s="1"/>
  <c r="J431" i="2" a="1"/>
  <c r="J431" i="2" s="1"/>
  <c r="J430" i="2" a="1"/>
  <c r="J430" i="2" s="1"/>
  <c r="J429" i="2" a="1"/>
  <c r="J429" i="2" s="1"/>
  <c r="J428" i="2" a="1"/>
  <c r="J428" i="2" s="1"/>
  <c r="J427" i="2" a="1"/>
  <c r="J427" i="2" s="1"/>
  <c r="J426" i="2" a="1"/>
  <c r="J426" i="2" s="1"/>
  <c r="J425" i="2" a="1"/>
  <c r="J425" i="2" s="1"/>
  <c r="J424" i="2" a="1"/>
  <c r="J424" i="2" s="1"/>
  <c r="J423" i="2" a="1"/>
  <c r="J423" i="2" s="1"/>
  <c r="J422" i="2" a="1"/>
  <c r="J422" i="2" s="1"/>
  <c r="J421" i="2" a="1"/>
  <c r="J421" i="2" s="1"/>
  <c r="J420" i="2" a="1"/>
  <c r="J420" i="2" s="1"/>
  <c r="J419" i="2" a="1"/>
  <c r="J419" i="2" s="1"/>
  <c r="J418" i="2" a="1"/>
  <c r="J418" i="2" s="1"/>
  <c r="J417" i="2" a="1"/>
  <c r="J417" i="2" s="1"/>
  <c r="J416" i="2" a="1"/>
  <c r="J416" i="2" s="1"/>
  <c r="J415" i="2" a="1"/>
  <c r="J415" i="2" s="1"/>
  <c r="J414" i="2" a="1"/>
  <c r="J414" i="2" s="1"/>
  <c r="J413" i="2" a="1"/>
  <c r="J413" i="2" s="1"/>
  <c r="J412" i="2" a="1"/>
  <c r="J412" i="2" s="1"/>
  <c r="J411" i="2" a="1"/>
  <c r="J411" i="2" s="1"/>
  <c r="J410" i="2" a="1"/>
  <c r="J410" i="2" s="1"/>
  <c r="J409" i="2" a="1"/>
  <c r="J409" i="2" s="1"/>
  <c r="J408" i="2" a="1"/>
  <c r="J408" i="2" s="1"/>
  <c r="J407" i="2" a="1"/>
  <c r="J407" i="2" s="1"/>
  <c r="J406" i="2" a="1"/>
  <c r="J406" i="2" s="1"/>
  <c r="J405" i="2" a="1"/>
  <c r="J405" i="2" s="1"/>
  <c r="J404" i="2" a="1"/>
  <c r="J404" i="2" s="1"/>
  <c r="J403" i="2" a="1"/>
  <c r="J403" i="2" s="1"/>
  <c r="J402" i="2" a="1"/>
  <c r="J402" i="2" s="1"/>
  <c r="J401" i="2" a="1"/>
  <c r="J401" i="2" s="1"/>
  <c r="J400" i="2" a="1"/>
  <c r="J400" i="2" s="1"/>
  <c r="J399" i="2" a="1"/>
  <c r="J399" i="2" s="1"/>
  <c r="J398" i="2" a="1"/>
  <c r="J398" i="2" s="1"/>
  <c r="J397" i="2" a="1"/>
  <c r="J397" i="2" s="1"/>
  <c r="J396" i="2" a="1"/>
  <c r="J396" i="2" s="1"/>
  <c r="J395" i="2" a="1"/>
  <c r="J395" i="2" s="1"/>
  <c r="J394" i="2" a="1"/>
  <c r="J394" i="2" s="1"/>
  <c r="J393" i="2" a="1"/>
  <c r="J393" i="2" s="1"/>
  <c r="J392" i="2" a="1"/>
  <c r="J392" i="2" s="1"/>
  <c r="J391" i="2" a="1"/>
  <c r="J391" i="2" s="1"/>
  <c r="J390" i="2" a="1"/>
  <c r="J390" i="2" s="1"/>
  <c r="J389" i="2" a="1"/>
  <c r="J389" i="2" s="1"/>
  <c r="J388" i="2" a="1"/>
  <c r="J388" i="2" s="1"/>
  <c r="J387" i="2" a="1"/>
  <c r="J387" i="2" s="1"/>
  <c r="J386" i="2" a="1"/>
  <c r="J386" i="2" s="1"/>
  <c r="J385" i="2" a="1"/>
  <c r="J385" i="2" s="1"/>
  <c r="J384" i="2" a="1"/>
  <c r="J384" i="2" s="1"/>
  <c r="J383" i="2" a="1"/>
  <c r="J383" i="2" s="1"/>
  <c r="J382" i="2" a="1"/>
  <c r="J382" i="2" s="1"/>
  <c r="J381" i="2" a="1"/>
  <c r="J381" i="2" s="1"/>
  <c r="J380" i="2" a="1"/>
  <c r="J380" i="2" s="1"/>
  <c r="J379" i="2" a="1"/>
  <c r="J379" i="2" s="1"/>
  <c r="J378" i="2" a="1"/>
  <c r="J378" i="2" s="1"/>
  <c r="J377" i="2" a="1"/>
  <c r="J377" i="2" s="1"/>
  <c r="J376" i="2" a="1"/>
  <c r="J376" i="2" s="1"/>
  <c r="J375" i="2" a="1"/>
  <c r="J375" i="2" s="1"/>
  <c r="J374" i="2" a="1"/>
  <c r="J374" i="2" s="1"/>
  <c r="J373" i="2" a="1"/>
  <c r="J373" i="2" s="1"/>
  <c r="J372" i="2" a="1"/>
  <c r="J372" i="2" s="1"/>
  <c r="J371" i="2" a="1"/>
  <c r="J371" i="2" s="1"/>
  <c r="J370" i="2" a="1"/>
  <c r="J370" i="2" s="1"/>
  <c r="J369" i="2" a="1"/>
  <c r="J369" i="2" s="1"/>
  <c r="J368" i="2" a="1"/>
  <c r="J368" i="2" s="1"/>
  <c r="J367" i="2" a="1"/>
  <c r="J367" i="2" s="1"/>
  <c r="J366" i="2" a="1"/>
  <c r="J366" i="2" s="1"/>
  <c r="J365" i="2" a="1"/>
  <c r="J365" i="2" s="1"/>
  <c r="J364" i="2" a="1"/>
  <c r="J364" i="2" s="1"/>
  <c r="J363" i="2" a="1"/>
  <c r="J363" i="2" s="1"/>
  <c r="J362" i="2" a="1"/>
  <c r="J362" i="2" s="1"/>
  <c r="J361" i="2" a="1"/>
  <c r="J361" i="2" s="1"/>
  <c r="J360" i="2" a="1"/>
  <c r="J360" i="2" s="1"/>
  <c r="J359" i="2" a="1"/>
  <c r="J359" i="2" s="1"/>
  <c r="J358" i="2" a="1"/>
  <c r="J358" i="2" s="1"/>
  <c r="J357" i="2" a="1"/>
  <c r="J357" i="2" s="1"/>
  <c r="J356" i="2" a="1"/>
  <c r="J356" i="2" s="1"/>
  <c r="J355" i="2" a="1"/>
  <c r="J355" i="2" s="1"/>
  <c r="J354" i="2" a="1"/>
  <c r="J354" i="2" s="1"/>
  <c r="J353" i="2" a="1"/>
  <c r="J353" i="2" s="1"/>
  <c r="J352" i="2" a="1"/>
  <c r="J352" i="2" s="1"/>
  <c r="J351" i="2" a="1"/>
  <c r="J351" i="2" s="1"/>
  <c r="J350" i="2" a="1"/>
  <c r="J350" i="2" s="1"/>
  <c r="J349" i="2" a="1"/>
  <c r="J349" i="2" s="1"/>
  <c r="J348" i="2" a="1"/>
  <c r="J348" i="2" s="1"/>
  <c r="J347" i="2" a="1"/>
  <c r="J347" i="2" s="1"/>
  <c r="J346" i="2" a="1"/>
  <c r="J346" i="2" s="1"/>
  <c r="J345" i="2" a="1"/>
  <c r="J345" i="2" s="1"/>
  <c r="J344" i="2" a="1"/>
  <c r="J344" i="2" s="1"/>
  <c r="J343" i="2" a="1"/>
  <c r="J343" i="2" s="1"/>
  <c r="J342" i="2" a="1"/>
  <c r="J342" i="2" s="1"/>
  <c r="J341" i="2" a="1"/>
  <c r="J341" i="2" s="1"/>
  <c r="J340" i="2" a="1"/>
  <c r="J340" i="2" s="1"/>
  <c r="J339" i="2" a="1"/>
  <c r="J339" i="2" s="1"/>
  <c r="J338" i="2" a="1"/>
  <c r="J338" i="2" s="1"/>
  <c r="J337" i="2" a="1"/>
  <c r="J337" i="2" s="1"/>
  <c r="J336" i="2" a="1"/>
  <c r="J336" i="2" s="1"/>
  <c r="J335" i="2" a="1"/>
  <c r="J335" i="2" s="1"/>
  <c r="J334" i="2" a="1"/>
  <c r="J334" i="2" s="1"/>
  <c r="J333" i="2" a="1"/>
  <c r="J333" i="2" s="1"/>
  <c r="J332" i="2" a="1"/>
  <c r="J332" i="2" s="1"/>
  <c r="J331" i="2" a="1"/>
  <c r="J331" i="2" s="1"/>
  <c r="J330" i="2" a="1"/>
  <c r="J330" i="2" s="1"/>
  <c r="J329" i="2" a="1"/>
  <c r="J329" i="2" s="1"/>
  <c r="J328" i="2" a="1"/>
  <c r="J328" i="2" s="1"/>
  <c r="J327" i="2" a="1"/>
  <c r="J327" i="2" s="1"/>
  <c r="J326" i="2" a="1"/>
  <c r="J326" i="2" s="1"/>
  <c r="J325" i="2" a="1"/>
  <c r="J325" i="2" s="1"/>
  <c r="J324" i="2" a="1"/>
  <c r="J324" i="2" s="1"/>
  <c r="J323" i="2" a="1"/>
  <c r="J323" i="2" s="1"/>
  <c r="J322" i="2" a="1"/>
  <c r="J322" i="2" s="1"/>
  <c r="J321" i="2" a="1"/>
  <c r="J321" i="2" s="1"/>
  <c r="J320" i="2" a="1"/>
  <c r="J320" i="2" s="1"/>
  <c r="J319" i="2" a="1"/>
  <c r="J319" i="2" s="1"/>
  <c r="J318" i="2" a="1"/>
  <c r="J318" i="2" s="1"/>
  <c r="J317" i="2" a="1"/>
  <c r="J317" i="2" s="1"/>
  <c r="J316" i="2" a="1"/>
  <c r="J316" i="2" s="1"/>
  <c r="J315" i="2" a="1"/>
  <c r="J315" i="2" s="1"/>
  <c r="J314" i="2" a="1"/>
  <c r="J314" i="2" s="1"/>
  <c r="J313" i="2" a="1"/>
  <c r="J313" i="2" s="1"/>
  <c r="J312" i="2" a="1"/>
  <c r="J312" i="2" s="1"/>
  <c r="J311" i="2" a="1"/>
  <c r="J311" i="2" s="1"/>
  <c r="J310" i="2" a="1"/>
  <c r="J310" i="2" s="1"/>
  <c r="J309" i="2" a="1"/>
  <c r="J309" i="2" s="1"/>
  <c r="J308" i="2" a="1"/>
  <c r="J308" i="2" s="1"/>
  <c r="J307" i="2" a="1"/>
  <c r="J307" i="2" s="1"/>
  <c r="J306" i="2" a="1"/>
  <c r="J306" i="2" s="1"/>
  <c r="J305" i="2" a="1"/>
  <c r="J305" i="2" s="1"/>
  <c r="J304" i="2" a="1"/>
  <c r="J304" i="2" s="1"/>
  <c r="J303" i="2" a="1"/>
  <c r="J303" i="2" s="1"/>
  <c r="J300" i="2" a="1"/>
  <c r="J300" i="2" s="1"/>
  <c r="J297" i="2" a="1"/>
  <c r="J297" i="2" s="1"/>
  <c r="J286" i="2" a="1"/>
  <c r="J286" i="2" s="1"/>
  <c r="J285" i="2" a="1"/>
  <c r="J285" i="2" s="1"/>
  <c r="J284" i="2" a="1"/>
  <c r="J284" i="2" s="1"/>
  <c r="J283" i="2" a="1"/>
  <c r="J283" i="2" s="1"/>
  <c r="J282" i="2" a="1"/>
  <c r="J282" i="2" s="1"/>
  <c r="J281" i="2" a="1"/>
  <c r="J281" i="2" s="1"/>
  <c r="J280" i="2" a="1"/>
  <c r="J280" i="2" s="1"/>
  <c r="J279" i="2" a="1"/>
  <c r="J279" i="2" s="1"/>
  <c r="J278" i="2" a="1"/>
  <c r="J278" i="2" s="1"/>
  <c r="J277" i="2" a="1"/>
  <c r="J277" i="2" s="1"/>
  <c r="J276" i="2" a="1"/>
  <c r="J276" i="2" s="1"/>
  <c r="J275" i="2" a="1"/>
  <c r="J275" i="2" s="1"/>
  <c r="J274" i="2" a="1"/>
  <c r="J274" i="2" s="1"/>
  <c r="J273" i="2" a="1"/>
  <c r="J273" i="2" s="1"/>
  <c r="J272" i="2" a="1"/>
  <c r="J272" i="2" s="1"/>
  <c r="J266" i="2" a="1"/>
  <c r="J266" i="2" s="1"/>
  <c r="J265" i="2" a="1"/>
  <c r="J265" i="2" s="1"/>
  <c r="J264" i="2" a="1"/>
  <c r="J264" i="2" s="1"/>
  <c r="J255" i="2" a="1"/>
  <c r="J255" i="2" s="1"/>
  <c r="J254" i="2" a="1"/>
  <c r="J254" i="2" s="1"/>
  <c r="J253" i="2" a="1"/>
  <c r="J253" i="2" s="1"/>
  <c r="J250" i="2" a="1"/>
  <c r="J250" i="2" s="1"/>
  <c r="J249" i="2" a="1"/>
  <c r="J249" i="2" s="1"/>
  <c r="J248" i="2" a="1"/>
  <c r="J248" i="2" s="1"/>
  <c r="J247" i="2" a="1"/>
  <c r="J247" i="2" s="1"/>
  <c r="J246" i="2" a="1"/>
  <c r="J246" i="2" s="1"/>
  <c r="J245" i="2" a="1"/>
  <c r="J245" i="2" s="1"/>
  <c r="J244" i="2" a="1"/>
  <c r="J244" i="2" s="1"/>
  <c r="J243" i="2" a="1"/>
  <c r="J243" i="2" s="1"/>
  <c r="J242" i="2" a="1"/>
  <c r="J242" i="2" s="1"/>
  <c r="J241" i="2" a="1"/>
  <c r="J241" i="2" s="1"/>
  <c r="J240" i="2" a="1"/>
  <c r="J240" i="2" s="1"/>
  <c r="J239" i="2" a="1"/>
  <c r="J239" i="2" s="1"/>
  <c r="J238" i="2" a="1"/>
  <c r="J238" i="2" s="1"/>
  <c r="J237" i="2" a="1"/>
  <c r="J237" i="2" s="1"/>
  <c r="J236" i="2" a="1"/>
  <c r="J236" i="2" s="1"/>
  <c r="J235" i="2" a="1"/>
  <c r="J235" i="2" s="1"/>
  <c r="J230" i="2" a="1"/>
  <c r="J230" i="2" s="1"/>
  <c r="J229" i="2" a="1"/>
  <c r="J229" i="2" s="1"/>
  <c r="J228" i="2" a="1"/>
  <c r="J228" i="2" s="1"/>
  <c r="J227" i="2" a="1"/>
  <c r="J227" i="2" s="1"/>
  <c r="J226" i="2" a="1"/>
  <c r="J226" i="2" s="1"/>
  <c r="J222" i="2" a="1"/>
  <c r="J222" i="2" s="1"/>
  <c r="J221" i="2" a="1"/>
  <c r="J221" i="2" s="1"/>
  <c r="J220" i="2" a="1"/>
  <c r="J220" i="2" s="1"/>
  <c r="J219" i="2" a="1"/>
  <c r="J219" i="2" s="1"/>
  <c r="J215" i="2" a="1"/>
  <c r="J215" i="2" s="1"/>
  <c r="J212" i="2" a="1"/>
  <c r="J212" i="2" s="1"/>
  <c r="J211" i="2" a="1"/>
  <c r="J211" i="2" s="1"/>
  <c r="J210" i="2" a="1"/>
  <c r="J210" i="2" s="1"/>
  <c r="J209" i="2" a="1"/>
  <c r="J209" i="2" s="1"/>
  <c r="J208" i="2" a="1"/>
  <c r="J208" i="2" s="1"/>
  <c r="J207" i="2" a="1"/>
  <c r="J207" i="2" s="1"/>
  <c r="J206" i="2" a="1"/>
  <c r="J206" i="2" s="1"/>
  <c r="J205" i="2" a="1"/>
  <c r="J205" i="2" s="1"/>
  <c r="J204" i="2" a="1"/>
  <c r="J204" i="2" s="1"/>
  <c r="J203" i="2" a="1"/>
  <c r="J203" i="2" s="1"/>
  <c r="J202" i="2" a="1"/>
  <c r="J202" i="2" s="1"/>
  <c r="J201" i="2" a="1"/>
  <c r="J201" i="2" s="1"/>
  <c r="J200" i="2" a="1"/>
  <c r="J200" i="2" s="1"/>
  <c r="J195" i="2" a="1"/>
  <c r="J195" i="2" s="1"/>
  <c r="J191" i="2" a="1"/>
  <c r="J191" i="2" s="1"/>
  <c r="J184" i="2" a="1"/>
  <c r="J184" i="2" s="1"/>
  <c r="J175" i="2" a="1"/>
  <c r="J175" i="2" s="1"/>
  <c r="J174" i="2" a="1"/>
  <c r="J174" i="2" s="1"/>
  <c r="J173" i="2" a="1"/>
  <c r="J173" i="2" s="1"/>
  <c r="J172" i="2" a="1"/>
  <c r="J172" i="2" s="1"/>
  <c r="J171" i="2" a="1"/>
  <c r="J171" i="2" s="1"/>
  <c r="J170" i="2" a="1"/>
  <c r="J170" i="2" s="1"/>
  <c r="J169" i="2" a="1"/>
  <c r="J169" i="2" s="1"/>
  <c r="J168" i="2" a="1"/>
  <c r="J168" i="2" s="1"/>
  <c r="J167" i="2" a="1"/>
  <c r="J167" i="2" s="1"/>
  <c r="J166" i="2" a="1"/>
  <c r="J166" i="2" s="1"/>
  <c r="J164" i="2" a="1"/>
  <c r="J164" i="2" s="1"/>
  <c r="J163" i="2" a="1"/>
  <c r="J163" i="2" s="1"/>
  <c r="J162" i="2" a="1"/>
  <c r="J162" i="2" s="1"/>
  <c r="J161" i="2" a="1"/>
  <c r="J161" i="2" s="1"/>
  <c r="J160" i="2" a="1"/>
  <c r="J160" i="2" s="1"/>
  <c r="J159" i="2" a="1"/>
  <c r="J159" i="2" s="1"/>
  <c r="J158" i="2" a="1"/>
  <c r="J158" i="2" s="1"/>
  <c r="J143" i="2" a="1"/>
  <c r="J143" i="2" s="1"/>
  <c r="J142" i="2" a="1"/>
  <c r="J142" i="2" s="1"/>
  <c r="J141" i="2" a="1"/>
  <c r="J141" i="2" s="1"/>
  <c r="J139" i="2" a="1"/>
  <c r="J139" i="2" s="1"/>
  <c r="J138" i="2" a="1"/>
  <c r="J138" i="2" s="1"/>
  <c r="J137" i="2" a="1"/>
  <c r="J137" i="2" s="1"/>
  <c r="J136" i="2" a="1"/>
  <c r="J136" i="2" s="1"/>
  <c r="J135" i="2" a="1"/>
  <c r="J135" i="2" s="1"/>
  <c r="J134" i="2" a="1"/>
  <c r="J134" i="2" s="1"/>
  <c r="J133" i="2" a="1"/>
  <c r="J133" i="2" s="1"/>
  <c r="J132" i="2" a="1"/>
  <c r="J132" i="2" s="1"/>
  <c r="J131" i="2" a="1"/>
  <c r="J131" i="2" s="1"/>
  <c r="J130" i="2" a="1"/>
  <c r="J130" i="2" s="1"/>
  <c r="J127" i="2" a="1"/>
  <c r="J127" i="2" s="1"/>
  <c r="J125" i="2" a="1"/>
  <c r="J125" i="2" s="1"/>
  <c r="J117" i="2" a="1"/>
  <c r="J117" i="2" s="1"/>
  <c r="J116" i="2" a="1"/>
  <c r="J116" i="2" s="1"/>
  <c r="J115" i="2" a="1"/>
  <c r="J115" i="2" s="1"/>
  <c r="J114" i="2" a="1"/>
  <c r="J114" i="2" s="1"/>
  <c r="J113" i="2" a="1"/>
  <c r="J113" i="2" s="1"/>
  <c r="J112" i="2" a="1"/>
  <c r="J112" i="2" s="1"/>
  <c r="J111" i="2" a="1"/>
  <c r="J111" i="2" s="1"/>
  <c r="J110" i="2" a="1"/>
  <c r="J110" i="2" s="1"/>
  <c r="J109" i="2" a="1"/>
  <c r="J109" i="2" s="1"/>
  <c r="J107" i="2" a="1"/>
  <c r="J107" i="2" s="1"/>
  <c r="J106" i="2" a="1"/>
  <c r="J106" i="2" s="1"/>
  <c r="J105" i="2" a="1"/>
  <c r="J105" i="2" s="1"/>
  <c r="J99" i="2" a="1"/>
  <c r="J99" i="2" s="1"/>
  <c r="J98" i="2" a="1"/>
  <c r="J98" i="2" s="1"/>
  <c r="J97" i="2" a="1"/>
  <c r="J97" i="2" s="1"/>
  <c r="J96" i="2" a="1"/>
  <c r="J96" i="2" s="1"/>
  <c r="J95" i="2" a="1"/>
  <c r="J95" i="2" s="1"/>
  <c r="J94" i="2" a="1"/>
  <c r="J94" i="2" s="1"/>
  <c r="J93" i="2" a="1"/>
  <c r="J93" i="2" s="1"/>
  <c r="J92" i="2" a="1"/>
  <c r="J92" i="2" s="1"/>
  <c r="J91" i="2" a="1"/>
  <c r="J91" i="2" s="1"/>
  <c r="J90" i="2" a="1"/>
  <c r="J90" i="2" s="1"/>
  <c r="J89" i="2" a="1"/>
  <c r="J89" i="2" s="1"/>
  <c r="J88" i="2" a="1"/>
  <c r="J88" i="2" s="1"/>
  <c r="J87" i="2" a="1"/>
  <c r="J87" i="2" s="1"/>
  <c r="J86" i="2" a="1"/>
  <c r="J86" i="2" s="1"/>
  <c r="J85" i="2" a="1"/>
  <c r="J85" i="2" s="1"/>
  <c r="J84" i="2" a="1"/>
  <c r="J84" i="2" s="1"/>
  <c r="J73" i="2" a="1"/>
  <c r="J73" i="2" s="1"/>
  <c r="J70" i="2" a="1"/>
  <c r="J70" i="2" s="1"/>
  <c r="J69" i="2" a="1"/>
  <c r="J69" i="2" s="1"/>
  <c r="J63" i="2" a="1"/>
  <c r="J63" i="2" s="1"/>
  <c r="J62" i="2" a="1"/>
  <c r="J62" i="2" s="1"/>
  <c r="J61" i="2" a="1"/>
  <c r="J61" i="2" s="1"/>
  <c r="J53" i="2" a="1"/>
  <c r="J53" i="2" s="1"/>
  <c r="J52" i="2" a="1"/>
  <c r="J52" i="2" s="1"/>
  <c r="J51" i="2" a="1"/>
  <c r="J51" i="2" s="1"/>
  <c r="J49" i="2" a="1"/>
  <c r="J49" i="2" s="1"/>
  <c r="J48" i="2" a="1"/>
  <c r="J48" i="2" s="1"/>
  <c r="J47" i="2" a="1"/>
  <c r="J47" i="2" s="1"/>
  <c r="J46" i="2" a="1"/>
  <c r="J46" i="2" s="1"/>
  <c r="J45" i="2" a="1"/>
  <c r="J45" i="2" s="1"/>
  <c r="J44" i="2" a="1"/>
  <c r="J44" i="2" s="1"/>
  <c r="J43" i="2" a="1"/>
  <c r="J43" i="2" s="1"/>
  <c r="J42" i="2" a="1"/>
  <c r="J42" i="2" s="1"/>
  <c r="J41" i="2" a="1"/>
  <c r="J41" i="2" s="1"/>
  <c r="J40" i="2" a="1"/>
  <c r="J40" i="2" s="1"/>
  <c r="J39" i="2" a="1"/>
  <c r="J39" i="2" s="1"/>
  <c r="J38" i="2" a="1"/>
  <c r="J38" i="2" s="1"/>
  <c r="J37" i="2" a="1"/>
  <c r="J37" i="2" s="1"/>
  <c r="J36" i="2" a="1"/>
  <c r="J36" i="2" s="1"/>
  <c r="J35" i="2" a="1"/>
  <c r="J35" i="2" s="1"/>
  <c r="J34" i="2" a="1"/>
  <c r="J34" i="2" s="1"/>
  <c r="J33" i="2" a="1"/>
  <c r="J33" i="2" s="1"/>
  <c r="J32" i="2" a="1"/>
  <c r="J32" i="2" s="1"/>
  <c r="J31" i="2" a="1"/>
  <c r="J31" i="2" s="1"/>
  <c r="J29" i="2" a="1"/>
  <c r="J29" i="2" s="1"/>
  <c r="J28" i="2" a="1"/>
  <c r="J28" i="2" s="1"/>
  <c r="J27" i="2" a="1"/>
  <c r="J27" i="2" s="1"/>
  <c r="J22" i="2" a="1"/>
  <c r="J22" i="2" s="1"/>
  <c r="J21" i="2" a="1"/>
  <c r="J21" i="2" s="1"/>
  <c r="J20" i="2" a="1"/>
  <c r="J20" i="2" s="1"/>
  <c r="J19" i="2" a="1"/>
  <c r="J19" i="2" s="1"/>
  <c r="J18" i="2" a="1"/>
  <c r="J18" i="2" s="1"/>
  <c r="J17" i="2" a="1"/>
  <c r="J17" i="2" s="1"/>
  <c r="J16" i="2" a="1"/>
  <c r="J16" i="2" s="1"/>
  <c r="J15" i="2" a="1"/>
  <c r="J15" i="2" s="1"/>
  <c r="J14" i="2" a="1"/>
  <c r="J14" i="2" s="1"/>
  <c r="J13" i="2" a="1"/>
  <c r="J13" i="2" s="1"/>
  <c r="J12" i="2" a="1"/>
  <c r="J12" i="2" s="1"/>
  <c r="J11" i="2" a="1"/>
  <c r="J11" i="2" s="1"/>
  <c r="J10" i="2" a="1"/>
  <c r="J10" i="2" s="1"/>
  <c r="J9" i="2" a="1"/>
  <c r="J9" i="2" s="1"/>
  <c r="J8" i="2" a="1"/>
  <c r="J8" i="2" s="1"/>
  <c r="J7" i="2" a="1"/>
  <c r="J7" i="2" s="1"/>
  <c r="J6" i="2" a="1"/>
  <c r="J6" i="2" s="1"/>
  <c r="L582" i="2"/>
  <c r="M582" i="2" s="1" a="1"/>
  <c r="M582" i="2" s="1"/>
  <c r="L581" i="2"/>
  <c r="M581" i="2" s="1" a="1"/>
  <c r="M581" i="2" s="1"/>
  <c r="L580" i="2"/>
  <c r="M580" i="2" s="1" a="1"/>
  <c r="M580" i="2" s="1"/>
  <c r="L579" i="2"/>
  <c r="M579" i="2" s="1" a="1"/>
  <c r="M579" i="2" s="1"/>
  <c r="L578" i="2"/>
  <c r="M578" i="2" s="1" a="1"/>
  <c r="M578" i="2" s="1"/>
  <c r="L577" i="2"/>
  <c r="M577" i="2" s="1" a="1"/>
  <c r="M577" i="2" s="1"/>
  <c r="L576" i="2"/>
  <c r="M576" i="2" s="1" a="1"/>
  <c r="M576" i="2" s="1"/>
  <c r="L575" i="2"/>
  <c r="M575" i="2" s="1" a="1"/>
  <c r="M575" i="2" s="1"/>
  <c r="L574" i="2"/>
  <c r="M574" i="2" s="1" a="1"/>
  <c r="M574" i="2" s="1"/>
  <c r="L573" i="2"/>
  <c r="M573" i="2" s="1" a="1"/>
  <c r="M573" i="2" s="1"/>
  <c r="L572" i="2"/>
  <c r="M572" i="2" s="1" a="1"/>
  <c r="M572" i="2" s="1"/>
  <c r="L571" i="2"/>
  <c r="M571" i="2" s="1" a="1"/>
  <c r="M571" i="2" s="1"/>
  <c r="L570" i="2"/>
  <c r="M570" i="2" s="1" a="1"/>
  <c r="M570" i="2" s="1"/>
  <c r="L569" i="2"/>
  <c r="M569" i="2" s="1" a="1"/>
  <c r="M569" i="2" s="1"/>
  <c r="L568" i="2"/>
  <c r="M568" i="2" s="1" a="1"/>
  <c r="M568" i="2" s="1"/>
  <c r="L567" i="2"/>
  <c r="M567" i="2" s="1" a="1"/>
  <c r="M567" i="2" s="1"/>
  <c r="L566" i="2"/>
  <c r="M566" i="2" s="1" a="1"/>
  <c r="M566" i="2" s="1"/>
  <c r="L565" i="2"/>
  <c r="M565" i="2" s="1" a="1"/>
  <c r="M565" i="2" s="1"/>
  <c r="L564" i="2"/>
  <c r="M564" i="2" s="1" a="1"/>
  <c r="M564" i="2" s="1"/>
  <c r="L563" i="2"/>
  <c r="M563" i="2" s="1" a="1"/>
  <c r="M563" i="2" s="1"/>
  <c r="L562" i="2"/>
  <c r="M562" i="2" s="1" a="1"/>
  <c r="M562" i="2" s="1"/>
  <c r="L561" i="2"/>
  <c r="M561" i="2" s="1" a="1"/>
  <c r="M561" i="2" s="1"/>
  <c r="L560" i="2"/>
  <c r="M560" i="2" s="1" a="1"/>
  <c r="M560" i="2" s="1"/>
  <c r="L559" i="2"/>
  <c r="M559" i="2" s="1" a="1"/>
  <c r="M559" i="2" s="1"/>
  <c r="L558" i="2"/>
  <c r="M558" i="2" s="1" a="1"/>
  <c r="M558" i="2" s="1"/>
  <c r="L557" i="2"/>
  <c r="M557" i="2" s="1" a="1"/>
  <c r="M557" i="2" s="1"/>
  <c r="L556" i="2"/>
  <c r="M556" i="2" s="1" a="1"/>
  <c r="M556" i="2" s="1"/>
  <c r="L555" i="2"/>
  <c r="M555" i="2" s="1" a="1"/>
  <c r="M555" i="2" s="1"/>
  <c r="L554" i="2"/>
  <c r="M554" i="2" s="1" a="1"/>
  <c r="M554" i="2" s="1"/>
  <c r="L553" i="2"/>
  <c r="M553" i="2" s="1" a="1"/>
  <c r="M553" i="2" s="1"/>
  <c r="L552" i="2"/>
  <c r="M552" i="2" s="1" a="1"/>
  <c r="M552" i="2" s="1"/>
  <c r="L551" i="2"/>
  <c r="M551" i="2" s="1" a="1"/>
  <c r="M551" i="2" s="1"/>
  <c r="L550" i="2"/>
  <c r="M550" i="2" s="1" a="1"/>
  <c r="M550" i="2" s="1"/>
  <c r="L549" i="2"/>
  <c r="M549" i="2" s="1" a="1"/>
  <c r="M549" i="2" s="1"/>
  <c r="L548" i="2"/>
  <c r="M548" i="2" s="1" a="1"/>
  <c r="M548" i="2" s="1"/>
  <c r="L547" i="2"/>
  <c r="M547" i="2" s="1" a="1"/>
  <c r="M547" i="2" s="1"/>
  <c r="L546" i="2"/>
  <c r="M546" i="2" s="1" a="1"/>
  <c r="M546" i="2" s="1"/>
  <c r="L545" i="2"/>
  <c r="M545" i="2" s="1" a="1"/>
  <c r="M545" i="2" s="1"/>
  <c r="L544" i="2"/>
  <c r="M544" i="2" s="1" a="1"/>
  <c r="M544" i="2" s="1"/>
  <c r="L543" i="2"/>
  <c r="M543" i="2" s="1" a="1"/>
  <c r="M543" i="2" s="1"/>
  <c r="L542" i="2"/>
  <c r="M542" i="2" s="1" a="1"/>
  <c r="M542" i="2" s="1"/>
  <c r="L541" i="2"/>
  <c r="M541" i="2" s="1" a="1"/>
  <c r="M541" i="2" s="1"/>
  <c r="L540" i="2"/>
  <c r="M540" i="2" s="1" a="1"/>
  <c r="M540" i="2" s="1"/>
  <c r="L539" i="2"/>
  <c r="M539" i="2" s="1" a="1"/>
  <c r="M539" i="2" s="1"/>
  <c r="L538" i="2"/>
  <c r="M538" i="2" s="1" a="1"/>
  <c r="M538" i="2" s="1"/>
  <c r="L537" i="2"/>
  <c r="M537" i="2" s="1" a="1"/>
  <c r="M537" i="2" s="1"/>
  <c r="L536" i="2"/>
  <c r="M536" i="2" s="1" a="1"/>
  <c r="M536" i="2" s="1"/>
  <c r="L535" i="2"/>
  <c r="M535" i="2" s="1" a="1"/>
  <c r="M535" i="2" s="1"/>
  <c r="L534" i="2"/>
  <c r="M534" i="2" s="1" a="1"/>
  <c r="M534" i="2" s="1"/>
  <c r="L533" i="2"/>
  <c r="M533" i="2" s="1" a="1"/>
  <c r="M533" i="2" s="1"/>
  <c r="L532" i="2"/>
  <c r="M532" i="2" s="1" a="1"/>
  <c r="M532" i="2" s="1"/>
  <c r="L531" i="2"/>
  <c r="M531" i="2" s="1" a="1"/>
  <c r="M531" i="2" s="1"/>
  <c r="L530" i="2"/>
  <c r="M530" i="2" s="1" a="1"/>
  <c r="M530" i="2" s="1"/>
  <c r="L529" i="2"/>
  <c r="M529" i="2" s="1" a="1"/>
  <c r="M529" i="2" s="1"/>
  <c r="L528" i="2"/>
  <c r="M528" i="2" s="1" a="1"/>
  <c r="M528" i="2" s="1"/>
  <c r="L527" i="2"/>
  <c r="M527" i="2" s="1" a="1"/>
  <c r="M527" i="2" s="1"/>
  <c r="L526" i="2"/>
  <c r="M526" i="2" s="1" a="1"/>
  <c r="M526" i="2" s="1"/>
  <c r="L525" i="2"/>
  <c r="M525" i="2" s="1" a="1"/>
  <c r="M525" i="2" s="1"/>
  <c r="L524" i="2"/>
  <c r="M524" i="2" s="1" a="1"/>
  <c r="M524" i="2" s="1"/>
  <c r="L523" i="2"/>
  <c r="M523" i="2" s="1" a="1"/>
  <c r="M523" i="2" s="1"/>
  <c r="L516" i="2"/>
  <c r="M516" i="2" s="1" a="1"/>
  <c r="M516" i="2" s="1"/>
  <c r="L515" i="2"/>
  <c r="M515" i="2" s="1" a="1"/>
  <c r="M515" i="2" s="1"/>
  <c r="L514" i="2"/>
  <c r="M514" i="2" s="1" a="1"/>
  <c r="M514" i="2" s="1"/>
  <c r="L513" i="2"/>
  <c r="M513" i="2" s="1" a="1"/>
  <c r="M513" i="2" s="1"/>
  <c r="L512" i="2"/>
  <c r="M512" i="2" s="1" a="1"/>
  <c r="M512" i="2" s="1"/>
  <c r="L511" i="2"/>
  <c r="M511" i="2" s="1" a="1"/>
  <c r="M511" i="2" s="1"/>
  <c r="L510" i="2"/>
  <c r="M510" i="2" s="1" a="1"/>
  <c r="M510" i="2" s="1"/>
  <c r="L509" i="2"/>
  <c r="M509" i="2" s="1" a="1"/>
  <c r="M509" i="2" s="1"/>
  <c r="L508" i="2"/>
  <c r="M508" i="2" s="1" a="1"/>
  <c r="M508" i="2" s="1"/>
  <c r="L507" i="2"/>
  <c r="M507" i="2" s="1" a="1"/>
  <c r="M507" i="2" s="1"/>
  <c r="L506" i="2"/>
  <c r="M506" i="2" s="1" a="1"/>
  <c r="M506" i="2" s="1"/>
  <c r="L505" i="2"/>
  <c r="M505" i="2" s="1" a="1"/>
  <c r="M505" i="2" s="1"/>
  <c r="L504" i="2"/>
  <c r="M504" i="2" s="1" a="1"/>
  <c r="M504" i="2" s="1"/>
  <c r="L503" i="2"/>
  <c r="M503" i="2" s="1" a="1"/>
  <c r="M503" i="2" s="1"/>
  <c r="L502" i="2"/>
  <c r="M502" i="2" s="1" a="1"/>
  <c r="M502" i="2" s="1"/>
  <c r="L501" i="2"/>
  <c r="M501" i="2" s="1" a="1"/>
  <c r="M501" i="2" s="1"/>
  <c r="L500" i="2"/>
  <c r="M500" i="2" s="1" a="1"/>
  <c r="M500" i="2" s="1"/>
  <c r="L499" i="2"/>
  <c r="M499" i="2" s="1" a="1"/>
  <c r="M499" i="2" s="1"/>
  <c r="L498" i="2"/>
  <c r="M498" i="2" s="1" a="1"/>
  <c r="M498" i="2" s="1"/>
  <c r="L497" i="2"/>
  <c r="M497" i="2" s="1" a="1"/>
  <c r="M497" i="2" s="1"/>
  <c r="L496" i="2"/>
  <c r="M496" i="2" s="1" a="1"/>
  <c r="M496" i="2" s="1"/>
  <c r="L495" i="2"/>
  <c r="M495" i="2" s="1" a="1"/>
  <c r="M495" i="2" s="1"/>
  <c r="L494" i="2"/>
  <c r="M494" i="2" s="1" a="1"/>
  <c r="M494" i="2" s="1"/>
  <c r="L493" i="2"/>
  <c r="M493" i="2" s="1" a="1"/>
  <c r="M493" i="2" s="1"/>
  <c r="L492" i="2"/>
  <c r="M492" i="2" s="1" a="1"/>
  <c r="M492" i="2" s="1"/>
  <c r="L491" i="2"/>
  <c r="M491" i="2" s="1" a="1"/>
  <c r="M491" i="2" s="1"/>
  <c r="L490" i="2"/>
  <c r="M490" i="2" s="1" a="1"/>
  <c r="M490" i="2" s="1"/>
  <c r="L489" i="2"/>
  <c r="M489" i="2" s="1" a="1"/>
  <c r="M489" i="2" s="1"/>
  <c r="L488" i="2"/>
  <c r="M488" i="2" s="1" a="1"/>
  <c r="M488" i="2" s="1"/>
  <c r="L487" i="2"/>
  <c r="M487" i="2" s="1" a="1"/>
  <c r="M487" i="2" s="1"/>
  <c r="L486" i="2"/>
  <c r="M486" i="2" s="1" a="1"/>
  <c r="M486" i="2" s="1"/>
  <c r="L485" i="2"/>
  <c r="M485" i="2" s="1" a="1"/>
  <c r="M485" i="2" s="1"/>
  <c r="L484" i="2"/>
  <c r="M484" i="2" s="1" a="1"/>
  <c r="M484" i="2" s="1"/>
  <c r="L483" i="2"/>
  <c r="M483" i="2" s="1" a="1"/>
  <c r="M483" i="2" s="1"/>
  <c r="L482" i="2"/>
  <c r="M482" i="2" s="1" a="1"/>
  <c r="M482" i="2" s="1"/>
  <c r="L481" i="2"/>
  <c r="M481" i="2" s="1" a="1"/>
  <c r="M481" i="2" s="1"/>
  <c r="L480" i="2"/>
  <c r="M480" i="2" s="1" a="1"/>
  <c r="M480" i="2" s="1"/>
  <c r="L479" i="2"/>
  <c r="M479" i="2" s="1" a="1"/>
  <c r="M479" i="2" s="1"/>
  <c r="L478" i="2"/>
  <c r="M478" i="2" s="1" a="1"/>
  <c r="M478" i="2" s="1"/>
  <c r="L477" i="2"/>
  <c r="M477" i="2" s="1" a="1"/>
  <c r="M477" i="2" s="1"/>
  <c r="L476" i="2"/>
  <c r="M476" i="2" s="1" a="1"/>
  <c r="M476" i="2" s="1"/>
  <c r="L475" i="2"/>
  <c r="M475" i="2" s="1" a="1"/>
  <c r="M475" i="2" s="1"/>
  <c r="L474" i="2"/>
  <c r="M474" i="2" s="1" a="1"/>
  <c r="M474" i="2" s="1"/>
  <c r="L473" i="2"/>
  <c r="M473" i="2" s="1" a="1"/>
  <c r="M473" i="2" s="1"/>
  <c r="L472" i="2"/>
  <c r="M472" i="2" s="1" a="1"/>
  <c r="M472" i="2" s="1"/>
  <c r="L471" i="2"/>
  <c r="M471" i="2" s="1" a="1"/>
  <c r="M471" i="2" s="1"/>
  <c r="L470" i="2"/>
  <c r="M470" i="2" s="1" a="1"/>
  <c r="M470" i="2" s="1"/>
  <c r="L469" i="2"/>
  <c r="M469" i="2" s="1" a="1"/>
  <c r="M469" i="2" s="1"/>
  <c r="L468" i="2"/>
  <c r="M468" i="2" s="1" a="1"/>
  <c r="M468" i="2" s="1"/>
  <c r="L467" i="2"/>
  <c r="M467" i="2" s="1" a="1"/>
  <c r="M467" i="2" s="1"/>
  <c r="L466" i="2"/>
  <c r="M466" i="2" s="1" a="1"/>
  <c r="M466" i="2" s="1"/>
  <c r="L465" i="2"/>
  <c r="M465" i="2" s="1" a="1"/>
  <c r="M465" i="2" s="1"/>
  <c r="L464" i="2"/>
  <c r="M464" i="2" s="1" a="1"/>
  <c r="M464" i="2" s="1"/>
  <c r="L463" i="2"/>
  <c r="M463" i="2" s="1" a="1"/>
  <c r="M463" i="2" s="1"/>
  <c r="L462" i="2"/>
  <c r="M462" i="2" s="1" a="1"/>
  <c r="M462" i="2" s="1"/>
  <c r="L461" i="2"/>
  <c r="M461" i="2" s="1" a="1"/>
  <c r="M461" i="2" s="1"/>
  <c r="L460" i="2"/>
  <c r="M460" i="2" s="1" a="1"/>
  <c r="M460" i="2" s="1"/>
  <c r="L459" i="2"/>
  <c r="M459" i="2" s="1" a="1"/>
  <c r="M459" i="2" s="1"/>
  <c r="L458" i="2"/>
  <c r="M458" i="2" s="1" a="1"/>
  <c r="M458" i="2" s="1"/>
  <c r="L457" i="2"/>
  <c r="M457" i="2" s="1" a="1"/>
  <c r="M457" i="2" s="1"/>
  <c r="L456" i="2"/>
  <c r="M456" i="2" s="1" a="1"/>
  <c r="M456" i="2" s="1"/>
  <c r="L455" i="2"/>
  <c r="M455" i="2" s="1" a="1"/>
  <c r="M455" i="2" s="1"/>
  <c r="L454" i="2"/>
  <c r="M454" i="2" s="1" a="1"/>
  <c r="M454" i="2" s="1"/>
  <c r="L453" i="2"/>
  <c r="M453" i="2" s="1" a="1"/>
  <c r="M453" i="2" s="1"/>
  <c r="L452" i="2"/>
  <c r="M452" i="2" s="1" a="1"/>
  <c r="M452" i="2" s="1"/>
  <c r="L451" i="2"/>
  <c r="M451" i="2" s="1" a="1"/>
  <c r="M451" i="2" s="1"/>
  <c r="L450" i="2"/>
  <c r="M450" i="2" s="1" a="1"/>
  <c r="M450" i="2" s="1"/>
  <c r="L449" i="2"/>
  <c r="M449" i="2" s="1" a="1"/>
  <c r="M449" i="2" s="1"/>
  <c r="L448" i="2"/>
  <c r="M448" i="2" s="1" a="1"/>
  <c r="M448" i="2" s="1"/>
  <c r="L447" i="2"/>
  <c r="M447" i="2" s="1" a="1"/>
  <c r="M447" i="2" s="1"/>
  <c r="L446" i="2"/>
  <c r="M446" i="2" s="1" a="1"/>
  <c r="M446" i="2" s="1"/>
  <c r="L445" i="2"/>
  <c r="M445" i="2" s="1" a="1"/>
  <c r="M445" i="2" s="1"/>
  <c r="L444" i="2"/>
  <c r="M444" i="2" s="1" a="1"/>
  <c r="M444" i="2" s="1"/>
  <c r="L443" i="2"/>
  <c r="M443" i="2" s="1" a="1"/>
  <c r="M443" i="2" s="1"/>
  <c r="L442" i="2"/>
  <c r="M442" i="2" s="1" a="1"/>
  <c r="M442" i="2" s="1"/>
  <c r="L441" i="2"/>
  <c r="M441" i="2" s="1" a="1"/>
  <c r="M441" i="2" s="1"/>
  <c r="L440" i="2"/>
  <c r="M440" i="2" s="1" a="1"/>
  <c r="M440" i="2" s="1"/>
  <c r="L439" i="2"/>
  <c r="M439" i="2" s="1" a="1"/>
  <c r="M439" i="2" s="1"/>
  <c r="L438" i="2"/>
  <c r="M438" i="2" s="1" a="1"/>
  <c r="M438" i="2" s="1"/>
  <c r="L437" i="2"/>
  <c r="M437" i="2" s="1" a="1"/>
  <c r="M437" i="2" s="1"/>
  <c r="L436" i="2"/>
  <c r="M436" i="2" s="1" a="1"/>
  <c r="M436" i="2" s="1"/>
  <c r="L435" i="2"/>
  <c r="M435" i="2" s="1" a="1"/>
  <c r="M435" i="2" s="1"/>
  <c r="L434" i="2"/>
  <c r="M434" i="2" s="1" a="1"/>
  <c r="M434" i="2" s="1"/>
  <c r="L433" i="2"/>
  <c r="M433" i="2" s="1" a="1"/>
  <c r="M433" i="2" s="1"/>
  <c r="L432" i="2"/>
  <c r="M432" i="2" s="1" a="1"/>
  <c r="M432" i="2" s="1"/>
  <c r="L431" i="2"/>
  <c r="M431" i="2" s="1" a="1"/>
  <c r="M431" i="2" s="1"/>
  <c r="L430" i="2"/>
  <c r="M430" i="2" s="1" a="1"/>
  <c r="M430" i="2" s="1"/>
  <c r="L429" i="2"/>
  <c r="M429" i="2" s="1" a="1"/>
  <c r="M429" i="2" s="1"/>
  <c r="L428" i="2"/>
  <c r="M428" i="2" s="1" a="1"/>
  <c r="M428" i="2" s="1"/>
  <c r="L427" i="2"/>
  <c r="M427" i="2" s="1" a="1"/>
  <c r="M427" i="2" s="1"/>
  <c r="L426" i="2"/>
  <c r="M426" i="2" s="1" a="1"/>
  <c r="M426" i="2" s="1"/>
  <c r="L425" i="2"/>
  <c r="M425" i="2" s="1" a="1"/>
  <c r="M425" i="2" s="1"/>
  <c r="L424" i="2"/>
  <c r="M424" i="2" s="1" a="1"/>
  <c r="M424" i="2" s="1"/>
  <c r="L423" i="2"/>
  <c r="M423" i="2" s="1" a="1"/>
  <c r="M423" i="2" s="1"/>
  <c r="L422" i="2"/>
  <c r="M422" i="2" s="1" a="1"/>
  <c r="M422" i="2" s="1"/>
  <c r="L421" i="2"/>
  <c r="M421" i="2" s="1" a="1"/>
  <c r="M421" i="2" s="1"/>
  <c r="L420" i="2"/>
  <c r="M420" i="2" s="1" a="1"/>
  <c r="M420" i="2" s="1"/>
  <c r="L419" i="2"/>
  <c r="M419" i="2" s="1" a="1"/>
  <c r="M419" i="2" s="1"/>
  <c r="L418" i="2"/>
  <c r="M418" i="2" s="1" a="1"/>
  <c r="M418" i="2" s="1"/>
  <c r="L417" i="2"/>
  <c r="M417" i="2" s="1" a="1"/>
  <c r="M417" i="2" s="1"/>
  <c r="L416" i="2"/>
  <c r="M416" i="2" s="1" a="1"/>
  <c r="M416" i="2" s="1"/>
  <c r="L415" i="2"/>
  <c r="M415" i="2" s="1" a="1"/>
  <c r="M415" i="2" s="1"/>
  <c r="L414" i="2"/>
  <c r="M414" i="2" s="1" a="1"/>
  <c r="M414" i="2" s="1"/>
  <c r="L413" i="2"/>
  <c r="M413" i="2" s="1" a="1"/>
  <c r="M413" i="2" s="1"/>
  <c r="L412" i="2"/>
  <c r="M412" i="2" s="1" a="1"/>
  <c r="M412" i="2" s="1"/>
  <c r="L411" i="2"/>
  <c r="M411" i="2" s="1" a="1"/>
  <c r="M411" i="2" s="1"/>
  <c r="L410" i="2"/>
  <c r="M410" i="2" s="1" a="1"/>
  <c r="M410" i="2" s="1"/>
  <c r="L409" i="2"/>
  <c r="M409" i="2" s="1" a="1"/>
  <c r="M409" i="2" s="1"/>
  <c r="L408" i="2"/>
  <c r="M408" i="2" s="1" a="1"/>
  <c r="M408" i="2" s="1"/>
  <c r="L407" i="2"/>
  <c r="M407" i="2" s="1" a="1"/>
  <c r="M407" i="2" s="1"/>
  <c r="L406" i="2"/>
  <c r="M406" i="2" s="1" a="1"/>
  <c r="M406" i="2" s="1"/>
  <c r="L405" i="2"/>
  <c r="M405" i="2" s="1" a="1"/>
  <c r="M405" i="2" s="1"/>
  <c r="L404" i="2"/>
  <c r="M404" i="2" s="1" a="1"/>
  <c r="M404" i="2" s="1"/>
  <c r="L403" i="2"/>
  <c r="M403" i="2" s="1" a="1"/>
  <c r="M403" i="2" s="1"/>
  <c r="L402" i="2"/>
  <c r="M402" i="2" s="1" a="1"/>
  <c r="M402" i="2" s="1"/>
  <c r="L401" i="2"/>
  <c r="M401" i="2" s="1" a="1"/>
  <c r="M401" i="2" s="1"/>
  <c r="L400" i="2"/>
  <c r="M400" i="2" s="1" a="1"/>
  <c r="M400" i="2" s="1"/>
  <c r="L399" i="2"/>
  <c r="M399" i="2" s="1" a="1"/>
  <c r="M399" i="2" s="1"/>
  <c r="L398" i="2"/>
  <c r="M398" i="2" s="1" a="1"/>
  <c r="M398" i="2" s="1"/>
  <c r="L397" i="2"/>
  <c r="M397" i="2" s="1" a="1"/>
  <c r="M397" i="2" s="1"/>
  <c r="L396" i="2"/>
  <c r="M396" i="2" s="1" a="1"/>
  <c r="M396" i="2" s="1"/>
  <c r="L395" i="2"/>
  <c r="M395" i="2" s="1" a="1"/>
  <c r="M395" i="2" s="1"/>
  <c r="L394" i="2"/>
  <c r="M394" i="2" s="1" a="1"/>
  <c r="M394" i="2" s="1"/>
  <c r="L393" i="2"/>
  <c r="M393" i="2" s="1" a="1"/>
  <c r="M393" i="2" s="1"/>
  <c r="L392" i="2"/>
  <c r="M392" i="2" s="1" a="1"/>
  <c r="M392" i="2" s="1"/>
  <c r="L391" i="2"/>
  <c r="M391" i="2" s="1" a="1"/>
  <c r="M391" i="2" s="1"/>
  <c r="L390" i="2"/>
  <c r="M390" i="2" s="1" a="1"/>
  <c r="M390" i="2" s="1"/>
  <c r="L389" i="2"/>
  <c r="M389" i="2" s="1" a="1"/>
  <c r="M389" i="2" s="1"/>
  <c r="L388" i="2"/>
  <c r="M388" i="2" s="1" a="1"/>
  <c r="M388" i="2" s="1"/>
  <c r="L387" i="2"/>
  <c r="M387" i="2" s="1" a="1"/>
  <c r="M387" i="2" s="1"/>
  <c r="L386" i="2"/>
  <c r="M386" i="2" s="1" a="1"/>
  <c r="M386" i="2" s="1"/>
  <c r="L385" i="2"/>
  <c r="M385" i="2" s="1" a="1"/>
  <c r="M385" i="2" s="1"/>
  <c r="L384" i="2"/>
  <c r="M384" i="2" s="1" a="1"/>
  <c r="M384" i="2" s="1"/>
  <c r="L383" i="2"/>
  <c r="M383" i="2" s="1" a="1"/>
  <c r="M383" i="2" s="1"/>
  <c r="L382" i="2"/>
  <c r="M382" i="2" s="1" a="1"/>
  <c r="M382" i="2" s="1"/>
  <c r="L381" i="2"/>
  <c r="M381" i="2" s="1" a="1"/>
  <c r="M381" i="2" s="1"/>
  <c r="L380" i="2"/>
  <c r="M380" i="2" s="1" a="1"/>
  <c r="M380" i="2" s="1"/>
  <c r="L379" i="2"/>
  <c r="M379" i="2" s="1" a="1"/>
  <c r="M379" i="2" s="1"/>
  <c r="L378" i="2"/>
  <c r="M378" i="2" s="1" a="1"/>
  <c r="M378" i="2" s="1"/>
  <c r="L377" i="2"/>
  <c r="M377" i="2" s="1" a="1"/>
  <c r="M377" i="2" s="1"/>
  <c r="L376" i="2"/>
  <c r="M376" i="2" s="1" a="1"/>
  <c r="M376" i="2" s="1"/>
  <c r="L375" i="2"/>
  <c r="M375" i="2" s="1" a="1"/>
  <c r="M375" i="2" s="1"/>
  <c r="L374" i="2"/>
  <c r="M374" i="2" s="1" a="1"/>
  <c r="M374" i="2" s="1"/>
  <c r="L373" i="2"/>
  <c r="M373" i="2" s="1" a="1"/>
  <c r="M373" i="2" s="1"/>
  <c r="L372" i="2"/>
  <c r="M372" i="2" s="1" a="1"/>
  <c r="M372" i="2" s="1"/>
  <c r="L371" i="2"/>
  <c r="M371" i="2" s="1" a="1"/>
  <c r="M371" i="2" s="1"/>
  <c r="L370" i="2"/>
  <c r="M370" i="2" s="1" a="1"/>
  <c r="M370" i="2" s="1"/>
  <c r="L369" i="2"/>
  <c r="M369" i="2" s="1" a="1"/>
  <c r="M369" i="2" s="1"/>
  <c r="L368" i="2"/>
  <c r="M368" i="2" s="1" a="1"/>
  <c r="M368" i="2" s="1"/>
  <c r="L367" i="2"/>
  <c r="M367" i="2" s="1" a="1"/>
  <c r="M367" i="2" s="1"/>
  <c r="L366" i="2"/>
  <c r="M366" i="2" s="1" a="1"/>
  <c r="M366" i="2" s="1"/>
  <c r="L365" i="2"/>
  <c r="M365" i="2" s="1" a="1"/>
  <c r="M365" i="2" s="1"/>
  <c r="L364" i="2"/>
  <c r="M364" i="2" s="1" a="1"/>
  <c r="M364" i="2" s="1"/>
  <c r="L363" i="2"/>
  <c r="M363" i="2" s="1" a="1"/>
  <c r="M363" i="2" s="1"/>
  <c r="L362" i="2"/>
  <c r="M362" i="2" s="1" a="1"/>
  <c r="M362" i="2" s="1"/>
  <c r="L361" i="2"/>
  <c r="M361" i="2" s="1" a="1"/>
  <c r="M361" i="2" s="1"/>
  <c r="L360" i="2"/>
  <c r="M360" i="2" s="1" a="1"/>
  <c r="M360" i="2" s="1"/>
  <c r="L359" i="2"/>
  <c r="M359" i="2" s="1" a="1"/>
  <c r="M359" i="2" s="1"/>
  <c r="L358" i="2"/>
  <c r="M358" i="2" s="1" a="1"/>
  <c r="M358" i="2" s="1"/>
  <c r="L357" i="2"/>
  <c r="M357" i="2" s="1" a="1"/>
  <c r="M357" i="2" s="1"/>
  <c r="L356" i="2"/>
  <c r="M356" i="2" s="1" a="1"/>
  <c r="M356" i="2" s="1"/>
  <c r="L355" i="2"/>
  <c r="M355" i="2" s="1" a="1"/>
  <c r="M355" i="2" s="1"/>
  <c r="L354" i="2"/>
  <c r="M354" i="2" s="1" a="1"/>
  <c r="M354" i="2" s="1"/>
  <c r="L353" i="2"/>
  <c r="M353" i="2" s="1" a="1"/>
  <c r="M353" i="2" s="1"/>
  <c r="L352" i="2"/>
  <c r="M352" i="2" s="1" a="1"/>
  <c r="M352" i="2" s="1"/>
  <c r="L351" i="2"/>
  <c r="M351" i="2" s="1" a="1"/>
  <c r="M351" i="2" s="1"/>
  <c r="L350" i="2"/>
  <c r="M350" i="2" s="1" a="1"/>
  <c r="M350" i="2" s="1"/>
  <c r="L349" i="2"/>
  <c r="M349" i="2" s="1" a="1"/>
  <c r="M349" i="2" s="1"/>
  <c r="L348" i="2"/>
  <c r="M348" i="2" s="1" a="1"/>
  <c r="M348" i="2" s="1"/>
  <c r="L347" i="2"/>
  <c r="M347" i="2" s="1" a="1"/>
  <c r="M347" i="2" s="1"/>
  <c r="L346" i="2"/>
  <c r="M346" i="2" s="1" a="1"/>
  <c r="M346" i="2" s="1"/>
  <c r="L345" i="2"/>
  <c r="M345" i="2" s="1" a="1"/>
  <c r="M345" i="2" s="1"/>
  <c r="L344" i="2"/>
  <c r="M344" i="2" s="1" a="1"/>
  <c r="M344" i="2" s="1"/>
  <c r="L343" i="2"/>
  <c r="M343" i="2" s="1" a="1"/>
  <c r="M343" i="2" s="1"/>
  <c r="L342" i="2"/>
  <c r="M342" i="2" s="1" a="1"/>
  <c r="M342" i="2" s="1"/>
  <c r="L341" i="2"/>
  <c r="M341" i="2" s="1" a="1"/>
  <c r="M341" i="2" s="1"/>
  <c r="L340" i="2"/>
  <c r="M340" i="2" s="1" a="1"/>
  <c r="M340" i="2" s="1"/>
  <c r="L339" i="2"/>
  <c r="M339" i="2" s="1" a="1"/>
  <c r="M339" i="2" s="1"/>
  <c r="L338" i="2"/>
  <c r="M338" i="2" s="1" a="1"/>
  <c r="M338" i="2" s="1"/>
  <c r="L337" i="2"/>
  <c r="M337" i="2" s="1" a="1"/>
  <c r="M337" i="2" s="1"/>
  <c r="L336" i="2"/>
  <c r="M336" i="2" s="1" a="1"/>
  <c r="M336" i="2" s="1"/>
  <c r="L335" i="2"/>
  <c r="M335" i="2" s="1" a="1"/>
  <c r="M335" i="2" s="1"/>
  <c r="L334" i="2"/>
  <c r="M334" i="2" s="1" a="1"/>
  <c r="M334" i="2" s="1"/>
  <c r="L333" i="2"/>
  <c r="M333" i="2" s="1" a="1"/>
  <c r="M333" i="2" s="1"/>
  <c r="L332" i="2"/>
  <c r="M332" i="2" s="1" a="1"/>
  <c r="M332" i="2" s="1"/>
  <c r="L331" i="2"/>
  <c r="M331" i="2" s="1" a="1"/>
  <c r="M331" i="2" s="1"/>
  <c r="L330" i="2"/>
  <c r="M330" i="2" s="1" a="1"/>
  <c r="M330" i="2" s="1"/>
  <c r="L329" i="2"/>
  <c r="M329" i="2" s="1" a="1"/>
  <c r="M329" i="2" s="1"/>
  <c r="L328" i="2"/>
  <c r="M328" i="2" s="1" a="1"/>
  <c r="M328" i="2" s="1"/>
  <c r="L327" i="2"/>
  <c r="M327" i="2" s="1" a="1"/>
  <c r="M327" i="2" s="1"/>
  <c r="L326" i="2"/>
  <c r="M326" i="2" s="1" a="1"/>
  <c r="M326" i="2" s="1"/>
  <c r="L325" i="2"/>
  <c r="M325" i="2" s="1" a="1"/>
  <c r="M325" i="2" s="1"/>
  <c r="L324" i="2"/>
  <c r="M324" i="2" s="1" a="1"/>
  <c r="M324" i="2" s="1"/>
  <c r="L323" i="2"/>
  <c r="M323" i="2" s="1" a="1"/>
  <c r="M323" i="2" s="1"/>
  <c r="L322" i="2"/>
  <c r="M322" i="2" s="1" a="1"/>
  <c r="M322" i="2" s="1"/>
  <c r="L321" i="2"/>
  <c r="M321" i="2" s="1" a="1"/>
  <c r="M321" i="2" s="1"/>
  <c r="L320" i="2"/>
  <c r="M320" i="2" s="1" a="1"/>
  <c r="M320" i="2" s="1"/>
  <c r="L319" i="2"/>
  <c r="M319" i="2" s="1" a="1"/>
  <c r="M319" i="2" s="1"/>
  <c r="L318" i="2"/>
  <c r="M318" i="2" s="1" a="1"/>
  <c r="M318" i="2" s="1"/>
  <c r="L317" i="2"/>
  <c r="M317" i="2" s="1" a="1"/>
  <c r="M317" i="2" s="1"/>
  <c r="L316" i="2"/>
  <c r="M316" i="2" s="1" a="1"/>
  <c r="M316" i="2" s="1"/>
  <c r="L315" i="2"/>
  <c r="M315" i="2" s="1" a="1"/>
  <c r="M315" i="2" s="1"/>
  <c r="L314" i="2"/>
  <c r="M314" i="2" s="1" a="1"/>
  <c r="M314" i="2" s="1"/>
  <c r="L313" i="2"/>
  <c r="M313" i="2" s="1" a="1"/>
  <c r="M313" i="2" s="1"/>
  <c r="L312" i="2"/>
  <c r="M312" i="2" s="1" a="1"/>
  <c r="M312" i="2" s="1"/>
  <c r="L311" i="2"/>
  <c r="M311" i="2" s="1" a="1"/>
  <c r="M311" i="2" s="1"/>
  <c r="L310" i="2"/>
  <c r="M310" i="2" s="1" a="1"/>
  <c r="M310" i="2" s="1"/>
  <c r="L309" i="2"/>
  <c r="M309" i="2" s="1" a="1"/>
  <c r="M309" i="2" s="1"/>
  <c r="L308" i="2"/>
  <c r="M308" i="2" s="1" a="1"/>
  <c r="M308" i="2" s="1"/>
  <c r="L307" i="2"/>
  <c r="M307" i="2" s="1" a="1"/>
  <c r="M307" i="2" s="1"/>
  <c r="L306" i="2"/>
  <c r="M306" i="2" s="1" a="1"/>
  <c r="M306" i="2" s="1"/>
  <c r="L305" i="2"/>
  <c r="M305" i="2" s="1" a="1"/>
  <c r="M305" i="2" s="1"/>
  <c r="L304" i="2"/>
  <c r="M304" i="2" s="1" a="1"/>
  <c r="M304" i="2" s="1"/>
  <c r="L303" i="2"/>
  <c r="M303" i="2" s="1" a="1"/>
  <c r="M303" i="2" s="1"/>
  <c r="L289" i="2"/>
  <c r="M289" i="2" s="1" a="1"/>
  <c r="M289" i="2" s="1"/>
  <c r="L286" i="2"/>
  <c r="M286" i="2" s="1" a="1"/>
  <c r="M286" i="2" s="1"/>
  <c r="L285" i="2"/>
  <c r="M285" i="2" s="1" a="1"/>
  <c r="M285" i="2" s="1"/>
  <c r="L284" i="2"/>
  <c r="M284" i="2" s="1" a="1"/>
  <c r="M284" i="2" s="1"/>
  <c r="L283" i="2"/>
  <c r="M283" i="2" s="1" a="1"/>
  <c r="M283" i="2" s="1"/>
  <c r="L282" i="2"/>
  <c r="M282" i="2" s="1" a="1"/>
  <c r="M282" i="2" s="1"/>
  <c r="L281" i="2"/>
  <c r="M281" i="2" s="1" a="1"/>
  <c r="M281" i="2" s="1"/>
  <c r="L280" i="2"/>
  <c r="M280" i="2" s="1" a="1"/>
  <c r="M280" i="2" s="1"/>
  <c r="L279" i="2"/>
  <c r="M279" i="2" s="1" a="1"/>
  <c r="M279" i="2" s="1"/>
  <c r="L278" i="2"/>
  <c r="M278" i="2" s="1" a="1"/>
  <c r="M278" i="2" s="1"/>
  <c r="L277" i="2"/>
  <c r="M277" i="2" s="1" a="1"/>
  <c r="M277" i="2" s="1"/>
  <c r="L276" i="2"/>
  <c r="M276" i="2" s="1" a="1"/>
  <c r="M276" i="2" s="1"/>
  <c r="L275" i="2"/>
  <c r="M275" i="2" s="1" a="1"/>
  <c r="M275" i="2" s="1"/>
  <c r="L274" i="2"/>
  <c r="M274" i="2" s="1" a="1"/>
  <c r="M274" i="2" s="1"/>
  <c r="L273" i="2"/>
  <c r="M273" i="2" s="1" a="1"/>
  <c r="M273" i="2" s="1"/>
  <c r="L272" i="2"/>
  <c r="M272" i="2" s="1" a="1"/>
  <c r="M272" i="2" s="1"/>
  <c r="L254" i="2"/>
  <c r="M254" i="2" s="1" a="1"/>
  <c r="M254" i="2" s="1"/>
  <c r="L250" i="2"/>
  <c r="M250" i="2" s="1" a="1"/>
  <c r="M250" i="2" s="1"/>
  <c r="L249" i="2"/>
  <c r="M249" i="2" s="1" a="1"/>
  <c r="M249" i="2" s="1"/>
  <c r="L248" i="2"/>
  <c r="M248" i="2" s="1" a="1"/>
  <c r="M248" i="2" s="1"/>
  <c r="L247" i="2"/>
  <c r="M247" i="2" s="1" a="1"/>
  <c r="M247" i="2" s="1"/>
  <c r="L246" i="2"/>
  <c r="M246" i="2" s="1" a="1"/>
  <c r="M246" i="2" s="1"/>
  <c r="L245" i="2"/>
  <c r="M245" i="2" s="1" a="1"/>
  <c r="M245" i="2" s="1"/>
  <c r="L244" i="2"/>
  <c r="M244" i="2" s="1" a="1"/>
  <c r="M244" i="2" s="1"/>
  <c r="L243" i="2"/>
  <c r="M243" i="2" s="1" a="1"/>
  <c r="M243" i="2" s="1"/>
  <c r="L242" i="2"/>
  <c r="M242" i="2" s="1" a="1"/>
  <c r="M242" i="2" s="1"/>
  <c r="L241" i="2"/>
  <c r="M241" i="2" s="1" a="1"/>
  <c r="M241" i="2" s="1"/>
  <c r="L240" i="2"/>
  <c r="M240" i="2" s="1" a="1"/>
  <c r="M240" i="2" s="1"/>
  <c r="L239" i="2"/>
  <c r="M239" i="2" s="1" a="1"/>
  <c r="M239" i="2" s="1"/>
  <c r="L238" i="2"/>
  <c r="M238" i="2" s="1" a="1"/>
  <c r="M238" i="2" s="1"/>
  <c r="L237" i="2"/>
  <c r="M237" i="2" s="1" a="1"/>
  <c r="M237" i="2" s="1"/>
  <c r="L236" i="2"/>
  <c r="M236" i="2" s="1" a="1"/>
  <c r="M236" i="2" s="1"/>
  <c r="L235" i="2"/>
  <c r="M235" i="2" s="1" a="1"/>
  <c r="M235" i="2" s="1"/>
  <c r="L222" i="2"/>
  <c r="M222" i="2" s="1" a="1"/>
  <c r="M222" i="2" s="1"/>
  <c r="L221" i="2"/>
  <c r="M221" i="2" s="1" a="1"/>
  <c r="M221" i="2" s="1"/>
  <c r="L220" i="2"/>
  <c r="M220" i="2" s="1" a="1"/>
  <c r="M220" i="2" s="1"/>
  <c r="L219" i="2"/>
  <c r="M219" i="2" s="1" a="1"/>
  <c r="M219" i="2" s="1"/>
  <c r="L212" i="2"/>
  <c r="M212" i="2" s="1" a="1"/>
  <c r="M212" i="2" s="1"/>
  <c r="L210" i="2"/>
  <c r="M210" i="2" s="1" a="1"/>
  <c r="M210" i="2" s="1"/>
  <c r="L209" i="2"/>
  <c r="M209" i="2" s="1" a="1"/>
  <c r="M209" i="2" s="1"/>
  <c r="L208" i="2"/>
  <c r="M208" i="2" s="1" a="1"/>
  <c r="M208" i="2" s="1"/>
  <c r="L207" i="2"/>
  <c r="M207" i="2" s="1" a="1"/>
  <c r="M207" i="2" s="1"/>
  <c r="L206" i="2"/>
  <c r="M206" i="2" s="1" a="1"/>
  <c r="M206" i="2" s="1"/>
  <c r="L205" i="2"/>
  <c r="M205" i="2" s="1" a="1"/>
  <c r="M205" i="2" s="1"/>
  <c r="L204" i="2"/>
  <c r="M204" i="2" s="1" a="1"/>
  <c r="M204" i="2" s="1"/>
  <c r="L203" i="2"/>
  <c r="M203" i="2" s="1" a="1"/>
  <c r="M203" i="2" s="1"/>
  <c r="L202" i="2"/>
  <c r="M202" i="2" s="1" a="1"/>
  <c r="M202" i="2" s="1"/>
  <c r="L201" i="2"/>
  <c r="M201" i="2" s="1" a="1"/>
  <c r="M201" i="2" s="1"/>
  <c r="L200" i="2"/>
  <c r="M200" i="2" s="1" a="1"/>
  <c r="M200" i="2" s="1"/>
  <c r="L172" i="2"/>
  <c r="M172" i="2" s="1" a="1"/>
  <c r="M172" i="2" s="1"/>
  <c r="L171" i="2"/>
  <c r="M171" i="2" s="1" a="1"/>
  <c r="M171" i="2" s="1"/>
  <c r="L170" i="2"/>
  <c r="M170" i="2" s="1" a="1"/>
  <c r="M170" i="2" s="1"/>
  <c r="L169" i="2"/>
  <c r="M169" i="2" s="1" a="1"/>
  <c r="M169" i="2" s="1"/>
  <c r="L168" i="2"/>
  <c r="M168" i="2" s="1" a="1"/>
  <c r="M168" i="2" s="1"/>
  <c r="L167" i="2"/>
  <c r="M167" i="2" s="1" a="1"/>
  <c r="M167" i="2" s="1"/>
  <c r="L166" i="2"/>
  <c r="M166" i="2" s="1" a="1"/>
  <c r="M166" i="2" s="1"/>
  <c r="L164" i="2"/>
  <c r="M164" i="2" s="1" a="1"/>
  <c r="M164" i="2" s="1"/>
  <c r="L163" i="2"/>
  <c r="M163" i="2" s="1" a="1"/>
  <c r="M163" i="2" s="1"/>
  <c r="L162" i="2"/>
  <c r="M162" i="2" s="1" a="1"/>
  <c r="M162" i="2" s="1"/>
  <c r="L161" i="2"/>
  <c r="M161" i="2" s="1" a="1"/>
  <c r="M161" i="2" s="1"/>
  <c r="L160" i="2"/>
  <c r="M160" i="2" s="1" a="1"/>
  <c r="M160" i="2" s="1"/>
  <c r="L159" i="2"/>
  <c r="M159" i="2" s="1" a="1"/>
  <c r="M159" i="2" s="1"/>
  <c r="L158" i="2"/>
  <c r="M158" i="2" s="1" a="1"/>
  <c r="M158" i="2" s="1"/>
  <c r="L153" i="2"/>
  <c r="M153" i="2" s="1" a="1"/>
  <c r="M153" i="2" s="1"/>
  <c r="L149" i="2"/>
  <c r="M149" i="2" s="1" a="1"/>
  <c r="M149" i="2" s="1"/>
  <c r="L143" i="2"/>
  <c r="M143" i="2" s="1" a="1"/>
  <c r="M143" i="2" s="1"/>
  <c r="L142" i="2"/>
  <c r="M142" i="2" s="1" a="1"/>
  <c r="M142" i="2" s="1"/>
  <c r="L141" i="2"/>
  <c r="M141" i="2" s="1" a="1"/>
  <c r="M141" i="2" s="1"/>
  <c r="L139" i="2"/>
  <c r="M139" i="2" s="1" a="1"/>
  <c r="M139" i="2" s="1"/>
  <c r="L138" i="2"/>
  <c r="M138" i="2" s="1" a="1"/>
  <c r="M138" i="2" s="1"/>
  <c r="L137" i="2"/>
  <c r="M137" i="2" s="1" a="1"/>
  <c r="M137" i="2" s="1"/>
  <c r="L136" i="2"/>
  <c r="M136" i="2" s="1" a="1"/>
  <c r="M136" i="2" s="1"/>
  <c r="L135" i="2"/>
  <c r="M135" i="2" s="1" a="1"/>
  <c r="M135" i="2" s="1"/>
  <c r="L134" i="2"/>
  <c r="M134" i="2" s="1" a="1"/>
  <c r="M134" i="2" s="1"/>
  <c r="L133" i="2"/>
  <c r="M133" i="2" s="1" a="1"/>
  <c r="M133" i="2" s="1"/>
  <c r="L132" i="2"/>
  <c r="M132" i="2" s="1" a="1"/>
  <c r="M132" i="2" s="1"/>
  <c r="L131" i="2"/>
  <c r="M131" i="2" s="1" a="1"/>
  <c r="M131" i="2" s="1"/>
  <c r="L130" i="2"/>
  <c r="M130" i="2" s="1" a="1"/>
  <c r="M130" i="2" s="1"/>
  <c r="L126" i="2"/>
  <c r="M126" i="2" s="1" a="1"/>
  <c r="M126" i="2" s="1"/>
  <c r="L117" i="2"/>
  <c r="M117" i="2" s="1" a="1"/>
  <c r="M117" i="2" s="1"/>
  <c r="L116" i="2"/>
  <c r="M116" i="2" s="1" a="1"/>
  <c r="M116" i="2" s="1"/>
  <c r="L115" i="2"/>
  <c r="M115" i="2" s="1" a="1"/>
  <c r="M115" i="2" s="1"/>
  <c r="L114" i="2"/>
  <c r="M114" i="2" s="1" a="1"/>
  <c r="M114" i="2" s="1"/>
  <c r="L112" i="2"/>
  <c r="M112" i="2" s="1" a="1"/>
  <c r="M112" i="2" s="1"/>
  <c r="L111" i="2"/>
  <c r="M111" i="2" s="1" a="1"/>
  <c r="M111" i="2" s="1"/>
  <c r="L110" i="2"/>
  <c r="M110" i="2" s="1" a="1"/>
  <c r="M110" i="2" s="1"/>
  <c r="L109" i="2"/>
  <c r="M109" i="2" s="1" a="1"/>
  <c r="M109" i="2" s="1"/>
  <c r="L106" i="2"/>
  <c r="M106" i="2" s="1" a="1"/>
  <c r="M106" i="2" s="1"/>
  <c r="L105" i="2"/>
  <c r="M105" i="2" s="1" a="1"/>
  <c r="M105" i="2" s="1"/>
  <c r="L99" i="2"/>
  <c r="M99" i="2" s="1" a="1"/>
  <c r="M99" i="2" s="1"/>
  <c r="L98" i="2"/>
  <c r="M98" i="2" s="1" a="1"/>
  <c r="M98" i="2" s="1"/>
  <c r="L97" i="2"/>
  <c r="M97" i="2" s="1" a="1"/>
  <c r="M97" i="2" s="1"/>
  <c r="L96" i="2"/>
  <c r="M96" i="2" s="1" a="1"/>
  <c r="M96" i="2" s="1"/>
  <c r="L95" i="2"/>
  <c r="M95" i="2" s="1" a="1"/>
  <c r="M95" i="2" s="1"/>
  <c r="L94" i="2"/>
  <c r="M94" i="2" s="1" a="1"/>
  <c r="M94" i="2" s="1"/>
  <c r="L93" i="2"/>
  <c r="M93" i="2" s="1" a="1"/>
  <c r="M93" i="2" s="1"/>
  <c r="L92" i="2"/>
  <c r="M92" i="2" s="1" a="1"/>
  <c r="M92" i="2" s="1"/>
  <c r="L91" i="2"/>
  <c r="M91" i="2" s="1" a="1"/>
  <c r="M91" i="2" s="1"/>
  <c r="L90" i="2"/>
  <c r="M90" i="2" s="1" a="1"/>
  <c r="M90" i="2" s="1"/>
  <c r="L89" i="2"/>
  <c r="M89" i="2" s="1" a="1"/>
  <c r="M89" i="2" s="1"/>
  <c r="L88" i="2"/>
  <c r="M88" i="2" s="1" a="1"/>
  <c r="M88" i="2" s="1"/>
  <c r="L87" i="2"/>
  <c r="M87" i="2" s="1" a="1"/>
  <c r="M87" i="2" s="1"/>
  <c r="L86" i="2"/>
  <c r="M86" i="2" s="1" a="1"/>
  <c r="M86" i="2" s="1"/>
  <c r="L85" i="2"/>
  <c r="M85" i="2" s="1" a="1"/>
  <c r="M85" i="2" s="1"/>
  <c r="L84" i="2"/>
  <c r="M84" i="2" s="1" a="1"/>
  <c r="M84" i="2" s="1"/>
  <c r="L53" i="2"/>
  <c r="M53" i="2" s="1" a="1"/>
  <c r="M53" i="2" s="1"/>
  <c r="L52" i="2"/>
  <c r="M52" i="2" s="1" a="1"/>
  <c r="M52" i="2" s="1"/>
  <c r="L51" i="2"/>
  <c r="M51" i="2" s="1" a="1"/>
  <c r="M51" i="2" s="1"/>
  <c r="L49" i="2"/>
  <c r="M49" i="2" s="1" a="1"/>
  <c r="M49" i="2" s="1"/>
  <c r="L48" i="2"/>
  <c r="M48" i="2" s="1" a="1"/>
  <c r="M48" i="2" s="1"/>
  <c r="L47" i="2"/>
  <c r="M47" i="2" s="1" a="1"/>
  <c r="M47" i="2" s="1"/>
  <c r="L46" i="2"/>
  <c r="M46" i="2" s="1" a="1"/>
  <c r="M46" i="2" s="1"/>
  <c r="L45" i="2"/>
  <c r="M45" i="2" s="1" a="1"/>
  <c r="M45" i="2" s="1"/>
  <c r="L44" i="2"/>
  <c r="M44" i="2" s="1" a="1"/>
  <c r="M44" i="2" s="1"/>
  <c r="L43" i="2"/>
  <c r="M43" i="2" s="1" a="1"/>
  <c r="M43" i="2" s="1"/>
  <c r="L42" i="2"/>
  <c r="M42" i="2" s="1" a="1"/>
  <c r="M42" i="2" s="1"/>
  <c r="L41" i="2"/>
  <c r="M41" i="2" s="1" a="1"/>
  <c r="M41" i="2" s="1"/>
  <c r="L40" i="2"/>
  <c r="M40" i="2" s="1" a="1"/>
  <c r="M40" i="2" s="1"/>
  <c r="L39" i="2"/>
  <c r="M39" i="2" s="1" a="1"/>
  <c r="M39" i="2" s="1"/>
  <c r="L38" i="2"/>
  <c r="M38" i="2" s="1" a="1"/>
  <c r="M38" i="2" s="1"/>
  <c r="L37" i="2"/>
  <c r="M37" i="2" s="1" a="1"/>
  <c r="M37" i="2" s="1"/>
  <c r="L32" i="2"/>
  <c r="M32" i="2" s="1" a="1"/>
  <c r="M32" i="2" s="1"/>
  <c r="L31" i="2"/>
  <c r="M31" i="2" s="1" a="1"/>
  <c r="M31" i="2" s="1"/>
  <c r="L29" i="2"/>
  <c r="M29" i="2" s="1" a="1"/>
  <c r="M29" i="2" s="1"/>
  <c r="L28" i="2"/>
  <c r="M28" i="2" s="1" a="1"/>
  <c r="M28" i="2" s="1"/>
  <c r="L27" i="2"/>
  <c r="M27" i="2" s="1" a="1"/>
  <c r="M27" i="2" s="1"/>
  <c r="L18" i="2"/>
  <c r="M18" i="2" s="1" a="1"/>
  <c r="M18" i="2" s="1"/>
  <c r="L17" i="2"/>
  <c r="M17" i="2" s="1" a="1"/>
  <c r="M17" i="2" s="1"/>
  <c r="L16" i="2"/>
  <c r="M16" i="2" s="1" a="1"/>
  <c r="M16" i="2" s="1"/>
  <c r="L15" i="2"/>
  <c r="M15" i="2" s="1" a="1"/>
  <c r="M15" i="2" s="1"/>
  <c r="L14" i="2"/>
  <c r="M14" i="2" s="1" a="1"/>
  <c r="M14" i="2" s="1"/>
  <c r="L13" i="2"/>
  <c r="M13" i="2" s="1" a="1"/>
  <c r="M13" i="2" s="1"/>
  <c r="L12" i="2"/>
  <c r="M12" i="2" s="1" a="1"/>
  <c r="M12" i="2" s="1"/>
  <c r="L11" i="2"/>
  <c r="M11" i="2" s="1" a="1"/>
  <c r="M11" i="2" s="1"/>
  <c r="L10" i="2"/>
  <c r="M10" i="2" s="1" a="1"/>
  <c r="M10" i="2" s="1"/>
  <c r="L9" i="2"/>
  <c r="M9" i="2" s="1" a="1"/>
  <c r="M9" i="2" s="1"/>
  <c r="L8" i="2"/>
  <c r="M8" i="2" s="1" a="1"/>
  <c r="M8" i="2" s="1"/>
  <c r="L7" i="2"/>
  <c r="M7" i="2" s="1" a="1"/>
  <c r="M7" i="2" s="1"/>
  <c r="L6" i="2"/>
  <c r="M6" i="2" s="1" a="1"/>
  <c r="M6" i="2" s="1"/>
  <c r="L19" i="2"/>
  <c r="M19" i="2" s="1" a="1"/>
  <c r="M19" i="2" s="1"/>
  <c r="K600" i="2"/>
  <c r="I600" i="2"/>
  <c r="G600" i="2"/>
  <c r="E600" i="2"/>
  <c r="K599" i="2"/>
  <c r="I599" i="2"/>
  <c r="G599" i="2"/>
  <c r="E599" i="2"/>
  <c r="K598" i="2"/>
  <c r="I598" i="2"/>
  <c r="G598" i="2"/>
  <c r="E598" i="2"/>
  <c r="K597" i="2"/>
  <c r="I597" i="2"/>
  <c r="G597" i="2"/>
  <c r="E597" i="2"/>
  <c r="K596" i="2"/>
  <c r="I596" i="2"/>
  <c r="G596" i="2"/>
  <c r="E596" i="2"/>
  <c r="K595" i="2"/>
  <c r="I595" i="2"/>
  <c r="G595" i="2"/>
  <c r="E595" i="2"/>
  <c r="K594" i="2"/>
  <c r="I594" i="2"/>
  <c r="G594" i="2"/>
  <c r="E594" i="2"/>
  <c r="K593" i="2"/>
  <c r="I593" i="2"/>
  <c r="G593" i="2"/>
  <c r="E593" i="2"/>
  <c r="K592" i="2"/>
  <c r="I592" i="2"/>
  <c r="G592" i="2"/>
  <c r="E592" i="2"/>
  <c r="G591" i="2"/>
  <c r="E591" i="2"/>
  <c r="G590" i="2"/>
  <c r="E590" i="2"/>
  <c r="G589" i="2"/>
  <c r="E589" i="2"/>
  <c r="G588" i="2"/>
  <c r="E588" i="2"/>
  <c r="G587" i="2"/>
  <c r="E587" i="2"/>
  <c r="G586" i="2"/>
  <c r="E586" i="2"/>
  <c r="D612" i="2" s="1" a="1"/>
  <c r="G585" i="2"/>
  <c r="E585" i="2"/>
  <c r="G584" i="2"/>
  <c r="E584" i="2"/>
  <c r="D610" i="2" s="1" a="1"/>
  <c r="G583" i="2"/>
  <c r="E583" i="2"/>
  <c r="D609" i="2" s="1" a="1"/>
  <c r="J302" i="2" a="1"/>
  <c r="J302" i="2" s="1"/>
  <c r="J301" i="2" a="1"/>
  <c r="J301" i="2" s="1"/>
  <c r="J299" i="2" a="1"/>
  <c r="J299" i="2" s="1"/>
  <c r="J298" i="2" a="1"/>
  <c r="J298" i="2" s="1"/>
  <c r="L296" i="2"/>
  <c r="M296" i="2" s="1" a="1"/>
  <c r="M296" i="2" s="1"/>
  <c r="J296" i="2" a="1"/>
  <c r="J296" i="2" s="1"/>
  <c r="L295" i="2"/>
  <c r="M295" i="2" s="1" a="1"/>
  <c r="M295" i="2" s="1"/>
  <c r="J295" i="2" a="1"/>
  <c r="J295" i="2" s="1"/>
  <c r="J294" i="2" a="1"/>
  <c r="J294" i="2" s="1"/>
  <c r="L293" i="2"/>
  <c r="M293" i="2" s="1" a="1"/>
  <c r="M293" i="2" s="1"/>
  <c r="J293" i="2" a="1"/>
  <c r="J293" i="2" s="1"/>
  <c r="J291" i="2" a="1"/>
  <c r="J291" i="2" s="1"/>
  <c r="L290" i="2"/>
  <c r="M290" i="2" s="1" a="1"/>
  <c r="M290" i="2" s="1"/>
  <c r="J290" i="2" a="1"/>
  <c r="J290" i="2" s="1"/>
  <c r="J289" i="2" a="1"/>
  <c r="J289" i="2" s="1"/>
  <c r="J288" i="2" a="1"/>
  <c r="J288" i="2" s="1"/>
  <c r="L287" i="2"/>
  <c r="M287" i="2" s="1" a="1"/>
  <c r="M287" i="2" s="1"/>
  <c r="J287" i="2" a="1"/>
  <c r="J287" i="2" s="1"/>
  <c r="L271" i="2"/>
  <c r="M271" i="2" s="1" a="1"/>
  <c r="M271" i="2" s="1"/>
  <c r="J271" i="2" a="1"/>
  <c r="J271" i="2" s="1"/>
  <c r="L270" i="2"/>
  <c r="M270" i="2" s="1" a="1"/>
  <c r="M270" i="2" s="1"/>
  <c r="J270" i="2" a="1"/>
  <c r="J270" i="2" s="1"/>
  <c r="J269" i="2" a="1"/>
  <c r="J269" i="2" s="1"/>
  <c r="L268" i="2"/>
  <c r="M268" i="2" s="1" a="1"/>
  <c r="M268" i="2" s="1"/>
  <c r="J268" i="2" a="1"/>
  <c r="J268" i="2" s="1"/>
  <c r="L266" i="2"/>
  <c r="M266" i="2" s="1" a="1"/>
  <c r="M266" i="2" s="1"/>
  <c r="J263" i="2" a="1"/>
  <c r="J263" i="2" s="1"/>
  <c r="J262" i="2" a="1"/>
  <c r="J262" i="2" s="1"/>
  <c r="J261" i="2" a="1"/>
  <c r="J261" i="2" s="1"/>
  <c r="J260" i="2" a="1"/>
  <c r="J260" i="2" s="1"/>
  <c r="J258" i="2" a="1"/>
  <c r="J258" i="2" s="1"/>
  <c r="J257" i="2" a="1"/>
  <c r="J257" i="2" s="1"/>
  <c r="J256" i="2" a="1"/>
  <c r="J256" i="2" s="1"/>
  <c r="L253" i="2"/>
  <c r="M253" i="2" s="1" a="1"/>
  <c r="M253" i="2" s="1"/>
  <c r="J252" i="2" a="1"/>
  <c r="J252" i="2" s="1"/>
  <c r="J251" i="2" a="1"/>
  <c r="J251" i="2" s="1"/>
  <c r="L234" i="2"/>
  <c r="M234" i="2" s="1" a="1"/>
  <c r="M234" i="2" s="1"/>
  <c r="J234" i="2" a="1"/>
  <c r="J234" i="2" s="1"/>
  <c r="J233" i="2" a="1"/>
  <c r="J233" i="2" s="1"/>
  <c r="J232" i="2" a="1"/>
  <c r="J232" i="2" s="1"/>
  <c r="J231" i="2" a="1"/>
  <c r="J231" i="2" s="1"/>
  <c r="L230" i="2"/>
  <c r="M230" i="2" s="1" a="1"/>
  <c r="M230" i="2" s="1"/>
  <c r="L228" i="2"/>
  <c r="M228" i="2" s="1" a="1"/>
  <c r="M228" i="2" s="1"/>
  <c r="J225" i="2" a="1"/>
  <c r="J225" i="2" s="1"/>
  <c r="L224" i="2"/>
  <c r="M224" i="2" s="1" a="1"/>
  <c r="M224" i="2" s="1"/>
  <c r="J223" i="2" a="1"/>
  <c r="J223" i="2" s="1"/>
  <c r="J218" i="2" a="1"/>
  <c r="J218" i="2" s="1"/>
  <c r="J217" i="2" a="1"/>
  <c r="J217" i="2" s="1"/>
  <c r="J216" i="2" a="1"/>
  <c r="J216" i="2" s="1"/>
  <c r="L214" i="2"/>
  <c r="M214" i="2" s="1" a="1"/>
  <c r="M214" i="2" s="1"/>
  <c r="J214" i="2" a="1"/>
  <c r="J214" i="2" s="1"/>
  <c r="L213" i="2"/>
  <c r="M213" i="2" s="1" a="1"/>
  <c r="M213" i="2" s="1"/>
  <c r="J213" i="2" a="1"/>
  <c r="J213" i="2" s="1"/>
  <c r="J199" i="2" a="1"/>
  <c r="J199" i="2" s="1"/>
  <c r="J198" i="2" a="1"/>
  <c r="J198" i="2" s="1"/>
  <c r="J196" i="2" a="1"/>
  <c r="J196" i="2" s="1"/>
  <c r="J194" i="2" a="1"/>
  <c r="J194" i="2" s="1"/>
  <c r="L193" i="2"/>
  <c r="M193" i="2" s="1" a="1"/>
  <c r="M193" i="2" s="1"/>
  <c r="J192" i="2" a="1"/>
  <c r="J192" i="2" s="1"/>
  <c r="J190" i="2" a="1"/>
  <c r="J190" i="2" s="1"/>
  <c r="J189" i="2" a="1"/>
  <c r="J189" i="2" s="1"/>
  <c r="J188" i="2" a="1"/>
  <c r="J188" i="2" s="1"/>
  <c r="J187" i="2" a="1"/>
  <c r="J187" i="2" s="1"/>
  <c r="J185" i="2" a="1"/>
  <c r="J185" i="2" s="1"/>
  <c r="J183" i="2" a="1"/>
  <c r="J183" i="2" s="1"/>
  <c r="J182" i="2" a="1"/>
  <c r="J182" i="2" s="1"/>
  <c r="J181" i="2" a="1"/>
  <c r="J181" i="2" s="1"/>
  <c r="J180" i="2" a="1"/>
  <c r="J180" i="2" s="1"/>
  <c r="L179" i="2"/>
  <c r="M179" i="2" s="1" a="1"/>
  <c r="M179" i="2" s="1"/>
  <c r="J179" i="2" a="1"/>
  <c r="J179" i="2" s="1"/>
  <c r="J178" i="2" a="1"/>
  <c r="J178" i="2" s="1"/>
  <c r="L177" i="2"/>
  <c r="M177" i="2" s="1" a="1"/>
  <c r="M177" i="2" s="1"/>
  <c r="J176" i="2" a="1"/>
  <c r="J176" i="2" s="1"/>
  <c r="L175" i="2"/>
  <c r="M175" i="2" s="1" a="1"/>
  <c r="M175" i="2" s="1"/>
  <c r="J165" i="2" a="1"/>
  <c r="J165" i="2" s="1"/>
  <c r="J157" i="2" a="1"/>
  <c r="J157" i="2" s="1"/>
  <c r="J156" i="2" a="1"/>
  <c r="J156" i="2" s="1"/>
  <c r="J155" i="2" a="1"/>
  <c r="J155" i="2" s="1"/>
  <c r="J154" i="2" a="1"/>
  <c r="J154" i="2" s="1"/>
  <c r="J153" i="2" a="1"/>
  <c r="J153" i="2" s="1"/>
  <c r="J152" i="2" a="1"/>
  <c r="J152" i="2" s="1"/>
  <c r="J151" i="2" a="1"/>
  <c r="J151" i="2" s="1"/>
  <c r="J150" i="2" a="1"/>
  <c r="J150" i="2" s="1"/>
  <c r="J149" i="2" a="1"/>
  <c r="J149" i="2" s="1"/>
  <c r="J148" i="2" a="1"/>
  <c r="J148" i="2" s="1"/>
  <c r="L147" i="2"/>
  <c r="M147" i="2" s="1" a="1"/>
  <c r="M147" i="2" s="1"/>
  <c r="J147" i="2" a="1"/>
  <c r="J147" i="2" s="1"/>
  <c r="L146" i="2"/>
  <c r="M146" i="2" s="1" a="1"/>
  <c r="M146" i="2" s="1"/>
  <c r="J146" i="2" a="1"/>
  <c r="J146" i="2" s="1"/>
  <c r="J145" i="2" a="1"/>
  <c r="J145" i="2" s="1"/>
  <c r="J144" i="2" a="1"/>
  <c r="J144" i="2" s="1"/>
  <c r="J140" i="2" a="1"/>
  <c r="J140" i="2" s="1"/>
  <c r="J129" i="2" a="1"/>
  <c r="J129" i="2" s="1"/>
  <c r="J128" i="2" a="1"/>
  <c r="J128" i="2" s="1"/>
  <c r="J126" i="2" a="1"/>
  <c r="J126" i="2" s="1"/>
  <c r="L124" i="2"/>
  <c r="M124" i="2" s="1" a="1"/>
  <c r="M124" i="2" s="1"/>
  <c r="J123" i="2" a="1"/>
  <c r="J123" i="2" s="1"/>
  <c r="J122" i="2" a="1"/>
  <c r="J122" i="2" s="1"/>
  <c r="J121" i="2" a="1"/>
  <c r="J121" i="2" s="1"/>
  <c r="J120" i="2" a="1"/>
  <c r="J120" i="2" s="1"/>
  <c r="J119" i="2" a="1"/>
  <c r="J119" i="2" s="1"/>
  <c r="J118" i="2" a="1"/>
  <c r="J118" i="2" s="1"/>
  <c r="L108" i="2"/>
  <c r="M108" i="2" s="1" a="1"/>
  <c r="M108" i="2" s="1"/>
  <c r="J108" i="2" a="1"/>
  <c r="J108" i="2" s="1"/>
  <c r="L107" i="2"/>
  <c r="M107" i="2" s="1" a="1"/>
  <c r="M107" i="2" s="1"/>
  <c r="J104" i="2" a="1"/>
  <c r="J104" i="2" s="1"/>
  <c r="J103" i="2" a="1"/>
  <c r="J103" i="2" s="1"/>
  <c r="J102" i="2" a="1"/>
  <c r="J102" i="2" s="1"/>
  <c r="J101" i="2" a="1"/>
  <c r="J101" i="2" s="1"/>
  <c r="J100" i="2" a="1"/>
  <c r="J100" i="2" s="1"/>
  <c r="J83" i="2" a="1"/>
  <c r="J83" i="2" s="1"/>
  <c r="J82" i="2" a="1"/>
  <c r="J82" i="2" s="1"/>
  <c r="J81" i="2" a="1"/>
  <c r="J81" i="2" s="1"/>
  <c r="J80" i="2" a="1"/>
  <c r="J80" i="2" s="1"/>
  <c r="L79" i="2"/>
  <c r="M79" i="2" s="1" a="1"/>
  <c r="M79" i="2" s="1"/>
  <c r="J78" i="2" a="1"/>
  <c r="J78" i="2" s="1"/>
  <c r="J77" i="2" a="1"/>
  <c r="J77" i="2" s="1"/>
  <c r="J76" i="2" a="1"/>
  <c r="J76" i="2" s="1"/>
  <c r="J75" i="2" a="1"/>
  <c r="J75" i="2" s="1"/>
  <c r="L74" i="2"/>
  <c r="M74" i="2" s="1" a="1"/>
  <c r="M74" i="2" s="1"/>
  <c r="J72" i="2" a="1"/>
  <c r="J72" i="2" s="1"/>
  <c r="J71" i="2" a="1"/>
  <c r="J71" i="2" s="1"/>
  <c r="J68" i="2" a="1"/>
  <c r="J68" i="2" s="1"/>
  <c r="J67" i="2" a="1"/>
  <c r="J67" i="2" s="1"/>
  <c r="J66" i="2" a="1"/>
  <c r="J66" i="2" s="1"/>
  <c r="J65" i="2" a="1"/>
  <c r="J65" i="2" s="1"/>
  <c r="J64" i="2" a="1"/>
  <c r="J64" i="2" s="1"/>
  <c r="J60" i="2" a="1"/>
  <c r="J60" i="2" s="1"/>
  <c r="L59" i="2"/>
  <c r="M59" i="2" s="1" a="1"/>
  <c r="M59" i="2" s="1"/>
  <c r="J58" i="2" a="1"/>
  <c r="J58" i="2" s="1"/>
  <c r="J57" i="2" a="1"/>
  <c r="J57" i="2" s="1"/>
  <c r="J56" i="2" a="1"/>
  <c r="J56" i="2" s="1"/>
  <c r="J55" i="2" a="1"/>
  <c r="J55" i="2" s="1"/>
  <c r="J54" i="2" a="1"/>
  <c r="J54" i="2" s="1"/>
  <c r="J50" i="2" a="1"/>
  <c r="J50" i="2" s="1"/>
  <c r="L35" i="2"/>
  <c r="M35" i="2" s="1" a="1"/>
  <c r="M35" i="2" s="1"/>
  <c r="J30" i="2" a="1"/>
  <c r="J30" i="2" s="1"/>
  <c r="J26" i="2" a="1"/>
  <c r="J26" i="2" s="1"/>
  <c r="J25" i="2" a="1"/>
  <c r="J25" i="2" s="1"/>
  <c r="J24" i="2" a="1"/>
  <c r="J24" i="2" s="1"/>
  <c r="J23" i="2" a="1"/>
  <c r="J23" i="2" s="1"/>
  <c r="H5" i="30" l="1"/>
  <c r="I5" i="30" s="1"/>
  <c r="U32" i="22"/>
  <c r="G3" i="30"/>
  <c r="B3" i="30"/>
  <c r="D3" i="30" s="1"/>
  <c r="G2" i="30"/>
  <c r="B2" i="30"/>
  <c r="J7" i="3" a="1"/>
  <c r="J7" i="3" s="1"/>
  <c r="N7" i="3" a="1"/>
  <c r="N7" i="3" s="1"/>
  <c r="R7" i="3" a="1"/>
  <c r="R7" i="3" s="1"/>
  <c r="G602" i="2"/>
  <c r="E603" i="2"/>
  <c r="O5" i="3" a="1"/>
  <c r="O5" i="3" s="1"/>
  <c r="J599" i="2" a="1"/>
  <c r="J599" i="2" s="1"/>
  <c r="J600" i="2" a="1"/>
  <c r="J600" i="2" s="1"/>
  <c r="J598" i="2" a="1"/>
  <c r="J598" i="2" s="1"/>
  <c r="Q5" i="3" a="1"/>
  <c r="Q5" i="3" s="1"/>
  <c r="I5" i="3" a="1"/>
  <c r="I5" i="3" s="1"/>
  <c r="M5" i="3" a="1"/>
  <c r="M5" i="3" s="1"/>
  <c r="L595" i="2"/>
  <c r="M595" i="2" s="1"/>
  <c r="P5" i="3"/>
  <c r="R5" i="3" s="1" a="1"/>
  <c r="H5" i="3"/>
  <c r="H3" i="30" s="1"/>
  <c r="K5" i="3"/>
  <c r="S5" i="3"/>
  <c r="L5" i="3"/>
  <c r="N5" i="3" s="1" a="1"/>
  <c r="L593" i="2"/>
  <c r="M593" i="2" s="1"/>
  <c r="L598" i="2"/>
  <c r="M598" i="2" s="1"/>
  <c r="L592" i="2"/>
  <c r="M592" i="2" s="1"/>
  <c r="J596" i="2" a="1"/>
  <c r="J596" i="2" s="1"/>
  <c r="L597" i="2"/>
  <c r="M597" i="2" s="1"/>
  <c r="D6" i="3"/>
  <c r="T31" i="22" s="1"/>
  <c r="B6" i="3"/>
  <c r="F4" i="3"/>
  <c r="F5" i="3"/>
  <c r="L260" i="2"/>
  <c r="M260" i="2" s="1" a="1"/>
  <c r="M260" i="2" s="1"/>
  <c r="L78" i="2"/>
  <c r="M78" i="2" s="1" a="1"/>
  <c r="M78" i="2" s="1"/>
  <c r="L33" i="2"/>
  <c r="M33" i="2" s="1" a="1"/>
  <c r="M33" i="2" s="1"/>
  <c r="L69" i="2"/>
  <c r="M69" i="2" s="1" a="1"/>
  <c r="M69" i="2" s="1"/>
  <c r="L157" i="2"/>
  <c r="M157" i="2" s="1" a="1"/>
  <c r="M157" i="2" s="1"/>
  <c r="J594" i="2" a="1"/>
  <c r="J594" i="2" s="1"/>
  <c r="L25" i="2"/>
  <c r="M25" i="2" s="1" a="1"/>
  <c r="M25" i="2" s="1"/>
  <c r="L102" i="2"/>
  <c r="M102" i="2" s="1" a="1"/>
  <c r="M102" i="2" s="1"/>
  <c r="L294" i="2"/>
  <c r="M294" i="2" s="1" a="1"/>
  <c r="M294" i="2" s="1"/>
  <c r="J177" i="2" a="1"/>
  <c r="J177" i="2" s="1"/>
  <c r="L34" i="2"/>
  <c r="M34" i="2" s="1" a="1"/>
  <c r="M34" i="2" s="1"/>
  <c r="L191" i="2"/>
  <c r="M191" i="2" s="1" a="1"/>
  <c r="M191" i="2" s="1"/>
  <c r="L252" i="2"/>
  <c r="M252" i="2" s="1" a="1"/>
  <c r="M252" i="2" s="1"/>
  <c r="J124" i="2" a="1"/>
  <c r="J124" i="2" s="1"/>
  <c r="L56" i="2"/>
  <c r="M56" i="2" s="1" a="1"/>
  <c r="M56" i="2" s="1"/>
  <c r="L144" i="2"/>
  <c r="M144" i="2" s="1" a="1"/>
  <c r="M144" i="2" s="1"/>
  <c r="L178" i="2"/>
  <c r="M178" i="2" s="1" a="1"/>
  <c r="M178" i="2" s="1"/>
  <c r="L233" i="2"/>
  <c r="M233" i="2" s="1" a="1"/>
  <c r="M233" i="2" s="1"/>
  <c r="L26" i="2"/>
  <c r="M26" i="2" s="1" a="1"/>
  <c r="M26" i="2" s="1"/>
  <c r="L77" i="2"/>
  <c r="M77" i="2" s="1" a="1"/>
  <c r="M77" i="2" s="1"/>
  <c r="L288" i="2"/>
  <c r="M288" i="2" s="1" a="1"/>
  <c r="M288" i="2" s="1"/>
  <c r="L192" i="2"/>
  <c r="M192" i="2" s="1" a="1"/>
  <c r="M192" i="2" s="1"/>
  <c r="L66" i="2"/>
  <c r="M66" i="2" s="1" a="1"/>
  <c r="M66" i="2" s="1"/>
  <c r="L121" i="2"/>
  <c r="M121" i="2" s="1" a="1"/>
  <c r="M121" i="2" s="1"/>
  <c r="J193" i="2" a="1"/>
  <c r="J193" i="2" s="1"/>
  <c r="L231" i="2"/>
  <c r="M231" i="2" s="1" a="1"/>
  <c r="M231" i="2" s="1"/>
  <c r="L76" i="2"/>
  <c r="M76" i="2" s="1" a="1"/>
  <c r="M76" i="2" s="1"/>
  <c r="L154" i="2"/>
  <c r="M154" i="2" s="1" a="1"/>
  <c r="M154" i="2" s="1"/>
  <c r="L269" i="2"/>
  <c r="M269" i="2" s="1" a="1"/>
  <c r="M269" i="2" s="1"/>
  <c r="J74" i="2" a="1"/>
  <c r="J74" i="2" s="1"/>
  <c r="L50" i="2"/>
  <c r="M50" i="2" s="1" a="1"/>
  <c r="M50" i="2" s="1"/>
  <c r="L73" i="2"/>
  <c r="M73" i="2" s="1" a="1"/>
  <c r="M73" i="2" s="1"/>
  <c r="D612" i="2"/>
  <c r="L186" i="2"/>
  <c r="M186" i="2" s="1" a="1"/>
  <c r="M186" i="2" s="1"/>
  <c r="J186" i="2" a="1"/>
  <c r="J186" i="2" s="1"/>
  <c r="L267" i="2"/>
  <c r="M267" i="2" s="1" a="1"/>
  <c r="M267" i="2" s="1"/>
  <c r="J267" i="2" a="1"/>
  <c r="J267" i="2" s="1"/>
  <c r="L292" i="2"/>
  <c r="M292" i="2" s="1" a="1"/>
  <c r="M292" i="2" s="1"/>
  <c r="J292" i="2" a="1"/>
  <c r="J292" i="2" s="1"/>
  <c r="E605" i="2"/>
  <c r="L259" i="2"/>
  <c r="M259" i="2" s="1" a="1"/>
  <c r="M259" i="2" s="1"/>
  <c r="J259" i="2" a="1"/>
  <c r="J259" i="2" s="1"/>
  <c r="L198" i="2"/>
  <c r="M198" i="2" s="1" a="1"/>
  <c r="M198" i="2" s="1"/>
  <c r="D610" i="2"/>
  <c r="L54" i="2"/>
  <c r="M54" i="2" s="1" a="1"/>
  <c r="M54" i="2" s="1"/>
  <c r="L55" i="2"/>
  <c r="M55" i="2" s="1" a="1"/>
  <c r="M55" i="2" s="1"/>
  <c r="L75" i="2"/>
  <c r="M75" i="2" s="1" a="1"/>
  <c r="M75" i="2" s="1"/>
  <c r="L101" i="2"/>
  <c r="M101" i="2" s="1" a="1"/>
  <c r="M101" i="2" s="1"/>
  <c r="L120" i="2"/>
  <c r="M120" i="2" s="1" a="1"/>
  <c r="M120" i="2" s="1"/>
  <c r="L140" i="2"/>
  <c r="M140" i="2" s="1" a="1"/>
  <c r="M140" i="2" s="1"/>
  <c r="L197" i="2"/>
  <c r="M197" i="2" s="1" a="1"/>
  <c r="M197" i="2" s="1"/>
  <c r="J197" i="2" a="1"/>
  <c r="J197" i="2" s="1"/>
  <c r="I605" i="2"/>
  <c r="J592" i="2" a="1"/>
  <c r="J592" i="2" s="1"/>
  <c r="I607" i="2"/>
  <c r="J224" i="2" a="1"/>
  <c r="J224" i="2" s="1"/>
  <c r="J597" i="2" a="1"/>
  <c r="J597" i="2" s="1"/>
  <c r="L188" i="2"/>
  <c r="M188" i="2" s="1" a="1"/>
  <c r="M188" i="2" s="1"/>
  <c r="L24" i="2"/>
  <c r="M24" i="2" s="1" a="1"/>
  <c r="M24" i="2" s="1"/>
  <c r="L65" i="2"/>
  <c r="M65" i="2" s="1" a="1"/>
  <c r="M65" i="2" s="1"/>
  <c r="L187" i="2"/>
  <c r="M187" i="2" s="1" a="1"/>
  <c r="M187" i="2" s="1"/>
  <c r="L218" i="2"/>
  <c r="M218" i="2" s="1" a="1"/>
  <c r="M218" i="2" s="1"/>
  <c r="L232" i="2"/>
  <c r="M232" i="2" s="1" a="1"/>
  <c r="M232" i="2" s="1"/>
  <c r="L258" i="2"/>
  <c r="M258" i="2" s="1" a="1"/>
  <c r="M258" i="2" s="1"/>
  <c r="K605" i="2"/>
  <c r="K607" i="2"/>
  <c r="L223" i="2"/>
  <c r="M223" i="2" s="1" a="1"/>
  <c r="M223" i="2" s="1"/>
  <c r="L57" i="2"/>
  <c r="M57" i="2" s="1" a="1"/>
  <c r="M57" i="2" s="1"/>
  <c r="L67" i="2"/>
  <c r="M67" i="2" s="1" a="1"/>
  <c r="M67" i="2" s="1"/>
  <c r="L103" i="2"/>
  <c r="M103" i="2" s="1" a="1"/>
  <c r="M103" i="2" s="1"/>
  <c r="L122" i="2"/>
  <c r="M122" i="2" s="1" a="1"/>
  <c r="M122" i="2" s="1"/>
  <c r="L145" i="2"/>
  <c r="M145" i="2" s="1" a="1"/>
  <c r="M145" i="2" s="1"/>
  <c r="L155" i="2"/>
  <c r="M155" i="2" s="1" a="1"/>
  <c r="M155" i="2" s="1"/>
  <c r="J593" i="2" a="1"/>
  <c r="J593" i="2" s="1"/>
  <c r="L189" i="2"/>
  <c r="M189" i="2" s="1" a="1"/>
  <c r="M189" i="2" s="1"/>
  <c r="L199" i="2"/>
  <c r="M199" i="2" s="1" a="1"/>
  <c r="M199" i="2" s="1"/>
  <c r="L30" i="2"/>
  <c r="M30" i="2" s="1" a="1"/>
  <c r="M30" i="2" s="1"/>
  <c r="L58" i="2"/>
  <c r="M58" i="2" s="1" a="1"/>
  <c r="M58" i="2" s="1"/>
  <c r="L68" i="2"/>
  <c r="M68" i="2" s="1" a="1"/>
  <c r="M68" i="2" s="1"/>
  <c r="L104" i="2"/>
  <c r="M104" i="2" s="1" a="1"/>
  <c r="M104" i="2" s="1"/>
  <c r="L123" i="2"/>
  <c r="M123" i="2" s="1" a="1"/>
  <c r="M123" i="2" s="1"/>
  <c r="L156" i="2"/>
  <c r="M156" i="2" s="1" a="1"/>
  <c r="M156" i="2" s="1"/>
  <c r="L190" i="2"/>
  <c r="M190" i="2" s="1" a="1"/>
  <c r="M190" i="2" s="1"/>
  <c r="L211" i="2"/>
  <c r="M211" i="2" s="1" a="1"/>
  <c r="M211" i="2" s="1"/>
  <c r="L251" i="2"/>
  <c r="M251" i="2" s="1" a="1"/>
  <c r="M251" i="2" s="1"/>
  <c r="L226" i="2"/>
  <c r="M226" i="2" s="1" a="1"/>
  <c r="M226" i="2" s="1"/>
  <c r="L594" i="2"/>
  <c r="M594" i="2" s="1"/>
  <c r="L297" i="2"/>
  <c r="M297" i="2" s="1" a="1"/>
  <c r="M297" i="2" s="1"/>
  <c r="L70" i="2"/>
  <c r="M70" i="2" s="1" a="1"/>
  <c r="M70" i="2" s="1"/>
  <c r="L173" i="2"/>
  <c r="M173" i="2" s="1" a="1"/>
  <c r="M173" i="2" s="1"/>
  <c r="L180" i="2"/>
  <c r="M180" i="2" s="1" a="1"/>
  <c r="M180" i="2" s="1"/>
  <c r="L261" i="2"/>
  <c r="M261" i="2" s="1" a="1"/>
  <c r="M261" i="2" s="1"/>
  <c r="J59" i="2" a="1"/>
  <c r="J59" i="2" s="1"/>
  <c r="E602" i="2"/>
  <c r="L227" i="2"/>
  <c r="M227" i="2" s="1" a="1"/>
  <c r="M227" i="2" s="1"/>
  <c r="L71" i="2"/>
  <c r="M71" i="2" s="1" a="1"/>
  <c r="M71" i="2" s="1"/>
  <c r="L21" i="2"/>
  <c r="M21" i="2" s="1" a="1"/>
  <c r="M21" i="2" s="1"/>
  <c r="L62" i="2"/>
  <c r="M62" i="2" s="1" a="1"/>
  <c r="M62" i="2" s="1"/>
  <c r="L72" i="2"/>
  <c r="M72" i="2" s="1" a="1"/>
  <c r="M72" i="2" s="1"/>
  <c r="L82" i="2"/>
  <c r="M82" i="2" s="1" a="1"/>
  <c r="M82" i="2" s="1"/>
  <c r="L113" i="2"/>
  <c r="M113" i="2" s="1" a="1"/>
  <c r="M113" i="2" s="1"/>
  <c r="L127" i="2"/>
  <c r="M127" i="2" s="1" a="1"/>
  <c r="M127" i="2" s="1"/>
  <c r="L150" i="2"/>
  <c r="M150" i="2" s="1" a="1"/>
  <c r="M150" i="2" s="1"/>
  <c r="E606" i="2"/>
  <c r="L225" i="2"/>
  <c r="M225" i="2" s="1" a="1"/>
  <c r="M225" i="2" s="1"/>
  <c r="L181" i="2"/>
  <c r="M181" i="2" s="1" a="1"/>
  <c r="M181" i="2" s="1"/>
  <c r="J79" i="2" a="1"/>
  <c r="J79" i="2" s="1"/>
  <c r="E608" i="2"/>
  <c r="L36" i="2"/>
  <c r="M36" i="2" s="1" a="1"/>
  <c r="M36" i="2" s="1"/>
  <c r="I584" i="2"/>
  <c r="J584" i="2" s="1" a="1"/>
  <c r="J584" i="2" s="1"/>
  <c r="L174" i="2"/>
  <c r="M174" i="2" s="1" a="1"/>
  <c r="M174" i="2" s="1"/>
  <c r="L262" i="2"/>
  <c r="M262" i="2" s="1" a="1"/>
  <c r="M262" i="2" s="1"/>
  <c r="I606" i="2"/>
  <c r="D609" i="2"/>
  <c r="J595" i="2" a="1"/>
  <c r="J595" i="2" s="1"/>
  <c r="L184" i="2"/>
  <c r="M184" i="2" s="1" a="1"/>
  <c r="M184" i="2" s="1"/>
  <c r="L194" i="2"/>
  <c r="M194" i="2" s="1" a="1"/>
  <c r="M194" i="2" s="1"/>
  <c r="L215" i="2"/>
  <c r="M215" i="2" s="1" a="1"/>
  <c r="M215" i="2" s="1"/>
  <c r="L229" i="2"/>
  <c r="M229" i="2" s="1" a="1"/>
  <c r="M229" i="2" s="1"/>
  <c r="L255" i="2"/>
  <c r="M255" i="2" s="1" a="1"/>
  <c r="M255" i="2" s="1"/>
  <c r="L265" i="2"/>
  <c r="M265" i="2" s="1" a="1"/>
  <c r="M265" i="2" s="1"/>
  <c r="L300" i="2"/>
  <c r="M300" i="2" s="1" a="1"/>
  <c r="M300" i="2" s="1"/>
  <c r="L22" i="2"/>
  <c r="M22" i="2" s="1" a="1"/>
  <c r="M22" i="2" s="1"/>
  <c r="L63" i="2"/>
  <c r="M63" i="2" s="1" a="1"/>
  <c r="M63" i="2" s="1"/>
  <c r="L83" i="2"/>
  <c r="M83" i="2" s="1" a="1"/>
  <c r="M83" i="2" s="1"/>
  <c r="L128" i="2"/>
  <c r="M128" i="2" s="1" a="1"/>
  <c r="M128" i="2" s="1"/>
  <c r="L151" i="2"/>
  <c r="M151" i="2" s="1" a="1"/>
  <c r="M151" i="2" s="1"/>
  <c r="L185" i="2"/>
  <c r="M185" i="2" s="1" a="1"/>
  <c r="M185" i="2" s="1"/>
  <c r="L195" i="2"/>
  <c r="M195" i="2" s="1" a="1"/>
  <c r="M195" i="2" s="1"/>
  <c r="L216" i="2"/>
  <c r="M216" i="2" s="1" a="1"/>
  <c r="M216" i="2" s="1"/>
  <c r="L256" i="2"/>
  <c r="M256" i="2" s="1" a="1"/>
  <c r="M256" i="2" s="1"/>
  <c r="L291" i="2"/>
  <c r="M291" i="2" s="1" a="1"/>
  <c r="M291" i="2" s="1"/>
  <c r="L301" i="2"/>
  <c r="M301" i="2" s="1" a="1"/>
  <c r="M301" i="2" s="1"/>
  <c r="K606" i="2"/>
  <c r="L596" i="2"/>
  <c r="M596" i="2" s="1"/>
  <c r="L64" i="2"/>
  <c r="M64" i="2" s="1" a="1"/>
  <c r="M64" i="2" s="1"/>
  <c r="L100" i="2"/>
  <c r="M100" i="2" s="1" a="1"/>
  <c r="M100" i="2" s="1"/>
  <c r="L129" i="2"/>
  <c r="M129" i="2" s="1" a="1"/>
  <c r="M129" i="2" s="1"/>
  <c r="L23" i="2"/>
  <c r="M23" i="2" s="1" a="1"/>
  <c r="M23" i="2" s="1"/>
  <c r="L119" i="2"/>
  <c r="M119" i="2" s="1" a="1"/>
  <c r="M119" i="2" s="1"/>
  <c r="L152" i="2"/>
  <c r="M152" i="2" s="1" a="1"/>
  <c r="M152" i="2" s="1"/>
  <c r="L176" i="2"/>
  <c r="M176" i="2" s="1" a="1"/>
  <c r="M176" i="2" s="1"/>
  <c r="L196" i="2"/>
  <c r="M196" i="2" s="1" a="1"/>
  <c r="M196" i="2" s="1"/>
  <c r="L217" i="2"/>
  <c r="M217" i="2" s="1" a="1"/>
  <c r="M217" i="2" s="1"/>
  <c r="L257" i="2"/>
  <c r="M257" i="2" s="1" a="1"/>
  <c r="M257" i="2" s="1"/>
  <c r="L302" i="2"/>
  <c r="M302" i="2" s="1" a="1"/>
  <c r="M302" i="2" s="1"/>
  <c r="K584" i="2"/>
  <c r="L118" i="2"/>
  <c r="M118" i="2" s="1" a="1"/>
  <c r="M118" i="2" s="1"/>
  <c r="I587" i="2"/>
  <c r="J587" i="2" s="1" a="1"/>
  <c r="J587" i="2" s="1"/>
  <c r="K608" i="2"/>
  <c r="L599" i="2"/>
  <c r="M599" i="2" s="1"/>
  <c r="L148" i="2"/>
  <c r="M148" i="2" s="1" a="1"/>
  <c r="M148" i="2" s="1"/>
  <c r="L60" i="2"/>
  <c r="M60" i="2" s="1" a="1"/>
  <c r="M60" i="2" s="1"/>
  <c r="L80" i="2"/>
  <c r="M80" i="2" s="1" a="1"/>
  <c r="M80" i="2" s="1"/>
  <c r="L125" i="2"/>
  <c r="M125" i="2" s="1" a="1"/>
  <c r="M125" i="2" s="1"/>
  <c r="L165" i="2"/>
  <c r="M165" i="2" s="1" a="1"/>
  <c r="M165" i="2" s="1"/>
  <c r="L182" i="2"/>
  <c r="M182" i="2" s="1" a="1"/>
  <c r="M182" i="2" s="1"/>
  <c r="L263" i="2"/>
  <c r="M263" i="2" s="1" a="1"/>
  <c r="M263" i="2" s="1"/>
  <c r="L298" i="2"/>
  <c r="M298" i="2" s="1" a="1"/>
  <c r="M298" i="2" s="1"/>
  <c r="L20" i="2"/>
  <c r="M20" i="2" s="1" a="1"/>
  <c r="M20" i="2" s="1"/>
  <c r="L61" i="2"/>
  <c r="M61" i="2" s="1" a="1"/>
  <c r="M61" i="2" s="1"/>
  <c r="L81" i="2"/>
  <c r="M81" i="2" s="1" a="1"/>
  <c r="M81" i="2" s="1"/>
  <c r="L183" i="2"/>
  <c r="M183" i="2" s="1" a="1"/>
  <c r="M183" i="2" s="1"/>
  <c r="L264" i="2"/>
  <c r="M264" i="2" s="1" a="1"/>
  <c r="M264" i="2" s="1"/>
  <c r="L299" i="2"/>
  <c r="M299" i="2" s="1" a="1"/>
  <c r="M299" i="2" s="1"/>
  <c r="G603" i="2"/>
  <c r="L600" i="2"/>
  <c r="M600" i="2" s="1"/>
  <c r="G601" i="2"/>
  <c r="G606" i="2"/>
  <c r="I608" i="2"/>
  <c r="I589" i="2"/>
  <c r="J589" i="2" s="1" a="1"/>
  <c r="J589" i="2" s="1"/>
  <c r="K589" i="2"/>
  <c r="K587" i="2"/>
  <c r="G605" i="2"/>
  <c r="K583" i="2"/>
  <c r="K585" i="2"/>
  <c r="K591" i="2"/>
  <c r="I585" i="2"/>
  <c r="J585" i="2" s="1" a="1"/>
  <c r="J585" i="2" s="1"/>
  <c r="K590" i="2"/>
  <c r="K588" i="2"/>
  <c r="I591" i="2"/>
  <c r="J591" i="2" s="1" a="1"/>
  <c r="J591" i="2" s="1"/>
  <c r="I588" i="2"/>
  <c r="J588" i="2" s="1" a="1"/>
  <c r="J588" i="2" s="1"/>
  <c r="I583" i="2"/>
  <c r="J583" i="2" s="1" a="1"/>
  <c r="J583" i="2" s="1"/>
  <c r="I586" i="2"/>
  <c r="J586" i="2" s="1" a="1"/>
  <c r="J586" i="2" s="1"/>
  <c r="K586" i="2"/>
  <c r="D611" i="2" a="1"/>
  <c r="D611" i="2" s="1"/>
  <c r="E601" i="2"/>
  <c r="I590" i="2"/>
  <c r="G604" i="2"/>
  <c r="E607" i="2"/>
  <c r="G607" i="2"/>
  <c r="E604" i="2"/>
  <c r="E610" i="2" s="1"/>
  <c r="G608" i="2"/>
  <c r="I3" i="30" l="1"/>
  <c r="D2" i="30"/>
  <c r="B12" i="30"/>
  <c r="D12" i="30" s="1"/>
  <c r="G12" i="30"/>
  <c r="J5" i="3" a="1"/>
  <c r="J5" i="3" s="1"/>
  <c r="C4" i="22"/>
  <c r="G4" i="22" s="1"/>
  <c r="C4" i="21"/>
  <c r="K4" i="21" s="1"/>
  <c r="L16" i="22"/>
  <c r="G609" i="2"/>
  <c r="E611" i="2"/>
  <c r="J606" i="2" a="1"/>
  <c r="J606" i="2" s="1"/>
  <c r="E612" i="2"/>
  <c r="Q4" i="3" a="1"/>
  <c r="Q4" i="3" s="1"/>
  <c r="Q6" i="3" s="1"/>
  <c r="M4" i="3" a="1"/>
  <c r="M4" i="3" s="1"/>
  <c r="M6" i="3" s="1"/>
  <c r="D613" i="2"/>
  <c r="L607" i="2"/>
  <c r="M607" i="2" s="1"/>
  <c r="K6" i="3" a="1"/>
  <c r="K6" i="3" s="1"/>
  <c r="I4" i="3" a="1"/>
  <c r="I4" i="3" s="1"/>
  <c r="I6" i="3" s="1"/>
  <c r="O4" i="3" a="1"/>
  <c r="O4" i="3" s="1"/>
  <c r="S6" i="3" a="1"/>
  <c r="S6" i="3" s="1"/>
  <c r="O6" i="3" a="1"/>
  <c r="O6" i="3" s="1"/>
  <c r="G6" i="3" a="1"/>
  <c r="G6" i="3" s="1"/>
  <c r="O16" i="22" s="1"/>
  <c r="R5" i="3"/>
  <c r="N5" i="3"/>
  <c r="S4" i="3"/>
  <c r="H4" i="3"/>
  <c r="H2" i="30" s="1"/>
  <c r="K4" i="3"/>
  <c r="P4" i="3"/>
  <c r="L4" i="3"/>
  <c r="L586" i="2"/>
  <c r="M586" i="2" s="1"/>
  <c r="L589" i="2"/>
  <c r="M589" i="2" s="1"/>
  <c r="F6" i="3"/>
  <c r="J605" i="2" a="1"/>
  <c r="J605" i="2" s="1"/>
  <c r="K612" i="2"/>
  <c r="G610" i="2"/>
  <c r="E609" i="2"/>
  <c r="I612" i="2"/>
  <c r="J608" i="2" a="1"/>
  <c r="J608" i="2" s="1"/>
  <c r="L588" i="2"/>
  <c r="M588" i="2" s="1"/>
  <c r="L591" i="2"/>
  <c r="M591" i="2" s="1"/>
  <c r="L584" i="2"/>
  <c r="M584" i="2" s="1"/>
  <c r="J607" i="2" a="1"/>
  <c r="J607" i="2" s="1"/>
  <c r="I604" i="2"/>
  <c r="J604" i="2" s="1" a="1"/>
  <c r="J604" i="2" s="1"/>
  <c r="J590" i="2" a="1"/>
  <c r="J590" i="2" s="1"/>
  <c r="L605" i="2"/>
  <c r="M605" i="2" s="1"/>
  <c r="I611" i="2"/>
  <c r="L583" i="2"/>
  <c r="M583" i="2" s="1"/>
  <c r="L587" i="2"/>
  <c r="M587" i="2" s="1"/>
  <c r="L606" i="2"/>
  <c r="M606" i="2" s="1"/>
  <c r="K611" i="2"/>
  <c r="L608" i="2"/>
  <c r="M608" i="2" s="1"/>
  <c r="I602" i="2"/>
  <c r="J602" i="2" s="1" a="1"/>
  <c r="J602" i="2" s="1"/>
  <c r="I601" i="2"/>
  <c r="I603" i="2"/>
  <c r="J603" i="2" s="1" a="1"/>
  <c r="J603" i="2" s="1"/>
  <c r="L590" i="2"/>
  <c r="M590" i="2" s="1"/>
  <c r="L585" i="2"/>
  <c r="M585" i="2" s="1"/>
  <c r="G612" i="2"/>
  <c r="G611" i="2"/>
  <c r="K604" i="2"/>
  <c r="K601" i="2"/>
  <c r="K603" i="2"/>
  <c r="K602" i="2"/>
  <c r="I2" i="30" l="1"/>
  <c r="H12" i="30"/>
  <c r="I12" i="30" s="1"/>
  <c r="N16" i="22"/>
  <c r="L601" i="2"/>
  <c r="M601" i="2" s="1"/>
  <c r="L612" i="2"/>
  <c r="M612" i="2" s="1"/>
  <c r="H6" i="3"/>
  <c r="U31" i="22" s="1"/>
  <c r="J4" i="3" a="1"/>
  <c r="J4" i="3" s="1"/>
  <c r="L6" i="3"/>
  <c r="V31" i="22" s="1"/>
  <c r="N4" i="3" a="1"/>
  <c r="N4" i="3" s="1"/>
  <c r="P6" i="3"/>
  <c r="W31" i="22" s="1"/>
  <c r="R4" i="3" a="1"/>
  <c r="R4" i="3" s="1"/>
  <c r="E613" i="2"/>
  <c r="L611" i="2"/>
  <c r="M611" i="2" s="1"/>
  <c r="I610" i="2"/>
  <c r="I609" i="2"/>
  <c r="J609" i="2" s="1" a="1"/>
  <c r="J609" i="2" s="1"/>
  <c r="J601" i="2" a="1"/>
  <c r="J601" i="2" s="1"/>
  <c r="J611" i="2" a="1"/>
  <c r="J611" i="2" s="1"/>
  <c r="L602" i="2"/>
  <c r="M602" i="2" s="1"/>
  <c r="L603" i="2"/>
  <c r="M603" i="2" s="1"/>
  <c r="L604" i="2"/>
  <c r="M604" i="2" s="1"/>
  <c r="G613" i="2"/>
  <c r="J612" i="2" a="1"/>
  <c r="J612" i="2" s="1"/>
  <c r="K610" i="2"/>
  <c r="K609" i="2"/>
  <c r="N6" i="3" l="1" a="1"/>
  <c r="N6" i="3" s="1"/>
  <c r="J6" i="3" a="1"/>
  <c r="J6" i="3" s="1"/>
  <c r="R6" i="3" a="1"/>
  <c r="R6" i="3" s="1"/>
  <c r="I613" i="2"/>
  <c r="J613" i="2" s="1" a="1"/>
  <c r="J613" i="2" s="1"/>
  <c r="J610" i="2" a="1"/>
  <c r="J610" i="2" s="1"/>
  <c r="L609" i="2"/>
  <c r="M609" i="2" s="1"/>
  <c r="L610" i="2"/>
  <c r="M610" i="2" s="1"/>
  <c r="K613" i="2"/>
  <c r="L613" i="2" l="1"/>
  <c r="M613" i="2" s="1"/>
  <c r="AG35" i="22" l="1"/>
  <c r="AF35" i="22" l="1"/>
  <c r="AE36" i="22" l="1" a="1"/>
  <c r="AE36" i="22" s="1"/>
  <c r="AE34" i="22" l="1"/>
  <c r="AE35" i="22"/>
  <c r="AD35" i="22"/>
  <c r="AD34" i="22"/>
  <c r="AP35" i="22" l="1"/>
  <c r="AQ34" i="22"/>
  <c r="AV34" i="22"/>
  <c r="AQ35" i="22"/>
  <c r="AW35" i="22"/>
  <c r="AK35" i="22"/>
  <c r="AP34" i="22"/>
  <c r="AV35" i="22"/>
  <c r="AJ35" i="22"/>
  <c r="AJ34" i="22"/>
  <c r="AW34" i="22"/>
  <c r="AK34" i="22"/>
  <c r="AQ36" i="22" l="1" a="1"/>
  <c r="AQ36" i="22" s="1"/>
  <c r="AW36" i="22" a="1"/>
  <c r="AW36" i="22" s="1"/>
  <c r="AK36" i="22" a="1"/>
  <c r="AK36" i="22" s="1"/>
  <c r="AV36" i="22" l="1"/>
  <c r="AJ36" i="22"/>
  <c r="AP36" i="22"/>
</calcChain>
</file>

<file path=xl/sharedStrings.xml><?xml version="1.0" encoding="utf-8"?>
<sst xmlns="http://schemas.openxmlformats.org/spreadsheetml/2006/main" count="30067" uniqueCount="2294">
  <si>
    <t>Laporan Blok Yang Sudah Dikerjakan dan Blok InProgress</t>
  </si>
  <si>
    <t>Kebun</t>
  </si>
  <si>
    <t>Est</t>
  </si>
  <si>
    <t>Afd</t>
  </si>
  <si>
    <t>Blok</t>
  </si>
  <si>
    <t>Luas (Ha)</t>
  </si>
  <si>
    <t>Jenis Tanah</t>
  </si>
  <si>
    <t>Total Pokok Produktif</t>
  </si>
  <si>
    <t>Tanggal Sensus</t>
  </si>
  <si>
    <t>Pokok Sensus</t>
  </si>
  <si>
    <t>%</t>
  </si>
  <si>
    <t>Rekomendasi</t>
  </si>
  <si>
    <t>-</t>
  </si>
  <si>
    <t>LS I</t>
  </si>
  <si>
    <t>I</t>
  </si>
  <si>
    <t>B05</t>
  </si>
  <si>
    <t>GAMBUT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</si>
  <si>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</si>
  <si>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</si>
  <si>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</si>
  <si>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</si>
  <si>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</si>
  <si>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</si>
  <si>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</si>
  <si>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</si>
  <si>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</si>
  <si>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</si>
  <si>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</si>
  <si>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</si>
  <si>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</si>
  <si>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</si>
  <si>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</si>
  <si>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</si>
  <si>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</si>
  <si>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</si>
  <si>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</si>
  <si>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</si>
  <si>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</si>
  <si>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</si>
  <si>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</si>
  <si>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</si>
  <si>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</si>
  <si>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D16</t>
  </si>
  <si>
    <t>D17</t>
  </si>
  <si>
    <t>E16</t>
  </si>
  <si>
    <t>E17</t>
  </si>
  <si>
    <t>E18</t>
  </si>
  <si>
    <t>II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</si>
  <si>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</si>
  <si>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</si>
  <si>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</si>
  <si>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</si>
  <si>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</si>
  <si>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</si>
  <si>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</si>
  <si>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</si>
  <si>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</si>
  <si>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E08</t>
  </si>
  <si>
    <t>E09</t>
  </si>
  <si>
    <t>E10</t>
  </si>
  <si>
    <t>E11</t>
  </si>
  <si>
    <t>E12</t>
  </si>
  <si>
    <t>E13</t>
  </si>
  <si>
    <t>E14</t>
  </si>
  <si>
    <t>E15</t>
  </si>
  <si>
    <t>F09</t>
  </si>
  <si>
    <t>F10</t>
  </si>
  <si>
    <t>F11</t>
  </si>
  <si>
    <t>F12</t>
  </si>
  <si>
    <t>F13</t>
  </si>
  <si>
    <t>F14</t>
  </si>
  <si>
    <t>F15</t>
  </si>
  <si>
    <t>G09</t>
  </si>
  <si>
    <t>G10</t>
  </si>
  <si>
    <t>G11</t>
  </si>
  <si>
    <t>G12</t>
  </si>
  <si>
    <t>G13</t>
  </si>
  <si>
    <t>G14</t>
  </si>
  <si>
    <t>G15</t>
  </si>
  <si>
    <t>III</t>
  </si>
  <si>
    <t>E22</t>
  </si>
  <si>
    <t>F16</t>
  </si>
  <si>
    <t>F17</t>
  </si>
  <si>
    <t>F20</t>
  </si>
  <si>
    <t>F21</t>
  </si>
  <si>
    <t>F22</t>
  </si>
  <si>
    <t>F23</t>
  </si>
  <si>
    <t>F24</t>
  </si>
  <si>
    <t>F25</t>
  </si>
  <si>
    <t>G16</t>
  </si>
  <si>
    <t>G17</t>
  </si>
  <si>
    <t>G19</t>
  </si>
  <si>
    <t>G20</t>
  </si>
  <si>
    <t>G21</t>
  </si>
  <si>
    <t>G22</t>
  </si>
  <si>
    <t>G23</t>
  </si>
  <si>
    <t>G24</t>
  </si>
  <si>
    <t>G25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</si>
  <si>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</si>
  <si>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</si>
  <si>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</si>
  <si>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</si>
  <si>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</si>
  <si>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</si>
  <si>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</si>
  <si>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</si>
  <si>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</si>
  <si>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IV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</si>
  <si>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</si>
  <si>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</si>
  <si>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</si>
  <si>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</si>
  <si>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</si>
  <si>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</si>
  <si>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</si>
  <si>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</si>
  <si>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</si>
  <si>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</si>
  <si>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</si>
  <si>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</si>
  <si>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</si>
  <si>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</si>
  <si>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</si>
  <si>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</si>
  <si>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</si>
  <si>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</si>
  <si>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</si>
  <si>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</si>
  <si>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</si>
  <si>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</si>
  <si>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</si>
  <si>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K17</t>
  </si>
  <si>
    <t>PASIR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</si>
  <si>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</si>
  <si>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</si>
  <si>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</si>
  <si>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</si>
  <si>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</si>
  <si>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</si>
  <si>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</si>
  <si>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</si>
  <si>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</si>
  <si>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</si>
  <si>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</si>
  <si>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V</t>
  </si>
  <si>
    <t>H09</t>
  </si>
  <si>
    <t>H10</t>
  </si>
  <si>
    <t>H11</t>
  </si>
  <si>
    <t>H12</t>
  </si>
  <si>
    <t>H13</t>
  </si>
  <si>
    <t>H14</t>
  </si>
  <si>
    <t>H15</t>
  </si>
  <si>
    <t>I09</t>
  </si>
  <si>
    <t>I10</t>
  </si>
  <si>
    <t>I11</t>
  </si>
  <si>
    <t>I12</t>
  </si>
  <si>
    <t>I13</t>
  </si>
  <si>
    <t>I14</t>
  </si>
  <si>
    <t>I15</t>
  </si>
  <si>
    <t>J09</t>
  </si>
  <si>
    <t>J10</t>
  </si>
  <si>
    <t>J11</t>
  </si>
  <si>
    <t>J12</t>
  </si>
  <si>
    <t>J13</t>
  </si>
  <si>
    <t>J14</t>
  </si>
  <si>
    <t>J15</t>
  </si>
  <si>
    <t>K10</t>
  </si>
  <si>
    <t>K11</t>
  </si>
  <si>
    <t>K12</t>
  </si>
  <si>
    <t>K13</t>
  </si>
  <si>
    <t>K14</t>
  </si>
  <si>
    <t>K15</t>
  </si>
  <si>
    <t>K16</t>
  </si>
  <si>
    <t>VI</t>
  </si>
  <si>
    <t>L10</t>
  </si>
  <si>
    <t>L11</t>
  </si>
  <si>
    <t>L12</t>
  </si>
  <si>
    <t>L13</t>
  </si>
  <si>
    <t>L14</t>
  </si>
  <si>
    <t>L15</t>
  </si>
  <si>
    <t>L16</t>
  </si>
  <si>
    <t>L17</t>
  </si>
  <si>
    <t>M10</t>
  </si>
  <si>
    <t>M11</t>
  </si>
  <si>
    <t>M12</t>
  </si>
  <si>
    <t>M13</t>
  </si>
  <si>
    <t>M14</t>
  </si>
  <si>
    <t>M15</t>
  </si>
  <si>
    <t>M16</t>
  </si>
  <si>
    <t>M17</t>
  </si>
  <si>
    <t>N10</t>
  </si>
  <si>
    <t>N11</t>
  </si>
  <si>
    <t>N12</t>
  </si>
  <si>
    <t>N13</t>
  </si>
  <si>
    <t>N14</t>
  </si>
  <si>
    <t>N15</t>
  </si>
  <si>
    <t>N16</t>
  </si>
  <si>
    <t>N17</t>
  </si>
  <si>
    <t>O10</t>
  </si>
  <si>
    <t>O11</t>
  </si>
  <si>
    <t>O12</t>
  </si>
  <si>
    <t>O13</t>
  </si>
  <si>
    <t>O14</t>
  </si>
  <si>
    <t>O15</t>
  </si>
  <si>
    <t>O16</t>
  </si>
  <si>
    <t>O17</t>
  </si>
  <si>
    <t>P10</t>
  </si>
  <si>
    <t>P11</t>
  </si>
  <si>
    <t>P12</t>
  </si>
  <si>
    <t>P13</t>
  </si>
  <si>
    <t>P14</t>
  </si>
  <si>
    <t>P15</t>
  </si>
  <si>
    <t>P16</t>
  </si>
  <si>
    <t>Q12</t>
  </si>
  <si>
    <t>Q13</t>
  </si>
  <si>
    <t>Q14</t>
  </si>
  <si>
    <t>VII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</si>
  <si>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</si>
  <si>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</si>
  <si>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</si>
  <si>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</si>
  <si>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</si>
  <si>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</si>
  <si>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</si>
  <si>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</si>
  <si>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</si>
  <si>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</si>
  <si>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</si>
  <si>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</si>
  <si>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</si>
  <si>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</si>
  <si>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</si>
  <si>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</si>
  <si>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</si>
  <si>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</si>
  <si>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</si>
  <si>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</si>
  <si>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</si>
  <si>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</si>
  <si>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</si>
  <si>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</si>
  <si>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</si>
  <si>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</si>
  <si>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</si>
  <si>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</si>
  <si>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</si>
  <si>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</si>
  <si>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</si>
  <si>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</si>
  <si>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</si>
  <si>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</si>
  <si>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</si>
  <si>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VIII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</si>
  <si>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</si>
  <si>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</si>
  <si>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</si>
  <si>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</si>
  <si>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</si>
  <si>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</si>
  <si>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</si>
  <si>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</si>
  <si>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</si>
  <si>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</si>
  <si>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</si>
  <si>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</si>
  <si>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</si>
  <si>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</si>
  <si>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</si>
  <si>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</si>
  <si>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</si>
  <si>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</si>
  <si>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</si>
  <si>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</si>
  <si>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</si>
  <si>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</si>
  <si>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</si>
  <si>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</si>
  <si>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</si>
  <si>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</si>
  <si>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</si>
  <si>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</si>
  <si>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</si>
  <si>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</si>
  <si>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</si>
  <si>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</si>
  <si>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</si>
  <si>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</si>
  <si>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</si>
  <si>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</si>
  <si>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</si>
  <si>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IX</t>
  </si>
  <si>
    <t>Q15</t>
  </si>
  <si>
    <t>Q16</t>
  </si>
  <si>
    <t>Q17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</si>
  <si>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</si>
  <si>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</si>
  <si>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</si>
  <si>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</si>
  <si>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</si>
  <si>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</si>
  <si>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</si>
  <si>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</si>
  <si>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</si>
  <si>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</si>
  <si>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</si>
  <si>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</si>
  <si>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</si>
  <si>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</si>
  <si>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</si>
  <si>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</si>
  <si>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</si>
  <si>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</si>
  <si>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</si>
  <si>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</si>
  <si>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</si>
  <si>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</si>
  <si>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</si>
  <si>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</si>
  <si>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</si>
  <si>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</si>
  <si>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</si>
  <si>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</si>
  <si>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LS II</t>
  </si>
  <si>
    <t>X</t>
  </si>
  <si>
    <t>G26</t>
  </si>
  <si>
    <t>GAMBUT DALAM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</si>
  <si>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</si>
  <si>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</si>
  <si>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</si>
  <si>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</si>
  <si>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</si>
  <si>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</si>
  <si>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</si>
  <si>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</si>
  <si>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</si>
  <si>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</si>
  <si>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</si>
  <si>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</si>
  <si>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</si>
  <si>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</si>
  <si>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</si>
  <si>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</si>
  <si>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</si>
  <si>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</si>
  <si>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</si>
  <si>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XI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</si>
  <si>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</si>
  <si>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</si>
  <si>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</si>
  <si>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</si>
  <si>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</si>
  <si>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</si>
  <si>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</si>
  <si>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</si>
  <si>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</si>
  <si>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</si>
  <si>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</si>
  <si>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</si>
  <si>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</si>
  <si>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</si>
  <si>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</si>
  <si>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</si>
  <si>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</si>
  <si>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</si>
  <si>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</si>
  <si>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</si>
  <si>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</si>
  <si>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</si>
  <si>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</si>
  <si>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</si>
  <si>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</si>
  <si>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</si>
  <si>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</si>
  <si>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</si>
  <si>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</si>
  <si>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</si>
  <si>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</si>
  <si>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</si>
  <si>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</si>
  <si>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</si>
  <si>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XII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</si>
  <si>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</si>
  <si>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</si>
  <si>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</si>
  <si>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</si>
  <si>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</si>
  <si>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</si>
  <si>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</si>
  <si>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</si>
  <si>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</si>
  <si>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</si>
  <si>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</si>
  <si>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</si>
  <si>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</si>
  <si>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</si>
  <si>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</si>
  <si>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</si>
  <si>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</si>
  <si>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</si>
  <si>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</si>
  <si>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</si>
  <si>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</si>
  <si>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</si>
  <si>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</si>
  <si>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</si>
  <si>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</si>
  <si>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</si>
  <si>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</si>
  <si>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</si>
  <si>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</si>
  <si>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</si>
  <si>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</si>
  <si>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</si>
  <si>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</si>
  <si>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</si>
  <si>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N42</t>
  </si>
  <si>
    <t>XIII</t>
  </si>
  <si>
    <t>O31</t>
  </si>
  <si>
    <t>O32</t>
  </si>
  <si>
    <t>O33</t>
  </si>
  <si>
    <t>O34</t>
  </si>
  <si>
    <t>O35</t>
  </si>
  <si>
    <t>O36</t>
  </si>
  <si>
    <t>O37</t>
  </si>
  <si>
    <t>O38</t>
  </si>
  <si>
    <t>O39</t>
  </si>
  <si>
    <t>O40</t>
  </si>
  <si>
    <t>O42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</si>
  <si>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</si>
  <si>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</si>
  <si>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</si>
  <si>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</si>
  <si>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</si>
  <si>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</si>
  <si>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</si>
  <si>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</si>
  <si>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</si>
  <si>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</si>
  <si>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</si>
  <si>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</si>
  <si>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</si>
  <si>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</si>
  <si>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</si>
  <si>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</si>
  <si>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</si>
  <si>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</si>
  <si>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</si>
  <si>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</si>
  <si>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</si>
  <si>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</si>
  <si>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</si>
  <si>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</si>
  <si>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XIV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</si>
  <si>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</si>
  <si>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</si>
  <si>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</si>
  <si>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</si>
  <si>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</si>
  <si>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</si>
  <si>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</si>
  <si>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</si>
  <si>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</si>
  <si>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</si>
  <si>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</si>
  <si>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</si>
  <si>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</si>
  <si>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</si>
  <si>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</si>
  <si>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</si>
  <si>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MINERAL</t>
  </si>
  <si>
    <t>R45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</si>
  <si>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</si>
  <si>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</si>
  <si>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</si>
  <si>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</si>
  <si>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</si>
  <si>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</si>
  <si>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</si>
  <si>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</si>
  <si>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</si>
  <si>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</si>
  <si>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</si>
  <si>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</si>
  <si>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</si>
  <si>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</si>
  <si>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</si>
  <si>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</si>
  <si>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XV</t>
  </si>
  <si>
    <t>I38</t>
  </si>
  <si>
    <t>I39</t>
  </si>
  <si>
    <t>J39</t>
  </si>
  <si>
    <t>J40</t>
  </si>
  <si>
    <t>J41</t>
  </si>
  <si>
    <t>J42</t>
  </si>
  <si>
    <t>K41</t>
  </si>
  <si>
    <t>K42</t>
  </si>
  <si>
    <t>K43</t>
  </si>
  <si>
    <t>K44</t>
  </si>
  <si>
    <t>K45</t>
  </si>
  <si>
    <t>K46</t>
  </si>
  <si>
    <t>L41</t>
  </si>
  <si>
    <t>L42</t>
  </si>
  <si>
    <t>L43</t>
  </si>
  <si>
    <t>L44</t>
  </si>
  <si>
    <t>L45</t>
  </si>
  <si>
    <t>L46</t>
  </si>
  <si>
    <t>L47</t>
  </si>
  <si>
    <t>M41</t>
  </si>
  <si>
    <t>M42</t>
  </si>
  <si>
    <t>M43</t>
  </si>
  <si>
    <t>M44</t>
  </si>
  <si>
    <t>M45</t>
  </si>
  <si>
    <t>M46</t>
  </si>
  <si>
    <t>M47</t>
  </si>
  <si>
    <t>N43</t>
  </si>
  <si>
    <t>N44</t>
  </si>
  <si>
    <t>N45</t>
  </si>
  <si>
    <t>N46</t>
  </si>
  <si>
    <t>N47</t>
  </si>
  <si>
    <t>N48</t>
  </si>
  <si>
    <t>N49</t>
  </si>
  <si>
    <t>XVI</t>
  </si>
  <si>
    <t>L48</t>
  </si>
  <si>
    <t>L49</t>
  </si>
  <si>
    <t>M48</t>
  </si>
  <si>
    <t>M49</t>
  </si>
  <si>
    <t>M50</t>
  </si>
  <si>
    <t>M51</t>
  </si>
  <si>
    <t>M52</t>
  </si>
  <si>
    <t>N50</t>
  </si>
  <si>
    <t>N51</t>
  </si>
  <si>
    <t>N52</t>
  </si>
  <si>
    <t>N53</t>
  </si>
  <si>
    <t>N54</t>
  </si>
  <si>
    <t>N55</t>
  </si>
  <si>
    <t>N56</t>
  </si>
  <si>
    <t>N57</t>
  </si>
  <si>
    <t>O51</t>
  </si>
  <si>
    <t>O52</t>
  </si>
  <si>
    <t>O53</t>
  </si>
  <si>
    <t>O54</t>
  </si>
  <si>
    <t>O55</t>
  </si>
  <si>
    <t>O56</t>
  </si>
  <si>
    <t>O57</t>
  </si>
  <si>
    <t>O58</t>
  </si>
  <si>
    <t>O59</t>
  </si>
  <si>
    <t>P49</t>
  </si>
  <si>
    <t>P50</t>
  </si>
  <si>
    <t>XVII</t>
  </si>
  <si>
    <t>O43</t>
  </si>
  <si>
    <t>O44</t>
  </si>
  <si>
    <t>O45</t>
  </si>
  <si>
    <t>O46</t>
  </si>
  <si>
    <t>O47</t>
  </si>
  <si>
    <t>O48</t>
  </si>
  <si>
    <t>O49</t>
  </si>
  <si>
    <t>O50</t>
  </si>
  <si>
    <t>P40</t>
  </si>
  <si>
    <t>P41</t>
  </si>
  <si>
    <t>P42</t>
  </si>
  <si>
    <t>P43</t>
  </si>
  <si>
    <t>P44</t>
  </si>
  <si>
    <t>P45</t>
  </si>
  <si>
    <t>P46</t>
  </si>
  <si>
    <t>P47</t>
  </si>
  <si>
    <t>Q43</t>
  </si>
  <si>
    <t>Q44</t>
  </si>
  <si>
    <t>Q45</t>
  </si>
  <si>
    <t>Q46</t>
  </si>
  <si>
    <t>Q47</t>
  </si>
  <si>
    <t>Q48</t>
  </si>
  <si>
    <t>Q49</t>
  </si>
  <si>
    <t>R46</t>
  </si>
  <si>
    <t>R47</t>
  </si>
  <si>
    <t>R48</t>
  </si>
  <si>
    <t>R49</t>
  </si>
  <si>
    <t>S45</t>
  </si>
  <si>
    <t>S46</t>
  </si>
  <si>
    <t>S47</t>
  </si>
  <si>
    <t>S48</t>
  </si>
  <si>
    <t>S49</t>
  </si>
  <si>
    <t>S50</t>
  </si>
  <si>
    <t>XVIII</t>
  </si>
  <si>
    <t>Q50</t>
  </si>
  <si>
    <t>Q51</t>
  </si>
  <si>
    <t>Q52</t>
  </si>
  <si>
    <t>Q53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</si>
  <si>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</si>
  <si>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</si>
  <si>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</si>
  <si>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</si>
  <si>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</si>
  <si>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</si>
  <si>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</si>
  <si>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</si>
  <si>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</si>
  <si>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</si>
  <si>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</si>
  <si>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</si>
  <si>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</si>
  <si>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</si>
  <si>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</si>
  <si>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</si>
  <si>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</si>
  <si>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</si>
  <si>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</si>
  <si>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</si>
  <si>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</si>
  <si>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</si>
  <si>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</si>
  <si>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RAYON A</t>
  </si>
  <si>
    <t>RAYON B</t>
  </si>
  <si>
    <t>RAYON C</t>
  </si>
  <si>
    <t>RAYON D</t>
  </si>
  <si>
    <t>RAYON E</t>
  </si>
  <si>
    <t>RAYON F</t>
  </si>
  <si>
    <t>RAYON G</t>
  </si>
  <si>
    <t>RAYON H</t>
  </si>
  <si>
    <t>LS</t>
  </si>
  <si>
    <t>PT</t>
  </si>
  <si>
    <t>Total Blok</t>
  </si>
  <si>
    <t>Total Blok Sensus</t>
  </si>
  <si>
    <t>&gt;5%</t>
  </si>
  <si>
    <t>2-5%</t>
  </si>
  <si>
    <t>0-2%</t>
  </si>
  <si>
    <t>Jumlah Blok</t>
  </si>
  <si>
    <t>Pokok Sensus (%)</t>
  </si>
  <si>
    <t>Pokok Terserang (Baru)</t>
  </si>
  <si>
    <t>KALE</t>
  </si>
  <si>
    <t>A10</t>
  </si>
  <si>
    <t>A11</t>
  </si>
  <si>
    <t>A12</t>
  </si>
  <si>
    <t>B01</t>
  </si>
  <si>
    <t>B02</t>
  </si>
  <si>
    <t>B03</t>
  </si>
  <si>
    <t>B04</t>
  </si>
  <si>
    <t>C03</t>
  </si>
  <si>
    <t>C04</t>
  </si>
  <si>
    <t>C05</t>
  </si>
  <si>
    <t>A27</t>
  </si>
  <si>
    <t>A28</t>
  </si>
  <si>
    <t>A29</t>
  </si>
  <si>
    <t>A30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</si>
  <si>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</si>
  <si>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</si>
  <si>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</si>
  <si>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</si>
  <si>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</si>
  <si>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</si>
  <si>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</si>
  <si>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</si>
  <si>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</si>
  <si>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</si>
  <si>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</si>
  <si>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</si>
  <si>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</si>
  <si>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A31</t>
  </si>
  <si>
    <t>B31</t>
  </si>
  <si>
    <t>C28</t>
  </si>
  <si>
    <t>C29</t>
  </si>
  <si>
    <t>C30</t>
  </si>
  <si>
    <t>C31</t>
  </si>
  <si>
    <t>D29</t>
  </si>
  <si>
    <t>D30</t>
  </si>
  <si>
    <t>D31</t>
  </si>
  <si>
    <t>A03</t>
  </si>
  <si>
    <t>A04</t>
  </si>
  <si>
    <t>A05</t>
  </si>
  <si>
    <t>A06</t>
  </si>
  <si>
    <t>A07</t>
  </si>
  <si>
    <t>A08</t>
  </si>
  <si>
    <t>A09</t>
  </si>
  <si>
    <t>B12M</t>
  </si>
  <si>
    <t>K05</t>
  </si>
  <si>
    <t>K06</t>
  </si>
  <si>
    <t>K07</t>
  </si>
  <si>
    <t>K08</t>
  </si>
  <si>
    <t>K09</t>
  </si>
  <si>
    <t>K10M</t>
  </si>
  <si>
    <t>A41</t>
  </si>
  <si>
    <t>A42</t>
  </si>
  <si>
    <t>A43</t>
  </si>
  <si>
    <t>A44</t>
  </si>
  <si>
    <t>B41M</t>
  </si>
  <si>
    <t>B42M</t>
  </si>
  <si>
    <t>B43M</t>
  </si>
  <si>
    <t>B44M</t>
  </si>
  <si>
    <t>K52</t>
  </si>
  <si>
    <t>K53</t>
  </si>
  <si>
    <t>K54</t>
  </si>
  <si>
    <t>K55</t>
  </si>
  <si>
    <t>A32</t>
  </si>
  <si>
    <t>A33</t>
  </si>
  <si>
    <t>A34</t>
  </si>
  <si>
    <t>B32</t>
  </si>
  <si>
    <t>B33</t>
  </si>
  <si>
    <t>B34</t>
  </si>
  <si>
    <t>C32</t>
  </si>
  <si>
    <t>C33</t>
  </si>
  <si>
    <t>C34</t>
  </si>
  <si>
    <t>D32</t>
  </si>
  <si>
    <t>D33</t>
  </si>
  <si>
    <t>D34</t>
  </si>
  <si>
    <t>D35</t>
  </si>
  <si>
    <t>D36</t>
  </si>
  <si>
    <t>D37</t>
  </si>
  <si>
    <t>A35</t>
  </si>
  <si>
    <t>A36</t>
  </si>
  <si>
    <t>B35</t>
  </si>
  <si>
    <t>B36</t>
  </si>
  <si>
    <t>C35</t>
  </si>
  <si>
    <t>C36</t>
  </si>
  <si>
    <t>A37</t>
  </si>
  <si>
    <t>A38</t>
  </si>
  <si>
    <t>A39</t>
  </si>
  <si>
    <t>A40</t>
  </si>
  <si>
    <t>B37</t>
  </si>
  <si>
    <t>B38</t>
  </si>
  <si>
    <t>B39</t>
  </si>
  <si>
    <t>B40</t>
  </si>
  <si>
    <t>C37</t>
  </si>
  <si>
    <t>C38</t>
  </si>
  <si>
    <t>C39</t>
  </si>
  <si>
    <t>C40</t>
  </si>
  <si>
    <t>A45</t>
  </si>
  <si>
    <t>B41</t>
  </si>
  <si>
    <t>B42</t>
  </si>
  <si>
    <t>B43</t>
  </si>
  <si>
    <t>B44</t>
  </si>
  <si>
    <t>B45</t>
  </si>
  <si>
    <t>B46</t>
  </si>
  <si>
    <t>B47</t>
  </si>
  <si>
    <t>C41</t>
  </si>
  <si>
    <t>C42</t>
  </si>
  <si>
    <t>C43</t>
  </si>
  <si>
    <t>C44</t>
  </si>
  <si>
    <t>C45</t>
  </si>
  <si>
    <t>A47</t>
  </si>
  <si>
    <t>A48</t>
  </si>
  <si>
    <t>A49</t>
  </si>
  <si>
    <t>A50</t>
  </si>
  <si>
    <t>B48</t>
  </si>
  <si>
    <t>B49</t>
  </si>
  <si>
    <t>B50</t>
  </si>
  <si>
    <t>K49</t>
  </si>
  <si>
    <t>K50</t>
  </si>
  <si>
    <t>L50</t>
  </si>
  <si>
    <t>A51</t>
  </si>
  <si>
    <t>A52</t>
  </si>
  <si>
    <t>A53</t>
  </si>
  <si>
    <t>A54</t>
  </si>
  <si>
    <t>A55</t>
  </si>
  <si>
    <t>B51</t>
  </si>
  <si>
    <t>B52</t>
  </si>
  <si>
    <t>B53</t>
  </si>
  <si>
    <t>B54</t>
  </si>
  <si>
    <t>B55</t>
  </si>
  <si>
    <t>B56</t>
  </si>
  <si>
    <t>B57</t>
  </si>
  <si>
    <t>C62</t>
  </si>
  <si>
    <t>C63</t>
  </si>
  <si>
    <t>C64</t>
  </si>
  <si>
    <t>C65</t>
  </si>
  <si>
    <t>K51</t>
  </si>
  <si>
    <t>K56</t>
  </si>
  <si>
    <t>K57</t>
  </si>
  <si>
    <t>L51</t>
  </si>
  <si>
    <t>L52</t>
  </si>
  <si>
    <t>L53</t>
  </si>
  <si>
    <t>L54</t>
  </si>
  <si>
    <t>L59</t>
  </si>
  <si>
    <t>L60</t>
  </si>
  <si>
    <t>D52</t>
  </si>
  <si>
    <t>D53</t>
  </si>
  <si>
    <t>D54</t>
  </si>
  <si>
    <t>E52</t>
  </si>
  <si>
    <t>E53</t>
  </si>
  <si>
    <t>E54</t>
  </si>
  <si>
    <t>F53</t>
  </si>
  <si>
    <t>F54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</si>
  <si>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</si>
  <si>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</si>
  <si>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</si>
  <si>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</si>
  <si>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</si>
  <si>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</si>
  <si>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</si>
  <si>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</si>
  <si>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</si>
  <si>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</si>
  <si>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</si>
  <si>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</si>
  <si>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</si>
  <si>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</si>
  <si>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</si>
  <si>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</si>
  <si>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</si>
  <si>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</si>
  <si>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</si>
  <si>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</si>
  <si>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</si>
  <si>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F55</t>
  </si>
  <si>
    <t>F56</t>
  </si>
  <si>
    <t>F57</t>
  </si>
  <si>
    <t>F58</t>
  </si>
  <si>
    <t>F59</t>
  </si>
  <si>
    <t>G46</t>
  </si>
  <si>
    <t>G47</t>
  </si>
  <si>
    <t>F52</t>
  </si>
  <si>
    <t>G49</t>
  </si>
  <si>
    <t>G50</t>
  </si>
  <si>
    <t>G51</t>
  </si>
  <si>
    <t>D44</t>
  </si>
  <si>
    <t>D45</t>
  </si>
  <si>
    <t>D46</t>
  </si>
  <si>
    <t>D47</t>
  </si>
  <si>
    <t>E44</t>
  </si>
  <si>
    <t>E45</t>
  </si>
  <si>
    <t>E46</t>
  </si>
  <si>
    <t>E47</t>
  </si>
  <si>
    <t>F44</t>
  </si>
  <si>
    <t>F45</t>
  </si>
  <si>
    <t>F46</t>
  </si>
  <si>
    <t>F47</t>
  </si>
  <si>
    <t>D48</t>
  </si>
  <si>
    <t>D49</t>
  </si>
  <si>
    <t>D50</t>
  </si>
  <si>
    <t>D51</t>
  </si>
  <si>
    <t>E48</t>
  </si>
  <si>
    <t>E49</t>
  </si>
  <si>
    <t>E50</t>
  </si>
  <si>
    <t>E51</t>
  </si>
  <si>
    <t>F48</t>
  </si>
  <si>
    <t>F49</t>
  </si>
  <si>
    <t>F50</t>
  </si>
  <si>
    <t>F51</t>
  </si>
  <si>
    <t>D38</t>
  </si>
  <si>
    <t>D39</t>
  </si>
  <si>
    <t>D40</t>
  </si>
  <si>
    <t>D41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</si>
  <si>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</si>
  <si>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</si>
  <si>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</si>
  <si>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</si>
  <si>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</si>
  <si>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</si>
  <si>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</si>
  <si>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</si>
  <si>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</si>
  <si>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</si>
  <si>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</si>
  <si>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</si>
  <si>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</si>
  <si>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</si>
  <si>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</si>
  <si>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</si>
  <si>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</si>
  <si>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</si>
  <si>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</si>
  <si>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</si>
  <si>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</si>
  <si>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</si>
  <si>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</si>
  <si>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</si>
  <si>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</si>
  <si>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</si>
  <si>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</si>
  <si>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</si>
  <si>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</si>
  <si>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</si>
  <si>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</si>
  <si>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</si>
  <si>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</si>
  <si>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</si>
  <si>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</si>
  <si>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</si>
  <si>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</si>
  <si>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</si>
  <si>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</si>
  <si>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</si>
  <si>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</si>
  <si>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</si>
  <si>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</si>
  <si>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</si>
  <si>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</si>
  <si>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</si>
  <si>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E21</t>
  </si>
  <si>
    <t>E23</t>
  </si>
  <si>
    <t>E24</t>
  </si>
  <si>
    <t>E25</t>
  </si>
  <si>
    <t>E26</t>
  </si>
  <si>
    <t>F26</t>
  </si>
  <si>
    <t>E27</t>
  </si>
  <si>
    <t>E28</t>
  </si>
  <si>
    <t>E29</t>
  </si>
  <si>
    <t>E30</t>
  </si>
  <si>
    <t>F27</t>
  </si>
  <si>
    <t>F28</t>
  </si>
  <si>
    <t>F29</t>
  </si>
  <si>
    <t>F30</t>
  </si>
  <si>
    <t>E19</t>
  </si>
  <si>
    <t>E20</t>
  </si>
  <si>
    <t>F18</t>
  </si>
  <si>
    <t>F19</t>
  </si>
  <si>
    <t>F23M</t>
  </si>
  <si>
    <t>F24M</t>
  </si>
  <si>
    <t>F25M</t>
  </si>
  <si>
    <t>F27M</t>
  </si>
  <si>
    <t>F28M</t>
  </si>
  <si>
    <t>F52M</t>
  </si>
  <si>
    <t>F53M</t>
  </si>
  <si>
    <t>F54M</t>
  </si>
  <si>
    <t>F55M</t>
  </si>
  <si>
    <t>F56M</t>
  </si>
  <si>
    <t>F57M</t>
  </si>
  <si>
    <t>F58M</t>
  </si>
  <si>
    <t>F59M</t>
  </si>
  <si>
    <t>G22M</t>
  </si>
  <si>
    <t>G23M</t>
  </si>
  <si>
    <t>G24M</t>
  </si>
  <si>
    <t>G25M</t>
  </si>
  <si>
    <t>G49M</t>
  </si>
  <si>
    <t>G52</t>
  </si>
  <si>
    <t>G53</t>
  </si>
  <si>
    <t>H26M</t>
  </si>
  <si>
    <t>H32M</t>
  </si>
  <si>
    <t>H33M</t>
  </si>
  <si>
    <t>H35M</t>
  </si>
  <si>
    <t>G18</t>
  </si>
  <si>
    <t>I27M</t>
  </si>
  <si>
    <t>I28M</t>
  </si>
  <si>
    <t>I29M</t>
  </si>
  <si>
    <t>I30M</t>
  </si>
  <si>
    <t>Estate</t>
  </si>
  <si>
    <t>Afdeling</t>
  </si>
  <si>
    <t>Tanggal</t>
  </si>
  <si>
    <t>Nama Penyensus</t>
  </si>
  <si>
    <t>Kegiatan</t>
  </si>
  <si>
    <t>AKP</t>
  </si>
  <si>
    <t>TPH</t>
  </si>
  <si>
    <t>Ada/Tidak Serangan Tikus</t>
  </si>
  <si>
    <t>Isi Pilihan</t>
  </si>
  <si>
    <t>Pokok Sampel</t>
  </si>
  <si>
    <t>Serangan Baru</t>
  </si>
  <si>
    <t>Serangan Lama</t>
  </si>
  <si>
    <t>% Serangan Baru</t>
  </si>
  <si>
    <t>% Serangan Lama</t>
  </si>
  <si>
    <t>TBS Sampel</t>
  </si>
  <si>
    <t>Rumus Jangan di Ganggu</t>
  </si>
  <si>
    <t>FAPE</t>
  </si>
  <si>
    <t>L42A</t>
  </si>
  <si>
    <t>Faisal</t>
  </si>
  <si>
    <t>Melakukan AKP</t>
  </si>
  <si>
    <t>Belum Melakukan Deteksi</t>
  </si>
  <si>
    <t>K40A</t>
  </si>
  <si>
    <t>Petrus Ahau</t>
  </si>
  <si>
    <t>H25a</t>
  </si>
  <si>
    <t>Meksi</t>
  </si>
  <si>
    <t>L35A</t>
  </si>
  <si>
    <t>Riswan</t>
  </si>
  <si>
    <t>I23A</t>
  </si>
  <si>
    <t>Anung</t>
  </si>
  <si>
    <t>J10A</t>
  </si>
  <si>
    <t>Sutandi</t>
  </si>
  <si>
    <t>GRADING TPH</t>
  </si>
  <si>
    <t>M07A</t>
  </si>
  <si>
    <t>Jamaludin</t>
  </si>
  <si>
    <t>L30A</t>
  </si>
  <si>
    <t>Andre</t>
  </si>
  <si>
    <t>H21A</t>
  </si>
  <si>
    <t>Jepri</t>
  </si>
  <si>
    <t>G30A</t>
  </si>
  <si>
    <t>Bangga</t>
  </si>
  <si>
    <t>H33A</t>
  </si>
  <si>
    <t>Andri</t>
  </si>
  <si>
    <t>G29A</t>
  </si>
  <si>
    <t>Sontat</t>
  </si>
  <si>
    <t>J30A</t>
  </si>
  <si>
    <t>Aditya</t>
  </si>
  <si>
    <t>J32A</t>
  </si>
  <si>
    <t>Ribas</t>
  </si>
  <si>
    <t>J28A</t>
  </si>
  <si>
    <t>Simamora</t>
  </si>
  <si>
    <t>Benri</t>
  </si>
  <si>
    <t>I27A</t>
  </si>
  <si>
    <t>Jeruman</t>
  </si>
  <si>
    <t>M29A</t>
  </si>
  <si>
    <t>J27A</t>
  </si>
  <si>
    <t>Jumadi</t>
  </si>
  <si>
    <t>J09A</t>
  </si>
  <si>
    <t>M08A</t>
  </si>
  <si>
    <t>Sutendi</t>
  </si>
  <si>
    <t>G26A</t>
  </si>
  <si>
    <t>Simon</t>
  </si>
  <si>
    <t>B23a</t>
  </si>
  <si>
    <t>Viang Stepanus</t>
  </si>
  <si>
    <t>B24a</t>
  </si>
  <si>
    <t>Yosia Siahaan</t>
  </si>
  <si>
    <t>C24a</t>
  </si>
  <si>
    <t>Ipui</t>
  </si>
  <si>
    <t>D21a</t>
  </si>
  <si>
    <t>C22a</t>
  </si>
  <si>
    <t>G17a</t>
  </si>
  <si>
    <t>Junius Jondi</t>
  </si>
  <si>
    <t>I15a</t>
  </si>
  <si>
    <t>I19a</t>
  </si>
  <si>
    <t>Wedha Saputra</t>
  </si>
  <si>
    <t>H17a</t>
  </si>
  <si>
    <t>Bewanaha T</t>
  </si>
  <si>
    <t>H18a</t>
  </si>
  <si>
    <t>Arman Vani</t>
  </si>
  <si>
    <t>I14a</t>
  </si>
  <si>
    <t>F12a</t>
  </si>
  <si>
    <t>Tobi Ardianto</t>
  </si>
  <si>
    <t>J07a</t>
  </si>
  <si>
    <t>Fransiskus Macho</t>
  </si>
  <si>
    <t>K05a</t>
  </si>
  <si>
    <t>Sunan Afandi</t>
  </si>
  <si>
    <t>J06a</t>
  </si>
  <si>
    <t>F18a</t>
  </si>
  <si>
    <t>Riko Ansara</t>
  </si>
  <si>
    <t>G14a</t>
  </si>
  <si>
    <t xml:space="preserve">Abdul </t>
  </si>
  <si>
    <t>G15a</t>
  </si>
  <si>
    <t>Jp Pandi</t>
  </si>
  <si>
    <t>H14a</t>
  </si>
  <si>
    <t>Armin</t>
  </si>
  <si>
    <t>H15a</t>
  </si>
  <si>
    <t>I13a</t>
  </si>
  <si>
    <t>E25a</t>
  </si>
  <si>
    <t>Raven Simarmata</t>
  </si>
  <si>
    <t>C27a</t>
  </si>
  <si>
    <t>Tarsius Gagas</t>
  </si>
  <si>
    <t>D26a</t>
  </si>
  <si>
    <t>Yohanes Yakson</t>
  </si>
  <si>
    <t>B36a</t>
  </si>
  <si>
    <t>Sudarso</t>
  </si>
  <si>
    <t>B35a</t>
  </si>
  <si>
    <t>A31a</t>
  </si>
  <si>
    <t>Fransiskus Nau</t>
  </si>
  <si>
    <t>A32a</t>
  </si>
  <si>
    <t>C35a</t>
  </si>
  <si>
    <t>Avg Serangan
(%)</t>
  </si>
  <si>
    <t>USP</t>
  </si>
  <si>
    <t>PT. SMP 2</t>
  </si>
  <si>
    <t>sd. 09 MEI 2026</t>
  </si>
  <si>
    <t>Laporan Perbandingan Hasil Sensus</t>
  </si>
  <si>
    <t>TK Khusus, Ast/Mdr1/Mdr Pnn dan Kr. Panen</t>
  </si>
  <si>
    <t>AFD</t>
  </si>
  <si>
    <t>Areal Statement 2026</t>
  </si>
  <si>
    <t>Penyensus</t>
  </si>
  <si>
    <t>Var.</t>
  </si>
  <si>
    <t>TK Khusus</t>
  </si>
  <si>
    <t>Ast/Mdr1/
Mdr Pnn</t>
  </si>
  <si>
    <t>Krani Panen</t>
  </si>
  <si>
    <t>TT</t>
  </si>
  <si>
    <t>Luas</t>
  </si>
  <si>
    <t>Pokok Produksi</t>
  </si>
  <si>
    <t>SPH</t>
  </si>
  <si>
    <t>Pokok Sample</t>
  </si>
  <si>
    <t>Pokok Sns (%)</t>
  </si>
  <si>
    <t>TBS Sample</t>
  </si>
  <si>
    <t>TK Khusus Vs Ast/Mdr</t>
  </si>
  <si>
    <t>TK Khusus Vs Kr. Panen</t>
  </si>
  <si>
    <t>Ast/Mdr  Vs Kr. Panen</t>
  </si>
  <si>
    <t>SMP2</t>
  </si>
  <si>
    <t>Rayon D</t>
  </si>
  <si>
    <t>Rayon E</t>
  </si>
  <si>
    <t>Rayon F</t>
  </si>
  <si>
    <t>Afdeling VIII</t>
  </si>
  <si>
    <t>Lebih Rendah</t>
  </si>
  <si>
    <t>Afdeling IX</t>
  </si>
  <si>
    <t>Lebih Tinggi</t>
  </si>
  <si>
    <t>Afdeling X</t>
  </si>
  <si>
    <t>Afdeling XI</t>
  </si>
  <si>
    <t>Afdeling XII</t>
  </si>
  <si>
    <t>Afdeling XIII</t>
  </si>
  <si>
    <t>A</t>
  </si>
  <si>
    <t>K16a</t>
  </si>
  <si>
    <t>K17a</t>
  </si>
  <si>
    <t>K18a</t>
  </si>
  <si>
    <t>K19a</t>
  </si>
  <si>
    <t>K20a</t>
  </si>
  <si>
    <t>K21a</t>
  </si>
  <si>
    <t>K22a</t>
  </si>
  <si>
    <t>K23a</t>
  </si>
  <si>
    <t>K24a</t>
  </si>
  <si>
    <t>L16a</t>
  </si>
  <si>
    <t>L17a</t>
  </si>
  <si>
    <t>L18a</t>
  </si>
  <si>
    <t>L19a</t>
  </si>
  <si>
    <t>L20a</t>
  </si>
  <si>
    <t>L21a</t>
  </si>
  <si>
    <t>L22a</t>
  </si>
  <si>
    <t>L23a</t>
  </si>
  <si>
    <t>L24a</t>
  </si>
  <si>
    <t>M19a</t>
  </si>
  <si>
    <t>M20a</t>
  </si>
  <si>
    <t>M22a</t>
  </si>
  <si>
    <t>M23a</t>
  </si>
  <si>
    <t>M24a</t>
  </si>
  <si>
    <t>N19a</t>
  </si>
  <si>
    <t>N20a</t>
  </si>
  <si>
    <t>N21a</t>
  </si>
  <si>
    <t>N22a</t>
  </si>
  <si>
    <t>N23a</t>
  </si>
  <si>
    <t>N24a</t>
  </si>
  <si>
    <t>O19a</t>
  </si>
  <si>
    <t>O20a</t>
  </si>
  <si>
    <t>O21a</t>
  </si>
  <si>
    <t>O22a</t>
  </si>
  <si>
    <t>P17a</t>
  </si>
  <si>
    <t>P18a</t>
  </si>
  <si>
    <t>P19a</t>
  </si>
  <si>
    <t>J25a</t>
  </si>
  <si>
    <t>J26a</t>
  </si>
  <si>
    <t>J27a</t>
  </si>
  <si>
    <t>J28a</t>
  </si>
  <si>
    <t>K25a</t>
  </si>
  <si>
    <t>K26a</t>
  </si>
  <si>
    <t>K27a</t>
  </si>
  <si>
    <t>L25a</t>
  </si>
  <si>
    <t>L26a</t>
  </si>
  <si>
    <t>L27a</t>
  </si>
  <si>
    <t>L28a</t>
  </si>
  <si>
    <t>L29a</t>
  </si>
  <si>
    <t>M25a</t>
  </si>
  <si>
    <t>M26a</t>
  </si>
  <si>
    <t>M27a</t>
  </si>
  <si>
    <t>M28a</t>
  </si>
  <si>
    <t>M29a</t>
  </si>
  <si>
    <t>N25a</t>
  </si>
  <si>
    <t>N26a</t>
  </si>
  <si>
    <t>N27a</t>
  </si>
  <si>
    <t>N28a</t>
  </si>
  <si>
    <t>N29a</t>
  </si>
  <si>
    <t>O23a</t>
  </si>
  <si>
    <t>O24a</t>
  </si>
  <si>
    <t>O25a</t>
  </si>
  <si>
    <t>O26a</t>
  </si>
  <si>
    <t>P20a</t>
  </si>
  <si>
    <t>P21a</t>
  </si>
  <si>
    <t>J29a</t>
  </si>
  <si>
    <t>K28a</t>
  </si>
  <si>
    <t>K29a</t>
  </si>
  <si>
    <t>K31a</t>
  </si>
  <si>
    <t>L30a</t>
  </si>
  <si>
    <t>M30a</t>
  </si>
  <si>
    <t>M31a</t>
  </si>
  <si>
    <t>M32a</t>
  </si>
  <si>
    <t>M33a</t>
  </si>
  <si>
    <t>M34a</t>
  </si>
  <si>
    <t>M35a</t>
  </si>
  <si>
    <t>M36a</t>
  </si>
  <si>
    <t>N30a</t>
  </si>
  <si>
    <t>N31a</t>
  </si>
  <si>
    <t>N32a</t>
  </si>
  <si>
    <t>N33a</t>
  </si>
  <si>
    <t>N34a</t>
  </si>
  <si>
    <t>N35a</t>
  </si>
  <si>
    <t>N36a</t>
  </si>
  <si>
    <t>O27a</t>
  </si>
  <si>
    <t>O28a</t>
  </si>
  <si>
    <t>O29a</t>
  </si>
  <si>
    <t>O30a</t>
  </si>
  <si>
    <t>O31a</t>
  </si>
  <si>
    <t>O32a</t>
  </si>
  <si>
    <t>O33a</t>
  </si>
  <si>
    <t>O34a</t>
  </si>
  <si>
    <t>O35a</t>
  </si>
  <si>
    <t>J30a</t>
  </si>
  <si>
    <t>J31a</t>
  </si>
  <si>
    <t>K32a</t>
  </si>
  <si>
    <t>K33a</t>
  </si>
  <si>
    <t>K34a</t>
  </si>
  <si>
    <t>K35a</t>
  </si>
  <si>
    <t>K36a</t>
  </si>
  <si>
    <t>L31a</t>
  </si>
  <si>
    <t>L32a</t>
  </si>
  <si>
    <t>L33a</t>
  </si>
  <si>
    <t>L34a</t>
  </si>
  <si>
    <t>L35a</t>
  </si>
  <si>
    <t>L36a</t>
  </si>
  <si>
    <t>L37a</t>
  </si>
  <si>
    <t>M37a</t>
  </si>
  <si>
    <t>M38a</t>
  </si>
  <si>
    <t>M39a</t>
  </si>
  <si>
    <t>M40a</t>
  </si>
  <si>
    <t>M41a</t>
  </si>
  <si>
    <t>N37a</t>
  </si>
  <si>
    <t>N38a</t>
  </si>
  <si>
    <t>N39a</t>
  </si>
  <si>
    <t>N40a</t>
  </si>
  <si>
    <t>N41a</t>
  </si>
  <si>
    <t>N42a</t>
  </si>
  <si>
    <t>O36a</t>
  </si>
  <si>
    <t>O37a</t>
  </si>
  <si>
    <t>O38a</t>
  </si>
  <si>
    <t>P22a</t>
  </si>
  <si>
    <t>K40a</t>
  </si>
  <si>
    <t>L38a</t>
  </si>
  <si>
    <t>L39a</t>
  </si>
  <si>
    <t>M42a</t>
  </si>
  <si>
    <t>M43a</t>
  </si>
  <si>
    <t>M44a</t>
  </si>
  <si>
    <t>M45a</t>
  </si>
  <si>
    <t>M46a</t>
  </si>
  <si>
    <t>M47a</t>
  </si>
  <si>
    <t>N43a</t>
  </si>
  <si>
    <t>N44a</t>
  </si>
  <si>
    <t>N45a</t>
  </si>
  <si>
    <t>N46a</t>
  </si>
  <si>
    <t>N47a</t>
  </si>
  <si>
    <t>N48a</t>
  </si>
  <si>
    <t>N49a</t>
  </si>
  <si>
    <t>N50a</t>
  </si>
  <si>
    <t>O39a</t>
  </si>
  <si>
    <t>O40a</t>
  </si>
  <si>
    <t>O41a</t>
  </si>
  <si>
    <t>O42a</t>
  </si>
  <si>
    <t>O43a</t>
  </si>
  <si>
    <t>O44a</t>
  </si>
  <si>
    <t>O45a</t>
  </si>
  <si>
    <t>O46a</t>
  </si>
  <si>
    <t>O47a</t>
  </si>
  <si>
    <t>P23a</t>
  </si>
  <si>
    <t>P24a</t>
  </si>
  <si>
    <t>K43a</t>
  </si>
  <si>
    <t>L40a</t>
  </si>
  <si>
    <t>M48a</t>
  </si>
  <si>
    <t>M49a</t>
  </si>
  <si>
    <t>M57a</t>
  </si>
  <si>
    <t>N51a</t>
  </si>
  <si>
    <t>N52a</t>
  </si>
  <si>
    <t>N53a</t>
  </si>
  <si>
    <t>N61a</t>
  </si>
  <si>
    <t>N62a</t>
  </si>
  <si>
    <t>O48a</t>
  </si>
  <si>
    <t>O49a</t>
  </si>
  <si>
    <t>O50a</t>
  </si>
  <si>
    <t>O51a</t>
  </si>
  <si>
    <t>O52a</t>
  </si>
  <si>
    <t>O53a</t>
  </si>
  <si>
    <t>O54a</t>
  </si>
  <si>
    <t>O57a</t>
  </si>
  <si>
    <t>O58a</t>
  </si>
  <si>
    <t>O59a</t>
  </si>
  <si>
    <t>P26a</t>
  </si>
  <si>
    <t>P27a</t>
  </si>
  <si>
    <t>P28a</t>
  </si>
  <si>
    <t>P29a</t>
  </si>
  <si>
    <t>P30a</t>
  </si>
  <si>
    <t>P31a</t>
  </si>
  <si>
    <t>P32a</t>
  </si>
  <si>
    <t>P33a</t>
  </si>
  <si>
    <t>P34a</t>
  </si>
  <si>
    <t>P35a</t>
  </si>
  <si>
    <t>P36a</t>
  </si>
  <si>
    <t>PERBANDINGAN SERANGAN HAMA TIKUS</t>
  </si>
  <si>
    <t>PT.SMP-1</t>
  </si>
  <si>
    <t>JLH BLOK</t>
  </si>
  <si>
    <t>BLOK SDH SNS</t>
  </si>
  <si>
    <t>Total Pokok</t>
  </si>
  <si>
    <t>SNS KHUSUS</t>
  </si>
  <si>
    <t>DETEKSI AKP &amp; BBC</t>
  </si>
  <si>
    <t>DETEKSI GRADING TPH</t>
  </si>
  <si>
    <t>Jumlah Pokok Sensus</t>
  </si>
  <si>
    <t>Persentase Serangan Tikus Lama</t>
  </si>
  <si>
    <t>Persentase Serangan Tikus Baru</t>
  </si>
  <si>
    <t>Jumlah Pokok Sampel</t>
  </si>
  <si>
    <t>Jumlah TBS Sensus</t>
  </si>
  <si>
    <t>% Serangan</t>
  </si>
  <si>
    <t>Total TBS</t>
  </si>
  <si>
    <t>SMP-1</t>
  </si>
  <si>
    <t>KEBUN 1</t>
  </si>
  <si>
    <t>TOTAL KEBUN</t>
  </si>
  <si>
    <t>A37a</t>
  </si>
  <si>
    <t>A38a</t>
  </si>
  <si>
    <t>A39a</t>
  </si>
  <si>
    <t>A40a</t>
  </si>
  <si>
    <t>A41a</t>
  </si>
  <si>
    <t>A42a</t>
  </si>
  <si>
    <t>A43a</t>
  </si>
  <si>
    <t>A44a</t>
  </si>
  <si>
    <t>A45a</t>
  </si>
  <si>
    <t>A46a</t>
  </si>
  <si>
    <t>B37a</t>
  </si>
  <si>
    <t>B38a</t>
  </si>
  <si>
    <t>B39a</t>
  </si>
  <si>
    <t>B40a</t>
  </si>
  <si>
    <t>B41a</t>
  </si>
  <si>
    <t>B42a</t>
  </si>
  <si>
    <t>B43a</t>
  </si>
  <si>
    <t>B44a</t>
  </si>
  <si>
    <t>B45a</t>
  </si>
  <si>
    <t>C36a</t>
  </si>
  <si>
    <t>C37a</t>
  </si>
  <si>
    <t>C38a</t>
  </si>
  <si>
    <t>C39a</t>
  </si>
  <si>
    <t>C40a</t>
  </si>
  <si>
    <t>C41a</t>
  </si>
  <si>
    <t>C42a</t>
  </si>
  <si>
    <t>C43a</t>
  </si>
  <si>
    <t>C44a</t>
  </si>
  <si>
    <t>C45a</t>
  </si>
  <si>
    <t>D33a</t>
  </si>
  <si>
    <t>D34a</t>
  </si>
  <si>
    <t>D35a</t>
  </si>
  <si>
    <t>D36a</t>
  </si>
  <si>
    <t>D37a</t>
  </si>
  <si>
    <t>D38a</t>
  </si>
  <si>
    <t>D39a</t>
  </si>
  <si>
    <t>D40a</t>
  </si>
  <si>
    <t>D41a</t>
  </si>
  <si>
    <t>E31a</t>
  </si>
  <si>
    <t>E32a</t>
  </si>
  <si>
    <t>E33a</t>
  </si>
  <si>
    <t>E34a</t>
  </si>
  <si>
    <t>E35a</t>
  </si>
  <si>
    <t>E36a</t>
  </si>
  <si>
    <t>E37a</t>
  </si>
  <si>
    <t>E38a</t>
  </si>
  <si>
    <t>E39a</t>
  </si>
  <si>
    <t>E40a</t>
  </si>
  <si>
    <t>E41a</t>
  </si>
  <si>
    <t>F31a</t>
  </si>
  <si>
    <t>F32a</t>
  </si>
  <si>
    <t>F33a</t>
  </si>
  <si>
    <t>F34a</t>
  </si>
  <si>
    <t>F35a</t>
  </si>
  <si>
    <t>F36a</t>
  </si>
  <si>
    <t>F37a</t>
  </si>
  <si>
    <t>F38a</t>
  </si>
  <si>
    <t>G26a</t>
  </si>
  <si>
    <t>G27a</t>
  </si>
  <si>
    <t>G28a</t>
  </si>
  <si>
    <t>G29a</t>
  </si>
  <si>
    <t>G30a</t>
  </si>
  <si>
    <t>G31a</t>
  </si>
  <si>
    <t>G32a</t>
  </si>
  <si>
    <t>G33a</t>
  </si>
  <si>
    <t>G34a</t>
  </si>
  <si>
    <t>G35a</t>
  </si>
  <si>
    <t>G36a</t>
  </si>
  <si>
    <t>G37a</t>
  </si>
  <si>
    <t>G38a</t>
  </si>
  <si>
    <t>H26a</t>
  </si>
  <si>
    <t>H27a</t>
  </si>
  <si>
    <t>H28a</t>
  </si>
  <si>
    <t>H29a</t>
  </si>
  <si>
    <t>H30a</t>
  </si>
  <si>
    <t>H31a</t>
  </si>
  <si>
    <t>H32a</t>
  </si>
  <si>
    <t>H33a</t>
  </si>
  <si>
    <t>H35a</t>
  </si>
  <si>
    <t>H36a</t>
  </si>
  <si>
    <t>I25a</t>
  </si>
  <si>
    <t>I26a</t>
  </si>
  <si>
    <t>I27a</t>
  </si>
  <si>
    <t>I28a</t>
  </si>
  <si>
    <t>I29a</t>
  </si>
  <si>
    <t>I32a</t>
  </si>
  <si>
    <t>G22a</t>
  </si>
  <si>
    <t>G23a</t>
  </si>
  <si>
    <t>G24a</t>
  </si>
  <si>
    <t>G25a</t>
  </si>
  <si>
    <t>H16a</t>
  </si>
  <si>
    <t>H19a</t>
  </si>
  <si>
    <t>H20a</t>
  </si>
  <si>
    <t>H21a</t>
  </si>
  <si>
    <t>H22a</t>
  </si>
  <si>
    <t>H23a</t>
  </si>
  <si>
    <t>H24a</t>
  </si>
  <si>
    <t>I16a</t>
  </si>
  <si>
    <t>I17a</t>
  </si>
  <si>
    <t>I18a</t>
  </si>
  <si>
    <t>I20a</t>
  </si>
  <si>
    <t>I21a</t>
  </si>
  <si>
    <t>I22a</t>
  </si>
  <si>
    <t>I23a</t>
  </si>
  <si>
    <t>I24a</t>
  </si>
  <si>
    <t>J16a</t>
  </si>
  <si>
    <t>J17a</t>
  </si>
  <si>
    <t>J18a</t>
  </si>
  <si>
    <t>J19a</t>
  </si>
  <si>
    <t>J20a</t>
  </si>
  <si>
    <t>J21a</t>
  </si>
  <si>
    <t>J22a</t>
  </si>
  <si>
    <t>J23a</t>
  </si>
  <si>
    <t>J24a</t>
  </si>
  <si>
    <t>G16a</t>
  </si>
  <si>
    <t>G18a</t>
  </si>
  <si>
    <t>G19a</t>
  </si>
  <si>
    <t>G20a</t>
  </si>
  <si>
    <t>G21a</t>
  </si>
  <si>
    <t>H01a</t>
  </si>
  <si>
    <t>H02a</t>
  </si>
  <si>
    <t>H03a</t>
  </si>
  <si>
    <t>H04A</t>
  </si>
  <si>
    <t>H05a</t>
  </si>
  <si>
    <t>H06a</t>
  </si>
  <si>
    <t>H07a</t>
  </si>
  <si>
    <t>H08A</t>
  </si>
  <si>
    <t>H09a</t>
  </si>
  <si>
    <t>H10a</t>
  </si>
  <si>
    <t>H11a</t>
  </si>
  <si>
    <t>H12a</t>
  </si>
  <si>
    <t>H13a</t>
  </si>
  <si>
    <t>I05A</t>
  </si>
  <si>
    <t>I06a</t>
  </si>
  <si>
    <t>I07a</t>
  </si>
  <si>
    <t>I08a</t>
  </si>
  <si>
    <t>I09a</t>
  </si>
  <si>
    <t>I10a</t>
  </si>
  <si>
    <t>I11a</t>
  </si>
  <si>
    <t>I12a</t>
  </si>
  <si>
    <t>J09a</t>
  </si>
  <si>
    <t>J10a</t>
  </si>
  <si>
    <t>J11a</t>
  </si>
  <si>
    <t>J12a</t>
  </si>
  <si>
    <t>J13a</t>
  </si>
  <si>
    <t>J14a</t>
  </si>
  <si>
    <t>J15a</t>
  </si>
  <si>
    <t>K08a</t>
  </si>
  <si>
    <t>K09a</t>
  </si>
  <si>
    <t>K10a</t>
  </si>
  <si>
    <t>K11a</t>
  </si>
  <si>
    <t>K12a</t>
  </si>
  <si>
    <t>K13a</t>
  </si>
  <si>
    <t>K14a</t>
  </si>
  <si>
    <t>K15a</t>
  </si>
  <si>
    <t>L09a</t>
  </si>
  <si>
    <t>L10a</t>
  </si>
  <si>
    <t>L11a</t>
  </si>
  <si>
    <t>L12a</t>
  </si>
  <si>
    <t>L13a</t>
  </si>
  <si>
    <t>L14a</t>
  </si>
  <si>
    <t>L15a</t>
  </si>
  <si>
    <t>M10a</t>
  </si>
  <si>
    <t>M11a</t>
  </si>
  <si>
    <t>M12a</t>
  </si>
  <si>
    <t>M13a</t>
  </si>
  <si>
    <t>M14a</t>
  </si>
  <si>
    <t>M15a</t>
  </si>
  <si>
    <t>M16a</t>
  </si>
  <si>
    <t>M17a</t>
  </si>
  <si>
    <t>M18a</t>
  </si>
  <si>
    <t>N10a</t>
  </si>
  <si>
    <t>N11a</t>
  </si>
  <si>
    <t>N12a</t>
  </si>
  <si>
    <t>N13a</t>
  </si>
  <si>
    <t>N14a</t>
  </si>
  <si>
    <t>N15a</t>
  </si>
  <si>
    <t>N16a</t>
  </si>
  <si>
    <t>N17a</t>
  </si>
  <si>
    <t>N18a</t>
  </si>
  <si>
    <t>O12a</t>
  </si>
  <si>
    <t>O13a</t>
  </si>
  <si>
    <t>O14a</t>
  </si>
  <si>
    <t>O15a</t>
  </si>
  <si>
    <t>O16a</t>
  </si>
  <si>
    <t>O17a</t>
  </si>
  <si>
    <t>O18a</t>
  </si>
  <si>
    <t>P12a</t>
  </si>
  <si>
    <t>P13a</t>
  </si>
  <si>
    <t>P14a</t>
  </si>
  <si>
    <t>P15a</t>
  </si>
  <si>
    <t>P16a</t>
  </si>
  <si>
    <t>Q16a</t>
  </si>
  <si>
    <t>R12a</t>
  </si>
  <si>
    <t>A59a</t>
  </si>
  <si>
    <t>B53a</t>
  </si>
  <si>
    <t>B54a</t>
  </si>
  <si>
    <t>B55a</t>
  </si>
  <si>
    <t>B56a</t>
  </si>
  <si>
    <t>B57a</t>
  </si>
  <si>
    <t>B58a</t>
  </si>
  <si>
    <t>B59a</t>
  </si>
  <si>
    <t>B60a</t>
  </si>
  <si>
    <t>B61a</t>
  </si>
  <si>
    <t>B62a</t>
  </si>
  <si>
    <t>B63a</t>
  </si>
  <si>
    <t>B64a</t>
  </si>
  <si>
    <t>C54a</t>
  </si>
  <si>
    <t>C55a</t>
  </si>
  <si>
    <t>C56a</t>
  </si>
  <si>
    <t>C57a</t>
  </si>
  <si>
    <t>C58a</t>
  </si>
  <si>
    <t>C59a</t>
  </si>
  <si>
    <t>C60a</t>
  </si>
  <si>
    <t>C61a</t>
  </si>
  <si>
    <t>C62a</t>
  </si>
  <si>
    <t>C63a</t>
  </si>
  <si>
    <t>C64a</t>
  </si>
  <si>
    <t>C65a</t>
  </si>
  <si>
    <t>C66a</t>
  </si>
  <si>
    <t>C67a</t>
  </si>
  <si>
    <t>C68a</t>
  </si>
  <si>
    <t>C69a</t>
  </si>
  <si>
    <t>C70a</t>
  </si>
  <si>
    <t>C71a</t>
  </si>
  <si>
    <t>C72a</t>
  </si>
  <si>
    <t>C73a</t>
  </si>
  <si>
    <t>D62a</t>
  </si>
  <si>
    <t>D63a</t>
  </si>
  <si>
    <t>D64a</t>
  </si>
  <si>
    <t>D65a</t>
  </si>
  <si>
    <t>D66a</t>
  </si>
  <si>
    <t>D67a</t>
  </si>
  <si>
    <t>D68a</t>
  </si>
  <si>
    <t>D69a</t>
  </si>
  <si>
    <t>D70a</t>
  </si>
  <si>
    <t>D71a</t>
  </si>
  <si>
    <t>D72a</t>
  </si>
  <si>
    <t>D73a</t>
  </si>
  <si>
    <t>D74a</t>
  </si>
  <si>
    <t>D75a</t>
  </si>
  <si>
    <t>E67a</t>
  </si>
  <si>
    <t>E68a</t>
  </si>
  <si>
    <t>E69a</t>
  </si>
  <si>
    <t>E70a</t>
  </si>
  <si>
    <t>E71a</t>
  </si>
  <si>
    <t>E72a</t>
  </si>
  <si>
    <t>E73a</t>
  </si>
  <si>
    <t>E74a</t>
  </si>
  <si>
    <t>E75a</t>
  </si>
  <si>
    <t>E76a</t>
  </si>
  <si>
    <t>F65a</t>
  </si>
  <si>
    <t>F66a</t>
  </si>
  <si>
    <t>F67a</t>
  </si>
  <si>
    <t>F68a</t>
  </si>
  <si>
    <t>F69a</t>
  </si>
  <si>
    <t>F70a</t>
  </si>
  <si>
    <t>F71a</t>
  </si>
  <si>
    <t>F72a</t>
  </si>
  <si>
    <t>F73a</t>
  </si>
  <si>
    <t>F74a</t>
  </si>
  <si>
    <t>F75a</t>
  </si>
  <si>
    <t>G73a</t>
  </si>
  <si>
    <t>G74a</t>
  </si>
  <si>
    <t>H74a</t>
  </si>
  <si>
    <t>H75a</t>
  </si>
  <si>
    <t>H76a</t>
  </si>
  <si>
    <t>I72a</t>
  </si>
  <si>
    <t>I73a</t>
  </si>
  <si>
    <t>J72a</t>
  </si>
  <si>
    <t>J73a</t>
  </si>
  <si>
    <t>J74a</t>
  </si>
  <si>
    <t>K73a</t>
  </si>
  <si>
    <t>K74a</t>
  </si>
  <si>
    <t>K75a</t>
  </si>
  <si>
    <t>K76a</t>
  </si>
  <si>
    <t>K77a</t>
  </si>
  <si>
    <t>K78a</t>
  </si>
  <si>
    <t>K79a</t>
  </si>
  <si>
    <t>H73a</t>
  </si>
  <si>
    <t>I69a</t>
  </si>
  <si>
    <t>I70a</t>
  </si>
  <si>
    <t>I71a</t>
  </si>
  <si>
    <t>J67a</t>
  </si>
  <si>
    <t>J68a</t>
  </si>
  <si>
    <t>J69a</t>
  </si>
  <si>
    <t>J70a</t>
  </si>
  <si>
    <t>J71a</t>
  </si>
  <si>
    <t>K65a</t>
  </si>
  <si>
    <t>K66a</t>
  </si>
  <si>
    <t>K67a</t>
  </si>
  <si>
    <t>K68a</t>
  </si>
  <si>
    <t>K69a</t>
  </si>
  <si>
    <t>K70a</t>
  </si>
  <si>
    <t>K71a</t>
  </si>
  <si>
    <t>K72a</t>
  </si>
  <si>
    <t>G67a</t>
  </si>
  <si>
    <t>G68a</t>
  </si>
  <si>
    <t>G69a</t>
  </si>
  <si>
    <t>I61a</t>
  </si>
  <si>
    <t>I62a</t>
  </si>
  <si>
    <t>I63a</t>
  </si>
  <si>
    <t>I64a</t>
  </si>
  <si>
    <t>I65a</t>
  </si>
  <si>
    <t>I66a</t>
  </si>
  <si>
    <t>I67a</t>
  </si>
  <si>
    <t>J60a</t>
  </si>
  <si>
    <t>J61a</t>
  </si>
  <si>
    <t>J62a</t>
  </si>
  <si>
    <t>J63a</t>
  </si>
  <si>
    <t>J64a</t>
  </si>
  <si>
    <t>J65a</t>
  </si>
  <si>
    <t>J66a</t>
  </si>
  <si>
    <t>K59a</t>
  </si>
  <si>
    <t>K60a</t>
  </si>
  <si>
    <t>K61a</t>
  </si>
  <si>
    <t>K62a</t>
  </si>
  <si>
    <t>K63a</t>
  </si>
  <si>
    <t>K64a</t>
  </si>
  <si>
    <t>D58a</t>
  </si>
  <si>
    <t>D59a</t>
  </si>
  <si>
    <t>D60a</t>
  </si>
  <si>
    <t>D61a</t>
  </si>
  <si>
    <t>E63a</t>
  </si>
  <si>
    <t>E64a</t>
  </si>
  <si>
    <t>E65a</t>
  </si>
  <si>
    <t>E66a</t>
  </si>
  <si>
    <t>F62a</t>
  </si>
  <si>
    <t>F63a</t>
  </si>
  <si>
    <t>F64a</t>
  </si>
  <si>
    <t>G72a</t>
  </si>
  <si>
    <t>H72a</t>
  </si>
  <si>
    <t>B52a</t>
  </si>
  <si>
    <t>C51a</t>
  </si>
  <si>
    <t>C52a</t>
  </si>
  <si>
    <t>C53a</t>
  </si>
  <si>
    <t>D50a</t>
  </si>
  <si>
    <t>D51a</t>
  </si>
  <si>
    <t>D52a</t>
  </si>
  <si>
    <t>D53a</t>
  </si>
  <si>
    <t>D54a</t>
  </si>
  <si>
    <t>D55a</t>
  </si>
  <si>
    <t>D56a</t>
  </si>
  <si>
    <t>D57a</t>
  </si>
  <si>
    <t>E56a</t>
  </si>
  <si>
    <t>E57a</t>
  </si>
  <si>
    <t>E58a</t>
  </si>
  <si>
    <t>E59a</t>
  </si>
  <si>
    <t>E60a</t>
  </si>
  <si>
    <t>E61a</t>
  </si>
  <si>
    <t>E62a</t>
  </si>
  <si>
    <t>D47a</t>
  </si>
  <si>
    <t>D48a</t>
  </si>
  <si>
    <t>D49a</t>
  </si>
  <si>
    <t>E53a</t>
  </si>
  <si>
    <t>E54a</t>
  </si>
  <si>
    <t>E55a</t>
  </si>
  <si>
    <t>G58a</t>
  </si>
  <si>
    <t>G59a</t>
  </si>
  <si>
    <t>G60a</t>
  </si>
  <si>
    <t>C49a</t>
  </si>
  <si>
    <t>C50a</t>
  </si>
  <si>
    <t>D46a</t>
  </si>
  <si>
    <t>E48a</t>
  </si>
  <si>
    <t>E49a</t>
  </si>
  <si>
    <t>E50a</t>
  </si>
  <si>
    <t>E51a</t>
  </si>
  <si>
    <t>E52a</t>
  </si>
  <si>
    <t>F41a</t>
  </si>
  <si>
    <t>G61a</t>
  </si>
  <si>
    <t>H70a</t>
  </si>
  <si>
    <t>F42a</t>
  </si>
  <si>
    <t>F43a</t>
  </si>
  <si>
    <t>F44a</t>
  </si>
  <si>
    <t>F45a</t>
  </si>
  <si>
    <t>F46a</t>
  </si>
  <si>
    <t>F48a</t>
  </si>
  <si>
    <t>F49a</t>
  </si>
  <si>
    <t>G62a</t>
  </si>
  <si>
    <t>G63a</t>
  </si>
  <si>
    <t>G64a</t>
  </si>
  <si>
    <t>G65a</t>
  </si>
  <si>
    <t>G66a</t>
  </si>
  <si>
    <t>H58a</t>
  </si>
  <si>
    <t>H59a</t>
  </si>
  <si>
    <t>H60a</t>
  </si>
  <si>
    <t>H61a</t>
  </si>
  <si>
    <t>H62a</t>
  </si>
  <si>
    <t>H63a</t>
  </si>
  <si>
    <t>H64a</t>
  </si>
  <si>
    <t>H65a</t>
  </si>
  <si>
    <t>H66a</t>
  </si>
  <si>
    <t>H67a</t>
  </si>
  <si>
    <t>H68a</t>
  </si>
  <si>
    <t>H69a</t>
  </si>
  <si>
    <t>I51a</t>
  </si>
  <si>
    <t>I52a</t>
  </si>
  <si>
    <t>I53a</t>
  </si>
  <si>
    <t>I54a</t>
  </si>
  <si>
    <t>I55a</t>
  </si>
  <si>
    <t>I56a</t>
  </si>
  <si>
    <t>J54a</t>
  </si>
  <si>
    <t>J55a</t>
  </si>
  <si>
    <t>J56a</t>
  </si>
  <si>
    <t>J57a</t>
  </si>
  <si>
    <t>J58a</t>
  </si>
  <si>
    <t>J59a</t>
  </si>
  <si>
    <t>K53a</t>
  </si>
  <si>
    <t>K54a</t>
  </si>
  <si>
    <t>K55a</t>
  </si>
  <si>
    <t>K56a</t>
  </si>
  <si>
    <t>K57a</t>
  </si>
  <si>
    <t>K58a</t>
  </si>
  <si>
    <t>L41a</t>
  </si>
  <si>
    <t>L42a</t>
  </si>
  <si>
    <t>L43a</t>
  </si>
  <si>
    <t>L44a</t>
  </si>
  <si>
    <t>L45a</t>
  </si>
  <si>
    <t>L46a</t>
  </si>
  <si>
    <t>J48a</t>
  </si>
  <si>
    <t>J49a</t>
  </si>
  <si>
    <t>J50a</t>
  </si>
  <si>
    <t>J51a</t>
  </si>
  <si>
    <t>J52a</t>
  </si>
  <si>
    <t>J53a</t>
  </si>
  <si>
    <t>K45a</t>
  </si>
  <si>
    <t>K46a</t>
  </si>
  <si>
    <t>K47a</t>
  </si>
  <si>
    <t>K48a</t>
  </si>
  <si>
    <t>K49a</t>
  </si>
  <si>
    <t>K50a</t>
  </si>
  <si>
    <t>K51a</t>
  </si>
  <si>
    <t>K52a</t>
  </si>
  <si>
    <t>J44a</t>
  </si>
  <si>
    <t>J45a</t>
  </si>
  <si>
    <t>J46a</t>
  </si>
  <si>
    <t>J47a</t>
  </si>
  <si>
    <t>K41a</t>
  </si>
  <si>
    <t>K42a</t>
  </si>
  <si>
    <t>K44a</t>
  </si>
  <si>
    <t>F39a</t>
  </si>
  <si>
    <t>F40a</t>
  </si>
  <si>
    <t>G55a</t>
  </si>
  <si>
    <t>G56a</t>
  </si>
  <si>
    <t>G57a</t>
  </si>
  <si>
    <t>H54a</t>
  </si>
  <si>
    <t>H55a</t>
  </si>
  <si>
    <t>H56a</t>
  </si>
  <si>
    <t>H57a</t>
  </si>
  <si>
    <t>I46a</t>
  </si>
  <si>
    <t>I47a</t>
  </si>
  <si>
    <t>I48a</t>
  </si>
  <si>
    <t>I49a</t>
  </si>
  <si>
    <t>I50a</t>
  </si>
  <si>
    <t>G51a</t>
  </si>
  <si>
    <t>G52a</t>
  </si>
  <si>
    <t>G53a</t>
  </si>
  <si>
    <t>G54a</t>
  </si>
  <si>
    <t>H51a</t>
  </si>
  <si>
    <t>H52a</t>
  </si>
  <si>
    <t>H53a</t>
  </si>
  <si>
    <t>I43a</t>
  </si>
  <si>
    <t>I45a</t>
  </si>
  <si>
    <t>SMP-2</t>
  </si>
  <si>
    <t>Mineral</t>
  </si>
  <si>
    <t>SMP</t>
  </si>
  <si>
    <t>Grading TPH</t>
  </si>
  <si>
    <t>Jumlah TBS</t>
  </si>
  <si>
    <t>TBS Terserang (Baru)</t>
  </si>
  <si>
    <t>Total Ha</t>
  </si>
  <si>
    <t>Total Ha Blok Sensus</t>
  </si>
  <si>
    <t>Total Blok Deteksi</t>
  </si>
  <si>
    <t>Total Ha Blok Deteksi</t>
  </si>
  <si>
    <t>Detail Hasil Sensus Pokok 
(10%)</t>
  </si>
  <si>
    <t>E28a</t>
  </si>
  <si>
    <t>E29a</t>
  </si>
  <si>
    <t>E30a</t>
  </si>
  <si>
    <t>F24a</t>
  </si>
  <si>
    <t>F25a</t>
  </si>
  <si>
    <t>F26a</t>
  </si>
  <si>
    <t>H34a</t>
  </si>
  <si>
    <t>H37a</t>
  </si>
  <si>
    <t>I30a</t>
  </si>
  <si>
    <t>I31a</t>
  </si>
  <si>
    <t>J32a</t>
  </si>
  <si>
    <t>J33a</t>
  </si>
  <si>
    <t>K38a</t>
  </si>
  <si>
    <t>K39a</t>
  </si>
  <si>
    <t>K37a</t>
  </si>
  <si>
    <t>A24a</t>
  </si>
  <si>
    <t>A25a</t>
  </si>
  <si>
    <t>A26a</t>
  </si>
  <si>
    <t>B25a</t>
  </si>
  <si>
    <t>B26a</t>
  </si>
  <si>
    <t>B27a</t>
  </si>
  <si>
    <t>B28a</t>
  </si>
  <si>
    <t>B29a</t>
  </si>
  <si>
    <t>C23a</t>
  </si>
  <si>
    <t>C25a</t>
  </si>
  <si>
    <t>C26a</t>
  </si>
  <si>
    <t>D22a</t>
  </si>
  <si>
    <t>D23a</t>
  </si>
  <si>
    <t>D24a</t>
  </si>
  <si>
    <t>J08a</t>
  </si>
  <si>
    <t>K30a</t>
  </si>
  <si>
    <t>M07a</t>
  </si>
  <si>
    <t>M08a</t>
  </si>
  <si>
    <t>M09a</t>
  </si>
  <si>
    <t>K06a</t>
  </si>
  <si>
    <t>K07a</t>
  </si>
  <si>
    <t>F11a</t>
  </si>
  <si>
    <t>G09a</t>
  </si>
  <si>
    <t>G10a</t>
  </si>
  <si>
    <t>G11a</t>
  </si>
  <si>
    <t>G12a</t>
  </si>
  <si>
    <t>H08a</t>
  </si>
  <si>
    <t>K04a</t>
  </si>
  <si>
    <t>F13a</t>
  </si>
  <si>
    <t>F14a</t>
  </si>
  <si>
    <t>G13a</t>
  </si>
  <si>
    <t>E24a</t>
  </si>
  <si>
    <t>F15a</t>
  </si>
  <si>
    <t>F16a</t>
  </si>
  <si>
    <t>F17a</t>
  </si>
  <si>
    <t>A27a</t>
  </si>
  <si>
    <t>B30a</t>
  </si>
  <si>
    <t>A28a</t>
  </si>
  <si>
    <t>A29a</t>
  </si>
  <si>
    <t>A30a</t>
  </si>
  <si>
    <t>B31a</t>
  </si>
  <si>
    <t>B32a</t>
  </si>
  <si>
    <t>B33a</t>
  </si>
  <si>
    <t>C28a</t>
  </si>
  <si>
    <t>C31a</t>
  </si>
  <si>
    <t>D28a</t>
  </si>
  <si>
    <t>D32a</t>
  </si>
  <si>
    <t>F19a</t>
  </si>
  <si>
    <t>A33a</t>
  </si>
  <si>
    <t>B34a</t>
  </si>
  <si>
    <t>C33a</t>
  </si>
  <si>
    <t>C34a</t>
  </si>
  <si>
    <t>E27a</t>
  </si>
  <si>
    <t>F20a</t>
  </si>
  <si>
    <t>F21a</t>
  </si>
  <si>
    <t>F22a</t>
  </si>
  <si>
    <t>MKSK</t>
  </si>
  <si>
    <t>A34a</t>
  </si>
  <si>
    <t>Gambut</t>
  </si>
  <si>
    <t>A35a</t>
  </si>
  <si>
    <t>D25a</t>
  </si>
  <si>
    <t>D27a</t>
  </si>
  <si>
    <t>E26a</t>
  </si>
  <si>
    <t>D18a</t>
  </si>
  <si>
    <t>D19a</t>
  </si>
  <si>
    <t>D20a</t>
  </si>
  <si>
    <t>E22a</t>
  </si>
  <si>
    <t>E23a</t>
  </si>
  <si>
    <t>Pasir</t>
  </si>
  <si>
    <t>L08a</t>
  </si>
  <si>
    <t>M05a</t>
  </si>
  <si>
    <t>M06a</t>
  </si>
  <si>
    <t>N06a</t>
  </si>
  <si>
    <t>N04a</t>
  </si>
  <si>
    <t>N05a</t>
  </si>
  <si>
    <t>K01a</t>
  </si>
  <si>
    <t>K02a</t>
  </si>
  <si>
    <t>K03a</t>
  </si>
  <si>
    <t>L01a</t>
  </si>
  <si>
    <t>L02a</t>
  </si>
  <si>
    <t>L03a</t>
  </si>
  <si>
    <t>L04a</t>
  </si>
  <si>
    <t>L05a</t>
  </si>
  <si>
    <t>L06a</t>
  </si>
  <si>
    <t>L07a</t>
  </si>
  <si>
    <t>M01a</t>
  </si>
  <si>
    <t>M02a</t>
  </si>
  <si>
    <t>M03a</t>
  </si>
  <si>
    <t>M04a</t>
  </si>
  <si>
    <t>N02a</t>
  </si>
  <si>
    <t>N03a</t>
  </si>
  <si>
    <t>J03a</t>
  </si>
  <si>
    <t>J04a</t>
  </si>
  <si>
    <t>J05a</t>
  </si>
  <si>
    <t>D01a</t>
  </si>
  <si>
    <t>D02a</t>
  </si>
  <si>
    <t>E01a</t>
  </si>
  <si>
    <t>E02a</t>
  </si>
  <si>
    <t>F01a</t>
  </si>
  <si>
    <t>F02a</t>
  </si>
  <si>
    <t>F03a</t>
  </si>
  <si>
    <t>G01a</t>
  </si>
  <si>
    <t>G02a</t>
  </si>
  <si>
    <t>H04a</t>
  </si>
  <si>
    <t>I01a</t>
  </si>
  <si>
    <t>I02a</t>
  </si>
  <si>
    <t>I03a</t>
  </si>
  <si>
    <t>I04a</t>
  </si>
  <si>
    <t>I05a</t>
  </si>
  <si>
    <t>J01a</t>
  </si>
  <si>
    <t>J02a</t>
  </si>
  <si>
    <t>D03a</t>
  </si>
  <si>
    <t>D04a</t>
  </si>
  <si>
    <t>D05a</t>
  </si>
  <si>
    <t>D06a</t>
  </si>
  <si>
    <t>D07a</t>
  </si>
  <si>
    <t>E03a</t>
  </si>
  <si>
    <t>E04a</t>
  </si>
  <si>
    <t>E05a</t>
  </si>
  <si>
    <t>E06a</t>
  </si>
  <si>
    <t>E07a</t>
  </si>
  <si>
    <t>F04a</t>
  </si>
  <si>
    <t>F05a</t>
  </si>
  <si>
    <t>F06a</t>
  </si>
  <si>
    <t>F07a</t>
  </si>
  <si>
    <t>F08a</t>
  </si>
  <si>
    <t>F09a</t>
  </si>
  <si>
    <t>G03a</t>
  </si>
  <si>
    <t>G04a</t>
  </si>
  <si>
    <t>G05a</t>
  </si>
  <si>
    <t>G06a</t>
  </si>
  <si>
    <t>D08a</t>
  </si>
  <si>
    <t>D09a</t>
  </si>
  <si>
    <t>D10a</t>
  </si>
  <si>
    <t>D11a</t>
  </si>
  <si>
    <t>D12a</t>
  </si>
  <si>
    <t>D13a</t>
  </si>
  <si>
    <t>D14a</t>
  </si>
  <si>
    <t>E10a</t>
  </si>
  <si>
    <t>E11a</t>
  </si>
  <si>
    <t>E12a</t>
  </si>
  <si>
    <t>E13a</t>
  </si>
  <si>
    <t>E14a</t>
  </si>
  <si>
    <t>E15a</t>
  </si>
  <si>
    <t>E16a</t>
  </si>
  <si>
    <t>E17a</t>
  </si>
  <si>
    <t>F10a</t>
  </si>
  <si>
    <t>G07a</t>
  </si>
  <si>
    <t>G08a</t>
  </si>
  <si>
    <t>MKSS</t>
  </si>
  <si>
    <t>C17a</t>
  </si>
  <si>
    <t>C19a</t>
  </si>
  <si>
    <t>C20a</t>
  </si>
  <si>
    <t>E20a</t>
  </si>
  <si>
    <t>E18a</t>
  </si>
  <si>
    <t>E19a</t>
  </si>
  <si>
    <t>E21a</t>
  </si>
  <si>
    <t>C18a</t>
  </si>
  <si>
    <t>D17a</t>
  </si>
  <si>
    <t>C21a</t>
  </si>
  <si>
    <t>F23a</t>
  </si>
  <si>
    <t>P25a</t>
  </si>
  <si>
    <t>BKP</t>
  </si>
  <si>
    <t>Semayang</t>
  </si>
  <si>
    <t>Sei Goa</t>
  </si>
  <si>
    <t>M21a</t>
  </si>
  <si>
    <t>KCK</t>
  </si>
  <si>
    <t>N43b</t>
  </si>
  <si>
    <t>J43b</t>
  </si>
  <si>
    <t>Emperet</t>
  </si>
  <si>
    <t>I34a</t>
  </si>
  <si>
    <t>I40a</t>
  </si>
  <si>
    <t>Tokam</t>
  </si>
  <si>
    <t>N55a</t>
  </si>
  <si>
    <t>N57a</t>
  </si>
  <si>
    <t>N58a</t>
  </si>
  <si>
    <t>P56a</t>
  </si>
  <si>
    <t>P58a</t>
  </si>
  <si>
    <t>N56a</t>
  </si>
  <si>
    <t>O60a</t>
  </si>
  <si>
    <t>Q55a</t>
  </si>
  <si>
    <t>M55a</t>
  </si>
  <si>
    <t>O61a</t>
  </si>
  <si>
    <t>P57a</t>
  </si>
  <si>
    <t>Q54a</t>
  </si>
  <si>
    <t>O56a</t>
  </si>
  <si>
    <t>Muara Kayan</t>
  </si>
  <si>
    <t>Q62a</t>
  </si>
  <si>
    <t>S78a</t>
  </si>
  <si>
    <t>Q66a</t>
  </si>
  <si>
    <t>R82a</t>
  </si>
  <si>
    <t>Q68a</t>
  </si>
  <si>
    <t>Q69a</t>
  </si>
  <si>
    <t>Q64a</t>
  </si>
  <si>
    <t>Q65a</t>
  </si>
  <si>
    <t>Q67a</t>
  </si>
  <si>
    <t>Lomur</t>
  </si>
  <si>
    <t>S90a</t>
  </si>
  <si>
    <t>S93a</t>
  </si>
  <si>
    <t>R84a</t>
  </si>
  <si>
    <t>S83a</t>
  </si>
  <si>
    <t>S86a</t>
  </si>
  <si>
    <t>S88a</t>
  </si>
  <si>
    <t>S89a</t>
  </si>
  <si>
    <t>T85a</t>
  </si>
  <si>
    <t>PTLJ</t>
  </si>
  <si>
    <t>Q11a</t>
  </si>
  <si>
    <t>R10a</t>
  </si>
  <si>
    <t>R11a</t>
  </si>
  <si>
    <t>R13a</t>
  </si>
  <si>
    <t>R14a</t>
  </si>
  <si>
    <t>R15a</t>
  </si>
  <si>
    <t>R16a</t>
  </si>
  <si>
    <t>S14a</t>
  </si>
  <si>
    <t>S15a</t>
  </si>
  <si>
    <t>S16a</t>
  </si>
  <si>
    <t>T07a</t>
  </si>
  <si>
    <t>T08a</t>
  </si>
  <si>
    <t>T09a</t>
  </si>
  <si>
    <t>T10a</t>
  </si>
  <si>
    <t>T11a</t>
  </si>
  <si>
    <t>T12a</t>
  </si>
  <si>
    <t>T13a</t>
  </si>
  <si>
    <t>T14a</t>
  </si>
  <si>
    <t>T15a</t>
  </si>
  <si>
    <t>U05a</t>
  </si>
  <si>
    <t>U06a</t>
  </si>
  <si>
    <t>U07a</t>
  </si>
  <si>
    <t>U08a</t>
  </si>
  <si>
    <t>U09a</t>
  </si>
  <si>
    <t>R17a</t>
  </si>
  <si>
    <t>R18a</t>
  </si>
  <si>
    <t>R19a</t>
  </si>
  <si>
    <t>S17a</t>
  </si>
  <si>
    <t>S18a</t>
  </si>
  <si>
    <t>S19a</t>
  </si>
  <si>
    <t>S20a</t>
  </si>
  <si>
    <t>S21a</t>
  </si>
  <si>
    <t>S22a</t>
  </si>
  <si>
    <t>S23a</t>
  </si>
  <si>
    <t>S24a</t>
  </si>
  <si>
    <t>S25a</t>
  </si>
  <si>
    <t>T16a</t>
  </si>
  <si>
    <t>T17a</t>
  </si>
  <si>
    <t>T18a</t>
  </si>
  <si>
    <t>T19a</t>
  </si>
  <si>
    <t>T20a</t>
  </si>
  <si>
    <t>T21a</t>
  </si>
  <si>
    <t>T22a</t>
  </si>
  <si>
    <t>T23a</t>
  </si>
  <si>
    <t>T24a</t>
  </si>
  <si>
    <t>T25a</t>
  </si>
  <si>
    <t>Q10a</t>
  </si>
  <si>
    <t>Q12a</t>
  </si>
  <si>
    <t>Q13a</t>
  </si>
  <si>
    <t>Q14a</t>
  </si>
  <si>
    <t>Q15a</t>
  </si>
  <si>
    <t>R20a</t>
  </si>
  <si>
    <t>R21a</t>
  </si>
  <si>
    <t>R23a</t>
  </si>
  <si>
    <t>N59a</t>
  </si>
  <si>
    <t>R22a</t>
  </si>
  <si>
    <t>R24a</t>
  </si>
  <si>
    <t>S26a</t>
  </si>
  <si>
    <t>S27a</t>
  </si>
  <si>
    <t>S28a</t>
  </si>
  <si>
    <t>S29a</t>
  </si>
  <si>
    <t>S30a</t>
  </si>
  <si>
    <t>S31a</t>
  </si>
  <si>
    <t>T26a</t>
  </si>
  <si>
    <t>T27a</t>
  </si>
  <si>
    <t>T28a</t>
  </si>
  <si>
    <t>T29a</t>
  </si>
  <si>
    <t>T30a</t>
  </si>
  <si>
    <t>T31a</t>
  </si>
  <si>
    <t>Perlu Sensus</t>
  </si>
  <si>
    <t>Rekomendasi
R&amp;D</t>
  </si>
  <si>
    <t>Segera lakukan sensus 10%</t>
  </si>
  <si>
    <t>P48</t>
  </si>
  <si>
    <t>P51</t>
  </si>
  <si>
    <t>P52</t>
  </si>
  <si>
    <t>P53</t>
  </si>
  <si>
    <t>G48</t>
  </si>
  <si>
    <t>6 - 9 Mei 2026</t>
  </si>
  <si>
    <t>Tetap Deteksi</t>
  </si>
  <si>
    <t>Belum Deteksi</t>
  </si>
  <si>
    <t>Wil</t>
  </si>
  <si>
    <t>Keterangan</t>
  </si>
  <si>
    <t>Luasan Areal
(Ha)</t>
  </si>
  <si>
    <t>% Blok</t>
  </si>
  <si>
    <t>Luas
(Ha)</t>
  </si>
  <si>
    <t>Progress Kegiatan Deteksi dan Sensus Periode 4 - 9 Mei 2026</t>
  </si>
  <si>
    <t>Lakukan Sensus Full Blok (Deadline 16 Mei 2026)</t>
  </si>
  <si>
    <t>Kegiatan Sensus (10%)</t>
  </si>
  <si>
    <t>Kegiatan Deteksi (AKP/Grading TPH)</t>
  </si>
  <si>
    <t>Berat (&gt;5%)</t>
  </si>
  <si>
    <t>Sedang (&gt;5%)</t>
  </si>
  <si>
    <t>Ringan (&gt;5%)</t>
  </si>
  <si>
    <t>Kategori Serangan (Jumlah Blok)</t>
  </si>
  <si>
    <t>Total Blok Deteksi AKP</t>
  </si>
  <si>
    <t>Total Blok Deteksi Grading TPH</t>
  </si>
  <si>
    <t>Cek AKP + Grading TPH,
Sebanyak 37 blok 1,050.71 Ha (pengecekan AKP+Grading TPH)</t>
  </si>
  <si>
    <t>Cek AKP + Grading TPH,
Sebanyak 10 blok 314.08 Ha (pengecekan AKP+Grading TPH)</t>
  </si>
  <si>
    <t>- Cek AKP + Grading TPH,
Sebanyak 4 blok 118.98 Ha (pengecekan AKP+Grading TPH)
- Perlu dilakukan sensus (10%) pada 5 blok (Deadline 16 Mei 2026)</t>
  </si>
  <si>
    <t>- Perlu dilakukan sensus (10%) pada 1 blok (Deadline 16 Mei 2026)</t>
  </si>
  <si>
    <t>Keterangan &amp; Rekomendasi</t>
  </si>
  <si>
    <t>Tetap lakukan kegiatan campaign dengan interval aplikasi per round maks 7 Hari</t>
  </si>
  <si>
    <t>- Cek AKP + Grading TPH,
Sebanyak 36 blok 1,208.41 Ha (pengecekan AKP+Grading TPH)
- Tetap Lakukan Deteksi Setiap Minggunya pada seluruh Blok</t>
  </si>
  <si>
    <t>- Cek AKP + Grading TPH,
Sebanyak 20 blok 705.59 Ha (pengecekan AKP+Grading TPH)
- Perlu dilakukan sensus (10%) pada 22 blok (Deadline 16 Mei 2026)</t>
  </si>
  <si>
    <t>- Cek AKP + Grading TPH,
Sebanyak 21 blok 697.38 Ha (pengecekan AKP+Grading TPH)
- Perlu dilakukan sensus (10%) pada 15 blok (Deadline 16 Mei 2026)</t>
  </si>
  <si>
    <t>Perlu Pengendalian</t>
  </si>
  <si>
    <t>Belum Sensus</t>
  </si>
  <si>
    <t>SMP 1</t>
  </si>
  <si>
    <t>SMP 2</t>
  </si>
  <si>
    <t>PLTJ</t>
  </si>
  <si>
    <t>Total</t>
  </si>
  <si>
    <t>% Serangan Sensus</t>
  </si>
  <si>
    <t>% Serangan AKP</t>
  </si>
  <si>
    <t>% Serangan Grading</t>
  </si>
  <si>
    <t>Jumlah Blok Total</t>
  </si>
  <si>
    <t>11 - 16 Mei 2026</t>
  </si>
  <si>
    <t>Pesan Racun Full Blok (100%) Utk kebutuhan 5 Round, per Ha 1.70 kg/ha</t>
  </si>
  <si>
    <t>Pesan Racun 60% dari total blok utk kebutuhan 5 Round, per Ha 1.70 kg/ha</t>
  </si>
  <si>
    <t>Pesan Racun 30% dari total blok utk kebutuhan 5 Round, per Ha 1.70 kg/ha</t>
  </si>
  <si>
    <t>Deteksi dari kegiatan AKP
(2 - 4 Jalur)/Cek Grading TPH</t>
  </si>
  <si>
    <t>AKP + Grading TPH</t>
  </si>
  <si>
    <t>Pokok Sensus/TBS Sensus</t>
  </si>
  <si>
    <t>AKP/Grading TPH</t>
  </si>
  <si>
    <t>Jenis Racun</t>
  </si>
  <si>
    <t>Ratgone</t>
  </si>
  <si>
    <t>Klerat</t>
  </si>
  <si>
    <t>Pokok Terserang (Lama)</t>
  </si>
  <si>
    <t>AKP + Grading</t>
  </si>
  <si>
    <t>Pokok Sensus/TBS Sensus (%)</t>
  </si>
  <si>
    <t>Keterangan dan Rekomendasi</t>
  </si>
  <si>
    <t>Tetap Lakukan Deteksi per 2 minggu pada seluruh Blok</t>
  </si>
  <si>
    <r>
      <t xml:space="preserve">Dilakukan </t>
    </r>
    <r>
      <rPr>
        <i/>
        <sz val="11"/>
        <color theme="1"/>
        <rFont val="Century Gothic"/>
        <family val="2"/>
      </rPr>
      <t>campaign</t>
    </r>
    <r>
      <rPr>
        <sz val="11"/>
        <color theme="1"/>
        <rFont val="Century Gothic"/>
        <family val="2"/>
      </rPr>
      <t xml:space="preserve"> kembali</t>
    </r>
  </si>
  <si>
    <t>Campaign All Blok</t>
  </si>
  <si>
    <t>Pesan Racun Full Blok (100%) Utk kebutuhan 5 Round, per Ha 1.91 kg/ha (SPH 141)</t>
  </si>
  <si>
    <t>R1</t>
  </si>
  <si>
    <t>R2</t>
  </si>
  <si>
    <t>R3</t>
  </si>
  <si>
    <t>R4</t>
  </si>
  <si>
    <t>R5</t>
  </si>
  <si>
    <t>Pesan Racun Full Blok (100%) Utk kebutuhan 5 Round, per Ha 1.88 kg/ha (SPH 139)</t>
  </si>
  <si>
    <t>Tidak Perlu PR Tambahan sampai pengendalian 5 Round/Blok</t>
  </si>
  <si>
    <t>Racun Sudah PR
(kg)</t>
  </si>
  <si>
    <t>Racun Tersedia
(kg)</t>
  </si>
  <si>
    <t>Estimasi Kebutuhan Racun
(kg)</t>
  </si>
  <si>
    <t>Jenis Racun Tersedia</t>
  </si>
  <si>
    <t>Jenis Racun PR</t>
  </si>
  <si>
    <t>Ha</t>
  </si>
  <si>
    <t>Kebutuhan Racun</t>
  </si>
  <si>
    <t>Pesan Racun Full Blok (100%) Utk kebutuhan 5 Round, per Ha 1.69 kg/ha (SPH 125)</t>
  </si>
  <si>
    <t>Pesan Racun Full Blok (100%) Utk kebutuhan 5 Round, per Ha 1.77 kg/ha (SPH 131)</t>
  </si>
  <si>
    <t>Pesan Racun 10% dari total blok utk kebutuhan 5 Round, per Ha 1.40 kg/ha
(SPH Avg 102)</t>
  </si>
  <si>
    <r>
      <t xml:space="preserve">Lakukan pengendalian </t>
    </r>
    <r>
      <rPr>
        <b/>
        <i/>
        <sz val="16"/>
        <color rgb="FF0000FF"/>
        <rFont val="Century Gothic"/>
        <family val="2"/>
      </rPr>
      <t>campaign</t>
    </r>
    <r>
      <rPr>
        <b/>
        <sz val="16"/>
        <color rgb="FF0000FF"/>
        <rFont val="Century Gothic"/>
        <family val="2"/>
      </rPr>
      <t xml:space="preserve"> selektif pada 28 blok</t>
    </r>
  </si>
  <si>
    <t>Jumlah Blok Sensus</t>
  </si>
  <si>
    <t>Total Blok Deteksi yang Harus disensus</t>
  </si>
  <si>
    <t>Jumlah Blok Deteksi</t>
  </si>
  <si>
    <t>Jumlah Blok Deteksi
(%)</t>
  </si>
  <si>
    <t>Total Blok Deteksi yang Harus disensus (%)</t>
  </si>
  <si>
    <t>Jumlah Blok Terserang Sensus
&gt;5%</t>
  </si>
  <si>
    <t>% Jumlah Blok Terserang Sensus
&gt;5%</t>
  </si>
  <si>
    <t>Kedatangan Racun PR</t>
  </si>
  <si>
    <t>Deteksi 18-30 Mei</t>
  </si>
  <si>
    <t>Sisa Kedatangan PR</t>
  </si>
  <si>
    <t>Sisa Racun perlu PR
(kg)</t>
  </si>
  <si>
    <t xml:space="preserve"> </t>
  </si>
  <si>
    <t>Sudah pengantaran ke kebun dari kandir tgl 04.06.2026</t>
  </si>
  <si>
    <t>Racun akan dikirimkan di Minggu ke-II Juni 2026</t>
  </si>
  <si>
    <r>
      <t xml:space="preserve">Lakukan pengendalian </t>
    </r>
    <r>
      <rPr>
        <b/>
        <i/>
        <sz val="16"/>
        <color rgb="FF0000FF"/>
        <rFont val="Century Gothic"/>
        <family val="2"/>
      </rPr>
      <t>campaign</t>
    </r>
    <r>
      <rPr>
        <b/>
        <sz val="16"/>
        <color rgb="FF0000FF"/>
        <rFont val="Century Gothic"/>
        <family val="2"/>
      </rPr>
      <t xml:space="preserve"> selektif pada 18 blok</t>
    </r>
  </si>
  <si>
    <t>Total Blok Deteksi
(Jlh Blok)</t>
  </si>
  <si>
    <t>% Serangan Blok Deteksi
(%)</t>
  </si>
  <si>
    <t>Deteksi Serangan
Periode 6 - 16 Mei 2026</t>
  </si>
  <si>
    <t>Deteksi Serangan
Periode 18 - 30 Mei 2026</t>
  </si>
  <si>
    <t>Jlh Blok</t>
  </si>
  <si>
    <t>18-30 Mei</t>
  </si>
  <si>
    <t>Jumlah Kedangan Racun</t>
  </si>
  <si>
    <t>Tanggal Pengiriman Racun</t>
  </si>
  <si>
    <t>Luasan Pengendalian</t>
  </si>
  <si>
    <t>Total Rotasi Pengendalian</t>
  </si>
  <si>
    <t>Tanggal Pengendalian</t>
  </si>
  <si>
    <t>% Serangan Saat ini</t>
  </si>
  <si>
    <t>SMP I</t>
  </si>
  <si>
    <t>SMP II</t>
  </si>
  <si>
    <t>Sub Total LS I</t>
  </si>
  <si>
    <t>Sub Total LS II</t>
  </si>
  <si>
    <t>Total LS</t>
  </si>
  <si>
    <t>Total SMP</t>
  </si>
  <si>
    <t>Total MKSK</t>
  </si>
  <si>
    <t>Afdeling Pengendalian (Saat ini)</t>
  </si>
  <si>
    <t>3 - 4 rotasi</t>
  </si>
  <si>
    <t>4 rotasi</t>
  </si>
  <si>
    <t>1 rotasi</t>
  </si>
  <si>
    <t>1 - 3 rotasi</t>
  </si>
  <si>
    <t>1 - 4 rotasi</t>
  </si>
  <si>
    <t>2 - 3 rotasi</t>
  </si>
  <si>
    <t>Belum dilakukan pengecekan</t>
  </si>
  <si>
    <t>18 Mei - 5 Juni 2026</t>
  </si>
  <si>
    <t>% Serangan Awal (Sensus 10%)</t>
  </si>
  <si>
    <t>Tidak Terdapat Blok dengan serangan Tikus &gt;5% berdasarkan data deteksi</t>
  </si>
  <si>
    <t>Belum dilakukan Pengendalian (Racun akan datang di Minggu II/III Juni 2026)</t>
  </si>
  <si>
    <t>Mei 2026</t>
  </si>
  <si>
    <t>Juni 2026</t>
  </si>
  <si>
    <t>Mei - Juni 2026</t>
  </si>
  <si>
    <t>Deteksi 2-13 Jun</t>
  </si>
  <si>
    <t>Data Deteksi 2-13 Juni 2026</t>
  </si>
  <si>
    <t>Deteksi 2-13 Juni</t>
  </si>
  <si>
    <t>Deteksi Serangan
Periode 2 - 13 Juni 2026</t>
  </si>
  <si>
    <t>Keterangan (Update 13.06.2026)</t>
  </si>
  <si>
    <t>Racun sudah tiba di lokasi tanggal 17 Juni 2026</t>
  </si>
  <si>
    <t>Racun sudah tiba di lokasi tanggal 15 Juni 2026</t>
  </si>
  <si>
    <t>3 - 15 Juni 2026</t>
  </si>
  <si>
    <t>5 rotasi</t>
  </si>
  <si>
    <t>18 Mei - 11 Juni 2026</t>
  </si>
  <si>
    <t>2 - 5 rotasi</t>
  </si>
  <si>
    <t>18 Mei - 15 Juni 2026</t>
  </si>
  <si>
    <t>3 - 11 Juni 2026</t>
  </si>
  <si>
    <t>25 Mei - 15 Juni 2026</t>
  </si>
  <si>
    <t>2 - 4 rotasi</t>
  </si>
  <si>
    <t>Semayang, Sei Goa, KCK</t>
  </si>
  <si>
    <t>11 - 15 Juni 2026</t>
  </si>
  <si>
    <t>Pengendalian baru akan dilakukan di tgl 18 Juni 2026</t>
  </si>
  <si>
    <t>18 Mei - 9 Juni 2026</t>
  </si>
  <si>
    <t>20 Mei - 11 Juni 2026</t>
  </si>
  <si>
    <t>12 - 13 Juni 2026</t>
  </si>
  <si>
    <t>13 - 17 Juni 2026</t>
  </si>
  <si>
    <t>17 - 18 Juni 2026</t>
  </si>
  <si>
    <t>8 - 18 Juni 2026</t>
  </si>
  <si>
    <t>10 - 17 Juni 2026</t>
  </si>
  <si>
    <t>2 rotasi</t>
  </si>
  <si>
    <t>19 Mei - 9 Juni 2026</t>
  </si>
  <si>
    <t>20 Mei - 10 Juni 2026</t>
  </si>
  <si>
    <t>23 Mei - 17 Juni 2026</t>
  </si>
  <si>
    <t>19 Mei - 17 Juni 2026</t>
  </si>
  <si>
    <t>22 Mei - 18 Juni 2026</t>
  </si>
  <si>
    <t>29 Mei - 18 Juni 2026</t>
  </si>
  <si>
    <t>18 Mei - 17 Juni 2026</t>
  </si>
  <si>
    <t>8 - 17 Juni 2026</t>
  </si>
  <si>
    <t>19 Mei - 18 Juni 2026</t>
  </si>
  <si>
    <t>9 - 17 Juni 2026</t>
  </si>
  <si>
    <t>11 - 18 Juni 2026</t>
  </si>
  <si>
    <t>Racun sudah tiba di lokasi minggu keIII Juni 2026</t>
  </si>
  <si>
    <t>- Sudah pengantaran ke kebun dari kandir tgl 04.06.2026 sebanyak 12.500 kg.
- Sisa 4.500 kg sudah tiba di minggu III Juni 2026</t>
  </si>
  <si>
    <t>PR Racun Tambahan (Estimasi 3 round/campaign, 100%, 50%, dan 50%)</t>
  </si>
  <si>
    <t>PR Kebutuhan tusuk sate (per bungkus 15k, isi 1000 batang)</t>
  </si>
  <si>
    <t>Rp Tusuk Sate</t>
  </si>
  <si>
    <t>Rp Ratgone 
(Rp 32.486/kg)</t>
  </si>
  <si>
    <t>PR Kebutuhan cat Merah
(Estimasi 1 kg cat utk 35000 lidi)
Kg</t>
  </si>
  <si>
    <t>PR Kebutuhan cat Kuning
(Estimasi 1 kg cat utk 35000 lidi)
Kg</t>
  </si>
  <si>
    <t>PR Kebutuhan cat Putih
(Estimasi 1 kg cat utk 35000 lidi)
kg</t>
  </si>
  <si>
    <t>Deteksi 15-27 Jun</t>
  </si>
  <si>
    <t>2-27 Jun</t>
  </si>
  <si>
    <t>Deteksi 5 - 27 Juni</t>
  </si>
  <si>
    <t>Deteksi 5 - 27 Juni 2026</t>
  </si>
  <si>
    <r>
      <t xml:space="preserve">Tetap lakukan pengendalian </t>
    </r>
    <r>
      <rPr>
        <i/>
        <sz val="16"/>
        <color theme="1"/>
        <rFont val="Century Gothic"/>
        <family val="2"/>
      </rPr>
      <t>campaign</t>
    </r>
  </si>
  <si>
    <r>
      <t xml:space="preserve">Lakukan pengendalian </t>
    </r>
    <r>
      <rPr>
        <i/>
        <sz val="16"/>
        <rFont val="Century Gothic"/>
        <family val="2"/>
      </rPr>
      <t>campaign</t>
    </r>
    <r>
      <rPr>
        <sz val="16"/>
        <rFont val="Century Gothic"/>
        <family val="2"/>
      </rPr>
      <t xml:space="preserve"> (Full Block)</t>
    </r>
  </si>
  <si>
    <r>
      <t xml:space="preserve">Lakukan pengendalian </t>
    </r>
    <r>
      <rPr>
        <b/>
        <i/>
        <sz val="16"/>
        <color rgb="FF0000FF"/>
        <rFont val="Century Gothic"/>
        <family val="2"/>
      </rPr>
      <t>campaign</t>
    </r>
    <r>
      <rPr>
        <b/>
        <sz val="16"/>
        <color rgb="FF0000FF"/>
        <rFont val="Century Gothic"/>
        <family val="2"/>
      </rPr>
      <t xml:space="preserve"> selektif pada 23 blok</t>
    </r>
  </si>
  <si>
    <t>Estate I</t>
  </si>
  <si>
    <t>Estate II</t>
  </si>
  <si>
    <t>Luasan
(Ha)</t>
  </si>
  <si>
    <t>Kebutuhan Lidi
(panjang 10-15 cm)</t>
  </si>
  <si>
    <t>Kebutuhan Lidi
(panjang 10-15 cm)
Rotasi I</t>
  </si>
  <si>
    <t>Kebutuhan Lidi
(panjang 10-15 cm)
Rotasi II</t>
  </si>
  <si>
    <t>Kebutuhan Lidi
(panjang 10-15 cm)
Rotasi III</t>
  </si>
  <si>
    <t>Kebutuhan Lidi
(panjang 10-15 cm)
Rotasi IV</t>
  </si>
  <si>
    <t>Kebutuhan Lidi
(panjang 10-15 cm)
Rotasi V</t>
  </si>
  <si>
    <t>7 Rotasi</t>
  </si>
  <si>
    <t>3 Rotasi</t>
  </si>
  <si>
    <t>5 Rotasi</t>
  </si>
  <si>
    <t>Kebutuhan Lidi
(panjang 10-15 cm)
Rotasi VI</t>
  </si>
  <si>
    <t>Kebutuhan Lidi
(panjang 10-15 cm)
Rotasi VII</t>
  </si>
  <si>
    <t>Kebutuhan Racun
(kg)</t>
  </si>
  <si>
    <t>Klerat + Ratgone</t>
  </si>
  <si>
    <t>Ember Aplikasi</t>
  </si>
  <si>
    <t>Sarung Tangan Plastik
1 karyawan (2x ganti sehari)
1 Bungkus isi 100 pcs
(Bungkus)</t>
  </si>
  <si>
    <t>Pemenuhan Lidi (Option 2)
Beli Tusuk Sate
1 Pack dapat 2000 batang
Rp 7.5 per batang
(Pack)</t>
  </si>
  <si>
    <t>Alat Kerja</t>
  </si>
  <si>
    <t>Bahan</t>
  </si>
  <si>
    <t>Cat Merah
Rotasi I,IV,VII
(100%,40%,20%)
1 kg kaleng utk 35rb lidi
Kg</t>
  </si>
  <si>
    <t>Cat Kuning
Rotasi II,V
(80%,20%)
1 kg kaleng utk 35rb lidi
Kg</t>
  </si>
  <si>
    <t>Cat Putih
Rotasi III,VI
(60%,20%)
1 kg kaleng utk 35rb lidi
Kg</t>
  </si>
  <si>
    <t>Cat Merah
Rotasi I,IV,VII
(100%,0%,0%)
1 kg kaleng utk 35rb lidi
Kg</t>
  </si>
  <si>
    <t>Cat Kuning
Rotasi II,V
(50%,0%)
1 kg kaleng utk 35rb lidi
Kg</t>
  </si>
  <si>
    <t>Cat Putih
Rotasi III,VI
(50%,0%)
1 kg kaleng utk 35rb lidi
Kg</t>
  </si>
  <si>
    <t>4 Rotasi</t>
  </si>
  <si>
    <r>
      <t>Jumlah Rotasi Pengendalian
(</t>
    </r>
    <r>
      <rPr>
        <b/>
        <sz val="16"/>
        <color rgb="FFFF0000"/>
        <rFont val="Century Gothic"/>
        <family val="2"/>
      </rPr>
      <t>5 rotasi</t>
    </r>
    <r>
      <rPr>
        <b/>
        <sz val="16"/>
        <color theme="1"/>
        <rFont val="Century Gothic"/>
        <family val="2"/>
      </rPr>
      <t>)</t>
    </r>
  </si>
  <si>
    <r>
      <t>Ha Pengendalian per Hari
(</t>
    </r>
    <r>
      <rPr>
        <b/>
        <sz val="16"/>
        <color rgb="FFFF0000"/>
        <rFont val="Century Gothic"/>
        <family val="2"/>
      </rPr>
      <t>t</t>
    </r>
    <r>
      <rPr>
        <b/>
        <i/>
        <sz val="16"/>
        <color rgb="FFFF0000"/>
        <rFont val="Century Gothic"/>
        <family val="2"/>
      </rPr>
      <t>odate</t>
    </r>
    <r>
      <rPr>
        <b/>
        <sz val="16"/>
        <color rgb="FFFF0000"/>
        <rFont val="Century Gothic"/>
        <family val="2"/>
      </rPr>
      <t xml:space="preserve"> 15 Agustus 2026</t>
    </r>
    <r>
      <rPr>
        <b/>
        <sz val="16"/>
        <color theme="1"/>
        <rFont val="Century Gothic"/>
        <family val="2"/>
      </rPr>
      <t>)
40 Hari Kerja Efektif</t>
    </r>
  </si>
  <si>
    <r>
      <t>Kebutuhan TK/Hari
(</t>
    </r>
    <r>
      <rPr>
        <b/>
        <sz val="16"/>
        <color rgb="FFFF0000"/>
        <rFont val="Century Gothic"/>
        <family val="2"/>
      </rPr>
      <t>Output 7 Ha/HK</t>
    </r>
    <r>
      <rPr>
        <b/>
        <sz val="16"/>
        <color theme="1"/>
        <rFont val="Century Gothic"/>
        <family val="2"/>
      </rPr>
      <t>)</t>
    </r>
  </si>
  <si>
    <r>
      <t>Pemenuhan Lidi (Option 1)
TK Lidi/Hari
(</t>
    </r>
    <r>
      <rPr>
        <b/>
        <sz val="16"/>
        <color rgb="FFFF0000"/>
        <rFont val="Century Gothic"/>
        <family val="2"/>
      </rPr>
      <t>Output 4000 batang/TK</t>
    </r>
    <r>
      <rPr>
        <b/>
        <sz val="16"/>
        <color theme="1"/>
        <rFont val="Century Gothic"/>
        <family val="2"/>
      </rPr>
      <t>) Rotasi I-V</t>
    </r>
  </si>
  <si>
    <r>
      <t>TK Lidi
(</t>
    </r>
    <r>
      <rPr>
        <b/>
        <sz val="16"/>
        <color rgb="FFFF0000"/>
        <rFont val="Century Gothic"/>
        <family val="2"/>
      </rPr>
      <t>Output 4000 batang/TK</t>
    </r>
    <r>
      <rPr>
        <b/>
        <sz val="16"/>
        <color theme="1"/>
        <rFont val="Century Gothic"/>
        <family val="2"/>
      </rPr>
      <t>) Rotasi I</t>
    </r>
  </si>
  <si>
    <r>
      <t>TK Lidi
(</t>
    </r>
    <r>
      <rPr>
        <b/>
        <sz val="16"/>
        <color rgb="FFFF0000"/>
        <rFont val="Century Gothic"/>
        <family val="2"/>
      </rPr>
      <t>Output 4000 batang/TK</t>
    </r>
    <r>
      <rPr>
        <b/>
        <sz val="16"/>
        <color theme="1"/>
        <rFont val="Century Gothic"/>
        <family val="2"/>
      </rPr>
      <t>) Rotasi II</t>
    </r>
  </si>
  <si>
    <r>
      <t>TK Lidi
(</t>
    </r>
    <r>
      <rPr>
        <b/>
        <sz val="16"/>
        <color rgb="FFFF0000"/>
        <rFont val="Century Gothic"/>
        <family val="2"/>
      </rPr>
      <t>Output 4000 batang/TK</t>
    </r>
    <r>
      <rPr>
        <b/>
        <sz val="16"/>
        <color theme="1"/>
        <rFont val="Century Gothic"/>
        <family val="2"/>
      </rPr>
      <t>) Rotasi III</t>
    </r>
  </si>
  <si>
    <r>
      <t>TK Lidi
(</t>
    </r>
    <r>
      <rPr>
        <b/>
        <sz val="16"/>
        <color rgb="FFFF0000"/>
        <rFont val="Century Gothic"/>
        <family val="2"/>
      </rPr>
      <t>Output 4000 batang/TK</t>
    </r>
    <r>
      <rPr>
        <b/>
        <sz val="16"/>
        <color theme="1"/>
        <rFont val="Century Gothic"/>
        <family val="2"/>
      </rPr>
      <t>) Rotasi IV</t>
    </r>
  </si>
  <si>
    <r>
      <t>TK Lidi
(</t>
    </r>
    <r>
      <rPr>
        <b/>
        <sz val="16"/>
        <color rgb="FFFF0000"/>
        <rFont val="Century Gothic"/>
        <family val="2"/>
      </rPr>
      <t>Output 4000 batang/TK</t>
    </r>
    <r>
      <rPr>
        <b/>
        <sz val="16"/>
        <color theme="1"/>
        <rFont val="Century Gothic"/>
        <family val="2"/>
      </rPr>
      <t>) Rotasi V</t>
    </r>
  </si>
  <si>
    <r>
      <t>TK Lidi
(</t>
    </r>
    <r>
      <rPr>
        <b/>
        <sz val="16"/>
        <color rgb="FFFF0000"/>
        <rFont val="Century Gothic"/>
        <family val="2"/>
      </rPr>
      <t>Output 4000 batang/TK</t>
    </r>
    <r>
      <rPr>
        <b/>
        <sz val="16"/>
        <color theme="1"/>
        <rFont val="Century Gothic"/>
        <family val="2"/>
      </rPr>
      <t>) Rotasi VI</t>
    </r>
  </si>
  <si>
    <r>
      <t>TK Lidi
(</t>
    </r>
    <r>
      <rPr>
        <b/>
        <sz val="16"/>
        <color rgb="FFFF0000"/>
        <rFont val="Century Gothic"/>
        <family val="2"/>
      </rPr>
      <t>Output 4000 batang/TK</t>
    </r>
    <r>
      <rPr>
        <b/>
        <sz val="16"/>
        <color theme="1"/>
        <rFont val="Century Gothic"/>
        <family val="2"/>
      </rPr>
      <t>) Rotasi VII</t>
    </r>
  </si>
  <si>
    <r>
      <t>Jumlah Rotasi Pengendalian
(</t>
    </r>
    <r>
      <rPr>
        <b/>
        <sz val="16"/>
        <color rgb="FFFF0000"/>
        <rFont val="Century Gothic"/>
        <family val="2"/>
      </rPr>
      <t>3 rotasi</t>
    </r>
    <r>
      <rPr>
        <b/>
        <sz val="16"/>
        <color theme="1"/>
        <rFont val="Century Gothic"/>
        <family val="2"/>
      </rPr>
      <t>)</t>
    </r>
  </si>
  <si>
    <r>
      <t>Ha Pengendalian per Hari
(</t>
    </r>
    <r>
      <rPr>
        <b/>
        <sz val="16"/>
        <color rgb="FFFF0000"/>
        <rFont val="Century Gothic"/>
        <family val="2"/>
      </rPr>
      <t>t</t>
    </r>
    <r>
      <rPr>
        <b/>
        <i/>
        <sz val="16"/>
        <color rgb="FFFF0000"/>
        <rFont val="Century Gothic"/>
        <family val="2"/>
      </rPr>
      <t>odate</t>
    </r>
    <r>
      <rPr>
        <b/>
        <sz val="16"/>
        <color rgb="FFFF0000"/>
        <rFont val="Century Gothic"/>
        <family val="2"/>
      </rPr>
      <t xml:space="preserve"> 15 Agustus 2026</t>
    </r>
    <r>
      <rPr>
        <b/>
        <sz val="16"/>
        <color theme="1"/>
        <rFont val="Century Gothic"/>
        <family val="2"/>
      </rPr>
      <t>)
13 Hari Kerja Efektif</t>
    </r>
  </si>
  <si>
    <r>
      <t>Jumlah Rotasi Pengendalian
(</t>
    </r>
    <r>
      <rPr>
        <b/>
        <sz val="16"/>
        <color rgb="FFFF0000"/>
        <rFont val="Century Gothic"/>
        <family val="2"/>
      </rPr>
      <t>3-5 rotasi</t>
    </r>
    <r>
      <rPr>
        <b/>
        <sz val="16"/>
        <color theme="1"/>
        <rFont val="Century Gothic"/>
        <family val="2"/>
      </rPr>
      <t>)</t>
    </r>
  </si>
  <si>
    <r>
      <t>Jumlah Rotasi Pengendalian
(</t>
    </r>
    <r>
      <rPr>
        <b/>
        <sz val="16"/>
        <color rgb="FFFF0000"/>
        <rFont val="Century Gothic"/>
        <family val="2"/>
      </rPr>
      <t>3-7 rotasi</t>
    </r>
    <r>
      <rPr>
        <b/>
        <sz val="16"/>
        <color theme="1"/>
        <rFont val="Century Gothic"/>
        <family val="2"/>
      </rPr>
      <t>)</t>
    </r>
  </si>
  <si>
    <r>
      <t xml:space="preserve">Kebutuhan Racun </t>
    </r>
    <r>
      <rPr>
        <b/>
        <sz val="16"/>
        <color rgb="FFFF0000"/>
        <rFont val="Century Gothic"/>
        <family val="2"/>
      </rPr>
      <t>Rotasi I</t>
    </r>
  </si>
  <si>
    <r>
      <t xml:space="preserve">Kebutuhan Racun </t>
    </r>
    <r>
      <rPr>
        <b/>
        <sz val="16"/>
        <color rgb="FFFF0000"/>
        <rFont val="Century Gothic"/>
        <family val="2"/>
      </rPr>
      <t>Rotasi II</t>
    </r>
  </si>
  <si>
    <r>
      <t xml:space="preserve">Kebutuhan Racun </t>
    </r>
    <r>
      <rPr>
        <b/>
        <sz val="16"/>
        <color rgb="FFFF0000"/>
        <rFont val="Century Gothic"/>
        <family val="2"/>
      </rPr>
      <t>Rotasi III</t>
    </r>
  </si>
  <si>
    <r>
      <t xml:space="preserve">Kebutuhan Racun </t>
    </r>
    <r>
      <rPr>
        <b/>
        <sz val="16"/>
        <color rgb="FFFF0000"/>
        <rFont val="Century Gothic"/>
        <family val="2"/>
      </rPr>
      <t>Rotasi IV</t>
    </r>
  </si>
  <si>
    <r>
      <t xml:space="preserve">Kebutuhan Racun </t>
    </r>
    <r>
      <rPr>
        <b/>
        <sz val="16"/>
        <color rgb="FFFF0000"/>
        <rFont val="Century Gothic"/>
        <family val="2"/>
      </rPr>
      <t>Rotasi V</t>
    </r>
  </si>
  <si>
    <r>
      <t xml:space="preserve">Kebutuhan Racun </t>
    </r>
    <r>
      <rPr>
        <b/>
        <sz val="16"/>
        <color rgb="FFFF0000"/>
        <rFont val="Century Gothic"/>
        <family val="2"/>
      </rPr>
      <t>Rotasi VI</t>
    </r>
  </si>
  <si>
    <r>
      <t xml:space="preserve">Kebutuhan Racun </t>
    </r>
    <r>
      <rPr>
        <b/>
        <sz val="16"/>
        <color rgb="FFFF0000"/>
        <rFont val="Century Gothic"/>
        <family val="2"/>
      </rPr>
      <t>Rotasi VII</t>
    </r>
  </si>
  <si>
    <t>1-10 Jul</t>
  </si>
  <si>
    <t>Data Deteksi 1-10 Juli 2026</t>
  </si>
  <si>
    <t>Deteksi 1-11 Jul</t>
  </si>
  <si>
    <t>Deteksi 1- 11 Juli</t>
  </si>
  <si>
    <t>16 - 31 Juli 2026</t>
  </si>
  <si>
    <t>Deteksi 16 - 31Jul</t>
  </si>
  <si>
    <t>Data Deteksi 16 - 31 Juli 2026</t>
  </si>
  <si>
    <t>Deteksi 16-31 Juli 2026</t>
  </si>
  <si>
    <t>Progress Kegiatan Deteksi dan Sensus Periode 16 - 31 Juli 2026</t>
  </si>
  <si>
    <r>
      <t xml:space="preserve">Terdapat </t>
    </r>
    <r>
      <rPr>
        <b/>
        <sz val="16"/>
        <color theme="1"/>
        <rFont val="Century Gothic"/>
        <family val="2"/>
      </rPr>
      <t>228 blok</t>
    </r>
    <r>
      <rPr>
        <sz val="16"/>
        <color theme="1"/>
        <rFont val="Century Gothic"/>
        <family val="2"/>
      </rPr>
      <t xml:space="preserve"> yang memiliki hasil deteksi &gt;5%.</t>
    </r>
    <r>
      <rPr>
        <b/>
        <sz val="16"/>
        <color rgb="FF0000FF"/>
        <rFont val="Century Gothic"/>
        <family val="2"/>
      </rPr>
      <t xml:space="preserve">
Lakukan kegiatan sensus 10% pada blok tersebut.</t>
    </r>
  </si>
  <si>
    <r>
      <t xml:space="preserve">Terdapat 4 blok yang memiliki hasil deteksi &gt;5%. 
</t>
    </r>
    <r>
      <rPr>
        <b/>
        <sz val="16"/>
        <color rgb="FF0000FF"/>
        <rFont val="Century Gothic"/>
        <family val="2"/>
      </rPr>
      <t>Deadline 7 Agustus 2026</t>
    </r>
  </si>
  <si>
    <r>
      <t xml:space="preserve">Terdapat </t>
    </r>
    <r>
      <rPr>
        <b/>
        <sz val="16"/>
        <color theme="1"/>
        <rFont val="Century Gothic"/>
        <family val="2"/>
      </rPr>
      <t>12 blok</t>
    </r>
    <r>
      <rPr>
        <sz val="16"/>
        <color theme="1"/>
        <rFont val="Century Gothic"/>
        <family val="2"/>
      </rPr>
      <t xml:space="preserve"> yang memiliki hasil deteksi &gt;5%.</t>
    </r>
    <r>
      <rPr>
        <b/>
        <sz val="16"/>
        <color rgb="FF0000FF"/>
        <rFont val="Century Gothic"/>
        <family val="2"/>
      </rPr>
      <t xml:space="preserve">
Deadline 7 Agustus 2026</t>
    </r>
  </si>
  <si>
    <t>1 - 15 Agustus 2026</t>
  </si>
  <si>
    <t>6.13 Aug 26</t>
  </si>
  <si>
    <t>13.14 Aug 26</t>
  </si>
  <si>
    <t>14.15 Aug 26</t>
  </si>
  <si>
    <t>4.14. Agust. 2026</t>
  </si>
  <si>
    <t>1 - 7 Agustus 2026</t>
  </si>
  <si>
    <t>8 - 15 Agustus 2026</t>
  </si>
  <si>
    <t>Laporan Blok Yang Sudah Dikerjakan dan Blok InProgress Deteksi Tikus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</si>
</sst>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&quot;Rp&quot;* #,##0.00_-;\-&quot;Rp&quot;* #,##0.00_-;_-&quot;Rp&quot;* &quot;-&quot;??_-;_-@_-"/>
    <numFmt numFmtId="166" formatCode="_-* #,##0.00_-;\-* #,##0.00_-;_-* &quot;-&quot;??_-;_-@_-"/>
    <numFmt numFmtId="167" formatCode="_-* #,##0_-;\-* #,##0_-;_-* &quot;-&quot;??_-;_-@_-"/>
    <numFmt numFmtId="168" formatCode="_(* #,##0_);_(* \(#,##0\);_(* &quot;-&quot;??_);_(@_)"/>
    <numFmt numFmtId="169" formatCode="_(* #,##0.00_);_(* \(#,##0.00\);_(* &quot;-&quot;_);_(@_)"/>
    <numFmt numFmtId="170" formatCode="_-* #,##0.0_-;\-* #,##0.0_-;_-* &quot;-&quot;??_-;_-@_-"/>
    <numFmt numFmtId="173" formatCode="0.0"/>
    <numFmt numFmtId="174" formatCode="#,##0.000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2"/>
      <color theme="1"/>
      <name val="Tahoma"/>
      <family val="2"/>
    </font>
    <font>
      <b/>
      <sz val="14"/>
      <color theme="1"/>
      <name val="Tahoma"/>
      <family val="2"/>
    </font>
    <font>
      <b/>
      <sz val="12"/>
      <color theme="1"/>
      <name val="Tahoma"/>
      <family val="2"/>
    </font>
    <font>
      <sz val="14"/>
      <color theme="1"/>
      <name val="Tahoma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rgb="FFFF0000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b/>
      <u/>
      <sz val="16"/>
      <color theme="1"/>
      <name val="Century Gothic"/>
      <family val="2"/>
    </font>
    <font>
      <b/>
      <sz val="16"/>
      <color rgb="FF0000FF"/>
      <name val="Century Gothic"/>
      <family val="2"/>
    </font>
    <font>
      <b/>
      <i/>
      <sz val="16"/>
      <color rgb="FF0000FF"/>
      <name val="Century Gothic"/>
      <family val="2"/>
    </font>
    <font>
      <i/>
      <sz val="11"/>
      <color theme="1"/>
      <name val="Century Gothic"/>
      <family val="2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i/>
      <sz val="16"/>
      <color theme="1"/>
      <name val="Century Gothic"/>
      <family val="2"/>
    </font>
    <font>
      <sz val="16"/>
      <name val="Century Gothic"/>
      <family val="2"/>
    </font>
    <font>
      <i/>
      <sz val="16"/>
      <name val="Century Gothic"/>
      <family val="2"/>
    </font>
    <font>
      <b/>
      <sz val="16"/>
      <color rgb="FFFF0000"/>
      <name val="Century Gothic"/>
      <family val="2"/>
    </font>
    <font>
      <b/>
      <i/>
      <sz val="16"/>
      <color rgb="FFFF0000"/>
      <name val="Century Gothic"/>
      <family val="2"/>
    </font>
    <font>
      <b/>
      <strike/>
      <sz val="16"/>
      <color rgb="FFFF0000"/>
      <name val="Century Gothic"/>
      <family val="2"/>
    </font>
    <font>
      <sz val="16"/>
      <color theme="1"/>
      <name val="Calibri"/>
      <family val="2"/>
      <scheme val="minor"/>
    </font>
    <font>
      <sz val="11"/>
      <color rgb="FFFF0000"/>
      <name val="Century Gothic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">
    <xf numFmtId="0" fontId="0" fillId="0" borderId="0"/>
    <xf numFmtId="166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2" fillId="0" borderId="0"/>
    <xf numFmtId="41" fontId="12" fillId="0" borderId="0" applyFont="0" applyFill="0" applyBorder="0" applyAlignment="0" applyProtection="0"/>
    <xf numFmtId="41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39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/>
    <xf numFmtId="3" fontId="4" fillId="3" borderId="1" xfId="0" applyNumberFormat="1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/>
    <xf numFmtId="3" fontId="4" fillId="4" borderId="1" xfId="0" applyNumberFormat="1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3" fontId="4" fillId="3" borderId="2" xfId="0" applyNumberFormat="1" applyFont="1" applyFill="1" applyBorder="1" applyAlignment="1">
      <alignment horizontal="center" vertical="center"/>
    </xf>
    <xf numFmtId="3" fontId="4" fillId="3" borderId="3" xfId="0" applyNumberFormat="1" applyFont="1" applyFill="1" applyBorder="1"/>
    <xf numFmtId="3" fontId="4" fillId="3" borderId="2" xfId="0" applyNumberFormat="1" applyFont="1" applyFill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/>
    <xf numFmtId="3" fontId="4" fillId="5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/>
    <xf numFmtId="3" fontId="4" fillId="5" borderId="1" xfId="0" applyNumberFormat="1" applyFont="1" applyFill="1" applyBorder="1" applyAlignment="1">
      <alignment horizontal="center"/>
    </xf>
    <xf numFmtId="0" fontId="4" fillId="5" borderId="2" xfId="0" applyFont="1" applyFill="1" applyBorder="1"/>
    <xf numFmtId="0" fontId="4" fillId="5" borderId="2" xfId="0" applyFont="1" applyFill="1" applyBorder="1" applyAlignment="1">
      <alignment horizontal="center"/>
    </xf>
    <xf numFmtId="3" fontId="4" fillId="5" borderId="2" xfId="0" applyNumberFormat="1" applyFont="1" applyFill="1" applyBorder="1" applyAlignment="1">
      <alignment horizontal="center" vertical="center"/>
    </xf>
    <xf numFmtId="0" fontId="4" fillId="5" borderId="3" xfId="0" applyFont="1" applyFill="1" applyBorder="1"/>
    <xf numFmtId="0" fontId="4" fillId="0" borderId="3" xfId="0" applyFont="1" applyBorder="1" applyAlignment="1">
      <alignment horizontal="center"/>
    </xf>
    <xf numFmtId="166" fontId="3" fillId="0" borderId="0" xfId="1" applyFont="1"/>
    <xf numFmtId="167" fontId="3" fillId="0" borderId="0" xfId="1" applyNumberFormat="1" applyFont="1"/>
    <xf numFmtId="0" fontId="5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2" fontId="6" fillId="9" borderId="1" xfId="0" applyNumberFormat="1" applyFont="1" applyFill="1" applyBorder="1" applyAlignment="1">
      <alignment horizontal="center" vertical="center"/>
    </xf>
    <xf numFmtId="1" fontId="6" fillId="9" borderId="1" xfId="0" applyNumberFormat="1" applyFont="1" applyFill="1" applyBorder="1" applyAlignment="1">
      <alignment horizontal="center" vertical="center"/>
    </xf>
    <xf numFmtId="0" fontId="7" fillId="0" borderId="0" xfId="2" applyFont="1" applyAlignment="1">
      <alignment horizontal="left"/>
    </xf>
    <xf numFmtId="0" fontId="7" fillId="0" borderId="0" xfId="2" applyFont="1" applyAlignment="1">
      <alignment horizontal="center"/>
    </xf>
    <xf numFmtId="14" fontId="7" fillId="0" borderId="0" xfId="2" applyNumberFormat="1" applyFont="1" applyAlignment="1">
      <alignment horizontal="center"/>
    </xf>
    <xf numFmtId="0" fontId="8" fillId="10" borderId="4" xfId="2" applyFont="1" applyFill="1" applyBorder="1" applyAlignment="1">
      <alignment horizontal="center" vertical="center" wrapText="1"/>
    </xf>
    <xf numFmtId="14" fontId="8" fillId="10" borderId="1" xfId="2" applyNumberFormat="1" applyFont="1" applyFill="1" applyBorder="1" applyAlignment="1">
      <alignment horizontal="center" vertical="center" wrapText="1"/>
    </xf>
    <xf numFmtId="0" fontId="8" fillId="10" borderId="4" xfId="2" applyFont="1" applyFill="1" applyBorder="1" applyAlignment="1">
      <alignment horizontal="center" vertical="center"/>
    </xf>
    <xf numFmtId="0" fontId="9" fillId="11" borderId="1" xfId="2" applyFont="1" applyFill="1" applyBorder="1" applyAlignment="1">
      <alignment horizontal="center" vertical="center" wrapText="1"/>
    </xf>
    <xf numFmtId="0" fontId="7" fillId="0" borderId="0" xfId="2" applyFont="1" applyAlignment="1">
      <alignment horizontal="center" wrapText="1"/>
    </xf>
    <xf numFmtId="14" fontId="8" fillId="10" borderId="4" xfId="2" applyNumberFormat="1" applyFont="1" applyFill="1" applyBorder="1" applyAlignment="1">
      <alignment horizontal="center" vertical="center" wrapText="1"/>
    </xf>
    <xf numFmtId="0" fontId="8" fillId="12" borderId="1" xfId="2" applyFont="1" applyFill="1" applyBorder="1" applyAlignment="1">
      <alignment horizontal="center" vertical="center" wrapText="1"/>
    </xf>
    <xf numFmtId="14" fontId="8" fillId="12" borderId="1" xfId="2" applyNumberFormat="1" applyFont="1" applyFill="1" applyBorder="1" applyAlignment="1">
      <alignment horizontal="center" vertical="center" wrapText="1"/>
    </xf>
    <xf numFmtId="0" fontId="9" fillId="12" borderId="1" xfId="2" applyFont="1" applyFill="1" applyBorder="1" applyAlignment="1">
      <alignment horizontal="center" vertical="center" wrapText="1"/>
    </xf>
    <xf numFmtId="0" fontId="7" fillId="12" borderId="0" xfId="2" applyFont="1" applyFill="1" applyAlignment="1">
      <alignment horizontal="center" wrapText="1"/>
    </xf>
    <xf numFmtId="0" fontId="10" fillId="0" borderId="7" xfId="2" applyFont="1" applyBorder="1" applyAlignment="1">
      <alignment horizontal="center"/>
    </xf>
    <xf numFmtId="14" fontId="10" fillId="0" borderId="7" xfId="2" applyNumberFormat="1" applyFont="1" applyBorder="1" applyAlignment="1">
      <alignment horizontal="center"/>
    </xf>
    <xf numFmtId="168" fontId="10" fillId="0" borderId="7" xfId="3" applyNumberFormat="1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7" fillId="12" borderId="1" xfId="2" applyFont="1" applyFill="1" applyBorder="1" applyAlignment="1">
      <alignment horizontal="center"/>
    </xf>
    <xf numFmtId="0" fontId="10" fillId="0" borderId="8" xfId="2" applyFont="1" applyBorder="1" applyAlignment="1">
      <alignment horizontal="center"/>
    </xf>
    <xf numFmtId="14" fontId="10" fillId="0" borderId="8" xfId="2" applyNumberFormat="1" applyFont="1" applyBorder="1" applyAlignment="1">
      <alignment horizontal="center"/>
    </xf>
    <xf numFmtId="168" fontId="10" fillId="0" borderId="8" xfId="3" applyNumberFormat="1" applyFont="1" applyBorder="1" applyAlignment="1">
      <alignment horizontal="center"/>
    </xf>
    <xf numFmtId="0" fontId="7" fillId="12" borderId="1" xfId="2" quotePrefix="1" applyFont="1" applyFill="1" applyBorder="1" applyAlignment="1">
      <alignment horizontal="center"/>
    </xf>
    <xf numFmtId="0" fontId="10" fillId="0" borderId="9" xfId="2" applyFont="1" applyBorder="1" applyAlignment="1">
      <alignment horizontal="center"/>
    </xf>
    <xf numFmtId="14" fontId="10" fillId="0" borderId="9" xfId="2" applyNumberFormat="1" applyFont="1" applyBorder="1" applyAlignment="1">
      <alignment horizontal="center"/>
    </xf>
    <xf numFmtId="168" fontId="10" fillId="0" borderId="9" xfId="3" applyNumberFormat="1" applyFont="1" applyBorder="1" applyAlignment="1">
      <alignment horizontal="center"/>
    </xf>
    <xf numFmtId="0" fontId="10" fillId="0" borderId="1" xfId="2" applyFont="1" applyBorder="1" applyAlignment="1">
      <alignment horizontal="center"/>
    </xf>
    <xf numFmtId="14" fontId="10" fillId="0" borderId="1" xfId="2" applyNumberFormat="1" applyFont="1" applyBorder="1" applyAlignment="1">
      <alignment horizontal="center"/>
    </xf>
    <xf numFmtId="168" fontId="10" fillId="0" borderId="1" xfId="3" applyNumberFormat="1" applyFont="1" applyBorder="1" applyAlignment="1">
      <alignment horizontal="center"/>
    </xf>
    <xf numFmtId="0" fontId="12" fillId="0" borderId="0" xfId="4"/>
    <xf numFmtId="0" fontId="13" fillId="0" borderId="0" xfId="4" applyFont="1"/>
    <xf numFmtId="169" fontId="0" fillId="0" borderId="0" xfId="5" applyNumberFormat="1" applyFont="1"/>
    <xf numFmtId="41" fontId="0" fillId="0" borderId="0" xfId="5" applyFont="1"/>
    <xf numFmtId="0" fontId="13" fillId="0" borderId="0" xfId="4" quotePrefix="1" applyFont="1"/>
    <xf numFmtId="0" fontId="14" fillId="0" borderId="0" xfId="4" applyFont="1"/>
    <xf numFmtId="169" fontId="14" fillId="0" borderId="0" xfId="5" applyNumberFormat="1" applyFont="1"/>
    <xf numFmtId="41" fontId="14" fillId="0" borderId="0" xfId="5" applyFont="1"/>
    <xf numFmtId="0" fontId="15" fillId="13" borderId="10" xfId="4" applyFont="1" applyFill="1" applyBorder="1" applyAlignment="1">
      <alignment horizontal="center" vertical="center" wrapText="1"/>
    </xf>
    <xf numFmtId="0" fontId="15" fillId="16" borderId="10" xfId="4" applyFont="1" applyFill="1" applyBorder="1" applyAlignment="1">
      <alignment horizontal="center" vertical="center" wrapText="1"/>
    </xf>
    <xf numFmtId="169" fontId="15" fillId="13" borderId="10" xfId="5" applyNumberFormat="1" applyFont="1" applyFill="1" applyBorder="1" applyAlignment="1">
      <alignment horizontal="center" vertical="center" wrapText="1"/>
    </xf>
    <xf numFmtId="41" fontId="15" fillId="13" borderId="10" xfId="5" applyFont="1" applyFill="1" applyBorder="1" applyAlignment="1">
      <alignment horizontal="center" vertical="center" wrapText="1"/>
    </xf>
    <xf numFmtId="0" fontId="15" fillId="15" borderId="10" xfId="4" applyFont="1" applyFill="1" applyBorder="1" applyAlignment="1">
      <alignment horizontal="center" vertical="center" wrapText="1"/>
    </xf>
    <xf numFmtId="0" fontId="15" fillId="17" borderId="10" xfId="4" applyFont="1" applyFill="1" applyBorder="1" applyAlignment="1">
      <alignment horizontal="center" vertical="center" wrapText="1"/>
    </xf>
    <xf numFmtId="0" fontId="15" fillId="14" borderId="10" xfId="4" applyFont="1" applyFill="1" applyBorder="1" applyAlignment="1">
      <alignment horizontal="center" vertical="center" wrapText="1"/>
    </xf>
    <xf numFmtId="0" fontId="12" fillId="0" borderId="10" xfId="4" applyBorder="1"/>
    <xf numFmtId="169" fontId="12" fillId="18" borderId="10" xfId="4" applyNumberFormat="1" applyFill="1" applyBorder="1"/>
    <xf numFmtId="41" fontId="0" fillId="18" borderId="10" xfId="5" applyFont="1" applyFill="1" applyBorder="1"/>
    <xf numFmtId="41" fontId="0" fillId="0" borderId="10" xfId="5" applyFont="1" applyBorder="1"/>
    <xf numFmtId="169" fontId="0" fillId="18" borderId="10" xfId="5" applyNumberFormat="1" applyFont="1" applyFill="1" applyBorder="1"/>
    <xf numFmtId="169" fontId="17" fillId="18" borderId="10" xfId="6" applyNumberFormat="1" applyFont="1" applyFill="1" applyBorder="1" applyAlignment="1" applyProtection="1">
      <alignment horizontal="center" vertical="center"/>
    </xf>
    <xf numFmtId="169" fontId="17" fillId="0" borderId="10" xfId="6" applyNumberFormat="1" applyFont="1" applyFill="1" applyBorder="1" applyAlignment="1" applyProtection="1">
      <alignment horizontal="center" vertical="center"/>
    </xf>
    <xf numFmtId="43" fontId="12" fillId="0" borderId="10" xfId="4" applyNumberFormat="1" applyBorder="1"/>
    <xf numFmtId="0" fontId="12" fillId="0" borderId="10" xfId="4" applyBorder="1" applyAlignment="1">
      <alignment horizontal="center"/>
    </xf>
    <xf numFmtId="169" fontId="0" fillId="0" borderId="10" xfId="5" applyNumberFormat="1" applyFont="1" applyBorder="1"/>
    <xf numFmtId="0" fontId="14" fillId="12" borderId="0" xfId="4" applyFont="1" applyFill="1"/>
    <xf numFmtId="0" fontId="12" fillId="0" borderId="17" xfId="4" applyBorder="1"/>
    <xf numFmtId="169" fontId="0" fillId="0" borderId="17" xfId="5" applyNumberFormat="1" applyFont="1" applyBorder="1"/>
    <xf numFmtId="41" fontId="0" fillId="0" borderId="17" xfId="5" applyFont="1" applyBorder="1"/>
    <xf numFmtId="43" fontId="12" fillId="0" borderId="0" xfId="4" applyNumberFormat="1"/>
    <xf numFmtId="0" fontId="18" fillId="0" borderId="0" xfId="2" applyFont="1"/>
    <xf numFmtId="0" fontId="1" fillId="0" borderId="0" xfId="2"/>
    <xf numFmtId="14" fontId="19" fillId="0" borderId="0" xfId="2" applyNumberFormat="1" applyFont="1"/>
    <xf numFmtId="0" fontId="11" fillId="0" borderId="0" xfId="2" applyFont="1"/>
    <xf numFmtId="0" fontId="1" fillId="0" borderId="1" xfId="2" applyBorder="1"/>
    <xf numFmtId="0" fontId="11" fillId="20" borderId="1" xfId="2" applyFont="1" applyFill="1" applyBorder="1"/>
    <xf numFmtId="0" fontId="2" fillId="19" borderId="1" xfId="2" applyFont="1" applyFill="1" applyBorder="1" applyAlignment="1">
      <alignment horizontal="center" vertical="center" wrapText="1"/>
    </xf>
    <xf numFmtId="0" fontId="2" fillId="21" borderId="1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1" fillId="12" borderId="1" xfId="2" applyFill="1" applyBorder="1"/>
    <xf numFmtId="167" fontId="1" fillId="0" borderId="1" xfId="7" applyNumberFormat="1" applyFont="1" applyBorder="1"/>
    <xf numFmtId="166" fontId="1" fillId="0" borderId="1" xfId="7" applyFont="1" applyBorder="1"/>
    <xf numFmtId="0" fontId="11" fillId="22" borderId="1" xfId="2" applyFont="1" applyFill="1" applyBorder="1"/>
    <xf numFmtId="167" fontId="11" fillId="22" borderId="1" xfId="7" applyNumberFormat="1" applyFont="1" applyFill="1" applyBorder="1"/>
    <xf numFmtId="166" fontId="11" fillId="22" borderId="1" xfId="7" applyFont="1" applyFill="1" applyBorder="1"/>
    <xf numFmtId="0" fontId="11" fillId="12" borderId="1" xfId="2" applyFont="1" applyFill="1" applyBorder="1"/>
    <xf numFmtId="167" fontId="11" fillId="23" borderId="1" xfId="7" applyNumberFormat="1" applyFont="1" applyFill="1" applyBorder="1"/>
    <xf numFmtId="0" fontId="11" fillId="23" borderId="1" xfId="2" applyFont="1" applyFill="1" applyBorder="1"/>
    <xf numFmtId="166" fontId="11" fillId="23" borderId="1" xfId="7" applyFont="1" applyFill="1" applyBorder="1"/>
    <xf numFmtId="0" fontId="11" fillId="0" borderId="18" xfId="2" applyFont="1" applyBorder="1" applyAlignment="1">
      <alignment horizontal="center"/>
    </xf>
    <xf numFmtId="0" fontId="1" fillId="0" borderId="18" xfId="2" applyBorder="1"/>
    <xf numFmtId="0" fontId="2" fillId="9" borderId="1" xfId="2" applyFont="1" applyFill="1" applyBorder="1" applyAlignment="1">
      <alignment horizontal="center" vertical="center" wrapText="1"/>
    </xf>
    <xf numFmtId="166" fontId="1" fillId="12" borderId="1" xfId="7" applyFont="1" applyFill="1" applyBorder="1"/>
    <xf numFmtId="170" fontId="1" fillId="12" borderId="1" xfId="7" applyNumberFormat="1" applyFont="1" applyFill="1" applyBorder="1"/>
    <xf numFmtId="0" fontId="1" fillId="12" borderId="0" xfId="2" applyFill="1"/>
    <xf numFmtId="167" fontId="1" fillId="12" borderId="1" xfId="7" applyNumberFormat="1" applyFont="1" applyFill="1" applyBorder="1"/>
    <xf numFmtId="15" fontId="21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/>
    <xf numFmtId="3" fontId="6" fillId="9" borderId="1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/>
    </xf>
    <xf numFmtId="43" fontId="10" fillId="0" borderId="7" xfId="3" applyFont="1" applyBorder="1" applyAlignment="1">
      <alignment horizontal="center"/>
    </xf>
    <xf numFmtId="43" fontId="10" fillId="0" borderId="8" xfId="3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6" fillId="11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0" fontId="0" fillId="0" borderId="1" xfId="0" applyBorder="1"/>
    <xf numFmtId="1" fontId="4" fillId="5" borderId="1" xfId="0" applyNumberFormat="1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3" fontId="4" fillId="0" borderId="2" xfId="0" applyNumberFormat="1" applyFont="1" applyBorder="1" applyAlignment="1">
      <alignment horizontal="center" vertical="center"/>
    </xf>
    <xf numFmtId="3" fontId="4" fillId="0" borderId="3" xfId="0" applyNumberFormat="1" applyFont="1" applyBorder="1"/>
    <xf numFmtId="3" fontId="4" fillId="0" borderId="2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3" xfId="0" applyFont="1" applyBorder="1"/>
    <xf numFmtId="0" fontId="23" fillId="8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3" fontId="24" fillId="0" borderId="1" xfId="0" applyNumberFormat="1" applyFont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3" fillId="4" borderId="1" xfId="0" applyFont="1" applyFill="1" applyBorder="1"/>
    <xf numFmtId="0" fontId="23" fillId="6" borderId="1" xfId="0" applyFont="1" applyFill="1" applyBorder="1"/>
    <xf numFmtId="0" fontId="23" fillId="7" borderId="1" xfId="0" applyFont="1" applyFill="1" applyBorder="1"/>
    <xf numFmtId="0" fontId="4" fillId="2" borderId="4" xfId="0" applyFont="1" applyFill="1" applyBorder="1" applyAlignment="1">
      <alignment horizontal="center" vertical="center" wrapText="1"/>
    </xf>
    <xf numFmtId="0" fontId="26" fillId="0" borderId="1" xfId="0" quotePrefix="1" applyFont="1" applyBorder="1" applyAlignment="1">
      <alignment horizontal="center" vertical="center" wrapText="1"/>
    </xf>
    <xf numFmtId="173" fontId="5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3" fontId="4" fillId="6" borderId="1" xfId="1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15" fontId="0" fillId="0" borderId="1" xfId="0" applyNumberFormat="1" applyBorder="1"/>
    <xf numFmtId="2" fontId="3" fillId="21" borderId="1" xfId="0" applyNumberFormat="1" applyFont="1" applyFill="1" applyBorder="1" applyAlignment="1">
      <alignment horizontal="center"/>
    </xf>
    <xf numFmtId="2" fontId="3" fillId="26" borderId="1" xfId="0" applyNumberFormat="1" applyFont="1" applyFill="1" applyBorder="1" applyAlignment="1">
      <alignment horizontal="center"/>
    </xf>
    <xf numFmtId="0" fontId="3" fillId="26" borderId="1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1" borderId="1" xfId="0" applyFont="1" applyFill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2" fontId="4" fillId="2" borderId="1" xfId="0" applyNumberFormat="1" applyFont="1" applyFill="1" applyBorder="1" applyAlignment="1">
      <alignment horizontal="center" vertical="center" wrapText="1"/>
    </xf>
    <xf numFmtId="2" fontId="23" fillId="0" borderId="1" xfId="0" applyNumberFormat="1" applyFont="1" applyBorder="1" applyAlignment="1">
      <alignment horizontal="center" vertical="center"/>
    </xf>
    <xf numFmtId="0" fontId="24" fillId="0" borderId="1" xfId="0" quotePrefix="1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/>
    </xf>
    <xf numFmtId="174" fontId="0" fillId="0" borderId="0" xfId="0" applyNumberFormat="1"/>
    <xf numFmtId="2" fontId="3" fillId="0" borderId="0" xfId="0" applyNumberFormat="1" applyFont="1"/>
    <xf numFmtId="2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1" applyNumberFormat="1" applyFont="1" applyAlignment="1">
      <alignment horizontal="center" vertical="center"/>
    </xf>
    <xf numFmtId="3" fontId="3" fillId="0" borderId="0" xfId="0" applyNumberFormat="1" applyFont="1"/>
    <xf numFmtId="0" fontId="5" fillId="12" borderId="1" xfId="0" applyFont="1" applyFill="1" applyBorder="1" applyAlignment="1">
      <alignment horizontal="center" vertical="center"/>
    </xf>
    <xf numFmtId="3" fontId="5" fillId="12" borderId="1" xfId="0" applyNumberFormat="1" applyFont="1" applyFill="1" applyBorder="1" applyAlignment="1">
      <alignment horizontal="center" vertical="center"/>
    </xf>
    <xf numFmtId="1" fontId="5" fillId="12" borderId="1" xfId="0" applyNumberFormat="1" applyFont="1" applyFill="1" applyBorder="1" applyAlignment="1">
      <alignment horizontal="center" vertical="center"/>
    </xf>
    <xf numFmtId="2" fontId="5" fillId="12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5" fontId="29" fillId="0" borderId="1" xfId="0" applyNumberFormat="1" applyFont="1" applyBorder="1" applyAlignment="1">
      <alignment horizontal="center"/>
    </xf>
    <xf numFmtId="1" fontId="29" fillId="0" borderId="1" xfId="0" applyNumberFormat="1" applyFont="1" applyBorder="1" applyAlignment="1">
      <alignment horizontal="center"/>
    </xf>
    <xf numFmtId="2" fontId="29" fillId="0" borderId="1" xfId="0" applyNumberFormat="1" applyFont="1" applyBorder="1" applyAlignment="1">
      <alignment horizontal="center"/>
    </xf>
    <xf numFmtId="15" fontId="29" fillId="25" borderId="1" xfId="0" applyNumberFormat="1" applyFont="1" applyFill="1" applyBorder="1" applyAlignment="1">
      <alignment horizontal="center"/>
    </xf>
    <xf numFmtId="1" fontId="29" fillId="25" borderId="1" xfId="0" applyNumberFormat="1" applyFont="1" applyFill="1" applyBorder="1" applyAlignment="1">
      <alignment horizontal="center"/>
    </xf>
    <xf numFmtId="2" fontId="29" fillId="25" borderId="1" xfId="0" applyNumberFormat="1" applyFont="1" applyFill="1" applyBorder="1" applyAlignment="1">
      <alignment horizontal="center"/>
    </xf>
    <xf numFmtId="0" fontId="29" fillId="25" borderId="1" xfId="0" applyFont="1" applyFill="1" applyBorder="1" applyAlignment="1">
      <alignment horizontal="center"/>
    </xf>
    <xf numFmtId="15" fontId="3" fillId="25" borderId="1" xfId="0" applyNumberFormat="1" applyFont="1" applyFill="1" applyBorder="1" applyAlignment="1">
      <alignment horizontal="center"/>
    </xf>
    <xf numFmtId="1" fontId="3" fillId="25" borderId="1" xfId="0" applyNumberFormat="1" applyFont="1" applyFill="1" applyBorder="1" applyAlignment="1">
      <alignment horizontal="center"/>
    </xf>
    <xf numFmtId="2" fontId="3" fillId="25" borderId="1" xfId="0" applyNumberFormat="1" applyFont="1" applyFill="1" applyBorder="1" applyAlignment="1">
      <alignment horizontal="center"/>
    </xf>
    <xf numFmtId="0" fontId="3" fillId="25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4" fillId="0" borderId="18" xfId="0" applyFont="1" applyBorder="1" applyAlignment="1">
      <alignment horizontal="center" vertical="center"/>
    </xf>
    <xf numFmtId="2" fontId="24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3" fillId="4" borderId="1" xfId="0" applyFont="1" applyFill="1" applyBorder="1" applyAlignment="1">
      <alignment vertical="center"/>
    </xf>
    <xf numFmtId="0" fontId="23" fillId="11" borderId="1" xfId="0" applyFont="1" applyFill="1" applyBorder="1" applyAlignment="1">
      <alignment horizontal="center" vertical="center" wrapText="1"/>
    </xf>
    <xf numFmtId="0" fontId="23" fillId="26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3" fontId="24" fillId="0" borderId="18" xfId="0" applyNumberFormat="1" applyFont="1" applyBorder="1" applyAlignment="1">
      <alignment horizontal="center" vertical="center" wrapText="1"/>
    </xf>
    <xf numFmtId="3" fontId="24" fillId="0" borderId="1" xfId="0" quotePrefix="1" applyNumberFormat="1" applyFont="1" applyBorder="1" applyAlignment="1">
      <alignment horizontal="center" vertical="center" wrapText="1"/>
    </xf>
    <xf numFmtId="3" fontId="23" fillId="6" borderId="1" xfId="0" applyNumberFormat="1" applyFont="1" applyFill="1" applyBorder="1" applyAlignment="1">
      <alignment horizontal="center" vertical="center"/>
    </xf>
    <xf numFmtId="0" fontId="24" fillId="25" borderId="0" xfId="0" applyFont="1" applyFill="1" applyAlignment="1">
      <alignment vertical="center"/>
    </xf>
    <xf numFmtId="0" fontId="24" fillId="2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 wrapText="1"/>
    </xf>
    <xf numFmtId="15" fontId="2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2" fontId="6" fillId="27" borderId="1" xfId="0" applyNumberFormat="1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4" fontId="6" fillId="6" borderId="1" xfId="0" applyNumberFormat="1" applyFont="1" applyFill="1" applyBorder="1" applyAlignment="1">
      <alignment horizontal="center" vertical="center"/>
    </xf>
    <xf numFmtId="4" fontId="6" fillId="27" borderId="1" xfId="0" applyNumberFormat="1" applyFont="1" applyFill="1" applyBorder="1" applyAlignment="1">
      <alignment horizontal="center" vertical="center"/>
    </xf>
    <xf numFmtId="4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0" fontId="25" fillId="0" borderId="21" xfId="0" applyFont="1" applyBorder="1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 wrapText="1"/>
    </xf>
    <xf numFmtId="165" fontId="5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23" fillId="30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3" fontId="23" fillId="2" borderId="1" xfId="0" applyNumberFormat="1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3" fontId="36" fillId="0" borderId="1" xfId="0" applyNumberFormat="1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3" fontId="24" fillId="3" borderId="1" xfId="0" applyNumberFormat="1" applyFont="1" applyFill="1" applyBorder="1" applyAlignment="1">
      <alignment horizontal="center" vertical="center"/>
    </xf>
    <xf numFmtId="3" fontId="24" fillId="31" borderId="1" xfId="0" applyNumberFormat="1" applyFont="1" applyFill="1" applyBorder="1" applyAlignment="1">
      <alignment horizontal="center" vertical="center"/>
    </xf>
    <xf numFmtId="3" fontId="24" fillId="6" borderId="1" xfId="0" applyNumberFormat="1" applyFont="1" applyFill="1" applyBorder="1" applyAlignment="1">
      <alignment horizontal="center" vertical="center"/>
    </xf>
    <xf numFmtId="3" fontId="24" fillId="4" borderId="1" xfId="0" applyNumberFormat="1" applyFont="1" applyFill="1" applyBorder="1" applyAlignment="1">
      <alignment horizontal="center" vertical="center"/>
    </xf>
    <xf numFmtId="0" fontId="37" fillId="0" borderId="0" xfId="0" applyFont="1"/>
    <xf numFmtId="0" fontId="24" fillId="31" borderId="1" xfId="0" applyFont="1" applyFill="1" applyBorder="1" applyAlignment="1">
      <alignment horizontal="center" vertical="center"/>
    </xf>
    <xf numFmtId="15" fontId="38" fillId="0" borderId="1" xfId="0" applyNumberFormat="1" applyFont="1" applyBorder="1" applyAlignment="1">
      <alignment horizontal="center"/>
    </xf>
    <xf numFmtId="173" fontId="5" fillId="0" borderId="1" xfId="0" applyNumberFormat="1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8" borderId="2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10" borderId="20" xfId="0" applyFont="1" applyFill="1" applyBorder="1" applyAlignment="1">
      <alignment horizontal="center"/>
    </xf>
    <xf numFmtId="0" fontId="4" fillId="10" borderId="2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/>
    </xf>
    <xf numFmtId="0" fontId="4" fillId="29" borderId="21" xfId="0" applyFont="1" applyFill="1" applyBorder="1" applyAlignment="1">
      <alignment horizontal="center"/>
    </xf>
    <xf numFmtId="0" fontId="4" fillId="6" borderId="2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8" fillId="10" borderId="2" xfId="2" applyFont="1" applyFill="1" applyBorder="1" applyAlignment="1">
      <alignment horizontal="center" vertical="center"/>
    </xf>
    <xf numFmtId="0" fontId="8" fillId="10" borderId="5" xfId="2" applyFont="1" applyFill="1" applyBorder="1" applyAlignment="1">
      <alignment horizontal="center" vertical="center"/>
    </xf>
    <xf numFmtId="0" fontId="8" fillId="10" borderId="3" xfId="2" applyFont="1" applyFill="1" applyBorder="1" applyAlignment="1">
      <alignment horizontal="center" vertical="center"/>
    </xf>
    <xf numFmtId="0" fontId="8" fillId="10" borderId="4" xfId="2" applyFont="1" applyFill="1" applyBorder="1" applyAlignment="1">
      <alignment horizontal="center" vertical="center" wrapText="1"/>
    </xf>
    <xf numFmtId="0" fontId="8" fillId="10" borderId="6" xfId="2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30" fillId="9" borderId="21" xfId="0" applyFont="1" applyFill="1" applyBorder="1" applyAlignment="1">
      <alignment horizontal="center"/>
    </xf>
    <xf numFmtId="0" fontId="3" fillId="29" borderId="21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3" fillId="30" borderId="1" xfId="0" applyFont="1" applyFill="1" applyBorder="1" applyAlignment="1">
      <alignment horizontal="center" vertical="center"/>
    </xf>
    <xf numFmtId="0" fontId="23" fillId="30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/>
    </xf>
    <xf numFmtId="0" fontId="25" fillId="31" borderId="1" xfId="0" applyFont="1" applyFill="1" applyBorder="1" applyAlignment="1">
      <alignment horizontal="center"/>
    </xf>
    <xf numFmtId="3" fontId="24" fillId="0" borderId="4" xfId="0" applyNumberFormat="1" applyFont="1" applyBorder="1" applyAlignment="1">
      <alignment horizontal="center" vertical="center" wrapText="1"/>
    </xf>
    <xf numFmtId="3" fontId="24" fillId="0" borderId="18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3" fontId="24" fillId="0" borderId="1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3" fontId="24" fillId="0" borderId="4" xfId="0" applyNumberFormat="1" applyFont="1" applyBorder="1" applyAlignment="1">
      <alignment horizontal="center" vertical="center"/>
    </xf>
    <xf numFmtId="3" fontId="24" fillId="0" borderId="18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3" fillId="8" borderId="2" xfId="0" applyFont="1" applyFill="1" applyBorder="1" applyAlignment="1">
      <alignment horizontal="center" vertical="center" wrapText="1"/>
    </xf>
    <xf numFmtId="0" fontId="23" fillId="8" borderId="5" xfId="0" applyFont="1" applyFill="1" applyBorder="1" applyAlignment="1">
      <alignment horizontal="center" vertical="center" wrapText="1"/>
    </xf>
    <xf numFmtId="0" fontId="23" fillId="8" borderId="3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3" fillId="24" borderId="1" xfId="0" applyFont="1" applyFill="1" applyBorder="1" applyAlignment="1">
      <alignment horizontal="center" vertical="center" wrapText="1"/>
    </xf>
    <xf numFmtId="0" fontId="23" fillId="24" borderId="1" xfId="0" applyFont="1" applyFill="1" applyBorder="1" applyAlignment="1">
      <alignment horizontal="center"/>
    </xf>
    <xf numFmtId="0" fontId="23" fillId="24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3" fillId="23" borderId="2" xfId="0" applyFont="1" applyFill="1" applyBorder="1" applyAlignment="1">
      <alignment horizontal="center" wrapText="1"/>
    </xf>
    <xf numFmtId="0" fontId="23" fillId="23" borderId="3" xfId="0" applyFont="1" applyFill="1" applyBorder="1" applyAlignment="1">
      <alignment horizontal="center" wrapText="1"/>
    </xf>
    <xf numFmtId="0" fontId="23" fillId="7" borderId="1" xfId="0" applyFont="1" applyFill="1" applyBorder="1" applyAlignment="1">
      <alignment horizontal="center" vertical="center"/>
    </xf>
    <xf numFmtId="0" fontId="23" fillId="24" borderId="1" xfId="0" applyFont="1" applyFill="1" applyBorder="1" applyAlignment="1">
      <alignment horizontal="center" wrapText="1"/>
    </xf>
    <xf numFmtId="0" fontId="23" fillId="4" borderId="1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12" fillId="0" borderId="10" xfId="4" applyBorder="1" applyAlignment="1">
      <alignment horizontal="center"/>
    </xf>
    <xf numFmtId="0" fontId="12" fillId="18" borderId="10" xfId="4" applyFill="1" applyBorder="1" applyAlignment="1">
      <alignment horizontal="center"/>
    </xf>
    <xf numFmtId="0" fontId="15" fillId="13" borderId="10" xfId="4" applyFont="1" applyFill="1" applyBorder="1" applyAlignment="1">
      <alignment horizontal="center" vertical="center" wrapText="1"/>
    </xf>
    <xf numFmtId="0" fontId="15" fillId="14" borderId="11" xfId="4" applyFont="1" applyFill="1" applyBorder="1" applyAlignment="1">
      <alignment horizontal="center" vertical="center"/>
    </xf>
    <xf numFmtId="0" fontId="15" fillId="14" borderId="12" xfId="4" applyFont="1" applyFill="1" applyBorder="1" applyAlignment="1">
      <alignment horizontal="center" vertical="center"/>
    </xf>
    <xf numFmtId="0" fontId="15" fillId="14" borderId="13" xfId="4" applyFont="1" applyFill="1" applyBorder="1" applyAlignment="1">
      <alignment horizontal="center" vertical="center"/>
    </xf>
    <xf numFmtId="0" fontId="15" fillId="14" borderId="14" xfId="4" applyFont="1" applyFill="1" applyBorder="1" applyAlignment="1">
      <alignment horizontal="center" vertical="center"/>
    </xf>
    <xf numFmtId="0" fontId="15" fillId="14" borderId="15" xfId="4" applyFont="1" applyFill="1" applyBorder="1" applyAlignment="1">
      <alignment horizontal="center" vertical="center"/>
    </xf>
    <xf numFmtId="0" fontId="15" fillId="14" borderId="16" xfId="4" applyFont="1" applyFill="1" applyBorder="1" applyAlignment="1">
      <alignment horizontal="center" vertical="center"/>
    </xf>
    <xf numFmtId="0" fontId="15" fillId="15" borderId="10" xfId="4" applyFont="1" applyFill="1" applyBorder="1" applyAlignment="1">
      <alignment horizontal="center" vertical="center"/>
    </xf>
    <xf numFmtId="0" fontId="15" fillId="16" borderId="10" xfId="4" applyFont="1" applyFill="1" applyBorder="1" applyAlignment="1">
      <alignment horizontal="center" vertical="center" wrapText="1"/>
    </xf>
    <xf numFmtId="0" fontId="15" fillId="17" borderId="10" xfId="4" applyFont="1" applyFill="1" applyBorder="1" applyAlignment="1">
      <alignment horizontal="center" vertical="center"/>
    </xf>
    <xf numFmtId="0" fontId="2" fillId="9" borderId="1" xfId="2" applyFont="1" applyFill="1" applyBorder="1" applyAlignment="1">
      <alignment horizontal="center" vertical="center" wrapText="1"/>
    </xf>
    <xf numFmtId="0" fontId="4" fillId="9" borderId="1" xfId="2" applyFont="1" applyFill="1" applyBorder="1" applyAlignment="1">
      <alignment horizontal="center" vertical="center" wrapText="1"/>
    </xf>
    <xf numFmtId="0" fontId="2" fillId="11" borderId="1" xfId="2" applyFont="1" applyFill="1" applyBorder="1" applyAlignment="1">
      <alignment horizontal="center" vertical="center" wrapText="1"/>
    </xf>
    <xf numFmtId="0" fontId="4" fillId="21" borderId="1" xfId="2" applyFont="1" applyFill="1" applyBorder="1" applyAlignment="1">
      <alignment horizontal="center" vertical="center" wrapText="1"/>
    </xf>
    <xf numFmtId="0" fontId="2" fillId="19" borderId="1" xfId="2" applyFont="1" applyFill="1" applyBorder="1" applyAlignment="1">
      <alignment horizontal="center" vertical="center" wrapText="1"/>
    </xf>
    <xf numFmtId="0" fontId="4" fillId="19" borderId="1" xfId="2" applyFont="1" applyFill="1" applyBorder="1" applyAlignment="1">
      <alignment horizontal="center" vertical="center" wrapText="1"/>
    </xf>
    <xf numFmtId="0" fontId="2" fillId="21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20" fillId="6" borderId="1" xfId="2" applyFont="1" applyFill="1" applyBorder="1" applyAlignment="1">
      <alignment horizontal="center" vertical="center" textRotation="255" wrapText="1"/>
    </xf>
    <xf numFmtId="0" fontId="11" fillId="23" borderId="1" xfId="2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 vertical="center" wrapText="1"/>
    </xf>
    <xf numFmtId="0" fontId="11" fillId="21" borderId="1" xfId="2" applyFont="1" applyFill="1" applyBorder="1" applyAlignment="1">
      <alignment horizontal="center"/>
    </xf>
    <xf numFmtId="0" fontId="11" fillId="2" borderId="1" xfId="2" applyFont="1" applyFill="1" applyBorder="1" applyAlignment="1">
      <alignment horizontal="center"/>
    </xf>
    <xf numFmtId="0" fontId="11" fillId="19" borderId="1" xfId="2" applyFont="1" applyFill="1" applyBorder="1" applyAlignment="1">
      <alignment horizontal="center"/>
    </xf>
  </cellXfs>
  <cellStyles count="13">
    <cellStyle name="Comma" xfId="1" builtinId="3"/>
    <cellStyle name="Comma [0] 2" xfId="5" xr:uid="{8DA45766-3DEF-49D1-8A83-CDE4A49995BA}"/>
    <cellStyle name="Comma [0] 2 2" xfId="6" xr:uid="{AFB03E82-4678-48CA-B759-FC34721D06F0}"/>
    <cellStyle name="Comma [0] 3" xfId="9" xr:uid="{A9117113-F6B7-4B5C-B22B-748EE331B99C}"/>
    <cellStyle name="Comma 2" xfId="3" xr:uid="{2A39A840-234C-4FBC-8195-DCF90711FD67}"/>
    <cellStyle name="Comma 3" xfId="7" xr:uid="{AD43B226-61BF-47AA-B010-F5027F66A1E2}"/>
    <cellStyle name="Normal" xfId="0" builtinId="0"/>
    <cellStyle name="Normal 2" xfId="4" xr:uid="{0E5F5CD7-110E-4B80-97D3-13BB894174BC}"/>
    <cellStyle name="Normal 3" xfId="2" xr:uid="{AA3D7E68-4A81-4910-A8C0-4ACDD673D1C3}"/>
    <cellStyle name="Normal 3 11" xfId="10" xr:uid="{110E876B-AA45-44BC-A12B-5F2F9071918A}"/>
    <cellStyle name="Normal 3 12" xfId="12" xr:uid="{2D4CDD08-DC3B-49BF-8485-4708A48C1685}"/>
    <cellStyle name="Normal 3 9" xfId="11" xr:uid="{9198DE6F-9026-47D0-BDAB-A8A4F79880F3}"/>
    <cellStyle name="Normal 4" xfId="8" xr:uid="{94B9427C-B52A-475B-8D43-531C56948128}"/>
  </cellStyles>
  <dxfs count="440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D5247"/>
        </patternFill>
      </fill>
    </dxf>
    <dxf>
      <fill>
        <patternFill>
          <bgColor rgb="FFFD5247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FD5247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FD5247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FD5247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D524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colors>
    <mruColors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63" Type="http://schemas.openxmlformats.org/officeDocument/2006/relationships/externalLink" Target="externalLinks/externalLink34.xml"/><Relationship Id="rId68" Type="http://schemas.openxmlformats.org/officeDocument/2006/relationships/externalLink" Target="externalLinks/externalLink3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8" Type="http://schemas.openxmlformats.org/officeDocument/2006/relationships/externalLink" Target="externalLinks/externalLink29.xml"/><Relationship Id="rId66" Type="http://schemas.openxmlformats.org/officeDocument/2006/relationships/externalLink" Target="externalLinks/externalLink37.xml"/><Relationship Id="rId74" Type="http://schemas.openxmlformats.org/officeDocument/2006/relationships/externalLink" Target="externalLinks/externalLink45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externalLink" Target="externalLinks/externalLink27.xml"/><Relationship Id="rId64" Type="http://schemas.openxmlformats.org/officeDocument/2006/relationships/externalLink" Target="externalLinks/externalLink35.xml"/><Relationship Id="rId69" Type="http://schemas.openxmlformats.org/officeDocument/2006/relationships/externalLink" Target="externalLinks/externalLink40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72" Type="http://schemas.openxmlformats.org/officeDocument/2006/relationships/externalLink" Target="externalLinks/externalLink43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59" Type="http://schemas.openxmlformats.org/officeDocument/2006/relationships/externalLink" Target="externalLinks/externalLink30.xml"/><Relationship Id="rId67" Type="http://schemas.openxmlformats.org/officeDocument/2006/relationships/externalLink" Target="externalLinks/externalLink3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externalLink" Target="externalLinks/externalLink25.xml"/><Relationship Id="rId62" Type="http://schemas.openxmlformats.org/officeDocument/2006/relationships/externalLink" Target="externalLinks/externalLink33.xml"/><Relationship Id="rId70" Type="http://schemas.openxmlformats.org/officeDocument/2006/relationships/externalLink" Target="externalLinks/externalLink41.xml"/><Relationship Id="rId75" Type="http://schemas.openxmlformats.org/officeDocument/2006/relationships/externalLink" Target="externalLinks/externalLink4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externalLink" Target="externalLinks/externalLink28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Relationship Id="rId60" Type="http://schemas.openxmlformats.org/officeDocument/2006/relationships/externalLink" Target="externalLinks/externalLink31.xml"/><Relationship Id="rId65" Type="http://schemas.openxmlformats.org/officeDocument/2006/relationships/externalLink" Target="externalLinks/externalLink36.xml"/><Relationship Id="rId73" Type="http://schemas.openxmlformats.org/officeDocument/2006/relationships/externalLink" Target="externalLinks/externalLink44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5.xml"/><Relationship Id="rId50" Type="http://schemas.openxmlformats.org/officeDocument/2006/relationships/externalLink" Target="externalLinks/externalLink21.xml"/><Relationship Id="rId55" Type="http://schemas.openxmlformats.org/officeDocument/2006/relationships/externalLink" Target="externalLinks/externalLink26.xml"/><Relationship Id="rId76" Type="http://schemas.openxmlformats.org/officeDocument/2006/relationships/externalLink" Target="externalLinks/externalLink47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ID" u="sng"/>
              <a:t>Jumlah Blok Terserang Hama Tikus</a:t>
            </a:r>
          </a:p>
          <a:p>
            <a:pPr>
              <a:defRPr u="sng"/>
            </a:pPr>
            <a:r>
              <a:rPr lang="en-ID" u="sng"/>
              <a:t>Periode Deteksi</a:t>
            </a:r>
            <a:r>
              <a:rPr lang="en-ID" u="sng" baseline="0"/>
              <a:t> cek Grading TPH </a:t>
            </a:r>
            <a:r>
              <a:rPr lang="en-ID" u="sng"/>
              <a:t>4 - 9 Mei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Pengendalian 4-9 May'!$AK$16:$AK$17</c:f>
              <c:strCache>
                <c:ptCount val="2"/>
                <c:pt idx="0">
                  <c:v>Kategori Serangan (Jumlah Blok)</c:v>
                </c:pt>
                <c:pt idx="1">
                  <c:v>Berat (&gt;5%)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'Summary Pengendalian 4-9 May'!$M$18:$N$26</c:f>
              <c:multiLvlStrCache>
                <c:ptCount val="9"/>
                <c:lvl>
                  <c:pt idx="0">
                    <c:v>272</c:v>
                  </c:pt>
                  <c:pt idx="1">
                    <c:v>112</c:v>
                  </c:pt>
                  <c:pt idx="2">
                    <c:v>-</c:v>
                  </c:pt>
                  <c:pt idx="3">
                    <c:v>-</c:v>
                  </c:pt>
                  <c:pt idx="4">
                    <c:v>185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</c:lvl>
                <c:lvl>
                  <c:pt idx="0">
                    <c:v>LS</c:v>
                  </c:pt>
                  <c:pt idx="1">
                    <c:v>KALE</c:v>
                  </c:pt>
                  <c:pt idx="2">
                    <c:v>USP</c:v>
                  </c:pt>
                  <c:pt idx="3">
                    <c:v>FAPE</c:v>
                  </c:pt>
                  <c:pt idx="4">
                    <c:v>SMP</c:v>
                  </c:pt>
                  <c:pt idx="5">
                    <c:v>MKSK</c:v>
                  </c:pt>
                  <c:pt idx="6">
                    <c:v>MKSS</c:v>
                  </c:pt>
                  <c:pt idx="7">
                    <c:v>BKP</c:v>
                  </c:pt>
                  <c:pt idx="8">
                    <c:v>PTLJ</c:v>
                  </c:pt>
                </c:lvl>
              </c:multiLvlStrCache>
            </c:multiLvlStrRef>
          </c:cat>
          <c:val>
            <c:numRef>
              <c:f>'Summary Pengendalian 4-9 May'!$AK$18:$AK$26</c:f>
              <c:numCache>
                <c:formatCode>General</c:formatCode>
                <c:ptCount val="9"/>
                <c:pt idx="3">
                  <c:v>1</c:v>
                </c:pt>
                <c:pt idx="4">
                  <c:v>80</c:v>
                </c:pt>
                <c:pt idx="5">
                  <c:v>30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5-498B-9BE7-4A1EA9B54973}"/>
            </c:ext>
          </c:extLst>
        </c:ser>
        <c:ser>
          <c:idx val="1"/>
          <c:order val="1"/>
          <c:tx>
            <c:strRef>
              <c:f>'Summary Pengendalian 4-9 May'!$AL$16:$AL$17</c:f>
              <c:strCache>
                <c:ptCount val="2"/>
                <c:pt idx="0">
                  <c:v>Kategori Serangan (Jumlah Blok)</c:v>
                </c:pt>
                <c:pt idx="1">
                  <c:v>Sedang (&gt;5%)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'Summary Pengendalian 4-9 May'!$M$18:$N$26</c:f>
              <c:multiLvlStrCache>
                <c:ptCount val="9"/>
                <c:lvl>
                  <c:pt idx="0">
                    <c:v>272</c:v>
                  </c:pt>
                  <c:pt idx="1">
                    <c:v>112</c:v>
                  </c:pt>
                  <c:pt idx="2">
                    <c:v>-</c:v>
                  </c:pt>
                  <c:pt idx="3">
                    <c:v>-</c:v>
                  </c:pt>
                  <c:pt idx="4">
                    <c:v>185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</c:lvl>
                <c:lvl>
                  <c:pt idx="0">
                    <c:v>LS</c:v>
                  </c:pt>
                  <c:pt idx="1">
                    <c:v>KALE</c:v>
                  </c:pt>
                  <c:pt idx="2">
                    <c:v>USP</c:v>
                  </c:pt>
                  <c:pt idx="3">
                    <c:v>FAPE</c:v>
                  </c:pt>
                  <c:pt idx="4">
                    <c:v>SMP</c:v>
                  </c:pt>
                  <c:pt idx="5">
                    <c:v>MKSK</c:v>
                  </c:pt>
                  <c:pt idx="6">
                    <c:v>MKSS</c:v>
                  </c:pt>
                  <c:pt idx="7">
                    <c:v>BKP</c:v>
                  </c:pt>
                  <c:pt idx="8">
                    <c:v>PTLJ</c:v>
                  </c:pt>
                </c:lvl>
              </c:multiLvlStrCache>
            </c:multiLvlStrRef>
          </c:cat>
          <c:val>
            <c:numRef>
              <c:f>'Summary Pengendalian 4-9 May'!$AL$18:$AL$26</c:f>
              <c:numCache>
                <c:formatCode>General</c:formatCode>
                <c:ptCount val="9"/>
                <c:pt idx="3">
                  <c:v>13</c:v>
                </c:pt>
                <c:pt idx="4">
                  <c:v>1</c:v>
                </c:pt>
                <c:pt idx="5">
                  <c:v>1</c:v>
                </c:pt>
                <c:pt idx="6">
                  <c:v>5</c:v>
                </c:pt>
                <c:pt idx="7">
                  <c:v>20</c:v>
                </c:pt>
                <c:pt idx="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D5-498B-9BE7-4A1EA9B54973}"/>
            </c:ext>
          </c:extLst>
        </c:ser>
        <c:ser>
          <c:idx val="2"/>
          <c:order val="2"/>
          <c:tx>
            <c:strRef>
              <c:f>'Summary Pengendalian 4-9 May'!$AM$16:$AM$17</c:f>
              <c:strCache>
                <c:ptCount val="2"/>
                <c:pt idx="0">
                  <c:v>Kategori Serangan (Jumlah Blok)</c:v>
                </c:pt>
                <c:pt idx="1">
                  <c:v>Ringan (&gt;5%)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'Summary Pengendalian 4-9 May'!$M$18:$N$26</c:f>
              <c:multiLvlStrCache>
                <c:ptCount val="9"/>
                <c:lvl>
                  <c:pt idx="0">
                    <c:v>272</c:v>
                  </c:pt>
                  <c:pt idx="1">
                    <c:v>112</c:v>
                  </c:pt>
                  <c:pt idx="2">
                    <c:v>-</c:v>
                  </c:pt>
                  <c:pt idx="3">
                    <c:v>-</c:v>
                  </c:pt>
                  <c:pt idx="4">
                    <c:v>185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</c:lvl>
                <c:lvl>
                  <c:pt idx="0">
                    <c:v>LS</c:v>
                  </c:pt>
                  <c:pt idx="1">
                    <c:v>KALE</c:v>
                  </c:pt>
                  <c:pt idx="2">
                    <c:v>USP</c:v>
                  </c:pt>
                  <c:pt idx="3">
                    <c:v>FAPE</c:v>
                  </c:pt>
                  <c:pt idx="4">
                    <c:v>SMP</c:v>
                  </c:pt>
                  <c:pt idx="5">
                    <c:v>MKSK</c:v>
                  </c:pt>
                  <c:pt idx="6">
                    <c:v>MKSS</c:v>
                  </c:pt>
                  <c:pt idx="7">
                    <c:v>BKP</c:v>
                  </c:pt>
                  <c:pt idx="8">
                    <c:v>PTLJ</c:v>
                  </c:pt>
                </c:lvl>
              </c:multiLvlStrCache>
            </c:multiLvlStrRef>
          </c:cat>
          <c:val>
            <c:numRef>
              <c:f>'Summary Pengendalian 4-9 May'!$AM$18:$AM$26</c:f>
              <c:numCache>
                <c:formatCode>General</c:formatCode>
                <c:ptCount val="9"/>
                <c:pt idx="3">
                  <c:v>4</c:v>
                </c:pt>
                <c:pt idx="5">
                  <c:v>3</c:v>
                </c:pt>
                <c:pt idx="6">
                  <c:v>55</c:v>
                </c:pt>
                <c:pt idx="7">
                  <c:v>2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D5-498B-9BE7-4A1EA9B549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1464879"/>
        <c:axId val="41459599"/>
      </c:barChart>
      <c:catAx>
        <c:axId val="41464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rPr lang="en-ID"/>
                  <a:t>Kebun/PT</a:t>
                </a:r>
              </a:p>
            </c:rich>
          </c:tx>
          <c:layout>
            <c:manualLayout>
              <c:xMode val="edge"/>
              <c:yMode val="edge"/>
              <c:x val="0.49518944506936635"/>
              <c:y val="0.899464062304703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41459599"/>
        <c:crosses val="autoZero"/>
        <c:auto val="1"/>
        <c:lblAlgn val="ctr"/>
        <c:lblOffset val="100"/>
        <c:noMultiLvlLbl val="0"/>
      </c:catAx>
      <c:valAx>
        <c:axId val="4145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rPr lang="en-ID"/>
                  <a:t>jUMLAH</a:t>
                </a:r>
                <a:r>
                  <a:rPr lang="en-ID" baseline="0"/>
                  <a:t> bLOK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4146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360" b="1" i="0" u="sng" strike="noStrike" kern="1200" spc="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ID" b="1" u="sng"/>
              <a:t>Perbandingan Serangan Tikus berdasarkan kegiatan Deteksi periode Mei - Jun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360" b="1" i="0" u="sng" strike="noStrike" kern="1200" spc="0" baseline="0">
              <a:solidFill>
                <a:schemeClr val="tx1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556597583387569E-2"/>
          <c:y val="8.551247205960294E-2"/>
          <c:w val="0.95308563297692894"/>
          <c:h val="0.577465441790633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'Summary Det, Sns 16-31 Jul 2026'!$AC$32</c:f>
              <c:strCache>
                <c:ptCount val="1"/>
                <c:pt idx="0">
                  <c:v>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'Summary Det, Sns 16-31 Jul 2026'!$AD$29:$AY$31</c15:sqref>
                  </c15:fullRef>
                </c:ext>
              </c:extLst>
              <c:f>('Summary Det, Sns 16-31 Jul 2026'!$AE$29:$AE$31,'Summary Det, Sns 16-31 Jul 2026'!$AG$29:$AG$31,'Summary Det, Sns 16-31 Jul 2026'!$AI$29:$AI$31)</c:f>
              <c:multiLvlStrCache>
                <c:ptCount val="3"/>
                <c:lvl/>
                <c:lvl>
                  <c:pt idx="0">
                    <c:v>% Serangan Blok Deteksi
(%)</c:v>
                  </c:pt>
                  <c:pt idx="1">
                    <c:v>% Serangan Blok Deteksi
(%)</c:v>
                  </c:pt>
                  <c:pt idx="2">
                    <c:v>% Serangan Blok Deteksi
(%)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Det, Sns 16-31 Jul 2026'!$AD$32:$AY$32</c15:sqref>
                  </c15:fullRef>
                </c:ext>
              </c:extLst>
              <c:f>('Summary Det, Sns 16-31 Jul 2026'!$AE$32,'Summary Det, Sns 16-31 Jul 2026'!$AG$32,'Summary Det, Sns 16-31 Jul 2026'!$AI$32)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9F06-4461-ABAD-101C47D69536}"/>
            </c:ext>
          </c:extLst>
        </c:ser>
        <c:ser>
          <c:idx val="1"/>
          <c:order val="1"/>
          <c:tx>
            <c:strRef>
              <c:f>'Summary Det, Sns 16-31 Jul 2026'!$AC$33</c:f>
              <c:strCache>
                <c:ptCount val="1"/>
                <c:pt idx="0">
                  <c:v>KALE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'Summary Det, Sns 16-31 Jul 2026'!$AD$29:$AY$31</c15:sqref>
                  </c15:fullRef>
                </c:ext>
              </c:extLst>
              <c:f>('Summary Det, Sns 16-31 Jul 2026'!$AE$29:$AE$31,'Summary Det, Sns 16-31 Jul 2026'!$AG$29:$AG$31,'Summary Det, Sns 16-31 Jul 2026'!$AI$29:$AI$31)</c:f>
              <c:multiLvlStrCache>
                <c:ptCount val="3"/>
                <c:lvl/>
                <c:lvl>
                  <c:pt idx="0">
                    <c:v>% Serangan Blok Deteksi
(%)</c:v>
                  </c:pt>
                  <c:pt idx="1">
                    <c:v>% Serangan Blok Deteksi
(%)</c:v>
                  </c:pt>
                  <c:pt idx="2">
                    <c:v>% Serangan Blok Deteksi
(%)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Det, Sns 16-31 Jul 2026'!$AD$33:$AY$33</c15:sqref>
                  </c15:fullRef>
                </c:ext>
              </c:extLst>
              <c:f>('Summary Det, Sns 16-31 Jul 2026'!$AE$33,'Summary Det, Sns 16-31 Jul 2026'!$AG$33,'Summary Det, Sns 16-31 Jul 2026'!$AI$33)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9F06-4461-ABAD-101C47D69536}"/>
            </c:ext>
          </c:extLst>
        </c:ser>
        <c:ser>
          <c:idx val="2"/>
          <c:order val="2"/>
          <c:tx>
            <c:strRef>
              <c:f>'Summary Det, Sns 16-31 Jul 2026'!$AC$34</c:f>
              <c:strCache>
                <c:ptCount val="1"/>
                <c:pt idx="0">
                  <c:v>USP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'Summary Det, Sns 16-31 Jul 2026'!$AD$29:$AY$31</c15:sqref>
                  </c15:fullRef>
                </c:ext>
              </c:extLst>
              <c:f>('Summary Det, Sns 16-31 Jul 2026'!$AE$29:$AE$31,'Summary Det, Sns 16-31 Jul 2026'!$AG$29:$AG$31,'Summary Det, Sns 16-31 Jul 2026'!$AI$29:$AI$31)</c:f>
              <c:multiLvlStrCache>
                <c:ptCount val="3"/>
                <c:lvl/>
                <c:lvl>
                  <c:pt idx="0">
                    <c:v>% Serangan Blok Deteksi
(%)</c:v>
                  </c:pt>
                  <c:pt idx="1">
                    <c:v>% Serangan Blok Deteksi
(%)</c:v>
                  </c:pt>
                  <c:pt idx="2">
                    <c:v>% Serangan Blok Deteksi
(%)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Det, Sns 16-31 Jul 2026'!$AD$34:$AY$34</c15:sqref>
                  </c15:fullRef>
                </c:ext>
              </c:extLst>
              <c:f>('Summary Det, Sns 16-31 Jul 2026'!$AE$34,'Summary Det, Sns 16-31 Jul 2026'!$AG$34,'Summary Det, Sns 16-31 Jul 2026'!$AI$34)</c:f>
              <c:numCache>
                <c:formatCode>0.00</c:formatCode>
                <c:ptCount val="3"/>
                <c:pt idx="0">
                  <c:v>1.629246969998013</c:v>
                </c:pt>
                <c:pt idx="1">
                  <c:v>2.106840294476712</c:v>
                </c:pt>
                <c:pt idx="2">
                  <c:v>1.9365935521202728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06-4461-ABAD-101C47D69536}"/>
            </c:ext>
          </c:extLst>
        </c:ser>
        <c:ser>
          <c:idx val="3"/>
          <c:order val="3"/>
          <c:tx>
            <c:strRef>
              <c:f>'Summary Det, Sns 16-31 Jul 2026'!$AC$35</c:f>
              <c:strCache>
                <c:ptCount val="1"/>
                <c:pt idx="0">
                  <c:v>FAPE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'Summary Det, Sns 16-31 Jul 2026'!$AD$29:$AY$31</c15:sqref>
                  </c15:fullRef>
                </c:ext>
              </c:extLst>
              <c:f>('Summary Det, Sns 16-31 Jul 2026'!$AE$29:$AE$31,'Summary Det, Sns 16-31 Jul 2026'!$AG$29:$AG$31,'Summary Det, Sns 16-31 Jul 2026'!$AI$29:$AI$31)</c:f>
              <c:multiLvlStrCache>
                <c:ptCount val="3"/>
                <c:lvl/>
                <c:lvl>
                  <c:pt idx="0">
                    <c:v>% Serangan Blok Deteksi
(%)</c:v>
                  </c:pt>
                  <c:pt idx="1">
                    <c:v>% Serangan Blok Deteksi
(%)</c:v>
                  </c:pt>
                  <c:pt idx="2">
                    <c:v>% Serangan Blok Deteksi
(%)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Det, Sns 16-31 Jul 2026'!$AD$35:$AY$35</c15:sqref>
                  </c15:fullRef>
                </c:ext>
              </c:extLst>
              <c:f>('Summary Det, Sns 16-31 Jul 2026'!$AE$35,'Summary Det, Sns 16-31 Jul 2026'!$AG$35,'Summary Det, Sns 16-31 Jul 2026'!$AI$35)</c:f>
              <c:numCache>
                <c:formatCode>0.00</c:formatCode>
                <c:ptCount val="3"/>
                <c:pt idx="0">
                  <c:v>3.5770560377520613</c:v>
                </c:pt>
                <c:pt idx="1">
                  <c:v>3.1382742661510177</c:v>
                </c:pt>
                <c:pt idx="2">
                  <c:v>2.7990767132319436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06-4461-ABAD-101C47D69536}"/>
            </c:ext>
          </c:extLst>
        </c:ser>
        <c:ser>
          <c:idx val="4"/>
          <c:order val="4"/>
          <c:tx>
            <c:strRef>
              <c:f>'Summary Det, Sns 16-31 Jul 2026'!$AC$36</c:f>
              <c:strCache>
                <c:ptCount val="1"/>
                <c:pt idx="0">
                  <c:v>SMP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'Summary Det, Sns 16-31 Jul 2026'!$AD$29:$AY$31</c15:sqref>
                  </c15:fullRef>
                </c:ext>
              </c:extLst>
              <c:f>('Summary Det, Sns 16-31 Jul 2026'!$AE$29:$AE$31,'Summary Det, Sns 16-31 Jul 2026'!$AG$29:$AG$31,'Summary Det, Sns 16-31 Jul 2026'!$AI$29:$AI$31)</c:f>
              <c:multiLvlStrCache>
                <c:ptCount val="3"/>
                <c:lvl/>
                <c:lvl>
                  <c:pt idx="0">
                    <c:v>% Serangan Blok Deteksi
(%)</c:v>
                  </c:pt>
                  <c:pt idx="1">
                    <c:v>% Serangan Blok Deteksi
(%)</c:v>
                  </c:pt>
                  <c:pt idx="2">
                    <c:v>% Serangan Blok Deteksi
(%)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Det, Sns 16-31 Jul 2026'!$AD$36:$AY$36</c15:sqref>
                  </c15:fullRef>
                </c:ext>
              </c:extLst>
              <c:f>('Summary Det, Sns 16-31 Jul 2026'!$AE$36,'Summary Det, Sns 16-31 Jul 2026'!$AG$36,'Summary Det, Sns 16-31 Jul 2026'!$AI$36)</c:f>
              <c:numCache>
                <c:formatCode>0.00</c:formatCode>
                <c:ptCount val="3"/>
                <c:pt idx="0">
                  <c:v>24.022150438394092</c:v>
                </c:pt>
                <c:pt idx="1">
                  <c:v>23.439809025804252</c:v>
                </c:pt>
                <c:pt idx="2">
                  <c:v>2.0655761057954845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06-4461-ABAD-101C47D69536}"/>
            </c:ext>
          </c:extLst>
        </c:ser>
        <c:ser>
          <c:idx val="5"/>
          <c:order val="5"/>
          <c:tx>
            <c:strRef>
              <c:f>'Summary Det, Sns 16-31 Jul 2026'!$AC$37</c:f>
              <c:strCache>
                <c:ptCount val="1"/>
                <c:pt idx="0">
                  <c:v>MKSS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'Summary Det, Sns 16-31 Jul 2026'!$AD$29:$AY$31</c15:sqref>
                  </c15:fullRef>
                </c:ext>
              </c:extLst>
              <c:f>('Summary Det, Sns 16-31 Jul 2026'!$AE$29:$AE$31,'Summary Det, Sns 16-31 Jul 2026'!$AG$29:$AG$31,'Summary Det, Sns 16-31 Jul 2026'!$AI$29:$AI$31)</c:f>
              <c:multiLvlStrCache>
                <c:ptCount val="3"/>
                <c:lvl/>
                <c:lvl>
                  <c:pt idx="0">
                    <c:v>% Serangan Blok Deteksi
(%)</c:v>
                  </c:pt>
                  <c:pt idx="1">
                    <c:v>% Serangan Blok Deteksi
(%)</c:v>
                  </c:pt>
                  <c:pt idx="2">
                    <c:v>% Serangan Blok Deteksi
(%)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Det, Sns 16-31 Jul 2026'!$AD$37:$AY$37</c15:sqref>
                  </c15:fullRef>
                </c:ext>
              </c:extLst>
              <c:f>('Summary Det, Sns 16-31 Jul 2026'!$AE$37,'Summary Det, Sns 16-31 Jul 2026'!$AG$37,'Summary Det, Sns 16-31 Jul 2026'!$AI$37)</c:f>
              <c:numCache>
                <c:formatCode>0.00</c:formatCode>
                <c:ptCount val="3"/>
                <c:pt idx="0">
                  <c:v>1.0334604517859662</c:v>
                </c:pt>
                <c:pt idx="1">
                  <c:v>1.1259892436599714</c:v>
                </c:pt>
                <c:pt idx="2">
                  <c:v>0.82450731514646713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06-4461-ABAD-101C47D69536}"/>
            </c:ext>
          </c:extLst>
        </c:ser>
        <c:ser>
          <c:idx val="6"/>
          <c:order val="6"/>
          <c:tx>
            <c:strRef>
              <c:f>'Summary Det, Sns 16-31 Jul 2026'!$AC$38</c:f>
              <c:strCache>
                <c:ptCount val="1"/>
                <c:pt idx="0">
                  <c:v>MKSK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'Summary Det, Sns 16-31 Jul 2026'!$AD$29:$AY$31</c15:sqref>
                  </c15:fullRef>
                </c:ext>
              </c:extLst>
              <c:f>('Summary Det, Sns 16-31 Jul 2026'!$AE$29:$AE$31,'Summary Det, Sns 16-31 Jul 2026'!$AG$29:$AG$31,'Summary Det, Sns 16-31 Jul 2026'!$AI$29:$AI$31)</c:f>
              <c:multiLvlStrCache>
                <c:ptCount val="3"/>
                <c:lvl/>
                <c:lvl>
                  <c:pt idx="0">
                    <c:v>% Serangan Blok Deteksi
(%)</c:v>
                  </c:pt>
                  <c:pt idx="1">
                    <c:v>% Serangan Blok Deteksi
(%)</c:v>
                  </c:pt>
                  <c:pt idx="2">
                    <c:v>% Serangan Blok Deteksi
(%)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Det, Sns 16-31 Jul 2026'!$AD$38:$AY$38</c15:sqref>
                  </c15:fullRef>
                </c:ext>
              </c:extLst>
              <c:f>('Summary Det, Sns 16-31 Jul 2026'!$AE$38,'Summary Det, Sns 16-31 Jul 2026'!$AG$38,'Summary Det, Sns 16-31 Jul 2026'!$AI$38)</c:f>
              <c:numCache>
                <c:formatCode>0.00</c:formatCode>
                <c:ptCount val="3"/>
                <c:pt idx="0">
                  <c:v>22.364808231451779</c:v>
                </c:pt>
                <c:pt idx="1">
                  <c:v>22.785618865075215</c:v>
                </c:pt>
                <c:pt idx="2">
                  <c:v>5.8107041883095532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06-4461-ABAD-101C47D69536}"/>
            </c:ext>
          </c:extLst>
        </c:ser>
        <c:ser>
          <c:idx val="7"/>
          <c:order val="7"/>
          <c:tx>
            <c:strRef>
              <c:f>'Summary Det, Sns 16-31 Jul 2026'!$AC$39</c:f>
              <c:strCache>
                <c:ptCount val="1"/>
                <c:pt idx="0">
                  <c:v>PTLJ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'Summary Det, Sns 16-31 Jul 2026'!$AD$29:$AY$31</c15:sqref>
                  </c15:fullRef>
                </c:ext>
              </c:extLst>
              <c:f>('Summary Det, Sns 16-31 Jul 2026'!$AE$29:$AE$31,'Summary Det, Sns 16-31 Jul 2026'!$AG$29:$AG$31,'Summary Det, Sns 16-31 Jul 2026'!$AI$29:$AI$31)</c:f>
              <c:multiLvlStrCache>
                <c:ptCount val="3"/>
                <c:lvl/>
                <c:lvl>
                  <c:pt idx="0">
                    <c:v>% Serangan Blok Deteksi
(%)</c:v>
                  </c:pt>
                  <c:pt idx="1">
                    <c:v>% Serangan Blok Deteksi
(%)</c:v>
                  </c:pt>
                  <c:pt idx="2">
                    <c:v>% Serangan Blok Deteksi
(%)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Det, Sns 16-31 Jul 2026'!$AD$39:$AY$39</c15:sqref>
                  </c15:fullRef>
                </c:ext>
              </c:extLst>
              <c:f>('Summary Det, Sns 16-31 Jul 2026'!$AE$39,'Summary Det, Sns 16-31 Jul 2026'!$AG$39,'Summary Det, Sns 16-31 Jul 2026'!$AI$39)</c:f>
              <c:numCache>
                <c:formatCode>0.00</c:formatCode>
                <c:ptCount val="3"/>
                <c:pt idx="0">
                  <c:v>4.905328752896061</c:v>
                </c:pt>
                <c:pt idx="1">
                  <c:v>3.3161688980432542</c:v>
                </c:pt>
                <c:pt idx="2">
                  <c:v>2.9599694172901536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06-4461-ABAD-101C47D69536}"/>
            </c:ext>
          </c:extLst>
        </c:ser>
        <c:ser>
          <c:idx val="8"/>
          <c:order val="8"/>
          <c:tx>
            <c:strRef>
              <c:f>'Summary Det, Sns 16-31 Jul 2026'!$AC$40</c:f>
              <c:strCache>
                <c:ptCount val="1"/>
                <c:pt idx="0">
                  <c:v>BKP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'Summary Det, Sns 16-31 Jul 2026'!$AD$29:$AY$31</c15:sqref>
                  </c15:fullRef>
                </c:ext>
              </c:extLst>
              <c:f>('Summary Det, Sns 16-31 Jul 2026'!$AE$29:$AE$31,'Summary Det, Sns 16-31 Jul 2026'!$AG$29:$AG$31,'Summary Det, Sns 16-31 Jul 2026'!$AI$29:$AI$31)</c:f>
              <c:multiLvlStrCache>
                <c:ptCount val="3"/>
                <c:lvl/>
                <c:lvl>
                  <c:pt idx="0">
                    <c:v>% Serangan Blok Deteksi
(%)</c:v>
                  </c:pt>
                  <c:pt idx="1">
                    <c:v>% Serangan Blok Deteksi
(%)</c:v>
                  </c:pt>
                  <c:pt idx="2">
                    <c:v>% Serangan Blok Deteksi
(%)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Det, Sns 16-31 Jul 2026'!$AD$40:$AY$40</c15:sqref>
                  </c15:fullRef>
                </c:ext>
              </c:extLst>
              <c:f>('Summary Det, Sns 16-31 Jul 2026'!$AE$40,'Summary Det, Sns 16-31 Jul 2026'!$AG$40,'Summary Det, Sns 16-31 Jul 2026'!$AI$40)</c:f>
              <c:numCache>
                <c:formatCode>0.00</c:formatCode>
                <c:ptCount val="3"/>
                <c:pt idx="0">
                  <c:v>4.5612547689699028</c:v>
                </c:pt>
                <c:pt idx="1">
                  <c:v>2.8584972742356012</c:v>
                </c:pt>
                <c:pt idx="2">
                  <c:v>3.3783004727314649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F06-4461-ABAD-101C47D695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134768"/>
        <c:axId val="153142928"/>
      </c:barChart>
      <c:catAx>
        <c:axId val="153134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rPr lang="en-ID"/>
                  <a:t>% Serangan per Periode</a:t>
                </a:r>
              </a:p>
            </c:rich>
          </c:tx>
          <c:layout>
            <c:manualLayout>
              <c:xMode val="edge"/>
              <c:yMode val="edge"/>
              <c:x val="0.45357011899018912"/>
              <c:y val="0.880347415787906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53142928"/>
        <c:crosses val="autoZero"/>
        <c:auto val="1"/>
        <c:lblAlgn val="ctr"/>
        <c:lblOffset val="100"/>
        <c:noMultiLvlLbl val="0"/>
      </c:catAx>
      <c:valAx>
        <c:axId val="15314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rPr lang="en-ID" b="1"/>
                  <a:t>% Serangan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5313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940292943798029"/>
          <c:y val="0.94574849290484875"/>
          <c:w val="0.57202592763638427"/>
          <c:h val="3.22731876954794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800">
          <a:solidFill>
            <a:schemeClr val="tx1"/>
          </a:solidFill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ID" u="sng"/>
              <a:t>Perbandingan Data Sensus, AKP, dan Deteksi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Comparison!$D$579</c:f>
              <c:strCache>
                <c:ptCount val="1"/>
                <c:pt idx="0">
                  <c:v>% Serangan Sensus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Comparison!$B$580:$B$584</c:f>
              <c:strCache>
                <c:ptCount val="5"/>
                <c:pt idx="0">
                  <c:v>SMP 1</c:v>
                </c:pt>
                <c:pt idx="1">
                  <c:v>SMP 2</c:v>
                </c:pt>
                <c:pt idx="2">
                  <c:v>BKP</c:v>
                </c:pt>
                <c:pt idx="3">
                  <c:v>PLTJ</c:v>
                </c:pt>
                <c:pt idx="4">
                  <c:v>Total</c:v>
                </c:pt>
              </c:strCache>
            </c:strRef>
          </c:cat>
          <c:val>
            <c:numRef>
              <c:f>Comparison!$D$580:$D$584</c:f>
              <c:numCache>
                <c:formatCode>0.00</c:formatCode>
                <c:ptCount val="5"/>
                <c:pt idx="0">
                  <c:v>14.518808090314225</c:v>
                </c:pt>
                <c:pt idx="1">
                  <c:v>17.087632835361159</c:v>
                </c:pt>
                <c:pt idx="2">
                  <c:v>12.476053639846743</c:v>
                </c:pt>
                <c:pt idx="3">
                  <c:v>6.1990212071778146</c:v>
                </c:pt>
                <c:pt idx="4">
                  <c:v>15.081623973566263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F-4EF9-A01E-DE52AA1CCFCC}"/>
            </c:ext>
          </c:extLst>
        </c:ser>
        <c:ser>
          <c:idx val="1"/>
          <c:order val="1"/>
          <c:tx>
            <c:strRef>
              <c:f>Comparison!$E$579</c:f>
              <c:strCache>
                <c:ptCount val="1"/>
                <c:pt idx="0">
                  <c:v>% Serangan AKP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Comparison!$B$580:$B$584</c:f>
              <c:strCache>
                <c:ptCount val="5"/>
                <c:pt idx="0">
                  <c:v>SMP 1</c:v>
                </c:pt>
                <c:pt idx="1">
                  <c:v>SMP 2</c:v>
                </c:pt>
                <c:pt idx="2">
                  <c:v>BKP</c:v>
                </c:pt>
                <c:pt idx="3">
                  <c:v>PLTJ</c:v>
                </c:pt>
                <c:pt idx="4">
                  <c:v>Total</c:v>
                </c:pt>
              </c:strCache>
            </c:strRef>
          </c:cat>
          <c:val>
            <c:numRef>
              <c:f>Comparison!$E$580:$E$584</c:f>
              <c:numCache>
                <c:formatCode>0.00</c:formatCode>
                <c:ptCount val="5"/>
                <c:pt idx="0">
                  <c:v>27.352150537634408</c:v>
                </c:pt>
                <c:pt idx="1">
                  <c:v>19.727614594979165</c:v>
                </c:pt>
                <c:pt idx="2">
                  <c:v>13.430656934306571</c:v>
                </c:pt>
                <c:pt idx="3">
                  <c:v>7.3517126148705092</c:v>
                </c:pt>
                <c:pt idx="4">
                  <c:v>20.648748841519925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AF-4EF9-A01E-DE52AA1CCFCC}"/>
            </c:ext>
          </c:extLst>
        </c:ser>
        <c:ser>
          <c:idx val="2"/>
          <c:order val="2"/>
          <c:tx>
            <c:strRef>
              <c:f>Comparison!$F$579</c:f>
              <c:strCache>
                <c:ptCount val="1"/>
                <c:pt idx="0">
                  <c:v>% Serangan Grading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Comparison!$B$580:$B$584</c:f>
              <c:strCache>
                <c:ptCount val="5"/>
                <c:pt idx="0">
                  <c:v>SMP 1</c:v>
                </c:pt>
                <c:pt idx="1">
                  <c:v>SMP 2</c:v>
                </c:pt>
                <c:pt idx="2">
                  <c:v>BKP</c:v>
                </c:pt>
                <c:pt idx="3">
                  <c:v>PLTJ</c:v>
                </c:pt>
                <c:pt idx="4">
                  <c:v>Total</c:v>
                </c:pt>
              </c:strCache>
            </c:strRef>
          </c:cat>
          <c:val>
            <c:numRef>
              <c:f>Comparison!$F$580:$F$584</c:f>
              <c:numCache>
                <c:formatCode>0.00</c:formatCode>
                <c:ptCount val="5"/>
                <c:pt idx="0">
                  <c:v>19.859481276627548</c:v>
                </c:pt>
                <c:pt idx="1">
                  <c:v>23.644922398172223</c:v>
                </c:pt>
                <c:pt idx="2">
                  <c:v>2.8675282714054928</c:v>
                </c:pt>
                <c:pt idx="3">
                  <c:v>4.6687263989014758</c:v>
                </c:pt>
                <c:pt idx="4">
                  <c:v>19.166845378511688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AF-4EF9-A01E-DE52AA1CCF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3584112"/>
        <c:axId val="543575472"/>
      </c:barChart>
      <c:catAx>
        <c:axId val="54358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rPr lang="en-ID"/>
                  <a:t>PT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43575472"/>
        <c:crosses val="autoZero"/>
        <c:auto val="1"/>
        <c:lblAlgn val="ctr"/>
        <c:lblOffset val="100"/>
        <c:noMultiLvlLbl val="0"/>
      </c:catAx>
      <c:valAx>
        <c:axId val="54357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rPr lang="en-ID"/>
                  <a:t>% Serangan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435841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28</xdr:row>
      <xdr:rowOff>0</xdr:rowOff>
    </xdr:from>
    <xdr:to>
      <xdr:col>44</xdr:col>
      <xdr:colOff>245918</xdr:colOff>
      <xdr:row>55</xdr:row>
      <xdr:rowOff>155864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BFECA9-7D77-431C-9E10-B7591FA18C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43297</xdr:colOff>
      <xdr:row>40</xdr:row>
      <xdr:rowOff>152401</xdr:rowOff>
    </xdr:from>
    <xdr:to>
      <xdr:col>49</xdr:col>
      <xdr:colOff>554182</xdr:colOff>
      <xdr:row>117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613532-FC18-5D8D-823E-0707F5A979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576951</xdr:colOff>
      <xdr:row>580</xdr:row>
      <xdr:rowOff>157842</xdr:rowOff>
    </xdr:from>
    <xdr:to>
      <xdr:col>14</xdr:col>
      <xdr:colOff>522513</xdr:colOff>
      <xdr:row>605</xdr:row>
      <xdr:rowOff>21771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5D9945-8C5A-08E5-1AA9-BBFA3D3CB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141895</xdr:colOff>
      <xdr:row>13</xdr:row>
      <xdr:rowOff>79179</xdr:rowOff>
    </xdr:from>
    <xdr:to>
      <xdr:col>24</xdr:col>
      <xdr:colOff>319695</xdr:colOff>
      <xdr:row>14</xdr:row>
      <xdr:rowOff>41079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33D943B-B5EB-45AA-B522-703BE3DD4199}"/>
            </a:ext>
          </a:extLst>
        </xdr:cNvPr>
        <xdr:cNvSpPr/>
      </xdr:nvSpPr>
      <xdr:spPr>
        <a:xfrm>
          <a:off x="17370715" y="3294819"/>
          <a:ext cx="177800" cy="160020"/>
        </a:xfrm>
        <a:prstGeom prst="rect">
          <a:avLst/>
        </a:prstGeom>
        <a:solidFill>
          <a:srgbClr val="FF7E7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141895</xdr:colOff>
      <xdr:row>12</xdr:row>
      <xdr:rowOff>66479</xdr:rowOff>
    </xdr:from>
    <xdr:to>
      <xdr:col>24</xdr:col>
      <xdr:colOff>319695</xdr:colOff>
      <xdr:row>13</xdr:row>
      <xdr:rowOff>28379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9D59A2-A6A7-4664-85F9-2284009AC66B}"/>
            </a:ext>
          </a:extLst>
        </xdr:cNvPr>
        <xdr:cNvSpPr/>
      </xdr:nvSpPr>
      <xdr:spPr>
        <a:xfrm>
          <a:off x="17370715" y="3083999"/>
          <a:ext cx="177800" cy="16002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Lmdnfs3/Grouphome/DOCUME~1/rafik/LOCALS~1/Temp/Temporary%20Directory%201%20for%20SS%20Rubber%20Project%20Completion%20Study%20SS%20Ver2.zip/SS%20Rubber%20Project%20Completion%20Study%20SS.xls" TargetMode="External"/><Relationship Id="rId1" Type="http://schemas.openxmlformats.org/officeDocument/2006/relationships/externalLinkPath" Target="/Lmdnfs3/Grouphome/DOCUME~1/rafik/LOCALS~1/Temp/Temporary%20Directory%201%20for%20SS%20Rubber%20Project%20Completion%20Study%20SS%20Ver2.zip/SS%20Rubber%20Project%20Completion%20Study%20S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Lmdnfs3/Grouphome/EPC/SOP/POW%20REPORT/Progress%20Report%20Revised%20Jun%20-%202005%20ver3.xls" TargetMode="External"/><Relationship Id="rId1" Type="http://schemas.openxmlformats.org/officeDocument/2006/relationships/externalLinkPath" Target="/Lmdnfs3/Grouphome/EPC/SOP/POW%20REPORT/Progress%20Report%20Revised%20Jun%20-%202005%20ver3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Lmdnfs3/Grouphome/Sei%20Rumbiya%20Estate/MUCHLISIN/MONTHLY%20PROGRESS%20REPORT%202007/MPR%20GM-R%20-%20SRE-1007/Progress%20Report%20Revised%20Jun%20-%202005%20ver3.xls" TargetMode="External"/><Relationship Id="rId1" Type="http://schemas.openxmlformats.org/officeDocument/2006/relationships/externalLinkPath" Target="/Lmdnfs3/Grouphome/Sei%20Rumbiya%20Estate/MUCHLISIN/MONTHLY%20PROGRESS%20REPORT%202007/MPR%20GM-R%20-%20SRE-1007/Progress%20Report%20Revised%20Jun%20-%202005%20ver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Rekap%20sensus%20BBC%20PT.BSS/My%20Tanaman%20(%20DUA%20)/OPERATIONAL%20REPORT%20ELGE%20-%202008/TAHAP%20I/RA-WS%20Yes%20penyebaran%20%2525252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/Gunarto/My%20Documents/QBR/QBR%202008/BP%202008/BP%20FACTORY%20ver%202/BP%202008%20VERSI%202%20UPLOAD%20TO%20COGNOS/BP%202008%20-%20VERSI%202%20TRCF/BUDGET%20TRCF%202008/BP%20SUPPORT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Rekap%20sensus%20BBC%20PT.BSS/Public/Tarigan/EX%20DCVS%2008/BUDGETING/PREPARATION/2012/OAD%20Form%20BP%2002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Lsdarsesm1/GroupHome/ZAINAL/BP%202006%20-%20CAPEX%20GMLP%20AREAS%20(Revised%2011.11.2005)%20-%20R.%20SIALANG.xls" TargetMode="External"/><Relationship Id="rId1" Type="http://schemas.openxmlformats.org/officeDocument/2006/relationships/externalLinkPath" Target="/Lsdarsesm1/GroupHome/ZAINAL/BP%202006%20-%20CAPEX%20GMLP%20AREAS%20(Revised%2011.11.2005)%20-%20R.%20SIALANG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orks%20Progress/WOP%202006/Progress%20Report%20(Inti)%20Resived%20March%20%20200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MEETING%20KEBUTUHAN%20KECAMBAH/Prog.%20Tanam%20KS%202008-200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Rekap%20sensus%20BBC%20PT.BSS/Users/andry/AppData/Local/Temp/Rar$DI00.632/BP%20SUPPOR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Rekap%20sensus%20BBC%20PT.BSS/Documents%20and%20Settings/Daniel/Desktop/BP%20BGE-2011%20Rev%2002.09.2010/BP%20Data%20Entry%202%20Cognos%20Est%20201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Rekap%20sensus%20BBC%20PT.BSS/SRE/BP%20Support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Rekap%20sensus%20BBC%20PT.BSS/TAHAP%20I/RA-WS%20Yes%20penyebaran%20%25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Lmdnfs3/Grouphome/Palangisang%20Estate/BudPlan/2006/BudPlan%202006PIE%20HL%20EXTRA.xls" TargetMode="External"/><Relationship Id="rId1" Type="http://schemas.openxmlformats.org/officeDocument/2006/relationships/externalLinkPath" Target="/Lmdnfs3/Grouphome/Palangisang%20Estate/BudPlan/2006/BudPlan%202006PIE%20HL%20EXTR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Rekap%20sensus%20BBC%20PT.BSS/BP%20BGE-2011%20Rev%2002.09.2010/BP%20Support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Lmdnfs3/Grouphome/Sei%20Rumbiya%20Estate/MUCHLISIN/MONTHLY%20PROGRESS%20REPORT%202007/MPR%20GM-R%20-%20SRE-1007/PROGRESS%20REPORT%20PLASMA%202005.xls" TargetMode="External"/><Relationship Id="rId1" Type="http://schemas.openxmlformats.org/officeDocument/2006/relationships/externalLinkPath" Target="/Lmdnfs3/Grouphome/Sei%20Rumbiya%20Estate/MUCHLISIN/MONTHLY%20PROGRESS%20REPORT%202007/MPR%20GM-R%20-%20SRE-1007/PROGRESS%20REPORT%20PLASMA%20200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/Gunarto/My%20Documents/QBR/QBR%202008/BP%202008/BP%20FACTORY%20ver%202/BP%202008%20VERSI%202%20UPLOAD%20TO%20COGNOS/BP%202008%20-%20VERSI%202%20TRCF/BUDGET%20TRCF%202008/BP%20MAN%20SR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lmraslews07/c/PANJI%20SYAPUTRA/BP%20SLE%20-%20%202007/BUDPLAN%202007%20Sei%20Lakitan%20Est%20V2%20(18-12-06).xls" TargetMode="External"/><Relationship Id="rId1" Type="http://schemas.openxmlformats.org/officeDocument/2006/relationships/externalLinkPath" Target="/lmraslews07/c/PANJI%20SYAPUTRA/BP%20SLE%20-%20%202007/BUDPLAN%202007%20Sei%20Lakitan%20Est%20V2%20(18-12-06)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Lmdnfs3/Grouphome/DOCUME~1/rafik/LOCALS~1/Temp/Temporary%20Directory%201%20for%20KAL%20Oil%20Palm%20Project%20Completion%20Study%2023Nov04.zip/KAL%20Oil%20Palm%20Project%20Completion%20Study%2023Nov04.xls" TargetMode="External"/><Relationship Id="rId1" Type="http://schemas.openxmlformats.org/officeDocument/2006/relationships/externalLinkPath" Target="/Lmdnfs3/Grouphome/DOCUME~1/rafik/LOCALS~1/Temp/Temporary%20Directory%201%20for%20KAL%20Oil%20Palm%20Project%20Completion%20Study%2023Nov04.zip/KAL%20Oil%20Palm%20Project%20Completion%20Study%2023Nov04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Tikus%20FR%20Kalbar/Minggu%20I-II%20Agustus%202026%20(1-15%20Agustus%202026,%20rotasi%20I)/From%20MK%20up/1.%20Monitoring%20Aplikasi%20Tikus%20&amp;%20Deteksi%20AKP%20dan%20Grading%20TPH%20LS1%20.xlsx" TargetMode="External"/><Relationship Id="rId1" Type="http://schemas.openxmlformats.org/officeDocument/2006/relationships/externalLinkPath" Target="file:///H:/Tommy%20Hariono%20Pakpahan/R&amp;D/FR/4.%20HPT/Tikus%20FR%20Kalbar/Minggu%20I-II%20Agustus%202026%20(1-15%20Agustus%202026,%20rotasi%20I)/From%20MK%20up/1.%20Monitoring%20Aplikasi%20Tikus%20&amp;%20Deteksi%20AKP%20dan%20Grading%20TPH%20LS1%20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Tikus%20FR%20Kalbar/Minggu%20I-II%20Agustus%202026%20(1-15%20Agustus%202026,%20rotasi%20I)/From%20MK%20up/Deteksi%20Tikus%20(01-15%20Agustus%202026)%20LS%20II.xlsx" TargetMode="External"/><Relationship Id="rId1" Type="http://schemas.openxmlformats.org/officeDocument/2006/relationships/externalLinkPath" Target="file:///H:/Tommy%20Hariono%20Pakpahan/R&amp;D/FR/4.%20HPT/Tikus%20FR%20Kalbar/Minggu%20I-II%20Agustus%202026%20(1-15%20Agustus%202026,%20rotasi%20I)/From%20MK%20up/Deteksi%20Tikus%20(01-15%20Agustus%202026)%20LS%20II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Tikus%20FR%20Kalbar/Minggu%20II%20Mei%202026%20(11-16%20Mei%202026)/1.%20Monitoring%20Sensus%20Tikus%2016.05.2026%20LS.xlsx" TargetMode="External"/><Relationship Id="rId1" Type="http://schemas.openxmlformats.org/officeDocument/2006/relationships/externalLinkPath" Target="file:///H:/Tommy%20Hariono%20Pakpahan/R&amp;D/FR/4.%20HPT/Tikus%20FR%20Kalbar/Minggu%20II%20Mei%202026%20(11-16%20Mei%202026)/1.%20Monitoring%20Sensus%20Tikus%2016.05.2026%20L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Tikus%20FR%20Kalbar/Minggu%20II%20Mei%202026%20(11-16%20Mei%202026)/REKAPAN%20SENSUS%20HAMA%20TIKUS%20PERIODE%209MEI%202026%20KALEPT.%20KALE.%20NEWWWWwwww.xlsx" TargetMode="External"/><Relationship Id="rId1" Type="http://schemas.openxmlformats.org/officeDocument/2006/relationships/externalLinkPath" Target="file:///H:/Tommy%20Hariono%20Pakpahan/R&amp;D/FR/4.%20HPT/Tikus%20FR%20Kalbar/Minggu%20II%20Mei%202026%20(11-16%20Mei%202026)/REKAPAN%20SENSUS%20HAMA%20TIKUS%20PERIODE%209MEI%202026%20KALEPT.%20KALE.%20NEWWWWwwww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Tikus%20FR%20Kalbar/Minggu%20IV%20Mei%202026%20(25-30%20Mei%202026)/Form%20Sensus%20Serangan%20Tikus%20smp-1.xlsx" TargetMode="External"/><Relationship Id="rId1" Type="http://schemas.openxmlformats.org/officeDocument/2006/relationships/externalLinkPath" Target="file:///H:/Tommy%20Hariono%20Pakpahan/R&amp;D/FR/4.%20HPT/Tikus%20FR%20Kalbar/Minggu%20IV%20Mei%202026%20(25-30%20Mei%202026)/Form%20Sensus%20Serangan%20Tikus%20smp-1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Tikus%20FR%20Kalbar/Minggu%20IV%20Mei%202026%20(25-30%20Mei%202026)/TK%20KHUSUS%20Sensus%20SMP%202.xlsx" TargetMode="External"/><Relationship Id="rId1" Type="http://schemas.openxmlformats.org/officeDocument/2006/relationships/externalLinkPath" Target="file:///H:/Tommy%20Hariono%20Pakpahan/R&amp;D/FR/4.%20HPT/Tikus%20FR%20Kalbar/Minggu%20IV%20Mei%202026%20(25-30%20Mei%202026)/TK%20KHUSUS%20Sensus%20SMP%202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Tikus%20FR%20Kalbar/Minggu%20II%20Mei%202026%20(11-16%20Mei%202026)/Sensus%20Tikus%20SMP-2%20(3).xlsx" TargetMode="External"/><Relationship Id="rId1" Type="http://schemas.openxmlformats.org/officeDocument/2006/relationships/externalLinkPath" Target="file:///H:/Tommy%20Hariono%20Pakpahan/R&amp;D/FR/4.%20HPT/Tikus%20FR%20Kalbar/Minggu%20II%20Mei%202026%20(11-16%20Mei%202026)/Sensus%20Tikus%20SMP-2%20(3)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Tikus%20FR%20Kalbar/Minggu%20III%20Mei%202026%20(18-23%20Mei%202026)/Progress%20Sensus%20Tikus%20PT.%20BKP%20-4%2025052026.xlsx" TargetMode="External"/><Relationship Id="rId1" Type="http://schemas.openxmlformats.org/officeDocument/2006/relationships/externalLinkPath" Target="file:///H:/Tommy%20Hariono%20Pakpahan/R&amp;D/FR/4.%20HPT/Tikus%20FR%20Kalbar/Minggu%20III%20Mei%202026%20(18-23%20Mei%202026)/Progress%20Sensus%20Tikus%20PT.%20BKP%20-4%2025052026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Tikus%20FR%20Kalbar/Minggu%20I-II%20Agustus%202026%20(1-15%20Agustus%202026,%20rotasi%20I)/From%20MK%20up/Deteksi%20dini%20agustus%20smp-1.xlsx" TargetMode="External"/><Relationship Id="rId1" Type="http://schemas.openxmlformats.org/officeDocument/2006/relationships/externalLinkPath" Target="file:///H:/Tommy%20Hariono%20Pakpahan/R&amp;D/FR/4.%20HPT/Tikus%20FR%20Kalbar/Minggu%20I-II%20Agustus%202026%20(1-15%20Agustus%202026,%20rotasi%20I)/From%20MK%20up/Deteksi%20dini%20agustus%20smp-1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Tikus%20FR%20Kalbar/Minggu%20I-II%20Agustus%202026%20(1-15%20Agustus%202026,%20rotasi%20I)/From%20MK%20up/Progress%20Sensus%20Tikus%20PT%20BKP%20AGUSTUS%20REvisi%20Bu%20Eti.xlsx" TargetMode="External"/><Relationship Id="rId1" Type="http://schemas.openxmlformats.org/officeDocument/2006/relationships/externalLinkPath" Target="file:///H:/Tommy%20Hariono%20Pakpahan/R&amp;D/FR/4.%20HPT/Tikus%20FR%20Kalbar/Minggu%20I-II%20Agustus%202026%20(1-15%20Agustus%202026,%20rotasi%20I)/From%20MK%20up/Progress%20Sensus%20Tikus%20PT%20BKP%20AGUSTUS%20REvisi%20Bu%20Eti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Tikus%20FR%20Kalbar/Minggu%20I-II%20Agustus%202026%20(1-15%20Agustus%202026,%20rotasi%20I)/From%20MK%20up/Progres%20Sensus%20Tikus%20BKP%20AGUSTUS%20(1).xlsx" TargetMode="External"/><Relationship Id="rId1" Type="http://schemas.openxmlformats.org/officeDocument/2006/relationships/externalLinkPath" Target="file:///H:/Tommy%20Hariono%20Pakpahan/R&amp;D/FR/4.%20HPT/Tikus%20FR%20Kalbar/Minggu%20I-II%20Agustus%202026%20(1-15%20Agustus%202026,%20rotasi%20I)/From%20MK%20up/Progres%20Sensus%20Tikus%20BKP%20AGUSTUS%20(1)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Tikus%20FR%20Kalbar/Minggu%20IV%20Mei%202026%20(25-30%20Mei%202026)/1.%20Monitoring%20Update%20Sensus%20Tikus%20PTLJ%20-%20FRKB%20SENSUS%2010%25%20(3).xlsx" TargetMode="External"/><Relationship Id="rId1" Type="http://schemas.openxmlformats.org/officeDocument/2006/relationships/externalLinkPath" Target="file:///H:/Tommy%20Hariono%20Pakpahan/R&amp;D/FR/4.%20HPT/Tikus%20FR%20Kalbar/Minggu%20IV%20Mei%202026%20(25-30%20Mei%202026)/1.%20Monitoring%20Update%20Sensus%20Tikus%20PTLJ%20-%20FRKB%20SENSUS%2010%25%20(3)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Tikus%20FR%20Kalbar/Minggu%20III%20Mei%202026%20(18-23%20Mei%202026)/1.%20Monitoring%20Update%20Sensus%20Tikus%20PTLJ%20-%20FRKB%20SENSUS%2010%25.xlsx" TargetMode="External"/><Relationship Id="rId1" Type="http://schemas.openxmlformats.org/officeDocument/2006/relationships/externalLinkPath" Target="file:///H:/Tommy%20Hariono%20Pakpahan/R&amp;D/FR/4.%20HPT/Tikus%20FR%20Kalbar/Minggu%20III%20Mei%202026%20(18-23%20Mei%202026)/1.%20Monitoring%20Update%20Sensus%20Tikus%20PTLJ%20-%20FRKB%20SENSUS%2010%25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Tikus%20FR%20Kalbar/Rotasi%20II%20Juni%202026%20(15-27%20Juni%202026)/1.%20Monitoring%20Update%20Sensus%20Tikus%20PTLJ%20-%20FRKB%20SENSUS%2010%25%20%20tgl%2022-27%20juni%202026%20(3).xlsx" TargetMode="External"/><Relationship Id="rId1" Type="http://schemas.openxmlformats.org/officeDocument/2006/relationships/externalLinkPath" Target="file:///H:/Tommy%20Hariono%20Pakpahan/R&amp;D/FR/4.%20HPT/Tikus%20FR%20Kalbar/Rotasi%20II%20Juni%202026%20(15-27%20Juni%202026)/1.%20Monitoring%20Update%20Sensus%20Tikus%20PTLJ%20-%20FRKB%20SENSUS%2010%25%20%20tgl%2022-27%20juni%202026%20(3)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VICTUS/AppData/Local/Packages/5319275A.WhatsAppDesktop_cv1g1gvanyjgm/LocalState/sessions/8F77ABF99ECFAFACD9360F5C067A2E57B06864A8/transfers/2026-21/1.%20Plan%20Campaign%20MKSK%20dengan%20Lidi%20(mei%202026).xlsx" TargetMode="External"/><Relationship Id="rId1" Type="http://schemas.openxmlformats.org/officeDocument/2006/relationships/externalLinkPath" Target="file:///C:/Users/VICTUS/AppData/Local/Packages/5319275A.WhatsAppDesktop_cv1g1gvanyjgm/LocalState/sessions/8F77ABF99ECFAFACD9360F5C067A2E57B06864A8/transfers/2026-21/1.%20Plan%20Campaign%20MKSK%20dengan%20Lidi%20(mei%202026)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Tikus%20FR%20Kalbar/Minggu%20II%20Juni%202026%20(tgl%208%20-%2013%20Juni%202026)/1.%20Monitoring%20Aplikasi%20Tikus%2018.06.2026%20LS%20Furqan/1.%20Monitoring%20Aplikasi%20Tikus%2018.06.2026%20LS%20(Dian%20Final).xlsx" TargetMode="External"/><Relationship Id="rId1" Type="http://schemas.openxmlformats.org/officeDocument/2006/relationships/externalLinkPath" Target="file:///H:/Tommy%20Hariono%20Pakpahan/R&amp;D/FR/4.%20HPT/Tikus%20FR%20Kalbar/Minggu%20II%20Juni%202026%20(tgl%208%20-%2013%20Juni%202026)/1.%20Monitoring%20Aplikasi%20Tikus%2018.06.2026%20LS%20Furqan/1.%20Monitoring%20Aplikasi%20Tikus%2018.06.2026%20LS%20(Dian%20Final)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Tikus%20FR%20Kalbar/Minggu%20II%20Juni%202026%20(tgl%208%20-%2013%20Juni%202026)/1.%20Monitoring%20Aplikasi%20Tikus%20EST%20I%20LS.xlsx" TargetMode="External"/><Relationship Id="rId1" Type="http://schemas.openxmlformats.org/officeDocument/2006/relationships/externalLinkPath" Target="file:///H:/Tommy%20Hariono%20Pakpahan/R&amp;D/FR/4.%20HPT/Tikus%20FR%20Kalbar/Minggu%20II%20Juni%202026%20(tgl%208%20-%2013%20Juni%202026)/1.%20Monitoring%20Aplikasi%20Tikus%20EST%20I%20LS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Tikus%20FR%20Kalbar/Minggu%20II%20Juni%202026%20(tgl%208%20-%2013%20Juni%202026)/Papan%20catur%20tikus%20LS-1%20EST%20II.xlsx" TargetMode="External"/><Relationship Id="rId1" Type="http://schemas.openxmlformats.org/officeDocument/2006/relationships/externalLinkPath" Target="file:///H:/Tommy%20Hariono%20Pakpahan/R&amp;D/FR/4.%20HPT/Tikus%20FR%20Kalbar/Minggu%20II%20Juni%202026%20(tgl%208%20-%2013%20Juni%202026)/Papan%20catur%20tikus%20LS-1%20EST%20II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Tikus%20FR%20Kalbar/Minggu%20II%20Juni%202026%20(tgl%208%20-%2013%20Juni%202026)/1.%20Monitoring%20Aplikasi%20Tikus%2018.06.2026%20LS%20Furqan/Roadmap%20Pengendalian%20Tikus%20PT.%20LS%202026%20-%20Lengkap.xlsx" TargetMode="External"/><Relationship Id="rId1" Type="http://schemas.openxmlformats.org/officeDocument/2006/relationships/externalLinkPath" Target="file:///H:/Tommy%20Hariono%20Pakpahan/R&amp;D/FR/4.%20HPT/Tikus%20FR%20Kalbar/Minggu%20II%20Juni%202026%20(tgl%208%20-%2013%20Juni%202026)/1.%20Monitoring%20Aplikasi%20Tikus%2018.06.2026%20LS%20Furqan/Roadmap%20Pengendalian%20Tikus%20PT.%20LS%202026%20-%20Lengkap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Tikus%20FR%20Kalbar/Minggu%20II%20Juni%202026%20(tgl%208%20-%2013%20Juni%202026)/Pengendalian%20HPT%20(TIKUS)%20RAYON%20F%20%2018%20Juni%202026%20Est%20III%20LS.xlsx" TargetMode="External"/><Relationship Id="rId1" Type="http://schemas.openxmlformats.org/officeDocument/2006/relationships/externalLinkPath" Target="file:///H:/Tommy%20Hariono%20Pakpahan/R&amp;D/FR/4.%20HPT/Tikus%20FR%20Kalbar/Minggu%20II%20Juni%202026%20(tgl%208%20-%2013%20Juni%202026)/Pengendalian%20HPT%20(TIKUS)%20RAYON%20F%20%2018%20Juni%202026%20Est%20III%20LS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Tikus%20FR%20Kalbar/Minggu%20II%20Juni%202026%20(tgl%208%20-%2013%20Juni%202026)/MONITORING%20HAMA%20TIKUS%20KALE%202026%20Terbaru%20Hafis.xlsx" TargetMode="External"/><Relationship Id="rId1" Type="http://schemas.openxmlformats.org/officeDocument/2006/relationships/externalLinkPath" Target="file:///H:/Tommy%20Hariono%20Pakpahan/R&amp;D/FR/4.%20HPT/Tikus%20FR%20Kalbar/Minggu%20II%20Juni%202026%20(tgl%208%20-%2013%20Juni%202026)/MONITORING%20HAMA%20TIKUS%20KALE%202026%20Terbaru%20Hafis.xlsx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Tikus%20FR%20Kalbar/Minggu%20I%20Juni%202026%20(tgl%202-6%20Juni%202026)/MONITORING%20HAMA%20TIKUS%20KALE%202026%20UPDATE%2005062026.xlsx" TargetMode="External"/><Relationship Id="rId1" Type="http://schemas.openxmlformats.org/officeDocument/2006/relationships/externalLinkPath" Target="file:///H:/Tommy%20Hariono%20Pakpahan/R&amp;D/FR/4.%20HPT/Tikus%20FR%20Kalbar/Minggu%20I%20Juni%202026%20(tgl%202-6%20Juni%202026)/MONITORING%20HAMA%20TIKUS%20KALE%202026%20UPDATE%2005062026.xlsx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Tikus%20FR%20Kalbar/Minggu%20I%20Juni%202026%20(tgl%202-6%20Juni%202026)/1.%20Plan%20Campaign%20MKSK%20todate%20060626.xlsx" TargetMode="External"/><Relationship Id="rId1" Type="http://schemas.openxmlformats.org/officeDocument/2006/relationships/externalLinkPath" Target="file:///H:/Tommy%20Hariono%20Pakpahan/R&amp;D/FR/4.%20HPT/Tikus%20FR%20Kalbar/Minggu%20I%20Juni%202026%20(tgl%202-6%20Juni%202026)/1.%20Plan%20Campaign%20MKSK%20todate%20060626.xlsx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Tikus%20FR%20Kalbar/Summary%20Serangan%20(Sensus%20&amp;%20Deteksi%20Tikus)%20FR%20Kalbar%206-9%20Mei%202026.xlsx" TargetMode="External"/><Relationship Id="rId1" Type="http://schemas.openxmlformats.org/officeDocument/2006/relationships/externalLinkPath" Target="file:///H:/Tommy%20Hariono%20Pakpahan/R&amp;D/FR/4.%20HPT/Tikus%20FR%20Kalbar/Summary%20Serangan%20(Sensus%20&amp;%20Deteksi%20Tikus)%20FR%20Kalbar%206-9%20Mei%202026.xlsx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Data%20TW%20Sent%20to%20Pak%20Pandapotan/Summary%20Serangan%20(Sensus%20&amp;%20Deteksi%20Tikus)%20FR%20Kalbar%2011-16%20Mei%202026%20-%20Rev.xlsx" TargetMode="External"/><Relationship Id="rId1" Type="http://schemas.openxmlformats.org/officeDocument/2006/relationships/externalLinkPath" Target="file:///H:/Tommy%20Hariono%20Pakpahan/R&amp;D/FR/4.%20HPT/Data%20TW%20Sent%20to%20Pak%20Pandapotan/Summary%20Serangan%20(Sensus%20&amp;%20Deteksi%20Tikus)%20FR%20Kalbar%2011-16%20Mei%202026%20-%20Rev.xlsx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Data%20TW%20Sent%20to%20Pak%20Pandapotan/Summary%20Serangan%20(Sensus%20&amp;%20Deteksi%20Tikus)%20FR%20Kalbar%20todate%2030%20Mei%202026.xlsx" TargetMode="External"/><Relationship Id="rId1" Type="http://schemas.openxmlformats.org/officeDocument/2006/relationships/externalLinkPath" Target="file:///H:/Tommy%20Hariono%20Pakpahan/R&amp;D/FR/4.%20HPT/Data%20TW%20Sent%20to%20Pak%20Pandapotan/Summary%20Serangan%20(Sensus%20&amp;%20Deteksi%20Tikus)%20FR%20Kalbar%20todate%2030%20Mei%202026.xlsx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Tommy%20Hariono%20Pakpahan/R&amp;D/FR/4.%20HPT/Tikus%20FR%20Kalbar/Minggu%20II%20Mei%202026%20(11-16%20Mei%202026)/Form%20Sensus%20Serangan%20Tikus%201-3%20SMP%201.xlsx" TargetMode="External"/><Relationship Id="rId1" Type="http://schemas.openxmlformats.org/officeDocument/2006/relationships/externalLinkPath" Target="file:///H:/Tommy%20Hariono%20Pakpahan/R&amp;D/FR/4.%20HPT/Tikus%20FR%20Kalbar/Minggu%20II%20Mei%202026%20(11-16%20Mei%202026)/Form%20Sensus%20Serangan%20Tikus%201-3%20SMP%201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BBC%20SMP%201%202026/serangan%20tikus/Format%20Sensus%20Serangan%20Tikus%20Pak%20D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mes"/>
      <sheetName val="UNIT COST(kpi)"/>
      <sheetName val="CapexUnitCost"/>
      <sheetName val="ProdParameter"/>
      <sheetName val="Yield"/>
      <sheetName val="HECTARE #"/>
      <sheetName val="Yld Profile"/>
      <sheetName val="CROP&amp;PRODUCT #"/>
      <sheetName val="ROADS etc.#"/>
      <sheetName val="Buildings#"/>
      <sheetName val="Vehicles#"/>
      <sheetName val="PEOPLE #"/>
      <sheetName val="OtherCAPEX #"/>
      <sheetName val="RoadCosts"/>
      <sheetName val="BuildingsCosts"/>
      <sheetName val="VehiclesCosts"/>
      <sheetName val="OtherCAPEXCosts"/>
      <sheetName val="CAPEX COST"/>
      <sheetName val="REVENUE ON SALES"/>
      <sheetName val="GC"/>
      <sheetName val="U&amp;C"/>
      <sheetName val="COLLECTION"/>
      <sheetName val="DEVLP U&amp;C"/>
      <sheetName val="CONSOLIDATE GM "/>
      <sheetName val="LookUP"/>
      <sheetName val="PRICE"/>
      <sheetName val="Price NS"/>
    </sheetNames>
    <sheetDataSet>
      <sheetData sheetId="0" refreshError="1">
        <row r="19">
          <cell r="H19">
            <v>0.6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ontents"/>
      <sheetName val="Ach Prog "/>
      <sheetName val="Staff"/>
      <sheetName val="Sum-Ha"/>
      <sheetName val="Ha Mov"/>
      <sheetName val="Crop OP,RB"/>
      <sheetName val="Crop CA,CN"/>
      <sheetName val=" Crop Sta.OP"/>
      <sheetName val="Crop Sta.RB"/>
      <sheetName val="Crop Sta.CA"/>
      <sheetName val="Crop Sta.CN"/>
      <sheetName val="Crop New Opening"/>
      <sheetName val="Stimul"/>
      <sheetName val="Upk-M RB"/>
      <sheetName val="Upk-M OP"/>
      <sheetName val="Upk-M CA"/>
      <sheetName val="Upk-IM Y1"/>
      <sheetName val="Upk-IM Y2"/>
      <sheetName val="Upk-IM Y3"/>
      <sheetName val="Perf Imm RB"/>
      <sheetName val="Perf Imm OP"/>
      <sheetName val="Perf Imm CA,CN"/>
      <sheetName val="Develop Y0"/>
      <sheetName val="Contract"/>
      <sheetName val="Manure-Mat"/>
      <sheetName val="Manure-Imm"/>
      <sheetName val="Nurs.OP"/>
      <sheetName val="Nurs. R"/>
      <sheetName val="Nurs. CA"/>
      <sheetName val="R.fall"/>
      <sheetName val="Lab.Force"/>
      <sheetName val="Lab.alloc"/>
      <sheetName val="Health"/>
      <sheetName val="Staff-Bungalow"/>
      <sheetName val="Housing- others"/>
      <sheetName val="Heavy Vehicles "/>
      <sheetName val="Capex Npl"/>
      <sheetName val="Stores Movement"/>
      <sheetName val="Ha Mov 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ontents"/>
      <sheetName val="Ach Prog "/>
      <sheetName val="Staff"/>
      <sheetName val="Sum-Ha"/>
      <sheetName val="Ha Mov Est"/>
      <sheetName val="Crop OP,RB"/>
      <sheetName val="Crop CA,CN"/>
      <sheetName val=" Crop Sta.OP"/>
      <sheetName val="Crop Sta.RB"/>
      <sheetName val="Crop Sta.CA"/>
      <sheetName val="Crop Sta.CN"/>
      <sheetName val="Crop New Opening"/>
      <sheetName val="Stimul"/>
      <sheetName val="Upk-M RB"/>
      <sheetName val="Upk-M OP"/>
      <sheetName val="Upk-M CA"/>
      <sheetName val="Upk-IM Y1"/>
      <sheetName val="Upk-IM Y2"/>
      <sheetName val="Upk-IM Y3"/>
      <sheetName val="Perf Imm RB"/>
      <sheetName val="Perf Imm OP"/>
      <sheetName val="Perf Imm CA,CN"/>
      <sheetName val="Develop Y0"/>
      <sheetName val="Contract"/>
      <sheetName val="Manure-Mat"/>
      <sheetName val="Manure-Imm"/>
      <sheetName val="Nurs.OP"/>
      <sheetName val="Nurs. R"/>
      <sheetName val="Nurs. CA"/>
      <sheetName val="R.fall"/>
      <sheetName val="Lab.Force"/>
      <sheetName val="Lab.alloc"/>
      <sheetName val="Health"/>
      <sheetName val="Staff-Bungalow"/>
      <sheetName val="Housing- others"/>
      <sheetName val="Heavy Vehicles "/>
      <sheetName val="Capex Npl"/>
      <sheetName val="Stores Movement"/>
      <sheetName val="Ha Mov"/>
      <sheetName val="names"/>
      <sheetName val="yield"/>
      <sheetName val="lookup"/>
      <sheetName val="Tgl 8"/>
      <sheetName val="Sheet1"/>
    </sheetNames>
    <sheetDataSet>
      <sheetData sheetId="0"/>
      <sheetData sheetId="1">
        <row r="5">
          <cell r="E5" t="str">
            <v>BAH BULIAN</v>
          </cell>
        </row>
        <row r="6">
          <cell r="E6" t="str">
            <v>M A Y  2005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ber"/>
      <sheetName val="Kend"/>
      <sheetName val="Ha"/>
      <sheetName val="health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24"/>
      <sheetName val="BP24A"/>
      <sheetName val="BP42"/>
      <sheetName val="BP43"/>
      <sheetName val="BP61"/>
      <sheetName val="BP66"/>
      <sheetName val="MANDAYS"/>
      <sheetName val="Price_List"/>
      <sheetName val="JOBCODE"/>
      <sheetName val="SALARY"/>
      <sheetName val="STATION"/>
      <sheetName val="ST GROUP"/>
      <sheetName val="INFO"/>
      <sheetName val="VHINFO"/>
      <sheetName val="ECR"/>
      <sheetName val="REFERENCE"/>
      <sheetName val="Oilpalm Profile"/>
      <sheetName val="Rubber Profile"/>
      <sheetName val="Contents"/>
      <sheetName val="BP57"/>
      <sheetName val="Price List"/>
      <sheetName val="computers"/>
      <sheetName val="Names"/>
      <sheetName val="Marshal"/>
      <sheetName val="GeneralInfo"/>
      <sheetName val="PR"/>
      <sheetName val="Based"/>
      <sheetName val="Irregular Income"/>
      <sheetName val="F1771-IV"/>
      <sheetName val="F1771-V"/>
      <sheetName val="FE-1770.P1"/>
      <sheetName val="GM SERDANG"/>
      <sheetName val="heal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C2" t="str">
            <v>TREBLASALA COCOA FACTORY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bber"/>
      <sheetName val="Oil Palm"/>
      <sheetName val="Cocoa"/>
      <sheetName val="Coconut"/>
      <sheetName val="Tea"/>
      <sheetName val="Coffee"/>
      <sheetName val="Monthly"/>
      <sheetName val="Rubber Profile"/>
      <sheetName val="BP 02 OP"/>
      <sheetName val="Oilpalm Profile"/>
      <sheetName val="Cocoa Profile"/>
      <sheetName val="Yld P TEA "/>
      <sheetName val="Yld P CN"/>
      <sheetName val="Yld P CF"/>
      <sheetName val="In Kgs"/>
      <sheetName val="Draft revisi"/>
      <sheetName val="Formula"/>
      <sheetName val="Kend"/>
      <sheetName val="Albe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0">
          <cell r="A10">
            <v>1</v>
          </cell>
          <cell r="B10" t="str">
            <v>-</v>
          </cell>
          <cell r="D10" t="str">
            <v>-</v>
          </cell>
          <cell r="F10" t="str">
            <v>-</v>
          </cell>
          <cell r="H10" t="str">
            <v>-</v>
          </cell>
          <cell r="J10" t="str">
            <v>-</v>
          </cell>
          <cell r="L10" t="str">
            <v>-</v>
          </cell>
        </row>
        <row r="11">
          <cell r="A11">
            <v>2</v>
          </cell>
          <cell r="B11" t="str">
            <v>-</v>
          </cell>
          <cell r="D11" t="str">
            <v>-</v>
          </cell>
          <cell r="F11" t="str">
            <v>-</v>
          </cell>
          <cell r="H11" t="str">
            <v>-</v>
          </cell>
          <cell r="J11" t="str">
            <v>-</v>
          </cell>
          <cell r="L11" t="str">
            <v>-</v>
          </cell>
        </row>
        <row r="12">
          <cell r="A12">
            <v>3</v>
          </cell>
          <cell r="B12" t="str">
            <v>-</v>
          </cell>
          <cell r="D12" t="str">
            <v>-</v>
          </cell>
          <cell r="F12" t="str">
            <v>-</v>
          </cell>
          <cell r="H12" t="str">
            <v>-</v>
          </cell>
          <cell r="J12" t="str">
            <v>-</v>
          </cell>
          <cell r="L12" t="str">
            <v>-</v>
          </cell>
        </row>
        <row r="13">
          <cell r="A13">
            <v>4</v>
          </cell>
          <cell r="B13" t="str">
            <v>-</v>
          </cell>
          <cell r="D13" t="str">
            <v>-</v>
          </cell>
          <cell r="F13" t="str">
            <v>-</v>
          </cell>
          <cell r="H13" t="str">
            <v>-</v>
          </cell>
          <cell r="J13" t="str">
            <v>-</v>
          </cell>
          <cell r="L13" t="str">
            <v>-</v>
          </cell>
        </row>
        <row r="14">
          <cell r="A14">
            <v>5</v>
          </cell>
          <cell r="B14">
            <v>700</v>
          </cell>
          <cell r="D14">
            <v>950</v>
          </cell>
          <cell r="F14">
            <v>600</v>
          </cell>
          <cell r="H14">
            <v>700</v>
          </cell>
          <cell r="J14">
            <v>350</v>
          </cell>
          <cell r="L14">
            <v>700</v>
          </cell>
        </row>
        <row r="15">
          <cell r="A15">
            <v>6</v>
          </cell>
          <cell r="B15">
            <v>1100</v>
          </cell>
          <cell r="C15">
            <v>0.36363636363636365</v>
          </cell>
          <cell r="D15">
            <v>1300</v>
          </cell>
          <cell r="E15">
            <v>0.26923076923076922</v>
          </cell>
          <cell r="F15">
            <v>900</v>
          </cell>
          <cell r="G15">
            <v>0.33333333333333331</v>
          </cell>
          <cell r="H15">
            <v>800</v>
          </cell>
          <cell r="I15">
            <v>0.125</v>
          </cell>
          <cell r="J15">
            <v>600</v>
          </cell>
          <cell r="K15">
            <v>0.41666666666666669</v>
          </cell>
          <cell r="L15">
            <v>1000</v>
          </cell>
          <cell r="M15">
            <v>0.3</v>
          </cell>
        </row>
        <row r="16">
          <cell r="A16">
            <v>7</v>
          </cell>
          <cell r="B16">
            <v>1400</v>
          </cell>
          <cell r="C16">
            <v>0.21428571428571427</v>
          </cell>
          <cell r="D16">
            <v>1550</v>
          </cell>
          <cell r="E16">
            <v>0.16129032258064516</v>
          </cell>
          <cell r="F16">
            <v>1150</v>
          </cell>
          <cell r="G16">
            <v>0.21739130434782608</v>
          </cell>
          <cell r="H16">
            <v>1050</v>
          </cell>
          <cell r="I16">
            <v>0.23809523809523808</v>
          </cell>
          <cell r="J16">
            <v>950</v>
          </cell>
          <cell r="K16">
            <v>0.36842105263157893</v>
          </cell>
          <cell r="L16">
            <v>1250</v>
          </cell>
          <cell r="M16">
            <v>0.2</v>
          </cell>
        </row>
        <row r="17">
          <cell r="A17">
            <v>8</v>
          </cell>
          <cell r="B17">
            <v>1650</v>
          </cell>
          <cell r="C17">
            <v>0.15151515151515152</v>
          </cell>
          <cell r="D17">
            <v>1650</v>
          </cell>
          <cell r="E17">
            <v>6.0606060606060608E-2</v>
          </cell>
          <cell r="F17">
            <v>1350</v>
          </cell>
          <cell r="G17">
            <v>0.14814814814814814</v>
          </cell>
          <cell r="H17">
            <v>1250</v>
          </cell>
          <cell r="I17">
            <v>0.16</v>
          </cell>
          <cell r="J17">
            <v>1050</v>
          </cell>
          <cell r="K17">
            <v>9.5238095238095233E-2</v>
          </cell>
          <cell r="L17">
            <v>1250</v>
          </cell>
          <cell r="M17">
            <v>0</v>
          </cell>
        </row>
        <row r="18">
          <cell r="A18">
            <v>9</v>
          </cell>
          <cell r="B18">
            <v>1800</v>
          </cell>
          <cell r="C18">
            <v>8.3333333333333329E-2</v>
          </cell>
          <cell r="D18">
            <v>1700</v>
          </cell>
          <cell r="E18">
            <v>2.9411764705882353E-2</v>
          </cell>
          <cell r="F18">
            <v>1600</v>
          </cell>
          <cell r="G18">
            <v>0.15625</v>
          </cell>
          <cell r="H18">
            <v>1400</v>
          </cell>
          <cell r="I18">
            <v>0.10714285714285714</v>
          </cell>
          <cell r="J18">
            <v>1300</v>
          </cell>
          <cell r="K18">
            <v>0.19230769230769232</v>
          </cell>
          <cell r="L18">
            <v>1400</v>
          </cell>
          <cell r="M18">
            <v>0.10714285714285714</v>
          </cell>
        </row>
        <row r="19">
          <cell r="A19">
            <v>10</v>
          </cell>
          <cell r="B19">
            <v>2000</v>
          </cell>
          <cell r="C19">
            <v>0.1</v>
          </cell>
          <cell r="D19">
            <v>1700</v>
          </cell>
          <cell r="E19">
            <v>0</v>
          </cell>
          <cell r="F19">
            <v>1700</v>
          </cell>
          <cell r="G19">
            <v>5.8823529411764705E-2</v>
          </cell>
          <cell r="H19">
            <v>1500</v>
          </cell>
          <cell r="I19">
            <v>6.6666666666666666E-2</v>
          </cell>
          <cell r="J19">
            <v>1400</v>
          </cell>
          <cell r="K19">
            <v>7.1428571428571425E-2</v>
          </cell>
          <cell r="L19">
            <v>1400</v>
          </cell>
          <cell r="M19">
            <v>0</v>
          </cell>
        </row>
        <row r="20">
          <cell r="A20">
            <v>11</v>
          </cell>
          <cell r="B20">
            <v>2000</v>
          </cell>
          <cell r="C20">
            <v>0</v>
          </cell>
          <cell r="D20">
            <v>1700</v>
          </cell>
          <cell r="E20">
            <v>0</v>
          </cell>
          <cell r="F20">
            <v>1750</v>
          </cell>
          <cell r="G20">
            <v>2.8571428571428571E-2</v>
          </cell>
          <cell r="H20">
            <v>1500</v>
          </cell>
          <cell r="I20">
            <v>0</v>
          </cell>
          <cell r="J20">
            <v>1500</v>
          </cell>
          <cell r="K20">
            <v>6.6666666666666666E-2</v>
          </cell>
          <cell r="L20">
            <v>1400</v>
          </cell>
          <cell r="M20">
            <v>0</v>
          </cell>
        </row>
        <row r="21">
          <cell r="A21">
            <v>12</v>
          </cell>
          <cell r="B21">
            <v>2100</v>
          </cell>
          <cell r="C21">
            <v>4.7619047619047616E-2</v>
          </cell>
          <cell r="D21">
            <v>1700</v>
          </cell>
          <cell r="E21">
            <v>0</v>
          </cell>
          <cell r="F21">
            <v>1800</v>
          </cell>
          <cell r="G21">
            <v>2.7777777777777776E-2</v>
          </cell>
          <cell r="H21">
            <v>1600</v>
          </cell>
          <cell r="I21">
            <v>6.25E-2</v>
          </cell>
          <cell r="J21">
            <v>1500</v>
          </cell>
          <cell r="K21">
            <v>0</v>
          </cell>
          <cell r="L21">
            <v>1300</v>
          </cell>
          <cell r="M21">
            <v>-7.6923076923076927E-2</v>
          </cell>
        </row>
        <row r="22">
          <cell r="A22">
            <v>13</v>
          </cell>
          <cell r="B22">
            <v>2100</v>
          </cell>
          <cell r="C22">
            <v>0</v>
          </cell>
          <cell r="D22">
            <v>1700</v>
          </cell>
          <cell r="E22">
            <v>0</v>
          </cell>
          <cell r="F22">
            <v>1800</v>
          </cell>
          <cell r="G22">
            <v>0</v>
          </cell>
          <cell r="H22">
            <v>1600</v>
          </cell>
          <cell r="I22">
            <v>0</v>
          </cell>
          <cell r="J22">
            <v>1500</v>
          </cell>
          <cell r="K22">
            <v>0</v>
          </cell>
          <cell r="L22">
            <v>1300</v>
          </cell>
          <cell r="M22">
            <v>0</v>
          </cell>
        </row>
        <row r="23">
          <cell r="A23">
            <v>14</v>
          </cell>
          <cell r="B23">
            <v>2100</v>
          </cell>
          <cell r="C23">
            <v>0</v>
          </cell>
          <cell r="D23">
            <v>1700</v>
          </cell>
          <cell r="E23">
            <v>0</v>
          </cell>
          <cell r="F23">
            <v>1800</v>
          </cell>
          <cell r="G23">
            <v>0</v>
          </cell>
          <cell r="H23">
            <v>1600</v>
          </cell>
          <cell r="I23">
            <v>0</v>
          </cell>
          <cell r="J23">
            <v>1500</v>
          </cell>
          <cell r="K23">
            <v>0</v>
          </cell>
          <cell r="L23">
            <v>1300</v>
          </cell>
          <cell r="M23">
            <v>0</v>
          </cell>
        </row>
        <row r="24">
          <cell r="A24">
            <v>15</v>
          </cell>
          <cell r="B24">
            <v>2000</v>
          </cell>
          <cell r="C24">
            <v>-0.05</v>
          </cell>
          <cell r="D24">
            <v>1700</v>
          </cell>
          <cell r="E24">
            <v>0</v>
          </cell>
          <cell r="F24">
            <v>1800</v>
          </cell>
          <cell r="G24">
            <v>0</v>
          </cell>
          <cell r="H24">
            <v>1600</v>
          </cell>
          <cell r="I24">
            <v>0</v>
          </cell>
          <cell r="J24">
            <v>1500</v>
          </cell>
          <cell r="K24">
            <v>0</v>
          </cell>
          <cell r="L24">
            <v>1300</v>
          </cell>
          <cell r="M24">
            <v>0</v>
          </cell>
        </row>
        <row r="25">
          <cell r="A25">
            <v>16</v>
          </cell>
          <cell r="B25">
            <v>2000</v>
          </cell>
          <cell r="C25">
            <v>0</v>
          </cell>
          <cell r="D25">
            <v>1600</v>
          </cell>
          <cell r="E25">
            <v>-6.25E-2</v>
          </cell>
          <cell r="F25">
            <v>1800</v>
          </cell>
          <cell r="G25">
            <v>0</v>
          </cell>
          <cell r="H25">
            <v>1500</v>
          </cell>
          <cell r="I25">
            <v>-6.6666666666666666E-2</v>
          </cell>
          <cell r="J25">
            <v>1450</v>
          </cell>
          <cell r="K25">
            <v>-3.4482758620689655E-2</v>
          </cell>
          <cell r="L25">
            <v>1300</v>
          </cell>
          <cell r="M25">
            <v>0</v>
          </cell>
        </row>
        <row r="26">
          <cell r="A26">
            <v>17</v>
          </cell>
          <cell r="B26">
            <v>1900</v>
          </cell>
          <cell r="C26">
            <v>-5.2631578947368418E-2</v>
          </cell>
          <cell r="D26">
            <v>1600</v>
          </cell>
          <cell r="E26">
            <v>0</v>
          </cell>
          <cell r="F26">
            <v>1700</v>
          </cell>
          <cell r="G26">
            <v>-5.8823529411764705E-2</v>
          </cell>
          <cell r="H26">
            <v>1500</v>
          </cell>
          <cell r="I26">
            <v>0</v>
          </cell>
          <cell r="J26">
            <v>1400</v>
          </cell>
          <cell r="K26">
            <v>-3.5714285714285712E-2</v>
          </cell>
          <cell r="L26">
            <v>1300</v>
          </cell>
          <cell r="M26">
            <v>0</v>
          </cell>
        </row>
        <row r="27">
          <cell r="A27">
            <v>18</v>
          </cell>
          <cell r="B27">
            <v>1800</v>
          </cell>
          <cell r="C27">
            <v>-5.5555555555555552E-2</v>
          </cell>
          <cell r="D27">
            <v>1600</v>
          </cell>
          <cell r="E27">
            <v>0</v>
          </cell>
          <cell r="F27">
            <v>1650</v>
          </cell>
          <cell r="G27">
            <v>-3.0303030303030304E-2</v>
          </cell>
          <cell r="H27">
            <v>1500</v>
          </cell>
          <cell r="I27">
            <v>0</v>
          </cell>
          <cell r="J27">
            <v>1350</v>
          </cell>
          <cell r="K27">
            <v>-3.7037037037037035E-2</v>
          </cell>
          <cell r="L27">
            <v>1300</v>
          </cell>
          <cell r="M27">
            <v>0</v>
          </cell>
        </row>
        <row r="28">
          <cell r="A28">
            <v>19</v>
          </cell>
          <cell r="B28">
            <v>1700</v>
          </cell>
          <cell r="C28">
            <v>-5.8823529411764705E-2</v>
          </cell>
          <cell r="D28">
            <v>1600</v>
          </cell>
          <cell r="E28">
            <v>0</v>
          </cell>
          <cell r="F28">
            <v>1600</v>
          </cell>
          <cell r="G28">
            <v>-3.125E-2</v>
          </cell>
          <cell r="H28">
            <v>1500</v>
          </cell>
          <cell r="I28">
            <v>0</v>
          </cell>
          <cell r="J28">
            <v>1300</v>
          </cell>
          <cell r="K28">
            <v>-3.8461538461538464E-2</v>
          </cell>
          <cell r="L28">
            <v>1300</v>
          </cell>
          <cell r="M28">
            <v>0</v>
          </cell>
        </row>
        <row r="29">
          <cell r="A29">
            <v>20</v>
          </cell>
          <cell r="B29">
            <v>1600</v>
          </cell>
          <cell r="C29">
            <v>-6.25E-2</v>
          </cell>
          <cell r="D29">
            <v>1600</v>
          </cell>
          <cell r="E29">
            <v>0</v>
          </cell>
          <cell r="F29">
            <v>1500</v>
          </cell>
          <cell r="G29">
            <v>-6.6666666666666666E-2</v>
          </cell>
          <cell r="H29">
            <v>1500</v>
          </cell>
          <cell r="I29">
            <v>0</v>
          </cell>
          <cell r="J29">
            <v>1250</v>
          </cell>
          <cell r="K29">
            <v>-0.04</v>
          </cell>
          <cell r="L29">
            <v>1300</v>
          </cell>
          <cell r="M29">
            <v>0</v>
          </cell>
        </row>
        <row r="30">
          <cell r="A30">
            <v>21</v>
          </cell>
          <cell r="B30">
            <v>1600</v>
          </cell>
          <cell r="C30">
            <v>0</v>
          </cell>
          <cell r="D30">
            <v>1500</v>
          </cell>
          <cell r="E30">
            <v>-6.6666666666666666E-2</v>
          </cell>
          <cell r="F30">
            <v>1500</v>
          </cell>
          <cell r="G30">
            <v>0</v>
          </cell>
          <cell r="H30">
            <v>1400</v>
          </cell>
          <cell r="I30">
            <v>-7.1428571428571425E-2</v>
          </cell>
          <cell r="J30">
            <v>1200</v>
          </cell>
          <cell r="K30">
            <v>-4.1666666666666664E-2</v>
          </cell>
          <cell r="L30">
            <v>1300</v>
          </cell>
          <cell r="M30">
            <v>0</v>
          </cell>
        </row>
        <row r="31">
          <cell r="A31">
            <v>22</v>
          </cell>
          <cell r="B31">
            <v>1450</v>
          </cell>
          <cell r="C31">
            <v>-0.10344827586206896</v>
          </cell>
          <cell r="D31">
            <v>1450</v>
          </cell>
          <cell r="E31">
            <v>-3.4482758620689655E-2</v>
          </cell>
          <cell r="F31">
            <v>1350</v>
          </cell>
          <cell r="G31">
            <v>-0.1111111111111111</v>
          </cell>
          <cell r="H31">
            <v>1350</v>
          </cell>
          <cell r="I31">
            <v>-3.7037037037037035E-2</v>
          </cell>
          <cell r="J31">
            <v>1150</v>
          </cell>
          <cell r="K31">
            <v>-4.3478260869565216E-2</v>
          </cell>
          <cell r="L31">
            <v>1250</v>
          </cell>
          <cell r="M31">
            <v>-0.04</v>
          </cell>
        </row>
        <row r="32">
          <cell r="A32">
            <v>23</v>
          </cell>
          <cell r="B32">
            <v>1450</v>
          </cell>
          <cell r="C32">
            <v>0</v>
          </cell>
          <cell r="D32">
            <v>1450</v>
          </cell>
          <cell r="E32">
            <v>0</v>
          </cell>
          <cell r="F32">
            <v>1350</v>
          </cell>
          <cell r="G32">
            <v>0</v>
          </cell>
          <cell r="H32">
            <v>1350</v>
          </cell>
          <cell r="I32">
            <v>0</v>
          </cell>
          <cell r="J32">
            <v>1150</v>
          </cell>
          <cell r="K32">
            <v>0</v>
          </cell>
          <cell r="L32">
            <v>1250</v>
          </cell>
          <cell r="M32">
            <v>0</v>
          </cell>
        </row>
        <row r="33">
          <cell r="A33">
            <v>24</v>
          </cell>
          <cell r="B33">
            <v>1450</v>
          </cell>
          <cell r="C33">
            <v>0</v>
          </cell>
          <cell r="D33">
            <v>1450</v>
          </cell>
          <cell r="E33">
            <v>0</v>
          </cell>
          <cell r="F33">
            <v>1350</v>
          </cell>
          <cell r="G33">
            <v>0</v>
          </cell>
          <cell r="H33">
            <v>1350</v>
          </cell>
          <cell r="I33">
            <v>0</v>
          </cell>
          <cell r="J33">
            <v>1150</v>
          </cell>
          <cell r="K33">
            <v>0</v>
          </cell>
          <cell r="L33">
            <v>1250</v>
          </cell>
          <cell r="M33">
            <v>0</v>
          </cell>
        </row>
        <row r="34">
          <cell r="A34">
            <v>25</v>
          </cell>
          <cell r="B34">
            <v>1400</v>
          </cell>
          <cell r="C34">
            <v>-3.5714285714285712E-2</v>
          </cell>
          <cell r="D34">
            <v>1400</v>
          </cell>
          <cell r="E34">
            <v>-3.5714285714285712E-2</v>
          </cell>
          <cell r="F34">
            <v>1300</v>
          </cell>
          <cell r="G34">
            <v>-3.8461538461538464E-2</v>
          </cell>
          <cell r="H34">
            <v>1300</v>
          </cell>
          <cell r="I34">
            <v>-3.8461538461538464E-2</v>
          </cell>
          <cell r="J34">
            <v>1100</v>
          </cell>
          <cell r="K34">
            <v>-4.5454545454545456E-2</v>
          </cell>
          <cell r="L34">
            <v>1200</v>
          </cell>
          <cell r="M34">
            <v>-4.1666666666666664E-2</v>
          </cell>
        </row>
        <row r="35">
          <cell r="A35">
            <v>26</v>
          </cell>
          <cell r="B35">
            <v>1400</v>
          </cell>
          <cell r="C35">
            <v>0</v>
          </cell>
          <cell r="D35">
            <v>1400</v>
          </cell>
          <cell r="E35">
            <v>0</v>
          </cell>
          <cell r="F35">
            <v>1300</v>
          </cell>
          <cell r="G35">
            <v>0</v>
          </cell>
          <cell r="H35">
            <v>1300</v>
          </cell>
          <cell r="I35">
            <v>0</v>
          </cell>
          <cell r="J35">
            <v>1100</v>
          </cell>
          <cell r="K35">
            <v>0</v>
          </cell>
          <cell r="L35">
            <v>1200</v>
          </cell>
          <cell r="M35">
            <v>0</v>
          </cell>
        </row>
        <row r="38">
          <cell r="B38" t="str">
            <v>NPB217</v>
          </cell>
          <cell r="C38">
            <v>3</v>
          </cell>
          <cell r="F38" t="str">
            <v>PB217</v>
          </cell>
          <cell r="G38">
            <v>1</v>
          </cell>
          <cell r="H38" t="str">
            <v>North Sumatra</v>
          </cell>
        </row>
        <row r="39">
          <cell r="B39" t="str">
            <v>NPB260</v>
          </cell>
          <cell r="C39">
            <v>3</v>
          </cell>
          <cell r="F39" t="str">
            <v>PB260</v>
          </cell>
          <cell r="H39" t="str">
            <v>South Sumatra</v>
          </cell>
        </row>
        <row r="40">
          <cell r="B40" t="str">
            <v>SPB217</v>
          </cell>
          <cell r="C40">
            <v>5</v>
          </cell>
          <cell r="F40" t="str">
            <v>BLIG</v>
          </cell>
          <cell r="H40" t="str">
            <v>Sulawesi</v>
          </cell>
        </row>
        <row r="41">
          <cell r="B41" t="str">
            <v>SPB260</v>
          </cell>
          <cell r="C41">
            <v>5</v>
          </cell>
          <cell r="F41" t="str">
            <v>Others</v>
          </cell>
        </row>
        <row r="42">
          <cell r="B42" t="str">
            <v>NBLIG</v>
          </cell>
          <cell r="C42">
            <v>11</v>
          </cell>
        </row>
        <row r="43">
          <cell r="B43" t="str">
            <v>SBLIG</v>
          </cell>
          <cell r="C43">
            <v>13</v>
          </cell>
        </row>
        <row r="44">
          <cell r="B44" t="str">
            <v>NOTHERS</v>
          </cell>
          <cell r="C44">
            <v>7</v>
          </cell>
        </row>
        <row r="45">
          <cell r="B45" t="str">
            <v>SOTHERS</v>
          </cell>
          <cell r="C45">
            <v>9</v>
          </cell>
        </row>
      </sheetData>
      <sheetData sheetId="8" refreshError="1"/>
      <sheetData sheetId="9">
        <row r="13">
          <cell r="B13">
            <v>1</v>
          </cell>
          <cell r="D13" t="str">
            <v>-</v>
          </cell>
          <cell r="H13" t="str">
            <v>-</v>
          </cell>
          <cell r="J13" t="str">
            <v>-</v>
          </cell>
          <cell r="L13" t="str">
            <v>-</v>
          </cell>
          <cell r="N13" t="str">
            <v>-</v>
          </cell>
          <cell r="P13" t="str">
            <v>-</v>
          </cell>
          <cell r="R13" t="str">
            <v>-</v>
          </cell>
          <cell r="T13" t="str">
            <v>-</v>
          </cell>
          <cell r="X13" t="str">
            <v>-</v>
          </cell>
          <cell r="AB13">
            <v>0</v>
          </cell>
          <cell r="AF13">
            <v>0</v>
          </cell>
          <cell r="AH13">
            <v>0</v>
          </cell>
          <cell r="AJ13">
            <v>0</v>
          </cell>
          <cell r="AL13">
            <v>0</v>
          </cell>
          <cell r="AN13">
            <v>0</v>
          </cell>
          <cell r="AP13">
            <v>0</v>
          </cell>
          <cell r="AR13">
            <v>0</v>
          </cell>
          <cell r="AT13">
            <v>0</v>
          </cell>
          <cell r="AV13">
            <v>0</v>
          </cell>
          <cell r="AX13">
            <v>0</v>
          </cell>
          <cell r="AZ13">
            <v>0</v>
          </cell>
          <cell r="BB13">
            <v>0</v>
          </cell>
          <cell r="BD13">
            <v>0</v>
          </cell>
          <cell r="BF13">
            <v>0</v>
          </cell>
          <cell r="BH13">
            <v>0</v>
          </cell>
          <cell r="BJ13">
            <v>0</v>
          </cell>
          <cell r="BL13">
            <v>0</v>
          </cell>
        </row>
        <row r="14">
          <cell r="B14">
            <v>2</v>
          </cell>
          <cell r="D14" t="str">
            <v>-</v>
          </cell>
          <cell r="H14" t="str">
            <v>-</v>
          </cell>
          <cell r="J14" t="str">
            <v>-</v>
          </cell>
          <cell r="L14" t="str">
            <v>-</v>
          </cell>
          <cell r="N14" t="str">
            <v>-</v>
          </cell>
          <cell r="P14" t="str">
            <v>-</v>
          </cell>
          <cell r="R14" t="str">
            <v>-</v>
          </cell>
          <cell r="T14" t="str">
            <v>-</v>
          </cell>
          <cell r="X14" t="str">
            <v>-</v>
          </cell>
          <cell r="AB14">
            <v>0</v>
          </cell>
          <cell r="AF14">
            <v>0</v>
          </cell>
          <cell r="AH14">
            <v>0</v>
          </cell>
          <cell r="AJ14">
            <v>0</v>
          </cell>
          <cell r="AL14">
            <v>0</v>
          </cell>
          <cell r="AN14">
            <v>0</v>
          </cell>
          <cell r="AP14">
            <v>0</v>
          </cell>
          <cell r="AR14">
            <v>0</v>
          </cell>
          <cell r="AT14">
            <v>0</v>
          </cell>
          <cell r="AV14">
            <v>0</v>
          </cell>
          <cell r="AX14">
            <v>0</v>
          </cell>
          <cell r="AZ14">
            <v>0</v>
          </cell>
          <cell r="BB14">
            <v>0</v>
          </cell>
          <cell r="BD14">
            <v>0</v>
          </cell>
          <cell r="BF14">
            <v>0</v>
          </cell>
          <cell r="BH14">
            <v>0</v>
          </cell>
          <cell r="BJ14">
            <v>0</v>
          </cell>
          <cell r="BL14">
            <v>0</v>
          </cell>
        </row>
        <row r="15">
          <cell r="B15">
            <v>3</v>
          </cell>
          <cell r="D15">
            <v>15</v>
          </cell>
          <cell r="F15">
            <v>13</v>
          </cell>
          <cell r="H15">
            <v>13</v>
          </cell>
          <cell r="J15">
            <v>8</v>
          </cell>
          <cell r="L15">
            <v>10</v>
          </cell>
          <cell r="N15">
            <v>12</v>
          </cell>
          <cell r="P15">
            <v>11</v>
          </cell>
          <cell r="R15">
            <v>7</v>
          </cell>
          <cell r="T15">
            <v>6</v>
          </cell>
          <cell r="V15">
            <v>10</v>
          </cell>
          <cell r="X15">
            <v>10</v>
          </cell>
          <cell r="AA15" t="str">
            <v>Y</v>
          </cell>
          <cell r="AB15">
            <v>12</v>
          </cell>
          <cell r="AD15">
            <v>11</v>
          </cell>
          <cell r="AF15">
            <v>13</v>
          </cell>
          <cell r="AH15">
            <v>8</v>
          </cell>
          <cell r="AJ15">
            <v>10</v>
          </cell>
          <cell r="AL15">
            <v>12</v>
          </cell>
          <cell r="AN15">
            <v>11</v>
          </cell>
          <cell r="AP15">
            <v>7</v>
          </cell>
          <cell r="AR15">
            <v>6</v>
          </cell>
          <cell r="AT15">
            <v>1</v>
          </cell>
          <cell r="AV15">
            <v>11</v>
          </cell>
          <cell r="AX15">
            <v>11.44</v>
          </cell>
          <cell r="AZ15">
            <v>7.04</v>
          </cell>
          <cell r="BB15">
            <v>8.8000000000000007</v>
          </cell>
          <cell r="BD15">
            <v>10.56</v>
          </cell>
          <cell r="BF15">
            <v>9.68</v>
          </cell>
          <cell r="BH15">
            <v>6.16</v>
          </cell>
          <cell r="BJ15">
            <v>5.28</v>
          </cell>
          <cell r="BL15">
            <v>0.8</v>
          </cell>
        </row>
        <row r="16">
          <cell r="B16">
            <v>4</v>
          </cell>
          <cell r="D16">
            <v>23</v>
          </cell>
          <cell r="E16">
            <v>0.53333333333333333</v>
          </cell>
          <cell r="F16">
            <v>21</v>
          </cell>
          <cell r="G16">
            <v>0.61538461538461542</v>
          </cell>
          <cell r="H16">
            <v>22</v>
          </cell>
          <cell r="I16">
            <v>0.69230769230769229</v>
          </cell>
          <cell r="J16">
            <v>21</v>
          </cell>
          <cell r="K16">
            <v>1.625</v>
          </cell>
          <cell r="L16">
            <v>17</v>
          </cell>
          <cell r="M16">
            <v>0.7</v>
          </cell>
          <cell r="N16">
            <v>21</v>
          </cell>
          <cell r="O16">
            <v>0.75</v>
          </cell>
          <cell r="P16">
            <v>20</v>
          </cell>
          <cell r="Q16">
            <v>0.81818181818181823</v>
          </cell>
          <cell r="R16">
            <v>17</v>
          </cell>
          <cell r="S16">
            <v>1.4285714285714286</v>
          </cell>
          <cell r="T16">
            <v>14</v>
          </cell>
          <cell r="U16">
            <v>1.3333333333333333</v>
          </cell>
          <cell r="V16">
            <v>18</v>
          </cell>
          <cell r="W16">
            <v>0.8</v>
          </cell>
          <cell r="X16">
            <v>20</v>
          </cell>
          <cell r="Y16">
            <v>1</v>
          </cell>
          <cell r="AA16" t="str">
            <v>O</v>
          </cell>
          <cell r="AB16">
            <v>21</v>
          </cell>
          <cell r="AC16">
            <v>0.75</v>
          </cell>
          <cell r="AD16">
            <v>20</v>
          </cell>
          <cell r="AE16">
            <v>0.81818181818181823</v>
          </cell>
          <cell r="AF16">
            <v>22</v>
          </cell>
          <cell r="AG16">
            <v>0.69230769230769229</v>
          </cell>
          <cell r="AH16">
            <v>21</v>
          </cell>
          <cell r="AI16">
            <v>1.625</v>
          </cell>
          <cell r="AJ16">
            <v>17</v>
          </cell>
          <cell r="AK16">
            <v>0.7</v>
          </cell>
          <cell r="AL16">
            <v>22</v>
          </cell>
          <cell r="AM16">
            <v>0.83333333333333337</v>
          </cell>
          <cell r="AN16">
            <v>20</v>
          </cell>
          <cell r="AO16">
            <v>0.81818181818181823</v>
          </cell>
          <cell r="AP16">
            <v>17</v>
          </cell>
          <cell r="AQ16">
            <v>1.4285714285714286</v>
          </cell>
          <cell r="AR16">
            <v>14</v>
          </cell>
          <cell r="AS16">
            <v>1.3333333333333333</v>
          </cell>
          <cell r="AT16">
            <v>0.8</v>
          </cell>
          <cell r="AU16">
            <v>-0.19999999999999996</v>
          </cell>
          <cell r="AV16">
            <v>19</v>
          </cell>
          <cell r="AW16">
            <v>0.72727272727272729</v>
          </cell>
          <cell r="AX16">
            <v>19.36</v>
          </cell>
          <cell r="AY16">
            <v>0.69230769230769229</v>
          </cell>
          <cell r="AZ16">
            <v>18.48</v>
          </cell>
          <cell r="BA16">
            <v>1.6250000000000002</v>
          </cell>
          <cell r="BB16">
            <v>14.96</v>
          </cell>
          <cell r="BC16">
            <v>0.7</v>
          </cell>
          <cell r="BD16">
            <v>19.36</v>
          </cell>
          <cell r="BE16">
            <v>0.83333333333333315</v>
          </cell>
          <cell r="BF16">
            <v>17.600000000000001</v>
          </cell>
          <cell r="BG16">
            <v>0.81818181818181834</v>
          </cell>
          <cell r="BH16">
            <v>14.96</v>
          </cell>
          <cell r="BI16">
            <v>1.4285714285714286</v>
          </cell>
          <cell r="BJ16">
            <v>12.32</v>
          </cell>
          <cell r="BK16">
            <v>1.3333333333333333</v>
          </cell>
          <cell r="BL16">
            <v>0.8</v>
          </cell>
          <cell r="BM16">
            <v>0</v>
          </cell>
        </row>
        <row r="17">
          <cell r="B17">
            <v>5</v>
          </cell>
          <cell r="D17">
            <v>28</v>
          </cell>
          <cell r="E17">
            <v>0.21739130434782608</v>
          </cell>
          <cell r="F17">
            <v>26</v>
          </cell>
          <cell r="G17">
            <v>0.23809523809523808</v>
          </cell>
          <cell r="H17">
            <v>30</v>
          </cell>
          <cell r="I17">
            <v>0.36363636363636365</v>
          </cell>
          <cell r="J17">
            <v>24</v>
          </cell>
          <cell r="K17">
            <v>0.14285714285714285</v>
          </cell>
          <cell r="L17">
            <v>24</v>
          </cell>
          <cell r="M17">
            <v>0.41176470588235292</v>
          </cell>
          <cell r="N17">
            <v>26</v>
          </cell>
          <cell r="O17">
            <v>0.23809523809523808</v>
          </cell>
          <cell r="P17">
            <v>27</v>
          </cell>
          <cell r="Q17">
            <v>0.35</v>
          </cell>
          <cell r="R17">
            <v>25</v>
          </cell>
          <cell r="S17">
            <v>0.47058823529411764</v>
          </cell>
          <cell r="T17">
            <v>22</v>
          </cell>
          <cell r="U17">
            <v>0.5714285714285714</v>
          </cell>
          <cell r="V17">
            <v>24</v>
          </cell>
          <cell r="W17">
            <v>0.33333333333333331</v>
          </cell>
          <cell r="X17">
            <v>26</v>
          </cell>
          <cell r="Y17">
            <v>0.3</v>
          </cell>
          <cell r="AA17" t="str">
            <v>U</v>
          </cell>
          <cell r="AB17">
            <v>26</v>
          </cell>
          <cell r="AC17">
            <v>0.23809523809523808</v>
          </cell>
          <cell r="AD17">
            <v>25</v>
          </cell>
          <cell r="AE17">
            <v>0.25</v>
          </cell>
          <cell r="AF17">
            <v>30</v>
          </cell>
          <cell r="AG17">
            <v>0.36363636363636365</v>
          </cell>
          <cell r="AH17">
            <v>24</v>
          </cell>
          <cell r="AI17">
            <v>0.14285714285714285</v>
          </cell>
          <cell r="AJ17">
            <v>24</v>
          </cell>
          <cell r="AK17">
            <v>0.41176470588235292</v>
          </cell>
          <cell r="AL17">
            <v>26</v>
          </cell>
          <cell r="AM17">
            <v>0.18181818181818182</v>
          </cell>
          <cell r="AN17">
            <v>27</v>
          </cell>
          <cell r="AO17">
            <v>0.35</v>
          </cell>
          <cell r="AP17">
            <v>25</v>
          </cell>
          <cell r="AQ17">
            <v>0.47058823529411764</v>
          </cell>
          <cell r="AR17">
            <v>22</v>
          </cell>
          <cell r="AS17">
            <v>0.5714285714285714</v>
          </cell>
          <cell r="AT17">
            <v>0.8</v>
          </cell>
          <cell r="AU17">
            <v>0</v>
          </cell>
          <cell r="AV17">
            <v>23</v>
          </cell>
          <cell r="AW17">
            <v>0.21052631578947367</v>
          </cell>
          <cell r="AX17">
            <v>26.4</v>
          </cell>
          <cell r="AY17">
            <v>0.36363636363636359</v>
          </cell>
          <cell r="AZ17">
            <v>21.12</v>
          </cell>
          <cell r="BA17">
            <v>0.14285714285714288</v>
          </cell>
          <cell r="BB17">
            <v>21.12</v>
          </cell>
          <cell r="BC17">
            <v>0.41176470588235292</v>
          </cell>
          <cell r="BD17">
            <v>22.88</v>
          </cell>
          <cell r="BE17">
            <v>0.1818181818181818</v>
          </cell>
          <cell r="BF17">
            <v>23.76</v>
          </cell>
          <cell r="BG17">
            <v>0.35</v>
          </cell>
          <cell r="BH17">
            <v>22</v>
          </cell>
          <cell r="BI17">
            <v>0.47058823529411759</v>
          </cell>
          <cell r="BJ17">
            <v>19.36</v>
          </cell>
          <cell r="BK17">
            <v>0.5714285714285714</v>
          </cell>
          <cell r="BL17">
            <v>0.9</v>
          </cell>
          <cell r="BM17">
            <v>0.12499999999999997</v>
          </cell>
        </row>
        <row r="18">
          <cell r="B18">
            <v>6</v>
          </cell>
          <cell r="D18">
            <v>27</v>
          </cell>
          <cell r="E18">
            <v>-3.5714285714285712E-2</v>
          </cell>
          <cell r="F18">
            <v>25</v>
          </cell>
          <cell r="G18">
            <v>-3.8461538461538464E-2</v>
          </cell>
          <cell r="H18">
            <v>29</v>
          </cell>
          <cell r="I18">
            <v>-3.3333333333333333E-2</v>
          </cell>
          <cell r="J18">
            <v>24</v>
          </cell>
          <cell r="K18">
            <v>0</v>
          </cell>
          <cell r="L18">
            <v>25</v>
          </cell>
          <cell r="M18">
            <v>4.1666666666666664E-2</v>
          </cell>
          <cell r="N18">
            <v>27</v>
          </cell>
          <cell r="O18">
            <v>3.8461538461538464E-2</v>
          </cell>
          <cell r="P18">
            <v>29</v>
          </cell>
          <cell r="Q18">
            <v>7.407407407407407E-2</v>
          </cell>
          <cell r="R18">
            <v>26</v>
          </cell>
          <cell r="S18">
            <v>0.04</v>
          </cell>
          <cell r="T18">
            <v>26</v>
          </cell>
          <cell r="U18">
            <v>0.18181818181818182</v>
          </cell>
          <cell r="V18">
            <v>26</v>
          </cell>
          <cell r="W18">
            <v>8.3333333333333329E-2</v>
          </cell>
          <cell r="X18">
            <v>26</v>
          </cell>
          <cell r="Y18">
            <v>0</v>
          </cell>
          <cell r="AA18" t="str">
            <v>N</v>
          </cell>
          <cell r="AB18">
            <v>27</v>
          </cell>
          <cell r="AC18">
            <v>3.8461538461538464E-2</v>
          </cell>
          <cell r="AD18">
            <v>26</v>
          </cell>
          <cell r="AE18">
            <v>0.04</v>
          </cell>
          <cell r="AF18">
            <v>29</v>
          </cell>
          <cell r="AG18">
            <v>-3.3333333333333333E-2</v>
          </cell>
          <cell r="AH18">
            <v>24</v>
          </cell>
          <cell r="AI18">
            <v>0</v>
          </cell>
          <cell r="AJ18">
            <v>25</v>
          </cell>
          <cell r="AK18">
            <v>4.1666666666666664E-2</v>
          </cell>
          <cell r="AL18">
            <v>28</v>
          </cell>
          <cell r="AM18">
            <v>7.6923076923076927E-2</v>
          </cell>
          <cell r="AN18">
            <v>29</v>
          </cell>
          <cell r="AO18">
            <v>7.407407407407407E-2</v>
          </cell>
          <cell r="AP18">
            <v>27</v>
          </cell>
          <cell r="AQ18">
            <v>0.08</v>
          </cell>
          <cell r="AR18">
            <v>26</v>
          </cell>
          <cell r="AS18">
            <v>0.18181818181818182</v>
          </cell>
          <cell r="AT18">
            <v>0.63</v>
          </cell>
          <cell r="AU18">
            <v>-0.21250000000000005</v>
          </cell>
          <cell r="AV18">
            <v>24</v>
          </cell>
          <cell r="AW18">
            <v>4.3478260869565216E-2</v>
          </cell>
          <cell r="AX18">
            <v>25.52</v>
          </cell>
          <cell r="AY18">
            <v>-3.3333333333333298E-2</v>
          </cell>
          <cell r="AZ18">
            <v>21.12</v>
          </cell>
          <cell r="BA18">
            <v>0</v>
          </cell>
          <cell r="BB18">
            <v>22</v>
          </cell>
          <cell r="BC18">
            <v>4.1666666666666616E-2</v>
          </cell>
          <cell r="BD18">
            <v>24.64</v>
          </cell>
          <cell r="BE18">
            <v>7.6923076923076997E-2</v>
          </cell>
          <cell r="BF18">
            <v>25.52</v>
          </cell>
          <cell r="BG18">
            <v>7.4074074074073987E-2</v>
          </cell>
          <cell r="BH18">
            <v>23.76</v>
          </cell>
          <cell r="BI18">
            <v>8.0000000000000071E-2</v>
          </cell>
          <cell r="BJ18">
            <v>22.88</v>
          </cell>
          <cell r="BK18">
            <v>0.1818181818181818</v>
          </cell>
          <cell r="BL18">
            <v>0.9</v>
          </cell>
          <cell r="BM18">
            <v>0</v>
          </cell>
        </row>
        <row r="19">
          <cell r="B19">
            <v>7</v>
          </cell>
          <cell r="D19">
            <v>26</v>
          </cell>
          <cell r="E19">
            <v>-3.7037037037037035E-2</v>
          </cell>
          <cell r="F19">
            <v>24</v>
          </cell>
          <cell r="G19">
            <v>-0.04</v>
          </cell>
          <cell r="H19">
            <v>27</v>
          </cell>
          <cell r="I19">
            <v>-6.8965517241379309E-2</v>
          </cell>
          <cell r="J19">
            <v>23</v>
          </cell>
          <cell r="K19">
            <v>-4.1666666666666664E-2</v>
          </cell>
          <cell r="L19">
            <v>24</v>
          </cell>
          <cell r="M19">
            <v>-0.04</v>
          </cell>
          <cell r="N19">
            <v>26</v>
          </cell>
          <cell r="O19">
            <v>-3.7037037037037035E-2</v>
          </cell>
          <cell r="P19">
            <v>28</v>
          </cell>
          <cell r="Q19">
            <v>-3.4482758620689655E-2</v>
          </cell>
          <cell r="R19">
            <v>28</v>
          </cell>
          <cell r="S19">
            <v>7.6923076923076927E-2</v>
          </cell>
          <cell r="T19">
            <v>24</v>
          </cell>
          <cell r="U19">
            <v>-7.6923076923076927E-2</v>
          </cell>
          <cell r="V19">
            <v>27</v>
          </cell>
          <cell r="W19">
            <v>3.8461538461538464E-2</v>
          </cell>
          <cell r="X19">
            <v>27</v>
          </cell>
          <cell r="Y19">
            <v>3.8461538461538464E-2</v>
          </cell>
          <cell r="AA19" t="str">
            <v>G</v>
          </cell>
          <cell r="AB19">
            <v>26</v>
          </cell>
          <cell r="AC19">
            <v>-3.7037037037037035E-2</v>
          </cell>
          <cell r="AD19">
            <v>25</v>
          </cell>
          <cell r="AE19">
            <v>-3.8461538461538464E-2</v>
          </cell>
          <cell r="AF19">
            <v>27</v>
          </cell>
          <cell r="AG19">
            <v>-6.8965517241379309E-2</v>
          </cell>
          <cell r="AH19">
            <v>23</v>
          </cell>
          <cell r="AI19">
            <v>-4.1666666666666664E-2</v>
          </cell>
          <cell r="AJ19">
            <v>24</v>
          </cell>
          <cell r="AK19">
            <v>-0.04</v>
          </cell>
          <cell r="AL19">
            <v>26</v>
          </cell>
          <cell r="AM19">
            <v>-7.1428571428571425E-2</v>
          </cell>
          <cell r="AN19">
            <v>28</v>
          </cell>
          <cell r="AO19">
            <v>-3.4482758620689655E-2</v>
          </cell>
          <cell r="AP19">
            <v>28</v>
          </cell>
          <cell r="AQ19">
            <v>3.7037037037037035E-2</v>
          </cell>
          <cell r="AR19">
            <v>24</v>
          </cell>
          <cell r="AS19">
            <v>-7.6923076923076927E-2</v>
          </cell>
          <cell r="AT19">
            <v>0.63</v>
          </cell>
          <cell r="AU19">
            <v>0</v>
          </cell>
          <cell r="AV19">
            <v>23</v>
          </cell>
          <cell r="AW19">
            <v>-4.1666666666666664E-2</v>
          </cell>
          <cell r="AX19">
            <v>23.76</v>
          </cell>
          <cell r="AY19">
            <v>-6.896551724137924E-2</v>
          </cell>
          <cell r="AZ19">
            <v>20.239999999999998</v>
          </cell>
          <cell r="BA19">
            <v>-4.1666666666666789E-2</v>
          </cell>
          <cell r="BB19">
            <v>21.12</v>
          </cell>
          <cell r="BC19">
            <v>-3.9999999999999952E-2</v>
          </cell>
          <cell r="BD19">
            <v>22.88</v>
          </cell>
          <cell r="BE19">
            <v>-7.1428571428571494E-2</v>
          </cell>
          <cell r="BF19">
            <v>24.64</v>
          </cell>
          <cell r="BG19">
            <v>-3.448275862068962E-2</v>
          </cell>
          <cell r="BH19">
            <v>24.64</v>
          </cell>
          <cell r="BI19">
            <v>3.7037037037036993E-2</v>
          </cell>
          <cell r="BJ19">
            <v>21.12</v>
          </cell>
          <cell r="BK19">
            <v>-7.6923076923076844E-2</v>
          </cell>
          <cell r="BL19">
            <v>0.9</v>
          </cell>
          <cell r="BM19">
            <v>0</v>
          </cell>
        </row>
        <row r="20">
          <cell r="B20">
            <v>8</v>
          </cell>
          <cell r="D20">
            <v>25</v>
          </cell>
          <cell r="E20">
            <v>-3.8461538461538464E-2</v>
          </cell>
          <cell r="F20">
            <v>23</v>
          </cell>
          <cell r="G20">
            <v>-4.1666666666666664E-2</v>
          </cell>
          <cell r="H20">
            <v>24</v>
          </cell>
          <cell r="I20">
            <v>-0.1111111111111111</v>
          </cell>
          <cell r="J20">
            <v>22</v>
          </cell>
          <cell r="K20">
            <v>-4.3478260869565216E-2</v>
          </cell>
          <cell r="L20">
            <v>23</v>
          </cell>
          <cell r="M20">
            <v>-4.1666666666666664E-2</v>
          </cell>
          <cell r="N20">
            <v>26</v>
          </cell>
          <cell r="O20">
            <v>0</v>
          </cell>
          <cell r="P20">
            <v>27</v>
          </cell>
          <cell r="Q20">
            <v>-3.5714285714285712E-2</v>
          </cell>
          <cell r="R20">
            <v>28</v>
          </cell>
          <cell r="S20">
            <v>0</v>
          </cell>
          <cell r="T20">
            <v>24</v>
          </cell>
          <cell r="U20">
            <v>0</v>
          </cell>
          <cell r="V20">
            <v>27</v>
          </cell>
          <cell r="W20">
            <v>0</v>
          </cell>
          <cell r="X20">
            <v>27</v>
          </cell>
          <cell r="Y20">
            <v>0</v>
          </cell>
          <cell r="AB20">
            <v>26</v>
          </cell>
          <cell r="AC20">
            <v>0</v>
          </cell>
          <cell r="AD20">
            <v>25</v>
          </cell>
          <cell r="AE20">
            <v>0</v>
          </cell>
          <cell r="AF20">
            <v>24</v>
          </cell>
          <cell r="AG20">
            <v>-0.1111111111111111</v>
          </cell>
          <cell r="AH20">
            <v>22</v>
          </cell>
          <cell r="AI20">
            <v>-4.3478260869565216E-2</v>
          </cell>
          <cell r="AJ20">
            <v>23</v>
          </cell>
          <cell r="AK20">
            <v>-4.1666666666666664E-2</v>
          </cell>
          <cell r="AL20">
            <v>26</v>
          </cell>
          <cell r="AM20">
            <v>0</v>
          </cell>
          <cell r="AN20">
            <v>27</v>
          </cell>
          <cell r="AO20">
            <v>-3.5714285714285712E-2</v>
          </cell>
          <cell r="AP20">
            <v>28</v>
          </cell>
          <cell r="AQ20">
            <v>0</v>
          </cell>
          <cell r="AR20">
            <v>24</v>
          </cell>
          <cell r="AS20">
            <v>0</v>
          </cell>
          <cell r="AT20">
            <v>0.63</v>
          </cell>
          <cell r="AU20">
            <v>0</v>
          </cell>
          <cell r="AV20">
            <v>23</v>
          </cell>
          <cell r="AW20">
            <v>0</v>
          </cell>
          <cell r="AX20">
            <v>21.12</v>
          </cell>
          <cell r="AY20">
            <v>-0.11111111111111113</v>
          </cell>
          <cell r="AZ20">
            <v>19.36</v>
          </cell>
          <cell r="BA20">
            <v>-4.3478260869565175E-2</v>
          </cell>
          <cell r="BB20">
            <v>20.239999999999998</v>
          </cell>
          <cell r="BC20">
            <v>-4.1666666666666789E-2</v>
          </cell>
          <cell r="BD20">
            <v>22.88</v>
          </cell>
          <cell r="BE20">
            <v>0</v>
          </cell>
          <cell r="BF20">
            <v>23.76</v>
          </cell>
          <cell r="BG20">
            <v>-3.5714285714285671E-2</v>
          </cell>
          <cell r="BH20">
            <v>24.64</v>
          </cell>
          <cell r="BI20">
            <v>0</v>
          </cell>
          <cell r="BJ20">
            <v>21.12</v>
          </cell>
          <cell r="BK20">
            <v>0</v>
          </cell>
          <cell r="BL20">
            <v>0.9</v>
          </cell>
          <cell r="BM20">
            <v>0</v>
          </cell>
        </row>
        <row r="21">
          <cell r="B21">
            <v>9</v>
          </cell>
          <cell r="D21">
            <v>25</v>
          </cell>
          <cell r="E21">
            <v>0</v>
          </cell>
          <cell r="F21">
            <v>23</v>
          </cell>
          <cell r="G21">
            <v>0</v>
          </cell>
          <cell r="H21">
            <v>21</v>
          </cell>
          <cell r="I21">
            <v>-0.125</v>
          </cell>
          <cell r="J21">
            <v>24</v>
          </cell>
          <cell r="K21">
            <v>9.0909090909090912E-2</v>
          </cell>
          <cell r="L21">
            <v>21</v>
          </cell>
          <cell r="M21">
            <v>-8.6956521739130432E-2</v>
          </cell>
          <cell r="N21">
            <v>26</v>
          </cell>
          <cell r="O21">
            <v>0</v>
          </cell>
          <cell r="P21">
            <v>27</v>
          </cell>
          <cell r="Q21">
            <v>0</v>
          </cell>
          <cell r="R21">
            <v>28</v>
          </cell>
          <cell r="S21">
            <v>0</v>
          </cell>
          <cell r="T21">
            <v>26</v>
          </cell>
          <cell r="U21">
            <v>8.3333333333333329E-2</v>
          </cell>
          <cell r="V21">
            <v>26</v>
          </cell>
          <cell r="W21">
            <v>-3.7037037037037035E-2</v>
          </cell>
          <cell r="X21">
            <v>23</v>
          </cell>
          <cell r="Y21">
            <v>-0.14814814814814814</v>
          </cell>
          <cell r="AB21">
            <v>26</v>
          </cell>
          <cell r="AC21">
            <v>0</v>
          </cell>
          <cell r="AD21">
            <v>25</v>
          </cell>
          <cell r="AE21">
            <v>0</v>
          </cell>
          <cell r="AF21">
            <v>21</v>
          </cell>
          <cell r="AG21">
            <v>-0.125</v>
          </cell>
          <cell r="AH21">
            <v>24</v>
          </cell>
          <cell r="AI21">
            <v>9.0909090909090912E-2</v>
          </cell>
          <cell r="AJ21">
            <v>21</v>
          </cell>
          <cell r="AK21">
            <v>-8.6956521739130432E-2</v>
          </cell>
          <cell r="AL21">
            <v>27</v>
          </cell>
          <cell r="AM21">
            <v>3.8461538461538464E-2</v>
          </cell>
          <cell r="AN21">
            <v>27</v>
          </cell>
          <cell r="AO21">
            <v>0</v>
          </cell>
          <cell r="AP21">
            <v>28</v>
          </cell>
          <cell r="AQ21">
            <v>0</v>
          </cell>
          <cell r="AR21">
            <v>26</v>
          </cell>
          <cell r="AS21">
            <v>8.3333333333333329E-2</v>
          </cell>
          <cell r="AT21">
            <v>0.63</v>
          </cell>
          <cell r="AU21">
            <v>0</v>
          </cell>
          <cell r="AV21">
            <v>23</v>
          </cell>
          <cell r="AW21">
            <v>0</v>
          </cell>
          <cell r="AX21">
            <v>18.48</v>
          </cell>
          <cell r="AY21">
            <v>-0.12500000000000003</v>
          </cell>
          <cell r="AZ21">
            <v>21.12</v>
          </cell>
          <cell r="BA21">
            <v>9.0909090909090995E-2</v>
          </cell>
          <cell r="BB21">
            <v>18.48</v>
          </cell>
          <cell r="BC21">
            <v>-8.6956521739130349E-2</v>
          </cell>
          <cell r="BD21">
            <v>23.76</v>
          </cell>
          <cell r="BE21">
            <v>3.8461538461538575E-2</v>
          </cell>
          <cell r="BF21">
            <v>23.76</v>
          </cell>
          <cell r="BG21">
            <v>0</v>
          </cell>
          <cell r="BH21">
            <v>24.64</v>
          </cell>
          <cell r="BI21">
            <v>0</v>
          </cell>
          <cell r="BJ21">
            <v>22.88</v>
          </cell>
          <cell r="BK21">
            <v>8.3333333333333232E-2</v>
          </cell>
          <cell r="BL21">
            <v>0.9</v>
          </cell>
          <cell r="BM21">
            <v>0</v>
          </cell>
        </row>
        <row r="22">
          <cell r="B22">
            <v>10</v>
          </cell>
          <cell r="D22">
            <v>26</v>
          </cell>
          <cell r="E22">
            <v>0.04</v>
          </cell>
          <cell r="F22">
            <v>24</v>
          </cell>
          <cell r="G22">
            <v>4.3478260869565216E-2</v>
          </cell>
          <cell r="H22">
            <v>23</v>
          </cell>
          <cell r="I22">
            <v>9.5238095238095233E-2</v>
          </cell>
          <cell r="J22">
            <v>24</v>
          </cell>
          <cell r="K22">
            <v>0</v>
          </cell>
          <cell r="L22">
            <v>23</v>
          </cell>
          <cell r="M22">
            <v>9.5238095238095233E-2</v>
          </cell>
          <cell r="N22">
            <v>26</v>
          </cell>
          <cell r="O22">
            <v>0</v>
          </cell>
          <cell r="P22">
            <v>27</v>
          </cell>
          <cell r="Q22">
            <v>0</v>
          </cell>
          <cell r="R22">
            <v>25</v>
          </cell>
          <cell r="S22">
            <v>-0.10714285714285714</v>
          </cell>
          <cell r="T22">
            <v>27</v>
          </cell>
          <cell r="U22">
            <v>3.8461538461538464E-2</v>
          </cell>
          <cell r="V22">
            <v>25</v>
          </cell>
          <cell r="W22">
            <v>-3.8461538461538464E-2</v>
          </cell>
          <cell r="X22">
            <v>23</v>
          </cell>
          <cell r="Y22">
            <v>0</v>
          </cell>
          <cell r="AA22" t="str">
            <v>P</v>
          </cell>
          <cell r="AB22">
            <v>26</v>
          </cell>
          <cell r="AC22">
            <v>0</v>
          </cell>
          <cell r="AD22">
            <v>25</v>
          </cell>
          <cell r="AE22">
            <v>0</v>
          </cell>
          <cell r="AF22">
            <v>23</v>
          </cell>
          <cell r="AG22">
            <v>9.5238095238095233E-2</v>
          </cell>
          <cell r="AH22">
            <v>24</v>
          </cell>
          <cell r="AI22">
            <v>0</v>
          </cell>
          <cell r="AJ22">
            <v>23</v>
          </cell>
          <cell r="AK22">
            <v>9.5238095238095233E-2</v>
          </cell>
          <cell r="AL22">
            <v>27</v>
          </cell>
          <cell r="AM22">
            <v>0</v>
          </cell>
          <cell r="AN22">
            <v>27</v>
          </cell>
          <cell r="AO22">
            <v>0</v>
          </cell>
          <cell r="AP22">
            <v>24</v>
          </cell>
          <cell r="AQ22">
            <v>-0.14285714285714285</v>
          </cell>
          <cell r="AR22">
            <v>27</v>
          </cell>
          <cell r="AS22">
            <v>3.8461538461538464E-2</v>
          </cell>
          <cell r="AT22">
            <v>0.75</v>
          </cell>
          <cell r="AU22">
            <v>0.19047619047619047</v>
          </cell>
          <cell r="AV22">
            <v>23</v>
          </cell>
          <cell r="AW22">
            <v>0</v>
          </cell>
          <cell r="AX22">
            <v>20.239999999999998</v>
          </cell>
          <cell r="AY22">
            <v>9.5238095238095122E-2</v>
          </cell>
          <cell r="AZ22">
            <v>21.12</v>
          </cell>
          <cell r="BA22">
            <v>0</v>
          </cell>
          <cell r="BB22">
            <v>20.239999999999998</v>
          </cell>
          <cell r="BC22">
            <v>9.5238095238095122E-2</v>
          </cell>
          <cell r="BD22">
            <v>23.76</v>
          </cell>
          <cell r="BE22">
            <v>0</v>
          </cell>
          <cell r="BF22">
            <v>23.76</v>
          </cell>
          <cell r="BG22">
            <v>0</v>
          </cell>
          <cell r="BH22">
            <v>21.12</v>
          </cell>
          <cell r="BI22">
            <v>-0.14285714285714285</v>
          </cell>
          <cell r="BJ22">
            <v>23.76</v>
          </cell>
          <cell r="BK22">
            <v>3.8461538461538575E-2</v>
          </cell>
          <cell r="BL22">
            <v>0.9</v>
          </cell>
          <cell r="BM22">
            <v>0</v>
          </cell>
        </row>
        <row r="23">
          <cell r="B23">
            <v>11</v>
          </cell>
          <cell r="D23">
            <v>26</v>
          </cell>
          <cell r="E23">
            <v>0</v>
          </cell>
          <cell r="F23">
            <v>24</v>
          </cell>
          <cell r="G23">
            <v>0</v>
          </cell>
          <cell r="H23">
            <v>25</v>
          </cell>
          <cell r="I23">
            <v>8.6956521739130432E-2</v>
          </cell>
          <cell r="J23">
            <v>24</v>
          </cell>
          <cell r="K23">
            <v>0</v>
          </cell>
          <cell r="L23">
            <v>24</v>
          </cell>
          <cell r="M23">
            <v>4.3478260869565216E-2</v>
          </cell>
          <cell r="N23">
            <v>26</v>
          </cell>
          <cell r="O23">
            <v>0</v>
          </cell>
          <cell r="P23">
            <v>27</v>
          </cell>
          <cell r="Q23">
            <v>0</v>
          </cell>
          <cell r="R23">
            <v>25</v>
          </cell>
          <cell r="S23">
            <v>0</v>
          </cell>
          <cell r="T23">
            <v>27</v>
          </cell>
          <cell r="U23">
            <v>0</v>
          </cell>
          <cell r="V23">
            <v>25</v>
          </cell>
          <cell r="W23">
            <v>0</v>
          </cell>
          <cell r="X23">
            <v>25</v>
          </cell>
          <cell r="Y23">
            <v>8.6956521739130432E-2</v>
          </cell>
          <cell r="AA23" t="str">
            <v>R</v>
          </cell>
          <cell r="AB23">
            <v>26</v>
          </cell>
          <cell r="AC23">
            <v>0</v>
          </cell>
          <cell r="AD23">
            <v>25</v>
          </cell>
          <cell r="AE23">
            <v>0</v>
          </cell>
          <cell r="AF23">
            <v>25</v>
          </cell>
          <cell r="AG23">
            <v>8.6956521739130432E-2</v>
          </cell>
          <cell r="AH23">
            <v>24</v>
          </cell>
          <cell r="AI23">
            <v>0</v>
          </cell>
          <cell r="AJ23">
            <v>24</v>
          </cell>
          <cell r="AK23">
            <v>4.3478260869565216E-2</v>
          </cell>
          <cell r="AL23">
            <v>27</v>
          </cell>
          <cell r="AM23">
            <v>0</v>
          </cell>
          <cell r="AN23">
            <v>27</v>
          </cell>
          <cell r="AO23">
            <v>0</v>
          </cell>
          <cell r="AP23">
            <v>24</v>
          </cell>
          <cell r="AQ23">
            <v>0</v>
          </cell>
          <cell r="AR23">
            <v>27</v>
          </cell>
          <cell r="AS23">
            <v>0</v>
          </cell>
          <cell r="AT23">
            <v>0.75</v>
          </cell>
          <cell r="AU23">
            <v>0</v>
          </cell>
          <cell r="AV23">
            <v>23</v>
          </cell>
          <cell r="AW23">
            <v>0</v>
          </cell>
          <cell r="AX23">
            <v>22</v>
          </cell>
          <cell r="AY23">
            <v>8.6956521739130516E-2</v>
          </cell>
          <cell r="AZ23">
            <v>21.12</v>
          </cell>
          <cell r="BA23">
            <v>0</v>
          </cell>
          <cell r="BB23">
            <v>21.12</v>
          </cell>
          <cell r="BC23">
            <v>4.3478260869565348E-2</v>
          </cell>
          <cell r="BD23">
            <v>23.76</v>
          </cell>
          <cell r="BE23">
            <v>0</v>
          </cell>
          <cell r="BF23">
            <v>23.76</v>
          </cell>
          <cell r="BG23">
            <v>0</v>
          </cell>
          <cell r="BH23">
            <v>21.12</v>
          </cell>
          <cell r="BI23">
            <v>0</v>
          </cell>
          <cell r="BJ23">
            <v>23.76</v>
          </cell>
          <cell r="BK23">
            <v>0</v>
          </cell>
          <cell r="BL23">
            <v>0.85</v>
          </cell>
          <cell r="BM23">
            <v>-5.5555555555555601E-2</v>
          </cell>
        </row>
        <row r="24">
          <cell r="B24">
            <v>12</v>
          </cell>
          <cell r="D24">
            <v>26</v>
          </cell>
          <cell r="E24">
            <v>0</v>
          </cell>
          <cell r="F24">
            <v>24</v>
          </cell>
          <cell r="G24">
            <v>0</v>
          </cell>
          <cell r="H24">
            <v>26</v>
          </cell>
          <cell r="I24">
            <v>0.04</v>
          </cell>
          <cell r="J24">
            <v>25</v>
          </cell>
          <cell r="K24">
            <v>4.1666666666666664E-2</v>
          </cell>
          <cell r="L24">
            <v>24</v>
          </cell>
          <cell r="M24">
            <v>0</v>
          </cell>
          <cell r="N24">
            <v>27</v>
          </cell>
          <cell r="O24">
            <v>3.8461538461538464E-2</v>
          </cell>
          <cell r="P24">
            <v>27</v>
          </cell>
          <cell r="Q24">
            <v>0</v>
          </cell>
          <cell r="R24">
            <v>27</v>
          </cell>
          <cell r="S24">
            <v>0.08</v>
          </cell>
          <cell r="T24">
            <v>27</v>
          </cell>
          <cell r="U24">
            <v>0</v>
          </cell>
          <cell r="V24">
            <v>26</v>
          </cell>
          <cell r="W24">
            <v>0.04</v>
          </cell>
          <cell r="X24">
            <v>26</v>
          </cell>
          <cell r="Y24">
            <v>0.04</v>
          </cell>
          <cell r="AA24" t="str">
            <v>I</v>
          </cell>
          <cell r="AB24">
            <v>27</v>
          </cell>
          <cell r="AC24">
            <v>3.8461538461538464E-2</v>
          </cell>
          <cell r="AD24">
            <v>26</v>
          </cell>
          <cell r="AE24">
            <v>0.04</v>
          </cell>
          <cell r="AF24">
            <v>26</v>
          </cell>
          <cell r="AG24">
            <v>0.04</v>
          </cell>
          <cell r="AH24">
            <v>25</v>
          </cell>
          <cell r="AI24">
            <v>4.1666666666666664E-2</v>
          </cell>
          <cell r="AJ24">
            <v>24</v>
          </cell>
          <cell r="AK24">
            <v>0</v>
          </cell>
          <cell r="AL24">
            <v>28</v>
          </cell>
          <cell r="AM24">
            <v>3.7037037037037035E-2</v>
          </cell>
          <cell r="AN24">
            <v>27</v>
          </cell>
          <cell r="AO24">
            <v>0</v>
          </cell>
          <cell r="AP24">
            <v>27</v>
          </cell>
          <cell r="AQ24">
            <v>0.125</v>
          </cell>
          <cell r="AR24">
            <v>27</v>
          </cell>
          <cell r="AS24">
            <v>0</v>
          </cell>
          <cell r="AT24">
            <v>0.75</v>
          </cell>
          <cell r="AU24">
            <v>0</v>
          </cell>
          <cell r="AV24">
            <v>24</v>
          </cell>
          <cell r="AW24">
            <v>4.3478260869565216E-2</v>
          </cell>
          <cell r="AX24">
            <v>22.88</v>
          </cell>
          <cell r="AY24">
            <v>3.9999999999999952E-2</v>
          </cell>
          <cell r="AZ24">
            <v>22</v>
          </cell>
          <cell r="BA24">
            <v>4.1666666666666616E-2</v>
          </cell>
          <cell r="BB24">
            <v>21.12</v>
          </cell>
          <cell r="BC24">
            <v>0</v>
          </cell>
          <cell r="BD24">
            <v>24.64</v>
          </cell>
          <cell r="BE24">
            <v>3.7037037037036993E-2</v>
          </cell>
          <cell r="BF24">
            <v>23.76</v>
          </cell>
          <cell r="BG24">
            <v>0</v>
          </cell>
          <cell r="BH24">
            <v>23.76</v>
          </cell>
          <cell r="BI24">
            <v>0.12500000000000003</v>
          </cell>
          <cell r="BJ24">
            <v>23.76</v>
          </cell>
          <cell r="BK24">
            <v>0</v>
          </cell>
          <cell r="BL24">
            <v>0.85</v>
          </cell>
          <cell r="BM24">
            <v>0</v>
          </cell>
        </row>
        <row r="25">
          <cell r="B25">
            <v>13</v>
          </cell>
          <cell r="D25">
            <v>27</v>
          </cell>
          <cell r="E25">
            <v>3.8461538461538464E-2</v>
          </cell>
          <cell r="F25">
            <v>25</v>
          </cell>
          <cell r="G25">
            <v>4.1666666666666664E-2</v>
          </cell>
          <cell r="H25">
            <v>26</v>
          </cell>
          <cell r="I25">
            <v>0</v>
          </cell>
          <cell r="J25">
            <v>25</v>
          </cell>
          <cell r="K25">
            <v>0</v>
          </cell>
          <cell r="L25">
            <v>25</v>
          </cell>
          <cell r="M25">
            <v>4.1666666666666664E-2</v>
          </cell>
          <cell r="N25">
            <v>27</v>
          </cell>
          <cell r="O25">
            <v>0</v>
          </cell>
          <cell r="P25">
            <v>26</v>
          </cell>
          <cell r="Q25">
            <v>-3.7037037037037035E-2</v>
          </cell>
          <cell r="R25">
            <v>27</v>
          </cell>
          <cell r="S25">
            <v>0</v>
          </cell>
          <cell r="T25">
            <v>27</v>
          </cell>
          <cell r="U25">
            <v>0</v>
          </cell>
          <cell r="V25">
            <v>27</v>
          </cell>
          <cell r="W25">
            <v>3.8461538461538464E-2</v>
          </cell>
          <cell r="X25">
            <v>26</v>
          </cell>
          <cell r="Y25">
            <v>0</v>
          </cell>
          <cell r="AA25" t="str">
            <v>M</v>
          </cell>
          <cell r="AB25">
            <v>27</v>
          </cell>
          <cell r="AC25">
            <v>0</v>
          </cell>
          <cell r="AD25">
            <v>26</v>
          </cell>
          <cell r="AE25">
            <v>0</v>
          </cell>
          <cell r="AF25">
            <v>26</v>
          </cell>
          <cell r="AG25">
            <v>0</v>
          </cell>
          <cell r="AH25">
            <v>25</v>
          </cell>
          <cell r="AI25">
            <v>0</v>
          </cell>
          <cell r="AJ25">
            <v>25</v>
          </cell>
          <cell r="AK25">
            <v>4.1666666666666664E-2</v>
          </cell>
          <cell r="AL25">
            <v>28</v>
          </cell>
          <cell r="AM25">
            <v>0</v>
          </cell>
          <cell r="AN25">
            <v>27</v>
          </cell>
          <cell r="AO25">
            <v>0</v>
          </cell>
          <cell r="AP25">
            <v>27</v>
          </cell>
          <cell r="AQ25">
            <v>0</v>
          </cell>
          <cell r="AR25">
            <v>27</v>
          </cell>
          <cell r="AS25">
            <v>0</v>
          </cell>
          <cell r="AT25">
            <v>0.75</v>
          </cell>
          <cell r="AU25">
            <v>0</v>
          </cell>
          <cell r="AV25">
            <v>24</v>
          </cell>
          <cell r="AW25">
            <v>0</v>
          </cell>
          <cell r="AX25">
            <v>22.88</v>
          </cell>
          <cell r="AY25">
            <v>0</v>
          </cell>
          <cell r="AZ25">
            <v>22</v>
          </cell>
          <cell r="BA25">
            <v>0</v>
          </cell>
          <cell r="BB25">
            <v>22</v>
          </cell>
          <cell r="BC25">
            <v>4.1666666666666616E-2</v>
          </cell>
          <cell r="BD25">
            <v>24.64</v>
          </cell>
          <cell r="BE25">
            <v>0</v>
          </cell>
          <cell r="BF25">
            <v>23.76</v>
          </cell>
          <cell r="BG25">
            <v>0</v>
          </cell>
          <cell r="BH25">
            <v>23.76</v>
          </cell>
          <cell r="BI25">
            <v>0</v>
          </cell>
          <cell r="BJ25">
            <v>23.76</v>
          </cell>
          <cell r="BK25">
            <v>0</v>
          </cell>
          <cell r="BL25">
            <v>0.85</v>
          </cell>
          <cell r="BM25">
            <v>0</v>
          </cell>
        </row>
        <row r="26">
          <cell r="B26">
            <v>14</v>
          </cell>
          <cell r="D26">
            <v>27</v>
          </cell>
          <cell r="E26">
            <v>0</v>
          </cell>
          <cell r="F26">
            <v>25</v>
          </cell>
          <cell r="G26">
            <v>0</v>
          </cell>
          <cell r="H26">
            <v>27</v>
          </cell>
          <cell r="I26">
            <v>3.8461538461538464E-2</v>
          </cell>
          <cell r="J26">
            <v>26</v>
          </cell>
          <cell r="K26">
            <v>0.04</v>
          </cell>
          <cell r="L26">
            <v>25</v>
          </cell>
          <cell r="M26">
            <v>0</v>
          </cell>
          <cell r="N26">
            <v>27</v>
          </cell>
          <cell r="O26">
            <v>0</v>
          </cell>
          <cell r="P26">
            <v>26</v>
          </cell>
          <cell r="Q26">
            <v>0</v>
          </cell>
          <cell r="R26">
            <v>26</v>
          </cell>
          <cell r="S26">
            <v>-3.7037037037037035E-2</v>
          </cell>
          <cell r="T26">
            <v>27</v>
          </cell>
          <cell r="U26">
            <v>0</v>
          </cell>
          <cell r="V26">
            <v>27</v>
          </cell>
          <cell r="W26">
            <v>0</v>
          </cell>
          <cell r="X26">
            <v>25</v>
          </cell>
          <cell r="Y26">
            <v>-3.8461538461538464E-2</v>
          </cell>
          <cell r="AA26" t="str">
            <v>E</v>
          </cell>
          <cell r="AB26">
            <v>27</v>
          </cell>
          <cell r="AC26">
            <v>0</v>
          </cell>
          <cell r="AD26">
            <v>26</v>
          </cell>
          <cell r="AE26">
            <v>0</v>
          </cell>
          <cell r="AF26">
            <v>27</v>
          </cell>
          <cell r="AG26">
            <v>3.8461538461538464E-2</v>
          </cell>
          <cell r="AH26">
            <v>26</v>
          </cell>
          <cell r="AI26">
            <v>0.04</v>
          </cell>
          <cell r="AJ26">
            <v>25</v>
          </cell>
          <cell r="AK26">
            <v>0</v>
          </cell>
          <cell r="AL26">
            <v>28</v>
          </cell>
          <cell r="AM26">
            <v>0</v>
          </cell>
          <cell r="AN26">
            <v>27</v>
          </cell>
          <cell r="AO26">
            <v>0</v>
          </cell>
          <cell r="AP26">
            <v>26</v>
          </cell>
          <cell r="AQ26">
            <v>-3.7037037037037035E-2</v>
          </cell>
          <cell r="AR26">
            <v>27</v>
          </cell>
          <cell r="AS26">
            <v>0</v>
          </cell>
          <cell r="AT26">
            <v>0.75</v>
          </cell>
          <cell r="AU26">
            <v>0</v>
          </cell>
          <cell r="AV26">
            <v>24</v>
          </cell>
          <cell r="AW26">
            <v>0</v>
          </cell>
          <cell r="AX26">
            <v>23.76</v>
          </cell>
          <cell r="AY26">
            <v>3.8461538461538575E-2</v>
          </cell>
          <cell r="AZ26">
            <v>22.88</v>
          </cell>
          <cell r="BA26">
            <v>3.9999999999999952E-2</v>
          </cell>
          <cell r="BB26">
            <v>22</v>
          </cell>
          <cell r="BC26">
            <v>0</v>
          </cell>
          <cell r="BD26">
            <v>24.64</v>
          </cell>
          <cell r="BE26">
            <v>0</v>
          </cell>
          <cell r="BF26">
            <v>23.76</v>
          </cell>
          <cell r="BG26">
            <v>0</v>
          </cell>
          <cell r="BH26">
            <v>22.88</v>
          </cell>
          <cell r="BI26">
            <v>-3.7037037037037139E-2</v>
          </cell>
          <cell r="BJ26">
            <v>23.76</v>
          </cell>
          <cell r="BK26">
            <v>0</v>
          </cell>
          <cell r="BL26">
            <v>0.85</v>
          </cell>
          <cell r="BM26">
            <v>0</v>
          </cell>
        </row>
        <row r="27">
          <cell r="B27">
            <v>15</v>
          </cell>
          <cell r="D27">
            <v>27</v>
          </cell>
          <cell r="E27">
            <v>0</v>
          </cell>
          <cell r="F27">
            <v>25</v>
          </cell>
          <cell r="G27">
            <v>0</v>
          </cell>
          <cell r="H27">
            <v>27</v>
          </cell>
          <cell r="I27">
            <v>0</v>
          </cell>
          <cell r="J27">
            <v>26</v>
          </cell>
          <cell r="K27">
            <v>0</v>
          </cell>
          <cell r="L27">
            <v>24</v>
          </cell>
          <cell r="M27">
            <v>-0.04</v>
          </cell>
          <cell r="N27">
            <v>26</v>
          </cell>
          <cell r="O27">
            <v>-3.7037037037037035E-2</v>
          </cell>
          <cell r="P27">
            <v>26</v>
          </cell>
          <cell r="Q27">
            <v>0</v>
          </cell>
          <cell r="R27">
            <v>25</v>
          </cell>
          <cell r="S27">
            <v>-3.8461538461538464E-2</v>
          </cell>
          <cell r="T27">
            <v>26</v>
          </cell>
          <cell r="U27">
            <v>-3.7037037037037035E-2</v>
          </cell>
          <cell r="V27">
            <v>26</v>
          </cell>
          <cell r="W27">
            <v>-3.7037037037037035E-2</v>
          </cell>
          <cell r="X27">
            <v>25</v>
          </cell>
          <cell r="Y27">
            <v>0</v>
          </cell>
          <cell r="AB27">
            <v>26</v>
          </cell>
          <cell r="AC27">
            <v>-3.7037037037037035E-2</v>
          </cell>
          <cell r="AD27">
            <v>25</v>
          </cell>
          <cell r="AE27">
            <v>-3.8461538461538464E-2</v>
          </cell>
          <cell r="AF27">
            <v>27</v>
          </cell>
          <cell r="AG27">
            <v>0</v>
          </cell>
          <cell r="AH27">
            <v>26</v>
          </cell>
          <cell r="AI27">
            <v>0</v>
          </cell>
          <cell r="AJ27">
            <v>24</v>
          </cell>
          <cell r="AK27">
            <v>-0.04</v>
          </cell>
          <cell r="AL27">
            <v>27</v>
          </cell>
          <cell r="AM27">
            <v>-3.5714285714285712E-2</v>
          </cell>
          <cell r="AN27">
            <v>26</v>
          </cell>
          <cell r="AO27">
            <v>-3.7037037037037035E-2</v>
          </cell>
          <cell r="AP27">
            <v>25</v>
          </cell>
          <cell r="AQ27">
            <v>-3.8461538461538464E-2</v>
          </cell>
          <cell r="AR27">
            <v>26</v>
          </cell>
          <cell r="AS27">
            <v>-3.7037037037037035E-2</v>
          </cell>
          <cell r="AT27">
            <v>0.75</v>
          </cell>
          <cell r="AU27">
            <v>0</v>
          </cell>
          <cell r="AV27">
            <v>23</v>
          </cell>
          <cell r="AW27">
            <v>-4.1666666666666664E-2</v>
          </cell>
          <cell r="AX27">
            <v>23.76</v>
          </cell>
          <cell r="AY27">
            <v>0</v>
          </cell>
          <cell r="AZ27">
            <v>22.88</v>
          </cell>
          <cell r="BA27">
            <v>0</v>
          </cell>
          <cell r="BB27">
            <v>21.12</v>
          </cell>
          <cell r="BC27">
            <v>-3.9999999999999952E-2</v>
          </cell>
          <cell r="BD27">
            <v>23.76</v>
          </cell>
          <cell r="BE27">
            <v>-3.5714285714285671E-2</v>
          </cell>
          <cell r="BF27">
            <v>22.88</v>
          </cell>
          <cell r="BG27">
            <v>-3.7037037037037139E-2</v>
          </cell>
          <cell r="BH27">
            <v>22</v>
          </cell>
          <cell r="BI27">
            <v>-3.8461538461538422E-2</v>
          </cell>
          <cell r="BJ27">
            <v>22.88</v>
          </cell>
          <cell r="BK27">
            <v>-3.7037037037037139E-2</v>
          </cell>
          <cell r="BL27">
            <v>0.85</v>
          </cell>
          <cell r="BM27">
            <v>0</v>
          </cell>
        </row>
        <row r="28">
          <cell r="B28">
            <v>16</v>
          </cell>
          <cell r="D28">
            <v>27</v>
          </cell>
          <cell r="E28">
            <v>0</v>
          </cell>
          <cell r="F28">
            <v>25</v>
          </cell>
          <cell r="G28">
            <v>0</v>
          </cell>
          <cell r="H28">
            <v>26</v>
          </cell>
          <cell r="I28">
            <v>-3.7037037037037035E-2</v>
          </cell>
          <cell r="J28">
            <v>25</v>
          </cell>
          <cell r="K28">
            <v>-3.8461538461538464E-2</v>
          </cell>
          <cell r="L28">
            <v>24</v>
          </cell>
          <cell r="M28">
            <v>0</v>
          </cell>
          <cell r="N28">
            <v>26</v>
          </cell>
          <cell r="O28">
            <v>0</v>
          </cell>
          <cell r="P28">
            <v>25</v>
          </cell>
          <cell r="Q28">
            <v>-3.8461538461538464E-2</v>
          </cell>
          <cell r="R28">
            <v>25</v>
          </cell>
          <cell r="S28">
            <v>0</v>
          </cell>
          <cell r="T28">
            <v>25</v>
          </cell>
          <cell r="U28">
            <v>-3.8461538461538464E-2</v>
          </cell>
          <cell r="V28">
            <v>26</v>
          </cell>
          <cell r="W28">
            <v>0</v>
          </cell>
          <cell r="X28">
            <v>25</v>
          </cell>
          <cell r="Y28">
            <v>0</v>
          </cell>
          <cell r="AB28">
            <v>26</v>
          </cell>
          <cell r="AC28">
            <v>0</v>
          </cell>
          <cell r="AD28">
            <v>25</v>
          </cell>
          <cell r="AE28">
            <v>0</v>
          </cell>
          <cell r="AF28">
            <v>26</v>
          </cell>
          <cell r="AG28">
            <v>-3.7037037037037035E-2</v>
          </cell>
          <cell r="AH28">
            <v>25</v>
          </cell>
          <cell r="AI28">
            <v>-3.8461538461538464E-2</v>
          </cell>
          <cell r="AJ28">
            <v>24</v>
          </cell>
          <cell r="AK28">
            <v>0</v>
          </cell>
          <cell r="AL28">
            <v>27</v>
          </cell>
          <cell r="AM28">
            <v>0</v>
          </cell>
          <cell r="AN28">
            <v>26</v>
          </cell>
          <cell r="AO28">
            <v>0</v>
          </cell>
          <cell r="AP28">
            <v>25</v>
          </cell>
          <cell r="AQ28">
            <v>0</v>
          </cell>
          <cell r="AR28">
            <v>25</v>
          </cell>
          <cell r="AS28">
            <v>-3.8461538461538464E-2</v>
          </cell>
          <cell r="AT28">
            <v>0.75</v>
          </cell>
          <cell r="AU28">
            <v>0</v>
          </cell>
          <cell r="AV28">
            <v>23</v>
          </cell>
          <cell r="AW28">
            <v>0</v>
          </cell>
          <cell r="AX28">
            <v>22.88</v>
          </cell>
          <cell r="AY28">
            <v>-3.7037037037037139E-2</v>
          </cell>
          <cell r="AZ28">
            <v>22</v>
          </cell>
          <cell r="BA28">
            <v>-3.8461538461538422E-2</v>
          </cell>
          <cell r="BB28">
            <v>21.12</v>
          </cell>
          <cell r="BC28">
            <v>0</v>
          </cell>
          <cell r="BD28">
            <v>23.76</v>
          </cell>
          <cell r="BE28">
            <v>0</v>
          </cell>
          <cell r="BF28">
            <v>22.88</v>
          </cell>
          <cell r="BG28">
            <v>0</v>
          </cell>
          <cell r="BH28">
            <v>22</v>
          </cell>
          <cell r="BI28">
            <v>0</v>
          </cell>
          <cell r="BJ28">
            <v>22</v>
          </cell>
          <cell r="BK28">
            <v>-3.8461538461538422E-2</v>
          </cell>
          <cell r="BL28">
            <v>0.8</v>
          </cell>
          <cell r="BM28">
            <v>-5.8823529411764629E-2</v>
          </cell>
        </row>
        <row r="29">
          <cell r="B29">
            <v>17</v>
          </cell>
          <cell r="D29">
            <v>27</v>
          </cell>
          <cell r="E29">
            <v>0</v>
          </cell>
          <cell r="F29">
            <v>25</v>
          </cell>
          <cell r="G29">
            <v>0</v>
          </cell>
          <cell r="H29">
            <v>25</v>
          </cell>
          <cell r="I29">
            <v>-3.8461538461538464E-2</v>
          </cell>
          <cell r="J29">
            <v>25</v>
          </cell>
          <cell r="K29">
            <v>0</v>
          </cell>
          <cell r="L29">
            <v>24</v>
          </cell>
          <cell r="M29">
            <v>0</v>
          </cell>
          <cell r="N29">
            <v>26</v>
          </cell>
          <cell r="O29">
            <v>0</v>
          </cell>
          <cell r="P29">
            <v>25</v>
          </cell>
          <cell r="Q29">
            <v>0</v>
          </cell>
          <cell r="R29">
            <v>24</v>
          </cell>
          <cell r="S29">
            <v>-0.04</v>
          </cell>
          <cell r="T29">
            <v>24</v>
          </cell>
          <cell r="U29">
            <v>-0.04</v>
          </cell>
          <cell r="V29">
            <v>25</v>
          </cell>
          <cell r="W29">
            <v>-3.8461538461538464E-2</v>
          </cell>
          <cell r="X29">
            <v>24</v>
          </cell>
          <cell r="Y29">
            <v>-0.04</v>
          </cell>
          <cell r="AB29">
            <v>26</v>
          </cell>
          <cell r="AC29">
            <v>0</v>
          </cell>
          <cell r="AD29">
            <v>25</v>
          </cell>
          <cell r="AE29">
            <v>0</v>
          </cell>
          <cell r="AF29">
            <v>25</v>
          </cell>
          <cell r="AG29">
            <v>-3.8461538461538464E-2</v>
          </cell>
          <cell r="AH29">
            <v>25</v>
          </cell>
          <cell r="AI29">
            <v>0</v>
          </cell>
          <cell r="AJ29">
            <v>24</v>
          </cell>
          <cell r="AK29">
            <v>0</v>
          </cell>
          <cell r="AL29">
            <v>26</v>
          </cell>
          <cell r="AM29">
            <v>-3.7037037037037035E-2</v>
          </cell>
          <cell r="AN29">
            <v>25</v>
          </cell>
          <cell r="AO29">
            <v>-3.8461538461538464E-2</v>
          </cell>
          <cell r="AP29">
            <v>24</v>
          </cell>
          <cell r="AQ29">
            <v>-0.04</v>
          </cell>
          <cell r="AR29">
            <v>24</v>
          </cell>
          <cell r="AS29">
            <v>-0.04</v>
          </cell>
          <cell r="AT29">
            <v>0.75</v>
          </cell>
          <cell r="AU29">
            <v>0</v>
          </cell>
          <cell r="AV29">
            <v>23</v>
          </cell>
          <cell r="AW29">
            <v>0</v>
          </cell>
          <cell r="AX29">
            <v>22</v>
          </cell>
          <cell r="AY29">
            <v>-3.8461538461538422E-2</v>
          </cell>
          <cell r="AZ29">
            <v>22</v>
          </cell>
          <cell r="BA29">
            <v>0</v>
          </cell>
          <cell r="BB29">
            <v>21.12</v>
          </cell>
          <cell r="BC29">
            <v>0</v>
          </cell>
          <cell r="BD29">
            <v>22.88</v>
          </cell>
          <cell r="BE29">
            <v>-3.7037037037037139E-2</v>
          </cell>
          <cell r="BF29">
            <v>22</v>
          </cell>
          <cell r="BG29">
            <v>-3.8461538461538422E-2</v>
          </cell>
          <cell r="BH29">
            <v>21.12</v>
          </cell>
          <cell r="BI29">
            <v>-3.9999999999999952E-2</v>
          </cell>
          <cell r="BJ29">
            <v>21.12</v>
          </cell>
          <cell r="BK29">
            <v>-3.9999999999999952E-2</v>
          </cell>
          <cell r="BL29">
            <v>0.8</v>
          </cell>
          <cell r="BM29">
            <v>0</v>
          </cell>
        </row>
        <row r="30">
          <cell r="B30">
            <v>18</v>
          </cell>
          <cell r="D30">
            <v>27</v>
          </cell>
          <cell r="E30">
            <v>0</v>
          </cell>
          <cell r="F30">
            <v>25</v>
          </cell>
          <cell r="G30">
            <v>0</v>
          </cell>
          <cell r="H30">
            <v>25</v>
          </cell>
          <cell r="I30">
            <v>0</v>
          </cell>
          <cell r="J30">
            <v>24</v>
          </cell>
          <cell r="K30">
            <v>-0.04</v>
          </cell>
          <cell r="L30">
            <v>23</v>
          </cell>
          <cell r="M30">
            <v>-4.1666666666666664E-2</v>
          </cell>
          <cell r="N30">
            <v>26</v>
          </cell>
          <cell r="O30">
            <v>0</v>
          </cell>
          <cell r="P30">
            <v>25</v>
          </cell>
          <cell r="Q30">
            <v>0</v>
          </cell>
          <cell r="R30">
            <v>24</v>
          </cell>
          <cell r="S30">
            <v>0</v>
          </cell>
          <cell r="T30">
            <v>23</v>
          </cell>
          <cell r="U30">
            <v>-4.1666666666666664E-2</v>
          </cell>
          <cell r="V30">
            <v>25</v>
          </cell>
          <cell r="W30">
            <v>0</v>
          </cell>
          <cell r="X30">
            <v>24</v>
          </cell>
          <cell r="Y30">
            <v>0</v>
          </cell>
          <cell r="AB30">
            <v>26</v>
          </cell>
          <cell r="AC30">
            <v>0</v>
          </cell>
          <cell r="AD30">
            <v>25</v>
          </cell>
          <cell r="AE30">
            <v>0</v>
          </cell>
          <cell r="AF30">
            <v>25</v>
          </cell>
          <cell r="AG30">
            <v>0</v>
          </cell>
          <cell r="AH30">
            <v>24</v>
          </cell>
          <cell r="AI30">
            <v>-0.04</v>
          </cell>
          <cell r="AJ30">
            <v>23</v>
          </cell>
          <cell r="AK30">
            <v>-4.1666666666666664E-2</v>
          </cell>
          <cell r="AL30">
            <v>26</v>
          </cell>
          <cell r="AM30">
            <v>0</v>
          </cell>
          <cell r="AN30">
            <v>25</v>
          </cell>
          <cell r="AO30">
            <v>0</v>
          </cell>
          <cell r="AP30">
            <v>24</v>
          </cell>
          <cell r="AQ30">
            <v>0</v>
          </cell>
          <cell r="AR30">
            <v>23</v>
          </cell>
          <cell r="AS30">
            <v>-4.1666666666666664E-2</v>
          </cell>
          <cell r="AT30">
            <v>0.75</v>
          </cell>
          <cell r="AU30">
            <v>0</v>
          </cell>
          <cell r="AV30">
            <v>23</v>
          </cell>
          <cell r="AW30">
            <v>0</v>
          </cell>
          <cell r="AX30">
            <v>22</v>
          </cell>
          <cell r="AY30">
            <v>0</v>
          </cell>
          <cell r="AZ30">
            <v>21.12</v>
          </cell>
          <cell r="BA30">
            <v>-3.9999999999999952E-2</v>
          </cell>
          <cell r="BB30">
            <v>20.239999999999998</v>
          </cell>
          <cell r="BC30">
            <v>-4.1666666666666789E-2</v>
          </cell>
          <cell r="BD30">
            <v>22.88</v>
          </cell>
          <cell r="BE30">
            <v>0</v>
          </cell>
          <cell r="BF30">
            <v>22</v>
          </cell>
          <cell r="BG30">
            <v>0</v>
          </cell>
          <cell r="BH30">
            <v>21.12</v>
          </cell>
          <cell r="BI30">
            <v>0</v>
          </cell>
          <cell r="BJ30">
            <v>20.239999999999998</v>
          </cell>
          <cell r="BK30">
            <v>-4.1666666666666789E-2</v>
          </cell>
          <cell r="BL30">
            <v>0.8</v>
          </cell>
          <cell r="BM30">
            <v>0</v>
          </cell>
        </row>
        <row r="31">
          <cell r="B31">
            <v>19</v>
          </cell>
          <cell r="D31">
            <v>27</v>
          </cell>
          <cell r="E31">
            <v>0</v>
          </cell>
          <cell r="F31">
            <v>25</v>
          </cell>
          <cell r="G31">
            <v>0</v>
          </cell>
          <cell r="H31">
            <v>25</v>
          </cell>
          <cell r="I31">
            <v>0</v>
          </cell>
          <cell r="J31">
            <v>24</v>
          </cell>
          <cell r="K31">
            <v>0</v>
          </cell>
          <cell r="L31">
            <v>23</v>
          </cell>
          <cell r="M31">
            <v>0</v>
          </cell>
          <cell r="N31">
            <v>26</v>
          </cell>
          <cell r="O31">
            <v>0</v>
          </cell>
          <cell r="P31">
            <v>24</v>
          </cell>
          <cell r="Q31">
            <v>-0.04</v>
          </cell>
          <cell r="R31">
            <v>23</v>
          </cell>
          <cell r="S31">
            <v>-4.1666666666666664E-2</v>
          </cell>
          <cell r="T31">
            <v>22</v>
          </cell>
          <cell r="U31">
            <v>-4.3478260869565216E-2</v>
          </cell>
          <cell r="V31">
            <v>25</v>
          </cell>
          <cell r="W31">
            <v>0</v>
          </cell>
          <cell r="X31">
            <v>24</v>
          </cell>
          <cell r="Y31">
            <v>0</v>
          </cell>
          <cell r="AB31">
            <v>26</v>
          </cell>
          <cell r="AC31">
            <v>0</v>
          </cell>
          <cell r="AD31">
            <v>25</v>
          </cell>
          <cell r="AE31">
            <v>0</v>
          </cell>
          <cell r="AF31">
            <v>24</v>
          </cell>
          <cell r="AG31">
            <v>-0.04</v>
          </cell>
          <cell r="AH31">
            <v>24</v>
          </cell>
          <cell r="AI31">
            <v>0</v>
          </cell>
          <cell r="AJ31">
            <v>22</v>
          </cell>
          <cell r="AK31">
            <v>-4.3478260869565216E-2</v>
          </cell>
          <cell r="AL31">
            <v>25</v>
          </cell>
          <cell r="AM31">
            <v>-3.8461538461538464E-2</v>
          </cell>
          <cell r="AN31">
            <v>24</v>
          </cell>
          <cell r="AO31">
            <v>-0.04</v>
          </cell>
          <cell r="AP31">
            <v>23</v>
          </cell>
          <cell r="AQ31">
            <v>-4.1666666666666664E-2</v>
          </cell>
          <cell r="AR31">
            <v>22</v>
          </cell>
          <cell r="AS31">
            <v>-4.3478260869565216E-2</v>
          </cell>
          <cell r="AT31">
            <v>0.75</v>
          </cell>
          <cell r="AU31">
            <v>0</v>
          </cell>
          <cell r="AV31">
            <v>23</v>
          </cell>
          <cell r="AW31">
            <v>0</v>
          </cell>
          <cell r="AX31">
            <v>21.12</v>
          </cell>
          <cell r="AY31">
            <v>-3.9999999999999952E-2</v>
          </cell>
          <cell r="AZ31">
            <v>21.12</v>
          </cell>
          <cell r="BA31">
            <v>0</v>
          </cell>
          <cell r="BB31">
            <v>19.36</v>
          </cell>
          <cell r="BC31">
            <v>-4.3478260869565175E-2</v>
          </cell>
          <cell r="BD31">
            <v>22</v>
          </cell>
          <cell r="BE31">
            <v>-3.8461538461538422E-2</v>
          </cell>
          <cell r="BF31">
            <v>21.12</v>
          </cell>
          <cell r="BG31">
            <v>-3.9999999999999952E-2</v>
          </cell>
          <cell r="BH31">
            <v>20.239999999999998</v>
          </cell>
          <cell r="BI31">
            <v>-4.1666666666666789E-2</v>
          </cell>
          <cell r="BJ31">
            <v>19.36</v>
          </cell>
          <cell r="BK31">
            <v>-4.3478260869565175E-2</v>
          </cell>
          <cell r="BL31">
            <v>0.8</v>
          </cell>
          <cell r="BM31">
            <v>0</v>
          </cell>
        </row>
        <row r="32">
          <cell r="B32">
            <v>20</v>
          </cell>
          <cell r="D32">
            <v>27</v>
          </cell>
          <cell r="E32">
            <v>0</v>
          </cell>
          <cell r="F32">
            <v>25</v>
          </cell>
          <cell r="G32">
            <v>0</v>
          </cell>
          <cell r="H32">
            <v>25</v>
          </cell>
          <cell r="I32">
            <v>0</v>
          </cell>
          <cell r="J32">
            <v>24</v>
          </cell>
          <cell r="K32">
            <v>0</v>
          </cell>
          <cell r="L32">
            <v>23</v>
          </cell>
          <cell r="M32">
            <v>0</v>
          </cell>
          <cell r="N32">
            <v>25</v>
          </cell>
          <cell r="O32">
            <v>-3.8461538461538464E-2</v>
          </cell>
          <cell r="P32">
            <v>24</v>
          </cell>
          <cell r="Q32">
            <v>0</v>
          </cell>
          <cell r="R32">
            <v>23</v>
          </cell>
          <cell r="S32">
            <v>0</v>
          </cell>
          <cell r="T32">
            <v>21</v>
          </cell>
          <cell r="U32">
            <v>-4.5454545454545456E-2</v>
          </cell>
          <cell r="V32">
            <v>25</v>
          </cell>
          <cell r="W32">
            <v>0</v>
          </cell>
          <cell r="X32">
            <v>23</v>
          </cell>
          <cell r="Y32">
            <v>-4.1666666666666664E-2</v>
          </cell>
          <cell r="AB32">
            <v>25</v>
          </cell>
          <cell r="AC32">
            <v>-3.8461538461538464E-2</v>
          </cell>
          <cell r="AD32">
            <v>24</v>
          </cell>
          <cell r="AE32">
            <v>-0.04</v>
          </cell>
          <cell r="AF32">
            <v>24</v>
          </cell>
          <cell r="AG32">
            <v>0</v>
          </cell>
          <cell r="AH32">
            <v>23</v>
          </cell>
          <cell r="AI32">
            <v>-4.1666666666666664E-2</v>
          </cell>
          <cell r="AJ32">
            <v>21</v>
          </cell>
          <cell r="AK32">
            <v>-4.5454545454545456E-2</v>
          </cell>
          <cell r="AL32">
            <v>25</v>
          </cell>
          <cell r="AM32">
            <v>0</v>
          </cell>
          <cell r="AN32">
            <v>24</v>
          </cell>
          <cell r="AO32">
            <v>0</v>
          </cell>
          <cell r="AP32">
            <v>23</v>
          </cell>
          <cell r="AQ32">
            <v>0</v>
          </cell>
          <cell r="AR32">
            <v>21</v>
          </cell>
          <cell r="AS32">
            <v>-4.5454545454545456E-2</v>
          </cell>
          <cell r="AT32">
            <v>0.75</v>
          </cell>
          <cell r="AU32">
            <v>0</v>
          </cell>
          <cell r="AV32">
            <v>23</v>
          </cell>
          <cell r="AW32">
            <v>0</v>
          </cell>
          <cell r="AX32">
            <v>21.12</v>
          </cell>
          <cell r="AY32">
            <v>0</v>
          </cell>
          <cell r="AZ32">
            <v>20.239999999999998</v>
          </cell>
          <cell r="BA32">
            <v>-4.1666666666666789E-2</v>
          </cell>
          <cell r="BB32">
            <v>18.48</v>
          </cell>
          <cell r="BC32">
            <v>-4.5454545454545407E-2</v>
          </cell>
          <cell r="BD32">
            <v>22</v>
          </cell>
          <cell r="BE32">
            <v>0</v>
          </cell>
          <cell r="BF32">
            <v>21.12</v>
          </cell>
          <cell r="BG32">
            <v>0</v>
          </cell>
          <cell r="BH32">
            <v>20.239999999999998</v>
          </cell>
          <cell r="BI32">
            <v>0</v>
          </cell>
          <cell r="BJ32">
            <v>18.48</v>
          </cell>
          <cell r="BK32">
            <v>-4.5454545454545407E-2</v>
          </cell>
          <cell r="BL32">
            <v>0.8</v>
          </cell>
          <cell r="BM32">
            <v>0</v>
          </cell>
        </row>
        <row r="33">
          <cell r="B33">
            <v>21</v>
          </cell>
          <cell r="D33">
            <v>26</v>
          </cell>
          <cell r="E33">
            <v>-3.7037037037037035E-2</v>
          </cell>
          <cell r="F33">
            <v>24</v>
          </cell>
          <cell r="G33">
            <v>-0.04</v>
          </cell>
          <cell r="H33">
            <v>24</v>
          </cell>
          <cell r="I33">
            <v>-0.04</v>
          </cell>
          <cell r="J33">
            <v>23</v>
          </cell>
          <cell r="K33">
            <v>-4.1666666666666664E-2</v>
          </cell>
          <cell r="L33">
            <v>22</v>
          </cell>
          <cell r="M33">
            <v>-4.3478260869565216E-2</v>
          </cell>
          <cell r="N33">
            <v>25</v>
          </cell>
          <cell r="O33">
            <v>0</v>
          </cell>
          <cell r="P33">
            <v>23</v>
          </cell>
          <cell r="Q33">
            <v>-4.1666666666666664E-2</v>
          </cell>
          <cell r="R33">
            <v>22</v>
          </cell>
          <cell r="S33">
            <v>-4.3478260869565216E-2</v>
          </cell>
          <cell r="T33">
            <v>20</v>
          </cell>
          <cell r="U33">
            <v>-4.7619047619047616E-2</v>
          </cell>
          <cell r="V33">
            <v>24</v>
          </cell>
          <cell r="W33">
            <v>-0.04</v>
          </cell>
          <cell r="X33">
            <v>23</v>
          </cell>
          <cell r="Y33">
            <v>0</v>
          </cell>
          <cell r="AA33" t="str">
            <v>O</v>
          </cell>
          <cell r="AB33">
            <v>25</v>
          </cell>
          <cell r="AC33">
            <v>0</v>
          </cell>
          <cell r="AD33">
            <v>24</v>
          </cell>
          <cell r="AE33">
            <v>0</v>
          </cell>
          <cell r="AF33">
            <v>23</v>
          </cell>
          <cell r="AG33">
            <v>-4.1666666666666664E-2</v>
          </cell>
          <cell r="AH33">
            <v>22</v>
          </cell>
          <cell r="AI33">
            <v>-4.3478260869565216E-2</v>
          </cell>
          <cell r="AJ33">
            <v>20</v>
          </cell>
          <cell r="AK33">
            <v>-4.7619047619047616E-2</v>
          </cell>
          <cell r="AL33">
            <v>24</v>
          </cell>
          <cell r="AM33">
            <v>-0.04</v>
          </cell>
          <cell r="AN33">
            <v>23</v>
          </cell>
          <cell r="AO33">
            <v>-4.1666666666666664E-2</v>
          </cell>
          <cell r="AP33">
            <v>22</v>
          </cell>
          <cell r="AQ33">
            <v>-4.3478260869565216E-2</v>
          </cell>
          <cell r="AR33">
            <v>20</v>
          </cell>
          <cell r="AS33">
            <v>-4.7619047619047616E-2</v>
          </cell>
          <cell r="AT33">
            <v>0.75</v>
          </cell>
          <cell r="AU33">
            <v>0</v>
          </cell>
          <cell r="AV33">
            <v>23</v>
          </cell>
          <cell r="AW33">
            <v>0</v>
          </cell>
          <cell r="AX33">
            <v>20.239999999999998</v>
          </cell>
          <cell r="AY33">
            <v>-4.1666666666666789E-2</v>
          </cell>
          <cell r="AZ33">
            <v>19.36</v>
          </cell>
          <cell r="BA33">
            <v>-4.3478260869565175E-2</v>
          </cell>
          <cell r="BB33">
            <v>17.600000000000001</v>
          </cell>
          <cell r="BC33">
            <v>-4.7619047619047561E-2</v>
          </cell>
          <cell r="BD33">
            <v>21.12</v>
          </cell>
          <cell r="BE33">
            <v>-3.9999999999999952E-2</v>
          </cell>
          <cell r="BF33">
            <v>20.239999999999998</v>
          </cell>
          <cell r="BG33">
            <v>-4.1666666666666789E-2</v>
          </cell>
          <cell r="BH33">
            <v>19.36</v>
          </cell>
          <cell r="BI33">
            <v>-4.3478260869565175E-2</v>
          </cell>
          <cell r="BJ33">
            <v>17.600000000000001</v>
          </cell>
          <cell r="BK33">
            <v>-4.7619047619047561E-2</v>
          </cell>
          <cell r="BL33">
            <v>0.8</v>
          </cell>
          <cell r="BM33">
            <v>0</v>
          </cell>
        </row>
        <row r="34">
          <cell r="B34">
            <v>22</v>
          </cell>
          <cell r="D34">
            <v>26</v>
          </cell>
          <cell r="E34">
            <v>0</v>
          </cell>
          <cell r="F34">
            <v>24</v>
          </cell>
          <cell r="G34">
            <v>0</v>
          </cell>
          <cell r="H34">
            <v>24</v>
          </cell>
          <cell r="I34">
            <v>0</v>
          </cell>
          <cell r="J34">
            <v>23</v>
          </cell>
          <cell r="K34">
            <v>0</v>
          </cell>
          <cell r="L34">
            <v>22</v>
          </cell>
          <cell r="M34">
            <v>0</v>
          </cell>
          <cell r="N34">
            <v>24</v>
          </cell>
          <cell r="O34">
            <v>-0.04</v>
          </cell>
          <cell r="P34">
            <v>23</v>
          </cell>
          <cell r="Q34">
            <v>0</v>
          </cell>
          <cell r="R34">
            <v>22</v>
          </cell>
          <cell r="S34">
            <v>0</v>
          </cell>
          <cell r="T34">
            <v>20</v>
          </cell>
          <cell r="U34">
            <v>0</v>
          </cell>
          <cell r="V34">
            <v>24</v>
          </cell>
          <cell r="W34">
            <v>0</v>
          </cell>
          <cell r="X34">
            <v>22</v>
          </cell>
          <cell r="Y34">
            <v>-4.3478260869565216E-2</v>
          </cell>
          <cell r="AA34" t="str">
            <v>L</v>
          </cell>
          <cell r="AB34">
            <v>24</v>
          </cell>
          <cell r="AC34">
            <v>-0.04</v>
          </cell>
          <cell r="AD34">
            <v>24</v>
          </cell>
          <cell r="AE34">
            <v>0</v>
          </cell>
          <cell r="AF34">
            <v>23</v>
          </cell>
          <cell r="AG34">
            <v>0</v>
          </cell>
          <cell r="AH34">
            <v>22</v>
          </cell>
          <cell r="AI34">
            <v>0</v>
          </cell>
          <cell r="AJ34">
            <v>20</v>
          </cell>
          <cell r="AK34">
            <v>0</v>
          </cell>
          <cell r="AL34">
            <v>24</v>
          </cell>
          <cell r="AM34">
            <v>0</v>
          </cell>
          <cell r="AN34">
            <v>23</v>
          </cell>
          <cell r="AO34">
            <v>0</v>
          </cell>
          <cell r="AP34">
            <v>22</v>
          </cell>
          <cell r="AQ34">
            <v>0</v>
          </cell>
          <cell r="AR34">
            <v>20</v>
          </cell>
          <cell r="AS34">
            <v>0</v>
          </cell>
          <cell r="AT34">
            <v>0.75</v>
          </cell>
          <cell r="AU34">
            <v>0</v>
          </cell>
          <cell r="AV34">
            <v>22</v>
          </cell>
          <cell r="AW34">
            <v>-4.3478260869565216E-2</v>
          </cell>
          <cell r="AX34">
            <v>20.239999999999998</v>
          </cell>
          <cell r="AY34">
            <v>0</v>
          </cell>
          <cell r="AZ34">
            <v>19.36</v>
          </cell>
          <cell r="BA34">
            <v>0</v>
          </cell>
          <cell r="BB34">
            <v>17.600000000000001</v>
          </cell>
          <cell r="BC34">
            <v>0</v>
          </cell>
          <cell r="BD34">
            <v>21.12</v>
          </cell>
          <cell r="BE34">
            <v>0</v>
          </cell>
          <cell r="BF34">
            <v>20.239999999999998</v>
          </cell>
          <cell r="BG34">
            <v>0</v>
          </cell>
          <cell r="BH34">
            <v>19.36</v>
          </cell>
          <cell r="BI34">
            <v>0</v>
          </cell>
          <cell r="BJ34">
            <v>17.600000000000001</v>
          </cell>
          <cell r="BK34">
            <v>0</v>
          </cell>
          <cell r="BL34">
            <v>0.8</v>
          </cell>
          <cell r="BM34">
            <v>0</v>
          </cell>
        </row>
        <row r="35">
          <cell r="B35">
            <v>23</v>
          </cell>
          <cell r="D35">
            <v>25</v>
          </cell>
          <cell r="E35">
            <v>-3.8461538461538464E-2</v>
          </cell>
          <cell r="F35">
            <v>23</v>
          </cell>
          <cell r="G35">
            <v>-4.1666666666666664E-2</v>
          </cell>
          <cell r="H35">
            <v>23</v>
          </cell>
          <cell r="I35">
            <v>-4.1666666666666664E-2</v>
          </cell>
          <cell r="J35">
            <v>22</v>
          </cell>
          <cell r="K35">
            <v>-4.3478260869565216E-2</v>
          </cell>
          <cell r="L35">
            <v>21</v>
          </cell>
          <cell r="M35">
            <v>-4.5454545454545456E-2</v>
          </cell>
          <cell r="N35">
            <v>24</v>
          </cell>
          <cell r="O35">
            <v>0</v>
          </cell>
          <cell r="P35">
            <v>22</v>
          </cell>
          <cell r="Q35">
            <v>-4.3478260869565216E-2</v>
          </cell>
          <cell r="R35">
            <v>21</v>
          </cell>
          <cell r="S35">
            <v>-4.5454545454545456E-2</v>
          </cell>
          <cell r="T35">
            <v>19</v>
          </cell>
          <cell r="U35">
            <v>-0.05</v>
          </cell>
          <cell r="V35">
            <v>23</v>
          </cell>
          <cell r="W35">
            <v>-4.1666666666666664E-2</v>
          </cell>
          <cell r="X35">
            <v>22</v>
          </cell>
          <cell r="Y35">
            <v>0</v>
          </cell>
          <cell r="AA35" t="str">
            <v>D</v>
          </cell>
          <cell r="AB35">
            <v>24</v>
          </cell>
          <cell r="AC35">
            <v>0</v>
          </cell>
          <cell r="AD35">
            <v>24</v>
          </cell>
          <cell r="AE35">
            <v>0</v>
          </cell>
          <cell r="AF35">
            <v>22</v>
          </cell>
          <cell r="AG35">
            <v>-4.3478260869565216E-2</v>
          </cell>
          <cell r="AH35">
            <v>21</v>
          </cell>
          <cell r="AI35">
            <v>-4.5454545454545456E-2</v>
          </cell>
          <cell r="AJ35">
            <v>20</v>
          </cell>
          <cell r="AK35">
            <v>0</v>
          </cell>
          <cell r="AL35">
            <v>23</v>
          </cell>
          <cell r="AM35">
            <v>-4.1666666666666664E-2</v>
          </cell>
          <cell r="AN35">
            <v>22</v>
          </cell>
          <cell r="AO35">
            <v>-4.3478260869565216E-2</v>
          </cell>
          <cell r="AP35">
            <v>21</v>
          </cell>
          <cell r="AQ35">
            <v>-4.5454545454545456E-2</v>
          </cell>
          <cell r="AR35">
            <v>20</v>
          </cell>
          <cell r="AS35">
            <v>0</v>
          </cell>
          <cell r="AT35">
            <v>0.75</v>
          </cell>
          <cell r="AU35">
            <v>0</v>
          </cell>
          <cell r="AV35">
            <v>22</v>
          </cell>
          <cell r="AW35">
            <v>0</v>
          </cell>
          <cell r="AX35">
            <v>19.36</v>
          </cell>
          <cell r="AY35">
            <v>-4.3478260869565175E-2</v>
          </cell>
          <cell r="AZ35">
            <v>18.48</v>
          </cell>
          <cell r="BA35">
            <v>-4.5454545454545407E-2</v>
          </cell>
          <cell r="BB35">
            <v>17.600000000000001</v>
          </cell>
          <cell r="BC35">
            <v>0</v>
          </cell>
          <cell r="BD35">
            <v>20.239999999999998</v>
          </cell>
          <cell r="BE35">
            <v>-4.1666666666666789E-2</v>
          </cell>
          <cell r="BF35">
            <v>19.36</v>
          </cell>
          <cell r="BG35">
            <v>-4.3478260869565175E-2</v>
          </cell>
          <cell r="BH35">
            <v>18.48</v>
          </cell>
          <cell r="BI35">
            <v>-4.5454545454545407E-2</v>
          </cell>
          <cell r="BJ35">
            <v>17.600000000000001</v>
          </cell>
          <cell r="BK35">
            <v>0</v>
          </cell>
          <cell r="BL35">
            <v>0.75</v>
          </cell>
          <cell r="BM35">
            <v>-6.2500000000000056E-2</v>
          </cell>
        </row>
        <row r="36">
          <cell r="B36">
            <v>24</v>
          </cell>
          <cell r="D36">
            <v>25</v>
          </cell>
          <cell r="E36">
            <v>0</v>
          </cell>
          <cell r="F36">
            <v>23</v>
          </cell>
          <cell r="G36">
            <v>0</v>
          </cell>
          <cell r="H36">
            <v>23</v>
          </cell>
          <cell r="I36">
            <v>0</v>
          </cell>
          <cell r="J36">
            <v>22</v>
          </cell>
          <cell r="K36">
            <v>0</v>
          </cell>
          <cell r="L36">
            <v>21</v>
          </cell>
          <cell r="M36">
            <v>0</v>
          </cell>
          <cell r="N36">
            <v>23</v>
          </cell>
          <cell r="O36">
            <v>-4.1666666666666664E-2</v>
          </cell>
          <cell r="P36">
            <v>22</v>
          </cell>
          <cell r="Q36">
            <v>0</v>
          </cell>
          <cell r="R36">
            <v>21</v>
          </cell>
          <cell r="S36">
            <v>0</v>
          </cell>
          <cell r="T36">
            <v>19</v>
          </cell>
          <cell r="U36">
            <v>0</v>
          </cell>
          <cell r="V36">
            <v>23</v>
          </cell>
          <cell r="W36">
            <v>0</v>
          </cell>
          <cell r="X36">
            <v>21</v>
          </cell>
          <cell r="Y36">
            <v>-4.5454545454545456E-2</v>
          </cell>
          <cell r="AB36">
            <v>23</v>
          </cell>
          <cell r="AC36">
            <v>-4.1666666666666664E-2</v>
          </cell>
          <cell r="AD36">
            <v>23</v>
          </cell>
          <cell r="AE36">
            <v>-4.1666666666666664E-2</v>
          </cell>
          <cell r="AF36">
            <v>21</v>
          </cell>
          <cell r="AG36">
            <v>-4.5454545454545456E-2</v>
          </cell>
          <cell r="AH36">
            <v>20</v>
          </cell>
          <cell r="AI36">
            <v>-4.7619047619047616E-2</v>
          </cell>
          <cell r="AJ36">
            <v>19</v>
          </cell>
          <cell r="AK36">
            <v>-0.05</v>
          </cell>
          <cell r="AL36">
            <v>22</v>
          </cell>
          <cell r="AM36">
            <v>-4.3478260869565216E-2</v>
          </cell>
          <cell r="AN36">
            <v>21</v>
          </cell>
          <cell r="AO36">
            <v>-4.5454545454545456E-2</v>
          </cell>
          <cell r="AP36">
            <v>20</v>
          </cell>
          <cell r="AQ36">
            <v>-4.7619047619047616E-2</v>
          </cell>
          <cell r="AR36">
            <v>19</v>
          </cell>
          <cell r="AS36">
            <v>-0.05</v>
          </cell>
          <cell r="AT36">
            <v>0.75</v>
          </cell>
          <cell r="AU36">
            <v>0</v>
          </cell>
          <cell r="AV36">
            <v>21</v>
          </cell>
          <cell r="AW36">
            <v>-4.5454545454545456E-2</v>
          </cell>
          <cell r="AX36">
            <v>18.48</v>
          </cell>
          <cell r="AY36">
            <v>-4.5454545454545407E-2</v>
          </cell>
          <cell r="AZ36">
            <v>17.600000000000001</v>
          </cell>
          <cell r="BA36">
            <v>-4.7619047619047561E-2</v>
          </cell>
          <cell r="BB36">
            <v>16.72</v>
          </cell>
          <cell r="BC36">
            <v>-5.0000000000000142E-2</v>
          </cell>
          <cell r="BD36">
            <v>19.36</v>
          </cell>
          <cell r="BE36">
            <v>-4.3478260869565175E-2</v>
          </cell>
          <cell r="BF36">
            <v>18.48</v>
          </cell>
          <cell r="BG36">
            <v>-4.5454545454545407E-2</v>
          </cell>
          <cell r="BH36">
            <v>17.600000000000001</v>
          </cell>
          <cell r="BI36">
            <v>-4.7619047619047561E-2</v>
          </cell>
          <cell r="BJ36">
            <v>16.72</v>
          </cell>
          <cell r="BK36">
            <v>-5.0000000000000142E-2</v>
          </cell>
          <cell r="BL36">
            <v>0.75</v>
          </cell>
          <cell r="BM36">
            <v>0</v>
          </cell>
        </row>
        <row r="37">
          <cell r="B37">
            <v>25</v>
          </cell>
          <cell r="D37">
            <v>25</v>
          </cell>
          <cell r="E37">
            <v>0</v>
          </cell>
          <cell r="F37">
            <v>23</v>
          </cell>
          <cell r="G37">
            <v>0</v>
          </cell>
          <cell r="H37">
            <v>22</v>
          </cell>
          <cell r="I37">
            <v>-4.3478260869565216E-2</v>
          </cell>
          <cell r="J37">
            <v>21</v>
          </cell>
          <cell r="K37">
            <v>-4.5454545454545456E-2</v>
          </cell>
          <cell r="L37">
            <v>20</v>
          </cell>
          <cell r="M37">
            <v>-4.7619047619047616E-2</v>
          </cell>
          <cell r="N37">
            <v>23</v>
          </cell>
          <cell r="O37">
            <v>0</v>
          </cell>
          <cell r="P37">
            <v>21</v>
          </cell>
          <cell r="Q37">
            <v>-4.5454545454545456E-2</v>
          </cell>
          <cell r="R37">
            <v>20</v>
          </cell>
          <cell r="S37">
            <v>-4.7619047619047616E-2</v>
          </cell>
          <cell r="T37">
            <v>18</v>
          </cell>
          <cell r="U37">
            <v>-5.2631578947368418E-2</v>
          </cell>
          <cell r="V37">
            <v>22</v>
          </cell>
          <cell r="W37">
            <v>-4.3478260869565216E-2</v>
          </cell>
          <cell r="X37">
            <v>20</v>
          </cell>
          <cell r="Y37">
            <v>-4.7619047619047616E-2</v>
          </cell>
          <cell r="AB37">
            <v>23</v>
          </cell>
          <cell r="AC37">
            <v>0</v>
          </cell>
          <cell r="AD37">
            <v>23</v>
          </cell>
          <cell r="AE37">
            <v>0</v>
          </cell>
          <cell r="AF37">
            <v>20</v>
          </cell>
          <cell r="AG37">
            <v>-4.7619047619047616E-2</v>
          </cell>
          <cell r="AH37">
            <v>19</v>
          </cell>
          <cell r="AI37">
            <v>-0.05</v>
          </cell>
          <cell r="AJ37">
            <v>18</v>
          </cell>
          <cell r="AK37">
            <v>-5.2631578947368418E-2</v>
          </cell>
          <cell r="AL37">
            <v>21</v>
          </cell>
          <cell r="AM37">
            <v>-4.5454545454545456E-2</v>
          </cell>
          <cell r="AN37">
            <v>20</v>
          </cell>
          <cell r="AO37">
            <v>-4.7619047619047616E-2</v>
          </cell>
          <cell r="AP37">
            <v>19</v>
          </cell>
          <cell r="AQ37">
            <v>-0.05</v>
          </cell>
          <cell r="AR37">
            <v>18</v>
          </cell>
          <cell r="AS37">
            <v>-5.2631578947368418E-2</v>
          </cell>
          <cell r="AT37">
            <v>0.75</v>
          </cell>
          <cell r="AU37">
            <v>0</v>
          </cell>
          <cell r="AV37">
            <v>21</v>
          </cell>
          <cell r="AW37">
            <v>0</v>
          </cell>
          <cell r="AX37">
            <v>17.600000000000001</v>
          </cell>
          <cell r="AY37">
            <v>-4.7619047619047561E-2</v>
          </cell>
          <cell r="AZ37">
            <v>16.72</v>
          </cell>
          <cell r="BA37">
            <v>-5.0000000000000142E-2</v>
          </cell>
          <cell r="BB37">
            <v>15.84</v>
          </cell>
          <cell r="BC37">
            <v>-5.2631578947368363E-2</v>
          </cell>
          <cell r="BD37">
            <v>18.48</v>
          </cell>
          <cell r="BE37">
            <v>-4.5454545454545407E-2</v>
          </cell>
          <cell r="BF37">
            <v>17.600000000000001</v>
          </cell>
          <cell r="BG37">
            <v>-4.7619047619047561E-2</v>
          </cell>
          <cell r="BH37">
            <v>16.72</v>
          </cell>
          <cell r="BI37">
            <v>-5.0000000000000142E-2</v>
          </cell>
          <cell r="BJ37">
            <v>15.84</v>
          </cell>
          <cell r="BK37">
            <v>-5.555555555555549E-2</v>
          </cell>
          <cell r="BL37">
            <v>0.75</v>
          </cell>
          <cell r="BM37">
            <v>0</v>
          </cell>
        </row>
        <row r="43">
          <cell r="D43" t="str">
            <v>MABLRS</v>
          </cell>
          <cell r="E43">
            <v>4</v>
          </cell>
          <cell r="H43">
            <v>4</v>
          </cell>
          <cell r="I43" t="str">
            <v>A</v>
          </cell>
          <cell r="J43" t="str">
            <v>Langkat TR</v>
          </cell>
          <cell r="L43" t="str">
            <v>BLRS</v>
          </cell>
        </row>
        <row r="44">
          <cell r="D44" t="str">
            <v>MBBLRS</v>
          </cell>
          <cell r="E44">
            <v>6</v>
          </cell>
          <cell r="I44" t="str">
            <v>B</v>
          </cell>
          <cell r="J44" t="str">
            <v>Langkat PR/BA</v>
          </cell>
          <cell r="L44" t="str">
            <v>DAMI</v>
          </cell>
        </row>
        <row r="45">
          <cell r="D45" t="str">
            <v>MADAMI</v>
          </cell>
          <cell r="E45">
            <v>8</v>
          </cell>
          <cell r="I45" t="str">
            <v>C</v>
          </cell>
          <cell r="J45" t="str">
            <v>Central Estate</v>
          </cell>
          <cell r="L45" t="str">
            <v>SOCFINDO</v>
          </cell>
        </row>
        <row r="46">
          <cell r="D46" t="str">
            <v>MBDAMI</v>
          </cell>
          <cell r="E46">
            <v>8</v>
          </cell>
          <cell r="I46" t="str">
            <v>D</v>
          </cell>
          <cell r="J46" t="str">
            <v>Sei Rumbiya</v>
          </cell>
          <cell r="L46" t="str">
            <v>MRS</v>
          </cell>
        </row>
        <row r="47">
          <cell r="D47" t="str">
            <v>MASOCFINDO</v>
          </cell>
          <cell r="E47">
            <v>10</v>
          </cell>
          <cell r="I47" t="str">
            <v>E</v>
          </cell>
          <cell r="J47" t="str">
            <v>South Sumatra Rawas</v>
          </cell>
        </row>
        <row r="48">
          <cell r="D48" t="str">
            <v>MBSOCFINDO</v>
          </cell>
          <cell r="E48">
            <v>10</v>
          </cell>
          <cell r="I48" t="str">
            <v>F</v>
          </cell>
          <cell r="J48" t="str">
            <v>South Sumatra Muba</v>
          </cell>
        </row>
        <row r="49">
          <cell r="D49" t="str">
            <v>MAMRS</v>
          </cell>
          <cell r="E49">
            <v>12</v>
          </cell>
          <cell r="I49" t="str">
            <v>G</v>
          </cell>
          <cell r="J49" t="str">
            <v>Lahat/Kalimantan</v>
          </cell>
        </row>
        <row r="50">
          <cell r="D50" t="str">
            <v>MBMRS</v>
          </cell>
          <cell r="E50">
            <v>12</v>
          </cell>
        </row>
        <row r="51">
          <cell r="D51" t="str">
            <v>MCBLRS</v>
          </cell>
          <cell r="E51">
            <v>14</v>
          </cell>
        </row>
        <row r="52">
          <cell r="D52" t="str">
            <v>MCDAMI</v>
          </cell>
          <cell r="E52">
            <v>16</v>
          </cell>
        </row>
        <row r="53">
          <cell r="D53" t="str">
            <v>MCSOCFINDO</v>
          </cell>
          <cell r="E53">
            <v>18</v>
          </cell>
        </row>
        <row r="54">
          <cell r="D54" t="str">
            <v>MCMRS</v>
          </cell>
          <cell r="E54">
            <v>20</v>
          </cell>
        </row>
        <row r="55">
          <cell r="D55" t="str">
            <v>MDBLRS</v>
          </cell>
          <cell r="E55">
            <v>22</v>
          </cell>
        </row>
        <row r="56">
          <cell r="D56" t="str">
            <v>MDDAMI</v>
          </cell>
          <cell r="E56">
            <v>24</v>
          </cell>
        </row>
        <row r="57">
          <cell r="D57" t="str">
            <v>MDSOCFINDO</v>
          </cell>
          <cell r="E57">
            <v>18</v>
          </cell>
        </row>
        <row r="58">
          <cell r="D58" t="str">
            <v>MDMRS</v>
          </cell>
          <cell r="E58">
            <v>20</v>
          </cell>
          <cell r="J58" t="str">
            <v>Mineral</v>
          </cell>
          <cell r="L58" t="str">
            <v>IC</v>
          </cell>
        </row>
        <row r="59">
          <cell r="D59" t="str">
            <v>MEBLRS</v>
          </cell>
          <cell r="E59">
            <v>28</v>
          </cell>
          <cell r="J59" t="str">
            <v>Peat</v>
          </cell>
          <cell r="L59" t="str">
            <v>IIB</v>
          </cell>
        </row>
        <row r="60">
          <cell r="D60" t="str">
            <v>MFBLRS</v>
          </cell>
          <cell r="E60">
            <v>30</v>
          </cell>
          <cell r="L60" t="str">
            <v>IIIB</v>
          </cell>
        </row>
        <row r="61">
          <cell r="D61" t="str">
            <v>MEDAMI</v>
          </cell>
          <cell r="E61">
            <v>32</v>
          </cell>
          <cell r="L61" t="str">
            <v>IV</v>
          </cell>
        </row>
        <row r="62">
          <cell r="D62" t="str">
            <v>MFDAMI</v>
          </cell>
          <cell r="E62">
            <v>32</v>
          </cell>
          <cell r="L62" t="str">
            <v>V</v>
          </cell>
        </row>
        <row r="63">
          <cell r="D63" t="str">
            <v>MESOCFINDO</v>
          </cell>
          <cell r="E63">
            <v>34</v>
          </cell>
        </row>
        <row r="64">
          <cell r="D64" t="str">
            <v>MFSOCFINDO</v>
          </cell>
          <cell r="E64">
            <v>34</v>
          </cell>
        </row>
        <row r="65">
          <cell r="D65" t="str">
            <v>MEMRS</v>
          </cell>
          <cell r="E65">
            <v>36</v>
          </cell>
        </row>
        <row r="66">
          <cell r="D66" t="str">
            <v>MFMRS</v>
          </cell>
          <cell r="E66">
            <v>36</v>
          </cell>
        </row>
        <row r="67">
          <cell r="D67" t="str">
            <v>PEBLRS</v>
          </cell>
          <cell r="E67">
            <v>38</v>
          </cell>
        </row>
        <row r="68">
          <cell r="D68" t="str">
            <v>PEDAMI</v>
          </cell>
          <cell r="E68">
            <v>40</v>
          </cell>
        </row>
        <row r="69">
          <cell r="D69" t="str">
            <v>PESOCFINDO</v>
          </cell>
          <cell r="E69">
            <v>42</v>
          </cell>
        </row>
        <row r="70">
          <cell r="D70" t="str">
            <v>PEMRS</v>
          </cell>
          <cell r="E70">
            <v>44</v>
          </cell>
        </row>
        <row r="71">
          <cell r="D71" t="str">
            <v>PFBLRS</v>
          </cell>
          <cell r="E71">
            <v>38</v>
          </cell>
        </row>
        <row r="72">
          <cell r="D72" t="str">
            <v>PFDAMI</v>
          </cell>
          <cell r="E72">
            <v>40</v>
          </cell>
        </row>
        <row r="73">
          <cell r="D73" t="str">
            <v>PFSOCFINDO</v>
          </cell>
          <cell r="E73">
            <v>42</v>
          </cell>
        </row>
        <row r="74">
          <cell r="D74" t="str">
            <v>PFMRS</v>
          </cell>
          <cell r="E74">
            <v>44</v>
          </cell>
        </row>
        <row r="75">
          <cell r="D75" t="str">
            <v>MGBLRS</v>
          </cell>
          <cell r="E75">
            <v>48</v>
          </cell>
        </row>
        <row r="76">
          <cell r="D76" t="str">
            <v>MGDAMI</v>
          </cell>
          <cell r="E76">
            <v>50</v>
          </cell>
        </row>
        <row r="77">
          <cell r="D77" t="str">
            <v>MGSOCFINDO</v>
          </cell>
          <cell r="E77">
            <v>52</v>
          </cell>
        </row>
        <row r="78">
          <cell r="D78" t="str">
            <v>MGMRS</v>
          </cell>
          <cell r="E78">
            <v>54</v>
          </cell>
        </row>
        <row r="79">
          <cell r="D79" t="str">
            <v>PGBLRS</v>
          </cell>
          <cell r="E79">
            <v>56</v>
          </cell>
        </row>
        <row r="80">
          <cell r="D80" t="str">
            <v>PGDAMI</v>
          </cell>
          <cell r="E80">
            <v>58</v>
          </cell>
        </row>
        <row r="81">
          <cell r="D81" t="str">
            <v>PGSOCFINDO</v>
          </cell>
          <cell r="E81">
            <v>60</v>
          </cell>
        </row>
        <row r="82">
          <cell r="D82" t="str">
            <v>PGMRS</v>
          </cell>
          <cell r="E82">
            <v>62</v>
          </cell>
        </row>
      </sheetData>
      <sheetData sheetId="10">
        <row r="8">
          <cell r="A8">
            <v>1</v>
          </cell>
          <cell r="B8" t="str">
            <v>-</v>
          </cell>
          <cell r="D8" t="str">
            <v>-</v>
          </cell>
          <cell r="F8" t="str">
            <v>-</v>
          </cell>
          <cell r="G8" t="str">
            <v>-</v>
          </cell>
        </row>
        <row r="9">
          <cell r="A9">
            <v>2</v>
          </cell>
          <cell r="B9">
            <v>200</v>
          </cell>
          <cell r="D9">
            <v>200</v>
          </cell>
          <cell r="F9">
            <v>200</v>
          </cell>
        </row>
        <row r="10">
          <cell r="A10">
            <v>3</v>
          </cell>
          <cell r="B10">
            <v>500</v>
          </cell>
          <cell r="C10">
            <v>0.6</v>
          </cell>
          <cell r="D10">
            <v>500</v>
          </cell>
          <cell r="E10">
            <v>0.6</v>
          </cell>
          <cell r="F10">
            <v>500</v>
          </cell>
          <cell r="G10">
            <v>0.6</v>
          </cell>
        </row>
        <row r="11">
          <cell r="A11">
            <v>4</v>
          </cell>
          <cell r="B11">
            <v>900</v>
          </cell>
          <cell r="C11">
            <v>0.44444444444444442</v>
          </cell>
          <cell r="D11">
            <v>800</v>
          </cell>
          <cell r="E11">
            <v>0.375</v>
          </cell>
          <cell r="F11">
            <v>800</v>
          </cell>
          <cell r="G11">
            <v>0.375</v>
          </cell>
        </row>
        <row r="12">
          <cell r="A12">
            <v>5</v>
          </cell>
          <cell r="B12">
            <v>1200</v>
          </cell>
          <cell r="C12">
            <v>0.25</v>
          </cell>
          <cell r="D12">
            <v>1100</v>
          </cell>
          <cell r="E12">
            <v>0.27272727272727271</v>
          </cell>
          <cell r="F12">
            <v>1200</v>
          </cell>
          <cell r="G12">
            <v>0.33333333333333331</v>
          </cell>
        </row>
        <row r="13">
          <cell r="A13">
            <v>6</v>
          </cell>
          <cell r="B13">
            <v>1300</v>
          </cell>
          <cell r="C13">
            <v>7.6923076923076927E-2</v>
          </cell>
          <cell r="D13">
            <v>1200</v>
          </cell>
          <cell r="E13">
            <v>8.3333333333333329E-2</v>
          </cell>
          <cell r="F13">
            <v>1500</v>
          </cell>
          <cell r="G13">
            <v>0.2</v>
          </cell>
        </row>
        <row r="14">
          <cell r="A14">
            <v>7</v>
          </cell>
          <cell r="B14">
            <v>1200</v>
          </cell>
          <cell r="C14">
            <v>-8.3333333333333329E-2</v>
          </cell>
          <cell r="D14">
            <v>1100</v>
          </cell>
          <cell r="E14">
            <v>-9.0909090909090912E-2</v>
          </cell>
          <cell r="F14">
            <v>1700</v>
          </cell>
          <cell r="G14">
            <v>0.11764705882352941</v>
          </cell>
        </row>
        <row r="15">
          <cell r="A15">
            <v>8</v>
          </cell>
          <cell r="B15">
            <v>1100</v>
          </cell>
          <cell r="C15">
            <v>-9.0909090909090912E-2</v>
          </cell>
          <cell r="D15">
            <v>1000</v>
          </cell>
          <cell r="E15">
            <v>-0.1</v>
          </cell>
          <cell r="F15">
            <v>1900</v>
          </cell>
          <cell r="G15">
            <v>0.10526315789473684</v>
          </cell>
        </row>
        <row r="16">
          <cell r="A16">
            <v>9</v>
          </cell>
          <cell r="B16">
            <v>1200</v>
          </cell>
          <cell r="C16">
            <v>8.3333333333333329E-2</v>
          </cell>
          <cell r="D16">
            <v>1100</v>
          </cell>
          <cell r="E16">
            <v>9.0909090909090912E-2</v>
          </cell>
          <cell r="F16">
            <v>2000</v>
          </cell>
          <cell r="G16">
            <v>0.05</v>
          </cell>
        </row>
        <row r="17">
          <cell r="A17">
            <v>10</v>
          </cell>
          <cell r="B17">
            <v>1300</v>
          </cell>
          <cell r="C17">
            <v>7.6923076923076927E-2</v>
          </cell>
          <cell r="D17">
            <v>1200</v>
          </cell>
          <cell r="E17">
            <v>8.3333333333333329E-2</v>
          </cell>
          <cell r="F17">
            <v>2100</v>
          </cell>
          <cell r="G17">
            <v>4.7619047619047616E-2</v>
          </cell>
        </row>
        <row r="18">
          <cell r="A18">
            <v>11</v>
          </cell>
          <cell r="B18">
            <v>1300</v>
          </cell>
          <cell r="C18">
            <v>0</v>
          </cell>
          <cell r="D18">
            <v>1200</v>
          </cell>
          <cell r="E18">
            <v>0</v>
          </cell>
          <cell r="F18">
            <v>2200</v>
          </cell>
          <cell r="G18">
            <v>4.5454545454545456E-2</v>
          </cell>
        </row>
        <row r="19">
          <cell r="A19">
            <v>12</v>
          </cell>
          <cell r="B19">
            <v>1300</v>
          </cell>
          <cell r="C19">
            <v>0</v>
          </cell>
          <cell r="D19">
            <v>1200</v>
          </cell>
          <cell r="E19">
            <v>0</v>
          </cell>
          <cell r="F19">
            <v>2100</v>
          </cell>
          <cell r="G19">
            <v>-4.7619047619047616E-2</v>
          </cell>
        </row>
        <row r="20">
          <cell r="A20">
            <v>13</v>
          </cell>
          <cell r="B20">
            <v>1300</v>
          </cell>
          <cell r="C20">
            <v>0</v>
          </cell>
          <cell r="D20">
            <v>1200</v>
          </cell>
          <cell r="E20">
            <v>0</v>
          </cell>
          <cell r="F20">
            <v>2000</v>
          </cell>
          <cell r="G20">
            <v>-0.05</v>
          </cell>
        </row>
        <row r="21">
          <cell r="A21">
            <v>14</v>
          </cell>
          <cell r="B21">
            <v>1300</v>
          </cell>
          <cell r="C21">
            <v>0</v>
          </cell>
          <cell r="D21">
            <v>1200</v>
          </cell>
          <cell r="E21">
            <v>0</v>
          </cell>
          <cell r="F21">
            <v>2000</v>
          </cell>
          <cell r="G21">
            <v>0</v>
          </cell>
        </row>
        <row r="22">
          <cell r="A22">
            <v>15</v>
          </cell>
          <cell r="B22">
            <v>1300</v>
          </cell>
          <cell r="C22">
            <v>0</v>
          </cell>
          <cell r="D22">
            <v>1200</v>
          </cell>
          <cell r="E22">
            <v>0</v>
          </cell>
          <cell r="F22">
            <v>2000</v>
          </cell>
          <cell r="G22">
            <v>0</v>
          </cell>
        </row>
        <row r="23">
          <cell r="A23">
            <v>16</v>
          </cell>
          <cell r="B23">
            <v>1300</v>
          </cell>
          <cell r="C23">
            <v>0</v>
          </cell>
          <cell r="D23">
            <v>1200</v>
          </cell>
          <cell r="E23">
            <v>0</v>
          </cell>
          <cell r="F23">
            <v>2000</v>
          </cell>
          <cell r="G23">
            <v>0</v>
          </cell>
        </row>
        <row r="24">
          <cell r="A24">
            <v>17</v>
          </cell>
          <cell r="B24">
            <v>1300</v>
          </cell>
          <cell r="C24">
            <v>0</v>
          </cell>
          <cell r="D24">
            <v>1200</v>
          </cell>
          <cell r="E24">
            <v>0</v>
          </cell>
          <cell r="F24">
            <v>2000</v>
          </cell>
          <cell r="G24">
            <v>0</v>
          </cell>
        </row>
        <row r="25">
          <cell r="A25">
            <v>18</v>
          </cell>
          <cell r="B25">
            <v>1300</v>
          </cell>
          <cell r="C25">
            <v>0</v>
          </cell>
          <cell r="D25">
            <v>1200</v>
          </cell>
          <cell r="E25">
            <v>0</v>
          </cell>
          <cell r="F25">
            <v>2000</v>
          </cell>
          <cell r="G25">
            <v>0</v>
          </cell>
        </row>
        <row r="26">
          <cell r="A26">
            <v>19</v>
          </cell>
          <cell r="B26">
            <v>1300</v>
          </cell>
          <cell r="C26">
            <v>0</v>
          </cell>
          <cell r="D26">
            <v>1200</v>
          </cell>
          <cell r="E26">
            <v>0</v>
          </cell>
          <cell r="F26">
            <v>2000</v>
          </cell>
          <cell r="G26">
            <v>0</v>
          </cell>
        </row>
        <row r="27">
          <cell r="A27">
            <v>20</v>
          </cell>
          <cell r="B27">
            <v>1300</v>
          </cell>
          <cell r="C27">
            <v>0</v>
          </cell>
          <cell r="D27">
            <v>1200</v>
          </cell>
          <cell r="E27">
            <v>0</v>
          </cell>
          <cell r="F27">
            <v>2000</v>
          </cell>
          <cell r="G27">
            <v>0</v>
          </cell>
        </row>
        <row r="28">
          <cell r="A28">
            <v>21</v>
          </cell>
          <cell r="B28">
            <v>1300</v>
          </cell>
          <cell r="C28">
            <v>0</v>
          </cell>
          <cell r="D28">
            <v>1200</v>
          </cell>
          <cell r="E28">
            <v>0</v>
          </cell>
          <cell r="F28">
            <v>2000</v>
          </cell>
          <cell r="G28">
            <v>0</v>
          </cell>
        </row>
        <row r="29">
          <cell r="A29">
            <v>22</v>
          </cell>
          <cell r="B29">
            <v>1300</v>
          </cell>
          <cell r="C29">
            <v>0</v>
          </cell>
          <cell r="D29">
            <v>1200</v>
          </cell>
          <cell r="E29">
            <v>0</v>
          </cell>
          <cell r="F29">
            <v>2000</v>
          </cell>
          <cell r="G29">
            <v>0</v>
          </cell>
        </row>
        <row r="30">
          <cell r="A30">
            <v>23</v>
          </cell>
          <cell r="B30">
            <v>1300</v>
          </cell>
          <cell r="C30">
            <v>0</v>
          </cell>
          <cell r="D30">
            <v>1200</v>
          </cell>
          <cell r="E30">
            <v>0</v>
          </cell>
          <cell r="F30">
            <v>2000</v>
          </cell>
          <cell r="G30">
            <v>0</v>
          </cell>
        </row>
        <row r="31">
          <cell r="A31">
            <v>24</v>
          </cell>
          <cell r="B31">
            <v>1300</v>
          </cell>
          <cell r="C31">
            <v>0</v>
          </cell>
          <cell r="D31">
            <v>1200</v>
          </cell>
          <cell r="E31">
            <v>0</v>
          </cell>
          <cell r="F31">
            <v>2000</v>
          </cell>
          <cell r="G31">
            <v>0</v>
          </cell>
        </row>
        <row r="32">
          <cell r="A32">
            <v>25</v>
          </cell>
          <cell r="B32">
            <v>1300</v>
          </cell>
          <cell r="C32">
            <v>0</v>
          </cell>
          <cell r="D32">
            <v>1200</v>
          </cell>
          <cell r="E32">
            <v>0</v>
          </cell>
          <cell r="F32">
            <v>2000</v>
          </cell>
          <cell r="G32">
            <v>0</v>
          </cell>
        </row>
        <row r="33">
          <cell r="A33">
            <v>26</v>
          </cell>
          <cell r="B33">
            <v>1300</v>
          </cell>
          <cell r="C33">
            <v>0</v>
          </cell>
          <cell r="D33">
            <v>1200</v>
          </cell>
          <cell r="E33">
            <v>0</v>
          </cell>
          <cell r="F33">
            <v>2000</v>
          </cell>
          <cell r="G33">
            <v>0</v>
          </cell>
        </row>
        <row r="34">
          <cell r="A34">
            <v>27</v>
          </cell>
          <cell r="B34">
            <v>1300</v>
          </cell>
          <cell r="C34">
            <v>0</v>
          </cell>
          <cell r="D34">
            <v>1200</v>
          </cell>
          <cell r="E34">
            <v>0</v>
          </cell>
          <cell r="F34">
            <v>2000</v>
          </cell>
          <cell r="G34">
            <v>0</v>
          </cell>
        </row>
        <row r="35">
          <cell r="A35">
            <v>28</v>
          </cell>
          <cell r="B35">
            <v>1300</v>
          </cell>
          <cell r="C35">
            <v>0</v>
          </cell>
          <cell r="D35">
            <v>1200</v>
          </cell>
          <cell r="E35">
            <v>0</v>
          </cell>
          <cell r="F35">
            <v>2000</v>
          </cell>
          <cell r="G35">
            <v>0</v>
          </cell>
        </row>
        <row r="36">
          <cell r="A36">
            <v>29</v>
          </cell>
          <cell r="B36">
            <v>1300</v>
          </cell>
          <cell r="C36">
            <v>0</v>
          </cell>
          <cell r="D36">
            <v>1200</v>
          </cell>
          <cell r="E36">
            <v>0</v>
          </cell>
          <cell r="F36">
            <v>2000</v>
          </cell>
          <cell r="G36">
            <v>0</v>
          </cell>
        </row>
        <row r="37">
          <cell r="A37">
            <v>30</v>
          </cell>
          <cell r="B37">
            <v>1300</v>
          </cell>
          <cell r="C37">
            <v>0</v>
          </cell>
          <cell r="D37">
            <v>1200</v>
          </cell>
          <cell r="E37">
            <v>0</v>
          </cell>
          <cell r="F37">
            <v>2000</v>
          </cell>
          <cell r="G37">
            <v>0</v>
          </cell>
        </row>
        <row r="40">
          <cell r="B40" t="str">
            <v>SBUDGRAFT</v>
          </cell>
          <cell r="C40">
            <v>3</v>
          </cell>
        </row>
        <row r="41">
          <cell r="B41" t="str">
            <v>SSEEDLING</v>
          </cell>
          <cell r="C41">
            <v>5</v>
          </cell>
        </row>
        <row r="42">
          <cell r="B42" t="str">
            <v>JBUDGRAFT</v>
          </cell>
          <cell r="C42">
            <v>7</v>
          </cell>
        </row>
        <row r="43">
          <cell r="B43" t="str">
            <v>JSEEDLING</v>
          </cell>
          <cell r="C43">
            <v>7</v>
          </cell>
        </row>
      </sheetData>
      <sheetData sheetId="11">
        <row r="12">
          <cell r="B12">
            <v>1</v>
          </cell>
          <cell r="E12" t="str">
            <v>-</v>
          </cell>
          <cell r="H12" t="str">
            <v>-</v>
          </cell>
          <cell r="K12" t="str">
            <v>-</v>
          </cell>
        </row>
        <row r="13">
          <cell r="B13">
            <v>2</v>
          </cell>
          <cell r="E13">
            <v>260</v>
          </cell>
          <cell r="H13">
            <v>280</v>
          </cell>
          <cell r="K13">
            <v>400</v>
          </cell>
        </row>
        <row r="14">
          <cell r="B14">
            <v>3</v>
          </cell>
          <cell r="E14">
            <v>520</v>
          </cell>
          <cell r="F14">
            <v>0.5</v>
          </cell>
          <cell r="H14">
            <v>560</v>
          </cell>
          <cell r="I14">
            <v>0.5</v>
          </cell>
          <cell r="K14">
            <v>800</v>
          </cell>
          <cell r="L14">
            <v>0.5</v>
          </cell>
        </row>
        <row r="15">
          <cell r="B15">
            <v>4</v>
          </cell>
          <cell r="E15">
            <v>780</v>
          </cell>
          <cell r="F15">
            <v>0.33333333333333331</v>
          </cell>
          <cell r="H15">
            <v>840</v>
          </cell>
          <cell r="I15">
            <v>0.33333333333333331</v>
          </cell>
          <cell r="K15">
            <v>1200</v>
          </cell>
          <cell r="L15">
            <v>0.33333333333333331</v>
          </cell>
        </row>
        <row r="16">
          <cell r="B16">
            <v>5</v>
          </cell>
          <cell r="E16">
            <v>650</v>
          </cell>
          <cell r="F16">
            <v>-0.2</v>
          </cell>
          <cell r="H16">
            <v>700</v>
          </cell>
          <cell r="I16">
            <v>-0.2</v>
          </cell>
          <cell r="K16">
            <v>1000</v>
          </cell>
          <cell r="L16">
            <v>-0.2</v>
          </cell>
        </row>
        <row r="17">
          <cell r="B17">
            <v>6</v>
          </cell>
          <cell r="E17">
            <v>1040</v>
          </cell>
          <cell r="F17">
            <v>0.375</v>
          </cell>
          <cell r="H17">
            <v>1120</v>
          </cell>
          <cell r="I17">
            <v>0.375</v>
          </cell>
          <cell r="K17">
            <v>1600</v>
          </cell>
          <cell r="L17">
            <v>0.375</v>
          </cell>
        </row>
        <row r="18">
          <cell r="B18">
            <v>7</v>
          </cell>
          <cell r="E18">
            <v>1430</v>
          </cell>
          <cell r="F18">
            <v>0.27272727272727271</v>
          </cell>
          <cell r="H18">
            <v>1540</v>
          </cell>
          <cell r="I18">
            <v>0.27272727272727271</v>
          </cell>
          <cell r="K18">
            <v>2200</v>
          </cell>
          <cell r="L18">
            <v>0.27272727272727271</v>
          </cell>
        </row>
        <row r="19">
          <cell r="B19">
            <v>8</v>
          </cell>
          <cell r="E19">
            <v>1820</v>
          </cell>
          <cell r="F19">
            <v>0.21428571428571427</v>
          </cell>
          <cell r="H19">
            <v>1960</v>
          </cell>
          <cell r="I19">
            <v>0.21428571428571427</v>
          </cell>
          <cell r="K19">
            <v>2800</v>
          </cell>
          <cell r="L19">
            <v>0.21428571428571427</v>
          </cell>
        </row>
        <row r="20">
          <cell r="B20">
            <v>9</v>
          </cell>
          <cell r="E20">
            <v>1430</v>
          </cell>
          <cell r="F20">
            <v>-0.27272727272727271</v>
          </cell>
          <cell r="H20">
            <v>1540</v>
          </cell>
          <cell r="I20">
            <v>-0.27272727272727271</v>
          </cell>
          <cell r="K20">
            <v>2200</v>
          </cell>
          <cell r="L20">
            <v>-0.27272727272727271</v>
          </cell>
        </row>
        <row r="21">
          <cell r="B21">
            <v>10</v>
          </cell>
          <cell r="E21">
            <v>1560</v>
          </cell>
          <cell r="F21">
            <v>8.3333333333333329E-2</v>
          </cell>
          <cell r="H21">
            <v>1680</v>
          </cell>
          <cell r="I21">
            <v>8.3333333333333329E-2</v>
          </cell>
          <cell r="K21">
            <v>2400</v>
          </cell>
          <cell r="L21">
            <v>8.3333333333333329E-2</v>
          </cell>
        </row>
        <row r="22">
          <cell r="B22">
            <v>11</v>
          </cell>
          <cell r="E22">
            <v>1755</v>
          </cell>
          <cell r="F22">
            <v>0.1111111111111111</v>
          </cell>
          <cell r="H22">
            <v>1890</v>
          </cell>
          <cell r="I22">
            <v>0.1111111111111111</v>
          </cell>
          <cell r="K22">
            <v>2700</v>
          </cell>
          <cell r="L22">
            <v>0.1111111111111111</v>
          </cell>
        </row>
        <row r="23">
          <cell r="B23">
            <v>12</v>
          </cell>
          <cell r="E23">
            <v>1950</v>
          </cell>
          <cell r="F23">
            <v>0.1</v>
          </cell>
          <cell r="H23">
            <v>2100</v>
          </cell>
          <cell r="I23">
            <v>0.1</v>
          </cell>
          <cell r="K23">
            <v>3000</v>
          </cell>
          <cell r="L23">
            <v>0.1</v>
          </cell>
        </row>
        <row r="24">
          <cell r="B24">
            <v>13</v>
          </cell>
          <cell r="E24">
            <v>1560</v>
          </cell>
          <cell r="F24">
            <v>-0.25</v>
          </cell>
          <cell r="H24">
            <v>1680</v>
          </cell>
          <cell r="I24">
            <v>-0.25</v>
          </cell>
          <cell r="K24">
            <v>2400</v>
          </cell>
          <cell r="L24">
            <v>-0.25</v>
          </cell>
        </row>
        <row r="25">
          <cell r="B25">
            <v>14</v>
          </cell>
          <cell r="E25">
            <v>1755</v>
          </cell>
          <cell r="F25">
            <v>0.1111111111111111</v>
          </cell>
          <cell r="H25">
            <v>1890</v>
          </cell>
          <cell r="I25">
            <v>0.1111111111111111</v>
          </cell>
          <cell r="K25">
            <v>2700</v>
          </cell>
          <cell r="L25">
            <v>0.1111111111111111</v>
          </cell>
        </row>
        <row r="26">
          <cell r="B26">
            <v>15</v>
          </cell>
          <cell r="E26">
            <v>1950</v>
          </cell>
          <cell r="F26">
            <v>0.1</v>
          </cell>
          <cell r="H26">
            <v>2100</v>
          </cell>
          <cell r="I26">
            <v>0.1</v>
          </cell>
          <cell r="K26">
            <v>3000</v>
          </cell>
          <cell r="L26">
            <v>0.1</v>
          </cell>
        </row>
        <row r="27">
          <cell r="B27">
            <v>16</v>
          </cell>
          <cell r="E27">
            <v>2145</v>
          </cell>
          <cell r="F27">
            <v>9.0909090909090912E-2</v>
          </cell>
          <cell r="H27">
            <v>2310</v>
          </cell>
          <cell r="I27">
            <v>9.0909090909090912E-2</v>
          </cell>
          <cell r="K27">
            <v>3300</v>
          </cell>
          <cell r="L27">
            <v>9.0909090909090912E-2</v>
          </cell>
        </row>
        <row r="28">
          <cell r="B28">
            <v>17</v>
          </cell>
          <cell r="E28">
            <v>1950</v>
          </cell>
          <cell r="F28">
            <v>-0.1</v>
          </cell>
          <cell r="H28">
            <v>2100</v>
          </cell>
          <cell r="I28">
            <v>-0.1</v>
          </cell>
          <cell r="K28">
            <v>3000</v>
          </cell>
          <cell r="L28">
            <v>-0.1</v>
          </cell>
        </row>
        <row r="29">
          <cell r="B29">
            <v>18</v>
          </cell>
          <cell r="E29">
            <v>2145</v>
          </cell>
          <cell r="F29">
            <v>9.0909090909090912E-2</v>
          </cell>
          <cell r="H29">
            <v>2310</v>
          </cell>
          <cell r="I29">
            <v>9.0909090909090912E-2</v>
          </cell>
          <cell r="K29">
            <v>3300</v>
          </cell>
          <cell r="L29">
            <v>9.0909090909090912E-2</v>
          </cell>
        </row>
        <row r="30">
          <cell r="B30">
            <v>19</v>
          </cell>
          <cell r="E30">
            <v>2405</v>
          </cell>
          <cell r="F30">
            <v>0.10810810810810811</v>
          </cell>
          <cell r="H30">
            <v>2590</v>
          </cell>
          <cell r="I30">
            <v>0.10810810810810811</v>
          </cell>
          <cell r="K30">
            <v>3700</v>
          </cell>
          <cell r="L30">
            <v>0.10810810810810811</v>
          </cell>
        </row>
        <row r="31">
          <cell r="B31">
            <v>20</v>
          </cell>
          <cell r="E31">
            <v>2600</v>
          </cell>
          <cell r="F31">
            <v>7.4999999999999997E-2</v>
          </cell>
          <cell r="H31">
            <v>2800</v>
          </cell>
          <cell r="I31">
            <v>7.4999999999999997E-2</v>
          </cell>
          <cell r="K31">
            <v>4000</v>
          </cell>
          <cell r="L31">
            <v>7.4999999999999997E-2</v>
          </cell>
        </row>
        <row r="32">
          <cell r="B32">
            <v>21</v>
          </cell>
          <cell r="E32">
            <v>1950</v>
          </cell>
          <cell r="F32">
            <v>-0.33333333333333331</v>
          </cell>
          <cell r="H32">
            <v>2100</v>
          </cell>
          <cell r="I32">
            <v>-0.33333333333333331</v>
          </cell>
          <cell r="K32">
            <v>3000</v>
          </cell>
          <cell r="L32">
            <v>-0.33333333333333331</v>
          </cell>
        </row>
        <row r="33">
          <cell r="B33">
            <v>22</v>
          </cell>
          <cell r="E33">
            <v>2145</v>
          </cell>
          <cell r="F33">
            <v>9.0909090909090912E-2</v>
          </cell>
          <cell r="H33">
            <v>2310</v>
          </cell>
          <cell r="I33">
            <v>9.0909090909090912E-2</v>
          </cell>
          <cell r="K33">
            <v>3300</v>
          </cell>
          <cell r="L33">
            <v>9.0909090909090912E-2</v>
          </cell>
        </row>
        <row r="34">
          <cell r="B34">
            <v>23</v>
          </cell>
          <cell r="E34">
            <v>2405</v>
          </cell>
          <cell r="F34">
            <v>0.10810810810810811</v>
          </cell>
          <cell r="H34">
            <v>2590</v>
          </cell>
          <cell r="I34">
            <v>0.10810810810810811</v>
          </cell>
          <cell r="K34">
            <v>3700</v>
          </cell>
          <cell r="L34">
            <v>0.10810810810810811</v>
          </cell>
        </row>
        <row r="35">
          <cell r="B35">
            <v>24</v>
          </cell>
          <cell r="E35">
            <v>2600</v>
          </cell>
          <cell r="F35">
            <v>7.4999999999999997E-2</v>
          </cell>
          <cell r="H35">
            <v>2800</v>
          </cell>
          <cell r="I35">
            <v>7.4999999999999997E-2</v>
          </cell>
          <cell r="K35">
            <v>4000</v>
          </cell>
          <cell r="L35">
            <v>7.4999999999999997E-2</v>
          </cell>
        </row>
        <row r="36">
          <cell r="B36">
            <v>25</v>
          </cell>
          <cell r="E36">
            <v>1950</v>
          </cell>
          <cell r="F36">
            <v>-0.33333333333333331</v>
          </cell>
          <cell r="H36">
            <v>2100</v>
          </cell>
          <cell r="I36">
            <v>-0.33333333333333331</v>
          </cell>
          <cell r="K36">
            <v>3000</v>
          </cell>
          <cell r="L36">
            <v>-0.33333333333333331</v>
          </cell>
        </row>
        <row r="37">
          <cell r="B37">
            <v>26</v>
          </cell>
          <cell r="E37">
            <v>2145</v>
          </cell>
          <cell r="F37">
            <v>9.0909090909090912E-2</v>
          </cell>
          <cell r="H37">
            <v>2310</v>
          </cell>
          <cell r="I37">
            <v>9.0909090909090912E-2</v>
          </cell>
          <cell r="K37">
            <v>3300</v>
          </cell>
          <cell r="L37">
            <v>9.0909090909090912E-2</v>
          </cell>
        </row>
        <row r="38">
          <cell r="B38">
            <v>27</v>
          </cell>
          <cell r="E38">
            <v>2405</v>
          </cell>
          <cell r="F38">
            <v>0.10810810810810811</v>
          </cell>
          <cell r="H38">
            <v>2590</v>
          </cell>
          <cell r="I38">
            <v>0.10810810810810811</v>
          </cell>
          <cell r="K38">
            <v>3700</v>
          </cell>
          <cell r="L38">
            <v>0.10810810810810811</v>
          </cell>
        </row>
        <row r="39">
          <cell r="B39">
            <v>28</v>
          </cell>
          <cell r="E39">
            <v>2600</v>
          </cell>
          <cell r="F39">
            <v>7.4999999999999997E-2</v>
          </cell>
          <cell r="H39">
            <v>2800</v>
          </cell>
          <cell r="I39">
            <v>7.4999999999999997E-2</v>
          </cell>
          <cell r="K39">
            <v>4000</v>
          </cell>
          <cell r="L39">
            <v>7.4999999999999997E-2</v>
          </cell>
        </row>
        <row r="40">
          <cell r="B40">
            <v>29</v>
          </cell>
          <cell r="E40">
            <v>1950</v>
          </cell>
          <cell r="F40">
            <v>-0.33333333333333331</v>
          </cell>
          <cell r="H40">
            <v>2100</v>
          </cell>
          <cell r="I40">
            <v>-0.33333333333333331</v>
          </cell>
          <cell r="K40">
            <v>3000</v>
          </cell>
          <cell r="L40">
            <v>-0.33333333333333331</v>
          </cell>
        </row>
        <row r="41">
          <cell r="B41">
            <v>30</v>
          </cell>
          <cell r="E41">
            <v>2145</v>
          </cell>
          <cell r="F41">
            <v>9.0909090909090912E-2</v>
          </cell>
          <cell r="H41">
            <v>2310</v>
          </cell>
          <cell r="I41">
            <v>9.0909090909090912E-2</v>
          </cell>
          <cell r="K41">
            <v>3300</v>
          </cell>
          <cell r="L41">
            <v>9.0909090909090912E-2</v>
          </cell>
        </row>
        <row r="42">
          <cell r="B42">
            <v>31</v>
          </cell>
          <cell r="E42">
            <v>2405</v>
          </cell>
          <cell r="F42">
            <v>0.10810810810810811</v>
          </cell>
          <cell r="H42">
            <v>2590</v>
          </cell>
          <cell r="I42">
            <v>0.10810810810810811</v>
          </cell>
          <cell r="K42">
            <v>3700</v>
          </cell>
          <cell r="L42">
            <v>0.10810810810810811</v>
          </cell>
        </row>
        <row r="43">
          <cell r="B43">
            <v>32</v>
          </cell>
          <cell r="E43">
            <v>2600</v>
          </cell>
          <cell r="F43">
            <v>7.4999999999999997E-2</v>
          </cell>
          <cell r="H43">
            <v>2800</v>
          </cell>
          <cell r="I43">
            <v>7.4999999999999997E-2</v>
          </cell>
          <cell r="K43">
            <v>4000</v>
          </cell>
          <cell r="L43">
            <v>7.4999999999999997E-2</v>
          </cell>
        </row>
      </sheetData>
      <sheetData sheetId="12">
        <row r="13">
          <cell r="B13">
            <v>1</v>
          </cell>
          <cell r="E13" t="str">
            <v>-</v>
          </cell>
          <cell r="H13" t="str">
            <v>-</v>
          </cell>
          <cell r="K13" t="str">
            <v>-</v>
          </cell>
        </row>
        <row r="14">
          <cell r="B14">
            <v>2</v>
          </cell>
          <cell r="E14" t="str">
            <v>-</v>
          </cell>
          <cell r="H14" t="str">
            <v>-</v>
          </cell>
          <cell r="K14" t="str">
            <v>-</v>
          </cell>
        </row>
        <row r="15">
          <cell r="B15">
            <v>3</v>
          </cell>
          <cell r="E15" t="str">
            <v>-</v>
          </cell>
          <cell r="H15" t="str">
            <v>-</v>
          </cell>
          <cell r="K15">
            <v>40</v>
          </cell>
        </row>
        <row r="16">
          <cell r="B16">
            <v>4</v>
          </cell>
          <cell r="E16" t="str">
            <v>-</v>
          </cell>
          <cell r="H16">
            <v>100</v>
          </cell>
          <cell r="K16">
            <v>130</v>
          </cell>
          <cell r="L16">
            <v>0.69230769230769229</v>
          </cell>
        </row>
        <row r="17">
          <cell r="B17">
            <v>5</v>
          </cell>
          <cell r="E17" t="str">
            <v>-</v>
          </cell>
          <cell r="H17">
            <v>200</v>
          </cell>
          <cell r="I17">
            <v>0.5</v>
          </cell>
          <cell r="K17">
            <v>180</v>
          </cell>
          <cell r="L17">
            <v>0.27777777777777779</v>
          </cell>
        </row>
        <row r="18">
          <cell r="B18">
            <v>6</v>
          </cell>
          <cell r="E18">
            <v>40</v>
          </cell>
          <cell r="H18">
            <v>400</v>
          </cell>
          <cell r="I18">
            <v>0.5</v>
          </cell>
          <cell r="K18">
            <v>230</v>
          </cell>
          <cell r="L18">
            <v>0.21739130434782608</v>
          </cell>
        </row>
        <row r="19">
          <cell r="B19">
            <v>7</v>
          </cell>
          <cell r="E19">
            <v>70</v>
          </cell>
          <cell r="F19">
            <v>0.42857142857142855</v>
          </cell>
          <cell r="H19">
            <v>550</v>
          </cell>
          <cell r="I19">
            <v>0.27272727272727271</v>
          </cell>
          <cell r="K19">
            <v>300</v>
          </cell>
          <cell r="L19">
            <v>0.23333333333333334</v>
          </cell>
        </row>
        <row r="20">
          <cell r="B20">
            <v>8</v>
          </cell>
          <cell r="E20">
            <v>100</v>
          </cell>
          <cell r="F20">
            <v>0.3</v>
          </cell>
          <cell r="H20">
            <v>550</v>
          </cell>
          <cell r="I20">
            <v>0</v>
          </cell>
          <cell r="K20">
            <v>350</v>
          </cell>
          <cell r="L20">
            <v>0.14285714285714285</v>
          </cell>
        </row>
        <row r="21">
          <cell r="B21">
            <v>9</v>
          </cell>
          <cell r="E21">
            <v>200</v>
          </cell>
          <cell r="F21">
            <v>0.5</v>
          </cell>
          <cell r="H21">
            <v>550</v>
          </cell>
          <cell r="I21">
            <v>0</v>
          </cell>
          <cell r="K21">
            <v>350</v>
          </cell>
          <cell r="L21">
            <v>0</v>
          </cell>
        </row>
        <row r="22">
          <cell r="B22">
            <v>10</v>
          </cell>
          <cell r="E22">
            <v>300</v>
          </cell>
          <cell r="F22">
            <v>0.33333333333333331</v>
          </cell>
          <cell r="H22">
            <v>550</v>
          </cell>
          <cell r="I22">
            <v>0</v>
          </cell>
          <cell r="K22">
            <v>350</v>
          </cell>
          <cell r="L22">
            <v>0</v>
          </cell>
        </row>
        <row r="23">
          <cell r="B23">
            <v>11</v>
          </cell>
          <cell r="E23">
            <v>400</v>
          </cell>
          <cell r="F23">
            <v>0.25</v>
          </cell>
          <cell r="H23">
            <v>550</v>
          </cell>
          <cell r="I23">
            <v>0</v>
          </cell>
          <cell r="K23">
            <v>350</v>
          </cell>
          <cell r="L23">
            <v>0</v>
          </cell>
        </row>
        <row r="24">
          <cell r="B24">
            <v>12</v>
          </cell>
          <cell r="E24">
            <v>400</v>
          </cell>
          <cell r="F24">
            <v>0</v>
          </cell>
          <cell r="H24">
            <v>550</v>
          </cell>
          <cell r="I24">
            <v>0</v>
          </cell>
          <cell r="K24">
            <v>350</v>
          </cell>
          <cell r="L24">
            <v>0</v>
          </cell>
        </row>
        <row r="25">
          <cell r="B25">
            <v>13</v>
          </cell>
          <cell r="E25">
            <v>400</v>
          </cell>
          <cell r="F25">
            <v>0</v>
          </cell>
          <cell r="H25">
            <v>550</v>
          </cell>
          <cell r="I25">
            <v>0</v>
          </cell>
          <cell r="K25">
            <v>350</v>
          </cell>
          <cell r="L25">
            <v>0</v>
          </cell>
        </row>
        <row r="26">
          <cell r="B26">
            <v>14</v>
          </cell>
          <cell r="E26">
            <v>400</v>
          </cell>
          <cell r="F26">
            <v>0</v>
          </cell>
          <cell r="H26">
            <v>550</v>
          </cell>
          <cell r="I26">
            <v>0</v>
          </cell>
          <cell r="K26">
            <v>350</v>
          </cell>
          <cell r="L26">
            <v>0</v>
          </cell>
        </row>
        <row r="27">
          <cell r="B27">
            <v>15</v>
          </cell>
          <cell r="E27">
            <v>450</v>
          </cell>
          <cell r="F27">
            <v>0.1111111111111111</v>
          </cell>
          <cell r="H27">
            <v>550</v>
          </cell>
          <cell r="I27">
            <v>0</v>
          </cell>
          <cell r="K27">
            <v>350</v>
          </cell>
          <cell r="L27">
            <v>0</v>
          </cell>
        </row>
        <row r="28">
          <cell r="B28">
            <v>16</v>
          </cell>
          <cell r="E28">
            <v>450</v>
          </cell>
          <cell r="F28">
            <v>0</v>
          </cell>
          <cell r="H28">
            <v>550</v>
          </cell>
          <cell r="I28">
            <v>0</v>
          </cell>
          <cell r="K28">
            <v>350</v>
          </cell>
          <cell r="L28">
            <v>0</v>
          </cell>
        </row>
        <row r="29">
          <cell r="B29">
            <v>17</v>
          </cell>
          <cell r="E29">
            <v>450</v>
          </cell>
          <cell r="F29">
            <v>0</v>
          </cell>
          <cell r="H29">
            <v>550</v>
          </cell>
          <cell r="I29">
            <v>0</v>
          </cell>
          <cell r="K29">
            <v>350</v>
          </cell>
          <cell r="L29">
            <v>0</v>
          </cell>
        </row>
        <row r="30">
          <cell r="B30">
            <v>18</v>
          </cell>
          <cell r="E30">
            <v>450</v>
          </cell>
          <cell r="F30">
            <v>0</v>
          </cell>
          <cell r="H30">
            <v>550</v>
          </cell>
          <cell r="I30">
            <v>0</v>
          </cell>
          <cell r="K30">
            <v>350</v>
          </cell>
          <cell r="L30">
            <v>0</v>
          </cell>
        </row>
        <row r="31">
          <cell r="B31">
            <v>19</v>
          </cell>
          <cell r="E31">
            <v>450</v>
          </cell>
          <cell r="F31">
            <v>0</v>
          </cell>
          <cell r="H31">
            <v>550</v>
          </cell>
          <cell r="I31">
            <v>0</v>
          </cell>
          <cell r="K31">
            <v>350</v>
          </cell>
          <cell r="L31">
            <v>0</v>
          </cell>
        </row>
        <row r="32">
          <cell r="B32">
            <v>20</v>
          </cell>
          <cell r="E32">
            <v>450</v>
          </cell>
          <cell r="F32">
            <v>0</v>
          </cell>
          <cell r="H32">
            <v>550</v>
          </cell>
          <cell r="I32">
            <v>0</v>
          </cell>
          <cell r="K32">
            <v>350</v>
          </cell>
          <cell r="L32">
            <v>0</v>
          </cell>
        </row>
        <row r="33">
          <cell r="B33">
            <v>21</v>
          </cell>
          <cell r="E33">
            <v>450</v>
          </cell>
          <cell r="F33">
            <v>0</v>
          </cell>
          <cell r="H33">
            <v>550</v>
          </cell>
          <cell r="I33">
            <v>0</v>
          </cell>
          <cell r="K33">
            <v>350</v>
          </cell>
          <cell r="L33">
            <v>0</v>
          </cell>
        </row>
        <row r="34">
          <cell r="B34">
            <v>22</v>
          </cell>
          <cell r="E34">
            <v>450</v>
          </cell>
          <cell r="F34">
            <v>0</v>
          </cell>
          <cell r="H34">
            <v>550</v>
          </cell>
          <cell r="I34">
            <v>0</v>
          </cell>
          <cell r="K34">
            <v>350</v>
          </cell>
          <cell r="L34">
            <v>0</v>
          </cell>
        </row>
        <row r="35">
          <cell r="B35">
            <v>23</v>
          </cell>
          <cell r="E35">
            <v>450</v>
          </cell>
          <cell r="F35">
            <v>0</v>
          </cell>
          <cell r="H35">
            <v>550</v>
          </cell>
          <cell r="I35">
            <v>0</v>
          </cell>
          <cell r="K35">
            <v>350</v>
          </cell>
          <cell r="L35">
            <v>0</v>
          </cell>
        </row>
        <row r="36">
          <cell r="B36">
            <v>24</v>
          </cell>
          <cell r="E36">
            <v>450</v>
          </cell>
          <cell r="F36">
            <v>0</v>
          </cell>
          <cell r="H36">
            <v>550</v>
          </cell>
          <cell r="I36">
            <v>0</v>
          </cell>
          <cell r="K36">
            <v>350</v>
          </cell>
          <cell r="L36">
            <v>0</v>
          </cell>
        </row>
        <row r="37">
          <cell r="B37">
            <v>25</v>
          </cell>
          <cell r="E37">
            <v>450</v>
          </cell>
          <cell r="F37">
            <v>0</v>
          </cell>
          <cell r="H37">
            <v>550</v>
          </cell>
          <cell r="I37">
            <v>0</v>
          </cell>
          <cell r="K37">
            <v>350</v>
          </cell>
          <cell r="L37">
            <v>0</v>
          </cell>
        </row>
      </sheetData>
      <sheetData sheetId="13">
        <row r="11">
          <cell r="B11">
            <v>1</v>
          </cell>
          <cell r="E11">
            <v>300</v>
          </cell>
          <cell r="H11">
            <v>300</v>
          </cell>
        </row>
        <row r="12">
          <cell r="B12">
            <v>2</v>
          </cell>
          <cell r="E12">
            <v>600</v>
          </cell>
          <cell r="F12">
            <v>0.5</v>
          </cell>
          <cell r="H12">
            <v>600</v>
          </cell>
          <cell r="I12">
            <v>0.5</v>
          </cell>
        </row>
        <row r="13">
          <cell r="B13">
            <v>3</v>
          </cell>
          <cell r="E13">
            <v>700</v>
          </cell>
          <cell r="F13">
            <v>0.14285714285714285</v>
          </cell>
          <cell r="H13">
            <v>700</v>
          </cell>
          <cell r="I13">
            <v>0.14285714285714285</v>
          </cell>
        </row>
        <row r="14">
          <cell r="B14">
            <v>4</v>
          </cell>
          <cell r="E14">
            <v>800</v>
          </cell>
          <cell r="F14">
            <v>0.125</v>
          </cell>
          <cell r="H14">
            <v>800</v>
          </cell>
          <cell r="I14">
            <v>0.125</v>
          </cell>
        </row>
        <row r="15">
          <cell r="B15">
            <v>5</v>
          </cell>
          <cell r="E15">
            <v>900</v>
          </cell>
          <cell r="F15">
            <v>0.1111111111111111</v>
          </cell>
          <cell r="H15">
            <v>900</v>
          </cell>
          <cell r="I15">
            <v>0.1111111111111111</v>
          </cell>
        </row>
        <row r="16">
          <cell r="B16">
            <v>6</v>
          </cell>
          <cell r="E16">
            <v>900</v>
          </cell>
          <cell r="F16">
            <v>0</v>
          </cell>
          <cell r="H16">
            <v>1000</v>
          </cell>
          <cell r="I16">
            <v>0.1</v>
          </cell>
        </row>
        <row r="17">
          <cell r="B17">
            <v>7</v>
          </cell>
          <cell r="E17">
            <v>1000</v>
          </cell>
          <cell r="F17">
            <v>0.1</v>
          </cell>
          <cell r="H17">
            <v>1000</v>
          </cell>
          <cell r="I17">
            <v>0</v>
          </cell>
        </row>
        <row r="18">
          <cell r="B18">
            <v>8</v>
          </cell>
          <cell r="E18">
            <v>1000</v>
          </cell>
          <cell r="F18">
            <v>0</v>
          </cell>
          <cell r="H18">
            <v>1000</v>
          </cell>
          <cell r="I18">
            <v>0</v>
          </cell>
        </row>
        <row r="19">
          <cell r="B19">
            <v>9</v>
          </cell>
          <cell r="E19">
            <v>1000</v>
          </cell>
          <cell r="F19">
            <v>0</v>
          </cell>
          <cell r="H19">
            <v>1100</v>
          </cell>
          <cell r="I19">
            <v>9.0909090909090912E-2</v>
          </cell>
        </row>
        <row r="20">
          <cell r="B20">
            <v>10</v>
          </cell>
          <cell r="E20">
            <v>1000</v>
          </cell>
          <cell r="F20">
            <v>0</v>
          </cell>
          <cell r="H20">
            <v>1100</v>
          </cell>
          <cell r="I20">
            <v>0</v>
          </cell>
        </row>
        <row r="21">
          <cell r="B21">
            <v>11</v>
          </cell>
          <cell r="E21">
            <v>1000</v>
          </cell>
          <cell r="F21">
            <v>0</v>
          </cell>
          <cell r="H21">
            <v>1100</v>
          </cell>
          <cell r="I21">
            <v>0</v>
          </cell>
        </row>
        <row r="22">
          <cell r="B22">
            <v>12</v>
          </cell>
          <cell r="E22">
            <v>1000</v>
          </cell>
          <cell r="F22">
            <v>0</v>
          </cell>
          <cell r="H22">
            <v>1100</v>
          </cell>
          <cell r="I22">
            <v>0</v>
          </cell>
        </row>
        <row r="23">
          <cell r="B23">
            <v>13</v>
          </cell>
          <cell r="E23">
            <v>1000</v>
          </cell>
          <cell r="F23">
            <v>0</v>
          </cell>
          <cell r="H23">
            <v>1100</v>
          </cell>
          <cell r="I23">
            <v>0</v>
          </cell>
        </row>
        <row r="24">
          <cell r="B24">
            <v>14</v>
          </cell>
          <cell r="E24">
            <v>1000</v>
          </cell>
          <cell r="F24">
            <v>0</v>
          </cell>
          <cell r="H24">
            <v>1100</v>
          </cell>
          <cell r="I24">
            <v>0</v>
          </cell>
        </row>
        <row r="25">
          <cell r="B25">
            <v>15</v>
          </cell>
          <cell r="E25">
            <v>1000</v>
          </cell>
          <cell r="F25">
            <v>0</v>
          </cell>
          <cell r="H25">
            <v>1100</v>
          </cell>
          <cell r="I25">
            <v>0</v>
          </cell>
        </row>
        <row r="26">
          <cell r="B26">
            <v>16</v>
          </cell>
          <cell r="E26">
            <v>1000</v>
          </cell>
          <cell r="F26">
            <v>0</v>
          </cell>
          <cell r="H26">
            <v>1300</v>
          </cell>
          <cell r="I26">
            <v>0.15384615384615385</v>
          </cell>
        </row>
        <row r="27">
          <cell r="B27">
            <v>17</v>
          </cell>
          <cell r="E27">
            <v>1000</v>
          </cell>
          <cell r="F27">
            <v>0</v>
          </cell>
          <cell r="H27">
            <v>1300</v>
          </cell>
          <cell r="I27">
            <v>0</v>
          </cell>
        </row>
        <row r="28">
          <cell r="B28">
            <v>18</v>
          </cell>
          <cell r="E28">
            <v>1000</v>
          </cell>
          <cell r="F28">
            <v>0</v>
          </cell>
          <cell r="H28">
            <v>1300</v>
          </cell>
          <cell r="I28">
            <v>0</v>
          </cell>
        </row>
        <row r="29">
          <cell r="B29">
            <v>19</v>
          </cell>
          <cell r="E29">
            <v>1000</v>
          </cell>
          <cell r="F29">
            <v>0</v>
          </cell>
          <cell r="H29">
            <v>1300</v>
          </cell>
          <cell r="I29">
            <v>0</v>
          </cell>
        </row>
        <row r="30">
          <cell r="B30">
            <v>20</v>
          </cell>
          <cell r="E30">
            <v>1000</v>
          </cell>
          <cell r="F30">
            <v>0</v>
          </cell>
          <cell r="H30">
            <v>1300</v>
          </cell>
          <cell r="I30">
            <v>0</v>
          </cell>
        </row>
        <row r="31">
          <cell r="B31">
            <v>21</v>
          </cell>
          <cell r="E31">
            <v>1000</v>
          </cell>
          <cell r="F31">
            <v>0</v>
          </cell>
          <cell r="H31">
            <v>1300</v>
          </cell>
          <cell r="I31">
            <v>0</v>
          </cell>
        </row>
        <row r="32">
          <cell r="B32">
            <v>22</v>
          </cell>
          <cell r="E32">
            <v>1000</v>
          </cell>
          <cell r="F32">
            <v>0</v>
          </cell>
          <cell r="H32">
            <v>1300</v>
          </cell>
          <cell r="I32">
            <v>0</v>
          </cell>
        </row>
        <row r="33">
          <cell r="B33">
            <v>23</v>
          </cell>
          <cell r="E33">
            <v>1000</v>
          </cell>
          <cell r="F33">
            <v>0</v>
          </cell>
          <cell r="H33">
            <v>1300</v>
          </cell>
          <cell r="I33">
            <v>0</v>
          </cell>
        </row>
        <row r="34">
          <cell r="B34">
            <v>24</v>
          </cell>
          <cell r="E34">
            <v>1000</v>
          </cell>
          <cell r="F34">
            <v>0</v>
          </cell>
          <cell r="H34">
            <v>1300</v>
          </cell>
          <cell r="I34">
            <v>0</v>
          </cell>
        </row>
        <row r="35">
          <cell r="B35">
            <v>25</v>
          </cell>
          <cell r="E35">
            <v>1000</v>
          </cell>
          <cell r="F35">
            <v>0</v>
          </cell>
          <cell r="H35">
            <v>1300</v>
          </cell>
          <cell r="I35">
            <v>0</v>
          </cell>
        </row>
        <row r="36">
          <cell r="B36">
            <v>26</v>
          </cell>
          <cell r="E36">
            <v>1000</v>
          </cell>
          <cell r="F36">
            <v>0</v>
          </cell>
          <cell r="H36">
            <v>1300</v>
          </cell>
          <cell r="I36">
            <v>0</v>
          </cell>
        </row>
        <row r="37">
          <cell r="B37">
            <v>27</v>
          </cell>
          <cell r="E37">
            <v>1000</v>
          </cell>
          <cell r="F37">
            <v>0</v>
          </cell>
          <cell r="H37">
            <v>1300</v>
          </cell>
          <cell r="I37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nual"/>
      <sheetName val="R.S.E.Amended II"/>
      <sheetName val="R.SIALANG"/>
      <sheetName val="FORM EST "/>
      <sheetName val="PRICE"/>
      <sheetName val="Price NS"/>
      <sheetName val="Price SS"/>
      <sheetName val="Price  Java"/>
      <sheetName val="Price  Slws"/>
      <sheetName val="Price Klm"/>
      <sheetName val="Pric Fur Staff"/>
      <sheetName val="Price OFF Fur"/>
      <sheetName val="Pric Lab"/>
      <sheetName val="Price Veh"/>
      <sheetName val="Pric Machinery"/>
      <sheetName val="Price Comp Eq"/>
      <sheetName val="Other"/>
      <sheetName val="INFO"/>
      <sheetName val="Names"/>
    </sheetNames>
    <sheetDataSet>
      <sheetData sheetId="0"/>
      <sheetData sheetId="1"/>
      <sheetData sheetId="2"/>
      <sheetData sheetId="3"/>
      <sheetData sheetId="4" refreshError="1">
        <row r="1773">
          <cell r="B1773" t="str">
            <v>1</v>
          </cell>
          <cell r="C1773" t="str">
            <v>Price_NS</v>
          </cell>
        </row>
        <row r="1774">
          <cell r="B1774" t="str">
            <v>2</v>
          </cell>
          <cell r="C1774" t="str">
            <v>Price_SS</v>
          </cell>
        </row>
        <row r="1775">
          <cell r="B1775" t="str">
            <v>3</v>
          </cell>
          <cell r="C1775" t="str">
            <v>Price_KL</v>
          </cell>
        </row>
        <row r="1776">
          <cell r="B1776" t="str">
            <v>4</v>
          </cell>
          <cell r="C1776" t="str">
            <v>Price_JV</v>
          </cell>
        </row>
        <row r="1777">
          <cell r="B1777" t="str">
            <v>5</v>
          </cell>
          <cell r="C1777" t="str">
            <v>Price_SL</v>
          </cell>
        </row>
        <row r="1778">
          <cell r="D1778" t="str">
            <v>Please Check Item Code</v>
          </cell>
        </row>
      </sheetData>
      <sheetData sheetId="5" refreshError="1">
        <row r="4">
          <cell r="R4">
            <v>2121</v>
          </cell>
          <cell r="S4" t="str">
            <v>Factory Building</v>
          </cell>
        </row>
        <row r="5">
          <cell r="R5">
            <v>2119</v>
          </cell>
          <cell r="S5" t="str">
            <v>Land Conpensation</v>
          </cell>
        </row>
        <row r="6">
          <cell r="R6" t="str">
            <v>2122</v>
          </cell>
          <cell r="S6" t="str">
            <v>Other Building</v>
          </cell>
        </row>
        <row r="8">
          <cell r="R8" t="str">
            <v>2131</v>
          </cell>
          <cell r="S8" t="str">
            <v>House</v>
          </cell>
        </row>
        <row r="9">
          <cell r="R9" t="str">
            <v>2123</v>
          </cell>
          <cell r="S9" t="str">
            <v>Water Supply/O.Structure</v>
          </cell>
        </row>
        <row r="11">
          <cell r="R11" t="str">
            <v>2124</v>
          </cell>
          <cell r="S11" t="str">
            <v>Static Machinery</v>
          </cell>
        </row>
        <row r="12">
          <cell r="R12" t="str">
            <v>2125</v>
          </cell>
          <cell r="S12" t="str">
            <v>Other Machinery</v>
          </cell>
        </row>
        <row r="13">
          <cell r="R13" t="str">
            <v>2126</v>
          </cell>
          <cell r="S13" t="str">
            <v>Heavy Vehicle</v>
          </cell>
        </row>
        <row r="15">
          <cell r="R15" t="str">
            <v>2127</v>
          </cell>
          <cell r="S15" t="str">
            <v>Motor Vehicle</v>
          </cell>
        </row>
        <row r="16">
          <cell r="R16" t="str">
            <v>2128</v>
          </cell>
          <cell r="S16" t="str">
            <v>House Furniture</v>
          </cell>
        </row>
        <row r="17">
          <cell r="R17" t="str">
            <v>2129</v>
          </cell>
          <cell r="S17" t="str">
            <v>Office Furniture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Ach Prog "/>
      <sheetName val="Staff"/>
      <sheetName val="OAD 301 "/>
      <sheetName val="OAD 310 "/>
      <sheetName val="OAD 302"/>
      <sheetName val="OAD 303"/>
      <sheetName val="OAD 304A "/>
      <sheetName val="OAD 304B "/>
      <sheetName val="CROP CA, CN"/>
      <sheetName val="Crop Sta.CA"/>
      <sheetName val="Crop Sta.CN"/>
      <sheetName val="Crop New Opening"/>
      <sheetName val="Upk-M CA"/>
      <sheetName val="Perf Imm CA,CN"/>
      <sheetName val="Contract"/>
      <sheetName val="Ferti-Mat"/>
      <sheetName val="Ferti-Imm"/>
      <sheetName val="Nurs. CA"/>
      <sheetName val="R.fall"/>
      <sheetName val="Lab.Force"/>
      <sheetName val="Lab.alloc"/>
      <sheetName val="Health"/>
      <sheetName val="Staff-Bungalow"/>
      <sheetName val="Housing- others"/>
      <sheetName val="Heavy Vehicles "/>
      <sheetName val="Capex Npl"/>
      <sheetName val="Stores Movement"/>
      <sheetName val="PRICE"/>
      <sheetName val="Price NS"/>
      <sheetName val="Oilpalm Profile"/>
      <sheetName val="Rubber Profile"/>
      <sheetName val="Cocoa Profile"/>
      <sheetName val="Yld P CF"/>
      <sheetName val="Yld P CN"/>
      <sheetName val="Yld P TEA "/>
    </sheetNames>
    <sheetDataSet>
      <sheetData sheetId="0"/>
      <sheetData sheetId="1" refreshError="1">
        <row r="5">
          <cell r="E5" t="str">
            <v>PUNGKOL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 _ REAL TANAM"/>
      <sheetName val="REN _ REAL LC"/>
      <sheetName val="Sheet16"/>
      <sheetName val="Sheet1"/>
      <sheetName val="Peta_Kaltim"/>
      <sheetName val="Izin_OKTOBER_07"/>
      <sheetName val="Tabel_izin_lokasi_juni_07"/>
      <sheetName val="Tabel_Ekspan_juni_07"/>
      <sheetName val="RK_2008_2009_Gunta_Grup"/>
      <sheetName val="RK_2008_2009_Non_Gunta_Grup"/>
      <sheetName val="AREA STATEMENT"/>
      <sheetName val="AREAL_STATEMENT_NON_GUNTA_GRUP"/>
      <sheetName val="AREAL_STATEMENT_PLASMA"/>
      <sheetName val="TANAM 2006"/>
      <sheetName val="BBT OKTOBER 07"/>
      <sheetName val="PROG. TANAM SAWIT"/>
      <sheetName val="TANAM BARU 2008"/>
      <sheetName val="TANAM INTI &amp; PLASMA 2008"/>
      <sheetName val="KEBUTUHAN LONDSUM"/>
      <sheetName val="BBT JUNI 07 SSKE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1"/>
      <sheetName val="BP01 C"/>
      <sheetName val="Oil Palm"/>
      <sheetName val="BP02"/>
      <sheetName val="BP24"/>
      <sheetName val="BP24A"/>
      <sheetName val="BP61"/>
      <sheetName val="BP62"/>
      <sheetName val="BP63"/>
      <sheetName val="BP64"/>
      <sheetName val="BP91"/>
      <sheetName val="BP41"/>
      <sheetName val="BP42"/>
      <sheetName val="BP43"/>
      <sheetName val="BP44"/>
      <sheetName val="JOB CODE"/>
      <sheetName val="MASTER MATERIAL &amp; VEHICLE"/>
      <sheetName val="Price List"/>
      <sheetName val="SALARY"/>
      <sheetName val="MRP"/>
      <sheetName val="Health"/>
      <sheetName val="Cont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B3" t="str">
            <v>MANAGEMENT EXPENSES</v>
          </cell>
        </row>
        <row r="4">
          <cell r="B4" t="str">
            <v>STAFF REMUNERATION</v>
          </cell>
        </row>
        <row r="5">
          <cell r="B5" t="str">
            <v>STAFF LEAVE ALLOWANCE &amp; PASSAGE FARE</v>
          </cell>
        </row>
        <row r="6">
          <cell r="B6" t="str">
            <v>STAFF LEBARAN ALLOWANCE</v>
          </cell>
        </row>
        <row r="7">
          <cell r="B7" t="str">
            <v>STAFF PPH-21</v>
          </cell>
        </row>
        <row r="8">
          <cell r="B8" t="str">
            <v>STAFF JAMSOSTEK</v>
          </cell>
        </row>
        <row r="9">
          <cell r="B9" t="str">
            <v>STAFF MOTOR CYCLE/VEHICLE RUNNING COST</v>
          </cell>
        </row>
        <row r="10">
          <cell r="B10" t="str">
            <v>1ST MANDOR SUPERVISION</v>
          </cell>
        </row>
        <row r="11">
          <cell r="B11" t="str">
            <v>PENSION EXPENSES STAFF</v>
          </cell>
        </row>
        <row r="12">
          <cell r="B12" t="str">
            <v>PENSION EXPENSES NON STAFF</v>
          </cell>
        </row>
        <row r="13">
          <cell r="B13" t="str">
            <v>OFFICE EXPENSES</v>
          </cell>
        </row>
        <row r="14">
          <cell r="B14" t="str">
            <v>COMMUNICATION EQUIPMENT INCL MAINTENANCE (VOICE/DATA)</v>
          </cell>
        </row>
        <row r="15">
          <cell r="B15" t="str">
            <v>POSTAGE &amp; COURIER</v>
          </cell>
        </row>
        <row r="16">
          <cell r="B16" t="str">
            <v>OFFICE SUPPLIES/STATIONERY</v>
          </cell>
        </row>
        <row r="17">
          <cell r="B17" t="str">
            <v xml:space="preserve">OFFICE PERSONEL REMUNERATION </v>
          </cell>
        </row>
        <row r="18">
          <cell r="B18" t="str">
            <v>UPKEEP ESTABLISHMENT INCL.GARDENS</v>
          </cell>
        </row>
        <row r="19">
          <cell r="B19" t="str">
            <v>UPKEEP ESTABLISHMENT</v>
          </cell>
        </row>
        <row r="20">
          <cell r="B20" t="str">
            <v>UPKEEP MAIN/EXTERNAL ROAD</v>
          </cell>
        </row>
        <row r="21">
          <cell r="B21" t="str">
            <v>UPKEEP ESTABLISHMENT AND ESTATE</v>
          </cell>
        </row>
        <row r="22">
          <cell r="B22" t="str">
            <v>SECURITY</v>
          </cell>
        </row>
        <row r="23">
          <cell r="B23" t="str">
            <v>SECURITY INTERNAL - MRP</v>
          </cell>
        </row>
        <row r="24">
          <cell r="B24" t="str">
            <v>SECURITY INTERNAL - DRP</v>
          </cell>
        </row>
        <row r="25">
          <cell r="B25" t="str">
            <v>SECURITY EXTERNAL</v>
          </cell>
        </row>
        <row r="26">
          <cell r="B26" t="str">
            <v>MRP UNIFORM &amp; SAFETY</v>
          </cell>
        </row>
        <row r="27">
          <cell r="B27" t="str">
            <v>DRP UNIFORM &amp; SAFETY</v>
          </cell>
        </row>
        <row r="28">
          <cell r="B28" t="str">
            <v>SECURITY INTERNAL - PW</v>
          </cell>
        </row>
        <row r="29">
          <cell r="B29" t="str">
            <v>SECURITY MOTOR CYCLE/VEHICLE RUNNING COST</v>
          </cell>
        </row>
        <row r="30">
          <cell r="B30" t="str">
            <v>MEDICAL EXPENSE STAFF</v>
          </cell>
        </row>
        <row r="31">
          <cell r="B31" t="str">
            <v>MEDICAL EXPENSES STAFF</v>
          </cell>
        </row>
        <row r="32">
          <cell r="B32" t="str">
            <v>CLINIC COST FOR STAFF</v>
          </cell>
        </row>
        <row r="33">
          <cell r="B33" t="str">
            <v>POWER &amp; WATER STATION</v>
          </cell>
        </row>
        <row r="34">
          <cell r="B34" t="str">
            <v>WATER SUPPLY INTERNAL STAFF</v>
          </cell>
        </row>
        <row r="35">
          <cell r="B35" t="str">
            <v>POWER SUPPLY INTERNAL STAFF</v>
          </cell>
        </row>
        <row r="36">
          <cell r="B36" t="str">
            <v>WATER SUPPLY EXTERNAL STAFF</v>
          </cell>
        </row>
        <row r="37">
          <cell r="B37" t="str">
            <v>POWER SUPPLY EXTERNAL STAFF</v>
          </cell>
        </row>
        <row r="38">
          <cell r="B38" t="str">
            <v>GAS &amp; KEROSENE STAFF</v>
          </cell>
        </row>
        <row r="39">
          <cell r="B39" t="str">
            <v>WELFARE</v>
          </cell>
        </row>
        <row r="40">
          <cell r="B40" t="str">
            <v>STAFF SPORT SOCIAL</v>
          </cell>
        </row>
        <row r="41">
          <cell r="B41" t="str">
            <v>MEDICAL EXPENSES MRP &amp; DRP</v>
          </cell>
        </row>
        <row r="42">
          <cell r="B42" t="str">
            <v>MEDICAL EXPENSES</v>
          </cell>
        </row>
        <row r="43">
          <cell r="B43" t="str">
            <v>CLINIC COST (INCL. CLINIC PERSONAL AND MEDICINE)</v>
          </cell>
        </row>
        <row r="44">
          <cell r="B44" t="str">
            <v xml:space="preserve">UNIFORM &amp; EQUIPMENT </v>
          </cell>
        </row>
        <row r="45">
          <cell r="B45" t="str">
            <v>WELFARE EXPENSES MRP &amp; DRP</v>
          </cell>
        </row>
        <row r="46">
          <cell r="B46" t="str">
            <v>NON STAFF SPORT &amp; SOCIAL</v>
          </cell>
        </row>
        <row r="47">
          <cell r="B47" t="str">
            <v>TEACHER/BILAL/BURIAL ATTENDANT</v>
          </cell>
        </row>
        <row r="48">
          <cell r="B48" t="str">
            <v>CHILD. CRECHE/POSYANDU/WEIGHING RICE/FILM SHOW</v>
          </cell>
        </row>
        <row r="49">
          <cell r="B49" t="str">
            <v>JUBELIUM FOR LENGTH SERVICE</v>
          </cell>
        </row>
        <row r="50">
          <cell r="B50" t="str">
            <v>HARI RAYA EXPENSES</v>
          </cell>
        </row>
        <row r="51">
          <cell r="B51" t="str">
            <v>FRINGE BENEFIT FOR NO ACTIVITY</v>
          </cell>
        </row>
        <row r="52">
          <cell r="B52" t="str">
            <v>UPKEEP LABOUR HOUSING MRP, DRP  &amp; OTHERS</v>
          </cell>
        </row>
        <row r="53">
          <cell r="B53" t="str">
            <v>PAINTING/WHITE WASHING</v>
          </cell>
        </row>
        <row r="54">
          <cell r="B54" t="str">
            <v>RENOVATION/MODIFICATION</v>
          </cell>
        </row>
        <row r="55">
          <cell r="B55" t="str">
            <v>REPAIR AND MAINTENANCE</v>
          </cell>
        </row>
        <row r="56">
          <cell r="B56" t="str">
            <v>WATER &amp; POWER FOR MRP, DRP &amp; OTHERS</v>
          </cell>
        </row>
        <row r="57">
          <cell r="B57" t="str">
            <v>WATER SUPPLY INTERNAL</v>
          </cell>
        </row>
        <row r="58">
          <cell r="B58" t="str">
            <v>POWER SUPPLY INTERNAL</v>
          </cell>
        </row>
        <row r="59">
          <cell r="B59" t="str">
            <v>WATER SUPPLY EXTERNAL</v>
          </cell>
        </row>
        <row r="60">
          <cell r="B60" t="str">
            <v>POWER SUPPLY EXTERNAL</v>
          </cell>
        </row>
        <row r="61">
          <cell r="B61" t="str">
            <v>FELLING/CLEARING.</v>
          </cell>
        </row>
        <row r="62">
          <cell r="B62" t="str">
            <v>FELLING/CLEARING /LEVELLING/UPROOTING/STACKING</v>
          </cell>
        </row>
        <row r="63">
          <cell r="B63" t="str">
            <v>RIPPING/PLOUGHING/HARROWING/COLLECTING ROOT</v>
          </cell>
        </row>
        <row r="64">
          <cell r="B64" t="str">
            <v>POISONING STUMP</v>
          </cell>
        </row>
        <row r="65">
          <cell r="B65" t="str">
            <v>SPRAYING NOXIOUS WEEDS/GROWTH</v>
          </cell>
        </row>
        <row r="66">
          <cell r="B66" t="str">
            <v>LINING FOR WINDROWING</v>
          </cell>
        </row>
        <row r="67">
          <cell r="B67" t="str">
            <v>WEEDING/LALANG</v>
          </cell>
        </row>
        <row r="68">
          <cell r="B68" t="str">
            <v>MANUAL WEEDING</v>
          </cell>
        </row>
        <row r="69">
          <cell r="B69" t="str">
            <v>SPRAYING WEEDS/BROAD LEAF</v>
          </cell>
        </row>
        <row r="70">
          <cell r="B70" t="str">
            <v>SPRAYING CIRCLE/STRIP</v>
          </cell>
        </row>
        <row r="71">
          <cell r="B71" t="str">
            <v>SLASHING LOWLAND</v>
          </cell>
        </row>
        <row r="72">
          <cell r="B72" t="str">
            <v>CONTROLLING/ERADICATING LALANG</v>
          </cell>
        </row>
        <row r="73">
          <cell r="B73" t="str">
            <v>UPKEEP SUPPLYING</v>
          </cell>
        </row>
        <row r="74">
          <cell r="B74" t="str">
            <v>ROAD/BRIDGES</v>
          </cell>
        </row>
        <row r="75">
          <cell r="B75" t="str">
            <v>MAKING MAIN ROAD</v>
          </cell>
        </row>
        <row r="76">
          <cell r="B76" t="str">
            <v>MAKING COLLECTION ROAD</v>
          </cell>
        </row>
        <row r="77">
          <cell r="B77" t="str">
            <v>MAKING TEMPORARY BRIDGE</v>
          </cell>
        </row>
        <row r="78">
          <cell r="B78" t="str">
            <v>CONSTRUCTING CULVERT/WALL</v>
          </cell>
        </row>
        <row r="79">
          <cell r="B79" t="str">
            <v>UPKEEP MAIN ROAD</v>
          </cell>
        </row>
        <row r="80">
          <cell r="B80" t="str">
            <v>UPKEEP COLLECTION ROAD</v>
          </cell>
        </row>
        <row r="81">
          <cell r="B81" t="str">
            <v>UPKEEP BRIDGE</v>
          </cell>
        </row>
        <row r="82">
          <cell r="B82" t="str">
            <v>UPKEEP CULVERT/WALL</v>
          </cell>
        </row>
        <row r="83">
          <cell r="B83" t="str">
            <v>SOIL/WATER CONSERVATION</v>
          </cell>
        </row>
        <row r="84">
          <cell r="B84" t="str">
            <v>MAKING TERRACE</v>
          </cell>
        </row>
        <row r="85">
          <cell r="B85" t="str">
            <v>MAKING PLATFORM</v>
          </cell>
        </row>
        <row r="86">
          <cell r="B86" t="str">
            <v>MAKING WATERGATE</v>
          </cell>
        </row>
        <row r="87">
          <cell r="B87" t="str">
            <v>MAKING SILT PIT</v>
          </cell>
        </row>
        <row r="88">
          <cell r="B88" t="str">
            <v>MAKING STOP/WASH BUNDS</v>
          </cell>
        </row>
        <row r="89">
          <cell r="B89" t="str">
            <v>UPKEEP TERRACE</v>
          </cell>
        </row>
        <row r="90">
          <cell r="B90" t="str">
            <v>UPKEEP PLATFORM</v>
          </cell>
        </row>
        <row r="91">
          <cell r="B91" t="str">
            <v>UPKEEP WATERGATE</v>
          </cell>
        </row>
        <row r="92">
          <cell r="B92" t="str">
            <v>UPKEEP SILT PIT</v>
          </cell>
        </row>
        <row r="93">
          <cell r="B93" t="str">
            <v>UPKEEP STOP/WASH BUNDS</v>
          </cell>
        </row>
        <row r="94">
          <cell r="B94" t="str">
            <v>DRAINS</v>
          </cell>
        </row>
        <row r="95">
          <cell r="B95" t="str">
            <v>MAKING OUTLET DRAIN</v>
          </cell>
        </row>
        <row r="96">
          <cell r="B96" t="str">
            <v>MAKING MAIN DRAIN</v>
          </cell>
        </row>
        <row r="97">
          <cell r="B97" t="str">
            <v>MAKING COLLECTION DRAIN</v>
          </cell>
        </row>
        <row r="98">
          <cell r="B98" t="str">
            <v>MAKING SUBSIDIARY DRAIN</v>
          </cell>
        </row>
        <row r="99">
          <cell r="B99" t="str">
            <v>UPKEEP MAIN DRAIN</v>
          </cell>
        </row>
        <row r="100">
          <cell r="B100" t="str">
            <v>UPKEEP COLLECTION DRAIN</v>
          </cell>
        </row>
        <row r="101">
          <cell r="B101" t="str">
            <v>UPKEEP SUBSIDIARY DRAIN</v>
          </cell>
        </row>
        <row r="102">
          <cell r="B102" t="str">
            <v>UPKEEP RIVER</v>
          </cell>
        </row>
        <row r="103">
          <cell r="B103" t="str">
            <v>BOUNDARIES/SURVEY</v>
          </cell>
        </row>
        <row r="104">
          <cell r="B104" t="str">
            <v>AREA SURVEY</v>
          </cell>
        </row>
        <row r="105">
          <cell r="B105" t="str">
            <v>MAKING BOUNDARIES</v>
          </cell>
        </row>
        <row r="106">
          <cell r="B106" t="str">
            <v>UPKEEP BOUNDARIES</v>
          </cell>
        </row>
        <row r="107">
          <cell r="B107" t="str">
            <v>SHADE/COVER CROPS</v>
          </cell>
        </row>
        <row r="108">
          <cell r="B108" t="str">
            <v>PLANTING &amp; SUPLLYING  SHADE/LEGIUM COVER CROP</v>
          </cell>
        </row>
        <row r="109">
          <cell r="B109" t="str">
            <v>SHADE MANIPULATION</v>
          </cell>
        </row>
        <row r="110">
          <cell r="B110" t="str">
            <v>LINING/HOLING/PLANTING</v>
          </cell>
        </row>
        <row r="111">
          <cell r="B111" t="str">
            <v>COLLECTING/FILLING SOIL</v>
          </cell>
        </row>
        <row r="112">
          <cell r="B112" t="str">
            <v>PLANTING (SEED,SEEDLING,TREES, GERMINATING BED)</v>
          </cell>
        </row>
        <row r="113">
          <cell r="B113" t="str">
            <v>BUDDING</v>
          </cell>
        </row>
        <row r="114">
          <cell r="B114" t="str">
            <v>CUT BACK</v>
          </cell>
        </row>
        <row r="115">
          <cell r="B115" t="str">
            <v>TRANSPLANTING</v>
          </cell>
        </row>
        <row r="116">
          <cell r="B116" t="str">
            <v>SELECTION (CULLING)</v>
          </cell>
        </row>
        <row r="117">
          <cell r="B117" t="str">
            <v>ARRANGING/SPACING POLYBAGS</v>
          </cell>
        </row>
        <row r="118">
          <cell r="B118" t="str">
            <v xml:space="preserve">WATERING/MULCHING </v>
          </cell>
        </row>
        <row r="119">
          <cell r="B119" t="str">
            <v>LINING</v>
          </cell>
        </row>
        <row r="120">
          <cell r="B120" t="str">
            <v>HOLING</v>
          </cell>
        </row>
        <row r="121">
          <cell r="B121" t="str">
            <v>DISTRIBUTING SEEDLING TO FIELD</v>
          </cell>
        </row>
        <row r="122">
          <cell r="B122" t="str">
            <v>CONSOLIDATING &amp; CHECKING ABNORMAL TREES</v>
          </cell>
        </row>
        <row r="123">
          <cell r="B123" t="str">
            <v>CENCUS/THINNING /SUPPLYING</v>
          </cell>
        </row>
        <row r="124">
          <cell r="B124" t="str">
            <v>SUPPLYING/INFILLING/REJUVENATION</v>
          </cell>
        </row>
        <row r="125">
          <cell r="B125" t="str">
            <v>CENCUS TREES</v>
          </cell>
        </row>
        <row r="126">
          <cell r="B126" t="str">
            <v>THINNING</v>
          </cell>
        </row>
        <row r="127">
          <cell r="B127" t="str">
            <v>FORECASTING CROP</v>
          </cell>
        </row>
        <row r="128">
          <cell r="B128" t="str">
            <v>RETASKING</v>
          </cell>
        </row>
        <row r="129">
          <cell r="B129" t="str">
            <v>BUNCH WEIGHT /GIRTH MEASUREMENT</v>
          </cell>
        </row>
        <row r="130">
          <cell r="B130" t="str">
            <v>PRUNING/INDUCTION/DANITATION</v>
          </cell>
        </row>
        <row r="131">
          <cell r="B131" t="str">
            <v>PRUNING</v>
          </cell>
        </row>
        <row r="132">
          <cell r="B132" t="str">
            <v>WATER SHOOT PRUNING</v>
          </cell>
        </row>
        <row r="133">
          <cell r="B133" t="str">
            <v>CORRECTIVE/FORMATION PRUNING</v>
          </cell>
        </row>
        <row r="134">
          <cell r="B134" t="str">
            <v>LEAF FOLDING/TOP PRUNING</v>
          </cell>
        </row>
        <row r="135">
          <cell r="B135" t="str">
            <v>SANITATION OF PALM TRUNKS</v>
          </cell>
        </row>
        <row r="136">
          <cell r="B136" t="str">
            <v>PEST &amp; DISEASES</v>
          </cell>
        </row>
        <row r="137">
          <cell r="B137" t="str">
            <v>PEST DETECTION/CENSUS</v>
          </cell>
        </row>
        <row r="138">
          <cell r="B138" t="str">
            <v>DISEASE DETECTION/CENSUS</v>
          </cell>
        </row>
        <row r="139">
          <cell r="B139" t="str">
            <v>LEAF PESTS CONTROL/TREATMENT</v>
          </cell>
        </row>
        <row r="140">
          <cell r="B140" t="str">
            <v>LEAF DISEASES CONTROL/TREATMENT</v>
          </cell>
        </row>
        <row r="141">
          <cell r="B141" t="str">
            <v>CPB/HELOPELTIS CONTROL/TREATMENT</v>
          </cell>
        </row>
        <row r="142">
          <cell r="B142" t="str">
            <v>POD/BUNCH DISEASES CONTROL/TREATMENT</v>
          </cell>
        </row>
        <row r="143">
          <cell r="B143" t="str">
            <v>TRUNK/PANEL DISEASES CONTROL/TREATMENT</v>
          </cell>
        </row>
        <row r="144">
          <cell r="B144" t="str">
            <v>ROOT DISEASE CONTROL/TREATMENT</v>
          </cell>
        </row>
        <row r="145">
          <cell r="B145" t="str">
            <v>WIND DAMAGE</v>
          </cell>
        </row>
        <row r="146">
          <cell r="B146" t="str">
            <v>MEALY BUGS/BLACK ANTS</v>
          </cell>
        </row>
        <row r="147">
          <cell r="B147" t="str">
            <v>ORYCTES CONTROL/TREATMENT</v>
          </cell>
        </row>
        <row r="148">
          <cell r="B148" t="str">
            <v>MAMALIAN / FIRE CONTROL</v>
          </cell>
        </row>
        <row r="149">
          <cell r="B149" t="str">
            <v>UPKEEP BENEFICIAL WEEDS</v>
          </cell>
        </row>
        <row r="150">
          <cell r="B150" t="str">
            <v>SANITATION</v>
          </cell>
        </row>
        <row r="151">
          <cell r="B151" t="str">
            <v>RAT CONTROL</v>
          </cell>
        </row>
        <row r="152">
          <cell r="B152" t="str">
            <v>STIMULATION/CASTRATION</v>
          </cell>
        </row>
        <row r="153">
          <cell r="B153" t="str">
            <v>STIMULATION</v>
          </cell>
        </row>
        <row r="154">
          <cell r="B154" t="str">
            <v>CASTRATION/ABLATION</v>
          </cell>
        </row>
        <row r="155">
          <cell r="B155" t="str">
            <v>MANURING</v>
          </cell>
        </row>
        <row r="156">
          <cell r="B156" t="str">
            <v>LEAF  SAMPLING</v>
          </cell>
        </row>
        <row r="157">
          <cell r="B157" t="str">
            <v>EFB APPLICATION</v>
          </cell>
        </row>
        <row r="158">
          <cell r="B158" t="str">
            <v xml:space="preserve">NURSERY FERTILISER APPLICATION </v>
          </cell>
        </row>
        <row r="159">
          <cell r="B159" t="str">
            <v>COVER CROP FERTILISER APPLICATION</v>
          </cell>
        </row>
        <row r="160">
          <cell r="B160" t="str">
            <v>MIXING WITH COMPOST/COWDUNG/POME</v>
          </cell>
        </row>
        <row r="161">
          <cell r="B161" t="str">
            <v>MANURING HOLE</v>
          </cell>
        </row>
        <row r="162">
          <cell r="B162" t="str">
            <v>COMPOST APPLICATION</v>
          </cell>
        </row>
        <row r="163">
          <cell r="B163" t="str">
            <v>FERTILISER APPLICATION</v>
          </cell>
        </row>
        <row r="164">
          <cell r="B164" t="str">
            <v>FOLIAR APPLICATION</v>
          </cell>
        </row>
        <row r="165">
          <cell r="B165" t="str">
            <v>POME APPLICATION</v>
          </cell>
        </row>
        <row r="166">
          <cell r="B166" t="str">
            <v>FOOT BRIDGE/PATHS</v>
          </cell>
        </row>
        <row r="167">
          <cell r="B167" t="str">
            <v>MAKING/FIXING FOOT BRIDGE</v>
          </cell>
        </row>
        <row r="168">
          <cell r="B168" t="str">
            <v>MAKING PATHS AND COLLECTING POINT</v>
          </cell>
        </row>
        <row r="169">
          <cell r="B169" t="str">
            <v>UPKEEP FOOT BRIDGE</v>
          </cell>
        </row>
        <row r="170">
          <cell r="B170" t="str">
            <v>UPKEEP PATHS AND COLLECTING POINT</v>
          </cell>
        </row>
        <row r="171">
          <cell r="B171" t="str">
            <v>RESEARCH CHARGES</v>
          </cell>
        </row>
        <row r="172">
          <cell r="B172" t="str">
            <v>RESEARCH CHARGE</v>
          </cell>
        </row>
        <row r="173">
          <cell r="B173" t="str">
            <v>LEASED PLASMA PAYMENT</v>
          </cell>
        </row>
        <row r="174">
          <cell r="B174" t="str">
            <v>LEASED PLASMA PAYMENT</v>
          </cell>
        </row>
        <row r="175">
          <cell r="B175" t="str">
            <v>BORROWING COST</v>
          </cell>
        </row>
        <row r="176">
          <cell r="B176" t="str">
            <v>BORROWING COST - PLANTING CAPEX</v>
          </cell>
        </row>
        <row r="177">
          <cell r="B177" t="str">
            <v>BORROWING COST - LAND ACQUISITION</v>
          </cell>
        </row>
        <row r="178">
          <cell r="B178" t="str">
            <v>HARVESTING/COLLECTION</v>
          </cell>
        </row>
        <row r="179">
          <cell r="B179" t="str">
            <v>HARVESTING/TAPPING/PLUCKING</v>
          </cell>
        </row>
        <row r="180">
          <cell r="B180" t="str">
            <v>LOOSE FRUIT/LUMP/FINE LEAF &lt; 65%</v>
          </cell>
        </row>
        <row r="181">
          <cell r="B181" t="str">
            <v>SUNDAY/HOLIDAY/LEAVE HARVESTING/TAPPING/PLUCKING</v>
          </cell>
        </row>
        <row r="182">
          <cell r="B182" t="str">
            <v>SUNDAY/HOLIDAY/LEAVE LOOSE FRUIT/LUMP/FINE LEAF &lt; 65%</v>
          </cell>
        </row>
        <row r="183">
          <cell r="B183" t="str">
            <v>SUPERVISION IN CHARGE</v>
          </cell>
        </row>
        <row r="184">
          <cell r="B184" t="str">
            <v>RECEIVING ATTENDANTS</v>
          </cell>
        </row>
        <row r="185">
          <cell r="B185" t="str">
            <v>LOADING/UNLOADING CROP</v>
          </cell>
        </row>
        <row r="186">
          <cell r="B186" t="str">
            <v xml:space="preserve">NEW TAPPING  </v>
          </cell>
        </row>
        <row r="187">
          <cell r="B187" t="str">
            <v>RESEACH EXPENSES</v>
          </cell>
        </row>
        <row r="188">
          <cell r="B188" t="str">
            <v>RESEARCH EXPENSES</v>
          </cell>
        </row>
        <row r="189">
          <cell r="B189" t="str">
            <v>FEES</v>
          </cell>
        </row>
        <row r="190">
          <cell r="B190" t="str">
            <v>CONSULTANT (ACCOMODATION ONLY)</v>
          </cell>
        </row>
        <row r="191">
          <cell r="B191" t="str">
            <v>EXTERNAL AUDIT (ACCOMODATION ONLY)</v>
          </cell>
        </row>
        <row r="192">
          <cell r="B192" t="str">
            <v>CESSES/INSURANCE</v>
          </cell>
        </row>
        <row r="193">
          <cell r="B193" t="str">
            <v xml:space="preserve">LICENSES  </v>
          </cell>
        </row>
        <row r="194">
          <cell r="B194" t="str">
            <v>INSURANCE</v>
          </cell>
        </row>
        <row r="195">
          <cell r="B195" t="str">
            <v>PBB</v>
          </cell>
        </row>
        <row r="196">
          <cell r="B196" t="str">
            <v>BUILDING REPAIR AND MAINTENANCE</v>
          </cell>
        </row>
        <row r="197">
          <cell r="B197" t="str">
            <v>PAINTING/WHITE WASHING</v>
          </cell>
        </row>
        <row r="198">
          <cell r="B198" t="str">
            <v>RENOVATION/MODIFICATION</v>
          </cell>
        </row>
        <row r="199">
          <cell r="B199" t="str">
            <v>REPAIR AND MAINTENANCE</v>
          </cell>
        </row>
        <row r="200">
          <cell r="B200" t="str">
            <v>SUNDRY EXPENSES</v>
          </cell>
        </row>
        <row r="201">
          <cell r="B201" t="str">
            <v>TRAVEL LOCAL</v>
          </cell>
        </row>
        <row r="202">
          <cell r="B202" t="str">
            <v>ACCOMODATION</v>
          </cell>
        </row>
        <row r="203">
          <cell r="B203" t="str">
            <v>LEGAL</v>
          </cell>
        </row>
        <row r="204">
          <cell r="B204" t="str">
            <v>DONATION</v>
          </cell>
        </row>
        <row r="205">
          <cell r="B205" t="str">
            <v>BUNDS &amp; WATERGATE</v>
          </cell>
        </row>
        <row r="206">
          <cell r="B206" t="str">
            <v>UPKEEP BUND &amp; WATERGATE</v>
          </cell>
        </row>
        <row r="207">
          <cell r="B207" t="str">
            <v>TRAINING EXPENSES</v>
          </cell>
        </row>
        <row r="208">
          <cell r="B208" t="str">
            <v>TRAINING AND EDUCATION</v>
          </cell>
        </row>
        <row r="209">
          <cell r="B209" t="str">
            <v>ACCOMODATION</v>
          </cell>
        </row>
        <row r="210">
          <cell r="B210" t="str">
            <v>OFFICE SUPPLIES/STATIONERY</v>
          </cell>
        </row>
        <row r="211">
          <cell r="B211" t="str">
            <v>ENVIRONMENTAL, HEALTH AND SAFETY</v>
          </cell>
        </row>
        <row r="212">
          <cell r="B212" t="str">
            <v xml:space="preserve">HEALTH AND SAFETY - PREVENTIVE </v>
          </cell>
        </row>
        <row r="213">
          <cell r="B213" t="str">
            <v>HEALTH AND SAFETY - CORRECTIVE</v>
          </cell>
        </row>
        <row r="214">
          <cell r="B214" t="str">
            <v>ENVIRONMENTAL - MONITORING</v>
          </cell>
        </row>
        <row r="215">
          <cell r="B215" t="str">
            <v>ENVIRONMENTAL - PROGRAM</v>
          </cell>
        </row>
        <row r="216">
          <cell r="B216" t="str">
            <v>ENVIRONMENTAL - LICENSES</v>
          </cell>
        </row>
        <row r="217">
          <cell r="B217" t="str">
            <v>PROCESING</v>
          </cell>
        </row>
        <row r="218">
          <cell r="B218" t="str">
            <v>PROCESSING</v>
          </cell>
        </row>
        <row r="219">
          <cell r="B219" t="str">
            <v>INSPECTION EXPENSES</v>
          </cell>
        </row>
        <row r="220">
          <cell r="B220" t="str">
            <v>MAINTENANCE</v>
          </cell>
        </row>
        <row r="221">
          <cell r="B221" t="str">
            <v>PREVENTIVE MAINTENANCE</v>
          </cell>
        </row>
        <row r="222">
          <cell r="B222" t="str">
            <v>BREAKDOWN MAINTENANCE</v>
          </cell>
        </row>
        <row r="223">
          <cell r="B223" t="str">
            <v>BREAKDOWN MAINTENANCE - CONTRACT</v>
          </cell>
        </row>
        <row r="224">
          <cell r="B224" t="str">
            <v>POWER &amp; WATER</v>
          </cell>
        </row>
        <row r="225">
          <cell r="B225" t="str">
            <v>EXTERNAL ELECTRICITY</v>
          </cell>
        </row>
        <row r="226">
          <cell r="B226" t="str">
            <v>INTERNAL ELECTRICITY</v>
          </cell>
        </row>
        <row r="227">
          <cell r="B227" t="str">
            <v>EXTERNAL WATER</v>
          </cell>
        </row>
        <row r="228">
          <cell r="B228" t="str">
            <v>INTERNAL WATER</v>
          </cell>
        </row>
        <row r="229">
          <cell r="B229" t="str">
            <v>MANDORE UC &amp; HC</v>
          </cell>
        </row>
        <row r="230">
          <cell r="B230" t="str">
            <v>HARVESTING &amp; COLLECTION MANDORE</v>
          </cell>
        </row>
        <row r="231">
          <cell r="B231" t="str">
            <v>UPKEEP AND CULTIVATION MANDORE</v>
          </cell>
        </row>
        <row r="232">
          <cell r="B232" t="str">
            <v>RECEIVING ATTENDANTS</v>
          </cell>
        </row>
      </sheetData>
      <sheetData sheetId="16"/>
      <sheetData sheetId="17"/>
      <sheetData sheetId="18">
        <row r="7">
          <cell r="B7" t="str">
            <v>A/1</v>
          </cell>
          <cell r="C7">
            <v>2868289</v>
          </cell>
          <cell r="D7">
            <v>90000</v>
          </cell>
          <cell r="E7">
            <v>2958289</v>
          </cell>
          <cell r="F7">
            <v>173</v>
          </cell>
          <cell r="G7">
            <v>17099.93641618497</v>
          </cell>
        </row>
        <row r="8">
          <cell r="B8" t="str">
            <v>A/2</v>
          </cell>
          <cell r="C8">
            <v>2943869</v>
          </cell>
          <cell r="D8">
            <v>90000</v>
          </cell>
          <cell r="E8">
            <v>3033869</v>
          </cell>
          <cell r="F8">
            <v>173</v>
          </cell>
          <cell r="G8">
            <v>17536.815028901736</v>
          </cell>
        </row>
        <row r="9">
          <cell r="B9" t="str">
            <v>A/3</v>
          </cell>
          <cell r="C9">
            <v>3018730</v>
          </cell>
          <cell r="D9">
            <v>90000</v>
          </cell>
          <cell r="E9">
            <v>3108730</v>
          </cell>
          <cell r="F9">
            <v>173</v>
          </cell>
          <cell r="G9">
            <v>17969.537572254336</v>
          </cell>
        </row>
        <row r="10">
          <cell r="B10" t="str">
            <v>A/4</v>
          </cell>
          <cell r="C10">
            <v>3094333</v>
          </cell>
          <cell r="D10">
            <v>90000</v>
          </cell>
          <cell r="E10">
            <v>3184333</v>
          </cell>
          <cell r="F10">
            <v>173</v>
          </cell>
          <cell r="G10">
            <v>18406.549132947977</v>
          </cell>
        </row>
        <row r="11">
          <cell r="B11" t="str">
            <v>A/5</v>
          </cell>
          <cell r="C11">
            <v>3169095</v>
          </cell>
          <cell r="D11">
            <v>90000</v>
          </cell>
          <cell r="E11">
            <v>3259095</v>
          </cell>
          <cell r="F11">
            <v>173</v>
          </cell>
          <cell r="G11">
            <v>18838.699421965317</v>
          </cell>
        </row>
        <row r="12">
          <cell r="B12" t="str">
            <v>B/1</v>
          </cell>
          <cell r="C12">
            <v>2246981</v>
          </cell>
          <cell r="D12">
            <v>90000</v>
          </cell>
          <cell r="E12">
            <v>2336981</v>
          </cell>
          <cell r="F12">
            <v>173</v>
          </cell>
          <cell r="G12">
            <v>13508.560693641619</v>
          </cell>
        </row>
        <row r="13">
          <cell r="B13" t="str">
            <v>B/2</v>
          </cell>
          <cell r="C13">
            <v>2322639</v>
          </cell>
          <cell r="D13">
            <v>90000</v>
          </cell>
          <cell r="E13">
            <v>2412639</v>
          </cell>
          <cell r="F13">
            <v>173</v>
          </cell>
          <cell r="G13">
            <v>13945.890173410404</v>
          </cell>
        </row>
        <row r="14">
          <cell r="B14" t="str">
            <v>B/3</v>
          </cell>
          <cell r="C14">
            <v>2397395</v>
          </cell>
          <cell r="D14">
            <v>90000</v>
          </cell>
          <cell r="E14">
            <v>2487395</v>
          </cell>
          <cell r="F14">
            <v>173</v>
          </cell>
          <cell r="G14">
            <v>14378.005780346821</v>
          </cell>
        </row>
        <row r="15">
          <cell r="B15" t="str">
            <v>B/4</v>
          </cell>
          <cell r="C15">
            <v>2473064</v>
          </cell>
          <cell r="D15">
            <v>90000</v>
          </cell>
          <cell r="E15">
            <v>2563064</v>
          </cell>
          <cell r="F15">
            <v>173</v>
          </cell>
          <cell r="G15">
            <v>14815.398843930636</v>
          </cell>
        </row>
        <row r="16">
          <cell r="B16" t="str">
            <v>B/5</v>
          </cell>
          <cell r="C16">
            <v>2547815</v>
          </cell>
          <cell r="D16">
            <v>90000</v>
          </cell>
          <cell r="E16">
            <v>2637815</v>
          </cell>
          <cell r="F16">
            <v>173</v>
          </cell>
          <cell r="G16">
            <v>15247.485549132947</v>
          </cell>
        </row>
        <row r="17">
          <cell r="B17" t="str">
            <v>B/6</v>
          </cell>
          <cell r="C17">
            <v>2623346</v>
          </cell>
          <cell r="D17">
            <v>90000</v>
          </cell>
          <cell r="E17">
            <v>2713346</v>
          </cell>
          <cell r="F17">
            <v>173</v>
          </cell>
          <cell r="G17">
            <v>15684.080924855491</v>
          </cell>
        </row>
        <row r="18">
          <cell r="B18" t="str">
            <v>B/7</v>
          </cell>
          <cell r="C18">
            <v>2697976</v>
          </cell>
          <cell r="D18">
            <v>90000</v>
          </cell>
          <cell r="E18">
            <v>2787976</v>
          </cell>
          <cell r="F18">
            <v>173</v>
          </cell>
          <cell r="G18">
            <v>16115.468208092485</v>
          </cell>
        </row>
        <row r="19">
          <cell r="B19" t="str">
            <v>C/1</v>
          </cell>
          <cell r="C19">
            <v>1879625</v>
          </cell>
          <cell r="D19">
            <v>90000</v>
          </cell>
          <cell r="E19">
            <v>1969625</v>
          </cell>
          <cell r="F19">
            <v>173</v>
          </cell>
          <cell r="G19">
            <v>11385.115606936417</v>
          </cell>
        </row>
        <row r="20">
          <cell r="B20" t="str">
            <v>C/2</v>
          </cell>
          <cell r="C20">
            <v>1917883</v>
          </cell>
          <cell r="D20">
            <v>90000</v>
          </cell>
          <cell r="E20">
            <v>2007883</v>
          </cell>
          <cell r="F20">
            <v>173</v>
          </cell>
          <cell r="G20">
            <v>11606.260115606936</v>
          </cell>
        </row>
        <row r="21">
          <cell r="B21" t="str">
            <v>C/3</v>
          </cell>
          <cell r="C21">
            <v>1955547</v>
          </cell>
          <cell r="D21">
            <v>90000</v>
          </cell>
          <cell r="E21">
            <v>2045547</v>
          </cell>
          <cell r="F21">
            <v>173</v>
          </cell>
          <cell r="G21">
            <v>11823.971098265896</v>
          </cell>
        </row>
        <row r="22">
          <cell r="B22" t="str">
            <v>C/4</v>
          </cell>
          <cell r="C22">
            <v>1994047</v>
          </cell>
          <cell r="D22">
            <v>90000</v>
          </cell>
          <cell r="E22">
            <v>2084047</v>
          </cell>
          <cell r="F22">
            <v>173</v>
          </cell>
          <cell r="G22">
            <v>12046.514450867053</v>
          </cell>
        </row>
        <row r="23">
          <cell r="B23" t="str">
            <v>C/5</v>
          </cell>
          <cell r="C23">
            <v>2032586</v>
          </cell>
          <cell r="D23">
            <v>90000</v>
          </cell>
          <cell r="E23">
            <v>2122586</v>
          </cell>
          <cell r="F23">
            <v>173</v>
          </cell>
          <cell r="G23">
            <v>12269.283236994219</v>
          </cell>
        </row>
        <row r="24">
          <cell r="B24" t="str">
            <v>C/6</v>
          </cell>
          <cell r="C24">
            <v>2070954</v>
          </cell>
          <cell r="D24">
            <v>90000</v>
          </cell>
          <cell r="E24">
            <v>2160954</v>
          </cell>
          <cell r="F24">
            <v>173</v>
          </cell>
          <cell r="G24">
            <v>12491.063583815028</v>
          </cell>
        </row>
        <row r="25">
          <cell r="B25" t="str">
            <v>C/7</v>
          </cell>
          <cell r="C25">
            <v>2108832</v>
          </cell>
          <cell r="D25">
            <v>90000</v>
          </cell>
          <cell r="E25">
            <v>2198832</v>
          </cell>
          <cell r="F25">
            <v>173</v>
          </cell>
          <cell r="G25">
            <v>12710.011560693642</v>
          </cell>
        </row>
        <row r="26">
          <cell r="B26" t="str">
            <v>D/1</v>
          </cell>
          <cell r="C26">
            <v>1645358</v>
          </cell>
          <cell r="D26">
            <v>90000</v>
          </cell>
          <cell r="E26">
            <v>1735358</v>
          </cell>
          <cell r="F26">
            <v>173</v>
          </cell>
          <cell r="G26">
            <v>10030.971098265896</v>
          </cell>
        </row>
        <row r="27">
          <cell r="B27" t="str">
            <v>D/2</v>
          </cell>
          <cell r="C27">
            <v>1668150</v>
          </cell>
          <cell r="D27">
            <v>90000</v>
          </cell>
          <cell r="E27">
            <v>1758150</v>
          </cell>
          <cell r="F27">
            <v>173</v>
          </cell>
          <cell r="G27">
            <v>10162.716763005781</v>
          </cell>
        </row>
        <row r="28">
          <cell r="B28" t="str">
            <v>D/3</v>
          </cell>
          <cell r="C28">
            <v>1690970</v>
          </cell>
          <cell r="D28">
            <v>90000</v>
          </cell>
          <cell r="E28">
            <v>1780970</v>
          </cell>
          <cell r="F28">
            <v>173</v>
          </cell>
          <cell r="G28">
            <v>10294.624277456647</v>
          </cell>
        </row>
        <row r="29">
          <cell r="B29" t="str">
            <v>D/4</v>
          </cell>
          <cell r="C29">
            <v>1714042</v>
          </cell>
          <cell r="D29">
            <v>90000</v>
          </cell>
          <cell r="E29">
            <v>1804042</v>
          </cell>
          <cell r="F29">
            <v>173</v>
          </cell>
          <cell r="G29">
            <v>10427.988439306358</v>
          </cell>
        </row>
        <row r="30">
          <cell r="B30" t="str">
            <v>D/5</v>
          </cell>
          <cell r="C30">
            <v>1737274</v>
          </cell>
          <cell r="D30">
            <v>90000</v>
          </cell>
          <cell r="E30">
            <v>1827274</v>
          </cell>
          <cell r="F30">
            <v>173</v>
          </cell>
          <cell r="G30">
            <v>10562.277456647398</v>
          </cell>
        </row>
        <row r="31">
          <cell r="B31" t="str">
            <v>D/6</v>
          </cell>
          <cell r="C31">
            <v>1759780</v>
          </cell>
          <cell r="D31">
            <v>90000</v>
          </cell>
          <cell r="E31">
            <v>1849780</v>
          </cell>
          <cell r="F31">
            <v>173</v>
          </cell>
          <cell r="G31">
            <v>10692.369942196532</v>
          </cell>
        </row>
        <row r="32">
          <cell r="B32" t="str">
            <v>D/7</v>
          </cell>
          <cell r="C32">
            <v>1782572</v>
          </cell>
          <cell r="D32">
            <v>90000</v>
          </cell>
          <cell r="E32">
            <v>1872572</v>
          </cell>
          <cell r="F32">
            <v>173</v>
          </cell>
          <cell r="G32">
            <v>10824.115606936417</v>
          </cell>
        </row>
        <row r="33">
          <cell r="B33" t="str">
            <v>E/1</v>
          </cell>
          <cell r="C33">
            <v>1501115</v>
          </cell>
          <cell r="D33">
            <v>90000</v>
          </cell>
          <cell r="E33">
            <v>1591115</v>
          </cell>
          <cell r="F33">
            <v>173</v>
          </cell>
          <cell r="G33">
            <v>9197.1965317919075</v>
          </cell>
        </row>
        <row r="34">
          <cell r="B34" t="str">
            <v>E/2</v>
          </cell>
          <cell r="C34">
            <v>1516350</v>
          </cell>
          <cell r="D34">
            <v>90000</v>
          </cell>
          <cell r="E34">
            <v>1606350</v>
          </cell>
          <cell r="F34">
            <v>173</v>
          </cell>
          <cell r="G34">
            <v>9285.2601156069359</v>
          </cell>
        </row>
        <row r="35">
          <cell r="B35" t="str">
            <v>E/3</v>
          </cell>
          <cell r="C35">
            <v>1532278</v>
          </cell>
          <cell r="D35">
            <v>90000</v>
          </cell>
          <cell r="E35">
            <v>1622278</v>
          </cell>
          <cell r="F35">
            <v>173</v>
          </cell>
          <cell r="G35">
            <v>9377.3294797687868</v>
          </cell>
        </row>
        <row r="36">
          <cell r="B36" t="str">
            <v>E/4</v>
          </cell>
          <cell r="C36">
            <v>1547706</v>
          </cell>
          <cell r="D36">
            <v>90000</v>
          </cell>
          <cell r="E36">
            <v>1637706</v>
          </cell>
          <cell r="F36">
            <v>173</v>
          </cell>
          <cell r="G36">
            <v>9466.508670520232</v>
          </cell>
        </row>
        <row r="37">
          <cell r="B37" t="str">
            <v>E/5</v>
          </cell>
          <cell r="C37">
            <v>1563529</v>
          </cell>
          <cell r="D37">
            <v>90000</v>
          </cell>
          <cell r="E37">
            <v>1653529</v>
          </cell>
          <cell r="F37">
            <v>173</v>
          </cell>
          <cell r="G37">
            <v>9557.9710982658962</v>
          </cell>
        </row>
        <row r="38">
          <cell r="B38" t="str">
            <v>E/6</v>
          </cell>
          <cell r="C38">
            <v>1578555</v>
          </cell>
          <cell r="D38">
            <v>90000</v>
          </cell>
          <cell r="E38">
            <v>1668555</v>
          </cell>
          <cell r="F38">
            <v>173</v>
          </cell>
          <cell r="G38">
            <v>9644.8265895953755</v>
          </cell>
        </row>
        <row r="39">
          <cell r="B39" t="str">
            <v>E/7</v>
          </cell>
          <cell r="C39">
            <v>1594566</v>
          </cell>
          <cell r="D39">
            <v>90000</v>
          </cell>
          <cell r="E39">
            <v>1684566</v>
          </cell>
          <cell r="F39">
            <v>173</v>
          </cell>
          <cell r="G39">
            <v>9737.3757225433528</v>
          </cell>
        </row>
        <row r="40">
          <cell r="B40" t="str">
            <v>F/1</v>
          </cell>
          <cell r="C40">
            <v>1410805</v>
          </cell>
          <cell r="D40">
            <v>90000</v>
          </cell>
          <cell r="E40">
            <v>1500805</v>
          </cell>
          <cell r="F40">
            <v>173</v>
          </cell>
          <cell r="G40">
            <v>8675.1734104046245</v>
          </cell>
        </row>
        <row r="41">
          <cell r="B41" t="str">
            <v>F/2</v>
          </cell>
          <cell r="C41">
            <v>1423279</v>
          </cell>
          <cell r="D41">
            <v>90000</v>
          </cell>
          <cell r="E41">
            <v>1513279</v>
          </cell>
          <cell r="F41">
            <v>173</v>
          </cell>
          <cell r="G41">
            <v>8747.2774566473981</v>
          </cell>
        </row>
        <row r="42">
          <cell r="B42" t="str">
            <v>F/3</v>
          </cell>
          <cell r="C42">
            <v>1434400</v>
          </cell>
          <cell r="D42">
            <v>90000</v>
          </cell>
          <cell r="E42">
            <v>1524400</v>
          </cell>
          <cell r="F42">
            <v>173</v>
          </cell>
          <cell r="G42">
            <v>8811.5606936416189</v>
          </cell>
        </row>
        <row r="43">
          <cell r="B43" t="str">
            <v>F/4</v>
          </cell>
          <cell r="C43">
            <v>1445945</v>
          </cell>
          <cell r="D43">
            <v>90000</v>
          </cell>
          <cell r="E43">
            <v>1535945</v>
          </cell>
          <cell r="F43">
            <v>173</v>
          </cell>
          <cell r="G43">
            <v>8878.2947976878604</v>
          </cell>
        </row>
        <row r="44">
          <cell r="B44" t="str">
            <v>F/5</v>
          </cell>
          <cell r="C44">
            <v>1458199</v>
          </cell>
          <cell r="D44">
            <v>90000</v>
          </cell>
          <cell r="E44">
            <v>1548199</v>
          </cell>
          <cell r="F44">
            <v>173</v>
          </cell>
          <cell r="G44">
            <v>8949.1271676300585</v>
          </cell>
        </row>
        <row r="45">
          <cell r="B45" t="str">
            <v>F/6</v>
          </cell>
          <cell r="C45">
            <v>1470024</v>
          </cell>
          <cell r="D45">
            <v>90000</v>
          </cell>
          <cell r="E45">
            <v>1560024</v>
          </cell>
          <cell r="F45">
            <v>173</v>
          </cell>
          <cell r="G45">
            <v>9017.4797687861264</v>
          </cell>
        </row>
        <row r="46">
          <cell r="B46" t="str">
            <v>F/7</v>
          </cell>
          <cell r="C46">
            <v>1481392</v>
          </cell>
          <cell r="D46">
            <v>90000</v>
          </cell>
          <cell r="E46">
            <v>1571392</v>
          </cell>
          <cell r="F46">
            <v>173</v>
          </cell>
          <cell r="G46">
            <v>9083.1907514450868</v>
          </cell>
        </row>
        <row r="47">
          <cell r="B47" t="str">
            <v>G/1</v>
          </cell>
          <cell r="C47">
            <v>1347462</v>
          </cell>
          <cell r="D47">
            <v>90000</v>
          </cell>
          <cell r="E47">
            <v>1437462</v>
          </cell>
          <cell r="F47">
            <v>173</v>
          </cell>
          <cell r="G47">
            <v>8309.0289017341038</v>
          </cell>
        </row>
        <row r="48">
          <cell r="B48" t="str">
            <v>G/2</v>
          </cell>
          <cell r="C48">
            <v>1355552</v>
          </cell>
          <cell r="D48">
            <v>90000</v>
          </cell>
          <cell r="E48">
            <v>1445552</v>
          </cell>
          <cell r="F48">
            <v>173</v>
          </cell>
          <cell r="G48">
            <v>8355.7919075144509</v>
          </cell>
        </row>
        <row r="49">
          <cell r="B49" t="str">
            <v>G/3</v>
          </cell>
          <cell r="C49">
            <v>1363896</v>
          </cell>
          <cell r="D49">
            <v>90000</v>
          </cell>
          <cell r="E49">
            <v>1453896</v>
          </cell>
          <cell r="F49">
            <v>173</v>
          </cell>
          <cell r="G49">
            <v>8404.023121387283</v>
          </cell>
        </row>
        <row r="50">
          <cell r="B50" t="str">
            <v>G/4</v>
          </cell>
          <cell r="C50">
            <v>1371827</v>
          </cell>
          <cell r="D50">
            <v>90000</v>
          </cell>
          <cell r="E50">
            <v>1461827</v>
          </cell>
          <cell r="F50">
            <v>173</v>
          </cell>
          <cell r="G50">
            <v>8449.8670520231208</v>
          </cell>
        </row>
        <row r="51">
          <cell r="B51" t="str">
            <v>G/5</v>
          </cell>
          <cell r="C51">
            <v>1379477</v>
          </cell>
          <cell r="D51">
            <v>90000</v>
          </cell>
          <cell r="E51">
            <v>1469477</v>
          </cell>
          <cell r="F51">
            <v>173</v>
          </cell>
          <cell r="G51">
            <v>8494.0867052023114</v>
          </cell>
        </row>
        <row r="52">
          <cell r="B52" t="str">
            <v>G/6</v>
          </cell>
          <cell r="C52">
            <v>1387617</v>
          </cell>
          <cell r="D52">
            <v>90000</v>
          </cell>
          <cell r="E52">
            <v>1477617</v>
          </cell>
          <cell r="F52">
            <v>173</v>
          </cell>
          <cell r="G52">
            <v>8541.1387283237</v>
          </cell>
        </row>
        <row r="53">
          <cell r="B53" t="str">
            <v>G/7</v>
          </cell>
          <cell r="C53">
            <v>1395658</v>
          </cell>
          <cell r="D53">
            <v>90000</v>
          </cell>
          <cell r="E53">
            <v>1485658</v>
          </cell>
          <cell r="F53">
            <v>173</v>
          </cell>
          <cell r="G53">
            <v>8587.6184971098264</v>
          </cell>
        </row>
        <row r="54">
          <cell r="B54" t="str">
            <v>DRP</v>
          </cell>
          <cell r="C54">
            <v>1105550</v>
          </cell>
          <cell r="D54">
            <v>90000</v>
          </cell>
          <cell r="E54">
            <v>1195550</v>
          </cell>
          <cell r="F54">
            <v>173</v>
          </cell>
          <cell r="G54">
            <v>6910.6936416184972</v>
          </cell>
        </row>
        <row r="55">
          <cell r="B55" t="str">
            <v>PW</v>
          </cell>
          <cell r="C55">
            <v>42460</v>
          </cell>
          <cell r="E55">
            <v>42460</v>
          </cell>
        </row>
      </sheetData>
      <sheetData sheetId="19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1"/>
      <sheetName val="BP02OP"/>
      <sheetName val="Labour"/>
      <sheetName val="BP21 Stat"/>
      <sheetName val="BP21M Stat"/>
      <sheetName val="BP21I Stat"/>
      <sheetName val="BP21 Cost"/>
      <sheetName val="BP91"/>
      <sheetName val="Material"/>
      <sheetName val="BP22"/>
      <sheetName val="BP22M"/>
      <sheetName val="BP22I"/>
      <sheetName val="BP22 Qty"/>
      <sheetName val="Transport"/>
      <sheetName val="BP25"/>
      <sheetName val="BP25 M"/>
      <sheetName val="BP25 I"/>
      <sheetName val="BP27"/>
      <sheetName val="Other"/>
      <sheetName val="BP28"/>
      <sheetName val="BP28 M"/>
      <sheetName val="BP28 I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"/>
      <sheetName val="BP42"/>
      <sheetName val="BP43"/>
      <sheetName val="BP24"/>
      <sheetName val="BP24A"/>
      <sheetName val="BP61"/>
      <sheetName val="BP63"/>
      <sheetName val="BP22I"/>
      <sheetName val="BP64"/>
      <sheetName val="BP66"/>
      <sheetName val="SALARY"/>
      <sheetName val="MANDAYS"/>
      <sheetName val="JobCode"/>
      <sheetName val="Price List"/>
      <sheetName val="VH Info"/>
      <sheetName val="ren _ real lc"/>
      <sheetName val="ren _ real tanam"/>
    </sheetNames>
    <sheetDataSet>
      <sheetData sheetId="0"/>
      <sheetData sheetId="1">
        <row r="9">
          <cell r="K9">
            <v>2700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E3">
            <v>6031</v>
          </cell>
        </row>
      </sheetData>
      <sheetData sheetId="11"/>
      <sheetData sheetId="12">
        <row r="4">
          <cell r="B4">
            <v>2520</v>
          </cell>
        </row>
        <row r="5">
          <cell r="B5" t="str">
            <v>252A</v>
          </cell>
        </row>
        <row r="6">
          <cell r="B6" t="str">
            <v>252B</v>
          </cell>
        </row>
        <row r="7">
          <cell r="B7" t="str">
            <v>252C</v>
          </cell>
        </row>
        <row r="8">
          <cell r="B8" t="str">
            <v>252D</v>
          </cell>
        </row>
        <row r="9">
          <cell r="B9" t="str">
            <v>252E</v>
          </cell>
        </row>
        <row r="10">
          <cell r="B10">
            <v>2530</v>
          </cell>
        </row>
        <row r="11">
          <cell r="B11" t="str">
            <v>253A</v>
          </cell>
        </row>
        <row r="12">
          <cell r="B12" t="str">
            <v>253B</v>
          </cell>
        </row>
        <row r="13">
          <cell r="B13" t="str">
            <v>253C</v>
          </cell>
        </row>
        <row r="14">
          <cell r="B14" t="str">
            <v>253D</v>
          </cell>
        </row>
        <row r="15">
          <cell r="B15" t="str">
            <v>253E</v>
          </cell>
        </row>
        <row r="16">
          <cell r="B16" t="str">
            <v>253F</v>
          </cell>
        </row>
        <row r="17">
          <cell r="B17">
            <v>2540</v>
          </cell>
        </row>
        <row r="18">
          <cell r="B18" t="str">
            <v>254A</v>
          </cell>
        </row>
        <row r="19">
          <cell r="B19" t="str">
            <v>254B</v>
          </cell>
        </row>
        <row r="20">
          <cell r="B20" t="str">
            <v>254C</v>
          </cell>
        </row>
        <row r="21">
          <cell r="B21" t="str">
            <v>254D</v>
          </cell>
        </row>
        <row r="22">
          <cell r="B22" t="str">
            <v>254E</v>
          </cell>
        </row>
        <row r="23">
          <cell r="B23" t="str">
            <v>254F</v>
          </cell>
        </row>
        <row r="24">
          <cell r="B24" t="str">
            <v>254G</v>
          </cell>
        </row>
        <row r="25">
          <cell r="B25" t="str">
            <v>254H</v>
          </cell>
        </row>
        <row r="26">
          <cell r="B26">
            <v>2550</v>
          </cell>
        </row>
        <row r="27">
          <cell r="B27" t="str">
            <v>255A</v>
          </cell>
        </row>
        <row r="28">
          <cell r="B28" t="str">
            <v>255B</v>
          </cell>
        </row>
        <row r="29">
          <cell r="B29" t="str">
            <v>255C</v>
          </cell>
        </row>
        <row r="30">
          <cell r="B30" t="str">
            <v>255D</v>
          </cell>
        </row>
        <row r="31">
          <cell r="B31" t="str">
            <v>255E</v>
          </cell>
        </row>
        <row r="32">
          <cell r="B32" t="str">
            <v>255F</v>
          </cell>
        </row>
        <row r="33">
          <cell r="B33" t="str">
            <v>255G</v>
          </cell>
        </row>
        <row r="34">
          <cell r="B34" t="str">
            <v>255H</v>
          </cell>
        </row>
        <row r="35">
          <cell r="B35" t="str">
            <v>255I</v>
          </cell>
        </row>
        <row r="36">
          <cell r="B36" t="str">
            <v>255J</v>
          </cell>
        </row>
        <row r="37">
          <cell r="B37">
            <v>2560</v>
          </cell>
        </row>
        <row r="38">
          <cell r="B38" t="str">
            <v>256A</v>
          </cell>
        </row>
        <row r="39">
          <cell r="B39" t="str">
            <v>256B</v>
          </cell>
        </row>
        <row r="40">
          <cell r="B40" t="str">
            <v>256C</v>
          </cell>
        </row>
        <row r="41">
          <cell r="B41" t="str">
            <v>256D</v>
          </cell>
        </row>
        <row r="42">
          <cell r="B42" t="str">
            <v>256E</v>
          </cell>
        </row>
        <row r="43">
          <cell r="B43" t="str">
            <v>256F</v>
          </cell>
        </row>
        <row r="44">
          <cell r="B44" t="str">
            <v>256G</v>
          </cell>
        </row>
        <row r="45">
          <cell r="B45" t="str">
            <v>256H</v>
          </cell>
        </row>
        <row r="46">
          <cell r="B46">
            <v>2570</v>
          </cell>
        </row>
        <row r="47">
          <cell r="B47" t="str">
            <v>257A</v>
          </cell>
        </row>
        <row r="48">
          <cell r="B48" t="str">
            <v>257B</v>
          </cell>
        </row>
        <row r="49">
          <cell r="B49" t="str">
            <v>257C</v>
          </cell>
        </row>
        <row r="50">
          <cell r="B50">
            <v>2580</v>
          </cell>
        </row>
        <row r="51">
          <cell r="B51" t="str">
            <v>258A</v>
          </cell>
        </row>
        <row r="52">
          <cell r="B52" t="str">
            <v>258B</v>
          </cell>
        </row>
        <row r="53">
          <cell r="B53">
            <v>2590</v>
          </cell>
        </row>
        <row r="54">
          <cell r="B54" t="str">
            <v>259A</v>
          </cell>
        </row>
        <row r="55">
          <cell r="B55" t="str">
            <v>259B</v>
          </cell>
        </row>
        <row r="56">
          <cell r="B56" t="str">
            <v>259C</v>
          </cell>
        </row>
        <row r="57">
          <cell r="B57" t="str">
            <v>259D</v>
          </cell>
        </row>
        <row r="58">
          <cell r="B58" t="str">
            <v>259E</v>
          </cell>
        </row>
        <row r="59">
          <cell r="B59" t="str">
            <v>259F</v>
          </cell>
        </row>
        <row r="60">
          <cell r="B60" t="str">
            <v>259G</v>
          </cell>
        </row>
        <row r="61">
          <cell r="B61" t="str">
            <v>259H</v>
          </cell>
        </row>
        <row r="62">
          <cell r="B62" t="str">
            <v>259I</v>
          </cell>
        </row>
        <row r="63">
          <cell r="B63" t="str">
            <v>259J</v>
          </cell>
        </row>
        <row r="64">
          <cell r="B64" t="str">
            <v>259K</v>
          </cell>
        </row>
        <row r="65">
          <cell r="B65" t="str">
            <v>259L</v>
          </cell>
        </row>
        <row r="66">
          <cell r="B66">
            <v>2620</v>
          </cell>
        </row>
        <row r="67">
          <cell r="B67" t="str">
            <v>262A</v>
          </cell>
        </row>
        <row r="68">
          <cell r="B68" t="str">
            <v>262B</v>
          </cell>
        </row>
        <row r="69">
          <cell r="B69" t="str">
            <v>262C</v>
          </cell>
        </row>
        <row r="70">
          <cell r="B70" t="str">
            <v>262D</v>
          </cell>
        </row>
        <row r="71">
          <cell r="B71" t="str">
            <v>262E</v>
          </cell>
        </row>
        <row r="72">
          <cell r="B72" t="str">
            <v>262F</v>
          </cell>
        </row>
        <row r="73">
          <cell r="B73">
            <v>2630</v>
          </cell>
        </row>
        <row r="74">
          <cell r="B74" t="str">
            <v>263A</v>
          </cell>
        </row>
        <row r="75">
          <cell r="B75" t="str">
            <v>263B</v>
          </cell>
        </row>
        <row r="76">
          <cell r="B76" t="str">
            <v>263C</v>
          </cell>
        </row>
        <row r="77">
          <cell r="B77" t="str">
            <v>263D</v>
          </cell>
        </row>
        <row r="78">
          <cell r="B78" t="str">
            <v>263E</v>
          </cell>
        </row>
        <row r="79">
          <cell r="B79">
            <v>2640</v>
          </cell>
        </row>
        <row r="80">
          <cell r="B80" t="str">
            <v>264A</v>
          </cell>
        </row>
        <row r="81">
          <cell r="B81" t="str">
            <v>264B</v>
          </cell>
        </row>
        <row r="82">
          <cell r="B82" t="str">
            <v>264C</v>
          </cell>
        </row>
        <row r="83">
          <cell r="B83" t="str">
            <v>264D</v>
          </cell>
        </row>
        <row r="84">
          <cell r="B84" t="str">
            <v>264E</v>
          </cell>
        </row>
        <row r="85">
          <cell r="B85" t="str">
            <v>264F</v>
          </cell>
        </row>
        <row r="86">
          <cell r="B86" t="str">
            <v>264G</v>
          </cell>
        </row>
        <row r="87">
          <cell r="B87" t="str">
            <v>264H</v>
          </cell>
        </row>
        <row r="88">
          <cell r="B88" t="str">
            <v>264I</v>
          </cell>
        </row>
        <row r="89">
          <cell r="B89" t="str">
            <v>264J</v>
          </cell>
        </row>
        <row r="90">
          <cell r="B90" t="str">
            <v>264K</v>
          </cell>
        </row>
        <row r="91">
          <cell r="B91" t="str">
            <v>264L</v>
          </cell>
        </row>
        <row r="92">
          <cell r="B92" t="str">
            <v>264M</v>
          </cell>
        </row>
        <row r="93">
          <cell r="B93" t="str">
            <v>264N</v>
          </cell>
        </row>
        <row r="94">
          <cell r="B94" t="str">
            <v>264O</v>
          </cell>
        </row>
        <row r="95">
          <cell r="B95">
            <v>2650</v>
          </cell>
        </row>
        <row r="96">
          <cell r="B96" t="str">
            <v>265A</v>
          </cell>
        </row>
        <row r="97">
          <cell r="B97" t="str">
            <v>265B</v>
          </cell>
        </row>
        <row r="98">
          <cell r="B98">
            <v>2660</v>
          </cell>
        </row>
        <row r="99">
          <cell r="B99" t="str">
            <v>266A</v>
          </cell>
        </row>
        <row r="100">
          <cell r="B100" t="str">
            <v>266B</v>
          </cell>
        </row>
        <row r="101">
          <cell r="B101" t="str">
            <v>266C</v>
          </cell>
        </row>
        <row r="102">
          <cell r="B102" t="str">
            <v>266D</v>
          </cell>
        </row>
        <row r="103">
          <cell r="B103" t="str">
            <v>266E</v>
          </cell>
        </row>
        <row r="104">
          <cell r="B104" t="str">
            <v>266F</v>
          </cell>
        </row>
        <row r="105">
          <cell r="B105" t="str">
            <v>266G</v>
          </cell>
        </row>
        <row r="106">
          <cell r="B106" t="str">
            <v>266H</v>
          </cell>
        </row>
        <row r="107">
          <cell r="B107" t="str">
            <v>266I</v>
          </cell>
        </row>
        <row r="108">
          <cell r="B108" t="str">
            <v>266J</v>
          </cell>
        </row>
        <row r="109">
          <cell r="B109">
            <v>2670</v>
          </cell>
        </row>
        <row r="110">
          <cell r="B110" t="str">
            <v>267A</v>
          </cell>
        </row>
        <row r="111">
          <cell r="B111" t="str">
            <v>267B</v>
          </cell>
        </row>
        <row r="112">
          <cell r="B112" t="str">
            <v>267C</v>
          </cell>
        </row>
        <row r="113">
          <cell r="B113" t="str">
            <v>267D</v>
          </cell>
        </row>
        <row r="114">
          <cell r="B114">
            <v>2680</v>
          </cell>
        </row>
        <row r="115">
          <cell r="B115" t="str">
            <v>268A</v>
          </cell>
        </row>
        <row r="116">
          <cell r="B116">
            <v>2690</v>
          </cell>
        </row>
        <row r="117">
          <cell r="B117" t="str">
            <v>269A</v>
          </cell>
        </row>
        <row r="118">
          <cell r="B118" t="str">
            <v>2700</v>
          </cell>
        </row>
        <row r="119">
          <cell r="B119" t="str">
            <v>270A</v>
          </cell>
        </row>
        <row r="120">
          <cell r="B120" t="str">
            <v>270B</v>
          </cell>
        </row>
        <row r="121">
          <cell r="B121">
            <v>4110</v>
          </cell>
        </row>
        <row r="122">
          <cell r="B122" t="str">
            <v>411A</v>
          </cell>
        </row>
        <row r="123">
          <cell r="B123" t="str">
            <v>411B</v>
          </cell>
        </row>
        <row r="124">
          <cell r="B124" t="str">
            <v>411C</v>
          </cell>
        </row>
        <row r="125">
          <cell r="B125" t="str">
            <v>411D</v>
          </cell>
        </row>
        <row r="126">
          <cell r="B126" t="str">
            <v>411E</v>
          </cell>
        </row>
        <row r="127">
          <cell r="B127" t="str">
            <v>412A</v>
          </cell>
        </row>
        <row r="128">
          <cell r="B128" t="str">
            <v>412B</v>
          </cell>
        </row>
        <row r="129">
          <cell r="B129" t="str">
            <v>413A</v>
          </cell>
        </row>
        <row r="130">
          <cell r="B130">
            <v>7110</v>
          </cell>
        </row>
        <row r="131">
          <cell r="B131">
            <v>7111</v>
          </cell>
        </row>
        <row r="132">
          <cell r="B132">
            <v>8210</v>
          </cell>
        </row>
        <row r="133">
          <cell r="B133" t="str">
            <v>821A</v>
          </cell>
        </row>
        <row r="134">
          <cell r="B134" t="str">
            <v>821B</v>
          </cell>
        </row>
        <row r="135">
          <cell r="B135" t="str">
            <v>821C</v>
          </cell>
        </row>
        <row r="136">
          <cell r="B136" t="str">
            <v>821D</v>
          </cell>
        </row>
        <row r="137">
          <cell r="B137" t="str">
            <v>821E</v>
          </cell>
        </row>
        <row r="138">
          <cell r="B138" t="str">
            <v>821F</v>
          </cell>
        </row>
        <row r="139">
          <cell r="B139" t="str">
            <v>821G</v>
          </cell>
        </row>
        <row r="140">
          <cell r="B140" t="str">
            <v>821H</v>
          </cell>
        </row>
        <row r="141">
          <cell r="B141" t="str">
            <v>821I</v>
          </cell>
        </row>
        <row r="142">
          <cell r="B142">
            <v>8220</v>
          </cell>
        </row>
        <row r="143">
          <cell r="B143" t="str">
            <v>822A</v>
          </cell>
        </row>
        <row r="144">
          <cell r="B144" t="str">
            <v>822B</v>
          </cell>
        </row>
        <row r="145">
          <cell r="B145">
            <v>8230</v>
          </cell>
        </row>
        <row r="146">
          <cell r="B146" t="str">
            <v>823A</v>
          </cell>
        </row>
        <row r="147">
          <cell r="B147" t="str">
            <v>823B</v>
          </cell>
        </row>
        <row r="148">
          <cell r="B148" t="str">
            <v>823C</v>
          </cell>
        </row>
        <row r="149">
          <cell r="B149">
            <v>8240</v>
          </cell>
        </row>
        <row r="150">
          <cell r="B150" t="str">
            <v>824A</v>
          </cell>
        </row>
        <row r="151">
          <cell r="B151" t="str">
            <v>824B</v>
          </cell>
        </row>
        <row r="152">
          <cell r="B152" t="str">
            <v>824C</v>
          </cell>
        </row>
        <row r="153">
          <cell r="B153" t="str">
            <v>824D</v>
          </cell>
        </row>
        <row r="154">
          <cell r="B154">
            <v>8250</v>
          </cell>
        </row>
        <row r="155">
          <cell r="B155" t="str">
            <v>825A</v>
          </cell>
        </row>
        <row r="156">
          <cell r="B156" t="str">
            <v>825B</v>
          </cell>
        </row>
        <row r="157">
          <cell r="B157" t="str">
            <v>825C</v>
          </cell>
        </row>
        <row r="158">
          <cell r="B158">
            <v>8260</v>
          </cell>
        </row>
        <row r="159">
          <cell r="B159" t="str">
            <v>826A</v>
          </cell>
        </row>
        <row r="160">
          <cell r="B160" t="str">
            <v>826B</v>
          </cell>
        </row>
        <row r="161">
          <cell r="B161" t="str">
            <v>826C</v>
          </cell>
        </row>
        <row r="162">
          <cell r="B162">
            <v>8270</v>
          </cell>
        </row>
        <row r="163">
          <cell r="B163" t="str">
            <v>827A</v>
          </cell>
        </row>
        <row r="164">
          <cell r="B164" t="str">
            <v>827B</v>
          </cell>
        </row>
        <row r="165">
          <cell r="B165">
            <v>8280</v>
          </cell>
        </row>
        <row r="166">
          <cell r="B166" t="str">
            <v>828A</v>
          </cell>
        </row>
        <row r="167">
          <cell r="B167" t="str">
            <v>828B</v>
          </cell>
        </row>
        <row r="168">
          <cell r="B168" t="str">
            <v>828C</v>
          </cell>
        </row>
        <row r="169">
          <cell r="B169" t="str">
            <v>828D</v>
          </cell>
        </row>
        <row r="170">
          <cell r="B170" t="str">
            <v>828E</v>
          </cell>
        </row>
        <row r="171">
          <cell r="B171">
            <v>8290</v>
          </cell>
        </row>
        <row r="172">
          <cell r="B172" t="str">
            <v>829A</v>
          </cell>
        </row>
        <row r="173">
          <cell r="B173" t="str">
            <v>829B</v>
          </cell>
        </row>
        <row r="174">
          <cell r="B174" t="str">
            <v>829C</v>
          </cell>
        </row>
        <row r="175">
          <cell r="B175" t="str">
            <v>829D</v>
          </cell>
        </row>
        <row r="176">
          <cell r="B176" t="str">
            <v>829E</v>
          </cell>
        </row>
        <row r="177">
          <cell r="B177" t="str">
            <v>829F</v>
          </cell>
        </row>
        <row r="178">
          <cell r="B178" t="str">
            <v>829G</v>
          </cell>
        </row>
        <row r="179">
          <cell r="B179">
            <v>8310</v>
          </cell>
        </row>
        <row r="180">
          <cell r="B180" t="str">
            <v>831A</v>
          </cell>
        </row>
        <row r="181">
          <cell r="B181" t="str">
            <v>831B</v>
          </cell>
        </row>
        <row r="182">
          <cell r="B182" t="str">
            <v>831C</v>
          </cell>
        </row>
        <row r="183">
          <cell r="B183" t="str">
            <v>831D</v>
          </cell>
        </row>
        <row r="184">
          <cell r="B184">
            <v>8320</v>
          </cell>
        </row>
        <row r="185">
          <cell r="B185" t="str">
            <v>832A</v>
          </cell>
        </row>
        <row r="186">
          <cell r="B186" t="str">
            <v>8340</v>
          </cell>
        </row>
        <row r="187">
          <cell r="B187" t="str">
            <v>834A</v>
          </cell>
        </row>
        <row r="188">
          <cell r="B188" t="str">
            <v>834B</v>
          </cell>
        </row>
        <row r="189">
          <cell r="B189" t="str">
            <v>834C</v>
          </cell>
        </row>
        <row r="190">
          <cell r="B190">
            <v>8370</v>
          </cell>
        </row>
        <row r="191">
          <cell r="B191" t="str">
            <v>837A</v>
          </cell>
        </row>
        <row r="192">
          <cell r="B192">
            <v>8390</v>
          </cell>
        </row>
        <row r="193">
          <cell r="B193" t="str">
            <v>839A</v>
          </cell>
        </row>
        <row r="194">
          <cell r="B194" t="str">
            <v>839B</v>
          </cell>
        </row>
        <row r="195">
          <cell r="B195" t="str">
            <v>839C</v>
          </cell>
        </row>
        <row r="196">
          <cell r="B196" t="str">
            <v>839D</v>
          </cell>
        </row>
        <row r="197">
          <cell r="B197" t="str">
            <v>839E</v>
          </cell>
        </row>
        <row r="198">
          <cell r="B198">
            <v>8510</v>
          </cell>
        </row>
        <row r="199">
          <cell r="B199" t="str">
            <v>851A</v>
          </cell>
        </row>
        <row r="200">
          <cell r="B200" t="str">
            <v>851B</v>
          </cell>
        </row>
        <row r="201">
          <cell r="B201" t="str">
            <v>851C</v>
          </cell>
        </row>
        <row r="202">
          <cell r="B202">
            <v>8520</v>
          </cell>
        </row>
        <row r="203">
          <cell r="B203" t="str">
            <v>852A</v>
          </cell>
        </row>
        <row r="204">
          <cell r="B204" t="str">
            <v>852B</v>
          </cell>
        </row>
        <row r="205">
          <cell r="B205" t="str">
            <v>852C</v>
          </cell>
        </row>
        <row r="206">
          <cell r="B206" t="str">
            <v>852D</v>
          </cell>
        </row>
        <row r="207">
          <cell r="B207" t="str">
            <v>852E</v>
          </cell>
        </row>
        <row r="208">
          <cell r="B208" t="str">
            <v>852F</v>
          </cell>
        </row>
        <row r="209">
          <cell r="B209">
            <v>8530</v>
          </cell>
        </row>
        <row r="210">
          <cell r="B210" t="str">
            <v>853A</v>
          </cell>
        </row>
        <row r="211">
          <cell r="B211" t="str">
            <v>853B</v>
          </cell>
        </row>
        <row r="212">
          <cell r="B212" t="str">
            <v>853C</v>
          </cell>
        </row>
        <row r="213">
          <cell r="B213">
            <v>8540</v>
          </cell>
        </row>
        <row r="214">
          <cell r="B214" t="str">
            <v>854A</v>
          </cell>
        </row>
        <row r="215">
          <cell r="B215" t="str">
            <v>854B</v>
          </cell>
        </row>
        <row r="216">
          <cell r="B216" t="str">
            <v>854C</v>
          </cell>
        </row>
        <row r="217">
          <cell r="B217" t="str">
            <v>854D</v>
          </cell>
        </row>
        <row r="218">
          <cell r="B218">
            <v>5110</v>
          </cell>
        </row>
        <row r="219">
          <cell r="B219" t="str">
            <v>511A</v>
          </cell>
        </row>
        <row r="220">
          <cell r="B220" t="str">
            <v>511B</v>
          </cell>
        </row>
        <row r="221">
          <cell r="B221">
            <v>5160</v>
          </cell>
        </row>
        <row r="222">
          <cell r="B222" t="str">
            <v>516A</v>
          </cell>
        </row>
        <row r="223">
          <cell r="B223" t="str">
            <v>516B</v>
          </cell>
        </row>
        <row r="224">
          <cell r="B224" t="str">
            <v>516C</v>
          </cell>
        </row>
        <row r="225">
          <cell r="B225">
            <v>5210</v>
          </cell>
        </row>
        <row r="226">
          <cell r="B226" t="str">
            <v>521A</v>
          </cell>
        </row>
        <row r="227">
          <cell r="B227" t="str">
            <v>521B</v>
          </cell>
        </row>
        <row r="228">
          <cell r="B228" t="str">
            <v>521C</v>
          </cell>
        </row>
        <row r="229">
          <cell r="B229" t="str">
            <v>521D</v>
          </cell>
        </row>
      </sheetData>
      <sheetData sheetId="13"/>
      <sheetData sheetId="14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 isi"/>
      <sheetName val="ALOKASI MESIN"/>
      <sheetName val="ALOKASI EXCAVATOR"/>
      <sheetName val="ALOKASI BULD, TLB, GRDR"/>
      <sheetName val="ALOKASI KIOTI &amp; MF"/>
      <sheetName val="ALOKASI KENDARAAN"/>
      <sheetName val="REKAP KEND &amp; ALBER"/>
      <sheetName val="Alber"/>
      <sheetName val="Kend"/>
      <sheetName val="Kapal"/>
      <sheetName val="SKU HRN 1"/>
      <sheetName val="DAFTAR DRIVER &amp; OPR"/>
      <sheetName val="trail"/>
      <sheetName val="Gst 5-15"/>
      <sheetName val="Gst 27-45KVA"/>
      <sheetName val="Gst 65KVA"/>
      <sheetName val="Gst 75-80 KVA"/>
      <sheetName val="Gst 100 KVA"/>
      <sheetName val="Gst 125-175 KVA"/>
      <sheetName val="Msn Air TF 85, 100, 155R"/>
      <sheetName val="Msn Air "/>
      <sheetName val="Msn Air Kbt &amp; TF 300"/>
      <sheetName val="MSN AIR PS 100-120"/>
      <sheetName val="H.spart"/>
      <sheetName val="rat wshop"/>
      <sheetName val="hrg oh"/>
      <sheetName val="hk efkf"/>
      <sheetName val="rinc oh"/>
      <sheetName val="by wshop"/>
      <sheetName val="Std RA"/>
      <sheetName val="Std GST"/>
      <sheetName val="SKU HRN"/>
      <sheetName val="Rate Bln"/>
      <sheetName val="SALARY"/>
      <sheetName val="JOB 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>
        <row r="146">
          <cell r="N146">
            <v>4112885.8330145529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P00"/>
      <sheetName val="BP01"/>
      <sheetName val="BP02"/>
      <sheetName val="BP02A"/>
      <sheetName val="BP03"/>
      <sheetName val="BP03A"/>
      <sheetName val="BP11"/>
      <sheetName val="BP12"/>
      <sheetName val="BP13"/>
      <sheetName val="BP14"/>
      <sheetName val="BP15"/>
      <sheetName val="BP16"/>
      <sheetName val="BP17"/>
      <sheetName val="BP21"/>
      <sheetName val="Sheet5"/>
      <sheetName val="BP21A"/>
      <sheetName val="BP22"/>
      <sheetName val="BP22LDC"/>
      <sheetName val="BP22LOC"/>
      <sheetName val="BP23"/>
      <sheetName val="BP24"/>
      <sheetName val="BP25"/>
      <sheetName val="BP27"/>
      <sheetName val="BP41"/>
      <sheetName val="BP42"/>
      <sheetName val="BP42A"/>
      <sheetName val="BP43"/>
      <sheetName val="BP43A"/>
      <sheetName val="BP44"/>
      <sheetName val="BP44A"/>
      <sheetName val="BP45"/>
      <sheetName val="BP46"/>
      <sheetName val="BP51"/>
      <sheetName val="BP52"/>
      <sheetName val="BP53"/>
      <sheetName val="BP57"/>
      <sheetName val="BP61"/>
      <sheetName val="BP65"/>
      <sheetName val="BP66"/>
      <sheetName val="BP91"/>
      <sheetName val="BP93"/>
      <sheetName val="BP93A"/>
      <sheetName val="BP_BAL"/>
      <sheetName val="BP_BALMAN"/>
      <sheetName val="ECR"/>
      <sheetName val="MANDAYS"/>
      <sheetName val="REFERENCE"/>
      <sheetName val="SALARY"/>
      <sheetName val="SUPPORTING"/>
      <sheetName val="Sheet1"/>
      <sheetName val="bp22m"/>
      <sheetName val="bp21m st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4">
          <cell r="A4" t="str">
            <v>0411</v>
          </cell>
        </row>
        <row r="5">
          <cell r="A5" t="str">
            <v>0412</v>
          </cell>
        </row>
        <row r="6">
          <cell r="A6" t="str">
            <v>0413</v>
          </cell>
        </row>
        <row r="7">
          <cell r="A7" t="str">
            <v>1230</v>
          </cell>
        </row>
        <row r="8">
          <cell r="A8" t="str">
            <v>1231</v>
          </cell>
        </row>
        <row r="9">
          <cell r="A9" t="str">
            <v>1330</v>
          </cell>
        </row>
        <row r="10">
          <cell r="A10" t="str">
            <v>1333</v>
          </cell>
        </row>
        <row r="11">
          <cell r="A11" t="str">
            <v>1520</v>
          </cell>
        </row>
        <row r="12">
          <cell r="A12" t="str">
            <v>1522</v>
          </cell>
        </row>
        <row r="13">
          <cell r="A13" t="str">
            <v>1610</v>
          </cell>
        </row>
        <row r="14">
          <cell r="A14" t="str">
            <v>1611</v>
          </cell>
        </row>
        <row r="15">
          <cell r="A15" t="str">
            <v>1612</v>
          </cell>
        </row>
        <row r="16">
          <cell r="A16" t="str">
            <v>1613</v>
          </cell>
        </row>
        <row r="17">
          <cell r="A17" t="str">
            <v>1614</v>
          </cell>
        </row>
        <row r="18">
          <cell r="A18" t="str">
            <v>1615</v>
          </cell>
        </row>
        <row r="19">
          <cell r="A19" t="str">
            <v>1620</v>
          </cell>
        </row>
        <row r="20">
          <cell r="A20" t="str">
            <v>1621</v>
          </cell>
        </row>
        <row r="21">
          <cell r="A21" t="str">
            <v>1622</v>
          </cell>
        </row>
        <row r="22">
          <cell r="A22" t="str">
            <v>1623</v>
          </cell>
        </row>
        <row r="23">
          <cell r="A23" t="str">
            <v>1624</v>
          </cell>
        </row>
        <row r="24">
          <cell r="A24" t="str">
            <v>1625</v>
          </cell>
        </row>
        <row r="25">
          <cell r="A25" t="str">
            <v>1630</v>
          </cell>
        </row>
        <row r="26">
          <cell r="A26" t="str">
            <v>1631</v>
          </cell>
        </row>
        <row r="27">
          <cell r="A27" t="str">
            <v>1632</v>
          </cell>
        </row>
        <row r="28">
          <cell r="A28" t="str">
            <v>1633</v>
          </cell>
        </row>
        <row r="29">
          <cell r="A29" t="str">
            <v>1634</v>
          </cell>
        </row>
        <row r="30">
          <cell r="A30" t="str">
            <v>1635</v>
          </cell>
        </row>
        <row r="31">
          <cell r="A31" t="str">
            <v>1636</v>
          </cell>
        </row>
        <row r="32">
          <cell r="A32" t="str">
            <v>1637</v>
          </cell>
        </row>
        <row r="33">
          <cell r="A33" t="str">
            <v>1638</v>
          </cell>
        </row>
        <row r="34">
          <cell r="A34" t="str">
            <v>1639</v>
          </cell>
        </row>
        <row r="35">
          <cell r="A35" t="str">
            <v>1640</v>
          </cell>
        </row>
        <row r="36">
          <cell r="A36" t="str">
            <v>1642</v>
          </cell>
        </row>
        <row r="37">
          <cell r="A37" t="str">
            <v>1730</v>
          </cell>
        </row>
        <row r="38">
          <cell r="A38" t="str">
            <v>1731</v>
          </cell>
        </row>
        <row r="39">
          <cell r="A39" t="str">
            <v>1732</v>
          </cell>
        </row>
        <row r="40">
          <cell r="A40" t="str">
            <v>1733</v>
          </cell>
        </row>
        <row r="41">
          <cell r="A41" t="str">
            <v>1740</v>
          </cell>
        </row>
        <row r="42">
          <cell r="A42" t="str">
            <v>1742</v>
          </cell>
        </row>
        <row r="43">
          <cell r="A43" t="str">
            <v>1743</v>
          </cell>
        </row>
        <row r="44">
          <cell r="A44" t="str">
            <v>1750</v>
          </cell>
        </row>
        <row r="45">
          <cell r="A45" t="str">
            <v>1751</v>
          </cell>
        </row>
        <row r="46">
          <cell r="A46" t="str">
            <v>1752</v>
          </cell>
        </row>
        <row r="47">
          <cell r="A47" t="str">
            <v>1870</v>
          </cell>
        </row>
        <row r="48">
          <cell r="A48" t="str">
            <v>1871</v>
          </cell>
        </row>
        <row r="49">
          <cell r="A49" t="str">
            <v>1872</v>
          </cell>
        </row>
        <row r="50">
          <cell r="A50" t="str">
            <v>211Z</v>
          </cell>
        </row>
        <row r="51">
          <cell r="A51" t="str">
            <v>2310</v>
          </cell>
        </row>
        <row r="52">
          <cell r="A52" t="str">
            <v>2311</v>
          </cell>
        </row>
        <row r="53">
          <cell r="A53" t="str">
            <v>2315</v>
          </cell>
        </row>
        <row r="54">
          <cell r="A54" t="str">
            <v>2331</v>
          </cell>
        </row>
        <row r="55">
          <cell r="A55" t="str">
            <v>2349</v>
          </cell>
        </row>
        <row r="56">
          <cell r="A56" t="str">
            <v>2391</v>
          </cell>
        </row>
        <row r="57">
          <cell r="A57" t="str">
            <v>2520</v>
          </cell>
        </row>
        <row r="58">
          <cell r="A58" t="str">
            <v>252A</v>
          </cell>
        </row>
        <row r="59">
          <cell r="A59" t="str">
            <v>252B</v>
          </cell>
        </row>
        <row r="60">
          <cell r="A60" t="str">
            <v>252C</v>
          </cell>
        </row>
        <row r="61">
          <cell r="A61" t="str">
            <v>252D</v>
          </cell>
        </row>
        <row r="62">
          <cell r="A62" t="str">
            <v>252E</v>
          </cell>
        </row>
        <row r="63">
          <cell r="A63" t="str">
            <v>252F</v>
          </cell>
        </row>
        <row r="64">
          <cell r="A64" t="str">
            <v>252G</v>
          </cell>
        </row>
        <row r="65">
          <cell r="A65" t="str">
            <v>252H</v>
          </cell>
        </row>
        <row r="66">
          <cell r="A66" t="str">
            <v>252I</v>
          </cell>
        </row>
        <row r="67">
          <cell r="A67" t="str">
            <v>252J</v>
          </cell>
        </row>
        <row r="68">
          <cell r="A68" t="str">
            <v>252K</v>
          </cell>
        </row>
        <row r="69">
          <cell r="A69" t="str">
            <v>2530</v>
          </cell>
        </row>
        <row r="70">
          <cell r="A70" t="str">
            <v>253A</v>
          </cell>
        </row>
        <row r="71">
          <cell r="A71" t="str">
            <v>253B</v>
          </cell>
        </row>
        <row r="72">
          <cell r="A72" t="str">
            <v>253C</v>
          </cell>
        </row>
        <row r="73">
          <cell r="A73" t="str">
            <v>253D</v>
          </cell>
        </row>
        <row r="74">
          <cell r="A74" t="str">
            <v>253E</v>
          </cell>
        </row>
        <row r="75">
          <cell r="A75" t="str">
            <v>253F</v>
          </cell>
        </row>
        <row r="76">
          <cell r="A76" t="str">
            <v>253G</v>
          </cell>
        </row>
        <row r="77">
          <cell r="A77" t="str">
            <v>253H</v>
          </cell>
        </row>
        <row r="78">
          <cell r="A78" t="str">
            <v>253I</v>
          </cell>
        </row>
        <row r="79">
          <cell r="A79" t="str">
            <v>253J</v>
          </cell>
        </row>
        <row r="80">
          <cell r="A80" t="str">
            <v>2540</v>
          </cell>
        </row>
        <row r="81">
          <cell r="A81" t="str">
            <v>254A</v>
          </cell>
        </row>
        <row r="82">
          <cell r="A82" t="str">
            <v>254B</v>
          </cell>
        </row>
        <row r="83">
          <cell r="A83" t="str">
            <v>254C</v>
          </cell>
        </row>
        <row r="84">
          <cell r="A84" t="str">
            <v>254D</v>
          </cell>
        </row>
        <row r="85">
          <cell r="A85" t="str">
            <v>254E</v>
          </cell>
        </row>
        <row r="86">
          <cell r="A86" t="str">
            <v>254F</v>
          </cell>
        </row>
        <row r="87">
          <cell r="A87" t="str">
            <v>254G</v>
          </cell>
        </row>
        <row r="88">
          <cell r="A88" t="str">
            <v>254H</v>
          </cell>
        </row>
        <row r="89">
          <cell r="A89" t="str">
            <v>254I</v>
          </cell>
        </row>
        <row r="90">
          <cell r="A90" t="str">
            <v>254J</v>
          </cell>
        </row>
        <row r="91">
          <cell r="A91" t="str">
            <v>254K</v>
          </cell>
        </row>
        <row r="92">
          <cell r="A92" t="str">
            <v>254L</v>
          </cell>
        </row>
        <row r="93">
          <cell r="A93" t="str">
            <v>254M</v>
          </cell>
        </row>
        <row r="94">
          <cell r="A94" t="str">
            <v>254N</v>
          </cell>
        </row>
        <row r="95">
          <cell r="A95" t="str">
            <v>2550</v>
          </cell>
        </row>
        <row r="96">
          <cell r="A96" t="str">
            <v>255A</v>
          </cell>
        </row>
        <row r="97">
          <cell r="A97" t="str">
            <v>255B</v>
          </cell>
        </row>
        <row r="98">
          <cell r="A98" t="str">
            <v>255C</v>
          </cell>
        </row>
        <row r="99">
          <cell r="A99" t="str">
            <v>255D</v>
          </cell>
        </row>
        <row r="100">
          <cell r="A100" t="str">
            <v>255E</v>
          </cell>
        </row>
        <row r="101">
          <cell r="A101" t="str">
            <v>255F</v>
          </cell>
        </row>
        <row r="102">
          <cell r="A102" t="str">
            <v>255G</v>
          </cell>
        </row>
        <row r="103">
          <cell r="A103" t="str">
            <v>255H</v>
          </cell>
        </row>
        <row r="104">
          <cell r="A104" t="str">
            <v>255I</v>
          </cell>
        </row>
        <row r="105">
          <cell r="A105" t="str">
            <v>255J</v>
          </cell>
        </row>
        <row r="106">
          <cell r="A106" t="str">
            <v>255K</v>
          </cell>
        </row>
        <row r="107">
          <cell r="A107" t="str">
            <v>255L</v>
          </cell>
        </row>
        <row r="108">
          <cell r="A108" t="str">
            <v>255M</v>
          </cell>
        </row>
        <row r="109">
          <cell r="A109" t="str">
            <v>255N</v>
          </cell>
        </row>
        <row r="110">
          <cell r="A110" t="str">
            <v>255O</v>
          </cell>
        </row>
        <row r="111">
          <cell r="A111" t="str">
            <v>255P</v>
          </cell>
        </row>
        <row r="112">
          <cell r="A112" t="str">
            <v>255Q</v>
          </cell>
        </row>
        <row r="113">
          <cell r="A113" t="str">
            <v>2560</v>
          </cell>
        </row>
        <row r="114">
          <cell r="A114" t="str">
            <v>256A</v>
          </cell>
        </row>
        <row r="115">
          <cell r="A115" t="str">
            <v>256B</v>
          </cell>
        </row>
        <row r="116">
          <cell r="A116" t="str">
            <v>256C</v>
          </cell>
        </row>
        <row r="117">
          <cell r="A117" t="str">
            <v>256D</v>
          </cell>
        </row>
        <row r="118">
          <cell r="A118" t="str">
            <v>256E</v>
          </cell>
        </row>
        <row r="119">
          <cell r="A119" t="str">
            <v>256F</v>
          </cell>
        </row>
        <row r="120">
          <cell r="A120" t="str">
            <v>256G</v>
          </cell>
        </row>
        <row r="121">
          <cell r="A121" t="str">
            <v>256H</v>
          </cell>
        </row>
        <row r="122">
          <cell r="A122" t="str">
            <v>256I</v>
          </cell>
        </row>
        <row r="123">
          <cell r="A123" t="str">
            <v>256J</v>
          </cell>
        </row>
        <row r="124">
          <cell r="A124" t="str">
            <v>256K</v>
          </cell>
        </row>
        <row r="125">
          <cell r="A125" t="str">
            <v>2570</v>
          </cell>
        </row>
        <row r="126">
          <cell r="A126" t="str">
            <v>257A</v>
          </cell>
        </row>
        <row r="127">
          <cell r="A127" t="str">
            <v>257B</v>
          </cell>
        </row>
        <row r="128">
          <cell r="A128" t="str">
            <v>257C</v>
          </cell>
        </row>
        <row r="129">
          <cell r="A129" t="str">
            <v>257D</v>
          </cell>
        </row>
        <row r="130">
          <cell r="A130" t="str">
            <v>257E</v>
          </cell>
        </row>
        <row r="131">
          <cell r="A131" t="str">
            <v>257F</v>
          </cell>
        </row>
        <row r="132">
          <cell r="A132" t="str">
            <v>257G</v>
          </cell>
        </row>
        <row r="133">
          <cell r="A133" t="str">
            <v>257H</v>
          </cell>
        </row>
        <row r="134">
          <cell r="A134" t="str">
            <v>257I</v>
          </cell>
        </row>
        <row r="135">
          <cell r="A135" t="str">
            <v>2580</v>
          </cell>
        </row>
        <row r="136">
          <cell r="A136" t="str">
            <v>258A</v>
          </cell>
        </row>
        <row r="137">
          <cell r="A137" t="str">
            <v>258B</v>
          </cell>
        </row>
        <row r="138">
          <cell r="A138" t="str">
            <v>258C</v>
          </cell>
        </row>
        <row r="139">
          <cell r="A139" t="str">
            <v>258D</v>
          </cell>
        </row>
        <row r="140">
          <cell r="A140" t="str">
            <v>258E</v>
          </cell>
        </row>
        <row r="141">
          <cell r="A141" t="str">
            <v>258F</v>
          </cell>
        </row>
        <row r="142">
          <cell r="A142" t="str">
            <v>258G</v>
          </cell>
        </row>
        <row r="143">
          <cell r="A143" t="str">
            <v>258H</v>
          </cell>
        </row>
        <row r="144">
          <cell r="A144" t="str">
            <v>258I</v>
          </cell>
        </row>
        <row r="145">
          <cell r="A145" t="str">
            <v>2590</v>
          </cell>
        </row>
        <row r="146">
          <cell r="A146" t="str">
            <v>259A</v>
          </cell>
        </row>
        <row r="147">
          <cell r="A147" t="str">
            <v>259B</v>
          </cell>
        </row>
        <row r="148">
          <cell r="A148" t="str">
            <v>259C</v>
          </cell>
        </row>
        <row r="149">
          <cell r="A149" t="str">
            <v>259D</v>
          </cell>
        </row>
        <row r="150">
          <cell r="A150" t="str">
            <v>259E</v>
          </cell>
        </row>
        <row r="151">
          <cell r="A151" t="str">
            <v>259F</v>
          </cell>
        </row>
        <row r="152">
          <cell r="A152" t="str">
            <v>259G</v>
          </cell>
        </row>
        <row r="153">
          <cell r="A153" t="str">
            <v>259H</v>
          </cell>
        </row>
        <row r="154">
          <cell r="A154" t="str">
            <v>259I</v>
          </cell>
        </row>
        <row r="155">
          <cell r="A155" t="str">
            <v>259J</v>
          </cell>
        </row>
        <row r="156">
          <cell r="A156" t="str">
            <v>259K</v>
          </cell>
        </row>
        <row r="157">
          <cell r="A157" t="str">
            <v>259L</v>
          </cell>
        </row>
        <row r="158">
          <cell r="A158" t="str">
            <v>2613</v>
          </cell>
        </row>
        <row r="159">
          <cell r="A159" t="str">
            <v>2620</v>
          </cell>
        </row>
        <row r="160">
          <cell r="A160" t="str">
            <v>262A</v>
          </cell>
        </row>
        <row r="161">
          <cell r="A161" t="str">
            <v>262B</v>
          </cell>
        </row>
        <row r="162">
          <cell r="A162" t="str">
            <v>262C</v>
          </cell>
        </row>
        <row r="163">
          <cell r="A163" t="str">
            <v>262D</v>
          </cell>
        </row>
        <row r="164">
          <cell r="A164" t="str">
            <v>262E</v>
          </cell>
        </row>
        <row r="165">
          <cell r="A165" t="str">
            <v>262F</v>
          </cell>
        </row>
        <row r="166">
          <cell r="A166" t="str">
            <v>262G</v>
          </cell>
        </row>
        <row r="167">
          <cell r="A167" t="str">
            <v>262H</v>
          </cell>
        </row>
        <row r="168">
          <cell r="A168" t="str">
            <v>2630</v>
          </cell>
        </row>
        <row r="169">
          <cell r="A169" t="str">
            <v>263A</v>
          </cell>
        </row>
        <row r="170">
          <cell r="A170" t="str">
            <v>263B</v>
          </cell>
        </row>
        <row r="171">
          <cell r="A171" t="str">
            <v>263C</v>
          </cell>
        </row>
        <row r="172">
          <cell r="A172" t="str">
            <v>263D</v>
          </cell>
        </row>
        <row r="173">
          <cell r="A173" t="str">
            <v>263E</v>
          </cell>
        </row>
        <row r="174">
          <cell r="A174" t="str">
            <v>263F</v>
          </cell>
        </row>
        <row r="175">
          <cell r="A175" t="str">
            <v>2640</v>
          </cell>
        </row>
        <row r="176">
          <cell r="A176" t="str">
            <v>264A</v>
          </cell>
        </row>
        <row r="177">
          <cell r="A177" t="str">
            <v>264B</v>
          </cell>
        </row>
        <row r="178">
          <cell r="A178" t="str">
            <v>264C</v>
          </cell>
        </row>
        <row r="179">
          <cell r="A179" t="str">
            <v>264D</v>
          </cell>
        </row>
        <row r="180">
          <cell r="A180" t="str">
            <v>264E</v>
          </cell>
        </row>
        <row r="181">
          <cell r="A181" t="str">
            <v>264F</v>
          </cell>
        </row>
        <row r="182">
          <cell r="A182" t="str">
            <v>264G</v>
          </cell>
        </row>
        <row r="183">
          <cell r="A183" t="str">
            <v>264H</v>
          </cell>
        </row>
        <row r="184">
          <cell r="A184" t="str">
            <v>264I</v>
          </cell>
        </row>
        <row r="185">
          <cell r="A185" t="str">
            <v>264J</v>
          </cell>
        </row>
        <row r="186">
          <cell r="A186" t="str">
            <v>264K</v>
          </cell>
        </row>
        <row r="187">
          <cell r="A187" t="str">
            <v>264L</v>
          </cell>
        </row>
        <row r="188">
          <cell r="A188" t="str">
            <v>264M</v>
          </cell>
        </row>
        <row r="189">
          <cell r="A189" t="str">
            <v>264N</v>
          </cell>
        </row>
        <row r="190">
          <cell r="A190" t="str">
            <v>264O</v>
          </cell>
        </row>
        <row r="191">
          <cell r="A191" t="str">
            <v>264P</v>
          </cell>
        </row>
        <row r="192">
          <cell r="A192" t="str">
            <v>264Q</v>
          </cell>
        </row>
        <row r="193">
          <cell r="A193" t="str">
            <v>264R</v>
          </cell>
        </row>
        <row r="194">
          <cell r="A194" t="str">
            <v>264S</v>
          </cell>
        </row>
        <row r="195">
          <cell r="A195" t="str">
            <v>264T</v>
          </cell>
        </row>
        <row r="196">
          <cell r="A196" t="str">
            <v>264U</v>
          </cell>
        </row>
        <row r="197">
          <cell r="A197" t="str">
            <v>264V</v>
          </cell>
        </row>
        <row r="198">
          <cell r="A198" t="str">
            <v>264W</v>
          </cell>
        </row>
        <row r="199">
          <cell r="A199" t="str">
            <v>264X</v>
          </cell>
        </row>
        <row r="200">
          <cell r="A200" t="str">
            <v>264Y</v>
          </cell>
        </row>
        <row r="201">
          <cell r="A201" t="str">
            <v>2650</v>
          </cell>
        </row>
        <row r="202">
          <cell r="A202" t="str">
            <v>265A</v>
          </cell>
        </row>
        <row r="203">
          <cell r="A203" t="str">
            <v>265B</v>
          </cell>
        </row>
        <row r="204">
          <cell r="A204" t="str">
            <v>265C</v>
          </cell>
        </row>
        <row r="205">
          <cell r="A205" t="str">
            <v>2660</v>
          </cell>
        </row>
        <row r="206">
          <cell r="A206" t="str">
            <v>266A</v>
          </cell>
        </row>
        <row r="207">
          <cell r="A207" t="str">
            <v>266B</v>
          </cell>
        </row>
        <row r="208">
          <cell r="A208" t="str">
            <v>266C</v>
          </cell>
        </row>
        <row r="209">
          <cell r="A209" t="str">
            <v>266D</v>
          </cell>
        </row>
        <row r="210">
          <cell r="A210" t="str">
            <v>266E</v>
          </cell>
        </row>
        <row r="211">
          <cell r="A211" t="str">
            <v>266F</v>
          </cell>
        </row>
        <row r="212">
          <cell r="A212" t="str">
            <v>266G</v>
          </cell>
        </row>
        <row r="213">
          <cell r="A213" t="str">
            <v>266H</v>
          </cell>
        </row>
        <row r="214">
          <cell r="A214" t="str">
            <v>266I</v>
          </cell>
        </row>
        <row r="215">
          <cell r="A215" t="str">
            <v>266J</v>
          </cell>
        </row>
        <row r="216">
          <cell r="A216" t="str">
            <v>266K</v>
          </cell>
        </row>
        <row r="217">
          <cell r="A217" t="str">
            <v>266L</v>
          </cell>
        </row>
        <row r="218">
          <cell r="A218" t="str">
            <v>266M</v>
          </cell>
        </row>
        <row r="219">
          <cell r="A219" t="str">
            <v>266N</v>
          </cell>
        </row>
        <row r="220">
          <cell r="A220" t="str">
            <v>266O</v>
          </cell>
        </row>
        <row r="221">
          <cell r="A221" t="str">
            <v>266P</v>
          </cell>
        </row>
        <row r="222">
          <cell r="A222" t="str">
            <v>266Q</v>
          </cell>
        </row>
        <row r="223">
          <cell r="A223" t="str">
            <v>2670</v>
          </cell>
        </row>
        <row r="224">
          <cell r="A224" t="str">
            <v>267A</v>
          </cell>
        </row>
        <row r="225">
          <cell r="A225" t="str">
            <v>267B</v>
          </cell>
        </row>
        <row r="226">
          <cell r="A226" t="str">
            <v>267C</v>
          </cell>
        </row>
        <row r="227">
          <cell r="A227" t="str">
            <v>267D</v>
          </cell>
        </row>
        <row r="228">
          <cell r="A228" t="str">
            <v>267E</v>
          </cell>
        </row>
        <row r="229">
          <cell r="A229" t="str">
            <v>267F</v>
          </cell>
        </row>
        <row r="230">
          <cell r="A230" t="str">
            <v>291Z</v>
          </cell>
        </row>
        <row r="231">
          <cell r="A231" t="str">
            <v>3210</v>
          </cell>
        </row>
        <row r="232">
          <cell r="A232" t="str">
            <v>3212</v>
          </cell>
        </row>
        <row r="233">
          <cell r="A233" t="str">
            <v>3215</v>
          </cell>
        </row>
        <row r="234">
          <cell r="A234" t="str">
            <v>3216</v>
          </cell>
        </row>
        <row r="235">
          <cell r="A235" t="str">
            <v>3310</v>
          </cell>
        </row>
        <row r="236">
          <cell r="A236" t="str">
            <v>3315</v>
          </cell>
        </row>
        <row r="237">
          <cell r="A237" t="str">
            <v>3810</v>
          </cell>
        </row>
        <row r="238">
          <cell r="A238" t="str">
            <v>3815</v>
          </cell>
        </row>
        <row r="239">
          <cell r="A239" t="str">
            <v>3816</v>
          </cell>
        </row>
        <row r="240">
          <cell r="A240" t="str">
            <v>4110</v>
          </cell>
        </row>
        <row r="241">
          <cell r="A241" t="str">
            <v>411A</v>
          </cell>
        </row>
        <row r="242">
          <cell r="A242" t="str">
            <v>411B</v>
          </cell>
        </row>
        <row r="243">
          <cell r="A243" t="str">
            <v>411C</v>
          </cell>
        </row>
        <row r="244">
          <cell r="A244" t="str">
            <v>411L</v>
          </cell>
        </row>
        <row r="245">
          <cell r="A245" t="str">
            <v>411U</v>
          </cell>
        </row>
        <row r="246">
          <cell r="A246" t="str">
            <v>411Y</v>
          </cell>
        </row>
        <row r="247">
          <cell r="A247" t="str">
            <v>411Y</v>
          </cell>
        </row>
        <row r="248">
          <cell r="A248" t="str">
            <v>411Z</v>
          </cell>
        </row>
        <row r="249">
          <cell r="A249" t="str">
            <v>4301</v>
          </cell>
        </row>
        <row r="250">
          <cell r="A250" t="str">
            <v>4303</v>
          </cell>
        </row>
        <row r="251">
          <cell r="A251" t="str">
            <v>4304</v>
          </cell>
        </row>
        <row r="252">
          <cell r="A252" t="str">
            <v>4305</v>
          </cell>
        </row>
        <row r="253">
          <cell r="A253" t="str">
            <v>4306</v>
          </cell>
        </row>
        <row r="254">
          <cell r="A254" t="str">
            <v>4309</v>
          </cell>
        </row>
        <row r="255">
          <cell r="A255" t="str">
            <v>4311</v>
          </cell>
        </row>
        <row r="256">
          <cell r="A256" t="str">
            <v>4312</v>
          </cell>
        </row>
        <row r="257">
          <cell r="A257" t="str">
            <v>4314</v>
          </cell>
        </row>
        <row r="258">
          <cell r="A258" t="str">
            <v>4315</v>
          </cell>
        </row>
        <row r="259">
          <cell r="A259" t="str">
            <v>4317</v>
          </cell>
        </row>
        <row r="260">
          <cell r="A260" t="str">
            <v>4318</v>
          </cell>
        </row>
        <row r="261">
          <cell r="A261" t="str">
            <v>4320</v>
          </cell>
        </row>
        <row r="262">
          <cell r="A262" t="str">
            <v>4322</v>
          </cell>
        </row>
        <row r="263">
          <cell r="A263" t="str">
            <v>4323</v>
          </cell>
        </row>
        <row r="264">
          <cell r="A264" t="str">
            <v>4324</v>
          </cell>
        </row>
        <row r="265">
          <cell r="A265" t="str">
            <v>4326</v>
          </cell>
        </row>
        <row r="266">
          <cell r="A266" t="str">
            <v>4327</v>
          </cell>
        </row>
        <row r="267">
          <cell r="A267" t="str">
            <v>4328</v>
          </cell>
        </row>
        <row r="268">
          <cell r="A268" t="str">
            <v>4329</v>
          </cell>
        </row>
        <row r="269">
          <cell r="A269" t="str">
            <v>4395</v>
          </cell>
        </row>
        <row r="270">
          <cell r="A270" t="str">
            <v>43C1</v>
          </cell>
        </row>
        <row r="271">
          <cell r="A271" t="str">
            <v>43C2</v>
          </cell>
        </row>
        <row r="272">
          <cell r="A272" t="str">
            <v>43C3</v>
          </cell>
        </row>
        <row r="273">
          <cell r="A273" t="str">
            <v>43E1</v>
          </cell>
        </row>
        <row r="274">
          <cell r="A274" t="str">
            <v>43E2</v>
          </cell>
        </row>
        <row r="275">
          <cell r="A275" t="str">
            <v>43F3</v>
          </cell>
        </row>
        <row r="276">
          <cell r="A276" t="str">
            <v>43F4</v>
          </cell>
        </row>
        <row r="277">
          <cell r="A277" t="str">
            <v>43M1</v>
          </cell>
        </row>
        <row r="278">
          <cell r="A278" t="str">
            <v>43M2</v>
          </cell>
        </row>
        <row r="279">
          <cell r="A279" t="str">
            <v>43M4</v>
          </cell>
        </row>
        <row r="280">
          <cell r="A280" t="str">
            <v>43M5</v>
          </cell>
        </row>
        <row r="281">
          <cell r="A281" t="str">
            <v>43R1</v>
          </cell>
        </row>
        <row r="282">
          <cell r="A282" t="str">
            <v>43R2</v>
          </cell>
        </row>
        <row r="283">
          <cell r="A283" t="str">
            <v>4400</v>
          </cell>
        </row>
        <row r="284">
          <cell r="A284" t="str">
            <v>4404</v>
          </cell>
        </row>
        <row r="285">
          <cell r="A285" t="str">
            <v>5110</v>
          </cell>
        </row>
        <row r="286">
          <cell r="A286" t="str">
            <v>511A</v>
          </cell>
        </row>
        <row r="287">
          <cell r="A287" t="str">
            <v>511B</v>
          </cell>
        </row>
        <row r="288">
          <cell r="A288" t="str">
            <v>511C</v>
          </cell>
        </row>
        <row r="289">
          <cell r="A289" t="str">
            <v>511D</v>
          </cell>
        </row>
        <row r="290">
          <cell r="A290" t="str">
            <v>511Z</v>
          </cell>
        </row>
        <row r="291">
          <cell r="A291" t="str">
            <v>5160</v>
          </cell>
        </row>
        <row r="292">
          <cell r="A292" t="str">
            <v>516A</v>
          </cell>
        </row>
        <row r="293">
          <cell r="A293" t="str">
            <v>516B</v>
          </cell>
        </row>
        <row r="294">
          <cell r="A294" t="str">
            <v>516C</v>
          </cell>
        </row>
        <row r="295">
          <cell r="A295" t="str">
            <v>516Z</v>
          </cell>
        </row>
        <row r="296">
          <cell r="A296" t="str">
            <v>5210</v>
          </cell>
        </row>
        <row r="297">
          <cell r="A297" t="str">
            <v>521A</v>
          </cell>
        </row>
        <row r="298">
          <cell r="A298" t="str">
            <v>521B</v>
          </cell>
        </row>
        <row r="299">
          <cell r="A299" t="str">
            <v>521C</v>
          </cell>
        </row>
        <row r="300">
          <cell r="A300" t="str">
            <v>521D</v>
          </cell>
        </row>
        <row r="301">
          <cell r="A301" t="str">
            <v>521E</v>
          </cell>
        </row>
        <row r="302">
          <cell r="A302" t="str">
            <v>521Z</v>
          </cell>
        </row>
        <row r="303">
          <cell r="A303" t="str">
            <v>531</v>
          </cell>
        </row>
        <row r="304">
          <cell r="A304" t="str">
            <v>533</v>
          </cell>
        </row>
        <row r="305">
          <cell r="A305" t="str">
            <v>535</v>
          </cell>
        </row>
        <row r="306">
          <cell r="A306" t="str">
            <v>536</v>
          </cell>
        </row>
        <row r="307">
          <cell r="A307" t="str">
            <v>544</v>
          </cell>
        </row>
        <row r="308">
          <cell r="A308" t="str">
            <v>545</v>
          </cell>
        </row>
        <row r="309">
          <cell r="A309" t="str">
            <v>551</v>
          </cell>
        </row>
        <row r="310">
          <cell r="A310" t="str">
            <v>552</v>
          </cell>
        </row>
        <row r="311">
          <cell r="A311" t="str">
            <v>553</v>
          </cell>
        </row>
        <row r="312">
          <cell r="A312" t="str">
            <v>555</v>
          </cell>
        </row>
        <row r="313">
          <cell r="A313" t="str">
            <v>556</v>
          </cell>
        </row>
        <row r="314">
          <cell r="A314" t="str">
            <v>557</v>
          </cell>
        </row>
        <row r="315">
          <cell r="A315" t="str">
            <v>558</v>
          </cell>
        </row>
        <row r="316">
          <cell r="A316" t="str">
            <v>559</v>
          </cell>
        </row>
        <row r="317">
          <cell r="A317" t="str">
            <v>5410</v>
          </cell>
        </row>
        <row r="318">
          <cell r="A318" t="str">
            <v>5416</v>
          </cell>
        </row>
        <row r="319">
          <cell r="A319" t="str">
            <v>6100</v>
          </cell>
        </row>
        <row r="320">
          <cell r="A320" t="str">
            <v>6171</v>
          </cell>
        </row>
        <row r="321">
          <cell r="A321" t="str">
            <v>6172</v>
          </cell>
        </row>
        <row r="322">
          <cell r="A322" t="str">
            <v>6173</v>
          </cell>
        </row>
        <row r="323">
          <cell r="A323" t="str">
            <v>6174</v>
          </cell>
        </row>
        <row r="324">
          <cell r="A324" t="str">
            <v>6176</v>
          </cell>
        </row>
        <row r="325">
          <cell r="A325" t="str">
            <v>6179</v>
          </cell>
        </row>
        <row r="326">
          <cell r="A326" t="str">
            <v>6191</v>
          </cell>
        </row>
        <row r="327">
          <cell r="A327" t="str">
            <v>6192</v>
          </cell>
        </row>
        <row r="328">
          <cell r="A328" t="str">
            <v>6193</v>
          </cell>
        </row>
        <row r="329">
          <cell r="A329" t="str">
            <v>6194</v>
          </cell>
        </row>
        <row r="330">
          <cell r="A330" t="str">
            <v>6195</v>
          </cell>
        </row>
        <row r="331">
          <cell r="A331" t="str">
            <v>6196</v>
          </cell>
        </row>
        <row r="332">
          <cell r="A332" t="str">
            <v>6197</v>
          </cell>
        </row>
        <row r="333">
          <cell r="A333" t="str">
            <v>6199</v>
          </cell>
        </row>
        <row r="334">
          <cell r="A334" t="str">
            <v>6211</v>
          </cell>
        </row>
        <row r="335">
          <cell r="A335" t="str">
            <v>6501</v>
          </cell>
        </row>
        <row r="336">
          <cell r="A336" t="str">
            <v>6502</v>
          </cell>
        </row>
        <row r="337">
          <cell r="A337" t="str">
            <v>6503</v>
          </cell>
        </row>
        <row r="338">
          <cell r="A338" t="str">
            <v>6504</v>
          </cell>
        </row>
        <row r="339">
          <cell r="A339" t="str">
            <v>6505</v>
          </cell>
        </row>
        <row r="340">
          <cell r="A340" t="str">
            <v>6506</v>
          </cell>
        </row>
        <row r="341">
          <cell r="A341" t="str">
            <v>6507</v>
          </cell>
        </row>
        <row r="342">
          <cell r="A342" t="str">
            <v>6508</v>
          </cell>
        </row>
        <row r="343">
          <cell r="A343" t="str">
            <v>6509</v>
          </cell>
        </row>
        <row r="344">
          <cell r="A344" t="str">
            <v>6510</v>
          </cell>
        </row>
        <row r="345">
          <cell r="A345" t="str">
            <v>6511</v>
          </cell>
        </row>
        <row r="346">
          <cell r="A346" t="str">
            <v>6512</v>
          </cell>
        </row>
        <row r="347">
          <cell r="A347" t="str">
            <v>6513</v>
          </cell>
        </row>
        <row r="348">
          <cell r="A348" t="str">
            <v>6520</v>
          </cell>
        </row>
        <row r="349">
          <cell r="A349" t="str">
            <v>6530</v>
          </cell>
        </row>
        <row r="350">
          <cell r="A350" t="str">
            <v>6539</v>
          </cell>
        </row>
        <row r="351">
          <cell r="A351" t="str">
            <v>6610</v>
          </cell>
        </row>
        <row r="352">
          <cell r="A352" t="str">
            <v>6611</v>
          </cell>
        </row>
        <row r="353">
          <cell r="A353" t="str">
            <v>6612</v>
          </cell>
        </row>
        <row r="354">
          <cell r="A354" t="str">
            <v>6613</v>
          </cell>
        </row>
        <row r="355">
          <cell r="A355" t="str">
            <v>6614</v>
          </cell>
        </row>
        <row r="356">
          <cell r="A356" t="str">
            <v>711Z</v>
          </cell>
        </row>
        <row r="357">
          <cell r="A357" t="str">
            <v>7120</v>
          </cell>
        </row>
        <row r="358">
          <cell r="A358" t="str">
            <v>712A</v>
          </cell>
        </row>
        <row r="359">
          <cell r="A359" t="str">
            <v>712B</v>
          </cell>
        </row>
        <row r="360">
          <cell r="A360" t="str">
            <v>712C</v>
          </cell>
        </row>
        <row r="361">
          <cell r="A361" t="str">
            <v>712D</v>
          </cell>
        </row>
        <row r="362">
          <cell r="A362" t="str">
            <v>712E</v>
          </cell>
        </row>
        <row r="363">
          <cell r="A363" t="str">
            <v>712F</v>
          </cell>
        </row>
        <row r="364">
          <cell r="A364" t="str">
            <v>712G</v>
          </cell>
        </row>
        <row r="365">
          <cell r="A365" t="str">
            <v>712H</v>
          </cell>
        </row>
        <row r="366">
          <cell r="A366" t="str">
            <v>712I</v>
          </cell>
        </row>
        <row r="367">
          <cell r="A367" t="str">
            <v>712J</v>
          </cell>
        </row>
        <row r="368">
          <cell r="A368" t="str">
            <v>712K</v>
          </cell>
        </row>
        <row r="369">
          <cell r="A369" t="str">
            <v>712L</v>
          </cell>
        </row>
        <row r="370">
          <cell r="A370" t="str">
            <v>712M</v>
          </cell>
        </row>
        <row r="371">
          <cell r="A371" t="str">
            <v>712N</v>
          </cell>
        </row>
        <row r="372">
          <cell r="A372" t="str">
            <v>712O</v>
          </cell>
        </row>
        <row r="373">
          <cell r="A373" t="str">
            <v>712P</v>
          </cell>
        </row>
        <row r="374">
          <cell r="A374" t="str">
            <v>712Q</v>
          </cell>
        </row>
        <row r="375">
          <cell r="A375" t="str">
            <v>712R</v>
          </cell>
        </row>
        <row r="376">
          <cell r="A376" t="str">
            <v>712S</v>
          </cell>
        </row>
        <row r="377">
          <cell r="A377" t="str">
            <v>712T</v>
          </cell>
        </row>
        <row r="378">
          <cell r="A378" t="str">
            <v>712U</v>
          </cell>
        </row>
        <row r="379">
          <cell r="A379" t="str">
            <v>712V</v>
          </cell>
        </row>
        <row r="380">
          <cell r="A380" t="str">
            <v>712W</v>
          </cell>
        </row>
        <row r="381">
          <cell r="A381" t="str">
            <v>7130</v>
          </cell>
        </row>
        <row r="382">
          <cell r="A382" t="str">
            <v>713A</v>
          </cell>
        </row>
        <row r="383">
          <cell r="A383" t="str">
            <v>713B</v>
          </cell>
        </row>
        <row r="384">
          <cell r="A384" t="str">
            <v>713C</v>
          </cell>
        </row>
        <row r="385">
          <cell r="A385" t="str">
            <v>713D</v>
          </cell>
        </row>
        <row r="386">
          <cell r="A386" t="str">
            <v>713E</v>
          </cell>
        </row>
        <row r="387">
          <cell r="A387" t="str">
            <v>713F</v>
          </cell>
        </row>
        <row r="388">
          <cell r="A388" t="str">
            <v>713G</v>
          </cell>
        </row>
        <row r="389">
          <cell r="A389" t="str">
            <v>713H</v>
          </cell>
        </row>
        <row r="390">
          <cell r="A390" t="str">
            <v>713I</v>
          </cell>
        </row>
        <row r="391">
          <cell r="A391" t="str">
            <v>713J</v>
          </cell>
        </row>
        <row r="392">
          <cell r="A392" t="str">
            <v>713K</v>
          </cell>
        </row>
        <row r="393">
          <cell r="A393" t="str">
            <v>7140</v>
          </cell>
        </row>
        <row r="394">
          <cell r="A394" t="str">
            <v>714A</v>
          </cell>
        </row>
        <row r="395">
          <cell r="A395" t="str">
            <v>714B</v>
          </cell>
        </row>
        <row r="396">
          <cell r="A396" t="str">
            <v>714C</v>
          </cell>
        </row>
        <row r="397">
          <cell r="A397" t="str">
            <v>714D</v>
          </cell>
        </row>
        <row r="398">
          <cell r="A398" t="str">
            <v>714E</v>
          </cell>
        </row>
        <row r="399">
          <cell r="A399" t="str">
            <v>714F</v>
          </cell>
        </row>
        <row r="400">
          <cell r="A400" t="str">
            <v>714G</v>
          </cell>
        </row>
        <row r="401">
          <cell r="A401" t="str">
            <v>714H</v>
          </cell>
        </row>
        <row r="402">
          <cell r="A402" t="str">
            <v>714I</v>
          </cell>
        </row>
        <row r="403">
          <cell r="A403" t="str">
            <v>714J</v>
          </cell>
        </row>
        <row r="404">
          <cell r="A404" t="str">
            <v>714K</v>
          </cell>
        </row>
        <row r="405">
          <cell r="A405" t="str">
            <v>714L</v>
          </cell>
        </row>
        <row r="406">
          <cell r="A406" t="str">
            <v>714M</v>
          </cell>
        </row>
        <row r="407">
          <cell r="A407" t="str">
            <v>714N</v>
          </cell>
        </row>
        <row r="408">
          <cell r="A408" t="str">
            <v>7150</v>
          </cell>
        </row>
        <row r="409">
          <cell r="A409" t="str">
            <v>715A</v>
          </cell>
        </row>
        <row r="410">
          <cell r="A410" t="str">
            <v>715B</v>
          </cell>
        </row>
        <row r="411">
          <cell r="A411" t="str">
            <v>715C</v>
          </cell>
        </row>
        <row r="412">
          <cell r="A412" t="str">
            <v>715D</v>
          </cell>
        </row>
        <row r="413">
          <cell r="A413" t="str">
            <v>715E</v>
          </cell>
        </row>
        <row r="414">
          <cell r="A414" t="str">
            <v>715F</v>
          </cell>
        </row>
        <row r="415">
          <cell r="A415" t="str">
            <v>715G</v>
          </cell>
        </row>
        <row r="416">
          <cell r="A416" t="str">
            <v>715H</v>
          </cell>
        </row>
        <row r="417">
          <cell r="A417" t="str">
            <v>715I</v>
          </cell>
        </row>
        <row r="418">
          <cell r="A418" t="str">
            <v>715J</v>
          </cell>
        </row>
        <row r="419">
          <cell r="A419" t="str">
            <v>715K</v>
          </cell>
        </row>
        <row r="420">
          <cell r="A420" t="str">
            <v>715L</v>
          </cell>
        </row>
        <row r="421">
          <cell r="A421" t="str">
            <v>715M</v>
          </cell>
        </row>
        <row r="422">
          <cell r="A422" t="str">
            <v>715N</v>
          </cell>
        </row>
        <row r="423">
          <cell r="A423" t="str">
            <v>715O</v>
          </cell>
        </row>
        <row r="424">
          <cell r="A424" t="str">
            <v>715P</v>
          </cell>
        </row>
        <row r="425">
          <cell r="A425" t="str">
            <v>715Q</v>
          </cell>
        </row>
        <row r="426">
          <cell r="A426" t="str">
            <v>715R</v>
          </cell>
        </row>
        <row r="427">
          <cell r="A427" t="str">
            <v>715S</v>
          </cell>
        </row>
        <row r="428">
          <cell r="A428" t="str">
            <v>715T</v>
          </cell>
        </row>
        <row r="429">
          <cell r="A429" t="str">
            <v>7160</v>
          </cell>
        </row>
        <row r="430">
          <cell r="A430" t="str">
            <v>716A</v>
          </cell>
        </row>
        <row r="431">
          <cell r="A431" t="str">
            <v>716B</v>
          </cell>
        </row>
        <row r="432">
          <cell r="A432" t="str">
            <v>716C</v>
          </cell>
        </row>
        <row r="433">
          <cell r="A433" t="str">
            <v>7170</v>
          </cell>
        </row>
        <row r="434">
          <cell r="A434" t="str">
            <v>717A</v>
          </cell>
        </row>
        <row r="435">
          <cell r="A435" t="str">
            <v>717B</v>
          </cell>
        </row>
        <row r="436">
          <cell r="A436" t="str">
            <v>717C</v>
          </cell>
        </row>
        <row r="437">
          <cell r="A437" t="str">
            <v>717D</v>
          </cell>
        </row>
        <row r="438">
          <cell r="A438" t="str">
            <v>717E</v>
          </cell>
        </row>
        <row r="439">
          <cell r="A439" t="str">
            <v>717F</v>
          </cell>
        </row>
        <row r="440">
          <cell r="A440" t="str">
            <v>717G</v>
          </cell>
        </row>
        <row r="441">
          <cell r="A441" t="str">
            <v>717H</v>
          </cell>
        </row>
        <row r="442">
          <cell r="A442" t="str">
            <v>717I</v>
          </cell>
        </row>
        <row r="443">
          <cell r="A443" t="str">
            <v>717J</v>
          </cell>
        </row>
        <row r="444">
          <cell r="A444" t="str">
            <v>717K</v>
          </cell>
        </row>
        <row r="445">
          <cell r="A445" t="str">
            <v>717L</v>
          </cell>
        </row>
        <row r="446">
          <cell r="A446" t="str">
            <v>717M</v>
          </cell>
        </row>
        <row r="447">
          <cell r="A447" t="str">
            <v>717N</v>
          </cell>
        </row>
        <row r="448">
          <cell r="A448" t="str">
            <v>717O</v>
          </cell>
        </row>
        <row r="449">
          <cell r="A449" t="str">
            <v>717P</v>
          </cell>
        </row>
        <row r="450">
          <cell r="A450" t="str">
            <v>717Q</v>
          </cell>
        </row>
        <row r="451">
          <cell r="A451" t="str">
            <v>717R</v>
          </cell>
        </row>
        <row r="452">
          <cell r="A452" t="str">
            <v>717S</v>
          </cell>
        </row>
        <row r="453">
          <cell r="A453" t="str">
            <v>717T</v>
          </cell>
        </row>
        <row r="454">
          <cell r="A454" t="str">
            <v>7180</v>
          </cell>
        </row>
        <row r="455">
          <cell r="A455" t="str">
            <v>718A</v>
          </cell>
        </row>
        <row r="456">
          <cell r="A456" t="str">
            <v>718B</v>
          </cell>
        </row>
        <row r="457">
          <cell r="A457" t="str">
            <v>718C</v>
          </cell>
        </row>
        <row r="458">
          <cell r="A458" t="str">
            <v>718D</v>
          </cell>
        </row>
        <row r="459">
          <cell r="A459" t="str">
            <v>718E</v>
          </cell>
        </row>
        <row r="460">
          <cell r="A460" t="str">
            <v>718F</v>
          </cell>
        </row>
        <row r="461">
          <cell r="A461" t="str">
            <v>7190</v>
          </cell>
        </row>
        <row r="462">
          <cell r="A462" t="str">
            <v>719A</v>
          </cell>
        </row>
        <row r="463">
          <cell r="A463" t="str">
            <v>7210</v>
          </cell>
        </row>
        <row r="464">
          <cell r="A464" t="str">
            <v>7211</v>
          </cell>
        </row>
        <row r="465">
          <cell r="A465" t="str">
            <v>7212</v>
          </cell>
        </row>
        <row r="466">
          <cell r="A466" t="str">
            <v>7213</v>
          </cell>
        </row>
        <row r="467">
          <cell r="A467" t="str">
            <v>7214</v>
          </cell>
        </row>
        <row r="468">
          <cell r="A468" t="str">
            <v>7215</v>
          </cell>
        </row>
        <row r="469">
          <cell r="A469" t="str">
            <v>7216</v>
          </cell>
        </row>
        <row r="470">
          <cell r="A470" t="str">
            <v>7217</v>
          </cell>
        </row>
        <row r="471">
          <cell r="A471" t="str">
            <v>7218</v>
          </cell>
        </row>
        <row r="472">
          <cell r="A472" t="str">
            <v>7219</v>
          </cell>
        </row>
        <row r="473">
          <cell r="A473" t="str">
            <v>721Z</v>
          </cell>
        </row>
        <row r="474">
          <cell r="A474" t="str">
            <v>8210</v>
          </cell>
        </row>
        <row r="475">
          <cell r="A475" t="str">
            <v>821A</v>
          </cell>
        </row>
        <row r="476">
          <cell r="A476" t="str">
            <v>821B</v>
          </cell>
        </row>
        <row r="477">
          <cell r="A477" t="str">
            <v>821C</v>
          </cell>
        </row>
        <row r="478">
          <cell r="A478" t="str">
            <v>821D</v>
          </cell>
        </row>
        <row r="479">
          <cell r="A479" t="str">
            <v>821E</v>
          </cell>
        </row>
        <row r="480">
          <cell r="A480" t="str">
            <v>821F</v>
          </cell>
        </row>
        <row r="481">
          <cell r="A481" t="str">
            <v>821G</v>
          </cell>
        </row>
        <row r="482">
          <cell r="A482" t="str">
            <v>821H</v>
          </cell>
        </row>
        <row r="483">
          <cell r="A483" t="str">
            <v>8220</v>
          </cell>
        </row>
        <row r="484">
          <cell r="A484" t="str">
            <v>822A</v>
          </cell>
        </row>
        <row r="485">
          <cell r="A485" t="str">
            <v>822B</v>
          </cell>
        </row>
        <row r="486">
          <cell r="A486" t="str">
            <v>8230</v>
          </cell>
        </row>
        <row r="487">
          <cell r="A487" t="str">
            <v>823A</v>
          </cell>
        </row>
        <row r="488">
          <cell r="A488" t="str">
            <v>823B</v>
          </cell>
        </row>
        <row r="489">
          <cell r="A489" t="str">
            <v>8240</v>
          </cell>
        </row>
        <row r="490">
          <cell r="A490" t="str">
            <v>824A</v>
          </cell>
        </row>
        <row r="491">
          <cell r="A491" t="str">
            <v>824B</v>
          </cell>
        </row>
        <row r="492">
          <cell r="A492" t="str">
            <v>824C</v>
          </cell>
        </row>
        <row r="493">
          <cell r="A493" t="str">
            <v>824D</v>
          </cell>
        </row>
        <row r="494">
          <cell r="A494" t="str">
            <v>824E</v>
          </cell>
        </row>
        <row r="495">
          <cell r="A495" t="str">
            <v>824F</v>
          </cell>
        </row>
        <row r="496">
          <cell r="A496" t="str">
            <v>824G</v>
          </cell>
        </row>
        <row r="497">
          <cell r="A497" t="str">
            <v>8250</v>
          </cell>
        </row>
        <row r="498">
          <cell r="A498" t="str">
            <v>825A</v>
          </cell>
        </row>
        <row r="499">
          <cell r="A499" t="str">
            <v>825B</v>
          </cell>
        </row>
        <row r="500">
          <cell r="A500" t="str">
            <v>825C</v>
          </cell>
        </row>
        <row r="501">
          <cell r="A501" t="str">
            <v>825D</v>
          </cell>
        </row>
        <row r="502">
          <cell r="A502" t="str">
            <v>8260</v>
          </cell>
        </row>
        <row r="503">
          <cell r="A503" t="str">
            <v>826A</v>
          </cell>
        </row>
        <row r="504">
          <cell r="A504" t="str">
            <v>826Z</v>
          </cell>
        </row>
        <row r="505">
          <cell r="A505" t="str">
            <v>8270</v>
          </cell>
        </row>
        <row r="506">
          <cell r="A506" t="str">
            <v>827A</v>
          </cell>
        </row>
        <row r="507">
          <cell r="A507" t="str">
            <v>827F</v>
          </cell>
        </row>
        <row r="508">
          <cell r="A508" t="str">
            <v>827G</v>
          </cell>
        </row>
        <row r="509">
          <cell r="A509" t="str">
            <v>8280</v>
          </cell>
        </row>
        <row r="510">
          <cell r="A510" t="str">
            <v>828A</v>
          </cell>
        </row>
        <row r="511">
          <cell r="A511" t="str">
            <v>828B</v>
          </cell>
        </row>
        <row r="512">
          <cell r="A512" t="str">
            <v>828C</v>
          </cell>
        </row>
        <row r="513">
          <cell r="A513" t="str">
            <v>828D</v>
          </cell>
        </row>
        <row r="514">
          <cell r="A514" t="str">
            <v>828E</v>
          </cell>
        </row>
        <row r="515">
          <cell r="A515" t="str">
            <v>8290</v>
          </cell>
        </row>
        <row r="516">
          <cell r="A516" t="str">
            <v>829A</v>
          </cell>
        </row>
        <row r="517">
          <cell r="A517" t="str">
            <v>829B</v>
          </cell>
        </row>
        <row r="518">
          <cell r="A518" t="str">
            <v>829C</v>
          </cell>
        </row>
        <row r="519">
          <cell r="A519" t="str">
            <v>829D</v>
          </cell>
        </row>
        <row r="520">
          <cell r="A520" t="str">
            <v>829E</v>
          </cell>
        </row>
        <row r="521">
          <cell r="A521" t="str">
            <v>829Z</v>
          </cell>
        </row>
        <row r="522">
          <cell r="A522" t="str">
            <v>8310</v>
          </cell>
        </row>
        <row r="523">
          <cell r="A523" t="str">
            <v>831A</v>
          </cell>
        </row>
        <row r="524">
          <cell r="A524" t="str">
            <v>831B</v>
          </cell>
        </row>
        <row r="525">
          <cell r="A525" t="str">
            <v>831C</v>
          </cell>
        </row>
        <row r="526">
          <cell r="A526" t="str">
            <v>831D</v>
          </cell>
        </row>
        <row r="527">
          <cell r="A527" t="str">
            <v>831E</v>
          </cell>
        </row>
        <row r="528">
          <cell r="A528" t="str">
            <v>831F</v>
          </cell>
        </row>
        <row r="529">
          <cell r="A529" t="str">
            <v>8320</v>
          </cell>
        </row>
        <row r="530">
          <cell r="A530" t="str">
            <v>832A</v>
          </cell>
        </row>
        <row r="531">
          <cell r="A531" t="str">
            <v>8340</v>
          </cell>
        </row>
        <row r="532">
          <cell r="A532" t="str">
            <v>834A</v>
          </cell>
        </row>
        <row r="533">
          <cell r="A533" t="str">
            <v>834B</v>
          </cell>
        </row>
        <row r="534">
          <cell r="A534" t="str">
            <v>834C</v>
          </cell>
        </row>
        <row r="535">
          <cell r="A535" t="str">
            <v>834D</v>
          </cell>
        </row>
        <row r="536">
          <cell r="A536" t="str">
            <v>8370</v>
          </cell>
        </row>
        <row r="537">
          <cell r="A537" t="str">
            <v>837A</v>
          </cell>
        </row>
        <row r="538">
          <cell r="A538" t="str">
            <v>837B</v>
          </cell>
        </row>
        <row r="539">
          <cell r="A539" t="str">
            <v>837C</v>
          </cell>
        </row>
        <row r="540">
          <cell r="A540" t="str">
            <v>8400</v>
          </cell>
        </row>
        <row r="541">
          <cell r="A541" t="str">
            <v>8410</v>
          </cell>
        </row>
        <row r="542">
          <cell r="A542" t="str">
            <v>8411</v>
          </cell>
        </row>
        <row r="543">
          <cell r="A543" t="str">
            <v>8412</v>
          </cell>
        </row>
        <row r="544">
          <cell r="A544" t="str">
            <v>8413</v>
          </cell>
        </row>
        <row r="545">
          <cell r="A545" t="str">
            <v>8414</v>
          </cell>
        </row>
        <row r="546">
          <cell r="A546" t="str">
            <v>8415</v>
          </cell>
        </row>
        <row r="547">
          <cell r="A547" t="str">
            <v>8420</v>
          </cell>
        </row>
        <row r="548">
          <cell r="A548" t="str">
            <v>8421</v>
          </cell>
        </row>
        <row r="549">
          <cell r="A549" t="str">
            <v>8510</v>
          </cell>
        </row>
        <row r="550">
          <cell r="A550" t="str">
            <v>8511</v>
          </cell>
        </row>
        <row r="551">
          <cell r="A551" t="str">
            <v>851A</v>
          </cell>
        </row>
        <row r="552">
          <cell r="A552" t="str">
            <v>851B</v>
          </cell>
        </row>
        <row r="553">
          <cell r="A553" t="str">
            <v>8520</v>
          </cell>
        </row>
        <row r="554">
          <cell r="A554" t="str">
            <v>852A</v>
          </cell>
        </row>
        <row r="555">
          <cell r="A555" t="str">
            <v>852B</v>
          </cell>
        </row>
        <row r="556">
          <cell r="A556" t="str">
            <v>852C</v>
          </cell>
        </row>
        <row r="557">
          <cell r="A557" t="str">
            <v>852D</v>
          </cell>
        </row>
        <row r="558">
          <cell r="A558" t="str">
            <v>852E</v>
          </cell>
        </row>
        <row r="559">
          <cell r="A559" t="str">
            <v>852F</v>
          </cell>
        </row>
        <row r="560">
          <cell r="A560" t="str">
            <v>852G</v>
          </cell>
        </row>
        <row r="561">
          <cell r="A561" t="str">
            <v>852H</v>
          </cell>
        </row>
        <row r="562">
          <cell r="A562" t="str">
            <v>852J</v>
          </cell>
        </row>
        <row r="563">
          <cell r="A563" t="str">
            <v>852K</v>
          </cell>
        </row>
        <row r="564">
          <cell r="A564" t="str">
            <v>852L</v>
          </cell>
        </row>
        <row r="565">
          <cell r="A565" t="str">
            <v>852M</v>
          </cell>
        </row>
        <row r="566">
          <cell r="A566" t="str">
            <v>852N</v>
          </cell>
        </row>
        <row r="567">
          <cell r="A567" t="str">
            <v>852P</v>
          </cell>
        </row>
        <row r="568">
          <cell r="A568" t="str">
            <v>852Q</v>
          </cell>
        </row>
        <row r="569">
          <cell r="A569" t="str">
            <v>852R</v>
          </cell>
        </row>
        <row r="570">
          <cell r="A570" t="str">
            <v>852T</v>
          </cell>
        </row>
        <row r="571">
          <cell r="A571" t="str">
            <v>852U</v>
          </cell>
        </row>
        <row r="572">
          <cell r="A572" t="str">
            <v>8530</v>
          </cell>
        </row>
        <row r="573">
          <cell r="A573" t="str">
            <v>853A</v>
          </cell>
        </row>
        <row r="574">
          <cell r="A574" t="str">
            <v>853B</v>
          </cell>
        </row>
        <row r="575">
          <cell r="A575" t="str">
            <v>853C</v>
          </cell>
        </row>
        <row r="576">
          <cell r="A576" t="str">
            <v>853D</v>
          </cell>
        </row>
        <row r="577">
          <cell r="A577" t="str">
            <v>8540</v>
          </cell>
        </row>
        <row r="578">
          <cell r="A578" t="str">
            <v>854A</v>
          </cell>
        </row>
        <row r="579">
          <cell r="A579" t="str">
            <v>854B</v>
          </cell>
        </row>
        <row r="580">
          <cell r="A580" t="str">
            <v>914</v>
          </cell>
        </row>
        <row r="581">
          <cell r="A581" t="str">
            <v>8800</v>
          </cell>
        </row>
        <row r="582">
          <cell r="A582" t="str">
            <v>8811</v>
          </cell>
        </row>
        <row r="583">
          <cell r="A583" t="str">
            <v>8911</v>
          </cell>
        </row>
      </sheetData>
      <sheetData sheetId="47"/>
      <sheetData sheetId="48"/>
      <sheetData sheetId="49"/>
      <sheetData sheetId="50" refreshError="1"/>
      <sheetData sheetId="5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"/>
      <sheetName val="BP42"/>
      <sheetName val="BP43"/>
      <sheetName val="BP24"/>
      <sheetName val="BP24A"/>
      <sheetName val="BP61"/>
      <sheetName val="BP63"/>
      <sheetName val="BP22I"/>
      <sheetName val="BP64"/>
      <sheetName val="BP66"/>
      <sheetName val="SALARY"/>
      <sheetName val="MANDAYS"/>
      <sheetName val="JobCode"/>
      <sheetName val="Price List"/>
    </sheetNames>
    <sheetDataSet>
      <sheetData sheetId="0">
        <row r="5">
          <cell r="E5" t="str">
            <v>BEGERPANG</v>
          </cell>
        </row>
      </sheetData>
      <sheetData sheetId="1"/>
      <sheetData sheetId="2"/>
      <sheetData sheetId="3">
        <row r="63">
          <cell r="D63" t="str">
            <v>MV</v>
          </cell>
          <cell r="E63">
            <v>2064.4223076815424</v>
          </cell>
        </row>
        <row r="64">
          <cell r="D64" t="str">
            <v>TC</v>
          </cell>
          <cell r="E64">
            <v>14611.113900459615</v>
          </cell>
        </row>
        <row r="65">
          <cell r="D65" t="str">
            <v>TR</v>
          </cell>
          <cell r="E65">
            <v>97601.149383371783</v>
          </cell>
        </row>
        <row r="66">
          <cell r="D66" t="str">
            <v>RG</v>
          </cell>
          <cell r="E66">
            <v>94633.124319712879</v>
          </cell>
        </row>
        <row r="67">
          <cell r="D67" t="str">
            <v>EX</v>
          </cell>
          <cell r="E67">
            <v>0</v>
          </cell>
        </row>
        <row r="68">
          <cell r="D68" t="str">
            <v>LD</v>
          </cell>
          <cell r="E68">
            <v>99199.210776112755</v>
          </cell>
        </row>
        <row r="69">
          <cell r="D69" t="str">
            <v>BL</v>
          </cell>
          <cell r="E69">
            <v>0</v>
          </cell>
        </row>
        <row r="70">
          <cell r="D70" t="str">
            <v>CP</v>
          </cell>
          <cell r="E70">
            <v>76793.755825246219</v>
          </cell>
        </row>
      </sheetData>
      <sheetData sheetId="4"/>
      <sheetData sheetId="5">
        <row r="72">
          <cell r="B72" t="str">
            <v>WP01</v>
          </cell>
          <cell r="C72">
            <v>61340.555376992241</v>
          </cell>
          <cell r="D72">
            <v>1460</v>
          </cell>
        </row>
        <row r="73">
          <cell r="B73" t="str">
            <v>WP02</v>
          </cell>
          <cell r="C73">
            <v>113273.15858548063</v>
          </cell>
          <cell r="D73">
            <v>1460</v>
          </cell>
        </row>
        <row r="74">
          <cell r="B74" t="str">
            <v>WP04</v>
          </cell>
          <cell r="C74">
            <v>120889.72915520113</v>
          </cell>
          <cell r="D74">
            <v>1460</v>
          </cell>
        </row>
        <row r="75">
          <cell r="B75" t="str">
            <v>WP07</v>
          </cell>
          <cell r="C75">
            <v>61002.401303035484</v>
          </cell>
          <cell r="D75">
            <v>1460</v>
          </cell>
        </row>
        <row r="76">
          <cell r="B76" t="str">
            <v>WP06</v>
          </cell>
          <cell r="C76">
            <v>100578.10650099257</v>
          </cell>
          <cell r="D76">
            <v>1460</v>
          </cell>
        </row>
        <row r="77">
          <cell r="B77" t="str">
            <v>WP08</v>
          </cell>
          <cell r="C77">
            <v>62179.03714632988</v>
          </cell>
          <cell r="D77">
            <v>1460</v>
          </cell>
        </row>
        <row r="78">
          <cell r="B78" t="str">
            <v>WP01A</v>
          </cell>
          <cell r="C78">
            <v>140925.48563084964</v>
          </cell>
          <cell r="D78">
            <v>1460</v>
          </cell>
        </row>
        <row r="79">
          <cell r="B79" t="str">
            <v>WP09</v>
          </cell>
          <cell r="C79">
            <v>45604.079777971339</v>
          </cell>
          <cell r="D79">
            <v>1460</v>
          </cell>
        </row>
        <row r="80">
          <cell r="B80" t="str">
            <v>LG01</v>
          </cell>
          <cell r="C80">
            <v>57627.549894043863</v>
          </cell>
          <cell r="D80">
            <v>240</v>
          </cell>
        </row>
        <row r="81">
          <cell r="B81" t="str">
            <v>LG02</v>
          </cell>
          <cell r="C81">
            <v>68044.216560710527</v>
          </cell>
          <cell r="D81">
            <v>240</v>
          </cell>
        </row>
        <row r="82">
          <cell r="B82" t="str">
            <v>WP05</v>
          </cell>
          <cell r="C82">
            <v>36934.102114454719</v>
          </cell>
          <cell r="D82">
            <v>2555</v>
          </cell>
        </row>
        <row r="83">
          <cell r="B83" t="str">
            <v>LM01</v>
          </cell>
          <cell r="C83">
            <v>17958.387313266445</v>
          </cell>
          <cell r="D83">
            <v>1794</v>
          </cell>
        </row>
        <row r="84">
          <cell r="B84" t="str">
            <v>LM02</v>
          </cell>
          <cell r="C84">
            <v>17958.387313266445</v>
          </cell>
          <cell r="D84">
            <v>1794</v>
          </cell>
        </row>
        <row r="85">
          <cell r="B85" t="str">
            <v>LM03</v>
          </cell>
          <cell r="C85">
            <v>17958.387313266445</v>
          </cell>
          <cell r="D85">
            <v>1794</v>
          </cell>
        </row>
        <row r="86">
          <cell r="B86" t="str">
            <v>LM04</v>
          </cell>
          <cell r="C86">
            <v>17958.387313266445</v>
          </cell>
          <cell r="D86">
            <v>1794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4">
          <cell r="B4">
            <v>2520</v>
          </cell>
          <cell r="C4" t="str">
            <v>FELLING/CLEARING.</v>
          </cell>
        </row>
        <row r="5">
          <cell r="B5" t="str">
            <v>252A</v>
          </cell>
          <cell r="C5" t="str">
            <v>FELLING/CLEARING /LEVELLING/UPROOTING/STACKING</v>
          </cell>
        </row>
        <row r="6">
          <cell r="B6" t="str">
            <v>252B</v>
          </cell>
          <cell r="C6" t="str">
            <v>RIPPING/PLOUGHING/HARROWING/COLLECTING ROOT</v>
          </cell>
        </row>
        <row r="7">
          <cell r="B7" t="str">
            <v>252C</v>
          </cell>
          <cell r="C7" t="str">
            <v>POISONING STUMP</v>
          </cell>
        </row>
        <row r="8">
          <cell r="B8" t="str">
            <v>252D</v>
          </cell>
          <cell r="C8" t="str">
            <v>SPRAYING NOXIOUS WEEDS/GROWTH</v>
          </cell>
        </row>
        <row r="9">
          <cell r="B9" t="str">
            <v>252E</v>
          </cell>
          <cell r="C9" t="str">
            <v>LINING FOR WINDROWING</v>
          </cell>
        </row>
        <row r="10">
          <cell r="B10">
            <v>2530</v>
          </cell>
          <cell r="C10" t="str">
            <v>WEEDING/LALANG</v>
          </cell>
        </row>
        <row r="11">
          <cell r="B11" t="str">
            <v>253A</v>
          </cell>
          <cell r="C11" t="str">
            <v>MANUAL WEEDING</v>
          </cell>
        </row>
        <row r="12">
          <cell r="B12" t="str">
            <v>253B</v>
          </cell>
          <cell r="C12" t="str">
            <v>SPRAYING WEEDS/BROAD LEAF</v>
          </cell>
        </row>
        <row r="13">
          <cell r="B13" t="str">
            <v>253C</v>
          </cell>
          <cell r="C13" t="str">
            <v>SPRAYING CIRCLE/STRIP</v>
          </cell>
        </row>
        <row r="14">
          <cell r="B14" t="str">
            <v>253D</v>
          </cell>
          <cell r="C14" t="str">
            <v>SLASHING LOWLAND</v>
          </cell>
        </row>
        <row r="15">
          <cell r="B15" t="str">
            <v>253E</v>
          </cell>
          <cell r="C15" t="str">
            <v>CONTROLLING/ERADICATING LALANG</v>
          </cell>
        </row>
        <row r="16">
          <cell r="B16" t="str">
            <v>253F</v>
          </cell>
          <cell r="C16" t="str">
            <v>UPKEEP SUPPLYING</v>
          </cell>
        </row>
        <row r="17">
          <cell r="B17">
            <v>2540</v>
          </cell>
          <cell r="C17" t="str">
            <v>ROAD/BRIDGES</v>
          </cell>
        </row>
        <row r="18">
          <cell r="B18" t="str">
            <v>254A</v>
          </cell>
          <cell r="C18" t="str">
            <v>MAKING MAIN ROAD</v>
          </cell>
        </row>
        <row r="19">
          <cell r="B19" t="str">
            <v>254B</v>
          </cell>
          <cell r="C19" t="str">
            <v>MAKING COLLECTION ROAD</v>
          </cell>
        </row>
        <row r="20">
          <cell r="B20" t="str">
            <v>254C</v>
          </cell>
          <cell r="C20" t="str">
            <v>MAKING TEMPORARY BRIDGE</v>
          </cell>
        </row>
        <row r="21">
          <cell r="B21" t="str">
            <v>254D</v>
          </cell>
          <cell r="C21" t="str">
            <v>CONSTRUCTING CULVERT/WALL</v>
          </cell>
        </row>
        <row r="22">
          <cell r="B22" t="str">
            <v>254E</v>
          </cell>
          <cell r="C22" t="str">
            <v>UPKEEP MAIN ROAD</v>
          </cell>
        </row>
        <row r="23">
          <cell r="B23" t="str">
            <v>254F</v>
          </cell>
          <cell r="C23" t="str">
            <v>UPKEEP COLLECTION ROAD</v>
          </cell>
        </row>
        <row r="24">
          <cell r="B24" t="str">
            <v>254G</v>
          </cell>
          <cell r="C24" t="str">
            <v>UPKEEP BRIDGE</v>
          </cell>
        </row>
        <row r="25">
          <cell r="B25" t="str">
            <v>254H</v>
          </cell>
          <cell r="C25" t="str">
            <v>UPKEEP CULVERT/WALL</v>
          </cell>
        </row>
        <row r="26">
          <cell r="B26">
            <v>2550</v>
          </cell>
          <cell r="C26" t="str">
            <v>SOIL/WATER CONSERVATION</v>
          </cell>
        </row>
        <row r="27">
          <cell r="B27" t="str">
            <v>255A</v>
          </cell>
          <cell r="C27" t="str">
            <v>MAKING TERRACE</v>
          </cell>
        </row>
        <row r="28">
          <cell r="B28" t="str">
            <v>255B</v>
          </cell>
          <cell r="C28" t="str">
            <v>MAKING PLATFORM</v>
          </cell>
        </row>
        <row r="29">
          <cell r="B29" t="str">
            <v>255C</v>
          </cell>
          <cell r="C29" t="str">
            <v>MAKING WATERGATE</v>
          </cell>
        </row>
        <row r="30">
          <cell r="B30" t="str">
            <v>255D</v>
          </cell>
          <cell r="C30" t="str">
            <v>MAKING SILT PIT</v>
          </cell>
        </row>
        <row r="31">
          <cell r="B31" t="str">
            <v>255E</v>
          </cell>
          <cell r="C31" t="str">
            <v>MAKING STOP/WASH BUNDS</v>
          </cell>
        </row>
        <row r="32">
          <cell r="B32" t="str">
            <v>255F</v>
          </cell>
          <cell r="C32" t="str">
            <v>UPKEEP TERRACE</v>
          </cell>
        </row>
        <row r="33">
          <cell r="B33" t="str">
            <v>255G</v>
          </cell>
          <cell r="C33" t="str">
            <v>UPKEEP PLATFORM</v>
          </cell>
        </row>
        <row r="34">
          <cell r="B34" t="str">
            <v>255H</v>
          </cell>
          <cell r="C34" t="str">
            <v>UPKEEP WATERGATE</v>
          </cell>
        </row>
        <row r="35">
          <cell r="B35" t="str">
            <v>255I</v>
          </cell>
          <cell r="C35" t="str">
            <v>UPKEEP SILT PIT</v>
          </cell>
        </row>
        <row r="36">
          <cell r="B36" t="str">
            <v>255J</v>
          </cell>
          <cell r="C36" t="str">
            <v>UPKEEP STOP/WASH BUNDS</v>
          </cell>
        </row>
        <row r="37">
          <cell r="B37">
            <v>2560</v>
          </cell>
          <cell r="C37" t="str">
            <v>DRAINS</v>
          </cell>
        </row>
        <row r="38">
          <cell r="B38" t="str">
            <v>256A</v>
          </cell>
          <cell r="C38" t="str">
            <v>MAKING OUTLET DRAIN</v>
          </cell>
        </row>
        <row r="39">
          <cell r="B39" t="str">
            <v>256B</v>
          </cell>
          <cell r="C39" t="str">
            <v>MAKING MAIN DRAIN</v>
          </cell>
        </row>
        <row r="40">
          <cell r="B40" t="str">
            <v>256C</v>
          </cell>
          <cell r="C40" t="str">
            <v>MAKING COLLECTION DRAIN</v>
          </cell>
        </row>
        <row r="41">
          <cell r="B41" t="str">
            <v>256D</v>
          </cell>
          <cell r="C41" t="str">
            <v>MAKING SUBSIDIARY DRAIN</v>
          </cell>
        </row>
        <row r="42">
          <cell r="B42" t="str">
            <v>256E</v>
          </cell>
          <cell r="C42" t="str">
            <v>UPKEEP MAIN DRAIN</v>
          </cell>
        </row>
        <row r="43">
          <cell r="B43" t="str">
            <v>256F</v>
          </cell>
          <cell r="C43" t="str">
            <v>UPKEEP COLLECTION DRAIN</v>
          </cell>
        </row>
        <row r="44">
          <cell r="B44" t="str">
            <v>256G</v>
          </cell>
          <cell r="C44" t="str">
            <v>UPKEEP SUBSIDIARY DRAIN</v>
          </cell>
        </row>
        <row r="45">
          <cell r="B45" t="str">
            <v>256H</v>
          </cell>
          <cell r="C45" t="str">
            <v>UPKEEP RIVER</v>
          </cell>
        </row>
        <row r="46">
          <cell r="B46">
            <v>2570</v>
          </cell>
          <cell r="C46" t="str">
            <v>BOUNDARIES/SURVEY</v>
          </cell>
        </row>
        <row r="47">
          <cell r="B47" t="str">
            <v>257A</v>
          </cell>
          <cell r="C47" t="str">
            <v>AREA SURVEY</v>
          </cell>
        </row>
        <row r="48">
          <cell r="B48" t="str">
            <v>257B</v>
          </cell>
          <cell r="C48" t="str">
            <v>MAKING BOUNDARIES</v>
          </cell>
        </row>
        <row r="49">
          <cell r="B49" t="str">
            <v>257C</v>
          </cell>
          <cell r="C49" t="str">
            <v>UPKEEP BOUNDARIES</v>
          </cell>
        </row>
        <row r="50">
          <cell r="B50">
            <v>2580</v>
          </cell>
          <cell r="C50" t="str">
            <v>SHADE/COVER CROPS</v>
          </cell>
        </row>
        <row r="51">
          <cell r="B51" t="str">
            <v>258A</v>
          </cell>
          <cell r="C51" t="str">
            <v>PLANTING &amp; SUPLLYING  SHADE/LEGIUM COVER CROP</v>
          </cell>
        </row>
        <row r="52">
          <cell r="B52" t="str">
            <v>258B</v>
          </cell>
          <cell r="C52" t="str">
            <v>SHADE MANIPULATION</v>
          </cell>
        </row>
        <row r="53">
          <cell r="B53">
            <v>2590</v>
          </cell>
          <cell r="C53" t="str">
            <v>LINING/HOLING/PLANTING</v>
          </cell>
        </row>
        <row r="54">
          <cell r="B54" t="str">
            <v>259A</v>
          </cell>
          <cell r="C54" t="str">
            <v>COLLECTING/FILLING SOIL</v>
          </cell>
        </row>
        <row r="55">
          <cell r="B55" t="str">
            <v>259B</v>
          </cell>
          <cell r="C55" t="str">
            <v>PLANTING (SEED,SEEDLING,TREES, GERMINATING BED)</v>
          </cell>
        </row>
        <row r="56">
          <cell r="B56" t="str">
            <v>259C</v>
          </cell>
          <cell r="C56" t="str">
            <v>BUDDING</v>
          </cell>
        </row>
        <row r="57">
          <cell r="B57" t="str">
            <v>259D</v>
          </cell>
          <cell r="C57" t="str">
            <v>CUT BACK</v>
          </cell>
        </row>
        <row r="58">
          <cell r="B58" t="str">
            <v>259E</v>
          </cell>
          <cell r="C58" t="str">
            <v>TRANSPLANTING</v>
          </cell>
        </row>
        <row r="59">
          <cell r="B59" t="str">
            <v>259F</v>
          </cell>
          <cell r="C59" t="str">
            <v>SELECTION (CULLING)</v>
          </cell>
        </row>
        <row r="60">
          <cell r="B60" t="str">
            <v>259G</v>
          </cell>
          <cell r="C60" t="str">
            <v>ARRANGING/SPACING POLYBAGS</v>
          </cell>
        </row>
        <row r="61">
          <cell r="B61" t="str">
            <v>259H</v>
          </cell>
          <cell r="C61" t="str">
            <v xml:space="preserve">WATERING/MULCHING </v>
          </cell>
        </row>
        <row r="62">
          <cell r="B62" t="str">
            <v>259I</v>
          </cell>
          <cell r="C62" t="str">
            <v>LINING</v>
          </cell>
        </row>
        <row r="63">
          <cell r="B63" t="str">
            <v>259J</v>
          </cell>
          <cell r="C63" t="str">
            <v>HOLING</v>
          </cell>
        </row>
        <row r="64">
          <cell r="B64" t="str">
            <v>259K</v>
          </cell>
          <cell r="C64" t="str">
            <v>DISTRIBUTING SEEDLING TO FIELD</v>
          </cell>
        </row>
        <row r="65">
          <cell r="B65" t="str">
            <v>259L</v>
          </cell>
          <cell r="C65" t="str">
            <v>CONSOLIDATING &amp; CHECKING ABNORMAL TREES</v>
          </cell>
        </row>
        <row r="66">
          <cell r="B66">
            <v>2620</v>
          </cell>
          <cell r="C66" t="str">
            <v>CENCUS/THINNING /SUPPLYING</v>
          </cell>
        </row>
        <row r="67">
          <cell r="B67" t="str">
            <v>262A</v>
          </cell>
          <cell r="C67" t="str">
            <v>SUPPLYING/INFILLING/REJUVENATION</v>
          </cell>
        </row>
        <row r="68">
          <cell r="B68" t="str">
            <v>262B</v>
          </cell>
          <cell r="C68" t="str">
            <v>CENCUS TREES</v>
          </cell>
        </row>
        <row r="69">
          <cell r="B69" t="str">
            <v>262C</v>
          </cell>
          <cell r="C69" t="str">
            <v>THINNING</v>
          </cell>
        </row>
        <row r="70">
          <cell r="B70" t="str">
            <v>262D</v>
          </cell>
          <cell r="C70" t="str">
            <v>FORECASTING CROP</v>
          </cell>
        </row>
        <row r="71">
          <cell r="B71" t="str">
            <v>262E</v>
          </cell>
          <cell r="C71" t="str">
            <v>RETASKING</v>
          </cell>
        </row>
        <row r="72">
          <cell r="B72" t="str">
            <v>262F</v>
          </cell>
          <cell r="C72" t="str">
            <v>BUNCH WEIGHT /GIRTH MEASUREMENT</v>
          </cell>
        </row>
        <row r="73">
          <cell r="B73">
            <v>2630</v>
          </cell>
          <cell r="C73" t="str">
            <v>PRUNING/INDUCTION/DANITATION</v>
          </cell>
        </row>
        <row r="74">
          <cell r="B74" t="str">
            <v>263A</v>
          </cell>
          <cell r="C74" t="str">
            <v>PRUNING</v>
          </cell>
        </row>
        <row r="75">
          <cell r="B75" t="str">
            <v>263B</v>
          </cell>
          <cell r="C75" t="str">
            <v>WATER SHOOT PRUNING</v>
          </cell>
        </row>
        <row r="76">
          <cell r="B76" t="str">
            <v>263C</v>
          </cell>
          <cell r="C76" t="str">
            <v>CORRECTIVE/FORMATION PRUNING</v>
          </cell>
        </row>
        <row r="77">
          <cell r="B77" t="str">
            <v>263D</v>
          </cell>
          <cell r="C77" t="str">
            <v>LEAF FOLDING/TOP PRUNING</v>
          </cell>
        </row>
        <row r="78">
          <cell r="B78" t="str">
            <v>263E</v>
          </cell>
          <cell r="C78" t="str">
            <v>SANITATION OF PALM TRUNKS</v>
          </cell>
        </row>
        <row r="79">
          <cell r="B79">
            <v>2640</v>
          </cell>
          <cell r="C79" t="str">
            <v>PEST &amp; DISEASES</v>
          </cell>
        </row>
        <row r="80">
          <cell r="B80" t="str">
            <v>264A</v>
          </cell>
          <cell r="C80" t="str">
            <v>PEST DETECTION/CENSUS</v>
          </cell>
        </row>
        <row r="81">
          <cell r="B81" t="str">
            <v>264B</v>
          </cell>
          <cell r="C81" t="str">
            <v>DISEASE DETECTION/CENSUS</v>
          </cell>
        </row>
        <row r="82">
          <cell r="B82" t="str">
            <v>264C</v>
          </cell>
          <cell r="C82" t="str">
            <v>LEAF PESTS CONTROL/TREATMENT</v>
          </cell>
        </row>
        <row r="83">
          <cell r="B83" t="str">
            <v>264D</v>
          </cell>
          <cell r="C83" t="str">
            <v>LEAF DISEASES CONTROL/TREATMENT</v>
          </cell>
        </row>
        <row r="84">
          <cell r="B84" t="str">
            <v>264E</v>
          </cell>
          <cell r="C84" t="str">
            <v>CPB/HELOPELTIS CONTROL/TREATMENT</v>
          </cell>
        </row>
        <row r="85">
          <cell r="B85" t="str">
            <v>264F</v>
          </cell>
          <cell r="C85" t="str">
            <v>POD/BUNCH DISEASES CONTROL/TREATMENT</v>
          </cell>
        </row>
        <row r="86">
          <cell r="B86" t="str">
            <v>264G</v>
          </cell>
          <cell r="C86" t="str">
            <v>TRUNK/PANEL DISEASES CONTROL/TREATMENT</v>
          </cell>
        </row>
        <row r="87">
          <cell r="B87" t="str">
            <v>264H</v>
          </cell>
          <cell r="C87" t="str">
            <v>ROOT DISEASE CONTROL/TREATMENT</v>
          </cell>
        </row>
        <row r="88">
          <cell r="B88" t="str">
            <v>264I</v>
          </cell>
          <cell r="C88" t="str">
            <v>WIND DAMAGE</v>
          </cell>
        </row>
        <row r="89">
          <cell r="B89" t="str">
            <v>264J</v>
          </cell>
          <cell r="C89" t="str">
            <v>MEALY BUGS/BLACK ANTS</v>
          </cell>
        </row>
        <row r="90">
          <cell r="B90" t="str">
            <v>264K</v>
          </cell>
          <cell r="C90" t="str">
            <v>ORYCTES CONTROL/TREATMENT</v>
          </cell>
        </row>
        <row r="91">
          <cell r="B91" t="str">
            <v>264L</v>
          </cell>
          <cell r="C91" t="str">
            <v>MAMALIAN / FIRE CONTROL</v>
          </cell>
        </row>
        <row r="92">
          <cell r="B92" t="str">
            <v>264M</v>
          </cell>
          <cell r="C92" t="str">
            <v>UPKEEP BENEFICIAL WEEDS</v>
          </cell>
        </row>
        <row r="93">
          <cell r="B93" t="str">
            <v>264N</v>
          </cell>
          <cell r="C93" t="str">
            <v>SANITATION</v>
          </cell>
        </row>
        <row r="94">
          <cell r="B94" t="str">
            <v>264O</v>
          </cell>
          <cell r="C94" t="str">
            <v>RAT CONTROL</v>
          </cell>
        </row>
        <row r="95">
          <cell r="B95">
            <v>2650</v>
          </cell>
          <cell r="C95" t="str">
            <v>STIMULATION/CASTRATION</v>
          </cell>
        </row>
        <row r="96">
          <cell r="B96" t="str">
            <v>265A</v>
          </cell>
          <cell r="C96" t="str">
            <v>STIMULATION</v>
          </cell>
        </row>
        <row r="97">
          <cell r="B97" t="str">
            <v>265B</v>
          </cell>
          <cell r="C97" t="str">
            <v>CASTRATION/ABLATION</v>
          </cell>
        </row>
        <row r="98">
          <cell r="B98">
            <v>2660</v>
          </cell>
          <cell r="C98" t="str">
            <v>MANURING</v>
          </cell>
        </row>
        <row r="99">
          <cell r="B99" t="str">
            <v>266A</v>
          </cell>
          <cell r="C99" t="str">
            <v>LEAF  SAMPLING</v>
          </cell>
        </row>
        <row r="100">
          <cell r="B100" t="str">
            <v>266B</v>
          </cell>
          <cell r="C100" t="str">
            <v>EFB APPLICATION</v>
          </cell>
        </row>
        <row r="101">
          <cell r="B101" t="str">
            <v>266C</v>
          </cell>
          <cell r="C101" t="str">
            <v xml:space="preserve">NURSERY FERTILISER APPLICATION </v>
          </cell>
        </row>
        <row r="102">
          <cell r="B102" t="str">
            <v>266D</v>
          </cell>
          <cell r="C102" t="str">
            <v>COVER CROP FERTILISER APPLICATION</v>
          </cell>
        </row>
        <row r="103">
          <cell r="B103" t="str">
            <v>266E</v>
          </cell>
          <cell r="C103" t="str">
            <v>MIXING WITH COMPOST/COWDUNG/POME</v>
          </cell>
        </row>
        <row r="104">
          <cell r="B104" t="str">
            <v>266F</v>
          </cell>
          <cell r="C104" t="str">
            <v>MANURING HOLE</v>
          </cell>
        </row>
        <row r="105">
          <cell r="B105" t="str">
            <v>266G</v>
          </cell>
          <cell r="C105" t="str">
            <v>COMPOST APPLICATION</v>
          </cell>
        </row>
        <row r="106">
          <cell r="B106" t="str">
            <v>266H</v>
          </cell>
          <cell r="C106" t="str">
            <v>FERTILISER APPLICATION</v>
          </cell>
        </row>
        <row r="107">
          <cell r="B107" t="str">
            <v>266I</v>
          </cell>
          <cell r="C107" t="str">
            <v>FOLIAR APPLICATION</v>
          </cell>
        </row>
        <row r="108">
          <cell r="B108" t="str">
            <v>266J</v>
          </cell>
          <cell r="C108" t="str">
            <v>POME APPLICATION</v>
          </cell>
        </row>
        <row r="109">
          <cell r="B109">
            <v>2670</v>
          </cell>
          <cell r="C109" t="str">
            <v>FOOT BRIDGE/PATHS</v>
          </cell>
        </row>
        <row r="110">
          <cell r="B110" t="str">
            <v>267A</v>
          </cell>
          <cell r="C110" t="str">
            <v>MAKING/FIXING FOOT BRIDGE</v>
          </cell>
        </row>
        <row r="111">
          <cell r="B111" t="str">
            <v>267B</v>
          </cell>
          <cell r="C111" t="str">
            <v>MAKING PATHS AND COLLECTING POINT</v>
          </cell>
        </row>
        <row r="112">
          <cell r="B112" t="str">
            <v>267C</v>
          </cell>
          <cell r="C112" t="str">
            <v>UPKEEP FOOT BRIDGE</v>
          </cell>
        </row>
        <row r="113">
          <cell r="B113" t="str">
            <v>267D</v>
          </cell>
          <cell r="C113" t="str">
            <v>UPKEEP PATHS AND COLLECTING POINT</v>
          </cell>
        </row>
        <row r="114">
          <cell r="B114">
            <v>2680</v>
          </cell>
          <cell r="C114" t="str">
            <v>RESEARCH CHARGES</v>
          </cell>
        </row>
        <row r="115">
          <cell r="B115" t="str">
            <v>268A</v>
          </cell>
          <cell r="C115" t="str">
            <v>RESEARCH CHARGE</v>
          </cell>
        </row>
        <row r="116">
          <cell r="B116">
            <v>2690</v>
          </cell>
          <cell r="C116" t="str">
            <v>LEASED PLASMA PAYMENT</v>
          </cell>
        </row>
        <row r="117">
          <cell r="B117" t="str">
            <v>269A</v>
          </cell>
          <cell r="C117" t="str">
            <v>LEASED PLASMA PAYMENT</v>
          </cell>
        </row>
        <row r="118">
          <cell r="B118" t="str">
            <v>2700</v>
          </cell>
          <cell r="C118" t="str">
            <v>BORROWING COST</v>
          </cell>
        </row>
        <row r="119">
          <cell r="B119" t="str">
            <v>270A</v>
          </cell>
          <cell r="C119" t="str">
            <v>BORROWING COST - PLANTING CAPEX</v>
          </cell>
        </row>
        <row r="120">
          <cell r="B120" t="str">
            <v>270B</v>
          </cell>
          <cell r="C120" t="str">
            <v>BORROWING COST - LAND ACQUISITION</v>
          </cell>
        </row>
        <row r="121">
          <cell r="B121">
            <v>4110</v>
          </cell>
          <cell r="C121" t="str">
            <v>HARVESTING/COLLECTION</v>
          </cell>
        </row>
        <row r="122">
          <cell r="B122" t="str">
            <v>411A</v>
          </cell>
          <cell r="C122" t="str">
            <v>HARVESTING/TAPPING/PLUCKING</v>
          </cell>
        </row>
        <row r="123">
          <cell r="B123" t="str">
            <v>411B</v>
          </cell>
          <cell r="C123" t="str">
            <v>LOOSE FRUIT/LUMP/FINE LEAF &lt; 65%</v>
          </cell>
        </row>
        <row r="124">
          <cell r="B124" t="str">
            <v>411C</v>
          </cell>
          <cell r="C124" t="str">
            <v>SUNDAY/HOLIDAY/LEAVE HARVESTING/TAPPING/PLUCKING</v>
          </cell>
        </row>
        <row r="125">
          <cell r="B125" t="str">
            <v>411D</v>
          </cell>
          <cell r="C125" t="str">
            <v>SUNDAY/HOLIDAY/LEAVE LOOSE FRUIT/LUMP/FINE LEAF &lt; 65%</v>
          </cell>
        </row>
        <row r="126">
          <cell r="B126" t="str">
            <v>411E</v>
          </cell>
          <cell r="C126" t="str">
            <v>SUPERVISION IN CHARGE</v>
          </cell>
        </row>
        <row r="127">
          <cell r="B127" t="str">
            <v>412A</v>
          </cell>
          <cell r="C127" t="str">
            <v>RECEIVING ATTENDANTS</v>
          </cell>
        </row>
        <row r="128">
          <cell r="B128" t="str">
            <v>412B</v>
          </cell>
          <cell r="C128" t="str">
            <v>LOADING/UNLOADING CROP</v>
          </cell>
        </row>
        <row r="129">
          <cell r="B129" t="str">
            <v>413A</v>
          </cell>
          <cell r="C129" t="str">
            <v xml:space="preserve">NEW TAPPING  </v>
          </cell>
        </row>
        <row r="130">
          <cell r="B130">
            <v>7110</v>
          </cell>
          <cell r="C130" t="str">
            <v>RESEACH EXPENSES</v>
          </cell>
        </row>
        <row r="131">
          <cell r="B131">
            <v>7111</v>
          </cell>
          <cell r="C131" t="str">
            <v>RESEARCH EXPENSES</v>
          </cell>
        </row>
        <row r="132">
          <cell r="B132">
            <v>8210</v>
          </cell>
          <cell r="C132" t="str">
            <v>MANAGEMENT EXPENSES</v>
          </cell>
        </row>
        <row r="133">
          <cell r="B133" t="str">
            <v>821A</v>
          </cell>
          <cell r="C133" t="str">
            <v>STAFF REMUNERATION</v>
          </cell>
        </row>
        <row r="134">
          <cell r="B134" t="str">
            <v>821B</v>
          </cell>
          <cell r="C134" t="str">
            <v>STAFF LEAVE ALLOWANCE &amp; PASSAGE FARE</v>
          </cell>
        </row>
        <row r="135">
          <cell r="B135" t="str">
            <v>821C</v>
          </cell>
          <cell r="C135" t="str">
            <v>STAFF LEBARAN ALLOWANCE</v>
          </cell>
        </row>
        <row r="136">
          <cell r="B136" t="str">
            <v>821D</v>
          </cell>
          <cell r="C136" t="str">
            <v>STAFF PPH-21</v>
          </cell>
        </row>
        <row r="137">
          <cell r="B137" t="str">
            <v>821E</v>
          </cell>
          <cell r="C137" t="str">
            <v>STAFF JAMSOSTEK</v>
          </cell>
        </row>
        <row r="138">
          <cell r="B138" t="str">
            <v>821F</v>
          </cell>
          <cell r="C138" t="str">
            <v>STAFF MOTOR CYCLE/VEHICLE RUNNING COST</v>
          </cell>
        </row>
        <row r="139">
          <cell r="B139" t="str">
            <v>821G</v>
          </cell>
          <cell r="C139" t="str">
            <v>1ST MANDOR SUPERVISION</v>
          </cell>
        </row>
        <row r="140">
          <cell r="B140" t="str">
            <v>821H</v>
          </cell>
          <cell r="C140" t="str">
            <v>PENSION EXPENSES STAFF</v>
          </cell>
        </row>
        <row r="141">
          <cell r="B141" t="str">
            <v>821I</v>
          </cell>
          <cell r="C141" t="str">
            <v>PENSION EXPENSES NON STAFF</v>
          </cell>
        </row>
        <row r="142">
          <cell r="B142">
            <v>8220</v>
          </cell>
          <cell r="C142" t="str">
            <v>FEES</v>
          </cell>
        </row>
        <row r="143">
          <cell r="B143" t="str">
            <v>822A</v>
          </cell>
          <cell r="C143" t="str">
            <v>CONSULTANT (ACCOMODATION ONLY)</v>
          </cell>
        </row>
        <row r="144">
          <cell r="B144" t="str">
            <v>822B</v>
          </cell>
          <cell r="C144" t="str">
            <v>EXTERNAL AUDIT (ACCOMODATION ONLY)</v>
          </cell>
        </row>
        <row r="145">
          <cell r="B145">
            <v>8230</v>
          </cell>
          <cell r="C145" t="str">
            <v>CESSES/INSURANCE</v>
          </cell>
        </row>
        <row r="146">
          <cell r="B146" t="str">
            <v>823A</v>
          </cell>
          <cell r="C146" t="str">
            <v xml:space="preserve">LICENSES  </v>
          </cell>
        </row>
        <row r="147">
          <cell r="B147" t="str">
            <v>823B</v>
          </cell>
          <cell r="C147" t="str">
            <v>INSURANCE</v>
          </cell>
        </row>
        <row r="148">
          <cell r="B148" t="str">
            <v>823C</v>
          </cell>
          <cell r="C148" t="str">
            <v>PBB</v>
          </cell>
        </row>
        <row r="149">
          <cell r="B149">
            <v>8240</v>
          </cell>
          <cell r="C149" t="str">
            <v>OFFICE EXPENSES</v>
          </cell>
        </row>
        <row r="150">
          <cell r="B150" t="str">
            <v>824A</v>
          </cell>
          <cell r="C150" t="str">
            <v>COMMUNICATION EQUIPMENT INCL MAINTENANCE (VOICE/DATA)</v>
          </cell>
        </row>
        <row r="151">
          <cell r="B151" t="str">
            <v>824B</v>
          </cell>
          <cell r="C151" t="str">
            <v>POSTAGE &amp; COURIER</v>
          </cell>
        </row>
        <row r="152">
          <cell r="B152" t="str">
            <v>824C</v>
          </cell>
          <cell r="C152" t="str">
            <v>OFFICE SUPPLIES/STATIONERY</v>
          </cell>
        </row>
        <row r="153">
          <cell r="B153" t="str">
            <v>824D</v>
          </cell>
          <cell r="C153" t="str">
            <v xml:space="preserve">OFFICE PERSONEL REMUNERATION </v>
          </cell>
        </row>
        <row r="154">
          <cell r="B154">
            <v>8250</v>
          </cell>
          <cell r="C154" t="str">
            <v>BUILDING REPAIR AND MAINTENANCE</v>
          </cell>
        </row>
        <row r="155">
          <cell r="B155" t="str">
            <v>825A</v>
          </cell>
          <cell r="C155" t="str">
            <v>PAINTING/WHITE WASHING</v>
          </cell>
        </row>
        <row r="156">
          <cell r="B156" t="str">
            <v>825B</v>
          </cell>
          <cell r="C156" t="str">
            <v>RENOVATION/MODIFICATION</v>
          </cell>
        </row>
        <row r="157">
          <cell r="B157" t="str">
            <v>825C</v>
          </cell>
          <cell r="C157" t="str">
            <v>REPAIR AND MAINTENANCE</v>
          </cell>
        </row>
        <row r="158">
          <cell r="B158">
            <v>8260</v>
          </cell>
          <cell r="C158" t="str">
            <v>UPKEEP ESTABLISHMENT INCL.GARDENS</v>
          </cell>
        </row>
        <row r="159">
          <cell r="B159" t="str">
            <v>826A</v>
          </cell>
          <cell r="C159" t="str">
            <v>UPKEEP ESTABLISHMENT</v>
          </cell>
        </row>
        <row r="160">
          <cell r="B160" t="str">
            <v>826B</v>
          </cell>
          <cell r="C160" t="str">
            <v>UPKEEP MAIN/EXTERNAL ROAD</v>
          </cell>
        </row>
        <row r="161">
          <cell r="B161" t="str">
            <v>826C</v>
          </cell>
          <cell r="C161" t="str">
            <v>UPKEEP ESTABLISHMENT AND ESTATE</v>
          </cell>
        </row>
        <row r="162">
          <cell r="B162">
            <v>8270</v>
          </cell>
          <cell r="C162" t="str">
            <v>MEDICAL EXPENSES</v>
          </cell>
        </row>
        <row r="163">
          <cell r="B163" t="str">
            <v>827A</v>
          </cell>
          <cell r="C163" t="str">
            <v>MEDICAL EXPENSES STAFF</v>
          </cell>
        </row>
        <row r="164">
          <cell r="B164" t="str">
            <v>827B</v>
          </cell>
          <cell r="C164" t="str">
            <v>CLINIC COST FOR STAFF</v>
          </cell>
        </row>
        <row r="165">
          <cell r="B165">
            <v>8280</v>
          </cell>
          <cell r="C165" t="str">
            <v>POWER &amp; WATER STATION</v>
          </cell>
        </row>
        <row r="166">
          <cell r="B166" t="str">
            <v>828A</v>
          </cell>
          <cell r="C166" t="str">
            <v>WATER SUPPLY INTERNAL</v>
          </cell>
        </row>
        <row r="167">
          <cell r="B167" t="str">
            <v>828B</v>
          </cell>
          <cell r="C167" t="str">
            <v>POWER SUPPLY INTERNAL</v>
          </cell>
        </row>
        <row r="168">
          <cell r="B168" t="str">
            <v>828C</v>
          </cell>
          <cell r="C168" t="str">
            <v>WATER SUPPLY EXTERNAL</v>
          </cell>
        </row>
        <row r="169">
          <cell r="B169" t="str">
            <v>828D</v>
          </cell>
          <cell r="C169" t="str">
            <v>POWER SUPPLY EXTERNAL</v>
          </cell>
        </row>
        <row r="170">
          <cell r="B170" t="str">
            <v>828E</v>
          </cell>
          <cell r="C170" t="str">
            <v>GAS &amp; KEROSENE STAFF</v>
          </cell>
        </row>
        <row r="171">
          <cell r="B171">
            <v>8290</v>
          </cell>
          <cell r="C171" t="str">
            <v>SECURITY</v>
          </cell>
        </row>
        <row r="172">
          <cell r="B172" t="str">
            <v>829A</v>
          </cell>
          <cell r="C172" t="str">
            <v>SECURITY INTERNAL - MRP</v>
          </cell>
        </row>
        <row r="173">
          <cell r="B173" t="str">
            <v>829B</v>
          </cell>
          <cell r="C173" t="str">
            <v>SECURITY INTERNAL - DRP</v>
          </cell>
        </row>
        <row r="174">
          <cell r="B174" t="str">
            <v>829C</v>
          </cell>
          <cell r="C174" t="str">
            <v>SECURITY EXTERNAL</v>
          </cell>
        </row>
        <row r="175">
          <cell r="B175" t="str">
            <v>829D</v>
          </cell>
          <cell r="C175" t="str">
            <v>MRP UNIFORM &amp; SAFETY</v>
          </cell>
        </row>
        <row r="176">
          <cell r="B176" t="str">
            <v>829E</v>
          </cell>
          <cell r="C176" t="str">
            <v>DRP UNIFORM &amp; SAFETY</v>
          </cell>
        </row>
        <row r="177">
          <cell r="B177" t="str">
            <v>829F</v>
          </cell>
          <cell r="C177" t="str">
            <v>SECURITY INTERNAL - PW</v>
          </cell>
        </row>
        <row r="178">
          <cell r="B178" t="str">
            <v>829G</v>
          </cell>
          <cell r="C178" t="str">
            <v>SECURITY MOTOR CYCLE/VEHICLE RUNNING COST</v>
          </cell>
        </row>
        <row r="179">
          <cell r="B179">
            <v>8310</v>
          </cell>
          <cell r="C179" t="str">
            <v>SUNDRY EXPENSES</v>
          </cell>
        </row>
        <row r="180">
          <cell r="B180" t="str">
            <v>831A</v>
          </cell>
          <cell r="C180" t="str">
            <v>TRAVEL LOCAL</v>
          </cell>
        </row>
        <row r="181">
          <cell r="B181" t="str">
            <v>831B</v>
          </cell>
          <cell r="C181" t="str">
            <v>ACCOMODATION</v>
          </cell>
        </row>
        <row r="182">
          <cell r="B182" t="str">
            <v>831C</v>
          </cell>
          <cell r="C182" t="str">
            <v>LEGAL</v>
          </cell>
        </row>
        <row r="183">
          <cell r="B183" t="str">
            <v>831D</v>
          </cell>
          <cell r="C183" t="str">
            <v>DONATION</v>
          </cell>
        </row>
        <row r="184">
          <cell r="B184">
            <v>8320</v>
          </cell>
          <cell r="C184" t="str">
            <v>BUNDS &amp; WATERGATE</v>
          </cell>
        </row>
        <row r="185">
          <cell r="B185" t="str">
            <v>832A</v>
          </cell>
          <cell r="C185" t="str">
            <v>UPKEEP BUND &amp; WATERGATE</v>
          </cell>
        </row>
        <row r="186">
          <cell r="B186" t="str">
            <v>8340</v>
          </cell>
          <cell r="C186" t="str">
            <v>TRAINING EXPENSES</v>
          </cell>
        </row>
        <row r="187">
          <cell r="B187" t="str">
            <v>834A</v>
          </cell>
          <cell r="C187" t="str">
            <v>TRAINING AND EDUCATION</v>
          </cell>
        </row>
        <row r="188">
          <cell r="B188" t="str">
            <v>834B</v>
          </cell>
          <cell r="C188" t="str">
            <v>ACCOMODATION</v>
          </cell>
        </row>
        <row r="189">
          <cell r="B189" t="str">
            <v>834C</v>
          </cell>
          <cell r="C189" t="str">
            <v>OFFICE SUPPLIES/STATIONERY</v>
          </cell>
        </row>
        <row r="190">
          <cell r="B190">
            <v>8370</v>
          </cell>
          <cell r="C190" t="str">
            <v>WELFARE</v>
          </cell>
        </row>
        <row r="191">
          <cell r="B191" t="str">
            <v>837A</v>
          </cell>
          <cell r="C191" t="str">
            <v>STAFF SPORT SOCIAL</v>
          </cell>
        </row>
        <row r="192">
          <cell r="B192">
            <v>8390</v>
          </cell>
          <cell r="C192" t="str">
            <v>ENVIRONMENTAL, HEALTH AND SAFETY</v>
          </cell>
        </row>
        <row r="193">
          <cell r="B193" t="str">
            <v>839A</v>
          </cell>
          <cell r="C193" t="str">
            <v xml:space="preserve">HEALTH AND SAFETY - PREVENTIVE </v>
          </cell>
        </row>
        <row r="194">
          <cell r="B194" t="str">
            <v>839B</v>
          </cell>
          <cell r="C194" t="str">
            <v>HEALTH AND SAFETY - CORRECTIVE</v>
          </cell>
        </row>
        <row r="195">
          <cell r="B195" t="str">
            <v>839C</v>
          </cell>
          <cell r="C195" t="str">
            <v>ENVIRONMENTAL - MONITORING</v>
          </cell>
        </row>
        <row r="196">
          <cell r="B196" t="str">
            <v>839D</v>
          </cell>
          <cell r="C196" t="str">
            <v>ENVIRONMENTAL - PROGRAM</v>
          </cell>
        </row>
        <row r="197">
          <cell r="B197" t="str">
            <v>839E</v>
          </cell>
          <cell r="C197" t="str">
            <v>ENVIRONMENTAL - LICENSES</v>
          </cell>
        </row>
        <row r="198">
          <cell r="B198">
            <v>8510</v>
          </cell>
          <cell r="C198" t="str">
            <v>MEDICAL EXPENSES MRP &amp; DRP</v>
          </cell>
        </row>
        <row r="199">
          <cell r="B199" t="str">
            <v>851A</v>
          </cell>
          <cell r="C199" t="str">
            <v>MEDICAL EXPENSES</v>
          </cell>
        </row>
        <row r="200">
          <cell r="B200" t="str">
            <v>851B</v>
          </cell>
          <cell r="C200" t="str">
            <v>CLINIC COST (INCL. CLINIC PERSONAL AND MEDICINE)</v>
          </cell>
        </row>
        <row r="201">
          <cell r="B201" t="str">
            <v>851C</v>
          </cell>
          <cell r="C201" t="str">
            <v xml:space="preserve">UNIFORM &amp; EQUIPMENT </v>
          </cell>
        </row>
        <row r="202">
          <cell r="B202">
            <v>8520</v>
          </cell>
          <cell r="C202" t="str">
            <v>WELFARE EXPENSES MRP &amp; DRP</v>
          </cell>
        </row>
        <row r="203">
          <cell r="B203" t="str">
            <v>852A</v>
          </cell>
          <cell r="C203" t="str">
            <v>NON STAFF SPORT &amp; SOCIAL</v>
          </cell>
        </row>
        <row r="204">
          <cell r="B204" t="str">
            <v>852B</v>
          </cell>
          <cell r="C204" t="str">
            <v>TEACHER/BILAL/BURIAL ATTENDANT</v>
          </cell>
        </row>
        <row r="205">
          <cell r="B205" t="str">
            <v>852C</v>
          </cell>
          <cell r="C205" t="str">
            <v>CHILD. CRECHE/POSYANDU/WEIGHING RICE/FILM SHOW</v>
          </cell>
        </row>
        <row r="206">
          <cell r="B206" t="str">
            <v>852D</v>
          </cell>
          <cell r="C206" t="str">
            <v>JUBELIUM FOR LENGTH SERVICE</v>
          </cell>
        </row>
        <row r="207">
          <cell r="B207" t="str">
            <v>852E</v>
          </cell>
          <cell r="C207" t="str">
            <v>HARI RAYA EXPENSES</v>
          </cell>
        </row>
        <row r="208">
          <cell r="B208">
            <v>8530</v>
          </cell>
          <cell r="C208" t="str">
            <v>UPKEEP LABOUR HOUSING MRP, DRP  &amp; OTHERS</v>
          </cell>
        </row>
        <row r="209">
          <cell r="B209" t="str">
            <v>853A</v>
          </cell>
          <cell r="C209" t="str">
            <v>PAINTING/WHITE WASHING</v>
          </cell>
        </row>
        <row r="210">
          <cell r="B210" t="str">
            <v>853C</v>
          </cell>
          <cell r="C210" t="str">
            <v>REPAIR AND MAINTENANCE</v>
          </cell>
        </row>
        <row r="211">
          <cell r="B211">
            <v>8540</v>
          </cell>
          <cell r="C211" t="str">
            <v>WATER &amp; POWER FOR MRP, DRP &amp; OTHERS</v>
          </cell>
        </row>
        <row r="212">
          <cell r="B212" t="str">
            <v>854A</v>
          </cell>
          <cell r="C212" t="str">
            <v>WATER SUPPLY INTERNAL</v>
          </cell>
        </row>
        <row r="213">
          <cell r="B213" t="str">
            <v>854B</v>
          </cell>
          <cell r="C213" t="str">
            <v>POWER SUPPLY INTERNAL</v>
          </cell>
        </row>
        <row r="214">
          <cell r="B214" t="str">
            <v>854C</v>
          </cell>
          <cell r="C214" t="str">
            <v>WATER SUPPLY EXTERNAL</v>
          </cell>
        </row>
        <row r="215">
          <cell r="B215" t="str">
            <v>854D</v>
          </cell>
          <cell r="C215" t="str">
            <v>POWER SUPPLY EXTERNAL</v>
          </cell>
        </row>
        <row r="216">
          <cell r="B216">
            <v>5110</v>
          </cell>
          <cell r="C216" t="str">
            <v>PROCESING</v>
          </cell>
        </row>
        <row r="217">
          <cell r="B217" t="str">
            <v>511A</v>
          </cell>
          <cell r="C217" t="str">
            <v>PROCESSING</v>
          </cell>
        </row>
        <row r="218">
          <cell r="B218" t="str">
            <v>511B</v>
          </cell>
          <cell r="C218" t="str">
            <v>INSPECTION EXPENSES</v>
          </cell>
        </row>
        <row r="219">
          <cell r="B219">
            <v>5160</v>
          </cell>
          <cell r="C219" t="str">
            <v>MAINTENANCE</v>
          </cell>
        </row>
        <row r="220">
          <cell r="B220" t="str">
            <v>516A</v>
          </cell>
          <cell r="C220" t="str">
            <v>PREVENTIVE MAINTENANCE</v>
          </cell>
        </row>
        <row r="221">
          <cell r="B221" t="str">
            <v>516B</v>
          </cell>
          <cell r="C221" t="str">
            <v>BREAKDOWN MAINTENANCE</v>
          </cell>
        </row>
        <row r="222">
          <cell r="B222" t="str">
            <v>516C</v>
          </cell>
          <cell r="C222" t="str">
            <v>BREAKDOWN MAINTENANCE - CONTRACT</v>
          </cell>
        </row>
        <row r="223">
          <cell r="B223">
            <v>5210</v>
          </cell>
          <cell r="C223" t="str">
            <v>POWER &amp; WATER</v>
          </cell>
        </row>
        <row r="224">
          <cell r="B224" t="str">
            <v>521A</v>
          </cell>
          <cell r="C224" t="str">
            <v>EXTERNAL ELECTRICITY</v>
          </cell>
        </row>
        <row r="225">
          <cell r="B225" t="str">
            <v>521B</v>
          </cell>
          <cell r="C225" t="str">
            <v>INTERNAL ELECTRICITY</v>
          </cell>
        </row>
        <row r="226">
          <cell r="B226" t="str">
            <v>521C</v>
          </cell>
          <cell r="C226" t="str">
            <v>EXTERNAL WATER</v>
          </cell>
        </row>
        <row r="227">
          <cell r="B227" t="str">
            <v>521D</v>
          </cell>
          <cell r="C227" t="str">
            <v>INTERNAL WATER</v>
          </cell>
        </row>
      </sheetData>
      <sheetData sheetId="1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ontents"/>
      <sheetName val="Ach Prog "/>
      <sheetName val="Staff"/>
      <sheetName val="Sum-Ha"/>
      <sheetName val="Ha Mov (1)"/>
      <sheetName val="Ha Mov (2)"/>
      <sheetName val="Crop OP,RB"/>
      <sheetName val=" Crop Sta.OP"/>
      <sheetName val="Crop Sta.RB"/>
      <sheetName val="Crop New Harvested"/>
      <sheetName val="Bunch Cencus"/>
      <sheetName val="Perf Imm RB"/>
      <sheetName val="Perf Imm OP"/>
      <sheetName val="Ferti -Mat"/>
      <sheetName val="Ferti -Imm"/>
      <sheetName val="Staff-Bungalow"/>
      <sheetName val="Housing- others"/>
      <sheetName val="Heavy Vehicles "/>
      <sheetName val="Loan"/>
      <sheetName val="Kend"/>
    </sheetNames>
    <sheetDataSet>
      <sheetData sheetId="0" refreshError="1"/>
      <sheetData sheetId="1">
        <row r="5">
          <cell r="E5" t="str">
            <v>ARTA KENCANA PLASMA</v>
          </cell>
        </row>
        <row r="6">
          <cell r="E6" t="str">
            <v>JULY 2005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14"/>
      <sheetName val="BP21"/>
      <sheetName val="BP25"/>
      <sheetName val="BP27"/>
      <sheetName val="BP41"/>
      <sheetName val="BP44"/>
      <sheetName val="BP45"/>
      <sheetName val="BP46"/>
      <sheetName val="BP57"/>
      <sheetName val="BP62"/>
      <sheetName val="H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P00"/>
      <sheetName val="BP01"/>
      <sheetName val="BP02OP"/>
      <sheetName val="BP11"/>
      <sheetName val="BP12OP"/>
      <sheetName val="BP13"/>
      <sheetName val="BP15OP"/>
      <sheetName val="BP16OP"/>
      <sheetName val="BP17"/>
      <sheetName val="BP21GC"/>
      <sheetName val="BP21A"/>
      <sheetName val="BP22"/>
      <sheetName val="BP22A"/>
      <sheetName val="BP24"/>
      <sheetName val="BP25"/>
      <sheetName val="BP27"/>
      <sheetName val="BP41"/>
      <sheetName val="BP42"/>
      <sheetName val="BP43"/>
      <sheetName val="BP44"/>
      <sheetName val="BP52"/>
      <sheetName val="BP53"/>
      <sheetName val="BP61"/>
      <sheetName val="BP62"/>
      <sheetName val="BP63"/>
      <sheetName val="BP64"/>
      <sheetName val="BP65"/>
      <sheetName val="BP91"/>
      <sheetName val="BP_BAL"/>
      <sheetName val="SM MT"/>
      <sheetName val="SM HM"/>
      <sheetName val="ECR"/>
      <sheetName val="SALARY"/>
      <sheetName val="MANDAYS"/>
      <sheetName val="JobCode"/>
      <sheetName val="Price List"/>
      <sheetName val="Ha"/>
      <sheetName val="Crop"/>
      <sheetName val="Estate GC"/>
      <sheetName val="Estate Upk &amp; Coll Mat"/>
      <sheetName val="Imm"/>
      <sheetName val="Driver"/>
      <sheetName val="Sheet1"/>
      <sheetName val="REFE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5">
          <cell r="C5" t="str">
            <v>B0101000006</v>
          </cell>
          <cell r="D5" t="str">
            <v xml:space="preserve">BORATE </v>
          </cell>
          <cell r="E5" t="str">
            <v>KGS</v>
          </cell>
          <cell r="F5" t="str">
            <v>IDR</v>
          </cell>
          <cell r="G5">
            <v>4900</v>
          </cell>
          <cell r="H5" t="str">
            <v>MDN</v>
          </cell>
          <cell r="I5">
            <v>5150</v>
          </cell>
        </row>
        <row r="6">
          <cell r="C6" t="str">
            <v>B0102000004</v>
          </cell>
          <cell r="D6" t="str">
            <v>NPK12.12.17.2,</v>
          </cell>
          <cell r="E6" t="str">
            <v>KGS</v>
          </cell>
          <cell r="F6" t="str">
            <v>IDR</v>
          </cell>
          <cell r="G6">
            <v>2450</v>
          </cell>
          <cell r="H6" t="str">
            <v>MDN</v>
          </cell>
        </row>
        <row r="7">
          <cell r="C7" t="str">
            <v>B0102000005</v>
          </cell>
          <cell r="D7" t="str">
            <v>NPK15.15.6.4,</v>
          </cell>
          <cell r="E7" t="str">
            <v>KGS</v>
          </cell>
          <cell r="F7" t="str">
            <v>IDR</v>
          </cell>
          <cell r="G7">
            <v>2360</v>
          </cell>
          <cell r="H7" t="str">
            <v>MDN</v>
          </cell>
        </row>
        <row r="8">
          <cell r="C8" t="str">
            <v>B0103000002</v>
          </cell>
          <cell r="D8" t="str">
            <v>MOP(KCL)</v>
          </cell>
          <cell r="E8" t="str">
            <v>KGS</v>
          </cell>
          <cell r="F8" t="str">
            <v>IDR</v>
          </cell>
          <cell r="G8">
            <v>2150</v>
          </cell>
          <cell r="H8" t="str">
            <v>MDN</v>
          </cell>
        </row>
        <row r="9">
          <cell r="C9" t="str">
            <v>B0104000004</v>
          </cell>
          <cell r="D9" t="str">
            <v>KIESERITE</v>
          </cell>
          <cell r="E9" t="str">
            <v>KGS</v>
          </cell>
          <cell r="F9" t="str">
            <v>IDR</v>
          </cell>
          <cell r="G9">
            <v>1300</v>
          </cell>
          <cell r="H9" t="str">
            <v>MDN</v>
          </cell>
        </row>
        <row r="10">
          <cell r="C10" t="str">
            <v>B0104000006</v>
          </cell>
          <cell r="D10" t="str">
            <v>SUPER DOLOMITE</v>
          </cell>
          <cell r="E10" t="str">
            <v>KGS</v>
          </cell>
          <cell r="F10" t="str">
            <v>IDR</v>
          </cell>
          <cell r="G10">
            <v>185</v>
          </cell>
          <cell r="H10" t="str">
            <v>MDN</v>
          </cell>
        </row>
        <row r="11">
          <cell r="C11" t="str">
            <v>B0104000008</v>
          </cell>
          <cell r="D11" t="str">
            <v>DOLOMITE</v>
          </cell>
          <cell r="E11" t="str">
            <v>KGS</v>
          </cell>
          <cell r="F11" t="str">
            <v>IDR</v>
          </cell>
          <cell r="G11">
            <v>125</v>
          </cell>
          <cell r="H11" t="str">
            <v>MDN</v>
          </cell>
        </row>
        <row r="12">
          <cell r="C12" t="str">
            <v>B0105000001</v>
          </cell>
          <cell r="D12" t="str">
            <v>SULPHATE AMMONIA (ZA)</v>
          </cell>
          <cell r="E12" t="str">
            <v>KGS</v>
          </cell>
          <cell r="F12" t="str">
            <v>IDR</v>
          </cell>
          <cell r="G12">
            <v>1365</v>
          </cell>
          <cell r="H12" t="str">
            <v>MDN</v>
          </cell>
        </row>
        <row r="13">
          <cell r="C13" t="str">
            <v>B0105000002</v>
          </cell>
          <cell r="D13" t="str">
            <v>UREA</v>
          </cell>
          <cell r="E13" t="str">
            <v>KGS</v>
          </cell>
          <cell r="F13" t="str">
            <v>IDR</v>
          </cell>
          <cell r="G13">
            <v>2080</v>
          </cell>
          <cell r="H13" t="str">
            <v>MDN</v>
          </cell>
          <cell r="I13">
            <v>2250</v>
          </cell>
        </row>
        <row r="14">
          <cell r="C14" t="str">
            <v>B0106000002</v>
          </cell>
          <cell r="D14" t="str">
            <v>CHINA ROCK POSPHATE</v>
          </cell>
          <cell r="E14" t="str">
            <v>KGS</v>
          </cell>
          <cell r="F14" t="str">
            <v>IDR</v>
          </cell>
          <cell r="G14">
            <v>910</v>
          </cell>
          <cell r="H14" t="str">
            <v>MDN</v>
          </cell>
        </row>
        <row r="15">
          <cell r="C15" t="str">
            <v>B0106000003</v>
          </cell>
          <cell r="D15" t="str">
            <v>CIRP</v>
          </cell>
          <cell r="E15" t="str">
            <v>KGS</v>
          </cell>
          <cell r="F15" t="str">
            <v>IDR</v>
          </cell>
          <cell r="G15">
            <v>847.5</v>
          </cell>
          <cell r="H15" t="str">
            <v>MDN</v>
          </cell>
        </row>
        <row r="16">
          <cell r="C16" t="str">
            <v>B0106000006</v>
          </cell>
          <cell r="D16" t="str">
            <v>TSP</v>
          </cell>
          <cell r="E16" t="str">
            <v>KGS</v>
          </cell>
          <cell r="F16" t="str">
            <v>IDR</v>
          </cell>
          <cell r="G16">
            <v>2272.7199999999998</v>
          </cell>
          <cell r="H16" t="str">
            <v>MDN</v>
          </cell>
        </row>
        <row r="17">
          <cell r="C17" t="str">
            <v>B0107000012</v>
          </cell>
          <cell r="D17" t="str">
            <v>MAKALINE</v>
          </cell>
          <cell r="E17" t="str">
            <v>KGS</v>
          </cell>
          <cell r="F17" t="str">
            <v>IDR</v>
          </cell>
          <cell r="G17">
            <v>105000</v>
          </cell>
          <cell r="H17" t="str">
            <v>MDN</v>
          </cell>
        </row>
        <row r="18">
          <cell r="C18" t="str">
            <v>B0107000013</v>
          </cell>
          <cell r="D18" t="str">
            <v>KAPTAN</v>
          </cell>
          <cell r="E18" t="str">
            <v>KGS</v>
          </cell>
          <cell r="F18" t="str">
            <v>IDR</v>
          </cell>
          <cell r="G18">
            <v>165</v>
          </cell>
          <cell r="H18" t="str">
            <v>MDN</v>
          </cell>
        </row>
        <row r="19">
          <cell r="C19" t="str">
            <v>C0224010511</v>
          </cell>
          <cell r="D19" t="str">
            <v>VIRKON</v>
          </cell>
          <cell r="E19" t="str">
            <v>PCK</v>
          </cell>
          <cell r="F19" t="str">
            <v>IDR</v>
          </cell>
          <cell r="G19">
            <v>640000</v>
          </cell>
          <cell r="H19" t="str">
            <v>MDN</v>
          </cell>
        </row>
        <row r="20">
          <cell r="C20" t="str">
            <v>---</v>
          </cell>
          <cell r="D20" t="str">
            <v>---</v>
          </cell>
          <cell r="E20" t="str">
            <v>---</v>
          </cell>
          <cell r="F20" t="str">
            <v>---</v>
          </cell>
          <cell r="G20" t="str">
            <v>---</v>
          </cell>
          <cell r="H20" t="str">
            <v>---</v>
          </cell>
          <cell r="I20" t="str">
            <v>---</v>
          </cell>
        </row>
        <row r="21">
          <cell r="C21" t="str">
            <v>B0107000001</v>
          </cell>
          <cell r="D21" t="str">
            <v>BAYFOLAN (PPC) @. 5 LTR/PAIL</v>
          </cell>
          <cell r="E21" t="str">
            <v>LTR</v>
          </cell>
          <cell r="F21" t="str">
            <v>IDR</v>
          </cell>
          <cell r="G21">
            <v>20500</v>
          </cell>
          <cell r="H21" t="str">
            <v>CSO</v>
          </cell>
        </row>
        <row r="22">
          <cell r="C22" t="str">
            <v>B0201000001</v>
          </cell>
          <cell r="D22" t="str">
            <v>ANTRACOL 70 WP @. 1 KG</v>
          </cell>
          <cell r="E22" t="str">
            <v>KGS</v>
          </cell>
          <cell r="F22" t="str">
            <v>IDR</v>
          </cell>
          <cell r="G22">
            <v>55000</v>
          </cell>
          <cell r="H22" t="str">
            <v>CSO</v>
          </cell>
        </row>
        <row r="23">
          <cell r="C23" t="str">
            <v>B0201000002</v>
          </cell>
          <cell r="D23" t="str">
            <v>ANVIL 50SC @1 LTR</v>
          </cell>
          <cell r="E23" t="str">
            <v>LTR</v>
          </cell>
          <cell r="F23" t="str">
            <v>IDR</v>
          </cell>
          <cell r="G23">
            <v>105000</v>
          </cell>
          <cell r="H23" t="str">
            <v>CSO</v>
          </cell>
        </row>
        <row r="24">
          <cell r="C24" t="str">
            <v>B0201000006</v>
          </cell>
          <cell r="D24" t="str">
            <v>BENLATE 50WP</v>
          </cell>
          <cell r="E24" t="str">
            <v>KGS</v>
          </cell>
          <cell r="F24" t="str">
            <v>IDR</v>
          </cell>
          <cell r="G24">
            <v>339900</v>
          </cell>
          <cell r="H24" t="str">
            <v>CSO</v>
          </cell>
        </row>
        <row r="25">
          <cell r="C25" t="str">
            <v>B0201000009</v>
          </cell>
          <cell r="D25" t="str">
            <v>DITHANE M-45  @. 1KG/PACK</v>
          </cell>
          <cell r="E25" t="str">
            <v>KGS</v>
          </cell>
          <cell r="F25" t="str">
            <v>IDR</v>
          </cell>
          <cell r="G25">
            <v>45000</v>
          </cell>
          <cell r="H25" t="str">
            <v>CSO</v>
          </cell>
        </row>
        <row r="26">
          <cell r="C26" t="str">
            <v>B0201000015</v>
          </cell>
          <cell r="D26" t="str">
            <v>CASCADE 50 EC</v>
          </cell>
          <cell r="E26" t="str">
            <v>LTR</v>
          </cell>
          <cell r="F26" t="str">
            <v>IDR</v>
          </cell>
          <cell r="G26">
            <v>215000</v>
          </cell>
          <cell r="H26" t="str">
            <v>CSO</v>
          </cell>
        </row>
        <row r="27">
          <cell r="C27" t="str">
            <v>B0202000008</v>
          </cell>
          <cell r="D27" t="str">
            <v>DMA-6 @. 200 LTR/DRUM</v>
          </cell>
          <cell r="E27" t="str">
            <v>LTR</v>
          </cell>
          <cell r="F27" t="str">
            <v>IDR</v>
          </cell>
          <cell r="G27">
            <v>26250</v>
          </cell>
          <cell r="H27" t="str">
            <v>CSO</v>
          </cell>
        </row>
        <row r="28">
          <cell r="C28" t="str">
            <v>B0202000011</v>
          </cell>
          <cell r="D28" t="str">
            <v>GARLON 480EC @1 LTR</v>
          </cell>
          <cell r="E28" t="str">
            <v>LTR</v>
          </cell>
          <cell r="F28" t="str">
            <v>IDR</v>
          </cell>
          <cell r="G28">
            <v>112000</v>
          </cell>
          <cell r="H28" t="str">
            <v>CSO</v>
          </cell>
        </row>
        <row r="29">
          <cell r="C29" t="str">
            <v>B0202000012</v>
          </cell>
          <cell r="D29" t="str">
            <v>GRAMOXONE @ 20 LTR</v>
          </cell>
          <cell r="E29" t="str">
            <v>LTR</v>
          </cell>
          <cell r="F29" t="str">
            <v>IDR</v>
          </cell>
          <cell r="G29">
            <v>34000</v>
          </cell>
          <cell r="H29" t="str">
            <v>CSO</v>
          </cell>
        </row>
        <row r="30">
          <cell r="C30" t="str">
            <v>B0202000020</v>
          </cell>
          <cell r="D30" t="str">
            <v>PARACOL</v>
          </cell>
          <cell r="E30" t="str">
            <v>LTR</v>
          </cell>
          <cell r="F30" t="str">
            <v>IDR</v>
          </cell>
          <cell r="G30">
            <v>68000</v>
          </cell>
          <cell r="H30" t="str">
            <v>CSO</v>
          </cell>
        </row>
        <row r="31">
          <cell r="C31" t="str">
            <v>B0202000023</v>
          </cell>
          <cell r="D31" t="str">
            <v>SMART 486 AS @ 20 LTR</v>
          </cell>
          <cell r="E31" t="str">
            <v>LTR</v>
          </cell>
          <cell r="F31" t="str">
            <v>IDR</v>
          </cell>
          <cell r="G31">
            <v>19995</v>
          </cell>
          <cell r="H31" t="str">
            <v>CSO</v>
          </cell>
        </row>
        <row r="32">
          <cell r="C32" t="str">
            <v>B0202000024</v>
          </cell>
          <cell r="D32" t="str">
            <v>STARANE 200EC @500 ML/TIN</v>
          </cell>
          <cell r="E32" t="str">
            <v>LTR</v>
          </cell>
          <cell r="F32" t="str">
            <v>IDR</v>
          </cell>
          <cell r="G32">
            <v>110000</v>
          </cell>
          <cell r="H32" t="str">
            <v>CSO</v>
          </cell>
        </row>
        <row r="33">
          <cell r="C33" t="str">
            <v>B0202000028</v>
          </cell>
          <cell r="D33" t="str">
            <v>GRAMOXONE @ 5 LTR</v>
          </cell>
          <cell r="E33" t="str">
            <v>LTR</v>
          </cell>
          <cell r="F33" t="str">
            <v>IDR</v>
          </cell>
          <cell r="G33">
            <v>35000</v>
          </cell>
          <cell r="H33" t="str">
            <v>CSO</v>
          </cell>
        </row>
        <row r="34">
          <cell r="C34" t="str">
            <v>B0202000030</v>
          </cell>
          <cell r="D34" t="str">
            <v>ROLL UP 480 AS</v>
          </cell>
          <cell r="E34" t="str">
            <v>LTR</v>
          </cell>
          <cell r="F34" t="str">
            <v>IDR</v>
          </cell>
          <cell r="G34">
            <v>20950</v>
          </cell>
          <cell r="H34" t="str">
            <v>CSO</v>
          </cell>
        </row>
        <row r="35">
          <cell r="C35" t="str">
            <v>B0203000004</v>
          </cell>
          <cell r="D35" t="str">
            <v>DACONIL 75 WP @. 1 KG</v>
          </cell>
          <cell r="E35" t="str">
            <v>KGS</v>
          </cell>
          <cell r="F35" t="str">
            <v>IDR</v>
          </cell>
          <cell r="G35">
            <v>145000</v>
          </cell>
          <cell r="H35" t="str">
            <v>CSO</v>
          </cell>
        </row>
        <row r="36">
          <cell r="C36" t="str">
            <v>B0203000011</v>
          </cell>
          <cell r="D36" t="str">
            <v>DECIS 25EC @5 LTR/PAIL</v>
          </cell>
          <cell r="E36" t="str">
            <v>LTR</v>
          </cell>
          <cell r="F36" t="str">
            <v>IDR</v>
          </cell>
          <cell r="G36">
            <v>132000</v>
          </cell>
          <cell r="H36" t="str">
            <v>CSO</v>
          </cell>
        </row>
        <row r="37">
          <cell r="C37" t="str">
            <v>B0203000015</v>
          </cell>
          <cell r="D37" t="str">
            <v>DIPEL WP</v>
          </cell>
          <cell r="E37" t="str">
            <v>LTR</v>
          </cell>
          <cell r="F37" t="str">
            <v>IDR</v>
          </cell>
          <cell r="G37">
            <v>136500</v>
          </cell>
          <cell r="H37" t="str">
            <v>CSO</v>
          </cell>
        </row>
        <row r="38">
          <cell r="C38" t="str">
            <v>B0203000018</v>
          </cell>
          <cell r="D38" t="str">
            <v>FURADAN 3G @.2 KG/PACK</v>
          </cell>
          <cell r="E38" t="str">
            <v>KGS</v>
          </cell>
          <cell r="F38" t="str">
            <v>IDR</v>
          </cell>
          <cell r="G38">
            <v>8500</v>
          </cell>
          <cell r="H38" t="str">
            <v>CSO</v>
          </cell>
        </row>
        <row r="39">
          <cell r="C39" t="str">
            <v>B0203000020</v>
          </cell>
          <cell r="D39" t="str">
            <v>KLERAT RMB @ 12 KG</v>
          </cell>
          <cell r="E39" t="str">
            <v>KGS</v>
          </cell>
          <cell r="F39" t="str">
            <v>IDR</v>
          </cell>
          <cell r="G39">
            <v>17500</v>
          </cell>
          <cell r="H39" t="str">
            <v>CSO</v>
          </cell>
        </row>
        <row r="40">
          <cell r="C40" t="str">
            <v>B0203000024</v>
          </cell>
          <cell r="D40" t="str">
            <v>MANUVER 400 WSC</v>
          </cell>
          <cell r="E40" t="str">
            <v>LTR</v>
          </cell>
          <cell r="F40" t="str">
            <v>IDR</v>
          </cell>
          <cell r="G40">
            <v>65000</v>
          </cell>
          <cell r="H40" t="str">
            <v>CSO</v>
          </cell>
        </row>
        <row r="41">
          <cell r="C41" t="str">
            <v>B0203000025</v>
          </cell>
          <cell r="D41" t="str">
            <v>MARSHAL 200 EC @250 ML</v>
          </cell>
          <cell r="E41" t="str">
            <v>LTR</v>
          </cell>
          <cell r="F41" t="str">
            <v>IDR</v>
          </cell>
          <cell r="G41">
            <v>75000</v>
          </cell>
          <cell r="H41" t="str">
            <v>CSO</v>
          </cell>
        </row>
        <row r="42">
          <cell r="C42" t="str">
            <v>B0203000026</v>
          </cell>
          <cell r="D42" t="str">
            <v>MARSHAL 5G @4 KG</v>
          </cell>
          <cell r="E42" t="str">
            <v>KGS</v>
          </cell>
          <cell r="F42" t="str">
            <v>IDR</v>
          </cell>
          <cell r="G42">
            <v>13500</v>
          </cell>
          <cell r="H42" t="str">
            <v>CSO</v>
          </cell>
        </row>
        <row r="43">
          <cell r="C43" t="str">
            <v>B0203000027</v>
          </cell>
          <cell r="D43" t="str">
            <v>MATADOR 25EC</v>
          </cell>
          <cell r="E43" t="str">
            <v>LTR</v>
          </cell>
          <cell r="F43" t="str">
            <v>IDR</v>
          </cell>
          <cell r="G43">
            <v>128000</v>
          </cell>
          <cell r="H43" t="str">
            <v>CSO</v>
          </cell>
        </row>
        <row r="44">
          <cell r="C44" t="str">
            <v>B0203000032</v>
          </cell>
          <cell r="D44" t="str">
            <v>ORTHENE 75 SP @100 GR</v>
          </cell>
          <cell r="E44" t="str">
            <v>KG</v>
          </cell>
          <cell r="F44" t="str">
            <v>IDR</v>
          </cell>
          <cell r="G44">
            <v>160000</v>
          </cell>
          <cell r="H44" t="str">
            <v>CSO</v>
          </cell>
        </row>
        <row r="45">
          <cell r="C45" t="str">
            <v>B0203000038</v>
          </cell>
          <cell r="D45" t="str">
            <v>SEVIN 85S @500 GR/PACK</v>
          </cell>
          <cell r="E45" t="str">
            <v>KGS</v>
          </cell>
          <cell r="F45" t="str">
            <v>IDR</v>
          </cell>
          <cell r="G45">
            <v>75000</v>
          </cell>
          <cell r="H45" t="str">
            <v>CSO</v>
          </cell>
        </row>
        <row r="46">
          <cell r="C46" t="str">
            <v>B0203000052</v>
          </cell>
          <cell r="D46" t="str">
            <v>METAPRIMA 20 WDG @250 GR</v>
          </cell>
          <cell r="E46" t="str">
            <v>KGS</v>
          </cell>
          <cell r="F46" t="str">
            <v>IDR</v>
          </cell>
          <cell r="G46">
            <v>285000</v>
          </cell>
          <cell r="H46" t="str">
            <v>CSO</v>
          </cell>
        </row>
        <row r="47">
          <cell r="C47" t="str">
            <v>B0203000053</v>
          </cell>
          <cell r="D47" t="str">
            <v>MATADOR ZEON</v>
          </cell>
          <cell r="E47" t="str">
            <v>LTR</v>
          </cell>
          <cell r="F47" t="str">
            <v>IDR</v>
          </cell>
          <cell r="G47">
            <v>129000</v>
          </cell>
          <cell r="H47" t="str">
            <v>CSO</v>
          </cell>
        </row>
        <row r="48">
          <cell r="C48" t="str">
            <v>B0203000055</v>
          </cell>
          <cell r="D48" t="str">
            <v>AGREPT 20 WP @.50 GR/PACK</v>
          </cell>
          <cell r="E48" t="str">
            <v>KGS</v>
          </cell>
          <cell r="F48" t="str">
            <v>IDR</v>
          </cell>
          <cell r="G48">
            <v>300000</v>
          </cell>
          <cell r="H48" t="str">
            <v>CSO</v>
          </cell>
        </row>
        <row r="49">
          <cell r="C49" t="str">
            <v>B0203000056</v>
          </cell>
          <cell r="D49" t="str">
            <v>LATRON 760L</v>
          </cell>
          <cell r="E49" t="str">
            <v>KGS</v>
          </cell>
          <cell r="F49" t="str">
            <v>IDR</v>
          </cell>
          <cell r="G49">
            <v>110000</v>
          </cell>
          <cell r="H49" t="str">
            <v>CSO</v>
          </cell>
        </row>
        <row r="50">
          <cell r="C50" t="str">
            <v>B0203000059</v>
          </cell>
          <cell r="D50" t="str">
            <v>KLERAT RMB @ 5 KG</v>
          </cell>
          <cell r="E50" t="str">
            <v>KGS</v>
          </cell>
          <cell r="F50" t="str">
            <v>IDR</v>
          </cell>
          <cell r="G50">
            <v>19000</v>
          </cell>
          <cell r="H50" t="str">
            <v>CSO</v>
          </cell>
        </row>
        <row r="51">
          <cell r="C51" t="str">
            <v>B0203000064</v>
          </cell>
          <cell r="D51" t="str">
            <v>ACTARA 25 WG</v>
          </cell>
          <cell r="E51" t="str">
            <v>KG</v>
          </cell>
          <cell r="F51" t="str">
            <v>IDR</v>
          </cell>
          <cell r="G51">
            <v>1681818</v>
          </cell>
          <cell r="H51" t="str">
            <v>CSO</v>
          </cell>
        </row>
        <row r="52">
          <cell r="C52" t="str">
            <v>B0203000065</v>
          </cell>
          <cell r="D52" t="str">
            <v>REGENT 50 SC @5 LTR</v>
          </cell>
          <cell r="E52" t="str">
            <v>LTR</v>
          </cell>
          <cell r="F52" t="str">
            <v>IDR</v>
          </cell>
          <cell r="G52">
            <v>165000</v>
          </cell>
          <cell r="H52" t="str">
            <v>CSO</v>
          </cell>
        </row>
        <row r="53">
          <cell r="C53" t="str">
            <v>B0204000004</v>
          </cell>
          <cell r="D53" t="str">
            <v>ETHREL 10% LS @.3.785/PAIL</v>
          </cell>
          <cell r="E53" t="str">
            <v>PAIL</v>
          </cell>
          <cell r="F53" t="str">
            <v>IDR</v>
          </cell>
          <cell r="G53">
            <v>204000</v>
          </cell>
          <cell r="H53" t="str">
            <v>CSO</v>
          </cell>
        </row>
        <row r="54">
          <cell r="C54" t="str">
            <v>B0204000008</v>
          </cell>
          <cell r="D54" t="str">
            <v>FLOTEX 10% @ 4 LTR</v>
          </cell>
          <cell r="E54" t="str">
            <v>PAIL</v>
          </cell>
          <cell r="F54" t="str">
            <v>IDR</v>
          </cell>
          <cell r="G54">
            <v>185250</v>
          </cell>
          <cell r="H54" t="str">
            <v>CSO</v>
          </cell>
        </row>
        <row r="55">
          <cell r="C55" t="str">
            <v>B0204000009</v>
          </cell>
          <cell r="D55" t="str">
            <v>FLOTEX 10% @ 20 LTR</v>
          </cell>
          <cell r="E55" t="str">
            <v>PAIL</v>
          </cell>
          <cell r="F55" t="str">
            <v>IDR</v>
          </cell>
          <cell r="G55">
            <v>855000</v>
          </cell>
          <cell r="H55" t="str">
            <v>CSO</v>
          </cell>
        </row>
        <row r="56">
          <cell r="C56" t="str">
            <v>B0205000001</v>
          </cell>
          <cell r="D56" t="str">
            <v>AGRISTIC @ 5 LTR</v>
          </cell>
          <cell r="E56" t="str">
            <v>LTR</v>
          </cell>
          <cell r="F56" t="str">
            <v>IDR</v>
          </cell>
          <cell r="G56">
            <v>26500</v>
          </cell>
          <cell r="H56" t="str">
            <v>CSO</v>
          </cell>
        </row>
        <row r="57">
          <cell r="C57" t="str">
            <v>B0205000002</v>
          </cell>
          <cell r="D57" t="str">
            <v>CITTOWET</v>
          </cell>
          <cell r="E57" t="str">
            <v>KGS</v>
          </cell>
          <cell r="F57" t="str">
            <v>IDR</v>
          </cell>
          <cell r="G57">
            <v>12000</v>
          </cell>
          <cell r="H57" t="str">
            <v>CSO</v>
          </cell>
        </row>
        <row r="58">
          <cell r="C58" t="str">
            <v>B0205000003</v>
          </cell>
          <cell r="D58" t="str">
            <v>EMULGATOR XC/100</v>
          </cell>
          <cell r="E58" t="str">
            <v>LTR</v>
          </cell>
          <cell r="F58" t="str">
            <v>IDR</v>
          </cell>
          <cell r="G58">
            <v>55000</v>
          </cell>
          <cell r="H58" t="str">
            <v>CSO</v>
          </cell>
        </row>
        <row r="59">
          <cell r="C59" t="str">
            <v>B0203000066</v>
          </cell>
          <cell r="D59" t="str">
            <v>MORTEIN SPRAY  750 ML</v>
          </cell>
          <cell r="E59" t="str">
            <v>TIN</v>
          </cell>
          <cell r="F59" t="str">
            <v>IDR</v>
          </cell>
          <cell r="G59">
            <v>22000</v>
          </cell>
          <cell r="H59" t="str">
            <v>CSO</v>
          </cell>
        </row>
        <row r="60">
          <cell r="C60" t="str">
            <v>---</v>
          </cell>
          <cell r="D60" t="str">
            <v>---</v>
          </cell>
          <cell r="E60" t="str">
            <v>---</v>
          </cell>
          <cell r="F60" t="str">
            <v>---</v>
          </cell>
          <cell r="G60" t="str">
            <v>---</v>
          </cell>
          <cell r="H60" t="str">
            <v>---</v>
          </cell>
          <cell r="I60" t="str">
            <v>---</v>
          </cell>
        </row>
        <row r="61">
          <cell r="C61" t="str">
            <v>B0301000005</v>
          </cell>
          <cell r="D61" t="str">
            <v>MUCUNA BRACTEATA (MB)</v>
          </cell>
          <cell r="E61" t="str">
            <v>KGS</v>
          </cell>
          <cell r="F61" t="str">
            <v>IDR</v>
          </cell>
          <cell r="G61">
            <v>1300000</v>
          </cell>
          <cell r="H61" t="str">
            <v>CSO</v>
          </cell>
        </row>
        <row r="62">
          <cell r="C62" t="str">
            <v>B0302000001</v>
          </cell>
          <cell r="D62" t="str">
            <v>COLOPOGONIUM CAERULEUM (CC)</v>
          </cell>
          <cell r="E62" t="str">
            <v>KGS</v>
          </cell>
          <cell r="F62" t="str">
            <v>IDR</v>
          </cell>
          <cell r="G62">
            <v>120000</v>
          </cell>
          <cell r="H62" t="str">
            <v>CSO</v>
          </cell>
          <cell r="I62">
            <v>140000</v>
          </cell>
        </row>
        <row r="63">
          <cell r="C63" t="str">
            <v>B0302000002</v>
          </cell>
          <cell r="D63" t="str">
            <v>CENTROCEMA PUBESCENS (CP)</v>
          </cell>
          <cell r="E63" t="str">
            <v>KGS</v>
          </cell>
          <cell r="F63" t="str">
            <v>IDR</v>
          </cell>
          <cell r="G63">
            <v>17500</v>
          </cell>
          <cell r="H63" t="str">
            <v>CSO</v>
          </cell>
        </row>
        <row r="64">
          <cell r="C64" t="str">
            <v>B0302000003</v>
          </cell>
          <cell r="D64" t="str">
            <v>PUERARIA JAVANICA (PJ) @50 KG/ZAK</v>
          </cell>
          <cell r="E64" t="str">
            <v>KGS</v>
          </cell>
          <cell r="F64" t="str">
            <v>IDR</v>
          </cell>
          <cell r="G64">
            <v>90000</v>
          </cell>
          <cell r="H64" t="str">
            <v>CSO</v>
          </cell>
          <cell r="I64">
            <v>140000</v>
          </cell>
        </row>
        <row r="65">
          <cell r="C65" t="str">
            <v>B0302000004</v>
          </cell>
          <cell r="D65" t="str">
            <v>COLOPOGONIUM MUCUNOIDES (CM) @50 KG/ZAK</v>
          </cell>
          <cell r="E65" t="str">
            <v>KGS</v>
          </cell>
          <cell r="F65" t="str">
            <v>IDR</v>
          </cell>
          <cell r="G65">
            <v>35000</v>
          </cell>
          <cell r="H65" t="str">
            <v>CSO</v>
          </cell>
          <cell r="I65">
            <v>45000</v>
          </cell>
        </row>
        <row r="66">
          <cell r="C66" t="str">
            <v>---</v>
          </cell>
          <cell r="D66" t="str">
            <v>---</v>
          </cell>
          <cell r="E66" t="str">
            <v>---</v>
          </cell>
          <cell r="F66" t="str">
            <v>---</v>
          </cell>
          <cell r="G66" t="str">
            <v>---</v>
          </cell>
          <cell r="H66" t="str">
            <v>---</v>
          </cell>
          <cell r="I66" t="str">
            <v>---</v>
          </cell>
        </row>
        <row r="67">
          <cell r="C67" t="str">
            <v>B0401000010</v>
          </cell>
          <cell r="D67" t="str">
            <v>ALCOHOL 96%  @ 200 LTR/DRUM</v>
          </cell>
          <cell r="E67" t="str">
            <v>DRM</v>
          </cell>
          <cell r="F67" t="str">
            <v>IDR</v>
          </cell>
          <cell r="G67">
            <v>2000000</v>
          </cell>
          <cell r="H67" t="str">
            <v>EST</v>
          </cell>
        </row>
        <row r="68">
          <cell r="C68" t="str">
            <v>B0401000025</v>
          </cell>
          <cell r="D68" t="str">
            <v>ANHYDROUS AMMONIA @60 KG</v>
          </cell>
          <cell r="E68" t="str">
            <v>KG</v>
          </cell>
          <cell r="F68" t="str">
            <v>IDR</v>
          </cell>
          <cell r="G68">
            <v>8000</v>
          </cell>
          <cell r="H68" t="str">
            <v>EST</v>
          </cell>
        </row>
        <row r="69">
          <cell r="C69" t="str">
            <v>B0401000056</v>
          </cell>
          <cell r="D69" t="str">
            <v xml:space="preserve">CLOROX </v>
          </cell>
          <cell r="E69" t="str">
            <v>LTR</v>
          </cell>
          <cell r="F69" t="str">
            <v>IDR</v>
          </cell>
          <cell r="G69">
            <v>17000</v>
          </cell>
          <cell r="H69" t="str">
            <v>EST</v>
          </cell>
        </row>
        <row r="70">
          <cell r="C70" t="str">
            <v>B0401000096</v>
          </cell>
          <cell r="D70" t="str">
            <v>ISOHEXANE @ 200 LTR/DRUM</v>
          </cell>
          <cell r="E70" t="str">
            <v>DRM</v>
          </cell>
          <cell r="F70" t="str">
            <v>IDR</v>
          </cell>
          <cell r="G70">
            <v>1975000</v>
          </cell>
          <cell r="H70" t="str">
            <v>EST</v>
          </cell>
        </row>
        <row r="71">
          <cell r="C71" t="str">
            <v>B0401000164</v>
          </cell>
          <cell r="D71" t="str">
            <v>SIH 1 @100 GR</v>
          </cell>
          <cell r="E71" t="str">
            <v>BTL</v>
          </cell>
          <cell r="F71" t="str">
            <v>IDR</v>
          </cell>
          <cell r="G71">
            <v>95000</v>
          </cell>
          <cell r="H71" t="str">
            <v>EST</v>
          </cell>
        </row>
        <row r="72">
          <cell r="C72" t="str">
            <v>B0401000165</v>
          </cell>
          <cell r="D72" t="str">
            <v>SIH 2 @100 GR</v>
          </cell>
          <cell r="E72" t="str">
            <v>BTL</v>
          </cell>
          <cell r="F72" t="str">
            <v>IDR</v>
          </cell>
          <cell r="G72">
            <v>230000</v>
          </cell>
          <cell r="H72" t="str">
            <v>EST</v>
          </cell>
        </row>
        <row r="73">
          <cell r="C73" t="str">
            <v>B0401000166</v>
          </cell>
          <cell r="D73" t="str">
            <v>SIH 3 @100 GR</v>
          </cell>
          <cell r="E73" t="str">
            <v>BTL</v>
          </cell>
          <cell r="F73" t="str">
            <v>IDR</v>
          </cell>
          <cell r="G73">
            <v>180000</v>
          </cell>
          <cell r="H73" t="str">
            <v>EST</v>
          </cell>
        </row>
        <row r="74">
          <cell r="C74" t="str">
            <v>B0401000172</v>
          </cell>
          <cell r="D74" t="str">
            <v>SO - 226 @ 1 LTR / BTL</v>
          </cell>
          <cell r="E74" t="str">
            <v>BTL</v>
          </cell>
          <cell r="F74" t="str">
            <v>IDR</v>
          </cell>
          <cell r="G74">
            <v>62600</v>
          </cell>
          <cell r="H74" t="str">
            <v>EST</v>
          </cell>
        </row>
        <row r="75">
          <cell r="C75" t="str">
            <v>B0401000174</v>
          </cell>
          <cell r="D75" t="str">
            <v xml:space="preserve">SO - 5038 </v>
          </cell>
          <cell r="E75" t="str">
            <v>BTL</v>
          </cell>
          <cell r="F75" t="str">
            <v>IDR</v>
          </cell>
          <cell r="G75">
            <v>200850</v>
          </cell>
          <cell r="H75" t="str">
            <v>EST</v>
          </cell>
        </row>
        <row r="76">
          <cell r="C76" t="str">
            <v>B0401000177</v>
          </cell>
          <cell r="D76" t="str">
            <v>SODIUM CHLORIDE/NaCL @.50 KG</v>
          </cell>
          <cell r="E76" t="str">
            <v>KGS</v>
          </cell>
          <cell r="F76" t="str">
            <v>IDR</v>
          </cell>
          <cell r="G76">
            <v>1000</v>
          </cell>
          <cell r="H76" t="str">
            <v>EST</v>
          </cell>
        </row>
        <row r="77">
          <cell r="C77" t="str">
            <v>B0401000188</v>
          </cell>
          <cell r="D77" t="str">
            <v>SODIUM HIDROXIDE/CAUSTIC SODA</v>
          </cell>
          <cell r="E77" t="str">
            <v>KGS</v>
          </cell>
          <cell r="F77" t="str">
            <v>IDR</v>
          </cell>
          <cell r="G77">
            <v>4975</v>
          </cell>
          <cell r="H77" t="str">
            <v>EST</v>
          </cell>
        </row>
        <row r="78">
          <cell r="C78" t="str">
            <v>B0401000196</v>
          </cell>
          <cell r="D78" t="str">
            <v>SOLUTION / NALCO 135 @1 LTR</v>
          </cell>
          <cell r="E78" t="str">
            <v>BTL</v>
          </cell>
          <cell r="F78" t="str">
            <v>IDR</v>
          </cell>
          <cell r="G78">
            <v>134000</v>
          </cell>
          <cell r="H78" t="str">
            <v>EST</v>
          </cell>
        </row>
        <row r="79">
          <cell r="C79" t="str">
            <v>B0401000197</v>
          </cell>
          <cell r="D79" t="str">
            <v>SOLUTION / NALCO 136 @100 ML/BTL</v>
          </cell>
          <cell r="E79" t="str">
            <v>BTL</v>
          </cell>
          <cell r="F79" t="str">
            <v>IDR</v>
          </cell>
          <cell r="G79">
            <v>252600</v>
          </cell>
          <cell r="H79" t="str">
            <v>EST</v>
          </cell>
        </row>
        <row r="80">
          <cell r="C80" t="str">
            <v>B0401000198</v>
          </cell>
          <cell r="D80" t="str">
            <v>SOLUTION / NALCO 260 @100 ML/BTL</v>
          </cell>
          <cell r="E80" t="str">
            <v>BTL</v>
          </cell>
          <cell r="F80" t="str">
            <v>IDR</v>
          </cell>
          <cell r="G80">
            <v>85300</v>
          </cell>
          <cell r="H80" t="str">
            <v>EST</v>
          </cell>
        </row>
        <row r="81">
          <cell r="C81" t="str">
            <v>B0401000199</v>
          </cell>
          <cell r="D81" t="str">
            <v>SOLUTION / NALCO 274 @1 LTR/BTL</v>
          </cell>
          <cell r="E81" t="str">
            <v>BTL</v>
          </cell>
          <cell r="F81" t="str">
            <v>IDR</v>
          </cell>
          <cell r="G81">
            <v>140000</v>
          </cell>
          <cell r="H81" t="str">
            <v>EST</v>
          </cell>
        </row>
        <row r="82">
          <cell r="C82" t="str">
            <v>B0401000200</v>
          </cell>
          <cell r="D82" t="str">
            <v>SOLUTION / NALCO 275  @1 LTR/BTL</v>
          </cell>
          <cell r="E82" t="str">
            <v>BTL</v>
          </cell>
          <cell r="F82" t="str">
            <v>IDR</v>
          </cell>
          <cell r="G82">
            <v>285000</v>
          </cell>
          <cell r="H82" t="str">
            <v>EST</v>
          </cell>
        </row>
        <row r="83">
          <cell r="C83" t="str">
            <v>B0401000201</v>
          </cell>
          <cell r="D83" t="str">
            <v>SOLUTION / NALCO 277 @. 50 GRM/BTL</v>
          </cell>
          <cell r="E83" t="str">
            <v>BTL</v>
          </cell>
          <cell r="F83" t="str">
            <v>IDR</v>
          </cell>
          <cell r="G83">
            <v>71200</v>
          </cell>
          <cell r="H83" t="str">
            <v>EST</v>
          </cell>
        </row>
        <row r="84">
          <cell r="C84" t="str">
            <v>B0401000202</v>
          </cell>
          <cell r="D84" t="str">
            <v>SOLUTION / NALCO 5034 @1 LTR</v>
          </cell>
          <cell r="E84" t="str">
            <v>BTL</v>
          </cell>
          <cell r="F84" t="str">
            <v>IDR</v>
          </cell>
          <cell r="G84">
            <v>66500</v>
          </cell>
          <cell r="H84" t="str">
            <v>EST</v>
          </cell>
        </row>
        <row r="85">
          <cell r="C85" t="str">
            <v>B0401000203</v>
          </cell>
          <cell r="D85" t="str">
            <v xml:space="preserve">SOLUTION / NALCO 5035 </v>
          </cell>
          <cell r="E85" t="str">
            <v>LTR</v>
          </cell>
          <cell r="F85" t="str">
            <v>IDR</v>
          </cell>
          <cell r="G85">
            <v>63500</v>
          </cell>
          <cell r="H85" t="str">
            <v>EST</v>
          </cell>
        </row>
        <row r="86">
          <cell r="C86" t="str">
            <v>B0401000204</v>
          </cell>
          <cell r="D86" t="str">
            <v>SOLUTION / NALCO 5037 @.50 GRM/BTL</v>
          </cell>
          <cell r="E86" t="str">
            <v>BTL</v>
          </cell>
          <cell r="F86" t="str">
            <v>IDR</v>
          </cell>
          <cell r="G86">
            <v>123000</v>
          </cell>
          <cell r="H86" t="str">
            <v>EST</v>
          </cell>
        </row>
        <row r="87">
          <cell r="C87" t="str">
            <v>B0401000206</v>
          </cell>
          <cell r="D87" t="str">
            <v>SOLUTION / NALCO 226 @1 LTR/BTL</v>
          </cell>
          <cell r="E87" t="str">
            <v>BTL</v>
          </cell>
          <cell r="F87" t="str">
            <v>IDR</v>
          </cell>
          <cell r="G87">
            <v>62600</v>
          </cell>
          <cell r="H87" t="str">
            <v>EST</v>
          </cell>
        </row>
        <row r="88">
          <cell r="C88" t="str">
            <v>B0401000234</v>
          </cell>
          <cell r="D88" t="str">
            <v>SULFURIC ACID (98,5% TECH GRADE) @. 40 KGS</v>
          </cell>
          <cell r="E88" t="str">
            <v>KGS</v>
          </cell>
          <cell r="F88" t="str">
            <v>IDR</v>
          </cell>
          <cell r="G88">
            <v>1942</v>
          </cell>
          <cell r="H88" t="str">
            <v>EST</v>
          </cell>
        </row>
        <row r="89">
          <cell r="C89" t="str">
            <v>B0401000246</v>
          </cell>
          <cell r="D89" t="str">
            <v>NALCO 3273 @ 15 KGS/PAIL</v>
          </cell>
          <cell r="E89" t="str">
            <v>KGS</v>
          </cell>
          <cell r="F89" t="str">
            <v>IDR</v>
          </cell>
          <cell r="G89">
            <v>39250</v>
          </cell>
          <cell r="H89" t="str">
            <v>EST</v>
          </cell>
        </row>
        <row r="90">
          <cell r="C90" t="str">
            <v>B0401000318</v>
          </cell>
          <cell r="D90" t="str">
            <v>SO 5493</v>
          </cell>
          <cell r="E90" t="str">
            <v>BTL</v>
          </cell>
          <cell r="F90" t="str">
            <v>IDR</v>
          </cell>
          <cell r="G90">
            <v>90100</v>
          </cell>
          <cell r="H90" t="str">
            <v>EST</v>
          </cell>
        </row>
        <row r="91">
          <cell r="C91" t="str">
            <v>B0403000002</v>
          </cell>
          <cell r="D91" t="str">
            <v>CASTOR OIL @ 195 KGS/DRUM</v>
          </cell>
          <cell r="E91" t="str">
            <v>DRM</v>
          </cell>
          <cell r="F91" t="str">
            <v>IDR</v>
          </cell>
          <cell r="G91">
            <v>4036500</v>
          </cell>
          <cell r="H91" t="str">
            <v>EST</v>
          </cell>
        </row>
        <row r="92">
          <cell r="C92" t="str">
            <v>B0403000006</v>
          </cell>
          <cell r="D92" t="str">
            <v>FORMIC ACID "SINTAS" 94% @ 25 KG</v>
          </cell>
          <cell r="E92" t="str">
            <v>KGS</v>
          </cell>
          <cell r="F92" t="str">
            <v>IDR</v>
          </cell>
          <cell r="G92">
            <v>9300</v>
          </cell>
          <cell r="H92" t="str">
            <v>EST</v>
          </cell>
        </row>
        <row r="93">
          <cell r="C93" t="str">
            <v>B0403000012</v>
          </cell>
          <cell r="D93" t="str">
            <v>PHOSPORIC ACID @35 KG</v>
          </cell>
          <cell r="E93" t="str">
            <v>KGS</v>
          </cell>
          <cell r="F93" t="str">
            <v>IDR</v>
          </cell>
          <cell r="G93">
            <v>9500</v>
          </cell>
          <cell r="H93" t="str">
            <v>EST</v>
          </cell>
        </row>
        <row r="94">
          <cell r="C94" t="str">
            <v>B0403000014</v>
          </cell>
          <cell r="D94" t="str">
            <v>SODIUM METABISULPHATE "GERMANY" @50 KG</v>
          </cell>
          <cell r="E94" t="str">
            <v>KGS</v>
          </cell>
          <cell r="F94" t="str">
            <v>IDR</v>
          </cell>
          <cell r="G94">
            <v>7566</v>
          </cell>
          <cell r="H94" t="str">
            <v>EST</v>
          </cell>
        </row>
        <row r="95">
          <cell r="C95" t="str">
            <v>B0403000015</v>
          </cell>
          <cell r="D95" t="str">
            <v>SHELL MINERAL TERPENTINE</v>
          </cell>
          <cell r="E95" t="str">
            <v>DRM</v>
          </cell>
          <cell r="F95" t="str">
            <v>IDR</v>
          </cell>
          <cell r="G95">
            <v>1526800</v>
          </cell>
          <cell r="H95" t="str">
            <v>EST</v>
          </cell>
        </row>
        <row r="96">
          <cell r="C96" t="str">
            <v>B0403000016</v>
          </cell>
          <cell r="D96" t="str">
            <v>WHITE CLAY @. 50 KGS</v>
          </cell>
          <cell r="E96" t="str">
            <v>KGS</v>
          </cell>
          <cell r="F96" t="str">
            <v>IDR</v>
          </cell>
          <cell r="G96">
            <v>200</v>
          </cell>
          <cell r="H96" t="str">
            <v>EST</v>
          </cell>
        </row>
        <row r="97">
          <cell r="C97" t="str">
            <v>B0403000017</v>
          </cell>
          <cell r="D97" t="str">
            <v>HYDROXILAMINE SULPHATE BASF</v>
          </cell>
          <cell r="E97" t="str">
            <v>KGS</v>
          </cell>
          <cell r="F97" t="str">
            <v>IDR</v>
          </cell>
          <cell r="G97">
            <v>30233</v>
          </cell>
          <cell r="H97" t="str">
            <v>EST</v>
          </cell>
        </row>
        <row r="98">
          <cell r="C98" t="str">
            <v>B0403000018</v>
          </cell>
          <cell r="D98" t="str">
            <v>CALCIUM CARBONATE (CACO3) MESH 400 @ 50 KGS</v>
          </cell>
          <cell r="E98" t="str">
            <v>KGS</v>
          </cell>
          <cell r="F98" t="str">
            <v>IDR</v>
          </cell>
          <cell r="G98">
            <v>435</v>
          </cell>
          <cell r="H98" t="str">
            <v>EST</v>
          </cell>
        </row>
        <row r="99">
          <cell r="C99" t="str">
            <v>B0403000023</v>
          </cell>
          <cell r="D99" t="str">
            <v>FORMIC ACID "RRC" 90% @ 35 KG</v>
          </cell>
          <cell r="E99" t="str">
            <v>KGS</v>
          </cell>
          <cell r="F99" t="str">
            <v>IDR</v>
          </cell>
          <cell r="G99">
            <v>5095</v>
          </cell>
          <cell r="H99" t="str">
            <v>EST</v>
          </cell>
        </row>
        <row r="100">
          <cell r="C100" t="str">
            <v>B0404000001</v>
          </cell>
          <cell r="D100" t="str">
            <v>ALLUMINIUM SULPHATE/TAWAS HALUS-POWDER @.50 KGS</v>
          </cell>
          <cell r="E100" t="str">
            <v>KGS</v>
          </cell>
          <cell r="F100" t="str">
            <v>IDR</v>
          </cell>
          <cell r="G100">
            <v>2039</v>
          </cell>
          <cell r="H100" t="str">
            <v>EST</v>
          </cell>
        </row>
        <row r="101">
          <cell r="C101" t="str">
            <v>B0404000005</v>
          </cell>
          <cell r="D101" t="str">
            <v>CAUSTIC SODA FLAKE  " TJIWI " @. 25 KG</v>
          </cell>
          <cell r="E101" t="str">
            <v>KGS</v>
          </cell>
          <cell r="F101" t="str">
            <v>IDR</v>
          </cell>
          <cell r="G101">
            <v>4975</v>
          </cell>
          <cell r="H101" t="str">
            <v>EST</v>
          </cell>
        </row>
        <row r="102">
          <cell r="C102" t="str">
            <v>B0404000009</v>
          </cell>
          <cell r="D102" t="str">
            <v xml:space="preserve">NALCO 2000  </v>
          </cell>
          <cell r="E102" t="str">
            <v>KGS</v>
          </cell>
          <cell r="F102" t="str">
            <v>IDR</v>
          </cell>
          <cell r="G102">
            <v>23000</v>
          </cell>
          <cell r="H102" t="str">
            <v>EST</v>
          </cell>
        </row>
        <row r="103">
          <cell r="C103" t="str">
            <v>B0404000010</v>
          </cell>
          <cell r="D103" t="str">
            <v>NALCO 214 @. 15 KG/PAIL</v>
          </cell>
          <cell r="E103" t="str">
            <v>KGS</v>
          </cell>
          <cell r="F103" t="str">
            <v>IDR</v>
          </cell>
          <cell r="G103">
            <v>11300</v>
          </cell>
          <cell r="H103" t="str">
            <v>EST</v>
          </cell>
        </row>
        <row r="104">
          <cell r="C104" t="str">
            <v>B0404000011</v>
          </cell>
          <cell r="D104" t="str">
            <v>NALCO N-7203 @.25 KGS/PAIL</v>
          </cell>
          <cell r="E104" t="str">
            <v>KGS</v>
          </cell>
          <cell r="F104" t="str">
            <v>IDR</v>
          </cell>
          <cell r="G104">
            <v>25450</v>
          </cell>
          <cell r="H104" t="str">
            <v>EST</v>
          </cell>
        </row>
        <row r="105">
          <cell r="C105" t="str">
            <v>B0404000014</v>
          </cell>
          <cell r="D105" t="str">
            <v>NALCO 8173</v>
          </cell>
          <cell r="E105" t="str">
            <v>KGS</v>
          </cell>
          <cell r="F105" t="str">
            <v>IDR</v>
          </cell>
          <cell r="G105">
            <v>58000</v>
          </cell>
          <cell r="H105" t="str">
            <v>EST</v>
          </cell>
        </row>
        <row r="106">
          <cell r="C106" t="str">
            <v>B0404000015</v>
          </cell>
          <cell r="D106" t="str">
            <v>NALCO 8257 (3273)</v>
          </cell>
          <cell r="E106" t="str">
            <v>KGS</v>
          </cell>
          <cell r="F106" t="str">
            <v>IDR</v>
          </cell>
          <cell r="G106">
            <v>39250</v>
          </cell>
          <cell r="H106" t="str">
            <v>EST</v>
          </cell>
        </row>
        <row r="107">
          <cell r="C107" t="str">
            <v>B0404000018</v>
          </cell>
          <cell r="D107" t="str">
            <v>NALCO N. 2811 PULV @.25 KG/PAIL</v>
          </cell>
          <cell r="E107" t="str">
            <v>KGS</v>
          </cell>
          <cell r="F107" t="str">
            <v>IDR</v>
          </cell>
          <cell r="G107">
            <v>19650</v>
          </cell>
          <cell r="H107" t="str">
            <v>EST</v>
          </cell>
        </row>
        <row r="108">
          <cell r="C108" t="str">
            <v>B0404000021</v>
          </cell>
          <cell r="D108" t="str">
            <v>SODA ASH - LIGH @.40 KG</v>
          </cell>
          <cell r="E108" t="str">
            <v>KGS</v>
          </cell>
          <cell r="F108" t="str">
            <v>IDR</v>
          </cell>
          <cell r="G108">
            <v>3003</v>
          </cell>
          <cell r="H108" t="str">
            <v>EST</v>
          </cell>
        </row>
        <row r="109">
          <cell r="C109" t="str">
            <v>B0404000025</v>
          </cell>
          <cell r="D109" t="str">
            <v>RESIN AMBERJET "ROHM &amp; HAAS". TYPE 1200NA @25 LTR/ZAK</v>
          </cell>
          <cell r="E109" t="str">
            <v>LTR</v>
          </cell>
          <cell r="F109" t="str">
            <v>IDR</v>
          </cell>
          <cell r="G109">
            <v>18500</v>
          </cell>
          <cell r="H109" t="str">
            <v>EST</v>
          </cell>
        </row>
        <row r="110">
          <cell r="C110" t="str">
            <v>B0404000026</v>
          </cell>
          <cell r="D110" t="str">
            <v>RESIN AMBERJET "ROHM &amp; HAAS" TYPE 4200 CL @25 LTR/ZAK</v>
          </cell>
          <cell r="E110" t="str">
            <v>LTR</v>
          </cell>
          <cell r="F110" t="str">
            <v>IDR</v>
          </cell>
          <cell r="G110">
            <v>46500</v>
          </cell>
          <cell r="H110" t="str">
            <v>EST</v>
          </cell>
        </row>
        <row r="111">
          <cell r="C111" t="str">
            <v>B0404000028</v>
          </cell>
          <cell r="D111" t="str">
            <v>SULPHURIC ACID (H2 SO4 98.5 % TECH GRADE) @ 40 LTR/DRUM</v>
          </cell>
          <cell r="E111" t="str">
            <v>KG</v>
          </cell>
          <cell r="F111" t="str">
            <v>IDR</v>
          </cell>
          <cell r="G111">
            <v>1942</v>
          </cell>
          <cell r="H111" t="str">
            <v>EST</v>
          </cell>
        </row>
        <row r="112">
          <cell r="C112" t="str">
            <v>C0607020114</v>
          </cell>
          <cell r="D112" t="str">
            <v>TERPENTINE @ 1 LTR</v>
          </cell>
          <cell r="E112" t="str">
            <v>LTR</v>
          </cell>
          <cell r="F112" t="str">
            <v>IDR</v>
          </cell>
          <cell r="G112">
            <v>9500</v>
          </cell>
          <cell r="H112" t="str">
            <v>EST</v>
          </cell>
        </row>
        <row r="113">
          <cell r="C113" t="str">
            <v>---</v>
          </cell>
          <cell r="D113" t="str">
            <v>---</v>
          </cell>
          <cell r="E113" t="str">
            <v>---</v>
          </cell>
          <cell r="F113" t="str">
            <v>---</v>
          </cell>
          <cell r="G113" t="str">
            <v>---</v>
          </cell>
          <cell r="H113" t="str">
            <v>---</v>
          </cell>
          <cell r="I113" t="str">
            <v>---</v>
          </cell>
        </row>
        <row r="114">
          <cell r="C114" t="str">
            <v>C0102000008</v>
          </cell>
          <cell r="D114" t="str">
            <v>TYRE &amp; TUBE 3.00 X 8 FOR WHEEL BARROW</v>
          </cell>
          <cell r="E114" t="str">
            <v>SET</v>
          </cell>
          <cell r="F114" t="str">
            <v>IDR</v>
          </cell>
          <cell r="G114">
            <v>21925</v>
          </cell>
          <cell r="H114" t="str">
            <v>EST</v>
          </cell>
        </row>
        <row r="115">
          <cell r="C115" t="str">
            <v>C0102000011</v>
          </cell>
          <cell r="D115" t="str">
            <v>WHEEL BARROW (BAK PLASTIK) "ARTCO"</v>
          </cell>
          <cell r="E115" t="str">
            <v>PCS</v>
          </cell>
          <cell r="F115" t="str">
            <v>IDR</v>
          </cell>
          <cell r="G115">
            <v>180000</v>
          </cell>
          <cell r="H115" t="str">
            <v>EST</v>
          </cell>
        </row>
        <row r="116">
          <cell r="C116" t="str">
            <v>C0102000013</v>
          </cell>
          <cell r="D116" t="str">
            <v>VELG WHEEL BARROW</v>
          </cell>
          <cell r="E116" t="str">
            <v>SET</v>
          </cell>
          <cell r="F116" t="str">
            <v>IDR</v>
          </cell>
          <cell r="G116">
            <v>12650</v>
          </cell>
          <cell r="H116" t="str">
            <v>EST</v>
          </cell>
        </row>
        <row r="117">
          <cell r="C117" t="str">
            <v>C0102000016</v>
          </cell>
          <cell r="D117" t="str">
            <v>WHEEL BARROW "KING STAR"</v>
          </cell>
          <cell r="E117" t="str">
            <v>PCS</v>
          </cell>
          <cell r="F117" t="str">
            <v>IDR</v>
          </cell>
          <cell r="G117">
            <v>170000</v>
          </cell>
          <cell r="H117" t="str">
            <v>EST</v>
          </cell>
        </row>
        <row r="118">
          <cell r="C118" t="str">
            <v>C0103000002</v>
          </cell>
          <cell r="D118" t="str">
            <v>AXE (KAMPAK BUAH)</v>
          </cell>
          <cell r="E118" t="str">
            <v>PCS</v>
          </cell>
          <cell r="F118" t="str">
            <v>IDR</v>
          </cell>
          <cell r="G118">
            <v>17081</v>
          </cell>
          <cell r="H118" t="str">
            <v>EST</v>
          </cell>
        </row>
        <row r="119">
          <cell r="C119" t="str">
            <v>C0103000009</v>
          </cell>
          <cell r="D119" t="str">
            <v>CHISEL / TOJOK 13 CM</v>
          </cell>
          <cell r="E119" t="str">
            <v>PCS</v>
          </cell>
          <cell r="F119" t="str">
            <v>IDR</v>
          </cell>
          <cell r="G119">
            <v>20500</v>
          </cell>
          <cell r="H119" t="str">
            <v>EST</v>
          </cell>
        </row>
        <row r="120">
          <cell r="C120" t="str">
            <v>C0103000010</v>
          </cell>
          <cell r="D120" t="str">
            <v>CHISEL / TOJOK 29 X 12 CM</v>
          </cell>
          <cell r="E120" t="str">
            <v>PCS</v>
          </cell>
          <cell r="F120" t="str">
            <v>IDR</v>
          </cell>
          <cell r="G120">
            <v>20500</v>
          </cell>
          <cell r="H120" t="str">
            <v>EST</v>
          </cell>
        </row>
        <row r="121">
          <cell r="C121" t="str">
            <v>C0103000011</v>
          </cell>
          <cell r="D121" t="str">
            <v>CHISEL / TOJOK 29 X 9 CM</v>
          </cell>
          <cell r="E121" t="str">
            <v>PCS</v>
          </cell>
          <cell r="F121" t="str">
            <v>IDR</v>
          </cell>
          <cell r="G121">
            <v>22000</v>
          </cell>
          <cell r="H121" t="str">
            <v>EST</v>
          </cell>
        </row>
        <row r="122">
          <cell r="C122" t="str">
            <v>C0103000020</v>
          </cell>
          <cell r="D122" t="str">
            <v>EGREK TIGA PANAH/MATAPAO FOR OIL PALM</v>
          </cell>
          <cell r="E122" t="str">
            <v>PCS</v>
          </cell>
          <cell r="F122" t="str">
            <v>IDR</v>
          </cell>
          <cell r="G122">
            <v>27285</v>
          </cell>
          <cell r="H122" t="str">
            <v>EST</v>
          </cell>
        </row>
        <row r="123">
          <cell r="C123" t="str">
            <v>C0103000023</v>
          </cell>
          <cell r="D123" t="str">
            <v>GALV WIRE FOR CUP HUNGER (No.14)</v>
          </cell>
          <cell r="E123" t="str">
            <v>KGS</v>
          </cell>
          <cell r="F123" t="str">
            <v>IDR</v>
          </cell>
          <cell r="G123">
            <v>7400</v>
          </cell>
          <cell r="H123" t="str">
            <v>EST</v>
          </cell>
        </row>
        <row r="124">
          <cell r="C124" t="str">
            <v>C0103000026</v>
          </cell>
          <cell r="D124" t="str">
            <v>HARVESTING HOOK</v>
          </cell>
          <cell r="E124" t="str">
            <v>PCS</v>
          </cell>
          <cell r="F124" t="str">
            <v>IDR</v>
          </cell>
          <cell r="G124">
            <v>7557</v>
          </cell>
          <cell r="H124" t="str">
            <v>EST</v>
          </cell>
        </row>
        <row r="125">
          <cell r="C125" t="str">
            <v>C0103000031</v>
          </cell>
          <cell r="D125" t="str">
            <v>LATEX PAILS - 15 LTR</v>
          </cell>
          <cell r="E125" t="str">
            <v>PCS</v>
          </cell>
          <cell r="F125" t="str">
            <v>IDR</v>
          </cell>
          <cell r="G125">
            <v>21000</v>
          </cell>
          <cell r="H125" t="str">
            <v>EST</v>
          </cell>
        </row>
        <row r="126">
          <cell r="C126" t="str">
            <v>C0103000032</v>
          </cell>
          <cell r="D126" t="str">
            <v>LATEX PAILS - 30 LTR</v>
          </cell>
          <cell r="E126" t="str">
            <v>PCS</v>
          </cell>
          <cell r="F126" t="str">
            <v>IDR</v>
          </cell>
          <cell r="G126">
            <v>33150</v>
          </cell>
          <cell r="H126" t="str">
            <v>EST</v>
          </cell>
        </row>
        <row r="127">
          <cell r="C127" t="str">
            <v>C0103000033</v>
          </cell>
          <cell r="D127" t="str">
            <v>LATEX SPOUT</v>
          </cell>
          <cell r="E127" t="str">
            <v>PCS</v>
          </cell>
          <cell r="F127" t="str">
            <v>IDR</v>
          </cell>
          <cell r="G127">
            <v>64</v>
          </cell>
          <cell r="H127" t="str">
            <v>EST</v>
          </cell>
        </row>
        <row r="128">
          <cell r="C128" t="str">
            <v>C0103000035</v>
          </cell>
          <cell r="D128" t="str">
            <v>METROLAC GLASS</v>
          </cell>
          <cell r="E128" t="str">
            <v>PCS</v>
          </cell>
          <cell r="F128" t="str">
            <v>IDR</v>
          </cell>
          <cell r="G128">
            <v>450000</v>
          </cell>
          <cell r="H128" t="str">
            <v>EST</v>
          </cell>
        </row>
        <row r="129">
          <cell r="C129" t="str">
            <v>C0103000049</v>
          </cell>
          <cell r="D129" t="str">
            <v>TAPPING KNIFES LONG HANDLE (PISAU DERES NO.14)</v>
          </cell>
          <cell r="E129" t="str">
            <v>PCS</v>
          </cell>
          <cell r="F129" t="str">
            <v>IDR</v>
          </cell>
          <cell r="G129">
            <v>6000</v>
          </cell>
          <cell r="H129" t="str">
            <v>EST</v>
          </cell>
        </row>
        <row r="130">
          <cell r="C130" t="str">
            <v>C0103000050</v>
          </cell>
          <cell r="D130" t="str">
            <v>TAPPING KNIFE FOR YOUNG RUBBER SORES (PISAU DERES NO.10)</v>
          </cell>
          <cell r="E130" t="str">
            <v>PCS</v>
          </cell>
          <cell r="F130" t="str">
            <v>IDR</v>
          </cell>
          <cell r="G130">
            <v>6985</v>
          </cell>
          <cell r="H130" t="str">
            <v>EST</v>
          </cell>
        </row>
        <row r="131">
          <cell r="C131" t="str">
            <v>C0103000051</v>
          </cell>
          <cell r="D131" t="str">
            <v>TAPPING KNIFES VIETNAM</v>
          </cell>
          <cell r="E131" t="str">
            <v>PCS</v>
          </cell>
          <cell r="F131" t="str">
            <v>IDR</v>
          </cell>
          <cell r="G131">
            <v>4680</v>
          </cell>
          <cell r="H131" t="str">
            <v>EST</v>
          </cell>
        </row>
        <row r="132">
          <cell r="C132" t="str">
            <v>C0103000053</v>
          </cell>
          <cell r="D132" t="str">
            <v>PLASTIC RUBBER CUP 750 CC (BLUE</v>
          </cell>
          <cell r="E132" t="str">
            <v>PCS</v>
          </cell>
          <cell r="F132" t="str">
            <v>IDR</v>
          </cell>
          <cell r="G132">
            <v>500</v>
          </cell>
          <cell r="H132" t="str">
            <v>EST</v>
          </cell>
        </row>
        <row r="133">
          <cell r="C133" t="str">
            <v>C0103000058</v>
          </cell>
          <cell r="D133" t="str">
            <v>EGREK KNIFE FOR COCOA</v>
          </cell>
          <cell r="E133" t="str">
            <v>PCS</v>
          </cell>
          <cell r="F133" t="str">
            <v>IDR</v>
          </cell>
          <cell r="G133">
            <v>30811</v>
          </cell>
          <cell r="H133" t="str">
            <v>EST</v>
          </cell>
        </row>
        <row r="134">
          <cell r="C134" t="str">
            <v>C0103000074</v>
          </cell>
          <cell r="D134" t="str">
            <v>WHITE SICKLE</v>
          </cell>
          <cell r="E134" t="str">
            <v>PCS</v>
          </cell>
          <cell r="F134" t="str">
            <v>IDR</v>
          </cell>
          <cell r="G134">
            <v>81000</v>
          </cell>
          <cell r="H134" t="str">
            <v>EST</v>
          </cell>
        </row>
        <row r="135">
          <cell r="C135" t="str">
            <v>C0103000075</v>
          </cell>
          <cell r="D135" t="str">
            <v>TAPPING KNIFE FOR YOUNG RUBBER SORES (PISAU DERES NO.12)</v>
          </cell>
          <cell r="E135" t="str">
            <v>PCS</v>
          </cell>
          <cell r="F135" t="str">
            <v>IDR</v>
          </cell>
          <cell r="G135">
            <v>7381</v>
          </cell>
          <cell r="H135" t="str">
            <v>EST</v>
          </cell>
        </row>
        <row r="136">
          <cell r="C136" t="str">
            <v>C0103000078</v>
          </cell>
          <cell r="D136" t="str">
            <v>SICKLE SAM LEE</v>
          </cell>
          <cell r="E136" t="str">
            <v>PCS</v>
          </cell>
          <cell r="F136" t="str">
            <v>IDR</v>
          </cell>
          <cell r="G136">
            <v>77000</v>
          </cell>
          <cell r="H136" t="str">
            <v>EST</v>
          </cell>
        </row>
        <row r="137">
          <cell r="C137" t="str">
            <v>---</v>
          </cell>
          <cell r="D137" t="str">
            <v>---</v>
          </cell>
          <cell r="E137" t="str">
            <v>---</v>
          </cell>
          <cell r="F137" t="str">
            <v>---</v>
          </cell>
          <cell r="G137" t="str">
            <v>---</v>
          </cell>
          <cell r="H137" t="str">
            <v>---</v>
          </cell>
          <cell r="I137" t="str">
            <v>---</v>
          </cell>
        </row>
        <row r="138">
          <cell r="C138" t="str">
            <v>C0222030030</v>
          </cell>
          <cell r="D138" t="str">
            <v>TYRE &amp; TUBE 26 X 1 3/8" FOR BICYCLE"</v>
          </cell>
          <cell r="E138" t="str">
            <v>SET</v>
          </cell>
          <cell r="F138" t="str">
            <v>IDR</v>
          </cell>
          <cell r="G138">
            <v>26500</v>
          </cell>
          <cell r="H138" t="str">
            <v>EST</v>
          </cell>
        </row>
        <row r="139">
          <cell r="C139" t="str">
            <v>C0222030033</v>
          </cell>
          <cell r="D139" t="str">
            <v>TYRE &amp; TUBE 28 X 1 1/2" FOR BICYCLE"</v>
          </cell>
          <cell r="E139" t="str">
            <v>SET</v>
          </cell>
          <cell r="F139" t="str">
            <v>IDR</v>
          </cell>
          <cell r="G139">
            <v>30000</v>
          </cell>
          <cell r="H139" t="str">
            <v>EST</v>
          </cell>
        </row>
        <row r="140">
          <cell r="C140" t="str">
            <v>C0224010348</v>
          </cell>
          <cell r="D140" t="str">
            <v>KNAPSACK SPRAYER SA - 15</v>
          </cell>
          <cell r="E140" t="str">
            <v>PCS</v>
          </cell>
          <cell r="F140" t="str">
            <v>USD</v>
          </cell>
          <cell r="G140">
            <v>50</v>
          </cell>
          <cell r="H140" t="str">
            <v>EST</v>
          </cell>
        </row>
        <row r="141">
          <cell r="C141" t="str">
            <v>C0225030011</v>
          </cell>
          <cell r="D141" t="str">
            <v>HANG SCALE "SALTER " 50 KG</v>
          </cell>
          <cell r="E141" t="str">
            <v>PCS</v>
          </cell>
          <cell r="F141" t="str">
            <v>IDR</v>
          </cell>
          <cell r="G141">
            <v>725000</v>
          </cell>
          <cell r="H141" t="str">
            <v>EST</v>
          </cell>
        </row>
        <row r="142">
          <cell r="C142" t="str">
            <v>C0607020004</v>
          </cell>
          <cell r="D142" t="str">
            <v>BLACK PAINT FLYING HORSE</v>
          </cell>
          <cell r="E142" t="str">
            <v>KGS</v>
          </cell>
          <cell r="F142" t="str">
            <v>IDR</v>
          </cell>
          <cell r="G142">
            <v>27500</v>
          </cell>
          <cell r="H142" t="str">
            <v>EST</v>
          </cell>
        </row>
        <row r="143">
          <cell r="C143" t="str">
            <v>C0607020090</v>
          </cell>
          <cell r="D143" t="str">
            <v>MENIE PAINT FLYING HORSE</v>
          </cell>
          <cell r="E143" t="str">
            <v>KGS</v>
          </cell>
          <cell r="F143" t="str">
            <v>IDR</v>
          </cell>
          <cell r="G143">
            <v>17542</v>
          </cell>
          <cell r="H143" t="str">
            <v>EST</v>
          </cell>
        </row>
        <row r="144">
          <cell r="C144" t="str">
            <v>C0607020107</v>
          </cell>
          <cell r="D144" t="str">
            <v>ALUMINIUM PAINT FLYING HORSE</v>
          </cell>
          <cell r="E144" t="str">
            <v>KGS</v>
          </cell>
          <cell r="F144" t="str">
            <v>IDR</v>
          </cell>
          <cell r="G144">
            <v>29750</v>
          </cell>
          <cell r="H144" t="str">
            <v>EST</v>
          </cell>
        </row>
        <row r="145">
          <cell r="C145" t="str">
            <v>C0607020123</v>
          </cell>
          <cell r="D145" t="str">
            <v>ALUMINIUM DANMARINE PAINT</v>
          </cell>
          <cell r="E145" t="str">
            <v>KGS</v>
          </cell>
          <cell r="F145" t="str">
            <v>IDR</v>
          </cell>
          <cell r="G145">
            <v>85000</v>
          </cell>
          <cell r="H145" t="str">
            <v>EST</v>
          </cell>
        </row>
        <row r="146">
          <cell r="C146" t="str">
            <v>B0401000134</v>
          </cell>
          <cell r="D146" t="str">
            <v>PARAFIN WAX</v>
          </cell>
          <cell r="E146" t="str">
            <v>KGS</v>
          </cell>
          <cell r="F146" t="str">
            <v>IDR</v>
          </cell>
          <cell r="G146">
            <v>12000</v>
          </cell>
          <cell r="H146" t="str">
            <v>EST</v>
          </cell>
        </row>
        <row r="147">
          <cell r="C147" t="str">
            <v>C0103000076</v>
          </cell>
          <cell r="D147" t="str">
            <v>CANGKUL CAP BUAYA</v>
          </cell>
          <cell r="E147" t="str">
            <v>PCS</v>
          </cell>
          <cell r="F147" t="str">
            <v>IDR</v>
          </cell>
          <cell r="G147">
            <v>25000</v>
          </cell>
          <cell r="H147" t="str">
            <v>EST</v>
          </cell>
        </row>
        <row r="148">
          <cell r="C148" t="str">
            <v>C0103000071</v>
          </cell>
          <cell r="D148" t="str">
            <v>SHARPENING STONE - AMRIL 8" MERK. DIAMOND</v>
          </cell>
          <cell r="E148" t="str">
            <v>PCS</v>
          </cell>
          <cell r="F148" t="str">
            <v>IDR</v>
          </cell>
          <cell r="G148">
            <v>2700</v>
          </cell>
          <cell r="H148" t="str">
            <v>EST</v>
          </cell>
        </row>
        <row r="149">
          <cell r="C149" t="str">
            <v>C0103000056</v>
          </cell>
          <cell r="D149" t="str">
            <v>SHARPENING STONE - GOLD FISH</v>
          </cell>
          <cell r="E149" t="str">
            <v>PCS</v>
          </cell>
          <cell r="F149" t="str">
            <v>IDR</v>
          </cell>
          <cell r="G149">
            <v>2000</v>
          </cell>
          <cell r="H149" t="str">
            <v>EST</v>
          </cell>
        </row>
        <row r="150">
          <cell r="C150" t="str">
            <v>---</v>
          </cell>
          <cell r="D150" t="str">
            <v>---</v>
          </cell>
          <cell r="E150" t="str">
            <v>---</v>
          </cell>
          <cell r="F150" t="str">
            <v>---</v>
          </cell>
          <cell r="G150" t="str">
            <v>---</v>
          </cell>
          <cell r="H150" t="str">
            <v>---</v>
          </cell>
          <cell r="I150" t="str">
            <v>---</v>
          </cell>
        </row>
        <row r="151">
          <cell r="C151" t="str">
            <v>C0801000001</v>
          </cell>
          <cell r="D151" t="str">
            <v>RICE</v>
          </cell>
          <cell r="E151" t="str">
            <v>KGS</v>
          </cell>
          <cell r="F151" t="str">
            <v>IDR</v>
          </cell>
          <cell r="G151">
            <v>4360</v>
          </cell>
          <cell r="H151" t="str">
            <v>EST</v>
          </cell>
        </row>
        <row r="152">
          <cell r="C152" t="str">
            <v>---</v>
          </cell>
          <cell r="D152" t="str">
            <v>---</v>
          </cell>
          <cell r="E152" t="str">
            <v>---</v>
          </cell>
          <cell r="F152" t="str">
            <v>---</v>
          </cell>
          <cell r="G152" t="str">
            <v>---</v>
          </cell>
          <cell r="H152" t="str">
            <v>---</v>
          </cell>
          <cell r="I152" t="str">
            <v>---</v>
          </cell>
        </row>
        <row r="153">
          <cell r="C153" t="str">
            <v>C1001000009</v>
          </cell>
          <cell r="D153" t="str">
            <v>MEMORY 512 MB DDR FOR NOTEBOOK</v>
          </cell>
          <cell r="E153" t="str">
            <v>SET</v>
          </cell>
          <cell r="F153" t="str">
            <v>IDR</v>
          </cell>
          <cell r="G153">
            <v>650000</v>
          </cell>
          <cell r="H153" t="str">
            <v>MDO</v>
          </cell>
        </row>
        <row r="154">
          <cell r="C154" t="str">
            <v>C1001000019</v>
          </cell>
          <cell r="D154" t="str">
            <v>SCANNER CANON LIDE 25</v>
          </cell>
          <cell r="E154" t="str">
            <v>UNIT</v>
          </cell>
          <cell r="F154" t="str">
            <v>USD</v>
          </cell>
          <cell r="G154">
            <v>54</v>
          </cell>
          <cell r="H154" t="str">
            <v>MDO</v>
          </cell>
        </row>
        <row r="155">
          <cell r="C155" t="str">
            <v>C1001000020</v>
          </cell>
          <cell r="D155" t="str">
            <v>POCKET HDD 40 GB FUJITSU SUPPORT USB 2.0 WITH CASING</v>
          </cell>
          <cell r="E155" t="str">
            <v>PCS</v>
          </cell>
          <cell r="F155" t="str">
            <v>IDR</v>
          </cell>
          <cell r="G155">
            <v>900000</v>
          </cell>
          <cell r="H155" t="str">
            <v>MDO</v>
          </cell>
        </row>
        <row r="156">
          <cell r="C156" t="str">
            <v>C1001000026</v>
          </cell>
          <cell r="D156" t="str">
            <v>LCD PROJECTOR SONY VPL CS1 ;SN 2017093</v>
          </cell>
          <cell r="E156" t="str">
            <v>PCS</v>
          </cell>
          <cell r="F156" t="str">
            <v>USD</v>
          </cell>
          <cell r="G156">
            <v>290</v>
          </cell>
          <cell r="H156" t="str">
            <v>MDO</v>
          </cell>
        </row>
        <row r="157">
          <cell r="C157" t="str">
            <v>C1001000028</v>
          </cell>
          <cell r="D157" t="str">
            <v>MEMORY 1 GB KINGSTONE FOR DESKTOP DC7100</v>
          </cell>
          <cell r="E157" t="str">
            <v>PCS</v>
          </cell>
          <cell r="F157" t="str">
            <v>IDR</v>
          </cell>
          <cell r="G157">
            <v>1075000</v>
          </cell>
          <cell r="H157" t="str">
            <v>MDO</v>
          </cell>
        </row>
        <row r="158">
          <cell r="C158" t="str">
            <v>C1001000029</v>
          </cell>
          <cell r="D158" t="str">
            <v>HDD 80 GB SATA SEAGATE</v>
          </cell>
          <cell r="E158" t="str">
            <v>PCS</v>
          </cell>
          <cell r="F158" t="str">
            <v>IDR</v>
          </cell>
          <cell r="G158">
            <v>690000</v>
          </cell>
          <cell r="H158" t="str">
            <v>MDO</v>
          </cell>
        </row>
        <row r="159">
          <cell r="C159" t="str">
            <v>C1001000030</v>
          </cell>
          <cell r="D159" t="str">
            <v>DISKETTE 3.5" HD GUARANTEE VERBATIM</v>
          </cell>
          <cell r="E159" t="str">
            <v>BOX</v>
          </cell>
          <cell r="F159" t="str">
            <v>IDR</v>
          </cell>
          <cell r="G159">
            <v>45000</v>
          </cell>
          <cell r="H159" t="str">
            <v>MDO</v>
          </cell>
        </row>
        <row r="160">
          <cell r="C160" t="str">
            <v>C1001000031</v>
          </cell>
          <cell r="D160" t="str">
            <v>RIBBON CARTRIDGE # 7754 PRINT - RITE</v>
          </cell>
          <cell r="E160" t="str">
            <v>PCS</v>
          </cell>
          <cell r="F160" t="str">
            <v>IDR</v>
          </cell>
          <cell r="G160">
            <v>14000</v>
          </cell>
          <cell r="H160" t="str">
            <v>MDO</v>
          </cell>
        </row>
        <row r="161">
          <cell r="C161" t="str">
            <v>C1001000032</v>
          </cell>
          <cell r="D161" t="str">
            <v>RIBBON CARTRIDGE # SO15086 P. RITE</v>
          </cell>
          <cell r="E161" t="str">
            <v>PCS</v>
          </cell>
          <cell r="F161" t="str">
            <v>IDR</v>
          </cell>
          <cell r="G161">
            <v>40000</v>
          </cell>
          <cell r="H161" t="str">
            <v>MDO</v>
          </cell>
        </row>
        <row r="162">
          <cell r="C162" t="str">
            <v>C1001000033</v>
          </cell>
          <cell r="D162" t="str">
            <v>TONER CARTRIDGE # 113R00296 FOR  XEROX DOCUPRINT P8ex</v>
          </cell>
          <cell r="E162" t="str">
            <v>PCS</v>
          </cell>
          <cell r="F162" t="str">
            <v>IDR</v>
          </cell>
          <cell r="G162">
            <v>760000</v>
          </cell>
          <cell r="H162" t="str">
            <v>MDO</v>
          </cell>
        </row>
        <row r="163">
          <cell r="C163" t="str">
            <v>C1001000034</v>
          </cell>
          <cell r="D163" t="str">
            <v>INK CARTRIDGE BLACK TO07 FOR EPSON STYLUS PHOTO 1270</v>
          </cell>
          <cell r="E163" t="str">
            <v>PCS</v>
          </cell>
          <cell r="F163" t="str">
            <v>IDR</v>
          </cell>
          <cell r="G163">
            <v>147500</v>
          </cell>
          <cell r="H163" t="str">
            <v>MDO</v>
          </cell>
        </row>
        <row r="164">
          <cell r="C164" t="str">
            <v>C1001000035</v>
          </cell>
          <cell r="D164" t="str">
            <v>INK CARTRIDGE COLOUR TO09 FOR EPSON STYLUS PHOTO 1270</v>
          </cell>
          <cell r="E164" t="str">
            <v>PCS</v>
          </cell>
          <cell r="F164" t="str">
            <v>IDR</v>
          </cell>
          <cell r="G164">
            <v>209000</v>
          </cell>
          <cell r="H164" t="str">
            <v>MDO</v>
          </cell>
        </row>
        <row r="165">
          <cell r="C165" t="str">
            <v>C1001000036</v>
          </cell>
          <cell r="D165" t="str">
            <v>INK CARTRIDGE BCI-3eBK (BLACK)</v>
          </cell>
          <cell r="E165" t="str">
            <v>PCS</v>
          </cell>
          <cell r="F165" t="str">
            <v>IDR</v>
          </cell>
          <cell r="G165">
            <v>82500</v>
          </cell>
          <cell r="H165" t="str">
            <v>MDO</v>
          </cell>
        </row>
        <row r="166">
          <cell r="C166" t="str">
            <v>C1001000037</v>
          </cell>
          <cell r="D166" t="str">
            <v>INK CARTRIDGE BCI-3eC (CYAN)</v>
          </cell>
          <cell r="E166" t="str">
            <v>PCS</v>
          </cell>
          <cell r="F166" t="str">
            <v>IDR</v>
          </cell>
          <cell r="G166">
            <v>66000</v>
          </cell>
          <cell r="H166" t="str">
            <v>MDO</v>
          </cell>
        </row>
        <row r="167">
          <cell r="C167" t="str">
            <v>C1001000038</v>
          </cell>
          <cell r="D167" t="str">
            <v>INK CARTRIDGE BCI-3eM (MAGENTA)</v>
          </cell>
          <cell r="E167" t="str">
            <v>PCS</v>
          </cell>
          <cell r="F167" t="str">
            <v>IDR</v>
          </cell>
          <cell r="G167">
            <v>66000</v>
          </cell>
          <cell r="H167" t="str">
            <v>MDO</v>
          </cell>
        </row>
        <row r="168">
          <cell r="C168" t="str">
            <v>C1001000039</v>
          </cell>
          <cell r="D168" t="str">
            <v>INK CARTRIDGE BCI-3eY (YELLOW)</v>
          </cell>
          <cell r="E168" t="str">
            <v>PCS</v>
          </cell>
          <cell r="F168" t="str">
            <v>IDR</v>
          </cell>
          <cell r="G168">
            <v>66000</v>
          </cell>
          <cell r="H168" t="str">
            <v>MDO</v>
          </cell>
        </row>
        <row r="169">
          <cell r="C169" t="str">
            <v>C1001000040</v>
          </cell>
          <cell r="D169" t="str">
            <v>TONER CARTRIDGE # 109R00639 FOR XEROX PHASER 3210</v>
          </cell>
          <cell r="E169" t="str">
            <v>PCS</v>
          </cell>
          <cell r="F169" t="str">
            <v>IDR</v>
          </cell>
          <cell r="G169">
            <v>560000</v>
          </cell>
          <cell r="H169" t="str">
            <v>MDO</v>
          </cell>
        </row>
        <row r="170">
          <cell r="C170" t="str">
            <v>C1001000041</v>
          </cell>
          <cell r="D170" t="str">
            <v>SCREEN FILTER 15"</v>
          </cell>
          <cell r="E170" t="str">
            <v>PCS</v>
          </cell>
          <cell r="F170" t="str">
            <v>IDR</v>
          </cell>
          <cell r="G170">
            <v>20000</v>
          </cell>
          <cell r="H170" t="str">
            <v>MDO</v>
          </cell>
        </row>
        <row r="171">
          <cell r="C171" t="str">
            <v>C1001000042</v>
          </cell>
          <cell r="D171" t="str">
            <v>SCREEN FILTER 17"</v>
          </cell>
          <cell r="E171" t="str">
            <v>PCS</v>
          </cell>
          <cell r="F171" t="str">
            <v>IDR</v>
          </cell>
          <cell r="G171">
            <v>32500</v>
          </cell>
          <cell r="H171" t="str">
            <v>MDO</v>
          </cell>
        </row>
        <row r="172">
          <cell r="C172" t="str">
            <v>C1001000043</v>
          </cell>
          <cell r="D172" t="str">
            <v>DVD COMBO SAMSUNG 16 X 52 X 32 X 52 X</v>
          </cell>
          <cell r="E172" t="str">
            <v>PCS</v>
          </cell>
          <cell r="F172" t="str">
            <v>IDR</v>
          </cell>
          <cell r="G172">
            <v>390000</v>
          </cell>
          <cell r="H172" t="str">
            <v>MDO</v>
          </cell>
        </row>
        <row r="173">
          <cell r="C173" t="str">
            <v>C1001000044</v>
          </cell>
          <cell r="D173" t="str">
            <v>DVD RW SAMSUNG 16X</v>
          </cell>
          <cell r="E173" t="str">
            <v>PCS</v>
          </cell>
          <cell r="F173" t="str">
            <v>IDR</v>
          </cell>
          <cell r="G173">
            <v>590000</v>
          </cell>
          <cell r="H173" t="str">
            <v>MDO</v>
          </cell>
        </row>
        <row r="174">
          <cell r="C174" t="str">
            <v>C1001000047</v>
          </cell>
          <cell r="D174" t="str">
            <v>USB CABLE 1.5 MTR</v>
          </cell>
          <cell r="E174" t="str">
            <v>PCS</v>
          </cell>
          <cell r="F174" t="str">
            <v>IDR</v>
          </cell>
          <cell r="G174">
            <v>15000</v>
          </cell>
          <cell r="H174" t="str">
            <v>MDO</v>
          </cell>
        </row>
        <row r="175">
          <cell r="C175" t="str">
            <v>C1001000048</v>
          </cell>
          <cell r="D175" t="str">
            <v>ATEN MASTER VIEW 4 PORTS KVM SWITCH</v>
          </cell>
          <cell r="E175" t="str">
            <v>PCS</v>
          </cell>
          <cell r="F175" t="str">
            <v>USD</v>
          </cell>
          <cell r="G175">
            <v>85</v>
          </cell>
          <cell r="H175" t="str">
            <v>MDO</v>
          </cell>
        </row>
        <row r="176">
          <cell r="C176" t="str">
            <v>C1001000074</v>
          </cell>
          <cell r="D176" t="str">
            <v>FILM HEATER LASERJET HP 2200</v>
          </cell>
          <cell r="E176" t="str">
            <v>PCS</v>
          </cell>
          <cell r="F176" t="str">
            <v>IDR</v>
          </cell>
          <cell r="G176">
            <v>325000</v>
          </cell>
          <cell r="H176" t="str">
            <v>MDO</v>
          </cell>
        </row>
        <row r="177">
          <cell r="C177" t="str">
            <v>C1001000078</v>
          </cell>
          <cell r="D177" t="str">
            <v>USB THUMB DRIVE 256 MB KINGSTON</v>
          </cell>
          <cell r="E177" t="str">
            <v>PCS</v>
          </cell>
          <cell r="F177" t="str">
            <v>IDR</v>
          </cell>
          <cell r="G177">
            <v>212000</v>
          </cell>
          <cell r="H177" t="str">
            <v>MDO</v>
          </cell>
        </row>
        <row r="178">
          <cell r="C178" t="str">
            <v>C1001000079</v>
          </cell>
          <cell r="D178" t="str">
            <v>USB THUMB DRIVE 512 MB KINGSTON</v>
          </cell>
          <cell r="E178" t="str">
            <v>PCS</v>
          </cell>
          <cell r="F178" t="str">
            <v>IDR</v>
          </cell>
          <cell r="G178">
            <v>295000</v>
          </cell>
          <cell r="H178" t="str">
            <v>MDO</v>
          </cell>
        </row>
        <row r="179">
          <cell r="C179" t="str">
            <v>C1001000080</v>
          </cell>
          <cell r="D179" t="str">
            <v>MOUSE PAD GOOD QUALITY</v>
          </cell>
          <cell r="E179" t="str">
            <v>PCS</v>
          </cell>
          <cell r="F179" t="str">
            <v>IDR</v>
          </cell>
          <cell r="G179">
            <v>5000</v>
          </cell>
          <cell r="H179" t="str">
            <v>MDO</v>
          </cell>
        </row>
        <row r="180">
          <cell r="C180" t="str">
            <v>C1001000081</v>
          </cell>
          <cell r="D180" t="str">
            <v>CD WALET WITH BINDER RING MIN SPACE FOR 24 - 50 PCS CD</v>
          </cell>
          <cell r="E180" t="str">
            <v>PCS</v>
          </cell>
          <cell r="F180" t="str">
            <v>IDR</v>
          </cell>
          <cell r="G180">
            <v>15000</v>
          </cell>
          <cell r="H180" t="str">
            <v>MDO</v>
          </cell>
        </row>
        <row r="181">
          <cell r="C181" t="str">
            <v>C1001000082</v>
          </cell>
          <cell r="D181" t="str">
            <v>DATA CARTRIDGE HP DAT 72 (# C8010A)</v>
          </cell>
          <cell r="E181" t="str">
            <v>PCS</v>
          </cell>
          <cell r="F181" t="str">
            <v>IDR</v>
          </cell>
          <cell r="G181">
            <v>178500</v>
          </cell>
          <cell r="H181" t="str">
            <v>MDO</v>
          </cell>
        </row>
        <row r="182">
          <cell r="C182" t="str">
            <v>C1001000085</v>
          </cell>
          <cell r="D182" t="str">
            <v>TONER CARTRIDGE # Q3960A (BLACK) FOR HP LASER JET 2550</v>
          </cell>
          <cell r="E182" t="str">
            <v>PCS</v>
          </cell>
          <cell r="F182" t="str">
            <v>IDR</v>
          </cell>
          <cell r="G182">
            <v>730000</v>
          </cell>
          <cell r="H182" t="str">
            <v>MDO</v>
          </cell>
        </row>
        <row r="183">
          <cell r="C183" t="str">
            <v>C1001000086</v>
          </cell>
          <cell r="D183" t="str">
            <v>TONER CARTRIDGE # Q3971A (CYAN) FOR HP LASER JET 2550</v>
          </cell>
          <cell r="E183" t="str">
            <v>PCS</v>
          </cell>
          <cell r="F183" t="str">
            <v>IDR</v>
          </cell>
          <cell r="G183">
            <v>725000</v>
          </cell>
          <cell r="H183" t="str">
            <v>MDO</v>
          </cell>
        </row>
        <row r="184">
          <cell r="C184" t="str">
            <v>C1001000087</v>
          </cell>
          <cell r="D184" t="str">
            <v>TONER CARTRIDGE # Q3972A (YELLOW) FOR HP LASER JET 2550</v>
          </cell>
          <cell r="E184" t="str">
            <v>PCS</v>
          </cell>
          <cell r="F184" t="str">
            <v>IDR</v>
          </cell>
          <cell r="G184">
            <v>725000</v>
          </cell>
          <cell r="H184" t="str">
            <v>MDO</v>
          </cell>
        </row>
        <row r="185">
          <cell r="C185" t="str">
            <v>C1001000088</v>
          </cell>
          <cell r="D185" t="str">
            <v>TONER CARTRIDGE # Q3973A (MAGENTA) FOR HP LASER JET 2550</v>
          </cell>
          <cell r="E185" t="str">
            <v>PCS</v>
          </cell>
          <cell r="F185" t="str">
            <v>IDR</v>
          </cell>
          <cell r="G185">
            <v>725000</v>
          </cell>
          <cell r="H185" t="str">
            <v>MDO</v>
          </cell>
        </row>
        <row r="186">
          <cell r="C186" t="str">
            <v>C1001000090</v>
          </cell>
          <cell r="D186" t="str">
            <v>CD CASE PLASTIC</v>
          </cell>
          <cell r="E186" t="str">
            <v>PCS</v>
          </cell>
          <cell r="F186" t="str">
            <v>IDR</v>
          </cell>
          <cell r="G186">
            <v>1250</v>
          </cell>
          <cell r="H186" t="str">
            <v>MDO</v>
          </cell>
        </row>
        <row r="187">
          <cell r="C187" t="str">
            <v>C1001000095</v>
          </cell>
          <cell r="D187" t="str">
            <v>USB KEYBOARD</v>
          </cell>
          <cell r="E187" t="str">
            <v>PCS</v>
          </cell>
          <cell r="F187" t="str">
            <v>IDR</v>
          </cell>
          <cell r="G187">
            <v>45000</v>
          </cell>
          <cell r="H187" t="str">
            <v>MDO</v>
          </cell>
        </row>
        <row r="188">
          <cell r="C188" t="str">
            <v>C1001000096</v>
          </cell>
          <cell r="D188" t="str">
            <v>TONER HP C3906F HP LASERJET 5L</v>
          </cell>
          <cell r="E188" t="str">
            <v>PCS</v>
          </cell>
          <cell r="F188" t="str">
            <v>IDR</v>
          </cell>
          <cell r="G188">
            <v>625000</v>
          </cell>
          <cell r="H188" t="str">
            <v>MDO</v>
          </cell>
        </row>
        <row r="189">
          <cell r="C189" t="str">
            <v>C1001000097</v>
          </cell>
          <cell r="D189" t="str">
            <v>TONER CARTRIDGE # 109R00725 FOR PRINTER XEROX 3130</v>
          </cell>
          <cell r="E189" t="str">
            <v>PCS</v>
          </cell>
          <cell r="F189" t="str">
            <v>USD</v>
          </cell>
          <cell r="G189">
            <v>59</v>
          </cell>
          <cell r="H189" t="str">
            <v>MDO</v>
          </cell>
        </row>
        <row r="190">
          <cell r="C190" t="str">
            <v>C1001000099</v>
          </cell>
          <cell r="D190" t="str">
            <v>CABLE BELDEN UTP CATEGORY 5</v>
          </cell>
          <cell r="E190" t="str">
            <v>ROLL</v>
          </cell>
          <cell r="F190" t="str">
            <v>IDR</v>
          </cell>
          <cell r="G190">
            <v>525000</v>
          </cell>
          <cell r="H190" t="str">
            <v>MDO</v>
          </cell>
        </row>
        <row r="191">
          <cell r="C191" t="str">
            <v>C1001000100</v>
          </cell>
          <cell r="D191" t="str">
            <v>UTP CONNECTOR RJ-45</v>
          </cell>
          <cell r="E191" t="str">
            <v>BOX</v>
          </cell>
          <cell r="F191" t="str">
            <v>USD</v>
          </cell>
          <cell r="G191">
            <v>6</v>
          </cell>
          <cell r="H191" t="str">
            <v>MDO</v>
          </cell>
        </row>
        <row r="192">
          <cell r="C192" t="str">
            <v>C1001000110</v>
          </cell>
          <cell r="D192" t="str">
            <v>TONER CARTRIDGE #Q2612A FOR HP LASER JET 1015/1022</v>
          </cell>
          <cell r="E192" t="str">
            <v>PCS</v>
          </cell>
          <cell r="F192" t="str">
            <v>IDR</v>
          </cell>
          <cell r="G192">
            <v>558000</v>
          </cell>
          <cell r="H192" t="str">
            <v>MDO</v>
          </cell>
        </row>
        <row r="193">
          <cell r="C193" t="str">
            <v>C1001000121</v>
          </cell>
          <cell r="D193" t="str">
            <v>INK CARTRIDGE SO20108 (BLACK)</v>
          </cell>
          <cell r="E193" t="str">
            <v>PCS</v>
          </cell>
          <cell r="F193" t="str">
            <v>IDR</v>
          </cell>
          <cell r="G193">
            <v>173500</v>
          </cell>
          <cell r="H193" t="str">
            <v>MDO</v>
          </cell>
        </row>
        <row r="194">
          <cell r="C194" t="str">
            <v>C1001000123</v>
          </cell>
          <cell r="D194" t="str">
            <v>INK CARTRIDGE BCI-24 (BLACK) FOR CANON PIXMA 1000</v>
          </cell>
          <cell r="E194" t="str">
            <v>PCS</v>
          </cell>
          <cell r="F194" t="str">
            <v>IDR</v>
          </cell>
          <cell r="G194">
            <v>47500</v>
          </cell>
          <cell r="H194" t="str">
            <v>MDO</v>
          </cell>
        </row>
        <row r="195">
          <cell r="C195" t="str">
            <v>C1001000125</v>
          </cell>
          <cell r="D195" t="str">
            <v>HDD 40 GB SATA SEAGATE</v>
          </cell>
          <cell r="E195" t="str">
            <v>PCS</v>
          </cell>
          <cell r="F195" t="str">
            <v>IDR</v>
          </cell>
          <cell r="G195">
            <v>520000</v>
          </cell>
          <cell r="H195" t="str">
            <v>MDO</v>
          </cell>
        </row>
        <row r="196">
          <cell r="C196" t="str">
            <v>C1001000126</v>
          </cell>
          <cell r="D196" t="str">
            <v>POCKET HDD 80 GB FUJITSU + CASING</v>
          </cell>
          <cell r="E196" t="str">
            <v>PCS</v>
          </cell>
          <cell r="F196" t="str">
            <v>IDR</v>
          </cell>
          <cell r="G196">
            <v>1400000</v>
          </cell>
          <cell r="H196" t="str">
            <v>MDO</v>
          </cell>
        </row>
        <row r="197">
          <cell r="C197" t="str">
            <v>C1001000127</v>
          </cell>
          <cell r="D197" t="str">
            <v>INK CARTRIDGE T017 BLACK FOR EPSON STYLUS 680</v>
          </cell>
          <cell r="E197" t="str">
            <v>PCS</v>
          </cell>
          <cell r="F197" t="str">
            <v>IDR</v>
          </cell>
          <cell r="G197">
            <v>205000</v>
          </cell>
          <cell r="H197" t="str">
            <v>MDO</v>
          </cell>
        </row>
        <row r="198">
          <cell r="C198" t="str">
            <v>C1001000128</v>
          </cell>
          <cell r="D198" t="str">
            <v>INK CARTRIDGE T013 BLACK FOR EPSON STYLUS 480</v>
          </cell>
          <cell r="E198" t="str">
            <v>PCS</v>
          </cell>
          <cell r="F198" t="str">
            <v>IDR</v>
          </cell>
          <cell r="G198">
            <v>107500</v>
          </cell>
          <cell r="H198" t="str">
            <v>MDO</v>
          </cell>
        </row>
        <row r="199">
          <cell r="C199" t="str">
            <v>C1001000129</v>
          </cell>
          <cell r="D199" t="str">
            <v>INK CARTRIDGE T014 BLACK FOR EPSON STYLUS 480</v>
          </cell>
          <cell r="E199" t="str">
            <v>PCS</v>
          </cell>
          <cell r="F199" t="str">
            <v>IDR</v>
          </cell>
          <cell r="G199">
            <v>145000</v>
          </cell>
          <cell r="H199" t="str">
            <v>MDO</v>
          </cell>
        </row>
        <row r="200">
          <cell r="C200" t="str">
            <v>C1001000130</v>
          </cell>
          <cell r="D200" t="str">
            <v>RIBBON CARTRIDGE # 8750</v>
          </cell>
          <cell r="E200" t="str">
            <v>PCS</v>
          </cell>
          <cell r="F200" t="str">
            <v>IDR</v>
          </cell>
          <cell r="G200">
            <v>14000</v>
          </cell>
          <cell r="H200" t="str">
            <v>MDO</v>
          </cell>
        </row>
        <row r="201">
          <cell r="C201" t="str">
            <v>C1001000131</v>
          </cell>
          <cell r="D201" t="str">
            <v>MEMORY 256 MB PC 100 SDRAM SODIM FOR NOTEBOOK EVO N110</v>
          </cell>
          <cell r="E201" t="str">
            <v>PCS</v>
          </cell>
          <cell r="F201" t="str">
            <v>IDR</v>
          </cell>
          <cell r="G201">
            <v>1150000</v>
          </cell>
          <cell r="H201" t="str">
            <v>MDO</v>
          </cell>
        </row>
        <row r="202">
          <cell r="C202" t="str">
            <v>C1001000132</v>
          </cell>
          <cell r="D202" t="str">
            <v>THUM DRIVE 256 MB KINGSTON</v>
          </cell>
          <cell r="E202" t="str">
            <v>PCS</v>
          </cell>
          <cell r="F202" t="str">
            <v>IDR</v>
          </cell>
          <cell r="G202">
            <v>212000</v>
          </cell>
          <cell r="H202" t="str">
            <v>MDO</v>
          </cell>
        </row>
        <row r="203">
          <cell r="C203" t="str">
            <v>C1001000133</v>
          </cell>
          <cell r="D203" t="str">
            <v>TONER FOR LASER 1200</v>
          </cell>
          <cell r="E203" t="str">
            <v>PCS</v>
          </cell>
          <cell r="F203" t="str">
            <v>IDR</v>
          </cell>
          <cell r="G203">
            <v>550000</v>
          </cell>
          <cell r="H203" t="str">
            <v>MDO</v>
          </cell>
        </row>
        <row r="204">
          <cell r="C204" t="str">
            <v>C1001000135</v>
          </cell>
          <cell r="D204" t="str">
            <v>TONER HP Q6511AFOR LASET JET HP2420</v>
          </cell>
          <cell r="E204" t="str">
            <v>PCS</v>
          </cell>
          <cell r="F204" t="str">
            <v>USD</v>
          </cell>
          <cell r="G204">
            <v>110</v>
          </cell>
          <cell r="H204" t="str">
            <v>MDO</v>
          </cell>
        </row>
        <row r="205">
          <cell r="C205" t="str">
            <v>C1001000136</v>
          </cell>
          <cell r="D205" t="str">
            <v>TONER CARTRIDGE #Q2610A FOR HP LASER JET</v>
          </cell>
          <cell r="E205" t="str">
            <v>PCS</v>
          </cell>
          <cell r="F205" t="str">
            <v>IDR</v>
          </cell>
          <cell r="G205">
            <v>1050000</v>
          </cell>
          <cell r="H205" t="str">
            <v>MDO</v>
          </cell>
        </row>
        <row r="206">
          <cell r="C206" t="str">
            <v>C1001000137</v>
          </cell>
          <cell r="D206" t="str">
            <v>TONER CARTRIDGE #C9700A (BLACK) FOR HP LASER JET</v>
          </cell>
          <cell r="E206" t="str">
            <v>PCS</v>
          </cell>
          <cell r="F206" t="str">
            <v>IDR</v>
          </cell>
          <cell r="G206">
            <v>704000</v>
          </cell>
          <cell r="H206" t="str">
            <v>MDO</v>
          </cell>
        </row>
        <row r="207">
          <cell r="C207" t="str">
            <v>C1001000138</v>
          </cell>
          <cell r="D207" t="str">
            <v>TONER CARTRIDGE #C9701A (CYAN) FOR HP LASER JET</v>
          </cell>
          <cell r="E207" t="str">
            <v>PCS</v>
          </cell>
          <cell r="F207" t="str">
            <v>IDR</v>
          </cell>
          <cell r="G207">
            <v>855000</v>
          </cell>
          <cell r="H207" t="str">
            <v>MDO</v>
          </cell>
        </row>
        <row r="208">
          <cell r="C208" t="str">
            <v>C1001000139</v>
          </cell>
          <cell r="D208" t="str">
            <v>TONER CARTRIDGE #C9702A (MAGENTA) FOR HP LASER JET</v>
          </cell>
          <cell r="E208" t="str">
            <v>PCS</v>
          </cell>
          <cell r="F208" t="str">
            <v>IDR</v>
          </cell>
          <cell r="G208">
            <v>855000</v>
          </cell>
          <cell r="H208" t="str">
            <v>MDO</v>
          </cell>
        </row>
        <row r="209">
          <cell r="C209" t="str">
            <v>C1001000140</v>
          </cell>
          <cell r="D209" t="str">
            <v>TONER CARTRIDGE #C9703A (YELLOW) FOR HP LASER JET</v>
          </cell>
          <cell r="E209" t="str">
            <v>PCS</v>
          </cell>
          <cell r="F209" t="str">
            <v>IDR</v>
          </cell>
          <cell r="G209">
            <v>855000</v>
          </cell>
          <cell r="H209" t="str">
            <v>MDO</v>
          </cell>
        </row>
        <row r="210">
          <cell r="C210" t="str">
            <v>C1001000141</v>
          </cell>
          <cell r="D210" t="str">
            <v>RIBBON CARTRIDGE LQ 2170/LQ 2180</v>
          </cell>
          <cell r="E210" t="str">
            <v>PCS</v>
          </cell>
          <cell r="F210" t="str">
            <v>IDR</v>
          </cell>
          <cell r="G210">
            <v>40000</v>
          </cell>
          <cell r="H210" t="str">
            <v>MDO</v>
          </cell>
        </row>
        <row r="211">
          <cell r="C211" t="str">
            <v>C1001000142</v>
          </cell>
          <cell r="D211" t="str">
            <v>INK CARTRIDGE BCL-16 (BLACK) FOR CANON PIXMA</v>
          </cell>
          <cell r="E211" t="str">
            <v>PCS</v>
          </cell>
          <cell r="F211" t="str">
            <v>IDR</v>
          </cell>
          <cell r="G211">
            <v>161500</v>
          </cell>
          <cell r="H211" t="str">
            <v>MDO</v>
          </cell>
        </row>
        <row r="212">
          <cell r="C212" t="str">
            <v>C1001000144</v>
          </cell>
          <cell r="D212" t="str">
            <v>SCANNER CANNON DR - 2580C</v>
          </cell>
          <cell r="E212" t="str">
            <v>UNIT</v>
          </cell>
          <cell r="F212" t="str">
            <v>USD</v>
          </cell>
          <cell r="G212">
            <v>1250</v>
          </cell>
          <cell r="H212" t="str">
            <v>MDO</v>
          </cell>
        </row>
        <row r="213">
          <cell r="C213" t="str">
            <v>C1001000148</v>
          </cell>
          <cell r="D213" t="str">
            <v>INK CARTRIDGE BC-03 (BLACK) FOR CANON BJ FAX B-155</v>
          </cell>
          <cell r="E213" t="str">
            <v>PCS</v>
          </cell>
          <cell r="F213" t="str">
            <v>IDR</v>
          </cell>
          <cell r="G213">
            <v>171000</v>
          </cell>
          <cell r="H213" t="str">
            <v>MDO</v>
          </cell>
        </row>
        <row r="214">
          <cell r="C214" t="str">
            <v>C1001000150</v>
          </cell>
          <cell r="D214" t="str">
            <v>UNIVERSAL ADAPTER WONPRO CONVERTER CABANG DUA KE CABANG TIGA W/O SAKLAR</v>
          </cell>
          <cell r="E214" t="str">
            <v>PCS</v>
          </cell>
          <cell r="F214" t="str">
            <v>IDR</v>
          </cell>
          <cell r="G214">
            <v>8600</v>
          </cell>
          <cell r="H214" t="str">
            <v>MDO</v>
          </cell>
        </row>
        <row r="215">
          <cell r="C215" t="str">
            <v>C1001000152</v>
          </cell>
          <cell r="D215" t="str">
            <v>HEAD PRINTER FOR EPSON LX-300</v>
          </cell>
          <cell r="E215" t="str">
            <v>PCS</v>
          </cell>
          <cell r="F215" t="str">
            <v>IDR</v>
          </cell>
          <cell r="G215">
            <v>275000</v>
          </cell>
          <cell r="H215" t="str">
            <v>MDO</v>
          </cell>
        </row>
        <row r="216">
          <cell r="C216" t="str">
            <v>C1001000153</v>
          </cell>
          <cell r="D216" t="str">
            <v>HEAD PRINTER FOR EPSON LX-300+</v>
          </cell>
          <cell r="E216" t="str">
            <v>PCS</v>
          </cell>
          <cell r="F216" t="str">
            <v>IDR</v>
          </cell>
          <cell r="G216">
            <v>275000</v>
          </cell>
          <cell r="H216" t="str">
            <v>MDO</v>
          </cell>
        </row>
        <row r="217">
          <cell r="C217" t="str">
            <v>C1001000154</v>
          </cell>
          <cell r="D217" t="str">
            <v>PRINTER CABLE @ 5 MTR</v>
          </cell>
          <cell r="E217" t="str">
            <v>UNIT</v>
          </cell>
          <cell r="F217" t="str">
            <v>IDR</v>
          </cell>
          <cell r="G217">
            <v>20000</v>
          </cell>
          <cell r="H217" t="str">
            <v>MDO</v>
          </cell>
        </row>
        <row r="218">
          <cell r="C218" t="str">
            <v>C1001000155</v>
          </cell>
          <cell r="D218" t="str">
            <v>BATTERY NOTEBOOK COMPAQ EVO N1020V</v>
          </cell>
          <cell r="E218" t="str">
            <v>UNIT</v>
          </cell>
          <cell r="F218" t="str">
            <v>IDR</v>
          </cell>
          <cell r="G218">
            <v>1509750</v>
          </cell>
          <cell r="H218" t="str">
            <v>MDO</v>
          </cell>
        </row>
        <row r="219">
          <cell r="C219" t="str">
            <v>C1001000157</v>
          </cell>
          <cell r="D219" t="str">
            <v>CD-R BENQ</v>
          </cell>
          <cell r="E219" t="str">
            <v>PCS</v>
          </cell>
          <cell r="F219" t="str">
            <v>USD</v>
          </cell>
          <cell r="G219">
            <v>1900</v>
          </cell>
          <cell r="H219" t="str">
            <v>MDO</v>
          </cell>
        </row>
        <row r="220">
          <cell r="C220" t="str">
            <v>C1001000167</v>
          </cell>
          <cell r="D220" t="str">
            <v>MEMORY SDRAM 256 MB PC 133 KINGSTON</v>
          </cell>
          <cell r="E220" t="str">
            <v>UNIT</v>
          </cell>
          <cell r="F220" t="str">
            <v>USD</v>
          </cell>
          <cell r="G220">
            <v>59</v>
          </cell>
          <cell r="H220" t="str">
            <v>MDO</v>
          </cell>
        </row>
        <row r="221">
          <cell r="C221" t="str">
            <v>C1001000168</v>
          </cell>
          <cell r="D221" t="str">
            <v>INK CARTRIDGE BC-20 (BLACK)</v>
          </cell>
          <cell r="E221" t="str">
            <v>PCS</v>
          </cell>
          <cell r="F221" t="str">
            <v>IDR</v>
          </cell>
          <cell r="G221">
            <v>232500</v>
          </cell>
          <cell r="H221" t="str">
            <v>MDO</v>
          </cell>
        </row>
        <row r="222">
          <cell r="C222" t="str">
            <v>C1001000169</v>
          </cell>
          <cell r="D222" t="str">
            <v>HEAD PRINTER EPSON LQ-1170</v>
          </cell>
          <cell r="E222" t="str">
            <v>PCS</v>
          </cell>
          <cell r="F222" t="str">
            <v>IDR</v>
          </cell>
          <cell r="G222">
            <v>550000</v>
          </cell>
          <cell r="H222" t="str">
            <v>MDO</v>
          </cell>
        </row>
        <row r="223">
          <cell r="C223" t="str">
            <v>C1001000170</v>
          </cell>
          <cell r="D223" t="str">
            <v>HEAD PRINTER EPSON LQ-2180</v>
          </cell>
          <cell r="E223" t="str">
            <v>PCS</v>
          </cell>
          <cell r="F223" t="str">
            <v>IDR</v>
          </cell>
          <cell r="G223">
            <v>660000</v>
          </cell>
          <cell r="H223" t="str">
            <v>MDO</v>
          </cell>
        </row>
        <row r="224">
          <cell r="C224" t="str">
            <v>C1001000171</v>
          </cell>
          <cell r="D224" t="str">
            <v>BATTERY NOTEBOOK COMPAQ EVO N1000 PN. 280206.001</v>
          </cell>
          <cell r="E224" t="str">
            <v>PCS</v>
          </cell>
          <cell r="F224" t="str">
            <v>IDR</v>
          </cell>
          <cell r="G224">
            <v>1950000</v>
          </cell>
          <cell r="H224" t="str">
            <v>MDO</v>
          </cell>
        </row>
        <row r="225">
          <cell r="C225" t="str">
            <v>C1001000172</v>
          </cell>
          <cell r="D225" t="str">
            <v>MINI KVM SWITCH 4 PORT (CONSOLE SWITCH) "ATEN"  CS-914</v>
          </cell>
          <cell r="E225" t="str">
            <v>PCS</v>
          </cell>
          <cell r="F225" t="str">
            <v>IDR</v>
          </cell>
          <cell r="G225">
            <v>795600</v>
          </cell>
          <cell r="H225" t="str">
            <v>MDO</v>
          </cell>
        </row>
        <row r="226">
          <cell r="C226" t="str">
            <v>C1001000173</v>
          </cell>
          <cell r="D226" t="str">
            <v>CONNECTOR RJ 45 (1 BOX = 100 PCS)</v>
          </cell>
          <cell r="E226" t="str">
            <v>PCS</v>
          </cell>
          <cell r="F226" t="str">
            <v>USD</v>
          </cell>
          <cell r="G226">
            <v>6</v>
          </cell>
          <cell r="H226" t="str">
            <v>MDO</v>
          </cell>
        </row>
        <row r="227">
          <cell r="C227" t="str">
            <v>C1001000174</v>
          </cell>
          <cell r="D227" t="str">
            <v>INK CARTRIDGE EPSON S020108</v>
          </cell>
          <cell r="E227" t="str">
            <v>PCS</v>
          </cell>
          <cell r="F227" t="str">
            <v>IDR</v>
          </cell>
          <cell r="G227">
            <v>173500</v>
          </cell>
          <cell r="H227" t="str">
            <v>MDO</v>
          </cell>
        </row>
        <row r="228">
          <cell r="C228" t="str">
            <v>C1001000175</v>
          </cell>
          <cell r="D228" t="str">
            <v>PCMCIA ETHERNET CARD 10/100 FOR NOTEBOOK "XIRCOM" BRAND</v>
          </cell>
          <cell r="E228" t="str">
            <v>PCS</v>
          </cell>
          <cell r="F228" t="str">
            <v>USD</v>
          </cell>
          <cell r="G228">
            <v>25</v>
          </cell>
          <cell r="H228" t="str">
            <v>MDO</v>
          </cell>
        </row>
        <row r="229">
          <cell r="C229" t="str">
            <v>C1001000179</v>
          </cell>
          <cell r="D229" t="str">
            <v>CABLE PRINTER 1 M</v>
          </cell>
          <cell r="E229" t="str">
            <v>PCS</v>
          </cell>
          <cell r="F229" t="str">
            <v>IDR</v>
          </cell>
          <cell r="G229">
            <v>7500</v>
          </cell>
          <cell r="H229" t="str">
            <v>MDO</v>
          </cell>
        </row>
        <row r="230">
          <cell r="C230" t="str">
            <v>C1001000181</v>
          </cell>
          <cell r="D230" t="str">
            <v>CABLE USB</v>
          </cell>
          <cell r="E230" t="str">
            <v>PCS</v>
          </cell>
          <cell r="F230" t="str">
            <v>IDR</v>
          </cell>
          <cell r="G230">
            <v>3000</v>
          </cell>
          <cell r="H230" t="str">
            <v>MDO</v>
          </cell>
        </row>
        <row r="231">
          <cell r="C231" t="str">
            <v>C1001000183</v>
          </cell>
          <cell r="D231" t="str">
            <v>SCANNER CANO SCAN 60</v>
          </cell>
          <cell r="E231" t="str">
            <v>UNIT</v>
          </cell>
          <cell r="F231" t="str">
            <v>USD</v>
          </cell>
          <cell r="G231">
            <v>70</v>
          </cell>
          <cell r="H231" t="str">
            <v>MDO</v>
          </cell>
        </row>
        <row r="232">
          <cell r="C232" t="str">
            <v>C1001000184</v>
          </cell>
          <cell r="D232" t="str">
            <v>HARDDISK SATA 250 GB</v>
          </cell>
          <cell r="E232" t="str">
            <v>UNIT</v>
          </cell>
          <cell r="F232" t="str">
            <v>USD</v>
          </cell>
          <cell r="G232">
            <v>105</v>
          </cell>
          <cell r="H232" t="str">
            <v>MDO</v>
          </cell>
        </row>
        <row r="233">
          <cell r="C233" t="str">
            <v>C1001000185</v>
          </cell>
          <cell r="D233" t="str">
            <v>SCSI CARD ADAPTEC 29160</v>
          </cell>
          <cell r="E233" t="str">
            <v>UNIT</v>
          </cell>
          <cell r="F233" t="str">
            <v>USD</v>
          </cell>
          <cell r="G233">
            <v>225</v>
          </cell>
          <cell r="H233" t="str">
            <v>MDO</v>
          </cell>
        </row>
        <row r="234">
          <cell r="C234" t="str">
            <v>C1001000186</v>
          </cell>
          <cell r="D234" t="str">
            <v>ADAPTEC SERIAL ATA 4 CHANNEL</v>
          </cell>
          <cell r="E234" t="str">
            <v>UNIT</v>
          </cell>
          <cell r="F234" t="str">
            <v>USD</v>
          </cell>
          <cell r="G234">
            <v>175</v>
          </cell>
          <cell r="H234" t="str">
            <v>MDO</v>
          </cell>
        </row>
        <row r="235">
          <cell r="C235" t="str">
            <v>C1001000187</v>
          </cell>
          <cell r="D235" t="str">
            <v>FLASH DISK KINGSTON 256 MB</v>
          </cell>
          <cell r="E235" t="str">
            <v>PCS</v>
          </cell>
          <cell r="F235" t="str">
            <v>IDR</v>
          </cell>
          <cell r="G235">
            <v>212000</v>
          </cell>
          <cell r="H235" t="str">
            <v>MDO</v>
          </cell>
        </row>
        <row r="236">
          <cell r="C236" t="str">
            <v>C1001000188</v>
          </cell>
          <cell r="D236" t="str">
            <v>INK CARTRIDGE PGI-5BK (BLACK) FOR PRINTER IP 4200</v>
          </cell>
          <cell r="E236" t="str">
            <v>PCS</v>
          </cell>
          <cell r="F236" t="str">
            <v>USD</v>
          </cell>
          <cell r="G236">
            <v>13</v>
          </cell>
          <cell r="H236" t="str">
            <v>MDO</v>
          </cell>
        </row>
        <row r="237">
          <cell r="C237" t="str">
            <v>C1001000189</v>
          </cell>
          <cell r="D237" t="str">
            <v>INK CARTRIDGE CLI-8C (CYAN) FOR PRINTER IP4200</v>
          </cell>
          <cell r="E237" t="str">
            <v>PCS</v>
          </cell>
          <cell r="F237" t="str">
            <v>USD</v>
          </cell>
          <cell r="G237">
            <v>11</v>
          </cell>
          <cell r="H237" t="str">
            <v>MDO</v>
          </cell>
        </row>
        <row r="238">
          <cell r="C238" t="str">
            <v>C1001000190</v>
          </cell>
          <cell r="D238" t="str">
            <v>INK CARTRIDGE CLI-8M (MAGENTA) FOR PRINTER IP4200</v>
          </cell>
          <cell r="E238" t="str">
            <v>PCS</v>
          </cell>
          <cell r="F238" t="str">
            <v>USD</v>
          </cell>
          <cell r="G238">
            <v>11</v>
          </cell>
          <cell r="H238" t="str">
            <v>MDO</v>
          </cell>
        </row>
        <row r="239">
          <cell r="C239" t="str">
            <v>C1001000191</v>
          </cell>
          <cell r="D239" t="str">
            <v>INK CARTRIDGE CLI-8Y (YELLOW) FOR PRINTER IP4200</v>
          </cell>
          <cell r="E239" t="str">
            <v>PCS</v>
          </cell>
          <cell r="F239" t="str">
            <v>USD</v>
          </cell>
          <cell r="G239">
            <v>11</v>
          </cell>
          <cell r="H239" t="str">
            <v>MDO</v>
          </cell>
        </row>
        <row r="240">
          <cell r="C240" t="str">
            <v>C1001000192</v>
          </cell>
          <cell r="D240" t="str">
            <v>CABLE STP AMP</v>
          </cell>
          <cell r="E240" t="str">
            <v>PCS</v>
          </cell>
          <cell r="F240" t="str">
            <v>USD</v>
          </cell>
          <cell r="G240">
            <v>120</v>
          </cell>
          <cell r="H240" t="str">
            <v>MDO</v>
          </cell>
        </row>
        <row r="241">
          <cell r="C241" t="str">
            <v>C1001000195</v>
          </cell>
          <cell r="D241" t="str">
            <v>PREMIUM TARGUS BLACK PACK NOTEBOOK CASE</v>
          </cell>
          <cell r="E241" t="str">
            <v>UNIT</v>
          </cell>
          <cell r="F241" t="str">
            <v>IDR</v>
          </cell>
          <cell r="G241">
            <v>650000</v>
          </cell>
          <cell r="H241" t="str">
            <v>MDO</v>
          </cell>
        </row>
        <row r="242">
          <cell r="C242" t="str">
            <v>C1001000196</v>
          </cell>
          <cell r="D242" t="str">
            <v>USB MOUSE GENIUS BRAND WITH SCROLL</v>
          </cell>
          <cell r="E242" t="str">
            <v>PCS</v>
          </cell>
          <cell r="F242" t="str">
            <v>IDR</v>
          </cell>
          <cell r="G242">
            <v>45000</v>
          </cell>
          <cell r="H242" t="str">
            <v>MDO</v>
          </cell>
        </row>
        <row r="243">
          <cell r="C243" t="str">
            <v>C1001000197</v>
          </cell>
          <cell r="D243" t="str">
            <v>HARDDISK IDE 80 GB SEAGATE BRAND</v>
          </cell>
          <cell r="E243" t="str">
            <v>UNIT</v>
          </cell>
          <cell r="F243" t="str">
            <v>IDR</v>
          </cell>
          <cell r="G243">
            <v>600000</v>
          </cell>
          <cell r="H243" t="str">
            <v>MDO</v>
          </cell>
        </row>
        <row r="244">
          <cell r="C244" t="str">
            <v>C1001000198</v>
          </cell>
          <cell r="D244" t="str">
            <v xml:space="preserve"> BATTERY FOR LASER POINTER AG3 (LR-44)</v>
          </cell>
          <cell r="E244" t="str">
            <v>PCS</v>
          </cell>
          <cell r="F244" t="str">
            <v>IDR</v>
          </cell>
          <cell r="G244">
            <v>7000</v>
          </cell>
          <cell r="H244" t="str">
            <v>MDO</v>
          </cell>
        </row>
        <row r="245">
          <cell r="C245" t="str">
            <v>C1001000202</v>
          </cell>
          <cell r="D245" t="str">
            <v>RIBBON CARTRIDGE #8750 P.RITE</v>
          </cell>
          <cell r="E245" t="str">
            <v>PCS</v>
          </cell>
          <cell r="F245" t="str">
            <v>IDR</v>
          </cell>
          <cell r="G245">
            <v>14000</v>
          </cell>
          <cell r="H245" t="str">
            <v>MDO</v>
          </cell>
        </row>
        <row r="246">
          <cell r="C246" t="str">
            <v>C1001000203</v>
          </cell>
          <cell r="D246" t="str">
            <v>NOTEBOOK HDD 40 GB SEAGATE BRAND</v>
          </cell>
          <cell r="E246" t="str">
            <v>PCS</v>
          </cell>
          <cell r="F246" t="str">
            <v>IDR</v>
          </cell>
          <cell r="G246">
            <v>575000</v>
          </cell>
          <cell r="H246" t="str">
            <v>MDO</v>
          </cell>
        </row>
        <row r="247">
          <cell r="C247" t="str">
            <v>C1001000205</v>
          </cell>
          <cell r="D247" t="str">
            <v>MEMORY SODIMM DDR FOR NOTEBOOK NX-5000</v>
          </cell>
          <cell r="E247" t="str">
            <v>UNIT</v>
          </cell>
          <cell r="F247" t="str">
            <v>IDR</v>
          </cell>
          <cell r="G247">
            <v>275000</v>
          </cell>
          <cell r="H247" t="str">
            <v>MDO</v>
          </cell>
        </row>
        <row r="248">
          <cell r="C248" t="str">
            <v>C1001000206</v>
          </cell>
          <cell r="D248" t="str">
            <v>TONER CARTRIDGE #C4096A FOR HP LASER JET 2200</v>
          </cell>
          <cell r="E248" t="str">
            <v>PCS</v>
          </cell>
          <cell r="F248" t="str">
            <v>IDR</v>
          </cell>
          <cell r="G248">
            <v>840000</v>
          </cell>
          <cell r="H248" t="str">
            <v>MDO</v>
          </cell>
        </row>
        <row r="249">
          <cell r="C249" t="str">
            <v>C1002000023</v>
          </cell>
          <cell r="D249" t="str">
            <v>CONTINUOUS FORM 9 1/2 X 11" (2 PLY) CARBON "JAYA"</v>
          </cell>
          <cell r="E249" t="str">
            <v>BOX</v>
          </cell>
          <cell r="F249" t="str">
            <v>IDR</v>
          </cell>
          <cell r="G249">
            <v>146000</v>
          </cell>
          <cell r="H249" t="str">
            <v>MDO</v>
          </cell>
        </row>
        <row r="250">
          <cell r="C250" t="str">
            <v>C1002000232</v>
          </cell>
          <cell r="D250" t="str">
            <v>CONTINUOUS FORM 9 1/2 X 11" (4 PLY) NCR "JAYA"</v>
          </cell>
          <cell r="E250" t="str">
            <v>BOX</v>
          </cell>
          <cell r="F250" t="str">
            <v>IDR</v>
          </cell>
          <cell r="G250">
            <v>170000</v>
          </cell>
          <cell r="H250" t="str">
            <v>MDO</v>
          </cell>
        </row>
        <row r="251">
          <cell r="C251" t="str">
            <v>C1002000264</v>
          </cell>
          <cell r="D251" t="str">
            <v>CONTINUOUS FORM 9 1/2 X 11" (1 PLY) CARBON "JAYA"</v>
          </cell>
          <cell r="E251" t="str">
            <v>BOX</v>
          </cell>
          <cell r="F251" t="str">
            <v>IDR</v>
          </cell>
          <cell r="G251">
            <v>93500</v>
          </cell>
          <cell r="H251" t="str">
            <v>MDO</v>
          </cell>
        </row>
        <row r="252">
          <cell r="C252" t="str">
            <v>C1002000428</v>
          </cell>
          <cell r="D252" t="str">
            <v>CONTINUOUS FORM 9 1/2 X 11" (4 PLY) NCR COLOUR (WHITE, RED, YELLOW, GREEN)</v>
          </cell>
          <cell r="E252" t="str">
            <v>BOX</v>
          </cell>
          <cell r="F252" t="str">
            <v>IDR</v>
          </cell>
          <cell r="G252">
            <v>172000</v>
          </cell>
          <cell r="H252" t="str">
            <v>MDO</v>
          </cell>
        </row>
        <row r="253">
          <cell r="C253" t="str">
            <v>C1002000457</v>
          </cell>
          <cell r="D253" t="str">
            <v>CONTINUOUS FORM 9 1/2 X 11" (3 PLY) CARBON "JAYA"</v>
          </cell>
          <cell r="E253" t="str">
            <v>BOX</v>
          </cell>
          <cell r="F253" t="str">
            <v>IDR</v>
          </cell>
          <cell r="G253">
            <v>236500</v>
          </cell>
          <cell r="H253" t="str">
            <v>MDO</v>
          </cell>
        </row>
        <row r="254">
          <cell r="C254" t="str">
            <v>D0201010002</v>
          </cell>
          <cell r="D254" t="str">
            <v>RENTAL COMPUTER PIV CELERON 2.0 Ghz</v>
          </cell>
          <cell r="E254" t="str">
            <v>UNIT</v>
          </cell>
          <cell r="F254" t="str">
            <v>IDR</v>
          </cell>
          <cell r="G254">
            <v>1100000</v>
          </cell>
          <cell r="H254" t="str">
            <v>MDO</v>
          </cell>
        </row>
        <row r="255">
          <cell r="C255" t="str">
            <v>D0201010003</v>
          </cell>
          <cell r="D255" t="str">
            <v>RENTAL COMPUTER COMPLETE (PC P4 MEMORY 256 MB,HDD 40GB+MONITOR 15")</v>
          </cell>
          <cell r="E255" t="str">
            <v>UNIT</v>
          </cell>
          <cell r="F255" t="str">
            <v>IDR</v>
          </cell>
          <cell r="G255">
            <v>2000000</v>
          </cell>
          <cell r="H255" t="str">
            <v>MDO</v>
          </cell>
        </row>
        <row r="256">
          <cell r="C256" t="str">
            <v>D0201010004</v>
          </cell>
          <cell r="D256" t="str">
            <v>RENTAL COMPUTER CEL 2.26 MB, P4 1456V, MEMORY 256MB, HD 40 GB, FDD 1.44MB</v>
          </cell>
          <cell r="E256" t="str">
            <v>UNIT</v>
          </cell>
          <cell r="F256" t="str">
            <v>IDR</v>
          </cell>
          <cell r="G256">
            <v>2000000</v>
          </cell>
          <cell r="H256" t="str">
            <v>MDO</v>
          </cell>
        </row>
        <row r="257">
          <cell r="C257" t="str">
            <v>D0201010005</v>
          </cell>
          <cell r="D257" t="str">
            <v>RENTAL PRINTER EPSON STYLUS C43SX</v>
          </cell>
          <cell r="E257" t="str">
            <v>UNIT</v>
          </cell>
          <cell r="F257" t="str">
            <v>IDR</v>
          </cell>
          <cell r="G257">
            <v>300000</v>
          </cell>
          <cell r="H257" t="str">
            <v>MDO</v>
          </cell>
        </row>
        <row r="258">
          <cell r="C258" t="str">
            <v>D0201010006</v>
          </cell>
          <cell r="D258" t="str">
            <v>RENTAL COMPUTER P4 CELERON 2,0 GHZ, HDD 20 GB, MEMORY 512 MB</v>
          </cell>
          <cell r="E258" t="str">
            <v>UNIT</v>
          </cell>
          <cell r="F258" t="str">
            <v>IDR</v>
          </cell>
          <cell r="G258">
            <v>770000</v>
          </cell>
          <cell r="H258" t="str">
            <v>MDO</v>
          </cell>
        </row>
        <row r="259">
          <cell r="C259" t="str">
            <v>D0201010007</v>
          </cell>
          <cell r="D259" t="str">
            <v>RENTAL PRINTER EPSON</v>
          </cell>
          <cell r="E259" t="str">
            <v>UNIT</v>
          </cell>
          <cell r="F259" t="str">
            <v>IDR</v>
          </cell>
          <cell r="G259">
            <v>385000</v>
          </cell>
          <cell r="H259" t="str">
            <v>MDO</v>
          </cell>
        </row>
        <row r="260">
          <cell r="C260" t="str">
            <v>E0107000012</v>
          </cell>
          <cell r="D260" t="str">
            <v>UPS APC  BACK 500 AVR</v>
          </cell>
          <cell r="E260" t="str">
            <v>SET</v>
          </cell>
          <cell r="F260" t="str">
            <v>USD</v>
          </cell>
          <cell r="G260">
            <v>90</v>
          </cell>
          <cell r="H260" t="str">
            <v>MDO</v>
          </cell>
        </row>
        <row r="261">
          <cell r="C261" t="str">
            <v>E0107000014</v>
          </cell>
          <cell r="D261" t="str">
            <v>PRINTER LASERJET HP 1022</v>
          </cell>
          <cell r="E261" t="str">
            <v>SET</v>
          </cell>
          <cell r="F261" t="str">
            <v>IDR</v>
          </cell>
          <cell r="G261">
            <v>2350000</v>
          </cell>
          <cell r="H261" t="str">
            <v>MDO</v>
          </cell>
        </row>
        <row r="262">
          <cell r="C262" t="str">
            <v>E0107000015</v>
          </cell>
          <cell r="D262" t="str">
            <v>PRINTER INKJET A3 CANON PIXMA IX 5000</v>
          </cell>
          <cell r="E262" t="str">
            <v>SET</v>
          </cell>
          <cell r="F262" t="str">
            <v>USD</v>
          </cell>
          <cell r="G262">
            <v>271</v>
          </cell>
          <cell r="H262" t="str">
            <v>MDO</v>
          </cell>
        </row>
        <row r="263">
          <cell r="C263" t="str">
            <v>E0107000017</v>
          </cell>
          <cell r="D263" t="str">
            <v>PRINTER INKJET CANON PIXMA 3000</v>
          </cell>
          <cell r="E263" t="str">
            <v>SET</v>
          </cell>
          <cell r="F263" t="str">
            <v>IDR</v>
          </cell>
          <cell r="G263">
            <v>1150000</v>
          </cell>
          <cell r="H263" t="str">
            <v>MDO</v>
          </cell>
        </row>
        <row r="264">
          <cell r="C264" t="str">
            <v>E0107000018</v>
          </cell>
          <cell r="D264" t="str">
            <v>PRINTER EPSON LQ-2180</v>
          </cell>
          <cell r="E264" t="str">
            <v>SET</v>
          </cell>
          <cell r="F264" t="str">
            <v>USD</v>
          </cell>
          <cell r="G264">
            <v>585</v>
          </cell>
          <cell r="H264" t="str">
            <v>MDO</v>
          </cell>
        </row>
        <row r="265">
          <cell r="C265" t="str">
            <v>E0107000019</v>
          </cell>
          <cell r="D265" t="str">
            <v>PRINTER INKJET PORTABLE IP 90 SERIES</v>
          </cell>
          <cell r="E265" t="str">
            <v>SET</v>
          </cell>
          <cell r="F265" t="str">
            <v>IDR</v>
          </cell>
          <cell r="G265">
            <v>1950000</v>
          </cell>
          <cell r="H265" t="str">
            <v>MDO</v>
          </cell>
        </row>
        <row r="266">
          <cell r="C266" t="str">
            <v>E0107000020</v>
          </cell>
          <cell r="D266" t="str">
            <v>LCD PROJECTOR CX-70</v>
          </cell>
          <cell r="E266" t="str">
            <v>SET</v>
          </cell>
          <cell r="F266" t="str">
            <v>IDR</v>
          </cell>
          <cell r="G266">
            <v>18000000</v>
          </cell>
          <cell r="H266" t="str">
            <v>MDO</v>
          </cell>
        </row>
        <row r="267">
          <cell r="C267" t="str">
            <v>E0107000021</v>
          </cell>
          <cell r="D267" t="str">
            <v>PRINTER EPSON LX-300+</v>
          </cell>
          <cell r="E267" t="str">
            <v>SET</v>
          </cell>
          <cell r="F267" t="str">
            <v>USD</v>
          </cell>
          <cell r="G267">
            <v>160</v>
          </cell>
          <cell r="H267" t="str">
            <v>MDO</v>
          </cell>
        </row>
        <row r="268">
          <cell r="C268" t="str">
            <v>E0107000022</v>
          </cell>
          <cell r="D268" t="str">
            <v>NOTEBOOK HP COMPAQ NX 6120</v>
          </cell>
          <cell r="E268" t="str">
            <v>SET</v>
          </cell>
          <cell r="F268" t="str">
            <v>IDR</v>
          </cell>
          <cell r="G268">
            <v>13680000</v>
          </cell>
          <cell r="H268" t="str">
            <v>MDO</v>
          </cell>
        </row>
        <row r="269">
          <cell r="C269" t="str">
            <v>E0107000027</v>
          </cell>
          <cell r="D269" t="str">
            <v>NOTEBOOK HP COMPAQ NX 6110</v>
          </cell>
          <cell r="E269" t="str">
            <v>UNIT</v>
          </cell>
          <cell r="F269" t="str">
            <v>IDR</v>
          </cell>
          <cell r="G269">
            <v>12800000</v>
          </cell>
          <cell r="H269" t="str">
            <v>MDO</v>
          </cell>
        </row>
        <row r="270">
          <cell r="C270" t="str">
            <v>E0107000029</v>
          </cell>
          <cell r="D270" t="str">
            <v>POINTER</v>
          </cell>
          <cell r="E270" t="str">
            <v>UNIT</v>
          </cell>
          <cell r="F270" t="str">
            <v>IDR</v>
          </cell>
          <cell r="G270">
            <v>210000</v>
          </cell>
          <cell r="H270" t="str">
            <v>MDO</v>
          </cell>
        </row>
        <row r="271">
          <cell r="C271" t="str">
            <v>E0107000032</v>
          </cell>
          <cell r="D271" t="str">
            <v>PRINTER INKJET CANON IP4200</v>
          </cell>
          <cell r="E271" t="str">
            <v>UNIT</v>
          </cell>
          <cell r="F271" t="str">
            <v>USD</v>
          </cell>
          <cell r="G271">
            <v>133</v>
          </cell>
          <cell r="H271" t="str">
            <v>MDO</v>
          </cell>
        </row>
        <row r="272">
          <cell r="C272" t="str">
            <v>E0107000037</v>
          </cell>
          <cell r="D272" t="str">
            <v>DESKTOP COMPUTER HP COMPAQ DC 7100</v>
          </cell>
          <cell r="E272" t="str">
            <v>UNIT</v>
          </cell>
          <cell r="F272" t="str">
            <v>USD</v>
          </cell>
          <cell r="G272">
            <v>900</v>
          </cell>
          <cell r="H272" t="str">
            <v>MDO</v>
          </cell>
        </row>
        <row r="273">
          <cell r="C273" t="str">
            <v>E0107000041</v>
          </cell>
          <cell r="D273" t="str">
            <v>HP COMPAQ  NX 6120</v>
          </cell>
          <cell r="E273" t="str">
            <v>UNIT</v>
          </cell>
          <cell r="F273" t="str">
            <v>IDR</v>
          </cell>
          <cell r="G273">
            <v>12350000</v>
          </cell>
          <cell r="H273" t="str">
            <v>MDO</v>
          </cell>
        </row>
        <row r="274">
          <cell r="C274" t="str">
            <v>E0107000042</v>
          </cell>
          <cell r="D274" t="str">
            <v>COMPUTER DESKTOP DC 7600</v>
          </cell>
          <cell r="E274" t="str">
            <v>UNIT</v>
          </cell>
          <cell r="F274" t="str">
            <v>USD</v>
          </cell>
          <cell r="G274">
            <v>900</v>
          </cell>
          <cell r="H274" t="str">
            <v>MDO</v>
          </cell>
        </row>
        <row r="275">
          <cell r="C275" t="str">
            <v>---</v>
          </cell>
          <cell r="D275" t="str">
            <v>---</v>
          </cell>
          <cell r="E275" t="str">
            <v>---</v>
          </cell>
          <cell r="F275" t="str">
            <v>---</v>
          </cell>
          <cell r="G275" t="str">
            <v>---</v>
          </cell>
          <cell r="H275" t="str">
            <v>---</v>
          </cell>
          <cell r="I275" t="str">
            <v>---</v>
          </cell>
        </row>
        <row r="276">
          <cell r="C276" t="str">
            <v>E0201000001</v>
          </cell>
          <cell r="D276" t="str">
            <v>HONDA MEGA PRO JARI-JARI</v>
          </cell>
          <cell r="E276" t="str">
            <v>PCS</v>
          </cell>
          <cell r="F276" t="str">
            <v>IDR</v>
          </cell>
          <cell r="G276">
            <v>13174545</v>
          </cell>
          <cell r="H276" t="str">
            <v>EST</v>
          </cell>
        </row>
        <row r="277">
          <cell r="C277" t="str">
            <v>E0201000002</v>
          </cell>
          <cell r="D277" t="str">
            <v>STNK HONDA MEGA PRO JARI-JARI</v>
          </cell>
          <cell r="E277" t="str">
            <v>PCS</v>
          </cell>
          <cell r="F277" t="str">
            <v>IDR</v>
          </cell>
          <cell r="G277">
            <v>2144500</v>
          </cell>
          <cell r="H277" t="str">
            <v>EST</v>
          </cell>
        </row>
        <row r="278">
          <cell r="C278" t="str">
            <v>---</v>
          </cell>
          <cell r="D278" t="str">
            <v>---</v>
          </cell>
          <cell r="E278" t="str">
            <v>---</v>
          </cell>
          <cell r="F278" t="str">
            <v>---</v>
          </cell>
          <cell r="G278" t="str">
            <v>---</v>
          </cell>
          <cell r="H278" t="str">
            <v>---</v>
          </cell>
          <cell r="I278" t="str">
            <v>---</v>
          </cell>
        </row>
        <row r="279">
          <cell r="C279" t="str">
            <v>E0102270023</v>
          </cell>
          <cell r="D279" t="str">
            <v>FREEZER NO FROST MERK SHARP TYPE FR 195</v>
          </cell>
          <cell r="E279" t="str">
            <v>UNIT</v>
          </cell>
          <cell r="F279" t="str">
            <v>IDR</v>
          </cell>
          <cell r="G279">
            <v>2400000</v>
          </cell>
          <cell r="H279" t="str">
            <v>EST</v>
          </cell>
        </row>
        <row r="280">
          <cell r="C280" t="str">
            <v>E0106000001</v>
          </cell>
          <cell r="D280" t="str">
            <v>KURSI OMEX OX 880 BROWN COLOUR NO. 1</v>
          </cell>
          <cell r="E280" t="str">
            <v>PCS</v>
          </cell>
          <cell r="F280" t="str">
            <v>IDR</v>
          </cell>
          <cell r="G280">
            <v>577000</v>
          </cell>
          <cell r="H280" t="str">
            <v>EST</v>
          </cell>
        </row>
        <row r="281">
          <cell r="C281" t="str">
            <v>E0106000003</v>
          </cell>
          <cell r="D281" t="str">
            <v>WRITING TABLE 1 BIRO-017' L-010</v>
          </cell>
          <cell r="E281" t="str">
            <v>SET</v>
          </cell>
          <cell r="F281" t="str">
            <v>IDR</v>
          </cell>
          <cell r="G281">
            <v>795000</v>
          </cell>
          <cell r="H281" t="str">
            <v>EST</v>
          </cell>
        </row>
        <row r="282">
          <cell r="C282" t="str">
            <v>E0106000025</v>
          </cell>
          <cell r="D282" t="str">
            <v>KURSI PUTAR PAKAI TANGAN "FIGURA"</v>
          </cell>
          <cell r="E282" t="str">
            <v>SET</v>
          </cell>
          <cell r="F282" t="str">
            <v>IDR</v>
          </cell>
          <cell r="G282">
            <v>225000</v>
          </cell>
          <cell r="H282" t="str">
            <v>EST</v>
          </cell>
        </row>
        <row r="283">
          <cell r="C283" t="str">
            <v>E0106000032</v>
          </cell>
          <cell r="D283" t="str">
            <v>DRESSING TABLE BERGAMO  WITH MIRROR LIGNA  PROD TYPE MR 040</v>
          </cell>
          <cell r="E283" t="str">
            <v>UNIT</v>
          </cell>
          <cell r="F283" t="str">
            <v>IDR</v>
          </cell>
          <cell r="G283">
            <v>1143500</v>
          </cell>
          <cell r="H283" t="str">
            <v>EST</v>
          </cell>
        </row>
        <row r="284">
          <cell r="C284" t="str">
            <v>E0106000034</v>
          </cell>
          <cell r="D284" t="str">
            <v>WRITING TABLE 1/2 BEUREAU - TYPE MTA. 019+L.019</v>
          </cell>
          <cell r="E284" t="str">
            <v>SET</v>
          </cell>
          <cell r="F284" t="str">
            <v>IDR</v>
          </cell>
          <cell r="G284">
            <v>460000</v>
          </cell>
          <cell r="H284" t="str">
            <v>EST</v>
          </cell>
        </row>
        <row r="285">
          <cell r="C285" t="str">
            <v>E0106000043</v>
          </cell>
          <cell r="D285" t="str">
            <v>SOFA CARTAGO LIGNA TYPE SF-616 C/W TABLE &amp; GLASS</v>
          </cell>
          <cell r="E285" t="str">
            <v>SET</v>
          </cell>
          <cell r="F285" t="str">
            <v>IDR</v>
          </cell>
          <cell r="G285">
            <v>3600000</v>
          </cell>
          <cell r="H285" t="str">
            <v>EST</v>
          </cell>
        </row>
        <row r="286">
          <cell r="C286" t="str">
            <v>E0106000047</v>
          </cell>
          <cell r="D286" t="str">
            <v>SOFA IVORY "LIGNA" TYPE SF.031 C/W TABLE &amp; GLASS</v>
          </cell>
          <cell r="E286" t="str">
            <v>SET</v>
          </cell>
          <cell r="F286" t="str">
            <v>IDR</v>
          </cell>
          <cell r="G286">
            <v>3243000</v>
          </cell>
          <cell r="H286" t="str">
            <v>EST</v>
          </cell>
        </row>
        <row r="287">
          <cell r="C287" t="str">
            <v>E0106000048</v>
          </cell>
          <cell r="D287" t="str">
            <v>BUFFET OLYMPIC LH 0601</v>
          </cell>
          <cell r="E287" t="str">
            <v>SET</v>
          </cell>
          <cell r="F287" t="str">
            <v>IDR</v>
          </cell>
          <cell r="G287">
            <v>670000</v>
          </cell>
          <cell r="H287" t="str">
            <v>EST</v>
          </cell>
        </row>
        <row r="288">
          <cell r="C288" t="str">
            <v>E0106000049</v>
          </cell>
          <cell r="D288" t="str">
            <v>AC SPLITE MERK NATIONAL  2 PK C/W INSTALLATION</v>
          </cell>
          <cell r="E288" t="str">
            <v>SET</v>
          </cell>
          <cell r="F288" t="str">
            <v>IDR</v>
          </cell>
          <cell r="G288">
            <v>5250000</v>
          </cell>
          <cell r="H288" t="str">
            <v>EST</v>
          </cell>
        </row>
        <row r="289">
          <cell r="C289" t="str">
            <v>E0106000050</v>
          </cell>
          <cell r="D289" t="str">
            <v>PORTABLE GASSTOVE (2 STOVE)  + 2 LPG TUBE (2) "MERK. SOLID"</v>
          </cell>
          <cell r="E289" t="str">
            <v>SET</v>
          </cell>
          <cell r="F289" t="str">
            <v>IDR</v>
          </cell>
          <cell r="G289">
            <v>450000</v>
          </cell>
          <cell r="H289" t="str">
            <v>EST</v>
          </cell>
        </row>
        <row r="290">
          <cell r="C290" t="str">
            <v>E0106000051</v>
          </cell>
          <cell r="D290" t="str">
            <v>ELECTROLUX WASHING MACHINE TYPE 880</v>
          </cell>
          <cell r="E290" t="str">
            <v>SET</v>
          </cell>
          <cell r="F290" t="str">
            <v>IDR</v>
          </cell>
          <cell r="G290">
            <v>4900000</v>
          </cell>
          <cell r="H290" t="str">
            <v>EST</v>
          </cell>
        </row>
        <row r="291">
          <cell r="C291" t="str">
            <v>E0106000052</v>
          </cell>
          <cell r="D291" t="str">
            <v>ELECTROLUX DRYER TYPE 419</v>
          </cell>
          <cell r="E291" t="str">
            <v>SET</v>
          </cell>
          <cell r="F291" t="str">
            <v>IDR</v>
          </cell>
          <cell r="G291">
            <v>4700000</v>
          </cell>
          <cell r="H291" t="str">
            <v>EST</v>
          </cell>
        </row>
        <row r="292">
          <cell r="C292" t="str">
            <v>E0106000062</v>
          </cell>
          <cell r="D292" t="str">
            <v>WARDROBE 3 DOORS ETONIA LIGNA PROD TYPE APA.034</v>
          </cell>
          <cell r="E292" t="str">
            <v>UNIT</v>
          </cell>
          <cell r="F292" t="str">
            <v>IDR</v>
          </cell>
          <cell r="G292">
            <v>3316960</v>
          </cell>
          <cell r="H292" t="str">
            <v>EST</v>
          </cell>
        </row>
        <row r="293">
          <cell r="C293" t="str">
            <v>E0106000064</v>
          </cell>
          <cell r="D293" t="str">
            <v>DOUBLE BED MERK. TANGO (6 FT)</v>
          </cell>
          <cell r="E293" t="str">
            <v>SET</v>
          </cell>
          <cell r="F293" t="str">
            <v>IDR</v>
          </cell>
          <cell r="G293">
            <v>3100000</v>
          </cell>
          <cell r="H293" t="str">
            <v>EST</v>
          </cell>
        </row>
        <row r="294">
          <cell r="C294" t="str">
            <v>E0106000065</v>
          </cell>
          <cell r="D294" t="str">
            <v>COMFORTABLE CHAIR LIGNA IVORY SF.030 C/W TABLE, GLASS</v>
          </cell>
          <cell r="E294" t="str">
            <v>SET</v>
          </cell>
          <cell r="F294" t="str">
            <v>IDR</v>
          </cell>
          <cell r="G294">
            <v>3096000</v>
          </cell>
          <cell r="H294" t="str">
            <v>EST</v>
          </cell>
        </row>
        <row r="295">
          <cell r="C295" t="str">
            <v>E0106000070</v>
          </cell>
          <cell r="D295" t="str">
            <v>AC SPLITE MERK. NATIONAL 1 PK C/W INSTALLATION</v>
          </cell>
          <cell r="E295" t="str">
            <v>UNIT</v>
          </cell>
          <cell r="F295" t="str">
            <v>IDR</v>
          </cell>
          <cell r="G295">
            <v>3300000</v>
          </cell>
          <cell r="H295" t="str">
            <v>EST</v>
          </cell>
        </row>
        <row r="296">
          <cell r="C296" t="str">
            <v>E0106000074</v>
          </cell>
          <cell r="D296" t="str">
            <v>REFRIGERATOR "PANASONIC" 12 FT 2 DOORS TYPE NR - B 304 F</v>
          </cell>
          <cell r="E296" t="str">
            <v>UNIT</v>
          </cell>
          <cell r="F296" t="str">
            <v>IDR</v>
          </cell>
          <cell r="G296">
            <v>2950000</v>
          </cell>
          <cell r="H296" t="str">
            <v>EST</v>
          </cell>
        </row>
        <row r="297">
          <cell r="C297" t="str">
            <v>E0106000077</v>
          </cell>
          <cell r="D297" t="str">
            <v>WARDROBE 3 DOORS BERGAMO "LIGNA PROD" TYPE  AP 3040</v>
          </cell>
          <cell r="E297" t="str">
            <v>UNIT</v>
          </cell>
          <cell r="F297" t="str">
            <v>IDR</v>
          </cell>
          <cell r="G297">
            <v>2650000</v>
          </cell>
          <cell r="H297" t="str">
            <v>EST</v>
          </cell>
        </row>
        <row r="298">
          <cell r="C298" t="str">
            <v>E0106000081</v>
          </cell>
          <cell r="D298" t="str">
            <v>MEETING DESK TYPE GMD 140</v>
          </cell>
          <cell r="E298" t="str">
            <v>SET</v>
          </cell>
          <cell r="F298" t="str">
            <v>IDR</v>
          </cell>
          <cell r="G298">
            <v>990000</v>
          </cell>
          <cell r="H298" t="str">
            <v>EST</v>
          </cell>
        </row>
        <row r="299">
          <cell r="C299" t="str">
            <v>E0106000082</v>
          </cell>
          <cell r="D299" t="str">
            <v>MEETING DESK TYPE GMD 60</v>
          </cell>
          <cell r="E299" t="str">
            <v>SET</v>
          </cell>
          <cell r="F299" t="str">
            <v>IDR</v>
          </cell>
          <cell r="G299">
            <v>599000</v>
          </cell>
          <cell r="H299" t="str">
            <v>EST</v>
          </cell>
        </row>
        <row r="300">
          <cell r="C300" t="str">
            <v>E0106000083</v>
          </cell>
          <cell r="D300" t="str">
            <v>TABLE CONNECTOR GRD 60</v>
          </cell>
          <cell r="E300" t="str">
            <v>SET</v>
          </cell>
          <cell r="F300" t="str">
            <v>IDR</v>
          </cell>
          <cell r="G300">
            <v>450000</v>
          </cell>
          <cell r="H300" t="str">
            <v>EST</v>
          </cell>
        </row>
        <row r="301">
          <cell r="C301" t="str">
            <v>E0106000087</v>
          </cell>
          <cell r="D301" t="str">
            <v>WATER DISPENCER HOT &amp; COLD "UCHIDA"</v>
          </cell>
          <cell r="E301" t="str">
            <v>SET</v>
          </cell>
          <cell r="F301" t="str">
            <v>IDR</v>
          </cell>
          <cell r="G301">
            <v>988750</v>
          </cell>
          <cell r="H301" t="str">
            <v>EST</v>
          </cell>
        </row>
        <row r="302">
          <cell r="C302" t="str">
            <v>E0106000089</v>
          </cell>
          <cell r="D302" t="str">
            <v>REFRIGERATOR NATIONAL 10FT (SINGEL DOOR)</v>
          </cell>
          <cell r="E302" t="str">
            <v>SET</v>
          </cell>
          <cell r="F302" t="str">
            <v>IDR</v>
          </cell>
          <cell r="G302">
            <v>1308000</v>
          </cell>
          <cell r="H302" t="str">
            <v>EST</v>
          </cell>
        </row>
        <row r="303">
          <cell r="C303" t="str">
            <v>E0106000098</v>
          </cell>
          <cell r="D303" t="str">
            <v>FOOD ALMIRAH OLYMPIC KS 2001</v>
          </cell>
          <cell r="E303" t="str">
            <v>SET</v>
          </cell>
          <cell r="F303" t="str">
            <v>IDR</v>
          </cell>
          <cell r="G303">
            <v>1000000</v>
          </cell>
          <cell r="H303" t="str">
            <v>EST</v>
          </cell>
        </row>
        <row r="304">
          <cell r="C304" t="str">
            <v>E0106000121</v>
          </cell>
          <cell r="D304" t="str">
            <v>CHAIR-CLERK INDACHI D-960 (DARK BLUE)</v>
          </cell>
          <cell r="E304" t="str">
            <v>UNIT</v>
          </cell>
          <cell r="F304" t="str">
            <v>IDR</v>
          </cell>
          <cell r="G304">
            <v>645000</v>
          </cell>
          <cell r="H304" t="str">
            <v>EST</v>
          </cell>
        </row>
        <row r="305">
          <cell r="C305" t="str">
            <v>E0106000124</v>
          </cell>
          <cell r="D305" t="str">
            <v>DINING TABLE WITH  GLASS + 4 CHAIR MULAN LIGNA PRODUCT TYPE MK.A.012 + KM.015</v>
          </cell>
          <cell r="E305" t="str">
            <v>SET</v>
          </cell>
          <cell r="F305" t="str">
            <v>IDR</v>
          </cell>
          <cell r="G305">
            <v>2660000</v>
          </cell>
          <cell r="H305" t="str">
            <v>EST</v>
          </cell>
        </row>
        <row r="306">
          <cell r="C306" t="str">
            <v>E0106000126</v>
          </cell>
          <cell r="D306" t="str">
            <v>CHAIR LIGNA TYPE  KK - 009 B</v>
          </cell>
          <cell r="E306" t="str">
            <v>UNIT</v>
          </cell>
          <cell r="F306" t="str">
            <v>IDR</v>
          </cell>
          <cell r="G306">
            <v>349000</v>
          </cell>
          <cell r="H306" t="str">
            <v>EST</v>
          </cell>
        </row>
        <row r="307">
          <cell r="C307" t="str">
            <v>E0106000129</v>
          </cell>
          <cell r="D307" t="str">
            <v>BED SIDE TABLE ETONIA LIGNA PRODUCT TYPE RNK.034</v>
          </cell>
          <cell r="E307" t="str">
            <v>UNIT</v>
          </cell>
          <cell r="F307" t="str">
            <v>IDR</v>
          </cell>
          <cell r="G307">
            <v>393333</v>
          </cell>
          <cell r="H307" t="str">
            <v>EST</v>
          </cell>
        </row>
        <row r="308">
          <cell r="C308" t="str">
            <v>E0106000131</v>
          </cell>
          <cell r="D308" t="str">
            <v>SOFA NICOLE LIGNA PRODUCT C/W TABLE &amp; GLASS TYPE SF 610</v>
          </cell>
          <cell r="E308" t="str">
            <v>SET</v>
          </cell>
          <cell r="F308" t="str">
            <v>IDR</v>
          </cell>
          <cell r="G308">
            <v>3600000</v>
          </cell>
          <cell r="H308" t="str">
            <v>EST</v>
          </cell>
        </row>
        <row r="309">
          <cell r="C309" t="str">
            <v>E0106000133</v>
          </cell>
          <cell r="D309" t="str">
            <v>GAS COOKER MODENA 4 STOVES C/W LPG (1 TUBE) + HOSE + REGULATOR</v>
          </cell>
          <cell r="E309" t="str">
            <v>UNIT</v>
          </cell>
          <cell r="F309" t="str">
            <v>IDR</v>
          </cell>
          <cell r="G309">
            <v>4285000</v>
          </cell>
          <cell r="H309" t="str">
            <v>EST</v>
          </cell>
        </row>
        <row r="310">
          <cell r="C310" t="str">
            <v>E0106000135</v>
          </cell>
          <cell r="D310" t="str">
            <v>WARDROBE 2 DOOR BERGAMO LIGNA AP 2040</v>
          </cell>
          <cell r="E310" t="str">
            <v>UNIT</v>
          </cell>
          <cell r="F310" t="str">
            <v>IDR</v>
          </cell>
          <cell r="G310">
            <v>1890000</v>
          </cell>
          <cell r="H310" t="str">
            <v>EST</v>
          </cell>
        </row>
        <row r="311">
          <cell r="C311" t="str">
            <v>E0106000139</v>
          </cell>
          <cell r="D311" t="str">
            <v>DOUBLE BED ETONIA (6 FEET)</v>
          </cell>
          <cell r="E311" t="str">
            <v>UNIT</v>
          </cell>
          <cell r="F311" t="str">
            <v>IDR</v>
          </cell>
          <cell r="G311">
            <v>3239333</v>
          </cell>
          <cell r="H311" t="str">
            <v>EST</v>
          </cell>
        </row>
        <row r="312">
          <cell r="C312" t="str">
            <v>E0106000140</v>
          </cell>
          <cell r="D312" t="str">
            <v>SINGLE BED BERGAMO (3 FEET) LIGNA</v>
          </cell>
          <cell r="E312" t="str">
            <v>UNIT</v>
          </cell>
          <cell r="F312" t="str">
            <v>IDR</v>
          </cell>
          <cell r="G312">
            <v>1870000</v>
          </cell>
          <cell r="H312" t="str">
            <v>EST</v>
          </cell>
        </row>
        <row r="313">
          <cell r="C313" t="str">
            <v>E0106000141</v>
          </cell>
          <cell r="D313" t="str">
            <v>REFRIGERATOR NASIONAL 12 FT (2 DOOR) TYPE 23</v>
          </cell>
          <cell r="E313" t="str">
            <v>UNIT</v>
          </cell>
          <cell r="F313" t="str">
            <v>IDR</v>
          </cell>
          <cell r="G313">
            <v>2890250</v>
          </cell>
          <cell r="H313" t="str">
            <v>EST</v>
          </cell>
        </row>
        <row r="314">
          <cell r="C314" t="str">
            <v>E0106000144</v>
          </cell>
          <cell r="D314" t="str">
            <v>DOUBLE BED BERGAMO BED FOAM (5 FEET)</v>
          </cell>
          <cell r="E314" t="str">
            <v>UNIT</v>
          </cell>
          <cell r="F314" t="str">
            <v>IDR</v>
          </cell>
          <cell r="G314">
            <v>2925000</v>
          </cell>
          <cell r="H314" t="str">
            <v>EST</v>
          </cell>
        </row>
        <row r="315">
          <cell r="C315" t="str">
            <v>E0106000146</v>
          </cell>
          <cell r="D315" t="str">
            <v>BUFFET OLYMPIC TYPE LH 1105A</v>
          </cell>
          <cell r="E315" t="str">
            <v>UNIT</v>
          </cell>
          <cell r="F315" t="str">
            <v>IDR</v>
          </cell>
          <cell r="G315">
            <v>750000</v>
          </cell>
          <cell r="H315" t="str">
            <v>EST</v>
          </cell>
        </row>
        <row r="316">
          <cell r="C316" t="str">
            <v>E0106000147</v>
          </cell>
          <cell r="D316" t="str">
            <v>KASUR TYPE FSS 200 X 90 LIGNA</v>
          </cell>
          <cell r="E316" t="str">
            <v>UNIT</v>
          </cell>
          <cell r="F316" t="str">
            <v>IDR</v>
          </cell>
          <cell r="G316">
            <v>640000</v>
          </cell>
          <cell r="H316" t="str">
            <v>EST</v>
          </cell>
        </row>
        <row r="317">
          <cell r="C317" t="str">
            <v>E0106000149</v>
          </cell>
          <cell r="D317" t="str">
            <v>GULING TYPE DGS 001 LIGNA</v>
          </cell>
          <cell r="E317" t="str">
            <v>UNIT</v>
          </cell>
          <cell r="F317" t="str">
            <v>IDR</v>
          </cell>
          <cell r="G317">
            <v>118000</v>
          </cell>
          <cell r="H317" t="str">
            <v>EST</v>
          </cell>
        </row>
        <row r="318">
          <cell r="C318" t="str">
            <v>E0106000150</v>
          </cell>
          <cell r="D318" t="str">
            <v>OFFICE CHAIR "INDACHI" D-710 (BLUE)</v>
          </cell>
          <cell r="E318" t="str">
            <v>UNIT</v>
          </cell>
          <cell r="F318" t="str">
            <v>IDR</v>
          </cell>
          <cell r="G318">
            <v>825000</v>
          </cell>
          <cell r="H318" t="str">
            <v>EST</v>
          </cell>
        </row>
        <row r="319">
          <cell r="C319" t="str">
            <v>E0106000159</v>
          </cell>
          <cell r="D319" t="str">
            <v>KITCHEN TABLE TYPE KSB 5605 (2)</v>
          </cell>
          <cell r="E319" t="str">
            <v>SET</v>
          </cell>
          <cell r="F319" t="str">
            <v>IDR</v>
          </cell>
          <cell r="G319">
            <v>1492300</v>
          </cell>
          <cell r="H319" t="str">
            <v>EST</v>
          </cell>
        </row>
        <row r="320">
          <cell r="C320" t="str">
            <v>E0106000161</v>
          </cell>
          <cell r="D320" t="str">
            <v>ADJUSTABLE CHAIRS OMEX OX-880 COLOUR BROWN NO 1</v>
          </cell>
          <cell r="E320" t="str">
            <v>UNIT</v>
          </cell>
          <cell r="F320" t="str">
            <v>IDR</v>
          </cell>
          <cell r="G320">
            <v>596000</v>
          </cell>
          <cell r="H320" t="str">
            <v>EST</v>
          </cell>
        </row>
        <row r="321">
          <cell r="C321" t="str">
            <v>E0106000162</v>
          </cell>
          <cell r="D321" t="str">
            <v>REFRIGERATOR 2 DOORS 12 FEET SHARP 210 LTR, GUARANTEE : 01 YEAR</v>
          </cell>
          <cell r="E321" t="str">
            <v>UNIT</v>
          </cell>
          <cell r="F321" t="str">
            <v>IDR</v>
          </cell>
          <cell r="G321">
            <v>2800000</v>
          </cell>
          <cell r="H321" t="str">
            <v>EST</v>
          </cell>
        </row>
        <row r="322">
          <cell r="C322" t="str">
            <v>E0106000164</v>
          </cell>
          <cell r="D322" t="str">
            <v>DOUBLE BED TYPE ETONIA BD 034 A  LIGNA</v>
          </cell>
          <cell r="E322" t="str">
            <v>UNIT</v>
          </cell>
          <cell r="F322" t="str">
            <v>IDR</v>
          </cell>
          <cell r="G322">
            <v>1592000</v>
          </cell>
          <cell r="H322" t="str">
            <v>EST</v>
          </cell>
        </row>
        <row r="323">
          <cell r="C323" t="str">
            <v>E0106000165</v>
          </cell>
          <cell r="D323" t="str">
            <v>KASUR TIDUR DOUBLE MAJU PILLOW (200 X 180 X 15 CM) TYPE KELINCI</v>
          </cell>
          <cell r="E323" t="str">
            <v>UNIT</v>
          </cell>
          <cell r="F323" t="str">
            <v>IDR</v>
          </cell>
          <cell r="G323">
            <v>576000</v>
          </cell>
          <cell r="H323" t="str">
            <v>EST</v>
          </cell>
        </row>
        <row r="324">
          <cell r="C324" t="str">
            <v>E0106000166</v>
          </cell>
          <cell r="D324" t="str">
            <v>KASUR TIDUR SINGLE LIGNA TYPE FSS 001</v>
          </cell>
          <cell r="E324" t="str">
            <v>UNIT</v>
          </cell>
          <cell r="F324" t="str">
            <v>IDR</v>
          </cell>
          <cell r="G324">
            <v>610500</v>
          </cell>
          <cell r="H324" t="str">
            <v>EST</v>
          </cell>
        </row>
        <row r="325">
          <cell r="C325" t="str">
            <v>E0106000167</v>
          </cell>
          <cell r="D325" t="str">
            <v>BANTAL DACRON LIGNA TYPE BDS 001</v>
          </cell>
          <cell r="E325" t="str">
            <v>UNIT</v>
          </cell>
          <cell r="F325" t="str">
            <v>IDR</v>
          </cell>
          <cell r="G325">
            <v>87000</v>
          </cell>
          <cell r="H325" t="str">
            <v>EST</v>
          </cell>
        </row>
        <row r="326">
          <cell r="C326" t="str">
            <v>E0106000169</v>
          </cell>
          <cell r="D326" t="str">
            <v>RACK  NACKAST LIGNA ETONIA RNK 034</v>
          </cell>
          <cell r="E326" t="str">
            <v>UNIT</v>
          </cell>
          <cell r="F326" t="str">
            <v>IDR</v>
          </cell>
          <cell r="G326">
            <v>377000</v>
          </cell>
          <cell r="H326" t="str">
            <v>EST</v>
          </cell>
        </row>
        <row r="327">
          <cell r="C327" t="str">
            <v>E0106000171</v>
          </cell>
          <cell r="D327" t="str">
            <v>BOOK CASE OLYMPIA BC 0402</v>
          </cell>
          <cell r="E327" t="str">
            <v>UNIT</v>
          </cell>
          <cell r="F327" t="str">
            <v>IDR</v>
          </cell>
          <cell r="G327">
            <v>600000</v>
          </cell>
          <cell r="H327" t="str">
            <v>EST</v>
          </cell>
        </row>
        <row r="328">
          <cell r="C328" t="str">
            <v>E0106000172</v>
          </cell>
          <cell r="D328" t="str">
            <v>MEJA ROTAN &amp; 4 KURSI ROTAN</v>
          </cell>
          <cell r="E328" t="str">
            <v>UNIT</v>
          </cell>
          <cell r="F328" t="str">
            <v>IDR</v>
          </cell>
          <cell r="G328">
            <v>1000000</v>
          </cell>
          <cell r="H328" t="str">
            <v>EST</v>
          </cell>
        </row>
        <row r="329">
          <cell r="C329" t="str">
            <v>E0106000175</v>
          </cell>
          <cell r="D329" t="str">
            <v>PORTABLE GASTOVE RINNAI RI 712</v>
          </cell>
          <cell r="E329" t="str">
            <v>UNIT</v>
          </cell>
          <cell r="F329" t="str">
            <v>IDR</v>
          </cell>
          <cell r="G329">
            <v>800000</v>
          </cell>
          <cell r="H329" t="str">
            <v>EST</v>
          </cell>
        </row>
        <row r="330">
          <cell r="C330" t="str">
            <v>E0106000176</v>
          </cell>
          <cell r="D330" t="str">
            <v>DINING TABLE WITH GLASS + 6 CHAIR DELLUCA LIGNA PRODUCT TYPE MK 809</v>
          </cell>
          <cell r="E330" t="str">
            <v>UNIT</v>
          </cell>
          <cell r="F330" t="str">
            <v>IDR</v>
          </cell>
          <cell r="G330">
            <v>4490667</v>
          </cell>
          <cell r="H330" t="str">
            <v>EST</v>
          </cell>
        </row>
        <row r="331">
          <cell r="C331" t="str">
            <v>E0106000177</v>
          </cell>
          <cell r="D331" t="str">
            <v>AC PANASONIC 1.5  PK C/W INSTALLATION HOSE MAX 5 MTR</v>
          </cell>
          <cell r="E331" t="str">
            <v>SET</v>
          </cell>
          <cell r="F331" t="str">
            <v>IDR</v>
          </cell>
          <cell r="G331">
            <v>4300000</v>
          </cell>
          <cell r="H331" t="str">
            <v>EST</v>
          </cell>
        </row>
        <row r="332">
          <cell r="C332" t="str">
            <v>E0106000180</v>
          </cell>
          <cell r="D332" t="str">
            <v>DRESSING TABLE ETONIA LIGNA PROD WITH MIRROR TYPE MR. 034 NM</v>
          </cell>
          <cell r="E332" t="str">
            <v>UNIT</v>
          </cell>
          <cell r="F332" t="str">
            <v>IDR</v>
          </cell>
          <cell r="G332">
            <v>1680000</v>
          </cell>
          <cell r="H332" t="str">
            <v>EST</v>
          </cell>
        </row>
        <row r="333">
          <cell r="C333" t="str">
            <v>E0106000181</v>
          </cell>
          <cell r="D333" t="str">
            <v>KITCHEN SET KSA 5605  (1 PCS) + KSB 5605 (1 PCS)</v>
          </cell>
          <cell r="E333" t="str">
            <v>SET</v>
          </cell>
          <cell r="F333" t="str">
            <v>IDR</v>
          </cell>
          <cell r="G333">
            <v>1243200</v>
          </cell>
          <cell r="H333" t="str">
            <v>EST</v>
          </cell>
        </row>
        <row r="334">
          <cell r="C334" t="str">
            <v>E0106000183</v>
          </cell>
          <cell r="D334" t="str">
            <v>REFRIGERATOR "SHARP" SJ - 510M - SL 2 DOOR SILVER</v>
          </cell>
          <cell r="E334" t="str">
            <v>UNIT</v>
          </cell>
          <cell r="F334" t="str">
            <v>IDR</v>
          </cell>
          <cell r="G334">
            <v>4750000</v>
          </cell>
          <cell r="H334" t="str">
            <v>EST</v>
          </cell>
        </row>
        <row r="335">
          <cell r="C335" t="str">
            <v>E0106000184</v>
          </cell>
          <cell r="D335" t="str">
            <v>KITCHEN SET KSA 6452</v>
          </cell>
          <cell r="E335" t="str">
            <v>UNIT</v>
          </cell>
          <cell r="F335" t="str">
            <v>IDR</v>
          </cell>
          <cell r="G335">
            <v>610000</v>
          </cell>
          <cell r="H335" t="str">
            <v>EST</v>
          </cell>
        </row>
        <row r="336">
          <cell r="C336" t="str">
            <v>E0106000185</v>
          </cell>
          <cell r="D336" t="str">
            <v>KITCHEN TABLE KSB 6452</v>
          </cell>
          <cell r="E336" t="str">
            <v>UNIT</v>
          </cell>
          <cell r="F336" t="str">
            <v>IDR</v>
          </cell>
          <cell r="G336">
            <v>893000</v>
          </cell>
          <cell r="H336" t="str">
            <v>EST</v>
          </cell>
        </row>
        <row r="337">
          <cell r="C337" t="str">
            <v>E0106000192</v>
          </cell>
          <cell r="D337" t="str">
            <v>GASSTOVE 4 STOVE MODENA 7300 C/W LPG TUBE (2) , HOSE &amp; REGULATOR</v>
          </cell>
          <cell r="E337" t="str">
            <v>SET</v>
          </cell>
          <cell r="F337" t="str">
            <v>IDR</v>
          </cell>
          <cell r="G337">
            <v>4600000</v>
          </cell>
          <cell r="H337" t="str">
            <v>EST</v>
          </cell>
        </row>
        <row r="338">
          <cell r="C338" t="str">
            <v>E0106000211</v>
          </cell>
          <cell r="D338" t="str">
            <v>MEJA KANTOR UOD 1086 (GREY) W160-D74-H75 (CM)</v>
          </cell>
          <cell r="E338" t="str">
            <v>UNIT</v>
          </cell>
          <cell r="F338" t="str">
            <v>IDR</v>
          </cell>
          <cell r="G338">
            <v>540000</v>
          </cell>
          <cell r="H338" t="str">
            <v>EST</v>
          </cell>
        </row>
        <row r="339">
          <cell r="C339" t="str">
            <v>E0106000212</v>
          </cell>
          <cell r="D339" t="str">
            <v>COMPUTER DESK UCD 1682  (GREY) W100-D74-H75 (CM)</v>
          </cell>
          <cell r="E339" t="str">
            <v>UNIT</v>
          </cell>
          <cell r="F339" t="str">
            <v>IDR</v>
          </cell>
          <cell r="G339">
            <v>640000</v>
          </cell>
          <cell r="H339" t="str">
            <v>EST</v>
          </cell>
        </row>
        <row r="340">
          <cell r="C340" t="str">
            <v>E0106010009</v>
          </cell>
          <cell r="D340" t="str">
            <v>TERMINAL FLEXI TYPE FH 7206</v>
          </cell>
          <cell r="E340" t="str">
            <v>PCS</v>
          </cell>
          <cell r="F340" t="str">
            <v>IDR</v>
          </cell>
          <cell r="G340">
            <v>2000000</v>
          </cell>
          <cell r="H340" t="str">
            <v>EST</v>
          </cell>
        </row>
        <row r="341">
          <cell r="C341" t="str">
            <v>E0106010010</v>
          </cell>
          <cell r="D341" t="str">
            <v>OHP (PROMAXI 2000NP) MERK. 3M</v>
          </cell>
          <cell r="E341" t="str">
            <v>PCS</v>
          </cell>
          <cell r="F341" t="str">
            <v>IDR</v>
          </cell>
          <cell r="G341">
            <v>2330000</v>
          </cell>
          <cell r="H341" t="str">
            <v>EST</v>
          </cell>
        </row>
        <row r="342">
          <cell r="C342" t="str">
            <v>E0106010017</v>
          </cell>
          <cell r="D342" t="str">
            <v>HANDY TALKY ALINCO DJ 180</v>
          </cell>
          <cell r="E342" t="str">
            <v>UNIT</v>
          </cell>
          <cell r="F342" t="str">
            <v>IDR</v>
          </cell>
          <cell r="G342">
            <v>1200000</v>
          </cell>
          <cell r="H342" t="str">
            <v>EST</v>
          </cell>
        </row>
        <row r="343">
          <cell r="C343" t="str">
            <v>E0106010019</v>
          </cell>
          <cell r="D343" t="str">
            <v>HANDY TALKY ALINCO DJ 195</v>
          </cell>
          <cell r="E343" t="str">
            <v>UNIT</v>
          </cell>
          <cell r="F343" t="str">
            <v>IDR</v>
          </cell>
          <cell r="G343">
            <v>1020000</v>
          </cell>
          <cell r="H343" t="str">
            <v>EST</v>
          </cell>
        </row>
        <row r="344">
          <cell r="C344" t="str">
            <v>E0106010022</v>
          </cell>
          <cell r="D344" t="str">
            <v>COMMUNICATION TYPE RIG C/W POWER SUPPLY 40 AMP</v>
          </cell>
          <cell r="E344" t="str">
            <v>UNIT</v>
          </cell>
          <cell r="F344" t="str">
            <v>IDR</v>
          </cell>
          <cell r="G344">
            <v>2200000</v>
          </cell>
          <cell r="H344" t="str">
            <v>EST</v>
          </cell>
        </row>
        <row r="345">
          <cell r="C345" t="str">
            <v>E0106020003</v>
          </cell>
          <cell r="D345" t="str">
            <v>FACSIMILE"PANASONIC" TYPE KX - FT 907</v>
          </cell>
          <cell r="E345" t="str">
            <v>UNIT</v>
          </cell>
          <cell r="F345" t="str">
            <v>IDR</v>
          </cell>
          <cell r="G345">
            <v>1350000</v>
          </cell>
          <cell r="H345" t="str">
            <v>EST</v>
          </cell>
        </row>
        <row r="346">
          <cell r="C346" t="str">
            <v>E0106020004</v>
          </cell>
          <cell r="D346" t="str">
            <v xml:space="preserve">PAPER SHREDDER MACHINE MERK : IDEAL TYPE 3102 CC (2 x 15 mm) </v>
          </cell>
          <cell r="E346" t="str">
            <v>SET</v>
          </cell>
          <cell r="F346" t="str">
            <v>IDR</v>
          </cell>
          <cell r="G346">
            <v>13700000</v>
          </cell>
          <cell r="H346" t="str">
            <v>EST</v>
          </cell>
        </row>
        <row r="347">
          <cell r="C347" t="str">
            <v>E0106020006</v>
          </cell>
          <cell r="D347" t="str">
            <v xml:space="preserve">FIRE RESISTANT SAFE (STRONG BOX) "CASSA" </v>
          </cell>
          <cell r="E347" t="str">
            <v>UNIT</v>
          </cell>
          <cell r="F347" t="str">
            <v>IDR</v>
          </cell>
          <cell r="G347">
            <v>10000000</v>
          </cell>
          <cell r="H347" t="str">
            <v>EST</v>
          </cell>
        </row>
        <row r="348">
          <cell r="C348" t="str">
            <v>E0106020011</v>
          </cell>
          <cell r="D348" t="str">
            <v>CAMERA DIGITAL CANON IXUS 55 SERIES</v>
          </cell>
          <cell r="E348" t="str">
            <v>UNIT</v>
          </cell>
          <cell r="F348" t="str">
            <v>IDR</v>
          </cell>
          <cell r="G348">
            <v>2950000</v>
          </cell>
          <cell r="H348" t="str">
            <v>EST</v>
          </cell>
        </row>
        <row r="349">
          <cell r="C349" t="str">
            <v>E0106020033</v>
          </cell>
          <cell r="D349" t="str">
            <v>ALMARI PAKAIAN LIGNA TYPE ETONIA  APA 034</v>
          </cell>
          <cell r="E349" t="str">
            <v>UNIT</v>
          </cell>
          <cell r="F349" t="str">
            <v>IDR</v>
          </cell>
          <cell r="G349">
            <v>3256000</v>
          </cell>
          <cell r="H349" t="str">
            <v>EST</v>
          </cell>
        </row>
        <row r="350">
          <cell r="C350" t="str">
            <v>E0106020034</v>
          </cell>
          <cell r="D350" t="str">
            <v>ALMARI PAKAIAN LIGNA TYPE BERGAMO  AP3 040</v>
          </cell>
          <cell r="E350" t="str">
            <v>UNIT</v>
          </cell>
          <cell r="F350" t="str">
            <v>IDR</v>
          </cell>
          <cell r="G350">
            <v>2520000</v>
          </cell>
          <cell r="H350" t="str">
            <v>EST</v>
          </cell>
        </row>
        <row r="351">
          <cell r="C351" t="str">
            <v>E0106020035</v>
          </cell>
          <cell r="D351" t="str">
            <v>ALMARI PAKAIAN LIGNA TYPE BERGAMO  AP2 040</v>
          </cell>
          <cell r="E351" t="str">
            <v>UNIT</v>
          </cell>
          <cell r="F351" t="str">
            <v>IDR</v>
          </cell>
          <cell r="G351">
            <v>1797000</v>
          </cell>
          <cell r="H351" t="str">
            <v>EST</v>
          </cell>
        </row>
        <row r="352">
          <cell r="C352" t="str">
            <v>E0106020038</v>
          </cell>
          <cell r="D352" t="str">
            <v>MEJA MAKAN LIGNA TYPE SPIZA UNTUK 4 ORANG + KACA</v>
          </cell>
          <cell r="E352" t="str">
            <v>UNIT</v>
          </cell>
          <cell r="F352" t="str">
            <v>IDR</v>
          </cell>
          <cell r="G352">
            <v>2489000</v>
          </cell>
          <cell r="H352" t="str">
            <v>EST</v>
          </cell>
        </row>
        <row r="353">
          <cell r="C353" t="str">
            <v>E0106020039</v>
          </cell>
          <cell r="D353" t="str">
            <v>MEJA  TULIS 1/2 BIRO + LACI (SET) LIGNA TYPE MTA 019+ KACA</v>
          </cell>
          <cell r="E353" t="str">
            <v>UNIT</v>
          </cell>
          <cell r="F353" t="str">
            <v>IDR</v>
          </cell>
          <cell r="G353">
            <v>508500</v>
          </cell>
          <cell r="H353" t="str">
            <v>EST</v>
          </cell>
        </row>
        <row r="354">
          <cell r="C354" t="str">
            <v>E0106020042</v>
          </cell>
          <cell r="D354" t="str">
            <v>MEJA KANTOR GRAY UOD-1084-  W140-D74-H75 (CM)</v>
          </cell>
          <cell r="E354" t="str">
            <v>UNIT</v>
          </cell>
          <cell r="F354" t="str">
            <v>IDR</v>
          </cell>
          <cell r="G354">
            <v>445000</v>
          </cell>
          <cell r="H354" t="str">
            <v>EST</v>
          </cell>
        </row>
        <row r="355">
          <cell r="C355" t="str">
            <v>E0106020043</v>
          </cell>
          <cell r="D355" t="str">
            <v>MOBILE PEDESTAL GRAY UMP 1186  W140-D50-H54 (CM)</v>
          </cell>
          <cell r="E355" t="str">
            <v>UNIT</v>
          </cell>
          <cell r="F355" t="str">
            <v>IDR</v>
          </cell>
          <cell r="G355">
            <v>480000</v>
          </cell>
          <cell r="H355" t="str">
            <v>EST</v>
          </cell>
        </row>
        <row r="356">
          <cell r="C356" t="str">
            <v>E0106020045</v>
          </cell>
          <cell r="D356" t="str">
            <v>BUFFET AVALON "LIGNA PRODUCT" TYPE WU 602</v>
          </cell>
          <cell r="E356" t="str">
            <v>UNIT</v>
          </cell>
          <cell r="F356" t="str">
            <v>IDR</v>
          </cell>
          <cell r="G356">
            <v>2700000</v>
          </cell>
          <cell r="H356" t="str">
            <v>EST</v>
          </cell>
        </row>
        <row r="357">
          <cell r="C357" t="str">
            <v>E0106020046</v>
          </cell>
          <cell r="D357" t="str">
            <v>WRITING TABLE 1 BIRO MTA.019 + L.019</v>
          </cell>
          <cell r="E357" t="str">
            <v>UNIT</v>
          </cell>
          <cell r="F357" t="str">
            <v>IDR</v>
          </cell>
          <cell r="G357">
            <v>755000</v>
          </cell>
          <cell r="H357" t="str">
            <v>EST</v>
          </cell>
        </row>
        <row r="358">
          <cell r="C358" t="str">
            <v>E0106020047</v>
          </cell>
          <cell r="D358" t="str">
            <v>KITCHEN SET TYPE KSA 5605 (2)</v>
          </cell>
          <cell r="E358" t="str">
            <v>UNIT</v>
          </cell>
          <cell r="F358" t="str">
            <v>IDR</v>
          </cell>
          <cell r="G358">
            <v>1024600</v>
          </cell>
          <cell r="H358" t="str">
            <v>EST</v>
          </cell>
        </row>
        <row r="359">
          <cell r="C359" t="str">
            <v>E0106020048</v>
          </cell>
          <cell r="D359" t="str">
            <v>CAMERA DIGITAL IXUS 750 (TRADE IN)</v>
          </cell>
          <cell r="E359" t="str">
            <v>UNIT</v>
          </cell>
          <cell r="F359" t="str">
            <v>IDR</v>
          </cell>
          <cell r="G359">
            <v>2818182</v>
          </cell>
          <cell r="H359" t="str">
            <v>EST</v>
          </cell>
        </row>
        <row r="360">
          <cell r="C360" t="str">
            <v>E0106020051</v>
          </cell>
          <cell r="D360" t="str">
            <v>FOOD ALMIRAH MERK . SUCITRA TYPE LS 005</v>
          </cell>
          <cell r="E360" t="str">
            <v>UNIT</v>
          </cell>
          <cell r="F360" t="str">
            <v>IDR</v>
          </cell>
          <cell r="G360">
            <v>1000000</v>
          </cell>
          <cell r="H360" t="str">
            <v>EST</v>
          </cell>
        </row>
        <row r="361">
          <cell r="C361" t="str">
            <v>E0106020052</v>
          </cell>
          <cell r="D361" t="str">
            <v>GAS COOKER RINNAI PORTABLE TYPE 715 BGS C/W TABUNG</v>
          </cell>
          <cell r="E361" t="str">
            <v>UNIT</v>
          </cell>
          <cell r="F361" t="str">
            <v>IDR</v>
          </cell>
          <cell r="G361">
            <v>868250</v>
          </cell>
          <cell r="H361" t="str">
            <v>EST</v>
          </cell>
        </row>
        <row r="362">
          <cell r="C362" t="str">
            <v>E0106020065</v>
          </cell>
          <cell r="D362" t="str">
            <v>PORTABLE GASSTOVE RINNAI 522 C C/W LPG TUBE + HOSE + REGULATOR</v>
          </cell>
          <cell r="E362" t="str">
            <v>UNIT</v>
          </cell>
          <cell r="F362" t="str">
            <v>IDR</v>
          </cell>
          <cell r="G362">
            <v>750000</v>
          </cell>
          <cell r="H362" t="str">
            <v>EST</v>
          </cell>
        </row>
        <row r="363">
          <cell r="C363" t="str">
            <v>E0106020070</v>
          </cell>
          <cell r="D363" t="str">
            <v>DIGITAL CAMERA IXUS 65 GUARANTEE 01 YEAR</v>
          </cell>
          <cell r="E363" t="str">
            <v>UNIT</v>
          </cell>
          <cell r="F363" t="str">
            <v>USD</v>
          </cell>
          <cell r="G363">
            <v>329</v>
          </cell>
          <cell r="H363" t="str">
            <v>EST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mes"/>
      <sheetName val="UNIT COST(kpi)"/>
      <sheetName val="CapexUnitCost"/>
      <sheetName val="ProdParameter"/>
      <sheetName val="HECTARE #"/>
      <sheetName val="Yield"/>
      <sheetName val="Yld Profile"/>
      <sheetName val="CROP&amp;PRODUCT #"/>
      <sheetName val="ROADS etc.#"/>
      <sheetName val="Buildings#"/>
      <sheetName val="Vehicles#"/>
      <sheetName val="PEOPLE #"/>
      <sheetName val="OtherCAPEX #"/>
      <sheetName val="RoadCosts"/>
      <sheetName val="BuildingsCosts"/>
      <sheetName val="VehiclesCosts"/>
      <sheetName val="OtherCAPEXCosts"/>
      <sheetName val="CAPEX COST"/>
      <sheetName val="REVENUE ON SALES"/>
      <sheetName val="GC"/>
      <sheetName val="U&amp;C"/>
      <sheetName val="COLLECTION"/>
      <sheetName val="DEVLP U&amp;C"/>
      <sheetName val="CONSOLIDATE GM "/>
      <sheetName val="LookUP"/>
      <sheetName val="JobCode"/>
      <sheetName val="BP24"/>
      <sheetName val="BP61"/>
    </sheetNames>
    <sheetDataSet>
      <sheetData sheetId="0" refreshError="1">
        <row r="3">
          <cell r="C3" t="str">
            <v>Kalimantan</v>
          </cell>
        </row>
      </sheetData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S (Sensus) MEI"/>
      <sheetName val="LS (Deteksi) MEI"/>
      <sheetName val="LS (Deteksi) JUNI"/>
      <sheetName val="LS (Deteksi) JULI"/>
      <sheetName val="CAMPAIGN 1 MEI - JUNI"/>
      <sheetName val="CAMPAIGN LANJUT 1 JULI-AGUSTUS"/>
      <sheetName val="LS (Sensus) AGUSTUS"/>
      <sheetName val="LS (Deteksi) Agustus"/>
      <sheetName val="CAMPAIGN 2"/>
      <sheetName val="PETA AKP"/>
      <sheetName val="PETA TPH"/>
      <sheetName val="KALE (Sensus)"/>
      <sheetName val="USP (Deteksi) Mentah"/>
      <sheetName val="EWS USP"/>
      <sheetName val="USP (Sensus)"/>
      <sheetName val="USP (Deteksi)"/>
      <sheetName val="FAPE (Sensus)"/>
      <sheetName val="FAPE (Deteksi)"/>
      <sheetName val="FAPE Deteksi (Mentah)"/>
      <sheetName val="Summary Pengendalian 4-9 May"/>
      <sheetName val="Comparison"/>
      <sheetName val="Sensus &amp; Deteksi SMP 2"/>
      <sheetName val="Sensus dan Deteksi SMP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7">
          <cell r="D7" t="str">
            <v>B05</v>
          </cell>
        </row>
        <row r="8">
          <cell r="D8" t="str">
            <v>B06</v>
          </cell>
        </row>
        <row r="9">
          <cell r="D9" t="str">
            <v>B07</v>
          </cell>
          <cell r="N9">
            <v>46244</v>
          </cell>
          <cell r="O9">
            <v>78</v>
          </cell>
          <cell r="Q9">
            <v>3</v>
          </cell>
          <cell r="T9">
            <v>5</v>
          </cell>
          <cell r="V9">
            <v>46245</v>
          </cell>
          <cell r="W9">
            <v>189</v>
          </cell>
          <cell r="X9">
            <v>4</v>
          </cell>
          <cell r="AA9">
            <v>13</v>
          </cell>
        </row>
        <row r="10">
          <cell r="D10" t="str">
            <v>B08</v>
          </cell>
          <cell r="N10">
            <v>46244</v>
          </cell>
          <cell r="O10">
            <v>54</v>
          </cell>
          <cell r="Q10">
            <v>3</v>
          </cell>
          <cell r="T10">
            <v>18</v>
          </cell>
          <cell r="V10">
            <v>46245</v>
          </cell>
          <cell r="W10">
            <v>210</v>
          </cell>
          <cell r="X10">
            <v>6</v>
          </cell>
          <cell r="AA10">
            <v>16</v>
          </cell>
        </row>
        <row r="11">
          <cell r="D11" t="str">
            <v>B09</v>
          </cell>
          <cell r="V11">
            <v>46247</v>
          </cell>
          <cell r="W11">
            <v>176</v>
          </cell>
          <cell r="X11">
            <v>9</v>
          </cell>
          <cell r="AA11">
            <v>17</v>
          </cell>
        </row>
        <row r="12">
          <cell r="D12" t="str">
            <v>B10</v>
          </cell>
          <cell r="V12">
            <v>46247</v>
          </cell>
          <cell r="W12">
            <v>219</v>
          </cell>
          <cell r="X12">
            <v>12</v>
          </cell>
          <cell r="AA12">
            <v>19</v>
          </cell>
        </row>
        <row r="13">
          <cell r="D13" t="str">
            <v>B11</v>
          </cell>
          <cell r="V13">
            <v>46248</v>
          </cell>
          <cell r="W13">
            <v>176</v>
          </cell>
          <cell r="X13">
            <v>5</v>
          </cell>
          <cell r="AA13">
            <v>10</v>
          </cell>
        </row>
        <row r="14">
          <cell r="D14" t="str">
            <v>B12</v>
          </cell>
          <cell r="V14">
            <v>46248</v>
          </cell>
          <cell r="W14">
            <v>180</v>
          </cell>
          <cell r="X14">
            <v>8</v>
          </cell>
          <cell r="AA14">
            <v>13</v>
          </cell>
        </row>
        <row r="15">
          <cell r="D15" t="str">
            <v>B13</v>
          </cell>
          <cell r="N15">
            <v>46248</v>
          </cell>
          <cell r="O15">
            <v>187</v>
          </cell>
          <cell r="Q15">
            <v>11</v>
          </cell>
          <cell r="T15">
            <v>16</v>
          </cell>
        </row>
        <row r="16">
          <cell r="D16" t="str">
            <v>B14</v>
          </cell>
          <cell r="N16">
            <v>46248</v>
          </cell>
          <cell r="O16">
            <v>121</v>
          </cell>
          <cell r="Q16">
            <v>8</v>
          </cell>
          <cell r="T16">
            <v>9</v>
          </cell>
        </row>
        <row r="17">
          <cell r="D17" t="str">
            <v>B15</v>
          </cell>
          <cell r="N17">
            <v>46241</v>
          </cell>
          <cell r="O17">
            <v>54</v>
          </cell>
          <cell r="Q17">
            <v>3</v>
          </cell>
          <cell r="T17">
            <v>14</v>
          </cell>
          <cell r="V17">
            <v>46242</v>
          </cell>
          <cell r="W17">
            <v>233</v>
          </cell>
          <cell r="X17">
            <v>15</v>
          </cell>
          <cell r="AA17">
            <v>15</v>
          </cell>
        </row>
        <row r="18">
          <cell r="D18" t="str">
            <v>B16</v>
          </cell>
          <cell r="N18">
            <v>46241</v>
          </cell>
          <cell r="O18">
            <v>120</v>
          </cell>
          <cell r="Q18">
            <v>11</v>
          </cell>
          <cell r="T18">
            <v>15</v>
          </cell>
          <cell r="V18">
            <v>46242</v>
          </cell>
          <cell r="W18">
            <v>298</v>
          </cell>
          <cell r="X18">
            <v>20</v>
          </cell>
          <cell r="AA18">
            <v>25</v>
          </cell>
        </row>
        <row r="19">
          <cell r="D19" t="str">
            <v>B17</v>
          </cell>
          <cell r="N19">
            <v>46248</v>
          </cell>
          <cell r="O19">
            <v>132</v>
          </cell>
          <cell r="Q19">
            <v>6</v>
          </cell>
          <cell r="T19">
            <v>8</v>
          </cell>
        </row>
        <row r="20">
          <cell r="D20" t="str">
            <v>C06</v>
          </cell>
          <cell r="N20">
            <v>46245</v>
          </cell>
          <cell r="O20">
            <v>121</v>
          </cell>
          <cell r="Q20">
            <v>5</v>
          </cell>
          <cell r="T20">
            <v>8</v>
          </cell>
          <cell r="V20">
            <v>46246</v>
          </cell>
          <cell r="W20">
            <v>189</v>
          </cell>
          <cell r="X20">
            <v>13</v>
          </cell>
          <cell r="AA20">
            <v>24</v>
          </cell>
        </row>
        <row r="21">
          <cell r="D21" t="str">
            <v>C07</v>
          </cell>
          <cell r="N21">
            <v>46246</v>
          </cell>
          <cell r="O21">
            <v>82</v>
          </cell>
          <cell r="Q21">
            <v>4</v>
          </cell>
          <cell r="T21">
            <v>7</v>
          </cell>
          <cell r="V21">
            <v>46247</v>
          </cell>
          <cell r="W21">
            <v>211</v>
          </cell>
          <cell r="X21">
            <v>11</v>
          </cell>
          <cell r="AA21">
            <v>14</v>
          </cell>
        </row>
        <row r="22">
          <cell r="D22" t="str">
            <v>C08</v>
          </cell>
          <cell r="N22">
            <v>46245</v>
          </cell>
          <cell r="O22">
            <v>130</v>
          </cell>
          <cell r="Q22">
            <v>7</v>
          </cell>
          <cell r="T22">
            <v>10</v>
          </cell>
          <cell r="V22">
            <v>46246</v>
          </cell>
          <cell r="W22">
            <v>130</v>
          </cell>
          <cell r="X22">
            <v>7</v>
          </cell>
          <cell r="AA22">
            <v>13</v>
          </cell>
        </row>
        <row r="23">
          <cell r="D23" t="str">
            <v>C09</v>
          </cell>
          <cell r="N23">
            <v>46246</v>
          </cell>
          <cell r="O23">
            <v>52</v>
          </cell>
          <cell r="Q23">
            <v>3</v>
          </cell>
          <cell r="T23">
            <v>7</v>
          </cell>
          <cell r="V23">
            <v>46235</v>
          </cell>
          <cell r="W23">
            <v>123</v>
          </cell>
          <cell r="X23">
            <v>8</v>
          </cell>
          <cell r="AA23">
            <v>7</v>
          </cell>
        </row>
        <row r="24">
          <cell r="D24" t="str">
            <v>C10</v>
          </cell>
          <cell r="N24">
            <v>46247</v>
          </cell>
          <cell r="O24">
            <v>115</v>
          </cell>
          <cell r="Q24">
            <v>9</v>
          </cell>
          <cell r="T24">
            <v>12</v>
          </cell>
          <cell r="V24">
            <v>46235</v>
          </cell>
          <cell r="W24">
            <v>213</v>
          </cell>
          <cell r="X24">
            <v>15</v>
          </cell>
          <cell r="AA24">
            <v>10</v>
          </cell>
        </row>
        <row r="25">
          <cell r="D25" t="str">
            <v>C11</v>
          </cell>
          <cell r="N25">
            <v>46247</v>
          </cell>
          <cell r="O25">
            <v>55</v>
          </cell>
          <cell r="Q25">
            <v>5</v>
          </cell>
          <cell r="T25">
            <v>15</v>
          </cell>
          <cell r="V25">
            <v>46248</v>
          </cell>
          <cell r="W25">
            <v>321</v>
          </cell>
          <cell r="X25">
            <v>18</v>
          </cell>
          <cell r="AA25">
            <v>21</v>
          </cell>
        </row>
        <row r="26">
          <cell r="D26" t="str">
            <v>C12</v>
          </cell>
          <cell r="N26">
            <v>46235</v>
          </cell>
          <cell r="O26">
            <v>52</v>
          </cell>
          <cell r="Q26">
            <v>4</v>
          </cell>
          <cell r="T26">
            <v>11</v>
          </cell>
          <cell r="V26">
            <v>46237</v>
          </cell>
          <cell r="W26">
            <v>210</v>
          </cell>
          <cell r="X26">
            <v>15</v>
          </cell>
          <cell r="AA26">
            <v>2</v>
          </cell>
        </row>
        <row r="27">
          <cell r="D27" t="str">
            <v>C13</v>
          </cell>
          <cell r="N27">
            <v>46235</v>
          </cell>
          <cell r="O27">
            <v>154</v>
          </cell>
          <cell r="Q27">
            <v>5</v>
          </cell>
          <cell r="T27">
            <v>9</v>
          </cell>
          <cell r="V27">
            <v>46237</v>
          </cell>
          <cell r="W27">
            <v>180</v>
          </cell>
          <cell r="X27">
            <v>17</v>
          </cell>
          <cell r="AA27">
            <v>20</v>
          </cell>
        </row>
        <row r="28">
          <cell r="D28" t="str">
            <v>C14</v>
          </cell>
          <cell r="N28">
            <v>46247</v>
          </cell>
          <cell r="O28">
            <v>143</v>
          </cell>
          <cell r="Q28">
            <v>6</v>
          </cell>
          <cell r="T28">
            <v>14</v>
          </cell>
          <cell r="V28">
            <v>46248</v>
          </cell>
          <cell r="W28">
            <v>221</v>
          </cell>
          <cell r="X28">
            <v>9</v>
          </cell>
          <cell r="AA28">
            <v>10</v>
          </cell>
        </row>
        <row r="29">
          <cell r="D29" t="str">
            <v>C15</v>
          </cell>
          <cell r="N29">
            <v>46247</v>
          </cell>
          <cell r="O29">
            <v>210</v>
          </cell>
          <cell r="Q29">
            <v>10</v>
          </cell>
          <cell r="T29">
            <v>12</v>
          </cell>
          <cell r="V29">
            <v>46238</v>
          </cell>
          <cell r="W29">
            <v>278</v>
          </cell>
          <cell r="X29">
            <v>19</v>
          </cell>
          <cell r="AA29">
            <v>21</v>
          </cell>
        </row>
        <row r="30">
          <cell r="D30" t="str">
            <v>C16</v>
          </cell>
          <cell r="N30">
            <v>46248</v>
          </cell>
          <cell r="O30">
            <v>92</v>
          </cell>
          <cell r="Q30">
            <v>6</v>
          </cell>
          <cell r="T30">
            <v>12</v>
          </cell>
          <cell r="V30">
            <v>46238</v>
          </cell>
          <cell r="W30">
            <v>210</v>
          </cell>
          <cell r="X30">
            <v>12</v>
          </cell>
          <cell r="AA30">
            <v>8</v>
          </cell>
        </row>
        <row r="31">
          <cell r="D31" t="str">
            <v>C17</v>
          </cell>
          <cell r="N31">
            <v>46237</v>
          </cell>
          <cell r="O31">
            <v>118</v>
          </cell>
          <cell r="Q31">
            <v>8</v>
          </cell>
          <cell r="T31">
            <v>23</v>
          </cell>
          <cell r="V31">
            <v>46239</v>
          </cell>
          <cell r="W31">
            <v>189</v>
          </cell>
          <cell r="X31">
            <v>15</v>
          </cell>
          <cell r="AA31">
            <v>13</v>
          </cell>
        </row>
        <row r="32">
          <cell r="D32" t="str">
            <v>C18</v>
          </cell>
          <cell r="N32">
            <v>46240</v>
          </cell>
          <cell r="O32">
            <v>52</v>
          </cell>
          <cell r="Q32">
            <v>3</v>
          </cell>
          <cell r="T32">
            <v>18</v>
          </cell>
          <cell r="V32">
            <v>46247</v>
          </cell>
          <cell r="W32">
            <v>87</v>
          </cell>
          <cell r="X32">
            <v>3</v>
          </cell>
          <cell r="AA32">
            <v>7</v>
          </cell>
        </row>
        <row r="33">
          <cell r="D33" t="str">
            <v>D16</v>
          </cell>
          <cell r="N33">
            <v>46239</v>
          </cell>
          <cell r="O33">
            <v>53</v>
          </cell>
          <cell r="Q33">
            <v>3</v>
          </cell>
          <cell r="T33">
            <v>14</v>
          </cell>
          <cell r="V33">
            <v>46241</v>
          </cell>
          <cell r="W33">
            <v>134</v>
          </cell>
          <cell r="X33">
            <v>8</v>
          </cell>
          <cell r="AA33">
            <v>9</v>
          </cell>
        </row>
        <row r="34">
          <cell r="D34" t="str">
            <v>D17</v>
          </cell>
          <cell r="N34">
            <v>46240</v>
          </cell>
          <cell r="O34">
            <v>111</v>
          </cell>
          <cell r="Q34">
            <v>7</v>
          </cell>
          <cell r="T34">
            <v>17</v>
          </cell>
          <cell r="V34">
            <v>46241</v>
          </cell>
          <cell r="W34">
            <v>254</v>
          </cell>
          <cell r="X34">
            <v>17</v>
          </cell>
          <cell r="AA34">
            <v>30</v>
          </cell>
        </row>
        <row r="35">
          <cell r="D35" t="str">
            <v>E16</v>
          </cell>
          <cell r="N35">
            <v>46237</v>
          </cell>
          <cell r="O35">
            <v>55</v>
          </cell>
          <cell r="Q35">
            <v>3</v>
          </cell>
          <cell r="T35">
            <v>8</v>
          </cell>
          <cell r="V35">
            <v>46239</v>
          </cell>
          <cell r="W35">
            <v>139</v>
          </cell>
          <cell r="X35">
            <v>9</v>
          </cell>
          <cell r="AA35">
            <v>7</v>
          </cell>
        </row>
        <row r="36">
          <cell r="D36" t="str">
            <v>E17</v>
          </cell>
          <cell r="N36">
            <v>46238</v>
          </cell>
          <cell r="O36">
            <v>116</v>
          </cell>
          <cell r="Q36">
            <v>7</v>
          </cell>
          <cell r="T36">
            <v>31</v>
          </cell>
          <cell r="V36">
            <v>46240</v>
          </cell>
          <cell r="W36">
            <v>167</v>
          </cell>
          <cell r="X36">
            <v>9</v>
          </cell>
          <cell r="AA36">
            <v>5</v>
          </cell>
        </row>
        <row r="37">
          <cell r="D37" t="str">
            <v>E18</v>
          </cell>
          <cell r="N37">
            <v>46238</v>
          </cell>
          <cell r="O37">
            <v>120</v>
          </cell>
          <cell r="Q37">
            <v>7</v>
          </cell>
          <cell r="T37">
            <v>18</v>
          </cell>
          <cell r="V37">
            <v>46240</v>
          </cell>
          <cell r="W37">
            <v>235</v>
          </cell>
          <cell r="X37">
            <v>18</v>
          </cell>
          <cell r="AA37">
            <v>8</v>
          </cell>
        </row>
        <row r="38">
          <cell r="D38" t="str">
            <v>D07</v>
          </cell>
          <cell r="N38">
            <v>46240</v>
          </cell>
          <cell r="O38">
            <v>131</v>
          </cell>
          <cell r="Q38">
            <v>5</v>
          </cell>
          <cell r="T38">
            <v>14</v>
          </cell>
          <cell r="V38">
            <v>46244</v>
          </cell>
          <cell r="W38">
            <v>312</v>
          </cell>
          <cell r="X38">
            <v>15</v>
          </cell>
          <cell r="AA38">
            <v>21</v>
          </cell>
        </row>
        <row r="39">
          <cell r="D39" t="str">
            <v>D08</v>
          </cell>
          <cell r="N39">
            <v>46241</v>
          </cell>
          <cell r="O39">
            <v>93</v>
          </cell>
          <cell r="Q39">
            <v>8</v>
          </cell>
          <cell r="T39">
            <v>13</v>
          </cell>
          <cell r="V39">
            <v>46244</v>
          </cell>
          <cell r="W39">
            <v>178</v>
          </cell>
          <cell r="X39">
            <v>9</v>
          </cell>
          <cell r="AA39">
            <v>12</v>
          </cell>
        </row>
        <row r="40">
          <cell r="D40" t="str">
            <v>D09</v>
          </cell>
          <cell r="N40">
            <v>46241</v>
          </cell>
          <cell r="O40">
            <v>104</v>
          </cell>
          <cell r="Q40">
            <v>6</v>
          </cell>
          <cell r="T40">
            <v>15</v>
          </cell>
          <cell r="V40">
            <v>46242</v>
          </cell>
          <cell r="W40">
            <v>198</v>
          </cell>
          <cell r="X40">
            <v>12</v>
          </cell>
          <cell r="AA40">
            <v>10</v>
          </cell>
        </row>
        <row r="41">
          <cell r="D41" t="str">
            <v>D10</v>
          </cell>
          <cell r="N41">
            <v>46242</v>
          </cell>
          <cell r="O41">
            <v>124</v>
          </cell>
          <cell r="Q41">
            <v>7</v>
          </cell>
          <cell r="T41">
            <v>20</v>
          </cell>
          <cell r="V41">
            <v>46235</v>
          </cell>
          <cell r="W41">
            <v>156</v>
          </cell>
          <cell r="X41">
            <v>17</v>
          </cell>
          <cell r="AA41">
            <v>20</v>
          </cell>
        </row>
        <row r="42">
          <cell r="D42" t="str">
            <v>D11</v>
          </cell>
          <cell r="N42">
            <v>46242</v>
          </cell>
          <cell r="O42">
            <v>89</v>
          </cell>
          <cell r="Q42">
            <v>7</v>
          </cell>
          <cell r="T42">
            <v>10</v>
          </cell>
          <cell r="V42">
            <v>46235</v>
          </cell>
          <cell r="W42">
            <v>134</v>
          </cell>
          <cell r="X42">
            <v>7</v>
          </cell>
          <cell r="AA42">
            <v>15</v>
          </cell>
        </row>
        <row r="43">
          <cell r="D43" t="str">
            <v>D12</v>
          </cell>
          <cell r="N43">
            <v>46235</v>
          </cell>
          <cell r="O43">
            <v>120</v>
          </cell>
          <cell r="Q43">
            <v>7</v>
          </cell>
          <cell r="T43">
            <v>8</v>
          </cell>
          <cell r="V43">
            <v>46245</v>
          </cell>
          <cell r="W43">
            <v>135</v>
          </cell>
          <cell r="X43">
            <v>4</v>
          </cell>
          <cell r="AA43">
            <v>8</v>
          </cell>
        </row>
        <row r="44">
          <cell r="D44" t="str">
            <v>D13</v>
          </cell>
          <cell r="N44">
            <v>46235</v>
          </cell>
          <cell r="O44">
            <v>92</v>
          </cell>
          <cell r="Q44">
            <v>6</v>
          </cell>
          <cell r="T44">
            <v>8</v>
          </cell>
          <cell r="V44">
            <v>46245</v>
          </cell>
          <cell r="W44">
            <v>178</v>
          </cell>
          <cell r="X44">
            <v>7</v>
          </cell>
          <cell r="AA44">
            <v>10</v>
          </cell>
        </row>
        <row r="45">
          <cell r="D45" t="str">
            <v>D14</v>
          </cell>
        </row>
        <row r="46">
          <cell r="D46" t="str">
            <v>D15</v>
          </cell>
        </row>
        <row r="47">
          <cell r="D47" t="str">
            <v>E08</v>
          </cell>
          <cell r="N47">
            <v>46240</v>
          </cell>
          <cell r="O47">
            <v>103</v>
          </cell>
          <cell r="Q47">
            <v>9</v>
          </cell>
          <cell r="T47">
            <v>10</v>
          </cell>
          <cell r="V47">
            <v>46247</v>
          </cell>
          <cell r="W47">
            <v>298</v>
          </cell>
          <cell r="X47">
            <v>12</v>
          </cell>
          <cell r="AA47">
            <v>20</v>
          </cell>
        </row>
        <row r="48">
          <cell r="D48" t="str">
            <v>E09</v>
          </cell>
          <cell r="N48">
            <v>46239</v>
          </cell>
          <cell r="O48">
            <v>67</v>
          </cell>
          <cell r="Q48">
            <v>4</v>
          </cell>
          <cell r="T48">
            <v>5</v>
          </cell>
          <cell r="V48">
            <v>46246</v>
          </cell>
          <cell r="W48">
            <v>121</v>
          </cell>
          <cell r="X48">
            <v>4</v>
          </cell>
          <cell r="AA48">
            <v>10</v>
          </cell>
        </row>
        <row r="49">
          <cell r="D49" t="str">
            <v>E10</v>
          </cell>
          <cell r="N49">
            <v>46239</v>
          </cell>
          <cell r="O49">
            <v>53</v>
          </cell>
          <cell r="Q49">
            <v>3</v>
          </cell>
          <cell r="T49">
            <v>8</v>
          </cell>
          <cell r="V49">
            <v>46241</v>
          </cell>
          <cell r="W49">
            <v>210</v>
          </cell>
          <cell r="X49">
            <v>12</v>
          </cell>
          <cell r="AA49">
            <v>13</v>
          </cell>
        </row>
        <row r="50">
          <cell r="D50" t="str">
            <v>E11</v>
          </cell>
          <cell r="N50">
            <v>46244</v>
          </cell>
          <cell r="O50">
            <v>89</v>
          </cell>
          <cell r="Q50">
            <v>5</v>
          </cell>
          <cell r="T50">
            <v>10</v>
          </cell>
          <cell r="V50">
            <v>46246</v>
          </cell>
          <cell r="W50">
            <v>137</v>
          </cell>
          <cell r="X50">
            <v>7</v>
          </cell>
          <cell r="AA50">
            <v>9</v>
          </cell>
        </row>
        <row r="51">
          <cell r="D51" t="str">
            <v>E12</v>
          </cell>
          <cell r="N51">
            <v>46248</v>
          </cell>
          <cell r="O51">
            <v>108</v>
          </cell>
          <cell r="Q51">
            <v>6</v>
          </cell>
          <cell r="T51">
            <v>10</v>
          </cell>
        </row>
        <row r="52">
          <cell r="D52" t="str">
            <v>E13</v>
          </cell>
          <cell r="N52">
            <v>46248</v>
          </cell>
          <cell r="O52">
            <v>121</v>
          </cell>
          <cell r="Q52">
            <v>7</v>
          </cell>
          <cell r="T52">
            <v>12</v>
          </cell>
          <cell r="V52">
            <v>46237</v>
          </cell>
          <cell r="W52">
            <v>148</v>
          </cell>
          <cell r="X52">
            <v>17</v>
          </cell>
          <cell r="AA52">
            <v>6</v>
          </cell>
        </row>
        <row r="53">
          <cell r="D53" t="str">
            <v>E14</v>
          </cell>
          <cell r="N53">
            <v>46248</v>
          </cell>
          <cell r="O53">
            <v>111</v>
          </cell>
          <cell r="Q53">
            <v>5</v>
          </cell>
          <cell r="T53">
            <v>14</v>
          </cell>
          <cell r="V53">
            <v>46237</v>
          </cell>
          <cell r="W53">
            <v>123</v>
          </cell>
          <cell r="X53">
            <v>7</v>
          </cell>
          <cell r="AA53">
            <v>8</v>
          </cell>
        </row>
        <row r="54">
          <cell r="D54" t="str">
            <v>E15</v>
          </cell>
        </row>
        <row r="55">
          <cell r="D55" t="str">
            <v>F09</v>
          </cell>
          <cell r="N55">
            <v>46245</v>
          </cell>
          <cell r="O55">
            <v>89</v>
          </cell>
          <cell r="Q55">
            <v>4</v>
          </cell>
          <cell r="T55">
            <v>6</v>
          </cell>
          <cell r="V55">
            <v>46247</v>
          </cell>
          <cell r="W55">
            <v>242</v>
          </cell>
          <cell r="X55">
            <v>11</v>
          </cell>
          <cell r="AA55">
            <v>13</v>
          </cell>
        </row>
        <row r="56">
          <cell r="D56" t="str">
            <v>F10</v>
          </cell>
          <cell r="N56">
            <v>46245</v>
          </cell>
          <cell r="O56">
            <v>101</v>
          </cell>
          <cell r="Q56">
            <v>3</v>
          </cell>
          <cell r="T56">
            <v>6</v>
          </cell>
          <cell r="V56">
            <v>46241</v>
          </cell>
          <cell r="W56">
            <v>178</v>
          </cell>
          <cell r="X56">
            <v>9</v>
          </cell>
          <cell r="AA56">
            <v>7</v>
          </cell>
        </row>
        <row r="57">
          <cell r="D57" t="str">
            <v>F11</v>
          </cell>
          <cell r="N57">
            <v>46244</v>
          </cell>
          <cell r="O57">
            <v>116</v>
          </cell>
          <cell r="Q57">
            <v>7</v>
          </cell>
          <cell r="T57">
            <v>14</v>
          </cell>
          <cell r="V57">
            <v>46238</v>
          </cell>
          <cell r="W57">
            <v>289</v>
          </cell>
          <cell r="X57">
            <v>16</v>
          </cell>
          <cell r="AA57">
            <v>14</v>
          </cell>
        </row>
        <row r="58">
          <cell r="D58" t="str">
            <v>F12</v>
          </cell>
          <cell r="N58">
            <v>46237</v>
          </cell>
          <cell r="O58">
            <v>123</v>
          </cell>
          <cell r="Q58">
            <v>5</v>
          </cell>
          <cell r="T58">
            <v>15</v>
          </cell>
          <cell r="V58">
            <v>46238</v>
          </cell>
          <cell r="W58">
            <v>240</v>
          </cell>
          <cell r="X58">
            <v>17</v>
          </cell>
          <cell r="AA58">
            <v>11</v>
          </cell>
        </row>
        <row r="59">
          <cell r="D59" t="str">
            <v>F13</v>
          </cell>
          <cell r="N59">
            <v>46237</v>
          </cell>
          <cell r="O59">
            <v>210</v>
          </cell>
          <cell r="Q59">
            <v>6</v>
          </cell>
          <cell r="T59">
            <v>10</v>
          </cell>
          <cell r="V59">
            <v>46247</v>
          </cell>
          <cell r="W59">
            <v>201</v>
          </cell>
          <cell r="X59">
            <v>10</v>
          </cell>
          <cell r="AA59">
            <v>14</v>
          </cell>
        </row>
        <row r="60">
          <cell r="D60" t="str">
            <v>F14</v>
          </cell>
          <cell r="N60">
            <v>46238</v>
          </cell>
          <cell r="O60">
            <v>198</v>
          </cell>
          <cell r="Q60">
            <v>14</v>
          </cell>
          <cell r="T60">
            <v>18</v>
          </cell>
          <cell r="V60">
            <v>46248</v>
          </cell>
          <cell r="W60">
            <v>187</v>
          </cell>
          <cell r="X60">
            <v>12</v>
          </cell>
          <cell r="AA60">
            <v>12</v>
          </cell>
        </row>
        <row r="61">
          <cell r="D61" t="str">
            <v>F15</v>
          </cell>
          <cell r="N61">
            <v>46238</v>
          </cell>
          <cell r="O61">
            <v>70</v>
          </cell>
          <cell r="Q61">
            <v>4</v>
          </cell>
          <cell r="T61">
            <v>23</v>
          </cell>
          <cell r="V61">
            <v>46248</v>
          </cell>
          <cell r="W61">
            <v>136</v>
          </cell>
          <cell r="X61">
            <v>9</v>
          </cell>
          <cell r="AA61">
            <v>11</v>
          </cell>
        </row>
        <row r="62">
          <cell r="D62" t="str">
            <v>G09</v>
          </cell>
          <cell r="N62">
            <v>46246</v>
          </cell>
          <cell r="O62">
            <v>132</v>
          </cell>
          <cell r="Q62">
            <v>6</v>
          </cell>
          <cell r="T62">
            <v>8</v>
          </cell>
          <cell r="V62">
            <v>46240</v>
          </cell>
          <cell r="W62">
            <v>272</v>
          </cell>
          <cell r="X62">
            <v>15</v>
          </cell>
          <cell r="AA62">
            <v>13</v>
          </cell>
        </row>
        <row r="63">
          <cell r="D63" t="str">
            <v>G10</v>
          </cell>
          <cell r="N63">
            <v>46246</v>
          </cell>
          <cell r="O63">
            <v>108</v>
          </cell>
          <cell r="Q63">
            <v>4</v>
          </cell>
          <cell r="T63">
            <v>10</v>
          </cell>
          <cell r="V63">
            <v>46240</v>
          </cell>
          <cell r="W63">
            <v>279</v>
          </cell>
          <cell r="X63">
            <v>17</v>
          </cell>
          <cell r="AA63">
            <v>15</v>
          </cell>
        </row>
        <row r="64">
          <cell r="D64" t="str">
            <v>G11</v>
          </cell>
          <cell r="N64">
            <v>46247</v>
          </cell>
          <cell r="O64">
            <v>116</v>
          </cell>
          <cell r="Q64">
            <v>9</v>
          </cell>
          <cell r="T64">
            <v>19</v>
          </cell>
          <cell r="V64">
            <v>46248</v>
          </cell>
          <cell r="W64">
            <v>210</v>
          </cell>
          <cell r="X64">
            <v>9</v>
          </cell>
          <cell r="AA64">
            <v>12</v>
          </cell>
        </row>
        <row r="65">
          <cell r="D65" t="str">
            <v>G12</v>
          </cell>
          <cell r="N65">
            <v>46247</v>
          </cell>
          <cell r="O65">
            <v>92</v>
          </cell>
          <cell r="Q65">
            <v>5</v>
          </cell>
          <cell r="T65">
            <v>12</v>
          </cell>
          <cell r="V65">
            <v>46248</v>
          </cell>
          <cell r="W65">
            <v>189</v>
          </cell>
          <cell r="X65">
            <v>8</v>
          </cell>
          <cell r="AA65">
            <v>33</v>
          </cell>
        </row>
        <row r="66">
          <cell r="D66" t="str">
            <v>G13</v>
          </cell>
          <cell r="N66">
            <v>46247</v>
          </cell>
          <cell r="O66">
            <v>132</v>
          </cell>
          <cell r="Q66">
            <v>7</v>
          </cell>
          <cell r="T66">
            <v>10</v>
          </cell>
          <cell r="V66">
            <v>46239</v>
          </cell>
          <cell r="W66">
            <v>200</v>
          </cell>
          <cell r="X66">
            <v>12</v>
          </cell>
          <cell r="AA66">
            <v>10</v>
          </cell>
        </row>
        <row r="67">
          <cell r="D67" t="str">
            <v>G14</v>
          </cell>
          <cell r="N67">
            <v>46247</v>
          </cell>
          <cell r="O67">
            <v>128</v>
          </cell>
          <cell r="Q67">
            <v>8</v>
          </cell>
          <cell r="T67">
            <v>8</v>
          </cell>
          <cell r="V67">
            <v>46239</v>
          </cell>
          <cell r="W67">
            <v>209</v>
          </cell>
          <cell r="X67">
            <v>15</v>
          </cell>
          <cell r="AA67">
            <v>18</v>
          </cell>
        </row>
        <row r="68">
          <cell r="D68" t="str">
            <v>G15</v>
          </cell>
          <cell r="N68">
            <v>46248</v>
          </cell>
          <cell r="O68">
            <v>130</v>
          </cell>
          <cell r="Q68">
            <v>6</v>
          </cell>
          <cell r="T68">
            <v>8</v>
          </cell>
        </row>
        <row r="69">
          <cell r="D69" t="str">
            <v>E22</v>
          </cell>
          <cell r="V69">
            <v>46237</v>
          </cell>
          <cell r="W69">
            <v>253</v>
          </cell>
          <cell r="X69">
            <v>17</v>
          </cell>
          <cell r="AA69">
            <v>40</v>
          </cell>
        </row>
        <row r="70">
          <cell r="D70" t="str">
            <v>F16</v>
          </cell>
          <cell r="N70">
            <v>46241</v>
          </cell>
          <cell r="O70">
            <v>108</v>
          </cell>
          <cell r="Q70">
            <v>6</v>
          </cell>
          <cell r="T70">
            <v>23</v>
          </cell>
          <cell r="V70">
            <v>46242</v>
          </cell>
          <cell r="W70">
            <v>211</v>
          </cell>
          <cell r="X70">
            <v>12</v>
          </cell>
          <cell r="AA70">
            <v>15</v>
          </cell>
        </row>
        <row r="71">
          <cell r="D71" t="str">
            <v>F17</v>
          </cell>
          <cell r="N71">
            <v>46242</v>
          </cell>
          <cell r="O71">
            <v>178</v>
          </cell>
          <cell r="Q71">
            <v>10</v>
          </cell>
          <cell r="T71">
            <v>45</v>
          </cell>
          <cell r="V71">
            <v>46244</v>
          </cell>
          <cell r="W71">
            <v>210</v>
          </cell>
          <cell r="X71">
            <v>12</v>
          </cell>
          <cell r="AA71">
            <v>12</v>
          </cell>
        </row>
        <row r="72">
          <cell r="D72" t="str">
            <v>F20</v>
          </cell>
          <cell r="N72">
            <v>46242</v>
          </cell>
          <cell r="O72">
            <v>114</v>
          </cell>
          <cell r="Q72">
            <v>6</v>
          </cell>
          <cell r="T72">
            <v>24</v>
          </cell>
          <cell r="V72">
            <v>46235</v>
          </cell>
          <cell r="W72">
            <v>206</v>
          </cell>
          <cell r="X72">
            <v>12</v>
          </cell>
          <cell r="AA72">
            <v>14</v>
          </cell>
        </row>
        <row r="73">
          <cell r="D73" t="str">
            <v>F21</v>
          </cell>
          <cell r="N73">
            <v>46235</v>
          </cell>
          <cell r="O73">
            <v>130</v>
          </cell>
          <cell r="Q73">
            <v>7</v>
          </cell>
          <cell r="T73">
            <v>13</v>
          </cell>
          <cell r="V73">
            <v>46235</v>
          </cell>
          <cell r="W73">
            <v>210</v>
          </cell>
          <cell r="X73">
            <v>12</v>
          </cell>
          <cell r="AA73">
            <v>15</v>
          </cell>
        </row>
        <row r="74">
          <cell r="D74" t="str">
            <v>F22</v>
          </cell>
          <cell r="N74">
            <v>46235</v>
          </cell>
          <cell r="O74">
            <v>220</v>
          </cell>
          <cell r="Q74">
            <v>10</v>
          </cell>
          <cell r="T74">
            <v>50</v>
          </cell>
          <cell r="V74">
            <v>46245</v>
          </cell>
          <cell r="W74">
            <v>185</v>
          </cell>
          <cell r="X74">
            <v>9</v>
          </cell>
          <cell r="AA74">
            <v>19</v>
          </cell>
        </row>
        <row r="75">
          <cell r="D75" t="str">
            <v>F23</v>
          </cell>
          <cell r="N75">
            <v>46244</v>
          </cell>
          <cell r="O75">
            <v>233</v>
          </cell>
          <cell r="Q75">
            <v>12</v>
          </cell>
          <cell r="T75">
            <v>60</v>
          </cell>
          <cell r="V75">
            <v>46236</v>
          </cell>
          <cell r="W75">
            <v>182</v>
          </cell>
          <cell r="X75">
            <v>12</v>
          </cell>
          <cell r="AA75">
            <v>15</v>
          </cell>
        </row>
        <row r="76">
          <cell r="D76" t="str">
            <v>F24</v>
          </cell>
          <cell r="N76">
            <v>46244</v>
          </cell>
          <cell r="O76">
            <v>198</v>
          </cell>
          <cell r="Q76">
            <v>7</v>
          </cell>
          <cell r="T76">
            <v>10</v>
          </cell>
          <cell r="V76">
            <v>46236</v>
          </cell>
          <cell r="W76">
            <v>294</v>
          </cell>
          <cell r="X76">
            <v>17</v>
          </cell>
          <cell r="AA76">
            <v>17</v>
          </cell>
        </row>
        <row r="77">
          <cell r="D77" t="str">
            <v>F25</v>
          </cell>
          <cell r="V77">
            <v>46237</v>
          </cell>
          <cell r="W77">
            <v>260</v>
          </cell>
          <cell r="X77">
            <v>22</v>
          </cell>
          <cell r="AA77">
            <v>25</v>
          </cell>
        </row>
        <row r="78">
          <cell r="D78" t="str">
            <v>G16</v>
          </cell>
          <cell r="N78">
            <v>46248</v>
          </cell>
          <cell r="O78">
            <v>114</v>
          </cell>
          <cell r="Q78">
            <v>7</v>
          </cell>
          <cell r="T78">
            <v>11</v>
          </cell>
          <cell r="V78">
            <v>46245</v>
          </cell>
          <cell r="W78">
            <v>143</v>
          </cell>
          <cell r="X78">
            <v>8</v>
          </cell>
          <cell r="AA78">
            <v>10</v>
          </cell>
        </row>
        <row r="79">
          <cell r="D79" t="str">
            <v>G17</v>
          </cell>
          <cell r="N79">
            <v>46241</v>
          </cell>
          <cell r="O79">
            <v>240</v>
          </cell>
          <cell r="Q79">
            <v>13</v>
          </cell>
          <cell r="T79">
            <v>75</v>
          </cell>
          <cell r="V79">
            <v>46244</v>
          </cell>
          <cell r="W79">
            <v>201</v>
          </cell>
          <cell r="X79">
            <v>12</v>
          </cell>
          <cell r="AA79">
            <v>18</v>
          </cell>
        </row>
        <row r="80">
          <cell r="D80" t="str">
            <v>G19</v>
          </cell>
          <cell r="N80">
            <v>46245</v>
          </cell>
          <cell r="O80">
            <v>189</v>
          </cell>
          <cell r="Q80">
            <v>10</v>
          </cell>
          <cell r="T80">
            <v>16</v>
          </cell>
          <cell r="V80">
            <v>46241</v>
          </cell>
          <cell r="W80">
            <v>192</v>
          </cell>
          <cell r="X80">
            <v>10</v>
          </cell>
          <cell r="AA80">
            <v>17</v>
          </cell>
        </row>
        <row r="81">
          <cell r="D81" t="str">
            <v>G20</v>
          </cell>
          <cell r="N81">
            <v>46240</v>
          </cell>
          <cell r="O81">
            <v>166</v>
          </cell>
          <cell r="Q81">
            <v>9</v>
          </cell>
          <cell r="T81">
            <v>47</v>
          </cell>
          <cell r="V81">
            <v>46241</v>
          </cell>
          <cell r="W81">
            <v>206</v>
          </cell>
          <cell r="X81">
            <v>13</v>
          </cell>
          <cell r="AA81">
            <v>11</v>
          </cell>
        </row>
        <row r="82">
          <cell r="D82" t="str">
            <v>G21</v>
          </cell>
          <cell r="N82">
            <v>46248</v>
          </cell>
          <cell r="O82">
            <v>185</v>
          </cell>
          <cell r="Q82">
            <v>12</v>
          </cell>
          <cell r="T82">
            <v>20</v>
          </cell>
        </row>
        <row r="83">
          <cell r="D83" t="str">
            <v>G22</v>
          </cell>
          <cell r="N83">
            <v>46247</v>
          </cell>
          <cell r="O83">
            <v>89</v>
          </cell>
          <cell r="Q83">
            <v>5</v>
          </cell>
          <cell r="T83">
            <v>13</v>
          </cell>
          <cell r="V83">
            <v>46248</v>
          </cell>
          <cell r="W83">
            <v>218</v>
          </cell>
          <cell r="X83">
            <v>12</v>
          </cell>
          <cell r="AA83">
            <v>15</v>
          </cell>
        </row>
        <row r="84">
          <cell r="D84" t="str">
            <v>G23</v>
          </cell>
          <cell r="N84">
            <v>46247</v>
          </cell>
          <cell r="O84">
            <v>132</v>
          </cell>
          <cell r="Q84">
            <v>7</v>
          </cell>
          <cell r="T84">
            <v>29</v>
          </cell>
          <cell r="V84">
            <v>46248</v>
          </cell>
          <cell r="W84">
            <v>276</v>
          </cell>
          <cell r="X84">
            <v>16</v>
          </cell>
          <cell r="AA84">
            <v>21</v>
          </cell>
        </row>
        <row r="85">
          <cell r="D85" t="str">
            <v>G24</v>
          </cell>
          <cell r="N85">
            <v>46239</v>
          </cell>
          <cell r="O85">
            <v>227</v>
          </cell>
          <cell r="Q85">
            <v>13</v>
          </cell>
          <cell r="T85">
            <v>60</v>
          </cell>
          <cell r="V85">
            <v>46240</v>
          </cell>
          <cell r="W85">
            <v>169</v>
          </cell>
          <cell r="X85">
            <v>10</v>
          </cell>
          <cell r="AA85">
            <v>7</v>
          </cell>
        </row>
        <row r="86">
          <cell r="D86" t="str">
            <v>G25</v>
          </cell>
          <cell r="N86">
            <v>46239</v>
          </cell>
          <cell r="O86">
            <v>108</v>
          </cell>
          <cell r="Q86">
            <v>6</v>
          </cell>
          <cell r="T86">
            <v>12</v>
          </cell>
          <cell r="V86">
            <v>46240</v>
          </cell>
          <cell r="W86">
            <v>270</v>
          </cell>
          <cell r="X86">
            <v>15</v>
          </cell>
          <cell r="AA86">
            <v>9</v>
          </cell>
        </row>
        <row r="87">
          <cell r="D87" t="str">
            <v>H16</v>
          </cell>
          <cell r="N87">
            <v>46248</v>
          </cell>
          <cell r="O87">
            <v>126</v>
          </cell>
          <cell r="Q87">
            <v>8</v>
          </cell>
          <cell r="T87">
            <v>11</v>
          </cell>
        </row>
        <row r="88">
          <cell r="D88" t="str">
            <v>H17</v>
          </cell>
          <cell r="N88">
            <v>46246</v>
          </cell>
          <cell r="O88">
            <v>211</v>
          </cell>
          <cell r="Q88">
            <v>9</v>
          </cell>
          <cell r="T88">
            <v>15</v>
          </cell>
          <cell r="V88">
            <v>46247</v>
          </cell>
          <cell r="W88">
            <v>87</v>
          </cell>
          <cell r="X88">
            <v>3</v>
          </cell>
          <cell r="AA88">
            <v>12</v>
          </cell>
        </row>
        <row r="89">
          <cell r="D89" t="str">
            <v>H18</v>
          </cell>
          <cell r="N89">
            <v>46245</v>
          </cell>
          <cell r="O89">
            <v>113</v>
          </cell>
          <cell r="Q89">
            <v>6</v>
          </cell>
          <cell r="T89">
            <v>11</v>
          </cell>
          <cell r="V89">
            <v>46246</v>
          </cell>
          <cell r="W89">
            <v>120</v>
          </cell>
          <cell r="X89">
            <v>4</v>
          </cell>
          <cell r="AA89">
            <v>8</v>
          </cell>
        </row>
        <row r="90">
          <cell r="D90" t="str">
            <v>H19</v>
          </cell>
          <cell r="N90">
            <v>46237</v>
          </cell>
          <cell r="O90">
            <v>114</v>
          </cell>
          <cell r="Q90">
            <v>7</v>
          </cell>
          <cell r="T90">
            <v>14</v>
          </cell>
          <cell r="V90">
            <v>46238</v>
          </cell>
          <cell r="W90">
            <v>212</v>
          </cell>
          <cell r="X90">
            <v>12</v>
          </cell>
          <cell r="AA90">
            <v>19</v>
          </cell>
        </row>
        <row r="91">
          <cell r="D91" t="str">
            <v>H20</v>
          </cell>
          <cell r="N91">
            <v>46237</v>
          </cell>
          <cell r="O91">
            <v>175</v>
          </cell>
          <cell r="Q91">
            <v>10</v>
          </cell>
          <cell r="T91">
            <v>25</v>
          </cell>
          <cell r="V91">
            <v>46238</v>
          </cell>
          <cell r="W91">
            <v>240</v>
          </cell>
          <cell r="X91">
            <v>6</v>
          </cell>
          <cell r="AA91">
            <v>6</v>
          </cell>
        </row>
        <row r="92">
          <cell r="D92" t="str">
            <v>H21</v>
          </cell>
          <cell r="N92">
            <v>46246</v>
          </cell>
          <cell r="O92">
            <v>179</v>
          </cell>
          <cell r="Q92">
            <v>10</v>
          </cell>
          <cell r="T92">
            <v>17</v>
          </cell>
          <cell r="V92">
            <v>46247</v>
          </cell>
          <cell r="W92">
            <v>90</v>
          </cell>
          <cell r="X92">
            <v>5</v>
          </cell>
          <cell r="AA92">
            <v>8</v>
          </cell>
        </row>
        <row r="93">
          <cell r="D93" t="str">
            <v>H22</v>
          </cell>
          <cell r="N93">
            <v>46238</v>
          </cell>
          <cell r="O93">
            <v>230</v>
          </cell>
          <cell r="Q93">
            <v>11</v>
          </cell>
          <cell r="T93">
            <v>55</v>
          </cell>
          <cell r="V93">
            <v>46239</v>
          </cell>
          <cell r="W93">
            <v>208</v>
          </cell>
          <cell r="X93">
            <v>11</v>
          </cell>
          <cell r="AA93">
            <v>18</v>
          </cell>
        </row>
        <row r="94">
          <cell r="D94" t="str">
            <v>H23</v>
          </cell>
          <cell r="N94">
            <v>46238</v>
          </cell>
          <cell r="O94">
            <v>115</v>
          </cell>
          <cell r="Q94">
            <v>9</v>
          </cell>
          <cell r="T94">
            <v>27</v>
          </cell>
          <cell r="V94">
            <v>46239</v>
          </cell>
          <cell r="W94">
            <v>270</v>
          </cell>
          <cell r="X94">
            <v>15</v>
          </cell>
          <cell r="AA94">
            <v>8</v>
          </cell>
        </row>
        <row r="95">
          <cell r="D95" t="str">
            <v>H24</v>
          </cell>
          <cell r="N95">
            <v>46247</v>
          </cell>
          <cell r="O95">
            <v>172</v>
          </cell>
          <cell r="Q95">
            <v>6</v>
          </cell>
          <cell r="T95">
            <v>36</v>
          </cell>
        </row>
        <row r="96">
          <cell r="D96" t="str">
            <v>I16</v>
          </cell>
          <cell r="N96">
            <v>46237</v>
          </cell>
          <cell r="O96">
            <v>85</v>
          </cell>
          <cell r="Q96">
            <v>5</v>
          </cell>
          <cell r="T96">
            <v>17</v>
          </cell>
          <cell r="V96">
            <v>46238</v>
          </cell>
          <cell r="W96">
            <v>244</v>
          </cell>
          <cell r="X96">
            <v>15</v>
          </cell>
          <cell r="AA96">
            <v>13</v>
          </cell>
        </row>
        <row r="97">
          <cell r="D97" t="str">
            <v>I17</v>
          </cell>
          <cell r="N97">
            <v>46237</v>
          </cell>
          <cell r="O97">
            <v>94</v>
          </cell>
          <cell r="Q97">
            <v>5</v>
          </cell>
          <cell r="T97">
            <v>29</v>
          </cell>
          <cell r="V97">
            <v>46238</v>
          </cell>
          <cell r="W97">
            <v>231</v>
          </cell>
          <cell r="X97">
            <v>19</v>
          </cell>
          <cell r="AA97">
            <v>21</v>
          </cell>
        </row>
        <row r="98">
          <cell r="D98" t="str">
            <v>I18</v>
          </cell>
          <cell r="N98">
            <v>46245</v>
          </cell>
          <cell r="O98">
            <v>89</v>
          </cell>
          <cell r="Q98">
            <v>4</v>
          </cell>
          <cell r="T98">
            <v>7</v>
          </cell>
          <cell r="V98">
            <v>46246</v>
          </cell>
          <cell r="W98">
            <v>211</v>
          </cell>
          <cell r="X98">
            <v>9</v>
          </cell>
          <cell r="AA98">
            <v>17</v>
          </cell>
        </row>
        <row r="99">
          <cell r="D99" t="str">
            <v>I19</v>
          </cell>
          <cell r="N99">
            <v>46245</v>
          </cell>
          <cell r="O99">
            <v>130</v>
          </cell>
          <cell r="Q99">
            <v>5</v>
          </cell>
          <cell r="T99">
            <v>12</v>
          </cell>
          <cell r="V99">
            <v>46246</v>
          </cell>
          <cell r="W99">
            <v>190</v>
          </cell>
          <cell r="X99">
            <v>8</v>
          </cell>
          <cell r="AA99">
            <v>15</v>
          </cell>
        </row>
        <row r="100">
          <cell r="D100" t="str">
            <v>I20</v>
          </cell>
          <cell r="N100">
            <v>46238</v>
          </cell>
          <cell r="O100">
            <v>108</v>
          </cell>
          <cell r="Q100">
            <v>8</v>
          </cell>
          <cell r="T100">
            <v>25</v>
          </cell>
          <cell r="V100">
            <v>46239</v>
          </cell>
          <cell r="W100">
            <v>230</v>
          </cell>
          <cell r="X100">
            <v>12</v>
          </cell>
          <cell r="AA100">
            <v>15</v>
          </cell>
        </row>
        <row r="101">
          <cell r="D101" t="str">
            <v>I21</v>
          </cell>
          <cell r="N101">
            <v>46238</v>
          </cell>
          <cell r="O101">
            <v>98</v>
          </cell>
          <cell r="Q101">
            <v>6</v>
          </cell>
          <cell r="T101">
            <v>16</v>
          </cell>
          <cell r="V101">
            <v>46239</v>
          </cell>
          <cell r="W101">
            <v>219</v>
          </cell>
          <cell r="X101">
            <v>17</v>
          </cell>
          <cell r="AA101">
            <v>12</v>
          </cell>
        </row>
        <row r="102">
          <cell r="D102" t="str">
            <v>I22</v>
          </cell>
          <cell r="V102">
            <v>46247</v>
          </cell>
          <cell r="W102">
            <v>187</v>
          </cell>
          <cell r="X102">
            <v>5</v>
          </cell>
          <cell r="AA102">
            <v>12</v>
          </cell>
        </row>
        <row r="103">
          <cell r="D103" t="str">
            <v>I23</v>
          </cell>
          <cell r="N103">
            <v>46246</v>
          </cell>
          <cell r="O103">
            <v>89</v>
          </cell>
          <cell r="Q103">
            <v>5</v>
          </cell>
          <cell r="T103">
            <v>8</v>
          </cell>
          <cell r="V103">
            <v>46247</v>
          </cell>
          <cell r="W103">
            <v>180</v>
          </cell>
          <cell r="X103">
            <v>12</v>
          </cell>
          <cell r="AA103">
            <v>11</v>
          </cell>
        </row>
        <row r="104">
          <cell r="D104" t="str">
            <v>I24</v>
          </cell>
          <cell r="N104">
            <v>46246</v>
          </cell>
          <cell r="O104">
            <v>102</v>
          </cell>
          <cell r="Q104">
            <v>6</v>
          </cell>
          <cell r="T104">
            <v>23</v>
          </cell>
          <cell r="V104">
            <v>46247</v>
          </cell>
          <cell r="W104">
            <v>165</v>
          </cell>
          <cell r="X104">
            <v>8</v>
          </cell>
          <cell r="AA104">
            <v>16</v>
          </cell>
        </row>
        <row r="105">
          <cell r="D105" t="str">
            <v>I25</v>
          </cell>
          <cell r="N105">
            <v>46239</v>
          </cell>
          <cell r="O105">
            <v>75</v>
          </cell>
          <cell r="Q105">
            <v>5</v>
          </cell>
          <cell r="T105">
            <v>18</v>
          </cell>
          <cell r="V105">
            <v>46240</v>
          </cell>
          <cell r="W105">
            <v>286</v>
          </cell>
          <cell r="X105">
            <v>17</v>
          </cell>
          <cell r="AA105">
            <v>14</v>
          </cell>
        </row>
        <row r="106">
          <cell r="D106" t="str">
            <v>I26</v>
          </cell>
          <cell r="N106">
            <v>46246</v>
          </cell>
          <cell r="O106">
            <v>82</v>
          </cell>
          <cell r="Q106">
            <v>5</v>
          </cell>
          <cell r="T106">
            <v>11</v>
          </cell>
          <cell r="V106">
            <v>46240</v>
          </cell>
          <cell r="W106">
            <v>234</v>
          </cell>
          <cell r="X106">
            <v>12</v>
          </cell>
          <cell r="AA106">
            <v>9</v>
          </cell>
        </row>
        <row r="107">
          <cell r="D107" t="str">
            <v>J16</v>
          </cell>
          <cell r="V107">
            <v>46237</v>
          </cell>
          <cell r="W107">
            <v>210</v>
          </cell>
          <cell r="X107">
            <v>17</v>
          </cell>
          <cell r="AA107">
            <v>13</v>
          </cell>
        </row>
        <row r="108">
          <cell r="D108" t="str">
            <v>J17</v>
          </cell>
          <cell r="V108">
            <v>46237</v>
          </cell>
          <cell r="W108">
            <v>205</v>
          </cell>
          <cell r="X108">
            <v>16</v>
          </cell>
          <cell r="AA108">
            <v>8</v>
          </cell>
        </row>
        <row r="109">
          <cell r="D109" t="str">
            <v>J18</v>
          </cell>
        </row>
        <row r="110">
          <cell r="D110" t="str">
            <v>J19</v>
          </cell>
        </row>
        <row r="111">
          <cell r="D111" t="str">
            <v>J20</v>
          </cell>
          <cell r="N111">
            <v>46235</v>
          </cell>
          <cell r="O111">
            <v>112</v>
          </cell>
          <cell r="Q111">
            <v>7</v>
          </cell>
          <cell r="T111">
            <v>9</v>
          </cell>
          <cell r="V111">
            <v>46238</v>
          </cell>
          <cell r="W111">
            <v>120</v>
          </cell>
          <cell r="X111">
            <v>7</v>
          </cell>
          <cell r="AA111">
            <v>10</v>
          </cell>
        </row>
        <row r="112">
          <cell r="D112" t="str">
            <v>J21</v>
          </cell>
          <cell r="N112">
            <v>46235</v>
          </cell>
          <cell r="O112">
            <v>105</v>
          </cell>
          <cell r="Q112">
            <v>6</v>
          </cell>
          <cell r="T112">
            <v>16</v>
          </cell>
          <cell r="V112">
            <v>46237</v>
          </cell>
          <cell r="W112">
            <v>176</v>
          </cell>
          <cell r="X112">
            <v>8</v>
          </cell>
          <cell r="AA112">
            <v>13</v>
          </cell>
        </row>
        <row r="113">
          <cell r="D113" t="str">
            <v>J22</v>
          </cell>
          <cell r="N113">
            <v>46240</v>
          </cell>
          <cell r="O113">
            <v>133</v>
          </cell>
          <cell r="Q113">
            <v>7</v>
          </cell>
          <cell r="T113">
            <v>19</v>
          </cell>
          <cell r="V113">
            <v>46241</v>
          </cell>
          <cell r="W113">
            <v>221</v>
          </cell>
          <cell r="X113">
            <v>17</v>
          </cell>
          <cell r="AA113">
            <v>18</v>
          </cell>
        </row>
        <row r="114">
          <cell r="D114" t="str">
            <v>J23</v>
          </cell>
          <cell r="N114">
            <v>46247</v>
          </cell>
          <cell r="O114">
            <v>68</v>
          </cell>
          <cell r="Q114">
            <v>5</v>
          </cell>
          <cell r="T114">
            <v>9</v>
          </cell>
          <cell r="V114">
            <v>46241</v>
          </cell>
          <cell r="W114">
            <v>276</v>
          </cell>
          <cell r="X114">
            <v>14</v>
          </cell>
          <cell r="AA114">
            <v>17</v>
          </cell>
        </row>
        <row r="115">
          <cell r="D115" t="str">
            <v>J24</v>
          </cell>
          <cell r="N115">
            <v>46247</v>
          </cell>
          <cell r="O115">
            <v>90</v>
          </cell>
          <cell r="Q115">
            <v>4</v>
          </cell>
          <cell r="T115">
            <v>8</v>
          </cell>
          <cell r="V115">
            <v>46248</v>
          </cell>
          <cell r="W115">
            <v>132</v>
          </cell>
          <cell r="X115">
            <v>6</v>
          </cell>
          <cell r="AA115">
            <v>9</v>
          </cell>
        </row>
        <row r="116">
          <cell r="D116" t="str">
            <v>J25</v>
          </cell>
          <cell r="N116">
            <v>46247</v>
          </cell>
          <cell r="O116">
            <v>100</v>
          </cell>
          <cell r="Q116">
            <v>8</v>
          </cell>
          <cell r="T116">
            <v>23</v>
          </cell>
          <cell r="V116">
            <v>46248</v>
          </cell>
          <cell r="W116">
            <v>187</v>
          </cell>
          <cell r="X116">
            <v>9</v>
          </cell>
          <cell r="AA116">
            <v>11</v>
          </cell>
        </row>
        <row r="117">
          <cell r="D117" t="str">
            <v>J26</v>
          </cell>
          <cell r="N117">
            <v>46247</v>
          </cell>
          <cell r="O117">
            <v>131</v>
          </cell>
          <cell r="Q117">
            <v>5</v>
          </cell>
          <cell r="T117">
            <v>8</v>
          </cell>
          <cell r="V117">
            <v>46248</v>
          </cell>
          <cell r="W117">
            <v>154</v>
          </cell>
          <cell r="X117">
            <v>10</v>
          </cell>
          <cell r="AA117">
            <v>13</v>
          </cell>
        </row>
        <row r="118">
          <cell r="D118" t="str">
            <v>J27</v>
          </cell>
          <cell r="N118">
            <v>46239</v>
          </cell>
          <cell r="O118">
            <v>96</v>
          </cell>
          <cell r="Q118">
            <v>5</v>
          </cell>
          <cell r="T118">
            <v>36</v>
          </cell>
          <cell r="V118">
            <v>46247</v>
          </cell>
          <cell r="W118">
            <v>98</v>
          </cell>
          <cell r="X118">
            <v>7</v>
          </cell>
          <cell r="AA118">
            <v>6</v>
          </cell>
        </row>
        <row r="119">
          <cell r="D119" t="str">
            <v>K17</v>
          </cell>
          <cell r="N119">
            <v>46242</v>
          </cell>
          <cell r="O119">
            <v>96</v>
          </cell>
          <cell r="Q119">
            <v>6</v>
          </cell>
          <cell r="T119">
            <v>37</v>
          </cell>
          <cell r="V119">
            <v>46244</v>
          </cell>
          <cell r="W119">
            <v>210</v>
          </cell>
          <cell r="X119">
            <v>10</v>
          </cell>
          <cell r="AA119">
            <v>13</v>
          </cell>
        </row>
        <row r="120">
          <cell r="D120" t="str">
            <v>K18</v>
          </cell>
          <cell r="N120">
            <v>46242</v>
          </cell>
          <cell r="O120">
            <v>106</v>
          </cell>
          <cell r="Q120">
            <v>6</v>
          </cell>
          <cell r="T120">
            <v>38</v>
          </cell>
          <cell r="V120">
            <v>46244</v>
          </cell>
          <cell r="W120">
            <v>150</v>
          </cell>
          <cell r="X120">
            <v>8</v>
          </cell>
          <cell r="AA120">
            <v>9</v>
          </cell>
        </row>
        <row r="121">
          <cell r="D121" t="str">
            <v>K19</v>
          </cell>
          <cell r="N121">
            <v>46244</v>
          </cell>
          <cell r="O121">
            <v>135</v>
          </cell>
          <cell r="Q121">
            <v>5</v>
          </cell>
          <cell r="T121">
            <v>9</v>
          </cell>
          <cell r="V121">
            <v>46245</v>
          </cell>
          <cell r="W121">
            <v>189</v>
          </cell>
          <cell r="X121">
            <v>9</v>
          </cell>
          <cell r="AA121">
            <v>14</v>
          </cell>
        </row>
        <row r="122">
          <cell r="D122" t="str">
            <v>K20</v>
          </cell>
          <cell r="N122">
            <v>46244</v>
          </cell>
          <cell r="O122">
            <v>167</v>
          </cell>
          <cell r="Q122">
            <v>7</v>
          </cell>
          <cell r="T122">
            <v>10</v>
          </cell>
          <cell r="V122">
            <v>46245</v>
          </cell>
          <cell r="W122">
            <v>194</v>
          </cell>
          <cell r="X122">
            <v>12</v>
          </cell>
          <cell r="AA122">
            <v>18</v>
          </cell>
        </row>
        <row r="123">
          <cell r="D123" t="str">
            <v>K21</v>
          </cell>
          <cell r="V123">
            <v>46235</v>
          </cell>
          <cell r="W123">
            <v>270</v>
          </cell>
          <cell r="X123">
            <v>11</v>
          </cell>
          <cell r="AA123">
            <v>13</v>
          </cell>
        </row>
        <row r="124">
          <cell r="D124" t="str">
            <v>K22</v>
          </cell>
          <cell r="N124">
            <v>46241</v>
          </cell>
          <cell r="O124">
            <v>103</v>
          </cell>
          <cell r="Q124">
            <v>7</v>
          </cell>
          <cell r="T124">
            <v>13</v>
          </cell>
          <cell r="V124">
            <v>46235</v>
          </cell>
          <cell r="W124">
            <v>239</v>
          </cell>
          <cell r="X124">
            <v>9</v>
          </cell>
          <cell r="AA124">
            <v>11</v>
          </cell>
        </row>
        <row r="125">
          <cell r="D125" t="str">
            <v>K23</v>
          </cell>
          <cell r="N125">
            <v>46241</v>
          </cell>
          <cell r="O125">
            <v>81</v>
          </cell>
          <cell r="Q125">
            <v>6</v>
          </cell>
          <cell r="T125">
            <v>17</v>
          </cell>
          <cell r="V125">
            <v>46242</v>
          </cell>
          <cell r="W125">
            <v>190</v>
          </cell>
          <cell r="X125">
            <v>10</v>
          </cell>
          <cell r="AA125">
            <v>14</v>
          </cell>
        </row>
        <row r="126">
          <cell r="D126" t="str">
            <v>K24</v>
          </cell>
          <cell r="N126">
            <v>46248</v>
          </cell>
          <cell r="O126">
            <v>98</v>
          </cell>
          <cell r="Q126">
            <v>5</v>
          </cell>
          <cell r="T126">
            <v>20</v>
          </cell>
        </row>
        <row r="127">
          <cell r="D127" t="str">
            <v>K25</v>
          </cell>
          <cell r="N127">
            <v>46248</v>
          </cell>
          <cell r="O127">
            <v>70</v>
          </cell>
          <cell r="Q127">
            <v>3</v>
          </cell>
          <cell r="T127">
            <v>14</v>
          </cell>
        </row>
        <row r="128">
          <cell r="D128" t="str">
            <v>K26</v>
          </cell>
          <cell r="N128">
            <v>46248</v>
          </cell>
          <cell r="O128">
            <v>111</v>
          </cell>
          <cell r="Q128">
            <v>6</v>
          </cell>
          <cell r="T128">
            <v>13</v>
          </cell>
        </row>
        <row r="129">
          <cell r="D129" t="str">
            <v>K27</v>
          </cell>
          <cell r="N129">
            <v>46248</v>
          </cell>
          <cell r="O129">
            <v>132</v>
          </cell>
          <cell r="Q129">
            <v>5</v>
          </cell>
          <cell r="T129">
            <v>11</v>
          </cell>
        </row>
        <row r="130">
          <cell r="D130" t="str">
            <v>K28</v>
          </cell>
          <cell r="N130">
            <v>46240</v>
          </cell>
          <cell r="O130">
            <v>58</v>
          </cell>
          <cell r="Q130">
            <v>3</v>
          </cell>
          <cell r="T130">
            <v>15</v>
          </cell>
          <cell r="V130">
            <v>46242</v>
          </cell>
          <cell r="W130">
            <v>120</v>
          </cell>
          <cell r="X130">
            <v>9</v>
          </cell>
          <cell r="AA130">
            <v>13</v>
          </cell>
        </row>
        <row r="131">
          <cell r="D131" t="str">
            <v>H09</v>
          </cell>
          <cell r="N131">
            <v>46241</v>
          </cell>
          <cell r="O131">
            <v>56</v>
          </cell>
          <cell r="Q131">
            <v>2</v>
          </cell>
          <cell r="T131">
            <v>5</v>
          </cell>
          <cell r="V131">
            <v>46242</v>
          </cell>
          <cell r="W131">
            <v>211</v>
          </cell>
          <cell r="X131">
            <v>12</v>
          </cell>
          <cell r="AA131">
            <v>13</v>
          </cell>
        </row>
        <row r="132">
          <cell r="D132" t="str">
            <v>H10</v>
          </cell>
          <cell r="N132">
            <v>46241</v>
          </cell>
          <cell r="O132">
            <v>46</v>
          </cell>
          <cell r="Q132">
            <v>4</v>
          </cell>
          <cell r="T132">
            <v>8</v>
          </cell>
          <cell r="V132">
            <v>46244</v>
          </cell>
          <cell r="W132">
            <v>192</v>
          </cell>
          <cell r="X132">
            <v>11</v>
          </cell>
          <cell r="AA132">
            <v>15</v>
          </cell>
        </row>
        <row r="133">
          <cell r="D133" t="str">
            <v>H11</v>
          </cell>
          <cell r="N133">
            <v>46242</v>
          </cell>
          <cell r="O133">
            <v>46</v>
          </cell>
          <cell r="Q133">
            <v>4</v>
          </cell>
          <cell r="T133">
            <v>11</v>
          </cell>
          <cell r="V133">
            <v>46244</v>
          </cell>
          <cell r="W133">
            <v>231</v>
          </cell>
          <cell r="X133">
            <v>13</v>
          </cell>
          <cell r="AA133">
            <v>10</v>
          </cell>
        </row>
        <row r="134">
          <cell r="D134" t="str">
            <v>H12</v>
          </cell>
          <cell r="N134">
            <v>46242</v>
          </cell>
          <cell r="O134">
            <v>55</v>
          </cell>
          <cell r="Q134">
            <v>3</v>
          </cell>
          <cell r="T134">
            <v>9</v>
          </cell>
          <cell r="V134">
            <v>46245</v>
          </cell>
          <cell r="W134">
            <v>222</v>
          </cell>
          <cell r="X134">
            <v>10</v>
          </cell>
          <cell r="AA134">
            <v>15</v>
          </cell>
        </row>
        <row r="135">
          <cell r="D135" t="str">
            <v>H13</v>
          </cell>
          <cell r="N135">
            <v>46248</v>
          </cell>
          <cell r="O135">
            <v>47</v>
          </cell>
          <cell r="Q135">
            <v>3</v>
          </cell>
          <cell r="T135">
            <v>5</v>
          </cell>
          <cell r="V135">
            <v>46235</v>
          </cell>
          <cell r="W135">
            <v>211</v>
          </cell>
          <cell r="X135">
            <v>12</v>
          </cell>
          <cell r="AA135">
            <v>8</v>
          </cell>
        </row>
        <row r="136">
          <cell r="D136" t="str">
            <v>H14</v>
          </cell>
          <cell r="N136">
            <v>46248</v>
          </cell>
          <cell r="O136">
            <v>57</v>
          </cell>
          <cell r="Q136">
            <v>4</v>
          </cell>
          <cell r="T136">
            <v>5</v>
          </cell>
          <cell r="V136">
            <v>46235</v>
          </cell>
          <cell r="W136">
            <v>257</v>
          </cell>
          <cell r="X136">
            <v>14</v>
          </cell>
          <cell r="AA136">
            <v>15</v>
          </cell>
        </row>
        <row r="137">
          <cell r="D137" t="str">
            <v>H15</v>
          </cell>
          <cell r="N137">
            <v>46248</v>
          </cell>
          <cell r="O137">
            <v>59</v>
          </cell>
          <cell r="Q137">
            <v>4</v>
          </cell>
          <cell r="T137">
            <v>11</v>
          </cell>
          <cell r="V137">
            <v>46247</v>
          </cell>
          <cell r="W137">
            <v>110</v>
          </cell>
          <cell r="X137">
            <v>6</v>
          </cell>
          <cell r="AA137">
            <v>15</v>
          </cell>
        </row>
        <row r="138">
          <cell r="D138" t="str">
            <v>I09</v>
          </cell>
          <cell r="N138">
            <v>46246</v>
          </cell>
          <cell r="O138">
            <v>75</v>
          </cell>
          <cell r="Q138">
            <v>6</v>
          </cell>
          <cell r="T138">
            <v>13</v>
          </cell>
          <cell r="V138">
            <v>46247</v>
          </cell>
          <cell r="W138">
            <v>132</v>
          </cell>
          <cell r="X138">
            <v>8</v>
          </cell>
          <cell r="AA138">
            <v>10</v>
          </cell>
        </row>
        <row r="139">
          <cell r="D139" t="str">
            <v>I10</v>
          </cell>
          <cell r="N139">
            <v>46247</v>
          </cell>
          <cell r="O139">
            <v>54</v>
          </cell>
          <cell r="Q139">
            <v>3</v>
          </cell>
          <cell r="T139">
            <v>6</v>
          </cell>
          <cell r="V139">
            <v>46248</v>
          </cell>
          <cell r="W139">
            <v>216</v>
          </cell>
          <cell r="X139">
            <v>9</v>
          </cell>
          <cell r="AA139">
            <v>13</v>
          </cell>
        </row>
        <row r="140">
          <cell r="D140" t="str">
            <v>I11</v>
          </cell>
          <cell r="N140">
            <v>46240</v>
          </cell>
          <cell r="O140">
            <v>60</v>
          </cell>
          <cell r="Q140">
            <v>3</v>
          </cell>
          <cell r="T140">
            <v>7</v>
          </cell>
          <cell r="V140">
            <v>46245</v>
          </cell>
          <cell r="W140">
            <v>233</v>
          </cell>
          <cell r="X140">
            <v>14</v>
          </cell>
          <cell r="AA140">
            <v>15</v>
          </cell>
        </row>
        <row r="141">
          <cell r="D141" t="str">
            <v>I12</v>
          </cell>
          <cell r="N141">
            <v>46240</v>
          </cell>
          <cell r="O141">
            <v>57</v>
          </cell>
          <cell r="Q141">
            <v>4</v>
          </cell>
          <cell r="T141">
            <v>10</v>
          </cell>
          <cell r="V141">
            <v>46241</v>
          </cell>
          <cell r="W141">
            <v>290</v>
          </cell>
          <cell r="X141">
            <v>16</v>
          </cell>
          <cell r="AA141">
            <v>20</v>
          </cell>
        </row>
        <row r="142">
          <cell r="D142" t="str">
            <v>I13</v>
          </cell>
          <cell r="N142">
            <v>46239</v>
          </cell>
          <cell r="O142">
            <v>57</v>
          </cell>
          <cell r="Q142">
            <v>3</v>
          </cell>
          <cell r="T142">
            <v>24</v>
          </cell>
          <cell r="V142">
            <v>46241</v>
          </cell>
          <cell r="W142">
            <v>225</v>
          </cell>
          <cell r="X142">
            <v>15</v>
          </cell>
          <cell r="AA142">
            <v>14</v>
          </cell>
        </row>
        <row r="143">
          <cell r="D143" t="str">
            <v>I14</v>
          </cell>
          <cell r="N143">
            <v>46247</v>
          </cell>
          <cell r="O143">
            <v>72</v>
          </cell>
          <cell r="Q143">
            <v>5</v>
          </cell>
          <cell r="T143">
            <v>8</v>
          </cell>
          <cell r="V143">
            <v>46248</v>
          </cell>
          <cell r="W143">
            <v>210</v>
          </cell>
          <cell r="X143">
            <v>11</v>
          </cell>
          <cell r="AA143">
            <v>16</v>
          </cell>
        </row>
        <row r="144">
          <cell r="D144" t="str">
            <v>I15</v>
          </cell>
          <cell r="N144">
            <v>46247</v>
          </cell>
          <cell r="O144">
            <v>58</v>
          </cell>
          <cell r="Q144">
            <v>4</v>
          </cell>
          <cell r="T144">
            <v>10</v>
          </cell>
          <cell r="V144">
            <v>46240</v>
          </cell>
          <cell r="W144">
            <v>210</v>
          </cell>
          <cell r="X144">
            <v>12</v>
          </cell>
          <cell r="AA144">
            <v>10</v>
          </cell>
        </row>
        <row r="145">
          <cell r="D145" t="str">
            <v>J09</v>
          </cell>
          <cell r="N145">
            <v>46246</v>
          </cell>
          <cell r="O145">
            <v>53</v>
          </cell>
          <cell r="Q145">
            <v>3</v>
          </cell>
          <cell r="T145">
            <v>42</v>
          </cell>
          <cell r="V145">
            <v>46238</v>
          </cell>
          <cell r="W145">
            <v>208</v>
          </cell>
          <cell r="X145">
            <v>12</v>
          </cell>
          <cell r="AA145">
            <v>15</v>
          </cell>
        </row>
        <row r="146">
          <cell r="D146" t="str">
            <v>J10</v>
          </cell>
          <cell r="N146">
            <v>46237</v>
          </cell>
          <cell r="O146">
            <v>114</v>
          </cell>
          <cell r="Q146">
            <v>6</v>
          </cell>
          <cell r="T146">
            <v>12</v>
          </cell>
          <cell r="V146">
            <v>46238</v>
          </cell>
          <cell r="W146">
            <v>219</v>
          </cell>
          <cell r="X146">
            <v>17</v>
          </cell>
          <cell r="AA146">
            <v>19</v>
          </cell>
        </row>
        <row r="147">
          <cell r="D147" t="str">
            <v>J11</v>
          </cell>
          <cell r="N147">
            <v>46237</v>
          </cell>
          <cell r="O147">
            <v>60</v>
          </cell>
          <cell r="Q147">
            <v>4</v>
          </cell>
          <cell r="T147">
            <v>29</v>
          </cell>
          <cell r="V147">
            <v>46239</v>
          </cell>
          <cell r="W147">
            <v>253</v>
          </cell>
          <cell r="X147">
            <v>13</v>
          </cell>
          <cell r="AA147">
            <v>14</v>
          </cell>
        </row>
        <row r="148">
          <cell r="D148" t="str">
            <v>J12</v>
          </cell>
          <cell r="N148">
            <v>46246</v>
          </cell>
          <cell r="O148">
            <v>110</v>
          </cell>
          <cell r="Q148">
            <v>7</v>
          </cell>
          <cell r="T148">
            <v>40</v>
          </cell>
          <cell r="V148">
            <v>46239</v>
          </cell>
          <cell r="W148">
            <v>195</v>
          </cell>
          <cell r="X148">
            <v>12</v>
          </cell>
          <cell r="AA148">
            <v>9</v>
          </cell>
        </row>
        <row r="149">
          <cell r="D149" t="str">
            <v>J13</v>
          </cell>
          <cell r="N149">
            <v>46238</v>
          </cell>
          <cell r="O149">
            <v>58</v>
          </cell>
          <cell r="Q149">
            <v>3</v>
          </cell>
          <cell r="T149">
            <v>15</v>
          </cell>
          <cell r="V149">
            <v>46247</v>
          </cell>
          <cell r="W149">
            <v>135</v>
          </cell>
          <cell r="X149">
            <v>7</v>
          </cell>
          <cell r="AA149">
            <v>13</v>
          </cell>
        </row>
        <row r="150">
          <cell r="D150" t="str">
            <v>J14</v>
          </cell>
          <cell r="N150">
            <v>46238</v>
          </cell>
          <cell r="O150">
            <v>58</v>
          </cell>
          <cell r="Q150">
            <v>3</v>
          </cell>
          <cell r="T150">
            <v>16</v>
          </cell>
          <cell r="V150">
            <v>46247</v>
          </cell>
          <cell r="W150">
            <v>165</v>
          </cell>
          <cell r="X150">
            <v>9</v>
          </cell>
          <cell r="AA150">
            <v>10</v>
          </cell>
        </row>
        <row r="151">
          <cell r="D151" t="str">
            <v>J15</v>
          </cell>
          <cell r="N151">
            <v>46239</v>
          </cell>
          <cell r="O151">
            <v>71</v>
          </cell>
          <cell r="Q151">
            <v>4</v>
          </cell>
          <cell r="T151">
            <v>7</v>
          </cell>
          <cell r="V151">
            <v>46240</v>
          </cell>
          <cell r="W151">
            <v>204</v>
          </cell>
          <cell r="X151">
            <v>14</v>
          </cell>
          <cell r="AA151">
            <v>10</v>
          </cell>
        </row>
        <row r="152">
          <cell r="D152" t="str">
            <v>K10</v>
          </cell>
        </row>
        <row r="153">
          <cell r="D153" t="str">
            <v>K11</v>
          </cell>
          <cell r="N153">
            <v>46245</v>
          </cell>
          <cell r="O153">
            <v>60</v>
          </cell>
          <cell r="Q153">
            <v>3</v>
          </cell>
          <cell r="T153">
            <v>25</v>
          </cell>
          <cell r="V153">
            <v>46246</v>
          </cell>
          <cell r="W153">
            <v>211</v>
          </cell>
          <cell r="X153">
            <v>10</v>
          </cell>
          <cell r="AA153">
            <v>14</v>
          </cell>
        </row>
        <row r="154">
          <cell r="D154" t="str">
            <v>K12</v>
          </cell>
        </row>
        <row r="155">
          <cell r="D155" t="str">
            <v>K13</v>
          </cell>
          <cell r="N155">
            <v>46245</v>
          </cell>
          <cell r="O155">
            <v>57</v>
          </cell>
          <cell r="Q155">
            <v>3</v>
          </cell>
          <cell r="T155">
            <v>13</v>
          </cell>
          <cell r="V155">
            <v>46246</v>
          </cell>
          <cell r="W155">
            <v>176</v>
          </cell>
          <cell r="X155">
            <v>11</v>
          </cell>
          <cell r="AA155">
            <v>21</v>
          </cell>
        </row>
        <row r="156">
          <cell r="D156" t="str">
            <v>K14</v>
          </cell>
          <cell r="N156">
            <v>46235</v>
          </cell>
          <cell r="O156">
            <v>115</v>
          </cell>
          <cell r="Q156">
            <v>6</v>
          </cell>
          <cell r="T156">
            <v>9</v>
          </cell>
          <cell r="V156">
            <v>46237</v>
          </cell>
          <cell r="W156">
            <v>219</v>
          </cell>
          <cell r="X156">
            <v>14</v>
          </cell>
          <cell r="AA156">
            <v>11</v>
          </cell>
        </row>
        <row r="157">
          <cell r="D157" t="str">
            <v>K15</v>
          </cell>
          <cell r="N157">
            <v>46244</v>
          </cell>
          <cell r="O157">
            <v>210</v>
          </cell>
          <cell r="Q157">
            <v>6</v>
          </cell>
          <cell r="T157">
            <v>9</v>
          </cell>
          <cell r="V157">
            <v>46237</v>
          </cell>
          <cell r="W157">
            <v>214</v>
          </cell>
          <cell r="X157">
            <v>12</v>
          </cell>
          <cell r="AA157">
            <v>10</v>
          </cell>
        </row>
        <row r="158">
          <cell r="D158" t="str">
            <v>K16</v>
          </cell>
          <cell r="N158">
            <v>46235</v>
          </cell>
          <cell r="O158">
            <v>58</v>
          </cell>
          <cell r="Q158">
            <v>2</v>
          </cell>
          <cell r="T158">
            <v>45</v>
          </cell>
        </row>
        <row r="159">
          <cell r="D159" t="str">
            <v>L10</v>
          </cell>
          <cell r="N159">
            <v>46242</v>
          </cell>
          <cell r="O159">
            <v>136</v>
          </cell>
          <cell r="Q159">
            <v>8</v>
          </cell>
          <cell r="T159">
            <v>0</v>
          </cell>
          <cell r="V159">
            <v>46244</v>
          </cell>
          <cell r="W159">
            <v>203</v>
          </cell>
          <cell r="X159">
            <v>8</v>
          </cell>
          <cell r="AA159">
            <v>0</v>
          </cell>
        </row>
        <row r="160">
          <cell r="D160" t="str">
            <v>L11</v>
          </cell>
          <cell r="N160">
            <v>46242</v>
          </cell>
          <cell r="O160">
            <v>118</v>
          </cell>
          <cell r="Q160">
            <v>6</v>
          </cell>
          <cell r="T160">
            <v>0</v>
          </cell>
          <cell r="V160">
            <v>46244</v>
          </cell>
          <cell r="W160">
            <v>223</v>
          </cell>
          <cell r="X160">
            <v>9</v>
          </cell>
          <cell r="AA160">
            <v>0</v>
          </cell>
        </row>
        <row r="161">
          <cell r="D161" t="str">
            <v>L12</v>
          </cell>
          <cell r="N161">
            <v>46242</v>
          </cell>
          <cell r="O161">
            <v>119</v>
          </cell>
          <cell r="Q161">
            <v>21</v>
          </cell>
          <cell r="T161">
            <v>0</v>
          </cell>
          <cell r="V161">
            <v>46244</v>
          </cell>
          <cell r="W161">
            <v>215</v>
          </cell>
          <cell r="X161">
            <v>20</v>
          </cell>
          <cell r="AA161">
            <v>0</v>
          </cell>
        </row>
        <row r="162">
          <cell r="D162" t="str">
            <v>L13</v>
          </cell>
          <cell r="T162">
            <v>0</v>
          </cell>
          <cell r="AA162">
            <v>0</v>
          </cell>
        </row>
        <row r="163">
          <cell r="D163" t="str">
            <v>L14</v>
          </cell>
          <cell r="N163">
            <v>46244</v>
          </cell>
          <cell r="O163">
            <v>112</v>
          </cell>
          <cell r="Q163">
            <v>6</v>
          </cell>
          <cell r="T163">
            <v>0</v>
          </cell>
          <cell r="V163">
            <v>46245</v>
          </cell>
          <cell r="W163">
            <v>289</v>
          </cell>
          <cell r="X163">
            <v>5</v>
          </cell>
          <cell r="AA163">
            <v>0</v>
          </cell>
        </row>
        <row r="164">
          <cell r="D164" t="str">
            <v>L15</v>
          </cell>
          <cell r="T164">
            <v>0</v>
          </cell>
          <cell r="V164">
            <v>46246</v>
          </cell>
          <cell r="W164">
            <v>260</v>
          </cell>
          <cell r="X164">
            <v>3</v>
          </cell>
          <cell r="AA164">
            <v>0</v>
          </cell>
        </row>
        <row r="165">
          <cell r="D165" t="str">
            <v>L16</v>
          </cell>
          <cell r="T165">
            <v>0</v>
          </cell>
          <cell r="AA165">
            <v>0</v>
          </cell>
        </row>
        <row r="166">
          <cell r="D166" t="str">
            <v>L17</v>
          </cell>
          <cell r="T166">
            <v>0</v>
          </cell>
          <cell r="AA166">
            <v>0</v>
          </cell>
        </row>
        <row r="167">
          <cell r="D167" t="str">
            <v>M10</v>
          </cell>
          <cell r="T167">
            <v>0</v>
          </cell>
          <cell r="AA167">
            <v>0</v>
          </cell>
        </row>
        <row r="168">
          <cell r="D168" t="str">
            <v>M11</v>
          </cell>
          <cell r="N168">
            <v>46239</v>
          </cell>
          <cell r="O168">
            <v>112</v>
          </cell>
          <cell r="Q168">
            <v>4</v>
          </cell>
          <cell r="T168">
            <v>0</v>
          </cell>
          <cell r="V168">
            <v>46240</v>
          </cell>
          <cell r="W168">
            <v>250</v>
          </cell>
          <cell r="X168">
            <v>4</v>
          </cell>
          <cell r="AA168">
            <v>0</v>
          </cell>
        </row>
        <row r="169">
          <cell r="D169" t="str">
            <v>M12</v>
          </cell>
          <cell r="N169">
            <v>46239</v>
          </cell>
          <cell r="O169">
            <v>110</v>
          </cell>
          <cell r="Q169">
            <v>3</v>
          </cell>
          <cell r="T169">
            <v>0</v>
          </cell>
          <cell r="V169">
            <v>46240</v>
          </cell>
          <cell r="W169">
            <v>270</v>
          </cell>
          <cell r="X169">
            <v>3</v>
          </cell>
          <cell r="AA169">
            <v>0</v>
          </cell>
        </row>
        <row r="170">
          <cell r="D170" t="str">
            <v>M13</v>
          </cell>
          <cell r="N170">
            <v>46239</v>
          </cell>
          <cell r="O170">
            <v>56</v>
          </cell>
          <cell r="Q170">
            <v>2</v>
          </cell>
          <cell r="T170">
            <v>0</v>
          </cell>
          <cell r="V170">
            <v>46240</v>
          </cell>
          <cell r="W170">
            <v>225</v>
          </cell>
          <cell r="X170">
            <v>8</v>
          </cell>
          <cell r="AA170">
            <v>0</v>
          </cell>
        </row>
        <row r="171">
          <cell r="D171" t="str">
            <v>M14</v>
          </cell>
          <cell r="T171">
            <v>0</v>
          </cell>
          <cell r="AA171">
            <v>0</v>
          </cell>
        </row>
        <row r="172">
          <cell r="D172" t="str">
            <v>M15</v>
          </cell>
          <cell r="T172">
            <v>0</v>
          </cell>
          <cell r="AA172">
            <v>0</v>
          </cell>
        </row>
        <row r="173">
          <cell r="D173" t="str">
            <v>M16</v>
          </cell>
          <cell r="N173">
            <v>46244</v>
          </cell>
          <cell r="O173">
            <v>118</v>
          </cell>
          <cell r="Q173">
            <v>15</v>
          </cell>
          <cell r="T173">
            <v>0</v>
          </cell>
          <cell r="V173">
            <v>46245</v>
          </cell>
          <cell r="W173">
            <v>220</v>
          </cell>
          <cell r="X173">
            <v>25</v>
          </cell>
          <cell r="AA173">
            <v>0</v>
          </cell>
        </row>
        <row r="174">
          <cell r="D174" t="str">
            <v>M17</v>
          </cell>
          <cell r="N174">
            <v>46244</v>
          </cell>
          <cell r="O174">
            <v>114</v>
          </cell>
          <cell r="Q174">
            <v>10</v>
          </cell>
          <cell r="T174">
            <v>0</v>
          </cell>
          <cell r="V174">
            <v>46245</v>
          </cell>
          <cell r="W174">
            <v>205</v>
          </cell>
          <cell r="X174">
            <v>28</v>
          </cell>
          <cell r="AA174">
            <v>0</v>
          </cell>
        </row>
        <row r="175">
          <cell r="D175" t="str">
            <v>N10</v>
          </cell>
          <cell r="N175">
            <v>46239</v>
          </cell>
          <cell r="O175">
            <v>132</v>
          </cell>
          <cell r="Q175">
            <v>2</v>
          </cell>
          <cell r="T175">
            <v>0</v>
          </cell>
          <cell r="V175">
            <v>46240</v>
          </cell>
          <cell r="W175">
            <v>220</v>
          </cell>
          <cell r="X175">
            <v>8</v>
          </cell>
          <cell r="AA175">
            <v>0</v>
          </cell>
        </row>
        <row r="176">
          <cell r="D176" t="str">
            <v>N11</v>
          </cell>
          <cell r="N176">
            <v>46239</v>
          </cell>
          <cell r="O176">
            <v>52</v>
          </cell>
          <cell r="Q176">
            <v>5</v>
          </cell>
          <cell r="T176">
            <v>0</v>
          </cell>
          <cell r="V176">
            <v>46241</v>
          </cell>
          <cell r="W176">
            <v>250</v>
          </cell>
          <cell r="X176">
            <v>2</v>
          </cell>
          <cell r="AA176">
            <v>0</v>
          </cell>
        </row>
        <row r="177">
          <cell r="D177" t="str">
            <v>N12</v>
          </cell>
          <cell r="T177">
            <v>0</v>
          </cell>
          <cell r="AA177">
            <v>0</v>
          </cell>
        </row>
        <row r="178">
          <cell r="D178" t="str">
            <v>N13</v>
          </cell>
          <cell r="N178">
            <v>46244</v>
          </cell>
          <cell r="O178">
            <v>112</v>
          </cell>
          <cell r="Q178">
            <v>6</v>
          </cell>
          <cell r="T178">
            <v>0</v>
          </cell>
          <cell r="V178">
            <v>46245</v>
          </cell>
          <cell r="W178">
            <v>208</v>
          </cell>
          <cell r="X178">
            <v>8</v>
          </cell>
          <cell r="AA178">
            <v>0</v>
          </cell>
        </row>
        <row r="179">
          <cell r="D179" t="str">
            <v>N14</v>
          </cell>
          <cell r="T179">
            <v>0</v>
          </cell>
          <cell r="AA179">
            <v>0</v>
          </cell>
        </row>
        <row r="180">
          <cell r="D180" t="str">
            <v>N15</v>
          </cell>
          <cell r="T180">
            <v>0</v>
          </cell>
          <cell r="V180">
            <v>46247</v>
          </cell>
          <cell r="W180">
            <v>181</v>
          </cell>
          <cell r="X180">
            <v>6</v>
          </cell>
          <cell r="AA180">
            <v>0</v>
          </cell>
        </row>
        <row r="181">
          <cell r="D181" t="str">
            <v>N16</v>
          </cell>
          <cell r="T181">
            <v>0</v>
          </cell>
          <cell r="AA181">
            <v>0</v>
          </cell>
        </row>
        <row r="182">
          <cell r="D182" t="str">
            <v>N17</v>
          </cell>
          <cell r="T182">
            <v>0</v>
          </cell>
          <cell r="AA182">
            <v>0</v>
          </cell>
        </row>
        <row r="183">
          <cell r="D183" t="str">
            <v>O10</v>
          </cell>
          <cell r="N183">
            <v>46239</v>
          </cell>
          <cell r="O183">
            <v>128</v>
          </cell>
          <cell r="Q183">
            <v>3</v>
          </cell>
          <cell r="T183">
            <v>0</v>
          </cell>
          <cell r="V183">
            <v>46241</v>
          </cell>
          <cell r="W183">
            <v>231</v>
          </cell>
          <cell r="X183">
            <v>4</v>
          </cell>
          <cell r="AA183">
            <v>0</v>
          </cell>
        </row>
        <row r="184">
          <cell r="D184" t="str">
            <v>O11</v>
          </cell>
          <cell r="N184">
            <v>46238</v>
          </cell>
          <cell r="O184">
            <v>112</v>
          </cell>
          <cell r="Q184">
            <v>7</v>
          </cell>
          <cell r="T184">
            <v>0</v>
          </cell>
          <cell r="V184">
            <v>46240</v>
          </cell>
          <cell r="W184">
            <v>152</v>
          </cell>
          <cell r="X184">
            <v>0</v>
          </cell>
          <cell r="AA184">
            <v>0</v>
          </cell>
        </row>
        <row r="185">
          <cell r="D185" t="str">
            <v>O12</v>
          </cell>
          <cell r="N185">
            <v>46238</v>
          </cell>
          <cell r="O185">
            <v>55</v>
          </cell>
          <cell r="Q185">
            <v>3</v>
          </cell>
          <cell r="T185">
            <v>0</v>
          </cell>
          <cell r="V185">
            <v>46240</v>
          </cell>
          <cell r="W185">
            <v>195</v>
          </cell>
          <cell r="X185">
            <v>6</v>
          </cell>
          <cell r="AA185">
            <v>0</v>
          </cell>
        </row>
        <row r="186">
          <cell r="D186" t="str">
            <v>O13</v>
          </cell>
          <cell r="N186">
            <v>46239</v>
          </cell>
          <cell r="O186">
            <v>118</v>
          </cell>
          <cell r="Q186">
            <v>21</v>
          </cell>
          <cell r="T186">
            <v>0</v>
          </cell>
          <cell r="V186">
            <v>46240</v>
          </cell>
          <cell r="W186">
            <v>203</v>
          </cell>
          <cell r="X186">
            <v>8</v>
          </cell>
          <cell r="AA186">
            <v>0</v>
          </cell>
        </row>
        <row r="187">
          <cell r="D187" t="str">
            <v>O14</v>
          </cell>
          <cell r="N187">
            <v>46247</v>
          </cell>
          <cell r="O187">
            <v>119</v>
          </cell>
          <cell r="Q187">
            <v>11</v>
          </cell>
          <cell r="T187">
            <v>0</v>
          </cell>
          <cell r="AA187">
            <v>0</v>
          </cell>
        </row>
        <row r="188">
          <cell r="D188" t="str">
            <v>O15</v>
          </cell>
          <cell r="T188">
            <v>0</v>
          </cell>
          <cell r="AA188">
            <v>0</v>
          </cell>
        </row>
        <row r="189">
          <cell r="D189" t="str">
            <v>O16</v>
          </cell>
          <cell r="T189">
            <v>0</v>
          </cell>
          <cell r="AA189">
            <v>0</v>
          </cell>
        </row>
        <row r="190">
          <cell r="D190" t="str">
            <v>O17</v>
          </cell>
          <cell r="T190">
            <v>0</v>
          </cell>
          <cell r="AA190">
            <v>0</v>
          </cell>
        </row>
        <row r="191">
          <cell r="D191" t="str">
            <v>P10</v>
          </cell>
          <cell r="N191">
            <v>46241</v>
          </cell>
          <cell r="O191">
            <v>125</v>
          </cell>
          <cell r="Q191">
            <v>12</v>
          </cell>
          <cell r="T191">
            <v>0</v>
          </cell>
          <cell r="V191">
            <v>46242</v>
          </cell>
          <cell r="W191">
            <v>207</v>
          </cell>
          <cell r="X191">
            <v>12</v>
          </cell>
          <cell r="AA191">
            <v>0</v>
          </cell>
        </row>
        <row r="192">
          <cell r="D192" t="str">
            <v>P11</v>
          </cell>
          <cell r="N192">
            <v>46241</v>
          </cell>
          <cell r="O192">
            <v>112</v>
          </cell>
          <cell r="Q192">
            <v>8</v>
          </cell>
          <cell r="T192">
            <v>0</v>
          </cell>
          <cell r="V192">
            <v>46242</v>
          </cell>
          <cell r="W192">
            <v>205</v>
          </cell>
          <cell r="X192">
            <v>13</v>
          </cell>
          <cell r="AA192">
            <v>0</v>
          </cell>
        </row>
        <row r="193">
          <cell r="D193" t="str">
            <v>P12</v>
          </cell>
          <cell r="N193">
            <v>46240</v>
          </cell>
          <cell r="O193">
            <v>113</v>
          </cell>
          <cell r="Q193">
            <v>4</v>
          </cell>
          <cell r="T193">
            <v>0</v>
          </cell>
          <cell r="V193">
            <v>46241</v>
          </cell>
          <cell r="W193">
            <v>202</v>
          </cell>
          <cell r="X193">
            <v>18</v>
          </cell>
          <cell r="AA193">
            <v>0</v>
          </cell>
        </row>
        <row r="194">
          <cell r="D194" t="str">
            <v>P13</v>
          </cell>
          <cell r="N194">
            <v>46240</v>
          </cell>
          <cell r="O194">
            <v>115</v>
          </cell>
          <cell r="Q194">
            <v>5</v>
          </cell>
          <cell r="T194">
            <v>0</v>
          </cell>
          <cell r="V194">
            <v>46241</v>
          </cell>
          <cell r="W194">
            <v>215</v>
          </cell>
          <cell r="X194">
            <v>12</v>
          </cell>
          <cell r="AA194">
            <v>0</v>
          </cell>
        </row>
        <row r="195">
          <cell r="D195" t="str">
            <v>P14</v>
          </cell>
          <cell r="N195">
            <v>46235</v>
          </cell>
          <cell r="O195">
            <v>116</v>
          </cell>
          <cell r="Q195">
            <v>9</v>
          </cell>
          <cell r="T195">
            <v>0</v>
          </cell>
          <cell r="V195">
            <v>46236</v>
          </cell>
          <cell r="W195">
            <v>185</v>
          </cell>
          <cell r="X195">
            <v>9</v>
          </cell>
          <cell r="AA195">
            <v>0</v>
          </cell>
        </row>
        <row r="196">
          <cell r="D196" t="str">
            <v>P15</v>
          </cell>
          <cell r="N196">
            <v>46235</v>
          </cell>
          <cell r="O196">
            <v>112</v>
          </cell>
          <cell r="Q196">
            <v>4</v>
          </cell>
          <cell r="T196">
            <v>0</v>
          </cell>
          <cell r="V196">
            <v>46236</v>
          </cell>
          <cell r="W196">
            <v>178</v>
          </cell>
          <cell r="X196">
            <v>11</v>
          </cell>
          <cell r="AA196">
            <v>0</v>
          </cell>
        </row>
        <row r="197">
          <cell r="D197" t="str">
            <v>P16</v>
          </cell>
          <cell r="N197">
            <v>46235</v>
          </cell>
          <cell r="O197">
            <v>113</v>
          </cell>
          <cell r="Q197">
            <v>8</v>
          </cell>
          <cell r="T197">
            <v>0</v>
          </cell>
          <cell r="V197">
            <v>46236</v>
          </cell>
          <cell r="W197">
            <v>192</v>
          </cell>
          <cell r="X197">
            <v>13</v>
          </cell>
          <cell r="AA197">
            <v>0</v>
          </cell>
        </row>
        <row r="198">
          <cell r="D198" t="str">
            <v>Q12</v>
          </cell>
          <cell r="N198">
            <v>46237</v>
          </cell>
          <cell r="O198">
            <v>55</v>
          </cell>
          <cell r="Q198">
            <v>4</v>
          </cell>
          <cell r="T198">
            <v>0</v>
          </cell>
          <cell r="V198">
            <v>46238</v>
          </cell>
          <cell r="W198">
            <v>205</v>
          </cell>
          <cell r="X198">
            <v>12</v>
          </cell>
          <cell r="AA198">
            <v>0</v>
          </cell>
        </row>
        <row r="199">
          <cell r="D199" t="str">
            <v>Q13</v>
          </cell>
          <cell r="N199">
            <v>46237</v>
          </cell>
          <cell r="O199">
            <v>116</v>
          </cell>
          <cell r="Q199">
            <v>8</v>
          </cell>
          <cell r="T199">
            <v>0</v>
          </cell>
          <cell r="V199">
            <v>46238</v>
          </cell>
          <cell r="W199">
            <v>225</v>
          </cell>
          <cell r="X199">
            <v>18</v>
          </cell>
          <cell r="AA199">
            <v>0</v>
          </cell>
        </row>
        <row r="200">
          <cell r="D200" t="str">
            <v>Q14</v>
          </cell>
          <cell r="N200">
            <v>46237</v>
          </cell>
          <cell r="O200">
            <v>118</v>
          </cell>
          <cell r="Q200">
            <v>8</v>
          </cell>
          <cell r="T200">
            <v>0</v>
          </cell>
          <cell r="V200">
            <v>46238</v>
          </cell>
          <cell r="W200">
            <v>230</v>
          </cell>
          <cell r="X200">
            <v>11</v>
          </cell>
          <cell r="AA200">
            <v>0</v>
          </cell>
        </row>
        <row r="201">
          <cell r="D201" t="str">
            <v>L18</v>
          </cell>
          <cell r="N201">
            <v>46243</v>
          </cell>
          <cell r="O201">
            <v>73</v>
          </cell>
          <cell r="Q201">
            <v>2</v>
          </cell>
          <cell r="T201">
            <v>0</v>
          </cell>
          <cell r="V201">
            <v>46244</v>
          </cell>
          <cell r="W201">
            <v>257</v>
          </cell>
          <cell r="X201">
            <v>10</v>
          </cell>
          <cell r="AA201">
            <v>0</v>
          </cell>
        </row>
        <row r="202">
          <cell r="D202" t="str">
            <v>L19</v>
          </cell>
          <cell r="N202">
            <v>46243</v>
          </cell>
          <cell r="O202">
            <v>52</v>
          </cell>
          <cell r="Q202">
            <v>1</v>
          </cell>
          <cell r="T202">
            <v>0</v>
          </cell>
          <cell r="V202">
            <v>46244</v>
          </cell>
          <cell r="W202">
            <v>236</v>
          </cell>
          <cell r="X202">
            <v>7</v>
          </cell>
          <cell r="AA202">
            <v>0</v>
          </cell>
        </row>
        <row r="203">
          <cell r="D203" t="str">
            <v>L20</v>
          </cell>
          <cell r="N203">
            <v>46243</v>
          </cell>
          <cell r="O203">
            <v>54</v>
          </cell>
          <cell r="Q203">
            <v>3</v>
          </cell>
          <cell r="T203">
            <v>0</v>
          </cell>
          <cell r="V203">
            <v>46244</v>
          </cell>
          <cell r="W203">
            <v>215</v>
          </cell>
          <cell r="X203">
            <v>9</v>
          </cell>
          <cell r="AA203">
            <v>0</v>
          </cell>
        </row>
        <row r="204">
          <cell r="D204" t="str">
            <v>L21</v>
          </cell>
          <cell r="N204">
            <v>46242</v>
          </cell>
          <cell r="O204">
            <v>67</v>
          </cell>
          <cell r="Q204">
            <v>3</v>
          </cell>
          <cell r="T204">
            <v>0</v>
          </cell>
          <cell r="V204">
            <v>46240</v>
          </cell>
          <cell r="W204">
            <v>156</v>
          </cell>
          <cell r="X204">
            <v>4</v>
          </cell>
          <cell r="AA204">
            <v>0</v>
          </cell>
        </row>
        <row r="205">
          <cell r="D205" t="str">
            <v>L22</v>
          </cell>
          <cell r="N205">
            <v>46242</v>
          </cell>
          <cell r="O205">
            <v>54</v>
          </cell>
          <cell r="Q205">
            <v>6</v>
          </cell>
          <cell r="T205">
            <v>0</v>
          </cell>
          <cell r="V205">
            <v>46243</v>
          </cell>
          <cell r="W205">
            <v>296</v>
          </cell>
          <cell r="X205">
            <v>27</v>
          </cell>
          <cell r="AA205">
            <v>0</v>
          </cell>
        </row>
        <row r="206">
          <cell r="D206" t="str">
            <v>L23</v>
          </cell>
          <cell r="N206">
            <v>46242</v>
          </cell>
          <cell r="O206">
            <v>53</v>
          </cell>
          <cell r="Q206">
            <v>2</v>
          </cell>
          <cell r="T206">
            <v>0</v>
          </cell>
          <cell r="V206">
            <v>46243</v>
          </cell>
          <cell r="W206">
            <v>224</v>
          </cell>
          <cell r="X206">
            <v>7</v>
          </cell>
          <cell r="AA206">
            <v>0</v>
          </cell>
        </row>
        <row r="207">
          <cell r="D207" t="str">
            <v>L24</v>
          </cell>
          <cell r="N207">
            <v>46241</v>
          </cell>
          <cell r="O207">
            <v>54</v>
          </cell>
          <cell r="Q207">
            <v>6</v>
          </cell>
          <cell r="T207">
            <v>0</v>
          </cell>
          <cell r="V207">
            <v>46241</v>
          </cell>
          <cell r="W207">
            <v>225</v>
          </cell>
          <cell r="X207">
            <v>3</v>
          </cell>
          <cell r="AA207">
            <v>0</v>
          </cell>
        </row>
        <row r="208">
          <cell r="D208" t="str">
            <v>L25</v>
          </cell>
          <cell r="N208">
            <v>46240</v>
          </cell>
          <cell r="O208">
            <v>46</v>
          </cell>
          <cell r="Q208">
            <v>5</v>
          </cell>
          <cell r="T208">
            <v>0</v>
          </cell>
          <cell r="V208">
            <v>46241</v>
          </cell>
          <cell r="W208">
            <v>311</v>
          </cell>
          <cell r="X208">
            <v>31</v>
          </cell>
          <cell r="AA208">
            <v>0</v>
          </cell>
        </row>
        <row r="209">
          <cell r="D209" t="str">
            <v>L26</v>
          </cell>
          <cell r="N209">
            <v>46240</v>
          </cell>
          <cell r="O209">
            <v>48</v>
          </cell>
          <cell r="Q209">
            <v>7</v>
          </cell>
          <cell r="T209">
            <v>0</v>
          </cell>
          <cell r="V209">
            <v>46242</v>
          </cell>
          <cell r="W209">
            <v>213</v>
          </cell>
          <cell r="X209">
            <v>9</v>
          </cell>
          <cell r="AA209">
            <v>0</v>
          </cell>
        </row>
        <row r="210">
          <cell r="D210" t="str">
            <v>L27</v>
          </cell>
          <cell r="N210">
            <v>46240</v>
          </cell>
          <cell r="O210">
            <v>49</v>
          </cell>
          <cell r="Q210">
            <v>7</v>
          </cell>
          <cell r="T210">
            <v>0</v>
          </cell>
          <cell r="V210">
            <v>46242</v>
          </cell>
          <cell r="W210">
            <v>215</v>
          </cell>
          <cell r="X210">
            <v>27</v>
          </cell>
          <cell r="AA210">
            <v>0</v>
          </cell>
        </row>
        <row r="211">
          <cell r="D211" t="str">
            <v>L28</v>
          </cell>
          <cell r="N211">
            <v>46240</v>
          </cell>
          <cell r="O211">
            <v>51</v>
          </cell>
          <cell r="Q211">
            <v>6</v>
          </cell>
          <cell r="T211">
            <v>0</v>
          </cell>
          <cell r="V211">
            <v>46241</v>
          </cell>
          <cell r="W211">
            <v>276</v>
          </cell>
          <cell r="X211">
            <v>32</v>
          </cell>
          <cell r="AA211">
            <v>0</v>
          </cell>
        </row>
        <row r="212">
          <cell r="D212" t="str">
            <v>M18</v>
          </cell>
          <cell r="N212">
            <v>46239</v>
          </cell>
          <cell r="O212">
            <v>52</v>
          </cell>
          <cell r="Q212">
            <v>3</v>
          </cell>
          <cell r="T212">
            <v>0</v>
          </cell>
          <cell r="V212">
            <v>46240</v>
          </cell>
          <cell r="W212">
            <v>247</v>
          </cell>
          <cell r="X212">
            <v>21</v>
          </cell>
          <cell r="AA212">
            <v>0</v>
          </cell>
        </row>
        <row r="213">
          <cell r="D213" t="str">
            <v>M19</v>
          </cell>
          <cell r="N213">
            <v>46239</v>
          </cell>
          <cell r="O213">
            <v>53</v>
          </cell>
          <cell r="Q213">
            <v>2</v>
          </cell>
          <cell r="T213">
            <v>0</v>
          </cell>
          <cell r="V213">
            <v>46240</v>
          </cell>
          <cell r="W213">
            <v>266</v>
          </cell>
          <cell r="X213">
            <v>19</v>
          </cell>
          <cell r="AA213">
            <v>0</v>
          </cell>
        </row>
        <row r="214">
          <cell r="D214" t="str">
            <v>M20</v>
          </cell>
          <cell r="N214">
            <v>46239</v>
          </cell>
          <cell r="O214">
            <v>54</v>
          </cell>
          <cell r="Q214">
            <v>3</v>
          </cell>
          <cell r="T214">
            <v>0</v>
          </cell>
          <cell r="V214">
            <v>46240</v>
          </cell>
          <cell r="W214">
            <v>219</v>
          </cell>
          <cell r="X214">
            <v>12</v>
          </cell>
          <cell r="AA214">
            <v>0</v>
          </cell>
        </row>
        <row r="215">
          <cell r="D215" t="str">
            <v>M21</v>
          </cell>
          <cell r="N215">
            <v>46238</v>
          </cell>
          <cell r="O215">
            <v>66</v>
          </cell>
          <cell r="Q215">
            <v>5</v>
          </cell>
          <cell r="T215">
            <v>0</v>
          </cell>
          <cell r="V215">
            <v>46239</v>
          </cell>
          <cell r="W215">
            <v>232</v>
          </cell>
          <cell r="X215">
            <v>33</v>
          </cell>
          <cell r="AA215">
            <v>0</v>
          </cell>
        </row>
        <row r="216">
          <cell r="D216" t="str">
            <v>M22</v>
          </cell>
          <cell r="N216">
            <v>46238</v>
          </cell>
          <cell r="O216">
            <v>96</v>
          </cell>
          <cell r="Q216">
            <v>4</v>
          </cell>
          <cell r="T216">
            <v>0</v>
          </cell>
          <cell r="V216">
            <v>46239</v>
          </cell>
          <cell r="W216">
            <v>302</v>
          </cell>
          <cell r="X216">
            <v>19</v>
          </cell>
          <cell r="AA216">
            <v>0</v>
          </cell>
        </row>
        <row r="217">
          <cell r="D217" t="str">
            <v>M23</v>
          </cell>
          <cell r="N217">
            <v>46238</v>
          </cell>
          <cell r="O217">
            <v>53</v>
          </cell>
          <cell r="Q217">
            <v>3</v>
          </cell>
          <cell r="T217">
            <v>0</v>
          </cell>
          <cell r="V217">
            <v>46239</v>
          </cell>
          <cell r="W217">
            <v>242</v>
          </cell>
          <cell r="X217">
            <v>17</v>
          </cell>
          <cell r="AA217">
            <v>0</v>
          </cell>
        </row>
        <row r="218">
          <cell r="D218" t="str">
            <v>M24</v>
          </cell>
          <cell r="N218">
            <v>46242</v>
          </cell>
          <cell r="O218">
            <v>55</v>
          </cell>
          <cell r="Q218">
            <v>6</v>
          </cell>
          <cell r="T218">
            <v>0</v>
          </cell>
          <cell r="V218">
            <v>46243</v>
          </cell>
          <cell r="W218">
            <v>283</v>
          </cell>
          <cell r="X218">
            <v>42</v>
          </cell>
          <cell r="AA218">
            <v>0</v>
          </cell>
        </row>
        <row r="219">
          <cell r="D219" t="str">
            <v>M25</v>
          </cell>
          <cell r="N219">
            <v>46244</v>
          </cell>
          <cell r="O219">
            <v>53</v>
          </cell>
          <cell r="Q219">
            <v>3</v>
          </cell>
          <cell r="T219">
            <v>0</v>
          </cell>
          <cell r="V219">
            <v>46245</v>
          </cell>
          <cell r="W219">
            <v>229</v>
          </cell>
          <cell r="X219">
            <v>22</v>
          </cell>
          <cell r="AA219">
            <v>0</v>
          </cell>
        </row>
        <row r="220">
          <cell r="D220" t="str">
            <v>M26</v>
          </cell>
          <cell r="N220">
            <v>46244</v>
          </cell>
          <cell r="O220">
            <v>51</v>
          </cell>
          <cell r="Q220">
            <v>2</v>
          </cell>
          <cell r="T220">
            <v>0</v>
          </cell>
          <cell r="V220">
            <v>46245</v>
          </cell>
          <cell r="W220">
            <v>211</v>
          </cell>
          <cell r="X220">
            <v>9</v>
          </cell>
          <cell r="AA220">
            <v>0</v>
          </cell>
        </row>
        <row r="221">
          <cell r="D221" t="str">
            <v>M27</v>
          </cell>
          <cell r="N221">
            <v>46244</v>
          </cell>
          <cell r="O221">
            <v>52</v>
          </cell>
          <cell r="Q221">
            <v>3</v>
          </cell>
          <cell r="T221">
            <v>0</v>
          </cell>
          <cell r="V221">
            <v>46245</v>
          </cell>
          <cell r="W221">
            <v>269</v>
          </cell>
          <cell r="X221">
            <v>28</v>
          </cell>
          <cell r="AA221">
            <v>0</v>
          </cell>
        </row>
        <row r="222">
          <cell r="D222" t="str">
            <v>M28</v>
          </cell>
          <cell r="N222">
            <v>46244</v>
          </cell>
          <cell r="O222">
            <v>54</v>
          </cell>
          <cell r="Q222">
            <v>3</v>
          </cell>
          <cell r="T222">
            <v>0</v>
          </cell>
          <cell r="V222">
            <v>46245</v>
          </cell>
          <cell r="W222">
            <v>232</v>
          </cell>
          <cell r="X222">
            <v>17</v>
          </cell>
          <cell r="AA222">
            <v>0</v>
          </cell>
        </row>
        <row r="223">
          <cell r="D223" t="str">
            <v>M29</v>
          </cell>
          <cell r="N223">
            <v>46241</v>
          </cell>
          <cell r="O223">
            <v>54</v>
          </cell>
          <cell r="Q223">
            <v>4</v>
          </cell>
          <cell r="T223">
            <v>0</v>
          </cell>
          <cell r="V223">
            <v>46242</v>
          </cell>
          <cell r="W223">
            <v>216</v>
          </cell>
          <cell r="X223">
            <v>9</v>
          </cell>
          <cell r="AA223">
            <v>0</v>
          </cell>
        </row>
        <row r="224">
          <cell r="D224" t="str">
            <v>N18</v>
          </cell>
          <cell r="N224">
            <v>46238</v>
          </cell>
          <cell r="O224">
            <v>55</v>
          </cell>
          <cell r="Q224">
            <v>5</v>
          </cell>
          <cell r="T224">
            <v>0</v>
          </cell>
          <cell r="V224">
            <v>46239</v>
          </cell>
          <cell r="W224">
            <v>228</v>
          </cell>
          <cell r="X224">
            <v>19</v>
          </cell>
          <cell r="AA224">
            <v>0</v>
          </cell>
        </row>
        <row r="225">
          <cell r="D225" t="str">
            <v>N19</v>
          </cell>
          <cell r="N225">
            <v>46237</v>
          </cell>
          <cell r="O225">
            <v>52</v>
          </cell>
          <cell r="Q225">
            <v>3</v>
          </cell>
          <cell r="T225">
            <v>0</v>
          </cell>
          <cell r="V225">
            <v>46238</v>
          </cell>
          <cell r="W225">
            <v>210</v>
          </cell>
          <cell r="X225">
            <v>7</v>
          </cell>
          <cell r="AA225">
            <v>0</v>
          </cell>
        </row>
        <row r="226">
          <cell r="D226" t="str">
            <v>N20</v>
          </cell>
          <cell r="N226">
            <v>46237</v>
          </cell>
          <cell r="O226">
            <v>53</v>
          </cell>
          <cell r="Q226">
            <v>2</v>
          </cell>
          <cell r="T226">
            <v>0</v>
          </cell>
          <cell r="V226">
            <v>46238</v>
          </cell>
          <cell r="W226">
            <v>248</v>
          </cell>
          <cell r="X226">
            <v>11</v>
          </cell>
          <cell r="AA226">
            <v>0</v>
          </cell>
        </row>
        <row r="227">
          <cell r="D227" t="str">
            <v>N21</v>
          </cell>
          <cell r="N227">
            <v>46237</v>
          </cell>
          <cell r="O227">
            <v>63</v>
          </cell>
          <cell r="Q227">
            <v>3</v>
          </cell>
          <cell r="T227">
            <v>0</v>
          </cell>
          <cell r="V227">
            <v>46238</v>
          </cell>
          <cell r="W227">
            <v>259</v>
          </cell>
          <cell r="X227">
            <v>9</v>
          </cell>
          <cell r="AA227">
            <v>0</v>
          </cell>
        </row>
        <row r="228">
          <cell r="D228" t="str">
            <v>N22</v>
          </cell>
          <cell r="N228">
            <v>46237</v>
          </cell>
          <cell r="O228">
            <v>54</v>
          </cell>
          <cell r="Q228">
            <v>4</v>
          </cell>
          <cell r="T228">
            <v>0</v>
          </cell>
          <cell r="V228">
            <v>46238</v>
          </cell>
          <cell r="W228">
            <v>211</v>
          </cell>
          <cell r="X228">
            <v>7</v>
          </cell>
          <cell r="AA228">
            <v>0</v>
          </cell>
        </row>
        <row r="229">
          <cell r="D229" t="str">
            <v>N23</v>
          </cell>
          <cell r="N229">
            <v>46244</v>
          </cell>
          <cell r="O229">
            <v>113</v>
          </cell>
          <cell r="Q229">
            <v>8</v>
          </cell>
          <cell r="T229">
            <v>0</v>
          </cell>
          <cell r="V229">
            <v>46245</v>
          </cell>
          <cell r="W229">
            <v>246</v>
          </cell>
          <cell r="X229">
            <v>12</v>
          </cell>
          <cell r="AA229">
            <v>0</v>
          </cell>
        </row>
        <row r="230">
          <cell r="D230" t="str">
            <v>N24</v>
          </cell>
          <cell r="N230">
            <v>46244</v>
          </cell>
          <cell r="O230">
            <v>87</v>
          </cell>
          <cell r="Q230">
            <v>1</v>
          </cell>
          <cell r="T230">
            <v>0</v>
          </cell>
          <cell r="V230">
            <v>46245</v>
          </cell>
          <cell r="W230">
            <v>209</v>
          </cell>
          <cell r="X230">
            <v>7</v>
          </cell>
          <cell r="AA230">
            <v>0</v>
          </cell>
        </row>
        <row r="231">
          <cell r="D231" t="str">
            <v>N25</v>
          </cell>
          <cell r="N231">
            <v>46244</v>
          </cell>
          <cell r="O231">
            <v>50</v>
          </cell>
          <cell r="Q231">
            <v>3</v>
          </cell>
          <cell r="T231">
            <v>0</v>
          </cell>
          <cell r="V231">
            <v>46245</v>
          </cell>
          <cell r="W231">
            <v>248</v>
          </cell>
          <cell r="X231">
            <v>9</v>
          </cell>
          <cell r="AA231">
            <v>0</v>
          </cell>
        </row>
        <row r="232">
          <cell r="D232" t="str">
            <v>N26</v>
          </cell>
          <cell r="N232">
            <v>46235</v>
          </cell>
          <cell r="O232">
            <v>54</v>
          </cell>
          <cell r="Q232">
            <v>2</v>
          </cell>
          <cell r="T232">
            <v>0</v>
          </cell>
          <cell r="V232">
            <v>46245</v>
          </cell>
          <cell r="W232">
            <v>153</v>
          </cell>
          <cell r="X232">
            <v>6</v>
          </cell>
          <cell r="AA232">
            <v>0</v>
          </cell>
        </row>
        <row r="233">
          <cell r="D233" t="str">
            <v>N27</v>
          </cell>
          <cell r="N233">
            <v>46245</v>
          </cell>
          <cell r="O233">
            <v>56</v>
          </cell>
          <cell r="Q233">
            <v>2</v>
          </cell>
          <cell r="T233">
            <v>0</v>
          </cell>
          <cell r="V233">
            <v>46246</v>
          </cell>
          <cell r="W233">
            <v>267</v>
          </cell>
          <cell r="X233">
            <v>11</v>
          </cell>
          <cell r="AA233">
            <v>0</v>
          </cell>
        </row>
        <row r="234">
          <cell r="D234" t="str">
            <v>N28</v>
          </cell>
          <cell r="N234">
            <v>46245</v>
          </cell>
          <cell r="O234">
            <v>55</v>
          </cell>
          <cell r="Q234">
            <v>3</v>
          </cell>
          <cell r="T234">
            <v>0</v>
          </cell>
          <cell r="V234">
            <v>46246</v>
          </cell>
          <cell r="W234">
            <v>249</v>
          </cell>
          <cell r="X234">
            <v>12</v>
          </cell>
          <cell r="AA234">
            <v>0</v>
          </cell>
        </row>
        <row r="235">
          <cell r="D235" t="str">
            <v>N29</v>
          </cell>
          <cell r="N235">
            <v>46245</v>
          </cell>
          <cell r="O235">
            <v>53</v>
          </cell>
          <cell r="Q235">
            <v>2</v>
          </cell>
          <cell r="T235">
            <v>0</v>
          </cell>
          <cell r="V235">
            <v>46246</v>
          </cell>
          <cell r="W235">
            <v>202</v>
          </cell>
          <cell r="X235">
            <v>23</v>
          </cell>
          <cell r="AA235">
            <v>0</v>
          </cell>
        </row>
        <row r="236">
          <cell r="D236" t="str">
            <v>O18</v>
          </cell>
          <cell r="N236">
            <v>46234</v>
          </cell>
          <cell r="O236">
            <v>54</v>
          </cell>
          <cell r="Q236">
            <v>6</v>
          </cell>
          <cell r="T236">
            <v>0</v>
          </cell>
          <cell r="V236">
            <v>46235</v>
          </cell>
          <cell r="W236">
            <v>220</v>
          </cell>
          <cell r="X236">
            <v>20</v>
          </cell>
          <cell r="AA236">
            <v>0</v>
          </cell>
        </row>
        <row r="237">
          <cell r="D237" t="str">
            <v>O19</v>
          </cell>
          <cell r="N237">
            <v>46234</v>
          </cell>
          <cell r="O237">
            <v>64</v>
          </cell>
          <cell r="Q237">
            <v>5</v>
          </cell>
          <cell r="T237">
            <v>0</v>
          </cell>
          <cell r="V237">
            <v>46235</v>
          </cell>
          <cell r="W237">
            <v>230</v>
          </cell>
          <cell r="X237">
            <v>35</v>
          </cell>
          <cell r="AA237">
            <v>0</v>
          </cell>
        </row>
        <row r="238">
          <cell r="D238" t="str">
            <v>O20</v>
          </cell>
          <cell r="N238">
            <v>46234</v>
          </cell>
          <cell r="O238">
            <v>51</v>
          </cell>
          <cell r="Q238">
            <v>4</v>
          </cell>
          <cell r="T238">
            <v>0</v>
          </cell>
          <cell r="V238">
            <v>46235</v>
          </cell>
          <cell r="W238">
            <v>215</v>
          </cell>
          <cell r="X238">
            <v>5</v>
          </cell>
          <cell r="AA238">
            <v>0</v>
          </cell>
        </row>
        <row r="239">
          <cell r="D239" t="str">
            <v>O21</v>
          </cell>
          <cell r="N239">
            <v>46234</v>
          </cell>
          <cell r="O239">
            <v>56</v>
          </cell>
          <cell r="Q239">
            <v>1</v>
          </cell>
          <cell r="T239">
            <v>0</v>
          </cell>
          <cell r="V239">
            <v>46235</v>
          </cell>
          <cell r="W239">
            <v>250</v>
          </cell>
          <cell r="X239">
            <v>5</v>
          </cell>
          <cell r="AA239">
            <v>0</v>
          </cell>
        </row>
        <row r="240">
          <cell r="D240" t="str">
            <v>O22</v>
          </cell>
          <cell r="N240">
            <v>46243</v>
          </cell>
          <cell r="O240">
            <v>53</v>
          </cell>
          <cell r="Q240">
            <v>2</v>
          </cell>
          <cell r="T240">
            <v>0</v>
          </cell>
          <cell r="V240">
            <v>46244</v>
          </cell>
          <cell r="W240">
            <v>235</v>
          </cell>
          <cell r="X240">
            <v>7</v>
          </cell>
          <cell r="AA240">
            <v>0</v>
          </cell>
        </row>
        <row r="241">
          <cell r="D241" t="str">
            <v>O23</v>
          </cell>
          <cell r="N241">
            <v>46243</v>
          </cell>
          <cell r="O241">
            <v>55</v>
          </cell>
          <cell r="Q241">
            <v>2</v>
          </cell>
          <cell r="T241">
            <v>0</v>
          </cell>
          <cell r="V241">
            <v>46244</v>
          </cell>
          <cell r="W241">
            <v>213</v>
          </cell>
          <cell r="X241">
            <v>6</v>
          </cell>
          <cell r="AA241">
            <v>0</v>
          </cell>
        </row>
        <row r="242">
          <cell r="D242" t="str">
            <v>O24</v>
          </cell>
          <cell r="N242">
            <v>46243</v>
          </cell>
          <cell r="O242">
            <v>102</v>
          </cell>
          <cell r="Q242">
            <v>6</v>
          </cell>
          <cell r="T242">
            <v>0</v>
          </cell>
          <cell r="V242">
            <v>46244</v>
          </cell>
          <cell r="W242">
            <v>219</v>
          </cell>
          <cell r="X242">
            <v>32</v>
          </cell>
          <cell r="AA242">
            <v>0</v>
          </cell>
        </row>
        <row r="243">
          <cell r="D243" t="str">
            <v>O25</v>
          </cell>
          <cell r="N243">
            <v>46241</v>
          </cell>
          <cell r="O243">
            <v>51</v>
          </cell>
          <cell r="Q243">
            <v>4</v>
          </cell>
          <cell r="T243">
            <v>0</v>
          </cell>
          <cell r="V243">
            <v>46242</v>
          </cell>
          <cell r="W243">
            <v>230</v>
          </cell>
          <cell r="X243">
            <v>20</v>
          </cell>
          <cell r="AA243">
            <v>0</v>
          </cell>
        </row>
        <row r="244">
          <cell r="D244" t="str">
            <v>O26</v>
          </cell>
          <cell r="N244">
            <v>46241</v>
          </cell>
          <cell r="O244">
            <v>56</v>
          </cell>
          <cell r="Q244">
            <v>5</v>
          </cell>
          <cell r="T244">
            <v>0</v>
          </cell>
          <cell r="V244">
            <v>46242</v>
          </cell>
          <cell r="W244">
            <v>241</v>
          </cell>
          <cell r="X244">
            <v>19</v>
          </cell>
          <cell r="AA244">
            <v>0</v>
          </cell>
        </row>
        <row r="245">
          <cell r="D245" t="str">
            <v>O27</v>
          </cell>
          <cell r="N245">
            <v>46241</v>
          </cell>
          <cell r="O245">
            <v>54</v>
          </cell>
          <cell r="Q245">
            <v>1</v>
          </cell>
          <cell r="T245">
            <v>0</v>
          </cell>
          <cell r="V245">
            <v>46242</v>
          </cell>
          <cell r="W245">
            <v>218</v>
          </cell>
          <cell r="X245">
            <v>7</v>
          </cell>
          <cell r="AA245">
            <v>0</v>
          </cell>
        </row>
        <row r="246">
          <cell r="D246" t="str">
            <v>O28</v>
          </cell>
          <cell r="N246">
            <v>46240</v>
          </cell>
          <cell r="O246">
            <v>63</v>
          </cell>
          <cell r="Q246">
            <v>5</v>
          </cell>
          <cell r="T246">
            <v>0</v>
          </cell>
          <cell r="V246">
            <v>46241</v>
          </cell>
          <cell r="W246">
            <v>208</v>
          </cell>
          <cell r="X246">
            <v>14</v>
          </cell>
          <cell r="AA246">
            <v>0</v>
          </cell>
        </row>
        <row r="247">
          <cell r="D247" t="str">
            <v>O29</v>
          </cell>
          <cell r="N247">
            <v>46240</v>
          </cell>
          <cell r="O247">
            <v>58</v>
          </cell>
          <cell r="Q247">
            <v>2</v>
          </cell>
          <cell r="T247">
            <v>0</v>
          </cell>
          <cell r="V247">
            <v>46241</v>
          </cell>
          <cell r="W247">
            <v>220</v>
          </cell>
          <cell r="X247">
            <v>7</v>
          </cell>
          <cell r="AA247">
            <v>0</v>
          </cell>
        </row>
        <row r="248">
          <cell r="D248" t="str">
            <v>O30</v>
          </cell>
          <cell r="N248">
            <v>46240</v>
          </cell>
          <cell r="O248">
            <v>57</v>
          </cell>
          <cell r="Q248">
            <v>2</v>
          </cell>
          <cell r="T248">
            <v>0</v>
          </cell>
          <cell r="V248">
            <v>46241</v>
          </cell>
          <cell r="W248">
            <v>215</v>
          </cell>
          <cell r="X248">
            <v>5</v>
          </cell>
          <cell r="AA248">
            <v>0</v>
          </cell>
        </row>
        <row r="249">
          <cell r="D249" t="str">
            <v>P17</v>
          </cell>
          <cell r="N249">
            <v>46234</v>
          </cell>
          <cell r="O249">
            <v>53</v>
          </cell>
          <cell r="Q249">
            <v>1</v>
          </cell>
          <cell r="T249">
            <v>0</v>
          </cell>
          <cell r="V249">
            <v>46235</v>
          </cell>
          <cell r="W249">
            <v>202</v>
          </cell>
          <cell r="X249">
            <v>5</v>
          </cell>
          <cell r="AA249">
            <v>0</v>
          </cell>
        </row>
        <row r="250">
          <cell r="D250" t="str">
            <v>P18</v>
          </cell>
          <cell r="N250">
            <v>46234</v>
          </cell>
          <cell r="O250">
            <v>65</v>
          </cell>
          <cell r="Q250">
            <v>6</v>
          </cell>
          <cell r="T250">
            <v>0</v>
          </cell>
          <cell r="V250">
            <v>46235</v>
          </cell>
          <cell r="W250">
            <v>217</v>
          </cell>
          <cell r="X250">
            <v>25</v>
          </cell>
          <cell r="AA250">
            <v>0</v>
          </cell>
        </row>
        <row r="251">
          <cell r="D251" t="str">
            <v>P19</v>
          </cell>
          <cell r="N251">
            <v>46234</v>
          </cell>
          <cell r="O251">
            <v>56</v>
          </cell>
          <cell r="Q251">
            <v>5</v>
          </cell>
          <cell r="T251">
            <v>0</v>
          </cell>
          <cell r="V251">
            <v>46235</v>
          </cell>
          <cell r="W251">
            <v>230</v>
          </cell>
          <cell r="X251">
            <v>21</v>
          </cell>
          <cell r="AA251">
            <v>0</v>
          </cell>
        </row>
        <row r="252">
          <cell r="D252" t="str">
            <v>P20</v>
          </cell>
          <cell r="N252">
            <v>46236</v>
          </cell>
          <cell r="O252">
            <v>54</v>
          </cell>
          <cell r="Q252">
            <v>2</v>
          </cell>
          <cell r="T252">
            <v>0</v>
          </cell>
          <cell r="V252">
            <v>46237</v>
          </cell>
          <cell r="W252">
            <v>243</v>
          </cell>
          <cell r="X252">
            <v>8</v>
          </cell>
          <cell r="AA252">
            <v>0</v>
          </cell>
        </row>
        <row r="253">
          <cell r="D253" t="str">
            <v>P21</v>
          </cell>
          <cell r="N253">
            <v>46236</v>
          </cell>
          <cell r="O253">
            <v>55</v>
          </cell>
          <cell r="Q253">
            <v>1</v>
          </cell>
          <cell r="T253">
            <v>0</v>
          </cell>
          <cell r="V253">
            <v>46237</v>
          </cell>
          <cell r="W253">
            <v>221</v>
          </cell>
          <cell r="X253">
            <v>5</v>
          </cell>
          <cell r="AA253">
            <v>0</v>
          </cell>
        </row>
        <row r="254">
          <cell r="D254" t="str">
            <v>P22</v>
          </cell>
          <cell r="N254">
            <v>46236</v>
          </cell>
          <cell r="O254">
            <v>54</v>
          </cell>
          <cell r="Q254">
            <v>5</v>
          </cell>
          <cell r="T254">
            <v>0</v>
          </cell>
          <cell r="V254">
            <v>46237</v>
          </cell>
          <cell r="W254">
            <v>214</v>
          </cell>
          <cell r="X254">
            <v>21</v>
          </cell>
          <cell r="AA254">
            <v>0</v>
          </cell>
        </row>
        <row r="255">
          <cell r="D255" t="str">
            <v>P23</v>
          </cell>
          <cell r="N255">
            <v>46238</v>
          </cell>
          <cell r="O255">
            <v>51</v>
          </cell>
          <cell r="Q255">
            <v>4</v>
          </cell>
          <cell r="T255">
            <v>0</v>
          </cell>
          <cell r="V255">
            <v>46239</v>
          </cell>
          <cell r="W255">
            <v>260</v>
          </cell>
          <cell r="X255">
            <v>23</v>
          </cell>
          <cell r="AA255">
            <v>0</v>
          </cell>
        </row>
        <row r="256">
          <cell r="D256" t="str">
            <v>P24</v>
          </cell>
          <cell r="N256">
            <v>46239</v>
          </cell>
          <cell r="O256">
            <v>60</v>
          </cell>
          <cell r="Q256">
            <v>2</v>
          </cell>
          <cell r="T256">
            <v>0</v>
          </cell>
          <cell r="V256">
            <v>46240</v>
          </cell>
          <cell r="W256">
            <v>215</v>
          </cell>
          <cell r="X256">
            <v>5</v>
          </cell>
          <cell r="AA256">
            <v>0</v>
          </cell>
        </row>
        <row r="257">
          <cell r="D257" t="str">
            <v>P25</v>
          </cell>
          <cell r="N257">
            <v>46239</v>
          </cell>
          <cell r="O257">
            <v>55</v>
          </cell>
          <cell r="Q257">
            <v>4</v>
          </cell>
          <cell r="T257">
            <v>0</v>
          </cell>
          <cell r="V257">
            <v>46240</v>
          </cell>
          <cell r="W257">
            <v>270</v>
          </cell>
          <cell r="X257">
            <v>40</v>
          </cell>
          <cell r="AA257">
            <v>0</v>
          </cell>
        </row>
        <row r="258">
          <cell r="D258" t="str">
            <v>P26</v>
          </cell>
          <cell r="N258">
            <v>46239</v>
          </cell>
          <cell r="O258">
            <v>63</v>
          </cell>
          <cell r="Q258">
            <v>7</v>
          </cell>
          <cell r="T258">
            <v>0</v>
          </cell>
          <cell r="V258">
            <v>46240</v>
          </cell>
          <cell r="W258">
            <v>251</v>
          </cell>
          <cell r="X258">
            <v>31</v>
          </cell>
          <cell r="AA258">
            <v>0</v>
          </cell>
        </row>
        <row r="259">
          <cell r="D259" t="str">
            <v>P27</v>
          </cell>
          <cell r="N259">
            <v>46238</v>
          </cell>
          <cell r="O259">
            <v>112</v>
          </cell>
          <cell r="Q259">
            <v>4</v>
          </cell>
          <cell r="T259">
            <v>0</v>
          </cell>
          <cell r="V259">
            <v>46239</v>
          </cell>
          <cell r="W259">
            <v>218</v>
          </cell>
          <cell r="X259">
            <v>8</v>
          </cell>
          <cell r="AA259">
            <v>0</v>
          </cell>
        </row>
        <row r="260">
          <cell r="D260" t="str">
            <v>Q18</v>
          </cell>
          <cell r="N260">
            <v>46236</v>
          </cell>
          <cell r="O260">
            <v>56</v>
          </cell>
          <cell r="Q260">
            <v>2</v>
          </cell>
          <cell r="T260">
            <v>0</v>
          </cell>
          <cell r="V260">
            <v>46237</v>
          </cell>
          <cell r="W260">
            <v>215</v>
          </cell>
          <cell r="X260">
            <v>6</v>
          </cell>
          <cell r="AA260">
            <v>0</v>
          </cell>
        </row>
        <row r="261">
          <cell r="D261" t="str">
            <v>Q19</v>
          </cell>
          <cell r="N261">
            <v>46236</v>
          </cell>
          <cell r="O261">
            <v>53</v>
          </cell>
          <cell r="Q261">
            <v>1</v>
          </cell>
          <cell r="T261">
            <v>0</v>
          </cell>
          <cell r="V261">
            <v>46237</v>
          </cell>
          <cell r="W261">
            <v>208</v>
          </cell>
          <cell r="X261">
            <v>4</v>
          </cell>
          <cell r="AA261">
            <v>0</v>
          </cell>
        </row>
        <row r="262">
          <cell r="D262" t="str">
            <v>Q20</v>
          </cell>
          <cell r="N262">
            <v>46236</v>
          </cell>
          <cell r="O262">
            <v>55</v>
          </cell>
          <cell r="Q262">
            <v>2</v>
          </cell>
          <cell r="T262">
            <v>0</v>
          </cell>
          <cell r="V262">
            <v>46237</v>
          </cell>
          <cell r="W262">
            <v>205</v>
          </cell>
          <cell r="X262">
            <v>2</v>
          </cell>
          <cell r="AA262">
            <v>0</v>
          </cell>
        </row>
        <row r="263">
          <cell r="D263" t="str">
            <v>Q21</v>
          </cell>
          <cell r="N263">
            <v>46236</v>
          </cell>
          <cell r="O263">
            <v>57</v>
          </cell>
          <cell r="Q263">
            <v>5</v>
          </cell>
          <cell r="T263">
            <v>0</v>
          </cell>
          <cell r="V263">
            <v>46237</v>
          </cell>
          <cell r="W263">
            <v>216</v>
          </cell>
          <cell r="X263">
            <v>30</v>
          </cell>
          <cell r="AA263">
            <v>0</v>
          </cell>
        </row>
        <row r="264">
          <cell r="D264" t="str">
            <v>Q22</v>
          </cell>
          <cell r="N264">
            <v>46237</v>
          </cell>
          <cell r="O264">
            <v>55</v>
          </cell>
          <cell r="Q264">
            <v>1</v>
          </cell>
          <cell r="T264">
            <v>0</v>
          </cell>
          <cell r="V264">
            <v>46238</v>
          </cell>
          <cell r="W264">
            <v>220</v>
          </cell>
          <cell r="X264">
            <v>6</v>
          </cell>
          <cell r="AA264">
            <v>0</v>
          </cell>
        </row>
        <row r="265">
          <cell r="D265" t="str">
            <v>Q23</v>
          </cell>
          <cell r="N265">
            <v>46237</v>
          </cell>
          <cell r="O265">
            <v>56</v>
          </cell>
          <cell r="Q265">
            <v>2</v>
          </cell>
          <cell r="T265">
            <v>0</v>
          </cell>
          <cell r="V265">
            <v>46238</v>
          </cell>
          <cell r="W265">
            <v>235</v>
          </cell>
          <cell r="X265">
            <v>4</v>
          </cell>
          <cell r="AA265">
            <v>0</v>
          </cell>
        </row>
        <row r="266">
          <cell r="D266" t="str">
            <v>Q24</v>
          </cell>
          <cell r="N266">
            <v>46237</v>
          </cell>
          <cell r="O266">
            <v>54</v>
          </cell>
          <cell r="Q266">
            <v>2</v>
          </cell>
          <cell r="T266">
            <v>0</v>
          </cell>
          <cell r="V266">
            <v>46238</v>
          </cell>
          <cell r="W266">
            <v>240</v>
          </cell>
          <cell r="X266">
            <v>5</v>
          </cell>
          <cell r="AA266">
            <v>0</v>
          </cell>
        </row>
        <row r="267">
          <cell r="D267" t="str">
            <v>Q25</v>
          </cell>
          <cell r="N267">
            <v>46238</v>
          </cell>
          <cell r="O267">
            <v>55</v>
          </cell>
          <cell r="Q267">
            <v>4</v>
          </cell>
          <cell r="T267">
            <v>0</v>
          </cell>
          <cell r="V267">
            <v>46239</v>
          </cell>
          <cell r="W267">
            <v>203</v>
          </cell>
          <cell r="X267">
            <v>22</v>
          </cell>
          <cell r="AA267">
            <v>0</v>
          </cell>
        </row>
        <row r="268">
          <cell r="D268" t="str">
            <v>Q26</v>
          </cell>
          <cell r="N268">
            <v>46238</v>
          </cell>
          <cell r="O268">
            <v>58</v>
          </cell>
          <cell r="Q268">
            <v>6</v>
          </cell>
          <cell r="T268">
            <v>0</v>
          </cell>
          <cell r="V268">
            <v>46239</v>
          </cell>
          <cell r="W268">
            <v>211</v>
          </cell>
          <cell r="X268">
            <v>17</v>
          </cell>
          <cell r="AA268">
            <v>0</v>
          </cell>
        </row>
        <row r="269">
          <cell r="D269" t="str">
            <v>Q27</v>
          </cell>
          <cell r="N269">
            <v>46238</v>
          </cell>
          <cell r="O269">
            <v>54</v>
          </cell>
          <cell r="Q269">
            <v>6</v>
          </cell>
          <cell r="T269">
            <v>0</v>
          </cell>
          <cell r="V269">
            <v>46239</v>
          </cell>
          <cell r="W269">
            <v>225</v>
          </cell>
          <cell r="X269">
            <v>18</v>
          </cell>
          <cell r="AA269">
            <v>0</v>
          </cell>
        </row>
        <row r="270">
          <cell r="D270" t="str">
            <v>Q28</v>
          </cell>
          <cell r="N270">
            <v>46238</v>
          </cell>
          <cell r="O270">
            <v>62</v>
          </cell>
          <cell r="Q270">
            <v>7</v>
          </cell>
          <cell r="T270">
            <v>0</v>
          </cell>
          <cell r="V270">
            <v>46239</v>
          </cell>
          <cell r="W270">
            <v>219</v>
          </cell>
          <cell r="X270">
            <v>40</v>
          </cell>
          <cell r="AA270">
            <v>0</v>
          </cell>
        </row>
        <row r="271">
          <cell r="D271" t="str">
            <v>Q29</v>
          </cell>
          <cell r="N271">
            <v>46238</v>
          </cell>
          <cell r="O271">
            <v>57</v>
          </cell>
          <cell r="Q271">
            <v>2</v>
          </cell>
          <cell r="T271">
            <v>0</v>
          </cell>
          <cell r="V271">
            <v>46239</v>
          </cell>
          <cell r="W271">
            <v>214</v>
          </cell>
          <cell r="X271">
            <v>6</v>
          </cell>
          <cell r="AA271">
            <v>0</v>
          </cell>
        </row>
        <row r="272">
          <cell r="D272" t="str">
            <v>Q30</v>
          </cell>
          <cell r="N272">
            <v>46238</v>
          </cell>
          <cell r="O272">
            <v>55</v>
          </cell>
          <cell r="Q272">
            <v>4</v>
          </cell>
          <cell r="T272">
            <v>0</v>
          </cell>
          <cell r="V272">
            <v>46239</v>
          </cell>
          <cell r="W272">
            <v>230</v>
          </cell>
          <cell r="X272">
            <v>30</v>
          </cell>
          <cell r="AA272">
            <v>0</v>
          </cell>
        </row>
        <row r="273">
          <cell r="D273" t="str">
            <v>Q15</v>
          </cell>
          <cell r="N273">
            <v>46235</v>
          </cell>
          <cell r="O273">
            <v>55</v>
          </cell>
          <cell r="Q273">
            <v>3</v>
          </cell>
          <cell r="T273">
            <v>0</v>
          </cell>
          <cell r="V273">
            <v>46237</v>
          </cell>
          <cell r="W273">
            <v>200</v>
          </cell>
          <cell r="X273">
            <v>16</v>
          </cell>
          <cell r="AA273">
            <v>0</v>
          </cell>
        </row>
        <row r="274">
          <cell r="D274" t="str">
            <v>Q16</v>
          </cell>
          <cell r="N274">
            <v>46235</v>
          </cell>
          <cell r="O274">
            <v>55</v>
          </cell>
          <cell r="Q274">
            <v>2</v>
          </cell>
          <cell r="T274">
            <v>0</v>
          </cell>
          <cell r="V274">
            <v>46237</v>
          </cell>
          <cell r="W274">
            <v>205</v>
          </cell>
          <cell r="X274">
            <v>19</v>
          </cell>
          <cell r="AA274">
            <v>0</v>
          </cell>
        </row>
        <row r="275">
          <cell r="D275" t="str">
            <v>Q17</v>
          </cell>
          <cell r="N275">
            <v>46237</v>
          </cell>
          <cell r="O275">
            <v>58</v>
          </cell>
          <cell r="Q275">
            <v>3</v>
          </cell>
          <cell r="T275">
            <v>0</v>
          </cell>
          <cell r="V275">
            <v>46238</v>
          </cell>
          <cell r="W275">
            <v>203</v>
          </cell>
          <cell r="X275">
            <v>21</v>
          </cell>
          <cell r="AA275">
            <v>0</v>
          </cell>
        </row>
        <row r="276">
          <cell r="D276" t="str">
            <v>R14</v>
          </cell>
          <cell r="N276">
            <v>46238</v>
          </cell>
          <cell r="O276">
            <v>83</v>
          </cell>
          <cell r="Q276">
            <v>2</v>
          </cell>
          <cell r="T276">
            <v>0</v>
          </cell>
          <cell r="V276">
            <v>46239</v>
          </cell>
          <cell r="W276">
            <v>233</v>
          </cell>
          <cell r="X276">
            <v>16</v>
          </cell>
          <cell r="AA276">
            <v>0</v>
          </cell>
        </row>
        <row r="277">
          <cell r="D277" t="str">
            <v>R15</v>
          </cell>
          <cell r="N277">
            <v>46238</v>
          </cell>
          <cell r="O277">
            <v>60</v>
          </cell>
          <cell r="Q277">
            <v>4</v>
          </cell>
          <cell r="T277">
            <v>0</v>
          </cell>
          <cell r="V277">
            <v>46239</v>
          </cell>
          <cell r="W277">
            <v>210</v>
          </cell>
          <cell r="X277">
            <v>19</v>
          </cell>
          <cell r="AA277">
            <v>0</v>
          </cell>
        </row>
        <row r="278">
          <cell r="D278" t="str">
            <v>R16</v>
          </cell>
          <cell r="N278">
            <v>46239</v>
          </cell>
          <cell r="O278">
            <v>58</v>
          </cell>
          <cell r="Q278">
            <v>2</v>
          </cell>
          <cell r="T278">
            <v>0</v>
          </cell>
          <cell r="V278">
            <v>46240</v>
          </cell>
          <cell r="W278">
            <v>203</v>
          </cell>
          <cell r="X278">
            <v>15</v>
          </cell>
          <cell r="AA278">
            <v>0</v>
          </cell>
        </row>
        <row r="279">
          <cell r="D279" t="str">
            <v>R17</v>
          </cell>
          <cell r="N279">
            <v>46240</v>
          </cell>
          <cell r="O279">
            <v>58</v>
          </cell>
          <cell r="Q279">
            <v>3</v>
          </cell>
          <cell r="T279">
            <v>0</v>
          </cell>
          <cell r="V279">
            <v>46241</v>
          </cell>
          <cell r="W279">
            <v>200</v>
          </cell>
          <cell r="X279">
            <v>23</v>
          </cell>
          <cell r="AA279">
            <v>0</v>
          </cell>
        </row>
        <row r="280">
          <cell r="D280" t="str">
            <v>R18</v>
          </cell>
          <cell r="N280">
            <v>46241</v>
          </cell>
          <cell r="O280">
            <v>55</v>
          </cell>
          <cell r="Q280">
            <v>2</v>
          </cell>
          <cell r="T280">
            <v>0</v>
          </cell>
          <cell r="V280">
            <v>46242</v>
          </cell>
          <cell r="W280">
            <v>211</v>
          </cell>
          <cell r="X280">
            <v>21</v>
          </cell>
          <cell r="AA280">
            <v>0</v>
          </cell>
        </row>
        <row r="281">
          <cell r="D281" t="str">
            <v>R19</v>
          </cell>
          <cell r="N281">
            <v>46242</v>
          </cell>
          <cell r="O281">
            <v>55</v>
          </cell>
          <cell r="Q281">
            <v>6</v>
          </cell>
          <cell r="T281">
            <v>0</v>
          </cell>
          <cell r="V281">
            <v>46244</v>
          </cell>
          <cell r="W281">
            <v>207</v>
          </cell>
          <cell r="X281">
            <v>19</v>
          </cell>
          <cell r="AA281">
            <v>0</v>
          </cell>
        </row>
        <row r="282">
          <cell r="D282" t="str">
            <v>R20</v>
          </cell>
          <cell r="N282">
            <v>46242</v>
          </cell>
          <cell r="O282">
            <v>58</v>
          </cell>
          <cell r="Q282">
            <v>5</v>
          </cell>
          <cell r="T282">
            <v>0</v>
          </cell>
          <cell r="V282">
            <v>46244</v>
          </cell>
          <cell r="W282">
            <v>219</v>
          </cell>
          <cell r="X282">
            <v>26</v>
          </cell>
          <cell r="AA282">
            <v>0</v>
          </cell>
        </row>
        <row r="283">
          <cell r="D283" t="str">
            <v>R21</v>
          </cell>
          <cell r="N283">
            <v>46244</v>
          </cell>
          <cell r="O283">
            <v>58</v>
          </cell>
          <cell r="Q283">
            <v>5</v>
          </cell>
          <cell r="T283">
            <v>0</v>
          </cell>
          <cell r="V283">
            <v>46245</v>
          </cell>
          <cell r="W283">
            <v>206</v>
          </cell>
          <cell r="X283">
            <v>27</v>
          </cell>
          <cell r="AA283">
            <v>0</v>
          </cell>
        </row>
        <row r="284">
          <cell r="D284" t="str">
            <v>R22</v>
          </cell>
          <cell r="N284">
            <v>46245</v>
          </cell>
          <cell r="O284">
            <v>111</v>
          </cell>
          <cell r="Q284">
            <v>6</v>
          </cell>
          <cell r="T284">
            <v>0</v>
          </cell>
          <cell r="V284">
            <v>46248</v>
          </cell>
          <cell r="W284">
            <v>188</v>
          </cell>
          <cell r="X284">
            <v>4</v>
          </cell>
          <cell r="AA284">
            <v>0</v>
          </cell>
        </row>
        <row r="285">
          <cell r="D285" t="str">
            <v>R23</v>
          </cell>
          <cell r="N285">
            <v>46247</v>
          </cell>
          <cell r="O285">
            <v>57</v>
          </cell>
          <cell r="Q285">
            <v>5</v>
          </cell>
          <cell r="T285">
            <v>0</v>
          </cell>
          <cell r="V285">
            <v>46247</v>
          </cell>
          <cell r="W285">
            <v>164</v>
          </cell>
          <cell r="X285">
            <v>7</v>
          </cell>
          <cell r="AA285">
            <v>0</v>
          </cell>
        </row>
        <row r="286">
          <cell r="D286" t="str">
            <v>R24</v>
          </cell>
          <cell r="T286">
            <v>0</v>
          </cell>
          <cell r="V286">
            <v>46248</v>
          </cell>
          <cell r="W286">
            <v>109</v>
          </cell>
          <cell r="X286">
            <v>2</v>
          </cell>
          <cell r="AA286">
            <v>0</v>
          </cell>
        </row>
        <row r="287">
          <cell r="D287" t="str">
            <v>R25</v>
          </cell>
          <cell r="N287">
            <v>46247</v>
          </cell>
          <cell r="O287">
            <v>114</v>
          </cell>
          <cell r="Q287">
            <v>11</v>
          </cell>
          <cell r="T287">
            <v>0</v>
          </cell>
          <cell r="AA287">
            <v>0</v>
          </cell>
        </row>
        <row r="288">
          <cell r="D288" t="str">
            <v>R26</v>
          </cell>
          <cell r="T288">
            <v>0</v>
          </cell>
          <cell r="AA288">
            <v>0</v>
          </cell>
        </row>
        <row r="289">
          <cell r="D289" t="str">
            <v>R27</v>
          </cell>
          <cell r="T289">
            <v>0</v>
          </cell>
          <cell r="AA289">
            <v>0</v>
          </cell>
        </row>
        <row r="290">
          <cell r="D290" t="str">
            <v>R28</v>
          </cell>
          <cell r="T290">
            <v>0</v>
          </cell>
          <cell r="AA290">
            <v>0</v>
          </cell>
        </row>
        <row r="291">
          <cell r="D291" t="str">
            <v>S16</v>
          </cell>
          <cell r="T291">
            <v>0</v>
          </cell>
          <cell r="AA291">
            <v>0</v>
          </cell>
        </row>
        <row r="292">
          <cell r="D292" t="str">
            <v>S17</v>
          </cell>
          <cell r="T292">
            <v>0</v>
          </cell>
          <cell r="AA292">
            <v>0</v>
          </cell>
        </row>
        <row r="293">
          <cell r="D293" t="str">
            <v>S18</v>
          </cell>
          <cell r="T293">
            <v>0</v>
          </cell>
          <cell r="AA293">
            <v>0</v>
          </cell>
        </row>
        <row r="294">
          <cell r="D294" t="str">
            <v>S19</v>
          </cell>
          <cell r="T294">
            <v>0</v>
          </cell>
          <cell r="AA294">
            <v>0</v>
          </cell>
        </row>
        <row r="295">
          <cell r="D295" t="str">
            <v>S20</v>
          </cell>
          <cell r="T295">
            <v>0</v>
          </cell>
          <cell r="AA295">
            <v>0</v>
          </cell>
        </row>
        <row r="296">
          <cell r="D296" t="str">
            <v>S21</v>
          </cell>
          <cell r="T296">
            <v>0</v>
          </cell>
          <cell r="AA296">
            <v>0</v>
          </cell>
        </row>
        <row r="297">
          <cell r="D297" t="str">
            <v>S22</v>
          </cell>
          <cell r="N297">
            <v>46235</v>
          </cell>
          <cell r="O297">
            <v>56</v>
          </cell>
          <cell r="Q297">
            <v>9</v>
          </cell>
          <cell r="T297">
            <v>0</v>
          </cell>
          <cell r="V297">
            <v>46235</v>
          </cell>
          <cell r="W297">
            <v>213</v>
          </cell>
          <cell r="X297">
            <v>13</v>
          </cell>
          <cell r="AA297">
            <v>0</v>
          </cell>
        </row>
        <row r="298">
          <cell r="D298" t="str">
            <v>S23</v>
          </cell>
          <cell r="N298">
            <v>46235</v>
          </cell>
          <cell r="O298">
            <v>55</v>
          </cell>
          <cell r="Q298">
            <v>7</v>
          </cell>
          <cell r="T298">
            <v>0</v>
          </cell>
          <cell r="V298">
            <v>46235</v>
          </cell>
          <cell r="W298">
            <v>210</v>
          </cell>
          <cell r="X298">
            <v>21</v>
          </cell>
          <cell r="AA298">
            <v>0</v>
          </cell>
        </row>
        <row r="299">
          <cell r="D299" t="str">
            <v>S24</v>
          </cell>
          <cell r="T299">
            <v>0</v>
          </cell>
          <cell r="AA299">
            <v>0</v>
          </cell>
        </row>
        <row r="300">
          <cell r="D300" t="str">
            <v>S25</v>
          </cell>
          <cell r="T300">
            <v>0</v>
          </cell>
          <cell r="AA300">
            <v>0</v>
          </cell>
        </row>
        <row r="301">
          <cell r="D301" t="str">
            <v>S26</v>
          </cell>
          <cell r="T301">
            <v>0</v>
          </cell>
          <cell r="AA301">
            <v>0</v>
          </cell>
        </row>
        <row r="302">
          <cell r="D302" t="str">
            <v>S27</v>
          </cell>
          <cell r="N302">
            <v>46248</v>
          </cell>
          <cell r="O302">
            <v>114</v>
          </cell>
          <cell r="Q302">
            <v>12</v>
          </cell>
          <cell r="T302">
            <v>0</v>
          </cell>
          <cell r="AA302">
            <v>0</v>
          </cell>
        </row>
        <row r="303">
          <cell r="D303" t="str">
            <v>S28</v>
          </cell>
          <cell r="T303">
            <v>0</v>
          </cell>
          <cell r="AA303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EKSI ROT 2 (2)"/>
      <sheetName val="Sheet1"/>
    </sheetNames>
    <sheetDataSet>
      <sheetData sheetId="0">
        <row r="343">
          <cell r="D343" t="str">
            <v>G26</v>
          </cell>
          <cell r="G343">
            <v>58</v>
          </cell>
          <cell r="I343">
            <v>3</v>
          </cell>
          <cell r="L343">
            <v>21</v>
          </cell>
          <cell r="M343">
            <v>2</v>
          </cell>
        </row>
        <row r="344">
          <cell r="D344" t="str">
            <v>G27</v>
          </cell>
          <cell r="G344">
            <v>38</v>
          </cell>
          <cell r="I344">
            <v>2</v>
          </cell>
          <cell r="L344">
            <v>58</v>
          </cell>
          <cell r="M344">
            <v>3</v>
          </cell>
        </row>
        <row r="345">
          <cell r="D345" t="str">
            <v>G28</v>
          </cell>
          <cell r="G345">
            <v>98</v>
          </cell>
          <cell r="I345">
            <v>3</v>
          </cell>
          <cell r="L345">
            <v>75</v>
          </cell>
          <cell r="M345">
            <v>2</v>
          </cell>
        </row>
        <row r="346">
          <cell r="D346" t="str">
            <v>G29</v>
          </cell>
          <cell r="G346">
            <v>101</v>
          </cell>
          <cell r="I346">
            <v>3</v>
          </cell>
          <cell r="L346">
            <v>58</v>
          </cell>
          <cell r="M346">
            <v>3</v>
          </cell>
        </row>
        <row r="347">
          <cell r="D347" t="str">
            <v>G30</v>
          </cell>
          <cell r="G347">
            <v>78</v>
          </cell>
          <cell r="I347">
            <v>2</v>
          </cell>
          <cell r="L347">
            <v>56</v>
          </cell>
          <cell r="M347">
            <v>3</v>
          </cell>
        </row>
        <row r="348">
          <cell r="D348" t="str">
            <v>G31</v>
          </cell>
          <cell r="G348">
            <v>94</v>
          </cell>
          <cell r="I348">
            <v>3</v>
          </cell>
          <cell r="L348">
            <v>54</v>
          </cell>
          <cell r="M348">
            <v>2</v>
          </cell>
        </row>
        <row r="349">
          <cell r="D349" t="str">
            <v>G32</v>
          </cell>
          <cell r="G349">
            <v>101</v>
          </cell>
          <cell r="I349">
            <v>4</v>
          </cell>
          <cell r="L349">
            <v>49</v>
          </cell>
          <cell r="M349">
            <v>1</v>
          </cell>
        </row>
        <row r="350">
          <cell r="D350" t="str">
            <v>G33</v>
          </cell>
          <cell r="G350">
            <v>167</v>
          </cell>
          <cell r="I350">
            <v>5</v>
          </cell>
          <cell r="L350">
            <v>58</v>
          </cell>
          <cell r="M350">
            <v>2</v>
          </cell>
        </row>
        <row r="351">
          <cell r="D351" t="str">
            <v>G34</v>
          </cell>
          <cell r="G351">
            <v>110</v>
          </cell>
          <cell r="I351">
            <v>3</v>
          </cell>
          <cell r="L351">
            <v>76</v>
          </cell>
          <cell r="M351">
            <v>3</v>
          </cell>
        </row>
        <row r="352">
          <cell r="D352" t="str">
            <v>G35</v>
          </cell>
          <cell r="G352">
            <v>1127</v>
          </cell>
          <cell r="I352">
            <v>3</v>
          </cell>
          <cell r="L352">
            <v>45</v>
          </cell>
          <cell r="M352">
            <v>3</v>
          </cell>
        </row>
        <row r="353">
          <cell r="D353" t="str">
            <v>H25</v>
          </cell>
          <cell r="G353">
            <v>95</v>
          </cell>
          <cell r="I353">
            <v>3</v>
          </cell>
          <cell r="L353">
            <v>78</v>
          </cell>
          <cell r="M353">
            <v>4</v>
          </cell>
        </row>
        <row r="354">
          <cell r="D354" t="str">
            <v>H26</v>
          </cell>
          <cell r="G354">
            <v>110</v>
          </cell>
          <cell r="I354">
            <v>2</v>
          </cell>
          <cell r="L354">
            <v>57</v>
          </cell>
          <cell r="M354">
            <v>3</v>
          </cell>
        </row>
        <row r="355">
          <cell r="D355" t="str">
            <v>H27</v>
          </cell>
          <cell r="G355">
            <v>78</v>
          </cell>
          <cell r="I355">
            <v>3</v>
          </cell>
          <cell r="L355">
            <v>75</v>
          </cell>
          <cell r="M355">
            <v>2</v>
          </cell>
        </row>
        <row r="356">
          <cell r="D356" t="str">
            <v>H28</v>
          </cell>
          <cell r="G356">
            <v>88</v>
          </cell>
          <cell r="I356">
            <v>3</v>
          </cell>
          <cell r="L356">
            <v>45</v>
          </cell>
          <cell r="M356">
            <v>3</v>
          </cell>
        </row>
        <row r="357">
          <cell r="D357" t="str">
            <v>H29</v>
          </cell>
          <cell r="G357">
            <v>115</v>
          </cell>
          <cell r="I357">
            <v>3</v>
          </cell>
          <cell r="L357">
            <v>52</v>
          </cell>
          <cell r="M357">
            <v>2</v>
          </cell>
        </row>
        <row r="358">
          <cell r="D358" t="str">
            <v>H30</v>
          </cell>
          <cell r="G358">
            <v>78</v>
          </cell>
          <cell r="I358">
            <v>3</v>
          </cell>
          <cell r="L358">
            <v>33</v>
          </cell>
          <cell r="M358">
            <v>3</v>
          </cell>
        </row>
        <row r="359">
          <cell r="D359" t="str">
            <v>H31</v>
          </cell>
          <cell r="G359">
            <v>95</v>
          </cell>
          <cell r="I359">
            <v>3</v>
          </cell>
          <cell r="L359">
            <v>53</v>
          </cell>
          <cell r="M359">
            <v>2</v>
          </cell>
        </row>
        <row r="360">
          <cell r="D360" t="str">
            <v>H32</v>
          </cell>
          <cell r="G360">
            <v>101</v>
          </cell>
          <cell r="I360">
            <v>2</v>
          </cell>
          <cell r="L360">
            <v>63</v>
          </cell>
          <cell r="M360">
            <v>3</v>
          </cell>
        </row>
        <row r="361">
          <cell r="D361" t="str">
            <v>H33</v>
          </cell>
          <cell r="G361">
            <v>73</v>
          </cell>
          <cell r="I361">
            <v>3</v>
          </cell>
          <cell r="L361">
            <v>54</v>
          </cell>
          <cell r="M361">
            <v>2</v>
          </cell>
        </row>
        <row r="362">
          <cell r="D362" t="str">
            <v>H34</v>
          </cell>
          <cell r="G362">
            <v>77</v>
          </cell>
          <cell r="I362">
            <v>3</v>
          </cell>
          <cell r="L362">
            <v>32</v>
          </cell>
          <cell r="M362">
            <v>3</v>
          </cell>
        </row>
        <row r="363">
          <cell r="D363" t="str">
            <v>I27</v>
          </cell>
          <cell r="G363">
            <v>112</v>
          </cell>
          <cell r="I363">
            <v>3</v>
          </cell>
          <cell r="L363">
            <v>25</v>
          </cell>
          <cell r="M363">
            <v>2</v>
          </cell>
        </row>
        <row r="364">
          <cell r="D364" t="str">
            <v>I28</v>
          </cell>
          <cell r="G364">
            <v>132</v>
          </cell>
          <cell r="I364">
            <v>3</v>
          </cell>
          <cell r="L364">
            <v>20</v>
          </cell>
          <cell r="M364">
            <v>3</v>
          </cell>
        </row>
        <row r="365">
          <cell r="D365" t="str">
            <v>I29</v>
          </cell>
          <cell r="G365">
            <v>123</v>
          </cell>
          <cell r="I365">
            <v>2</v>
          </cell>
          <cell r="L365">
            <v>35</v>
          </cell>
          <cell r="M365">
            <v>2</v>
          </cell>
        </row>
        <row r="366">
          <cell r="D366" t="str">
            <v>I30</v>
          </cell>
          <cell r="G366">
            <v>71</v>
          </cell>
          <cell r="I366">
            <v>3</v>
          </cell>
          <cell r="L366">
            <v>45</v>
          </cell>
          <cell r="M366">
            <v>3</v>
          </cell>
        </row>
        <row r="367">
          <cell r="D367" t="str">
            <v>I31</v>
          </cell>
          <cell r="G367">
            <v>121</v>
          </cell>
          <cell r="I367">
            <v>2</v>
          </cell>
          <cell r="L367">
            <v>58</v>
          </cell>
          <cell r="M367">
            <v>3</v>
          </cell>
        </row>
        <row r="368">
          <cell r="D368" t="str">
            <v>I32</v>
          </cell>
          <cell r="G368">
            <v>98</v>
          </cell>
          <cell r="I368">
            <v>3</v>
          </cell>
          <cell r="L368">
            <v>38</v>
          </cell>
          <cell r="M368">
            <v>2</v>
          </cell>
        </row>
        <row r="369">
          <cell r="D369" t="str">
            <v>I33</v>
          </cell>
          <cell r="G369">
            <v>125</v>
          </cell>
          <cell r="I369">
            <v>2</v>
          </cell>
          <cell r="L369">
            <v>75</v>
          </cell>
          <cell r="M369">
            <v>3</v>
          </cell>
        </row>
        <row r="370">
          <cell r="D370" t="str">
            <v>I34</v>
          </cell>
          <cell r="G370">
            <v>53</v>
          </cell>
          <cell r="I370">
            <v>2</v>
          </cell>
          <cell r="L370">
            <v>56</v>
          </cell>
          <cell r="M370">
            <v>3</v>
          </cell>
        </row>
        <row r="371">
          <cell r="D371" t="str">
            <v>I35</v>
          </cell>
          <cell r="G371">
            <v>135</v>
          </cell>
          <cell r="I371">
            <v>3</v>
          </cell>
          <cell r="L371">
            <v>67</v>
          </cell>
          <cell r="M371">
            <v>3</v>
          </cell>
        </row>
        <row r="372">
          <cell r="D372" t="str">
            <v>I36</v>
          </cell>
          <cell r="G372">
            <v>132</v>
          </cell>
          <cell r="I372">
            <v>3</v>
          </cell>
          <cell r="L372">
            <v>20</v>
          </cell>
          <cell r="M372">
            <v>3</v>
          </cell>
        </row>
        <row r="373">
          <cell r="D373" t="str">
            <v>I37</v>
          </cell>
          <cell r="G373">
            <v>101</v>
          </cell>
          <cell r="I373">
            <v>3</v>
          </cell>
          <cell r="L373">
            <v>98</v>
          </cell>
          <cell r="M373">
            <v>3</v>
          </cell>
        </row>
        <row r="374">
          <cell r="D374" t="str">
            <v>J28</v>
          </cell>
          <cell r="G374">
            <v>133</v>
          </cell>
          <cell r="I374">
            <v>3</v>
          </cell>
          <cell r="L374">
            <v>36</v>
          </cell>
          <cell r="M374">
            <v>2</v>
          </cell>
        </row>
        <row r="375">
          <cell r="D375" t="str">
            <v>J29</v>
          </cell>
          <cell r="G375">
            <v>116</v>
          </cell>
          <cell r="I375">
            <v>3</v>
          </cell>
          <cell r="L375">
            <v>48</v>
          </cell>
          <cell r="M375">
            <v>3</v>
          </cell>
        </row>
        <row r="376">
          <cell r="D376" t="str">
            <v>J30</v>
          </cell>
          <cell r="G376">
            <v>67</v>
          </cell>
          <cell r="I376">
            <v>2</v>
          </cell>
          <cell r="L376">
            <v>55</v>
          </cell>
          <cell r="M376">
            <v>3</v>
          </cell>
        </row>
        <row r="377">
          <cell r="D377" t="str">
            <v>J31</v>
          </cell>
          <cell r="G377">
            <v>125</v>
          </cell>
          <cell r="I377">
            <v>4</v>
          </cell>
          <cell r="L377">
            <v>65</v>
          </cell>
          <cell r="M377">
            <v>3</v>
          </cell>
        </row>
        <row r="378">
          <cell r="D378" t="str">
            <v>J32</v>
          </cell>
          <cell r="G378">
            <v>131</v>
          </cell>
          <cell r="I378">
            <v>3</v>
          </cell>
          <cell r="L378">
            <v>35</v>
          </cell>
          <cell r="M378">
            <v>2</v>
          </cell>
        </row>
        <row r="379">
          <cell r="D379" t="str">
            <v>J33</v>
          </cell>
          <cell r="G379">
            <v>127</v>
          </cell>
          <cell r="I379">
            <v>3</v>
          </cell>
          <cell r="L379">
            <v>45</v>
          </cell>
          <cell r="M379">
            <v>3</v>
          </cell>
        </row>
        <row r="380">
          <cell r="D380" t="str">
            <v>J34</v>
          </cell>
          <cell r="G380">
            <v>75</v>
          </cell>
          <cell r="I380">
            <v>3</v>
          </cell>
          <cell r="L380">
            <v>25</v>
          </cell>
          <cell r="M380">
            <v>3</v>
          </cell>
        </row>
        <row r="381">
          <cell r="D381" t="str">
            <v>J35</v>
          </cell>
          <cell r="G381">
            <v>34</v>
          </cell>
          <cell r="I381">
            <v>2</v>
          </cell>
          <cell r="L381">
            <v>33</v>
          </cell>
          <cell r="M381">
            <v>2</v>
          </cell>
        </row>
        <row r="382">
          <cell r="D382" t="str">
            <v>J36</v>
          </cell>
          <cell r="G382">
            <v>55</v>
          </cell>
          <cell r="I382">
            <v>3</v>
          </cell>
          <cell r="L382">
            <v>26</v>
          </cell>
          <cell r="M382">
            <v>3</v>
          </cell>
        </row>
        <row r="383">
          <cell r="D383" t="str">
            <v>J37</v>
          </cell>
          <cell r="G383">
            <v>115</v>
          </cell>
          <cell r="I383">
            <v>3</v>
          </cell>
          <cell r="L383">
            <v>58</v>
          </cell>
          <cell r="M383">
            <v>3</v>
          </cell>
        </row>
        <row r="384">
          <cell r="D384" t="str">
            <v>J38</v>
          </cell>
          <cell r="G384">
            <v>124</v>
          </cell>
          <cell r="I384">
            <v>3</v>
          </cell>
          <cell r="L384">
            <v>49</v>
          </cell>
          <cell r="M384">
            <v>2</v>
          </cell>
        </row>
        <row r="385">
          <cell r="D385" t="str">
            <v>K29</v>
          </cell>
          <cell r="G385">
            <v>66</v>
          </cell>
          <cell r="I385">
            <v>4</v>
          </cell>
          <cell r="L385">
            <v>35</v>
          </cell>
          <cell r="M385">
            <v>3</v>
          </cell>
        </row>
        <row r="386">
          <cell r="D386" t="str">
            <v>K30</v>
          </cell>
          <cell r="G386">
            <v>31</v>
          </cell>
          <cell r="I386">
            <v>2</v>
          </cell>
          <cell r="L386">
            <v>27</v>
          </cell>
          <cell r="M386">
            <v>2</v>
          </cell>
        </row>
        <row r="387">
          <cell r="D387" t="str">
            <v>K31</v>
          </cell>
          <cell r="G387">
            <v>68</v>
          </cell>
          <cell r="I387">
            <v>2</v>
          </cell>
          <cell r="L387">
            <v>56</v>
          </cell>
          <cell r="M387">
            <v>3</v>
          </cell>
        </row>
        <row r="388">
          <cell r="D388" t="str">
            <v>K32</v>
          </cell>
          <cell r="G388">
            <v>45</v>
          </cell>
          <cell r="I388">
            <v>2</v>
          </cell>
          <cell r="L388">
            <v>61</v>
          </cell>
          <cell r="M388">
            <v>2</v>
          </cell>
        </row>
        <row r="389">
          <cell r="D389" t="str">
            <v>K33</v>
          </cell>
          <cell r="G389">
            <v>41</v>
          </cell>
          <cell r="I389">
            <v>1</v>
          </cell>
          <cell r="L389">
            <v>56</v>
          </cell>
          <cell r="M389">
            <v>2</v>
          </cell>
        </row>
        <row r="390">
          <cell r="D390" t="str">
            <v>K34</v>
          </cell>
          <cell r="G390">
            <v>78</v>
          </cell>
          <cell r="I390">
            <v>3</v>
          </cell>
          <cell r="L390">
            <v>49</v>
          </cell>
          <cell r="M390">
            <v>2</v>
          </cell>
        </row>
        <row r="391">
          <cell r="D391" t="str">
            <v>K35</v>
          </cell>
          <cell r="G391">
            <v>13</v>
          </cell>
          <cell r="I391">
            <v>3</v>
          </cell>
          <cell r="L391">
            <v>28</v>
          </cell>
          <cell r="M391">
            <v>3</v>
          </cell>
        </row>
        <row r="392">
          <cell r="D392" t="str">
            <v>K36</v>
          </cell>
          <cell r="G392">
            <v>62</v>
          </cell>
          <cell r="I392">
            <v>3</v>
          </cell>
          <cell r="L392">
            <v>56</v>
          </cell>
          <cell r="M392">
            <v>3</v>
          </cell>
        </row>
        <row r="393">
          <cell r="D393" t="str">
            <v>K37</v>
          </cell>
          <cell r="G393">
            <v>117</v>
          </cell>
          <cell r="I393">
            <v>3</v>
          </cell>
          <cell r="L393">
            <v>86</v>
          </cell>
          <cell r="M393">
            <v>4</v>
          </cell>
        </row>
        <row r="394">
          <cell r="D394" t="str">
            <v>K38</v>
          </cell>
          <cell r="G394">
            <v>98</v>
          </cell>
          <cell r="I394">
            <v>4</v>
          </cell>
          <cell r="L394">
            <v>55</v>
          </cell>
          <cell r="M394">
            <v>2</v>
          </cell>
        </row>
        <row r="395">
          <cell r="D395" t="str">
            <v>K39</v>
          </cell>
          <cell r="G395">
            <v>162</v>
          </cell>
          <cell r="I395">
            <v>6</v>
          </cell>
          <cell r="L395">
            <v>87</v>
          </cell>
          <cell r="M395">
            <v>3</v>
          </cell>
        </row>
        <row r="396">
          <cell r="D396" t="str">
            <v>K40</v>
          </cell>
          <cell r="G396">
            <v>138</v>
          </cell>
          <cell r="I396">
            <v>3</v>
          </cell>
          <cell r="L396">
            <v>78</v>
          </cell>
          <cell r="M396">
            <v>3</v>
          </cell>
        </row>
        <row r="397">
          <cell r="D397" t="str">
            <v>L29</v>
          </cell>
          <cell r="G397">
            <v>95</v>
          </cell>
          <cell r="I397">
            <v>4</v>
          </cell>
          <cell r="L397">
            <v>87</v>
          </cell>
          <cell r="M397">
            <v>3</v>
          </cell>
        </row>
        <row r="398">
          <cell r="D398" t="str">
            <v>L30</v>
          </cell>
          <cell r="G398">
            <v>89</v>
          </cell>
          <cell r="I398">
            <v>5</v>
          </cell>
          <cell r="L398">
            <v>56</v>
          </cell>
          <cell r="M398">
            <v>4</v>
          </cell>
        </row>
        <row r="399">
          <cell r="D399" t="str">
            <v>L31</v>
          </cell>
          <cell r="G399">
            <v>102</v>
          </cell>
          <cell r="I399">
            <v>5</v>
          </cell>
          <cell r="L399">
            <v>65</v>
          </cell>
          <cell r="M399">
            <v>3</v>
          </cell>
        </row>
        <row r="400">
          <cell r="D400" t="str">
            <v>L32</v>
          </cell>
          <cell r="G400">
            <v>100</v>
          </cell>
          <cell r="I400">
            <v>5</v>
          </cell>
          <cell r="L400">
            <v>68</v>
          </cell>
          <cell r="M400">
            <v>5</v>
          </cell>
        </row>
        <row r="401">
          <cell r="D401" t="str">
            <v>L33</v>
          </cell>
          <cell r="G401">
            <v>102</v>
          </cell>
          <cell r="I401">
            <v>6</v>
          </cell>
          <cell r="L401">
            <v>95</v>
          </cell>
          <cell r="M401">
            <v>4</v>
          </cell>
        </row>
        <row r="402">
          <cell r="D402" t="str">
            <v>L34</v>
          </cell>
          <cell r="G402">
            <v>114</v>
          </cell>
          <cell r="I402">
            <v>3</v>
          </cell>
          <cell r="L402">
            <v>86</v>
          </cell>
          <cell r="M402">
            <v>3</v>
          </cell>
        </row>
        <row r="403">
          <cell r="D403" t="str">
            <v>L35</v>
          </cell>
          <cell r="G403">
            <v>110</v>
          </cell>
          <cell r="I403">
            <v>5</v>
          </cell>
          <cell r="L403">
            <v>65</v>
          </cell>
          <cell r="M403">
            <v>2</v>
          </cell>
        </row>
        <row r="404">
          <cell r="D404" t="str">
            <v>L36</v>
          </cell>
          <cell r="G404">
            <v>113</v>
          </cell>
          <cell r="I404">
            <v>5</v>
          </cell>
          <cell r="L404">
            <v>86</v>
          </cell>
          <cell r="M404">
            <v>4</v>
          </cell>
        </row>
        <row r="405">
          <cell r="D405" t="str">
            <v>L37</v>
          </cell>
          <cell r="G405">
            <v>110</v>
          </cell>
          <cell r="I405">
            <v>6</v>
          </cell>
          <cell r="L405">
            <v>79</v>
          </cell>
          <cell r="M405">
            <v>5</v>
          </cell>
        </row>
        <row r="406">
          <cell r="D406" t="str">
            <v>L38</v>
          </cell>
          <cell r="G406">
            <v>105</v>
          </cell>
          <cell r="I406">
            <v>4</v>
          </cell>
          <cell r="L406">
            <v>59</v>
          </cell>
          <cell r="M406">
            <v>3</v>
          </cell>
        </row>
        <row r="407">
          <cell r="D407" t="str">
            <v>L39</v>
          </cell>
          <cell r="G407">
            <v>128</v>
          </cell>
          <cell r="I407">
            <v>5</v>
          </cell>
          <cell r="L407">
            <v>67</v>
          </cell>
          <cell r="M407">
            <v>3</v>
          </cell>
        </row>
        <row r="408">
          <cell r="D408" t="str">
            <v>L40</v>
          </cell>
          <cell r="G408">
            <v>143</v>
          </cell>
          <cell r="I408">
            <v>6</v>
          </cell>
          <cell r="L408">
            <v>56</v>
          </cell>
          <cell r="M408">
            <v>2</v>
          </cell>
        </row>
        <row r="409">
          <cell r="D409" t="str">
            <v>M30</v>
          </cell>
          <cell r="G409">
            <v>142</v>
          </cell>
          <cell r="I409">
            <v>5</v>
          </cell>
          <cell r="L409">
            <v>76</v>
          </cell>
          <cell r="M409">
            <v>4</v>
          </cell>
        </row>
        <row r="410">
          <cell r="D410" t="str">
            <v>M31</v>
          </cell>
          <cell r="G410">
            <v>127</v>
          </cell>
          <cell r="I410">
            <v>6</v>
          </cell>
          <cell r="L410">
            <v>67</v>
          </cell>
          <cell r="M410">
            <v>2</v>
          </cell>
        </row>
        <row r="411">
          <cell r="D411" t="str">
            <v>M32</v>
          </cell>
          <cell r="G411">
            <v>78</v>
          </cell>
          <cell r="I411">
            <v>3</v>
          </cell>
          <cell r="L411">
            <v>78</v>
          </cell>
          <cell r="M411">
            <v>3</v>
          </cell>
        </row>
        <row r="412">
          <cell r="D412" t="str">
            <v>M33</v>
          </cell>
          <cell r="G412">
            <v>96</v>
          </cell>
          <cell r="I412">
            <v>4</v>
          </cell>
          <cell r="L412">
            <v>79</v>
          </cell>
          <cell r="M412">
            <v>4</v>
          </cell>
        </row>
        <row r="413">
          <cell r="D413" t="str">
            <v>M34</v>
          </cell>
          <cell r="G413">
            <v>97</v>
          </cell>
          <cell r="I413">
            <v>2</v>
          </cell>
          <cell r="L413">
            <v>102</v>
          </cell>
          <cell r="M413">
            <v>3</v>
          </cell>
        </row>
        <row r="414">
          <cell r="D414" t="str">
            <v>M35</v>
          </cell>
          <cell r="G414">
            <v>101</v>
          </cell>
          <cell r="I414">
            <v>4</v>
          </cell>
          <cell r="L414">
            <v>89</v>
          </cell>
          <cell r="M414">
            <v>4</v>
          </cell>
        </row>
        <row r="415">
          <cell r="D415" t="str">
            <v>M36</v>
          </cell>
          <cell r="G415">
            <v>97</v>
          </cell>
          <cell r="I415">
            <v>5</v>
          </cell>
          <cell r="L415">
            <v>58</v>
          </cell>
          <cell r="M415">
            <v>3</v>
          </cell>
        </row>
        <row r="416">
          <cell r="D416" t="str">
            <v>M37</v>
          </cell>
          <cell r="G416">
            <v>110</v>
          </cell>
          <cell r="I416">
            <v>6</v>
          </cell>
          <cell r="L416">
            <v>75</v>
          </cell>
          <cell r="M416">
            <v>5</v>
          </cell>
        </row>
        <row r="417">
          <cell r="D417" t="str">
            <v>M38</v>
          </cell>
          <cell r="G417">
            <v>112</v>
          </cell>
          <cell r="I417">
            <v>3</v>
          </cell>
          <cell r="L417">
            <v>84</v>
          </cell>
          <cell r="M417">
            <v>2</v>
          </cell>
        </row>
        <row r="418">
          <cell r="D418" t="str">
            <v>M39</v>
          </cell>
          <cell r="G418">
            <v>97</v>
          </cell>
          <cell r="I418">
            <v>2</v>
          </cell>
          <cell r="L418">
            <v>142</v>
          </cell>
          <cell r="M418">
            <v>3</v>
          </cell>
        </row>
        <row r="419">
          <cell r="D419" t="str">
            <v>M40</v>
          </cell>
          <cell r="G419">
            <v>142</v>
          </cell>
          <cell r="I419">
            <v>4</v>
          </cell>
          <cell r="L419">
            <v>129</v>
          </cell>
          <cell r="M419">
            <v>2</v>
          </cell>
        </row>
        <row r="420">
          <cell r="D420" t="str">
            <v>N30</v>
          </cell>
          <cell r="G420">
            <v>110</v>
          </cell>
          <cell r="I420">
            <v>4</v>
          </cell>
          <cell r="L420">
            <v>86</v>
          </cell>
          <cell r="M420">
            <v>3</v>
          </cell>
        </row>
        <row r="421">
          <cell r="D421" t="str">
            <v>N31</v>
          </cell>
          <cell r="G421">
            <v>113</v>
          </cell>
          <cell r="I421">
            <v>5</v>
          </cell>
          <cell r="L421">
            <v>94</v>
          </cell>
          <cell r="M421">
            <v>2</v>
          </cell>
        </row>
        <row r="422">
          <cell r="D422" t="str">
            <v>N32</v>
          </cell>
          <cell r="G422">
            <v>102</v>
          </cell>
          <cell r="I422">
            <v>3</v>
          </cell>
          <cell r="L422">
            <v>74</v>
          </cell>
          <cell r="M422">
            <v>4</v>
          </cell>
        </row>
        <row r="423">
          <cell r="D423" t="str">
            <v>N33</v>
          </cell>
          <cell r="G423">
            <v>99</v>
          </cell>
          <cell r="I423">
            <v>2</v>
          </cell>
          <cell r="L423">
            <v>142</v>
          </cell>
          <cell r="M423">
            <v>3</v>
          </cell>
        </row>
        <row r="424">
          <cell r="D424" t="str">
            <v>N34</v>
          </cell>
          <cell r="G424">
            <v>152</v>
          </cell>
          <cell r="I424">
            <v>4</v>
          </cell>
          <cell r="L424">
            <v>102</v>
          </cell>
          <cell r="M424">
            <v>1</v>
          </cell>
        </row>
        <row r="425">
          <cell r="D425" t="str">
            <v>N35</v>
          </cell>
          <cell r="G425">
            <v>112</v>
          </cell>
          <cell r="I425">
            <v>5</v>
          </cell>
          <cell r="L425">
            <v>89</v>
          </cell>
          <cell r="M425">
            <v>5</v>
          </cell>
        </row>
        <row r="426">
          <cell r="D426" t="str">
            <v>N36</v>
          </cell>
          <cell r="G426">
            <v>109</v>
          </cell>
          <cell r="I426">
            <v>4</v>
          </cell>
          <cell r="L426">
            <v>102</v>
          </cell>
          <cell r="M426">
            <v>3</v>
          </cell>
        </row>
        <row r="427">
          <cell r="D427" t="str">
            <v>N37</v>
          </cell>
          <cell r="G427">
            <v>100</v>
          </cell>
          <cell r="I427">
            <v>5</v>
          </cell>
          <cell r="L427">
            <v>93</v>
          </cell>
          <cell r="M427">
            <v>4</v>
          </cell>
        </row>
        <row r="428">
          <cell r="D428" t="str">
            <v>N38</v>
          </cell>
          <cell r="G428">
            <v>98</v>
          </cell>
          <cell r="I428">
            <v>6</v>
          </cell>
          <cell r="L428">
            <v>58</v>
          </cell>
          <cell r="M428">
            <v>5</v>
          </cell>
        </row>
        <row r="429">
          <cell r="D429" t="str">
            <v>N39</v>
          </cell>
          <cell r="G429">
            <v>112</v>
          </cell>
          <cell r="I429">
            <v>4</v>
          </cell>
          <cell r="L429">
            <v>65</v>
          </cell>
          <cell r="M429">
            <v>4</v>
          </cell>
        </row>
        <row r="430">
          <cell r="D430" t="str">
            <v>N40</v>
          </cell>
          <cell r="G430">
            <v>154</v>
          </cell>
          <cell r="I430">
            <v>6</v>
          </cell>
          <cell r="L430">
            <v>78</v>
          </cell>
          <cell r="M430">
            <v>3</v>
          </cell>
        </row>
        <row r="431">
          <cell r="D431" t="str">
            <v>N42</v>
          </cell>
          <cell r="G431">
            <v>129</v>
          </cell>
          <cell r="I431">
            <v>5</v>
          </cell>
          <cell r="L431">
            <v>67</v>
          </cell>
          <cell r="M431">
            <v>2</v>
          </cell>
        </row>
        <row r="432">
          <cell r="D432" t="str">
            <v>O31</v>
          </cell>
          <cell r="G432">
            <v>111</v>
          </cell>
          <cell r="I432">
            <v>4</v>
          </cell>
          <cell r="L432">
            <v>89</v>
          </cell>
          <cell r="M432">
            <v>5</v>
          </cell>
        </row>
        <row r="433">
          <cell r="D433" t="str">
            <v>O32</v>
          </cell>
          <cell r="G433">
            <v>108</v>
          </cell>
          <cell r="I433">
            <v>5</v>
          </cell>
          <cell r="L433">
            <v>75</v>
          </cell>
          <cell r="M433">
            <v>6</v>
          </cell>
        </row>
        <row r="434">
          <cell r="D434" t="str">
            <v>O33</v>
          </cell>
          <cell r="G434">
            <v>112</v>
          </cell>
          <cell r="I434">
            <v>4</v>
          </cell>
          <cell r="L434">
            <v>96</v>
          </cell>
          <cell r="M434">
            <v>4</v>
          </cell>
        </row>
        <row r="435">
          <cell r="D435" t="str">
            <v>O34</v>
          </cell>
          <cell r="G435">
            <v>101</v>
          </cell>
          <cell r="I435">
            <v>3</v>
          </cell>
          <cell r="L435">
            <v>78</v>
          </cell>
          <cell r="M435">
            <v>3</v>
          </cell>
        </row>
        <row r="436">
          <cell r="D436" t="str">
            <v>O35</v>
          </cell>
          <cell r="G436">
            <v>110</v>
          </cell>
          <cell r="I436">
            <v>5</v>
          </cell>
          <cell r="L436">
            <v>38</v>
          </cell>
          <cell r="M436">
            <v>2</v>
          </cell>
        </row>
        <row r="437">
          <cell r="D437" t="str">
            <v>O36</v>
          </cell>
          <cell r="G437">
            <v>142</v>
          </cell>
          <cell r="I437">
            <v>6</v>
          </cell>
          <cell r="L437">
            <v>78</v>
          </cell>
          <cell r="M437">
            <v>3</v>
          </cell>
        </row>
        <row r="438">
          <cell r="D438" t="str">
            <v>O37</v>
          </cell>
          <cell r="G438">
            <v>127</v>
          </cell>
          <cell r="I438">
            <v>4</v>
          </cell>
          <cell r="L438">
            <v>65</v>
          </cell>
          <cell r="M438">
            <v>2</v>
          </cell>
        </row>
        <row r="439">
          <cell r="D439" t="str">
            <v>O38</v>
          </cell>
          <cell r="G439">
            <v>110</v>
          </cell>
          <cell r="I439">
            <v>5</v>
          </cell>
          <cell r="L439">
            <v>96</v>
          </cell>
          <cell r="M439">
            <v>3</v>
          </cell>
        </row>
        <row r="440">
          <cell r="D440" t="str">
            <v>O39</v>
          </cell>
          <cell r="G440">
            <v>111</v>
          </cell>
          <cell r="I440">
            <v>4</v>
          </cell>
          <cell r="L440">
            <v>79</v>
          </cell>
          <cell r="M440">
            <v>4</v>
          </cell>
        </row>
        <row r="441">
          <cell r="D441" t="str">
            <v>O40</v>
          </cell>
          <cell r="G441">
            <v>113</v>
          </cell>
          <cell r="I441">
            <v>3</v>
          </cell>
          <cell r="L441">
            <v>85</v>
          </cell>
          <cell r="M441">
            <v>2</v>
          </cell>
        </row>
        <row r="442">
          <cell r="D442" t="str">
            <v>O42</v>
          </cell>
          <cell r="G442">
            <v>198</v>
          </cell>
          <cell r="I442">
            <v>9</v>
          </cell>
          <cell r="L442">
            <v>98</v>
          </cell>
          <cell r="M442">
            <v>4</v>
          </cell>
        </row>
        <row r="443">
          <cell r="D443" t="str">
            <v>P28</v>
          </cell>
          <cell r="G443">
            <v>36</v>
          </cell>
          <cell r="I443">
            <v>2</v>
          </cell>
          <cell r="L443">
            <v>60</v>
          </cell>
          <cell r="M443">
            <v>3</v>
          </cell>
        </row>
        <row r="444">
          <cell r="D444" t="str">
            <v>P29</v>
          </cell>
          <cell r="G444">
            <v>105</v>
          </cell>
          <cell r="I444">
            <v>6</v>
          </cell>
          <cell r="L444">
            <v>27</v>
          </cell>
          <cell r="M444">
            <v>3</v>
          </cell>
        </row>
        <row r="445">
          <cell r="D445" t="str">
            <v>P30</v>
          </cell>
          <cell r="G445">
            <v>110</v>
          </cell>
          <cell r="I445">
            <v>8</v>
          </cell>
          <cell r="L445">
            <v>64</v>
          </cell>
          <cell r="M445">
            <v>3</v>
          </cell>
        </row>
        <row r="446">
          <cell r="D446" t="str">
            <v>P31</v>
          </cell>
          <cell r="G446">
            <v>121</v>
          </cell>
          <cell r="I446">
            <v>5</v>
          </cell>
          <cell r="L446">
            <v>27</v>
          </cell>
          <cell r="M446">
            <v>1</v>
          </cell>
        </row>
        <row r="447">
          <cell r="D447" t="str">
            <v>P32</v>
          </cell>
          <cell r="G447">
            <v>110</v>
          </cell>
          <cell r="I447">
            <v>5</v>
          </cell>
          <cell r="L447">
            <v>38</v>
          </cell>
          <cell r="M447">
            <v>1</v>
          </cell>
        </row>
        <row r="448">
          <cell r="D448" t="str">
            <v>P33</v>
          </cell>
          <cell r="G448">
            <v>112</v>
          </cell>
          <cell r="I448">
            <v>5</v>
          </cell>
          <cell r="L448">
            <v>102</v>
          </cell>
          <cell r="M448">
            <v>4</v>
          </cell>
        </row>
        <row r="449">
          <cell r="D449" t="str">
            <v>P34</v>
          </cell>
          <cell r="G449">
            <v>112</v>
          </cell>
          <cell r="I449">
            <v>6</v>
          </cell>
          <cell r="L449">
            <v>45</v>
          </cell>
          <cell r="M449">
            <v>2</v>
          </cell>
        </row>
        <row r="450">
          <cell r="D450" t="str">
            <v>P35</v>
          </cell>
          <cell r="G450">
            <v>152</v>
          </cell>
          <cell r="I450">
            <v>7</v>
          </cell>
          <cell r="L450">
            <v>56</v>
          </cell>
          <cell r="M450">
            <v>2</v>
          </cell>
        </row>
        <row r="451">
          <cell r="D451" t="str">
            <v>P36</v>
          </cell>
          <cell r="G451">
            <v>108</v>
          </cell>
          <cell r="I451">
            <v>5</v>
          </cell>
          <cell r="L451">
            <v>39</v>
          </cell>
          <cell r="M451">
            <v>1</v>
          </cell>
        </row>
        <row r="452">
          <cell r="D452" t="str">
            <v>P37</v>
          </cell>
          <cell r="G452">
            <v>95</v>
          </cell>
          <cell r="I452">
            <v>2</v>
          </cell>
          <cell r="L452">
            <v>53</v>
          </cell>
          <cell r="M452">
            <v>2</v>
          </cell>
        </row>
        <row r="453">
          <cell r="D453" t="str">
            <v>P38</v>
          </cell>
          <cell r="G453">
            <v>112</v>
          </cell>
          <cell r="I453">
            <v>6</v>
          </cell>
          <cell r="L453">
            <v>41</v>
          </cell>
          <cell r="M453">
            <v>2</v>
          </cell>
        </row>
        <row r="454">
          <cell r="D454" t="str">
            <v>P39</v>
          </cell>
          <cell r="G454">
            <v>91</v>
          </cell>
          <cell r="I454">
            <v>4</v>
          </cell>
          <cell r="L454">
            <v>112</v>
          </cell>
          <cell r="M454">
            <v>6</v>
          </cell>
        </row>
        <row r="455">
          <cell r="D455" t="str">
            <v>Q31</v>
          </cell>
          <cell r="G455">
            <v>101</v>
          </cell>
          <cell r="I455">
            <v>3</v>
          </cell>
          <cell r="L455">
            <v>112</v>
          </cell>
          <cell r="M455">
            <v>4</v>
          </cell>
        </row>
        <row r="456">
          <cell r="D456" t="str">
            <v>Q32</v>
          </cell>
          <cell r="G456">
            <v>98</v>
          </cell>
          <cell r="I456">
            <v>2</v>
          </cell>
          <cell r="L456">
            <v>98</v>
          </cell>
          <cell r="M456">
            <v>3</v>
          </cell>
        </row>
        <row r="457">
          <cell r="D457" t="str">
            <v>Q33</v>
          </cell>
          <cell r="G457">
            <v>113</v>
          </cell>
          <cell r="I457">
            <v>2</v>
          </cell>
          <cell r="L457">
            <v>65</v>
          </cell>
          <cell r="M457">
            <v>3</v>
          </cell>
        </row>
        <row r="458">
          <cell r="D458" t="str">
            <v>Q34</v>
          </cell>
          <cell r="G458">
            <v>57</v>
          </cell>
          <cell r="I458">
            <v>2</v>
          </cell>
          <cell r="L458">
            <v>51</v>
          </cell>
          <cell r="M458">
            <v>2</v>
          </cell>
        </row>
        <row r="459">
          <cell r="D459" t="str">
            <v>Q35</v>
          </cell>
          <cell r="G459">
            <v>56</v>
          </cell>
          <cell r="I459">
            <v>3</v>
          </cell>
          <cell r="L459">
            <v>37</v>
          </cell>
          <cell r="M459">
            <v>4</v>
          </cell>
        </row>
        <row r="460">
          <cell r="D460" t="str">
            <v>Q36</v>
          </cell>
          <cell r="G460">
            <v>56</v>
          </cell>
          <cell r="I460">
            <v>2</v>
          </cell>
          <cell r="L460">
            <v>51</v>
          </cell>
          <cell r="M460">
            <v>2</v>
          </cell>
        </row>
        <row r="461">
          <cell r="D461" t="str">
            <v>Q37</v>
          </cell>
          <cell r="G461">
            <v>78</v>
          </cell>
          <cell r="I461">
            <v>3</v>
          </cell>
          <cell r="L461">
            <v>29</v>
          </cell>
          <cell r="M461">
            <v>3</v>
          </cell>
        </row>
        <row r="462">
          <cell r="D462" t="str">
            <v>Q38</v>
          </cell>
          <cell r="G462">
            <v>87</v>
          </cell>
          <cell r="I462">
            <v>2</v>
          </cell>
          <cell r="L462">
            <v>41</v>
          </cell>
          <cell r="M462">
            <v>1</v>
          </cell>
        </row>
        <row r="463">
          <cell r="D463" t="str">
            <v>Q39</v>
          </cell>
          <cell r="G463">
            <v>69</v>
          </cell>
          <cell r="I463">
            <v>1</v>
          </cell>
          <cell r="L463">
            <v>79</v>
          </cell>
          <cell r="M463">
            <v>2</v>
          </cell>
        </row>
        <row r="464">
          <cell r="D464" t="str">
            <v>Q40</v>
          </cell>
          <cell r="G464">
            <v>107</v>
          </cell>
          <cell r="I464">
            <v>5</v>
          </cell>
          <cell r="L464">
            <v>14</v>
          </cell>
          <cell r="M464">
            <v>2</v>
          </cell>
        </row>
        <row r="465">
          <cell r="D465" t="str">
            <v>Q41</v>
          </cell>
          <cell r="G465">
            <v>126</v>
          </cell>
          <cell r="I465">
            <v>6</v>
          </cell>
          <cell r="L465">
            <v>36</v>
          </cell>
          <cell r="M465">
            <v>1</v>
          </cell>
        </row>
        <row r="466">
          <cell r="D466" t="str">
            <v>Q42</v>
          </cell>
          <cell r="G466">
            <v>141</v>
          </cell>
          <cell r="I466">
            <v>7</v>
          </cell>
          <cell r="L466">
            <v>120</v>
          </cell>
          <cell r="M466">
            <v>9</v>
          </cell>
        </row>
        <row r="467">
          <cell r="D467" t="str">
            <v>R29</v>
          </cell>
          <cell r="G467">
            <v>67</v>
          </cell>
          <cell r="I467">
            <v>8</v>
          </cell>
          <cell r="L467">
            <v>44</v>
          </cell>
          <cell r="M467">
            <v>8</v>
          </cell>
        </row>
        <row r="468">
          <cell r="D468" t="str">
            <v>R30</v>
          </cell>
          <cell r="G468">
            <v>57</v>
          </cell>
          <cell r="I468">
            <v>6</v>
          </cell>
          <cell r="L468">
            <v>55</v>
          </cell>
          <cell r="M468">
            <v>7</v>
          </cell>
        </row>
        <row r="469">
          <cell r="D469" t="str">
            <v>R31</v>
          </cell>
          <cell r="G469">
            <v>112</v>
          </cell>
          <cell r="I469">
            <v>7</v>
          </cell>
          <cell r="L469">
            <v>65</v>
          </cell>
          <cell r="M469">
            <v>9</v>
          </cell>
        </row>
        <row r="470">
          <cell r="D470" t="str">
            <v>R32</v>
          </cell>
          <cell r="G470">
            <v>54</v>
          </cell>
          <cell r="I470">
            <v>4</v>
          </cell>
          <cell r="L470">
            <v>152</v>
          </cell>
          <cell r="M470">
            <v>11</v>
          </cell>
        </row>
        <row r="471">
          <cell r="D471" t="str">
            <v>R33</v>
          </cell>
          <cell r="G471">
            <v>152</v>
          </cell>
          <cell r="I471">
            <v>15</v>
          </cell>
          <cell r="L471">
            <v>66</v>
          </cell>
          <cell r="M471">
            <v>2</v>
          </cell>
        </row>
        <row r="472">
          <cell r="D472" t="str">
            <v>R34</v>
          </cell>
          <cell r="G472">
            <v>114</v>
          </cell>
          <cell r="I472">
            <v>12</v>
          </cell>
          <cell r="L472">
            <v>71</v>
          </cell>
          <cell r="M472">
            <v>11</v>
          </cell>
        </row>
        <row r="473">
          <cell r="D473" t="str">
            <v>R35</v>
          </cell>
          <cell r="G473">
            <v>56</v>
          </cell>
          <cell r="I473">
            <v>6</v>
          </cell>
          <cell r="L473">
            <v>50</v>
          </cell>
          <cell r="M473">
            <v>6</v>
          </cell>
        </row>
        <row r="474">
          <cell r="D474" t="str">
            <v>R36</v>
          </cell>
          <cell r="G474">
            <v>57</v>
          </cell>
          <cell r="I474">
            <v>7</v>
          </cell>
          <cell r="L474">
            <v>50</v>
          </cell>
          <cell r="M474">
            <v>5</v>
          </cell>
        </row>
        <row r="475">
          <cell r="D475" t="str">
            <v>R37</v>
          </cell>
          <cell r="G475">
            <v>54</v>
          </cell>
          <cell r="I475">
            <v>5</v>
          </cell>
          <cell r="L475">
            <v>50</v>
          </cell>
          <cell r="M475">
            <v>2</v>
          </cell>
        </row>
        <row r="476">
          <cell r="D476" t="str">
            <v>R38</v>
          </cell>
          <cell r="G476">
            <v>56</v>
          </cell>
          <cell r="I476">
            <v>6</v>
          </cell>
          <cell r="L476">
            <v>38</v>
          </cell>
          <cell r="M476">
            <v>3</v>
          </cell>
        </row>
        <row r="477">
          <cell r="D477" t="str">
            <v>R39</v>
          </cell>
          <cell r="G477">
            <v>57</v>
          </cell>
          <cell r="I477">
            <v>12</v>
          </cell>
          <cell r="L477">
            <v>46</v>
          </cell>
          <cell r="M477">
            <v>12</v>
          </cell>
        </row>
        <row r="478">
          <cell r="D478" t="str">
            <v>R40</v>
          </cell>
          <cell r="G478">
            <v>59</v>
          </cell>
          <cell r="I478">
            <v>7</v>
          </cell>
          <cell r="L478">
            <v>54</v>
          </cell>
          <cell r="M478">
            <v>7</v>
          </cell>
        </row>
        <row r="479">
          <cell r="D479" t="str">
            <v>R41</v>
          </cell>
          <cell r="G479">
            <v>58</v>
          </cell>
          <cell r="I479">
            <v>4</v>
          </cell>
          <cell r="L479">
            <v>49</v>
          </cell>
          <cell r="M479">
            <v>5</v>
          </cell>
        </row>
        <row r="480">
          <cell r="D480" t="str">
            <v>R42</v>
          </cell>
          <cell r="G480">
            <v>116</v>
          </cell>
          <cell r="I480">
            <v>7</v>
          </cell>
          <cell r="L480">
            <v>40</v>
          </cell>
          <cell r="M480">
            <v>5</v>
          </cell>
        </row>
        <row r="481">
          <cell r="D481" t="str">
            <v>R43</v>
          </cell>
          <cell r="G481">
            <v>89</v>
          </cell>
          <cell r="I481">
            <v>5</v>
          </cell>
          <cell r="L481">
            <v>89</v>
          </cell>
          <cell r="M481">
            <v>3</v>
          </cell>
        </row>
        <row r="482">
          <cell r="D482" t="str">
            <v>R44</v>
          </cell>
          <cell r="G482">
            <v>56</v>
          </cell>
          <cell r="I482">
            <v>3</v>
          </cell>
          <cell r="L482">
            <v>75</v>
          </cell>
          <cell r="M482">
            <v>4</v>
          </cell>
        </row>
        <row r="483">
          <cell r="D483" t="str">
            <v>R45</v>
          </cell>
          <cell r="G483">
            <v>68</v>
          </cell>
          <cell r="I483">
            <v>3</v>
          </cell>
          <cell r="L483">
            <v>85</v>
          </cell>
          <cell r="M483">
            <v>5</v>
          </cell>
        </row>
        <row r="484">
          <cell r="D484" t="str">
            <v>S29</v>
          </cell>
          <cell r="G484">
            <v>68</v>
          </cell>
          <cell r="I484">
            <v>3</v>
          </cell>
          <cell r="L484">
            <v>112</v>
          </cell>
          <cell r="M484">
            <v>5</v>
          </cell>
        </row>
        <row r="485">
          <cell r="D485" t="str">
            <v>S30</v>
          </cell>
          <cell r="G485">
            <v>75</v>
          </cell>
          <cell r="I485">
            <v>4</v>
          </cell>
          <cell r="L485">
            <v>98</v>
          </cell>
          <cell r="M485">
            <v>6</v>
          </cell>
        </row>
        <row r="486">
          <cell r="D486" t="str">
            <v>S31</v>
          </cell>
          <cell r="G486">
            <v>89</v>
          </cell>
          <cell r="I486">
            <v>5</v>
          </cell>
          <cell r="L486">
            <v>50</v>
          </cell>
          <cell r="M486">
            <v>4</v>
          </cell>
        </row>
        <row r="487">
          <cell r="D487" t="str">
            <v>S32</v>
          </cell>
          <cell r="G487">
            <v>61</v>
          </cell>
          <cell r="I487">
            <v>3</v>
          </cell>
          <cell r="L487">
            <v>43</v>
          </cell>
          <cell r="M487">
            <v>2</v>
          </cell>
        </row>
        <row r="488">
          <cell r="D488" t="str">
            <v>S33</v>
          </cell>
          <cell r="G488">
            <v>78</v>
          </cell>
          <cell r="I488">
            <v>4</v>
          </cell>
          <cell r="L488">
            <v>80</v>
          </cell>
          <cell r="M488">
            <v>5</v>
          </cell>
        </row>
        <row r="489">
          <cell r="D489" t="str">
            <v>S34</v>
          </cell>
          <cell r="G489">
            <v>58</v>
          </cell>
          <cell r="I489">
            <v>3</v>
          </cell>
          <cell r="L489">
            <v>98</v>
          </cell>
          <cell r="M489">
            <v>7</v>
          </cell>
        </row>
        <row r="490">
          <cell r="D490" t="str">
            <v>S35</v>
          </cell>
          <cell r="G490">
            <v>75</v>
          </cell>
          <cell r="I490">
            <v>4</v>
          </cell>
          <cell r="L490">
            <v>59</v>
          </cell>
          <cell r="M490">
            <v>4</v>
          </cell>
        </row>
        <row r="491">
          <cell r="D491" t="str">
            <v>S36</v>
          </cell>
          <cell r="G491">
            <v>54</v>
          </cell>
          <cell r="I491">
            <v>1</v>
          </cell>
          <cell r="L491">
            <v>69</v>
          </cell>
          <cell r="M491">
            <v>7</v>
          </cell>
        </row>
        <row r="492">
          <cell r="D492" t="str">
            <v>S37</v>
          </cell>
          <cell r="G492">
            <v>55</v>
          </cell>
          <cell r="I492">
            <v>1</v>
          </cell>
          <cell r="L492">
            <v>45</v>
          </cell>
          <cell r="M492">
            <v>4</v>
          </cell>
        </row>
        <row r="493">
          <cell r="D493" t="str">
            <v>S38</v>
          </cell>
          <cell r="G493">
            <v>107</v>
          </cell>
          <cell r="I493">
            <v>7</v>
          </cell>
          <cell r="L493">
            <v>67</v>
          </cell>
          <cell r="M493">
            <v>7</v>
          </cell>
        </row>
        <row r="494">
          <cell r="D494" t="str">
            <v>S39</v>
          </cell>
          <cell r="G494">
            <v>109</v>
          </cell>
          <cell r="I494">
            <v>4</v>
          </cell>
          <cell r="L494">
            <v>32</v>
          </cell>
          <cell r="M494">
            <v>6</v>
          </cell>
        </row>
        <row r="495">
          <cell r="D495" t="str">
            <v>S40</v>
          </cell>
          <cell r="G495">
            <v>112</v>
          </cell>
          <cell r="I495">
            <v>7</v>
          </cell>
          <cell r="L495">
            <v>58</v>
          </cell>
          <cell r="M495">
            <v>2</v>
          </cell>
        </row>
        <row r="496">
          <cell r="D496" t="str">
            <v>S41</v>
          </cell>
          <cell r="G496">
            <v>58</v>
          </cell>
          <cell r="I496">
            <v>3</v>
          </cell>
          <cell r="L496">
            <v>75</v>
          </cell>
          <cell r="M496">
            <v>3</v>
          </cell>
        </row>
        <row r="497">
          <cell r="D497" t="str">
            <v>S42</v>
          </cell>
          <cell r="G497">
            <v>98</v>
          </cell>
          <cell r="I497">
            <v>4</v>
          </cell>
          <cell r="L497">
            <v>54</v>
          </cell>
          <cell r="M497">
            <v>2</v>
          </cell>
        </row>
        <row r="498">
          <cell r="D498" t="str">
            <v>S43</v>
          </cell>
          <cell r="G498">
            <v>106</v>
          </cell>
          <cell r="I498">
            <v>5</v>
          </cell>
          <cell r="L498">
            <v>110</v>
          </cell>
          <cell r="M498">
            <v>1</v>
          </cell>
        </row>
        <row r="499">
          <cell r="D499" t="str">
            <v>S44</v>
          </cell>
          <cell r="G499">
            <v>109</v>
          </cell>
          <cell r="I499">
            <v>3</v>
          </cell>
          <cell r="L499">
            <v>200</v>
          </cell>
          <cell r="M499">
            <v>7</v>
          </cell>
        </row>
        <row r="500">
          <cell r="D500" t="str">
            <v>I38</v>
          </cell>
          <cell r="G500">
            <v>92</v>
          </cell>
          <cell r="I500">
            <v>3</v>
          </cell>
          <cell r="L500">
            <v>78</v>
          </cell>
          <cell r="M500">
            <v>2</v>
          </cell>
        </row>
        <row r="501">
          <cell r="D501" t="str">
            <v>I39</v>
          </cell>
          <cell r="G501">
            <v>106</v>
          </cell>
          <cell r="I501">
            <v>4</v>
          </cell>
          <cell r="L501">
            <v>81</v>
          </cell>
          <cell r="M501">
            <v>4</v>
          </cell>
        </row>
        <row r="502">
          <cell r="D502" t="str">
            <v>J39</v>
          </cell>
          <cell r="G502">
            <v>52</v>
          </cell>
          <cell r="I502">
            <v>1</v>
          </cell>
          <cell r="L502">
            <v>121</v>
          </cell>
          <cell r="M502">
            <v>5</v>
          </cell>
        </row>
        <row r="503">
          <cell r="D503" t="str">
            <v>J40</v>
          </cell>
          <cell r="G503">
            <v>49</v>
          </cell>
          <cell r="I503">
            <v>1</v>
          </cell>
          <cell r="L503">
            <v>56</v>
          </cell>
          <cell r="M503">
            <v>2</v>
          </cell>
        </row>
        <row r="504">
          <cell r="D504" t="str">
            <v>J41</v>
          </cell>
          <cell r="G504">
            <v>58</v>
          </cell>
          <cell r="I504">
            <v>2</v>
          </cell>
          <cell r="L504">
            <v>77</v>
          </cell>
          <cell r="M504">
            <v>4</v>
          </cell>
        </row>
        <row r="505">
          <cell r="D505" t="str">
            <v>J42</v>
          </cell>
          <cell r="G505">
            <v>59</v>
          </cell>
          <cell r="I505">
            <v>2</v>
          </cell>
          <cell r="L505">
            <v>175</v>
          </cell>
          <cell r="M505">
            <v>8</v>
          </cell>
        </row>
        <row r="506">
          <cell r="D506" t="str">
            <v>K41</v>
          </cell>
          <cell r="G506">
            <v>34</v>
          </cell>
          <cell r="I506">
            <v>1</v>
          </cell>
          <cell r="L506">
            <v>66</v>
          </cell>
          <cell r="M506">
            <v>3</v>
          </cell>
        </row>
        <row r="507">
          <cell r="D507" t="str">
            <v>K42</v>
          </cell>
          <cell r="G507">
            <v>99</v>
          </cell>
          <cell r="I507">
            <v>4</v>
          </cell>
          <cell r="L507">
            <v>93</v>
          </cell>
          <cell r="M507">
            <v>5</v>
          </cell>
        </row>
        <row r="508">
          <cell r="D508" t="str">
            <v>K43</v>
          </cell>
          <cell r="G508">
            <v>86</v>
          </cell>
          <cell r="I508">
            <v>3</v>
          </cell>
          <cell r="L508">
            <v>142</v>
          </cell>
          <cell r="M508">
            <v>2</v>
          </cell>
        </row>
        <row r="509">
          <cell r="D509" t="str">
            <v>K44</v>
          </cell>
          <cell r="G509">
            <v>105</v>
          </cell>
          <cell r="I509">
            <v>5</v>
          </cell>
          <cell r="L509">
            <v>125</v>
          </cell>
          <cell r="M509">
            <v>5</v>
          </cell>
        </row>
        <row r="510">
          <cell r="D510" t="str">
            <v>K45</v>
          </cell>
          <cell r="G510">
            <v>210</v>
          </cell>
          <cell r="I510">
            <v>9</v>
          </cell>
          <cell r="L510">
            <v>35</v>
          </cell>
          <cell r="M510">
            <v>1</v>
          </cell>
        </row>
        <row r="511">
          <cell r="D511" t="str">
            <v>K46</v>
          </cell>
          <cell r="G511">
            <v>74</v>
          </cell>
          <cell r="I511">
            <v>2</v>
          </cell>
          <cell r="L511">
            <v>30</v>
          </cell>
          <cell r="M511">
            <v>1</v>
          </cell>
        </row>
        <row r="512">
          <cell r="D512" t="str">
            <v>L41</v>
          </cell>
          <cell r="G512">
            <v>94</v>
          </cell>
          <cell r="I512">
            <v>3</v>
          </cell>
          <cell r="L512">
            <v>152</v>
          </cell>
          <cell r="M512">
            <v>6</v>
          </cell>
        </row>
        <row r="513">
          <cell r="D513" t="str">
            <v>L42</v>
          </cell>
          <cell r="G513">
            <v>110</v>
          </cell>
          <cell r="I513">
            <v>3</v>
          </cell>
          <cell r="L513">
            <v>98</v>
          </cell>
          <cell r="M513">
            <v>4</v>
          </cell>
        </row>
        <row r="514">
          <cell r="D514" t="str">
            <v>L43</v>
          </cell>
          <cell r="G514">
            <v>68</v>
          </cell>
          <cell r="I514">
            <v>1</v>
          </cell>
          <cell r="L514">
            <v>47</v>
          </cell>
          <cell r="M514">
            <v>1</v>
          </cell>
        </row>
        <row r="515">
          <cell r="D515" t="str">
            <v>L44</v>
          </cell>
          <cell r="G515">
            <v>73</v>
          </cell>
          <cell r="I515">
            <v>3</v>
          </cell>
          <cell r="L515">
            <v>65</v>
          </cell>
          <cell r="M515">
            <v>3</v>
          </cell>
        </row>
        <row r="516">
          <cell r="D516" t="str">
            <v>L45</v>
          </cell>
          <cell r="G516">
            <v>69</v>
          </cell>
          <cell r="I516">
            <v>3</v>
          </cell>
          <cell r="L516">
            <v>31</v>
          </cell>
          <cell r="M516">
            <v>1</v>
          </cell>
        </row>
        <row r="517">
          <cell r="D517" t="str">
            <v>L46</v>
          </cell>
          <cell r="G517">
            <v>101</v>
          </cell>
          <cell r="I517">
            <v>5</v>
          </cell>
          <cell r="L517">
            <v>45</v>
          </cell>
          <cell r="M517">
            <v>1</v>
          </cell>
        </row>
        <row r="518">
          <cell r="D518" t="str">
            <v>L47</v>
          </cell>
          <cell r="G518">
            <v>87</v>
          </cell>
          <cell r="I518">
            <v>4</v>
          </cell>
          <cell r="L518">
            <v>150</v>
          </cell>
          <cell r="M518">
            <v>10</v>
          </cell>
        </row>
        <row r="519">
          <cell r="D519" t="str">
            <v>M41</v>
          </cell>
          <cell r="G519">
            <v>132</v>
          </cell>
          <cell r="I519">
            <v>6</v>
          </cell>
          <cell r="L519">
            <v>43</v>
          </cell>
          <cell r="M519">
            <v>3</v>
          </cell>
        </row>
        <row r="520">
          <cell r="D520" t="str">
            <v>M42</v>
          </cell>
          <cell r="G520">
            <v>109</v>
          </cell>
          <cell r="I520">
            <v>8</v>
          </cell>
          <cell r="L520">
            <v>21</v>
          </cell>
          <cell r="M520">
            <v>2</v>
          </cell>
        </row>
        <row r="521">
          <cell r="D521" t="str">
            <v>M43</v>
          </cell>
          <cell r="G521">
            <v>112</v>
          </cell>
          <cell r="I521">
            <v>9</v>
          </cell>
          <cell r="L521">
            <v>39</v>
          </cell>
          <cell r="M521">
            <v>3</v>
          </cell>
        </row>
        <row r="522">
          <cell r="D522" t="str">
            <v>M44</v>
          </cell>
          <cell r="G522">
            <v>98</v>
          </cell>
          <cell r="I522">
            <v>4</v>
          </cell>
          <cell r="L522">
            <v>56</v>
          </cell>
          <cell r="M522">
            <v>2</v>
          </cell>
        </row>
        <row r="523">
          <cell r="D523" t="str">
            <v>M45</v>
          </cell>
          <cell r="G523">
            <v>67</v>
          </cell>
          <cell r="I523">
            <v>3</v>
          </cell>
          <cell r="L523">
            <v>98</v>
          </cell>
          <cell r="M523">
            <v>4</v>
          </cell>
        </row>
        <row r="524">
          <cell r="D524" t="str">
            <v>M46</v>
          </cell>
          <cell r="G524">
            <v>98</v>
          </cell>
          <cell r="I524">
            <v>4</v>
          </cell>
          <cell r="L524">
            <v>39</v>
          </cell>
          <cell r="M524">
            <v>1</v>
          </cell>
        </row>
        <row r="525">
          <cell r="D525" t="str">
            <v>M47</v>
          </cell>
          <cell r="G525">
            <v>233</v>
          </cell>
          <cell r="I525">
            <v>10</v>
          </cell>
          <cell r="L525">
            <v>56</v>
          </cell>
          <cell r="M525">
            <v>2</v>
          </cell>
        </row>
        <row r="526">
          <cell r="D526" t="str">
            <v>N43</v>
          </cell>
          <cell r="G526">
            <v>210</v>
          </cell>
          <cell r="I526">
            <v>16</v>
          </cell>
          <cell r="L526">
            <v>35</v>
          </cell>
          <cell r="M526">
            <v>4</v>
          </cell>
        </row>
        <row r="527">
          <cell r="D527" t="str">
            <v>N44</v>
          </cell>
          <cell r="G527">
            <v>153</v>
          </cell>
          <cell r="I527">
            <v>9</v>
          </cell>
          <cell r="L527">
            <v>78</v>
          </cell>
          <cell r="M527">
            <v>4</v>
          </cell>
        </row>
        <row r="528">
          <cell r="D528" t="str">
            <v>N45</v>
          </cell>
          <cell r="G528">
            <v>115</v>
          </cell>
          <cell r="I528">
            <v>5</v>
          </cell>
          <cell r="L528">
            <v>33</v>
          </cell>
          <cell r="M528">
            <v>1</v>
          </cell>
        </row>
        <row r="529">
          <cell r="D529" t="str">
            <v>N46</v>
          </cell>
          <cell r="G529">
            <v>110</v>
          </cell>
          <cell r="I529">
            <v>5</v>
          </cell>
          <cell r="L529">
            <v>59</v>
          </cell>
          <cell r="M529">
            <v>1</v>
          </cell>
        </row>
        <row r="530">
          <cell r="D530" t="str">
            <v>N47</v>
          </cell>
          <cell r="G530">
            <v>156</v>
          </cell>
          <cell r="I530">
            <v>7</v>
          </cell>
          <cell r="L530">
            <v>121</v>
          </cell>
          <cell r="M530">
            <v>5</v>
          </cell>
        </row>
        <row r="531">
          <cell r="D531" t="str">
            <v>N48</v>
          </cell>
          <cell r="G531">
            <v>126</v>
          </cell>
          <cell r="I531">
            <v>5</v>
          </cell>
          <cell r="L531">
            <v>50</v>
          </cell>
          <cell r="M531">
            <v>1</v>
          </cell>
        </row>
        <row r="532">
          <cell r="D532" t="str">
            <v>N49</v>
          </cell>
          <cell r="G532">
            <v>99</v>
          </cell>
          <cell r="I532">
            <v>3</v>
          </cell>
          <cell r="L532">
            <v>45</v>
          </cell>
          <cell r="M532">
            <v>2</v>
          </cell>
        </row>
        <row r="533">
          <cell r="D533" t="str">
            <v>L48</v>
          </cell>
          <cell r="G533">
            <v>62</v>
          </cell>
          <cell r="I533">
            <v>6</v>
          </cell>
          <cell r="L533">
            <v>92</v>
          </cell>
          <cell r="M533">
            <v>5</v>
          </cell>
        </row>
        <row r="534">
          <cell r="D534" t="str">
            <v>L49</v>
          </cell>
          <cell r="G534">
            <v>43</v>
          </cell>
          <cell r="I534">
            <v>3</v>
          </cell>
          <cell r="L534">
            <v>56</v>
          </cell>
          <cell r="M534">
            <v>4</v>
          </cell>
        </row>
        <row r="535">
          <cell r="D535" t="str">
            <v>M48</v>
          </cell>
          <cell r="G535">
            <v>53</v>
          </cell>
          <cell r="I535">
            <v>2</v>
          </cell>
          <cell r="L535">
            <v>44</v>
          </cell>
          <cell r="M535">
            <v>3</v>
          </cell>
        </row>
        <row r="536">
          <cell r="D536" t="str">
            <v>M49</v>
          </cell>
          <cell r="G536">
            <v>33</v>
          </cell>
          <cell r="I536">
            <v>1</v>
          </cell>
          <cell r="L536">
            <v>22</v>
          </cell>
          <cell r="M536">
            <v>1</v>
          </cell>
        </row>
        <row r="537">
          <cell r="D537" t="str">
            <v>M50</v>
          </cell>
          <cell r="G537">
            <v>56</v>
          </cell>
          <cell r="I537">
            <v>1</v>
          </cell>
          <cell r="L537">
            <v>90</v>
          </cell>
          <cell r="M537">
            <v>2</v>
          </cell>
        </row>
        <row r="538">
          <cell r="D538" t="str">
            <v>M51</v>
          </cell>
          <cell r="G538">
            <v>39</v>
          </cell>
          <cell r="I538">
            <v>1</v>
          </cell>
          <cell r="L538">
            <v>26</v>
          </cell>
          <cell r="M538">
            <v>2</v>
          </cell>
        </row>
        <row r="539">
          <cell r="D539" t="str">
            <v>M52</v>
          </cell>
          <cell r="G539">
            <v>42</v>
          </cell>
          <cell r="I539">
            <v>2</v>
          </cell>
          <cell r="L539">
            <v>48</v>
          </cell>
          <cell r="M539">
            <v>1</v>
          </cell>
        </row>
        <row r="540">
          <cell r="D540" t="str">
            <v>N50</v>
          </cell>
          <cell r="G540">
            <v>48</v>
          </cell>
          <cell r="I540">
            <v>2</v>
          </cell>
          <cell r="L540">
            <v>28</v>
          </cell>
          <cell r="M540">
            <v>2</v>
          </cell>
        </row>
        <row r="541">
          <cell r="D541" t="str">
            <v>N51</v>
          </cell>
          <cell r="G541">
            <v>56</v>
          </cell>
          <cell r="I541">
            <v>2</v>
          </cell>
          <cell r="L541">
            <v>54</v>
          </cell>
          <cell r="M541">
            <v>2</v>
          </cell>
        </row>
        <row r="542">
          <cell r="D542" t="str">
            <v>N52</v>
          </cell>
          <cell r="G542">
            <v>78</v>
          </cell>
          <cell r="I542">
            <v>2</v>
          </cell>
          <cell r="L542">
            <v>47</v>
          </cell>
          <cell r="M542">
            <v>1</v>
          </cell>
        </row>
        <row r="543">
          <cell r="D543" t="str">
            <v>N53</v>
          </cell>
          <cell r="G543">
            <v>67</v>
          </cell>
          <cell r="I543">
            <v>1</v>
          </cell>
          <cell r="L543">
            <v>29</v>
          </cell>
          <cell r="M543">
            <v>1</v>
          </cell>
        </row>
        <row r="544">
          <cell r="D544" t="str">
            <v>N54</v>
          </cell>
          <cell r="G544">
            <v>61</v>
          </cell>
          <cell r="I544">
            <v>2</v>
          </cell>
          <cell r="L544">
            <v>35</v>
          </cell>
          <cell r="M544">
            <v>1</v>
          </cell>
        </row>
        <row r="545">
          <cell r="D545" t="str">
            <v>N55</v>
          </cell>
          <cell r="G545">
            <v>87</v>
          </cell>
          <cell r="I545">
            <v>2</v>
          </cell>
          <cell r="L545">
            <v>53</v>
          </cell>
          <cell r="M545">
            <v>2</v>
          </cell>
        </row>
        <row r="546">
          <cell r="D546" t="str">
            <v>N56</v>
          </cell>
          <cell r="G546">
            <v>98</v>
          </cell>
          <cell r="I546">
            <v>3</v>
          </cell>
          <cell r="L546">
            <v>63</v>
          </cell>
          <cell r="M546">
            <v>1</v>
          </cell>
        </row>
        <row r="547">
          <cell r="D547" t="str">
            <v>N57</v>
          </cell>
          <cell r="G547">
            <v>142</v>
          </cell>
          <cell r="I547">
            <v>7</v>
          </cell>
          <cell r="L547">
            <v>27</v>
          </cell>
          <cell r="M547">
            <v>1</v>
          </cell>
        </row>
        <row r="548">
          <cell r="D548" t="str">
            <v>O51</v>
          </cell>
          <cell r="G548">
            <v>39</v>
          </cell>
          <cell r="I548">
            <v>1</v>
          </cell>
          <cell r="L548">
            <v>41</v>
          </cell>
          <cell r="M548">
            <v>2</v>
          </cell>
        </row>
        <row r="549">
          <cell r="D549" t="str">
            <v>O52</v>
          </cell>
          <cell r="G549">
            <v>40</v>
          </cell>
          <cell r="I549">
            <v>2</v>
          </cell>
          <cell r="L549">
            <v>36</v>
          </cell>
          <cell r="M549">
            <v>1</v>
          </cell>
        </row>
        <row r="550">
          <cell r="D550" t="str">
            <v>O53</v>
          </cell>
          <cell r="G550">
            <v>39</v>
          </cell>
          <cell r="I550">
            <v>1</v>
          </cell>
          <cell r="L550">
            <v>61</v>
          </cell>
          <cell r="M550">
            <v>2</v>
          </cell>
        </row>
        <row r="551">
          <cell r="D551" t="str">
            <v>O54</v>
          </cell>
          <cell r="G551">
            <v>46</v>
          </cell>
          <cell r="I551">
            <v>2</v>
          </cell>
          <cell r="L551">
            <v>48</v>
          </cell>
          <cell r="M551">
            <v>1</v>
          </cell>
        </row>
        <row r="552">
          <cell r="D552" t="str">
            <v>O55</v>
          </cell>
          <cell r="G552">
            <v>63</v>
          </cell>
          <cell r="I552">
            <v>2</v>
          </cell>
          <cell r="L552">
            <v>56</v>
          </cell>
          <cell r="M552">
            <v>2</v>
          </cell>
        </row>
        <row r="553">
          <cell r="D553" t="str">
            <v>O56</v>
          </cell>
          <cell r="G553">
            <v>54</v>
          </cell>
          <cell r="I553">
            <v>1</v>
          </cell>
          <cell r="L553">
            <v>43</v>
          </cell>
          <cell r="M553">
            <v>2</v>
          </cell>
        </row>
        <row r="554">
          <cell r="D554" t="str">
            <v>O57</v>
          </cell>
          <cell r="G554">
            <v>65</v>
          </cell>
          <cell r="I554">
            <v>2</v>
          </cell>
          <cell r="L554">
            <v>36</v>
          </cell>
          <cell r="M554">
            <v>1</v>
          </cell>
        </row>
        <row r="555">
          <cell r="D555" t="str">
            <v>O58</v>
          </cell>
          <cell r="G555">
            <v>53</v>
          </cell>
          <cell r="I555">
            <v>2</v>
          </cell>
          <cell r="L555">
            <v>48</v>
          </cell>
          <cell r="M555">
            <v>1</v>
          </cell>
        </row>
        <row r="556">
          <cell r="D556" t="str">
            <v>O59</v>
          </cell>
          <cell r="G556">
            <v>76</v>
          </cell>
          <cell r="I556">
            <v>3</v>
          </cell>
          <cell r="L556">
            <v>34</v>
          </cell>
          <cell r="M556">
            <v>1</v>
          </cell>
        </row>
        <row r="557">
          <cell r="D557" t="str">
            <v>P48</v>
          </cell>
          <cell r="G557">
            <v>49</v>
          </cell>
          <cell r="I557">
            <v>2</v>
          </cell>
          <cell r="L557">
            <v>55</v>
          </cell>
          <cell r="M557">
            <v>5</v>
          </cell>
        </row>
        <row r="558">
          <cell r="D558" t="str">
            <v>P49</v>
          </cell>
          <cell r="G558">
            <v>42</v>
          </cell>
          <cell r="I558">
            <v>1</v>
          </cell>
          <cell r="L558">
            <v>49</v>
          </cell>
          <cell r="M558">
            <v>1</v>
          </cell>
        </row>
        <row r="559">
          <cell r="D559" t="str">
            <v>P50</v>
          </cell>
          <cell r="G559">
            <v>35</v>
          </cell>
          <cell r="I559">
            <v>1</v>
          </cell>
          <cell r="L559">
            <v>51</v>
          </cell>
          <cell r="M559">
            <v>4</v>
          </cell>
        </row>
        <row r="560">
          <cell r="D560" t="str">
            <v>P51</v>
          </cell>
          <cell r="G560">
            <v>45</v>
          </cell>
          <cell r="I560">
            <v>1</v>
          </cell>
          <cell r="L560">
            <v>29</v>
          </cell>
          <cell r="M560">
            <v>1</v>
          </cell>
        </row>
        <row r="561">
          <cell r="D561" t="str">
            <v>P52</v>
          </cell>
          <cell r="G561">
            <v>51</v>
          </cell>
          <cell r="I561">
            <v>1</v>
          </cell>
          <cell r="L561">
            <v>50</v>
          </cell>
          <cell r="M561">
            <v>1</v>
          </cell>
        </row>
        <row r="562">
          <cell r="D562" t="str">
            <v>P53</v>
          </cell>
          <cell r="G562">
            <v>27</v>
          </cell>
          <cell r="I562">
            <v>1</v>
          </cell>
          <cell r="L562">
            <v>33</v>
          </cell>
          <cell r="M562">
            <v>1</v>
          </cell>
        </row>
        <row r="563">
          <cell r="D563" t="str">
            <v>O43</v>
          </cell>
          <cell r="G563">
            <v>125</v>
          </cell>
          <cell r="I563">
            <v>12</v>
          </cell>
          <cell r="L563">
            <v>102</v>
          </cell>
          <cell r="M563">
            <v>6</v>
          </cell>
        </row>
        <row r="564">
          <cell r="D564" t="str">
            <v>O44</v>
          </cell>
          <cell r="G564">
            <v>145</v>
          </cell>
          <cell r="I564">
            <v>10</v>
          </cell>
          <cell r="L564">
            <v>50</v>
          </cell>
          <cell r="M564">
            <v>3</v>
          </cell>
        </row>
        <row r="565">
          <cell r="D565" t="str">
            <v>O45</v>
          </cell>
          <cell r="G565">
            <v>132</v>
          </cell>
          <cell r="I565">
            <v>2</v>
          </cell>
          <cell r="L565">
            <v>143</v>
          </cell>
          <cell r="M565">
            <v>6</v>
          </cell>
        </row>
        <row r="566">
          <cell r="D566" t="str">
            <v>O46</v>
          </cell>
          <cell r="G566">
            <v>115</v>
          </cell>
          <cell r="I566">
            <v>10</v>
          </cell>
          <cell r="L566">
            <v>33</v>
          </cell>
          <cell r="M566">
            <v>1</v>
          </cell>
        </row>
        <row r="567">
          <cell r="D567" t="str">
            <v>O47</v>
          </cell>
          <cell r="G567">
            <v>109</v>
          </cell>
          <cell r="I567">
            <v>1</v>
          </cell>
          <cell r="L567">
            <v>64</v>
          </cell>
          <cell r="M567">
            <v>1</v>
          </cell>
        </row>
        <row r="568">
          <cell r="D568" t="str">
            <v>O48</v>
          </cell>
          <cell r="G568">
            <v>123</v>
          </cell>
          <cell r="I568">
            <v>9</v>
          </cell>
          <cell r="L568">
            <v>109</v>
          </cell>
          <cell r="M568">
            <v>4</v>
          </cell>
        </row>
        <row r="569">
          <cell r="D569" t="str">
            <v>O49</v>
          </cell>
          <cell r="G569">
            <v>109</v>
          </cell>
          <cell r="I569">
            <v>9</v>
          </cell>
          <cell r="L569">
            <v>189</v>
          </cell>
          <cell r="M569">
            <v>11</v>
          </cell>
        </row>
        <row r="570">
          <cell r="D570" t="str">
            <v>O50</v>
          </cell>
          <cell r="G570">
            <v>25</v>
          </cell>
          <cell r="I570">
            <v>2</v>
          </cell>
          <cell r="L570">
            <v>119</v>
          </cell>
          <cell r="M570">
            <v>3</v>
          </cell>
        </row>
        <row r="571">
          <cell r="D571" t="str">
            <v>P40</v>
          </cell>
          <cell r="G571">
            <v>35</v>
          </cell>
          <cell r="I571">
            <v>4</v>
          </cell>
          <cell r="L571">
            <v>115</v>
          </cell>
          <cell r="M571">
            <v>4</v>
          </cell>
        </row>
        <row r="572">
          <cell r="D572" t="str">
            <v>P41</v>
          </cell>
          <cell r="G572">
            <v>32</v>
          </cell>
          <cell r="I572">
            <v>2</v>
          </cell>
          <cell r="L572">
            <v>135</v>
          </cell>
          <cell r="M572">
            <v>3</v>
          </cell>
        </row>
        <row r="573">
          <cell r="D573" t="str">
            <v>P42</v>
          </cell>
          <cell r="G573">
            <v>52</v>
          </cell>
          <cell r="I573">
            <v>4</v>
          </cell>
          <cell r="L573">
            <v>50</v>
          </cell>
          <cell r="M573">
            <v>2</v>
          </cell>
        </row>
        <row r="574">
          <cell r="D574" t="str">
            <v>P43</v>
          </cell>
          <cell r="G574">
            <v>24</v>
          </cell>
          <cell r="I574">
            <v>2</v>
          </cell>
          <cell r="L574">
            <v>105</v>
          </cell>
          <cell r="M574">
            <v>5</v>
          </cell>
        </row>
        <row r="575">
          <cell r="D575" t="str">
            <v>P44</v>
          </cell>
          <cell r="G575">
            <v>88</v>
          </cell>
          <cell r="I575">
            <v>5</v>
          </cell>
          <cell r="L575">
            <v>152</v>
          </cell>
          <cell r="M575">
            <v>5</v>
          </cell>
        </row>
        <row r="576">
          <cell r="D576" t="str">
            <v>P45</v>
          </cell>
          <cell r="G576">
            <v>103</v>
          </cell>
          <cell r="I576">
            <v>7</v>
          </cell>
          <cell r="L576">
            <v>64</v>
          </cell>
          <cell r="M576">
            <v>2</v>
          </cell>
        </row>
        <row r="577">
          <cell r="D577" t="str">
            <v>P46</v>
          </cell>
          <cell r="G577">
            <v>86</v>
          </cell>
          <cell r="I577">
            <v>8</v>
          </cell>
          <cell r="L577">
            <v>145</v>
          </cell>
          <cell r="M577">
            <v>6</v>
          </cell>
        </row>
        <row r="578">
          <cell r="D578" t="str">
            <v>P47</v>
          </cell>
          <cell r="G578">
            <v>112</v>
          </cell>
          <cell r="I578">
            <v>9</v>
          </cell>
          <cell r="L578">
            <v>88</v>
          </cell>
          <cell r="M578">
            <v>5</v>
          </cell>
        </row>
        <row r="579">
          <cell r="D579" t="str">
            <v>Q43</v>
          </cell>
          <cell r="G579">
            <v>102</v>
          </cell>
          <cell r="I579">
            <v>10</v>
          </cell>
          <cell r="L579">
            <v>138</v>
          </cell>
          <cell r="M579">
            <v>9</v>
          </cell>
        </row>
        <row r="580">
          <cell r="D580" t="str">
            <v>Q44</v>
          </cell>
          <cell r="G580">
            <v>115</v>
          </cell>
          <cell r="I580">
            <v>5</v>
          </cell>
          <cell r="L580">
            <v>156</v>
          </cell>
          <cell r="M580">
            <v>6</v>
          </cell>
        </row>
        <row r="581">
          <cell r="D581" t="str">
            <v>Q45</v>
          </cell>
          <cell r="G581">
            <v>156</v>
          </cell>
          <cell r="I581">
            <v>5</v>
          </cell>
          <cell r="L581">
            <v>163</v>
          </cell>
          <cell r="M581">
            <v>8</v>
          </cell>
        </row>
        <row r="582">
          <cell r="D582" t="str">
            <v>Q46</v>
          </cell>
          <cell r="G582">
            <v>171</v>
          </cell>
          <cell r="I582">
            <v>13</v>
          </cell>
          <cell r="L582">
            <v>188</v>
          </cell>
          <cell r="M582">
            <v>7</v>
          </cell>
        </row>
        <row r="583">
          <cell r="D583" t="str">
            <v>Q47</v>
          </cell>
          <cell r="G583">
            <v>114</v>
          </cell>
          <cell r="I583">
            <v>4</v>
          </cell>
          <cell r="L583">
            <v>179</v>
          </cell>
          <cell r="M583">
            <v>12</v>
          </cell>
        </row>
        <row r="584">
          <cell r="D584" t="str">
            <v>Q48</v>
          </cell>
          <cell r="G584">
            <v>111</v>
          </cell>
          <cell r="I584">
            <v>2</v>
          </cell>
          <cell r="L584">
            <v>120</v>
          </cell>
          <cell r="M584">
            <v>7</v>
          </cell>
        </row>
        <row r="585">
          <cell r="D585" t="str">
            <v>Q49</v>
          </cell>
          <cell r="G585">
            <v>132</v>
          </cell>
          <cell r="I585">
            <v>6</v>
          </cell>
          <cell r="L585">
            <v>65</v>
          </cell>
          <cell r="M585">
            <v>1</v>
          </cell>
        </row>
        <row r="586">
          <cell r="D586" t="str">
            <v>R46</v>
          </cell>
          <cell r="G586">
            <v>142</v>
          </cell>
          <cell r="I586">
            <v>7</v>
          </cell>
          <cell r="L586">
            <v>79</v>
          </cell>
          <cell r="M586">
            <v>2</v>
          </cell>
        </row>
        <row r="587">
          <cell r="D587" t="str">
            <v>R47</v>
          </cell>
          <cell r="G587">
            <v>116</v>
          </cell>
          <cell r="I587">
            <v>5</v>
          </cell>
          <cell r="L587">
            <v>100</v>
          </cell>
          <cell r="M587">
            <v>4</v>
          </cell>
        </row>
        <row r="588">
          <cell r="D588" t="str">
            <v>R48</v>
          </cell>
          <cell r="G588">
            <v>105</v>
          </cell>
          <cell r="I588">
            <v>4</v>
          </cell>
          <cell r="L588">
            <v>84</v>
          </cell>
          <cell r="M588">
            <v>3</v>
          </cell>
        </row>
        <row r="589">
          <cell r="D589" t="str">
            <v>R49</v>
          </cell>
          <cell r="G589">
            <v>112</v>
          </cell>
          <cell r="I589">
            <v>3</v>
          </cell>
          <cell r="L589">
            <v>39</v>
          </cell>
          <cell r="M589">
            <v>1</v>
          </cell>
        </row>
        <row r="590">
          <cell r="D590" t="str">
            <v>S45</v>
          </cell>
          <cell r="G590">
            <v>111</v>
          </cell>
          <cell r="I590">
            <v>2</v>
          </cell>
          <cell r="L590">
            <v>120</v>
          </cell>
          <cell r="M590">
            <v>3</v>
          </cell>
        </row>
        <row r="591">
          <cell r="D591" t="str">
            <v>S46</v>
          </cell>
          <cell r="G591">
            <v>104</v>
          </cell>
          <cell r="I591">
            <v>4</v>
          </cell>
          <cell r="L591">
            <v>89</v>
          </cell>
          <cell r="M591">
            <v>2</v>
          </cell>
        </row>
        <row r="592">
          <cell r="D592" t="str">
            <v>S47</v>
          </cell>
          <cell r="G592">
            <v>98</v>
          </cell>
          <cell r="I592">
            <v>3</v>
          </cell>
          <cell r="L592">
            <v>65</v>
          </cell>
          <cell r="M592">
            <v>3</v>
          </cell>
        </row>
        <row r="593">
          <cell r="D593" t="str">
            <v>S48</v>
          </cell>
          <cell r="G593">
            <v>107</v>
          </cell>
          <cell r="I593">
            <v>2</v>
          </cell>
          <cell r="L593">
            <v>83</v>
          </cell>
          <cell r="M593">
            <v>1</v>
          </cell>
        </row>
        <row r="594">
          <cell r="D594" t="str">
            <v>S49</v>
          </cell>
          <cell r="G594">
            <v>96</v>
          </cell>
          <cell r="I594">
            <v>2</v>
          </cell>
          <cell r="L594">
            <v>251</v>
          </cell>
          <cell r="M594">
            <v>11</v>
          </cell>
        </row>
        <row r="595">
          <cell r="D595" t="str">
            <v>S50</v>
          </cell>
          <cell r="G595">
            <v>98</v>
          </cell>
          <cell r="I595">
            <v>4</v>
          </cell>
          <cell r="L595">
            <v>165</v>
          </cell>
          <cell r="M595">
            <v>6</v>
          </cell>
        </row>
        <row r="596">
          <cell r="D596" t="str">
            <v>Q50</v>
          </cell>
          <cell r="G596">
            <v>198</v>
          </cell>
          <cell r="I596">
            <v>23</v>
          </cell>
          <cell r="L596">
            <v>34</v>
          </cell>
          <cell r="M596">
            <v>1</v>
          </cell>
        </row>
        <row r="597">
          <cell r="D597" t="str">
            <v>Q51</v>
          </cell>
          <cell r="G597">
            <v>254</v>
          </cell>
          <cell r="I597">
            <v>12</v>
          </cell>
          <cell r="L597">
            <v>53</v>
          </cell>
          <cell r="M597">
            <v>2</v>
          </cell>
        </row>
        <row r="598">
          <cell r="D598" t="str">
            <v>Q52</v>
          </cell>
          <cell r="G598">
            <v>229</v>
          </cell>
          <cell r="I598">
            <v>10</v>
          </cell>
          <cell r="L598">
            <v>86</v>
          </cell>
          <cell r="M598">
            <v>4</v>
          </cell>
        </row>
        <row r="599">
          <cell r="D599" t="str">
            <v>Q53</v>
          </cell>
          <cell r="G599">
            <v>410</v>
          </cell>
          <cell r="I599">
            <v>17</v>
          </cell>
          <cell r="L599">
            <v>76</v>
          </cell>
          <cell r="M599">
            <v>3</v>
          </cell>
        </row>
        <row r="600">
          <cell r="D600" t="str">
            <v>R50</v>
          </cell>
          <cell r="G600">
            <v>109</v>
          </cell>
          <cell r="I600">
            <v>12</v>
          </cell>
          <cell r="L600">
            <v>60</v>
          </cell>
          <cell r="M600">
            <v>3</v>
          </cell>
        </row>
        <row r="601">
          <cell r="D601" t="str">
            <v>R51</v>
          </cell>
          <cell r="G601">
            <v>358</v>
          </cell>
          <cell r="I601">
            <v>15</v>
          </cell>
          <cell r="L601">
            <v>79</v>
          </cell>
          <cell r="M601">
            <v>2</v>
          </cell>
        </row>
        <row r="602">
          <cell r="D602" t="str">
            <v>R52</v>
          </cell>
          <cell r="G602">
            <v>376</v>
          </cell>
          <cell r="I602">
            <v>13</v>
          </cell>
          <cell r="L602">
            <v>50</v>
          </cell>
          <cell r="M602">
            <v>1</v>
          </cell>
        </row>
        <row r="603">
          <cell r="D603" t="str">
            <v>R53</v>
          </cell>
          <cell r="G603">
            <v>422</v>
          </cell>
          <cell r="I603">
            <v>21</v>
          </cell>
          <cell r="L603">
            <v>63</v>
          </cell>
          <cell r="M603">
            <v>2</v>
          </cell>
        </row>
        <row r="604">
          <cell r="D604" t="str">
            <v>R54</v>
          </cell>
          <cell r="G604">
            <v>326</v>
          </cell>
          <cell r="I604">
            <v>3</v>
          </cell>
          <cell r="L604">
            <v>54</v>
          </cell>
          <cell r="M604">
            <v>1</v>
          </cell>
        </row>
        <row r="605">
          <cell r="D605" t="str">
            <v>R55</v>
          </cell>
          <cell r="G605">
            <v>126</v>
          </cell>
          <cell r="I605">
            <v>5</v>
          </cell>
          <cell r="L605">
            <v>82</v>
          </cell>
          <cell r="M605">
            <v>4</v>
          </cell>
        </row>
        <row r="606">
          <cell r="D606" t="str">
            <v>R56</v>
          </cell>
          <cell r="G606">
            <v>135</v>
          </cell>
          <cell r="I606">
            <v>2</v>
          </cell>
          <cell r="L606">
            <v>63</v>
          </cell>
          <cell r="M606">
            <v>3</v>
          </cell>
        </row>
        <row r="607">
          <cell r="D607" t="str">
            <v>R57</v>
          </cell>
          <cell r="G607">
            <v>830</v>
          </cell>
          <cell r="I607">
            <v>37</v>
          </cell>
          <cell r="L607">
            <v>24</v>
          </cell>
          <cell r="M607">
            <v>1</v>
          </cell>
        </row>
        <row r="608">
          <cell r="D608" t="str">
            <v>R58</v>
          </cell>
          <cell r="G608">
            <v>639</v>
          </cell>
          <cell r="I608">
            <v>12</v>
          </cell>
          <cell r="L608">
            <v>115</v>
          </cell>
          <cell r="M608">
            <v>2</v>
          </cell>
        </row>
        <row r="609">
          <cell r="D609" t="str">
            <v>S51</v>
          </cell>
          <cell r="G609">
            <v>523</v>
          </cell>
          <cell r="I609">
            <v>30</v>
          </cell>
          <cell r="L609">
            <v>105</v>
          </cell>
          <cell r="M609">
            <v>5</v>
          </cell>
        </row>
        <row r="610">
          <cell r="D610" t="str">
            <v>S52</v>
          </cell>
          <cell r="G610">
            <v>434</v>
          </cell>
          <cell r="I610">
            <v>5</v>
          </cell>
          <cell r="L610">
            <v>100</v>
          </cell>
          <cell r="M610">
            <v>3</v>
          </cell>
        </row>
        <row r="611">
          <cell r="D611" t="str">
            <v>S53</v>
          </cell>
          <cell r="G611">
            <v>427</v>
          </cell>
          <cell r="I611">
            <v>21</v>
          </cell>
          <cell r="L611">
            <v>66</v>
          </cell>
          <cell r="M611">
            <v>3</v>
          </cell>
        </row>
        <row r="612">
          <cell r="D612" t="str">
            <v>S54</v>
          </cell>
          <cell r="G612">
            <v>586</v>
          </cell>
          <cell r="I612">
            <v>0</v>
          </cell>
          <cell r="L612">
            <v>42</v>
          </cell>
          <cell r="M612">
            <v>2</v>
          </cell>
        </row>
        <row r="613">
          <cell r="D613" t="str">
            <v>S55</v>
          </cell>
          <cell r="G613">
            <v>349</v>
          </cell>
          <cell r="I613">
            <v>9</v>
          </cell>
          <cell r="L613">
            <v>220</v>
          </cell>
          <cell r="M613">
            <v>6</v>
          </cell>
        </row>
        <row r="614">
          <cell r="D614" t="str">
            <v>S56</v>
          </cell>
          <cell r="G614">
            <v>326</v>
          </cell>
          <cell r="I614">
            <v>16</v>
          </cell>
          <cell r="L614">
            <v>71</v>
          </cell>
          <cell r="M614">
            <v>2</v>
          </cell>
        </row>
        <row r="615">
          <cell r="D615" t="str">
            <v>S57</v>
          </cell>
          <cell r="G615">
            <v>427</v>
          </cell>
          <cell r="I615">
            <v>8</v>
          </cell>
          <cell r="L615">
            <v>95</v>
          </cell>
          <cell r="M615">
            <v>3</v>
          </cell>
        </row>
        <row r="616">
          <cell r="D616" t="str">
            <v>S58</v>
          </cell>
          <cell r="G616">
            <v>484</v>
          </cell>
          <cell r="I616">
            <v>15</v>
          </cell>
          <cell r="L616">
            <v>302</v>
          </cell>
          <cell r="M616">
            <v>7</v>
          </cell>
        </row>
        <row r="617">
          <cell r="D617" t="str">
            <v>S59</v>
          </cell>
          <cell r="G617">
            <v>454</v>
          </cell>
          <cell r="I617">
            <v>12</v>
          </cell>
          <cell r="L617">
            <v>132</v>
          </cell>
          <cell r="M617">
            <v>6</v>
          </cell>
        </row>
        <row r="618">
          <cell r="D618" t="str">
            <v>S60</v>
          </cell>
          <cell r="G618">
            <v>476</v>
          </cell>
          <cell r="I618">
            <v>0</v>
          </cell>
          <cell r="L618">
            <v>35</v>
          </cell>
          <cell r="M618">
            <v>1</v>
          </cell>
        </row>
        <row r="619">
          <cell r="D619" t="str">
            <v>S61</v>
          </cell>
          <cell r="G619">
            <v>396</v>
          </cell>
          <cell r="I619">
            <v>1</v>
          </cell>
          <cell r="L619">
            <v>123</v>
          </cell>
          <cell r="M619">
            <v>2</v>
          </cell>
        </row>
        <row r="620">
          <cell r="D620" t="str">
            <v>S62</v>
          </cell>
          <cell r="G620">
            <v>546</v>
          </cell>
          <cell r="I620">
            <v>7</v>
          </cell>
          <cell r="L620">
            <v>40</v>
          </cell>
          <cell r="M620">
            <v>2</v>
          </cell>
        </row>
        <row r="621">
          <cell r="D621" t="str">
            <v>S63</v>
          </cell>
          <cell r="G621">
            <v>744</v>
          </cell>
          <cell r="I621">
            <v>22</v>
          </cell>
          <cell r="L621">
            <v>56</v>
          </cell>
          <cell r="M621">
            <v>1</v>
          </cell>
        </row>
        <row r="622">
          <cell r="D622" t="str">
            <v>S64</v>
          </cell>
          <cell r="G622">
            <v>720</v>
          </cell>
          <cell r="I622">
            <v>27</v>
          </cell>
          <cell r="L622">
            <v>162</v>
          </cell>
          <cell r="M622">
            <v>8</v>
          </cell>
        </row>
      </sheetData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itoring"/>
      <sheetName val="Summary"/>
      <sheetName val="Road Map Pengendalian"/>
      <sheetName val="Road Map Est.3"/>
      <sheetName val="Road Map Est.4"/>
    </sheetNames>
    <sheetDataSet>
      <sheetData sheetId="0">
        <row r="6">
          <cell r="D6" t="str">
            <v>B05</v>
          </cell>
          <cell r="H6">
            <v>46148</v>
          </cell>
          <cell r="I6">
            <v>312</v>
          </cell>
          <cell r="J6">
            <v>22</v>
          </cell>
        </row>
        <row r="7">
          <cell r="D7" t="str">
            <v>B06</v>
          </cell>
          <cell r="H7">
            <v>46148</v>
          </cell>
          <cell r="I7">
            <v>321</v>
          </cell>
          <cell r="J7">
            <v>24</v>
          </cell>
        </row>
        <row r="8">
          <cell r="D8" t="str">
            <v>B07</v>
          </cell>
          <cell r="H8">
            <v>46148</v>
          </cell>
          <cell r="I8">
            <v>361</v>
          </cell>
          <cell r="J8">
            <v>20</v>
          </cell>
        </row>
        <row r="9">
          <cell r="D9" t="str">
            <v>B08</v>
          </cell>
          <cell r="H9">
            <v>46148</v>
          </cell>
          <cell r="I9">
            <v>397</v>
          </cell>
          <cell r="J9">
            <v>30</v>
          </cell>
        </row>
        <row r="10">
          <cell r="D10" t="str">
            <v>B09</v>
          </cell>
          <cell r="H10">
            <v>46148</v>
          </cell>
          <cell r="I10">
            <v>380</v>
          </cell>
          <cell r="J10">
            <v>30</v>
          </cell>
        </row>
        <row r="11">
          <cell r="D11" t="str">
            <v>B10</v>
          </cell>
          <cell r="H11">
            <v>46149</v>
          </cell>
          <cell r="I11">
            <v>391</v>
          </cell>
          <cell r="J11">
            <v>71</v>
          </cell>
        </row>
        <row r="12">
          <cell r="D12" t="str">
            <v>B11</v>
          </cell>
          <cell r="H12">
            <v>46149</v>
          </cell>
          <cell r="I12">
            <v>324</v>
          </cell>
          <cell r="J12">
            <v>71</v>
          </cell>
        </row>
        <row r="13">
          <cell r="D13" t="str">
            <v>B12</v>
          </cell>
          <cell r="H13">
            <v>46149</v>
          </cell>
          <cell r="I13">
            <v>320</v>
          </cell>
          <cell r="J13">
            <v>51</v>
          </cell>
        </row>
        <row r="14">
          <cell r="D14" t="str">
            <v>B13</v>
          </cell>
          <cell r="H14">
            <v>46149</v>
          </cell>
          <cell r="I14">
            <v>388</v>
          </cell>
          <cell r="J14">
            <v>44</v>
          </cell>
        </row>
        <row r="15">
          <cell r="D15" t="str">
            <v>B14</v>
          </cell>
          <cell r="H15">
            <v>46150</v>
          </cell>
          <cell r="I15">
            <v>322</v>
          </cell>
          <cell r="J15">
            <v>60</v>
          </cell>
        </row>
        <row r="16">
          <cell r="D16" t="str">
            <v>B15</v>
          </cell>
          <cell r="H16">
            <v>46150</v>
          </cell>
          <cell r="I16">
            <v>386</v>
          </cell>
          <cell r="J16">
            <v>37</v>
          </cell>
        </row>
        <row r="17">
          <cell r="D17" t="str">
            <v>B16</v>
          </cell>
          <cell r="H17">
            <v>46150</v>
          </cell>
          <cell r="I17">
            <v>345</v>
          </cell>
          <cell r="J17">
            <v>59</v>
          </cell>
        </row>
        <row r="18">
          <cell r="D18" t="str">
            <v>B17</v>
          </cell>
          <cell r="H18">
            <v>46150</v>
          </cell>
          <cell r="I18">
            <v>309</v>
          </cell>
          <cell r="J18">
            <v>69</v>
          </cell>
        </row>
        <row r="19">
          <cell r="D19" t="str">
            <v>C06</v>
          </cell>
          <cell r="H19">
            <v>46153</v>
          </cell>
          <cell r="I19">
            <v>344</v>
          </cell>
          <cell r="J19">
            <v>40</v>
          </cell>
        </row>
        <row r="20">
          <cell r="D20" t="str">
            <v>C07</v>
          </cell>
          <cell r="H20">
            <v>46153</v>
          </cell>
          <cell r="I20">
            <v>293</v>
          </cell>
          <cell r="J20">
            <v>28</v>
          </cell>
        </row>
        <row r="21">
          <cell r="D21" t="str">
            <v>C08</v>
          </cell>
          <cell r="H21">
            <v>46153</v>
          </cell>
          <cell r="I21">
            <v>334</v>
          </cell>
          <cell r="J21">
            <v>43</v>
          </cell>
        </row>
        <row r="22">
          <cell r="D22" t="str">
            <v>C09</v>
          </cell>
          <cell r="H22">
            <v>46154</v>
          </cell>
          <cell r="I22">
            <v>378</v>
          </cell>
          <cell r="J22">
            <v>81</v>
          </cell>
        </row>
        <row r="23">
          <cell r="D23" t="str">
            <v>C10</v>
          </cell>
          <cell r="H23">
            <v>46154</v>
          </cell>
          <cell r="I23">
            <v>357</v>
          </cell>
          <cell r="J23">
            <v>91</v>
          </cell>
        </row>
        <row r="24">
          <cell r="D24" t="str">
            <v>C11</v>
          </cell>
          <cell r="H24">
            <v>46153</v>
          </cell>
          <cell r="I24">
            <v>377</v>
          </cell>
          <cell r="J24">
            <v>91</v>
          </cell>
        </row>
        <row r="25">
          <cell r="D25" t="str">
            <v>C12</v>
          </cell>
          <cell r="H25">
            <v>46153</v>
          </cell>
          <cell r="I25">
            <v>374</v>
          </cell>
          <cell r="J25">
            <v>86</v>
          </cell>
        </row>
        <row r="26">
          <cell r="D26" t="str">
            <v>C13</v>
          </cell>
          <cell r="H26">
            <v>46157</v>
          </cell>
          <cell r="I26">
            <v>359</v>
          </cell>
          <cell r="J26">
            <v>98</v>
          </cell>
        </row>
        <row r="27">
          <cell r="D27" t="str">
            <v>C14</v>
          </cell>
          <cell r="H27">
            <v>46151</v>
          </cell>
          <cell r="I27">
            <v>329</v>
          </cell>
          <cell r="J27">
            <v>64</v>
          </cell>
        </row>
        <row r="28">
          <cell r="D28" t="str">
            <v>C15</v>
          </cell>
          <cell r="H28">
            <v>46151</v>
          </cell>
          <cell r="I28">
            <v>350</v>
          </cell>
          <cell r="J28">
            <v>58</v>
          </cell>
        </row>
        <row r="29">
          <cell r="D29" t="str">
            <v>C16</v>
          </cell>
          <cell r="H29">
            <v>46151</v>
          </cell>
          <cell r="I29">
            <v>368</v>
          </cell>
          <cell r="J29">
            <v>56</v>
          </cell>
        </row>
        <row r="30">
          <cell r="D30" t="str">
            <v>C17</v>
          </cell>
          <cell r="H30">
            <v>46154</v>
          </cell>
          <cell r="I30">
            <v>418</v>
          </cell>
          <cell r="J30">
            <v>70</v>
          </cell>
        </row>
        <row r="31">
          <cell r="D31" t="str">
            <v>C18</v>
          </cell>
          <cell r="H31">
            <v>46151</v>
          </cell>
          <cell r="I31">
            <v>359</v>
          </cell>
          <cell r="J31">
            <v>98</v>
          </cell>
        </row>
        <row r="32">
          <cell r="D32" t="str">
            <v>D16</v>
          </cell>
          <cell r="H32">
            <v>46151</v>
          </cell>
          <cell r="I32">
            <v>257</v>
          </cell>
          <cell r="J32">
            <v>68</v>
          </cell>
        </row>
        <row r="33">
          <cell r="D33" t="str">
            <v>D17</v>
          </cell>
          <cell r="H33">
            <v>46158</v>
          </cell>
          <cell r="I33">
            <v>544</v>
          </cell>
          <cell r="J33">
            <v>66</v>
          </cell>
        </row>
        <row r="34">
          <cell r="D34" t="str">
            <v>E16</v>
          </cell>
          <cell r="H34">
            <v>46155</v>
          </cell>
          <cell r="I34">
            <v>664</v>
          </cell>
          <cell r="J34">
            <v>70</v>
          </cell>
        </row>
        <row r="35">
          <cell r="D35" t="str">
            <v>E17</v>
          </cell>
          <cell r="H35">
            <v>46155</v>
          </cell>
          <cell r="I35">
            <v>301</v>
          </cell>
          <cell r="J35">
            <v>38</v>
          </cell>
        </row>
        <row r="36">
          <cell r="D36" t="str">
            <v>E18</v>
          </cell>
          <cell r="H36">
            <v>46155</v>
          </cell>
          <cell r="I36">
            <v>366</v>
          </cell>
          <cell r="J36">
            <v>46</v>
          </cell>
        </row>
        <row r="37">
          <cell r="D37" t="str">
            <v>D07</v>
          </cell>
          <cell r="H37">
            <v>46148</v>
          </cell>
          <cell r="I37">
            <v>453</v>
          </cell>
          <cell r="J37">
            <v>21</v>
          </cell>
        </row>
        <row r="38">
          <cell r="D38" t="str">
            <v>D08</v>
          </cell>
          <cell r="H38">
            <v>46148</v>
          </cell>
          <cell r="I38">
            <v>457</v>
          </cell>
          <cell r="J38">
            <v>50</v>
          </cell>
        </row>
        <row r="39">
          <cell r="D39" t="str">
            <v>D09</v>
          </cell>
          <cell r="H39">
            <v>46148</v>
          </cell>
          <cell r="I39">
            <v>545</v>
          </cell>
          <cell r="J39">
            <v>82</v>
          </cell>
        </row>
        <row r="40">
          <cell r="D40" t="str">
            <v>D10</v>
          </cell>
          <cell r="H40">
            <v>46148</v>
          </cell>
          <cell r="I40">
            <v>374</v>
          </cell>
          <cell r="J40">
            <v>66</v>
          </cell>
        </row>
        <row r="41">
          <cell r="D41" t="str">
            <v>D11</v>
          </cell>
          <cell r="H41">
            <v>46149</v>
          </cell>
          <cell r="I41">
            <v>340</v>
          </cell>
          <cell r="J41">
            <v>55</v>
          </cell>
        </row>
        <row r="42">
          <cell r="D42" t="str">
            <v>D12</v>
          </cell>
          <cell r="H42">
            <v>46149</v>
          </cell>
          <cell r="I42">
            <v>369</v>
          </cell>
          <cell r="J42">
            <v>65</v>
          </cell>
        </row>
        <row r="43">
          <cell r="D43" t="str">
            <v>D13</v>
          </cell>
          <cell r="H43">
            <v>46149</v>
          </cell>
          <cell r="I43">
            <v>319</v>
          </cell>
          <cell r="J43">
            <v>40</v>
          </cell>
        </row>
        <row r="44">
          <cell r="D44" t="str">
            <v>D14</v>
          </cell>
          <cell r="H44">
            <v>46150</v>
          </cell>
          <cell r="I44">
            <v>720</v>
          </cell>
          <cell r="J44">
            <v>124</v>
          </cell>
        </row>
        <row r="45">
          <cell r="D45" t="str">
            <v>D15</v>
          </cell>
          <cell r="H45">
            <v>46149</v>
          </cell>
          <cell r="I45">
            <v>440</v>
          </cell>
          <cell r="J45">
            <v>52</v>
          </cell>
        </row>
        <row r="46">
          <cell r="D46" t="str">
            <v>E08</v>
          </cell>
          <cell r="H46">
            <v>46150</v>
          </cell>
          <cell r="I46">
            <v>352</v>
          </cell>
          <cell r="J46">
            <v>49</v>
          </cell>
        </row>
        <row r="47">
          <cell r="D47" t="str">
            <v>E09</v>
          </cell>
          <cell r="H47">
            <v>46150</v>
          </cell>
          <cell r="I47">
            <v>569</v>
          </cell>
          <cell r="J47">
            <v>88</v>
          </cell>
        </row>
        <row r="48">
          <cell r="D48" t="str">
            <v>E10</v>
          </cell>
          <cell r="H48">
            <v>46150</v>
          </cell>
          <cell r="I48">
            <v>378</v>
          </cell>
          <cell r="J48">
            <v>38</v>
          </cell>
        </row>
        <row r="49">
          <cell r="D49" t="str">
            <v>E11</v>
          </cell>
          <cell r="H49">
            <v>46151</v>
          </cell>
          <cell r="I49">
            <v>302</v>
          </cell>
          <cell r="J49">
            <v>53</v>
          </cell>
        </row>
        <row r="50">
          <cell r="D50" t="str">
            <v>E12</v>
          </cell>
          <cell r="H50">
            <v>46157</v>
          </cell>
          <cell r="I50">
            <v>320</v>
          </cell>
          <cell r="J50">
            <v>42</v>
          </cell>
        </row>
        <row r="51">
          <cell r="D51" t="str">
            <v>E13</v>
          </cell>
          <cell r="H51">
            <v>46151</v>
          </cell>
          <cell r="I51">
            <v>310</v>
          </cell>
          <cell r="J51">
            <v>48</v>
          </cell>
        </row>
        <row r="52">
          <cell r="D52" t="str">
            <v>E14</v>
          </cell>
          <cell r="H52">
            <v>46151</v>
          </cell>
          <cell r="I52">
            <v>685</v>
          </cell>
          <cell r="J52">
            <v>86</v>
          </cell>
        </row>
        <row r="53">
          <cell r="D53" t="str">
            <v>E15</v>
          </cell>
          <cell r="H53">
            <v>46151</v>
          </cell>
          <cell r="I53">
            <v>444</v>
          </cell>
          <cell r="J53">
            <v>25</v>
          </cell>
        </row>
        <row r="54">
          <cell r="D54" t="str">
            <v>F09</v>
          </cell>
          <cell r="H54">
            <v>46153</v>
          </cell>
          <cell r="I54">
            <v>510</v>
          </cell>
          <cell r="J54">
            <v>21</v>
          </cell>
        </row>
        <row r="55">
          <cell r="D55" t="str">
            <v>F10</v>
          </cell>
          <cell r="H55">
            <v>46153</v>
          </cell>
          <cell r="I55">
            <v>749</v>
          </cell>
          <cell r="J55">
            <v>79</v>
          </cell>
        </row>
        <row r="56">
          <cell r="D56" t="str">
            <v>F11</v>
          </cell>
          <cell r="H56">
            <v>46153</v>
          </cell>
          <cell r="I56">
            <v>365</v>
          </cell>
          <cell r="J56">
            <v>46</v>
          </cell>
        </row>
        <row r="57">
          <cell r="D57" t="str">
            <v>F12</v>
          </cell>
          <cell r="H57">
            <v>46154</v>
          </cell>
          <cell r="I57">
            <v>375</v>
          </cell>
          <cell r="J57">
            <v>44</v>
          </cell>
        </row>
        <row r="58">
          <cell r="D58" t="str">
            <v>F13</v>
          </cell>
          <cell r="H58">
            <v>46154</v>
          </cell>
          <cell r="I58">
            <v>333</v>
          </cell>
          <cell r="J58">
            <v>39</v>
          </cell>
        </row>
        <row r="59">
          <cell r="D59" t="str">
            <v>F14</v>
          </cell>
          <cell r="H59">
            <v>46155</v>
          </cell>
          <cell r="I59">
            <v>724</v>
          </cell>
          <cell r="J59">
            <v>75</v>
          </cell>
        </row>
        <row r="60">
          <cell r="D60" t="str">
            <v>F15</v>
          </cell>
          <cell r="H60">
            <v>46154</v>
          </cell>
          <cell r="I60">
            <v>389</v>
          </cell>
          <cell r="J60">
            <v>61</v>
          </cell>
        </row>
        <row r="61">
          <cell r="D61" t="str">
            <v>G09</v>
          </cell>
          <cell r="H61">
            <v>46155</v>
          </cell>
          <cell r="I61">
            <v>390</v>
          </cell>
          <cell r="J61">
            <v>12</v>
          </cell>
        </row>
        <row r="62">
          <cell r="D62" t="str">
            <v>G10</v>
          </cell>
          <cell r="H62">
            <v>46155</v>
          </cell>
          <cell r="I62">
            <v>594</v>
          </cell>
          <cell r="J62">
            <v>60</v>
          </cell>
        </row>
        <row r="63">
          <cell r="D63" t="str">
            <v>G11</v>
          </cell>
          <cell r="H63">
            <v>46157</v>
          </cell>
          <cell r="I63">
            <v>406</v>
          </cell>
          <cell r="J63">
            <v>38</v>
          </cell>
        </row>
        <row r="64">
          <cell r="D64" t="str">
            <v>G12</v>
          </cell>
          <cell r="H64">
            <v>46157</v>
          </cell>
          <cell r="I64">
            <v>395</v>
          </cell>
          <cell r="J64">
            <v>31</v>
          </cell>
        </row>
        <row r="65">
          <cell r="D65" t="str">
            <v>G13</v>
          </cell>
          <cell r="H65">
            <v>46157</v>
          </cell>
          <cell r="I65">
            <v>345</v>
          </cell>
          <cell r="J65">
            <v>26</v>
          </cell>
        </row>
        <row r="66">
          <cell r="D66" t="str">
            <v>G14</v>
          </cell>
          <cell r="H66">
            <v>46157</v>
          </cell>
          <cell r="I66">
            <v>666</v>
          </cell>
          <cell r="J66">
            <v>49</v>
          </cell>
        </row>
        <row r="67">
          <cell r="D67" t="str">
            <v>G15</v>
          </cell>
          <cell r="H67">
            <v>46157</v>
          </cell>
          <cell r="I67">
            <v>387</v>
          </cell>
          <cell r="J67">
            <v>39</v>
          </cell>
        </row>
        <row r="68">
          <cell r="D68" t="str">
            <v>E22</v>
          </cell>
          <cell r="H68">
            <v>46158</v>
          </cell>
          <cell r="I68">
            <v>650</v>
          </cell>
          <cell r="J68">
            <v>98</v>
          </cell>
        </row>
        <row r="69">
          <cell r="D69" t="str">
            <v>F16</v>
          </cell>
          <cell r="H69">
            <v>46155</v>
          </cell>
          <cell r="I69">
            <v>740</v>
          </cell>
          <cell r="J69">
            <v>69</v>
          </cell>
        </row>
        <row r="70">
          <cell r="D70" t="str">
            <v>F17</v>
          </cell>
          <cell r="H70">
            <v>46155</v>
          </cell>
          <cell r="I70">
            <v>406</v>
          </cell>
          <cell r="J70">
            <v>19</v>
          </cell>
        </row>
        <row r="71">
          <cell r="D71" t="str">
            <v>F20</v>
          </cell>
          <cell r="H71">
            <v>46155</v>
          </cell>
          <cell r="I71">
            <v>571</v>
          </cell>
          <cell r="J71">
            <v>39</v>
          </cell>
        </row>
        <row r="72">
          <cell r="D72" t="str">
            <v>F21</v>
          </cell>
          <cell r="H72">
            <v>46157</v>
          </cell>
          <cell r="I72">
            <v>578</v>
          </cell>
          <cell r="J72">
            <v>27</v>
          </cell>
        </row>
        <row r="73">
          <cell r="D73" t="str">
            <v>F22</v>
          </cell>
          <cell r="H73">
            <v>46157</v>
          </cell>
          <cell r="I73">
            <v>329</v>
          </cell>
          <cell r="J73">
            <v>70</v>
          </cell>
        </row>
        <row r="74">
          <cell r="D74" t="str">
            <v>F23</v>
          </cell>
          <cell r="H74">
            <v>46157</v>
          </cell>
          <cell r="I74">
            <v>704</v>
          </cell>
          <cell r="J74">
            <v>114</v>
          </cell>
        </row>
        <row r="75">
          <cell r="D75" t="str">
            <v>F24</v>
          </cell>
          <cell r="H75">
            <v>46158</v>
          </cell>
          <cell r="I75">
            <v>344</v>
          </cell>
          <cell r="J75">
            <v>30</v>
          </cell>
        </row>
        <row r="76">
          <cell r="D76" t="str">
            <v>F25</v>
          </cell>
          <cell r="H76">
            <v>46158</v>
          </cell>
          <cell r="I76">
            <v>278</v>
          </cell>
          <cell r="J76">
            <v>35</v>
          </cell>
        </row>
        <row r="77">
          <cell r="D77" t="str">
            <v>G16</v>
          </cell>
          <cell r="H77">
            <v>46154</v>
          </cell>
          <cell r="I77">
            <v>613</v>
          </cell>
          <cell r="J77">
            <v>32</v>
          </cell>
        </row>
        <row r="78">
          <cell r="D78" t="str">
            <v>G17</v>
          </cell>
          <cell r="H78">
            <v>46154</v>
          </cell>
          <cell r="I78">
            <v>464</v>
          </cell>
          <cell r="J78">
            <v>45</v>
          </cell>
        </row>
        <row r="79">
          <cell r="D79" t="str">
            <v>G19</v>
          </cell>
          <cell r="H79">
            <v>46154</v>
          </cell>
          <cell r="I79">
            <v>552</v>
          </cell>
          <cell r="J79">
            <v>43</v>
          </cell>
        </row>
        <row r="80">
          <cell r="D80" t="str">
            <v>G20</v>
          </cell>
          <cell r="H80">
            <v>46153</v>
          </cell>
          <cell r="I80">
            <v>320</v>
          </cell>
          <cell r="J80">
            <v>27</v>
          </cell>
        </row>
        <row r="81">
          <cell r="D81" t="str">
            <v>G21</v>
          </cell>
          <cell r="H81">
            <v>46153</v>
          </cell>
          <cell r="I81">
            <v>313</v>
          </cell>
          <cell r="J81">
            <v>28</v>
          </cell>
        </row>
        <row r="82">
          <cell r="D82" t="str">
            <v>G22</v>
          </cell>
          <cell r="H82">
            <v>46153</v>
          </cell>
          <cell r="I82">
            <v>512</v>
          </cell>
          <cell r="J82">
            <v>24</v>
          </cell>
        </row>
        <row r="83">
          <cell r="D83" t="str">
            <v>G23</v>
          </cell>
          <cell r="H83">
            <v>46153</v>
          </cell>
          <cell r="I83">
            <v>325</v>
          </cell>
          <cell r="J83">
            <v>21</v>
          </cell>
        </row>
        <row r="84">
          <cell r="D84" t="str">
            <v>G24</v>
          </cell>
          <cell r="H84">
            <v>46151</v>
          </cell>
          <cell r="I84">
            <v>272</v>
          </cell>
          <cell r="J84">
            <v>21</v>
          </cell>
        </row>
        <row r="85">
          <cell r="D85" t="str">
            <v>G25</v>
          </cell>
          <cell r="H85">
            <v>46151</v>
          </cell>
          <cell r="I85">
            <v>348</v>
          </cell>
          <cell r="J85">
            <v>85</v>
          </cell>
        </row>
        <row r="86">
          <cell r="D86" t="str">
            <v>H16</v>
          </cell>
          <cell r="H86">
            <v>46148</v>
          </cell>
          <cell r="I86">
            <v>598</v>
          </cell>
          <cell r="J86">
            <v>57</v>
          </cell>
        </row>
        <row r="87">
          <cell r="D87" t="str">
            <v>H17</v>
          </cell>
          <cell r="H87">
            <v>46148</v>
          </cell>
          <cell r="I87">
            <v>640</v>
          </cell>
          <cell r="J87">
            <v>50</v>
          </cell>
        </row>
        <row r="88">
          <cell r="D88" t="str">
            <v>H18</v>
          </cell>
          <cell r="H88">
            <v>46149</v>
          </cell>
          <cell r="I88">
            <v>673</v>
          </cell>
          <cell r="J88">
            <v>58</v>
          </cell>
        </row>
        <row r="89">
          <cell r="D89" t="str">
            <v>H19</v>
          </cell>
          <cell r="H89">
            <v>46149</v>
          </cell>
          <cell r="I89">
            <v>540</v>
          </cell>
          <cell r="J89">
            <v>44</v>
          </cell>
        </row>
        <row r="90">
          <cell r="D90" t="str">
            <v>H20</v>
          </cell>
          <cell r="H90">
            <v>46150</v>
          </cell>
          <cell r="I90">
            <v>323</v>
          </cell>
          <cell r="J90">
            <v>19</v>
          </cell>
        </row>
        <row r="91">
          <cell r="D91" t="str">
            <v>H21</v>
          </cell>
          <cell r="H91">
            <v>46150</v>
          </cell>
          <cell r="I91">
            <v>450</v>
          </cell>
          <cell r="J91">
            <v>75</v>
          </cell>
        </row>
        <row r="92">
          <cell r="D92" t="str">
            <v>H22</v>
          </cell>
          <cell r="H92">
            <v>46150</v>
          </cell>
          <cell r="I92">
            <v>311</v>
          </cell>
          <cell r="J92">
            <v>51</v>
          </cell>
        </row>
        <row r="93">
          <cell r="D93" t="str">
            <v>H23</v>
          </cell>
          <cell r="H93">
            <v>46150</v>
          </cell>
          <cell r="I93">
            <v>342</v>
          </cell>
          <cell r="J93">
            <v>47</v>
          </cell>
        </row>
        <row r="94">
          <cell r="D94" t="str">
            <v>H24</v>
          </cell>
          <cell r="H94">
            <v>46150</v>
          </cell>
          <cell r="I94">
            <v>334</v>
          </cell>
          <cell r="J94">
            <v>71</v>
          </cell>
        </row>
        <row r="95">
          <cell r="D95" t="str">
            <v>I16</v>
          </cell>
          <cell r="H95">
            <v>46148</v>
          </cell>
          <cell r="I95">
            <v>628</v>
          </cell>
          <cell r="J95">
            <v>31</v>
          </cell>
        </row>
        <row r="96">
          <cell r="D96" t="str">
            <v>I17</v>
          </cell>
          <cell r="H96">
            <v>46148</v>
          </cell>
          <cell r="I96">
            <v>361</v>
          </cell>
          <cell r="J96">
            <v>25</v>
          </cell>
        </row>
        <row r="97">
          <cell r="D97" t="str">
            <v>I18</v>
          </cell>
          <cell r="H97">
            <v>46148</v>
          </cell>
          <cell r="I97">
            <v>426</v>
          </cell>
          <cell r="J97">
            <v>50</v>
          </cell>
        </row>
        <row r="98">
          <cell r="D98" t="str">
            <v>I19</v>
          </cell>
          <cell r="H98">
            <v>46148</v>
          </cell>
          <cell r="I98">
            <v>429</v>
          </cell>
          <cell r="J98">
            <v>26</v>
          </cell>
        </row>
        <row r="99">
          <cell r="D99" t="str">
            <v>I20</v>
          </cell>
          <cell r="H99">
            <v>46148</v>
          </cell>
          <cell r="I99">
            <v>364</v>
          </cell>
          <cell r="J99">
            <v>40</v>
          </cell>
        </row>
        <row r="100">
          <cell r="D100" t="str">
            <v>I21</v>
          </cell>
          <cell r="H100">
            <v>46149</v>
          </cell>
          <cell r="I100">
            <v>356</v>
          </cell>
          <cell r="J100">
            <v>35</v>
          </cell>
        </row>
        <row r="101">
          <cell r="D101" t="str">
            <v>I22</v>
          </cell>
          <cell r="H101">
            <v>46149</v>
          </cell>
          <cell r="I101">
            <v>432</v>
          </cell>
          <cell r="J101">
            <v>52</v>
          </cell>
        </row>
        <row r="102">
          <cell r="D102" t="str">
            <v>I23</v>
          </cell>
          <cell r="H102">
            <v>46149</v>
          </cell>
          <cell r="I102">
            <v>660</v>
          </cell>
          <cell r="J102">
            <v>118</v>
          </cell>
        </row>
        <row r="103">
          <cell r="D103" t="str">
            <v>I24</v>
          </cell>
          <cell r="H103">
            <v>46149</v>
          </cell>
          <cell r="I103">
            <v>378</v>
          </cell>
          <cell r="J103">
            <v>35</v>
          </cell>
        </row>
        <row r="104">
          <cell r="D104" t="str">
            <v>I25</v>
          </cell>
          <cell r="H104">
            <v>46149</v>
          </cell>
          <cell r="I104">
            <v>325</v>
          </cell>
          <cell r="J104">
            <v>22</v>
          </cell>
        </row>
        <row r="105">
          <cell r="D105" t="str">
            <v>I26</v>
          </cell>
          <cell r="H105">
            <v>46150</v>
          </cell>
          <cell r="I105">
            <v>404</v>
          </cell>
          <cell r="J105">
            <v>56</v>
          </cell>
        </row>
        <row r="106">
          <cell r="D106" t="str">
            <v>J16</v>
          </cell>
          <cell r="H106">
            <v>46158</v>
          </cell>
          <cell r="I106">
            <v>609</v>
          </cell>
          <cell r="J106">
            <v>76</v>
          </cell>
        </row>
        <row r="107">
          <cell r="D107" t="str">
            <v>J17</v>
          </cell>
          <cell r="H107">
            <v>46153</v>
          </cell>
          <cell r="I107">
            <v>361</v>
          </cell>
          <cell r="J107">
            <v>29</v>
          </cell>
        </row>
        <row r="108">
          <cell r="D108" t="str">
            <v>J18</v>
          </cell>
          <cell r="H108">
            <v>46157</v>
          </cell>
          <cell r="I108">
            <v>404</v>
          </cell>
          <cell r="J108">
            <v>35</v>
          </cell>
        </row>
        <row r="109">
          <cell r="D109" t="str">
            <v>J19</v>
          </cell>
          <cell r="H109">
            <v>46151</v>
          </cell>
          <cell r="I109">
            <v>417</v>
          </cell>
          <cell r="J109">
            <v>58</v>
          </cell>
        </row>
        <row r="110">
          <cell r="D110" t="str">
            <v>J20</v>
          </cell>
          <cell r="H110">
            <v>46151</v>
          </cell>
          <cell r="I110">
            <v>379</v>
          </cell>
          <cell r="J110">
            <v>29</v>
          </cell>
        </row>
        <row r="111">
          <cell r="D111" t="str">
            <v>J21</v>
          </cell>
          <cell r="H111">
            <v>46151</v>
          </cell>
          <cell r="I111">
            <v>369</v>
          </cell>
          <cell r="J111">
            <v>30</v>
          </cell>
        </row>
        <row r="112">
          <cell r="D112" t="str">
            <v>J22</v>
          </cell>
          <cell r="H112">
            <v>46151</v>
          </cell>
          <cell r="I112">
            <v>365</v>
          </cell>
          <cell r="J112">
            <v>33</v>
          </cell>
        </row>
        <row r="113">
          <cell r="D113" t="str">
            <v>J23</v>
          </cell>
          <cell r="H113">
            <v>46153</v>
          </cell>
          <cell r="I113">
            <v>469</v>
          </cell>
          <cell r="J113">
            <v>43</v>
          </cell>
        </row>
        <row r="114">
          <cell r="D114" t="str">
            <v>J24</v>
          </cell>
          <cell r="H114">
            <v>46150</v>
          </cell>
          <cell r="I114">
            <v>395</v>
          </cell>
          <cell r="J114">
            <v>71</v>
          </cell>
        </row>
        <row r="115">
          <cell r="D115" t="str">
            <v>J25</v>
          </cell>
          <cell r="H115">
            <v>46150</v>
          </cell>
          <cell r="I115">
            <v>344</v>
          </cell>
          <cell r="J115">
            <v>57</v>
          </cell>
        </row>
        <row r="116">
          <cell r="D116" t="str">
            <v>J26</v>
          </cell>
          <cell r="H116">
            <v>46150</v>
          </cell>
          <cell r="I116">
            <v>344</v>
          </cell>
          <cell r="J116">
            <v>46</v>
          </cell>
        </row>
        <row r="117">
          <cell r="D117" t="str">
            <v>J27</v>
          </cell>
          <cell r="H117">
            <v>46150</v>
          </cell>
          <cell r="I117">
            <v>366</v>
          </cell>
          <cell r="J117">
            <v>39</v>
          </cell>
        </row>
        <row r="118">
          <cell r="D118" t="str">
            <v>K17</v>
          </cell>
          <cell r="H118">
            <v>46154</v>
          </cell>
          <cell r="I118">
            <v>698</v>
          </cell>
          <cell r="J118">
            <v>60</v>
          </cell>
        </row>
        <row r="119">
          <cell r="D119" t="str">
            <v>K18</v>
          </cell>
          <cell r="H119">
            <v>46157</v>
          </cell>
          <cell r="I119">
            <v>385</v>
          </cell>
          <cell r="J119">
            <v>27</v>
          </cell>
        </row>
        <row r="120">
          <cell r="D120" t="str">
            <v>K19</v>
          </cell>
          <cell r="H120">
            <v>46155</v>
          </cell>
          <cell r="I120">
            <v>471</v>
          </cell>
          <cell r="J120">
            <v>28</v>
          </cell>
        </row>
        <row r="121">
          <cell r="D121" t="str">
            <v>K20</v>
          </cell>
          <cell r="H121">
            <v>46155</v>
          </cell>
          <cell r="I121">
            <v>388</v>
          </cell>
          <cell r="J121">
            <v>25</v>
          </cell>
        </row>
        <row r="122">
          <cell r="D122" t="str">
            <v>K21</v>
          </cell>
          <cell r="H122">
            <v>46157</v>
          </cell>
          <cell r="I122">
            <v>378</v>
          </cell>
          <cell r="J122">
            <v>20</v>
          </cell>
        </row>
        <row r="123">
          <cell r="D123" t="str">
            <v>K22</v>
          </cell>
          <cell r="H123">
            <v>46157</v>
          </cell>
          <cell r="I123">
            <v>364</v>
          </cell>
          <cell r="J123">
            <v>26</v>
          </cell>
        </row>
        <row r="124">
          <cell r="D124" t="str">
            <v>K23</v>
          </cell>
          <cell r="H124">
            <v>46157</v>
          </cell>
          <cell r="I124">
            <v>333</v>
          </cell>
          <cell r="J124">
            <v>79</v>
          </cell>
        </row>
        <row r="125">
          <cell r="D125" t="str">
            <v>K24</v>
          </cell>
          <cell r="H125">
            <v>46157</v>
          </cell>
          <cell r="I125">
            <v>336</v>
          </cell>
          <cell r="J125">
            <v>59</v>
          </cell>
        </row>
        <row r="126">
          <cell r="D126" t="str">
            <v>K25</v>
          </cell>
          <cell r="H126">
            <v>46157</v>
          </cell>
          <cell r="I126">
            <v>393</v>
          </cell>
          <cell r="J126">
            <v>78</v>
          </cell>
        </row>
        <row r="127">
          <cell r="D127" t="str">
            <v>K26</v>
          </cell>
          <cell r="H127">
            <v>46158</v>
          </cell>
          <cell r="I127">
            <v>277</v>
          </cell>
          <cell r="J127">
            <v>61</v>
          </cell>
        </row>
        <row r="128">
          <cell r="D128" t="str">
            <v>K27</v>
          </cell>
          <cell r="H128">
            <v>46158</v>
          </cell>
          <cell r="I128">
            <v>284</v>
          </cell>
          <cell r="J128">
            <v>54</v>
          </cell>
        </row>
        <row r="129">
          <cell r="D129" t="str">
            <v>K28</v>
          </cell>
          <cell r="H129">
            <v>46158</v>
          </cell>
          <cell r="I129">
            <v>308</v>
          </cell>
          <cell r="J129">
            <v>76</v>
          </cell>
        </row>
        <row r="130">
          <cell r="D130" t="str">
            <v>H09</v>
          </cell>
          <cell r="H130">
            <v>46148</v>
          </cell>
          <cell r="I130">
            <v>389</v>
          </cell>
          <cell r="J130">
            <v>20</v>
          </cell>
        </row>
        <row r="131">
          <cell r="D131" t="str">
            <v>H10</v>
          </cell>
          <cell r="H131">
            <v>46148</v>
          </cell>
          <cell r="I131">
            <v>656</v>
          </cell>
          <cell r="J131">
            <v>65</v>
          </cell>
        </row>
        <row r="132">
          <cell r="D132" t="str">
            <v>H11</v>
          </cell>
          <cell r="H132">
            <v>46148</v>
          </cell>
          <cell r="I132">
            <v>398</v>
          </cell>
          <cell r="J132">
            <v>23</v>
          </cell>
        </row>
        <row r="133">
          <cell r="D133" t="str">
            <v>H12</v>
          </cell>
          <cell r="H133">
            <v>46148</v>
          </cell>
          <cell r="I133">
            <v>359</v>
          </cell>
          <cell r="J133">
            <v>13</v>
          </cell>
        </row>
        <row r="134">
          <cell r="D134" t="str">
            <v>H13</v>
          </cell>
          <cell r="H134">
            <v>46149</v>
          </cell>
          <cell r="I134">
            <v>333</v>
          </cell>
          <cell r="J134">
            <v>20</v>
          </cell>
        </row>
        <row r="135">
          <cell r="D135" t="str">
            <v>H14</v>
          </cell>
          <cell r="H135">
            <v>46149</v>
          </cell>
          <cell r="I135">
            <v>675</v>
          </cell>
          <cell r="J135">
            <v>93</v>
          </cell>
        </row>
        <row r="136">
          <cell r="D136" t="str">
            <v>H15</v>
          </cell>
          <cell r="H136">
            <v>46149</v>
          </cell>
          <cell r="I136">
            <v>491</v>
          </cell>
          <cell r="J136">
            <v>52</v>
          </cell>
        </row>
        <row r="137">
          <cell r="D137" t="str">
            <v>I09</v>
          </cell>
          <cell r="H137">
            <v>46150</v>
          </cell>
          <cell r="I137">
            <v>394</v>
          </cell>
          <cell r="J137">
            <v>51</v>
          </cell>
        </row>
        <row r="138">
          <cell r="D138" t="str">
            <v>I10</v>
          </cell>
          <cell r="H138">
            <v>46150</v>
          </cell>
          <cell r="I138">
            <v>689</v>
          </cell>
          <cell r="J138">
            <v>122</v>
          </cell>
        </row>
        <row r="139">
          <cell r="D139" t="str">
            <v>I11</v>
          </cell>
          <cell r="H139">
            <v>46150</v>
          </cell>
          <cell r="I139">
            <v>359</v>
          </cell>
          <cell r="J139">
            <v>33</v>
          </cell>
        </row>
        <row r="140">
          <cell r="D140" t="str">
            <v>I12</v>
          </cell>
          <cell r="H140">
            <v>46150</v>
          </cell>
          <cell r="I140">
            <v>369</v>
          </cell>
          <cell r="J140">
            <v>55</v>
          </cell>
        </row>
        <row r="141">
          <cell r="D141" t="str">
            <v>I13</v>
          </cell>
          <cell r="H141">
            <v>46151</v>
          </cell>
          <cell r="I141">
            <v>358</v>
          </cell>
          <cell r="J141">
            <v>79</v>
          </cell>
        </row>
        <row r="142">
          <cell r="D142" t="str">
            <v>I14</v>
          </cell>
          <cell r="H142">
            <v>46151</v>
          </cell>
          <cell r="I142">
            <v>688</v>
          </cell>
          <cell r="J142">
            <v>147</v>
          </cell>
        </row>
        <row r="143">
          <cell r="D143" t="str">
            <v>I15</v>
          </cell>
          <cell r="H143">
            <v>46151</v>
          </cell>
          <cell r="I143">
            <v>414</v>
          </cell>
          <cell r="J143">
            <v>52</v>
          </cell>
        </row>
        <row r="144">
          <cell r="D144" t="str">
            <v>J09</v>
          </cell>
          <cell r="H144">
            <v>46153</v>
          </cell>
          <cell r="I144">
            <v>362</v>
          </cell>
          <cell r="J144">
            <v>16</v>
          </cell>
        </row>
        <row r="145">
          <cell r="D145" t="str">
            <v>J10</v>
          </cell>
          <cell r="H145">
            <v>46155</v>
          </cell>
          <cell r="I145">
            <v>386</v>
          </cell>
          <cell r="J145">
            <v>17</v>
          </cell>
        </row>
        <row r="146">
          <cell r="D146" t="str">
            <v>J11</v>
          </cell>
          <cell r="H146">
            <v>46153</v>
          </cell>
          <cell r="I146">
            <v>688</v>
          </cell>
          <cell r="J146">
            <v>147</v>
          </cell>
        </row>
        <row r="147">
          <cell r="D147" t="str">
            <v>J12</v>
          </cell>
          <cell r="H147">
            <v>46153</v>
          </cell>
          <cell r="I147">
            <v>408</v>
          </cell>
          <cell r="J147">
            <v>34</v>
          </cell>
        </row>
        <row r="148">
          <cell r="D148" t="str">
            <v>J13</v>
          </cell>
          <cell r="H148">
            <v>46153</v>
          </cell>
          <cell r="I148">
            <v>389</v>
          </cell>
          <cell r="J148">
            <v>62</v>
          </cell>
        </row>
        <row r="149">
          <cell r="D149" t="str">
            <v>J14</v>
          </cell>
          <cell r="H149">
            <v>46154</v>
          </cell>
          <cell r="I149">
            <v>798</v>
          </cell>
          <cell r="J149">
            <v>129</v>
          </cell>
        </row>
        <row r="150">
          <cell r="D150" t="str">
            <v>J15</v>
          </cell>
          <cell r="H150">
            <v>46154</v>
          </cell>
          <cell r="I150">
            <v>340</v>
          </cell>
          <cell r="J150">
            <v>57</v>
          </cell>
        </row>
        <row r="151">
          <cell r="D151" t="str">
            <v>K10</v>
          </cell>
          <cell r="H151">
            <v>46154</v>
          </cell>
          <cell r="I151">
            <v>342</v>
          </cell>
          <cell r="J151">
            <v>41</v>
          </cell>
        </row>
        <row r="152">
          <cell r="D152" t="str">
            <v>K11</v>
          </cell>
          <cell r="H152">
            <v>46155</v>
          </cell>
          <cell r="I152">
            <v>402</v>
          </cell>
          <cell r="J152">
            <v>35</v>
          </cell>
        </row>
        <row r="153">
          <cell r="D153" t="str">
            <v>K12</v>
          </cell>
          <cell r="H153">
            <v>46155</v>
          </cell>
          <cell r="I153">
            <v>402</v>
          </cell>
          <cell r="J153">
            <v>42</v>
          </cell>
        </row>
        <row r="154">
          <cell r="D154" t="str">
            <v>K13</v>
          </cell>
          <cell r="H154">
            <v>46155</v>
          </cell>
          <cell r="I154">
            <v>405</v>
          </cell>
          <cell r="J154">
            <v>73</v>
          </cell>
        </row>
        <row r="155">
          <cell r="D155" t="str">
            <v>K14</v>
          </cell>
          <cell r="H155">
            <v>46155</v>
          </cell>
          <cell r="I155">
            <v>396</v>
          </cell>
          <cell r="J155">
            <v>72</v>
          </cell>
        </row>
        <row r="156">
          <cell r="D156" t="str">
            <v>K15</v>
          </cell>
          <cell r="H156">
            <v>46157</v>
          </cell>
          <cell r="I156">
            <v>390</v>
          </cell>
          <cell r="J156">
            <v>14</v>
          </cell>
        </row>
        <row r="157">
          <cell r="D157" t="str">
            <v>K16</v>
          </cell>
          <cell r="H157">
            <v>46157</v>
          </cell>
          <cell r="I157">
            <v>612</v>
          </cell>
          <cell r="J157">
            <v>83</v>
          </cell>
        </row>
        <row r="158">
          <cell r="D158" t="str">
            <v>L10</v>
          </cell>
          <cell r="H158">
            <v>46148</v>
          </cell>
          <cell r="I158">
            <v>322</v>
          </cell>
          <cell r="J158">
            <v>69</v>
          </cell>
        </row>
        <row r="159">
          <cell r="D159" t="str">
            <v>L11</v>
          </cell>
          <cell r="H159">
            <v>46148</v>
          </cell>
          <cell r="I159">
            <v>355</v>
          </cell>
          <cell r="J159">
            <v>3</v>
          </cell>
        </row>
        <row r="160">
          <cell r="D160" t="str">
            <v>L12</v>
          </cell>
          <cell r="H160">
            <v>46148</v>
          </cell>
          <cell r="I160">
            <v>363</v>
          </cell>
          <cell r="J160">
            <v>28</v>
          </cell>
        </row>
        <row r="161">
          <cell r="D161" t="str">
            <v>L13</v>
          </cell>
          <cell r="H161">
            <v>46148</v>
          </cell>
          <cell r="I161">
            <v>333</v>
          </cell>
          <cell r="J161">
            <v>6</v>
          </cell>
        </row>
        <row r="162">
          <cell r="D162" t="str">
            <v>L14</v>
          </cell>
          <cell r="H162">
            <v>46149</v>
          </cell>
          <cell r="I162">
            <v>378</v>
          </cell>
          <cell r="J162">
            <v>6</v>
          </cell>
        </row>
        <row r="163">
          <cell r="D163" t="str">
            <v>L15</v>
          </cell>
          <cell r="H163">
            <v>46149</v>
          </cell>
          <cell r="I163">
            <v>365</v>
          </cell>
          <cell r="J163">
            <v>17</v>
          </cell>
        </row>
        <row r="164">
          <cell r="D164" t="str">
            <v>L16</v>
          </cell>
          <cell r="H164">
            <v>46149</v>
          </cell>
          <cell r="I164">
            <v>366</v>
          </cell>
          <cell r="J164">
            <v>7</v>
          </cell>
        </row>
        <row r="165">
          <cell r="D165" t="str">
            <v>L17</v>
          </cell>
          <cell r="H165">
            <v>46148</v>
          </cell>
          <cell r="I165">
            <v>414</v>
          </cell>
          <cell r="J165">
            <v>91</v>
          </cell>
        </row>
        <row r="166">
          <cell r="D166" t="str">
            <v>M10</v>
          </cell>
          <cell r="H166">
            <v>46150</v>
          </cell>
          <cell r="I166">
            <v>358</v>
          </cell>
          <cell r="J166">
            <v>4</v>
          </cell>
        </row>
        <row r="167">
          <cell r="D167" t="str">
            <v>M11</v>
          </cell>
          <cell r="H167">
            <v>46150</v>
          </cell>
          <cell r="I167">
            <v>364</v>
          </cell>
          <cell r="J167">
            <v>10</v>
          </cell>
        </row>
        <row r="168">
          <cell r="D168" t="str">
            <v>M12</v>
          </cell>
          <cell r="H168">
            <v>46150</v>
          </cell>
          <cell r="I168">
            <v>365</v>
          </cell>
          <cell r="J168">
            <v>8</v>
          </cell>
        </row>
        <row r="169">
          <cell r="D169" t="str">
            <v>M13</v>
          </cell>
          <cell r="H169">
            <v>46150</v>
          </cell>
          <cell r="I169">
            <v>349</v>
          </cell>
          <cell r="J169">
            <v>20</v>
          </cell>
        </row>
        <row r="170">
          <cell r="D170" t="str">
            <v>M14</v>
          </cell>
          <cell r="H170">
            <v>46151</v>
          </cell>
          <cell r="I170">
            <v>372</v>
          </cell>
          <cell r="J170">
            <v>6</v>
          </cell>
        </row>
        <row r="171">
          <cell r="D171" t="str">
            <v>M15</v>
          </cell>
          <cell r="H171">
            <v>46151</v>
          </cell>
          <cell r="I171">
            <v>339</v>
          </cell>
          <cell r="J171">
            <v>11</v>
          </cell>
        </row>
        <row r="172">
          <cell r="D172" t="str">
            <v>M16</v>
          </cell>
          <cell r="H172">
            <v>46151</v>
          </cell>
          <cell r="I172">
            <v>363</v>
          </cell>
          <cell r="J172">
            <v>26</v>
          </cell>
        </row>
        <row r="173">
          <cell r="D173" t="str">
            <v>M17</v>
          </cell>
          <cell r="H173">
            <v>46155</v>
          </cell>
          <cell r="I173">
            <v>364</v>
          </cell>
          <cell r="J173">
            <v>27</v>
          </cell>
        </row>
        <row r="174">
          <cell r="D174" t="str">
            <v>N10</v>
          </cell>
          <cell r="H174">
            <v>46153</v>
          </cell>
          <cell r="I174">
            <v>363</v>
          </cell>
          <cell r="J174">
            <v>25</v>
          </cell>
        </row>
        <row r="175">
          <cell r="D175" t="str">
            <v>N11</v>
          </cell>
          <cell r="H175">
            <v>46153</v>
          </cell>
          <cell r="I175">
            <v>358</v>
          </cell>
          <cell r="J175">
            <v>19</v>
          </cell>
        </row>
        <row r="176">
          <cell r="D176" t="str">
            <v>N12</v>
          </cell>
          <cell r="H176">
            <v>46154</v>
          </cell>
          <cell r="I176">
            <v>338</v>
          </cell>
          <cell r="J176">
            <v>23</v>
          </cell>
        </row>
        <row r="177">
          <cell r="D177" t="str">
            <v>N13</v>
          </cell>
          <cell r="H177">
            <v>46154</v>
          </cell>
          <cell r="I177">
            <v>348</v>
          </cell>
          <cell r="J177">
            <v>29</v>
          </cell>
        </row>
        <row r="178">
          <cell r="D178" t="str">
            <v>N14</v>
          </cell>
          <cell r="H178">
            <v>46154</v>
          </cell>
          <cell r="I178">
            <v>368</v>
          </cell>
          <cell r="J178">
            <v>30</v>
          </cell>
        </row>
        <row r="179">
          <cell r="D179" t="str">
            <v>N15</v>
          </cell>
          <cell r="H179">
            <v>46154</v>
          </cell>
          <cell r="I179">
            <v>364</v>
          </cell>
          <cell r="J179">
            <v>10</v>
          </cell>
        </row>
        <row r="180">
          <cell r="D180" t="str">
            <v>N16</v>
          </cell>
          <cell r="H180">
            <v>46158</v>
          </cell>
          <cell r="I180">
            <v>383</v>
          </cell>
          <cell r="J180">
            <v>17</v>
          </cell>
        </row>
        <row r="181">
          <cell r="D181" t="str">
            <v>N17</v>
          </cell>
          <cell r="H181">
            <v>46158</v>
          </cell>
          <cell r="I181">
            <v>365</v>
          </cell>
          <cell r="J181">
            <v>18</v>
          </cell>
        </row>
        <row r="182">
          <cell r="D182" t="str">
            <v>O10</v>
          </cell>
          <cell r="H182">
            <v>46158</v>
          </cell>
          <cell r="I182">
            <v>131</v>
          </cell>
          <cell r="J182">
            <v>13</v>
          </cell>
        </row>
        <row r="183">
          <cell r="D183" t="str">
            <v>O11</v>
          </cell>
          <cell r="H183">
            <v>46158</v>
          </cell>
          <cell r="I183">
            <v>392</v>
          </cell>
          <cell r="J183">
            <v>23</v>
          </cell>
        </row>
        <row r="184">
          <cell r="D184" t="str">
            <v>O12</v>
          </cell>
          <cell r="H184">
            <v>46158</v>
          </cell>
          <cell r="I184">
            <v>351</v>
          </cell>
          <cell r="J184">
            <v>10</v>
          </cell>
        </row>
        <row r="185">
          <cell r="D185" t="str">
            <v>O13</v>
          </cell>
          <cell r="H185">
            <v>46158</v>
          </cell>
          <cell r="I185">
            <v>370</v>
          </cell>
          <cell r="J185">
            <v>13</v>
          </cell>
        </row>
        <row r="186">
          <cell r="D186" t="str">
            <v>O14</v>
          </cell>
          <cell r="H186">
            <v>46154</v>
          </cell>
          <cell r="I186">
            <v>355</v>
          </cell>
          <cell r="J186">
            <v>44</v>
          </cell>
        </row>
        <row r="187">
          <cell r="D187" t="str">
            <v>O15</v>
          </cell>
          <cell r="H187">
            <v>46153</v>
          </cell>
          <cell r="I187">
            <v>336</v>
          </cell>
          <cell r="J187">
            <v>106</v>
          </cell>
        </row>
        <row r="188">
          <cell r="D188" t="str">
            <v>O16</v>
          </cell>
          <cell r="H188">
            <v>46153</v>
          </cell>
          <cell r="I188">
            <v>335</v>
          </cell>
          <cell r="J188">
            <v>79</v>
          </cell>
        </row>
        <row r="189">
          <cell r="D189" t="str">
            <v>O17</v>
          </cell>
          <cell r="H189">
            <v>46153</v>
          </cell>
          <cell r="I189">
            <v>362</v>
          </cell>
          <cell r="J189">
            <v>33</v>
          </cell>
        </row>
        <row r="190">
          <cell r="D190" t="str">
            <v>P10</v>
          </cell>
          <cell r="H190">
            <v>46155</v>
          </cell>
          <cell r="I190">
            <v>364</v>
          </cell>
          <cell r="J190">
            <v>12</v>
          </cell>
        </row>
        <row r="191">
          <cell r="D191" t="str">
            <v>P11</v>
          </cell>
          <cell r="H191">
            <v>46155</v>
          </cell>
          <cell r="I191">
            <v>380</v>
          </cell>
          <cell r="J191">
            <v>9</v>
          </cell>
        </row>
        <row r="192">
          <cell r="D192" t="str">
            <v>P12</v>
          </cell>
          <cell r="H192">
            <v>46155</v>
          </cell>
          <cell r="I192">
            <v>363</v>
          </cell>
          <cell r="J192">
            <v>10</v>
          </cell>
        </row>
        <row r="193">
          <cell r="D193" t="str">
            <v>P13</v>
          </cell>
          <cell r="H193">
            <v>46155</v>
          </cell>
          <cell r="I193">
            <v>361</v>
          </cell>
          <cell r="J193">
            <v>31</v>
          </cell>
        </row>
        <row r="194">
          <cell r="D194" t="str">
            <v>P14</v>
          </cell>
          <cell r="H194">
            <v>46157</v>
          </cell>
          <cell r="I194">
            <v>362</v>
          </cell>
          <cell r="J194">
            <v>5</v>
          </cell>
        </row>
        <row r="195">
          <cell r="D195" t="str">
            <v>P15</v>
          </cell>
          <cell r="H195">
            <v>46157</v>
          </cell>
          <cell r="I195">
            <v>364</v>
          </cell>
          <cell r="J195">
            <v>22</v>
          </cell>
        </row>
        <row r="196">
          <cell r="D196" t="str">
            <v>P16</v>
          </cell>
          <cell r="H196">
            <v>46157</v>
          </cell>
          <cell r="I196">
            <v>377</v>
          </cell>
          <cell r="J196">
            <v>10</v>
          </cell>
        </row>
        <row r="197">
          <cell r="D197" t="str">
            <v>Q12</v>
          </cell>
          <cell r="H197">
            <v>46158</v>
          </cell>
          <cell r="I197">
            <v>362</v>
          </cell>
          <cell r="J197">
            <v>15</v>
          </cell>
        </row>
        <row r="198">
          <cell r="D198" t="str">
            <v>Q13</v>
          </cell>
          <cell r="H198">
            <v>46158</v>
          </cell>
          <cell r="I198">
            <v>414</v>
          </cell>
          <cell r="J198">
            <v>21</v>
          </cell>
        </row>
        <row r="199">
          <cell r="D199" t="str">
            <v>Q14</v>
          </cell>
          <cell r="H199">
            <v>46158</v>
          </cell>
          <cell r="I199">
            <v>364</v>
          </cell>
          <cell r="J199">
            <v>22</v>
          </cell>
        </row>
        <row r="200">
          <cell r="D200" t="str">
            <v>L18</v>
          </cell>
          <cell r="H200">
            <v>46148</v>
          </cell>
          <cell r="I200">
            <v>355</v>
          </cell>
          <cell r="J200">
            <v>17</v>
          </cell>
        </row>
        <row r="201">
          <cell r="D201" t="str">
            <v>L19</v>
          </cell>
          <cell r="H201">
            <v>46148</v>
          </cell>
          <cell r="I201">
            <v>689</v>
          </cell>
          <cell r="J201">
            <v>41</v>
          </cell>
        </row>
        <row r="202">
          <cell r="D202" t="str">
            <v>L20</v>
          </cell>
          <cell r="H202">
            <v>46148</v>
          </cell>
          <cell r="I202">
            <v>898</v>
          </cell>
          <cell r="J202">
            <v>112</v>
          </cell>
        </row>
        <row r="203">
          <cell r="D203" t="str">
            <v>L21</v>
          </cell>
          <cell r="H203">
            <v>46148</v>
          </cell>
          <cell r="I203">
            <v>329</v>
          </cell>
          <cell r="J203">
            <v>21</v>
          </cell>
        </row>
        <row r="204">
          <cell r="D204" t="str">
            <v>L22</v>
          </cell>
          <cell r="H204">
            <v>46149</v>
          </cell>
          <cell r="I204">
            <v>327</v>
          </cell>
          <cell r="J204">
            <v>27</v>
          </cell>
        </row>
        <row r="205">
          <cell r="D205" t="str">
            <v>L23</v>
          </cell>
          <cell r="H205">
            <v>46149</v>
          </cell>
          <cell r="I205">
            <v>397</v>
          </cell>
          <cell r="J205">
            <v>121</v>
          </cell>
        </row>
        <row r="206">
          <cell r="D206" t="str">
            <v>L24</v>
          </cell>
          <cell r="H206">
            <v>46149</v>
          </cell>
          <cell r="I206">
            <v>285</v>
          </cell>
          <cell r="J206">
            <v>27</v>
          </cell>
        </row>
        <row r="207">
          <cell r="D207" t="str">
            <v>L25</v>
          </cell>
          <cell r="H207">
            <v>46149</v>
          </cell>
          <cell r="I207">
            <v>389</v>
          </cell>
          <cell r="J207">
            <v>45</v>
          </cell>
        </row>
        <row r="208">
          <cell r="D208" t="str">
            <v>L26</v>
          </cell>
          <cell r="H208">
            <v>46150</v>
          </cell>
          <cell r="I208">
            <v>336</v>
          </cell>
          <cell r="J208">
            <v>67</v>
          </cell>
        </row>
        <row r="209">
          <cell r="D209" t="str">
            <v>L27</v>
          </cell>
          <cell r="H209">
            <v>46150</v>
          </cell>
          <cell r="I209">
            <v>321</v>
          </cell>
          <cell r="J209">
            <v>58</v>
          </cell>
        </row>
        <row r="210">
          <cell r="D210" t="str">
            <v>L28</v>
          </cell>
          <cell r="H210">
            <v>46150</v>
          </cell>
          <cell r="I210">
            <v>354</v>
          </cell>
          <cell r="J210">
            <v>44</v>
          </cell>
        </row>
        <row r="211">
          <cell r="D211" t="str">
            <v>M18</v>
          </cell>
          <cell r="H211">
            <v>46157</v>
          </cell>
          <cell r="I211">
            <v>344</v>
          </cell>
          <cell r="J211">
            <v>20</v>
          </cell>
        </row>
        <row r="212">
          <cell r="D212" t="str">
            <v>M19</v>
          </cell>
          <cell r="H212">
            <v>46155</v>
          </cell>
          <cell r="I212">
            <v>328</v>
          </cell>
          <cell r="J212">
            <v>19</v>
          </cell>
        </row>
        <row r="213">
          <cell r="D213" t="str">
            <v>M20</v>
          </cell>
          <cell r="H213">
            <v>46155</v>
          </cell>
          <cell r="I213">
            <v>355</v>
          </cell>
          <cell r="J213">
            <v>7</v>
          </cell>
        </row>
        <row r="214">
          <cell r="D214" t="str">
            <v>M21</v>
          </cell>
          <cell r="H214">
            <v>46154</v>
          </cell>
          <cell r="I214">
            <v>477</v>
          </cell>
          <cell r="J214">
            <v>15</v>
          </cell>
        </row>
        <row r="215">
          <cell r="D215" t="str">
            <v>M22</v>
          </cell>
          <cell r="H215">
            <v>46154</v>
          </cell>
          <cell r="I215">
            <v>299</v>
          </cell>
          <cell r="J215">
            <v>19</v>
          </cell>
        </row>
        <row r="216">
          <cell r="D216" t="str">
            <v>M23</v>
          </cell>
          <cell r="H216">
            <v>46153</v>
          </cell>
          <cell r="I216">
            <v>342</v>
          </cell>
          <cell r="J216">
            <v>20</v>
          </cell>
        </row>
        <row r="217">
          <cell r="D217" t="str">
            <v>M24</v>
          </cell>
          <cell r="H217">
            <v>46153</v>
          </cell>
          <cell r="I217">
            <v>313</v>
          </cell>
          <cell r="J217">
            <v>13</v>
          </cell>
        </row>
        <row r="218">
          <cell r="D218" t="str">
            <v>M25</v>
          </cell>
          <cell r="H218">
            <v>46151</v>
          </cell>
          <cell r="I218">
            <v>387</v>
          </cell>
          <cell r="J218">
            <v>41</v>
          </cell>
        </row>
        <row r="219">
          <cell r="D219" t="str">
            <v>M26</v>
          </cell>
          <cell r="H219">
            <v>46151</v>
          </cell>
          <cell r="I219">
            <v>387</v>
          </cell>
          <cell r="J219">
            <v>41</v>
          </cell>
        </row>
        <row r="220">
          <cell r="D220" t="str">
            <v>M27</v>
          </cell>
          <cell r="H220">
            <v>46151</v>
          </cell>
          <cell r="I220">
            <v>369</v>
          </cell>
          <cell r="J220">
            <v>34</v>
          </cell>
        </row>
        <row r="221">
          <cell r="D221" t="str">
            <v>M28</v>
          </cell>
          <cell r="H221">
            <v>46150</v>
          </cell>
          <cell r="I221">
            <v>392</v>
          </cell>
          <cell r="J221">
            <v>40</v>
          </cell>
        </row>
        <row r="222">
          <cell r="D222" t="str">
            <v>M29</v>
          </cell>
          <cell r="H222">
            <v>46150</v>
          </cell>
          <cell r="I222">
            <v>342</v>
          </cell>
          <cell r="J222">
            <v>24</v>
          </cell>
        </row>
        <row r="223">
          <cell r="D223" t="str">
            <v>N18</v>
          </cell>
          <cell r="H223">
            <v>46155</v>
          </cell>
          <cell r="I223">
            <v>354</v>
          </cell>
          <cell r="J223">
            <v>24</v>
          </cell>
        </row>
        <row r="224">
          <cell r="D224" t="str">
            <v>N19</v>
          </cell>
          <cell r="H224">
            <v>46155</v>
          </cell>
          <cell r="I224">
            <v>359</v>
          </cell>
          <cell r="J224">
            <v>25</v>
          </cell>
        </row>
        <row r="225">
          <cell r="D225" t="str">
            <v>N20</v>
          </cell>
          <cell r="H225">
            <v>46155</v>
          </cell>
          <cell r="I225">
            <v>362</v>
          </cell>
          <cell r="J225">
            <v>9</v>
          </cell>
        </row>
        <row r="226">
          <cell r="D226" t="str">
            <v>N21</v>
          </cell>
          <cell r="H226">
            <v>46155</v>
          </cell>
          <cell r="I226">
            <v>441</v>
          </cell>
          <cell r="J226">
            <v>9</v>
          </cell>
        </row>
        <row r="227">
          <cell r="D227" t="str">
            <v>N22</v>
          </cell>
          <cell r="H227">
            <v>46157</v>
          </cell>
          <cell r="I227">
            <v>367</v>
          </cell>
          <cell r="J227">
            <v>16</v>
          </cell>
        </row>
        <row r="228">
          <cell r="D228" t="str">
            <v>N23</v>
          </cell>
          <cell r="H228">
            <v>46157</v>
          </cell>
          <cell r="I228">
            <v>371</v>
          </cell>
          <cell r="J228">
            <v>15</v>
          </cell>
        </row>
        <row r="229">
          <cell r="D229" t="str">
            <v>N24</v>
          </cell>
          <cell r="H229">
            <v>46157</v>
          </cell>
          <cell r="I229">
            <v>286</v>
          </cell>
          <cell r="J229">
            <v>18</v>
          </cell>
        </row>
        <row r="230">
          <cell r="D230" t="str">
            <v>N25</v>
          </cell>
          <cell r="H230">
            <v>46158</v>
          </cell>
          <cell r="I230">
            <v>362</v>
          </cell>
          <cell r="J230">
            <v>9</v>
          </cell>
        </row>
        <row r="231">
          <cell r="D231" t="str">
            <v>N26</v>
          </cell>
          <cell r="H231">
            <v>46158</v>
          </cell>
          <cell r="I231">
            <v>397</v>
          </cell>
          <cell r="J231">
            <v>49</v>
          </cell>
        </row>
        <row r="232">
          <cell r="D232" t="str">
            <v>N27</v>
          </cell>
          <cell r="H232">
            <v>46158</v>
          </cell>
          <cell r="I232">
            <v>373</v>
          </cell>
          <cell r="J232">
            <v>21</v>
          </cell>
        </row>
        <row r="233">
          <cell r="D233" t="str">
            <v>N28</v>
          </cell>
          <cell r="H233">
            <v>46157</v>
          </cell>
          <cell r="I233">
            <v>378</v>
          </cell>
          <cell r="J233">
            <v>21</v>
          </cell>
        </row>
        <row r="234">
          <cell r="D234" t="str">
            <v>N29</v>
          </cell>
          <cell r="H234">
            <v>46157</v>
          </cell>
          <cell r="I234">
            <v>364</v>
          </cell>
          <cell r="J234">
            <v>18</v>
          </cell>
        </row>
        <row r="235">
          <cell r="D235" t="str">
            <v>O18</v>
          </cell>
          <cell r="H235">
            <v>46148</v>
          </cell>
          <cell r="I235">
            <v>360</v>
          </cell>
          <cell r="J235">
            <v>27</v>
          </cell>
        </row>
        <row r="236">
          <cell r="D236" t="str">
            <v>O19</v>
          </cell>
          <cell r="H236">
            <v>46148</v>
          </cell>
          <cell r="I236">
            <v>451</v>
          </cell>
          <cell r="J236">
            <v>58</v>
          </cell>
        </row>
        <row r="237">
          <cell r="D237" t="str">
            <v>O20</v>
          </cell>
          <cell r="H237">
            <v>46148</v>
          </cell>
          <cell r="I237">
            <v>312</v>
          </cell>
          <cell r="J237">
            <v>58</v>
          </cell>
        </row>
        <row r="238">
          <cell r="D238" t="str">
            <v>O21</v>
          </cell>
          <cell r="H238">
            <v>46148</v>
          </cell>
          <cell r="I238">
            <v>382</v>
          </cell>
          <cell r="J238">
            <v>93</v>
          </cell>
        </row>
        <row r="239">
          <cell r="D239" t="str">
            <v>O22</v>
          </cell>
          <cell r="H239">
            <v>46149</v>
          </cell>
          <cell r="I239">
            <v>355</v>
          </cell>
          <cell r="J239">
            <v>77</v>
          </cell>
        </row>
        <row r="240">
          <cell r="D240" t="str">
            <v>O23</v>
          </cell>
          <cell r="H240">
            <v>46149</v>
          </cell>
          <cell r="I240">
            <v>389</v>
          </cell>
          <cell r="J240">
            <v>13</v>
          </cell>
        </row>
        <row r="241">
          <cell r="D241" t="str">
            <v>O24</v>
          </cell>
          <cell r="H241">
            <v>46149</v>
          </cell>
          <cell r="I241">
            <v>414</v>
          </cell>
          <cell r="J241">
            <v>62</v>
          </cell>
        </row>
        <row r="242">
          <cell r="D242" t="str">
            <v>O25</v>
          </cell>
          <cell r="H242">
            <v>46149</v>
          </cell>
          <cell r="I242">
            <v>312</v>
          </cell>
          <cell r="J242">
            <v>20</v>
          </cell>
        </row>
        <row r="243">
          <cell r="D243" t="str">
            <v>O26</v>
          </cell>
          <cell r="H243">
            <v>46149</v>
          </cell>
          <cell r="I243">
            <v>400</v>
          </cell>
          <cell r="J243">
            <v>59</v>
          </cell>
        </row>
        <row r="244">
          <cell r="D244" t="str">
            <v>O27</v>
          </cell>
          <cell r="H244">
            <v>46149</v>
          </cell>
          <cell r="I244">
            <v>402</v>
          </cell>
          <cell r="J244">
            <v>69</v>
          </cell>
        </row>
        <row r="245">
          <cell r="D245" t="str">
            <v>O28</v>
          </cell>
          <cell r="H245">
            <v>46150</v>
          </cell>
          <cell r="I245">
            <v>385</v>
          </cell>
          <cell r="J245">
            <v>17</v>
          </cell>
        </row>
        <row r="246">
          <cell r="D246" t="str">
            <v>O29</v>
          </cell>
          <cell r="H246">
            <v>46150</v>
          </cell>
          <cell r="I246">
            <v>436</v>
          </cell>
          <cell r="J246">
            <v>21</v>
          </cell>
        </row>
        <row r="247">
          <cell r="D247" t="str">
            <v>O30</v>
          </cell>
          <cell r="H247">
            <v>46150</v>
          </cell>
          <cell r="I247">
            <v>409</v>
          </cell>
          <cell r="J247">
            <v>25</v>
          </cell>
        </row>
        <row r="248">
          <cell r="D248" t="str">
            <v>P17</v>
          </cell>
          <cell r="H248">
            <v>46150</v>
          </cell>
          <cell r="I248">
            <v>364</v>
          </cell>
          <cell r="J248">
            <v>20</v>
          </cell>
        </row>
        <row r="249">
          <cell r="D249" t="str">
            <v>P18</v>
          </cell>
          <cell r="H249">
            <v>46151</v>
          </cell>
          <cell r="I249">
            <v>338</v>
          </cell>
          <cell r="J249">
            <v>16</v>
          </cell>
        </row>
        <row r="250">
          <cell r="D250" t="str">
            <v>P19</v>
          </cell>
          <cell r="H250">
            <v>46151</v>
          </cell>
          <cell r="I250">
            <v>552</v>
          </cell>
          <cell r="J250">
            <v>22</v>
          </cell>
        </row>
        <row r="251">
          <cell r="D251" t="str">
            <v>P20</v>
          </cell>
          <cell r="H251">
            <v>46153</v>
          </cell>
          <cell r="I251">
            <v>402</v>
          </cell>
          <cell r="J251">
            <v>11</v>
          </cell>
        </row>
        <row r="252">
          <cell r="D252" t="str">
            <v>P21</v>
          </cell>
          <cell r="H252">
            <v>46154</v>
          </cell>
          <cell r="I252">
            <v>413</v>
          </cell>
          <cell r="J252">
            <v>61</v>
          </cell>
        </row>
        <row r="253">
          <cell r="D253" t="str">
            <v>P22</v>
          </cell>
          <cell r="H253">
            <v>46153</v>
          </cell>
          <cell r="I253">
            <v>442</v>
          </cell>
          <cell r="J253">
            <v>29</v>
          </cell>
        </row>
        <row r="254">
          <cell r="D254" t="str">
            <v>P23</v>
          </cell>
          <cell r="H254">
            <v>46153</v>
          </cell>
          <cell r="I254">
            <v>344</v>
          </cell>
          <cell r="J254">
            <v>25</v>
          </cell>
        </row>
        <row r="255">
          <cell r="D255" t="str">
            <v>P24</v>
          </cell>
          <cell r="H255">
            <v>46153</v>
          </cell>
          <cell r="I255">
            <v>382</v>
          </cell>
          <cell r="J255">
            <v>26</v>
          </cell>
        </row>
        <row r="256">
          <cell r="D256" t="str">
            <v>P25</v>
          </cell>
          <cell r="H256">
            <v>46154</v>
          </cell>
          <cell r="I256">
            <v>424</v>
          </cell>
          <cell r="J256">
            <v>46</v>
          </cell>
        </row>
        <row r="257">
          <cell r="D257" t="str">
            <v>P26</v>
          </cell>
          <cell r="H257">
            <v>46154</v>
          </cell>
          <cell r="I257">
            <v>451</v>
          </cell>
          <cell r="J257">
            <v>56</v>
          </cell>
        </row>
        <row r="258">
          <cell r="D258" t="str">
            <v>P27</v>
          </cell>
          <cell r="H258">
            <v>46154</v>
          </cell>
          <cell r="I258">
            <v>721</v>
          </cell>
          <cell r="J258">
            <v>34</v>
          </cell>
        </row>
        <row r="259">
          <cell r="D259" t="str">
            <v>Q18</v>
          </cell>
          <cell r="H259">
            <v>46155</v>
          </cell>
          <cell r="I259">
            <v>394</v>
          </cell>
          <cell r="J259">
            <v>7</v>
          </cell>
        </row>
        <row r="260">
          <cell r="D260" t="str">
            <v>Q19</v>
          </cell>
          <cell r="H260">
            <v>46155</v>
          </cell>
          <cell r="I260">
            <v>348</v>
          </cell>
          <cell r="J260">
            <v>5</v>
          </cell>
        </row>
        <row r="261">
          <cell r="D261" t="str">
            <v>Q20</v>
          </cell>
          <cell r="H261">
            <v>46155</v>
          </cell>
          <cell r="I261">
            <v>421</v>
          </cell>
          <cell r="J261">
            <v>21</v>
          </cell>
        </row>
        <row r="262">
          <cell r="D262" t="str">
            <v>Q21</v>
          </cell>
          <cell r="H262">
            <v>46155</v>
          </cell>
          <cell r="I262">
            <v>373</v>
          </cell>
          <cell r="J262">
            <v>22</v>
          </cell>
        </row>
        <row r="263">
          <cell r="D263" t="str">
            <v>Q22</v>
          </cell>
          <cell r="H263">
            <v>46157</v>
          </cell>
          <cell r="I263">
            <v>391</v>
          </cell>
          <cell r="J263">
            <v>12</v>
          </cell>
        </row>
        <row r="264">
          <cell r="D264" t="str">
            <v>Q23</v>
          </cell>
          <cell r="H264">
            <v>46157</v>
          </cell>
          <cell r="I264">
            <v>364</v>
          </cell>
          <cell r="J264">
            <v>5</v>
          </cell>
        </row>
        <row r="265">
          <cell r="D265" t="str">
            <v>Q24</v>
          </cell>
          <cell r="H265">
            <v>46157</v>
          </cell>
          <cell r="I265">
            <v>378</v>
          </cell>
          <cell r="J265">
            <v>15</v>
          </cell>
        </row>
        <row r="266">
          <cell r="D266" t="str">
            <v>Q25</v>
          </cell>
          <cell r="H266">
            <v>46157</v>
          </cell>
          <cell r="I266">
            <v>398</v>
          </cell>
          <cell r="J266">
            <v>14</v>
          </cell>
        </row>
        <row r="267">
          <cell r="D267" t="str">
            <v>Q26</v>
          </cell>
          <cell r="H267">
            <v>46158</v>
          </cell>
          <cell r="I267">
            <v>435</v>
          </cell>
          <cell r="J267">
            <v>19</v>
          </cell>
        </row>
        <row r="268">
          <cell r="D268" t="str">
            <v>Q27</v>
          </cell>
          <cell r="H268">
            <v>46158</v>
          </cell>
          <cell r="I268">
            <v>395</v>
          </cell>
          <cell r="J268">
            <v>18</v>
          </cell>
        </row>
        <row r="269">
          <cell r="D269" t="str">
            <v>Q28</v>
          </cell>
          <cell r="H269">
            <v>46158</v>
          </cell>
          <cell r="I269">
            <v>427</v>
          </cell>
          <cell r="J269">
            <v>13</v>
          </cell>
        </row>
        <row r="270">
          <cell r="D270" t="str">
            <v>Q29</v>
          </cell>
          <cell r="H270">
            <v>46158</v>
          </cell>
          <cell r="I270">
            <v>363</v>
          </cell>
          <cell r="J270">
            <v>20</v>
          </cell>
        </row>
        <row r="271">
          <cell r="D271" t="str">
            <v>Q30</v>
          </cell>
          <cell r="H271">
            <v>46158</v>
          </cell>
          <cell r="I271">
            <v>392</v>
          </cell>
          <cell r="J271">
            <v>26</v>
          </cell>
        </row>
        <row r="272">
          <cell r="D272" t="str">
            <v>Q15</v>
          </cell>
          <cell r="H272">
            <v>46148</v>
          </cell>
          <cell r="I272">
            <v>374</v>
          </cell>
          <cell r="J272">
            <v>61</v>
          </cell>
        </row>
        <row r="273">
          <cell r="D273" t="str">
            <v>Q16</v>
          </cell>
          <cell r="H273">
            <v>46148</v>
          </cell>
          <cell r="I273">
            <v>383</v>
          </cell>
          <cell r="J273">
            <v>31</v>
          </cell>
        </row>
        <row r="274">
          <cell r="D274" t="str">
            <v>Q17</v>
          </cell>
          <cell r="H274">
            <v>46148</v>
          </cell>
          <cell r="I274">
            <v>361</v>
          </cell>
          <cell r="J274">
            <v>76</v>
          </cell>
        </row>
        <row r="275">
          <cell r="D275" t="str">
            <v>R14</v>
          </cell>
          <cell r="H275">
            <v>46148</v>
          </cell>
          <cell r="I275">
            <v>361</v>
          </cell>
          <cell r="J275">
            <v>76</v>
          </cell>
        </row>
        <row r="276">
          <cell r="D276" t="str">
            <v>R15</v>
          </cell>
          <cell r="H276">
            <v>46149</v>
          </cell>
          <cell r="I276">
            <v>392</v>
          </cell>
          <cell r="J276">
            <v>107</v>
          </cell>
        </row>
        <row r="277">
          <cell r="D277" t="str">
            <v>R16</v>
          </cell>
          <cell r="H277">
            <v>46149</v>
          </cell>
          <cell r="I277">
            <v>345</v>
          </cell>
          <cell r="J277">
            <v>79</v>
          </cell>
        </row>
        <row r="278">
          <cell r="D278" t="str">
            <v>R17</v>
          </cell>
          <cell r="H278">
            <v>46149</v>
          </cell>
          <cell r="I278">
            <v>371</v>
          </cell>
          <cell r="J278">
            <v>17</v>
          </cell>
        </row>
        <row r="279">
          <cell r="D279" t="str">
            <v>R18</v>
          </cell>
          <cell r="H279">
            <v>46149</v>
          </cell>
          <cell r="I279">
            <v>391</v>
          </cell>
          <cell r="J279">
            <v>53</v>
          </cell>
        </row>
        <row r="280">
          <cell r="D280" t="str">
            <v>R19</v>
          </cell>
          <cell r="H280">
            <v>46149</v>
          </cell>
          <cell r="I280">
            <v>389</v>
          </cell>
          <cell r="J280">
            <v>130</v>
          </cell>
        </row>
        <row r="281">
          <cell r="D281" t="str">
            <v>R20</v>
          </cell>
          <cell r="H281">
            <v>46149</v>
          </cell>
          <cell r="I281">
            <v>425</v>
          </cell>
          <cell r="J281">
            <v>52</v>
          </cell>
        </row>
        <row r="282">
          <cell r="D282" t="str">
            <v>R21</v>
          </cell>
          <cell r="H282">
            <v>46150</v>
          </cell>
          <cell r="I282">
            <v>378</v>
          </cell>
          <cell r="J282">
            <v>111</v>
          </cell>
        </row>
        <row r="283">
          <cell r="D283" t="str">
            <v>R22</v>
          </cell>
          <cell r="H283">
            <v>46150</v>
          </cell>
          <cell r="I283">
            <v>395</v>
          </cell>
          <cell r="J283">
            <v>52</v>
          </cell>
        </row>
        <row r="284">
          <cell r="D284" t="str">
            <v>R23</v>
          </cell>
          <cell r="H284">
            <v>46150</v>
          </cell>
          <cell r="I284">
            <v>373</v>
          </cell>
          <cell r="J284">
            <v>47</v>
          </cell>
        </row>
        <row r="285">
          <cell r="D285" t="str">
            <v>R24</v>
          </cell>
          <cell r="H285">
            <v>46150</v>
          </cell>
          <cell r="I285">
            <v>368</v>
          </cell>
          <cell r="J285">
            <v>15</v>
          </cell>
        </row>
        <row r="286">
          <cell r="D286" t="str">
            <v>R25</v>
          </cell>
          <cell r="H286">
            <v>46150</v>
          </cell>
          <cell r="I286">
            <v>335</v>
          </cell>
          <cell r="J286">
            <v>64</v>
          </cell>
        </row>
        <row r="287">
          <cell r="D287" t="str">
            <v>R26</v>
          </cell>
          <cell r="H287">
            <v>46153</v>
          </cell>
          <cell r="I287">
            <v>405</v>
          </cell>
          <cell r="J287">
            <v>65</v>
          </cell>
        </row>
        <row r="288">
          <cell r="D288" t="str">
            <v>R27</v>
          </cell>
          <cell r="H288">
            <v>46153</v>
          </cell>
          <cell r="I288">
            <v>369</v>
          </cell>
          <cell r="J288">
            <v>99</v>
          </cell>
        </row>
        <row r="289">
          <cell r="D289" t="str">
            <v>R28</v>
          </cell>
          <cell r="H289">
            <v>46153</v>
          </cell>
          <cell r="I289">
            <v>415</v>
          </cell>
          <cell r="J289">
            <v>49</v>
          </cell>
        </row>
        <row r="290">
          <cell r="D290" t="str">
            <v>S16</v>
          </cell>
          <cell r="H290">
            <v>46153</v>
          </cell>
          <cell r="I290">
            <v>308</v>
          </cell>
          <cell r="J290">
            <v>61</v>
          </cell>
        </row>
        <row r="291">
          <cell r="D291" t="str">
            <v>S17</v>
          </cell>
          <cell r="H291">
            <v>46153</v>
          </cell>
          <cell r="I291">
            <v>358</v>
          </cell>
          <cell r="J291">
            <v>15</v>
          </cell>
        </row>
        <row r="292">
          <cell r="D292" t="str">
            <v>S18</v>
          </cell>
          <cell r="H292">
            <v>46153</v>
          </cell>
          <cell r="I292">
            <v>409</v>
          </cell>
          <cell r="J292">
            <v>63</v>
          </cell>
        </row>
        <row r="293">
          <cell r="D293" t="str">
            <v>S19</v>
          </cell>
          <cell r="H293">
            <v>46153</v>
          </cell>
          <cell r="I293">
            <v>402</v>
          </cell>
          <cell r="J293">
            <v>47</v>
          </cell>
        </row>
        <row r="294">
          <cell r="D294" t="str">
            <v>S20</v>
          </cell>
          <cell r="H294">
            <v>46153</v>
          </cell>
          <cell r="I294">
            <v>413</v>
          </cell>
          <cell r="J294">
            <v>41</v>
          </cell>
        </row>
        <row r="295">
          <cell r="D295" t="str">
            <v>S21</v>
          </cell>
          <cell r="H295">
            <v>46154</v>
          </cell>
          <cell r="I295">
            <v>408</v>
          </cell>
          <cell r="J295">
            <v>46</v>
          </cell>
        </row>
        <row r="296">
          <cell r="D296" t="str">
            <v>S22</v>
          </cell>
          <cell r="H296">
            <v>46154</v>
          </cell>
          <cell r="I296">
            <v>409</v>
          </cell>
          <cell r="J296">
            <v>36</v>
          </cell>
        </row>
        <row r="297">
          <cell r="D297" t="str">
            <v>S23</v>
          </cell>
          <cell r="H297">
            <v>46154</v>
          </cell>
          <cell r="I297">
            <v>399</v>
          </cell>
          <cell r="J297">
            <v>14</v>
          </cell>
        </row>
        <row r="298">
          <cell r="D298" t="str">
            <v>S24</v>
          </cell>
          <cell r="H298">
            <v>46155</v>
          </cell>
          <cell r="I298">
            <v>364</v>
          </cell>
          <cell r="J298">
            <v>19</v>
          </cell>
        </row>
        <row r="299">
          <cell r="D299" t="str">
            <v>S25</v>
          </cell>
          <cell r="H299">
            <v>46155</v>
          </cell>
          <cell r="I299">
            <v>385</v>
          </cell>
          <cell r="J299">
            <v>27</v>
          </cell>
        </row>
        <row r="300">
          <cell r="D300" t="str">
            <v>S26</v>
          </cell>
          <cell r="H300">
            <v>46155</v>
          </cell>
          <cell r="I300">
            <v>395</v>
          </cell>
          <cell r="J300">
            <v>24</v>
          </cell>
        </row>
        <row r="301">
          <cell r="D301" t="str">
            <v>S27</v>
          </cell>
          <cell r="H301">
            <v>46157</v>
          </cell>
          <cell r="I301">
            <v>420</v>
          </cell>
          <cell r="J301">
            <v>31</v>
          </cell>
        </row>
        <row r="302">
          <cell r="D302" t="str">
            <v>S28</v>
          </cell>
          <cell r="H302">
            <v>46157</v>
          </cell>
          <cell r="I302">
            <v>406</v>
          </cell>
          <cell r="J302">
            <v>25</v>
          </cell>
        </row>
        <row r="303">
          <cell r="D303" t="str">
            <v>G26</v>
          </cell>
          <cell r="H303">
            <v>46151</v>
          </cell>
          <cell r="I303">
            <v>337</v>
          </cell>
          <cell r="J303">
            <v>56</v>
          </cell>
        </row>
        <row r="304">
          <cell r="D304" t="str">
            <v>G27</v>
          </cell>
          <cell r="H304">
            <v>46151</v>
          </cell>
          <cell r="I304">
            <v>421</v>
          </cell>
          <cell r="J304">
            <v>86</v>
          </cell>
        </row>
        <row r="305">
          <cell r="D305" t="str">
            <v>G28</v>
          </cell>
          <cell r="H305">
            <v>46151</v>
          </cell>
          <cell r="I305">
            <v>395</v>
          </cell>
          <cell r="J305">
            <v>88</v>
          </cell>
        </row>
        <row r="306">
          <cell r="D306" t="str">
            <v>G29</v>
          </cell>
          <cell r="H306">
            <v>46151</v>
          </cell>
          <cell r="I306">
            <v>392</v>
          </cell>
          <cell r="J306">
            <v>46</v>
          </cell>
        </row>
        <row r="307">
          <cell r="D307" t="str">
            <v>G30</v>
          </cell>
          <cell r="H307">
            <v>46151</v>
          </cell>
          <cell r="I307">
            <v>444</v>
          </cell>
          <cell r="J307">
            <v>49</v>
          </cell>
        </row>
        <row r="308">
          <cell r="D308" t="str">
            <v>G31</v>
          </cell>
          <cell r="H308">
            <v>46151</v>
          </cell>
          <cell r="I308">
            <v>366</v>
          </cell>
          <cell r="J308">
            <v>100</v>
          </cell>
        </row>
        <row r="309">
          <cell r="D309" t="str">
            <v>G32</v>
          </cell>
          <cell r="H309">
            <v>46153</v>
          </cell>
          <cell r="I309">
            <v>405</v>
          </cell>
          <cell r="J309">
            <v>47</v>
          </cell>
        </row>
        <row r="310">
          <cell r="D310" t="str">
            <v>G33</v>
          </cell>
          <cell r="H310">
            <v>46153</v>
          </cell>
          <cell r="I310">
            <v>485</v>
          </cell>
          <cell r="J310">
            <v>59</v>
          </cell>
        </row>
        <row r="311">
          <cell r="D311" t="str">
            <v>G34</v>
          </cell>
          <cell r="H311">
            <v>46153</v>
          </cell>
          <cell r="I311">
            <v>381</v>
          </cell>
          <cell r="J311">
            <v>19</v>
          </cell>
        </row>
        <row r="312">
          <cell r="D312" t="str">
            <v>G35</v>
          </cell>
          <cell r="H312">
            <v>46150</v>
          </cell>
          <cell r="I312">
            <v>354</v>
          </cell>
          <cell r="J312">
            <v>33</v>
          </cell>
        </row>
        <row r="313">
          <cell r="D313" t="str">
            <v>H25</v>
          </cell>
          <cell r="H313">
            <v>46148</v>
          </cell>
          <cell r="I313">
            <v>399</v>
          </cell>
          <cell r="J313">
            <v>60</v>
          </cell>
        </row>
        <row r="314">
          <cell r="D314" t="str">
            <v>H26</v>
          </cell>
          <cell r="H314">
            <v>46148</v>
          </cell>
          <cell r="I314">
            <v>430</v>
          </cell>
          <cell r="J314">
            <v>38</v>
          </cell>
        </row>
        <row r="315">
          <cell r="D315" t="str">
            <v>H27</v>
          </cell>
          <cell r="H315">
            <v>46148</v>
          </cell>
          <cell r="I315">
            <v>442</v>
          </cell>
          <cell r="J315">
            <v>152</v>
          </cell>
        </row>
        <row r="316">
          <cell r="D316" t="str">
            <v>H28</v>
          </cell>
          <cell r="H316">
            <v>46149</v>
          </cell>
          <cell r="I316">
            <v>507</v>
          </cell>
          <cell r="J316">
            <v>67</v>
          </cell>
        </row>
        <row r="317">
          <cell r="D317" t="str">
            <v>H29</v>
          </cell>
          <cell r="H317">
            <v>46149</v>
          </cell>
          <cell r="I317">
            <v>415</v>
          </cell>
          <cell r="J317">
            <v>56</v>
          </cell>
        </row>
        <row r="318">
          <cell r="D318" t="str">
            <v>H30</v>
          </cell>
          <cell r="H318">
            <v>46149</v>
          </cell>
          <cell r="I318">
            <v>444</v>
          </cell>
          <cell r="J318">
            <v>57</v>
          </cell>
        </row>
        <row r="319">
          <cell r="D319" t="str">
            <v>H31</v>
          </cell>
          <cell r="H319">
            <v>46149</v>
          </cell>
          <cell r="I319">
            <v>416</v>
          </cell>
          <cell r="J319">
            <v>57</v>
          </cell>
        </row>
        <row r="320">
          <cell r="D320" t="str">
            <v>H32</v>
          </cell>
          <cell r="H320">
            <v>46150</v>
          </cell>
          <cell r="I320">
            <v>317</v>
          </cell>
          <cell r="J320">
            <v>70</v>
          </cell>
        </row>
        <row r="321">
          <cell r="D321" t="str">
            <v>H33</v>
          </cell>
          <cell r="H321">
            <v>46150</v>
          </cell>
          <cell r="I321">
            <v>462</v>
          </cell>
          <cell r="J321">
            <v>80</v>
          </cell>
        </row>
        <row r="322">
          <cell r="D322" t="str">
            <v>H34</v>
          </cell>
          <cell r="H322">
            <v>46150</v>
          </cell>
          <cell r="I322">
            <v>334</v>
          </cell>
          <cell r="J322">
            <v>63</v>
          </cell>
        </row>
        <row r="323">
          <cell r="D323" t="str">
            <v>I27</v>
          </cell>
          <cell r="H323">
            <v>46150</v>
          </cell>
          <cell r="I323">
            <v>385</v>
          </cell>
          <cell r="J323">
            <v>98</v>
          </cell>
        </row>
        <row r="324">
          <cell r="D324" t="str">
            <v>I28</v>
          </cell>
          <cell r="H324">
            <v>46150</v>
          </cell>
          <cell r="I324">
            <v>403</v>
          </cell>
          <cell r="J324">
            <v>92</v>
          </cell>
        </row>
        <row r="325">
          <cell r="D325" t="str">
            <v>I29</v>
          </cell>
          <cell r="H325">
            <v>46150</v>
          </cell>
          <cell r="I325">
            <v>389</v>
          </cell>
          <cell r="J325">
            <v>103</v>
          </cell>
        </row>
        <row r="326">
          <cell r="D326" t="str">
            <v>I30</v>
          </cell>
          <cell r="H326">
            <v>46149</v>
          </cell>
          <cell r="I326">
            <v>440</v>
          </cell>
          <cell r="J326">
            <v>43</v>
          </cell>
        </row>
        <row r="327">
          <cell r="D327" t="str">
            <v>I31</v>
          </cell>
          <cell r="H327">
            <v>46149</v>
          </cell>
          <cell r="I327">
            <v>362</v>
          </cell>
          <cell r="J327">
            <v>68</v>
          </cell>
        </row>
        <row r="328">
          <cell r="D328" t="str">
            <v>I32</v>
          </cell>
          <cell r="H328">
            <v>46149</v>
          </cell>
          <cell r="I328">
            <v>397</v>
          </cell>
          <cell r="J328">
            <v>65</v>
          </cell>
        </row>
        <row r="329">
          <cell r="D329" t="str">
            <v>I33</v>
          </cell>
          <cell r="H329">
            <v>46149</v>
          </cell>
          <cell r="I329">
            <v>379</v>
          </cell>
          <cell r="J329">
            <v>98</v>
          </cell>
        </row>
        <row r="330">
          <cell r="D330" t="str">
            <v>I34</v>
          </cell>
          <cell r="H330">
            <v>46148</v>
          </cell>
          <cell r="I330">
            <v>374</v>
          </cell>
          <cell r="J330">
            <v>28</v>
          </cell>
        </row>
        <row r="331">
          <cell r="D331" t="str">
            <v>I35</v>
          </cell>
          <cell r="H331">
            <v>46148</v>
          </cell>
          <cell r="I331">
            <v>364</v>
          </cell>
          <cell r="J331">
            <v>15</v>
          </cell>
        </row>
        <row r="332">
          <cell r="D332" t="str">
            <v>I36</v>
          </cell>
          <cell r="H332">
            <v>46148</v>
          </cell>
          <cell r="I332">
            <v>380</v>
          </cell>
          <cell r="J332">
            <v>11</v>
          </cell>
        </row>
        <row r="333">
          <cell r="D333" t="str">
            <v>I37</v>
          </cell>
          <cell r="H333">
            <v>46148</v>
          </cell>
          <cell r="I333">
            <v>396</v>
          </cell>
          <cell r="J333">
            <v>28</v>
          </cell>
        </row>
        <row r="334">
          <cell r="D334" t="str">
            <v>J28</v>
          </cell>
          <cell r="H334">
            <v>46154</v>
          </cell>
          <cell r="I334">
            <v>392</v>
          </cell>
          <cell r="J334">
            <v>41</v>
          </cell>
        </row>
        <row r="335">
          <cell r="D335" t="str">
            <v>J29</v>
          </cell>
          <cell r="H335">
            <v>46154</v>
          </cell>
          <cell r="I335">
            <v>346</v>
          </cell>
          <cell r="J335">
            <v>56</v>
          </cell>
        </row>
        <row r="336">
          <cell r="D336" t="str">
            <v>J30</v>
          </cell>
          <cell r="H336">
            <v>46154</v>
          </cell>
          <cell r="I336">
            <v>403</v>
          </cell>
          <cell r="J336">
            <v>58</v>
          </cell>
        </row>
        <row r="337">
          <cell r="D337" t="str">
            <v>J31</v>
          </cell>
          <cell r="H337">
            <v>46154</v>
          </cell>
          <cell r="I337">
            <v>385</v>
          </cell>
          <cell r="J337">
            <v>87</v>
          </cell>
        </row>
        <row r="338">
          <cell r="D338" t="str">
            <v>J32</v>
          </cell>
          <cell r="H338">
            <v>46154</v>
          </cell>
          <cell r="I338">
            <v>342</v>
          </cell>
          <cell r="J338">
            <v>69</v>
          </cell>
        </row>
        <row r="339">
          <cell r="D339" t="str">
            <v>J33</v>
          </cell>
          <cell r="H339">
            <v>46153</v>
          </cell>
          <cell r="I339">
            <v>362</v>
          </cell>
          <cell r="J339">
            <v>51</v>
          </cell>
        </row>
        <row r="340">
          <cell r="D340" t="str">
            <v>J34</v>
          </cell>
          <cell r="H340">
            <v>46153</v>
          </cell>
          <cell r="I340">
            <v>370</v>
          </cell>
          <cell r="J340">
            <v>30</v>
          </cell>
        </row>
        <row r="341">
          <cell r="D341" t="str">
            <v>J35</v>
          </cell>
          <cell r="H341">
            <v>46153</v>
          </cell>
          <cell r="I341">
            <v>344</v>
          </cell>
          <cell r="J341">
            <v>59</v>
          </cell>
        </row>
        <row r="342">
          <cell r="D342" t="str">
            <v>J36</v>
          </cell>
          <cell r="H342">
            <v>46151</v>
          </cell>
          <cell r="I342">
            <v>373</v>
          </cell>
          <cell r="J342">
            <v>38</v>
          </cell>
        </row>
        <row r="343">
          <cell r="D343" t="str">
            <v>J37</v>
          </cell>
          <cell r="H343">
            <v>46151</v>
          </cell>
          <cell r="I343">
            <v>379</v>
          </cell>
          <cell r="J343">
            <v>91</v>
          </cell>
        </row>
        <row r="344">
          <cell r="D344" t="str">
            <v>J38</v>
          </cell>
          <cell r="H344">
            <v>46151</v>
          </cell>
          <cell r="I344">
            <v>404</v>
          </cell>
          <cell r="J344">
            <v>53</v>
          </cell>
        </row>
        <row r="345">
          <cell r="D345" t="str">
            <v>K29</v>
          </cell>
          <cell r="H345">
            <v>46155</v>
          </cell>
          <cell r="I345">
            <v>446</v>
          </cell>
          <cell r="J345">
            <v>34</v>
          </cell>
        </row>
        <row r="346">
          <cell r="D346" t="str">
            <v>K30</v>
          </cell>
          <cell r="H346">
            <v>46155</v>
          </cell>
          <cell r="I346">
            <v>376</v>
          </cell>
          <cell r="J346">
            <v>49</v>
          </cell>
        </row>
        <row r="347">
          <cell r="D347" t="str">
            <v>K31</v>
          </cell>
          <cell r="H347">
            <v>46155</v>
          </cell>
          <cell r="I347">
            <v>393</v>
          </cell>
          <cell r="J347">
            <v>59</v>
          </cell>
        </row>
        <row r="348">
          <cell r="D348" t="str">
            <v>K32</v>
          </cell>
          <cell r="H348">
            <v>46155</v>
          </cell>
          <cell r="I348">
            <v>352</v>
          </cell>
          <cell r="J348">
            <v>130</v>
          </cell>
        </row>
        <row r="349">
          <cell r="D349" t="str">
            <v>K33</v>
          </cell>
          <cell r="H349">
            <v>46155</v>
          </cell>
          <cell r="I349">
            <v>340</v>
          </cell>
          <cell r="J349">
            <v>63</v>
          </cell>
        </row>
        <row r="350">
          <cell r="D350" t="str">
            <v>K34</v>
          </cell>
          <cell r="H350">
            <v>46157</v>
          </cell>
          <cell r="I350">
            <v>383</v>
          </cell>
          <cell r="J350">
            <v>55</v>
          </cell>
        </row>
        <row r="351">
          <cell r="D351" t="str">
            <v>K35</v>
          </cell>
          <cell r="H351">
            <v>46157</v>
          </cell>
          <cell r="I351">
            <v>339</v>
          </cell>
          <cell r="J351">
            <v>96</v>
          </cell>
        </row>
        <row r="352">
          <cell r="D352" t="str">
            <v>K36</v>
          </cell>
          <cell r="H352">
            <v>46157</v>
          </cell>
          <cell r="I352">
            <v>286</v>
          </cell>
          <cell r="J352">
            <v>26</v>
          </cell>
        </row>
        <row r="353">
          <cell r="D353" t="str">
            <v>K37</v>
          </cell>
          <cell r="H353">
            <v>46157</v>
          </cell>
          <cell r="I353">
            <v>358</v>
          </cell>
          <cell r="J353">
            <v>55</v>
          </cell>
        </row>
        <row r="354">
          <cell r="D354" t="str">
            <v>K38</v>
          </cell>
          <cell r="H354">
            <v>46157</v>
          </cell>
          <cell r="I354">
            <v>390</v>
          </cell>
          <cell r="J354">
            <v>19</v>
          </cell>
        </row>
        <row r="355">
          <cell r="D355" t="str">
            <v>K39</v>
          </cell>
          <cell r="H355">
            <v>46157</v>
          </cell>
          <cell r="I355">
            <v>420</v>
          </cell>
          <cell r="J355">
            <v>10</v>
          </cell>
        </row>
        <row r="356">
          <cell r="D356" t="str">
            <v>K40</v>
          </cell>
          <cell r="H356">
            <v>46157</v>
          </cell>
          <cell r="I356">
            <v>364</v>
          </cell>
          <cell r="J356">
            <v>8</v>
          </cell>
        </row>
        <row r="357">
          <cell r="D357" t="str">
            <v>L29</v>
          </cell>
          <cell r="H357">
            <v>46154</v>
          </cell>
          <cell r="I357">
            <v>344</v>
          </cell>
          <cell r="J357">
            <v>41</v>
          </cell>
        </row>
        <row r="358">
          <cell r="D358" t="str">
            <v>L30</v>
          </cell>
          <cell r="H358">
            <v>46154</v>
          </cell>
          <cell r="I358">
            <v>373</v>
          </cell>
          <cell r="J358">
            <v>34</v>
          </cell>
        </row>
        <row r="359">
          <cell r="D359" t="str">
            <v>L31</v>
          </cell>
          <cell r="H359">
            <v>46154</v>
          </cell>
          <cell r="I359">
            <v>298</v>
          </cell>
          <cell r="J359">
            <v>35</v>
          </cell>
        </row>
        <row r="360">
          <cell r="D360" t="str">
            <v>L32</v>
          </cell>
          <cell r="H360">
            <v>46154</v>
          </cell>
          <cell r="I360">
            <v>407</v>
          </cell>
          <cell r="J360">
            <v>17</v>
          </cell>
        </row>
        <row r="361">
          <cell r="D361" t="str">
            <v>L33</v>
          </cell>
          <cell r="H361">
            <v>46154</v>
          </cell>
          <cell r="I361">
            <v>339</v>
          </cell>
          <cell r="J361">
            <v>29</v>
          </cell>
        </row>
        <row r="362">
          <cell r="D362" t="str">
            <v>L34</v>
          </cell>
          <cell r="H362">
            <v>46155</v>
          </cell>
          <cell r="I362">
            <v>300</v>
          </cell>
          <cell r="J362">
            <v>20</v>
          </cell>
        </row>
        <row r="363">
          <cell r="D363" t="str">
            <v>L35</v>
          </cell>
          <cell r="H363">
            <v>46155</v>
          </cell>
          <cell r="I363">
            <v>328</v>
          </cell>
          <cell r="J363">
            <v>21</v>
          </cell>
        </row>
        <row r="364">
          <cell r="D364" t="str">
            <v>L36</v>
          </cell>
          <cell r="H364">
            <v>46155</v>
          </cell>
          <cell r="I364">
            <v>338</v>
          </cell>
          <cell r="J364">
            <v>28</v>
          </cell>
        </row>
        <row r="365">
          <cell r="D365" t="str">
            <v>L37</v>
          </cell>
          <cell r="H365">
            <v>46155</v>
          </cell>
          <cell r="I365">
            <v>321</v>
          </cell>
          <cell r="J365">
            <v>15</v>
          </cell>
        </row>
        <row r="366">
          <cell r="D366" t="str">
            <v>L38</v>
          </cell>
          <cell r="H366">
            <v>46155</v>
          </cell>
          <cell r="I366">
            <v>361</v>
          </cell>
          <cell r="J366">
            <v>32</v>
          </cell>
        </row>
        <row r="367">
          <cell r="D367" t="str">
            <v>L39</v>
          </cell>
          <cell r="H367">
            <v>46157</v>
          </cell>
          <cell r="I367">
            <v>381</v>
          </cell>
          <cell r="J367">
            <v>23</v>
          </cell>
        </row>
        <row r="368">
          <cell r="D368" t="str">
            <v>L40</v>
          </cell>
          <cell r="H368">
            <v>46157</v>
          </cell>
          <cell r="I368">
            <v>392</v>
          </cell>
          <cell r="J368">
            <v>15</v>
          </cell>
        </row>
        <row r="369">
          <cell r="D369" t="str">
            <v>M30</v>
          </cell>
          <cell r="H369">
            <v>46150</v>
          </cell>
          <cell r="I369">
            <v>425</v>
          </cell>
          <cell r="J369">
            <v>16</v>
          </cell>
        </row>
        <row r="370">
          <cell r="D370" t="str">
            <v>M31</v>
          </cell>
          <cell r="H370">
            <v>46151</v>
          </cell>
          <cell r="I370">
            <v>370</v>
          </cell>
          <cell r="J370">
            <v>48</v>
          </cell>
        </row>
        <row r="371">
          <cell r="D371" t="str">
            <v>M32</v>
          </cell>
          <cell r="H371">
            <v>46151</v>
          </cell>
          <cell r="I371">
            <v>320</v>
          </cell>
          <cell r="J371">
            <v>12</v>
          </cell>
        </row>
        <row r="372">
          <cell r="D372" t="str">
            <v>M33</v>
          </cell>
          <cell r="H372">
            <v>46151</v>
          </cell>
          <cell r="I372">
            <v>374</v>
          </cell>
          <cell r="J372">
            <v>12</v>
          </cell>
        </row>
        <row r="373">
          <cell r="D373" t="str">
            <v>M34</v>
          </cell>
          <cell r="H373">
            <v>46151</v>
          </cell>
          <cell r="I373">
            <v>297</v>
          </cell>
          <cell r="J373">
            <v>15</v>
          </cell>
        </row>
        <row r="374">
          <cell r="D374" t="str">
            <v>M35</v>
          </cell>
          <cell r="H374">
            <v>46151</v>
          </cell>
          <cell r="I374">
            <v>331</v>
          </cell>
          <cell r="J374">
            <v>31</v>
          </cell>
        </row>
        <row r="375">
          <cell r="D375" t="str">
            <v>M36</v>
          </cell>
          <cell r="H375">
            <v>46153</v>
          </cell>
          <cell r="I375">
            <v>346</v>
          </cell>
          <cell r="J375">
            <v>12</v>
          </cell>
        </row>
        <row r="376">
          <cell r="D376" t="str">
            <v>M37</v>
          </cell>
          <cell r="H376">
            <v>46153</v>
          </cell>
          <cell r="I376">
            <v>379</v>
          </cell>
          <cell r="J376">
            <v>17</v>
          </cell>
        </row>
        <row r="377">
          <cell r="D377" t="str">
            <v>M38</v>
          </cell>
          <cell r="H377">
            <v>46153</v>
          </cell>
          <cell r="I377">
            <v>329</v>
          </cell>
          <cell r="J377">
            <v>24</v>
          </cell>
        </row>
        <row r="378">
          <cell r="D378" t="str">
            <v>M39</v>
          </cell>
          <cell r="H378">
            <v>46153</v>
          </cell>
          <cell r="I378">
            <v>360</v>
          </cell>
          <cell r="J378">
            <v>21</v>
          </cell>
        </row>
        <row r="379">
          <cell r="D379" t="str">
            <v>M40</v>
          </cell>
          <cell r="H379">
            <v>46153</v>
          </cell>
          <cell r="I379">
            <v>338</v>
          </cell>
          <cell r="J379">
            <v>16</v>
          </cell>
        </row>
        <row r="380">
          <cell r="D380" t="str">
            <v>N30</v>
          </cell>
          <cell r="H380">
            <v>46150</v>
          </cell>
          <cell r="I380">
            <v>435</v>
          </cell>
          <cell r="J380">
            <v>23</v>
          </cell>
        </row>
        <row r="381">
          <cell r="D381" t="str">
            <v>N31</v>
          </cell>
          <cell r="H381">
            <v>46150</v>
          </cell>
          <cell r="I381">
            <v>327</v>
          </cell>
          <cell r="J381">
            <v>23</v>
          </cell>
        </row>
        <row r="382">
          <cell r="D382" t="str">
            <v>N32</v>
          </cell>
          <cell r="H382">
            <v>46150</v>
          </cell>
          <cell r="I382">
            <v>378</v>
          </cell>
          <cell r="J382">
            <v>29</v>
          </cell>
        </row>
        <row r="383">
          <cell r="D383" t="str">
            <v>N33</v>
          </cell>
          <cell r="H383">
            <v>46150</v>
          </cell>
          <cell r="I383">
            <v>367</v>
          </cell>
          <cell r="J383">
            <v>69</v>
          </cell>
        </row>
        <row r="384">
          <cell r="D384" t="str">
            <v>N34</v>
          </cell>
          <cell r="H384">
            <v>46149</v>
          </cell>
          <cell r="I384">
            <v>419</v>
          </cell>
          <cell r="J384">
            <v>10</v>
          </cell>
        </row>
        <row r="385">
          <cell r="D385" t="str">
            <v>N35</v>
          </cell>
          <cell r="H385">
            <v>46149</v>
          </cell>
          <cell r="I385">
            <v>415</v>
          </cell>
          <cell r="J385">
            <v>7</v>
          </cell>
        </row>
        <row r="386">
          <cell r="D386" t="str">
            <v>N36</v>
          </cell>
          <cell r="H386">
            <v>46149</v>
          </cell>
          <cell r="I386">
            <v>308</v>
          </cell>
          <cell r="J386">
            <v>23</v>
          </cell>
        </row>
        <row r="387">
          <cell r="D387" t="str">
            <v>N37</v>
          </cell>
          <cell r="H387">
            <v>46149</v>
          </cell>
          <cell r="I387">
            <v>346</v>
          </cell>
          <cell r="J387">
            <v>29</v>
          </cell>
        </row>
        <row r="388">
          <cell r="D388" t="str">
            <v>N38</v>
          </cell>
          <cell r="H388">
            <v>46149</v>
          </cell>
          <cell r="I388">
            <v>347</v>
          </cell>
          <cell r="J388">
            <v>71</v>
          </cell>
        </row>
        <row r="389">
          <cell r="D389" t="str">
            <v>N39</v>
          </cell>
          <cell r="H389">
            <v>46148</v>
          </cell>
          <cell r="I389">
            <v>411</v>
          </cell>
          <cell r="J389">
            <v>11</v>
          </cell>
        </row>
        <row r="390">
          <cell r="D390" t="str">
            <v>N40</v>
          </cell>
          <cell r="H390">
            <v>46148</v>
          </cell>
          <cell r="I390">
            <v>370</v>
          </cell>
          <cell r="J390">
            <v>14</v>
          </cell>
        </row>
        <row r="391">
          <cell r="D391" t="str">
            <v>N42</v>
          </cell>
          <cell r="H391">
            <v>46148</v>
          </cell>
          <cell r="I391">
            <v>355</v>
          </cell>
          <cell r="J391">
            <v>94</v>
          </cell>
        </row>
        <row r="392">
          <cell r="D392" t="str">
            <v>O31</v>
          </cell>
          <cell r="H392">
            <v>46157</v>
          </cell>
          <cell r="I392">
            <v>374</v>
          </cell>
          <cell r="J392">
            <v>31</v>
          </cell>
        </row>
        <row r="393">
          <cell r="D393" t="str">
            <v>O32</v>
          </cell>
          <cell r="H393">
            <v>46157</v>
          </cell>
          <cell r="I393">
            <v>311</v>
          </cell>
          <cell r="J393">
            <v>29</v>
          </cell>
        </row>
        <row r="394">
          <cell r="D394" t="str">
            <v>O33</v>
          </cell>
          <cell r="H394">
            <v>46157</v>
          </cell>
          <cell r="I394">
            <v>390</v>
          </cell>
          <cell r="J394">
            <v>37</v>
          </cell>
        </row>
        <row r="395">
          <cell r="D395" t="str">
            <v>O34</v>
          </cell>
          <cell r="H395">
            <v>46157</v>
          </cell>
          <cell r="I395">
            <v>337</v>
          </cell>
          <cell r="J395">
            <v>13</v>
          </cell>
        </row>
        <row r="396">
          <cell r="D396" t="str">
            <v>O35</v>
          </cell>
          <cell r="H396">
            <v>46157</v>
          </cell>
          <cell r="I396">
            <v>366</v>
          </cell>
          <cell r="J396">
            <v>28</v>
          </cell>
        </row>
        <row r="397">
          <cell r="D397" t="str">
            <v>O36</v>
          </cell>
          <cell r="H397">
            <v>46157</v>
          </cell>
          <cell r="I397">
            <v>391</v>
          </cell>
          <cell r="J397">
            <v>16</v>
          </cell>
        </row>
        <row r="398">
          <cell r="D398" t="str">
            <v>O37</v>
          </cell>
          <cell r="H398">
            <v>46157</v>
          </cell>
          <cell r="I398">
            <v>307</v>
          </cell>
          <cell r="J398">
            <v>59</v>
          </cell>
        </row>
        <row r="399">
          <cell r="D399" t="str">
            <v>O38</v>
          </cell>
          <cell r="H399">
            <v>46157</v>
          </cell>
          <cell r="I399">
            <v>732</v>
          </cell>
          <cell r="J399">
            <v>101</v>
          </cell>
        </row>
        <row r="400">
          <cell r="D400" t="str">
            <v>O39</v>
          </cell>
          <cell r="H400">
            <v>46157</v>
          </cell>
          <cell r="I400">
            <v>448</v>
          </cell>
          <cell r="J400">
            <v>38</v>
          </cell>
        </row>
        <row r="401">
          <cell r="D401" t="str">
            <v>O40</v>
          </cell>
          <cell r="H401">
            <v>46157</v>
          </cell>
          <cell r="I401">
            <v>410</v>
          </cell>
          <cell r="J401">
            <v>72</v>
          </cell>
        </row>
        <row r="402">
          <cell r="D402" t="str">
            <v>O42</v>
          </cell>
          <cell r="H402">
            <v>46157</v>
          </cell>
          <cell r="I402">
            <v>710</v>
          </cell>
          <cell r="J402">
            <v>114</v>
          </cell>
        </row>
        <row r="403">
          <cell r="D403" t="str">
            <v>P28</v>
          </cell>
          <cell r="H403">
            <v>46155</v>
          </cell>
          <cell r="I403">
            <v>346</v>
          </cell>
          <cell r="J403">
            <v>36</v>
          </cell>
        </row>
        <row r="404">
          <cell r="D404" t="str">
            <v>P29</v>
          </cell>
          <cell r="H404">
            <v>46154</v>
          </cell>
          <cell r="I404">
            <v>369</v>
          </cell>
          <cell r="J404">
            <v>47</v>
          </cell>
        </row>
        <row r="405">
          <cell r="D405" t="str">
            <v>P30</v>
          </cell>
          <cell r="H405">
            <v>46154</v>
          </cell>
          <cell r="I405">
            <v>360</v>
          </cell>
          <cell r="J405">
            <v>43</v>
          </cell>
        </row>
        <row r="406">
          <cell r="D406" t="str">
            <v>P31</v>
          </cell>
          <cell r="H406">
            <v>46154</v>
          </cell>
          <cell r="I406">
            <v>322</v>
          </cell>
          <cell r="J406">
            <v>49</v>
          </cell>
        </row>
        <row r="407">
          <cell r="D407" t="str">
            <v>P32</v>
          </cell>
          <cell r="H407">
            <v>46157</v>
          </cell>
          <cell r="I407">
            <v>352</v>
          </cell>
          <cell r="J407">
            <v>28</v>
          </cell>
        </row>
        <row r="408">
          <cell r="D408" t="str">
            <v>P33</v>
          </cell>
          <cell r="H408">
            <v>46155</v>
          </cell>
          <cell r="I408">
            <v>334</v>
          </cell>
          <cell r="J408">
            <v>34</v>
          </cell>
        </row>
        <row r="409">
          <cell r="D409" t="str">
            <v>P34</v>
          </cell>
          <cell r="H409">
            <v>46155</v>
          </cell>
          <cell r="I409">
            <v>376</v>
          </cell>
          <cell r="J409">
            <v>37</v>
          </cell>
        </row>
        <row r="410">
          <cell r="D410" t="str">
            <v>P35</v>
          </cell>
          <cell r="H410">
            <v>46155</v>
          </cell>
          <cell r="I410">
            <v>391</v>
          </cell>
          <cell r="J410">
            <v>38</v>
          </cell>
        </row>
        <row r="411">
          <cell r="D411" t="str">
            <v>P36</v>
          </cell>
          <cell r="H411">
            <v>46155</v>
          </cell>
          <cell r="I411">
            <v>360</v>
          </cell>
          <cell r="J411">
            <v>23</v>
          </cell>
        </row>
        <row r="412">
          <cell r="D412" t="str">
            <v>P37</v>
          </cell>
          <cell r="H412">
            <v>46155</v>
          </cell>
          <cell r="I412">
            <v>375</v>
          </cell>
          <cell r="J412">
            <v>49</v>
          </cell>
        </row>
        <row r="413">
          <cell r="D413" t="str">
            <v>P38</v>
          </cell>
          <cell r="H413">
            <v>46155</v>
          </cell>
          <cell r="I413">
            <v>362</v>
          </cell>
          <cell r="J413">
            <v>44</v>
          </cell>
        </row>
        <row r="414">
          <cell r="D414" t="str">
            <v>P39</v>
          </cell>
          <cell r="H414">
            <v>46155</v>
          </cell>
          <cell r="I414">
            <v>361</v>
          </cell>
          <cell r="J414">
            <v>50</v>
          </cell>
        </row>
        <row r="415">
          <cell r="D415" t="str">
            <v>Q31</v>
          </cell>
          <cell r="H415">
            <v>46154</v>
          </cell>
          <cell r="I415">
            <v>387</v>
          </cell>
          <cell r="J415">
            <v>62</v>
          </cell>
        </row>
        <row r="416">
          <cell r="D416" t="str">
            <v>Q32</v>
          </cell>
          <cell r="H416">
            <v>46154</v>
          </cell>
          <cell r="I416">
            <v>375</v>
          </cell>
          <cell r="J416">
            <v>54</v>
          </cell>
        </row>
        <row r="417">
          <cell r="D417" t="str">
            <v>Q33</v>
          </cell>
          <cell r="H417">
            <v>46154</v>
          </cell>
          <cell r="I417">
            <v>378</v>
          </cell>
          <cell r="J417">
            <v>23</v>
          </cell>
        </row>
        <row r="418">
          <cell r="D418" t="str">
            <v>Q34</v>
          </cell>
          <cell r="H418">
            <v>46154</v>
          </cell>
          <cell r="I418">
            <v>388</v>
          </cell>
          <cell r="J418">
            <v>17</v>
          </cell>
        </row>
        <row r="419">
          <cell r="D419" t="str">
            <v>Q35</v>
          </cell>
          <cell r="H419">
            <v>46154</v>
          </cell>
          <cell r="I419">
            <v>396</v>
          </cell>
          <cell r="J419">
            <v>57</v>
          </cell>
        </row>
        <row r="420">
          <cell r="D420" t="str">
            <v>Q36</v>
          </cell>
          <cell r="H420">
            <v>46153</v>
          </cell>
          <cell r="I420">
            <v>415</v>
          </cell>
          <cell r="J420">
            <v>34</v>
          </cell>
        </row>
        <row r="421">
          <cell r="D421" t="str">
            <v>Q37</v>
          </cell>
          <cell r="H421">
            <v>46153</v>
          </cell>
          <cell r="I421">
            <v>361</v>
          </cell>
          <cell r="J421">
            <v>35</v>
          </cell>
        </row>
        <row r="422">
          <cell r="D422" t="str">
            <v>Q38</v>
          </cell>
          <cell r="H422">
            <v>46153</v>
          </cell>
          <cell r="I422">
            <v>384</v>
          </cell>
          <cell r="J422">
            <v>50</v>
          </cell>
        </row>
        <row r="423">
          <cell r="D423" t="str">
            <v>Q39</v>
          </cell>
          <cell r="H423">
            <v>46153</v>
          </cell>
          <cell r="I423">
            <v>410</v>
          </cell>
          <cell r="J423">
            <v>14</v>
          </cell>
        </row>
        <row r="424">
          <cell r="D424" t="str">
            <v>Q40</v>
          </cell>
          <cell r="H424">
            <v>46153</v>
          </cell>
          <cell r="I424">
            <v>430</v>
          </cell>
          <cell r="J424">
            <v>20</v>
          </cell>
        </row>
        <row r="425">
          <cell r="D425" t="str">
            <v>Q41</v>
          </cell>
          <cell r="H425">
            <v>46157</v>
          </cell>
          <cell r="I425">
            <v>370</v>
          </cell>
          <cell r="J425">
            <v>19</v>
          </cell>
        </row>
        <row r="426">
          <cell r="D426" t="str">
            <v>Q42</v>
          </cell>
          <cell r="H426">
            <v>46153</v>
          </cell>
          <cell r="I426">
            <v>383</v>
          </cell>
          <cell r="J426">
            <v>26</v>
          </cell>
        </row>
        <row r="427">
          <cell r="D427" t="str">
            <v>R29</v>
          </cell>
          <cell r="H427">
            <v>46149</v>
          </cell>
          <cell r="I427">
            <v>347</v>
          </cell>
          <cell r="J427">
            <v>46</v>
          </cell>
        </row>
        <row r="428">
          <cell r="D428" t="str">
            <v>R30</v>
          </cell>
          <cell r="H428">
            <v>46149</v>
          </cell>
          <cell r="I428">
            <v>376</v>
          </cell>
          <cell r="J428">
            <v>34</v>
          </cell>
        </row>
        <row r="429">
          <cell r="D429" t="str">
            <v>R31</v>
          </cell>
          <cell r="H429">
            <v>46150</v>
          </cell>
          <cell r="I429">
            <v>404</v>
          </cell>
          <cell r="J429">
            <v>44</v>
          </cell>
        </row>
        <row r="430">
          <cell r="D430" t="str">
            <v>R32</v>
          </cell>
          <cell r="H430">
            <v>46150</v>
          </cell>
          <cell r="I430">
            <v>405</v>
          </cell>
          <cell r="J430">
            <v>43</v>
          </cell>
        </row>
        <row r="431">
          <cell r="D431" t="str">
            <v>R33</v>
          </cell>
          <cell r="H431">
            <v>46150</v>
          </cell>
          <cell r="I431">
            <v>385</v>
          </cell>
          <cell r="J431">
            <v>88</v>
          </cell>
        </row>
        <row r="432">
          <cell r="D432" t="str">
            <v>R34</v>
          </cell>
          <cell r="H432">
            <v>46150</v>
          </cell>
          <cell r="I432">
            <v>385</v>
          </cell>
          <cell r="J432">
            <v>52</v>
          </cell>
        </row>
        <row r="433">
          <cell r="D433" t="str">
            <v>R35</v>
          </cell>
          <cell r="H433">
            <v>46150</v>
          </cell>
          <cell r="I433">
            <v>390</v>
          </cell>
          <cell r="J433">
            <v>67</v>
          </cell>
        </row>
        <row r="434">
          <cell r="D434" t="str">
            <v>R36</v>
          </cell>
          <cell r="H434">
            <v>46150</v>
          </cell>
          <cell r="I434">
            <v>402</v>
          </cell>
          <cell r="J434">
            <v>61</v>
          </cell>
        </row>
        <row r="435">
          <cell r="D435" t="str">
            <v>R37</v>
          </cell>
          <cell r="H435">
            <v>46150</v>
          </cell>
          <cell r="I435">
            <v>403</v>
          </cell>
          <cell r="J435">
            <v>23</v>
          </cell>
        </row>
        <row r="436">
          <cell r="D436" t="str">
            <v>R38</v>
          </cell>
          <cell r="H436">
            <v>46150</v>
          </cell>
          <cell r="I436">
            <v>394</v>
          </cell>
          <cell r="J436">
            <v>53</v>
          </cell>
        </row>
        <row r="437">
          <cell r="D437" t="str">
            <v>R39</v>
          </cell>
          <cell r="H437">
            <v>46150</v>
          </cell>
          <cell r="I437">
            <v>417</v>
          </cell>
          <cell r="J437">
            <v>46</v>
          </cell>
        </row>
        <row r="438">
          <cell r="D438" t="str">
            <v>R40</v>
          </cell>
          <cell r="H438">
            <v>46151</v>
          </cell>
          <cell r="I438">
            <v>391</v>
          </cell>
          <cell r="J438">
            <v>71</v>
          </cell>
        </row>
        <row r="439">
          <cell r="D439" t="str">
            <v>R41</v>
          </cell>
          <cell r="H439">
            <v>46151</v>
          </cell>
          <cell r="I439">
            <v>387</v>
          </cell>
          <cell r="J439">
            <v>36</v>
          </cell>
        </row>
        <row r="440">
          <cell r="D440" t="str">
            <v>R42</v>
          </cell>
          <cell r="H440">
            <v>46151</v>
          </cell>
          <cell r="I440">
            <v>387</v>
          </cell>
          <cell r="J440">
            <v>20</v>
          </cell>
        </row>
        <row r="441">
          <cell r="D441" t="str">
            <v>R43</v>
          </cell>
          <cell r="H441">
            <v>46151</v>
          </cell>
          <cell r="I441">
            <v>398</v>
          </cell>
          <cell r="J441">
            <v>48</v>
          </cell>
        </row>
        <row r="442">
          <cell r="D442" t="str">
            <v>R44</v>
          </cell>
          <cell r="H442">
            <v>46151</v>
          </cell>
          <cell r="I442">
            <v>375</v>
          </cell>
          <cell r="J442">
            <v>22</v>
          </cell>
        </row>
        <row r="443">
          <cell r="D443" t="str">
            <v>R45</v>
          </cell>
          <cell r="H443">
            <v>46151</v>
          </cell>
          <cell r="I443">
            <v>357</v>
          </cell>
          <cell r="J443">
            <v>57</v>
          </cell>
        </row>
        <row r="444">
          <cell r="D444" t="str">
            <v>S29</v>
          </cell>
          <cell r="H444">
            <v>46149</v>
          </cell>
          <cell r="I444">
            <v>514</v>
          </cell>
          <cell r="J444">
            <v>56</v>
          </cell>
        </row>
        <row r="445">
          <cell r="D445" t="str">
            <v>S30</v>
          </cell>
          <cell r="H445">
            <v>46149</v>
          </cell>
          <cell r="I445">
            <v>505</v>
          </cell>
          <cell r="J445">
            <v>56</v>
          </cell>
        </row>
        <row r="446">
          <cell r="D446" t="str">
            <v>S31</v>
          </cell>
          <cell r="H446">
            <v>46149</v>
          </cell>
          <cell r="I446">
            <v>504</v>
          </cell>
          <cell r="J446">
            <v>78</v>
          </cell>
        </row>
        <row r="447">
          <cell r="D447" t="str">
            <v>S32</v>
          </cell>
          <cell r="H447">
            <v>46149</v>
          </cell>
          <cell r="I447">
            <v>554</v>
          </cell>
          <cell r="J447">
            <v>85</v>
          </cell>
        </row>
        <row r="448">
          <cell r="D448" t="str">
            <v>S33</v>
          </cell>
          <cell r="H448">
            <v>46149</v>
          </cell>
          <cell r="I448">
            <v>529</v>
          </cell>
          <cell r="J448">
            <v>38</v>
          </cell>
        </row>
        <row r="449">
          <cell r="D449" t="str">
            <v>S34</v>
          </cell>
          <cell r="H449">
            <v>46149</v>
          </cell>
          <cell r="I449">
            <v>482</v>
          </cell>
          <cell r="J449">
            <v>35</v>
          </cell>
        </row>
        <row r="450">
          <cell r="D450" t="str">
            <v>S35</v>
          </cell>
          <cell r="H450">
            <v>46149</v>
          </cell>
          <cell r="I450">
            <v>568</v>
          </cell>
          <cell r="J450">
            <v>78</v>
          </cell>
        </row>
        <row r="451">
          <cell r="D451" t="str">
            <v>S36</v>
          </cell>
          <cell r="H451">
            <v>46150</v>
          </cell>
          <cell r="I451">
            <v>638</v>
          </cell>
          <cell r="J451">
            <v>124</v>
          </cell>
        </row>
        <row r="452">
          <cell r="D452" t="str">
            <v>S37</v>
          </cell>
          <cell r="H452">
            <v>46150</v>
          </cell>
          <cell r="I452">
            <v>604</v>
          </cell>
          <cell r="J452">
            <v>79</v>
          </cell>
        </row>
        <row r="453">
          <cell r="D453" t="str">
            <v>S38</v>
          </cell>
          <cell r="H453">
            <v>46150</v>
          </cell>
          <cell r="I453">
            <v>616</v>
          </cell>
          <cell r="J453">
            <v>84</v>
          </cell>
        </row>
        <row r="454">
          <cell r="D454" t="str">
            <v>S39</v>
          </cell>
          <cell r="H454">
            <v>46150</v>
          </cell>
          <cell r="I454">
            <v>614</v>
          </cell>
          <cell r="J454">
            <v>90</v>
          </cell>
        </row>
        <row r="455">
          <cell r="D455" t="str">
            <v>S40</v>
          </cell>
          <cell r="H455">
            <v>46150</v>
          </cell>
          <cell r="I455">
            <v>532</v>
          </cell>
          <cell r="J455">
            <v>67</v>
          </cell>
        </row>
        <row r="456">
          <cell r="D456" t="str">
            <v>S41</v>
          </cell>
          <cell r="H456">
            <v>46150</v>
          </cell>
          <cell r="I456">
            <v>560</v>
          </cell>
          <cell r="J456">
            <v>89</v>
          </cell>
        </row>
        <row r="457">
          <cell r="D457" t="str">
            <v>S42</v>
          </cell>
          <cell r="H457">
            <v>46150</v>
          </cell>
          <cell r="I457">
            <v>558</v>
          </cell>
          <cell r="J457">
            <v>81</v>
          </cell>
        </row>
        <row r="458">
          <cell r="D458" t="str">
            <v>S43</v>
          </cell>
          <cell r="H458">
            <v>46150</v>
          </cell>
          <cell r="I458">
            <v>567</v>
          </cell>
          <cell r="J458">
            <v>99</v>
          </cell>
        </row>
        <row r="459">
          <cell r="D459" t="str">
            <v>S44</v>
          </cell>
          <cell r="H459">
            <v>46150</v>
          </cell>
          <cell r="I459">
            <v>592</v>
          </cell>
          <cell r="J459">
            <v>94</v>
          </cell>
        </row>
        <row r="460">
          <cell r="D460" t="str">
            <v>I38</v>
          </cell>
          <cell r="H460">
            <v>46153</v>
          </cell>
          <cell r="I460">
            <v>352</v>
          </cell>
          <cell r="J460">
            <v>26</v>
          </cell>
        </row>
        <row r="461">
          <cell r="D461" t="str">
            <v>I39</v>
          </cell>
          <cell r="H461">
            <v>46153</v>
          </cell>
          <cell r="I461">
            <v>391</v>
          </cell>
          <cell r="J461">
            <v>65</v>
          </cell>
        </row>
        <row r="462">
          <cell r="D462" t="str">
            <v>J39</v>
          </cell>
          <cell r="H462">
            <v>46151</v>
          </cell>
          <cell r="I462">
            <v>394</v>
          </cell>
          <cell r="J462">
            <v>71</v>
          </cell>
        </row>
        <row r="463">
          <cell r="D463" t="str">
            <v>J40</v>
          </cell>
          <cell r="H463">
            <v>46153</v>
          </cell>
          <cell r="I463">
            <v>727</v>
          </cell>
          <cell r="J463">
            <v>68</v>
          </cell>
        </row>
        <row r="464">
          <cell r="D464" t="str">
            <v>J41</v>
          </cell>
          <cell r="H464">
            <v>46153</v>
          </cell>
          <cell r="I464">
            <v>315</v>
          </cell>
          <cell r="J464">
            <v>80</v>
          </cell>
        </row>
        <row r="465">
          <cell r="D465" t="str">
            <v>J42</v>
          </cell>
          <cell r="H465">
            <v>46153</v>
          </cell>
          <cell r="I465">
            <v>543</v>
          </cell>
          <cell r="J465">
            <v>76</v>
          </cell>
        </row>
        <row r="466">
          <cell r="D466" t="str">
            <v>K41</v>
          </cell>
          <cell r="H466">
            <v>46150</v>
          </cell>
          <cell r="I466">
            <v>360</v>
          </cell>
          <cell r="J466">
            <v>21</v>
          </cell>
        </row>
        <row r="467">
          <cell r="D467" t="str">
            <v>K42</v>
          </cell>
          <cell r="H467">
            <v>46151</v>
          </cell>
          <cell r="I467">
            <v>797</v>
          </cell>
          <cell r="J467">
            <v>83</v>
          </cell>
        </row>
        <row r="468">
          <cell r="D468" t="str">
            <v>K43</v>
          </cell>
          <cell r="H468">
            <v>46151</v>
          </cell>
          <cell r="I468">
            <v>357</v>
          </cell>
          <cell r="J468">
            <v>60</v>
          </cell>
        </row>
        <row r="469">
          <cell r="D469" t="str">
            <v>K44</v>
          </cell>
          <cell r="H469">
            <v>46151</v>
          </cell>
          <cell r="I469">
            <v>366</v>
          </cell>
          <cell r="J469">
            <v>119</v>
          </cell>
        </row>
        <row r="470">
          <cell r="D470" t="str">
            <v>K45</v>
          </cell>
          <cell r="H470">
            <v>46151</v>
          </cell>
          <cell r="I470">
            <v>334</v>
          </cell>
          <cell r="J470">
            <v>64</v>
          </cell>
        </row>
        <row r="471">
          <cell r="D471" t="str">
            <v>K46</v>
          </cell>
          <cell r="H471">
            <v>46151</v>
          </cell>
          <cell r="I471">
            <v>678</v>
          </cell>
          <cell r="J471">
            <v>162</v>
          </cell>
        </row>
        <row r="472">
          <cell r="D472" t="str">
            <v>L41</v>
          </cell>
          <cell r="H472">
            <v>46150</v>
          </cell>
          <cell r="I472">
            <v>401</v>
          </cell>
          <cell r="J472">
            <v>113</v>
          </cell>
        </row>
        <row r="473">
          <cell r="D473" t="str">
            <v>L42</v>
          </cell>
          <cell r="H473">
            <v>46150</v>
          </cell>
          <cell r="I473">
            <v>772</v>
          </cell>
          <cell r="J473">
            <v>65</v>
          </cell>
        </row>
        <row r="474">
          <cell r="D474" t="str">
            <v>L43</v>
          </cell>
          <cell r="H474">
            <v>46150</v>
          </cell>
          <cell r="I474">
            <v>368</v>
          </cell>
          <cell r="J474">
            <v>73</v>
          </cell>
        </row>
        <row r="475">
          <cell r="D475" t="str">
            <v>L44</v>
          </cell>
          <cell r="H475">
            <v>46150</v>
          </cell>
          <cell r="I475">
            <v>371</v>
          </cell>
          <cell r="J475">
            <v>44</v>
          </cell>
        </row>
        <row r="476">
          <cell r="D476" t="str">
            <v>L45</v>
          </cell>
          <cell r="H476">
            <v>46150</v>
          </cell>
          <cell r="I476">
            <v>404</v>
          </cell>
          <cell r="J476">
            <v>73</v>
          </cell>
        </row>
        <row r="477">
          <cell r="D477" t="str">
            <v>L46</v>
          </cell>
          <cell r="H477">
            <v>46150</v>
          </cell>
          <cell r="I477">
            <v>369</v>
          </cell>
          <cell r="J477">
            <v>74</v>
          </cell>
        </row>
        <row r="478">
          <cell r="D478" t="str">
            <v>L47</v>
          </cell>
          <cell r="H478">
            <v>46150</v>
          </cell>
          <cell r="I478">
            <v>312</v>
          </cell>
          <cell r="J478">
            <v>64</v>
          </cell>
        </row>
        <row r="479">
          <cell r="D479" t="str">
            <v>M41</v>
          </cell>
          <cell r="H479">
            <v>46149</v>
          </cell>
          <cell r="I479">
            <v>354</v>
          </cell>
          <cell r="J479">
            <v>66</v>
          </cell>
        </row>
        <row r="480">
          <cell r="D480" t="str">
            <v>M42</v>
          </cell>
          <cell r="H480">
            <v>46149</v>
          </cell>
          <cell r="I480">
            <v>729</v>
          </cell>
          <cell r="J480">
            <v>80</v>
          </cell>
        </row>
        <row r="481">
          <cell r="D481" t="str">
            <v>M43</v>
          </cell>
          <cell r="H481">
            <v>46149</v>
          </cell>
          <cell r="I481">
            <v>266</v>
          </cell>
          <cell r="J481">
            <v>23</v>
          </cell>
        </row>
        <row r="482">
          <cell r="D482" t="str">
            <v>M44</v>
          </cell>
          <cell r="H482">
            <v>46149</v>
          </cell>
          <cell r="I482">
            <v>359</v>
          </cell>
          <cell r="J482">
            <v>36</v>
          </cell>
        </row>
        <row r="483">
          <cell r="D483" t="str">
            <v>M45</v>
          </cell>
          <cell r="H483">
            <v>46149</v>
          </cell>
          <cell r="I483">
            <v>344</v>
          </cell>
          <cell r="J483">
            <v>37</v>
          </cell>
        </row>
        <row r="484">
          <cell r="D484" t="str">
            <v>M46</v>
          </cell>
          <cell r="H484">
            <v>46149</v>
          </cell>
          <cell r="I484">
            <v>352</v>
          </cell>
          <cell r="J484">
            <v>37</v>
          </cell>
        </row>
        <row r="485">
          <cell r="D485" t="str">
            <v>M47</v>
          </cell>
          <cell r="H485">
            <v>46149</v>
          </cell>
          <cell r="I485">
            <v>350</v>
          </cell>
          <cell r="J485">
            <v>49</v>
          </cell>
        </row>
        <row r="486">
          <cell r="D486" t="str">
            <v>N43</v>
          </cell>
          <cell r="H486">
            <v>46148</v>
          </cell>
          <cell r="I486">
            <v>388</v>
          </cell>
          <cell r="J486">
            <v>27</v>
          </cell>
        </row>
        <row r="487">
          <cell r="D487" t="str">
            <v>N44</v>
          </cell>
          <cell r="H487">
            <v>46148</v>
          </cell>
          <cell r="I487">
            <v>744</v>
          </cell>
          <cell r="J487">
            <v>56</v>
          </cell>
        </row>
        <row r="488">
          <cell r="D488" t="str">
            <v>N45</v>
          </cell>
          <cell r="H488">
            <v>46148</v>
          </cell>
          <cell r="I488">
            <v>372</v>
          </cell>
          <cell r="J488">
            <v>11</v>
          </cell>
        </row>
        <row r="489">
          <cell r="D489" t="str">
            <v>N46</v>
          </cell>
          <cell r="H489">
            <v>46148</v>
          </cell>
          <cell r="I489">
            <v>356</v>
          </cell>
          <cell r="J489">
            <v>70</v>
          </cell>
        </row>
        <row r="490">
          <cell r="D490" t="str">
            <v>N47</v>
          </cell>
          <cell r="H490">
            <v>46148</v>
          </cell>
          <cell r="I490">
            <v>365</v>
          </cell>
          <cell r="J490">
            <v>46</v>
          </cell>
        </row>
        <row r="491">
          <cell r="D491" t="str">
            <v>N48</v>
          </cell>
          <cell r="H491">
            <v>46148</v>
          </cell>
          <cell r="I491">
            <v>380</v>
          </cell>
          <cell r="J491">
            <v>130</v>
          </cell>
        </row>
        <row r="492">
          <cell r="D492" t="str">
            <v>N49</v>
          </cell>
          <cell r="H492">
            <v>46149</v>
          </cell>
          <cell r="I492">
            <v>200</v>
          </cell>
          <cell r="J492">
            <v>46</v>
          </cell>
        </row>
        <row r="493">
          <cell r="D493" t="str">
            <v>L48</v>
          </cell>
          <cell r="H493">
            <v>46154</v>
          </cell>
          <cell r="I493">
            <v>420</v>
          </cell>
          <cell r="J493">
            <v>242</v>
          </cell>
        </row>
        <row r="494">
          <cell r="D494" t="str">
            <v>L49</v>
          </cell>
          <cell r="H494">
            <v>46154</v>
          </cell>
          <cell r="I494">
            <v>329</v>
          </cell>
          <cell r="J494">
            <v>140</v>
          </cell>
        </row>
        <row r="495">
          <cell r="D495" t="str">
            <v>M48</v>
          </cell>
          <cell r="H495">
            <v>46154</v>
          </cell>
          <cell r="I495">
            <v>327</v>
          </cell>
          <cell r="J495">
            <v>112</v>
          </cell>
        </row>
        <row r="496">
          <cell r="D496" t="str">
            <v>M49</v>
          </cell>
          <cell r="H496">
            <v>46154</v>
          </cell>
          <cell r="I496">
            <v>300</v>
          </cell>
          <cell r="J496">
            <v>145</v>
          </cell>
        </row>
        <row r="497">
          <cell r="D497" t="str">
            <v>M50</v>
          </cell>
          <cell r="H497">
            <v>46154</v>
          </cell>
          <cell r="I497">
            <v>346</v>
          </cell>
          <cell r="J497">
            <v>65</v>
          </cell>
        </row>
        <row r="498">
          <cell r="D498" t="str">
            <v>M51</v>
          </cell>
          <cell r="H498">
            <v>46154</v>
          </cell>
          <cell r="I498">
            <v>386</v>
          </cell>
          <cell r="J498">
            <v>139</v>
          </cell>
        </row>
        <row r="499">
          <cell r="D499" t="str">
            <v>M52</v>
          </cell>
          <cell r="H499">
            <v>46154</v>
          </cell>
          <cell r="I499">
            <v>284</v>
          </cell>
          <cell r="J499">
            <v>193</v>
          </cell>
        </row>
        <row r="500">
          <cell r="D500" t="str">
            <v>N50</v>
          </cell>
          <cell r="H500">
            <v>46154</v>
          </cell>
          <cell r="I500">
            <v>347</v>
          </cell>
          <cell r="J500">
            <v>33</v>
          </cell>
        </row>
        <row r="501">
          <cell r="D501" t="str">
            <v>N51</v>
          </cell>
          <cell r="H501">
            <v>46154</v>
          </cell>
          <cell r="I501">
            <v>328</v>
          </cell>
          <cell r="J501">
            <v>42</v>
          </cell>
        </row>
        <row r="502">
          <cell r="D502" t="str">
            <v>N52</v>
          </cell>
          <cell r="H502">
            <v>46154</v>
          </cell>
          <cell r="I502">
            <v>316</v>
          </cell>
          <cell r="J502">
            <v>27</v>
          </cell>
        </row>
        <row r="503">
          <cell r="D503" t="str">
            <v>N53</v>
          </cell>
          <cell r="H503">
            <v>46154</v>
          </cell>
          <cell r="I503">
            <v>344</v>
          </cell>
          <cell r="J503">
            <v>154</v>
          </cell>
        </row>
        <row r="504">
          <cell r="D504" t="str">
            <v>N54</v>
          </cell>
          <cell r="H504">
            <v>46154</v>
          </cell>
          <cell r="I504">
            <v>406</v>
          </cell>
          <cell r="J504">
            <v>83</v>
          </cell>
        </row>
        <row r="505">
          <cell r="D505" t="str">
            <v>N55</v>
          </cell>
          <cell r="H505">
            <v>46154</v>
          </cell>
          <cell r="I505">
            <v>366</v>
          </cell>
          <cell r="J505">
            <v>33</v>
          </cell>
        </row>
        <row r="506">
          <cell r="D506" t="str">
            <v>N56</v>
          </cell>
          <cell r="H506">
            <v>46154</v>
          </cell>
          <cell r="I506">
            <v>360</v>
          </cell>
          <cell r="J506">
            <v>154</v>
          </cell>
        </row>
        <row r="507">
          <cell r="D507" t="str">
            <v>N57</v>
          </cell>
          <cell r="H507">
            <v>46154</v>
          </cell>
          <cell r="I507">
            <v>343</v>
          </cell>
          <cell r="J507">
            <v>108</v>
          </cell>
        </row>
        <row r="508">
          <cell r="D508" t="str">
            <v>O51</v>
          </cell>
          <cell r="H508">
            <v>46154</v>
          </cell>
          <cell r="I508">
            <v>367</v>
          </cell>
          <cell r="J508">
            <v>115</v>
          </cell>
        </row>
        <row r="509">
          <cell r="D509" t="str">
            <v>O52</v>
          </cell>
          <cell r="H509">
            <v>46154</v>
          </cell>
          <cell r="I509">
            <v>341</v>
          </cell>
          <cell r="J509">
            <v>29</v>
          </cell>
        </row>
        <row r="510">
          <cell r="D510" t="str">
            <v>O53</v>
          </cell>
          <cell r="H510">
            <v>46154</v>
          </cell>
          <cell r="I510">
            <v>350</v>
          </cell>
          <cell r="J510">
            <v>75</v>
          </cell>
        </row>
        <row r="511">
          <cell r="D511" t="str">
            <v>O54</v>
          </cell>
          <cell r="H511">
            <v>46154</v>
          </cell>
          <cell r="I511">
            <v>368</v>
          </cell>
          <cell r="J511">
            <v>112</v>
          </cell>
        </row>
        <row r="512">
          <cell r="D512" t="str">
            <v>O55</v>
          </cell>
          <cell r="H512">
            <v>46154</v>
          </cell>
          <cell r="I512">
            <v>405</v>
          </cell>
          <cell r="J512">
            <v>115</v>
          </cell>
        </row>
        <row r="513">
          <cell r="D513" t="str">
            <v>O56</v>
          </cell>
          <cell r="H513">
            <v>46154</v>
          </cell>
          <cell r="I513">
            <v>393</v>
          </cell>
          <cell r="J513">
            <v>53</v>
          </cell>
        </row>
        <row r="514">
          <cell r="D514" t="str">
            <v>O57</v>
          </cell>
          <cell r="H514">
            <v>46154</v>
          </cell>
          <cell r="I514">
            <v>363</v>
          </cell>
          <cell r="J514">
            <v>59</v>
          </cell>
        </row>
        <row r="515">
          <cell r="D515" t="str">
            <v>O58</v>
          </cell>
          <cell r="H515">
            <v>46154</v>
          </cell>
          <cell r="I515">
            <v>394</v>
          </cell>
          <cell r="J515">
            <v>42</v>
          </cell>
        </row>
        <row r="516">
          <cell r="D516" t="str">
            <v>O59</v>
          </cell>
          <cell r="H516">
            <v>46154</v>
          </cell>
          <cell r="I516">
            <v>261</v>
          </cell>
          <cell r="J516">
            <v>29</v>
          </cell>
        </row>
        <row r="517">
          <cell r="D517" t="str">
            <v>P48</v>
          </cell>
          <cell r="H517">
            <v>46154</v>
          </cell>
          <cell r="I517">
            <v>346</v>
          </cell>
          <cell r="J517">
            <v>18</v>
          </cell>
        </row>
        <row r="518">
          <cell r="D518" t="str">
            <v>P49</v>
          </cell>
          <cell r="H518">
            <v>46154</v>
          </cell>
          <cell r="I518">
            <v>366</v>
          </cell>
          <cell r="J518">
            <v>33</v>
          </cell>
        </row>
        <row r="519">
          <cell r="D519" t="str">
            <v>P50</v>
          </cell>
          <cell r="H519">
            <v>46154</v>
          </cell>
          <cell r="I519">
            <v>352</v>
          </cell>
          <cell r="J519">
            <v>73</v>
          </cell>
        </row>
        <row r="520">
          <cell r="D520" t="str">
            <v>P51</v>
          </cell>
          <cell r="H520">
            <v>46154</v>
          </cell>
          <cell r="I520">
            <v>248</v>
          </cell>
          <cell r="J520">
            <v>30</v>
          </cell>
        </row>
        <row r="521">
          <cell r="D521" t="str">
            <v>P52</v>
          </cell>
          <cell r="H521">
            <v>46154</v>
          </cell>
          <cell r="I521">
            <v>281</v>
          </cell>
          <cell r="J521">
            <v>22</v>
          </cell>
        </row>
        <row r="522">
          <cell r="D522" t="str">
            <v>P53</v>
          </cell>
          <cell r="H522">
            <v>46154</v>
          </cell>
          <cell r="I522">
            <v>367</v>
          </cell>
          <cell r="J522">
            <v>115</v>
          </cell>
        </row>
        <row r="523">
          <cell r="D523" t="str">
            <v>O43</v>
          </cell>
          <cell r="H523">
            <v>46153</v>
          </cell>
          <cell r="I523">
            <v>369</v>
          </cell>
          <cell r="J523">
            <v>112</v>
          </cell>
        </row>
        <row r="524">
          <cell r="D524" t="str">
            <v>O44</v>
          </cell>
          <cell r="H524">
            <v>46153</v>
          </cell>
          <cell r="I524">
            <v>333</v>
          </cell>
          <cell r="J524">
            <v>86</v>
          </cell>
        </row>
        <row r="525">
          <cell r="D525" t="str">
            <v>O45</v>
          </cell>
          <cell r="H525">
            <v>46153</v>
          </cell>
          <cell r="I525">
            <v>304</v>
          </cell>
          <cell r="J525">
            <v>21</v>
          </cell>
        </row>
        <row r="526">
          <cell r="D526" t="str">
            <v>O46</v>
          </cell>
          <cell r="H526">
            <v>46153</v>
          </cell>
          <cell r="I526">
            <v>383</v>
          </cell>
          <cell r="J526">
            <v>11</v>
          </cell>
        </row>
        <row r="527">
          <cell r="D527" t="str">
            <v>O47</v>
          </cell>
          <cell r="H527">
            <v>46151</v>
          </cell>
          <cell r="I527">
            <v>282</v>
          </cell>
          <cell r="J527">
            <v>112</v>
          </cell>
        </row>
        <row r="528">
          <cell r="D528" t="str">
            <v>O48</v>
          </cell>
          <cell r="H528">
            <v>46151</v>
          </cell>
          <cell r="I528">
            <v>318</v>
          </cell>
          <cell r="J528">
            <v>46</v>
          </cell>
        </row>
        <row r="529">
          <cell r="D529" t="str">
            <v>O49</v>
          </cell>
          <cell r="H529">
            <v>46151</v>
          </cell>
          <cell r="I529">
            <v>347</v>
          </cell>
          <cell r="J529">
            <v>32</v>
          </cell>
        </row>
        <row r="530">
          <cell r="D530" t="str">
            <v>O50</v>
          </cell>
          <cell r="H530">
            <v>46151</v>
          </cell>
          <cell r="I530">
            <v>379</v>
          </cell>
          <cell r="J530">
            <v>91</v>
          </cell>
        </row>
        <row r="531">
          <cell r="D531" t="str">
            <v>P40</v>
          </cell>
          <cell r="H531">
            <v>46153</v>
          </cell>
          <cell r="I531">
            <v>367</v>
          </cell>
          <cell r="J531">
            <v>23</v>
          </cell>
        </row>
        <row r="532">
          <cell r="D532" t="str">
            <v>P41</v>
          </cell>
          <cell r="H532">
            <v>46153</v>
          </cell>
          <cell r="I532">
            <v>379</v>
          </cell>
          <cell r="J532">
            <v>14</v>
          </cell>
        </row>
        <row r="533">
          <cell r="D533" t="str">
            <v>P42</v>
          </cell>
          <cell r="H533">
            <v>46150</v>
          </cell>
          <cell r="I533">
            <v>354</v>
          </cell>
          <cell r="J533">
            <v>31</v>
          </cell>
        </row>
        <row r="534">
          <cell r="D534" t="str">
            <v>P43</v>
          </cell>
          <cell r="H534">
            <v>46150</v>
          </cell>
          <cell r="I534">
            <v>405</v>
          </cell>
          <cell r="J534">
            <v>6</v>
          </cell>
        </row>
        <row r="535">
          <cell r="D535" t="str">
            <v>P44</v>
          </cell>
          <cell r="H535">
            <v>46150</v>
          </cell>
          <cell r="I535">
            <v>406</v>
          </cell>
          <cell r="J535">
            <v>9</v>
          </cell>
        </row>
        <row r="536">
          <cell r="D536" t="str">
            <v>P45</v>
          </cell>
          <cell r="H536">
            <v>46150</v>
          </cell>
          <cell r="I536">
            <v>390</v>
          </cell>
          <cell r="J536">
            <v>37</v>
          </cell>
        </row>
        <row r="537">
          <cell r="D537" t="str">
            <v>P46</v>
          </cell>
          <cell r="H537">
            <v>46150</v>
          </cell>
          <cell r="I537">
            <v>384</v>
          </cell>
          <cell r="J537">
            <v>53</v>
          </cell>
        </row>
        <row r="538">
          <cell r="D538" t="str">
            <v>P47</v>
          </cell>
          <cell r="H538">
            <v>46150</v>
          </cell>
          <cell r="I538">
            <v>340</v>
          </cell>
          <cell r="J538">
            <v>33</v>
          </cell>
        </row>
        <row r="539">
          <cell r="D539" t="str">
            <v>Q43</v>
          </cell>
          <cell r="H539">
            <v>46149</v>
          </cell>
          <cell r="I539">
            <v>380</v>
          </cell>
          <cell r="J539">
            <v>39</v>
          </cell>
        </row>
        <row r="540">
          <cell r="D540" t="str">
            <v>Q44</v>
          </cell>
          <cell r="H540">
            <v>46149</v>
          </cell>
          <cell r="I540">
            <v>323</v>
          </cell>
          <cell r="J540">
            <v>17</v>
          </cell>
        </row>
        <row r="541">
          <cell r="D541" t="str">
            <v>Q45</v>
          </cell>
          <cell r="H541">
            <v>46149</v>
          </cell>
          <cell r="I541">
            <v>306</v>
          </cell>
          <cell r="J541">
            <v>22</v>
          </cell>
        </row>
        <row r="542">
          <cell r="D542" t="str">
            <v>Q46</v>
          </cell>
          <cell r="H542">
            <v>46149</v>
          </cell>
          <cell r="I542">
            <v>377</v>
          </cell>
          <cell r="J542">
            <v>50</v>
          </cell>
        </row>
        <row r="543">
          <cell r="D543" t="str">
            <v>Q47</v>
          </cell>
          <cell r="H543">
            <v>46149</v>
          </cell>
          <cell r="I543">
            <v>358</v>
          </cell>
          <cell r="J543">
            <v>70</v>
          </cell>
        </row>
        <row r="544">
          <cell r="D544" t="str">
            <v>Q48</v>
          </cell>
          <cell r="H544">
            <v>46149</v>
          </cell>
          <cell r="I544">
            <v>325</v>
          </cell>
          <cell r="J544">
            <v>24</v>
          </cell>
        </row>
        <row r="545">
          <cell r="D545" t="str">
            <v>Q49</v>
          </cell>
          <cell r="H545">
            <v>46149</v>
          </cell>
          <cell r="I545">
            <v>498</v>
          </cell>
          <cell r="J545">
            <v>79</v>
          </cell>
        </row>
        <row r="546">
          <cell r="D546" t="str">
            <v>R46</v>
          </cell>
          <cell r="H546">
            <v>46148</v>
          </cell>
          <cell r="I546">
            <v>262</v>
          </cell>
          <cell r="J546">
            <v>21</v>
          </cell>
        </row>
        <row r="547">
          <cell r="D547" t="str">
            <v>R47</v>
          </cell>
          <cell r="H547">
            <v>46148</v>
          </cell>
          <cell r="I547">
            <v>233</v>
          </cell>
          <cell r="J547">
            <v>53</v>
          </cell>
        </row>
        <row r="548">
          <cell r="D548" t="str">
            <v>R48</v>
          </cell>
          <cell r="H548">
            <v>46148</v>
          </cell>
          <cell r="I548">
            <v>347</v>
          </cell>
          <cell r="J548">
            <v>29</v>
          </cell>
        </row>
        <row r="549">
          <cell r="D549" t="str">
            <v>R49</v>
          </cell>
          <cell r="H549">
            <v>46149</v>
          </cell>
          <cell r="I549">
            <v>570</v>
          </cell>
          <cell r="J549">
            <v>108</v>
          </cell>
        </row>
        <row r="550">
          <cell r="D550" t="str">
            <v>S45</v>
          </cell>
          <cell r="H550">
            <v>46148</v>
          </cell>
          <cell r="I550">
            <v>407</v>
          </cell>
          <cell r="J550">
            <v>53</v>
          </cell>
        </row>
        <row r="551">
          <cell r="D551" t="str">
            <v>S46</v>
          </cell>
          <cell r="H551">
            <v>46148</v>
          </cell>
          <cell r="I551">
            <v>442</v>
          </cell>
          <cell r="J551">
            <v>88</v>
          </cell>
        </row>
        <row r="552">
          <cell r="D552" t="str">
            <v>S47</v>
          </cell>
          <cell r="H552">
            <v>46148</v>
          </cell>
          <cell r="I552">
            <v>487</v>
          </cell>
          <cell r="J552">
            <v>138</v>
          </cell>
        </row>
        <row r="553">
          <cell r="D553" t="str">
            <v>S48</v>
          </cell>
          <cell r="H553">
            <v>46148</v>
          </cell>
          <cell r="I553">
            <v>381</v>
          </cell>
          <cell r="J553">
            <v>28</v>
          </cell>
        </row>
        <row r="554">
          <cell r="D554" t="str">
            <v>S49</v>
          </cell>
          <cell r="H554">
            <v>46148</v>
          </cell>
          <cell r="I554">
            <v>443</v>
          </cell>
          <cell r="J554">
            <v>54</v>
          </cell>
        </row>
        <row r="555">
          <cell r="D555" t="str">
            <v>S50</v>
          </cell>
          <cell r="H555">
            <v>46153</v>
          </cell>
          <cell r="I555">
            <v>500</v>
          </cell>
          <cell r="J555">
            <v>53</v>
          </cell>
        </row>
        <row r="556">
          <cell r="D556" t="str">
            <v>Q50</v>
          </cell>
          <cell r="H556">
            <v>46151</v>
          </cell>
          <cell r="I556">
            <v>243</v>
          </cell>
          <cell r="J556">
            <v>11</v>
          </cell>
        </row>
        <row r="557">
          <cell r="D557" t="str">
            <v>Q51</v>
          </cell>
          <cell r="H557">
            <v>46151</v>
          </cell>
          <cell r="I557">
            <v>224</v>
          </cell>
          <cell r="J557">
            <v>47</v>
          </cell>
        </row>
        <row r="558">
          <cell r="D558" t="str">
            <v>Q52</v>
          </cell>
          <cell r="H558">
            <v>46151</v>
          </cell>
          <cell r="I558">
            <v>154</v>
          </cell>
          <cell r="J558">
            <v>10</v>
          </cell>
        </row>
        <row r="559">
          <cell r="D559" t="str">
            <v>Q53</v>
          </cell>
          <cell r="H559">
            <v>46155</v>
          </cell>
          <cell r="I559">
            <v>131</v>
          </cell>
          <cell r="J559">
            <v>13</v>
          </cell>
        </row>
        <row r="560">
          <cell r="D560" t="str">
            <v>R50</v>
          </cell>
          <cell r="H560">
            <v>46155</v>
          </cell>
          <cell r="I560">
            <v>393</v>
          </cell>
          <cell r="J560">
            <v>23</v>
          </cell>
        </row>
        <row r="561">
          <cell r="D561" t="str">
            <v>R51</v>
          </cell>
          <cell r="H561">
            <v>46155</v>
          </cell>
          <cell r="I561">
            <v>341</v>
          </cell>
          <cell r="J561">
            <v>4</v>
          </cell>
        </row>
        <row r="562">
          <cell r="D562" t="str">
            <v>R52</v>
          </cell>
          <cell r="H562">
            <v>46154</v>
          </cell>
          <cell r="I562">
            <v>462</v>
          </cell>
          <cell r="J562">
            <v>59</v>
          </cell>
        </row>
        <row r="563">
          <cell r="D563" t="str">
            <v>R53</v>
          </cell>
          <cell r="H563">
            <v>46154</v>
          </cell>
          <cell r="I563">
            <v>379</v>
          </cell>
          <cell r="J563">
            <v>109</v>
          </cell>
        </row>
        <row r="564">
          <cell r="D564" t="str">
            <v>R54</v>
          </cell>
          <cell r="H564">
            <v>46154</v>
          </cell>
          <cell r="I564">
            <v>261</v>
          </cell>
          <cell r="J564">
            <v>48</v>
          </cell>
        </row>
        <row r="565">
          <cell r="D565" t="str">
            <v>R55</v>
          </cell>
          <cell r="H565">
            <v>46154</v>
          </cell>
          <cell r="I565">
            <v>585</v>
          </cell>
          <cell r="J565">
            <v>43</v>
          </cell>
        </row>
        <row r="566">
          <cell r="D566" t="str">
            <v>R56</v>
          </cell>
          <cell r="H566">
            <v>46155</v>
          </cell>
          <cell r="I566">
            <v>511</v>
          </cell>
          <cell r="J566">
            <v>41</v>
          </cell>
        </row>
        <row r="567">
          <cell r="D567" t="str">
            <v>R57</v>
          </cell>
          <cell r="H567">
            <v>46155</v>
          </cell>
          <cell r="I567">
            <v>513</v>
          </cell>
          <cell r="J567">
            <v>45</v>
          </cell>
        </row>
        <row r="568">
          <cell r="D568" t="str">
            <v>R58</v>
          </cell>
          <cell r="H568">
            <v>46155</v>
          </cell>
          <cell r="I568">
            <v>371</v>
          </cell>
          <cell r="J568">
            <v>29</v>
          </cell>
        </row>
        <row r="569">
          <cell r="D569" t="str">
            <v>S51</v>
          </cell>
          <cell r="H569">
            <v>46154</v>
          </cell>
          <cell r="I569">
            <v>397</v>
          </cell>
          <cell r="J569">
            <v>45</v>
          </cell>
        </row>
        <row r="570">
          <cell r="D570" t="str">
            <v>S52</v>
          </cell>
          <cell r="H570">
            <v>46154</v>
          </cell>
          <cell r="I570">
            <v>386</v>
          </cell>
          <cell r="J570">
            <v>32</v>
          </cell>
        </row>
        <row r="571">
          <cell r="D571" t="str">
            <v>S53</v>
          </cell>
          <cell r="H571">
            <v>46154</v>
          </cell>
          <cell r="I571">
            <v>384</v>
          </cell>
          <cell r="J571">
            <v>44</v>
          </cell>
        </row>
        <row r="572">
          <cell r="D572" t="str">
            <v>S54</v>
          </cell>
          <cell r="H572">
            <v>46154</v>
          </cell>
          <cell r="I572">
            <v>475</v>
          </cell>
          <cell r="J572">
            <v>40</v>
          </cell>
        </row>
        <row r="573">
          <cell r="D573" t="str">
            <v>S55</v>
          </cell>
          <cell r="H573">
            <v>46155</v>
          </cell>
          <cell r="I573">
            <v>195</v>
          </cell>
          <cell r="J573">
            <v>35</v>
          </cell>
        </row>
        <row r="574">
          <cell r="D574" t="str">
            <v>S56</v>
          </cell>
          <cell r="H574">
            <v>46155</v>
          </cell>
          <cell r="I574">
            <v>474</v>
          </cell>
          <cell r="J574">
            <v>35</v>
          </cell>
        </row>
        <row r="575">
          <cell r="D575" t="str">
            <v>S57</v>
          </cell>
          <cell r="H575">
            <v>46155</v>
          </cell>
          <cell r="I575">
            <v>283</v>
          </cell>
          <cell r="J575">
            <v>18</v>
          </cell>
        </row>
        <row r="576">
          <cell r="D576" t="str">
            <v>S58</v>
          </cell>
          <cell r="H576">
            <v>46154</v>
          </cell>
          <cell r="I576">
            <v>758</v>
          </cell>
          <cell r="J576">
            <v>43</v>
          </cell>
        </row>
        <row r="577">
          <cell r="D577" t="str">
            <v>S59</v>
          </cell>
          <cell r="H577">
            <v>46153</v>
          </cell>
          <cell r="I577">
            <v>579</v>
          </cell>
          <cell r="J577">
            <v>62</v>
          </cell>
        </row>
        <row r="578">
          <cell r="D578" t="str">
            <v>S60</v>
          </cell>
          <cell r="H578">
            <v>46154</v>
          </cell>
          <cell r="I578">
            <v>544</v>
          </cell>
          <cell r="J578">
            <v>47</v>
          </cell>
        </row>
        <row r="579">
          <cell r="D579" t="str">
            <v>S61</v>
          </cell>
          <cell r="H579">
            <v>46153</v>
          </cell>
          <cell r="I579">
            <v>464</v>
          </cell>
          <cell r="J579">
            <v>12</v>
          </cell>
        </row>
        <row r="580">
          <cell r="D580" t="str">
            <v>S62</v>
          </cell>
          <cell r="H580">
            <v>46153</v>
          </cell>
          <cell r="I580">
            <v>398</v>
          </cell>
          <cell r="J580">
            <v>26</v>
          </cell>
        </row>
        <row r="581">
          <cell r="D581" t="str">
            <v>S63</v>
          </cell>
          <cell r="H581">
            <v>46153</v>
          </cell>
          <cell r="I581">
            <v>339</v>
          </cell>
          <cell r="J581">
            <v>22</v>
          </cell>
        </row>
        <row r="582">
          <cell r="D582" t="str">
            <v>S64</v>
          </cell>
          <cell r="H582">
            <v>46153</v>
          </cell>
          <cell r="I582">
            <v>403</v>
          </cell>
          <cell r="J582">
            <v>13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ITORING RACUN TERPAKAI"/>
      <sheetName val="GAMBUT"/>
      <sheetName val="MINERAL"/>
      <sheetName val="PASIR"/>
      <sheetName val="SUMMARY KEBUTUHAN RACUN"/>
      <sheetName val="LAPORAN"/>
      <sheetName val="REKAP SENSUS BLOK TERBARU"/>
      <sheetName val="SUMMARY DATA UPDATE"/>
      <sheetName val="Sheet3"/>
      <sheetName val="ROAD MAP APLIKASI Rayon 1"/>
      <sheetName val="ROAD APLIKASI AFD 12"/>
      <sheetName val="PRESENTASE SERANGAN"/>
      <sheetName val="SENSUS MEI"/>
      <sheetName val="SUMMARY REKAP SENSUS"/>
      <sheetName val="ROADMAP AST 2"/>
      <sheetName val="ROADMAP EST 1"/>
      <sheetName val="Sheet1"/>
      <sheetName val="DATA FOR PETA"/>
      <sheetName val="merah"/>
      <sheetName val="KUNING"/>
      <sheetName val="MER"/>
      <sheetName val="KATEGORI SERANG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9">
          <cell r="D9" t="str">
            <v>A10</v>
          </cell>
          <cell r="G9">
            <v>2655</v>
          </cell>
          <cell r="J9">
            <v>46150</v>
          </cell>
          <cell r="K9">
            <v>150</v>
          </cell>
          <cell r="M9">
            <v>27</v>
          </cell>
          <cell r="O9">
            <v>7</v>
          </cell>
        </row>
        <row r="10">
          <cell r="D10" t="str">
            <v>A11</v>
          </cell>
          <cell r="G10">
            <v>669</v>
          </cell>
          <cell r="J10">
            <v>46150</v>
          </cell>
          <cell r="K10">
            <v>67</v>
          </cell>
          <cell r="M10">
            <v>7</v>
          </cell>
          <cell r="O10">
            <v>6</v>
          </cell>
        </row>
        <row r="11">
          <cell r="D11" t="str">
            <v>A12</v>
          </cell>
          <cell r="G11">
            <v>519</v>
          </cell>
          <cell r="J11">
            <v>46150</v>
          </cell>
          <cell r="K11">
            <v>46</v>
          </cell>
          <cell r="M11">
            <v>4</v>
          </cell>
          <cell r="O11">
            <v>3</v>
          </cell>
        </row>
        <row r="12">
          <cell r="D12" t="str">
            <v>B01</v>
          </cell>
          <cell r="G12">
            <v>3810</v>
          </cell>
          <cell r="J12">
            <v>46155</v>
          </cell>
          <cell r="K12">
            <v>300</v>
          </cell>
          <cell r="M12">
            <v>18</v>
          </cell>
        </row>
        <row r="13">
          <cell r="D13" t="str">
            <v>B02</v>
          </cell>
          <cell r="G13">
            <v>2776</v>
          </cell>
          <cell r="J13">
            <v>46154</v>
          </cell>
          <cell r="K13">
            <v>287</v>
          </cell>
          <cell r="M13">
            <v>28</v>
          </cell>
        </row>
        <row r="14">
          <cell r="D14" t="str">
            <v>B03</v>
          </cell>
          <cell r="G14">
            <v>5607</v>
          </cell>
          <cell r="J14">
            <v>46150</v>
          </cell>
          <cell r="K14">
            <v>489</v>
          </cell>
          <cell r="M14">
            <v>32</v>
          </cell>
          <cell r="O14">
            <v>21</v>
          </cell>
        </row>
        <row r="15">
          <cell r="D15" t="str">
            <v>B04</v>
          </cell>
          <cell r="G15">
            <v>6177</v>
          </cell>
          <cell r="J15">
            <v>46151</v>
          </cell>
          <cell r="K15">
            <v>805</v>
          </cell>
          <cell r="M15">
            <v>99</v>
          </cell>
          <cell r="O15">
            <v>76</v>
          </cell>
        </row>
        <row r="16">
          <cell r="D16" t="str">
            <v>B05</v>
          </cell>
          <cell r="G16">
            <v>6611</v>
          </cell>
          <cell r="J16">
            <v>46151</v>
          </cell>
          <cell r="K16">
            <v>345</v>
          </cell>
          <cell r="M16">
            <v>22</v>
          </cell>
          <cell r="O16">
            <v>23</v>
          </cell>
        </row>
        <row r="17">
          <cell r="D17" t="str">
            <v>B06</v>
          </cell>
          <cell r="G17">
            <v>5898</v>
          </cell>
          <cell r="J17">
            <v>46151</v>
          </cell>
          <cell r="K17">
            <v>698</v>
          </cell>
          <cell r="M17">
            <v>134</v>
          </cell>
          <cell r="O17">
            <v>19</v>
          </cell>
        </row>
        <row r="18">
          <cell r="D18" t="str">
            <v>B07</v>
          </cell>
          <cell r="G18">
            <v>6728</v>
          </cell>
          <cell r="J18">
            <v>46151</v>
          </cell>
          <cell r="K18">
            <v>562</v>
          </cell>
          <cell r="M18">
            <v>34</v>
          </cell>
          <cell r="O18">
            <v>16</v>
          </cell>
        </row>
        <row r="19">
          <cell r="D19" t="str">
            <v>B08</v>
          </cell>
          <cell r="G19">
            <v>6522</v>
          </cell>
          <cell r="J19">
            <v>46150</v>
          </cell>
          <cell r="K19">
            <v>321</v>
          </cell>
          <cell r="M19">
            <v>108</v>
          </cell>
          <cell r="O19">
            <v>7</v>
          </cell>
        </row>
        <row r="20">
          <cell r="D20" t="str">
            <v>B09</v>
          </cell>
          <cell r="G20">
            <v>7989</v>
          </cell>
          <cell r="J20">
            <v>46150</v>
          </cell>
          <cell r="K20">
            <v>858</v>
          </cell>
          <cell r="M20">
            <v>84</v>
          </cell>
          <cell r="O20">
            <v>59</v>
          </cell>
        </row>
        <row r="21">
          <cell r="D21" t="str">
            <v>B12</v>
          </cell>
          <cell r="G21">
            <v>4415</v>
          </cell>
          <cell r="J21">
            <v>46150</v>
          </cell>
          <cell r="K21">
            <v>896</v>
          </cell>
          <cell r="M21">
            <v>121</v>
          </cell>
          <cell r="O21">
            <v>21</v>
          </cell>
        </row>
        <row r="22">
          <cell r="D22" t="str">
            <v>C03</v>
          </cell>
          <cell r="G22">
            <v>857</v>
          </cell>
          <cell r="J22">
            <v>46155</v>
          </cell>
          <cell r="K22">
            <v>96</v>
          </cell>
          <cell r="M22">
            <v>7</v>
          </cell>
        </row>
        <row r="23">
          <cell r="D23" t="str">
            <v>C04</v>
          </cell>
          <cell r="G23">
            <v>4956</v>
          </cell>
          <cell r="J23">
            <v>46154</v>
          </cell>
          <cell r="K23">
            <v>368</v>
          </cell>
          <cell r="M23">
            <v>36</v>
          </cell>
          <cell r="O23">
            <v>5</v>
          </cell>
        </row>
        <row r="24">
          <cell r="D24" t="str">
            <v>C05</v>
          </cell>
          <cell r="G24">
            <v>4600</v>
          </cell>
          <cell r="J24">
            <v>46154</v>
          </cell>
          <cell r="K24">
            <v>366</v>
          </cell>
          <cell r="M24">
            <v>16</v>
          </cell>
          <cell r="O24">
            <v>52</v>
          </cell>
        </row>
        <row r="25">
          <cell r="D25" t="str">
            <v>C06</v>
          </cell>
          <cell r="G25">
            <v>4801</v>
          </cell>
          <cell r="J25">
            <v>46154</v>
          </cell>
          <cell r="K25">
            <v>468</v>
          </cell>
          <cell r="M25">
            <v>23</v>
          </cell>
          <cell r="O25">
            <v>21</v>
          </cell>
        </row>
        <row r="26">
          <cell r="D26" t="str">
            <v>C07</v>
          </cell>
          <cell r="G26">
            <v>3451</v>
          </cell>
          <cell r="J26">
            <v>46154</v>
          </cell>
          <cell r="K26">
            <v>355</v>
          </cell>
          <cell r="M26">
            <v>24</v>
          </cell>
        </row>
        <row r="27">
          <cell r="D27" t="str">
            <v>C08</v>
          </cell>
          <cell r="G27">
            <v>3937</v>
          </cell>
          <cell r="J27">
            <v>46155</v>
          </cell>
          <cell r="K27">
            <v>399</v>
          </cell>
          <cell r="M27">
            <v>61</v>
          </cell>
          <cell r="O27">
            <v>3</v>
          </cell>
        </row>
        <row r="28">
          <cell r="D28" t="str">
            <v>C09</v>
          </cell>
          <cell r="G28">
            <v>3549</v>
          </cell>
          <cell r="J28">
            <v>46154</v>
          </cell>
          <cell r="K28">
            <v>383</v>
          </cell>
          <cell r="M28">
            <v>97</v>
          </cell>
          <cell r="O28">
            <v>12</v>
          </cell>
        </row>
        <row r="29">
          <cell r="D29" t="str">
            <v>C10</v>
          </cell>
          <cell r="G29">
            <v>2961</v>
          </cell>
          <cell r="J29">
            <v>46151</v>
          </cell>
          <cell r="K29">
            <v>314</v>
          </cell>
          <cell r="M29">
            <v>18</v>
          </cell>
          <cell r="O29">
            <v>36</v>
          </cell>
        </row>
        <row r="30">
          <cell r="D30" t="str">
            <v>C11</v>
          </cell>
          <cell r="G30">
            <v>3023</v>
          </cell>
          <cell r="J30">
            <v>46151</v>
          </cell>
          <cell r="K30">
            <v>316</v>
          </cell>
          <cell r="M30">
            <v>51</v>
          </cell>
          <cell r="O30">
            <v>11</v>
          </cell>
        </row>
        <row r="31">
          <cell r="D31" t="str">
            <v>C12</v>
          </cell>
          <cell r="G31">
            <v>2329</v>
          </cell>
          <cell r="J31">
            <v>46151</v>
          </cell>
          <cell r="K31">
            <v>193</v>
          </cell>
          <cell r="M31">
            <v>43</v>
          </cell>
          <cell r="O31">
            <v>11</v>
          </cell>
        </row>
        <row r="32">
          <cell r="D32" t="str">
            <v>C13</v>
          </cell>
          <cell r="G32">
            <v>1520</v>
          </cell>
          <cell r="J32">
            <v>46153</v>
          </cell>
          <cell r="K32">
            <v>128</v>
          </cell>
          <cell r="M32">
            <v>7</v>
          </cell>
          <cell r="O32">
            <v>2</v>
          </cell>
        </row>
        <row r="33">
          <cell r="D33" t="str">
            <v>C14</v>
          </cell>
          <cell r="G33">
            <v>629</v>
          </cell>
          <cell r="J33">
            <v>46153</v>
          </cell>
          <cell r="K33">
            <v>73</v>
          </cell>
          <cell r="M33">
            <v>5</v>
          </cell>
          <cell r="O33">
            <v>1</v>
          </cell>
        </row>
        <row r="34">
          <cell r="D34" t="str">
            <v>C15</v>
          </cell>
          <cell r="G34">
            <v>856</v>
          </cell>
          <cell r="J34">
            <v>46153</v>
          </cell>
          <cell r="K34">
            <v>57</v>
          </cell>
          <cell r="M34">
            <v>4</v>
          </cell>
          <cell r="O34">
            <v>1</v>
          </cell>
        </row>
        <row r="35">
          <cell r="D35" t="str">
            <v>C16</v>
          </cell>
          <cell r="G35">
            <v>788</v>
          </cell>
          <cell r="J35">
            <v>46153</v>
          </cell>
          <cell r="K35">
            <v>23</v>
          </cell>
          <cell r="M35">
            <v>3</v>
          </cell>
        </row>
        <row r="36">
          <cell r="D36" t="str">
            <v>K10</v>
          </cell>
          <cell r="G36">
            <v>2246</v>
          </cell>
          <cell r="J36">
            <v>46150</v>
          </cell>
          <cell r="K36">
            <v>93</v>
          </cell>
          <cell r="M36">
            <v>21</v>
          </cell>
          <cell r="O36">
            <v>4</v>
          </cell>
        </row>
        <row r="37">
          <cell r="D37" t="str">
            <v>B13</v>
          </cell>
          <cell r="G37">
            <v>6397</v>
          </cell>
          <cell r="J37">
            <v>46149</v>
          </cell>
          <cell r="K37">
            <v>531</v>
          </cell>
          <cell r="M37">
            <v>124</v>
          </cell>
          <cell r="O37">
            <v>80</v>
          </cell>
        </row>
        <row r="38">
          <cell r="D38" t="str">
            <v>B14</v>
          </cell>
          <cell r="G38">
            <v>6650</v>
          </cell>
          <cell r="J38">
            <v>46149</v>
          </cell>
          <cell r="K38">
            <v>761</v>
          </cell>
          <cell r="M38">
            <v>115</v>
          </cell>
          <cell r="O38">
            <v>48</v>
          </cell>
        </row>
        <row r="39">
          <cell r="D39" t="str">
            <v>B15</v>
          </cell>
          <cell r="G39">
            <v>6851</v>
          </cell>
          <cell r="J39">
            <v>46149</v>
          </cell>
          <cell r="K39">
            <v>666</v>
          </cell>
          <cell r="M39">
            <v>114</v>
          </cell>
          <cell r="O39">
            <v>23</v>
          </cell>
        </row>
        <row r="40">
          <cell r="D40"/>
          <cell r="G40">
            <v>120777</v>
          </cell>
          <cell r="J40"/>
          <cell r="K40">
            <v>11414</v>
          </cell>
          <cell r="M40">
            <v>1487</v>
          </cell>
          <cell r="O40">
            <v>568</v>
          </cell>
        </row>
        <row r="41">
          <cell r="D41" t="str">
            <v>A27</v>
          </cell>
          <cell r="G41">
            <v>961</v>
          </cell>
          <cell r="J41">
            <v>46151</v>
          </cell>
          <cell r="K41">
            <v>80</v>
          </cell>
          <cell r="M41">
            <v>5</v>
          </cell>
          <cell r="O41">
            <v>18</v>
          </cell>
        </row>
        <row r="42">
          <cell r="D42" t="str">
            <v>A28</v>
          </cell>
          <cell r="G42">
            <v>1180</v>
          </cell>
          <cell r="J42">
            <v>46151</v>
          </cell>
          <cell r="K42">
            <v>129</v>
          </cell>
          <cell r="M42">
            <v>6</v>
          </cell>
          <cell r="O42">
            <v>5</v>
          </cell>
        </row>
        <row r="43">
          <cell r="D43" t="str">
            <v>A29</v>
          </cell>
          <cell r="G43">
            <v>1181</v>
          </cell>
          <cell r="J43">
            <v>46151</v>
          </cell>
          <cell r="K43">
            <v>132</v>
          </cell>
          <cell r="M43">
            <v>2</v>
          </cell>
          <cell r="O43">
            <v>8</v>
          </cell>
        </row>
        <row r="44">
          <cell r="D44" t="str">
            <v>A30</v>
          </cell>
          <cell r="G44">
            <v>843</v>
          </cell>
          <cell r="J44">
            <v>46153</v>
          </cell>
          <cell r="K44">
            <v>112</v>
          </cell>
          <cell r="M44">
            <v>6</v>
          </cell>
          <cell r="O44">
            <v>11</v>
          </cell>
        </row>
        <row r="45">
          <cell r="D45" t="str">
            <v>B16</v>
          </cell>
          <cell r="G45">
            <v>4956</v>
          </cell>
          <cell r="J45">
            <v>46155</v>
          </cell>
          <cell r="K45">
            <v>290</v>
          </cell>
          <cell r="M45"/>
          <cell r="O45">
            <v>49</v>
          </cell>
        </row>
        <row r="46">
          <cell r="D46" t="str">
            <v>B17</v>
          </cell>
          <cell r="G46">
            <v>6299</v>
          </cell>
          <cell r="J46">
            <v>46155</v>
          </cell>
          <cell r="K46">
            <v>493</v>
          </cell>
          <cell r="M46">
            <v>36</v>
          </cell>
        </row>
        <row r="47">
          <cell r="D47" t="str">
            <v>B18</v>
          </cell>
          <cell r="G47">
            <v>5282</v>
          </cell>
          <cell r="J47">
            <v>46149</v>
          </cell>
          <cell r="K47">
            <v>339</v>
          </cell>
          <cell r="M47">
            <v>18</v>
          </cell>
          <cell r="O47">
            <v>37</v>
          </cell>
        </row>
        <row r="48">
          <cell r="D48" t="str">
            <v>B19</v>
          </cell>
          <cell r="G48">
            <v>4578</v>
          </cell>
          <cell r="J48">
            <v>46149</v>
          </cell>
          <cell r="K48">
            <v>357</v>
          </cell>
          <cell r="M48">
            <v>103</v>
          </cell>
          <cell r="O48">
            <v>22</v>
          </cell>
        </row>
        <row r="49">
          <cell r="D49" t="str">
            <v>B20</v>
          </cell>
          <cell r="G49">
            <v>4025</v>
          </cell>
          <cell r="J49">
            <v>46150</v>
          </cell>
          <cell r="K49">
            <v>380</v>
          </cell>
          <cell r="M49">
            <v>54</v>
          </cell>
          <cell r="O49">
            <v>47</v>
          </cell>
        </row>
        <row r="50">
          <cell r="D50" t="str">
            <v>B21</v>
          </cell>
          <cell r="G50">
            <v>4017</v>
          </cell>
          <cell r="J50">
            <v>46150</v>
          </cell>
          <cell r="K50">
            <v>349</v>
          </cell>
          <cell r="M50">
            <v>72</v>
          </cell>
        </row>
        <row r="51">
          <cell r="D51" t="str">
            <v>B22</v>
          </cell>
          <cell r="G51">
            <v>4510</v>
          </cell>
          <cell r="J51">
            <v>46150</v>
          </cell>
          <cell r="K51">
            <v>347</v>
          </cell>
          <cell r="M51">
            <v>24</v>
          </cell>
          <cell r="O51">
            <v>27</v>
          </cell>
        </row>
        <row r="52">
          <cell r="D52" t="str">
            <v>B23</v>
          </cell>
          <cell r="G52">
            <v>3225</v>
          </cell>
          <cell r="J52">
            <v>46150</v>
          </cell>
          <cell r="K52">
            <v>245</v>
          </cell>
          <cell r="M52">
            <v>73</v>
          </cell>
          <cell r="O52">
            <v>47</v>
          </cell>
        </row>
        <row r="53">
          <cell r="D53" t="str">
            <v>B24</v>
          </cell>
          <cell r="G53">
            <v>1385</v>
          </cell>
          <cell r="J53">
            <v>46150</v>
          </cell>
          <cell r="K53">
            <v>140</v>
          </cell>
          <cell r="M53">
            <v>103</v>
          </cell>
          <cell r="O53">
            <v>30</v>
          </cell>
        </row>
        <row r="54">
          <cell r="D54" t="str">
            <v>B25</v>
          </cell>
          <cell r="G54">
            <v>4292</v>
          </cell>
          <cell r="J54">
            <v>46150</v>
          </cell>
          <cell r="K54">
            <v>329</v>
          </cell>
          <cell r="M54">
            <v>197</v>
          </cell>
          <cell r="O54">
            <v>71</v>
          </cell>
        </row>
        <row r="55">
          <cell r="D55" t="str">
            <v>B26</v>
          </cell>
          <cell r="G55">
            <v>4609</v>
          </cell>
          <cell r="J55">
            <v>46151</v>
          </cell>
          <cell r="K55">
            <v>380</v>
          </cell>
          <cell r="M55">
            <v>146</v>
          </cell>
          <cell r="O55">
            <v>22</v>
          </cell>
        </row>
        <row r="56">
          <cell r="D56" t="str">
            <v>B27</v>
          </cell>
          <cell r="G56">
            <v>5934</v>
          </cell>
          <cell r="J56">
            <v>46151</v>
          </cell>
          <cell r="K56">
            <v>394</v>
          </cell>
          <cell r="M56">
            <v>156</v>
          </cell>
          <cell r="O56">
            <v>15</v>
          </cell>
        </row>
        <row r="57">
          <cell r="D57" t="str">
            <v>B28</v>
          </cell>
          <cell r="G57">
            <v>5698</v>
          </cell>
          <cell r="J57">
            <v>46151</v>
          </cell>
          <cell r="K57">
            <v>382</v>
          </cell>
          <cell r="M57">
            <v>123</v>
          </cell>
          <cell r="O57">
            <v>165</v>
          </cell>
        </row>
        <row r="58">
          <cell r="D58" t="str">
            <v>B29</v>
          </cell>
          <cell r="G58">
            <v>5060</v>
          </cell>
          <cell r="J58">
            <v>46151</v>
          </cell>
          <cell r="K58">
            <v>390</v>
          </cell>
          <cell r="M58">
            <v>144</v>
          </cell>
          <cell r="O58">
            <v>54</v>
          </cell>
        </row>
        <row r="59">
          <cell r="D59" t="str">
            <v>B30</v>
          </cell>
          <cell r="G59">
            <v>4625</v>
          </cell>
          <cell r="J59">
            <v>46151</v>
          </cell>
          <cell r="K59">
            <v>337</v>
          </cell>
          <cell r="M59">
            <v>51</v>
          </cell>
          <cell r="O59">
            <v>49</v>
          </cell>
        </row>
        <row r="60">
          <cell r="D60" t="str">
            <v>K28</v>
          </cell>
          <cell r="G60">
            <v>1530</v>
          </cell>
          <cell r="J60">
            <v>46151</v>
          </cell>
          <cell r="K60">
            <v>67</v>
          </cell>
          <cell r="M60">
            <v>12</v>
          </cell>
          <cell r="O60">
            <v>1</v>
          </cell>
        </row>
        <row r="61">
          <cell r="D61" t="str">
            <v>K29</v>
          </cell>
          <cell r="G61">
            <v>2264</v>
          </cell>
          <cell r="J61">
            <v>46151</v>
          </cell>
          <cell r="K61">
            <v>75</v>
          </cell>
          <cell r="M61">
            <v>10</v>
          </cell>
          <cell r="O61">
            <v>0</v>
          </cell>
        </row>
        <row r="62">
          <cell r="D62" t="str">
            <v>K30</v>
          </cell>
          <cell r="G62">
            <v>1761</v>
          </cell>
          <cell r="J62">
            <v>46151</v>
          </cell>
          <cell r="K62">
            <v>120</v>
          </cell>
          <cell r="M62">
            <v>7</v>
          </cell>
          <cell r="O62">
            <v>0</v>
          </cell>
        </row>
        <row r="63">
          <cell r="D63" t="str">
            <v>A31</v>
          </cell>
          <cell r="G63">
            <v>2216</v>
          </cell>
          <cell r="J63">
            <v>46153</v>
          </cell>
          <cell r="K63">
            <v>198</v>
          </cell>
          <cell r="M63">
            <v>9</v>
          </cell>
          <cell r="O63">
            <v>24</v>
          </cell>
        </row>
        <row r="64">
          <cell r="D64" t="str">
            <v>B31</v>
          </cell>
          <cell r="G64">
            <v>6734</v>
          </cell>
          <cell r="J64">
            <v>46151</v>
          </cell>
          <cell r="K64">
            <v>359</v>
          </cell>
          <cell r="M64">
            <v>153</v>
          </cell>
          <cell r="O64">
            <v>44</v>
          </cell>
        </row>
        <row r="65">
          <cell r="D65" t="str">
            <v>C28</v>
          </cell>
          <cell r="G65">
            <v>2091</v>
          </cell>
          <cell r="J65">
            <v>46153</v>
          </cell>
          <cell r="K65">
            <v>203</v>
          </cell>
          <cell r="M65">
            <v>7</v>
          </cell>
          <cell r="O65">
            <v>39</v>
          </cell>
        </row>
        <row r="66">
          <cell r="D66" t="str">
            <v>C29</v>
          </cell>
          <cell r="G66">
            <v>4790</v>
          </cell>
          <cell r="J66">
            <v>46153</v>
          </cell>
          <cell r="K66">
            <v>429</v>
          </cell>
          <cell r="M66">
            <v>25</v>
          </cell>
          <cell r="O66">
            <v>3</v>
          </cell>
        </row>
        <row r="67">
          <cell r="D67" t="str">
            <v>C30</v>
          </cell>
          <cell r="G67">
            <v>4370</v>
          </cell>
          <cell r="J67">
            <v>46154</v>
          </cell>
          <cell r="K67">
            <v>290</v>
          </cell>
          <cell r="M67">
            <v>22</v>
          </cell>
          <cell r="O67">
            <v>42</v>
          </cell>
        </row>
        <row r="68">
          <cell r="D68" t="str">
            <v>C31</v>
          </cell>
          <cell r="G68">
            <v>8325</v>
          </cell>
          <cell r="J68">
            <v>46154</v>
          </cell>
          <cell r="K68">
            <v>878</v>
          </cell>
          <cell r="M68">
            <v>117</v>
          </cell>
          <cell r="O68">
            <v>80</v>
          </cell>
        </row>
        <row r="69">
          <cell r="D69" t="str">
            <v>D29</v>
          </cell>
          <cell r="G69">
            <v>972</v>
          </cell>
          <cell r="J69">
            <v>46154</v>
          </cell>
          <cell r="K69">
            <v>24</v>
          </cell>
          <cell r="M69">
            <v>6</v>
          </cell>
          <cell r="O69">
            <v>3</v>
          </cell>
        </row>
        <row r="70">
          <cell r="D70" t="str">
            <v>D30</v>
          </cell>
          <cell r="G70">
            <v>2953</v>
          </cell>
          <cell r="J70">
            <v>46154</v>
          </cell>
          <cell r="K70">
            <v>310</v>
          </cell>
          <cell r="M70">
            <v>28</v>
          </cell>
          <cell r="O70">
            <v>32</v>
          </cell>
        </row>
        <row r="71">
          <cell r="D71" t="str">
            <v>D31</v>
          </cell>
          <cell r="G71">
            <v>4350</v>
          </cell>
          <cell r="J71">
            <v>46154</v>
          </cell>
          <cell r="K71">
            <v>409</v>
          </cell>
          <cell r="M71">
            <v>91</v>
          </cell>
        </row>
        <row r="72">
          <cell r="D72"/>
          <cell r="G72">
            <v>115016</v>
          </cell>
          <cell r="J72"/>
          <cell r="K72">
            <v>8967</v>
          </cell>
          <cell r="M72">
            <v>1806</v>
          </cell>
          <cell r="O72">
            <v>945</v>
          </cell>
        </row>
        <row r="73">
          <cell r="D73" t="str">
            <v>A03</v>
          </cell>
          <cell r="G73">
            <v>343</v>
          </cell>
          <cell r="J73">
            <v>46150</v>
          </cell>
          <cell r="K73">
            <v>34</v>
          </cell>
          <cell r="M73">
            <v>1</v>
          </cell>
          <cell r="O73">
            <v>8</v>
          </cell>
        </row>
        <row r="74">
          <cell r="D74" t="str">
            <v>A04</v>
          </cell>
          <cell r="G74">
            <v>2521</v>
          </cell>
          <cell r="J74">
            <v>46150</v>
          </cell>
          <cell r="K74">
            <v>235</v>
          </cell>
          <cell r="M74">
            <v>33</v>
          </cell>
          <cell r="O74">
            <v>10</v>
          </cell>
        </row>
        <row r="75">
          <cell r="D75" t="str">
            <v>A05</v>
          </cell>
          <cell r="G75">
            <v>3942</v>
          </cell>
          <cell r="J75">
            <v>46149</v>
          </cell>
          <cell r="K75">
            <v>358</v>
          </cell>
          <cell r="M75">
            <v>93</v>
          </cell>
          <cell r="O75">
            <v>52</v>
          </cell>
        </row>
        <row r="76">
          <cell r="D76" t="str">
            <v>A06</v>
          </cell>
          <cell r="G76">
            <v>4305</v>
          </cell>
          <cell r="J76">
            <v>46149</v>
          </cell>
          <cell r="K76">
            <v>416</v>
          </cell>
          <cell r="M76">
            <v>83</v>
          </cell>
          <cell r="O76">
            <v>42</v>
          </cell>
        </row>
        <row r="77">
          <cell r="D77" t="str">
            <v>A07</v>
          </cell>
          <cell r="G77">
            <v>3241</v>
          </cell>
          <cell r="J77">
            <v>46149</v>
          </cell>
          <cell r="K77">
            <v>337</v>
          </cell>
          <cell r="M77">
            <v>99</v>
          </cell>
          <cell r="O77">
            <v>8</v>
          </cell>
        </row>
        <row r="78">
          <cell r="D78" t="str">
            <v>A08</v>
          </cell>
          <cell r="G78">
            <v>3205</v>
          </cell>
          <cell r="J78">
            <v>46149</v>
          </cell>
          <cell r="K78">
            <v>320</v>
          </cell>
          <cell r="M78">
            <v>35</v>
          </cell>
          <cell r="O78">
            <v>36</v>
          </cell>
        </row>
        <row r="79">
          <cell r="D79" t="str">
            <v>A09</v>
          </cell>
          <cell r="G79">
            <v>3922</v>
          </cell>
          <cell r="J79">
            <v>46149</v>
          </cell>
          <cell r="K79">
            <v>330</v>
          </cell>
          <cell r="M79">
            <v>14</v>
          </cell>
          <cell r="O79">
            <v>69</v>
          </cell>
        </row>
        <row r="80">
          <cell r="D80" t="str">
            <v>B10</v>
          </cell>
          <cell r="G80">
            <v>6972</v>
          </cell>
          <cell r="J80">
            <v>46151</v>
          </cell>
          <cell r="K80">
            <v>386</v>
          </cell>
          <cell r="M80">
            <v>117</v>
          </cell>
          <cell r="O80">
            <v>49</v>
          </cell>
        </row>
        <row r="81">
          <cell r="D81" t="str">
            <v>B11</v>
          </cell>
          <cell r="G81">
            <v>7178</v>
          </cell>
          <cell r="J81">
            <v>46151</v>
          </cell>
          <cell r="K81">
            <v>765</v>
          </cell>
          <cell r="M81">
            <v>21</v>
          </cell>
          <cell r="O81">
            <v>119</v>
          </cell>
        </row>
        <row r="82">
          <cell r="D82" t="str">
            <v>B12M</v>
          </cell>
          <cell r="G82">
            <v>3212</v>
          </cell>
          <cell r="J82">
            <v>46151</v>
          </cell>
          <cell r="K82">
            <v>410</v>
          </cell>
          <cell r="M82">
            <v>53</v>
          </cell>
          <cell r="O82">
            <v>16</v>
          </cell>
        </row>
        <row r="83">
          <cell r="D83" t="str">
            <v>K05</v>
          </cell>
          <cell r="G83">
            <v>1613</v>
          </cell>
          <cell r="J83">
            <v>46150</v>
          </cell>
          <cell r="K83">
            <v>237</v>
          </cell>
          <cell r="M83">
            <v>30</v>
          </cell>
          <cell r="O83">
            <v>22</v>
          </cell>
        </row>
        <row r="84">
          <cell r="D84" t="str">
            <v>K06</v>
          </cell>
          <cell r="G84">
            <v>4615</v>
          </cell>
          <cell r="J84">
            <v>46150</v>
          </cell>
          <cell r="K84">
            <v>554</v>
          </cell>
          <cell r="M84">
            <v>63</v>
          </cell>
          <cell r="O84">
            <v>22</v>
          </cell>
        </row>
        <row r="85">
          <cell r="D85" t="str">
            <v>K07</v>
          </cell>
          <cell r="G85">
            <v>3458</v>
          </cell>
          <cell r="J85">
            <v>46150</v>
          </cell>
          <cell r="K85">
            <v>327</v>
          </cell>
          <cell r="M85">
            <v>27</v>
          </cell>
          <cell r="O85">
            <v>21</v>
          </cell>
        </row>
        <row r="86">
          <cell r="D86" t="str">
            <v>K08</v>
          </cell>
          <cell r="G86">
            <v>3398</v>
          </cell>
          <cell r="J86">
            <v>46150</v>
          </cell>
          <cell r="K86">
            <v>316</v>
          </cell>
          <cell r="M86">
            <v>6</v>
          </cell>
          <cell r="O86">
            <v>38</v>
          </cell>
        </row>
        <row r="87">
          <cell r="D87" t="str">
            <v>K09</v>
          </cell>
          <cell r="G87">
            <v>3497</v>
          </cell>
          <cell r="J87">
            <v>46154</v>
          </cell>
          <cell r="K87">
            <v>365</v>
          </cell>
          <cell r="M87">
            <v>25</v>
          </cell>
          <cell r="O87">
            <v>8</v>
          </cell>
        </row>
        <row r="88">
          <cell r="D88" t="str">
            <v>K10M</v>
          </cell>
          <cell r="G88">
            <v>898</v>
          </cell>
          <cell r="J88">
            <v>46154</v>
          </cell>
          <cell r="K88">
            <v>123</v>
          </cell>
          <cell r="M88">
            <v>10</v>
          </cell>
          <cell r="O88">
            <v>7</v>
          </cell>
        </row>
        <row r="89">
          <cell r="D89" t="str">
            <v>A41</v>
          </cell>
          <cell r="G89">
            <v>4386</v>
          </cell>
          <cell r="J89">
            <v>46154</v>
          </cell>
          <cell r="K89">
            <v>400</v>
          </cell>
          <cell r="M89">
            <v>13</v>
          </cell>
          <cell r="O89">
            <v>10</v>
          </cell>
        </row>
        <row r="90">
          <cell r="D90" t="str">
            <v>A42</v>
          </cell>
          <cell r="G90">
            <v>4014</v>
          </cell>
          <cell r="J90">
            <v>46154</v>
          </cell>
          <cell r="K90">
            <v>319</v>
          </cell>
          <cell r="M90">
            <v>16</v>
          </cell>
          <cell r="O90">
            <v>23</v>
          </cell>
        </row>
        <row r="91">
          <cell r="D91" t="str">
            <v>A43</v>
          </cell>
          <cell r="G91">
            <v>2851</v>
          </cell>
          <cell r="J91">
            <v>46154</v>
          </cell>
          <cell r="K91">
            <v>284</v>
          </cell>
          <cell r="M91">
            <v>46</v>
          </cell>
          <cell r="O91">
            <v>5</v>
          </cell>
        </row>
        <row r="92">
          <cell r="D92" t="str">
            <v>A44</v>
          </cell>
          <cell r="G92">
            <v>2354</v>
          </cell>
          <cell r="J92">
            <v>46154</v>
          </cell>
          <cell r="K92">
            <v>225</v>
          </cell>
          <cell r="M92">
            <v>30</v>
          </cell>
          <cell r="O92">
            <v>19</v>
          </cell>
        </row>
        <row r="93">
          <cell r="D93" t="str">
            <v>B41M</v>
          </cell>
          <cell r="G93">
            <v>3231</v>
          </cell>
          <cell r="J93">
            <v>46153</v>
          </cell>
          <cell r="K93">
            <v>417</v>
          </cell>
          <cell r="M93">
            <v>18</v>
          </cell>
          <cell r="O93">
            <v>28</v>
          </cell>
        </row>
        <row r="94">
          <cell r="D94" t="str">
            <v>B42M</v>
          </cell>
          <cell r="G94">
            <v>3635</v>
          </cell>
          <cell r="J94">
            <v>46153</v>
          </cell>
          <cell r="K94">
            <v>392</v>
          </cell>
          <cell r="M94">
            <v>47</v>
          </cell>
          <cell r="O94">
            <v>6</v>
          </cell>
        </row>
        <row r="95">
          <cell r="D95" t="str">
            <v>B43M</v>
          </cell>
          <cell r="G95">
            <v>3049</v>
          </cell>
          <cell r="J95">
            <v>46153</v>
          </cell>
          <cell r="K95">
            <v>295</v>
          </cell>
          <cell r="M95">
            <v>38</v>
          </cell>
          <cell r="O95">
            <v>17</v>
          </cell>
        </row>
        <row r="96">
          <cell r="D96" t="str">
            <v>B44M</v>
          </cell>
          <cell r="G96">
            <v>3198</v>
          </cell>
          <cell r="J96">
            <v>46153</v>
          </cell>
          <cell r="K96">
            <v>313</v>
          </cell>
          <cell r="M96">
            <v>31</v>
          </cell>
          <cell r="O96">
            <v>7</v>
          </cell>
        </row>
        <row r="97">
          <cell r="D97" t="str">
            <v>K40</v>
          </cell>
          <cell r="G97">
            <v>805</v>
          </cell>
          <cell r="J97">
            <v>46155</v>
          </cell>
          <cell r="K97">
            <v>115</v>
          </cell>
          <cell r="M97">
            <v>15</v>
          </cell>
          <cell r="O97">
            <v>5</v>
          </cell>
        </row>
        <row r="98">
          <cell r="D98" t="str">
            <v>K41</v>
          </cell>
          <cell r="G98">
            <v>3953</v>
          </cell>
          <cell r="J98">
            <v>46155</v>
          </cell>
          <cell r="K98">
            <v>430</v>
          </cell>
          <cell r="M98">
            <v>33</v>
          </cell>
          <cell r="O98">
            <v>10</v>
          </cell>
        </row>
        <row r="99">
          <cell r="D99" t="str">
            <v>K42</v>
          </cell>
          <cell r="G99">
            <v>1048</v>
          </cell>
          <cell r="J99">
            <v>46155</v>
          </cell>
          <cell r="K99">
            <v>253</v>
          </cell>
          <cell r="M99">
            <v>27</v>
          </cell>
          <cell r="O99">
            <v>5</v>
          </cell>
        </row>
        <row r="100">
          <cell r="D100" t="str">
            <v>K52</v>
          </cell>
          <cell r="G100">
            <v>1676</v>
          </cell>
          <cell r="J100">
            <v>46154</v>
          </cell>
          <cell r="K100">
            <v>147</v>
          </cell>
          <cell r="M100">
            <v>36</v>
          </cell>
        </row>
        <row r="101">
          <cell r="D101" t="str">
            <v>K53</v>
          </cell>
          <cell r="G101">
            <v>1215</v>
          </cell>
          <cell r="J101">
            <v>46154</v>
          </cell>
          <cell r="K101">
            <v>107</v>
          </cell>
          <cell r="M101">
            <v>14</v>
          </cell>
        </row>
        <row r="102">
          <cell r="D102" t="str">
            <v>K54</v>
          </cell>
          <cell r="G102">
            <v>2111</v>
          </cell>
          <cell r="J102">
            <v>46154</v>
          </cell>
          <cell r="K102">
            <v>220</v>
          </cell>
          <cell r="M102">
            <v>43</v>
          </cell>
          <cell r="O102">
            <v>70</v>
          </cell>
        </row>
        <row r="103">
          <cell r="D103" t="str">
            <v>K55</v>
          </cell>
          <cell r="G103">
            <v>2299</v>
          </cell>
          <cell r="J103">
            <v>46154</v>
          </cell>
          <cell r="K103">
            <v>267</v>
          </cell>
          <cell r="M103">
            <v>56</v>
          </cell>
          <cell r="O103">
            <v>76</v>
          </cell>
        </row>
        <row r="104">
          <cell r="D104"/>
          <cell r="G104">
            <v>96145</v>
          </cell>
          <cell r="J104"/>
          <cell r="K104">
            <v>9697</v>
          </cell>
          <cell r="M104">
            <v>1173</v>
          </cell>
          <cell r="O104">
            <v>808</v>
          </cell>
        </row>
        <row r="105">
          <cell r="D105"/>
          <cell r="G105">
            <v>331938</v>
          </cell>
          <cell r="J105"/>
          <cell r="K105"/>
          <cell r="M105"/>
        </row>
        <row r="106">
          <cell r="D106" t="str">
            <v>A32</v>
          </cell>
          <cell r="G106">
            <v>1135</v>
          </cell>
          <cell r="J106">
            <v>46154</v>
          </cell>
          <cell r="K106">
            <v>120</v>
          </cell>
          <cell r="M106">
            <v>10</v>
          </cell>
          <cell r="O106">
            <v>3</v>
          </cell>
        </row>
        <row r="107">
          <cell r="D107" t="str">
            <v>A33</v>
          </cell>
          <cell r="G107">
            <v>2184</v>
          </cell>
          <cell r="J107">
            <v>46154</v>
          </cell>
          <cell r="K107">
            <v>210</v>
          </cell>
          <cell r="M107">
            <v>35</v>
          </cell>
          <cell r="O107">
            <v>8</v>
          </cell>
        </row>
        <row r="108">
          <cell r="D108" t="str">
            <v>A34</v>
          </cell>
          <cell r="G108">
            <v>1321</v>
          </cell>
          <cell r="J108">
            <v>46154</v>
          </cell>
          <cell r="K108">
            <v>40</v>
          </cell>
          <cell r="M108">
            <v>6</v>
          </cell>
          <cell r="O108">
            <v>0</v>
          </cell>
        </row>
        <row r="109">
          <cell r="D109" t="str">
            <v>B32</v>
          </cell>
          <cell r="G109">
            <v>3126</v>
          </cell>
          <cell r="J109">
            <v>46153</v>
          </cell>
          <cell r="K109">
            <v>296</v>
          </cell>
          <cell r="M109">
            <v>21</v>
          </cell>
          <cell r="O109">
            <v>25</v>
          </cell>
        </row>
        <row r="110">
          <cell r="D110" t="str">
            <v>B33</v>
          </cell>
          <cell r="G110">
            <v>2141</v>
          </cell>
          <cell r="J110">
            <v>46154</v>
          </cell>
          <cell r="K110">
            <v>259</v>
          </cell>
          <cell r="M110">
            <v>16</v>
          </cell>
          <cell r="O110">
            <v>10</v>
          </cell>
        </row>
        <row r="111">
          <cell r="D111" t="str">
            <v>B34</v>
          </cell>
          <cell r="G111">
            <v>4567</v>
          </cell>
          <cell r="J111">
            <v>46153</v>
          </cell>
          <cell r="K111">
            <v>407</v>
          </cell>
          <cell r="M111">
            <v>25</v>
          </cell>
          <cell r="O111">
            <v>19</v>
          </cell>
        </row>
        <row r="112">
          <cell r="D112" t="str">
            <v>C32</v>
          </cell>
          <cell r="G112">
            <v>5375</v>
          </cell>
          <cell r="J112">
            <v>46150</v>
          </cell>
          <cell r="K112">
            <v>422</v>
          </cell>
          <cell r="M112">
            <v>51</v>
          </cell>
          <cell r="O112">
            <v>0</v>
          </cell>
        </row>
        <row r="113">
          <cell r="D113" t="str">
            <v>C33</v>
          </cell>
          <cell r="G113">
            <v>7520</v>
          </cell>
          <cell r="J113">
            <v>46150</v>
          </cell>
          <cell r="K113">
            <v>1155</v>
          </cell>
          <cell r="M113">
            <v>139</v>
          </cell>
          <cell r="O113">
            <v>0</v>
          </cell>
        </row>
        <row r="114">
          <cell r="D114" t="str">
            <v>C34</v>
          </cell>
          <cell r="G114">
            <v>7750</v>
          </cell>
          <cell r="J114">
            <v>46151</v>
          </cell>
          <cell r="K114">
            <v>856</v>
          </cell>
          <cell r="M114">
            <v>72</v>
          </cell>
          <cell r="O114">
            <v>0</v>
          </cell>
        </row>
        <row r="115">
          <cell r="D115" t="str">
            <v>D32</v>
          </cell>
          <cell r="G115">
            <v>6012</v>
          </cell>
          <cell r="J115">
            <v>46149</v>
          </cell>
          <cell r="K115">
            <v>312</v>
          </cell>
          <cell r="M115">
            <v>42</v>
          </cell>
          <cell r="O115">
            <v>7</v>
          </cell>
        </row>
        <row r="116">
          <cell r="D116" t="str">
            <v>D33</v>
          </cell>
          <cell r="G116">
            <v>5037</v>
          </cell>
          <cell r="J116">
            <v>46149</v>
          </cell>
          <cell r="K116">
            <v>523</v>
          </cell>
          <cell r="M116">
            <v>53</v>
          </cell>
          <cell r="O116">
            <v>3</v>
          </cell>
        </row>
        <row r="117">
          <cell r="D117" t="str">
            <v>D34</v>
          </cell>
          <cell r="G117">
            <v>4773</v>
          </cell>
          <cell r="J117">
            <v>46149</v>
          </cell>
          <cell r="K117">
            <v>524</v>
          </cell>
          <cell r="M117">
            <v>190</v>
          </cell>
          <cell r="O117">
            <v>20</v>
          </cell>
        </row>
        <row r="118">
          <cell r="D118" t="str">
            <v>D35</v>
          </cell>
          <cell r="G118">
            <v>4364</v>
          </cell>
          <cell r="J118">
            <v>46151</v>
          </cell>
          <cell r="K118">
            <v>411</v>
          </cell>
          <cell r="M118">
            <v>179</v>
          </cell>
          <cell r="O118">
            <v>56</v>
          </cell>
        </row>
        <row r="119">
          <cell r="D119" t="str">
            <v>D36</v>
          </cell>
          <cell r="G119">
            <v>5502</v>
          </cell>
          <cell r="J119">
            <v>46151</v>
          </cell>
          <cell r="K119">
            <v>642</v>
          </cell>
          <cell r="M119">
            <v>69</v>
          </cell>
          <cell r="O119">
            <v>69</v>
          </cell>
        </row>
        <row r="120">
          <cell r="D120" t="str">
            <v>D37</v>
          </cell>
          <cell r="G120">
            <v>3854</v>
          </cell>
          <cell r="J120">
            <v>46150</v>
          </cell>
          <cell r="K120">
            <v>123</v>
          </cell>
          <cell r="M120">
            <v>67</v>
          </cell>
          <cell r="O120">
            <v>4</v>
          </cell>
        </row>
        <row r="121">
          <cell r="D121" t="str">
            <v>K32</v>
          </cell>
          <cell r="G121">
            <v>2298</v>
          </cell>
          <cell r="J121">
            <v>46154</v>
          </cell>
          <cell r="K121">
            <v>123</v>
          </cell>
          <cell r="M121">
            <v>17</v>
          </cell>
          <cell r="O121">
            <v>5</v>
          </cell>
        </row>
        <row r="122">
          <cell r="D122" t="str">
            <v>A35</v>
          </cell>
          <cell r="G122">
            <v>1765</v>
          </cell>
          <cell r="J122">
            <v>46154</v>
          </cell>
          <cell r="K122">
            <v>183</v>
          </cell>
          <cell r="M122">
            <v>40</v>
          </cell>
          <cell r="O122">
            <v>0</v>
          </cell>
        </row>
        <row r="123">
          <cell r="D123" t="str">
            <v>A36</v>
          </cell>
          <cell r="G123">
            <v>2634</v>
          </cell>
          <cell r="J123">
            <v>46154</v>
          </cell>
          <cell r="K123">
            <v>259</v>
          </cell>
          <cell r="M123">
            <v>13</v>
          </cell>
          <cell r="O123">
            <v>0</v>
          </cell>
        </row>
        <row r="124">
          <cell r="D124" t="str">
            <v>B35</v>
          </cell>
          <cell r="G124">
            <v>6798</v>
          </cell>
          <cell r="J124">
            <v>46154</v>
          </cell>
          <cell r="K124">
            <v>700</v>
          </cell>
          <cell r="M124">
            <v>65</v>
          </cell>
          <cell r="O124">
            <v>42</v>
          </cell>
        </row>
        <row r="125">
          <cell r="D125" t="str">
            <v>B36</v>
          </cell>
          <cell r="G125">
            <v>7170</v>
          </cell>
          <cell r="J125">
            <v>46153</v>
          </cell>
          <cell r="K125">
            <v>771</v>
          </cell>
          <cell r="M125">
            <v>75</v>
          </cell>
          <cell r="O125">
            <v>2</v>
          </cell>
        </row>
        <row r="126">
          <cell r="D126" t="str">
            <v>C35</v>
          </cell>
          <cell r="G126">
            <v>7020</v>
          </cell>
          <cell r="J126">
            <v>46151</v>
          </cell>
          <cell r="K126">
            <v>572</v>
          </cell>
          <cell r="M126">
            <v>114</v>
          </cell>
          <cell r="O126">
            <v>2</v>
          </cell>
        </row>
        <row r="127">
          <cell r="D127" t="str">
            <v>C36</v>
          </cell>
          <cell r="G127">
            <v>6381</v>
          </cell>
          <cell r="J127">
            <v>46151</v>
          </cell>
          <cell r="K127">
            <v>560</v>
          </cell>
          <cell r="M127">
            <v>71</v>
          </cell>
          <cell r="O127">
            <v>0</v>
          </cell>
        </row>
        <row r="128">
          <cell r="D128" t="str">
            <v>K36</v>
          </cell>
          <cell r="G128">
            <v>1797</v>
          </cell>
          <cell r="J128">
            <v>46153</v>
          </cell>
          <cell r="K128">
            <v>126</v>
          </cell>
          <cell r="M128">
            <v>20</v>
          </cell>
          <cell r="O128">
            <v>0</v>
          </cell>
        </row>
        <row r="129">
          <cell r="D129" t="str">
            <v>K37</v>
          </cell>
          <cell r="G129">
            <v>1764</v>
          </cell>
          <cell r="J129">
            <v>46154</v>
          </cell>
          <cell r="K129">
            <v>154</v>
          </cell>
          <cell r="M129">
            <v>22</v>
          </cell>
          <cell r="O129">
            <v>0</v>
          </cell>
        </row>
        <row r="130">
          <cell r="D130"/>
          <cell r="G130">
            <v>102288</v>
          </cell>
          <cell r="J130"/>
          <cell r="K130">
            <v>9748</v>
          </cell>
          <cell r="M130">
            <v>1412</v>
          </cell>
          <cell r="O130">
            <v>275</v>
          </cell>
        </row>
        <row r="131">
          <cell r="D131" t="str">
            <v>A37</v>
          </cell>
          <cell r="G131">
            <v>1989</v>
          </cell>
          <cell r="J131">
            <v>46153</v>
          </cell>
          <cell r="K131">
            <v>200</v>
          </cell>
          <cell r="M131">
            <v>25</v>
          </cell>
          <cell r="O131">
            <v>48</v>
          </cell>
        </row>
        <row r="132">
          <cell r="D132" t="str">
            <v>A38</v>
          </cell>
          <cell r="G132">
            <v>3418</v>
          </cell>
          <cell r="J132">
            <v>46153</v>
          </cell>
          <cell r="K132">
            <v>317</v>
          </cell>
          <cell r="M132">
            <v>38</v>
          </cell>
          <cell r="O132">
            <v>19</v>
          </cell>
        </row>
        <row r="133">
          <cell r="D133" t="str">
            <v>A39</v>
          </cell>
          <cell r="G133">
            <v>3016</v>
          </cell>
          <cell r="J133">
            <v>46154</v>
          </cell>
          <cell r="K133">
            <v>308</v>
          </cell>
          <cell r="M133">
            <v>24</v>
          </cell>
          <cell r="O133">
            <v>143</v>
          </cell>
        </row>
        <row r="134">
          <cell r="D134" t="str">
            <v>A40</v>
          </cell>
          <cell r="G134">
            <v>1633</v>
          </cell>
          <cell r="J134">
            <v>46153</v>
          </cell>
          <cell r="K134">
            <v>170</v>
          </cell>
          <cell r="M134">
            <v>42</v>
          </cell>
          <cell r="O134">
            <v>34</v>
          </cell>
        </row>
        <row r="135">
          <cell r="D135" t="str">
            <v>B37</v>
          </cell>
          <cell r="G135">
            <v>5977</v>
          </cell>
          <cell r="J135">
            <v>46154</v>
          </cell>
          <cell r="K135">
            <v>512</v>
          </cell>
          <cell r="M135">
            <v>77</v>
          </cell>
          <cell r="O135">
            <v>43</v>
          </cell>
        </row>
        <row r="136">
          <cell r="D136" t="str">
            <v>B38</v>
          </cell>
          <cell r="G136">
            <v>7829</v>
          </cell>
          <cell r="J136">
            <v>46151</v>
          </cell>
          <cell r="K136">
            <v>514</v>
          </cell>
          <cell r="M136">
            <v>142</v>
          </cell>
          <cell r="O136">
            <v>71</v>
          </cell>
        </row>
        <row r="137">
          <cell r="D137" t="str">
            <v>B39</v>
          </cell>
          <cell r="G137">
            <v>6691</v>
          </cell>
          <cell r="J137">
            <v>46153</v>
          </cell>
          <cell r="K137">
            <v>708</v>
          </cell>
          <cell r="M137">
            <v>89</v>
          </cell>
          <cell r="O137">
            <v>37</v>
          </cell>
        </row>
        <row r="138">
          <cell r="D138" t="str">
            <v>B40</v>
          </cell>
          <cell r="G138">
            <v>5554</v>
          </cell>
          <cell r="J138">
            <v>46154</v>
          </cell>
          <cell r="K138">
            <v>565</v>
          </cell>
          <cell r="M138">
            <v>30</v>
          </cell>
          <cell r="O138">
            <v>11</v>
          </cell>
        </row>
        <row r="139">
          <cell r="D139" t="str">
            <v>C37</v>
          </cell>
          <cell r="G139">
            <v>5990</v>
          </cell>
          <cell r="J139">
            <v>46149</v>
          </cell>
          <cell r="K139">
            <v>921</v>
          </cell>
          <cell r="M139">
            <v>103</v>
          </cell>
          <cell r="O139">
            <v>141</v>
          </cell>
        </row>
        <row r="140">
          <cell r="D140" t="str">
            <v>C38</v>
          </cell>
          <cell r="G140">
            <v>6497</v>
          </cell>
          <cell r="J140">
            <v>46149</v>
          </cell>
          <cell r="K140">
            <v>644</v>
          </cell>
          <cell r="M140">
            <v>118</v>
          </cell>
          <cell r="O140">
            <v>118</v>
          </cell>
        </row>
        <row r="141">
          <cell r="D141" t="str">
            <v>C39</v>
          </cell>
          <cell r="G141">
            <v>7015</v>
          </cell>
          <cell r="J141">
            <v>46149</v>
          </cell>
          <cell r="K141">
            <v>671</v>
          </cell>
          <cell r="M141">
            <v>71</v>
          </cell>
          <cell r="O141">
            <v>75</v>
          </cell>
        </row>
        <row r="142">
          <cell r="D142" t="str">
            <v>C40</v>
          </cell>
          <cell r="G142">
            <v>5610</v>
          </cell>
          <cell r="J142">
            <v>46150</v>
          </cell>
          <cell r="K142">
            <v>358</v>
          </cell>
          <cell r="M142">
            <v>150</v>
          </cell>
          <cell r="O142">
            <v>104</v>
          </cell>
        </row>
        <row r="143">
          <cell r="D143" t="str">
            <v>K38</v>
          </cell>
          <cell r="G143">
            <v>3341</v>
          </cell>
          <cell r="J143">
            <v>46154</v>
          </cell>
          <cell r="K143">
            <v>261</v>
          </cell>
          <cell r="M143">
            <v>50</v>
          </cell>
          <cell r="O143">
            <v>42</v>
          </cell>
        </row>
        <row r="144">
          <cell r="D144" t="str">
            <v>K39</v>
          </cell>
          <cell r="G144">
            <v>3215</v>
          </cell>
          <cell r="J144">
            <v>46154</v>
          </cell>
          <cell r="K144">
            <v>287</v>
          </cell>
          <cell r="M144">
            <v>53</v>
          </cell>
          <cell r="O144">
            <v>10</v>
          </cell>
        </row>
        <row r="145">
          <cell r="D145" t="str">
            <v>A45</v>
          </cell>
          <cell r="G145">
            <v>993</v>
          </cell>
          <cell r="J145">
            <v>46154</v>
          </cell>
          <cell r="K145">
            <v>144</v>
          </cell>
          <cell r="M145">
            <v>12</v>
          </cell>
          <cell r="O145">
            <v>44</v>
          </cell>
        </row>
        <row r="146">
          <cell r="D146" t="str">
            <v>B41</v>
          </cell>
          <cell r="G146">
            <v>4015</v>
          </cell>
          <cell r="J146">
            <v>46151</v>
          </cell>
          <cell r="K146">
            <v>446</v>
          </cell>
          <cell r="M146">
            <v>205</v>
          </cell>
          <cell r="O146">
            <v>33</v>
          </cell>
        </row>
        <row r="147">
          <cell r="D147" t="str">
            <v>B42</v>
          </cell>
          <cell r="G147">
            <v>4011</v>
          </cell>
          <cell r="J147">
            <v>46151</v>
          </cell>
          <cell r="K147">
            <v>405</v>
          </cell>
          <cell r="M147">
            <v>66</v>
          </cell>
          <cell r="O147">
            <v>48</v>
          </cell>
        </row>
        <row r="148">
          <cell r="D148" t="str">
            <v>B43</v>
          </cell>
          <cell r="G148">
            <v>3632</v>
          </cell>
          <cell r="J148">
            <v>46151</v>
          </cell>
          <cell r="K148">
            <v>337</v>
          </cell>
          <cell r="M148">
            <v>68</v>
          </cell>
          <cell r="O148">
            <v>79</v>
          </cell>
        </row>
        <row r="149">
          <cell r="D149" t="str">
            <v>B44</v>
          </cell>
          <cell r="G149">
            <v>4004</v>
          </cell>
          <cell r="J149">
            <v>46151</v>
          </cell>
          <cell r="K149">
            <v>343</v>
          </cell>
          <cell r="M149">
            <v>34</v>
          </cell>
          <cell r="O149">
            <v>122</v>
          </cell>
        </row>
        <row r="150">
          <cell r="D150" t="str">
            <v>B45</v>
          </cell>
          <cell r="G150">
            <v>6648</v>
          </cell>
          <cell r="J150">
            <v>46154</v>
          </cell>
          <cell r="K150">
            <v>575</v>
          </cell>
          <cell r="M150">
            <v>65</v>
          </cell>
          <cell r="O150">
            <v>50</v>
          </cell>
        </row>
        <row r="151">
          <cell r="D151" t="str">
            <v>B46</v>
          </cell>
          <cell r="G151">
            <v>2646</v>
          </cell>
          <cell r="J151">
            <v>46153</v>
          </cell>
          <cell r="K151">
            <v>125</v>
          </cell>
          <cell r="M151">
            <v>11</v>
          </cell>
          <cell r="O151">
            <v>43</v>
          </cell>
        </row>
        <row r="152">
          <cell r="D152" t="str">
            <v>B47</v>
          </cell>
          <cell r="G152">
            <v>6646</v>
          </cell>
          <cell r="J152">
            <v>46154</v>
          </cell>
          <cell r="K152">
            <v>659</v>
          </cell>
          <cell r="M152">
            <v>198</v>
          </cell>
          <cell r="O152">
            <v>87</v>
          </cell>
        </row>
        <row r="153">
          <cell r="D153" t="str">
            <v>C41</v>
          </cell>
          <cell r="G153">
            <v>5741</v>
          </cell>
          <cell r="J153">
            <v>46150</v>
          </cell>
          <cell r="K153">
            <v>565</v>
          </cell>
          <cell r="M153">
            <v>85</v>
          </cell>
          <cell r="O153">
            <v>95</v>
          </cell>
        </row>
        <row r="154">
          <cell r="D154" t="str">
            <v>C42</v>
          </cell>
          <cell r="G154">
            <v>4474</v>
          </cell>
          <cell r="J154">
            <v>46150</v>
          </cell>
          <cell r="K154">
            <v>554</v>
          </cell>
          <cell r="M154">
            <v>42</v>
          </cell>
          <cell r="O154">
            <v>50</v>
          </cell>
        </row>
        <row r="155">
          <cell r="D155" t="str">
            <v>C43</v>
          </cell>
          <cell r="G155">
            <v>2761</v>
          </cell>
          <cell r="J155">
            <v>46149</v>
          </cell>
          <cell r="K155">
            <v>265</v>
          </cell>
          <cell r="M155">
            <v>44</v>
          </cell>
          <cell r="O155">
            <v>27</v>
          </cell>
        </row>
        <row r="156">
          <cell r="D156" t="str">
            <v>C44</v>
          </cell>
          <cell r="G156">
            <v>1363</v>
          </cell>
          <cell r="J156">
            <v>46150</v>
          </cell>
          <cell r="K156">
            <v>118</v>
          </cell>
          <cell r="M156">
            <v>15</v>
          </cell>
          <cell r="O156">
            <v>10</v>
          </cell>
        </row>
        <row r="157">
          <cell r="D157" t="str">
            <v>C45</v>
          </cell>
          <cell r="G157">
            <v>279</v>
          </cell>
          <cell r="J157">
            <v>46150</v>
          </cell>
          <cell r="K157">
            <v>30</v>
          </cell>
          <cell r="M157">
            <v>2</v>
          </cell>
          <cell r="O157">
            <v>3</v>
          </cell>
        </row>
        <row r="158">
          <cell r="D158" t="str">
            <v>L44</v>
          </cell>
          <cell r="G158">
            <v>706</v>
          </cell>
          <cell r="J158">
            <v>46153</v>
          </cell>
          <cell r="K158">
            <v>34</v>
          </cell>
          <cell r="M158">
            <v>13</v>
          </cell>
          <cell r="O158">
            <v>7</v>
          </cell>
        </row>
        <row r="159">
          <cell r="D159" t="str">
            <v>L45</v>
          </cell>
          <cell r="G159">
            <v>1050</v>
          </cell>
          <cell r="J159">
            <v>46153</v>
          </cell>
          <cell r="K159">
            <v>18</v>
          </cell>
          <cell r="M159">
            <v>3</v>
          </cell>
          <cell r="O159">
            <v>1</v>
          </cell>
        </row>
        <row r="160">
          <cell r="D160"/>
          <cell r="G160">
            <v>116744</v>
          </cell>
          <cell r="J160"/>
          <cell r="K160">
            <v>11054</v>
          </cell>
          <cell r="M160">
            <v>1875</v>
          </cell>
          <cell r="O160">
            <v>1595</v>
          </cell>
        </row>
        <row r="161">
          <cell r="D161" t="str">
            <v>A47</v>
          </cell>
          <cell r="G161">
            <v>2167</v>
          </cell>
          <cell r="J161">
            <v>46149</v>
          </cell>
          <cell r="K161">
            <v>247</v>
          </cell>
          <cell r="M161">
            <v>21</v>
          </cell>
          <cell r="O161">
            <v>14</v>
          </cell>
        </row>
        <row r="162">
          <cell r="D162" t="str">
            <v>A48</v>
          </cell>
          <cell r="G162">
            <v>3441</v>
          </cell>
          <cell r="J162">
            <v>46149</v>
          </cell>
          <cell r="K162">
            <v>501</v>
          </cell>
          <cell r="M162">
            <v>40</v>
          </cell>
          <cell r="O162">
            <v>49</v>
          </cell>
        </row>
        <row r="163">
          <cell r="D163" t="str">
            <v>A49</v>
          </cell>
          <cell r="G163">
            <v>2571</v>
          </cell>
          <cell r="J163">
            <v>46149</v>
          </cell>
          <cell r="K163">
            <v>323</v>
          </cell>
          <cell r="M163">
            <v>12</v>
          </cell>
          <cell r="O163">
            <v>22</v>
          </cell>
        </row>
        <row r="164">
          <cell r="D164" t="str">
            <v>A50</v>
          </cell>
          <cell r="G164">
            <v>1922</v>
          </cell>
          <cell r="J164">
            <v>46150</v>
          </cell>
          <cell r="K164">
            <v>281</v>
          </cell>
          <cell r="M164">
            <v>19</v>
          </cell>
          <cell r="O164">
            <v>47</v>
          </cell>
        </row>
        <row r="165">
          <cell r="D165" t="str">
            <v>B48</v>
          </cell>
          <cell r="G165">
            <v>4953</v>
          </cell>
          <cell r="J165">
            <v>46153</v>
          </cell>
          <cell r="K165">
            <v>555</v>
          </cell>
          <cell r="M165">
            <v>4</v>
          </cell>
          <cell r="O165">
            <v>216</v>
          </cell>
        </row>
        <row r="166">
          <cell r="D166" t="str">
            <v>B49</v>
          </cell>
          <cell r="G166">
            <v>1733</v>
          </cell>
          <cell r="J166">
            <v>46153</v>
          </cell>
          <cell r="K166">
            <v>156</v>
          </cell>
          <cell r="M166">
            <v>2</v>
          </cell>
          <cell r="O166">
            <v>8</v>
          </cell>
        </row>
        <row r="167">
          <cell r="D167" t="str">
            <v>B50</v>
          </cell>
          <cell r="G167">
            <v>1545</v>
          </cell>
          <cell r="J167">
            <v>46150</v>
          </cell>
          <cell r="K167">
            <v>148</v>
          </cell>
          <cell r="M167">
            <v>4</v>
          </cell>
          <cell r="O167">
            <v>6</v>
          </cell>
        </row>
        <row r="168">
          <cell r="D168" t="str">
            <v>K49</v>
          </cell>
          <cell r="G168">
            <v>900</v>
          </cell>
          <cell r="J168">
            <v>46149</v>
          </cell>
          <cell r="K168">
            <v>35</v>
          </cell>
          <cell r="M168">
            <v>5</v>
          </cell>
          <cell r="O168">
            <v>2</v>
          </cell>
        </row>
        <row r="169">
          <cell r="D169" t="str">
            <v>K50</v>
          </cell>
          <cell r="G169">
            <v>866</v>
          </cell>
          <cell r="J169">
            <v>46150</v>
          </cell>
          <cell r="K169">
            <v>52</v>
          </cell>
          <cell r="M169">
            <v>2</v>
          </cell>
          <cell r="O169">
            <v>1</v>
          </cell>
        </row>
        <row r="170">
          <cell r="D170" t="str">
            <v>L47</v>
          </cell>
          <cell r="G170">
            <v>2024</v>
          </cell>
          <cell r="J170">
            <v>46149</v>
          </cell>
          <cell r="K170">
            <v>221</v>
          </cell>
          <cell r="M170">
            <v>40</v>
          </cell>
          <cell r="O170">
            <v>34</v>
          </cell>
        </row>
        <row r="171">
          <cell r="D171" t="str">
            <v>L48</v>
          </cell>
          <cell r="G171">
            <v>818</v>
          </cell>
          <cell r="J171">
            <v>46149</v>
          </cell>
          <cell r="K171">
            <v>111</v>
          </cell>
          <cell r="M171">
            <v>6</v>
          </cell>
          <cell r="O171">
            <v>15</v>
          </cell>
        </row>
        <row r="172">
          <cell r="D172" t="str">
            <v>L49</v>
          </cell>
          <cell r="G172">
            <v>1606</v>
          </cell>
          <cell r="J172">
            <v>46149</v>
          </cell>
          <cell r="K172">
            <v>216</v>
          </cell>
          <cell r="M172">
            <v>21</v>
          </cell>
          <cell r="O172">
            <v>13</v>
          </cell>
        </row>
        <row r="173">
          <cell r="D173" t="str">
            <v>L50</v>
          </cell>
          <cell r="G173">
            <v>2020</v>
          </cell>
          <cell r="J173">
            <v>46150</v>
          </cell>
          <cell r="K173">
            <v>235</v>
          </cell>
          <cell r="M173">
            <v>7</v>
          </cell>
          <cell r="O173">
            <v>2</v>
          </cell>
        </row>
        <row r="174">
          <cell r="D174" t="str">
            <v>A51</v>
          </cell>
          <cell r="G174">
            <v>2889</v>
          </cell>
          <cell r="J174">
            <v>46150</v>
          </cell>
          <cell r="K174">
            <v>308</v>
          </cell>
          <cell r="M174">
            <v>14</v>
          </cell>
          <cell r="O174">
            <v>51</v>
          </cell>
        </row>
        <row r="175">
          <cell r="D175" t="str">
            <v>A52</v>
          </cell>
          <cell r="G175">
            <v>3775</v>
          </cell>
          <cell r="J175">
            <v>46154</v>
          </cell>
          <cell r="K175">
            <v>334</v>
          </cell>
          <cell r="M175">
            <v>5</v>
          </cell>
          <cell r="O175">
            <v>107</v>
          </cell>
        </row>
        <row r="176">
          <cell r="D176" t="str">
            <v>A53</v>
          </cell>
          <cell r="G176">
            <v>4620</v>
          </cell>
          <cell r="J176">
            <v>46154</v>
          </cell>
          <cell r="K176">
            <v>357</v>
          </cell>
          <cell r="M176">
            <v>73</v>
          </cell>
          <cell r="O176">
            <v>36</v>
          </cell>
        </row>
        <row r="177">
          <cell r="D177" t="str">
            <v>A54</v>
          </cell>
          <cell r="G177">
            <v>3898</v>
          </cell>
          <cell r="J177">
            <v>46154</v>
          </cell>
          <cell r="K177">
            <v>443</v>
          </cell>
          <cell r="M177">
            <v>34</v>
          </cell>
          <cell r="O177">
            <v>17</v>
          </cell>
        </row>
        <row r="178">
          <cell r="D178" t="str">
            <v>A55</v>
          </cell>
          <cell r="G178">
            <v>3334</v>
          </cell>
          <cell r="J178">
            <v>46150</v>
          </cell>
          <cell r="K178">
            <v>370</v>
          </cell>
          <cell r="M178">
            <v>0</v>
          </cell>
          <cell r="O178">
            <v>140</v>
          </cell>
        </row>
        <row r="179">
          <cell r="D179" t="str">
            <v>B51</v>
          </cell>
          <cell r="G179">
            <v>1459</v>
          </cell>
          <cell r="J179">
            <v>46150</v>
          </cell>
          <cell r="K179">
            <v>115</v>
          </cell>
          <cell r="M179">
            <v>6</v>
          </cell>
          <cell r="O179">
            <v>5</v>
          </cell>
        </row>
        <row r="180">
          <cell r="D180" t="str">
            <v>B52</v>
          </cell>
          <cell r="G180">
            <v>1058</v>
          </cell>
          <cell r="J180">
            <v>46150</v>
          </cell>
          <cell r="K180">
            <v>84</v>
          </cell>
          <cell r="M180">
            <v>0</v>
          </cell>
          <cell r="O180">
            <v>0</v>
          </cell>
        </row>
        <row r="181">
          <cell r="D181" t="str">
            <v>B53</v>
          </cell>
          <cell r="G181">
            <v>1860</v>
          </cell>
          <cell r="J181">
            <v>46153</v>
          </cell>
          <cell r="K181">
            <v>157</v>
          </cell>
          <cell r="M181">
            <v>5</v>
          </cell>
          <cell r="O181">
            <v>1</v>
          </cell>
        </row>
        <row r="182">
          <cell r="D182" t="str">
            <v>B54</v>
          </cell>
          <cell r="G182">
            <v>2582</v>
          </cell>
          <cell r="J182">
            <v>46154</v>
          </cell>
          <cell r="K182">
            <v>252</v>
          </cell>
          <cell r="M182">
            <v>73</v>
          </cell>
          <cell r="O182">
            <v>22</v>
          </cell>
        </row>
        <row r="183">
          <cell r="D183" t="str">
            <v>B55</v>
          </cell>
          <cell r="G183">
            <v>2502</v>
          </cell>
          <cell r="J183">
            <v>46154</v>
          </cell>
          <cell r="K183">
            <v>270</v>
          </cell>
          <cell r="M183">
            <v>50</v>
          </cell>
          <cell r="O183">
            <v>29</v>
          </cell>
        </row>
        <row r="184">
          <cell r="D184" t="str">
            <v>B56</v>
          </cell>
          <cell r="G184">
            <v>2176</v>
          </cell>
          <cell r="J184">
            <v>46154</v>
          </cell>
          <cell r="K184">
            <v>226</v>
          </cell>
          <cell r="M184">
            <v>55</v>
          </cell>
          <cell r="O184">
            <v>27</v>
          </cell>
        </row>
        <row r="185">
          <cell r="D185" t="str">
            <v>B57</v>
          </cell>
          <cell r="G185">
            <v>2268</v>
          </cell>
          <cell r="J185">
            <v>46154</v>
          </cell>
          <cell r="K185">
            <v>329</v>
          </cell>
          <cell r="M185">
            <v>82</v>
          </cell>
          <cell r="O185">
            <v>23</v>
          </cell>
        </row>
        <row r="186">
          <cell r="D186" t="str">
            <v>C62</v>
          </cell>
          <cell r="G186">
            <v>806</v>
          </cell>
          <cell r="J186">
            <v>46154</v>
          </cell>
          <cell r="K186">
            <v>63</v>
          </cell>
          <cell r="M186">
            <v>28</v>
          </cell>
          <cell r="O186">
            <v>0</v>
          </cell>
        </row>
        <row r="187">
          <cell r="D187" t="str">
            <v>C63</v>
          </cell>
          <cell r="G187">
            <v>2358</v>
          </cell>
          <cell r="J187">
            <v>46154</v>
          </cell>
          <cell r="K187">
            <v>114</v>
          </cell>
          <cell r="M187">
            <v>60</v>
          </cell>
          <cell r="O187">
            <v>0</v>
          </cell>
        </row>
        <row r="188">
          <cell r="D188" t="str">
            <v>C64</v>
          </cell>
          <cell r="G188">
            <v>2815</v>
          </cell>
          <cell r="J188">
            <v>46154</v>
          </cell>
          <cell r="K188">
            <v>25</v>
          </cell>
          <cell r="M188"/>
          <cell r="O188">
            <v>3</v>
          </cell>
        </row>
        <row r="189">
          <cell r="D189" t="str">
            <v>C65</v>
          </cell>
          <cell r="G189">
            <v>2001</v>
          </cell>
          <cell r="J189">
            <v>46154</v>
          </cell>
          <cell r="K189">
            <v>52</v>
          </cell>
          <cell r="M189">
            <v>5</v>
          </cell>
          <cell r="O189">
            <v>2</v>
          </cell>
        </row>
        <row r="190">
          <cell r="D190" t="str">
            <v>K51</v>
          </cell>
          <cell r="G190">
            <v>1821</v>
          </cell>
          <cell r="J190">
            <v>46150</v>
          </cell>
          <cell r="K190">
            <v>133</v>
          </cell>
          <cell r="M190">
            <v>10</v>
          </cell>
          <cell r="O190">
            <v>2</v>
          </cell>
        </row>
        <row r="191">
          <cell r="D191" t="str">
            <v>K56</v>
          </cell>
          <cell r="G191">
            <v>2462</v>
          </cell>
          <cell r="J191">
            <v>46153</v>
          </cell>
          <cell r="K191">
            <v>158</v>
          </cell>
          <cell r="M191">
            <v>3</v>
          </cell>
          <cell r="O191">
            <v>2</v>
          </cell>
        </row>
        <row r="192">
          <cell r="D192" t="str">
            <v>K57</v>
          </cell>
          <cell r="G192">
            <v>1228</v>
          </cell>
          <cell r="J192">
            <v>46153</v>
          </cell>
          <cell r="K192">
            <v>46</v>
          </cell>
          <cell r="M192">
            <v>7</v>
          </cell>
          <cell r="O192">
            <v>1</v>
          </cell>
        </row>
        <row r="193">
          <cell r="D193" t="str">
            <v>L51</v>
          </cell>
          <cell r="G193">
            <v>391</v>
          </cell>
          <cell r="J193">
            <v>46150</v>
          </cell>
          <cell r="K193">
            <v>53</v>
          </cell>
          <cell r="M193">
            <v>3</v>
          </cell>
          <cell r="O193">
            <v>2</v>
          </cell>
        </row>
        <row r="194">
          <cell r="D194" t="str">
            <v>L52</v>
          </cell>
          <cell r="G194">
            <v>997</v>
          </cell>
          <cell r="J194">
            <v>46150</v>
          </cell>
          <cell r="K194">
            <v>99</v>
          </cell>
          <cell r="M194">
            <v>3</v>
          </cell>
          <cell r="O194">
            <v>1</v>
          </cell>
        </row>
        <row r="195">
          <cell r="D195" t="str">
            <v>L53</v>
          </cell>
          <cell r="G195">
            <v>1280</v>
          </cell>
          <cell r="J195">
            <v>46151</v>
          </cell>
          <cell r="K195">
            <v>131</v>
          </cell>
          <cell r="M195">
            <v>4</v>
          </cell>
        </row>
        <row r="196">
          <cell r="D196" t="str">
            <v>L54</v>
          </cell>
          <cell r="G196">
            <v>1745</v>
          </cell>
          <cell r="J196">
            <v>46151</v>
          </cell>
          <cell r="K196">
            <v>152</v>
          </cell>
          <cell r="M196">
            <v>3</v>
          </cell>
          <cell r="O196">
            <v>1</v>
          </cell>
        </row>
        <row r="197">
          <cell r="D197" t="str">
            <v>L59</v>
          </cell>
          <cell r="G197">
            <v>1911</v>
          </cell>
          <cell r="J197">
            <v>46150</v>
          </cell>
          <cell r="K197">
            <v>182</v>
          </cell>
          <cell r="M197">
            <v>12</v>
          </cell>
          <cell r="O197">
            <v>3</v>
          </cell>
        </row>
        <row r="198">
          <cell r="D198" t="str">
            <v>L60</v>
          </cell>
          <cell r="G198">
            <v>1048</v>
          </cell>
          <cell r="J198">
            <v>46151</v>
          </cell>
          <cell r="K198">
            <v>136</v>
          </cell>
          <cell r="M198">
            <v>3</v>
          </cell>
        </row>
        <row r="199">
          <cell r="D199"/>
          <cell r="G199">
            <v>79850</v>
          </cell>
          <cell r="J199"/>
          <cell r="K199">
            <v>7670</v>
          </cell>
          <cell r="M199">
            <v>721</v>
          </cell>
          <cell r="O199">
            <v>904</v>
          </cell>
        </row>
        <row r="200">
          <cell r="D200"/>
          <cell r="G200">
            <v>298882</v>
          </cell>
          <cell r="J200"/>
          <cell r="K200"/>
          <cell r="M200"/>
        </row>
        <row r="201">
          <cell r="D201"/>
          <cell r="G201">
            <v>630820</v>
          </cell>
          <cell r="J201"/>
          <cell r="K201"/>
          <cell r="M201"/>
        </row>
        <row r="202">
          <cell r="D202" t="str">
            <v>D52</v>
          </cell>
          <cell r="G202">
            <v>5401</v>
          </cell>
          <cell r="J202">
            <v>46149</v>
          </cell>
          <cell r="K202">
            <v>606</v>
          </cell>
          <cell r="M202">
            <v>39</v>
          </cell>
          <cell r="O202">
            <v>306</v>
          </cell>
        </row>
        <row r="203">
          <cell r="D203" t="str">
            <v>D53</v>
          </cell>
          <cell r="G203">
            <v>4726</v>
          </cell>
          <cell r="J203">
            <v>46150</v>
          </cell>
          <cell r="K203">
            <v>507</v>
          </cell>
          <cell r="M203">
            <v>93</v>
          </cell>
          <cell r="O203">
            <v>82</v>
          </cell>
        </row>
        <row r="204">
          <cell r="D204" t="str">
            <v>D54</v>
          </cell>
          <cell r="G204">
            <v>5905</v>
          </cell>
          <cell r="J204">
            <v>46149</v>
          </cell>
          <cell r="K204">
            <v>574</v>
          </cell>
          <cell r="M204">
            <v>86</v>
          </cell>
          <cell r="O204">
            <v>57</v>
          </cell>
        </row>
        <row r="205">
          <cell r="D205" t="str">
            <v>E52</v>
          </cell>
          <cell r="G205">
            <v>4766</v>
          </cell>
          <cell r="J205">
            <v>46149</v>
          </cell>
          <cell r="K205">
            <v>341</v>
          </cell>
          <cell r="M205">
            <v>66</v>
          </cell>
          <cell r="O205">
            <v>68</v>
          </cell>
        </row>
        <row r="206">
          <cell r="D206" t="str">
            <v>E53</v>
          </cell>
          <cell r="G206">
            <v>4554</v>
          </cell>
          <cell r="J206">
            <v>46155</v>
          </cell>
          <cell r="K206">
            <v>183</v>
          </cell>
          <cell r="M206">
            <v>124</v>
          </cell>
          <cell r="O206">
            <v>17</v>
          </cell>
        </row>
        <row r="207">
          <cell r="D207" t="str">
            <v>E54</v>
          </cell>
          <cell r="G207">
            <v>5828</v>
          </cell>
          <cell r="J207">
            <v>46153</v>
          </cell>
          <cell r="K207">
            <v>67</v>
          </cell>
          <cell r="M207">
            <v>63</v>
          </cell>
          <cell r="O207">
            <v>0</v>
          </cell>
        </row>
        <row r="208">
          <cell r="D208" t="str">
            <v>F53</v>
          </cell>
          <cell r="G208">
            <v>5188</v>
          </cell>
          <cell r="J208">
            <v>46151</v>
          </cell>
          <cell r="K208">
            <v>396</v>
          </cell>
          <cell r="M208">
            <v>90</v>
          </cell>
          <cell r="O208">
            <v>45</v>
          </cell>
        </row>
        <row r="209">
          <cell r="D209" t="str">
            <v>F54</v>
          </cell>
          <cell r="G209">
            <v>4805</v>
          </cell>
          <cell r="J209">
            <v>46149</v>
          </cell>
          <cell r="K209">
            <v>574</v>
          </cell>
          <cell r="M209">
            <v>86</v>
          </cell>
          <cell r="O209">
            <v>57</v>
          </cell>
        </row>
        <row r="210">
          <cell r="D210" t="str">
            <v>D55</v>
          </cell>
          <cell r="G210">
            <v>5244</v>
          </cell>
          <cell r="J210">
            <v>46149</v>
          </cell>
          <cell r="K210">
            <v>541</v>
          </cell>
          <cell r="M210">
            <v>69</v>
          </cell>
          <cell r="O210">
            <v>1</v>
          </cell>
        </row>
        <row r="211">
          <cell r="D211" t="str">
            <v>D56</v>
          </cell>
          <cell r="G211">
            <v>5434</v>
          </cell>
          <cell r="J211">
            <v>46150</v>
          </cell>
          <cell r="K211">
            <v>669</v>
          </cell>
          <cell r="M211">
            <v>91</v>
          </cell>
          <cell r="O211">
            <v>108</v>
          </cell>
        </row>
        <row r="212">
          <cell r="D212" t="str">
            <v>D57</v>
          </cell>
          <cell r="G212">
            <v>4156</v>
          </cell>
          <cell r="J212">
            <v>46150</v>
          </cell>
          <cell r="K212">
            <v>310</v>
          </cell>
          <cell r="M212">
            <v>29</v>
          </cell>
          <cell r="O212">
            <v>27</v>
          </cell>
        </row>
        <row r="213">
          <cell r="D213" t="str">
            <v>D58</v>
          </cell>
          <cell r="G213">
            <v>9116</v>
          </cell>
          <cell r="J213">
            <v>46150</v>
          </cell>
          <cell r="K213">
            <v>628</v>
          </cell>
          <cell r="M213">
            <v>110</v>
          </cell>
          <cell r="O213">
            <v>162</v>
          </cell>
        </row>
        <row r="214">
          <cell r="D214" t="str">
            <v>D59</v>
          </cell>
          <cell r="G214">
            <v>3511</v>
          </cell>
          <cell r="J214">
            <v>46157</v>
          </cell>
          <cell r="K214">
            <v>146</v>
          </cell>
          <cell r="M214">
            <v>15</v>
          </cell>
          <cell r="O214">
            <v>18</v>
          </cell>
        </row>
        <row r="215">
          <cell r="D215" t="str">
            <v>D60</v>
          </cell>
          <cell r="G215">
            <v>1144</v>
          </cell>
          <cell r="J215">
            <v>46157</v>
          </cell>
          <cell r="K215">
            <v>109</v>
          </cell>
          <cell r="M215">
            <v>1</v>
          </cell>
          <cell r="O215">
            <v>10</v>
          </cell>
        </row>
        <row r="216">
          <cell r="D216" t="str">
            <v>D61</v>
          </cell>
          <cell r="G216">
            <v>1178</v>
          </cell>
          <cell r="J216">
            <v>46157</v>
          </cell>
          <cell r="K216">
            <v>111</v>
          </cell>
          <cell r="M216">
            <v>15</v>
          </cell>
          <cell r="O216">
            <v>2</v>
          </cell>
        </row>
        <row r="217">
          <cell r="D217" t="str">
            <v>D62</v>
          </cell>
          <cell r="G217">
            <v>1325</v>
          </cell>
          <cell r="J217">
            <v>46157</v>
          </cell>
          <cell r="K217">
            <v>123</v>
          </cell>
          <cell r="M217">
            <v>4</v>
          </cell>
          <cell r="O217">
            <v>7</v>
          </cell>
        </row>
        <row r="218">
          <cell r="D218" t="str">
            <v>D63</v>
          </cell>
          <cell r="G218">
            <v>1472</v>
          </cell>
          <cell r="J218">
            <v>46157</v>
          </cell>
          <cell r="K218">
            <v>130</v>
          </cell>
          <cell r="M218">
            <v>4</v>
          </cell>
          <cell r="O218">
            <v>10</v>
          </cell>
        </row>
        <row r="219">
          <cell r="D219" t="str">
            <v>D64</v>
          </cell>
          <cell r="G219">
            <v>754</v>
          </cell>
          <cell r="J219">
            <v>46157</v>
          </cell>
          <cell r="K219">
            <v>123</v>
          </cell>
          <cell r="M219">
            <v>6</v>
          </cell>
          <cell r="O219">
            <v>17</v>
          </cell>
        </row>
        <row r="220">
          <cell r="D220" t="str">
            <v>D65</v>
          </cell>
          <cell r="G220">
            <v>642</v>
          </cell>
          <cell r="J220">
            <v>46157</v>
          </cell>
          <cell r="K220">
            <v>31</v>
          </cell>
          <cell r="M220">
            <v>2</v>
          </cell>
          <cell r="O220">
            <v>3</v>
          </cell>
        </row>
        <row r="221">
          <cell r="D221" t="str">
            <v>E55</v>
          </cell>
          <cell r="G221">
            <v>5067</v>
          </cell>
          <cell r="J221">
            <v>46151</v>
          </cell>
          <cell r="K221">
            <v>405</v>
          </cell>
          <cell r="M221">
            <v>79</v>
          </cell>
          <cell r="O221">
            <v>97</v>
          </cell>
        </row>
        <row r="222">
          <cell r="D222" t="str">
            <v>E56</v>
          </cell>
          <cell r="G222">
            <v>5315</v>
          </cell>
          <cell r="J222">
            <v>46151</v>
          </cell>
          <cell r="K222">
            <v>540</v>
          </cell>
          <cell r="M222">
            <v>44</v>
          </cell>
          <cell r="O222">
            <v>113</v>
          </cell>
        </row>
        <row r="223">
          <cell r="D223" t="str">
            <v>E57</v>
          </cell>
          <cell r="G223">
            <v>4895</v>
          </cell>
          <cell r="J223">
            <v>46154</v>
          </cell>
          <cell r="K223">
            <v>499</v>
          </cell>
          <cell r="M223">
            <v>86</v>
          </cell>
          <cell r="O223">
            <v>66</v>
          </cell>
        </row>
        <row r="224">
          <cell r="D224" t="str">
            <v>E58</v>
          </cell>
          <cell r="G224">
            <v>4335</v>
          </cell>
          <cell r="J224">
            <v>46154</v>
          </cell>
          <cell r="K224">
            <v>502</v>
          </cell>
          <cell r="M224">
            <v>18</v>
          </cell>
          <cell r="O224">
            <v>37</v>
          </cell>
        </row>
        <row r="225">
          <cell r="D225" t="str">
            <v>E59</v>
          </cell>
          <cell r="G225">
            <v>5020</v>
          </cell>
          <cell r="J225">
            <v>46154</v>
          </cell>
          <cell r="K225">
            <v>512</v>
          </cell>
          <cell r="M225">
            <v>69</v>
          </cell>
          <cell r="O225">
            <v>72</v>
          </cell>
        </row>
        <row r="226">
          <cell r="D226" t="str">
            <v>E60</v>
          </cell>
          <cell r="G226">
            <v>4629</v>
          </cell>
          <cell r="J226">
            <v>46153</v>
          </cell>
          <cell r="K226">
            <v>444</v>
          </cell>
          <cell r="M226">
            <v>66</v>
          </cell>
          <cell r="O226">
            <v>82</v>
          </cell>
        </row>
        <row r="227">
          <cell r="D227" t="str">
            <v>E61</v>
          </cell>
          <cell r="G227">
            <v>3637</v>
          </cell>
          <cell r="J227">
            <v>46153</v>
          </cell>
          <cell r="K227">
            <v>362</v>
          </cell>
          <cell r="M227">
            <v>21</v>
          </cell>
          <cell r="O227">
            <v>10</v>
          </cell>
        </row>
        <row r="228">
          <cell r="D228" t="str">
            <v>E62</v>
          </cell>
          <cell r="G228">
            <v>1717</v>
          </cell>
          <cell r="J228">
            <v>46153</v>
          </cell>
          <cell r="K228">
            <v>135</v>
          </cell>
          <cell r="M228">
            <v>11</v>
          </cell>
          <cell r="O228">
            <v>7</v>
          </cell>
        </row>
        <row r="229">
          <cell r="D229" t="str">
            <v>E63</v>
          </cell>
          <cell r="G229">
            <v>1414</v>
          </cell>
          <cell r="J229">
            <v>46153</v>
          </cell>
          <cell r="K229">
            <v>132</v>
          </cell>
          <cell r="M229">
            <v>11</v>
          </cell>
          <cell r="O229">
            <v>9</v>
          </cell>
        </row>
        <row r="230">
          <cell r="D230" t="str">
            <v>E64</v>
          </cell>
          <cell r="G230">
            <v>321</v>
          </cell>
          <cell r="J230">
            <v>46153</v>
          </cell>
          <cell r="K230">
            <v>43</v>
          </cell>
          <cell r="M230">
            <v>3</v>
          </cell>
          <cell r="O230">
            <v>1</v>
          </cell>
        </row>
        <row r="231">
          <cell r="D231" t="str">
            <v>F55</v>
          </cell>
          <cell r="G231">
            <v>3527</v>
          </cell>
          <cell r="J231">
            <v>46151</v>
          </cell>
          <cell r="K231">
            <v>405</v>
          </cell>
          <cell r="M231">
            <v>79</v>
          </cell>
          <cell r="O231">
            <v>97</v>
          </cell>
        </row>
        <row r="232">
          <cell r="D232" t="str">
            <v>F56</v>
          </cell>
          <cell r="G232">
            <v>3057</v>
          </cell>
          <cell r="J232">
            <v>46151</v>
          </cell>
          <cell r="K232">
            <v>315</v>
          </cell>
          <cell r="M232">
            <v>56</v>
          </cell>
          <cell r="O232">
            <v>17</v>
          </cell>
        </row>
        <row r="233">
          <cell r="D233" t="str">
            <v>F57</v>
          </cell>
          <cell r="G233">
            <v>2127</v>
          </cell>
          <cell r="J233">
            <v>46153</v>
          </cell>
          <cell r="K233">
            <v>153</v>
          </cell>
          <cell r="M233">
            <v>145</v>
          </cell>
          <cell r="O233">
            <v>8</v>
          </cell>
        </row>
        <row r="234">
          <cell r="D234" t="str">
            <v>F58</v>
          </cell>
          <cell r="G234">
            <v>1254</v>
          </cell>
          <cell r="J234">
            <v>46153</v>
          </cell>
          <cell r="K234">
            <v>75</v>
          </cell>
          <cell r="M234">
            <v>2</v>
          </cell>
          <cell r="O234">
            <v>28</v>
          </cell>
        </row>
        <row r="235">
          <cell r="D235" t="str">
            <v>F59</v>
          </cell>
          <cell r="G235">
            <v>376</v>
          </cell>
          <cell r="J235">
            <v>46153</v>
          </cell>
          <cell r="K235">
            <v>45</v>
          </cell>
          <cell r="M235">
            <v>3</v>
          </cell>
          <cell r="O235">
            <v>4</v>
          </cell>
        </row>
        <row r="236">
          <cell r="D236"/>
          <cell r="G236">
            <v>121840</v>
          </cell>
          <cell r="J236"/>
          <cell r="K236">
            <v>10736</v>
          </cell>
          <cell r="M236">
            <v>1686</v>
          </cell>
          <cell r="O236">
            <v>1645</v>
          </cell>
        </row>
        <row r="237">
          <cell r="D237" t="str">
            <v>G46</v>
          </cell>
          <cell r="G237">
            <v>227</v>
          </cell>
          <cell r="J237">
            <v>46149</v>
          </cell>
          <cell r="K237">
            <v>16</v>
          </cell>
          <cell r="M237">
            <v>3</v>
          </cell>
          <cell r="O237">
            <v>4</v>
          </cell>
          <cell r="Q237">
            <v>7</v>
          </cell>
        </row>
        <row r="238">
          <cell r="D238" t="str">
            <v>G47</v>
          </cell>
          <cell r="G238">
            <v>2390</v>
          </cell>
          <cell r="J238">
            <v>46149</v>
          </cell>
          <cell r="K238">
            <v>222</v>
          </cell>
          <cell r="M238">
            <v>19</v>
          </cell>
          <cell r="O238">
            <v>58</v>
          </cell>
          <cell r="Q238">
            <v>77</v>
          </cell>
        </row>
        <row r="239">
          <cell r="D239" t="str">
            <v>G48</v>
          </cell>
          <cell r="G239">
            <v>3446</v>
          </cell>
          <cell r="J239">
            <v>46149</v>
          </cell>
          <cell r="K239">
            <v>289</v>
          </cell>
          <cell r="M239">
            <v>133</v>
          </cell>
          <cell r="O239">
            <v>133</v>
          </cell>
          <cell r="Q239">
            <v>266</v>
          </cell>
        </row>
        <row r="240">
          <cell r="D240" t="str">
            <v>G49</v>
          </cell>
          <cell r="G240">
            <v>2927</v>
          </cell>
          <cell r="J240">
            <v>46151</v>
          </cell>
          <cell r="K240">
            <v>242</v>
          </cell>
          <cell r="M240">
            <v>71</v>
          </cell>
          <cell r="O240">
            <v>43</v>
          </cell>
          <cell r="Q240">
            <v>114</v>
          </cell>
        </row>
        <row r="241">
          <cell r="D241" t="str">
            <v>G50</v>
          </cell>
          <cell r="G241">
            <v>1651</v>
          </cell>
          <cell r="J241">
            <v>46151</v>
          </cell>
          <cell r="K241">
            <v>163</v>
          </cell>
          <cell r="M241">
            <v>32</v>
          </cell>
          <cell r="O241">
            <v>23</v>
          </cell>
          <cell r="Q241">
            <v>55</v>
          </cell>
        </row>
        <row r="242">
          <cell r="D242" t="str">
            <v>G51</v>
          </cell>
          <cell r="G242">
            <v>980</v>
          </cell>
          <cell r="J242">
            <v>46154</v>
          </cell>
          <cell r="K242">
            <v>119</v>
          </cell>
          <cell r="M242">
            <v>4</v>
          </cell>
          <cell r="O242">
            <v>17</v>
          </cell>
          <cell r="Q242">
            <v>21</v>
          </cell>
        </row>
        <row r="243">
          <cell r="D243" t="str">
            <v>D44</v>
          </cell>
          <cell r="G243">
            <v>877</v>
          </cell>
          <cell r="J243">
            <v>46151</v>
          </cell>
          <cell r="K243">
            <v>76</v>
          </cell>
          <cell r="M243">
            <v>10</v>
          </cell>
          <cell r="O243">
            <v>4</v>
          </cell>
          <cell r="Q243">
            <v>14</v>
          </cell>
        </row>
        <row r="244">
          <cell r="D244" t="str">
            <v>D45</v>
          </cell>
          <cell r="G244">
            <v>1861</v>
          </cell>
          <cell r="J244">
            <v>46151</v>
          </cell>
          <cell r="K244">
            <v>197</v>
          </cell>
          <cell r="M244">
            <v>83</v>
          </cell>
          <cell r="O244">
            <v>15</v>
          </cell>
          <cell r="Q244">
            <v>98</v>
          </cell>
        </row>
        <row r="245">
          <cell r="D245" t="str">
            <v>D46</v>
          </cell>
          <cell r="G245">
            <v>1841</v>
          </cell>
          <cell r="J245">
            <v>46151</v>
          </cell>
          <cell r="K245">
            <v>165</v>
          </cell>
          <cell r="M245">
            <v>78</v>
          </cell>
          <cell r="O245">
            <v>11</v>
          </cell>
          <cell r="Q245">
            <v>89</v>
          </cell>
        </row>
        <row r="246">
          <cell r="D246" t="str">
            <v>D47</v>
          </cell>
          <cell r="G246">
            <v>1510</v>
          </cell>
          <cell r="J246">
            <v>46151</v>
          </cell>
          <cell r="K246">
            <v>99</v>
          </cell>
          <cell r="M246">
            <v>14</v>
          </cell>
          <cell r="O246">
            <v>13</v>
          </cell>
          <cell r="Q246">
            <v>27</v>
          </cell>
        </row>
        <row r="247">
          <cell r="D247" t="str">
            <v>E44</v>
          </cell>
          <cell r="G247">
            <v>3481</v>
          </cell>
          <cell r="J247">
            <v>46150</v>
          </cell>
          <cell r="K247">
            <v>341</v>
          </cell>
          <cell r="M247">
            <v>45</v>
          </cell>
          <cell r="O247">
            <v>111</v>
          </cell>
          <cell r="Q247">
            <v>156</v>
          </cell>
        </row>
        <row r="248">
          <cell r="D248" t="str">
            <v>E45</v>
          </cell>
          <cell r="G248">
            <v>4992</v>
          </cell>
          <cell r="J248">
            <v>46154</v>
          </cell>
          <cell r="K248">
            <v>483</v>
          </cell>
          <cell r="M248">
            <v>113</v>
          </cell>
          <cell r="O248">
            <v>58</v>
          </cell>
          <cell r="Q248">
            <v>171</v>
          </cell>
        </row>
        <row r="249">
          <cell r="D249" t="str">
            <v>E46</v>
          </cell>
          <cell r="G249">
            <v>4968</v>
          </cell>
          <cell r="J249">
            <v>46154</v>
          </cell>
          <cell r="K249">
            <v>373</v>
          </cell>
          <cell r="M249">
            <v>64</v>
          </cell>
          <cell r="O249">
            <v>66</v>
          </cell>
          <cell r="Q249">
            <v>130</v>
          </cell>
        </row>
        <row r="250">
          <cell r="D250" t="str">
            <v>E47</v>
          </cell>
          <cell r="G250">
            <v>5305</v>
          </cell>
          <cell r="J250">
            <v>46151</v>
          </cell>
          <cell r="K250">
            <v>432</v>
          </cell>
          <cell r="M250">
            <v>164</v>
          </cell>
          <cell r="O250">
            <v>59</v>
          </cell>
          <cell r="Q250">
            <v>223</v>
          </cell>
        </row>
        <row r="251">
          <cell r="D251" t="str">
            <v>F44</v>
          </cell>
          <cell r="G251">
            <v>5743</v>
          </cell>
          <cell r="J251">
            <v>46150</v>
          </cell>
          <cell r="K251">
            <v>580</v>
          </cell>
          <cell r="M251">
            <v>67</v>
          </cell>
          <cell r="O251">
            <v>76</v>
          </cell>
          <cell r="Q251">
            <v>143</v>
          </cell>
        </row>
        <row r="252">
          <cell r="D252" t="str">
            <v>F45</v>
          </cell>
          <cell r="G252">
            <v>6795</v>
          </cell>
          <cell r="J252">
            <v>46150</v>
          </cell>
          <cell r="K252">
            <v>682</v>
          </cell>
          <cell r="M252">
            <v>48</v>
          </cell>
          <cell r="O252">
            <v>61</v>
          </cell>
          <cell r="Q252">
            <v>109</v>
          </cell>
        </row>
        <row r="253">
          <cell r="D253" t="str">
            <v>F46</v>
          </cell>
          <cell r="G253">
            <v>6388</v>
          </cell>
          <cell r="J253">
            <v>46150</v>
          </cell>
          <cell r="K253">
            <v>671</v>
          </cell>
          <cell r="M253">
            <v>208</v>
          </cell>
          <cell r="O253">
            <v>205</v>
          </cell>
          <cell r="Q253">
            <v>413</v>
          </cell>
        </row>
        <row r="254">
          <cell r="D254" t="str">
            <v>F47</v>
          </cell>
          <cell r="G254">
            <v>5375</v>
          </cell>
          <cell r="J254">
            <v>46151</v>
          </cell>
          <cell r="K254">
            <v>534</v>
          </cell>
          <cell r="M254">
            <v>26</v>
          </cell>
          <cell r="O254">
            <v>47</v>
          </cell>
          <cell r="Q254">
            <v>73</v>
          </cell>
        </row>
        <row r="255">
          <cell r="D255" t="str">
            <v>D48</v>
          </cell>
          <cell r="G255">
            <v>1398</v>
          </cell>
          <cell r="J255">
            <v>46151</v>
          </cell>
          <cell r="K255">
            <v>66</v>
          </cell>
          <cell r="M255">
            <v>16</v>
          </cell>
          <cell r="O255">
            <v>50</v>
          </cell>
          <cell r="Q255">
            <v>66</v>
          </cell>
        </row>
        <row r="256">
          <cell r="D256" t="str">
            <v>D49</v>
          </cell>
          <cell r="G256">
            <v>1970</v>
          </cell>
          <cell r="J256">
            <v>46151</v>
          </cell>
          <cell r="K256">
            <v>209</v>
          </cell>
          <cell r="M256">
            <v>37</v>
          </cell>
          <cell r="O256">
            <v>78</v>
          </cell>
          <cell r="Q256">
            <v>115</v>
          </cell>
        </row>
        <row r="257">
          <cell r="D257" t="str">
            <v>D50</v>
          </cell>
          <cell r="G257">
            <v>3901</v>
          </cell>
          <cell r="J257">
            <v>46150</v>
          </cell>
          <cell r="K257">
            <v>314</v>
          </cell>
          <cell r="M257">
            <v>145</v>
          </cell>
          <cell r="O257">
            <v>57</v>
          </cell>
          <cell r="Q257">
            <v>202</v>
          </cell>
        </row>
        <row r="258">
          <cell r="D258" t="str">
            <v>D51</v>
          </cell>
          <cell r="G258">
            <v>4910</v>
          </cell>
          <cell r="J258">
            <v>46151</v>
          </cell>
          <cell r="K258">
            <v>504</v>
          </cell>
          <cell r="M258">
            <v>87</v>
          </cell>
          <cell r="O258">
            <v>29</v>
          </cell>
          <cell r="Q258">
            <v>116</v>
          </cell>
        </row>
        <row r="259">
          <cell r="D259" t="str">
            <v>E48</v>
          </cell>
          <cell r="G259">
            <v>4915</v>
          </cell>
          <cell r="J259">
            <v>46150</v>
          </cell>
          <cell r="K259">
            <v>345</v>
          </cell>
          <cell r="M259">
            <v>89</v>
          </cell>
          <cell r="O259">
            <v>47</v>
          </cell>
          <cell r="Q259">
            <v>136</v>
          </cell>
        </row>
        <row r="260">
          <cell r="D260" t="str">
            <v>E49</v>
          </cell>
          <cell r="G260">
            <v>5791</v>
          </cell>
          <cell r="J260">
            <v>46154</v>
          </cell>
          <cell r="K260">
            <v>783</v>
          </cell>
          <cell r="M260">
            <v>176</v>
          </cell>
          <cell r="O260">
            <v>96</v>
          </cell>
          <cell r="Q260">
            <v>272</v>
          </cell>
        </row>
        <row r="261">
          <cell r="D261" t="str">
            <v>E50</v>
          </cell>
          <cell r="G261">
            <v>5390</v>
          </cell>
          <cell r="J261">
            <v>46153</v>
          </cell>
          <cell r="K261">
            <v>552</v>
          </cell>
          <cell r="M261">
            <v>30</v>
          </cell>
          <cell r="O261">
            <v>14</v>
          </cell>
          <cell r="Q261">
            <v>44</v>
          </cell>
        </row>
        <row r="262">
          <cell r="D262" t="str">
            <v>E51</v>
          </cell>
          <cell r="G262">
            <v>5175</v>
          </cell>
          <cell r="J262">
            <v>46154</v>
          </cell>
          <cell r="K262">
            <v>306</v>
          </cell>
          <cell r="M262">
            <v>56</v>
          </cell>
          <cell r="O262">
            <v>31</v>
          </cell>
          <cell r="Q262">
            <v>225</v>
          </cell>
        </row>
        <row r="263">
          <cell r="D263" t="str">
            <v>F48</v>
          </cell>
          <cell r="G263">
            <v>4603</v>
          </cell>
          <cell r="J263">
            <v>46154</v>
          </cell>
          <cell r="K263">
            <v>451</v>
          </cell>
          <cell r="M263">
            <v>101</v>
          </cell>
          <cell r="O263">
            <v>124</v>
          </cell>
          <cell r="Q263">
            <v>225</v>
          </cell>
        </row>
        <row r="264">
          <cell r="D264" t="str">
            <v>F49</v>
          </cell>
          <cell r="G264">
            <v>5832</v>
          </cell>
          <cell r="J264">
            <v>46149</v>
          </cell>
          <cell r="K264">
            <v>549</v>
          </cell>
          <cell r="M264">
            <v>33</v>
          </cell>
          <cell r="O264">
            <v>99</v>
          </cell>
          <cell r="Q264">
            <v>132</v>
          </cell>
        </row>
        <row r="265">
          <cell r="D265" t="str">
            <v>F50</v>
          </cell>
          <cell r="G265">
            <v>6865</v>
          </cell>
          <cell r="J265">
            <v>46149</v>
          </cell>
          <cell r="K265">
            <v>718</v>
          </cell>
          <cell r="M265">
            <v>143</v>
          </cell>
          <cell r="O265">
            <v>213</v>
          </cell>
          <cell r="Q265">
            <v>356</v>
          </cell>
        </row>
        <row r="266">
          <cell r="D266" t="str">
            <v>F51</v>
          </cell>
          <cell r="G266">
            <v>6679</v>
          </cell>
          <cell r="J266">
            <v>46149</v>
          </cell>
          <cell r="K266">
            <v>696</v>
          </cell>
          <cell r="M266">
            <v>107</v>
          </cell>
          <cell r="O266">
            <v>144</v>
          </cell>
          <cell r="Q266">
            <v>251</v>
          </cell>
        </row>
        <row r="267">
          <cell r="D267" t="str">
            <v>F52</v>
          </cell>
          <cell r="G267">
            <v>6269</v>
          </cell>
          <cell r="J267">
            <v>46149</v>
          </cell>
          <cell r="K267">
            <v>311</v>
          </cell>
          <cell r="M267">
            <v>246</v>
          </cell>
          <cell r="O267">
            <v>17</v>
          </cell>
          <cell r="Q267">
            <v>263</v>
          </cell>
        </row>
        <row r="268">
          <cell r="D268"/>
          <cell r="G268">
            <v>124455</v>
          </cell>
          <cell r="J268"/>
          <cell r="K268">
            <v>11488</v>
          </cell>
          <cell r="M268">
            <v>2448</v>
          </cell>
          <cell r="O268">
            <v>2003</v>
          </cell>
        </row>
        <row r="269">
          <cell r="D269" t="str">
            <v>D38</v>
          </cell>
          <cell r="G269">
            <v>1960</v>
          </cell>
          <cell r="J269">
            <v>46153</v>
          </cell>
          <cell r="K269">
            <v>200</v>
          </cell>
          <cell r="M269">
            <v>6</v>
          </cell>
          <cell r="O269">
            <v>7</v>
          </cell>
        </row>
        <row r="270">
          <cell r="D270" t="str">
            <v>D39</v>
          </cell>
          <cell r="G270">
            <v>2662</v>
          </cell>
          <cell r="J270">
            <v>46153</v>
          </cell>
          <cell r="K270">
            <v>295</v>
          </cell>
          <cell r="M270">
            <v>66</v>
          </cell>
          <cell r="O270">
            <v>10</v>
          </cell>
        </row>
        <row r="271">
          <cell r="D271" t="str">
            <v>D40</v>
          </cell>
          <cell r="G271">
            <v>1412</v>
          </cell>
          <cell r="J271">
            <v>46153</v>
          </cell>
          <cell r="K271">
            <v>153</v>
          </cell>
          <cell r="M271">
            <v>9</v>
          </cell>
          <cell r="O271">
            <v>1</v>
          </cell>
        </row>
        <row r="272">
          <cell r="D272" t="str">
            <v>D41</v>
          </cell>
          <cell r="G272">
            <v>1110</v>
          </cell>
          <cell r="J272">
            <v>46153</v>
          </cell>
          <cell r="K272">
            <v>129</v>
          </cell>
          <cell r="M272">
            <v>8</v>
          </cell>
          <cell r="O272">
            <v>21</v>
          </cell>
        </row>
        <row r="273">
          <cell r="D273" t="str">
            <v>E31</v>
          </cell>
          <cell r="G273">
            <v>4575</v>
          </cell>
          <cell r="J273">
            <v>46153</v>
          </cell>
          <cell r="K273">
            <v>431</v>
          </cell>
          <cell r="M273">
            <v>20</v>
          </cell>
          <cell r="O273">
            <v>77</v>
          </cell>
        </row>
        <row r="274">
          <cell r="D274" t="str">
            <v>E32</v>
          </cell>
          <cell r="G274">
            <v>2782</v>
          </cell>
          <cell r="J274">
            <v>46153</v>
          </cell>
          <cell r="K274">
            <v>277</v>
          </cell>
          <cell r="M274">
            <v>5</v>
          </cell>
          <cell r="O274">
            <v>52</v>
          </cell>
        </row>
        <row r="275">
          <cell r="D275" t="str">
            <v>E33</v>
          </cell>
          <cell r="G275">
            <v>3132</v>
          </cell>
          <cell r="J275">
            <v>46154</v>
          </cell>
          <cell r="K275">
            <v>203</v>
          </cell>
          <cell r="M275">
            <v>24</v>
          </cell>
          <cell r="O275">
            <v>6</v>
          </cell>
        </row>
        <row r="276">
          <cell r="D276" t="str">
            <v>E34</v>
          </cell>
          <cell r="G276">
            <v>2570</v>
          </cell>
          <cell r="J276">
            <v>46154</v>
          </cell>
          <cell r="K276">
            <v>270</v>
          </cell>
          <cell r="M276">
            <v>64</v>
          </cell>
          <cell r="O276">
            <v>6</v>
          </cell>
        </row>
        <row r="277">
          <cell r="D277" t="str">
            <v>E35</v>
          </cell>
          <cell r="G277">
            <v>2548</v>
          </cell>
          <cell r="J277">
            <v>46154</v>
          </cell>
          <cell r="K277">
            <v>259</v>
          </cell>
          <cell r="M277">
            <v>31</v>
          </cell>
          <cell r="O277">
            <v>43</v>
          </cell>
        </row>
        <row r="278">
          <cell r="D278" t="str">
            <v>E36</v>
          </cell>
          <cell r="G278">
            <v>2530</v>
          </cell>
          <cell r="J278">
            <v>46154</v>
          </cell>
          <cell r="K278">
            <v>221</v>
          </cell>
          <cell r="M278">
            <v>26</v>
          </cell>
          <cell r="O278">
            <v>41</v>
          </cell>
        </row>
        <row r="279">
          <cell r="D279" t="str">
            <v>E37</v>
          </cell>
          <cell r="G279">
            <v>5040</v>
          </cell>
          <cell r="J279">
            <v>46154</v>
          </cell>
          <cell r="K279">
            <v>426</v>
          </cell>
          <cell r="M279">
            <v>160</v>
          </cell>
          <cell r="O279">
            <v>5</v>
          </cell>
        </row>
        <row r="280">
          <cell r="D280" t="str">
            <v>E38</v>
          </cell>
          <cell r="G280">
            <v>4162</v>
          </cell>
          <cell r="J280">
            <v>46154</v>
          </cell>
          <cell r="K280">
            <v>445</v>
          </cell>
          <cell r="M280">
            <v>16</v>
          </cell>
          <cell r="O280">
            <v>49</v>
          </cell>
        </row>
        <row r="281">
          <cell r="D281" t="str">
            <v>E39</v>
          </cell>
          <cell r="G281">
            <v>5200</v>
          </cell>
          <cell r="J281">
            <v>46154</v>
          </cell>
          <cell r="K281">
            <v>114</v>
          </cell>
          <cell r="M281">
            <v>23</v>
          </cell>
          <cell r="O281">
            <v>5</v>
          </cell>
        </row>
        <row r="282">
          <cell r="D282" t="str">
            <v>E40</v>
          </cell>
          <cell r="G282">
            <v>4965</v>
          </cell>
          <cell r="J282">
            <v>46154</v>
          </cell>
          <cell r="K282">
            <v>512</v>
          </cell>
          <cell r="M282">
            <v>98</v>
          </cell>
          <cell r="O282">
            <v>106</v>
          </cell>
        </row>
        <row r="283">
          <cell r="D283" t="str">
            <v>E41</v>
          </cell>
          <cell r="G283">
            <v>4891</v>
          </cell>
          <cell r="J283">
            <v>46151</v>
          </cell>
          <cell r="K283">
            <v>473</v>
          </cell>
          <cell r="M283">
            <v>19</v>
          </cell>
          <cell r="O283">
            <v>169</v>
          </cell>
        </row>
        <row r="284">
          <cell r="D284" t="str">
            <v>E42</v>
          </cell>
          <cell r="G284">
            <v>3792</v>
          </cell>
          <cell r="J284">
            <v>46151</v>
          </cell>
          <cell r="K284">
            <v>344</v>
          </cell>
          <cell r="M284">
            <v>18</v>
          </cell>
          <cell r="O284">
            <v>94</v>
          </cell>
        </row>
        <row r="285">
          <cell r="D285" t="str">
            <v>E43</v>
          </cell>
          <cell r="G285">
            <v>3370</v>
          </cell>
          <cell r="J285">
            <v>46151</v>
          </cell>
          <cell r="K285">
            <v>296</v>
          </cell>
          <cell r="M285">
            <v>61</v>
          </cell>
          <cell r="O285">
            <v>3</v>
          </cell>
        </row>
        <row r="286">
          <cell r="D286" t="str">
            <v>F31</v>
          </cell>
          <cell r="G286">
            <v>5617</v>
          </cell>
          <cell r="J286">
            <v>46150</v>
          </cell>
          <cell r="K286">
            <v>561</v>
          </cell>
          <cell r="M286">
            <v>183</v>
          </cell>
          <cell r="O286">
            <v>115</v>
          </cell>
        </row>
        <row r="287">
          <cell r="D287" t="str">
            <v>F32</v>
          </cell>
          <cell r="G287">
            <v>5212</v>
          </cell>
          <cell r="J287">
            <v>46150</v>
          </cell>
          <cell r="K287">
            <v>525</v>
          </cell>
          <cell r="M287">
            <v>106</v>
          </cell>
          <cell r="O287">
            <v>48</v>
          </cell>
        </row>
        <row r="288">
          <cell r="D288" t="str">
            <v>F33</v>
          </cell>
          <cell r="G288">
            <v>5258</v>
          </cell>
          <cell r="J288">
            <v>46150</v>
          </cell>
          <cell r="K288">
            <v>527</v>
          </cell>
          <cell r="M288">
            <v>25</v>
          </cell>
          <cell r="O288">
            <v>47</v>
          </cell>
        </row>
        <row r="289">
          <cell r="D289" t="str">
            <v>F34</v>
          </cell>
          <cell r="G289">
            <v>4142</v>
          </cell>
          <cell r="J289">
            <v>46150</v>
          </cell>
          <cell r="K289">
            <v>413</v>
          </cell>
          <cell r="M289">
            <v>16</v>
          </cell>
          <cell r="O289">
            <v>107</v>
          </cell>
        </row>
        <row r="290">
          <cell r="D290" t="str">
            <v>F35</v>
          </cell>
          <cell r="G290">
            <v>3231</v>
          </cell>
          <cell r="J290">
            <v>46150</v>
          </cell>
          <cell r="K290">
            <v>322</v>
          </cell>
          <cell r="M290">
            <v>2</v>
          </cell>
          <cell r="O290">
            <v>124</v>
          </cell>
        </row>
        <row r="291">
          <cell r="D291" t="str">
            <v>F36</v>
          </cell>
          <cell r="G291">
            <v>3558</v>
          </cell>
          <cell r="J291">
            <v>46150</v>
          </cell>
          <cell r="K291">
            <v>264</v>
          </cell>
          <cell r="M291">
            <v>16</v>
          </cell>
          <cell r="O291">
            <v>40</v>
          </cell>
        </row>
        <row r="292">
          <cell r="D292" t="str">
            <v>F37</v>
          </cell>
          <cell r="G292">
            <v>5280</v>
          </cell>
          <cell r="J292">
            <v>46149</v>
          </cell>
          <cell r="K292">
            <v>910</v>
          </cell>
          <cell r="M292">
            <v>80</v>
          </cell>
          <cell r="O292">
            <v>53</v>
          </cell>
        </row>
        <row r="293">
          <cell r="D293" t="str">
            <v>F38</v>
          </cell>
          <cell r="G293">
            <v>6511</v>
          </cell>
          <cell r="J293">
            <v>46149</v>
          </cell>
          <cell r="K293">
            <v>349</v>
          </cell>
          <cell r="M293">
            <v>45</v>
          </cell>
          <cell r="O293">
            <v>173</v>
          </cell>
        </row>
        <row r="294">
          <cell r="D294" t="str">
            <v>F39</v>
          </cell>
          <cell r="G294">
            <v>5640</v>
          </cell>
          <cell r="J294">
            <v>46149</v>
          </cell>
          <cell r="K294">
            <v>364</v>
          </cell>
          <cell r="M294">
            <v>56</v>
          </cell>
          <cell r="O294">
            <v>28</v>
          </cell>
        </row>
        <row r="295">
          <cell r="D295" t="str">
            <v>F40</v>
          </cell>
          <cell r="G295">
            <v>4388</v>
          </cell>
          <cell r="J295">
            <v>46149</v>
          </cell>
          <cell r="K295">
            <v>395</v>
          </cell>
          <cell r="M295">
            <v>59</v>
          </cell>
          <cell r="O295">
            <v>18</v>
          </cell>
        </row>
        <row r="296">
          <cell r="D296" t="str">
            <v>F41</v>
          </cell>
          <cell r="G296">
            <v>4809</v>
          </cell>
          <cell r="J296">
            <v>46149</v>
          </cell>
          <cell r="K296">
            <v>400</v>
          </cell>
          <cell r="M296">
            <v>12</v>
          </cell>
          <cell r="O296">
            <v>165</v>
          </cell>
        </row>
        <row r="297">
          <cell r="D297" t="str">
            <v>F42</v>
          </cell>
          <cell r="G297">
            <v>5397</v>
          </cell>
          <cell r="J297">
            <v>46149</v>
          </cell>
          <cell r="K297">
            <v>532</v>
          </cell>
          <cell r="M297">
            <v>32</v>
          </cell>
          <cell r="O297">
            <v>146</v>
          </cell>
        </row>
        <row r="298">
          <cell r="D298" t="str">
            <v>F43</v>
          </cell>
          <cell r="G298">
            <v>5399</v>
          </cell>
          <cell r="J298">
            <v>46149</v>
          </cell>
          <cell r="K298">
            <v>371</v>
          </cell>
          <cell r="M298">
            <v>17</v>
          </cell>
          <cell r="O298">
            <v>44</v>
          </cell>
        </row>
        <row r="299">
          <cell r="D299"/>
          <cell r="G299">
            <v>121143</v>
          </cell>
          <cell r="J299"/>
          <cell r="K299">
            <v>10981</v>
          </cell>
          <cell r="M299">
            <v>1303</v>
          </cell>
          <cell r="O299">
            <v>1803</v>
          </cell>
        </row>
        <row r="300">
          <cell r="D300" t="str">
            <v>G36</v>
          </cell>
          <cell r="G300">
            <v>1026</v>
          </cell>
          <cell r="J300">
            <v>46155</v>
          </cell>
          <cell r="K300">
            <v>118</v>
          </cell>
          <cell r="M300">
            <v>5</v>
          </cell>
          <cell r="O300">
            <v>12</v>
          </cell>
        </row>
        <row r="301">
          <cell r="D301" t="str">
            <v>G37</v>
          </cell>
          <cell r="G301">
            <v>1547</v>
          </cell>
          <cell r="J301">
            <v>46155</v>
          </cell>
          <cell r="K301">
            <v>115</v>
          </cell>
          <cell r="M301">
            <v>4</v>
          </cell>
          <cell r="O301">
            <v>19</v>
          </cell>
        </row>
        <row r="302">
          <cell r="D302" t="str">
            <v>G38</v>
          </cell>
          <cell r="G302">
            <v>5133</v>
          </cell>
          <cell r="J302">
            <v>46149</v>
          </cell>
          <cell r="K302">
            <v>503</v>
          </cell>
          <cell r="M302">
            <v>59</v>
          </cell>
          <cell r="O302">
            <v>298</v>
          </cell>
        </row>
        <row r="303">
          <cell r="D303" t="str">
            <v>G39</v>
          </cell>
          <cell r="G303">
            <v>5023</v>
          </cell>
          <cell r="J303">
            <v>46149</v>
          </cell>
          <cell r="K303">
            <v>508</v>
          </cell>
          <cell r="M303">
            <v>41</v>
          </cell>
          <cell r="O303">
            <v>211</v>
          </cell>
        </row>
        <row r="304">
          <cell r="D304" t="str">
            <v>G40</v>
          </cell>
          <cell r="G304">
            <v>5582</v>
          </cell>
          <cell r="J304">
            <v>46149</v>
          </cell>
          <cell r="K304">
            <v>404</v>
          </cell>
          <cell r="M304">
            <v>67</v>
          </cell>
          <cell r="O304">
            <v>136</v>
          </cell>
        </row>
        <row r="305">
          <cell r="D305" t="str">
            <v>G41</v>
          </cell>
          <cell r="G305">
            <v>4300</v>
          </cell>
          <cell r="J305">
            <v>46150</v>
          </cell>
          <cell r="K305">
            <v>413</v>
          </cell>
          <cell r="M305">
            <v>12</v>
          </cell>
          <cell r="O305">
            <v>78</v>
          </cell>
        </row>
        <row r="306">
          <cell r="D306" t="str">
            <v>G42</v>
          </cell>
          <cell r="G306">
            <v>3332</v>
          </cell>
          <cell r="J306">
            <v>46150</v>
          </cell>
          <cell r="K306">
            <v>341</v>
          </cell>
          <cell r="M306">
            <v>12</v>
          </cell>
          <cell r="O306">
            <v>65</v>
          </cell>
        </row>
        <row r="307">
          <cell r="D307" t="str">
            <v>G43</v>
          </cell>
          <cell r="G307">
            <v>2493</v>
          </cell>
          <cell r="J307">
            <v>46150</v>
          </cell>
          <cell r="K307">
            <v>196</v>
          </cell>
          <cell r="M307">
            <v>9</v>
          </cell>
          <cell r="O307">
            <v>34</v>
          </cell>
        </row>
        <row r="308">
          <cell r="D308" t="str">
            <v>G44</v>
          </cell>
          <cell r="G308">
            <v>2008</v>
          </cell>
          <cell r="J308">
            <v>46154</v>
          </cell>
          <cell r="K308">
            <v>158</v>
          </cell>
          <cell r="M308">
            <v>24</v>
          </cell>
          <cell r="O308">
            <v>8</v>
          </cell>
        </row>
        <row r="309">
          <cell r="D309" t="str">
            <v>G45</v>
          </cell>
          <cell r="G309">
            <v>1742</v>
          </cell>
          <cell r="J309">
            <v>46154</v>
          </cell>
          <cell r="K309">
            <v>63</v>
          </cell>
          <cell r="M309">
            <v>12</v>
          </cell>
          <cell r="O309">
            <v>3</v>
          </cell>
        </row>
        <row r="310">
          <cell r="D310" t="str">
            <v>H21</v>
          </cell>
          <cell r="G310">
            <v>6934</v>
          </cell>
          <cell r="J310">
            <v>46150</v>
          </cell>
          <cell r="K310">
            <v>388</v>
          </cell>
          <cell r="M310">
            <v>79</v>
          </cell>
          <cell r="O310">
            <v>66</v>
          </cell>
        </row>
        <row r="311">
          <cell r="D311" t="str">
            <v>H22</v>
          </cell>
          <cell r="G311">
            <v>5822</v>
          </cell>
          <cell r="J311">
            <v>46150</v>
          </cell>
          <cell r="K311">
            <v>397</v>
          </cell>
          <cell r="M311">
            <v>183</v>
          </cell>
          <cell r="O311">
            <v>9</v>
          </cell>
        </row>
        <row r="312">
          <cell r="D312" t="str">
            <v>H23</v>
          </cell>
          <cell r="G312">
            <v>5290</v>
          </cell>
          <cell r="J312">
            <v>46154</v>
          </cell>
          <cell r="K312">
            <v>543</v>
          </cell>
          <cell r="M312">
            <v>7</v>
          </cell>
          <cell r="O312">
            <v>82</v>
          </cell>
        </row>
        <row r="313">
          <cell r="D313" t="str">
            <v>H24</v>
          </cell>
          <cell r="G313">
            <v>4040</v>
          </cell>
          <cell r="J313">
            <v>46154</v>
          </cell>
          <cell r="K313">
            <v>388</v>
          </cell>
          <cell r="M313">
            <v>13</v>
          </cell>
          <cell r="O313">
            <v>69</v>
          </cell>
        </row>
        <row r="314">
          <cell r="D314" t="str">
            <v>H25</v>
          </cell>
          <cell r="G314">
            <v>2960</v>
          </cell>
          <cell r="J314">
            <v>46154</v>
          </cell>
          <cell r="K314">
            <v>158</v>
          </cell>
          <cell r="M314">
            <v>24</v>
          </cell>
          <cell r="O314">
            <v>8</v>
          </cell>
        </row>
        <row r="315">
          <cell r="D315" t="str">
            <v>H26</v>
          </cell>
          <cell r="G315">
            <v>685</v>
          </cell>
          <cell r="J315">
            <v>46154</v>
          </cell>
          <cell r="K315">
            <v>52</v>
          </cell>
          <cell r="M315">
            <v>12</v>
          </cell>
          <cell r="O315">
            <v>3</v>
          </cell>
        </row>
        <row r="316">
          <cell r="D316" t="str">
            <v>H32</v>
          </cell>
          <cell r="G316">
            <v>2368</v>
          </cell>
          <cell r="J316">
            <v>46151</v>
          </cell>
          <cell r="K316">
            <v>230</v>
          </cell>
          <cell r="M316">
            <v>10</v>
          </cell>
          <cell r="O316">
            <v>10</v>
          </cell>
        </row>
        <row r="317">
          <cell r="D317" t="str">
            <v>H33</v>
          </cell>
          <cell r="G317">
            <v>2401</v>
          </cell>
          <cell r="J317">
            <v>46158</v>
          </cell>
          <cell r="K317">
            <v>235</v>
          </cell>
          <cell r="M317">
            <v>1</v>
          </cell>
          <cell r="O317">
            <v>31</v>
          </cell>
        </row>
        <row r="318">
          <cell r="D318" t="str">
            <v>H34</v>
          </cell>
          <cell r="G318">
            <v>3180</v>
          </cell>
          <cell r="J318">
            <v>46151</v>
          </cell>
          <cell r="K318">
            <v>262</v>
          </cell>
          <cell r="M318">
            <v>71</v>
          </cell>
          <cell r="O318">
            <v>57</v>
          </cell>
        </row>
        <row r="319">
          <cell r="D319" t="str">
            <v>H35</v>
          </cell>
          <cell r="G319">
            <v>5413</v>
          </cell>
          <cell r="J319">
            <v>46151</v>
          </cell>
          <cell r="K319">
            <v>478</v>
          </cell>
          <cell r="M319">
            <v>28</v>
          </cell>
          <cell r="O319">
            <v>104</v>
          </cell>
        </row>
        <row r="320">
          <cell r="D320" t="str">
            <v>H36</v>
          </cell>
          <cell r="G320">
            <v>5813</v>
          </cell>
          <cell r="J320">
            <v>46151</v>
          </cell>
          <cell r="K320">
            <v>475</v>
          </cell>
          <cell r="M320">
            <v>34</v>
          </cell>
          <cell r="O320">
            <v>80</v>
          </cell>
        </row>
        <row r="321">
          <cell r="D321" t="str">
            <v>H37</v>
          </cell>
          <cell r="G321">
            <v>6730</v>
          </cell>
          <cell r="J321">
            <v>46153</v>
          </cell>
          <cell r="K321">
            <v>495</v>
          </cell>
          <cell r="M321">
            <v>13</v>
          </cell>
          <cell r="O321">
            <v>130</v>
          </cell>
        </row>
        <row r="322">
          <cell r="D322" t="str">
            <v>H38</v>
          </cell>
          <cell r="G322">
            <v>6421</v>
          </cell>
          <cell r="J322">
            <v>46153</v>
          </cell>
          <cell r="K322">
            <v>615</v>
          </cell>
          <cell r="M322">
            <v>37</v>
          </cell>
          <cell r="O322">
            <v>12</v>
          </cell>
        </row>
        <row r="323">
          <cell r="D323" t="str">
            <v>H39</v>
          </cell>
          <cell r="G323">
            <v>3553</v>
          </cell>
          <cell r="J323">
            <v>46153</v>
          </cell>
          <cell r="K323">
            <v>351</v>
          </cell>
          <cell r="M323">
            <v>13</v>
          </cell>
          <cell r="O323">
            <v>43</v>
          </cell>
        </row>
        <row r="324">
          <cell r="D324" t="str">
            <v>H40</v>
          </cell>
          <cell r="G324">
            <v>5682</v>
          </cell>
          <cell r="J324">
            <v>46153</v>
          </cell>
          <cell r="K324">
            <v>571</v>
          </cell>
          <cell r="M324">
            <v>18</v>
          </cell>
          <cell r="O324">
            <v>68</v>
          </cell>
        </row>
        <row r="325">
          <cell r="D325" t="str">
            <v>H41</v>
          </cell>
          <cell r="G325">
            <v>2835</v>
          </cell>
          <cell r="J325">
            <v>46158</v>
          </cell>
          <cell r="K325">
            <v>268</v>
          </cell>
          <cell r="M325">
            <v>5</v>
          </cell>
          <cell r="O325">
            <v>21</v>
          </cell>
        </row>
        <row r="326">
          <cell r="D326" t="str">
            <v>H42</v>
          </cell>
          <cell r="G326">
            <v>2100</v>
          </cell>
          <cell r="J326">
            <v>46158</v>
          </cell>
          <cell r="K326">
            <v>190</v>
          </cell>
          <cell r="M326">
            <v>4</v>
          </cell>
          <cell r="O326">
            <v>14</v>
          </cell>
        </row>
        <row r="327">
          <cell r="D327" t="str">
            <v>H43</v>
          </cell>
          <cell r="G327">
            <v>1621</v>
          </cell>
          <cell r="J327">
            <v>46156</v>
          </cell>
          <cell r="K327">
            <v>86</v>
          </cell>
          <cell r="M327">
            <v>1</v>
          </cell>
          <cell r="O327">
            <v>10</v>
          </cell>
        </row>
        <row r="328">
          <cell r="D328" t="str">
            <v>H44</v>
          </cell>
          <cell r="G328">
            <v>919</v>
          </cell>
          <cell r="J328">
            <v>46155</v>
          </cell>
          <cell r="K328">
            <v>62</v>
          </cell>
          <cell r="M328">
            <v>1</v>
          </cell>
          <cell r="O328">
            <v>4</v>
          </cell>
        </row>
        <row r="329">
          <cell r="D329" t="str">
            <v>I27</v>
          </cell>
          <cell r="G329">
            <v>2372</v>
          </cell>
          <cell r="J329">
            <v>46154</v>
          </cell>
          <cell r="K329">
            <v>319</v>
          </cell>
          <cell r="M329">
            <v>13</v>
          </cell>
          <cell r="O329">
            <v>22</v>
          </cell>
        </row>
        <row r="330">
          <cell r="D330" t="str">
            <v>I28</v>
          </cell>
          <cell r="G330">
            <v>1929</v>
          </cell>
          <cell r="J330">
            <v>46154</v>
          </cell>
          <cell r="K330">
            <v>256</v>
          </cell>
          <cell r="M330">
            <v>18</v>
          </cell>
          <cell r="O330">
            <v>42</v>
          </cell>
        </row>
        <row r="331">
          <cell r="D331" t="str">
            <v>I29</v>
          </cell>
          <cell r="G331">
            <v>1387</v>
          </cell>
          <cell r="J331">
            <v>46155</v>
          </cell>
          <cell r="K331">
            <v>81</v>
          </cell>
          <cell r="M331">
            <v>23</v>
          </cell>
          <cell r="O331">
            <v>9</v>
          </cell>
        </row>
        <row r="332">
          <cell r="D332" t="str">
            <v>I30</v>
          </cell>
          <cell r="G332">
            <v>1298</v>
          </cell>
          <cell r="J332">
            <v>46155</v>
          </cell>
          <cell r="K332">
            <v>102</v>
          </cell>
          <cell r="M332">
            <v>5</v>
          </cell>
          <cell r="O332">
            <v>16</v>
          </cell>
        </row>
        <row r="333">
          <cell r="D333" t="str">
            <v>I31</v>
          </cell>
          <cell r="G333">
            <v>1015</v>
          </cell>
          <cell r="J333">
            <v>46155</v>
          </cell>
          <cell r="K333">
            <v>102</v>
          </cell>
          <cell r="M333">
            <v>23</v>
          </cell>
          <cell r="O333">
            <v>9</v>
          </cell>
        </row>
        <row r="334">
          <cell r="D334" t="str">
            <v>I32</v>
          </cell>
          <cell r="G334">
            <v>1778</v>
          </cell>
          <cell r="J334">
            <v>46157</v>
          </cell>
          <cell r="K334">
            <v>177</v>
          </cell>
          <cell r="M334">
            <v>6</v>
          </cell>
          <cell r="O334">
            <v>3</v>
          </cell>
        </row>
        <row r="335">
          <cell r="D335" t="str">
            <v>I33</v>
          </cell>
          <cell r="G335">
            <v>1433</v>
          </cell>
          <cell r="J335">
            <v>46157</v>
          </cell>
          <cell r="K335">
            <v>139</v>
          </cell>
          <cell r="M335">
            <v>3</v>
          </cell>
          <cell r="O335">
            <v>15</v>
          </cell>
        </row>
        <row r="336">
          <cell r="D336" t="str">
            <v>I34</v>
          </cell>
          <cell r="G336">
            <v>1139</v>
          </cell>
          <cell r="J336">
            <v>46157</v>
          </cell>
          <cell r="K336">
            <v>82</v>
          </cell>
          <cell r="M336">
            <v>2</v>
          </cell>
          <cell r="O336">
            <v>14</v>
          </cell>
        </row>
        <row r="337">
          <cell r="D337" t="str">
            <v>I35</v>
          </cell>
          <cell r="G337">
            <v>713</v>
          </cell>
          <cell r="J337">
            <v>46157</v>
          </cell>
          <cell r="K337">
            <v>73</v>
          </cell>
          <cell r="M337">
            <v>4</v>
          </cell>
          <cell r="O337">
            <v>8</v>
          </cell>
        </row>
        <row r="338">
          <cell r="D338" t="str">
            <v>I36</v>
          </cell>
          <cell r="G338">
            <v>669</v>
          </cell>
          <cell r="J338">
            <v>46157</v>
          </cell>
          <cell r="K338">
            <v>37</v>
          </cell>
          <cell r="M338">
            <v>4</v>
          </cell>
        </row>
        <row r="339">
          <cell r="D339"/>
          <cell r="G339">
            <v>120686</v>
          </cell>
          <cell r="J339"/>
          <cell r="K339">
            <v>10431</v>
          </cell>
          <cell r="M339">
            <v>900</v>
          </cell>
          <cell r="O339">
            <v>1823</v>
          </cell>
        </row>
        <row r="340">
          <cell r="D340" t="str">
            <v>E21</v>
          </cell>
          <cell r="G340">
            <v>2439</v>
          </cell>
          <cell r="J340">
            <v>46149</v>
          </cell>
          <cell r="K340">
            <v>259</v>
          </cell>
          <cell r="M340">
            <v>20</v>
          </cell>
          <cell r="O340">
            <v>31</v>
          </cell>
        </row>
        <row r="341">
          <cell r="D341" t="str">
            <v>E22</v>
          </cell>
          <cell r="G341">
            <v>2606</v>
          </cell>
          <cell r="J341">
            <v>46149</v>
          </cell>
          <cell r="K341">
            <v>251</v>
          </cell>
          <cell r="M341">
            <v>16</v>
          </cell>
          <cell r="O341">
            <v>17</v>
          </cell>
        </row>
        <row r="342">
          <cell r="D342" t="str">
            <v>E23</v>
          </cell>
          <cell r="G342">
            <v>2957</v>
          </cell>
          <cell r="J342">
            <v>46149</v>
          </cell>
          <cell r="K342">
            <v>332</v>
          </cell>
          <cell r="M342">
            <v>7</v>
          </cell>
          <cell r="O342">
            <v>71</v>
          </cell>
        </row>
        <row r="343">
          <cell r="D343" t="str">
            <v>E24</v>
          </cell>
          <cell r="G343">
            <v>3248</v>
          </cell>
          <cell r="J343">
            <v>46149</v>
          </cell>
          <cell r="K343">
            <v>321</v>
          </cell>
          <cell r="M343">
            <v>79</v>
          </cell>
          <cell r="O343">
            <v>43</v>
          </cell>
        </row>
        <row r="344">
          <cell r="D344" t="str">
            <v>E25</v>
          </cell>
          <cell r="G344">
            <v>3667</v>
          </cell>
          <cell r="J344">
            <v>46150</v>
          </cell>
          <cell r="K344">
            <v>402</v>
          </cell>
          <cell r="M344">
            <v>48</v>
          </cell>
          <cell r="O344">
            <v>73</v>
          </cell>
        </row>
        <row r="345">
          <cell r="D345" t="str">
            <v>E26</v>
          </cell>
          <cell r="G345">
            <v>4382</v>
          </cell>
          <cell r="J345">
            <v>46150</v>
          </cell>
          <cell r="K345">
            <v>438</v>
          </cell>
          <cell r="M345">
            <v>20</v>
          </cell>
          <cell r="O345">
            <v>52</v>
          </cell>
        </row>
        <row r="346">
          <cell r="D346" t="str">
            <v>F21</v>
          </cell>
          <cell r="G346">
            <v>7016</v>
          </cell>
          <cell r="J346">
            <v>46151</v>
          </cell>
          <cell r="K346">
            <v>436</v>
          </cell>
          <cell r="M346">
            <v>11</v>
          </cell>
          <cell r="O346">
            <v>134</v>
          </cell>
        </row>
        <row r="347">
          <cell r="D347" t="str">
            <v>F22</v>
          </cell>
          <cell r="G347">
            <v>6094</v>
          </cell>
          <cell r="J347">
            <v>46152</v>
          </cell>
          <cell r="K347">
            <v>594</v>
          </cell>
          <cell r="M347">
            <v>66</v>
          </cell>
          <cell r="O347">
            <v>139</v>
          </cell>
        </row>
        <row r="348">
          <cell r="D348" t="str">
            <v>F23</v>
          </cell>
          <cell r="G348">
            <v>4779</v>
          </cell>
          <cell r="J348">
            <v>46153</v>
          </cell>
          <cell r="K348">
            <v>511</v>
          </cell>
          <cell r="M348">
            <v>25</v>
          </cell>
          <cell r="O348">
            <v>2</v>
          </cell>
        </row>
        <row r="349">
          <cell r="D349" t="str">
            <v>F24</v>
          </cell>
          <cell r="G349">
            <v>4633</v>
          </cell>
          <cell r="J349">
            <v>46153</v>
          </cell>
          <cell r="K349">
            <v>506</v>
          </cell>
          <cell r="M349">
            <v>12</v>
          </cell>
          <cell r="O349">
            <v>49</v>
          </cell>
        </row>
        <row r="350">
          <cell r="D350" t="str">
            <v>F25</v>
          </cell>
          <cell r="G350">
            <v>8649</v>
          </cell>
          <cell r="J350">
            <v>46154</v>
          </cell>
          <cell r="K350">
            <v>579</v>
          </cell>
          <cell r="M350">
            <v>105</v>
          </cell>
          <cell r="O350">
            <v>29</v>
          </cell>
        </row>
        <row r="351">
          <cell r="D351" t="str">
            <v>F26</v>
          </cell>
          <cell r="G351">
            <v>7784</v>
          </cell>
          <cell r="J351">
            <v>46153</v>
          </cell>
          <cell r="K351">
            <v>619</v>
          </cell>
          <cell r="M351">
            <v>48</v>
          </cell>
          <cell r="O351">
            <v>39</v>
          </cell>
        </row>
        <row r="352">
          <cell r="D352" t="str">
            <v>G21</v>
          </cell>
          <cell r="G352">
            <v>7280</v>
          </cell>
          <cell r="J352">
            <v>46149</v>
          </cell>
          <cell r="K352">
            <v>748</v>
          </cell>
          <cell r="M352">
            <v>69</v>
          </cell>
          <cell r="O352">
            <v>172</v>
          </cell>
        </row>
        <row r="353">
          <cell r="D353" t="str">
            <v>G22</v>
          </cell>
          <cell r="G353">
            <v>3733</v>
          </cell>
          <cell r="J353">
            <v>46149</v>
          </cell>
          <cell r="K353">
            <v>475</v>
          </cell>
          <cell r="M353">
            <v>12</v>
          </cell>
          <cell r="O353">
            <v>56</v>
          </cell>
        </row>
        <row r="354">
          <cell r="D354" t="str">
            <v>G23</v>
          </cell>
          <cell r="G354">
            <v>407</v>
          </cell>
          <cell r="J354">
            <v>46150</v>
          </cell>
          <cell r="K354">
            <v>20</v>
          </cell>
          <cell r="M354">
            <v>11</v>
          </cell>
          <cell r="O354">
            <v>4</v>
          </cell>
        </row>
        <row r="355">
          <cell r="D355" t="str">
            <v>G24</v>
          </cell>
          <cell r="G355">
            <v>821</v>
          </cell>
          <cell r="J355">
            <v>46150</v>
          </cell>
          <cell r="K355">
            <v>522</v>
          </cell>
          <cell r="M355">
            <v>13</v>
          </cell>
          <cell r="O355">
            <v>119</v>
          </cell>
        </row>
        <row r="356">
          <cell r="D356" t="str">
            <v>G25</v>
          </cell>
          <cell r="G356">
            <v>493</v>
          </cell>
          <cell r="J356">
            <v>46150</v>
          </cell>
          <cell r="K356">
            <v>10</v>
          </cell>
          <cell r="M356">
            <v>5</v>
          </cell>
          <cell r="O356">
            <v>2</v>
          </cell>
        </row>
        <row r="357">
          <cell r="D357" t="str">
            <v>E27</v>
          </cell>
          <cell r="G357">
            <v>5904</v>
          </cell>
          <cell r="J357">
            <v>46150</v>
          </cell>
          <cell r="K357">
            <v>516</v>
          </cell>
          <cell r="M357">
            <v>35</v>
          </cell>
          <cell r="O357">
            <v>100</v>
          </cell>
        </row>
        <row r="358">
          <cell r="D358" t="str">
            <v>E28</v>
          </cell>
          <cell r="G358">
            <v>5848</v>
          </cell>
          <cell r="J358">
            <v>46150</v>
          </cell>
          <cell r="K358">
            <v>587</v>
          </cell>
          <cell r="M358">
            <v>30</v>
          </cell>
          <cell r="O358">
            <v>37</v>
          </cell>
        </row>
        <row r="359">
          <cell r="D359" t="str">
            <v>E29</v>
          </cell>
          <cell r="G359">
            <v>8817</v>
          </cell>
          <cell r="J359">
            <v>46151</v>
          </cell>
          <cell r="K359">
            <v>904</v>
          </cell>
          <cell r="M359">
            <v>67</v>
          </cell>
          <cell r="O359">
            <v>71</v>
          </cell>
        </row>
        <row r="360">
          <cell r="D360" t="str">
            <v>E30</v>
          </cell>
          <cell r="G360">
            <v>6763</v>
          </cell>
          <cell r="J360">
            <v>46150</v>
          </cell>
          <cell r="K360">
            <v>681</v>
          </cell>
          <cell r="M360">
            <v>83</v>
          </cell>
          <cell r="O360">
            <v>123</v>
          </cell>
        </row>
        <row r="361">
          <cell r="D361" t="str">
            <v>F27</v>
          </cell>
          <cell r="G361">
            <v>9219</v>
          </cell>
          <cell r="J361">
            <v>46151</v>
          </cell>
          <cell r="K361">
            <v>479</v>
          </cell>
          <cell r="M361">
            <v>66</v>
          </cell>
          <cell r="O361">
            <v>115</v>
          </cell>
        </row>
        <row r="362">
          <cell r="D362" t="str">
            <v>F28</v>
          </cell>
          <cell r="G362">
            <v>7454</v>
          </cell>
          <cell r="J362">
            <v>46150</v>
          </cell>
          <cell r="K362">
            <v>587</v>
          </cell>
          <cell r="M362">
            <v>30</v>
          </cell>
          <cell r="O362">
            <v>37</v>
          </cell>
        </row>
        <row r="363">
          <cell r="D363" t="str">
            <v>F29</v>
          </cell>
          <cell r="G363">
            <v>6130</v>
          </cell>
          <cell r="J363">
            <v>46151</v>
          </cell>
          <cell r="K363">
            <v>397</v>
          </cell>
          <cell r="M363">
            <v>20</v>
          </cell>
          <cell r="O363">
            <v>67</v>
          </cell>
        </row>
        <row r="364">
          <cell r="D364" t="str">
            <v>F30</v>
          </cell>
          <cell r="G364">
            <v>5301</v>
          </cell>
          <cell r="J364">
            <v>46151</v>
          </cell>
          <cell r="K364">
            <v>408</v>
          </cell>
          <cell r="M364">
            <v>46</v>
          </cell>
          <cell r="O364">
            <v>26</v>
          </cell>
        </row>
        <row r="365">
          <cell r="D365"/>
          <cell r="G365">
            <v>126424</v>
          </cell>
          <cell r="J365"/>
          <cell r="K365">
            <v>11582</v>
          </cell>
          <cell r="M365">
            <v>944</v>
          </cell>
          <cell r="O365">
            <v>1608</v>
          </cell>
        </row>
        <row r="366">
          <cell r="D366" t="str">
            <v>E16</v>
          </cell>
          <cell r="G366">
            <v>271</v>
          </cell>
          <cell r="J366">
            <v>46150</v>
          </cell>
          <cell r="K366">
            <v>33</v>
          </cell>
          <cell r="M366">
            <v>13</v>
          </cell>
          <cell r="O366">
            <v>1</v>
          </cell>
        </row>
        <row r="367">
          <cell r="D367" t="str">
            <v>E17</v>
          </cell>
          <cell r="G367">
            <v>667</v>
          </cell>
          <cell r="J367">
            <v>46150</v>
          </cell>
          <cell r="K367">
            <v>69</v>
          </cell>
          <cell r="M367">
            <v>16</v>
          </cell>
          <cell r="O367">
            <v>3</v>
          </cell>
        </row>
        <row r="368">
          <cell r="D368" t="str">
            <v>E18</v>
          </cell>
          <cell r="G368">
            <v>1097</v>
          </cell>
          <cell r="J368">
            <v>46150</v>
          </cell>
          <cell r="K368">
            <v>118</v>
          </cell>
          <cell r="M368">
            <v>43</v>
          </cell>
          <cell r="O368">
            <v>7</v>
          </cell>
        </row>
        <row r="369">
          <cell r="D369" t="str">
            <v>E19</v>
          </cell>
          <cell r="G369">
            <v>965</v>
          </cell>
          <cell r="J369">
            <v>46150</v>
          </cell>
          <cell r="K369">
            <v>73</v>
          </cell>
          <cell r="M369">
            <v>28</v>
          </cell>
          <cell r="O369">
            <v>8</v>
          </cell>
        </row>
        <row r="370">
          <cell r="D370" t="str">
            <v>E20</v>
          </cell>
          <cell r="G370">
            <v>1144</v>
          </cell>
          <cell r="J370">
            <v>46150</v>
          </cell>
          <cell r="K370">
            <v>98</v>
          </cell>
          <cell r="M370">
            <v>28</v>
          </cell>
          <cell r="O370">
            <v>5</v>
          </cell>
        </row>
        <row r="371">
          <cell r="D371" t="str">
            <v>F13</v>
          </cell>
          <cell r="G371">
            <v>1778</v>
          </cell>
          <cell r="J371">
            <v>46150</v>
          </cell>
          <cell r="K371">
            <v>163</v>
          </cell>
          <cell r="M371">
            <v>41</v>
          </cell>
          <cell r="O371">
            <v>7</v>
          </cell>
        </row>
        <row r="372">
          <cell r="D372" t="str">
            <v>F14</v>
          </cell>
          <cell r="G372">
            <v>4163</v>
          </cell>
          <cell r="J372">
            <v>46150</v>
          </cell>
          <cell r="K372">
            <v>409</v>
          </cell>
          <cell r="M372">
            <v>22</v>
          </cell>
          <cell r="O372">
            <v>0</v>
          </cell>
        </row>
        <row r="373">
          <cell r="D373" t="str">
            <v>F15</v>
          </cell>
          <cell r="G373">
            <v>6857</v>
          </cell>
          <cell r="J373">
            <v>46149</v>
          </cell>
          <cell r="K373">
            <v>402</v>
          </cell>
          <cell r="M373">
            <v>25</v>
          </cell>
          <cell r="O373">
            <v>23</v>
          </cell>
        </row>
        <row r="374">
          <cell r="D374" t="str">
            <v>F16</v>
          </cell>
          <cell r="G374">
            <v>7232</v>
          </cell>
          <cell r="J374">
            <v>46150</v>
          </cell>
          <cell r="K374">
            <v>342</v>
          </cell>
          <cell r="M374">
            <v>11</v>
          </cell>
          <cell r="O374">
            <v>65</v>
          </cell>
        </row>
        <row r="375">
          <cell r="D375" t="str">
            <v>F17</v>
          </cell>
          <cell r="G375">
            <v>6806</v>
          </cell>
          <cell r="J375">
            <v>46149</v>
          </cell>
          <cell r="K375">
            <v>321</v>
          </cell>
          <cell r="M375">
            <v>75</v>
          </cell>
          <cell r="O375">
            <v>65</v>
          </cell>
        </row>
        <row r="376">
          <cell r="D376" t="str">
            <v>F18</v>
          </cell>
          <cell r="G376">
            <v>6774</v>
          </cell>
          <cell r="J376">
            <v>46149</v>
          </cell>
          <cell r="K376">
            <v>704</v>
          </cell>
          <cell r="M376">
            <v>69</v>
          </cell>
          <cell r="O376">
            <v>153</v>
          </cell>
        </row>
        <row r="377">
          <cell r="D377" t="str">
            <v>F19</v>
          </cell>
          <cell r="G377">
            <v>6871</v>
          </cell>
          <cell r="J377">
            <v>46149</v>
          </cell>
          <cell r="K377">
            <v>665</v>
          </cell>
          <cell r="M377">
            <v>40</v>
          </cell>
          <cell r="O377">
            <v>46</v>
          </cell>
        </row>
        <row r="378">
          <cell r="D378" t="str">
            <v>F20</v>
          </cell>
          <cell r="G378">
            <v>6725</v>
          </cell>
          <cell r="J378">
            <v>46149</v>
          </cell>
          <cell r="K378">
            <v>676</v>
          </cell>
          <cell r="M378">
            <v>90</v>
          </cell>
          <cell r="O378">
            <v>186</v>
          </cell>
        </row>
        <row r="379">
          <cell r="D379" t="str">
            <v>G20</v>
          </cell>
          <cell r="G379">
            <v>6835</v>
          </cell>
          <cell r="J379">
            <v>46150</v>
          </cell>
          <cell r="K379">
            <v>699</v>
          </cell>
          <cell r="M379">
            <v>117</v>
          </cell>
          <cell r="O379">
            <v>72</v>
          </cell>
        </row>
        <row r="380">
          <cell r="D380" t="str">
            <v>F23M</v>
          </cell>
          <cell r="G380">
            <v>2287</v>
          </cell>
          <cell r="J380">
            <v>46150</v>
          </cell>
          <cell r="K380">
            <v>163</v>
          </cell>
          <cell r="M380">
            <v>68</v>
          </cell>
          <cell r="O380">
            <v>13</v>
          </cell>
        </row>
        <row r="381">
          <cell r="D381" t="str">
            <v>F24M</v>
          </cell>
          <cell r="G381">
            <v>2362</v>
          </cell>
          <cell r="J381">
            <v>46150</v>
          </cell>
          <cell r="K381">
            <v>234</v>
          </cell>
          <cell r="M381">
            <v>40</v>
          </cell>
          <cell r="O381">
            <v>0</v>
          </cell>
        </row>
        <row r="382">
          <cell r="D382" t="str">
            <v>F25M</v>
          </cell>
          <cell r="G382">
            <v>1490</v>
          </cell>
          <cell r="J382">
            <v>46150</v>
          </cell>
          <cell r="K382">
            <v>158</v>
          </cell>
          <cell r="M382">
            <v>63</v>
          </cell>
          <cell r="O382">
            <v>7</v>
          </cell>
        </row>
        <row r="383">
          <cell r="D383" t="str">
            <v>F27M</v>
          </cell>
          <cell r="G383">
            <v>1050</v>
          </cell>
          <cell r="J383">
            <v>46153</v>
          </cell>
          <cell r="K383">
            <v>143</v>
          </cell>
          <cell r="M383">
            <v>3</v>
          </cell>
          <cell r="O383">
            <v>14</v>
          </cell>
        </row>
        <row r="384">
          <cell r="D384" t="str">
            <v>F28M</v>
          </cell>
          <cell r="G384">
            <v>1434</v>
          </cell>
          <cell r="J384">
            <v>46151</v>
          </cell>
          <cell r="K384">
            <v>149</v>
          </cell>
          <cell r="M384">
            <v>23</v>
          </cell>
          <cell r="O384">
            <v>25</v>
          </cell>
        </row>
        <row r="385">
          <cell r="D385" t="str">
            <v>F52M</v>
          </cell>
          <cell r="G385">
            <v>88</v>
          </cell>
          <cell r="J385">
            <v>46151</v>
          </cell>
          <cell r="K385">
            <v>13</v>
          </cell>
          <cell r="M385">
            <v>1</v>
          </cell>
          <cell r="O385">
            <v>1</v>
          </cell>
        </row>
        <row r="386">
          <cell r="D386" t="str">
            <v>F53M</v>
          </cell>
          <cell r="G386">
            <v>891</v>
          </cell>
          <cell r="J386">
            <v>46151</v>
          </cell>
          <cell r="K386">
            <v>83</v>
          </cell>
          <cell r="M386">
            <v>10</v>
          </cell>
          <cell r="O386">
            <v>11</v>
          </cell>
        </row>
        <row r="387">
          <cell r="D387" t="str">
            <v>F54M</v>
          </cell>
          <cell r="G387">
            <v>1383</v>
          </cell>
          <cell r="J387">
            <v>46151</v>
          </cell>
          <cell r="K387">
            <v>137</v>
          </cell>
          <cell r="M387">
            <v>26</v>
          </cell>
          <cell r="O387">
            <v>10</v>
          </cell>
        </row>
        <row r="388">
          <cell r="D388" t="str">
            <v>F55M</v>
          </cell>
          <cell r="G388">
            <v>1566</v>
          </cell>
          <cell r="J388">
            <v>46151</v>
          </cell>
          <cell r="K388">
            <v>166</v>
          </cell>
          <cell r="M388">
            <v>14</v>
          </cell>
          <cell r="O388">
            <v>0</v>
          </cell>
        </row>
        <row r="389">
          <cell r="D389" t="str">
            <v>F56M</v>
          </cell>
          <cell r="G389">
            <v>1703</v>
          </cell>
          <cell r="J389">
            <v>46151</v>
          </cell>
          <cell r="K389">
            <v>150</v>
          </cell>
          <cell r="M389">
            <v>16</v>
          </cell>
          <cell r="O389">
            <v>48</v>
          </cell>
        </row>
        <row r="390">
          <cell r="D390" t="str">
            <v>F57M</v>
          </cell>
          <cell r="G390">
            <v>1688</v>
          </cell>
          <cell r="J390">
            <v>46151</v>
          </cell>
          <cell r="K390">
            <v>131</v>
          </cell>
          <cell r="M390">
            <v>10</v>
          </cell>
          <cell r="O390">
            <v>24</v>
          </cell>
        </row>
        <row r="391">
          <cell r="D391" t="str">
            <v>F58M</v>
          </cell>
          <cell r="G391">
            <v>1264</v>
          </cell>
          <cell r="J391">
            <v>46151</v>
          </cell>
          <cell r="K391">
            <v>142</v>
          </cell>
          <cell r="M391">
            <v>15</v>
          </cell>
          <cell r="O391">
            <v>52</v>
          </cell>
        </row>
        <row r="392">
          <cell r="D392" t="str">
            <v>F59M</v>
          </cell>
          <cell r="G392">
            <v>1627</v>
          </cell>
          <cell r="J392">
            <v>46151</v>
          </cell>
          <cell r="K392">
            <v>33</v>
          </cell>
          <cell r="M392">
            <v>5</v>
          </cell>
          <cell r="O392">
            <v>2</v>
          </cell>
        </row>
        <row r="393">
          <cell r="D393" t="str">
            <v>G22M</v>
          </cell>
          <cell r="G393">
            <v>2106</v>
          </cell>
          <cell r="J393">
            <v>46150</v>
          </cell>
          <cell r="K393">
            <v>210</v>
          </cell>
          <cell r="M393">
            <v>13</v>
          </cell>
          <cell r="O393">
            <v>16</v>
          </cell>
        </row>
        <row r="394">
          <cell r="D394" t="str">
            <v>G23M</v>
          </cell>
          <cell r="G394">
            <v>3396</v>
          </cell>
          <cell r="J394">
            <v>46150</v>
          </cell>
          <cell r="K394">
            <v>372</v>
          </cell>
          <cell r="M394">
            <v>46</v>
          </cell>
          <cell r="O394">
            <v>105</v>
          </cell>
        </row>
        <row r="395">
          <cell r="D395" t="str">
            <v>G24M</v>
          </cell>
          <cell r="G395">
            <v>4076</v>
          </cell>
          <cell r="J395">
            <v>46150</v>
          </cell>
          <cell r="K395">
            <v>487</v>
          </cell>
          <cell r="M395">
            <v>234</v>
          </cell>
          <cell r="O395">
            <v>45</v>
          </cell>
        </row>
        <row r="396">
          <cell r="D396" t="str">
            <v>G25M</v>
          </cell>
          <cell r="G396">
            <v>5585</v>
          </cell>
          <cell r="J396">
            <v>46150</v>
          </cell>
          <cell r="K396">
            <v>583</v>
          </cell>
          <cell r="M396">
            <v>73</v>
          </cell>
          <cell r="O396">
            <v>202</v>
          </cell>
        </row>
        <row r="397">
          <cell r="D397" t="str">
            <v>G26</v>
          </cell>
          <cell r="G397">
            <v>5278</v>
          </cell>
          <cell r="J397">
            <v>46151</v>
          </cell>
          <cell r="K397">
            <v>499</v>
          </cell>
          <cell r="M397">
            <v>146</v>
          </cell>
          <cell r="O397">
            <v>74</v>
          </cell>
        </row>
        <row r="398">
          <cell r="D398" t="str">
            <v>G27</v>
          </cell>
          <cell r="G398">
            <v>1675</v>
          </cell>
          <cell r="J398">
            <v>46151</v>
          </cell>
          <cell r="K398">
            <v>177</v>
          </cell>
          <cell r="M398">
            <v>30</v>
          </cell>
          <cell r="O398">
            <v>0</v>
          </cell>
        </row>
        <row r="399">
          <cell r="D399" t="str">
            <v>G28</v>
          </cell>
          <cell r="G399">
            <v>1267</v>
          </cell>
          <cell r="J399">
            <v>46151</v>
          </cell>
          <cell r="K399">
            <v>70</v>
          </cell>
          <cell r="M399">
            <v>8</v>
          </cell>
          <cell r="O399">
            <v>0</v>
          </cell>
        </row>
        <row r="400">
          <cell r="D400" t="str">
            <v>G29</v>
          </cell>
          <cell r="G400">
            <v>2008</v>
          </cell>
          <cell r="J400">
            <v>46151</v>
          </cell>
          <cell r="K400">
            <v>194</v>
          </cell>
          <cell r="M400">
            <v>71</v>
          </cell>
          <cell r="O400">
            <v>0</v>
          </cell>
        </row>
        <row r="401">
          <cell r="D401" t="str">
            <v>G30</v>
          </cell>
          <cell r="G401">
            <v>1885</v>
          </cell>
          <cell r="J401">
            <v>46151</v>
          </cell>
          <cell r="K401">
            <v>183</v>
          </cell>
          <cell r="M401">
            <v>59</v>
          </cell>
          <cell r="O401">
            <v>0</v>
          </cell>
        </row>
        <row r="402">
          <cell r="D402" t="str">
            <v>G31</v>
          </cell>
          <cell r="G402">
            <v>1713</v>
          </cell>
          <cell r="J402">
            <v>46151</v>
          </cell>
          <cell r="K402">
            <v>191</v>
          </cell>
          <cell r="M402">
            <v>4</v>
          </cell>
          <cell r="O402">
            <v>30</v>
          </cell>
        </row>
        <row r="403">
          <cell r="D403" t="str">
            <v>G32</v>
          </cell>
          <cell r="G403">
            <v>1413</v>
          </cell>
          <cell r="J403">
            <v>46151</v>
          </cell>
          <cell r="K403">
            <v>144</v>
          </cell>
          <cell r="M403">
            <v>9</v>
          </cell>
          <cell r="O403">
            <v>22</v>
          </cell>
        </row>
        <row r="404">
          <cell r="D404" t="str">
            <v>G33</v>
          </cell>
          <cell r="G404">
            <v>1875</v>
          </cell>
          <cell r="J404">
            <v>46151</v>
          </cell>
          <cell r="K404">
            <v>197</v>
          </cell>
          <cell r="M404">
            <v>39</v>
          </cell>
          <cell r="O404">
            <v>14</v>
          </cell>
        </row>
        <row r="405">
          <cell r="D405" t="str">
            <v>G34</v>
          </cell>
          <cell r="G405">
            <v>1638</v>
          </cell>
          <cell r="J405">
            <v>46151</v>
          </cell>
          <cell r="K405">
            <v>113</v>
          </cell>
          <cell r="M405">
            <v>24</v>
          </cell>
          <cell r="O405">
            <v>5</v>
          </cell>
        </row>
        <row r="406">
          <cell r="D406" t="str">
            <v>G35</v>
          </cell>
          <cell r="G406">
            <v>2586</v>
          </cell>
          <cell r="J406">
            <v>46153</v>
          </cell>
          <cell r="K406">
            <v>155</v>
          </cell>
          <cell r="M406">
            <v>16</v>
          </cell>
          <cell r="O406">
            <v>33</v>
          </cell>
        </row>
        <row r="407">
          <cell r="D407" t="str">
            <v>G49M</v>
          </cell>
          <cell r="G407">
            <v>292</v>
          </cell>
          <cell r="J407">
            <v>46151</v>
          </cell>
          <cell r="K407">
            <v>6</v>
          </cell>
          <cell r="M407">
            <v>3</v>
          </cell>
          <cell r="O407">
            <v>0</v>
          </cell>
        </row>
        <row r="408">
          <cell r="D408" t="str">
            <v>G52</v>
          </cell>
          <cell r="G408">
            <v>793</v>
          </cell>
          <cell r="J408">
            <v>46151</v>
          </cell>
          <cell r="K408">
            <v>106</v>
          </cell>
          <cell r="M408">
            <v>4</v>
          </cell>
          <cell r="O408">
            <v>0</v>
          </cell>
        </row>
        <row r="409">
          <cell r="D409" t="str">
            <v>G53</v>
          </cell>
          <cell r="G409">
            <v>212</v>
          </cell>
          <cell r="J409">
            <v>46151</v>
          </cell>
          <cell r="K409">
            <v>25</v>
          </cell>
          <cell r="M409">
            <v>1</v>
          </cell>
          <cell r="O409">
            <v>0</v>
          </cell>
        </row>
        <row r="410">
          <cell r="D410" t="str">
            <v>H26M</v>
          </cell>
          <cell r="G410">
            <v>340</v>
          </cell>
          <cell r="J410">
            <v>46153</v>
          </cell>
          <cell r="K410">
            <v>37</v>
          </cell>
          <cell r="M410">
            <v>0</v>
          </cell>
          <cell r="O410">
            <v>2</v>
          </cell>
        </row>
        <row r="411">
          <cell r="D411" t="str">
            <v>H27</v>
          </cell>
          <cell r="G411">
            <v>800</v>
          </cell>
          <cell r="J411">
            <v>46153</v>
          </cell>
          <cell r="K411">
            <v>77</v>
          </cell>
          <cell r="M411">
            <v>2</v>
          </cell>
          <cell r="O411">
            <v>8</v>
          </cell>
        </row>
        <row r="412">
          <cell r="D412" t="str">
            <v>H28</v>
          </cell>
          <cell r="G412">
            <v>367</v>
          </cell>
          <cell r="J412">
            <v>46153</v>
          </cell>
          <cell r="K412">
            <v>30</v>
          </cell>
          <cell r="M412">
            <v>0</v>
          </cell>
          <cell r="O412">
            <v>3</v>
          </cell>
        </row>
        <row r="413">
          <cell r="D413" t="str">
            <v>H29</v>
          </cell>
          <cell r="G413">
            <v>482</v>
          </cell>
          <cell r="J413">
            <v>46153</v>
          </cell>
          <cell r="K413">
            <v>28</v>
          </cell>
          <cell r="M413">
            <v>1</v>
          </cell>
          <cell r="O413">
            <v>6</v>
          </cell>
        </row>
        <row r="414">
          <cell r="D414" t="str">
            <v>H31</v>
          </cell>
          <cell r="G414">
            <v>2008</v>
          </cell>
          <cell r="J414">
            <v>46153</v>
          </cell>
          <cell r="K414">
            <v>59</v>
          </cell>
          <cell r="M414">
            <v>28</v>
          </cell>
          <cell r="O414">
            <v>5</v>
          </cell>
        </row>
        <row r="415">
          <cell r="D415" t="str">
            <v>H32M</v>
          </cell>
          <cell r="G415">
            <v>1861</v>
          </cell>
          <cell r="J415">
            <v>46153</v>
          </cell>
          <cell r="K415">
            <v>128</v>
          </cell>
          <cell r="M415">
            <v>49</v>
          </cell>
          <cell r="O415">
            <v>13</v>
          </cell>
        </row>
        <row r="416">
          <cell r="D416" t="str">
            <v>H33M</v>
          </cell>
          <cell r="G416">
            <v>1380</v>
          </cell>
          <cell r="J416">
            <v>46153</v>
          </cell>
          <cell r="K416">
            <v>122</v>
          </cell>
          <cell r="M416">
            <v>41</v>
          </cell>
          <cell r="O416">
            <v>0</v>
          </cell>
        </row>
        <row r="417">
          <cell r="D417" t="str">
            <v>H35M</v>
          </cell>
          <cell r="G417">
            <v>729</v>
          </cell>
          <cell r="J417">
            <v>46153</v>
          </cell>
          <cell r="K417">
            <v>116</v>
          </cell>
          <cell r="M417">
            <v>38</v>
          </cell>
          <cell r="O417">
            <v>0</v>
          </cell>
        </row>
        <row r="418">
          <cell r="D418"/>
          <cell r="G418">
            <v>122783</v>
          </cell>
          <cell r="J418"/>
          <cell r="K418">
            <v>10783</v>
          </cell>
          <cell r="M418">
            <v>1851</v>
          </cell>
          <cell r="O418">
            <v>1431</v>
          </cell>
        </row>
        <row r="419">
          <cell r="D419" t="str">
            <v>G15</v>
          </cell>
          <cell r="G419">
            <v>719</v>
          </cell>
          <cell r="J419">
            <v>46149</v>
          </cell>
          <cell r="K419">
            <v>179</v>
          </cell>
          <cell r="M419">
            <v>8</v>
          </cell>
          <cell r="O419">
            <v>161</v>
          </cell>
        </row>
        <row r="420">
          <cell r="D420" t="str">
            <v>G16</v>
          </cell>
          <cell r="G420">
            <v>5791</v>
          </cell>
          <cell r="J420">
            <v>46149</v>
          </cell>
          <cell r="K420">
            <v>265</v>
          </cell>
          <cell r="M420">
            <v>16</v>
          </cell>
          <cell r="O420">
            <v>83</v>
          </cell>
        </row>
        <row r="421">
          <cell r="D421" t="str">
            <v>G17</v>
          </cell>
          <cell r="G421">
            <v>6681</v>
          </cell>
          <cell r="J421">
            <v>46149</v>
          </cell>
          <cell r="K421">
            <v>730</v>
          </cell>
          <cell r="M421">
            <v>57</v>
          </cell>
          <cell r="O421">
            <v>249</v>
          </cell>
        </row>
        <row r="422">
          <cell r="D422" t="str">
            <v>G18</v>
          </cell>
          <cell r="G422">
            <v>6706</v>
          </cell>
          <cell r="J422">
            <v>46149</v>
          </cell>
          <cell r="K422">
            <v>337</v>
          </cell>
          <cell r="M422">
            <v>15</v>
          </cell>
          <cell r="O422">
            <v>21</v>
          </cell>
        </row>
        <row r="423">
          <cell r="D423" t="str">
            <v>G19</v>
          </cell>
          <cell r="G423">
            <v>6839</v>
          </cell>
          <cell r="J423">
            <v>46149</v>
          </cell>
          <cell r="K423">
            <v>709</v>
          </cell>
          <cell r="M423">
            <v>25</v>
          </cell>
          <cell r="O423">
            <v>379</v>
          </cell>
        </row>
        <row r="424">
          <cell r="D424" t="str">
            <v>H15</v>
          </cell>
          <cell r="G424">
            <v>3783</v>
          </cell>
          <cell r="J424">
            <v>46149</v>
          </cell>
          <cell r="K424">
            <v>222</v>
          </cell>
          <cell r="M424">
            <v>13</v>
          </cell>
          <cell r="O424">
            <v>101</v>
          </cell>
        </row>
        <row r="425">
          <cell r="D425" t="str">
            <v>H16</v>
          </cell>
          <cell r="G425">
            <v>5456</v>
          </cell>
          <cell r="J425">
            <v>46149</v>
          </cell>
          <cell r="K425">
            <v>289</v>
          </cell>
          <cell r="M425">
            <v>1</v>
          </cell>
          <cell r="O425">
            <v>132</v>
          </cell>
        </row>
        <row r="426">
          <cell r="D426" t="str">
            <v>H17</v>
          </cell>
          <cell r="G426">
            <v>6295</v>
          </cell>
          <cell r="J426">
            <v>46149</v>
          </cell>
          <cell r="K426">
            <v>621</v>
          </cell>
          <cell r="M426">
            <v>16</v>
          </cell>
          <cell r="O426">
            <v>231</v>
          </cell>
        </row>
        <row r="427">
          <cell r="D427" t="str">
            <v>H18</v>
          </cell>
          <cell r="G427">
            <v>5376</v>
          </cell>
          <cell r="J427">
            <v>46150</v>
          </cell>
          <cell r="K427">
            <v>562</v>
          </cell>
          <cell r="M427">
            <v>9</v>
          </cell>
          <cell r="O427">
            <v>285</v>
          </cell>
        </row>
        <row r="428">
          <cell r="D428" t="str">
            <v>H19</v>
          </cell>
          <cell r="G428">
            <v>7135</v>
          </cell>
          <cell r="J428">
            <v>46150</v>
          </cell>
          <cell r="K428">
            <v>712</v>
          </cell>
          <cell r="M428">
            <v>17</v>
          </cell>
          <cell r="O428">
            <v>176</v>
          </cell>
        </row>
        <row r="429">
          <cell r="D429" t="str">
            <v>H20</v>
          </cell>
          <cell r="G429">
            <v>6172</v>
          </cell>
          <cell r="J429">
            <v>46150</v>
          </cell>
          <cell r="K429">
            <v>639</v>
          </cell>
          <cell r="M429">
            <v>6</v>
          </cell>
          <cell r="O429">
            <v>225</v>
          </cell>
        </row>
        <row r="430">
          <cell r="D430" t="str">
            <v>I15</v>
          </cell>
          <cell r="G430">
            <v>170</v>
          </cell>
          <cell r="J430">
            <v>46150</v>
          </cell>
          <cell r="K430">
            <v>40</v>
          </cell>
          <cell r="M430">
            <v>0</v>
          </cell>
          <cell r="O430">
            <v>8</v>
          </cell>
        </row>
        <row r="431">
          <cell r="D431" t="str">
            <v>I16</v>
          </cell>
          <cell r="G431">
            <v>1554</v>
          </cell>
          <cell r="J431">
            <v>46150</v>
          </cell>
          <cell r="K431">
            <v>161</v>
          </cell>
          <cell r="M431">
            <v>0</v>
          </cell>
          <cell r="O431">
            <v>27</v>
          </cell>
        </row>
        <row r="432">
          <cell r="D432" t="str">
            <v>I17</v>
          </cell>
          <cell r="G432">
            <v>1871</v>
          </cell>
          <cell r="J432">
            <v>46150</v>
          </cell>
          <cell r="K432">
            <v>361</v>
          </cell>
          <cell r="M432">
            <v>0</v>
          </cell>
          <cell r="O432">
            <v>55</v>
          </cell>
        </row>
        <row r="433">
          <cell r="D433" t="str">
            <v>I18</v>
          </cell>
          <cell r="G433">
            <v>2446</v>
          </cell>
          <cell r="J433">
            <v>46150</v>
          </cell>
          <cell r="K433">
            <v>258</v>
          </cell>
          <cell r="M433">
            <v>0</v>
          </cell>
          <cell r="O433">
            <v>85</v>
          </cell>
        </row>
        <row r="434">
          <cell r="D434" t="str">
            <v>I19</v>
          </cell>
          <cell r="G434">
            <v>4714</v>
          </cell>
          <cell r="J434">
            <v>46150</v>
          </cell>
          <cell r="K434">
            <v>678</v>
          </cell>
          <cell r="M434">
            <v>12</v>
          </cell>
          <cell r="O434">
            <v>84</v>
          </cell>
        </row>
        <row r="435">
          <cell r="D435" t="str">
            <v>I20</v>
          </cell>
          <cell r="G435">
            <v>4519</v>
          </cell>
          <cell r="J435">
            <v>46151</v>
          </cell>
          <cell r="K435">
            <v>441</v>
          </cell>
          <cell r="M435">
            <v>5</v>
          </cell>
          <cell r="O435">
            <v>117</v>
          </cell>
        </row>
        <row r="436">
          <cell r="D436" t="str">
            <v>I21</v>
          </cell>
          <cell r="G436">
            <v>2365</v>
          </cell>
          <cell r="J436">
            <v>46151</v>
          </cell>
          <cell r="K436">
            <v>226</v>
          </cell>
          <cell r="M436">
            <v>5</v>
          </cell>
          <cell r="O436">
            <v>86</v>
          </cell>
        </row>
        <row r="437">
          <cell r="D437" t="str">
            <v>I22</v>
          </cell>
          <cell r="G437">
            <v>2694</v>
          </cell>
          <cell r="J437">
            <v>46151</v>
          </cell>
          <cell r="K437">
            <v>284</v>
          </cell>
          <cell r="M437">
            <v>2</v>
          </cell>
          <cell r="O437">
            <v>78</v>
          </cell>
        </row>
        <row r="438">
          <cell r="D438" t="str">
            <v>I23</v>
          </cell>
          <cell r="G438">
            <v>4087</v>
          </cell>
          <cell r="J438">
            <v>46151</v>
          </cell>
          <cell r="K438">
            <v>357</v>
          </cell>
          <cell r="M438">
            <v>0</v>
          </cell>
          <cell r="O438">
            <v>62</v>
          </cell>
        </row>
        <row r="439">
          <cell r="D439" t="str">
            <v>I24</v>
          </cell>
          <cell r="G439">
            <v>3927</v>
          </cell>
          <cell r="J439">
            <v>46151</v>
          </cell>
          <cell r="K439">
            <v>382</v>
          </cell>
          <cell r="M439">
            <v>1</v>
          </cell>
          <cell r="O439">
            <v>207</v>
          </cell>
        </row>
        <row r="440">
          <cell r="D440" t="str">
            <v>I25</v>
          </cell>
          <cell r="G440">
            <v>4326</v>
          </cell>
          <cell r="J440">
            <v>46151</v>
          </cell>
          <cell r="K440">
            <v>450</v>
          </cell>
          <cell r="M440">
            <v>0</v>
          </cell>
          <cell r="O440">
            <v>137</v>
          </cell>
        </row>
        <row r="441">
          <cell r="D441" t="str">
            <v>I26</v>
          </cell>
          <cell r="G441">
            <v>5800</v>
          </cell>
          <cell r="J441">
            <v>46151</v>
          </cell>
          <cell r="K441">
            <v>552</v>
          </cell>
          <cell r="M441">
            <v>5</v>
          </cell>
          <cell r="O441">
            <v>123</v>
          </cell>
        </row>
        <row r="442">
          <cell r="D442" t="str">
            <v>I27M</v>
          </cell>
          <cell r="G442">
            <v>1311</v>
          </cell>
          <cell r="J442">
            <v>46151</v>
          </cell>
          <cell r="K442">
            <v>128</v>
          </cell>
          <cell r="M442">
            <v>1</v>
          </cell>
          <cell r="O442">
            <v>52</v>
          </cell>
        </row>
        <row r="443">
          <cell r="D443" t="str">
            <v>I28M</v>
          </cell>
          <cell r="G443">
            <v>812</v>
          </cell>
          <cell r="J443">
            <v>46151</v>
          </cell>
          <cell r="K443">
            <v>84</v>
          </cell>
          <cell r="M443">
            <v>3</v>
          </cell>
          <cell r="O443">
            <v>29</v>
          </cell>
        </row>
        <row r="444">
          <cell r="D444" t="str">
            <v>I29M</v>
          </cell>
          <cell r="G444">
            <v>659</v>
          </cell>
          <cell r="J444">
            <v>46151</v>
          </cell>
          <cell r="K444">
            <v>80</v>
          </cell>
          <cell r="M444">
            <v>4</v>
          </cell>
          <cell r="O444">
            <v>28</v>
          </cell>
        </row>
        <row r="445">
          <cell r="D445" t="str">
            <v>I30M</v>
          </cell>
          <cell r="G445">
            <v>112</v>
          </cell>
          <cell r="J445">
            <v>46151</v>
          </cell>
          <cell r="K445">
            <v>13</v>
          </cell>
          <cell r="M445">
            <v>1</v>
          </cell>
          <cell r="O445">
            <v>7</v>
          </cell>
        </row>
        <row r="446">
          <cell r="D446" t="str">
            <v>J23</v>
          </cell>
          <cell r="G446">
            <v>469</v>
          </cell>
          <cell r="J446">
            <v>46151</v>
          </cell>
          <cell r="K446">
            <v>27</v>
          </cell>
          <cell r="M446">
            <v>2</v>
          </cell>
          <cell r="O446">
            <v>9</v>
          </cell>
        </row>
        <row r="447">
          <cell r="D447" t="str">
            <v>J24</v>
          </cell>
          <cell r="G447">
            <v>601</v>
          </cell>
          <cell r="J447">
            <v>46151</v>
          </cell>
          <cell r="K447">
            <v>60</v>
          </cell>
          <cell r="M447">
            <v>3</v>
          </cell>
          <cell r="O447">
            <v>12</v>
          </cell>
        </row>
        <row r="448">
          <cell r="D448" t="str">
            <v>J25</v>
          </cell>
          <cell r="G448">
            <v>1570</v>
          </cell>
          <cell r="J448">
            <v>46151</v>
          </cell>
          <cell r="K448">
            <v>156</v>
          </cell>
          <cell r="M448">
            <v>7</v>
          </cell>
          <cell r="O448">
            <v>16</v>
          </cell>
        </row>
        <row r="449">
          <cell r="D449" t="str">
            <v>J26</v>
          </cell>
          <cell r="G449">
            <v>2209</v>
          </cell>
          <cell r="J449">
            <v>46151</v>
          </cell>
          <cell r="K449">
            <v>240</v>
          </cell>
          <cell r="M449">
            <v>12</v>
          </cell>
          <cell r="O449">
            <v>29</v>
          </cell>
        </row>
        <row r="450">
          <cell r="D450" t="str">
            <v>J27</v>
          </cell>
          <cell r="G450">
            <v>3877</v>
          </cell>
          <cell r="J450">
            <v>46153</v>
          </cell>
          <cell r="K450">
            <v>404</v>
          </cell>
          <cell r="M450">
            <v>0</v>
          </cell>
          <cell r="O450">
            <v>53</v>
          </cell>
        </row>
        <row r="451">
          <cell r="D451" t="str">
            <v>J28</v>
          </cell>
          <cell r="G451">
            <v>4850</v>
          </cell>
          <cell r="J451">
            <v>46153</v>
          </cell>
          <cell r="K451">
            <v>577</v>
          </cell>
          <cell r="M451">
            <v>9</v>
          </cell>
          <cell r="O451">
            <v>109</v>
          </cell>
        </row>
        <row r="452">
          <cell r="D452" t="str">
            <v>J29</v>
          </cell>
          <cell r="G452">
            <v>1559</v>
          </cell>
          <cell r="J452">
            <v>46153</v>
          </cell>
          <cell r="K452">
            <v>146</v>
          </cell>
          <cell r="M452">
            <v>6</v>
          </cell>
          <cell r="O452">
            <v>41</v>
          </cell>
        </row>
        <row r="453">
          <cell r="D453" t="str">
            <v>J30</v>
          </cell>
          <cell r="G453">
            <v>1122</v>
          </cell>
          <cell r="J453">
            <v>46153</v>
          </cell>
          <cell r="K453">
            <v>86</v>
          </cell>
          <cell r="M453">
            <v>11</v>
          </cell>
          <cell r="O453">
            <v>15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 Sensus Tikus"/>
      <sheetName val="Summary Sensus Tikus"/>
      <sheetName val="perbandingan"/>
      <sheetName val="Sheet1"/>
    </sheetNames>
    <sheetDataSet>
      <sheetData sheetId="0"/>
      <sheetData sheetId="1"/>
      <sheetData sheetId="2">
        <row r="24">
          <cell r="E24" t="str">
            <v>A37a</v>
          </cell>
          <cell r="H24">
            <v>356</v>
          </cell>
          <cell r="J24">
            <v>45</v>
          </cell>
          <cell r="L24">
            <v>48</v>
          </cell>
        </row>
        <row r="25">
          <cell r="E25" t="str">
            <v>A38a</v>
          </cell>
          <cell r="H25">
            <v>293</v>
          </cell>
          <cell r="J25">
            <v>78</v>
          </cell>
          <cell r="L25">
            <v>54</v>
          </cell>
        </row>
        <row r="26">
          <cell r="E26" t="str">
            <v>A39a</v>
          </cell>
          <cell r="H26">
            <v>451</v>
          </cell>
          <cell r="J26">
            <v>122</v>
          </cell>
          <cell r="L26">
            <v>78</v>
          </cell>
        </row>
        <row r="27">
          <cell r="E27" t="str">
            <v>A40a</v>
          </cell>
          <cell r="H27">
            <v>330</v>
          </cell>
          <cell r="J27">
            <v>131</v>
          </cell>
          <cell r="L27">
            <v>41</v>
          </cell>
        </row>
        <row r="28">
          <cell r="E28" t="str">
            <v>A41a</v>
          </cell>
          <cell r="H28">
            <v>342</v>
          </cell>
          <cell r="J28">
            <v>73</v>
          </cell>
          <cell r="L28">
            <v>39</v>
          </cell>
        </row>
        <row r="29">
          <cell r="E29" t="str">
            <v>A42a</v>
          </cell>
          <cell r="H29">
            <v>306</v>
          </cell>
          <cell r="J29">
            <v>113</v>
          </cell>
          <cell r="L29">
            <v>51</v>
          </cell>
        </row>
        <row r="30">
          <cell r="E30" t="str">
            <v>A43a</v>
          </cell>
          <cell r="H30">
            <v>315</v>
          </cell>
          <cell r="J30">
            <v>172</v>
          </cell>
          <cell r="L30">
            <v>68</v>
          </cell>
        </row>
        <row r="31">
          <cell r="E31" t="str">
            <v>A44a</v>
          </cell>
          <cell r="H31">
            <v>297</v>
          </cell>
          <cell r="J31">
            <v>82</v>
          </cell>
          <cell r="L31">
            <v>52</v>
          </cell>
        </row>
        <row r="32">
          <cell r="E32" t="str">
            <v>A45a</v>
          </cell>
          <cell r="H32">
            <v>240</v>
          </cell>
          <cell r="J32">
            <v>63</v>
          </cell>
          <cell r="L32">
            <v>32</v>
          </cell>
        </row>
        <row r="33">
          <cell r="E33" t="str">
            <v>A46a</v>
          </cell>
          <cell r="H33">
            <v>205</v>
          </cell>
          <cell r="J33">
            <v>20</v>
          </cell>
          <cell r="L33">
            <v>25</v>
          </cell>
        </row>
        <row r="34">
          <cell r="E34" t="str">
            <v>B35a</v>
          </cell>
          <cell r="H34">
            <v>301</v>
          </cell>
          <cell r="J34">
            <v>84</v>
          </cell>
          <cell r="L34">
            <v>57</v>
          </cell>
        </row>
        <row r="35">
          <cell r="E35" t="str">
            <v>B36a</v>
          </cell>
          <cell r="H35">
            <v>312</v>
          </cell>
          <cell r="J35">
            <v>63</v>
          </cell>
          <cell r="L35">
            <v>51</v>
          </cell>
        </row>
        <row r="36">
          <cell r="E36" t="str">
            <v>B37a</v>
          </cell>
          <cell r="H36">
            <v>366</v>
          </cell>
          <cell r="J36">
            <v>95</v>
          </cell>
          <cell r="L36">
            <v>45</v>
          </cell>
        </row>
        <row r="37">
          <cell r="E37" t="str">
            <v>B38a</v>
          </cell>
          <cell r="H37">
            <v>336</v>
          </cell>
          <cell r="J37">
            <v>120</v>
          </cell>
          <cell r="L37">
            <v>56</v>
          </cell>
        </row>
        <row r="38">
          <cell r="E38" t="str">
            <v>B39a</v>
          </cell>
          <cell r="H38">
            <v>353</v>
          </cell>
          <cell r="J38">
            <v>64</v>
          </cell>
          <cell r="L38">
            <v>38</v>
          </cell>
        </row>
        <row r="39">
          <cell r="E39" t="str">
            <v>B40a</v>
          </cell>
          <cell r="H39">
            <v>381</v>
          </cell>
          <cell r="J39">
            <v>193</v>
          </cell>
          <cell r="L39">
            <v>77</v>
          </cell>
        </row>
        <row r="40">
          <cell r="E40" t="str">
            <v>B41a</v>
          </cell>
          <cell r="H40">
            <v>353</v>
          </cell>
          <cell r="J40">
            <v>210</v>
          </cell>
          <cell r="L40">
            <v>92</v>
          </cell>
        </row>
        <row r="41">
          <cell r="E41" t="str">
            <v>B42a</v>
          </cell>
          <cell r="H41">
            <v>462</v>
          </cell>
          <cell r="J41">
            <v>174</v>
          </cell>
          <cell r="L41">
            <v>65</v>
          </cell>
        </row>
        <row r="42">
          <cell r="E42" t="str">
            <v>B43a</v>
          </cell>
          <cell r="H42">
            <v>323</v>
          </cell>
          <cell r="J42">
            <v>68</v>
          </cell>
          <cell r="L42">
            <v>71</v>
          </cell>
        </row>
        <row r="43">
          <cell r="E43" t="str">
            <v>B44a</v>
          </cell>
          <cell r="H43">
            <v>245</v>
          </cell>
          <cell r="J43">
            <v>63</v>
          </cell>
          <cell r="L43">
            <v>38</v>
          </cell>
        </row>
        <row r="44">
          <cell r="E44" t="str">
            <v>B45a</v>
          </cell>
          <cell r="H44">
            <v>337</v>
          </cell>
          <cell r="J44">
            <v>66</v>
          </cell>
          <cell r="L44">
            <v>34</v>
          </cell>
        </row>
        <row r="45">
          <cell r="E45" t="str">
            <v>C35a</v>
          </cell>
          <cell r="H45">
            <v>501</v>
          </cell>
          <cell r="J45">
            <v>54</v>
          </cell>
          <cell r="L45">
            <v>32</v>
          </cell>
        </row>
        <row r="46">
          <cell r="E46" t="str">
            <v>C36a</v>
          </cell>
          <cell r="H46">
            <v>330</v>
          </cell>
          <cell r="J46">
            <v>76</v>
          </cell>
          <cell r="L46">
            <v>65</v>
          </cell>
        </row>
        <row r="47">
          <cell r="E47" t="str">
            <v>C37a</v>
          </cell>
          <cell r="H47">
            <v>367</v>
          </cell>
          <cell r="J47">
            <v>34</v>
          </cell>
          <cell r="L47">
            <v>47</v>
          </cell>
        </row>
        <row r="48">
          <cell r="E48" t="str">
            <v>C38a</v>
          </cell>
          <cell r="H48">
            <v>354</v>
          </cell>
          <cell r="J48">
            <v>51</v>
          </cell>
          <cell r="L48">
            <v>64</v>
          </cell>
        </row>
        <row r="49">
          <cell r="E49" t="str">
            <v>C39a</v>
          </cell>
          <cell r="H49">
            <v>322</v>
          </cell>
          <cell r="J49">
            <v>91</v>
          </cell>
          <cell r="L49">
            <v>78</v>
          </cell>
        </row>
        <row r="50">
          <cell r="E50" t="str">
            <v>C40a</v>
          </cell>
          <cell r="H50">
            <v>375</v>
          </cell>
          <cell r="J50">
            <v>45</v>
          </cell>
          <cell r="L50">
            <v>34</v>
          </cell>
        </row>
        <row r="51">
          <cell r="E51" t="str">
            <v>C41a</v>
          </cell>
          <cell r="H51">
            <v>369</v>
          </cell>
          <cell r="J51">
            <v>38</v>
          </cell>
          <cell r="L51">
            <v>41</v>
          </cell>
        </row>
        <row r="52">
          <cell r="E52" t="str">
            <v>C42a</v>
          </cell>
          <cell r="H52">
            <v>382</v>
          </cell>
          <cell r="J52">
            <v>81</v>
          </cell>
          <cell r="L52">
            <v>67</v>
          </cell>
        </row>
        <row r="53">
          <cell r="E53" t="str">
            <v>C43a</v>
          </cell>
          <cell r="H53">
            <v>377</v>
          </cell>
          <cell r="J53">
            <v>73</v>
          </cell>
          <cell r="L53">
            <v>82</v>
          </cell>
        </row>
        <row r="54">
          <cell r="E54" t="str">
            <v>C44a</v>
          </cell>
          <cell r="H54">
            <v>307</v>
          </cell>
          <cell r="J54">
            <v>68</v>
          </cell>
          <cell r="L54">
            <v>57</v>
          </cell>
        </row>
        <row r="55">
          <cell r="E55" t="str">
            <v>C45a</v>
          </cell>
          <cell r="H55">
            <v>466</v>
          </cell>
          <cell r="J55">
            <v>56</v>
          </cell>
          <cell r="L55">
            <v>33</v>
          </cell>
        </row>
        <row r="56">
          <cell r="E56" t="str">
            <v>D33a</v>
          </cell>
          <cell r="H56">
            <v>288</v>
          </cell>
          <cell r="J56">
            <v>88</v>
          </cell>
          <cell r="L56">
            <v>23</v>
          </cell>
        </row>
        <row r="57">
          <cell r="E57" t="str">
            <v>D34a</v>
          </cell>
          <cell r="H57">
            <v>187</v>
          </cell>
          <cell r="J57">
            <v>68</v>
          </cell>
          <cell r="L57">
            <v>77</v>
          </cell>
        </row>
        <row r="58">
          <cell r="E58" t="str">
            <v>D35a</v>
          </cell>
          <cell r="H58">
            <v>389</v>
          </cell>
          <cell r="J58">
            <v>144</v>
          </cell>
          <cell r="L58">
            <v>99</v>
          </cell>
        </row>
        <row r="59">
          <cell r="E59" t="str">
            <v>D36a</v>
          </cell>
          <cell r="H59">
            <v>234</v>
          </cell>
          <cell r="J59">
            <v>116</v>
          </cell>
          <cell r="L59">
            <v>129</v>
          </cell>
        </row>
        <row r="60">
          <cell r="E60" t="str">
            <v>D37a</v>
          </cell>
          <cell r="H60">
            <v>145</v>
          </cell>
          <cell r="J60">
            <v>95</v>
          </cell>
          <cell r="L60">
            <v>87</v>
          </cell>
        </row>
        <row r="61">
          <cell r="E61" t="str">
            <v>D38a</v>
          </cell>
          <cell r="H61">
            <v>115</v>
          </cell>
          <cell r="J61">
            <v>87</v>
          </cell>
          <cell r="L61">
            <v>65</v>
          </cell>
        </row>
        <row r="62">
          <cell r="E62" t="str">
            <v>D39a</v>
          </cell>
          <cell r="H62">
            <v>256</v>
          </cell>
          <cell r="J62">
            <v>169</v>
          </cell>
          <cell r="L62">
            <v>145</v>
          </cell>
        </row>
        <row r="63">
          <cell r="E63" t="str">
            <v>D40a</v>
          </cell>
          <cell r="H63">
            <v>299</v>
          </cell>
          <cell r="J63">
            <v>192</v>
          </cell>
          <cell r="L63">
            <v>24</v>
          </cell>
        </row>
        <row r="64">
          <cell r="E64" t="str">
            <v>D41a</v>
          </cell>
          <cell r="H64">
            <v>199</v>
          </cell>
          <cell r="J64">
            <v>99</v>
          </cell>
          <cell r="L64">
            <v>34</v>
          </cell>
        </row>
        <row r="65">
          <cell r="E65" t="str">
            <v>E31a</v>
          </cell>
          <cell r="H65">
            <v>387</v>
          </cell>
          <cell r="J65">
            <v>134</v>
          </cell>
          <cell r="L65">
            <v>47</v>
          </cell>
        </row>
        <row r="66">
          <cell r="E66" t="str">
            <v>E32a</v>
          </cell>
          <cell r="H66">
            <v>281</v>
          </cell>
          <cell r="J66">
            <v>99</v>
          </cell>
          <cell r="L66">
            <v>66</v>
          </cell>
        </row>
        <row r="67">
          <cell r="E67" t="str">
            <v>E33a</v>
          </cell>
          <cell r="H67">
            <v>371</v>
          </cell>
          <cell r="J67">
            <v>89</v>
          </cell>
          <cell r="L67">
            <v>24</v>
          </cell>
        </row>
        <row r="68">
          <cell r="E68" t="str">
            <v>E34a</v>
          </cell>
          <cell r="H68">
            <v>166</v>
          </cell>
          <cell r="J68">
            <v>67</v>
          </cell>
          <cell r="L68">
            <v>35</v>
          </cell>
        </row>
        <row r="69">
          <cell r="E69" t="str">
            <v>E35a</v>
          </cell>
          <cell r="H69">
            <v>396</v>
          </cell>
          <cell r="J69">
            <v>90</v>
          </cell>
          <cell r="L69">
            <v>23</v>
          </cell>
        </row>
        <row r="70">
          <cell r="E70" t="str">
            <v>E36a</v>
          </cell>
          <cell r="H70">
            <v>277</v>
          </cell>
          <cell r="J70">
            <v>77</v>
          </cell>
          <cell r="L70">
            <v>57</v>
          </cell>
        </row>
        <row r="71">
          <cell r="E71" t="str">
            <v>E37a</v>
          </cell>
          <cell r="H71">
            <v>165</v>
          </cell>
          <cell r="J71">
            <v>65</v>
          </cell>
          <cell r="L71">
            <v>37</v>
          </cell>
        </row>
        <row r="72">
          <cell r="E72" t="str">
            <v>E38a</v>
          </cell>
          <cell r="H72">
            <v>246</v>
          </cell>
          <cell r="J72">
            <v>167</v>
          </cell>
          <cell r="L72">
            <v>44</v>
          </cell>
        </row>
        <row r="73">
          <cell r="E73" t="str">
            <v>E39a</v>
          </cell>
          <cell r="H73">
            <v>372</v>
          </cell>
          <cell r="J73">
            <v>132</v>
          </cell>
          <cell r="L73">
            <v>67</v>
          </cell>
        </row>
        <row r="74">
          <cell r="E74" t="str">
            <v>E40a</v>
          </cell>
          <cell r="H74">
            <v>188</v>
          </cell>
          <cell r="J74">
            <v>92</v>
          </cell>
          <cell r="L74">
            <v>23</v>
          </cell>
        </row>
        <row r="75">
          <cell r="E75" t="str">
            <v>E41a</v>
          </cell>
          <cell r="H75">
            <v>198</v>
          </cell>
          <cell r="J75">
            <v>99</v>
          </cell>
          <cell r="L75">
            <v>77</v>
          </cell>
        </row>
        <row r="76">
          <cell r="E76" t="str">
            <v>F31a</v>
          </cell>
          <cell r="H76">
            <v>132</v>
          </cell>
          <cell r="J76">
            <v>54</v>
          </cell>
          <cell r="L76">
            <v>16</v>
          </cell>
        </row>
        <row r="77">
          <cell r="E77" t="str">
            <v>F32a</v>
          </cell>
          <cell r="H77">
            <v>138</v>
          </cell>
          <cell r="J77">
            <v>68</v>
          </cell>
          <cell r="L77">
            <v>31</v>
          </cell>
        </row>
        <row r="78">
          <cell r="E78" t="str">
            <v>F33a</v>
          </cell>
          <cell r="H78">
            <v>145</v>
          </cell>
          <cell r="J78">
            <v>74</v>
          </cell>
          <cell r="L78">
            <v>33</v>
          </cell>
        </row>
        <row r="79">
          <cell r="E79" t="str">
            <v>F34a</v>
          </cell>
          <cell r="H79">
            <v>148</v>
          </cell>
          <cell r="J79">
            <v>88</v>
          </cell>
          <cell r="L79">
            <v>45</v>
          </cell>
        </row>
        <row r="80">
          <cell r="E80" t="str">
            <v>F35a</v>
          </cell>
          <cell r="H80">
            <v>167</v>
          </cell>
          <cell r="J80">
            <v>99</v>
          </cell>
          <cell r="L80">
            <v>67</v>
          </cell>
        </row>
        <row r="81">
          <cell r="E81" t="str">
            <v>F36a</v>
          </cell>
          <cell r="H81">
            <v>139</v>
          </cell>
          <cell r="J81">
            <v>87</v>
          </cell>
          <cell r="L81">
            <v>55</v>
          </cell>
        </row>
        <row r="82">
          <cell r="E82" t="str">
            <v>F37a</v>
          </cell>
          <cell r="H82">
            <v>137</v>
          </cell>
          <cell r="J82">
            <v>56</v>
          </cell>
          <cell r="L82">
            <v>21</v>
          </cell>
        </row>
        <row r="83">
          <cell r="E83" t="str">
            <v>F38a</v>
          </cell>
          <cell r="H83">
            <v>247</v>
          </cell>
          <cell r="J83">
            <v>88</v>
          </cell>
          <cell r="L83">
            <v>52</v>
          </cell>
        </row>
        <row r="84">
          <cell r="E84" t="str">
            <v>G26a</v>
          </cell>
          <cell r="H84">
            <v>367</v>
          </cell>
          <cell r="J84">
            <v>72</v>
          </cell>
          <cell r="L84">
            <v>27</v>
          </cell>
        </row>
        <row r="85">
          <cell r="E85" t="str">
            <v>G27a</v>
          </cell>
          <cell r="H85">
            <v>259</v>
          </cell>
          <cell r="J85">
            <v>90</v>
          </cell>
          <cell r="L85">
            <v>18</v>
          </cell>
        </row>
        <row r="86">
          <cell r="E86" t="str">
            <v>G28a</v>
          </cell>
          <cell r="H86">
            <v>0</v>
          </cell>
          <cell r="J86">
            <v>0</v>
          </cell>
          <cell r="L86">
            <v>0</v>
          </cell>
        </row>
        <row r="87">
          <cell r="E87" t="str">
            <v>G29a</v>
          </cell>
          <cell r="H87">
            <v>272</v>
          </cell>
          <cell r="J87">
            <v>30</v>
          </cell>
          <cell r="L87">
            <v>25</v>
          </cell>
        </row>
        <row r="88">
          <cell r="E88" t="str">
            <v>G30a</v>
          </cell>
          <cell r="H88">
            <v>246</v>
          </cell>
          <cell r="J88">
            <v>74</v>
          </cell>
          <cell r="L88">
            <v>25</v>
          </cell>
        </row>
        <row r="89">
          <cell r="E89" t="str">
            <v>G31a</v>
          </cell>
          <cell r="H89">
            <v>270</v>
          </cell>
          <cell r="J89">
            <v>68</v>
          </cell>
          <cell r="L89">
            <v>15</v>
          </cell>
        </row>
        <row r="90">
          <cell r="E90" t="str">
            <v>G32a</v>
          </cell>
          <cell r="H90">
            <v>491</v>
          </cell>
          <cell r="J90">
            <v>96</v>
          </cell>
          <cell r="L90">
            <v>44</v>
          </cell>
        </row>
        <row r="91">
          <cell r="E91" t="str">
            <v>G33a</v>
          </cell>
          <cell r="H91">
            <v>367</v>
          </cell>
          <cell r="J91">
            <v>87</v>
          </cell>
          <cell r="L91">
            <v>22</v>
          </cell>
        </row>
        <row r="92">
          <cell r="E92" t="str">
            <v>G34a</v>
          </cell>
          <cell r="H92">
            <v>346</v>
          </cell>
          <cell r="J92">
            <v>73</v>
          </cell>
          <cell r="L92">
            <v>34</v>
          </cell>
        </row>
        <row r="93">
          <cell r="E93" t="str">
            <v>G35a</v>
          </cell>
          <cell r="H93">
            <v>269</v>
          </cell>
          <cell r="J93">
            <v>67</v>
          </cell>
          <cell r="L93">
            <v>22</v>
          </cell>
        </row>
        <row r="94">
          <cell r="E94" t="str">
            <v>G36a</v>
          </cell>
          <cell r="H94">
            <v>294</v>
          </cell>
          <cell r="J94">
            <v>70</v>
          </cell>
          <cell r="L94">
            <v>47</v>
          </cell>
        </row>
        <row r="95">
          <cell r="E95" t="str">
            <v>G37a</v>
          </cell>
          <cell r="H95">
            <v>376</v>
          </cell>
          <cell r="J95">
            <v>121</v>
          </cell>
          <cell r="L95">
            <v>33</v>
          </cell>
        </row>
        <row r="96">
          <cell r="E96" t="str">
            <v>G38a</v>
          </cell>
          <cell r="H96">
            <v>368</v>
          </cell>
          <cell r="J96">
            <v>123</v>
          </cell>
          <cell r="L96">
            <v>22</v>
          </cell>
        </row>
        <row r="97">
          <cell r="E97" t="str">
            <v>H25a</v>
          </cell>
          <cell r="H97">
            <v>368</v>
          </cell>
          <cell r="J97">
            <v>89</v>
          </cell>
          <cell r="L97">
            <v>33</v>
          </cell>
        </row>
        <row r="98">
          <cell r="E98" t="str">
            <v>H26a</v>
          </cell>
          <cell r="H98">
            <v>321</v>
          </cell>
          <cell r="J98">
            <v>102</v>
          </cell>
          <cell r="L98">
            <v>49</v>
          </cell>
        </row>
        <row r="99">
          <cell r="E99" t="str">
            <v>H27a</v>
          </cell>
          <cell r="H99">
            <v>234</v>
          </cell>
          <cell r="J99">
            <v>47</v>
          </cell>
          <cell r="L99">
            <v>28</v>
          </cell>
        </row>
        <row r="100">
          <cell r="E100" t="str">
            <v>H28a</v>
          </cell>
          <cell r="H100">
            <v>380</v>
          </cell>
          <cell r="J100">
            <v>67</v>
          </cell>
          <cell r="L100">
            <v>88</v>
          </cell>
        </row>
        <row r="101">
          <cell r="E101" t="str">
            <v>H29a</v>
          </cell>
          <cell r="H101">
            <v>0</v>
          </cell>
          <cell r="J101">
            <v>0</v>
          </cell>
          <cell r="L101">
            <v>0</v>
          </cell>
        </row>
        <row r="102">
          <cell r="E102" t="str">
            <v>H30a</v>
          </cell>
          <cell r="H102">
            <v>0</v>
          </cell>
          <cell r="J102">
            <v>0</v>
          </cell>
          <cell r="L102">
            <v>0</v>
          </cell>
        </row>
        <row r="103">
          <cell r="E103" t="str">
            <v>H31a</v>
          </cell>
          <cell r="H103">
            <v>272</v>
          </cell>
          <cell r="J103">
            <v>76</v>
          </cell>
          <cell r="L103">
            <v>41</v>
          </cell>
        </row>
        <row r="104">
          <cell r="E104" t="str">
            <v>H32a</v>
          </cell>
          <cell r="H104">
            <v>214</v>
          </cell>
          <cell r="J104">
            <v>41</v>
          </cell>
          <cell r="L104">
            <v>19</v>
          </cell>
        </row>
        <row r="105">
          <cell r="E105" t="str">
            <v>H33a</v>
          </cell>
          <cell r="H105">
            <v>190</v>
          </cell>
          <cell r="J105">
            <v>44</v>
          </cell>
          <cell r="L105">
            <v>18</v>
          </cell>
        </row>
        <row r="106">
          <cell r="E106" t="str">
            <v>H35a</v>
          </cell>
          <cell r="H106">
            <v>248</v>
          </cell>
          <cell r="J106">
            <v>71</v>
          </cell>
          <cell r="L106">
            <v>29</v>
          </cell>
        </row>
        <row r="107">
          <cell r="E107" t="str">
            <v>H36a</v>
          </cell>
          <cell r="H107">
            <v>432</v>
          </cell>
          <cell r="J107">
            <v>67</v>
          </cell>
          <cell r="L107">
            <v>43</v>
          </cell>
        </row>
        <row r="108">
          <cell r="E108" t="str">
            <v>I25a</v>
          </cell>
          <cell r="H108">
            <v>289</v>
          </cell>
          <cell r="J108">
            <v>57</v>
          </cell>
          <cell r="L108">
            <v>17</v>
          </cell>
        </row>
        <row r="109">
          <cell r="E109" t="str">
            <v>I26a</v>
          </cell>
          <cell r="H109">
            <v>264</v>
          </cell>
          <cell r="J109">
            <v>56</v>
          </cell>
          <cell r="L109">
            <v>23</v>
          </cell>
        </row>
        <row r="110">
          <cell r="E110" t="str">
            <v>I27a</v>
          </cell>
          <cell r="H110">
            <v>246</v>
          </cell>
          <cell r="J110">
            <v>52</v>
          </cell>
          <cell r="L110">
            <v>27</v>
          </cell>
        </row>
        <row r="111">
          <cell r="E111" t="str">
            <v>I28a</v>
          </cell>
          <cell r="H111">
            <v>320</v>
          </cell>
          <cell r="J111">
            <v>98</v>
          </cell>
          <cell r="L111">
            <v>27</v>
          </cell>
        </row>
        <row r="112">
          <cell r="E112" t="str">
            <v>I29a</v>
          </cell>
          <cell r="H112">
            <v>231</v>
          </cell>
          <cell r="J112">
            <v>86</v>
          </cell>
          <cell r="L112">
            <v>12</v>
          </cell>
        </row>
        <row r="113">
          <cell r="E113" t="str">
            <v>I32a</v>
          </cell>
          <cell r="H113">
            <v>397</v>
          </cell>
          <cell r="J113">
            <v>98</v>
          </cell>
          <cell r="L113">
            <v>45</v>
          </cell>
        </row>
        <row r="114">
          <cell r="E114" t="str">
            <v>G22a</v>
          </cell>
          <cell r="H114">
            <v>440</v>
          </cell>
          <cell r="J114">
            <v>113</v>
          </cell>
          <cell r="L114">
            <v>41</v>
          </cell>
        </row>
        <row r="115">
          <cell r="E115" t="str">
            <v>G23a</v>
          </cell>
          <cell r="H115">
            <v>1004</v>
          </cell>
          <cell r="J115">
            <v>137</v>
          </cell>
          <cell r="L115">
            <v>53</v>
          </cell>
        </row>
        <row r="116">
          <cell r="E116" t="str">
            <v>G24a</v>
          </cell>
          <cell r="H116">
            <v>960</v>
          </cell>
          <cell r="J116">
            <v>136</v>
          </cell>
          <cell r="L116">
            <v>54</v>
          </cell>
        </row>
        <row r="117">
          <cell r="E117" t="str">
            <v>G25a</v>
          </cell>
          <cell r="H117">
            <v>1084</v>
          </cell>
          <cell r="J117">
            <v>109</v>
          </cell>
          <cell r="L117">
            <v>73</v>
          </cell>
        </row>
        <row r="118">
          <cell r="E118" t="str">
            <v>H16a</v>
          </cell>
          <cell r="H118">
            <v>659</v>
          </cell>
          <cell r="J118">
            <v>114</v>
          </cell>
          <cell r="L118">
            <v>52</v>
          </cell>
        </row>
        <row r="119">
          <cell r="E119" t="str">
            <v>H17a</v>
          </cell>
          <cell r="H119">
            <v>667</v>
          </cell>
          <cell r="J119">
            <v>139</v>
          </cell>
          <cell r="L119">
            <v>77</v>
          </cell>
        </row>
        <row r="120">
          <cell r="E120" t="str">
            <v>H18a</v>
          </cell>
          <cell r="H120">
            <v>781</v>
          </cell>
          <cell r="J120">
            <v>146</v>
          </cell>
          <cell r="L120">
            <v>106</v>
          </cell>
        </row>
        <row r="121">
          <cell r="E121" t="str">
            <v>H19a</v>
          </cell>
          <cell r="H121">
            <v>840</v>
          </cell>
          <cell r="J121">
            <v>222</v>
          </cell>
          <cell r="L121">
            <v>44</v>
          </cell>
        </row>
        <row r="122">
          <cell r="E122" t="str">
            <v>H20a</v>
          </cell>
          <cell r="H122">
            <v>840</v>
          </cell>
          <cell r="J122">
            <v>327</v>
          </cell>
          <cell r="L122">
            <v>45</v>
          </cell>
        </row>
        <row r="123">
          <cell r="E123" t="str">
            <v>H21a</v>
          </cell>
          <cell r="H123">
            <v>802</v>
          </cell>
          <cell r="J123">
            <v>144</v>
          </cell>
          <cell r="L123">
            <v>66</v>
          </cell>
        </row>
        <row r="124">
          <cell r="E124" t="str">
            <v>H22a</v>
          </cell>
          <cell r="H124">
            <v>776</v>
          </cell>
          <cell r="J124">
            <v>124</v>
          </cell>
          <cell r="L124">
            <v>40</v>
          </cell>
        </row>
        <row r="125">
          <cell r="E125" t="str">
            <v>H23a</v>
          </cell>
          <cell r="H125">
            <v>704</v>
          </cell>
          <cell r="J125">
            <v>163</v>
          </cell>
          <cell r="L125">
            <v>43</v>
          </cell>
        </row>
        <row r="126">
          <cell r="E126" t="str">
            <v>H24a</v>
          </cell>
          <cell r="H126">
            <v>780</v>
          </cell>
          <cell r="J126">
            <v>110</v>
          </cell>
          <cell r="L126">
            <v>64</v>
          </cell>
        </row>
        <row r="127">
          <cell r="E127" t="str">
            <v>I16a</v>
          </cell>
          <cell r="H127">
            <v>130</v>
          </cell>
          <cell r="J127">
            <v>20</v>
          </cell>
          <cell r="L127">
            <v>16</v>
          </cell>
        </row>
        <row r="128">
          <cell r="E128" t="str">
            <v>I17a</v>
          </cell>
          <cell r="H128">
            <v>884</v>
          </cell>
          <cell r="J128">
            <v>163</v>
          </cell>
          <cell r="L128">
            <v>80</v>
          </cell>
        </row>
        <row r="129">
          <cell r="E129" t="str">
            <v>I18a</v>
          </cell>
          <cell r="H129">
            <v>986</v>
          </cell>
          <cell r="J129">
            <v>167</v>
          </cell>
          <cell r="L129">
            <v>78</v>
          </cell>
        </row>
        <row r="130">
          <cell r="E130" t="str">
            <v>I19a</v>
          </cell>
          <cell r="H130">
            <v>958</v>
          </cell>
          <cell r="J130">
            <v>238</v>
          </cell>
          <cell r="L130">
            <v>53</v>
          </cell>
        </row>
        <row r="131">
          <cell r="E131" t="str">
            <v>I20a</v>
          </cell>
          <cell r="H131">
            <v>390</v>
          </cell>
          <cell r="J131">
            <v>46</v>
          </cell>
          <cell r="L131">
            <v>23</v>
          </cell>
        </row>
        <row r="132">
          <cell r="E132" t="str">
            <v>I21a</v>
          </cell>
          <cell r="H132">
            <v>760</v>
          </cell>
          <cell r="J132">
            <v>180</v>
          </cell>
          <cell r="L132">
            <v>78</v>
          </cell>
        </row>
        <row r="133">
          <cell r="E133" t="str">
            <v>I22a</v>
          </cell>
          <cell r="H133">
            <v>726</v>
          </cell>
          <cell r="J133">
            <v>109</v>
          </cell>
          <cell r="L133">
            <v>64</v>
          </cell>
        </row>
        <row r="134">
          <cell r="E134" t="str">
            <v>I23a</v>
          </cell>
          <cell r="H134">
            <v>736</v>
          </cell>
          <cell r="J134">
            <v>105</v>
          </cell>
          <cell r="L134">
            <v>55</v>
          </cell>
        </row>
        <row r="135">
          <cell r="E135" t="str">
            <v>I24a</v>
          </cell>
          <cell r="H135">
            <v>812</v>
          </cell>
          <cell r="J135">
            <v>95</v>
          </cell>
          <cell r="L135">
            <v>151</v>
          </cell>
        </row>
        <row r="136">
          <cell r="E136" t="str">
            <v>J16a</v>
          </cell>
          <cell r="H136">
            <v>43</v>
          </cell>
          <cell r="J136">
            <v>11</v>
          </cell>
          <cell r="L136">
            <v>10</v>
          </cell>
        </row>
        <row r="137">
          <cell r="E137" t="str">
            <v>J17a</v>
          </cell>
          <cell r="H137">
            <v>616</v>
          </cell>
          <cell r="J137">
            <v>64</v>
          </cell>
          <cell r="L137">
            <v>185</v>
          </cell>
        </row>
        <row r="138">
          <cell r="E138" t="str">
            <v>J18a</v>
          </cell>
          <cell r="H138">
            <v>829</v>
          </cell>
          <cell r="J138">
            <v>44</v>
          </cell>
          <cell r="L138">
            <v>289</v>
          </cell>
        </row>
        <row r="139">
          <cell r="E139" t="str">
            <v>J19a</v>
          </cell>
          <cell r="H139">
            <v>907</v>
          </cell>
          <cell r="J139">
            <v>278</v>
          </cell>
          <cell r="L139">
            <v>55</v>
          </cell>
        </row>
        <row r="140">
          <cell r="E140" t="str">
            <v>J20a</v>
          </cell>
          <cell r="H140">
            <v>582</v>
          </cell>
          <cell r="J140">
            <v>109</v>
          </cell>
          <cell r="L140">
            <v>64</v>
          </cell>
        </row>
        <row r="141">
          <cell r="E141" t="str">
            <v>J21a</v>
          </cell>
          <cell r="H141">
            <v>558</v>
          </cell>
          <cell r="J141">
            <v>161</v>
          </cell>
          <cell r="L141">
            <v>33</v>
          </cell>
        </row>
        <row r="142">
          <cell r="E142" t="str">
            <v>J22a</v>
          </cell>
          <cell r="H142">
            <v>0</v>
          </cell>
          <cell r="J142">
            <v>0</v>
          </cell>
          <cell r="L142">
            <v>0</v>
          </cell>
        </row>
        <row r="143">
          <cell r="E143" t="str">
            <v>J23a</v>
          </cell>
          <cell r="H143">
            <v>0</v>
          </cell>
          <cell r="J143">
            <v>0</v>
          </cell>
          <cell r="L143">
            <v>0</v>
          </cell>
        </row>
        <row r="144">
          <cell r="E144" t="str">
            <v>J24a</v>
          </cell>
          <cell r="H144">
            <v>256</v>
          </cell>
          <cell r="J144">
            <v>40</v>
          </cell>
          <cell r="L144">
            <v>55</v>
          </cell>
        </row>
        <row r="145">
          <cell r="E145" t="str">
            <v>G15a</v>
          </cell>
          <cell r="H145">
            <v>381</v>
          </cell>
          <cell r="J145">
            <v>67</v>
          </cell>
          <cell r="L145">
            <v>23</v>
          </cell>
        </row>
        <row r="146">
          <cell r="E146" t="str">
            <v>G16a</v>
          </cell>
          <cell r="H146">
            <v>396</v>
          </cell>
          <cell r="J146">
            <v>198</v>
          </cell>
          <cell r="L146">
            <v>30</v>
          </cell>
        </row>
        <row r="147">
          <cell r="E147" t="str">
            <v>G17a</v>
          </cell>
          <cell r="H147">
            <v>365</v>
          </cell>
          <cell r="J147">
            <v>81</v>
          </cell>
          <cell r="L147">
            <v>21</v>
          </cell>
        </row>
        <row r="148">
          <cell r="E148" t="str">
            <v>G18a</v>
          </cell>
          <cell r="H148">
            <v>322</v>
          </cell>
          <cell r="J148">
            <v>61</v>
          </cell>
          <cell r="L148">
            <v>24</v>
          </cell>
        </row>
        <row r="149">
          <cell r="E149" t="str">
            <v>G19a</v>
          </cell>
          <cell r="H149">
            <v>136</v>
          </cell>
          <cell r="J149">
            <v>114</v>
          </cell>
          <cell r="L149">
            <v>43</v>
          </cell>
        </row>
        <row r="150">
          <cell r="E150" t="str">
            <v>G20a</v>
          </cell>
          <cell r="H150">
            <v>134</v>
          </cell>
          <cell r="J150">
            <v>94</v>
          </cell>
          <cell r="L150">
            <v>24</v>
          </cell>
        </row>
        <row r="151">
          <cell r="E151" t="str">
            <v>G21a</v>
          </cell>
          <cell r="H151">
            <v>124</v>
          </cell>
          <cell r="J151">
            <v>71</v>
          </cell>
          <cell r="L151">
            <v>22</v>
          </cell>
        </row>
        <row r="152">
          <cell r="E152" t="str">
            <v>H01a</v>
          </cell>
          <cell r="H152">
            <v>387</v>
          </cell>
          <cell r="J152">
            <v>178</v>
          </cell>
          <cell r="L152">
            <v>31</v>
          </cell>
        </row>
        <row r="153">
          <cell r="E153" t="str">
            <v>H02a</v>
          </cell>
          <cell r="H153">
            <v>387</v>
          </cell>
          <cell r="J153">
            <v>113</v>
          </cell>
          <cell r="L153">
            <v>23</v>
          </cell>
        </row>
        <row r="154">
          <cell r="E154" t="str">
            <v>H03a</v>
          </cell>
          <cell r="H154">
            <v>366</v>
          </cell>
          <cell r="J154">
            <v>86</v>
          </cell>
          <cell r="L154">
            <v>24</v>
          </cell>
        </row>
        <row r="155">
          <cell r="E155" t="str">
            <v>H04A</v>
          </cell>
          <cell r="H155">
            <v>371</v>
          </cell>
          <cell r="J155">
            <v>57</v>
          </cell>
          <cell r="L155">
            <v>19</v>
          </cell>
        </row>
        <row r="156">
          <cell r="E156" t="str">
            <v>H05a</v>
          </cell>
          <cell r="H156">
            <v>341</v>
          </cell>
          <cell r="J156">
            <v>76</v>
          </cell>
          <cell r="L156">
            <v>31</v>
          </cell>
        </row>
        <row r="157">
          <cell r="E157" t="str">
            <v>H06a</v>
          </cell>
          <cell r="H157">
            <v>365</v>
          </cell>
          <cell r="J157">
            <v>71</v>
          </cell>
          <cell r="L157">
            <v>42</v>
          </cell>
        </row>
        <row r="158">
          <cell r="E158" t="str">
            <v>H07a</v>
          </cell>
          <cell r="H158">
            <v>357</v>
          </cell>
          <cell r="J158">
            <v>81</v>
          </cell>
          <cell r="L158">
            <v>27</v>
          </cell>
        </row>
        <row r="159">
          <cell r="E159" t="str">
            <v>H08A</v>
          </cell>
          <cell r="H159">
            <v>387</v>
          </cell>
          <cell r="J159">
            <v>60</v>
          </cell>
          <cell r="L159">
            <v>44</v>
          </cell>
        </row>
        <row r="160">
          <cell r="E160" t="str">
            <v>H09a</v>
          </cell>
          <cell r="H160">
            <v>358</v>
          </cell>
          <cell r="J160">
            <v>81</v>
          </cell>
          <cell r="L160">
            <v>41</v>
          </cell>
        </row>
        <row r="161">
          <cell r="E161" t="str">
            <v>H10a</v>
          </cell>
          <cell r="H161">
            <v>72</v>
          </cell>
          <cell r="J161">
            <v>40</v>
          </cell>
          <cell r="L161">
            <v>9</v>
          </cell>
        </row>
        <row r="162">
          <cell r="E162" t="str">
            <v>H11a</v>
          </cell>
          <cell r="H162">
            <v>66</v>
          </cell>
          <cell r="J162">
            <v>32</v>
          </cell>
          <cell r="L162">
            <v>11</v>
          </cell>
        </row>
        <row r="163">
          <cell r="E163" t="str">
            <v>H12a</v>
          </cell>
          <cell r="H163">
            <v>67</v>
          </cell>
          <cell r="J163">
            <v>28</v>
          </cell>
          <cell r="L163">
            <v>52</v>
          </cell>
        </row>
        <row r="164">
          <cell r="E164" t="str">
            <v>H13a</v>
          </cell>
          <cell r="H164">
            <v>66</v>
          </cell>
          <cell r="J164">
            <v>37</v>
          </cell>
          <cell r="L164">
            <v>15</v>
          </cell>
        </row>
        <row r="165">
          <cell r="E165" t="str">
            <v>H14a</v>
          </cell>
          <cell r="H165">
            <v>67</v>
          </cell>
          <cell r="J165">
            <v>32</v>
          </cell>
          <cell r="L165">
            <v>13</v>
          </cell>
        </row>
        <row r="166">
          <cell r="E166" t="str">
            <v>H15a</v>
          </cell>
          <cell r="H166">
            <v>67</v>
          </cell>
          <cell r="J166">
            <v>30</v>
          </cell>
          <cell r="L166">
            <v>13</v>
          </cell>
        </row>
        <row r="167">
          <cell r="E167" t="str">
            <v>I05A</v>
          </cell>
          <cell r="H167">
            <v>181</v>
          </cell>
          <cell r="J167">
            <v>77</v>
          </cell>
          <cell r="L167">
            <v>27</v>
          </cell>
        </row>
        <row r="168">
          <cell r="E168" t="str">
            <v>I06a</v>
          </cell>
          <cell r="H168">
            <v>105</v>
          </cell>
          <cell r="J168">
            <v>52</v>
          </cell>
          <cell r="L168">
            <v>10</v>
          </cell>
        </row>
        <row r="169">
          <cell r="E169" t="str">
            <v>I07a</v>
          </cell>
          <cell r="H169">
            <v>55</v>
          </cell>
          <cell r="J169">
            <v>37</v>
          </cell>
          <cell r="L169">
            <v>9</v>
          </cell>
        </row>
        <row r="170">
          <cell r="E170" t="str">
            <v>I08a</v>
          </cell>
          <cell r="H170">
            <v>60</v>
          </cell>
          <cell r="J170">
            <v>39</v>
          </cell>
          <cell r="L170">
            <v>8</v>
          </cell>
        </row>
        <row r="171">
          <cell r="E171" t="str">
            <v>I09a</v>
          </cell>
          <cell r="H171">
            <v>63</v>
          </cell>
          <cell r="J171">
            <v>38</v>
          </cell>
          <cell r="L171">
            <v>41</v>
          </cell>
        </row>
        <row r="172">
          <cell r="E172" t="str">
            <v>I10a</v>
          </cell>
          <cell r="H172">
            <v>53</v>
          </cell>
          <cell r="J172">
            <v>24</v>
          </cell>
          <cell r="L172">
            <v>3</v>
          </cell>
        </row>
        <row r="173">
          <cell r="E173" t="str">
            <v>I11a</v>
          </cell>
          <cell r="H173">
            <v>70</v>
          </cell>
          <cell r="J173">
            <v>44</v>
          </cell>
          <cell r="L173">
            <v>7</v>
          </cell>
        </row>
        <row r="174">
          <cell r="E174" t="str">
            <v>I12a</v>
          </cell>
          <cell r="H174">
            <v>393</v>
          </cell>
          <cell r="J174">
            <v>218</v>
          </cell>
          <cell r="L174">
            <v>25</v>
          </cell>
        </row>
        <row r="175">
          <cell r="E175" t="str">
            <v>I13a</v>
          </cell>
          <cell r="H175">
            <v>372</v>
          </cell>
          <cell r="J175">
            <v>212</v>
          </cell>
          <cell r="L175">
            <v>29</v>
          </cell>
        </row>
        <row r="176">
          <cell r="E176" t="str">
            <v>I14a</v>
          </cell>
          <cell r="H176">
            <v>333</v>
          </cell>
          <cell r="J176">
            <v>156</v>
          </cell>
          <cell r="L176">
            <v>42</v>
          </cell>
        </row>
        <row r="177">
          <cell r="E177" t="str">
            <v>I15a</v>
          </cell>
          <cell r="H177">
            <v>312</v>
          </cell>
          <cell r="J177">
            <v>114</v>
          </cell>
          <cell r="L177">
            <v>83</v>
          </cell>
        </row>
        <row r="178">
          <cell r="E178" t="str">
            <v>J09a</v>
          </cell>
          <cell r="H178">
            <v>307</v>
          </cell>
          <cell r="J178">
            <v>105</v>
          </cell>
          <cell r="L178">
            <v>50</v>
          </cell>
        </row>
        <row r="179">
          <cell r="E179" t="str">
            <v>J10a</v>
          </cell>
          <cell r="H179">
            <v>315</v>
          </cell>
          <cell r="J179">
            <v>143</v>
          </cell>
          <cell r="L179">
            <v>31</v>
          </cell>
        </row>
        <row r="180">
          <cell r="E180" t="str">
            <v>J11a</v>
          </cell>
          <cell r="H180">
            <v>413</v>
          </cell>
          <cell r="J180">
            <v>211</v>
          </cell>
          <cell r="L180">
            <v>167</v>
          </cell>
        </row>
        <row r="181">
          <cell r="E181" t="str">
            <v>J12a</v>
          </cell>
          <cell r="H181">
            <v>324</v>
          </cell>
          <cell r="J181">
            <v>102</v>
          </cell>
          <cell r="L181">
            <v>42</v>
          </cell>
        </row>
        <row r="182">
          <cell r="E182" t="str">
            <v>J13a</v>
          </cell>
          <cell r="H182">
            <v>329</v>
          </cell>
          <cell r="J182">
            <v>138</v>
          </cell>
          <cell r="L182">
            <v>83</v>
          </cell>
        </row>
        <row r="183">
          <cell r="E183" t="str">
            <v>J14a</v>
          </cell>
          <cell r="H183">
            <v>313</v>
          </cell>
          <cell r="J183">
            <v>181</v>
          </cell>
          <cell r="L183">
            <v>24</v>
          </cell>
        </row>
        <row r="184">
          <cell r="E184" t="str">
            <v>J15a</v>
          </cell>
          <cell r="H184">
            <v>316</v>
          </cell>
          <cell r="J184">
            <v>136</v>
          </cell>
          <cell r="L184">
            <v>80</v>
          </cell>
        </row>
        <row r="185">
          <cell r="E185" t="str">
            <v>K08a</v>
          </cell>
          <cell r="H185">
            <v>455</v>
          </cell>
          <cell r="J185">
            <v>159</v>
          </cell>
          <cell r="L185">
            <v>37</v>
          </cell>
        </row>
        <row r="186">
          <cell r="E186" t="str">
            <v>K09a</v>
          </cell>
          <cell r="H186">
            <v>451</v>
          </cell>
          <cell r="J186">
            <v>195</v>
          </cell>
          <cell r="L186">
            <v>25</v>
          </cell>
        </row>
        <row r="187">
          <cell r="E187" t="str">
            <v>K10a</v>
          </cell>
          <cell r="H187">
            <v>265</v>
          </cell>
          <cell r="J187">
            <v>116</v>
          </cell>
          <cell r="L187">
            <v>27</v>
          </cell>
        </row>
        <row r="188">
          <cell r="E188" t="str">
            <v>K11a</v>
          </cell>
          <cell r="H188">
            <v>325</v>
          </cell>
          <cell r="J188">
            <v>136</v>
          </cell>
          <cell r="L188">
            <v>39</v>
          </cell>
        </row>
        <row r="189">
          <cell r="E189" t="str">
            <v>K12a</v>
          </cell>
          <cell r="H189">
            <v>303</v>
          </cell>
          <cell r="J189">
            <v>164</v>
          </cell>
          <cell r="L189">
            <v>35</v>
          </cell>
        </row>
        <row r="190">
          <cell r="E190" t="str">
            <v>K13a</v>
          </cell>
          <cell r="H190">
            <v>332</v>
          </cell>
          <cell r="J190">
            <v>182</v>
          </cell>
          <cell r="L190">
            <v>55</v>
          </cell>
        </row>
        <row r="191">
          <cell r="E191" t="str">
            <v>K14a</v>
          </cell>
          <cell r="H191">
            <v>333</v>
          </cell>
          <cell r="J191">
            <v>106</v>
          </cell>
          <cell r="L191">
            <v>38</v>
          </cell>
        </row>
        <row r="192">
          <cell r="E192" t="str">
            <v>K15a</v>
          </cell>
          <cell r="H192">
            <v>382</v>
          </cell>
          <cell r="J192">
            <v>137</v>
          </cell>
          <cell r="L192">
            <v>30</v>
          </cell>
        </row>
        <row r="193">
          <cell r="E193" t="str">
            <v>L09a</v>
          </cell>
          <cell r="H193">
            <v>359</v>
          </cell>
          <cell r="J193">
            <v>100</v>
          </cell>
          <cell r="L193">
            <v>99</v>
          </cell>
        </row>
        <row r="194">
          <cell r="E194" t="str">
            <v>L10a</v>
          </cell>
          <cell r="H194">
            <v>271</v>
          </cell>
          <cell r="J194">
            <v>103</v>
          </cell>
          <cell r="L194">
            <v>25</v>
          </cell>
        </row>
        <row r="195">
          <cell r="E195" t="str">
            <v>L11a</v>
          </cell>
          <cell r="H195">
            <v>375</v>
          </cell>
          <cell r="J195">
            <v>189</v>
          </cell>
          <cell r="L195">
            <v>39</v>
          </cell>
        </row>
        <row r="196">
          <cell r="E196" t="str">
            <v>L12a</v>
          </cell>
          <cell r="H196">
            <v>255</v>
          </cell>
          <cell r="J196">
            <v>140</v>
          </cell>
          <cell r="L196">
            <v>100</v>
          </cell>
        </row>
        <row r="197">
          <cell r="E197" t="str">
            <v>L13a</v>
          </cell>
          <cell r="H197">
            <v>381</v>
          </cell>
          <cell r="J197">
            <v>226</v>
          </cell>
          <cell r="L197">
            <v>61</v>
          </cell>
        </row>
        <row r="198">
          <cell r="E198" t="str">
            <v>L14a</v>
          </cell>
          <cell r="H198">
            <v>343</v>
          </cell>
          <cell r="J198">
            <v>177</v>
          </cell>
          <cell r="L198">
            <v>140</v>
          </cell>
        </row>
        <row r="199">
          <cell r="E199" t="str">
            <v>L15a</v>
          </cell>
          <cell r="H199">
            <v>327</v>
          </cell>
          <cell r="J199">
            <v>95</v>
          </cell>
          <cell r="L199">
            <v>23</v>
          </cell>
        </row>
        <row r="200">
          <cell r="E200" t="str">
            <v>M10a</v>
          </cell>
          <cell r="H200">
            <v>125</v>
          </cell>
          <cell r="J200">
            <v>32</v>
          </cell>
          <cell r="L200">
            <v>8</v>
          </cell>
        </row>
        <row r="201">
          <cell r="E201" t="str">
            <v>M11a</v>
          </cell>
          <cell r="H201">
            <v>313</v>
          </cell>
          <cell r="J201">
            <v>101</v>
          </cell>
          <cell r="L201">
            <v>42</v>
          </cell>
        </row>
        <row r="202">
          <cell r="E202" t="str">
            <v>M12a</v>
          </cell>
          <cell r="H202">
            <v>310</v>
          </cell>
          <cell r="J202">
            <v>138</v>
          </cell>
          <cell r="L202">
            <v>27</v>
          </cell>
        </row>
        <row r="203">
          <cell r="E203" t="str">
            <v>M13a</v>
          </cell>
          <cell r="H203">
            <v>519</v>
          </cell>
          <cell r="J203">
            <v>197</v>
          </cell>
          <cell r="L203">
            <v>41</v>
          </cell>
        </row>
        <row r="204">
          <cell r="E204" t="str">
            <v>M14a</v>
          </cell>
          <cell r="H204">
            <v>373</v>
          </cell>
          <cell r="J204">
            <v>198</v>
          </cell>
          <cell r="L204">
            <v>39</v>
          </cell>
        </row>
        <row r="205">
          <cell r="E205" t="str">
            <v>M15a</v>
          </cell>
          <cell r="H205">
            <v>355</v>
          </cell>
          <cell r="J205">
            <v>182</v>
          </cell>
          <cell r="L205">
            <v>38</v>
          </cell>
        </row>
        <row r="206">
          <cell r="E206" t="str">
            <v>M16a</v>
          </cell>
          <cell r="H206">
            <v>369</v>
          </cell>
          <cell r="J206">
            <v>185</v>
          </cell>
          <cell r="L206">
            <v>41</v>
          </cell>
        </row>
        <row r="207">
          <cell r="E207" t="str">
            <v>M17a</v>
          </cell>
          <cell r="H207">
            <v>323</v>
          </cell>
          <cell r="J207">
            <v>183</v>
          </cell>
          <cell r="L207">
            <v>43</v>
          </cell>
        </row>
        <row r="208">
          <cell r="E208" t="str">
            <v>M18a</v>
          </cell>
          <cell r="H208">
            <v>410</v>
          </cell>
          <cell r="J208">
            <v>168</v>
          </cell>
          <cell r="L208">
            <v>176</v>
          </cell>
        </row>
        <row r="209">
          <cell r="E209" t="str">
            <v>N10a</v>
          </cell>
          <cell r="H209">
            <v>394</v>
          </cell>
          <cell r="J209">
            <v>309</v>
          </cell>
          <cell r="L209">
            <v>252</v>
          </cell>
        </row>
        <row r="210">
          <cell r="E210" t="str">
            <v>N11a</v>
          </cell>
          <cell r="H210">
            <v>375</v>
          </cell>
          <cell r="J210">
            <v>197</v>
          </cell>
          <cell r="L210">
            <v>23</v>
          </cell>
        </row>
        <row r="211">
          <cell r="E211" t="str">
            <v>N12a</v>
          </cell>
          <cell r="H211">
            <v>436</v>
          </cell>
          <cell r="J211">
            <v>183</v>
          </cell>
          <cell r="L211">
            <v>177</v>
          </cell>
        </row>
        <row r="212">
          <cell r="E212" t="str">
            <v>N13a</v>
          </cell>
          <cell r="H212">
            <v>356</v>
          </cell>
          <cell r="J212">
            <v>211</v>
          </cell>
          <cell r="L212">
            <v>38</v>
          </cell>
        </row>
        <row r="213">
          <cell r="E213" t="str">
            <v>N14a</v>
          </cell>
          <cell r="H213">
            <v>413</v>
          </cell>
          <cell r="J213">
            <v>244</v>
          </cell>
          <cell r="L213">
            <v>42</v>
          </cell>
        </row>
        <row r="214">
          <cell r="E214" t="str">
            <v>N15a</v>
          </cell>
          <cell r="H214">
            <v>618</v>
          </cell>
          <cell r="J214">
            <v>188</v>
          </cell>
          <cell r="L214">
            <v>56</v>
          </cell>
        </row>
        <row r="215">
          <cell r="E215" t="str">
            <v>N16a</v>
          </cell>
          <cell r="H215">
            <v>329</v>
          </cell>
          <cell r="J215">
            <v>185</v>
          </cell>
          <cell r="L215">
            <v>47</v>
          </cell>
        </row>
        <row r="216">
          <cell r="E216" t="str">
            <v>N17a</v>
          </cell>
          <cell r="H216">
            <v>423</v>
          </cell>
          <cell r="J216">
            <v>224</v>
          </cell>
          <cell r="L216">
            <v>56</v>
          </cell>
        </row>
        <row r="217">
          <cell r="E217" t="str">
            <v>N18a</v>
          </cell>
          <cell r="H217">
            <v>526</v>
          </cell>
          <cell r="J217">
            <v>133</v>
          </cell>
          <cell r="L217">
            <v>77</v>
          </cell>
        </row>
        <row r="218">
          <cell r="E218" t="str">
            <v>O12a</v>
          </cell>
          <cell r="H218">
            <v>361</v>
          </cell>
          <cell r="J218">
            <v>163</v>
          </cell>
          <cell r="L218">
            <v>46</v>
          </cell>
        </row>
        <row r="219">
          <cell r="E219" t="str">
            <v>O13a</v>
          </cell>
          <cell r="H219">
            <v>373</v>
          </cell>
          <cell r="J219">
            <v>130</v>
          </cell>
          <cell r="L219">
            <v>92</v>
          </cell>
        </row>
        <row r="220">
          <cell r="E220" t="str">
            <v>O14a</v>
          </cell>
          <cell r="H220">
            <v>370</v>
          </cell>
          <cell r="J220">
            <v>167</v>
          </cell>
          <cell r="L220">
            <v>53</v>
          </cell>
        </row>
        <row r="221">
          <cell r="E221" t="str">
            <v>O15a</v>
          </cell>
          <cell r="H221">
            <v>369</v>
          </cell>
          <cell r="J221">
            <v>148</v>
          </cell>
          <cell r="L221">
            <v>52</v>
          </cell>
        </row>
        <row r="222">
          <cell r="E222" t="str">
            <v>O16a</v>
          </cell>
          <cell r="H222">
            <v>371</v>
          </cell>
          <cell r="J222">
            <v>176</v>
          </cell>
          <cell r="L222">
            <v>39</v>
          </cell>
        </row>
        <row r="223">
          <cell r="E223" t="str">
            <v>O17a</v>
          </cell>
          <cell r="H223">
            <v>374</v>
          </cell>
          <cell r="J223">
            <v>188</v>
          </cell>
          <cell r="L223">
            <v>56</v>
          </cell>
        </row>
        <row r="224">
          <cell r="E224" t="str">
            <v>O18a</v>
          </cell>
          <cell r="H224">
            <v>578</v>
          </cell>
          <cell r="J224">
            <v>218</v>
          </cell>
          <cell r="L224">
            <v>86</v>
          </cell>
        </row>
        <row r="225">
          <cell r="E225" t="str">
            <v>P12a</v>
          </cell>
          <cell r="H225">
            <v>337</v>
          </cell>
          <cell r="J225">
            <v>61</v>
          </cell>
          <cell r="L225">
            <v>45</v>
          </cell>
        </row>
        <row r="226">
          <cell r="E226" t="str">
            <v>P13a</v>
          </cell>
          <cell r="H226">
            <v>218</v>
          </cell>
          <cell r="J226">
            <v>82</v>
          </cell>
          <cell r="L226">
            <v>31</v>
          </cell>
        </row>
        <row r="227">
          <cell r="E227" t="str">
            <v>P14a</v>
          </cell>
          <cell r="H227">
            <v>212</v>
          </cell>
          <cell r="J227">
            <v>49</v>
          </cell>
          <cell r="L227">
            <v>23</v>
          </cell>
        </row>
        <row r="228">
          <cell r="E228" t="str">
            <v>P15a</v>
          </cell>
          <cell r="H228">
            <v>426</v>
          </cell>
          <cell r="J228">
            <v>119</v>
          </cell>
          <cell r="L228">
            <v>71</v>
          </cell>
        </row>
        <row r="229">
          <cell r="E229" t="str">
            <v>P16a</v>
          </cell>
          <cell r="H229">
            <v>377</v>
          </cell>
          <cell r="J229">
            <v>126</v>
          </cell>
          <cell r="L229">
            <v>53</v>
          </cell>
        </row>
        <row r="230">
          <cell r="E230" t="str">
            <v>Q16a</v>
          </cell>
          <cell r="H230">
            <v>402</v>
          </cell>
          <cell r="J230">
            <v>187</v>
          </cell>
          <cell r="L230">
            <v>52</v>
          </cell>
        </row>
        <row r="231">
          <cell r="E231" t="str">
            <v>R12a</v>
          </cell>
          <cell r="H231">
            <v>452</v>
          </cell>
          <cell r="J231">
            <v>209</v>
          </cell>
          <cell r="L231">
            <v>46</v>
          </cell>
        </row>
      </sheetData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K KHUSUS"/>
    </sheetNames>
    <sheetDataSet>
      <sheetData sheetId="0">
        <row r="9">
          <cell r="E9" t="str">
            <v>K16a</v>
          </cell>
          <cell r="F9">
            <v>46150</v>
          </cell>
          <cell r="H9">
            <v>562</v>
          </cell>
        </row>
        <row r="10">
          <cell r="E10" t="str">
            <v>K17a</v>
          </cell>
          <cell r="F10">
            <v>46149</v>
          </cell>
          <cell r="H10">
            <v>369</v>
          </cell>
        </row>
        <row r="11">
          <cell r="E11" t="str">
            <v>K18a</v>
          </cell>
          <cell r="F11">
            <v>46149</v>
          </cell>
          <cell r="H11">
            <v>405</v>
          </cell>
        </row>
        <row r="12">
          <cell r="E12" t="str">
            <v>K19a</v>
          </cell>
          <cell r="F12">
            <v>46149</v>
          </cell>
          <cell r="H12">
            <v>422</v>
          </cell>
        </row>
        <row r="13">
          <cell r="E13" t="str">
            <v>K20a</v>
          </cell>
          <cell r="F13">
            <v>46149</v>
          </cell>
          <cell r="H13">
            <v>384</v>
          </cell>
        </row>
        <row r="14">
          <cell r="E14" t="str">
            <v>K21a</v>
          </cell>
          <cell r="F14"/>
          <cell r="H14"/>
        </row>
        <row r="15">
          <cell r="E15" t="str">
            <v>K22a</v>
          </cell>
          <cell r="F15"/>
          <cell r="H15"/>
        </row>
        <row r="16">
          <cell r="E16" t="str">
            <v>K23a</v>
          </cell>
          <cell r="F16"/>
          <cell r="H16"/>
        </row>
        <row r="17">
          <cell r="E17" t="str">
            <v>K24a</v>
          </cell>
          <cell r="F17"/>
          <cell r="H17"/>
        </row>
        <row r="18">
          <cell r="E18" t="str">
            <v>L16a</v>
          </cell>
          <cell r="F18">
            <v>46150</v>
          </cell>
          <cell r="H18">
            <v>296</v>
          </cell>
        </row>
        <row r="19">
          <cell r="E19" t="str">
            <v>L17a</v>
          </cell>
          <cell r="F19">
            <v>46151</v>
          </cell>
          <cell r="H19">
            <v>346</v>
          </cell>
        </row>
        <row r="20">
          <cell r="E20" t="str">
            <v>L18a</v>
          </cell>
          <cell r="F20">
            <v>46151</v>
          </cell>
          <cell r="H20">
            <v>368</v>
          </cell>
        </row>
        <row r="21">
          <cell r="E21" t="str">
            <v>L19a</v>
          </cell>
          <cell r="F21">
            <v>46149</v>
          </cell>
          <cell r="H21">
            <v>384</v>
          </cell>
        </row>
        <row r="22">
          <cell r="E22" t="str">
            <v>L20a</v>
          </cell>
          <cell r="F22">
            <v>46149</v>
          </cell>
          <cell r="H22">
            <v>421</v>
          </cell>
        </row>
        <row r="23">
          <cell r="E23" t="str">
            <v>L21a</v>
          </cell>
          <cell r="F23"/>
          <cell r="H23"/>
        </row>
        <row r="24">
          <cell r="E24" t="str">
            <v>L22a</v>
          </cell>
          <cell r="F24"/>
          <cell r="H24"/>
        </row>
        <row r="25">
          <cell r="E25" t="str">
            <v>L23a</v>
          </cell>
          <cell r="F25"/>
          <cell r="H25"/>
        </row>
        <row r="26">
          <cell r="E26" t="str">
            <v>L24a</v>
          </cell>
          <cell r="F26">
            <v>46154</v>
          </cell>
          <cell r="H26">
            <v>225</v>
          </cell>
        </row>
        <row r="27">
          <cell r="E27" t="str">
            <v>M19a</v>
          </cell>
          <cell r="F27">
            <v>46153</v>
          </cell>
          <cell r="H27">
            <v>431</v>
          </cell>
        </row>
        <row r="28">
          <cell r="E28" t="str">
            <v>M20a</v>
          </cell>
          <cell r="F28">
            <v>46153</v>
          </cell>
          <cell r="H28">
            <v>386</v>
          </cell>
        </row>
        <row r="29">
          <cell r="E29" t="str">
            <v>M22a</v>
          </cell>
          <cell r="F29">
            <v>46154</v>
          </cell>
          <cell r="H29">
            <v>409</v>
          </cell>
        </row>
        <row r="30">
          <cell r="E30" t="str">
            <v>M23a</v>
          </cell>
          <cell r="F30">
            <v>46154</v>
          </cell>
          <cell r="H30">
            <v>314</v>
          </cell>
        </row>
        <row r="31">
          <cell r="E31" t="str">
            <v>M24a</v>
          </cell>
          <cell r="F31"/>
          <cell r="H31"/>
        </row>
        <row r="32">
          <cell r="E32" t="str">
            <v>N19a</v>
          </cell>
          <cell r="F32">
            <v>46153</v>
          </cell>
          <cell r="H32">
            <v>424</v>
          </cell>
        </row>
        <row r="33">
          <cell r="E33" t="str">
            <v>N20a</v>
          </cell>
          <cell r="F33">
            <v>46153</v>
          </cell>
          <cell r="H33">
            <v>387</v>
          </cell>
        </row>
        <row r="34">
          <cell r="E34" t="str">
            <v>N21a</v>
          </cell>
          <cell r="F34"/>
          <cell r="H34"/>
        </row>
        <row r="35">
          <cell r="E35" t="str">
            <v>N22a</v>
          </cell>
          <cell r="F35"/>
          <cell r="H35"/>
        </row>
        <row r="36">
          <cell r="E36" t="str">
            <v>N23a</v>
          </cell>
          <cell r="F36"/>
          <cell r="H36"/>
        </row>
        <row r="37">
          <cell r="E37" t="str">
            <v>N24a</v>
          </cell>
          <cell r="F37"/>
          <cell r="H37"/>
        </row>
        <row r="38">
          <cell r="E38" t="str">
            <v>O19a</v>
          </cell>
          <cell r="F38">
            <v>46155</v>
          </cell>
          <cell r="H38">
            <v>341</v>
          </cell>
        </row>
        <row r="39">
          <cell r="E39" t="str">
            <v>O20a</v>
          </cell>
          <cell r="F39">
            <v>46155</v>
          </cell>
          <cell r="H39">
            <v>355</v>
          </cell>
        </row>
        <row r="40">
          <cell r="E40" t="str">
            <v>O21a</v>
          </cell>
          <cell r="F40">
            <v>46155</v>
          </cell>
          <cell r="H40">
            <v>219</v>
          </cell>
        </row>
        <row r="41">
          <cell r="E41" t="str">
            <v>O22a</v>
          </cell>
          <cell r="F41"/>
          <cell r="H41"/>
        </row>
        <row r="42">
          <cell r="E42" t="str">
            <v>P17a</v>
          </cell>
          <cell r="F42">
            <v>46157</v>
          </cell>
          <cell r="H42">
            <v>274</v>
          </cell>
        </row>
        <row r="43">
          <cell r="E43" t="str">
            <v>P18a</v>
          </cell>
          <cell r="F43">
            <v>46157</v>
          </cell>
          <cell r="H43">
            <v>247</v>
          </cell>
        </row>
        <row r="44">
          <cell r="E44" t="str">
            <v>P19a</v>
          </cell>
          <cell r="F44">
            <v>46157</v>
          </cell>
          <cell r="H44">
            <v>260</v>
          </cell>
        </row>
        <row r="45">
          <cell r="E45" t="str">
            <v>J25a</v>
          </cell>
          <cell r="F45">
            <v>46154</v>
          </cell>
          <cell r="H45">
            <v>327</v>
          </cell>
        </row>
        <row r="46">
          <cell r="E46" t="str">
            <v>J26a</v>
          </cell>
          <cell r="F46">
            <v>46154</v>
          </cell>
          <cell r="H46">
            <v>323</v>
          </cell>
        </row>
        <row r="47">
          <cell r="E47" t="str">
            <v>J27a</v>
          </cell>
          <cell r="F47">
            <v>46154</v>
          </cell>
          <cell r="H47">
            <v>334</v>
          </cell>
        </row>
        <row r="48">
          <cell r="E48" t="str">
            <v>J28a</v>
          </cell>
          <cell r="F48">
            <v>46154</v>
          </cell>
          <cell r="H48">
            <v>329</v>
          </cell>
        </row>
        <row r="49">
          <cell r="E49" t="str">
            <v>K25a</v>
          </cell>
          <cell r="F49">
            <v>46154</v>
          </cell>
          <cell r="H49">
            <v>247</v>
          </cell>
        </row>
        <row r="50">
          <cell r="E50" t="str">
            <v>K26a</v>
          </cell>
          <cell r="F50">
            <v>46148</v>
          </cell>
          <cell r="H50">
            <v>127</v>
          </cell>
        </row>
        <row r="51">
          <cell r="E51" t="str">
            <v>K27a</v>
          </cell>
          <cell r="F51">
            <v>46154</v>
          </cell>
          <cell r="H51">
            <v>342</v>
          </cell>
        </row>
        <row r="52">
          <cell r="E52" t="str">
            <v>L25a</v>
          </cell>
          <cell r="F52">
            <v>46149</v>
          </cell>
          <cell r="H52">
            <v>273</v>
          </cell>
        </row>
        <row r="53">
          <cell r="E53" t="str">
            <v>L26a</v>
          </cell>
          <cell r="F53">
            <v>46150</v>
          </cell>
          <cell r="H53">
            <v>335</v>
          </cell>
        </row>
        <row r="54">
          <cell r="E54" t="str">
            <v>L27a</v>
          </cell>
          <cell r="F54">
            <v>46150</v>
          </cell>
          <cell r="H54">
            <v>275</v>
          </cell>
        </row>
        <row r="55">
          <cell r="E55" t="str">
            <v>L28a</v>
          </cell>
          <cell r="F55">
            <v>46150</v>
          </cell>
          <cell r="H55">
            <v>275</v>
          </cell>
        </row>
        <row r="56">
          <cell r="E56" t="str">
            <v>L29a</v>
          </cell>
          <cell r="F56">
            <v>46149</v>
          </cell>
          <cell r="H56">
            <v>289</v>
          </cell>
        </row>
        <row r="57">
          <cell r="E57" t="str">
            <v>M25a</v>
          </cell>
          <cell r="F57">
            <v>46151</v>
          </cell>
          <cell r="H57">
            <v>340</v>
          </cell>
        </row>
        <row r="58">
          <cell r="E58" t="str">
            <v>M26a</v>
          </cell>
          <cell r="F58">
            <v>46151</v>
          </cell>
          <cell r="H58">
            <v>363</v>
          </cell>
        </row>
        <row r="59">
          <cell r="E59" t="str">
            <v>M27a</v>
          </cell>
          <cell r="F59">
            <v>46153</v>
          </cell>
          <cell r="H59">
            <v>326</v>
          </cell>
        </row>
        <row r="60">
          <cell r="E60" t="str">
            <v>M28a</v>
          </cell>
          <cell r="F60">
            <v>46153</v>
          </cell>
          <cell r="H60">
            <v>352</v>
          </cell>
        </row>
        <row r="61">
          <cell r="E61" t="str">
            <v>M29a</v>
          </cell>
          <cell r="F61">
            <v>46149</v>
          </cell>
          <cell r="H61">
            <v>351</v>
          </cell>
        </row>
        <row r="62">
          <cell r="E62" t="str">
            <v>N25a</v>
          </cell>
          <cell r="F62">
            <v>46151</v>
          </cell>
          <cell r="H62">
            <v>350</v>
          </cell>
        </row>
        <row r="63">
          <cell r="E63" t="str">
            <v>N26a</v>
          </cell>
          <cell r="F63">
            <v>46151</v>
          </cell>
          <cell r="H63">
            <v>366</v>
          </cell>
        </row>
        <row r="64">
          <cell r="E64" t="str">
            <v>N27a</v>
          </cell>
          <cell r="F64">
            <v>46153</v>
          </cell>
          <cell r="H64">
            <v>366</v>
          </cell>
        </row>
        <row r="65">
          <cell r="E65" t="str">
            <v>N28a</v>
          </cell>
          <cell r="F65">
            <v>46153</v>
          </cell>
          <cell r="H65">
            <v>369</v>
          </cell>
        </row>
        <row r="66">
          <cell r="E66" t="str">
            <v>N29a</v>
          </cell>
          <cell r="F66">
            <v>46154</v>
          </cell>
          <cell r="H66">
            <v>389</v>
          </cell>
        </row>
        <row r="67">
          <cell r="E67" t="str">
            <v>O23a</v>
          </cell>
          <cell r="F67">
            <v>46155</v>
          </cell>
          <cell r="H67">
            <v>224</v>
          </cell>
        </row>
        <row r="68">
          <cell r="E68" t="str">
            <v>O24a</v>
          </cell>
          <cell r="F68"/>
          <cell r="H68"/>
        </row>
        <row r="69">
          <cell r="E69" t="str">
            <v>O25a</v>
          </cell>
          <cell r="F69">
            <v>46154</v>
          </cell>
          <cell r="H69">
            <v>388</v>
          </cell>
        </row>
        <row r="70">
          <cell r="E70" t="str">
            <v>O26a</v>
          </cell>
          <cell r="F70">
            <v>46155</v>
          </cell>
          <cell r="H70">
            <v>760</v>
          </cell>
        </row>
        <row r="71">
          <cell r="E71" t="str">
            <v>P20a</v>
          </cell>
          <cell r="F71">
            <v>46157</v>
          </cell>
          <cell r="H71">
            <v>377</v>
          </cell>
        </row>
        <row r="72">
          <cell r="E72" t="str">
            <v>P21a</v>
          </cell>
          <cell r="F72">
            <v>46155</v>
          </cell>
          <cell r="H72">
            <v>419</v>
          </cell>
        </row>
        <row r="73">
          <cell r="E73" t="str">
            <v>J29a</v>
          </cell>
          <cell r="F73">
            <v>46151</v>
          </cell>
          <cell r="H73">
            <v>431</v>
          </cell>
        </row>
        <row r="74">
          <cell r="E74" t="str">
            <v>K28a</v>
          </cell>
          <cell r="F74">
            <v>46151</v>
          </cell>
          <cell r="H74">
            <v>582</v>
          </cell>
        </row>
        <row r="75">
          <cell r="E75" t="str">
            <v>K29a</v>
          </cell>
          <cell r="F75">
            <v>46151</v>
          </cell>
          <cell r="H75">
            <v>544</v>
          </cell>
        </row>
        <row r="76">
          <cell r="E76" t="str">
            <v>K31a</v>
          </cell>
          <cell r="F76">
            <v>46151</v>
          </cell>
          <cell r="H76">
            <v>420</v>
          </cell>
        </row>
        <row r="77">
          <cell r="E77" t="str">
            <v>L30a</v>
          </cell>
          <cell r="F77">
            <v>46151</v>
          </cell>
          <cell r="H77">
            <v>316</v>
          </cell>
        </row>
        <row r="78">
          <cell r="E78" t="str">
            <v>M30a</v>
          </cell>
          <cell r="F78">
            <v>46151</v>
          </cell>
          <cell r="H78">
            <v>285</v>
          </cell>
        </row>
        <row r="79">
          <cell r="E79" t="str">
            <v>M31a</v>
          </cell>
          <cell r="F79"/>
          <cell r="H79"/>
        </row>
        <row r="80">
          <cell r="E80" t="str">
            <v>M32a</v>
          </cell>
          <cell r="F80">
            <v>46151</v>
          </cell>
          <cell r="H80">
            <v>276</v>
          </cell>
        </row>
        <row r="81">
          <cell r="E81" t="str">
            <v>M33a</v>
          </cell>
          <cell r="F81">
            <v>46151</v>
          </cell>
          <cell r="H81">
            <v>322</v>
          </cell>
        </row>
        <row r="82">
          <cell r="E82" t="str">
            <v>M34a</v>
          </cell>
          <cell r="F82">
            <v>46151</v>
          </cell>
          <cell r="H82">
            <v>634</v>
          </cell>
        </row>
        <row r="83">
          <cell r="E83" t="str">
            <v>M35a</v>
          </cell>
          <cell r="F83">
            <v>46151</v>
          </cell>
          <cell r="H83">
            <v>525</v>
          </cell>
        </row>
        <row r="84">
          <cell r="E84" t="str">
            <v>M36a</v>
          </cell>
          <cell r="F84">
            <v>46150</v>
          </cell>
          <cell r="H84">
            <v>417</v>
          </cell>
        </row>
        <row r="85">
          <cell r="E85" t="str">
            <v>N30a</v>
          </cell>
          <cell r="F85">
            <v>46150</v>
          </cell>
          <cell r="H85">
            <v>294</v>
          </cell>
        </row>
        <row r="86">
          <cell r="E86" t="str">
            <v>N31a</v>
          </cell>
          <cell r="F86">
            <v>46150</v>
          </cell>
          <cell r="H86">
            <v>355</v>
          </cell>
        </row>
        <row r="87">
          <cell r="E87" t="str">
            <v>N32a</v>
          </cell>
          <cell r="F87">
            <v>46150</v>
          </cell>
          <cell r="H87">
            <v>409</v>
          </cell>
        </row>
        <row r="88">
          <cell r="E88" t="str">
            <v>N33a</v>
          </cell>
          <cell r="F88">
            <v>46150</v>
          </cell>
          <cell r="H88">
            <v>356</v>
          </cell>
        </row>
        <row r="89">
          <cell r="E89" t="str">
            <v>N34a</v>
          </cell>
          <cell r="F89">
            <v>46150</v>
          </cell>
          <cell r="H89">
            <v>342</v>
          </cell>
        </row>
        <row r="90">
          <cell r="E90" t="str">
            <v>N35a</v>
          </cell>
          <cell r="F90">
            <v>46155</v>
          </cell>
          <cell r="H90">
            <v>419</v>
          </cell>
        </row>
        <row r="91">
          <cell r="E91" t="str">
            <v>N36a</v>
          </cell>
          <cell r="F91">
            <v>46155</v>
          </cell>
          <cell r="H91">
            <v>655</v>
          </cell>
        </row>
        <row r="92">
          <cell r="E92" t="str">
            <v>O27a</v>
          </cell>
          <cell r="F92">
            <v>46150</v>
          </cell>
          <cell r="H92">
            <v>457</v>
          </cell>
        </row>
        <row r="93">
          <cell r="E93" t="str">
            <v>O28a</v>
          </cell>
          <cell r="F93">
            <v>46150</v>
          </cell>
          <cell r="H93">
            <v>527</v>
          </cell>
        </row>
        <row r="94">
          <cell r="E94" t="str">
            <v>O29a</v>
          </cell>
          <cell r="F94">
            <v>46150</v>
          </cell>
          <cell r="H94">
            <v>396</v>
          </cell>
        </row>
        <row r="95">
          <cell r="E95" t="str">
            <v>O30a</v>
          </cell>
          <cell r="F95">
            <v>46149</v>
          </cell>
          <cell r="H95">
            <v>461</v>
          </cell>
        </row>
        <row r="96">
          <cell r="E96" t="str">
            <v>O31a</v>
          </cell>
          <cell r="F96">
            <v>46149</v>
          </cell>
          <cell r="H96">
            <v>342</v>
          </cell>
        </row>
        <row r="97">
          <cell r="E97" t="str">
            <v>O32a</v>
          </cell>
          <cell r="F97">
            <v>46149</v>
          </cell>
          <cell r="H97">
            <v>361</v>
          </cell>
        </row>
        <row r="98">
          <cell r="E98" t="str">
            <v>O33a</v>
          </cell>
          <cell r="F98">
            <v>46149</v>
          </cell>
          <cell r="H98">
            <v>479</v>
          </cell>
        </row>
        <row r="99">
          <cell r="E99" t="str">
            <v>O34a</v>
          </cell>
          <cell r="F99">
            <v>46148</v>
          </cell>
          <cell r="H99">
            <v>319</v>
          </cell>
        </row>
        <row r="100">
          <cell r="E100" t="str">
            <v>O35a</v>
          </cell>
          <cell r="F100">
            <v>46158</v>
          </cell>
          <cell r="H100">
            <v>331</v>
          </cell>
        </row>
        <row r="101">
          <cell r="E101" t="str">
            <v>J30a</v>
          </cell>
          <cell r="F101">
            <v>46158</v>
          </cell>
          <cell r="H101">
            <v>424</v>
          </cell>
        </row>
        <row r="102">
          <cell r="E102" t="str">
            <v>J31a</v>
          </cell>
          <cell r="F102">
            <v>46158</v>
          </cell>
          <cell r="H102">
            <v>408</v>
          </cell>
        </row>
        <row r="103">
          <cell r="E103" t="str">
            <v>K32a</v>
          </cell>
          <cell r="F103">
            <v>46158</v>
          </cell>
          <cell r="H103">
            <v>437</v>
          </cell>
        </row>
        <row r="104">
          <cell r="E104" t="str">
            <v>K33a</v>
          </cell>
          <cell r="F104">
            <v>46160</v>
          </cell>
          <cell r="H104">
            <v>282</v>
          </cell>
        </row>
        <row r="105">
          <cell r="E105" t="str">
            <v>K34a</v>
          </cell>
          <cell r="F105">
            <v>46160</v>
          </cell>
          <cell r="H105">
            <v>323</v>
          </cell>
        </row>
        <row r="106">
          <cell r="E106" t="str">
            <v>K35a</v>
          </cell>
          <cell r="F106">
            <v>46160</v>
          </cell>
          <cell r="H106">
            <v>366</v>
          </cell>
        </row>
        <row r="107">
          <cell r="E107" t="str">
            <v>K36a</v>
          </cell>
          <cell r="F107">
            <v>46157</v>
          </cell>
          <cell r="H107">
            <v>490</v>
          </cell>
        </row>
        <row r="108">
          <cell r="E108" t="str">
            <v>L31a</v>
          </cell>
          <cell r="F108">
            <v>46155</v>
          </cell>
          <cell r="H108">
            <v>434</v>
          </cell>
        </row>
        <row r="109">
          <cell r="E109" t="str">
            <v>L32a</v>
          </cell>
          <cell r="F109">
            <v>46155</v>
          </cell>
          <cell r="H109">
            <v>436</v>
          </cell>
        </row>
        <row r="110">
          <cell r="E110" t="str">
            <v>L33a</v>
          </cell>
          <cell r="F110">
            <v>46154</v>
          </cell>
          <cell r="H110">
            <v>425</v>
          </cell>
        </row>
        <row r="111">
          <cell r="E111" t="str">
            <v>L34a</v>
          </cell>
          <cell r="F111">
            <v>46154</v>
          </cell>
          <cell r="H111">
            <v>383</v>
          </cell>
        </row>
        <row r="112">
          <cell r="E112" t="str">
            <v>L35a</v>
          </cell>
          <cell r="F112">
            <v>46155</v>
          </cell>
          <cell r="H112">
            <v>429</v>
          </cell>
        </row>
        <row r="113">
          <cell r="E113" t="str">
            <v>L36a</v>
          </cell>
          <cell r="F113">
            <v>46157</v>
          </cell>
          <cell r="H113">
            <v>511</v>
          </cell>
        </row>
        <row r="114">
          <cell r="E114" t="str">
            <v>L37a</v>
          </cell>
          <cell r="F114">
            <v>46157</v>
          </cell>
          <cell r="H114">
            <v>432</v>
          </cell>
        </row>
        <row r="115">
          <cell r="E115" t="str">
            <v>M37a</v>
          </cell>
          <cell r="F115">
            <v>46150</v>
          </cell>
          <cell r="H115">
            <v>204</v>
          </cell>
        </row>
        <row r="116">
          <cell r="E116" t="str">
            <v>M38a</v>
          </cell>
          <cell r="F116">
            <v>46153</v>
          </cell>
          <cell r="H116">
            <v>204</v>
          </cell>
        </row>
        <row r="117">
          <cell r="E117" t="str">
            <v>M39a</v>
          </cell>
          <cell r="F117">
            <v>46153</v>
          </cell>
          <cell r="H117">
            <v>362</v>
          </cell>
        </row>
        <row r="118">
          <cell r="E118" t="str">
            <v>M40a</v>
          </cell>
          <cell r="F118">
            <v>46154</v>
          </cell>
          <cell r="H118">
            <v>370</v>
          </cell>
        </row>
        <row r="119">
          <cell r="E119" t="str">
            <v>M41a</v>
          </cell>
          <cell r="F119">
            <v>46150</v>
          </cell>
          <cell r="H119">
            <v>316</v>
          </cell>
        </row>
        <row r="120">
          <cell r="E120" t="str">
            <v>N37a</v>
          </cell>
          <cell r="F120">
            <v>46149</v>
          </cell>
          <cell r="H120">
            <v>279</v>
          </cell>
        </row>
        <row r="121">
          <cell r="E121" t="str">
            <v>N38a</v>
          </cell>
          <cell r="F121">
            <v>46150</v>
          </cell>
          <cell r="H121">
            <v>340</v>
          </cell>
        </row>
        <row r="122">
          <cell r="E122" t="str">
            <v>N39a</v>
          </cell>
          <cell r="F122">
            <v>46151</v>
          </cell>
          <cell r="H122">
            <v>350</v>
          </cell>
        </row>
        <row r="123">
          <cell r="E123" t="str">
            <v>N40a</v>
          </cell>
          <cell r="F123">
            <v>46150</v>
          </cell>
          <cell r="H123">
            <v>366</v>
          </cell>
        </row>
        <row r="124">
          <cell r="E124" t="str">
            <v>N41a</v>
          </cell>
          <cell r="F124">
            <v>46151</v>
          </cell>
          <cell r="H124">
            <v>369</v>
          </cell>
        </row>
        <row r="125">
          <cell r="E125" t="str">
            <v>N42a</v>
          </cell>
          <cell r="F125">
            <v>46151</v>
          </cell>
          <cell r="H125">
            <v>316</v>
          </cell>
        </row>
        <row r="126">
          <cell r="E126" t="str">
            <v>O36a</v>
          </cell>
          <cell r="F126">
            <v>46148</v>
          </cell>
          <cell r="H126">
            <v>299</v>
          </cell>
        </row>
        <row r="127">
          <cell r="E127" t="str">
            <v>O37a</v>
          </cell>
          <cell r="F127">
            <v>46149</v>
          </cell>
          <cell r="H127">
            <v>387</v>
          </cell>
        </row>
        <row r="128">
          <cell r="E128" t="str">
            <v>O38a</v>
          </cell>
          <cell r="F128">
            <v>46149</v>
          </cell>
          <cell r="H128">
            <v>377</v>
          </cell>
        </row>
        <row r="129">
          <cell r="E129" t="str">
            <v>P22a</v>
          </cell>
          <cell r="F129">
            <v>46149</v>
          </cell>
          <cell r="H129">
            <v>475</v>
          </cell>
        </row>
        <row r="130">
          <cell r="E130" t="str">
            <v>K40a</v>
          </cell>
          <cell r="F130">
            <v>46158</v>
          </cell>
          <cell r="H130">
            <v>248</v>
          </cell>
        </row>
        <row r="131">
          <cell r="E131" t="str">
            <v>L38a</v>
          </cell>
          <cell r="F131">
            <v>46158</v>
          </cell>
          <cell r="H131">
            <v>352</v>
          </cell>
        </row>
        <row r="132">
          <cell r="E132" t="str">
            <v>L39a</v>
          </cell>
          <cell r="F132">
            <v>46158</v>
          </cell>
          <cell r="H132">
            <v>311</v>
          </cell>
        </row>
        <row r="133">
          <cell r="E133" t="str">
            <v>M42a</v>
          </cell>
          <cell r="F133">
            <v>46157</v>
          </cell>
          <cell r="H133">
            <v>355</v>
          </cell>
        </row>
        <row r="134">
          <cell r="E134" t="str">
            <v>M43a</v>
          </cell>
          <cell r="F134">
            <v>46157</v>
          </cell>
          <cell r="H134">
            <v>359</v>
          </cell>
        </row>
        <row r="135">
          <cell r="E135" t="str">
            <v>M44a</v>
          </cell>
          <cell r="F135">
            <v>46154</v>
          </cell>
          <cell r="H135">
            <v>366</v>
          </cell>
        </row>
        <row r="136">
          <cell r="E136" t="str">
            <v>M45a</v>
          </cell>
          <cell r="F136">
            <v>46154</v>
          </cell>
          <cell r="H136">
            <v>363</v>
          </cell>
        </row>
        <row r="137">
          <cell r="E137" t="str">
            <v>M46a</v>
          </cell>
          <cell r="F137">
            <v>46154</v>
          </cell>
          <cell r="H137">
            <v>352</v>
          </cell>
        </row>
        <row r="138">
          <cell r="E138" t="str">
            <v>M47a</v>
          </cell>
          <cell r="F138">
            <v>46154</v>
          </cell>
          <cell r="H138">
            <v>355</v>
          </cell>
        </row>
        <row r="139">
          <cell r="E139" t="str">
            <v>N43a</v>
          </cell>
          <cell r="F139">
            <v>46153</v>
          </cell>
          <cell r="H139">
            <v>346</v>
          </cell>
        </row>
        <row r="140">
          <cell r="E140" t="str">
            <v>N44a</v>
          </cell>
          <cell r="F140">
            <v>46153</v>
          </cell>
          <cell r="H140">
            <v>350</v>
          </cell>
        </row>
        <row r="141">
          <cell r="E141" t="str">
            <v>N45a</v>
          </cell>
          <cell r="F141">
            <v>46151</v>
          </cell>
          <cell r="H141">
            <v>394</v>
          </cell>
        </row>
        <row r="142">
          <cell r="E142" t="str">
            <v>N46a</v>
          </cell>
          <cell r="F142">
            <v>46151</v>
          </cell>
          <cell r="H142">
            <v>333</v>
          </cell>
        </row>
        <row r="143">
          <cell r="E143" t="str">
            <v>N47a</v>
          </cell>
          <cell r="F143">
            <v>46151</v>
          </cell>
          <cell r="H143">
            <v>397</v>
          </cell>
        </row>
        <row r="144">
          <cell r="E144" t="str">
            <v>N48a</v>
          </cell>
          <cell r="F144">
            <v>46151</v>
          </cell>
          <cell r="H144">
            <v>317</v>
          </cell>
        </row>
        <row r="145">
          <cell r="E145" t="str">
            <v>N49a</v>
          </cell>
          <cell r="F145">
            <v>46158</v>
          </cell>
          <cell r="H145">
            <v>222</v>
          </cell>
        </row>
        <row r="146">
          <cell r="E146" t="str">
            <v>N50a</v>
          </cell>
          <cell r="F146">
            <v>46158</v>
          </cell>
          <cell r="H146">
            <v>312</v>
          </cell>
        </row>
        <row r="147">
          <cell r="E147" t="str">
            <v>O39a</v>
          </cell>
          <cell r="F147">
            <v>46148</v>
          </cell>
          <cell r="H147">
            <v>389</v>
          </cell>
        </row>
        <row r="148">
          <cell r="E148" t="str">
            <v>O40a</v>
          </cell>
          <cell r="F148">
            <v>46148</v>
          </cell>
          <cell r="H148">
            <v>387</v>
          </cell>
        </row>
        <row r="149">
          <cell r="E149" t="str">
            <v>O41a</v>
          </cell>
          <cell r="F149">
            <v>46148</v>
          </cell>
          <cell r="H149">
            <v>384</v>
          </cell>
        </row>
        <row r="150">
          <cell r="E150" t="str">
            <v>O42a</v>
          </cell>
          <cell r="F150">
            <v>46148</v>
          </cell>
          <cell r="H150">
            <v>384</v>
          </cell>
        </row>
        <row r="151">
          <cell r="E151" t="str">
            <v>O43a</v>
          </cell>
          <cell r="F151">
            <v>46148</v>
          </cell>
          <cell r="H151">
            <v>334</v>
          </cell>
        </row>
        <row r="152">
          <cell r="E152" t="str">
            <v>O44a</v>
          </cell>
          <cell r="F152">
            <v>46158</v>
          </cell>
          <cell r="H152">
            <v>381</v>
          </cell>
        </row>
        <row r="153">
          <cell r="E153" t="str">
            <v>O45a</v>
          </cell>
          <cell r="F153">
            <v>46158</v>
          </cell>
          <cell r="H153">
            <v>371</v>
          </cell>
        </row>
        <row r="154">
          <cell r="E154" t="str">
            <v>O46a</v>
          </cell>
          <cell r="F154">
            <v>46155</v>
          </cell>
          <cell r="H154">
            <v>301</v>
          </cell>
        </row>
        <row r="155">
          <cell r="E155" t="str">
            <v>O47a</v>
          </cell>
          <cell r="F155">
            <v>46155</v>
          </cell>
          <cell r="H155">
            <v>319</v>
          </cell>
        </row>
        <row r="156">
          <cell r="E156" t="str">
            <v>P23a</v>
          </cell>
          <cell r="F156">
            <v>46150</v>
          </cell>
          <cell r="H156">
            <v>294</v>
          </cell>
        </row>
        <row r="157">
          <cell r="E157" t="str">
            <v>P24a</v>
          </cell>
          <cell r="F157">
            <v>46150</v>
          </cell>
          <cell r="H157">
            <v>293</v>
          </cell>
        </row>
        <row r="158">
          <cell r="E158" t="str">
            <v>L40a</v>
          </cell>
          <cell r="F158">
            <v>46158</v>
          </cell>
          <cell r="H158">
            <v>290</v>
          </cell>
        </row>
        <row r="159">
          <cell r="E159" t="str">
            <v>M48a</v>
          </cell>
          <cell r="F159">
            <v>46158</v>
          </cell>
          <cell r="H159">
            <v>313</v>
          </cell>
        </row>
        <row r="160">
          <cell r="E160" t="str">
            <v>M49a</v>
          </cell>
          <cell r="F160">
            <v>46158</v>
          </cell>
          <cell r="H160">
            <v>255</v>
          </cell>
        </row>
        <row r="161">
          <cell r="E161" t="str">
            <v>M57a</v>
          </cell>
          <cell r="F161">
            <v>46159</v>
          </cell>
          <cell r="H161">
            <v>199</v>
          </cell>
        </row>
        <row r="162">
          <cell r="E162" t="str">
            <v>N51a</v>
          </cell>
          <cell r="F162">
            <v>46158</v>
          </cell>
          <cell r="H162">
            <v>140</v>
          </cell>
        </row>
        <row r="163">
          <cell r="E163" t="str">
            <v>N52a</v>
          </cell>
          <cell r="F163">
            <v>46158</v>
          </cell>
          <cell r="H163">
            <v>135</v>
          </cell>
        </row>
        <row r="164">
          <cell r="E164" t="str">
            <v>N53a</v>
          </cell>
          <cell r="F164">
            <v>46159</v>
          </cell>
          <cell r="H164">
            <v>123</v>
          </cell>
        </row>
        <row r="165">
          <cell r="E165" t="str">
            <v>N61a</v>
          </cell>
          <cell r="F165">
            <v>46159</v>
          </cell>
          <cell r="H165">
            <v>240</v>
          </cell>
        </row>
        <row r="166">
          <cell r="E166" t="str">
            <v>N62a</v>
          </cell>
          <cell r="F166">
            <v>46159</v>
          </cell>
          <cell r="H166">
            <v>237</v>
          </cell>
        </row>
        <row r="167">
          <cell r="E167" t="str">
            <v>O48a</v>
          </cell>
          <cell r="F167">
            <v>46148</v>
          </cell>
          <cell r="H167">
            <v>345</v>
          </cell>
        </row>
        <row r="168">
          <cell r="E168" t="str">
            <v>O49a</v>
          </cell>
          <cell r="F168">
            <v>46148</v>
          </cell>
          <cell r="H168">
            <v>345</v>
          </cell>
        </row>
        <row r="169">
          <cell r="E169" t="str">
            <v>O50a</v>
          </cell>
          <cell r="F169">
            <v>46148</v>
          </cell>
          <cell r="H169">
            <v>290</v>
          </cell>
        </row>
        <row r="170">
          <cell r="E170" t="str">
            <v>O51a</v>
          </cell>
          <cell r="F170">
            <v>46148</v>
          </cell>
          <cell r="H170">
            <v>195</v>
          </cell>
        </row>
        <row r="171">
          <cell r="E171" t="str">
            <v>O52a</v>
          </cell>
          <cell r="F171">
            <v>46154</v>
          </cell>
          <cell r="H171">
            <v>210</v>
          </cell>
        </row>
        <row r="172">
          <cell r="E172" t="str">
            <v>O53a</v>
          </cell>
          <cell r="F172">
            <v>46154</v>
          </cell>
          <cell r="H172">
            <v>219</v>
          </cell>
        </row>
        <row r="173">
          <cell r="E173" t="str">
            <v>O54a</v>
          </cell>
          <cell r="F173">
            <v>46157</v>
          </cell>
          <cell r="H173">
            <v>216</v>
          </cell>
        </row>
        <row r="174">
          <cell r="E174" t="str">
            <v>O57a</v>
          </cell>
          <cell r="F174">
            <v>46157</v>
          </cell>
          <cell r="H174">
            <v>325</v>
          </cell>
        </row>
        <row r="175">
          <cell r="E175" t="str">
            <v>O58a</v>
          </cell>
          <cell r="F175">
            <v>46159</v>
          </cell>
          <cell r="H175">
            <v>158</v>
          </cell>
        </row>
        <row r="176">
          <cell r="E176" t="str">
            <v>O59a</v>
          </cell>
          <cell r="F176">
            <v>46159</v>
          </cell>
          <cell r="H176">
            <v>151</v>
          </cell>
        </row>
        <row r="177">
          <cell r="E177" t="str">
            <v>P26a</v>
          </cell>
          <cell r="F177">
            <v>46148</v>
          </cell>
          <cell r="H177">
            <v>385</v>
          </cell>
        </row>
        <row r="178">
          <cell r="E178" t="str">
            <v>P27a</v>
          </cell>
          <cell r="F178">
            <v>46153</v>
          </cell>
          <cell r="H178">
            <v>186</v>
          </cell>
        </row>
        <row r="179">
          <cell r="E179" t="str">
            <v>P28a</v>
          </cell>
          <cell r="F179">
            <v>46153</v>
          </cell>
          <cell r="H179">
            <v>109</v>
          </cell>
        </row>
        <row r="180">
          <cell r="E180" t="str">
            <v>P29a</v>
          </cell>
          <cell r="F180">
            <v>46151</v>
          </cell>
          <cell r="H180">
            <v>329</v>
          </cell>
        </row>
        <row r="181">
          <cell r="E181" t="str">
            <v>P30a</v>
          </cell>
          <cell r="F181">
            <v>46151</v>
          </cell>
          <cell r="H181">
            <v>359</v>
          </cell>
        </row>
        <row r="182">
          <cell r="E182" t="str">
            <v>P31a</v>
          </cell>
          <cell r="F182">
            <v>46150</v>
          </cell>
          <cell r="H182">
            <v>339</v>
          </cell>
        </row>
        <row r="183">
          <cell r="E183" t="str">
            <v>P32a</v>
          </cell>
          <cell r="F183">
            <v>46150</v>
          </cell>
          <cell r="H183">
            <v>283</v>
          </cell>
        </row>
        <row r="184">
          <cell r="E184" t="str">
            <v>P33a</v>
          </cell>
          <cell r="F184">
            <v>46151</v>
          </cell>
          <cell r="H184">
            <v>289</v>
          </cell>
        </row>
        <row r="185">
          <cell r="E185" t="str">
            <v>P34a</v>
          </cell>
          <cell r="F185">
            <v>46151</v>
          </cell>
          <cell r="H185">
            <v>274</v>
          </cell>
        </row>
        <row r="186">
          <cell r="E186" t="str">
            <v>P35a</v>
          </cell>
          <cell r="F186">
            <v>46155</v>
          </cell>
          <cell r="H186">
            <v>258</v>
          </cell>
        </row>
        <row r="187">
          <cell r="E187" t="str">
            <v>P36a</v>
          </cell>
          <cell r="F187">
            <v>46155</v>
          </cell>
          <cell r="H187">
            <v>84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OMPARASI"/>
      <sheetName val="REKAP KR PANEN"/>
      <sheetName val="REKAP KR AFD"/>
      <sheetName val="BASE"/>
      <sheetName val="TK KHUSUS"/>
      <sheetName val="16 Mei (AKP)"/>
      <sheetName val=" 16 Mei (TPH)"/>
      <sheetName val="15 Mei (AKP)"/>
      <sheetName val=" 15 Mei (TPH)"/>
      <sheetName val="13 Mei (AKP)"/>
      <sheetName val=" 13 Mei (TPH)"/>
      <sheetName val="12 Mei (AKP)"/>
      <sheetName val=" 12 Mei (TPH)"/>
      <sheetName val="11 Mei (AKP)"/>
      <sheetName val=" 11 Mei (TPH)"/>
      <sheetName val="09 Mei (AKP)"/>
      <sheetName val="08 Mei (AKP)"/>
      <sheetName val="07 Mei (AKP)"/>
      <sheetName val="09 Mei (TPH)"/>
      <sheetName val="08 Mei (TPH)"/>
      <sheetName val="07 Mei (TPH)"/>
    </sheetNames>
    <sheetDataSet>
      <sheetData sheetId="0">
        <row r="20">
          <cell r="C20" t="str">
            <v>K16a</v>
          </cell>
          <cell r="H20">
            <v>562</v>
          </cell>
          <cell r="J20">
            <v>94</v>
          </cell>
        </row>
        <row r="21">
          <cell r="C21" t="str">
            <v>K17a</v>
          </cell>
          <cell r="H21">
            <v>369</v>
          </cell>
          <cell r="J21">
            <v>39</v>
          </cell>
        </row>
        <row r="22">
          <cell r="C22" t="str">
            <v>K18a</v>
          </cell>
          <cell r="H22">
            <v>405</v>
          </cell>
          <cell r="J22">
            <v>49</v>
          </cell>
        </row>
        <row r="23">
          <cell r="C23" t="str">
            <v>K19a</v>
          </cell>
          <cell r="H23">
            <v>422</v>
          </cell>
          <cell r="J23">
            <v>44</v>
          </cell>
        </row>
        <row r="24">
          <cell r="C24" t="str">
            <v>K20a</v>
          </cell>
          <cell r="H24">
            <v>384</v>
          </cell>
          <cell r="J24">
            <v>49</v>
          </cell>
        </row>
        <row r="25">
          <cell r="C25" t="str">
            <v>K21a</v>
          </cell>
          <cell r="H25"/>
          <cell r="J25"/>
        </row>
        <row r="26">
          <cell r="C26" t="str">
            <v>K22a</v>
          </cell>
          <cell r="H26"/>
          <cell r="J26"/>
        </row>
        <row r="27">
          <cell r="C27" t="str">
            <v>K23a</v>
          </cell>
          <cell r="H27"/>
          <cell r="J27"/>
        </row>
        <row r="28">
          <cell r="C28" t="str">
            <v>K24a</v>
          </cell>
          <cell r="H28"/>
          <cell r="J28"/>
        </row>
        <row r="29">
          <cell r="C29" t="str">
            <v>L16a</v>
          </cell>
          <cell r="H29">
            <v>296</v>
          </cell>
          <cell r="J29">
            <v>44</v>
          </cell>
        </row>
        <row r="30">
          <cell r="C30" t="str">
            <v>L17a</v>
          </cell>
          <cell r="H30">
            <v>346</v>
          </cell>
          <cell r="J30">
            <v>51</v>
          </cell>
        </row>
        <row r="31">
          <cell r="C31" t="str">
            <v>L18a</v>
          </cell>
          <cell r="H31">
            <v>368</v>
          </cell>
          <cell r="J31">
            <v>63</v>
          </cell>
        </row>
        <row r="32">
          <cell r="C32" t="str">
            <v>L19a</v>
          </cell>
          <cell r="H32">
            <v>384</v>
          </cell>
          <cell r="J32">
            <v>49</v>
          </cell>
        </row>
        <row r="33">
          <cell r="C33" t="str">
            <v>L20a</v>
          </cell>
          <cell r="H33">
            <v>421</v>
          </cell>
          <cell r="J33">
            <v>35</v>
          </cell>
        </row>
        <row r="34">
          <cell r="C34" t="str">
            <v>L21a</v>
          </cell>
          <cell r="H34"/>
          <cell r="J34"/>
        </row>
        <row r="35">
          <cell r="C35" t="str">
            <v>L22a</v>
          </cell>
          <cell r="H35"/>
          <cell r="J35"/>
        </row>
        <row r="36">
          <cell r="C36" t="str">
            <v>L23a</v>
          </cell>
          <cell r="H36"/>
          <cell r="J36"/>
        </row>
        <row r="37">
          <cell r="C37" t="str">
            <v>L24a</v>
          </cell>
          <cell r="H37">
            <v>225</v>
          </cell>
          <cell r="J37">
            <v>25</v>
          </cell>
        </row>
        <row r="38">
          <cell r="C38" t="str">
            <v>M19a</v>
          </cell>
          <cell r="H38">
            <v>431</v>
          </cell>
          <cell r="J38">
            <v>49</v>
          </cell>
        </row>
        <row r="39">
          <cell r="C39" t="str">
            <v>M20a</v>
          </cell>
          <cell r="H39">
            <v>386</v>
          </cell>
          <cell r="J39">
            <v>51</v>
          </cell>
        </row>
        <row r="40">
          <cell r="C40" t="str">
            <v>M22a</v>
          </cell>
          <cell r="H40">
            <v>409</v>
          </cell>
          <cell r="J40">
            <v>57</v>
          </cell>
        </row>
        <row r="41">
          <cell r="C41" t="str">
            <v>M23a</v>
          </cell>
          <cell r="H41">
            <v>314</v>
          </cell>
          <cell r="J41">
            <v>38</v>
          </cell>
        </row>
        <row r="42">
          <cell r="C42" t="str">
            <v>M24a</v>
          </cell>
          <cell r="H42"/>
          <cell r="J42"/>
        </row>
        <row r="43">
          <cell r="C43" t="str">
            <v>N19a</v>
          </cell>
          <cell r="H43">
            <v>424</v>
          </cell>
          <cell r="J43">
            <v>33</v>
          </cell>
        </row>
        <row r="44">
          <cell r="C44" t="str">
            <v>N20a</v>
          </cell>
          <cell r="H44">
            <v>387</v>
          </cell>
          <cell r="J44">
            <v>46</v>
          </cell>
        </row>
        <row r="45">
          <cell r="C45" t="str">
            <v>N21a</v>
          </cell>
          <cell r="H45"/>
          <cell r="J45"/>
        </row>
        <row r="46">
          <cell r="C46" t="str">
            <v>N22a</v>
          </cell>
          <cell r="H46"/>
          <cell r="J46"/>
        </row>
        <row r="47">
          <cell r="C47" t="str">
            <v>N23a</v>
          </cell>
          <cell r="H47"/>
          <cell r="J47"/>
        </row>
        <row r="48">
          <cell r="C48" t="str">
            <v>N24a</v>
          </cell>
          <cell r="H48"/>
          <cell r="J48"/>
        </row>
        <row r="49">
          <cell r="C49" t="str">
            <v>O19a</v>
          </cell>
          <cell r="H49">
            <v>341</v>
          </cell>
          <cell r="J49">
            <v>67</v>
          </cell>
        </row>
        <row r="50">
          <cell r="C50" t="str">
            <v>O20a</v>
          </cell>
          <cell r="H50">
            <v>355</v>
          </cell>
          <cell r="J50">
            <v>47</v>
          </cell>
        </row>
        <row r="51">
          <cell r="C51" t="str">
            <v>O21a</v>
          </cell>
          <cell r="H51">
            <v>219</v>
          </cell>
          <cell r="J51">
            <v>35</v>
          </cell>
        </row>
        <row r="52">
          <cell r="C52" t="str">
            <v>O22a</v>
          </cell>
          <cell r="H52"/>
          <cell r="J52"/>
        </row>
        <row r="53">
          <cell r="C53" t="str">
            <v>P17a</v>
          </cell>
          <cell r="H53">
            <v>274</v>
          </cell>
          <cell r="J53">
            <v>51</v>
          </cell>
        </row>
        <row r="54">
          <cell r="C54" t="str">
            <v>P18a</v>
          </cell>
          <cell r="H54">
            <v>247</v>
          </cell>
          <cell r="J54">
            <v>43</v>
          </cell>
        </row>
        <row r="55">
          <cell r="C55" t="str">
            <v>P19a</v>
          </cell>
          <cell r="H55">
            <v>260</v>
          </cell>
          <cell r="J55">
            <v>37</v>
          </cell>
        </row>
        <row r="56">
          <cell r="C56" t="str">
            <v>J25a</v>
          </cell>
          <cell r="H56">
            <v>327</v>
          </cell>
          <cell r="J56">
            <v>37</v>
          </cell>
        </row>
        <row r="57">
          <cell r="C57" t="str">
            <v>J26a</v>
          </cell>
          <cell r="H57">
            <v>323</v>
          </cell>
          <cell r="J57">
            <v>93</v>
          </cell>
        </row>
        <row r="58">
          <cell r="C58" t="str">
            <v>J27a</v>
          </cell>
          <cell r="H58">
            <v>334</v>
          </cell>
          <cell r="J58">
            <v>129</v>
          </cell>
        </row>
        <row r="59">
          <cell r="C59" t="str">
            <v>J28a</v>
          </cell>
          <cell r="H59">
            <v>329</v>
          </cell>
          <cell r="J59">
            <v>78</v>
          </cell>
        </row>
        <row r="60">
          <cell r="C60" t="str">
            <v>K25a</v>
          </cell>
          <cell r="H60">
            <v>247</v>
          </cell>
          <cell r="J60">
            <v>105</v>
          </cell>
        </row>
        <row r="61">
          <cell r="C61" t="str">
            <v>K26a</v>
          </cell>
          <cell r="H61">
            <v>127</v>
          </cell>
          <cell r="J61">
            <v>39</v>
          </cell>
        </row>
        <row r="62">
          <cell r="C62" t="str">
            <v>K27a</v>
          </cell>
          <cell r="H62">
            <v>342</v>
          </cell>
          <cell r="J62">
            <v>164</v>
          </cell>
        </row>
        <row r="63">
          <cell r="C63" t="str">
            <v>L25a</v>
          </cell>
          <cell r="H63">
            <v>273</v>
          </cell>
          <cell r="J63">
            <v>53</v>
          </cell>
        </row>
        <row r="64">
          <cell r="C64" t="str">
            <v>L26a</v>
          </cell>
          <cell r="H64">
            <v>335</v>
          </cell>
          <cell r="J64">
            <v>34</v>
          </cell>
        </row>
        <row r="65">
          <cell r="C65" t="str">
            <v>L27a</v>
          </cell>
          <cell r="H65">
            <v>275</v>
          </cell>
          <cell r="J65">
            <v>34</v>
          </cell>
        </row>
        <row r="66">
          <cell r="C66" t="str">
            <v>L28a</v>
          </cell>
          <cell r="H66">
            <v>275</v>
          </cell>
          <cell r="J66">
            <v>34</v>
          </cell>
        </row>
        <row r="67">
          <cell r="C67" t="str">
            <v>L29a</v>
          </cell>
          <cell r="H67">
            <v>289</v>
          </cell>
          <cell r="J67">
            <v>18</v>
          </cell>
        </row>
        <row r="68">
          <cell r="C68" t="str">
            <v>M25a</v>
          </cell>
          <cell r="H68">
            <v>340</v>
          </cell>
          <cell r="J68">
            <v>33</v>
          </cell>
        </row>
        <row r="69">
          <cell r="C69" t="str">
            <v>M26a</v>
          </cell>
          <cell r="H69">
            <v>363</v>
          </cell>
          <cell r="J69">
            <v>10</v>
          </cell>
        </row>
        <row r="70">
          <cell r="C70" t="str">
            <v>M27a</v>
          </cell>
          <cell r="H70">
            <v>326</v>
          </cell>
          <cell r="J70">
            <v>41</v>
          </cell>
        </row>
        <row r="71">
          <cell r="C71" t="str">
            <v>M28a</v>
          </cell>
          <cell r="H71">
            <v>352</v>
          </cell>
          <cell r="J71">
            <v>22</v>
          </cell>
        </row>
        <row r="72">
          <cell r="C72" t="str">
            <v>M29a</v>
          </cell>
          <cell r="H72">
            <v>351</v>
          </cell>
          <cell r="J72">
            <v>23</v>
          </cell>
        </row>
        <row r="73">
          <cell r="C73" t="str">
            <v>N25a</v>
          </cell>
          <cell r="H73">
            <v>350</v>
          </cell>
          <cell r="J73">
            <v>11</v>
          </cell>
        </row>
        <row r="74">
          <cell r="C74" t="str">
            <v>N26a</v>
          </cell>
          <cell r="H74">
            <v>366</v>
          </cell>
          <cell r="J74">
            <v>13</v>
          </cell>
        </row>
        <row r="75">
          <cell r="C75" t="str">
            <v>N27a</v>
          </cell>
          <cell r="H75">
            <v>366</v>
          </cell>
          <cell r="J75">
            <v>6</v>
          </cell>
        </row>
        <row r="76">
          <cell r="C76" t="str">
            <v>N28a</v>
          </cell>
          <cell r="H76">
            <v>369</v>
          </cell>
          <cell r="J76">
            <v>27</v>
          </cell>
        </row>
        <row r="77">
          <cell r="C77" t="str">
            <v>N29a</v>
          </cell>
          <cell r="H77">
            <v>389</v>
          </cell>
          <cell r="J77">
            <v>29</v>
          </cell>
        </row>
        <row r="78">
          <cell r="C78" t="str">
            <v>O23a</v>
          </cell>
          <cell r="H78">
            <v>224</v>
          </cell>
          <cell r="J78">
            <v>55</v>
          </cell>
        </row>
        <row r="79">
          <cell r="C79" t="str">
            <v>O24a</v>
          </cell>
          <cell r="H79"/>
          <cell r="J79"/>
        </row>
        <row r="80">
          <cell r="C80" t="str">
            <v>O25a</v>
          </cell>
          <cell r="H80">
            <v>388</v>
          </cell>
          <cell r="J80">
            <v>47</v>
          </cell>
        </row>
        <row r="81">
          <cell r="C81" t="str">
            <v>O26a</v>
          </cell>
          <cell r="H81">
            <v>760</v>
          </cell>
          <cell r="J81">
            <v>287</v>
          </cell>
        </row>
        <row r="82">
          <cell r="C82" t="str">
            <v>P20a</v>
          </cell>
          <cell r="H82">
            <v>377</v>
          </cell>
          <cell r="J82">
            <v>97</v>
          </cell>
        </row>
        <row r="83">
          <cell r="C83" t="str">
            <v>P21a</v>
          </cell>
          <cell r="H83">
            <v>419</v>
          </cell>
          <cell r="J83">
            <v>171</v>
          </cell>
        </row>
        <row r="84">
          <cell r="C84" t="str">
            <v>J29a</v>
          </cell>
          <cell r="H84">
            <v>431</v>
          </cell>
          <cell r="J84">
            <v>109</v>
          </cell>
        </row>
        <row r="85">
          <cell r="C85" t="str">
            <v>K28a</v>
          </cell>
          <cell r="H85">
            <v>582</v>
          </cell>
          <cell r="J85">
            <v>69</v>
          </cell>
        </row>
        <row r="86">
          <cell r="C86" t="str">
            <v>K29a</v>
          </cell>
          <cell r="H86">
            <v>544</v>
          </cell>
          <cell r="J86">
            <v>43</v>
          </cell>
        </row>
        <row r="87">
          <cell r="C87" t="str">
            <v>K31a</v>
          </cell>
          <cell r="H87">
            <v>420</v>
          </cell>
          <cell r="J87">
            <v>66</v>
          </cell>
        </row>
        <row r="88">
          <cell r="C88" t="str">
            <v>L30a</v>
          </cell>
          <cell r="H88">
            <v>316</v>
          </cell>
          <cell r="J88">
            <v>38</v>
          </cell>
        </row>
        <row r="89">
          <cell r="C89" t="str">
            <v>M30a</v>
          </cell>
          <cell r="H89">
            <v>285</v>
          </cell>
          <cell r="J89">
            <v>76</v>
          </cell>
        </row>
        <row r="90">
          <cell r="C90" t="str">
            <v>M31a</v>
          </cell>
          <cell r="H90"/>
          <cell r="J90"/>
        </row>
        <row r="91">
          <cell r="C91" t="str">
            <v>M32a</v>
          </cell>
          <cell r="H91">
            <v>276</v>
          </cell>
          <cell r="J91">
            <v>52</v>
          </cell>
        </row>
        <row r="92">
          <cell r="C92" t="str">
            <v>M33a</v>
          </cell>
          <cell r="H92">
            <v>322</v>
          </cell>
          <cell r="J92">
            <v>32</v>
          </cell>
        </row>
        <row r="93">
          <cell r="C93" t="str">
            <v>M34a</v>
          </cell>
          <cell r="H93">
            <v>634</v>
          </cell>
          <cell r="J93">
            <v>178</v>
          </cell>
        </row>
        <row r="94">
          <cell r="C94" t="str">
            <v>M35a</v>
          </cell>
          <cell r="H94">
            <v>525</v>
          </cell>
          <cell r="J94">
            <v>141</v>
          </cell>
        </row>
        <row r="95">
          <cell r="C95" t="str">
            <v>M36a</v>
          </cell>
          <cell r="H95">
            <v>417</v>
          </cell>
          <cell r="J95">
            <v>46</v>
          </cell>
        </row>
        <row r="96">
          <cell r="C96" t="str">
            <v>N30a</v>
          </cell>
          <cell r="H96">
            <v>294</v>
          </cell>
          <cell r="J96">
            <v>12</v>
          </cell>
        </row>
        <row r="97">
          <cell r="C97" t="str">
            <v>N31a</v>
          </cell>
          <cell r="H97">
            <v>355</v>
          </cell>
          <cell r="J97">
            <v>31</v>
          </cell>
        </row>
        <row r="98">
          <cell r="C98" t="str">
            <v>N32a</v>
          </cell>
          <cell r="H98">
            <v>409</v>
          </cell>
          <cell r="J98">
            <v>74</v>
          </cell>
        </row>
        <row r="99">
          <cell r="C99" t="str">
            <v>N33a</v>
          </cell>
          <cell r="H99">
            <v>356</v>
          </cell>
          <cell r="J99">
            <v>119</v>
          </cell>
        </row>
        <row r="100">
          <cell r="C100" t="str">
            <v>N34a</v>
          </cell>
          <cell r="H100">
            <v>342</v>
          </cell>
          <cell r="J100">
            <v>27</v>
          </cell>
        </row>
        <row r="101">
          <cell r="C101" t="str">
            <v>N35a</v>
          </cell>
          <cell r="H101">
            <v>419</v>
          </cell>
          <cell r="J101">
            <v>110</v>
          </cell>
        </row>
        <row r="102">
          <cell r="C102" t="str">
            <v>N36a</v>
          </cell>
          <cell r="H102">
            <v>655</v>
          </cell>
          <cell r="J102">
            <v>46</v>
          </cell>
        </row>
        <row r="103">
          <cell r="C103" t="str">
            <v>O27a</v>
          </cell>
          <cell r="H103">
            <v>457</v>
          </cell>
          <cell r="J103">
            <v>43</v>
          </cell>
        </row>
        <row r="104">
          <cell r="C104" t="str">
            <v>O28a</v>
          </cell>
          <cell r="H104">
            <v>527</v>
          </cell>
          <cell r="J104">
            <v>30</v>
          </cell>
        </row>
        <row r="105">
          <cell r="C105" t="str">
            <v>O29a</v>
          </cell>
          <cell r="H105">
            <v>396</v>
          </cell>
          <cell r="J105">
            <v>95</v>
          </cell>
        </row>
        <row r="106">
          <cell r="C106" t="str">
            <v>O30a</v>
          </cell>
          <cell r="H106">
            <v>461</v>
          </cell>
          <cell r="J106">
            <v>48</v>
          </cell>
        </row>
        <row r="107">
          <cell r="C107" t="str">
            <v>O31a</v>
          </cell>
          <cell r="H107">
            <v>342</v>
          </cell>
          <cell r="J107">
            <v>52</v>
          </cell>
        </row>
        <row r="108">
          <cell r="C108" t="str">
            <v>O32a</v>
          </cell>
          <cell r="H108">
            <v>361</v>
          </cell>
          <cell r="J108">
            <v>76</v>
          </cell>
        </row>
        <row r="109">
          <cell r="C109" t="str">
            <v>O33a</v>
          </cell>
          <cell r="H109">
            <v>479</v>
          </cell>
          <cell r="J109">
            <v>138</v>
          </cell>
        </row>
        <row r="110">
          <cell r="C110" t="str">
            <v>O34a</v>
          </cell>
          <cell r="H110">
            <v>319</v>
          </cell>
          <cell r="J110">
            <v>73</v>
          </cell>
        </row>
        <row r="111">
          <cell r="C111" t="str">
            <v>O35a</v>
          </cell>
          <cell r="H111">
            <v>331</v>
          </cell>
          <cell r="J111">
            <v>69</v>
          </cell>
        </row>
        <row r="112">
          <cell r="C112" t="str">
            <v>J30a</v>
          </cell>
          <cell r="H112">
            <v>424</v>
          </cell>
          <cell r="J112">
            <v>131</v>
          </cell>
        </row>
        <row r="113">
          <cell r="C113" t="str">
            <v>J31a</v>
          </cell>
          <cell r="H113">
            <v>408</v>
          </cell>
          <cell r="J113">
            <v>123</v>
          </cell>
        </row>
        <row r="114">
          <cell r="C114" t="str">
            <v>K32a</v>
          </cell>
          <cell r="H114">
            <v>437</v>
          </cell>
          <cell r="J114">
            <v>92</v>
          </cell>
        </row>
        <row r="115">
          <cell r="C115" t="str">
            <v>K33a</v>
          </cell>
          <cell r="H115"/>
          <cell r="J115"/>
        </row>
        <row r="116">
          <cell r="C116" t="str">
            <v>K34a</v>
          </cell>
          <cell r="H116"/>
          <cell r="J116"/>
        </row>
        <row r="117">
          <cell r="C117" t="str">
            <v>K35a</v>
          </cell>
          <cell r="H117"/>
          <cell r="J117"/>
        </row>
        <row r="118">
          <cell r="C118" t="str">
            <v>K36a</v>
          </cell>
          <cell r="H118">
            <v>490</v>
          </cell>
          <cell r="J118">
            <v>131</v>
          </cell>
        </row>
        <row r="119">
          <cell r="C119" t="str">
            <v>L31a</v>
          </cell>
          <cell r="H119">
            <v>434</v>
          </cell>
          <cell r="J119">
            <v>99</v>
          </cell>
        </row>
        <row r="120">
          <cell r="C120" t="str">
            <v>L32a</v>
          </cell>
          <cell r="H120">
            <v>436</v>
          </cell>
          <cell r="J120">
            <v>95</v>
          </cell>
        </row>
        <row r="121">
          <cell r="C121" t="str">
            <v>L33a</v>
          </cell>
          <cell r="H121">
            <v>425</v>
          </cell>
          <cell r="J121">
            <v>82</v>
          </cell>
        </row>
        <row r="122">
          <cell r="C122" t="str">
            <v>L34a</v>
          </cell>
          <cell r="H122">
            <v>383</v>
          </cell>
          <cell r="J122">
            <v>75</v>
          </cell>
        </row>
        <row r="123">
          <cell r="C123" t="str">
            <v>L35a</v>
          </cell>
          <cell r="H123">
            <v>429</v>
          </cell>
          <cell r="J123">
            <v>93</v>
          </cell>
        </row>
        <row r="124">
          <cell r="C124" t="str">
            <v>L36a</v>
          </cell>
          <cell r="H124">
            <v>511</v>
          </cell>
          <cell r="J124">
            <v>139</v>
          </cell>
        </row>
        <row r="125">
          <cell r="C125" t="str">
            <v>L37a</v>
          </cell>
          <cell r="H125">
            <v>432</v>
          </cell>
          <cell r="J125">
            <v>117</v>
          </cell>
        </row>
        <row r="126">
          <cell r="C126" t="str">
            <v>M37a</v>
          </cell>
          <cell r="H126">
            <v>204</v>
          </cell>
          <cell r="J126">
            <v>58</v>
          </cell>
        </row>
        <row r="127">
          <cell r="C127" t="str">
            <v>M38a</v>
          </cell>
          <cell r="H127">
            <v>204</v>
          </cell>
          <cell r="J127">
            <v>58</v>
          </cell>
        </row>
        <row r="128">
          <cell r="C128" t="str">
            <v>M39a</v>
          </cell>
          <cell r="H128">
            <v>362</v>
          </cell>
          <cell r="J128">
            <v>24</v>
          </cell>
        </row>
        <row r="129">
          <cell r="C129" t="str">
            <v>M40a</v>
          </cell>
          <cell r="H129">
            <v>370</v>
          </cell>
          <cell r="J129">
            <v>20</v>
          </cell>
        </row>
        <row r="130">
          <cell r="C130" t="str">
            <v>M41a</v>
          </cell>
          <cell r="H130">
            <v>316</v>
          </cell>
          <cell r="J130">
            <v>83</v>
          </cell>
        </row>
        <row r="131">
          <cell r="C131" t="str">
            <v>N37a</v>
          </cell>
          <cell r="H131">
            <v>279</v>
          </cell>
          <cell r="J131">
            <v>126</v>
          </cell>
        </row>
        <row r="132">
          <cell r="C132" t="str">
            <v>N38a</v>
          </cell>
          <cell r="H132">
            <v>340</v>
          </cell>
          <cell r="J132">
            <v>151</v>
          </cell>
        </row>
        <row r="133">
          <cell r="C133" t="str">
            <v>N39a</v>
          </cell>
          <cell r="H133">
            <v>350</v>
          </cell>
          <cell r="J133">
            <v>186</v>
          </cell>
        </row>
        <row r="134">
          <cell r="C134" t="str">
            <v>N40a</v>
          </cell>
          <cell r="H134">
            <v>366</v>
          </cell>
          <cell r="J134">
            <v>29</v>
          </cell>
        </row>
        <row r="135">
          <cell r="C135" t="str">
            <v>N41a</v>
          </cell>
          <cell r="H135">
            <v>369</v>
          </cell>
          <cell r="J135">
            <v>23</v>
          </cell>
        </row>
        <row r="136">
          <cell r="C136" t="str">
            <v>N42a</v>
          </cell>
          <cell r="H136">
            <v>316</v>
          </cell>
          <cell r="J136">
            <v>40</v>
          </cell>
        </row>
        <row r="137">
          <cell r="C137" t="str">
            <v>O36a</v>
          </cell>
          <cell r="H137">
            <v>299</v>
          </cell>
          <cell r="J137">
            <v>144</v>
          </cell>
        </row>
        <row r="138">
          <cell r="C138" t="str">
            <v>O37a</v>
          </cell>
          <cell r="H138">
            <v>387</v>
          </cell>
          <cell r="J138">
            <v>55</v>
          </cell>
        </row>
        <row r="139">
          <cell r="C139" t="str">
            <v>O38a</v>
          </cell>
          <cell r="H139">
            <v>377</v>
          </cell>
          <cell r="J139">
            <v>22</v>
          </cell>
        </row>
        <row r="140">
          <cell r="C140" t="str">
            <v>P22a</v>
          </cell>
          <cell r="H140">
            <v>475</v>
          </cell>
          <cell r="J140">
            <v>95</v>
          </cell>
        </row>
        <row r="141">
          <cell r="C141" t="str">
            <v>K40a</v>
          </cell>
          <cell r="H141">
            <v>248</v>
          </cell>
          <cell r="J141">
            <v>67</v>
          </cell>
        </row>
        <row r="142">
          <cell r="C142" t="str">
            <v>L38a</v>
          </cell>
          <cell r="H142">
            <v>352</v>
          </cell>
          <cell r="J142">
            <v>85</v>
          </cell>
        </row>
        <row r="143">
          <cell r="C143" t="str">
            <v>L39a</v>
          </cell>
          <cell r="H143">
            <v>311</v>
          </cell>
          <cell r="J143">
            <v>69</v>
          </cell>
        </row>
        <row r="144">
          <cell r="C144" t="str">
            <v>M42a</v>
          </cell>
          <cell r="H144">
            <v>355</v>
          </cell>
          <cell r="J144">
            <v>118</v>
          </cell>
        </row>
        <row r="145">
          <cell r="C145" t="str">
            <v>M43a</v>
          </cell>
          <cell r="H145">
            <v>359</v>
          </cell>
          <cell r="J145">
            <v>98</v>
          </cell>
        </row>
        <row r="146">
          <cell r="C146" t="str">
            <v>M44a</v>
          </cell>
          <cell r="H146">
            <v>366</v>
          </cell>
          <cell r="J146">
            <v>43</v>
          </cell>
        </row>
        <row r="147">
          <cell r="C147" t="str">
            <v>M45a</v>
          </cell>
          <cell r="H147">
            <v>363</v>
          </cell>
          <cell r="J147">
            <v>39</v>
          </cell>
        </row>
        <row r="148">
          <cell r="C148" t="str">
            <v>M46a</v>
          </cell>
          <cell r="H148">
            <v>352</v>
          </cell>
          <cell r="J148">
            <v>105</v>
          </cell>
        </row>
        <row r="149">
          <cell r="C149" t="str">
            <v>M47a</v>
          </cell>
          <cell r="H149">
            <v>355</v>
          </cell>
          <cell r="J149">
            <v>97</v>
          </cell>
        </row>
        <row r="150">
          <cell r="C150" t="str">
            <v>N43a</v>
          </cell>
          <cell r="H150">
            <v>346</v>
          </cell>
          <cell r="J150">
            <v>57</v>
          </cell>
        </row>
        <row r="151">
          <cell r="C151" t="str">
            <v>N44a</v>
          </cell>
          <cell r="H151">
            <v>350</v>
          </cell>
          <cell r="J151">
            <v>49</v>
          </cell>
        </row>
        <row r="152">
          <cell r="C152" t="str">
            <v>N45a</v>
          </cell>
          <cell r="H152">
            <v>394</v>
          </cell>
          <cell r="J152">
            <v>106</v>
          </cell>
        </row>
        <row r="153">
          <cell r="C153" t="str">
            <v>N46a</v>
          </cell>
          <cell r="H153">
            <v>333</v>
          </cell>
          <cell r="J153">
            <v>91</v>
          </cell>
        </row>
        <row r="154">
          <cell r="C154" t="str">
            <v>N47a</v>
          </cell>
          <cell r="H154">
            <v>397</v>
          </cell>
          <cell r="J154">
            <v>50</v>
          </cell>
        </row>
        <row r="155">
          <cell r="C155" t="str">
            <v>N48a</v>
          </cell>
          <cell r="H155">
            <v>317</v>
          </cell>
          <cell r="J155">
            <v>25</v>
          </cell>
        </row>
        <row r="156">
          <cell r="C156" t="str">
            <v>N49a</v>
          </cell>
          <cell r="H156">
            <v>222</v>
          </cell>
          <cell r="J156">
            <v>76</v>
          </cell>
        </row>
        <row r="157">
          <cell r="C157" t="str">
            <v>N50a</v>
          </cell>
          <cell r="H157">
            <v>312</v>
          </cell>
          <cell r="J157">
            <v>108</v>
          </cell>
        </row>
        <row r="158">
          <cell r="C158" t="str">
            <v>O39a</v>
          </cell>
          <cell r="H158">
            <v>389</v>
          </cell>
          <cell r="J158">
            <v>91</v>
          </cell>
        </row>
        <row r="159">
          <cell r="C159" t="str">
            <v>O40a</v>
          </cell>
          <cell r="H159">
            <v>387</v>
          </cell>
          <cell r="J159">
            <v>87</v>
          </cell>
        </row>
        <row r="160">
          <cell r="C160" t="str">
            <v>O41a</v>
          </cell>
          <cell r="H160">
            <v>384</v>
          </cell>
          <cell r="J160">
            <v>89</v>
          </cell>
        </row>
        <row r="161">
          <cell r="C161" t="str">
            <v>O42a</v>
          </cell>
          <cell r="H161">
            <v>384</v>
          </cell>
          <cell r="J161">
            <v>149</v>
          </cell>
        </row>
        <row r="162">
          <cell r="C162" t="str">
            <v>O43a</v>
          </cell>
          <cell r="H162">
            <v>334</v>
          </cell>
          <cell r="J162">
            <v>102</v>
          </cell>
        </row>
        <row r="163">
          <cell r="C163" t="str">
            <v>O44a</v>
          </cell>
          <cell r="H163">
            <v>381</v>
          </cell>
          <cell r="J163">
            <v>113</v>
          </cell>
        </row>
        <row r="164">
          <cell r="C164" t="str">
            <v>O45a</v>
          </cell>
          <cell r="H164">
            <v>371</v>
          </cell>
          <cell r="J164">
            <v>93</v>
          </cell>
        </row>
        <row r="165">
          <cell r="C165" t="str">
            <v>O46a</v>
          </cell>
          <cell r="H165">
            <v>301</v>
          </cell>
          <cell r="J165">
            <v>73</v>
          </cell>
        </row>
        <row r="166">
          <cell r="C166" t="str">
            <v>O47a</v>
          </cell>
          <cell r="H166">
            <v>319</v>
          </cell>
          <cell r="J166">
            <v>68</v>
          </cell>
        </row>
        <row r="167">
          <cell r="C167" t="str">
            <v>P23a</v>
          </cell>
          <cell r="H167">
            <v>294</v>
          </cell>
          <cell r="J167">
            <v>87</v>
          </cell>
        </row>
        <row r="168">
          <cell r="C168" t="str">
            <v>P24a</v>
          </cell>
          <cell r="H168">
            <v>293</v>
          </cell>
          <cell r="J168">
            <v>103</v>
          </cell>
        </row>
        <row r="169">
          <cell r="C169" t="str">
            <v>K43a</v>
          </cell>
          <cell r="H169"/>
          <cell r="J169"/>
        </row>
        <row r="170">
          <cell r="C170" t="str">
            <v>L40a</v>
          </cell>
          <cell r="H170">
            <v>290</v>
          </cell>
          <cell r="J170">
            <v>65</v>
          </cell>
        </row>
        <row r="171">
          <cell r="C171" t="str">
            <v>M48a</v>
          </cell>
          <cell r="H171">
            <v>313</v>
          </cell>
          <cell r="J171">
            <v>83</v>
          </cell>
        </row>
        <row r="172">
          <cell r="C172" t="str">
            <v>M49a</v>
          </cell>
          <cell r="H172">
            <v>255</v>
          </cell>
          <cell r="J172">
            <v>59</v>
          </cell>
        </row>
        <row r="173">
          <cell r="C173" t="str">
            <v>M57a</v>
          </cell>
          <cell r="H173"/>
          <cell r="J173"/>
        </row>
        <row r="174">
          <cell r="C174" t="str">
            <v>N51a</v>
          </cell>
          <cell r="H174">
            <v>140</v>
          </cell>
          <cell r="J174">
            <v>37</v>
          </cell>
        </row>
        <row r="175">
          <cell r="C175" t="str">
            <v>N52a</v>
          </cell>
          <cell r="H175">
            <v>135</v>
          </cell>
          <cell r="J175">
            <v>24</v>
          </cell>
        </row>
        <row r="176">
          <cell r="C176" t="str">
            <v>N53a</v>
          </cell>
          <cell r="H176" t="str">
            <v xml:space="preserve">   </v>
          </cell>
          <cell r="J176"/>
        </row>
        <row r="177">
          <cell r="C177" t="str">
            <v>N61a</v>
          </cell>
          <cell r="H177"/>
          <cell r="J177"/>
        </row>
        <row r="178">
          <cell r="C178" t="str">
            <v>N62a</v>
          </cell>
          <cell r="H178"/>
          <cell r="J178"/>
        </row>
        <row r="179">
          <cell r="C179" t="str">
            <v>O48a</v>
          </cell>
          <cell r="H179">
            <v>345</v>
          </cell>
          <cell r="J179">
            <v>97</v>
          </cell>
        </row>
        <row r="180">
          <cell r="C180" t="str">
            <v>O49a</v>
          </cell>
          <cell r="H180">
            <v>345</v>
          </cell>
          <cell r="J180">
            <v>76</v>
          </cell>
        </row>
        <row r="181">
          <cell r="C181" t="str">
            <v>O50a</v>
          </cell>
          <cell r="H181">
            <v>290</v>
          </cell>
          <cell r="J181">
            <v>67</v>
          </cell>
        </row>
        <row r="182">
          <cell r="C182" t="str">
            <v>O51a</v>
          </cell>
          <cell r="H182">
            <v>195</v>
          </cell>
          <cell r="J182">
            <v>34</v>
          </cell>
        </row>
        <row r="183">
          <cell r="C183" t="str">
            <v>O52a</v>
          </cell>
          <cell r="H183">
            <v>210</v>
          </cell>
          <cell r="J183">
            <v>56</v>
          </cell>
        </row>
        <row r="184">
          <cell r="C184" t="str">
            <v>O53a</v>
          </cell>
          <cell r="H184">
            <v>219</v>
          </cell>
          <cell r="J184">
            <v>59</v>
          </cell>
        </row>
        <row r="185">
          <cell r="C185" t="str">
            <v>O54a</v>
          </cell>
          <cell r="H185">
            <v>216</v>
          </cell>
          <cell r="J185">
            <v>62</v>
          </cell>
        </row>
        <row r="186">
          <cell r="C186" t="str">
            <v>O57a</v>
          </cell>
          <cell r="H186">
            <v>325</v>
          </cell>
          <cell r="J186">
            <v>70</v>
          </cell>
        </row>
        <row r="187">
          <cell r="C187" t="str">
            <v>O58a</v>
          </cell>
          <cell r="H187"/>
          <cell r="J187"/>
        </row>
        <row r="188">
          <cell r="C188" t="str">
            <v>O59a</v>
          </cell>
          <cell r="H188"/>
          <cell r="J188"/>
        </row>
        <row r="189">
          <cell r="C189" t="str">
            <v>P26a</v>
          </cell>
          <cell r="H189">
            <v>385</v>
          </cell>
          <cell r="J189">
            <v>52</v>
          </cell>
        </row>
        <row r="190">
          <cell r="C190" t="str">
            <v>P27a</v>
          </cell>
          <cell r="H190">
            <v>186</v>
          </cell>
          <cell r="J190">
            <v>44</v>
          </cell>
        </row>
        <row r="191">
          <cell r="C191" t="str">
            <v>P28a</v>
          </cell>
          <cell r="H191">
            <v>109</v>
          </cell>
          <cell r="J191">
            <v>27</v>
          </cell>
        </row>
        <row r="192">
          <cell r="C192" t="str">
            <v>P29a</v>
          </cell>
          <cell r="H192">
            <v>329</v>
          </cell>
          <cell r="J192">
            <v>49</v>
          </cell>
        </row>
        <row r="193">
          <cell r="C193" t="str">
            <v>P30a</v>
          </cell>
          <cell r="H193">
            <v>359</v>
          </cell>
          <cell r="J193">
            <v>47</v>
          </cell>
        </row>
        <row r="194">
          <cell r="C194" t="str">
            <v>P31a</v>
          </cell>
          <cell r="H194">
            <v>339</v>
          </cell>
          <cell r="J194">
            <v>81</v>
          </cell>
        </row>
        <row r="195">
          <cell r="C195" t="str">
            <v>P32a</v>
          </cell>
          <cell r="H195">
            <v>283</v>
          </cell>
          <cell r="J195">
            <v>60</v>
          </cell>
        </row>
        <row r="196">
          <cell r="C196" t="str">
            <v>P33a</v>
          </cell>
          <cell r="H196">
            <v>289</v>
          </cell>
          <cell r="J196">
            <v>61</v>
          </cell>
        </row>
        <row r="197">
          <cell r="C197" t="str">
            <v>P34a</v>
          </cell>
          <cell r="H197">
            <v>274</v>
          </cell>
          <cell r="J197">
            <v>48</v>
          </cell>
        </row>
        <row r="198">
          <cell r="C198" t="str">
            <v>P35a</v>
          </cell>
          <cell r="H198">
            <v>258</v>
          </cell>
          <cell r="J198">
            <v>43</v>
          </cell>
        </row>
        <row r="199">
          <cell r="C199" t="str">
            <v>P36a</v>
          </cell>
          <cell r="H199">
            <v>84</v>
          </cell>
          <cell r="J199">
            <v>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 "/>
      <sheetName val="MINGGU"/>
      <sheetName val="Sheet1"/>
    </sheetNames>
    <sheetDataSet>
      <sheetData sheetId="0">
        <row r="16">
          <cell r="E16" t="str">
            <v>L11a</v>
          </cell>
        </row>
      </sheetData>
      <sheetData sheetId="1" refreshError="1"/>
      <sheetData sheetId="2">
        <row r="6">
          <cell r="C6" t="str">
            <v>K14a</v>
          </cell>
          <cell r="F6">
            <v>359</v>
          </cell>
          <cell r="H6">
            <v>65</v>
          </cell>
        </row>
        <row r="7">
          <cell r="C7" t="str">
            <v>K15a</v>
          </cell>
          <cell r="F7"/>
          <cell r="H7"/>
        </row>
        <row r="8">
          <cell r="C8" t="str">
            <v>K16a</v>
          </cell>
          <cell r="F8">
            <v>213</v>
          </cell>
          <cell r="H8">
            <v>7</v>
          </cell>
        </row>
        <row r="9">
          <cell r="C9" t="str">
            <v>K17a</v>
          </cell>
          <cell r="F9"/>
          <cell r="H9"/>
        </row>
        <row r="10">
          <cell r="C10" t="str">
            <v>L08a</v>
          </cell>
          <cell r="F10">
            <v>242</v>
          </cell>
          <cell r="H10">
            <v>15</v>
          </cell>
        </row>
        <row r="11">
          <cell r="C11" t="str">
            <v>L09a</v>
          </cell>
          <cell r="F11"/>
          <cell r="H11"/>
        </row>
        <row r="12">
          <cell r="C12" t="str">
            <v>L10a</v>
          </cell>
          <cell r="F12">
            <v>490</v>
          </cell>
          <cell r="H12">
            <v>21</v>
          </cell>
        </row>
        <row r="13">
          <cell r="C13" t="str">
            <v>L11a</v>
          </cell>
          <cell r="F13">
            <v>500</v>
          </cell>
          <cell r="H13">
            <v>15</v>
          </cell>
        </row>
        <row r="14">
          <cell r="C14" t="str">
            <v>L12a</v>
          </cell>
          <cell r="F14"/>
          <cell r="H14"/>
        </row>
        <row r="15">
          <cell r="C15" t="str">
            <v>L13a</v>
          </cell>
          <cell r="F15"/>
          <cell r="H15"/>
        </row>
        <row r="16">
          <cell r="C16" t="str">
            <v>L14a</v>
          </cell>
          <cell r="F16"/>
          <cell r="H16"/>
        </row>
        <row r="17">
          <cell r="C17" t="str">
            <v>M10a</v>
          </cell>
          <cell r="F17"/>
          <cell r="H17"/>
        </row>
        <row r="18">
          <cell r="C18" t="str">
            <v>M11a</v>
          </cell>
          <cell r="F18"/>
          <cell r="H18"/>
        </row>
        <row r="19">
          <cell r="C19" t="str">
            <v>M12a</v>
          </cell>
          <cell r="F19"/>
          <cell r="H19"/>
        </row>
        <row r="20">
          <cell r="C20" t="str">
            <v>M13a</v>
          </cell>
          <cell r="F20"/>
          <cell r="H20"/>
        </row>
        <row r="21">
          <cell r="C21" t="str">
            <v>M14a</v>
          </cell>
          <cell r="F21"/>
          <cell r="H21"/>
        </row>
        <row r="22">
          <cell r="C22" t="str">
            <v>M15a</v>
          </cell>
          <cell r="F22">
            <v>503</v>
          </cell>
          <cell r="H22">
            <v>17</v>
          </cell>
        </row>
        <row r="23">
          <cell r="C23" t="str">
            <v>M16a</v>
          </cell>
          <cell r="F23"/>
          <cell r="H23"/>
        </row>
        <row r="24">
          <cell r="C24" t="str">
            <v>N18a</v>
          </cell>
          <cell r="F24"/>
          <cell r="H24"/>
        </row>
        <row r="25">
          <cell r="C25" t="str">
            <v>L15a</v>
          </cell>
          <cell r="F25"/>
          <cell r="H25"/>
        </row>
        <row r="26">
          <cell r="C26" t="str">
            <v>L16a</v>
          </cell>
          <cell r="F26">
            <v>250</v>
          </cell>
          <cell r="H26">
            <v>32</v>
          </cell>
        </row>
        <row r="27">
          <cell r="C27" t="str">
            <v>M17a</v>
          </cell>
          <cell r="F27">
            <v>232</v>
          </cell>
          <cell r="H27">
            <v>28</v>
          </cell>
        </row>
        <row r="28">
          <cell r="C28" t="str">
            <v>M19a</v>
          </cell>
          <cell r="F28">
            <v>281</v>
          </cell>
          <cell r="H28">
            <v>101</v>
          </cell>
        </row>
        <row r="29">
          <cell r="C29" t="str">
            <v>M21a</v>
          </cell>
          <cell r="F29"/>
          <cell r="H29"/>
        </row>
        <row r="30">
          <cell r="C30" t="str">
            <v>M22a</v>
          </cell>
          <cell r="F30"/>
          <cell r="H30"/>
        </row>
        <row r="31">
          <cell r="C31" t="str">
            <v>M23a</v>
          </cell>
          <cell r="F31"/>
          <cell r="H31"/>
        </row>
        <row r="32">
          <cell r="C32" t="str">
            <v>N21a</v>
          </cell>
          <cell r="F32"/>
          <cell r="H32"/>
        </row>
        <row r="33">
          <cell r="C33" t="str">
            <v>N22a</v>
          </cell>
          <cell r="F33"/>
          <cell r="H33"/>
        </row>
        <row r="34">
          <cell r="C34" t="str">
            <v>O25a</v>
          </cell>
          <cell r="F34"/>
          <cell r="H34"/>
        </row>
        <row r="35">
          <cell r="C35" t="str">
            <v>O27a</v>
          </cell>
          <cell r="F35"/>
          <cell r="H35"/>
        </row>
        <row r="36">
          <cell r="C36" t="str">
            <v>O28a</v>
          </cell>
          <cell r="F36">
            <v>265</v>
          </cell>
          <cell r="H36">
            <v>21</v>
          </cell>
        </row>
        <row r="37">
          <cell r="C37" t="str">
            <v>J43b</v>
          </cell>
          <cell r="F37"/>
          <cell r="H37"/>
        </row>
        <row r="38">
          <cell r="C38" t="str">
            <v>K41a</v>
          </cell>
          <cell r="F38"/>
          <cell r="H38"/>
        </row>
        <row r="39">
          <cell r="C39" t="str">
            <v>L35a</v>
          </cell>
          <cell r="F39"/>
          <cell r="H39"/>
        </row>
        <row r="40">
          <cell r="C40" t="str">
            <v>L39a</v>
          </cell>
          <cell r="F40">
            <v>283</v>
          </cell>
          <cell r="H40">
            <v>68</v>
          </cell>
        </row>
        <row r="41">
          <cell r="C41" t="str">
            <v>L40a</v>
          </cell>
          <cell r="F41">
            <v>520</v>
          </cell>
          <cell r="H41">
            <v>34</v>
          </cell>
        </row>
        <row r="42">
          <cell r="C42" t="str">
            <v>M36a</v>
          </cell>
          <cell r="F42">
            <v>650</v>
          </cell>
          <cell r="H42">
            <v>200</v>
          </cell>
        </row>
        <row r="43">
          <cell r="C43" t="str">
            <v>M37a</v>
          </cell>
          <cell r="F43">
            <v>468</v>
          </cell>
          <cell r="H43">
            <v>51</v>
          </cell>
        </row>
        <row r="44">
          <cell r="C44" t="str">
            <v>M46a</v>
          </cell>
          <cell r="F44">
            <v>300</v>
          </cell>
          <cell r="H44">
            <v>15</v>
          </cell>
        </row>
        <row r="45">
          <cell r="C45" t="str">
            <v>M47a</v>
          </cell>
          <cell r="F45"/>
          <cell r="H45"/>
        </row>
        <row r="46">
          <cell r="C46" t="str">
            <v>M48a</v>
          </cell>
          <cell r="F46">
            <v>432</v>
          </cell>
          <cell r="H46">
            <v>34</v>
          </cell>
        </row>
        <row r="47">
          <cell r="C47" t="str">
            <v>N41a</v>
          </cell>
          <cell r="F47"/>
          <cell r="H47"/>
        </row>
        <row r="48">
          <cell r="C48" t="str">
            <v>N42a</v>
          </cell>
          <cell r="F48">
            <v>412</v>
          </cell>
          <cell r="H48">
            <v>49</v>
          </cell>
        </row>
        <row r="49">
          <cell r="C49" t="str">
            <v>N43a</v>
          </cell>
          <cell r="F49"/>
          <cell r="H49"/>
        </row>
        <row r="50">
          <cell r="C50" t="str">
            <v>N43b</v>
          </cell>
          <cell r="F50">
            <v>576</v>
          </cell>
          <cell r="H50">
            <v>34</v>
          </cell>
        </row>
        <row r="51">
          <cell r="C51" t="str">
            <v>N49a</v>
          </cell>
          <cell r="F51"/>
          <cell r="H51"/>
        </row>
        <row r="52">
          <cell r="C52" t="str">
            <v>M55a</v>
          </cell>
          <cell r="F52"/>
          <cell r="H52"/>
        </row>
        <row r="53">
          <cell r="C53" t="str">
            <v>N50a</v>
          </cell>
          <cell r="F53">
            <v>423</v>
          </cell>
          <cell r="H53">
            <v>32</v>
          </cell>
        </row>
        <row r="54">
          <cell r="C54" t="str">
            <v>N55a</v>
          </cell>
          <cell r="F54"/>
          <cell r="H54"/>
        </row>
        <row r="55">
          <cell r="C55" t="str">
            <v>N56a</v>
          </cell>
          <cell r="F55"/>
          <cell r="H55"/>
        </row>
        <row r="56">
          <cell r="C56" t="str">
            <v>N57a</v>
          </cell>
          <cell r="F56"/>
          <cell r="H56"/>
        </row>
        <row r="57">
          <cell r="C57" t="str">
            <v>N58a</v>
          </cell>
          <cell r="F57">
            <v>421</v>
          </cell>
          <cell r="H57">
            <v>24</v>
          </cell>
        </row>
        <row r="58">
          <cell r="C58" t="str">
            <v>O56a</v>
          </cell>
          <cell r="F58">
            <v>398</v>
          </cell>
          <cell r="H58">
            <v>7</v>
          </cell>
        </row>
        <row r="59">
          <cell r="C59" t="str">
            <v>O60a</v>
          </cell>
          <cell r="F59">
            <v>298</v>
          </cell>
          <cell r="H59">
            <v>19</v>
          </cell>
        </row>
        <row r="60">
          <cell r="C60" t="str">
            <v>O61a</v>
          </cell>
          <cell r="F60"/>
          <cell r="H60"/>
        </row>
        <row r="61">
          <cell r="C61" t="str">
            <v>P56a</v>
          </cell>
          <cell r="F61"/>
          <cell r="H61"/>
        </row>
        <row r="62">
          <cell r="C62" t="str">
            <v>P57a</v>
          </cell>
          <cell r="F62"/>
          <cell r="H62"/>
        </row>
        <row r="63">
          <cell r="C63" t="str">
            <v>P58a</v>
          </cell>
          <cell r="F63"/>
          <cell r="H63"/>
        </row>
        <row r="64">
          <cell r="C64" t="str">
            <v>Q54a</v>
          </cell>
          <cell r="F64">
            <v>456</v>
          </cell>
          <cell r="H64">
            <v>93</v>
          </cell>
        </row>
        <row r="65">
          <cell r="C65" t="str">
            <v>Q55a</v>
          </cell>
          <cell r="F65"/>
          <cell r="H65"/>
        </row>
        <row r="66">
          <cell r="C66" t="str">
            <v>Q62a</v>
          </cell>
          <cell r="F66"/>
          <cell r="H66"/>
        </row>
        <row r="67">
          <cell r="C67" t="str">
            <v>Q64a</v>
          </cell>
          <cell r="F67"/>
          <cell r="H67"/>
        </row>
        <row r="68">
          <cell r="C68" t="str">
            <v>Q65a</v>
          </cell>
          <cell r="F68"/>
          <cell r="H68"/>
        </row>
        <row r="69">
          <cell r="C69" t="str">
            <v>Q66a</v>
          </cell>
          <cell r="F69"/>
          <cell r="H69"/>
        </row>
        <row r="70">
          <cell r="C70" t="str">
            <v>Q67a</v>
          </cell>
          <cell r="F70">
            <v>329</v>
          </cell>
          <cell r="H70">
            <v>60</v>
          </cell>
        </row>
        <row r="71">
          <cell r="C71" t="str">
            <v>Q68a</v>
          </cell>
          <cell r="F71">
            <v>267</v>
          </cell>
          <cell r="H71">
            <v>17</v>
          </cell>
        </row>
        <row r="72">
          <cell r="C72" t="str">
            <v>Q69a</v>
          </cell>
          <cell r="F72"/>
          <cell r="H72"/>
        </row>
        <row r="73">
          <cell r="C73" t="str">
            <v>R82a</v>
          </cell>
          <cell r="F73"/>
          <cell r="H73"/>
        </row>
        <row r="74">
          <cell r="C74" t="str">
            <v>S78a</v>
          </cell>
          <cell r="F74"/>
          <cell r="H74"/>
        </row>
        <row r="75">
          <cell r="C75" t="str">
            <v>R84a</v>
          </cell>
          <cell r="F75"/>
          <cell r="H75"/>
        </row>
        <row r="76">
          <cell r="C76" t="str">
            <v>S83a</v>
          </cell>
          <cell r="F76"/>
          <cell r="H76"/>
        </row>
        <row r="77">
          <cell r="C77" t="str">
            <v>S86a</v>
          </cell>
          <cell r="F77">
            <v>640</v>
          </cell>
          <cell r="H77">
            <v>27</v>
          </cell>
        </row>
        <row r="78">
          <cell r="C78" t="str">
            <v>S88a</v>
          </cell>
          <cell r="F78"/>
          <cell r="H78"/>
        </row>
        <row r="79">
          <cell r="C79" t="str">
            <v>S89a</v>
          </cell>
          <cell r="F79"/>
          <cell r="H79"/>
        </row>
        <row r="80">
          <cell r="C80" t="str">
            <v>S90a</v>
          </cell>
          <cell r="F80"/>
          <cell r="H80"/>
        </row>
        <row r="81">
          <cell r="C81" t="str">
            <v>S93a</v>
          </cell>
          <cell r="F81"/>
          <cell r="H81"/>
        </row>
        <row r="82">
          <cell r="C82" t="str">
            <v>T85a</v>
          </cell>
          <cell r="F82"/>
          <cell r="H82"/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4">
          <cell r="E24" t="str">
            <v>A37a</v>
          </cell>
          <cell r="H24">
            <v>128</v>
          </cell>
          <cell r="J24">
            <v>2</v>
          </cell>
        </row>
        <row r="25">
          <cell r="E25" t="str">
            <v>B44a</v>
          </cell>
          <cell r="H25">
            <v>124</v>
          </cell>
          <cell r="J25">
            <v>2</v>
          </cell>
        </row>
        <row r="26">
          <cell r="E26" t="str">
            <v>B39a</v>
          </cell>
          <cell r="H26">
            <v>122</v>
          </cell>
          <cell r="J26">
            <v>2</v>
          </cell>
        </row>
        <row r="27">
          <cell r="E27" t="str">
            <v>B41a</v>
          </cell>
          <cell r="H27">
            <v>122</v>
          </cell>
          <cell r="J27">
            <v>2</v>
          </cell>
        </row>
        <row r="28">
          <cell r="E28" t="str">
            <v>B37a</v>
          </cell>
          <cell r="H28">
            <v>120</v>
          </cell>
          <cell r="J28">
            <v>2</v>
          </cell>
        </row>
        <row r="29">
          <cell r="E29" t="str">
            <v>C39a</v>
          </cell>
          <cell r="H29">
            <v>95</v>
          </cell>
          <cell r="J29">
            <v>1</v>
          </cell>
        </row>
        <row r="30">
          <cell r="E30" t="str">
            <v>A46a</v>
          </cell>
          <cell r="H30">
            <v>187</v>
          </cell>
          <cell r="J30">
            <v>2</v>
          </cell>
        </row>
        <row r="31">
          <cell r="E31" t="str">
            <v>B45a</v>
          </cell>
          <cell r="H31">
            <v>91</v>
          </cell>
          <cell r="J31">
            <v>1</v>
          </cell>
        </row>
        <row r="32">
          <cell r="E32" t="str">
            <v>B43a</v>
          </cell>
          <cell r="H32">
            <v>178</v>
          </cell>
          <cell r="J32">
            <v>2</v>
          </cell>
        </row>
        <row r="33">
          <cell r="E33" t="str">
            <v>B42a</v>
          </cell>
          <cell r="H33">
            <v>165</v>
          </cell>
          <cell r="J33">
            <v>2</v>
          </cell>
        </row>
        <row r="34">
          <cell r="E34" t="str">
            <v>B40a</v>
          </cell>
          <cell r="H34">
            <v>146</v>
          </cell>
          <cell r="J34">
            <v>2</v>
          </cell>
        </row>
        <row r="35">
          <cell r="E35" t="str">
            <v>C38a</v>
          </cell>
          <cell r="H35">
            <v>144</v>
          </cell>
          <cell r="J35">
            <v>2</v>
          </cell>
        </row>
        <row r="36">
          <cell r="E36" t="str">
            <v>C41a</v>
          </cell>
          <cell r="H36">
            <v>144</v>
          </cell>
          <cell r="J36">
            <v>2</v>
          </cell>
        </row>
        <row r="37">
          <cell r="E37" t="str">
            <v>C40a</v>
          </cell>
          <cell r="H37">
            <v>142</v>
          </cell>
          <cell r="J37">
            <v>2</v>
          </cell>
        </row>
        <row r="38">
          <cell r="E38" t="str">
            <v>B36a</v>
          </cell>
          <cell r="H38">
            <v>139</v>
          </cell>
          <cell r="J38">
            <v>2</v>
          </cell>
        </row>
        <row r="39">
          <cell r="E39" t="str">
            <v>C43a</v>
          </cell>
          <cell r="H39">
            <v>129</v>
          </cell>
          <cell r="J39">
            <v>2</v>
          </cell>
        </row>
        <row r="40">
          <cell r="E40" t="str">
            <v>C45a</v>
          </cell>
          <cell r="H40">
            <v>243</v>
          </cell>
          <cell r="J40">
            <v>4</v>
          </cell>
        </row>
        <row r="41">
          <cell r="E41" t="str">
            <v>C42a</v>
          </cell>
          <cell r="H41">
            <v>118</v>
          </cell>
          <cell r="J41">
            <v>2</v>
          </cell>
        </row>
        <row r="42">
          <cell r="E42" t="str">
            <v>A44a</v>
          </cell>
          <cell r="H42">
            <v>232</v>
          </cell>
          <cell r="J42">
            <v>4</v>
          </cell>
        </row>
        <row r="43">
          <cell r="E43" t="str">
            <v>A45a</v>
          </cell>
          <cell r="H43">
            <v>173</v>
          </cell>
          <cell r="J43">
            <v>3</v>
          </cell>
        </row>
        <row r="44">
          <cell r="E44" t="str">
            <v>C44a</v>
          </cell>
          <cell r="H44">
            <v>167</v>
          </cell>
          <cell r="J44">
            <v>3</v>
          </cell>
        </row>
        <row r="45">
          <cell r="E45" t="str">
            <v>A38a</v>
          </cell>
          <cell r="H45">
            <v>277</v>
          </cell>
          <cell r="J45">
            <v>5</v>
          </cell>
        </row>
        <row r="46">
          <cell r="E46" t="str">
            <v>A42a</v>
          </cell>
          <cell r="H46">
            <v>207</v>
          </cell>
          <cell r="J46">
            <v>4</v>
          </cell>
        </row>
        <row r="47">
          <cell r="E47" t="str">
            <v>B38a</v>
          </cell>
          <cell r="H47">
            <v>155</v>
          </cell>
          <cell r="J47">
            <v>3</v>
          </cell>
        </row>
        <row r="48">
          <cell r="E48" t="str">
            <v>C35a</v>
          </cell>
          <cell r="H48">
            <v>154</v>
          </cell>
          <cell r="J48">
            <v>3</v>
          </cell>
        </row>
        <row r="49">
          <cell r="E49" t="str">
            <v>C36a</v>
          </cell>
          <cell r="H49">
            <v>148</v>
          </cell>
          <cell r="J49">
            <v>3</v>
          </cell>
        </row>
        <row r="50">
          <cell r="E50" t="str">
            <v>A43a</v>
          </cell>
          <cell r="H50">
            <v>246</v>
          </cell>
          <cell r="J50">
            <v>5</v>
          </cell>
        </row>
        <row r="51">
          <cell r="E51" t="str">
            <v>B35a</v>
          </cell>
          <cell r="H51">
            <v>146</v>
          </cell>
          <cell r="J51">
            <v>3</v>
          </cell>
        </row>
        <row r="52">
          <cell r="E52" t="str">
            <v>C37a</v>
          </cell>
          <cell r="H52">
            <v>146</v>
          </cell>
          <cell r="J52">
            <v>3</v>
          </cell>
        </row>
        <row r="53">
          <cell r="E53" t="str">
            <v>A40a</v>
          </cell>
          <cell r="H53">
            <v>188</v>
          </cell>
          <cell r="J53">
            <v>4</v>
          </cell>
        </row>
        <row r="54">
          <cell r="E54" t="str">
            <v>A41a</v>
          </cell>
          <cell r="H54">
            <v>187</v>
          </cell>
          <cell r="J54">
            <v>4</v>
          </cell>
        </row>
        <row r="55">
          <cell r="E55" t="str">
            <v>A39a</v>
          </cell>
          <cell r="H55">
            <v>169</v>
          </cell>
          <cell r="J55">
            <v>4</v>
          </cell>
        </row>
        <row r="56">
          <cell r="E56" t="str">
            <v>E39a</v>
          </cell>
          <cell r="H56">
            <v>265</v>
          </cell>
          <cell r="J56">
            <v>1</v>
          </cell>
        </row>
        <row r="57">
          <cell r="E57" t="str">
            <v>F31a</v>
          </cell>
          <cell r="H57">
            <v>137</v>
          </cell>
          <cell r="J57">
            <v>1</v>
          </cell>
        </row>
        <row r="58">
          <cell r="E58" t="str">
            <v>E40a</v>
          </cell>
          <cell r="H58">
            <v>123</v>
          </cell>
          <cell r="J58">
            <v>2</v>
          </cell>
        </row>
        <row r="59">
          <cell r="E59" t="str">
            <v>E41a</v>
          </cell>
          <cell r="H59">
            <v>122</v>
          </cell>
          <cell r="J59">
            <v>2</v>
          </cell>
        </row>
        <row r="60">
          <cell r="E60" t="str">
            <v>F38a</v>
          </cell>
          <cell r="H60">
            <v>122</v>
          </cell>
          <cell r="J60">
            <v>2</v>
          </cell>
        </row>
        <row r="61">
          <cell r="E61" t="str">
            <v>D36a</v>
          </cell>
          <cell r="H61">
            <v>121</v>
          </cell>
          <cell r="J61">
            <v>2</v>
          </cell>
        </row>
        <row r="62">
          <cell r="E62" t="str">
            <v>D35a</v>
          </cell>
          <cell r="H62">
            <v>120</v>
          </cell>
          <cell r="J62">
            <v>2</v>
          </cell>
        </row>
        <row r="63">
          <cell r="E63" t="str">
            <v>D38a</v>
          </cell>
          <cell r="H63">
            <v>105</v>
          </cell>
          <cell r="J63">
            <v>2</v>
          </cell>
        </row>
        <row r="64">
          <cell r="E64" t="str">
            <v>E38a</v>
          </cell>
          <cell r="H64">
            <v>104</v>
          </cell>
          <cell r="J64">
            <v>2</v>
          </cell>
        </row>
        <row r="65">
          <cell r="E65" t="str">
            <v>F32a</v>
          </cell>
          <cell r="H65">
            <v>102</v>
          </cell>
          <cell r="J65">
            <v>1</v>
          </cell>
        </row>
        <row r="66">
          <cell r="E66" t="str">
            <v>F34a</v>
          </cell>
          <cell r="H66">
            <v>101</v>
          </cell>
          <cell r="J66">
            <v>1</v>
          </cell>
        </row>
        <row r="67">
          <cell r="E67" t="str">
            <v>D33a</v>
          </cell>
          <cell r="H67">
            <v>152</v>
          </cell>
          <cell r="J67">
            <v>2</v>
          </cell>
        </row>
        <row r="68">
          <cell r="E68" t="str">
            <v>E37a</v>
          </cell>
          <cell r="H68">
            <v>150</v>
          </cell>
          <cell r="J68">
            <v>2</v>
          </cell>
        </row>
        <row r="69">
          <cell r="E69" t="str">
            <v>E32a</v>
          </cell>
          <cell r="H69">
            <v>146</v>
          </cell>
          <cell r="J69">
            <v>2</v>
          </cell>
        </row>
        <row r="70">
          <cell r="E70" t="str">
            <v>E35a</v>
          </cell>
          <cell r="H70">
            <v>146</v>
          </cell>
          <cell r="J70">
            <v>2</v>
          </cell>
        </row>
        <row r="71">
          <cell r="E71" t="str">
            <v>D34a</v>
          </cell>
          <cell r="H71">
            <v>145</v>
          </cell>
          <cell r="J71">
            <v>2</v>
          </cell>
        </row>
        <row r="72">
          <cell r="E72" t="str">
            <v>D39a</v>
          </cell>
          <cell r="H72">
            <v>139</v>
          </cell>
          <cell r="J72">
            <v>2</v>
          </cell>
        </row>
        <row r="73">
          <cell r="E73" t="str">
            <v>E34a</v>
          </cell>
          <cell r="H73">
            <v>67</v>
          </cell>
          <cell r="J73">
            <v>1</v>
          </cell>
        </row>
        <row r="74">
          <cell r="E74" t="str">
            <v>F36a</v>
          </cell>
          <cell r="H74">
            <v>65</v>
          </cell>
          <cell r="J74">
            <v>1</v>
          </cell>
        </row>
        <row r="75">
          <cell r="E75" t="str">
            <v>F35a</v>
          </cell>
          <cell r="H75">
            <v>127</v>
          </cell>
          <cell r="J75">
            <v>2</v>
          </cell>
        </row>
        <row r="76">
          <cell r="E76" t="str">
            <v>D37a</v>
          </cell>
          <cell r="H76">
            <v>63</v>
          </cell>
          <cell r="J76">
            <v>1</v>
          </cell>
        </row>
        <row r="77">
          <cell r="E77" t="str">
            <v>F37a</v>
          </cell>
          <cell r="H77">
            <v>123</v>
          </cell>
          <cell r="J77">
            <v>2</v>
          </cell>
        </row>
        <row r="78">
          <cell r="E78" t="str">
            <v>E31a</v>
          </cell>
          <cell r="H78">
            <v>119</v>
          </cell>
          <cell r="J78">
            <v>2</v>
          </cell>
        </row>
        <row r="79">
          <cell r="E79" t="str">
            <v>E33a</v>
          </cell>
          <cell r="H79">
            <v>59</v>
          </cell>
          <cell r="J79">
            <v>1</v>
          </cell>
        </row>
        <row r="80">
          <cell r="E80" t="str">
            <v>E36a</v>
          </cell>
          <cell r="H80">
            <v>108</v>
          </cell>
          <cell r="J80">
            <v>2</v>
          </cell>
        </row>
        <row r="81">
          <cell r="E81" t="str">
            <v>F33a</v>
          </cell>
          <cell r="H81">
            <v>54</v>
          </cell>
          <cell r="J81">
            <v>1</v>
          </cell>
        </row>
        <row r="82">
          <cell r="E82" t="str">
            <v>D40a</v>
          </cell>
          <cell r="H82">
            <v>53</v>
          </cell>
          <cell r="J82">
            <v>1</v>
          </cell>
        </row>
        <row r="83">
          <cell r="E83" t="str">
            <v>D41a</v>
          </cell>
          <cell r="H83">
            <v>53</v>
          </cell>
          <cell r="J83">
            <v>1</v>
          </cell>
        </row>
        <row r="84">
          <cell r="E84" t="str">
            <v>H35a</v>
          </cell>
          <cell r="H84">
            <v>127</v>
          </cell>
          <cell r="J84">
            <v>1</v>
          </cell>
        </row>
        <row r="85">
          <cell r="E85" t="str">
            <v>H28a</v>
          </cell>
          <cell r="H85">
            <v>124</v>
          </cell>
          <cell r="J85">
            <v>2</v>
          </cell>
        </row>
        <row r="86">
          <cell r="E86" t="str">
            <v>G27a</v>
          </cell>
          <cell r="H86">
            <v>123</v>
          </cell>
          <cell r="J86">
            <v>2</v>
          </cell>
        </row>
        <row r="87">
          <cell r="E87" t="str">
            <v>H31a</v>
          </cell>
          <cell r="H87">
            <v>122</v>
          </cell>
          <cell r="J87">
            <v>2</v>
          </cell>
        </row>
        <row r="88">
          <cell r="E88" t="str">
            <v>H25a</v>
          </cell>
          <cell r="H88">
            <v>121</v>
          </cell>
          <cell r="J88">
            <v>2</v>
          </cell>
        </row>
        <row r="89">
          <cell r="E89" t="str">
            <v>I25a</v>
          </cell>
          <cell r="H89">
            <v>121</v>
          </cell>
          <cell r="J89">
            <v>2</v>
          </cell>
        </row>
        <row r="90">
          <cell r="E90" t="str">
            <v>H27a</v>
          </cell>
          <cell r="H90">
            <v>105</v>
          </cell>
          <cell r="J90">
            <v>2</v>
          </cell>
        </row>
        <row r="91">
          <cell r="E91" t="str">
            <v>G35a</v>
          </cell>
          <cell r="H91">
            <v>89</v>
          </cell>
          <cell r="J91">
            <v>1</v>
          </cell>
        </row>
        <row r="92">
          <cell r="E92" t="str">
            <v>I29a</v>
          </cell>
          <cell r="H92">
            <v>153</v>
          </cell>
          <cell r="J92">
            <v>2</v>
          </cell>
        </row>
        <row r="93">
          <cell r="E93" t="str">
            <v>H36a</v>
          </cell>
          <cell r="H93">
            <v>152</v>
          </cell>
          <cell r="J93">
            <v>2</v>
          </cell>
        </row>
        <row r="94">
          <cell r="E94" t="str">
            <v>I32a</v>
          </cell>
          <cell r="H94">
            <v>152</v>
          </cell>
          <cell r="J94">
            <v>2</v>
          </cell>
        </row>
        <row r="95">
          <cell r="E95" t="str">
            <v>G32a</v>
          </cell>
          <cell r="H95">
            <v>148</v>
          </cell>
          <cell r="J95">
            <v>2</v>
          </cell>
        </row>
        <row r="96">
          <cell r="E96" t="str">
            <v>G26a</v>
          </cell>
          <cell r="H96">
            <v>147</v>
          </cell>
          <cell r="J96">
            <v>2</v>
          </cell>
        </row>
        <row r="97">
          <cell r="E97" t="str">
            <v>G37a</v>
          </cell>
          <cell r="H97">
            <v>146</v>
          </cell>
          <cell r="J97">
            <v>2</v>
          </cell>
        </row>
        <row r="98">
          <cell r="E98" t="str">
            <v>H33a</v>
          </cell>
          <cell r="H98">
            <v>144</v>
          </cell>
          <cell r="J98">
            <v>2</v>
          </cell>
        </row>
        <row r="99">
          <cell r="E99" t="str">
            <v>I28a</v>
          </cell>
          <cell r="H99">
            <v>144</v>
          </cell>
          <cell r="J99">
            <v>2</v>
          </cell>
        </row>
        <row r="100">
          <cell r="E100" t="str">
            <v>G34a</v>
          </cell>
          <cell r="H100">
            <v>138</v>
          </cell>
          <cell r="J100">
            <v>2</v>
          </cell>
        </row>
        <row r="101">
          <cell r="E101" t="str">
            <v>G36a</v>
          </cell>
          <cell r="H101">
            <v>136</v>
          </cell>
          <cell r="J101">
            <v>2</v>
          </cell>
        </row>
        <row r="102">
          <cell r="E102" t="str">
            <v>G33a</v>
          </cell>
          <cell r="H102">
            <v>132</v>
          </cell>
          <cell r="J102">
            <v>2</v>
          </cell>
        </row>
        <row r="103">
          <cell r="E103" t="str">
            <v>G29a</v>
          </cell>
          <cell r="H103">
            <v>129</v>
          </cell>
          <cell r="J103">
            <v>2</v>
          </cell>
        </row>
        <row r="104">
          <cell r="E104" t="str">
            <v>G30a</v>
          </cell>
          <cell r="H104">
            <v>125</v>
          </cell>
          <cell r="J104">
            <v>2</v>
          </cell>
        </row>
        <row r="105">
          <cell r="E105" t="str">
            <v>I26a</v>
          </cell>
          <cell r="H105">
            <v>117</v>
          </cell>
          <cell r="J105">
            <v>2</v>
          </cell>
        </row>
        <row r="106">
          <cell r="E106" t="str">
            <v>G38a</v>
          </cell>
          <cell r="H106">
            <v>58</v>
          </cell>
          <cell r="J106">
            <v>1</v>
          </cell>
        </row>
        <row r="107">
          <cell r="E107" t="str">
            <v>H26a</v>
          </cell>
          <cell r="H107">
            <v>161</v>
          </cell>
          <cell r="J107">
            <v>3</v>
          </cell>
        </row>
        <row r="108">
          <cell r="E108" t="str">
            <v>G31a</v>
          </cell>
          <cell r="H108">
            <v>53</v>
          </cell>
          <cell r="J108">
            <v>1</v>
          </cell>
        </row>
        <row r="109">
          <cell r="E109" t="str">
            <v>I27a</v>
          </cell>
          <cell r="H109">
            <v>155</v>
          </cell>
          <cell r="J109">
            <v>3</v>
          </cell>
        </row>
        <row r="110">
          <cell r="E110" t="str">
            <v>H32a</v>
          </cell>
          <cell r="H110">
            <v>147</v>
          </cell>
          <cell r="J110">
            <v>3</v>
          </cell>
        </row>
        <row r="111">
          <cell r="E111" t="str">
            <v>G28a</v>
          </cell>
          <cell r="H111">
            <v>0</v>
          </cell>
          <cell r="J111">
            <v>0</v>
          </cell>
        </row>
        <row r="112">
          <cell r="E112" t="str">
            <v>H29a</v>
          </cell>
          <cell r="H112">
            <v>0</v>
          </cell>
          <cell r="J112">
            <v>0</v>
          </cell>
        </row>
        <row r="113">
          <cell r="E113" t="str">
            <v>H30a</v>
          </cell>
          <cell r="H113">
            <v>0</v>
          </cell>
          <cell r="J113">
            <v>0</v>
          </cell>
        </row>
        <row r="114">
          <cell r="E114" t="str">
            <v>H18a</v>
          </cell>
          <cell r="H114">
            <v>123</v>
          </cell>
          <cell r="J114">
            <v>2</v>
          </cell>
        </row>
        <row r="115">
          <cell r="E115" t="str">
            <v>H22a</v>
          </cell>
          <cell r="H115">
            <v>123</v>
          </cell>
          <cell r="J115">
            <v>2</v>
          </cell>
        </row>
        <row r="116">
          <cell r="E116" t="str">
            <v>J19a</v>
          </cell>
          <cell r="H116">
            <v>105</v>
          </cell>
          <cell r="J116">
            <v>2</v>
          </cell>
        </row>
        <row r="117">
          <cell r="E117" t="str">
            <v>H21a</v>
          </cell>
          <cell r="H117">
            <v>104</v>
          </cell>
          <cell r="J117">
            <v>2</v>
          </cell>
        </row>
        <row r="118">
          <cell r="E118" t="str">
            <v>I16a</v>
          </cell>
          <cell r="H118">
            <v>104</v>
          </cell>
          <cell r="J118">
            <v>2</v>
          </cell>
        </row>
        <row r="119">
          <cell r="E119" t="str">
            <v>I22a</v>
          </cell>
          <cell r="H119">
            <v>104</v>
          </cell>
          <cell r="J119">
            <v>2</v>
          </cell>
        </row>
        <row r="120">
          <cell r="E120" t="str">
            <v>I24a</v>
          </cell>
          <cell r="H120">
            <v>104</v>
          </cell>
          <cell r="J120">
            <v>2</v>
          </cell>
        </row>
        <row r="121">
          <cell r="E121" t="str">
            <v>I23a</v>
          </cell>
          <cell r="H121">
            <v>103</v>
          </cell>
          <cell r="J121">
            <v>1</v>
          </cell>
        </row>
        <row r="122">
          <cell r="E122" t="str">
            <v>J17a</v>
          </cell>
          <cell r="H122">
            <v>92</v>
          </cell>
          <cell r="J122">
            <v>1</v>
          </cell>
        </row>
        <row r="123">
          <cell r="E123" t="str">
            <v>J21a</v>
          </cell>
          <cell r="H123">
            <v>91</v>
          </cell>
          <cell r="J123">
            <v>1</v>
          </cell>
        </row>
        <row r="124">
          <cell r="E124" t="str">
            <v>J16a</v>
          </cell>
          <cell r="H124">
            <v>90</v>
          </cell>
          <cell r="J124">
            <v>1</v>
          </cell>
        </row>
        <row r="125">
          <cell r="E125" t="str">
            <v>H16a</v>
          </cell>
          <cell r="H125">
            <v>146</v>
          </cell>
          <cell r="J125">
            <v>2</v>
          </cell>
        </row>
        <row r="126">
          <cell r="E126" t="str">
            <v>J20a</v>
          </cell>
          <cell r="H126">
            <v>146</v>
          </cell>
          <cell r="J126">
            <v>2</v>
          </cell>
        </row>
        <row r="127">
          <cell r="E127" t="str">
            <v>G25a</v>
          </cell>
          <cell r="H127">
            <v>216</v>
          </cell>
          <cell r="J127">
            <v>3</v>
          </cell>
        </row>
        <row r="128">
          <cell r="E128" t="str">
            <v>I19a</v>
          </cell>
          <cell r="H128">
            <v>144</v>
          </cell>
          <cell r="J128">
            <v>2</v>
          </cell>
        </row>
        <row r="129">
          <cell r="E129" t="str">
            <v>G24a</v>
          </cell>
          <cell r="H129">
            <v>209</v>
          </cell>
          <cell r="J129">
            <v>3</v>
          </cell>
        </row>
        <row r="130">
          <cell r="E130" t="str">
            <v>G23a</v>
          </cell>
          <cell r="H130">
            <v>66</v>
          </cell>
          <cell r="J130">
            <v>1</v>
          </cell>
        </row>
        <row r="131">
          <cell r="E131" t="str">
            <v>I18a</v>
          </cell>
          <cell r="H131">
            <v>126</v>
          </cell>
          <cell r="J131">
            <v>2</v>
          </cell>
        </row>
        <row r="132">
          <cell r="E132" t="str">
            <v>H20a</v>
          </cell>
          <cell r="H132">
            <v>125</v>
          </cell>
          <cell r="J132">
            <v>2</v>
          </cell>
        </row>
        <row r="133">
          <cell r="E133" t="str">
            <v>H19a</v>
          </cell>
          <cell r="H133">
            <v>124</v>
          </cell>
          <cell r="J133">
            <v>2</v>
          </cell>
        </row>
        <row r="134">
          <cell r="E134" t="str">
            <v>H24a</v>
          </cell>
          <cell r="H134">
            <v>246</v>
          </cell>
          <cell r="J134">
            <v>4</v>
          </cell>
        </row>
        <row r="135">
          <cell r="E135" t="str">
            <v>I21a</v>
          </cell>
          <cell r="H135">
            <v>181</v>
          </cell>
          <cell r="J135">
            <v>3</v>
          </cell>
        </row>
        <row r="136">
          <cell r="E136" t="str">
            <v>I20a</v>
          </cell>
          <cell r="H136">
            <v>120</v>
          </cell>
          <cell r="J136">
            <v>2</v>
          </cell>
        </row>
        <row r="137">
          <cell r="E137" t="str">
            <v>G22a</v>
          </cell>
          <cell r="H137">
            <v>119</v>
          </cell>
          <cell r="J137">
            <v>2</v>
          </cell>
        </row>
        <row r="138">
          <cell r="E138" t="str">
            <v>I17a</v>
          </cell>
          <cell r="H138">
            <v>117</v>
          </cell>
          <cell r="J138">
            <v>2</v>
          </cell>
        </row>
        <row r="139">
          <cell r="E139" t="str">
            <v>H17a</v>
          </cell>
          <cell r="H139">
            <v>167</v>
          </cell>
          <cell r="J139">
            <v>3</v>
          </cell>
        </row>
        <row r="140">
          <cell r="E140" t="str">
            <v>H23a</v>
          </cell>
          <cell r="H140">
            <v>165</v>
          </cell>
          <cell r="J140">
            <v>3</v>
          </cell>
        </row>
        <row r="141">
          <cell r="E141" t="str">
            <v>J18a</v>
          </cell>
          <cell r="H141">
            <v>152</v>
          </cell>
          <cell r="J141">
            <v>3</v>
          </cell>
        </row>
        <row r="142">
          <cell r="E142" t="str">
            <v>J24a</v>
          </cell>
          <cell r="H142">
            <v>149</v>
          </cell>
          <cell r="J142">
            <v>3</v>
          </cell>
        </row>
        <row r="143">
          <cell r="E143" t="str">
            <v>J22a</v>
          </cell>
          <cell r="H143">
            <v>0</v>
          </cell>
          <cell r="J143">
            <v>0</v>
          </cell>
        </row>
        <row r="144">
          <cell r="E144" t="str">
            <v>J23a</v>
          </cell>
          <cell r="H144">
            <v>0</v>
          </cell>
          <cell r="J144">
            <v>0</v>
          </cell>
        </row>
        <row r="145">
          <cell r="E145" t="str">
            <v>I05A</v>
          </cell>
          <cell r="H145">
            <v>127</v>
          </cell>
          <cell r="J145">
            <v>1</v>
          </cell>
        </row>
        <row r="146">
          <cell r="E146" t="str">
            <v>H10a</v>
          </cell>
          <cell r="H146">
            <v>124</v>
          </cell>
          <cell r="J146">
            <v>2</v>
          </cell>
        </row>
        <row r="147">
          <cell r="E147" t="str">
            <v>G16a</v>
          </cell>
          <cell r="H147">
            <v>123</v>
          </cell>
          <cell r="J147">
            <v>2</v>
          </cell>
        </row>
        <row r="148">
          <cell r="E148" t="str">
            <v>H08A</v>
          </cell>
          <cell r="H148">
            <v>122</v>
          </cell>
          <cell r="J148">
            <v>2</v>
          </cell>
        </row>
        <row r="149">
          <cell r="E149" t="str">
            <v>H13a</v>
          </cell>
          <cell r="H149">
            <v>122</v>
          </cell>
          <cell r="J149">
            <v>2</v>
          </cell>
        </row>
        <row r="150">
          <cell r="E150" t="str">
            <v>H07a</v>
          </cell>
          <cell r="H150">
            <v>121</v>
          </cell>
          <cell r="J150">
            <v>2</v>
          </cell>
        </row>
        <row r="151">
          <cell r="E151" t="str">
            <v>H03a</v>
          </cell>
          <cell r="H151">
            <v>89</v>
          </cell>
          <cell r="J151">
            <v>1</v>
          </cell>
        </row>
        <row r="152">
          <cell r="E152" t="str">
            <v>I10a</v>
          </cell>
          <cell r="H152">
            <v>153</v>
          </cell>
          <cell r="J152">
            <v>2</v>
          </cell>
        </row>
        <row r="153">
          <cell r="E153" t="str">
            <v>I06a</v>
          </cell>
          <cell r="H153">
            <v>152</v>
          </cell>
          <cell r="J153">
            <v>2</v>
          </cell>
        </row>
        <row r="154">
          <cell r="E154" t="str">
            <v>I09a</v>
          </cell>
          <cell r="H154">
            <v>152</v>
          </cell>
          <cell r="J154">
            <v>2</v>
          </cell>
        </row>
        <row r="155">
          <cell r="E155" t="str">
            <v>I11a</v>
          </cell>
          <cell r="H155">
            <v>152</v>
          </cell>
          <cell r="J155">
            <v>2</v>
          </cell>
        </row>
        <row r="156">
          <cell r="E156" t="str">
            <v>G21a</v>
          </cell>
          <cell r="H156">
            <v>148</v>
          </cell>
          <cell r="J156">
            <v>2</v>
          </cell>
        </row>
        <row r="157">
          <cell r="E157" t="str">
            <v>G15a</v>
          </cell>
          <cell r="H157">
            <v>147</v>
          </cell>
          <cell r="J157">
            <v>2</v>
          </cell>
        </row>
        <row r="158">
          <cell r="E158" t="str">
            <v>H05a</v>
          </cell>
          <cell r="H158">
            <v>146</v>
          </cell>
          <cell r="J158">
            <v>2</v>
          </cell>
        </row>
        <row r="159">
          <cell r="E159" t="str">
            <v>H09a</v>
          </cell>
          <cell r="H159">
            <v>144</v>
          </cell>
          <cell r="J159">
            <v>2</v>
          </cell>
        </row>
        <row r="160">
          <cell r="E160" t="str">
            <v>H15a</v>
          </cell>
          <cell r="H160">
            <v>144</v>
          </cell>
          <cell r="J160">
            <v>2</v>
          </cell>
        </row>
        <row r="161">
          <cell r="E161" t="str">
            <v>H04A</v>
          </cell>
          <cell r="H161">
            <v>136</v>
          </cell>
          <cell r="J161">
            <v>2</v>
          </cell>
        </row>
        <row r="162">
          <cell r="E162" t="str">
            <v>G17a</v>
          </cell>
          <cell r="H162">
            <v>197</v>
          </cell>
          <cell r="J162">
            <v>3</v>
          </cell>
        </row>
        <row r="163">
          <cell r="E163" t="str">
            <v>H02a</v>
          </cell>
          <cell r="H163">
            <v>131</v>
          </cell>
          <cell r="J163">
            <v>2</v>
          </cell>
        </row>
        <row r="164">
          <cell r="E164" t="str">
            <v>G18a</v>
          </cell>
          <cell r="H164">
            <v>129</v>
          </cell>
          <cell r="J164">
            <v>2</v>
          </cell>
        </row>
        <row r="165">
          <cell r="E165" t="str">
            <v>G19a</v>
          </cell>
          <cell r="H165">
            <v>125</v>
          </cell>
          <cell r="J165">
            <v>2</v>
          </cell>
        </row>
        <row r="166">
          <cell r="E166" t="str">
            <v>I08a</v>
          </cell>
          <cell r="H166">
            <v>125</v>
          </cell>
          <cell r="J166">
            <v>2</v>
          </cell>
        </row>
        <row r="167">
          <cell r="E167" t="str">
            <v>H06a</v>
          </cell>
          <cell r="H167">
            <v>58</v>
          </cell>
          <cell r="J167">
            <v>1</v>
          </cell>
        </row>
        <row r="168">
          <cell r="E168" t="str">
            <v>H14a</v>
          </cell>
          <cell r="H168">
            <v>58</v>
          </cell>
          <cell r="J168">
            <v>1</v>
          </cell>
        </row>
        <row r="169">
          <cell r="E169" t="str">
            <v>H12a</v>
          </cell>
          <cell r="H169">
            <v>166</v>
          </cell>
          <cell r="J169">
            <v>3</v>
          </cell>
        </row>
        <row r="170">
          <cell r="E170" t="str">
            <v>I07a</v>
          </cell>
          <cell r="H170">
            <v>165</v>
          </cell>
          <cell r="J170">
            <v>3</v>
          </cell>
        </row>
        <row r="171">
          <cell r="E171" t="str">
            <v>G20a</v>
          </cell>
          <cell r="H171">
            <v>53</v>
          </cell>
          <cell r="J171">
            <v>1</v>
          </cell>
        </row>
        <row r="172">
          <cell r="E172" t="str">
            <v>H11a</v>
          </cell>
          <cell r="H172">
            <v>52</v>
          </cell>
          <cell r="J172">
            <v>1</v>
          </cell>
        </row>
        <row r="173">
          <cell r="E173" t="str">
            <v>H01a</v>
          </cell>
          <cell r="H173">
            <v>206</v>
          </cell>
          <cell r="J173">
            <v>4</v>
          </cell>
        </row>
        <row r="174">
          <cell r="E174" t="str">
            <v>I15a</v>
          </cell>
          <cell r="H174">
            <v>136</v>
          </cell>
          <cell r="J174">
            <v>1</v>
          </cell>
        </row>
        <row r="175">
          <cell r="E175" t="str">
            <v>J13a</v>
          </cell>
          <cell r="H175">
            <v>133</v>
          </cell>
          <cell r="J175">
            <v>1</v>
          </cell>
        </row>
        <row r="176">
          <cell r="E176" t="str">
            <v>M10a</v>
          </cell>
          <cell r="H176">
            <v>128</v>
          </cell>
          <cell r="J176">
            <v>1</v>
          </cell>
        </row>
        <row r="177">
          <cell r="E177" t="str">
            <v>K09a</v>
          </cell>
          <cell r="H177">
            <v>146</v>
          </cell>
          <cell r="J177">
            <v>2</v>
          </cell>
        </row>
        <row r="178">
          <cell r="E178" t="str">
            <v>J10a</v>
          </cell>
          <cell r="H178">
            <v>127</v>
          </cell>
          <cell r="J178">
            <v>2</v>
          </cell>
        </row>
        <row r="179">
          <cell r="E179" t="str">
            <v>K12a</v>
          </cell>
          <cell r="H179">
            <v>124</v>
          </cell>
          <cell r="J179">
            <v>2</v>
          </cell>
        </row>
        <row r="180">
          <cell r="E180" t="str">
            <v>K08a</v>
          </cell>
          <cell r="H180">
            <v>106</v>
          </cell>
          <cell r="J180">
            <v>2</v>
          </cell>
        </row>
        <row r="181">
          <cell r="E181" t="str">
            <v>L14a</v>
          </cell>
          <cell r="H181">
            <v>104</v>
          </cell>
          <cell r="J181">
            <v>1</v>
          </cell>
        </row>
        <row r="182">
          <cell r="E182" t="str">
            <v>M11a</v>
          </cell>
          <cell r="H182">
            <v>103</v>
          </cell>
          <cell r="J182">
            <v>1</v>
          </cell>
        </row>
        <row r="183">
          <cell r="E183" t="str">
            <v>J11a</v>
          </cell>
          <cell r="H183">
            <v>101</v>
          </cell>
          <cell r="J183">
            <v>1</v>
          </cell>
        </row>
        <row r="184">
          <cell r="E184" t="str">
            <v>K14a</v>
          </cell>
          <cell r="H184">
            <v>101</v>
          </cell>
          <cell r="J184">
            <v>1</v>
          </cell>
        </row>
        <row r="185">
          <cell r="E185" t="str">
            <v>J09a</v>
          </cell>
          <cell r="H185">
            <v>89</v>
          </cell>
          <cell r="J185">
            <v>1</v>
          </cell>
        </row>
        <row r="186">
          <cell r="E186" t="str">
            <v>M12a</v>
          </cell>
          <cell r="H186">
            <v>88</v>
          </cell>
          <cell r="J186">
            <v>1</v>
          </cell>
        </row>
        <row r="187">
          <cell r="E187" t="str">
            <v>K13a</v>
          </cell>
          <cell r="H187">
            <v>339</v>
          </cell>
          <cell r="J187">
            <v>4</v>
          </cell>
        </row>
        <row r="188">
          <cell r="E188" t="str">
            <v>L11a</v>
          </cell>
          <cell r="H188">
            <v>164</v>
          </cell>
          <cell r="J188">
            <v>2</v>
          </cell>
        </row>
        <row r="189">
          <cell r="E189" t="str">
            <v>L12a</v>
          </cell>
          <cell r="H189">
            <v>161</v>
          </cell>
          <cell r="J189">
            <v>2</v>
          </cell>
        </row>
        <row r="190">
          <cell r="E190" t="str">
            <v>L15a</v>
          </cell>
          <cell r="H190">
            <v>153</v>
          </cell>
          <cell r="J190">
            <v>2</v>
          </cell>
        </row>
        <row r="191">
          <cell r="E191" t="str">
            <v>I12a</v>
          </cell>
          <cell r="H191">
            <v>152</v>
          </cell>
          <cell r="J191">
            <v>2</v>
          </cell>
        </row>
        <row r="192">
          <cell r="E192" t="str">
            <v>L09a</v>
          </cell>
          <cell r="H192">
            <v>146</v>
          </cell>
          <cell r="J192">
            <v>2</v>
          </cell>
        </row>
        <row r="193">
          <cell r="E193" t="str">
            <v>K15a</v>
          </cell>
          <cell r="H193">
            <v>137</v>
          </cell>
          <cell r="J193">
            <v>2</v>
          </cell>
        </row>
        <row r="194">
          <cell r="E194" t="str">
            <v>K10a</v>
          </cell>
          <cell r="H194">
            <v>131</v>
          </cell>
          <cell r="J194">
            <v>2</v>
          </cell>
        </row>
        <row r="195">
          <cell r="E195" t="str">
            <v>L10a</v>
          </cell>
          <cell r="H195">
            <v>58</v>
          </cell>
          <cell r="J195">
            <v>1</v>
          </cell>
        </row>
        <row r="196">
          <cell r="E196" t="str">
            <v>J15a</v>
          </cell>
          <cell r="H196">
            <v>160</v>
          </cell>
          <cell r="J196">
            <v>3</v>
          </cell>
        </row>
        <row r="197">
          <cell r="E197" t="str">
            <v>I14a</v>
          </cell>
          <cell r="H197">
            <v>104</v>
          </cell>
          <cell r="J197">
            <v>2</v>
          </cell>
        </row>
        <row r="198">
          <cell r="E198" t="str">
            <v>K11a</v>
          </cell>
          <cell r="H198">
            <v>184</v>
          </cell>
          <cell r="J198">
            <v>4</v>
          </cell>
        </row>
        <row r="199">
          <cell r="E199" t="str">
            <v>J12a</v>
          </cell>
          <cell r="H199">
            <v>267</v>
          </cell>
          <cell r="J199">
            <v>6</v>
          </cell>
        </row>
        <row r="200">
          <cell r="E200" t="str">
            <v>I13a</v>
          </cell>
          <cell r="H200">
            <v>334</v>
          </cell>
          <cell r="J200">
            <v>8</v>
          </cell>
        </row>
        <row r="201">
          <cell r="E201" t="str">
            <v>L13a</v>
          </cell>
          <cell r="H201">
            <v>420</v>
          </cell>
          <cell r="J201">
            <v>11</v>
          </cell>
        </row>
        <row r="202">
          <cell r="E202" t="str">
            <v>J14a</v>
          </cell>
          <cell r="H202">
            <v>251</v>
          </cell>
          <cell r="J202">
            <v>7</v>
          </cell>
        </row>
        <row r="203">
          <cell r="E203" t="str">
            <v>P14a</v>
          </cell>
          <cell r="H203">
            <v>122</v>
          </cell>
          <cell r="J203">
            <v>1</v>
          </cell>
        </row>
        <row r="204">
          <cell r="E204" t="str">
            <v>Q16a</v>
          </cell>
          <cell r="H204">
            <v>123</v>
          </cell>
          <cell r="J204">
            <v>1</v>
          </cell>
        </row>
        <row r="205">
          <cell r="E205" t="str">
            <v>R12a</v>
          </cell>
          <cell r="H205">
            <v>125</v>
          </cell>
          <cell r="J205">
            <v>2</v>
          </cell>
        </row>
        <row r="206">
          <cell r="E206" t="str">
            <v>O18a</v>
          </cell>
          <cell r="H206">
            <v>124</v>
          </cell>
          <cell r="J206">
            <v>2</v>
          </cell>
        </row>
        <row r="207">
          <cell r="E207" t="str">
            <v>N16a</v>
          </cell>
          <cell r="H207">
            <v>123</v>
          </cell>
          <cell r="J207">
            <v>2</v>
          </cell>
        </row>
        <row r="208">
          <cell r="E208" t="str">
            <v>P12a</v>
          </cell>
          <cell r="H208">
            <v>123</v>
          </cell>
          <cell r="J208">
            <v>2</v>
          </cell>
        </row>
        <row r="209">
          <cell r="E209" t="str">
            <v>P13a</v>
          </cell>
          <cell r="H209">
            <v>123</v>
          </cell>
          <cell r="J209">
            <v>2</v>
          </cell>
        </row>
        <row r="210">
          <cell r="E210" t="str">
            <v>N10a</v>
          </cell>
          <cell r="H210">
            <v>122</v>
          </cell>
          <cell r="J210">
            <v>2</v>
          </cell>
        </row>
        <row r="211">
          <cell r="E211" t="str">
            <v>N11a</v>
          </cell>
          <cell r="H211">
            <v>122</v>
          </cell>
          <cell r="J211">
            <v>2</v>
          </cell>
        </row>
        <row r="212">
          <cell r="E212" t="str">
            <v>N15a</v>
          </cell>
          <cell r="H212">
            <v>122</v>
          </cell>
          <cell r="J212">
            <v>2</v>
          </cell>
        </row>
        <row r="213">
          <cell r="E213" t="str">
            <v>O17a</v>
          </cell>
          <cell r="H213">
            <v>106</v>
          </cell>
          <cell r="J213">
            <v>2</v>
          </cell>
        </row>
        <row r="214">
          <cell r="E214" t="str">
            <v>P15a</v>
          </cell>
          <cell r="H214">
            <v>104</v>
          </cell>
          <cell r="J214">
            <v>1</v>
          </cell>
        </row>
        <row r="215">
          <cell r="E215" t="str">
            <v>M18a</v>
          </cell>
          <cell r="H215">
            <v>147</v>
          </cell>
          <cell r="J215">
            <v>2</v>
          </cell>
        </row>
        <row r="216">
          <cell r="E216" t="str">
            <v>N13a</v>
          </cell>
          <cell r="H216">
            <v>147</v>
          </cell>
          <cell r="J216">
            <v>2</v>
          </cell>
        </row>
        <row r="217">
          <cell r="E217" t="str">
            <v>M14a</v>
          </cell>
          <cell r="H217">
            <v>146</v>
          </cell>
          <cell r="J217">
            <v>2</v>
          </cell>
        </row>
        <row r="218">
          <cell r="E218" t="str">
            <v>N12a</v>
          </cell>
          <cell r="H218">
            <v>146</v>
          </cell>
          <cell r="J218">
            <v>2</v>
          </cell>
        </row>
        <row r="219">
          <cell r="E219" t="str">
            <v>O15a</v>
          </cell>
          <cell r="H219">
            <v>146</v>
          </cell>
          <cell r="J219">
            <v>2</v>
          </cell>
        </row>
        <row r="220">
          <cell r="E220" t="str">
            <v>P16a</v>
          </cell>
          <cell r="H220">
            <v>146</v>
          </cell>
          <cell r="J220">
            <v>2</v>
          </cell>
        </row>
        <row r="221">
          <cell r="E221" t="str">
            <v>M17a</v>
          </cell>
          <cell r="H221">
            <v>145</v>
          </cell>
          <cell r="J221">
            <v>2</v>
          </cell>
        </row>
        <row r="222">
          <cell r="E222" t="str">
            <v>O14a</v>
          </cell>
          <cell r="H222">
            <v>144</v>
          </cell>
          <cell r="J222">
            <v>2</v>
          </cell>
        </row>
        <row r="223">
          <cell r="E223" t="str">
            <v>N17a</v>
          </cell>
          <cell r="H223">
            <v>131</v>
          </cell>
          <cell r="J223">
            <v>2</v>
          </cell>
        </row>
        <row r="224">
          <cell r="E224" t="str">
            <v>O13a</v>
          </cell>
          <cell r="H224">
            <v>127</v>
          </cell>
          <cell r="J224">
            <v>2</v>
          </cell>
        </row>
        <row r="225">
          <cell r="E225" t="str">
            <v>O16a</v>
          </cell>
          <cell r="H225">
            <v>126</v>
          </cell>
          <cell r="J225">
            <v>2</v>
          </cell>
        </row>
        <row r="226">
          <cell r="E226" t="str">
            <v>O12a</v>
          </cell>
          <cell r="H226">
            <v>171</v>
          </cell>
          <cell r="J226">
            <v>3</v>
          </cell>
        </row>
        <row r="227">
          <cell r="E227" t="str">
            <v>M13a</v>
          </cell>
          <cell r="H227">
            <v>169</v>
          </cell>
          <cell r="J227">
            <v>3</v>
          </cell>
        </row>
        <row r="228">
          <cell r="E228" t="str">
            <v>N18a</v>
          </cell>
          <cell r="H228">
            <v>169</v>
          </cell>
          <cell r="J228">
            <v>3</v>
          </cell>
        </row>
        <row r="229">
          <cell r="E229" t="str">
            <v>M16a</v>
          </cell>
          <cell r="H229">
            <v>167</v>
          </cell>
          <cell r="J229">
            <v>3</v>
          </cell>
        </row>
        <row r="230">
          <cell r="E230" t="str">
            <v>N14a</v>
          </cell>
          <cell r="H230">
            <v>53</v>
          </cell>
          <cell r="J230">
            <v>1</v>
          </cell>
        </row>
        <row r="231">
          <cell r="E231" t="str">
            <v>M15a</v>
          </cell>
          <cell r="H231">
            <v>191</v>
          </cell>
          <cell r="J231">
            <v>4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 "/>
      <sheetName val="MINGGU"/>
      <sheetName val="Sheet1"/>
    </sheetNames>
    <sheetDataSet>
      <sheetData sheetId="0">
        <row r="9">
          <cell r="E9" t="str">
            <v>K14a</v>
          </cell>
          <cell r="F9">
            <v>46226</v>
          </cell>
          <cell r="H9">
            <v>257</v>
          </cell>
          <cell r="J9">
            <v>11</v>
          </cell>
          <cell r="M9">
            <v>16</v>
          </cell>
        </row>
        <row r="10">
          <cell r="E10" t="str">
            <v>K15a</v>
          </cell>
          <cell r="F10">
            <v>46226</v>
          </cell>
          <cell r="H10">
            <v>143</v>
          </cell>
          <cell r="J10">
            <v>6</v>
          </cell>
          <cell r="M10">
            <v>8</v>
          </cell>
        </row>
        <row r="11">
          <cell r="E11" t="str">
            <v>K16a</v>
          </cell>
          <cell r="F11">
            <v>46223</v>
          </cell>
          <cell r="H11">
            <v>89</v>
          </cell>
          <cell r="J11">
            <v>1</v>
          </cell>
          <cell r="M11">
            <v>6</v>
          </cell>
        </row>
        <row r="12">
          <cell r="E12" t="str">
            <v>K17a</v>
          </cell>
          <cell r="F12">
            <v>46227</v>
          </cell>
          <cell r="H12">
            <v>104</v>
          </cell>
          <cell r="J12">
            <v>2</v>
          </cell>
          <cell r="M12">
            <v>6</v>
          </cell>
        </row>
        <row r="13">
          <cell r="E13" t="str">
            <v>L08a</v>
          </cell>
          <cell r="F13">
            <v>46223</v>
          </cell>
          <cell r="H13">
            <v>154</v>
          </cell>
          <cell r="J13">
            <v>7</v>
          </cell>
          <cell r="M13">
            <v>8</v>
          </cell>
        </row>
        <row r="14">
          <cell r="E14" t="str">
            <v>L09a</v>
          </cell>
          <cell r="F14">
            <v>46225</v>
          </cell>
          <cell r="H14">
            <v>123</v>
          </cell>
          <cell r="J14">
            <v>4</v>
          </cell>
          <cell r="M14">
            <v>17</v>
          </cell>
        </row>
        <row r="15">
          <cell r="E15" t="str">
            <v>L10a</v>
          </cell>
          <cell r="F15">
            <v>46226</v>
          </cell>
          <cell r="H15">
            <v>176</v>
          </cell>
          <cell r="J15">
            <v>8</v>
          </cell>
          <cell r="M15">
            <v>11</v>
          </cell>
        </row>
        <row r="16">
          <cell r="E16" t="str">
            <v>L11a</v>
          </cell>
          <cell r="F16">
            <v>46223</v>
          </cell>
          <cell r="H16">
            <v>88</v>
          </cell>
          <cell r="J16">
            <v>2</v>
          </cell>
          <cell r="M16">
            <v>8</v>
          </cell>
        </row>
        <row r="17">
          <cell r="E17" t="str">
            <v>L12a</v>
          </cell>
          <cell r="F17">
            <v>46219</v>
          </cell>
          <cell r="H17">
            <v>121</v>
          </cell>
          <cell r="J17">
            <v>5</v>
          </cell>
          <cell r="M17">
            <v>10</v>
          </cell>
        </row>
        <row r="18">
          <cell r="E18" t="str">
            <v>L13a</v>
          </cell>
          <cell r="F18">
            <v>46219</v>
          </cell>
          <cell r="H18">
            <v>142</v>
          </cell>
          <cell r="J18">
            <v>6</v>
          </cell>
          <cell r="M18">
            <v>9</v>
          </cell>
        </row>
        <row r="19">
          <cell r="E19" t="str">
            <v>L14a</v>
          </cell>
          <cell r="F19">
            <v>46212</v>
          </cell>
          <cell r="H19">
            <v>89</v>
          </cell>
          <cell r="J19">
            <v>3</v>
          </cell>
          <cell r="M19">
            <v>12</v>
          </cell>
        </row>
        <row r="20">
          <cell r="E20" t="str">
            <v>M10a</v>
          </cell>
          <cell r="F20">
            <v>46225</v>
          </cell>
          <cell r="H20">
            <v>65</v>
          </cell>
          <cell r="J20">
            <v>3</v>
          </cell>
          <cell r="M20">
            <v>19</v>
          </cell>
        </row>
        <row r="21">
          <cell r="E21" t="str">
            <v>M11a</v>
          </cell>
          <cell r="F21">
            <v>46207</v>
          </cell>
          <cell r="H21">
            <v>133</v>
          </cell>
          <cell r="J21">
            <v>6</v>
          </cell>
          <cell r="M21">
            <v>15</v>
          </cell>
        </row>
        <row r="22">
          <cell r="E22" t="str">
            <v>M12a</v>
          </cell>
          <cell r="F22">
            <v>46220</v>
          </cell>
          <cell r="H22">
            <v>119</v>
          </cell>
          <cell r="J22">
            <v>1</v>
          </cell>
          <cell r="M22">
            <v>8</v>
          </cell>
        </row>
        <row r="23">
          <cell r="E23" t="str">
            <v>M13a</v>
          </cell>
          <cell r="F23">
            <v>46214</v>
          </cell>
          <cell r="H23">
            <v>211</v>
          </cell>
          <cell r="J23">
            <v>9</v>
          </cell>
          <cell r="M23">
            <v>13</v>
          </cell>
        </row>
        <row r="24">
          <cell r="E24" t="str">
            <v>M14a</v>
          </cell>
          <cell r="F24">
            <v>46217</v>
          </cell>
          <cell r="H24">
            <v>105</v>
          </cell>
          <cell r="J24">
            <v>5</v>
          </cell>
          <cell r="M24">
            <v>11</v>
          </cell>
        </row>
        <row r="25">
          <cell r="E25" t="str">
            <v>M15a</v>
          </cell>
          <cell r="F25">
            <v>46227</v>
          </cell>
          <cell r="H25">
            <v>132</v>
          </cell>
          <cell r="J25">
            <v>4</v>
          </cell>
          <cell r="M25">
            <v>7</v>
          </cell>
        </row>
        <row r="26">
          <cell r="E26" t="str">
            <v>M16a</v>
          </cell>
          <cell r="F26">
            <v>46226</v>
          </cell>
          <cell r="H26">
            <v>101</v>
          </cell>
          <cell r="J26">
            <v>2</v>
          </cell>
          <cell r="M26">
            <v>6</v>
          </cell>
        </row>
        <row r="27">
          <cell r="E27" t="str">
            <v>N18a</v>
          </cell>
          <cell r="F27">
            <v>46220</v>
          </cell>
          <cell r="H27">
            <v>143</v>
          </cell>
          <cell r="J27">
            <v>7</v>
          </cell>
          <cell r="M27">
            <v>11</v>
          </cell>
        </row>
        <row r="28">
          <cell r="E28" t="str">
            <v>L15a</v>
          </cell>
          <cell r="F28">
            <v>46214</v>
          </cell>
          <cell r="H28">
            <v>103</v>
          </cell>
          <cell r="J28">
            <v>5</v>
          </cell>
          <cell r="M28">
            <v>10</v>
          </cell>
        </row>
        <row r="29">
          <cell r="E29" t="str">
            <v>L16a</v>
          </cell>
          <cell r="F29">
            <v>46207</v>
          </cell>
          <cell r="H29">
            <v>127</v>
          </cell>
          <cell r="J29">
            <v>6</v>
          </cell>
          <cell r="M29">
            <v>11</v>
          </cell>
        </row>
        <row r="30">
          <cell r="E30" t="str">
            <v>M17a</v>
          </cell>
          <cell r="F30">
            <v>46223</v>
          </cell>
          <cell r="H30">
            <v>165</v>
          </cell>
          <cell r="J30">
            <v>2</v>
          </cell>
          <cell r="M30">
            <v>12</v>
          </cell>
        </row>
        <row r="31">
          <cell r="E31" t="str">
            <v>M19a</v>
          </cell>
          <cell r="F31">
            <v>46212</v>
          </cell>
          <cell r="H31">
            <v>187</v>
          </cell>
          <cell r="J31">
            <v>6</v>
          </cell>
          <cell r="M31">
            <v>9</v>
          </cell>
        </row>
        <row r="32">
          <cell r="E32" t="str">
            <v>M21a</v>
          </cell>
          <cell r="F32">
            <v>46212</v>
          </cell>
          <cell r="H32">
            <v>142</v>
          </cell>
          <cell r="J32">
            <v>7</v>
          </cell>
          <cell r="M32">
            <v>16</v>
          </cell>
        </row>
        <row r="33">
          <cell r="E33" t="str">
            <v>M22a</v>
          </cell>
          <cell r="F33">
            <v>46225</v>
          </cell>
          <cell r="H33">
            <v>76</v>
          </cell>
          <cell r="J33">
            <v>3</v>
          </cell>
          <cell r="M33">
            <v>9</v>
          </cell>
        </row>
        <row r="34">
          <cell r="E34" t="str">
            <v>M23a</v>
          </cell>
          <cell r="F34">
            <v>46207</v>
          </cell>
          <cell r="H34">
            <v>77</v>
          </cell>
          <cell r="J34">
            <v>3</v>
          </cell>
          <cell r="M34">
            <v>8</v>
          </cell>
        </row>
        <row r="35">
          <cell r="E35" t="str">
            <v>N21a</v>
          </cell>
          <cell r="F35">
            <v>46224</v>
          </cell>
          <cell r="H35">
            <v>98</v>
          </cell>
          <cell r="J35">
            <v>3</v>
          </cell>
          <cell r="M35">
            <v>8</v>
          </cell>
        </row>
        <row r="36">
          <cell r="E36" t="str">
            <v>N22a</v>
          </cell>
          <cell r="F36">
            <v>46225</v>
          </cell>
          <cell r="H36">
            <v>87</v>
          </cell>
          <cell r="J36">
            <v>3</v>
          </cell>
          <cell r="M36">
            <v>11</v>
          </cell>
        </row>
        <row r="37">
          <cell r="E37" t="str">
            <v>O25a</v>
          </cell>
          <cell r="F37">
            <v>46227</v>
          </cell>
          <cell r="H37">
            <v>121</v>
          </cell>
          <cell r="J37">
            <v>2</v>
          </cell>
          <cell r="M37">
            <v>14</v>
          </cell>
        </row>
        <row r="38">
          <cell r="E38" t="str">
            <v>O27a</v>
          </cell>
          <cell r="F38">
            <v>46226</v>
          </cell>
          <cell r="H38">
            <v>96</v>
          </cell>
          <cell r="J38">
            <v>1</v>
          </cell>
          <cell r="M38">
            <v>7</v>
          </cell>
        </row>
        <row r="39">
          <cell r="E39" t="str">
            <v>O28a</v>
          </cell>
          <cell r="F39">
            <v>46227</v>
          </cell>
          <cell r="H39">
            <v>101</v>
          </cell>
          <cell r="J39">
            <v>2</v>
          </cell>
          <cell r="M39">
            <v>18</v>
          </cell>
        </row>
        <row r="40">
          <cell r="E40" t="str">
            <v>L35a</v>
          </cell>
          <cell r="F40">
            <v>46224</v>
          </cell>
          <cell r="H40">
            <v>106</v>
          </cell>
          <cell r="J40">
            <v>5</v>
          </cell>
          <cell r="M40">
            <v>12</v>
          </cell>
        </row>
        <row r="41">
          <cell r="E41" t="str">
            <v>L39a</v>
          </cell>
          <cell r="F41">
            <v>46227</v>
          </cell>
          <cell r="H41">
            <v>106</v>
          </cell>
          <cell r="J41">
            <v>4</v>
          </cell>
          <cell r="M41">
            <v>6</v>
          </cell>
        </row>
        <row r="42">
          <cell r="E42" t="str">
            <v>M36a</v>
          </cell>
          <cell r="F42">
            <v>46224</v>
          </cell>
          <cell r="H42">
            <v>94</v>
          </cell>
          <cell r="J42">
            <v>2</v>
          </cell>
          <cell r="M42">
            <v>9</v>
          </cell>
        </row>
        <row r="43">
          <cell r="E43" t="str">
            <v>M37a</v>
          </cell>
          <cell r="F43">
            <v>46227</v>
          </cell>
          <cell r="H43">
            <v>102</v>
          </cell>
          <cell r="J43">
            <v>3</v>
          </cell>
          <cell r="M43">
            <v>9</v>
          </cell>
        </row>
        <row r="44">
          <cell r="E44" t="str">
            <v>M46a</v>
          </cell>
          <cell r="F44">
            <v>46223</v>
          </cell>
          <cell r="H44">
            <v>93</v>
          </cell>
          <cell r="J44">
            <v>2</v>
          </cell>
          <cell r="M44">
            <v>6</v>
          </cell>
        </row>
        <row r="45">
          <cell r="E45" t="str">
            <v>M47a</v>
          </cell>
          <cell r="F45">
            <v>46212</v>
          </cell>
          <cell r="H45">
            <v>118</v>
          </cell>
          <cell r="J45">
            <v>5</v>
          </cell>
          <cell r="M45">
            <v>9</v>
          </cell>
        </row>
        <row r="46">
          <cell r="E46" t="str">
            <v>M48a</v>
          </cell>
          <cell r="F46">
            <v>46226</v>
          </cell>
          <cell r="H46">
            <v>127</v>
          </cell>
          <cell r="J46">
            <v>5</v>
          </cell>
          <cell r="M46">
            <v>7</v>
          </cell>
        </row>
        <row r="47">
          <cell r="E47" t="str">
            <v>N41a</v>
          </cell>
          <cell r="F47">
            <v>46226</v>
          </cell>
          <cell r="H47">
            <v>72</v>
          </cell>
          <cell r="J47">
            <v>3</v>
          </cell>
          <cell r="M47">
            <v>8</v>
          </cell>
        </row>
        <row r="48">
          <cell r="E48" t="str">
            <v>N42a</v>
          </cell>
          <cell r="F48">
            <v>46212</v>
          </cell>
          <cell r="H48">
            <v>176</v>
          </cell>
          <cell r="J48">
            <v>6</v>
          </cell>
          <cell r="M48">
            <v>9</v>
          </cell>
        </row>
        <row r="49">
          <cell r="E49" t="str">
            <v>N43a</v>
          </cell>
          <cell r="F49">
            <v>46221</v>
          </cell>
          <cell r="H49">
            <v>87</v>
          </cell>
          <cell r="J49">
            <v>3</v>
          </cell>
          <cell r="M49">
            <v>9</v>
          </cell>
        </row>
        <row r="50">
          <cell r="E50" t="str">
            <v>N43b</v>
          </cell>
          <cell r="F50">
            <v>46225</v>
          </cell>
          <cell r="H50">
            <v>167</v>
          </cell>
          <cell r="J50">
            <v>7</v>
          </cell>
          <cell r="M50">
            <v>19</v>
          </cell>
        </row>
        <row r="51">
          <cell r="E51" t="str">
            <v>N49a</v>
          </cell>
          <cell r="F51">
            <v>46219</v>
          </cell>
          <cell r="H51">
            <v>83</v>
          </cell>
          <cell r="J51">
            <v>4</v>
          </cell>
          <cell r="M51">
            <v>5</v>
          </cell>
        </row>
        <row r="52">
          <cell r="E52" t="str">
            <v>M55a</v>
          </cell>
          <cell r="F52">
            <v>46217</v>
          </cell>
          <cell r="H52">
            <v>131</v>
          </cell>
          <cell r="J52">
            <v>4</v>
          </cell>
          <cell r="M52">
            <v>29</v>
          </cell>
        </row>
        <row r="53">
          <cell r="E53" t="str">
            <v>N50a</v>
          </cell>
          <cell r="F53">
            <v>46227</v>
          </cell>
          <cell r="H53">
            <v>102</v>
          </cell>
          <cell r="J53">
            <v>3</v>
          </cell>
          <cell r="M53">
            <v>25</v>
          </cell>
        </row>
        <row r="54">
          <cell r="E54" t="str">
            <v>N55a</v>
          </cell>
          <cell r="F54">
            <v>46225</v>
          </cell>
          <cell r="H54">
            <v>67</v>
          </cell>
          <cell r="J54">
            <v>3</v>
          </cell>
          <cell r="M54">
            <v>8</v>
          </cell>
        </row>
        <row r="55">
          <cell r="E55" t="str">
            <v>N56a</v>
          </cell>
          <cell r="F55">
            <v>46211</v>
          </cell>
          <cell r="H55">
            <v>134</v>
          </cell>
          <cell r="J55">
            <v>5</v>
          </cell>
          <cell r="M55">
            <v>28</v>
          </cell>
        </row>
        <row r="56">
          <cell r="E56" t="str">
            <v>N57a</v>
          </cell>
          <cell r="F56">
            <v>46212</v>
          </cell>
          <cell r="H56">
            <v>118</v>
          </cell>
          <cell r="J56">
            <v>3</v>
          </cell>
          <cell r="M56">
            <v>18</v>
          </cell>
        </row>
        <row r="57">
          <cell r="E57" t="str">
            <v>N58a</v>
          </cell>
          <cell r="F57">
            <v>46226</v>
          </cell>
          <cell r="H57">
            <v>90</v>
          </cell>
          <cell r="J57">
            <v>2</v>
          </cell>
          <cell r="M57">
            <v>14</v>
          </cell>
        </row>
        <row r="58">
          <cell r="E58" t="str">
            <v>O56a</v>
          </cell>
          <cell r="F58">
            <v>46209</v>
          </cell>
          <cell r="H58">
            <v>124</v>
          </cell>
          <cell r="J58">
            <v>5</v>
          </cell>
          <cell r="M58">
            <v>23</v>
          </cell>
        </row>
        <row r="59">
          <cell r="E59" t="str">
            <v>O60a</v>
          </cell>
          <cell r="F59">
            <v>46227</v>
          </cell>
          <cell r="H59">
            <v>123</v>
          </cell>
          <cell r="J59">
            <v>1</v>
          </cell>
          <cell r="M59">
            <v>7</v>
          </cell>
        </row>
        <row r="60">
          <cell r="E60" t="str">
            <v>O61a</v>
          </cell>
          <cell r="F60">
            <v>46205</v>
          </cell>
          <cell r="H60">
            <v>116</v>
          </cell>
          <cell r="J60">
            <v>4</v>
          </cell>
          <cell r="M60">
            <v>26</v>
          </cell>
        </row>
        <row r="61">
          <cell r="E61" t="str">
            <v>P56a</v>
          </cell>
          <cell r="F61">
            <v>46205</v>
          </cell>
          <cell r="H61">
            <v>140</v>
          </cell>
          <cell r="J61">
            <v>4</v>
          </cell>
          <cell r="M61">
            <v>128</v>
          </cell>
        </row>
        <row r="62">
          <cell r="E62" t="str">
            <v>P57a</v>
          </cell>
          <cell r="F62">
            <v>46224</v>
          </cell>
          <cell r="H62">
            <v>143</v>
          </cell>
          <cell r="J62">
            <v>5</v>
          </cell>
          <cell r="M62">
            <v>11</v>
          </cell>
        </row>
        <row r="63">
          <cell r="E63" t="str">
            <v>P58a</v>
          </cell>
          <cell r="F63">
            <v>46211</v>
          </cell>
          <cell r="H63">
            <v>116</v>
          </cell>
          <cell r="J63">
            <v>4</v>
          </cell>
          <cell r="M63">
            <v>23</v>
          </cell>
        </row>
        <row r="64">
          <cell r="E64" t="str">
            <v>Q54a</v>
          </cell>
          <cell r="F64">
            <v>46227</v>
          </cell>
          <cell r="H64">
            <v>102</v>
          </cell>
          <cell r="J64">
            <v>2</v>
          </cell>
          <cell r="M64">
            <v>11</v>
          </cell>
        </row>
        <row r="65">
          <cell r="E65" t="str">
            <v>Q55a</v>
          </cell>
          <cell r="F65">
            <v>46204</v>
          </cell>
          <cell r="H65">
            <v>121</v>
          </cell>
          <cell r="J65">
            <v>3</v>
          </cell>
          <cell r="M65">
            <v>19</v>
          </cell>
        </row>
        <row r="66">
          <cell r="E66" t="str">
            <v>Q62a</v>
          </cell>
          <cell r="F66">
            <v>46223</v>
          </cell>
          <cell r="H66">
            <v>121</v>
          </cell>
          <cell r="J66">
            <v>5</v>
          </cell>
          <cell r="M66">
            <v>8</v>
          </cell>
        </row>
        <row r="67">
          <cell r="E67" t="str">
            <v>Q64a</v>
          </cell>
          <cell r="F67">
            <v>46210</v>
          </cell>
          <cell r="H67">
            <v>131</v>
          </cell>
          <cell r="J67">
            <v>6</v>
          </cell>
          <cell r="M67">
            <v>10</v>
          </cell>
        </row>
        <row r="68">
          <cell r="E68" t="str">
            <v>Q65a</v>
          </cell>
          <cell r="F68">
            <v>46226</v>
          </cell>
          <cell r="H68">
            <v>109</v>
          </cell>
          <cell r="J68">
            <v>5</v>
          </cell>
          <cell r="M68">
            <v>7</v>
          </cell>
        </row>
        <row r="69">
          <cell r="E69" t="str">
            <v>Q66a</v>
          </cell>
          <cell r="F69">
            <v>46207</v>
          </cell>
          <cell r="H69">
            <v>110</v>
          </cell>
          <cell r="J69">
            <v>2</v>
          </cell>
          <cell r="M69">
            <v>3</v>
          </cell>
        </row>
        <row r="70">
          <cell r="E70" t="str">
            <v>Q67a</v>
          </cell>
          <cell r="F70">
            <v>46224</v>
          </cell>
          <cell r="H70">
            <v>102</v>
          </cell>
          <cell r="J70">
            <v>4</v>
          </cell>
          <cell r="M70">
            <v>11</v>
          </cell>
        </row>
        <row r="71">
          <cell r="E71" t="str">
            <v>Q68a</v>
          </cell>
          <cell r="F71">
            <v>46227</v>
          </cell>
          <cell r="H71">
            <v>97</v>
          </cell>
          <cell r="J71">
            <v>3</v>
          </cell>
          <cell r="M71">
            <v>10</v>
          </cell>
        </row>
        <row r="72">
          <cell r="E72" t="str">
            <v>Q69a</v>
          </cell>
          <cell r="F72">
            <v>46212</v>
          </cell>
          <cell r="H72">
            <v>132</v>
          </cell>
          <cell r="J72">
            <v>4</v>
          </cell>
          <cell r="M72">
            <v>9</v>
          </cell>
        </row>
        <row r="73">
          <cell r="E73" t="str">
            <v>R82a</v>
          </cell>
          <cell r="F73">
            <v>46225</v>
          </cell>
          <cell r="H73">
            <v>92</v>
          </cell>
          <cell r="J73">
            <v>4</v>
          </cell>
          <cell r="M73">
            <v>16</v>
          </cell>
        </row>
        <row r="74">
          <cell r="E74" t="str">
            <v>S78a</v>
          </cell>
          <cell r="F74">
            <v>46211</v>
          </cell>
          <cell r="H74">
            <v>65</v>
          </cell>
          <cell r="J74">
            <v>1</v>
          </cell>
          <cell r="M74">
            <v>12</v>
          </cell>
        </row>
        <row r="75">
          <cell r="E75" t="str">
            <v>R84a</v>
          </cell>
          <cell r="F75">
            <v>46226</v>
          </cell>
          <cell r="H75">
            <v>89</v>
          </cell>
          <cell r="J75">
            <v>3</v>
          </cell>
          <cell r="M75">
            <v>7</v>
          </cell>
        </row>
        <row r="76">
          <cell r="E76" t="str">
            <v>S83a</v>
          </cell>
          <cell r="F76">
            <v>46223</v>
          </cell>
          <cell r="H76">
            <v>124</v>
          </cell>
          <cell r="J76">
            <v>3</v>
          </cell>
          <cell r="M76">
            <v>12</v>
          </cell>
        </row>
        <row r="77">
          <cell r="E77" t="str">
            <v>S86a</v>
          </cell>
          <cell r="F77">
            <v>46224</v>
          </cell>
          <cell r="H77">
            <v>85</v>
          </cell>
          <cell r="J77">
            <v>4</v>
          </cell>
          <cell r="M77">
            <v>6</v>
          </cell>
        </row>
        <row r="78">
          <cell r="E78" t="str">
            <v>S88a</v>
          </cell>
          <cell r="F78">
            <v>46225</v>
          </cell>
          <cell r="H78">
            <v>167</v>
          </cell>
          <cell r="J78">
            <v>6</v>
          </cell>
          <cell r="M78">
            <v>9</v>
          </cell>
        </row>
        <row r="79">
          <cell r="E79" t="str">
            <v>S89a</v>
          </cell>
          <cell r="F79">
            <v>46212</v>
          </cell>
          <cell r="H79">
            <v>91</v>
          </cell>
          <cell r="J79">
            <v>2</v>
          </cell>
          <cell r="M79">
            <v>18</v>
          </cell>
        </row>
        <row r="80">
          <cell r="E80" t="str">
            <v>S90a</v>
          </cell>
          <cell r="F80">
            <v>46221</v>
          </cell>
          <cell r="H80">
            <v>119</v>
          </cell>
          <cell r="J80">
            <v>4</v>
          </cell>
          <cell r="M80">
            <v>10</v>
          </cell>
        </row>
        <row r="81">
          <cell r="E81" t="str">
            <v>S93a</v>
          </cell>
          <cell r="F81">
            <v>46212</v>
          </cell>
          <cell r="H81">
            <v>84</v>
          </cell>
          <cell r="J81">
            <v>2</v>
          </cell>
          <cell r="M81">
            <v>8</v>
          </cell>
        </row>
        <row r="82">
          <cell r="E82" t="str">
            <v>T85a</v>
          </cell>
          <cell r="F82">
            <v>46227</v>
          </cell>
          <cell r="H82">
            <v>122</v>
          </cell>
          <cell r="J82">
            <v>3</v>
          </cell>
          <cell r="M82">
            <v>12</v>
          </cell>
        </row>
      </sheetData>
      <sheetData sheetId="1"/>
      <sheetData sheetId="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 MKSS POKOK"/>
      <sheetName val="MINGGU"/>
      <sheetName val="Rekap"/>
      <sheetName val="Rekap Tgl BKP JJG (2)"/>
    </sheetNames>
    <sheetDataSet>
      <sheetData sheetId="0"/>
      <sheetData sheetId="1"/>
      <sheetData sheetId="2"/>
      <sheetData sheetId="3">
        <row r="9">
          <cell r="E9" t="str">
            <v>L09a</v>
          </cell>
        </row>
        <row r="10">
          <cell r="E10" t="str">
            <v>M11a</v>
          </cell>
          <cell r="G10">
            <v>46239</v>
          </cell>
          <cell r="I10">
            <v>871</v>
          </cell>
          <cell r="K10">
            <v>11</v>
          </cell>
          <cell r="N10">
            <v>172</v>
          </cell>
        </row>
        <row r="11">
          <cell r="E11" t="str">
            <v>M15a</v>
          </cell>
        </row>
        <row r="12">
          <cell r="E12" t="str">
            <v>K16a</v>
          </cell>
          <cell r="G12">
            <v>46246</v>
          </cell>
          <cell r="I12">
            <v>495</v>
          </cell>
          <cell r="K12">
            <v>11</v>
          </cell>
          <cell r="N12">
            <v>105</v>
          </cell>
        </row>
        <row r="13">
          <cell r="E13" t="str">
            <v>L10a</v>
          </cell>
          <cell r="G13">
            <v>46244</v>
          </cell>
          <cell r="I13">
            <v>1064</v>
          </cell>
          <cell r="K13">
            <v>20</v>
          </cell>
          <cell r="N13">
            <v>206</v>
          </cell>
        </row>
        <row r="14">
          <cell r="E14" t="str">
            <v>M13a</v>
          </cell>
          <cell r="G14">
            <v>46235</v>
          </cell>
          <cell r="I14">
            <v>1267</v>
          </cell>
          <cell r="K14">
            <v>22</v>
          </cell>
          <cell r="N14">
            <v>255</v>
          </cell>
        </row>
        <row r="15">
          <cell r="E15" t="str">
            <v>K14a</v>
          </cell>
        </row>
        <row r="16">
          <cell r="E16" t="str">
            <v>K17a</v>
          </cell>
        </row>
        <row r="17">
          <cell r="E17" t="str">
            <v>L08a</v>
          </cell>
          <cell r="G17">
            <v>46241</v>
          </cell>
          <cell r="I17">
            <v>1837</v>
          </cell>
          <cell r="K17">
            <v>22</v>
          </cell>
          <cell r="N17">
            <v>370</v>
          </cell>
        </row>
        <row r="18">
          <cell r="E18" t="str">
            <v>N18a</v>
          </cell>
          <cell r="G18">
            <v>46246</v>
          </cell>
          <cell r="I18">
            <v>883</v>
          </cell>
          <cell r="K18">
            <v>12</v>
          </cell>
          <cell r="N18">
            <v>175</v>
          </cell>
        </row>
        <row r="19">
          <cell r="E19" t="str">
            <v>K15a</v>
          </cell>
        </row>
        <row r="20">
          <cell r="E20" t="str">
            <v>L11a</v>
          </cell>
        </row>
        <row r="21">
          <cell r="E21" t="str">
            <v>L14a</v>
          </cell>
        </row>
        <row r="22">
          <cell r="E22" t="str">
            <v>M10a</v>
          </cell>
          <cell r="G22">
            <v>46238</v>
          </cell>
          <cell r="I22">
            <v>883</v>
          </cell>
          <cell r="K22">
            <v>12</v>
          </cell>
          <cell r="N22">
            <v>175</v>
          </cell>
        </row>
        <row r="23">
          <cell r="E23" t="str">
            <v>M12a</v>
          </cell>
          <cell r="G23">
            <v>46238</v>
          </cell>
          <cell r="I23">
            <v>1312</v>
          </cell>
          <cell r="K23">
            <v>26</v>
          </cell>
          <cell r="N23">
            <v>261</v>
          </cell>
        </row>
        <row r="24">
          <cell r="E24" t="str">
            <v>M14a</v>
          </cell>
          <cell r="G24">
            <v>46235</v>
          </cell>
          <cell r="I24">
            <v>1107</v>
          </cell>
          <cell r="K24">
            <v>14</v>
          </cell>
          <cell r="N24">
            <v>225</v>
          </cell>
        </row>
        <row r="25">
          <cell r="E25" t="str">
            <v>M16a</v>
          </cell>
          <cell r="G25">
            <v>46249</v>
          </cell>
          <cell r="I25">
            <v>1418</v>
          </cell>
          <cell r="K25">
            <v>21</v>
          </cell>
          <cell r="N25">
            <v>297</v>
          </cell>
        </row>
        <row r="26">
          <cell r="E26" t="str">
            <v>L12a</v>
          </cell>
        </row>
        <row r="27">
          <cell r="E27" t="str">
            <v>L13a</v>
          </cell>
          <cell r="G27">
            <v>46249</v>
          </cell>
          <cell r="I27">
            <v>469</v>
          </cell>
          <cell r="K27">
            <v>10</v>
          </cell>
          <cell r="N27">
            <v>95</v>
          </cell>
        </row>
        <row r="28">
          <cell r="E28" t="str">
            <v>N21a</v>
          </cell>
          <cell r="G28">
            <v>46244</v>
          </cell>
          <cell r="I28">
            <v>1172</v>
          </cell>
          <cell r="K28">
            <v>14</v>
          </cell>
          <cell r="N28">
            <v>164</v>
          </cell>
        </row>
        <row r="29">
          <cell r="E29" t="str">
            <v>O27a</v>
          </cell>
        </row>
        <row r="30">
          <cell r="E30" t="str">
            <v>O28a</v>
          </cell>
        </row>
        <row r="31">
          <cell r="E31" t="str">
            <v>M22a</v>
          </cell>
          <cell r="G31">
            <v>46246</v>
          </cell>
          <cell r="I31">
            <v>5774</v>
          </cell>
          <cell r="K31">
            <v>23</v>
          </cell>
          <cell r="N31">
            <v>239</v>
          </cell>
        </row>
        <row r="32">
          <cell r="E32" t="str">
            <v>O25a</v>
          </cell>
        </row>
        <row r="33">
          <cell r="E33" t="str">
            <v>L15a</v>
          </cell>
          <cell r="G33">
            <v>46249</v>
          </cell>
          <cell r="I33">
            <v>507</v>
          </cell>
          <cell r="K33">
            <v>9</v>
          </cell>
          <cell r="N33">
            <v>86</v>
          </cell>
        </row>
        <row r="34">
          <cell r="E34" t="str">
            <v>M19a</v>
          </cell>
          <cell r="G34">
            <v>46237</v>
          </cell>
          <cell r="I34">
            <v>1017</v>
          </cell>
          <cell r="K34">
            <v>13</v>
          </cell>
          <cell r="N34">
            <v>144</v>
          </cell>
        </row>
        <row r="35">
          <cell r="E35" t="str">
            <v>M21a</v>
          </cell>
          <cell r="G35">
            <v>46241</v>
          </cell>
          <cell r="I35">
            <v>1742</v>
          </cell>
          <cell r="K35">
            <v>26</v>
          </cell>
          <cell r="N35">
            <v>270</v>
          </cell>
        </row>
        <row r="36">
          <cell r="E36" t="str">
            <v>L16a</v>
          </cell>
          <cell r="G36">
            <v>46240</v>
          </cell>
          <cell r="I36">
            <v>883</v>
          </cell>
          <cell r="K36">
            <v>12</v>
          </cell>
          <cell r="N36">
            <v>175</v>
          </cell>
        </row>
        <row r="37">
          <cell r="E37" t="str">
            <v>M23a</v>
          </cell>
          <cell r="G37">
            <v>46246</v>
          </cell>
          <cell r="I37">
            <v>2211</v>
          </cell>
          <cell r="K37">
            <v>31</v>
          </cell>
          <cell r="N37">
            <v>321</v>
          </cell>
        </row>
        <row r="38">
          <cell r="E38" t="str">
            <v>N22a</v>
          </cell>
          <cell r="G38">
            <v>46244</v>
          </cell>
          <cell r="I38">
            <v>655</v>
          </cell>
          <cell r="K38">
            <v>7</v>
          </cell>
          <cell r="N38">
            <v>88</v>
          </cell>
        </row>
        <row r="39">
          <cell r="E39" t="str">
            <v>M17a</v>
          </cell>
          <cell r="G39">
            <v>46249</v>
          </cell>
          <cell r="I39">
            <v>443</v>
          </cell>
          <cell r="K39">
            <v>6</v>
          </cell>
          <cell r="N39">
            <v>64</v>
          </cell>
        </row>
        <row r="40">
          <cell r="E40" t="str">
            <v>L35a</v>
          </cell>
        </row>
        <row r="41">
          <cell r="E41" t="str">
            <v>M37a</v>
          </cell>
          <cell r="G41">
            <v>46244</v>
          </cell>
          <cell r="I41">
            <v>547</v>
          </cell>
          <cell r="K41">
            <v>17</v>
          </cell>
          <cell r="N41">
            <v>139</v>
          </cell>
        </row>
        <row r="42">
          <cell r="E42" t="str">
            <v>M48a</v>
          </cell>
          <cell r="G42">
            <v>46249</v>
          </cell>
          <cell r="I42">
            <v>1893</v>
          </cell>
          <cell r="K42">
            <v>57</v>
          </cell>
          <cell r="N42">
            <v>433</v>
          </cell>
        </row>
        <row r="43">
          <cell r="E43" t="str">
            <v>N41a</v>
          </cell>
          <cell r="G43">
            <v>46244</v>
          </cell>
          <cell r="I43">
            <v>505</v>
          </cell>
          <cell r="K43">
            <v>15</v>
          </cell>
          <cell r="N43">
            <v>119</v>
          </cell>
        </row>
        <row r="44">
          <cell r="E44" t="str">
            <v>L39a</v>
          </cell>
          <cell r="G44">
            <v>46241</v>
          </cell>
          <cell r="I44">
            <v>1108</v>
          </cell>
          <cell r="K44">
            <v>30</v>
          </cell>
          <cell r="N44">
            <v>211</v>
          </cell>
        </row>
        <row r="45">
          <cell r="E45" t="str">
            <v>N42a</v>
          </cell>
          <cell r="G45">
            <v>46246</v>
          </cell>
          <cell r="I45">
            <v>680</v>
          </cell>
          <cell r="K45">
            <v>20</v>
          </cell>
          <cell r="N45">
            <v>145</v>
          </cell>
        </row>
        <row r="46">
          <cell r="E46" t="str">
            <v>N49a</v>
          </cell>
          <cell r="G46">
            <v>46238</v>
          </cell>
          <cell r="I46">
            <v>835</v>
          </cell>
          <cell r="K46">
            <v>27</v>
          </cell>
          <cell r="N46">
            <v>201</v>
          </cell>
        </row>
        <row r="47">
          <cell r="E47" t="str">
            <v>M47a</v>
          </cell>
          <cell r="G47">
            <v>46249</v>
          </cell>
          <cell r="I47">
            <v>2414</v>
          </cell>
          <cell r="K47">
            <v>76</v>
          </cell>
          <cell r="N47">
            <v>629</v>
          </cell>
        </row>
        <row r="48">
          <cell r="E48" t="str">
            <v>M36a</v>
          </cell>
        </row>
        <row r="49">
          <cell r="E49" t="str">
            <v>N43b</v>
          </cell>
          <cell r="G49">
            <v>46249</v>
          </cell>
          <cell r="I49">
            <v>2543</v>
          </cell>
          <cell r="K49">
            <v>69</v>
          </cell>
          <cell r="N49">
            <v>555</v>
          </cell>
        </row>
        <row r="50">
          <cell r="E50" t="str">
            <v>N43a</v>
          </cell>
          <cell r="G50">
            <v>46246</v>
          </cell>
          <cell r="I50">
            <v>1010</v>
          </cell>
          <cell r="K50">
            <v>31</v>
          </cell>
          <cell r="N50">
            <v>229</v>
          </cell>
        </row>
        <row r="51">
          <cell r="E51" t="str">
            <v>M46a</v>
          </cell>
          <cell r="G51">
            <v>46238</v>
          </cell>
          <cell r="I51">
            <v>855</v>
          </cell>
          <cell r="K51">
            <v>27</v>
          </cell>
          <cell r="N51">
            <v>207</v>
          </cell>
        </row>
        <row r="52">
          <cell r="E52" t="str">
            <v>N55a</v>
          </cell>
        </row>
        <row r="53">
          <cell r="E53" t="str">
            <v>N57a</v>
          </cell>
          <cell r="G53">
            <v>46239</v>
          </cell>
          <cell r="I53">
            <v>487</v>
          </cell>
          <cell r="K53">
            <v>11</v>
          </cell>
          <cell r="N53">
            <v>78</v>
          </cell>
        </row>
        <row r="54">
          <cell r="E54" t="str">
            <v>N58a</v>
          </cell>
          <cell r="G54">
            <v>46239</v>
          </cell>
          <cell r="I54">
            <v>932</v>
          </cell>
          <cell r="K54">
            <v>22</v>
          </cell>
          <cell r="N54">
            <v>164</v>
          </cell>
        </row>
        <row r="55">
          <cell r="E55" t="str">
            <v>P56a</v>
          </cell>
          <cell r="G55">
            <v>46249</v>
          </cell>
          <cell r="I55">
            <v>582</v>
          </cell>
          <cell r="K55">
            <v>12</v>
          </cell>
          <cell r="N55">
            <v>105</v>
          </cell>
        </row>
        <row r="56">
          <cell r="E56" t="str">
            <v>P58a</v>
          </cell>
          <cell r="G56">
            <v>46249</v>
          </cell>
          <cell r="I56">
            <v>544</v>
          </cell>
          <cell r="K56">
            <v>11</v>
          </cell>
          <cell r="N56">
            <v>89</v>
          </cell>
        </row>
        <row r="57">
          <cell r="E57" t="str">
            <v>N56a</v>
          </cell>
          <cell r="G57">
            <v>46244</v>
          </cell>
          <cell r="I57">
            <v>1747</v>
          </cell>
          <cell r="K57">
            <v>42</v>
          </cell>
          <cell r="N57">
            <v>340</v>
          </cell>
        </row>
        <row r="58">
          <cell r="E58" t="str">
            <v>O60a</v>
          </cell>
          <cell r="G58">
            <v>46235</v>
          </cell>
          <cell r="I58">
            <v>450</v>
          </cell>
          <cell r="K58">
            <v>15</v>
          </cell>
          <cell r="N58">
            <v>78</v>
          </cell>
        </row>
        <row r="59">
          <cell r="E59" t="str">
            <v>Q55a</v>
          </cell>
          <cell r="G59">
            <v>46246</v>
          </cell>
          <cell r="I59">
            <v>653</v>
          </cell>
          <cell r="K59">
            <v>12</v>
          </cell>
          <cell r="N59">
            <v>113</v>
          </cell>
        </row>
        <row r="60">
          <cell r="E60" t="str">
            <v>M55a</v>
          </cell>
          <cell r="G60">
            <v>46244</v>
          </cell>
          <cell r="I60">
            <v>453</v>
          </cell>
          <cell r="K60">
            <v>9</v>
          </cell>
          <cell r="N60">
            <v>76</v>
          </cell>
        </row>
        <row r="61">
          <cell r="E61" t="str">
            <v>O61a</v>
          </cell>
          <cell r="G61">
            <v>46239</v>
          </cell>
          <cell r="I61">
            <v>457</v>
          </cell>
          <cell r="K61">
            <v>13</v>
          </cell>
          <cell r="N61">
            <v>78</v>
          </cell>
        </row>
        <row r="62">
          <cell r="E62" t="str">
            <v>P57a</v>
          </cell>
        </row>
        <row r="63">
          <cell r="E63" t="str">
            <v>Q54a</v>
          </cell>
          <cell r="G63">
            <v>46246</v>
          </cell>
          <cell r="I63">
            <v>613</v>
          </cell>
          <cell r="K63">
            <v>13</v>
          </cell>
          <cell r="N63">
            <v>97</v>
          </cell>
        </row>
        <row r="64">
          <cell r="E64" t="str">
            <v>O56a</v>
          </cell>
          <cell r="G64">
            <v>46241</v>
          </cell>
          <cell r="I64">
            <v>893</v>
          </cell>
          <cell r="K64">
            <v>25</v>
          </cell>
          <cell r="N64">
            <v>185</v>
          </cell>
        </row>
        <row r="65">
          <cell r="E65" t="str">
            <v>N50a</v>
          </cell>
        </row>
        <row r="66">
          <cell r="E66" t="str">
            <v>Q62a</v>
          </cell>
        </row>
        <row r="67">
          <cell r="E67" t="str">
            <v>S78a</v>
          </cell>
          <cell r="G67">
            <v>46239</v>
          </cell>
          <cell r="I67">
            <v>367</v>
          </cell>
          <cell r="K67">
            <v>5</v>
          </cell>
          <cell r="N67">
            <v>40</v>
          </cell>
        </row>
        <row r="68">
          <cell r="E68" t="str">
            <v>Q66a</v>
          </cell>
        </row>
        <row r="69">
          <cell r="E69" t="str">
            <v>R82a</v>
          </cell>
          <cell r="G69">
            <v>46246</v>
          </cell>
          <cell r="I69">
            <v>894</v>
          </cell>
          <cell r="K69">
            <v>9</v>
          </cell>
          <cell r="N69">
            <v>77</v>
          </cell>
        </row>
        <row r="70">
          <cell r="E70" t="str">
            <v>Q68a</v>
          </cell>
        </row>
        <row r="71">
          <cell r="E71" t="str">
            <v>Q69a</v>
          </cell>
          <cell r="G71">
            <v>46249</v>
          </cell>
          <cell r="I71">
            <v>712</v>
          </cell>
          <cell r="K71">
            <v>9</v>
          </cell>
          <cell r="N71">
            <v>65</v>
          </cell>
        </row>
        <row r="72">
          <cell r="E72" t="str">
            <v>Q64a</v>
          </cell>
        </row>
        <row r="73">
          <cell r="E73" t="str">
            <v>Q65a</v>
          </cell>
        </row>
        <row r="74">
          <cell r="E74" t="str">
            <v>Q67a</v>
          </cell>
        </row>
        <row r="75">
          <cell r="E75" t="str">
            <v>S90a</v>
          </cell>
          <cell r="G75">
            <v>46246</v>
          </cell>
          <cell r="I75">
            <v>505</v>
          </cell>
          <cell r="K75">
            <v>7</v>
          </cell>
          <cell r="N75">
            <v>9</v>
          </cell>
        </row>
        <row r="76">
          <cell r="E76" t="str">
            <v>S93a</v>
          </cell>
          <cell r="G76">
            <v>46244</v>
          </cell>
          <cell r="I76">
            <v>556</v>
          </cell>
          <cell r="K76">
            <v>9</v>
          </cell>
          <cell r="N76">
            <v>79</v>
          </cell>
        </row>
        <row r="77">
          <cell r="E77" t="str">
            <v>R84a</v>
          </cell>
          <cell r="G77">
            <v>46239</v>
          </cell>
          <cell r="I77">
            <v>512</v>
          </cell>
          <cell r="K77">
            <v>8</v>
          </cell>
          <cell r="N77">
            <v>9</v>
          </cell>
        </row>
        <row r="78">
          <cell r="E78" t="str">
            <v>S83a</v>
          </cell>
          <cell r="G78">
            <v>46240</v>
          </cell>
          <cell r="I78">
            <v>607</v>
          </cell>
          <cell r="K78">
            <v>7</v>
          </cell>
          <cell r="N78">
            <v>10</v>
          </cell>
        </row>
        <row r="79">
          <cell r="E79" t="str">
            <v>S86a</v>
          </cell>
          <cell r="G79">
            <v>46238</v>
          </cell>
          <cell r="I79">
            <v>519</v>
          </cell>
          <cell r="K79">
            <v>8</v>
          </cell>
          <cell r="N79">
            <v>9</v>
          </cell>
        </row>
        <row r="80">
          <cell r="E80" t="str">
            <v>S88a</v>
          </cell>
        </row>
        <row r="81">
          <cell r="E81" t="str">
            <v>S89a</v>
          </cell>
          <cell r="G81">
            <v>46249</v>
          </cell>
          <cell r="I81">
            <v>535</v>
          </cell>
          <cell r="K81">
            <v>7</v>
          </cell>
          <cell r="N81">
            <v>9</v>
          </cell>
        </row>
        <row r="82">
          <cell r="E82" t="str">
            <v>T85a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itoring"/>
      <sheetName val="Road Map Sensus"/>
      <sheetName val="Road Map Pengendalian"/>
      <sheetName val="Summary"/>
    </sheetNames>
    <sheetDataSet>
      <sheetData sheetId="0">
        <row r="6">
          <cell r="H6">
            <v>46163</v>
          </cell>
          <cell r="I6">
            <v>312</v>
          </cell>
        </row>
        <row r="10">
          <cell r="H10">
            <v>46163</v>
          </cell>
          <cell r="I10">
            <v>519</v>
          </cell>
        </row>
        <row r="11">
          <cell r="H11">
            <v>46151</v>
          </cell>
          <cell r="I11">
            <v>538</v>
          </cell>
        </row>
        <row r="12">
          <cell r="H12">
            <v>46163</v>
          </cell>
          <cell r="I12">
            <v>376</v>
          </cell>
        </row>
        <row r="16">
          <cell r="H16">
            <v>46163</v>
          </cell>
          <cell r="I16">
            <v>463</v>
          </cell>
        </row>
        <row r="19">
          <cell r="H19">
            <v>46155</v>
          </cell>
          <cell r="I19">
            <v>559</v>
          </cell>
        </row>
        <row r="21">
          <cell r="H21">
            <v>46163</v>
          </cell>
          <cell r="I21">
            <v>429</v>
          </cell>
        </row>
        <row r="22">
          <cell r="H22">
            <v>46163</v>
          </cell>
          <cell r="I22">
            <v>388</v>
          </cell>
        </row>
        <row r="25">
          <cell r="H25">
            <v>46163</v>
          </cell>
          <cell r="I25">
            <v>550</v>
          </cell>
        </row>
        <row r="28">
          <cell r="H28">
            <v>46163</v>
          </cell>
          <cell r="I28">
            <v>362</v>
          </cell>
        </row>
        <row r="29">
          <cell r="H29">
            <v>46163</v>
          </cell>
          <cell r="I29">
            <v>262</v>
          </cell>
        </row>
        <row r="30">
          <cell r="H30">
            <v>46163</v>
          </cell>
          <cell r="I30">
            <v>356</v>
          </cell>
        </row>
        <row r="35">
          <cell r="H35">
            <v>46154</v>
          </cell>
          <cell r="I35">
            <v>666</v>
          </cell>
        </row>
        <row r="40">
          <cell r="H40">
            <v>46153</v>
          </cell>
          <cell r="I40">
            <v>759</v>
          </cell>
        </row>
        <row r="42">
          <cell r="H42">
            <v>46155</v>
          </cell>
          <cell r="I42">
            <v>546</v>
          </cell>
        </row>
        <row r="43">
          <cell r="H43">
            <v>46157</v>
          </cell>
          <cell r="I43">
            <v>492</v>
          </cell>
        </row>
        <row r="45">
          <cell r="H45">
            <v>46158</v>
          </cell>
          <cell r="I45">
            <v>519</v>
          </cell>
        </row>
        <row r="50">
          <cell r="H50">
            <v>46150</v>
          </cell>
          <cell r="I50">
            <v>631</v>
          </cell>
        </row>
        <row r="57">
          <cell r="H57">
            <v>46171</v>
          </cell>
          <cell r="I57">
            <v>597</v>
          </cell>
        </row>
        <row r="58">
          <cell r="H58">
            <v>46171</v>
          </cell>
          <cell r="I58">
            <v>557</v>
          </cell>
        </row>
        <row r="60">
          <cell r="H60">
            <v>46170</v>
          </cell>
          <cell r="I60">
            <v>484</v>
          </cell>
        </row>
        <row r="62">
          <cell r="H62">
            <v>46154</v>
          </cell>
          <cell r="I62">
            <v>423</v>
          </cell>
        </row>
        <row r="63">
          <cell r="H63">
            <v>46167</v>
          </cell>
          <cell r="I63">
            <v>596</v>
          </cell>
        </row>
        <row r="65">
          <cell r="H65">
            <v>46162</v>
          </cell>
          <cell r="I65">
            <v>339</v>
          </cell>
        </row>
        <row r="66">
          <cell r="H66">
            <v>46163</v>
          </cell>
          <cell r="I66">
            <v>589</v>
          </cell>
        </row>
        <row r="67">
          <cell r="H67">
            <v>46171</v>
          </cell>
          <cell r="I67">
            <v>467</v>
          </cell>
        </row>
        <row r="68">
          <cell r="H68">
            <v>46171</v>
          </cell>
          <cell r="I68">
            <v>753</v>
          </cell>
        </row>
        <row r="70">
          <cell r="H70">
            <v>46157</v>
          </cell>
          <cell r="I70">
            <v>316</v>
          </cell>
        </row>
        <row r="73">
          <cell r="H73">
            <v>46154</v>
          </cell>
          <cell r="I73">
            <v>295</v>
          </cell>
        </row>
        <row r="79">
          <cell r="H79">
            <v>46164</v>
          </cell>
          <cell r="I79">
            <v>258</v>
          </cell>
        </row>
        <row r="84">
          <cell r="H84">
            <v>46157</v>
          </cell>
          <cell r="I84">
            <v>587</v>
          </cell>
        </row>
        <row r="85">
          <cell r="H85">
            <v>46171</v>
          </cell>
          <cell r="I85">
            <v>438</v>
          </cell>
        </row>
        <row r="86">
          <cell r="H86">
            <v>46171</v>
          </cell>
          <cell r="I86">
            <v>364</v>
          </cell>
        </row>
        <row r="90">
          <cell r="H90">
            <v>46171</v>
          </cell>
          <cell r="I90">
            <v>830</v>
          </cell>
        </row>
        <row r="92">
          <cell r="H92">
            <v>46162</v>
          </cell>
          <cell r="I92">
            <v>360</v>
          </cell>
        </row>
      </sheetData>
      <sheetData sheetId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itoring"/>
      <sheetName val="Road Map Sensus"/>
      <sheetName val="Road Map Pengendalian"/>
      <sheetName val="Summary"/>
    </sheetNames>
    <sheetDataSet>
      <sheetData sheetId="0">
        <row r="6">
          <cell r="D6" t="str">
            <v>Q11a</v>
          </cell>
          <cell r="J6">
            <v>33</v>
          </cell>
        </row>
        <row r="7">
          <cell r="D7" t="str">
            <v>R10a</v>
          </cell>
          <cell r="J7">
            <v>43</v>
          </cell>
        </row>
        <row r="8">
          <cell r="D8" t="str">
            <v>R11a</v>
          </cell>
          <cell r="J8"/>
        </row>
        <row r="9">
          <cell r="D9" t="str">
            <v>R12a</v>
          </cell>
          <cell r="J9"/>
        </row>
        <row r="10">
          <cell r="D10" t="str">
            <v>R13a</v>
          </cell>
          <cell r="J10">
            <v>36</v>
          </cell>
        </row>
        <row r="11">
          <cell r="D11" t="str">
            <v>R14a</v>
          </cell>
          <cell r="J11">
            <v>45</v>
          </cell>
        </row>
        <row r="12">
          <cell r="D12" t="str">
            <v>R15a</v>
          </cell>
          <cell r="J12">
            <v>19</v>
          </cell>
        </row>
        <row r="13">
          <cell r="D13" t="str">
            <v>R16a</v>
          </cell>
          <cell r="J13"/>
        </row>
        <row r="14">
          <cell r="D14" t="str">
            <v>S14a</v>
          </cell>
          <cell r="J14"/>
        </row>
        <row r="15">
          <cell r="D15" t="str">
            <v>S15a</v>
          </cell>
          <cell r="J15"/>
        </row>
        <row r="16">
          <cell r="D16" t="str">
            <v>S16a</v>
          </cell>
          <cell r="J16">
            <v>19</v>
          </cell>
        </row>
        <row r="17">
          <cell r="D17" t="str">
            <v>T07a</v>
          </cell>
          <cell r="J17"/>
        </row>
        <row r="18">
          <cell r="D18" t="str">
            <v>T08a</v>
          </cell>
          <cell r="J18"/>
        </row>
        <row r="19">
          <cell r="D19" t="str">
            <v>T09a</v>
          </cell>
          <cell r="J19">
            <v>38</v>
          </cell>
        </row>
        <row r="20">
          <cell r="D20" t="str">
            <v>T10a</v>
          </cell>
          <cell r="J20"/>
        </row>
        <row r="21">
          <cell r="D21" t="str">
            <v>T11a</v>
          </cell>
          <cell r="J21">
            <v>20</v>
          </cell>
        </row>
        <row r="22">
          <cell r="D22" t="str">
            <v>T12a</v>
          </cell>
          <cell r="J22">
            <v>15</v>
          </cell>
        </row>
        <row r="23">
          <cell r="D23" t="str">
            <v>T13a</v>
          </cell>
          <cell r="J23"/>
        </row>
        <row r="24">
          <cell r="D24" t="str">
            <v>T14a</v>
          </cell>
          <cell r="J24"/>
        </row>
        <row r="25">
          <cell r="D25" t="str">
            <v>T15a</v>
          </cell>
          <cell r="J25">
            <v>43</v>
          </cell>
        </row>
        <row r="26">
          <cell r="D26" t="str">
            <v>U05a</v>
          </cell>
          <cell r="J26"/>
        </row>
        <row r="27">
          <cell r="D27" t="str">
            <v>U06a</v>
          </cell>
          <cell r="J27"/>
        </row>
        <row r="28">
          <cell r="D28" t="str">
            <v>U07a</v>
          </cell>
          <cell r="J28">
            <v>14</v>
          </cell>
        </row>
        <row r="29">
          <cell r="D29" t="str">
            <v>U08a</v>
          </cell>
          <cell r="J29">
            <v>7</v>
          </cell>
        </row>
        <row r="30">
          <cell r="D30" t="str">
            <v>U09a</v>
          </cell>
          <cell r="J30">
            <v>16</v>
          </cell>
        </row>
        <row r="31">
          <cell r="D31" t="str">
            <v>O21a</v>
          </cell>
          <cell r="J31"/>
        </row>
        <row r="32">
          <cell r="D32" t="str">
            <v>O22a</v>
          </cell>
          <cell r="J32"/>
        </row>
        <row r="33">
          <cell r="D33" t="str">
            <v>P19a</v>
          </cell>
          <cell r="J33"/>
        </row>
        <row r="34">
          <cell r="D34" t="str">
            <v>P20a</v>
          </cell>
          <cell r="J34"/>
        </row>
        <row r="35">
          <cell r="D35" t="str">
            <v>R17a</v>
          </cell>
          <cell r="J35">
            <v>40</v>
          </cell>
        </row>
        <row r="36">
          <cell r="D36" t="str">
            <v>R18a</v>
          </cell>
          <cell r="J36"/>
        </row>
        <row r="37">
          <cell r="D37" t="str">
            <v>R19a</v>
          </cell>
          <cell r="J37"/>
        </row>
        <row r="38">
          <cell r="D38" t="str">
            <v>S17a</v>
          </cell>
          <cell r="J38"/>
        </row>
        <row r="39">
          <cell r="D39" t="str">
            <v>S18a</v>
          </cell>
          <cell r="J39"/>
        </row>
        <row r="40">
          <cell r="D40" t="str">
            <v>S19a</v>
          </cell>
          <cell r="J40">
            <v>52</v>
          </cell>
        </row>
        <row r="41">
          <cell r="D41" t="str">
            <v>S20a</v>
          </cell>
          <cell r="J41"/>
        </row>
        <row r="42">
          <cell r="D42" t="str">
            <v>S21a</v>
          </cell>
          <cell r="J42">
            <v>43</v>
          </cell>
        </row>
        <row r="43">
          <cell r="D43" t="str">
            <v>S22a</v>
          </cell>
          <cell r="J43">
            <v>36</v>
          </cell>
        </row>
        <row r="44">
          <cell r="D44" t="str">
            <v>S23a</v>
          </cell>
          <cell r="J44"/>
        </row>
        <row r="45">
          <cell r="D45" t="str">
            <v>S24a</v>
          </cell>
          <cell r="J45">
            <v>32</v>
          </cell>
        </row>
        <row r="46">
          <cell r="D46" t="str">
            <v>S25a</v>
          </cell>
          <cell r="J46"/>
        </row>
        <row r="47">
          <cell r="D47" t="str">
            <v>T16a</v>
          </cell>
          <cell r="J47"/>
        </row>
        <row r="48">
          <cell r="D48" t="str">
            <v>T17a</v>
          </cell>
          <cell r="J48"/>
        </row>
        <row r="49">
          <cell r="D49" t="str">
            <v>T18a</v>
          </cell>
          <cell r="J49"/>
        </row>
        <row r="50">
          <cell r="D50" t="str">
            <v>T19a</v>
          </cell>
          <cell r="J50">
            <v>41</v>
          </cell>
        </row>
        <row r="51">
          <cell r="D51" t="str">
            <v>T20a</v>
          </cell>
          <cell r="J51"/>
        </row>
        <row r="52">
          <cell r="D52" t="str">
            <v>T21a</v>
          </cell>
          <cell r="J52"/>
        </row>
        <row r="53">
          <cell r="D53" t="str">
            <v>T22a</v>
          </cell>
          <cell r="J53"/>
        </row>
        <row r="54">
          <cell r="D54" t="str">
            <v>T23a</v>
          </cell>
          <cell r="J54"/>
        </row>
        <row r="55">
          <cell r="D55" t="str">
            <v>T24a</v>
          </cell>
          <cell r="J55"/>
        </row>
        <row r="56">
          <cell r="D56" t="str">
            <v>T25a</v>
          </cell>
          <cell r="J56"/>
        </row>
        <row r="57">
          <cell r="D57" t="str">
            <v>O23a</v>
          </cell>
          <cell r="J57"/>
        </row>
        <row r="58">
          <cell r="D58" t="str">
            <v>O24a</v>
          </cell>
          <cell r="J58">
            <v>31</v>
          </cell>
        </row>
        <row r="59">
          <cell r="D59" t="str">
            <v>O25a</v>
          </cell>
          <cell r="J59"/>
        </row>
        <row r="60">
          <cell r="D60" t="str">
            <v>O35a</v>
          </cell>
          <cell r="J60">
            <v>30</v>
          </cell>
        </row>
        <row r="61">
          <cell r="D61" t="str">
            <v>P17a</v>
          </cell>
          <cell r="J61"/>
        </row>
        <row r="62">
          <cell r="D62" t="str">
            <v>P18a</v>
          </cell>
          <cell r="J62">
            <v>22</v>
          </cell>
        </row>
        <row r="63">
          <cell r="D63" t="str">
            <v>P21a</v>
          </cell>
          <cell r="J63">
            <v>23</v>
          </cell>
        </row>
        <row r="64">
          <cell r="D64" t="str">
            <v>P22a</v>
          </cell>
          <cell r="J64"/>
        </row>
        <row r="65">
          <cell r="D65" t="str">
            <v>P23a</v>
          </cell>
          <cell r="J65">
            <v>24</v>
          </cell>
        </row>
        <row r="66">
          <cell r="D66" t="str">
            <v>Q10a</v>
          </cell>
          <cell r="J66">
            <v>24</v>
          </cell>
        </row>
        <row r="67">
          <cell r="D67" t="str">
            <v>Q12a</v>
          </cell>
          <cell r="J67">
            <v>19</v>
          </cell>
        </row>
        <row r="68">
          <cell r="D68" t="str">
            <v>Q13a</v>
          </cell>
          <cell r="J68">
            <v>41</v>
          </cell>
        </row>
        <row r="69">
          <cell r="D69" t="str">
            <v>Q14a</v>
          </cell>
          <cell r="J69">
            <v>22</v>
          </cell>
        </row>
        <row r="70">
          <cell r="D70" t="str">
            <v>Q15a</v>
          </cell>
          <cell r="J70">
            <v>15</v>
          </cell>
        </row>
        <row r="71">
          <cell r="D71" t="str">
            <v>R20a</v>
          </cell>
          <cell r="J71">
            <v>24</v>
          </cell>
        </row>
        <row r="72">
          <cell r="D72" t="str">
            <v>R21a</v>
          </cell>
          <cell r="J72"/>
        </row>
        <row r="73">
          <cell r="D73" t="str">
            <v>R23a</v>
          </cell>
          <cell r="J73">
            <v>10</v>
          </cell>
        </row>
        <row r="74">
          <cell r="D74" t="str">
            <v>N58a</v>
          </cell>
          <cell r="J74"/>
        </row>
        <row r="75">
          <cell r="D75" t="str">
            <v>N59a</v>
          </cell>
          <cell r="J75"/>
        </row>
        <row r="76">
          <cell r="D76" t="str">
            <v>O43a</v>
          </cell>
          <cell r="J76"/>
        </row>
        <row r="77">
          <cell r="D77" t="str">
            <v>P24a</v>
          </cell>
          <cell r="J77"/>
        </row>
        <row r="78">
          <cell r="D78" t="str">
            <v>P25a</v>
          </cell>
          <cell r="J78"/>
        </row>
        <row r="79">
          <cell r="D79" t="str">
            <v>P26a</v>
          </cell>
          <cell r="J79">
            <v>6</v>
          </cell>
        </row>
        <row r="80">
          <cell r="D80" t="str">
            <v>P27a</v>
          </cell>
          <cell r="J80"/>
        </row>
        <row r="81">
          <cell r="D81" t="str">
            <v>Q16a</v>
          </cell>
          <cell r="J81"/>
        </row>
        <row r="82">
          <cell r="D82" t="str">
            <v>R22a</v>
          </cell>
          <cell r="J82"/>
        </row>
        <row r="83">
          <cell r="D83" t="str">
            <v>R24a</v>
          </cell>
          <cell r="J83"/>
        </row>
        <row r="84">
          <cell r="D84" t="str">
            <v>S26a</v>
          </cell>
          <cell r="J84">
            <v>19</v>
          </cell>
        </row>
        <row r="85">
          <cell r="D85" t="str">
            <v>S27a</v>
          </cell>
          <cell r="J85"/>
        </row>
        <row r="86">
          <cell r="D86" t="str">
            <v>S28a</v>
          </cell>
          <cell r="J86"/>
        </row>
        <row r="87">
          <cell r="D87" t="str">
            <v>S29a</v>
          </cell>
          <cell r="J87"/>
        </row>
        <row r="88">
          <cell r="D88" t="str">
            <v>S30a</v>
          </cell>
          <cell r="J88"/>
        </row>
        <row r="89">
          <cell r="D89" t="str">
            <v>S31a</v>
          </cell>
          <cell r="J89"/>
        </row>
        <row r="90">
          <cell r="D90" t="str">
            <v>T26a</v>
          </cell>
          <cell r="J90">
            <v>12</v>
          </cell>
        </row>
        <row r="91">
          <cell r="D91" t="str">
            <v>T27a</v>
          </cell>
          <cell r="J91"/>
        </row>
        <row r="92">
          <cell r="D92" t="str">
            <v>T28a</v>
          </cell>
          <cell r="J92">
            <v>15</v>
          </cell>
        </row>
        <row r="93">
          <cell r="D93" t="str">
            <v>T29a</v>
          </cell>
          <cell r="J93"/>
        </row>
        <row r="94">
          <cell r="D94" t="str">
            <v>T30a</v>
          </cell>
          <cell r="J94"/>
        </row>
        <row r="95">
          <cell r="D95" t="str">
            <v>T31a</v>
          </cell>
          <cell r="J95"/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itoring"/>
      <sheetName val="Road Map Sensus"/>
      <sheetName val="Road Map Pengendalian"/>
      <sheetName val="Summary"/>
    </sheetNames>
    <sheetDataSet>
      <sheetData sheetId="0">
        <row r="9">
          <cell r="H9">
            <v>46192</v>
          </cell>
          <cell r="I9">
            <v>406</v>
          </cell>
        </row>
        <row r="13">
          <cell r="H13">
            <v>46192</v>
          </cell>
          <cell r="I13">
            <v>410</v>
          </cell>
        </row>
        <row r="14">
          <cell r="H14">
            <v>46192</v>
          </cell>
          <cell r="I14">
            <v>477</v>
          </cell>
        </row>
        <row r="15">
          <cell r="H15">
            <v>46193</v>
          </cell>
          <cell r="I15">
            <v>457.21000000000004</v>
          </cell>
        </row>
        <row r="17">
          <cell r="H17">
            <v>46190</v>
          </cell>
          <cell r="I17">
            <v>455</v>
          </cell>
        </row>
        <row r="18">
          <cell r="H18">
            <v>46190</v>
          </cell>
          <cell r="I18">
            <v>354</v>
          </cell>
        </row>
        <row r="26">
          <cell r="H26">
            <v>46198</v>
          </cell>
          <cell r="I26">
            <v>411</v>
          </cell>
        </row>
        <row r="37">
          <cell r="H37">
            <v>46190</v>
          </cell>
          <cell r="I37">
            <v>328.37400000000002</v>
          </cell>
        </row>
        <row r="39">
          <cell r="H39">
            <v>46188</v>
          </cell>
        </row>
        <row r="69">
          <cell r="H69">
            <v>46193</v>
          </cell>
        </row>
        <row r="71">
          <cell r="H71">
            <v>46188</v>
          </cell>
        </row>
        <row r="75">
          <cell r="H75">
            <v>46191</v>
          </cell>
        </row>
        <row r="89">
          <cell r="H89">
            <v>46191</v>
          </cell>
        </row>
        <row r="93">
          <cell r="H93">
            <v>46191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ngecekan Umpan Hilang"/>
      <sheetName val="SUMMARY"/>
      <sheetName val="Summary data (2)"/>
      <sheetName val="Summary data"/>
      <sheetName val="Perhitungan Kebutuhan"/>
      <sheetName val="Data Kebutuhan Bahan"/>
      <sheetName val="Kebutuhan TK"/>
      <sheetName val="Pengendalian AFD MKSK Todate"/>
      <sheetName val="Summary data Update (2)"/>
      <sheetName val="Roadmap (3)"/>
      <sheetName val="Roadmap AFD 7 new"/>
      <sheetName val="Roadmap AFD 7 new (slide)"/>
      <sheetName val="Plan Harian"/>
      <sheetName val="Laporan Harian"/>
      <sheetName val="Summary (2)"/>
      <sheetName val="Summary (Slide)"/>
      <sheetName val="MKSK (Deteksi)"/>
      <sheetName val="Roadmap AFD 7 (HA Aplikasi)"/>
      <sheetName val="Roadmap AFD 7 (Keb.Racun)"/>
      <sheetName val="Roadmap AFD 7 (Keb.TK)"/>
      <sheetName val="Roadmap"/>
      <sheetName val="Roadmap ry 1&amp;3 (5&amp;6)"/>
    </sheetNames>
    <sheetDataSet>
      <sheetData sheetId="0"/>
      <sheetData sheetId="1"/>
      <sheetData sheetId="2"/>
      <sheetData sheetId="3">
        <row r="17">
          <cell r="P17">
            <v>11079.193499999999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sil Sensus"/>
      <sheetName val="Summary Sensus"/>
      <sheetName val="Monitoring Pengendalian"/>
      <sheetName val="Umpan Pakai"/>
      <sheetName val="Sheet2"/>
      <sheetName val="Summary Tabel"/>
      <sheetName val="Summary Tabel (2)"/>
      <sheetName val="Summary"/>
      <sheetName val="Summary Aplikasi"/>
      <sheetName val="Road Map LS 1"/>
      <sheetName val="Road Map Est.3"/>
      <sheetName val="Road Map Est.4"/>
    </sheetNames>
    <sheetDataSet>
      <sheetData sheetId="0" refreshError="1"/>
      <sheetData sheetId="1" refreshError="1"/>
      <sheetData sheetId="2">
        <row r="614">
          <cell r="H614">
            <v>10.67224583849795</v>
          </cell>
        </row>
        <row r="615">
          <cell r="H615">
            <v>13.4801434886586</v>
          </cell>
        </row>
        <row r="616">
          <cell r="H616">
            <v>12.016426641688458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T5">
            <v>4.2867701404286773</v>
          </cell>
        </row>
        <row r="6">
          <cell r="T6">
            <v>3.2400589101620034</v>
          </cell>
        </row>
        <row r="10">
          <cell r="Q10">
            <v>2.5763709974236293</v>
          </cell>
        </row>
        <row r="11">
          <cell r="Q11">
            <v>2.4732620320855618</v>
          </cell>
        </row>
        <row r="12">
          <cell r="K12">
            <v>3.6620623193061355</v>
          </cell>
        </row>
        <row r="13">
          <cell r="H13">
            <v>4.7194351542177628</v>
          </cell>
        </row>
        <row r="14">
          <cell r="Q14">
            <v>14.178049929345265</v>
          </cell>
        </row>
        <row r="15">
          <cell r="N15">
            <v>19.011785892302992</v>
          </cell>
        </row>
        <row r="16">
          <cell r="K16">
            <v>6.2240663900414939</v>
          </cell>
        </row>
        <row r="17">
          <cell r="H17">
            <v>4.3587594300083818</v>
          </cell>
        </row>
        <row r="19">
          <cell r="N19">
            <v>8.4010840108401084</v>
          </cell>
        </row>
        <row r="20">
          <cell r="N20">
            <v>5.0458715596330279</v>
          </cell>
        </row>
        <row r="21">
          <cell r="N21">
            <v>5.6420233463035023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sil Sensus"/>
      <sheetName val="Summary Sensus"/>
      <sheetName val="Monitoring Pengendalian (2)"/>
      <sheetName val="Summary Aplikasi"/>
      <sheetName val="Road Map LS 1"/>
      <sheetName val="Serangan Tikus LS1 (Case 1)"/>
      <sheetName val="PETA"/>
      <sheetName val="Road Map Est.3"/>
      <sheetName val="Road Map Est.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9">
          <cell r="F69">
            <v>44.06</v>
          </cell>
        </row>
        <row r="70">
          <cell r="F70">
            <v>24.37</v>
          </cell>
        </row>
        <row r="71">
          <cell r="F71">
            <v>45.36</v>
          </cell>
        </row>
        <row r="72">
          <cell r="F72">
            <v>22.07</v>
          </cell>
        </row>
        <row r="73">
          <cell r="F73">
            <v>23.61</v>
          </cell>
        </row>
        <row r="74">
          <cell r="F74">
            <v>46.19</v>
          </cell>
        </row>
        <row r="75">
          <cell r="F75">
            <v>46.52</v>
          </cell>
        </row>
        <row r="76">
          <cell r="F76">
            <v>46.29</v>
          </cell>
        </row>
        <row r="77">
          <cell r="F77">
            <v>35.69</v>
          </cell>
        </row>
        <row r="78">
          <cell r="F78">
            <v>45.61</v>
          </cell>
        </row>
        <row r="79">
          <cell r="F79">
            <v>46.4</v>
          </cell>
        </row>
        <row r="80">
          <cell r="F80">
            <v>47.38</v>
          </cell>
        </row>
        <row r="81">
          <cell r="F81">
            <v>29.91</v>
          </cell>
        </row>
        <row r="82">
          <cell r="F82">
            <v>25.83</v>
          </cell>
        </row>
        <row r="83">
          <cell r="F83">
            <v>37.07</v>
          </cell>
        </row>
        <row r="84">
          <cell r="F84">
            <v>25.55</v>
          </cell>
        </row>
        <row r="85">
          <cell r="F85">
            <v>23.38</v>
          </cell>
        </row>
        <row r="86">
          <cell r="F86">
            <v>27.28</v>
          </cell>
        </row>
        <row r="87">
          <cell r="F87">
            <v>38.97</v>
          </cell>
        </row>
        <row r="88">
          <cell r="F88">
            <v>42.77</v>
          </cell>
        </row>
        <row r="89">
          <cell r="F89">
            <v>46.32</v>
          </cell>
        </row>
        <row r="90">
          <cell r="F90">
            <v>43.4</v>
          </cell>
        </row>
        <row r="91">
          <cell r="F91">
            <v>22.26</v>
          </cell>
        </row>
        <row r="92">
          <cell r="F92">
            <v>31.63</v>
          </cell>
        </row>
        <row r="93">
          <cell r="F93">
            <v>24.07</v>
          </cell>
        </row>
        <row r="94">
          <cell r="F94">
            <v>22.67</v>
          </cell>
        </row>
        <row r="95">
          <cell r="F95">
            <v>25.81</v>
          </cell>
        </row>
        <row r="96">
          <cell r="F96">
            <v>40.369999999999997</v>
          </cell>
        </row>
        <row r="97">
          <cell r="F97">
            <v>24.23</v>
          </cell>
        </row>
        <row r="98">
          <cell r="F98">
            <v>27.36</v>
          </cell>
        </row>
        <row r="99">
          <cell r="F99">
            <v>26.72</v>
          </cell>
        </row>
        <row r="100">
          <cell r="F100">
            <v>24.5</v>
          </cell>
        </row>
        <row r="101">
          <cell r="F101">
            <v>25.29</v>
          </cell>
        </row>
        <row r="102">
          <cell r="F102">
            <v>29.59</v>
          </cell>
        </row>
        <row r="103">
          <cell r="F103">
            <v>49.97</v>
          </cell>
        </row>
        <row r="104">
          <cell r="F104">
            <v>25.48</v>
          </cell>
        </row>
        <row r="105">
          <cell r="F105">
            <v>22.38</v>
          </cell>
        </row>
        <row r="106">
          <cell r="F106">
            <v>24.85</v>
          </cell>
        </row>
        <row r="107">
          <cell r="F107">
            <v>40.32</v>
          </cell>
        </row>
        <row r="108">
          <cell r="F108">
            <v>22.86</v>
          </cell>
        </row>
        <row r="109">
          <cell r="F109">
            <v>25.74</v>
          </cell>
        </row>
        <row r="110">
          <cell r="F110">
            <v>26.16</v>
          </cell>
        </row>
        <row r="111">
          <cell r="F111">
            <v>24.16</v>
          </cell>
        </row>
        <row r="112">
          <cell r="F112">
            <v>23.86</v>
          </cell>
        </row>
        <row r="113">
          <cell r="F113">
            <v>28.05</v>
          </cell>
        </row>
        <row r="114">
          <cell r="F114">
            <v>22.82</v>
          </cell>
        </row>
        <row r="115">
          <cell r="F115">
            <v>29.22</v>
          </cell>
        </row>
        <row r="116">
          <cell r="F116">
            <v>24.57</v>
          </cell>
        </row>
        <row r="117">
          <cell r="F117">
            <v>22.71</v>
          </cell>
        </row>
        <row r="118">
          <cell r="F118">
            <v>24.03</v>
          </cell>
        </row>
        <row r="119">
          <cell r="F119">
            <v>43.81</v>
          </cell>
        </row>
        <row r="120">
          <cell r="F120">
            <v>23.75</v>
          </cell>
        </row>
        <row r="121">
          <cell r="F121">
            <v>31.21</v>
          </cell>
        </row>
        <row r="122">
          <cell r="F122">
            <v>24.27</v>
          </cell>
        </row>
        <row r="123">
          <cell r="F123">
            <v>24.15</v>
          </cell>
        </row>
        <row r="124">
          <cell r="F124">
            <v>24.18</v>
          </cell>
        </row>
        <row r="125">
          <cell r="F125">
            <v>27.59</v>
          </cell>
        </row>
        <row r="126">
          <cell r="F126">
            <v>24.97</v>
          </cell>
        </row>
        <row r="127">
          <cell r="F127">
            <v>29.62</v>
          </cell>
        </row>
        <row r="128">
          <cell r="F128">
            <v>24.32</v>
          </cell>
        </row>
        <row r="129">
          <cell r="F129">
            <v>23.92</v>
          </cell>
        </row>
        <row r="130">
          <cell r="F130">
            <v>23.97</v>
          </cell>
        </row>
        <row r="131">
          <cell r="F131">
            <v>29.02</v>
          </cell>
        </row>
        <row r="132">
          <cell r="F132">
            <v>45.85</v>
          </cell>
        </row>
        <row r="133">
          <cell r="F133">
            <v>26.99</v>
          </cell>
        </row>
        <row r="134">
          <cell r="F134">
            <v>24.62</v>
          </cell>
        </row>
        <row r="135">
          <cell r="F135">
            <v>24.68</v>
          </cell>
        </row>
        <row r="136">
          <cell r="F136">
            <v>46.33</v>
          </cell>
        </row>
        <row r="137">
          <cell r="F137">
            <v>33.799999999999997</v>
          </cell>
        </row>
        <row r="138">
          <cell r="F138">
            <v>27.3</v>
          </cell>
        </row>
        <row r="139">
          <cell r="F139">
            <v>46.21</v>
          </cell>
        </row>
        <row r="140">
          <cell r="F140">
            <v>26.46</v>
          </cell>
        </row>
        <row r="141">
          <cell r="F141">
            <v>25.31</v>
          </cell>
        </row>
        <row r="142">
          <cell r="F142">
            <v>25.11</v>
          </cell>
        </row>
        <row r="143">
          <cell r="F143">
            <v>47.89</v>
          </cell>
        </row>
        <row r="144">
          <cell r="F144">
            <v>32.78</v>
          </cell>
        </row>
        <row r="145">
          <cell r="F145">
            <v>24.99</v>
          </cell>
        </row>
        <row r="146">
          <cell r="F146">
            <v>46.29</v>
          </cell>
        </row>
        <row r="147">
          <cell r="F147">
            <v>25.38</v>
          </cell>
        </row>
        <row r="148">
          <cell r="F148">
            <v>25.4</v>
          </cell>
        </row>
        <row r="149">
          <cell r="F149">
            <v>24.68</v>
          </cell>
        </row>
        <row r="150">
          <cell r="F150">
            <v>47.81</v>
          </cell>
        </row>
        <row r="151">
          <cell r="F151">
            <v>30.54</v>
          </cell>
        </row>
        <row r="152">
          <cell r="F152">
            <v>38.630000000000003</v>
          </cell>
        </row>
        <row r="153">
          <cell r="F153">
            <v>26.06</v>
          </cell>
        </row>
        <row r="154">
          <cell r="F154">
            <v>25.53</v>
          </cell>
        </row>
        <row r="155">
          <cell r="F155">
            <v>25.67</v>
          </cell>
        </row>
        <row r="156">
          <cell r="F156">
            <v>25.22</v>
          </cell>
        </row>
        <row r="157">
          <cell r="F157">
            <v>25.24</v>
          </cell>
        </row>
        <row r="158">
          <cell r="F158">
            <v>45.08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rangan Tikus LS1 (Case 1)"/>
      <sheetName val="TIKUS RYN C DONE"/>
      <sheetName val="LIDI, BAHAN, TK"/>
      <sheetName val="Serangan Tikus LS1 KUN &amp; HI (2)"/>
      <sheetName val="Serangan Tikus LS1 KUN &amp; HI (3)"/>
      <sheetName val="Serangan Tikus LS1 KUN &amp; HI (4)"/>
      <sheetName val="LAPORAN"/>
      <sheetName val="Sheet1"/>
      <sheetName val="Serangan Tikus MKSK (Case 2)"/>
      <sheetName val="Desain Blok"/>
      <sheetName val="TIKUS RAYOND"/>
      <sheetName val="ROT 2"/>
      <sheetName val="ROT 3"/>
      <sheetName val="Serangan Tikus LS1 KUN &amp; HI (8)"/>
      <sheetName val="Serangan Tikus LS1 KUN &amp; HI (7)"/>
      <sheetName val="Serangan Tikus LS1 KUN &amp; HI (6)"/>
      <sheetName val="Serangan Tikus LS1 KUN &amp; HI (5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9">
          <cell r="F9">
            <v>22.51</v>
          </cell>
        </row>
        <row r="10">
          <cell r="F10">
            <v>28.33</v>
          </cell>
        </row>
        <row r="11">
          <cell r="F11">
            <v>22.91</v>
          </cell>
        </row>
        <row r="12">
          <cell r="F12">
            <v>26.71</v>
          </cell>
        </row>
        <row r="13">
          <cell r="F13">
            <v>24.5</v>
          </cell>
        </row>
        <row r="14">
          <cell r="F14">
            <v>25.23</v>
          </cell>
        </row>
        <row r="15">
          <cell r="F15">
            <v>23.06</v>
          </cell>
        </row>
        <row r="16">
          <cell r="F16">
            <v>22.9</v>
          </cell>
        </row>
        <row r="17">
          <cell r="F17">
            <v>24.48</v>
          </cell>
        </row>
        <row r="18">
          <cell r="F18">
            <v>25.13</v>
          </cell>
        </row>
        <row r="19">
          <cell r="F19">
            <v>24.63</v>
          </cell>
        </row>
        <row r="20">
          <cell r="F20">
            <v>25.6</v>
          </cell>
        </row>
        <row r="21">
          <cell r="F21">
            <v>24.33</v>
          </cell>
        </row>
        <row r="22">
          <cell r="F22">
            <v>24.58</v>
          </cell>
        </row>
        <row r="23">
          <cell r="F23">
            <v>26.81</v>
          </cell>
        </row>
        <row r="24">
          <cell r="F24">
            <v>40.9</v>
          </cell>
        </row>
        <row r="25">
          <cell r="F25">
            <v>24.69</v>
          </cell>
        </row>
        <row r="26">
          <cell r="F26">
            <v>23.9</v>
          </cell>
        </row>
        <row r="27">
          <cell r="F27">
            <v>27.24</v>
          </cell>
        </row>
        <row r="28">
          <cell r="F28">
            <v>21.12</v>
          </cell>
        </row>
        <row r="29">
          <cell r="F29">
            <v>25.66</v>
          </cell>
        </row>
        <row r="30">
          <cell r="F30">
            <v>25.62</v>
          </cell>
        </row>
        <row r="31">
          <cell r="F31">
            <v>28.55</v>
          </cell>
        </row>
        <row r="32">
          <cell r="F32">
            <v>44.83</v>
          </cell>
        </row>
        <row r="33">
          <cell r="F33">
            <v>24.85</v>
          </cell>
        </row>
        <row r="34">
          <cell r="F34">
            <v>24.32</v>
          </cell>
        </row>
        <row r="35">
          <cell r="F35">
            <v>26.27</v>
          </cell>
        </row>
        <row r="36">
          <cell r="F36">
            <v>25.38</v>
          </cell>
        </row>
        <row r="37">
          <cell r="F37">
            <v>25.26</v>
          </cell>
        </row>
        <row r="38">
          <cell r="F38">
            <v>24.8</v>
          </cell>
        </row>
        <row r="39">
          <cell r="F39">
            <v>27.11</v>
          </cell>
        </row>
        <row r="40">
          <cell r="F40">
            <v>24.67</v>
          </cell>
        </row>
        <row r="41">
          <cell r="F41">
            <v>27.96</v>
          </cell>
        </row>
        <row r="42">
          <cell r="F42">
            <v>25.14</v>
          </cell>
        </row>
        <row r="43">
          <cell r="F43">
            <v>28.08</v>
          </cell>
        </row>
        <row r="44">
          <cell r="F44">
            <v>23.3</v>
          </cell>
        </row>
        <row r="45">
          <cell r="F45">
            <v>26.35</v>
          </cell>
        </row>
        <row r="123">
          <cell r="F123">
            <v>25.02</v>
          </cell>
        </row>
        <row r="124">
          <cell r="F124">
            <v>25.01</v>
          </cell>
        </row>
        <row r="125">
          <cell r="F125">
            <v>25.35</v>
          </cell>
        </row>
        <row r="126">
          <cell r="F126">
            <v>37.630000000000003</v>
          </cell>
        </row>
        <row r="127">
          <cell r="F127">
            <v>25.63</v>
          </cell>
        </row>
        <row r="128">
          <cell r="F128">
            <v>24.32</v>
          </cell>
        </row>
        <row r="129">
          <cell r="F129">
            <v>25.17</v>
          </cell>
        </row>
        <row r="130">
          <cell r="F130">
            <v>24.89</v>
          </cell>
        </row>
        <row r="131">
          <cell r="F131">
            <v>24.1</v>
          </cell>
        </row>
        <row r="132">
          <cell r="F132">
            <v>26.5</v>
          </cell>
        </row>
        <row r="133">
          <cell r="F133">
            <v>25.32</v>
          </cell>
        </row>
        <row r="134">
          <cell r="F134">
            <v>24.57</v>
          </cell>
        </row>
        <row r="135">
          <cell r="F135">
            <v>25.09</v>
          </cell>
        </row>
        <row r="136">
          <cell r="F136">
            <v>24.32</v>
          </cell>
        </row>
        <row r="137">
          <cell r="F137">
            <v>26.12</v>
          </cell>
        </row>
        <row r="138">
          <cell r="F138">
            <v>24.85</v>
          </cell>
        </row>
        <row r="139">
          <cell r="F139">
            <v>24.8</v>
          </cell>
        </row>
        <row r="140">
          <cell r="F140">
            <v>25.47</v>
          </cell>
        </row>
        <row r="141">
          <cell r="F141">
            <v>27.81</v>
          </cell>
        </row>
        <row r="142">
          <cell r="F142">
            <v>29.78</v>
          </cell>
        </row>
        <row r="143">
          <cell r="F143">
            <v>33</v>
          </cell>
        </row>
        <row r="144">
          <cell r="F144">
            <v>31.08</v>
          </cell>
        </row>
        <row r="145">
          <cell r="F145">
            <v>35.64</v>
          </cell>
        </row>
        <row r="146">
          <cell r="F146">
            <v>33.86</v>
          </cell>
        </row>
        <row r="147">
          <cell r="F147">
            <v>34.22</v>
          </cell>
        </row>
        <row r="148">
          <cell r="F148">
            <v>32.93</v>
          </cell>
        </row>
        <row r="149">
          <cell r="F149">
            <v>32.49</v>
          </cell>
        </row>
        <row r="150">
          <cell r="F150">
            <v>36.159999999999997</v>
          </cell>
        </row>
        <row r="151">
          <cell r="F151">
            <v>31.4</v>
          </cell>
        </row>
        <row r="152">
          <cell r="F152">
            <v>34.479999999999997</v>
          </cell>
        </row>
        <row r="153">
          <cell r="F153">
            <v>33.979999999999997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ta Rayon A &amp; B"/>
      <sheetName val="Peta Rayon C &amp; D"/>
      <sheetName val="Roadmap Rayon C"/>
      <sheetName val="Roadmap Rayon D"/>
      <sheetName val="Roadmap Rayon E Zona 2"/>
      <sheetName val="Peta Rayon E Zona 2"/>
      <sheetName val="Roadmap Rayon E Zona 1"/>
      <sheetName val="Peta Rayon E Zona 1"/>
      <sheetName val="Roadmap Rayon F"/>
      <sheetName val="Peta Rayon F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E6">
            <v>26.54</v>
          </cell>
        </row>
        <row r="7">
          <cell r="E7">
            <v>23.45</v>
          </cell>
        </row>
        <row r="8">
          <cell r="E8">
            <v>23.52</v>
          </cell>
        </row>
        <row r="9">
          <cell r="E9">
            <v>22.91</v>
          </cell>
        </row>
        <row r="10">
          <cell r="E10">
            <v>24.64</v>
          </cell>
        </row>
        <row r="11">
          <cell r="E11">
            <v>22.59</v>
          </cell>
        </row>
        <row r="13">
          <cell r="E13">
            <v>24.89</v>
          </cell>
        </row>
        <row r="14">
          <cell r="E14">
            <v>48.5</v>
          </cell>
        </row>
        <row r="15">
          <cell r="E15">
            <v>26.16</v>
          </cell>
        </row>
        <row r="16">
          <cell r="E16">
            <v>44.38</v>
          </cell>
        </row>
        <row r="18">
          <cell r="E18">
            <v>24.85</v>
          </cell>
        </row>
        <row r="19">
          <cell r="E19">
            <v>27.92</v>
          </cell>
        </row>
        <row r="20">
          <cell r="E20">
            <v>27.68</v>
          </cell>
        </row>
        <row r="21">
          <cell r="E21">
            <v>22.62</v>
          </cell>
        </row>
        <row r="22">
          <cell r="E22">
            <v>26.14</v>
          </cell>
        </row>
        <row r="24">
          <cell r="E24">
            <v>21.32</v>
          </cell>
        </row>
        <row r="25">
          <cell r="E25">
            <v>25.85</v>
          </cell>
        </row>
        <row r="26">
          <cell r="E26">
            <v>26.86</v>
          </cell>
        </row>
        <row r="27">
          <cell r="E27">
            <v>22.49</v>
          </cell>
        </row>
        <row r="28">
          <cell r="E28">
            <v>26.03</v>
          </cell>
        </row>
        <row r="30">
          <cell r="E30">
            <v>21.37</v>
          </cell>
        </row>
        <row r="31">
          <cell r="E31">
            <v>28.43</v>
          </cell>
        </row>
        <row r="32">
          <cell r="E32">
            <v>25.12</v>
          </cell>
        </row>
        <row r="33">
          <cell r="E33">
            <v>44.65</v>
          </cell>
        </row>
      </sheetData>
      <sheetData sheetId="5" refreshError="1"/>
      <sheetData sheetId="6">
        <row r="6">
          <cell r="E6">
            <v>26.53</v>
          </cell>
        </row>
        <row r="7">
          <cell r="E7">
            <v>30.25</v>
          </cell>
        </row>
        <row r="8">
          <cell r="E8">
            <v>26.27</v>
          </cell>
        </row>
        <row r="9">
          <cell r="E9">
            <v>22.02</v>
          </cell>
        </row>
        <row r="10">
          <cell r="E10">
            <v>31.42</v>
          </cell>
        </row>
        <row r="11">
          <cell r="E11">
            <v>28.03</v>
          </cell>
        </row>
        <row r="12">
          <cell r="E12">
            <v>24.05</v>
          </cell>
        </row>
        <row r="13">
          <cell r="E13">
            <v>27.03</v>
          </cell>
        </row>
        <row r="14">
          <cell r="E14">
            <v>23.99</v>
          </cell>
        </row>
        <row r="15">
          <cell r="E15">
            <v>32.92</v>
          </cell>
        </row>
        <row r="16">
          <cell r="E16">
            <v>26.19</v>
          </cell>
        </row>
        <row r="17">
          <cell r="E17">
            <v>28.47</v>
          </cell>
        </row>
        <row r="18">
          <cell r="E18">
            <v>47.23</v>
          </cell>
        </row>
        <row r="19">
          <cell r="E19">
            <v>30.13</v>
          </cell>
        </row>
        <row r="20">
          <cell r="E20">
            <v>404.53000000000009</v>
          </cell>
        </row>
        <row r="21">
          <cell r="E21">
            <v>26.03</v>
          </cell>
        </row>
        <row r="22">
          <cell r="E22">
            <v>24.72</v>
          </cell>
        </row>
        <row r="23">
          <cell r="E23">
            <v>26.06</v>
          </cell>
        </row>
        <row r="24">
          <cell r="E24">
            <v>24.63</v>
          </cell>
        </row>
        <row r="25">
          <cell r="E25">
            <v>47.2</v>
          </cell>
        </row>
        <row r="26">
          <cell r="E26">
            <v>39.08</v>
          </cell>
        </row>
        <row r="27">
          <cell r="E27">
            <v>26.24</v>
          </cell>
        </row>
        <row r="28">
          <cell r="E28">
            <v>26.95</v>
          </cell>
        </row>
        <row r="29">
          <cell r="E29">
            <v>44.95</v>
          </cell>
        </row>
        <row r="30">
          <cell r="E30">
            <v>28.94</v>
          </cell>
        </row>
        <row r="31">
          <cell r="E31">
            <v>23.92</v>
          </cell>
        </row>
        <row r="32">
          <cell r="E32">
            <v>25.29</v>
          </cell>
        </row>
        <row r="33">
          <cell r="E33">
            <v>25.78</v>
          </cell>
        </row>
        <row r="34">
          <cell r="E34">
            <v>25.32</v>
          </cell>
        </row>
        <row r="35">
          <cell r="E35">
            <v>46.98</v>
          </cell>
        </row>
        <row r="37">
          <cell r="E37">
            <v>23.98</v>
          </cell>
        </row>
        <row r="38">
          <cell r="E38">
            <v>26.1</v>
          </cell>
        </row>
        <row r="39">
          <cell r="E39">
            <v>27.67</v>
          </cell>
        </row>
        <row r="40">
          <cell r="E40">
            <v>24.93</v>
          </cell>
        </row>
        <row r="41">
          <cell r="E41">
            <v>24.69</v>
          </cell>
        </row>
        <row r="42">
          <cell r="E42">
            <v>24.1</v>
          </cell>
        </row>
        <row r="43">
          <cell r="E43">
            <v>24.74</v>
          </cell>
        </row>
        <row r="44">
          <cell r="E44">
            <v>44.57</v>
          </cell>
        </row>
        <row r="45">
          <cell r="E45">
            <v>23.81</v>
          </cell>
        </row>
        <row r="46">
          <cell r="E46">
            <v>24.67</v>
          </cell>
        </row>
        <row r="48">
          <cell r="E48">
            <v>26.41</v>
          </cell>
        </row>
        <row r="49">
          <cell r="E49">
            <v>26.5</v>
          </cell>
        </row>
        <row r="50">
          <cell r="E50">
            <v>44.89</v>
          </cell>
        </row>
        <row r="51">
          <cell r="E51">
            <v>27.26</v>
          </cell>
        </row>
        <row r="52">
          <cell r="E52">
            <v>26.21</v>
          </cell>
        </row>
        <row r="53">
          <cell r="E53">
            <v>45.14</v>
          </cell>
        </row>
        <row r="54">
          <cell r="E54">
            <v>25.99</v>
          </cell>
        </row>
        <row r="55">
          <cell r="E55">
            <v>27.78</v>
          </cell>
        </row>
        <row r="56">
          <cell r="E56">
            <v>25.94</v>
          </cell>
        </row>
        <row r="57">
          <cell r="E57">
            <v>22.6</v>
          </cell>
        </row>
        <row r="58">
          <cell r="E58">
            <v>25.47</v>
          </cell>
        </row>
        <row r="59">
          <cell r="E59">
            <v>25.84</v>
          </cell>
        </row>
        <row r="61">
          <cell r="E61">
            <v>24.5</v>
          </cell>
        </row>
        <row r="62">
          <cell r="E62">
            <v>26.22</v>
          </cell>
        </row>
        <row r="63">
          <cell r="E63">
            <v>24.66</v>
          </cell>
        </row>
        <row r="64">
          <cell r="E64">
            <v>26.99</v>
          </cell>
        </row>
        <row r="65">
          <cell r="E65">
            <v>24.81</v>
          </cell>
        </row>
        <row r="66">
          <cell r="E66">
            <v>43.89</v>
          </cell>
        </row>
        <row r="67">
          <cell r="E67">
            <v>25.7</v>
          </cell>
        </row>
        <row r="68">
          <cell r="E68">
            <v>28.45</v>
          </cell>
        </row>
        <row r="69">
          <cell r="E69">
            <v>21.35</v>
          </cell>
        </row>
        <row r="70">
          <cell r="E70">
            <v>23.36</v>
          </cell>
        </row>
        <row r="71">
          <cell r="E71">
            <v>24</v>
          </cell>
        </row>
        <row r="72">
          <cell r="E72">
            <v>24.13</v>
          </cell>
        </row>
        <row r="73">
          <cell r="E73">
            <v>27.2</v>
          </cell>
        </row>
        <row r="74">
          <cell r="E74">
            <v>26.95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ad Map Est.3 (F)"/>
      <sheetName val="Monitoring Pengendalian HPT"/>
      <sheetName val="Peta Seksi Klerat"/>
      <sheetName val="Peta Renc VS Real per Rot"/>
      <sheetName val="Pusingan Klerat"/>
      <sheetName val="RKH Rot 1"/>
      <sheetName val="RKH Rot 2"/>
      <sheetName val="RKH ROTASI 1"/>
      <sheetName val="Rekap Harian"/>
      <sheetName val="Monitoring Pengendalian Rot 1"/>
      <sheetName val="Monitoring Pengendalian Rot (2"/>
      <sheetName val="Monitoring Pengendalian Rot 3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E6">
            <v>25.58</v>
          </cell>
        </row>
        <row r="7">
          <cell r="E7">
            <v>22.53</v>
          </cell>
        </row>
        <row r="8">
          <cell r="E8">
            <v>27.69</v>
          </cell>
        </row>
        <row r="9">
          <cell r="E9">
            <v>22</v>
          </cell>
        </row>
        <row r="10">
          <cell r="E10">
            <v>25.26</v>
          </cell>
        </row>
        <row r="11">
          <cell r="E11">
            <v>25.77</v>
          </cell>
        </row>
        <row r="12">
          <cell r="E12">
            <v>22.25</v>
          </cell>
        </row>
        <row r="13">
          <cell r="E13">
            <v>46.65</v>
          </cell>
        </row>
        <row r="14">
          <cell r="E14">
            <v>28.34</v>
          </cell>
        </row>
        <row r="15">
          <cell r="E15">
            <v>25.4</v>
          </cell>
        </row>
        <row r="16">
          <cell r="E16">
            <v>45.32</v>
          </cell>
        </row>
        <row r="18">
          <cell r="E18">
            <v>24.08</v>
          </cell>
        </row>
        <row r="19">
          <cell r="E19">
            <v>23.98</v>
          </cell>
        </row>
        <row r="20">
          <cell r="E20">
            <v>25.79</v>
          </cell>
        </row>
        <row r="21">
          <cell r="E21">
            <v>23.94</v>
          </cell>
        </row>
        <row r="22">
          <cell r="E22">
            <v>25.09</v>
          </cell>
        </row>
        <row r="23">
          <cell r="E23">
            <v>25.84</v>
          </cell>
        </row>
        <row r="24">
          <cell r="E24">
            <v>24.06</v>
          </cell>
        </row>
        <row r="25">
          <cell r="E25">
            <v>25.22</v>
          </cell>
        </row>
        <row r="26">
          <cell r="E26">
            <v>23.41</v>
          </cell>
        </row>
        <row r="27">
          <cell r="E27">
            <v>26.86</v>
          </cell>
        </row>
        <row r="28">
          <cell r="E28">
            <v>25.23</v>
          </cell>
        </row>
        <row r="29">
          <cell r="E29">
            <v>31.020000000000003</v>
          </cell>
        </row>
        <row r="31">
          <cell r="E31">
            <v>26.28</v>
          </cell>
        </row>
        <row r="32">
          <cell r="E32">
            <v>26.95</v>
          </cell>
        </row>
        <row r="33">
          <cell r="E33">
            <v>25.1</v>
          </cell>
        </row>
        <row r="34">
          <cell r="E34">
            <v>26.01</v>
          </cell>
        </row>
        <row r="35">
          <cell r="E35">
            <v>25.81</v>
          </cell>
        </row>
        <row r="36">
          <cell r="E36">
            <v>27.49</v>
          </cell>
        </row>
        <row r="37">
          <cell r="E37">
            <v>26.02</v>
          </cell>
        </row>
        <row r="38">
          <cell r="E38">
            <v>25.5</v>
          </cell>
        </row>
        <row r="39">
          <cell r="E39">
            <v>24.76</v>
          </cell>
        </row>
        <row r="40">
          <cell r="E40">
            <v>26.04</v>
          </cell>
        </row>
        <row r="41">
          <cell r="E41">
            <v>25.44</v>
          </cell>
        </row>
        <row r="42">
          <cell r="E42">
            <v>44.21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MAKAIAN RACUN AKTUAL"/>
      <sheetName val="PRESENTASE SERANGAN TODATE"/>
      <sheetName val="SUMMARY"/>
      <sheetName val="REKAP REALIASI"/>
      <sheetName val="ROAD MAP RYN 3"/>
      <sheetName val="ROAD MAP"/>
      <sheetName val="Summary Data"/>
      <sheetName val="SUMMARY (Tom)"/>
      <sheetName val="REKAP REAL APLIKASI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E4">
            <v>884.34</v>
          </cell>
        </row>
        <row r="12">
          <cell r="E12">
            <v>870.63999999999987</v>
          </cell>
        </row>
      </sheetData>
      <sheetData sheetId="7">
        <row r="9">
          <cell r="C9">
            <v>15.704172876304023</v>
          </cell>
          <cell r="F9">
            <v>2.2798390701832814</v>
          </cell>
        </row>
        <row r="11">
          <cell r="C11">
            <v>11.865950277752482</v>
          </cell>
          <cell r="F11">
            <v>2.4872809496890897</v>
          </cell>
        </row>
      </sheetData>
      <sheetData sheetId="8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MAKAIAN RACUN AKTUAL"/>
      <sheetName val="PRESENTASE SERANGAN TODATE"/>
      <sheetName val="SUMMARY (3)"/>
      <sheetName val="Racun Aplikasi &amp; Umpan Hilang"/>
      <sheetName val="REKAP REALIASI"/>
      <sheetName val="ROAD MAP"/>
      <sheetName val="REKAP REAL APLIKASI"/>
    </sheetNames>
    <sheetDataSet>
      <sheetData sheetId="0" refreshError="1"/>
      <sheetData sheetId="1"/>
      <sheetData sheetId="2">
        <row r="10">
          <cell r="R10">
            <v>2.9303487845971503</v>
          </cell>
        </row>
      </sheetData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ngecekan Umpan Hilang"/>
      <sheetName val="SUMMARY"/>
      <sheetName val="Summary data (2)"/>
      <sheetName val="Summary data afd 789"/>
      <sheetName val="Summary data"/>
      <sheetName val="Perhitungan Kebutuhan"/>
      <sheetName val="Data Kebutuhan Bahan"/>
      <sheetName val="Kebutuhan TK"/>
      <sheetName val="Pengendalian AFD MKSK Todate"/>
      <sheetName val="Summary data Update (2)"/>
      <sheetName val="Roadmap (3)"/>
      <sheetName val="Data Umpan hilang &amp; dimakan"/>
      <sheetName val="Data Efisiensi"/>
      <sheetName val="Data Deteksi"/>
      <sheetName val="Data Umpan Diganti"/>
      <sheetName val="Roadmap AFD 6 &amp; 7 new"/>
      <sheetName val="Roadmap AFD 6 &amp; 7 new (2)"/>
      <sheetName val="Roadmap AFD 7 new"/>
      <sheetName val="Plan"/>
      <sheetName val="Plan Harian"/>
      <sheetName val="Laporan Harian"/>
      <sheetName val="Summary (2)"/>
      <sheetName val="Summary (Slide)"/>
      <sheetName val="Roadmap AFD 7 (HA Aplikasi)"/>
      <sheetName val="Roadmap AFD 7 (Keb.Racun)"/>
      <sheetName val="Roadmap AFD 7 (Keb.TK)"/>
      <sheetName val="Roadmap"/>
      <sheetName val="Roadmap ry 1&amp;3 (5&amp;6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60">
          <cell r="E160">
            <v>689.13000000000022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S (Sensus) "/>
      <sheetName val="KALE (Sensus)"/>
      <sheetName val="USP (Deteksi) Mentah"/>
      <sheetName val="EWS USP"/>
      <sheetName val="USP (Deteksi)"/>
      <sheetName val="SMP (Sensus)"/>
      <sheetName val="SMP (Deteksi)"/>
      <sheetName val="FAPE (Deteksi)"/>
      <sheetName val="FAPE Deteksi (Mentah)"/>
      <sheetName val="MKSK (Deteksi)"/>
      <sheetName val="MKSS (Deteksi)"/>
      <sheetName val="BKP (Deteksi)"/>
      <sheetName val="PTLJ (Deteksi)"/>
      <sheetName val="Summary FR Kalbar"/>
      <sheetName val="List Rekomendasi utk Sensus"/>
      <sheetName val="Sensus &amp; Deteksi SMP 2"/>
      <sheetName val="Sensus dan Deteksi SMP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6">
          <cell r="D6">
            <v>272</v>
          </cell>
          <cell r="E6">
            <v>7925.71</v>
          </cell>
          <cell r="H6">
            <v>236</v>
          </cell>
          <cell r="L6">
            <v>28</v>
          </cell>
          <cell r="P6">
            <v>8</v>
          </cell>
        </row>
        <row r="7">
          <cell r="D7">
            <v>112</v>
          </cell>
          <cell r="E7">
            <v>3239.2199999999989</v>
          </cell>
          <cell r="H7">
            <v>92</v>
          </cell>
          <cell r="L7">
            <v>17</v>
          </cell>
          <cell r="P7">
            <v>3</v>
          </cell>
        </row>
        <row r="8">
          <cell r="X8">
            <v>294</v>
          </cell>
          <cell r="AB8">
            <v>1</v>
          </cell>
          <cell r="AF8">
            <v>112</v>
          </cell>
          <cell r="AJ8">
            <v>181</v>
          </cell>
        </row>
        <row r="9">
          <cell r="X9">
            <v>36</v>
          </cell>
          <cell r="Y9">
            <v>1116.25</v>
          </cell>
          <cell r="AB9">
            <v>4</v>
          </cell>
          <cell r="AF9">
            <v>16</v>
          </cell>
          <cell r="AJ9">
            <v>16</v>
          </cell>
          <cell r="AR9">
            <v>18</v>
          </cell>
          <cell r="AS9">
            <v>572.22</v>
          </cell>
          <cell r="AV9">
            <v>1</v>
          </cell>
          <cell r="AZ9">
            <v>13</v>
          </cell>
          <cell r="BD9">
            <v>4</v>
          </cell>
        </row>
        <row r="12">
          <cell r="D12">
            <v>185</v>
          </cell>
          <cell r="E12">
            <v>5315.4500000000007</v>
          </cell>
          <cell r="H12">
            <v>166</v>
          </cell>
          <cell r="L12">
            <v>15</v>
          </cell>
          <cell r="P12">
            <v>4</v>
          </cell>
          <cell r="X12">
            <v>113</v>
          </cell>
          <cell r="Y12">
            <v>3312.01</v>
          </cell>
          <cell r="AB12">
            <v>109</v>
          </cell>
          <cell r="AF12">
            <v>4</v>
          </cell>
          <cell r="AR12">
            <v>81</v>
          </cell>
          <cell r="AS12">
            <v>2324.4399999999996</v>
          </cell>
          <cell r="AV12">
            <v>80</v>
          </cell>
          <cell r="AZ12">
            <v>1</v>
          </cell>
        </row>
        <row r="13">
          <cell r="X13">
            <v>57</v>
          </cell>
          <cell r="Y13">
            <v>1904.8499999999997</v>
          </cell>
          <cell r="AF13">
            <v>11</v>
          </cell>
          <cell r="AJ13">
            <v>46</v>
          </cell>
          <cell r="AR13">
            <v>60</v>
          </cell>
          <cell r="AS13">
            <v>2013.78</v>
          </cell>
          <cell r="AV13">
            <v>0</v>
          </cell>
          <cell r="AZ13">
            <v>5</v>
          </cell>
          <cell r="BD13">
            <v>55</v>
          </cell>
        </row>
        <row r="14">
          <cell r="X14">
            <v>40</v>
          </cell>
          <cell r="Y14">
            <v>1235.1799999999996</v>
          </cell>
          <cell r="AB14">
            <v>38</v>
          </cell>
          <cell r="AF14">
            <v>1</v>
          </cell>
          <cell r="AJ14">
            <v>1</v>
          </cell>
          <cell r="AR14">
            <v>34</v>
          </cell>
          <cell r="AS14">
            <v>1067.5899999999999</v>
          </cell>
          <cell r="AV14">
            <v>30</v>
          </cell>
          <cell r="AZ14">
            <v>1</v>
          </cell>
          <cell r="BD14">
            <v>3</v>
          </cell>
        </row>
        <row r="15">
          <cell r="X15">
            <v>38</v>
          </cell>
          <cell r="Y15">
            <v>1245.4899999999998</v>
          </cell>
          <cell r="AB15">
            <v>14</v>
          </cell>
          <cell r="AF15">
            <v>18</v>
          </cell>
          <cell r="AJ15">
            <v>6</v>
          </cell>
          <cell r="AR15">
            <v>22</v>
          </cell>
          <cell r="AS15">
            <v>730.40000000000009</v>
          </cell>
          <cell r="AV15">
            <v>2</v>
          </cell>
          <cell r="AZ15">
            <v>9</v>
          </cell>
          <cell r="BD15">
            <v>11</v>
          </cell>
        </row>
        <row r="16">
          <cell r="X16">
            <v>38</v>
          </cell>
          <cell r="Y16">
            <v>1257.4000000000001</v>
          </cell>
          <cell r="AB16">
            <v>20</v>
          </cell>
          <cell r="AF16">
            <v>12</v>
          </cell>
          <cell r="AJ16">
            <v>6</v>
          </cell>
          <cell r="AR16">
            <v>24</v>
          </cell>
          <cell r="AS16">
            <v>820.4</v>
          </cell>
          <cell r="AV16">
            <v>2</v>
          </cell>
          <cell r="AZ16">
            <v>20</v>
          </cell>
          <cell r="BD16">
            <v>2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S (Sensus) "/>
      <sheetName val="KALE (Sensus)"/>
      <sheetName val="USP (Deteksi) Mentah"/>
      <sheetName val="EWS USP"/>
      <sheetName val="USP (Deteksi)"/>
      <sheetName val="SMP (Sensus)"/>
      <sheetName val="SMP (Deteksi)"/>
      <sheetName val="FAPE (Deteksi)"/>
      <sheetName val="FAPE Deteksi (Mentah)"/>
      <sheetName val="MKSK (Deteksi)"/>
      <sheetName val="MKSS (Deteksi)"/>
      <sheetName val="BKP (Sensus)"/>
      <sheetName val="BKP (Deteksi)"/>
      <sheetName val="PTLJ (Sensus)"/>
      <sheetName val="PTLJ (Deteksi)"/>
      <sheetName val="Summary FR Kalbar"/>
      <sheetName val="List Rekomendasi utk Sensus"/>
      <sheetName val="Summary Pengendalian 4-9 May"/>
      <sheetName val="Summary Pengendalian 11-16 May"/>
      <sheetName val="Comparison"/>
      <sheetName val="Sensus &amp; Deteksi SMP 2"/>
      <sheetName val="Sensus dan Deteksi SMP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6">
          <cell r="D6" t="str">
            <v>L09a</v>
          </cell>
        </row>
      </sheetData>
      <sheetData sheetId="13" refreshError="1"/>
      <sheetData sheetId="14">
        <row r="53">
          <cell r="N53">
            <v>46155</v>
          </cell>
        </row>
      </sheetData>
      <sheetData sheetId="15">
        <row r="8">
          <cell r="X8">
            <v>294</v>
          </cell>
          <cell r="AA8">
            <v>1.629246969998013</v>
          </cell>
          <cell r="AB8">
            <v>1</v>
          </cell>
          <cell r="AE8">
            <v>5.1282051282051277</v>
          </cell>
          <cell r="AF8">
            <v>112</v>
          </cell>
          <cell r="AI8">
            <v>2.4963730051528339</v>
          </cell>
          <cell r="AJ8">
            <v>181</v>
          </cell>
          <cell r="AM8">
            <v>1.1171437505329884</v>
          </cell>
        </row>
        <row r="9">
          <cell r="X9">
            <v>210</v>
          </cell>
          <cell r="AA9">
            <v>3.5770560377520613</v>
          </cell>
          <cell r="AB9">
            <v>18</v>
          </cell>
          <cell r="AE9">
            <v>9.4768453203836209</v>
          </cell>
          <cell r="AF9">
            <v>149</v>
          </cell>
          <cell r="AI9">
            <v>3.3000827563330248</v>
          </cell>
          <cell r="AJ9">
            <v>43</v>
          </cell>
          <cell r="AM9">
            <v>1.682829658532812</v>
          </cell>
        </row>
        <row r="12">
          <cell r="X12">
            <v>303</v>
          </cell>
          <cell r="AA12">
            <v>24.022150438394092</v>
          </cell>
          <cell r="AB12">
            <v>299</v>
          </cell>
          <cell r="AE12">
            <v>24.090984866727176</v>
          </cell>
          <cell r="AF12">
            <v>4</v>
          </cell>
          <cell r="AI12">
            <v>4.2553191489361701</v>
          </cell>
          <cell r="AJ12">
            <v>0</v>
          </cell>
          <cell r="AM12">
            <v>0</v>
          </cell>
        </row>
        <row r="13">
          <cell r="X13">
            <v>154</v>
          </cell>
          <cell r="AA13">
            <v>1.0334604517859662</v>
          </cell>
          <cell r="AB13">
            <v>0</v>
          </cell>
          <cell r="AE13">
            <v>0</v>
          </cell>
          <cell r="AF13">
            <v>22</v>
          </cell>
          <cell r="AI13">
            <v>2.6949414623370882</v>
          </cell>
          <cell r="AJ13">
            <v>132</v>
          </cell>
          <cell r="AM13">
            <v>0.78995085146335142</v>
          </cell>
        </row>
        <row r="14">
          <cell r="X14">
            <v>173</v>
          </cell>
          <cell r="AA14">
            <v>22.364808231451779</v>
          </cell>
          <cell r="AB14">
            <v>171</v>
          </cell>
          <cell r="AE14">
            <v>22.913753607235297</v>
          </cell>
          <cell r="AF14">
            <v>2</v>
          </cell>
          <cell r="AI14">
            <v>3.6511156186612577</v>
          </cell>
          <cell r="AJ14">
            <v>0</v>
          </cell>
          <cell r="AM14">
            <v>0</v>
          </cell>
        </row>
        <row r="15">
          <cell r="X15">
            <v>76</v>
          </cell>
          <cell r="AA15">
            <v>4.905328752896061</v>
          </cell>
          <cell r="AB15">
            <v>28</v>
          </cell>
          <cell r="AE15">
            <v>8.0071974808816915</v>
          </cell>
          <cell r="AF15">
            <v>40</v>
          </cell>
          <cell r="AI15">
            <v>3.512813129858912</v>
          </cell>
          <cell r="AJ15">
            <v>8</v>
          </cell>
          <cell r="AM15">
            <v>1.2444444444444445</v>
          </cell>
        </row>
        <row r="16">
          <cell r="X16">
            <v>67</v>
          </cell>
          <cell r="AA16">
            <v>4.5612547689699028</v>
          </cell>
          <cell r="AB16">
            <v>27</v>
          </cell>
          <cell r="AE16">
            <v>11.57580283793876</v>
          </cell>
          <cell r="AF16">
            <v>29</v>
          </cell>
          <cell r="AI16">
            <v>3.2290213274865454</v>
          </cell>
          <cell r="AJ16">
            <v>11</v>
          </cell>
          <cell r="AM16">
            <v>1.6097560975609757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S (Sensus) "/>
      <sheetName val="KALE (Sensus)"/>
      <sheetName val="USP (Deteksi) Mentah"/>
      <sheetName val="EWS USP"/>
      <sheetName val="USP (Sensus)"/>
      <sheetName val="USP (Deteksi)"/>
      <sheetName val="FAPE (Sensus)"/>
      <sheetName val="FAPE (Deteksi)"/>
      <sheetName val="SMP (Sensus)"/>
      <sheetName val="SMP (Deteksi)"/>
      <sheetName val="FAPE Deteksi (Mentah)"/>
      <sheetName val="MKSK (Deteksi)"/>
      <sheetName val="MKSS (Sensus)"/>
      <sheetName val="MKSS (Deteksi)"/>
      <sheetName val="BKP (Sensus)"/>
      <sheetName val="BKP (Deteksi)"/>
      <sheetName val="PTLJ (Sensus)"/>
      <sheetName val="PTLJ (Deteksi)"/>
      <sheetName val="Summary FR Kalbar"/>
      <sheetName val="PR Racun"/>
      <sheetName val="Summary Pengendalian 4-9 May"/>
      <sheetName val="List Rekomendasi utk Sensus"/>
      <sheetName val="List Rekomendasi utk Campaign"/>
      <sheetName val="Summary Pengendalian 18-30 May"/>
      <sheetName val="Comparison"/>
      <sheetName val="Sensus &amp; Deteksi SMP 2"/>
      <sheetName val="Sensus dan Deteksi SMP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D6" t="str">
            <v>A34a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7">
          <cell r="E7">
            <v>136</v>
          </cell>
          <cell r="H7">
            <v>3.1382742661510177</v>
          </cell>
        </row>
      </sheetData>
      <sheetData sheetId="24" refreshError="1"/>
      <sheetData sheetId="25" refreshError="1"/>
      <sheetData sheetId="2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 Sensus Tikus"/>
      <sheetName val="Summary Sensus Tikus"/>
      <sheetName val="perbandingan"/>
      <sheetName val="Sheet1"/>
    </sheetNames>
    <sheetDataSet>
      <sheetData sheetId="0" refreshError="1"/>
      <sheetData sheetId="1" refreshError="1"/>
      <sheetData sheetId="2">
        <row r="24">
          <cell r="E24" t="str">
            <v>A37a</v>
          </cell>
          <cell r="H24">
            <v>386.3</v>
          </cell>
          <cell r="L24">
            <v>48</v>
          </cell>
        </row>
        <row r="25">
          <cell r="E25" t="str">
            <v>A38a</v>
          </cell>
          <cell r="H25">
            <v>412.70000000000005</v>
          </cell>
          <cell r="L25">
            <v>54</v>
          </cell>
        </row>
        <row r="26">
          <cell r="E26" t="str">
            <v>A39a</v>
          </cell>
          <cell r="H26">
            <v>511.5</v>
          </cell>
          <cell r="L26">
            <v>78</v>
          </cell>
        </row>
        <row r="27">
          <cell r="E27" t="str">
            <v>A40a</v>
          </cell>
          <cell r="H27">
            <v>358.20000000000005</v>
          </cell>
          <cell r="L27">
            <v>41</v>
          </cell>
        </row>
        <row r="28">
          <cell r="E28" t="str">
            <v>A41a</v>
          </cell>
          <cell r="H28">
            <v>358</v>
          </cell>
          <cell r="L28">
            <v>39</v>
          </cell>
        </row>
        <row r="29">
          <cell r="E29" t="str">
            <v>A42a</v>
          </cell>
          <cell r="H29">
            <v>342.90000000000003</v>
          </cell>
          <cell r="L29">
            <v>51</v>
          </cell>
        </row>
        <row r="30">
          <cell r="E30" t="str">
            <v>A43a</v>
          </cell>
          <cell r="H30">
            <v>345</v>
          </cell>
          <cell r="L30">
            <v>68</v>
          </cell>
        </row>
        <row r="31">
          <cell r="E31" t="str">
            <v>A44a</v>
          </cell>
          <cell r="H31">
            <v>352.90000000000003</v>
          </cell>
          <cell r="L31">
            <v>52</v>
          </cell>
        </row>
        <row r="32">
          <cell r="E32" t="str">
            <v>A45a</v>
          </cell>
          <cell r="H32">
            <v>247.10000000000002</v>
          </cell>
          <cell r="L32">
            <v>32</v>
          </cell>
        </row>
        <row r="33">
          <cell r="E33" t="str">
            <v>A46a</v>
          </cell>
          <cell r="H33">
            <v>268.40000000000003</v>
          </cell>
          <cell r="L33">
            <v>25</v>
          </cell>
        </row>
        <row r="34">
          <cell r="E34" t="str">
            <v>B35a</v>
          </cell>
          <cell r="H34">
            <v>369.1</v>
          </cell>
          <cell r="L34">
            <v>57</v>
          </cell>
        </row>
        <row r="35">
          <cell r="E35" t="str">
            <v>B36a</v>
          </cell>
          <cell r="H35">
            <v>325.90000000000003</v>
          </cell>
          <cell r="L35">
            <v>51</v>
          </cell>
        </row>
        <row r="36">
          <cell r="E36" t="str">
            <v>B37a</v>
          </cell>
          <cell r="H36">
            <v>371.8</v>
          </cell>
          <cell r="L36">
            <v>45</v>
          </cell>
        </row>
        <row r="37">
          <cell r="E37" t="str">
            <v>B38a</v>
          </cell>
          <cell r="H37">
            <v>357</v>
          </cell>
          <cell r="L37">
            <v>56</v>
          </cell>
        </row>
        <row r="38">
          <cell r="E38" t="str">
            <v>B39a</v>
          </cell>
          <cell r="H38">
            <v>384</v>
          </cell>
          <cell r="L38">
            <v>38</v>
          </cell>
        </row>
        <row r="39">
          <cell r="E39" t="str">
            <v>B40a</v>
          </cell>
          <cell r="H39">
            <v>439.70000000000005</v>
          </cell>
          <cell r="L39">
            <v>77</v>
          </cell>
        </row>
        <row r="40">
          <cell r="E40" t="str">
            <v>B41a</v>
          </cell>
          <cell r="H40">
            <v>382.8</v>
          </cell>
          <cell r="L40">
            <v>92</v>
          </cell>
        </row>
        <row r="41">
          <cell r="E41" t="str">
            <v>B42a</v>
          </cell>
          <cell r="H41">
            <v>456.3</v>
          </cell>
          <cell r="L41">
            <v>65</v>
          </cell>
        </row>
        <row r="42">
          <cell r="E42" t="str">
            <v>B43a</v>
          </cell>
          <cell r="H42">
            <v>388.8</v>
          </cell>
          <cell r="L42">
            <v>71</v>
          </cell>
        </row>
        <row r="43">
          <cell r="E43" t="str">
            <v>B44a</v>
          </cell>
          <cell r="H43">
            <v>344.20000000000005</v>
          </cell>
          <cell r="L43">
            <v>38</v>
          </cell>
        </row>
        <row r="44">
          <cell r="E44" t="str">
            <v>B45a</v>
          </cell>
          <cell r="H44">
            <v>390</v>
          </cell>
          <cell r="L44">
            <v>34</v>
          </cell>
        </row>
        <row r="45">
          <cell r="E45" t="str">
            <v>C35a</v>
          </cell>
          <cell r="H45">
            <v>511.70000000000005</v>
          </cell>
          <cell r="L45">
            <v>32</v>
          </cell>
        </row>
        <row r="46">
          <cell r="E46" t="str">
            <v>C36a</v>
          </cell>
          <cell r="H46">
            <v>340.40000000000003</v>
          </cell>
          <cell r="L46">
            <v>65</v>
          </cell>
        </row>
        <row r="47">
          <cell r="E47" t="str">
            <v>C37a</v>
          </cell>
          <cell r="H47">
            <v>362.8</v>
          </cell>
          <cell r="L47">
            <v>47</v>
          </cell>
        </row>
        <row r="48">
          <cell r="E48" t="str">
            <v>C38a</v>
          </cell>
          <cell r="H48">
            <v>346.70000000000005</v>
          </cell>
          <cell r="L48">
            <v>64</v>
          </cell>
        </row>
        <row r="49">
          <cell r="E49" t="str">
            <v>C39a</v>
          </cell>
          <cell r="H49">
            <v>337.90000000000003</v>
          </cell>
          <cell r="L49">
            <v>78</v>
          </cell>
        </row>
        <row r="50">
          <cell r="E50" t="str">
            <v>C40a</v>
          </cell>
          <cell r="H50">
            <v>373.8</v>
          </cell>
          <cell r="L50">
            <v>34</v>
          </cell>
        </row>
        <row r="51">
          <cell r="E51" t="str">
            <v>C41a</v>
          </cell>
          <cell r="H51">
            <v>365.1</v>
          </cell>
          <cell r="L51">
            <v>41</v>
          </cell>
        </row>
        <row r="52">
          <cell r="E52" t="str">
            <v>C42a</v>
          </cell>
          <cell r="H52">
            <v>403.3</v>
          </cell>
          <cell r="L52">
            <v>67</v>
          </cell>
        </row>
        <row r="53">
          <cell r="E53" t="str">
            <v>C43a</v>
          </cell>
          <cell r="H53">
            <v>400.20000000000005</v>
          </cell>
          <cell r="L53">
            <v>82</v>
          </cell>
        </row>
        <row r="54">
          <cell r="E54" t="str">
            <v>C44a</v>
          </cell>
          <cell r="H54">
            <v>386.3</v>
          </cell>
          <cell r="L54">
            <v>57</v>
          </cell>
        </row>
        <row r="55">
          <cell r="E55" t="str">
            <v>C45a</v>
          </cell>
          <cell r="H55">
            <v>534.70000000000005</v>
          </cell>
          <cell r="L55">
            <v>33</v>
          </cell>
        </row>
        <row r="56">
          <cell r="E56" t="str">
            <v>D33a</v>
          </cell>
          <cell r="H56">
            <v>288</v>
          </cell>
          <cell r="L56">
            <v>23</v>
          </cell>
        </row>
        <row r="57">
          <cell r="E57" t="str">
            <v>D34a</v>
          </cell>
          <cell r="H57">
            <v>187</v>
          </cell>
          <cell r="L57">
            <v>77</v>
          </cell>
        </row>
        <row r="58">
          <cell r="E58" t="str">
            <v>D35a</v>
          </cell>
          <cell r="H58">
            <v>389</v>
          </cell>
          <cell r="L58">
            <v>99</v>
          </cell>
        </row>
        <row r="59">
          <cell r="E59" t="str">
            <v>D36a</v>
          </cell>
          <cell r="H59">
            <v>234</v>
          </cell>
          <cell r="L59">
            <v>129</v>
          </cell>
        </row>
        <row r="60">
          <cell r="E60" t="str">
            <v>D37a</v>
          </cell>
          <cell r="H60">
            <v>145</v>
          </cell>
          <cell r="L60">
            <v>87</v>
          </cell>
        </row>
        <row r="61">
          <cell r="E61" t="str">
            <v>D38a</v>
          </cell>
          <cell r="H61">
            <v>115</v>
          </cell>
          <cell r="L61">
            <v>65</v>
          </cell>
        </row>
        <row r="62">
          <cell r="E62" t="str">
            <v>D39a</v>
          </cell>
          <cell r="H62">
            <v>256</v>
          </cell>
          <cell r="L62">
            <v>145</v>
          </cell>
        </row>
        <row r="63">
          <cell r="E63" t="str">
            <v>D40a</v>
          </cell>
          <cell r="H63">
            <v>299</v>
          </cell>
          <cell r="L63">
            <v>24</v>
          </cell>
        </row>
        <row r="64">
          <cell r="E64" t="str">
            <v>D41a</v>
          </cell>
          <cell r="H64">
            <v>199</v>
          </cell>
          <cell r="L64">
            <v>34</v>
          </cell>
        </row>
        <row r="65">
          <cell r="E65" t="str">
            <v>E31a</v>
          </cell>
          <cell r="H65">
            <v>387</v>
          </cell>
          <cell r="L65">
            <v>47</v>
          </cell>
        </row>
        <row r="66">
          <cell r="E66" t="str">
            <v>E32a</v>
          </cell>
          <cell r="H66">
            <v>281</v>
          </cell>
          <cell r="L66">
            <v>66</v>
          </cell>
        </row>
        <row r="67">
          <cell r="E67" t="str">
            <v>E33a</v>
          </cell>
          <cell r="H67">
            <v>371</v>
          </cell>
          <cell r="L67">
            <v>17</v>
          </cell>
        </row>
        <row r="68">
          <cell r="E68" t="str">
            <v>E34a</v>
          </cell>
          <cell r="H68">
            <v>166</v>
          </cell>
          <cell r="L68">
            <v>35</v>
          </cell>
        </row>
        <row r="69">
          <cell r="E69" t="str">
            <v>E35a</v>
          </cell>
          <cell r="H69">
            <v>396</v>
          </cell>
          <cell r="L69">
            <v>23</v>
          </cell>
        </row>
        <row r="70">
          <cell r="E70" t="str">
            <v>E36a</v>
          </cell>
          <cell r="H70">
            <v>277</v>
          </cell>
          <cell r="L70">
            <v>57</v>
          </cell>
        </row>
        <row r="71">
          <cell r="E71" t="str">
            <v>E37a</v>
          </cell>
          <cell r="H71">
            <v>165</v>
          </cell>
          <cell r="L71">
            <v>37</v>
          </cell>
        </row>
        <row r="72">
          <cell r="E72" t="str">
            <v>E38a</v>
          </cell>
          <cell r="H72">
            <v>246</v>
          </cell>
          <cell r="L72">
            <v>44</v>
          </cell>
        </row>
        <row r="73">
          <cell r="E73" t="str">
            <v>E39a</v>
          </cell>
          <cell r="H73">
            <v>372</v>
          </cell>
          <cell r="L73">
            <v>67</v>
          </cell>
        </row>
        <row r="74">
          <cell r="E74" t="str">
            <v>E40a</v>
          </cell>
          <cell r="H74">
            <v>188</v>
          </cell>
          <cell r="L74">
            <v>23</v>
          </cell>
        </row>
        <row r="75">
          <cell r="E75" t="str">
            <v>E41a</v>
          </cell>
          <cell r="H75">
            <v>198</v>
          </cell>
          <cell r="L75">
            <v>77</v>
          </cell>
        </row>
        <row r="76">
          <cell r="E76" t="str">
            <v>F31a</v>
          </cell>
          <cell r="H76">
            <v>132</v>
          </cell>
          <cell r="L76">
            <v>16</v>
          </cell>
        </row>
        <row r="77">
          <cell r="E77" t="str">
            <v>F32a</v>
          </cell>
          <cell r="H77">
            <v>138</v>
          </cell>
          <cell r="L77">
            <v>31</v>
          </cell>
        </row>
        <row r="78">
          <cell r="E78" t="str">
            <v>F33a</v>
          </cell>
          <cell r="H78">
            <v>145</v>
          </cell>
          <cell r="L78">
            <v>33</v>
          </cell>
        </row>
        <row r="79">
          <cell r="E79" t="str">
            <v>F34a</v>
          </cell>
          <cell r="H79">
            <v>148</v>
          </cell>
          <cell r="L79">
            <v>45</v>
          </cell>
        </row>
        <row r="80">
          <cell r="E80" t="str">
            <v>F35a</v>
          </cell>
          <cell r="H80">
            <v>167</v>
          </cell>
          <cell r="L80">
            <v>67</v>
          </cell>
        </row>
        <row r="81">
          <cell r="E81" t="str">
            <v>F36a</v>
          </cell>
          <cell r="H81">
            <v>139</v>
          </cell>
          <cell r="L81">
            <v>55</v>
          </cell>
        </row>
        <row r="82">
          <cell r="E82" t="str">
            <v>F37a</v>
          </cell>
          <cell r="H82">
            <v>137</v>
          </cell>
          <cell r="L82">
            <v>21</v>
          </cell>
        </row>
        <row r="83">
          <cell r="E83" t="str">
            <v>F38a</v>
          </cell>
          <cell r="H83">
            <v>247</v>
          </cell>
          <cell r="L83">
            <v>52</v>
          </cell>
        </row>
        <row r="84">
          <cell r="E84" t="str">
            <v>G26a</v>
          </cell>
          <cell r="H84">
            <v>367</v>
          </cell>
          <cell r="L84">
            <v>27</v>
          </cell>
        </row>
        <row r="85">
          <cell r="E85" t="str">
            <v>G27a</v>
          </cell>
          <cell r="H85">
            <v>259</v>
          </cell>
          <cell r="L85">
            <v>18</v>
          </cell>
        </row>
        <row r="86">
          <cell r="E86" t="str">
            <v>G28a</v>
          </cell>
          <cell r="H86">
            <v>0</v>
          </cell>
          <cell r="L86">
            <v>0</v>
          </cell>
        </row>
        <row r="87">
          <cell r="E87" t="str">
            <v>G29a</v>
          </cell>
          <cell r="H87">
            <v>272</v>
          </cell>
          <cell r="L87">
            <v>25</v>
          </cell>
        </row>
        <row r="88">
          <cell r="E88" t="str">
            <v>G30a</v>
          </cell>
          <cell r="H88">
            <v>246</v>
          </cell>
          <cell r="L88">
            <v>25</v>
          </cell>
        </row>
        <row r="89">
          <cell r="E89" t="str">
            <v>G31a</v>
          </cell>
          <cell r="H89">
            <v>270</v>
          </cell>
          <cell r="L89">
            <v>15</v>
          </cell>
        </row>
        <row r="90">
          <cell r="E90" t="str">
            <v>G32a</v>
          </cell>
          <cell r="H90">
            <v>491</v>
          </cell>
          <cell r="L90">
            <v>44</v>
          </cell>
        </row>
        <row r="91">
          <cell r="E91" t="str">
            <v>G33a</v>
          </cell>
          <cell r="H91">
            <v>367</v>
          </cell>
          <cell r="L91">
            <v>22</v>
          </cell>
        </row>
        <row r="92">
          <cell r="E92" t="str">
            <v>G34a</v>
          </cell>
          <cell r="H92">
            <v>346</v>
          </cell>
          <cell r="L92">
            <v>34</v>
          </cell>
        </row>
        <row r="93">
          <cell r="E93" t="str">
            <v>G35a</v>
          </cell>
          <cell r="H93">
            <v>269</v>
          </cell>
          <cell r="L93">
            <v>22</v>
          </cell>
        </row>
        <row r="94">
          <cell r="E94" t="str">
            <v>G36a</v>
          </cell>
          <cell r="H94">
            <v>294</v>
          </cell>
          <cell r="L94">
            <v>47</v>
          </cell>
        </row>
        <row r="95">
          <cell r="E95" t="str">
            <v>G37a</v>
          </cell>
          <cell r="H95">
            <v>376</v>
          </cell>
          <cell r="L95">
            <v>33</v>
          </cell>
        </row>
        <row r="96">
          <cell r="E96" t="str">
            <v>G38a</v>
          </cell>
          <cell r="H96">
            <v>368</v>
          </cell>
          <cell r="L96">
            <v>22</v>
          </cell>
        </row>
        <row r="97">
          <cell r="E97" t="str">
            <v>H25a</v>
          </cell>
          <cell r="H97">
            <v>368</v>
          </cell>
          <cell r="L97">
            <v>33</v>
          </cell>
        </row>
        <row r="98">
          <cell r="E98" t="str">
            <v>H26a</v>
          </cell>
          <cell r="H98">
            <v>321</v>
          </cell>
          <cell r="L98">
            <v>49</v>
          </cell>
        </row>
        <row r="99">
          <cell r="E99" t="str">
            <v>H27a</v>
          </cell>
          <cell r="H99">
            <v>234</v>
          </cell>
          <cell r="L99">
            <v>28</v>
          </cell>
        </row>
        <row r="100">
          <cell r="E100" t="str">
            <v>H28a</v>
          </cell>
          <cell r="H100">
            <v>380</v>
          </cell>
          <cell r="L100">
            <v>88</v>
          </cell>
        </row>
        <row r="101">
          <cell r="E101" t="str">
            <v>H29a</v>
          </cell>
          <cell r="H101">
            <v>0</v>
          </cell>
          <cell r="L101">
            <v>0</v>
          </cell>
        </row>
        <row r="102">
          <cell r="E102" t="str">
            <v>H30a</v>
          </cell>
          <cell r="H102">
            <v>0</v>
          </cell>
          <cell r="L102">
            <v>0</v>
          </cell>
        </row>
        <row r="103">
          <cell r="E103" t="str">
            <v>H31a</v>
          </cell>
          <cell r="H103">
            <v>272</v>
          </cell>
          <cell r="L103">
            <v>41</v>
          </cell>
        </row>
        <row r="104">
          <cell r="E104" t="str">
            <v>H32a</v>
          </cell>
          <cell r="H104">
            <v>214</v>
          </cell>
          <cell r="L104">
            <v>19</v>
          </cell>
        </row>
        <row r="105">
          <cell r="E105" t="str">
            <v>H33a</v>
          </cell>
          <cell r="H105">
            <v>190</v>
          </cell>
          <cell r="L105">
            <v>18</v>
          </cell>
        </row>
        <row r="106">
          <cell r="E106" t="str">
            <v>H35a</v>
          </cell>
          <cell r="H106">
            <v>248</v>
          </cell>
          <cell r="L106">
            <v>29</v>
          </cell>
        </row>
        <row r="107">
          <cell r="E107" t="str">
            <v>H36a</v>
          </cell>
          <cell r="H107">
            <v>432</v>
          </cell>
          <cell r="L107">
            <v>43</v>
          </cell>
        </row>
        <row r="108">
          <cell r="E108" t="str">
            <v>I25a</v>
          </cell>
          <cell r="H108">
            <v>289</v>
          </cell>
          <cell r="L108">
            <v>17</v>
          </cell>
        </row>
        <row r="109">
          <cell r="E109" t="str">
            <v>I26a</v>
          </cell>
          <cell r="H109">
            <v>264</v>
          </cell>
          <cell r="L109">
            <v>11</v>
          </cell>
        </row>
        <row r="110">
          <cell r="E110" t="str">
            <v>I27a</v>
          </cell>
          <cell r="H110">
            <v>246</v>
          </cell>
          <cell r="L110">
            <v>27</v>
          </cell>
        </row>
        <row r="111">
          <cell r="E111" t="str">
            <v>I28a</v>
          </cell>
          <cell r="H111">
            <v>320</v>
          </cell>
          <cell r="L111">
            <v>27</v>
          </cell>
        </row>
        <row r="112">
          <cell r="E112" t="str">
            <v>I29a</v>
          </cell>
          <cell r="H112">
            <v>231</v>
          </cell>
          <cell r="L112">
            <v>12</v>
          </cell>
        </row>
        <row r="113">
          <cell r="E113" t="str">
            <v>I32a</v>
          </cell>
          <cell r="H113">
            <v>397</v>
          </cell>
          <cell r="L113">
            <v>45</v>
          </cell>
        </row>
        <row r="114">
          <cell r="E114" t="str">
            <v>G22a</v>
          </cell>
          <cell r="H114">
            <v>440</v>
          </cell>
          <cell r="L114">
            <v>41</v>
          </cell>
        </row>
        <row r="115">
          <cell r="E115" t="str">
            <v>G23a</v>
          </cell>
          <cell r="H115">
            <v>1004</v>
          </cell>
          <cell r="L115">
            <v>53</v>
          </cell>
        </row>
        <row r="116">
          <cell r="E116" t="str">
            <v>G24a</v>
          </cell>
          <cell r="H116">
            <v>960</v>
          </cell>
          <cell r="L116">
            <v>54</v>
          </cell>
        </row>
        <row r="117">
          <cell r="E117" t="str">
            <v>G25a</v>
          </cell>
          <cell r="H117">
            <v>1084</v>
          </cell>
          <cell r="L117">
            <v>73</v>
          </cell>
        </row>
        <row r="118">
          <cell r="E118" t="str">
            <v>H16a</v>
          </cell>
          <cell r="H118">
            <v>659</v>
          </cell>
          <cell r="L118">
            <v>52</v>
          </cell>
        </row>
        <row r="119">
          <cell r="E119" t="str">
            <v>H17a</v>
          </cell>
          <cell r="H119">
            <v>667</v>
          </cell>
          <cell r="L119">
            <v>77</v>
          </cell>
        </row>
        <row r="120">
          <cell r="E120" t="str">
            <v>H18a</v>
          </cell>
          <cell r="H120">
            <v>781</v>
          </cell>
          <cell r="L120">
            <v>106</v>
          </cell>
        </row>
        <row r="121">
          <cell r="E121" t="str">
            <v>H19a</v>
          </cell>
          <cell r="H121">
            <v>840</v>
          </cell>
          <cell r="L121">
            <v>8</v>
          </cell>
        </row>
        <row r="122">
          <cell r="E122" t="str">
            <v>H20a</v>
          </cell>
          <cell r="H122">
            <v>840</v>
          </cell>
          <cell r="L122">
            <v>31</v>
          </cell>
        </row>
        <row r="123">
          <cell r="E123" t="str">
            <v>H21a</v>
          </cell>
          <cell r="H123">
            <v>802</v>
          </cell>
          <cell r="L123">
            <v>18</v>
          </cell>
        </row>
        <row r="124">
          <cell r="E124" t="str">
            <v>H22a</v>
          </cell>
          <cell r="H124">
            <v>776</v>
          </cell>
          <cell r="L124">
            <v>40</v>
          </cell>
        </row>
        <row r="125">
          <cell r="E125" t="str">
            <v>H23a</v>
          </cell>
          <cell r="H125">
            <v>704</v>
          </cell>
          <cell r="L125">
            <v>33</v>
          </cell>
        </row>
        <row r="126">
          <cell r="E126" t="str">
            <v>H24a</v>
          </cell>
          <cell r="H126">
            <v>780</v>
          </cell>
          <cell r="L126">
            <v>12</v>
          </cell>
        </row>
        <row r="127">
          <cell r="E127" t="str">
            <v>I16a</v>
          </cell>
          <cell r="H127">
            <v>130</v>
          </cell>
          <cell r="L127">
            <v>16</v>
          </cell>
        </row>
        <row r="128">
          <cell r="E128" t="str">
            <v>I17a</v>
          </cell>
          <cell r="H128">
            <v>884</v>
          </cell>
          <cell r="L128">
            <v>80</v>
          </cell>
        </row>
        <row r="129">
          <cell r="E129" t="str">
            <v>I18a</v>
          </cell>
          <cell r="H129">
            <v>986</v>
          </cell>
          <cell r="L129">
            <v>78</v>
          </cell>
        </row>
        <row r="130">
          <cell r="E130" t="str">
            <v>I19a</v>
          </cell>
          <cell r="H130">
            <v>958</v>
          </cell>
          <cell r="L130">
            <v>28</v>
          </cell>
        </row>
        <row r="131">
          <cell r="E131" t="str">
            <v>I20a</v>
          </cell>
          <cell r="H131">
            <v>390</v>
          </cell>
          <cell r="L131">
            <v>23</v>
          </cell>
        </row>
        <row r="132">
          <cell r="E132" t="str">
            <v>I21a</v>
          </cell>
          <cell r="H132">
            <v>760</v>
          </cell>
          <cell r="L132">
            <v>25</v>
          </cell>
        </row>
        <row r="133">
          <cell r="E133" t="str">
            <v>I22a</v>
          </cell>
          <cell r="H133">
            <v>726</v>
          </cell>
          <cell r="L133">
            <v>23</v>
          </cell>
        </row>
        <row r="134">
          <cell r="E134" t="str">
            <v>I23a</v>
          </cell>
          <cell r="H134">
            <v>736</v>
          </cell>
          <cell r="L134">
            <v>26</v>
          </cell>
        </row>
        <row r="135">
          <cell r="E135" t="str">
            <v>I24a</v>
          </cell>
          <cell r="H135">
            <v>812</v>
          </cell>
          <cell r="L135">
            <v>151</v>
          </cell>
        </row>
        <row r="136">
          <cell r="E136" t="str">
            <v>J16a</v>
          </cell>
          <cell r="H136">
            <v>43</v>
          </cell>
          <cell r="L136">
            <v>10</v>
          </cell>
        </row>
        <row r="137">
          <cell r="E137" t="str">
            <v>J17a</v>
          </cell>
          <cell r="H137">
            <v>616</v>
          </cell>
          <cell r="L137">
            <v>185</v>
          </cell>
        </row>
        <row r="138">
          <cell r="E138" t="str">
            <v>J18a</v>
          </cell>
          <cell r="H138">
            <v>829</v>
          </cell>
          <cell r="L138">
            <v>289</v>
          </cell>
        </row>
        <row r="139">
          <cell r="E139" t="str">
            <v>J19a</v>
          </cell>
          <cell r="H139">
            <v>907</v>
          </cell>
          <cell r="L139">
            <v>55</v>
          </cell>
        </row>
        <row r="140">
          <cell r="E140" t="str">
            <v>J20a</v>
          </cell>
          <cell r="H140">
            <v>582</v>
          </cell>
          <cell r="L140">
            <v>22</v>
          </cell>
        </row>
        <row r="141">
          <cell r="E141" t="str">
            <v>J21a</v>
          </cell>
          <cell r="H141">
            <v>558</v>
          </cell>
          <cell r="L141">
            <v>6</v>
          </cell>
        </row>
        <row r="142">
          <cell r="E142" t="str">
            <v>J22a</v>
          </cell>
          <cell r="H142">
            <v>0</v>
          </cell>
          <cell r="L142">
            <v>0</v>
          </cell>
        </row>
        <row r="143">
          <cell r="E143" t="str">
            <v>J23a</v>
          </cell>
          <cell r="H143">
            <v>0</v>
          </cell>
          <cell r="L143">
            <v>0</v>
          </cell>
        </row>
        <row r="144">
          <cell r="E144" t="str">
            <v>J24a</v>
          </cell>
          <cell r="H144">
            <v>256</v>
          </cell>
          <cell r="L144">
            <v>7</v>
          </cell>
        </row>
        <row r="145">
          <cell r="E145" t="str">
            <v>G15a</v>
          </cell>
          <cell r="H145">
            <v>381</v>
          </cell>
          <cell r="L145">
            <v>23</v>
          </cell>
        </row>
        <row r="146">
          <cell r="E146" t="str">
            <v>G16a</v>
          </cell>
          <cell r="H146">
            <v>396</v>
          </cell>
          <cell r="L146">
            <v>30</v>
          </cell>
        </row>
        <row r="147">
          <cell r="E147" t="str">
            <v>G17a</v>
          </cell>
          <cell r="H147">
            <v>365</v>
          </cell>
          <cell r="L147">
            <v>21</v>
          </cell>
        </row>
        <row r="148">
          <cell r="E148" t="str">
            <v>G18a</v>
          </cell>
          <cell r="H148">
            <v>322</v>
          </cell>
          <cell r="L148">
            <v>24</v>
          </cell>
        </row>
        <row r="149">
          <cell r="E149" t="str">
            <v>G19a</v>
          </cell>
          <cell r="H149">
            <v>136</v>
          </cell>
          <cell r="L149">
            <v>43</v>
          </cell>
        </row>
        <row r="150">
          <cell r="E150" t="str">
            <v>G20a</v>
          </cell>
          <cell r="H150">
            <v>134</v>
          </cell>
          <cell r="L150">
            <v>24</v>
          </cell>
        </row>
        <row r="151">
          <cell r="E151" t="str">
            <v>G21a</v>
          </cell>
          <cell r="H151">
            <v>124</v>
          </cell>
          <cell r="L151">
            <v>4</v>
          </cell>
        </row>
        <row r="152">
          <cell r="E152" t="str">
            <v>H01a</v>
          </cell>
          <cell r="H152">
            <v>387</v>
          </cell>
          <cell r="L152">
            <v>31</v>
          </cell>
        </row>
        <row r="153">
          <cell r="E153" t="str">
            <v>H02a</v>
          </cell>
          <cell r="H153">
            <v>387</v>
          </cell>
          <cell r="L153">
            <v>23</v>
          </cell>
        </row>
        <row r="154">
          <cell r="E154" t="str">
            <v>H03a</v>
          </cell>
          <cell r="H154">
            <v>366</v>
          </cell>
          <cell r="L154">
            <v>24</v>
          </cell>
        </row>
        <row r="155">
          <cell r="E155" t="str">
            <v>H04A</v>
          </cell>
          <cell r="H155">
            <v>371</v>
          </cell>
          <cell r="L155">
            <v>19</v>
          </cell>
        </row>
        <row r="156">
          <cell r="E156" t="str">
            <v>H05a</v>
          </cell>
          <cell r="H156">
            <v>341</v>
          </cell>
          <cell r="L156">
            <v>31</v>
          </cell>
        </row>
        <row r="157">
          <cell r="E157" t="str">
            <v>H06a</v>
          </cell>
          <cell r="H157">
            <v>365</v>
          </cell>
          <cell r="L157">
            <v>16</v>
          </cell>
        </row>
        <row r="158">
          <cell r="E158" t="str">
            <v>H07a</v>
          </cell>
          <cell r="H158">
            <v>357</v>
          </cell>
          <cell r="L158">
            <v>27</v>
          </cell>
        </row>
        <row r="159">
          <cell r="E159" t="str">
            <v>H08A</v>
          </cell>
          <cell r="H159">
            <v>387</v>
          </cell>
          <cell r="L159">
            <v>17</v>
          </cell>
        </row>
        <row r="160">
          <cell r="E160" t="str">
            <v>H09a</v>
          </cell>
          <cell r="H160">
            <v>358</v>
          </cell>
          <cell r="L160">
            <v>17</v>
          </cell>
        </row>
        <row r="161">
          <cell r="E161" t="str">
            <v>H10a</v>
          </cell>
          <cell r="H161">
            <v>72</v>
          </cell>
          <cell r="L161">
            <v>9</v>
          </cell>
        </row>
        <row r="162">
          <cell r="E162" t="str">
            <v>H11a</v>
          </cell>
          <cell r="H162">
            <v>66</v>
          </cell>
          <cell r="L162">
            <v>3</v>
          </cell>
        </row>
        <row r="163">
          <cell r="E163" t="str">
            <v>H12a</v>
          </cell>
          <cell r="H163">
            <v>67</v>
          </cell>
          <cell r="L163">
            <v>3</v>
          </cell>
        </row>
        <row r="164">
          <cell r="E164" t="str">
            <v>H13a</v>
          </cell>
          <cell r="H164">
            <v>66</v>
          </cell>
          <cell r="L164">
            <v>15</v>
          </cell>
        </row>
        <row r="165">
          <cell r="E165" t="str">
            <v>H14a</v>
          </cell>
          <cell r="H165">
            <v>67</v>
          </cell>
          <cell r="L165">
            <v>13</v>
          </cell>
        </row>
        <row r="166">
          <cell r="E166" t="str">
            <v>H15a</v>
          </cell>
          <cell r="H166">
            <v>67</v>
          </cell>
          <cell r="L166">
            <v>13</v>
          </cell>
        </row>
        <row r="167">
          <cell r="E167" t="str">
            <v>I05A</v>
          </cell>
          <cell r="H167">
            <v>181</v>
          </cell>
          <cell r="L167">
            <v>27</v>
          </cell>
        </row>
        <row r="168">
          <cell r="E168" t="str">
            <v>I06a</v>
          </cell>
          <cell r="H168">
            <v>105</v>
          </cell>
          <cell r="L168">
            <v>10</v>
          </cell>
        </row>
        <row r="169">
          <cell r="E169" t="str">
            <v>I07a</v>
          </cell>
          <cell r="H169">
            <v>55</v>
          </cell>
          <cell r="L169">
            <v>9</v>
          </cell>
        </row>
        <row r="170">
          <cell r="E170" t="str">
            <v>I08a</v>
          </cell>
          <cell r="H170">
            <v>60</v>
          </cell>
          <cell r="L170">
            <v>8</v>
          </cell>
        </row>
        <row r="171">
          <cell r="E171" t="str">
            <v>I09a</v>
          </cell>
          <cell r="H171">
            <v>63</v>
          </cell>
          <cell r="L171">
            <v>1</v>
          </cell>
        </row>
        <row r="172">
          <cell r="E172" t="str">
            <v>I10a</v>
          </cell>
          <cell r="H172">
            <v>53</v>
          </cell>
          <cell r="L172">
            <v>3</v>
          </cell>
        </row>
        <row r="173">
          <cell r="E173" t="str">
            <v>I11a</v>
          </cell>
          <cell r="H173">
            <v>70</v>
          </cell>
          <cell r="L173">
            <v>7</v>
          </cell>
        </row>
        <row r="174">
          <cell r="E174" t="str">
            <v>I12a</v>
          </cell>
          <cell r="H174">
            <v>393</v>
          </cell>
          <cell r="L174">
            <v>25</v>
          </cell>
        </row>
        <row r="175">
          <cell r="E175" t="str">
            <v>I13a</v>
          </cell>
          <cell r="H175">
            <v>372</v>
          </cell>
          <cell r="L175">
            <v>29</v>
          </cell>
        </row>
        <row r="176">
          <cell r="E176" t="str">
            <v>I14a</v>
          </cell>
          <cell r="H176">
            <v>333</v>
          </cell>
          <cell r="L176">
            <v>42</v>
          </cell>
        </row>
        <row r="177">
          <cell r="E177" t="str">
            <v>I15a</v>
          </cell>
          <cell r="H177">
            <v>312</v>
          </cell>
          <cell r="L177">
            <v>83</v>
          </cell>
        </row>
        <row r="178">
          <cell r="E178" t="str">
            <v>J09a</v>
          </cell>
          <cell r="H178">
            <v>307</v>
          </cell>
          <cell r="L178">
            <v>50</v>
          </cell>
        </row>
        <row r="179">
          <cell r="E179" t="str">
            <v>J10a</v>
          </cell>
          <cell r="H179">
            <v>315</v>
          </cell>
          <cell r="L179">
            <v>31</v>
          </cell>
        </row>
        <row r="180">
          <cell r="E180" t="str">
            <v>J11a</v>
          </cell>
          <cell r="H180">
            <v>413</v>
          </cell>
          <cell r="L180">
            <v>167</v>
          </cell>
        </row>
        <row r="181">
          <cell r="E181" t="str">
            <v>J12a</v>
          </cell>
          <cell r="H181">
            <v>324</v>
          </cell>
          <cell r="L181">
            <v>42</v>
          </cell>
        </row>
        <row r="182">
          <cell r="E182" t="str">
            <v>J13a</v>
          </cell>
          <cell r="H182">
            <v>329</v>
          </cell>
          <cell r="L182">
            <v>83</v>
          </cell>
        </row>
        <row r="183">
          <cell r="E183" t="str">
            <v>J14a</v>
          </cell>
          <cell r="H183">
            <v>313</v>
          </cell>
          <cell r="L183">
            <v>24</v>
          </cell>
        </row>
        <row r="184">
          <cell r="E184" t="str">
            <v>J15a</v>
          </cell>
          <cell r="H184">
            <v>316</v>
          </cell>
          <cell r="L184">
            <v>80</v>
          </cell>
        </row>
        <row r="185">
          <cell r="E185" t="str">
            <v>K08a</v>
          </cell>
          <cell r="H185">
            <v>455</v>
          </cell>
          <cell r="L185">
            <v>37</v>
          </cell>
        </row>
        <row r="186">
          <cell r="E186" t="str">
            <v>K09a</v>
          </cell>
          <cell r="H186">
            <v>451</v>
          </cell>
          <cell r="L186">
            <v>25</v>
          </cell>
        </row>
        <row r="187">
          <cell r="E187" t="str">
            <v>K10a</v>
          </cell>
          <cell r="H187">
            <v>265</v>
          </cell>
          <cell r="L187">
            <v>27</v>
          </cell>
        </row>
        <row r="188">
          <cell r="E188" t="str">
            <v>K11a</v>
          </cell>
          <cell r="H188">
            <v>325</v>
          </cell>
          <cell r="L188">
            <v>39</v>
          </cell>
        </row>
        <row r="189">
          <cell r="E189" t="str">
            <v>K12a</v>
          </cell>
          <cell r="H189">
            <v>303</v>
          </cell>
          <cell r="L189">
            <v>35</v>
          </cell>
        </row>
        <row r="190">
          <cell r="E190" t="str">
            <v>K13a</v>
          </cell>
          <cell r="H190">
            <v>332</v>
          </cell>
          <cell r="L190">
            <v>55</v>
          </cell>
        </row>
        <row r="191">
          <cell r="E191" t="str">
            <v>K14a</v>
          </cell>
          <cell r="H191">
            <v>333</v>
          </cell>
          <cell r="L191">
            <v>38</v>
          </cell>
        </row>
        <row r="192">
          <cell r="E192" t="str">
            <v>K15a</v>
          </cell>
          <cell r="H192">
            <v>382</v>
          </cell>
          <cell r="L192">
            <v>30</v>
          </cell>
        </row>
        <row r="193">
          <cell r="E193" t="str">
            <v>L09a</v>
          </cell>
          <cell r="H193">
            <v>359</v>
          </cell>
          <cell r="L193">
            <v>10</v>
          </cell>
        </row>
        <row r="194">
          <cell r="E194" t="str">
            <v>L10a</v>
          </cell>
          <cell r="H194">
            <v>271</v>
          </cell>
          <cell r="L194">
            <v>25</v>
          </cell>
        </row>
        <row r="195">
          <cell r="E195" t="str">
            <v>L11a</v>
          </cell>
          <cell r="H195">
            <v>375</v>
          </cell>
          <cell r="L195">
            <v>39</v>
          </cell>
        </row>
        <row r="196">
          <cell r="E196" t="str">
            <v>L12a</v>
          </cell>
          <cell r="H196">
            <v>255</v>
          </cell>
          <cell r="L196">
            <v>100</v>
          </cell>
        </row>
        <row r="197">
          <cell r="E197" t="str">
            <v>L13a</v>
          </cell>
          <cell r="H197">
            <v>381</v>
          </cell>
          <cell r="L197">
            <v>61</v>
          </cell>
        </row>
        <row r="198">
          <cell r="E198" t="str">
            <v>L14a</v>
          </cell>
          <cell r="H198">
            <v>343</v>
          </cell>
          <cell r="L198">
            <v>140</v>
          </cell>
        </row>
        <row r="199">
          <cell r="E199" t="str">
            <v>L15a</v>
          </cell>
          <cell r="H199">
            <v>327</v>
          </cell>
          <cell r="L199">
            <v>23</v>
          </cell>
        </row>
        <row r="200">
          <cell r="E200" t="str">
            <v>M10a</v>
          </cell>
          <cell r="H200">
            <v>125</v>
          </cell>
          <cell r="L200">
            <v>8</v>
          </cell>
        </row>
        <row r="201">
          <cell r="E201" t="str">
            <v>M11a</v>
          </cell>
          <cell r="H201">
            <v>313</v>
          </cell>
          <cell r="L201">
            <v>42</v>
          </cell>
        </row>
        <row r="202">
          <cell r="E202" t="str">
            <v>M12a</v>
          </cell>
          <cell r="H202">
            <v>310</v>
          </cell>
          <cell r="L202">
            <v>27</v>
          </cell>
        </row>
        <row r="203">
          <cell r="E203" t="str">
            <v>M13a</v>
          </cell>
          <cell r="H203">
            <v>519</v>
          </cell>
          <cell r="L203">
            <v>41</v>
          </cell>
        </row>
        <row r="204">
          <cell r="E204" t="str">
            <v>M14a</v>
          </cell>
          <cell r="H204">
            <v>373</v>
          </cell>
          <cell r="L204">
            <v>39</v>
          </cell>
        </row>
        <row r="205">
          <cell r="E205" t="str">
            <v>M15a</v>
          </cell>
          <cell r="H205">
            <v>355</v>
          </cell>
          <cell r="L205">
            <v>38</v>
          </cell>
        </row>
        <row r="206">
          <cell r="E206" t="str">
            <v>M16a</v>
          </cell>
          <cell r="H206">
            <v>369</v>
          </cell>
          <cell r="L206">
            <v>41</v>
          </cell>
        </row>
        <row r="207">
          <cell r="E207" t="str">
            <v>M17a</v>
          </cell>
          <cell r="H207">
            <v>323</v>
          </cell>
          <cell r="L207">
            <v>43</v>
          </cell>
        </row>
        <row r="208">
          <cell r="E208" t="str">
            <v>M18a</v>
          </cell>
          <cell r="H208">
            <v>410</v>
          </cell>
          <cell r="L208">
            <v>176</v>
          </cell>
        </row>
        <row r="209">
          <cell r="E209" t="str">
            <v>N10a</v>
          </cell>
          <cell r="H209">
            <v>394</v>
          </cell>
          <cell r="L209">
            <v>10</v>
          </cell>
        </row>
        <row r="210">
          <cell r="E210" t="str">
            <v>N11a</v>
          </cell>
          <cell r="H210">
            <v>375</v>
          </cell>
          <cell r="L210">
            <v>23</v>
          </cell>
        </row>
        <row r="211">
          <cell r="E211" t="str">
            <v>N12a</v>
          </cell>
          <cell r="H211">
            <v>436</v>
          </cell>
          <cell r="L211">
            <v>17</v>
          </cell>
        </row>
        <row r="212">
          <cell r="E212" t="str">
            <v>N13a</v>
          </cell>
          <cell r="H212">
            <v>356</v>
          </cell>
          <cell r="L212">
            <v>38</v>
          </cell>
        </row>
        <row r="213">
          <cell r="E213" t="str">
            <v>N14a</v>
          </cell>
          <cell r="H213">
            <v>413</v>
          </cell>
          <cell r="L213">
            <v>42</v>
          </cell>
        </row>
        <row r="214">
          <cell r="E214" t="str">
            <v>N15a</v>
          </cell>
          <cell r="H214">
            <v>618</v>
          </cell>
          <cell r="L214">
            <v>56</v>
          </cell>
        </row>
        <row r="215">
          <cell r="E215" t="str">
            <v>N16a</v>
          </cell>
          <cell r="H215">
            <v>329</v>
          </cell>
          <cell r="L215">
            <v>47</v>
          </cell>
        </row>
        <row r="216">
          <cell r="E216" t="str">
            <v>N17a</v>
          </cell>
          <cell r="H216">
            <v>423</v>
          </cell>
          <cell r="L216">
            <v>56</v>
          </cell>
        </row>
        <row r="217">
          <cell r="E217" t="str">
            <v>N18a</v>
          </cell>
          <cell r="H217">
            <v>526</v>
          </cell>
          <cell r="L217">
            <v>77</v>
          </cell>
        </row>
        <row r="218">
          <cell r="E218" t="str">
            <v>O12a</v>
          </cell>
          <cell r="H218">
            <v>361</v>
          </cell>
          <cell r="L218">
            <v>46</v>
          </cell>
        </row>
        <row r="219">
          <cell r="E219" t="str">
            <v>O13a</v>
          </cell>
          <cell r="H219">
            <v>373</v>
          </cell>
          <cell r="L219">
            <v>92</v>
          </cell>
        </row>
        <row r="220">
          <cell r="E220" t="str">
            <v>O14a</v>
          </cell>
          <cell r="H220">
            <v>370</v>
          </cell>
          <cell r="L220">
            <v>53</v>
          </cell>
        </row>
        <row r="221">
          <cell r="E221" t="str">
            <v>O15a</v>
          </cell>
          <cell r="H221">
            <v>369</v>
          </cell>
          <cell r="L221">
            <v>52</v>
          </cell>
        </row>
        <row r="222">
          <cell r="E222" t="str">
            <v>O16a</v>
          </cell>
          <cell r="H222">
            <v>371</v>
          </cell>
          <cell r="L222">
            <v>39</v>
          </cell>
        </row>
        <row r="223">
          <cell r="E223" t="str">
            <v>O17a</v>
          </cell>
          <cell r="H223">
            <v>374</v>
          </cell>
          <cell r="L223">
            <v>56</v>
          </cell>
        </row>
        <row r="224">
          <cell r="E224" t="str">
            <v>O18a</v>
          </cell>
          <cell r="H224">
            <v>578</v>
          </cell>
          <cell r="L224">
            <v>86</v>
          </cell>
        </row>
        <row r="225">
          <cell r="E225" t="str">
            <v>P12a</v>
          </cell>
          <cell r="H225">
            <v>337</v>
          </cell>
          <cell r="L225">
            <v>14</v>
          </cell>
        </row>
        <row r="226">
          <cell r="E226" t="str">
            <v>P13a</v>
          </cell>
          <cell r="H226">
            <v>218</v>
          </cell>
          <cell r="L226">
            <v>31</v>
          </cell>
        </row>
        <row r="227">
          <cell r="E227" t="str">
            <v>P14a</v>
          </cell>
          <cell r="H227">
            <v>212</v>
          </cell>
          <cell r="L227">
            <v>23</v>
          </cell>
        </row>
        <row r="228">
          <cell r="E228" t="str">
            <v>P15a</v>
          </cell>
          <cell r="H228">
            <v>426</v>
          </cell>
          <cell r="L228">
            <v>71</v>
          </cell>
        </row>
        <row r="229">
          <cell r="E229" t="str">
            <v>P16a</v>
          </cell>
          <cell r="H229">
            <v>377</v>
          </cell>
          <cell r="L229">
            <v>53</v>
          </cell>
        </row>
        <row r="230">
          <cell r="E230" t="str">
            <v>Q16a</v>
          </cell>
          <cell r="H230">
            <v>402</v>
          </cell>
          <cell r="L230">
            <v>3</v>
          </cell>
        </row>
        <row r="231">
          <cell r="E231" t="str">
            <v>R12a</v>
          </cell>
          <cell r="H231">
            <v>452</v>
          </cell>
          <cell r="L231">
            <v>46</v>
          </cell>
        </row>
      </sheetData>
      <sheetData sheetId="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S 09"/>
      <sheetName val="JAN"/>
      <sheetName val="APRIL"/>
      <sheetName val="MAR"/>
      <sheetName val="APR"/>
      <sheetName val="MEI"/>
      <sheetName val="JUNI"/>
      <sheetName val="JULI"/>
      <sheetName val="AGU"/>
      <sheetName val="SEP"/>
      <sheetName val="OKT"/>
      <sheetName val="NOV"/>
      <sheetName val="DES"/>
      <sheetName val="OUT PUT PANEN"/>
      <sheetName val="Tgl 8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8">
          <cell r="E108" t="str">
            <v>C45A</v>
          </cell>
          <cell r="F108">
            <v>27</v>
          </cell>
          <cell r="G108">
            <v>5</v>
          </cell>
          <cell r="H108">
            <v>20</v>
          </cell>
        </row>
        <row r="109">
          <cell r="E109" t="str">
            <v>C44A</v>
          </cell>
          <cell r="F109">
            <v>36</v>
          </cell>
          <cell r="G109">
            <v>10</v>
          </cell>
          <cell r="H109">
            <v>13</v>
          </cell>
        </row>
        <row r="110">
          <cell r="E110" t="str">
            <v>C37A</v>
          </cell>
          <cell r="F110">
            <v>30</v>
          </cell>
          <cell r="G110">
            <v>11</v>
          </cell>
          <cell r="H110">
            <v>13</v>
          </cell>
        </row>
        <row r="111">
          <cell r="E111" t="str">
            <v>C36A</v>
          </cell>
          <cell r="F111">
            <v>28</v>
          </cell>
          <cell r="G111">
            <v>9</v>
          </cell>
          <cell r="H111">
            <v>11</v>
          </cell>
        </row>
        <row r="112">
          <cell r="E112" t="str">
            <v>C45A</v>
          </cell>
          <cell r="F112">
            <v>27</v>
          </cell>
          <cell r="G112">
            <v>4</v>
          </cell>
          <cell r="H112">
            <v>18</v>
          </cell>
        </row>
        <row r="113">
          <cell r="E113" t="str">
            <v>C43A</v>
          </cell>
          <cell r="F113">
            <v>32</v>
          </cell>
          <cell r="G113">
            <v>9</v>
          </cell>
          <cell r="H113">
            <v>11</v>
          </cell>
        </row>
        <row r="114">
          <cell r="E114" t="str">
            <v>C44A</v>
          </cell>
          <cell r="F114">
            <v>36</v>
          </cell>
          <cell r="G114">
            <v>10</v>
          </cell>
          <cell r="H114">
            <v>13</v>
          </cell>
        </row>
        <row r="115">
          <cell r="E115" t="str">
            <v>B35A</v>
          </cell>
          <cell r="F115">
            <v>24</v>
          </cell>
          <cell r="G115">
            <v>5</v>
          </cell>
          <cell r="H115">
            <v>14</v>
          </cell>
        </row>
        <row r="116">
          <cell r="E116" t="str">
            <v>B36A</v>
          </cell>
          <cell r="F116">
            <v>29</v>
          </cell>
          <cell r="G116">
            <v>10</v>
          </cell>
          <cell r="H116">
            <v>12</v>
          </cell>
        </row>
        <row r="117">
          <cell r="E117" t="str">
            <v>C35A</v>
          </cell>
          <cell r="F117">
            <v>22</v>
          </cell>
          <cell r="G117">
            <v>7</v>
          </cell>
          <cell r="H117">
            <v>9</v>
          </cell>
        </row>
        <row r="118">
          <cell r="E118" t="str">
            <v>D41A</v>
          </cell>
          <cell r="F118">
            <v>31</v>
          </cell>
          <cell r="G118">
            <v>12</v>
          </cell>
          <cell r="H118">
            <v>8</v>
          </cell>
        </row>
        <row r="119">
          <cell r="E119" t="str">
            <v>E41A</v>
          </cell>
          <cell r="F119">
            <v>30</v>
          </cell>
          <cell r="G119">
            <v>10</v>
          </cell>
          <cell r="H119">
            <v>6</v>
          </cell>
        </row>
        <row r="120">
          <cell r="E120" t="str">
            <v xml:space="preserve"> E37A</v>
          </cell>
          <cell r="F120">
            <v>32</v>
          </cell>
          <cell r="G120">
            <v>11</v>
          </cell>
          <cell r="H120">
            <v>4</v>
          </cell>
        </row>
        <row r="121">
          <cell r="E121" t="str">
            <v>D40A</v>
          </cell>
          <cell r="F121">
            <v>22</v>
          </cell>
          <cell r="G121">
            <v>9</v>
          </cell>
          <cell r="H121">
            <v>6</v>
          </cell>
        </row>
        <row r="123">
          <cell r="E123" t="str">
            <v>E37A</v>
          </cell>
          <cell r="F123">
            <v>35</v>
          </cell>
          <cell r="G123">
            <v>13</v>
          </cell>
          <cell r="H123">
            <v>2</v>
          </cell>
        </row>
        <row r="124">
          <cell r="E124" t="str">
            <v>E38A</v>
          </cell>
          <cell r="F124">
            <v>36</v>
          </cell>
          <cell r="G124">
            <v>20</v>
          </cell>
          <cell r="H124">
            <v>4</v>
          </cell>
        </row>
        <row r="125">
          <cell r="E125" t="str">
            <v>G34A</v>
          </cell>
          <cell r="F125">
            <v>29</v>
          </cell>
          <cell r="G125">
            <v>7</v>
          </cell>
          <cell r="H125">
            <v>19</v>
          </cell>
        </row>
        <row r="126">
          <cell r="E126" t="str">
            <v>G33A</v>
          </cell>
          <cell r="F126">
            <v>32</v>
          </cell>
          <cell r="G126">
            <v>6</v>
          </cell>
          <cell r="H126">
            <v>18</v>
          </cell>
        </row>
        <row r="127">
          <cell r="E127" t="str">
            <v>H25A</v>
          </cell>
          <cell r="F127">
            <v>33</v>
          </cell>
          <cell r="G127">
            <v>19</v>
          </cell>
          <cell r="H127">
            <v>11</v>
          </cell>
        </row>
        <row r="128">
          <cell r="E128" t="str">
            <v xml:space="preserve"> H25A</v>
          </cell>
          <cell r="F128">
            <v>32</v>
          </cell>
          <cell r="G128">
            <v>14</v>
          </cell>
          <cell r="H128">
            <v>9</v>
          </cell>
        </row>
        <row r="129">
          <cell r="E129" t="str">
            <v xml:space="preserve"> G34A</v>
          </cell>
          <cell r="F129">
            <v>36</v>
          </cell>
          <cell r="G129">
            <v>22</v>
          </cell>
          <cell r="H129">
            <v>12</v>
          </cell>
        </row>
        <row r="130">
          <cell r="E130" t="str">
            <v>G35A</v>
          </cell>
          <cell r="F130">
            <v>33</v>
          </cell>
          <cell r="G130">
            <v>13</v>
          </cell>
          <cell r="H130">
            <v>7</v>
          </cell>
        </row>
        <row r="131">
          <cell r="E131" t="str">
            <v>H27A</v>
          </cell>
          <cell r="F131">
            <v>62</v>
          </cell>
          <cell r="G131">
            <v>15</v>
          </cell>
          <cell r="H131">
            <v>12</v>
          </cell>
        </row>
        <row r="132">
          <cell r="E132" t="str">
            <v>H27A</v>
          </cell>
          <cell r="F132">
            <v>62</v>
          </cell>
          <cell r="G132">
            <v>13</v>
          </cell>
          <cell r="H132">
            <v>17</v>
          </cell>
        </row>
        <row r="133">
          <cell r="E133" t="str">
            <v xml:space="preserve"> VACANT A</v>
          </cell>
        </row>
        <row r="134">
          <cell r="E134" t="str">
            <v>G24A</v>
          </cell>
          <cell r="F134">
            <v>89</v>
          </cell>
          <cell r="G134">
            <v>16</v>
          </cell>
          <cell r="H134">
            <v>39</v>
          </cell>
        </row>
        <row r="135">
          <cell r="E135" t="str">
            <v>G25A</v>
          </cell>
          <cell r="F135">
            <v>97</v>
          </cell>
          <cell r="G135">
            <v>19</v>
          </cell>
          <cell r="H135">
            <v>45</v>
          </cell>
        </row>
        <row r="136">
          <cell r="E136" t="str">
            <v>I18A</v>
          </cell>
          <cell r="F136">
            <v>110</v>
          </cell>
          <cell r="G136">
            <v>19</v>
          </cell>
          <cell r="H136">
            <v>25</v>
          </cell>
        </row>
        <row r="137">
          <cell r="E137" t="str">
            <v>I17A</v>
          </cell>
          <cell r="F137">
            <v>86</v>
          </cell>
          <cell r="G137">
            <v>14</v>
          </cell>
          <cell r="H137">
            <v>19</v>
          </cell>
        </row>
        <row r="138">
          <cell r="E138" t="str">
            <v>H03A</v>
          </cell>
          <cell r="F138">
            <v>66</v>
          </cell>
          <cell r="G138">
            <v>15</v>
          </cell>
          <cell r="H138">
            <v>21</v>
          </cell>
        </row>
        <row r="139">
          <cell r="E139" t="str">
            <v>H04A</v>
          </cell>
          <cell r="F139">
            <v>63</v>
          </cell>
          <cell r="G139">
            <v>10</v>
          </cell>
          <cell r="H139">
            <v>19</v>
          </cell>
        </row>
        <row r="140">
          <cell r="E140" t="str">
            <v xml:space="preserve"> (Vacant) A</v>
          </cell>
        </row>
        <row r="141">
          <cell r="E141" t="str">
            <v>G18A</v>
          </cell>
          <cell r="F141">
            <v>69</v>
          </cell>
          <cell r="G141">
            <v>21</v>
          </cell>
          <cell r="H141">
            <v>34</v>
          </cell>
        </row>
        <row r="142">
          <cell r="E142" t="str">
            <v>G19A</v>
          </cell>
          <cell r="F142">
            <v>65</v>
          </cell>
          <cell r="G142">
            <v>16</v>
          </cell>
          <cell r="H142">
            <v>29</v>
          </cell>
        </row>
        <row r="143">
          <cell r="E143" t="str">
            <v>I05A</v>
          </cell>
          <cell r="F143">
            <v>63</v>
          </cell>
          <cell r="G143">
            <v>14</v>
          </cell>
          <cell r="H143">
            <v>21</v>
          </cell>
        </row>
        <row r="144">
          <cell r="E144" t="str">
            <v>I06A</v>
          </cell>
          <cell r="F144">
            <v>63</v>
          </cell>
          <cell r="G144">
            <v>8</v>
          </cell>
          <cell r="H144">
            <v>33</v>
          </cell>
        </row>
        <row r="145">
          <cell r="E145" t="str">
            <v>L09A</v>
          </cell>
          <cell r="F145">
            <v>32</v>
          </cell>
          <cell r="G145">
            <v>14</v>
          </cell>
          <cell r="H145">
            <v>9</v>
          </cell>
        </row>
        <row r="146">
          <cell r="E146" t="str">
            <v>I13A</v>
          </cell>
          <cell r="F146">
            <v>34</v>
          </cell>
          <cell r="G146">
            <v>14</v>
          </cell>
          <cell r="H146">
            <v>8</v>
          </cell>
        </row>
        <row r="147">
          <cell r="E147" t="str">
            <v>I12A</v>
          </cell>
          <cell r="F147">
            <v>33</v>
          </cell>
          <cell r="G147">
            <v>6</v>
          </cell>
          <cell r="H147">
            <v>9</v>
          </cell>
        </row>
        <row r="148">
          <cell r="E148" t="str">
            <v>CTA</v>
          </cell>
        </row>
        <row r="149">
          <cell r="E149" t="str">
            <v>M10A</v>
          </cell>
          <cell r="F149">
            <v>56</v>
          </cell>
          <cell r="G149">
            <v>4</v>
          </cell>
          <cell r="H149">
            <v>22</v>
          </cell>
        </row>
        <row r="150">
          <cell r="E150" t="str">
            <v>M11A</v>
          </cell>
          <cell r="F150">
            <v>64</v>
          </cell>
          <cell r="G150">
            <v>5</v>
          </cell>
          <cell r="H150">
            <v>20</v>
          </cell>
        </row>
        <row r="151">
          <cell r="E151" t="str">
            <v>N13A</v>
          </cell>
          <cell r="F151">
            <v>64</v>
          </cell>
          <cell r="G151">
            <v>9</v>
          </cell>
          <cell r="H151">
            <v>21</v>
          </cell>
        </row>
        <row r="152">
          <cell r="E152" t="str">
            <v>N12A</v>
          </cell>
          <cell r="F152">
            <v>64</v>
          </cell>
          <cell r="G152">
            <v>7</v>
          </cell>
          <cell r="H152">
            <v>18</v>
          </cell>
        </row>
        <row r="153">
          <cell r="E153" t="str">
            <v>N10A</v>
          </cell>
          <cell r="F153">
            <v>30</v>
          </cell>
          <cell r="G153">
            <v>14</v>
          </cell>
          <cell r="H153">
            <v>7</v>
          </cell>
        </row>
        <row r="154">
          <cell r="E154" t="str">
            <v>N11A</v>
          </cell>
          <cell r="F154">
            <v>36</v>
          </cell>
          <cell r="G154">
            <v>12</v>
          </cell>
          <cell r="H154">
            <v>10</v>
          </cell>
        </row>
        <row r="155">
          <cell r="E155" t="str">
            <v>N13A</v>
          </cell>
          <cell r="F155">
            <v>35</v>
          </cell>
          <cell r="G155">
            <v>6</v>
          </cell>
          <cell r="H155">
            <v>23</v>
          </cell>
        </row>
        <row r="156">
          <cell r="E156" t="str">
            <v>N12A</v>
          </cell>
          <cell r="F156">
            <v>33</v>
          </cell>
          <cell r="G156">
            <v>6</v>
          </cell>
          <cell r="H156">
            <v>18</v>
          </cell>
        </row>
      </sheetData>
      <sheetData sheetId="15">
        <row r="108">
          <cell r="E108" t="str">
            <v>A37A</v>
          </cell>
          <cell r="F108">
            <v>169</v>
          </cell>
          <cell r="G108">
            <v>11</v>
          </cell>
          <cell r="H108">
            <v>43</v>
          </cell>
        </row>
        <row r="109">
          <cell r="E109" t="str">
            <v>A38A</v>
          </cell>
          <cell r="F109">
            <v>170</v>
          </cell>
          <cell r="G109">
            <v>18</v>
          </cell>
          <cell r="H109">
            <v>46</v>
          </cell>
        </row>
        <row r="110">
          <cell r="E110" t="str">
            <v>B38A</v>
          </cell>
          <cell r="F110">
            <v>196</v>
          </cell>
          <cell r="G110">
            <v>18</v>
          </cell>
          <cell r="H110">
            <v>53</v>
          </cell>
        </row>
        <row r="111">
          <cell r="E111" t="str">
            <v>B37A</v>
          </cell>
          <cell r="F111">
            <v>182</v>
          </cell>
          <cell r="G111">
            <v>22</v>
          </cell>
          <cell r="H111">
            <v>54</v>
          </cell>
        </row>
        <row r="112">
          <cell r="E112" t="str">
            <v>F38A</v>
          </cell>
          <cell r="F112">
            <v>172</v>
          </cell>
          <cell r="G112">
            <v>23</v>
          </cell>
          <cell r="H112">
            <v>70</v>
          </cell>
        </row>
        <row r="113">
          <cell r="E113" t="str">
            <v>E41A</v>
          </cell>
          <cell r="F113">
            <v>221</v>
          </cell>
          <cell r="G113">
            <v>33</v>
          </cell>
          <cell r="H113">
            <v>99</v>
          </cell>
        </row>
        <row r="114">
          <cell r="E114" t="str">
            <v>D41A</v>
          </cell>
          <cell r="F114">
            <v>318</v>
          </cell>
          <cell r="G114">
            <v>31</v>
          </cell>
          <cell r="H114">
            <v>95</v>
          </cell>
        </row>
        <row r="115">
          <cell r="E115" t="str">
            <v>D40A</v>
          </cell>
          <cell r="F115">
            <v>704</v>
          </cell>
          <cell r="G115">
            <v>135</v>
          </cell>
          <cell r="H115">
            <v>406</v>
          </cell>
        </row>
        <row r="116">
          <cell r="E116" t="str">
            <v>E36A</v>
          </cell>
          <cell r="F116">
            <v>122</v>
          </cell>
          <cell r="G116">
            <v>27</v>
          </cell>
          <cell r="H116">
            <v>9</v>
          </cell>
        </row>
        <row r="117">
          <cell r="E117" t="str">
            <v>E38A</v>
          </cell>
          <cell r="F117">
            <v>141</v>
          </cell>
          <cell r="G117">
            <v>35</v>
          </cell>
          <cell r="H117">
            <v>12</v>
          </cell>
        </row>
        <row r="118">
          <cell r="E118" t="str">
            <v xml:space="preserve"> VACANT </v>
          </cell>
        </row>
        <row r="119">
          <cell r="E119" t="str">
            <v xml:space="preserve"> VACANT </v>
          </cell>
        </row>
        <row r="120">
          <cell r="E120" t="str">
            <v>H22A</v>
          </cell>
          <cell r="F120">
            <v>135</v>
          </cell>
          <cell r="G120">
            <v>43</v>
          </cell>
          <cell r="H120">
            <v>102</v>
          </cell>
        </row>
        <row r="121">
          <cell r="E121" t="str">
            <v>H23A</v>
          </cell>
          <cell r="F121">
            <v>215</v>
          </cell>
          <cell r="G121">
            <v>34</v>
          </cell>
          <cell r="H121">
            <v>122</v>
          </cell>
        </row>
        <row r="123">
          <cell r="E123" t="str">
            <v>G16A</v>
          </cell>
          <cell r="F123">
            <v>543</v>
          </cell>
          <cell r="G123">
            <v>59</v>
          </cell>
          <cell r="H123">
            <v>47</v>
          </cell>
        </row>
        <row r="124">
          <cell r="E124" t="str">
            <v>G17A</v>
          </cell>
          <cell r="F124">
            <v>657</v>
          </cell>
          <cell r="G124">
            <v>109</v>
          </cell>
          <cell r="H124">
            <v>89</v>
          </cell>
        </row>
        <row r="125">
          <cell r="E125" t="str">
            <v>VACANT</v>
          </cell>
        </row>
        <row r="126">
          <cell r="E126" t="str">
            <v>L09A</v>
          </cell>
          <cell r="F126">
            <v>483</v>
          </cell>
          <cell r="G126">
            <v>263</v>
          </cell>
          <cell r="H126">
            <v>180</v>
          </cell>
        </row>
        <row r="127">
          <cell r="E127" t="str">
            <v>I12A</v>
          </cell>
          <cell r="F127">
            <v>180</v>
          </cell>
          <cell r="G127">
            <v>117</v>
          </cell>
          <cell r="H127">
            <v>63</v>
          </cell>
        </row>
        <row r="128">
          <cell r="E128" t="str">
            <v>I13A</v>
          </cell>
          <cell r="F128">
            <v>200</v>
          </cell>
          <cell r="G128">
            <v>129</v>
          </cell>
          <cell r="H128">
            <v>56</v>
          </cell>
        </row>
        <row r="129">
          <cell r="E129" t="str">
            <v>L10A</v>
          </cell>
          <cell r="F129">
            <v>542</v>
          </cell>
          <cell r="G129">
            <v>138</v>
          </cell>
          <cell r="H129">
            <v>180</v>
          </cell>
        </row>
        <row r="130">
          <cell r="E130" t="str">
            <v>L11A</v>
          </cell>
          <cell r="F130">
            <v>140</v>
          </cell>
          <cell r="G130">
            <v>33</v>
          </cell>
          <cell r="H130">
            <v>41</v>
          </cell>
        </row>
        <row r="131">
          <cell r="E131" t="str">
            <v>M11A</v>
          </cell>
          <cell r="F131">
            <v>392</v>
          </cell>
          <cell r="G131">
            <v>104</v>
          </cell>
          <cell r="H131">
            <v>116</v>
          </cell>
        </row>
        <row r="132">
          <cell r="E132" t="str">
            <v>M12A</v>
          </cell>
          <cell r="F132">
            <v>379</v>
          </cell>
          <cell r="G132">
            <v>108</v>
          </cell>
          <cell r="H132">
            <v>114</v>
          </cell>
        </row>
      </sheetData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82254-9FC2-40E4-AA20-F825D027E2ED}">
  <sheetPr>
    <tabColor rgb="FF92D050"/>
  </sheetPr>
  <dimension ref="A2:M635"/>
  <sheetViews>
    <sheetView zoomScale="85" zoomScaleNormal="85" workbookViewId="0">
      <pane xSplit="1" ySplit="5" topLeftCell="B48" activePane="bottomRight" state="frozen"/>
      <selection activeCell="I17" sqref="I17"/>
      <selection pane="topRight" activeCell="I17" sqref="I17"/>
      <selection pane="bottomLeft" activeCell="I17" sqref="I17"/>
      <selection pane="bottomRight" activeCell="H3" sqref="H3:I4"/>
    </sheetView>
  </sheetViews>
  <sheetFormatPr baseColWidth="10" defaultColWidth="8.6640625" defaultRowHeight="14" outlineLevelRow="1" outlineLevelCol="1" x14ac:dyDescent="0.15"/>
  <cols>
    <col min="1" max="1" width="12.5" style="3" customWidth="1"/>
    <col min="2" max="2" width="8.6640625" style="3" customWidth="1" outlineLevel="1"/>
    <col min="3" max="3" width="16.33203125" style="3" customWidth="1"/>
    <col min="4" max="4" width="10.33203125" style="3" customWidth="1"/>
    <col min="5" max="5" width="10.6640625" style="3" customWidth="1"/>
    <col min="6" max="6" width="18.33203125" style="3" customWidth="1" outlineLevel="1"/>
    <col min="7" max="7" width="15.83203125" style="3" customWidth="1"/>
    <col min="8" max="8" width="13.5" style="2" customWidth="1"/>
    <col min="9" max="9" width="14.1640625" style="2" customWidth="1"/>
    <col min="10" max="10" width="17.1640625" style="2" customWidth="1"/>
    <col min="11" max="11" width="21.5" style="2" customWidth="1"/>
    <col min="12" max="12" width="11.1640625" style="3" customWidth="1"/>
    <col min="13" max="13" width="26.6640625" style="3" bestFit="1" customWidth="1"/>
    <col min="14" max="16384" width="8.6640625" style="3"/>
  </cols>
  <sheetData>
    <row r="2" spans="1:13" ht="16" x14ac:dyDescent="0.2">
      <c r="A2" s="1" t="s">
        <v>0</v>
      </c>
      <c r="B2" s="2"/>
      <c r="C2" s="2"/>
      <c r="D2" s="2"/>
      <c r="E2" s="2"/>
      <c r="F2" s="2"/>
      <c r="G2" s="2"/>
    </row>
    <row r="3" spans="1:13" x14ac:dyDescent="0.15">
      <c r="A3" s="276" t="s">
        <v>1</v>
      </c>
      <c r="B3" s="276" t="s">
        <v>2</v>
      </c>
      <c r="C3" s="276" t="s">
        <v>3</v>
      </c>
      <c r="D3" s="276" t="s">
        <v>4</v>
      </c>
      <c r="E3" s="276" t="s">
        <v>5</v>
      </c>
      <c r="F3" s="276" t="s">
        <v>6</v>
      </c>
      <c r="G3" s="284" t="s">
        <v>7</v>
      </c>
      <c r="H3" s="275" t="s">
        <v>8</v>
      </c>
      <c r="I3" s="275" t="s">
        <v>9</v>
      </c>
      <c r="J3" s="275" t="s">
        <v>626</v>
      </c>
      <c r="K3" s="275" t="s">
        <v>627</v>
      </c>
      <c r="L3" s="275" t="s">
        <v>10</v>
      </c>
      <c r="M3" s="276" t="s">
        <v>11</v>
      </c>
    </row>
    <row r="4" spans="1:13" x14ac:dyDescent="0.15">
      <c r="A4" s="276"/>
      <c r="B4" s="276"/>
      <c r="C4" s="276"/>
      <c r="D4" s="276"/>
      <c r="E4" s="276"/>
      <c r="F4" s="276"/>
      <c r="G4" s="284"/>
      <c r="H4" s="275"/>
      <c r="I4" s="275"/>
      <c r="J4" s="275"/>
      <c r="K4" s="275"/>
      <c r="L4" s="275"/>
      <c r="M4" s="276"/>
    </row>
    <row r="5" spans="1:13" ht="10.5" customHeight="1" x14ac:dyDescent="0.15">
      <c r="A5" s="4"/>
      <c r="B5" s="4"/>
      <c r="C5" s="4"/>
      <c r="D5" s="4"/>
      <c r="E5" s="4"/>
      <c r="F5" s="4"/>
      <c r="G5" s="5"/>
      <c r="H5" s="6"/>
      <c r="I5" s="6"/>
      <c r="J5" s="6"/>
      <c r="K5" s="6"/>
      <c r="L5" s="6"/>
      <c r="M5" s="7"/>
    </row>
    <row r="6" spans="1:13" outlineLevel="1" x14ac:dyDescent="0.15">
      <c r="A6" s="8" t="s">
        <v>13</v>
      </c>
      <c r="B6" s="8" t="s">
        <v>14</v>
      </c>
      <c r="C6" s="8" t="s">
        <v>14</v>
      </c>
      <c r="D6" s="8" t="s">
        <v>15</v>
      </c>
      <c r="E6" s="9">
        <v>29.32</v>
      </c>
      <c r="F6" s="8" t="s">
        <v>16</v>
      </c>
      <c r="G6" s="10">
        <v>3615</v>
      </c>
      <c r="H6" s="11">
        <f t="array" ref="H6">INDEX([22]Monitoring!$H$6:$H$582,MATCH(1,([22]Monitoring!$D$6:$D$582=$D6)*([22]Monitoring!$D$6:$D$582=$D6),0))</f>
        <v>46148</v>
      </c>
      <c r="I6" s="143">
        <f t="array" ref="I6">INDEX([22]Monitoring!$I$6:$I$582,MATCH(1,([22]Monitoring!$D$6:$D$582=$D6)*([22]Monitoring!$D$6:$D$582=$D6),0))</f>
        <v>312</v>
      </c>
      <c r="J6" s="9">
        <f t="array" ref="J6">IFERROR(I6/G6*100,0)</f>
        <v>8.6307053941908709</v>
      </c>
      <c r="K6" s="143">
        <f t="array" ref="K6">INDEX([22]Monitoring!$J$6:$J$582,MATCH(1,([22]Monitoring!$D$6:$D$582=$D6)*([22]Monitoring!$D$6:$D$582=$D6),0))</f>
        <v>22</v>
      </c>
      <c r="L6" s="9">
        <f t="shared" ref="L6:L18" si="0">IFERROR(K6/I6*100,0)</f>
        <v>7.0512820512820511</v>
      </c>
      <c r="M6" s="8" t="str">
        <f t="array" ref="M6">IF(L6&gt;5,"Perlu Pengendalian",IF(AND(L6&gt;=0,I6&gt;0),"Tidak Perlu Pengendalian","Belum Sensus"))</f>
        <v>Perlu Pengendalian</v>
      </c>
    </row>
    <row r="7" spans="1:13" outlineLevel="1" x14ac:dyDescent="0.15">
      <c r="A7" s="8" t="s">
        <v>13</v>
      </c>
      <c r="B7" s="8" t="s">
        <v>14</v>
      </c>
      <c r="C7" s="8" t="s">
        <v>14</v>
      </c>
      <c r="D7" s="8" t="s">
        <v>17</v>
      </c>
      <c r="E7" s="9">
        <v>22.39</v>
      </c>
      <c r="F7" s="8" t="s">
        <v>16</v>
      </c>
      <c r="G7" s="10">
        <v>3145</v>
      </c>
      <c r="H7" s="11">
        <f t="array" ref="H7">INDEX([22]Monitoring!$H$6:$H$582,MATCH(1,([22]Monitoring!$D$6:$D$582=$D7)*([22]Monitoring!$D$6:$D$582=$D7),0))</f>
        <v>46148</v>
      </c>
      <c r="I7" s="143">
        <f t="array" ref="I7">INDEX([22]Monitoring!$I$6:$I$582,MATCH(1,([22]Monitoring!$D$6:$D$582=$D7)*([22]Monitoring!$D$6:$D$582=$D7),0))</f>
        <v>321</v>
      </c>
      <c r="J7" s="9">
        <f t="array" ref="J7">IFERROR(I7/G7*100,0)</f>
        <v>10.206677265500796</v>
      </c>
      <c r="K7" s="143">
        <f t="array" ref="K7">INDEX([22]Monitoring!$J$6:$J$582,MATCH(1,([22]Monitoring!$D$6:$D$582=$D7)*([22]Monitoring!$D$6:$D$582=$D7),0))</f>
        <v>24</v>
      </c>
      <c r="L7" s="9">
        <f t="shared" si="0"/>
        <v>7.4766355140186906</v>
      </c>
      <c r="M7" s="8" t="str">
        <f t="array" ref="M7">IF(L7&gt;5,"Perlu Pengendalian",IF(AND(L7&gt;=0,I7&gt;0),"Tidak Perlu Pengendalian","Belum Sensus"))</f>
        <v>Perlu Pengendalian</v>
      </c>
    </row>
    <row r="8" spans="1:13" outlineLevel="1" x14ac:dyDescent="0.15">
      <c r="A8" s="8" t="s">
        <v>13</v>
      </c>
      <c r="B8" s="8" t="s">
        <v>14</v>
      </c>
      <c r="C8" s="8" t="s">
        <v>14</v>
      </c>
      <c r="D8" s="8" t="s">
        <v>18</v>
      </c>
      <c r="E8" s="9">
        <v>25.74</v>
      </c>
      <c r="F8" s="8" t="s">
        <v>16</v>
      </c>
      <c r="G8" s="10">
        <v>3551</v>
      </c>
      <c r="H8" s="11">
        <f t="array" ref="H8">INDEX([22]Monitoring!$H$6:$H$582,MATCH(1,([22]Monitoring!$D$6:$D$582=$D8)*([22]Monitoring!$D$6:$D$582=$D8),0))</f>
        <v>46148</v>
      </c>
      <c r="I8" s="143">
        <f t="array" ref="I8">INDEX([22]Monitoring!$I$6:$I$582,MATCH(1,([22]Monitoring!$D$6:$D$582=$D8)*([22]Monitoring!$D$6:$D$582=$D8),0))</f>
        <v>361</v>
      </c>
      <c r="J8" s="9">
        <f t="array" ref="J8">IFERROR(I8/G8*100,0)</f>
        <v>10.166150380174599</v>
      </c>
      <c r="K8" s="143">
        <f t="array" ref="K8">INDEX([22]Monitoring!$J$6:$J$582,MATCH(1,([22]Monitoring!$D$6:$D$582=$D8)*([22]Monitoring!$D$6:$D$582=$D8),0))</f>
        <v>20</v>
      </c>
      <c r="L8" s="9">
        <f t="shared" si="0"/>
        <v>5.5401662049861491</v>
      </c>
      <c r="M8" s="8" t="str">
        <f t="array" ref="M8">IF(L8&gt;5,"Perlu Pengendalian",IF(AND(L8&gt;=0,I8&gt;0),"Tidak Perlu Pengendalian","Belum Sensus"))</f>
        <v>Perlu Pengendalian</v>
      </c>
    </row>
    <row r="9" spans="1:13" outlineLevel="1" x14ac:dyDescent="0.15">
      <c r="A9" s="8" t="s">
        <v>13</v>
      </c>
      <c r="B9" s="8" t="s">
        <v>14</v>
      </c>
      <c r="C9" s="8" t="s">
        <v>14</v>
      </c>
      <c r="D9" s="8" t="s">
        <v>19</v>
      </c>
      <c r="E9" s="9">
        <v>29.3</v>
      </c>
      <c r="F9" s="8" t="s">
        <v>16</v>
      </c>
      <c r="G9" s="10">
        <v>4705</v>
      </c>
      <c r="H9" s="11">
        <f t="array" ref="H9">INDEX([22]Monitoring!$H$6:$H$582,MATCH(1,([22]Monitoring!$D$6:$D$582=$D9)*([22]Monitoring!$D$6:$D$582=$D9),0))</f>
        <v>46148</v>
      </c>
      <c r="I9" s="143">
        <f t="array" ref="I9">INDEX([22]Monitoring!$I$6:$I$582,MATCH(1,([22]Monitoring!$D$6:$D$582=$D9)*([22]Monitoring!$D$6:$D$582=$D9),0))</f>
        <v>397</v>
      </c>
      <c r="J9" s="9">
        <f t="array" ref="J9">IFERROR(I9/G9*100,0)</f>
        <v>8.4378320935175353</v>
      </c>
      <c r="K9" s="143">
        <f t="array" ref="K9">INDEX([22]Monitoring!$J$6:$J$582,MATCH(1,([22]Monitoring!$D$6:$D$582=$D9)*([22]Monitoring!$D$6:$D$582=$D9),0))</f>
        <v>30</v>
      </c>
      <c r="L9" s="9">
        <f t="shared" si="0"/>
        <v>7.5566750629722925</v>
      </c>
      <c r="M9" s="8" t="str">
        <f t="array" ref="M9">IF(L9&gt;5,"Perlu Pengendalian",IF(AND(L9&gt;=0,I9&gt;0),"Tidak Perlu Pengendalian","Belum Sensus"))</f>
        <v>Perlu Pengendalian</v>
      </c>
    </row>
    <row r="10" spans="1:13" outlineLevel="1" x14ac:dyDescent="0.15">
      <c r="A10" s="8" t="s">
        <v>13</v>
      </c>
      <c r="B10" s="8" t="s">
        <v>14</v>
      </c>
      <c r="C10" s="8" t="s">
        <v>14</v>
      </c>
      <c r="D10" s="8" t="s">
        <v>20</v>
      </c>
      <c r="E10" s="9">
        <v>31.12</v>
      </c>
      <c r="F10" s="8" t="s">
        <v>16</v>
      </c>
      <c r="G10" s="10">
        <v>4836</v>
      </c>
      <c r="H10" s="11">
        <f t="array" ref="H10">INDEX([22]Monitoring!$H$6:$H$582,MATCH(1,([22]Monitoring!$D$6:$D$582=$D10)*([22]Monitoring!$D$6:$D$582=$D10),0))</f>
        <v>46148</v>
      </c>
      <c r="I10" s="143">
        <f t="array" ref="I10">INDEX([22]Monitoring!$I$6:$I$582,MATCH(1,([22]Monitoring!$D$6:$D$582=$D10)*([22]Monitoring!$D$6:$D$582=$D10),0))</f>
        <v>380</v>
      </c>
      <c r="J10" s="9">
        <f t="array" ref="J10">IFERROR(I10/G10*100,0)</f>
        <v>7.857733664185278</v>
      </c>
      <c r="K10" s="143">
        <f t="array" ref="K10">INDEX([22]Monitoring!$J$6:$J$582,MATCH(1,([22]Monitoring!$D$6:$D$582=$D10)*([22]Monitoring!$D$6:$D$582=$D10),0))</f>
        <v>30</v>
      </c>
      <c r="L10" s="9">
        <f t="shared" si="0"/>
        <v>7.8947368421052628</v>
      </c>
      <c r="M10" s="8" t="str">
        <f t="array" ref="M10">IF(L10&gt;5,"Perlu Pengendalian",IF(AND(L10&gt;=0,I10&gt;0),"Tidak Perlu Pengendalian","Belum Sensus"))</f>
        <v>Perlu Pengendalian</v>
      </c>
    </row>
    <row r="11" spans="1:13" outlineLevel="1" x14ac:dyDescent="0.15">
      <c r="A11" s="8" t="s">
        <v>13</v>
      </c>
      <c r="B11" s="8" t="s">
        <v>14</v>
      </c>
      <c r="C11" s="8" t="s">
        <v>14</v>
      </c>
      <c r="D11" s="8" t="s">
        <v>21</v>
      </c>
      <c r="E11" s="9">
        <v>36.85</v>
      </c>
      <c r="F11" s="8" t="s">
        <v>16</v>
      </c>
      <c r="G11" s="10">
        <v>5351</v>
      </c>
      <c r="H11" s="11">
        <f t="array" ref="H11">INDEX([22]Monitoring!$H$6:$H$582,MATCH(1,([22]Monitoring!$D$6:$D$582=$D11)*([22]Monitoring!$D$6:$D$582=$D11),0))</f>
        <v>46149</v>
      </c>
      <c r="I11" s="143">
        <f t="array" ref="I11">INDEX([22]Monitoring!$I$6:$I$582,MATCH(1,([22]Monitoring!$D$6:$D$582=$D11)*([22]Monitoring!$D$6:$D$582=$D11),0))</f>
        <v>391</v>
      </c>
      <c r="J11" s="9">
        <f t="array" ref="J11">IFERROR(I11/G11*100,0)</f>
        <v>7.3070454120725099</v>
      </c>
      <c r="K11" s="143">
        <f t="array" ref="K11">INDEX([22]Monitoring!$J$6:$J$582,MATCH(1,([22]Monitoring!$D$6:$D$582=$D11)*([22]Monitoring!$D$6:$D$582=$D11),0))</f>
        <v>71</v>
      </c>
      <c r="L11" s="9">
        <f t="shared" si="0"/>
        <v>18.15856777493606</v>
      </c>
      <c r="M11" s="8" t="str">
        <f t="array" ref="M11">IF(L11&gt;5,"Perlu Pengendalian",IF(AND(L11&gt;=0,I11&gt;0),"Tidak Perlu Pengendalian","Belum Sensus"))</f>
        <v>Perlu Pengendalian</v>
      </c>
    </row>
    <row r="12" spans="1:13" outlineLevel="1" x14ac:dyDescent="0.15">
      <c r="A12" s="8" t="s">
        <v>13</v>
      </c>
      <c r="B12" s="8" t="s">
        <v>14</v>
      </c>
      <c r="C12" s="8" t="s">
        <v>14</v>
      </c>
      <c r="D12" s="8" t="s">
        <v>22</v>
      </c>
      <c r="E12" s="9">
        <v>31.93</v>
      </c>
      <c r="F12" s="8" t="s">
        <v>16</v>
      </c>
      <c r="G12" s="10">
        <v>4122</v>
      </c>
      <c r="H12" s="11">
        <f t="array" ref="H12">INDEX([22]Monitoring!$H$6:$H$582,MATCH(1,([22]Monitoring!$D$6:$D$582=$D12)*([22]Monitoring!$D$6:$D$582=$D12),0))</f>
        <v>46149</v>
      </c>
      <c r="I12" s="143">
        <f t="array" ref="I12">INDEX([22]Monitoring!$I$6:$I$582,MATCH(1,([22]Monitoring!$D$6:$D$582=$D12)*([22]Monitoring!$D$6:$D$582=$D12),0))</f>
        <v>324</v>
      </c>
      <c r="J12" s="9">
        <f t="array" ref="J12">IFERROR(I12/G12*100,0)</f>
        <v>7.860262008733625</v>
      </c>
      <c r="K12" s="143">
        <f t="array" ref="K12">INDEX([22]Monitoring!$J$6:$J$582,MATCH(1,([22]Monitoring!$D$6:$D$582=$D12)*([22]Monitoring!$D$6:$D$582=$D12),0))</f>
        <v>71</v>
      </c>
      <c r="L12" s="9">
        <f t="shared" si="0"/>
        <v>21.913580246913579</v>
      </c>
      <c r="M12" s="8" t="str">
        <f t="array" ref="M12">IF(L12&gt;5,"Perlu Pengendalian",IF(AND(L12&gt;=0,I12&gt;0),"Tidak Perlu Pengendalian","Belum Sensus"))</f>
        <v>Perlu Pengendalian</v>
      </c>
    </row>
    <row r="13" spans="1:13" outlineLevel="1" x14ac:dyDescent="0.15">
      <c r="A13" s="8" t="s">
        <v>13</v>
      </c>
      <c r="B13" s="8" t="s">
        <v>14</v>
      </c>
      <c r="C13" s="8" t="s">
        <v>14</v>
      </c>
      <c r="D13" s="8" t="s">
        <v>23</v>
      </c>
      <c r="E13" s="9">
        <v>37.130000000000003</v>
      </c>
      <c r="F13" s="8" t="s">
        <v>16</v>
      </c>
      <c r="G13" s="10">
        <v>4726</v>
      </c>
      <c r="H13" s="11">
        <f t="array" ref="H13">INDEX([22]Monitoring!$H$6:$H$582,MATCH(1,([22]Monitoring!$D$6:$D$582=$D13)*([22]Monitoring!$D$6:$D$582=$D13),0))</f>
        <v>46149</v>
      </c>
      <c r="I13" s="143">
        <f t="array" ref="I13">INDEX([22]Monitoring!$I$6:$I$582,MATCH(1,([22]Monitoring!$D$6:$D$582=$D13)*([22]Monitoring!$D$6:$D$582=$D13),0))</f>
        <v>320</v>
      </c>
      <c r="J13" s="9">
        <f t="array" ref="J13">IFERROR(I13/G13*100,0)</f>
        <v>6.7710537452391026</v>
      </c>
      <c r="K13" s="143">
        <f t="array" ref="K13">INDEX([22]Monitoring!$J$6:$J$582,MATCH(1,([22]Monitoring!$D$6:$D$582=$D13)*([22]Monitoring!$D$6:$D$582=$D13),0))</f>
        <v>51</v>
      </c>
      <c r="L13" s="9">
        <f t="shared" si="0"/>
        <v>15.937499999999998</v>
      </c>
      <c r="M13" s="8" t="str">
        <f t="array" ref="M13">IF(L13&gt;5,"Perlu Pengendalian",IF(AND(L13&gt;=0,I13&gt;0),"Tidak Perlu Pengendalian","Belum Sensus"))</f>
        <v>Perlu Pengendalian</v>
      </c>
    </row>
    <row r="14" spans="1:13" outlineLevel="1" x14ac:dyDescent="0.15">
      <c r="A14" s="8" t="s">
        <v>13</v>
      </c>
      <c r="B14" s="8" t="s">
        <v>14</v>
      </c>
      <c r="C14" s="8" t="s">
        <v>14</v>
      </c>
      <c r="D14" s="8" t="s">
        <v>24</v>
      </c>
      <c r="E14" s="9">
        <v>33.49</v>
      </c>
      <c r="F14" s="8" t="s">
        <v>16</v>
      </c>
      <c r="G14" s="10">
        <v>3913</v>
      </c>
      <c r="H14" s="11">
        <f t="array" ref="H14">INDEX([22]Monitoring!$H$6:$H$582,MATCH(1,([22]Monitoring!$D$6:$D$582=$D14)*([22]Monitoring!$D$6:$D$582=$D14),0))</f>
        <v>46149</v>
      </c>
      <c r="I14" s="143">
        <f t="array" ref="I14">INDEX([22]Monitoring!$I$6:$I$582,MATCH(1,([22]Monitoring!$D$6:$D$582=$D14)*([22]Monitoring!$D$6:$D$582=$D14),0))</f>
        <v>388</v>
      </c>
      <c r="J14" s="9">
        <f t="array" ref="J14">IFERROR(I14/G14*100,0)</f>
        <v>9.9156657296192172</v>
      </c>
      <c r="K14" s="143">
        <f t="array" ref="K14">INDEX([22]Monitoring!$J$6:$J$582,MATCH(1,([22]Monitoring!$D$6:$D$582=$D14)*([22]Monitoring!$D$6:$D$582=$D14),0))</f>
        <v>44</v>
      </c>
      <c r="L14" s="9">
        <f t="shared" si="0"/>
        <v>11.340206185567011</v>
      </c>
      <c r="M14" s="8" t="str">
        <f t="array" ref="M14">IF(L14&gt;5,"Perlu Pengendalian",IF(AND(L14&gt;=0,I14&gt;0),"Tidak Perlu Pengendalian","Belum Sensus"))</f>
        <v>Perlu Pengendalian</v>
      </c>
    </row>
    <row r="15" spans="1:13" outlineLevel="1" x14ac:dyDescent="0.15">
      <c r="A15" s="8" t="s">
        <v>13</v>
      </c>
      <c r="B15" s="8" t="s">
        <v>14</v>
      </c>
      <c r="C15" s="8" t="s">
        <v>14</v>
      </c>
      <c r="D15" s="8" t="s">
        <v>25</v>
      </c>
      <c r="E15" s="9">
        <v>29.45</v>
      </c>
      <c r="F15" s="8" t="s">
        <v>16</v>
      </c>
      <c r="G15" s="10">
        <v>3806</v>
      </c>
      <c r="H15" s="11">
        <f t="array" ref="H15">INDEX([22]Monitoring!$H$6:$H$582,MATCH(1,([22]Monitoring!$D$6:$D$582=$D15)*([22]Monitoring!$D$6:$D$582=$D15),0))</f>
        <v>46150</v>
      </c>
      <c r="I15" s="143">
        <f t="array" ref="I15">INDEX([22]Monitoring!$I$6:$I$582,MATCH(1,([22]Monitoring!$D$6:$D$582=$D15)*([22]Monitoring!$D$6:$D$582=$D15),0))</f>
        <v>322</v>
      </c>
      <c r="J15" s="9">
        <f t="array" ref="J15">IFERROR(I15/G15*100,0)</f>
        <v>8.4603258013662632</v>
      </c>
      <c r="K15" s="143">
        <f t="array" ref="K15">INDEX([22]Monitoring!$J$6:$J$582,MATCH(1,([22]Monitoring!$D$6:$D$582=$D15)*([22]Monitoring!$D$6:$D$582=$D15),0))</f>
        <v>60</v>
      </c>
      <c r="L15" s="9">
        <f t="shared" si="0"/>
        <v>18.633540372670808</v>
      </c>
      <c r="M15" s="8" t="str">
        <f t="array" ref="M15">IF(L15&gt;5,"Perlu Pengendalian",IF(AND(L15&gt;=0,I15&gt;0),"Tidak Perlu Pengendalian","Belum Sensus"))</f>
        <v>Perlu Pengendalian</v>
      </c>
    </row>
    <row r="16" spans="1:13" outlineLevel="1" x14ac:dyDescent="0.15">
      <c r="A16" s="8" t="s">
        <v>13</v>
      </c>
      <c r="B16" s="8" t="s">
        <v>14</v>
      </c>
      <c r="C16" s="8" t="s">
        <v>14</v>
      </c>
      <c r="D16" s="8" t="s">
        <v>26</v>
      </c>
      <c r="E16" s="9">
        <v>24.51</v>
      </c>
      <c r="F16" s="8" t="s">
        <v>16</v>
      </c>
      <c r="G16" s="10">
        <v>3672</v>
      </c>
      <c r="H16" s="11">
        <f t="array" ref="H16">INDEX([22]Monitoring!$H$6:$H$582,MATCH(1,([22]Monitoring!$D$6:$D$582=$D16)*([22]Monitoring!$D$6:$D$582=$D16),0))</f>
        <v>46150</v>
      </c>
      <c r="I16" s="143">
        <f t="array" ref="I16">INDEX([22]Monitoring!$I$6:$I$582,MATCH(1,([22]Monitoring!$D$6:$D$582=$D16)*([22]Monitoring!$D$6:$D$582=$D16),0))</f>
        <v>386</v>
      </c>
      <c r="J16" s="9">
        <f t="array" ref="J16">IFERROR(I16/G16*100,0)</f>
        <v>10.511982570806101</v>
      </c>
      <c r="K16" s="143">
        <f t="array" ref="K16">INDEX([22]Monitoring!$J$6:$J$582,MATCH(1,([22]Monitoring!$D$6:$D$582=$D16)*([22]Monitoring!$D$6:$D$582=$D16),0))</f>
        <v>37</v>
      </c>
      <c r="L16" s="9">
        <f t="shared" si="0"/>
        <v>9.5854922279792731</v>
      </c>
      <c r="M16" s="8" t="str">
        <f t="array" ref="M16">IF(L16&gt;5,"Perlu Pengendalian",IF(AND(L16&gt;=0,I16&gt;0),"Tidak Perlu Pengendalian","Belum Sensus"))</f>
        <v>Perlu Pengendalian</v>
      </c>
    </row>
    <row r="17" spans="1:13" outlineLevel="1" x14ac:dyDescent="0.15">
      <c r="A17" s="8" t="s">
        <v>13</v>
      </c>
      <c r="B17" s="8" t="s">
        <v>14</v>
      </c>
      <c r="C17" s="8" t="s">
        <v>14</v>
      </c>
      <c r="D17" s="8" t="s">
        <v>27</v>
      </c>
      <c r="E17" s="9">
        <v>24.21</v>
      </c>
      <c r="F17" s="8" t="s">
        <v>16</v>
      </c>
      <c r="G17" s="10">
        <v>3591</v>
      </c>
      <c r="H17" s="11">
        <f t="array" ref="H17">INDEX([22]Monitoring!$H$6:$H$582,MATCH(1,([22]Monitoring!$D$6:$D$582=$D17)*([22]Monitoring!$D$6:$D$582=$D17),0))</f>
        <v>46150</v>
      </c>
      <c r="I17" s="143">
        <f t="array" ref="I17">INDEX([22]Monitoring!$I$6:$I$582,MATCH(1,([22]Monitoring!$D$6:$D$582=$D17)*([22]Monitoring!$D$6:$D$582=$D17),0))</f>
        <v>345</v>
      </c>
      <c r="J17" s="9">
        <f t="array" ref="J17">IFERROR(I17/G17*100,0)</f>
        <v>9.6073517126148698</v>
      </c>
      <c r="K17" s="143">
        <f t="array" ref="K17">INDEX([22]Monitoring!$J$6:$J$582,MATCH(1,([22]Monitoring!$D$6:$D$582=$D17)*([22]Monitoring!$D$6:$D$582=$D17),0))</f>
        <v>59</v>
      </c>
      <c r="L17" s="9">
        <f t="shared" si="0"/>
        <v>17.101449275362317</v>
      </c>
      <c r="M17" s="8" t="str">
        <f t="array" ref="M17">IF(L17&gt;5,"Perlu Pengendalian",IF(AND(L17&gt;=0,I17&gt;0),"Tidak Perlu Pengendalian","Belum Sensus"))</f>
        <v>Perlu Pengendalian</v>
      </c>
    </row>
    <row r="18" spans="1:13" outlineLevel="1" x14ac:dyDescent="0.15">
      <c r="A18" s="8" t="s">
        <v>13</v>
      </c>
      <c r="B18" s="8" t="s">
        <v>14</v>
      </c>
      <c r="C18" s="8" t="s">
        <v>14</v>
      </c>
      <c r="D18" s="8" t="s">
        <v>28</v>
      </c>
      <c r="E18" s="9">
        <v>46.1</v>
      </c>
      <c r="F18" s="8" t="s">
        <v>16</v>
      </c>
      <c r="G18" s="10">
        <v>1955</v>
      </c>
      <c r="H18" s="11">
        <f t="array" ref="H18">INDEX([22]Monitoring!$H$6:$H$582,MATCH(1,([22]Monitoring!$D$6:$D$582=$D18)*([22]Monitoring!$D$6:$D$582=$D18),0))</f>
        <v>46150</v>
      </c>
      <c r="I18" s="143">
        <f t="array" ref="I18">INDEX([22]Monitoring!$I$6:$I$582,MATCH(1,([22]Monitoring!$D$6:$D$582=$D18)*([22]Monitoring!$D$6:$D$582=$D18),0))</f>
        <v>309</v>
      </c>
      <c r="J18" s="9">
        <f t="array" ref="J18">IFERROR(I18/G18*100,0)</f>
        <v>15.805626598465473</v>
      </c>
      <c r="K18" s="143">
        <f t="array" ref="K18">INDEX([22]Monitoring!$J$6:$J$582,MATCH(1,([22]Monitoring!$D$6:$D$582=$D18)*([22]Monitoring!$D$6:$D$582=$D18),0))</f>
        <v>69</v>
      </c>
      <c r="L18" s="9">
        <f t="shared" si="0"/>
        <v>22.330097087378643</v>
      </c>
      <c r="M18" s="8" t="str">
        <f t="array" ref="M18">IF(L18&gt;5,"Perlu Pengendalian",IF(AND(L18&gt;=0,I18&gt;0),"Tidak Perlu Pengendalian","Belum Sensus"))</f>
        <v>Perlu Pengendalian</v>
      </c>
    </row>
    <row r="19" spans="1:13" outlineLevel="1" x14ac:dyDescent="0.15">
      <c r="A19" s="8" t="s">
        <v>13</v>
      </c>
      <c r="B19" s="8" t="s">
        <v>14</v>
      </c>
      <c r="C19" s="8" t="s">
        <v>14</v>
      </c>
      <c r="D19" s="8" t="s">
        <v>29</v>
      </c>
      <c r="E19" s="9">
        <v>37.630000000000003</v>
      </c>
      <c r="F19" s="8" t="s">
        <v>16</v>
      </c>
      <c r="G19" s="10">
        <v>5658</v>
      </c>
      <c r="H19" s="11">
        <f t="array" ref="H19">INDEX([22]Monitoring!$H$6:$H$582,MATCH(1,([22]Monitoring!$D$6:$D$582=$D19)*([22]Monitoring!$D$6:$D$582=$D19),0))</f>
        <v>46153</v>
      </c>
      <c r="I19" s="143">
        <f t="array" ref="I19">INDEX([22]Monitoring!$I$6:$I$582,MATCH(1,([22]Monitoring!$D$6:$D$582=$D19)*([22]Monitoring!$D$6:$D$582=$D19),0))</f>
        <v>344</v>
      </c>
      <c r="J19" s="9">
        <f t="array" ref="J19">IFERROR(I19/G19*100,0)</f>
        <v>6.0798868858253803</v>
      </c>
      <c r="K19" s="143">
        <f t="array" ref="K19">INDEX([22]Monitoring!$J$6:$J$582,MATCH(1,([22]Monitoring!$D$6:$D$582=$D19)*([22]Monitoring!$D$6:$D$582=$D19),0))</f>
        <v>40</v>
      </c>
      <c r="L19" s="9">
        <f>IFERROR(K19/I19*100,0)</f>
        <v>11.627906976744185</v>
      </c>
      <c r="M19" s="8" t="str">
        <f t="array" ref="M19">IF(L19&gt;5,"Perlu Pengendalian",IF(AND(L19&gt;=0,I19&gt;0),"Tidak Perlu Pengendalian","Belum Sensus"))</f>
        <v>Perlu Pengendalian</v>
      </c>
    </row>
    <row r="20" spans="1:13" outlineLevel="1" x14ac:dyDescent="0.15">
      <c r="A20" s="8" t="s">
        <v>13</v>
      </c>
      <c r="B20" s="8" t="s">
        <v>14</v>
      </c>
      <c r="C20" s="8" t="s">
        <v>14</v>
      </c>
      <c r="D20" s="8" t="s">
        <v>30</v>
      </c>
      <c r="E20" s="9">
        <v>23.66</v>
      </c>
      <c r="F20" s="8" t="s">
        <v>16</v>
      </c>
      <c r="G20" s="10">
        <v>3301</v>
      </c>
      <c r="H20" s="11">
        <f t="array" ref="H20">INDEX([22]Monitoring!$H$6:$H$582,MATCH(1,([22]Monitoring!$D$6:$D$582=$D20)*([22]Monitoring!$D$6:$D$582=$D20),0))</f>
        <v>46153</v>
      </c>
      <c r="I20" s="143">
        <f t="array" ref="I20">INDEX([22]Monitoring!$I$6:$I$582,MATCH(1,([22]Monitoring!$D$6:$D$582=$D20)*([22]Monitoring!$D$6:$D$582=$D20),0))</f>
        <v>293</v>
      </c>
      <c r="J20" s="9">
        <f t="array" ref="J20">IFERROR(I20/G20*100,0)</f>
        <v>8.8760981520751301</v>
      </c>
      <c r="K20" s="143">
        <f t="array" ref="K20">INDEX([22]Monitoring!$J$6:$J$582,MATCH(1,([22]Monitoring!$D$6:$D$582=$D20)*([22]Monitoring!$D$6:$D$582=$D20),0))</f>
        <v>28</v>
      </c>
      <c r="L20" s="9">
        <f t="shared" ref="L20:L83" si="1">IFERROR(K20/I20*100,0)</f>
        <v>9.5563139931740615</v>
      </c>
      <c r="M20" s="8" t="str">
        <f t="array" ref="M20">IF(L20&gt;5,"Perlu Pengendalian",IF(AND(L20&gt;=0,I20&gt;0),"Tidak Perlu Pengendalian","Belum Sensus"))</f>
        <v>Perlu Pengendalian</v>
      </c>
    </row>
    <row r="21" spans="1:13" outlineLevel="1" x14ac:dyDescent="0.15">
      <c r="A21" s="8" t="s">
        <v>13</v>
      </c>
      <c r="B21" s="8" t="s">
        <v>14</v>
      </c>
      <c r="C21" s="8" t="s">
        <v>14</v>
      </c>
      <c r="D21" s="8" t="s">
        <v>31</v>
      </c>
      <c r="E21" s="9">
        <v>25.24</v>
      </c>
      <c r="F21" s="8" t="s">
        <v>16</v>
      </c>
      <c r="G21" s="10">
        <v>3498</v>
      </c>
      <c r="H21" s="11">
        <f t="array" ref="H21">INDEX([22]Monitoring!$H$6:$H$582,MATCH(1,([22]Monitoring!$D$6:$D$582=$D21)*([22]Monitoring!$D$6:$D$582=$D21),0))</f>
        <v>46153</v>
      </c>
      <c r="I21" s="143">
        <f t="array" ref="I21">INDEX([22]Monitoring!$I$6:$I$582,MATCH(1,([22]Monitoring!$D$6:$D$582=$D21)*([22]Monitoring!$D$6:$D$582=$D21),0))</f>
        <v>334</v>
      </c>
      <c r="J21" s="9">
        <f t="array" ref="J21">IFERROR(I21/G21*100,0)</f>
        <v>9.5483133218982275</v>
      </c>
      <c r="K21" s="143">
        <f t="array" ref="K21">INDEX([22]Monitoring!$J$6:$J$582,MATCH(1,([22]Monitoring!$D$6:$D$582=$D21)*([22]Monitoring!$D$6:$D$582=$D21),0))</f>
        <v>43</v>
      </c>
      <c r="L21" s="9">
        <f t="shared" si="1"/>
        <v>12.874251497005988</v>
      </c>
      <c r="M21" s="8" t="str">
        <f t="array" ref="M21">IF(L21&gt;5,"Perlu Pengendalian",IF(AND(L21&gt;=0,I21&gt;0),"Tidak Perlu Pengendalian","Belum Sensus"))</f>
        <v>Perlu Pengendalian</v>
      </c>
    </row>
    <row r="22" spans="1:13" outlineLevel="1" x14ac:dyDescent="0.15">
      <c r="A22" s="8" t="s">
        <v>13</v>
      </c>
      <c r="B22" s="8" t="s">
        <v>14</v>
      </c>
      <c r="C22" s="8" t="s">
        <v>14</v>
      </c>
      <c r="D22" s="8" t="s">
        <v>32</v>
      </c>
      <c r="E22" s="9">
        <v>23.95</v>
      </c>
      <c r="F22" s="8" t="s">
        <v>16</v>
      </c>
      <c r="G22" s="10">
        <v>3405</v>
      </c>
      <c r="H22" s="11">
        <f t="array" ref="H22">INDEX([22]Monitoring!$H$6:$H$582,MATCH(1,([22]Monitoring!$D$6:$D$582=$D22)*([22]Monitoring!$D$6:$D$582=$D22),0))</f>
        <v>46154</v>
      </c>
      <c r="I22" s="143">
        <f t="array" ref="I22">INDEX([22]Monitoring!$I$6:$I$582,MATCH(1,([22]Monitoring!$D$6:$D$582=$D22)*([22]Monitoring!$D$6:$D$582=$D22),0))</f>
        <v>378</v>
      </c>
      <c r="J22" s="9">
        <f t="array" ref="J22">IFERROR(I22/G22*100,0)</f>
        <v>11.101321585903083</v>
      </c>
      <c r="K22" s="143">
        <f t="array" ref="K22">INDEX([22]Monitoring!$J$6:$J$582,MATCH(1,([22]Monitoring!$D$6:$D$582=$D22)*([22]Monitoring!$D$6:$D$582=$D22),0))</f>
        <v>81</v>
      </c>
      <c r="L22" s="9">
        <f t="shared" si="1"/>
        <v>21.428571428571427</v>
      </c>
      <c r="M22" s="8" t="str">
        <f t="array" ref="M22">IF(L22&gt;5,"Perlu Pengendalian",IF(AND(L22&gt;=0,I22&gt;0),"Tidak Perlu Pengendalian","Belum Sensus"))</f>
        <v>Perlu Pengendalian</v>
      </c>
    </row>
    <row r="23" spans="1:13" outlineLevel="1" x14ac:dyDescent="0.15">
      <c r="A23" s="8" t="s">
        <v>13</v>
      </c>
      <c r="B23" s="8" t="s">
        <v>14</v>
      </c>
      <c r="C23" s="8" t="s">
        <v>14</v>
      </c>
      <c r="D23" s="8" t="s">
        <v>33</v>
      </c>
      <c r="E23" s="9">
        <v>21.95</v>
      </c>
      <c r="F23" s="8" t="s">
        <v>16</v>
      </c>
      <c r="G23" s="10">
        <v>3027</v>
      </c>
      <c r="H23" s="11">
        <f t="array" ref="H23">INDEX([22]Monitoring!$H$6:$H$582,MATCH(1,([22]Monitoring!$D$6:$D$582=$D23)*([22]Monitoring!$D$6:$D$582=$D23),0))</f>
        <v>46154</v>
      </c>
      <c r="I23" s="143">
        <f t="array" ref="I23">INDEX([22]Monitoring!$I$6:$I$582,MATCH(1,([22]Monitoring!$D$6:$D$582=$D23)*([22]Monitoring!$D$6:$D$582=$D23),0))</f>
        <v>357</v>
      </c>
      <c r="J23" s="9">
        <f t="array" ref="J23">IFERROR(I23/G23*100,0)</f>
        <v>11.793855302279486</v>
      </c>
      <c r="K23" s="143">
        <f t="array" ref="K23">INDEX([22]Monitoring!$J$6:$J$582,MATCH(1,([22]Monitoring!$D$6:$D$582=$D23)*([22]Monitoring!$D$6:$D$582=$D23),0))</f>
        <v>91</v>
      </c>
      <c r="L23" s="9">
        <f t="shared" si="1"/>
        <v>25.490196078431371</v>
      </c>
      <c r="M23" s="8" t="str">
        <f t="array" ref="M23">IF(L23&gt;5,"Perlu Pengendalian",IF(AND(L23&gt;=0,I23&gt;0),"Tidak Perlu Pengendalian","Belum Sensus"))</f>
        <v>Perlu Pengendalian</v>
      </c>
    </row>
    <row r="24" spans="1:13" outlineLevel="1" x14ac:dyDescent="0.15">
      <c r="A24" s="8" t="s">
        <v>13</v>
      </c>
      <c r="B24" s="8" t="s">
        <v>14</v>
      </c>
      <c r="C24" s="8" t="s">
        <v>14</v>
      </c>
      <c r="D24" s="8" t="s">
        <v>34</v>
      </c>
      <c r="E24" s="9">
        <v>28.03</v>
      </c>
      <c r="F24" s="8" t="s">
        <v>16</v>
      </c>
      <c r="G24" s="10">
        <v>3980</v>
      </c>
      <c r="H24" s="11">
        <f t="array" ref="H24">INDEX([22]Monitoring!$H$6:$H$582,MATCH(1,([22]Monitoring!$D$6:$D$582=$D24)*([22]Monitoring!$D$6:$D$582=$D24),0))</f>
        <v>46153</v>
      </c>
      <c r="I24" s="143">
        <f t="array" ref="I24">INDEX([22]Monitoring!$I$6:$I$582,MATCH(1,([22]Monitoring!$D$6:$D$582=$D24)*([22]Monitoring!$D$6:$D$582=$D24),0))</f>
        <v>377</v>
      </c>
      <c r="J24" s="9">
        <f t="array" ref="J24">IFERROR(I24/G24*100,0)</f>
        <v>9.4723618090452266</v>
      </c>
      <c r="K24" s="143">
        <f t="array" ref="K24">INDEX([22]Monitoring!$J$6:$J$582,MATCH(1,([22]Monitoring!$D$6:$D$582=$D24)*([22]Monitoring!$D$6:$D$582=$D24),0))</f>
        <v>91</v>
      </c>
      <c r="L24" s="9">
        <f t="shared" si="1"/>
        <v>24.137931034482758</v>
      </c>
      <c r="M24" s="8" t="str">
        <f t="array" ref="M24">IF(L24&gt;5,"Perlu Pengendalian",IF(AND(L24&gt;=0,I24&gt;0),"Tidak Perlu Pengendalian","Belum Sensus"))</f>
        <v>Perlu Pengendalian</v>
      </c>
    </row>
    <row r="25" spans="1:13" outlineLevel="1" x14ac:dyDescent="0.15">
      <c r="A25" s="8" t="s">
        <v>13</v>
      </c>
      <c r="B25" s="8" t="s">
        <v>14</v>
      </c>
      <c r="C25" s="8" t="s">
        <v>14</v>
      </c>
      <c r="D25" s="8" t="s">
        <v>35</v>
      </c>
      <c r="E25" s="9">
        <v>25.71</v>
      </c>
      <c r="F25" s="8" t="s">
        <v>16</v>
      </c>
      <c r="G25" s="10">
        <v>3572</v>
      </c>
      <c r="H25" s="11">
        <f t="array" ref="H25">INDEX([22]Monitoring!$H$6:$H$582,MATCH(1,([22]Monitoring!$D$6:$D$582=$D25)*([22]Monitoring!$D$6:$D$582=$D25),0))</f>
        <v>46153</v>
      </c>
      <c r="I25" s="143">
        <f t="array" ref="I25">INDEX([22]Monitoring!$I$6:$I$582,MATCH(1,([22]Monitoring!$D$6:$D$582=$D25)*([22]Monitoring!$D$6:$D$582=$D25),0))</f>
        <v>374</v>
      </c>
      <c r="J25" s="9">
        <f t="array" ref="J25">IFERROR(I25/G25*100,0)</f>
        <v>10.470324748040314</v>
      </c>
      <c r="K25" s="143">
        <f t="array" ref="K25">INDEX([22]Monitoring!$J$6:$J$582,MATCH(1,([22]Monitoring!$D$6:$D$582=$D25)*([22]Monitoring!$D$6:$D$582=$D25),0))</f>
        <v>86</v>
      </c>
      <c r="L25" s="9">
        <f t="shared" si="1"/>
        <v>22.994652406417114</v>
      </c>
      <c r="M25" s="8" t="str">
        <f t="array" ref="M25">IF(L25&gt;5,"Perlu Pengendalian",IF(AND(L25&gt;=0,I25&gt;0),"Tidak Perlu Pengendalian","Belum Sensus"))</f>
        <v>Perlu Pengendalian</v>
      </c>
    </row>
    <row r="26" spans="1:13" outlineLevel="1" x14ac:dyDescent="0.15">
      <c r="A26" s="8" t="s">
        <v>13</v>
      </c>
      <c r="B26" s="8" t="s">
        <v>14</v>
      </c>
      <c r="C26" s="8" t="s">
        <v>14</v>
      </c>
      <c r="D26" s="8" t="s">
        <v>36</v>
      </c>
      <c r="E26" s="9">
        <v>23.71</v>
      </c>
      <c r="F26" s="8" t="s">
        <v>16</v>
      </c>
      <c r="G26" s="10">
        <v>3277</v>
      </c>
      <c r="H26" s="11">
        <f t="array" ref="H26">INDEX([22]Monitoring!$H$6:$H$582,MATCH(1,([22]Monitoring!$D$6:$D$582=$D26)*([22]Monitoring!$D$6:$D$582=$D26),0))</f>
        <v>46157</v>
      </c>
      <c r="I26" s="143">
        <f t="array" ref="I26">INDEX([22]Monitoring!$I$6:$I$582,MATCH(1,([22]Monitoring!$D$6:$D$582=$D26)*([22]Monitoring!$D$6:$D$582=$D26),0))</f>
        <v>359</v>
      </c>
      <c r="J26" s="9">
        <f t="array" ref="J26">IFERROR(I26/G26*100,0)</f>
        <v>10.95514189807751</v>
      </c>
      <c r="K26" s="143">
        <f t="array" ref="K26">INDEX([22]Monitoring!$J$6:$J$582,MATCH(1,([22]Monitoring!$D$6:$D$582=$D26)*([22]Monitoring!$D$6:$D$582=$D26),0))</f>
        <v>98</v>
      </c>
      <c r="L26" s="9">
        <f t="shared" si="1"/>
        <v>27.298050139275766</v>
      </c>
      <c r="M26" s="8" t="str">
        <f t="array" ref="M26">IF(L26&gt;5,"Perlu Pengendalian",IF(AND(L26&gt;=0,I26&gt;0),"Tidak Perlu Pengendalian","Belum Sensus"))</f>
        <v>Perlu Pengendalian</v>
      </c>
    </row>
    <row r="27" spans="1:13" outlineLevel="1" x14ac:dyDescent="0.15">
      <c r="A27" s="8" t="s">
        <v>13</v>
      </c>
      <c r="B27" s="8" t="s">
        <v>14</v>
      </c>
      <c r="C27" s="8" t="s">
        <v>14</v>
      </c>
      <c r="D27" s="8" t="s">
        <v>37</v>
      </c>
      <c r="E27" s="9">
        <v>23.9</v>
      </c>
      <c r="F27" s="8" t="s">
        <v>16</v>
      </c>
      <c r="G27" s="10">
        <v>3300</v>
      </c>
      <c r="H27" s="11">
        <f t="array" ref="H27">INDEX([22]Monitoring!$H$6:$H$582,MATCH(1,([22]Monitoring!$D$6:$D$582=$D27)*([22]Monitoring!$D$6:$D$582=$D27),0))</f>
        <v>46151</v>
      </c>
      <c r="I27" s="143">
        <f t="array" ref="I27">INDEX([22]Monitoring!$I$6:$I$582,MATCH(1,([22]Monitoring!$D$6:$D$582=$D27)*([22]Monitoring!$D$6:$D$582=$D27),0))</f>
        <v>329</v>
      </c>
      <c r="J27" s="9">
        <f t="array" ref="J27">IFERROR(I27/G27*100,0)</f>
        <v>9.9696969696969706</v>
      </c>
      <c r="K27" s="143">
        <f t="array" ref="K27">INDEX([22]Monitoring!$J$6:$J$582,MATCH(1,([22]Monitoring!$D$6:$D$582=$D27)*([22]Monitoring!$D$6:$D$582=$D27),0))</f>
        <v>64</v>
      </c>
      <c r="L27" s="9">
        <f t="shared" si="1"/>
        <v>19.45288753799392</v>
      </c>
      <c r="M27" s="8" t="str">
        <f t="array" ref="M27">IF(L27&gt;5,"Perlu Pengendalian",IF(AND(L27&gt;=0,I27&gt;0),"Tidak Perlu Pengendalian","Belum Sensus"))</f>
        <v>Perlu Pengendalian</v>
      </c>
    </row>
    <row r="28" spans="1:13" outlineLevel="1" x14ac:dyDescent="0.15">
      <c r="A28" s="8" t="s">
        <v>13</v>
      </c>
      <c r="B28" s="8" t="s">
        <v>14</v>
      </c>
      <c r="C28" s="8" t="s">
        <v>14</v>
      </c>
      <c r="D28" s="8" t="s">
        <v>38</v>
      </c>
      <c r="E28" s="9">
        <v>24.02</v>
      </c>
      <c r="F28" s="8" t="s">
        <v>16</v>
      </c>
      <c r="G28" s="10">
        <v>3202</v>
      </c>
      <c r="H28" s="11">
        <f t="array" ref="H28">INDEX([22]Monitoring!$H$6:$H$582,MATCH(1,([22]Monitoring!$D$6:$D$582=$D28)*([22]Monitoring!$D$6:$D$582=$D28),0))</f>
        <v>46151</v>
      </c>
      <c r="I28" s="143">
        <f t="array" ref="I28">INDEX([22]Monitoring!$I$6:$I$582,MATCH(1,([22]Monitoring!$D$6:$D$582=$D28)*([22]Monitoring!$D$6:$D$582=$D28),0))</f>
        <v>350</v>
      </c>
      <c r="J28" s="9">
        <f t="array" ref="J28">IFERROR(I28/G28*100,0)</f>
        <v>10.930668332292317</v>
      </c>
      <c r="K28" s="143">
        <f t="array" ref="K28">INDEX([22]Monitoring!$J$6:$J$582,MATCH(1,([22]Monitoring!$D$6:$D$582=$D28)*([22]Monitoring!$D$6:$D$582=$D28),0))</f>
        <v>58</v>
      </c>
      <c r="L28" s="9">
        <f t="shared" si="1"/>
        <v>16.571428571428569</v>
      </c>
      <c r="M28" s="8" t="str">
        <f t="array" ref="M28">IF(L28&gt;5,"Perlu Pengendalian",IF(AND(L28&gt;=0,I28&gt;0),"Tidak Perlu Pengendalian","Belum Sensus"))</f>
        <v>Perlu Pengendalian</v>
      </c>
    </row>
    <row r="29" spans="1:13" outlineLevel="1" x14ac:dyDescent="0.15">
      <c r="A29" s="8" t="s">
        <v>13</v>
      </c>
      <c r="B29" s="8" t="s">
        <v>14</v>
      </c>
      <c r="C29" s="8" t="s">
        <v>14</v>
      </c>
      <c r="D29" s="8" t="s">
        <v>39</v>
      </c>
      <c r="E29" s="9">
        <v>24.95</v>
      </c>
      <c r="F29" s="8" t="s">
        <v>16</v>
      </c>
      <c r="G29" s="10">
        <v>3528</v>
      </c>
      <c r="H29" s="11">
        <f t="array" ref="H29">INDEX([22]Monitoring!$H$6:$H$582,MATCH(1,([22]Monitoring!$D$6:$D$582=$D29)*([22]Monitoring!$D$6:$D$582=$D29),0))</f>
        <v>46151</v>
      </c>
      <c r="I29" s="143">
        <f t="array" ref="I29">INDEX([22]Monitoring!$I$6:$I$582,MATCH(1,([22]Monitoring!$D$6:$D$582=$D29)*([22]Monitoring!$D$6:$D$582=$D29),0))</f>
        <v>368</v>
      </c>
      <c r="J29" s="9">
        <f t="array" ref="J29">IFERROR(I29/G29*100,0)</f>
        <v>10.430839002267573</v>
      </c>
      <c r="K29" s="143">
        <f t="array" ref="K29">INDEX([22]Monitoring!$J$6:$J$582,MATCH(1,([22]Monitoring!$D$6:$D$582=$D29)*([22]Monitoring!$D$6:$D$582=$D29),0))</f>
        <v>56</v>
      </c>
      <c r="L29" s="9">
        <f t="shared" si="1"/>
        <v>15.217391304347828</v>
      </c>
      <c r="M29" s="8" t="str">
        <f t="array" ref="M29">IF(L29&gt;5,"Perlu Pengendalian",IF(AND(L29&gt;=0,I29&gt;0),"Tidak Perlu Pengendalian","Belum Sensus"))</f>
        <v>Perlu Pengendalian</v>
      </c>
    </row>
    <row r="30" spans="1:13" outlineLevel="1" x14ac:dyDescent="0.15">
      <c r="A30" s="8" t="s">
        <v>13</v>
      </c>
      <c r="B30" s="8" t="s">
        <v>14</v>
      </c>
      <c r="C30" s="8" t="s">
        <v>14</v>
      </c>
      <c r="D30" s="8" t="s">
        <v>40</v>
      </c>
      <c r="E30" s="9">
        <v>32.049999999999997</v>
      </c>
      <c r="F30" s="8" t="s">
        <v>16</v>
      </c>
      <c r="G30" s="10">
        <v>4774</v>
      </c>
      <c r="H30" s="11">
        <f t="array" ref="H30">INDEX([22]Monitoring!$H$6:$H$582,MATCH(1,([22]Monitoring!$D$6:$D$582=$D30)*([22]Monitoring!$D$6:$D$582=$D30),0))</f>
        <v>46154</v>
      </c>
      <c r="I30" s="143">
        <f t="array" ref="I30">INDEX([22]Monitoring!$I$6:$I$582,MATCH(1,([22]Monitoring!$D$6:$D$582=$D30)*([22]Monitoring!$D$6:$D$582=$D30),0))</f>
        <v>418</v>
      </c>
      <c r="J30" s="9">
        <f t="array" ref="J30">IFERROR(I30/G30*100,0)</f>
        <v>8.7557603686635943</v>
      </c>
      <c r="K30" s="143">
        <f t="array" ref="K30">INDEX([22]Monitoring!$J$6:$J$582,MATCH(1,([22]Monitoring!$D$6:$D$582=$D30)*([22]Monitoring!$D$6:$D$582=$D30),0))</f>
        <v>70</v>
      </c>
      <c r="L30" s="9">
        <f t="shared" si="1"/>
        <v>16.746411483253588</v>
      </c>
      <c r="M30" s="8" t="str">
        <f t="array" ref="M30">IF(L30&gt;5,"Perlu Pengendalian",IF(AND(L30&gt;=0,I30&gt;0),"Tidak Perlu Pengendalian","Belum Sensus"))</f>
        <v>Perlu Pengendalian</v>
      </c>
    </row>
    <row r="31" spans="1:13" outlineLevel="1" x14ac:dyDescent="0.15">
      <c r="A31" s="8" t="s">
        <v>13</v>
      </c>
      <c r="B31" s="8" t="s">
        <v>14</v>
      </c>
      <c r="C31" s="8" t="s">
        <v>14</v>
      </c>
      <c r="D31" s="8" t="s">
        <v>41</v>
      </c>
      <c r="E31" s="9">
        <v>34.43</v>
      </c>
      <c r="F31" s="8" t="s">
        <v>16</v>
      </c>
      <c r="G31" s="10">
        <v>5311</v>
      </c>
      <c r="H31" s="11">
        <f t="array" ref="H31">INDEX([22]Monitoring!$H$6:$H$582,MATCH(1,([22]Monitoring!$D$6:$D$582=$D31)*([22]Monitoring!$D$6:$D$582=$D31),0))</f>
        <v>46151</v>
      </c>
      <c r="I31" s="143">
        <f t="array" ref="I31">INDEX([22]Monitoring!$I$6:$I$582,MATCH(1,([22]Monitoring!$D$6:$D$582=$D31)*([22]Monitoring!$D$6:$D$582=$D31),0))</f>
        <v>359</v>
      </c>
      <c r="J31" s="9">
        <f t="array" ref="J31">IFERROR(I31/G31*100,0)</f>
        <v>6.7595556392393146</v>
      </c>
      <c r="K31" s="143">
        <f t="array" ref="K31">INDEX([22]Monitoring!$J$6:$J$582,MATCH(1,([22]Monitoring!$D$6:$D$582=$D31)*([22]Monitoring!$D$6:$D$582=$D31),0))</f>
        <v>98</v>
      </c>
      <c r="L31" s="9">
        <f t="shared" si="1"/>
        <v>27.298050139275766</v>
      </c>
      <c r="M31" s="8" t="str">
        <f t="array" ref="M31">IF(L31&gt;5,"Perlu Pengendalian",IF(AND(L31&gt;=0,I31&gt;0),"Tidak Perlu Pengendalian","Belum Sensus"))</f>
        <v>Perlu Pengendalian</v>
      </c>
    </row>
    <row r="32" spans="1:13" outlineLevel="1" x14ac:dyDescent="0.15">
      <c r="A32" s="8" t="s">
        <v>13</v>
      </c>
      <c r="B32" s="8" t="s">
        <v>14</v>
      </c>
      <c r="C32" s="8" t="s">
        <v>14</v>
      </c>
      <c r="D32" s="8" t="s">
        <v>42</v>
      </c>
      <c r="E32" s="9">
        <v>40.99</v>
      </c>
      <c r="F32" s="8" t="s">
        <v>16</v>
      </c>
      <c r="G32" s="10">
        <v>5876</v>
      </c>
      <c r="H32" s="11">
        <f t="array" ref="H32">INDEX([22]Monitoring!$H$6:$H$582,MATCH(1,([22]Monitoring!$D$6:$D$582=$D32)*([22]Monitoring!$D$6:$D$582=$D32),0))</f>
        <v>46151</v>
      </c>
      <c r="I32" s="143">
        <f t="array" ref="I32">INDEX([22]Monitoring!$I$6:$I$582,MATCH(1,([22]Monitoring!$D$6:$D$582=$D32)*([22]Monitoring!$D$6:$D$582=$D32),0))</f>
        <v>257</v>
      </c>
      <c r="J32" s="9">
        <f t="array" ref="J32">IFERROR(I32/G32*100,0)</f>
        <v>4.3737236215112318</v>
      </c>
      <c r="K32" s="143">
        <f t="array" ref="K32">INDEX([22]Monitoring!$J$6:$J$582,MATCH(1,([22]Monitoring!$D$6:$D$582=$D32)*([22]Monitoring!$D$6:$D$582=$D32),0))</f>
        <v>68</v>
      </c>
      <c r="L32" s="9">
        <f t="shared" si="1"/>
        <v>26.459143968871597</v>
      </c>
      <c r="M32" s="8" t="str">
        <f t="array" ref="M32">IF(L32&gt;5,"Perlu Pengendalian",IF(AND(L32&gt;=0,I32&gt;0),"Tidak Perlu Pengendalian","Belum Sensus"))</f>
        <v>Perlu Pengendalian</v>
      </c>
    </row>
    <row r="33" spans="1:13" outlineLevel="1" x14ac:dyDescent="0.15">
      <c r="A33" s="8" t="s">
        <v>13</v>
      </c>
      <c r="B33" s="8" t="s">
        <v>14</v>
      </c>
      <c r="C33" s="8" t="s">
        <v>14</v>
      </c>
      <c r="D33" s="8" t="s">
        <v>43</v>
      </c>
      <c r="E33" s="9">
        <v>35.130000000000003</v>
      </c>
      <c r="F33" s="8" t="s">
        <v>16</v>
      </c>
      <c r="G33" s="10">
        <v>4918</v>
      </c>
      <c r="H33" s="11">
        <f t="array" ref="H33">INDEX([22]Monitoring!$H$6:$H$582,MATCH(1,([22]Monitoring!$D$6:$D$582=$D33)*([22]Monitoring!$D$6:$D$582=$D33),0))</f>
        <v>46158</v>
      </c>
      <c r="I33" s="143">
        <f t="array" ref="I33">INDEX([22]Monitoring!$I$6:$I$582,MATCH(1,([22]Monitoring!$D$6:$D$582=$D33)*([22]Monitoring!$D$6:$D$582=$D33),0))</f>
        <v>544</v>
      </c>
      <c r="J33" s="9">
        <f t="array" ref="J33">IFERROR(I33/G33*100,0)</f>
        <v>11.061407076047173</v>
      </c>
      <c r="K33" s="143">
        <f t="array" ref="K33">INDEX([22]Monitoring!$J$6:$J$582,MATCH(1,([22]Monitoring!$D$6:$D$582=$D33)*([22]Monitoring!$D$6:$D$582=$D33),0))</f>
        <v>66</v>
      </c>
      <c r="L33" s="9">
        <f t="shared" si="1"/>
        <v>12.132352941176471</v>
      </c>
      <c r="M33" s="8" t="str">
        <f t="array" ref="M33">IF(L33&gt;5,"Perlu Pengendalian",IF(AND(L33&gt;=0,I33&gt;0),"Tidak Perlu Pengendalian","Belum Sensus"))</f>
        <v>Perlu Pengendalian</v>
      </c>
    </row>
    <row r="34" spans="1:13" outlineLevel="1" x14ac:dyDescent="0.15">
      <c r="A34" s="8" t="s">
        <v>13</v>
      </c>
      <c r="B34" s="8" t="s">
        <v>14</v>
      </c>
      <c r="C34" s="8" t="s">
        <v>14</v>
      </c>
      <c r="D34" s="8" t="s">
        <v>44</v>
      </c>
      <c r="E34" s="9">
        <v>44.89</v>
      </c>
      <c r="F34" s="8" t="s">
        <v>16</v>
      </c>
      <c r="G34" s="10">
        <v>6188</v>
      </c>
      <c r="H34" s="11">
        <f t="array" ref="H34">INDEX([22]Monitoring!$H$6:$H$582,MATCH(1,([22]Monitoring!$D$6:$D$582=$D34)*([22]Monitoring!$D$6:$D$582=$D34),0))</f>
        <v>46155</v>
      </c>
      <c r="I34" s="143">
        <f t="array" ref="I34">INDEX([22]Monitoring!$I$6:$I$582,MATCH(1,([22]Monitoring!$D$6:$D$582=$D34)*([22]Monitoring!$D$6:$D$582=$D34),0))</f>
        <v>664</v>
      </c>
      <c r="J34" s="9">
        <f t="array" ref="J34">IFERROR(I34/G34*100,0)</f>
        <v>10.730446024563671</v>
      </c>
      <c r="K34" s="143">
        <f t="array" ref="K34">INDEX([22]Monitoring!$J$6:$J$582,MATCH(1,([22]Monitoring!$D$6:$D$582=$D34)*([22]Monitoring!$D$6:$D$582=$D34),0))</f>
        <v>70</v>
      </c>
      <c r="L34" s="9">
        <f t="shared" si="1"/>
        <v>10.542168674698797</v>
      </c>
      <c r="M34" s="8" t="str">
        <f t="array" ref="M34">IF(L34&gt;5,"Perlu Pengendalian",IF(AND(L34&gt;=0,I34&gt;0),"Tidak Perlu Pengendalian","Belum Sensus"))</f>
        <v>Perlu Pengendalian</v>
      </c>
    </row>
    <row r="35" spans="1:13" outlineLevel="1" x14ac:dyDescent="0.15">
      <c r="A35" s="8" t="s">
        <v>13</v>
      </c>
      <c r="B35" s="8" t="s">
        <v>14</v>
      </c>
      <c r="C35" s="8" t="s">
        <v>14</v>
      </c>
      <c r="D35" s="8" t="s">
        <v>45</v>
      </c>
      <c r="E35" s="9">
        <v>29.8</v>
      </c>
      <c r="F35" s="8" t="s">
        <v>16</v>
      </c>
      <c r="G35" s="10">
        <v>4104</v>
      </c>
      <c r="H35" s="11">
        <f t="array" ref="H35">INDEX([22]Monitoring!$H$6:$H$582,MATCH(1,([22]Monitoring!$D$6:$D$582=$D35)*([22]Monitoring!$D$6:$D$582=$D35),0))</f>
        <v>46155</v>
      </c>
      <c r="I35" s="143">
        <f t="array" ref="I35">INDEX([22]Monitoring!$I$6:$I$582,MATCH(1,([22]Monitoring!$D$6:$D$582=$D35)*([22]Monitoring!$D$6:$D$582=$D35),0))</f>
        <v>301</v>
      </c>
      <c r="J35" s="9">
        <f t="array" ref="J35">IFERROR(I35/G35*100,0)</f>
        <v>7.3343079922027297</v>
      </c>
      <c r="K35" s="143">
        <f t="array" ref="K35">INDEX([22]Monitoring!$J$6:$J$582,MATCH(1,([22]Monitoring!$D$6:$D$582=$D35)*([22]Monitoring!$D$6:$D$582=$D35),0))</f>
        <v>38</v>
      </c>
      <c r="L35" s="9">
        <f t="shared" si="1"/>
        <v>12.624584717607974</v>
      </c>
      <c r="M35" s="8" t="str">
        <f t="array" ref="M35">IF(L35&gt;5,"Perlu Pengendalian",IF(AND(L35&gt;=0,I35&gt;0),"Tidak Perlu Pengendalian","Belum Sensus"))</f>
        <v>Perlu Pengendalian</v>
      </c>
    </row>
    <row r="36" spans="1:13" outlineLevel="1" x14ac:dyDescent="0.15">
      <c r="A36" s="8" t="s">
        <v>13</v>
      </c>
      <c r="B36" s="8" t="s">
        <v>14</v>
      </c>
      <c r="C36" s="8" t="s">
        <v>14</v>
      </c>
      <c r="D36" s="8" t="s">
        <v>46</v>
      </c>
      <c r="E36" s="9">
        <v>21</v>
      </c>
      <c r="F36" s="8" t="s">
        <v>16</v>
      </c>
      <c r="G36" s="10">
        <v>2926</v>
      </c>
      <c r="H36" s="11">
        <f t="array" ref="H36">INDEX([22]Monitoring!$H$6:$H$582,MATCH(1,([22]Monitoring!$D$6:$D$582=$D36)*([22]Monitoring!$D$6:$D$582=$D36),0))</f>
        <v>46155</v>
      </c>
      <c r="I36" s="143">
        <f t="array" ref="I36">INDEX([22]Monitoring!$I$6:$I$582,MATCH(1,([22]Monitoring!$D$6:$D$582=$D36)*([22]Monitoring!$D$6:$D$582=$D36),0))</f>
        <v>366</v>
      </c>
      <c r="J36" s="9">
        <f t="array" ref="J36">IFERROR(I36/G36*100,0)</f>
        <v>12.508544087491455</v>
      </c>
      <c r="K36" s="143">
        <f t="array" ref="K36">INDEX([22]Monitoring!$J$6:$J$582,MATCH(1,([22]Monitoring!$D$6:$D$582=$D36)*([22]Monitoring!$D$6:$D$582=$D36),0))</f>
        <v>46</v>
      </c>
      <c r="L36" s="9">
        <f t="shared" si="1"/>
        <v>12.568306010928962</v>
      </c>
      <c r="M36" s="8" t="str">
        <f t="array" ref="M36">IF(L36&gt;5,"Perlu Pengendalian",IF(AND(L36&gt;=0,I36&gt;0),"Tidak Perlu Pengendalian","Belum Sensus"))</f>
        <v>Perlu Pengendalian</v>
      </c>
    </row>
    <row r="37" spans="1:13" outlineLevel="1" x14ac:dyDescent="0.15">
      <c r="A37" s="8" t="s">
        <v>13</v>
      </c>
      <c r="B37" s="8" t="s">
        <v>14</v>
      </c>
      <c r="C37" s="8" t="s">
        <v>47</v>
      </c>
      <c r="D37" s="8" t="s">
        <v>48</v>
      </c>
      <c r="E37" s="9">
        <v>29.7</v>
      </c>
      <c r="F37" s="8" t="s">
        <v>16</v>
      </c>
      <c r="G37" s="10">
        <v>4029</v>
      </c>
      <c r="H37" s="11">
        <f t="array" ref="H37">INDEX([22]Monitoring!$H$6:$H$582,MATCH(1,([22]Monitoring!$D$6:$D$582=$D37)*([22]Monitoring!$D$6:$D$582=$D37),0))</f>
        <v>46148</v>
      </c>
      <c r="I37" s="143">
        <f t="array" ref="I37">INDEX([22]Monitoring!$I$6:$I$582,MATCH(1,([22]Monitoring!$D$6:$D$582=$D37)*([22]Monitoring!$D$6:$D$582=$D37),0))</f>
        <v>453</v>
      </c>
      <c r="J37" s="9">
        <f t="array" ref="J37">IFERROR(I37/G37*100,0)</f>
        <v>11.243484735666419</v>
      </c>
      <c r="K37" s="143">
        <f t="array" ref="K37">INDEX([22]Monitoring!$J$6:$J$582,MATCH(1,([22]Monitoring!$D$6:$D$582=$D37)*([22]Monitoring!$D$6:$D$582=$D37),0))</f>
        <v>21</v>
      </c>
      <c r="L37" s="9">
        <f t="shared" si="1"/>
        <v>4.6357615894039732</v>
      </c>
      <c r="M37" s="8" t="str">
        <f t="array" ref="M37">IF(L37&gt;5,"Perlu Pengendalian",IF(AND(L37&gt;=0,I37&gt;0),"Tidak Perlu Pengendalian","Belum Sensus"))</f>
        <v>Tidak Perlu Pengendalian</v>
      </c>
    </row>
    <row r="38" spans="1:13" outlineLevel="1" x14ac:dyDescent="0.15">
      <c r="A38" s="8" t="s">
        <v>13</v>
      </c>
      <c r="B38" s="8" t="s">
        <v>14</v>
      </c>
      <c r="C38" s="8" t="s">
        <v>47</v>
      </c>
      <c r="D38" s="8" t="s">
        <v>49</v>
      </c>
      <c r="E38" s="9">
        <v>30.59</v>
      </c>
      <c r="F38" s="8" t="s">
        <v>16</v>
      </c>
      <c r="G38" s="10">
        <v>4301</v>
      </c>
      <c r="H38" s="11">
        <f t="array" ref="H38">INDEX([22]Monitoring!$H$6:$H$582,MATCH(1,([22]Monitoring!$D$6:$D$582=$D38)*([22]Monitoring!$D$6:$D$582=$D38),0))</f>
        <v>46148</v>
      </c>
      <c r="I38" s="143">
        <f t="array" ref="I38">INDEX([22]Monitoring!$I$6:$I$582,MATCH(1,([22]Monitoring!$D$6:$D$582=$D38)*([22]Monitoring!$D$6:$D$582=$D38),0))</f>
        <v>457</v>
      </c>
      <c r="J38" s="9">
        <f t="array" ref="J38">IFERROR(I38/G38*100,0)</f>
        <v>10.625435945129039</v>
      </c>
      <c r="K38" s="143">
        <f t="array" ref="K38">INDEX([22]Monitoring!$J$6:$J$582,MATCH(1,([22]Monitoring!$D$6:$D$582=$D38)*([22]Monitoring!$D$6:$D$582=$D38),0))</f>
        <v>50</v>
      </c>
      <c r="L38" s="9">
        <f t="shared" si="1"/>
        <v>10.940919037199125</v>
      </c>
      <c r="M38" s="8" t="str">
        <f t="array" ref="M38">IF(L38&gt;5,"Perlu Pengendalian",IF(AND(L38&gt;=0,I38&gt;0),"Tidak Perlu Pengendalian","Belum Sensus"))</f>
        <v>Perlu Pengendalian</v>
      </c>
    </row>
    <row r="39" spans="1:13" outlineLevel="1" x14ac:dyDescent="0.15">
      <c r="A39" s="8" t="s">
        <v>13</v>
      </c>
      <c r="B39" s="8" t="s">
        <v>14</v>
      </c>
      <c r="C39" s="8" t="s">
        <v>47</v>
      </c>
      <c r="D39" s="8" t="s">
        <v>50</v>
      </c>
      <c r="E39" s="9">
        <v>38.97</v>
      </c>
      <c r="F39" s="8" t="s">
        <v>16</v>
      </c>
      <c r="G39" s="10">
        <v>5024</v>
      </c>
      <c r="H39" s="11">
        <f t="array" ref="H39">INDEX([22]Monitoring!$H$6:$H$582,MATCH(1,([22]Monitoring!$D$6:$D$582=$D39)*([22]Monitoring!$D$6:$D$582=$D39),0))</f>
        <v>46148</v>
      </c>
      <c r="I39" s="143">
        <f t="array" ref="I39">INDEX([22]Monitoring!$I$6:$I$582,MATCH(1,([22]Monitoring!$D$6:$D$582=$D39)*([22]Monitoring!$D$6:$D$582=$D39),0))</f>
        <v>545</v>
      </c>
      <c r="J39" s="9">
        <f t="array" ref="J39">IFERROR(I39/G39*100,0)</f>
        <v>10.847929936305732</v>
      </c>
      <c r="K39" s="143">
        <f t="array" ref="K39">INDEX([22]Monitoring!$J$6:$J$582,MATCH(1,([22]Monitoring!$D$6:$D$582=$D39)*([22]Monitoring!$D$6:$D$582=$D39),0))</f>
        <v>82</v>
      </c>
      <c r="L39" s="9">
        <f t="shared" si="1"/>
        <v>15.045871559633028</v>
      </c>
      <c r="M39" s="8" t="str">
        <f t="array" ref="M39">IF(L39&gt;5,"Perlu Pengendalian",IF(AND(L39&gt;=0,I39&gt;0),"Tidak Perlu Pengendalian","Belum Sensus"))</f>
        <v>Perlu Pengendalian</v>
      </c>
    </row>
    <row r="40" spans="1:13" outlineLevel="1" x14ac:dyDescent="0.15">
      <c r="A40" s="8" t="s">
        <v>13</v>
      </c>
      <c r="B40" s="8" t="s">
        <v>14</v>
      </c>
      <c r="C40" s="8" t="s">
        <v>47</v>
      </c>
      <c r="D40" s="8" t="s">
        <v>51</v>
      </c>
      <c r="E40" s="9">
        <v>29.37</v>
      </c>
      <c r="F40" s="8" t="s">
        <v>16</v>
      </c>
      <c r="G40" s="10">
        <v>3928</v>
      </c>
      <c r="H40" s="11">
        <f t="array" ref="H40">INDEX([22]Monitoring!$H$6:$H$582,MATCH(1,([22]Monitoring!$D$6:$D$582=$D40)*([22]Monitoring!$D$6:$D$582=$D40),0))</f>
        <v>46148</v>
      </c>
      <c r="I40" s="143">
        <f t="array" ref="I40">INDEX([22]Monitoring!$I$6:$I$582,MATCH(1,([22]Monitoring!$D$6:$D$582=$D40)*([22]Monitoring!$D$6:$D$582=$D40),0))</f>
        <v>374</v>
      </c>
      <c r="J40" s="9">
        <f t="array" ref="J40">IFERROR(I40/G40*100,0)</f>
        <v>9.5213849287169037</v>
      </c>
      <c r="K40" s="143">
        <f t="array" ref="K40">INDEX([22]Monitoring!$J$6:$J$582,MATCH(1,([22]Monitoring!$D$6:$D$582=$D40)*([22]Monitoring!$D$6:$D$582=$D40),0))</f>
        <v>66</v>
      </c>
      <c r="L40" s="9">
        <f t="shared" si="1"/>
        <v>17.647058823529413</v>
      </c>
      <c r="M40" s="8" t="str">
        <f t="array" ref="M40">IF(L40&gt;5,"Perlu Pengendalian",IF(AND(L40&gt;=0,I40&gt;0),"Tidak Perlu Pengendalian","Belum Sensus"))</f>
        <v>Perlu Pengendalian</v>
      </c>
    </row>
    <row r="41" spans="1:13" outlineLevel="1" x14ac:dyDescent="0.15">
      <c r="A41" s="8" t="s">
        <v>13</v>
      </c>
      <c r="B41" s="8" t="s">
        <v>14</v>
      </c>
      <c r="C41" s="8" t="s">
        <v>47</v>
      </c>
      <c r="D41" s="8" t="s">
        <v>52</v>
      </c>
      <c r="E41" s="9">
        <v>25.93</v>
      </c>
      <c r="F41" s="8" t="s">
        <v>16</v>
      </c>
      <c r="G41" s="10">
        <v>3488</v>
      </c>
      <c r="H41" s="11">
        <f t="array" ref="H41">INDEX([22]Monitoring!$H$6:$H$582,MATCH(1,([22]Monitoring!$D$6:$D$582=$D41)*([22]Monitoring!$D$6:$D$582=$D41),0))</f>
        <v>46149</v>
      </c>
      <c r="I41" s="143">
        <f t="array" ref="I41">INDEX([22]Monitoring!$I$6:$I$582,MATCH(1,([22]Monitoring!$D$6:$D$582=$D41)*([22]Monitoring!$D$6:$D$582=$D41),0))</f>
        <v>340</v>
      </c>
      <c r="J41" s="9">
        <f t="array" ref="J41">IFERROR(I41/G41*100,0)</f>
        <v>9.7477064220183482</v>
      </c>
      <c r="K41" s="143">
        <f t="array" ref="K41">INDEX([22]Monitoring!$J$6:$J$582,MATCH(1,([22]Monitoring!$D$6:$D$582=$D41)*([22]Monitoring!$D$6:$D$582=$D41),0))</f>
        <v>55</v>
      </c>
      <c r="L41" s="9">
        <f t="shared" si="1"/>
        <v>16.176470588235293</v>
      </c>
      <c r="M41" s="8" t="str">
        <f t="array" ref="M41">IF(L41&gt;5,"Perlu Pengendalian",IF(AND(L41&gt;=0,I41&gt;0),"Tidak Perlu Pengendalian","Belum Sensus"))</f>
        <v>Perlu Pengendalian</v>
      </c>
    </row>
    <row r="42" spans="1:13" outlineLevel="1" x14ac:dyDescent="0.15">
      <c r="A42" s="8" t="s">
        <v>13</v>
      </c>
      <c r="B42" s="8" t="s">
        <v>14</v>
      </c>
      <c r="C42" s="8" t="s">
        <v>47</v>
      </c>
      <c r="D42" s="8" t="s">
        <v>53</v>
      </c>
      <c r="E42" s="9">
        <v>23.4</v>
      </c>
      <c r="F42" s="8" t="s">
        <v>16</v>
      </c>
      <c r="G42" s="10">
        <v>3371</v>
      </c>
      <c r="H42" s="11">
        <f t="array" ref="H42">INDEX([22]Monitoring!$H$6:$H$582,MATCH(1,([22]Monitoring!$D$6:$D$582=$D42)*([22]Monitoring!$D$6:$D$582=$D42),0))</f>
        <v>46149</v>
      </c>
      <c r="I42" s="143">
        <f t="array" ref="I42">INDEX([22]Monitoring!$I$6:$I$582,MATCH(1,([22]Monitoring!$D$6:$D$582=$D42)*([22]Monitoring!$D$6:$D$582=$D42),0))</f>
        <v>369</v>
      </c>
      <c r="J42" s="9">
        <f t="array" ref="J42">IFERROR(I42/G42*100,0)</f>
        <v>10.946306733906852</v>
      </c>
      <c r="K42" s="143">
        <f t="array" ref="K42">INDEX([22]Monitoring!$J$6:$J$582,MATCH(1,([22]Monitoring!$D$6:$D$582=$D42)*([22]Monitoring!$D$6:$D$582=$D42),0))</f>
        <v>65</v>
      </c>
      <c r="L42" s="9">
        <f t="shared" si="1"/>
        <v>17.615176151761517</v>
      </c>
      <c r="M42" s="8" t="str">
        <f t="array" ref="M42">IF(L42&gt;5,"Perlu Pengendalian",IF(AND(L42&gt;=0,I42&gt;0),"Tidak Perlu Pengendalian","Belum Sensus"))</f>
        <v>Perlu Pengendalian</v>
      </c>
    </row>
    <row r="43" spans="1:13" outlineLevel="1" x14ac:dyDescent="0.15">
      <c r="A43" s="8" t="s">
        <v>13</v>
      </c>
      <c r="B43" s="8" t="s">
        <v>14</v>
      </c>
      <c r="C43" s="8" t="s">
        <v>47</v>
      </c>
      <c r="D43" s="8" t="s">
        <v>54</v>
      </c>
      <c r="E43" s="9">
        <v>23.8</v>
      </c>
      <c r="F43" s="8" t="s">
        <v>16</v>
      </c>
      <c r="G43" s="10">
        <v>3147</v>
      </c>
      <c r="H43" s="11">
        <f t="array" ref="H43">INDEX([22]Monitoring!$H$6:$H$582,MATCH(1,([22]Monitoring!$D$6:$D$582=$D43)*([22]Monitoring!$D$6:$D$582=$D43),0))</f>
        <v>46149</v>
      </c>
      <c r="I43" s="143">
        <f t="array" ref="I43">INDEX([22]Monitoring!$I$6:$I$582,MATCH(1,([22]Monitoring!$D$6:$D$582=$D43)*([22]Monitoring!$D$6:$D$582=$D43),0))</f>
        <v>319</v>
      </c>
      <c r="J43" s="9">
        <f t="array" ref="J43">IFERROR(I43/G43*100,0)</f>
        <v>10.13663806800127</v>
      </c>
      <c r="K43" s="143">
        <f t="array" ref="K43">INDEX([22]Monitoring!$J$6:$J$582,MATCH(1,([22]Monitoring!$D$6:$D$582=$D43)*([22]Monitoring!$D$6:$D$582=$D43),0))</f>
        <v>40</v>
      </c>
      <c r="L43" s="9">
        <f t="shared" si="1"/>
        <v>12.539184952978054</v>
      </c>
      <c r="M43" s="8" t="str">
        <f t="array" ref="M43">IF(L43&gt;5,"Perlu Pengendalian",IF(AND(L43&gt;=0,I43&gt;0),"Tidak Perlu Pengendalian","Belum Sensus"))</f>
        <v>Perlu Pengendalian</v>
      </c>
    </row>
    <row r="44" spans="1:13" outlineLevel="1" x14ac:dyDescent="0.15">
      <c r="A44" s="8" t="s">
        <v>13</v>
      </c>
      <c r="B44" s="8" t="s">
        <v>14</v>
      </c>
      <c r="C44" s="8" t="s">
        <v>47</v>
      </c>
      <c r="D44" s="8" t="s">
        <v>55</v>
      </c>
      <c r="E44" s="9">
        <v>50.97</v>
      </c>
      <c r="F44" s="8" t="s">
        <v>16</v>
      </c>
      <c r="G44" s="10">
        <v>6945</v>
      </c>
      <c r="H44" s="11">
        <f t="array" ref="H44">INDEX([22]Monitoring!$H$6:$H$582,MATCH(1,([22]Monitoring!$D$6:$D$582=$D44)*([22]Monitoring!$D$6:$D$582=$D44),0))</f>
        <v>46150</v>
      </c>
      <c r="I44" s="143">
        <f t="array" ref="I44">INDEX([22]Monitoring!$I$6:$I$582,MATCH(1,([22]Monitoring!$D$6:$D$582=$D44)*([22]Monitoring!$D$6:$D$582=$D44),0))</f>
        <v>720</v>
      </c>
      <c r="J44" s="9">
        <f t="array" ref="J44">IFERROR(I44/G44*100,0)</f>
        <v>10.367170626349893</v>
      </c>
      <c r="K44" s="143">
        <f t="array" ref="K44">INDEX([22]Monitoring!$J$6:$J$582,MATCH(1,([22]Monitoring!$D$6:$D$582=$D44)*([22]Monitoring!$D$6:$D$582=$D44),0))</f>
        <v>124</v>
      </c>
      <c r="L44" s="9">
        <f t="shared" si="1"/>
        <v>17.222222222222221</v>
      </c>
      <c r="M44" s="8" t="str">
        <f t="array" ref="M44">IF(L44&gt;5,"Perlu Pengendalian",IF(AND(L44&gt;=0,I44&gt;0),"Tidak Perlu Pengendalian","Belum Sensus"))</f>
        <v>Perlu Pengendalian</v>
      </c>
    </row>
    <row r="45" spans="1:13" outlineLevel="1" x14ac:dyDescent="0.15">
      <c r="A45" s="8" t="s">
        <v>13</v>
      </c>
      <c r="B45" s="8" t="s">
        <v>14</v>
      </c>
      <c r="C45" s="8" t="s">
        <v>47</v>
      </c>
      <c r="D45" s="8" t="s">
        <v>56</v>
      </c>
      <c r="E45" s="9">
        <v>30.63</v>
      </c>
      <c r="F45" s="8" t="s">
        <v>16</v>
      </c>
      <c r="G45" s="10">
        <v>3750</v>
      </c>
      <c r="H45" s="11">
        <f t="array" ref="H45">INDEX([22]Monitoring!$H$6:$H$582,MATCH(1,([22]Monitoring!$D$6:$D$582=$D45)*([22]Monitoring!$D$6:$D$582=$D45),0))</f>
        <v>46149</v>
      </c>
      <c r="I45" s="143">
        <f t="array" ref="I45">INDEX([22]Monitoring!$I$6:$I$582,MATCH(1,([22]Monitoring!$D$6:$D$582=$D45)*([22]Monitoring!$D$6:$D$582=$D45),0))</f>
        <v>440</v>
      </c>
      <c r="J45" s="9">
        <f t="array" ref="J45">IFERROR(I45/G45*100,0)</f>
        <v>11.733333333333333</v>
      </c>
      <c r="K45" s="143">
        <f t="array" ref="K45">INDEX([22]Monitoring!$J$6:$J$582,MATCH(1,([22]Monitoring!$D$6:$D$582=$D45)*([22]Monitoring!$D$6:$D$582=$D45),0))</f>
        <v>52</v>
      </c>
      <c r="L45" s="9">
        <f t="shared" si="1"/>
        <v>11.818181818181818</v>
      </c>
      <c r="M45" s="8" t="str">
        <f t="array" ref="M45">IF(L45&gt;5,"Perlu Pengendalian",IF(AND(L45&gt;=0,I45&gt;0),"Tidak Perlu Pengendalian","Belum Sensus"))</f>
        <v>Perlu Pengendalian</v>
      </c>
    </row>
    <row r="46" spans="1:13" outlineLevel="1" x14ac:dyDescent="0.15">
      <c r="A46" s="8" t="s">
        <v>13</v>
      </c>
      <c r="B46" s="8" t="s">
        <v>14</v>
      </c>
      <c r="C46" s="8" t="s">
        <v>47</v>
      </c>
      <c r="D46" s="8" t="s">
        <v>57</v>
      </c>
      <c r="E46" s="9">
        <v>30.38</v>
      </c>
      <c r="F46" s="8" t="s">
        <v>16</v>
      </c>
      <c r="G46" s="10">
        <v>4461</v>
      </c>
      <c r="H46" s="11">
        <f t="array" ref="H46">INDEX([22]Monitoring!$H$6:$H$582,MATCH(1,([22]Monitoring!$D$6:$D$582=$D46)*([22]Monitoring!$D$6:$D$582=$D46),0))</f>
        <v>46150</v>
      </c>
      <c r="I46" s="143">
        <f t="array" ref="I46">INDEX([22]Monitoring!$I$6:$I$582,MATCH(1,([22]Monitoring!$D$6:$D$582=$D46)*([22]Monitoring!$D$6:$D$582=$D46),0))</f>
        <v>352</v>
      </c>
      <c r="J46" s="9">
        <f t="array" ref="J46">IFERROR(I46/G46*100,0)</f>
        <v>7.8906074871105139</v>
      </c>
      <c r="K46" s="143">
        <f t="array" ref="K46">INDEX([22]Monitoring!$J$6:$J$582,MATCH(1,([22]Monitoring!$D$6:$D$582=$D46)*([22]Monitoring!$D$6:$D$582=$D46),0))</f>
        <v>49</v>
      </c>
      <c r="L46" s="9">
        <f t="shared" si="1"/>
        <v>13.920454545454545</v>
      </c>
      <c r="M46" s="8" t="str">
        <f t="array" ref="M46">IF(L46&gt;5,"Perlu Pengendalian",IF(AND(L46&gt;=0,I46&gt;0),"Tidak Perlu Pengendalian","Belum Sensus"))</f>
        <v>Perlu Pengendalian</v>
      </c>
    </row>
    <row r="47" spans="1:13" outlineLevel="1" x14ac:dyDescent="0.15">
      <c r="A47" s="8" t="s">
        <v>13</v>
      </c>
      <c r="B47" s="8" t="s">
        <v>14</v>
      </c>
      <c r="C47" s="8" t="s">
        <v>47</v>
      </c>
      <c r="D47" s="8" t="s">
        <v>58</v>
      </c>
      <c r="E47" s="9">
        <v>42.45</v>
      </c>
      <c r="F47" s="8" t="s">
        <v>16</v>
      </c>
      <c r="G47" s="10">
        <v>6115</v>
      </c>
      <c r="H47" s="11">
        <f t="array" ref="H47">INDEX([22]Monitoring!$H$6:$H$582,MATCH(1,([22]Monitoring!$D$6:$D$582=$D47)*([22]Monitoring!$D$6:$D$582=$D47),0))</f>
        <v>46150</v>
      </c>
      <c r="I47" s="143">
        <f t="array" ref="I47">INDEX([22]Monitoring!$I$6:$I$582,MATCH(1,([22]Monitoring!$D$6:$D$582=$D47)*([22]Monitoring!$D$6:$D$582=$D47),0))</f>
        <v>569</v>
      </c>
      <c r="J47" s="9">
        <f t="array" ref="J47">IFERROR(I47/G47*100,0)</f>
        <v>9.3049877350776775</v>
      </c>
      <c r="K47" s="143">
        <f t="array" ref="K47">INDEX([22]Monitoring!$J$6:$J$582,MATCH(1,([22]Monitoring!$D$6:$D$582=$D47)*([22]Monitoring!$D$6:$D$582=$D47),0))</f>
        <v>88</v>
      </c>
      <c r="L47" s="9">
        <f t="shared" si="1"/>
        <v>15.465729349736378</v>
      </c>
      <c r="M47" s="8" t="str">
        <f t="array" ref="M47">IF(L47&gt;5,"Perlu Pengendalian",IF(AND(L47&gt;=0,I47&gt;0),"Tidak Perlu Pengendalian","Belum Sensus"))</f>
        <v>Perlu Pengendalian</v>
      </c>
    </row>
    <row r="48" spans="1:13" outlineLevel="1" x14ac:dyDescent="0.15">
      <c r="A48" s="8" t="s">
        <v>13</v>
      </c>
      <c r="B48" s="8" t="s">
        <v>14</v>
      </c>
      <c r="C48" s="8" t="s">
        <v>47</v>
      </c>
      <c r="D48" s="8" t="s">
        <v>59</v>
      </c>
      <c r="E48" s="9">
        <v>26.78</v>
      </c>
      <c r="F48" s="8" t="s">
        <v>16</v>
      </c>
      <c r="G48" s="10">
        <v>3747</v>
      </c>
      <c r="H48" s="11">
        <f t="array" ref="H48">INDEX([22]Monitoring!$H$6:$H$582,MATCH(1,([22]Monitoring!$D$6:$D$582=$D48)*([22]Monitoring!$D$6:$D$582=$D48),0))</f>
        <v>46150</v>
      </c>
      <c r="I48" s="143">
        <f t="array" ref="I48">INDEX([22]Monitoring!$I$6:$I$582,MATCH(1,([22]Monitoring!$D$6:$D$582=$D48)*([22]Monitoring!$D$6:$D$582=$D48),0))</f>
        <v>378</v>
      </c>
      <c r="J48" s="9">
        <f t="array" ref="J48">IFERROR(I48/G48*100,0)</f>
        <v>10.088070456365092</v>
      </c>
      <c r="K48" s="143">
        <f t="array" ref="K48">INDEX([22]Monitoring!$J$6:$J$582,MATCH(1,([22]Monitoring!$D$6:$D$582=$D48)*([22]Monitoring!$D$6:$D$582=$D48),0))</f>
        <v>38</v>
      </c>
      <c r="L48" s="9">
        <f t="shared" si="1"/>
        <v>10.052910052910052</v>
      </c>
      <c r="M48" s="8" t="str">
        <f t="array" ref="M48">IF(L48&gt;5,"Perlu Pengendalian",IF(AND(L48&gt;=0,I48&gt;0),"Tidak Perlu Pengendalian","Belum Sensus"))</f>
        <v>Perlu Pengendalian</v>
      </c>
    </row>
    <row r="49" spans="1:13" outlineLevel="1" x14ac:dyDescent="0.15">
      <c r="A49" s="8" t="s">
        <v>13</v>
      </c>
      <c r="B49" s="8" t="s">
        <v>14</v>
      </c>
      <c r="C49" s="8" t="s">
        <v>47</v>
      </c>
      <c r="D49" s="8" t="s">
        <v>60</v>
      </c>
      <c r="E49" s="9">
        <v>24.9</v>
      </c>
      <c r="F49" s="8" t="s">
        <v>16</v>
      </c>
      <c r="G49" s="10">
        <v>3241</v>
      </c>
      <c r="H49" s="11">
        <f t="array" ref="H49">INDEX([22]Monitoring!$H$6:$H$582,MATCH(1,([22]Monitoring!$D$6:$D$582=$D49)*([22]Monitoring!$D$6:$D$582=$D49),0))</f>
        <v>46151</v>
      </c>
      <c r="I49" s="143">
        <f t="array" ref="I49">INDEX([22]Monitoring!$I$6:$I$582,MATCH(1,([22]Monitoring!$D$6:$D$582=$D49)*([22]Monitoring!$D$6:$D$582=$D49),0))</f>
        <v>302</v>
      </c>
      <c r="J49" s="9">
        <f t="array" ref="J49">IFERROR(I49/G49*100,0)</f>
        <v>9.3181116939216295</v>
      </c>
      <c r="K49" s="143">
        <f t="array" ref="K49">INDEX([22]Monitoring!$J$6:$J$582,MATCH(1,([22]Monitoring!$D$6:$D$582=$D49)*([22]Monitoring!$D$6:$D$582=$D49),0))</f>
        <v>53</v>
      </c>
      <c r="L49" s="9">
        <f t="shared" si="1"/>
        <v>17.549668874172188</v>
      </c>
      <c r="M49" s="8" t="str">
        <f t="array" ref="M49">IF(L49&gt;5,"Perlu Pengendalian",IF(AND(L49&gt;=0,I49&gt;0),"Tidak Perlu Pengendalian","Belum Sensus"))</f>
        <v>Perlu Pengendalian</v>
      </c>
    </row>
    <row r="50" spans="1:13" outlineLevel="1" x14ac:dyDescent="0.15">
      <c r="A50" s="8" t="s">
        <v>13</v>
      </c>
      <c r="B50" s="8" t="s">
        <v>14</v>
      </c>
      <c r="C50" s="8" t="s">
        <v>47</v>
      </c>
      <c r="D50" s="8" t="s">
        <v>61</v>
      </c>
      <c r="E50" s="9">
        <v>24.32</v>
      </c>
      <c r="F50" s="8" t="s">
        <v>16</v>
      </c>
      <c r="G50" s="10">
        <v>3372</v>
      </c>
      <c r="H50" s="11">
        <f t="array" ref="H50">INDEX([22]Monitoring!$H$6:$H$582,MATCH(1,([22]Monitoring!$D$6:$D$582=$D50)*([22]Monitoring!$D$6:$D$582=$D50),0))</f>
        <v>46157</v>
      </c>
      <c r="I50" s="143">
        <f t="array" ref="I50">INDEX([22]Monitoring!$I$6:$I$582,MATCH(1,([22]Monitoring!$D$6:$D$582=$D50)*([22]Monitoring!$D$6:$D$582=$D50),0))</f>
        <v>320</v>
      </c>
      <c r="J50" s="9">
        <f t="array" ref="J50">IFERROR(I50/G50*100,0)</f>
        <v>9.4899169632265714</v>
      </c>
      <c r="K50" s="143">
        <f t="array" ref="K50">INDEX([22]Monitoring!$J$6:$J$582,MATCH(1,([22]Monitoring!$D$6:$D$582=$D50)*([22]Monitoring!$D$6:$D$582=$D50),0))</f>
        <v>42</v>
      </c>
      <c r="L50" s="9">
        <f t="shared" si="1"/>
        <v>13.125</v>
      </c>
      <c r="M50" s="8" t="str">
        <f t="array" ref="M50">IF(L50&gt;5,"Perlu Pengendalian",IF(AND(L50&gt;=0,I50&gt;0),"Tidak Perlu Pengendalian","Belum Sensus"))</f>
        <v>Perlu Pengendalian</v>
      </c>
    </row>
    <row r="51" spans="1:13" outlineLevel="1" x14ac:dyDescent="0.15">
      <c r="A51" s="8" t="s">
        <v>13</v>
      </c>
      <c r="B51" s="8" t="s">
        <v>14</v>
      </c>
      <c r="C51" s="8" t="s">
        <v>47</v>
      </c>
      <c r="D51" s="8" t="s">
        <v>62</v>
      </c>
      <c r="E51" s="9">
        <v>24.44</v>
      </c>
      <c r="F51" s="8" t="s">
        <v>16</v>
      </c>
      <c r="G51" s="10">
        <v>3092</v>
      </c>
      <c r="H51" s="11">
        <f t="array" ref="H51">INDEX([22]Monitoring!$H$6:$H$582,MATCH(1,([22]Monitoring!$D$6:$D$582=$D51)*([22]Monitoring!$D$6:$D$582=$D51),0))</f>
        <v>46151</v>
      </c>
      <c r="I51" s="143">
        <f t="array" ref="I51">INDEX([22]Monitoring!$I$6:$I$582,MATCH(1,([22]Monitoring!$D$6:$D$582=$D51)*([22]Monitoring!$D$6:$D$582=$D51),0))</f>
        <v>310</v>
      </c>
      <c r="J51" s="9">
        <f t="array" ref="J51">IFERROR(I51/G51*100,0)</f>
        <v>10.025873221216042</v>
      </c>
      <c r="K51" s="143">
        <f t="array" ref="K51">INDEX([22]Monitoring!$J$6:$J$582,MATCH(1,([22]Monitoring!$D$6:$D$582=$D51)*([22]Monitoring!$D$6:$D$582=$D51),0))</f>
        <v>48</v>
      </c>
      <c r="L51" s="9">
        <f t="shared" si="1"/>
        <v>15.483870967741936</v>
      </c>
      <c r="M51" s="8" t="str">
        <f t="array" ref="M51">IF(L51&gt;5,"Perlu Pengendalian",IF(AND(L51&gt;=0,I51&gt;0),"Tidak Perlu Pengendalian","Belum Sensus"))</f>
        <v>Perlu Pengendalian</v>
      </c>
    </row>
    <row r="52" spans="1:13" outlineLevel="1" x14ac:dyDescent="0.15">
      <c r="A52" s="8" t="s">
        <v>13</v>
      </c>
      <c r="B52" s="8" t="s">
        <v>14</v>
      </c>
      <c r="C52" s="8" t="s">
        <v>47</v>
      </c>
      <c r="D52" s="8" t="s">
        <v>63</v>
      </c>
      <c r="E52" s="9">
        <v>48.23</v>
      </c>
      <c r="F52" s="8" t="s">
        <v>16</v>
      </c>
      <c r="G52" s="10">
        <v>6143</v>
      </c>
      <c r="H52" s="11">
        <f t="array" ref="H52">INDEX([22]Monitoring!$H$6:$H$582,MATCH(1,([22]Monitoring!$D$6:$D$582=$D52)*([22]Monitoring!$D$6:$D$582=$D52),0))</f>
        <v>46151</v>
      </c>
      <c r="I52" s="143">
        <f t="array" ref="I52">INDEX([22]Monitoring!$I$6:$I$582,MATCH(1,([22]Monitoring!$D$6:$D$582=$D52)*([22]Monitoring!$D$6:$D$582=$D52),0))</f>
        <v>685</v>
      </c>
      <c r="J52" s="9">
        <f t="array" ref="J52">IFERROR(I52/G52*100,0)</f>
        <v>11.150903467361225</v>
      </c>
      <c r="K52" s="143">
        <f t="array" ref="K52">INDEX([22]Monitoring!$J$6:$J$582,MATCH(1,([22]Monitoring!$D$6:$D$582=$D52)*([22]Monitoring!$D$6:$D$582=$D52),0))</f>
        <v>86</v>
      </c>
      <c r="L52" s="9">
        <f t="shared" si="1"/>
        <v>12.554744525547445</v>
      </c>
      <c r="M52" s="8" t="str">
        <f t="array" ref="M52">IF(L52&gt;5,"Perlu Pengendalian",IF(AND(L52&gt;=0,I52&gt;0),"Tidak Perlu Pengendalian","Belum Sensus"))</f>
        <v>Perlu Pengendalian</v>
      </c>
    </row>
    <row r="53" spans="1:13" outlineLevel="1" x14ac:dyDescent="0.15">
      <c r="A53" s="8" t="s">
        <v>13</v>
      </c>
      <c r="B53" s="8" t="s">
        <v>14</v>
      </c>
      <c r="C53" s="8" t="s">
        <v>47</v>
      </c>
      <c r="D53" s="8" t="s">
        <v>64</v>
      </c>
      <c r="E53" s="9">
        <v>30.33</v>
      </c>
      <c r="F53" s="8" t="s">
        <v>16</v>
      </c>
      <c r="G53" s="10">
        <v>4041</v>
      </c>
      <c r="H53" s="11">
        <f t="array" ref="H53">INDEX([22]Monitoring!$H$6:$H$582,MATCH(1,([22]Monitoring!$D$6:$D$582=$D53)*([22]Monitoring!$D$6:$D$582=$D53),0))</f>
        <v>46151</v>
      </c>
      <c r="I53" s="143">
        <f t="array" ref="I53">INDEX([22]Monitoring!$I$6:$I$582,MATCH(1,([22]Monitoring!$D$6:$D$582=$D53)*([22]Monitoring!$D$6:$D$582=$D53),0))</f>
        <v>444</v>
      </c>
      <c r="J53" s="9">
        <f t="array" ref="J53">IFERROR(I53/G53*100,0)</f>
        <v>10.987379361544173</v>
      </c>
      <c r="K53" s="143">
        <f t="array" ref="K53">INDEX([22]Monitoring!$J$6:$J$582,MATCH(1,([22]Monitoring!$D$6:$D$582=$D53)*([22]Monitoring!$D$6:$D$582=$D53),0))</f>
        <v>25</v>
      </c>
      <c r="L53" s="9">
        <f t="shared" si="1"/>
        <v>5.6306306306306304</v>
      </c>
      <c r="M53" s="8" t="str">
        <f t="array" ref="M53">IF(L53&gt;5,"Perlu Pengendalian",IF(AND(L53&gt;=0,I53&gt;0),"Tidak Perlu Pengendalian","Belum Sensus"))</f>
        <v>Perlu Pengendalian</v>
      </c>
    </row>
    <row r="54" spans="1:13" outlineLevel="1" x14ac:dyDescent="0.15">
      <c r="A54" s="8" t="s">
        <v>13</v>
      </c>
      <c r="B54" s="8" t="s">
        <v>14</v>
      </c>
      <c r="C54" s="8" t="s">
        <v>47</v>
      </c>
      <c r="D54" s="8" t="s">
        <v>65</v>
      </c>
      <c r="E54" s="9">
        <v>33.869999999999997</v>
      </c>
      <c r="F54" s="8" t="s">
        <v>16</v>
      </c>
      <c r="G54" s="10">
        <v>5215</v>
      </c>
      <c r="H54" s="11">
        <f t="array" ref="H54">INDEX([22]Monitoring!$H$6:$H$582,MATCH(1,([22]Monitoring!$D$6:$D$582=$D54)*([22]Monitoring!$D$6:$D$582=$D54),0))</f>
        <v>46153</v>
      </c>
      <c r="I54" s="143">
        <f t="array" ref="I54">INDEX([22]Monitoring!$I$6:$I$582,MATCH(1,([22]Monitoring!$D$6:$D$582=$D54)*([22]Monitoring!$D$6:$D$582=$D54),0))</f>
        <v>510</v>
      </c>
      <c r="J54" s="9">
        <f t="array" ref="J54">IFERROR(I54/G54*100,0)</f>
        <v>9.7794822627037394</v>
      </c>
      <c r="K54" s="143">
        <f t="array" ref="K54">INDEX([22]Monitoring!$J$6:$J$582,MATCH(1,([22]Monitoring!$D$6:$D$582=$D54)*([22]Monitoring!$D$6:$D$582=$D54),0))</f>
        <v>21</v>
      </c>
      <c r="L54" s="9">
        <f t="shared" si="1"/>
        <v>4.117647058823529</v>
      </c>
      <c r="M54" s="8" t="str">
        <f t="array" ref="M54">IF(L54&gt;5,"Perlu Pengendalian",IF(AND(L54&gt;=0,I54&gt;0),"Tidak Perlu Pengendalian","Belum Sensus"))</f>
        <v>Tidak Perlu Pengendalian</v>
      </c>
    </row>
    <row r="55" spans="1:13" outlineLevel="1" x14ac:dyDescent="0.15">
      <c r="A55" s="8" t="s">
        <v>13</v>
      </c>
      <c r="B55" s="8" t="s">
        <v>14</v>
      </c>
      <c r="C55" s="8" t="s">
        <v>47</v>
      </c>
      <c r="D55" s="8" t="s">
        <v>66</v>
      </c>
      <c r="E55" s="9">
        <v>47.53</v>
      </c>
      <c r="F55" s="8" t="s">
        <v>16</v>
      </c>
      <c r="G55" s="10">
        <v>7139</v>
      </c>
      <c r="H55" s="11">
        <f t="array" ref="H55">INDEX([22]Monitoring!$H$6:$H$582,MATCH(1,([22]Monitoring!$D$6:$D$582=$D55)*([22]Monitoring!$D$6:$D$582=$D55),0))</f>
        <v>46153</v>
      </c>
      <c r="I55" s="143">
        <f t="array" ref="I55">INDEX([22]Monitoring!$I$6:$I$582,MATCH(1,([22]Monitoring!$D$6:$D$582=$D55)*([22]Monitoring!$D$6:$D$582=$D55),0))</f>
        <v>749</v>
      </c>
      <c r="J55" s="9">
        <f t="array" ref="J55">IFERROR(I55/G55*100,0)</f>
        <v>10.49166549936966</v>
      </c>
      <c r="K55" s="143">
        <f t="array" ref="K55">INDEX([22]Monitoring!$J$6:$J$582,MATCH(1,([22]Monitoring!$D$6:$D$582=$D55)*([22]Monitoring!$D$6:$D$582=$D55),0))</f>
        <v>79</v>
      </c>
      <c r="L55" s="9">
        <f t="shared" si="1"/>
        <v>10.54739652870494</v>
      </c>
      <c r="M55" s="8" t="str">
        <f t="array" ref="M55">IF(L55&gt;5,"Perlu Pengendalian",IF(AND(L55&gt;=0,I55&gt;0),"Tidak Perlu Pengendalian","Belum Sensus"))</f>
        <v>Perlu Pengendalian</v>
      </c>
    </row>
    <row r="56" spans="1:13" outlineLevel="1" x14ac:dyDescent="0.15">
      <c r="A56" s="8" t="s">
        <v>13</v>
      </c>
      <c r="B56" s="8" t="s">
        <v>14</v>
      </c>
      <c r="C56" s="8" t="s">
        <v>47</v>
      </c>
      <c r="D56" s="8" t="s">
        <v>67</v>
      </c>
      <c r="E56" s="9">
        <v>25.79</v>
      </c>
      <c r="F56" s="8" t="s">
        <v>16</v>
      </c>
      <c r="G56" s="10">
        <v>3762</v>
      </c>
      <c r="H56" s="11">
        <f t="array" ref="H56">INDEX([22]Monitoring!$H$6:$H$582,MATCH(1,([22]Monitoring!$D$6:$D$582=$D56)*([22]Monitoring!$D$6:$D$582=$D56),0))</f>
        <v>46153</v>
      </c>
      <c r="I56" s="143">
        <f t="array" ref="I56">INDEX([22]Monitoring!$I$6:$I$582,MATCH(1,([22]Monitoring!$D$6:$D$582=$D56)*([22]Monitoring!$D$6:$D$582=$D56),0))</f>
        <v>365</v>
      </c>
      <c r="J56" s="9">
        <f t="array" ref="J56">IFERROR(I56/G56*100,0)</f>
        <v>9.7022860180754922</v>
      </c>
      <c r="K56" s="143">
        <f t="array" ref="K56">INDEX([22]Monitoring!$J$6:$J$582,MATCH(1,([22]Monitoring!$D$6:$D$582=$D56)*([22]Monitoring!$D$6:$D$582=$D56),0))</f>
        <v>46</v>
      </c>
      <c r="L56" s="9">
        <f t="shared" si="1"/>
        <v>12.602739726027398</v>
      </c>
      <c r="M56" s="8" t="str">
        <f t="array" ref="M56">IF(L56&gt;5,"Perlu Pengendalian",IF(AND(L56&gt;=0,I56&gt;0),"Tidak Perlu Pengendalian","Belum Sensus"))</f>
        <v>Perlu Pengendalian</v>
      </c>
    </row>
    <row r="57" spans="1:13" outlineLevel="1" x14ac:dyDescent="0.15">
      <c r="A57" s="8" t="s">
        <v>13</v>
      </c>
      <c r="B57" s="8" t="s">
        <v>14</v>
      </c>
      <c r="C57" s="8" t="s">
        <v>47</v>
      </c>
      <c r="D57" s="8" t="s">
        <v>68</v>
      </c>
      <c r="E57" s="9">
        <v>25.37</v>
      </c>
      <c r="F57" s="8" t="s">
        <v>16</v>
      </c>
      <c r="G57" s="10">
        <v>3857</v>
      </c>
      <c r="H57" s="11">
        <f t="array" ref="H57">INDEX([22]Monitoring!$H$6:$H$582,MATCH(1,([22]Monitoring!$D$6:$D$582=$D57)*([22]Monitoring!$D$6:$D$582=$D57),0))</f>
        <v>46154</v>
      </c>
      <c r="I57" s="143">
        <f t="array" ref="I57">INDEX([22]Monitoring!$I$6:$I$582,MATCH(1,([22]Monitoring!$D$6:$D$582=$D57)*([22]Monitoring!$D$6:$D$582=$D57),0))</f>
        <v>375</v>
      </c>
      <c r="J57" s="9">
        <f t="array" ref="J57">IFERROR(I57/G57*100,0)</f>
        <v>9.7225823178636244</v>
      </c>
      <c r="K57" s="143">
        <f t="array" ref="K57">INDEX([22]Monitoring!$J$6:$J$582,MATCH(1,([22]Monitoring!$D$6:$D$582=$D57)*([22]Monitoring!$D$6:$D$582=$D57),0))</f>
        <v>44</v>
      </c>
      <c r="L57" s="9">
        <f t="shared" si="1"/>
        <v>11.733333333333333</v>
      </c>
      <c r="M57" s="8" t="str">
        <f t="array" ref="M57">IF(L57&gt;5,"Perlu Pengendalian",IF(AND(L57&gt;=0,I57&gt;0),"Tidak Perlu Pengendalian","Belum Sensus"))</f>
        <v>Perlu Pengendalian</v>
      </c>
    </row>
    <row r="58" spans="1:13" outlineLevel="1" x14ac:dyDescent="0.15">
      <c r="A58" s="8" t="s">
        <v>13</v>
      </c>
      <c r="B58" s="8" t="s">
        <v>14</v>
      </c>
      <c r="C58" s="8" t="s">
        <v>47</v>
      </c>
      <c r="D58" s="8" t="s">
        <v>69</v>
      </c>
      <c r="E58" s="9">
        <v>23.87</v>
      </c>
      <c r="F58" s="8" t="s">
        <v>16</v>
      </c>
      <c r="G58" s="10">
        <v>3450</v>
      </c>
      <c r="H58" s="11">
        <f t="array" ref="H58">INDEX([22]Monitoring!$H$6:$H$582,MATCH(1,([22]Monitoring!$D$6:$D$582=$D58)*([22]Monitoring!$D$6:$D$582=$D58),0))</f>
        <v>46154</v>
      </c>
      <c r="I58" s="143">
        <f t="array" ref="I58">INDEX([22]Monitoring!$I$6:$I$582,MATCH(1,([22]Monitoring!$D$6:$D$582=$D58)*([22]Monitoring!$D$6:$D$582=$D58),0))</f>
        <v>333</v>
      </c>
      <c r="J58" s="9">
        <f t="array" ref="J58">IFERROR(I58/G58*100,0)</f>
        <v>9.6521739130434785</v>
      </c>
      <c r="K58" s="143">
        <f t="array" ref="K58">INDEX([22]Monitoring!$J$6:$J$582,MATCH(1,([22]Monitoring!$D$6:$D$582=$D58)*([22]Monitoring!$D$6:$D$582=$D58),0))</f>
        <v>39</v>
      </c>
      <c r="L58" s="9">
        <f t="shared" si="1"/>
        <v>11.711711711711711</v>
      </c>
      <c r="M58" s="8" t="str">
        <f t="array" ref="M58">IF(L58&gt;5,"Perlu Pengendalian",IF(AND(L58&gt;=0,I58&gt;0),"Tidak Perlu Pengendalian","Belum Sensus"))</f>
        <v>Perlu Pengendalian</v>
      </c>
    </row>
    <row r="59" spans="1:13" outlineLevel="1" x14ac:dyDescent="0.15">
      <c r="A59" s="8" t="s">
        <v>13</v>
      </c>
      <c r="B59" s="8" t="s">
        <v>14</v>
      </c>
      <c r="C59" s="8" t="s">
        <v>47</v>
      </c>
      <c r="D59" s="8" t="s">
        <v>70</v>
      </c>
      <c r="E59" s="9">
        <v>46.52</v>
      </c>
      <c r="F59" s="8" t="s">
        <v>16</v>
      </c>
      <c r="G59" s="10">
        <v>5356</v>
      </c>
      <c r="H59" s="11">
        <f t="array" ref="H59">INDEX([22]Monitoring!$H$6:$H$582,MATCH(1,([22]Monitoring!$D$6:$D$582=$D59)*([22]Monitoring!$D$6:$D$582=$D59),0))</f>
        <v>46155</v>
      </c>
      <c r="I59" s="143">
        <f t="array" ref="I59">INDEX([22]Monitoring!$I$6:$I$582,MATCH(1,([22]Monitoring!$D$6:$D$582=$D59)*([22]Monitoring!$D$6:$D$582=$D59),0))</f>
        <v>724</v>
      </c>
      <c r="J59" s="9">
        <f t="array" ref="J59">IFERROR(I59/G59*100,0)</f>
        <v>13.517550410754295</v>
      </c>
      <c r="K59" s="143">
        <f t="array" ref="K59">INDEX([22]Monitoring!$J$6:$J$582,MATCH(1,([22]Monitoring!$D$6:$D$582=$D59)*([22]Monitoring!$D$6:$D$582=$D59),0))</f>
        <v>75</v>
      </c>
      <c r="L59" s="9">
        <f t="shared" si="1"/>
        <v>10.359116022099448</v>
      </c>
      <c r="M59" s="8" t="str">
        <f t="array" ref="M59">IF(L59&gt;5,"Perlu Pengendalian",IF(AND(L59&gt;=0,I59&gt;0),"Tidak Perlu Pengendalian","Belum Sensus"))</f>
        <v>Perlu Pengendalian</v>
      </c>
    </row>
    <row r="60" spans="1:13" outlineLevel="1" x14ac:dyDescent="0.15">
      <c r="A60" s="8" t="s">
        <v>13</v>
      </c>
      <c r="B60" s="8" t="s">
        <v>14</v>
      </c>
      <c r="C60" s="8" t="s">
        <v>47</v>
      </c>
      <c r="D60" s="8" t="s">
        <v>71</v>
      </c>
      <c r="E60" s="9">
        <v>29.69</v>
      </c>
      <c r="F60" s="8" t="s">
        <v>16</v>
      </c>
      <c r="G60" s="10">
        <v>4066</v>
      </c>
      <c r="H60" s="11">
        <f t="array" ref="H60">INDEX([22]Monitoring!$H$6:$H$582,MATCH(1,([22]Monitoring!$D$6:$D$582=$D60)*([22]Monitoring!$D$6:$D$582=$D60),0))</f>
        <v>46154</v>
      </c>
      <c r="I60" s="143">
        <f t="array" ref="I60">INDEX([22]Monitoring!$I$6:$I$582,MATCH(1,([22]Monitoring!$D$6:$D$582=$D60)*([22]Monitoring!$D$6:$D$582=$D60),0))</f>
        <v>389</v>
      </c>
      <c r="J60" s="9">
        <f t="array" ref="J60">IFERROR(I60/G60*100,0)</f>
        <v>9.5671421544515489</v>
      </c>
      <c r="K60" s="143">
        <f t="array" ref="K60">INDEX([22]Monitoring!$J$6:$J$582,MATCH(1,([22]Monitoring!$D$6:$D$582=$D60)*([22]Monitoring!$D$6:$D$582=$D60),0))</f>
        <v>61</v>
      </c>
      <c r="L60" s="9">
        <f t="shared" si="1"/>
        <v>15.681233933161954</v>
      </c>
      <c r="M60" s="8" t="str">
        <f t="array" ref="M60">IF(L60&gt;5,"Perlu Pengendalian",IF(AND(L60&gt;=0,I60&gt;0),"Tidak Perlu Pengendalian","Belum Sensus"))</f>
        <v>Perlu Pengendalian</v>
      </c>
    </row>
    <row r="61" spans="1:13" outlineLevel="1" x14ac:dyDescent="0.15">
      <c r="A61" s="8" t="s">
        <v>13</v>
      </c>
      <c r="B61" s="8" t="s">
        <v>14</v>
      </c>
      <c r="C61" s="8" t="s">
        <v>47</v>
      </c>
      <c r="D61" s="8" t="s">
        <v>72</v>
      </c>
      <c r="E61" s="9">
        <v>26.88</v>
      </c>
      <c r="F61" s="8" t="s">
        <v>16</v>
      </c>
      <c r="G61" s="10">
        <v>3881</v>
      </c>
      <c r="H61" s="11">
        <f t="array" ref="H61">INDEX([22]Monitoring!$H$6:$H$582,MATCH(1,([22]Monitoring!$D$6:$D$582=$D61)*([22]Monitoring!$D$6:$D$582=$D61),0))</f>
        <v>46155</v>
      </c>
      <c r="I61" s="143">
        <f t="array" ref="I61">INDEX([22]Monitoring!$I$6:$I$582,MATCH(1,([22]Monitoring!$D$6:$D$582=$D61)*([22]Monitoring!$D$6:$D$582=$D61),0))</f>
        <v>390</v>
      </c>
      <c r="J61" s="9">
        <f t="array" ref="J61">IFERROR(I61/G61*100,0)</f>
        <v>10.048956454522031</v>
      </c>
      <c r="K61" s="143">
        <f t="array" ref="K61">INDEX([22]Monitoring!$J$6:$J$582,MATCH(1,([22]Monitoring!$D$6:$D$582=$D61)*([22]Monitoring!$D$6:$D$582=$D61),0))</f>
        <v>12</v>
      </c>
      <c r="L61" s="9">
        <f t="shared" si="1"/>
        <v>3.0769230769230771</v>
      </c>
      <c r="M61" s="8" t="str">
        <f t="array" ref="M61">IF(L61&gt;5,"Perlu Pengendalian",IF(AND(L61&gt;=0,I61&gt;0),"Tidak Perlu Pengendalian","Belum Sensus"))</f>
        <v>Tidak Perlu Pengendalian</v>
      </c>
    </row>
    <row r="62" spans="1:13" outlineLevel="1" x14ac:dyDescent="0.15">
      <c r="A62" s="8" t="s">
        <v>13</v>
      </c>
      <c r="B62" s="8" t="s">
        <v>14</v>
      </c>
      <c r="C62" s="8" t="s">
        <v>47</v>
      </c>
      <c r="D62" s="8" t="s">
        <v>73</v>
      </c>
      <c r="E62" s="9">
        <v>46.63</v>
      </c>
      <c r="F62" s="8" t="s">
        <v>16</v>
      </c>
      <c r="G62" s="10">
        <v>6743</v>
      </c>
      <c r="H62" s="11">
        <f t="array" ref="H62">INDEX([22]Monitoring!$H$6:$H$582,MATCH(1,([22]Monitoring!$D$6:$D$582=$D62)*([22]Monitoring!$D$6:$D$582=$D62),0))</f>
        <v>46155</v>
      </c>
      <c r="I62" s="143">
        <f t="array" ref="I62">INDEX([22]Monitoring!$I$6:$I$582,MATCH(1,([22]Monitoring!$D$6:$D$582=$D62)*([22]Monitoring!$D$6:$D$582=$D62),0))</f>
        <v>594</v>
      </c>
      <c r="J62" s="9">
        <f t="array" ref="J62">IFERROR(I62/G62*100,0)</f>
        <v>8.8091353996737354</v>
      </c>
      <c r="K62" s="143">
        <f t="array" ref="K62">INDEX([22]Monitoring!$J$6:$J$582,MATCH(1,([22]Monitoring!$D$6:$D$582=$D62)*([22]Monitoring!$D$6:$D$582=$D62),0))</f>
        <v>60</v>
      </c>
      <c r="L62" s="9">
        <f t="shared" si="1"/>
        <v>10.1010101010101</v>
      </c>
      <c r="M62" s="8" t="str">
        <f t="array" ref="M62">IF(L62&gt;5,"Perlu Pengendalian",IF(AND(L62&gt;=0,I62&gt;0),"Tidak Perlu Pengendalian","Belum Sensus"))</f>
        <v>Perlu Pengendalian</v>
      </c>
    </row>
    <row r="63" spans="1:13" outlineLevel="1" x14ac:dyDescent="0.15">
      <c r="A63" s="8" t="s">
        <v>13</v>
      </c>
      <c r="B63" s="8" t="s">
        <v>14</v>
      </c>
      <c r="C63" s="8" t="s">
        <v>47</v>
      </c>
      <c r="D63" s="8" t="s">
        <v>74</v>
      </c>
      <c r="E63" s="9">
        <v>28.87</v>
      </c>
      <c r="F63" s="8" t="s">
        <v>16</v>
      </c>
      <c r="G63" s="10">
        <v>4210</v>
      </c>
      <c r="H63" s="11">
        <f t="array" ref="H63">INDEX([22]Monitoring!$H$6:$H$582,MATCH(1,([22]Monitoring!$D$6:$D$582=$D63)*([22]Monitoring!$D$6:$D$582=$D63),0))</f>
        <v>46157</v>
      </c>
      <c r="I63" s="143">
        <f t="array" ref="I63">INDEX([22]Monitoring!$I$6:$I$582,MATCH(1,([22]Monitoring!$D$6:$D$582=$D63)*([22]Monitoring!$D$6:$D$582=$D63),0))</f>
        <v>406</v>
      </c>
      <c r="J63" s="9">
        <f t="array" ref="J63">IFERROR(I63/G63*100,0)</f>
        <v>9.6437054631828971</v>
      </c>
      <c r="K63" s="143">
        <f t="array" ref="K63">INDEX([22]Monitoring!$J$6:$J$582,MATCH(1,([22]Monitoring!$D$6:$D$582=$D63)*([22]Monitoring!$D$6:$D$582=$D63),0))</f>
        <v>38</v>
      </c>
      <c r="L63" s="9">
        <f t="shared" si="1"/>
        <v>9.3596059113300498</v>
      </c>
      <c r="M63" s="8" t="str">
        <f t="array" ref="M63">IF(L63&gt;5,"Perlu Pengendalian",IF(AND(L63&gt;=0,I63&gt;0),"Tidak Perlu Pengendalian","Belum Sensus"))</f>
        <v>Perlu Pengendalian</v>
      </c>
    </row>
    <row r="64" spans="1:13" outlineLevel="1" x14ac:dyDescent="0.15">
      <c r="A64" s="8" t="s">
        <v>13</v>
      </c>
      <c r="B64" s="8" t="s">
        <v>14</v>
      </c>
      <c r="C64" s="8" t="s">
        <v>47</v>
      </c>
      <c r="D64" s="8" t="s">
        <v>75</v>
      </c>
      <c r="E64" s="9">
        <v>25.39</v>
      </c>
      <c r="F64" s="8" t="s">
        <v>16</v>
      </c>
      <c r="G64" s="10">
        <v>3690</v>
      </c>
      <c r="H64" s="11">
        <f t="array" ref="H64">INDEX([22]Monitoring!$H$6:$H$582,MATCH(1,([22]Monitoring!$D$6:$D$582=$D64)*([22]Monitoring!$D$6:$D$582=$D64),0))</f>
        <v>46157</v>
      </c>
      <c r="I64" s="143">
        <f t="array" ref="I64">INDEX([22]Monitoring!$I$6:$I$582,MATCH(1,([22]Monitoring!$D$6:$D$582=$D64)*([22]Monitoring!$D$6:$D$582=$D64),0))</f>
        <v>395</v>
      </c>
      <c r="J64" s="9">
        <f t="array" ref="J64">IFERROR(I64/G64*100,0)</f>
        <v>10.704607046070461</v>
      </c>
      <c r="K64" s="143">
        <f t="array" ref="K64">INDEX([22]Monitoring!$J$6:$J$582,MATCH(1,([22]Monitoring!$D$6:$D$582=$D64)*([22]Monitoring!$D$6:$D$582=$D64),0))</f>
        <v>31</v>
      </c>
      <c r="L64" s="9">
        <f t="shared" si="1"/>
        <v>7.8481012658227849</v>
      </c>
      <c r="M64" s="8" t="str">
        <f t="array" ref="M64">IF(L64&gt;5,"Perlu Pengendalian",IF(AND(L64&gt;=0,I64&gt;0),"Tidak Perlu Pengendalian","Belum Sensus"))</f>
        <v>Perlu Pengendalian</v>
      </c>
    </row>
    <row r="65" spans="1:13" outlineLevel="1" x14ac:dyDescent="0.15">
      <c r="A65" s="8" t="s">
        <v>13</v>
      </c>
      <c r="B65" s="8" t="s">
        <v>14</v>
      </c>
      <c r="C65" s="8" t="s">
        <v>47</v>
      </c>
      <c r="D65" s="8" t="s">
        <v>76</v>
      </c>
      <c r="E65" s="9">
        <v>25.57</v>
      </c>
      <c r="F65" s="8" t="s">
        <v>16</v>
      </c>
      <c r="G65" s="10">
        <v>3686</v>
      </c>
      <c r="H65" s="11">
        <f t="array" ref="H65">INDEX([22]Monitoring!$H$6:$H$582,MATCH(1,([22]Monitoring!$D$6:$D$582=$D65)*([22]Monitoring!$D$6:$D$582=$D65),0))</f>
        <v>46157</v>
      </c>
      <c r="I65" s="143">
        <f t="array" ref="I65">INDEX([22]Monitoring!$I$6:$I$582,MATCH(1,([22]Monitoring!$D$6:$D$582=$D65)*([22]Monitoring!$D$6:$D$582=$D65),0))</f>
        <v>345</v>
      </c>
      <c r="J65" s="9">
        <f t="array" ref="J65">IFERROR(I65/G65*100,0)</f>
        <v>9.3597395550732507</v>
      </c>
      <c r="K65" s="143">
        <f t="array" ref="K65">INDEX([22]Monitoring!$J$6:$J$582,MATCH(1,([22]Monitoring!$D$6:$D$582=$D65)*([22]Monitoring!$D$6:$D$582=$D65),0))</f>
        <v>26</v>
      </c>
      <c r="L65" s="9">
        <f t="shared" si="1"/>
        <v>7.5362318840579716</v>
      </c>
      <c r="M65" s="8" t="str">
        <f t="array" ref="M65">IF(L65&gt;5,"Perlu Pengendalian",IF(AND(L65&gt;=0,I65&gt;0),"Tidak Perlu Pengendalian","Belum Sensus"))</f>
        <v>Perlu Pengendalian</v>
      </c>
    </row>
    <row r="66" spans="1:13" outlineLevel="1" x14ac:dyDescent="0.15">
      <c r="A66" s="8" t="s">
        <v>13</v>
      </c>
      <c r="B66" s="8" t="s">
        <v>14</v>
      </c>
      <c r="C66" s="8" t="s">
        <v>47</v>
      </c>
      <c r="D66" s="8" t="s">
        <v>77</v>
      </c>
      <c r="E66" s="9">
        <v>46.99</v>
      </c>
      <c r="F66" s="8" t="s">
        <v>16</v>
      </c>
      <c r="G66" s="10">
        <v>6769</v>
      </c>
      <c r="H66" s="11">
        <f t="array" ref="H66">INDEX([22]Monitoring!$H$6:$H$582,MATCH(1,([22]Monitoring!$D$6:$D$582=$D66)*([22]Monitoring!$D$6:$D$582=$D66),0))</f>
        <v>46157</v>
      </c>
      <c r="I66" s="143">
        <f t="array" ref="I66">INDEX([22]Monitoring!$I$6:$I$582,MATCH(1,([22]Monitoring!$D$6:$D$582=$D66)*([22]Monitoring!$D$6:$D$582=$D66),0))</f>
        <v>666</v>
      </c>
      <c r="J66" s="9">
        <f t="array" ref="J66">IFERROR(I66/G66*100,0)</f>
        <v>9.8389717831289705</v>
      </c>
      <c r="K66" s="143">
        <f t="array" ref="K66">INDEX([22]Monitoring!$J$6:$J$582,MATCH(1,([22]Monitoring!$D$6:$D$582=$D66)*([22]Monitoring!$D$6:$D$582=$D66),0))</f>
        <v>49</v>
      </c>
      <c r="L66" s="9">
        <f t="shared" si="1"/>
        <v>7.3573573573573565</v>
      </c>
      <c r="M66" s="8" t="str">
        <f t="array" ref="M66">IF(L66&gt;5,"Perlu Pengendalian",IF(AND(L66&gt;=0,I66&gt;0),"Tidak Perlu Pengendalian","Belum Sensus"))</f>
        <v>Perlu Pengendalian</v>
      </c>
    </row>
    <row r="67" spans="1:13" outlineLevel="1" x14ac:dyDescent="0.15">
      <c r="A67" s="8" t="s">
        <v>13</v>
      </c>
      <c r="B67" s="8" t="s">
        <v>14</v>
      </c>
      <c r="C67" s="8" t="s">
        <v>47</v>
      </c>
      <c r="D67" s="8" t="s">
        <v>78</v>
      </c>
      <c r="E67" s="9">
        <v>33.119999999999997</v>
      </c>
      <c r="F67" s="8" t="s">
        <v>16</v>
      </c>
      <c r="G67" s="10">
        <v>4487</v>
      </c>
      <c r="H67" s="11">
        <f t="array" ref="H67">INDEX([22]Monitoring!$H$6:$H$582,MATCH(1,([22]Monitoring!$D$6:$D$582=$D67)*([22]Monitoring!$D$6:$D$582=$D67),0))</f>
        <v>46157</v>
      </c>
      <c r="I67" s="143">
        <f t="array" ref="I67">INDEX([22]Monitoring!$I$6:$I$582,MATCH(1,([22]Monitoring!$D$6:$D$582=$D67)*([22]Monitoring!$D$6:$D$582=$D67),0))</f>
        <v>387</v>
      </c>
      <c r="J67" s="9">
        <f t="array" ref="J67">IFERROR(I67/G67*100,0)</f>
        <v>8.624916425228438</v>
      </c>
      <c r="K67" s="143">
        <f t="array" ref="K67">INDEX([22]Monitoring!$J$6:$J$582,MATCH(1,([22]Monitoring!$D$6:$D$582=$D67)*([22]Monitoring!$D$6:$D$582=$D67),0))</f>
        <v>39</v>
      </c>
      <c r="L67" s="9">
        <f t="shared" si="1"/>
        <v>10.077519379844961</v>
      </c>
      <c r="M67" s="8" t="str">
        <f t="array" ref="M67">IF(L67&gt;5,"Perlu Pengendalian",IF(AND(L67&gt;=0,I67&gt;0),"Tidak Perlu Pengendalian","Belum Sensus"))</f>
        <v>Perlu Pengendalian</v>
      </c>
    </row>
    <row r="68" spans="1:13" outlineLevel="1" x14ac:dyDescent="0.15">
      <c r="A68" s="8" t="s">
        <v>13</v>
      </c>
      <c r="B68" s="8" t="s">
        <v>14</v>
      </c>
      <c r="C68" s="8" t="s">
        <v>79</v>
      </c>
      <c r="D68" s="8" t="s">
        <v>80</v>
      </c>
      <c r="E68" s="9">
        <v>44.06</v>
      </c>
      <c r="F68" s="8" t="s">
        <v>16</v>
      </c>
      <c r="G68" s="10">
        <v>5654</v>
      </c>
      <c r="H68" s="11">
        <f t="array" ref="H68">INDEX([22]Monitoring!$H$6:$H$582,MATCH(1,([22]Monitoring!$D$6:$D$582=$D68)*([22]Monitoring!$D$6:$D$582=$D68),0))</f>
        <v>46158</v>
      </c>
      <c r="I68" s="143">
        <f t="array" ref="I68">INDEX([22]Monitoring!$I$6:$I$582,MATCH(1,([22]Monitoring!$D$6:$D$582=$D68)*([22]Monitoring!$D$6:$D$582=$D68),0))</f>
        <v>650</v>
      </c>
      <c r="J68" s="9">
        <f t="array" ref="J68">IFERROR(I68/G68*100,0)</f>
        <v>11.496285815351962</v>
      </c>
      <c r="K68" s="143">
        <f t="array" ref="K68">INDEX([22]Monitoring!$J$6:$J$582,MATCH(1,([22]Monitoring!$D$6:$D$582=$D68)*([22]Monitoring!$D$6:$D$582=$D68),0))</f>
        <v>98</v>
      </c>
      <c r="L68" s="9">
        <f t="shared" si="1"/>
        <v>15.076923076923077</v>
      </c>
      <c r="M68" s="8" t="str">
        <f t="array" ref="M68">IF(L68&gt;5,"Perlu Pengendalian",IF(AND(L68&gt;=0,I68&gt;0),"Tidak Perlu Pengendalian","Belum Sensus"))</f>
        <v>Perlu Pengendalian</v>
      </c>
    </row>
    <row r="69" spans="1:13" outlineLevel="1" x14ac:dyDescent="0.15">
      <c r="A69" s="8" t="s">
        <v>13</v>
      </c>
      <c r="B69" s="8" t="s">
        <v>14</v>
      </c>
      <c r="C69" s="8" t="s">
        <v>79</v>
      </c>
      <c r="D69" s="8" t="s">
        <v>81</v>
      </c>
      <c r="E69" s="9">
        <v>46.19</v>
      </c>
      <c r="F69" s="8" t="s">
        <v>16</v>
      </c>
      <c r="G69" s="10">
        <v>6326</v>
      </c>
      <c r="H69" s="11">
        <f t="array" ref="H69">INDEX([22]Monitoring!$H$6:$H$582,MATCH(1,([22]Monitoring!$D$6:$D$582=$D69)*([22]Monitoring!$D$6:$D$582=$D69),0))</f>
        <v>46155</v>
      </c>
      <c r="I69" s="143">
        <f t="array" ref="I69">INDEX([22]Monitoring!$I$6:$I$582,MATCH(1,([22]Monitoring!$D$6:$D$582=$D69)*([22]Monitoring!$D$6:$D$582=$D69),0))</f>
        <v>740</v>
      </c>
      <c r="J69" s="9">
        <f t="array" ref="J69">IFERROR(I69/G69*100,0)</f>
        <v>11.697755295605438</v>
      </c>
      <c r="K69" s="143">
        <f t="array" ref="K69">INDEX([22]Monitoring!$J$6:$J$582,MATCH(1,([22]Monitoring!$D$6:$D$582=$D69)*([22]Monitoring!$D$6:$D$582=$D69),0))</f>
        <v>69</v>
      </c>
      <c r="L69" s="9">
        <f t="shared" si="1"/>
        <v>9.3243243243243246</v>
      </c>
      <c r="M69" s="8" t="str">
        <f t="array" ref="M69">IF(L69&gt;5,"Perlu Pengendalian",IF(AND(L69&gt;=0,I69&gt;0),"Tidak Perlu Pengendalian","Belum Sensus"))</f>
        <v>Perlu Pengendalian</v>
      </c>
    </row>
    <row r="70" spans="1:13" outlineLevel="1" x14ac:dyDescent="0.15">
      <c r="A70" s="8" t="s">
        <v>13</v>
      </c>
      <c r="B70" s="8" t="s">
        <v>14</v>
      </c>
      <c r="C70" s="8" t="s">
        <v>79</v>
      </c>
      <c r="D70" s="8" t="s">
        <v>82</v>
      </c>
      <c r="E70" s="9">
        <v>46.52</v>
      </c>
      <c r="F70" s="8" t="s">
        <v>16</v>
      </c>
      <c r="G70" s="10">
        <v>6630</v>
      </c>
      <c r="H70" s="11">
        <f t="array" ref="H70">INDEX([22]Monitoring!$H$6:$H$582,MATCH(1,([22]Monitoring!$D$6:$D$582=$D70)*([22]Monitoring!$D$6:$D$582=$D70),0))</f>
        <v>46155</v>
      </c>
      <c r="I70" s="143">
        <f t="array" ref="I70">INDEX([22]Monitoring!$I$6:$I$582,MATCH(1,([22]Monitoring!$D$6:$D$582=$D70)*([22]Monitoring!$D$6:$D$582=$D70),0))</f>
        <v>406</v>
      </c>
      <c r="J70" s="9">
        <f t="array" ref="J70">IFERROR(I70/G70*100,0)</f>
        <v>6.1236802413272997</v>
      </c>
      <c r="K70" s="143">
        <f t="array" ref="K70">INDEX([22]Monitoring!$J$6:$J$582,MATCH(1,([22]Monitoring!$D$6:$D$582=$D70)*([22]Monitoring!$D$6:$D$582=$D70),0))</f>
        <v>19</v>
      </c>
      <c r="L70" s="9">
        <f t="shared" si="1"/>
        <v>4.6798029556650249</v>
      </c>
      <c r="M70" s="8" t="str">
        <f t="array" ref="M70">IF(L70&gt;5,"Perlu Pengendalian",IF(AND(L70&gt;=0,I70&gt;0),"Tidak Perlu Pengendalian","Belum Sensus"))</f>
        <v>Tidak Perlu Pengendalian</v>
      </c>
    </row>
    <row r="71" spans="1:13" outlineLevel="1" x14ac:dyDescent="0.15">
      <c r="A71" s="8" t="s">
        <v>13</v>
      </c>
      <c r="B71" s="8" t="s">
        <v>14</v>
      </c>
      <c r="C71" s="8" t="s">
        <v>79</v>
      </c>
      <c r="D71" s="8" t="s">
        <v>83</v>
      </c>
      <c r="E71" s="9">
        <v>46.29</v>
      </c>
      <c r="F71" s="8" t="s">
        <v>16</v>
      </c>
      <c r="G71" s="10">
        <v>5115</v>
      </c>
      <c r="H71" s="11">
        <f t="array" ref="H71">INDEX([22]Monitoring!$H$6:$H$582,MATCH(1,([22]Monitoring!$D$6:$D$582=$D71)*([22]Monitoring!$D$6:$D$582=$D71),0))</f>
        <v>46155</v>
      </c>
      <c r="I71" s="143">
        <f t="array" ref="I71">INDEX([22]Monitoring!$I$6:$I$582,MATCH(1,([22]Monitoring!$D$6:$D$582=$D71)*([22]Monitoring!$D$6:$D$582=$D71),0))</f>
        <v>571</v>
      </c>
      <c r="J71" s="9">
        <f t="array" ref="J71">IFERROR(I71/G71*100,0)</f>
        <v>11.163245356793745</v>
      </c>
      <c r="K71" s="143">
        <f t="array" ref="K71">INDEX([22]Monitoring!$J$6:$J$582,MATCH(1,([22]Monitoring!$D$6:$D$582=$D71)*([22]Monitoring!$D$6:$D$582=$D71),0))</f>
        <v>39</v>
      </c>
      <c r="L71" s="9">
        <f t="shared" si="1"/>
        <v>6.8301225919439572</v>
      </c>
      <c r="M71" s="8" t="str">
        <f t="array" ref="M71">IF(L71&gt;5,"Perlu Pengendalian",IF(AND(L71&gt;=0,I71&gt;0),"Tidak Perlu Pengendalian","Belum Sensus"))</f>
        <v>Perlu Pengendalian</v>
      </c>
    </row>
    <row r="72" spans="1:13" outlineLevel="1" x14ac:dyDescent="0.15">
      <c r="A72" s="8" t="s">
        <v>13</v>
      </c>
      <c r="B72" s="8" t="s">
        <v>14</v>
      </c>
      <c r="C72" s="8" t="s">
        <v>79</v>
      </c>
      <c r="D72" s="8" t="s">
        <v>84</v>
      </c>
      <c r="E72" s="9">
        <v>35.69</v>
      </c>
      <c r="F72" s="8" t="s">
        <v>16</v>
      </c>
      <c r="G72" s="10">
        <v>5484</v>
      </c>
      <c r="H72" s="11">
        <f t="array" ref="H72">INDEX([22]Monitoring!$H$6:$H$582,MATCH(1,([22]Monitoring!$D$6:$D$582=$D72)*([22]Monitoring!$D$6:$D$582=$D72),0))</f>
        <v>46157</v>
      </c>
      <c r="I72" s="143">
        <f t="array" ref="I72">INDEX([22]Monitoring!$I$6:$I$582,MATCH(1,([22]Monitoring!$D$6:$D$582=$D72)*([22]Monitoring!$D$6:$D$582=$D72),0))</f>
        <v>578</v>
      </c>
      <c r="J72" s="9">
        <f t="array" ref="J72">IFERROR(I72/G72*100,0)</f>
        <v>10.539752005835156</v>
      </c>
      <c r="K72" s="143">
        <f t="array" ref="K72">INDEX([22]Monitoring!$J$6:$J$582,MATCH(1,([22]Monitoring!$D$6:$D$582=$D72)*([22]Monitoring!$D$6:$D$582=$D72),0))</f>
        <v>27</v>
      </c>
      <c r="L72" s="9">
        <f t="shared" si="1"/>
        <v>4.6712802768166091</v>
      </c>
      <c r="M72" s="8" t="str">
        <f t="array" ref="M72">IF(L72&gt;5,"Perlu Pengendalian",IF(AND(L72&gt;=0,I72&gt;0),"Tidak Perlu Pengendalian","Belum Sensus"))</f>
        <v>Tidak Perlu Pengendalian</v>
      </c>
    </row>
    <row r="73" spans="1:13" outlineLevel="1" x14ac:dyDescent="0.15">
      <c r="A73" s="8" t="s">
        <v>13</v>
      </c>
      <c r="B73" s="8" t="s">
        <v>14</v>
      </c>
      <c r="C73" s="8" t="s">
        <v>79</v>
      </c>
      <c r="D73" s="8" t="s">
        <v>85</v>
      </c>
      <c r="E73" s="9">
        <v>24.37</v>
      </c>
      <c r="F73" s="8" t="s">
        <v>16</v>
      </c>
      <c r="G73" s="10">
        <v>3347</v>
      </c>
      <c r="H73" s="11">
        <f t="array" ref="H73">INDEX([22]Monitoring!$H$6:$H$582,MATCH(1,([22]Monitoring!$D$6:$D$582=$D73)*([22]Monitoring!$D$6:$D$582=$D73),0))</f>
        <v>46157</v>
      </c>
      <c r="I73" s="143">
        <f t="array" ref="I73">INDEX([22]Monitoring!$I$6:$I$582,MATCH(1,([22]Monitoring!$D$6:$D$582=$D73)*([22]Monitoring!$D$6:$D$582=$D73),0))</f>
        <v>329</v>
      </c>
      <c r="J73" s="9">
        <f t="array" ref="J73">IFERROR(I73/G73*100,0)</f>
        <v>9.8296982372273671</v>
      </c>
      <c r="K73" s="143">
        <f t="array" ref="K73">INDEX([22]Monitoring!$J$6:$J$582,MATCH(1,([22]Monitoring!$D$6:$D$582=$D73)*([22]Monitoring!$D$6:$D$582=$D73),0))</f>
        <v>70</v>
      </c>
      <c r="L73" s="9">
        <f t="shared" si="1"/>
        <v>21.276595744680851</v>
      </c>
      <c r="M73" s="8" t="str">
        <f t="array" ref="M73">IF(L73&gt;5,"Perlu Pengendalian",IF(AND(L73&gt;=0,I73&gt;0),"Tidak Perlu Pengendalian","Belum Sensus"))</f>
        <v>Perlu Pengendalian</v>
      </c>
    </row>
    <row r="74" spans="1:13" outlineLevel="1" x14ac:dyDescent="0.15">
      <c r="A74" s="8" t="s">
        <v>13</v>
      </c>
      <c r="B74" s="8" t="s">
        <v>14</v>
      </c>
      <c r="C74" s="8" t="s">
        <v>79</v>
      </c>
      <c r="D74" s="8" t="s">
        <v>86</v>
      </c>
      <c r="E74" s="9">
        <v>45.36</v>
      </c>
      <c r="F74" s="8" t="s">
        <v>16</v>
      </c>
      <c r="G74" s="10">
        <v>6032</v>
      </c>
      <c r="H74" s="11">
        <f t="array" ref="H74">INDEX([22]Monitoring!$H$6:$H$582,MATCH(1,([22]Monitoring!$D$6:$D$582=$D74)*([22]Monitoring!$D$6:$D$582=$D74),0))</f>
        <v>46157</v>
      </c>
      <c r="I74" s="143">
        <f t="array" ref="I74">INDEX([22]Monitoring!$I$6:$I$582,MATCH(1,([22]Monitoring!$D$6:$D$582=$D74)*([22]Monitoring!$D$6:$D$582=$D74),0))</f>
        <v>704</v>
      </c>
      <c r="J74" s="9">
        <f t="array" ref="J74">IFERROR(I74/G74*100,0)</f>
        <v>11.671087533156498</v>
      </c>
      <c r="K74" s="143">
        <f t="array" ref="K74">INDEX([22]Monitoring!$J$6:$J$582,MATCH(1,([22]Monitoring!$D$6:$D$582=$D74)*([22]Monitoring!$D$6:$D$582=$D74),0))</f>
        <v>114</v>
      </c>
      <c r="L74" s="9">
        <f t="shared" si="1"/>
        <v>16.193181818181817</v>
      </c>
      <c r="M74" s="8" t="str">
        <f t="array" ref="M74">IF(L74&gt;5,"Perlu Pengendalian",IF(AND(L74&gt;=0,I74&gt;0),"Tidak Perlu Pengendalian","Belum Sensus"))</f>
        <v>Perlu Pengendalian</v>
      </c>
    </row>
    <row r="75" spans="1:13" outlineLevel="1" x14ac:dyDescent="0.15">
      <c r="A75" s="8" t="s">
        <v>13</v>
      </c>
      <c r="B75" s="8" t="s">
        <v>14</v>
      </c>
      <c r="C75" s="8" t="s">
        <v>79</v>
      </c>
      <c r="D75" s="8" t="s">
        <v>87</v>
      </c>
      <c r="E75" s="9">
        <v>22.07</v>
      </c>
      <c r="F75" s="8" t="s">
        <v>16</v>
      </c>
      <c r="G75" s="10">
        <v>2773</v>
      </c>
      <c r="H75" s="11">
        <f t="array" ref="H75">INDEX([22]Monitoring!$H$6:$H$582,MATCH(1,([22]Monitoring!$D$6:$D$582=$D75)*([22]Monitoring!$D$6:$D$582=$D75),0))</f>
        <v>46158</v>
      </c>
      <c r="I75" s="143">
        <f t="array" ref="I75">INDEX([22]Monitoring!$I$6:$I$582,MATCH(1,([22]Monitoring!$D$6:$D$582=$D75)*([22]Monitoring!$D$6:$D$582=$D75),0))</f>
        <v>344</v>
      </c>
      <c r="J75" s="9">
        <f t="array" ref="J75">IFERROR(I75/G75*100,0)</f>
        <v>12.405337179949512</v>
      </c>
      <c r="K75" s="143">
        <f t="array" ref="K75">INDEX([22]Monitoring!$J$6:$J$582,MATCH(1,([22]Monitoring!$D$6:$D$582=$D75)*([22]Monitoring!$D$6:$D$582=$D75),0))</f>
        <v>30</v>
      </c>
      <c r="L75" s="9">
        <f t="shared" si="1"/>
        <v>8.720930232558139</v>
      </c>
      <c r="M75" s="8" t="str">
        <f t="array" ref="M75">IF(L75&gt;5,"Perlu Pengendalian",IF(AND(L75&gt;=0,I75&gt;0),"Tidak Perlu Pengendalian","Belum Sensus"))</f>
        <v>Perlu Pengendalian</v>
      </c>
    </row>
    <row r="76" spans="1:13" outlineLevel="1" x14ac:dyDescent="0.15">
      <c r="A76" s="8" t="s">
        <v>13</v>
      </c>
      <c r="B76" s="8" t="s">
        <v>14</v>
      </c>
      <c r="C76" s="8" t="s">
        <v>79</v>
      </c>
      <c r="D76" s="8" t="s">
        <v>88</v>
      </c>
      <c r="E76" s="9">
        <v>23.61</v>
      </c>
      <c r="F76" s="8" t="s">
        <v>16</v>
      </c>
      <c r="G76" s="10">
        <v>2910</v>
      </c>
      <c r="H76" s="11">
        <f t="array" ref="H76">INDEX([22]Monitoring!$H$6:$H$582,MATCH(1,([22]Monitoring!$D$6:$D$582=$D76)*([22]Monitoring!$D$6:$D$582=$D76),0))</f>
        <v>46158</v>
      </c>
      <c r="I76" s="143">
        <f t="array" ref="I76">INDEX([22]Monitoring!$I$6:$I$582,MATCH(1,([22]Monitoring!$D$6:$D$582=$D76)*([22]Monitoring!$D$6:$D$582=$D76),0))</f>
        <v>278</v>
      </c>
      <c r="J76" s="9">
        <f t="array" ref="J76">IFERROR(I76/G76*100,0)</f>
        <v>9.5532646048109964</v>
      </c>
      <c r="K76" s="143">
        <f t="array" ref="K76">INDEX([22]Monitoring!$J$6:$J$582,MATCH(1,([22]Monitoring!$D$6:$D$582=$D76)*([22]Monitoring!$D$6:$D$582=$D76),0))</f>
        <v>35</v>
      </c>
      <c r="L76" s="9">
        <f t="shared" si="1"/>
        <v>12.589928057553957</v>
      </c>
      <c r="M76" s="8" t="str">
        <f t="array" ref="M76">IF(L76&gt;5,"Perlu Pengendalian",IF(AND(L76&gt;=0,I76&gt;0),"Tidak Perlu Pengendalian","Belum Sensus"))</f>
        <v>Perlu Pengendalian</v>
      </c>
    </row>
    <row r="77" spans="1:13" outlineLevel="1" x14ac:dyDescent="0.15">
      <c r="A77" s="8" t="s">
        <v>13</v>
      </c>
      <c r="B77" s="8" t="s">
        <v>14</v>
      </c>
      <c r="C77" s="8" t="s">
        <v>79</v>
      </c>
      <c r="D77" s="8" t="s">
        <v>89</v>
      </c>
      <c r="E77" s="9">
        <v>45.61</v>
      </c>
      <c r="F77" s="8" t="s">
        <v>16</v>
      </c>
      <c r="G77" s="10">
        <v>6553</v>
      </c>
      <c r="H77" s="11">
        <f t="array" ref="H77">INDEX([22]Monitoring!$H$6:$H$582,MATCH(1,([22]Monitoring!$D$6:$D$582=$D77)*([22]Monitoring!$D$6:$D$582=$D77),0))</f>
        <v>46154</v>
      </c>
      <c r="I77" s="143">
        <f t="array" ref="I77">INDEX([22]Monitoring!$I$6:$I$582,MATCH(1,([22]Monitoring!$D$6:$D$582=$D77)*([22]Monitoring!$D$6:$D$582=$D77),0))</f>
        <v>613</v>
      </c>
      <c r="J77" s="9">
        <f t="array" ref="J77">IFERROR(I77/G77*100,0)</f>
        <v>9.3544941248283227</v>
      </c>
      <c r="K77" s="143">
        <f t="array" ref="K77">INDEX([22]Monitoring!$J$6:$J$582,MATCH(1,([22]Monitoring!$D$6:$D$582=$D77)*([22]Monitoring!$D$6:$D$582=$D77),0))</f>
        <v>32</v>
      </c>
      <c r="L77" s="9">
        <f t="shared" si="1"/>
        <v>5.2202283849918434</v>
      </c>
      <c r="M77" s="8" t="str">
        <f t="array" ref="M77">IF(L77&gt;5,"Perlu Pengendalian",IF(AND(L77&gt;=0,I77&gt;0),"Tidak Perlu Pengendalian","Belum Sensus"))</f>
        <v>Perlu Pengendalian</v>
      </c>
    </row>
    <row r="78" spans="1:13" outlineLevel="1" x14ac:dyDescent="0.15">
      <c r="A78" s="8" t="s">
        <v>13</v>
      </c>
      <c r="B78" s="8" t="s">
        <v>14</v>
      </c>
      <c r="C78" s="8" t="s">
        <v>79</v>
      </c>
      <c r="D78" s="8" t="s">
        <v>90</v>
      </c>
      <c r="E78" s="9">
        <v>46.4</v>
      </c>
      <c r="F78" s="8" t="s">
        <v>16</v>
      </c>
      <c r="G78" s="10">
        <v>4700</v>
      </c>
      <c r="H78" s="11">
        <f t="array" ref="H78">INDEX([22]Monitoring!$H$6:$H$582,MATCH(1,([22]Monitoring!$D$6:$D$582=$D78)*([22]Monitoring!$D$6:$D$582=$D78),0))</f>
        <v>46154</v>
      </c>
      <c r="I78" s="143">
        <f t="array" ref="I78">INDEX([22]Monitoring!$I$6:$I$582,MATCH(1,([22]Monitoring!$D$6:$D$582=$D78)*([22]Monitoring!$D$6:$D$582=$D78),0))</f>
        <v>464</v>
      </c>
      <c r="J78" s="9">
        <f t="array" ref="J78">IFERROR(I78/G78*100,0)</f>
        <v>9.8723404255319149</v>
      </c>
      <c r="K78" s="143">
        <f t="array" ref="K78">INDEX([22]Monitoring!$J$6:$J$582,MATCH(1,([22]Monitoring!$D$6:$D$582=$D78)*([22]Monitoring!$D$6:$D$582=$D78),0))</f>
        <v>45</v>
      </c>
      <c r="L78" s="9">
        <f t="shared" si="1"/>
        <v>9.6982758620689662</v>
      </c>
      <c r="M78" s="8" t="str">
        <f t="array" ref="M78">IF(L78&gt;5,"Perlu Pengendalian",IF(AND(L78&gt;=0,I78&gt;0),"Tidak Perlu Pengendalian","Belum Sensus"))</f>
        <v>Perlu Pengendalian</v>
      </c>
    </row>
    <row r="79" spans="1:13" outlineLevel="1" x14ac:dyDescent="0.15">
      <c r="A79" s="8" t="s">
        <v>13</v>
      </c>
      <c r="B79" s="8" t="s">
        <v>14</v>
      </c>
      <c r="C79" s="8" t="s">
        <v>79</v>
      </c>
      <c r="D79" s="8" t="s">
        <v>91</v>
      </c>
      <c r="E79" s="9">
        <v>47.38</v>
      </c>
      <c r="F79" s="8" t="s">
        <v>16</v>
      </c>
      <c r="G79" s="10">
        <v>5161</v>
      </c>
      <c r="H79" s="11">
        <f t="array" ref="H79">INDEX([22]Monitoring!$H$6:$H$582,MATCH(1,([22]Monitoring!$D$6:$D$582=$D79)*([22]Monitoring!$D$6:$D$582=$D79),0))</f>
        <v>46154</v>
      </c>
      <c r="I79" s="143">
        <f t="array" ref="I79">INDEX([22]Monitoring!$I$6:$I$582,MATCH(1,([22]Monitoring!$D$6:$D$582=$D79)*([22]Monitoring!$D$6:$D$582=$D79),0))</f>
        <v>552</v>
      </c>
      <c r="J79" s="9">
        <f t="array" ref="J79">IFERROR(I79/G79*100,0)</f>
        <v>10.695601627591552</v>
      </c>
      <c r="K79" s="143">
        <f t="array" ref="K79">INDEX([22]Monitoring!$J$6:$J$582,MATCH(1,([22]Monitoring!$D$6:$D$582=$D79)*([22]Monitoring!$D$6:$D$582=$D79),0))</f>
        <v>43</v>
      </c>
      <c r="L79" s="9">
        <f t="shared" si="1"/>
        <v>7.7898550724637676</v>
      </c>
      <c r="M79" s="8" t="str">
        <f t="array" ref="M79">IF(L79&gt;5,"Perlu Pengendalian",IF(AND(L79&gt;=0,I79&gt;0),"Tidak Perlu Pengendalian","Belum Sensus"))</f>
        <v>Perlu Pengendalian</v>
      </c>
    </row>
    <row r="80" spans="1:13" outlineLevel="1" x14ac:dyDescent="0.15">
      <c r="A80" s="8" t="s">
        <v>13</v>
      </c>
      <c r="B80" s="8" t="s">
        <v>14</v>
      </c>
      <c r="C80" s="8" t="s">
        <v>79</v>
      </c>
      <c r="D80" s="8" t="s">
        <v>92</v>
      </c>
      <c r="E80" s="9">
        <v>29.91</v>
      </c>
      <c r="F80" s="8" t="s">
        <v>16</v>
      </c>
      <c r="G80" s="10">
        <v>2827</v>
      </c>
      <c r="H80" s="11">
        <f t="array" ref="H80">INDEX([22]Monitoring!$H$6:$H$582,MATCH(1,([22]Monitoring!$D$6:$D$582=$D80)*([22]Monitoring!$D$6:$D$582=$D80),0))</f>
        <v>46153</v>
      </c>
      <c r="I80" s="143">
        <f t="array" ref="I80">INDEX([22]Monitoring!$I$6:$I$582,MATCH(1,([22]Monitoring!$D$6:$D$582=$D80)*([22]Monitoring!$D$6:$D$582=$D80),0))</f>
        <v>320</v>
      </c>
      <c r="J80" s="9">
        <f t="array" ref="J80">IFERROR(I80/G80*100,0)</f>
        <v>11.319419879731164</v>
      </c>
      <c r="K80" s="143">
        <f t="array" ref="K80">INDEX([22]Monitoring!$J$6:$J$582,MATCH(1,([22]Monitoring!$D$6:$D$582=$D80)*([22]Monitoring!$D$6:$D$582=$D80),0))</f>
        <v>27</v>
      </c>
      <c r="L80" s="9">
        <f t="shared" si="1"/>
        <v>8.4375</v>
      </c>
      <c r="M80" s="8" t="str">
        <f t="array" ref="M80">IF(L80&gt;5,"Perlu Pengendalian",IF(AND(L80&gt;=0,I80&gt;0),"Tidak Perlu Pengendalian","Belum Sensus"))</f>
        <v>Perlu Pengendalian</v>
      </c>
    </row>
    <row r="81" spans="1:13" outlineLevel="1" x14ac:dyDescent="0.15">
      <c r="A81" s="8" t="s">
        <v>13</v>
      </c>
      <c r="B81" s="8" t="s">
        <v>14</v>
      </c>
      <c r="C81" s="8" t="s">
        <v>79</v>
      </c>
      <c r="D81" s="8" t="s">
        <v>93</v>
      </c>
      <c r="E81" s="9">
        <v>25.83</v>
      </c>
      <c r="F81" s="8" t="s">
        <v>16</v>
      </c>
      <c r="G81" s="10">
        <v>2589</v>
      </c>
      <c r="H81" s="11">
        <f t="array" ref="H81">INDEX([22]Monitoring!$H$6:$H$582,MATCH(1,([22]Monitoring!$D$6:$D$582=$D81)*([22]Monitoring!$D$6:$D$582=$D81),0))</f>
        <v>46153</v>
      </c>
      <c r="I81" s="143">
        <f t="array" ref="I81">INDEX([22]Monitoring!$I$6:$I$582,MATCH(1,([22]Monitoring!$D$6:$D$582=$D81)*([22]Monitoring!$D$6:$D$582=$D81),0))</f>
        <v>313</v>
      </c>
      <c r="J81" s="9">
        <f t="array" ref="J81">IFERROR(I81/G81*100,0)</f>
        <v>12.08960988798764</v>
      </c>
      <c r="K81" s="143">
        <f t="array" ref="K81">INDEX([22]Monitoring!$J$6:$J$582,MATCH(1,([22]Monitoring!$D$6:$D$582=$D81)*([22]Monitoring!$D$6:$D$582=$D81),0))</f>
        <v>28</v>
      </c>
      <c r="L81" s="9">
        <f t="shared" si="1"/>
        <v>8.9456869009584654</v>
      </c>
      <c r="M81" s="8" t="str">
        <f t="array" ref="M81">IF(L81&gt;5,"Perlu Pengendalian",IF(AND(L81&gt;=0,I81&gt;0),"Tidak Perlu Pengendalian","Belum Sensus"))</f>
        <v>Perlu Pengendalian</v>
      </c>
    </row>
    <row r="82" spans="1:13" outlineLevel="1" x14ac:dyDescent="0.15">
      <c r="A82" s="8" t="s">
        <v>13</v>
      </c>
      <c r="B82" s="8" t="s">
        <v>14</v>
      </c>
      <c r="C82" s="8" t="s">
        <v>79</v>
      </c>
      <c r="D82" s="8" t="s">
        <v>94</v>
      </c>
      <c r="E82" s="9">
        <v>37.07</v>
      </c>
      <c r="F82" s="8" t="s">
        <v>16</v>
      </c>
      <c r="G82" s="10">
        <v>4925</v>
      </c>
      <c r="H82" s="11">
        <f t="array" ref="H82">INDEX([22]Monitoring!$H$6:$H$582,MATCH(1,([22]Monitoring!$D$6:$D$582=$D82)*([22]Monitoring!$D$6:$D$582=$D82),0))</f>
        <v>46153</v>
      </c>
      <c r="I82" s="143">
        <f t="array" ref="I82">INDEX([22]Monitoring!$I$6:$I$582,MATCH(1,([22]Monitoring!$D$6:$D$582=$D82)*([22]Monitoring!$D$6:$D$582=$D82),0))</f>
        <v>512</v>
      </c>
      <c r="J82" s="9">
        <f t="array" ref="J82">IFERROR(I82/G82*100,0)</f>
        <v>10.395939086294415</v>
      </c>
      <c r="K82" s="143">
        <f t="array" ref="K82">INDEX([22]Monitoring!$J$6:$J$582,MATCH(1,([22]Monitoring!$D$6:$D$582=$D82)*([22]Monitoring!$D$6:$D$582=$D82),0))</f>
        <v>24</v>
      </c>
      <c r="L82" s="9">
        <f t="shared" si="1"/>
        <v>4.6875</v>
      </c>
      <c r="M82" s="8" t="str">
        <f t="array" ref="M82">IF(L82&gt;5,"Perlu Pengendalian",IF(AND(L82&gt;=0,I82&gt;0),"Tidak Perlu Pengendalian","Belum Sensus"))</f>
        <v>Tidak Perlu Pengendalian</v>
      </c>
    </row>
    <row r="83" spans="1:13" outlineLevel="1" x14ac:dyDescent="0.15">
      <c r="A83" s="8" t="s">
        <v>13</v>
      </c>
      <c r="B83" s="8" t="s">
        <v>14</v>
      </c>
      <c r="C83" s="8" t="s">
        <v>79</v>
      </c>
      <c r="D83" s="8" t="s">
        <v>95</v>
      </c>
      <c r="E83" s="9">
        <v>25.55</v>
      </c>
      <c r="F83" s="8" t="s">
        <v>16</v>
      </c>
      <c r="G83" s="10">
        <v>3476</v>
      </c>
      <c r="H83" s="11">
        <f t="array" ref="H83">INDEX([22]Monitoring!$H$6:$H$582,MATCH(1,([22]Monitoring!$D$6:$D$582=$D83)*([22]Monitoring!$D$6:$D$582=$D83),0))</f>
        <v>46153</v>
      </c>
      <c r="I83" s="143">
        <f t="array" ref="I83">INDEX([22]Monitoring!$I$6:$I$582,MATCH(1,([22]Monitoring!$D$6:$D$582=$D83)*([22]Monitoring!$D$6:$D$582=$D83),0))</f>
        <v>325</v>
      </c>
      <c r="J83" s="9">
        <f t="array" ref="J83">IFERROR(I83/G83*100,0)</f>
        <v>9.3498273878020726</v>
      </c>
      <c r="K83" s="143">
        <f t="array" ref="K83">INDEX([22]Monitoring!$J$6:$J$582,MATCH(1,([22]Monitoring!$D$6:$D$582=$D83)*([22]Monitoring!$D$6:$D$582=$D83),0))</f>
        <v>21</v>
      </c>
      <c r="L83" s="9">
        <f t="shared" si="1"/>
        <v>6.4615384615384617</v>
      </c>
      <c r="M83" s="8" t="str">
        <f t="array" ref="M83">IF(L83&gt;5,"Perlu Pengendalian",IF(AND(L83&gt;=0,I83&gt;0),"Tidak Perlu Pengendalian","Belum Sensus"))</f>
        <v>Perlu Pengendalian</v>
      </c>
    </row>
    <row r="84" spans="1:13" outlineLevel="1" x14ac:dyDescent="0.15">
      <c r="A84" s="8" t="s">
        <v>13</v>
      </c>
      <c r="B84" s="8" t="s">
        <v>14</v>
      </c>
      <c r="C84" s="8" t="s">
        <v>79</v>
      </c>
      <c r="D84" s="8" t="s">
        <v>96</v>
      </c>
      <c r="E84" s="9">
        <v>23.38</v>
      </c>
      <c r="F84" s="8" t="s">
        <v>16</v>
      </c>
      <c r="G84" s="10">
        <v>3073</v>
      </c>
      <c r="H84" s="11">
        <f t="array" ref="H84">INDEX([22]Monitoring!$H$6:$H$582,MATCH(1,([22]Monitoring!$D$6:$D$582=$D84)*([22]Monitoring!$D$6:$D$582=$D84),0))</f>
        <v>46151</v>
      </c>
      <c r="I84" s="143">
        <f t="array" ref="I84">INDEX([22]Monitoring!$I$6:$I$582,MATCH(1,([22]Monitoring!$D$6:$D$582=$D84)*([22]Monitoring!$D$6:$D$582=$D84),0))</f>
        <v>272</v>
      </c>
      <c r="J84" s="9">
        <f t="array" ref="J84">IFERROR(I84/G84*100,0)</f>
        <v>8.8512853888708101</v>
      </c>
      <c r="K84" s="143">
        <f t="array" ref="K84">INDEX([22]Monitoring!$J$6:$J$582,MATCH(1,([22]Monitoring!$D$6:$D$582=$D84)*([22]Monitoring!$D$6:$D$582=$D84),0))</f>
        <v>21</v>
      </c>
      <c r="L84" s="9">
        <f t="shared" ref="L84:L147" si="2">IFERROR(K84/I84*100,0)</f>
        <v>7.7205882352941178</v>
      </c>
      <c r="M84" s="8" t="str">
        <f t="array" ref="M84">IF(L84&gt;5,"Perlu Pengendalian",IF(AND(L84&gt;=0,I84&gt;0),"Tidak Perlu Pengendalian","Belum Sensus"))</f>
        <v>Perlu Pengendalian</v>
      </c>
    </row>
    <row r="85" spans="1:13" outlineLevel="1" x14ac:dyDescent="0.15">
      <c r="A85" s="8" t="s">
        <v>13</v>
      </c>
      <c r="B85" s="8" t="s">
        <v>14</v>
      </c>
      <c r="C85" s="8" t="s">
        <v>79</v>
      </c>
      <c r="D85" s="8" t="s">
        <v>97</v>
      </c>
      <c r="E85" s="9">
        <v>27.28</v>
      </c>
      <c r="F85" s="8" t="s">
        <v>16</v>
      </c>
      <c r="G85" s="10">
        <v>3842</v>
      </c>
      <c r="H85" s="11">
        <f t="array" ref="H85">INDEX([22]Monitoring!$H$6:$H$582,MATCH(1,([22]Monitoring!$D$6:$D$582=$D85)*([22]Monitoring!$D$6:$D$582=$D85),0))</f>
        <v>46151</v>
      </c>
      <c r="I85" s="143">
        <f t="array" ref="I85">INDEX([22]Monitoring!$I$6:$I$582,MATCH(1,([22]Monitoring!$D$6:$D$582=$D85)*([22]Monitoring!$D$6:$D$582=$D85),0))</f>
        <v>348</v>
      </c>
      <c r="J85" s="9">
        <f t="array" ref="J85">IFERROR(I85/G85*100,0)</f>
        <v>9.057782404997397</v>
      </c>
      <c r="K85" s="143">
        <f t="array" ref="K85">INDEX([22]Monitoring!$J$6:$J$582,MATCH(1,([22]Monitoring!$D$6:$D$582=$D85)*([22]Monitoring!$D$6:$D$582=$D85),0))</f>
        <v>85</v>
      </c>
      <c r="L85" s="9">
        <f t="shared" si="2"/>
        <v>24.425287356321839</v>
      </c>
      <c r="M85" s="8" t="str">
        <f t="array" ref="M85">IF(L85&gt;5,"Perlu Pengendalian",IF(AND(L85&gt;=0,I85&gt;0),"Tidak Perlu Pengendalian","Belum Sensus"))</f>
        <v>Perlu Pengendalian</v>
      </c>
    </row>
    <row r="86" spans="1:13" outlineLevel="1" x14ac:dyDescent="0.15">
      <c r="A86" s="8" t="s">
        <v>13</v>
      </c>
      <c r="B86" s="8" t="s">
        <v>14</v>
      </c>
      <c r="C86" s="8" t="s">
        <v>79</v>
      </c>
      <c r="D86" s="8" t="s">
        <v>98</v>
      </c>
      <c r="E86" s="9">
        <v>38.97</v>
      </c>
      <c r="F86" s="8" t="s">
        <v>16</v>
      </c>
      <c r="G86" s="10">
        <v>5794</v>
      </c>
      <c r="H86" s="11">
        <f t="array" ref="H86">INDEX([22]Monitoring!$H$6:$H$582,MATCH(1,([22]Monitoring!$D$6:$D$582=$D86)*([22]Monitoring!$D$6:$D$582=$D86),0))</f>
        <v>46148</v>
      </c>
      <c r="I86" s="143">
        <f t="array" ref="I86">INDEX([22]Monitoring!$I$6:$I$582,MATCH(1,([22]Monitoring!$D$6:$D$582=$D86)*([22]Monitoring!$D$6:$D$582=$D86),0))</f>
        <v>598</v>
      </c>
      <c r="J86" s="9">
        <f t="array" ref="J86">IFERROR(I86/G86*100,0)</f>
        <v>10.32102174663445</v>
      </c>
      <c r="K86" s="143">
        <f t="array" ref="K86">INDEX([22]Monitoring!$J$6:$J$582,MATCH(1,([22]Monitoring!$D$6:$D$582=$D86)*([22]Monitoring!$D$6:$D$582=$D86),0))</f>
        <v>57</v>
      </c>
      <c r="L86" s="9">
        <f t="shared" si="2"/>
        <v>9.5317725752508373</v>
      </c>
      <c r="M86" s="8" t="str">
        <f t="array" ref="M86">IF(L86&gt;5,"Perlu Pengendalian",IF(AND(L86&gt;=0,I86&gt;0),"Tidak Perlu Pengendalian","Belum Sensus"))</f>
        <v>Perlu Pengendalian</v>
      </c>
    </row>
    <row r="87" spans="1:13" outlineLevel="1" x14ac:dyDescent="0.15">
      <c r="A87" s="8" t="s">
        <v>13</v>
      </c>
      <c r="B87" s="8" t="s">
        <v>14</v>
      </c>
      <c r="C87" s="8" t="s">
        <v>79</v>
      </c>
      <c r="D87" s="8" t="s">
        <v>99</v>
      </c>
      <c r="E87" s="9">
        <v>42.77</v>
      </c>
      <c r="F87" s="8" t="s">
        <v>16</v>
      </c>
      <c r="G87" s="10">
        <v>5714</v>
      </c>
      <c r="H87" s="11">
        <f t="array" ref="H87">INDEX([22]Monitoring!$H$6:$H$582,MATCH(1,([22]Monitoring!$D$6:$D$582=$D87)*([22]Monitoring!$D$6:$D$582=$D87),0))</f>
        <v>46148</v>
      </c>
      <c r="I87" s="143">
        <f t="array" ref="I87">INDEX([22]Monitoring!$I$6:$I$582,MATCH(1,([22]Monitoring!$D$6:$D$582=$D87)*([22]Monitoring!$D$6:$D$582=$D87),0))</f>
        <v>640</v>
      </c>
      <c r="J87" s="9">
        <f t="array" ref="J87">IFERROR(I87/G87*100,0)</f>
        <v>11.2005600280014</v>
      </c>
      <c r="K87" s="143">
        <f t="array" ref="K87">INDEX([22]Monitoring!$J$6:$J$582,MATCH(1,([22]Monitoring!$D$6:$D$582=$D87)*([22]Monitoring!$D$6:$D$582=$D87),0))</f>
        <v>50</v>
      </c>
      <c r="L87" s="9">
        <f t="shared" si="2"/>
        <v>7.8125</v>
      </c>
      <c r="M87" s="8" t="str">
        <f t="array" ref="M87">IF(L87&gt;5,"Perlu Pengendalian",IF(AND(L87&gt;=0,I87&gt;0),"Tidak Perlu Pengendalian","Belum Sensus"))</f>
        <v>Perlu Pengendalian</v>
      </c>
    </row>
    <row r="88" spans="1:13" outlineLevel="1" x14ac:dyDescent="0.15">
      <c r="A88" s="8" t="s">
        <v>13</v>
      </c>
      <c r="B88" s="8" t="s">
        <v>14</v>
      </c>
      <c r="C88" s="8" t="s">
        <v>79</v>
      </c>
      <c r="D88" s="8" t="s">
        <v>100</v>
      </c>
      <c r="E88" s="9">
        <v>46.32</v>
      </c>
      <c r="F88" s="8" t="s">
        <v>16</v>
      </c>
      <c r="G88" s="10">
        <v>5027</v>
      </c>
      <c r="H88" s="11">
        <f t="array" ref="H88">INDEX([22]Monitoring!$H$6:$H$582,MATCH(1,([22]Monitoring!$D$6:$D$582=$D88)*([22]Monitoring!$D$6:$D$582=$D88),0))</f>
        <v>46149</v>
      </c>
      <c r="I88" s="143">
        <f t="array" ref="I88">INDEX([22]Monitoring!$I$6:$I$582,MATCH(1,([22]Monitoring!$D$6:$D$582=$D88)*([22]Monitoring!$D$6:$D$582=$D88),0))</f>
        <v>673</v>
      </c>
      <c r="J88" s="9">
        <f t="array" ref="J88">IFERROR(I88/G88*100,0)</f>
        <v>13.387706385518202</v>
      </c>
      <c r="K88" s="143">
        <f t="array" ref="K88">INDEX([22]Monitoring!$J$6:$J$582,MATCH(1,([22]Monitoring!$D$6:$D$582=$D88)*([22]Monitoring!$D$6:$D$582=$D88),0))</f>
        <v>58</v>
      </c>
      <c r="L88" s="9">
        <f t="shared" si="2"/>
        <v>8.618127786032689</v>
      </c>
      <c r="M88" s="8" t="str">
        <f t="array" ref="M88">IF(L88&gt;5,"Perlu Pengendalian",IF(AND(L88&gt;=0,I88&gt;0),"Tidak Perlu Pengendalian","Belum Sensus"))</f>
        <v>Perlu Pengendalian</v>
      </c>
    </row>
    <row r="89" spans="1:13" outlineLevel="1" x14ac:dyDescent="0.15">
      <c r="A89" s="8" t="s">
        <v>13</v>
      </c>
      <c r="B89" s="8" t="s">
        <v>14</v>
      </c>
      <c r="C89" s="8" t="s">
        <v>79</v>
      </c>
      <c r="D89" s="8" t="s">
        <v>101</v>
      </c>
      <c r="E89" s="9">
        <v>43.4</v>
      </c>
      <c r="F89" s="8" t="s">
        <v>16</v>
      </c>
      <c r="G89" s="10">
        <v>5621</v>
      </c>
      <c r="H89" s="11">
        <f t="array" ref="H89">INDEX([22]Monitoring!$H$6:$H$582,MATCH(1,([22]Monitoring!$D$6:$D$582=$D89)*([22]Monitoring!$D$6:$D$582=$D89),0))</f>
        <v>46149</v>
      </c>
      <c r="I89" s="143">
        <f t="array" ref="I89">INDEX([22]Monitoring!$I$6:$I$582,MATCH(1,([22]Monitoring!$D$6:$D$582=$D89)*([22]Monitoring!$D$6:$D$582=$D89),0))</f>
        <v>540</v>
      </c>
      <c r="J89" s="9">
        <f t="array" ref="J89">IFERROR(I89/G89*100,0)</f>
        <v>9.6068315246397429</v>
      </c>
      <c r="K89" s="143">
        <f t="array" ref="K89">INDEX([22]Monitoring!$J$6:$J$582,MATCH(1,([22]Monitoring!$D$6:$D$582=$D89)*([22]Monitoring!$D$6:$D$582=$D89),0))</f>
        <v>44</v>
      </c>
      <c r="L89" s="9">
        <f t="shared" si="2"/>
        <v>8.1481481481481488</v>
      </c>
      <c r="M89" s="8" t="str">
        <f t="array" ref="M89">IF(L89&gt;5,"Perlu Pengendalian",IF(AND(L89&gt;=0,I89&gt;0),"Tidak Perlu Pengendalian","Belum Sensus"))</f>
        <v>Perlu Pengendalian</v>
      </c>
    </row>
    <row r="90" spans="1:13" outlineLevel="1" x14ac:dyDescent="0.15">
      <c r="A90" s="8" t="s">
        <v>13</v>
      </c>
      <c r="B90" s="8" t="s">
        <v>14</v>
      </c>
      <c r="C90" s="8" t="s">
        <v>79</v>
      </c>
      <c r="D90" s="8" t="s">
        <v>102</v>
      </c>
      <c r="E90" s="9">
        <v>22.26</v>
      </c>
      <c r="F90" s="8" t="s">
        <v>16</v>
      </c>
      <c r="G90" s="10">
        <v>3136</v>
      </c>
      <c r="H90" s="11">
        <f t="array" ref="H90">INDEX([22]Monitoring!$H$6:$H$582,MATCH(1,([22]Monitoring!$D$6:$D$582=$D90)*([22]Monitoring!$D$6:$D$582=$D90),0))</f>
        <v>46150</v>
      </c>
      <c r="I90" s="143">
        <f t="array" ref="I90">INDEX([22]Monitoring!$I$6:$I$582,MATCH(1,([22]Monitoring!$D$6:$D$582=$D90)*([22]Monitoring!$D$6:$D$582=$D90),0))</f>
        <v>323</v>
      </c>
      <c r="J90" s="9">
        <f t="array" ref="J90">IFERROR(I90/G90*100,0)</f>
        <v>10.299744897959185</v>
      </c>
      <c r="K90" s="143">
        <f t="array" ref="K90">INDEX([22]Monitoring!$J$6:$J$582,MATCH(1,([22]Monitoring!$D$6:$D$582=$D90)*([22]Monitoring!$D$6:$D$582=$D90),0))</f>
        <v>19</v>
      </c>
      <c r="L90" s="9">
        <f t="shared" si="2"/>
        <v>5.8823529411764701</v>
      </c>
      <c r="M90" s="8" t="str">
        <f t="array" ref="M90">IF(L90&gt;5,"Perlu Pengendalian",IF(AND(L90&gt;=0,I90&gt;0),"Tidak Perlu Pengendalian","Belum Sensus"))</f>
        <v>Perlu Pengendalian</v>
      </c>
    </row>
    <row r="91" spans="1:13" outlineLevel="1" x14ac:dyDescent="0.15">
      <c r="A91" s="8" t="s">
        <v>13</v>
      </c>
      <c r="B91" s="8" t="s">
        <v>14</v>
      </c>
      <c r="C91" s="8" t="s">
        <v>79</v>
      </c>
      <c r="D91" s="8" t="s">
        <v>103</v>
      </c>
      <c r="E91" s="9">
        <v>31.63</v>
      </c>
      <c r="F91" s="8" t="s">
        <v>16</v>
      </c>
      <c r="G91" s="10">
        <v>4457</v>
      </c>
      <c r="H91" s="11">
        <f t="array" ref="H91">INDEX([22]Monitoring!$H$6:$H$582,MATCH(1,([22]Monitoring!$D$6:$D$582=$D91)*([22]Monitoring!$D$6:$D$582=$D91),0))</f>
        <v>46150</v>
      </c>
      <c r="I91" s="143">
        <f t="array" ref="I91">INDEX([22]Monitoring!$I$6:$I$582,MATCH(1,([22]Monitoring!$D$6:$D$582=$D91)*([22]Monitoring!$D$6:$D$582=$D91),0))</f>
        <v>450</v>
      </c>
      <c r="J91" s="9">
        <f t="array" ref="J91">IFERROR(I91/G91*100,0)</f>
        <v>10.096477451200359</v>
      </c>
      <c r="K91" s="143">
        <f t="array" ref="K91">INDEX([22]Monitoring!$J$6:$J$582,MATCH(1,([22]Monitoring!$D$6:$D$582=$D91)*([22]Monitoring!$D$6:$D$582=$D91),0))</f>
        <v>75</v>
      </c>
      <c r="L91" s="9">
        <f t="shared" si="2"/>
        <v>16.666666666666664</v>
      </c>
      <c r="M91" s="8" t="str">
        <f t="array" ref="M91">IF(L91&gt;5,"Perlu Pengendalian",IF(AND(L91&gt;=0,I91&gt;0),"Tidak Perlu Pengendalian","Belum Sensus"))</f>
        <v>Perlu Pengendalian</v>
      </c>
    </row>
    <row r="92" spans="1:13" outlineLevel="1" x14ac:dyDescent="0.15">
      <c r="A92" s="8" t="s">
        <v>13</v>
      </c>
      <c r="B92" s="8" t="s">
        <v>14</v>
      </c>
      <c r="C92" s="8" t="s">
        <v>79</v>
      </c>
      <c r="D92" s="8" t="s">
        <v>104</v>
      </c>
      <c r="E92" s="9">
        <v>24.07</v>
      </c>
      <c r="F92" s="8" t="s">
        <v>16</v>
      </c>
      <c r="G92" s="10">
        <v>3350</v>
      </c>
      <c r="H92" s="11">
        <f t="array" ref="H92">INDEX([22]Monitoring!$H$6:$H$582,MATCH(1,([22]Monitoring!$D$6:$D$582=$D92)*([22]Monitoring!$D$6:$D$582=$D92),0))</f>
        <v>46150</v>
      </c>
      <c r="I92" s="143">
        <f t="array" ref="I92">INDEX([22]Monitoring!$I$6:$I$582,MATCH(1,([22]Monitoring!$D$6:$D$582=$D92)*([22]Monitoring!$D$6:$D$582=$D92),0))</f>
        <v>311</v>
      </c>
      <c r="J92" s="9">
        <f t="array" ref="J92">IFERROR(I92/G92*100,0)</f>
        <v>9.2835820895522385</v>
      </c>
      <c r="K92" s="143">
        <f t="array" ref="K92">INDEX([22]Monitoring!$J$6:$J$582,MATCH(1,([22]Monitoring!$D$6:$D$582=$D92)*([22]Monitoring!$D$6:$D$582=$D92),0))</f>
        <v>51</v>
      </c>
      <c r="L92" s="9">
        <f t="shared" si="2"/>
        <v>16.39871382636656</v>
      </c>
      <c r="M92" s="8" t="str">
        <f t="array" ref="M92">IF(L92&gt;5,"Perlu Pengendalian",IF(AND(L92&gt;=0,I92&gt;0),"Tidak Perlu Pengendalian","Belum Sensus"))</f>
        <v>Perlu Pengendalian</v>
      </c>
    </row>
    <row r="93" spans="1:13" outlineLevel="1" x14ac:dyDescent="0.15">
      <c r="A93" s="8" t="s">
        <v>13</v>
      </c>
      <c r="B93" s="8" t="s">
        <v>14</v>
      </c>
      <c r="C93" s="8" t="s">
        <v>79</v>
      </c>
      <c r="D93" s="8" t="s">
        <v>105</v>
      </c>
      <c r="E93" s="9">
        <v>22.67</v>
      </c>
      <c r="F93" s="8" t="s">
        <v>16</v>
      </c>
      <c r="G93" s="10">
        <v>3014</v>
      </c>
      <c r="H93" s="11">
        <f t="array" ref="H93">INDEX([22]Monitoring!$H$6:$H$582,MATCH(1,([22]Monitoring!$D$6:$D$582=$D93)*([22]Monitoring!$D$6:$D$582=$D93),0))</f>
        <v>46150</v>
      </c>
      <c r="I93" s="143">
        <f t="array" ref="I93">INDEX([22]Monitoring!$I$6:$I$582,MATCH(1,([22]Monitoring!$D$6:$D$582=$D93)*([22]Monitoring!$D$6:$D$582=$D93),0))</f>
        <v>342</v>
      </c>
      <c r="J93" s="9">
        <f t="array" ref="J93">IFERROR(I93/G93*100,0)</f>
        <v>11.34704711347047</v>
      </c>
      <c r="K93" s="143">
        <f t="array" ref="K93">INDEX([22]Monitoring!$J$6:$J$582,MATCH(1,([22]Monitoring!$D$6:$D$582=$D93)*([22]Monitoring!$D$6:$D$582=$D93),0))</f>
        <v>47</v>
      </c>
      <c r="L93" s="9">
        <f t="shared" si="2"/>
        <v>13.742690058479532</v>
      </c>
      <c r="M93" s="8" t="str">
        <f t="array" ref="M93">IF(L93&gt;5,"Perlu Pengendalian",IF(AND(L93&gt;=0,I93&gt;0),"Tidak Perlu Pengendalian","Belum Sensus"))</f>
        <v>Perlu Pengendalian</v>
      </c>
    </row>
    <row r="94" spans="1:13" outlineLevel="1" x14ac:dyDescent="0.15">
      <c r="A94" s="8" t="s">
        <v>13</v>
      </c>
      <c r="B94" s="8" t="s">
        <v>14</v>
      </c>
      <c r="C94" s="8" t="s">
        <v>79</v>
      </c>
      <c r="D94" s="8" t="s">
        <v>106</v>
      </c>
      <c r="E94" s="9">
        <v>25.81</v>
      </c>
      <c r="F94" s="8" t="s">
        <v>16</v>
      </c>
      <c r="G94" s="10">
        <v>3611</v>
      </c>
      <c r="H94" s="11">
        <f t="array" ref="H94">INDEX([22]Monitoring!$H$6:$H$582,MATCH(1,([22]Monitoring!$D$6:$D$582=$D94)*([22]Monitoring!$D$6:$D$582=$D94),0))</f>
        <v>46150</v>
      </c>
      <c r="I94" s="143">
        <f t="array" ref="I94">INDEX([22]Monitoring!$I$6:$I$582,MATCH(1,([22]Monitoring!$D$6:$D$582=$D94)*([22]Monitoring!$D$6:$D$582=$D94),0))</f>
        <v>334</v>
      </c>
      <c r="J94" s="9">
        <f t="array" ref="J94">IFERROR(I94/G94*100,0)</f>
        <v>9.2495153697036834</v>
      </c>
      <c r="K94" s="143">
        <f t="array" ref="K94">INDEX([22]Monitoring!$J$6:$J$582,MATCH(1,([22]Monitoring!$D$6:$D$582=$D94)*([22]Monitoring!$D$6:$D$582=$D94),0))</f>
        <v>71</v>
      </c>
      <c r="L94" s="9">
        <f t="shared" si="2"/>
        <v>21.257485029940121</v>
      </c>
      <c r="M94" s="8" t="str">
        <f t="array" ref="M94">IF(L94&gt;5,"Perlu Pengendalian",IF(AND(L94&gt;=0,I94&gt;0),"Tidak Perlu Pengendalian","Belum Sensus"))</f>
        <v>Perlu Pengendalian</v>
      </c>
    </row>
    <row r="95" spans="1:13" outlineLevel="1" x14ac:dyDescent="0.15">
      <c r="A95" s="8" t="s">
        <v>13</v>
      </c>
      <c r="B95" s="8" t="s">
        <v>14</v>
      </c>
      <c r="C95" s="8" t="s">
        <v>107</v>
      </c>
      <c r="D95" s="8" t="s">
        <v>108</v>
      </c>
      <c r="E95" s="9">
        <v>40.369999999999997</v>
      </c>
      <c r="F95" s="8" t="s">
        <v>16</v>
      </c>
      <c r="G95" s="10">
        <v>6100</v>
      </c>
      <c r="H95" s="11">
        <f t="array" ref="H95">INDEX([22]Monitoring!$H$6:$H$582,MATCH(1,([22]Monitoring!$D$6:$D$582=$D95)*([22]Monitoring!$D$6:$D$582=$D95),0))</f>
        <v>46148</v>
      </c>
      <c r="I95" s="143">
        <f t="array" ref="I95">INDEX([22]Monitoring!$I$6:$I$582,MATCH(1,([22]Monitoring!$D$6:$D$582=$D95)*([22]Monitoring!$D$6:$D$582=$D95),0))</f>
        <v>628</v>
      </c>
      <c r="J95" s="9">
        <f t="array" ref="J95">IFERROR(I95/G95*100,0)</f>
        <v>10.295081967213115</v>
      </c>
      <c r="K95" s="143">
        <f t="array" ref="K95">INDEX([22]Monitoring!$J$6:$J$582,MATCH(1,([22]Monitoring!$D$6:$D$582=$D95)*([22]Monitoring!$D$6:$D$582=$D95),0))</f>
        <v>31</v>
      </c>
      <c r="L95" s="9">
        <f t="shared" si="2"/>
        <v>4.9363057324840769</v>
      </c>
      <c r="M95" s="8" t="str">
        <f t="array" ref="M95">IF(L95&gt;5,"Perlu Pengendalian",IF(AND(L95&gt;=0,I95&gt;0),"Tidak Perlu Pengendalian","Belum Sensus"))</f>
        <v>Tidak Perlu Pengendalian</v>
      </c>
    </row>
    <row r="96" spans="1:13" outlineLevel="1" x14ac:dyDescent="0.15">
      <c r="A96" s="8" t="s">
        <v>13</v>
      </c>
      <c r="B96" s="8" t="s">
        <v>14</v>
      </c>
      <c r="C96" s="8" t="s">
        <v>107</v>
      </c>
      <c r="D96" s="8" t="s">
        <v>109</v>
      </c>
      <c r="E96" s="9">
        <v>24.23</v>
      </c>
      <c r="F96" s="8" t="s">
        <v>16</v>
      </c>
      <c r="G96" s="10">
        <v>3572</v>
      </c>
      <c r="H96" s="11">
        <f t="array" ref="H96">INDEX([22]Monitoring!$H$6:$H$582,MATCH(1,([22]Monitoring!$D$6:$D$582=$D96)*([22]Monitoring!$D$6:$D$582=$D96),0))</f>
        <v>46148</v>
      </c>
      <c r="I96" s="143">
        <f t="array" ref="I96">INDEX([22]Monitoring!$I$6:$I$582,MATCH(1,([22]Monitoring!$D$6:$D$582=$D96)*([22]Monitoring!$D$6:$D$582=$D96),0))</f>
        <v>361</v>
      </c>
      <c r="J96" s="9">
        <f t="array" ref="J96">IFERROR(I96/G96*100,0)</f>
        <v>10.106382978723403</v>
      </c>
      <c r="K96" s="143">
        <f t="array" ref="K96">INDEX([22]Monitoring!$J$6:$J$582,MATCH(1,([22]Monitoring!$D$6:$D$582=$D96)*([22]Monitoring!$D$6:$D$582=$D96),0))</f>
        <v>25</v>
      </c>
      <c r="L96" s="9">
        <f t="shared" si="2"/>
        <v>6.9252077562326875</v>
      </c>
      <c r="M96" s="8" t="str">
        <f t="array" ref="M96">IF(L96&gt;5,"Perlu Pengendalian",IF(AND(L96&gt;=0,I96&gt;0),"Tidak Perlu Pengendalian","Belum Sensus"))</f>
        <v>Perlu Pengendalian</v>
      </c>
    </row>
    <row r="97" spans="1:13" outlineLevel="1" x14ac:dyDescent="0.15">
      <c r="A97" s="8" t="s">
        <v>13</v>
      </c>
      <c r="B97" s="8" t="s">
        <v>14</v>
      </c>
      <c r="C97" s="8" t="s">
        <v>107</v>
      </c>
      <c r="D97" s="8" t="s">
        <v>110</v>
      </c>
      <c r="E97" s="9">
        <v>27.36</v>
      </c>
      <c r="F97" s="8" t="s">
        <v>16</v>
      </c>
      <c r="G97" s="10">
        <v>4034</v>
      </c>
      <c r="H97" s="11">
        <f t="array" ref="H97">INDEX([22]Monitoring!$H$6:$H$582,MATCH(1,([22]Monitoring!$D$6:$D$582=$D97)*([22]Monitoring!$D$6:$D$582=$D97),0))</f>
        <v>46148</v>
      </c>
      <c r="I97" s="143">
        <f t="array" ref="I97">INDEX([22]Monitoring!$I$6:$I$582,MATCH(1,([22]Monitoring!$D$6:$D$582=$D97)*([22]Monitoring!$D$6:$D$582=$D97),0))</f>
        <v>426</v>
      </c>
      <c r="J97" s="9">
        <f t="array" ref="J97">IFERROR(I97/G97*100,0)</f>
        <v>10.560237977193852</v>
      </c>
      <c r="K97" s="143">
        <f t="array" ref="K97">INDEX([22]Monitoring!$J$6:$J$582,MATCH(1,([22]Monitoring!$D$6:$D$582=$D97)*([22]Monitoring!$D$6:$D$582=$D97),0))</f>
        <v>50</v>
      </c>
      <c r="L97" s="9">
        <f t="shared" si="2"/>
        <v>11.737089201877934</v>
      </c>
      <c r="M97" s="8" t="str">
        <f t="array" ref="M97">IF(L97&gt;5,"Perlu Pengendalian",IF(AND(L97&gt;=0,I97&gt;0),"Tidak Perlu Pengendalian","Belum Sensus"))</f>
        <v>Perlu Pengendalian</v>
      </c>
    </row>
    <row r="98" spans="1:13" outlineLevel="1" x14ac:dyDescent="0.15">
      <c r="A98" s="8" t="s">
        <v>13</v>
      </c>
      <c r="B98" s="8" t="s">
        <v>14</v>
      </c>
      <c r="C98" s="8" t="s">
        <v>107</v>
      </c>
      <c r="D98" s="8" t="s">
        <v>111</v>
      </c>
      <c r="E98" s="9">
        <v>26.72</v>
      </c>
      <c r="F98" s="8" t="s">
        <v>16</v>
      </c>
      <c r="G98" s="10">
        <v>4128</v>
      </c>
      <c r="H98" s="11">
        <f t="array" ref="H98">INDEX([22]Monitoring!$H$6:$H$582,MATCH(1,([22]Monitoring!$D$6:$D$582=$D98)*([22]Monitoring!$D$6:$D$582=$D98),0))</f>
        <v>46148</v>
      </c>
      <c r="I98" s="143">
        <f t="array" ref="I98">INDEX([22]Monitoring!$I$6:$I$582,MATCH(1,([22]Monitoring!$D$6:$D$582=$D98)*([22]Monitoring!$D$6:$D$582=$D98),0))</f>
        <v>429</v>
      </c>
      <c r="J98" s="9">
        <f t="array" ref="J98">IFERROR(I98/G98*100,0)</f>
        <v>10.392441860465116</v>
      </c>
      <c r="K98" s="143">
        <f t="array" ref="K98">INDEX([22]Monitoring!$J$6:$J$582,MATCH(1,([22]Monitoring!$D$6:$D$582=$D98)*([22]Monitoring!$D$6:$D$582=$D98),0))</f>
        <v>26</v>
      </c>
      <c r="L98" s="9">
        <f t="shared" si="2"/>
        <v>6.0606060606060606</v>
      </c>
      <c r="M98" s="8" t="str">
        <f t="array" ref="M98">IF(L98&gt;5,"Perlu Pengendalian",IF(AND(L98&gt;=0,I98&gt;0),"Tidak Perlu Pengendalian","Belum Sensus"))</f>
        <v>Perlu Pengendalian</v>
      </c>
    </row>
    <row r="99" spans="1:13" outlineLevel="1" x14ac:dyDescent="0.15">
      <c r="A99" s="8" t="s">
        <v>13</v>
      </c>
      <c r="B99" s="8" t="s">
        <v>14</v>
      </c>
      <c r="C99" s="8" t="s">
        <v>107</v>
      </c>
      <c r="D99" s="8" t="s">
        <v>112</v>
      </c>
      <c r="E99" s="9">
        <v>24.5</v>
      </c>
      <c r="F99" s="8" t="s">
        <v>16</v>
      </c>
      <c r="G99" s="10">
        <v>3509</v>
      </c>
      <c r="H99" s="11">
        <f t="array" ref="H99">INDEX([22]Monitoring!$H$6:$H$582,MATCH(1,([22]Monitoring!$D$6:$D$582=$D99)*([22]Monitoring!$D$6:$D$582=$D99),0))</f>
        <v>46148</v>
      </c>
      <c r="I99" s="143">
        <f t="array" ref="I99">INDEX([22]Monitoring!$I$6:$I$582,MATCH(1,([22]Monitoring!$D$6:$D$582=$D99)*([22]Monitoring!$D$6:$D$582=$D99),0))</f>
        <v>364</v>
      </c>
      <c r="J99" s="9">
        <f t="array" ref="J99">IFERROR(I99/G99*100,0)</f>
        <v>10.373325733827302</v>
      </c>
      <c r="K99" s="143">
        <f t="array" ref="K99">INDEX([22]Monitoring!$J$6:$J$582,MATCH(1,([22]Monitoring!$D$6:$D$582=$D99)*([22]Monitoring!$D$6:$D$582=$D99),0))</f>
        <v>40</v>
      </c>
      <c r="L99" s="9">
        <f t="shared" si="2"/>
        <v>10.989010989010989</v>
      </c>
      <c r="M99" s="8" t="str">
        <f t="array" ref="M99">IF(L99&gt;5,"Perlu Pengendalian",IF(AND(L99&gt;=0,I99&gt;0),"Tidak Perlu Pengendalian","Belum Sensus"))</f>
        <v>Perlu Pengendalian</v>
      </c>
    </row>
    <row r="100" spans="1:13" outlineLevel="1" x14ac:dyDescent="0.15">
      <c r="A100" s="8" t="s">
        <v>13</v>
      </c>
      <c r="B100" s="8" t="s">
        <v>14</v>
      </c>
      <c r="C100" s="8" t="s">
        <v>107</v>
      </c>
      <c r="D100" s="8" t="s">
        <v>113</v>
      </c>
      <c r="E100" s="9">
        <v>25.29</v>
      </c>
      <c r="F100" s="8" t="s">
        <v>16</v>
      </c>
      <c r="G100" s="10">
        <v>3210</v>
      </c>
      <c r="H100" s="11">
        <f t="array" ref="H100">INDEX([22]Monitoring!$H$6:$H$582,MATCH(1,([22]Monitoring!$D$6:$D$582=$D100)*([22]Monitoring!$D$6:$D$582=$D100),0))</f>
        <v>46149</v>
      </c>
      <c r="I100" s="143">
        <f t="array" ref="I100">INDEX([22]Monitoring!$I$6:$I$582,MATCH(1,([22]Monitoring!$D$6:$D$582=$D100)*([22]Monitoring!$D$6:$D$582=$D100),0))</f>
        <v>356</v>
      </c>
      <c r="J100" s="9">
        <f t="array" ref="J100">IFERROR(I100/G100*100,0)</f>
        <v>11.090342679127726</v>
      </c>
      <c r="K100" s="143">
        <f t="array" ref="K100">INDEX([22]Monitoring!$J$6:$J$582,MATCH(1,([22]Monitoring!$D$6:$D$582=$D100)*([22]Monitoring!$D$6:$D$582=$D100),0))</f>
        <v>35</v>
      </c>
      <c r="L100" s="9">
        <f t="shared" si="2"/>
        <v>9.8314606741573041</v>
      </c>
      <c r="M100" s="8" t="str">
        <f t="array" ref="M100">IF(L100&gt;5,"Perlu Pengendalian",IF(AND(L100&gt;=0,I100&gt;0),"Tidak Perlu Pengendalian","Belum Sensus"))</f>
        <v>Perlu Pengendalian</v>
      </c>
    </row>
    <row r="101" spans="1:13" outlineLevel="1" x14ac:dyDescent="0.15">
      <c r="A101" s="8" t="s">
        <v>13</v>
      </c>
      <c r="B101" s="8" t="s">
        <v>14</v>
      </c>
      <c r="C101" s="8" t="s">
        <v>107</v>
      </c>
      <c r="D101" s="8" t="s">
        <v>114</v>
      </c>
      <c r="E101" s="9">
        <v>29.59</v>
      </c>
      <c r="F101" s="8" t="s">
        <v>16</v>
      </c>
      <c r="G101" s="10">
        <v>2781</v>
      </c>
      <c r="H101" s="11">
        <f t="array" ref="H101">INDEX([22]Monitoring!$H$6:$H$582,MATCH(1,([22]Monitoring!$D$6:$D$582=$D101)*([22]Monitoring!$D$6:$D$582=$D101),0))</f>
        <v>46149</v>
      </c>
      <c r="I101" s="143">
        <f t="array" ref="I101">INDEX([22]Monitoring!$I$6:$I$582,MATCH(1,([22]Monitoring!$D$6:$D$582=$D101)*([22]Monitoring!$D$6:$D$582=$D101),0))</f>
        <v>432</v>
      </c>
      <c r="J101" s="9">
        <f t="array" ref="J101">IFERROR(I101/G101*100,0)</f>
        <v>15.53398058252427</v>
      </c>
      <c r="K101" s="143">
        <f t="array" ref="K101">INDEX([22]Monitoring!$J$6:$J$582,MATCH(1,([22]Monitoring!$D$6:$D$582=$D101)*([22]Monitoring!$D$6:$D$582=$D101),0))</f>
        <v>52</v>
      </c>
      <c r="L101" s="9">
        <f t="shared" si="2"/>
        <v>12.037037037037036</v>
      </c>
      <c r="M101" s="8" t="str">
        <f t="array" ref="M101">IF(L101&gt;5,"Perlu Pengendalian",IF(AND(L101&gt;=0,I101&gt;0),"Tidak Perlu Pengendalian","Belum Sensus"))</f>
        <v>Perlu Pengendalian</v>
      </c>
    </row>
    <row r="102" spans="1:13" outlineLevel="1" x14ac:dyDescent="0.15">
      <c r="A102" s="8" t="s">
        <v>13</v>
      </c>
      <c r="B102" s="8" t="s">
        <v>14</v>
      </c>
      <c r="C102" s="8" t="s">
        <v>107</v>
      </c>
      <c r="D102" s="8" t="s">
        <v>115</v>
      </c>
      <c r="E102" s="9">
        <v>49.97</v>
      </c>
      <c r="F102" s="8" t="s">
        <v>16</v>
      </c>
      <c r="G102" s="10">
        <v>6611</v>
      </c>
      <c r="H102" s="11">
        <f t="array" ref="H102">INDEX([22]Monitoring!$H$6:$H$582,MATCH(1,([22]Monitoring!$D$6:$D$582=$D102)*([22]Monitoring!$D$6:$D$582=$D102),0))</f>
        <v>46149</v>
      </c>
      <c r="I102" s="143">
        <f t="array" ref="I102">INDEX([22]Monitoring!$I$6:$I$582,MATCH(1,([22]Monitoring!$D$6:$D$582=$D102)*([22]Monitoring!$D$6:$D$582=$D102),0))</f>
        <v>660</v>
      </c>
      <c r="J102" s="9">
        <f t="array" ref="J102">IFERROR(I102/G102*100,0)</f>
        <v>9.9833610648918469</v>
      </c>
      <c r="K102" s="143">
        <f t="array" ref="K102">INDEX([22]Monitoring!$J$6:$J$582,MATCH(1,([22]Monitoring!$D$6:$D$582=$D102)*([22]Monitoring!$D$6:$D$582=$D102),0))</f>
        <v>118</v>
      </c>
      <c r="L102" s="9">
        <f t="shared" si="2"/>
        <v>17.878787878787879</v>
      </c>
      <c r="M102" s="8" t="str">
        <f t="array" ref="M102">IF(L102&gt;5,"Perlu Pengendalian",IF(AND(L102&gt;=0,I102&gt;0),"Tidak Perlu Pengendalian","Belum Sensus"))</f>
        <v>Perlu Pengendalian</v>
      </c>
    </row>
    <row r="103" spans="1:13" outlineLevel="1" x14ac:dyDescent="0.15">
      <c r="A103" s="8" t="s">
        <v>13</v>
      </c>
      <c r="B103" s="8" t="s">
        <v>14</v>
      </c>
      <c r="C103" s="8" t="s">
        <v>107</v>
      </c>
      <c r="D103" s="8" t="s">
        <v>116</v>
      </c>
      <c r="E103" s="9">
        <v>25.48</v>
      </c>
      <c r="F103" s="8" t="s">
        <v>16</v>
      </c>
      <c r="G103" s="10">
        <v>3708</v>
      </c>
      <c r="H103" s="11">
        <f t="array" ref="H103">INDEX([22]Monitoring!$H$6:$H$582,MATCH(1,([22]Monitoring!$D$6:$D$582=$D103)*([22]Monitoring!$D$6:$D$582=$D103),0))</f>
        <v>46149</v>
      </c>
      <c r="I103" s="143">
        <f t="array" ref="I103">INDEX([22]Monitoring!$I$6:$I$582,MATCH(1,([22]Monitoring!$D$6:$D$582=$D103)*([22]Monitoring!$D$6:$D$582=$D103),0))</f>
        <v>378</v>
      </c>
      <c r="J103" s="9">
        <f t="array" ref="J103">IFERROR(I103/G103*100,0)</f>
        <v>10.194174757281553</v>
      </c>
      <c r="K103" s="143">
        <f t="array" ref="K103">INDEX([22]Monitoring!$J$6:$J$582,MATCH(1,([22]Monitoring!$D$6:$D$582=$D103)*([22]Monitoring!$D$6:$D$582=$D103),0))</f>
        <v>35</v>
      </c>
      <c r="L103" s="9">
        <f t="shared" si="2"/>
        <v>9.2592592592592595</v>
      </c>
      <c r="M103" s="8" t="str">
        <f t="array" ref="M103">IF(L103&gt;5,"Perlu Pengendalian",IF(AND(L103&gt;=0,I103&gt;0),"Tidak Perlu Pengendalian","Belum Sensus"))</f>
        <v>Perlu Pengendalian</v>
      </c>
    </row>
    <row r="104" spans="1:13" outlineLevel="1" x14ac:dyDescent="0.15">
      <c r="A104" s="8" t="s">
        <v>13</v>
      </c>
      <c r="B104" s="8" t="s">
        <v>14</v>
      </c>
      <c r="C104" s="8" t="s">
        <v>107</v>
      </c>
      <c r="D104" s="8" t="s">
        <v>117</v>
      </c>
      <c r="E104" s="9">
        <v>22.38</v>
      </c>
      <c r="F104" s="8" t="s">
        <v>16</v>
      </c>
      <c r="G104" s="10">
        <v>3134</v>
      </c>
      <c r="H104" s="11">
        <f t="array" ref="H104">INDEX([22]Monitoring!$H$6:$H$582,MATCH(1,([22]Monitoring!$D$6:$D$582=$D104)*([22]Monitoring!$D$6:$D$582=$D104),0))</f>
        <v>46149</v>
      </c>
      <c r="I104" s="143">
        <f t="array" ref="I104">INDEX([22]Monitoring!$I$6:$I$582,MATCH(1,([22]Monitoring!$D$6:$D$582=$D104)*([22]Monitoring!$D$6:$D$582=$D104),0))</f>
        <v>325</v>
      </c>
      <c r="J104" s="9">
        <f t="array" ref="J104">IFERROR(I104/G104*100,0)</f>
        <v>10.370134014039566</v>
      </c>
      <c r="K104" s="143">
        <f t="array" ref="K104">INDEX([22]Monitoring!$J$6:$J$582,MATCH(1,([22]Monitoring!$D$6:$D$582=$D104)*([22]Monitoring!$D$6:$D$582=$D104),0))</f>
        <v>22</v>
      </c>
      <c r="L104" s="9">
        <f t="shared" si="2"/>
        <v>6.7692307692307692</v>
      </c>
      <c r="M104" s="8" t="str">
        <f t="array" ref="M104">IF(L104&gt;5,"Perlu Pengendalian",IF(AND(L104&gt;=0,I104&gt;0),"Tidak Perlu Pengendalian","Belum Sensus"))</f>
        <v>Perlu Pengendalian</v>
      </c>
    </row>
    <row r="105" spans="1:13" outlineLevel="1" x14ac:dyDescent="0.15">
      <c r="A105" s="8" t="s">
        <v>13</v>
      </c>
      <c r="B105" s="8" t="s">
        <v>14</v>
      </c>
      <c r="C105" s="8" t="s">
        <v>107</v>
      </c>
      <c r="D105" s="8" t="s">
        <v>118</v>
      </c>
      <c r="E105" s="9">
        <v>24.85</v>
      </c>
      <c r="F105" s="8" t="s">
        <v>16</v>
      </c>
      <c r="G105" s="10">
        <v>3940</v>
      </c>
      <c r="H105" s="11">
        <f t="array" ref="H105">INDEX([22]Monitoring!$H$6:$H$582,MATCH(1,([22]Monitoring!$D$6:$D$582=$D105)*([22]Monitoring!$D$6:$D$582=$D105),0))</f>
        <v>46150</v>
      </c>
      <c r="I105" s="143">
        <f t="array" ref="I105">INDEX([22]Monitoring!$I$6:$I$582,MATCH(1,([22]Monitoring!$D$6:$D$582=$D105)*([22]Monitoring!$D$6:$D$582=$D105),0))</f>
        <v>404</v>
      </c>
      <c r="J105" s="9">
        <f t="array" ref="J105">IFERROR(I105/G105*100,0)</f>
        <v>10.253807106598984</v>
      </c>
      <c r="K105" s="143">
        <f t="array" ref="K105">INDEX([22]Monitoring!$J$6:$J$582,MATCH(1,([22]Monitoring!$D$6:$D$582=$D105)*([22]Monitoring!$D$6:$D$582=$D105),0))</f>
        <v>56</v>
      </c>
      <c r="L105" s="9">
        <f t="shared" si="2"/>
        <v>13.861386138613863</v>
      </c>
      <c r="M105" s="8" t="str">
        <f t="array" ref="M105">IF(L105&gt;5,"Perlu Pengendalian",IF(AND(L105&gt;=0,I105&gt;0),"Tidak Perlu Pengendalian","Belum Sensus"))</f>
        <v>Perlu Pengendalian</v>
      </c>
    </row>
    <row r="106" spans="1:13" outlineLevel="1" x14ac:dyDescent="0.15">
      <c r="A106" s="8" t="s">
        <v>13</v>
      </c>
      <c r="B106" s="8" t="s">
        <v>14</v>
      </c>
      <c r="C106" s="8" t="s">
        <v>107</v>
      </c>
      <c r="D106" s="8" t="s">
        <v>119</v>
      </c>
      <c r="E106" s="9">
        <v>40.32</v>
      </c>
      <c r="F106" s="8" t="s">
        <v>16</v>
      </c>
      <c r="G106" s="10">
        <v>6053</v>
      </c>
      <c r="H106" s="11">
        <f t="array" ref="H106">INDEX([22]Monitoring!$H$6:$H$582,MATCH(1,([22]Monitoring!$D$6:$D$582=$D106)*([22]Monitoring!$D$6:$D$582=$D106),0))</f>
        <v>46158</v>
      </c>
      <c r="I106" s="143">
        <f t="array" ref="I106">INDEX([22]Monitoring!$I$6:$I$582,MATCH(1,([22]Monitoring!$D$6:$D$582=$D106)*([22]Monitoring!$D$6:$D$582=$D106),0))</f>
        <v>609</v>
      </c>
      <c r="J106" s="9">
        <f t="array" ref="J106">IFERROR(I106/G106*100,0)</f>
        <v>10.061126714026102</v>
      </c>
      <c r="K106" s="143">
        <f t="array" ref="K106">INDEX([22]Monitoring!$J$6:$J$582,MATCH(1,([22]Monitoring!$D$6:$D$582=$D106)*([22]Monitoring!$D$6:$D$582=$D106),0))</f>
        <v>76</v>
      </c>
      <c r="L106" s="9">
        <f t="shared" si="2"/>
        <v>12.479474548440066</v>
      </c>
      <c r="M106" s="8" t="str">
        <f t="array" ref="M106">IF(L106&gt;5,"Perlu Pengendalian",IF(AND(L106&gt;=0,I106&gt;0),"Tidak Perlu Pengendalian","Belum Sensus"))</f>
        <v>Perlu Pengendalian</v>
      </c>
    </row>
    <row r="107" spans="1:13" outlineLevel="1" x14ac:dyDescent="0.15">
      <c r="A107" s="8" t="s">
        <v>13</v>
      </c>
      <c r="B107" s="8" t="s">
        <v>14</v>
      </c>
      <c r="C107" s="8" t="s">
        <v>107</v>
      </c>
      <c r="D107" s="8" t="s">
        <v>120</v>
      </c>
      <c r="E107" s="9">
        <v>22.86</v>
      </c>
      <c r="F107" s="8" t="s">
        <v>16</v>
      </c>
      <c r="G107" s="10">
        <v>3216</v>
      </c>
      <c r="H107" s="11">
        <f t="array" ref="H107">INDEX([22]Monitoring!$H$6:$H$582,MATCH(1,([22]Monitoring!$D$6:$D$582=$D107)*([22]Monitoring!$D$6:$D$582=$D107),0))</f>
        <v>46153</v>
      </c>
      <c r="I107" s="143">
        <f t="array" ref="I107">INDEX([22]Monitoring!$I$6:$I$582,MATCH(1,([22]Monitoring!$D$6:$D$582=$D107)*([22]Monitoring!$D$6:$D$582=$D107),0))</f>
        <v>361</v>
      </c>
      <c r="J107" s="9">
        <f t="array" ref="J107">IFERROR(I107/G107*100,0)</f>
        <v>11.225124378109452</v>
      </c>
      <c r="K107" s="143">
        <f t="array" ref="K107">INDEX([22]Monitoring!$J$6:$J$582,MATCH(1,([22]Monitoring!$D$6:$D$582=$D107)*([22]Monitoring!$D$6:$D$582=$D107),0))</f>
        <v>29</v>
      </c>
      <c r="L107" s="9">
        <f t="shared" si="2"/>
        <v>8.0332409972299157</v>
      </c>
      <c r="M107" s="8" t="str">
        <f t="array" ref="M107">IF(L107&gt;5,"Perlu Pengendalian",IF(AND(L107&gt;=0,I107&gt;0),"Tidak Perlu Pengendalian","Belum Sensus"))</f>
        <v>Perlu Pengendalian</v>
      </c>
    </row>
    <row r="108" spans="1:13" outlineLevel="1" x14ac:dyDescent="0.15">
      <c r="A108" s="8" t="s">
        <v>13</v>
      </c>
      <c r="B108" s="8" t="s">
        <v>14</v>
      </c>
      <c r="C108" s="8" t="s">
        <v>107</v>
      </c>
      <c r="D108" s="8" t="s">
        <v>121</v>
      </c>
      <c r="E108" s="9">
        <v>25.74</v>
      </c>
      <c r="F108" s="8" t="s">
        <v>16</v>
      </c>
      <c r="G108" s="10">
        <v>3777</v>
      </c>
      <c r="H108" s="11">
        <f t="array" ref="H108">INDEX([22]Monitoring!$H$6:$H$582,MATCH(1,([22]Monitoring!$D$6:$D$582=$D108)*([22]Monitoring!$D$6:$D$582=$D108),0))</f>
        <v>46157</v>
      </c>
      <c r="I108" s="143">
        <f t="array" ref="I108">INDEX([22]Monitoring!$I$6:$I$582,MATCH(1,([22]Monitoring!$D$6:$D$582=$D108)*([22]Monitoring!$D$6:$D$582=$D108),0))</f>
        <v>404</v>
      </c>
      <c r="J108" s="9">
        <f t="array" ref="J108">IFERROR(I108/G108*100,0)</f>
        <v>10.69631983055335</v>
      </c>
      <c r="K108" s="143">
        <f t="array" ref="K108">INDEX([22]Monitoring!$J$6:$J$582,MATCH(1,([22]Monitoring!$D$6:$D$582=$D108)*([22]Monitoring!$D$6:$D$582=$D108),0))</f>
        <v>35</v>
      </c>
      <c r="L108" s="9">
        <f t="shared" si="2"/>
        <v>8.6633663366336631</v>
      </c>
      <c r="M108" s="8" t="str">
        <f t="array" ref="M108">IF(L108&gt;5,"Perlu Pengendalian",IF(AND(L108&gt;=0,I108&gt;0),"Tidak Perlu Pengendalian","Belum Sensus"))</f>
        <v>Perlu Pengendalian</v>
      </c>
    </row>
    <row r="109" spans="1:13" outlineLevel="1" x14ac:dyDescent="0.15">
      <c r="A109" s="8" t="s">
        <v>13</v>
      </c>
      <c r="B109" s="8" t="s">
        <v>14</v>
      </c>
      <c r="C109" s="8" t="s">
        <v>107</v>
      </c>
      <c r="D109" s="8" t="s">
        <v>122</v>
      </c>
      <c r="E109" s="9">
        <v>26.16</v>
      </c>
      <c r="F109" s="8" t="s">
        <v>16</v>
      </c>
      <c r="G109" s="10">
        <v>3912</v>
      </c>
      <c r="H109" s="11">
        <f t="array" ref="H109">INDEX([22]Monitoring!$H$6:$H$582,MATCH(1,([22]Monitoring!$D$6:$D$582=$D109)*([22]Monitoring!$D$6:$D$582=$D109),0))</f>
        <v>46151</v>
      </c>
      <c r="I109" s="143">
        <f t="array" ref="I109">INDEX([22]Monitoring!$I$6:$I$582,MATCH(1,([22]Monitoring!$D$6:$D$582=$D109)*([22]Monitoring!$D$6:$D$582=$D109),0))</f>
        <v>417</v>
      </c>
      <c r="J109" s="9">
        <f t="array" ref="J109">IFERROR(I109/G109*100,0)</f>
        <v>10.659509202453988</v>
      </c>
      <c r="K109" s="143">
        <f t="array" ref="K109">INDEX([22]Monitoring!$J$6:$J$582,MATCH(1,([22]Monitoring!$D$6:$D$582=$D109)*([22]Monitoring!$D$6:$D$582=$D109),0))</f>
        <v>58</v>
      </c>
      <c r="L109" s="9">
        <f t="shared" si="2"/>
        <v>13.908872901678656</v>
      </c>
      <c r="M109" s="8" t="str">
        <f t="array" ref="M109">IF(L109&gt;5,"Perlu Pengendalian",IF(AND(L109&gt;=0,I109&gt;0),"Tidak Perlu Pengendalian","Belum Sensus"))</f>
        <v>Perlu Pengendalian</v>
      </c>
    </row>
    <row r="110" spans="1:13" outlineLevel="1" x14ac:dyDescent="0.15">
      <c r="A110" s="8" t="s">
        <v>13</v>
      </c>
      <c r="B110" s="8" t="s">
        <v>14</v>
      </c>
      <c r="C110" s="8" t="s">
        <v>107</v>
      </c>
      <c r="D110" s="8" t="s">
        <v>123</v>
      </c>
      <c r="E110" s="9">
        <v>24.16</v>
      </c>
      <c r="F110" s="8" t="s">
        <v>16</v>
      </c>
      <c r="G110" s="10">
        <v>3552</v>
      </c>
      <c r="H110" s="11">
        <f t="array" ref="H110">INDEX([22]Monitoring!$H$6:$H$582,MATCH(1,([22]Monitoring!$D$6:$D$582=$D110)*([22]Monitoring!$D$6:$D$582=$D110),0))</f>
        <v>46151</v>
      </c>
      <c r="I110" s="143">
        <f t="array" ref="I110">INDEX([22]Monitoring!$I$6:$I$582,MATCH(1,([22]Monitoring!$D$6:$D$582=$D110)*([22]Monitoring!$D$6:$D$582=$D110),0))</f>
        <v>379</v>
      </c>
      <c r="J110" s="9">
        <f t="array" ref="J110">IFERROR(I110/G110*100,0)</f>
        <v>10.670045045045045</v>
      </c>
      <c r="K110" s="143">
        <f t="array" ref="K110">INDEX([22]Monitoring!$J$6:$J$582,MATCH(1,([22]Monitoring!$D$6:$D$582=$D110)*([22]Monitoring!$D$6:$D$582=$D110),0))</f>
        <v>29</v>
      </c>
      <c r="L110" s="9">
        <f t="shared" si="2"/>
        <v>7.6517150395778364</v>
      </c>
      <c r="M110" s="8" t="str">
        <f t="array" ref="M110">IF(L110&gt;5,"Perlu Pengendalian",IF(AND(L110&gt;=0,I110&gt;0),"Tidak Perlu Pengendalian","Belum Sensus"))</f>
        <v>Perlu Pengendalian</v>
      </c>
    </row>
    <row r="111" spans="1:13" outlineLevel="1" x14ac:dyDescent="0.15">
      <c r="A111" s="8" t="s">
        <v>13</v>
      </c>
      <c r="B111" s="8" t="s">
        <v>14</v>
      </c>
      <c r="C111" s="8" t="s">
        <v>107</v>
      </c>
      <c r="D111" s="8" t="s">
        <v>124</v>
      </c>
      <c r="E111" s="9">
        <v>23.86</v>
      </c>
      <c r="F111" s="8" t="s">
        <v>16</v>
      </c>
      <c r="G111" s="10">
        <v>3600</v>
      </c>
      <c r="H111" s="11">
        <f t="array" ref="H111">INDEX([22]Monitoring!$H$6:$H$582,MATCH(1,([22]Monitoring!$D$6:$D$582=$D111)*([22]Monitoring!$D$6:$D$582=$D111),0))</f>
        <v>46151</v>
      </c>
      <c r="I111" s="143">
        <f t="array" ref="I111">INDEX([22]Monitoring!$I$6:$I$582,MATCH(1,([22]Monitoring!$D$6:$D$582=$D111)*([22]Monitoring!$D$6:$D$582=$D111),0))</f>
        <v>369</v>
      </c>
      <c r="J111" s="9">
        <f t="array" ref="J111">IFERROR(I111/G111*100,0)</f>
        <v>10.25</v>
      </c>
      <c r="K111" s="143">
        <f t="array" ref="K111">INDEX([22]Monitoring!$J$6:$J$582,MATCH(1,([22]Monitoring!$D$6:$D$582=$D111)*([22]Monitoring!$D$6:$D$582=$D111),0))</f>
        <v>30</v>
      </c>
      <c r="L111" s="9">
        <f t="shared" si="2"/>
        <v>8.1300813008130071</v>
      </c>
      <c r="M111" s="8" t="str">
        <f t="array" ref="M111">IF(L111&gt;5,"Perlu Pengendalian",IF(AND(L111&gt;=0,I111&gt;0),"Tidak Perlu Pengendalian","Belum Sensus"))</f>
        <v>Perlu Pengendalian</v>
      </c>
    </row>
    <row r="112" spans="1:13" outlineLevel="1" x14ac:dyDescent="0.15">
      <c r="A112" s="8" t="s">
        <v>13</v>
      </c>
      <c r="B112" s="8" t="s">
        <v>14</v>
      </c>
      <c r="C112" s="8" t="s">
        <v>107</v>
      </c>
      <c r="D112" s="8" t="s">
        <v>125</v>
      </c>
      <c r="E112" s="9">
        <v>28.05</v>
      </c>
      <c r="F112" s="8" t="s">
        <v>16</v>
      </c>
      <c r="G112" s="10">
        <v>4127</v>
      </c>
      <c r="H112" s="11">
        <f t="array" ref="H112">INDEX([22]Monitoring!$H$6:$H$582,MATCH(1,([22]Monitoring!$D$6:$D$582=$D112)*([22]Monitoring!$D$6:$D$582=$D112),0))</f>
        <v>46151</v>
      </c>
      <c r="I112" s="143">
        <f t="array" ref="I112">INDEX([22]Monitoring!$I$6:$I$582,MATCH(1,([22]Monitoring!$D$6:$D$582=$D112)*([22]Monitoring!$D$6:$D$582=$D112),0))</f>
        <v>365</v>
      </c>
      <c r="J112" s="9">
        <f t="array" ref="J112">IFERROR(I112/G112*100,0)</f>
        <v>8.8441967530894114</v>
      </c>
      <c r="K112" s="143">
        <f t="array" ref="K112">INDEX([22]Monitoring!$J$6:$J$582,MATCH(1,([22]Monitoring!$D$6:$D$582=$D112)*([22]Monitoring!$D$6:$D$582=$D112),0))</f>
        <v>33</v>
      </c>
      <c r="L112" s="9">
        <f t="shared" si="2"/>
        <v>9.0410958904109595</v>
      </c>
      <c r="M112" s="8" t="str">
        <f t="array" ref="M112">IF(L112&gt;5,"Perlu Pengendalian",IF(AND(L112&gt;=0,I112&gt;0),"Tidak Perlu Pengendalian","Belum Sensus"))</f>
        <v>Perlu Pengendalian</v>
      </c>
    </row>
    <row r="113" spans="1:13" outlineLevel="1" x14ac:dyDescent="0.15">
      <c r="A113" s="8" t="s">
        <v>13</v>
      </c>
      <c r="B113" s="8" t="s">
        <v>14</v>
      </c>
      <c r="C113" s="8" t="s">
        <v>107</v>
      </c>
      <c r="D113" s="8" t="s">
        <v>126</v>
      </c>
      <c r="E113" s="9">
        <v>22.82</v>
      </c>
      <c r="F113" s="8" t="s">
        <v>16</v>
      </c>
      <c r="G113" s="10">
        <v>2883</v>
      </c>
      <c r="H113" s="11">
        <f t="array" ref="H113">INDEX([22]Monitoring!$H$6:$H$582,MATCH(1,([22]Monitoring!$D$6:$D$582=$D113)*([22]Monitoring!$D$6:$D$582=$D113),0))</f>
        <v>46153</v>
      </c>
      <c r="I113" s="143">
        <f t="array" ref="I113">INDEX([22]Monitoring!$I$6:$I$582,MATCH(1,([22]Monitoring!$D$6:$D$582=$D113)*([22]Monitoring!$D$6:$D$582=$D113),0))</f>
        <v>469</v>
      </c>
      <c r="J113" s="9">
        <f t="array" ref="J113">IFERROR(I113/G113*100,0)</f>
        <v>16.267776621574747</v>
      </c>
      <c r="K113" s="143">
        <f t="array" ref="K113">INDEX([22]Monitoring!$J$6:$J$582,MATCH(1,([22]Monitoring!$D$6:$D$582=$D113)*([22]Monitoring!$D$6:$D$582=$D113),0))</f>
        <v>43</v>
      </c>
      <c r="L113" s="9">
        <f t="shared" si="2"/>
        <v>9.1684434968017072</v>
      </c>
      <c r="M113" s="8" t="str">
        <f t="array" ref="M113">IF(L113&gt;5,"Perlu Pengendalian",IF(AND(L113&gt;=0,I113&gt;0),"Tidak Perlu Pengendalian","Belum Sensus"))</f>
        <v>Perlu Pengendalian</v>
      </c>
    </row>
    <row r="114" spans="1:13" outlineLevel="1" x14ac:dyDescent="0.15">
      <c r="A114" s="8" t="s">
        <v>13</v>
      </c>
      <c r="B114" s="8" t="s">
        <v>14</v>
      </c>
      <c r="C114" s="8" t="s">
        <v>107</v>
      </c>
      <c r="D114" s="8" t="s">
        <v>127</v>
      </c>
      <c r="E114" s="9">
        <v>29.22</v>
      </c>
      <c r="F114" s="8" t="s">
        <v>16</v>
      </c>
      <c r="G114" s="10">
        <v>3997</v>
      </c>
      <c r="H114" s="11">
        <f t="array" ref="H114">INDEX([22]Monitoring!$H$6:$H$582,MATCH(1,([22]Monitoring!$D$6:$D$582=$D114)*([22]Monitoring!$D$6:$D$582=$D114),0))</f>
        <v>46150</v>
      </c>
      <c r="I114" s="143">
        <f t="array" ref="I114">INDEX([22]Monitoring!$I$6:$I$582,MATCH(1,([22]Monitoring!$D$6:$D$582=$D114)*([22]Monitoring!$D$6:$D$582=$D114),0))</f>
        <v>395</v>
      </c>
      <c r="J114" s="9">
        <f t="array" ref="J114">IFERROR(I114/G114*100,0)</f>
        <v>9.8824118088566415</v>
      </c>
      <c r="K114" s="143">
        <f t="array" ref="K114">INDEX([22]Monitoring!$J$6:$J$582,MATCH(1,([22]Monitoring!$D$6:$D$582=$D114)*([22]Monitoring!$D$6:$D$582=$D114),0))</f>
        <v>71</v>
      </c>
      <c r="L114" s="9">
        <f t="shared" si="2"/>
        <v>17.974683544303797</v>
      </c>
      <c r="M114" s="8" t="str">
        <f t="array" ref="M114">IF(L114&gt;5,"Perlu Pengendalian",IF(AND(L114&gt;=0,I114&gt;0),"Tidak Perlu Pengendalian","Belum Sensus"))</f>
        <v>Perlu Pengendalian</v>
      </c>
    </row>
    <row r="115" spans="1:13" outlineLevel="1" x14ac:dyDescent="0.15">
      <c r="A115" s="8" t="s">
        <v>13</v>
      </c>
      <c r="B115" s="8" t="s">
        <v>14</v>
      </c>
      <c r="C115" s="8" t="s">
        <v>107</v>
      </c>
      <c r="D115" s="8" t="s">
        <v>128</v>
      </c>
      <c r="E115" s="9">
        <v>24.57</v>
      </c>
      <c r="F115" s="8" t="s">
        <v>16</v>
      </c>
      <c r="G115" s="10">
        <v>3287</v>
      </c>
      <c r="H115" s="11">
        <f t="array" ref="H115">INDEX([22]Monitoring!$H$6:$H$582,MATCH(1,([22]Monitoring!$D$6:$D$582=$D115)*([22]Monitoring!$D$6:$D$582=$D115),0))</f>
        <v>46150</v>
      </c>
      <c r="I115" s="143">
        <f t="array" ref="I115">INDEX([22]Monitoring!$I$6:$I$582,MATCH(1,([22]Monitoring!$D$6:$D$582=$D115)*([22]Monitoring!$D$6:$D$582=$D115),0))</f>
        <v>344</v>
      </c>
      <c r="J115" s="9">
        <f t="array" ref="J115">IFERROR(I115/G115*100,0)</f>
        <v>10.465470033465166</v>
      </c>
      <c r="K115" s="143">
        <f t="array" ref="K115">INDEX([22]Monitoring!$J$6:$J$582,MATCH(1,([22]Monitoring!$D$6:$D$582=$D115)*([22]Monitoring!$D$6:$D$582=$D115),0))</f>
        <v>57</v>
      </c>
      <c r="L115" s="9">
        <f t="shared" si="2"/>
        <v>16.569767441860463</v>
      </c>
      <c r="M115" s="8" t="str">
        <f t="array" ref="M115">IF(L115&gt;5,"Perlu Pengendalian",IF(AND(L115&gt;=0,I115&gt;0),"Tidak Perlu Pengendalian","Belum Sensus"))</f>
        <v>Perlu Pengendalian</v>
      </c>
    </row>
    <row r="116" spans="1:13" outlineLevel="1" x14ac:dyDescent="0.15">
      <c r="A116" s="8" t="s">
        <v>13</v>
      </c>
      <c r="B116" s="8" t="s">
        <v>14</v>
      </c>
      <c r="C116" s="8" t="s">
        <v>107</v>
      </c>
      <c r="D116" s="8" t="s">
        <v>129</v>
      </c>
      <c r="E116" s="9">
        <v>22.71</v>
      </c>
      <c r="F116" s="8" t="s">
        <v>16</v>
      </c>
      <c r="G116" s="10">
        <v>2927</v>
      </c>
      <c r="H116" s="11">
        <f t="array" ref="H116">INDEX([22]Monitoring!$H$6:$H$582,MATCH(1,([22]Monitoring!$D$6:$D$582=$D116)*([22]Monitoring!$D$6:$D$582=$D116),0))</f>
        <v>46150</v>
      </c>
      <c r="I116" s="143">
        <f t="array" ref="I116">INDEX([22]Monitoring!$I$6:$I$582,MATCH(1,([22]Monitoring!$D$6:$D$582=$D116)*([22]Monitoring!$D$6:$D$582=$D116),0))</f>
        <v>344</v>
      </c>
      <c r="J116" s="9">
        <f t="array" ref="J116">IFERROR(I116/G116*100,0)</f>
        <v>11.75264776221387</v>
      </c>
      <c r="K116" s="143">
        <f t="array" ref="K116">INDEX([22]Monitoring!$J$6:$J$582,MATCH(1,([22]Monitoring!$D$6:$D$582=$D116)*([22]Monitoring!$D$6:$D$582=$D116),0))</f>
        <v>46</v>
      </c>
      <c r="L116" s="9">
        <f t="shared" si="2"/>
        <v>13.372093023255813</v>
      </c>
      <c r="M116" s="8" t="str">
        <f t="array" ref="M116">IF(L116&gt;5,"Perlu Pengendalian",IF(AND(L116&gt;=0,I116&gt;0),"Tidak Perlu Pengendalian","Belum Sensus"))</f>
        <v>Perlu Pengendalian</v>
      </c>
    </row>
    <row r="117" spans="1:13" outlineLevel="1" x14ac:dyDescent="0.15">
      <c r="A117" s="8" t="s">
        <v>13</v>
      </c>
      <c r="B117" s="8" t="s">
        <v>14</v>
      </c>
      <c r="C117" s="8" t="s">
        <v>107</v>
      </c>
      <c r="D117" s="8" t="s">
        <v>130</v>
      </c>
      <c r="E117" s="9">
        <v>24.03</v>
      </c>
      <c r="F117" s="8" t="s">
        <v>16</v>
      </c>
      <c r="G117" s="10">
        <v>2923</v>
      </c>
      <c r="H117" s="11">
        <f t="array" ref="H117">INDEX([22]Monitoring!$H$6:$H$582,MATCH(1,([22]Monitoring!$D$6:$D$582=$D117)*([22]Monitoring!$D$6:$D$582=$D117),0))</f>
        <v>46150</v>
      </c>
      <c r="I117" s="143">
        <f t="array" ref="I117">INDEX([22]Monitoring!$I$6:$I$582,MATCH(1,([22]Monitoring!$D$6:$D$582=$D117)*([22]Monitoring!$D$6:$D$582=$D117),0))</f>
        <v>366</v>
      </c>
      <c r="J117" s="9">
        <f t="array" ref="J117">IFERROR(I117/G117*100,0)</f>
        <v>12.521382141635307</v>
      </c>
      <c r="K117" s="143">
        <f t="array" ref="K117">INDEX([22]Monitoring!$J$6:$J$582,MATCH(1,([22]Monitoring!$D$6:$D$582=$D117)*([22]Monitoring!$D$6:$D$582=$D117),0))</f>
        <v>39</v>
      </c>
      <c r="L117" s="9">
        <f t="shared" si="2"/>
        <v>10.655737704918032</v>
      </c>
      <c r="M117" s="8" t="str">
        <f t="array" ref="M117">IF(L117&gt;5,"Perlu Pengendalian",IF(AND(L117&gt;=0,I117&gt;0),"Tidak Perlu Pengendalian","Belum Sensus"))</f>
        <v>Perlu Pengendalian</v>
      </c>
    </row>
    <row r="118" spans="1:13" outlineLevel="1" x14ac:dyDescent="0.15">
      <c r="A118" s="8" t="s">
        <v>13</v>
      </c>
      <c r="B118" s="8" t="s">
        <v>14</v>
      </c>
      <c r="C118" s="8" t="s">
        <v>107</v>
      </c>
      <c r="D118" s="8" t="s">
        <v>131</v>
      </c>
      <c r="E118" s="9">
        <v>43.81</v>
      </c>
      <c r="F118" s="8" t="s">
        <v>132</v>
      </c>
      <c r="G118" s="10">
        <v>6510</v>
      </c>
      <c r="H118" s="11">
        <f t="array" ref="H118">INDEX([22]Monitoring!$H$6:$H$582,MATCH(1,([22]Monitoring!$D$6:$D$582=$D118)*([22]Monitoring!$D$6:$D$582=$D118),0))</f>
        <v>46154</v>
      </c>
      <c r="I118" s="143">
        <f t="array" ref="I118">INDEX([22]Monitoring!$I$6:$I$582,MATCH(1,([22]Monitoring!$D$6:$D$582=$D118)*([22]Monitoring!$D$6:$D$582=$D118),0))</f>
        <v>698</v>
      </c>
      <c r="J118" s="9">
        <f t="array" ref="J118">IFERROR(I118/G118*100,0)</f>
        <v>10.721966205837173</v>
      </c>
      <c r="K118" s="143">
        <f t="array" ref="K118">INDEX([22]Monitoring!$J$6:$J$582,MATCH(1,([22]Monitoring!$D$6:$D$582=$D118)*([22]Monitoring!$D$6:$D$582=$D118),0))</f>
        <v>60</v>
      </c>
      <c r="L118" s="9">
        <f t="shared" si="2"/>
        <v>8.5959885386819472</v>
      </c>
      <c r="M118" s="8" t="str">
        <f t="array" ref="M118">IF(L118&gt;5,"Perlu Pengendalian",IF(AND(L118&gt;=0,I118&gt;0),"Tidak Perlu Pengendalian","Belum Sensus"))</f>
        <v>Perlu Pengendalian</v>
      </c>
    </row>
    <row r="119" spans="1:13" outlineLevel="1" x14ac:dyDescent="0.15">
      <c r="A119" s="8" t="s">
        <v>13</v>
      </c>
      <c r="B119" s="8" t="s">
        <v>14</v>
      </c>
      <c r="C119" s="8" t="s">
        <v>107</v>
      </c>
      <c r="D119" s="8" t="s">
        <v>133</v>
      </c>
      <c r="E119" s="9">
        <v>23.75</v>
      </c>
      <c r="F119" s="8" t="s">
        <v>132</v>
      </c>
      <c r="G119" s="10">
        <v>3574</v>
      </c>
      <c r="H119" s="11">
        <f t="array" ref="H119">INDEX([22]Monitoring!$H$6:$H$582,MATCH(1,([22]Monitoring!$D$6:$D$582=$D119)*([22]Monitoring!$D$6:$D$582=$D119),0))</f>
        <v>46157</v>
      </c>
      <c r="I119" s="143">
        <f t="array" ref="I119">INDEX([22]Monitoring!$I$6:$I$582,MATCH(1,([22]Monitoring!$D$6:$D$582=$D119)*([22]Monitoring!$D$6:$D$582=$D119),0))</f>
        <v>385</v>
      </c>
      <c r="J119" s="9">
        <f t="array" ref="J119">IFERROR(I119/G119*100,0)</f>
        <v>10.772243984331281</v>
      </c>
      <c r="K119" s="143">
        <f t="array" ref="K119">INDEX([22]Monitoring!$J$6:$J$582,MATCH(1,([22]Monitoring!$D$6:$D$582=$D119)*([22]Monitoring!$D$6:$D$582=$D119),0))</f>
        <v>27</v>
      </c>
      <c r="L119" s="9">
        <f t="shared" si="2"/>
        <v>7.0129870129870122</v>
      </c>
      <c r="M119" s="8" t="str">
        <f t="array" ref="M119">IF(L119&gt;5,"Perlu Pengendalian",IF(AND(L119&gt;=0,I119&gt;0),"Tidak Perlu Pengendalian","Belum Sensus"))</f>
        <v>Perlu Pengendalian</v>
      </c>
    </row>
    <row r="120" spans="1:13" outlineLevel="1" x14ac:dyDescent="0.15">
      <c r="A120" s="8" t="s">
        <v>13</v>
      </c>
      <c r="B120" s="8" t="s">
        <v>14</v>
      </c>
      <c r="C120" s="8" t="s">
        <v>107</v>
      </c>
      <c r="D120" s="8" t="s">
        <v>134</v>
      </c>
      <c r="E120" s="9">
        <v>31.21</v>
      </c>
      <c r="F120" s="8" t="s">
        <v>16</v>
      </c>
      <c r="G120" s="10">
        <v>4513</v>
      </c>
      <c r="H120" s="11">
        <f t="array" ref="H120">INDEX([22]Monitoring!$H$6:$H$582,MATCH(1,([22]Monitoring!$D$6:$D$582=$D120)*([22]Monitoring!$D$6:$D$582=$D120),0))</f>
        <v>46155</v>
      </c>
      <c r="I120" s="143">
        <f t="array" ref="I120">INDEX([22]Monitoring!$I$6:$I$582,MATCH(1,([22]Monitoring!$D$6:$D$582=$D120)*([22]Monitoring!$D$6:$D$582=$D120),0))</f>
        <v>471</v>
      </c>
      <c r="J120" s="9">
        <f t="array" ref="J120">IFERROR(I120/G120*100,0)</f>
        <v>10.436516729448259</v>
      </c>
      <c r="K120" s="143">
        <f t="array" ref="K120">INDEX([22]Monitoring!$J$6:$J$582,MATCH(1,([22]Monitoring!$D$6:$D$582=$D120)*([22]Monitoring!$D$6:$D$582=$D120),0))</f>
        <v>28</v>
      </c>
      <c r="L120" s="9">
        <f t="shared" si="2"/>
        <v>5.9447983014862</v>
      </c>
      <c r="M120" s="8" t="str">
        <f t="array" ref="M120">IF(L120&gt;5,"Perlu Pengendalian",IF(AND(L120&gt;=0,I120&gt;0),"Tidak Perlu Pengendalian","Belum Sensus"))</f>
        <v>Perlu Pengendalian</v>
      </c>
    </row>
    <row r="121" spans="1:13" outlineLevel="1" x14ac:dyDescent="0.15">
      <c r="A121" s="8" t="s">
        <v>13</v>
      </c>
      <c r="B121" s="8" t="s">
        <v>14</v>
      </c>
      <c r="C121" s="8" t="s">
        <v>107</v>
      </c>
      <c r="D121" s="8" t="s">
        <v>135</v>
      </c>
      <c r="E121" s="9">
        <v>24.27</v>
      </c>
      <c r="F121" s="8" t="s">
        <v>16</v>
      </c>
      <c r="G121" s="10">
        <v>3533</v>
      </c>
      <c r="H121" s="11">
        <f t="array" ref="H121">INDEX([22]Monitoring!$H$6:$H$582,MATCH(1,([22]Monitoring!$D$6:$D$582=$D121)*([22]Monitoring!$D$6:$D$582=$D121),0))</f>
        <v>46155</v>
      </c>
      <c r="I121" s="143">
        <f t="array" ref="I121">INDEX([22]Monitoring!$I$6:$I$582,MATCH(1,([22]Monitoring!$D$6:$D$582=$D121)*([22]Monitoring!$D$6:$D$582=$D121),0))</f>
        <v>388</v>
      </c>
      <c r="J121" s="9">
        <f t="array" ref="J121">IFERROR(I121/G121*100,0)</f>
        <v>10.98216812906878</v>
      </c>
      <c r="K121" s="143">
        <f t="array" ref="K121">INDEX([22]Monitoring!$J$6:$J$582,MATCH(1,([22]Monitoring!$D$6:$D$582=$D121)*([22]Monitoring!$D$6:$D$582=$D121),0))</f>
        <v>25</v>
      </c>
      <c r="L121" s="9">
        <f t="shared" si="2"/>
        <v>6.4432989690721643</v>
      </c>
      <c r="M121" s="8" t="str">
        <f t="array" ref="M121">IF(L121&gt;5,"Perlu Pengendalian",IF(AND(L121&gt;=0,I121&gt;0),"Tidak Perlu Pengendalian","Belum Sensus"))</f>
        <v>Perlu Pengendalian</v>
      </c>
    </row>
    <row r="122" spans="1:13" outlineLevel="1" x14ac:dyDescent="0.15">
      <c r="A122" s="8" t="s">
        <v>13</v>
      </c>
      <c r="B122" s="8" t="s">
        <v>14</v>
      </c>
      <c r="C122" s="8" t="s">
        <v>107</v>
      </c>
      <c r="D122" s="8" t="s">
        <v>136</v>
      </c>
      <c r="E122" s="9">
        <v>24.15</v>
      </c>
      <c r="F122" s="8" t="s">
        <v>16</v>
      </c>
      <c r="G122" s="10">
        <v>3811</v>
      </c>
      <c r="H122" s="11">
        <f t="array" ref="H122">INDEX([22]Monitoring!$H$6:$H$582,MATCH(1,([22]Monitoring!$D$6:$D$582=$D122)*([22]Monitoring!$D$6:$D$582=$D122),0))</f>
        <v>46157</v>
      </c>
      <c r="I122" s="143">
        <f t="array" ref="I122">INDEX([22]Monitoring!$I$6:$I$582,MATCH(1,([22]Monitoring!$D$6:$D$582=$D122)*([22]Monitoring!$D$6:$D$582=$D122),0))</f>
        <v>378</v>
      </c>
      <c r="J122" s="9">
        <f t="array" ref="J122">IFERROR(I122/G122*100,0)</f>
        <v>9.9186565205982689</v>
      </c>
      <c r="K122" s="143">
        <f t="array" ref="K122">INDEX([22]Monitoring!$J$6:$J$582,MATCH(1,([22]Monitoring!$D$6:$D$582=$D122)*([22]Monitoring!$D$6:$D$582=$D122),0))</f>
        <v>20</v>
      </c>
      <c r="L122" s="9">
        <f t="shared" si="2"/>
        <v>5.2910052910052912</v>
      </c>
      <c r="M122" s="8" t="str">
        <f t="array" ref="M122">IF(L122&gt;5,"Perlu Pengendalian",IF(AND(L122&gt;=0,I122&gt;0),"Tidak Perlu Pengendalian","Belum Sensus"))</f>
        <v>Perlu Pengendalian</v>
      </c>
    </row>
    <row r="123" spans="1:13" outlineLevel="1" x14ac:dyDescent="0.15">
      <c r="A123" s="8" t="s">
        <v>13</v>
      </c>
      <c r="B123" s="8" t="s">
        <v>14</v>
      </c>
      <c r="C123" s="8" t="s">
        <v>107</v>
      </c>
      <c r="D123" s="8" t="s">
        <v>137</v>
      </c>
      <c r="E123" s="9">
        <v>24.18</v>
      </c>
      <c r="F123" s="8" t="s">
        <v>16</v>
      </c>
      <c r="G123" s="10">
        <v>3657</v>
      </c>
      <c r="H123" s="11">
        <f t="array" ref="H123">INDEX([22]Monitoring!$H$6:$H$582,MATCH(1,([22]Monitoring!$D$6:$D$582=$D123)*([22]Monitoring!$D$6:$D$582=$D123),0))</f>
        <v>46157</v>
      </c>
      <c r="I123" s="143">
        <f t="array" ref="I123">INDEX([22]Monitoring!$I$6:$I$582,MATCH(1,([22]Monitoring!$D$6:$D$582=$D123)*([22]Monitoring!$D$6:$D$582=$D123),0))</f>
        <v>364</v>
      </c>
      <c r="J123" s="9">
        <f t="array" ref="J123">IFERROR(I123/G123*100,0)</f>
        <v>9.9535138091331685</v>
      </c>
      <c r="K123" s="143">
        <f t="array" ref="K123">INDEX([22]Monitoring!$J$6:$J$582,MATCH(1,([22]Monitoring!$D$6:$D$582=$D123)*([22]Monitoring!$D$6:$D$582=$D123),0))</f>
        <v>26</v>
      </c>
      <c r="L123" s="9">
        <f t="shared" si="2"/>
        <v>7.1428571428571423</v>
      </c>
      <c r="M123" s="8" t="str">
        <f t="array" ref="M123">IF(L123&gt;5,"Perlu Pengendalian",IF(AND(L123&gt;=0,I123&gt;0),"Tidak Perlu Pengendalian","Belum Sensus"))</f>
        <v>Perlu Pengendalian</v>
      </c>
    </row>
    <row r="124" spans="1:13" outlineLevel="1" x14ac:dyDescent="0.15">
      <c r="A124" s="8" t="s">
        <v>13</v>
      </c>
      <c r="B124" s="8" t="s">
        <v>14</v>
      </c>
      <c r="C124" s="8" t="s">
        <v>107</v>
      </c>
      <c r="D124" s="8" t="s">
        <v>138</v>
      </c>
      <c r="E124" s="9">
        <v>27.59</v>
      </c>
      <c r="F124" s="8" t="s">
        <v>16</v>
      </c>
      <c r="G124" s="10">
        <v>4030</v>
      </c>
      <c r="H124" s="11">
        <f t="array" ref="H124">INDEX([22]Monitoring!$H$6:$H$582,MATCH(1,([22]Monitoring!$D$6:$D$582=$D124)*([22]Monitoring!$D$6:$D$582=$D124),0))</f>
        <v>46157</v>
      </c>
      <c r="I124" s="143">
        <f t="array" ref="I124">INDEX([22]Monitoring!$I$6:$I$582,MATCH(1,([22]Monitoring!$D$6:$D$582=$D124)*([22]Monitoring!$D$6:$D$582=$D124),0))</f>
        <v>333</v>
      </c>
      <c r="J124" s="9">
        <f t="array" ref="J124">IFERROR(I124/G124*100,0)</f>
        <v>8.2630272952853598</v>
      </c>
      <c r="K124" s="143">
        <f t="array" ref="K124">INDEX([22]Monitoring!$J$6:$J$582,MATCH(1,([22]Monitoring!$D$6:$D$582=$D124)*([22]Monitoring!$D$6:$D$582=$D124),0))</f>
        <v>79</v>
      </c>
      <c r="L124" s="9">
        <f t="shared" si="2"/>
        <v>23.723723723723726</v>
      </c>
      <c r="M124" s="8" t="str">
        <f t="array" ref="M124">IF(L124&gt;5,"Perlu Pengendalian",IF(AND(L124&gt;=0,I124&gt;0),"Tidak Perlu Pengendalian","Belum Sensus"))</f>
        <v>Perlu Pengendalian</v>
      </c>
    </row>
    <row r="125" spans="1:13" outlineLevel="1" x14ac:dyDescent="0.15">
      <c r="A125" s="8" t="s">
        <v>13</v>
      </c>
      <c r="B125" s="8" t="s">
        <v>14</v>
      </c>
      <c r="C125" s="8" t="s">
        <v>107</v>
      </c>
      <c r="D125" s="8" t="s">
        <v>139</v>
      </c>
      <c r="E125" s="9">
        <v>24.97</v>
      </c>
      <c r="F125" s="8" t="s">
        <v>16</v>
      </c>
      <c r="G125" s="10">
        <v>3498</v>
      </c>
      <c r="H125" s="11">
        <f t="array" ref="H125">INDEX([22]Monitoring!$H$6:$H$582,MATCH(1,([22]Monitoring!$D$6:$D$582=$D125)*([22]Monitoring!$D$6:$D$582=$D125),0))</f>
        <v>46157</v>
      </c>
      <c r="I125" s="143">
        <f t="array" ref="I125">INDEX([22]Monitoring!$I$6:$I$582,MATCH(1,([22]Monitoring!$D$6:$D$582=$D125)*([22]Monitoring!$D$6:$D$582=$D125),0))</f>
        <v>336</v>
      </c>
      <c r="J125" s="9">
        <f t="array" ref="J125">IFERROR(I125/G125*100,0)</f>
        <v>9.6054888507718683</v>
      </c>
      <c r="K125" s="143">
        <f t="array" ref="K125">INDEX([22]Monitoring!$J$6:$J$582,MATCH(1,([22]Monitoring!$D$6:$D$582=$D125)*([22]Monitoring!$D$6:$D$582=$D125),0))</f>
        <v>59</v>
      </c>
      <c r="L125" s="9">
        <f t="shared" si="2"/>
        <v>17.559523809523807</v>
      </c>
      <c r="M125" s="8" t="str">
        <f t="array" ref="M125">IF(L125&gt;5,"Perlu Pengendalian",IF(AND(L125&gt;=0,I125&gt;0),"Tidak Perlu Pengendalian","Belum Sensus"))</f>
        <v>Perlu Pengendalian</v>
      </c>
    </row>
    <row r="126" spans="1:13" outlineLevel="1" x14ac:dyDescent="0.15">
      <c r="A126" s="8" t="s">
        <v>13</v>
      </c>
      <c r="B126" s="8" t="s">
        <v>14</v>
      </c>
      <c r="C126" s="8" t="s">
        <v>107</v>
      </c>
      <c r="D126" s="8" t="s">
        <v>140</v>
      </c>
      <c r="E126" s="9">
        <v>29.62</v>
      </c>
      <c r="F126" s="8" t="s">
        <v>16</v>
      </c>
      <c r="G126" s="10">
        <v>3891</v>
      </c>
      <c r="H126" s="11">
        <f t="array" ref="H126">INDEX([22]Monitoring!$H$6:$H$582,MATCH(1,([22]Monitoring!$D$6:$D$582=$D126)*([22]Monitoring!$D$6:$D$582=$D126),0))</f>
        <v>46157</v>
      </c>
      <c r="I126" s="143">
        <f t="array" ref="I126">INDEX([22]Monitoring!$I$6:$I$582,MATCH(1,([22]Monitoring!$D$6:$D$582=$D126)*([22]Monitoring!$D$6:$D$582=$D126),0))</f>
        <v>393</v>
      </c>
      <c r="J126" s="9">
        <f t="array" ref="J126">IFERROR(I126/G126*100,0)</f>
        <v>10.100231303006939</v>
      </c>
      <c r="K126" s="143">
        <f t="array" ref="K126">INDEX([22]Monitoring!$J$6:$J$582,MATCH(1,([22]Monitoring!$D$6:$D$582=$D126)*([22]Monitoring!$D$6:$D$582=$D126),0))</f>
        <v>78</v>
      </c>
      <c r="L126" s="9">
        <f t="shared" si="2"/>
        <v>19.847328244274809</v>
      </c>
      <c r="M126" s="8" t="str">
        <f t="array" ref="M126">IF(L126&gt;5,"Perlu Pengendalian",IF(AND(L126&gt;=0,I126&gt;0),"Tidak Perlu Pengendalian","Belum Sensus"))</f>
        <v>Perlu Pengendalian</v>
      </c>
    </row>
    <row r="127" spans="1:13" outlineLevel="1" x14ac:dyDescent="0.15">
      <c r="A127" s="8" t="s">
        <v>13</v>
      </c>
      <c r="B127" s="8" t="s">
        <v>14</v>
      </c>
      <c r="C127" s="8" t="s">
        <v>107</v>
      </c>
      <c r="D127" s="8" t="s">
        <v>141</v>
      </c>
      <c r="E127" s="9">
        <v>24.32</v>
      </c>
      <c r="F127" s="8" t="s">
        <v>16</v>
      </c>
      <c r="G127" s="10">
        <v>3410</v>
      </c>
      <c r="H127" s="11">
        <f t="array" ref="H127">INDEX([22]Monitoring!$H$6:$H$582,MATCH(1,([22]Monitoring!$D$6:$D$582=$D127)*([22]Monitoring!$D$6:$D$582=$D127),0))</f>
        <v>46158</v>
      </c>
      <c r="I127" s="143">
        <f t="array" ref="I127">INDEX([22]Monitoring!$I$6:$I$582,MATCH(1,([22]Monitoring!$D$6:$D$582=$D127)*([22]Monitoring!$D$6:$D$582=$D127),0))</f>
        <v>277</v>
      </c>
      <c r="J127" s="9">
        <f t="array" ref="J127">IFERROR(I127/G127*100,0)</f>
        <v>8.1231671554252198</v>
      </c>
      <c r="K127" s="143">
        <f t="array" ref="K127">INDEX([22]Monitoring!$J$6:$J$582,MATCH(1,([22]Monitoring!$D$6:$D$582=$D127)*([22]Monitoring!$D$6:$D$582=$D127),0))</f>
        <v>61</v>
      </c>
      <c r="L127" s="9">
        <f t="shared" si="2"/>
        <v>22.021660649819495</v>
      </c>
      <c r="M127" s="8" t="str">
        <f t="array" ref="M127">IF(L127&gt;5,"Perlu Pengendalian",IF(AND(L127&gt;=0,I127&gt;0),"Tidak Perlu Pengendalian","Belum Sensus"))</f>
        <v>Perlu Pengendalian</v>
      </c>
    </row>
    <row r="128" spans="1:13" outlineLevel="1" x14ac:dyDescent="0.15">
      <c r="A128" s="8" t="s">
        <v>13</v>
      </c>
      <c r="B128" s="8" t="s">
        <v>14</v>
      </c>
      <c r="C128" s="8" t="s">
        <v>107</v>
      </c>
      <c r="D128" s="8" t="s">
        <v>142</v>
      </c>
      <c r="E128" s="9">
        <v>23.92</v>
      </c>
      <c r="F128" s="8" t="s">
        <v>16</v>
      </c>
      <c r="G128" s="10">
        <v>2496</v>
      </c>
      <c r="H128" s="11">
        <f t="array" ref="H128">INDEX([22]Monitoring!$H$6:$H$582,MATCH(1,([22]Monitoring!$D$6:$D$582=$D128)*([22]Monitoring!$D$6:$D$582=$D128),0))</f>
        <v>46158</v>
      </c>
      <c r="I128" s="143">
        <f t="array" ref="I128">INDEX([22]Monitoring!$I$6:$I$582,MATCH(1,([22]Monitoring!$D$6:$D$582=$D128)*([22]Monitoring!$D$6:$D$582=$D128),0))</f>
        <v>284</v>
      </c>
      <c r="J128" s="9">
        <f t="array" ref="J128">IFERROR(I128/G128*100,0)</f>
        <v>11.378205128205128</v>
      </c>
      <c r="K128" s="143">
        <f t="array" ref="K128">INDEX([22]Monitoring!$J$6:$J$582,MATCH(1,([22]Monitoring!$D$6:$D$582=$D128)*([22]Monitoring!$D$6:$D$582=$D128),0))</f>
        <v>54</v>
      </c>
      <c r="L128" s="9">
        <f t="shared" si="2"/>
        <v>19.014084507042252</v>
      </c>
      <c r="M128" s="8" t="str">
        <f t="array" ref="M128">IF(L128&gt;5,"Perlu Pengendalian",IF(AND(L128&gt;=0,I128&gt;0),"Tidak Perlu Pengendalian","Belum Sensus"))</f>
        <v>Perlu Pengendalian</v>
      </c>
    </row>
    <row r="129" spans="1:13" outlineLevel="1" x14ac:dyDescent="0.15">
      <c r="A129" s="8" t="s">
        <v>13</v>
      </c>
      <c r="B129" s="8" t="s">
        <v>14</v>
      </c>
      <c r="C129" s="8" t="s">
        <v>107</v>
      </c>
      <c r="D129" s="8" t="s">
        <v>143</v>
      </c>
      <c r="E129" s="9">
        <v>23.97</v>
      </c>
      <c r="F129" s="8" t="s">
        <v>16</v>
      </c>
      <c r="G129" s="10">
        <v>2572</v>
      </c>
      <c r="H129" s="11">
        <f t="array" ref="H129">INDEX([22]Monitoring!$H$6:$H$582,MATCH(1,([22]Monitoring!$D$6:$D$582=$D129)*([22]Monitoring!$D$6:$D$582=$D129),0))</f>
        <v>46158</v>
      </c>
      <c r="I129" s="143">
        <f t="array" ref="I129">INDEX([22]Monitoring!$I$6:$I$582,MATCH(1,([22]Monitoring!$D$6:$D$582=$D129)*([22]Monitoring!$D$6:$D$582=$D129),0))</f>
        <v>308</v>
      </c>
      <c r="J129" s="9">
        <f t="array" ref="J129">IFERROR(I129/G129*100,0)</f>
        <v>11.975116640746501</v>
      </c>
      <c r="K129" s="143">
        <f t="array" ref="K129">INDEX([22]Monitoring!$J$6:$J$582,MATCH(1,([22]Monitoring!$D$6:$D$582=$D129)*([22]Monitoring!$D$6:$D$582=$D129),0))</f>
        <v>76</v>
      </c>
      <c r="L129" s="9">
        <f t="shared" si="2"/>
        <v>24.675324675324674</v>
      </c>
      <c r="M129" s="8" t="str">
        <f t="array" ref="M129">IF(L129&gt;5,"Perlu Pengendalian",IF(AND(L129&gt;=0,I129&gt;0),"Tidak Perlu Pengendalian","Belum Sensus"))</f>
        <v>Perlu Pengendalian</v>
      </c>
    </row>
    <row r="130" spans="1:13" outlineLevel="1" x14ac:dyDescent="0.15">
      <c r="A130" s="8" t="s">
        <v>13</v>
      </c>
      <c r="B130" s="8" t="s">
        <v>14</v>
      </c>
      <c r="C130" s="8" t="s">
        <v>144</v>
      </c>
      <c r="D130" s="8" t="s">
        <v>145</v>
      </c>
      <c r="E130" s="9">
        <v>29.02</v>
      </c>
      <c r="F130" s="8" t="s">
        <v>16</v>
      </c>
      <c r="G130" s="10">
        <v>4145</v>
      </c>
      <c r="H130" s="11">
        <f t="array" ref="H130">INDEX([22]Monitoring!$H$6:$H$582,MATCH(1,([22]Monitoring!$D$6:$D$582=$D130)*([22]Monitoring!$D$6:$D$582=$D130),0))</f>
        <v>46148</v>
      </c>
      <c r="I130" s="143">
        <f t="array" ref="I130">INDEX([22]Monitoring!$I$6:$I$582,MATCH(1,([22]Monitoring!$D$6:$D$582=$D130)*([22]Monitoring!$D$6:$D$582=$D130),0))</f>
        <v>389</v>
      </c>
      <c r="J130" s="9">
        <f t="array" ref="J130">IFERROR(I130/G130*100,0)</f>
        <v>9.3848009650180941</v>
      </c>
      <c r="K130" s="143">
        <f t="array" ref="K130">INDEX([22]Monitoring!$J$6:$J$582,MATCH(1,([22]Monitoring!$D$6:$D$582=$D130)*([22]Monitoring!$D$6:$D$582=$D130),0))</f>
        <v>20</v>
      </c>
      <c r="L130" s="9">
        <f t="shared" si="2"/>
        <v>5.1413881748071981</v>
      </c>
      <c r="M130" s="8" t="str">
        <f t="array" ref="M130">IF(L130&gt;5,"Perlu Pengendalian",IF(AND(L130&gt;=0,I130&gt;0),"Tidak Perlu Pengendalian","Belum Sensus"))</f>
        <v>Perlu Pengendalian</v>
      </c>
    </row>
    <row r="131" spans="1:13" outlineLevel="1" x14ac:dyDescent="0.15">
      <c r="A131" s="8" t="s">
        <v>13</v>
      </c>
      <c r="B131" s="8" t="s">
        <v>14</v>
      </c>
      <c r="C131" s="8" t="s">
        <v>144</v>
      </c>
      <c r="D131" s="8" t="s">
        <v>146</v>
      </c>
      <c r="E131" s="9">
        <v>45.85</v>
      </c>
      <c r="F131" s="8" t="s">
        <v>16</v>
      </c>
      <c r="G131" s="10">
        <v>6917</v>
      </c>
      <c r="H131" s="11">
        <f t="array" ref="H131">INDEX([22]Monitoring!$H$6:$H$582,MATCH(1,([22]Monitoring!$D$6:$D$582=$D131)*([22]Monitoring!$D$6:$D$582=$D131),0))</f>
        <v>46148</v>
      </c>
      <c r="I131" s="143">
        <f t="array" ref="I131">INDEX([22]Monitoring!$I$6:$I$582,MATCH(1,([22]Monitoring!$D$6:$D$582=$D131)*([22]Monitoring!$D$6:$D$582=$D131),0))</f>
        <v>656</v>
      </c>
      <c r="J131" s="9">
        <f t="array" ref="J131">IFERROR(I131/G131*100,0)</f>
        <v>9.4838802949255445</v>
      </c>
      <c r="K131" s="143">
        <f t="array" ref="K131">INDEX([22]Monitoring!$J$6:$J$582,MATCH(1,([22]Monitoring!$D$6:$D$582=$D131)*([22]Monitoring!$D$6:$D$582=$D131),0))</f>
        <v>65</v>
      </c>
      <c r="L131" s="9">
        <f t="shared" si="2"/>
        <v>9.9085365853658534</v>
      </c>
      <c r="M131" s="8" t="str">
        <f t="array" ref="M131">IF(L131&gt;5,"Perlu Pengendalian",IF(AND(L131&gt;=0,I131&gt;0),"Tidak Perlu Pengendalian","Belum Sensus"))</f>
        <v>Perlu Pengendalian</v>
      </c>
    </row>
    <row r="132" spans="1:13" outlineLevel="1" x14ac:dyDescent="0.15">
      <c r="A132" s="8" t="s">
        <v>13</v>
      </c>
      <c r="B132" s="8" t="s">
        <v>14</v>
      </c>
      <c r="C132" s="8" t="s">
        <v>144</v>
      </c>
      <c r="D132" s="8" t="s">
        <v>147</v>
      </c>
      <c r="E132" s="9">
        <v>26.99</v>
      </c>
      <c r="F132" s="8" t="s">
        <v>16</v>
      </c>
      <c r="G132" s="10">
        <v>3916</v>
      </c>
      <c r="H132" s="11">
        <f t="array" ref="H132">INDEX([22]Monitoring!$H$6:$H$582,MATCH(1,([22]Monitoring!$D$6:$D$582=$D132)*([22]Monitoring!$D$6:$D$582=$D132),0))</f>
        <v>46148</v>
      </c>
      <c r="I132" s="143">
        <f t="array" ref="I132">INDEX([22]Monitoring!$I$6:$I$582,MATCH(1,([22]Monitoring!$D$6:$D$582=$D132)*([22]Monitoring!$D$6:$D$582=$D132),0))</f>
        <v>398</v>
      </c>
      <c r="J132" s="9">
        <f t="array" ref="J132">IFERROR(I132/G132*100,0)</f>
        <v>10.163432073544433</v>
      </c>
      <c r="K132" s="143">
        <f t="array" ref="K132">INDEX([22]Monitoring!$J$6:$J$582,MATCH(1,([22]Monitoring!$D$6:$D$582=$D132)*([22]Monitoring!$D$6:$D$582=$D132),0))</f>
        <v>23</v>
      </c>
      <c r="L132" s="9">
        <f t="shared" si="2"/>
        <v>5.7788944723618094</v>
      </c>
      <c r="M132" s="8" t="str">
        <f t="array" ref="M132">IF(L132&gt;5,"Perlu Pengendalian",IF(AND(L132&gt;=0,I132&gt;0),"Tidak Perlu Pengendalian","Belum Sensus"))</f>
        <v>Perlu Pengendalian</v>
      </c>
    </row>
    <row r="133" spans="1:13" outlineLevel="1" x14ac:dyDescent="0.15">
      <c r="A133" s="8" t="s">
        <v>13</v>
      </c>
      <c r="B133" s="8" t="s">
        <v>14</v>
      </c>
      <c r="C133" s="8" t="s">
        <v>144</v>
      </c>
      <c r="D133" s="8" t="s">
        <v>148</v>
      </c>
      <c r="E133" s="9">
        <v>24.62</v>
      </c>
      <c r="F133" s="8" t="s">
        <v>16</v>
      </c>
      <c r="G133" s="10">
        <v>3583</v>
      </c>
      <c r="H133" s="11">
        <f t="array" ref="H133">INDEX([22]Monitoring!$H$6:$H$582,MATCH(1,([22]Monitoring!$D$6:$D$582=$D133)*([22]Monitoring!$D$6:$D$582=$D133),0))</f>
        <v>46148</v>
      </c>
      <c r="I133" s="143">
        <f t="array" ref="I133">INDEX([22]Monitoring!$I$6:$I$582,MATCH(1,([22]Monitoring!$D$6:$D$582=$D133)*([22]Monitoring!$D$6:$D$582=$D133),0))</f>
        <v>359</v>
      </c>
      <c r="J133" s="9">
        <f t="array" ref="J133">IFERROR(I133/G133*100,0)</f>
        <v>10.019536701088473</v>
      </c>
      <c r="K133" s="143">
        <f t="array" ref="K133">INDEX([22]Monitoring!$J$6:$J$582,MATCH(1,([22]Monitoring!$D$6:$D$582=$D133)*([22]Monitoring!$D$6:$D$582=$D133),0))</f>
        <v>13</v>
      </c>
      <c r="L133" s="9">
        <f t="shared" si="2"/>
        <v>3.6211699164345403</v>
      </c>
      <c r="M133" s="8" t="str">
        <f t="array" ref="M133">IF(L133&gt;5,"Perlu Pengendalian",IF(AND(L133&gt;=0,I133&gt;0),"Tidak Perlu Pengendalian","Belum Sensus"))</f>
        <v>Tidak Perlu Pengendalian</v>
      </c>
    </row>
    <row r="134" spans="1:13" outlineLevel="1" x14ac:dyDescent="0.15">
      <c r="A134" s="8" t="s">
        <v>13</v>
      </c>
      <c r="B134" s="8" t="s">
        <v>14</v>
      </c>
      <c r="C134" s="8" t="s">
        <v>144</v>
      </c>
      <c r="D134" s="8" t="s">
        <v>149</v>
      </c>
      <c r="E134" s="9">
        <v>24.68</v>
      </c>
      <c r="F134" s="8" t="s">
        <v>16</v>
      </c>
      <c r="G134" s="10">
        <v>3490</v>
      </c>
      <c r="H134" s="11">
        <f t="array" ref="H134">INDEX([22]Monitoring!$H$6:$H$582,MATCH(1,([22]Monitoring!$D$6:$D$582=$D134)*([22]Monitoring!$D$6:$D$582=$D134),0))</f>
        <v>46149</v>
      </c>
      <c r="I134" s="143">
        <f t="array" ref="I134">INDEX([22]Monitoring!$I$6:$I$582,MATCH(1,([22]Monitoring!$D$6:$D$582=$D134)*([22]Monitoring!$D$6:$D$582=$D134),0))</f>
        <v>333</v>
      </c>
      <c r="J134" s="9">
        <f t="array" ref="J134">IFERROR(I134/G134*100,0)</f>
        <v>9.5415472779369619</v>
      </c>
      <c r="K134" s="143">
        <f t="array" ref="K134">INDEX([22]Monitoring!$J$6:$J$582,MATCH(1,([22]Monitoring!$D$6:$D$582=$D134)*([22]Monitoring!$D$6:$D$582=$D134),0))</f>
        <v>20</v>
      </c>
      <c r="L134" s="9">
        <f t="shared" si="2"/>
        <v>6.0060060060060056</v>
      </c>
      <c r="M134" s="8" t="str">
        <f t="array" ref="M134">IF(L134&gt;5,"Perlu Pengendalian",IF(AND(L134&gt;=0,I134&gt;0),"Tidak Perlu Pengendalian","Belum Sensus"))</f>
        <v>Perlu Pengendalian</v>
      </c>
    </row>
    <row r="135" spans="1:13" outlineLevel="1" x14ac:dyDescent="0.15">
      <c r="A135" s="8" t="s">
        <v>13</v>
      </c>
      <c r="B135" s="8" t="s">
        <v>14</v>
      </c>
      <c r="C135" s="8" t="s">
        <v>144</v>
      </c>
      <c r="D135" s="8" t="s">
        <v>150</v>
      </c>
      <c r="E135" s="9">
        <v>46.33</v>
      </c>
      <c r="F135" s="8" t="s">
        <v>16</v>
      </c>
      <c r="G135" s="10">
        <v>6679</v>
      </c>
      <c r="H135" s="11">
        <f t="array" ref="H135">INDEX([22]Monitoring!$H$6:$H$582,MATCH(1,([22]Monitoring!$D$6:$D$582=$D135)*([22]Monitoring!$D$6:$D$582=$D135),0))</f>
        <v>46149</v>
      </c>
      <c r="I135" s="143">
        <f t="array" ref="I135">INDEX([22]Monitoring!$I$6:$I$582,MATCH(1,([22]Monitoring!$D$6:$D$582=$D135)*([22]Monitoring!$D$6:$D$582=$D135),0))</f>
        <v>675</v>
      </c>
      <c r="J135" s="9">
        <f t="array" ref="J135">IFERROR(I135/G135*100,0)</f>
        <v>10.106303338823178</v>
      </c>
      <c r="K135" s="143">
        <f t="array" ref="K135">INDEX([22]Monitoring!$J$6:$J$582,MATCH(1,([22]Monitoring!$D$6:$D$582=$D135)*([22]Monitoring!$D$6:$D$582=$D135),0))</f>
        <v>93</v>
      </c>
      <c r="L135" s="9">
        <f t="shared" si="2"/>
        <v>13.777777777777779</v>
      </c>
      <c r="M135" s="8" t="str">
        <f t="array" ref="M135">IF(L135&gt;5,"Perlu Pengendalian",IF(AND(L135&gt;=0,I135&gt;0),"Tidak Perlu Pengendalian","Belum Sensus"))</f>
        <v>Perlu Pengendalian</v>
      </c>
    </row>
    <row r="136" spans="1:13" outlineLevel="1" x14ac:dyDescent="0.15">
      <c r="A136" s="8" t="s">
        <v>13</v>
      </c>
      <c r="B136" s="8" t="s">
        <v>14</v>
      </c>
      <c r="C136" s="8" t="s">
        <v>144</v>
      </c>
      <c r="D136" s="8" t="s">
        <v>151</v>
      </c>
      <c r="E136" s="9">
        <v>33.799999999999997</v>
      </c>
      <c r="F136" s="8" t="s">
        <v>16</v>
      </c>
      <c r="G136" s="10">
        <v>4919</v>
      </c>
      <c r="H136" s="11">
        <f t="array" ref="H136">INDEX([22]Monitoring!$H$6:$H$582,MATCH(1,([22]Monitoring!$D$6:$D$582=$D136)*([22]Monitoring!$D$6:$D$582=$D136),0))</f>
        <v>46149</v>
      </c>
      <c r="I136" s="143">
        <f t="array" ref="I136">INDEX([22]Monitoring!$I$6:$I$582,MATCH(1,([22]Monitoring!$D$6:$D$582=$D136)*([22]Monitoring!$D$6:$D$582=$D136),0))</f>
        <v>491</v>
      </c>
      <c r="J136" s="9">
        <f t="array" ref="J136">IFERROR(I136/G136*100,0)</f>
        <v>9.9817035982923343</v>
      </c>
      <c r="K136" s="143">
        <f t="array" ref="K136">INDEX([22]Monitoring!$J$6:$J$582,MATCH(1,([22]Monitoring!$D$6:$D$582=$D136)*([22]Monitoring!$D$6:$D$582=$D136),0))</f>
        <v>52</v>
      </c>
      <c r="L136" s="9">
        <f t="shared" si="2"/>
        <v>10.590631364562118</v>
      </c>
      <c r="M136" s="8" t="str">
        <f t="array" ref="M136">IF(L136&gt;5,"Perlu Pengendalian",IF(AND(L136&gt;=0,I136&gt;0),"Tidak Perlu Pengendalian","Belum Sensus"))</f>
        <v>Perlu Pengendalian</v>
      </c>
    </row>
    <row r="137" spans="1:13" outlineLevel="1" x14ac:dyDescent="0.15">
      <c r="A137" s="8" t="s">
        <v>13</v>
      </c>
      <c r="B137" s="8" t="s">
        <v>14</v>
      </c>
      <c r="C137" s="8" t="s">
        <v>144</v>
      </c>
      <c r="D137" s="8" t="s">
        <v>152</v>
      </c>
      <c r="E137" s="9">
        <v>27.3</v>
      </c>
      <c r="F137" s="8" t="s">
        <v>16</v>
      </c>
      <c r="G137" s="10">
        <v>4088</v>
      </c>
      <c r="H137" s="11">
        <f t="array" ref="H137">INDEX([22]Monitoring!$H$6:$H$582,MATCH(1,([22]Monitoring!$D$6:$D$582=$D137)*([22]Monitoring!$D$6:$D$582=$D137),0))</f>
        <v>46150</v>
      </c>
      <c r="I137" s="143">
        <f t="array" ref="I137">INDEX([22]Monitoring!$I$6:$I$582,MATCH(1,([22]Monitoring!$D$6:$D$582=$D137)*([22]Monitoring!$D$6:$D$582=$D137),0))</f>
        <v>394</v>
      </c>
      <c r="J137" s="9">
        <f t="array" ref="J137">IFERROR(I137/G137*100,0)</f>
        <v>9.637964774951076</v>
      </c>
      <c r="K137" s="143">
        <f t="array" ref="K137">INDEX([22]Monitoring!$J$6:$J$582,MATCH(1,([22]Monitoring!$D$6:$D$582=$D137)*([22]Monitoring!$D$6:$D$582=$D137),0))</f>
        <v>51</v>
      </c>
      <c r="L137" s="9">
        <f t="shared" si="2"/>
        <v>12.944162436548224</v>
      </c>
      <c r="M137" s="8" t="str">
        <f t="array" ref="M137">IF(L137&gt;5,"Perlu Pengendalian",IF(AND(L137&gt;=0,I137&gt;0),"Tidak Perlu Pengendalian","Belum Sensus"))</f>
        <v>Perlu Pengendalian</v>
      </c>
    </row>
    <row r="138" spans="1:13" outlineLevel="1" x14ac:dyDescent="0.15">
      <c r="A138" s="8" t="s">
        <v>13</v>
      </c>
      <c r="B138" s="8" t="s">
        <v>14</v>
      </c>
      <c r="C138" s="8" t="s">
        <v>144</v>
      </c>
      <c r="D138" s="8" t="s">
        <v>153</v>
      </c>
      <c r="E138" s="9">
        <v>46.21</v>
      </c>
      <c r="F138" s="8" t="s">
        <v>16</v>
      </c>
      <c r="G138" s="10">
        <v>6824</v>
      </c>
      <c r="H138" s="11">
        <f t="array" ref="H138">INDEX([22]Monitoring!$H$6:$H$582,MATCH(1,([22]Monitoring!$D$6:$D$582=$D138)*([22]Monitoring!$D$6:$D$582=$D138),0))</f>
        <v>46150</v>
      </c>
      <c r="I138" s="143">
        <f t="array" ref="I138">INDEX([22]Monitoring!$I$6:$I$582,MATCH(1,([22]Monitoring!$D$6:$D$582=$D138)*([22]Monitoring!$D$6:$D$582=$D138),0))</f>
        <v>689</v>
      </c>
      <c r="J138" s="9">
        <f t="array" ref="J138">IFERROR(I138/G138*100,0)</f>
        <v>10.096717467760843</v>
      </c>
      <c r="K138" s="143">
        <f t="array" ref="K138">INDEX([22]Monitoring!$J$6:$J$582,MATCH(1,([22]Monitoring!$D$6:$D$582=$D138)*([22]Monitoring!$D$6:$D$582=$D138),0))</f>
        <v>122</v>
      </c>
      <c r="L138" s="9">
        <f t="shared" si="2"/>
        <v>17.706821480406386</v>
      </c>
      <c r="M138" s="8" t="str">
        <f t="array" ref="M138">IF(L138&gt;5,"Perlu Pengendalian",IF(AND(L138&gt;=0,I138&gt;0),"Tidak Perlu Pengendalian","Belum Sensus"))</f>
        <v>Perlu Pengendalian</v>
      </c>
    </row>
    <row r="139" spans="1:13" outlineLevel="1" x14ac:dyDescent="0.15">
      <c r="A139" s="8" t="s">
        <v>13</v>
      </c>
      <c r="B139" s="8" t="s">
        <v>14</v>
      </c>
      <c r="C139" s="8" t="s">
        <v>144</v>
      </c>
      <c r="D139" s="8" t="s">
        <v>154</v>
      </c>
      <c r="E139" s="9">
        <v>26.46</v>
      </c>
      <c r="F139" s="8" t="s">
        <v>16</v>
      </c>
      <c r="G139" s="10">
        <v>3834</v>
      </c>
      <c r="H139" s="11">
        <f t="array" ref="H139">INDEX([22]Monitoring!$H$6:$H$582,MATCH(1,([22]Monitoring!$D$6:$D$582=$D139)*([22]Monitoring!$D$6:$D$582=$D139),0))</f>
        <v>46150</v>
      </c>
      <c r="I139" s="143">
        <f t="array" ref="I139">INDEX([22]Monitoring!$I$6:$I$582,MATCH(1,([22]Monitoring!$D$6:$D$582=$D139)*([22]Monitoring!$D$6:$D$582=$D139),0))</f>
        <v>359</v>
      </c>
      <c r="J139" s="9">
        <f t="array" ref="J139">IFERROR(I139/G139*100,0)</f>
        <v>9.3635889410537292</v>
      </c>
      <c r="K139" s="143">
        <f t="array" ref="K139">INDEX([22]Monitoring!$J$6:$J$582,MATCH(1,([22]Monitoring!$D$6:$D$582=$D139)*([22]Monitoring!$D$6:$D$582=$D139),0))</f>
        <v>33</v>
      </c>
      <c r="L139" s="9">
        <f t="shared" si="2"/>
        <v>9.1922005571030638</v>
      </c>
      <c r="M139" s="8" t="str">
        <f t="array" ref="M139">IF(L139&gt;5,"Perlu Pengendalian",IF(AND(L139&gt;=0,I139&gt;0),"Tidak Perlu Pengendalian","Belum Sensus"))</f>
        <v>Perlu Pengendalian</v>
      </c>
    </row>
    <row r="140" spans="1:13" outlineLevel="1" x14ac:dyDescent="0.15">
      <c r="A140" s="8" t="s">
        <v>13</v>
      </c>
      <c r="B140" s="8" t="s">
        <v>14</v>
      </c>
      <c r="C140" s="8" t="s">
        <v>144</v>
      </c>
      <c r="D140" s="8" t="s">
        <v>155</v>
      </c>
      <c r="E140" s="9">
        <v>25.31</v>
      </c>
      <c r="F140" s="8" t="s">
        <v>16</v>
      </c>
      <c r="G140" s="10">
        <v>3671</v>
      </c>
      <c r="H140" s="11">
        <f t="array" ref="H140">INDEX([22]Monitoring!$H$6:$H$582,MATCH(1,([22]Monitoring!$D$6:$D$582=$D140)*([22]Monitoring!$D$6:$D$582=$D140),0))</f>
        <v>46150</v>
      </c>
      <c r="I140" s="143">
        <f t="array" ref="I140">INDEX([22]Monitoring!$I$6:$I$582,MATCH(1,([22]Monitoring!$D$6:$D$582=$D140)*([22]Monitoring!$D$6:$D$582=$D140),0))</f>
        <v>369</v>
      </c>
      <c r="J140" s="9">
        <f t="array" ref="J140">IFERROR(I140/G140*100,0)</f>
        <v>10.051757014437483</v>
      </c>
      <c r="K140" s="143">
        <f t="array" ref="K140">INDEX([22]Monitoring!$J$6:$J$582,MATCH(1,([22]Monitoring!$D$6:$D$582=$D140)*([22]Monitoring!$D$6:$D$582=$D140),0))</f>
        <v>55</v>
      </c>
      <c r="L140" s="9">
        <f t="shared" si="2"/>
        <v>14.905149051490515</v>
      </c>
      <c r="M140" s="8" t="str">
        <f t="array" ref="M140">IF(L140&gt;5,"Perlu Pengendalian",IF(AND(L140&gt;=0,I140&gt;0),"Tidak Perlu Pengendalian","Belum Sensus"))</f>
        <v>Perlu Pengendalian</v>
      </c>
    </row>
    <row r="141" spans="1:13" outlineLevel="1" x14ac:dyDescent="0.15">
      <c r="A141" s="8" t="s">
        <v>13</v>
      </c>
      <c r="B141" s="8" t="s">
        <v>14</v>
      </c>
      <c r="C141" s="8" t="s">
        <v>144</v>
      </c>
      <c r="D141" s="8" t="s">
        <v>156</v>
      </c>
      <c r="E141" s="9">
        <v>25.11</v>
      </c>
      <c r="F141" s="8" t="s">
        <v>16</v>
      </c>
      <c r="G141" s="10">
        <v>3779</v>
      </c>
      <c r="H141" s="11">
        <f t="array" ref="H141">INDEX([22]Monitoring!$H$6:$H$582,MATCH(1,([22]Monitoring!$D$6:$D$582=$D141)*([22]Monitoring!$D$6:$D$582=$D141),0))</f>
        <v>46151</v>
      </c>
      <c r="I141" s="143">
        <f t="array" ref="I141">INDEX([22]Monitoring!$I$6:$I$582,MATCH(1,([22]Monitoring!$D$6:$D$582=$D141)*([22]Monitoring!$D$6:$D$582=$D141),0))</f>
        <v>358</v>
      </c>
      <c r="J141" s="9">
        <f t="array" ref="J141">IFERROR(I141/G141*100,0)</f>
        <v>9.4734056628737768</v>
      </c>
      <c r="K141" s="143">
        <f t="array" ref="K141">INDEX([22]Monitoring!$J$6:$J$582,MATCH(1,([22]Monitoring!$D$6:$D$582=$D141)*([22]Monitoring!$D$6:$D$582=$D141),0))</f>
        <v>79</v>
      </c>
      <c r="L141" s="9">
        <f t="shared" si="2"/>
        <v>22.067039106145252</v>
      </c>
      <c r="M141" s="8" t="str">
        <f t="array" ref="M141">IF(L141&gt;5,"Perlu Pengendalian",IF(AND(L141&gt;=0,I141&gt;0),"Tidak Perlu Pengendalian","Belum Sensus"))</f>
        <v>Perlu Pengendalian</v>
      </c>
    </row>
    <row r="142" spans="1:13" outlineLevel="1" x14ac:dyDescent="0.15">
      <c r="A142" s="8" t="s">
        <v>13</v>
      </c>
      <c r="B142" s="8" t="s">
        <v>14</v>
      </c>
      <c r="C142" s="8" t="s">
        <v>144</v>
      </c>
      <c r="D142" s="8" t="s">
        <v>157</v>
      </c>
      <c r="E142" s="9">
        <v>47.89</v>
      </c>
      <c r="F142" s="8" t="s">
        <v>16</v>
      </c>
      <c r="G142" s="10">
        <v>7131</v>
      </c>
      <c r="H142" s="11">
        <f t="array" ref="H142">INDEX([22]Monitoring!$H$6:$H$582,MATCH(1,([22]Monitoring!$D$6:$D$582=$D142)*([22]Monitoring!$D$6:$D$582=$D142),0))</f>
        <v>46151</v>
      </c>
      <c r="I142" s="143">
        <f t="array" ref="I142">INDEX([22]Monitoring!$I$6:$I$582,MATCH(1,([22]Monitoring!$D$6:$D$582=$D142)*([22]Monitoring!$D$6:$D$582=$D142),0))</f>
        <v>688</v>
      </c>
      <c r="J142" s="9">
        <f t="array" ref="J142">IFERROR(I142/G142*100,0)</f>
        <v>9.6480157060720799</v>
      </c>
      <c r="K142" s="143">
        <f t="array" ref="K142">INDEX([22]Monitoring!$J$6:$J$582,MATCH(1,([22]Monitoring!$D$6:$D$582=$D142)*([22]Monitoring!$D$6:$D$582=$D142),0))</f>
        <v>147</v>
      </c>
      <c r="L142" s="9">
        <f t="shared" si="2"/>
        <v>21.36627906976744</v>
      </c>
      <c r="M142" s="8" t="str">
        <f t="array" ref="M142">IF(L142&gt;5,"Perlu Pengendalian",IF(AND(L142&gt;=0,I142&gt;0),"Tidak Perlu Pengendalian","Belum Sensus"))</f>
        <v>Perlu Pengendalian</v>
      </c>
    </row>
    <row r="143" spans="1:13" outlineLevel="1" x14ac:dyDescent="0.15">
      <c r="A143" s="8" t="s">
        <v>13</v>
      </c>
      <c r="B143" s="8" t="s">
        <v>14</v>
      </c>
      <c r="C143" s="8" t="s">
        <v>144</v>
      </c>
      <c r="D143" s="8" t="s">
        <v>158</v>
      </c>
      <c r="E143" s="9">
        <v>32.78</v>
      </c>
      <c r="F143" s="8" t="s">
        <v>16</v>
      </c>
      <c r="G143" s="10">
        <v>4868</v>
      </c>
      <c r="H143" s="11">
        <f t="array" ref="H143">INDEX([22]Monitoring!$H$6:$H$582,MATCH(1,([22]Monitoring!$D$6:$D$582=$D143)*([22]Monitoring!$D$6:$D$582=$D143),0))</f>
        <v>46151</v>
      </c>
      <c r="I143" s="143">
        <f t="array" ref="I143">INDEX([22]Monitoring!$I$6:$I$582,MATCH(1,([22]Monitoring!$D$6:$D$582=$D143)*([22]Monitoring!$D$6:$D$582=$D143),0))</f>
        <v>414</v>
      </c>
      <c r="J143" s="9">
        <f t="array" ref="J143">IFERROR(I143/G143*100,0)</f>
        <v>8.5045193097781429</v>
      </c>
      <c r="K143" s="143">
        <f t="array" ref="K143">INDEX([22]Monitoring!$J$6:$J$582,MATCH(1,([22]Monitoring!$D$6:$D$582=$D143)*([22]Monitoring!$D$6:$D$582=$D143),0))</f>
        <v>52</v>
      </c>
      <c r="L143" s="9">
        <f t="shared" si="2"/>
        <v>12.560386473429952</v>
      </c>
      <c r="M143" s="8" t="str">
        <f t="array" ref="M143">IF(L143&gt;5,"Perlu Pengendalian",IF(AND(L143&gt;=0,I143&gt;0),"Tidak Perlu Pengendalian","Belum Sensus"))</f>
        <v>Perlu Pengendalian</v>
      </c>
    </row>
    <row r="144" spans="1:13" outlineLevel="1" x14ac:dyDescent="0.15">
      <c r="A144" s="8" t="s">
        <v>13</v>
      </c>
      <c r="B144" s="8" t="s">
        <v>14</v>
      </c>
      <c r="C144" s="8" t="s">
        <v>144</v>
      </c>
      <c r="D144" s="8" t="s">
        <v>159</v>
      </c>
      <c r="E144" s="9">
        <v>24.99</v>
      </c>
      <c r="F144" s="8" t="s">
        <v>132</v>
      </c>
      <c r="G144" s="10">
        <v>3664</v>
      </c>
      <c r="H144" s="11">
        <f t="array" ref="H144">INDEX([22]Monitoring!$H$6:$H$582,MATCH(1,([22]Monitoring!$D$6:$D$582=$D144)*([22]Monitoring!$D$6:$D$582=$D144),0))</f>
        <v>46153</v>
      </c>
      <c r="I144" s="143">
        <f t="array" ref="I144">INDEX([22]Monitoring!$I$6:$I$582,MATCH(1,([22]Monitoring!$D$6:$D$582=$D144)*([22]Monitoring!$D$6:$D$582=$D144),0))</f>
        <v>362</v>
      </c>
      <c r="J144" s="9">
        <f t="array" ref="J144">IFERROR(I144/G144*100,0)</f>
        <v>9.8799126637554586</v>
      </c>
      <c r="K144" s="143">
        <f t="array" ref="K144">INDEX([22]Monitoring!$J$6:$J$582,MATCH(1,([22]Monitoring!$D$6:$D$582=$D144)*([22]Monitoring!$D$6:$D$582=$D144),0))</f>
        <v>16</v>
      </c>
      <c r="L144" s="9">
        <f t="shared" si="2"/>
        <v>4.4198895027624303</v>
      </c>
      <c r="M144" s="8" t="str">
        <f t="array" ref="M144">IF(L144&gt;5,"Perlu Pengendalian",IF(AND(L144&gt;=0,I144&gt;0),"Tidak Perlu Pengendalian","Belum Sensus"))</f>
        <v>Tidak Perlu Pengendalian</v>
      </c>
    </row>
    <row r="145" spans="1:13" outlineLevel="1" x14ac:dyDescent="0.15">
      <c r="A145" s="8" t="s">
        <v>13</v>
      </c>
      <c r="B145" s="8" t="s">
        <v>14</v>
      </c>
      <c r="C145" s="8" t="s">
        <v>144</v>
      </c>
      <c r="D145" s="8" t="s">
        <v>160</v>
      </c>
      <c r="E145" s="9">
        <v>46.29</v>
      </c>
      <c r="F145" s="8" t="s">
        <v>132</v>
      </c>
      <c r="G145" s="10">
        <v>6791</v>
      </c>
      <c r="H145" s="11">
        <f t="array" ref="H145">INDEX([22]Monitoring!$H$6:$H$582,MATCH(1,([22]Monitoring!$D$6:$D$582=$D145)*([22]Monitoring!$D$6:$D$582=$D145),0))</f>
        <v>46155</v>
      </c>
      <c r="I145" s="143">
        <f t="array" ref="I145">INDEX([22]Monitoring!$I$6:$I$582,MATCH(1,([22]Monitoring!$D$6:$D$582=$D145)*([22]Monitoring!$D$6:$D$582=$D145),0))</f>
        <v>386</v>
      </c>
      <c r="J145" s="9">
        <f t="array" ref="J145">IFERROR(I145/G145*100,0)</f>
        <v>5.6839935208364007</v>
      </c>
      <c r="K145" s="143">
        <f t="array" ref="K145">INDEX([22]Monitoring!$J$6:$J$582,MATCH(1,([22]Monitoring!$D$6:$D$582=$D145)*([22]Monitoring!$D$6:$D$582=$D145),0))</f>
        <v>17</v>
      </c>
      <c r="L145" s="9">
        <f t="shared" si="2"/>
        <v>4.4041450777202069</v>
      </c>
      <c r="M145" s="8" t="str">
        <f t="array" ref="M145">IF(L145&gt;5,"Perlu Pengendalian",IF(AND(L145&gt;=0,I145&gt;0),"Tidak Perlu Pengendalian","Belum Sensus"))</f>
        <v>Tidak Perlu Pengendalian</v>
      </c>
    </row>
    <row r="146" spans="1:13" outlineLevel="1" x14ac:dyDescent="0.15">
      <c r="A146" s="8" t="s">
        <v>13</v>
      </c>
      <c r="B146" s="8" t="s">
        <v>14</v>
      </c>
      <c r="C146" s="8" t="s">
        <v>144</v>
      </c>
      <c r="D146" s="8" t="s">
        <v>161</v>
      </c>
      <c r="E146" s="9">
        <v>25.38</v>
      </c>
      <c r="F146" s="8" t="s">
        <v>132</v>
      </c>
      <c r="G146" s="10">
        <v>3790</v>
      </c>
      <c r="H146" s="11">
        <f t="array" ref="H146">INDEX([22]Monitoring!$H$6:$H$582,MATCH(1,([22]Monitoring!$D$6:$D$582=$D146)*([22]Monitoring!$D$6:$D$582=$D146),0))</f>
        <v>46153</v>
      </c>
      <c r="I146" s="143">
        <f t="array" ref="I146">INDEX([22]Monitoring!$I$6:$I$582,MATCH(1,([22]Monitoring!$D$6:$D$582=$D146)*([22]Monitoring!$D$6:$D$582=$D146),0))</f>
        <v>688</v>
      </c>
      <c r="J146" s="9">
        <f t="array" ref="J146">IFERROR(I146/G146*100,0)</f>
        <v>18.153034300791557</v>
      </c>
      <c r="K146" s="143">
        <f t="array" ref="K146">INDEX([22]Monitoring!$J$6:$J$582,MATCH(1,([22]Monitoring!$D$6:$D$582=$D146)*([22]Monitoring!$D$6:$D$582=$D146),0))</f>
        <v>147</v>
      </c>
      <c r="L146" s="9">
        <f t="shared" si="2"/>
        <v>21.36627906976744</v>
      </c>
      <c r="M146" s="8" t="str">
        <f t="array" ref="M146">IF(L146&gt;5,"Perlu Pengendalian",IF(AND(L146&gt;=0,I146&gt;0),"Tidak Perlu Pengendalian","Belum Sensus"))</f>
        <v>Perlu Pengendalian</v>
      </c>
    </row>
    <row r="147" spans="1:13" outlineLevel="1" x14ac:dyDescent="0.15">
      <c r="A147" s="8" t="s">
        <v>13</v>
      </c>
      <c r="B147" s="8" t="s">
        <v>14</v>
      </c>
      <c r="C147" s="8" t="s">
        <v>144</v>
      </c>
      <c r="D147" s="8" t="s">
        <v>162</v>
      </c>
      <c r="E147" s="9">
        <v>25.4</v>
      </c>
      <c r="F147" s="8" t="s">
        <v>132</v>
      </c>
      <c r="G147" s="10">
        <v>3694</v>
      </c>
      <c r="H147" s="11">
        <f t="array" ref="H147">INDEX([22]Monitoring!$H$6:$H$582,MATCH(1,([22]Monitoring!$D$6:$D$582=$D147)*([22]Monitoring!$D$6:$D$582=$D147),0))</f>
        <v>46153</v>
      </c>
      <c r="I147" s="143">
        <f t="array" ref="I147">INDEX([22]Monitoring!$I$6:$I$582,MATCH(1,([22]Monitoring!$D$6:$D$582=$D147)*([22]Monitoring!$D$6:$D$582=$D147),0))</f>
        <v>408</v>
      </c>
      <c r="J147" s="9">
        <f t="array" ref="J147">IFERROR(I147/G147*100,0)</f>
        <v>11.044937736870601</v>
      </c>
      <c r="K147" s="143">
        <f t="array" ref="K147">INDEX([22]Monitoring!$J$6:$J$582,MATCH(1,([22]Monitoring!$D$6:$D$582=$D147)*([22]Monitoring!$D$6:$D$582=$D147),0))</f>
        <v>34</v>
      </c>
      <c r="L147" s="9">
        <f t="shared" si="2"/>
        <v>8.3333333333333321</v>
      </c>
      <c r="M147" s="8" t="str">
        <f t="array" ref="M147">IF(L147&gt;5,"Perlu Pengendalian",IF(AND(L147&gt;=0,I147&gt;0),"Tidak Perlu Pengendalian","Belum Sensus"))</f>
        <v>Perlu Pengendalian</v>
      </c>
    </row>
    <row r="148" spans="1:13" outlineLevel="1" x14ac:dyDescent="0.15">
      <c r="A148" s="8" t="s">
        <v>13</v>
      </c>
      <c r="B148" s="8" t="s">
        <v>14</v>
      </c>
      <c r="C148" s="8" t="s">
        <v>144</v>
      </c>
      <c r="D148" s="8" t="s">
        <v>163</v>
      </c>
      <c r="E148" s="9">
        <v>24.68</v>
      </c>
      <c r="F148" s="8" t="s">
        <v>132</v>
      </c>
      <c r="G148" s="10">
        <v>3651</v>
      </c>
      <c r="H148" s="11">
        <f t="array" ref="H148">INDEX([22]Monitoring!$H$6:$H$582,MATCH(1,([22]Monitoring!$D$6:$D$582=$D148)*([22]Monitoring!$D$6:$D$582=$D148),0))</f>
        <v>46153</v>
      </c>
      <c r="I148" s="143">
        <f t="array" ref="I148">INDEX([22]Monitoring!$I$6:$I$582,MATCH(1,([22]Monitoring!$D$6:$D$582=$D148)*([22]Monitoring!$D$6:$D$582=$D148),0))</f>
        <v>389</v>
      </c>
      <c r="J148" s="9">
        <f t="array" ref="J148">IFERROR(I148/G148*100,0)</f>
        <v>10.654615173924951</v>
      </c>
      <c r="K148" s="143">
        <f t="array" ref="K148">INDEX([22]Monitoring!$J$6:$J$582,MATCH(1,([22]Monitoring!$D$6:$D$582=$D148)*([22]Monitoring!$D$6:$D$582=$D148),0))</f>
        <v>62</v>
      </c>
      <c r="L148" s="9">
        <f t="shared" ref="L148:L211" si="3">IFERROR(K148/I148*100,0)</f>
        <v>15.938303341902312</v>
      </c>
      <c r="M148" s="8" t="str">
        <f t="array" ref="M148">IF(L148&gt;5,"Perlu Pengendalian",IF(AND(L148&gt;=0,I148&gt;0),"Tidak Perlu Pengendalian","Belum Sensus"))</f>
        <v>Perlu Pengendalian</v>
      </c>
    </row>
    <row r="149" spans="1:13" outlineLevel="1" x14ac:dyDescent="0.15">
      <c r="A149" s="8" t="s">
        <v>13</v>
      </c>
      <c r="B149" s="8" t="s">
        <v>14</v>
      </c>
      <c r="C149" s="8" t="s">
        <v>144</v>
      </c>
      <c r="D149" s="8" t="s">
        <v>164</v>
      </c>
      <c r="E149" s="9">
        <v>47.81</v>
      </c>
      <c r="F149" s="8" t="s">
        <v>132</v>
      </c>
      <c r="G149" s="10">
        <v>6989</v>
      </c>
      <c r="H149" s="11">
        <f t="array" ref="H149">INDEX([22]Monitoring!$H$6:$H$582,MATCH(1,([22]Monitoring!$D$6:$D$582=$D149)*([22]Monitoring!$D$6:$D$582=$D149),0))</f>
        <v>46154</v>
      </c>
      <c r="I149" s="143">
        <f t="array" ref="I149">INDEX([22]Monitoring!$I$6:$I$582,MATCH(1,([22]Monitoring!$D$6:$D$582=$D149)*([22]Monitoring!$D$6:$D$582=$D149),0))</f>
        <v>798</v>
      </c>
      <c r="J149" s="9">
        <f t="array" ref="J149">IFERROR(I149/G149*100,0)</f>
        <v>11.417942481041637</v>
      </c>
      <c r="K149" s="143">
        <f t="array" ref="K149">INDEX([22]Monitoring!$J$6:$J$582,MATCH(1,([22]Monitoring!$D$6:$D$582=$D149)*([22]Monitoring!$D$6:$D$582=$D149),0))</f>
        <v>129</v>
      </c>
      <c r="L149" s="9">
        <f t="shared" si="3"/>
        <v>16.165413533834585</v>
      </c>
      <c r="M149" s="8" t="str">
        <f t="array" ref="M149">IF(L149&gt;5,"Perlu Pengendalian",IF(AND(L149&gt;=0,I149&gt;0),"Tidak Perlu Pengendalian","Belum Sensus"))</f>
        <v>Perlu Pengendalian</v>
      </c>
    </row>
    <row r="150" spans="1:13" outlineLevel="1" x14ac:dyDescent="0.15">
      <c r="A150" s="8" t="s">
        <v>13</v>
      </c>
      <c r="B150" s="8" t="s">
        <v>14</v>
      </c>
      <c r="C150" s="8" t="s">
        <v>144</v>
      </c>
      <c r="D150" s="8" t="s">
        <v>165</v>
      </c>
      <c r="E150" s="9">
        <v>30.54</v>
      </c>
      <c r="F150" s="8" t="s">
        <v>132</v>
      </c>
      <c r="G150" s="10">
        <v>4512</v>
      </c>
      <c r="H150" s="11">
        <f t="array" ref="H150">INDEX([22]Monitoring!$H$6:$H$582,MATCH(1,([22]Monitoring!$D$6:$D$582=$D150)*([22]Monitoring!$D$6:$D$582=$D150),0))</f>
        <v>46154</v>
      </c>
      <c r="I150" s="143">
        <f t="array" ref="I150">INDEX([22]Monitoring!$I$6:$I$582,MATCH(1,([22]Monitoring!$D$6:$D$582=$D150)*([22]Monitoring!$D$6:$D$582=$D150),0))</f>
        <v>340</v>
      </c>
      <c r="J150" s="9">
        <f t="array" ref="J150">IFERROR(I150/G150*100,0)</f>
        <v>7.5354609929078009</v>
      </c>
      <c r="K150" s="143">
        <f t="array" ref="K150">INDEX([22]Monitoring!$J$6:$J$582,MATCH(1,([22]Monitoring!$D$6:$D$582=$D150)*([22]Monitoring!$D$6:$D$582=$D150),0))</f>
        <v>57</v>
      </c>
      <c r="L150" s="9">
        <f t="shared" si="3"/>
        <v>16.764705882352938</v>
      </c>
      <c r="M150" s="8" t="str">
        <f t="array" ref="M150">IF(L150&gt;5,"Perlu Pengendalian",IF(AND(L150&gt;=0,I150&gt;0),"Tidak Perlu Pengendalian","Belum Sensus"))</f>
        <v>Perlu Pengendalian</v>
      </c>
    </row>
    <row r="151" spans="1:13" outlineLevel="1" x14ac:dyDescent="0.15">
      <c r="A151" s="8" t="s">
        <v>13</v>
      </c>
      <c r="B151" s="8" t="s">
        <v>14</v>
      </c>
      <c r="C151" s="8" t="s">
        <v>144</v>
      </c>
      <c r="D151" s="8" t="s">
        <v>166</v>
      </c>
      <c r="E151" s="9">
        <v>38.630000000000003</v>
      </c>
      <c r="F151" s="8" t="s">
        <v>132</v>
      </c>
      <c r="G151" s="10">
        <v>5542</v>
      </c>
      <c r="H151" s="11">
        <f t="array" ref="H151">INDEX([22]Monitoring!$H$6:$H$582,MATCH(1,([22]Monitoring!$D$6:$D$582=$D151)*([22]Monitoring!$D$6:$D$582=$D151),0))</f>
        <v>46154</v>
      </c>
      <c r="I151" s="143">
        <f t="array" ref="I151">INDEX([22]Monitoring!$I$6:$I$582,MATCH(1,([22]Monitoring!$D$6:$D$582=$D151)*([22]Monitoring!$D$6:$D$582=$D151),0))</f>
        <v>342</v>
      </c>
      <c r="J151" s="9">
        <f t="array" ref="J151">IFERROR(I151/G151*100,0)</f>
        <v>6.171057380007217</v>
      </c>
      <c r="K151" s="143">
        <f t="array" ref="K151">INDEX([22]Monitoring!$J$6:$J$582,MATCH(1,([22]Monitoring!$D$6:$D$582=$D151)*([22]Monitoring!$D$6:$D$582=$D151),0))</f>
        <v>41</v>
      </c>
      <c r="L151" s="9">
        <f t="shared" si="3"/>
        <v>11.988304093567251</v>
      </c>
      <c r="M151" s="8" t="str">
        <f t="array" ref="M151">IF(L151&gt;5,"Perlu Pengendalian",IF(AND(L151&gt;=0,I151&gt;0),"Tidak Perlu Pengendalian","Belum Sensus"))</f>
        <v>Perlu Pengendalian</v>
      </c>
    </row>
    <row r="152" spans="1:13" outlineLevel="1" x14ac:dyDescent="0.15">
      <c r="A152" s="8" t="s">
        <v>13</v>
      </c>
      <c r="B152" s="8" t="s">
        <v>14</v>
      </c>
      <c r="C152" s="8" t="s">
        <v>144</v>
      </c>
      <c r="D152" s="8" t="s">
        <v>167</v>
      </c>
      <c r="E152" s="9">
        <v>26.06</v>
      </c>
      <c r="F152" s="8" t="s">
        <v>132</v>
      </c>
      <c r="G152" s="10">
        <v>3837</v>
      </c>
      <c r="H152" s="11">
        <f t="array" ref="H152">INDEX([22]Monitoring!$H$6:$H$582,MATCH(1,([22]Monitoring!$D$6:$D$582=$D152)*([22]Monitoring!$D$6:$D$582=$D152),0))</f>
        <v>46155</v>
      </c>
      <c r="I152" s="143">
        <f t="array" ref="I152">INDEX([22]Monitoring!$I$6:$I$582,MATCH(1,([22]Monitoring!$D$6:$D$582=$D152)*([22]Monitoring!$D$6:$D$582=$D152),0))</f>
        <v>402</v>
      </c>
      <c r="J152" s="9">
        <f t="array" ref="J152">IFERROR(I152/G152*100,0)</f>
        <v>10.476935105551211</v>
      </c>
      <c r="K152" s="143">
        <f t="array" ref="K152">INDEX([22]Monitoring!$J$6:$J$582,MATCH(1,([22]Monitoring!$D$6:$D$582=$D152)*([22]Monitoring!$D$6:$D$582=$D152),0))</f>
        <v>35</v>
      </c>
      <c r="L152" s="9">
        <f t="shared" si="3"/>
        <v>8.7064676616915424</v>
      </c>
      <c r="M152" s="8" t="str">
        <f t="array" ref="M152">IF(L152&gt;5,"Perlu Pengendalian",IF(AND(L152&gt;=0,I152&gt;0),"Tidak Perlu Pengendalian","Belum Sensus"))</f>
        <v>Perlu Pengendalian</v>
      </c>
    </row>
    <row r="153" spans="1:13" outlineLevel="1" x14ac:dyDescent="0.15">
      <c r="A153" s="8" t="s">
        <v>13</v>
      </c>
      <c r="B153" s="8" t="s">
        <v>14</v>
      </c>
      <c r="C153" s="8" t="s">
        <v>144</v>
      </c>
      <c r="D153" s="8" t="s">
        <v>168</v>
      </c>
      <c r="E153" s="9">
        <v>25.53</v>
      </c>
      <c r="F153" s="8" t="s">
        <v>132</v>
      </c>
      <c r="G153" s="10">
        <v>3871</v>
      </c>
      <c r="H153" s="11">
        <f t="array" ref="H153">INDEX([22]Monitoring!$H$6:$H$582,MATCH(1,([22]Monitoring!$D$6:$D$582=$D153)*([22]Monitoring!$D$6:$D$582=$D153),0))</f>
        <v>46155</v>
      </c>
      <c r="I153" s="143">
        <f t="array" ref="I153">INDEX([22]Monitoring!$I$6:$I$582,MATCH(1,([22]Monitoring!$D$6:$D$582=$D153)*([22]Monitoring!$D$6:$D$582=$D153),0))</f>
        <v>402</v>
      </c>
      <c r="J153" s="9">
        <f t="array" ref="J153">IFERROR(I153/G153*100,0)</f>
        <v>10.384913459054507</v>
      </c>
      <c r="K153" s="143">
        <f t="array" ref="K153">INDEX([22]Monitoring!$J$6:$J$582,MATCH(1,([22]Monitoring!$D$6:$D$582=$D153)*([22]Monitoring!$D$6:$D$582=$D153),0))</f>
        <v>42</v>
      </c>
      <c r="L153" s="9">
        <f t="shared" si="3"/>
        <v>10.44776119402985</v>
      </c>
      <c r="M153" s="8" t="str">
        <f t="array" ref="M153">IF(L153&gt;5,"Perlu Pengendalian",IF(AND(L153&gt;=0,I153&gt;0),"Tidak Perlu Pengendalian","Belum Sensus"))</f>
        <v>Perlu Pengendalian</v>
      </c>
    </row>
    <row r="154" spans="1:13" outlineLevel="1" x14ac:dyDescent="0.15">
      <c r="A154" s="8" t="s">
        <v>13</v>
      </c>
      <c r="B154" s="8" t="s">
        <v>14</v>
      </c>
      <c r="C154" s="8" t="s">
        <v>144</v>
      </c>
      <c r="D154" s="8" t="s">
        <v>169</v>
      </c>
      <c r="E154" s="9">
        <v>25.67</v>
      </c>
      <c r="F154" s="8" t="s">
        <v>132</v>
      </c>
      <c r="G154" s="10">
        <v>3813</v>
      </c>
      <c r="H154" s="11">
        <f t="array" ref="H154">INDEX([22]Monitoring!$H$6:$H$582,MATCH(1,([22]Monitoring!$D$6:$D$582=$D154)*([22]Monitoring!$D$6:$D$582=$D154),0))</f>
        <v>46155</v>
      </c>
      <c r="I154" s="143">
        <f t="array" ref="I154">INDEX([22]Monitoring!$I$6:$I$582,MATCH(1,([22]Monitoring!$D$6:$D$582=$D154)*([22]Monitoring!$D$6:$D$582=$D154),0))</f>
        <v>405</v>
      </c>
      <c r="J154" s="9">
        <f t="array" ref="J154">IFERROR(I154/G154*100,0)</f>
        <v>10.62155782848151</v>
      </c>
      <c r="K154" s="143">
        <f t="array" ref="K154">INDEX([22]Monitoring!$J$6:$J$582,MATCH(1,([22]Monitoring!$D$6:$D$582=$D154)*([22]Monitoring!$D$6:$D$582=$D154),0))</f>
        <v>73</v>
      </c>
      <c r="L154" s="9">
        <f t="shared" si="3"/>
        <v>18.02469135802469</v>
      </c>
      <c r="M154" s="8" t="str">
        <f t="array" ref="M154">IF(L154&gt;5,"Perlu Pengendalian",IF(AND(L154&gt;=0,I154&gt;0),"Tidak Perlu Pengendalian","Belum Sensus"))</f>
        <v>Perlu Pengendalian</v>
      </c>
    </row>
    <row r="155" spans="1:13" outlineLevel="1" x14ac:dyDescent="0.15">
      <c r="A155" s="8" t="s">
        <v>13</v>
      </c>
      <c r="B155" s="8" t="s">
        <v>14</v>
      </c>
      <c r="C155" s="8" t="s">
        <v>144</v>
      </c>
      <c r="D155" s="8" t="s">
        <v>170</v>
      </c>
      <c r="E155" s="9">
        <v>25.22</v>
      </c>
      <c r="F155" s="8" t="s">
        <v>132</v>
      </c>
      <c r="G155" s="10">
        <v>3763</v>
      </c>
      <c r="H155" s="11">
        <f t="array" ref="H155">INDEX([22]Monitoring!$H$6:$H$582,MATCH(1,([22]Monitoring!$D$6:$D$582=$D155)*([22]Monitoring!$D$6:$D$582=$D155),0))</f>
        <v>46155</v>
      </c>
      <c r="I155" s="143">
        <f t="array" ref="I155">INDEX([22]Monitoring!$I$6:$I$582,MATCH(1,([22]Monitoring!$D$6:$D$582=$D155)*([22]Monitoring!$D$6:$D$582=$D155),0))</f>
        <v>396</v>
      </c>
      <c r="J155" s="9">
        <f t="array" ref="J155">IFERROR(I155/G155*100,0)</f>
        <v>10.523518469306405</v>
      </c>
      <c r="K155" s="143">
        <f t="array" ref="K155">INDEX([22]Monitoring!$J$6:$J$582,MATCH(1,([22]Monitoring!$D$6:$D$582=$D155)*([22]Monitoring!$D$6:$D$582=$D155),0))</f>
        <v>72</v>
      </c>
      <c r="L155" s="9">
        <f t="shared" si="3"/>
        <v>18.181818181818183</v>
      </c>
      <c r="M155" s="8" t="str">
        <f t="array" ref="M155">IF(L155&gt;5,"Perlu Pengendalian",IF(AND(L155&gt;=0,I155&gt;0),"Tidak Perlu Pengendalian","Belum Sensus"))</f>
        <v>Perlu Pengendalian</v>
      </c>
    </row>
    <row r="156" spans="1:13" outlineLevel="1" x14ac:dyDescent="0.15">
      <c r="A156" s="8" t="s">
        <v>13</v>
      </c>
      <c r="B156" s="8" t="s">
        <v>14</v>
      </c>
      <c r="C156" s="8" t="s">
        <v>144</v>
      </c>
      <c r="D156" s="8" t="s">
        <v>171</v>
      </c>
      <c r="E156" s="9">
        <v>25.24</v>
      </c>
      <c r="F156" s="8" t="s">
        <v>132</v>
      </c>
      <c r="G156" s="10">
        <v>3677</v>
      </c>
      <c r="H156" s="11">
        <f t="array" ref="H156">INDEX([22]Monitoring!$H$6:$H$582,MATCH(1,([22]Monitoring!$D$6:$D$582=$D156)*([22]Monitoring!$D$6:$D$582=$D156),0))</f>
        <v>46157</v>
      </c>
      <c r="I156" s="143">
        <f t="array" ref="I156">INDEX([22]Monitoring!$I$6:$I$582,MATCH(1,([22]Monitoring!$D$6:$D$582=$D156)*([22]Monitoring!$D$6:$D$582=$D156),0))</f>
        <v>390</v>
      </c>
      <c r="J156" s="9">
        <f t="array" ref="J156">IFERROR(I156/G156*100,0)</f>
        <v>10.606472667935819</v>
      </c>
      <c r="K156" s="143">
        <f t="array" ref="K156">INDEX([22]Monitoring!$J$6:$J$582,MATCH(1,([22]Monitoring!$D$6:$D$582=$D156)*([22]Monitoring!$D$6:$D$582=$D156),0))</f>
        <v>14</v>
      </c>
      <c r="L156" s="9">
        <f t="shared" si="3"/>
        <v>3.5897435897435894</v>
      </c>
      <c r="M156" s="8" t="str">
        <f t="array" ref="M156">IF(L156&gt;5,"Perlu Pengendalian",IF(AND(L156&gt;=0,I156&gt;0),"Tidak Perlu Pengendalian","Belum Sensus"))</f>
        <v>Tidak Perlu Pengendalian</v>
      </c>
    </row>
    <row r="157" spans="1:13" outlineLevel="1" x14ac:dyDescent="0.15">
      <c r="A157" s="8" t="s">
        <v>13</v>
      </c>
      <c r="B157" s="8" t="s">
        <v>14</v>
      </c>
      <c r="C157" s="8" t="s">
        <v>144</v>
      </c>
      <c r="D157" s="8" t="s">
        <v>172</v>
      </c>
      <c r="E157" s="9">
        <v>45.08</v>
      </c>
      <c r="F157" s="8" t="s">
        <v>132</v>
      </c>
      <c r="G157" s="10">
        <v>6402</v>
      </c>
      <c r="H157" s="11">
        <f t="array" ref="H157">INDEX([22]Monitoring!$H$6:$H$582,MATCH(1,([22]Monitoring!$D$6:$D$582=$D157)*([22]Monitoring!$D$6:$D$582=$D157),0))</f>
        <v>46157</v>
      </c>
      <c r="I157" s="143">
        <f t="array" ref="I157">INDEX([22]Monitoring!$I$6:$I$582,MATCH(1,([22]Monitoring!$D$6:$D$582=$D157)*([22]Monitoring!$D$6:$D$582=$D157),0))</f>
        <v>612</v>
      </c>
      <c r="J157" s="9">
        <f t="array" ref="J157">IFERROR(I157/G157*100,0)</f>
        <v>9.5595126522961582</v>
      </c>
      <c r="K157" s="143">
        <f t="array" ref="K157">INDEX([22]Monitoring!$J$6:$J$582,MATCH(1,([22]Monitoring!$D$6:$D$582=$D157)*([22]Monitoring!$D$6:$D$582=$D157),0))</f>
        <v>83</v>
      </c>
      <c r="L157" s="9">
        <f t="shared" si="3"/>
        <v>13.562091503267974</v>
      </c>
      <c r="M157" s="8" t="str">
        <f t="array" ref="M157">IF(L157&gt;5,"Perlu Pengendalian",IF(AND(L157&gt;=0,I157&gt;0),"Tidak Perlu Pengendalian","Belum Sensus"))</f>
        <v>Perlu Pengendalian</v>
      </c>
    </row>
    <row r="158" spans="1:13" outlineLevel="1" x14ac:dyDescent="0.15">
      <c r="A158" s="8" t="s">
        <v>13</v>
      </c>
      <c r="B158" s="8" t="s">
        <v>14</v>
      </c>
      <c r="C158" s="8" t="s">
        <v>173</v>
      </c>
      <c r="D158" s="8" t="s">
        <v>174</v>
      </c>
      <c r="E158" s="9">
        <v>33.32</v>
      </c>
      <c r="F158" s="8" t="s">
        <v>132</v>
      </c>
      <c r="G158" s="10">
        <v>4628</v>
      </c>
      <c r="H158" s="11">
        <f t="array" ref="H158">INDEX([22]Monitoring!$H$6:$H$582,MATCH(1,([22]Monitoring!$D$6:$D$582=$D158)*([22]Monitoring!$D$6:$D$582=$D158),0))</f>
        <v>46148</v>
      </c>
      <c r="I158" s="143">
        <f t="array" ref="I158">INDEX([22]Monitoring!$I$6:$I$582,MATCH(1,([22]Monitoring!$D$6:$D$582=$D158)*([22]Monitoring!$D$6:$D$582=$D158),0))</f>
        <v>322</v>
      </c>
      <c r="J158" s="9">
        <f t="array" ref="J158">IFERROR(I158/G158*100,0)</f>
        <v>6.957649092480553</v>
      </c>
      <c r="K158" s="143">
        <f t="array" ref="K158">INDEX([22]Monitoring!$J$6:$J$582,MATCH(1,([22]Monitoring!$D$6:$D$582=$D158)*([22]Monitoring!$D$6:$D$582=$D158),0))</f>
        <v>69</v>
      </c>
      <c r="L158" s="9">
        <f t="shared" si="3"/>
        <v>21.428571428571427</v>
      </c>
      <c r="M158" s="8" t="str">
        <f t="array" ref="M158">IF(L158&gt;5,"Perlu Pengendalian",IF(AND(L158&gt;=0,I158&gt;0),"Tidak Perlu Pengendalian","Belum Sensus"))</f>
        <v>Perlu Pengendalian</v>
      </c>
    </row>
    <row r="159" spans="1:13" outlineLevel="1" x14ac:dyDescent="0.15">
      <c r="A159" s="8" t="s">
        <v>13</v>
      </c>
      <c r="B159" s="8" t="s">
        <v>14</v>
      </c>
      <c r="C159" s="8" t="s">
        <v>173</v>
      </c>
      <c r="D159" s="8" t="s">
        <v>175</v>
      </c>
      <c r="E159" s="9">
        <v>25.36</v>
      </c>
      <c r="F159" s="8" t="s">
        <v>132</v>
      </c>
      <c r="G159" s="10">
        <v>3827</v>
      </c>
      <c r="H159" s="11">
        <f t="array" ref="H159">INDEX([22]Monitoring!$H$6:$H$582,MATCH(1,([22]Monitoring!$D$6:$D$582=$D159)*([22]Monitoring!$D$6:$D$582=$D159),0))</f>
        <v>46148</v>
      </c>
      <c r="I159" s="143">
        <f t="array" ref="I159">INDEX([22]Monitoring!$I$6:$I$582,MATCH(1,([22]Monitoring!$D$6:$D$582=$D159)*([22]Monitoring!$D$6:$D$582=$D159),0))</f>
        <v>355</v>
      </c>
      <c r="J159" s="9">
        <f t="array" ref="J159">IFERROR(I159/G159*100,0)</f>
        <v>9.2761954533577224</v>
      </c>
      <c r="K159" s="143">
        <f t="array" ref="K159">INDEX([22]Monitoring!$J$6:$J$582,MATCH(1,([22]Monitoring!$D$6:$D$582=$D159)*([22]Monitoring!$D$6:$D$582=$D159),0))</f>
        <v>3</v>
      </c>
      <c r="L159" s="9">
        <f t="shared" si="3"/>
        <v>0.84507042253521114</v>
      </c>
      <c r="M159" s="8" t="str">
        <f t="array" ref="M159">IF(L159&gt;5,"Perlu Pengendalian",IF(AND(L159&gt;=0,I159&gt;0),"Tidak Perlu Pengendalian","Belum Sensus"))</f>
        <v>Tidak Perlu Pengendalian</v>
      </c>
    </row>
    <row r="160" spans="1:13" outlineLevel="1" x14ac:dyDescent="0.15">
      <c r="A160" s="8" t="s">
        <v>13</v>
      </c>
      <c r="B160" s="8" t="s">
        <v>14</v>
      </c>
      <c r="C160" s="8" t="s">
        <v>173</v>
      </c>
      <c r="D160" s="8" t="s">
        <v>176</v>
      </c>
      <c r="E160" s="9">
        <v>25.06</v>
      </c>
      <c r="F160" s="8" t="s">
        <v>132</v>
      </c>
      <c r="G160" s="10">
        <v>3856</v>
      </c>
      <c r="H160" s="11">
        <f t="array" ref="H160">INDEX([22]Monitoring!$H$6:$H$582,MATCH(1,([22]Monitoring!$D$6:$D$582=$D160)*([22]Monitoring!$D$6:$D$582=$D160),0))</f>
        <v>46148</v>
      </c>
      <c r="I160" s="143">
        <f t="array" ref="I160">INDEX([22]Monitoring!$I$6:$I$582,MATCH(1,([22]Monitoring!$D$6:$D$582=$D160)*([22]Monitoring!$D$6:$D$582=$D160),0))</f>
        <v>363</v>
      </c>
      <c r="J160" s="9">
        <f t="array" ref="J160">IFERROR(I160/G160*100,0)</f>
        <v>9.4139004149377588</v>
      </c>
      <c r="K160" s="143">
        <f t="array" ref="K160">INDEX([22]Monitoring!$J$6:$J$582,MATCH(1,([22]Monitoring!$D$6:$D$582=$D160)*([22]Monitoring!$D$6:$D$582=$D160),0))</f>
        <v>28</v>
      </c>
      <c r="L160" s="9">
        <f t="shared" si="3"/>
        <v>7.7134986225895315</v>
      </c>
      <c r="M160" s="8" t="str">
        <f t="array" ref="M160">IF(L160&gt;5,"Perlu Pengendalian",IF(AND(L160&gt;=0,I160&gt;0),"Tidak Perlu Pengendalian","Belum Sensus"))</f>
        <v>Perlu Pengendalian</v>
      </c>
    </row>
    <row r="161" spans="1:13" outlineLevel="1" x14ac:dyDescent="0.15">
      <c r="A161" s="8" t="s">
        <v>13</v>
      </c>
      <c r="B161" s="8" t="s">
        <v>14</v>
      </c>
      <c r="C161" s="8" t="s">
        <v>173</v>
      </c>
      <c r="D161" s="8" t="s">
        <v>177</v>
      </c>
      <c r="E161" s="9">
        <v>24.9</v>
      </c>
      <c r="F161" s="8" t="s">
        <v>132</v>
      </c>
      <c r="G161" s="10">
        <v>3638</v>
      </c>
      <c r="H161" s="11">
        <f t="array" ref="H161">INDEX([22]Monitoring!$H$6:$H$582,MATCH(1,([22]Monitoring!$D$6:$D$582=$D161)*([22]Monitoring!$D$6:$D$582=$D161),0))</f>
        <v>46148</v>
      </c>
      <c r="I161" s="143">
        <f t="array" ref="I161">INDEX([22]Monitoring!$I$6:$I$582,MATCH(1,([22]Monitoring!$D$6:$D$582=$D161)*([22]Monitoring!$D$6:$D$582=$D161),0))</f>
        <v>333</v>
      </c>
      <c r="J161" s="9">
        <f t="array" ref="J161">IFERROR(I161/G161*100,0)</f>
        <v>9.1533809785596478</v>
      </c>
      <c r="K161" s="143">
        <f t="array" ref="K161">INDEX([22]Monitoring!$J$6:$J$582,MATCH(1,([22]Monitoring!$D$6:$D$582=$D161)*([22]Monitoring!$D$6:$D$582=$D161),0))</f>
        <v>6</v>
      </c>
      <c r="L161" s="9">
        <f t="shared" si="3"/>
        <v>1.8018018018018018</v>
      </c>
      <c r="M161" s="8" t="str">
        <f t="array" ref="M161">IF(L161&gt;5,"Perlu Pengendalian",IF(AND(L161&gt;=0,I161&gt;0),"Tidak Perlu Pengendalian","Belum Sensus"))</f>
        <v>Tidak Perlu Pengendalian</v>
      </c>
    </row>
    <row r="162" spans="1:13" outlineLevel="1" x14ac:dyDescent="0.15">
      <c r="A162" s="8" t="s">
        <v>13</v>
      </c>
      <c r="B162" s="8" t="s">
        <v>14</v>
      </c>
      <c r="C162" s="8" t="s">
        <v>173</v>
      </c>
      <c r="D162" s="8" t="s">
        <v>178</v>
      </c>
      <c r="E162" s="9">
        <v>25.35</v>
      </c>
      <c r="F162" s="8" t="s">
        <v>132</v>
      </c>
      <c r="G162" s="10">
        <v>3683</v>
      </c>
      <c r="H162" s="11">
        <f t="array" ref="H162">INDEX([22]Monitoring!$H$6:$H$582,MATCH(1,([22]Monitoring!$D$6:$D$582=$D162)*([22]Monitoring!$D$6:$D$582=$D162),0))</f>
        <v>46149</v>
      </c>
      <c r="I162" s="143">
        <f t="array" ref="I162">INDEX([22]Monitoring!$I$6:$I$582,MATCH(1,([22]Monitoring!$D$6:$D$582=$D162)*([22]Monitoring!$D$6:$D$582=$D162),0))</f>
        <v>378</v>
      </c>
      <c r="J162" s="9">
        <f t="array" ref="J162">IFERROR(I162/G162*100,0)</f>
        <v>10.263372250882433</v>
      </c>
      <c r="K162" s="143">
        <f t="array" ref="K162">INDEX([22]Monitoring!$J$6:$J$582,MATCH(1,([22]Monitoring!$D$6:$D$582=$D162)*([22]Monitoring!$D$6:$D$582=$D162),0))</f>
        <v>6</v>
      </c>
      <c r="L162" s="9">
        <f t="shared" si="3"/>
        <v>1.5873015873015872</v>
      </c>
      <c r="M162" s="8" t="str">
        <f t="array" ref="M162">IF(L162&gt;5,"Perlu Pengendalian",IF(AND(L162&gt;=0,I162&gt;0),"Tidak Perlu Pengendalian","Belum Sensus"))</f>
        <v>Tidak Perlu Pengendalian</v>
      </c>
    </row>
    <row r="163" spans="1:13" outlineLevel="1" x14ac:dyDescent="0.15">
      <c r="A163" s="8" t="s">
        <v>13</v>
      </c>
      <c r="B163" s="8" t="s">
        <v>14</v>
      </c>
      <c r="C163" s="8" t="s">
        <v>173</v>
      </c>
      <c r="D163" s="8" t="s">
        <v>179</v>
      </c>
      <c r="E163" s="9">
        <v>24.52</v>
      </c>
      <c r="F163" s="8" t="s">
        <v>132</v>
      </c>
      <c r="G163" s="10">
        <v>3584</v>
      </c>
      <c r="H163" s="11">
        <f t="array" ref="H163">INDEX([22]Monitoring!$H$6:$H$582,MATCH(1,([22]Monitoring!$D$6:$D$582=$D163)*([22]Monitoring!$D$6:$D$582=$D163),0))</f>
        <v>46149</v>
      </c>
      <c r="I163" s="143">
        <f t="array" ref="I163">INDEX([22]Monitoring!$I$6:$I$582,MATCH(1,([22]Monitoring!$D$6:$D$582=$D163)*([22]Monitoring!$D$6:$D$582=$D163),0))</f>
        <v>365</v>
      </c>
      <c r="J163" s="9">
        <f t="array" ref="J163">IFERROR(I163/G163*100,0)</f>
        <v>10.184151785714286</v>
      </c>
      <c r="K163" s="143">
        <f t="array" ref="K163">INDEX([22]Monitoring!$J$6:$J$582,MATCH(1,([22]Monitoring!$D$6:$D$582=$D163)*([22]Monitoring!$D$6:$D$582=$D163),0))</f>
        <v>17</v>
      </c>
      <c r="L163" s="9">
        <f t="shared" si="3"/>
        <v>4.6575342465753424</v>
      </c>
      <c r="M163" s="8" t="str">
        <f t="array" ref="M163">IF(L163&gt;5,"Perlu Pengendalian",IF(AND(L163&gt;=0,I163&gt;0),"Tidak Perlu Pengendalian","Belum Sensus"))</f>
        <v>Tidak Perlu Pengendalian</v>
      </c>
    </row>
    <row r="164" spans="1:13" outlineLevel="1" x14ac:dyDescent="0.15">
      <c r="A164" s="8" t="s">
        <v>13</v>
      </c>
      <c r="B164" s="8" t="s">
        <v>14</v>
      </c>
      <c r="C164" s="8" t="s">
        <v>173</v>
      </c>
      <c r="D164" s="8" t="s">
        <v>180</v>
      </c>
      <c r="E164" s="9">
        <v>24.59</v>
      </c>
      <c r="F164" s="8" t="s">
        <v>132</v>
      </c>
      <c r="G164" s="10">
        <v>3638</v>
      </c>
      <c r="H164" s="11">
        <f t="array" ref="H164">INDEX([22]Monitoring!$H$6:$H$582,MATCH(1,([22]Monitoring!$D$6:$D$582=$D164)*([22]Monitoring!$D$6:$D$582=$D164),0))</f>
        <v>46149</v>
      </c>
      <c r="I164" s="143">
        <f t="array" ref="I164">INDEX([22]Monitoring!$I$6:$I$582,MATCH(1,([22]Monitoring!$D$6:$D$582=$D164)*([22]Monitoring!$D$6:$D$582=$D164),0))</f>
        <v>366</v>
      </c>
      <c r="J164" s="9">
        <f t="array" ref="J164">IFERROR(I164/G164*100,0)</f>
        <v>10.06047278724574</v>
      </c>
      <c r="K164" s="143">
        <f t="array" ref="K164">INDEX([22]Monitoring!$J$6:$J$582,MATCH(1,([22]Monitoring!$D$6:$D$582=$D164)*([22]Monitoring!$D$6:$D$582=$D164),0))</f>
        <v>7</v>
      </c>
      <c r="L164" s="9">
        <f t="shared" si="3"/>
        <v>1.9125683060109291</v>
      </c>
      <c r="M164" s="8" t="str">
        <f t="array" ref="M164">IF(L164&gt;5,"Perlu Pengendalian",IF(AND(L164&gt;=0,I164&gt;0),"Tidak Perlu Pengendalian","Belum Sensus"))</f>
        <v>Tidak Perlu Pengendalian</v>
      </c>
    </row>
    <row r="165" spans="1:13" outlineLevel="1" x14ac:dyDescent="0.15">
      <c r="A165" s="8" t="s">
        <v>13</v>
      </c>
      <c r="B165" s="8" t="s">
        <v>14</v>
      </c>
      <c r="C165" s="8" t="s">
        <v>173</v>
      </c>
      <c r="D165" s="8" t="s">
        <v>181</v>
      </c>
      <c r="E165" s="9">
        <v>28.34</v>
      </c>
      <c r="F165" s="8" t="s">
        <v>132</v>
      </c>
      <c r="G165" s="10">
        <v>4136</v>
      </c>
      <c r="H165" s="11">
        <f t="array" ref="H165">INDEX([22]Monitoring!$H$6:$H$582,MATCH(1,([22]Monitoring!$D$6:$D$582=$D165)*([22]Monitoring!$D$6:$D$582=$D165),0))</f>
        <v>46148</v>
      </c>
      <c r="I165" s="143">
        <f t="array" ref="I165">INDEX([22]Monitoring!$I$6:$I$582,MATCH(1,([22]Monitoring!$D$6:$D$582=$D165)*([22]Monitoring!$D$6:$D$582=$D165),0))</f>
        <v>414</v>
      </c>
      <c r="J165" s="9">
        <f t="array" ref="J165">IFERROR(I165/G165*100,0)</f>
        <v>10.009671179883945</v>
      </c>
      <c r="K165" s="143">
        <f t="array" ref="K165">INDEX([22]Monitoring!$J$6:$J$582,MATCH(1,([22]Monitoring!$D$6:$D$582=$D165)*([22]Monitoring!$D$6:$D$582=$D165),0))</f>
        <v>91</v>
      </c>
      <c r="L165" s="9">
        <f t="shared" si="3"/>
        <v>21.980676328502415</v>
      </c>
      <c r="M165" s="8" t="str">
        <f t="array" ref="M165">IF(L165&gt;5,"Perlu Pengendalian",IF(AND(L165&gt;=0,I165&gt;0),"Tidak Perlu Pengendalian","Belum Sensus"))</f>
        <v>Perlu Pengendalian</v>
      </c>
    </row>
    <row r="166" spans="1:13" outlineLevel="1" x14ac:dyDescent="0.15">
      <c r="A166" s="8" t="s">
        <v>13</v>
      </c>
      <c r="B166" s="8" t="s">
        <v>14</v>
      </c>
      <c r="C166" s="8" t="s">
        <v>173</v>
      </c>
      <c r="D166" s="8" t="s">
        <v>182</v>
      </c>
      <c r="E166" s="9">
        <v>32.880000000000003</v>
      </c>
      <c r="F166" s="8" t="s">
        <v>132</v>
      </c>
      <c r="G166" s="10">
        <v>4776</v>
      </c>
      <c r="H166" s="11">
        <f t="array" ref="H166">INDEX([22]Monitoring!$H$6:$H$582,MATCH(1,([22]Monitoring!$D$6:$D$582=$D166)*([22]Monitoring!$D$6:$D$582=$D166),0))</f>
        <v>46150</v>
      </c>
      <c r="I166" s="143">
        <f t="array" ref="I166">INDEX([22]Monitoring!$I$6:$I$582,MATCH(1,([22]Monitoring!$D$6:$D$582=$D166)*([22]Monitoring!$D$6:$D$582=$D166),0))</f>
        <v>358</v>
      </c>
      <c r="J166" s="9">
        <f t="array" ref="J166">IFERROR(I166/G166*100,0)</f>
        <v>7.4958123953098825</v>
      </c>
      <c r="K166" s="143">
        <f t="array" ref="K166">INDEX([22]Monitoring!$J$6:$J$582,MATCH(1,([22]Monitoring!$D$6:$D$582=$D166)*([22]Monitoring!$D$6:$D$582=$D166),0))</f>
        <v>4</v>
      </c>
      <c r="L166" s="9">
        <f t="shared" si="3"/>
        <v>1.1173184357541899</v>
      </c>
      <c r="M166" s="8" t="str">
        <f t="array" ref="M166">IF(L166&gt;5,"Perlu Pengendalian",IF(AND(L166&gt;=0,I166&gt;0),"Tidak Perlu Pengendalian","Belum Sensus"))</f>
        <v>Tidak Perlu Pengendalian</v>
      </c>
    </row>
    <row r="167" spans="1:13" outlineLevel="1" x14ac:dyDescent="0.15">
      <c r="A167" s="8" t="s">
        <v>13</v>
      </c>
      <c r="B167" s="8" t="s">
        <v>14</v>
      </c>
      <c r="C167" s="8" t="s">
        <v>173</v>
      </c>
      <c r="D167" s="8" t="s">
        <v>183</v>
      </c>
      <c r="E167" s="9">
        <v>24.78</v>
      </c>
      <c r="F167" s="8" t="s">
        <v>132</v>
      </c>
      <c r="G167" s="10">
        <v>3511</v>
      </c>
      <c r="H167" s="11">
        <f t="array" ref="H167">INDEX([22]Monitoring!$H$6:$H$582,MATCH(1,([22]Monitoring!$D$6:$D$582=$D167)*([22]Monitoring!$D$6:$D$582=$D167),0))</f>
        <v>46150</v>
      </c>
      <c r="I167" s="143">
        <f t="array" ref="I167">INDEX([22]Monitoring!$I$6:$I$582,MATCH(1,([22]Monitoring!$D$6:$D$582=$D167)*([22]Monitoring!$D$6:$D$582=$D167),0))</f>
        <v>364</v>
      </c>
      <c r="J167" s="9">
        <f t="array" ref="J167">IFERROR(I167/G167*100,0)</f>
        <v>10.367416690401594</v>
      </c>
      <c r="K167" s="143">
        <f t="array" ref="K167">INDEX([22]Monitoring!$J$6:$J$582,MATCH(1,([22]Monitoring!$D$6:$D$582=$D167)*([22]Monitoring!$D$6:$D$582=$D167),0))</f>
        <v>10</v>
      </c>
      <c r="L167" s="9">
        <f t="shared" si="3"/>
        <v>2.7472527472527473</v>
      </c>
      <c r="M167" s="8" t="str">
        <f t="array" ref="M167">IF(L167&gt;5,"Perlu Pengendalian",IF(AND(L167&gt;=0,I167&gt;0),"Tidak Perlu Pengendalian","Belum Sensus"))</f>
        <v>Tidak Perlu Pengendalian</v>
      </c>
    </row>
    <row r="168" spans="1:13" outlineLevel="1" x14ac:dyDescent="0.15">
      <c r="A168" s="8" t="s">
        <v>13</v>
      </c>
      <c r="B168" s="8" t="s">
        <v>14</v>
      </c>
      <c r="C168" s="8" t="s">
        <v>173</v>
      </c>
      <c r="D168" s="8" t="s">
        <v>184</v>
      </c>
      <c r="E168" s="9">
        <v>25.2</v>
      </c>
      <c r="F168" s="8" t="s">
        <v>132</v>
      </c>
      <c r="G168" s="10">
        <v>3569</v>
      </c>
      <c r="H168" s="11">
        <f t="array" ref="H168">INDEX([22]Monitoring!$H$6:$H$582,MATCH(1,([22]Monitoring!$D$6:$D$582=$D168)*([22]Monitoring!$D$6:$D$582=$D168),0))</f>
        <v>46150</v>
      </c>
      <c r="I168" s="143">
        <f t="array" ref="I168">INDEX([22]Monitoring!$I$6:$I$582,MATCH(1,([22]Monitoring!$D$6:$D$582=$D168)*([22]Monitoring!$D$6:$D$582=$D168),0))</f>
        <v>365</v>
      </c>
      <c r="J168" s="9">
        <f t="array" ref="J168">IFERROR(I168/G168*100,0)</f>
        <v>10.22695432894368</v>
      </c>
      <c r="K168" s="143">
        <f t="array" ref="K168">INDEX([22]Monitoring!$J$6:$J$582,MATCH(1,([22]Monitoring!$D$6:$D$582=$D168)*([22]Monitoring!$D$6:$D$582=$D168),0))</f>
        <v>8</v>
      </c>
      <c r="L168" s="9">
        <f t="shared" si="3"/>
        <v>2.1917808219178081</v>
      </c>
      <c r="M168" s="8" t="str">
        <f t="array" ref="M168">IF(L168&gt;5,"Perlu Pengendalian",IF(AND(L168&gt;=0,I168&gt;0),"Tidak Perlu Pengendalian","Belum Sensus"))</f>
        <v>Tidak Perlu Pengendalian</v>
      </c>
    </row>
    <row r="169" spans="1:13" outlineLevel="1" x14ac:dyDescent="0.15">
      <c r="A169" s="8" t="s">
        <v>13</v>
      </c>
      <c r="B169" s="8" t="s">
        <v>14</v>
      </c>
      <c r="C169" s="8" t="s">
        <v>173</v>
      </c>
      <c r="D169" s="8" t="s">
        <v>185</v>
      </c>
      <c r="E169" s="9">
        <v>25.13</v>
      </c>
      <c r="F169" s="8" t="s">
        <v>132</v>
      </c>
      <c r="G169" s="10">
        <v>3567</v>
      </c>
      <c r="H169" s="11">
        <f t="array" ref="H169">INDEX([22]Monitoring!$H$6:$H$582,MATCH(1,([22]Monitoring!$D$6:$D$582=$D169)*([22]Monitoring!$D$6:$D$582=$D169),0))</f>
        <v>46150</v>
      </c>
      <c r="I169" s="143">
        <f t="array" ref="I169">INDEX([22]Monitoring!$I$6:$I$582,MATCH(1,([22]Monitoring!$D$6:$D$582=$D169)*([22]Monitoring!$D$6:$D$582=$D169),0))</f>
        <v>349</v>
      </c>
      <c r="J169" s="9">
        <f t="array" ref="J169">IFERROR(I169/G169*100,0)</f>
        <v>9.7841323240818614</v>
      </c>
      <c r="K169" s="143">
        <f t="array" ref="K169">INDEX([22]Monitoring!$J$6:$J$582,MATCH(1,([22]Monitoring!$D$6:$D$582=$D169)*([22]Monitoring!$D$6:$D$582=$D169),0))</f>
        <v>20</v>
      </c>
      <c r="L169" s="9">
        <f t="shared" si="3"/>
        <v>5.7306590257879657</v>
      </c>
      <c r="M169" s="8" t="str">
        <f t="array" ref="M169">IF(L169&gt;5,"Perlu Pengendalian",IF(AND(L169&gt;=0,I169&gt;0),"Tidak Perlu Pengendalian","Belum Sensus"))</f>
        <v>Perlu Pengendalian</v>
      </c>
    </row>
    <row r="170" spans="1:13" outlineLevel="1" x14ac:dyDescent="0.15">
      <c r="A170" s="8" t="s">
        <v>13</v>
      </c>
      <c r="B170" s="8" t="s">
        <v>14</v>
      </c>
      <c r="C170" s="8" t="s">
        <v>173</v>
      </c>
      <c r="D170" s="8" t="s">
        <v>186</v>
      </c>
      <c r="E170" s="9">
        <v>25.44</v>
      </c>
      <c r="F170" s="8" t="s">
        <v>132</v>
      </c>
      <c r="G170" s="10">
        <v>3702</v>
      </c>
      <c r="H170" s="11">
        <f t="array" ref="H170">INDEX([22]Monitoring!$H$6:$H$582,MATCH(1,([22]Monitoring!$D$6:$D$582=$D170)*([22]Monitoring!$D$6:$D$582=$D170),0))</f>
        <v>46151</v>
      </c>
      <c r="I170" s="143">
        <f t="array" ref="I170">INDEX([22]Monitoring!$I$6:$I$582,MATCH(1,([22]Monitoring!$D$6:$D$582=$D170)*([22]Monitoring!$D$6:$D$582=$D170),0))</f>
        <v>372</v>
      </c>
      <c r="J170" s="9">
        <f t="array" ref="J170">IFERROR(I170/G170*100,0)</f>
        <v>10.048622366288493</v>
      </c>
      <c r="K170" s="143">
        <f t="array" ref="K170">INDEX([22]Monitoring!$J$6:$J$582,MATCH(1,([22]Monitoring!$D$6:$D$582=$D170)*([22]Monitoring!$D$6:$D$582=$D170),0))</f>
        <v>6</v>
      </c>
      <c r="L170" s="9">
        <f t="shared" si="3"/>
        <v>1.6129032258064515</v>
      </c>
      <c r="M170" s="8" t="str">
        <f t="array" ref="M170">IF(L170&gt;5,"Perlu Pengendalian",IF(AND(L170&gt;=0,I170&gt;0),"Tidak Perlu Pengendalian","Belum Sensus"))</f>
        <v>Tidak Perlu Pengendalian</v>
      </c>
    </row>
    <row r="171" spans="1:13" outlineLevel="1" x14ac:dyDescent="0.15">
      <c r="A171" s="8" t="s">
        <v>13</v>
      </c>
      <c r="B171" s="8" t="s">
        <v>14</v>
      </c>
      <c r="C171" s="8" t="s">
        <v>173</v>
      </c>
      <c r="D171" s="8" t="s">
        <v>187</v>
      </c>
      <c r="E171" s="9">
        <v>24</v>
      </c>
      <c r="F171" s="8" t="s">
        <v>132</v>
      </c>
      <c r="G171" s="10">
        <v>3312</v>
      </c>
      <c r="H171" s="11">
        <f t="array" ref="H171">INDEX([22]Monitoring!$H$6:$H$582,MATCH(1,([22]Monitoring!$D$6:$D$582=$D171)*([22]Monitoring!$D$6:$D$582=$D171),0))</f>
        <v>46151</v>
      </c>
      <c r="I171" s="143">
        <f t="array" ref="I171">INDEX([22]Monitoring!$I$6:$I$582,MATCH(1,([22]Monitoring!$D$6:$D$582=$D171)*([22]Monitoring!$D$6:$D$582=$D171),0))</f>
        <v>339</v>
      </c>
      <c r="J171" s="9">
        <f t="array" ref="J171">IFERROR(I171/G171*100,0)</f>
        <v>10.235507246376811</v>
      </c>
      <c r="K171" s="143">
        <f t="array" ref="K171">INDEX([22]Monitoring!$J$6:$J$582,MATCH(1,([22]Monitoring!$D$6:$D$582=$D171)*([22]Monitoring!$D$6:$D$582=$D171),0))</f>
        <v>11</v>
      </c>
      <c r="L171" s="9">
        <f t="shared" si="3"/>
        <v>3.2448377581120944</v>
      </c>
      <c r="M171" s="8" t="str">
        <f t="array" ref="M171">IF(L171&gt;5,"Perlu Pengendalian",IF(AND(L171&gt;=0,I171&gt;0),"Tidak Perlu Pengendalian","Belum Sensus"))</f>
        <v>Tidak Perlu Pengendalian</v>
      </c>
    </row>
    <row r="172" spans="1:13" outlineLevel="1" x14ac:dyDescent="0.15">
      <c r="A172" s="8" t="s">
        <v>13</v>
      </c>
      <c r="B172" s="8" t="s">
        <v>14</v>
      </c>
      <c r="C172" s="8" t="s">
        <v>173</v>
      </c>
      <c r="D172" s="8" t="s">
        <v>188</v>
      </c>
      <c r="E172" s="9">
        <v>24.99</v>
      </c>
      <c r="F172" s="8" t="s">
        <v>132</v>
      </c>
      <c r="G172" s="10">
        <v>3482</v>
      </c>
      <c r="H172" s="11">
        <f t="array" ref="H172">INDEX([22]Monitoring!$H$6:$H$582,MATCH(1,([22]Monitoring!$D$6:$D$582=$D172)*([22]Monitoring!$D$6:$D$582=$D172),0))</f>
        <v>46151</v>
      </c>
      <c r="I172" s="143">
        <f t="array" ref="I172">INDEX([22]Monitoring!$I$6:$I$582,MATCH(1,([22]Monitoring!$D$6:$D$582=$D172)*([22]Monitoring!$D$6:$D$582=$D172),0))</f>
        <v>363</v>
      </c>
      <c r="J172" s="9">
        <f t="array" ref="J172">IFERROR(I172/G172*100,0)</f>
        <v>10.425043078690408</v>
      </c>
      <c r="K172" s="143">
        <f t="array" ref="K172">INDEX([22]Monitoring!$J$6:$J$582,MATCH(1,([22]Monitoring!$D$6:$D$582=$D172)*([22]Monitoring!$D$6:$D$582=$D172),0))</f>
        <v>26</v>
      </c>
      <c r="L172" s="9">
        <f t="shared" si="3"/>
        <v>7.1625344352617084</v>
      </c>
      <c r="M172" s="8" t="str">
        <f t="array" ref="M172">IF(L172&gt;5,"Perlu Pengendalian",IF(AND(L172&gt;=0,I172&gt;0),"Tidak Perlu Pengendalian","Belum Sensus"))</f>
        <v>Perlu Pengendalian</v>
      </c>
    </row>
    <row r="173" spans="1:13" outlineLevel="1" x14ac:dyDescent="0.15">
      <c r="A173" s="8" t="s">
        <v>13</v>
      </c>
      <c r="B173" s="8" t="s">
        <v>14</v>
      </c>
      <c r="C173" s="8" t="s">
        <v>173</v>
      </c>
      <c r="D173" s="8" t="s">
        <v>189</v>
      </c>
      <c r="E173" s="9">
        <v>25.71</v>
      </c>
      <c r="F173" s="8" t="s">
        <v>132</v>
      </c>
      <c r="G173" s="10">
        <v>3624</v>
      </c>
      <c r="H173" s="11">
        <f t="array" ref="H173">INDEX([22]Monitoring!$H$6:$H$582,MATCH(1,([22]Monitoring!$D$6:$D$582=$D173)*([22]Monitoring!$D$6:$D$582=$D173),0))</f>
        <v>46155</v>
      </c>
      <c r="I173" s="143">
        <f t="array" ref="I173">INDEX([22]Monitoring!$I$6:$I$582,MATCH(1,([22]Monitoring!$D$6:$D$582=$D173)*([22]Monitoring!$D$6:$D$582=$D173),0))</f>
        <v>364</v>
      </c>
      <c r="J173" s="9">
        <f t="array" ref="J173">IFERROR(I173/G173*100,0)</f>
        <v>10.044150110375275</v>
      </c>
      <c r="K173" s="143">
        <f t="array" ref="K173">INDEX([22]Monitoring!$J$6:$J$582,MATCH(1,([22]Monitoring!$D$6:$D$582=$D173)*([22]Monitoring!$D$6:$D$582=$D173),0))</f>
        <v>27</v>
      </c>
      <c r="L173" s="9">
        <f t="shared" si="3"/>
        <v>7.4175824175824179</v>
      </c>
      <c r="M173" s="8" t="str">
        <f t="array" ref="M173">IF(L173&gt;5,"Perlu Pengendalian",IF(AND(L173&gt;=0,I173&gt;0),"Tidak Perlu Pengendalian","Belum Sensus"))</f>
        <v>Perlu Pengendalian</v>
      </c>
    </row>
    <row r="174" spans="1:13" outlineLevel="1" x14ac:dyDescent="0.15">
      <c r="A174" s="8" t="s">
        <v>13</v>
      </c>
      <c r="B174" s="8" t="s">
        <v>14</v>
      </c>
      <c r="C174" s="8" t="s">
        <v>173</v>
      </c>
      <c r="D174" s="8" t="s">
        <v>190</v>
      </c>
      <c r="E174" s="9">
        <v>30.07</v>
      </c>
      <c r="F174" s="8" t="s">
        <v>132</v>
      </c>
      <c r="G174" s="10">
        <v>4032</v>
      </c>
      <c r="H174" s="11">
        <f t="array" ref="H174">INDEX([22]Monitoring!$H$6:$H$582,MATCH(1,([22]Monitoring!$D$6:$D$582=$D174)*([22]Monitoring!$D$6:$D$582=$D174),0))</f>
        <v>46153</v>
      </c>
      <c r="I174" s="143">
        <f t="array" ref="I174">INDEX([22]Monitoring!$I$6:$I$582,MATCH(1,([22]Monitoring!$D$6:$D$582=$D174)*([22]Monitoring!$D$6:$D$582=$D174),0))</f>
        <v>363</v>
      </c>
      <c r="J174" s="9">
        <f t="array" ref="J174">IFERROR(I174/G174*100,0)</f>
        <v>9.0029761904761898</v>
      </c>
      <c r="K174" s="143">
        <f t="array" ref="K174">INDEX([22]Monitoring!$J$6:$J$582,MATCH(1,([22]Monitoring!$D$6:$D$582=$D174)*([22]Monitoring!$D$6:$D$582=$D174),0))</f>
        <v>25</v>
      </c>
      <c r="L174" s="9">
        <f t="shared" si="3"/>
        <v>6.887052341597796</v>
      </c>
      <c r="M174" s="8" t="str">
        <f t="array" ref="M174">IF(L174&gt;5,"Perlu Pengendalian",IF(AND(L174&gt;=0,I174&gt;0),"Tidak Perlu Pengendalian","Belum Sensus"))</f>
        <v>Perlu Pengendalian</v>
      </c>
    </row>
    <row r="175" spans="1:13" outlineLevel="1" x14ac:dyDescent="0.15">
      <c r="A175" s="8" t="s">
        <v>13</v>
      </c>
      <c r="B175" s="8" t="s">
        <v>14</v>
      </c>
      <c r="C175" s="8" t="s">
        <v>173</v>
      </c>
      <c r="D175" s="8" t="s">
        <v>191</v>
      </c>
      <c r="E175" s="9">
        <v>25.14</v>
      </c>
      <c r="F175" s="8" t="s">
        <v>132</v>
      </c>
      <c r="G175" s="10">
        <v>3503</v>
      </c>
      <c r="H175" s="11">
        <f t="array" ref="H175">INDEX([22]Monitoring!$H$6:$H$582,MATCH(1,([22]Monitoring!$D$6:$D$582=$D175)*([22]Monitoring!$D$6:$D$582=$D175),0))</f>
        <v>46153</v>
      </c>
      <c r="I175" s="143">
        <f t="array" ref="I175">INDEX([22]Monitoring!$I$6:$I$582,MATCH(1,([22]Monitoring!$D$6:$D$582=$D175)*([22]Monitoring!$D$6:$D$582=$D175),0))</f>
        <v>358</v>
      </c>
      <c r="J175" s="9">
        <f t="array" ref="J175">IFERROR(I175/G175*100,0)</f>
        <v>10.219811590065659</v>
      </c>
      <c r="K175" s="143">
        <f t="array" ref="K175">INDEX([22]Monitoring!$J$6:$J$582,MATCH(1,([22]Monitoring!$D$6:$D$582=$D175)*([22]Monitoring!$D$6:$D$582=$D175),0))</f>
        <v>19</v>
      </c>
      <c r="L175" s="9">
        <f t="shared" si="3"/>
        <v>5.3072625698324023</v>
      </c>
      <c r="M175" s="8" t="str">
        <f t="array" ref="M175">IF(L175&gt;5,"Perlu Pengendalian",IF(AND(L175&gt;=0,I175&gt;0),"Tidak Perlu Pengendalian","Belum Sensus"))</f>
        <v>Perlu Pengendalian</v>
      </c>
    </row>
    <row r="176" spans="1:13" outlineLevel="1" x14ac:dyDescent="0.15">
      <c r="A176" s="8" t="s">
        <v>13</v>
      </c>
      <c r="B176" s="8" t="s">
        <v>14</v>
      </c>
      <c r="C176" s="8" t="s">
        <v>173</v>
      </c>
      <c r="D176" s="8" t="s">
        <v>192</v>
      </c>
      <c r="E176" s="9">
        <v>25.08</v>
      </c>
      <c r="F176" s="8" t="s">
        <v>132</v>
      </c>
      <c r="G176" s="10">
        <v>3285</v>
      </c>
      <c r="H176" s="11">
        <f t="array" ref="H176">INDEX([22]Monitoring!$H$6:$H$582,MATCH(1,([22]Monitoring!$D$6:$D$582=$D176)*([22]Monitoring!$D$6:$D$582=$D176),0))</f>
        <v>46154</v>
      </c>
      <c r="I176" s="143">
        <f t="array" ref="I176">INDEX([22]Monitoring!$I$6:$I$582,MATCH(1,([22]Monitoring!$D$6:$D$582=$D176)*([22]Monitoring!$D$6:$D$582=$D176),0))</f>
        <v>338</v>
      </c>
      <c r="J176" s="9">
        <f t="array" ref="J176">IFERROR(I176/G176*100,0)</f>
        <v>10.289193302891933</v>
      </c>
      <c r="K176" s="143">
        <f t="array" ref="K176">INDEX([22]Monitoring!$J$6:$J$582,MATCH(1,([22]Monitoring!$D$6:$D$582=$D176)*([22]Monitoring!$D$6:$D$582=$D176),0))</f>
        <v>23</v>
      </c>
      <c r="L176" s="9">
        <f t="shared" si="3"/>
        <v>6.8047337278106506</v>
      </c>
      <c r="M176" s="8" t="str">
        <f t="array" ref="M176">IF(L176&gt;5,"Perlu Pengendalian",IF(AND(L176&gt;=0,I176&gt;0),"Tidak Perlu Pengendalian","Belum Sensus"))</f>
        <v>Perlu Pengendalian</v>
      </c>
    </row>
    <row r="177" spans="1:13" outlineLevel="1" x14ac:dyDescent="0.15">
      <c r="A177" s="8" t="s">
        <v>13</v>
      </c>
      <c r="B177" s="8" t="s">
        <v>14</v>
      </c>
      <c r="C177" s="8" t="s">
        <v>173</v>
      </c>
      <c r="D177" s="8" t="s">
        <v>193</v>
      </c>
      <c r="E177" s="9">
        <v>25.61</v>
      </c>
      <c r="F177" s="8" t="s">
        <v>132</v>
      </c>
      <c r="G177" s="10">
        <v>3154</v>
      </c>
      <c r="H177" s="11">
        <f t="array" ref="H177">INDEX([22]Monitoring!$H$6:$H$582,MATCH(1,([22]Monitoring!$D$6:$D$582=$D177)*([22]Monitoring!$D$6:$D$582=$D177),0))</f>
        <v>46154</v>
      </c>
      <c r="I177" s="143">
        <f t="array" ref="I177">INDEX([22]Monitoring!$I$6:$I$582,MATCH(1,([22]Monitoring!$D$6:$D$582=$D177)*([22]Monitoring!$D$6:$D$582=$D177),0))</f>
        <v>348</v>
      </c>
      <c r="J177" s="9">
        <f t="array" ref="J177">IFERROR(I177/G177*100,0)</f>
        <v>11.033608116677234</v>
      </c>
      <c r="K177" s="143">
        <f t="array" ref="K177">INDEX([22]Monitoring!$J$6:$J$582,MATCH(1,([22]Monitoring!$D$6:$D$582=$D177)*([22]Monitoring!$D$6:$D$582=$D177),0))</f>
        <v>29</v>
      </c>
      <c r="L177" s="9">
        <f t="shared" si="3"/>
        <v>8.3333333333333321</v>
      </c>
      <c r="M177" s="8" t="str">
        <f t="array" ref="M177">IF(L177&gt;5,"Perlu Pengendalian",IF(AND(L177&gt;=0,I177&gt;0),"Tidak Perlu Pengendalian","Belum Sensus"))</f>
        <v>Perlu Pengendalian</v>
      </c>
    </row>
    <row r="178" spans="1:13" outlineLevel="1" x14ac:dyDescent="0.15">
      <c r="A178" s="8" t="s">
        <v>13</v>
      </c>
      <c r="B178" s="8" t="s">
        <v>14</v>
      </c>
      <c r="C178" s="8" t="s">
        <v>173</v>
      </c>
      <c r="D178" s="8" t="s">
        <v>194</v>
      </c>
      <c r="E178" s="9">
        <v>25.19</v>
      </c>
      <c r="F178" s="8" t="s">
        <v>132</v>
      </c>
      <c r="G178" s="10">
        <v>3512</v>
      </c>
      <c r="H178" s="11">
        <f t="array" ref="H178">INDEX([22]Monitoring!$H$6:$H$582,MATCH(1,([22]Monitoring!$D$6:$D$582=$D178)*([22]Monitoring!$D$6:$D$582=$D178),0))</f>
        <v>46154</v>
      </c>
      <c r="I178" s="143">
        <f t="array" ref="I178">INDEX([22]Monitoring!$I$6:$I$582,MATCH(1,([22]Monitoring!$D$6:$D$582=$D178)*([22]Monitoring!$D$6:$D$582=$D178),0))</f>
        <v>368</v>
      </c>
      <c r="J178" s="9">
        <f t="array" ref="J178">IFERROR(I178/G178*100,0)</f>
        <v>10.478359908883828</v>
      </c>
      <c r="K178" s="143">
        <f t="array" ref="K178">INDEX([22]Monitoring!$J$6:$J$582,MATCH(1,([22]Monitoring!$D$6:$D$582=$D178)*([22]Monitoring!$D$6:$D$582=$D178),0))</f>
        <v>30</v>
      </c>
      <c r="L178" s="9">
        <f t="shared" si="3"/>
        <v>8.1521739130434785</v>
      </c>
      <c r="M178" s="8" t="str">
        <f t="array" ref="M178">IF(L178&gt;5,"Perlu Pengendalian",IF(AND(L178&gt;=0,I178&gt;0),"Tidak Perlu Pengendalian","Belum Sensus"))</f>
        <v>Perlu Pengendalian</v>
      </c>
    </row>
    <row r="179" spans="1:13" outlineLevel="1" x14ac:dyDescent="0.15">
      <c r="A179" s="8" t="s">
        <v>13</v>
      </c>
      <c r="B179" s="8" t="s">
        <v>14</v>
      </c>
      <c r="C179" s="8" t="s">
        <v>173</v>
      </c>
      <c r="D179" s="8" t="s">
        <v>195</v>
      </c>
      <c r="E179" s="9">
        <v>24.52</v>
      </c>
      <c r="F179" s="8" t="s">
        <v>132</v>
      </c>
      <c r="G179" s="10">
        <v>3274</v>
      </c>
      <c r="H179" s="11">
        <f t="array" ref="H179">INDEX([22]Monitoring!$H$6:$H$582,MATCH(1,([22]Monitoring!$D$6:$D$582=$D179)*([22]Monitoring!$D$6:$D$582=$D179),0))</f>
        <v>46154</v>
      </c>
      <c r="I179" s="143">
        <f t="array" ref="I179">INDEX([22]Monitoring!$I$6:$I$582,MATCH(1,([22]Monitoring!$D$6:$D$582=$D179)*([22]Monitoring!$D$6:$D$582=$D179),0))</f>
        <v>364</v>
      </c>
      <c r="J179" s="9">
        <f t="array" ref="J179">IFERROR(I179/G179*100,0)</f>
        <v>11.117898594990837</v>
      </c>
      <c r="K179" s="143">
        <f t="array" ref="K179">INDEX([22]Monitoring!$J$6:$J$582,MATCH(1,([22]Monitoring!$D$6:$D$582=$D179)*([22]Monitoring!$D$6:$D$582=$D179),0))</f>
        <v>10</v>
      </c>
      <c r="L179" s="9">
        <f t="shared" si="3"/>
        <v>2.7472527472527473</v>
      </c>
      <c r="M179" s="8" t="str">
        <f t="array" ref="M179">IF(L179&gt;5,"Perlu Pengendalian",IF(AND(L179&gt;=0,I179&gt;0),"Tidak Perlu Pengendalian","Belum Sensus"))</f>
        <v>Tidak Perlu Pengendalian</v>
      </c>
    </row>
    <row r="180" spans="1:13" outlineLevel="1" x14ac:dyDescent="0.15">
      <c r="A180" s="8" t="s">
        <v>13</v>
      </c>
      <c r="B180" s="8" t="s">
        <v>14</v>
      </c>
      <c r="C180" s="8" t="s">
        <v>173</v>
      </c>
      <c r="D180" s="8" t="s">
        <v>196</v>
      </c>
      <c r="E180" s="9">
        <v>24.95</v>
      </c>
      <c r="F180" s="8" t="s">
        <v>132</v>
      </c>
      <c r="G180" s="10">
        <v>3460</v>
      </c>
      <c r="H180" s="11">
        <f t="array" ref="H180">INDEX([22]Monitoring!$H$6:$H$582,MATCH(1,([22]Monitoring!$D$6:$D$582=$D180)*([22]Monitoring!$D$6:$D$582=$D180),0))</f>
        <v>46158</v>
      </c>
      <c r="I180" s="143">
        <f t="array" ref="I180">INDEX([22]Monitoring!$I$6:$I$582,MATCH(1,([22]Monitoring!$D$6:$D$582=$D180)*([22]Monitoring!$D$6:$D$582=$D180),0))</f>
        <v>383</v>
      </c>
      <c r="J180" s="9">
        <f t="array" ref="J180">IFERROR(I180/G180*100,0)</f>
        <v>11.069364161849711</v>
      </c>
      <c r="K180" s="143">
        <f t="array" ref="K180">INDEX([22]Monitoring!$J$6:$J$582,MATCH(1,([22]Monitoring!$D$6:$D$582=$D180)*([22]Monitoring!$D$6:$D$582=$D180),0))</f>
        <v>17</v>
      </c>
      <c r="L180" s="9">
        <f t="shared" si="3"/>
        <v>4.4386422976501301</v>
      </c>
      <c r="M180" s="8" t="str">
        <f t="array" ref="M180">IF(L180&gt;5,"Perlu Pengendalian",IF(AND(L180&gt;=0,I180&gt;0),"Tidak Perlu Pengendalian","Belum Sensus"))</f>
        <v>Tidak Perlu Pengendalian</v>
      </c>
    </row>
    <row r="181" spans="1:13" outlineLevel="1" x14ac:dyDescent="0.15">
      <c r="A181" s="8" t="s">
        <v>13</v>
      </c>
      <c r="B181" s="8" t="s">
        <v>14</v>
      </c>
      <c r="C181" s="8" t="s">
        <v>173</v>
      </c>
      <c r="D181" s="8" t="s">
        <v>197</v>
      </c>
      <c r="E181" s="9">
        <v>24.2</v>
      </c>
      <c r="F181" s="8" t="s">
        <v>132</v>
      </c>
      <c r="G181" s="10">
        <v>3425</v>
      </c>
      <c r="H181" s="11">
        <f t="array" ref="H181">INDEX([22]Monitoring!$H$6:$H$582,MATCH(1,([22]Monitoring!$D$6:$D$582=$D181)*([22]Monitoring!$D$6:$D$582=$D181),0))</f>
        <v>46158</v>
      </c>
      <c r="I181" s="143">
        <f t="array" ref="I181">INDEX([22]Monitoring!$I$6:$I$582,MATCH(1,([22]Monitoring!$D$6:$D$582=$D181)*([22]Monitoring!$D$6:$D$582=$D181),0))</f>
        <v>365</v>
      </c>
      <c r="J181" s="9">
        <f t="array" ref="J181">IFERROR(I181/G181*100,0)</f>
        <v>10.656934306569344</v>
      </c>
      <c r="K181" s="143">
        <f t="array" ref="K181">INDEX([22]Monitoring!$J$6:$J$582,MATCH(1,([22]Monitoring!$D$6:$D$582=$D181)*([22]Monitoring!$D$6:$D$582=$D181),0))</f>
        <v>18</v>
      </c>
      <c r="L181" s="9">
        <f t="shared" si="3"/>
        <v>4.9315068493150687</v>
      </c>
      <c r="M181" s="8" t="str">
        <f t="array" ref="M181">IF(L181&gt;5,"Perlu Pengendalian",IF(AND(L181&gt;=0,I181&gt;0),"Tidak Perlu Pengendalian","Belum Sensus"))</f>
        <v>Tidak Perlu Pengendalian</v>
      </c>
    </row>
    <row r="182" spans="1:13" outlineLevel="1" x14ac:dyDescent="0.15">
      <c r="A182" s="8" t="s">
        <v>13</v>
      </c>
      <c r="B182" s="8" t="s">
        <v>14</v>
      </c>
      <c r="C182" s="8" t="s">
        <v>173</v>
      </c>
      <c r="D182" s="8" t="s">
        <v>198</v>
      </c>
      <c r="E182" s="9">
        <v>25.26</v>
      </c>
      <c r="F182" s="8" t="s">
        <v>132</v>
      </c>
      <c r="G182" s="10">
        <v>3073</v>
      </c>
      <c r="H182" s="11">
        <f t="array" ref="H182">INDEX([22]Monitoring!$H$6:$H$582,MATCH(1,([22]Monitoring!$D$6:$D$582=$D182)*([22]Monitoring!$D$6:$D$582=$D182),0))</f>
        <v>46158</v>
      </c>
      <c r="I182" s="143">
        <f t="array" ref="I182">INDEX([22]Monitoring!$I$6:$I$582,MATCH(1,([22]Monitoring!$D$6:$D$582=$D182)*([22]Monitoring!$D$6:$D$582=$D182),0))</f>
        <v>131</v>
      </c>
      <c r="J182" s="9">
        <f t="array" ref="J182">IFERROR(I182/G182*100,0)</f>
        <v>4.2629352424341036</v>
      </c>
      <c r="K182" s="143">
        <f t="array" ref="K182">INDEX([22]Monitoring!$J$6:$J$582,MATCH(1,([22]Monitoring!$D$6:$D$582=$D182)*([22]Monitoring!$D$6:$D$582=$D182),0))</f>
        <v>13</v>
      </c>
      <c r="L182" s="9">
        <f t="shared" si="3"/>
        <v>9.9236641221374047</v>
      </c>
      <c r="M182" s="8" t="str">
        <f t="array" ref="M182">IF(L182&gt;5,"Perlu Pengendalian",IF(AND(L182&gt;=0,I182&gt;0),"Tidak Perlu Pengendalian","Belum Sensus"))</f>
        <v>Perlu Pengendalian</v>
      </c>
    </row>
    <row r="183" spans="1:13" outlineLevel="1" x14ac:dyDescent="0.15">
      <c r="A183" s="8" t="s">
        <v>13</v>
      </c>
      <c r="B183" s="8" t="s">
        <v>14</v>
      </c>
      <c r="C183" s="8" t="s">
        <v>173</v>
      </c>
      <c r="D183" s="8" t="s">
        <v>199</v>
      </c>
      <c r="E183" s="9">
        <v>25.09</v>
      </c>
      <c r="F183" s="8" t="s">
        <v>132</v>
      </c>
      <c r="G183" s="10">
        <v>3613</v>
      </c>
      <c r="H183" s="11">
        <f t="array" ref="H183">INDEX([22]Monitoring!$H$6:$H$582,MATCH(1,([22]Monitoring!$D$6:$D$582=$D183)*([22]Monitoring!$D$6:$D$582=$D183),0))</f>
        <v>46158</v>
      </c>
      <c r="I183" s="143">
        <f t="array" ref="I183">INDEX([22]Monitoring!$I$6:$I$582,MATCH(1,([22]Monitoring!$D$6:$D$582=$D183)*([22]Monitoring!$D$6:$D$582=$D183),0))</f>
        <v>392</v>
      </c>
      <c r="J183" s="9">
        <f t="array" ref="J183">IFERROR(I183/G183*100,0)</f>
        <v>10.84970938278439</v>
      </c>
      <c r="K183" s="143">
        <f t="array" ref="K183">INDEX([22]Monitoring!$J$6:$J$582,MATCH(1,([22]Monitoring!$D$6:$D$582=$D183)*([22]Monitoring!$D$6:$D$582=$D183),0))</f>
        <v>23</v>
      </c>
      <c r="L183" s="9">
        <f t="shared" si="3"/>
        <v>5.8673469387755102</v>
      </c>
      <c r="M183" s="8" t="str">
        <f t="array" ref="M183">IF(L183&gt;5,"Perlu Pengendalian",IF(AND(L183&gt;=0,I183&gt;0),"Tidak Perlu Pengendalian","Belum Sensus"))</f>
        <v>Perlu Pengendalian</v>
      </c>
    </row>
    <row r="184" spans="1:13" outlineLevel="1" x14ac:dyDescent="0.15">
      <c r="A184" s="8" t="s">
        <v>13</v>
      </c>
      <c r="B184" s="8" t="s">
        <v>14</v>
      </c>
      <c r="C184" s="8" t="s">
        <v>173</v>
      </c>
      <c r="D184" s="8" t="s">
        <v>200</v>
      </c>
      <c r="E184" s="9">
        <v>23.72</v>
      </c>
      <c r="F184" s="8" t="s">
        <v>132</v>
      </c>
      <c r="G184" s="10">
        <v>3437</v>
      </c>
      <c r="H184" s="11">
        <f t="array" ref="H184">INDEX([22]Monitoring!$H$6:$H$582,MATCH(1,([22]Monitoring!$D$6:$D$582=$D184)*([22]Monitoring!$D$6:$D$582=$D184),0))</f>
        <v>46158</v>
      </c>
      <c r="I184" s="143">
        <f t="array" ref="I184">INDEX([22]Monitoring!$I$6:$I$582,MATCH(1,([22]Monitoring!$D$6:$D$582=$D184)*([22]Monitoring!$D$6:$D$582=$D184),0))</f>
        <v>351</v>
      </c>
      <c r="J184" s="9">
        <f t="array" ref="J184">IFERROR(I184/G184*100,0)</f>
        <v>10.212394530113471</v>
      </c>
      <c r="K184" s="143">
        <f t="array" ref="K184">INDEX([22]Monitoring!$J$6:$J$582,MATCH(1,([22]Monitoring!$D$6:$D$582=$D184)*([22]Monitoring!$D$6:$D$582=$D184),0))</f>
        <v>10</v>
      </c>
      <c r="L184" s="9">
        <f t="shared" si="3"/>
        <v>2.8490028490028489</v>
      </c>
      <c r="M184" s="8" t="str">
        <f t="array" ref="M184">IF(L184&gt;5,"Perlu Pengendalian",IF(AND(L184&gt;=0,I184&gt;0),"Tidak Perlu Pengendalian","Belum Sensus"))</f>
        <v>Tidak Perlu Pengendalian</v>
      </c>
    </row>
    <row r="185" spans="1:13" outlineLevel="1" x14ac:dyDescent="0.15">
      <c r="A185" s="8" t="s">
        <v>13</v>
      </c>
      <c r="B185" s="8" t="s">
        <v>14</v>
      </c>
      <c r="C185" s="8" t="s">
        <v>173</v>
      </c>
      <c r="D185" s="8" t="s">
        <v>201</v>
      </c>
      <c r="E185" s="9">
        <v>25.27</v>
      </c>
      <c r="F185" s="8" t="s">
        <v>132</v>
      </c>
      <c r="G185" s="10">
        <v>3595</v>
      </c>
      <c r="H185" s="11">
        <f t="array" ref="H185">INDEX([22]Monitoring!$H$6:$H$582,MATCH(1,([22]Monitoring!$D$6:$D$582=$D185)*([22]Monitoring!$D$6:$D$582=$D185),0))</f>
        <v>46158</v>
      </c>
      <c r="I185" s="143">
        <f t="array" ref="I185">INDEX([22]Monitoring!$I$6:$I$582,MATCH(1,([22]Monitoring!$D$6:$D$582=$D185)*([22]Monitoring!$D$6:$D$582=$D185),0))</f>
        <v>370</v>
      </c>
      <c r="J185" s="9">
        <f t="array" ref="J185">IFERROR(I185/G185*100,0)</f>
        <v>10.292072322670375</v>
      </c>
      <c r="K185" s="143">
        <f t="array" ref="K185">INDEX([22]Monitoring!$J$6:$J$582,MATCH(1,([22]Monitoring!$D$6:$D$582=$D185)*([22]Monitoring!$D$6:$D$582=$D185),0))</f>
        <v>13</v>
      </c>
      <c r="L185" s="9">
        <f t="shared" si="3"/>
        <v>3.5135135135135136</v>
      </c>
      <c r="M185" s="8" t="str">
        <f t="array" ref="M185">IF(L185&gt;5,"Perlu Pengendalian",IF(AND(L185&gt;=0,I185&gt;0),"Tidak Perlu Pengendalian","Belum Sensus"))</f>
        <v>Tidak Perlu Pengendalian</v>
      </c>
    </row>
    <row r="186" spans="1:13" outlineLevel="1" x14ac:dyDescent="0.15">
      <c r="A186" s="8" t="s">
        <v>13</v>
      </c>
      <c r="B186" s="8" t="s">
        <v>14</v>
      </c>
      <c r="C186" s="8" t="s">
        <v>173</v>
      </c>
      <c r="D186" s="8" t="s">
        <v>202</v>
      </c>
      <c r="E186" s="9">
        <v>24.63</v>
      </c>
      <c r="F186" s="8" t="s">
        <v>132</v>
      </c>
      <c r="G186" s="10">
        <v>3482</v>
      </c>
      <c r="H186" s="11">
        <f t="array" ref="H186">INDEX([22]Monitoring!$H$6:$H$582,MATCH(1,([22]Monitoring!$D$6:$D$582=$D186)*([22]Monitoring!$D$6:$D$582=$D186),0))</f>
        <v>46154</v>
      </c>
      <c r="I186" s="143">
        <f t="array" ref="I186">INDEX([22]Monitoring!$I$6:$I$582,MATCH(1,([22]Monitoring!$D$6:$D$582=$D186)*([22]Monitoring!$D$6:$D$582=$D186),0))</f>
        <v>355</v>
      </c>
      <c r="J186" s="9">
        <f t="array" ref="J186">IFERROR(I186/G186*100,0)</f>
        <v>10.195290063182078</v>
      </c>
      <c r="K186" s="143">
        <f t="array" ref="K186">INDEX([22]Monitoring!$J$6:$J$582,MATCH(1,([22]Monitoring!$D$6:$D$582=$D186)*([22]Monitoring!$D$6:$D$582=$D186),0))</f>
        <v>44</v>
      </c>
      <c r="L186" s="9">
        <f t="shared" si="3"/>
        <v>12.394366197183098</v>
      </c>
      <c r="M186" s="8" t="str">
        <f t="array" ref="M186">IF(L186&gt;5,"Perlu Pengendalian",IF(AND(L186&gt;=0,I186&gt;0),"Tidak Perlu Pengendalian","Belum Sensus"))</f>
        <v>Perlu Pengendalian</v>
      </c>
    </row>
    <row r="187" spans="1:13" outlineLevel="1" x14ac:dyDescent="0.15">
      <c r="A187" s="8" t="s">
        <v>13</v>
      </c>
      <c r="B187" s="8" t="s">
        <v>14</v>
      </c>
      <c r="C187" s="8" t="s">
        <v>173</v>
      </c>
      <c r="D187" s="8" t="s">
        <v>203</v>
      </c>
      <c r="E187" s="9">
        <v>25.21</v>
      </c>
      <c r="F187" s="8" t="s">
        <v>132</v>
      </c>
      <c r="G187" s="10">
        <v>3491</v>
      </c>
      <c r="H187" s="11">
        <f t="array" ref="H187">INDEX([22]Monitoring!$H$6:$H$582,MATCH(1,([22]Monitoring!$D$6:$D$582=$D187)*([22]Monitoring!$D$6:$D$582=$D187),0))</f>
        <v>46153</v>
      </c>
      <c r="I187" s="143">
        <f t="array" ref="I187">INDEX([22]Monitoring!$I$6:$I$582,MATCH(1,([22]Monitoring!$D$6:$D$582=$D187)*([22]Monitoring!$D$6:$D$582=$D187),0))</f>
        <v>336</v>
      </c>
      <c r="J187" s="9">
        <f t="array" ref="J187">IFERROR(I187/G187*100,0)</f>
        <v>9.6247493554855339</v>
      </c>
      <c r="K187" s="143">
        <f t="array" ref="K187">INDEX([22]Monitoring!$J$6:$J$582,MATCH(1,([22]Monitoring!$D$6:$D$582=$D187)*([22]Monitoring!$D$6:$D$582=$D187),0))</f>
        <v>106</v>
      </c>
      <c r="L187" s="9">
        <f t="shared" si="3"/>
        <v>31.547619047619047</v>
      </c>
      <c r="M187" s="8" t="str">
        <f t="array" ref="M187">IF(L187&gt;5,"Perlu Pengendalian",IF(AND(L187&gt;=0,I187&gt;0),"Tidak Perlu Pengendalian","Belum Sensus"))</f>
        <v>Perlu Pengendalian</v>
      </c>
    </row>
    <row r="188" spans="1:13" outlineLevel="1" x14ac:dyDescent="0.15">
      <c r="A188" s="8" t="s">
        <v>13</v>
      </c>
      <c r="B188" s="8" t="s">
        <v>14</v>
      </c>
      <c r="C188" s="8" t="s">
        <v>173</v>
      </c>
      <c r="D188" s="8" t="s">
        <v>204</v>
      </c>
      <c r="E188" s="9">
        <v>24.72</v>
      </c>
      <c r="F188" s="8" t="s">
        <v>132</v>
      </c>
      <c r="G188" s="10">
        <v>3358</v>
      </c>
      <c r="H188" s="11">
        <f t="array" ref="H188">INDEX([22]Monitoring!$H$6:$H$582,MATCH(1,([22]Monitoring!$D$6:$D$582=$D188)*([22]Monitoring!$D$6:$D$582=$D188),0))</f>
        <v>46153</v>
      </c>
      <c r="I188" s="143">
        <f t="array" ref="I188">INDEX([22]Monitoring!$I$6:$I$582,MATCH(1,([22]Monitoring!$D$6:$D$582=$D188)*([22]Monitoring!$D$6:$D$582=$D188),0))</f>
        <v>335</v>
      </c>
      <c r="J188" s="9">
        <f t="array" ref="J188">IFERROR(I188/G188*100,0)</f>
        <v>9.9761762954139375</v>
      </c>
      <c r="K188" s="143">
        <f t="array" ref="K188">INDEX([22]Monitoring!$J$6:$J$582,MATCH(1,([22]Monitoring!$D$6:$D$582=$D188)*([22]Monitoring!$D$6:$D$582=$D188),0))</f>
        <v>79</v>
      </c>
      <c r="L188" s="9">
        <f t="shared" si="3"/>
        <v>23.582089552238806</v>
      </c>
      <c r="M188" s="8" t="str">
        <f t="array" ref="M188">IF(L188&gt;5,"Perlu Pengendalian",IF(AND(L188&gt;=0,I188&gt;0),"Tidak Perlu Pengendalian","Belum Sensus"))</f>
        <v>Perlu Pengendalian</v>
      </c>
    </row>
    <row r="189" spans="1:13" outlineLevel="1" x14ac:dyDescent="0.15">
      <c r="A189" s="8" t="s">
        <v>13</v>
      </c>
      <c r="B189" s="8" t="s">
        <v>14</v>
      </c>
      <c r="C189" s="8" t="s">
        <v>173</v>
      </c>
      <c r="D189" s="8" t="s">
        <v>205</v>
      </c>
      <c r="E189" s="9">
        <v>27.52</v>
      </c>
      <c r="F189" s="8" t="s">
        <v>132</v>
      </c>
      <c r="G189" s="10">
        <v>4028</v>
      </c>
      <c r="H189" s="11">
        <f t="array" ref="H189">INDEX([22]Monitoring!$H$6:$H$582,MATCH(1,([22]Monitoring!$D$6:$D$582=$D189)*([22]Monitoring!$D$6:$D$582=$D189),0))</f>
        <v>46153</v>
      </c>
      <c r="I189" s="143">
        <f t="array" ref="I189">INDEX([22]Monitoring!$I$6:$I$582,MATCH(1,([22]Monitoring!$D$6:$D$582=$D189)*([22]Monitoring!$D$6:$D$582=$D189),0))</f>
        <v>362</v>
      </c>
      <c r="J189" s="9">
        <f t="array" ref="J189">IFERROR(I189/G189*100,0)</f>
        <v>8.9870903674280029</v>
      </c>
      <c r="K189" s="143">
        <f t="array" ref="K189">INDEX([22]Monitoring!$J$6:$J$582,MATCH(1,([22]Monitoring!$D$6:$D$582=$D189)*([22]Monitoring!$D$6:$D$582=$D189),0))</f>
        <v>33</v>
      </c>
      <c r="L189" s="9">
        <f t="shared" si="3"/>
        <v>9.1160220994475143</v>
      </c>
      <c r="M189" s="8" t="str">
        <f t="array" ref="M189">IF(L189&gt;5,"Perlu Pengendalian",IF(AND(L189&gt;=0,I189&gt;0),"Tidak Perlu Pengendalian","Belum Sensus"))</f>
        <v>Perlu Pengendalian</v>
      </c>
    </row>
    <row r="190" spans="1:13" outlineLevel="1" x14ac:dyDescent="0.15">
      <c r="A190" s="8" t="s">
        <v>13</v>
      </c>
      <c r="B190" s="8" t="s">
        <v>14</v>
      </c>
      <c r="C190" s="8" t="s">
        <v>173</v>
      </c>
      <c r="D190" s="8" t="s">
        <v>206</v>
      </c>
      <c r="E190" s="9">
        <v>44</v>
      </c>
      <c r="F190" s="8" t="s">
        <v>132</v>
      </c>
      <c r="G190" s="10">
        <v>5420</v>
      </c>
      <c r="H190" s="11">
        <f t="array" ref="H190">INDEX([22]Monitoring!$H$6:$H$582,MATCH(1,([22]Monitoring!$D$6:$D$582=$D190)*([22]Monitoring!$D$6:$D$582=$D190),0))</f>
        <v>46155</v>
      </c>
      <c r="I190" s="143">
        <f t="array" ref="I190">INDEX([22]Monitoring!$I$6:$I$582,MATCH(1,([22]Monitoring!$D$6:$D$582=$D190)*([22]Monitoring!$D$6:$D$582=$D190),0))</f>
        <v>364</v>
      </c>
      <c r="J190" s="9">
        <f t="array" ref="J190">IFERROR(I190/G190*100,0)</f>
        <v>6.7158671586715872</v>
      </c>
      <c r="K190" s="143">
        <f t="array" ref="K190">INDEX([22]Monitoring!$J$6:$J$582,MATCH(1,([22]Monitoring!$D$6:$D$582=$D190)*([22]Monitoring!$D$6:$D$582=$D190),0))</f>
        <v>12</v>
      </c>
      <c r="L190" s="9">
        <f t="shared" si="3"/>
        <v>3.296703296703297</v>
      </c>
      <c r="M190" s="8" t="str">
        <f t="array" ref="M190">IF(L190&gt;5,"Perlu Pengendalian",IF(AND(L190&gt;=0,I190&gt;0),"Tidak Perlu Pengendalian","Belum Sensus"))</f>
        <v>Tidak Perlu Pengendalian</v>
      </c>
    </row>
    <row r="191" spans="1:13" outlineLevel="1" x14ac:dyDescent="0.15">
      <c r="A191" s="8" t="s">
        <v>13</v>
      </c>
      <c r="B191" s="8" t="s">
        <v>14</v>
      </c>
      <c r="C191" s="8" t="s">
        <v>173</v>
      </c>
      <c r="D191" s="8" t="s">
        <v>207</v>
      </c>
      <c r="E191" s="9">
        <v>23.93</v>
      </c>
      <c r="F191" s="8" t="s">
        <v>132</v>
      </c>
      <c r="G191" s="10">
        <v>3141</v>
      </c>
      <c r="H191" s="11">
        <f t="array" ref="H191">INDEX([22]Monitoring!$H$6:$H$582,MATCH(1,([22]Monitoring!$D$6:$D$582=$D191)*([22]Monitoring!$D$6:$D$582=$D191),0))</f>
        <v>46155</v>
      </c>
      <c r="I191" s="143">
        <f t="array" ref="I191">INDEX([22]Monitoring!$I$6:$I$582,MATCH(1,([22]Monitoring!$D$6:$D$582=$D191)*([22]Monitoring!$D$6:$D$582=$D191),0))</f>
        <v>380</v>
      </c>
      <c r="J191" s="9">
        <f t="array" ref="J191">IFERROR(I191/G191*100,0)</f>
        <v>12.098057943330149</v>
      </c>
      <c r="K191" s="143">
        <f t="array" ref="K191">INDEX([22]Monitoring!$J$6:$J$582,MATCH(1,([22]Monitoring!$D$6:$D$582=$D191)*([22]Monitoring!$D$6:$D$582=$D191),0))</f>
        <v>9</v>
      </c>
      <c r="L191" s="9">
        <f t="shared" si="3"/>
        <v>2.3684210526315792</v>
      </c>
      <c r="M191" s="8" t="str">
        <f t="array" ref="M191">IF(L191&gt;5,"Perlu Pengendalian",IF(AND(L191&gt;=0,I191&gt;0),"Tidak Perlu Pengendalian","Belum Sensus"))</f>
        <v>Tidak Perlu Pengendalian</v>
      </c>
    </row>
    <row r="192" spans="1:13" outlineLevel="1" x14ac:dyDescent="0.15">
      <c r="A192" s="8" t="s">
        <v>13</v>
      </c>
      <c r="B192" s="8" t="s">
        <v>14</v>
      </c>
      <c r="C192" s="8" t="s">
        <v>173</v>
      </c>
      <c r="D192" s="8" t="s">
        <v>208</v>
      </c>
      <c r="E192" s="9">
        <v>26.81</v>
      </c>
      <c r="F192" s="8" t="s">
        <v>132</v>
      </c>
      <c r="G192" s="10">
        <v>3697</v>
      </c>
      <c r="H192" s="11">
        <f t="array" ref="H192">INDEX([22]Monitoring!$H$6:$H$582,MATCH(1,([22]Monitoring!$D$6:$D$582=$D192)*([22]Monitoring!$D$6:$D$582=$D192),0))</f>
        <v>46155</v>
      </c>
      <c r="I192" s="143">
        <f t="array" ref="I192">INDEX([22]Monitoring!$I$6:$I$582,MATCH(1,([22]Monitoring!$D$6:$D$582=$D192)*([22]Monitoring!$D$6:$D$582=$D192),0))</f>
        <v>363</v>
      </c>
      <c r="J192" s="9">
        <f t="array" ref="J192">IFERROR(I192/G192*100,0)</f>
        <v>9.8187719772788746</v>
      </c>
      <c r="K192" s="143">
        <f t="array" ref="K192">INDEX([22]Monitoring!$J$6:$J$582,MATCH(1,([22]Monitoring!$D$6:$D$582=$D192)*([22]Monitoring!$D$6:$D$582=$D192),0))</f>
        <v>10</v>
      </c>
      <c r="L192" s="9">
        <f t="shared" si="3"/>
        <v>2.7548209366391188</v>
      </c>
      <c r="M192" s="8" t="str">
        <f t="array" ref="M192">IF(L192&gt;5,"Perlu Pengendalian",IF(AND(L192&gt;=0,I192&gt;0),"Tidak Perlu Pengendalian","Belum Sensus"))</f>
        <v>Tidak Perlu Pengendalian</v>
      </c>
    </row>
    <row r="193" spans="1:13" outlineLevel="1" x14ac:dyDescent="0.15">
      <c r="A193" s="8" t="s">
        <v>13</v>
      </c>
      <c r="B193" s="8" t="s">
        <v>14</v>
      </c>
      <c r="C193" s="8" t="s">
        <v>173</v>
      </c>
      <c r="D193" s="8" t="s">
        <v>209</v>
      </c>
      <c r="E193" s="9">
        <v>24.99</v>
      </c>
      <c r="F193" s="8" t="s">
        <v>132</v>
      </c>
      <c r="G193" s="10">
        <v>3489</v>
      </c>
      <c r="H193" s="11">
        <f t="array" ref="H193">INDEX([22]Monitoring!$H$6:$H$582,MATCH(1,([22]Monitoring!$D$6:$D$582=$D193)*([22]Monitoring!$D$6:$D$582=$D193),0))</f>
        <v>46155</v>
      </c>
      <c r="I193" s="143">
        <f t="array" ref="I193">INDEX([22]Monitoring!$I$6:$I$582,MATCH(1,([22]Monitoring!$D$6:$D$582=$D193)*([22]Monitoring!$D$6:$D$582=$D193),0))</f>
        <v>361</v>
      </c>
      <c r="J193" s="9">
        <f t="array" ref="J193">IFERROR(I193/G193*100,0)</f>
        <v>10.346804241903124</v>
      </c>
      <c r="K193" s="143">
        <f t="array" ref="K193">INDEX([22]Monitoring!$J$6:$J$582,MATCH(1,([22]Monitoring!$D$6:$D$582=$D193)*([22]Monitoring!$D$6:$D$582=$D193),0))</f>
        <v>31</v>
      </c>
      <c r="L193" s="9">
        <f t="shared" si="3"/>
        <v>8.5872576177285325</v>
      </c>
      <c r="M193" s="8" t="str">
        <f t="array" ref="M193">IF(L193&gt;5,"Perlu Pengendalian",IF(AND(L193&gt;=0,I193&gt;0),"Tidak Perlu Pengendalian","Belum Sensus"))</f>
        <v>Perlu Pengendalian</v>
      </c>
    </row>
    <row r="194" spans="1:13" outlineLevel="1" x14ac:dyDescent="0.15">
      <c r="A194" s="8" t="s">
        <v>13</v>
      </c>
      <c r="B194" s="8" t="s">
        <v>14</v>
      </c>
      <c r="C194" s="8" t="s">
        <v>173</v>
      </c>
      <c r="D194" s="8" t="s">
        <v>210</v>
      </c>
      <c r="E194" s="9">
        <v>25.39</v>
      </c>
      <c r="F194" s="8" t="s">
        <v>132</v>
      </c>
      <c r="G194" s="10">
        <v>3408</v>
      </c>
      <c r="H194" s="11">
        <f t="array" ref="H194">INDEX([22]Monitoring!$H$6:$H$582,MATCH(1,([22]Monitoring!$D$6:$D$582=$D194)*([22]Monitoring!$D$6:$D$582=$D194),0))</f>
        <v>46157</v>
      </c>
      <c r="I194" s="143">
        <f t="array" ref="I194">INDEX([22]Monitoring!$I$6:$I$582,MATCH(1,([22]Monitoring!$D$6:$D$582=$D194)*([22]Monitoring!$D$6:$D$582=$D194),0))</f>
        <v>362</v>
      </c>
      <c r="J194" s="9">
        <f t="array" ref="J194">IFERROR(I194/G194*100,0)</f>
        <v>10.622065727699532</v>
      </c>
      <c r="K194" s="143">
        <f t="array" ref="K194">INDEX([22]Monitoring!$J$6:$J$582,MATCH(1,([22]Monitoring!$D$6:$D$582=$D194)*([22]Monitoring!$D$6:$D$582=$D194),0))</f>
        <v>5</v>
      </c>
      <c r="L194" s="9">
        <f t="shared" si="3"/>
        <v>1.3812154696132597</v>
      </c>
      <c r="M194" s="8" t="str">
        <f t="array" ref="M194">IF(L194&gt;5,"Perlu Pengendalian",IF(AND(L194&gt;=0,I194&gt;0),"Tidak Perlu Pengendalian","Belum Sensus"))</f>
        <v>Tidak Perlu Pengendalian</v>
      </c>
    </row>
    <row r="195" spans="1:13" outlineLevel="1" x14ac:dyDescent="0.15">
      <c r="A195" s="8" t="s">
        <v>13</v>
      </c>
      <c r="B195" s="8" t="s">
        <v>14</v>
      </c>
      <c r="C195" s="8" t="s">
        <v>173</v>
      </c>
      <c r="D195" s="8" t="s">
        <v>211</v>
      </c>
      <c r="E195" s="9">
        <v>25.9</v>
      </c>
      <c r="F195" s="8" t="s">
        <v>132</v>
      </c>
      <c r="G195" s="10">
        <v>3637</v>
      </c>
      <c r="H195" s="11">
        <f t="array" ref="H195">INDEX([22]Monitoring!$H$6:$H$582,MATCH(1,([22]Monitoring!$D$6:$D$582=$D195)*([22]Monitoring!$D$6:$D$582=$D195),0))</f>
        <v>46157</v>
      </c>
      <c r="I195" s="143">
        <f t="array" ref="I195">INDEX([22]Monitoring!$I$6:$I$582,MATCH(1,([22]Monitoring!$D$6:$D$582=$D195)*([22]Monitoring!$D$6:$D$582=$D195),0))</f>
        <v>364</v>
      </c>
      <c r="J195" s="9">
        <f t="array" ref="J195">IFERROR(I195/G195*100,0)</f>
        <v>10.008248556502613</v>
      </c>
      <c r="K195" s="143">
        <f t="array" ref="K195">INDEX([22]Monitoring!$J$6:$J$582,MATCH(1,([22]Monitoring!$D$6:$D$582=$D195)*([22]Monitoring!$D$6:$D$582=$D195),0))</f>
        <v>22</v>
      </c>
      <c r="L195" s="9">
        <f t="shared" si="3"/>
        <v>6.0439560439560438</v>
      </c>
      <c r="M195" s="8" t="str">
        <f t="array" ref="M195">IF(L195&gt;5,"Perlu Pengendalian",IF(AND(L195&gt;=0,I195&gt;0),"Tidak Perlu Pengendalian","Belum Sensus"))</f>
        <v>Perlu Pengendalian</v>
      </c>
    </row>
    <row r="196" spans="1:13" outlineLevel="1" x14ac:dyDescent="0.15">
      <c r="A196" s="8" t="s">
        <v>13</v>
      </c>
      <c r="B196" s="8" t="s">
        <v>14</v>
      </c>
      <c r="C196" s="8" t="s">
        <v>173</v>
      </c>
      <c r="D196" s="8" t="s">
        <v>212</v>
      </c>
      <c r="E196" s="9">
        <v>27.96</v>
      </c>
      <c r="F196" s="8" t="s">
        <v>132</v>
      </c>
      <c r="G196" s="10">
        <v>3951</v>
      </c>
      <c r="H196" s="11">
        <f t="array" ref="H196">INDEX([22]Monitoring!$H$6:$H$582,MATCH(1,([22]Monitoring!$D$6:$D$582=$D196)*([22]Monitoring!$D$6:$D$582=$D196),0))</f>
        <v>46157</v>
      </c>
      <c r="I196" s="143">
        <f t="array" ref="I196">INDEX([22]Monitoring!$I$6:$I$582,MATCH(1,([22]Monitoring!$D$6:$D$582=$D196)*([22]Monitoring!$D$6:$D$582=$D196),0))</f>
        <v>377</v>
      </c>
      <c r="J196" s="9">
        <f t="array" ref="J196">IFERROR(I196/G196*100,0)</f>
        <v>9.5418881295874467</v>
      </c>
      <c r="K196" s="143">
        <f t="array" ref="K196">INDEX([22]Monitoring!$J$6:$J$582,MATCH(1,([22]Monitoring!$D$6:$D$582=$D196)*([22]Monitoring!$D$6:$D$582=$D196),0))</f>
        <v>10</v>
      </c>
      <c r="L196" s="9">
        <f t="shared" si="3"/>
        <v>2.6525198938992043</v>
      </c>
      <c r="M196" s="8" t="str">
        <f t="array" ref="M196">IF(L196&gt;5,"Perlu Pengendalian",IF(AND(L196&gt;=0,I196&gt;0),"Tidak Perlu Pengendalian","Belum Sensus"))</f>
        <v>Tidak Perlu Pengendalian</v>
      </c>
    </row>
    <row r="197" spans="1:13" outlineLevel="1" x14ac:dyDescent="0.15">
      <c r="A197" s="8" t="s">
        <v>13</v>
      </c>
      <c r="B197" s="8" t="s">
        <v>14</v>
      </c>
      <c r="C197" s="8" t="s">
        <v>173</v>
      </c>
      <c r="D197" s="8" t="s">
        <v>213</v>
      </c>
      <c r="E197" s="9">
        <v>39.47</v>
      </c>
      <c r="F197" s="8" t="s">
        <v>132</v>
      </c>
      <c r="G197" s="10">
        <v>5904</v>
      </c>
      <c r="H197" s="11">
        <f t="array" ref="H197">INDEX([22]Monitoring!$H$6:$H$582,MATCH(1,([22]Monitoring!$D$6:$D$582=$D197)*([22]Monitoring!$D$6:$D$582=$D197),0))</f>
        <v>46158</v>
      </c>
      <c r="I197" s="143">
        <f t="array" ref="I197">INDEX([22]Monitoring!$I$6:$I$582,MATCH(1,([22]Monitoring!$D$6:$D$582=$D197)*([22]Monitoring!$D$6:$D$582=$D197),0))</f>
        <v>362</v>
      </c>
      <c r="J197" s="9">
        <f t="array" ref="J197">IFERROR(I197/G197*100,0)</f>
        <v>6.1314363143631434</v>
      </c>
      <c r="K197" s="143">
        <f t="array" ref="K197">INDEX([22]Monitoring!$J$6:$J$582,MATCH(1,([22]Monitoring!$D$6:$D$582=$D197)*([22]Monitoring!$D$6:$D$582=$D197),0))</f>
        <v>15</v>
      </c>
      <c r="L197" s="9">
        <f t="shared" si="3"/>
        <v>4.1436464088397784</v>
      </c>
      <c r="M197" s="8" t="str">
        <f t="array" ref="M197">IF(L197&gt;5,"Perlu Pengendalian",IF(AND(L197&gt;=0,I197&gt;0),"Tidak Perlu Pengendalian","Belum Sensus"))</f>
        <v>Tidak Perlu Pengendalian</v>
      </c>
    </row>
    <row r="198" spans="1:13" outlineLevel="1" x14ac:dyDescent="0.15">
      <c r="A198" s="8" t="s">
        <v>13</v>
      </c>
      <c r="B198" s="8" t="s">
        <v>14</v>
      </c>
      <c r="C198" s="8" t="s">
        <v>173</v>
      </c>
      <c r="D198" s="8" t="s">
        <v>214</v>
      </c>
      <c r="E198" s="9">
        <v>27.02</v>
      </c>
      <c r="F198" s="8" t="s">
        <v>132</v>
      </c>
      <c r="G198" s="10">
        <v>3909</v>
      </c>
      <c r="H198" s="11">
        <f t="array" ref="H198">INDEX([22]Monitoring!$H$6:$H$582,MATCH(1,([22]Monitoring!$D$6:$D$582=$D198)*([22]Monitoring!$D$6:$D$582=$D198),0))</f>
        <v>46158</v>
      </c>
      <c r="I198" s="143">
        <f t="array" ref="I198">INDEX([22]Monitoring!$I$6:$I$582,MATCH(1,([22]Monitoring!$D$6:$D$582=$D198)*([22]Monitoring!$D$6:$D$582=$D198),0))</f>
        <v>414</v>
      </c>
      <c r="J198" s="9">
        <f t="array" ref="J198">IFERROR(I198/G198*100,0)</f>
        <v>10.590943975441288</v>
      </c>
      <c r="K198" s="143">
        <f t="array" ref="K198">INDEX([22]Monitoring!$J$6:$J$582,MATCH(1,([22]Monitoring!$D$6:$D$582=$D198)*([22]Monitoring!$D$6:$D$582=$D198),0))</f>
        <v>21</v>
      </c>
      <c r="L198" s="9">
        <f t="shared" si="3"/>
        <v>5.0724637681159424</v>
      </c>
      <c r="M198" s="8" t="str">
        <f t="array" ref="M198">IF(L198&gt;5,"Perlu Pengendalian",IF(AND(L198&gt;=0,I198&gt;0),"Tidak Perlu Pengendalian","Belum Sensus"))</f>
        <v>Perlu Pengendalian</v>
      </c>
    </row>
    <row r="199" spans="1:13" outlineLevel="1" x14ac:dyDescent="0.15">
      <c r="A199" s="8" t="s">
        <v>13</v>
      </c>
      <c r="B199" s="8" t="s">
        <v>14</v>
      </c>
      <c r="C199" s="8" t="s">
        <v>173</v>
      </c>
      <c r="D199" s="8" t="s">
        <v>215</v>
      </c>
      <c r="E199" s="9">
        <v>25.83</v>
      </c>
      <c r="F199" s="8" t="s">
        <v>132</v>
      </c>
      <c r="G199" s="10">
        <v>3725</v>
      </c>
      <c r="H199" s="11">
        <f t="array" ref="H199">INDEX([22]Monitoring!$H$6:$H$582,MATCH(1,([22]Monitoring!$D$6:$D$582=$D199)*([22]Monitoring!$D$6:$D$582=$D199),0))</f>
        <v>46158</v>
      </c>
      <c r="I199" s="143">
        <f t="array" ref="I199">INDEX([22]Monitoring!$I$6:$I$582,MATCH(1,([22]Monitoring!$D$6:$D$582=$D199)*([22]Monitoring!$D$6:$D$582=$D199),0))</f>
        <v>364</v>
      </c>
      <c r="J199" s="9">
        <f t="array" ref="J199">IFERROR(I199/G199*100,0)</f>
        <v>9.7718120805369129</v>
      </c>
      <c r="K199" s="143">
        <f t="array" ref="K199">INDEX([22]Monitoring!$J$6:$J$582,MATCH(1,([22]Monitoring!$D$6:$D$582=$D199)*([22]Monitoring!$D$6:$D$582=$D199),0))</f>
        <v>22</v>
      </c>
      <c r="L199" s="9">
        <f t="shared" si="3"/>
        <v>6.0439560439560438</v>
      </c>
      <c r="M199" s="8" t="str">
        <f t="array" ref="M199">IF(L199&gt;5,"Perlu Pengendalian",IF(AND(L199&gt;=0,I199&gt;0),"Tidak Perlu Pengendalian","Belum Sensus"))</f>
        <v>Perlu Pengendalian</v>
      </c>
    </row>
    <row r="200" spans="1:13" outlineLevel="1" x14ac:dyDescent="0.15">
      <c r="A200" s="8" t="s">
        <v>13</v>
      </c>
      <c r="B200" s="8" t="s">
        <v>47</v>
      </c>
      <c r="C200" s="8" t="s">
        <v>216</v>
      </c>
      <c r="D200" s="8" t="s">
        <v>217</v>
      </c>
      <c r="E200" s="9">
        <v>45.54</v>
      </c>
      <c r="F200" s="8" t="s">
        <v>132</v>
      </c>
      <c r="G200" s="10">
        <v>6802</v>
      </c>
      <c r="H200" s="11">
        <f t="array" ref="H200">INDEX([22]Monitoring!$H$6:$H$582,MATCH(1,([22]Monitoring!$D$6:$D$582=$D200)*([22]Monitoring!$D$6:$D$582=$D200),0))</f>
        <v>46148</v>
      </c>
      <c r="I200" s="143">
        <f t="array" ref="I200">INDEX([22]Monitoring!$I$6:$I$582,MATCH(1,([22]Monitoring!$D$6:$D$582=$D200)*([22]Monitoring!$D$6:$D$582=$D200),0))</f>
        <v>355</v>
      </c>
      <c r="J200" s="9">
        <f t="array" ref="J200">IFERROR(I200/G200*100,0)</f>
        <v>5.2190532196412818</v>
      </c>
      <c r="K200" s="143">
        <f t="array" ref="K200">INDEX([22]Monitoring!$J$6:$J$582,MATCH(1,([22]Monitoring!$D$6:$D$582=$D200)*([22]Monitoring!$D$6:$D$582=$D200),0))</f>
        <v>17</v>
      </c>
      <c r="L200" s="9">
        <f t="shared" si="3"/>
        <v>4.788732394366197</v>
      </c>
      <c r="M200" s="8" t="str">
        <f t="array" ref="M200">IF(L200&gt;5,"Perlu Pengendalian",IF(AND(L200&gt;=0,I200&gt;0),"Tidak Perlu Pengendalian","Belum Sensus"))</f>
        <v>Tidak Perlu Pengendalian</v>
      </c>
    </row>
    <row r="201" spans="1:13" outlineLevel="1" x14ac:dyDescent="0.15">
      <c r="A201" s="8" t="s">
        <v>13</v>
      </c>
      <c r="B201" s="8" t="s">
        <v>47</v>
      </c>
      <c r="C201" s="8" t="s">
        <v>216</v>
      </c>
      <c r="D201" s="8" t="s">
        <v>218</v>
      </c>
      <c r="E201" s="9">
        <v>24.28</v>
      </c>
      <c r="F201" s="8" t="s">
        <v>132</v>
      </c>
      <c r="G201" s="10">
        <v>3824</v>
      </c>
      <c r="H201" s="11">
        <f t="array" ref="H201">INDEX([22]Monitoring!$H$6:$H$582,MATCH(1,([22]Monitoring!$D$6:$D$582=$D201)*([22]Monitoring!$D$6:$D$582=$D201),0))</f>
        <v>46148</v>
      </c>
      <c r="I201" s="143">
        <f t="array" ref="I201">INDEX([22]Monitoring!$I$6:$I$582,MATCH(1,([22]Monitoring!$D$6:$D$582=$D201)*([22]Monitoring!$D$6:$D$582=$D201),0))</f>
        <v>689</v>
      </c>
      <c r="J201" s="9">
        <f t="array" ref="J201">IFERROR(I201/G201*100,0)</f>
        <v>18.017782426778243</v>
      </c>
      <c r="K201" s="143">
        <f t="array" ref="K201">INDEX([22]Monitoring!$J$6:$J$582,MATCH(1,([22]Monitoring!$D$6:$D$582=$D201)*([22]Monitoring!$D$6:$D$582=$D201),0))</f>
        <v>41</v>
      </c>
      <c r="L201" s="9">
        <f t="shared" si="3"/>
        <v>5.9506531204644411</v>
      </c>
      <c r="M201" s="8" t="str">
        <f t="array" ref="M201">IF(L201&gt;5,"Perlu Pengendalian",IF(AND(L201&gt;=0,I201&gt;0),"Tidak Perlu Pengendalian","Belum Sensus"))</f>
        <v>Perlu Pengendalian</v>
      </c>
    </row>
    <row r="202" spans="1:13" outlineLevel="1" x14ac:dyDescent="0.15">
      <c r="A202" s="8" t="s">
        <v>13</v>
      </c>
      <c r="B202" s="8" t="s">
        <v>47</v>
      </c>
      <c r="C202" s="8" t="s">
        <v>216</v>
      </c>
      <c r="D202" s="8" t="s">
        <v>219</v>
      </c>
      <c r="E202" s="9">
        <v>34.869999999999997</v>
      </c>
      <c r="F202" s="8" t="s">
        <v>132</v>
      </c>
      <c r="G202" s="10">
        <v>5139</v>
      </c>
      <c r="H202" s="11">
        <f t="array" ref="H202">INDEX([22]Monitoring!$H$6:$H$582,MATCH(1,([22]Monitoring!$D$6:$D$582=$D202)*([22]Monitoring!$D$6:$D$582=$D202),0))</f>
        <v>46148</v>
      </c>
      <c r="I202" s="143">
        <f t="array" ref="I202">INDEX([22]Monitoring!$I$6:$I$582,MATCH(1,([22]Monitoring!$D$6:$D$582=$D202)*([22]Monitoring!$D$6:$D$582=$D202),0))</f>
        <v>898</v>
      </c>
      <c r="J202" s="9">
        <f t="array" ref="J202">IFERROR(I202/G202*100,0)</f>
        <v>17.474216773691378</v>
      </c>
      <c r="K202" s="143">
        <f t="array" ref="K202">INDEX([22]Monitoring!$J$6:$J$582,MATCH(1,([22]Monitoring!$D$6:$D$582=$D202)*([22]Monitoring!$D$6:$D$582=$D202),0))</f>
        <v>112</v>
      </c>
      <c r="L202" s="9">
        <f t="shared" si="3"/>
        <v>12.472160356347439</v>
      </c>
      <c r="M202" s="8" t="str">
        <f t="array" ref="M202">IF(L202&gt;5,"Perlu Pengendalian",IF(AND(L202&gt;=0,I202&gt;0),"Tidak Perlu Pengendalian","Belum Sensus"))</f>
        <v>Perlu Pengendalian</v>
      </c>
    </row>
    <row r="203" spans="1:13" outlineLevel="1" x14ac:dyDescent="0.15">
      <c r="A203" s="8" t="s">
        <v>13</v>
      </c>
      <c r="B203" s="8" t="s">
        <v>47</v>
      </c>
      <c r="C203" s="8" t="s">
        <v>216</v>
      </c>
      <c r="D203" s="8" t="s">
        <v>220</v>
      </c>
      <c r="E203" s="9">
        <v>46.16</v>
      </c>
      <c r="F203" s="8" t="s">
        <v>16</v>
      </c>
      <c r="G203" s="10">
        <v>6347</v>
      </c>
      <c r="H203" s="11">
        <f t="array" ref="H203">INDEX([22]Monitoring!$H$6:$H$582,MATCH(1,([22]Monitoring!$D$6:$D$582=$D203)*([22]Monitoring!$D$6:$D$582=$D203),0))</f>
        <v>46148</v>
      </c>
      <c r="I203" s="143">
        <f t="array" ref="I203">INDEX([22]Monitoring!$I$6:$I$582,MATCH(1,([22]Monitoring!$D$6:$D$582=$D203)*([22]Monitoring!$D$6:$D$582=$D203),0))</f>
        <v>329</v>
      </c>
      <c r="J203" s="9">
        <f t="array" ref="J203">IFERROR(I203/G203*100,0)</f>
        <v>5.183551284071215</v>
      </c>
      <c r="K203" s="143">
        <f t="array" ref="K203">INDEX([22]Monitoring!$J$6:$J$582,MATCH(1,([22]Monitoring!$D$6:$D$582=$D203)*([22]Monitoring!$D$6:$D$582=$D203),0))</f>
        <v>21</v>
      </c>
      <c r="L203" s="9">
        <f t="shared" si="3"/>
        <v>6.3829787234042552</v>
      </c>
      <c r="M203" s="8" t="str">
        <f t="array" ref="M203">IF(L203&gt;5,"Perlu Pengendalian",IF(AND(L203&gt;=0,I203&gt;0),"Tidak Perlu Pengendalian","Belum Sensus"))</f>
        <v>Perlu Pengendalian</v>
      </c>
    </row>
    <row r="204" spans="1:13" outlineLevel="1" x14ac:dyDescent="0.15">
      <c r="A204" s="8" t="s">
        <v>13</v>
      </c>
      <c r="B204" s="8" t="s">
        <v>47</v>
      </c>
      <c r="C204" s="8" t="s">
        <v>216</v>
      </c>
      <c r="D204" s="8" t="s">
        <v>221</v>
      </c>
      <c r="E204" s="9">
        <v>22.47</v>
      </c>
      <c r="F204" s="8" t="s">
        <v>16</v>
      </c>
      <c r="G204" s="10">
        <v>3111</v>
      </c>
      <c r="H204" s="11">
        <f t="array" ref="H204">INDEX([22]Monitoring!$H$6:$H$582,MATCH(1,([22]Monitoring!$D$6:$D$582=$D204)*([22]Monitoring!$D$6:$D$582=$D204),0))</f>
        <v>46149</v>
      </c>
      <c r="I204" s="143">
        <f t="array" ref="I204">INDEX([22]Monitoring!$I$6:$I$582,MATCH(1,([22]Monitoring!$D$6:$D$582=$D204)*([22]Monitoring!$D$6:$D$582=$D204),0))</f>
        <v>327</v>
      </c>
      <c r="J204" s="9">
        <f t="array" ref="J204">IFERROR(I204/G204*100,0)</f>
        <v>10.511089681774349</v>
      </c>
      <c r="K204" s="143">
        <f t="array" ref="K204">INDEX([22]Monitoring!$J$6:$J$582,MATCH(1,([22]Monitoring!$D$6:$D$582=$D204)*([22]Monitoring!$D$6:$D$582=$D204),0))</f>
        <v>27</v>
      </c>
      <c r="L204" s="9">
        <f t="shared" si="3"/>
        <v>8.2568807339449553</v>
      </c>
      <c r="M204" s="8" t="str">
        <f t="array" ref="M204">IF(L204&gt;5,"Perlu Pengendalian",IF(AND(L204&gt;=0,I204&gt;0),"Tidak Perlu Pengendalian","Belum Sensus"))</f>
        <v>Perlu Pengendalian</v>
      </c>
    </row>
    <row r="205" spans="1:13" outlineLevel="1" x14ac:dyDescent="0.15">
      <c r="A205" s="8" t="s">
        <v>13</v>
      </c>
      <c r="B205" s="8" t="s">
        <v>47</v>
      </c>
      <c r="C205" s="8" t="s">
        <v>216</v>
      </c>
      <c r="D205" s="8" t="s">
        <v>222</v>
      </c>
      <c r="E205" s="9">
        <v>25.91</v>
      </c>
      <c r="F205" s="8" t="s">
        <v>16</v>
      </c>
      <c r="G205" s="10">
        <v>3926</v>
      </c>
      <c r="H205" s="11">
        <f t="array" ref="H205">INDEX([22]Monitoring!$H$6:$H$582,MATCH(1,([22]Monitoring!$D$6:$D$582=$D205)*([22]Monitoring!$D$6:$D$582=$D205),0))</f>
        <v>46149</v>
      </c>
      <c r="I205" s="143">
        <f t="array" ref="I205">INDEX([22]Monitoring!$I$6:$I$582,MATCH(1,([22]Monitoring!$D$6:$D$582=$D205)*([22]Monitoring!$D$6:$D$582=$D205),0))</f>
        <v>397</v>
      </c>
      <c r="J205" s="9">
        <f t="array" ref="J205">IFERROR(I205/G205*100,0)</f>
        <v>10.112073357106469</v>
      </c>
      <c r="K205" s="143">
        <f t="array" ref="K205">INDEX([22]Monitoring!$J$6:$J$582,MATCH(1,([22]Monitoring!$D$6:$D$582=$D205)*([22]Monitoring!$D$6:$D$582=$D205),0))</f>
        <v>121</v>
      </c>
      <c r="L205" s="9">
        <f t="shared" si="3"/>
        <v>30.478589420654913</v>
      </c>
      <c r="M205" s="8" t="str">
        <f t="array" ref="M205">IF(L205&gt;5,"Perlu Pengendalian",IF(AND(L205&gt;=0,I205&gt;0),"Tidak Perlu Pengendalian","Belum Sensus"))</f>
        <v>Perlu Pengendalian</v>
      </c>
    </row>
    <row r="206" spans="1:13" outlineLevel="1" x14ac:dyDescent="0.15">
      <c r="A206" s="8" t="s">
        <v>13</v>
      </c>
      <c r="B206" s="8" t="s">
        <v>47</v>
      </c>
      <c r="C206" s="8" t="s">
        <v>216</v>
      </c>
      <c r="D206" s="8" t="s">
        <v>223</v>
      </c>
      <c r="E206" s="9">
        <v>25.91</v>
      </c>
      <c r="F206" s="8" t="s">
        <v>16</v>
      </c>
      <c r="G206" s="10">
        <v>3884</v>
      </c>
      <c r="H206" s="11">
        <f t="array" ref="H206">INDEX([22]Monitoring!$H$6:$H$582,MATCH(1,([22]Monitoring!$D$6:$D$582=$D206)*([22]Monitoring!$D$6:$D$582=$D206),0))</f>
        <v>46149</v>
      </c>
      <c r="I206" s="143">
        <f t="array" ref="I206">INDEX([22]Monitoring!$I$6:$I$582,MATCH(1,([22]Monitoring!$D$6:$D$582=$D206)*([22]Monitoring!$D$6:$D$582=$D206),0))</f>
        <v>285</v>
      </c>
      <c r="J206" s="9">
        <f t="array" ref="J206">IFERROR(I206/G206*100,0)</f>
        <v>7.3377960865087539</v>
      </c>
      <c r="K206" s="143">
        <f t="array" ref="K206">INDEX([22]Monitoring!$J$6:$J$582,MATCH(1,([22]Monitoring!$D$6:$D$582=$D206)*([22]Monitoring!$D$6:$D$582=$D206),0))</f>
        <v>27</v>
      </c>
      <c r="L206" s="9">
        <f t="shared" si="3"/>
        <v>9.4736842105263168</v>
      </c>
      <c r="M206" s="8" t="str">
        <f t="array" ref="M206">IF(L206&gt;5,"Perlu Pengendalian",IF(AND(L206&gt;=0,I206&gt;0),"Tidak Perlu Pengendalian","Belum Sensus"))</f>
        <v>Perlu Pengendalian</v>
      </c>
    </row>
    <row r="207" spans="1:13" outlineLevel="1" x14ac:dyDescent="0.15">
      <c r="A207" s="8" t="s">
        <v>13</v>
      </c>
      <c r="B207" s="8" t="s">
        <v>47</v>
      </c>
      <c r="C207" s="8" t="s">
        <v>216</v>
      </c>
      <c r="D207" s="8" t="s">
        <v>224</v>
      </c>
      <c r="E207" s="9">
        <v>28.1</v>
      </c>
      <c r="F207" s="8" t="s">
        <v>16</v>
      </c>
      <c r="G207" s="10">
        <v>3751</v>
      </c>
      <c r="H207" s="11">
        <f t="array" ref="H207">INDEX([22]Monitoring!$H$6:$H$582,MATCH(1,([22]Monitoring!$D$6:$D$582=$D207)*([22]Monitoring!$D$6:$D$582=$D207),0))</f>
        <v>46149</v>
      </c>
      <c r="I207" s="143">
        <f t="array" ref="I207">INDEX([22]Monitoring!$I$6:$I$582,MATCH(1,([22]Monitoring!$D$6:$D$582=$D207)*([22]Monitoring!$D$6:$D$582=$D207),0))</f>
        <v>389</v>
      </c>
      <c r="J207" s="9">
        <f t="array" ref="J207">IFERROR(I207/G207*100,0)</f>
        <v>10.370567848573714</v>
      </c>
      <c r="K207" s="143">
        <f t="array" ref="K207">INDEX([22]Monitoring!$J$6:$J$582,MATCH(1,([22]Monitoring!$D$6:$D$582=$D207)*([22]Monitoring!$D$6:$D$582=$D207),0))</f>
        <v>45</v>
      </c>
      <c r="L207" s="9">
        <f t="shared" si="3"/>
        <v>11.568123393316196</v>
      </c>
      <c r="M207" s="8" t="str">
        <f t="array" ref="M207">IF(L207&gt;5,"Perlu Pengendalian",IF(AND(L207&gt;=0,I207&gt;0),"Tidak Perlu Pengendalian","Belum Sensus"))</f>
        <v>Perlu Pengendalian</v>
      </c>
    </row>
    <row r="208" spans="1:13" outlineLevel="1" x14ac:dyDescent="0.15">
      <c r="A208" s="8" t="s">
        <v>13</v>
      </c>
      <c r="B208" s="8" t="s">
        <v>47</v>
      </c>
      <c r="C208" s="8" t="s">
        <v>216</v>
      </c>
      <c r="D208" s="8" t="s">
        <v>225</v>
      </c>
      <c r="E208" s="9">
        <v>23.24</v>
      </c>
      <c r="F208" s="8" t="s">
        <v>16</v>
      </c>
      <c r="G208" s="10">
        <v>3613</v>
      </c>
      <c r="H208" s="11">
        <f t="array" ref="H208">INDEX([22]Monitoring!$H$6:$H$582,MATCH(1,([22]Monitoring!$D$6:$D$582=$D208)*([22]Monitoring!$D$6:$D$582=$D208),0))</f>
        <v>46150</v>
      </c>
      <c r="I208" s="143">
        <f t="array" ref="I208">INDEX([22]Monitoring!$I$6:$I$582,MATCH(1,([22]Monitoring!$D$6:$D$582=$D208)*([22]Monitoring!$D$6:$D$582=$D208),0))</f>
        <v>336</v>
      </c>
      <c r="J208" s="9">
        <f t="array" ref="J208">IFERROR(I208/G208*100,0)</f>
        <v>9.2997508995294762</v>
      </c>
      <c r="K208" s="143">
        <f t="array" ref="K208">INDEX([22]Monitoring!$J$6:$J$582,MATCH(1,([22]Monitoring!$D$6:$D$582=$D208)*([22]Monitoring!$D$6:$D$582=$D208),0))</f>
        <v>67</v>
      </c>
      <c r="L208" s="9">
        <f t="shared" si="3"/>
        <v>19.940476190476193</v>
      </c>
      <c r="M208" s="8" t="str">
        <f t="array" ref="M208">IF(L208&gt;5,"Perlu Pengendalian",IF(AND(L208&gt;=0,I208&gt;0),"Tidak Perlu Pengendalian","Belum Sensus"))</f>
        <v>Perlu Pengendalian</v>
      </c>
    </row>
    <row r="209" spans="1:13" outlineLevel="1" x14ac:dyDescent="0.15">
      <c r="A209" s="8" t="s">
        <v>13</v>
      </c>
      <c r="B209" s="8" t="s">
        <v>47</v>
      </c>
      <c r="C209" s="8" t="s">
        <v>216</v>
      </c>
      <c r="D209" s="8" t="s">
        <v>226</v>
      </c>
      <c r="E209" s="9">
        <v>24.19</v>
      </c>
      <c r="F209" s="8" t="s">
        <v>16</v>
      </c>
      <c r="G209" s="10">
        <v>3435</v>
      </c>
      <c r="H209" s="11">
        <f t="array" ref="H209">INDEX([22]Monitoring!$H$6:$H$582,MATCH(1,([22]Monitoring!$D$6:$D$582=$D209)*([22]Monitoring!$D$6:$D$582=$D209),0))</f>
        <v>46150</v>
      </c>
      <c r="I209" s="143">
        <f t="array" ref="I209">INDEX([22]Monitoring!$I$6:$I$582,MATCH(1,([22]Monitoring!$D$6:$D$582=$D209)*([22]Monitoring!$D$6:$D$582=$D209),0))</f>
        <v>321</v>
      </c>
      <c r="J209" s="9">
        <f t="array" ref="J209">IFERROR(I209/G209*100,0)</f>
        <v>9.3449781659388655</v>
      </c>
      <c r="K209" s="143">
        <f t="array" ref="K209">INDEX([22]Monitoring!$J$6:$J$582,MATCH(1,([22]Monitoring!$D$6:$D$582=$D209)*([22]Monitoring!$D$6:$D$582=$D209),0))</f>
        <v>58</v>
      </c>
      <c r="L209" s="9">
        <f t="shared" si="3"/>
        <v>18.068535825545169</v>
      </c>
      <c r="M209" s="8" t="str">
        <f t="array" ref="M209">IF(L209&gt;5,"Perlu Pengendalian",IF(AND(L209&gt;=0,I209&gt;0),"Tidak Perlu Pengendalian","Belum Sensus"))</f>
        <v>Perlu Pengendalian</v>
      </c>
    </row>
    <row r="210" spans="1:13" outlineLevel="1" x14ac:dyDescent="0.15">
      <c r="A210" s="8" t="s">
        <v>13</v>
      </c>
      <c r="B210" s="8" t="s">
        <v>47</v>
      </c>
      <c r="C210" s="8" t="s">
        <v>216</v>
      </c>
      <c r="D210" s="8" t="s">
        <v>227</v>
      </c>
      <c r="E210" s="9">
        <v>23.35</v>
      </c>
      <c r="F210" s="8" t="s">
        <v>16</v>
      </c>
      <c r="G210" s="10">
        <v>3594</v>
      </c>
      <c r="H210" s="11">
        <f t="array" ref="H210">INDEX([22]Monitoring!$H$6:$H$582,MATCH(1,([22]Monitoring!$D$6:$D$582=$D210)*([22]Monitoring!$D$6:$D$582=$D210),0))</f>
        <v>46150</v>
      </c>
      <c r="I210" s="143">
        <f t="array" ref="I210">INDEX([22]Monitoring!$I$6:$I$582,MATCH(1,([22]Monitoring!$D$6:$D$582=$D210)*([22]Monitoring!$D$6:$D$582=$D210),0))</f>
        <v>354</v>
      </c>
      <c r="J210" s="9">
        <f t="array" ref="J210">IFERROR(I210/G210*100,0)</f>
        <v>9.8497495826377293</v>
      </c>
      <c r="K210" s="143">
        <f t="array" ref="K210">INDEX([22]Monitoring!$J$6:$J$582,MATCH(1,([22]Monitoring!$D$6:$D$582=$D210)*([22]Monitoring!$D$6:$D$582=$D210),0))</f>
        <v>44</v>
      </c>
      <c r="L210" s="9">
        <f t="shared" si="3"/>
        <v>12.429378531073446</v>
      </c>
      <c r="M210" s="8" t="str">
        <f t="array" ref="M210">IF(L210&gt;5,"Perlu Pengendalian",IF(AND(L210&gt;=0,I210&gt;0),"Tidak Perlu Pengendalian","Belum Sensus"))</f>
        <v>Perlu Pengendalian</v>
      </c>
    </row>
    <row r="211" spans="1:13" outlineLevel="1" x14ac:dyDescent="0.15">
      <c r="A211" s="8" t="s">
        <v>13</v>
      </c>
      <c r="B211" s="8" t="s">
        <v>47</v>
      </c>
      <c r="C211" s="8" t="s">
        <v>216</v>
      </c>
      <c r="D211" s="8" t="s">
        <v>228</v>
      </c>
      <c r="E211" s="9">
        <v>24.79</v>
      </c>
      <c r="F211" s="8" t="s">
        <v>132</v>
      </c>
      <c r="G211" s="10">
        <v>3166</v>
      </c>
      <c r="H211" s="11">
        <f t="array" ref="H211">INDEX([22]Monitoring!$H$6:$H$582,MATCH(1,([22]Monitoring!$D$6:$D$582=$D211)*([22]Monitoring!$D$6:$D$582=$D211),0))</f>
        <v>46157</v>
      </c>
      <c r="I211" s="143">
        <f t="array" ref="I211">INDEX([22]Monitoring!$I$6:$I$582,MATCH(1,([22]Monitoring!$D$6:$D$582=$D211)*([22]Monitoring!$D$6:$D$582=$D211),0))</f>
        <v>344</v>
      </c>
      <c r="J211" s="9">
        <f t="array" ref="J211">IFERROR(I211/G211*100,0)</f>
        <v>10.865445356917245</v>
      </c>
      <c r="K211" s="143">
        <f t="array" ref="K211">INDEX([22]Monitoring!$J$6:$J$582,MATCH(1,([22]Monitoring!$D$6:$D$582=$D211)*([22]Monitoring!$D$6:$D$582=$D211),0))</f>
        <v>20</v>
      </c>
      <c r="L211" s="9">
        <f t="shared" si="3"/>
        <v>5.8139534883720927</v>
      </c>
      <c r="M211" s="8" t="str">
        <f t="array" ref="M211">IF(L211&gt;5,"Perlu Pengendalian",IF(AND(L211&gt;=0,I211&gt;0),"Tidak Perlu Pengendalian","Belum Sensus"))</f>
        <v>Perlu Pengendalian</v>
      </c>
    </row>
    <row r="212" spans="1:13" outlineLevel="1" x14ac:dyDescent="0.15">
      <c r="A212" s="8" t="s">
        <v>13</v>
      </c>
      <c r="B212" s="8" t="s">
        <v>47</v>
      </c>
      <c r="C212" s="8" t="s">
        <v>216</v>
      </c>
      <c r="D212" s="8" t="s">
        <v>229</v>
      </c>
      <c r="E212" s="9">
        <v>23.28</v>
      </c>
      <c r="F212" s="8" t="s">
        <v>132</v>
      </c>
      <c r="G212" s="10">
        <v>3277</v>
      </c>
      <c r="H212" s="11">
        <f t="array" ref="H212">INDEX([22]Monitoring!$H$6:$H$582,MATCH(1,([22]Monitoring!$D$6:$D$582=$D212)*([22]Monitoring!$D$6:$D$582=$D212),0))</f>
        <v>46155</v>
      </c>
      <c r="I212" s="143">
        <f t="array" ref="I212">INDEX([22]Monitoring!$I$6:$I$582,MATCH(1,([22]Monitoring!$D$6:$D$582=$D212)*([22]Monitoring!$D$6:$D$582=$D212),0))</f>
        <v>328</v>
      </c>
      <c r="J212" s="9">
        <f t="array" ref="J212">IFERROR(I212/G212*100,0)</f>
        <v>10.00915471467806</v>
      </c>
      <c r="K212" s="143">
        <f t="array" ref="K212">INDEX([22]Monitoring!$J$6:$J$582,MATCH(1,([22]Monitoring!$D$6:$D$582=$D212)*([22]Monitoring!$D$6:$D$582=$D212),0))</f>
        <v>19</v>
      </c>
      <c r="L212" s="9">
        <f t="shared" ref="L212:L275" si="4">IFERROR(K212/I212*100,0)</f>
        <v>5.7926829268292686</v>
      </c>
      <c r="M212" s="8" t="str">
        <f t="array" ref="M212">IF(L212&gt;5,"Perlu Pengendalian",IF(AND(L212&gt;=0,I212&gt;0),"Tidak Perlu Pengendalian","Belum Sensus"))</f>
        <v>Perlu Pengendalian</v>
      </c>
    </row>
    <row r="213" spans="1:13" outlineLevel="1" x14ac:dyDescent="0.15">
      <c r="A213" s="8" t="s">
        <v>13</v>
      </c>
      <c r="B213" s="8" t="s">
        <v>47</v>
      </c>
      <c r="C213" s="8" t="s">
        <v>216</v>
      </c>
      <c r="D213" s="8" t="s">
        <v>230</v>
      </c>
      <c r="E213" s="9">
        <v>24.58</v>
      </c>
      <c r="F213" s="8" t="s">
        <v>132</v>
      </c>
      <c r="G213" s="10">
        <v>3545</v>
      </c>
      <c r="H213" s="11">
        <f t="array" ref="H213">INDEX([22]Monitoring!$H$6:$H$582,MATCH(1,([22]Monitoring!$D$6:$D$582=$D213)*([22]Monitoring!$D$6:$D$582=$D213),0))</f>
        <v>46155</v>
      </c>
      <c r="I213" s="143">
        <f t="array" ref="I213">INDEX([22]Monitoring!$I$6:$I$582,MATCH(1,([22]Monitoring!$D$6:$D$582=$D213)*([22]Monitoring!$D$6:$D$582=$D213),0))</f>
        <v>355</v>
      </c>
      <c r="J213" s="9">
        <f t="array" ref="J213">IFERROR(I213/G213*100,0)</f>
        <v>10.01410437235543</v>
      </c>
      <c r="K213" s="143">
        <f t="array" ref="K213">INDEX([22]Monitoring!$J$6:$J$582,MATCH(1,([22]Monitoring!$D$6:$D$582=$D213)*([22]Monitoring!$D$6:$D$582=$D213),0))</f>
        <v>7</v>
      </c>
      <c r="L213" s="9">
        <f t="shared" si="4"/>
        <v>1.971830985915493</v>
      </c>
      <c r="M213" s="8" t="str">
        <f t="array" ref="M213">IF(L213&gt;5,"Perlu Pengendalian",IF(AND(L213&gt;=0,I213&gt;0),"Tidak Perlu Pengendalian","Belum Sensus"))</f>
        <v>Tidak Perlu Pengendalian</v>
      </c>
    </row>
    <row r="214" spans="1:13" outlineLevel="1" x14ac:dyDescent="0.15">
      <c r="A214" s="8" t="s">
        <v>13</v>
      </c>
      <c r="B214" s="8" t="s">
        <v>47</v>
      </c>
      <c r="C214" s="8" t="s">
        <v>216</v>
      </c>
      <c r="D214" s="8" t="s">
        <v>231</v>
      </c>
      <c r="E214" s="9">
        <v>31.06</v>
      </c>
      <c r="F214" s="8" t="s">
        <v>132</v>
      </c>
      <c r="G214" s="10">
        <v>4803</v>
      </c>
      <c r="H214" s="11">
        <f t="array" ref="H214">INDEX([22]Monitoring!$H$6:$H$582,MATCH(1,([22]Monitoring!$D$6:$D$582=$D214)*([22]Monitoring!$D$6:$D$582=$D214),0))</f>
        <v>46154</v>
      </c>
      <c r="I214" s="143">
        <f t="array" ref="I214">INDEX([22]Monitoring!$I$6:$I$582,MATCH(1,([22]Monitoring!$D$6:$D$582=$D214)*([22]Monitoring!$D$6:$D$582=$D214),0))</f>
        <v>477</v>
      </c>
      <c r="J214" s="9">
        <f t="array" ref="J214">IFERROR(I214/G214*100,0)</f>
        <v>9.9312929419113054</v>
      </c>
      <c r="K214" s="143">
        <f t="array" ref="K214">INDEX([22]Monitoring!$J$6:$J$582,MATCH(1,([22]Monitoring!$D$6:$D$582=$D214)*([22]Monitoring!$D$6:$D$582=$D214),0))</f>
        <v>15</v>
      </c>
      <c r="L214" s="9">
        <f t="shared" si="4"/>
        <v>3.1446540880503147</v>
      </c>
      <c r="M214" s="8" t="str">
        <f t="array" ref="M214">IF(L214&gt;5,"Perlu Pengendalian",IF(AND(L214&gt;=0,I214&gt;0),"Tidak Perlu Pengendalian","Belum Sensus"))</f>
        <v>Tidak Perlu Pengendalian</v>
      </c>
    </row>
    <row r="215" spans="1:13" outlineLevel="1" x14ac:dyDescent="0.15">
      <c r="A215" s="8" t="s">
        <v>13</v>
      </c>
      <c r="B215" s="8" t="s">
        <v>47</v>
      </c>
      <c r="C215" s="8" t="s">
        <v>216</v>
      </c>
      <c r="D215" s="8" t="s">
        <v>232</v>
      </c>
      <c r="E215" s="9">
        <v>46.6</v>
      </c>
      <c r="F215" s="8" t="s">
        <v>16</v>
      </c>
      <c r="G215" s="10">
        <v>7036</v>
      </c>
      <c r="H215" s="11">
        <f t="array" ref="H215">INDEX([22]Monitoring!$H$6:$H$582,MATCH(1,([22]Monitoring!$D$6:$D$582=$D215)*([22]Monitoring!$D$6:$D$582=$D215),0))</f>
        <v>46154</v>
      </c>
      <c r="I215" s="143">
        <f t="array" ref="I215">INDEX([22]Monitoring!$I$6:$I$582,MATCH(1,([22]Monitoring!$D$6:$D$582=$D215)*([22]Monitoring!$D$6:$D$582=$D215),0))</f>
        <v>299</v>
      </c>
      <c r="J215" s="9">
        <f t="array" ref="J215">IFERROR(I215/G215*100,0)</f>
        <v>4.2495736213757818</v>
      </c>
      <c r="K215" s="143">
        <f t="array" ref="K215">INDEX([22]Monitoring!$J$6:$J$582,MATCH(1,([22]Monitoring!$D$6:$D$582=$D215)*([22]Monitoring!$D$6:$D$582=$D215),0))</f>
        <v>19</v>
      </c>
      <c r="L215" s="9">
        <f t="shared" si="4"/>
        <v>6.3545150501672243</v>
      </c>
      <c r="M215" s="8" t="str">
        <f t="array" ref="M215">IF(L215&gt;5,"Perlu Pengendalian",IF(AND(L215&gt;=0,I215&gt;0),"Tidak Perlu Pengendalian","Belum Sensus"))</f>
        <v>Perlu Pengendalian</v>
      </c>
    </row>
    <row r="216" spans="1:13" outlineLevel="1" x14ac:dyDescent="0.15">
      <c r="A216" s="8" t="s">
        <v>13</v>
      </c>
      <c r="B216" s="8" t="s">
        <v>47</v>
      </c>
      <c r="C216" s="8" t="s">
        <v>216</v>
      </c>
      <c r="D216" s="8" t="s">
        <v>233</v>
      </c>
      <c r="E216" s="9">
        <v>21.17</v>
      </c>
      <c r="F216" s="8" t="s">
        <v>16</v>
      </c>
      <c r="G216" s="10">
        <v>3311</v>
      </c>
      <c r="H216" s="11">
        <f t="array" ref="H216">INDEX([22]Monitoring!$H$6:$H$582,MATCH(1,([22]Monitoring!$D$6:$D$582=$D216)*([22]Monitoring!$D$6:$D$582=$D216),0))</f>
        <v>46153</v>
      </c>
      <c r="I216" s="143">
        <f t="array" ref="I216">INDEX([22]Monitoring!$I$6:$I$582,MATCH(1,([22]Monitoring!$D$6:$D$582=$D216)*([22]Monitoring!$D$6:$D$582=$D216),0))</f>
        <v>342</v>
      </c>
      <c r="J216" s="9">
        <f t="array" ref="J216">IFERROR(I216/G216*100,0)</f>
        <v>10.329205678042888</v>
      </c>
      <c r="K216" s="143">
        <f t="array" ref="K216">INDEX([22]Monitoring!$J$6:$J$582,MATCH(1,([22]Monitoring!$D$6:$D$582=$D216)*([22]Monitoring!$D$6:$D$582=$D216),0))</f>
        <v>20</v>
      </c>
      <c r="L216" s="9">
        <f t="shared" si="4"/>
        <v>5.8479532163742682</v>
      </c>
      <c r="M216" s="8" t="str">
        <f t="array" ref="M216">IF(L216&gt;5,"Perlu Pengendalian",IF(AND(L216&gt;=0,I216&gt;0),"Tidak Perlu Pengendalian","Belum Sensus"))</f>
        <v>Perlu Pengendalian</v>
      </c>
    </row>
    <row r="217" spans="1:13" outlineLevel="1" x14ac:dyDescent="0.15">
      <c r="A217" s="8" t="s">
        <v>13</v>
      </c>
      <c r="B217" s="8" t="s">
        <v>47</v>
      </c>
      <c r="C217" s="8" t="s">
        <v>216</v>
      </c>
      <c r="D217" s="8" t="s">
        <v>234</v>
      </c>
      <c r="E217" s="9">
        <v>23.9</v>
      </c>
      <c r="F217" s="8" t="s">
        <v>16</v>
      </c>
      <c r="G217" s="10">
        <v>3605</v>
      </c>
      <c r="H217" s="11">
        <f t="array" ref="H217">INDEX([22]Monitoring!$H$6:$H$582,MATCH(1,([22]Monitoring!$D$6:$D$582=$D217)*([22]Monitoring!$D$6:$D$582=$D217),0))</f>
        <v>46153</v>
      </c>
      <c r="I217" s="143">
        <f t="array" ref="I217">INDEX([22]Monitoring!$I$6:$I$582,MATCH(1,([22]Monitoring!$D$6:$D$582=$D217)*([22]Monitoring!$D$6:$D$582=$D217),0))</f>
        <v>313</v>
      </c>
      <c r="J217" s="9">
        <f t="array" ref="J217">IFERROR(I217/G217*100,0)</f>
        <v>8.6823855755894588</v>
      </c>
      <c r="K217" s="143">
        <f t="array" ref="K217">INDEX([22]Monitoring!$J$6:$J$582,MATCH(1,([22]Monitoring!$D$6:$D$582=$D217)*([22]Monitoring!$D$6:$D$582=$D217),0))</f>
        <v>13</v>
      </c>
      <c r="L217" s="9">
        <f t="shared" si="4"/>
        <v>4.1533546325878596</v>
      </c>
      <c r="M217" s="8" t="str">
        <f t="array" ref="M217">IF(L217&gt;5,"Perlu Pengendalian",IF(AND(L217&gt;=0,I217&gt;0),"Tidak Perlu Pengendalian","Belum Sensus"))</f>
        <v>Tidak Perlu Pengendalian</v>
      </c>
    </row>
    <row r="218" spans="1:13" outlineLevel="1" x14ac:dyDescent="0.15">
      <c r="A218" s="8" t="s">
        <v>13</v>
      </c>
      <c r="B218" s="8" t="s">
        <v>47</v>
      </c>
      <c r="C218" s="8" t="s">
        <v>216</v>
      </c>
      <c r="D218" s="8" t="s">
        <v>235</v>
      </c>
      <c r="E218" s="9">
        <v>26.4</v>
      </c>
      <c r="F218" s="8" t="s">
        <v>16</v>
      </c>
      <c r="G218" s="10">
        <v>4024</v>
      </c>
      <c r="H218" s="11">
        <f t="array" ref="H218">INDEX([22]Monitoring!$H$6:$H$582,MATCH(1,([22]Monitoring!$D$6:$D$582=$D218)*([22]Monitoring!$D$6:$D$582=$D218),0))</f>
        <v>46151</v>
      </c>
      <c r="I218" s="143">
        <f t="array" ref="I218">INDEX([22]Monitoring!$I$6:$I$582,MATCH(1,([22]Monitoring!$D$6:$D$582=$D218)*([22]Monitoring!$D$6:$D$582=$D218),0))</f>
        <v>387</v>
      </c>
      <c r="J218" s="9">
        <f t="array" ref="J218">IFERROR(I218/G218*100,0)</f>
        <v>9.6172962226640166</v>
      </c>
      <c r="K218" s="143">
        <f t="array" ref="K218">INDEX([22]Monitoring!$J$6:$J$582,MATCH(1,([22]Monitoring!$D$6:$D$582=$D218)*([22]Monitoring!$D$6:$D$582=$D218),0))</f>
        <v>41</v>
      </c>
      <c r="L218" s="9">
        <f t="shared" si="4"/>
        <v>10.594315245478036</v>
      </c>
      <c r="M218" s="8" t="str">
        <f t="array" ref="M218">IF(L218&gt;5,"Perlu Pengendalian",IF(AND(L218&gt;=0,I218&gt;0),"Tidak Perlu Pengendalian","Belum Sensus"))</f>
        <v>Perlu Pengendalian</v>
      </c>
    </row>
    <row r="219" spans="1:13" outlineLevel="1" x14ac:dyDescent="0.15">
      <c r="A219" s="8" t="s">
        <v>13</v>
      </c>
      <c r="B219" s="8" t="s">
        <v>47</v>
      </c>
      <c r="C219" s="8" t="s">
        <v>216</v>
      </c>
      <c r="D219" s="8" t="s">
        <v>236</v>
      </c>
      <c r="E219" s="9">
        <v>26.47</v>
      </c>
      <c r="F219" s="8" t="s">
        <v>16</v>
      </c>
      <c r="G219" s="10">
        <v>3915</v>
      </c>
      <c r="H219" s="11">
        <f t="array" ref="H219">INDEX([22]Monitoring!$H$6:$H$582,MATCH(1,([22]Monitoring!$D$6:$D$582=$D219)*([22]Monitoring!$D$6:$D$582=$D219),0))</f>
        <v>46151</v>
      </c>
      <c r="I219" s="143">
        <f t="array" ref="I219">INDEX([22]Monitoring!$I$6:$I$582,MATCH(1,([22]Monitoring!$D$6:$D$582=$D219)*([22]Monitoring!$D$6:$D$582=$D219),0))</f>
        <v>387</v>
      </c>
      <c r="J219" s="9">
        <f t="array" ref="J219">IFERROR(I219/G219*100,0)</f>
        <v>9.8850574712643677</v>
      </c>
      <c r="K219" s="143">
        <f t="array" ref="K219">INDEX([22]Monitoring!$J$6:$J$582,MATCH(1,([22]Monitoring!$D$6:$D$582=$D219)*([22]Monitoring!$D$6:$D$582=$D219),0))</f>
        <v>41</v>
      </c>
      <c r="L219" s="9">
        <f t="shared" si="4"/>
        <v>10.594315245478036</v>
      </c>
      <c r="M219" s="8" t="str">
        <f t="array" ref="M219">IF(L219&gt;5,"Perlu Pengendalian",IF(AND(L219&gt;=0,I219&gt;0),"Tidak Perlu Pengendalian","Belum Sensus"))</f>
        <v>Perlu Pengendalian</v>
      </c>
    </row>
    <row r="220" spans="1:13" outlineLevel="1" x14ac:dyDescent="0.15">
      <c r="A220" s="8" t="s">
        <v>13</v>
      </c>
      <c r="B220" s="8" t="s">
        <v>47</v>
      </c>
      <c r="C220" s="8" t="s">
        <v>216</v>
      </c>
      <c r="D220" s="8" t="s">
        <v>237</v>
      </c>
      <c r="E220" s="9">
        <v>22.7</v>
      </c>
      <c r="F220" s="8" t="s">
        <v>16</v>
      </c>
      <c r="G220" s="10">
        <v>3583</v>
      </c>
      <c r="H220" s="11">
        <f t="array" ref="H220">INDEX([22]Monitoring!$H$6:$H$582,MATCH(1,([22]Monitoring!$D$6:$D$582=$D220)*([22]Monitoring!$D$6:$D$582=$D220),0))</f>
        <v>46151</v>
      </c>
      <c r="I220" s="143">
        <f t="array" ref="I220">INDEX([22]Monitoring!$I$6:$I$582,MATCH(1,([22]Monitoring!$D$6:$D$582=$D220)*([22]Monitoring!$D$6:$D$582=$D220),0))</f>
        <v>369</v>
      </c>
      <c r="J220" s="9">
        <f t="array" ref="J220">IFERROR(I220/G220*100,0)</f>
        <v>10.298632430923806</v>
      </c>
      <c r="K220" s="143">
        <f t="array" ref="K220">INDEX([22]Monitoring!$J$6:$J$582,MATCH(1,([22]Monitoring!$D$6:$D$582=$D220)*([22]Monitoring!$D$6:$D$582=$D220),0))</f>
        <v>34</v>
      </c>
      <c r="L220" s="9">
        <f t="shared" si="4"/>
        <v>9.2140921409214087</v>
      </c>
      <c r="M220" s="8" t="str">
        <f t="array" ref="M220">IF(L220&gt;5,"Perlu Pengendalian",IF(AND(L220&gt;=0,I220&gt;0),"Tidak Perlu Pengendalian","Belum Sensus"))</f>
        <v>Perlu Pengendalian</v>
      </c>
    </row>
    <row r="221" spans="1:13" outlineLevel="1" x14ac:dyDescent="0.15">
      <c r="A221" s="8" t="s">
        <v>13</v>
      </c>
      <c r="B221" s="8" t="s">
        <v>47</v>
      </c>
      <c r="C221" s="8" t="s">
        <v>216</v>
      </c>
      <c r="D221" s="8" t="s">
        <v>238</v>
      </c>
      <c r="E221" s="9">
        <v>25.27</v>
      </c>
      <c r="F221" s="8" t="s">
        <v>16</v>
      </c>
      <c r="G221" s="10">
        <v>3807</v>
      </c>
      <c r="H221" s="11">
        <f t="array" ref="H221">INDEX([22]Monitoring!$H$6:$H$582,MATCH(1,([22]Monitoring!$D$6:$D$582=$D221)*([22]Monitoring!$D$6:$D$582=$D221),0))</f>
        <v>46150</v>
      </c>
      <c r="I221" s="143">
        <f t="array" ref="I221">INDEX([22]Monitoring!$I$6:$I$582,MATCH(1,([22]Monitoring!$D$6:$D$582=$D221)*([22]Monitoring!$D$6:$D$582=$D221),0))</f>
        <v>392</v>
      </c>
      <c r="J221" s="9">
        <f t="array" ref="J221">IFERROR(I221/G221*100,0)</f>
        <v>10.296821644339376</v>
      </c>
      <c r="K221" s="143">
        <f t="array" ref="K221">INDEX([22]Monitoring!$J$6:$J$582,MATCH(1,([22]Monitoring!$D$6:$D$582=$D221)*([22]Monitoring!$D$6:$D$582=$D221),0))</f>
        <v>40</v>
      </c>
      <c r="L221" s="9">
        <f t="shared" si="4"/>
        <v>10.204081632653061</v>
      </c>
      <c r="M221" s="8" t="str">
        <f t="array" ref="M221">IF(L221&gt;5,"Perlu Pengendalian",IF(AND(L221&gt;=0,I221&gt;0),"Tidak Perlu Pengendalian","Belum Sensus"))</f>
        <v>Perlu Pengendalian</v>
      </c>
    </row>
    <row r="222" spans="1:13" outlineLevel="1" x14ac:dyDescent="0.15">
      <c r="A222" s="8" t="s">
        <v>13</v>
      </c>
      <c r="B222" s="8" t="s">
        <v>47</v>
      </c>
      <c r="C222" s="8" t="s">
        <v>216</v>
      </c>
      <c r="D222" s="8" t="s">
        <v>239</v>
      </c>
      <c r="E222" s="9">
        <v>22.81</v>
      </c>
      <c r="F222" s="8" t="s">
        <v>16</v>
      </c>
      <c r="G222" s="10">
        <v>3605</v>
      </c>
      <c r="H222" s="11">
        <f t="array" ref="H222">INDEX([22]Monitoring!$H$6:$H$582,MATCH(1,([22]Monitoring!$D$6:$D$582=$D222)*([22]Monitoring!$D$6:$D$582=$D222),0))</f>
        <v>46150</v>
      </c>
      <c r="I222" s="143">
        <f t="array" ref="I222">INDEX([22]Monitoring!$I$6:$I$582,MATCH(1,([22]Monitoring!$D$6:$D$582=$D222)*([22]Monitoring!$D$6:$D$582=$D222),0))</f>
        <v>342</v>
      </c>
      <c r="J222" s="9">
        <f t="array" ref="J222">IFERROR(I222/G222*100,0)</f>
        <v>9.4868238557558957</v>
      </c>
      <c r="K222" s="143">
        <f t="array" ref="K222">INDEX([22]Monitoring!$J$6:$J$582,MATCH(1,([22]Monitoring!$D$6:$D$582=$D222)*([22]Monitoring!$D$6:$D$582=$D222),0))</f>
        <v>24</v>
      </c>
      <c r="L222" s="9">
        <f t="shared" si="4"/>
        <v>7.0175438596491224</v>
      </c>
      <c r="M222" s="8" t="str">
        <f t="array" ref="M222">IF(L222&gt;5,"Perlu Pengendalian",IF(AND(L222&gt;=0,I222&gt;0),"Tidak Perlu Pengendalian","Belum Sensus"))</f>
        <v>Perlu Pengendalian</v>
      </c>
    </row>
    <row r="223" spans="1:13" outlineLevel="1" x14ac:dyDescent="0.15">
      <c r="A223" s="8" t="s">
        <v>13</v>
      </c>
      <c r="B223" s="8" t="s">
        <v>47</v>
      </c>
      <c r="C223" s="8" t="s">
        <v>216</v>
      </c>
      <c r="D223" s="8" t="s">
        <v>240</v>
      </c>
      <c r="E223" s="9">
        <v>24.54</v>
      </c>
      <c r="F223" s="8" t="s">
        <v>132</v>
      </c>
      <c r="G223" s="10">
        <v>3193</v>
      </c>
      <c r="H223" s="11">
        <f t="array" ref="H223">INDEX([22]Monitoring!$H$6:$H$582,MATCH(1,([22]Monitoring!$D$6:$D$582=$D223)*([22]Monitoring!$D$6:$D$582=$D223),0))</f>
        <v>46155</v>
      </c>
      <c r="I223" s="143">
        <f t="array" ref="I223">INDEX([22]Monitoring!$I$6:$I$582,MATCH(1,([22]Monitoring!$D$6:$D$582=$D223)*([22]Monitoring!$D$6:$D$582=$D223),0))</f>
        <v>354</v>
      </c>
      <c r="J223" s="9">
        <f t="array" ref="J223">IFERROR(I223/G223*100,0)</f>
        <v>11.086752270591919</v>
      </c>
      <c r="K223" s="143">
        <f t="array" ref="K223">INDEX([22]Monitoring!$J$6:$J$582,MATCH(1,([22]Monitoring!$D$6:$D$582=$D223)*([22]Monitoring!$D$6:$D$582=$D223),0))</f>
        <v>24</v>
      </c>
      <c r="L223" s="9">
        <f t="shared" si="4"/>
        <v>6.7796610169491522</v>
      </c>
      <c r="M223" s="8" t="str">
        <f t="array" ref="M223">IF(L223&gt;5,"Perlu Pengendalian",IF(AND(L223&gt;=0,I223&gt;0),"Tidak Perlu Pengendalian","Belum Sensus"))</f>
        <v>Perlu Pengendalian</v>
      </c>
    </row>
    <row r="224" spans="1:13" outlineLevel="1" x14ac:dyDescent="0.15">
      <c r="A224" s="8" t="s">
        <v>13</v>
      </c>
      <c r="B224" s="8" t="s">
        <v>47</v>
      </c>
      <c r="C224" s="8" t="s">
        <v>216</v>
      </c>
      <c r="D224" s="8" t="s">
        <v>241</v>
      </c>
      <c r="E224" s="9">
        <v>25.27</v>
      </c>
      <c r="F224" s="8" t="s">
        <v>132</v>
      </c>
      <c r="G224" s="10">
        <v>3286</v>
      </c>
      <c r="H224" s="11">
        <f t="array" ref="H224">INDEX([22]Monitoring!$H$6:$H$582,MATCH(1,([22]Monitoring!$D$6:$D$582=$D224)*([22]Monitoring!$D$6:$D$582=$D224),0))</f>
        <v>46155</v>
      </c>
      <c r="I224" s="143">
        <f t="array" ref="I224">INDEX([22]Monitoring!$I$6:$I$582,MATCH(1,([22]Monitoring!$D$6:$D$582=$D224)*([22]Monitoring!$D$6:$D$582=$D224),0))</f>
        <v>359</v>
      </c>
      <c r="J224" s="9">
        <f t="array" ref="J224">IFERROR(I224/G224*100,0)</f>
        <v>10.925136944613511</v>
      </c>
      <c r="K224" s="143">
        <f t="array" ref="K224">INDEX([22]Monitoring!$J$6:$J$582,MATCH(1,([22]Monitoring!$D$6:$D$582=$D224)*([22]Monitoring!$D$6:$D$582=$D224),0))</f>
        <v>25</v>
      </c>
      <c r="L224" s="9">
        <f t="shared" si="4"/>
        <v>6.9637883008356551</v>
      </c>
      <c r="M224" s="8" t="str">
        <f t="array" ref="M224">IF(L224&gt;5,"Perlu Pengendalian",IF(AND(L224&gt;=0,I224&gt;0),"Tidak Perlu Pengendalian","Belum Sensus"))</f>
        <v>Perlu Pengendalian</v>
      </c>
    </row>
    <row r="225" spans="1:13" outlineLevel="1" x14ac:dyDescent="0.15">
      <c r="A225" s="8" t="s">
        <v>13</v>
      </c>
      <c r="B225" s="8" t="s">
        <v>47</v>
      </c>
      <c r="C225" s="8" t="s">
        <v>216</v>
      </c>
      <c r="D225" s="8" t="s">
        <v>242</v>
      </c>
      <c r="E225" s="9">
        <v>24.55</v>
      </c>
      <c r="F225" s="8" t="s">
        <v>132</v>
      </c>
      <c r="G225" s="10">
        <v>3529</v>
      </c>
      <c r="H225" s="11">
        <f t="array" ref="H225">INDEX([22]Monitoring!$H$6:$H$582,MATCH(1,([22]Monitoring!$D$6:$D$582=$D225)*([22]Monitoring!$D$6:$D$582=$D225),0))</f>
        <v>46155</v>
      </c>
      <c r="I225" s="143">
        <f t="array" ref="I225">INDEX([22]Monitoring!$I$6:$I$582,MATCH(1,([22]Monitoring!$D$6:$D$582=$D225)*([22]Monitoring!$D$6:$D$582=$D225),0))</f>
        <v>362</v>
      </c>
      <c r="J225" s="9">
        <f t="array" ref="J225">IFERROR(I225/G225*100,0)</f>
        <v>10.257863417398697</v>
      </c>
      <c r="K225" s="143">
        <f t="array" ref="K225">INDEX([22]Monitoring!$J$6:$J$582,MATCH(1,([22]Monitoring!$D$6:$D$582=$D225)*([22]Monitoring!$D$6:$D$582=$D225),0))</f>
        <v>9</v>
      </c>
      <c r="L225" s="9">
        <f t="shared" si="4"/>
        <v>2.4861878453038675</v>
      </c>
      <c r="M225" s="8" t="str">
        <f t="array" ref="M225">IF(L225&gt;5,"Perlu Pengendalian",IF(AND(L225&gt;=0,I225&gt;0),"Tidak Perlu Pengendalian","Belum Sensus"))</f>
        <v>Tidak Perlu Pengendalian</v>
      </c>
    </row>
    <row r="226" spans="1:13" outlineLevel="1" x14ac:dyDescent="0.15">
      <c r="A226" s="8" t="s">
        <v>13</v>
      </c>
      <c r="B226" s="8" t="s">
        <v>47</v>
      </c>
      <c r="C226" s="8" t="s">
        <v>216</v>
      </c>
      <c r="D226" s="8" t="s">
        <v>243</v>
      </c>
      <c r="E226" s="9">
        <v>29.51</v>
      </c>
      <c r="F226" s="8" t="s">
        <v>132</v>
      </c>
      <c r="G226" s="10">
        <v>4442</v>
      </c>
      <c r="H226" s="11">
        <f t="array" ref="H226">INDEX([22]Monitoring!$H$6:$H$582,MATCH(1,([22]Monitoring!$D$6:$D$582=$D226)*([22]Monitoring!$D$6:$D$582=$D226),0))</f>
        <v>46155</v>
      </c>
      <c r="I226" s="143">
        <f t="array" ref="I226">INDEX([22]Monitoring!$I$6:$I$582,MATCH(1,([22]Monitoring!$D$6:$D$582=$D226)*([22]Monitoring!$D$6:$D$582=$D226),0))</f>
        <v>441</v>
      </c>
      <c r="J226" s="9">
        <f t="array" ref="J226">IFERROR(I226/G226*100,0)</f>
        <v>9.9279603782080148</v>
      </c>
      <c r="K226" s="143">
        <f t="array" ref="K226">INDEX([22]Monitoring!$J$6:$J$582,MATCH(1,([22]Monitoring!$D$6:$D$582=$D226)*([22]Monitoring!$D$6:$D$582=$D226),0))</f>
        <v>9</v>
      </c>
      <c r="L226" s="9">
        <f t="shared" si="4"/>
        <v>2.0408163265306123</v>
      </c>
      <c r="M226" s="8" t="str">
        <f t="array" ref="M226">IF(L226&gt;5,"Perlu Pengendalian",IF(AND(L226&gt;=0,I226&gt;0),"Tidak Perlu Pengendalian","Belum Sensus"))</f>
        <v>Tidak Perlu Pengendalian</v>
      </c>
    </row>
    <row r="227" spans="1:13" outlineLevel="1" x14ac:dyDescent="0.15">
      <c r="A227" s="8" t="s">
        <v>13</v>
      </c>
      <c r="B227" s="8" t="s">
        <v>47</v>
      </c>
      <c r="C227" s="8" t="s">
        <v>216</v>
      </c>
      <c r="D227" s="8" t="s">
        <v>244</v>
      </c>
      <c r="E227" s="9">
        <v>23.38</v>
      </c>
      <c r="F227" s="8" t="s">
        <v>132</v>
      </c>
      <c r="G227" s="10">
        <v>3639</v>
      </c>
      <c r="H227" s="11">
        <f t="array" ref="H227">INDEX([22]Monitoring!$H$6:$H$582,MATCH(1,([22]Monitoring!$D$6:$D$582=$D227)*([22]Monitoring!$D$6:$D$582=$D227),0))</f>
        <v>46157</v>
      </c>
      <c r="I227" s="143">
        <f t="array" ref="I227">INDEX([22]Monitoring!$I$6:$I$582,MATCH(1,([22]Monitoring!$D$6:$D$582=$D227)*([22]Monitoring!$D$6:$D$582=$D227),0))</f>
        <v>367</v>
      </c>
      <c r="J227" s="9">
        <f t="array" ref="J227">IFERROR(I227/G227*100,0)</f>
        <v>10.085188238527069</v>
      </c>
      <c r="K227" s="143">
        <f t="array" ref="K227">INDEX([22]Monitoring!$J$6:$J$582,MATCH(1,([22]Monitoring!$D$6:$D$582=$D227)*([22]Monitoring!$D$6:$D$582=$D227),0))</f>
        <v>16</v>
      </c>
      <c r="L227" s="9">
        <f t="shared" si="4"/>
        <v>4.3596730245231603</v>
      </c>
      <c r="M227" s="8" t="str">
        <f t="array" ref="M227">IF(L227&gt;5,"Perlu Pengendalian",IF(AND(L227&gt;=0,I227&gt;0),"Tidak Perlu Pengendalian","Belum Sensus"))</f>
        <v>Tidak Perlu Pengendalian</v>
      </c>
    </row>
    <row r="228" spans="1:13" outlineLevel="1" x14ac:dyDescent="0.15">
      <c r="A228" s="8" t="s">
        <v>13</v>
      </c>
      <c r="B228" s="8" t="s">
        <v>47</v>
      </c>
      <c r="C228" s="8" t="s">
        <v>216</v>
      </c>
      <c r="D228" s="8" t="s">
        <v>245</v>
      </c>
      <c r="E228" s="9">
        <v>25.2</v>
      </c>
      <c r="F228" s="8" t="s">
        <v>16</v>
      </c>
      <c r="G228" s="10">
        <v>4053</v>
      </c>
      <c r="H228" s="11">
        <f t="array" ref="H228">INDEX([22]Monitoring!$H$6:$H$582,MATCH(1,([22]Monitoring!$D$6:$D$582=$D228)*([22]Monitoring!$D$6:$D$582=$D228),0))</f>
        <v>46157</v>
      </c>
      <c r="I228" s="143">
        <f t="array" ref="I228">INDEX([22]Monitoring!$I$6:$I$582,MATCH(1,([22]Monitoring!$D$6:$D$582=$D228)*([22]Monitoring!$D$6:$D$582=$D228),0))</f>
        <v>371</v>
      </c>
      <c r="J228" s="9">
        <f t="array" ref="J228">IFERROR(I228/G228*100,0)</f>
        <v>9.1537132987910184</v>
      </c>
      <c r="K228" s="143">
        <f t="array" ref="K228">INDEX([22]Monitoring!$J$6:$J$582,MATCH(1,([22]Monitoring!$D$6:$D$582=$D228)*([22]Monitoring!$D$6:$D$582=$D228),0))</f>
        <v>15</v>
      </c>
      <c r="L228" s="9">
        <f t="shared" si="4"/>
        <v>4.0431266846361185</v>
      </c>
      <c r="M228" s="8" t="str">
        <f t="array" ref="M228">IF(L228&gt;5,"Perlu Pengendalian",IF(AND(L228&gt;=0,I228&gt;0),"Tidak Perlu Pengendalian","Belum Sensus"))</f>
        <v>Tidak Perlu Pengendalian</v>
      </c>
    </row>
    <row r="229" spans="1:13" outlineLevel="1" x14ac:dyDescent="0.15">
      <c r="A229" s="8" t="s">
        <v>13</v>
      </c>
      <c r="B229" s="8" t="s">
        <v>47</v>
      </c>
      <c r="C229" s="8" t="s">
        <v>216</v>
      </c>
      <c r="D229" s="8" t="s">
        <v>246</v>
      </c>
      <c r="E229" s="9">
        <v>44.67</v>
      </c>
      <c r="F229" s="8" t="s">
        <v>16</v>
      </c>
      <c r="G229" s="10">
        <v>6550</v>
      </c>
      <c r="H229" s="11">
        <f t="array" ref="H229">INDEX([22]Monitoring!$H$6:$H$582,MATCH(1,([22]Monitoring!$D$6:$D$582=$D229)*([22]Monitoring!$D$6:$D$582=$D229),0))</f>
        <v>46157</v>
      </c>
      <c r="I229" s="143">
        <f t="array" ref="I229">INDEX([22]Monitoring!$I$6:$I$582,MATCH(1,([22]Monitoring!$D$6:$D$582=$D229)*([22]Monitoring!$D$6:$D$582=$D229),0))</f>
        <v>286</v>
      </c>
      <c r="J229" s="9">
        <f t="array" ref="J229">IFERROR(I229/G229*100,0)</f>
        <v>4.3664122137404577</v>
      </c>
      <c r="K229" s="143">
        <f t="array" ref="K229">INDEX([22]Monitoring!$J$6:$J$582,MATCH(1,([22]Monitoring!$D$6:$D$582=$D229)*([22]Monitoring!$D$6:$D$582=$D229),0))</f>
        <v>18</v>
      </c>
      <c r="L229" s="9">
        <f t="shared" si="4"/>
        <v>6.2937062937062942</v>
      </c>
      <c r="M229" s="8" t="str">
        <f t="array" ref="M229">IF(L229&gt;5,"Perlu Pengendalian",IF(AND(L229&gt;=0,I229&gt;0),"Tidak Perlu Pengendalian","Belum Sensus"))</f>
        <v>Perlu Pengendalian</v>
      </c>
    </row>
    <row r="230" spans="1:13" outlineLevel="1" x14ac:dyDescent="0.15">
      <c r="A230" s="8" t="s">
        <v>13</v>
      </c>
      <c r="B230" s="8" t="s">
        <v>47</v>
      </c>
      <c r="C230" s="8" t="s">
        <v>216</v>
      </c>
      <c r="D230" s="8" t="s">
        <v>247</v>
      </c>
      <c r="E230" s="9">
        <v>26.05</v>
      </c>
      <c r="F230" s="8" t="s">
        <v>16</v>
      </c>
      <c r="G230" s="10">
        <v>4093</v>
      </c>
      <c r="H230" s="11">
        <f t="array" ref="H230">INDEX([22]Monitoring!$H$6:$H$582,MATCH(1,([22]Monitoring!$D$6:$D$582=$D230)*([22]Monitoring!$D$6:$D$582=$D230),0))</f>
        <v>46158</v>
      </c>
      <c r="I230" s="143">
        <f t="array" ref="I230">INDEX([22]Monitoring!$I$6:$I$582,MATCH(1,([22]Monitoring!$D$6:$D$582=$D230)*([22]Monitoring!$D$6:$D$582=$D230),0))</f>
        <v>362</v>
      </c>
      <c r="J230" s="9">
        <f t="array" ref="J230">IFERROR(I230/G230*100,0)</f>
        <v>8.8443684339115567</v>
      </c>
      <c r="K230" s="143">
        <f t="array" ref="K230">INDEX([22]Monitoring!$J$6:$J$582,MATCH(1,([22]Monitoring!$D$6:$D$582=$D230)*([22]Monitoring!$D$6:$D$582=$D230),0))</f>
        <v>9</v>
      </c>
      <c r="L230" s="9">
        <f t="shared" si="4"/>
        <v>2.4861878453038675</v>
      </c>
      <c r="M230" s="8" t="str">
        <f t="array" ref="M230">IF(L230&gt;5,"Perlu Pengendalian",IF(AND(L230&gt;=0,I230&gt;0),"Tidak Perlu Pengendalian","Belum Sensus"))</f>
        <v>Tidak Perlu Pengendalian</v>
      </c>
    </row>
    <row r="231" spans="1:13" outlineLevel="1" x14ac:dyDescent="0.15">
      <c r="A231" s="8" t="s">
        <v>13</v>
      </c>
      <c r="B231" s="8" t="s">
        <v>47</v>
      </c>
      <c r="C231" s="8" t="s">
        <v>216</v>
      </c>
      <c r="D231" s="8" t="s">
        <v>248</v>
      </c>
      <c r="E231" s="9">
        <v>25.98</v>
      </c>
      <c r="F231" s="8" t="s">
        <v>16</v>
      </c>
      <c r="G231" s="10">
        <v>3629</v>
      </c>
      <c r="H231" s="11">
        <f t="array" ref="H231">INDEX([22]Monitoring!$H$6:$H$582,MATCH(1,([22]Monitoring!$D$6:$D$582=$D231)*([22]Monitoring!$D$6:$D$582=$D231),0))</f>
        <v>46158</v>
      </c>
      <c r="I231" s="143">
        <f t="array" ref="I231">INDEX([22]Monitoring!$I$6:$I$582,MATCH(1,([22]Monitoring!$D$6:$D$582=$D231)*([22]Monitoring!$D$6:$D$582=$D231),0))</f>
        <v>397</v>
      </c>
      <c r="J231" s="9">
        <f t="array" ref="J231">IFERROR(I231/G231*100,0)</f>
        <v>10.93965279691375</v>
      </c>
      <c r="K231" s="143">
        <f t="array" ref="K231">INDEX([22]Monitoring!$J$6:$J$582,MATCH(1,([22]Monitoring!$D$6:$D$582=$D231)*([22]Monitoring!$D$6:$D$582=$D231),0))</f>
        <v>49</v>
      </c>
      <c r="L231" s="9">
        <f t="shared" si="4"/>
        <v>12.342569269521411</v>
      </c>
      <c r="M231" s="8" t="str">
        <f t="array" ref="M231">IF(L231&gt;5,"Perlu Pengendalian",IF(AND(L231&gt;=0,I231&gt;0),"Tidak Perlu Pengendalian","Belum Sensus"))</f>
        <v>Perlu Pengendalian</v>
      </c>
    </row>
    <row r="232" spans="1:13" outlineLevel="1" x14ac:dyDescent="0.15">
      <c r="A232" s="8" t="s">
        <v>13</v>
      </c>
      <c r="B232" s="8" t="s">
        <v>47</v>
      </c>
      <c r="C232" s="8" t="s">
        <v>216</v>
      </c>
      <c r="D232" s="8" t="s">
        <v>249</v>
      </c>
      <c r="E232" s="9">
        <v>23.23</v>
      </c>
      <c r="F232" s="8" t="s">
        <v>16</v>
      </c>
      <c r="G232" s="10">
        <v>3361</v>
      </c>
      <c r="H232" s="11">
        <f t="array" ref="H232">INDEX([22]Monitoring!$H$6:$H$582,MATCH(1,([22]Monitoring!$D$6:$D$582=$D232)*([22]Monitoring!$D$6:$D$582=$D232),0))</f>
        <v>46158</v>
      </c>
      <c r="I232" s="143">
        <f t="array" ref="I232">INDEX([22]Monitoring!$I$6:$I$582,MATCH(1,([22]Monitoring!$D$6:$D$582=$D232)*([22]Monitoring!$D$6:$D$582=$D232),0))</f>
        <v>373</v>
      </c>
      <c r="J232" s="9">
        <f t="array" ref="J232">IFERROR(I232/G232*100,0)</f>
        <v>11.09788753347218</v>
      </c>
      <c r="K232" s="143">
        <f t="array" ref="K232">INDEX([22]Monitoring!$J$6:$J$582,MATCH(1,([22]Monitoring!$D$6:$D$582=$D232)*([22]Monitoring!$D$6:$D$582=$D232),0))</f>
        <v>21</v>
      </c>
      <c r="L232" s="9">
        <f t="shared" si="4"/>
        <v>5.6300268096514747</v>
      </c>
      <c r="M232" s="8" t="str">
        <f t="array" ref="M232">IF(L232&gt;5,"Perlu Pengendalian",IF(AND(L232&gt;=0,I232&gt;0),"Tidak Perlu Pengendalian","Belum Sensus"))</f>
        <v>Perlu Pengendalian</v>
      </c>
    </row>
    <row r="233" spans="1:13" outlineLevel="1" x14ac:dyDescent="0.15">
      <c r="A233" s="8" t="s">
        <v>13</v>
      </c>
      <c r="B233" s="8" t="s">
        <v>47</v>
      </c>
      <c r="C233" s="8" t="s">
        <v>216</v>
      </c>
      <c r="D233" s="8" t="s">
        <v>250</v>
      </c>
      <c r="E233" s="9">
        <v>25.38</v>
      </c>
      <c r="F233" s="8" t="s">
        <v>16</v>
      </c>
      <c r="G233" s="10">
        <v>3666</v>
      </c>
      <c r="H233" s="11">
        <f t="array" ref="H233">INDEX([22]Monitoring!$H$6:$H$582,MATCH(1,([22]Monitoring!$D$6:$D$582=$D233)*([22]Monitoring!$D$6:$D$582=$D233),0))</f>
        <v>46157</v>
      </c>
      <c r="I233" s="143">
        <f t="array" ref="I233">INDEX([22]Monitoring!$I$6:$I$582,MATCH(1,([22]Monitoring!$D$6:$D$582=$D233)*([22]Monitoring!$D$6:$D$582=$D233),0))</f>
        <v>378</v>
      </c>
      <c r="J233" s="9">
        <f t="array" ref="J233">IFERROR(I233/G233*100,0)</f>
        <v>10.310965630114566</v>
      </c>
      <c r="K233" s="143">
        <f t="array" ref="K233">INDEX([22]Monitoring!$J$6:$J$582,MATCH(1,([22]Monitoring!$D$6:$D$582=$D233)*([22]Monitoring!$D$6:$D$582=$D233),0))</f>
        <v>21</v>
      </c>
      <c r="L233" s="9">
        <f t="shared" si="4"/>
        <v>5.5555555555555554</v>
      </c>
      <c r="M233" s="8" t="str">
        <f t="array" ref="M233">IF(L233&gt;5,"Perlu Pengendalian",IF(AND(L233&gt;=0,I233&gt;0),"Tidak Perlu Pengendalian","Belum Sensus"))</f>
        <v>Perlu Pengendalian</v>
      </c>
    </row>
    <row r="234" spans="1:13" outlineLevel="1" x14ac:dyDescent="0.15">
      <c r="A234" s="8" t="s">
        <v>13</v>
      </c>
      <c r="B234" s="8" t="s">
        <v>47</v>
      </c>
      <c r="C234" s="8" t="s">
        <v>216</v>
      </c>
      <c r="D234" s="8" t="s">
        <v>251</v>
      </c>
      <c r="E234" s="9">
        <v>23.34</v>
      </c>
      <c r="F234" s="8" t="s">
        <v>16</v>
      </c>
      <c r="G234" s="10">
        <v>3361</v>
      </c>
      <c r="H234" s="11">
        <f t="array" ref="H234">INDEX([22]Monitoring!$H$6:$H$582,MATCH(1,([22]Monitoring!$D$6:$D$582=$D234)*([22]Monitoring!$D$6:$D$582=$D234),0))</f>
        <v>46157</v>
      </c>
      <c r="I234" s="143">
        <f t="array" ref="I234">INDEX([22]Monitoring!$I$6:$I$582,MATCH(1,([22]Monitoring!$D$6:$D$582=$D234)*([22]Monitoring!$D$6:$D$582=$D234),0))</f>
        <v>364</v>
      </c>
      <c r="J234" s="9">
        <f t="array" ref="J234">IFERROR(I234/G234*100,0)</f>
        <v>10.830110086283844</v>
      </c>
      <c r="K234" s="143">
        <f t="array" ref="K234">INDEX([22]Monitoring!$J$6:$J$582,MATCH(1,([22]Monitoring!$D$6:$D$582=$D234)*([22]Monitoring!$D$6:$D$582=$D234),0))</f>
        <v>18</v>
      </c>
      <c r="L234" s="9">
        <f t="shared" si="4"/>
        <v>4.9450549450549453</v>
      </c>
      <c r="M234" s="8" t="str">
        <f t="array" ref="M234">IF(L234&gt;5,"Perlu Pengendalian",IF(AND(L234&gt;=0,I234&gt;0),"Tidak Perlu Pengendalian","Belum Sensus"))</f>
        <v>Tidak Perlu Pengendalian</v>
      </c>
    </row>
    <row r="235" spans="1:13" outlineLevel="1" x14ac:dyDescent="0.15">
      <c r="A235" s="8" t="s">
        <v>13</v>
      </c>
      <c r="B235" s="8" t="s">
        <v>47</v>
      </c>
      <c r="C235" s="8" t="s">
        <v>252</v>
      </c>
      <c r="D235" s="8" t="s">
        <v>253</v>
      </c>
      <c r="E235" s="9">
        <v>22.51</v>
      </c>
      <c r="F235" s="8" t="s">
        <v>12</v>
      </c>
      <c r="G235" s="10">
        <v>3420</v>
      </c>
      <c r="H235" s="11">
        <f t="array" ref="H235">INDEX([22]Monitoring!$H$6:$H$582,MATCH(1,([22]Monitoring!$D$6:$D$582=$D235)*([22]Monitoring!$D$6:$D$582=$D235),0))</f>
        <v>46148</v>
      </c>
      <c r="I235" s="143">
        <f t="array" ref="I235">INDEX([22]Monitoring!$I$6:$I$582,MATCH(1,([22]Monitoring!$D$6:$D$582=$D235)*([22]Monitoring!$D$6:$D$582=$D235),0))</f>
        <v>360</v>
      </c>
      <c r="J235" s="9">
        <f t="array" ref="J235">IFERROR(I235/G235*100,0)</f>
        <v>10.526315789473683</v>
      </c>
      <c r="K235" s="143">
        <f t="array" ref="K235">INDEX([22]Monitoring!$J$6:$J$582,MATCH(1,([22]Monitoring!$D$6:$D$582=$D235)*([22]Monitoring!$D$6:$D$582=$D235),0))</f>
        <v>27</v>
      </c>
      <c r="L235" s="9">
        <f t="shared" si="4"/>
        <v>7.5</v>
      </c>
      <c r="M235" s="8" t="str">
        <f t="array" ref="M235">IF(L235&gt;5,"Perlu Pengendalian",IF(AND(L235&gt;=0,I235&gt;0),"Tidak Perlu Pengendalian","Belum Sensus"))</f>
        <v>Perlu Pengendalian</v>
      </c>
    </row>
    <row r="236" spans="1:13" outlineLevel="1" x14ac:dyDescent="0.15">
      <c r="A236" s="8" t="s">
        <v>13</v>
      </c>
      <c r="B236" s="8" t="s">
        <v>47</v>
      </c>
      <c r="C236" s="8" t="s">
        <v>252</v>
      </c>
      <c r="D236" s="8" t="s">
        <v>254</v>
      </c>
      <c r="E236" s="9">
        <v>28.33</v>
      </c>
      <c r="F236" s="8" t="s">
        <v>132</v>
      </c>
      <c r="G236" s="10">
        <v>4410</v>
      </c>
      <c r="H236" s="11">
        <f t="array" ref="H236">INDEX([22]Monitoring!$H$6:$H$582,MATCH(1,([22]Monitoring!$D$6:$D$582=$D236)*([22]Monitoring!$D$6:$D$582=$D236),0))</f>
        <v>46148</v>
      </c>
      <c r="I236" s="143">
        <f t="array" ref="I236">INDEX([22]Monitoring!$I$6:$I$582,MATCH(1,([22]Monitoring!$D$6:$D$582=$D236)*([22]Monitoring!$D$6:$D$582=$D236),0))</f>
        <v>451</v>
      </c>
      <c r="J236" s="9">
        <f t="array" ref="J236">IFERROR(I236/G236*100,0)</f>
        <v>10.226757369614512</v>
      </c>
      <c r="K236" s="143">
        <f t="array" ref="K236">INDEX([22]Monitoring!$J$6:$J$582,MATCH(1,([22]Monitoring!$D$6:$D$582=$D236)*([22]Monitoring!$D$6:$D$582=$D236),0))</f>
        <v>58</v>
      </c>
      <c r="L236" s="9">
        <f t="shared" si="4"/>
        <v>12.86031042128603</v>
      </c>
      <c r="M236" s="8" t="str">
        <f t="array" ref="M236">IF(L236&gt;5,"Perlu Pengendalian",IF(AND(L236&gt;=0,I236&gt;0),"Tidak Perlu Pengendalian","Belum Sensus"))</f>
        <v>Perlu Pengendalian</v>
      </c>
    </row>
    <row r="237" spans="1:13" outlineLevel="1" x14ac:dyDescent="0.15">
      <c r="A237" s="8" t="s">
        <v>13</v>
      </c>
      <c r="B237" s="8" t="s">
        <v>47</v>
      </c>
      <c r="C237" s="8" t="s">
        <v>252</v>
      </c>
      <c r="D237" s="8" t="s">
        <v>255</v>
      </c>
      <c r="E237" s="9">
        <v>22.91</v>
      </c>
      <c r="F237" s="8" t="s">
        <v>132</v>
      </c>
      <c r="G237" s="10">
        <v>3633</v>
      </c>
      <c r="H237" s="11">
        <f t="array" ref="H237">INDEX([22]Monitoring!$H$6:$H$582,MATCH(1,([22]Monitoring!$D$6:$D$582=$D237)*([22]Monitoring!$D$6:$D$582=$D237),0))</f>
        <v>46148</v>
      </c>
      <c r="I237" s="143">
        <f t="array" ref="I237">INDEX([22]Monitoring!$I$6:$I$582,MATCH(1,([22]Monitoring!$D$6:$D$582=$D237)*([22]Monitoring!$D$6:$D$582=$D237),0))</f>
        <v>312</v>
      </c>
      <c r="J237" s="9">
        <f t="array" ref="J237">IFERROR(I237/G237*100,0)</f>
        <v>8.5879438480594548</v>
      </c>
      <c r="K237" s="143">
        <f t="array" ref="K237">INDEX([22]Monitoring!$J$6:$J$582,MATCH(1,([22]Monitoring!$D$6:$D$582=$D237)*([22]Monitoring!$D$6:$D$582=$D237),0))</f>
        <v>58</v>
      </c>
      <c r="L237" s="9">
        <f t="shared" si="4"/>
        <v>18.589743589743591</v>
      </c>
      <c r="M237" s="8" t="str">
        <f t="array" ref="M237">IF(L237&gt;5,"Perlu Pengendalian",IF(AND(L237&gt;=0,I237&gt;0),"Tidak Perlu Pengendalian","Belum Sensus"))</f>
        <v>Perlu Pengendalian</v>
      </c>
    </row>
    <row r="238" spans="1:13" outlineLevel="1" x14ac:dyDescent="0.15">
      <c r="A238" s="8" t="s">
        <v>13</v>
      </c>
      <c r="B238" s="8" t="s">
        <v>47</v>
      </c>
      <c r="C238" s="8" t="s">
        <v>252</v>
      </c>
      <c r="D238" s="8" t="s">
        <v>256</v>
      </c>
      <c r="E238" s="9">
        <v>26.71</v>
      </c>
      <c r="F238" s="8" t="s">
        <v>132</v>
      </c>
      <c r="G238" s="10">
        <v>4107</v>
      </c>
      <c r="H238" s="11">
        <f t="array" ref="H238">INDEX([22]Monitoring!$H$6:$H$582,MATCH(1,([22]Monitoring!$D$6:$D$582=$D238)*([22]Monitoring!$D$6:$D$582=$D238),0))</f>
        <v>46148</v>
      </c>
      <c r="I238" s="143">
        <f t="array" ref="I238">INDEX([22]Monitoring!$I$6:$I$582,MATCH(1,([22]Monitoring!$D$6:$D$582=$D238)*([22]Monitoring!$D$6:$D$582=$D238),0))</f>
        <v>382</v>
      </c>
      <c r="J238" s="9">
        <f t="array" ref="J238">IFERROR(I238/G238*100,0)</f>
        <v>9.3011930849768696</v>
      </c>
      <c r="K238" s="143">
        <f t="array" ref="K238">INDEX([22]Monitoring!$J$6:$J$582,MATCH(1,([22]Monitoring!$D$6:$D$582=$D238)*([22]Monitoring!$D$6:$D$582=$D238),0))</f>
        <v>93</v>
      </c>
      <c r="L238" s="9">
        <f t="shared" si="4"/>
        <v>24.345549738219894</v>
      </c>
      <c r="M238" s="8" t="str">
        <f t="array" ref="M238">IF(L238&gt;5,"Perlu Pengendalian",IF(AND(L238&gt;=0,I238&gt;0),"Tidak Perlu Pengendalian","Belum Sensus"))</f>
        <v>Perlu Pengendalian</v>
      </c>
    </row>
    <row r="239" spans="1:13" outlineLevel="1" x14ac:dyDescent="0.15">
      <c r="A239" s="8" t="s">
        <v>13</v>
      </c>
      <c r="B239" s="8" t="s">
        <v>47</v>
      </c>
      <c r="C239" s="8" t="s">
        <v>252</v>
      </c>
      <c r="D239" s="8" t="s">
        <v>257</v>
      </c>
      <c r="E239" s="9">
        <v>24.5</v>
      </c>
      <c r="F239" s="8" t="s">
        <v>132</v>
      </c>
      <c r="G239" s="10">
        <v>3707</v>
      </c>
      <c r="H239" s="11">
        <f t="array" ref="H239">INDEX([22]Monitoring!$H$6:$H$582,MATCH(1,([22]Monitoring!$D$6:$D$582=$D239)*([22]Monitoring!$D$6:$D$582=$D239),0))</f>
        <v>46149</v>
      </c>
      <c r="I239" s="143">
        <f t="array" ref="I239">INDEX([22]Monitoring!$I$6:$I$582,MATCH(1,([22]Monitoring!$D$6:$D$582=$D239)*([22]Monitoring!$D$6:$D$582=$D239),0))</f>
        <v>355</v>
      </c>
      <c r="J239" s="9">
        <f t="array" ref="J239">IFERROR(I239/G239*100,0)</f>
        <v>9.5764769355273813</v>
      </c>
      <c r="K239" s="143">
        <f t="array" ref="K239">INDEX([22]Monitoring!$J$6:$J$582,MATCH(1,([22]Monitoring!$D$6:$D$582=$D239)*([22]Monitoring!$D$6:$D$582=$D239),0))</f>
        <v>77</v>
      </c>
      <c r="L239" s="9">
        <f t="shared" si="4"/>
        <v>21.69014084507042</v>
      </c>
      <c r="M239" s="8" t="str">
        <f t="array" ref="M239">IF(L239&gt;5,"Perlu Pengendalian",IF(AND(L239&gt;=0,I239&gt;0),"Tidak Perlu Pengendalian","Belum Sensus"))</f>
        <v>Perlu Pengendalian</v>
      </c>
    </row>
    <row r="240" spans="1:13" outlineLevel="1" x14ac:dyDescent="0.15">
      <c r="A240" s="8" t="s">
        <v>13</v>
      </c>
      <c r="B240" s="8" t="s">
        <v>47</v>
      </c>
      <c r="C240" s="8" t="s">
        <v>252</v>
      </c>
      <c r="D240" s="8" t="s">
        <v>258</v>
      </c>
      <c r="E240" s="9">
        <v>25.23</v>
      </c>
      <c r="F240" s="8" t="s">
        <v>16</v>
      </c>
      <c r="G240" s="10">
        <v>3701</v>
      </c>
      <c r="H240" s="11">
        <f t="array" ref="H240">INDEX([22]Monitoring!$H$6:$H$582,MATCH(1,([22]Monitoring!$D$6:$D$582=$D240)*([22]Monitoring!$D$6:$D$582=$D240),0))</f>
        <v>46149</v>
      </c>
      <c r="I240" s="143">
        <f t="array" ref="I240">INDEX([22]Monitoring!$I$6:$I$582,MATCH(1,([22]Monitoring!$D$6:$D$582=$D240)*([22]Monitoring!$D$6:$D$582=$D240),0))</f>
        <v>389</v>
      </c>
      <c r="J240" s="9">
        <f t="array" ref="J240">IFERROR(I240/G240*100,0)</f>
        <v>10.51067279113753</v>
      </c>
      <c r="K240" s="143">
        <f t="array" ref="K240">INDEX([22]Monitoring!$J$6:$J$582,MATCH(1,([22]Monitoring!$D$6:$D$582=$D240)*([22]Monitoring!$D$6:$D$582=$D240),0))</f>
        <v>13</v>
      </c>
      <c r="L240" s="9">
        <f t="shared" si="4"/>
        <v>3.3419023136246784</v>
      </c>
      <c r="M240" s="8" t="str">
        <f t="array" ref="M240">IF(L240&gt;5,"Perlu Pengendalian",IF(AND(L240&gt;=0,I240&gt;0),"Tidak Perlu Pengendalian","Belum Sensus"))</f>
        <v>Tidak Perlu Pengendalian</v>
      </c>
    </row>
    <row r="241" spans="1:13" outlineLevel="1" x14ac:dyDescent="0.15">
      <c r="A241" s="8" t="s">
        <v>13</v>
      </c>
      <c r="B241" s="8" t="s">
        <v>47</v>
      </c>
      <c r="C241" s="8" t="s">
        <v>252</v>
      </c>
      <c r="D241" s="8" t="s">
        <v>259</v>
      </c>
      <c r="E241" s="9">
        <v>23.06</v>
      </c>
      <c r="F241" s="8" t="s">
        <v>16</v>
      </c>
      <c r="G241" s="10">
        <v>3196</v>
      </c>
      <c r="H241" s="11">
        <f t="array" ref="H241">INDEX([22]Monitoring!$H$6:$H$582,MATCH(1,([22]Monitoring!$D$6:$D$582=$D241)*([22]Monitoring!$D$6:$D$582=$D241),0))</f>
        <v>46149</v>
      </c>
      <c r="I241" s="143">
        <f t="array" ref="I241">INDEX([22]Monitoring!$I$6:$I$582,MATCH(1,([22]Monitoring!$D$6:$D$582=$D241)*([22]Monitoring!$D$6:$D$582=$D241),0))</f>
        <v>414</v>
      </c>
      <c r="J241" s="9">
        <f t="array" ref="J241">IFERROR(I241/G241*100,0)</f>
        <v>12.95369211514393</v>
      </c>
      <c r="K241" s="143">
        <f t="array" ref="K241">INDEX([22]Monitoring!$J$6:$J$582,MATCH(1,([22]Monitoring!$D$6:$D$582=$D241)*([22]Monitoring!$D$6:$D$582=$D241),0))</f>
        <v>62</v>
      </c>
      <c r="L241" s="9">
        <f t="shared" si="4"/>
        <v>14.975845410628018</v>
      </c>
      <c r="M241" s="8" t="str">
        <f t="array" ref="M241">IF(L241&gt;5,"Perlu Pengendalian",IF(AND(L241&gt;=0,I241&gt;0),"Tidak Perlu Pengendalian","Belum Sensus"))</f>
        <v>Perlu Pengendalian</v>
      </c>
    </row>
    <row r="242" spans="1:13" outlineLevel="1" x14ac:dyDescent="0.15">
      <c r="A242" s="8" t="s">
        <v>13</v>
      </c>
      <c r="B242" s="8" t="s">
        <v>47</v>
      </c>
      <c r="C242" s="8" t="s">
        <v>252</v>
      </c>
      <c r="D242" s="8" t="s">
        <v>260</v>
      </c>
      <c r="E242" s="9">
        <v>22.9</v>
      </c>
      <c r="F242" s="8" t="s">
        <v>16</v>
      </c>
      <c r="G242" s="10">
        <v>3212</v>
      </c>
      <c r="H242" s="11">
        <f t="array" ref="H242">INDEX([22]Monitoring!$H$6:$H$582,MATCH(1,([22]Monitoring!$D$6:$D$582=$D242)*([22]Monitoring!$D$6:$D$582=$D242),0))</f>
        <v>46149</v>
      </c>
      <c r="I242" s="143">
        <f t="array" ref="I242">INDEX([22]Monitoring!$I$6:$I$582,MATCH(1,([22]Monitoring!$D$6:$D$582=$D242)*([22]Monitoring!$D$6:$D$582=$D242),0))</f>
        <v>312</v>
      </c>
      <c r="J242" s="9">
        <f t="array" ref="J242">IFERROR(I242/G242*100,0)</f>
        <v>9.7135740971357407</v>
      </c>
      <c r="K242" s="143">
        <f t="array" ref="K242">INDEX([22]Monitoring!$J$6:$J$582,MATCH(1,([22]Monitoring!$D$6:$D$582=$D242)*([22]Monitoring!$D$6:$D$582=$D242),0))</f>
        <v>20</v>
      </c>
      <c r="L242" s="9">
        <f t="shared" si="4"/>
        <v>6.4102564102564097</v>
      </c>
      <c r="M242" s="8" t="str">
        <f t="array" ref="M242">IF(L242&gt;5,"Perlu Pengendalian",IF(AND(L242&gt;=0,I242&gt;0),"Tidak Perlu Pengendalian","Belum Sensus"))</f>
        <v>Perlu Pengendalian</v>
      </c>
    </row>
    <row r="243" spans="1:13" outlineLevel="1" x14ac:dyDescent="0.15">
      <c r="A243" s="8" t="s">
        <v>13</v>
      </c>
      <c r="B243" s="8" t="s">
        <v>47</v>
      </c>
      <c r="C243" s="8" t="s">
        <v>252</v>
      </c>
      <c r="D243" s="8" t="s">
        <v>261</v>
      </c>
      <c r="E243" s="9">
        <v>24.48</v>
      </c>
      <c r="F243" s="8" t="s">
        <v>16</v>
      </c>
      <c r="G243" s="10">
        <v>3540</v>
      </c>
      <c r="H243" s="11">
        <f t="array" ref="H243">INDEX([22]Monitoring!$H$6:$H$582,MATCH(1,([22]Monitoring!$D$6:$D$582=$D243)*([22]Monitoring!$D$6:$D$582=$D243),0))</f>
        <v>46149</v>
      </c>
      <c r="I243" s="143">
        <f t="array" ref="I243">INDEX([22]Monitoring!$I$6:$I$582,MATCH(1,([22]Monitoring!$D$6:$D$582=$D243)*([22]Monitoring!$D$6:$D$582=$D243),0))</f>
        <v>400</v>
      </c>
      <c r="J243" s="9">
        <f t="array" ref="J243">IFERROR(I243/G243*100,0)</f>
        <v>11.299435028248588</v>
      </c>
      <c r="K243" s="143">
        <f t="array" ref="K243">INDEX([22]Monitoring!$J$6:$J$582,MATCH(1,([22]Monitoring!$D$6:$D$582=$D243)*([22]Monitoring!$D$6:$D$582=$D243),0))</f>
        <v>59</v>
      </c>
      <c r="L243" s="9">
        <f t="shared" si="4"/>
        <v>14.75</v>
      </c>
      <c r="M243" s="8" t="str">
        <f t="array" ref="M243">IF(L243&gt;5,"Perlu Pengendalian",IF(AND(L243&gt;=0,I243&gt;0),"Tidak Perlu Pengendalian","Belum Sensus"))</f>
        <v>Perlu Pengendalian</v>
      </c>
    </row>
    <row r="244" spans="1:13" outlineLevel="1" x14ac:dyDescent="0.15">
      <c r="A244" s="8" t="s">
        <v>13</v>
      </c>
      <c r="B244" s="8" t="s">
        <v>47</v>
      </c>
      <c r="C244" s="8" t="s">
        <v>252</v>
      </c>
      <c r="D244" s="8" t="s">
        <v>262</v>
      </c>
      <c r="E244" s="9">
        <v>25.13</v>
      </c>
      <c r="F244" s="8" t="s">
        <v>16</v>
      </c>
      <c r="G244" s="10">
        <v>3921</v>
      </c>
      <c r="H244" s="11">
        <f t="array" ref="H244">INDEX([22]Monitoring!$H$6:$H$582,MATCH(1,([22]Monitoring!$D$6:$D$582=$D244)*([22]Monitoring!$D$6:$D$582=$D244),0))</f>
        <v>46149</v>
      </c>
      <c r="I244" s="143">
        <f t="array" ref="I244">INDEX([22]Monitoring!$I$6:$I$582,MATCH(1,([22]Monitoring!$D$6:$D$582=$D244)*([22]Monitoring!$D$6:$D$582=$D244),0))</f>
        <v>402</v>
      </c>
      <c r="J244" s="9">
        <f t="array" ref="J244">IFERROR(I244/G244*100,0)</f>
        <v>10.252486610558531</v>
      </c>
      <c r="K244" s="143">
        <f t="array" ref="K244">INDEX([22]Monitoring!$J$6:$J$582,MATCH(1,([22]Monitoring!$D$6:$D$582=$D244)*([22]Monitoring!$D$6:$D$582=$D244),0))</f>
        <v>69</v>
      </c>
      <c r="L244" s="9">
        <f t="shared" si="4"/>
        <v>17.164179104477611</v>
      </c>
      <c r="M244" s="8" t="str">
        <f t="array" ref="M244">IF(L244&gt;5,"Perlu Pengendalian",IF(AND(L244&gt;=0,I244&gt;0),"Tidak Perlu Pengendalian","Belum Sensus"))</f>
        <v>Perlu Pengendalian</v>
      </c>
    </row>
    <row r="245" spans="1:13" outlineLevel="1" x14ac:dyDescent="0.15">
      <c r="A245" s="8" t="s">
        <v>13</v>
      </c>
      <c r="B245" s="8" t="s">
        <v>47</v>
      </c>
      <c r="C245" s="8" t="s">
        <v>252</v>
      </c>
      <c r="D245" s="8" t="s">
        <v>263</v>
      </c>
      <c r="E245" s="9">
        <v>24.63</v>
      </c>
      <c r="F245" s="8" t="s">
        <v>16</v>
      </c>
      <c r="G245" s="10">
        <v>3889</v>
      </c>
      <c r="H245" s="11">
        <f t="array" ref="H245">INDEX([22]Monitoring!$H$6:$H$582,MATCH(1,([22]Monitoring!$D$6:$D$582=$D245)*([22]Monitoring!$D$6:$D$582=$D245),0))</f>
        <v>46150</v>
      </c>
      <c r="I245" s="143">
        <f t="array" ref="I245">INDEX([22]Monitoring!$I$6:$I$582,MATCH(1,([22]Monitoring!$D$6:$D$582=$D245)*([22]Monitoring!$D$6:$D$582=$D245),0))</f>
        <v>385</v>
      </c>
      <c r="J245" s="9">
        <f t="array" ref="J245">IFERROR(I245/G245*100,0)</f>
        <v>9.8997171509385442</v>
      </c>
      <c r="K245" s="143">
        <f t="array" ref="K245">INDEX([22]Monitoring!$J$6:$J$582,MATCH(1,([22]Monitoring!$D$6:$D$582=$D245)*([22]Monitoring!$D$6:$D$582=$D245),0))</f>
        <v>17</v>
      </c>
      <c r="L245" s="9">
        <f t="shared" si="4"/>
        <v>4.4155844155844157</v>
      </c>
      <c r="M245" s="8" t="str">
        <f t="array" ref="M245">IF(L245&gt;5,"Perlu Pengendalian",IF(AND(L245&gt;=0,I245&gt;0),"Tidak Perlu Pengendalian","Belum Sensus"))</f>
        <v>Tidak Perlu Pengendalian</v>
      </c>
    </row>
    <row r="246" spans="1:13" outlineLevel="1" x14ac:dyDescent="0.15">
      <c r="A246" s="8" t="s">
        <v>13</v>
      </c>
      <c r="B246" s="8" t="s">
        <v>47</v>
      </c>
      <c r="C246" s="8" t="s">
        <v>252</v>
      </c>
      <c r="D246" s="8" t="s">
        <v>264</v>
      </c>
      <c r="E246" s="9">
        <v>25.6</v>
      </c>
      <c r="F246" s="8" t="s">
        <v>16</v>
      </c>
      <c r="G246" s="10">
        <v>3998</v>
      </c>
      <c r="H246" s="11">
        <f t="array" ref="H246">INDEX([22]Monitoring!$H$6:$H$582,MATCH(1,([22]Monitoring!$D$6:$D$582=$D246)*([22]Monitoring!$D$6:$D$582=$D246),0))</f>
        <v>46150</v>
      </c>
      <c r="I246" s="143">
        <f t="array" ref="I246">INDEX([22]Monitoring!$I$6:$I$582,MATCH(1,([22]Monitoring!$D$6:$D$582=$D246)*([22]Monitoring!$D$6:$D$582=$D246),0))</f>
        <v>436</v>
      </c>
      <c r="J246" s="9">
        <f t="array" ref="J246">IFERROR(I246/G246*100,0)</f>
        <v>10.905452726363182</v>
      </c>
      <c r="K246" s="143">
        <f t="array" ref="K246">INDEX([22]Monitoring!$J$6:$J$582,MATCH(1,([22]Monitoring!$D$6:$D$582=$D246)*([22]Monitoring!$D$6:$D$582=$D246),0))</f>
        <v>21</v>
      </c>
      <c r="L246" s="9">
        <f t="shared" si="4"/>
        <v>4.8165137614678901</v>
      </c>
      <c r="M246" s="8" t="str">
        <f t="array" ref="M246">IF(L246&gt;5,"Perlu Pengendalian",IF(AND(L246&gt;=0,I246&gt;0),"Tidak Perlu Pengendalian","Belum Sensus"))</f>
        <v>Tidak Perlu Pengendalian</v>
      </c>
    </row>
    <row r="247" spans="1:13" outlineLevel="1" x14ac:dyDescent="0.15">
      <c r="A247" s="8" t="s">
        <v>13</v>
      </c>
      <c r="B247" s="8" t="s">
        <v>47</v>
      </c>
      <c r="C247" s="8" t="s">
        <v>252</v>
      </c>
      <c r="D247" s="8" t="s">
        <v>265</v>
      </c>
      <c r="E247" s="9">
        <v>24.33</v>
      </c>
      <c r="F247" s="8" t="s">
        <v>16</v>
      </c>
      <c r="G247" s="10">
        <v>3625</v>
      </c>
      <c r="H247" s="11">
        <f t="array" ref="H247">INDEX([22]Monitoring!$H$6:$H$582,MATCH(1,([22]Monitoring!$D$6:$D$582=$D247)*([22]Monitoring!$D$6:$D$582=$D247),0))</f>
        <v>46150</v>
      </c>
      <c r="I247" s="143">
        <f t="array" ref="I247">INDEX([22]Monitoring!$I$6:$I$582,MATCH(1,([22]Monitoring!$D$6:$D$582=$D247)*([22]Monitoring!$D$6:$D$582=$D247),0))</f>
        <v>409</v>
      </c>
      <c r="J247" s="9">
        <f t="array" ref="J247">IFERROR(I247/G247*100,0)</f>
        <v>11.282758620689656</v>
      </c>
      <c r="K247" s="143">
        <f t="array" ref="K247">INDEX([22]Monitoring!$J$6:$J$582,MATCH(1,([22]Monitoring!$D$6:$D$582=$D247)*([22]Monitoring!$D$6:$D$582=$D247),0))</f>
        <v>25</v>
      </c>
      <c r="L247" s="9">
        <f t="shared" si="4"/>
        <v>6.1124694376528117</v>
      </c>
      <c r="M247" s="8" t="str">
        <f t="array" ref="M247">IF(L247&gt;5,"Perlu Pengendalian",IF(AND(L247&gt;=0,I247&gt;0),"Tidak Perlu Pengendalian","Belum Sensus"))</f>
        <v>Perlu Pengendalian</v>
      </c>
    </row>
    <row r="248" spans="1:13" outlineLevel="1" x14ac:dyDescent="0.15">
      <c r="A248" s="8" t="s">
        <v>13</v>
      </c>
      <c r="B248" s="8" t="s">
        <v>47</v>
      </c>
      <c r="C248" s="8" t="s">
        <v>252</v>
      </c>
      <c r="D248" s="8" t="s">
        <v>266</v>
      </c>
      <c r="E248" s="9">
        <v>24.58</v>
      </c>
      <c r="F248" s="8" t="s">
        <v>132</v>
      </c>
      <c r="G248" s="10">
        <v>3622</v>
      </c>
      <c r="H248" s="11">
        <f t="array" ref="H248">INDEX([22]Monitoring!$H$6:$H$582,MATCH(1,([22]Monitoring!$D$6:$D$582=$D248)*([22]Monitoring!$D$6:$D$582=$D248),0))</f>
        <v>46150</v>
      </c>
      <c r="I248" s="143">
        <f t="array" ref="I248">INDEX([22]Monitoring!$I$6:$I$582,MATCH(1,([22]Monitoring!$D$6:$D$582=$D248)*([22]Monitoring!$D$6:$D$582=$D248),0))</f>
        <v>364</v>
      </c>
      <c r="J248" s="9">
        <f t="array" ref="J248">IFERROR(I248/G248*100,0)</f>
        <v>10.049696300386527</v>
      </c>
      <c r="K248" s="143">
        <f t="array" ref="K248">INDEX([22]Monitoring!$J$6:$J$582,MATCH(1,([22]Monitoring!$D$6:$D$582=$D248)*([22]Monitoring!$D$6:$D$582=$D248),0))</f>
        <v>20</v>
      </c>
      <c r="L248" s="9">
        <f t="shared" si="4"/>
        <v>5.4945054945054945</v>
      </c>
      <c r="M248" s="8" t="str">
        <f t="array" ref="M248">IF(L248&gt;5,"Perlu Pengendalian",IF(AND(L248&gt;=0,I248&gt;0),"Tidak Perlu Pengendalian","Belum Sensus"))</f>
        <v>Perlu Pengendalian</v>
      </c>
    </row>
    <row r="249" spans="1:13" outlineLevel="1" x14ac:dyDescent="0.15">
      <c r="A249" s="8" t="s">
        <v>13</v>
      </c>
      <c r="B249" s="8" t="s">
        <v>47</v>
      </c>
      <c r="C249" s="8" t="s">
        <v>252</v>
      </c>
      <c r="D249" s="8" t="s">
        <v>267</v>
      </c>
      <c r="E249" s="9">
        <v>26.81</v>
      </c>
      <c r="F249" s="8" t="s">
        <v>132</v>
      </c>
      <c r="G249" s="10">
        <v>4031</v>
      </c>
      <c r="H249" s="11">
        <f t="array" ref="H249">INDEX([22]Monitoring!$H$6:$H$582,MATCH(1,([22]Monitoring!$D$6:$D$582=$D249)*([22]Monitoring!$D$6:$D$582=$D249),0))</f>
        <v>46151</v>
      </c>
      <c r="I249" s="143">
        <f t="array" ref="I249">INDEX([22]Monitoring!$I$6:$I$582,MATCH(1,([22]Monitoring!$D$6:$D$582=$D249)*([22]Monitoring!$D$6:$D$582=$D249),0))</f>
        <v>338</v>
      </c>
      <c r="J249" s="9">
        <f t="array" ref="J249">IFERROR(I249/G249*100,0)</f>
        <v>8.3850161250310098</v>
      </c>
      <c r="K249" s="143">
        <f t="array" ref="K249">INDEX([22]Monitoring!$J$6:$J$582,MATCH(1,([22]Monitoring!$D$6:$D$582=$D249)*([22]Monitoring!$D$6:$D$582=$D249),0))</f>
        <v>16</v>
      </c>
      <c r="L249" s="9">
        <f t="shared" si="4"/>
        <v>4.7337278106508878</v>
      </c>
      <c r="M249" s="8" t="str">
        <f t="array" ref="M249">IF(L249&gt;5,"Perlu Pengendalian",IF(AND(L249&gt;=0,I249&gt;0),"Tidak Perlu Pengendalian","Belum Sensus"))</f>
        <v>Tidak Perlu Pengendalian</v>
      </c>
    </row>
    <row r="250" spans="1:13" outlineLevel="1" x14ac:dyDescent="0.15">
      <c r="A250" s="8" t="s">
        <v>13</v>
      </c>
      <c r="B250" s="8" t="s">
        <v>47</v>
      </c>
      <c r="C250" s="8" t="s">
        <v>252</v>
      </c>
      <c r="D250" s="8" t="s">
        <v>268</v>
      </c>
      <c r="E250" s="9">
        <v>40.9</v>
      </c>
      <c r="F250" s="8" t="s">
        <v>132</v>
      </c>
      <c r="G250" s="10">
        <v>6119</v>
      </c>
      <c r="H250" s="11">
        <f t="array" ref="H250">INDEX([22]Monitoring!$H$6:$H$582,MATCH(1,([22]Monitoring!$D$6:$D$582=$D250)*([22]Monitoring!$D$6:$D$582=$D250),0))</f>
        <v>46151</v>
      </c>
      <c r="I250" s="143">
        <f t="array" ref="I250">INDEX([22]Monitoring!$I$6:$I$582,MATCH(1,([22]Monitoring!$D$6:$D$582=$D250)*([22]Monitoring!$D$6:$D$582=$D250),0))</f>
        <v>552</v>
      </c>
      <c r="J250" s="9">
        <f t="array" ref="J250">IFERROR(I250/G250*100,0)</f>
        <v>9.0210818761235494</v>
      </c>
      <c r="K250" s="143">
        <f t="array" ref="K250">INDEX([22]Monitoring!$J$6:$J$582,MATCH(1,([22]Monitoring!$D$6:$D$582=$D250)*([22]Monitoring!$D$6:$D$582=$D250),0))</f>
        <v>22</v>
      </c>
      <c r="L250" s="9">
        <f t="shared" si="4"/>
        <v>3.9855072463768111</v>
      </c>
      <c r="M250" s="8" t="str">
        <f t="array" ref="M250">IF(L250&gt;5,"Perlu Pengendalian",IF(AND(L250&gt;=0,I250&gt;0),"Tidak Perlu Pengendalian","Belum Sensus"))</f>
        <v>Tidak Perlu Pengendalian</v>
      </c>
    </row>
    <row r="251" spans="1:13" outlineLevel="1" x14ac:dyDescent="0.15">
      <c r="A251" s="8" t="s">
        <v>13</v>
      </c>
      <c r="B251" s="8" t="s">
        <v>47</v>
      </c>
      <c r="C251" s="8" t="s">
        <v>252</v>
      </c>
      <c r="D251" s="8" t="s">
        <v>269</v>
      </c>
      <c r="E251" s="9">
        <v>24.69</v>
      </c>
      <c r="F251" s="8" t="s">
        <v>132</v>
      </c>
      <c r="G251" s="10">
        <v>3734</v>
      </c>
      <c r="H251" s="11">
        <f t="array" ref="H251">INDEX([22]Monitoring!$H$6:$H$582,MATCH(1,([22]Monitoring!$D$6:$D$582=$D251)*([22]Monitoring!$D$6:$D$582=$D251),0))</f>
        <v>46153</v>
      </c>
      <c r="I251" s="143">
        <f t="array" ref="I251">INDEX([22]Monitoring!$I$6:$I$582,MATCH(1,([22]Monitoring!$D$6:$D$582=$D251)*([22]Monitoring!$D$6:$D$582=$D251),0))</f>
        <v>402</v>
      </c>
      <c r="J251" s="9">
        <f t="array" ref="J251">IFERROR(I251/G251*100,0)</f>
        <v>10.765934654525978</v>
      </c>
      <c r="K251" s="143">
        <f t="array" ref="K251">INDEX([22]Monitoring!$J$6:$J$582,MATCH(1,([22]Monitoring!$D$6:$D$582=$D251)*([22]Monitoring!$D$6:$D$582=$D251),0))</f>
        <v>11</v>
      </c>
      <c r="L251" s="9">
        <f t="shared" si="4"/>
        <v>2.7363184079601992</v>
      </c>
      <c r="M251" s="8" t="str">
        <f t="array" ref="M251">IF(L251&gt;5,"Perlu Pengendalian",IF(AND(L251&gt;=0,I251&gt;0),"Tidak Perlu Pengendalian","Belum Sensus"))</f>
        <v>Tidak Perlu Pengendalian</v>
      </c>
    </row>
    <row r="252" spans="1:13" outlineLevel="1" x14ac:dyDescent="0.15">
      <c r="A252" s="8" t="s">
        <v>13</v>
      </c>
      <c r="B252" s="8" t="s">
        <v>47</v>
      </c>
      <c r="C252" s="8" t="s">
        <v>252</v>
      </c>
      <c r="D252" s="8" t="s">
        <v>270</v>
      </c>
      <c r="E252" s="9">
        <v>23.9</v>
      </c>
      <c r="F252" s="8" t="s">
        <v>132</v>
      </c>
      <c r="G252" s="10">
        <v>3675</v>
      </c>
      <c r="H252" s="11">
        <f t="array" ref="H252">INDEX([22]Monitoring!$H$6:$H$582,MATCH(1,([22]Monitoring!$D$6:$D$582=$D252)*([22]Monitoring!$D$6:$D$582=$D252),0))</f>
        <v>46154</v>
      </c>
      <c r="I252" s="143">
        <f t="array" ref="I252">INDEX([22]Monitoring!$I$6:$I$582,MATCH(1,([22]Monitoring!$D$6:$D$582=$D252)*([22]Monitoring!$D$6:$D$582=$D252),0))</f>
        <v>413</v>
      </c>
      <c r="J252" s="9">
        <f t="array" ref="J252">IFERROR(I252/G252*100,0)</f>
        <v>11.238095238095239</v>
      </c>
      <c r="K252" s="143">
        <f t="array" ref="K252">INDEX([22]Monitoring!$J$6:$J$582,MATCH(1,([22]Monitoring!$D$6:$D$582=$D252)*([22]Monitoring!$D$6:$D$582=$D252),0))</f>
        <v>61</v>
      </c>
      <c r="L252" s="9">
        <f t="shared" si="4"/>
        <v>14.769975786924938</v>
      </c>
      <c r="M252" s="8" t="str">
        <f t="array" ref="M252">IF(L252&gt;5,"Perlu Pengendalian",IF(AND(L252&gt;=0,I252&gt;0),"Tidak Perlu Pengendalian","Belum Sensus"))</f>
        <v>Perlu Pengendalian</v>
      </c>
    </row>
    <row r="253" spans="1:13" outlineLevel="1" x14ac:dyDescent="0.15">
      <c r="A253" s="8" t="s">
        <v>13</v>
      </c>
      <c r="B253" s="8" t="s">
        <v>47</v>
      </c>
      <c r="C253" s="8" t="s">
        <v>252</v>
      </c>
      <c r="D253" s="8" t="s">
        <v>271</v>
      </c>
      <c r="E253" s="9">
        <v>27.24</v>
      </c>
      <c r="F253" s="8" t="s">
        <v>132</v>
      </c>
      <c r="G253" s="10">
        <v>3887</v>
      </c>
      <c r="H253" s="11">
        <f t="array" ref="H253">INDEX([22]Monitoring!$H$6:$H$582,MATCH(1,([22]Monitoring!$D$6:$D$582=$D253)*([22]Monitoring!$D$6:$D$582=$D253),0))</f>
        <v>46153</v>
      </c>
      <c r="I253" s="143">
        <f t="array" ref="I253">INDEX([22]Monitoring!$I$6:$I$582,MATCH(1,([22]Monitoring!$D$6:$D$582=$D253)*([22]Monitoring!$D$6:$D$582=$D253),0))</f>
        <v>442</v>
      </c>
      <c r="J253" s="9">
        <f t="array" ref="J253">IFERROR(I253/G253*100,0)</f>
        <v>11.371237458193979</v>
      </c>
      <c r="K253" s="143">
        <f t="array" ref="K253">INDEX([22]Monitoring!$J$6:$J$582,MATCH(1,([22]Monitoring!$D$6:$D$582=$D253)*([22]Monitoring!$D$6:$D$582=$D253),0))</f>
        <v>29</v>
      </c>
      <c r="L253" s="9">
        <f t="shared" si="4"/>
        <v>6.5610859728506794</v>
      </c>
      <c r="M253" s="8" t="str">
        <f t="array" ref="M253">IF(L253&gt;5,"Perlu Pengendalian",IF(AND(L253&gt;=0,I253&gt;0),"Tidak Perlu Pengendalian","Belum Sensus"))</f>
        <v>Perlu Pengendalian</v>
      </c>
    </row>
    <row r="254" spans="1:13" outlineLevel="1" x14ac:dyDescent="0.15">
      <c r="A254" s="8" t="s">
        <v>13</v>
      </c>
      <c r="B254" s="8" t="s">
        <v>47</v>
      </c>
      <c r="C254" s="8" t="s">
        <v>252</v>
      </c>
      <c r="D254" s="8" t="s">
        <v>272</v>
      </c>
      <c r="E254" s="9">
        <v>21.12</v>
      </c>
      <c r="F254" s="8" t="s">
        <v>132</v>
      </c>
      <c r="G254" s="10">
        <v>3075</v>
      </c>
      <c r="H254" s="11">
        <f t="array" ref="H254">INDEX([22]Monitoring!$H$6:$H$582,MATCH(1,([22]Monitoring!$D$6:$D$582=$D254)*([22]Monitoring!$D$6:$D$582=$D254),0))</f>
        <v>46153</v>
      </c>
      <c r="I254" s="143">
        <f t="array" ref="I254">INDEX([22]Monitoring!$I$6:$I$582,MATCH(1,([22]Monitoring!$D$6:$D$582=$D254)*([22]Monitoring!$D$6:$D$582=$D254),0))</f>
        <v>344</v>
      </c>
      <c r="J254" s="9">
        <f t="array" ref="J254">IFERROR(I254/G254*100,0)</f>
        <v>11.1869918699187</v>
      </c>
      <c r="K254" s="143">
        <f t="array" ref="K254">INDEX([22]Monitoring!$J$6:$J$582,MATCH(1,([22]Monitoring!$D$6:$D$582=$D254)*([22]Monitoring!$D$6:$D$582=$D254),0))</f>
        <v>25</v>
      </c>
      <c r="L254" s="9">
        <f t="shared" si="4"/>
        <v>7.2674418604651168</v>
      </c>
      <c r="M254" s="8" t="str">
        <f t="array" ref="M254">IF(L254&gt;5,"Perlu Pengendalian",IF(AND(L254&gt;=0,I254&gt;0),"Tidak Perlu Pengendalian","Belum Sensus"))</f>
        <v>Perlu Pengendalian</v>
      </c>
    </row>
    <row r="255" spans="1:13" outlineLevel="1" x14ac:dyDescent="0.15">
      <c r="A255" s="8" t="s">
        <v>13</v>
      </c>
      <c r="B255" s="8" t="s">
        <v>47</v>
      </c>
      <c r="C255" s="8" t="s">
        <v>252</v>
      </c>
      <c r="D255" s="8" t="s">
        <v>273</v>
      </c>
      <c r="E255" s="9">
        <v>25.66</v>
      </c>
      <c r="F255" s="8" t="s">
        <v>132</v>
      </c>
      <c r="G255" s="10">
        <v>3765</v>
      </c>
      <c r="H255" s="11">
        <f t="array" ref="H255">INDEX([22]Monitoring!$H$6:$H$582,MATCH(1,([22]Monitoring!$D$6:$D$582=$D255)*([22]Monitoring!$D$6:$D$582=$D255),0))</f>
        <v>46153</v>
      </c>
      <c r="I255" s="143">
        <f t="array" ref="I255">INDEX([22]Monitoring!$I$6:$I$582,MATCH(1,([22]Monitoring!$D$6:$D$582=$D255)*([22]Monitoring!$D$6:$D$582=$D255),0))</f>
        <v>382</v>
      </c>
      <c r="J255" s="9">
        <f t="array" ref="J255">IFERROR(I255/G255*100,0)</f>
        <v>10.146082337317397</v>
      </c>
      <c r="K255" s="143">
        <f t="array" ref="K255">INDEX([22]Monitoring!$J$6:$J$582,MATCH(1,([22]Monitoring!$D$6:$D$582=$D255)*([22]Monitoring!$D$6:$D$582=$D255),0))</f>
        <v>26</v>
      </c>
      <c r="L255" s="9">
        <f t="shared" si="4"/>
        <v>6.8062827225130889</v>
      </c>
      <c r="M255" s="8" t="str">
        <f t="array" ref="M255">IF(L255&gt;5,"Perlu Pengendalian",IF(AND(L255&gt;=0,I255&gt;0),"Tidak Perlu Pengendalian","Belum Sensus"))</f>
        <v>Perlu Pengendalian</v>
      </c>
    </row>
    <row r="256" spans="1:13" outlineLevel="1" x14ac:dyDescent="0.15">
      <c r="A256" s="8" t="s">
        <v>13</v>
      </c>
      <c r="B256" s="8" t="s">
        <v>47</v>
      </c>
      <c r="C256" s="8" t="s">
        <v>252</v>
      </c>
      <c r="D256" s="8" t="s">
        <v>274</v>
      </c>
      <c r="E256" s="9">
        <v>25.62</v>
      </c>
      <c r="F256" s="8" t="s">
        <v>132</v>
      </c>
      <c r="G256" s="10">
        <v>3816</v>
      </c>
      <c r="H256" s="11">
        <f t="array" ref="H256">INDEX([22]Monitoring!$H$6:$H$582,MATCH(1,([22]Monitoring!$D$6:$D$582=$D256)*([22]Monitoring!$D$6:$D$582=$D256),0))</f>
        <v>46154</v>
      </c>
      <c r="I256" s="143">
        <f t="array" ref="I256">INDEX([22]Monitoring!$I$6:$I$582,MATCH(1,([22]Monitoring!$D$6:$D$582=$D256)*([22]Monitoring!$D$6:$D$582=$D256),0))</f>
        <v>424</v>
      </c>
      <c r="J256" s="9">
        <f t="array" ref="J256">IFERROR(I256/G256*100,0)</f>
        <v>11.111111111111111</v>
      </c>
      <c r="K256" s="143">
        <f t="array" ref="K256">INDEX([22]Monitoring!$J$6:$J$582,MATCH(1,([22]Monitoring!$D$6:$D$582=$D256)*([22]Monitoring!$D$6:$D$582=$D256),0))</f>
        <v>46</v>
      </c>
      <c r="L256" s="9">
        <f t="shared" si="4"/>
        <v>10.849056603773585</v>
      </c>
      <c r="M256" s="8" t="str">
        <f t="array" ref="M256">IF(L256&gt;5,"Perlu Pengendalian",IF(AND(L256&gt;=0,I256&gt;0),"Tidak Perlu Pengendalian","Belum Sensus"))</f>
        <v>Perlu Pengendalian</v>
      </c>
    </row>
    <row r="257" spans="1:13" outlineLevel="1" x14ac:dyDescent="0.15">
      <c r="A257" s="8" t="s">
        <v>13</v>
      </c>
      <c r="B257" s="8" t="s">
        <v>47</v>
      </c>
      <c r="C257" s="8" t="s">
        <v>252</v>
      </c>
      <c r="D257" s="8" t="s">
        <v>275</v>
      </c>
      <c r="E257" s="9">
        <v>28.55</v>
      </c>
      <c r="F257" s="8" t="s">
        <v>132</v>
      </c>
      <c r="G257" s="10">
        <v>4403</v>
      </c>
      <c r="H257" s="11">
        <f t="array" ref="H257">INDEX([22]Monitoring!$H$6:$H$582,MATCH(1,([22]Monitoring!$D$6:$D$582=$D257)*([22]Monitoring!$D$6:$D$582=$D257),0))</f>
        <v>46154</v>
      </c>
      <c r="I257" s="143">
        <f t="array" ref="I257">INDEX([22]Monitoring!$I$6:$I$582,MATCH(1,([22]Monitoring!$D$6:$D$582=$D257)*([22]Monitoring!$D$6:$D$582=$D257),0))</f>
        <v>451</v>
      </c>
      <c r="J257" s="9">
        <f t="array" ref="J257">IFERROR(I257/G257*100,0)</f>
        <v>10.243016125369067</v>
      </c>
      <c r="K257" s="143">
        <f t="array" ref="K257">INDEX([22]Monitoring!$J$6:$J$582,MATCH(1,([22]Monitoring!$D$6:$D$582=$D257)*([22]Monitoring!$D$6:$D$582=$D257),0))</f>
        <v>56</v>
      </c>
      <c r="L257" s="9">
        <f t="shared" si="4"/>
        <v>12.416851441241686</v>
      </c>
      <c r="M257" s="8" t="str">
        <f t="array" ref="M257">IF(L257&gt;5,"Perlu Pengendalian",IF(AND(L257&gt;=0,I257&gt;0),"Tidak Perlu Pengendalian","Belum Sensus"))</f>
        <v>Perlu Pengendalian</v>
      </c>
    </row>
    <row r="258" spans="1:13" outlineLevel="1" x14ac:dyDescent="0.15">
      <c r="A258" s="8" t="s">
        <v>13</v>
      </c>
      <c r="B258" s="8" t="s">
        <v>47</v>
      </c>
      <c r="C258" s="8" t="s">
        <v>252</v>
      </c>
      <c r="D258" s="8" t="s">
        <v>276</v>
      </c>
      <c r="E258" s="9">
        <v>44.83</v>
      </c>
      <c r="F258" s="8" t="s">
        <v>132</v>
      </c>
      <c r="G258" s="10">
        <v>6503</v>
      </c>
      <c r="H258" s="11">
        <f t="array" ref="H258">INDEX([22]Monitoring!$H$6:$H$582,MATCH(1,([22]Monitoring!$D$6:$D$582=$D258)*([22]Monitoring!$D$6:$D$582=$D258),0))</f>
        <v>46154</v>
      </c>
      <c r="I258" s="143">
        <f t="array" ref="I258">INDEX([22]Monitoring!$I$6:$I$582,MATCH(1,([22]Monitoring!$D$6:$D$582=$D258)*([22]Monitoring!$D$6:$D$582=$D258),0))</f>
        <v>721</v>
      </c>
      <c r="J258" s="9">
        <f t="array" ref="J258">IFERROR(I258/G258*100,0)</f>
        <v>11.08719052744887</v>
      </c>
      <c r="K258" s="143">
        <f t="array" ref="K258">INDEX([22]Monitoring!$J$6:$J$582,MATCH(1,([22]Monitoring!$D$6:$D$582=$D258)*([22]Monitoring!$D$6:$D$582=$D258),0))</f>
        <v>34</v>
      </c>
      <c r="L258" s="9">
        <f t="shared" si="4"/>
        <v>4.7156726768377251</v>
      </c>
      <c r="M258" s="8" t="str">
        <f t="array" ref="M258">IF(L258&gt;5,"Perlu Pengendalian",IF(AND(L258&gt;=0,I258&gt;0),"Tidak Perlu Pengendalian","Belum Sensus"))</f>
        <v>Tidak Perlu Pengendalian</v>
      </c>
    </row>
    <row r="259" spans="1:13" outlineLevel="1" x14ac:dyDescent="0.15">
      <c r="A259" s="8" t="s">
        <v>13</v>
      </c>
      <c r="B259" s="8" t="s">
        <v>47</v>
      </c>
      <c r="C259" s="8" t="s">
        <v>252</v>
      </c>
      <c r="D259" s="8" t="s">
        <v>277</v>
      </c>
      <c r="E259" s="9">
        <v>24.85</v>
      </c>
      <c r="F259" s="8" t="s">
        <v>132</v>
      </c>
      <c r="G259" s="10">
        <v>3637</v>
      </c>
      <c r="H259" s="11">
        <f t="array" ref="H259">INDEX([22]Monitoring!$H$6:$H$582,MATCH(1,([22]Monitoring!$D$6:$D$582=$D259)*([22]Monitoring!$D$6:$D$582=$D259),0))</f>
        <v>46155</v>
      </c>
      <c r="I259" s="143">
        <f t="array" ref="I259">INDEX([22]Monitoring!$I$6:$I$582,MATCH(1,([22]Monitoring!$D$6:$D$582=$D259)*([22]Monitoring!$D$6:$D$582=$D259),0))</f>
        <v>394</v>
      </c>
      <c r="J259" s="9">
        <f t="array" ref="J259">IFERROR(I259/G259*100,0)</f>
        <v>10.833104206763815</v>
      </c>
      <c r="K259" s="143">
        <f t="array" ref="K259">INDEX([22]Monitoring!$J$6:$J$582,MATCH(1,([22]Monitoring!$D$6:$D$582=$D259)*([22]Monitoring!$D$6:$D$582=$D259),0))</f>
        <v>7</v>
      </c>
      <c r="L259" s="9">
        <f t="shared" si="4"/>
        <v>1.7766497461928936</v>
      </c>
      <c r="M259" s="8" t="str">
        <f t="array" ref="M259">IF(L259&gt;5,"Perlu Pengendalian",IF(AND(L259&gt;=0,I259&gt;0),"Tidak Perlu Pengendalian","Belum Sensus"))</f>
        <v>Tidak Perlu Pengendalian</v>
      </c>
    </row>
    <row r="260" spans="1:13" outlineLevel="1" x14ac:dyDescent="0.15">
      <c r="A260" s="8" t="s">
        <v>13</v>
      </c>
      <c r="B260" s="8" t="s">
        <v>47</v>
      </c>
      <c r="C260" s="8" t="s">
        <v>252</v>
      </c>
      <c r="D260" s="8" t="s">
        <v>278</v>
      </c>
      <c r="E260" s="9">
        <v>24.32</v>
      </c>
      <c r="F260" s="8" t="s">
        <v>132</v>
      </c>
      <c r="G260" s="10">
        <v>3559</v>
      </c>
      <c r="H260" s="11">
        <f t="array" ref="H260">INDEX([22]Monitoring!$H$6:$H$582,MATCH(1,([22]Monitoring!$D$6:$D$582=$D260)*([22]Monitoring!$D$6:$D$582=$D260),0))</f>
        <v>46155</v>
      </c>
      <c r="I260" s="143">
        <f t="array" ref="I260">INDEX([22]Monitoring!$I$6:$I$582,MATCH(1,([22]Monitoring!$D$6:$D$582=$D260)*([22]Monitoring!$D$6:$D$582=$D260),0))</f>
        <v>348</v>
      </c>
      <c r="J260" s="9">
        <f t="array" ref="J260">IFERROR(I260/G260*100,0)</f>
        <v>9.7780275358246698</v>
      </c>
      <c r="K260" s="143">
        <f t="array" ref="K260">INDEX([22]Monitoring!$J$6:$J$582,MATCH(1,([22]Monitoring!$D$6:$D$582=$D260)*([22]Monitoring!$D$6:$D$582=$D260),0))</f>
        <v>5</v>
      </c>
      <c r="L260" s="9">
        <f t="shared" si="4"/>
        <v>1.4367816091954022</v>
      </c>
      <c r="M260" s="8" t="str">
        <f t="array" ref="M260">IF(L260&gt;5,"Perlu Pengendalian",IF(AND(L260&gt;=0,I260&gt;0),"Tidak Perlu Pengendalian","Belum Sensus"))</f>
        <v>Tidak Perlu Pengendalian</v>
      </c>
    </row>
    <row r="261" spans="1:13" outlineLevel="1" x14ac:dyDescent="0.15">
      <c r="A261" s="8" t="s">
        <v>13</v>
      </c>
      <c r="B261" s="8" t="s">
        <v>47</v>
      </c>
      <c r="C261" s="8" t="s">
        <v>252</v>
      </c>
      <c r="D261" s="8" t="s">
        <v>279</v>
      </c>
      <c r="E261" s="9">
        <v>26.27</v>
      </c>
      <c r="F261" s="8" t="s">
        <v>132</v>
      </c>
      <c r="G261" s="10">
        <v>3961</v>
      </c>
      <c r="H261" s="11">
        <f t="array" ref="H261">INDEX([22]Monitoring!$H$6:$H$582,MATCH(1,([22]Monitoring!$D$6:$D$582=$D261)*([22]Monitoring!$D$6:$D$582=$D261),0))</f>
        <v>46155</v>
      </c>
      <c r="I261" s="143">
        <f t="array" ref="I261">INDEX([22]Monitoring!$I$6:$I$582,MATCH(1,([22]Monitoring!$D$6:$D$582=$D261)*([22]Monitoring!$D$6:$D$582=$D261),0))</f>
        <v>421</v>
      </c>
      <c r="J261" s="9">
        <f t="array" ref="J261">IFERROR(I261/G261*100,0)</f>
        <v>10.628629134057057</v>
      </c>
      <c r="K261" s="143">
        <f t="array" ref="K261">INDEX([22]Monitoring!$J$6:$J$582,MATCH(1,([22]Monitoring!$D$6:$D$582=$D261)*([22]Monitoring!$D$6:$D$582=$D261),0))</f>
        <v>21</v>
      </c>
      <c r="L261" s="9">
        <f t="shared" si="4"/>
        <v>4.9881235154394297</v>
      </c>
      <c r="M261" s="8" t="str">
        <f t="array" ref="M261">IF(L261&gt;5,"Perlu Pengendalian",IF(AND(L261&gt;=0,I261&gt;0),"Tidak Perlu Pengendalian","Belum Sensus"))</f>
        <v>Tidak Perlu Pengendalian</v>
      </c>
    </row>
    <row r="262" spans="1:13" outlineLevel="1" x14ac:dyDescent="0.15">
      <c r="A262" s="8" t="s">
        <v>13</v>
      </c>
      <c r="B262" s="8" t="s">
        <v>47</v>
      </c>
      <c r="C262" s="8" t="s">
        <v>252</v>
      </c>
      <c r="D262" s="8" t="s">
        <v>280</v>
      </c>
      <c r="E262" s="9">
        <v>25.38</v>
      </c>
      <c r="F262" s="8" t="s">
        <v>132</v>
      </c>
      <c r="G262" s="10">
        <v>3752</v>
      </c>
      <c r="H262" s="11">
        <f t="array" ref="H262">INDEX([22]Monitoring!$H$6:$H$582,MATCH(1,([22]Monitoring!$D$6:$D$582=$D262)*([22]Monitoring!$D$6:$D$582=$D262),0))</f>
        <v>46155</v>
      </c>
      <c r="I262" s="143">
        <f t="array" ref="I262">INDEX([22]Monitoring!$I$6:$I$582,MATCH(1,([22]Monitoring!$D$6:$D$582=$D262)*([22]Monitoring!$D$6:$D$582=$D262),0))</f>
        <v>373</v>
      </c>
      <c r="J262" s="9">
        <f t="array" ref="J262">IFERROR(I262/G262*100,0)</f>
        <v>9.9413646055437095</v>
      </c>
      <c r="K262" s="143">
        <f t="array" ref="K262">INDEX([22]Monitoring!$J$6:$J$582,MATCH(1,([22]Monitoring!$D$6:$D$582=$D262)*([22]Monitoring!$D$6:$D$582=$D262),0))</f>
        <v>22</v>
      </c>
      <c r="L262" s="9">
        <f t="shared" si="4"/>
        <v>5.8981233243967823</v>
      </c>
      <c r="M262" s="8" t="str">
        <f t="array" ref="M262">IF(L262&gt;5,"Perlu Pengendalian",IF(AND(L262&gt;=0,I262&gt;0),"Tidak Perlu Pengendalian","Belum Sensus"))</f>
        <v>Perlu Pengendalian</v>
      </c>
    </row>
    <row r="263" spans="1:13" outlineLevel="1" x14ac:dyDescent="0.15">
      <c r="A263" s="8" t="s">
        <v>13</v>
      </c>
      <c r="B263" s="8" t="s">
        <v>47</v>
      </c>
      <c r="C263" s="8" t="s">
        <v>252</v>
      </c>
      <c r="D263" s="8" t="s">
        <v>281</v>
      </c>
      <c r="E263" s="9">
        <v>25.26</v>
      </c>
      <c r="F263" s="8" t="s">
        <v>132</v>
      </c>
      <c r="G263" s="10">
        <v>3705</v>
      </c>
      <c r="H263" s="11">
        <f t="array" ref="H263">INDEX([22]Monitoring!$H$6:$H$582,MATCH(1,([22]Monitoring!$D$6:$D$582=$D263)*([22]Monitoring!$D$6:$D$582=$D263),0))</f>
        <v>46157</v>
      </c>
      <c r="I263" s="143">
        <f t="array" ref="I263">INDEX([22]Monitoring!$I$6:$I$582,MATCH(1,([22]Monitoring!$D$6:$D$582=$D263)*([22]Monitoring!$D$6:$D$582=$D263),0))</f>
        <v>391</v>
      </c>
      <c r="J263" s="9">
        <f t="array" ref="J263">IFERROR(I263/G263*100,0)</f>
        <v>10.553306342780026</v>
      </c>
      <c r="K263" s="143">
        <f t="array" ref="K263">INDEX([22]Monitoring!$J$6:$J$582,MATCH(1,([22]Monitoring!$D$6:$D$582=$D263)*([22]Monitoring!$D$6:$D$582=$D263),0))</f>
        <v>12</v>
      </c>
      <c r="L263" s="9">
        <f t="shared" si="4"/>
        <v>3.0690537084398977</v>
      </c>
      <c r="M263" s="8" t="str">
        <f t="array" ref="M263">IF(L263&gt;5,"Perlu Pengendalian",IF(AND(L263&gt;=0,I263&gt;0),"Tidak Perlu Pengendalian","Belum Sensus"))</f>
        <v>Tidak Perlu Pengendalian</v>
      </c>
    </row>
    <row r="264" spans="1:13" outlineLevel="1" x14ac:dyDescent="0.15">
      <c r="A264" s="8" t="s">
        <v>13</v>
      </c>
      <c r="B264" s="8" t="s">
        <v>47</v>
      </c>
      <c r="C264" s="8" t="s">
        <v>252</v>
      </c>
      <c r="D264" s="8" t="s">
        <v>282</v>
      </c>
      <c r="E264" s="9">
        <v>24.8</v>
      </c>
      <c r="F264" s="8" t="s">
        <v>132</v>
      </c>
      <c r="G264" s="10">
        <v>3539</v>
      </c>
      <c r="H264" s="11">
        <f t="array" ref="H264">INDEX([22]Monitoring!$H$6:$H$582,MATCH(1,([22]Monitoring!$D$6:$D$582=$D264)*([22]Monitoring!$D$6:$D$582=$D264),0))</f>
        <v>46157</v>
      </c>
      <c r="I264" s="143">
        <f t="array" ref="I264">INDEX([22]Monitoring!$I$6:$I$582,MATCH(1,([22]Monitoring!$D$6:$D$582=$D264)*([22]Monitoring!$D$6:$D$582=$D264),0))</f>
        <v>364</v>
      </c>
      <c r="J264" s="9">
        <f t="array" ref="J264">IFERROR(I264/G264*100,0)</f>
        <v>10.285391353489686</v>
      </c>
      <c r="K264" s="143">
        <f t="array" ref="K264">INDEX([22]Monitoring!$J$6:$J$582,MATCH(1,([22]Monitoring!$D$6:$D$582=$D264)*([22]Monitoring!$D$6:$D$582=$D264),0))</f>
        <v>5</v>
      </c>
      <c r="L264" s="9">
        <f t="shared" si="4"/>
        <v>1.3736263736263736</v>
      </c>
      <c r="M264" s="8" t="str">
        <f t="array" ref="M264">IF(L264&gt;5,"Perlu Pengendalian",IF(AND(L264&gt;=0,I264&gt;0),"Tidak Perlu Pengendalian","Belum Sensus"))</f>
        <v>Tidak Perlu Pengendalian</v>
      </c>
    </row>
    <row r="265" spans="1:13" outlineLevel="1" x14ac:dyDescent="0.15">
      <c r="A265" s="8" t="s">
        <v>13</v>
      </c>
      <c r="B265" s="8" t="s">
        <v>47</v>
      </c>
      <c r="C265" s="8" t="s">
        <v>252</v>
      </c>
      <c r="D265" s="8" t="s">
        <v>283</v>
      </c>
      <c r="E265" s="9">
        <v>27.11</v>
      </c>
      <c r="F265" s="8" t="s">
        <v>132</v>
      </c>
      <c r="G265" s="10">
        <v>3183</v>
      </c>
      <c r="H265" s="11">
        <f t="array" ref="H265">INDEX([22]Monitoring!$H$6:$H$582,MATCH(1,([22]Monitoring!$D$6:$D$582=$D265)*([22]Monitoring!$D$6:$D$582=$D265),0))</f>
        <v>46157</v>
      </c>
      <c r="I265" s="143">
        <f t="array" ref="I265">INDEX([22]Monitoring!$I$6:$I$582,MATCH(1,([22]Monitoring!$D$6:$D$582=$D265)*([22]Monitoring!$D$6:$D$582=$D265),0))</f>
        <v>378</v>
      </c>
      <c r="J265" s="9">
        <f t="array" ref="J265">IFERROR(I265/G265*100,0)</f>
        <v>11.875589066918002</v>
      </c>
      <c r="K265" s="143">
        <f t="array" ref="K265">INDEX([22]Monitoring!$J$6:$J$582,MATCH(1,([22]Monitoring!$D$6:$D$582=$D265)*([22]Monitoring!$D$6:$D$582=$D265),0))</f>
        <v>15</v>
      </c>
      <c r="L265" s="9">
        <f t="shared" si="4"/>
        <v>3.9682539682539679</v>
      </c>
      <c r="M265" s="8" t="str">
        <f t="array" ref="M265">IF(L265&gt;5,"Perlu Pengendalian",IF(AND(L265&gt;=0,I265&gt;0),"Tidak Perlu Pengendalian","Belum Sensus"))</f>
        <v>Tidak Perlu Pengendalian</v>
      </c>
    </row>
    <row r="266" spans="1:13" outlineLevel="1" x14ac:dyDescent="0.15">
      <c r="A266" s="8" t="s">
        <v>13</v>
      </c>
      <c r="B266" s="8" t="s">
        <v>47</v>
      </c>
      <c r="C266" s="8" t="s">
        <v>252</v>
      </c>
      <c r="D266" s="8" t="s">
        <v>284</v>
      </c>
      <c r="E266" s="9">
        <v>24.67</v>
      </c>
      <c r="F266" s="8" t="s">
        <v>132</v>
      </c>
      <c r="G266" s="10">
        <v>3552</v>
      </c>
      <c r="H266" s="11">
        <f t="array" ref="H266">INDEX([22]Monitoring!$H$6:$H$582,MATCH(1,([22]Monitoring!$D$6:$D$582=$D266)*([22]Monitoring!$D$6:$D$582=$D266),0))</f>
        <v>46157</v>
      </c>
      <c r="I266" s="143">
        <f t="array" ref="I266">INDEX([22]Monitoring!$I$6:$I$582,MATCH(1,([22]Monitoring!$D$6:$D$582=$D266)*([22]Monitoring!$D$6:$D$582=$D266),0))</f>
        <v>398</v>
      </c>
      <c r="J266" s="9">
        <f t="array" ref="J266">IFERROR(I266/G266*100,0)</f>
        <v>11.204954954954955</v>
      </c>
      <c r="K266" s="143">
        <f t="array" ref="K266">INDEX([22]Monitoring!$J$6:$J$582,MATCH(1,([22]Monitoring!$D$6:$D$582=$D266)*([22]Monitoring!$D$6:$D$582=$D266),0))</f>
        <v>14</v>
      </c>
      <c r="L266" s="9">
        <f t="shared" si="4"/>
        <v>3.5175879396984926</v>
      </c>
      <c r="M266" s="8" t="str">
        <f t="array" ref="M266">IF(L266&gt;5,"Perlu Pengendalian",IF(AND(L266&gt;=0,I266&gt;0),"Tidak Perlu Pengendalian","Belum Sensus"))</f>
        <v>Tidak Perlu Pengendalian</v>
      </c>
    </row>
    <row r="267" spans="1:13" outlineLevel="1" x14ac:dyDescent="0.15">
      <c r="A267" s="8" t="s">
        <v>13</v>
      </c>
      <c r="B267" s="8" t="s">
        <v>47</v>
      </c>
      <c r="C267" s="8" t="s">
        <v>252</v>
      </c>
      <c r="D267" s="8" t="s">
        <v>285</v>
      </c>
      <c r="E267" s="9">
        <v>27.96</v>
      </c>
      <c r="F267" s="8" t="s">
        <v>132</v>
      </c>
      <c r="G267" s="10">
        <v>3412</v>
      </c>
      <c r="H267" s="11">
        <f t="array" ref="H267">INDEX([22]Monitoring!$H$6:$H$582,MATCH(1,([22]Monitoring!$D$6:$D$582=$D267)*([22]Monitoring!$D$6:$D$582=$D267),0))</f>
        <v>46158</v>
      </c>
      <c r="I267" s="143">
        <f t="array" ref="I267">INDEX([22]Monitoring!$I$6:$I$582,MATCH(1,([22]Monitoring!$D$6:$D$582=$D267)*([22]Monitoring!$D$6:$D$582=$D267),0))</f>
        <v>435</v>
      </c>
      <c r="J267" s="9">
        <f t="array" ref="J267">IFERROR(I267/G267*100,0)</f>
        <v>12.749120750293082</v>
      </c>
      <c r="K267" s="143">
        <f t="array" ref="K267">INDEX([22]Monitoring!$J$6:$J$582,MATCH(1,([22]Monitoring!$D$6:$D$582=$D267)*([22]Monitoring!$D$6:$D$582=$D267),0))</f>
        <v>19</v>
      </c>
      <c r="L267" s="9">
        <f t="shared" si="4"/>
        <v>4.3678160919540225</v>
      </c>
      <c r="M267" s="8" t="str">
        <f t="array" ref="M267">IF(L267&gt;5,"Perlu Pengendalian",IF(AND(L267&gt;=0,I267&gt;0),"Tidak Perlu Pengendalian","Belum Sensus"))</f>
        <v>Tidak Perlu Pengendalian</v>
      </c>
    </row>
    <row r="268" spans="1:13" outlineLevel="1" x14ac:dyDescent="0.15">
      <c r="A268" s="8" t="s">
        <v>13</v>
      </c>
      <c r="B268" s="8" t="s">
        <v>47</v>
      </c>
      <c r="C268" s="8" t="s">
        <v>252</v>
      </c>
      <c r="D268" s="8" t="s">
        <v>286</v>
      </c>
      <c r="E268" s="9">
        <v>25.14</v>
      </c>
      <c r="F268" s="8" t="s">
        <v>132</v>
      </c>
      <c r="G268" s="10">
        <v>3437</v>
      </c>
      <c r="H268" s="11">
        <f t="array" ref="H268">INDEX([22]Monitoring!$H$6:$H$582,MATCH(1,([22]Monitoring!$D$6:$D$582=$D268)*([22]Monitoring!$D$6:$D$582=$D268),0))</f>
        <v>46158</v>
      </c>
      <c r="I268" s="143">
        <f t="array" ref="I268">INDEX([22]Monitoring!$I$6:$I$582,MATCH(1,([22]Monitoring!$D$6:$D$582=$D268)*([22]Monitoring!$D$6:$D$582=$D268),0))</f>
        <v>395</v>
      </c>
      <c r="J268" s="9">
        <f t="array" ref="J268">IFERROR(I268/G268*100,0)</f>
        <v>11.492580739016585</v>
      </c>
      <c r="K268" s="143">
        <f t="array" ref="K268">INDEX([22]Monitoring!$J$6:$J$582,MATCH(1,([22]Monitoring!$D$6:$D$582=$D268)*([22]Monitoring!$D$6:$D$582=$D268),0))</f>
        <v>18</v>
      </c>
      <c r="L268" s="9">
        <f t="shared" si="4"/>
        <v>4.556962025316456</v>
      </c>
      <c r="M268" s="8" t="str">
        <f t="array" ref="M268">IF(L268&gt;5,"Perlu Pengendalian",IF(AND(L268&gt;=0,I268&gt;0),"Tidak Perlu Pengendalian","Belum Sensus"))</f>
        <v>Tidak Perlu Pengendalian</v>
      </c>
    </row>
    <row r="269" spans="1:13" outlineLevel="1" x14ac:dyDescent="0.15">
      <c r="A269" s="8" t="s">
        <v>13</v>
      </c>
      <c r="B269" s="8" t="s">
        <v>47</v>
      </c>
      <c r="C269" s="8" t="s">
        <v>252</v>
      </c>
      <c r="D269" s="8" t="s">
        <v>287</v>
      </c>
      <c r="E269" s="9">
        <v>28.08</v>
      </c>
      <c r="F269" s="8" t="s">
        <v>132</v>
      </c>
      <c r="G269" s="10">
        <v>4064</v>
      </c>
      <c r="H269" s="11">
        <f t="array" ref="H269">INDEX([22]Monitoring!$H$6:$H$582,MATCH(1,([22]Monitoring!$D$6:$D$582=$D269)*([22]Monitoring!$D$6:$D$582=$D269),0))</f>
        <v>46158</v>
      </c>
      <c r="I269" s="143">
        <f t="array" ref="I269">INDEX([22]Monitoring!$I$6:$I$582,MATCH(1,([22]Monitoring!$D$6:$D$582=$D269)*([22]Monitoring!$D$6:$D$582=$D269),0))</f>
        <v>427</v>
      </c>
      <c r="J269" s="9">
        <f t="array" ref="J269">IFERROR(I269/G269*100,0)</f>
        <v>10.506889763779528</v>
      </c>
      <c r="K269" s="143">
        <f t="array" ref="K269">INDEX([22]Monitoring!$J$6:$J$582,MATCH(1,([22]Monitoring!$D$6:$D$582=$D269)*([22]Monitoring!$D$6:$D$582=$D269),0))</f>
        <v>13</v>
      </c>
      <c r="L269" s="9">
        <f t="shared" si="4"/>
        <v>3.0444964871194378</v>
      </c>
      <c r="M269" s="8" t="str">
        <f t="array" ref="M269">IF(L269&gt;5,"Perlu Pengendalian",IF(AND(L269&gt;=0,I269&gt;0),"Tidak Perlu Pengendalian","Belum Sensus"))</f>
        <v>Tidak Perlu Pengendalian</v>
      </c>
    </row>
    <row r="270" spans="1:13" outlineLevel="1" x14ac:dyDescent="0.15">
      <c r="A270" s="8" t="s">
        <v>13</v>
      </c>
      <c r="B270" s="8" t="s">
        <v>47</v>
      </c>
      <c r="C270" s="8" t="s">
        <v>252</v>
      </c>
      <c r="D270" s="8" t="s">
        <v>288</v>
      </c>
      <c r="E270" s="9">
        <v>23.3</v>
      </c>
      <c r="F270" s="8" t="s">
        <v>132</v>
      </c>
      <c r="G270" s="10">
        <v>3387</v>
      </c>
      <c r="H270" s="11">
        <f t="array" ref="H270">INDEX([22]Monitoring!$H$6:$H$582,MATCH(1,([22]Monitoring!$D$6:$D$582=$D270)*([22]Monitoring!$D$6:$D$582=$D270),0))</f>
        <v>46158</v>
      </c>
      <c r="I270" s="143">
        <f t="array" ref="I270">INDEX([22]Monitoring!$I$6:$I$582,MATCH(1,([22]Monitoring!$D$6:$D$582=$D270)*([22]Monitoring!$D$6:$D$582=$D270),0))</f>
        <v>363</v>
      </c>
      <c r="J270" s="9">
        <f t="array" ref="J270">IFERROR(I270/G270*100,0)</f>
        <v>10.717449069973428</v>
      </c>
      <c r="K270" s="143">
        <f t="array" ref="K270">INDEX([22]Monitoring!$J$6:$J$582,MATCH(1,([22]Monitoring!$D$6:$D$582=$D270)*([22]Monitoring!$D$6:$D$582=$D270),0))</f>
        <v>20</v>
      </c>
      <c r="L270" s="9">
        <f t="shared" si="4"/>
        <v>5.5096418732782375</v>
      </c>
      <c r="M270" s="8" t="str">
        <f t="array" ref="M270">IF(L270&gt;5,"Perlu Pengendalian",IF(AND(L270&gt;=0,I270&gt;0),"Tidak Perlu Pengendalian","Belum Sensus"))</f>
        <v>Perlu Pengendalian</v>
      </c>
    </row>
    <row r="271" spans="1:13" outlineLevel="1" x14ac:dyDescent="0.15">
      <c r="A271" s="8" t="s">
        <v>13</v>
      </c>
      <c r="B271" s="8" t="s">
        <v>47</v>
      </c>
      <c r="C271" s="8" t="s">
        <v>252</v>
      </c>
      <c r="D271" s="8" t="s">
        <v>289</v>
      </c>
      <c r="E271" s="9">
        <v>26.35</v>
      </c>
      <c r="F271" s="8" t="s">
        <v>132</v>
      </c>
      <c r="G271" s="10">
        <v>3570</v>
      </c>
      <c r="H271" s="11">
        <f t="array" ref="H271">INDEX([22]Monitoring!$H$6:$H$582,MATCH(1,([22]Monitoring!$D$6:$D$582=$D271)*([22]Monitoring!$D$6:$D$582=$D271),0))</f>
        <v>46158</v>
      </c>
      <c r="I271" s="143">
        <f t="array" ref="I271">INDEX([22]Monitoring!$I$6:$I$582,MATCH(1,([22]Monitoring!$D$6:$D$582=$D271)*([22]Monitoring!$D$6:$D$582=$D271),0))</f>
        <v>392</v>
      </c>
      <c r="J271" s="9">
        <f t="array" ref="J271">IFERROR(I271/G271*100,0)</f>
        <v>10.980392156862745</v>
      </c>
      <c r="K271" s="143">
        <f t="array" ref="K271">INDEX([22]Monitoring!$J$6:$J$582,MATCH(1,([22]Monitoring!$D$6:$D$582=$D271)*([22]Monitoring!$D$6:$D$582=$D271),0))</f>
        <v>26</v>
      </c>
      <c r="L271" s="9">
        <f t="shared" si="4"/>
        <v>6.6326530612244898</v>
      </c>
      <c r="M271" s="8" t="str">
        <f t="array" ref="M271">IF(L271&gt;5,"Perlu Pengendalian",IF(AND(L271&gt;=0,I271&gt;0),"Tidak Perlu Pengendalian","Belum Sensus"))</f>
        <v>Perlu Pengendalian</v>
      </c>
    </row>
    <row r="272" spans="1:13" outlineLevel="1" x14ac:dyDescent="0.15">
      <c r="A272" s="8" t="s">
        <v>13</v>
      </c>
      <c r="B272" s="8" t="s">
        <v>47</v>
      </c>
      <c r="C272" s="8" t="s">
        <v>290</v>
      </c>
      <c r="D272" s="8" t="s">
        <v>291</v>
      </c>
      <c r="E272" s="9">
        <v>25.02</v>
      </c>
      <c r="F272" s="8" t="s">
        <v>132</v>
      </c>
      <c r="G272" s="10">
        <v>3636</v>
      </c>
      <c r="H272" s="11">
        <f t="array" ref="H272">INDEX([22]Monitoring!$H$6:$H$582,MATCH(1,([22]Monitoring!$D$6:$D$582=$D272)*([22]Monitoring!$D$6:$D$582=$D272),0))</f>
        <v>46148</v>
      </c>
      <c r="I272" s="143">
        <f t="array" ref="I272">INDEX([22]Monitoring!$I$6:$I$582,MATCH(1,([22]Monitoring!$D$6:$D$582=$D272)*([22]Monitoring!$D$6:$D$582=$D272),0))</f>
        <v>374</v>
      </c>
      <c r="J272" s="9">
        <f t="array" ref="J272">IFERROR(I272/G272*100,0)</f>
        <v>10.286028602860286</v>
      </c>
      <c r="K272" s="143">
        <f t="array" ref="K272">INDEX([22]Monitoring!$J$6:$J$582,MATCH(1,([22]Monitoring!$D$6:$D$582=$D272)*([22]Monitoring!$D$6:$D$582=$D272),0))</f>
        <v>61</v>
      </c>
      <c r="L272" s="9">
        <f t="shared" si="4"/>
        <v>16.310160427807489</v>
      </c>
      <c r="M272" s="8" t="str">
        <f t="array" ref="M272">IF(L272&gt;5,"Perlu Pengendalian",IF(AND(L272&gt;=0,I272&gt;0),"Tidak Perlu Pengendalian","Belum Sensus"))</f>
        <v>Perlu Pengendalian</v>
      </c>
    </row>
    <row r="273" spans="1:13" outlineLevel="1" x14ac:dyDescent="0.15">
      <c r="A273" s="8" t="s">
        <v>13</v>
      </c>
      <c r="B273" s="8" t="s">
        <v>47</v>
      </c>
      <c r="C273" s="8" t="s">
        <v>290</v>
      </c>
      <c r="D273" s="8" t="s">
        <v>292</v>
      </c>
      <c r="E273" s="9">
        <v>25.01</v>
      </c>
      <c r="F273" s="8" t="s">
        <v>132</v>
      </c>
      <c r="G273" s="10">
        <v>3740</v>
      </c>
      <c r="H273" s="11">
        <f t="array" ref="H273">INDEX([22]Monitoring!$H$6:$H$582,MATCH(1,([22]Monitoring!$D$6:$D$582=$D273)*([22]Monitoring!$D$6:$D$582=$D273),0))</f>
        <v>46148</v>
      </c>
      <c r="I273" s="143">
        <f t="array" ref="I273">INDEX([22]Monitoring!$I$6:$I$582,MATCH(1,([22]Monitoring!$D$6:$D$582=$D273)*([22]Monitoring!$D$6:$D$582=$D273),0))</f>
        <v>383</v>
      </c>
      <c r="J273" s="9">
        <f t="array" ref="J273">IFERROR(I273/G273*100,0)</f>
        <v>10.240641711229946</v>
      </c>
      <c r="K273" s="143">
        <f t="array" ref="K273">INDEX([22]Monitoring!$J$6:$J$582,MATCH(1,([22]Monitoring!$D$6:$D$582=$D273)*([22]Monitoring!$D$6:$D$582=$D273),0))</f>
        <v>31</v>
      </c>
      <c r="L273" s="9">
        <f t="shared" si="4"/>
        <v>8.093994778067886</v>
      </c>
      <c r="M273" s="8" t="str">
        <f t="array" ref="M273">IF(L273&gt;5,"Perlu Pengendalian",IF(AND(L273&gt;=0,I273&gt;0),"Tidak Perlu Pengendalian","Belum Sensus"))</f>
        <v>Perlu Pengendalian</v>
      </c>
    </row>
    <row r="274" spans="1:13" outlineLevel="1" x14ac:dyDescent="0.15">
      <c r="A274" s="8" t="s">
        <v>13</v>
      </c>
      <c r="B274" s="8" t="s">
        <v>47</v>
      </c>
      <c r="C274" s="8" t="s">
        <v>290</v>
      </c>
      <c r="D274" s="8" t="s">
        <v>293</v>
      </c>
      <c r="E274" s="9">
        <v>25.35</v>
      </c>
      <c r="F274" s="8" t="s">
        <v>132</v>
      </c>
      <c r="G274" s="10">
        <v>3784</v>
      </c>
      <c r="H274" s="11">
        <f t="array" ref="H274">INDEX([22]Monitoring!$H$6:$H$582,MATCH(1,([22]Monitoring!$D$6:$D$582=$D274)*([22]Monitoring!$D$6:$D$582=$D274),0))</f>
        <v>46148</v>
      </c>
      <c r="I274" s="143">
        <f t="array" ref="I274">INDEX([22]Monitoring!$I$6:$I$582,MATCH(1,([22]Monitoring!$D$6:$D$582=$D274)*([22]Monitoring!$D$6:$D$582=$D274),0))</f>
        <v>361</v>
      </c>
      <c r="J274" s="9">
        <f t="array" ref="J274">IFERROR(I274/G274*100,0)</f>
        <v>9.5401691331923892</v>
      </c>
      <c r="K274" s="143">
        <f t="array" ref="K274">INDEX([22]Monitoring!$J$6:$J$582,MATCH(1,([22]Monitoring!$D$6:$D$582=$D274)*([22]Monitoring!$D$6:$D$582=$D274),0))</f>
        <v>76</v>
      </c>
      <c r="L274" s="9">
        <f t="shared" si="4"/>
        <v>21.052631578947366</v>
      </c>
      <c r="M274" s="8" t="str">
        <f t="array" ref="M274">IF(L274&gt;5,"Perlu Pengendalian",IF(AND(L274&gt;=0,I274&gt;0),"Tidak Perlu Pengendalian","Belum Sensus"))</f>
        <v>Perlu Pengendalian</v>
      </c>
    </row>
    <row r="275" spans="1:13" outlineLevel="1" x14ac:dyDescent="0.15">
      <c r="A275" s="8" t="s">
        <v>13</v>
      </c>
      <c r="B275" s="8" t="s">
        <v>47</v>
      </c>
      <c r="C275" s="8" t="s">
        <v>290</v>
      </c>
      <c r="D275" s="8" t="s">
        <v>294</v>
      </c>
      <c r="E275" s="9">
        <v>37.630000000000003</v>
      </c>
      <c r="F275" s="8" t="s">
        <v>132</v>
      </c>
      <c r="G275" s="10">
        <v>5707</v>
      </c>
      <c r="H275" s="11">
        <f t="array" ref="H275">INDEX([22]Monitoring!$H$6:$H$582,MATCH(1,([22]Monitoring!$D$6:$D$582=$D275)*([22]Monitoring!$D$6:$D$582=$D275),0))</f>
        <v>46148</v>
      </c>
      <c r="I275" s="143">
        <f t="array" ref="I275">INDEX([22]Monitoring!$I$6:$I$582,MATCH(1,([22]Monitoring!$D$6:$D$582=$D275)*([22]Monitoring!$D$6:$D$582=$D275),0))</f>
        <v>361</v>
      </c>
      <c r="J275" s="9">
        <f t="array" ref="J275">IFERROR(I275/G275*100,0)</f>
        <v>6.325565095496759</v>
      </c>
      <c r="K275" s="143">
        <f t="array" ref="K275">INDEX([22]Monitoring!$J$6:$J$582,MATCH(1,([22]Monitoring!$D$6:$D$582=$D275)*([22]Monitoring!$D$6:$D$582=$D275),0))</f>
        <v>76</v>
      </c>
      <c r="L275" s="9">
        <f t="shared" si="4"/>
        <v>21.052631578947366</v>
      </c>
      <c r="M275" s="8" t="str">
        <f t="array" ref="M275">IF(L275&gt;5,"Perlu Pengendalian",IF(AND(L275&gt;=0,I275&gt;0),"Tidak Perlu Pengendalian","Belum Sensus"))</f>
        <v>Perlu Pengendalian</v>
      </c>
    </row>
    <row r="276" spans="1:13" outlineLevel="1" x14ac:dyDescent="0.15">
      <c r="A276" s="8" t="s">
        <v>13</v>
      </c>
      <c r="B276" s="8" t="s">
        <v>47</v>
      </c>
      <c r="C276" s="8" t="s">
        <v>290</v>
      </c>
      <c r="D276" s="8" t="s">
        <v>295</v>
      </c>
      <c r="E276" s="9">
        <v>25.63</v>
      </c>
      <c r="F276" s="8" t="s">
        <v>132</v>
      </c>
      <c r="G276" s="10">
        <v>3686</v>
      </c>
      <c r="H276" s="11">
        <f t="array" ref="H276">INDEX([22]Monitoring!$H$6:$H$582,MATCH(1,([22]Monitoring!$D$6:$D$582=$D276)*([22]Monitoring!$D$6:$D$582=$D276),0))</f>
        <v>46149</v>
      </c>
      <c r="I276" s="143">
        <f t="array" ref="I276">INDEX([22]Monitoring!$I$6:$I$582,MATCH(1,([22]Monitoring!$D$6:$D$582=$D276)*([22]Monitoring!$D$6:$D$582=$D276),0))</f>
        <v>392</v>
      </c>
      <c r="J276" s="9">
        <f t="array" ref="J276">IFERROR(I276/G276*100,0)</f>
        <v>10.634834508952794</v>
      </c>
      <c r="K276" s="143">
        <f t="array" ref="K276">INDEX([22]Monitoring!$J$6:$J$582,MATCH(1,([22]Monitoring!$D$6:$D$582=$D276)*([22]Monitoring!$D$6:$D$582=$D276),0))</f>
        <v>107</v>
      </c>
      <c r="L276" s="9">
        <f t="shared" ref="L276:L339" si="5">IFERROR(K276/I276*100,0)</f>
        <v>27.295918367346939</v>
      </c>
      <c r="M276" s="8" t="str">
        <f t="array" ref="M276">IF(L276&gt;5,"Perlu Pengendalian",IF(AND(L276&gt;=0,I276&gt;0),"Tidak Perlu Pengendalian","Belum Sensus"))</f>
        <v>Perlu Pengendalian</v>
      </c>
    </row>
    <row r="277" spans="1:13" outlineLevel="1" x14ac:dyDescent="0.15">
      <c r="A277" s="8" t="s">
        <v>13</v>
      </c>
      <c r="B277" s="8" t="s">
        <v>47</v>
      </c>
      <c r="C277" s="8" t="s">
        <v>290</v>
      </c>
      <c r="D277" s="8" t="s">
        <v>296</v>
      </c>
      <c r="E277" s="9">
        <v>24.32</v>
      </c>
      <c r="F277" s="8" t="s">
        <v>132</v>
      </c>
      <c r="G277" s="10">
        <v>3611</v>
      </c>
      <c r="H277" s="11">
        <f t="array" ref="H277">INDEX([22]Monitoring!$H$6:$H$582,MATCH(1,([22]Monitoring!$D$6:$D$582=$D277)*([22]Monitoring!$D$6:$D$582=$D277),0))</f>
        <v>46149</v>
      </c>
      <c r="I277" s="143">
        <f t="array" ref="I277">INDEX([22]Monitoring!$I$6:$I$582,MATCH(1,([22]Monitoring!$D$6:$D$582=$D277)*([22]Monitoring!$D$6:$D$582=$D277),0))</f>
        <v>345</v>
      </c>
      <c r="J277" s="9">
        <f t="array" ref="J277">IFERROR(I277/G277*100,0)</f>
        <v>9.5541401273885356</v>
      </c>
      <c r="K277" s="143">
        <f t="array" ref="K277">INDEX([22]Monitoring!$J$6:$J$582,MATCH(1,([22]Monitoring!$D$6:$D$582=$D277)*([22]Monitoring!$D$6:$D$582=$D277),0))</f>
        <v>79</v>
      </c>
      <c r="L277" s="9">
        <f t="shared" si="5"/>
        <v>22.89855072463768</v>
      </c>
      <c r="M277" s="8" t="str">
        <f t="array" ref="M277">IF(L277&gt;5,"Perlu Pengendalian",IF(AND(L277&gt;=0,I277&gt;0),"Tidak Perlu Pengendalian","Belum Sensus"))</f>
        <v>Perlu Pengendalian</v>
      </c>
    </row>
    <row r="278" spans="1:13" outlineLevel="1" x14ac:dyDescent="0.15">
      <c r="A278" s="8" t="s">
        <v>13</v>
      </c>
      <c r="B278" s="8" t="s">
        <v>47</v>
      </c>
      <c r="C278" s="8" t="s">
        <v>290</v>
      </c>
      <c r="D278" s="8" t="s">
        <v>297</v>
      </c>
      <c r="E278" s="9">
        <v>25.17</v>
      </c>
      <c r="F278" s="8" t="s">
        <v>132</v>
      </c>
      <c r="G278" s="10">
        <v>3628</v>
      </c>
      <c r="H278" s="11">
        <f t="array" ref="H278">INDEX([22]Monitoring!$H$6:$H$582,MATCH(1,([22]Monitoring!$D$6:$D$582=$D278)*([22]Monitoring!$D$6:$D$582=$D278),0))</f>
        <v>46149</v>
      </c>
      <c r="I278" s="143">
        <f t="array" ref="I278">INDEX([22]Monitoring!$I$6:$I$582,MATCH(1,([22]Monitoring!$D$6:$D$582=$D278)*([22]Monitoring!$D$6:$D$582=$D278),0))</f>
        <v>371</v>
      </c>
      <c r="J278" s="9">
        <f t="array" ref="J278">IFERROR(I278/G278*100,0)</f>
        <v>10.226019845644982</v>
      </c>
      <c r="K278" s="143">
        <f t="array" ref="K278">INDEX([22]Monitoring!$J$6:$J$582,MATCH(1,([22]Monitoring!$D$6:$D$582=$D278)*([22]Monitoring!$D$6:$D$582=$D278),0))</f>
        <v>17</v>
      </c>
      <c r="L278" s="9">
        <f t="shared" si="5"/>
        <v>4.5822102425876015</v>
      </c>
      <c r="M278" s="8" t="str">
        <f t="array" ref="M278">IF(L278&gt;5,"Perlu Pengendalian",IF(AND(L278&gt;=0,I278&gt;0),"Tidak Perlu Pengendalian","Belum Sensus"))</f>
        <v>Tidak Perlu Pengendalian</v>
      </c>
    </row>
    <row r="279" spans="1:13" outlineLevel="1" x14ac:dyDescent="0.15">
      <c r="A279" s="8" t="s">
        <v>13</v>
      </c>
      <c r="B279" s="8" t="s">
        <v>47</v>
      </c>
      <c r="C279" s="8" t="s">
        <v>290</v>
      </c>
      <c r="D279" s="8" t="s">
        <v>298</v>
      </c>
      <c r="E279" s="9">
        <v>24.89</v>
      </c>
      <c r="F279" s="8" t="s">
        <v>132</v>
      </c>
      <c r="G279" s="10">
        <v>3713</v>
      </c>
      <c r="H279" s="11">
        <f t="array" ref="H279">INDEX([22]Monitoring!$H$6:$H$582,MATCH(1,([22]Monitoring!$D$6:$D$582=$D279)*([22]Monitoring!$D$6:$D$582=$D279),0))</f>
        <v>46149</v>
      </c>
      <c r="I279" s="143">
        <f t="array" ref="I279">INDEX([22]Monitoring!$I$6:$I$582,MATCH(1,([22]Monitoring!$D$6:$D$582=$D279)*([22]Monitoring!$D$6:$D$582=$D279),0))</f>
        <v>391</v>
      </c>
      <c r="J279" s="9">
        <f t="array" ref="J279">IFERROR(I279/G279*100,0)</f>
        <v>10.530568273633181</v>
      </c>
      <c r="K279" s="143">
        <f t="array" ref="K279">INDEX([22]Monitoring!$J$6:$J$582,MATCH(1,([22]Monitoring!$D$6:$D$582=$D279)*([22]Monitoring!$D$6:$D$582=$D279),0))</f>
        <v>53</v>
      </c>
      <c r="L279" s="9">
        <f t="shared" si="5"/>
        <v>13.554987212276215</v>
      </c>
      <c r="M279" s="8" t="str">
        <f t="array" ref="M279">IF(L279&gt;5,"Perlu Pengendalian",IF(AND(L279&gt;=0,I279&gt;0),"Tidak Perlu Pengendalian","Belum Sensus"))</f>
        <v>Perlu Pengendalian</v>
      </c>
    </row>
    <row r="280" spans="1:13" outlineLevel="1" x14ac:dyDescent="0.15">
      <c r="A280" s="8" t="s">
        <v>13</v>
      </c>
      <c r="B280" s="8" t="s">
        <v>47</v>
      </c>
      <c r="C280" s="8" t="s">
        <v>290</v>
      </c>
      <c r="D280" s="8" t="s">
        <v>299</v>
      </c>
      <c r="E280" s="9">
        <v>24.1</v>
      </c>
      <c r="F280" s="8" t="s">
        <v>132</v>
      </c>
      <c r="G280" s="10">
        <v>3521</v>
      </c>
      <c r="H280" s="11">
        <f t="array" ref="H280">INDEX([22]Monitoring!$H$6:$H$582,MATCH(1,([22]Monitoring!$D$6:$D$582=$D280)*([22]Monitoring!$D$6:$D$582=$D280),0))</f>
        <v>46149</v>
      </c>
      <c r="I280" s="143">
        <f t="array" ref="I280">INDEX([22]Monitoring!$I$6:$I$582,MATCH(1,([22]Monitoring!$D$6:$D$582=$D280)*([22]Monitoring!$D$6:$D$582=$D280),0))</f>
        <v>389</v>
      </c>
      <c r="J280" s="9">
        <f t="array" ref="J280">IFERROR(I280/G280*100,0)</f>
        <v>11.047997727918204</v>
      </c>
      <c r="K280" s="143">
        <f t="array" ref="K280">INDEX([22]Monitoring!$J$6:$J$582,MATCH(1,([22]Monitoring!$D$6:$D$582=$D280)*([22]Monitoring!$D$6:$D$582=$D280),0))</f>
        <v>130</v>
      </c>
      <c r="L280" s="9">
        <f t="shared" si="5"/>
        <v>33.419023136246793</v>
      </c>
      <c r="M280" s="8" t="str">
        <f t="array" ref="M280">IF(L280&gt;5,"Perlu Pengendalian",IF(AND(L280&gt;=0,I280&gt;0),"Tidak Perlu Pengendalian","Belum Sensus"))</f>
        <v>Perlu Pengendalian</v>
      </c>
    </row>
    <row r="281" spans="1:13" outlineLevel="1" x14ac:dyDescent="0.15">
      <c r="A281" s="8" t="s">
        <v>13</v>
      </c>
      <c r="B281" s="8" t="s">
        <v>47</v>
      </c>
      <c r="C281" s="8" t="s">
        <v>290</v>
      </c>
      <c r="D281" s="8" t="s">
        <v>300</v>
      </c>
      <c r="E281" s="9">
        <v>26.5</v>
      </c>
      <c r="F281" s="8" t="s">
        <v>132</v>
      </c>
      <c r="G281" s="10">
        <v>3831</v>
      </c>
      <c r="H281" s="11">
        <f t="array" ref="H281">INDEX([22]Monitoring!$H$6:$H$582,MATCH(1,([22]Monitoring!$D$6:$D$582=$D281)*([22]Monitoring!$D$6:$D$582=$D281),0))</f>
        <v>46149</v>
      </c>
      <c r="I281" s="143">
        <f t="array" ref="I281">INDEX([22]Monitoring!$I$6:$I$582,MATCH(1,([22]Monitoring!$D$6:$D$582=$D281)*([22]Monitoring!$D$6:$D$582=$D281),0))</f>
        <v>425</v>
      </c>
      <c r="J281" s="9">
        <f t="array" ref="J281">IFERROR(I281/G281*100,0)</f>
        <v>11.09370921430436</v>
      </c>
      <c r="K281" s="143">
        <f t="array" ref="K281">INDEX([22]Monitoring!$J$6:$J$582,MATCH(1,([22]Monitoring!$D$6:$D$582=$D281)*([22]Monitoring!$D$6:$D$582=$D281),0))</f>
        <v>52</v>
      </c>
      <c r="L281" s="9">
        <f t="shared" si="5"/>
        <v>12.23529411764706</v>
      </c>
      <c r="M281" s="8" t="str">
        <f t="array" ref="M281">IF(L281&gt;5,"Perlu Pengendalian",IF(AND(L281&gt;=0,I281&gt;0),"Tidak Perlu Pengendalian","Belum Sensus"))</f>
        <v>Perlu Pengendalian</v>
      </c>
    </row>
    <row r="282" spans="1:13" outlineLevel="1" x14ac:dyDescent="0.15">
      <c r="A282" s="8" t="s">
        <v>13</v>
      </c>
      <c r="B282" s="8" t="s">
        <v>47</v>
      </c>
      <c r="C282" s="8" t="s">
        <v>290</v>
      </c>
      <c r="D282" s="8" t="s">
        <v>301</v>
      </c>
      <c r="E282" s="9">
        <v>25.32</v>
      </c>
      <c r="F282" s="8" t="s">
        <v>132</v>
      </c>
      <c r="G282" s="10">
        <v>3521</v>
      </c>
      <c r="H282" s="11">
        <f t="array" ref="H282">INDEX([22]Monitoring!$H$6:$H$582,MATCH(1,([22]Monitoring!$D$6:$D$582=$D282)*([22]Monitoring!$D$6:$D$582=$D282),0))</f>
        <v>46150</v>
      </c>
      <c r="I282" s="143">
        <f t="array" ref="I282">INDEX([22]Monitoring!$I$6:$I$582,MATCH(1,([22]Monitoring!$D$6:$D$582=$D282)*([22]Monitoring!$D$6:$D$582=$D282),0))</f>
        <v>378</v>
      </c>
      <c r="J282" s="9">
        <f t="array" ref="J282">IFERROR(I282/G282*100,0)</f>
        <v>10.735586481113319</v>
      </c>
      <c r="K282" s="143">
        <f t="array" ref="K282">INDEX([22]Monitoring!$J$6:$J$582,MATCH(1,([22]Monitoring!$D$6:$D$582=$D282)*([22]Monitoring!$D$6:$D$582=$D282),0))</f>
        <v>111</v>
      </c>
      <c r="L282" s="9">
        <f t="shared" si="5"/>
        <v>29.365079365079367</v>
      </c>
      <c r="M282" s="8" t="str">
        <f t="array" ref="M282">IF(L282&gt;5,"Perlu Pengendalian",IF(AND(L282&gt;=0,I282&gt;0),"Tidak Perlu Pengendalian","Belum Sensus"))</f>
        <v>Perlu Pengendalian</v>
      </c>
    </row>
    <row r="283" spans="1:13" outlineLevel="1" x14ac:dyDescent="0.15">
      <c r="A283" s="8" t="s">
        <v>13</v>
      </c>
      <c r="B283" s="8" t="s">
        <v>47</v>
      </c>
      <c r="C283" s="8" t="s">
        <v>290</v>
      </c>
      <c r="D283" s="8" t="s">
        <v>302</v>
      </c>
      <c r="E283" s="9">
        <v>24.57</v>
      </c>
      <c r="F283" s="8" t="s">
        <v>132</v>
      </c>
      <c r="G283" s="10">
        <v>3537</v>
      </c>
      <c r="H283" s="11">
        <f t="array" ref="H283">INDEX([22]Monitoring!$H$6:$H$582,MATCH(1,([22]Monitoring!$D$6:$D$582=$D283)*([22]Monitoring!$D$6:$D$582=$D283),0))</f>
        <v>46150</v>
      </c>
      <c r="I283" s="143">
        <f t="array" ref="I283">INDEX([22]Monitoring!$I$6:$I$582,MATCH(1,([22]Monitoring!$D$6:$D$582=$D283)*([22]Monitoring!$D$6:$D$582=$D283),0))</f>
        <v>395</v>
      </c>
      <c r="J283" s="9">
        <f t="array" ref="J283">IFERROR(I283/G283*100,0)</f>
        <v>11.167656205824144</v>
      </c>
      <c r="K283" s="143">
        <f t="array" ref="K283">INDEX([22]Monitoring!$J$6:$J$582,MATCH(1,([22]Monitoring!$D$6:$D$582=$D283)*([22]Monitoring!$D$6:$D$582=$D283),0))</f>
        <v>52</v>
      </c>
      <c r="L283" s="9">
        <f t="shared" si="5"/>
        <v>13.164556962025317</v>
      </c>
      <c r="M283" s="8" t="str">
        <f t="array" ref="M283">IF(L283&gt;5,"Perlu Pengendalian",IF(AND(L283&gt;=0,I283&gt;0),"Tidak Perlu Pengendalian","Belum Sensus"))</f>
        <v>Perlu Pengendalian</v>
      </c>
    </row>
    <row r="284" spans="1:13" outlineLevel="1" x14ac:dyDescent="0.15">
      <c r="A284" s="8" t="s">
        <v>13</v>
      </c>
      <c r="B284" s="8" t="s">
        <v>47</v>
      </c>
      <c r="C284" s="8" t="s">
        <v>290</v>
      </c>
      <c r="D284" s="8" t="s">
        <v>303</v>
      </c>
      <c r="E284" s="9">
        <v>25.09</v>
      </c>
      <c r="F284" s="8" t="s">
        <v>132</v>
      </c>
      <c r="G284" s="10">
        <v>3515</v>
      </c>
      <c r="H284" s="11">
        <f t="array" ref="H284">INDEX([22]Monitoring!$H$6:$H$582,MATCH(1,([22]Monitoring!$D$6:$D$582=$D284)*([22]Monitoring!$D$6:$D$582=$D284),0))</f>
        <v>46150</v>
      </c>
      <c r="I284" s="143">
        <f t="array" ref="I284">INDEX([22]Monitoring!$I$6:$I$582,MATCH(1,([22]Monitoring!$D$6:$D$582=$D284)*([22]Monitoring!$D$6:$D$582=$D284),0))</f>
        <v>373</v>
      </c>
      <c r="J284" s="9">
        <f t="array" ref="J284">IFERROR(I284/G284*100,0)</f>
        <v>10.611664295874821</v>
      </c>
      <c r="K284" s="143">
        <f t="array" ref="K284">INDEX([22]Monitoring!$J$6:$J$582,MATCH(1,([22]Monitoring!$D$6:$D$582=$D284)*([22]Monitoring!$D$6:$D$582=$D284),0))</f>
        <v>47</v>
      </c>
      <c r="L284" s="9">
        <f t="shared" si="5"/>
        <v>12.600536193029491</v>
      </c>
      <c r="M284" s="8" t="str">
        <f t="array" ref="M284">IF(L284&gt;5,"Perlu Pengendalian",IF(AND(L284&gt;=0,I284&gt;0),"Tidak Perlu Pengendalian","Belum Sensus"))</f>
        <v>Perlu Pengendalian</v>
      </c>
    </row>
    <row r="285" spans="1:13" outlineLevel="1" x14ac:dyDescent="0.15">
      <c r="A285" s="8" t="s">
        <v>13</v>
      </c>
      <c r="B285" s="8" t="s">
        <v>47</v>
      </c>
      <c r="C285" s="8" t="s">
        <v>290</v>
      </c>
      <c r="D285" s="8" t="s">
        <v>304</v>
      </c>
      <c r="E285" s="9">
        <v>24.32</v>
      </c>
      <c r="F285" s="8" t="s">
        <v>132</v>
      </c>
      <c r="G285" s="10">
        <v>3110</v>
      </c>
      <c r="H285" s="11">
        <f t="array" ref="H285">INDEX([22]Monitoring!$H$6:$H$582,MATCH(1,([22]Monitoring!$D$6:$D$582=$D285)*([22]Monitoring!$D$6:$D$582=$D285),0))</f>
        <v>46150</v>
      </c>
      <c r="I285" s="143">
        <f t="array" ref="I285">INDEX([22]Monitoring!$I$6:$I$582,MATCH(1,([22]Monitoring!$D$6:$D$582=$D285)*([22]Monitoring!$D$6:$D$582=$D285),0))</f>
        <v>368</v>
      </c>
      <c r="J285" s="9">
        <f t="array" ref="J285">IFERROR(I285/G285*100,0)</f>
        <v>11.832797427652734</v>
      </c>
      <c r="K285" s="143">
        <f t="array" ref="K285">INDEX([22]Monitoring!$J$6:$J$582,MATCH(1,([22]Monitoring!$D$6:$D$582=$D285)*([22]Monitoring!$D$6:$D$582=$D285),0))</f>
        <v>15</v>
      </c>
      <c r="L285" s="9">
        <f t="shared" si="5"/>
        <v>4.0760869565217392</v>
      </c>
      <c r="M285" s="8" t="str">
        <f t="array" ref="M285">IF(L285&gt;5,"Perlu Pengendalian",IF(AND(L285&gt;=0,I285&gt;0),"Tidak Perlu Pengendalian","Belum Sensus"))</f>
        <v>Tidak Perlu Pengendalian</v>
      </c>
    </row>
    <row r="286" spans="1:13" outlineLevel="1" x14ac:dyDescent="0.15">
      <c r="A286" s="8" t="s">
        <v>13</v>
      </c>
      <c r="B286" s="8" t="s">
        <v>47</v>
      </c>
      <c r="C286" s="8" t="s">
        <v>290</v>
      </c>
      <c r="D286" s="8" t="s">
        <v>305</v>
      </c>
      <c r="E286" s="9">
        <v>26.12</v>
      </c>
      <c r="F286" s="8" t="s">
        <v>132</v>
      </c>
      <c r="G286" s="10">
        <v>3783</v>
      </c>
      <c r="H286" s="11">
        <f t="array" ref="H286">INDEX([22]Monitoring!$H$6:$H$582,MATCH(1,([22]Monitoring!$D$6:$D$582=$D286)*([22]Monitoring!$D$6:$D$582=$D286),0))</f>
        <v>46150</v>
      </c>
      <c r="I286" s="143">
        <f t="array" ref="I286">INDEX([22]Monitoring!$I$6:$I$582,MATCH(1,([22]Monitoring!$D$6:$D$582=$D286)*([22]Monitoring!$D$6:$D$582=$D286),0))</f>
        <v>335</v>
      </c>
      <c r="J286" s="9">
        <f t="array" ref="J286">IFERROR(I286/G286*100,0)</f>
        <v>8.855405762622258</v>
      </c>
      <c r="K286" s="143">
        <f t="array" ref="K286">INDEX([22]Monitoring!$J$6:$J$582,MATCH(1,([22]Monitoring!$D$6:$D$582=$D286)*([22]Monitoring!$D$6:$D$582=$D286),0))</f>
        <v>64</v>
      </c>
      <c r="L286" s="9">
        <f t="shared" si="5"/>
        <v>19.1044776119403</v>
      </c>
      <c r="M286" s="8" t="str">
        <f t="array" ref="M286">IF(L286&gt;5,"Perlu Pengendalian",IF(AND(L286&gt;=0,I286&gt;0),"Tidak Perlu Pengendalian","Belum Sensus"))</f>
        <v>Perlu Pengendalian</v>
      </c>
    </row>
    <row r="287" spans="1:13" outlineLevel="1" x14ac:dyDescent="0.15">
      <c r="A287" s="8" t="s">
        <v>13</v>
      </c>
      <c r="B287" s="8" t="s">
        <v>47</v>
      </c>
      <c r="C287" s="8" t="s">
        <v>290</v>
      </c>
      <c r="D287" s="8" t="s">
        <v>306</v>
      </c>
      <c r="E287" s="9">
        <v>24.85</v>
      </c>
      <c r="F287" s="8" t="s">
        <v>132</v>
      </c>
      <c r="G287" s="10">
        <v>3596</v>
      </c>
      <c r="H287" s="11">
        <f t="array" ref="H287">INDEX([22]Monitoring!$H$6:$H$582,MATCH(1,([22]Monitoring!$D$6:$D$582=$D287)*([22]Monitoring!$D$6:$D$582=$D287),0))</f>
        <v>46153</v>
      </c>
      <c r="I287" s="143">
        <f t="array" ref="I287">INDEX([22]Monitoring!$I$6:$I$582,MATCH(1,([22]Monitoring!$D$6:$D$582=$D287)*([22]Monitoring!$D$6:$D$582=$D287),0))</f>
        <v>405</v>
      </c>
      <c r="J287" s="9">
        <f t="array" ref="J287">IFERROR(I287/G287*100,0)</f>
        <v>11.262513904338153</v>
      </c>
      <c r="K287" s="143">
        <f t="array" ref="K287">INDEX([22]Monitoring!$J$6:$J$582,MATCH(1,([22]Monitoring!$D$6:$D$582=$D287)*([22]Monitoring!$D$6:$D$582=$D287),0))</f>
        <v>65</v>
      </c>
      <c r="L287" s="9">
        <f t="shared" si="5"/>
        <v>16.049382716049383</v>
      </c>
      <c r="M287" s="8" t="str">
        <f t="array" ref="M287">IF(L287&gt;5,"Perlu Pengendalian",IF(AND(L287&gt;=0,I287&gt;0),"Tidak Perlu Pengendalian","Belum Sensus"))</f>
        <v>Perlu Pengendalian</v>
      </c>
    </row>
    <row r="288" spans="1:13" outlineLevel="1" x14ac:dyDescent="0.15">
      <c r="A288" s="8" t="s">
        <v>13</v>
      </c>
      <c r="B288" s="8" t="s">
        <v>47</v>
      </c>
      <c r="C288" s="8" t="s">
        <v>290</v>
      </c>
      <c r="D288" s="8" t="s">
        <v>307</v>
      </c>
      <c r="E288" s="9">
        <v>24.8</v>
      </c>
      <c r="F288" s="8" t="s">
        <v>132</v>
      </c>
      <c r="G288" s="10">
        <v>3765</v>
      </c>
      <c r="H288" s="11">
        <f t="array" ref="H288">INDEX([22]Monitoring!$H$6:$H$582,MATCH(1,([22]Monitoring!$D$6:$D$582=$D288)*([22]Monitoring!$D$6:$D$582=$D288),0))</f>
        <v>46153</v>
      </c>
      <c r="I288" s="143">
        <f t="array" ref="I288">INDEX([22]Monitoring!$I$6:$I$582,MATCH(1,([22]Monitoring!$D$6:$D$582=$D288)*([22]Monitoring!$D$6:$D$582=$D288),0))</f>
        <v>369</v>
      </c>
      <c r="J288" s="9">
        <f t="array" ref="J288">IFERROR(I288/G288*100,0)</f>
        <v>9.8007968127490042</v>
      </c>
      <c r="K288" s="143">
        <f t="array" ref="K288">INDEX([22]Monitoring!$J$6:$J$582,MATCH(1,([22]Monitoring!$D$6:$D$582=$D288)*([22]Monitoring!$D$6:$D$582=$D288),0))</f>
        <v>99</v>
      </c>
      <c r="L288" s="9">
        <f t="shared" si="5"/>
        <v>26.829268292682929</v>
      </c>
      <c r="M288" s="8" t="str">
        <f t="array" ref="M288">IF(L288&gt;5,"Perlu Pengendalian",IF(AND(L288&gt;=0,I288&gt;0),"Tidak Perlu Pengendalian","Belum Sensus"))</f>
        <v>Perlu Pengendalian</v>
      </c>
    </row>
    <row r="289" spans="1:13" outlineLevel="1" x14ac:dyDescent="0.15">
      <c r="A289" s="8" t="s">
        <v>13</v>
      </c>
      <c r="B289" s="8" t="s">
        <v>47</v>
      </c>
      <c r="C289" s="8" t="s">
        <v>290</v>
      </c>
      <c r="D289" s="8" t="s">
        <v>308</v>
      </c>
      <c r="E289" s="9">
        <v>25.47</v>
      </c>
      <c r="F289" s="8" t="s">
        <v>132</v>
      </c>
      <c r="G289" s="10">
        <v>3761</v>
      </c>
      <c r="H289" s="11">
        <f t="array" ref="H289">INDEX([22]Monitoring!$H$6:$H$582,MATCH(1,([22]Monitoring!$D$6:$D$582=$D289)*([22]Monitoring!$D$6:$D$582=$D289),0))</f>
        <v>46153</v>
      </c>
      <c r="I289" s="143">
        <f t="array" ref="I289">INDEX([22]Monitoring!$I$6:$I$582,MATCH(1,([22]Monitoring!$D$6:$D$582=$D289)*([22]Monitoring!$D$6:$D$582=$D289),0))</f>
        <v>415</v>
      </c>
      <c r="J289" s="9">
        <f t="array" ref="J289">IFERROR(I289/G289*100,0)</f>
        <v>11.034299388460516</v>
      </c>
      <c r="K289" s="143">
        <f t="array" ref="K289">INDEX([22]Monitoring!$J$6:$J$582,MATCH(1,([22]Monitoring!$D$6:$D$582=$D289)*([22]Monitoring!$D$6:$D$582=$D289),0))</f>
        <v>49</v>
      </c>
      <c r="L289" s="9">
        <f t="shared" si="5"/>
        <v>11.80722891566265</v>
      </c>
      <c r="M289" s="8" t="str">
        <f t="array" ref="M289">IF(L289&gt;5,"Perlu Pengendalian",IF(AND(L289&gt;=0,I289&gt;0),"Tidak Perlu Pengendalian","Belum Sensus"))</f>
        <v>Perlu Pengendalian</v>
      </c>
    </row>
    <row r="290" spans="1:13" outlineLevel="1" x14ac:dyDescent="0.15">
      <c r="A290" s="8" t="s">
        <v>13</v>
      </c>
      <c r="B290" s="8" t="s">
        <v>47</v>
      </c>
      <c r="C290" s="8" t="s">
        <v>290</v>
      </c>
      <c r="D290" s="8" t="s">
        <v>309</v>
      </c>
      <c r="E290" s="9">
        <v>27.81</v>
      </c>
      <c r="F290" s="8" t="s">
        <v>132</v>
      </c>
      <c r="G290" s="10">
        <v>4188</v>
      </c>
      <c r="H290" s="11">
        <f t="array" ref="H290">INDEX([22]Monitoring!$H$6:$H$582,MATCH(1,([22]Monitoring!$D$6:$D$582=$D290)*([22]Monitoring!$D$6:$D$582=$D290),0))</f>
        <v>46153</v>
      </c>
      <c r="I290" s="143">
        <f t="array" ref="I290">INDEX([22]Monitoring!$I$6:$I$582,MATCH(1,([22]Monitoring!$D$6:$D$582=$D290)*([22]Monitoring!$D$6:$D$582=$D290),0))</f>
        <v>308</v>
      </c>
      <c r="J290" s="9">
        <f t="array" ref="J290">IFERROR(I290/G290*100,0)</f>
        <v>7.3543457497612224</v>
      </c>
      <c r="K290" s="143">
        <f t="array" ref="K290">INDEX([22]Monitoring!$J$6:$J$582,MATCH(1,([22]Monitoring!$D$6:$D$582=$D290)*([22]Monitoring!$D$6:$D$582=$D290),0))</f>
        <v>61</v>
      </c>
      <c r="L290" s="9">
        <f t="shared" si="5"/>
        <v>19.805194805194805</v>
      </c>
      <c r="M290" s="8" t="str">
        <f t="array" ref="M290">IF(L290&gt;5,"Perlu Pengendalian",IF(AND(L290&gt;=0,I290&gt;0),"Tidak Perlu Pengendalian","Belum Sensus"))</f>
        <v>Perlu Pengendalian</v>
      </c>
    </row>
    <row r="291" spans="1:13" outlineLevel="1" x14ac:dyDescent="0.15">
      <c r="A291" s="8" t="s">
        <v>13</v>
      </c>
      <c r="B291" s="8" t="s">
        <v>47</v>
      </c>
      <c r="C291" s="8" t="s">
        <v>290</v>
      </c>
      <c r="D291" s="8" t="s">
        <v>310</v>
      </c>
      <c r="E291" s="9">
        <v>29.78</v>
      </c>
      <c r="F291" s="8" t="s">
        <v>132</v>
      </c>
      <c r="G291" s="10">
        <v>4040</v>
      </c>
      <c r="H291" s="11">
        <f t="array" ref="H291">INDEX([22]Monitoring!$H$6:$H$582,MATCH(1,([22]Monitoring!$D$6:$D$582=$D291)*([22]Monitoring!$D$6:$D$582=$D291),0))</f>
        <v>46153</v>
      </c>
      <c r="I291" s="143">
        <f t="array" ref="I291">INDEX([22]Monitoring!$I$6:$I$582,MATCH(1,([22]Monitoring!$D$6:$D$582=$D291)*([22]Monitoring!$D$6:$D$582=$D291),0))</f>
        <v>358</v>
      </c>
      <c r="J291" s="9">
        <f t="array" ref="J291">IFERROR(I291/G291*100,0)</f>
        <v>8.8613861386138613</v>
      </c>
      <c r="K291" s="143">
        <f t="array" ref="K291">INDEX([22]Monitoring!$J$6:$J$582,MATCH(1,([22]Monitoring!$D$6:$D$582=$D291)*([22]Monitoring!$D$6:$D$582=$D291),0))</f>
        <v>15</v>
      </c>
      <c r="L291" s="9">
        <f t="shared" si="5"/>
        <v>4.1899441340782122</v>
      </c>
      <c r="M291" s="8" t="str">
        <f t="array" ref="M291">IF(L291&gt;5,"Perlu Pengendalian",IF(AND(L291&gt;=0,I291&gt;0),"Tidak Perlu Pengendalian","Belum Sensus"))</f>
        <v>Tidak Perlu Pengendalian</v>
      </c>
    </row>
    <row r="292" spans="1:13" outlineLevel="1" x14ac:dyDescent="0.15">
      <c r="A292" s="8" t="s">
        <v>13</v>
      </c>
      <c r="B292" s="8" t="s">
        <v>47</v>
      </c>
      <c r="C292" s="8" t="s">
        <v>290</v>
      </c>
      <c r="D292" s="8" t="s">
        <v>311</v>
      </c>
      <c r="E292" s="9">
        <v>33</v>
      </c>
      <c r="F292" s="8" t="s">
        <v>132</v>
      </c>
      <c r="G292" s="10">
        <v>4665</v>
      </c>
      <c r="H292" s="11">
        <f t="array" ref="H292">INDEX([22]Monitoring!$H$6:$H$582,MATCH(1,([22]Monitoring!$D$6:$D$582=$D292)*([22]Monitoring!$D$6:$D$582=$D292),0))</f>
        <v>46153</v>
      </c>
      <c r="I292" s="143">
        <f t="array" ref="I292">INDEX([22]Monitoring!$I$6:$I$582,MATCH(1,([22]Monitoring!$D$6:$D$582=$D292)*([22]Monitoring!$D$6:$D$582=$D292),0))</f>
        <v>409</v>
      </c>
      <c r="J292" s="9">
        <f t="array" ref="J292">IFERROR(I292/G292*100,0)</f>
        <v>8.7674169346195061</v>
      </c>
      <c r="K292" s="143">
        <f t="array" ref="K292">INDEX([22]Monitoring!$J$6:$J$582,MATCH(1,([22]Monitoring!$D$6:$D$582=$D292)*([22]Monitoring!$D$6:$D$582=$D292),0))</f>
        <v>63</v>
      </c>
      <c r="L292" s="9">
        <f t="shared" si="5"/>
        <v>15.403422982885084</v>
      </c>
      <c r="M292" s="8" t="str">
        <f t="array" ref="M292">IF(L292&gt;5,"Perlu Pengendalian",IF(AND(L292&gt;=0,I292&gt;0),"Tidak Perlu Pengendalian","Belum Sensus"))</f>
        <v>Perlu Pengendalian</v>
      </c>
    </row>
    <row r="293" spans="1:13" outlineLevel="1" x14ac:dyDescent="0.15">
      <c r="A293" s="8" t="s">
        <v>13</v>
      </c>
      <c r="B293" s="8" t="s">
        <v>47</v>
      </c>
      <c r="C293" s="8" t="s">
        <v>290</v>
      </c>
      <c r="D293" s="8" t="s">
        <v>312</v>
      </c>
      <c r="E293" s="9">
        <v>31.08</v>
      </c>
      <c r="F293" s="8" t="s">
        <v>132</v>
      </c>
      <c r="G293" s="10">
        <v>4604</v>
      </c>
      <c r="H293" s="11">
        <f t="array" ref="H293">INDEX([22]Monitoring!$H$6:$H$582,MATCH(1,([22]Monitoring!$D$6:$D$582=$D293)*([22]Monitoring!$D$6:$D$582=$D293),0))</f>
        <v>46153</v>
      </c>
      <c r="I293" s="143">
        <f t="array" ref="I293">INDEX([22]Monitoring!$I$6:$I$582,MATCH(1,([22]Monitoring!$D$6:$D$582=$D293)*([22]Monitoring!$D$6:$D$582=$D293),0))</f>
        <v>402</v>
      </c>
      <c r="J293" s="9">
        <f t="array" ref="J293">IFERROR(I293/G293*100,0)</f>
        <v>8.7315377932232838</v>
      </c>
      <c r="K293" s="143">
        <f t="array" ref="K293">INDEX([22]Monitoring!$J$6:$J$582,MATCH(1,([22]Monitoring!$D$6:$D$582=$D293)*([22]Monitoring!$D$6:$D$582=$D293),0))</f>
        <v>47</v>
      </c>
      <c r="L293" s="9">
        <f t="shared" si="5"/>
        <v>11.691542288557214</v>
      </c>
      <c r="M293" s="8" t="str">
        <f t="array" ref="M293">IF(L293&gt;5,"Perlu Pengendalian",IF(AND(L293&gt;=0,I293&gt;0),"Tidak Perlu Pengendalian","Belum Sensus"))</f>
        <v>Perlu Pengendalian</v>
      </c>
    </row>
    <row r="294" spans="1:13" outlineLevel="1" x14ac:dyDescent="0.15">
      <c r="A294" s="8" t="s">
        <v>13</v>
      </c>
      <c r="B294" s="8" t="s">
        <v>47</v>
      </c>
      <c r="C294" s="8" t="s">
        <v>290</v>
      </c>
      <c r="D294" s="8" t="s">
        <v>313</v>
      </c>
      <c r="E294" s="9">
        <v>35.64</v>
      </c>
      <c r="F294" s="8" t="s">
        <v>132</v>
      </c>
      <c r="G294" s="10">
        <v>5082</v>
      </c>
      <c r="H294" s="11">
        <f t="array" ref="H294">INDEX([22]Monitoring!$H$6:$H$582,MATCH(1,([22]Monitoring!$D$6:$D$582=$D294)*([22]Monitoring!$D$6:$D$582=$D294),0))</f>
        <v>46153</v>
      </c>
      <c r="I294" s="143">
        <f t="array" ref="I294">INDEX([22]Monitoring!$I$6:$I$582,MATCH(1,([22]Monitoring!$D$6:$D$582=$D294)*([22]Monitoring!$D$6:$D$582=$D294),0))</f>
        <v>413</v>
      </c>
      <c r="J294" s="9">
        <f t="array" ref="J294">IFERROR(I294/G294*100,0)</f>
        <v>8.1267217630853992</v>
      </c>
      <c r="K294" s="143">
        <f t="array" ref="K294">INDEX([22]Monitoring!$J$6:$J$582,MATCH(1,([22]Monitoring!$D$6:$D$582=$D294)*([22]Monitoring!$D$6:$D$582=$D294),0))</f>
        <v>41</v>
      </c>
      <c r="L294" s="9">
        <f t="shared" si="5"/>
        <v>9.9273607748184016</v>
      </c>
      <c r="M294" s="8" t="str">
        <f t="array" ref="M294">IF(L294&gt;5,"Perlu Pengendalian",IF(AND(L294&gt;=0,I294&gt;0),"Tidak Perlu Pengendalian","Belum Sensus"))</f>
        <v>Perlu Pengendalian</v>
      </c>
    </row>
    <row r="295" spans="1:13" outlineLevel="1" x14ac:dyDescent="0.15">
      <c r="A295" s="8" t="s">
        <v>13</v>
      </c>
      <c r="B295" s="8" t="s">
        <v>47</v>
      </c>
      <c r="C295" s="8" t="s">
        <v>290</v>
      </c>
      <c r="D295" s="8" t="s">
        <v>314</v>
      </c>
      <c r="E295" s="9">
        <v>33.86</v>
      </c>
      <c r="F295" s="8" t="s">
        <v>132</v>
      </c>
      <c r="G295" s="10">
        <v>4957</v>
      </c>
      <c r="H295" s="11">
        <f t="array" ref="H295">INDEX([22]Monitoring!$H$6:$H$582,MATCH(1,([22]Monitoring!$D$6:$D$582=$D295)*([22]Monitoring!$D$6:$D$582=$D295),0))</f>
        <v>46154</v>
      </c>
      <c r="I295" s="143">
        <f t="array" ref="I295">INDEX([22]Monitoring!$I$6:$I$582,MATCH(1,([22]Monitoring!$D$6:$D$582=$D295)*([22]Monitoring!$D$6:$D$582=$D295),0))</f>
        <v>408</v>
      </c>
      <c r="J295" s="9">
        <f t="array" ref="J295">IFERROR(I295/G295*100,0)</f>
        <v>8.2307847488400245</v>
      </c>
      <c r="K295" s="143">
        <f t="array" ref="K295">INDEX([22]Monitoring!$J$6:$J$582,MATCH(1,([22]Monitoring!$D$6:$D$582=$D295)*([22]Monitoring!$D$6:$D$582=$D295),0))</f>
        <v>46</v>
      </c>
      <c r="L295" s="9">
        <f t="shared" si="5"/>
        <v>11.274509803921569</v>
      </c>
      <c r="M295" s="8" t="str">
        <f t="array" ref="M295">IF(L295&gt;5,"Perlu Pengendalian",IF(AND(L295&gt;=0,I295&gt;0),"Tidak Perlu Pengendalian","Belum Sensus"))</f>
        <v>Perlu Pengendalian</v>
      </c>
    </row>
    <row r="296" spans="1:13" outlineLevel="1" x14ac:dyDescent="0.15">
      <c r="A296" s="8" t="s">
        <v>13</v>
      </c>
      <c r="B296" s="8" t="s">
        <v>47</v>
      </c>
      <c r="C296" s="8" t="s">
        <v>290</v>
      </c>
      <c r="D296" s="8" t="s">
        <v>315</v>
      </c>
      <c r="E296" s="9">
        <v>34.22</v>
      </c>
      <c r="F296" s="8" t="s">
        <v>132</v>
      </c>
      <c r="G296" s="10">
        <v>4651</v>
      </c>
      <c r="H296" s="11">
        <f t="array" ref="H296">INDEX([22]Monitoring!$H$6:$H$582,MATCH(1,([22]Monitoring!$D$6:$D$582=$D296)*([22]Monitoring!$D$6:$D$582=$D296),0))</f>
        <v>46154</v>
      </c>
      <c r="I296" s="143">
        <f t="array" ref="I296">INDEX([22]Monitoring!$I$6:$I$582,MATCH(1,([22]Monitoring!$D$6:$D$582=$D296)*([22]Monitoring!$D$6:$D$582=$D296),0))</f>
        <v>409</v>
      </c>
      <c r="J296" s="9">
        <f t="array" ref="J296">IFERROR(I296/G296*100,0)</f>
        <v>8.7938077832724151</v>
      </c>
      <c r="K296" s="143">
        <f t="array" ref="K296">INDEX([22]Monitoring!$J$6:$J$582,MATCH(1,([22]Monitoring!$D$6:$D$582=$D296)*([22]Monitoring!$D$6:$D$582=$D296),0))</f>
        <v>36</v>
      </c>
      <c r="L296" s="9">
        <f t="shared" si="5"/>
        <v>8.8019559902200495</v>
      </c>
      <c r="M296" s="8" t="str">
        <f t="array" ref="M296">IF(L296&gt;5,"Perlu Pengendalian",IF(AND(L296&gt;=0,I296&gt;0),"Tidak Perlu Pengendalian","Belum Sensus"))</f>
        <v>Perlu Pengendalian</v>
      </c>
    </row>
    <row r="297" spans="1:13" outlineLevel="1" x14ac:dyDescent="0.15">
      <c r="A297" s="8" t="s">
        <v>13</v>
      </c>
      <c r="B297" s="8" t="s">
        <v>47</v>
      </c>
      <c r="C297" s="8" t="s">
        <v>290</v>
      </c>
      <c r="D297" s="8" t="s">
        <v>316</v>
      </c>
      <c r="E297" s="9">
        <v>32.93</v>
      </c>
      <c r="F297" s="8" t="s">
        <v>132</v>
      </c>
      <c r="G297" s="10">
        <v>4834</v>
      </c>
      <c r="H297" s="11">
        <f t="array" ref="H297">INDEX([22]Monitoring!$H$6:$H$582,MATCH(1,([22]Monitoring!$D$6:$D$582=$D297)*([22]Monitoring!$D$6:$D$582=$D297),0))</f>
        <v>46154</v>
      </c>
      <c r="I297" s="143">
        <f t="array" ref="I297">INDEX([22]Monitoring!$I$6:$I$582,MATCH(1,([22]Monitoring!$D$6:$D$582=$D297)*([22]Monitoring!$D$6:$D$582=$D297),0))</f>
        <v>399</v>
      </c>
      <c r="J297" s="9">
        <f t="array" ref="J297">IFERROR(I297/G297*100,0)</f>
        <v>8.2540339263549853</v>
      </c>
      <c r="K297" s="143">
        <f t="array" ref="K297">INDEX([22]Monitoring!$J$6:$J$582,MATCH(1,([22]Monitoring!$D$6:$D$582=$D297)*([22]Monitoring!$D$6:$D$582=$D297),0))</f>
        <v>14</v>
      </c>
      <c r="L297" s="9">
        <f t="shared" si="5"/>
        <v>3.5087719298245612</v>
      </c>
      <c r="M297" s="8" t="str">
        <f t="array" ref="M297">IF(L297&gt;5,"Perlu Pengendalian",IF(AND(L297&gt;=0,I297&gt;0),"Tidak Perlu Pengendalian","Belum Sensus"))</f>
        <v>Tidak Perlu Pengendalian</v>
      </c>
    </row>
    <row r="298" spans="1:13" outlineLevel="1" x14ac:dyDescent="0.15">
      <c r="A298" s="8" t="s">
        <v>13</v>
      </c>
      <c r="B298" s="8" t="s">
        <v>47</v>
      </c>
      <c r="C298" s="8" t="s">
        <v>290</v>
      </c>
      <c r="D298" s="8" t="s">
        <v>317</v>
      </c>
      <c r="E298" s="9">
        <v>32.49</v>
      </c>
      <c r="F298" s="8" t="s">
        <v>132</v>
      </c>
      <c r="G298" s="10">
        <v>4416</v>
      </c>
      <c r="H298" s="11">
        <f t="array" ref="H298">INDEX([22]Monitoring!$H$6:$H$582,MATCH(1,([22]Monitoring!$D$6:$D$582=$D298)*([22]Monitoring!$D$6:$D$582=$D298),0))</f>
        <v>46155</v>
      </c>
      <c r="I298" s="143">
        <f t="array" ref="I298">INDEX([22]Monitoring!$I$6:$I$582,MATCH(1,([22]Monitoring!$D$6:$D$582=$D298)*([22]Monitoring!$D$6:$D$582=$D298),0))</f>
        <v>364</v>
      </c>
      <c r="J298" s="9">
        <f t="array" ref="J298">IFERROR(I298/G298*100,0)</f>
        <v>8.2427536231884062</v>
      </c>
      <c r="K298" s="143">
        <f t="array" ref="K298">INDEX([22]Monitoring!$J$6:$J$582,MATCH(1,([22]Monitoring!$D$6:$D$582=$D298)*([22]Monitoring!$D$6:$D$582=$D298),0))</f>
        <v>19</v>
      </c>
      <c r="L298" s="9">
        <f t="shared" si="5"/>
        <v>5.2197802197802199</v>
      </c>
      <c r="M298" s="8" t="str">
        <f t="array" ref="M298">IF(L298&gt;5,"Perlu Pengendalian",IF(AND(L298&gt;=0,I298&gt;0),"Tidak Perlu Pengendalian","Belum Sensus"))</f>
        <v>Perlu Pengendalian</v>
      </c>
    </row>
    <row r="299" spans="1:13" outlineLevel="1" x14ac:dyDescent="0.15">
      <c r="A299" s="8" t="s">
        <v>13</v>
      </c>
      <c r="B299" s="8" t="s">
        <v>47</v>
      </c>
      <c r="C299" s="8" t="s">
        <v>290</v>
      </c>
      <c r="D299" s="8" t="s">
        <v>318</v>
      </c>
      <c r="E299" s="9">
        <v>36.159999999999997</v>
      </c>
      <c r="F299" s="8" t="s">
        <v>132</v>
      </c>
      <c r="G299" s="10">
        <v>4558</v>
      </c>
      <c r="H299" s="11">
        <f t="array" ref="H299">INDEX([22]Monitoring!$H$6:$H$582,MATCH(1,([22]Monitoring!$D$6:$D$582=$D299)*([22]Monitoring!$D$6:$D$582=$D299),0))</f>
        <v>46155</v>
      </c>
      <c r="I299" s="143">
        <f t="array" ref="I299">INDEX([22]Monitoring!$I$6:$I$582,MATCH(1,([22]Monitoring!$D$6:$D$582=$D299)*([22]Monitoring!$D$6:$D$582=$D299),0))</f>
        <v>385</v>
      </c>
      <c r="J299" s="9">
        <f t="array" ref="J299">IFERROR(I299/G299*100,0)</f>
        <v>8.4466871434839845</v>
      </c>
      <c r="K299" s="143">
        <f t="array" ref="K299">INDEX([22]Monitoring!$J$6:$J$582,MATCH(1,([22]Monitoring!$D$6:$D$582=$D299)*([22]Monitoring!$D$6:$D$582=$D299),0))</f>
        <v>27</v>
      </c>
      <c r="L299" s="9">
        <f t="shared" si="5"/>
        <v>7.0129870129870122</v>
      </c>
      <c r="M299" s="8" t="str">
        <f t="array" ref="M299">IF(L299&gt;5,"Perlu Pengendalian",IF(AND(L299&gt;=0,I299&gt;0),"Tidak Perlu Pengendalian","Belum Sensus"))</f>
        <v>Perlu Pengendalian</v>
      </c>
    </row>
    <row r="300" spans="1:13" outlineLevel="1" x14ac:dyDescent="0.15">
      <c r="A300" s="8" t="s">
        <v>13</v>
      </c>
      <c r="B300" s="8" t="s">
        <v>47</v>
      </c>
      <c r="C300" s="8" t="s">
        <v>290</v>
      </c>
      <c r="D300" s="8" t="s">
        <v>319</v>
      </c>
      <c r="E300" s="9">
        <v>31.4</v>
      </c>
      <c r="F300" s="8" t="s">
        <v>132</v>
      </c>
      <c r="G300" s="10">
        <v>4325</v>
      </c>
      <c r="H300" s="11">
        <f t="array" ref="H300">INDEX([22]Monitoring!$H$6:$H$582,MATCH(1,([22]Monitoring!$D$6:$D$582=$D300)*([22]Monitoring!$D$6:$D$582=$D300),0))</f>
        <v>46155</v>
      </c>
      <c r="I300" s="143">
        <f t="array" ref="I300">INDEX([22]Monitoring!$I$6:$I$582,MATCH(1,([22]Monitoring!$D$6:$D$582=$D300)*([22]Monitoring!$D$6:$D$582=$D300),0))</f>
        <v>395</v>
      </c>
      <c r="J300" s="9">
        <f t="array" ref="J300">IFERROR(I300/G300*100,0)</f>
        <v>9.1329479768786115</v>
      </c>
      <c r="K300" s="143">
        <f t="array" ref="K300">INDEX([22]Monitoring!$J$6:$J$582,MATCH(1,([22]Monitoring!$D$6:$D$582=$D300)*([22]Monitoring!$D$6:$D$582=$D300),0))</f>
        <v>24</v>
      </c>
      <c r="L300" s="9">
        <f t="shared" si="5"/>
        <v>6.0759493670886071</v>
      </c>
      <c r="M300" s="8" t="str">
        <f t="array" ref="M300">IF(L300&gt;5,"Perlu Pengendalian",IF(AND(L300&gt;=0,I300&gt;0),"Tidak Perlu Pengendalian","Belum Sensus"))</f>
        <v>Perlu Pengendalian</v>
      </c>
    </row>
    <row r="301" spans="1:13" outlineLevel="1" x14ac:dyDescent="0.15">
      <c r="A301" s="8" t="s">
        <v>13</v>
      </c>
      <c r="B301" s="8" t="s">
        <v>47</v>
      </c>
      <c r="C301" s="8" t="s">
        <v>290</v>
      </c>
      <c r="D301" s="8" t="s">
        <v>320</v>
      </c>
      <c r="E301" s="9">
        <v>34.479999999999997</v>
      </c>
      <c r="F301" s="8" t="s">
        <v>132</v>
      </c>
      <c r="G301" s="10">
        <v>4947</v>
      </c>
      <c r="H301" s="11">
        <f t="array" ref="H301">INDEX([22]Monitoring!$H$6:$H$582,MATCH(1,([22]Monitoring!$D$6:$D$582=$D301)*([22]Monitoring!$D$6:$D$582=$D301),0))</f>
        <v>46157</v>
      </c>
      <c r="I301" s="143">
        <f t="array" ref="I301">INDEX([22]Monitoring!$I$6:$I$582,MATCH(1,([22]Monitoring!$D$6:$D$582=$D301)*([22]Monitoring!$D$6:$D$582=$D301),0))</f>
        <v>420</v>
      </c>
      <c r="J301" s="9">
        <f t="array" ref="J301">IFERROR(I301/G301*100,0)</f>
        <v>8.4899939357186174</v>
      </c>
      <c r="K301" s="143">
        <f t="array" ref="K301">INDEX([22]Monitoring!$J$6:$J$582,MATCH(1,([22]Monitoring!$D$6:$D$582=$D301)*([22]Monitoring!$D$6:$D$582=$D301),0))</f>
        <v>31</v>
      </c>
      <c r="L301" s="9">
        <f t="shared" si="5"/>
        <v>7.3809523809523814</v>
      </c>
      <c r="M301" s="8" t="str">
        <f t="array" ref="M301">IF(L301&gt;5,"Perlu Pengendalian",IF(AND(L301&gt;=0,I301&gt;0),"Tidak Perlu Pengendalian","Belum Sensus"))</f>
        <v>Perlu Pengendalian</v>
      </c>
    </row>
    <row r="302" spans="1:13" outlineLevel="1" x14ac:dyDescent="0.15">
      <c r="A302" s="8" t="s">
        <v>13</v>
      </c>
      <c r="B302" s="8" t="s">
        <v>47</v>
      </c>
      <c r="C302" s="8" t="s">
        <v>290</v>
      </c>
      <c r="D302" s="8" t="s">
        <v>321</v>
      </c>
      <c r="E302" s="9">
        <v>33.979999999999997</v>
      </c>
      <c r="F302" s="8" t="s">
        <v>132</v>
      </c>
      <c r="G302" s="10">
        <v>4881</v>
      </c>
      <c r="H302" s="11">
        <f t="array" ref="H302">INDEX([22]Monitoring!$H$6:$H$582,MATCH(1,([22]Monitoring!$D$6:$D$582=$D302)*([22]Monitoring!$D$6:$D$582=$D302),0))</f>
        <v>46157</v>
      </c>
      <c r="I302" s="143">
        <f t="array" ref="I302">INDEX([22]Monitoring!$I$6:$I$582,MATCH(1,([22]Monitoring!$D$6:$D$582=$D302)*([22]Monitoring!$D$6:$D$582=$D302),0))</f>
        <v>406</v>
      </c>
      <c r="J302" s="9">
        <f t="array" ref="J302">IFERROR(I302/G302*100,0)</f>
        <v>8.3179676295841016</v>
      </c>
      <c r="K302" s="143">
        <f t="array" ref="K302">INDEX([22]Monitoring!$J$6:$J$582,MATCH(1,([22]Monitoring!$D$6:$D$582=$D302)*([22]Monitoring!$D$6:$D$582=$D302),0))</f>
        <v>25</v>
      </c>
      <c r="L302" s="9">
        <f t="shared" si="5"/>
        <v>6.1576354679802954</v>
      </c>
      <c r="M302" s="8" t="str">
        <f t="array" ref="M302">IF(L302&gt;5,"Perlu Pengendalian",IF(AND(L302&gt;=0,I302&gt;0),"Tidak Perlu Pengendalian","Belum Sensus"))</f>
        <v>Perlu Pengendalian</v>
      </c>
    </row>
    <row r="303" spans="1:13" x14ac:dyDescent="0.15">
      <c r="A303" s="8" t="s">
        <v>322</v>
      </c>
      <c r="B303" s="8" t="s">
        <v>79</v>
      </c>
      <c r="C303" s="8" t="s">
        <v>323</v>
      </c>
      <c r="D303" s="8" t="s">
        <v>324</v>
      </c>
      <c r="E303" s="9">
        <v>26.53</v>
      </c>
      <c r="F303" s="8" t="s">
        <v>325</v>
      </c>
      <c r="G303" s="10">
        <v>3723</v>
      </c>
      <c r="H303" s="11">
        <f t="array" ref="H303">INDEX([22]Monitoring!$H$6:$H$582,MATCH(1,([22]Monitoring!$D$6:$D$582=$D303)*([22]Monitoring!$D$6:$D$582=$D303),0))</f>
        <v>46151</v>
      </c>
      <c r="I303" s="143">
        <f t="array" ref="I303">INDEX([22]Monitoring!$I$6:$I$582,MATCH(1,([22]Monitoring!$D$6:$D$582=$D303)*([22]Monitoring!$D$6:$D$582=$D303),0))</f>
        <v>337</v>
      </c>
      <c r="J303" s="9">
        <f t="array" ref="J303">IFERROR(I303/G303*100,0)</f>
        <v>9.051839914047811</v>
      </c>
      <c r="K303" s="143">
        <f t="array" ref="K303">INDEX([22]Monitoring!$J$6:$J$582,MATCH(1,([22]Monitoring!$D$6:$D$582=$D303)*([22]Monitoring!$D$6:$D$582=$D303),0))</f>
        <v>56</v>
      </c>
      <c r="L303" s="9">
        <f t="shared" si="5"/>
        <v>16.61721068249258</v>
      </c>
      <c r="M303" s="8" t="str">
        <f t="array" ref="M303">IF(L303&gt;5,"Perlu Pengendalian",IF(AND(L303&gt;=0,I303&gt;0),"Tidak Perlu Pengendalian","Belum Sensus"))</f>
        <v>Perlu Pengendalian</v>
      </c>
    </row>
    <row r="304" spans="1:13" x14ac:dyDescent="0.15">
      <c r="A304" s="8" t="s">
        <v>322</v>
      </c>
      <c r="B304" s="8" t="s">
        <v>79</v>
      </c>
      <c r="C304" s="8" t="s">
        <v>323</v>
      </c>
      <c r="D304" s="8" t="s">
        <v>326</v>
      </c>
      <c r="E304" s="9">
        <v>30.25</v>
      </c>
      <c r="F304" s="8" t="s">
        <v>325</v>
      </c>
      <c r="G304" s="10">
        <v>4313</v>
      </c>
      <c r="H304" s="11">
        <f t="array" ref="H304">INDEX([22]Monitoring!$H$6:$H$582,MATCH(1,([22]Monitoring!$D$6:$D$582=$D304)*([22]Monitoring!$D$6:$D$582=$D304),0))</f>
        <v>46151</v>
      </c>
      <c r="I304" s="143">
        <f t="array" ref="I304">INDEX([22]Monitoring!$I$6:$I$582,MATCH(1,([22]Monitoring!$D$6:$D$582=$D304)*([22]Monitoring!$D$6:$D$582=$D304),0))</f>
        <v>421</v>
      </c>
      <c r="J304" s="9">
        <f t="array" ref="J304">IFERROR(I304/G304*100,0)</f>
        <v>9.7611871087410158</v>
      </c>
      <c r="K304" s="143">
        <f t="array" ref="K304">INDEX([22]Monitoring!$J$6:$J$582,MATCH(1,([22]Monitoring!$D$6:$D$582=$D304)*([22]Monitoring!$D$6:$D$582=$D304),0))</f>
        <v>86</v>
      </c>
      <c r="L304" s="9">
        <f t="shared" si="5"/>
        <v>20.427553444180521</v>
      </c>
      <c r="M304" s="8" t="str">
        <f t="array" ref="M304">IF(L304&gt;5,"Perlu Pengendalian",IF(AND(L304&gt;=0,I304&gt;0),"Tidak Perlu Pengendalian","Belum Sensus"))</f>
        <v>Perlu Pengendalian</v>
      </c>
    </row>
    <row r="305" spans="1:13" x14ac:dyDescent="0.15">
      <c r="A305" s="8" t="s">
        <v>322</v>
      </c>
      <c r="B305" s="8" t="s">
        <v>79</v>
      </c>
      <c r="C305" s="8" t="s">
        <v>323</v>
      </c>
      <c r="D305" s="8" t="s">
        <v>327</v>
      </c>
      <c r="E305" s="9">
        <v>26.27</v>
      </c>
      <c r="F305" s="8" t="s">
        <v>325</v>
      </c>
      <c r="G305" s="10">
        <v>3648</v>
      </c>
      <c r="H305" s="11">
        <f t="array" ref="H305">INDEX([22]Monitoring!$H$6:$H$582,MATCH(1,([22]Monitoring!$D$6:$D$582=$D305)*([22]Monitoring!$D$6:$D$582=$D305),0))</f>
        <v>46151</v>
      </c>
      <c r="I305" s="143">
        <f t="array" ref="I305">INDEX([22]Monitoring!$I$6:$I$582,MATCH(1,([22]Monitoring!$D$6:$D$582=$D305)*([22]Monitoring!$D$6:$D$582=$D305),0))</f>
        <v>395</v>
      </c>
      <c r="J305" s="9">
        <f t="array" ref="J305">IFERROR(I305/G305*100,0)</f>
        <v>10.827850877192983</v>
      </c>
      <c r="K305" s="143">
        <f t="array" ref="K305">INDEX([22]Monitoring!$J$6:$J$582,MATCH(1,([22]Monitoring!$D$6:$D$582=$D305)*([22]Monitoring!$D$6:$D$582=$D305),0))</f>
        <v>88</v>
      </c>
      <c r="L305" s="9">
        <f t="shared" si="5"/>
        <v>22.278481012658226</v>
      </c>
      <c r="M305" s="8" t="str">
        <f t="array" ref="M305">IF(L305&gt;5,"Perlu Pengendalian",IF(AND(L305&gt;=0,I305&gt;0),"Tidak Perlu Pengendalian","Belum Sensus"))</f>
        <v>Perlu Pengendalian</v>
      </c>
    </row>
    <row r="306" spans="1:13" x14ac:dyDescent="0.15">
      <c r="A306" s="8" t="s">
        <v>322</v>
      </c>
      <c r="B306" s="8" t="s">
        <v>79</v>
      </c>
      <c r="C306" s="8" t="s">
        <v>323</v>
      </c>
      <c r="D306" s="8" t="s">
        <v>328</v>
      </c>
      <c r="E306" s="9">
        <v>22.02</v>
      </c>
      <c r="F306" s="8" t="s">
        <v>325</v>
      </c>
      <c r="G306" s="10">
        <v>3323</v>
      </c>
      <c r="H306" s="11">
        <f t="array" ref="H306">INDEX([22]Monitoring!$H$6:$H$582,MATCH(1,([22]Monitoring!$D$6:$D$582=$D306)*([22]Monitoring!$D$6:$D$582=$D306),0))</f>
        <v>46151</v>
      </c>
      <c r="I306" s="143">
        <f t="array" ref="I306">INDEX([22]Monitoring!$I$6:$I$582,MATCH(1,([22]Monitoring!$D$6:$D$582=$D306)*([22]Monitoring!$D$6:$D$582=$D306),0))</f>
        <v>392</v>
      </c>
      <c r="J306" s="9">
        <f t="array" ref="J306">IFERROR(I306/G306*100,0)</f>
        <v>11.796569365031598</v>
      </c>
      <c r="K306" s="143">
        <f t="array" ref="K306">INDEX([22]Monitoring!$J$6:$J$582,MATCH(1,([22]Monitoring!$D$6:$D$582=$D306)*([22]Monitoring!$D$6:$D$582=$D306),0))</f>
        <v>46</v>
      </c>
      <c r="L306" s="9">
        <f t="shared" si="5"/>
        <v>11.73469387755102</v>
      </c>
      <c r="M306" s="8" t="str">
        <f t="array" ref="M306">IF(L306&gt;5,"Perlu Pengendalian",IF(AND(L306&gt;=0,I306&gt;0),"Tidak Perlu Pengendalian","Belum Sensus"))</f>
        <v>Perlu Pengendalian</v>
      </c>
    </row>
    <row r="307" spans="1:13" x14ac:dyDescent="0.15">
      <c r="A307" s="8" t="s">
        <v>322</v>
      </c>
      <c r="B307" s="8" t="s">
        <v>79</v>
      </c>
      <c r="C307" s="8" t="s">
        <v>323</v>
      </c>
      <c r="D307" s="8" t="s">
        <v>329</v>
      </c>
      <c r="E307" s="9">
        <v>31.42</v>
      </c>
      <c r="F307" s="8" t="s">
        <v>325</v>
      </c>
      <c r="G307" s="10">
        <v>4288</v>
      </c>
      <c r="H307" s="11">
        <f t="array" ref="H307">INDEX([22]Monitoring!$H$6:$H$582,MATCH(1,([22]Monitoring!$D$6:$D$582=$D307)*([22]Monitoring!$D$6:$D$582=$D307),0))</f>
        <v>46151</v>
      </c>
      <c r="I307" s="143">
        <f t="array" ref="I307">INDEX([22]Monitoring!$I$6:$I$582,MATCH(1,([22]Monitoring!$D$6:$D$582=$D307)*([22]Monitoring!$D$6:$D$582=$D307),0))</f>
        <v>444</v>
      </c>
      <c r="J307" s="9">
        <f t="array" ref="J307">IFERROR(I307/G307*100,0)</f>
        <v>10.354477611940299</v>
      </c>
      <c r="K307" s="143">
        <f t="array" ref="K307">INDEX([22]Monitoring!$J$6:$J$582,MATCH(1,([22]Monitoring!$D$6:$D$582=$D307)*([22]Monitoring!$D$6:$D$582=$D307),0))</f>
        <v>49</v>
      </c>
      <c r="L307" s="9">
        <f t="shared" si="5"/>
        <v>11.036036036036036</v>
      </c>
      <c r="M307" s="8" t="str">
        <f t="array" ref="M307">IF(L307&gt;5,"Perlu Pengendalian",IF(AND(L307&gt;=0,I307&gt;0),"Tidak Perlu Pengendalian","Belum Sensus"))</f>
        <v>Perlu Pengendalian</v>
      </c>
    </row>
    <row r="308" spans="1:13" x14ac:dyDescent="0.15">
      <c r="A308" s="8" t="s">
        <v>322</v>
      </c>
      <c r="B308" s="8" t="s">
        <v>79</v>
      </c>
      <c r="C308" s="8" t="s">
        <v>323</v>
      </c>
      <c r="D308" s="8" t="s">
        <v>330</v>
      </c>
      <c r="E308" s="9">
        <v>28.03</v>
      </c>
      <c r="F308" s="8" t="s">
        <v>325</v>
      </c>
      <c r="G308" s="10">
        <v>3871</v>
      </c>
      <c r="H308" s="11">
        <f t="array" ref="H308">INDEX([22]Monitoring!$H$6:$H$582,MATCH(1,([22]Monitoring!$D$6:$D$582=$D308)*([22]Monitoring!$D$6:$D$582=$D308),0))</f>
        <v>46151</v>
      </c>
      <c r="I308" s="143">
        <f t="array" ref="I308">INDEX([22]Monitoring!$I$6:$I$582,MATCH(1,([22]Monitoring!$D$6:$D$582=$D308)*([22]Monitoring!$D$6:$D$582=$D308),0))</f>
        <v>366</v>
      </c>
      <c r="J308" s="9">
        <f t="array" ref="J308">IFERROR(I308/G308*100,0)</f>
        <v>9.4549212089899246</v>
      </c>
      <c r="K308" s="143">
        <f t="array" ref="K308">INDEX([22]Monitoring!$J$6:$J$582,MATCH(1,([22]Monitoring!$D$6:$D$582=$D308)*([22]Monitoring!$D$6:$D$582=$D308),0))</f>
        <v>100</v>
      </c>
      <c r="L308" s="9">
        <f t="shared" si="5"/>
        <v>27.322404371584703</v>
      </c>
      <c r="M308" s="8" t="str">
        <f t="array" ref="M308">IF(L308&gt;5,"Perlu Pengendalian",IF(AND(L308&gt;=0,I308&gt;0),"Tidak Perlu Pengendalian","Belum Sensus"))</f>
        <v>Perlu Pengendalian</v>
      </c>
    </row>
    <row r="309" spans="1:13" x14ac:dyDescent="0.15">
      <c r="A309" s="8" t="s">
        <v>322</v>
      </c>
      <c r="B309" s="8" t="s">
        <v>79</v>
      </c>
      <c r="C309" s="8" t="s">
        <v>323</v>
      </c>
      <c r="D309" s="8" t="s">
        <v>331</v>
      </c>
      <c r="E309" s="9">
        <v>24.05</v>
      </c>
      <c r="F309" s="8" t="s">
        <v>325</v>
      </c>
      <c r="G309" s="10">
        <v>3414</v>
      </c>
      <c r="H309" s="11">
        <f t="array" ref="H309">INDEX([22]Monitoring!$H$6:$H$582,MATCH(1,([22]Monitoring!$D$6:$D$582=$D309)*([22]Monitoring!$D$6:$D$582=$D309),0))</f>
        <v>46153</v>
      </c>
      <c r="I309" s="143">
        <f t="array" ref="I309">INDEX([22]Monitoring!$I$6:$I$582,MATCH(1,([22]Monitoring!$D$6:$D$582=$D309)*([22]Monitoring!$D$6:$D$582=$D309),0))</f>
        <v>405</v>
      </c>
      <c r="J309" s="9">
        <f t="array" ref="J309">IFERROR(I309/G309*100,0)</f>
        <v>11.86291739894552</v>
      </c>
      <c r="K309" s="143">
        <f t="array" ref="K309">INDEX([22]Monitoring!$J$6:$J$582,MATCH(1,([22]Monitoring!$D$6:$D$582=$D309)*([22]Monitoring!$D$6:$D$582=$D309),0))</f>
        <v>47</v>
      </c>
      <c r="L309" s="9">
        <f t="shared" si="5"/>
        <v>11.604938271604938</v>
      </c>
      <c r="M309" s="8" t="str">
        <f t="array" ref="M309">IF(L309&gt;5,"Perlu Pengendalian",IF(AND(L309&gt;=0,I309&gt;0),"Tidak Perlu Pengendalian","Belum Sensus"))</f>
        <v>Perlu Pengendalian</v>
      </c>
    </row>
    <row r="310" spans="1:13" x14ac:dyDescent="0.15">
      <c r="A310" s="8" t="s">
        <v>322</v>
      </c>
      <c r="B310" s="8" t="s">
        <v>79</v>
      </c>
      <c r="C310" s="8" t="s">
        <v>323</v>
      </c>
      <c r="D310" s="8" t="s">
        <v>332</v>
      </c>
      <c r="E310" s="9">
        <v>27.03</v>
      </c>
      <c r="F310" s="8" t="s">
        <v>325</v>
      </c>
      <c r="G310" s="10">
        <v>3972</v>
      </c>
      <c r="H310" s="11">
        <f t="array" ref="H310">INDEX([22]Monitoring!$H$6:$H$582,MATCH(1,([22]Monitoring!$D$6:$D$582=$D310)*([22]Monitoring!$D$6:$D$582=$D310),0))</f>
        <v>46153</v>
      </c>
      <c r="I310" s="143">
        <f t="array" ref="I310">INDEX([22]Monitoring!$I$6:$I$582,MATCH(1,([22]Monitoring!$D$6:$D$582=$D310)*([22]Monitoring!$D$6:$D$582=$D310),0))</f>
        <v>485</v>
      </c>
      <c r="J310" s="9">
        <f t="array" ref="J310">IFERROR(I310/G310*100,0)</f>
        <v>12.210473313192347</v>
      </c>
      <c r="K310" s="143">
        <f t="array" ref="K310">INDEX([22]Monitoring!$J$6:$J$582,MATCH(1,([22]Monitoring!$D$6:$D$582=$D310)*([22]Monitoring!$D$6:$D$582=$D310),0))</f>
        <v>59</v>
      </c>
      <c r="L310" s="9">
        <f t="shared" si="5"/>
        <v>12.164948453608247</v>
      </c>
      <c r="M310" s="8" t="str">
        <f t="array" ref="M310">IF(L310&gt;5,"Perlu Pengendalian",IF(AND(L310&gt;=0,I310&gt;0),"Tidak Perlu Pengendalian","Belum Sensus"))</f>
        <v>Perlu Pengendalian</v>
      </c>
    </row>
    <row r="311" spans="1:13" x14ac:dyDescent="0.15">
      <c r="A311" s="8" t="s">
        <v>322</v>
      </c>
      <c r="B311" s="8" t="s">
        <v>79</v>
      </c>
      <c r="C311" s="8" t="s">
        <v>323</v>
      </c>
      <c r="D311" s="8" t="s">
        <v>333</v>
      </c>
      <c r="E311" s="9">
        <v>23.99</v>
      </c>
      <c r="F311" s="8" t="s">
        <v>325</v>
      </c>
      <c r="G311" s="10">
        <v>2647</v>
      </c>
      <c r="H311" s="11">
        <f t="array" ref="H311">INDEX([22]Monitoring!$H$6:$H$582,MATCH(1,([22]Monitoring!$D$6:$D$582=$D311)*([22]Monitoring!$D$6:$D$582=$D311),0))</f>
        <v>46153</v>
      </c>
      <c r="I311" s="143">
        <f t="array" ref="I311">INDEX([22]Monitoring!$I$6:$I$582,MATCH(1,([22]Monitoring!$D$6:$D$582=$D311)*([22]Monitoring!$D$6:$D$582=$D311),0))</f>
        <v>381</v>
      </c>
      <c r="J311" s="9">
        <f t="array" ref="J311">IFERROR(I311/G311*100,0)</f>
        <v>14.393653192293163</v>
      </c>
      <c r="K311" s="143">
        <f t="array" ref="K311">INDEX([22]Monitoring!$J$6:$J$582,MATCH(1,([22]Monitoring!$D$6:$D$582=$D311)*([22]Monitoring!$D$6:$D$582=$D311),0))</f>
        <v>19</v>
      </c>
      <c r="L311" s="9">
        <f t="shared" si="5"/>
        <v>4.9868766404199478</v>
      </c>
      <c r="M311" s="8" t="str">
        <f t="array" ref="M311">IF(L311&gt;5,"Perlu Pengendalian",IF(AND(L311&gt;=0,I311&gt;0),"Tidak Perlu Pengendalian","Belum Sensus"))</f>
        <v>Tidak Perlu Pengendalian</v>
      </c>
    </row>
    <row r="312" spans="1:13" x14ac:dyDescent="0.15">
      <c r="A312" s="8" t="s">
        <v>322</v>
      </c>
      <c r="B312" s="8" t="s">
        <v>79</v>
      </c>
      <c r="C312" s="8" t="s">
        <v>323</v>
      </c>
      <c r="D312" s="8" t="s">
        <v>334</v>
      </c>
      <c r="E312" s="9">
        <v>32.92</v>
      </c>
      <c r="F312" s="8" t="s">
        <v>325</v>
      </c>
      <c r="G312" s="10">
        <v>3952</v>
      </c>
      <c r="H312" s="11">
        <f t="array" ref="H312">INDEX([22]Monitoring!$H$6:$H$582,MATCH(1,([22]Monitoring!$D$6:$D$582=$D312)*([22]Monitoring!$D$6:$D$582=$D312),0))</f>
        <v>46150</v>
      </c>
      <c r="I312" s="143">
        <f t="array" ref="I312">INDEX([22]Monitoring!$I$6:$I$582,MATCH(1,([22]Monitoring!$D$6:$D$582=$D312)*([22]Monitoring!$D$6:$D$582=$D312),0))</f>
        <v>354</v>
      </c>
      <c r="J312" s="9">
        <f t="array" ref="J312">IFERROR(I312/G312*100,0)</f>
        <v>8.9574898785425106</v>
      </c>
      <c r="K312" s="143">
        <f t="array" ref="K312">INDEX([22]Monitoring!$J$6:$J$582,MATCH(1,([22]Monitoring!$D$6:$D$582=$D312)*([22]Monitoring!$D$6:$D$582=$D312),0))</f>
        <v>33</v>
      </c>
      <c r="L312" s="9">
        <f t="shared" si="5"/>
        <v>9.3220338983050848</v>
      </c>
      <c r="M312" s="8" t="str">
        <f t="array" ref="M312">IF(L312&gt;5,"Perlu Pengendalian",IF(AND(L312&gt;=0,I312&gt;0),"Tidak Perlu Pengendalian","Belum Sensus"))</f>
        <v>Perlu Pengendalian</v>
      </c>
    </row>
    <row r="313" spans="1:13" x14ac:dyDescent="0.15">
      <c r="A313" s="8" t="s">
        <v>322</v>
      </c>
      <c r="B313" s="8" t="s">
        <v>79</v>
      </c>
      <c r="C313" s="8" t="s">
        <v>323</v>
      </c>
      <c r="D313" s="8" t="s">
        <v>335</v>
      </c>
      <c r="E313" s="9">
        <v>26.19</v>
      </c>
      <c r="F313" s="8" t="s">
        <v>325</v>
      </c>
      <c r="G313" s="10">
        <v>3420</v>
      </c>
      <c r="H313" s="11">
        <f t="array" ref="H313">INDEX([22]Monitoring!$H$6:$H$582,MATCH(1,([22]Monitoring!$D$6:$D$582=$D313)*([22]Monitoring!$D$6:$D$582=$D313),0))</f>
        <v>46148</v>
      </c>
      <c r="I313" s="143">
        <f t="array" ref="I313">INDEX([22]Monitoring!$I$6:$I$582,MATCH(1,([22]Monitoring!$D$6:$D$582=$D313)*([22]Monitoring!$D$6:$D$582=$D313),0))</f>
        <v>399</v>
      </c>
      <c r="J313" s="9">
        <f t="array" ref="J313">IFERROR(I313/G313*100,0)</f>
        <v>11.666666666666666</v>
      </c>
      <c r="K313" s="143">
        <f t="array" ref="K313">INDEX([22]Monitoring!$J$6:$J$582,MATCH(1,([22]Monitoring!$D$6:$D$582=$D313)*([22]Monitoring!$D$6:$D$582=$D313),0))</f>
        <v>60</v>
      </c>
      <c r="L313" s="9">
        <f t="shared" si="5"/>
        <v>15.037593984962406</v>
      </c>
      <c r="M313" s="8" t="str">
        <f t="array" ref="M313">IF(L313&gt;5,"Perlu Pengendalian",IF(AND(L313&gt;=0,I313&gt;0),"Tidak Perlu Pengendalian","Belum Sensus"))</f>
        <v>Perlu Pengendalian</v>
      </c>
    </row>
    <row r="314" spans="1:13" x14ac:dyDescent="0.15">
      <c r="A314" s="8" t="s">
        <v>322</v>
      </c>
      <c r="B314" s="8" t="s">
        <v>79</v>
      </c>
      <c r="C314" s="8" t="s">
        <v>323</v>
      </c>
      <c r="D314" s="8" t="s">
        <v>336</v>
      </c>
      <c r="E314" s="9">
        <v>28.47</v>
      </c>
      <c r="F314" s="8" t="s">
        <v>325</v>
      </c>
      <c r="G314" s="10">
        <v>3913</v>
      </c>
      <c r="H314" s="11">
        <f t="array" ref="H314">INDEX([22]Monitoring!$H$6:$H$582,MATCH(1,([22]Monitoring!$D$6:$D$582=$D314)*([22]Monitoring!$D$6:$D$582=$D314),0))</f>
        <v>46148</v>
      </c>
      <c r="I314" s="143">
        <f t="array" ref="I314">INDEX([22]Monitoring!$I$6:$I$582,MATCH(1,([22]Monitoring!$D$6:$D$582=$D314)*([22]Monitoring!$D$6:$D$582=$D314),0))</f>
        <v>430</v>
      </c>
      <c r="J314" s="9">
        <f t="array" ref="J314">IFERROR(I314/G314*100,0)</f>
        <v>10.989010989010989</v>
      </c>
      <c r="K314" s="143">
        <f t="array" ref="K314">INDEX([22]Monitoring!$J$6:$J$582,MATCH(1,([22]Monitoring!$D$6:$D$582=$D314)*([22]Monitoring!$D$6:$D$582=$D314),0))</f>
        <v>38</v>
      </c>
      <c r="L314" s="9">
        <f t="shared" si="5"/>
        <v>8.8372093023255811</v>
      </c>
      <c r="M314" s="8" t="str">
        <f t="array" ref="M314">IF(L314&gt;5,"Perlu Pengendalian",IF(AND(L314&gt;=0,I314&gt;0),"Tidak Perlu Pengendalian","Belum Sensus"))</f>
        <v>Perlu Pengendalian</v>
      </c>
    </row>
    <row r="315" spans="1:13" x14ac:dyDescent="0.15">
      <c r="A315" s="8" t="s">
        <v>322</v>
      </c>
      <c r="B315" s="8" t="s">
        <v>79</v>
      </c>
      <c r="C315" s="8" t="s">
        <v>323</v>
      </c>
      <c r="D315" s="8" t="s">
        <v>337</v>
      </c>
      <c r="E315" s="9">
        <v>47.23</v>
      </c>
      <c r="F315" s="8" t="s">
        <v>325</v>
      </c>
      <c r="G315" s="10">
        <v>7056</v>
      </c>
      <c r="H315" s="11">
        <f t="array" ref="H315">INDEX([22]Monitoring!$H$6:$H$582,MATCH(1,([22]Monitoring!$D$6:$D$582=$D315)*([22]Monitoring!$D$6:$D$582=$D315),0))</f>
        <v>46148</v>
      </c>
      <c r="I315" s="143">
        <f t="array" ref="I315">INDEX([22]Monitoring!$I$6:$I$582,MATCH(1,([22]Monitoring!$D$6:$D$582=$D315)*([22]Monitoring!$D$6:$D$582=$D315),0))</f>
        <v>442</v>
      </c>
      <c r="J315" s="9">
        <f t="array" ref="J315">IFERROR(I315/G315*100,0)</f>
        <v>6.2641723356009065</v>
      </c>
      <c r="K315" s="143">
        <f t="array" ref="K315">INDEX([22]Monitoring!$J$6:$J$582,MATCH(1,([22]Monitoring!$D$6:$D$582=$D315)*([22]Monitoring!$D$6:$D$582=$D315),0))</f>
        <v>152</v>
      </c>
      <c r="L315" s="9">
        <f t="shared" si="5"/>
        <v>34.389140271493211</v>
      </c>
      <c r="M315" s="8" t="str">
        <f t="array" ref="M315">IF(L315&gt;5,"Perlu Pengendalian",IF(AND(L315&gt;=0,I315&gt;0),"Tidak Perlu Pengendalian","Belum Sensus"))</f>
        <v>Perlu Pengendalian</v>
      </c>
    </row>
    <row r="316" spans="1:13" x14ac:dyDescent="0.15">
      <c r="A316" s="8" t="s">
        <v>322</v>
      </c>
      <c r="B316" s="8" t="s">
        <v>79</v>
      </c>
      <c r="C316" s="8" t="s">
        <v>323</v>
      </c>
      <c r="D316" s="8" t="s">
        <v>338</v>
      </c>
      <c r="E316" s="9">
        <v>30.13</v>
      </c>
      <c r="F316" s="8" t="s">
        <v>325</v>
      </c>
      <c r="G316" s="10">
        <v>4634</v>
      </c>
      <c r="H316" s="11">
        <f t="array" ref="H316">INDEX([22]Monitoring!$H$6:$H$582,MATCH(1,([22]Monitoring!$D$6:$D$582=$D316)*([22]Monitoring!$D$6:$D$582=$D316),0))</f>
        <v>46149</v>
      </c>
      <c r="I316" s="143">
        <f t="array" ref="I316">INDEX([22]Monitoring!$I$6:$I$582,MATCH(1,([22]Monitoring!$D$6:$D$582=$D316)*([22]Monitoring!$D$6:$D$582=$D316),0))</f>
        <v>507</v>
      </c>
      <c r="J316" s="9">
        <f t="array" ref="J316">IFERROR(I316/G316*100,0)</f>
        <v>10.940871817004748</v>
      </c>
      <c r="K316" s="143">
        <f t="array" ref="K316">INDEX([22]Monitoring!$J$6:$J$582,MATCH(1,([22]Monitoring!$D$6:$D$582=$D316)*([22]Monitoring!$D$6:$D$582=$D316),0))</f>
        <v>67</v>
      </c>
      <c r="L316" s="9">
        <f t="shared" si="5"/>
        <v>13.214990138067062</v>
      </c>
      <c r="M316" s="8" t="str">
        <f t="array" ref="M316">IF(L316&gt;5,"Perlu Pengendalian",IF(AND(L316&gt;=0,I316&gt;0),"Tidak Perlu Pengendalian","Belum Sensus"))</f>
        <v>Perlu Pengendalian</v>
      </c>
    </row>
    <row r="317" spans="1:13" x14ac:dyDescent="0.15">
      <c r="A317" s="8" t="s">
        <v>322</v>
      </c>
      <c r="B317" s="8" t="s">
        <v>79</v>
      </c>
      <c r="C317" s="8" t="s">
        <v>323</v>
      </c>
      <c r="D317" s="8" t="s">
        <v>339</v>
      </c>
      <c r="E317" s="9">
        <v>26.03</v>
      </c>
      <c r="F317" s="8" t="s">
        <v>325</v>
      </c>
      <c r="G317" s="10">
        <v>3680</v>
      </c>
      <c r="H317" s="11">
        <f t="array" ref="H317">INDEX([22]Monitoring!$H$6:$H$582,MATCH(1,([22]Monitoring!$D$6:$D$582=$D317)*([22]Monitoring!$D$6:$D$582=$D317),0))</f>
        <v>46149</v>
      </c>
      <c r="I317" s="143">
        <f t="array" ref="I317">INDEX([22]Monitoring!$I$6:$I$582,MATCH(1,([22]Monitoring!$D$6:$D$582=$D317)*([22]Monitoring!$D$6:$D$582=$D317),0))</f>
        <v>415</v>
      </c>
      <c r="J317" s="9">
        <f t="array" ref="J317">IFERROR(I317/G317*100,0)</f>
        <v>11.277173913043478</v>
      </c>
      <c r="K317" s="143">
        <f t="array" ref="K317">INDEX([22]Monitoring!$J$6:$J$582,MATCH(1,([22]Monitoring!$D$6:$D$582=$D317)*([22]Monitoring!$D$6:$D$582=$D317),0))</f>
        <v>56</v>
      </c>
      <c r="L317" s="9">
        <f t="shared" si="5"/>
        <v>13.493975903614459</v>
      </c>
      <c r="M317" s="8" t="str">
        <f t="array" ref="M317">IF(L317&gt;5,"Perlu Pengendalian",IF(AND(L317&gt;=0,I317&gt;0),"Tidak Perlu Pengendalian","Belum Sensus"))</f>
        <v>Perlu Pengendalian</v>
      </c>
    </row>
    <row r="318" spans="1:13" x14ac:dyDescent="0.15">
      <c r="A318" s="8" t="s">
        <v>322</v>
      </c>
      <c r="B318" s="8" t="s">
        <v>79</v>
      </c>
      <c r="C318" s="8" t="s">
        <v>323</v>
      </c>
      <c r="D318" s="8" t="s">
        <v>340</v>
      </c>
      <c r="E318" s="9">
        <v>24.72</v>
      </c>
      <c r="F318" s="8" t="s">
        <v>325</v>
      </c>
      <c r="G318" s="10">
        <v>3609</v>
      </c>
      <c r="H318" s="11">
        <f t="array" ref="H318">INDEX([22]Monitoring!$H$6:$H$582,MATCH(1,([22]Monitoring!$D$6:$D$582=$D318)*([22]Monitoring!$D$6:$D$582=$D318),0))</f>
        <v>46149</v>
      </c>
      <c r="I318" s="143">
        <f t="array" ref="I318">INDEX([22]Monitoring!$I$6:$I$582,MATCH(1,([22]Monitoring!$D$6:$D$582=$D318)*([22]Monitoring!$D$6:$D$582=$D318),0))</f>
        <v>444</v>
      </c>
      <c r="J318" s="9">
        <f t="array" ref="J318">IFERROR(I318/G318*100,0)</f>
        <v>12.30257689110557</v>
      </c>
      <c r="K318" s="143">
        <f t="array" ref="K318">INDEX([22]Monitoring!$J$6:$J$582,MATCH(1,([22]Monitoring!$D$6:$D$582=$D318)*([22]Monitoring!$D$6:$D$582=$D318),0))</f>
        <v>57</v>
      </c>
      <c r="L318" s="9">
        <f t="shared" si="5"/>
        <v>12.837837837837837</v>
      </c>
      <c r="M318" s="8" t="str">
        <f t="array" ref="M318">IF(L318&gt;5,"Perlu Pengendalian",IF(AND(L318&gt;=0,I318&gt;0),"Tidak Perlu Pengendalian","Belum Sensus"))</f>
        <v>Perlu Pengendalian</v>
      </c>
    </row>
    <row r="319" spans="1:13" x14ac:dyDescent="0.15">
      <c r="A319" s="8" t="s">
        <v>322</v>
      </c>
      <c r="B319" s="8" t="s">
        <v>79</v>
      </c>
      <c r="C319" s="8" t="s">
        <v>323</v>
      </c>
      <c r="D319" s="8" t="s">
        <v>341</v>
      </c>
      <c r="E319" s="9">
        <v>26.06</v>
      </c>
      <c r="F319" s="8" t="s">
        <v>325</v>
      </c>
      <c r="G319" s="10">
        <v>3894</v>
      </c>
      <c r="H319" s="11">
        <f t="array" ref="H319">INDEX([22]Monitoring!$H$6:$H$582,MATCH(1,([22]Monitoring!$D$6:$D$582=$D319)*([22]Monitoring!$D$6:$D$582=$D319),0))</f>
        <v>46149</v>
      </c>
      <c r="I319" s="143">
        <f t="array" ref="I319">INDEX([22]Monitoring!$I$6:$I$582,MATCH(1,([22]Monitoring!$D$6:$D$582=$D319)*([22]Monitoring!$D$6:$D$582=$D319),0))</f>
        <v>416</v>
      </c>
      <c r="J319" s="9">
        <f t="array" ref="J319">IFERROR(I319/G319*100,0)</f>
        <v>10.683102208525936</v>
      </c>
      <c r="K319" s="143">
        <f t="array" ref="K319">INDEX([22]Monitoring!$J$6:$J$582,MATCH(1,([22]Monitoring!$D$6:$D$582=$D319)*([22]Monitoring!$D$6:$D$582=$D319),0))</f>
        <v>57</v>
      </c>
      <c r="L319" s="9">
        <f t="shared" si="5"/>
        <v>13.701923076923078</v>
      </c>
      <c r="M319" s="8" t="str">
        <f t="array" ref="M319">IF(L319&gt;5,"Perlu Pengendalian",IF(AND(L319&gt;=0,I319&gt;0),"Tidak Perlu Pengendalian","Belum Sensus"))</f>
        <v>Perlu Pengendalian</v>
      </c>
    </row>
    <row r="320" spans="1:13" x14ac:dyDescent="0.15">
      <c r="A320" s="8" t="s">
        <v>322</v>
      </c>
      <c r="B320" s="8" t="s">
        <v>79</v>
      </c>
      <c r="C320" s="8" t="s">
        <v>323</v>
      </c>
      <c r="D320" s="8" t="s">
        <v>342</v>
      </c>
      <c r="E320" s="9">
        <v>24.63</v>
      </c>
      <c r="F320" s="8" t="s">
        <v>325</v>
      </c>
      <c r="G320" s="10">
        <v>3720</v>
      </c>
      <c r="H320" s="11">
        <f t="array" ref="H320">INDEX([22]Monitoring!$H$6:$H$582,MATCH(1,([22]Monitoring!$D$6:$D$582=$D320)*([22]Monitoring!$D$6:$D$582=$D320),0))</f>
        <v>46150</v>
      </c>
      <c r="I320" s="143">
        <f t="array" ref="I320">INDEX([22]Monitoring!$I$6:$I$582,MATCH(1,([22]Monitoring!$D$6:$D$582=$D320)*([22]Monitoring!$D$6:$D$582=$D320),0))</f>
        <v>317</v>
      </c>
      <c r="J320" s="9">
        <f t="array" ref="J320">IFERROR(I320/G320*100,0)</f>
        <v>8.521505376344086</v>
      </c>
      <c r="K320" s="143">
        <f t="array" ref="K320">INDEX([22]Monitoring!$J$6:$J$582,MATCH(1,([22]Monitoring!$D$6:$D$582=$D320)*([22]Monitoring!$D$6:$D$582=$D320),0))</f>
        <v>70</v>
      </c>
      <c r="L320" s="9">
        <f t="shared" si="5"/>
        <v>22.082018927444793</v>
      </c>
      <c r="M320" s="8" t="str">
        <f t="array" ref="M320">IF(L320&gt;5,"Perlu Pengendalian",IF(AND(L320&gt;=0,I320&gt;0),"Tidak Perlu Pengendalian","Belum Sensus"))</f>
        <v>Perlu Pengendalian</v>
      </c>
    </row>
    <row r="321" spans="1:13" x14ac:dyDescent="0.15">
      <c r="A321" s="8" t="s">
        <v>322</v>
      </c>
      <c r="B321" s="8" t="s">
        <v>79</v>
      </c>
      <c r="C321" s="8" t="s">
        <v>323</v>
      </c>
      <c r="D321" s="8" t="s">
        <v>343</v>
      </c>
      <c r="E321" s="9">
        <v>47.2</v>
      </c>
      <c r="F321" s="8" t="s">
        <v>325</v>
      </c>
      <c r="G321" s="10">
        <v>6946</v>
      </c>
      <c r="H321" s="11">
        <f t="array" ref="H321">INDEX([22]Monitoring!$H$6:$H$582,MATCH(1,([22]Monitoring!$D$6:$D$582=$D321)*([22]Monitoring!$D$6:$D$582=$D321),0))</f>
        <v>46150</v>
      </c>
      <c r="I321" s="143">
        <f t="array" ref="I321">INDEX([22]Monitoring!$I$6:$I$582,MATCH(1,([22]Monitoring!$D$6:$D$582=$D321)*([22]Monitoring!$D$6:$D$582=$D321),0))</f>
        <v>462</v>
      </c>
      <c r="J321" s="9">
        <f t="array" ref="J321">IFERROR(I321/G321*100,0)</f>
        <v>6.651310106536136</v>
      </c>
      <c r="K321" s="143">
        <f t="array" ref="K321">INDEX([22]Monitoring!$J$6:$J$582,MATCH(1,([22]Monitoring!$D$6:$D$582=$D321)*([22]Monitoring!$D$6:$D$582=$D321),0))</f>
        <v>80</v>
      </c>
      <c r="L321" s="9">
        <f t="shared" si="5"/>
        <v>17.316017316017316</v>
      </c>
      <c r="M321" s="8" t="str">
        <f t="array" ref="M321">IF(L321&gt;5,"Perlu Pengendalian",IF(AND(L321&gt;=0,I321&gt;0),"Tidak Perlu Pengendalian","Belum Sensus"))</f>
        <v>Perlu Pengendalian</v>
      </c>
    </row>
    <row r="322" spans="1:13" x14ac:dyDescent="0.15">
      <c r="A322" s="8" t="s">
        <v>322</v>
      </c>
      <c r="B322" s="8" t="s">
        <v>79</v>
      </c>
      <c r="C322" s="8" t="s">
        <v>323</v>
      </c>
      <c r="D322" s="8" t="s">
        <v>344</v>
      </c>
      <c r="E322" s="9">
        <v>39.08</v>
      </c>
      <c r="F322" s="8" t="s">
        <v>325</v>
      </c>
      <c r="G322" s="10">
        <v>4075</v>
      </c>
      <c r="H322" s="11">
        <f t="array" ref="H322">INDEX([22]Monitoring!$H$6:$H$582,MATCH(1,([22]Monitoring!$D$6:$D$582=$D322)*([22]Monitoring!$D$6:$D$582=$D322),0))</f>
        <v>46150</v>
      </c>
      <c r="I322" s="143">
        <f t="array" ref="I322">INDEX([22]Monitoring!$I$6:$I$582,MATCH(1,([22]Monitoring!$D$6:$D$582=$D322)*([22]Monitoring!$D$6:$D$582=$D322),0))</f>
        <v>334</v>
      </c>
      <c r="J322" s="9">
        <f t="array" ref="J322">IFERROR(I322/G322*100,0)</f>
        <v>8.1963190184049068</v>
      </c>
      <c r="K322" s="143">
        <f t="array" ref="K322">INDEX([22]Monitoring!$J$6:$J$582,MATCH(1,([22]Monitoring!$D$6:$D$582=$D322)*([22]Monitoring!$D$6:$D$582=$D322),0))</f>
        <v>63</v>
      </c>
      <c r="L322" s="9">
        <f t="shared" si="5"/>
        <v>18.862275449101794</v>
      </c>
      <c r="M322" s="8" t="str">
        <f t="array" ref="M322">IF(L322&gt;5,"Perlu Pengendalian",IF(AND(L322&gt;=0,I322&gt;0),"Tidak Perlu Pengendalian","Belum Sensus"))</f>
        <v>Perlu Pengendalian</v>
      </c>
    </row>
    <row r="323" spans="1:13" x14ac:dyDescent="0.15">
      <c r="A323" s="8" t="s">
        <v>322</v>
      </c>
      <c r="B323" s="8" t="s">
        <v>79</v>
      </c>
      <c r="C323" s="8" t="s">
        <v>345</v>
      </c>
      <c r="D323" s="8" t="s">
        <v>346</v>
      </c>
      <c r="E323" s="9">
        <v>26.24</v>
      </c>
      <c r="F323" s="8" t="s">
        <v>325</v>
      </c>
      <c r="G323" s="10">
        <v>3918</v>
      </c>
      <c r="H323" s="11">
        <f t="array" ref="H323">INDEX([22]Monitoring!$H$6:$H$582,MATCH(1,([22]Monitoring!$D$6:$D$582=$D323)*([22]Monitoring!$D$6:$D$582=$D323),0))</f>
        <v>46150</v>
      </c>
      <c r="I323" s="143">
        <f t="array" ref="I323">INDEX([22]Monitoring!$I$6:$I$582,MATCH(1,([22]Monitoring!$D$6:$D$582=$D323)*([22]Monitoring!$D$6:$D$582=$D323),0))</f>
        <v>385</v>
      </c>
      <c r="J323" s="9">
        <f t="array" ref="J323">IFERROR(I323/G323*100,0)</f>
        <v>9.8264420622766711</v>
      </c>
      <c r="K323" s="143">
        <f t="array" ref="K323">INDEX([22]Monitoring!$J$6:$J$582,MATCH(1,([22]Monitoring!$D$6:$D$582=$D323)*([22]Monitoring!$D$6:$D$582=$D323),0))</f>
        <v>98</v>
      </c>
      <c r="L323" s="9">
        <f t="shared" si="5"/>
        <v>25.454545454545453</v>
      </c>
      <c r="M323" s="8" t="str">
        <f t="array" ref="M323">IF(L323&gt;5,"Perlu Pengendalian",IF(AND(L323&gt;=0,I323&gt;0),"Tidak Perlu Pengendalian","Belum Sensus"))</f>
        <v>Perlu Pengendalian</v>
      </c>
    </row>
    <row r="324" spans="1:13" x14ac:dyDescent="0.15">
      <c r="A324" s="8" t="s">
        <v>322</v>
      </c>
      <c r="B324" s="8" t="s">
        <v>79</v>
      </c>
      <c r="C324" s="8" t="s">
        <v>345</v>
      </c>
      <c r="D324" s="8" t="s">
        <v>347</v>
      </c>
      <c r="E324" s="9">
        <v>26.95</v>
      </c>
      <c r="F324" s="8" t="s">
        <v>325</v>
      </c>
      <c r="G324" s="10">
        <v>3703</v>
      </c>
      <c r="H324" s="11">
        <f t="array" ref="H324">INDEX([22]Monitoring!$H$6:$H$582,MATCH(1,([22]Monitoring!$D$6:$D$582=$D324)*([22]Monitoring!$D$6:$D$582=$D324),0))</f>
        <v>46150</v>
      </c>
      <c r="I324" s="143">
        <f t="array" ref="I324">INDEX([22]Monitoring!$I$6:$I$582,MATCH(1,([22]Monitoring!$D$6:$D$582=$D324)*([22]Monitoring!$D$6:$D$582=$D324),0))</f>
        <v>403</v>
      </c>
      <c r="J324" s="9">
        <f t="array" ref="J324">IFERROR(I324/G324*100,0)</f>
        <v>10.883067782878747</v>
      </c>
      <c r="K324" s="143">
        <f t="array" ref="K324">INDEX([22]Monitoring!$J$6:$J$582,MATCH(1,([22]Monitoring!$D$6:$D$582=$D324)*([22]Monitoring!$D$6:$D$582=$D324),0))</f>
        <v>92</v>
      </c>
      <c r="L324" s="9">
        <f t="shared" si="5"/>
        <v>22.8287841191067</v>
      </c>
      <c r="M324" s="8" t="str">
        <f t="array" ref="M324">IF(L324&gt;5,"Perlu Pengendalian",IF(AND(L324&gt;=0,I324&gt;0),"Tidak Perlu Pengendalian","Belum Sensus"))</f>
        <v>Perlu Pengendalian</v>
      </c>
    </row>
    <row r="325" spans="1:13" x14ac:dyDescent="0.15">
      <c r="A325" s="8" t="s">
        <v>322</v>
      </c>
      <c r="B325" s="8" t="s">
        <v>79</v>
      </c>
      <c r="C325" s="8" t="s">
        <v>345</v>
      </c>
      <c r="D325" s="8" t="s">
        <v>348</v>
      </c>
      <c r="E325" s="9">
        <v>44.95</v>
      </c>
      <c r="F325" s="8" t="s">
        <v>325</v>
      </c>
      <c r="G325" s="10">
        <v>6254</v>
      </c>
      <c r="H325" s="11">
        <f t="array" ref="H325">INDEX([22]Monitoring!$H$6:$H$582,MATCH(1,([22]Monitoring!$D$6:$D$582=$D325)*([22]Monitoring!$D$6:$D$582=$D325),0))</f>
        <v>46150</v>
      </c>
      <c r="I325" s="143">
        <f t="array" ref="I325">INDEX([22]Monitoring!$I$6:$I$582,MATCH(1,([22]Monitoring!$D$6:$D$582=$D325)*([22]Monitoring!$D$6:$D$582=$D325),0))</f>
        <v>389</v>
      </c>
      <c r="J325" s="9">
        <f t="array" ref="J325">IFERROR(I325/G325*100,0)</f>
        <v>6.220019187719859</v>
      </c>
      <c r="K325" s="143">
        <f t="array" ref="K325">INDEX([22]Monitoring!$J$6:$J$582,MATCH(1,([22]Monitoring!$D$6:$D$582=$D325)*([22]Monitoring!$D$6:$D$582=$D325),0))</f>
        <v>103</v>
      </c>
      <c r="L325" s="9">
        <f t="shared" si="5"/>
        <v>26.47814910025707</v>
      </c>
      <c r="M325" s="8" t="str">
        <f t="array" ref="M325">IF(L325&gt;5,"Perlu Pengendalian",IF(AND(L325&gt;=0,I325&gt;0),"Tidak Perlu Pengendalian","Belum Sensus"))</f>
        <v>Perlu Pengendalian</v>
      </c>
    </row>
    <row r="326" spans="1:13" x14ac:dyDescent="0.15">
      <c r="A326" s="8" t="s">
        <v>322</v>
      </c>
      <c r="B326" s="8" t="s">
        <v>79</v>
      </c>
      <c r="C326" s="8" t="s">
        <v>345</v>
      </c>
      <c r="D326" s="8" t="s">
        <v>349</v>
      </c>
      <c r="E326" s="9">
        <v>28.94</v>
      </c>
      <c r="F326" s="8" t="s">
        <v>325</v>
      </c>
      <c r="G326" s="10">
        <v>3794</v>
      </c>
      <c r="H326" s="11">
        <f t="array" ref="H326">INDEX([22]Monitoring!$H$6:$H$582,MATCH(1,([22]Monitoring!$D$6:$D$582=$D326)*([22]Monitoring!$D$6:$D$582=$D326),0))</f>
        <v>46149</v>
      </c>
      <c r="I326" s="143">
        <f t="array" ref="I326">INDEX([22]Monitoring!$I$6:$I$582,MATCH(1,([22]Monitoring!$D$6:$D$582=$D326)*([22]Monitoring!$D$6:$D$582=$D326),0))</f>
        <v>440</v>
      </c>
      <c r="J326" s="9">
        <f t="array" ref="J326">IFERROR(I326/G326*100,0)</f>
        <v>11.597258829731153</v>
      </c>
      <c r="K326" s="143">
        <f t="array" ref="K326">INDEX([22]Monitoring!$J$6:$J$582,MATCH(1,([22]Monitoring!$D$6:$D$582=$D326)*([22]Monitoring!$D$6:$D$582=$D326),0))</f>
        <v>43</v>
      </c>
      <c r="L326" s="9">
        <f t="shared" si="5"/>
        <v>9.7727272727272734</v>
      </c>
      <c r="M326" s="8" t="str">
        <f t="array" ref="M326">IF(L326&gt;5,"Perlu Pengendalian",IF(AND(L326&gt;=0,I326&gt;0),"Tidak Perlu Pengendalian","Belum Sensus"))</f>
        <v>Perlu Pengendalian</v>
      </c>
    </row>
    <row r="327" spans="1:13" x14ac:dyDescent="0.15">
      <c r="A327" s="8" t="s">
        <v>322</v>
      </c>
      <c r="B327" s="8" t="s">
        <v>79</v>
      </c>
      <c r="C327" s="8" t="s">
        <v>345</v>
      </c>
      <c r="D327" s="8" t="s">
        <v>350</v>
      </c>
      <c r="E327" s="9">
        <v>23.92</v>
      </c>
      <c r="F327" s="8" t="s">
        <v>325</v>
      </c>
      <c r="G327" s="10">
        <v>3078</v>
      </c>
      <c r="H327" s="11">
        <f t="array" ref="H327">INDEX([22]Monitoring!$H$6:$H$582,MATCH(1,([22]Monitoring!$D$6:$D$582=$D327)*([22]Monitoring!$D$6:$D$582=$D327),0))</f>
        <v>46149</v>
      </c>
      <c r="I327" s="143">
        <f t="array" ref="I327">INDEX([22]Monitoring!$I$6:$I$582,MATCH(1,([22]Monitoring!$D$6:$D$582=$D327)*([22]Monitoring!$D$6:$D$582=$D327),0))</f>
        <v>362</v>
      </c>
      <c r="J327" s="9">
        <f t="array" ref="J327">IFERROR(I327/G327*100,0)</f>
        <v>11.760883690708251</v>
      </c>
      <c r="K327" s="143">
        <f t="array" ref="K327">INDEX([22]Monitoring!$J$6:$J$582,MATCH(1,([22]Monitoring!$D$6:$D$582=$D327)*([22]Monitoring!$D$6:$D$582=$D327),0))</f>
        <v>68</v>
      </c>
      <c r="L327" s="9">
        <f t="shared" si="5"/>
        <v>18.784530386740332</v>
      </c>
      <c r="M327" s="8" t="str">
        <f t="array" ref="M327">IF(L327&gt;5,"Perlu Pengendalian",IF(AND(L327&gt;=0,I327&gt;0),"Tidak Perlu Pengendalian","Belum Sensus"))</f>
        <v>Perlu Pengendalian</v>
      </c>
    </row>
    <row r="328" spans="1:13" x14ac:dyDescent="0.15">
      <c r="A328" s="8" t="s">
        <v>322</v>
      </c>
      <c r="B328" s="8" t="s">
        <v>79</v>
      </c>
      <c r="C328" s="8" t="s">
        <v>345</v>
      </c>
      <c r="D328" s="8" t="s">
        <v>351</v>
      </c>
      <c r="E328" s="9">
        <v>25.29</v>
      </c>
      <c r="F328" s="8" t="s">
        <v>325</v>
      </c>
      <c r="G328" s="10">
        <v>3586</v>
      </c>
      <c r="H328" s="11">
        <f t="array" ref="H328">INDEX([22]Monitoring!$H$6:$H$582,MATCH(1,([22]Monitoring!$D$6:$D$582=$D328)*([22]Monitoring!$D$6:$D$582=$D328),0))</f>
        <v>46149</v>
      </c>
      <c r="I328" s="143">
        <f t="array" ref="I328">INDEX([22]Monitoring!$I$6:$I$582,MATCH(1,([22]Monitoring!$D$6:$D$582=$D328)*([22]Monitoring!$D$6:$D$582=$D328),0))</f>
        <v>397</v>
      </c>
      <c r="J328" s="9">
        <f t="array" ref="J328">IFERROR(I328/G328*100,0)</f>
        <v>11.070831009481315</v>
      </c>
      <c r="K328" s="143">
        <f t="array" ref="K328">INDEX([22]Monitoring!$J$6:$J$582,MATCH(1,([22]Monitoring!$D$6:$D$582=$D328)*([22]Monitoring!$D$6:$D$582=$D328),0))</f>
        <v>65</v>
      </c>
      <c r="L328" s="9">
        <f t="shared" si="5"/>
        <v>16.3727959697733</v>
      </c>
      <c r="M328" s="8" t="str">
        <f t="array" ref="M328">IF(L328&gt;5,"Perlu Pengendalian",IF(AND(L328&gt;=0,I328&gt;0),"Tidak Perlu Pengendalian","Belum Sensus"))</f>
        <v>Perlu Pengendalian</v>
      </c>
    </row>
    <row r="329" spans="1:13" x14ac:dyDescent="0.15">
      <c r="A329" s="8" t="s">
        <v>322</v>
      </c>
      <c r="B329" s="8" t="s">
        <v>79</v>
      </c>
      <c r="C329" s="8" t="s">
        <v>345</v>
      </c>
      <c r="D329" s="8" t="s">
        <v>352</v>
      </c>
      <c r="E329" s="9">
        <v>25.78</v>
      </c>
      <c r="F329" s="8" t="s">
        <v>325</v>
      </c>
      <c r="G329" s="10">
        <v>3736</v>
      </c>
      <c r="H329" s="11">
        <f t="array" ref="H329">INDEX([22]Monitoring!$H$6:$H$582,MATCH(1,([22]Monitoring!$D$6:$D$582=$D329)*([22]Monitoring!$D$6:$D$582=$D329),0))</f>
        <v>46149</v>
      </c>
      <c r="I329" s="143">
        <f t="array" ref="I329">INDEX([22]Monitoring!$I$6:$I$582,MATCH(1,([22]Monitoring!$D$6:$D$582=$D329)*([22]Monitoring!$D$6:$D$582=$D329),0))</f>
        <v>379</v>
      </c>
      <c r="J329" s="9">
        <f t="array" ref="J329">IFERROR(I329/G329*100,0)</f>
        <v>10.144539614561028</v>
      </c>
      <c r="K329" s="143">
        <f t="array" ref="K329">INDEX([22]Monitoring!$J$6:$J$582,MATCH(1,([22]Monitoring!$D$6:$D$582=$D329)*([22]Monitoring!$D$6:$D$582=$D329),0))</f>
        <v>98</v>
      </c>
      <c r="L329" s="9">
        <f t="shared" si="5"/>
        <v>25.857519788918204</v>
      </c>
      <c r="M329" s="8" t="str">
        <f t="array" ref="M329">IF(L329&gt;5,"Perlu Pengendalian",IF(AND(L329&gt;=0,I329&gt;0),"Tidak Perlu Pengendalian","Belum Sensus"))</f>
        <v>Perlu Pengendalian</v>
      </c>
    </row>
    <row r="330" spans="1:13" x14ac:dyDescent="0.15">
      <c r="A330" s="8" t="s">
        <v>322</v>
      </c>
      <c r="B330" s="8" t="s">
        <v>79</v>
      </c>
      <c r="C330" s="8" t="s">
        <v>345</v>
      </c>
      <c r="D330" s="8" t="s">
        <v>353</v>
      </c>
      <c r="E330" s="9">
        <v>25.32</v>
      </c>
      <c r="F330" s="8" t="s">
        <v>325</v>
      </c>
      <c r="G330" s="10">
        <v>3584</v>
      </c>
      <c r="H330" s="11">
        <f t="array" ref="H330">INDEX([22]Monitoring!$H$6:$H$582,MATCH(1,([22]Monitoring!$D$6:$D$582=$D330)*([22]Monitoring!$D$6:$D$582=$D330),0))</f>
        <v>46148</v>
      </c>
      <c r="I330" s="143">
        <f t="array" ref="I330">INDEX([22]Monitoring!$I$6:$I$582,MATCH(1,([22]Monitoring!$D$6:$D$582=$D330)*([22]Monitoring!$D$6:$D$582=$D330),0))</f>
        <v>374</v>
      </c>
      <c r="J330" s="9">
        <f t="array" ref="J330">IFERROR(I330/G330*100,0)</f>
        <v>10.435267857142858</v>
      </c>
      <c r="K330" s="143">
        <f t="array" ref="K330">INDEX([22]Monitoring!$J$6:$J$582,MATCH(1,([22]Monitoring!$D$6:$D$582=$D330)*([22]Monitoring!$D$6:$D$582=$D330),0))</f>
        <v>28</v>
      </c>
      <c r="L330" s="9">
        <f t="shared" si="5"/>
        <v>7.4866310160427805</v>
      </c>
      <c r="M330" s="8" t="str">
        <f t="array" ref="M330">IF(L330&gt;5,"Perlu Pengendalian",IF(AND(L330&gt;=0,I330&gt;0),"Tidak Perlu Pengendalian","Belum Sensus"))</f>
        <v>Perlu Pengendalian</v>
      </c>
    </row>
    <row r="331" spans="1:13" x14ac:dyDescent="0.15">
      <c r="A331" s="8" t="s">
        <v>322</v>
      </c>
      <c r="B331" s="8" t="s">
        <v>79</v>
      </c>
      <c r="C331" s="8" t="s">
        <v>345</v>
      </c>
      <c r="D331" s="8" t="s">
        <v>354</v>
      </c>
      <c r="E331" s="9">
        <v>46.98</v>
      </c>
      <c r="F331" s="8" t="s">
        <v>325</v>
      </c>
      <c r="G331" s="10">
        <v>6951</v>
      </c>
      <c r="H331" s="11">
        <f t="array" ref="H331">INDEX([22]Monitoring!$H$6:$H$582,MATCH(1,([22]Monitoring!$D$6:$D$582=$D331)*([22]Monitoring!$D$6:$D$582=$D331),0))</f>
        <v>46148</v>
      </c>
      <c r="I331" s="143">
        <f t="array" ref="I331">INDEX([22]Monitoring!$I$6:$I$582,MATCH(1,([22]Monitoring!$D$6:$D$582=$D331)*([22]Monitoring!$D$6:$D$582=$D331),0))</f>
        <v>364</v>
      </c>
      <c r="J331" s="9">
        <f t="array" ref="J331">IFERROR(I331/G331*100,0)</f>
        <v>5.236656596173213</v>
      </c>
      <c r="K331" s="143">
        <f t="array" ref="K331">INDEX([22]Monitoring!$J$6:$J$582,MATCH(1,([22]Monitoring!$D$6:$D$582=$D331)*([22]Monitoring!$D$6:$D$582=$D331),0))</f>
        <v>15</v>
      </c>
      <c r="L331" s="9">
        <f t="shared" si="5"/>
        <v>4.1208791208791204</v>
      </c>
      <c r="M331" s="8" t="str">
        <f t="array" ref="M331">IF(L331&gt;5,"Perlu Pengendalian",IF(AND(L331&gt;=0,I331&gt;0),"Tidak Perlu Pengendalian","Belum Sensus"))</f>
        <v>Tidak Perlu Pengendalian</v>
      </c>
    </row>
    <row r="332" spans="1:13" x14ac:dyDescent="0.15">
      <c r="A332" s="8" t="s">
        <v>322</v>
      </c>
      <c r="B332" s="8" t="s">
        <v>79</v>
      </c>
      <c r="C332" s="8" t="s">
        <v>345</v>
      </c>
      <c r="D332" s="8" t="s">
        <v>355</v>
      </c>
      <c r="E332" s="9">
        <v>23.98</v>
      </c>
      <c r="F332" s="8" t="s">
        <v>325</v>
      </c>
      <c r="G332" s="10">
        <v>3588</v>
      </c>
      <c r="H332" s="11">
        <f t="array" ref="H332">INDEX([22]Monitoring!$H$6:$H$582,MATCH(1,([22]Monitoring!$D$6:$D$582=$D332)*([22]Monitoring!$D$6:$D$582=$D332),0))</f>
        <v>46148</v>
      </c>
      <c r="I332" s="143">
        <f t="array" ref="I332">INDEX([22]Monitoring!$I$6:$I$582,MATCH(1,([22]Monitoring!$D$6:$D$582=$D332)*([22]Monitoring!$D$6:$D$582=$D332),0))</f>
        <v>380</v>
      </c>
      <c r="J332" s="9">
        <f t="array" ref="J332">IFERROR(I332/G332*100,0)</f>
        <v>10.590858416945373</v>
      </c>
      <c r="K332" s="143">
        <f t="array" ref="K332">INDEX([22]Monitoring!$J$6:$J$582,MATCH(1,([22]Monitoring!$D$6:$D$582=$D332)*([22]Monitoring!$D$6:$D$582=$D332),0))</f>
        <v>11</v>
      </c>
      <c r="L332" s="9">
        <f t="shared" si="5"/>
        <v>2.8947368421052633</v>
      </c>
      <c r="M332" s="8" t="str">
        <f t="array" ref="M332">IF(L332&gt;5,"Perlu Pengendalian",IF(AND(L332&gt;=0,I332&gt;0),"Tidak Perlu Pengendalian","Belum Sensus"))</f>
        <v>Tidak Perlu Pengendalian</v>
      </c>
    </row>
    <row r="333" spans="1:13" x14ac:dyDescent="0.15">
      <c r="A333" s="8" t="s">
        <v>322</v>
      </c>
      <c r="B333" s="8" t="s">
        <v>79</v>
      </c>
      <c r="C333" s="8" t="s">
        <v>345</v>
      </c>
      <c r="D333" s="8" t="s">
        <v>356</v>
      </c>
      <c r="E333" s="9">
        <v>26.1</v>
      </c>
      <c r="F333" s="8" t="s">
        <v>325</v>
      </c>
      <c r="G333" s="10">
        <v>3795</v>
      </c>
      <c r="H333" s="11">
        <f t="array" ref="H333">INDEX([22]Monitoring!$H$6:$H$582,MATCH(1,([22]Monitoring!$D$6:$D$582=$D333)*([22]Monitoring!$D$6:$D$582=$D333),0))</f>
        <v>46148</v>
      </c>
      <c r="I333" s="143">
        <f t="array" ref="I333">INDEX([22]Monitoring!$I$6:$I$582,MATCH(1,([22]Monitoring!$D$6:$D$582=$D333)*([22]Monitoring!$D$6:$D$582=$D333),0))</f>
        <v>396</v>
      </c>
      <c r="J333" s="9">
        <f t="array" ref="J333">IFERROR(I333/G333*100,0)</f>
        <v>10.434782608695652</v>
      </c>
      <c r="K333" s="143">
        <f t="array" ref="K333">INDEX([22]Monitoring!$J$6:$J$582,MATCH(1,([22]Monitoring!$D$6:$D$582=$D333)*([22]Monitoring!$D$6:$D$582=$D333),0))</f>
        <v>28</v>
      </c>
      <c r="L333" s="9">
        <f t="shared" si="5"/>
        <v>7.0707070707070701</v>
      </c>
      <c r="M333" s="8" t="str">
        <f t="array" ref="M333">IF(L333&gt;5,"Perlu Pengendalian",IF(AND(L333&gt;=0,I333&gt;0),"Tidak Perlu Pengendalian","Belum Sensus"))</f>
        <v>Perlu Pengendalian</v>
      </c>
    </row>
    <row r="334" spans="1:13" x14ac:dyDescent="0.15">
      <c r="A334" s="8" t="s">
        <v>322</v>
      </c>
      <c r="B334" s="8" t="s">
        <v>79</v>
      </c>
      <c r="C334" s="8" t="s">
        <v>345</v>
      </c>
      <c r="D334" s="8" t="s">
        <v>357</v>
      </c>
      <c r="E334" s="9">
        <v>26.41</v>
      </c>
      <c r="F334" s="8" t="s">
        <v>325</v>
      </c>
      <c r="G334" s="10">
        <v>3692</v>
      </c>
      <c r="H334" s="11">
        <f t="array" ref="H334">INDEX([22]Monitoring!$H$6:$H$582,MATCH(1,([22]Monitoring!$D$6:$D$582=$D334)*([22]Monitoring!$D$6:$D$582=$D334),0))</f>
        <v>46154</v>
      </c>
      <c r="I334" s="143">
        <f t="array" ref="I334">INDEX([22]Monitoring!$I$6:$I$582,MATCH(1,([22]Monitoring!$D$6:$D$582=$D334)*([22]Monitoring!$D$6:$D$582=$D334),0))</f>
        <v>392</v>
      </c>
      <c r="J334" s="9">
        <f t="array" ref="J334">IFERROR(I334/G334*100,0)</f>
        <v>10.617551462621885</v>
      </c>
      <c r="K334" s="143">
        <f t="array" ref="K334">INDEX([22]Monitoring!$J$6:$J$582,MATCH(1,([22]Monitoring!$D$6:$D$582=$D334)*([22]Monitoring!$D$6:$D$582=$D334),0))</f>
        <v>41</v>
      </c>
      <c r="L334" s="9">
        <f t="shared" si="5"/>
        <v>10.459183673469388</v>
      </c>
      <c r="M334" s="8" t="str">
        <f t="array" ref="M334">IF(L334&gt;5,"Perlu Pengendalian",IF(AND(L334&gt;=0,I334&gt;0),"Tidak Perlu Pengendalian","Belum Sensus"))</f>
        <v>Perlu Pengendalian</v>
      </c>
    </row>
    <row r="335" spans="1:13" x14ac:dyDescent="0.15">
      <c r="A335" s="8" t="s">
        <v>322</v>
      </c>
      <c r="B335" s="8" t="s">
        <v>79</v>
      </c>
      <c r="C335" s="8" t="s">
        <v>345</v>
      </c>
      <c r="D335" s="8" t="s">
        <v>358</v>
      </c>
      <c r="E335" s="9">
        <v>26.5</v>
      </c>
      <c r="F335" s="8" t="s">
        <v>325</v>
      </c>
      <c r="G335" s="10">
        <v>3666</v>
      </c>
      <c r="H335" s="11">
        <f t="array" ref="H335">INDEX([22]Monitoring!$H$6:$H$582,MATCH(1,([22]Monitoring!$D$6:$D$582=$D335)*([22]Monitoring!$D$6:$D$582=$D335),0))</f>
        <v>46154</v>
      </c>
      <c r="I335" s="143">
        <f t="array" ref="I335">INDEX([22]Monitoring!$I$6:$I$582,MATCH(1,([22]Monitoring!$D$6:$D$582=$D335)*([22]Monitoring!$D$6:$D$582=$D335),0))</f>
        <v>346</v>
      </c>
      <c r="J335" s="9">
        <f t="array" ref="J335">IFERROR(I335/G335*100,0)</f>
        <v>9.4380796508456086</v>
      </c>
      <c r="K335" s="143">
        <f t="array" ref="K335">INDEX([22]Monitoring!$J$6:$J$582,MATCH(1,([22]Monitoring!$D$6:$D$582=$D335)*([22]Monitoring!$D$6:$D$582=$D335),0))</f>
        <v>56</v>
      </c>
      <c r="L335" s="9">
        <f t="shared" si="5"/>
        <v>16.184971098265898</v>
      </c>
      <c r="M335" s="8" t="str">
        <f t="array" ref="M335">IF(L335&gt;5,"Perlu Pengendalian",IF(AND(L335&gt;=0,I335&gt;0),"Tidak Perlu Pengendalian","Belum Sensus"))</f>
        <v>Perlu Pengendalian</v>
      </c>
    </row>
    <row r="336" spans="1:13" x14ac:dyDescent="0.15">
      <c r="A336" s="8" t="s">
        <v>322</v>
      </c>
      <c r="B336" s="8" t="s">
        <v>79</v>
      </c>
      <c r="C336" s="8" t="s">
        <v>345</v>
      </c>
      <c r="D336" s="8" t="s">
        <v>359</v>
      </c>
      <c r="E336" s="9">
        <v>44.89</v>
      </c>
      <c r="F336" s="8" t="s">
        <v>325</v>
      </c>
      <c r="G336" s="10">
        <v>6227</v>
      </c>
      <c r="H336" s="11">
        <f t="array" ref="H336">INDEX([22]Monitoring!$H$6:$H$582,MATCH(1,([22]Monitoring!$D$6:$D$582=$D336)*([22]Monitoring!$D$6:$D$582=$D336),0))</f>
        <v>46154</v>
      </c>
      <c r="I336" s="143">
        <f t="array" ref="I336">INDEX([22]Monitoring!$I$6:$I$582,MATCH(1,([22]Monitoring!$D$6:$D$582=$D336)*([22]Monitoring!$D$6:$D$582=$D336),0))</f>
        <v>403</v>
      </c>
      <c r="J336" s="9">
        <f t="array" ref="J336">IFERROR(I336/G336*100,0)</f>
        <v>6.4718162839248432</v>
      </c>
      <c r="K336" s="143">
        <f t="array" ref="K336">INDEX([22]Monitoring!$J$6:$J$582,MATCH(1,([22]Monitoring!$D$6:$D$582=$D336)*([22]Monitoring!$D$6:$D$582=$D336),0))</f>
        <v>58</v>
      </c>
      <c r="L336" s="9">
        <f t="shared" si="5"/>
        <v>14.392059553349876</v>
      </c>
      <c r="M336" s="8" t="str">
        <f t="array" ref="M336">IF(L336&gt;5,"Perlu Pengendalian",IF(AND(L336&gt;=0,I336&gt;0),"Tidak Perlu Pengendalian","Belum Sensus"))</f>
        <v>Perlu Pengendalian</v>
      </c>
    </row>
    <row r="337" spans="1:13" x14ac:dyDescent="0.15">
      <c r="A337" s="8" t="s">
        <v>322</v>
      </c>
      <c r="B337" s="8" t="s">
        <v>79</v>
      </c>
      <c r="C337" s="8" t="s">
        <v>345</v>
      </c>
      <c r="D337" s="8" t="s">
        <v>360</v>
      </c>
      <c r="E337" s="9">
        <v>27.67</v>
      </c>
      <c r="F337" s="8" t="s">
        <v>325</v>
      </c>
      <c r="G337" s="10">
        <v>3543</v>
      </c>
      <c r="H337" s="11">
        <f t="array" ref="H337">INDEX([22]Monitoring!$H$6:$H$582,MATCH(1,([22]Monitoring!$D$6:$D$582=$D337)*([22]Monitoring!$D$6:$D$582=$D337),0))</f>
        <v>46154</v>
      </c>
      <c r="I337" s="143">
        <f t="array" ref="I337">INDEX([22]Monitoring!$I$6:$I$582,MATCH(1,([22]Monitoring!$D$6:$D$582=$D337)*([22]Monitoring!$D$6:$D$582=$D337),0))</f>
        <v>385</v>
      </c>
      <c r="J337" s="9">
        <f t="array" ref="J337">IFERROR(I337/G337*100,0)</f>
        <v>10.866497318656505</v>
      </c>
      <c r="K337" s="143">
        <f t="array" ref="K337">INDEX([22]Monitoring!$J$6:$J$582,MATCH(1,([22]Monitoring!$D$6:$D$582=$D337)*([22]Monitoring!$D$6:$D$582=$D337),0))</f>
        <v>87</v>
      </c>
      <c r="L337" s="9">
        <f t="shared" si="5"/>
        <v>22.597402597402596</v>
      </c>
      <c r="M337" s="8" t="str">
        <f t="array" ref="M337">IF(L337&gt;5,"Perlu Pengendalian",IF(AND(L337&gt;=0,I337&gt;0),"Tidak Perlu Pengendalian","Belum Sensus"))</f>
        <v>Perlu Pengendalian</v>
      </c>
    </row>
    <row r="338" spans="1:13" x14ac:dyDescent="0.15">
      <c r="A338" s="8" t="s">
        <v>322</v>
      </c>
      <c r="B338" s="8" t="s">
        <v>79</v>
      </c>
      <c r="C338" s="8" t="s">
        <v>345</v>
      </c>
      <c r="D338" s="8" t="s">
        <v>361</v>
      </c>
      <c r="E338" s="9">
        <v>24.93</v>
      </c>
      <c r="F338" s="8" t="s">
        <v>325</v>
      </c>
      <c r="G338" s="10">
        <v>3288</v>
      </c>
      <c r="H338" s="11">
        <f t="array" ref="H338">INDEX([22]Monitoring!$H$6:$H$582,MATCH(1,([22]Monitoring!$D$6:$D$582=$D338)*([22]Monitoring!$D$6:$D$582=$D338),0))</f>
        <v>46154</v>
      </c>
      <c r="I338" s="143">
        <f t="array" ref="I338">INDEX([22]Monitoring!$I$6:$I$582,MATCH(1,([22]Monitoring!$D$6:$D$582=$D338)*([22]Monitoring!$D$6:$D$582=$D338),0))</f>
        <v>342</v>
      </c>
      <c r="J338" s="9">
        <f t="array" ref="J338">IFERROR(I338/G338*100,0)</f>
        <v>10.401459854014599</v>
      </c>
      <c r="K338" s="143">
        <f t="array" ref="K338">INDEX([22]Monitoring!$J$6:$J$582,MATCH(1,([22]Monitoring!$D$6:$D$582=$D338)*([22]Monitoring!$D$6:$D$582=$D338),0))</f>
        <v>69</v>
      </c>
      <c r="L338" s="9">
        <f t="shared" si="5"/>
        <v>20.175438596491226</v>
      </c>
      <c r="M338" s="8" t="str">
        <f t="array" ref="M338">IF(L338&gt;5,"Perlu Pengendalian",IF(AND(L338&gt;=0,I338&gt;0),"Tidak Perlu Pengendalian","Belum Sensus"))</f>
        <v>Perlu Pengendalian</v>
      </c>
    </row>
    <row r="339" spans="1:13" x14ac:dyDescent="0.15">
      <c r="A339" s="8" t="s">
        <v>322</v>
      </c>
      <c r="B339" s="8" t="s">
        <v>79</v>
      </c>
      <c r="C339" s="8" t="s">
        <v>345</v>
      </c>
      <c r="D339" s="8" t="s">
        <v>362</v>
      </c>
      <c r="E339" s="9">
        <v>24.69</v>
      </c>
      <c r="F339" s="8" t="s">
        <v>325</v>
      </c>
      <c r="G339" s="10">
        <v>3346</v>
      </c>
      <c r="H339" s="11">
        <f t="array" ref="H339">INDEX([22]Monitoring!$H$6:$H$582,MATCH(1,([22]Monitoring!$D$6:$D$582=$D339)*([22]Monitoring!$D$6:$D$582=$D339),0))</f>
        <v>46153</v>
      </c>
      <c r="I339" s="143">
        <f t="array" ref="I339">INDEX([22]Monitoring!$I$6:$I$582,MATCH(1,([22]Monitoring!$D$6:$D$582=$D339)*([22]Monitoring!$D$6:$D$582=$D339),0))</f>
        <v>362</v>
      </c>
      <c r="J339" s="9">
        <f t="array" ref="J339">IFERROR(I339/G339*100,0)</f>
        <v>10.818888224745965</v>
      </c>
      <c r="K339" s="143">
        <f t="array" ref="K339">INDEX([22]Monitoring!$J$6:$J$582,MATCH(1,([22]Monitoring!$D$6:$D$582=$D339)*([22]Monitoring!$D$6:$D$582=$D339),0))</f>
        <v>51</v>
      </c>
      <c r="L339" s="9">
        <f t="shared" si="5"/>
        <v>14.088397790055248</v>
      </c>
      <c r="M339" s="8" t="str">
        <f t="array" ref="M339">IF(L339&gt;5,"Perlu Pengendalian",IF(AND(L339&gt;=0,I339&gt;0),"Tidak Perlu Pengendalian","Belum Sensus"))</f>
        <v>Perlu Pengendalian</v>
      </c>
    </row>
    <row r="340" spans="1:13" x14ac:dyDescent="0.15">
      <c r="A340" s="8" t="s">
        <v>322</v>
      </c>
      <c r="B340" s="8" t="s">
        <v>79</v>
      </c>
      <c r="C340" s="8" t="s">
        <v>345</v>
      </c>
      <c r="D340" s="8" t="s">
        <v>363</v>
      </c>
      <c r="E340" s="9">
        <v>24.1</v>
      </c>
      <c r="F340" s="8" t="s">
        <v>325</v>
      </c>
      <c r="G340" s="10">
        <v>3410</v>
      </c>
      <c r="H340" s="11">
        <f t="array" ref="H340">INDEX([22]Monitoring!$H$6:$H$582,MATCH(1,([22]Monitoring!$D$6:$D$582=$D340)*([22]Monitoring!$D$6:$D$582=$D340),0))</f>
        <v>46153</v>
      </c>
      <c r="I340" s="143">
        <f t="array" ref="I340">INDEX([22]Monitoring!$I$6:$I$582,MATCH(1,([22]Monitoring!$D$6:$D$582=$D340)*([22]Monitoring!$D$6:$D$582=$D340),0))</f>
        <v>370</v>
      </c>
      <c r="J340" s="9">
        <f t="array" ref="J340">IFERROR(I340/G340*100,0)</f>
        <v>10.850439882697946</v>
      </c>
      <c r="K340" s="143">
        <f t="array" ref="K340">INDEX([22]Monitoring!$J$6:$J$582,MATCH(1,([22]Monitoring!$D$6:$D$582=$D340)*([22]Monitoring!$D$6:$D$582=$D340),0))</f>
        <v>30</v>
      </c>
      <c r="L340" s="9">
        <f t="shared" ref="L340:L403" si="6">IFERROR(K340/I340*100,0)</f>
        <v>8.1081081081081088</v>
      </c>
      <c r="M340" s="8" t="str">
        <f t="array" ref="M340">IF(L340&gt;5,"Perlu Pengendalian",IF(AND(L340&gt;=0,I340&gt;0),"Tidak Perlu Pengendalian","Belum Sensus"))</f>
        <v>Perlu Pengendalian</v>
      </c>
    </row>
    <row r="341" spans="1:13" x14ac:dyDescent="0.15">
      <c r="A341" s="8" t="s">
        <v>322</v>
      </c>
      <c r="B341" s="8" t="s">
        <v>79</v>
      </c>
      <c r="C341" s="8" t="s">
        <v>345</v>
      </c>
      <c r="D341" s="8" t="s">
        <v>364</v>
      </c>
      <c r="E341" s="9">
        <v>24.74</v>
      </c>
      <c r="F341" s="8" t="s">
        <v>325</v>
      </c>
      <c r="G341" s="10">
        <v>3369</v>
      </c>
      <c r="H341" s="11">
        <f t="array" ref="H341">INDEX([22]Monitoring!$H$6:$H$582,MATCH(1,([22]Monitoring!$D$6:$D$582=$D341)*([22]Monitoring!$D$6:$D$582=$D341),0))</f>
        <v>46153</v>
      </c>
      <c r="I341" s="143">
        <f t="array" ref="I341">INDEX([22]Monitoring!$I$6:$I$582,MATCH(1,([22]Monitoring!$D$6:$D$582=$D341)*([22]Monitoring!$D$6:$D$582=$D341),0))</f>
        <v>344</v>
      </c>
      <c r="J341" s="9">
        <f t="array" ref="J341">IFERROR(I341/G341*100,0)</f>
        <v>10.210745028198279</v>
      </c>
      <c r="K341" s="143">
        <f t="array" ref="K341">INDEX([22]Monitoring!$J$6:$J$582,MATCH(1,([22]Monitoring!$D$6:$D$582=$D341)*([22]Monitoring!$D$6:$D$582=$D341),0))</f>
        <v>59</v>
      </c>
      <c r="L341" s="9">
        <f t="shared" si="6"/>
        <v>17.151162790697676</v>
      </c>
      <c r="M341" s="8" t="str">
        <f t="array" ref="M341">IF(L341&gt;5,"Perlu Pengendalian",IF(AND(L341&gt;=0,I341&gt;0),"Tidak Perlu Pengendalian","Belum Sensus"))</f>
        <v>Perlu Pengendalian</v>
      </c>
    </row>
    <row r="342" spans="1:13" x14ac:dyDescent="0.15">
      <c r="A342" s="8" t="s">
        <v>322</v>
      </c>
      <c r="B342" s="8" t="s">
        <v>79</v>
      </c>
      <c r="C342" s="8" t="s">
        <v>345</v>
      </c>
      <c r="D342" s="8" t="s">
        <v>365</v>
      </c>
      <c r="E342" s="9">
        <v>44.57</v>
      </c>
      <c r="F342" s="8" t="s">
        <v>325</v>
      </c>
      <c r="G342" s="10">
        <v>6678</v>
      </c>
      <c r="H342" s="11">
        <f t="array" ref="H342">INDEX([22]Monitoring!$H$6:$H$582,MATCH(1,([22]Monitoring!$D$6:$D$582=$D342)*([22]Monitoring!$D$6:$D$582=$D342),0))</f>
        <v>46151</v>
      </c>
      <c r="I342" s="143">
        <f t="array" ref="I342">INDEX([22]Monitoring!$I$6:$I$582,MATCH(1,([22]Monitoring!$D$6:$D$582=$D342)*([22]Monitoring!$D$6:$D$582=$D342),0))</f>
        <v>373</v>
      </c>
      <c r="J342" s="9">
        <f t="array" ref="J342">IFERROR(I342/G342*100,0)</f>
        <v>5.5855046421084156</v>
      </c>
      <c r="K342" s="143">
        <f t="array" ref="K342">INDEX([22]Monitoring!$J$6:$J$582,MATCH(1,([22]Monitoring!$D$6:$D$582=$D342)*([22]Monitoring!$D$6:$D$582=$D342),0))</f>
        <v>38</v>
      </c>
      <c r="L342" s="9">
        <f t="shared" si="6"/>
        <v>10.187667560321715</v>
      </c>
      <c r="M342" s="8" t="str">
        <f t="array" ref="M342">IF(L342&gt;5,"Perlu Pengendalian",IF(AND(L342&gt;=0,I342&gt;0),"Tidak Perlu Pengendalian","Belum Sensus"))</f>
        <v>Perlu Pengendalian</v>
      </c>
    </row>
    <row r="343" spans="1:13" x14ac:dyDescent="0.15">
      <c r="A343" s="8" t="s">
        <v>322</v>
      </c>
      <c r="B343" s="8" t="s">
        <v>79</v>
      </c>
      <c r="C343" s="8" t="s">
        <v>345</v>
      </c>
      <c r="D343" s="8" t="s">
        <v>366</v>
      </c>
      <c r="E343" s="9">
        <v>23.81</v>
      </c>
      <c r="F343" s="8" t="s">
        <v>325</v>
      </c>
      <c r="G343" s="10">
        <v>3630</v>
      </c>
      <c r="H343" s="11">
        <f t="array" ref="H343">INDEX([22]Monitoring!$H$6:$H$582,MATCH(1,([22]Monitoring!$D$6:$D$582=$D343)*([22]Monitoring!$D$6:$D$582=$D343),0))</f>
        <v>46151</v>
      </c>
      <c r="I343" s="143">
        <f t="array" ref="I343">INDEX([22]Monitoring!$I$6:$I$582,MATCH(1,([22]Monitoring!$D$6:$D$582=$D343)*([22]Monitoring!$D$6:$D$582=$D343),0))</f>
        <v>379</v>
      </c>
      <c r="J343" s="9">
        <f t="array" ref="J343">IFERROR(I343/G343*100,0)</f>
        <v>10.440771349862258</v>
      </c>
      <c r="K343" s="143">
        <f t="array" ref="K343">INDEX([22]Monitoring!$J$6:$J$582,MATCH(1,([22]Monitoring!$D$6:$D$582=$D343)*([22]Monitoring!$D$6:$D$582=$D343),0))</f>
        <v>91</v>
      </c>
      <c r="L343" s="9">
        <f t="shared" si="6"/>
        <v>24.010554089709764</v>
      </c>
      <c r="M343" s="8" t="str">
        <f t="array" ref="M343">IF(L343&gt;5,"Perlu Pengendalian",IF(AND(L343&gt;=0,I343&gt;0),"Tidak Perlu Pengendalian","Belum Sensus"))</f>
        <v>Perlu Pengendalian</v>
      </c>
    </row>
    <row r="344" spans="1:13" x14ac:dyDescent="0.15">
      <c r="A344" s="8" t="s">
        <v>322</v>
      </c>
      <c r="B344" s="8" t="s">
        <v>79</v>
      </c>
      <c r="C344" s="8" t="s">
        <v>345</v>
      </c>
      <c r="D344" s="8" t="s">
        <v>367</v>
      </c>
      <c r="E344" s="9">
        <v>24.67</v>
      </c>
      <c r="F344" s="8" t="s">
        <v>325</v>
      </c>
      <c r="G344" s="10">
        <v>3693</v>
      </c>
      <c r="H344" s="11">
        <f t="array" ref="H344">INDEX([22]Monitoring!$H$6:$H$582,MATCH(1,([22]Monitoring!$D$6:$D$582=$D344)*([22]Monitoring!$D$6:$D$582=$D344),0))</f>
        <v>46151</v>
      </c>
      <c r="I344" s="143">
        <f t="array" ref="I344">INDEX([22]Monitoring!$I$6:$I$582,MATCH(1,([22]Monitoring!$D$6:$D$582=$D344)*([22]Monitoring!$D$6:$D$582=$D344),0))</f>
        <v>404</v>
      </c>
      <c r="J344" s="9">
        <f t="array" ref="J344">IFERROR(I344/G344*100,0)</f>
        <v>10.939615488762524</v>
      </c>
      <c r="K344" s="143">
        <f t="array" ref="K344">INDEX([22]Monitoring!$J$6:$J$582,MATCH(1,([22]Monitoring!$D$6:$D$582=$D344)*([22]Monitoring!$D$6:$D$582=$D344),0))</f>
        <v>53</v>
      </c>
      <c r="L344" s="9">
        <f t="shared" si="6"/>
        <v>13.118811881188119</v>
      </c>
      <c r="M344" s="8" t="str">
        <f t="array" ref="M344">IF(L344&gt;5,"Perlu Pengendalian",IF(AND(L344&gt;=0,I344&gt;0),"Tidak Perlu Pengendalian","Belum Sensus"))</f>
        <v>Perlu Pengendalian</v>
      </c>
    </row>
    <row r="345" spans="1:13" x14ac:dyDescent="0.15">
      <c r="A345" s="8" t="s">
        <v>322</v>
      </c>
      <c r="B345" s="8" t="s">
        <v>79</v>
      </c>
      <c r="C345" s="8" t="s">
        <v>345</v>
      </c>
      <c r="D345" s="8" t="s">
        <v>368</v>
      </c>
      <c r="E345" s="9">
        <v>27.26</v>
      </c>
      <c r="F345" s="8" t="s">
        <v>325</v>
      </c>
      <c r="G345" s="10">
        <v>3707</v>
      </c>
      <c r="H345" s="11">
        <f t="array" ref="H345">INDEX([22]Monitoring!$H$6:$H$582,MATCH(1,([22]Monitoring!$D$6:$D$582=$D345)*([22]Monitoring!$D$6:$D$582=$D345),0))</f>
        <v>46155</v>
      </c>
      <c r="I345" s="143">
        <f t="array" ref="I345">INDEX([22]Monitoring!$I$6:$I$582,MATCH(1,([22]Monitoring!$D$6:$D$582=$D345)*([22]Monitoring!$D$6:$D$582=$D345),0))</f>
        <v>446</v>
      </c>
      <c r="J345" s="9">
        <f t="array" ref="J345">IFERROR(I345/G345*100,0)</f>
        <v>12.031292149986513</v>
      </c>
      <c r="K345" s="143">
        <f t="array" ref="K345">INDEX([22]Monitoring!$J$6:$J$582,MATCH(1,([22]Monitoring!$D$6:$D$582=$D345)*([22]Monitoring!$D$6:$D$582=$D345),0))</f>
        <v>34</v>
      </c>
      <c r="L345" s="9">
        <f t="shared" si="6"/>
        <v>7.623318385650224</v>
      </c>
      <c r="M345" s="8" t="str">
        <f t="array" ref="M345">IF(L345&gt;5,"Perlu Pengendalian",IF(AND(L345&gt;=0,I345&gt;0),"Tidak Perlu Pengendalian","Belum Sensus"))</f>
        <v>Perlu Pengendalian</v>
      </c>
    </row>
    <row r="346" spans="1:13" x14ac:dyDescent="0.15">
      <c r="A346" s="8" t="s">
        <v>322</v>
      </c>
      <c r="B346" s="8" t="s">
        <v>79</v>
      </c>
      <c r="C346" s="8" t="s">
        <v>345</v>
      </c>
      <c r="D346" s="8" t="s">
        <v>369</v>
      </c>
      <c r="E346" s="9">
        <v>26.21</v>
      </c>
      <c r="F346" s="8" t="s">
        <v>325</v>
      </c>
      <c r="G346" s="10">
        <v>3529</v>
      </c>
      <c r="H346" s="11">
        <f t="array" ref="H346">INDEX([22]Monitoring!$H$6:$H$582,MATCH(1,([22]Monitoring!$D$6:$D$582=$D346)*([22]Monitoring!$D$6:$D$582=$D346),0))</f>
        <v>46155</v>
      </c>
      <c r="I346" s="143">
        <f t="array" ref="I346">INDEX([22]Monitoring!$I$6:$I$582,MATCH(1,([22]Monitoring!$D$6:$D$582=$D346)*([22]Monitoring!$D$6:$D$582=$D346),0))</f>
        <v>376</v>
      </c>
      <c r="J346" s="9">
        <f t="array" ref="J346">IFERROR(I346/G346*100,0)</f>
        <v>10.654576367242845</v>
      </c>
      <c r="K346" s="143">
        <f t="array" ref="K346">INDEX([22]Monitoring!$J$6:$J$582,MATCH(1,([22]Monitoring!$D$6:$D$582=$D346)*([22]Monitoring!$D$6:$D$582=$D346),0))</f>
        <v>49</v>
      </c>
      <c r="L346" s="9">
        <f t="shared" si="6"/>
        <v>13.031914893617023</v>
      </c>
      <c r="M346" s="8" t="str">
        <f t="array" ref="M346">IF(L346&gt;5,"Perlu Pengendalian",IF(AND(L346&gt;=0,I346&gt;0),"Tidak Perlu Pengendalian","Belum Sensus"))</f>
        <v>Perlu Pengendalian</v>
      </c>
    </row>
    <row r="347" spans="1:13" x14ac:dyDescent="0.15">
      <c r="A347" s="8" t="s">
        <v>322</v>
      </c>
      <c r="B347" s="8" t="s">
        <v>79</v>
      </c>
      <c r="C347" s="8" t="s">
        <v>345</v>
      </c>
      <c r="D347" s="8" t="s">
        <v>370</v>
      </c>
      <c r="E347" s="9">
        <v>45.14</v>
      </c>
      <c r="F347" s="8" t="s">
        <v>325</v>
      </c>
      <c r="G347" s="10">
        <v>6115</v>
      </c>
      <c r="H347" s="11">
        <f t="array" ref="H347">INDEX([22]Monitoring!$H$6:$H$582,MATCH(1,([22]Monitoring!$D$6:$D$582=$D347)*([22]Monitoring!$D$6:$D$582=$D347),0))</f>
        <v>46155</v>
      </c>
      <c r="I347" s="143">
        <f t="array" ref="I347">INDEX([22]Monitoring!$I$6:$I$582,MATCH(1,([22]Monitoring!$D$6:$D$582=$D347)*([22]Monitoring!$D$6:$D$582=$D347),0))</f>
        <v>393</v>
      </c>
      <c r="J347" s="9">
        <f t="array" ref="J347">IFERROR(I347/G347*100,0)</f>
        <v>6.4268192968111206</v>
      </c>
      <c r="K347" s="143">
        <f t="array" ref="K347">INDEX([22]Monitoring!$J$6:$J$582,MATCH(1,([22]Monitoring!$D$6:$D$582=$D347)*([22]Monitoring!$D$6:$D$582=$D347),0))</f>
        <v>59</v>
      </c>
      <c r="L347" s="9">
        <f t="shared" si="6"/>
        <v>15.012722646310433</v>
      </c>
      <c r="M347" s="8" t="str">
        <f t="array" ref="M347">IF(L347&gt;5,"Perlu Pengendalian",IF(AND(L347&gt;=0,I347&gt;0),"Tidak Perlu Pengendalian","Belum Sensus"))</f>
        <v>Perlu Pengendalian</v>
      </c>
    </row>
    <row r="348" spans="1:13" x14ac:dyDescent="0.15">
      <c r="A348" s="8" t="s">
        <v>322</v>
      </c>
      <c r="B348" s="8" t="s">
        <v>79</v>
      </c>
      <c r="C348" s="8" t="s">
        <v>345</v>
      </c>
      <c r="D348" s="8" t="s">
        <v>371</v>
      </c>
      <c r="E348" s="9">
        <v>25.99</v>
      </c>
      <c r="F348" s="8" t="s">
        <v>325</v>
      </c>
      <c r="G348" s="10">
        <v>3288</v>
      </c>
      <c r="H348" s="11">
        <f t="array" ref="H348">INDEX([22]Monitoring!$H$6:$H$582,MATCH(1,([22]Monitoring!$D$6:$D$582=$D348)*([22]Monitoring!$D$6:$D$582=$D348),0))</f>
        <v>46155</v>
      </c>
      <c r="I348" s="143">
        <f t="array" ref="I348">INDEX([22]Monitoring!$I$6:$I$582,MATCH(1,([22]Monitoring!$D$6:$D$582=$D348)*([22]Monitoring!$D$6:$D$582=$D348),0))</f>
        <v>352</v>
      </c>
      <c r="J348" s="9">
        <f t="array" ref="J348">IFERROR(I348/G348*100,0)</f>
        <v>10.70559610705596</v>
      </c>
      <c r="K348" s="143">
        <f t="array" ref="K348">INDEX([22]Monitoring!$J$6:$J$582,MATCH(1,([22]Monitoring!$D$6:$D$582=$D348)*([22]Monitoring!$D$6:$D$582=$D348),0))</f>
        <v>130</v>
      </c>
      <c r="L348" s="9">
        <f t="shared" si="6"/>
        <v>36.93181818181818</v>
      </c>
      <c r="M348" s="8" t="str">
        <f t="array" ref="M348">IF(L348&gt;5,"Perlu Pengendalian",IF(AND(L348&gt;=0,I348&gt;0),"Tidak Perlu Pengendalian","Belum Sensus"))</f>
        <v>Perlu Pengendalian</v>
      </c>
    </row>
    <row r="349" spans="1:13" x14ac:dyDescent="0.15">
      <c r="A349" s="8" t="s">
        <v>322</v>
      </c>
      <c r="B349" s="8" t="s">
        <v>79</v>
      </c>
      <c r="C349" s="8" t="s">
        <v>345</v>
      </c>
      <c r="D349" s="8" t="s">
        <v>372</v>
      </c>
      <c r="E349" s="9">
        <v>27.78</v>
      </c>
      <c r="F349" s="8" t="s">
        <v>325</v>
      </c>
      <c r="G349" s="10">
        <v>3713</v>
      </c>
      <c r="H349" s="11">
        <f t="array" ref="H349">INDEX([22]Monitoring!$H$6:$H$582,MATCH(1,([22]Monitoring!$D$6:$D$582=$D349)*([22]Monitoring!$D$6:$D$582=$D349),0))</f>
        <v>46155</v>
      </c>
      <c r="I349" s="143">
        <f t="array" ref="I349">INDEX([22]Monitoring!$I$6:$I$582,MATCH(1,([22]Monitoring!$D$6:$D$582=$D349)*([22]Monitoring!$D$6:$D$582=$D349),0))</f>
        <v>340</v>
      </c>
      <c r="J349" s="9">
        <f t="array" ref="J349">IFERROR(I349/G349*100,0)</f>
        <v>9.1570158901158099</v>
      </c>
      <c r="K349" s="143">
        <f t="array" ref="K349">INDEX([22]Monitoring!$J$6:$J$582,MATCH(1,([22]Monitoring!$D$6:$D$582=$D349)*([22]Monitoring!$D$6:$D$582=$D349),0))</f>
        <v>63</v>
      </c>
      <c r="L349" s="9">
        <f t="shared" si="6"/>
        <v>18.529411764705884</v>
      </c>
      <c r="M349" s="8" t="str">
        <f t="array" ref="M349">IF(L349&gt;5,"Perlu Pengendalian",IF(AND(L349&gt;=0,I349&gt;0),"Tidak Perlu Pengendalian","Belum Sensus"))</f>
        <v>Perlu Pengendalian</v>
      </c>
    </row>
    <row r="350" spans="1:13" x14ac:dyDescent="0.15">
      <c r="A350" s="8" t="s">
        <v>322</v>
      </c>
      <c r="B350" s="8" t="s">
        <v>79</v>
      </c>
      <c r="C350" s="8" t="s">
        <v>345</v>
      </c>
      <c r="D350" s="8" t="s">
        <v>373</v>
      </c>
      <c r="E350" s="9">
        <v>25.94</v>
      </c>
      <c r="F350" s="8" t="s">
        <v>325</v>
      </c>
      <c r="G350" s="10">
        <v>3342</v>
      </c>
      <c r="H350" s="11">
        <f t="array" ref="H350">INDEX([22]Monitoring!$H$6:$H$582,MATCH(1,([22]Monitoring!$D$6:$D$582=$D350)*([22]Monitoring!$D$6:$D$582=$D350),0))</f>
        <v>46157</v>
      </c>
      <c r="I350" s="143">
        <f t="array" ref="I350">INDEX([22]Monitoring!$I$6:$I$582,MATCH(1,([22]Monitoring!$D$6:$D$582=$D350)*([22]Monitoring!$D$6:$D$582=$D350),0))</f>
        <v>383</v>
      </c>
      <c r="J350" s="9">
        <f t="array" ref="J350">IFERROR(I350/G350*100,0)</f>
        <v>11.460203470975463</v>
      </c>
      <c r="K350" s="143">
        <f t="array" ref="K350">INDEX([22]Monitoring!$J$6:$J$582,MATCH(1,([22]Monitoring!$D$6:$D$582=$D350)*([22]Monitoring!$D$6:$D$582=$D350),0))</f>
        <v>55</v>
      </c>
      <c r="L350" s="9">
        <f t="shared" si="6"/>
        <v>14.360313315926893</v>
      </c>
      <c r="M350" s="8" t="str">
        <f t="array" ref="M350">IF(L350&gt;5,"Perlu Pengendalian",IF(AND(L350&gt;=0,I350&gt;0),"Tidak Perlu Pengendalian","Belum Sensus"))</f>
        <v>Perlu Pengendalian</v>
      </c>
    </row>
    <row r="351" spans="1:13" x14ac:dyDescent="0.15">
      <c r="A351" s="8" t="s">
        <v>322</v>
      </c>
      <c r="B351" s="8" t="s">
        <v>79</v>
      </c>
      <c r="C351" s="8" t="s">
        <v>345</v>
      </c>
      <c r="D351" s="8" t="s">
        <v>374</v>
      </c>
      <c r="E351" s="9">
        <v>22.6</v>
      </c>
      <c r="F351" s="8" t="s">
        <v>325</v>
      </c>
      <c r="G351" s="10">
        <v>2939</v>
      </c>
      <c r="H351" s="11">
        <f t="array" ref="H351">INDEX([22]Monitoring!$H$6:$H$582,MATCH(1,([22]Monitoring!$D$6:$D$582=$D351)*([22]Monitoring!$D$6:$D$582=$D351),0))</f>
        <v>46157</v>
      </c>
      <c r="I351" s="143">
        <f t="array" ref="I351">INDEX([22]Monitoring!$I$6:$I$582,MATCH(1,([22]Monitoring!$D$6:$D$582=$D351)*([22]Monitoring!$D$6:$D$582=$D351),0))</f>
        <v>339</v>
      </c>
      <c r="J351" s="9">
        <f t="array" ref="J351">IFERROR(I351/G351*100,0)</f>
        <v>11.53453555631167</v>
      </c>
      <c r="K351" s="143">
        <f t="array" ref="K351">INDEX([22]Monitoring!$J$6:$J$582,MATCH(1,([22]Monitoring!$D$6:$D$582=$D351)*([22]Monitoring!$D$6:$D$582=$D351),0))</f>
        <v>96</v>
      </c>
      <c r="L351" s="9">
        <f t="shared" si="6"/>
        <v>28.318584070796462</v>
      </c>
      <c r="M351" s="8" t="str">
        <f t="array" ref="M351">IF(L351&gt;5,"Perlu Pengendalian",IF(AND(L351&gt;=0,I351&gt;0),"Tidak Perlu Pengendalian","Belum Sensus"))</f>
        <v>Perlu Pengendalian</v>
      </c>
    </row>
    <row r="352" spans="1:13" x14ac:dyDescent="0.15">
      <c r="A352" s="8" t="s">
        <v>322</v>
      </c>
      <c r="B352" s="8" t="s">
        <v>79</v>
      </c>
      <c r="C352" s="8" t="s">
        <v>345</v>
      </c>
      <c r="D352" s="8" t="s">
        <v>375</v>
      </c>
      <c r="E352" s="9">
        <v>25.47</v>
      </c>
      <c r="F352" s="8" t="s">
        <v>325</v>
      </c>
      <c r="G352" s="10">
        <v>3258</v>
      </c>
      <c r="H352" s="11">
        <f t="array" ref="H352">INDEX([22]Monitoring!$H$6:$H$582,MATCH(1,([22]Monitoring!$D$6:$D$582=$D352)*([22]Monitoring!$D$6:$D$582=$D352),0))</f>
        <v>46157</v>
      </c>
      <c r="I352" s="143">
        <f t="array" ref="I352">INDEX([22]Monitoring!$I$6:$I$582,MATCH(1,([22]Monitoring!$D$6:$D$582=$D352)*([22]Monitoring!$D$6:$D$582=$D352),0))</f>
        <v>286</v>
      </c>
      <c r="J352" s="9">
        <f t="array" ref="J352">IFERROR(I352/G352*100,0)</f>
        <v>8.7783916513198275</v>
      </c>
      <c r="K352" s="143">
        <f t="array" ref="K352">INDEX([22]Monitoring!$J$6:$J$582,MATCH(1,([22]Monitoring!$D$6:$D$582=$D352)*([22]Monitoring!$D$6:$D$582=$D352),0))</f>
        <v>26</v>
      </c>
      <c r="L352" s="9">
        <f t="shared" si="6"/>
        <v>9.0909090909090917</v>
      </c>
      <c r="M352" s="8" t="str">
        <f t="array" ref="M352">IF(L352&gt;5,"Perlu Pengendalian",IF(AND(L352&gt;=0,I352&gt;0),"Tidak Perlu Pengendalian","Belum Sensus"))</f>
        <v>Perlu Pengendalian</v>
      </c>
    </row>
    <row r="353" spans="1:13" x14ac:dyDescent="0.15">
      <c r="A353" s="8" t="s">
        <v>322</v>
      </c>
      <c r="B353" s="8" t="s">
        <v>79</v>
      </c>
      <c r="C353" s="8" t="s">
        <v>345</v>
      </c>
      <c r="D353" s="8" t="s">
        <v>376</v>
      </c>
      <c r="E353" s="9">
        <v>25.84</v>
      </c>
      <c r="F353" s="8" t="s">
        <v>325</v>
      </c>
      <c r="G353" s="10">
        <v>3441</v>
      </c>
      <c r="H353" s="11">
        <f t="array" ref="H353">INDEX([22]Monitoring!$H$6:$H$582,MATCH(1,([22]Monitoring!$D$6:$D$582=$D353)*([22]Monitoring!$D$6:$D$582=$D353),0))</f>
        <v>46157</v>
      </c>
      <c r="I353" s="143">
        <f t="array" ref="I353">INDEX([22]Monitoring!$I$6:$I$582,MATCH(1,([22]Monitoring!$D$6:$D$582=$D353)*([22]Monitoring!$D$6:$D$582=$D353),0))</f>
        <v>358</v>
      </c>
      <c r="J353" s="9">
        <f t="array" ref="J353">IFERROR(I353/G353*100,0)</f>
        <v>10.403952339436211</v>
      </c>
      <c r="K353" s="143">
        <f t="array" ref="K353">INDEX([22]Monitoring!$J$6:$J$582,MATCH(1,([22]Monitoring!$D$6:$D$582=$D353)*([22]Monitoring!$D$6:$D$582=$D353),0))</f>
        <v>55</v>
      </c>
      <c r="L353" s="9">
        <f t="shared" si="6"/>
        <v>15.363128491620111</v>
      </c>
      <c r="M353" s="8" t="str">
        <f t="array" ref="M353">IF(L353&gt;5,"Perlu Pengendalian",IF(AND(L353&gt;=0,I353&gt;0),"Tidak Perlu Pengendalian","Belum Sensus"))</f>
        <v>Perlu Pengendalian</v>
      </c>
    </row>
    <row r="354" spans="1:13" x14ac:dyDescent="0.15">
      <c r="A354" s="8" t="s">
        <v>322</v>
      </c>
      <c r="B354" s="8" t="s">
        <v>79</v>
      </c>
      <c r="C354" s="8" t="s">
        <v>345</v>
      </c>
      <c r="D354" s="8" t="s">
        <v>377</v>
      </c>
      <c r="E354" s="9">
        <v>24.5</v>
      </c>
      <c r="F354" s="8" t="s">
        <v>325</v>
      </c>
      <c r="G354" s="10">
        <v>3595</v>
      </c>
      <c r="H354" s="11">
        <f t="array" ref="H354">INDEX([22]Monitoring!$H$6:$H$582,MATCH(1,([22]Monitoring!$D$6:$D$582=$D354)*([22]Monitoring!$D$6:$D$582=$D354),0))</f>
        <v>46157</v>
      </c>
      <c r="I354" s="143">
        <f t="array" ref="I354">INDEX([22]Monitoring!$I$6:$I$582,MATCH(1,([22]Monitoring!$D$6:$D$582=$D354)*([22]Monitoring!$D$6:$D$582=$D354),0))</f>
        <v>390</v>
      </c>
      <c r="J354" s="9">
        <f t="array" ref="J354">IFERROR(I354/G354*100,0)</f>
        <v>10.848400556328233</v>
      </c>
      <c r="K354" s="143">
        <f t="array" ref="K354">INDEX([22]Monitoring!$J$6:$J$582,MATCH(1,([22]Monitoring!$D$6:$D$582=$D354)*([22]Monitoring!$D$6:$D$582=$D354),0))</f>
        <v>19</v>
      </c>
      <c r="L354" s="9">
        <f t="shared" si="6"/>
        <v>4.8717948717948723</v>
      </c>
      <c r="M354" s="8" t="str">
        <f t="array" ref="M354">IF(L354&gt;5,"Perlu Pengendalian",IF(AND(L354&gt;=0,I354&gt;0),"Tidak Perlu Pengendalian","Belum Sensus"))</f>
        <v>Tidak Perlu Pengendalian</v>
      </c>
    </row>
    <row r="355" spans="1:13" x14ac:dyDescent="0.15">
      <c r="A355" s="8" t="s">
        <v>322</v>
      </c>
      <c r="B355" s="8" t="s">
        <v>79</v>
      </c>
      <c r="C355" s="8" t="s">
        <v>345</v>
      </c>
      <c r="D355" s="8" t="s">
        <v>378</v>
      </c>
      <c r="E355" s="9">
        <v>26.22</v>
      </c>
      <c r="F355" s="8" t="s">
        <v>325</v>
      </c>
      <c r="G355" s="10">
        <v>3875</v>
      </c>
      <c r="H355" s="11">
        <f t="array" ref="H355">INDEX([22]Monitoring!$H$6:$H$582,MATCH(1,([22]Monitoring!$D$6:$D$582=$D355)*([22]Monitoring!$D$6:$D$582=$D355),0))</f>
        <v>46157</v>
      </c>
      <c r="I355" s="143">
        <f t="array" ref="I355">INDEX([22]Monitoring!$I$6:$I$582,MATCH(1,([22]Monitoring!$D$6:$D$582=$D355)*([22]Monitoring!$D$6:$D$582=$D355),0))</f>
        <v>420</v>
      </c>
      <c r="J355" s="9">
        <f t="array" ref="J355">IFERROR(I355/G355*100,0)</f>
        <v>10.838709677419354</v>
      </c>
      <c r="K355" s="143">
        <f t="array" ref="K355">INDEX([22]Monitoring!$J$6:$J$582,MATCH(1,([22]Monitoring!$D$6:$D$582=$D355)*([22]Monitoring!$D$6:$D$582=$D355),0))</f>
        <v>10</v>
      </c>
      <c r="L355" s="9">
        <f t="shared" si="6"/>
        <v>2.3809523809523809</v>
      </c>
      <c r="M355" s="8" t="str">
        <f t="array" ref="M355">IF(L355&gt;5,"Perlu Pengendalian",IF(AND(L355&gt;=0,I355&gt;0),"Tidak Perlu Pengendalian","Belum Sensus"))</f>
        <v>Tidak Perlu Pengendalian</v>
      </c>
    </row>
    <row r="356" spans="1:13" x14ac:dyDescent="0.15">
      <c r="A356" s="8" t="s">
        <v>322</v>
      </c>
      <c r="B356" s="8" t="s">
        <v>79</v>
      </c>
      <c r="C356" s="8" t="s">
        <v>345</v>
      </c>
      <c r="D356" s="8" t="s">
        <v>379</v>
      </c>
      <c r="E356" s="9">
        <v>24.66</v>
      </c>
      <c r="F356" s="8" t="s">
        <v>325</v>
      </c>
      <c r="G356" s="10">
        <v>3584</v>
      </c>
      <c r="H356" s="11">
        <f t="array" ref="H356">INDEX([22]Monitoring!$H$6:$H$582,MATCH(1,([22]Monitoring!$D$6:$D$582=$D356)*([22]Monitoring!$D$6:$D$582=$D356),0))</f>
        <v>46157</v>
      </c>
      <c r="I356" s="143">
        <f t="array" ref="I356">INDEX([22]Monitoring!$I$6:$I$582,MATCH(1,([22]Monitoring!$D$6:$D$582=$D356)*([22]Monitoring!$D$6:$D$582=$D356),0))</f>
        <v>364</v>
      </c>
      <c r="J356" s="9">
        <f t="array" ref="J356">IFERROR(I356/G356*100,0)</f>
        <v>10.15625</v>
      </c>
      <c r="K356" s="143">
        <f t="array" ref="K356">INDEX([22]Monitoring!$J$6:$J$582,MATCH(1,([22]Monitoring!$D$6:$D$582=$D356)*([22]Monitoring!$D$6:$D$582=$D356),0))</f>
        <v>8</v>
      </c>
      <c r="L356" s="9">
        <f t="shared" si="6"/>
        <v>2.197802197802198</v>
      </c>
      <c r="M356" s="8" t="str">
        <f t="array" ref="M356">IF(L356&gt;5,"Perlu Pengendalian",IF(AND(L356&gt;=0,I356&gt;0),"Tidak Perlu Pengendalian","Belum Sensus"))</f>
        <v>Tidak Perlu Pengendalian</v>
      </c>
    </row>
    <row r="357" spans="1:13" x14ac:dyDescent="0.15">
      <c r="A357" s="8" t="s">
        <v>322</v>
      </c>
      <c r="B357" s="8" t="s">
        <v>79</v>
      </c>
      <c r="C357" s="8" t="s">
        <v>380</v>
      </c>
      <c r="D357" s="8" t="s">
        <v>381</v>
      </c>
      <c r="E357" s="9">
        <v>26.99</v>
      </c>
      <c r="F357" s="8" t="s">
        <v>325</v>
      </c>
      <c r="G357" s="10">
        <v>3969</v>
      </c>
      <c r="H357" s="11">
        <f t="array" ref="H357">INDEX([22]Monitoring!$H$6:$H$582,MATCH(1,([22]Monitoring!$D$6:$D$582=$D357)*([22]Monitoring!$D$6:$D$582=$D357),0))</f>
        <v>46154</v>
      </c>
      <c r="I357" s="143">
        <f t="array" ref="I357">INDEX([22]Monitoring!$I$6:$I$582,MATCH(1,([22]Monitoring!$D$6:$D$582=$D357)*([22]Monitoring!$D$6:$D$582=$D357),0))</f>
        <v>344</v>
      </c>
      <c r="J357" s="9">
        <f t="array" ref="J357">IFERROR(I357/G357*100,0)</f>
        <v>8.667170571932477</v>
      </c>
      <c r="K357" s="143">
        <f t="array" ref="K357">INDEX([22]Monitoring!$J$6:$J$582,MATCH(1,([22]Monitoring!$D$6:$D$582=$D357)*([22]Monitoring!$D$6:$D$582=$D357),0))</f>
        <v>41</v>
      </c>
      <c r="L357" s="9">
        <f t="shared" si="6"/>
        <v>11.918604651162791</v>
      </c>
      <c r="M357" s="8" t="str">
        <f t="array" ref="M357">IF(L357&gt;5,"Perlu Pengendalian",IF(AND(L357&gt;=0,I357&gt;0),"Tidak Perlu Pengendalian","Belum Sensus"))</f>
        <v>Perlu Pengendalian</v>
      </c>
    </row>
    <row r="358" spans="1:13" x14ac:dyDescent="0.15">
      <c r="A358" s="8" t="s">
        <v>322</v>
      </c>
      <c r="B358" s="8" t="s">
        <v>79</v>
      </c>
      <c r="C358" s="8" t="s">
        <v>380</v>
      </c>
      <c r="D358" s="8" t="s">
        <v>382</v>
      </c>
      <c r="E358" s="9">
        <v>24.81</v>
      </c>
      <c r="F358" s="8" t="s">
        <v>325</v>
      </c>
      <c r="G358" s="10">
        <v>3637</v>
      </c>
      <c r="H358" s="11">
        <f t="array" ref="H358">INDEX([22]Monitoring!$H$6:$H$582,MATCH(1,([22]Monitoring!$D$6:$D$582=$D358)*([22]Monitoring!$D$6:$D$582=$D358),0))</f>
        <v>46154</v>
      </c>
      <c r="I358" s="143">
        <f t="array" ref="I358">INDEX([22]Monitoring!$I$6:$I$582,MATCH(1,([22]Monitoring!$D$6:$D$582=$D358)*([22]Monitoring!$D$6:$D$582=$D358),0))</f>
        <v>373</v>
      </c>
      <c r="J358" s="9">
        <f t="array" ref="J358">IFERROR(I358/G358*100,0)</f>
        <v>10.255705251580974</v>
      </c>
      <c r="K358" s="143">
        <f t="array" ref="K358">INDEX([22]Monitoring!$J$6:$J$582,MATCH(1,([22]Monitoring!$D$6:$D$582=$D358)*([22]Monitoring!$D$6:$D$582=$D358),0))</f>
        <v>34</v>
      </c>
      <c r="L358" s="9">
        <f t="shared" si="6"/>
        <v>9.1152815013404833</v>
      </c>
      <c r="M358" s="8" t="str">
        <f t="array" ref="M358">IF(L358&gt;5,"Perlu Pengendalian",IF(AND(L358&gt;=0,I358&gt;0),"Tidak Perlu Pengendalian","Belum Sensus"))</f>
        <v>Perlu Pengendalian</v>
      </c>
    </row>
    <row r="359" spans="1:13" x14ac:dyDescent="0.15">
      <c r="A359" s="8" t="s">
        <v>322</v>
      </c>
      <c r="B359" s="8" t="s">
        <v>79</v>
      </c>
      <c r="C359" s="8" t="s">
        <v>380</v>
      </c>
      <c r="D359" s="8" t="s">
        <v>383</v>
      </c>
      <c r="E359" s="9">
        <v>43.89</v>
      </c>
      <c r="F359" s="8" t="s">
        <v>325</v>
      </c>
      <c r="G359" s="10">
        <v>5634</v>
      </c>
      <c r="H359" s="11">
        <f t="array" ref="H359">INDEX([22]Monitoring!$H$6:$H$582,MATCH(1,([22]Monitoring!$D$6:$D$582=$D359)*([22]Monitoring!$D$6:$D$582=$D359),0))</f>
        <v>46154</v>
      </c>
      <c r="I359" s="143">
        <f t="array" ref="I359">INDEX([22]Monitoring!$I$6:$I$582,MATCH(1,([22]Monitoring!$D$6:$D$582=$D359)*([22]Monitoring!$D$6:$D$582=$D359),0))</f>
        <v>298</v>
      </c>
      <c r="J359" s="9">
        <f t="array" ref="J359">IFERROR(I359/G359*100,0)</f>
        <v>5.2893148739794107</v>
      </c>
      <c r="K359" s="143">
        <f t="array" ref="K359">INDEX([22]Monitoring!$J$6:$J$582,MATCH(1,([22]Monitoring!$D$6:$D$582=$D359)*([22]Monitoring!$D$6:$D$582=$D359),0))</f>
        <v>35</v>
      </c>
      <c r="L359" s="9">
        <f t="shared" si="6"/>
        <v>11.74496644295302</v>
      </c>
      <c r="M359" s="8" t="str">
        <f t="array" ref="M359">IF(L359&gt;5,"Perlu Pengendalian",IF(AND(L359&gt;=0,I359&gt;0),"Tidak Perlu Pengendalian","Belum Sensus"))</f>
        <v>Perlu Pengendalian</v>
      </c>
    </row>
    <row r="360" spans="1:13" x14ac:dyDescent="0.15">
      <c r="A360" s="8" t="s">
        <v>322</v>
      </c>
      <c r="B360" s="8" t="s">
        <v>79</v>
      </c>
      <c r="C360" s="8" t="s">
        <v>380</v>
      </c>
      <c r="D360" s="8" t="s">
        <v>384</v>
      </c>
      <c r="E360" s="9">
        <v>25.7</v>
      </c>
      <c r="F360" s="8" t="s">
        <v>325</v>
      </c>
      <c r="G360" s="10">
        <v>3576</v>
      </c>
      <c r="H360" s="11">
        <f t="array" ref="H360">INDEX([22]Monitoring!$H$6:$H$582,MATCH(1,([22]Monitoring!$D$6:$D$582=$D360)*([22]Monitoring!$D$6:$D$582=$D360),0))</f>
        <v>46154</v>
      </c>
      <c r="I360" s="143">
        <f t="array" ref="I360">INDEX([22]Monitoring!$I$6:$I$582,MATCH(1,([22]Monitoring!$D$6:$D$582=$D360)*([22]Monitoring!$D$6:$D$582=$D360),0))</f>
        <v>407</v>
      </c>
      <c r="J360" s="9">
        <f t="array" ref="J360">IFERROR(I360/G360*100,0)</f>
        <v>11.381431767337807</v>
      </c>
      <c r="K360" s="143">
        <f t="array" ref="K360">INDEX([22]Monitoring!$J$6:$J$582,MATCH(1,([22]Monitoring!$D$6:$D$582=$D360)*([22]Monitoring!$D$6:$D$582=$D360),0))</f>
        <v>17</v>
      </c>
      <c r="L360" s="9">
        <f t="shared" si="6"/>
        <v>4.176904176904177</v>
      </c>
      <c r="M360" s="8" t="str">
        <f t="array" ref="M360">IF(L360&gt;5,"Perlu Pengendalian",IF(AND(L360&gt;=0,I360&gt;0),"Tidak Perlu Pengendalian","Belum Sensus"))</f>
        <v>Tidak Perlu Pengendalian</v>
      </c>
    </row>
    <row r="361" spans="1:13" x14ac:dyDescent="0.15">
      <c r="A361" s="8" t="s">
        <v>322</v>
      </c>
      <c r="B361" s="8" t="s">
        <v>79</v>
      </c>
      <c r="C361" s="8" t="s">
        <v>380</v>
      </c>
      <c r="D361" s="8" t="s">
        <v>385</v>
      </c>
      <c r="E361" s="9">
        <v>28.45</v>
      </c>
      <c r="F361" s="8" t="s">
        <v>325</v>
      </c>
      <c r="G361" s="10">
        <v>3992</v>
      </c>
      <c r="H361" s="11">
        <f t="array" ref="H361">INDEX([22]Monitoring!$H$6:$H$582,MATCH(1,([22]Monitoring!$D$6:$D$582=$D361)*([22]Monitoring!$D$6:$D$582=$D361),0))</f>
        <v>46154</v>
      </c>
      <c r="I361" s="143">
        <f t="array" ref="I361">INDEX([22]Monitoring!$I$6:$I$582,MATCH(1,([22]Monitoring!$D$6:$D$582=$D361)*([22]Monitoring!$D$6:$D$582=$D361),0))</f>
        <v>339</v>
      </c>
      <c r="J361" s="9">
        <f t="array" ref="J361">IFERROR(I361/G361*100,0)</f>
        <v>8.4919839679358713</v>
      </c>
      <c r="K361" s="143">
        <f t="array" ref="K361">INDEX([22]Monitoring!$J$6:$J$582,MATCH(1,([22]Monitoring!$D$6:$D$582=$D361)*([22]Monitoring!$D$6:$D$582=$D361),0))</f>
        <v>29</v>
      </c>
      <c r="L361" s="9">
        <f t="shared" si="6"/>
        <v>8.5545722713864301</v>
      </c>
      <c r="M361" s="8" t="str">
        <f t="array" ref="M361">IF(L361&gt;5,"Perlu Pengendalian",IF(AND(L361&gt;=0,I361&gt;0),"Tidak Perlu Pengendalian","Belum Sensus"))</f>
        <v>Perlu Pengendalian</v>
      </c>
    </row>
    <row r="362" spans="1:13" x14ac:dyDescent="0.15">
      <c r="A362" s="8" t="s">
        <v>322</v>
      </c>
      <c r="B362" s="8" t="s">
        <v>79</v>
      </c>
      <c r="C362" s="8" t="s">
        <v>380</v>
      </c>
      <c r="D362" s="8" t="s">
        <v>386</v>
      </c>
      <c r="E362" s="9">
        <v>21.35</v>
      </c>
      <c r="F362" s="8" t="s">
        <v>325</v>
      </c>
      <c r="G362" s="10">
        <v>3163</v>
      </c>
      <c r="H362" s="11">
        <f t="array" ref="H362">INDEX([22]Monitoring!$H$6:$H$582,MATCH(1,([22]Monitoring!$D$6:$D$582=$D362)*([22]Monitoring!$D$6:$D$582=$D362),0))</f>
        <v>46155</v>
      </c>
      <c r="I362" s="143">
        <f t="array" ref="I362">INDEX([22]Monitoring!$I$6:$I$582,MATCH(1,([22]Monitoring!$D$6:$D$582=$D362)*([22]Monitoring!$D$6:$D$582=$D362),0))</f>
        <v>300</v>
      </c>
      <c r="J362" s="9">
        <f t="array" ref="J362">IFERROR(I362/G362*100,0)</f>
        <v>9.484666455896301</v>
      </c>
      <c r="K362" s="143">
        <f t="array" ref="K362">INDEX([22]Monitoring!$J$6:$J$582,MATCH(1,([22]Monitoring!$D$6:$D$582=$D362)*([22]Monitoring!$D$6:$D$582=$D362),0))</f>
        <v>20</v>
      </c>
      <c r="L362" s="9">
        <f t="shared" si="6"/>
        <v>6.666666666666667</v>
      </c>
      <c r="M362" s="8" t="str">
        <f t="array" ref="M362">IF(L362&gt;5,"Perlu Pengendalian",IF(AND(L362&gt;=0,I362&gt;0),"Tidak Perlu Pengendalian","Belum Sensus"))</f>
        <v>Perlu Pengendalian</v>
      </c>
    </row>
    <row r="363" spans="1:13" x14ac:dyDescent="0.15">
      <c r="A363" s="8" t="s">
        <v>322</v>
      </c>
      <c r="B363" s="8" t="s">
        <v>79</v>
      </c>
      <c r="C363" s="8" t="s">
        <v>380</v>
      </c>
      <c r="D363" s="8" t="s">
        <v>387</v>
      </c>
      <c r="E363" s="9">
        <v>23.36</v>
      </c>
      <c r="F363" s="8" t="s">
        <v>325</v>
      </c>
      <c r="G363" s="10">
        <v>3246</v>
      </c>
      <c r="H363" s="11">
        <f t="array" ref="H363">INDEX([22]Monitoring!$H$6:$H$582,MATCH(1,([22]Monitoring!$D$6:$D$582=$D363)*([22]Monitoring!$D$6:$D$582=$D363),0))</f>
        <v>46155</v>
      </c>
      <c r="I363" s="143">
        <f t="array" ref="I363">INDEX([22]Monitoring!$I$6:$I$582,MATCH(1,([22]Monitoring!$D$6:$D$582=$D363)*([22]Monitoring!$D$6:$D$582=$D363),0))</f>
        <v>328</v>
      </c>
      <c r="J363" s="9">
        <f t="array" ref="J363">IFERROR(I363/G363*100,0)</f>
        <v>10.104744300677758</v>
      </c>
      <c r="K363" s="143">
        <f t="array" ref="K363">INDEX([22]Monitoring!$J$6:$J$582,MATCH(1,([22]Monitoring!$D$6:$D$582=$D363)*([22]Monitoring!$D$6:$D$582=$D363),0))</f>
        <v>21</v>
      </c>
      <c r="L363" s="9">
        <f t="shared" si="6"/>
        <v>6.4024390243902438</v>
      </c>
      <c r="M363" s="8" t="str">
        <f t="array" ref="M363">IF(L363&gt;5,"Perlu Pengendalian",IF(AND(L363&gt;=0,I363&gt;0),"Tidak Perlu Pengendalian","Belum Sensus"))</f>
        <v>Perlu Pengendalian</v>
      </c>
    </row>
    <row r="364" spans="1:13" x14ac:dyDescent="0.15">
      <c r="A364" s="8" t="s">
        <v>322</v>
      </c>
      <c r="B364" s="8" t="s">
        <v>79</v>
      </c>
      <c r="C364" s="8" t="s">
        <v>380</v>
      </c>
      <c r="D364" s="8" t="s">
        <v>388</v>
      </c>
      <c r="E364" s="9">
        <v>24</v>
      </c>
      <c r="F364" s="8" t="s">
        <v>325</v>
      </c>
      <c r="G364" s="10">
        <v>3189</v>
      </c>
      <c r="H364" s="11">
        <f t="array" ref="H364">INDEX([22]Monitoring!$H$6:$H$582,MATCH(1,([22]Monitoring!$D$6:$D$582=$D364)*([22]Monitoring!$D$6:$D$582=$D364),0))</f>
        <v>46155</v>
      </c>
      <c r="I364" s="143">
        <f t="array" ref="I364">INDEX([22]Monitoring!$I$6:$I$582,MATCH(1,([22]Monitoring!$D$6:$D$582=$D364)*([22]Monitoring!$D$6:$D$582=$D364),0))</f>
        <v>338</v>
      </c>
      <c r="J364" s="9">
        <f t="array" ref="J364">IFERROR(I364/G364*100,0)</f>
        <v>10.598933835058013</v>
      </c>
      <c r="K364" s="143">
        <f t="array" ref="K364">INDEX([22]Monitoring!$J$6:$J$582,MATCH(1,([22]Monitoring!$D$6:$D$582=$D364)*([22]Monitoring!$D$6:$D$582=$D364),0))</f>
        <v>28</v>
      </c>
      <c r="L364" s="9">
        <f t="shared" si="6"/>
        <v>8.2840236686390547</v>
      </c>
      <c r="M364" s="8" t="str">
        <f t="array" ref="M364">IF(L364&gt;5,"Perlu Pengendalian",IF(AND(L364&gt;=0,I364&gt;0),"Tidak Perlu Pengendalian","Belum Sensus"))</f>
        <v>Perlu Pengendalian</v>
      </c>
    </row>
    <row r="365" spans="1:13" x14ac:dyDescent="0.15">
      <c r="A365" s="8" t="s">
        <v>322</v>
      </c>
      <c r="B365" s="8" t="s">
        <v>79</v>
      </c>
      <c r="C365" s="8" t="s">
        <v>380</v>
      </c>
      <c r="D365" s="8" t="s">
        <v>389</v>
      </c>
      <c r="E365" s="9">
        <v>24.13</v>
      </c>
      <c r="F365" s="8" t="s">
        <v>325</v>
      </c>
      <c r="G365" s="10">
        <v>3331</v>
      </c>
      <c r="H365" s="11">
        <f t="array" ref="H365">INDEX([22]Monitoring!$H$6:$H$582,MATCH(1,([22]Monitoring!$D$6:$D$582=$D365)*([22]Monitoring!$D$6:$D$582=$D365),0))</f>
        <v>46155</v>
      </c>
      <c r="I365" s="143">
        <f t="array" ref="I365">INDEX([22]Monitoring!$I$6:$I$582,MATCH(1,([22]Monitoring!$D$6:$D$582=$D365)*([22]Monitoring!$D$6:$D$582=$D365),0))</f>
        <v>321</v>
      </c>
      <c r="J365" s="9">
        <f t="array" ref="J365">IFERROR(I365/G365*100,0)</f>
        <v>9.6367457220054042</v>
      </c>
      <c r="K365" s="143">
        <f t="array" ref="K365">INDEX([22]Monitoring!$J$6:$J$582,MATCH(1,([22]Monitoring!$D$6:$D$582=$D365)*([22]Monitoring!$D$6:$D$582=$D365),0))</f>
        <v>15</v>
      </c>
      <c r="L365" s="9">
        <f t="shared" si="6"/>
        <v>4.6728971962616823</v>
      </c>
      <c r="M365" s="8" t="str">
        <f t="array" ref="M365">IF(L365&gt;5,"Perlu Pengendalian",IF(AND(L365&gt;=0,I365&gt;0),"Tidak Perlu Pengendalian","Belum Sensus"))</f>
        <v>Tidak Perlu Pengendalian</v>
      </c>
    </row>
    <row r="366" spans="1:13" x14ac:dyDescent="0.15">
      <c r="A366" s="8" t="s">
        <v>322</v>
      </c>
      <c r="B366" s="8" t="s">
        <v>79</v>
      </c>
      <c r="C366" s="8" t="s">
        <v>380</v>
      </c>
      <c r="D366" s="8" t="s">
        <v>390</v>
      </c>
      <c r="E366" s="9">
        <v>27.2</v>
      </c>
      <c r="F366" s="8" t="s">
        <v>325</v>
      </c>
      <c r="G366" s="10">
        <v>3399</v>
      </c>
      <c r="H366" s="11">
        <f t="array" ref="H366">INDEX([22]Monitoring!$H$6:$H$582,MATCH(1,([22]Monitoring!$D$6:$D$582=$D366)*([22]Monitoring!$D$6:$D$582=$D366),0))</f>
        <v>46155</v>
      </c>
      <c r="I366" s="143">
        <f t="array" ref="I366">INDEX([22]Monitoring!$I$6:$I$582,MATCH(1,([22]Monitoring!$D$6:$D$582=$D366)*([22]Monitoring!$D$6:$D$582=$D366),0))</f>
        <v>361</v>
      </c>
      <c r="J366" s="9">
        <f t="array" ref="J366">IFERROR(I366/G366*100,0)</f>
        <v>10.620770814945573</v>
      </c>
      <c r="K366" s="143">
        <f t="array" ref="K366">INDEX([22]Monitoring!$J$6:$J$582,MATCH(1,([22]Monitoring!$D$6:$D$582=$D366)*([22]Monitoring!$D$6:$D$582=$D366),0))</f>
        <v>32</v>
      </c>
      <c r="L366" s="9">
        <f t="shared" si="6"/>
        <v>8.86426592797784</v>
      </c>
      <c r="M366" s="8" t="str">
        <f t="array" ref="M366">IF(L366&gt;5,"Perlu Pengendalian",IF(AND(L366&gt;=0,I366&gt;0),"Tidak Perlu Pengendalian","Belum Sensus"))</f>
        <v>Perlu Pengendalian</v>
      </c>
    </row>
    <row r="367" spans="1:13" x14ac:dyDescent="0.15">
      <c r="A367" s="8" t="s">
        <v>322</v>
      </c>
      <c r="B367" s="8" t="s">
        <v>79</v>
      </c>
      <c r="C367" s="8" t="s">
        <v>380</v>
      </c>
      <c r="D367" s="8" t="s">
        <v>391</v>
      </c>
      <c r="E367" s="9">
        <v>26.95</v>
      </c>
      <c r="F367" s="8" t="s">
        <v>325</v>
      </c>
      <c r="G367" s="10">
        <v>3497</v>
      </c>
      <c r="H367" s="11">
        <f t="array" ref="H367">INDEX([22]Monitoring!$H$6:$H$582,MATCH(1,([22]Monitoring!$D$6:$D$582=$D367)*([22]Monitoring!$D$6:$D$582=$D367),0))</f>
        <v>46157</v>
      </c>
      <c r="I367" s="143">
        <f t="array" ref="I367">INDEX([22]Monitoring!$I$6:$I$582,MATCH(1,([22]Monitoring!$D$6:$D$582=$D367)*([22]Monitoring!$D$6:$D$582=$D367),0))</f>
        <v>381</v>
      </c>
      <c r="J367" s="9">
        <f t="array" ref="J367">IFERROR(I367/G367*100,0)</f>
        <v>10.895052902487846</v>
      </c>
      <c r="K367" s="143">
        <f t="array" ref="K367">INDEX([22]Monitoring!$J$6:$J$582,MATCH(1,([22]Monitoring!$D$6:$D$582=$D367)*([22]Monitoring!$D$6:$D$582=$D367),0))</f>
        <v>23</v>
      </c>
      <c r="L367" s="9">
        <f t="shared" si="6"/>
        <v>6.0367454068241466</v>
      </c>
      <c r="M367" s="8" t="str">
        <f t="array" ref="M367">IF(L367&gt;5,"Perlu Pengendalian",IF(AND(L367&gt;=0,I367&gt;0),"Tidak Perlu Pengendalian","Belum Sensus"))</f>
        <v>Perlu Pengendalian</v>
      </c>
    </row>
    <row r="368" spans="1:13" x14ac:dyDescent="0.15">
      <c r="A368" s="8" t="s">
        <v>322</v>
      </c>
      <c r="B368" s="8" t="s">
        <v>79</v>
      </c>
      <c r="C368" s="8" t="s">
        <v>380</v>
      </c>
      <c r="D368" s="8" t="s">
        <v>392</v>
      </c>
      <c r="E368" s="9">
        <v>26.54</v>
      </c>
      <c r="F368" s="8" t="s">
        <v>325</v>
      </c>
      <c r="G368" s="10">
        <v>3751</v>
      </c>
      <c r="H368" s="11">
        <f t="array" ref="H368">INDEX([22]Monitoring!$H$6:$H$582,MATCH(1,([22]Monitoring!$D$6:$D$582=$D368)*([22]Monitoring!$D$6:$D$582=$D368),0))</f>
        <v>46157</v>
      </c>
      <c r="I368" s="143">
        <f t="array" ref="I368">INDEX([22]Monitoring!$I$6:$I$582,MATCH(1,([22]Monitoring!$D$6:$D$582=$D368)*([22]Monitoring!$D$6:$D$582=$D368),0))</f>
        <v>392</v>
      </c>
      <c r="J368" s="9">
        <f t="array" ref="J368">IFERROR(I368/G368*100,0)</f>
        <v>10.450546520927753</v>
      </c>
      <c r="K368" s="143">
        <f t="array" ref="K368">INDEX([22]Monitoring!$J$6:$J$582,MATCH(1,([22]Monitoring!$D$6:$D$582=$D368)*([22]Monitoring!$D$6:$D$582=$D368),0))</f>
        <v>15</v>
      </c>
      <c r="L368" s="9">
        <f t="shared" si="6"/>
        <v>3.8265306122448979</v>
      </c>
      <c r="M368" s="8" t="str">
        <f t="array" ref="M368">IF(L368&gt;5,"Perlu Pengendalian",IF(AND(L368&gt;=0,I368&gt;0),"Tidak Perlu Pengendalian","Belum Sensus"))</f>
        <v>Tidak Perlu Pengendalian</v>
      </c>
    </row>
    <row r="369" spans="1:13" x14ac:dyDescent="0.15">
      <c r="A369" s="8" t="s">
        <v>322</v>
      </c>
      <c r="B369" s="8" t="s">
        <v>79</v>
      </c>
      <c r="C369" s="8" t="s">
        <v>380</v>
      </c>
      <c r="D369" s="8" t="s">
        <v>393</v>
      </c>
      <c r="E369" s="9">
        <v>27.92</v>
      </c>
      <c r="F369" s="8" t="s">
        <v>325</v>
      </c>
      <c r="G369" s="10">
        <v>4123</v>
      </c>
      <c r="H369" s="11">
        <f t="array" ref="H369">INDEX([22]Monitoring!$H$6:$H$582,MATCH(1,([22]Monitoring!$D$6:$D$582=$D369)*([22]Monitoring!$D$6:$D$582=$D369),0))</f>
        <v>46150</v>
      </c>
      <c r="I369" s="143">
        <f t="array" ref="I369">INDEX([22]Monitoring!$I$6:$I$582,MATCH(1,([22]Monitoring!$D$6:$D$582=$D369)*([22]Monitoring!$D$6:$D$582=$D369),0))</f>
        <v>425</v>
      </c>
      <c r="J369" s="9">
        <f t="array" ref="J369">IFERROR(I369/G369*100,0)</f>
        <v>10.308028134853261</v>
      </c>
      <c r="K369" s="143">
        <f t="array" ref="K369">INDEX([22]Monitoring!$J$6:$J$582,MATCH(1,([22]Monitoring!$D$6:$D$582=$D369)*([22]Monitoring!$D$6:$D$582=$D369),0))</f>
        <v>16</v>
      </c>
      <c r="L369" s="9">
        <f t="shared" si="6"/>
        <v>3.7647058823529407</v>
      </c>
      <c r="M369" s="8" t="str">
        <f t="array" ref="M369">IF(L369&gt;5,"Perlu Pengendalian",IF(AND(L369&gt;=0,I369&gt;0),"Tidak Perlu Pengendalian","Belum Sensus"))</f>
        <v>Tidak Perlu Pengendalian</v>
      </c>
    </row>
    <row r="370" spans="1:13" x14ac:dyDescent="0.15">
      <c r="A370" s="8" t="s">
        <v>322</v>
      </c>
      <c r="B370" s="8" t="s">
        <v>79</v>
      </c>
      <c r="C370" s="8" t="s">
        <v>380</v>
      </c>
      <c r="D370" s="8" t="s">
        <v>394</v>
      </c>
      <c r="E370" s="9">
        <v>24.85</v>
      </c>
      <c r="F370" s="8" t="s">
        <v>325</v>
      </c>
      <c r="G370" s="10">
        <v>3696</v>
      </c>
      <c r="H370" s="11">
        <f t="array" ref="H370">INDEX([22]Monitoring!$H$6:$H$582,MATCH(1,([22]Monitoring!$D$6:$D$582=$D370)*([22]Monitoring!$D$6:$D$582=$D370),0))</f>
        <v>46151</v>
      </c>
      <c r="I370" s="143">
        <f t="array" ref="I370">INDEX([22]Monitoring!$I$6:$I$582,MATCH(1,([22]Monitoring!$D$6:$D$582=$D370)*([22]Monitoring!$D$6:$D$582=$D370),0))</f>
        <v>370</v>
      </c>
      <c r="J370" s="9">
        <f t="array" ref="J370">IFERROR(I370/G370*100,0)</f>
        <v>10.010822510822511</v>
      </c>
      <c r="K370" s="143">
        <f t="array" ref="K370">INDEX([22]Monitoring!$J$6:$J$582,MATCH(1,([22]Monitoring!$D$6:$D$582=$D370)*([22]Monitoring!$D$6:$D$582=$D370),0))</f>
        <v>48</v>
      </c>
      <c r="L370" s="9">
        <f t="shared" si="6"/>
        <v>12.972972972972974</v>
      </c>
      <c r="M370" s="8" t="str">
        <f t="array" ref="M370">IF(L370&gt;5,"Perlu Pengendalian",IF(AND(L370&gt;=0,I370&gt;0),"Tidak Perlu Pengendalian","Belum Sensus"))</f>
        <v>Perlu Pengendalian</v>
      </c>
    </row>
    <row r="371" spans="1:13" x14ac:dyDescent="0.15">
      <c r="A371" s="8" t="s">
        <v>322</v>
      </c>
      <c r="B371" s="8" t="s">
        <v>79</v>
      </c>
      <c r="C371" s="8" t="s">
        <v>380</v>
      </c>
      <c r="D371" s="8" t="s">
        <v>395</v>
      </c>
      <c r="E371" s="9">
        <v>44.38</v>
      </c>
      <c r="F371" s="8" t="s">
        <v>325</v>
      </c>
      <c r="G371" s="10">
        <v>6659</v>
      </c>
      <c r="H371" s="11">
        <f t="array" ref="H371">INDEX([22]Monitoring!$H$6:$H$582,MATCH(1,([22]Monitoring!$D$6:$D$582=$D371)*([22]Monitoring!$D$6:$D$582=$D371),0))</f>
        <v>46151</v>
      </c>
      <c r="I371" s="143">
        <f t="array" ref="I371">INDEX([22]Monitoring!$I$6:$I$582,MATCH(1,([22]Monitoring!$D$6:$D$582=$D371)*([22]Monitoring!$D$6:$D$582=$D371),0))</f>
        <v>320</v>
      </c>
      <c r="J371" s="9">
        <f t="array" ref="J371">IFERROR(I371/G371*100,0)</f>
        <v>4.8055263553086052</v>
      </c>
      <c r="K371" s="143">
        <f t="array" ref="K371">INDEX([22]Monitoring!$J$6:$J$582,MATCH(1,([22]Monitoring!$D$6:$D$582=$D371)*([22]Monitoring!$D$6:$D$582=$D371),0))</f>
        <v>12</v>
      </c>
      <c r="L371" s="9">
        <f t="shared" si="6"/>
        <v>3.75</v>
      </c>
      <c r="M371" s="8" t="str">
        <f t="array" ref="M371">IF(L371&gt;5,"Perlu Pengendalian",IF(AND(L371&gt;=0,I371&gt;0),"Tidak Perlu Pengendalian","Belum Sensus"))</f>
        <v>Tidak Perlu Pengendalian</v>
      </c>
    </row>
    <row r="372" spans="1:13" x14ac:dyDescent="0.15">
      <c r="A372" s="8" t="s">
        <v>322</v>
      </c>
      <c r="B372" s="8" t="s">
        <v>79</v>
      </c>
      <c r="C372" s="8" t="s">
        <v>380</v>
      </c>
      <c r="D372" s="8" t="s">
        <v>396</v>
      </c>
      <c r="E372" s="9">
        <v>26.16</v>
      </c>
      <c r="F372" s="8" t="s">
        <v>325</v>
      </c>
      <c r="G372" s="10">
        <v>3736</v>
      </c>
      <c r="H372" s="11">
        <f t="array" ref="H372">INDEX([22]Monitoring!$H$6:$H$582,MATCH(1,([22]Monitoring!$D$6:$D$582=$D372)*([22]Monitoring!$D$6:$D$582=$D372),0))</f>
        <v>46151</v>
      </c>
      <c r="I372" s="143">
        <f t="array" ref="I372">INDEX([22]Monitoring!$I$6:$I$582,MATCH(1,([22]Monitoring!$D$6:$D$582=$D372)*([22]Monitoring!$D$6:$D$582=$D372),0))</f>
        <v>374</v>
      </c>
      <c r="J372" s="9">
        <f t="array" ref="J372">IFERROR(I372/G372*100,0)</f>
        <v>10.010706638115632</v>
      </c>
      <c r="K372" s="143">
        <f t="array" ref="K372">INDEX([22]Monitoring!$J$6:$J$582,MATCH(1,([22]Monitoring!$D$6:$D$582=$D372)*([22]Monitoring!$D$6:$D$582=$D372),0))</f>
        <v>12</v>
      </c>
      <c r="L372" s="9">
        <f t="shared" si="6"/>
        <v>3.2085561497326207</v>
      </c>
      <c r="M372" s="8" t="str">
        <f t="array" ref="M372">IF(L372&gt;5,"Perlu Pengendalian",IF(AND(L372&gt;=0,I372&gt;0),"Tidak Perlu Pengendalian","Belum Sensus"))</f>
        <v>Tidak Perlu Pengendalian</v>
      </c>
    </row>
    <row r="373" spans="1:13" x14ac:dyDescent="0.15">
      <c r="A373" s="8" t="s">
        <v>322</v>
      </c>
      <c r="B373" s="8" t="s">
        <v>79</v>
      </c>
      <c r="C373" s="8" t="s">
        <v>380</v>
      </c>
      <c r="D373" s="8" t="s">
        <v>397</v>
      </c>
      <c r="E373" s="9">
        <v>48.5</v>
      </c>
      <c r="F373" s="8" t="s">
        <v>325</v>
      </c>
      <c r="G373" s="10">
        <v>6691</v>
      </c>
      <c r="H373" s="11">
        <f t="array" ref="H373">INDEX([22]Monitoring!$H$6:$H$582,MATCH(1,([22]Monitoring!$D$6:$D$582=$D373)*([22]Monitoring!$D$6:$D$582=$D373),0))</f>
        <v>46151</v>
      </c>
      <c r="I373" s="143">
        <f t="array" ref="I373">INDEX([22]Monitoring!$I$6:$I$582,MATCH(1,([22]Monitoring!$D$6:$D$582=$D373)*([22]Monitoring!$D$6:$D$582=$D373),0))</f>
        <v>297</v>
      </c>
      <c r="J373" s="9">
        <f t="array" ref="J373">IFERROR(I373/G373*100,0)</f>
        <v>4.4387983858914959</v>
      </c>
      <c r="K373" s="143">
        <f t="array" ref="K373">INDEX([22]Monitoring!$J$6:$J$582,MATCH(1,([22]Monitoring!$D$6:$D$582=$D373)*([22]Monitoring!$D$6:$D$582=$D373),0))</f>
        <v>15</v>
      </c>
      <c r="L373" s="9">
        <f t="shared" si="6"/>
        <v>5.0505050505050502</v>
      </c>
      <c r="M373" s="8" t="str">
        <f t="array" ref="M373">IF(L373&gt;5,"Perlu Pengendalian",IF(AND(L373&gt;=0,I373&gt;0),"Tidak Perlu Pengendalian","Belum Sensus"))</f>
        <v>Perlu Pengendalian</v>
      </c>
    </row>
    <row r="374" spans="1:13" x14ac:dyDescent="0.15">
      <c r="A374" s="8" t="s">
        <v>322</v>
      </c>
      <c r="B374" s="8" t="s">
        <v>79</v>
      </c>
      <c r="C374" s="8" t="s">
        <v>380</v>
      </c>
      <c r="D374" s="8" t="s">
        <v>398</v>
      </c>
      <c r="E374" s="9">
        <v>24.89</v>
      </c>
      <c r="F374" s="8" t="s">
        <v>325</v>
      </c>
      <c r="G374" s="10">
        <v>3428</v>
      </c>
      <c r="H374" s="11">
        <f t="array" ref="H374">INDEX([22]Monitoring!$H$6:$H$582,MATCH(1,([22]Monitoring!$D$6:$D$582=$D374)*([22]Monitoring!$D$6:$D$582=$D374),0))</f>
        <v>46151</v>
      </c>
      <c r="I374" s="143">
        <f t="array" ref="I374">INDEX([22]Monitoring!$I$6:$I$582,MATCH(1,([22]Monitoring!$D$6:$D$582=$D374)*([22]Monitoring!$D$6:$D$582=$D374),0))</f>
        <v>331</v>
      </c>
      <c r="J374" s="9">
        <f t="array" ref="J374">IFERROR(I374/G374*100,0)</f>
        <v>9.6557759626604422</v>
      </c>
      <c r="K374" s="143">
        <f t="array" ref="K374">INDEX([22]Monitoring!$J$6:$J$582,MATCH(1,([22]Monitoring!$D$6:$D$582=$D374)*([22]Monitoring!$D$6:$D$582=$D374),0))</f>
        <v>31</v>
      </c>
      <c r="L374" s="9">
        <f t="shared" si="6"/>
        <v>9.3655589123867067</v>
      </c>
      <c r="M374" s="8" t="str">
        <f t="array" ref="M374">IF(L374&gt;5,"Perlu Pengendalian",IF(AND(L374&gt;=0,I374&gt;0),"Tidak Perlu Pengendalian","Belum Sensus"))</f>
        <v>Perlu Pengendalian</v>
      </c>
    </row>
    <row r="375" spans="1:13" x14ac:dyDescent="0.15">
      <c r="A375" s="8" t="s">
        <v>322</v>
      </c>
      <c r="B375" s="8" t="s">
        <v>79</v>
      </c>
      <c r="C375" s="8" t="s">
        <v>380</v>
      </c>
      <c r="D375" s="8" t="s">
        <v>399</v>
      </c>
      <c r="E375" s="9">
        <v>22.59</v>
      </c>
      <c r="F375" s="8" t="s">
        <v>325</v>
      </c>
      <c r="G375" s="10">
        <v>3095</v>
      </c>
      <c r="H375" s="11">
        <f t="array" ref="H375">INDEX([22]Monitoring!$H$6:$H$582,MATCH(1,([22]Monitoring!$D$6:$D$582=$D375)*([22]Monitoring!$D$6:$D$582=$D375),0))</f>
        <v>46153</v>
      </c>
      <c r="I375" s="143">
        <f t="array" ref="I375">INDEX([22]Monitoring!$I$6:$I$582,MATCH(1,([22]Monitoring!$D$6:$D$582=$D375)*([22]Monitoring!$D$6:$D$582=$D375),0))</f>
        <v>346</v>
      </c>
      <c r="J375" s="9">
        <f t="array" ref="J375">IFERROR(I375/G375*100,0)</f>
        <v>11.179321486268174</v>
      </c>
      <c r="K375" s="143">
        <f t="array" ref="K375">INDEX([22]Monitoring!$J$6:$J$582,MATCH(1,([22]Monitoring!$D$6:$D$582=$D375)*([22]Monitoring!$D$6:$D$582=$D375),0))</f>
        <v>12</v>
      </c>
      <c r="L375" s="9">
        <f t="shared" si="6"/>
        <v>3.4682080924855487</v>
      </c>
      <c r="M375" s="8" t="str">
        <f t="array" ref="M375">IF(L375&gt;5,"Perlu Pengendalian",IF(AND(L375&gt;=0,I375&gt;0),"Tidak Perlu Pengendalian","Belum Sensus"))</f>
        <v>Tidak Perlu Pengendalian</v>
      </c>
    </row>
    <row r="376" spans="1:13" x14ac:dyDescent="0.15">
      <c r="A376" s="8" t="s">
        <v>322</v>
      </c>
      <c r="B376" s="8" t="s">
        <v>79</v>
      </c>
      <c r="C376" s="8" t="s">
        <v>380</v>
      </c>
      <c r="D376" s="8" t="s">
        <v>400</v>
      </c>
      <c r="E376" s="9">
        <v>24.64</v>
      </c>
      <c r="F376" s="8" t="s">
        <v>325</v>
      </c>
      <c r="G376" s="10">
        <v>3381</v>
      </c>
      <c r="H376" s="11">
        <f t="array" ref="H376">INDEX([22]Monitoring!$H$6:$H$582,MATCH(1,([22]Monitoring!$D$6:$D$582=$D376)*([22]Monitoring!$D$6:$D$582=$D376),0))</f>
        <v>46153</v>
      </c>
      <c r="I376" s="143">
        <f t="array" ref="I376">INDEX([22]Monitoring!$I$6:$I$582,MATCH(1,([22]Monitoring!$D$6:$D$582=$D376)*([22]Monitoring!$D$6:$D$582=$D376),0))</f>
        <v>379</v>
      </c>
      <c r="J376" s="9">
        <f t="array" ref="J376">IFERROR(I376/G376*100,0)</f>
        <v>11.209701271813072</v>
      </c>
      <c r="K376" s="143">
        <f t="array" ref="K376">INDEX([22]Monitoring!$J$6:$J$582,MATCH(1,([22]Monitoring!$D$6:$D$582=$D376)*([22]Monitoring!$D$6:$D$582=$D376),0))</f>
        <v>17</v>
      </c>
      <c r="L376" s="9">
        <f t="shared" si="6"/>
        <v>4.4854881266490763</v>
      </c>
      <c r="M376" s="8" t="str">
        <f t="array" ref="M376">IF(L376&gt;5,"Perlu Pengendalian",IF(AND(L376&gt;=0,I376&gt;0),"Tidak Perlu Pengendalian","Belum Sensus"))</f>
        <v>Tidak Perlu Pengendalian</v>
      </c>
    </row>
    <row r="377" spans="1:13" x14ac:dyDescent="0.15">
      <c r="A377" s="8" t="s">
        <v>322</v>
      </c>
      <c r="B377" s="8" t="s">
        <v>79</v>
      </c>
      <c r="C377" s="8" t="s">
        <v>380</v>
      </c>
      <c r="D377" s="8" t="s">
        <v>401</v>
      </c>
      <c r="E377" s="9">
        <v>22.91</v>
      </c>
      <c r="F377" s="8" t="s">
        <v>325</v>
      </c>
      <c r="G377" s="10">
        <v>3002</v>
      </c>
      <c r="H377" s="11">
        <f t="array" ref="H377">INDEX([22]Monitoring!$H$6:$H$582,MATCH(1,([22]Monitoring!$D$6:$D$582=$D377)*([22]Monitoring!$D$6:$D$582=$D377),0))</f>
        <v>46153</v>
      </c>
      <c r="I377" s="143">
        <f t="array" ref="I377">INDEX([22]Monitoring!$I$6:$I$582,MATCH(1,([22]Monitoring!$D$6:$D$582=$D377)*([22]Monitoring!$D$6:$D$582=$D377),0))</f>
        <v>329</v>
      </c>
      <c r="J377" s="9">
        <f t="array" ref="J377">IFERROR(I377/G377*100,0)</f>
        <v>10.95936042638241</v>
      </c>
      <c r="K377" s="143">
        <f t="array" ref="K377">INDEX([22]Monitoring!$J$6:$J$582,MATCH(1,([22]Monitoring!$D$6:$D$582=$D377)*([22]Monitoring!$D$6:$D$582=$D377),0))</f>
        <v>24</v>
      </c>
      <c r="L377" s="9">
        <f t="shared" si="6"/>
        <v>7.2948328267477196</v>
      </c>
      <c r="M377" s="8" t="str">
        <f t="array" ref="M377">IF(L377&gt;5,"Perlu Pengendalian",IF(AND(L377&gt;=0,I377&gt;0),"Tidak Perlu Pengendalian","Belum Sensus"))</f>
        <v>Perlu Pengendalian</v>
      </c>
    </row>
    <row r="378" spans="1:13" x14ac:dyDescent="0.15">
      <c r="A378" s="8" t="s">
        <v>322</v>
      </c>
      <c r="B378" s="8" t="s">
        <v>79</v>
      </c>
      <c r="C378" s="8" t="s">
        <v>380</v>
      </c>
      <c r="D378" s="8" t="s">
        <v>402</v>
      </c>
      <c r="E378" s="9">
        <v>23.52</v>
      </c>
      <c r="F378" s="8" t="s">
        <v>325</v>
      </c>
      <c r="G378" s="10">
        <v>3242</v>
      </c>
      <c r="H378" s="11">
        <f t="array" ref="H378">INDEX([22]Monitoring!$H$6:$H$582,MATCH(1,([22]Monitoring!$D$6:$D$582=$D378)*([22]Monitoring!$D$6:$D$582=$D378),0))</f>
        <v>46153</v>
      </c>
      <c r="I378" s="143">
        <f t="array" ref="I378">INDEX([22]Monitoring!$I$6:$I$582,MATCH(1,([22]Monitoring!$D$6:$D$582=$D378)*([22]Monitoring!$D$6:$D$582=$D378),0))</f>
        <v>360</v>
      </c>
      <c r="J378" s="9">
        <f t="array" ref="J378">IFERROR(I378/G378*100,0)</f>
        <v>11.104256631708822</v>
      </c>
      <c r="K378" s="143">
        <f t="array" ref="K378">INDEX([22]Monitoring!$J$6:$J$582,MATCH(1,([22]Monitoring!$D$6:$D$582=$D378)*([22]Monitoring!$D$6:$D$582=$D378),0))</f>
        <v>21</v>
      </c>
      <c r="L378" s="9">
        <f t="shared" si="6"/>
        <v>5.833333333333333</v>
      </c>
      <c r="M378" s="8" t="str">
        <f t="array" ref="M378">IF(L378&gt;5,"Perlu Pengendalian",IF(AND(L378&gt;=0,I378&gt;0),"Tidak Perlu Pengendalian","Belum Sensus"))</f>
        <v>Perlu Pengendalian</v>
      </c>
    </row>
    <row r="379" spans="1:13" x14ac:dyDescent="0.15">
      <c r="A379" s="8" t="s">
        <v>322</v>
      </c>
      <c r="B379" s="8" t="s">
        <v>79</v>
      </c>
      <c r="C379" s="8" t="s">
        <v>380</v>
      </c>
      <c r="D379" s="8" t="s">
        <v>403</v>
      </c>
      <c r="E379" s="9">
        <v>23.45</v>
      </c>
      <c r="F379" s="8" t="s">
        <v>325</v>
      </c>
      <c r="G379" s="10">
        <v>3198</v>
      </c>
      <c r="H379" s="11">
        <f t="array" ref="H379">INDEX([22]Monitoring!$H$6:$H$582,MATCH(1,([22]Monitoring!$D$6:$D$582=$D379)*([22]Monitoring!$D$6:$D$582=$D379),0))</f>
        <v>46153</v>
      </c>
      <c r="I379" s="143">
        <f t="array" ref="I379">INDEX([22]Monitoring!$I$6:$I$582,MATCH(1,([22]Monitoring!$D$6:$D$582=$D379)*([22]Monitoring!$D$6:$D$582=$D379),0))</f>
        <v>338</v>
      </c>
      <c r="J379" s="9">
        <f t="array" ref="J379">IFERROR(I379/G379*100,0)</f>
        <v>10.569105691056912</v>
      </c>
      <c r="K379" s="143">
        <f t="array" ref="K379">INDEX([22]Monitoring!$J$6:$J$582,MATCH(1,([22]Monitoring!$D$6:$D$582=$D379)*([22]Monitoring!$D$6:$D$582=$D379),0))</f>
        <v>16</v>
      </c>
      <c r="L379" s="9">
        <f t="shared" si="6"/>
        <v>4.7337278106508878</v>
      </c>
      <c r="M379" s="8" t="str">
        <f t="array" ref="M379">IF(L379&gt;5,"Perlu Pengendalian",IF(AND(L379&gt;=0,I379&gt;0),"Tidak Perlu Pengendalian","Belum Sensus"))</f>
        <v>Tidak Perlu Pengendalian</v>
      </c>
    </row>
    <row r="380" spans="1:13" x14ac:dyDescent="0.15">
      <c r="A380" s="8" t="s">
        <v>322</v>
      </c>
      <c r="B380" s="8" t="s">
        <v>79</v>
      </c>
      <c r="C380" s="8" t="s">
        <v>380</v>
      </c>
      <c r="D380" s="8" t="s">
        <v>404</v>
      </c>
      <c r="E380" s="9">
        <v>27.68</v>
      </c>
      <c r="F380" s="8" t="s">
        <v>325</v>
      </c>
      <c r="G380" s="10">
        <v>4067</v>
      </c>
      <c r="H380" s="11">
        <f t="array" ref="H380">INDEX([22]Monitoring!$H$6:$H$582,MATCH(1,([22]Monitoring!$D$6:$D$582=$D380)*([22]Monitoring!$D$6:$D$582=$D380),0))</f>
        <v>46150</v>
      </c>
      <c r="I380" s="143">
        <f t="array" ref="I380">INDEX([22]Monitoring!$I$6:$I$582,MATCH(1,([22]Monitoring!$D$6:$D$582=$D380)*([22]Monitoring!$D$6:$D$582=$D380),0))</f>
        <v>435</v>
      </c>
      <c r="J380" s="9">
        <f t="array" ref="J380">IFERROR(I380/G380*100,0)</f>
        <v>10.695844602901401</v>
      </c>
      <c r="K380" s="143">
        <f t="array" ref="K380">INDEX([22]Monitoring!$J$6:$J$582,MATCH(1,([22]Monitoring!$D$6:$D$582=$D380)*([22]Monitoring!$D$6:$D$582=$D380),0))</f>
        <v>23</v>
      </c>
      <c r="L380" s="9">
        <f t="shared" si="6"/>
        <v>5.2873563218390807</v>
      </c>
      <c r="M380" s="8" t="str">
        <f t="array" ref="M380">IF(L380&gt;5,"Perlu Pengendalian",IF(AND(L380&gt;=0,I380&gt;0),"Tidak Perlu Pengendalian","Belum Sensus"))</f>
        <v>Perlu Pengendalian</v>
      </c>
    </row>
    <row r="381" spans="1:13" x14ac:dyDescent="0.15">
      <c r="A381" s="8" t="s">
        <v>322</v>
      </c>
      <c r="B381" s="8" t="s">
        <v>79</v>
      </c>
      <c r="C381" s="8" t="s">
        <v>380</v>
      </c>
      <c r="D381" s="8" t="s">
        <v>405</v>
      </c>
      <c r="E381" s="9">
        <v>22.62</v>
      </c>
      <c r="F381" s="8" t="s">
        <v>325</v>
      </c>
      <c r="G381" s="10">
        <v>3376</v>
      </c>
      <c r="H381" s="11">
        <f t="array" ref="H381">INDEX([22]Monitoring!$H$6:$H$582,MATCH(1,([22]Monitoring!$D$6:$D$582=$D381)*([22]Monitoring!$D$6:$D$582=$D381),0))</f>
        <v>46150</v>
      </c>
      <c r="I381" s="143">
        <f t="array" ref="I381">INDEX([22]Monitoring!$I$6:$I$582,MATCH(1,([22]Monitoring!$D$6:$D$582=$D381)*([22]Monitoring!$D$6:$D$582=$D381),0))</f>
        <v>327</v>
      </c>
      <c r="J381" s="9">
        <f t="array" ref="J381">IFERROR(I381/G381*100,0)</f>
        <v>9.6860189573459703</v>
      </c>
      <c r="K381" s="143">
        <f t="array" ref="K381">INDEX([22]Monitoring!$J$6:$J$582,MATCH(1,([22]Monitoring!$D$6:$D$582=$D381)*([22]Monitoring!$D$6:$D$582=$D381),0))</f>
        <v>23</v>
      </c>
      <c r="L381" s="9">
        <f t="shared" si="6"/>
        <v>7.0336391437308867</v>
      </c>
      <c r="M381" s="8" t="str">
        <f t="array" ref="M381">IF(L381&gt;5,"Perlu Pengendalian",IF(AND(L381&gt;=0,I381&gt;0),"Tidak Perlu Pengendalian","Belum Sensus"))</f>
        <v>Perlu Pengendalian</v>
      </c>
    </row>
    <row r="382" spans="1:13" x14ac:dyDescent="0.15">
      <c r="A382" s="8" t="s">
        <v>322</v>
      </c>
      <c r="B382" s="8" t="s">
        <v>79</v>
      </c>
      <c r="C382" s="8" t="s">
        <v>380</v>
      </c>
      <c r="D382" s="8" t="s">
        <v>406</v>
      </c>
      <c r="E382" s="9">
        <v>26.14</v>
      </c>
      <c r="F382" s="8" t="s">
        <v>325</v>
      </c>
      <c r="G382" s="10">
        <v>3826</v>
      </c>
      <c r="H382" s="11">
        <f t="array" ref="H382">INDEX([22]Monitoring!$H$6:$H$582,MATCH(1,([22]Monitoring!$D$6:$D$582=$D382)*([22]Monitoring!$D$6:$D$582=$D382),0))</f>
        <v>46150</v>
      </c>
      <c r="I382" s="143">
        <f t="array" ref="I382">INDEX([22]Monitoring!$I$6:$I$582,MATCH(1,([22]Monitoring!$D$6:$D$582=$D382)*([22]Monitoring!$D$6:$D$582=$D382),0))</f>
        <v>378</v>
      </c>
      <c r="J382" s="9">
        <f t="array" ref="J382">IFERROR(I382/G382*100,0)</f>
        <v>9.8797699947726088</v>
      </c>
      <c r="K382" s="143">
        <f t="array" ref="K382">INDEX([22]Monitoring!$J$6:$J$582,MATCH(1,([22]Monitoring!$D$6:$D$582=$D382)*([22]Monitoring!$D$6:$D$582=$D382),0))</f>
        <v>29</v>
      </c>
      <c r="L382" s="9">
        <f t="shared" si="6"/>
        <v>7.6719576719576716</v>
      </c>
      <c r="M382" s="8" t="str">
        <f t="array" ref="M382">IF(L382&gt;5,"Perlu Pengendalian",IF(AND(L382&gt;=0,I382&gt;0),"Tidak Perlu Pengendalian","Belum Sensus"))</f>
        <v>Perlu Pengendalian</v>
      </c>
    </row>
    <row r="383" spans="1:13" x14ac:dyDescent="0.15">
      <c r="A383" s="8" t="s">
        <v>322</v>
      </c>
      <c r="B383" s="8" t="s">
        <v>79</v>
      </c>
      <c r="C383" s="8" t="s">
        <v>380</v>
      </c>
      <c r="D383" s="8" t="s">
        <v>407</v>
      </c>
      <c r="E383" s="9">
        <v>21.32</v>
      </c>
      <c r="F383" s="8" t="s">
        <v>325</v>
      </c>
      <c r="G383" s="10">
        <v>3673</v>
      </c>
      <c r="H383" s="11">
        <f t="array" ref="H383">INDEX([22]Monitoring!$H$6:$H$582,MATCH(1,([22]Monitoring!$D$6:$D$582=$D383)*([22]Monitoring!$D$6:$D$582=$D383),0))</f>
        <v>46150</v>
      </c>
      <c r="I383" s="143">
        <f t="array" ref="I383">INDEX([22]Monitoring!$I$6:$I$582,MATCH(1,([22]Monitoring!$D$6:$D$582=$D383)*([22]Monitoring!$D$6:$D$582=$D383),0))</f>
        <v>367</v>
      </c>
      <c r="J383" s="9">
        <f t="array" ref="J383">IFERROR(I383/G383*100,0)</f>
        <v>9.9918322896814598</v>
      </c>
      <c r="K383" s="143">
        <f t="array" ref="K383">INDEX([22]Monitoring!$J$6:$J$582,MATCH(1,([22]Monitoring!$D$6:$D$582=$D383)*([22]Monitoring!$D$6:$D$582=$D383),0))</f>
        <v>69</v>
      </c>
      <c r="L383" s="9">
        <f t="shared" si="6"/>
        <v>18.801089918256132</v>
      </c>
      <c r="M383" s="8" t="str">
        <f t="array" ref="M383">IF(L383&gt;5,"Perlu Pengendalian",IF(AND(L383&gt;=0,I383&gt;0),"Tidak Perlu Pengendalian","Belum Sensus"))</f>
        <v>Perlu Pengendalian</v>
      </c>
    </row>
    <row r="384" spans="1:13" x14ac:dyDescent="0.15">
      <c r="A384" s="8" t="s">
        <v>322</v>
      </c>
      <c r="B384" s="8" t="s">
        <v>79</v>
      </c>
      <c r="C384" s="8" t="s">
        <v>380</v>
      </c>
      <c r="D384" s="8" t="s">
        <v>408</v>
      </c>
      <c r="E384" s="9">
        <v>25.85</v>
      </c>
      <c r="F384" s="8" t="s">
        <v>325</v>
      </c>
      <c r="G384" s="10">
        <v>3911</v>
      </c>
      <c r="H384" s="11">
        <f t="array" ref="H384">INDEX([22]Monitoring!$H$6:$H$582,MATCH(1,([22]Monitoring!$D$6:$D$582=$D384)*([22]Monitoring!$D$6:$D$582=$D384),0))</f>
        <v>46149</v>
      </c>
      <c r="I384" s="143">
        <f t="array" ref="I384">INDEX([22]Monitoring!$I$6:$I$582,MATCH(1,([22]Monitoring!$D$6:$D$582=$D384)*([22]Monitoring!$D$6:$D$582=$D384),0))</f>
        <v>419</v>
      </c>
      <c r="J384" s="9">
        <f t="array" ref="J384">IFERROR(I384/G384*100,0)</f>
        <v>10.713372538992585</v>
      </c>
      <c r="K384" s="143">
        <f t="array" ref="K384">INDEX([22]Monitoring!$J$6:$J$582,MATCH(1,([22]Monitoring!$D$6:$D$582=$D384)*([22]Monitoring!$D$6:$D$582=$D384),0))</f>
        <v>10</v>
      </c>
      <c r="L384" s="9">
        <f t="shared" si="6"/>
        <v>2.3866348448687349</v>
      </c>
      <c r="M384" s="8" t="str">
        <f t="array" ref="M384">IF(L384&gt;5,"Perlu Pengendalian",IF(AND(L384&gt;=0,I384&gt;0),"Tidak Perlu Pengendalian","Belum Sensus"))</f>
        <v>Tidak Perlu Pengendalian</v>
      </c>
    </row>
    <row r="385" spans="1:13" x14ac:dyDescent="0.15">
      <c r="A385" s="8" t="s">
        <v>322</v>
      </c>
      <c r="B385" s="8" t="s">
        <v>79</v>
      </c>
      <c r="C385" s="8" t="s">
        <v>380</v>
      </c>
      <c r="D385" s="8" t="s">
        <v>409</v>
      </c>
      <c r="E385" s="9">
        <v>26.86</v>
      </c>
      <c r="F385" s="8" t="s">
        <v>325</v>
      </c>
      <c r="G385" s="10">
        <v>3935</v>
      </c>
      <c r="H385" s="11">
        <f t="array" ref="H385">INDEX([22]Monitoring!$H$6:$H$582,MATCH(1,([22]Monitoring!$D$6:$D$582=$D385)*([22]Monitoring!$D$6:$D$582=$D385),0))</f>
        <v>46149</v>
      </c>
      <c r="I385" s="143">
        <f t="array" ref="I385">INDEX([22]Monitoring!$I$6:$I$582,MATCH(1,([22]Monitoring!$D$6:$D$582=$D385)*([22]Monitoring!$D$6:$D$582=$D385),0))</f>
        <v>415</v>
      </c>
      <c r="J385" s="9">
        <f t="array" ref="J385">IFERROR(I385/G385*100,0)</f>
        <v>10.546378653113088</v>
      </c>
      <c r="K385" s="143">
        <f t="array" ref="K385">INDEX([22]Monitoring!$J$6:$J$582,MATCH(1,([22]Monitoring!$D$6:$D$582=$D385)*([22]Monitoring!$D$6:$D$582=$D385),0))</f>
        <v>7</v>
      </c>
      <c r="L385" s="9">
        <f t="shared" si="6"/>
        <v>1.6867469879518073</v>
      </c>
      <c r="M385" s="8" t="str">
        <f t="array" ref="M385">IF(L385&gt;5,"Perlu Pengendalian",IF(AND(L385&gt;=0,I385&gt;0),"Tidak Perlu Pengendalian","Belum Sensus"))</f>
        <v>Tidak Perlu Pengendalian</v>
      </c>
    </row>
    <row r="386" spans="1:13" x14ac:dyDescent="0.15">
      <c r="A386" s="8" t="s">
        <v>322</v>
      </c>
      <c r="B386" s="8" t="s">
        <v>79</v>
      </c>
      <c r="C386" s="8" t="s">
        <v>380</v>
      </c>
      <c r="D386" s="8" t="s">
        <v>410</v>
      </c>
      <c r="E386" s="9">
        <v>22.49</v>
      </c>
      <c r="F386" s="8" t="s">
        <v>325</v>
      </c>
      <c r="G386" s="10">
        <v>3261</v>
      </c>
      <c r="H386" s="11">
        <f t="array" ref="H386">INDEX([22]Monitoring!$H$6:$H$582,MATCH(1,([22]Monitoring!$D$6:$D$582=$D386)*([22]Monitoring!$D$6:$D$582=$D386),0))</f>
        <v>46149</v>
      </c>
      <c r="I386" s="143">
        <f t="array" ref="I386">INDEX([22]Monitoring!$I$6:$I$582,MATCH(1,([22]Monitoring!$D$6:$D$582=$D386)*([22]Monitoring!$D$6:$D$582=$D386),0))</f>
        <v>308</v>
      </c>
      <c r="J386" s="9">
        <f t="array" ref="J386">IFERROR(I386/G386*100,0)</f>
        <v>9.4449555351119283</v>
      </c>
      <c r="K386" s="143">
        <f t="array" ref="K386">INDEX([22]Monitoring!$J$6:$J$582,MATCH(1,([22]Monitoring!$D$6:$D$582=$D386)*([22]Monitoring!$D$6:$D$582=$D386),0))</f>
        <v>23</v>
      </c>
      <c r="L386" s="9">
        <f t="shared" si="6"/>
        <v>7.4675324675324672</v>
      </c>
      <c r="M386" s="8" t="str">
        <f t="array" ref="M386">IF(L386&gt;5,"Perlu Pengendalian",IF(AND(L386&gt;=0,I386&gt;0),"Tidak Perlu Pengendalian","Belum Sensus"))</f>
        <v>Perlu Pengendalian</v>
      </c>
    </row>
    <row r="387" spans="1:13" x14ac:dyDescent="0.15">
      <c r="A387" s="8" t="s">
        <v>322</v>
      </c>
      <c r="B387" s="8" t="s">
        <v>79</v>
      </c>
      <c r="C387" s="8" t="s">
        <v>380</v>
      </c>
      <c r="D387" s="8" t="s">
        <v>411</v>
      </c>
      <c r="E387" s="9">
        <v>26.03</v>
      </c>
      <c r="F387" s="8" t="s">
        <v>325</v>
      </c>
      <c r="G387" s="10">
        <v>3652</v>
      </c>
      <c r="H387" s="11">
        <f t="array" ref="H387">INDEX([22]Monitoring!$H$6:$H$582,MATCH(1,([22]Monitoring!$D$6:$D$582=$D387)*([22]Monitoring!$D$6:$D$582=$D387),0))</f>
        <v>46149</v>
      </c>
      <c r="I387" s="143">
        <f t="array" ref="I387">INDEX([22]Monitoring!$I$6:$I$582,MATCH(1,([22]Monitoring!$D$6:$D$582=$D387)*([22]Monitoring!$D$6:$D$582=$D387),0))</f>
        <v>346</v>
      </c>
      <c r="J387" s="9">
        <f t="array" ref="J387">IFERROR(I387/G387*100,0)</f>
        <v>9.4742606790799559</v>
      </c>
      <c r="K387" s="143">
        <f t="array" ref="K387">INDEX([22]Monitoring!$J$6:$J$582,MATCH(1,([22]Monitoring!$D$6:$D$582=$D387)*([22]Monitoring!$D$6:$D$582=$D387),0))</f>
        <v>29</v>
      </c>
      <c r="L387" s="9">
        <f t="shared" si="6"/>
        <v>8.3815028901734099</v>
      </c>
      <c r="M387" s="8" t="str">
        <f t="array" ref="M387">IF(L387&gt;5,"Perlu Pengendalian",IF(AND(L387&gt;=0,I387&gt;0),"Tidak Perlu Pengendalian","Belum Sensus"))</f>
        <v>Perlu Pengendalian</v>
      </c>
    </row>
    <row r="388" spans="1:13" x14ac:dyDescent="0.15">
      <c r="A388" s="8" t="s">
        <v>322</v>
      </c>
      <c r="B388" s="8" t="s">
        <v>79</v>
      </c>
      <c r="C388" s="8" t="s">
        <v>380</v>
      </c>
      <c r="D388" s="8" t="s">
        <v>412</v>
      </c>
      <c r="E388" s="9">
        <v>21.37</v>
      </c>
      <c r="F388" s="8" t="s">
        <v>325</v>
      </c>
      <c r="G388" s="10">
        <v>3074</v>
      </c>
      <c r="H388" s="11">
        <f t="array" ref="H388">INDEX([22]Monitoring!$H$6:$H$582,MATCH(1,([22]Monitoring!$D$6:$D$582=$D388)*([22]Monitoring!$D$6:$D$582=$D388),0))</f>
        <v>46149</v>
      </c>
      <c r="I388" s="143">
        <f t="array" ref="I388">INDEX([22]Monitoring!$I$6:$I$582,MATCH(1,([22]Monitoring!$D$6:$D$582=$D388)*([22]Monitoring!$D$6:$D$582=$D388),0))</f>
        <v>347</v>
      </c>
      <c r="J388" s="9">
        <f t="array" ref="J388">IFERROR(I388/G388*100,0)</f>
        <v>11.288223812621991</v>
      </c>
      <c r="K388" s="143">
        <f t="array" ref="K388">INDEX([22]Monitoring!$J$6:$J$582,MATCH(1,([22]Monitoring!$D$6:$D$582=$D388)*([22]Monitoring!$D$6:$D$582=$D388),0))</f>
        <v>71</v>
      </c>
      <c r="L388" s="9">
        <f t="shared" si="6"/>
        <v>20.461095100864554</v>
      </c>
      <c r="M388" s="8" t="str">
        <f t="array" ref="M388">IF(L388&gt;5,"Perlu Pengendalian",IF(AND(L388&gt;=0,I388&gt;0),"Tidak Perlu Pengendalian","Belum Sensus"))</f>
        <v>Perlu Pengendalian</v>
      </c>
    </row>
    <row r="389" spans="1:13" x14ac:dyDescent="0.15">
      <c r="A389" s="8" t="s">
        <v>322</v>
      </c>
      <c r="B389" s="8" t="s">
        <v>79</v>
      </c>
      <c r="C389" s="8" t="s">
        <v>380</v>
      </c>
      <c r="D389" s="8" t="s">
        <v>413</v>
      </c>
      <c r="E389" s="9">
        <v>28.43</v>
      </c>
      <c r="F389" s="8" t="s">
        <v>325</v>
      </c>
      <c r="G389" s="10">
        <v>4061</v>
      </c>
      <c r="H389" s="11">
        <f t="array" ref="H389">INDEX([22]Monitoring!$H$6:$H$582,MATCH(1,([22]Monitoring!$D$6:$D$582=$D389)*([22]Monitoring!$D$6:$D$582=$D389),0))</f>
        <v>46148</v>
      </c>
      <c r="I389" s="143">
        <f t="array" ref="I389">INDEX([22]Monitoring!$I$6:$I$582,MATCH(1,([22]Monitoring!$D$6:$D$582=$D389)*([22]Monitoring!$D$6:$D$582=$D389),0))</f>
        <v>411</v>
      </c>
      <c r="J389" s="9">
        <f t="array" ref="J389">IFERROR(I389/G389*100,0)</f>
        <v>10.120659935976359</v>
      </c>
      <c r="K389" s="143">
        <f t="array" ref="K389">INDEX([22]Monitoring!$J$6:$J$582,MATCH(1,([22]Monitoring!$D$6:$D$582=$D389)*([22]Monitoring!$D$6:$D$582=$D389),0))</f>
        <v>11</v>
      </c>
      <c r="L389" s="9">
        <f t="shared" si="6"/>
        <v>2.6763990267639901</v>
      </c>
      <c r="M389" s="8" t="str">
        <f t="array" ref="M389">IF(L389&gt;5,"Perlu Pengendalian",IF(AND(L389&gt;=0,I389&gt;0),"Tidak Perlu Pengendalian","Belum Sensus"))</f>
        <v>Tidak Perlu Pengendalian</v>
      </c>
    </row>
    <row r="390" spans="1:13" x14ac:dyDescent="0.15">
      <c r="A390" s="8" t="s">
        <v>322</v>
      </c>
      <c r="B390" s="8" t="s">
        <v>79</v>
      </c>
      <c r="C390" s="8" t="s">
        <v>380</v>
      </c>
      <c r="D390" s="8" t="s">
        <v>414</v>
      </c>
      <c r="E390" s="9">
        <v>25.12</v>
      </c>
      <c r="F390" s="8" t="s">
        <v>325</v>
      </c>
      <c r="G390" s="10">
        <v>3501</v>
      </c>
      <c r="H390" s="11">
        <f t="array" ref="H390">INDEX([22]Monitoring!$H$6:$H$582,MATCH(1,([22]Monitoring!$D$6:$D$582=$D390)*([22]Monitoring!$D$6:$D$582=$D390),0))</f>
        <v>46148</v>
      </c>
      <c r="I390" s="143">
        <f t="array" ref="I390">INDEX([22]Monitoring!$I$6:$I$582,MATCH(1,([22]Monitoring!$D$6:$D$582=$D390)*([22]Monitoring!$D$6:$D$582=$D390),0))</f>
        <v>370</v>
      </c>
      <c r="J390" s="9">
        <f t="array" ref="J390">IFERROR(I390/G390*100,0)</f>
        <v>10.568409025992574</v>
      </c>
      <c r="K390" s="143">
        <f t="array" ref="K390">INDEX([22]Monitoring!$J$6:$J$582,MATCH(1,([22]Monitoring!$D$6:$D$582=$D390)*([22]Monitoring!$D$6:$D$582=$D390),0))</f>
        <v>14</v>
      </c>
      <c r="L390" s="9">
        <f t="shared" si="6"/>
        <v>3.7837837837837842</v>
      </c>
      <c r="M390" s="8" t="str">
        <f t="array" ref="M390">IF(L390&gt;5,"Perlu Pengendalian",IF(AND(L390&gt;=0,I390&gt;0),"Tidak Perlu Pengendalian","Belum Sensus"))</f>
        <v>Tidak Perlu Pengendalian</v>
      </c>
    </row>
    <row r="391" spans="1:13" x14ac:dyDescent="0.15">
      <c r="A391" s="8" t="s">
        <v>322</v>
      </c>
      <c r="B391" s="8" t="s">
        <v>79</v>
      </c>
      <c r="C391" s="8" t="s">
        <v>380</v>
      </c>
      <c r="D391" s="8" t="s">
        <v>415</v>
      </c>
      <c r="E391" s="9">
        <v>44.65</v>
      </c>
      <c r="F391" s="8" t="s">
        <v>325</v>
      </c>
      <c r="G391" s="10">
        <v>6443</v>
      </c>
      <c r="H391" s="11">
        <f t="array" ref="H391">INDEX([22]Monitoring!$H$6:$H$582,MATCH(1,([22]Monitoring!$D$6:$D$582=$D391)*([22]Monitoring!$D$6:$D$582=$D391),0))</f>
        <v>46148</v>
      </c>
      <c r="I391" s="143">
        <f t="array" ref="I391">INDEX([22]Monitoring!$I$6:$I$582,MATCH(1,([22]Monitoring!$D$6:$D$582=$D391)*([22]Monitoring!$D$6:$D$582=$D391),0))</f>
        <v>355</v>
      </c>
      <c r="J391" s="9">
        <f t="array" ref="J391">IFERROR(I391/G391*100,0)</f>
        <v>5.5098556573024986</v>
      </c>
      <c r="K391" s="143">
        <f t="array" ref="K391">INDEX([22]Monitoring!$J$6:$J$582,MATCH(1,([22]Monitoring!$D$6:$D$582=$D391)*([22]Monitoring!$D$6:$D$582=$D391),0))</f>
        <v>94</v>
      </c>
      <c r="L391" s="9">
        <f t="shared" si="6"/>
        <v>26.478873239436616</v>
      </c>
      <c r="M391" s="8" t="str">
        <f t="array" ref="M391">IF(L391&gt;5,"Perlu Pengendalian",IF(AND(L391&gt;=0,I391&gt;0),"Tidak Perlu Pengendalian","Belum Sensus"))</f>
        <v>Perlu Pengendalian</v>
      </c>
    </row>
    <row r="392" spans="1:13" x14ac:dyDescent="0.15">
      <c r="A392" s="8" t="s">
        <v>322</v>
      </c>
      <c r="B392" s="8" t="s">
        <v>79</v>
      </c>
      <c r="C392" s="8" t="s">
        <v>416</v>
      </c>
      <c r="D392" s="8" t="s">
        <v>417</v>
      </c>
      <c r="E392" s="9">
        <v>25.58</v>
      </c>
      <c r="F392" s="8" t="s">
        <v>16</v>
      </c>
      <c r="G392" s="10">
        <v>3795</v>
      </c>
      <c r="H392" s="11">
        <f t="array" ref="H392">INDEX([22]Monitoring!$H$6:$H$582,MATCH(1,([22]Monitoring!$D$6:$D$582=$D392)*([22]Monitoring!$D$6:$D$582=$D392),0))</f>
        <v>46157</v>
      </c>
      <c r="I392" s="143">
        <f t="array" ref="I392">INDEX([22]Monitoring!$I$6:$I$582,MATCH(1,([22]Monitoring!$D$6:$D$582=$D392)*([22]Monitoring!$D$6:$D$582=$D392),0))</f>
        <v>374</v>
      </c>
      <c r="J392" s="9">
        <f t="array" ref="J392">IFERROR(I392/G392*100,0)</f>
        <v>9.8550724637681171</v>
      </c>
      <c r="K392" s="143">
        <f t="array" ref="K392">INDEX([22]Monitoring!$J$6:$J$582,MATCH(1,([22]Monitoring!$D$6:$D$582=$D392)*([22]Monitoring!$D$6:$D$582=$D392),0))</f>
        <v>31</v>
      </c>
      <c r="L392" s="9">
        <f t="shared" si="6"/>
        <v>8.2887700534759361</v>
      </c>
      <c r="M392" s="8" t="str">
        <f t="array" ref="M392">IF(L392&gt;5,"Perlu Pengendalian",IF(AND(L392&gt;=0,I392&gt;0),"Tidak Perlu Pengendalian","Belum Sensus"))</f>
        <v>Perlu Pengendalian</v>
      </c>
    </row>
    <row r="393" spans="1:13" x14ac:dyDescent="0.15">
      <c r="A393" s="8" t="s">
        <v>322</v>
      </c>
      <c r="B393" s="8" t="s">
        <v>79</v>
      </c>
      <c r="C393" s="8" t="s">
        <v>416</v>
      </c>
      <c r="D393" s="8" t="s">
        <v>418</v>
      </c>
      <c r="E393" s="9">
        <v>22.53</v>
      </c>
      <c r="F393" s="8" t="s">
        <v>16</v>
      </c>
      <c r="G393" s="10">
        <v>3303</v>
      </c>
      <c r="H393" s="11">
        <f t="array" ref="H393">INDEX([22]Monitoring!$H$6:$H$582,MATCH(1,([22]Monitoring!$D$6:$D$582=$D393)*([22]Monitoring!$D$6:$D$582=$D393),0))</f>
        <v>46157</v>
      </c>
      <c r="I393" s="143">
        <f t="array" ref="I393">INDEX([22]Monitoring!$I$6:$I$582,MATCH(1,([22]Monitoring!$D$6:$D$582=$D393)*([22]Monitoring!$D$6:$D$582=$D393),0))</f>
        <v>311</v>
      </c>
      <c r="J393" s="9">
        <f t="array" ref="J393">IFERROR(I393/G393*100,0)</f>
        <v>9.4156827126854381</v>
      </c>
      <c r="K393" s="143">
        <f t="array" ref="K393">INDEX([22]Monitoring!$J$6:$J$582,MATCH(1,([22]Monitoring!$D$6:$D$582=$D393)*([22]Monitoring!$D$6:$D$582=$D393),0))</f>
        <v>29</v>
      </c>
      <c r="L393" s="9">
        <f t="shared" si="6"/>
        <v>9.32475884244373</v>
      </c>
      <c r="M393" s="8" t="str">
        <f t="array" ref="M393">IF(L393&gt;5,"Perlu Pengendalian",IF(AND(L393&gt;=0,I393&gt;0),"Tidak Perlu Pengendalian","Belum Sensus"))</f>
        <v>Perlu Pengendalian</v>
      </c>
    </row>
    <row r="394" spans="1:13" x14ac:dyDescent="0.15">
      <c r="A394" s="8" t="s">
        <v>322</v>
      </c>
      <c r="B394" s="8" t="s">
        <v>79</v>
      </c>
      <c r="C394" s="8" t="s">
        <v>416</v>
      </c>
      <c r="D394" s="8" t="s">
        <v>419</v>
      </c>
      <c r="E394" s="9">
        <v>27.69</v>
      </c>
      <c r="F394" s="8" t="s">
        <v>16</v>
      </c>
      <c r="G394" s="10">
        <v>4020</v>
      </c>
      <c r="H394" s="11">
        <f t="array" ref="H394">INDEX([22]Monitoring!$H$6:$H$582,MATCH(1,([22]Monitoring!$D$6:$D$582=$D394)*([22]Monitoring!$D$6:$D$582=$D394),0))</f>
        <v>46157</v>
      </c>
      <c r="I394" s="143">
        <f t="array" ref="I394">INDEX([22]Monitoring!$I$6:$I$582,MATCH(1,([22]Monitoring!$D$6:$D$582=$D394)*([22]Monitoring!$D$6:$D$582=$D394),0))</f>
        <v>390</v>
      </c>
      <c r="J394" s="9">
        <f t="array" ref="J394">IFERROR(I394/G394*100,0)</f>
        <v>9.7014925373134329</v>
      </c>
      <c r="K394" s="143">
        <f t="array" ref="K394">INDEX([22]Monitoring!$J$6:$J$582,MATCH(1,([22]Monitoring!$D$6:$D$582=$D394)*([22]Monitoring!$D$6:$D$582=$D394),0))</f>
        <v>37</v>
      </c>
      <c r="L394" s="9">
        <f t="shared" si="6"/>
        <v>9.4871794871794872</v>
      </c>
      <c r="M394" s="8" t="str">
        <f t="array" ref="M394">IF(L394&gt;5,"Perlu Pengendalian",IF(AND(L394&gt;=0,I394&gt;0),"Tidak Perlu Pengendalian","Belum Sensus"))</f>
        <v>Perlu Pengendalian</v>
      </c>
    </row>
    <row r="395" spans="1:13" x14ac:dyDescent="0.15">
      <c r="A395" s="8" t="s">
        <v>322</v>
      </c>
      <c r="B395" s="8" t="s">
        <v>79</v>
      </c>
      <c r="C395" s="8" t="s">
        <v>416</v>
      </c>
      <c r="D395" s="8" t="s">
        <v>420</v>
      </c>
      <c r="E395" s="9">
        <v>22</v>
      </c>
      <c r="F395" s="8" t="s">
        <v>16</v>
      </c>
      <c r="G395" s="10">
        <v>3302</v>
      </c>
      <c r="H395" s="11">
        <f t="array" ref="H395">INDEX([22]Monitoring!$H$6:$H$582,MATCH(1,([22]Monitoring!$D$6:$D$582=$D395)*([22]Monitoring!$D$6:$D$582=$D395),0))</f>
        <v>46157</v>
      </c>
      <c r="I395" s="143">
        <f t="array" ref="I395">INDEX([22]Monitoring!$I$6:$I$582,MATCH(1,([22]Monitoring!$D$6:$D$582=$D395)*([22]Monitoring!$D$6:$D$582=$D395),0))</f>
        <v>337</v>
      </c>
      <c r="J395" s="9">
        <f t="array" ref="J395">IFERROR(I395/G395*100,0)</f>
        <v>10.205935796486978</v>
      </c>
      <c r="K395" s="143">
        <f t="array" ref="K395">INDEX([22]Monitoring!$J$6:$J$582,MATCH(1,([22]Monitoring!$D$6:$D$582=$D395)*([22]Monitoring!$D$6:$D$582=$D395),0))</f>
        <v>13</v>
      </c>
      <c r="L395" s="9">
        <f t="shared" si="6"/>
        <v>3.857566765578635</v>
      </c>
      <c r="M395" s="8" t="str">
        <f t="array" ref="M395">IF(L395&gt;5,"Perlu Pengendalian",IF(AND(L395&gt;=0,I395&gt;0),"Tidak Perlu Pengendalian","Belum Sensus"))</f>
        <v>Tidak Perlu Pengendalian</v>
      </c>
    </row>
    <row r="396" spans="1:13" x14ac:dyDescent="0.15">
      <c r="A396" s="8" t="s">
        <v>322</v>
      </c>
      <c r="B396" s="8" t="s">
        <v>79</v>
      </c>
      <c r="C396" s="8" t="s">
        <v>416</v>
      </c>
      <c r="D396" s="8" t="s">
        <v>421</v>
      </c>
      <c r="E396" s="9">
        <v>25.26</v>
      </c>
      <c r="F396" s="8" t="s">
        <v>16</v>
      </c>
      <c r="G396" s="10">
        <v>3857</v>
      </c>
      <c r="H396" s="11">
        <f t="array" ref="H396">INDEX([22]Monitoring!$H$6:$H$582,MATCH(1,([22]Monitoring!$D$6:$D$582=$D396)*([22]Monitoring!$D$6:$D$582=$D396),0))</f>
        <v>46157</v>
      </c>
      <c r="I396" s="143">
        <f t="array" ref="I396">INDEX([22]Monitoring!$I$6:$I$582,MATCH(1,([22]Monitoring!$D$6:$D$582=$D396)*([22]Monitoring!$D$6:$D$582=$D396),0))</f>
        <v>366</v>
      </c>
      <c r="J396" s="9">
        <f t="array" ref="J396">IFERROR(I396/G396*100,0)</f>
        <v>9.489240342234897</v>
      </c>
      <c r="K396" s="143">
        <f t="array" ref="K396">INDEX([22]Monitoring!$J$6:$J$582,MATCH(1,([22]Monitoring!$D$6:$D$582=$D396)*([22]Monitoring!$D$6:$D$582=$D396),0))</f>
        <v>28</v>
      </c>
      <c r="L396" s="9">
        <f t="shared" si="6"/>
        <v>7.6502732240437163</v>
      </c>
      <c r="M396" s="8" t="str">
        <f t="array" ref="M396">IF(L396&gt;5,"Perlu Pengendalian",IF(AND(L396&gt;=0,I396&gt;0),"Tidak Perlu Pengendalian","Belum Sensus"))</f>
        <v>Perlu Pengendalian</v>
      </c>
    </row>
    <row r="397" spans="1:13" x14ac:dyDescent="0.15">
      <c r="A397" s="8" t="s">
        <v>322</v>
      </c>
      <c r="B397" s="8" t="s">
        <v>79</v>
      </c>
      <c r="C397" s="8" t="s">
        <v>416</v>
      </c>
      <c r="D397" s="8" t="s">
        <v>422</v>
      </c>
      <c r="E397" s="9">
        <v>25.77</v>
      </c>
      <c r="F397" s="8" t="s">
        <v>16</v>
      </c>
      <c r="G397" s="10">
        <v>3929</v>
      </c>
      <c r="H397" s="11">
        <f t="array" ref="H397">INDEX([22]Monitoring!$H$6:$H$582,MATCH(1,([22]Monitoring!$D$6:$D$582=$D397)*([22]Monitoring!$D$6:$D$582=$D397),0))</f>
        <v>46157</v>
      </c>
      <c r="I397" s="143">
        <f t="array" ref="I397">INDEX([22]Monitoring!$I$6:$I$582,MATCH(1,([22]Monitoring!$D$6:$D$582=$D397)*([22]Monitoring!$D$6:$D$582=$D397),0))</f>
        <v>391</v>
      </c>
      <c r="J397" s="9">
        <f t="array" ref="J397">IFERROR(I397/G397*100,0)</f>
        <v>9.951641639093916</v>
      </c>
      <c r="K397" s="143">
        <f t="array" ref="K397">INDEX([22]Monitoring!$J$6:$J$582,MATCH(1,([22]Monitoring!$D$6:$D$582=$D397)*([22]Monitoring!$D$6:$D$582=$D397),0))</f>
        <v>16</v>
      </c>
      <c r="L397" s="9">
        <f t="shared" si="6"/>
        <v>4.0920716112531972</v>
      </c>
      <c r="M397" s="8" t="str">
        <f t="array" ref="M397">IF(L397&gt;5,"Perlu Pengendalian",IF(AND(L397&gt;=0,I397&gt;0),"Tidak Perlu Pengendalian","Belum Sensus"))</f>
        <v>Tidak Perlu Pengendalian</v>
      </c>
    </row>
    <row r="398" spans="1:13" x14ac:dyDescent="0.15">
      <c r="A398" s="8" t="s">
        <v>322</v>
      </c>
      <c r="B398" s="8" t="s">
        <v>79</v>
      </c>
      <c r="C398" s="8" t="s">
        <v>416</v>
      </c>
      <c r="D398" s="8" t="s">
        <v>423</v>
      </c>
      <c r="E398" s="9">
        <v>22.25</v>
      </c>
      <c r="F398" s="8" t="s">
        <v>16</v>
      </c>
      <c r="G398" s="10">
        <v>3470</v>
      </c>
      <c r="H398" s="11">
        <f t="array" ref="H398">INDEX([22]Monitoring!$H$6:$H$582,MATCH(1,([22]Monitoring!$D$6:$D$582=$D398)*([22]Monitoring!$D$6:$D$582=$D398),0))</f>
        <v>46157</v>
      </c>
      <c r="I398" s="143">
        <f t="array" ref="I398">INDEX([22]Monitoring!$I$6:$I$582,MATCH(1,([22]Monitoring!$D$6:$D$582=$D398)*([22]Monitoring!$D$6:$D$582=$D398),0))</f>
        <v>307</v>
      </c>
      <c r="J398" s="9">
        <f t="array" ref="J398">IFERROR(I398/G398*100,0)</f>
        <v>8.847262247838616</v>
      </c>
      <c r="K398" s="143">
        <f t="array" ref="K398">INDEX([22]Monitoring!$J$6:$J$582,MATCH(1,([22]Monitoring!$D$6:$D$582=$D398)*([22]Monitoring!$D$6:$D$582=$D398),0))</f>
        <v>59</v>
      </c>
      <c r="L398" s="9">
        <f t="shared" si="6"/>
        <v>19.218241042345277</v>
      </c>
      <c r="M398" s="8" t="str">
        <f t="array" ref="M398">IF(L398&gt;5,"Perlu Pengendalian",IF(AND(L398&gt;=0,I398&gt;0),"Tidak Perlu Pengendalian","Belum Sensus"))</f>
        <v>Perlu Pengendalian</v>
      </c>
    </row>
    <row r="399" spans="1:13" x14ac:dyDescent="0.15">
      <c r="A399" s="8" t="s">
        <v>322</v>
      </c>
      <c r="B399" s="8" t="s">
        <v>79</v>
      </c>
      <c r="C399" s="8" t="s">
        <v>416</v>
      </c>
      <c r="D399" s="8" t="s">
        <v>424</v>
      </c>
      <c r="E399" s="9">
        <v>46.65</v>
      </c>
      <c r="F399" s="8" t="s">
        <v>16</v>
      </c>
      <c r="G399" s="10">
        <v>7043</v>
      </c>
      <c r="H399" s="11">
        <f t="array" ref="H399">INDEX([22]Monitoring!$H$6:$H$582,MATCH(1,([22]Monitoring!$D$6:$D$582=$D399)*([22]Monitoring!$D$6:$D$582=$D399),0))</f>
        <v>46157</v>
      </c>
      <c r="I399" s="143">
        <f t="array" ref="I399">INDEX([22]Monitoring!$I$6:$I$582,MATCH(1,([22]Monitoring!$D$6:$D$582=$D399)*([22]Monitoring!$D$6:$D$582=$D399),0))</f>
        <v>732</v>
      </c>
      <c r="J399" s="9">
        <f t="array" ref="J399">IFERROR(I399/G399*100,0)</f>
        <v>10.3932983103791</v>
      </c>
      <c r="K399" s="143">
        <f t="array" ref="K399">INDEX([22]Monitoring!$J$6:$J$582,MATCH(1,([22]Monitoring!$D$6:$D$582=$D399)*([22]Monitoring!$D$6:$D$582=$D399),0))</f>
        <v>101</v>
      </c>
      <c r="L399" s="9">
        <f t="shared" si="6"/>
        <v>13.797814207650273</v>
      </c>
      <c r="M399" s="8" t="str">
        <f t="array" ref="M399">IF(L399&gt;5,"Perlu Pengendalian",IF(AND(L399&gt;=0,I399&gt;0),"Tidak Perlu Pengendalian","Belum Sensus"))</f>
        <v>Perlu Pengendalian</v>
      </c>
    </row>
    <row r="400" spans="1:13" x14ac:dyDescent="0.15">
      <c r="A400" s="8" t="s">
        <v>322</v>
      </c>
      <c r="B400" s="8" t="s">
        <v>79</v>
      </c>
      <c r="C400" s="8" t="s">
        <v>416</v>
      </c>
      <c r="D400" s="8" t="s">
        <v>425</v>
      </c>
      <c r="E400" s="9">
        <v>28.34</v>
      </c>
      <c r="F400" s="8" t="s">
        <v>16</v>
      </c>
      <c r="G400" s="10">
        <v>4385</v>
      </c>
      <c r="H400" s="11">
        <f t="array" ref="H400">INDEX([22]Monitoring!$H$6:$H$582,MATCH(1,([22]Monitoring!$D$6:$D$582=$D400)*([22]Monitoring!$D$6:$D$582=$D400),0))</f>
        <v>46157</v>
      </c>
      <c r="I400" s="143">
        <f t="array" ref="I400">INDEX([22]Monitoring!$I$6:$I$582,MATCH(1,([22]Monitoring!$D$6:$D$582=$D400)*([22]Monitoring!$D$6:$D$582=$D400),0))</f>
        <v>448</v>
      </c>
      <c r="J400" s="9">
        <f t="array" ref="J400">IFERROR(I400/G400*100,0)</f>
        <v>10.216647662485746</v>
      </c>
      <c r="K400" s="143">
        <f t="array" ref="K400">INDEX([22]Monitoring!$J$6:$J$582,MATCH(1,([22]Monitoring!$D$6:$D$582=$D400)*([22]Monitoring!$D$6:$D$582=$D400),0))</f>
        <v>38</v>
      </c>
      <c r="L400" s="9">
        <f t="shared" si="6"/>
        <v>8.4821428571428577</v>
      </c>
      <c r="M400" s="8" t="str">
        <f t="array" ref="M400">IF(L400&gt;5,"Perlu Pengendalian",IF(AND(L400&gt;=0,I400&gt;0),"Tidak Perlu Pengendalian","Belum Sensus"))</f>
        <v>Perlu Pengendalian</v>
      </c>
    </row>
    <row r="401" spans="1:13" x14ac:dyDescent="0.15">
      <c r="A401" s="8" t="s">
        <v>322</v>
      </c>
      <c r="B401" s="8" t="s">
        <v>79</v>
      </c>
      <c r="C401" s="8" t="s">
        <v>416</v>
      </c>
      <c r="D401" s="8" t="s">
        <v>426</v>
      </c>
      <c r="E401" s="9">
        <v>25.4</v>
      </c>
      <c r="F401" s="8" t="s">
        <v>16</v>
      </c>
      <c r="G401" s="10">
        <v>3688</v>
      </c>
      <c r="H401" s="11">
        <f t="array" ref="H401">INDEX([22]Monitoring!$H$6:$H$582,MATCH(1,([22]Monitoring!$D$6:$D$582=$D401)*([22]Monitoring!$D$6:$D$582=$D401),0))</f>
        <v>46157</v>
      </c>
      <c r="I401" s="143">
        <f t="array" ref="I401">INDEX([22]Monitoring!$I$6:$I$582,MATCH(1,([22]Monitoring!$D$6:$D$582=$D401)*([22]Monitoring!$D$6:$D$582=$D401),0))</f>
        <v>410</v>
      </c>
      <c r="J401" s="9">
        <f t="array" ref="J401">IFERROR(I401/G401*100,0)</f>
        <v>11.117136659436008</v>
      </c>
      <c r="K401" s="143">
        <f t="array" ref="K401">INDEX([22]Monitoring!$J$6:$J$582,MATCH(1,([22]Monitoring!$D$6:$D$582=$D401)*([22]Monitoring!$D$6:$D$582=$D401),0))</f>
        <v>72</v>
      </c>
      <c r="L401" s="9">
        <f t="shared" si="6"/>
        <v>17.560975609756095</v>
      </c>
      <c r="M401" s="8" t="str">
        <f t="array" ref="M401">IF(L401&gt;5,"Perlu Pengendalian",IF(AND(L401&gt;=0,I401&gt;0),"Tidak Perlu Pengendalian","Belum Sensus"))</f>
        <v>Perlu Pengendalian</v>
      </c>
    </row>
    <row r="402" spans="1:13" x14ac:dyDescent="0.15">
      <c r="A402" s="8" t="s">
        <v>322</v>
      </c>
      <c r="B402" s="8" t="s">
        <v>79</v>
      </c>
      <c r="C402" s="8" t="s">
        <v>416</v>
      </c>
      <c r="D402" s="8" t="s">
        <v>427</v>
      </c>
      <c r="E402" s="9">
        <v>45.32</v>
      </c>
      <c r="F402" s="8" t="s">
        <v>16</v>
      </c>
      <c r="G402" s="10">
        <v>6999</v>
      </c>
      <c r="H402" s="11">
        <f t="array" ref="H402">INDEX([22]Monitoring!$H$6:$H$582,MATCH(1,([22]Monitoring!$D$6:$D$582=$D402)*([22]Monitoring!$D$6:$D$582=$D402),0))</f>
        <v>46157</v>
      </c>
      <c r="I402" s="143">
        <f t="array" ref="I402">INDEX([22]Monitoring!$I$6:$I$582,MATCH(1,([22]Monitoring!$D$6:$D$582=$D402)*([22]Monitoring!$D$6:$D$582=$D402),0))</f>
        <v>710</v>
      </c>
      <c r="J402" s="9">
        <f t="array" ref="J402">IFERROR(I402/G402*100,0)</f>
        <v>10.14430632947564</v>
      </c>
      <c r="K402" s="143">
        <f t="array" ref="K402">INDEX([22]Monitoring!$J$6:$J$582,MATCH(1,([22]Monitoring!$D$6:$D$582=$D402)*([22]Monitoring!$D$6:$D$582=$D402),0))</f>
        <v>114</v>
      </c>
      <c r="L402" s="9">
        <f t="shared" si="6"/>
        <v>16.056338028169016</v>
      </c>
      <c r="M402" s="8" t="str">
        <f t="array" ref="M402">IF(L402&gt;5,"Perlu Pengendalian",IF(AND(L402&gt;=0,I402&gt;0),"Tidak Perlu Pengendalian","Belum Sensus"))</f>
        <v>Perlu Pengendalian</v>
      </c>
    </row>
    <row r="403" spans="1:13" x14ac:dyDescent="0.15">
      <c r="A403" s="8" t="s">
        <v>322</v>
      </c>
      <c r="B403" s="8" t="s">
        <v>79</v>
      </c>
      <c r="C403" s="8" t="s">
        <v>416</v>
      </c>
      <c r="D403" s="8" t="s">
        <v>428</v>
      </c>
      <c r="E403" s="9">
        <v>24.08</v>
      </c>
      <c r="F403" s="8" t="s">
        <v>132</v>
      </c>
      <c r="G403" s="10">
        <v>3485</v>
      </c>
      <c r="H403" s="11">
        <f t="array" ref="H403">INDEX([22]Monitoring!$H$6:$H$582,MATCH(1,([22]Monitoring!$D$6:$D$582=$D403)*([22]Monitoring!$D$6:$D$582=$D403),0))</f>
        <v>46155</v>
      </c>
      <c r="I403" s="143">
        <f t="array" ref="I403">INDEX([22]Monitoring!$I$6:$I$582,MATCH(1,([22]Monitoring!$D$6:$D$582=$D403)*([22]Monitoring!$D$6:$D$582=$D403),0))</f>
        <v>346</v>
      </c>
      <c r="J403" s="9">
        <f t="array" ref="J403">IFERROR(I403/G403*100,0)</f>
        <v>9.9282639885222395</v>
      </c>
      <c r="K403" s="143">
        <f t="array" ref="K403">INDEX([22]Monitoring!$J$6:$J$582,MATCH(1,([22]Monitoring!$D$6:$D$582=$D403)*([22]Monitoring!$D$6:$D$582=$D403),0))</f>
        <v>36</v>
      </c>
      <c r="L403" s="9">
        <f t="shared" si="6"/>
        <v>10.404624277456648</v>
      </c>
      <c r="M403" s="8" t="str">
        <f t="array" ref="M403">IF(L403&gt;5,"Perlu Pengendalian",IF(AND(L403&gt;=0,I403&gt;0),"Tidak Perlu Pengendalian","Belum Sensus"))</f>
        <v>Perlu Pengendalian</v>
      </c>
    </row>
    <row r="404" spans="1:13" x14ac:dyDescent="0.15">
      <c r="A404" s="8" t="s">
        <v>322</v>
      </c>
      <c r="B404" s="8" t="s">
        <v>79</v>
      </c>
      <c r="C404" s="8" t="s">
        <v>416</v>
      </c>
      <c r="D404" s="8" t="s">
        <v>429</v>
      </c>
      <c r="E404" s="9">
        <v>23.98</v>
      </c>
      <c r="F404" s="8" t="s">
        <v>132</v>
      </c>
      <c r="G404" s="10">
        <v>3520</v>
      </c>
      <c r="H404" s="11">
        <f t="array" ref="H404">INDEX([22]Monitoring!$H$6:$H$582,MATCH(1,([22]Monitoring!$D$6:$D$582=$D404)*([22]Monitoring!$D$6:$D$582=$D404),0))</f>
        <v>46154</v>
      </c>
      <c r="I404" s="143">
        <f t="array" ref="I404">INDEX([22]Monitoring!$I$6:$I$582,MATCH(1,([22]Monitoring!$D$6:$D$582=$D404)*([22]Monitoring!$D$6:$D$582=$D404),0))</f>
        <v>369</v>
      </c>
      <c r="J404" s="9">
        <f t="array" ref="J404">IFERROR(I404/G404*100,0)</f>
        <v>10.482954545454545</v>
      </c>
      <c r="K404" s="143">
        <f t="array" ref="K404">INDEX([22]Monitoring!$J$6:$J$582,MATCH(1,([22]Monitoring!$D$6:$D$582=$D404)*([22]Monitoring!$D$6:$D$582=$D404),0))</f>
        <v>47</v>
      </c>
      <c r="L404" s="9">
        <f t="shared" ref="L404:L467" si="7">IFERROR(K404/I404*100,0)</f>
        <v>12.737127371273713</v>
      </c>
      <c r="M404" s="8" t="str">
        <f t="array" ref="M404">IF(L404&gt;5,"Perlu Pengendalian",IF(AND(L404&gt;=0,I404&gt;0),"Tidak Perlu Pengendalian","Belum Sensus"))</f>
        <v>Perlu Pengendalian</v>
      </c>
    </row>
    <row r="405" spans="1:13" x14ac:dyDescent="0.15">
      <c r="A405" s="8" t="s">
        <v>322</v>
      </c>
      <c r="B405" s="8" t="s">
        <v>79</v>
      </c>
      <c r="C405" s="8" t="s">
        <v>416</v>
      </c>
      <c r="D405" s="8" t="s">
        <v>430</v>
      </c>
      <c r="E405" s="9">
        <v>25.79</v>
      </c>
      <c r="F405" s="8" t="s">
        <v>132</v>
      </c>
      <c r="G405" s="10">
        <v>3917</v>
      </c>
      <c r="H405" s="11">
        <f t="array" ref="H405">INDEX([22]Monitoring!$H$6:$H$582,MATCH(1,([22]Monitoring!$D$6:$D$582=$D405)*([22]Monitoring!$D$6:$D$582=$D405),0))</f>
        <v>46154</v>
      </c>
      <c r="I405" s="143">
        <f t="array" ref="I405">INDEX([22]Monitoring!$I$6:$I$582,MATCH(1,([22]Monitoring!$D$6:$D$582=$D405)*([22]Monitoring!$D$6:$D$582=$D405),0))</f>
        <v>360</v>
      </c>
      <c r="J405" s="9">
        <f t="array" ref="J405">IFERROR(I405/G405*100,0)</f>
        <v>9.190707173857545</v>
      </c>
      <c r="K405" s="143">
        <f t="array" ref="K405">INDEX([22]Monitoring!$J$6:$J$582,MATCH(1,([22]Monitoring!$D$6:$D$582=$D405)*([22]Monitoring!$D$6:$D$582=$D405),0))</f>
        <v>43</v>
      </c>
      <c r="L405" s="9">
        <f t="shared" si="7"/>
        <v>11.944444444444445</v>
      </c>
      <c r="M405" s="8" t="str">
        <f t="array" ref="M405">IF(L405&gt;5,"Perlu Pengendalian",IF(AND(L405&gt;=0,I405&gt;0),"Tidak Perlu Pengendalian","Belum Sensus"))</f>
        <v>Perlu Pengendalian</v>
      </c>
    </row>
    <row r="406" spans="1:13" x14ac:dyDescent="0.15">
      <c r="A406" s="8" t="s">
        <v>322</v>
      </c>
      <c r="B406" s="8" t="s">
        <v>79</v>
      </c>
      <c r="C406" s="8" t="s">
        <v>416</v>
      </c>
      <c r="D406" s="8" t="s">
        <v>431</v>
      </c>
      <c r="E406" s="9">
        <v>23.94</v>
      </c>
      <c r="F406" s="8" t="s">
        <v>132</v>
      </c>
      <c r="G406" s="10">
        <v>3619</v>
      </c>
      <c r="H406" s="11">
        <f t="array" ref="H406">INDEX([22]Monitoring!$H$6:$H$582,MATCH(1,([22]Monitoring!$D$6:$D$582=$D406)*([22]Monitoring!$D$6:$D$582=$D406),0))</f>
        <v>46154</v>
      </c>
      <c r="I406" s="143">
        <f t="array" ref="I406">INDEX([22]Monitoring!$I$6:$I$582,MATCH(1,([22]Monitoring!$D$6:$D$582=$D406)*([22]Monitoring!$D$6:$D$582=$D406),0))</f>
        <v>322</v>
      </c>
      <c r="J406" s="9">
        <f t="array" ref="J406">IFERROR(I406/G406*100,0)</f>
        <v>8.8974854932301746</v>
      </c>
      <c r="K406" s="143">
        <f t="array" ref="K406">INDEX([22]Monitoring!$J$6:$J$582,MATCH(1,([22]Monitoring!$D$6:$D$582=$D406)*([22]Monitoring!$D$6:$D$582=$D406),0))</f>
        <v>49</v>
      </c>
      <c r="L406" s="9">
        <f t="shared" si="7"/>
        <v>15.217391304347828</v>
      </c>
      <c r="M406" s="8" t="str">
        <f t="array" ref="M406">IF(L406&gt;5,"Perlu Pengendalian",IF(AND(L406&gt;=0,I406&gt;0),"Tidak Perlu Pengendalian","Belum Sensus"))</f>
        <v>Perlu Pengendalian</v>
      </c>
    </row>
    <row r="407" spans="1:13" x14ac:dyDescent="0.15">
      <c r="A407" s="8" t="s">
        <v>322</v>
      </c>
      <c r="B407" s="8" t="s">
        <v>79</v>
      </c>
      <c r="C407" s="8" t="s">
        <v>416</v>
      </c>
      <c r="D407" s="8" t="s">
        <v>432</v>
      </c>
      <c r="E407" s="9">
        <v>25.09</v>
      </c>
      <c r="F407" s="8" t="s">
        <v>132</v>
      </c>
      <c r="G407" s="10">
        <v>3705</v>
      </c>
      <c r="H407" s="11">
        <f t="array" ref="H407">INDEX([22]Monitoring!$H$6:$H$582,MATCH(1,([22]Monitoring!$D$6:$D$582=$D407)*([22]Monitoring!$D$6:$D$582=$D407),0))</f>
        <v>46157</v>
      </c>
      <c r="I407" s="143">
        <f t="array" ref="I407">INDEX([22]Monitoring!$I$6:$I$582,MATCH(1,([22]Monitoring!$D$6:$D$582=$D407)*([22]Monitoring!$D$6:$D$582=$D407),0))</f>
        <v>352</v>
      </c>
      <c r="J407" s="9">
        <f t="array" ref="J407">IFERROR(I407/G407*100,0)</f>
        <v>9.5006747638326594</v>
      </c>
      <c r="K407" s="143">
        <f t="array" ref="K407">INDEX([22]Monitoring!$J$6:$J$582,MATCH(1,([22]Monitoring!$D$6:$D$582=$D407)*([22]Monitoring!$D$6:$D$582=$D407),0))</f>
        <v>28</v>
      </c>
      <c r="L407" s="9">
        <f t="shared" si="7"/>
        <v>7.9545454545454541</v>
      </c>
      <c r="M407" s="8" t="str">
        <f t="array" ref="M407">IF(L407&gt;5,"Perlu Pengendalian",IF(AND(L407&gt;=0,I407&gt;0),"Tidak Perlu Pengendalian","Belum Sensus"))</f>
        <v>Perlu Pengendalian</v>
      </c>
    </row>
    <row r="408" spans="1:13" x14ac:dyDescent="0.15">
      <c r="A408" s="8" t="s">
        <v>322</v>
      </c>
      <c r="B408" s="8" t="s">
        <v>79</v>
      </c>
      <c r="C408" s="8" t="s">
        <v>416</v>
      </c>
      <c r="D408" s="8" t="s">
        <v>433</v>
      </c>
      <c r="E408" s="9">
        <v>25.84</v>
      </c>
      <c r="F408" s="8" t="s">
        <v>132</v>
      </c>
      <c r="G408" s="10">
        <v>3886</v>
      </c>
      <c r="H408" s="11">
        <f t="array" ref="H408">INDEX([22]Monitoring!$H$6:$H$582,MATCH(1,([22]Monitoring!$D$6:$D$582=$D408)*([22]Monitoring!$D$6:$D$582=$D408),0))</f>
        <v>46155</v>
      </c>
      <c r="I408" s="143">
        <f t="array" ref="I408">INDEX([22]Monitoring!$I$6:$I$582,MATCH(1,([22]Monitoring!$D$6:$D$582=$D408)*([22]Monitoring!$D$6:$D$582=$D408),0))</f>
        <v>334</v>
      </c>
      <c r="J408" s="9">
        <f t="array" ref="J408">IFERROR(I408/G408*100,0)</f>
        <v>8.5949562532166741</v>
      </c>
      <c r="K408" s="143">
        <f t="array" ref="K408">INDEX([22]Monitoring!$J$6:$J$582,MATCH(1,([22]Monitoring!$D$6:$D$582=$D408)*([22]Monitoring!$D$6:$D$582=$D408),0))</f>
        <v>34</v>
      </c>
      <c r="L408" s="9">
        <f t="shared" si="7"/>
        <v>10.179640718562874</v>
      </c>
      <c r="M408" s="8" t="str">
        <f t="array" ref="M408">IF(L408&gt;5,"Perlu Pengendalian",IF(AND(L408&gt;=0,I408&gt;0),"Tidak Perlu Pengendalian","Belum Sensus"))</f>
        <v>Perlu Pengendalian</v>
      </c>
    </row>
    <row r="409" spans="1:13" x14ac:dyDescent="0.15">
      <c r="A409" s="8" t="s">
        <v>322</v>
      </c>
      <c r="B409" s="8" t="s">
        <v>79</v>
      </c>
      <c r="C409" s="8" t="s">
        <v>416</v>
      </c>
      <c r="D409" s="8" t="s">
        <v>434</v>
      </c>
      <c r="E409" s="9">
        <v>24.06</v>
      </c>
      <c r="F409" s="8" t="s">
        <v>132</v>
      </c>
      <c r="G409" s="10">
        <v>3533</v>
      </c>
      <c r="H409" s="11">
        <f t="array" ref="H409">INDEX([22]Monitoring!$H$6:$H$582,MATCH(1,([22]Monitoring!$D$6:$D$582=$D409)*([22]Monitoring!$D$6:$D$582=$D409),0))</f>
        <v>46155</v>
      </c>
      <c r="I409" s="143">
        <f t="array" ref="I409">INDEX([22]Monitoring!$I$6:$I$582,MATCH(1,([22]Monitoring!$D$6:$D$582=$D409)*([22]Monitoring!$D$6:$D$582=$D409),0))</f>
        <v>376</v>
      </c>
      <c r="J409" s="9">
        <f t="array" ref="J409">IFERROR(I409/G409*100,0)</f>
        <v>10.642513444664591</v>
      </c>
      <c r="K409" s="143">
        <f t="array" ref="K409">INDEX([22]Monitoring!$J$6:$J$582,MATCH(1,([22]Monitoring!$D$6:$D$582=$D409)*([22]Monitoring!$D$6:$D$582=$D409),0))</f>
        <v>37</v>
      </c>
      <c r="L409" s="9">
        <f t="shared" si="7"/>
        <v>9.8404255319148941</v>
      </c>
      <c r="M409" s="8" t="str">
        <f t="array" ref="M409">IF(L409&gt;5,"Perlu Pengendalian",IF(AND(L409&gt;=0,I409&gt;0),"Tidak Perlu Pengendalian","Belum Sensus"))</f>
        <v>Perlu Pengendalian</v>
      </c>
    </row>
    <row r="410" spans="1:13" x14ac:dyDescent="0.15">
      <c r="A410" s="8" t="s">
        <v>322</v>
      </c>
      <c r="B410" s="8" t="s">
        <v>79</v>
      </c>
      <c r="C410" s="8" t="s">
        <v>416</v>
      </c>
      <c r="D410" s="8" t="s">
        <v>435</v>
      </c>
      <c r="E410" s="9">
        <v>25.22</v>
      </c>
      <c r="F410" s="8" t="s">
        <v>132</v>
      </c>
      <c r="G410" s="10">
        <v>3718</v>
      </c>
      <c r="H410" s="11">
        <f t="array" ref="H410">INDEX([22]Monitoring!$H$6:$H$582,MATCH(1,([22]Monitoring!$D$6:$D$582=$D410)*([22]Monitoring!$D$6:$D$582=$D410),0))</f>
        <v>46155</v>
      </c>
      <c r="I410" s="143">
        <f t="array" ref="I410">INDEX([22]Monitoring!$I$6:$I$582,MATCH(1,([22]Monitoring!$D$6:$D$582=$D410)*([22]Monitoring!$D$6:$D$582=$D410),0))</f>
        <v>391</v>
      </c>
      <c r="J410" s="9">
        <f t="array" ref="J410">IFERROR(I410/G410*100,0)</f>
        <v>10.516406670252824</v>
      </c>
      <c r="K410" s="143">
        <f t="array" ref="K410">INDEX([22]Monitoring!$J$6:$J$582,MATCH(1,([22]Monitoring!$D$6:$D$582=$D410)*([22]Monitoring!$D$6:$D$582=$D410),0))</f>
        <v>38</v>
      </c>
      <c r="L410" s="9">
        <f t="shared" si="7"/>
        <v>9.7186700767263421</v>
      </c>
      <c r="M410" s="8" t="str">
        <f t="array" ref="M410">IF(L410&gt;5,"Perlu Pengendalian",IF(AND(L410&gt;=0,I410&gt;0),"Tidak Perlu Pengendalian","Belum Sensus"))</f>
        <v>Perlu Pengendalian</v>
      </c>
    </row>
    <row r="411" spans="1:13" x14ac:dyDescent="0.15">
      <c r="A411" s="8" t="s">
        <v>322</v>
      </c>
      <c r="B411" s="8" t="s">
        <v>79</v>
      </c>
      <c r="C411" s="8" t="s">
        <v>416</v>
      </c>
      <c r="D411" s="8" t="s">
        <v>436</v>
      </c>
      <c r="E411" s="9">
        <v>23.41</v>
      </c>
      <c r="F411" s="8" t="s">
        <v>132</v>
      </c>
      <c r="G411" s="10">
        <v>3428</v>
      </c>
      <c r="H411" s="11">
        <f t="array" ref="H411">INDEX([22]Monitoring!$H$6:$H$582,MATCH(1,([22]Monitoring!$D$6:$D$582=$D411)*([22]Monitoring!$D$6:$D$582=$D411),0))</f>
        <v>46155</v>
      </c>
      <c r="I411" s="143">
        <f t="array" ref="I411">INDEX([22]Monitoring!$I$6:$I$582,MATCH(1,([22]Monitoring!$D$6:$D$582=$D411)*([22]Monitoring!$D$6:$D$582=$D411),0))</f>
        <v>360</v>
      </c>
      <c r="J411" s="9">
        <f t="array" ref="J411">IFERROR(I411/G411*100,0)</f>
        <v>10.501750291715286</v>
      </c>
      <c r="K411" s="143">
        <f t="array" ref="K411">INDEX([22]Monitoring!$J$6:$J$582,MATCH(1,([22]Monitoring!$D$6:$D$582=$D411)*([22]Monitoring!$D$6:$D$582=$D411),0))</f>
        <v>23</v>
      </c>
      <c r="L411" s="9">
        <f t="shared" si="7"/>
        <v>6.3888888888888884</v>
      </c>
      <c r="M411" s="8" t="str">
        <f t="array" ref="M411">IF(L411&gt;5,"Perlu Pengendalian",IF(AND(L411&gt;=0,I411&gt;0),"Tidak Perlu Pengendalian","Belum Sensus"))</f>
        <v>Perlu Pengendalian</v>
      </c>
    </row>
    <row r="412" spans="1:13" x14ac:dyDescent="0.15">
      <c r="A412" s="8" t="s">
        <v>322</v>
      </c>
      <c r="B412" s="8" t="s">
        <v>79</v>
      </c>
      <c r="C412" s="8" t="s">
        <v>416</v>
      </c>
      <c r="D412" s="8" t="s">
        <v>437</v>
      </c>
      <c r="E412" s="9">
        <v>26.86</v>
      </c>
      <c r="F412" s="8" t="s">
        <v>132</v>
      </c>
      <c r="G412" s="10">
        <v>3830</v>
      </c>
      <c r="H412" s="11">
        <f t="array" ref="H412">INDEX([22]Monitoring!$H$6:$H$582,MATCH(1,([22]Monitoring!$D$6:$D$582=$D412)*([22]Monitoring!$D$6:$D$582=$D412),0))</f>
        <v>46155</v>
      </c>
      <c r="I412" s="143">
        <f t="array" ref="I412">INDEX([22]Monitoring!$I$6:$I$582,MATCH(1,([22]Monitoring!$D$6:$D$582=$D412)*([22]Monitoring!$D$6:$D$582=$D412),0))</f>
        <v>375</v>
      </c>
      <c r="J412" s="9">
        <f t="array" ref="J412">IFERROR(I412/G412*100,0)</f>
        <v>9.7911227154047005</v>
      </c>
      <c r="K412" s="143">
        <f t="array" ref="K412">INDEX([22]Monitoring!$J$6:$J$582,MATCH(1,([22]Monitoring!$D$6:$D$582=$D412)*([22]Monitoring!$D$6:$D$582=$D412),0))</f>
        <v>49</v>
      </c>
      <c r="L412" s="9">
        <f t="shared" si="7"/>
        <v>13.066666666666665</v>
      </c>
      <c r="M412" s="8" t="str">
        <f t="array" ref="M412">IF(L412&gt;5,"Perlu Pengendalian",IF(AND(L412&gt;=0,I412&gt;0),"Tidak Perlu Pengendalian","Belum Sensus"))</f>
        <v>Perlu Pengendalian</v>
      </c>
    </row>
    <row r="413" spans="1:13" x14ac:dyDescent="0.15">
      <c r="A413" s="8" t="s">
        <v>322</v>
      </c>
      <c r="B413" s="8" t="s">
        <v>79</v>
      </c>
      <c r="C413" s="8" t="s">
        <v>416</v>
      </c>
      <c r="D413" s="8" t="s">
        <v>438</v>
      </c>
      <c r="E413" s="9">
        <v>25.23</v>
      </c>
      <c r="F413" s="8" t="s">
        <v>132</v>
      </c>
      <c r="G413" s="10">
        <v>3399</v>
      </c>
      <c r="H413" s="11">
        <f t="array" ref="H413">INDEX([22]Monitoring!$H$6:$H$582,MATCH(1,([22]Monitoring!$D$6:$D$582=$D413)*([22]Monitoring!$D$6:$D$582=$D413),0))</f>
        <v>46155</v>
      </c>
      <c r="I413" s="143">
        <f t="array" ref="I413">INDEX([22]Monitoring!$I$6:$I$582,MATCH(1,([22]Monitoring!$D$6:$D$582=$D413)*([22]Monitoring!$D$6:$D$582=$D413),0))</f>
        <v>362</v>
      </c>
      <c r="J413" s="9">
        <f t="array" ref="J413">IFERROR(I413/G413*100,0)</f>
        <v>10.650191232715505</v>
      </c>
      <c r="K413" s="143">
        <f t="array" ref="K413">INDEX([22]Monitoring!$J$6:$J$582,MATCH(1,([22]Monitoring!$D$6:$D$582=$D413)*([22]Monitoring!$D$6:$D$582=$D413),0))</f>
        <v>44</v>
      </c>
      <c r="L413" s="9">
        <f t="shared" si="7"/>
        <v>12.154696132596685</v>
      </c>
      <c r="M413" s="8" t="str">
        <f t="array" ref="M413">IF(L413&gt;5,"Perlu Pengendalian",IF(AND(L413&gt;=0,I413&gt;0),"Tidak Perlu Pengendalian","Belum Sensus"))</f>
        <v>Perlu Pengendalian</v>
      </c>
    </row>
    <row r="414" spans="1:13" x14ac:dyDescent="0.15">
      <c r="A414" s="8" t="s">
        <v>322</v>
      </c>
      <c r="B414" s="8" t="s">
        <v>79</v>
      </c>
      <c r="C414" s="8" t="s">
        <v>416</v>
      </c>
      <c r="D414" s="8" t="s">
        <v>439</v>
      </c>
      <c r="E414" s="9">
        <v>31.02</v>
      </c>
      <c r="F414" s="8" t="s">
        <v>132</v>
      </c>
      <c r="G414" s="10">
        <v>4665</v>
      </c>
      <c r="H414" s="11">
        <f t="array" ref="H414">INDEX([22]Monitoring!$H$6:$H$582,MATCH(1,([22]Monitoring!$D$6:$D$582=$D414)*([22]Monitoring!$D$6:$D$582=$D414),0))</f>
        <v>46155</v>
      </c>
      <c r="I414" s="143">
        <f t="array" ref="I414">INDEX([22]Monitoring!$I$6:$I$582,MATCH(1,([22]Monitoring!$D$6:$D$582=$D414)*([22]Monitoring!$D$6:$D$582=$D414),0))</f>
        <v>361</v>
      </c>
      <c r="J414" s="9">
        <f t="array" ref="J414">IFERROR(I414/G414*100,0)</f>
        <v>7.738478027867095</v>
      </c>
      <c r="K414" s="143">
        <f t="array" ref="K414">INDEX([22]Monitoring!$J$6:$J$582,MATCH(1,([22]Monitoring!$D$6:$D$582=$D414)*([22]Monitoring!$D$6:$D$582=$D414),0))</f>
        <v>50</v>
      </c>
      <c r="L414" s="9">
        <f t="shared" si="7"/>
        <v>13.850415512465375</v>
      </c>
      <c r="M414" s="8" t="str">
        <f t="array" ref="M414">IF(L414&gt;5,"Perlu Pengendalian",IF(AND(L414&gt;=0,I414&gt;0),"Tidak Perlu Pengendalian","Belum Sensus"))</f>
        <v>Perlu Pengendalian</v>
      </c>
    </row>
    <row r="415" spans="1:13" x14ac:dyDescent="0.15">
      <c r="A415" s="8" t="s">
        <v>322</v>
      </c>
      <c r="B415" s="8" t="s">
        <v>79</v>
      </c>
      <c r="C415" s="8" t="s">
        <v>416</v>
      </c>
      <c r="D415" s="8" t="s">
        <v>440</v>
      </c>
      <c r="E415" s="9">
        <v>26.28</v>
      </c>
      <c r="F415" s="8" t="s">
        <v>132</v>
      </c>
      <c r="G415" s="10">
        <v>3947</v>
      </c>
      <c r="H415" s="11">
        <f t="array" ref="H415">INDEX([22]Monitoring!$H$6:$H$582,MATCH(1,([22]Monitoring!$D$6:$D$582=$D415)*([22]Monitoring!$D$6:$D$582=$D415),0))</f>
        <v>46154</v>
      </c>
      <c r="I415" s="143">
        <f t="array" ref="I415">INDEX([22]Monitoring!$I$6:$I$582,MATCH(1,([22]Monitoring!$D$6:$D$582=$D415)*([22]Monitoring!$D$6:$D$582=$D415),0))</f>
        <v>387</v>
      </c>
      <c r="J415" s="9">
        <f t="array" ref="J415">IFERROR(I415/G415*100,0)</f>
        <v>9.8049151254117053</v>
      </c>
      <c r="K415" s="143">
        <f t="array" ref="K415">INDEX([22]Monitoring!$J$6:$J$582,MATCH(1,([22]Monitoring!$D$6:$D$582=$D415)*([22]Monitoring!$D$6:$D$582=$D415),0))</f>
        <v>62</v>
      </c>
      <c r="L415" s="9">
        <f t="shared" si="7"/>
        <v>16.020671834625322</v>
      </c>
      <c r="M415" s="8" t="str">
        <f t="array" ref="M415">IF(L415&gt;5,"Perlu Pengendalian",IF(AND(L415&gt;=0,I415&gt;0),"Tidak Perlu Pengendalian","Belum Sensus"))</f>
        <v>Perlu Pengendalian</v>
      </c>
    </row>
    <row r="416" spans="1:13" x14ac:dyDescent="0.15">
      <c r="A416" s="8" t="s">
        <v>322</v>
      </c>
      <c r="B416" s="8" t="s">
        <v>79</v>
      </c>
      <c r="C416" s="8" t="s">
        <v>416</v>
      </c>
      <c r="D416" s="8" t="s">
        <v>441</v>
      </c>
      <c r="E416" s="9">
        <v>26.95</v>
      </c>
      <c r="F416" s="8" t="s">
        <v>132</v>
      </c>
      <c r="G416" s="10">
        <v>3989</v>
      </c>
      <c r="H416" s="11">
        <f t="array" ref="H416">INDEX([22]Monitoring!$H$6:$H$582,MATCH(1,([22]Monitoring!$D$6:$D$582=$D416)*([22]Monitoring!$D$6:$D$582=$D416),0))</f>
        <v>46154</v>
      </c>
      <c r="I416" s="143">
        <f t="array" ref="I416">INDEX([22]Monitoring!$I$6:$I$582,MATCH(1,([22]Monitoring!$D$6:$D$582=$D416)*([22]Monitoring!$D$6:$D$582=$D416),0))</f>
        <v>375</v>
      </c>
      <c r="J416" s="9">
        <f t="array" ref="J416">IFERROR(I416/G416*100,0)</f>
        <v>9.40085234394585</v>
      </c>
      <c r="K416" s="143">
        <f t="array" ref="K416">INDEX([22]Monitoring!$J$6:$J$582,MATCH(1,([22]Monitoring!$D$6:$D$582=$D416)*([22]Monitoring!$D$6:$D$582=$D416),0))</f>
        <v>54</v>
      </c>
      <c r="L416" s="9">
        <f t="shared" si="7"/>
        <v>14.399999999999999</v>
      </c>
      <c r="M416" s="8" t="str">
        <f t="array" ref="M416">IF(L416&gt;5,"Perlu Pengendalian",IF(AND(L416&gt;=0,I416&gt;0),"Tidak Perlu Pengendalian","Belum Sensus"))</f>
        <v>Perlu Pengendalian</v>
      </c>
    </row>
    <row r="417" spans="1:13" x14ac:dyDescent="0.15">
      <c r="A417" s="8" t="s">
        <v>322</v>
      </c>
      <c r="B417" s="8" t="s">
        <v>79</v>
      </c>
      <c r="C417" s="8" t="s">
        <v>416</v>
      </c>
      <c r="D417" s="8" t="s">
        <v>442</v>
      </c>
      <c r="E417" s="9">
        <v>25.1</v>
      </c>
      <c r="F417" s="8" t="s">
        <v>132</v>
      </c>
      <c r="G417" s="10">
        <v>3718</v>
      </c>
      <c r="H417" s="11">
        <f t="array" ref="H417">INDEX([22]Monitoring!$H$6:$H$582,MATCH(1,([22]Monitoring!$D$6:$D$582=$D417)*([22]Monitoring!$D$6:$D$582=$D417),0))</f>
        <v>46154</v>
      </c>
      <c r="I417" s="143">
        <f t="array" ref="I417">INDEX([22]Monitoring!$I$6:$I$582,MATCH(1,([22]Monitoring!$D$6:$D$582=$D417)*([22]Monitoring!$D$6:$D$582=$D417),0))</f>
        <v>378</v>
      </c>
      <c r="J417" s="9">
        <f t="array" ref="J417">IFERROR(I417/G417*100,0)</f>
        <v>10.166756320602474</v>
      </c>
      <c r="K417" s="143">
        <f t="array" ref="K417">INDEX([22]Monitoring!$J$6:$J$582,MATCH(1,([22]Monitoring!$D$6:$D$582=$D417)*([22]Monitoring!$D$6:$D$582=$D417),0))</f>
        <v>23</v>
      </c>
      <c r="L417" s="9">
        <f t="shared" si="7"/>
        <v>6.0846560846560847</v>
      </c>
      <c r="M417" s="8" t="str">
        <f t="array" ref="M417">IF(L417&gt;5,"Perlu Pengendalian",IF(AND(L417&gt;=0,I417&gt;0),"Tidak Perlu Pengendalian","Belum Sensus"))</f>
        <v>Perlu Pengendalian</v>
      </c>
    </row>
    <row r="418" spans="1:13" x14ac:dyDescent="0.15">
      <c r="A418" s="8" t="s">
        <v>322</v>
      </c>
      <c r="B418" s="8" t="s">
        <v>79</v>
      </c>
      <c r="C418" s="8" t="s">
        <v>416</v>
      </c>
      <c r="D418" s="8" t="s">
        <v>443</v>
      </c>
      <c r="E418" s="9">
        <v>26.01</v>
      </c>
      <c r="F418" s="8" t="s">
        <v>132</v>
      </c>
      <c r="G418" s="10">
        <v>3931</v>
      </c>
      <c r="H418" s="11">
        <f t="array" ref="H418">INDEX([22]Monitoring!$H$6:$H$582,MATCH(1,([22]Monitoring!$D$6:$D$582=$D418)*([22]Monitoring!$D$6:$D$582=$D418),0))</f>
        <v>46154</v>
      </c>
      <c r="I418" s="143">
        <f t="array" ref="I418">INDEX([22]Monitoring!$I$6:$I$582,MATCH(1,([22]Monitoring!$D$6:$D$582=$D418)*([22]Monitoring!$D$6:$D$582=$D418),0))</f>
        <v>388</v>
      </c>
      <c r="J418" s="9">
        <f t="array" ref="J418">IFERROR(I418/G418*100,0)</f>
        <v>9.8702620198422792</v>
      </c>
      <c r="K418" s="143">
        <f t="array" ref="K418">INDEX([22]Monitoring!$J$6:$J$582,MATCH(1,([22]Monitoring!$D$6:$D$582=$D418)*([22]Monitoring!$D$6:$D$582=$D418),0))</f>
        <v>17</v>
      </c>
      <c r="L418" s="9">
        <f t="shared" si="7"/>
        <v>4.3814432989690717</v>
      </c>
      <c r="M418" s="8" t="str">
        <f t="array" ref="M418">IF(L418&gt;5,"Perlu Pengendalian",IF(AND(L418&gt;=0,I418&gt;0),"Tidak Perlu Pengendalian","Belum Sensus"))</f>
        <v>Tidak Perlu Pengendalian</v>
      </c>
    </row>
    <row r="419" spans="1:13" x14ac:dyDescent="0.15">
      <c r="A419" s="8" t="s">
        <v>322</v>
      </c>
      <c r="B419" s="8" t="s">
        <v>79</v>
      </c>
      <c r="C419" s="8" t="s">
        <v>416</v>
      </c>
      <c r="D419" s="8" t="s">
        <v>444</v>
      </c>
      <c r="E419" s="9">
        <v>25.81</v>
      </c>
      <c r="F419" s="8" t="s">
        <v>132</v>
      </c>
      <c r="G419" s="10">
        <v>3954</v>
      </c>
      <c r="H419" s="11">
        <f t="array" ref="H419">INDEX([22]Monitoring!$H$6:$H$582,MATCH(1,([22]Monitoring!$D$6:$D$582=$D419)*([22]Monitoring!$D$6:$D$582=$D419),0))</f>
        <v>46154</v>
      </c>
      <c r="I419" s="143">
        <f t="array" ref="I419">INDEX([22]Monitoring!$I$6:$I$582,MATCH(1,([22]Monitoring!$D$6:$D$582=$D419)*([22]Monitoring!$D$6:$D$582=$D419),0))</f>
        <v>396</v>
      </c>
      <c r="J419" s="9">
        <f t="array" ref="J419">IFERROR(I419/G419*100,0)</f>
        <v>10.015174506828528</v>
      </c>
      <c r="K419" s="143">
        <f t="array" ref="K419">INDEX([22]Monitoring!$J$6:$J$582,MATCH(1,([22]Monitoring!$D$6:$D$582=$D419)*([22]Monitoring!$D$6:$D$582=$D419),0))</f>
        <v>57</v>
      </c>
      <c r="L419" s="9">
        <f t="shared" si="7"/>
        <v>14.393939393939394</v>
      </c>
      <c r="M419" s="8" t="str">
        <f t="array" ref="M419">IF(L419&gt;5,"Perlu Pengendalian",IF(AND(L419&gt;=0,I419&gt;0),"Tidak Perlu Pengendalian","Belum Sensus"))</f>
        <v>Perlu Pengendalian</v>
      </c>
    </row>
    <row r="420" spans="1:13" x14ac:dyDescent="0.15">
      <c r="A420" s="8" t="s">
        <v>322</v>
      </c>
      <c r="B420" s="8" t="s">
        <v>79</v>
      </c>
      <c r="C420" s="8" t="s">
        <v>416</v>
      </c>
      <c r="D420" s="8" t="s">
        <v>445</v>
      </c>
      <c r="E420" s="9">
        <v>27.49</v>
      </c>
      <c r="F420" s="8" t="s">
        <v>132</v>
      </c>
      <c r="G420" s="10">
        <v>4043</v>
      </c>
      <c r="H420" s="11">
        <f t="array" ref="H420">INDEX([22]Monitoring!$H$6:$H$582,MATCH(1,([22]Monitoring!$D$6:$D$582=$D420)*([22]Monitoring!$D$6:$D$582=$D420),0))</f>
        <v>46153</v>
      </c>
      <c r="I420" s="143">
        <f t="array" ref="I420">INDEX([22]Monitoring!$I$6:$I$582,MATCH(1,([22]Monitoring!$D$6:$D$582=$D420)*([22]Monitoring!$D$6:$D$582=$D420),0))</f>
        <v>415</v>
      </c>
      <c r="J420" s="9">
        <f t="array" ref="J420">IFERROR(I420/G420*100,0)</f>
        <v>10.264654959188722</v>
      </c>
      <c r="K420" s="143">
        <f t="array" ref="K420">INDEX([22]Monitoring!$J$6:$J$582,MATCH(1,([22]Monitoring!$D$6:$D$582=$D420)*([22]Monitoring!$D$6:$D$582=$D420),0))</f>
        <v>34</v>
      </c>
      <c r="L420" s="9">
        <f t="shared" si="7"/>
        <v>8.19277108433735</v>
      </c>
      <c r="M420" s="8" t="str">
        <f t="array" ref="M420">IF(L420&gt;5,"Perlu Pengendalian",IF(AND(L420&gt;=0,I420&gt;0),"Tidak Perlu Pengendalian","Belum Sensus"))</f>
        <v>Perlu Pengendalian</v>
      </c>
    </row>
    <row r="421" spans="1:13" x14ac:dyDescent="0.15">
      <c r="A421" s="8" t="s">
        <v>322</v>
      </c>
      <c r="B421" s="8" t="s">
        <v>79</v>
      </c>
      <c r="C421" s="8" t="s">
        <v>416</v>
      </c>
      <c r="D421" s="8" t="s">
        <v>446</v>
      </c>
      <c r="E421" s="9">
        <v>26.02</v>
      </c>
      <c r="F421" s="8" t="s">
        <v>132</v>
      </c>
      <c r="G421" s="10">
        <v>3785</v>
      </c>
      <c r="H421" s="11">
        <f t="array" ref="H421">INDEX([22]Monitoring!$H$6:$H$582,MATCH(1,([22]Monitoring!$D$6:$D$582=$D421)*([22]Monitoring!$D$6:$D$582=$D421),0))</f>
        <v>46153</v>
      </c>
      <c r="I421" s="143">
        <f t="array" ref="I421">INDEX([22]Monitoring!$I$6:$I$582,MATCH(1,([22]Monitoring!$D$6:$D$582=$D421)*([22]Monitoring!$D$6:$D$582=$D421),0))</f>
        <v>361</v>
      </c>
      <c r="J421" s="9">
        <f t="array" ref="J421">IFERROR(I421/G421*100,0)</f>
        <v>9.5376486129458389</v>
      </c>
      <c r="K421" s="143">
        <f t="array" ref="K421">INDEX([22]Monitoring!$J$6:$J$582,MATCH(1,([22]Monitoring!$D$6:$D$582=$D421)*([22]Monitoring!$D$6:$D$582=$D421),0))</f>
        <v>35</v>
      </c>
      <c r="L421" s="9">
        <f t="shared" si="7"/>
        <v>9.6952908587257625</v>
      </c>
      <c r="M421" s="8" t="str">
        <f t="array" ref="M421">IF(L421&gt;5,"Perlu Pengendalian",IF(AND(L421&gt;=0,I421&gt;0),"Tidak Perlu Pengendalian","Belum Sensus"))</f>
        <v>Perlu Pengendalian</v>
      </c>
    </row>
    <row r="422" spans="1:13" x14ac:dyDescent="0.15">
      <c r="A422" s="8" t="s">
        <v>322</v>
      </c>
      <c r="B422" s="8" t="s">
        <v>79</v>
      </c>
      <c r="C422" s="8" t="s">
        <v>416</v>
      </c>
      <c r="D422" s="8" t="s">
        <v>447</v>
      </c>
      <c r="E422" s="9">
        <v>25.5</v>
      </c>
      <c r="F422" s="8" t="s">
        <v>132</v>
      </c>
      <c r="G422" s="10">
        <v>3920</v>
      </c>
      <c r="H422" s="11">
        <f t="array" ref="H422">INDEX([22]Monitoring!$H$6:$H$582,MATCH(1,([22]Monitoring!$D$6:$D$582=$D422)*([22]Monitoring!$D$6:$D$582=$D422),0))</f>
        <v>46153</v>
      </c>
      <c r="I422" s="143">
        <f t="array" ref="I422">INDEX([22]Monitoring!$I$6:$I$582,MATCH(1,([22]Monitoring!$D$6:$D$582=$D422)*([22]Monitoring!$D$6:$D$582=$D422),0))</f>
        <v>384</v>
      </c>
      <c r="J422" s="9">
        <f t="array" ref="J422">IFERROR(I422/G422*100,0)</f>
        <v>9.795918367346939</v>
      </c>
      <c r="K422" s="143">
        <f t="array" ref="K422">INDEX([22]Monitoring!$J$6:$J$582,MATCH(1,([22]Monitoring!$D$6:$D$582=$D422)*([22]Monitoring!$D$6:$D$582=$D422),0))</f>
        <v>50</v>
      </c>
      <c r="L422" s="9">
        <f t="shared" si="7"/>
        <v>13.020833333333334</v>
      </c>
      <c r="M422" s="8" t="str">
        <f t="array" ref="M422">IF(L422&gt;5,"Perlu Pengendalian",IF(AND(L422&gt;=0,I422&gt;0),"Tidak Perlu Pengendalian","Belum Sensus"))</f>
        <v>Perlu Pengendalian</v>
      </c>
    </row>
    <row r="423" spans="1:13" x14ac:dyDescent="0.15">
      <c r="A423" s="8" t="s">
        <v>322</v>
      </c>
      <c r="B423" s="8" t="s">
        <v>79</v>
      </c>
      <c r="C423" s="8" t="s">
        <v>416</v>
      </c>
      <c r="D423" s="8" t="s">
        <v>448</v>
      </c>
      <c r="E423" s="9">
        <v>24.76</v>
      </c>
      <c r="F423" s="8" t="s">
        <v>132</v>
      </c>
      <c r="G423" s="10">
        <v>3677</v>
      </c>
      <c r="H423" s="11">
        <f t="array" ref="H423">INDEX([22]Monitoring!$H$6:$H$582,MATCH(1,([22]Monitoring!$D$6:$D$582=$D423)*([22]Monitoring!$D$6:$D$582=$D423),0))</f>
        <v>46153</v>
      </c>
      <c r="I423" s="143">
        <f t="array" ref="I423">INDEX([22]Monitoring!$I$6:$I$582,MATCH(1,([22]Monitoring!$D$6:$D$582=$D423)*([22]Monitoring!$D$6:$D$582=$D423),0))</f>
        <v>410</v>
      </c>
      <c r="J423" s="9">
        <f t="array" ref="J423">IFERROR(I423/G423*100,0)</f>
        <v>11.150394343214577</v>
      </c>
      <c r="K423" s="143">
        <f t="array" ref="K423">INDEX([22]Monitoring!$J$6:$J$582,MATCH(1,([22]Monitoring!$D$6:$D$582=$D423)*([22]Monitoring!$D$6:$D$582=$D423),0))</f>
        <v>14</v>
      </c>
      <c r="L423" s="9">
        <f t="shared" si="7"/>
        <v>3.4146341463414638</v>
      </c>
      <c r="M423" s="8" t="str">
        <f t="array" ref="M423">IF(L423&gt;5,"Perlu Pengendalian",IF(AND(L423&gt;=0,I423&gt;0),"Tidak Perlu Pengendalian","Belum Sensus"))</f>
        <v>Tidak Perlu Pengendalian</v>
      </c>
    </row>
    <row r="424" spans="1:13" x14ac:dyDescent="0.15">
      <c r="A424" s="8" t="s">
        <v>322</v>
      </c>
      <c r="B424" s="8" t="s">
        <v>79</v>
      </c>
      <c r="C424" s="8" t="s">
        <v>416</v>
      </c>
      <c r="D424" s="8" t="s">
        <v>449</v>
      </c>
      <c r="E424" s="9">
        <v>26.04</v>
      </c>
      <c r="F424" s="8" t="s">
        <v>132</v>
      </c>
      <c r="G424" s="10">
        <v>3994</v>
      </c>
      <c r="H424" s="11">
        <f t="array" ref="H424">INDEX([22]Monitoring!$H$6:$H$582,MATCH(1,([22]Monitoring!$D$6:$D$582=$D424)*([22]Monitoring!$D$6:$D$582=$D424),0))</f>
        <v>46153</v>
      </c>
      <c r="I424" s="143">
        <f t="array" ref="I424">INDEX([22]Monitoring!$I$6:$I$582,MATCH(1,([22]Monitoring!$D$6:$D$582=$D424)*([22]Monitoring!$D$6:$D$582=$D424),0))</f>
        <v>430</v>
      </c>
      <c r="J424" s="9">
        <f t="array" ref="J424">IFERROR(I424/G424*100,0)</f>
        <v>10.766149223835754</v>
      </c>
      <c r="K424" s="143">
        <f t="array" ref="K424">INDEX([22]Monitoring!$J$6:$J$582,MATCH(1,([22]Monitoring!$D$6:$D$582=$D424)*([22]Monitoring!$D$6:$D$582=$D424),0))</f>
        <v>20</v>
      </c>
      <c r="L424" s="9">
        <f t="shared" si="7"/>
        <v>4.6511627906976747</v>
      </c>
      <c r="M424" s="8" t="str">
        <f t="array" ref="M424">IF(L424&gt;5,"Perlu Pengendalian",IF(AND(L424&gt;=0,I424&gt;0),"Tidak Perlu Pengendalian","Belum Sensus"))</f>
        <v>Tidak Perlu Pengendalian</v>
      </c>
    </row>
    <row r="425" spans="1:13" x14ac:dyDescent="0.15">
      <c r="A425" s="8" t="s">
        <v>322</v>
      </c>
      <c r="B425" s="8" t="s">
        <v>79</v>
      </c>
      <c r="C425" s="8" t="s">
        <v>416</v>
      </c>
      <c r="D425" s="8" t="s">
        <v>450</v>
      </c>
      <c r="E425" s="9">
        <v>25.44</v>
      </c>
      <c r="F425" s="8" t="s">
        <v>132</v>
      </c>
      <c r="G425" s="10">
        <v>3740</v>
      </c>
      <c r="H425" s="11">
        <f t="array" ref="H425">INDEX([22]Monitoring!$H$6:$H$582,MATCH(1,([22]Monitoring!$D$6:$D$582=$D425)*([22]Monitoring!$D$6:$D$582=$D425),0))</f>
        <v>46157</v>
      </c>
      <c r="I425" s="143">
        <f t="array" ref="I425">INDEX([22]Monitoring!$I$6:$I$582,MATCH(1,([22]Monitoring!$D$6:$D$582=$D425)*([22]Monitoring!$D$6:$D$582=$D425),0))</f>
        <v>370</v>
      </c>
      <c r="J425" s="9">
        <f t="array" ref="J425">IFERROR(I425/G425*100,0)</f>
        <v>9.8930481283422473</v>
      </c>
      <c r="K425" s="143">
        <f t="array" ref="K425">INDEX([22]Monitoring!$J$6:$J$582,MATCH(1,([22]Monitoring!$D$6:$D$582=$D425)*([22]Monitoring!$D$6:$D$582=$D425),0))</f>
        <v>19</v>
      </c>
      <c r="L425" s="9">
        <f t="shared" si="7"/>
        <v>5.1351351351351351</v>
      </c>
      <c r="M425" s="8" t="str">
        <f t="array" ref="M425">IF(L425&gt;5,"Perlu Pengendalian",IF(AND(L425&gt;=0,I425&gt;0),"Tidak Perlu Pengendalian","Belum Sensus"))</f>
        <v>Perlu Pengendalian</v>
      </c>
    </row>
    <row r="426" spans="1:13" x14ac:dyDescent="0.15">
      <c r="A426" s="8" t="s">
        <v>322</v>
      </c>
      <c r="B426" s="8" t="s">
        <v>79</v>
      </c>
      <c r="C426" s="8" t="s">
        <v>416</v>
      </c>
      <c r="D426" s="8" t="s">
        <v>451</v>
      </c>
      <c r="E426" s="9">
        <v>44.21</v>
      </c>
      <c r="F426" s="8" t="s">
        <v>132</v>
      </c>
      <c r="G426" s="10">
        <v>6536</v>
      </c>
      <c r="H426" s="11">
        <f t="array" ref="H426">INDEX([22]Monitoring!$H$6:$H$582,MATCH(1,([22]Monitoring!$D$6:$D$582=$D426)*([22]Monitoring!$D$6:$D$582=$D426),0))</f>
        <v>46153</v>
      </c>
      <c r="I426" s="143">
        <f t="array" ref="I426">INDEX([22]Monitoring!$I$6:$I$582,MATCH(1,([22]Monitoring!$D$6:$D$582=$D426)*([22]Monitoring!$D$6:$D$582=$D426),0))</f>
        <v>383</v>
      </c>
      <c r="J426" s="9">
        <f t="array" ref="J426">IFERROR(I426/G426*100,0)</f>
        <v>5.8598531211750311</v>
      </c>
      <c r="K426" s="143">
        <f t="array" ref="K426">INDEX([22]Monitoring!$J$6:$J$582,MATCH(1,([22]Monitoring!$D$6:$D$582=$D426)*([22]Monitoring!$D$6:$D$582=$D426),0))</f>
        <v>26</v>
      </c>
      <c r="L426" s="9">
        <f t="shared" si="7"/>
        <v>6.7885117493472595</v>
      </c>
      <c r="M426" s="8" t="str">
        <f t="array" ref="M426">IF(L426&gt;5,"Perlu Pengendalian",IF(AND(L426&gt;=0,I426&gt;0),"Tidak Perlu Pengendalian","Belum Sensus"))</f>
        <v>Perlu Pengendalian</v>
      </c>
    </row>
    <row r="427" spans="1:13" x14ac:dyDescent="0.15">
      <c r="A427" s="8" t="s">
        <v>322</v>
      </c>
      <c r="B427" s="8" t="s">
        <v>79</v>
      </c>
      <c r="C427" s="8" t="s">
        <v>452</v>
      </c>
      <c r="D427" s="8" t="s">
        <v>453</v>
      </c>
      <c r="E427" s="9">
        <v>24.17</v>
      </c>
      <c r="F427" s="8" t="s">
        <v>132</v>
      </c>
      <c r="G427" s="10">
        <v>3469</v>
      </c>
      <c r="H427" s="11">
        <f t="array" ref="H427">INDEX([22]Monitoring!$H$6:$H$582,MATCH(1,([22]Monitoring!$D$6:$D$582=$D427)*([22]Monitoring!$D$6:$D$582=$D427),0))</f>
        <v>46149</v>
      </c>
      <c r="I427" s="143">
        <f t="array" ref="I427">INDEX([22]Monitoring!$I$6:$I$582,MATCH(1,([22]Monitoring!$D$6:$D$582=$D427)*([22]Monitoring!$D$6:$D$582=$D427),0))</f>
        <v>347</v>
      </c>
      <c r="J427" s="9">
        <f t="array" ref="J427">IFERROR(I427/G427*100,0)</f>
        <v>10.002882675122514</v>
      </c>
      <c r="K427" s="143">
        <f t="array" ref="K427">INDEX([22]Monitoring!$J$6:$J$582,MATCH(1,([22]Monitoring!$D$6:$D$582=$D427)*([22]Monitoring!$D$6:$D$582=$D427),0))</f>
        <v>46</v>
      </c>
      <c r="L427" s="9">
        <f t="shared" si="7"/>
        <v>13.256484149855908</v>
      </c>
      <c r="M427" s="8" t="str">
        <f t="array" ref="M427">IF(L427&gt;5,"Perlu Pengendalian",IF(AND(L427&gt;=0,I427&gt;0),"Tidak Perlu Pengendalian","Belum Sensus"))</f>
        <v>Perlu Pengendalian</v>
      </c>
    </row>
    <row r="428" spans="1:13" x14ac:dyDescent="0.15">
      <c r="A428" s="8" t="s">
        <v>322</v>
      </c>
      <c r="B428" s="8" t="s">
        <v>79</v>
      </c>
      <c r="C428" s="8" t="s">
        <v>452</v>
      </c>
      <c r="D428" s="8" t="s">
        <v>454</v>
      </c>
      <c r="E428" s="9">
        <v>25.45</v>
      </c>
      <c r="F428" s="8" t="s">
        <v>132</v>
      </c>
      <c r="G428" s="10">
        <v>3762</v>
      </c>
      <c r="H428" s="11">
        <f t="array" ref="H428">INDEX([22]Monitoring!$H$6:$H$582,MATCH(1,([22]Monitoring!$D$6:$D$582=$D428)*([22]Monitoring!$D$6:$D$582=$D428),0))</f>
        <v>46149</v>
      </c>
      <c r="I428" s="143">
        <f t="array" ref="I428">INDEX([22]Monitoring!$I$6:$I$582,MATCH(1,([22]Monitoring!$D$6:$D$582=$D428)*([22]Monitoring!$D$6:$D$582=$D428),0))</f>
        <v>376</v>
      </c>
      <c r="J428" s="9">
        <f t="array" ref="J428">IFERROR(I428/G428*100,0)</f>
        <v>9.9946836788942051</v>
      </c>
      <c r="K428" s="143">
        <f t="array" ref="K428">INDEX([22]Monitoring!$J$6:$J$582,MATCH(1,([22]Monitoring!$D$6:$D$582=$D428)*([22]Monitoring!$D$6:$D$582=$D428),0))</f>
        <v>34</v>
      </c>
      <c r="L428" s="9">
        <f t="shared" si="7"/>
        <v>9.0425531914893629</v>
      </c>
      <c r="M428" s="8" t="str">
        <f t="array" ref="M428">IF(L428&gt;5,"Perlu Pengendalian",IF(AND(L428&gt;=0,I428&gt;0),"Tidak Perlu Pengendalian","Belum Sensus"))</f>
        <v>Perlu Pengendalian</v>
      </c>
    </row>
    <row r="429" spans="1:13" x14ac:dyDescent="0.15">
      <c r="A429" s="8" t="s">
        <v>322</v>
      </c>
      <c r="B429" s="8" t="s">
        <v>79</v>
      </c>
      <c r="C429" s="8" t="s">
        <v>452</v>
      </c>
      <c r="D429" s="8" t="s">
        <v>455</v>
      </c>
      <c r="E429" s="9">
        <v>25.29</v>
      </c>
      <c r="F429" s="8" t="s">
        <v>132</v>
      </c>
      <c r="G429" s="10">
        <v>3768</v>
      </c>
      <c r="H429" s="11">
        <f t="array" ref="H429">INDEX([22]Monitoring!$H$6:$H$582,MATCH(1,([22]Monitoring!$D$6:$D$582=$D429)*([22]Monitoring!$D$6:$D$582=$D429),0))</f>
        <v>46150</v>
      </c>
      <c r="I429" s="143">
        <f t="array" ref="I429">INDEX([22]Monitoring!$I$6:$I$582,MATCH(1,([22]Monitoring!$D$6:$D$582=$D429)*([22]Monitoring!$D$6:$D$582=$D429),0))</f>
        <v>404</v>
      </c>
      <c r="J429" s="9">
        <f t="array" ref="J429">IFERROR(I429/G429*100,0)</f>
        <v>10.721868365180468</v>
      </c>
      <c r="K429" s="143">
        <f t="array" ref="K429">INDEX([22]Monitoring!$J$6:$J$582,MATCH(1,([22]Monitoring!$D$6:$D$582=$D429)*([22]Monitoring!$D$6:$D$582=$D429),0))</f>
        <v>44</v>
      </c>
      <c r="L429" s="9">
        <f t="shared" si="7"/>
        <v>10.891089108910892</v>
      </c>
      <c r="M429" s="8" t="str">
        <f t="array" ref="M429">IF(L429&gt;5,"Perlu Pengendalian",IF(AND(L429&gt;=0,I429&gt;0),"Tidak Perlu Pengendalian","Belum Sensus"))</f>
        <v>Perlu Pengendalian</v>
      </c>
    </row>
    <row r="430" spans="1:13" x14ac:dyDescent="0.15">
      <c r="A430" s="8" t="s">
        <v>322</v>
      </c>
      <c r="B430" s="8" t="s">
        <v>79</v>
      </c>
      <c r="C430" s="8" t="s">
        <v>452</v>
      </c>
      <c r="D430" s="8" t="s">
        <v>456</v>
      </c>
      <c r="E430" s="9">
        <v>25.19</v>
      </c>
      <c r="F430" s="8" t="s">
        <v>132</v>
      </c>
      <c r="G430" s="10">
        <v>3832</v>
      </c>
      <c r="H430" s="11">
        <f t="array" ref="H430">INDEX([22]Monitoring!$H$6:$H$582,MATCH(1,([22]Monitoring!$D$6:$D$582=$D430)*([22]Monitoring!$D$6:$D$582=$D430),0))</f>
        <v>46150</v>
      </c>
      <c r="I430" s="143">
        <f t="array" ref="I430">INDEX([22]Monitoring!$I$6:$I$582,MATCH(1,([22]Monitoring!$D$6:$D$582=$D430)*([22]Monitoring!$D$6:$D$582=$D430),0))</f>
        <v>405</v>
      </c>
      <c r="J430" s="9">
        <f t="array" ref="J430">IFERROR(I430/G430*100,0)</f>
        <v>10.568893528183716</v>
      </c>
      <c r="K430" s="143">
        <f t="array" ref="K430">INDEX([22]Monitoring!$J$6:$J$582,MATCH(1,([22]Monitoring!$D$6:$D$582=$D430)*([22]Monitoring!$D$6:$D$582=$D430),0))</f>
        <v>43</v>
      </c>
      <c r="L430" s="9">
        <f t="shared" si="7"/>
        <v>10.617283950617285</v>
      </c>
      <c r="M430" s="8" t="str">
        <f t="array" ref="M430">IF(L430&gt;5,"Perlu Pengendalian",IF(AND(L430&gt;=0,I430&gt;0),"Tidak Perlu Pengendalian","Belum Sensus"))</f>
        <v>Perlu Pengendalian</v>
      </c>
    </row>
    <row r="431" spans="1:13" x14ac:dyDescent="0.15">
      <c r="A431" s="8" t="s">
        <v>322</v>
      </c>
      <c r="B431" s="8" t="s">
        <v>79</v>
      </c>
      <c r="C431" s="8" t="s">
        <v>452</v>
      </c>
      <c r="D431" s="8" t="s">
        <v>457</v>
      </c>
      <c r="E431" s="9">
        <v>24.61</v>
      </c>
      <c r="F431" s="8" t="s">
        <v>132</v>
      </c>
      <c r="G431" s="10">
        <v>3635</v>
      </c>
      <c r="H431" s="11">
        <f t="array" ref="H431">INDEX([22]Monitoring!$H$6:$H$582,MATCH(1,([22]Monitoring!$D$6:$D$582=$D431)*([22]Monitoring!$D$6:$D$582=$D431),0))</f>
        <v>46150</v>
      </c>
      <c r="I431" s="143">
        <f t="array" ref="I431">INDEX([22]Monitoring!$I$6:$I$582,MATCH(1,([22]Monitoring!$D$6:$D$582=$D431)*([22]Monitoring!$D$6:$D$582=$D431),0))</f>
        <v>385</v>
      </c>
      <c r="J431" s="9">
        <f t="array" ref="J431">IFERROR(I431/G431*100,0)</f>
        <v>10.591471801925723</v>
      </c>
      <c r="K431" s="143">
        <f t="array" ref="K431">INDEX([22]Monitoring!$J$6:$J$582,MATCH(1,([22]Monitoring!$D$6:$D$582=$D431)*([22]Monitoring!$D$6:$D$582=$D431),0))</f>
        <v>88</v>
      </c>
      <c r="L431" s="9">
        <f t="shared" si="7"/>
        <v>22.857142857142858</v>
      </c>
      <c r="M431" s="8" t="str">
        <f t="array" ref="M431">IF(L431&gt;5,"Perlu Pengendalian",IF(AND(L431&gt;=0,I431&gt;0),"Tidak Perlu Pengendalian","Belum Sensus"))</f>
        <v>Perlu Pengendalian</v>
      </c>
    </row>
    <row r="432" spans="1:13" x14ac:dyDescent="0.15">
      <c r="A432" s="8" t="s">
        <v>322</v>
      </c>
      <c r="B432" s="8" t="s">
        <v>79</v>
      </c>
      <c r="C432" s="8" t="s">
        <v>452</v>
      </c>
      <c r="D432" s="8" t="s">
        <v>458</v>
      </c>
      <c r="E432" s="9">
        <v>25.14</v>
      </c>
      <c r="F432" s="8" t="s">
        <v>132</v>
      </c>
      <c r="G432" s="10">
        <v>3731</v>
      </c>
      <c r="H432" s="11">
        <f t="array" ref="H432">INDEX([22]Monitoring!$H$6:$H$582,MATCH(1,([22]Monitoring!$D$6:$D$582=$D432)*([22]Monitoring!$D$6:$D$582=$D432),0))</f>
        <v>46150</v>
      </c>
      <c r="I432" s="143">
        <f t="array" ref="I432">INDEX([22]Monitoring!$I$6:$I$582,MATCH(1,([22]Monitoring!$D$6:$D$582=$D432)*([22]Monitoring!$D$6:$D$582=$D432),0))</f>
        <v>385</v>
      </c>
      <c r="J432" s="9">
        <f t="array" ref="J432">IFERROR(I432/G432*100,0)</f>
        <v>10.318949343339586</v>
      </c>
      <c r="K432" s="143">
        <f t="array" ref="K432">INDEX([22]Monitoring!$J$6:$J$582,MATCH(1,([22]Monitoring!$D$6:$D$582=$D432)*([22]Monitoring!$D$6:$D$582=$D432),0))</f>
        <v>52</v>
      </c>
      <c r="L432" s="9">
        <f t="shared" si="7"/>
        <v>13.506493506493506</v>
      </c>
      <c r="M432" s="8" t="str">
        <f t="array" ref="M432">IF(L432&gt;5,"Perlu Pengendalian",IF(AND(L432&gt;=0,I432&gt;0),"Tidak Perlu Pengendalian","Belum Sensus"))</f>
        <v>Perlu Pengendalian</v>
      </c>
    </row>
    <row r="433" spans="1:13" x14ac:dyDescent="0.15">
      <c r="A433" s="8" t="s">
        <v>322</v>
      </c>
      <c r="B433" s="8" t="s">
        <v>79</v>
      </c>
      <c r="C433" s="8" t="s">
        <v>452</v>
      </c>
      <c r="D433" s="8" t="s">
        <v>459</v>
      </c>
      <c r="E433" s="9">
        <v>24.67</v>
      </c>
      <c r="F433" s="8" t="s">
        <v>132</v>
      </c>
      <c r="G433" s="10">
        <v>3560</v>
      </c>
      <c r="H433" s="11">
        <f t="array" ref="H433">INDEX([22]Monitoring!$H$6:$H$582,MATCH(1,([22]Monitoring!$D$6:$D$582=$D433)*([22]Monitoring!$D$6:$D$582=$D433),0))</f>
        <v>46150</v>
      </c>
      <c r="I433" s="143">
        <f t="array" ref="I433">INDEX([22]Monitoring!$I$6:$I$582,MATCH(1,([22]Monitoring!$D$6:$D$582=$D433)*([22]Monitoring!$D$6:$D$582=$D433),0))</f>
        <v>390</v>
      </c>
      <c r="J433" s="9">
        <f t="array" ref="J433">IFERROR(I433/G433*100,0)</f>
        <v>10.955056179775282</v>
      </c>
      <c r="K433" s="143">
        <f t="array" ref="K433">INDEX([22]Monitoring!$J$6:$J$582,MATCH(1,([22]Monitoring!$D$6:$D$582=$D433)*([22]Monitoring!$D$6:$D$582=$D433),0))</f>
        <v>67</v>
      </c>
      <c r="L433" s="9">
        <f t="shared" si="7"/>
        <v>17.179487179487179</v>
      </c>
      <c r="M433" s="8" t="str">
        <f t="array" ref="M433">IF(L433&gt;5,"Perlu Pengendalian",IF(AND(L433&gt;=0,I433&gt;0),"Tidak Perlu Pengendalian","Belum Sensus"))</f>
        <v>Perlu Pengendalian</v>
      </c>
    </row>
    <row r="434" spans="1:13" x14ac:dyDescent="0.15">
      <c r="A434" s="8" t="s">
        <v>322</v>
      </c>
      <c r="B434" s="8" t="s">
        <v>79</v>
      </c>
      <c r="C434" s="8" t="s">
        <v>452</v>
      </c>
      <c r="D434" s="8" t="s">
        <v>460</v>
      </c>
      <c r="E434" s="9">
        <v>25.91</v>
      </c>
      <c r="F434" s="8" t="s">
        <v>132</v>
      </c>
      <c r="G434" s="10">
        <v>3816</v>
      </c>
      <c r="H434" s="11">
        <f t="array" ref="H434">INDEX([22]Monitoring!$H$6:$H$582,MATCH(1,([22]Monitoring!$D$6:$D$582=$D434)*([22]Monitoring!$D$6:$D$582=$D434),0))</f>
        <v>46150</v>
      </c>
      <c r="I434" s="143">
        <f t="array" ref="I434">INDEX([22]Monitoring!$I$6:$I$582,MATCH(1,([22]Monitoring!$D$6:$D$582=$D434)*([22]Monitoring!$D$6:$D$582=$D434),0))</f>
        <v>402</v>
      </c>
      <c r="J434" s="9">
        <f t="array" ref="J434">IFERROR(I434/G434*100,0)</f>
        <v>10.534591194968554</v>
      </c>
      <c r="K434" s="143">
        <f t="array" ref="K434">INDEX([22]Monitoring!$J$6:$J$582,MATCH(1,([22]Monitoring!$D$6:$D$582=$D434)*([22]Monitoring!$D$6:$D$582=$D434),0))</f>
        <v>61</v>
      </c>
      <c r="L434" s="9">
        <f t="shared" si="7"/>
        <v>15.17412935323383</v>
      </c>
      <c r="M434" s="8" t="str">
        <f t="array" ref="M434">IF(L434&gt;5,"Perlu Pengendalian",IF(AND(L434&gt;=0,I434&gt;0),"Tidak Perlu Pengendalian","Belum Sensus"))</f>
        <v>Perlu Pengendalian</v>
      </c>
    </row>
    <row r="435" spans="1:13" x14ac:dyDescent="0.15">
      <c r="A435" s="8" t="s">
        <v>322</v>
      </c>
      <c r="B435" s="8" t="s">
        <v>79</v>
      </c>
      <c r="C435" s="8" t="s">
        <v>452</v>
      </c>
      <c r="D435" s="8" t="s">
        <v>461</v>
      </c>
      <c r="E435" s="9">
        <v>25.39</v>
      </c>
      <c r="F435" s="8" t="s">
        <v>132</v>
      </c>
      <c r="G435" s="10">
        <v>3788</v>
      </c>
      <c r="H435" s="11">
        <f t="array" ref="H435">INDEX([22]Monitoring!$H$6:$H$582,MATCH(1,([22]Monitoring!$D$6:$D$582=$D435)*([22]Monitoring!$D$6:$D$582=$D435),0))</f>
        <v>46150</v>
      </c>
      <c r="I435" s="143">
        <f t="array" ref="I435">INDEX([22]Monitoring!$I$6:$I$582,MATCH(1,([22]Monitoring!$D$6:$D$582=$D435)*([22]Monitoring!$D$6:$D$582=$D435),0))</f>
        <v>403</v>
      </c>
      <c r="J435" s="9">
        <f t="array" ref="J435">IFERROR(I435/G435*100,0)</f>
        <v>10.638859556494191</v>
      </c>
      <c r="K435" s="143">
        <f t="array" ref="K435">INDEX([22]Monitoring!$J$6:$J$582,MATCH(1,([22]Monitoring!$D$6:$D$582=$D435)*([22]Monitoring!$D$6:$D$582=$D435),0))</f>
        <v>23</v>
      </c>
      <c r="L435" s="9">
        <f t="shared" si="7"/>
        <v>5.7071960297766751</v>
      </c>
      <c r="M435" s="8" t="str">
        <f t="array" ref="M435">IF(L435&gt;5,"Perlu Pengendalian",IF(AND(L435&gt;=0,I435&gt;0),"Tidak Perlu Pengendalian","Belum Sensus"))</f>
        <v>Perlu Pengendalian</v>
      </c>
    </row>
    <row r="436" spans="1:13" x14ac:dyDescent="0.15">
      <c r="A436" s="8" t="s">
        <v>322</v>
      </c>
      <c r="B436" s="8" t="s">
        <v>79</v>
      </c>
      <c r="C436" s="8" t="s">
        <v>452</v>
      </c>
      <c r="D436" s="8" t="s">
        <v>462</v>
      </c>
      <c r="E436" s="9">
        <v>25.01</v>
      </c>
      <c r="F436" s="8" t="s">
        <v>132</v>
      </c>
      <c r="G436" s="10">
        <v>3751</v>
      </c>
      <c r="H436" s="11">
        <f t="array" ref="H436">INDEX([22]Monitoring!$H$6:$H$582,MATCH(1,([22]Monitoring!$D$6:$D$582=$D436)*([22]Monitoring!$D$6:$D$582=$D436),0))</f>
        <v>46150</v>
      </c>
      <c r="I436" s="143">
        <f t="array" ref="I436">INDEX([22]Monitoring!$I$6:$I$582,MATCH(1,([22]Monitoring!$D$6:$D$582=$D436)*([22]Monitoring!$D$6:$D$582=$D436),0))</f>
        <v>394</v>
      </c>
      <c r="J436" s="9">
        <f t="array" ref="J436">IFERROR(I436/G436*100,0)</f>
        <v>10.503865635830445</v>
      </c>
      <c r="K436" s="143">
        <f t="array" ref="K436">INDEX([22]Monitoring!$J$6:$J$582,MATCH(1,([22]Monitoring!$D$6:$D$582=$D436)*([22]Monitoring!$D$6:$D$582=$D436),0))</f>
        <v>53</v>
      </c>
      <c r="L436" s="9">
        <f t="shared" si="7"/>
        <v>13.451776649746192</v>
      </c>
      <c r="M436" s="8" t="str">
        <f t="array" ref="M436">IF(L436&gt;5,"Perlu Pengendalian",IF(AND(L436&gt;=0,I436&gt;0),"Tidak Perlu Pengendalian","Belum Sensus"))</f>
        <v>Perlu Pengendalian</v>
      </c>
    </row>
    <row r="437" spans="1:13" x14ac:dyDescent="0.15">
      <c r="A437" s="8" t="s">
        <v>322</v>
      </c>
      <c r="B437" s="8" t="s">
        <v>79</v>
      </c>
      <c r="C437" s="8" t="s">
        <v>452</v>
      </c>
      <c r="D437" s="8" t="s">
        <v>463</v>
      </c>
      <c r="E437" s="9">
        <v>24.45</v>
      </c>
      <c r="F437" s="8" t="s">
        <v>132</v>
      </c>
      <c r="G437" s="10">
        <v>3686</v>
      </c>
      <c r="H437" s="11">
        <f t="array" ref="H437">INDEX([22]Monitoring!$H$6:$H$582,MATCH(1,([22]Monitoring!$D$6:$D$582=$D437)*([22]Monitoring!$D$6:$D$582=$D437),0))</f>
        <v>46150</v>
      </c>
      <c r="I437" s="143">
        <f t="array" ref="I437">INDEX([22]Monitoring!$I$6:$I$582,MATCH(1,([22]Monitoring!$D$6:$D$582=$D437)*([22]Monitoring!$D$6:$D$582=$D437),0))</f>
        <v>417</v>
      </c>
      <c r="J437" s="9">
        <f t="array" ref="J437">IFERROR(I437/G437*100,0)</f>
        <v>11.313076505697232</v>
      </c>
      <c r="K437" s="143">
        <f t="array" ref="K437">INDEX([22]Monitoring!$J$6:$J$582,MATCH(1,([22]Monitoring!$D$6:$D$582=$D437)*([22]Monitoring!$D$6:$D$582=$D437),0))</f>
        <v>46</v>
      </c>
      <c r="L437" s="9">
        <f t="shared" si="7"/>
        <v>11.031175059952037</v>
      </c>
      <c r="M437" s="8" t="str">
        <f t="array" ref="M437">IF(L437&gt;5,"Perlu Pengendalian",IF(AND(L437&gt;=0,I437&gt;0),"Tidak Perlu Pengendalian","Belum Sensus"))</f>
        <v>Perlu Pengendalian</v>
      </c>
    </row>
    <row r="438" spans="1:13" x14ac:dyDescent="0.15">
      <c r="A438" s="8" t="s">
        <v>322</v>
      </c>
      <c r="B438" s="8" t="s">
        <v>79</v>
      </c>
      <c r="C438" s="8" t="s">
        <v>452</v>
      </c>
      <c r="D438" s="8" t="s">
        <v>464</v>
      </c>
      <c r="E438" s="9">
        <v>25.37</v>
      </c>
      <c r="F438" s="8" t="s">
        <v>132</v>
      </c>
      <c r="G438" s="10">
        <v>3634</v>
      </c>
      <c r="H438" s="11">
        <f t="array" ref="H438">INDEX([22]Monitoring!$H$6:$H$582,MATCH(1,([22]Monitoring!$D$6:$D$582=$D438)*([22]Monitoring!$D$6:$D$582=$D438),0))</f>
        <v>46151</v>
      </c>
      <c r="I438" s="143">
        <f t="array" ref="I438">INDEX([22]Monitoring!$I$6:$I$582,MATCH(1,([22]Monitoring!$D$6:$D$582=$D438)*([22]Monitoring!$D$6:$D$582=$D438),0))</f>
        <v>391</v>
      </c>
      <c r="J438" s="9">
        <f t="array" ref="J438">IFERROR(I438/G438*100,0)</f>
        <v>10.759493670886076</v>
      </c>
      <c r="K438" s="143">
        <f t="array" ref="K438">INDEX([22]Monitoring!$J$6:$J$582,MATCH(1,([22]Monitoring!$D$6:$D$582=$D438)*([22]Monitoring!$D$6:$D$582=$D438),0))</f>
        <v>71</v>
      </c>
      <c r="L438" s="9">
        <f t="shared" si="7"/>
        <v>18.15856777493606</v>
      </c>
      <c r="M438" s="8" t="str">
        <f t="array" ref="M438">IF(L438&gt;5,"Perlu Pengendalian",IF(AND(L438&gt;=0,I438&gt;0),"Tidak Perlu Pengendalian","Belum Sensus"))</f>
        <v>Perlu Pengendalian</v>
      </c>
    </row>
    <row r="439" spans="1:13" x14ac:dyDescent="0.15">
      <c r="A439" s="8" t="s">
        <v>322</v>
      </c>
      <c r="B439" s="8" t="s">
        <v>79</v>
      </c>
      <c r="C439" s="8" t="s">
        <v>452</v>
      </c>
      <c r="D439" s="8" t="s">
        <v>465</v>
      </c>
      <c r="E439" s="9">
        <v>25.68</v>
      </c>
      <c r="F439" s="8" t="s">
        <v>132</v>
      </c>
      <c r="G439" s="10">
        <v>3777</v>
      </c>
      <c r="H439" s="11">
        <f t="array" ref="H439">INDEX([22]Monitoring!$H$6:$H$582,MATCH(1,([22]Monitoring!$D$6:$D$582=$D439)*([22]Monitoring!$D$6:$D$582=$D439),0))</f>
        <v>46151</v>
      </c>
      <c r="I439" s="143">
        <f t="array" ref="I439">INDEX([22]Monitoring!$I$6:$I$582,MATCH(1,([22]Monitoring!$D$6:$D$582=$D439)*([22]Monitoring!$D$6:$D$582=$D439),0))</f>
        <v>387</v>
      </c>
      <c r="J439" s="9">
        <f t="array" ref="J439">IFERROR(I439/G439*100,0)</f>
        <v>10.246227164416204</v>
      </c>
      <c r="K439" s="143">
        <f t="array" ref="K439">INDEX([22]Monitoring!$J$6:$J$582,MATCH(1,([22]Monitoring!$D$6:$D$582=$D439)*([22]Monitoring!$D$6:$D$582=$D439),0))</f>
        <v>36</v>
      </c>
      <c r="L439" s="9">
        <f t="shared" si="7"/>
        <v>9.3023255813953494</v>
      </c>
      <c r="M439" s="8" t="str">
        <f t="array" ref="M439">IF(L439&gt;5,"Perlu Pengendalian",IF(AND(L439&gt;=0,I439&gt;0),"Tidak Perlu Pengendalian","Belum Sensus"))</f>
        <v>Perlu Pengendalian</v>
      </c>
    </row>
    <row r="440" spans="1:13" x14ac:dyDescent="0.15">
      <c r="A440" s="8" t="s">
        <v>322</v>
      </c>
      <c r="B440" s="8" t="s">
        <v>79</v>
      </c>
      <c r="C440" s="8" t="s">
        <v>452</v>
      </c>
      <c r="D440" s="8" t="s">
        <v>466</v>
      </c>
      <c r="E440" s="9">
        <v>25.59</v>
      </c>
      <c r="F440" s="8" t="s">
        <v>132</v>
      </c>
      <c r="G440" s="10">
        <v>3650</v>
      </c>
      <c r="H440" s="11">
        <f t="array" ref="H440">INDEX([22]Monitoring!$H$6:$H$582,MATCH(1,([22]Monitoring!$D$6:$D$582=$D440)*([22]Monitoring!$D$6:$D$582=$D440),0))</f>
        <v>46151</v>
      </c>
      <c r="I440" s="143">
        <f t="array" ref="I440">INDEX([22]Monitoring!$I$6:$I$582,MATCH(1,([22]Monitoring!$D$6:$D$582=$D440)*([22]Monitoring!$D$6:$D$582=$D440),0))</f>
        <v>387</v>
      </c>
      <c r="J440" s="9">
        <f t="array" ref="J440">IFERROR(I440/G440*100,0)</f>
        <v>10.602739726027398</v>
      </c>
      <c r="K440" s="143">
        <f t="array" ref="K440">INDEX([22]Monitoring!$J$6:$J$582,MATCH(1,([22]Monitoring!$D$6:$D$582=$D440)*([22]Monitoring!$D$6:$D$582=$D440),0))</f>
        <v>20</v>
      </c>
      <c r="L440" s="9">
        <f t="shared" si="7"/>
        <v>5.1679586563307494</v>
      </c>
      <c r="M440" s="8" t="str">
        <f t="array" ref="M440">IF(L440&gt;5,"Perlu Pengendalian",IF(AND(L440&gt;=0,I440&gt;0),"Tidak Perlu Pengendalian","Belum Sensus"))</f>
        <v>Perlu Pengendalian</v>
      </c>
    </row>
    <row r="441" spans="1:13" x14ac:dyDescent="0.15">
      <c r="A441" s="8" t="s">
        <v>322</v>
      </c>
      <c r="B441" s="8" t="s">
        <v>79</v>
      </c>
      <c r="C441" s="8" t="s">
        <v>452</v>
      </c>
      <c r="D441" s="8" t="s">
        <v>467</v>
      </c>
      <c r="E441" s="9">
        <v>25.16</v>
      </c>
      <c r="F441" s="8" t="s">
        <v>132</v>
      </c>
      <c r="G441" s="10">
        <v>3513</v>
      </c>
      <c r="H441" s="11">
        <f t="array" ref="H441">INDEX([22]Monitoring!$H$6:$H$582,MATCH(1,([22]Monitoring!$D$6:$D$582=$D441)*([22]Monitoring!$D$6:$D$582=$D441),0))</f>
        <v>46151</v>
      </c>
      <c r="I441" s="143">
        <f t="array" ref="I441">INDEX([22]Monitoring!$I$6:$I$582,MATCH(1,([22]Monitoring!$D$6:$D$582=$D441)*([22]Monitoring!$D$6:$D$582=$D441),0))</f>
        <v>398</v>
      </c>
      <c r="J441" s="9">
        <f t="array" ref="J441">IFERROR(I441/G441*100,0)</f>
        <v>11.329348135496726</v>
      </c>
      <c r="K441" s="143">
        <f t="array" ref="K441">INDEX([22]Monitoring!$J$6:$J$582,MATCH(1,([22]Monitoring!$D$6:$D$582=$D441)*([22]Monitoring!$D$6:$D$582=$D441),0))</f>
        <v>48</v>
      </c>
      <c r="L441" s="9">
        <f t="shared" si="7"/>
        <v>12.060301507537687</v>
      </c>
      <c r="M441" s="8" t="str">
        <f t="array" ref="M441">IF(L441&gt;5,"Perlu Pengendalian",IF(AND(L441&gt;=0,I441&gt;0),"Tidak Perlu Pengendalian","Belum Sensus"))</f>
        <v>Perlu Pengendalian</v>
      </c>
    </row>
    <row r="442" spans="1:13" x14ac:dyDescent="0.15">
      <c r="A442" s="8" t="s">
        <v>322</v>
      </c>
      <c r="B442" s="8" t="s">
        <v>79</v>
      </c>
      <c r="C442" s="8" t="s">
        <v>452</v>
      </c>
      <c r="D442" s="8" t="s">
        <v>468</v>
      </c>
      <c r="E442" s="9">
        <v>25.72</v>
      </c>
      <c r="F442" s="8" t="s">
        <v>469</v>
      </c>
      <c r="G442" s="10">
        <v>3360</v>
      </c>
      <c r="H442" s="11">
        <f t="array" ref="H442">INDEX([22]Monitoring!$H$6:$H$582,MATCH(1,([22]Monitoring!$D$6:$D$582=$D442)*([22]Monitoring!$D$6:$D$582=$D442),0))</f>
        <v>46151</v>
      </c>
      <c r="I442" s="143">
        <f t="array" ref="I442">INDEX([22]Monitoring!$I$6:$I$582,MATCH(1,([22]Monitoring!$D$6:$D$582=$D442)*([22]Monitoring!$D$6:$D$582=$D442),0))</f>
        <v>375</v>
      </c>
      <c r="J442" s="9">
        <f t="array" ref="J442">IFERROR(I442/G442*100,0)</f>
        <v>11.160714285714286</v>
      </c>
      <c r="K442" s="143">
        <f t="array" ref="K442">INDEX([22]Monitoring!$J$6:$J$582,MATCH(1,([22]Monitoring!$D$6:$D$582=$D442)*([22]Monitoring!$D$6:$D$582=$D442),0))</f>
        <v>22</v>
      </c>
      <c r="L442" s="9">
        <f t="shared" si="7"/>
        <v>5.8666666666666663</v>
      </c>
      <c r="M442" s="8" t="str">
        <f t="array" ref="M442">IF(L442&gt;5,"Perlu Pengendalian",IF(AND(L442&gt;=0,I442&gt;0),"Tidak Perlu Pengendalian","Belum Sensus"))</f>
        <v>Perlu Pengendalian</v>
      </c>
    </row>
    <row r="443" spans="1:13" x14ac:dyDescent="0.15">
      <c r="A443" s="8" t="s">
        <v>322</v>
      </c>
      <c r="B443" s="8" t="s">
        <v>79</v>
      </c>
      <c r="C443" s="8" t="s">
        <v>452</v>
      </c>
      <c r="D443" s="8" t="s">
        <v>470</v>
      </c>
      <c r="E443" s="9">
        <v>24.51</v>
      </c>
      <c r="F443" s="8" t="s">
        <v>469</v>
      </c>
      <c r="G443" s="10">
        <v>3379</v>
      </c>
      <c r="H443" s="11">
        <f t="array" ref="H443">INDEX([22]Monitoring!$H$6:$H$582,MATCH(1,([22]Monitoring!$D$6:$D$582=$D443)*([22]Monitoring!$D$6:$D$582=$D443),0))</f>
        <v>46151</v>
      </c>
      <c r="I443" s="143">
        <f t="array" ref="I443">INDEX([22]Monitoring!$I$6:$I$582,MATCH(1,([22]Monitoring!$D$6:$D$582=$D443)*([22]Monitoring!$D$6:$D$582=$D443),0))</f>
        <v>357</v>
      </c>
      <c r="J443" s="9">
        <f t="array" ref="J443">IFERROR(I443/G443*100,0)</f>
        <v>10.565255992897308</v>
      </c>
      <c r="K443" s="143">
        <f t="array" ref="K443">INDEX([22]Monitoring!$J$6:$J$582,MATCH(1,([22]Monitoring!$D$6:$D$582=$D443)*([22]Monitoring!$D$6:$D$582=$D443),0))</f>
        <v>57</v>
      </c>
      <c r="L443" s="9">
        <f t="shared" si="7"/>
        <v>15.966386554621847</v>
      </c>
      <c r="M443" s="8" t="str">
        <f t="array" ref="M443">IF(L443&gt;5,"Perlu Pengendalian",IF(AND(L443&gt;=0,I443&gt;0),"Tidak Perlu Pengendalian","Belum Sensus"))</f>
        <v>Perlu Pengendalian</v>
      </c>
    </row>
    <row r="444" spans="1:13" x14ac:dyDescent="0.15">
      <c r="A444" s="8" t="s">
        <v>322</v>
      </c>
      <c r="B444" s="8" t="s">
        <v>79</v>
      </c>
      <c r="C444" s="8" t="s">
        <v>452</v>
      </c>
      <c r="D444" s="8" t="s">
        <v>471</v>
      </c>
      <c r="E444" s="9">
        <v>34.39</v>
      </c>
      <c r="F444" s="8" t="s">
        <v>132</v>
      </c>
      <c r="G444" s="10">
        <v>5099</v>
      </c>
      <c r="H444" s="11">
        <f t="array" ref="H444">INDEX([22]Monitoring!$H$6:$H$582,MATCH(1,([22]Monitoring!$D$6:$D$582=$D444)*([22]Monitoring!$D$6:$D$582=$D444),0))</f>
        <v>46149</v>
      </c>
      <c r="I444" s="143">
        <f t="array" ref="I444">INDEX([22]Monitoring!$I$6:$I$582,MATCH(1,([22]Monitoring!$D$6:$D$582=$D444)*([22]Monitoring!$D$6:$D$582=$D444),0))</f>
        <v>514</v>
      </c>
      <c r="J444" s="9">
        <f t="array" ref="J444">IFERROR(I444/G444*100,0)</f>
        <v>10.080407923122181</v>
      </c>
      <c r="K444" s="143">
        <f t="array" ref="K444">INDEX([22]Monitoring!$J$6:$J$582,MATCH(1,([22]Monitoring!$D$6:$D$582=$D444)*([22]Monitoring!$D$6:$D$582=$D444),0))</f>
        <v>56</v>
      </c>
      <c r="L444" s="9">
        <f t="shared" si="7"/>
        <v>10.894941634241246</v>
      </c>
      <c r="M444" s="8" t="str">
        <f t="array" ref="M444">IF(L444&gt;5,"Perlu Pengendalian",IF(AND(L444&gt;=0,I444&gt;0),"Tidak Perlu Pengendalian","Belum Sensus"))</f>
        <v>Perlu Pengendalian</v>
      </c>
    </row>
    <row r="445" spans="1:13" x14ac:dyDescent="0.15">
      <c r="A445" s="8" t="s">
        <v>322</v>
      </c>
      <c r="B445" s="8" t="s">
        <v>79</v>
      </c>
      <c r="C445" s="8" t="s">
        <v>452</v>
      </c>
      <c r="D445" s="8" t="s">
        <v>472</v>
      </c>
      <c r="E445" s="9">
        <v>33.68</v>
      </c>
      <c r="F445" s="8" t="s">
        <v>132</v>
      </c>
      <c r="G445" s="10">
        <v>5017</v>
      </c>
      <c r="H445" s="11">
        <f t="array" ref="H445">INDEX([22]Monitoring!$H$6:$H$582,MATCH(1,([22]Monitoring!$D$6:$D$582=$D445)*([22]Monitoring!$D$6:$D$582=$D445),0))</f>
        <v>46149</v>
      </c>
      <c r="I445" s="143">
        <f t="array" ref="I445">INDEX([22]Monitoring!$I$6:$I$582,MATCH(1,([22]Monitoring!$D$6:$D$582=$D445)*([22]Monitoring!$D$6:$D$582=$D445),0))</f>
        <v>505</v>
      </c>
      <c r="J445" s="9">
        <f t="array" ref="J445">IFERROR(I445/G445*100,0)</f>
        <v>10.065776360374725</v>
      </c>
      <c r="K445" s="143">
        <f t="array" ref="K445">INDEX([22]Monitoring!$J$6:$J$582,MATCH(1,([22]Monitoring!$D$6:$D$582=$D445)*([22]Monitoring!$D$6:$D$582=$D445),0))</f>
        <v>56</v>
      </c>
      <c r="L445" s="9">
        <f t="shared" si="7"/>
        <v>11.08910891089109</v>
      </c>
      <c r="M445" s="8" t="str">
        <f t="array" ref="M445">IF(L445&gt;5,"Perlu Pengendalian",IF(AND(L445&gt;=0,I445&gt;0),"Tidak Perlu Pengendalian","Belum Sensus"))</f>
        <v>Perlu Pengendalian</v>
      </c>
    </row>
    <row r="446" spans="1:13" x14ac:dyDescent="0.15">
      <c r="A446" s="8" t="s">
        <v>322</v>
      </c>
      <c r="B446" s="8" t="s">
        <v>79</v>
      </c>
      <c r="C446" s="8" t="s">
        <v>452</v>
      </c>
      <c r="D446" s="8" t="s">
        <v>473</v>
      </c>
      <c r="E446" s="9">
        <v>33.119999999999997</v>
      </c>
      <c r="F446" s="8" t="s">
        <v>132</v>
      </c>
      <c r="G446" s="10">
        <v>5000</v>
      </c>
      <c r="H446" s="11">
        <f t="array" ref="H446">INDEX([22]Monitoring!$H$6:$H$582,MATCH(1,([22]Monitoring!$D$6:$D$582=$D446)*([22]Monitoring!$D$6:$D$582=$D446),0))</f>
        <v>46149</v>
      </c>
      <c r="I446" s="143">
        <f t="array" ref="I446">INDEX([22]Monitoring!$I$6:$I$582,MATCH(1,([22]Monitoring!$D$6:$D$582=$D446)*([22]Monitoring!$D$6:$D$582=$D446),0))</f>
        <v>504</v>
      </c>
      <c r="J446" s="9">
        <f t="array" ref="J446">IFERROR(I446/G446*100,0)</f>
        <v>10.08</v>
      </c>
      <c r="K446" s="143">
        <f t="array" ref="K446">INDEX([22]Monitoring!$J$6:$J$582,MATCH(1,([22]Monitoring!$D$6:$D$582=$D446)*([22]Monitoring!$D$6:$D$582=$D446),0))</f>
        <v>78</v>
      </c>
      <c r="L446" s="9">
        <f t="shared" si="7"/>
        <v>15.476190476190476</v>
      </c>
      <c r="M446" s="8" t="str">
        <f t="array" ref="M446">IF(L446&gt;5,"Perlu Pengendalian",IF(AND(L446&gt;=0,I446&gt;0),"Tidak Perlu Pengendalian","Belum Sensus"))</f>
        <v>Perlu Pengendalian</v>
      </c>
    </row>
    <row r="447" spans="1:13" x14ac:dyDescent="0.15">
      <c r="A447" s="8" t="s">
        <v>322</v>
      </c>
      <c r="B447" s="8" t="s">
        <v>79</v>
      </c>
      <c r="C447" s="8" t="s">
        <v>452</v>
      </c>
      <c r="D447" s="8" t="s">
        <v>474</v>
      </c>
      <c r="E447" s="9">
        <v>34.409999999999997</v>
      </c>
      <c r="F447" s="8" t="s">
        <v>132</v>
      </c>
      <c r="G447" s="10">
        <v>5210</v>
      </c>
      <c r="H447" s="11">
        <f t="array" ref="H447">INDEX([22]Monitoring!$H$6:$H$582,MATCH(1,([22]Monitoring!$D$6:$D$582=$D447)*([22]Monitoring!$D$6:$D$582=$D447),0))</f>
        <v>46149</v>
      </c>
      <c r="I447" s="143">
        <f t="array" ref="I447">INDEX([22]Monitoring!$I$6:$I$582,MATCH(1,([22]Monitoring!$D$6:$D$582=$D447)*([22]Monitoring!$D$6:$D$582=$D447),0))</f>
        <v>554</v>
      </c>
      <c r="J447" s="9">
        <f t="array" ref="J447">IFERROR(I447/G447*100,0)</f>
        <v>10.633397312859886</v>
      </c>
      <c r="K447" s="143">
        <f t="array" ref="K447">INDEX([22]Monitoring!$J$6:$J$582,MATCH(1,([22]Monitoring!$D$6:$D$582=$D447)*([22]Monitoring!$D$6:$D$582=$D447),0))</f>
        <v>85</v>
      </c>
      <c r="L447" s="9">
        <f t="shared" si="7"/>
        <v>15.342960288808664</v>
      </c>
      <c r="M447" s="8" t="str">
        <f t="array" ref="M447">IF(L447&gt;5,"Perlu Pengendalian",IF(AND(L447&gt;=0,I447&gt;0),"Tidak Perlu Pengendalian","Belum Sensus"))</f>
        <v>Perlu Pengendalian</v>
      </c>
    </row>
    <row r="448" spans="1:13" x14ac:dyDescent="0.15">
      <c r="A448" s="8" t="s">
        <v>322</v>
      </c>
      <c r="B448" s="8" t="s">
        <v>79</v>
      </c>
      <c r="C448" s="8" t="s">
        <v>452</v>
      </c>
      <c r="D448" s="8" t="s">
        <v>475</v>
      </c>
      <c r="E448" s="9">
        <v>34.58</v>
      </c>
      <c r="F448" s="8" t="s">
        <v>132</v>
      </c>
      <c r="G448" s="10">
        <v>5208</v>
      </c>
      <c r="H448" s="11">
        <f t="array" ref="H448">INDEX([22]Monitoring!$H$6:$H$582,MATCH(1,([22]Monitoring!$D$6:$D$582=$D448)*([22]Monitoring!$D$6:$D$582=$D448),0))</f>
        <v>46149</v>
      </c>
      <c r="I448" s="143">
        <f t="array" ref="I448">INDEX([22]Monitoring!$I$6:$I$582,MATCH(1,([22]Monitoring!$D$6:$D$582=$D448)*([22]Monitoring!$D$6:$D$582=$D448),0))</f>
        <v>529</v>
      </c>
      <c r="J448" s="9">
        <f t="array" ref="J448">IFERROR(I448/G448*100,0)</f>
        <v>10.157450076804915</v>
      </c>
      <c r="K448" s="143">
        <f t="array" ref="K448">INDEX([22]Monitoring!$J$6:$J$582,MATCH(1,([22]Monitoring!$D$6:$D$582=$D448)*([22]Monitoring!$D$6:$D$582=$D448),0))</f>
        <v>38</v>
      </c>
      <c r="L448" s="9">
        <f t="shared" si="7"/>
        <v>7.1833648393194709</v>
      </c>
      <c r="M448" s="8" t="str">
        <f t="array" ref="M448">IF(L448&gt;5,"Perlu Pengendalian",IF(AND(L448&gt;=0,I448&gt;0),"Tidak Perlu Pengendalian","Belum Sensus"))</f>
        <v>Perlu Pengendalian</v>
      </c>
    </row>
    <row r="449" spans="1:13" x14ac:dyDescent="0.15">
      <c r="A449" s="8" t="s">
        <v>322</v>
      </c>
      <c r="B449" s="8" t="s">
        <v>79</v>
      </c>
      <c r="C449" s="8" t="s">
        <v>452</v>
      </c>
      <c r="D449" s="8" t="s">
        <v>476</v>
      </c>
      <c r="E449" s="9">
        <v>32.369999999999997</v>
      </c>
      <c r="F449" s="8" t="s">
        <v>132</v>
      </c>
      <c r="G449" s="10">
        <v>4504</v>
      </c>
      <c r="H449" s="11">
        <f t="array" ref="H449">INDEX([22]Monitoring!$H$6:$H$582,MATCH(1,([22]Monitoring!$D$6:$D$582=$D449)*([22]Monitoring!$D$6:$D$582=$D449),0))</f>
        <v>46149</v>
      </c>
      <c r="I449" s="143">
        <f t="array" ref="I449">INDEX([22]Monitoring!$I$6:$I$582,MATCH(1,([22]Monitoring!$D$6:$D$582=$D449)*([22]Monitoring!$D$6:$D$582=$D449),0))</f>
        <v>482</v>
      </c>
      <c r="J449" s="9">
        <f t="array" ref="J449">IFERROR(I449/G449*100,0)</f>
        <v>10.701598579040853</v>
      </c>
      <c r="K449" s="143">
        <f t="array" ref="K449">INDEX([22]Monitoring!$J$6:$J$582,MATCH(1,([22]Monitoring!$D$6:$D$582=$D449)*([22]Monitoring!$D$6:$D$582=$D449),0))</f>
        <v>35</v>
      </c>
      <c r="L449" s="9">
        <f t="shared" si="7"/>
        <v>7.2614107883817436</v>
      </c>
      <c r="M449" s="8" t="str">
        <f t="array" ref="M449">IF(L449&gt;5,"Perlu Pengendalian",IF(AND(L449&gt;=0,I449&gt;0),"Tidak Perlu Pengendalian","Belum Sensus"))</f>
        <v>Perlu Pengendalian</v>
      </c>
    </row>
    <row r="450" spans="1:13" x14ac:dyDescent="0.15">
      <c r="A450" s="8" t="s">
        <v>322</v>
      </c>
      <c r="B450" s="8" t="s">
        <v>79</v>
      </c>
      <c r="C450" s="8" t="s">
        <v>452</v>
      </c>
      <c r="D450" s="8" t="s">
        <v>477</v>
      </c>
      <c r="E450" s="9">
        <v>36.49</v>
      </c>
      <c r="F450" s="8" t="s">
        <v>132</v>
      </c>
      <c r="G450" s="10">
        <v>5027</v>
      </c>
      <c r="H450" s="11">
        <f t="array" ref="H450">INDEX([22]Monitoring!$H$6:$H$582,MATCH(1,([22]Monitoring!$D$6:$D$582=$D450)*([22]Monitoring!$D$6:$D$582=$D450),0))</f>
        <v>46149</v>
      </c>
      <c r="I450" s="143">
        <f t="array" ref="I450">INDEX([22]Monitoring!$I$6:$I$582,MATCH(1,([22]Monitoring!$D$6:$D$582=$D450)*([22]Monitoring!$D$6:$D$582=$D450),0))</f>
        <v>568</v>
      </c>
      <c r="J450" s="9">
        <f t="array" ref="J450">IFERROR(I450/G450*100,0)</f>
        <v>11.298985478416551</v>
      </c>
      <c r="K450" s="143">
        <f t="array" ref="K450">INDEX([22]Monitoring!$J$6:$J$582,MATCH(1,([22]Monitoring!$D$6:$D$582=$D450)*([22]Monitoring!$D$6:$D$582=$D450),0))</f>
        <v>78</v>
      </c>
      <c r="L450" s="9">
        <f t="shared" si="7"/>
        <v>13.732394366197184</v>
      </c>
      <c r="M450" s="8" t="str">
        <f t="array" ref="M450">IF(L450&gt;5,"Perlu Pengendalian",IF(AND(L450&gt;=0,I450&gt;0),"Tidak Perlu Pengendalian","Belum Sensus"))</f>
        <v>Perlu Pengendalian</v>
      </c>
    </row>
    <row r="451" spans="1:13" x14ac:dyDescent="0.15">
      <c r="A451" s="8" t="s">
        <v>322</v>
      </c>
      <c r="B451" s="8" t="s">
        <v>79</v>
      </c>
      <c r="C451" s="8" t="s">
        <v>452</v>
      </c>
      <c r="D451" s="8" t="s">
        <v>478</v>
      </c>
      <c r="E451" s="9">
        <v>32.58</v>
      </c>
      <c r="F451" s="8" t="s">
        <v>132</v>
      </c>
      <c r="G451" s="10">
        <v>4837</v>
      </c>
      <c r="H451" s="11">
        <f t="array" ref="H451">INDEX([22]Monitoring!$H$6:$H$582,MATCH(1,([22]Monitoring!$D$6:$D$582=$D451)*([22]Monitoring!$D$6:$D$582=$D451),0))</f>
        <v>46150</v>
      </c>
      <c r="I451" s="143">
        <f t="array" ref="I451">INDEX([22]Monitoring!$I$6:$I$582,MATCH(1,([22]Monitoring!$D$6:$D$582=$D451)*([22]Monitoring!$D$6:$D$582=$D451),0))</f>
        <v>638</v>
      </c>
      <c r="J451" s="9">
        <f t="array" ref="J451">IFERROR(I451/G451*100,0)</f>
        <v>13.189993797808558</v>
      </c>
      <c r="K451" s="143">
        <f t="array" ref="K451">INDEX([22]Monitoring!$J$6:$J$582,MATCH(1,([22]Monitoring!$D$6:$D$582=$D451)*([22]Monitoring!$D$6:$D$582=$D451),0))</f>
        <v>124</v>
      </c>
      <c r="L451" s="9">
        <f t="shared" si="7"/>
        <v>19.435736677115987</v>
      </c>
      <c r="M451" s="8" t="str">
        <f t="array" ref="M451">IF(L451&gt;5,"Perlu Pengendalian",IF(AND(L451&gt;=0,I451&gt;0),"Tidak Perlu Pengendalian","Belum Sensus"))</f>
        <v>Perlu Pengendalian</v>
      </c>
    </row>
    <row r="452" spans="1:13" x14ac:dyDescent="0.15">
      <c r="A452" s="8" t="s">
        <v>322</v>
      </c>
      <c r="B452" s="8" t="s">
        <v>79</v>
      </c>
      <c r="C452" s="8" t="s">
        <v>452</v>
      </c>
      <c r="D452" s="8" t="s">
        <v>479</v>
      </c>
      <c r="E452" s="9">
        <v>33.76</v>
      </c>
      <c r="F452" s="8" t="s">
        <v>132</v>
      </c>
      <c r="G452" s="10">
        <v>4918</v>
      </c>
      <c r="H452" s="11">
        <f t="array" ref="H452">INDEX([22]Monitoring!$H$6:$H$582,MATCH(1,([22]Monitoring!$D$6:$D$582=$D452)*([22]Monitoring!$D$6:$D$582=$D452),0))</f>
        <v>46150</v>
      </c>
      <c r="I452" s="143">
        <f t="array" ref="I452">INDEX([22]Monitoring!$I$6:$I$582,MATCH(1,([22]Monitoring!$D$6:$D$582=$D452)*([22]Monitoring!$D$6:$D$582=$D452),0))</f>
        <v>604</v>
      </c>
      <c r="J452" s="9">
        <f t="array" ref="J452">IFERROR(I452/G452*100,0)</f>
        <v>12.281415209434728</v>
      </c>
      <c r="K452" s="143">
        <f t="array" ref="K452">INDEX([22]Monitoring!$J$6:$J$582,MATCH(1,([22]Monitoring!$D$6:$D$582=$D452)*([22]Monitoring!$D$6:$D$582=$D452),0))</f>
        <v>79</v>
      </c>
      <c r="L452" s="9">
        <f t="shared" si="7"/>
        <v>13.079470198675496</v>
      </c>
      <c r="M452" s="8" t="str">
        <f t="array" ref="M452">IF(L452&gt;5,"Perlu Pengendalian",IF(AND(L452&gt;=0,I452&gt;0),"Tidak Perlu Pengendalian","Belum Sensus"))</f>
        <v>Perlu Pengendalian</v>
      </c>
    </row>
    <row r="453" spans="1:13" x14ac:dyDescent="0.15">
      <c r="A453" s="8" t="s">
        <v>322</v>
      </c>
      <c r="B453" s="8" t="s">
        <v>79</v>
      </c>
      <c r="C453" s="8" t="s">
        <v>452</v>
      </c>
      <c r="D453" s="8" t="s">
        <v>480</v>
      </c>
      <c r="E453" s="9">
        <v>34.54</v>
      </c>
      <c r="F453" s="8" t="s">
        <v>132</v>
      </c>
      <c r="G453" s="10">
        <v>5086</v>
      </c>
      <c r="H453" s="11">
        <f t="array" ref="H453">INDEX([22]Monitoring!$H$6:$H$582,MATCH(1,([22]Monitoring!$D$6:$D$582=$D453)*([22]Monitoring!$D$6:$D$582=$D453),0))</f>
        <v>46150</v>
      </c>
      <c r="I453" s="143">
        <f t="array" ref="I453">INDEX([22]Monitoring!$I$6:$I$582,MATCH(1,([22]Monitoring!$D$6:$D$582=$D453)*([22]Monitoring!$D$6:$D$582=$D453),0))</f>
        <v>616</v>
      </c>
      <c r="J453" s="9">
        <f t="array" ref="J453">IFERROR(I453/G453*100,0)</f>
        <v>12.111679119150608</v>
      </c>
      <c r="K453" s="143">
        <f t="array" ref="K453">INDEX([22]Monitoring!$J$6:$J$582,MATCH(1,([22]Monitoring!$D$6:$D$582=$D453)*([22]Monitoring!$D$6:$D$582=$D453),0))</f>
        <v>84</v>
      </c>
      <c r="L453" s="9">
        <f t="shared" si="7"/>
        <v>13.636363636363635</v>
      </c>
      <c r="M453" s="8" t="str">
        <f t="array" ref="M453">IF(L453&gt;5,"Perlu Pengendalian",IF(AND(L453&gt;=0,I453&gt;0),"Tidak Perlu Pengendalian","Belum Sensus"))</f>
        <v>Perlu Pengendalian</v>
      </c>
    </row>
    <row r="454" spans="1:13" x14ac:dyDescent="0.15">
      <c r="A454" s="8" t="s">
        <v>322</v>
      </c>
      <c r="B454" s="8" t="s">
        <v>79</v>
      </c>
      <c r="C454" s="8" t="s">
        <v>452</v>
      </c>
      <c r="D454" s="8" t="s">
        <v>481</v>
      </c>
      <c r="E454" s="9">
        <v>35.619999999999997</v>
      </c>
      <c r="F454" s="8" t="s">
        <v>132</v>
      </c>
      <c r="G454" s="10">
        <v>5073</v>
      </c>
      <c r="H454" s="11">
        <f t="array" ref="H454">INDEX([22]Monitoring!$H$6:$H$582,MATCH(1,([22]Monitoring!$D$6:$D$582=$D454)*([22]Monitoring!$D$6:$D$582=$D454),0))</f>
        <v>46150</v>
      </c>
      <c r="I454" s="143">
        <f t="array" ref="I454">INDEX([22]Monitoring!$I$6:$I$582,MATCH(1,([22]Monitoring!$D$6:$D$582=$D454)*([22]Monitoring!$D$6:$D$582=$D454),0))</f>
        <v>614</v>
      </c>
      <c r="J454" s="9">
        <f t="array" ref="J454">IFERROR(I454/G454*100,0)</f>
        <v>12.103291937709443</v>
      </c>
      <c r="K454" s="143">
        <f t="array" ref="K454">INDEX([22]Monitoring!$J$6:$J$582,MATCH(1,([22]Monitoring!$D$6:$D$582=$D454)*([22]Monitoring!$D$6:$D$582=$D454),0))</f>
        <v>90</v>
      </c>
      <c r="L454" s="9">
        <f t="shared" si="7"/>
        <v>14.65798045602606</v>
      </c>
      <c r="M454" s="8" t="str">
        <f t="array" ref="M454">IF(L454&gt;5,"Perlu Pengendalian",IF(AND(L454&gt;=0,I454&gt;0),"Tidak Perlu Pengendalian","Belum Sensus"))</f>
        <v>Perlu Pengendalian</v>
      </c>
    </row>
    <row r="455" spans="1:13" x14ac:dyDescent="0.15">
      <c r="A455" s="8" t="s">
        <v>322</v>
      </c>
      <c r="B455" s="8" t="s">
        <v>79</v>
      </c>
      <c r="C455" s="8" t="s">
        <v>452</v>
      </c>
      <c r="D455" s="8" t="s">
        <v>482</v>
      </c>
      <c r="E455" s="9">
        <v>33.68</v>
      </c>
      <c r="F455" s="8" t="s">
        <v>132</v>
      </c>
      <c r="G455" s="10">
        <v>4742</v>
      </c>
      <c r="H455" s="11">
        <f t="array" ref="H455">INDEX([22]Monitoring!$H$6:$H$582,MATCH(1,([22]Monitoring!$D$6:$D$582=$D455)*([22]Monitoring!$D$6:$D$582=$D455),0))</f>
        <v>46150</v>
      </c>
      <c r="I455" s="143">
        <f t="array" ref="I455">INDEX([22]Monitoring!$I$6:$I$582,MATCH(1,([22]Monitoring!$D$6:$D$582=$D455)*([22]Monitoring!$D$6:$D$582=$D455),0))</f>
        <v>532</v>
      </c>
      <c r="J455" s="9">
        <f t="array" ref="J455">IFERROR(I455/G455*100,0)</f>
        <v>11.218894981020666</v>
      </c>
      <c r="K455" s="143">
        <f t="array" ref="K455">INDEX([22]Monitoring!$J$6:$J$582,MATCH(1,([22]Monitoring!$D$6:$D$582=$D455)*([22]Monitoring!$D$6:$D$582=$D455),0))</f>
        <v>67</v>
      </c>
      <c r="L455" s="9">
        <f t="shared" si="7"/>
        <v>12.593984962406015</v>
      </c>
      <c r="M455" s="8" t="str">
        <f t="array" ref="M455">IF(L455&gt;5,"Perlu Pengendalian",IF(AND(L455&gt;=0,I455&gt;0),"Tidak Perlu Pengendalian","Belum Sensus"))</f>
        <v>Perlu Pengendalian</v>
      </c>
    </row>
    <row r="456" spans="1:13" x14ac:dyDescent="0.15">
      <c r="A456" s="8" t="s">
        <v>322</v>
      </c>
      <c r="B456" s="8" t="s">
        <v>79</v>
      </c>
      <c r="C456" s="8" t="s">
        <v>452</v>
      </c>
      <c r="D456" s="8" t="s">
        <v>483</v>
      </c>
      <c r="E456" s="9">
        <v>34.130000000000003</v>
      </c>
      <c r="F456" s="8" t="s">
        <v>132</v>
      </c>
      <c r="G456" s="10">
        <v>4931</v>
      </c>
      <c r="H456" s="11">
        <f t="array" ref="H456">INDEX([22]Monitoring!$H$6:$H$582,MATCH(1,([22]Monitoring!$D$6:$D$582=$D456)*([22]Monitoring!$D$6:$D$582=$D456),0))</f>
        <v>46150</v>
      </c>
      <c r="I456" s="143">
        <f t="array" ref="I456">INDEX([22]Monitoring!$I$6:$I$582,MATCH(1,([22]Monitoring!$D$6:$D$582=$D456)*([22]Monitoring!$D$6:$D$582=$D456),0))</f>
        <v>560</v>
      </c>
      <c r="J456" s="9">
        <f t="array" ref="J456">IFERROR(I456/G456*100,0)</f>
        <v>11.356722774285135</v>
      </c>
      <c r="K456" s="143">
        <f t="array" ref="K456">INDEX([22]Monitoring!$J$6:$J$582,MATCH(1,([22]Monitoring!$D$6:$D$582=$D456)*([22]Monitoring!$D$6:$D$582=$D456),0))</f>
        <v>89</v>
      </c>
      <c r="L456" s="9">
        <f t="shared" si="7"/>
        <v>15.892857142857142</v>
      </c>
      <c r="M456" s="8" t="str">
        <f t="array" ref="M456">IF(L456&gt;5,"Perlu Pengendalian",IF(AND(L456&gt;=0,I456&gt;0),"Tidak Perlu Pengendalian","Belum Sensus"))</f>
        <v>Perlu Pengendalian</v>
      </c>
    </row>
    <row r="457" spans="1:13" x14ac:dyDescent="0.15">
      <c r="A457" s="8" t="s">
        <v>322</v>
      </c>
      <c r="B457" s="8" t="s">
        <v>79</v>
      </c>
      <c r="C457" s="8" t="s">
        <v>452</v>
      </c>
      <c r="D457" s="8" t="s">
        <v>484</v>
      </c>
      <c r="E457" s="9">
        <v>33.94</v>
      </c>
      <c r="F457" s="8" t="s">
        <v>132</v>
      </c>
      <c r="G457" s="10">
        <v>4693</v>
      </c>
      <c r="H457" s="11">
        <f t="array" ref="H457">INDEX([22]Monitoring!$H$6:$H$582,MATCH(1,([22]Monitoring!$D$6:$D$582=$D457)*([22]Monitoring!$D$6:$D$582=$D457),0))</f>
        <v>46150</v>
      </c>
      <c r="I457" s="143">
        <f t="array" ref="I457">INDEX([22]Monitoring!$I$6:$I$582,MATCH(1,([22]Monitoring!$D$6:$D$582=$D457)*([22]Monitoring!$D$6:$D$582=$D457),0))</f>
        <v>558</v>
      </c>
      <c r="J457" s="9">
        <f t="array" ref="J457">IFERROR(I457/G457*100,0)</f>
        <v>11.890049009162583</v>
      </c>
      <c r="K457" s="143">
        <f t="array" ref="K457">INDEX([22]Monitoring!$J$6:$J$582,MATCH(1,([22]Monitoring!$D$6:$D$582=$D457)*([22]Monitoring!$D$6:$D$582=$D457),0))</f>
        <v>81</v>
      </c>
      <c r="L457" s="9">
        <f t="shared" si="7"/>
        <v>14.516129032258066</v>
      </c>
      <c r="M457" s="8" t="str">
        <f t="array" ref="M457">IF(L457&gt;5,"Perlu Pengendalian",IF(AND(L457&gt;=0,I457&gt;0),"Tidak Perlu Pengendalian","Belum Sensus"))</f>
        <v>Perlu Pengendalian</v>
      </c>
    </row>
    <row r="458" spans="1:13" x14ac:dyDescent="0.15">
      <c r="A458" s="8" t="s">
        <v>322</v>
      </c>
      <c r="B458" s="8" t="s">
        <v>79</v>
      </c>
      <c r="C458" s="8" t="s">
        <v>452</v>
      </c>
      <c r="D458" s="8" t="s">
        <v>485</v>
      </c>
      <c r="E458" s="9">
        <v>34.53</v>
      </c>
      <c r="F458" s="8" t="s">
        <v>132</v>
      </c>
      <c r="G458" s="10">
        <v>4886</v>
      </c>
      <c r="H458" s="11">
        <f t="array" ref="H458">INDEX([22]Monitoring!$H$6:$H$582,MATCH(1,([22]Monitoring!$D$6:$D$582=$D458)*([22]Monitoring!$D$6:$D$582=$D458),0))</f>
        <v>46150</v>
      </c>
      <c r="I458" s="143">
        <f t="array" ref="I458">INDEX([22]Monitoring!$I$6:$I$582,MATCH(1,([22]Monitoring!$D$6:$D$582=$D458)*([22]Monitoring!$D$6:$D$582=$D458),0))</f>
        <v>567</v>
      </c>
      <c r="J458" s="9">
        <f t="array" ref="J458">IFERROR(I458/G458*100,0)</f>
        <v>11.604584527220631</v>
      </c>
      <c r="K458" s="143">
        <f t="array" ref="K458">INDEX([22]Monitoring!$J$6:$J$582,MATCH(1,([22]Monitoring!$D$6:$D$582=$D458)*([22]Monitoring!$D$6:$D$582=$D458),0))</f>
        <v>99</v>
      </c>
      <c r="L458" s="9">
        <f t="shared" si="7"/>
        <v>17.460317460317459</v>
      </c>
      <c r="M458" s="8" t="str">
        <f t="array" ref="M458">IF(L458&gt;5,"Perlu Pengendalian",IF(AND(L458&gt;=0,I458&gt;0),"Tidak Perlu Pengendalian","Belum Sensus"))</f>
        <v>Perlu Pengendalian</v>
      </c>
    </row>
    <row r="459" spans="1:13" x14ac:dyDescent="0.15">
      <c r="A459" s="8" t="s">
        <v>322</v>
      </c>
      <c r="B459" s="8" t="s">
        <v>79</v>
      </c>
      <c r="C459" s="8" t="s">
        <v>452</v>
      </c>
      <c r="D459" s="8" t="s">
        <v>486</v>
      </c>
      <c r="E459" s="9">
        <v>34.85</v>
      </c>
      <c r="F459" s="8" t="s">
        <v>469</v>
      </c>
      <c r="G459" s="10">
        <v>4369</v>
      </c>
      <c r="H459" s="11">
        <f t="array" ref="H459">INDEX([22]Monitoring!$H$6:$H$582,MATCH(1,([22]Monitoring!$D$6:$D$582=$D459)*([22]Monitoring!$D$6:$D$582=$D459),0))</f>
        <v>46150</v>
      </c>
      <c r="I459" s="143">
        <f t="array" ref="I459">INDEX([22]Monitoring!$I$6:$I$582,MATCH(1,([22]Monitoring!$D$6:$D$582=$D459)*([22]Monitoring!$D$6:$D$582=$D459),0))</f>
        <v>592</v>
      </c>
      <c r="J459" s="9">
        <f t="array" ref="J459">IFERROR(I459/G459*100,0)</f>
        <v>13.550011444266422</v>
      </c>
      <c r="K459" s="143">
        <f t="array" ref="K459">INDEX([22]Monitoring!$J$6:$J$582,MATCH(1,([22]Monitoring!$D$6:$D$582=$D459)*([22]Monitoring!$D$6:$D$582=$D459),0))</f>
        <v>94</v>
      </c>
      <c r="L459" s="9">
        <f t="shared" si="7"/>
        <v>15.878378378378377</v>
      </c>
      <c r="M459" s="8" t="str">
        <f t="array" ref="M459">IF(L459&gt;5,"Perlu Pengendalian",IF(AND(L459&gt;=0,I459&gt;0),"Tidak Perlu Pengendalian","Belum Sensus"))</f>
        <v>Perlu Pengendalian</v>
      </c>
    </row>
    <row r="460" spans="1:13" x14ac:dyDescent="0.15">
      <c r="A460" s="8" t="s">
        <v>322</v>
      </c>
      <c r="B460" s="8" t="s">
        <v>107</v>
      </c>
      <c r="C460" s="8" t="s">
        <v>487</v>
      </c>
      <c r="D460" s="8" t="s">
        <v>488</v>
      </c>
      <c r="E460" s="9">
        <v>27.97</v>
      </c>
      <c r="F460" s="8" t="s">
        <v>325</v>
      </c>
      <c r="G460" s="10">
        <v>4040</v>
      </c>
      <c r="H460" s="11">
        <f t="array" ref="H460">INDEX([22]Monitoring!$H$6:$H$582,MATCH(1,([22]Monitoring!$D$6:$D$582=$D460)*([22]Monitoring!$D$6:$D$582=$D460),0))</f>
        <v>46153</v>
      </c>
      <c r="I460" s="143">
        <f t="array" ref="I460">INDEX([22]Monitoring!$I$6:$I$582,MATCH(1,([22]Monitoring!$D$6:$D$582=$D460)*([22]Monitoring!$D$6:$D$582=$D460),0))</f>
        <v>352</v>
      </c>
      <c r="J460" s="9">
        <f t="array" ref="J460">IFERROR(I460/G460*100,0)</f>
        <v>8.7128712871287117</v>
      </c>
      <c r="K460" s="143">
        <f t="array" ref="K460">INDEX([22]Monitoring!$J$6:$J$582,MATCH(1,([22]Monitoring!$D$6:$D$582=$D460)*([22]Monitoring!$D$6:$D$582=$D460),0))</f>
        <v>26</v>
      </c>
      <c r="L460" s="9">
        <f t="shared" si="7"/>
        <v>7.3863636363636367</v>
      </c>
      <c r="M460" s="8" t="str">
        <f t="array" ref="M460">IF(L460&gt;5,"Perlu Pengendalian",IF(AND(L460&gt;=0,I460&gt;0),"Tidak Perlu Pengendalian","Belum Sensus"))</f>
        <v>Perlu Pengendalian</v>
      </c>
    </row>
    <row r="461" spans="1:13" x14ac:dyDescent="0.15">
      <c r="A461" s="8" t="s">
        <v>322</v>
      </c>
      <c r="B461" s="8" t="s">
        <v>107</v>
      </c>
      <c r="C461" s="8" t="s">
        <v>487</v>
      </c>
      <c r="D461" s="8" t="s">
        <v>489</v>
      </c>
      <c r="E461" s="9">
        <v>40.64</v>
      </c>
      <c r="F461" s="8" t="s">
        <v>325</v>
      </c>
      <c r="G461" s="10">
        <v>6228</v>
      </c>
      <c r="H461" s="11">
        <f t="array" ref="H461">INDEX([22]Monitoring!$H$6:$H$582,MATCH(1,([22]Monitoring!$D$6:$D$582=$D461)*([22]Monitoring!$D$6:$D$582=$D461),0))</f>
        <v>46153</v>
      </c>
      <c r="I461" s="143">
        <f t="array" ref="I461">INDEX([22]Monitoring!$I$6:$I$582,MATCH(1,([22]Monitoring!$D$6:$D$582=$D461)*([22]Monitoring!$D$6:$D$582=$D461),0))</f>
        <v>391</v>
      </c>
      <c r="J461" s="9">
        <f t="array" ref="J461">IFERROR(I461/G461*100,0)</f>
        <v>6.2780989081567107</v>
      </c>
      <c r="K461" s="143">
        <f t="array" ref="K461">INDEX([22]Monitoring!$J$6:$J$582,MATCH(1,([22]Monitoring!$D$6:$D$582=$D461)*([22]Monitoring!$D$6:$D$582=$D461),0))</f>
        <v>65</v>
      </c>
      <c r="L461" s="9">
        <f t="shared" si="7"/>
        <v>16.624040920716112</v>
      </c>
      <c r="M461" s="8" t="str">
        <f t="array" ref="M461">IF(L461&gt;5,"Perlu Pengendalian",IF(AND(L461&gt;=0,I461&gt;0),"Tidak Perlu Pengendalian","Belum Sensus"))</f>
        <v>Perlu Pengendalian</v>
      </c>
    </row>
    <row r="462" spans="1:13" x14ac:dyDescent="0.15">
      <c r="A462" s="8" t="s">
        <v>322</v>
      </c>
      <c r="B462" s="8" t="s">
        <v>107</v>
      </c>
      <c r="C462" s="8" t="s">
        <v>487</v>
      </c>
      <c r="D462" s="8" t="s">
        <v>490</v>
      </c>
      <c r="E462" s="9">
        <v>26.5</v>
      </c>
      <c r="F462" s="8" t="s">
        <v>325</v>
      </c>
      <c r="G462" s="10">
        <v>4096</v>
      </c>
      <c r="H462" s="11">
        <f t="array" ref="H462">INDEX([22]Monitoring!$H$6:$H$582,MATCH(1,([22]Monitoring!$D$6:$D$582=$D462)*([22]Monitoring!$D$6:$D$582=$D462),0))</f>
        <v>46151</v>
      </c>
      <c r="I462" s="143">
        <f t="array" ref="I462">INDEX([22]Monitoring!$I$6:$I$582,MATCH(1,([22]Monitoring!$D$6:$D$582=$D462)*([22]Monitoring!$D$6:$D$582=$D462),0))</f>
        <v>394</v>
      </c>
      <c r="J462" s="9">
        <f t="array" ref="J462">IFERROR(I462/G462*100,0)</f>
        <v>9.619140625</v>
      </c>
      <c r="K462" s="143">
        <f t="array" ref="K462">INDEX([22]Monitoring!$J$6:$J$582,MATCH(1,([22]Monitoring!$D$6:$D$582=$D462)*([22]Monitoring!$D$6:$D$582=$D462),0))</f>
        <v>71</v>
      </c>
      <c r="L462" s="9">
        <f t="shared" si="7"/>
        <v>18.020304568527919</v>
      </c>
      <c r="M462" s="8" t="str">
        <f t="array" ref="M462">IF(L462&gt;5,"Perlu Pengendalian",IF(AND(L462&gt;=0,I462&gt;0),"Tidak Perlu Pengendalian","Belum Sensus"))</f>
        <v>Perlu Pengendalian</v>
      </c>
    </row>
    <row r="463" spans="1:13" x14ac:dyDescent="0.15">
      <c r="A463" s="8" t="s">
        <v>322</v>
      </c>
      <c r="B463" s="8" t="s">
        <v>107</v>
      </c>
      <c r="C463" s="8" t="s">
        <v>487</v>
      </c>
      <c r="D463" s="8" t="s">
        <v>491</v>
      </c>
      <c r="E463" s="9">
        <v>44.18</v>
      </c>
      <c r="F463" s="8" t="s">
        <v>325</v>
      </c>
      <c r="G463" s="10">
        <v>6921</v>
      </c>
      <c r="H463" s="11">
        <f t="array" ref="H463">INDEX([22]Monitoring!$H$6:$H$582,MATCH(1,([22]Monitoring!$D$6:$D$582=$D463)*([22]Monitoring!$D$6:$D$582=$D463),0))</f>
        <v>46153</v>
      </c>
      <c r="I463" s="143">
        <f t="array" ref="I463">INDEX([22]Monitoring!$I$6:$I$582,MATCH(1,([22]Monitoring!$D$6:$D$582=$D463)*([22]Monitoring!$D$6:$D$582=$D463),0))</f>
        <v>727</v>
      </c>
      <c r="J463" s="9">
        <f t="array" ref="J463">IFERROR(I463/G463*100,0)</f>
        <v>10.504262389828058</v>
      </c>
      <c r="K463" s="143">
        <f t="array" ref="K463">INDEX([22]Monitoring!$J$6:$J$582,MATCH(1,([22]Monitoring!$D$6:$D$582=$D463)*([22]Monitoring!$D$6:$D$582=$D463),0))</f>
        <v>68</v>
      </c>
      <c r="L463" s="9">
        <f t="shared" si="7"/>
        <v>9.3535075653370026</v>
      </c>
      <c r="M463" s="8" t="str">
        <f t="array" ref="M463">IF(L463&gt;5,"Perlu Pengendalian",IF(AND(L463&gt;=0,I463&gt;0),"Tidak Perlu Pengendalian","Belum Sensus"))</f>
        <v>Perlu Pengendalian</v>
      </c>
    </row>
    <row r="464" spans="1:13" x14ac:dyDescent="0.15">
      <c r="A464" s="8" t="s">
        <v>322</v>
      </c>
      <c r="B464" s="8" t="s">
        <v>107</v>
      </c>
      <c r="C464" s="8" t="s">
        <v>487</v>
      </c>
      <c r="D464" s="8" t="s">
        <v>492</v>
      </c>
      <c r="E464" s="9">
        <v>25.21</v>
      </c>
      <c r="F464" s="8" t="s">
        <v>325</v>
      </c>
      <c r="G464" s="10">
        <v>3836</v>
      </c>
      <c r="H464" s="11">
        <f t="array" ref="H464">INDEX([22]Monitoring!$H$6:$H$582,MATCH(1,([22]Monitoring!$D$6:$D$582=$D464)*([22]Monitoring!$D$6:$D$582=$D464),0))</f>
        <v>46153</v>
      </c>
      <c r="I464" s="143">
        <f t="array" ref="I464">INDEX([22]Monitoring!$I$6:$I$582,MATCH(1,([22]Monitoring!$D$6:$D$582=$D464)*([22]Monitoring!$D$6:$D$582=$D464),0))</f>
        <v>315</v>
      </c>
      <c r="J464" s="9">
        <f t="array" ref="J464">IFERROR(I464/G464*100,0)</f>
        <v>8.2116788321167888</v>
      </c>
      <c r="K464" s="143">
        <f t="array" ref="K464">INDEX([22]Monitoring!$J$6:$J$582,MATCH(1,([22]Monitoring!$D$6:$D$582=$D464)*([22]Monitoring!$D$6:$D$582=$D464),0))</f>
        <v>80</v>
      </c>
      <c r="L464" s="9">
        <f t="shared" si="7"/>
        <v>25.396825396825395</v>
      </c>
      <c r="M464" s="8" t="str">
        <f t="array" ref="M464">IF(L464&gt;5,"Perlu Pengendalian",IF(AND(L464&gt;=0,I464&gt;0),"Tidak Perlu Pengendalian","Belum Sensus"))</f>
        <v>Perlu Pengendalian</v>
      </c>
    </row>
    <row r="465" spans="1:13" x14ac:dyDescent="0.15">
      <c r="A465" s="8" t="s">
        <v>322</v>
      </c>
      <c r="B465" s="8" t="s">
        <v>107</v>
      </c>
      <c r="C465" s="8" t="s">
        <v>487</v>
      </c>
      <c r="D465" s="8" t="s">
        <v>493</v>
      </c>
      <c r="E465" s="9">
        <v>41.48</v>
      </c>
      <c r="F465" s="8" t="s">
        <v>325</v>
      </c>
      <c r="G465" s="10">
        <v>6340</v>
      </c>
      <c r="H465" s="11">
        <f t="array" ref="H465">INDEX([22]Monitoring!$H$6:$H$582,MATCH(1,([22]Monitoring!$D$6:$D$582=$D465)*([22]Monitoring!$D$6:$D$582=$D465),0))</f>
        <v>46153</v>
      </c>
      <c r="I465" s="143">
        <f t="array" ref="I465">INDEX([22]Monitoring!$I$6:$I$582,MATCH(1,([22]Monitoring!$D$6:$D$582=$D465)*([22]Monitoring!$D$6:$D$582=$D465),0))</f>
        <v>543</v>
      </c>
      <c r="J465" s="9">
        <f t="array" ref="J465">IFERROR(I465/G465*100,0)</f>
        <v>8.5646687697160893</v>
      </c>
      <c r="K465" s="143">
        <f t="array" ref="K465">INDEX([22]Monitoring!$J$6:$J$582,MATCH(1,([22]Monitoring!$D$6:$D$582=$D465)*([22]Monitoring!$D$6:$D$582=$D465),0))</f>
        <v>76</v>
      </c>
      <c r="L465" s="9">
        <f t="shared" si="7"/>
        <v>13.996316758747698</v>
      </c>
      <c r="M465" s="8" t="str">
        <f t="array" ref="M465">IF(L465&gt;5,"Perlu Pengendalian",IF(AND(L465&gt;=0,I465&gt;0),"Tidak Perlu Pengendalian","Belum Sensus"))</f>
        <v>Perlu Pengendalian</v>
      </c>
    </row>
    <row r="466" spans="1:13" x14ac:dyDescent="0.15">
      <c r="A466" s="8" t="s">
        <v>322</v>
      </c>
      <c r="B466" s="8" t="s">
        <v>107</v>
      </c>
      <c r="C466" s="8" t="s">
        <v>487</v>
      </c>
      <c r="D466" s="8" t="s">
        <v>494</v>
      </c>
      <c r="E466" s="9">
        <v>26.66</v>
      </c>
      <c r="F466" s="8" t="s">
        <v>325</v>
      </c>
      <c r="G466" s="10">
        <v>3726</v>
      </c>
      <c r="H466" s="11">
        <f t="array" ref="H466">INDEX([22]Monitoring!$H$6:$H$582,MATCH(1,([22]Monitoring!$D$6:$D$582=$D466)*([22]Monitoring!$D$6:$D$582=$D466),0))</f>
        <v>46150</v>
      </c>
      <c r="I466" s="143">
        <f t="array" ref="I466">INDEX([22]Monitoring!$I$6:$I$582,MATCH(1,([22]Monitoring!$D$6:$D$582=$D466)*([22]Monitoring!$D$6:$D$582=$D466),0))</f>
        <v>360</v>
      </c>
      <c r="J466" s="9">
        <f t="array" ref="J466">IFERROR(I466/G466*100,0)</f>
        <v>9.6618357487922708</v>
      </c>
      <c r="K466" s="143">
        <f t="array" ref="K466">INDEX([22]Monitoring!$J$6:$J$582,MATCH(1,([22]Monitoring!$D$6:$D$582=$D466)*([22]Monitoring!$D$6:$D$582=$D466),0))</f>
        <v>21</v>
      </c>
      <c r="L466" s="9">
        <f t="shared" si="7"/>
        <v>5.833333333333333</v>
      </c>
      <c r="M466" s="8" t="str">
        <f t="array" ref="M466">IF(L466&gt;5,"Perlu Pengendalian",IF(AND(L466&gt;=0,I466&gt;0),"Tidak Perlu Pengendalian","Belum Sensus"))</f>
        <v>Perlu Pengendalian</v>
      </c>
    </row>
    <row r="467" spans="1:13" x14ac:dyDescent="0.15">
      <c r="A467" s="8" t="s">
        <v>322</v>
      </c>
      <c r="B467" s="8" t="s">
        <v>107</v>
      </c>
      <c r="C467" s="8" t="s">
        <v>487</v>
      </c>
      <c r="D467" s="8" t="s">
        <v>495</v>
      </c>
      <c r="E467" s="9">
        <v>46.13</v>
      </c>
      <c r="F467" s="8" t="s">
        <v>325</v>
      </c>
      <c r="G467" s="10">
        <v>6739</v>
      </c>
      <c r="H467" s="11">
        <f t="array" ref="H467">INDEX([22]Monitoring!$H$6:$H$582,MATCH(1,([22]Monitoring!$D$6:$D$582=$D467)*([22]Monitoring!$D$6:$D$582=$D467),0))</f>
        <v>46151</v>
      </c>
      <c r="I467" s="143">
        <f t="array" ref="I467">INDEX([22]Monitoring!$I$6:$I$582,MATCH(1,([22]Monitoring!$D$6:$D$582=$D467)*([22]Monitoring!$D$6:$D$582=$D467),0))</f>
        <v>797</v>
      </c>
      <c r="J467" s="9">
        <f t="array" ref="J467">IFERROR(I467/G467*100,0)</f>
        <v>11.82668051639709</v>
      </c>
      <c r="K467" s="143">
        <f t="array" ref="K467">INDEX([22]Monitoring!$J$6:$J$582,MATCH(1,([22]Monitoring!$D$6:$D$582=$D467)*([22]Monitoring!$D$6:$D$582=$D467),0))</f>
        <v>83</v>
      </c>
      <c r="L467" s="9">
        <f t="shared" si="7"/>
        <v>10.414052697616061</v>
      </c>
      <c r="M467" s="8" t="str">
        <f t="array" ref="M467">IF(L467&gt;5,"Perlu Pengendalian",IF(AND(L467&gt;=0,I467&gt;0),"Tidak Perlu Pengendalian","Belum Sensus"))</f>
        <v>Perlu Pengendalian</v>
      </c>
    </row>
    <row r="468" spans="1:13" x14ac:dyDescent="0.15">
      <c r="A468" s="8" t="s">
        <v>322</v>
      </c>
      <c r="B468" s="8" t="s">
        <v>107</v>
      </c>
      <c r="C468" s="8" t="s">
        <v>487</v>
      </c>
      <c r="D468" s="8" t="s">
        <v>496</v>
      </c>
      <c r="E468" s="9">
        <v>24.93</v>
      </c>
      <c r="F468" s="8" t="s">
        <v>325</v>
      </c>
      <c r="G468" s="10">
        <v>3769</v>
      </c>
      <c r="H468" s="11">
        <f t="array" ref="H468">INDEX([22]Monitoring!$H$6:$H$582,MATCH(1,([22]Monitoring!$D$6:$D$582=$D468)*([22]Monitoring!$D$6:$D$582=$D468),0))</f>
        <v>46151</v>
      </c>
      <c r="I468" s="143">
        <f t="array" ref="I468">INDEX([22]Monitoring!$I$6:$I$582,MATCH(1,([22]Monitoring!$D$6:$D$582=$D468)*([22]Monitoring!$D$6:$D$582=$D468),0))</f>
        <v>357</v>
      </c>
      <c r="J468" s="9">
        <f t="array" ref="J468">IFERROR(I468/G468*100,0)</f>
        <v>9.4720084903157336</v>
      </c>
      <c r="K468" s="143">
        <f t="array" ref="K468">INDEX([22]Monitoring!$J$6:$J$582,MATCH(1,([22]Monitoring!$D$6:$D$582=$D468)*([22]Monitoring!$D$6:$D$582=$D468),0))</f>
        <v>60</v>
      </c>
      <c r="L468" s="9">
        <f t="shared" ref="L468:L535" si="8">IFERROR(K468/I468*100,0)</f>
        <v>16.806722689075631</v>
      </c>
      <c r="M468" s="8" t="str">
        <f t="array" ref="M468">IF(L468&gt;5,"Perlu Pengendalian",IF(AND(L468&gt;=0,I468&gt;0),"Tidak Perlu Pengendalian","Belum Sensus"))</f>
        <v>Perlu Pengendalian</v>
      </c>
    </row>
    <row r="469" spans="1:13" x14ac:dyDescent="0.15">
      <c r="A469" s="8" t="s">
        <v>322</v>
      </c>
      <c r="B469" s="8" t="s">
        <v>107</v>
      </c>
      <c r="C469" s="8" t="s">
        <v>487</v>
      </c>
      <c r="D469" s="8" t="s">
        <v>497</v>
      </c>
      <c r="E469" s="9">
        <v>24.23</v>
      </c>
      <c r="F469" s="8" t="s">
        <v>325</v>
      </c>
      <c r="G469" s="10">
        <v>3499</v>
      </c>
      <c r="H469" s="11">
        <f t="array" ref="H469">INDEX([22]Monitoring!$H$6:$H$582,MATCH(1,([22]Monitoring!$D$6:$D$582=$D469)*([22]Monitoring!$D$6:$D$582=$D469),0))</f>
        <v>46151</v>
      </c>
      <c r="I469" s="143">
        <f t="array" ref="I469">INDEX([22]Monitoring!$I$6:$I$582,MATCH(1,([22]Monitoring!$D$6:$D$582=$D469)*([22]Monitoring!$D$6:$D$582=$D469),0))</f>
        <v>366</v>
      </c>
      <c r="J469" s="9">
        <f t="array" ref="J469">IFERROR(I469/G469*100,0)</f>
        <v>10.460131466133181</v>
      </c>
      <c r="K469" s="143">
        <f t="array" ref="K469">INDEX([22]Monitoring!$J$6:$J$582,MATCH(1,([22]Monitoring!$D$6:$D$582=$D469)*([22]Monitoring!$D$6:$D$582=$D469),0))</f>
        <v>119</v>
      </c>
      <c r="L469" s="9">
        <f t="shared" si="8"/>
        <v>32.513661202185787</v>
      </c>
      <c r="M469" s="8" t="str">
        <f t="array" ref="M469">IF(L469&gt;5,"Perlu Pengendalian",IF(AND(L469&gt;=0,I469&gt;0),"Tidak Perlu Pengendalian","Belum Sensus"))</f>
        <v>Perlu Pengendalian</v>
      </c>
    </row>
    <row r="470" spans="1:13" x14ac:dyDescent="0.15">
      <c r="A470" s="8" t="s">
        <v>322</v>
      </c>
      <c r="B470" s="8" t="s">
        <v>107</v>
      </c>
      <c r="C470" s="8" t="s">
        <v>487</v>
      </c>
      <c r="D470" s="8" t="s">
        <v>498</v>
      </c>
      <c r="E470" s="9">
        <v>27.45</v>
      </c>
      <c r="F470" s="8" t="s">
        <v>325</v>
      </c>
      <c r="G470" s="10">
        <v>3988</v>
      </c>
      <c r="H470" s="11">
        <f t="array" ref="H470">INDEX([22]Monitoring!$H$6:$H$582,MATCH(1,([22]Monitoring!$D$6:$D$582=$D470)*([22]Monitoring!$D$6:$D$582=$D470),0))</f>
        <v>46151</v>
      </c>
      <c r="I470" s="143">
        <f t="array" ref="I470">INDEX([22]Monitoring!$I$6:$I$582,MATCH(1,([22]Monitoring!$D$6:$D$582=$D470)*([22]Monitoring!$D$6:$D$582=$D470),0))</f>
        <v>334</v>
      </c>
      <c r="J470" s="9">
        <f t="array" ref="J470">IFERROR(I470/G470*100,0)</f>
        <v>8.3751253761283859</v>
      </c>
      <c r="K470" s="143">
        <f t="array" ref="K470">INDEX([22]Monitoring!$J$6:$J$582,MATCH(1,([22]Monitoring!$D$6:$D$582=$D470)*([22]Monitoring!$D$6:$D$582=$D470),0))</f>
        <v>64</v>
      </c>
      <c r="L470" s="9">
        <f t="shared" si="8"/>
        <v>19.161676646706589</v>
      </c>
      <c r="M470" s="8" t="str">
        <f t="array" ref="M470">IF(L470&gt;5,"Perlu Pengendalian",IF(AND(L470&gt;=0,I470&gt;0),"Tidak Perlu Pengendalian","Belum Sensus"))</f>
        <v>Perlu Pengendalian</v>
      </c>
    </row>
    <row r="471" spans="1:13" x14ac:dyDescent="0.15">
      <c r="A471" s="8" t="s">
        <v>322</v>
      </c>
      <c r="B471" s="8" t="s">
        <v>107</v>
      </c>
      <c r="C471" s="8" t="s">
        <v>487</v>
      </c>
      <c r="D471" s="8" t="s">
        <v>499</v>
      </c>
      <c r="E471" s="9">
        <v>44</v>
      </c>
      <c r="F471" s="8" t="s">
        <v>325</v>
      </c>
      <c r="G471" s="10">
        <v>6860</v>
      </c>
      <c r="H471" s="11">
        <f t="array" ref="H471">INDEX([22]Monitoring!$H$6:$H$582,MATCH(1,([22]Monitoring!$D$6:$D$582=$D471)*([22]Monitoring!$D$6:$D$582=$D471),0))</f>
        <v>46151</v>
      </c>
      <c r="I471" s="143">
        <f t="array" ref="I471">INDEX([22]Monitoring!$I$6:$I$582,MATCH(1,([22]Monitoring!$D$6:$D$582=$D471)*([22]Monitoring!$D$6:$D$582=$D471),0))</f>
        <v>678</v>
      </c>
      <c r="J471" s="9">
        <f t="array" ref="J471">IFERROR(I471/G471*100,0)</f>
        <v>9.8833819241982503</v>
      </c>
      <c r="K471" s="143">
        <f t="array" ref="K471">INDEX([22]Monitoring!$J$6:$J$582,MATCH(1,([22]Monitoring!$D$6:$D$582=$D471)*([22]Monitoring!$D$6:$D$582=$D471),0))</f>
        <v>162</v>
      </c>
      <c r="L471" s="9">
        <f t="shared" si="8"/>
        <v>23.893805309734514</v>
      </c>
      <c r="M471" s="8" t="str">
        <f t="array" ref="M471">IF(L471&gt;5,"Perlu Pengendalian",IF(AND(L471&gt;=0,I471&gt;0),"Tidak Perlu Pengendalian","Belum Sensus"))</f>
        <v>Perlu Pengendalian</v>
      </c>
    </row>
    <row r="472" spans="1:13" x14ac:dyDescent="0.15">
      <c r="A472" s="8" t="s">
        <v>322</v>
      </c>
      <c r="B472" s="8" t="s">
        <v>107</v>
      </c>
      <c r="C472" s="8" t="s">
        <v>487</v>
      </c>
      <c r="D472" s="8" t="s">
        <v>500</v>
      </c>
      <c r="E472" s="9">
        <v>27.1</v>
      </c>
      <c r="F472" s="8" t="s">
        <v>325</v>
      </c>
      <c r="G472" s="10">
        <v>3993</v>
      </c>
      <c r="H472" s="11">
        <f t="array" ref="H472">INDEX([22]Monitoring!$H$6:$H$582,MATCH(1,([22]Monitoring!$D$6:$D$582=$D472)*([22]Monitoring!$D$6:$D$582=$D472),0))</f>
        <v>46150</v>
      </c>
      <c r="I472" s="143">
        <f t="array" ref="I472">INDEX([22]Monitoring!$I$6:$I$582,MATCH(1,([22]Monitoring!$D$6:$D$582=$D472)*([22]Monitoring!$D$6:$D$582=$D472),0))</f>
        <v>401</v>
      </c>
      <c r="J472" s="9">
        <f t="array" ref="J472">IFERROR(I472/G472*100,0)</f>
        <v>10.042574505384422</v>
      </c>
      <c r="K472" s="143">
        <f t="array" ref="K472">INDEX([22]Monitoring!$J$6:$J$582,MATCH(1,([22]Monitoring!$D$6:$D$582=$D472)*([22]Monitoring!$D$6:$D$582=$D472),0))</f>
        <v>113</v>
      </c>
      <c r="L472" s="9">
        <f t="shared" si="8"/>
        <v>28.179551122194514</v>
      </c>
      <c r="M472" s="8" t="str">
        <f t="array" ref="M472">IF(L472&gt;5,"Perlu Pengendalian",IF(AND(L472&gt;=0,I472&gt;0),"Tidak Perlu Pengendalian","Belum Sensus"))</f>
        <v>Perlu Pengendalian</v>
      </c>
    </row>
    <row r="473" spans="1:13" x14ac:dyDescent="0.15">
      <c r="A473" s="8" t="s">
        <v>322</v>
      </c>
      <c r="B473" s="8" t="s">
        <v>107</v>
      </c>
      <c r="C473" s="8" t="s">
        <v>487</v>
      </c>
      <c r="D473" s="8" t="s">
        <v>501</v>
      </c>
      <c r="E473" s="9">
        <v>48.33</v>
      </c>
      <c r="F473" s="8" t="s">
        <v>325</v>
      </c>
      <c r="G473" s="10">
        <v>6869</v>
      </c>
      <c r="H473" s="11">
        <f t="array" ref="H473">INDEX([22]Monitoring!$H$6:$H$582,MATCH(1,([22]Monitoring!$D$6:$D$582=$D473)*([22]Monitoring!$D$6:$D$582=$D473),0))</f>
        <v>46150</v>
      </c>
      <c r="I473" s="143">
        <f t="array" ref="I473">INDEX([22]Monitoring!$I$6:$I$582,MATCH(1,([22]Monitoring!$D$6:$D$582=$D473)*([22]Monitoring!$D$6:$D$582=$D473),0))</f>
        <v>772</v>
      </c>
      <c r="J473" s="9">
        <f t="array" ref="J473">IFERROR(I473/G473*100,0)</f>
        <v>11.238899403115447</v>
      </c>
      <c r="K473" s="143">
        <f t="array" ref="K473">INDEX([22]Monitoring!$J$6:$J$582,MATCH(1,([22]Monitoring!$D$6:$D$582=$D473)*([22]Monitoring!$D$6:$D$582=$D473),0))</f>
        <v>65</v>
      </c>
      <c r="L473" s="9">
        <f t="shared" si="8"/>
        <v>8.4196891191709842</v>
      </c>
      <c r="M473" s="8" t="str">
        <f t="array" ref="M473">IF(L473&gt;5,"Perlu Pengendalian",IF(AND(L473&gt;=0,I473&gt;0),"Tidak Perlu Pengendalian","Belum Sensus"))</f>
        <v>Perlu Pengendalian</v>
      </c>
    </row>
    <row r="474" spans="1:13" x14ac:dyDescent="0.15">
      <c r="A474" s="8" t="s">
        <v>322</v>
      </c>
      <c r="B474" s="8" t="s">
        <v>107</v>
      </c>
      <c r="C474" s="8" t="s">
        <v>487</v>
      </c>
      <c r="D474" s="8" t="s">
        <v>502</v>
      </c>
      <c r="E474" s="9">
        <v>25.56</v>
      </c>
      <c r="F474" s="8" t="s">
        <v>325</v>
      </c>
      <c r="G474" s="10">
        <v>3852</v>
      </c>
      <c r="H474" s="11">
        <f t="array" ref="H474">INDEX([22]Monitoring!$H$6:$H$582,MATCH(1,([22]Monitoring!$D$6:$D$582=$D474)*([22]Monitoring!$D$6:$D$582=$D474),0))</f>
        <v>46150</v>
      </c>
      <c r="I474" s="143">
        <f t="array" ref="I474">INDEX([22]Monitoring!$I$6:$I$582,MATCH(1,([22]Monitoring!$D$6:$D$582=$D474)*([22]Monitoring!$D$6:$D$582=$D474),0))</f>
        <v>368</v>
      </c>
      <c r="J474" s="9">
        <f t="array" ref="J474">IFERROR(I474/G474*100,0)</f>
        <v>9.5534787123572169</v>
      </c>
      <c r="K474" s="143">
        <f t="array" ref="K474">INDEX([22]Monitoring!$J$6:$J$582,MATCH(1,([22]Monitoring!$D$6:$D$582=$D474)*([22]Monitoring!$D$6:$D$582=$D474),0))</f>
        <v>73</v>
      </c>
      <c r="L474" s="9">
        <f t="shared" si="8"/>
        <v>19.836956521739129</v>
      </c>
      <c r="M474" s="8" t="str">
        <f t="array" ref="M474">IF(L474&gt;5,"Perlu Pengendalian",IF(AND(L474&gt;=0,I474&gt;0),"Tidak Perlu Pengendalian","Belum Sensus"))</f>
        <v>Perlu Pengendalian</v>
      </c>
    </row>
    <row r="475" spans="1:13" x14ac:dyDescent="0.15">
      <c r="A475" s="8" t="s">
        <v>322</v>
      </c>
      <c r="B475" s="8" t="s">
        <v>107</v>
      </c>
      <c r="C475" s="8" t="s">
        <v>487</v>
      </c>
      <c r="D475" s="8" t="s">
        <v>503</v>
      </c>
      <c r="E475" s="9">
        <v>25.35</v>
      </c>
      <c r="F475" s="8" t="s">
        <v>325</v>
      </c>
      <c r="G475" s="10">
        <v>3768</v>
      </c>
      <c r="H475" s="11">
        <f t="array" ref="H475">INDEX([22]Monitoring!$H$6:$H$582,MATCH(1,([22]Monitoring!$D$6:$D$582=$D475)*([22]Monitoring!$D$6:$D$582=$D475),0))</f>
        <v>46150</v>
      </c>
      <c r="I475" s="143">
        <f t="array" ref="I475">INDEX([22]Monitoring!$I$6:$I$582,MATCH(1,([22]Monitoring!$D$6:$D$582=$D475)*([22]Monitoring!$D$6:$D$582=$D475),0))</f>
        <v>371</v>
      </c>
      <c r="J475" s="9">
        <f t="array" ref="J475">IFERROR(I475/G475*100,0)</f>
        <v>9.8460721868365191</v>
      </c>
      <c r="K475" s="143">
        <f t="array" ref="K475">INDEX([22]Monitoring!$J$6:$J$582,MATCH(1,([22]Monitoring!$D$6:$D$582=$D475)*([22]Monitoring!$D$6:$D$582=$D475),0))</f>
        <v>44</v>
      </c>
      <c r="L475" s="9">
        <f t="shared" si="8"/>
        <v>11.859838274932615</v>
      </c>
      <c r="M475" s="8" t="str">
        <f t="array" ref="M475">IF(L475&gt;5,"Perlu Pengendalian",IF(AND(L475&gt;=0,I475&gt;0),"Tidak Perlu Pengendalian","Belum Sensus"))</f>
        <v>Perlu Pengendalian</v>
      </c>
    </row>
    <row r="476" spans="1:13" x14ac:dyDescent="0.15">
      <c r="A476" s="8" t="s">
        <v>322</v>
      </c>
      <c r="B476" s="8" t="s">
        <v>107</v>
      </c>
      <c r="C476" s="8" t="s">
        <v>487</v>
      </c>
      <c r="D476" s="8" t="s">
        <v>504</v>
      </c>
      <c r="E476" s="9">
        <v>27.26</v>
      </c>
      <c r="F476" s="8" t="s">
        <v>325</v>
      </c>
      <c r="G476" s="10">
        <v>3991</v>
      </c>
      <c r="H476" s="11">
        <f t="array" ref="H476">INDEX([22]Monitoring!$H$6:$H$582,MATCH(1,([22]Monitoring!$D$6:$D$582=$D476)*([22]Monitoring!$D$6:$D$582=$D476),0))</f>
        <v>46150</v>
      </c>
      <c r="I476" s="143">
        <f t="array" ref="I476">INDEX([22]Monitoring!$I$6:$I$582,MATCH(1,([22]Monitoring!$D$6:$D$582=$D476)*([22]Monitoring!$D$6:$D$582=$D476),0))</f>
        <v>404</v>
      </c>
      <c r="J476" s="9">
        <f t="array" ref="J476">IFERROR(I476/G476*100,0)</f>
        <v>10.122776246554748</v>
      </c>
      <c r="K476" s="143">
        <f t="array" ref="K476">INDEX([22]Monitoring!$J$6:$J$582,MATCH(1,([22]Monitoring!$D$6:$D$582=$D476)*([22]Monitoring!$D$6:$D$582=$D476),0))</f>
        <v>73</v>
      </c>
      <c r="L476" s="9">
        <f t="shared" si="8"/>
        <v>18.06930693069307</v>
      </c>
      <c r="M476" s="8" t="str">
        <f t="array" ref="M476">IF(L476&gt;5,"Perlu Pengendalian",IF(AND(L476&gt;=0,I476&gt;0),"Tidak Perlu Pengendalian","Belum Sensus"))</f>
        <v>Perlu Pengendalian</v>
      </c>
    </row>
    <row r="477" spans="1:13" x14ac:dyDescent="0.15">
      <c r="A477" s="8" t="s">
        <v>322</v>
      </c>
      <c r="B477" s="8" t="s">
        <v>107</v>
      </c>
      <c r="C477" s="8" t="s">
        <v>487</v>
      </c>
      <c r="D477" s="8" t="s">
        <v>505</v>
      </c>
      <c r="E477" s="9">
        <v>24.72</v>
      </c>
      <c r="F477" s="8" t="s">
        <v>325</v>
      </c>
      <c r="G477" s="10">
        <v>3509</v>
      </c>
      <c r="H477" s="11">
        <f t="array" ref="H477">INDEX([22]Monitoring!$H$6:$H$582,MATCH(1,([22]Monitoring!$D$6:$D$582=$D477)*([22]Monitoring!$D$6:$D$582=$D477),0))</f>
        <v>46150</v>
      </c>
      <c r="I477" s="143">
        <f t="array" ref="I477">INDEX([22]Monitoring!$I$6:$I$582,MATCH(1,([22]Monitoring!$D$6:$D$582=$D477)*([22]Monitoring!$D$6:$D$582=$D477),0))</f>
        <v>369</v>
      </c>
      <c r="J477" s="9">
        <f t="array" ref="J477">IFERROR(I477/G477*100,0)</f>
        <v>10.515816471929325</v>
      </c>
      <c r="K477" s="143">
        <f t="array" ref="K477">INDEX([22]Monitoring!$J$6:$J$582,MATCH(1,([22]Monitoring!$D$6:$D$582=$D477)*([22]Monitoring!$D$6:$D$582=$D477),0))</f>
        <v>74</v>
      </c>
      <c r="L477" s="9">
        <f t="shared" si="8"/>
        <v>20.054200542005422</v>
      </c>
      <c r="M477" s="8" t="str">
        <f t="array" ref="M477">IF(L477&gt;5,"Perlu Pengendalian",IF(AND(L477&gt;=0,I477&gt;0),"Tidak Perlu Pengendalian","Belum Sensus"))</f>
        <v>Perlu Pengendalian</v>
      </c>
    </row>
    <row r="478" spans="1:13" x14ac:dyDescent="0.15">
      <c r="A478" s="8" t="s">
        <v>322</v>
      </c>
      <c r="B478" s="8" t="s">
        <v>107</v>
      </c>
      <c r="C478" s="8" t="s">
        <v>487</v>
      </c>
      <c r="D478" s="8" t="s">
        <v>506</v>
      </c>
      <c r="E478" s="9">
        <v>25.62</v>
      </c>
      <c r="F478" s="8" t="s">
        <v>325</v>
      </c>
      <c r="G478" s="10">
        <v>3708</v>
      </c>
      <c r="H478" s="11">
        <f t="array" ref="H478">INDEX([22]Monitoring!$H$6:$H$582,MATCH(1,([22]Monitoring!$D$6:$D$582=$D478)*([22]Monitoring!$D$6:$D$582=$D478),0))</f>
        <v>46150</v>
      </c>
      <c r="I478" s="143">
        <f t="array" ref="I478">INDEX([22]Monitoring!$I$6:$I$582,MATCH(1,([22]Monitoring!$D$6:$D$582=$D478)*([22]Monitoring!$D$6:$D$582=$D478),0))</f>
        <v>312</v>
      </c>
      <c r="J478" s="9">
        <f t="array" ref="J478">IFERROR(I478/G478*100,0)</f>
        <v>8.4142394822006477</v>
      </c>
      <c r="K478" s="143">
        <f t="array" ref="K478">INDEX([22]Monitoring!$J$6:$J$582,MATCH(1,([22]Monitoring!$D$6:$D$582=$D478)*([22]Monitoring!$D$6:$D$582=$D478),0))</f>
        <v>64</v>
      </c>
      <c r="L478" s="9">
        <f t="shared" si="8"/>
        <v>20.512820512820511</v>
      </c>
      <c r="M478" s="8" t="str">
        <f t="array" ref="M478">IF(L478&gt;5,"Perlu Pengendalian",IF(AND(L478&gt;=0,I478&gt;0),"Tidak Perlu Pengendalian","Belum Sensus"))</f>
        <v>Perlu Pengendalian</v>
      </c>
    </row>
    <row r="479" spans="1:13" x14ac:dyDescent="0.15">
      <c r="A479" s="8" t="s">
        <v>322</v>
      </c>
      <c r="B479" s="8" t="s">
        <v>107</v>
      </c>
      <c r="C479" s="8" t="s">
        <v>487</v>
      </c>
      <c r="D479" s="8" t="s">
        <v>507</v>
      </c>
      <c r="E479" s="9">
        <v>25.61</v>
      </c>
      <c r="F479" s="8" t="s">
        <v>325</v>
      </c>
      <c r="G479" s="10">
        <v>3550</v>
      </c>
      <c r="H479" s="11">
        <f t="array" ref="H479">INDEX([22]Monitoring!$H$6:$H$582,MATCH(1,([22]Monitoring!$D$6:$D$582=$D479)*([22]Monitoring!$D$6:$D$582=$D479),0))</f>
        <v>46149</v>
      </c>
      <c r="I479" s="143">
        <f t="array" ref="I479">INDEX([22]Monitoring!$I$6:$I$582,MATCH(1,([22]Monitoring!$D$6:$D$582=$D479)*([22]Monitoring!$D$6:$D$582=$D479),0))</f>
        <v>354</v>
      </c>
      <c r="J479" s="9">
        <f t="array" ref="J479">IFERROR(I479/G479*100,0)</f>
        <v>9.9718309859154939</v>
      </c>
      <c r="K479" s="143">
        <f t="array" ref="K479">INDEX([22]Monitoring!$J$6:$J$582,MATCH(1,([22]Monitoring!$D$6:$D$582=$D479)*([22]Monitoring!$D$6:$D$582=$D479),0))</f>
        <v>66</v>
      </c>
      <c r="L479" s="9">
        <f t="shared" si="8"/>
        <v>18.64406779661017</v>
      </c>
      <c r="M479" s="8" t="str">
        <f t="array" ref="M479">IF(L479&gt;5,"Perlu Pengendalian",IF(AND(L479&gt;=0,I479&gt;0),"Tidak Perlu Pengendalian","Belum Sensus"))</f>
        <v>Perlu Pengendalian</v>
      </c>
    </row>
    <row r="480" spans="1:13" x14ac:dyDescent="0.15">
      <c r="A480" s="8" t="s">
        <v>322</v>
      </c>
      <c r="B480" s="8" t="s">
        <v>107</v>
      </c>
      <c r="C480" s="8" t="s">
        <v>487</v>
      </c>
      <c r="D480" s="8" t="s">
        <v>508</v>
      </c>
      <c r="E480" s="9">
        <v>46.31</v>
      </c>
      <c r="F480" s="8" t="s">
        <v>325</v>
      </c>
      <c r="G480" s="10">
        <v>6896</v>
      </c>
      <c r="H480" s="11">
        <f t="array" ref="H480">INDEX([22]Monitoring!$H$6:$H$582,MATCH(1,([22]Monitoring!$D$6:$D$582=$D480)*([22]Monitoring!$D$6:$D$582=$D480),0))</f>
        <v>46149</v>
      </c>
      <c r="I480" s="143">
        <f t="array" ref="I480">INDEX([22]Monitoring!$I$6:$I$582,MATCH(1,([22]Monitoring!$D$6:$D$582=$D480)*([22]Monitoring!$D$6:$D$582=$D480),0))</f>
        <v>729</v>
      </c>
      <c r="J480" s="9">
        <f t="array" ref="J480">IFERROR(I480/G480*100,0)</f>
        <v>10.571345707656613</v>
      </c>
      <c r="K480" s="143">
        <f t="array" ref="K480">INDEX([22]Monitoring!$J$6:$J$582,MATCH(1,([22]Monitoring!$D$6:$D$582=$D480)*([22]Monitoring!$D$6:$D$582=$D480),0))</f>
        <v>80</v>
      </c>
      <c r="L480" s="9">
        <f t="shared" si="8"/>
        <v>10.973936899862826</v>
      </c>
      <c r="M480" s="8" t="str">
        <f t="array" ref="M480">IF(L480&gt;5,"Perlu Pengendalian",IF(AND(L480&gt;=0,I480&gt;0),"Tidak Perlu Pengendalian","Belum Sensus"))</f>
        <v>Perlu Pengendalian</v>
      </c>
    </row>
    <row r="481" spans="1:13" x14ac:dyDescent="0.15">
      <c r="A481" s="8" t="s">
        <v>322</v>
      </c>
      <c r="B481" s="8" t="s">
        <v>107</v>
      </c>
      <c r="C481" s="8" t="s">
        <v>487</v>
      </c>
      <c r="D481" s="8" t="s">
        <v>509</v>
      </c>
      <c r="E481" s="9">
        <v>24.4</v>
      </c>
      <c r="F481" s="8" t="s">
        <v>325</v>
      </c>
      <c r="G481" s="10">
        <v>3429</v>
      </c>
      <c r="H481" s="11">
        <f t="array" ref="H481">INDEX([22]Monitoring!$H$6:$H$582,MATCH(1,([22]Monitoring!$D$6:$D$582=$D481)*([22]Monitoring!$D$6:$D$582=$D481),0))</f>
        <v>46149</v>
      </c>
      <c r="I481" s="143">
        <f t="array" ref="I481">INDEX([22]Monitoring!$I$6:$I$582,MATCH(1,([22]Monitoring!$D$6:$D$582=$D481)*([22]Monitoring!$D$6:$D$582=$D481),0))</f>
        <v>266</v>
      </c>
      <c r="J481" s="9">
        <f t="array" ref="J481">IFERROR(I481/G481*100,0)</f>
        <v>7.7573636628754743</v>
      </c>
      <c r="K481" s="143">
        <f t="array" ref="K481">INDEX([22]Monitoring!$J$6:$J$582,MATCH(1,([22]Monitoring!$D$6:$D$582=$D481)*([22]Monitoring!$D$6:$D$582=$D481),0))</f>
        <v>23</v>
      </c>
      <c r="L481" s="9">
        <f t="shared" si="8"/>
        <v>8.6466165413533833</v>
      </c>
      <c r="M481" s="8" t="str">
        <f t="array" ref="M481">IF(L481&gt;5,"Perlu Pengendalian",IF(AND(L481&gt;=0,I481&gt;0),"Tidak Perlu Pengendalian","Belum Sensus"))</f>
        <v>Perlu Pengendalian</v>
      </c>
    </row>
    <row r="482" spans="1:13" x14ac:dyDescent="0.15">
      <c r="A482" s="8" t="s">
        <v>322</v>
      </c>
      <c r="B482" s="8" t="s">
        <v>107</v>
      </c>
      <c r="C482" s="8" t="s">
        <v>487</v>
      </c>
      <c r="D482" s="8" t="s">
        <v>510</v>
      </c>
      <c r="E482" s="9">
        <v>25</v>
      </c>
      <c r="F482" s="8" t="s">
        <v>325</v>
      </c>
      <c r="G482" s="10">
        <v>3529</v>
      </c>
      <c r="H482" s="11">
        <f t="array" ref="H482">INDEX([22]Monitoring!$H$6:$H$582,MATCH(1,([22]Monitoring!$D$6:$D$582=$D482)*([22]Monitoring!$D$6:$D$582=$D482),0))</f>
        <v>46149</v>
      </c>
      <c r="I482" s="143">
        <f t="array" ref="I482">INDEX([22]Monitoring!$I$6:$I$582,MATCH(1,([22]Monitoring!$D$6:$D$582=$D482)*([22]Monitoring!$D$6:$D$582=$D482),0))</f>
        <v>359</v>
      </c>
      <c r="J482" s="9">
        <f t="array" ref="J482">IFERROR(I482/G482*100,0)</f>
        <v>10.17285349957495</v>
      </c>
      <c r="K482" s="143">
        <f t="array" ref="K482">INDEX([22]Monitoring!$J$6:$J$582,MATCH(1,([22]Monitoring!$D$6:$D$582=$D482)*([22]Monitoring!$D$6:$D$582=$D482),0))</f>
        <v>36</v>
      </c>
      <c r="L482" s="9">
        <f t="shared" si="8"/>
        <v>10.027855153203342</v>
      </c>
      <c r="M482" s="8" t="str">
        <f t="array" ref="M482">IF(L482&gt;5,"Perlu Pengendalian",IF(AND(L482&gt;=0,I482&gt;0),"Tidak Perlu Pengendalian","Belum Sensus"))</f>
        <v>Perlu Pengendalian</v>
      </c>
    </row>
    <row r="483" spans="1:13" x14ac:dyDescent="0.15">
      <c r="A483" s="8" t="s">
        <v>322</v>
      </c>
      <c r="B483" s="8" t="s">
        <v>107</v>
      </c>
      <c r="C483" s="8" t="s">
        <v>487</v>
      </c>
      <c r="D483" s="8" t="s">
        <v>511</v>
      </c>
      <c r="E483" s="9">
        <v>24.38</v>
      </c>
      <c r="F483" s="8" t="s">
        <v>325</v>
      </c>
      <c r="G483" s="10">
        <v>3590</v>
      </c>
      <c r="H483" s="11">
        <f t="array" ref="H483">INDEX([22]Monitoring!$H$6:$H$582,MATCH(1,([22]Monitoring!$D$6:$D$582=$D483)*([22]Monitoring!$D$6:$D$582=$D483),0))</f>
        <v>46149</v>
      </c>
      <c r="I483" s="143">
        <f t="array" ref="I483">INDEX([22]Monitoring!$I$6:$I$582,MATCH(1,([22]Monitoring!$D$6:$D$582=$D483)*([22]Monitoring!$D$6:$D$582=$D483),0))</f>
        <v>344</v>
      </c>
      <c r="J483" s="9">
        <f t="array" ref="J483">IFERROR(I483/G483*100,0)</f>
        <v>9.5821727019498599</v>
      </c>
      <c r="K483" s="143">
        <f t="array" ref="K483">INDEX([22]Monitoring!$J$6:$J$582,MATCH(1,([22]Monitoring!$D$6:$D$582=$D483)*([22]Monitoring!$D$6:$D$582=$D483),0))</f>
        <v>37</v>
      </c>
      <c r="L483" s="9">
        <f t="shared" si="8"/>
        <v>10.755813953488373</v>
      </c>
      <c r="M483" s="8" t="str">
        <f t="array" ref="M483">IF(L483&gt;5,"Perlu Pengendalian",IF(AND(L483&gt;=0,I483&gt;0),"Tidak Perlu Pengendalian","Belum Sensus"))</f>
        <v>Perlu Pengendalian</v>
      </c>
    </row>
    <row r="484" spans="1:13" x14ac:dyDescent="0.15">
      <c r="A484" s="8" t="s">
        <v>322</v>
      </c>
      <c r="B484" s="8" t="s">
        <v>107</v>
      </c>
      <c r="C484" s="8" t="s">
        <v>487</v>
      </c>
      <c r="D484" s="8" t="s">
        <v>512</v>
      </c>
      <c r="E484" s="9">
        <v>24.3</v>
      </c>
      <c r="F484" s="8" t="s">
        <v>325</v>
      </c>
      <c r="G484" s="10">
        <v>3472</v>
      </c>
      <c r="H484" s="11">
        <f t="array" ref="H484">INDEX([22]Monitoring!$H$6:$H$582,MATCH(1,([22]Monitoring!$D$6:$D$582=$D484)*([22]Monitoring!$D$6:$D$582=$D484),0))</f>
        <v>46149</v>
      </c>
      <c r="I484" s="143">
        <f t="array" ref="I484">INDEX([22]Monitoring!$I$6:$I$582,MATCH(1,([22]Monitoring!$D$6:$D$582=$D484)*([22]Monitoring!$D$6:$D$582=$D484),0))</f>
        <v>352</v>
      </c>
      <c r="J484" s="9">
        <f t="array" ref="J484">IFERROR(I484/G484*100,0)</f>
        <v>10.138248847926267</v>
      </c>
      <c r="K484" s="143">
        <f t="array" ref="K484">INDEX([22]Monitoring!$J$6:$J$582,MATCH(1,([22]Monitoring!$D$6:$D$582=$D484)*([22]Monitoring!$D$6:$D$582=$D484),0))</f>
        <v>37</v>
      </c>
      <c r="L484" s="9">
        <f t="shared" si="8"/>
        <v>10.511363636363637</v>
      </c>
      <c r="M484" s="8" t="str">
        <f t="array" ref="M484">IF(L484&gt;5,"Perlu Pengendalian",IF(AND(L484&gt;=0,I484&gt;0),"Tidak Perlu Pengendalian","Belum Sensus"))</f>
        <v>Perlu Pengendalian</v>
      </c>
    </row>
    <row r="485" spans="1:13" x14ac:dyDescent="0.15">
      <c r="A485" s="8" t="s">
        <v>322</v>
      </c>
      <c r="B485" s="8" t="s">
        <v>107</v>
      </c>
      <c r="C485" s="8" t="s">
        <v>487</v>
      </c>
      <c r="D485" s="8" t="s">
        <v>513</v>
      </c>
      <c r="E485" s="9">
        <v>24.25</v>
      </c>
      <c r="F485" s="8" t="s">
        <v>325</v>
      </c>
      <c r="G485" s="10">
        <v>3539</v>
      </c>
      <c r="H485" s="11">
        <f t="array" ref="H485">INDEX([22]Monitoring!$H$6:$H$582,MATCH(1,([22]Monitoring!$D$6:$D$582=$D485)*([22]Monitoring!$D$6:$D$582=$D485),0))</f>
        <v>46149</v>
      </c>
      <c r="I485" s="143">
        <f t="array" ref="I485">INDEX([22]Monitoring!$I$6:$I$582,MATCH(1,([22]Monitoring!$D$6:$D$582=$D485)*([22]Monitoring!$D$6:$D$582=$D485),0))</f>
        <v>350</v>
      </c>
      <c r="J485" s="9">
        <f t="array" ref="J485">IFERROR(I485/G485*100,0)</f>
        <v>9.8897993783554679</v>
      </c>
      <c r="K485" s="143">
        <f t="array" ref="K485">INDEX([22]Monitoring!$J$6:$J$582,MATCH(1,([22]Monitoring!$D$6:$D$582=$D485)*([22]Monitoring!$D$6:$D$582=$D485),0))</f>
        <v>49</v>
      </c>
      <c r="L485" s="9">
        <f t="shared" si="8"/>
        <v>14.000000000000002</v>
      </c>
      <c r="M485" s="8" t="str">
        <f t="array" ref="M485">IF(L485&gt;5,"Perlu Pengendalian",IF(AND(L485&gt;=0,I485&gt;0),"Tidak Perlu Pengendalian","Belum Sensus"))</f>
        <v>Perlu Pengendalian</v>
      </c>
    </row>
    <row r="486" spans="1:13" x14ac:dyDescent="0.15">
      <c r="A486" s="8" t="s">
        <v>322</v>
      </c>
      <c r="B486" s="8" t="s">
        <v>107</v>
      </c>
      <c r="C486" s="8" t="s">
        <v>487</v>
      </c>
      <c r="D486" s="8" t="s">
        <v>514</v>
      </c>
      <c r="E486" s="9">
        <v>25.13</v>
      </c>
      <c r="F486" s="8" t="s">
        <v>325</v>
      </c>
      <c r="G486" s="10">
        <v>3686</v>
      </c>
      <c r="H486" s="11">
        <f t="array" ref="H486">INDEX([22]Monitoring!$H$6:$H$582,MATCH(1,([22]Monitoring!$D$6:$D$582=$D486)*([22]Monitoring!$D$6:$D$582=$D486),0))</f>
        <v>46148</v>
      </c>
      <c r="I486" s="143">
        <f t="array" ref="I486">INDEX([22]Monitoring!$I$6:$I$582,MATCH(1,([22]Monitoring!$D$6:$D$582=$D486)*([22]Monitoring!$D$6:$D$582=$D486),0))</f>
        <v>388</v>
      </c>
      <c r="J486" s="9">
        <f t="array" ref="J486">IFERROR(I486/G486*100,0)</f>
        <v>10.526315789473683</v>
      </c>
      <c r="K486" s="143">
        <f t="array" ref="K486">INDEX([22]Monitoring!$J$6:$J$582,MATCH(1,([22]Monitoring!$D$6:$D$582=$D486)*([22]Monitoring!$D$6:$D$582=$D486),0))</f>
        <v>27</v>
      </c>
      <c r="L486" s="9">
        <f t="shared" si="8"/>
        <v>6.9587628865979383</v>
      </c>
      <c r="M486" s="8" t="str">
        <f t="array" ref="M486">IF(L486&gt;5,"Perlu Pengendalian",IF(AND(L486&gt;=0,I486&gt;0),"Tidak Perlu Pengendalian","Belum Sensus"))</f>
        <v>Perlu Pengendalian</v>
      </c>
    </row>
    <row r="487" spans="1:13" x14ac:dyDescent="0.15">
      <c r="A487" s="8" t="s">
        <v>322</v>
      </c>
      <c r="B487" s="8" t="s">
        <v>107</v>
      </c>
      <c r="C487" s="8" t="s">
        <v>487</v>
      </c>
      <c r="D487" s="8" t="s">
        <v>515</v>
      </c>
      <c r="E487" s="9">
        <v>45.88</v>
      </c>
      <c r="F487" s="8" t="s">
        <v>325</v>
      </c>
      <c r="G487" s="10">
        <v>6651</v>
      </c>
      <c r="H487" s="11">
        <f t="array" ref="H487">INDEX([22]Monitoring!$H$6:$H$582,MATCH(1,([22]Monitoring!$D$6:$D$582=$D487)*([22]Monitoring!$D$6:$D$582=$D487),0))</f>
        <v>46148</v>
      </c>
      <c r="I487" s="143">
        <f t="array" ref="I487">INDEX([22]Monitoring!$I$6:$I$582,MATCH(1,([22]Monitoring!$D$6:$D$582=$D487)*([22]Monitoring!$D$6:$D$582=$D487),0))</f>
        <v>744</v>
      </c>
      <c r="J487" s="9">
        <f t="array" ref="J487">IFERROR(I487/G487*100,0)</f>
        <v>11.186287776274243</v>
      </c>
      <c r="K487" s="143">
        <f t="array" ref="K487">INDEX([22]Monitoring!$J$6:$J$582,MATCH(1,([22]Monitoring!$D$6:$D$582=$D487)*([22]Monitoring!$D$6:$D$582=$D487),0))</f>
        <v>56</v>
      </c>
      <c r="L487" s="9">
        <f t="shared" si="8"/>
        <v>7.5268817204301079</v>
      </c>
      <c r="M487" s="8" t="str">
        <f t="array" ref="M487">IF(L487&gt;5,"Perlu Pengendalian",IF(AND(L487&gt;=0,I487&gt;0),"Tidak Perlu Pengendalian","Belum Sensus"))</f>
        <v>Perlu Pengendalian</v>
      </c>
    </row>
    <row r="488" spans="1:13" x14ac:dyDescent="0.15">
      <c r="A488" s="8" t="s">
        <v>322</v>
      </c>
      <c r="B488" s="8" t="s">
        <v>107</v>
      </c>
      <c r="C488" s="8" t="s">
        <v>487</v>
      </c>
      <c r="D488" s="8" t="s">
        <v>516</v>
      </c>
      <c r="E488" s="9">
        <v>24.86</v>
      </c>
      <c r="F488" s="8" t="s">
        <v>325</v>
      </c>
      <c r="G488" s="10">
        <v>3650</v>
      </c>
      <c r="H488" s="11">
        <f t="array" ref="H488">INDEX([22]Monitoring!$H$6:$H$582,MATCH(1,([22]Monitoring!$D$6:$D$582=$D488)*([22]Monitoring!$D$6:$D$582=$D488),0))</f>
        <v>46148</v>
      </c>
      <c r="I488" s="143">
        <f t="array" ref="I488">INDEX([22]Monitoring!$I$6:$I$582,MATCH(1,([22]Monitoring!$D$6:$D$582=$D488)*([22]Monitoring!$D$6:$D$582=$D488),0))</f>
        <v>372</v>
      </c>
      <c r="J488" s="9">
        <f t="array" ref="J488">IFERROR(I488/G488*100,0)</f>
        <v>10.191780821917808</v>
      </c>
      <c r="K488" s="143">
        <f t="array" ref="K488">INDEX([22]Monitoring!$J$6:$J$582,MATCH(1,([22]Monitoring!$D$6:$D$582=$D488)*([22]Monitoring!$D$6:$D$582=$D488),0))</f>
        <v>11</v>
      </c>
      <c r="L488" s="9">
        <f t="shared" si="8"/>
        <v>2.956989247311828</v>
      </c>
      <c r="M488" s="8" t="str">
        <f t="array" ref="M488">IF(L488&gt;5,"Perlu Pengendalian",IF(AND(L488&gt;=0,I488&gt;0),"Tidak Perlu Pengendalian","Belum Sensus"))</f>
        <v>Tidak Perlu Pengendalian</v>
      </c>
    </row>
    <row r="489" spans="1:13" x14ac:dyDescent="0.15">
      <c r="A489" s="8" t="s">
        <v>322</v>
      </c>
      <c r="B489" s="8" t="s">
        <v>107</v>
      </c>
      <c r="C489" s="8" t="s">
        <v>487</v>
      </c>
      <c r="D489" s="8" t="s">
        <v>517</v>
      </c>
      <c r="E489" s="9">
        <v>25.79</v>
      </c>
      <c r="F489" s="8" t="s">
        <v>325</v>
      </c>
      <c r="G489" s="10">
        <v>3795</v>
      </c>
      <c r="H489" s="11">
        <f t="array" ref="H489">INDEX([22]Monitoring!$H$6:$H$582,MATCH(1,([22]Monitoring!$D$6:$D$582=$D489)*([22]Monitoring!$D$6:$D$582=$D489),0))</f>
        <v>46148</v>
      </c>
      <c r="I489" s="143">
        <f t="array" ref="I489">INDEX([22]Monitoring!$I$6:$I$582,MATCH(1,([22]Monitoring!$D$6:$D$582=$D489)*([22]Monitoring!$D$6:$D$582=$D489),0))</f>
        <v>356</v>
      </c>
      <c r="J489" s="9">
        <f t="array" ref="J489">IFERROR(I489/G489*100,0)</f>
        <v>9.3807641633728593</v>
      </c>
      <c r="K489" s="143">
        <f t="array" ref="K489">INDEX([22]Monitoring!$J$6:$J$582,MATCH(1,([22]Monitoring!$D$6:$D$582=$D489)*([22]Monitoring!$D$6:$D$582=$D489),0))</f>
        <v>70</v>
      </c>
      <c r="L489" s="9">
        <f t="shared" si="8"/>
        <v>19.662921348314608</v>
      </c>
      <c r="M489" s="8" t="str">
        <f t="array" ref="M489">IF(L489&gt;5,"Perlu Pengendalian",IF(AND(L489&gt;=0,I489&gt;0),"Tidak Perlu Pengendalian","Belum Sensus"))</f>
        <v>Perlu Pengendalian</v>
      </c>
    </row>
    <row r="490" spans="1:13" x14ac:dyDescent="0.15">
      <c r="A490" s="8" t="s">
        <v>322</v>
      </c>
      <c r="B490" s="8" t="s">
        <v>107</v>
      </c>
      <c r="C490" s="8" t="s">
        <v>487</v>
      </c>
      <c r="D490" s="8" t="s">
        <v>518</v>
      </c>
      <c r="E490" s="9">
        <v>23.65</v>
      </c>
      <c r="F490" s="8" t="s">
        <v>325</v>
      </c>
      <c r="G490" s="10">
        <v>3566</v>
      </c>
      <c r="H490" s="11">
        <f t="array" ref="H490">INDEX([22]Monitoring!$H$6:$H$582,MATCH(1,([22]Monitoring!$D$6:$D$582=$D490)*([22]Monitoring!$D$6:$D$582=$D490),0))</f>
        <v>46148</v>
      </c>
      <c r="I490" s="143">
        <f t="array" ref="I490">INDEX([22]Monitoring!$I$6:$I$582,MATCH(1,([22]Monitoring!$D$6:$D$582=$D490)*([22]Monitoring!$D$6:$D$582=$D490),0))</f>
        <v>365</v>
      </c>
      <c r="J490" s="9">
        <f t="array" ref="J490">IFERROR(I490/G490*100,0)</f>
        <v>10.235558048233315</v>
      </c>
      <c r="K490" s="143">
        <f t="array" ref="K490">INDEX([22]Monitoring!$J$6:$J$582,MATCH(1,([22]Monitoring!$D$6:$D$582=$D490)*([22]Monitoring!$D$6:$D$582=$D490),0))</f>
        <v>46</v>
      </c>
      <c r="L490" s="9">
        <f t="shared" si="8"/>
        <v>12.602739726027398</v>
      </c>
      <c r="M490" s="8" t="str">
        <f t="array" ref="M490">IF(L490&gt;5,"Perlu Pengendalian",IF(AND(L490&gt;=0,I490&gt;0),"Tidak Perlu Pengendalian","Belum Sensus"))</f>
        <v>Perlu Pengendalian</v>
      </c>
    </row>
    <row r="491" spans="1:13" x14ac:dyDescent="0.15">
      <c r="A491" s="8" t="s">
        <v>322</v>
      </c>
      <c r="B491" s="8" t="s">
        <v>107</v>
      </c>
      <c r="C491" s="8" t="s">
        <v>487</v>
      </c>
      <c r="D491" s="8" t="s">
        <v>519</v>
      </c>
      <c r="E491" s="9">
        <v>25.36</v>
      </c>
      <c r="F491" s="8" t="s">
        <v>325</v>
      </c>
      <c r="G491" s="10">
        <v>3762</v>
      </c>
      <c r="H491" s="11">
        <f t="array" ref="H491">INDEX([22]Monitoring!$H$6:$H$582,MATCH(1,([22]Monitoring!$D$6:$D$582=$D491)*([22]Monitoring!$D$6:$D$582=$D491),0))</f>
        <v>46148</v>
      </c>
      <c r="I491" s="143">
        <f t="array" ref="I491">INDEX([22]Monitoring!$I$6:$I$582,MATCH(1,([22]Monitoring!$D$6:$D$582=$D491)*([22]Monitoring!$D$6:$D$582=$D491),0))</f>
        <v>380</v>
      </c>
      <c r="J491" s="9">
        <f t="array" ref="J491">IFERROR(I491/G491*100,0)</f>
        <v>10.1010101010101</v>
      </c>
      <c r="K491" s="143">
        <f t="array" ref="K491">INDEX([22]Monitoring!$J$6:$J$582,MATCH(1,([22]Monitoring!$D$6:$D$582=$D491)*([22]Monitoring!$D$6:$D$582=$D491),0))</f>
        <v>130</v>
      </c>
      <c r="L491" s="9">
        <f t="shared" si="8"/>
        <v>34.210526315789473</v>
      </c>
      <c r="M491" s="8" t="str">
        <f t="array" ref="M491">IF(L491&gt;5,"Perlu Pengendalian",IF(AND(L491&gt;=0,I491&gt;0),"Tidak Perlu Pengendalian","Belum Sensus"))</f>
        <v>Perlu Pengendalian</v>
      </c>
    </row>
    <row r="492" spans="1:13" x14ac:dyDescent="0.15">
      <c r="A492" s="8" t="s">
        <v>322</v>
      </c>
      <c r="B492" s="8" t="s">
        <v>107</v>
      </c>
      <c r="C492" s="8" t="s">
        <v>487</v>
      </c>
      <c r="D492" s="8" t="s">
        <v>520</v>
      </c>
      <c r="E492" s="9">
        <v>24.12</v>
      </c>
      <c r="F492" s="8" t="s">
        <v>325</v>
      </c>
      <c r="G492" s="10">
        <v>3581</v>
      </c>
      <c r="H492" s="11">
        <f t="array" ref="H492">INDEX([22]Monitoring!$H$6:$H$582,MATCH(1,([22]Monitoring!$D$6:$D$582=$D492)*([22]Monitoring!$D$6:$D$582=$D492),0))</f>
        <v>46149</v>
      </c>
      <c r="I492" s="143">
        <f t="array" ref="I492">INDEX([22]Monitoring!$I$6:$I$582,MATCH(1,([22]Monitoring!$D$6:$D$582=$D492)*([22]Monitoring!$D$6:$D$582=$D492),0))</f>
        <v>200</v>
      </c>
      <c r="J492" s="9">
        <f t="array" ref="J492">IFERROR(I492/G492*100,0)</f>
        <v>5.5850321139346546</v>
      </c>
      <c r="K492" s="143">
        <f t="array" ref="K492">INDEX([22]Monitoring!$J$6:$J$582,MATCH(1,([22]Monitoring!$D$6:$D$582=$D492)*([22]Monitoring!$D$6:$D$582=$D492),0))</f>
        <v>46</v>
      </c>
      <c r="L492" s="9">
        <f t="shared" si="8"/>
        <v>23</v>
      </c>
      <c r="M492" s="8" t="str">
        <f t="array" ref="M492">IF(L492&gt;5,"Perlu Pengendalian",IF(AND(L492&gt;=0,I492&gt;0),"Tidak Perlu Pengendalian","Belum Sensus"))</f>
        <v>Perlu Pengendalian</v>
      </c>
    </row>
    <row r="493" spans="1:13" x14ac:dyDescent="0.15">
      <c r="A493" s="8" t="s">
        <v>322</v>
      </c>
      <c r="B493" s="8" t="s">
        <v>107</v>
      </c>
      <c r="C493" s="8" t="s">
        <v>521</v>
      </c>
      <c r="D493" s="8" t="s">
        <v>522</v>
      </c>
      <c r="E493" s="9">
        <v>37.380000000000003</v>
      </c>
      <c r="F493" s="8" t="s">
        <v>16</v>
      </c>
      <c r="G493" s="10">
        <v>5957</v>
      </c>
      <c r="H493" s="11">
        <f t="array" ref="H493">INDEX([22]Monitoring!$H$6:$H$582,MATCH(1,([22]Monitoring!$D$6:$D$582=$D493)*([22]Monitoring!$D$6:$D$582=$D493),0))</f>
        <v>46154</v>
      </c>
      <c r="I493" s="143">
        <f t="array" ref="I493">INDEX([22]Monitoring!$I$6:$I$582,MATCH(1,([22]Monitoring!$D$6:$D$582=$D493)*([22]Monitoring!$D$6:$D$582=$D493),0))</f>
        <v>420</v>
      </c>
      <c r="J493" s="9">
        <f t="array" ref="J493">IFERROR(I493/G493*100,0)</f>
        <v>7.0505287896592241</v>
      </c>
      <c r="K493" s="143">
        <f t="array" ref="K493">INDEX([22]Monitoring!$J$6:$J$582,MATCH(1,([22]Monitoring!$D$6:$D$582=$D493)*([22]Monitoring!$D$6:$D$582=$D493),0))</f>
        <v>242</v>
      </c>
      <c r="L493" s="9">
        <f t="shared" si="8"/>
        <v>57.619047619047613</v>
      </c>
      <c r="M493" s="8" t="str">
        <f t="array" ref="M493">IF(L493&gt;5,"Perlu Pengendalian",IF(AND(L493&gt;=0,I493&gt;0),"Tidak Perlu Pengendalian","Belum Sensus"))</f>
        <v>Perlu Pengendalian</v>
      </c>
    </row>
    <row r="494" spans="1:13" x14ac:dyDescent="0.15">
      <c r="A494" s="8" t="s">
        <v>322</v>
      </c>
      <c r="B494" s="8" t="s">
        <v>107</v>
      </c>
      <c r="C494" s="8" t="s">
        <v>521</v>
      </c>
      <c r="D494" s="8" t="s">
        <v>523</v>
      </c>
      <c r="E494" s="9">
        <v>44.8</v>
      </c>
      <c r="F494" s="8" t="s">
        <v>16</v>
      </c>
      <c r="G494" s="10">
        <v>7203</v>
      </c>
      <c r="H494" s="11">
        <f t="array" ref="H494">INDEX([22]Monitoring!$H$6:$H$582,MATCH(1,([22]Monitoring!$D$6:$D$582=$D494)*([22]Monitoring!$D$6:$D$582=$D494),0))</f>
        <v>46154</v>
      </c>
      <c r="I494" s="143">
        <f t="array" ref="I494">INDEX([22]Monitoring!$I$6:$I$582,MATCH(1,([22]Monitoring!$D$6:$D$582=$D494)*([22]Monitoring!$D$6:$D$582=$D494),0))</f>
        <v>329</v>
      </c>
      <c r="J494" s="9">
        <f t="array" ref="J494">IFERROR(I494/G494*100,0)</f>
        <v>4.5675413022351803</v>
      </c>
      <c r="K494" s="143">
        <f t="array" ref="K494">INDEX([22]Monitoring!$J$6:$J$582,MATCH(1,([22]Monitoring!$D$6:$D$582=$D494)*([22]Monitoring!$D$6:$D$582=$D494),0))</f>
        <v>140</v>
      </c>
      <c r="L494" s="9">
        <f t="shared" si="8"/>
        <v>42.553191489361701</v>
      </c>
      <c r="M494" s="8" t="str">
        <f t="array" ref="M494">IF(L494&gt;5,"Perlu Pengendalian",IF(AND(L494&gt;=0,I494&gt;0),"Tidak Perlu Pengendalian","Belum Sensus"))</f>
        <v>Perlu Pengendalian</v>
      </c>
    </row>
    <row r="495" spans="1:13" x14ac:dyDescent="0.15">
      <c r="A495" s="8" t="s">
        <v>322</v>
      </c>
      <c r="B495" s="8" t="s">
        <v>107</v>
      </c>
      <c r="C495" s="8" t="s">
        <v>521</v>
      </c>
      <c r="D495" s="8" t="s">
        <v>524</v>
      </c>
      <c r="E495" s="9">
        <v>25.22</v>
      </c>
      <c r="F495" s="8" t="s">
        <v>16</v>
      </c>
      <c r="G495" s="10">
        <v>3722</v>
      </c>
      <c r="H495" s="11">
        <f t="array" ref="H495">INDEX([22]Monitoring!$H$6:$H$582,MATCH(1,([22]Monitoring!$D$6:$D$582=$D495)*([22]Monitoring!$D$6:$D$582=$D495),0))</f>
        <v>46154</v>
      </c>
      <c r="I495" s="143">
        <f t="array" ref="I495">INDEX([22]Monitoring!$I$6:$I$582,MATCH(1,([22]Monitoring!$D$6:$D$582=$D495)*([22]Monitoring!$D$6:$D$582=$D495),0))</f>
        <v>327</v>
      </c>
      <c r="J495" s="9">
        <f t="array" ref="J495">IFERROR(I495/G495*100,0)</f>
        <v>8.7855991402471787</v>
      </c>
      <c r="K495" s="143">
        <f t="array" ref="K495">INDEX([22]Monitoring!$J$6:$J$582,MATCH(1,([22]Monitoring!$D$6:$D$582=$D495)*([22]Monitoring!$D$6:$D$582=$D495),0))</f>
        <v>112</v>
      </c>
      <c r="L495" s="9">
        <f t="shared" si="8"/>
        <v>34.25076452599388</v>
      </c>
      <c r="M495" s="8" t="str">
        <f t="array" ref="M495">IF(L495&gt;5,"Perlu Pengendalian",IF(AND(L495&gt;=0,I495&gt;0),"Tidak Perlu Pengendalian","Belum Sensus"))</f>
        <v>Perlu Pengendalian</v>
      </c>
    </row>
    <row r="496" spans="1:13" x14ac:dyDescent="0.15">
      <c r="A496" s="8" t="s">
        <v>322</v>
      </c>
      <c r="B496" s="8" t="s">
        <v>107</v>
      </c>
      <c r="C496" s="8" t="s">
        <v>521</v>
      </c>
      <c r="D496" s="8" t="s">
        <v>525</v>
      </c>
      <c r="E496" s="9">
        <v>24.74</v>
      </c>
      <c r="F496" s="8" t="s">
        <v>16</v>
      </c>
      <c r="G496" s="10">
        <v>3520</v>
      </c>
      <c r="H496" s="11">
        <f t="array" ref="H496">INDEX([22]Monitoring!$H$6:$H$582,MATCH(1,([22]Monitoring!$D$6:$D$582=$D496)*([22]Monitoring!$D$6:$D$582=$D496),0))</f>
        <v>46154</v>
      </c>
      <c r="I496" s="143">
        <f t="array" ref="I496">INDEX([22]Monitoring!$I$6:$I$582,MATCH(1,([22]Monitoring!$D$6:$D$582=$D496)*([22]Monitoring!$D$6:$D$582=$D496),0))</f>
        <v>300</v>
      </c>
      <c r="J496" s="9">
        <f t="array" ref="J496">IFERROR(I496/G496*100,0)</f>
        <v>8.5227272727272716</v>
      </c>
      <c r="K496" s="143">
        <f t="array" ref="K496">INDEX([22]Monitoring!$J$6:$J$582,MATCH(1,([22]Monitoring!$D$6:$D$582=$D496)*([22]Monitoring!$D$6:$D$582=$D496),0))</f>
        <v>145</v>
      </c>
      <c r="L496" s="9">
        <f t="shared" si="8"/>
        <v>48.333333333333336</v>
      </c>
      <c r="M496" s="8" t="str">
        <f t="array" ref="M496">IF(L496&gt;5,"Perlu Pengendalian",IF(AND(L496&gt;=0,I496&gt;0),"Tidak Perlu Pengendalian","Belum Sensus"))</f>
        <v>Perlu Pengendalian</v>
      </c>
    </row>
    <row r="497" spans="1:13" x14ac:dyDescent="0.15">
      <c r="A497" s="8" t="s">
        <v>322</v>
      </c>
      <c r="B497" s="8" t="s">
        <v>107</v>
      </c>
      <c r="C497" s="8" t="s">
        <v>521</v>
      </c>
      <c r="D497" s="8" t="s">
        <v>526</v>
      </c>
      <c r="E497" s="9">
        <v>24.73</v>
      </c>
      <c r="F497" s="8" t="s">
        <v>16</v>
      </c>
      <c r="G497" s="10">
        <v>3577</v>
      </c>
      <c r="H497" s="11">
        <f t="array" ref="H497">INDEX([22]Monitoring!$H$6:$H$582,MATCH(1,([22]Monitoring!$D$6:$D$582=$D497)*([22]Monitoring!$D$6:$D$582=$D497),0))</f>
        <v>46154</v>
      </c>
      <c r="I497" s="143">
        <f t="array" ref="I497">INDEX([22]Monitoring!$I$6:$I$582,MATCH(1,([22]Monitoring!$D$6:$D$582=$D497)*([22]Monitoring!$D$6:$D$582=$D497),0))</f>
        <v>346</v>
      </c>
      <c r="J497" s="9">
        <f t="array" ref="J497">IFERROR(I497/G497*100,0)</f>
        <v>9.6729102599944099</v>
      </c>
      <c r="K497" s="143">
        <f t="array" ref="K497">INDEX([22]Monitoring!$J$6:$J$582,MATCH(1,([22]Monitoring!$D$6:$D$582=$D497)*([22]Monitoring!$D$6:$D$582=$D497),0))</f>
        <v>65</v>
      </c>
      <c r="L497" s="9">
        <f t="shared" si="8"/>
        <v>18.786127167630056</v>
      </c>
      <c r="M497" s="8" t="str">
        <f t="array" ref="M497">IF(L497&gt;5,"Perlu Pengendalian",IF(AND(L497&gt;=0,I497&gt;0),"Tidak Perlu Pengendalian","Belum Sensus"))</f>
        <v>Perlu Pengendalian</v>
      </c>
    </row>
    <row r="498" spans="1:13" x14ac:dyDescent="0.15">
      <c r="A498" s="8" t="s">
        <v>322</v>
      </c>
      <c r="B498" s="8" t="s">
        <v>107</v>
      </c>
      <c r="C498" s="8" t="s">
        <v>521</v>
      </c>
      <c r="D498" s="8" t="s">
        <v>527</v>
      </c>
      <c r="E498" s="9">
        <v>24.38</v>
      </c>
      <c r="F498" s="8" t="s">
        <v>16</v>
      </c>
      <c r="G498" s="10">
        <v>3432</v>
      </c>
      <c r="H498" s="11">
        <f t="array" ref="H498">INDEX([22]Monitoring!$H$6:$H$582,MATCH(1,([22]Monitoring!$D$6:$D$582=$D498)*([22]Monitoring!$D$6:$D$582=$D498),0))</f>
        <v>46154</v>
      </c>
      <c r="I498" s="143">
        <f t="array" ref="I498">INDEX([22]Monitoring!$I$6:$I$582,MATCH(1,([22]Monitoring!$D$6:$D$582=$D498)*([22]Monitoring!$D$6:$D$582=$D498),0))</f>
        <v>386</v>
      </c>
      <c r="J498" s="9">
        <f t="array" ref="J498">IFERROR(I498/G498*100,0)</f>
        <v>11.247086247086246</v>
      </c>
      <c r="K498" s="143">
        <f t="array" ref="K498">INDEX([22]Monitoring!$J$6:$J$582,MATCH(1,([22]Monitoring!$D$6:$D$582=$D498)*([22]Monitoring!$D$6:$D$582=$D498),0))</f>
        <v>139</v>
      </c>
      <c r="L498" s="9">
        <f t="shared" si="8"/>
        <v>36.010362694300518</v>
      </c>
      <c r="M498" s="8" t="str">
        <f t="array" ref="M498">IF(L498&gt;5,"Perlu Pengendalian",IF(AND(L498&gt;=0,I498&gt;0),"Tidak Perlu Pengendalian","Belum Sensus"))</f>
        <v>Perlu Pengendalian</v>
      </c>
    </row>
    <row r="499" spans="1:13" x14ac:dyDescent="0.15">
      <c r="A499" s="8" t="s">
        <v>322</v>
      </c>
      <c r="B499" s="8" t="s">
        <v>107</v>
      </c>
      <c r="C499" s="8" t="s">
        <v>521</v>
      </c>
      <c r="D499" s="8" t="s">
        <v>528</v>
      </c>
      <c r="E499" s="9">
        <v>39.479999999999997</v>
      </c>
      <c r="F499" s="8" t="s">
        <v>16</v>
      </c>
      <c r="G499" s="10">
        <v>5941</v>
      </c>
      <c r="H499" s="11">
        <f t="array" ref="H499">INDEX([22]Monitoring!$H$6:$H$582,MATCH(1,([22]Monitoring!$D$6:$D$582=$D499)*([22]Monitoring!$D$6:$D$582=$D499),0))</f>
        <v>46154</v>
      </c>
      <c r="I499" s="143">
        <f t="array" ref="I499">INDEX([22]Monitoring!$I$6:$I$582,MATCH(1,([22]Monitoring!$D$6:$D$582=$D499)*([22]Monitoring!$D$6:$D$582=$D499),0))</f>
        <v>284</v>
      </c>
      <c r="J499" s="9">
        <f t="array" ref="J499">IFERROR(I499/G499*100,0)</f>
        <v>4.7803400100993096</v>
      </c>
      <c r="K499" s="143">
        <f t="array" ref="K499">INDEX([22]Monitoring!$J$6:$J$582,MATCH(1,([22]Monitoring!$D$6:$D$582=$D499)*([22]Monitoring!$D$6:$D$582=$D499),0))</f>
        <v>193</v>
      </c>
      <c r="L499" s="9">
        <f t="shared" si="8"/>
        <v>67.957746478873233</v>
      </c>
      <c r="M499" s="8" t="str">
        <f t="array" ref="M499">IF(L499&gt;5,"Perlu Pengendalian",IF(AND(L499&gt;=0,I499&gt;0),"Tidak Perlu Pengendalian","Belum Sensus"))</f>
        <v>Perlu Pengendalian</v>
      </c>
    </row>
    <row r="500" spans="1:13" x14ac:dyDescent="0.15">
      <c r="A500" s="8" t="s">
        <v>322</v>
      </c>
      <c r="B500" s="8" t="s">
        <v>107</v>
      </c>
      <c r="C500" s="8" t="s">
        <v>521</v>
      </c>
      <c r="D500" s="8" t="s">
        <v>529</v>
      </c>
      <c r="E500" s="9">
        <v>25.15</v>
      </c>
      <c r="F500" s="8" t="s">
        <v>16</v>
      </c>
      <c r="G500" s="10">
        <v>3618</v>
      </c>
      <c r="H500" s="11">
        <f t="array" ref="H500">INDEX([22]Monitoring!$H$6:$H$582,MATCH(1,([22]Monitoring!$D$6:$D$582=$D500)*([22]Monitoring!$D$6:$D$582=$D500),0))</f>
        <v>46154</v>
      </c>
      <c r="I500" s="143">
        <f t="array" ref="I500">INDEX([22]Monitoring!$I$6:$I$582,MATCH(1,([22]Monitoring!$D$6:$D$582=$D500)*([22]Monitoring!$D$6:$D$582=$D500),0))</f>
        <v>347</v>
      </c>
      <c r="J500" s="9">
        <f t="array" ref="J500">IFERROR(I500/G500*100,0)</f>
        <v>9.5909342177998891</v>
      </c>
      <c r="K500" s="143">
        <f t="array" ref="K500">INDEX([22]Monitoring!$J$6:$J$582,MATCH(1,([22]Monitoring!$D$6:$D$582=$D500)*([22]Monitoring!$D$6:$D$582=$D500),0))</f>
        <v>33</v>
      </c>
      <c r="L500" s="9">
        <f t="shared" si="8"/>
        <v>9.5100864553314128</v>
      </c>
      <c r="M500" s="8" t="str">
        <f t="array" ref="M500">IF(L500&gt;5,"Perlu Pengendalian",IF(AND(L500&gt;=0,I500&gt;0),"Tidak Perlu Pengendalian","Belum Sensus"))</f>
        <v>Perlu Pengendalian</v>
      </c>
    </row>
    <row r="501" spans="1:13" x14ac:dyDescent="0.15">
      <c r="A501" s="8" t="s">
        <v>322</v>
      </c>
      <c r="B501" s="8" t="s">
        <v>107</v>
      </c>
      <c r="C501" s="8" t="s">
        <v>521</v>
      </c>
      <c r="D501" s="8" t="s">
        <v>530</v>
      </c>
      <c r="E501" s="9">
        <v>24.76</v>
      </c>
      <c r="F501" s="8" t="s">
        <v>16</v>
      </c>
      <c r="G501" s="10">
        <v>3449</v>
      </c>
      <c r="H501" s="11">
        <f t="array" ref="H501">INDEX([22]Monitoring!$H$6:$H$582,MATCH(1,([22]Monitoring!$D$6:$D$582=$D501)*([22]Monitoring!$D$6:$D$582=$D501),0))</f>
        <v>46154</v>
      </c>
      <c r="I501" s="143">
        <f t="array" ref="I501">INDEX([22]Monitoring!$I$6:$I$582,MATCH(1,([22]Monitoring!$D$6:$D$582=$D501)*([22]Monitoring!$D$6:$D$582=$D501),0))</f>
        <v>328</v>
      </c>
      <c r="J501" s="9">
        <f t="array" ref="J501">IFERROR(I501/G501*100,0)</f>
        <v>9.510002899391127</v>
      </c>
      <c r="K501" s="143">
        <f t="array" ref="K501">INDEX([22]Monitoring!$J$6:$J$582,MATCH(1,([22]Monitoring!$D$6:$D$582=$D501)*([22]Monitoring!$D$6:$D$582=$D501),0))</f>
        <v>42</v>
      </c>
      <c r="L501" s="9">
        <f t="shared" si="8"/>
        <v>12.804878048780488</v>
      </c>
      <c r="M501" s="8" t="str">
        <f t="array" ref="M501">IF(L501&gt;5,"Perlu Pengendalian",IF(AND(L501&gt;=0,I501&gt;0),"Tidak Perlu Pengendalian","Belum Sensus"))</f>
        <v>Perlu Pengendalian</v>
      </c>
    </row>
    <row r="502" spans="1:13" x14ac:dyDescent="0.15">
      <c r="A502" s="8" t="s">
        <v>322</v>
      </c>
      <c r="B502" s="8" t="s">
        <v>107</v>
      </c>
      <c r="C502" s="8" t="s">
        <v>521</v>
      </c>
      <c r="D502" s="8" t="s">
        <v>531</v>
      </c>
      <c r="E502" s="9">
        <v>25.02</v>
      </c>
      <c r="F502" s="8" t="s">
        <v>16</v>
      </c>
      <c r="G502" s="10">
        <v>3572</v>
      </c>
      <c r="H502" s="11">
        <f t="array" ref="H502">INDEX([22]Monitoring!$H$6:$H$582,MATCH(1,([22]Monitoring!$D$6:$D$582=$D502)*([22]Monitoring!$D$6:$D$582=$D502),0))</f>
        <v>46154</v>
      </c>
      <c r="I502" s="143">
        <f t="array" ref="I502">INDEX([22]Monitoring!$I$6:$I$582,MATCH(1,([22]Monitoring!$D$6:$D$582=$D502)*([22]Monitoring!$D$6:$D$582=$D502),0))</f>
        <v>316</v>
      </c>
      <c r="J502" s="9">
        <f t="array" ref="J502">IFERROR(I502/G502*100,0)</f>
        <v>8.846584546472565</v>
      </c>
      <c r="K502" s="143">
        <f t="array" ref="K502">INDEX([22]Monitoring!$J$6:$J$582,MATCH(1,([22]Monitoring!$D$6:$D$582=$D502)*([22]Monitoring!$D$6:$D$582=$D502),0))</f>
        <v>27</v>
      </c>
      <c r="L502" s="9">
        <f t="shared" si="8"/>
        <v>8.5443037974683538</v>
      </c>
      <c r="M502" s="8" t="str">
        <f t="array" ref="M502">IF(L502&gt;5,"Perlu Pengendalian",IF(AND(L502&gt;=0,I502&gt;0),"Tidak Perlu Pengendalian","Belum Sensus"))</f>
        <v>Perlu Pengendalian</v>
      </c>
    </row>
    <row r="503" spans="1:13" x14ac:dyDescent="0.15">
      <c r="A503" s="8" t="s">
        <v>322</v>
      </c>
      <c r="B503" s="8" t="s">
        <v>107</v>
      </c>
      <c r="C503" s="8" t="s">
        <v>521</v>
      </c>
      <c r="D503" s="8" t="s">
        <v>532</v>
      </c>
      <c r="E503" s="9">
        <v>24.83</v>
      </c>
      <c r="F503" s="8" t="s">
        <v>16</v>
      </c>
      <c r="G503" s="10">
        <v>3428</v>
      </c>
      <c r="H503" s="11">
        <f t="array" ref="H503">INDEX([22]Monitoring!$H$6:$H$582,MATCH(1,([22]Monitoring!$D$6:$D$582=$D503)*([22]Monitoring!$D$6:$D$582=$D503),0))</f>
        <v>46154</v>
      </c>
      <c r="I503" s="143">
        <f t="array" ref="I503">INDEX([22]Monitoring!$I$6:$I$582,MATCH(1,([22]Monitoring!$D$6:$D$582=$D503)*([22]Monitoring!$D$6:$D$582=$D503),0))</f>
        <v>344</v>
      </c>
      <c r="J503" s="9">
        <f t="array" ref="J503">IFERROR(I503/G503*100,0)</f>
        <v>10.035005834305718</v>
      </c>
      <c r="K503" s="143">
        <f t="array" ref="K503">INDEX([22]Monitoring!$J$6:$J$582,MATCH(1,([22]Monitoring!$D$6:$D$582=$D503)*([22]Monitoring!$D$6:$D$582=$D503),0))</f>
        <v>154</v>
      </c>
      <c r="L503" s="9">
        <f t="shared" si="8"/>
        <v>44.767441860465119</v>
      </c>
      <c r="M503" s="8" t="str">
        <f t="array" ref="M503">IF(L503&gt;5,"Perlu Pengendalian",IF(AND(L503&gt;=0,I503&gt;0),"Tidak Perlu Pengendalian","Belum Sensus"))</f>
        <v>Perlu Pengendalian</v>
      </c>
    </row>
    <row r="504" spans="1:13" x14ac:dyDescent="0.15">
      <c r="A504" s="8" t="s">
        <v>322</v>
      </c>
      <c r="B504" s="8" t="s">
        <v>107</v>
      </c>
      <c r="C504" s="8" t="s">
        <v>521</v>
      </c>
      <c r="D504" s="8" t="s">
        <v>533</v>
      </c>
      <c r="E504" s="9">
        <v>25.26</v>
      </c>
      <c r="F504" s="8" t="s">
        <v>16</v>
      </c>
      <c r="G504" s="10">
        <v>3707</v>
      </c>
      <c r="H504" s="11">
        <f t="array" ref="H504">INDEX([22]Monitoring!$H$6:$H$582,MATCH(1,([22]Monitoring!$D$6:$D$582=$D504)*([22]Monitoring!$D$6:$D$582=$D504),0))</f>
        <v>46154</v>
      </c>
      <c r="I504" s="143">
        <f t="array" ref="I504">INDEX([22]Monitoring!$I$6:$I$582,MATCH(1,([22]Monitoring!$D$6:$D$582=$D504)*([22]Monitoring!$D$6:$D$582=$D504),0))</f>
        <v>406</v>
      </c>
      <c r="J504" s="9">
        <f t="array" ref="J504">IFERROR(I504/G504*100,0)</f>
        <v>10.952252495279202</v>
      </c>
      <c r="K504" s="143">
        <f t="array" ref="K504">INDEX([22]Monitoring!$J$6:$J$582,MATCH(1,([22]Monitoring!$D$6:$D$582=$D504)*([22]Monitoring!$D$6:$D$582=$D504),0))</f>
        <v>83</v>
      </c>
      <c r="L504" s="9">
        <f t="shared" si="8"/>
        <v>20.44334975369458</v>
      </c>
      <c r="M504" s="8" t="str">
        <f t="array" ref="M504">IF(L504&gt;5,"Perlu Pengendalian",IF(AND(L504&gt;=0,I504&gt;0),"Tidak Perlu Pengendalian","Belum Sensus"))</f>
        <v>Perlu Pengendalian</v>
      </c>
    </row>
    <row r="505" spans="1:13" x14ac:dyDescent="0.15">
      <c r="A505" s="8" t="s">
        <v>322</v>
      </c>
      <c r="B505" s="8" t="s">
        <v>107</v>
      </c>
      <c r="C505" s="8" t="s">
        <v>521</v>
      </c>
      <c r="D505" s="8" t="s">
        <v>534</v>
      </c>
      <c r="E505" s="9">
        <v>25.42</v>
      </c>
      <c r="F505" s="8" t="s">
        <v>16</v>
      </c>
      <c r="G505" s="10">
        <v>3881</v>
      </c>
      <c r="H505" s="11">
        <f t="array" ref="H505">INDEX([22]Monitoring!$H$6:$H$582,MATCH(1,([22]Monitoring!$D$6:$D$582=$D505)*([22]Monitoring!$D$6:$D$582=$D505),0))</f>
        <v>46154</v>
      </c>
      <c r="I505" s="143">
        <f t="array" ref="I505">INDEX([22]Monitoring!$I$6:$I$582,MATCH(1,([22]Monitoring!$D$6:$D$582=$D505)*([22]Monitoring!$D$6:$D$582=$D505),0))</f>
        <v>366</v>
      </c>
      <c r="J505" s="9">
        <f t="array" ref="J505">IFERROR(I505/G505*100,0)</f>
        <v>9.4305591342437509</v>
      </c>
      <c r="K505" s="143">
        <f t="array" ref="K505">INDEX([22]Monitoring!$J$6:$J$582,MATCH(1,([22]Monitoring!$D$6:$D$582=$D505)*([22]Monitoring!$D$6:$D$582=$D505),0))</f>
        <v>33</v>
      </c>
      <c r="L505" s="9">
        <f t="shared" si="8"/>
        <v>9.0163934426229506</v>
      </c>
      <c r="M505" s="8" t="str">
        <f t="array" ref="M505">IF(L505&gt;5,"Perlu Pengendalian",IF(AND(L505&gt;=0,I505&gt;0),"Tidak Perlu Pengendalian","Belum Sensus"))</f>
        <v>Perlu Pengendalian</v>
      </c>
    </row>
    <row r="506" spans="1:13" x14ac:dyDescent="0.15">
      <c r="A506" s="8" t="s">
        <v>322</v>
      </c>
      <c r="B506" s="8" t="s">
        <v>107</v>
      </c>
      <c r="C506" s="8" t="s">
        <v>521</v>
      </c>
      <c r="D506" s="8" t="s">
        <v>535</v>
      </c>
      <c r="E506" s="9">
        <v>23.02</v>
      </c>
      <c r="F506" s="8" t="s">
        <v>16</v>
      </c>
      <c r="G506" s="10">
        <v>3458</v>
      </c>
      <c r="H506" s="11">
        <f t="array" ref="H506">INDEX([22]Monitoring!$H$6:$H$582,MATCH(1,([22]Monitoring!$D$6:$D$582=$D506)*([22]Monitoring!$D$6:$D$582=$D506),0))</f>
        <v>46154</v>
      </c>
      <c r="I506" s="143">
        <f t="array" ref="I506">INDEX([22]Monitoring!$I$6:$I$582,MATCH(1,([22]Monitoring!$D$6:$D$582=$D506)*([22]Monitoring!$D$6:$D$582=$D506),0))</f>
        <v>360</v>
      </c>
      <c r="J506" s="9">
        <f t="array" ref="J506">IFERROR(I506/G506*100,0)</f>
        <v>10.410641989589358</v>
      </c>
      <c r="K506" s="143">
        <f t="array" ref="K506">INDEX([22]Monitoring!$J$6:$J$582,MATCH(1,([22]Monitoring!$D$6:$D$582=$D506)*([22]Monitoring!$D$6:$D$582=$D506),0))</f>
        <v>154</v>
      </c>
      <c r="L506" s="9">
        <f t="shared" si="8"/>
        <v>42.777777777777779</v>
      </c>
      <c r="M506" s="8" t="str">
        <f t="array" ref="M506">IF(L506&gt;5,"Perlu Pengendalian",IF(AND(L506&gt;=0,I506&gt;0),"Tidak Perlu Pengendalian","Belum Sensus"))</f>
        <v>Perlu Pengendalian</v>
      </c>
    </row>
    <row r="507" spans="1:13" x14ac:dyDescent="0.15">
      <c r="A507" s="8" t="s">
        <v>322</v>
      </c>
      <c r="B507" s="8" t="s">
        <v>107</v>
      </c>
      <c r="C507" s="8" t="s">
        <v>521</v>
      </c>
      <c r="D507" s="8" t="s">
        <v>536</v>
      </c>
      <c r="E507" s="9">
        <v>35.57</v>
      </c>
      <c r="F507" s="8" t="s">
        <v>16</v>
      </c>
      <c r="G507" s="10">
        <v>5242</v>
      </c>
      <c r="H507" s="11">
        <f t="array" ref="H507">INDEX([22]Monitoring!$H$6:$H$582,MATCH(1,([22]Monitoring!$D$6:$D$582=$D507)*([22]Monitoring!$D$6:$D$582=$D507),0))</f>
        <v>46154</v>
      </c>
      <c r="I507" s="143">
        <f t="array" ref="I507">INDEX([22]Monitoring!$I$6:$I$582,MATCH(1,([22]Monitoring!$D$6:$D$582=$D507)*([22]Monitoring!$D$6:$D$582=$D507),0))</f>
        <v>343</v>
      </c>
      <c r="J507" s="9">
        <f t="array" ref="J507">IFERROR(I507/G507*100,0)</f>
        <v>6.5433040824112929</v>
      </c>
      <c r="K507" s="143">
        <f t="array" ref="K507">INDEX([22]Monitoring!$J$6:$J$582,MATCH(1,([22]Monitoring!$D$6:$D$582=$D507)*([22]Monitoring!$D$6:$D$582=$D507),0))</f>
        <v>108</v>
      </c>
      <c r="L507" s="9">
        <f t="shared" si="8"/>
        <v>31.486880466472307</v>
      </c>
      <c r="M507" s="8" t="str">
        <f t="array" ref="M507">IF(L507&gt;5,"Perlu Pengendalian",IF(AND(L507&gt;=0,I507&gt;0),"Tidak Perlu Pengendalian","Belum Sensus"))</f>
        <v>Perlu Pengendalian</v>
      </c>
    </row>
    <row r="508" spans="1:13" x14ac:dyDescent="0.15">
      <c r="A508" s="8" t="s">
        <v>322</v>
      </c>
      <c r="B508" s="8" t="s">
        <v>107</v>
      </c>
      <c r="C508" s="8" t="s">
        <v>521</v>
      </c>
      <c r="D508" s="8" t="s">
        <v>537</v>
      </c>
      <c r="E508" s="9">
        <v>25.24</v>
      </c>
      <c r="F508" s="8" t="s">
        <v>16</v>
      </c>
      <c r="G508" s="10">
        <v>3217</v>
      </c>
      <c r="H508" s="11">
        <f t="array" ref="H508">INDEX([22]Monitoring!$H$6:$H$582,MATCH(1,([22]Monitoring!$D$6:$D$582=$D508)*([22]Monitoring!$D$6:$D$582=$D508),0))</f>
        <v>46154</v>
      </c>
      <c r="I508" s="143">
        <f t="array" ref="I508">INDEX([22]Monitoring!$I$6:$I$582,MATCH(1,([22]Monitoring!$D$6:$D$582=$D508)*([22]Monitoring!$D$6:$D$582=$D508),0))</f>
        <v>367</v>
      </c>
      <c r="J508" s="9">
        <f t="array" ref="J508">IFERROR(I508/G508*100,0)</f>
        <v>11.40814423375816</v>
      </c>
      <c r="K508" s="143">
        <f t="array" ref="K508">INDEX([22]Monitoring!$J$6:$J$582,MATCH(1,([22]Monitoring!$D$6:$D$582=$D508)*([22]Monitoring!$D$6:$D$582=$D508),0))</f>
        <v>115</v>
      </c>
      <c r="L508" s="9">
        <f t="shared" si="8"/>
        <v>31.335149863760218</v>
      </c>
      <c r="M508" s="8" t="str">
        <f t="array" ref="M508">IF(L508&gt;5,"Perlu Pengendalian",IF(AND(L508&gt;=0,I508&gt;0),"Tidak Perlu Pengendalian","Belum Sensus"))</f>
        <v>Perlu Pengendalian</v>
      </c>
    </row>
    <row r="509" spans="1:13" x14ac:dyDescent="0.15">
      <c r="A509" s="8" t="s">
        <v>322</v>
      </c>
      <c r="B509" s="8" t="s">
        <v>107</v>
      </c>
      <c r="C509" s="8" t="s">
        <v>521</v>
      </c>
      <c r="D509" s="8" t="s">
        <v>538</v>
      </c>
      <c r="E509" s="9">
        <v>25.08</v>
      </c>
      <c r="F509" s="8" t="s">
        <v>16</v>
      </c>
      <c r="G509" s="10">
        <v>3276</v>
      </c>
      <c r="H509" s="11">
        <f t="array" ref="H509">INDEX([22]Monitoring!$H$6:$H$582,MATCH(1,([22]Monitoring!$D$6:$D$582=$D509)*([22]Monitoring!$D$6:$D$582=$D509),0))</f>
        <v>46154</v>
      </c>
      <c r="I509" s="143">
        <f t="array" ref="I509">INDEX([22]Monitoring!$I$6:$I$582,MATCH(1,([22]Monitoring!$D$6:$D$582=$D509)*([22]Monitoring!$D$6:$D$582=$D509),0))</f>
        <v>341</v>
      </c>
      <c r="J509" s="9">
        <f t="array" ref="J509">IFERROR(I509/G509*100,0)</f>
        <v>10.409035409035409</v>
      </c>
      <c r="K509" s="143">
        <f t="array" ref="K509">INDEX([22]Monitoring!$J$6:$J$582,MATCH(1,([22]Monitoring!$D$6:$D$582=$D509)*([22]Monitoring!$D$6:$D$582=$D509),0))</f>
        <v>29</v>
      </c>
      <c r="L509" s="9">
        <f t="shared" si="8"/>
        <v>8.5043988269794717</v>
      </c>
      <c r="M509" s="8" t="str">
        <f t="array" ref="M509">IF(L509&gt;5,"Perlu Pengendalian",IF(AND(L509&gt;=0,I509&gt;0),"Tidak Perlu Pengendalian","Belum Sensus"))</f>
        <v>Perlu Pengendalian</v>
      </c>
    </row>
    <row r="510" spans="1:13" x14ac:dyDescent="0.15">
      <c r="A510" s="8" t="s">
        <v>322</v>
      </c>
      <c r="B510" s="8" t="s">
        <v>107</v>
      </c>
      <c r="C510" s="8" t="s">
        <v>521</v>
      </c>
      <c r="D510" s="8" t="s">
        <v>539</v>
      </c>
      <c r="E510" s="9">
        <v>25.4</v>
      </c>
      <c r="F510" s="8" t="s">
        <v>16</v>
      </c>
      <c r="G510" s="10">
        <v>2840</v>
      </c>
      <c r="H510" s="11">
        <f t="array" ref="H510">INDEX([22]Monitoring!$H$6:$H$582,MATCH(1,([22]Monitoring!$D$6:$D$582=$D510)*([22]Monitoring!$D$6:$D$582=$D510),0))</f>
        <v>46154</v>
      </c>
      <c r="I510" s="143">
        <f t="array" ref="I510">INDEX([22]Monitoring!$I$6:$I$582,MATCH(1,([22]Monitoring!$D$6:$D$582=$D510)*([22]Monitoring!$D$6:$D$582=$D510),0))</f>
        <v>350</v>
      </c>
      <c r="J510" s="9">
        <f t="array" ref="J510">IFERROR(I510/G510*100,0)</f>
        <v>12.323943661971832</v>
      </c>
      <c r="K510" s="143">
        <f t="array" ref="K510">INDEX([22]Monitoring!$J$6:$J$582,MATCH(1,([22]Monitoring!$D$6:$D$582=$D510)*([22]Monitoring!$D$6:$D$582=$D510),0))</f>
        <v>75</v>
      </c>
      <c r="L510" s="9">
        <f t="shared" si="8"/>
        <v>21.428571428571427</v>
      </c>
      <c r="M510" s="8" t="str">
        <f t="array" ref="M510">IF(L510&gt;5,"Perlu Pengendalian",IF(AND(L510&gt;=0,I510&gt;0),"Tidak Perlu Pengendalian","Belum Sensus"))</f>
        <v>Perlu Pengendalian</v>
      </c>
    </row>
    <row r="511" spans="1:13" x14ac:dyDescent="0.15">
      <c r="A511" s="8" t="s">
        <v>322</v>
      </c>
      <c r="B511" s="8" t="s">
        <v>107</v>
      </c>
      <c r="C511" s="8" t="s">
        <v>521</v>
      </c>
      <c r="D511" s="8" t="s">
        <v>540</v>
      </c>
      <c r="E511" s="9">
        <v>25.34</v>
      </c>
      <c r="F511" s="8" t="s">
        <v>16</v>
      </c>
      <c r="G511" s="10">
        <v>3632</v>
      </c>
      <c r="H511" s="11">
        <f t="array" ref="H511">INDEX([22]Monitoring!$H$6:$H$582,MATCH(1,([22]Monitoring!$D$6:$D$582=$D511)*([22]Monitoring!$D$6:$D$582=$D511),0))</f>
        <v>46154</v>
      </c>
      <c r="I511" s="143">
        <f t="array" ref="I511">INDEX([22]Monitoring!$I$6:$I$582,MATCH(1,([22]Monitoring!$D$6:$D$582=$D511)*([22]Monitoring!$D$6:$D$582=$D511),0))</f>
        <v>368</v>
      </c>
      <c r="J511" s="9">
        <f t="array" ref="J511">IFERROR(I511/G511*100,0)</f>
        <v>10.13215859030837</v>
      </c>
      <c r="K511" s="143">
        <f t="array" ref="K511">INDEX([22]Monitoring!$J$6:$J$582,MATCH(1,([22]Monitoring!$D$6:$D$582=$D511)*([22]Monitoring!$D$6:$D$582=$D511),0))</f>
        <v>112</v>
      </c>
      <c r="L511" s="9">
        <f t="shared" si="8"/>
        <v>30.434782608695656</v>
      </c>
      <c r="M511" s="8" t="str">
        <f t="array" ref="M511">IF(L511&gt;5,"Perlu Pengendalian",IF(AND(L511&gt;=0,I511&gt;0),"Tidak Perlu Pengendalian","Belum Sensus"))</f>
        <v>Perlu Pengendalian</v>
      </c>
    </row>
    <row r="512" spans="1:13" x14ac:dyDescent="0.15">
      <c r="A512" s="8" t="s">
        <v>322</v>
      </c>
      <c r="B512" s="8" t="s">
        <v>107</v>
      </c>
      <c r="C512" s="8" t="s">
        <v>521</v>
      </c>
      <c r="D512" s="8" t="s">
        <v>541</v>
      </c>
      <c r="E512" s="9">
        <v>25.78</v>
      </c>
      <c r="F512" s="8" t="s">
        <v>16</v>
      </c>
      <c r="G512" s="10">
        <v>3730</v>
      </c>
      <c r="H512" s="11">
        <f t="array" ref="H512">INDEX([22]Monitoring!$H$6:$H$582,MATCH(1,([22]Monitoring!$D$6:$D$582=$D512)*([22]Monitoring!$D$6:$D$582=$D512),0))</f>
        <v>46154</v>
      </c>
      <c r="I512" s="143">
        <f t="array" ref="I512">INDEX([22]Monitoring!$I$6:$I$582,MATCH(1,([22]Monitoring!$D$6:$D$582=$D512)*([22]Monitoring!$D$6:$D$582=$D512),0))</f>
        <v>405</v>
      </c>
      <c r="J512" s="9">
        <f t="array" ref="J512">IFERROR(I512/G512*100,0)</f>
        <v>10.857908847184987</v>
      </c>
      <c r="K512" s="143">
        <f t="array" ref="K512">INDEX([22]Monitoring!$J$6:$J$582,MATCH(1,([22]Monitoring!$D$6:$D$582=$D512)*([22]Monitoring!$D$6:$D$582=$D512),0))</f>
        <v>115</v>
      </c>
      <c r="L512" s="9">
        <f t="shared" si="8"/>
        <v>28.39506172839506</v>
      </c>
      <c r="M512" s="8" t="str">
        <f t="array" ref="M512">IF(L512&gt;5,"Perlu Pengendalian",IF(AND(L512&gt;=0,I512&gt;0),"Tidak Perlu Pengendalian","Belum Sensus"))</f>
        <v>Perlu Pengendalian</v>
      </c>
    </row>
    <row r="513" spans="1:13" x14ac:dyDescent="0.15">
      <c r="A513" s="8" t="s">
        <v>322</v>
      </c>
      <c r="B513" s="8" t="s">
        <v>107</v>
      </c>
      <c r="C513" s="8" t="s">
        <v>521</v>
      </c>
      <c r="D513" s="8" t="s">
        <v>542</v>
      </c>
      <c r="E513" s="9">
        <v>26.4</v>
      </c>
      <c r="F513" s="8" t="s">
        <v>16</v>
      </c>
      <c r="G513" s="10">
        <v>3927</v>
      </c>
      <c r="H513" s="11">
        <f t="array" ref="H513">INDEX([22]Monitoring!$H$6:$H$582,MATCH(1,([22]Monitoring!$D$6:$D$582=$D513)*([22]Monitoring!$D$6:$D$582=$D513),0))</f>
        <v>46154</v>
      </c>
      <c r="I513" s="143">
        <f t="array" ref="I513">INDEX([22]Monitoring!$I$6:$I$582,MATCH(1,([22]Monitoring!$D$6:$D$582=$D513)*([22]Monitoring!$D$6:$D$582=$D513),0))</f>
        <v>393</v>
      </c>
      <c r="J513" s="9">
        <f t="array" ref="J513">IFERROR(I513/G513*100,0)</f>
        <v>10.007639419404125</v>
      </c>
      <c r="K513" s="143">
        <f t="array" ref="K513">INDEX([22]Monitoring!$J$6:$J$582,MATCH(1,([22]Monitoring!$D$6:$D$582=$D513)*([22]Monitoring!$D$6:$D$582=$D513),0))</f>
        <v>53</v>
      </c>
      <c r="L513" s="9">
        <f t="shared" si="8"/>
        <v>13.486005089058525</v>
      </c>
      <c r="M513" s="8" t="str">
        <f t="array" ref="M513">IF(L513&gt;5,"Perlu Pengendalian",IF(AND(L513&gt;=0,I513&gt;0),"Tidak Perlu Pengendalian","Belum Sensus"))</f>
        <v>Perlu Pengendalian</v>
      </c>
    </row>
    <row r="514" spans="1:13" x14ac:dyDescent="0.15">
      <c r="A514" s="8" t="s">
        <v>322</v>
      </c>
      <c r="B514" s="8" t="s">
        <v>107</v>
      </c>
      <c r="C514" s="8" t="s">
        <v>521</v>
      </c>
      <c r="D514" s="8" t="s">
        <v>543</v>
      </c>
      <c r="E514" s="9">
        <v>25.38</v>
      </c>
      <c r="F514" s="8" t="s">
        <v>16</v>
      </c>
      <c r="G514" s="10">
        <v>3541</v>
      </c>
      <c r="H514" s="11">
        <f t="array" ref="H514">INDEX([22]Monitoring!$H$6:$H$582,MATCH(1,([22]Monitoring!$D$6:$D$582=$D514)*([22]Monitoring!$D$6:$D$582=$D514),0))</f>
        <v>46154</v>
      </c>
      <c r="I514" s="143">
        <f t="array" ref="I514">INDEX([22]Monitoring!$I$6:$I$582,MATCH(1,([22]Monitoring!$D$6:$D$582=$D514)*([22]Monitoring!$D$6:$D$582=$D514),0))</f>
        <v>363</v>
      </c>
      <c r="J514" s="9">
        <f t="array" ref="J514">IFERROR(I514/G514*100,0)</f>
        <v>10.251341428974865</v>
      </c>
      <c r="K514" s="143">
        <f t="array" ref="K514">INDEX([22]Monitoring!$J$6:$J$582,MATCH(1,([22]Monitoring!$D$6:$D$582=$D514)*([22]Monitoring!$D$6:$D$582=$D514),0))</f>
        <v>59</v>
      </c>
      <c r="L514" s="9">
        <f t="shared" si="8"/>
        <v>16.253443526170798</v>
      </c>
      <c r="M514" s="8" t="str">
        <f t="array" ref="M514">IF(L514&gt;5,"Perlu Pengendalian",IF(AND(L514&gt;=0,I514&gt;0),"Tidak Perlu Pengendalian","Belum Sensus"))</f>
        <v>Perlu Pengendalian</v>
      </c>
    </row>
    <row r="515" spans="1:13" x14ac:dyDescent="0.15">
      <c r="A515" s="8" t="s">
        <v>322</v>
      </c>
      <c r="B515" s="8" t="s">
        <v>107</v>
      </c>
      <c r="C515" s="8" t="s">
        <v>521</v>
      </c>
      <c r="D515" s="8" t="s">
        <v>544</v>
      </c>
      <c r="E515" s="9">
        <v>25.08</v>
      </c>
      <c r="F515" s="8" t="s">
        <v>16</v>
      </c>
      <c r="G515" s="10">
        <v>3475</v>
      </c>
      <c r="H515" s="11">
        <f t="array" ref="H515">INDEX([22]Monitoring!$H$6:$H$582,MATCH(1,([22]Monitoring!$D$6:$D$582=$D515)*([22]Monitoring!$D$6:$D$582=$D515),0))</f>
        <v>46154</v>
      </c>
      <c r="I515" s="143">
        <f t="array" ref="I515">INDEX([22]Monitoring!$I$6:$I$582,MATCH(1,([22]Monitoring!$D$6:$D$582=$D515)*([22]Monitoring!$D$6:$D$582=$D515),0))</f>
        <v>394</v>
      </c>
      <c r="J515" s="9">
        <f t="array" ref="J515">IFERROR(I515/G515*100,0)</f>
        <v>11.338129496402878</v>
      </c>
      <c r="K515" s="143">
        <f t="array" ref="K515">INDEX([22]Monitoring!$J$6:$J$582,MATCH(1,([22]Monitoring!$D$6:$D$582=$D515)*([22]Monitoring!$D$6:$D$582=$D515),0))</f>
        <v>42</v>
      </c>
      <c r="L515" s="9">
        <f t="shared" si="8"/>
        <v>10.659898477157361</v>
      </c>
      <c r="M515" s="8" t="str">
        <f t="array" ref="M515">IF(L515&gt;5,"Perlu Pengendalian",IF(AND(L515&gt;=0,I515&gt;0),"Tidak Perlu Pengendalian","Belum Sensus"))</f>
        <v>Perlu Pengendalian</v>
      </c>
    </row>
    <row r="516" spans="1:13" x14ac:dyDescent="0.15">
      <c r="A516" s="8" t="s">
        <v>322</v>
      </c>
      <c r="B516" s="8" t="s">
        <v>107</v>
      </c>
      <c r="C516" s="8" t="s">
        <v>521</v>
      </c>
      <c r="D516" s="8" t="s">
        <v>545</v>
      </c>
      <c r="E516" s="9">
        <v>34.18</v>
      </c>
      <c r="F516" s="8" t="s">
        <v>16</v>
      </c>
      <c r="G516" s="10">
        <v>3839</v>
      </c>
      <c r="H516" s="11">
        <f t="array" ref="H516">INDEX([22]Monitoring!$H$6:$H$582,MATCH(1,([22]Monitoring!$D$6:$D$582=$D516)*([22]Monitoring!$D$6:$D$582=$D516),0))</f>
        <v>46154</v>
      </c>
      <c r="I516" s="143">
        <f t="array" ref="I516">INDEX([22]Monitoring!$I$6:$I$582,MATCH(1,([22]Monitoring!$D$6:$D$582=$D516)*([22]Monitoring!$D$6:$D$582=$D516),0))</f>
        <v>261</v>
      </c>
      <c r="J516" s="9">
        <f t="array" ref="J516">IFERROR(I516/G516*100,0)</f>
        <v>6.7986454805939056</v>
      </c>
      <c r="K516" s="143">
        <f t="array" ref="K516">INDEX([22]Monitoring!$J$6:$J$582,MATCH(1,([22]Monitoring!$D$6:$D$582=$D516)*([22]Monitoring!$D$6:$D$582=$D516),0))</f>
        <v>29</v>
      </c>
      <c r="L516" s="9">
        <f t="shared" si="8"/>
        <v>11.111111111111111</v>
      </c>
      <c r="M516" s="8" t="str">
        <f t="array" ref="M516">IF(L516&gt;5,"Perlu Pengendalian",IF(AND(L516&gt;=0,I516&gt;0),"Tidak Perlu Pengendalian","Belum Sensus"))</f>
        <v>Perlu Pengendalian</v>
      </c>
    </row>
    <row r="517" spans="1:13" x14ac:dyDescent="0.15">
      <c r="A517" s="8" t="s">
        <v>322</v>
      </c>
      <c r="B517" s="8" t="s">
        <v>107</v>
      </c>
      <c r="C517" s="8" t="s">
        <v>521</v>
      </c>
      <c r="D517" s="8" t="s">
        <v>2043</v>
      </c>
      <c r="E517" s="9">
        <v>45.13</v>
      </c>
      <c r="F517" s="8" t="s">
        <v>132</v>
      </c>
      <c r="G517" s="10">
        <v>6413</v>
      </c>
      <c r="H517" s="11">
        <f t="array" ref="H517">INDEX([22]Monitoring!$H$6:$H$582,MATCH(1,([22]Monitoring!$D$6:$D$582=$D517)*([22]Monitoring!$D$6:$D$582=$D517),0))</f>
        <v>46154</v>
      </c>
      <c r="I517" s="143">
        <f t="array" ref="I517">INDEX([22]Monitoring!$I$6:$I$582,MATCH(1,([22]Monitoring!$D$6:$D$582=$D517)*([22]Monitoring!$D$6:$D$582=$D517),0))</f>
        <v>346</v>
      </c>
      <c r="J517" s="9">
        <f t="array" ref="J517">IFERROR(I517/G517*100,0)</f>
        <v>5.3952908155309531</v>
      </c>
      <c r="K517" s="143">
        <f t="array" ref="K517">INDEX([22]Monitoring!$J$6:$J$582,MATCH(1,([22]Monitoring!$D$6:$D$582=$D517)*([22]Monitoring!$D$6:$D$582=$D517),0))</f>
        <v>18</v>
      </c>
      <c r="L517" s="9">
        <f t="shared" ref="L517:L522" si="9">IFERROR(K517/I517*100,0)</f>
        <v>5.202312138728324</v>
      </c>
      <c r="M517" s="8" t="str">
        <f t="array" ref="M517">IF(L517&gt;5,"Perlu Pengendalian",IF(AND(L517&gt;=0,I517&gt;0),"Tidak Perlu Pengendalian","Belum Sensus"))</f>
        <v>Perlu Pengendalian</v>
      </c>
    </row>
    <row r="518" spans="1:13" x14ac:dyDescent="0.15">
      <c r="A518" s="8" t="s">
        <v>322</v>
      </c>
      <c r="B518" s="8" t="s">
        <v>107</v>
      </c>
      <c r="C518" s="8" t="s">
        <v>521</v>
      </c>
      <c r="D518" s="8" t="s">
        <v>546</v>
      </c>
      <c r="E518" s="9">
        <v>42.69</v>
      </c>
      <c r="F518" s="8" t="s">
        <v>132</v>
      </c>
      <c r="G518" s="10">
        <v>6342</v>
      </c>
      <c r="H518" s="11">
        <f t="array" ref="H518">INDEX([22]Monitoring!$H$6:$H$582,MATCH(1,([22]Monitoring!$D$6:$D$582=$D518)*([22]Monitoring!$D$6:$D$582=$D518),0))</f>
        <v>46154</v>
      </c>
      <c r="I518" s="143">
        <f t="array" ref="I518">INDEX([22]Monitoring!$I$6:$I$582,MATCH(1,([22]Monitoring!$D$6:$D$582=$D518)*([22]Monitoring!$D$6:$D$582=$D518),0))</f>
        <v>366</v>
      </c>
      <c r="J518" s="9">
        <f t="array" ref="J518">IFERROR(I518/G518*100,0)</f>
        <v>5.7710501419110685</v>
      </c>
      <c r="K518" s="143">
        <f t="array" ref="K518">INDEX([22]Monitoring!$J$6:$J$582,MATCH(1,([22]Monitoring!$D$6:$D$582=$D518)*([22]Monitoring!$D$6:$D$582=$D518),0))</f>
        <v>33</v>
      </c>
      <c r="L518" s="9">
        <f t="shared" si="9"/>
        <v>9.0163934426229506</v>
      </c>
      <c r="M518" s="8" t="str">
        <f t="array" ref="M518">IF(L518&gt;5,"Perlu Pengendalian",IF(AND(L518&gt;=0,I518&gt;0),"Tidak Perlu Pengendalian","Belum Sensus"))</f>
        <v>Perlu Pengendalian</v>
      </c>
    </row>
    <row r="519" spans="1:13" x14ac:dyDescent="0.15">
      <c r="A519" s="8" t="s">
        <v>322</v>
      </c>
      <c r="B519" s="8" t="s">
        <v>107</v>
      </c>
      <c r="C519" s="8" t="s">
        <v>521</v>
      </c>
      <c r="D519" s="8" t="s">
        <v>547</v>
      </c>
      <c r="E519" s="9">
        <v>24.21</v>
      </c>
      <c r="F519" s="8" t="s">
        <v>132</v>
      </c>
      <c r="G519" s="10">
        <v>2701</v>
      </c>
      <c r="H519" s="11">
        <f t="array" ref="H519">INDEX([22]Monitoring!$H$6:$H$582,MATCH(1,([22]Monitoring!$D$6:$D$582=$D519)*([22]Monitoring!$D$6:$D$582=$D519),0))</f>
        <v>46154</v>
      </c>
      <c r="I519" s="143">
        <f t="array" ref="I519">INDEX([22]Monitoring!$I$6:$I$582,MATCH(1,([22]Monitoring!$D$6:$D$582=$D519)*([22]Monitoring!$D$6:$D$582=$D519),0))</f>
        <v>352</v>
      </c>
      <c r="J519" s="9">
        <f t="array" ref="J519">IFERROR(I519/G519*100,0)</f>
        <v>13.032210292484264</v>
      </c>
      <c r="K519" s="143">
        <f t="array" ref="K519">INDEX([22]Monitoring!$J$6:$J$582,MATCH(1,([22]Monitoring!$D$6:$D$582=$D519)*([22]Monitoring!$D$6:$D$582=$D519),0))</f>
        <v>73</v>
      </c>
      <c r="L519" s="9">
        <f t="shared" si="9"/>
        <v>20.738636363636363</v>
      </c>
      <c r="M519" s="8" t="str">
        <f t="array" ref="M519">IF(L519&gt;5,"Perlu Pengendalian",IF(AND(L519&gt;=0,I519&gt;0),"Tidak Perlu Pengendalian","Belum Sensus"))</f>
        <v>Perlu Pengendalian</v>
      </c>
    </row>
    <row r="520" spans="1:13" x14ac:dyDescent="0.15">
      <c r="A520" s="8" t="s">
        <v>322</v>
      </c>
      <c r="B520" s="8" t="s">
        <v>107</v>
      </c>
      <c r="C520" s="8" t="s">
        <v>521</v>
      </c>
      <c r="D520" s="8" t="s">
        <v>2044</v>
      </c>
      <c r="E520" s="9">
        <v>23.65</v>
      </c>
      <c r="F520" s="8" t="s">
        <v>132</v>
      </c>
      <c r="G520" s="10">
        <v>2021</v>
      </c>
      <c r="H520" s="11">
        <f t="array" ref="H520">INDEX([22]Monitoring!$H$6:$H$582,MATCH(1,([22]Monitoring!$D$6:$D$582=$D520)*([22]Monitoring!$D$6:$D$582=$D520),0))</f>
        <v>46154</v>
      </c>
      <c r="I520" s="143">
        <f t="array" ref="I520">INDEX([22]Monitoring!$I$6:$I$582,MATCH(1,([22]Monitoring!$D$6:$D$582=$D520)*([22]Monitoring!$D$6:$D$582=$D520),0))</f>
        <v>248</v>
      </c>
      <c r="J520" s="9">
        <f t="array" ref="J520">IFERROR(I520/G520*100,0)</f>
        <v>12.271152894606631</v>
      </c>
      <c r="K520" s="143">
        <f t="array" ref="K520">INDEX([22]Monitoring!$J$6:$J$582,MATCH(1,([22]Monitoring!$D$6:$D$582=$D520)*([22]Monitoring!$D$6:$D$582=$D520),0))</f>
        <v>30</v>
      </c>
      <c r="L520" s="9">
        <f t="shared" si="9"/>
        <v>12.096774193548388</v>
      </c>
      <c r="M520" s="8" t="str">
        <f t="array" ref="M520">IF(L520&gt;5,"Perlu Pengendalian",IF(AND(L520&gt;=0,I520&gt;0),"Tidak Perlu Pengendalian","Belum Sensus"))</f>
        <v>Perlu Pengendalian</v>
      </c>
    </row>
    <row r="521" spans="1:13" x14ac:dyDescent="0.15">
      <c r="A521" s="8" t="s">
        <v>322</v>
      </c>
      <c r="B521" s="8" t="s">
        <v>107</v>
      </c>
      <c r="C521" s="8" t="s">
        <v>521</v>
      </c>
      <c r="D521" s="8" t="s">
        <v>2045</v>
      </c>
      <c r="E521" s="9">
        <v>27.55</v>
      </c>
      <c r="F521" s="8" t="s">
        <v>132</v>
      </c>
      <c r="G521" s="10">
        <v>2580</v>
      </c>
      <c r="H521" s="11">
        <f t="array" ref="H521">INDEX([22]Monitoring!$H$6:$H$582,MATCH(1,([22]Monitoring!$D$6:$D$582=$D521)*([22]Monitoring!$D$6:$D$582=$D521),0))</f>
        <v>46154</v>
      </c>
      <c r="I521" s="143">
        <f t="array" ref="I521">INDEX([22]Monitoring!$I$6:$I$582,MATCH(1,([22]Monitoring!$D$6:$D$582=$D521)*([22]Monitoring!$D$6:$D$582=$D521),0))</f>
        <v>281</v>
      </c>
      <c r="J521" s="9">
        <f t="array" ref="J521">IFERROR(I521/G521*100,0)</f>
        <v>10.891472868217054</v>
      </c>
      <c r="K521" s="143">
        <f t="array" ref="K521">INDEX([22]Monitoring!$J$6:$J$582,MATCH(1,([22]Monitoring!$D$6:$D$582=$D521)*([22]Monitoring!$D$6:$D$582=$D521),0))</f>
        <v>22</v>
      </c>
      <c r="L521" s="9">
        <f t="shared" si="9"/>
        <v>7.8291814946619214</v>
      </c>
      <c r="M521" s="8" t="str">
        <f t="array" ref="M521">IF(L521&gt;5,"Perlu Pengendalian",IF(AND(L521&gt;=0,I521&gt;0),"Tidak Perlu Pengendalian","Belum Sensus"))</f>
        <v>Perlu Pengendalian</v>
      </c>
    </row>
    <row r="522" spans="1:13" x14ac:dyDescent="0.15">
      <c r="A522" s="8" t="s">
        <v>322</v>
      </c>
      <c r="B522" s="8" t="s">
        <v>107</v>
      </c>
      <c r="C522" s="8" t="s">
        <v>521</v>
      </c>
      <c r="D522" s="8" t="s">
        <v>2046</v>
      </c>
      <c r="E522" s="9">
        <v>21.66</v>
      </c>
      <c r="F522" s="8" t="s">
        <v>132</v>
      </c>
      <c r="G522" s="10">
        <v>2533</v>
      </c>
      <c r="H522" s="11">
        <f t="array" ref="H522">INDEX([22]Monitoring!$H$6:$H$582,MATCH(1,([22]Monitoring!$D$6:$D$582=$D522)*([22]Monitoring!$D$6:$D$582=$D522),0))</f>
        <v>46154</v>
      </c>
      <c r="I522" s="143">
        <f t="array" ref="I522">INDEX([22]Monitoring!$I$6:$I$582,MATCH(1,([22]Monitoring!$D$6:$D$582=$D522)*([22]Monitoring!$D$6:$D$582=$D522),0))</f>
        <v>367</v>
      </c>
      <c r="J522" s="9">
        <f t="array" ref="J522">IFERROR(I522/G522*100,0)</f>
        <v>14.488748519542044</v>
      </c>
      <c r="K522" s="143">
        <f t="array" ref="K522">INDEX([22]Monitoring!$J$6:$J$582,MATCH(1,([22]Monitoring!$D$6:$D$582=$D522)*([22]Monitoring!$D$6:$D$582=$D522),0))</f>
        <v>115</v>
      </c>
      <c r="L522" s="9">
        <f t="shared" si="9"/>
        <v>31.335149863760218</v>
      </c>
      <c r="M522" s="8" t="str">
        <f t="array" ref="M522">IF(L522&gt;5,"Perlu Pengendalian",IF(AND(L522&gt;=0,I522&gt;0),"Tidak Perlu Pengendalian","Belum Sensus"))</f>
        <v>Perlu Pengendalian</v>
      </c>
    </row>
    <row r="523" spans="1:13" x14ac:dyDescent="0.15">
      <c r="A523" s="8" t="s">
        <v>322</v>
      </c>
      <c r="B523" s="8" t="s">
        <v>107</v>
      </c>
      <c r="C523" s="8" t="s">
        <v>548</v>
      </c>
      <c r="D523" s="8" t="s">
        <v>549</v>
      </c>
      <c r="E523" s="8">
        <v>25.84</v>
      </c>
      <c r="F523" s="8" t="s">
        <v>16</v>
      </c>
      <c r="G523" s="10">
        <v>3850</v>
      </c>
      <c r="H523" s="11">
        <f t="array" ref="H523">INDEX([22]Monitoring!$H$6:$H$582,MATCH(1,([22]Monitoring!$D$6:$D$582=$D523)*([22]Monitoring!$D$6:$D$582=$D523),0))</f>
        <v>46153</v>
      </c>
      <c r="I523" s="143">
        <f t="array" ref="I523">INDEX([22]Monitoring!$I$6:$I$582,MATCH(1,([22]Monitoring!$D$6:$D$582=$D523)*([22]Monitoring!$D$6:$D$582=$D523),0))</f>
        <v>369</v>
      </c>
      <c r="J523" s="9">
        <f t="array" ref="J523">IFERROR(I523/G523*100,0)</f>
        <v>9.5844155844155843</v>
      </c>
      <c r="K523" s="143">
        <f t="array" ref="K523">INDEX([22]Monitoring!$J$6:$J$582,MATCH(1,([22]Monitoring!$D$6:$D$582=$D523)*([22]Monitoring!$D$6:$D$582=$D523),0))</f>
        <v>112</v>
      </c>
      <c r="L523" s="9">
        <f t="shared" si="8"/>
        <v>30.352303523035228</v>
      </c>
      <c r="M523" s="8" t="str">
        <f t="array" ref="M523">IF(L523&gt;5,"Perlu Pengendalian",IF(AND(L523&gt;=0,I523&gt;0),"Tidak Perlu Pengendalian","Belum Sensus"))</f>
        <v>Perlu Pengendalian</v>
      </c>
    </row>
    <row r="524" spans="1:13" x14ac:dyDescent="0.15">
      <c r="A524" s="8" t="s">
        <v>322</v>
      </c>
      <c r="B524" s="8" t="s">
        <v>107</v>
      </c>
      <c r="C524" s="8" t="s">
        <v>548</v>
      </c>
      <c r="D524" s="8" t="s">
        <v>550</v>
      </c>
      <c r="E524" s="8">
        <v>24.56</v>
      </c>
      <c r="F524" s="8" t="s">
        <v>16</v>
      </c>
      <c r="G524" s="10">
        <v>3607</v>
      </c>
      <c r="H524" s="11">
        <f t="array" ref="H524">INDEX([22]Monitoring!$H$6:$H$582,MATCH(1,([22]Monitoring!$D$6:$D$582=$D524)*([22]Monitoring!$D$6:$D$582=$D524),0))</f>
        <v>46153</v>
      </c>
      <c r="I524" s="143">
        <f t="array" ref="I524">INDEX([22]Monitoring!$I$6:$I$582,MATCH(1,([22]Monitoring!$D$6:$D$582=$D524)*([22]Monitoring!$D$6:$D$582=$D524),0))</f>
        <v>333</v>
      </c>
      <c r="J524" s="9">
        <f t="array" ref="J524">IFERROR(I524/G524*100,0)</f>
        <v>9.2320487940116429</v>
      </c>
      <c r="K524" s="143">
        <f t="array" ref="K524">INDEX([22]Monitoring!$J$6:$J$582,MATCH(1,([22]Monitoring!$D$6:$D$582=$D524)*([22]Monitoring!$D$6:$D$582=$D524),0))</f>
        <v>86</v>
      </c>
      <c r="L524" s="9">
        <f t="shared" si="8"/>
        <v>25.825825825825827</v>
      </c>
      <c r="M524" s="8" t="str">
        <f t="array" ref="M524">IF(L524&gt;5,"Perlu Pengendalian",IF(AND(L524&gt;=0,I524&gt;0),"Tidak Perlu Pengendalian","Belum Sensus"))</f>
        <v>Perlu Pengendalian</v>
      </c>
    </row>
    <row r="525" spans="1:13" x14ac:dyDescent="0.15">
      <c r="A525" s="8" t="s">
        <v>322</v>
      </c>
      <c r="B525" s="8" t="s">
        <v>107</v>
      </c>
      <c r="C525" s="8" t="s">
        <v>548</v>
      </c>
      <c r="D525" s="8" t="s">
        <v>551</v>
      </c>
      <c r="E525" s="8">
        <v>23.29</v>
      </c>
      <c r="F525" s="8" t="s">
        <v>16</v>
      </c>
      <c r="G525" s="10">
        <v>3391</v>
      </c>
      <c r="H525" s="11">
        <f t="array" ref="H525">INDEX([22]Monitoring!$H$6:$H$582,MATCH(1,([22]Monitoring!$D$6:$D$582=$D525)*([22]Monitoring!$D$6:$D$582=$D525),0))</f>
        <v>46153</v>
      </c>
      <c r="I525" s="143">
        <f t="array" ref="I525">INDEX([22]Monitoring!$I$6:$I$582,MATCH(1,([22]Monitoring!$D$6:$D$582=$D525)*([22]Monitoring!$D$6:$D$582=$D525),0))</f>
        <v>304</v>
      </c>
      <c r="J525" s="9">
        <f t="array" ref="J525">IFERROR(I525/G525*100,0)</f>
        <v>8.9649071070480684</v>
      </c>
      <c r="K525" s="143">
        <f t="array" ref="K525">INDEX([22]Monitoring!$J$6:$J$582,MATCH(1,([22]Monitoring!$D$6:$D$582=$D525)*([22]Monitoring!$D$6:$D$582=$D525),0))</f>
        <v>21</v>
      </c>
      <c r="L525" s="9">
        <f t="shared" si="8"/>
        <v>6.9078947368421062</v>
      </c>
      <c r="M525" s="8" t="str">
        <f t="array" ref="M525">IF(L525&gt;5,"Perlu Pengendalian",IF(AND(L525&gt;=0,I525&gt;0),"Tidak Perlu Pengendalian","Belum Sensus"))</f>
        <v>Perlu Pengendalian</v>
      </c>
    </row>
    <row r="526" spans="1:13" x14ac:dyDescent="0.15">
      <c r="A526" s="8" t="s">
        <v>322</v>
      </c>
      <c r="B526" s="8" t="s">
        <v>107</v>
      </c>
      <c r="C526" s="8" t="s">
        <v>548</v>
      </c>
      <c r="D526" s="8" t="s">
        <v>552</v>
      </c>
      <c r="E526" s="8">
        <v>26.36</v>
      </c>
      <c r="F526" s="8" t="s">
        <v>16</v>
      </c>
      <c r="G526" s="10">
        <v>3667</v>
      </c>
      <c r="H526" s="11">
        <f t="array" ref="H526">INDEX([22]Monitoring!$H$6:$H$582,MATCH(1,([22]Monitoring!$D$6:$D$582=$D526)*([22]Monitoring!$D$6:$D$582=$D526),0))</f>
        <v>46153</v>
      </c>
      <c r="I526" s="143">
        <f t="array" ref="I526">INDEX([22]Monitoring!$I$6:$I$582,MATCH(1,([22]Monitoring!$D$6:$D$582=$D526)*([22]Monitoring!$D$6:$D$582=$D526),0))</f>
        <v>383</v>
      </c>
      <c r="J526" s="9">
        <f t="array" ref="J526">IFERROR(I526/G526*100,0)</f>
        <v>10.444505044995909</v>
      </c>
      <c r="K526" s="143">
        <f t="array" ref="K526">INDEX([22]Monitoring!$J$6:$J$582,MATCH(1,([22]Monitoring!$D$6:$D$582=$D526)*([22]Monitoring!$D$6:$D$582=$D526),0))</f>
        <v>11</v>
      </c>
      <c r="L526" s="9">
        <f t="shared" si="8"/>
        <v>2.8720626631853787</v>
      </c>
      <c r="M526" s="8" t="str">
        <f t="array" ref="M526">IF(L526&gt;5,"Perlu Pengendalian",IF(AND(L526&gt;=0,I526&gt;0),"Tidak Perlu Pengendalian","Belum Sensus"))</f>
        <v>Tidak Perlu Pengendalian</v>
      </c>
    </row>
    <row r="527" spans="1:13" x14ac:dyDescent="0.15">
      <c r="A527" s="8" t="s">
        <v>322</v>
      </c>
      <c r="B527" s="8" t="s">
        <v>107</v>
      </c>
      <c r="C527" s="8" t="s">
        <v>548</v>
      </c>
      <c r="D527" s="8" t="s">
        <v>553</v>
      </c>
      <c r="E527" s="8">
        <v>25.96</v>
      </c>
      <c r="F527" s="8" t="s">
        <v>16</v>
      </c>
      <c r="G527" s="10">
        <v>3858</v>
      </c>
      <c r="H527" s="11">
        <f t="array" ref="H527">INDEX([22]Monitoring!$H$6:$H$582,MATCH(1,([22]Monitoring!$D$6:$D$582=$D527)*([22]Monitoring!$D$6:$D$582=$D527),0))</f>
        <v>46151</v>
      </c>
      <c r="I527" s="143">
        <f t="array" ref="I527">INDEX([22]Monitoring!$I$6:$I$582,MATCH(1,([22]Monitoring!$D$6:$D$582=$D527)*([22]Monitoring!$D$6:$D$582=$D527),0))</f>
        <v>282</v>
      </c>
      <c r="J527" s="9">
        <f t="array" ref="J527">IFERROR(I527/G527*100,0)</f>
        <v>7.309486780715396</v>
      </c>
      <c r="K527" s="143">
        <f t="array" ref="K527">INDEX([22]Monitoring!$J$6:$J$582,MATCH(1,([22]Monitoring!$D$6:$D$582=$D527)*([22]Monitoring!$D$6:$D$582=$D527),0))</f>
        <v>112</v>
      </c>
      <c r="L527" s="9">
        <f t="shared" si="8"/>
        <v>39.716312056737593</v>
      </c>
      <c r="M527" s="8" t="str">
        <f t="array" ref="M527">IF(L527&gt;5,"Perlu Pengendalian",IF(AND(L527&gt;=0,I527&gt;0),"Tidak Perlu Pengendalian","Belum Sensus"))</f>
        <v>Perlu Pengendalian</v>
      </c>
    </row>
    <row r="528" spans="1:13" x14ac:dyDescent="0.15">
      <c r="A528" s="8" t="s">
        <v>322</v>
      </c>
      <c r="B528" s="8" t="s">
        <v>107</v>
      </c>
      <c r="C528" s="8" t="s">
        <v>548</v>
      </c>
      <c r="D528" s="8" t="s">
        <v>554</v>
      </c>
      <c r="E528" s="8">
        <v>24.48</v>
      </c>
      <c r="F528" s="8" t="s">
        <v>16</v>
      </c>
      <c r="G528" s="10">
        <v>3511</v>
      </c>
      <c r="H528" s="11">
        <f t="array" ref="H528">INDEX([22]Monitoring!$H$6:$H$582,MATCH(1,([22]Monitoring!$D$6:$D$582=$D528)*([22]Monitoring!$D$6:$D$582=$D528),0))</f>
        <v>46151</v>
      </c>
      <c r="I528" s="143">
        <f t="array" ref="I528">INDEX([22]Monitoring!$I$6:$I$582,MATCH(1,([22]Monitoring!$D$6:$D$582=$D528)*([22]Monitoring!$D$6:$D$582=$D528),0))</f>
        <v>318</v>
      </c>
      <c r="J528" s="9">
        <f t="array" ref="J528">IFERROR(I528/G528*100,0)</f>
        <v>9.0572486471090858</v>
      </c>
      <c r="K528" s="143">
        <f t="array" ref="K528">INDEX([22]Monitoring!$J$6:$J$582,MATCH(1,([22]Monitoring!$D$6:$D$582=$D528)*([22]Monitoring!$D$6:$D$582=$D528),0))</f>
        <v>46</v>
      </c>
      <c r="L528" s="9">
        <f t="shared" si="8"/>
        <v>14.465408805031446</v>
      </c>
      <c r="M528" s="8" t="str">
        <f t="array" ref="M528">IF(L528&gt;5,"Perlu Pengendalian",IF(AND(L528&gt;=0,I528&gt;0),"Tidak Perlu Pengendalian","Belum Sensus"))</f>
        <v>Perlu Pengendalian</v>
      </c>
    </row>
    <row r="529" spans="1:13" x14ac:dyDescent="0.15">
      <c r="A529" s="8" t="s">
        <v>322</v>
      </c>
      <c r="B529" s="8" t="s">
        <v>107</v>
      </c>
      <c r="C529" s="8" t="s">
        <v>548</v>
      </c>
      <c r="D529" s="8" t="s">
        <v>555</v>
      </c>
      <c r="E529" s="8">
        <v>26.56</v>
      </c>
      <c r="F529" s="8" t="s">
        <v>16</v>
      </c>
      <c r="G529" s="10">
        <v>3597</v>
      </c>
      <c r="H529" s="11">
        <f t="array" ref="H529">INDEX([22]Monitoring!$H$6:$H$582,MATCH(1,([22]Monitoring!$D$6:$D$582=$D529)*([22]Monitoring!$D$6:$D$582=$D529),0))</f>
        <v>46151</v>
      </c>
      <c r="I529" s="143">
        <f t="array" ref="I529">INDEX([22]Monitoring!$I$6:$I$582,MATCH(1,([22]Monitoring!$D$6:$D$582=$D529)*([22]Monitoring!$D$6:$D$582=$D529),0))</f>
        <v>347</v>
      </c>
      <c r="J529" s="9">
        <f t="array" ref="J529">IFERROR(I529/G529*100,0)</f>
        <v>9.6469279955518488</v>
      </c>
      <c r="K529" s="143">
        <f t="array" ref="K529">INDEX([22]Monitoring!$J$6:$J$582,MATCH(1,([22]Monitoring!$D$6:$D$582=$D529)*([22]Monitoring!$D$6:$D$582=$D529),0))</f>
        <v>32</v>
      </c>
      <c r="L529" s="9">
        <f t="shared" si="8"/>
        <v>9.2219020172910664</v>
      </c>
      <c r="M529" s="8" t="str">
        <f t="array" ref="M529">IF(L529&gt;5,"Perlu Pengendalian",IF(AND(L529&gt;=0,I529&gt;0),"Tidak Perlu Pengendalian","Belum Sensus"))</f>
        <v>Perlu Pengendalian</v>
      </c>
    </row>
    <row r="530" spans="1:13" x14ac:dyDescent="0.15">
      <c r="A530" s="8" t="s">
        <v>322</v>
      </c>
      <c r="B530" s="8" t="s">
        <v>107</v>
      </c>
      <c r="C530" s="8" t="s">
        <v>548</v>
      </c>
      <c r="D530" s="8" t="s">
        <v>556</v>
      </c>
      <c r="E530" s="8">
        <v>24.29</v>
      </c>
      <c r="F530" s="8" t="s">
        <v>16</v>
      </c>
      <c r="G530" s="10">
        <v>3409</v>
      </c>
      <c r="H530" s="11">
        <f t="array" ref="H530">INDEX([22]Monitoring!$H$6:$H$582,MATCH(1,([22]Monitoring!$D$6:$D$582=$D530)*([22]Monitoring!$D$6:$D$582=$D530),0))</f>
        <v>46151</v>
      </c>
      <c r="I530" s="143">
        <f t="array" ref="I530">INDEX([22]Monitoring!$I$6:$I$582,MATCH(1,([22]Monitoring!$D$6:$D$582=$D530)*([22]Monitoring!$D$6:$D$582=$D530),0))</f>
        <v>379</v>
      </c>
      <c r="J530" s="9">
        <f t="array" ref="J530">IFERROR(I530/G530*100,0)</f>
        <v>11.117629803461426</v>
      </c>
      <c r="K530" s="143">
        <f t="array" ref="K530">INDEX([22]Monitoring!$J$6:$J$582,MATCH(1,([22]Monitoring!$D$6:$D$582=$D530)*([22]Monitoring!$D$6:$D$582=$D530),0))</f>
        <v>91</v>
      </c>
      <c r="L530" s="9">
        <f t="shared" si="8"/>
        <v>24.010554089709764</v>
      </c>
      <c r="M530" s="8" t="str">
        <f t="array" ref="M530">IF(L530&gt;5,"Perlu Pengendalian",IF(AND(L530&gt;=0,I530&gt;0),"Tidak Perlu Pengendalian","Belum Sensus"))</f>
        <v>Perlu Pengendalian</v>
      </c>
    </row>
    <row r="531" spans="1:13" x14ac:dyDescent="0.15">
      <c r="A531" s="8" t="s">
        <v>322</v>
      </c>
      <c r="B531" s="8" t="s">
        <v>107</v>
      </c>
      <c r="C531" s="8" t="s">
        <v>548</v>
      </c>
      <c r="D531" s="8" t="s">
        <v>557</v>
      </c>
      <c r="E531" s="8">
        <v>26.09</v>
      </c>
      <c r="F531" s="8" t="s">
        <v>16</v>
      </c>
      <c r="G531" s="10">
        <v>3782</v>
      </c>
      <c r="H531" s="11">
        <f t="array" ref="H531">INDEX([22]Monitoring!$H$6:$H$582,MATCH(1,([22]Monitoring!$D$6:$D$582=$D531)*([22]Monitoring!$D$6:$D$582=$D531),0))</f>
        <v>46153</v>
      </c>
      <c r="I531" s="143">
        <f t="array" ref="I531">INDEX([22]Monitoring!$I$6:$I$582,MATCH(1,([22]Monitoring!$D$6:$D$582=$D531)*([22]Monitoring!$D$6:$D$582=$D531),0))</f>
        <v>367</v>
      </c>
      <c r="J531" s="9">
        <f t="array" ref="J531">IFERROR(I531/G531*100,0)</f>
        <v>9.7038603913273409</v>
      </c>
      <c r="K531" s="143">
        <f t="array" ref="K531">INDEX([22]Monitoring!$J$6:$J$582,MATCH(1,([22]Monitoring!$D$6:$D$582=$D531)*([22]Monitoring!$D$6:$D$582=$D531),0))</f>
        <v>23</v>
      </c>
      <c r="L531" s="9">
        <f t="shared" si="8"/>
        <v>6.2670299727520433</v>
      </c>
      <c r="M531" s="8" t="str">
        <f t="array" ref="M531">IF(L531&gt;5,"Perlu Pengendalian",IF(AND(L531&gt;=0,I531&gt;0),"Tidak Perlu Pengendalian","Belum Sensus"))</f>
        <v>Perlu Pengendalian</v>
      </c>
    </row>
    <row r="532" spans="1:13" x14ac:dyDescent="0.15">
      <c r="A532" s="8" t="s">
        <v>322</v>
      </c>
      <c r="B532" s="8" t="s">
        <v>107</v>
      </c>
      <c r="C532" s="8" t="s">
        <v>548</v>
      </c>
      <c r="D532" s="8" t="s">
        <v>558</v>
      </c>
      <c r="E532" s="8">
        <v>25.22</v>
      </c>
      <c r="F532" s="8" t="s">
        <v>16</v>
      </c>
      <c r="G532" s="10">
        <v>3614</v>
      </c>
      <c r="H532" s="11">
        <f t="array" ref="H532">INDEX([22]Monitoring!$H$6:$H$582,MATCH(1,([22]Monitoring!$D$6:$D$582=$D532)*([22]Monitoring!$D$6:$D$582=$D532),0))</f>
        <v>46153</v>
      </c>
      <c r="I532" s="143">
        <f t="array" ref="I532">INDEX([22]Monitoring!$I$6:$I$582,MATCH(1,([22]Monitoring!$D$6:$D$582=$D532)*([22]Monitoring!$D$6:$D$582=$D532),0))</f>
        <v>379</v>
      </c>
      <c r="J532" s="9">
        <f t="array" ref="J532">IFERROR(I532/G532*100,0)</f>
        <v>10.48699501936912</v>
      </c>
      <c r="K532" s="143">
        <f t="array" ref="K532">INDEX([22]Monitoring!$J$6:$J$582,MATCH(1,([22]Monitoring!$D$6:$D$582=$D532)*([22]Monitoring!$D$6:$D$582=$D532),0))</f>
        <v>14</v>
      </c>
      <c r="L532" s="9">
        <f t="shared" si="8"/>
        <v>3.6939313984168867</v>
      </c>
      <c r="M532" s="8" t="str">
        <f t="array" ref="M532">IF(L532&gt;5,"Perlu Pengendalian",IF(AND(L532&gt;=0,I532&gt;0),"Tidak Perlu Pengendalian","Belum Sensus"))</f>
        <v>Tidak Perlu Pengendalian</v>
      </c>
    </row>
    <row r="533" spans="1:13" x14ac:dyDescent="0.15">
      <c r="A533" s="8" t="s">
        <v>322</v>
      </c>
      <c r="B533" s="8" t="s">
        <v>107</v>
      </c>
      <c r="C533" s="8" t="s">
        <v>548</v>
      </c>
      <c r="D533" s="8" t="s">
        <v>559</v>
      </c>
      <c r="E533" s="8">
        <v>23.21</v>
      </c>
      <c r="F533" s="8" t="s">
        <v>16</v>
      </c>
      <c r="G533" s="10">
        <v>3458</v>
      </c>
      <c r="H533" s="11">
        <f t="array" ref="H533">INDEX([22]Monitoring!$H$6:$H$582,MATCH(1,([22]Monitoring!$D$6:$D$582=$D533)*([22]Monitoring!$D$6:$D$582=$D533),0))</f>
        <v>46150</v>
      </c>
      <c r="I533" s="143">
        <f t="array" ref="I533">INDEX([22]Monitoring!$I$6:$I$582,MATCH(1,([22]Monitoring!$D$6:$D$582=$D533)*([22]Monitoring!$D$6:$D$582=$D533),0))</f>
        <v>354</v>
      </c>
      <c r="J533" s="9">
        <f t="array" ref="J533">IFERROR(I533/G533*100,0)</f>
        <v>10.237131289762868</v>
      </c>
      <c r="K533" s="143">
        <f t="array" ref="K533">INDEX([22]Monitoring!$J$6:$J$582,MATCH(1,([22]Monitoring!$D$6:$D$582=$D533)*([22]Monitoring!$D$6:$D$582=$D533),0))</f>
        <v>31</v>
      </c>
      <c r="L533" s="9">
        <f t="shared" si="8"/>
        <v>8.7570621468926557</v>
      </c>
      <c r="M533" s="8" t="str">
        <f t="array" ref="M533">IF(L533&gt;5,"Perlu Pengendalian",IF(AND(L533&gt;=0,I533&gt;0),"Tidak Perlu Pengendalian","Belum Sensus"))</f>
        <v>Perlu Pengendalian</v>
      </c>
    </row>
    <row r="534" spans="1:13" x14ac:dyDescent="0.15">
      <c r="A534" s="8" t="s">
        <v>322</v>
      </c>
      <c r="B534" s="8" t="s">
        <v>107</v>
      </c>
      <c r="C534" s="8" t="s">
        <v>548</v>
      </c>
      <c r="D534" s="8" t="s">
        <v>560</v>
      </c>
      <c r="E534" s="8">
        <v>26.81</v>
      </c>
      <c r="F534" s="8" t="s">
        <v>16</v>
      </c>
      <c r="G534" s="10">
        <v>4007</v>
      </c>
      <c r="H534" s="11">
        <f t="array" ref="H534">INDEX([22]Monitoring!$H$6:$H$582,MATCH(1,([22]Monitoring!$D$6:$D$582=$D534)*([22]Monitoring!$D$6:$D$582=$D534),0))</f>
        <v>46150</v>
      </c>
      <c r="I534" s="143">
        <f t="array" ref="I534">INDEX([22]Monitoring!$I$6:$I$582,MATCH(1,([22]Monitoring!$D$6:$D$582=$D534)*([22]Monitoring!$D$6:$D$582=$D534),0))</f>
        <v>405</v>
      </c>
      <c r="J534" s="9">
        <f t="array" ref="J534">IFERROR(I534/G534*100,0)</f>
        <v>10.107312203643623</v>
      </c>
      <c r="K534" s="143">
        <f t="array" ref="K534">INDEX([22]Monitoring!$J$6:$J$582,MATCH(1,([22]Monitoring!$D$6:$D$582=$D534)*([22]Monitoring!$D$6:$D$582=$D534),0))</f>
        <v>6</v>
      </c>
      <c r="L534" s="9">
        <f t="shared" si="8"/>
        <v>1.4814814814814816</v>
      </c>
      <c r="M534" s="8" t="str">
        <f t="array" ref="M534">IF(L534&gt;5,"Perlu Pengendalian",IF(AND(L534&gt;=0,I534&gt;0),"Tidak Perlu Pengendalian","Belum Sensus"))</f>
        <v>Tidak Perlu Pengendalian</v>
      </c>
    </row>
    <row r="535" spans="1:13" x14ac:dyDescent="0.15">
      <c r="A535" s="8" t="s">
        <v>322</v>
      </c>
      <c r="B535" s="8" t="s">
        <v>107</v>
      </c>
      <c r="C535" s="8" t="s">
        <v>548</v>
      </c>
      <c r="D535" s="8" t="s">
        <v>561</v>
      </c>
      <c r="E535" s="8">
        <v>25.73</v>
      </c>
      <c r="F535" s="8" t="s">
        <v>16</v>
      </c>
      <c r="G535" s="10">
        <v>3755</v>
      </c>
      <c r="H535" s="11">
        <f t="array" ref="H535">INDEX([22]Monitoring!$H$6:$H$582,MATCH(1,([22]Monitoring!$D$6:$D$582=$D535)*([22]Monitoring!$D$6:$D$582=$D535),0))</f>
        <v>46150</v>
      </c>
      <c r="I535" s="143">
        <f t="array" ref="I535">INDEX([22]Monitoring!$I$6:$I$582,MATCH(1,([22]Monitoring!$D$6:$D$582=$D535)*([22]Monitoring!$D$6:$D$582=$D535),0))</f>
        <v>406</v>
      </c>
      <c r="J535" s="9">
        <f t="array" ref="J535">IFERROR(I535/G535*100,0)</f>
        <v>10.81225033288948</v>
      </c>
      <c r="K535" s="143">
        <f t="array" ref="K535">INDEX([22]Monitoring!$J$6:$J$582,MATCH(1,([22]Monitoring!$D$6:$D$582=$D535)*([22]Monitoring!$D$6:$D$582=$D535),0))</f>
        <v>9</v>
      </c>
      <c r="L535" s="9">
        <f t="shared" si="8"/>
        <v>2.2167487684729066</v>
      </c>
      <c r="M535" s="8" t="str">
        <f t="array" ref="M535">IF(L535&gt;5,"Perlu Pengendalian",IF(AND(L535&gt;=0,I535&gt;0),"Tidak Perlu Pengendalian","Belum Sensus"))</f>
        <v>Tidak Perlu Pengendalian</v>
      </c>
    </row>
    <row r="536" spans="1:13" x14ac:dyDescent="0.15">
      <c r="A536" s="8" t="s">
        <v>322</v>
      </c>
      <c r="B536" s="8" t="s">
        <v>107</v>
      </c>
      <c r="C536" s="8" t="s">
        <v>548</v>
      </c>
      <c r="D536" s="8" t="s">
        <v>562</v>
      </c>
      <c r="E536" s="8">
        <v>24.66</v>
      </c>
      <c r="F536" s="8" t="s">
        <v>16</v>
      </c>
      <c r="G536" s="10">
        <v>3613</v>
      </c>
      <c r="H536" s="11">
        <f t="array" ref="H536">INDEX([22]Monitoring!$H$6:$H$582,MATCH(1,([22]Monitoring!$D$6:$D$582=$D536)*([22]Monitoring!$D$6:$D$582=$D536),0))</f>
        <v>46150</v>
      </c>
      <c r="I536" s="143">
        <f t="array" ref="I536">INDEX([22]Monitoring!$I$6:$I$582,MATCH(1,([22]Monitoring!$D$6:$D$582=$D536)*([22]Monitoring!$D$6:$D$582=$D536),0))</f>
        <v>390</v>
      </c>
      <c r="J536" s="9">
        <f t="array" ref="J536">IFERROR(I536/G536*100,0)</f>
        <v>10.794353722668143</v>
      </c>
      <c r="K536" s="143">
        <f t="array" ref="K536">INDEX([22]Monitoring!$J$6:$J$582,MATCH(1,([22]Monitoring!$D$6:$D$582=$D536)*([22]Monitoring!$D$6:$D$582=$D536),0))</f>
        <v>37</v>
      </c>
      <c r="L536" s="9">
        <f t="shared" ref="L536:L599" si="10">IFERROR(K536/I536*100,0)</f>
        <v>9.4871794871794872</v>
      </c>
      <c r="M536" s="8" t="str">
        <f t="array" ref="M536">IF(L536&gt;5,"Perlu Pengendalian",IF(AND(L536&gt;=0,I536&gt;0),"Tidak Perlu Pengendalian","Belum Sensus"))</f>
        <v>Perlu Pengendalian</v>
      </c>
    </row>
    <row r="537" spans="1:13" x14ac:dyDescent="0.15">
      <c r="A537" s="8" t="s">
        <v>322</v>
      </c>
      <c r="B537" s="8" t="s">
        <v>107</v>
      </c>
      <c r="C537" s="8" t="s">
        <v>548</v>
      </c>
      <c r="D537" s="8" t="s">
        <v>563</v>
      </c>
      <c r="E537" s="8">
        <v>27.36</v>
      </c>
      <c r="F537" s="8" t="s">
        <v>16</v>
      </c>
      <c r="G537" s="10">
        <v>3628</v>
      </c>
      <c r="H537" s="11">
        <f t="array" ref="H537">INDEX([22]Monitoring!$H$6:$H$582,MATCH(1,([22]Monitoring!$D$6:$D$582=$D537)*([22]Monitoring!$D$6:$D$582=$D537),0))</f>
        <v>46150</v>
      </c>
      <c r="I537" s="143">
        <f t="array" ref="I537">INDEX([22]Monitoring!$I$6:$I$582,MATCH(1,([22]Monitoring!$D$6:$D$582=$D537)*([22]Monitoring!$D$6:$D$582=$D537),0))</f>
        <v>384</v>
      </c>
      <c r="J537" s="9">
        <f t="array" ref="J537">IFERROR(I537/G537*100,0)</f>
        <v>10.584343991179713</v>
      </c>
      <c r="K537" s="143">
        <f t="array" ref="K537">INDEX([22]Monitoring!$J$6:$J$582,MATCH(1,([22]Monitoring!$D$6:$D$582=$D537)*([22]Monitoring!$D$6:$D$582=$D537),0))</f>
        <v>53</v>
      </c>
      <c r="L537" s="9">
        <f t="shared" si="10"/>
        <v>13.802083333333334</v>
      </c>
      <c r="M537" s="8" t="str">
        <f t="array" ref="M537">IF(L537&gt;5,"Perlu Pengendalian",IF(AND(L537&gt;=0,I537&gt;0),"Tidak Perlu Pengendalian","Belum Sensus"))</f>
        <v>Perlu Pengendalian</v>
      </c>
    </row>
    <row r="538" spans="1:13" x14ac:dyDescent="0.15">
      <c r="A538" s="8" t="s">
        <v>322</v>
      </c>
      <c r="B538" s="8" t="s">
        <v>107</v>
      </c>
      <c r="C538" s="8" t="s">
        <v>548</v>
      </c>
      <c r="D538" s="8" t="s">
        <v>564</v>
      </c>
      <c r="E538" s="8">
        <v>23.56</v>
      </c>
      <c r="F538" s="8" t="s">
        <v>16</v>
      </c>
      <c r="G538" s="10">
        <v>3263</v>
      </c>
      <c r="H538" s="11">
        <f t="array" ref="H538">INDEX([22]Monitoring!$H$6:$H$582,MATCH(1,([22]Monitoring!$D$6:$D$582=$D538)*([22]Monitoring!$D$6:$D$582=$D538),0))</f>
        <v>46150</v>
      </c>
      <c r="I538" s="143">
        <f t="array" ref="I538">INDEX([22]Monitoring!$I$6:$I$582,MATCH(1,([22]Monitoring!$D$6:$D$582=$D538)*([22]Monitoring!$D$6:$D$582=$D538),0))</f>
        <v>340</v>
      </c>
      <c r="J538" s="9">
        <f t="array" ref="J538">IFERROR(I538/G538*100,0)</f>
        <v>10.419859025436715</v>
      </c>
      <c r="K538" s="143">
        <f t="array" ref="K538">INDEX([22]Monitoring!$J$6:$J$582,MATCH(1,([22]Monitoring!$D$6:$D$582=$D538)*([22]Monitoring!$D$6:$D$582=$D538),0))</f>
        <v>33</v>
      </c>
      <c r="L538" s="9">
        <f t="shared" si="10"/>
        <v>9.7058823529411775</v>
      </c>
      <c r="M538" s="8" t="str">
        <f t="array" ref="M538">IF(L538&gt;5,"Perlu Pengendalian",IF(AND(L538&gt;=0,I538&gt;0),"Tidak Perlu Pengendalian","Belum Sensus"))</f>
        <v>Perlu Pengendalian</v>
      </c>
    </row>
    <row r="539" spans="1:13" x14ac:dyDescent="0.15">
      <c r="A539" s="8" t="s">
        <v>322</v>
      </c>
      <c r="B539" s="8" t="s">
        <v>107</v>
      </c>
      <c r="C539" s="8" t="s">
        <v>548</v>
      </c>
      <c r="D539" s="8" t="s">
        <v>565</v>
      </c>
      <c r="E539" s="8">
        <v>27.39</v>
      </c>
      <c r="F539" s="8" t="s">
        <v>132</v>
      </c>
      <c r="G539" s="10">
        <v>3528</v>
      </c>
      <c r="H539" s="11">
        <f t="array" ref="H539">INDEX([22]Monitoring!$H$6:$H$582,MATCH(1,([22]Monitoring!$D$6:$D$582=$D539)*([22]Monitoring!$D$6:$D$582=$D539),0))</f>
        <v>46149</v>
      </c>
      <c r="I539" s="143">
        <f t="array" ref="I539">INDEX([22]Monitoring!$I$6:$I$582,MATCH(1,([22]Monitoring!$D$6:$D$582=$D539)*([22]Monitoring!$D$6:$D$582=$D539),0))</f>
        <v>380</v>
      </c>
      <c r="J539" s="9">
        <f t="array" ref="J539">IFERROR(I539/G539*100,0)</f>
        <v>10.770975056689343</v>
      </c>
      <c r="K539" s="143">
        <f t="array" ref="K539">INDEX([22]Monitoring!$J$6:$J$582,MATCH(1,([22]Monitoring!$D$6:$D$582=$D539)*([22]Monitoring!$D$6:$D$582=$D539),0))</f>
        <v>39</v>
      </c>
      <c r="L539" s="9">
        <f t="shared" si="10"/>
        <v>10.263157894736842</v>
      </c>
      <c r="M539" s="8" t="str">
        <f t="array" ref="M539">IF(L539&gt;5,"Perlu Pengendalian",IF(AND(L539&gt;=0,I539&gt;0),"Tidak Perlu Pengendalian","Belum Sensus"))</f>
        <v>Perlu Pengendalian</v>
      </c>
    </row>
    <row r="540" spans="1:13" x14ac:dyDescent="0.15">
      <c r="A540" s="8" t="s">
        <v>322</v>
      </c>
      <c r="B540" s="8" t="s">
        <v>107</v>
      </c>
      <c r="C540" s="8" t="s">
        <v>548</v>
      </c>
      <c r="D540" s="8" t="s">
        <v>566</v>
      </c>
      <c r="E540" s="8">
        <v>24.61</v>
      </c>
      <c r="F540" s="8" t="s">
        <v>132</v>
      </c>
      <c r="G540" s="10">
        <v>3285</v>
      </c>
      <c r="H540" s="11">
        <f t="array" ref="H540">INDEX([22]Monitoring!$H$6:$H$582,MATCH(1,([22]Monitoring!$D$6:$D$582=$D540)*([22]Monitoring!$D$6:$D$582=$D540),0))</f>
        <v>46149</v>
      </c>
      <c r="I540" s="143">
        <f t="array" ref="I540">INDEX([22]Monitoring!$I$6:$I$582,MATCH(1,([22]Monitoring!$D$6:$D$582=$D540)*([22]Monitoring!$D$6:$D$582=$D540),0))</f>
        <v>323</v>
      </c>
      <c r="J540" s="9">
        <f t="array" ref="J540">IFERROR(I540/G540*100,0)</f>
        <v>9.8325722983257222</v>
      </c>
      <c r="K540" s="143">
        <f t="array" ref="K540">INDEX([22]Monitoring!$J$6:$J$582,MATCH(1,([22]Monitoring!$D$6:$D$582=$D540)*([22]Monitoring!$D$6:$D$582=$D540),0))</f>
        <v>17</v>
      </c>
      <c r="L540" s="9">
        <f t="shared" si="10"/>
        <v>5.2631578947368416</v>
      </c>
      <c r="M540" s="8" t="str">
        <f t="array" ref="M540">IF(L540&gt;5,"Perlu Pengendalian",IF(AND(L540&gt;=0,I540&gt;0),"Tidak Perlu Pengendalian","Belum Sensus"))</f>
        <v>Perlu Pengendalian</v>
      </c>
    </row>
    <row r="541" spans="1:13" x14ac:dyDescent="0.15">
      <c r="A541" s="8" t="s">
        <v>322</v>
      </c>
      <c r="B541" s="8" t="s">
        <v>107</v>
      </c>
      <c r="C541" s="8" t="s">
        <v>548</v>
      </c>
      <c r="D541" s="8" t="s">
        <v>567</v>
      </c>
      <c r="E541" s="8">
        <v>22.79</v>
      </c>
      <c r="F541" s="8" t="s">
        <v>132</v>
      </c>
      <c r="G541" s="10">
        <v>3178</v>
      </c>
      <c r="H541" s="11">
        <f t="array" ref="H541">INDEX([22]Monitoring!$H$6:$H$582,MATCH(1,([22]Monitoring!$D$6:$D$582=$D541)*([22]Monitoring!$D$6:$D$582=$D541),0))</f>
        <v>46149</v>
      </c>
      <c r="I541" s="143">
        <f t="array" ref="I541">INDEX([22]Monitoring!$I$6:$I$582,MATCH(1,([22]Monitoring!$D$6:$D$582=$D541)*([22]Monitoring!$D$6:$D$582=$D541),0))</f>
        <v>306</v>
      </c>
      <c r="J541" s="9">
        <f t="array" ref="J541">IFERROR(I541/G541*100,0)</f>
        <v>9.6286972938955309</v>
      </c>
      <c r="K541" s="143">
        <f t="array" ref="K541">INDEX([22]Monitoring!$J$6:$J$582,MATCH(1,([22]Monitoring!$D$6:$D$582=$D541)*([22]Monitoring!$D$6:$D$582=$D541),0))</f>
        <v>22</v>
      </c>
      <c r="L541" s="9">
        <f t="shared" si="10"/>
        <v>7.18954248366013</v>
      </c>
      <c r="M541" s="8" t="str">
        <f t="array" ref="M541">IF(L541&gt;5,"Perlu Pengendalian",IF(AND(L541&gt;=0,I541&gt;0),"Tidak Perlu Pengendalian","Belum Sensus"))</f>
        <v>Perlu Pengendalian</v>
      </c>
    </row>
    <row r="542" spans="1:13" x14ac:dyDescent="0.15">
      <c r="A542" s="8" t="s">
        <v>322</v>
      </c>
      <c r="B542" s="8" t="s">
        <v>107</v>
      </c>
      <c r="C542" s="8" t="s">
        <v>548</v>
      </c>
      <c r="D542" s="8" t="s">
        <v>568</v>
      </c>
      <c r="E542" s="8">
        <v>25.95</v>
      </c>
      <c r="F542" s="8" t="s">
        <v>132</v>
      </c>
      <c r="G542" s="10">
        <v>3738</v>
      </c>
      <c r="H542" s="11">
        <f t="array" ref="H542">INDEX([22]Monitoring!$H$6:$H$582,MATCH(1,([22]Monitoring!$D$6:$D$582=$D542)*([22]Monitoring!$D$6:$D$582=$D542),0))</f>
        <v>46149</v>
      </c>
      <c r="I542" s="143">
        <f t="array" ref="I542">INDEX([22]Monitoring!$I$6:$I$582,MATCH(1,([22]Monitoring!$D$6:$D$582=$D542)*([22]Monitoring!$D$6:$D$582=$D542),0))</f>
        <v>377</v>
      </c>
      <c r="J542" s="9">
        <f t="array" ref="J542">IFERROR(I542/G542*100,0)</f>
        <v>10.085607276618513</v>
      </c>
      <c r="K542" s="143">
        <f t="array" ref="K542">INDEX([22]Monitoring!$J$6:$J$582,MATCH(1,([22]Monitoring!$D$6:$D$582=$D542)*([22]Monitoring!$D$6:$D$582=$D542),0))</f>
        <v>50</v>
      </c>
      <c r="L542" s="9">
        <f t="shared" si="10"/>
        <v>13.262599469496022</v>
      </c>
      <c r="M542" s="8" t="str">
        <f t="array" ref="M542">IF(L542&gt;5,"Perlu Pengendalian",IF(AND(L542&gt;=0,I542&gt;0),"Tidak Perlu Pengendalian","Belum Sensus"))</f>
        <v>Perlu Pengendalian</v>
      </c>
    </row>
    <row r="543" spans="1:13" x14ac:dyDescent="0.15">
      <c r="A543" s="8" t="s">
        <v>322</v>
      </c>
      <c r="B543" s="8" t="s">
        <v>107</v>
      </c>
      <c r="C543" s="8" t="s">
        <v>548</v>
      </c>
      <c r="D543" s="8" t="s">
        <v>569</v>
      </c>
      <c r="E543" s="8">
        <v>25.04</v>
      </c>
      <c r="F543" s="8" t="s">
        <v>132</v>
      </c>
      <c r="G543" s="10">
        <v>3624</v>
      </c>
      <c r="H543" s="11">
        <f t="array" ref="H543">INDEX([22]Monitoring!$H$6:$H$582,MATCH(1,([22]Monitoring!$D$6:$D$582=$D543)*([22]Monitoring!$D$6:$D$582=$D543),0))</f>
        <v>46149</v>
      </c>
      <c r="I543" s="143">
        <f t="array" ref="I543">INDEX([22]Monitoring!$I$6:$I$582,MATCH(1,([22]Monitoring!$D$6:$D$582=$D543)*([22]Monitoring!$D$6:$D$582=$D543),0))</f>
        <v>358</v>
      </c>
      <c r="J543" s="9">
        <f t="array" ref="J543">IFERROR(I543/G543*100,0)</f>
        <v>9.8785871964679917</v>
      </c>
      <c r="K543" s="143">
        <f t="array" ref="K543">INDEX([22]Monitoring!$J$6:$J$582,MATCH(1,([22]Monitoring!$D$6:$D$582=$D543)*([22]Monitoring!$D$6:$D$582=$D543),0))</f>
        <v>70</v>
      </c>
      <c r="L543" s="9">
        <f t="shared" si="10"/>
        <v>19.553072625698324</v>
      </c>
      <c r="M543" s="8" t="str">
        <f t="array" ref="M543">IF(L543&gt;5,"Perlu Pengendalian",IF(AND(L543&gt;=0,I543&gt;0),"Tidak Perlu Pengendalian","Belum Sensus"))</f>
        <v>Perlu Pengendalian</v>
      </c>
    </row>
    <row r="544" spans="1:13" x14ac:dyDescent="0.15">
      <c r="A544" s="8" t="s">
        <v>322</v>
      </c>
      <c r="B544" s="8" t="s">
        <v>107</v>
      </c>
      <c r="C544" s="8" t="s">
        <v>548</v>
      </c>
      <c r="D544" s="8" t="s">
        <v>570</v>
      </c>
      <c r="E544" s="8">
        <v>25.83</v>
      </c>
      <c r="F544" s="8" t="s">
        <v>132</v>
      </c>
      <c r="G544" s="10">
        <v>3319</v>
      </c>
      <c r="H544" s="11">
        <f t="array" ref="H544">INDEX([22]Monitoring!$H$6:$H$582,MATCH(1,([22]Monitoring!$D$6:$D$582=$D544)*([22]Monitoring!$D$6:$D$582=$D544),0))</f>
        <v>46149</v>
      </c>
      <c r="I544" s="143">
        <f t="array" ref="I544">INDEX([22]Monitoring!$I$6:$I$582,MATCH(1,([22]Monitoring!$D$6:$D$582=$D544)*([22]Monitoring!$D$6:$D$582=$D544),0))</f>
        <v>325</v>
      </c>
      <c r="J544" s="9">
        <f t="array" ref="J544">IFERROR(I544/G544*100,0)</f>
        <v>9.7921060560409767</v>
      </c>
      <c r="K544" s="143">
        <f t="array" ref="K544">INDEX([22]Monitoring!$J$6:$J$582,MATCH(1,([22]Monitoring!$D$6:$D$582=$D544)*([22]Monitoring!$D$6:$D$582=$D544),0))</f>
        <v>24</v>
      </c>
      <c r="L544" s="9">
        <f t="shared" si="10"/>
        <v>7.384615384615385</v>
      </c>
      <c r="M544" s="8" t="str">
        <f t="array" ref="M544">IF(L544&gt;5,"Perlu Pengendalian",IF(AND(L544&gt;=0,I544&gt;0),"Tidak Perlu Pengendalian","Belum Sensus"))</f>
        <v>Perlu Pengendalian</v>
      </c>
    </row>
    <row r="545" spans="1:13" x14ac:dyDescent="0.15">
      <c r="A545" s="8" t="s">
        <v>322</v>
      </c>
      <c r="B545" s="8" t="s">
        <v>107</v>
      </c>
      <c r="C545" s="8" t="s">
        <v>548</v>
      </c>
      <c r="D545" s="8" t="s">
        <v>571</v>
      </c>
      <c r="E545" s="8">
        <v>33.92</v>
      </c>
      <c r="F545" s="8" t="s">
        <v>132</v>
      </c>
      <c r="G545" s="10">
        <v>4846</v>
      </c>
      <c r="H545" s="11">
        <f t="array" ref="H545">INDEX([22]Monitoring!$H$6:$H$582,MATCH(1,([22]Monitoring!$D$6:$D$582=$D545)*([22]Monitoring!$D$6:$D$582=$D545),0))</f>
        <v>46149</v>
      </c>
      <c r="I545" s="143">
        <f t="array" ref="I545">INDEX([22]Monitoring!$I$6:$I$582,MATCH(1,([22]Monitoring!$D$6:$D$582=$D545)*([22]Monitoring!$D$6:$D$582=$D545),0))</f>
        <v>498</v>
      </c>
      <c r="J545" s="9">
        <f t="array" ref="J545">IFERROR(I545/G545*100,0)</f>
        <v>10.276516714816344</v>
      </c>
      <c r="K545" s="143">
        <f t="array" ref="K545">INDEX([22]Monitoring!$J$6:$J$582,MATCH(1,([22]Monitoring!$D$6:$D$582=$D545)*([22]Monitoring!$D$6:$D$582=$D545),0))</f>
        <v>79</v>
      </c>
      <c r="L545" s="9">
        <f t="shared" si="10"/>
        <v>15.863453815261044</v>
      </c>
      <c r="M545" s="8" t="str">
        <f t="array" ref="M545">IF(L545&gt;5,"Perlu Pengendalian",IF(AND(L545&gt;=0,I545&gt;0),"Tidak Perlu Pengendalian","Belum Sensus"))</f>
        <v>Perlu Pengendalian</v>
      </c>
    </row>
    <row r="546" spans="1:13" x14ac:dyDescent="0.15">
      <c r="A546" s="8" t="s">
        <v>322</v>
      </c>
      <c r="B546" s="8" t="s">
        <v>107</v>
      </c>
      <c r="C546" s="8" t="s">
        <v>548</v>
      </c>
      <c r="D546" s="8" t="s">
        <v>572</v>
      </c>
      <c r="E546" s="8">
        <v>25.78</v>
      </c>
      <c r="F546" s="8" t="s">
        <v>469</v>
      </c>
      <c r="G546" s="10">
        <v>3446</v>
      </c>
      <c r="H546" s="11">
        <f t="array" ref="H546">INDEX([22]Monitoring!$H$6:$H$582,MATCH(1,([22]Monitoring!$D$6:$D$582=$D546)*([22]Monitoring!$D$6:$D$582=$D546),0))</f>
        <v>46148</v>
      </c>
      <c r="I546" s="143">
        <f t="array" ref="I546">INDEX([22]Monitoring!$I$6:$I$582,MATCH(1,([22]Monitoring!$D$6:$D$582=$D546)*([22]Monitoring!$D$6:$D$582=$D546),0))</f>
        <v>262</v>
      </c>
      <c r="J546" s="9">
        <f t="array" ref="J546">IFERROR(I546/G546*100,0)</f>
        <v>7.603017991874637</v>
      </c>
      <c r="K546" s="143">
        <f t="array" ref="K546">INDEX([22]Monitoring!$J$6:$J$582,MATCH(1,([22]Monitoring!$D$6:$D$582=$D546)*([22]Monitoring!$D$6:$D$582=$D546),0))</f>
        <v>21</v>
      </c>
      <c r="L546" s="9">
        <f t="shared" si="10"/>
        <v>8.015267175572518</v>
      </c>
      <c r="M546" s="8" t="str">
        <f t="array" ref="M546">IF(L546&gt;5,"Perlu Pengendalian",IF(AND(L546&gt;=0,I546&gt;0),"Tidak Perlu Pengendalian","Belum Sensus"))</f>
        <v>Perlu Pengendalian</v>
      </c>
    </row>
    <row r="547" spans="1:13" x14ac:dyDescent="0.15">
      <c r="A547" s="8" t="s">
        <v>322</v>
      </c>
      <c r="B547" s="8" t="s">
        <v>107</v>
      </c>
      <c r="C547" s="8" t="s">
        <v>548</v>
      </c>
      <c r="D547" s="8" t="s">
        <v>573</v>
      </c>
      <c r="E547" s="8">
        <v>25.11</v>
      </c>
      <c r="F547" s="8" t="s">
        <v>469</v>
      </c>
      <c r="G547" s="10">
        <v>3185</v>
      </c>
      <c r="H547" s="11">
        <f t="array" ref="H547">INDEX([22]Monitoring!$H$6:$H$582,MATCH(1,([22]Monitoring!$D$6:$D$582=$D547)*([22]Monitoring!$D$6:$D$582=$D547),0))</f>
        <v>46148</v>
      </c>
      <c r="I547" s="143">
        <f t="array" ref="I547">INDEX([22]Monitoring!$I$6:$I$582,MATCH(1,([22]Monitoring!$D$6:$D$582=$D547)*([22]Monitoring!$D$6:$D$582=$D547),0))</f>
        <v>233</v>
      </c>
      <c r="J547" s="9">
        <f t="array" ref="J547">IFERROR(I547/G547*100,0)</f>
        <v>7.3155416012558874</v>
      </c>
      <c r="K547" s="143">
        <f t="array" ref="K547">INDEX([22]Monitoring!$J$6:$J$582,MATCH(1,([22]Monitoring!$D$6:$D$582=$D547)*([22]Monitoring!$D$6:$D$582=$D547),0))</f>
        <v>53</v>
      </c>
      <c r="L547" s="9">
        <f t="shared" si="10"/>
        <v>22.746781115879827</v>
      </c>
      <c r="M547" s="8" t="str">
        <f t="array" ref="M547">IF(L547&gt;5,"Perlu Pengendalian",IF(AND(L547&gt;=0,I547&gt;0),"Tidak Perlu Pengendalian","Belum Sensus"))</f>
        <v>Perlu Pengendalian</v>
      </c>
    </row>
    <row r="548" spans="1:13" x14ac:dyDescent="0.15">
      <c r="A548" s="8" t="s">
        <v>322</v>
      </c>
      <c r="B548" s="8" t="s">
        <v>107</v>
      </c>
      <c r="C548" s="8" t="s">
        <v>548</v>
      </c>
      <c r="D548" s="8" t="s">
        <v>574</v>
      </c>
      <c r="E548" s="8">
        <v>25.44</v>
      </c>
      <c r="F548" s="8" t="s">
        <v>469</v>
      </c>
      <c r="G548" s="10">
        <v>3253</v>
      </c>
      <c r="H548" s="11">
        <f t="array" ref="H548">INDEX([22]Monitoring!$H$6:$H$582,MATCH(1,([22]Monitoring!$D$6:$D$582=$D548)*([22]Monitoring!$D$6:$D$582=$D548),0))</f>
        <v>46148</v>
      </c>
      <c r="I548" s="143">
        <f t="array" ref="I548">INDEX([22]Monitoring!$I$6:$I$582,MATCH(1,([22]Monitoring!$D$6:$D$582=$D548)*([22]Monitoring!$D$6:$D$582=$D548),0))</f>
        <v>347</v>
      </c>
      <c r="J548" s="9">
        <f t="array" ref="J548">IFERROR(I548/G548*100,0)</f>
        <v>10.667076544727944</v>
      </c>
      <c r="K548" s="143">
        <f t="array" ref="K548">INDEX([22]Monitoring!$J$6:$J$582,MATCH(1,([22]Monitoring!$D$6:$D$582=$D548)*([22]Monitoring!$D$6:$D$582=$D548),0))</f>
        <v>29</v>
      </c>
      <c r="L548" s="9">
        <f t="shared" si="10"/>
        <v>8.3573487031700289</v>
      </c>
      <c r="M548" s="8" t="str">
        <f t="array" ref="M548">IF(L548&gt;5,"Perlu Pengendalian",IF(AND(L548&gt;=0,I548&gt;0),"Tidak Perlu Pengendalian","Belum Sensus"))</f>
        <v>Perlu Pengendalian</v>
      </c>
    </row>
    <row r="549" spans="1:13" x14ac:dyDescent="0.15">
      <c r="A549" s="8" t="s">
        <v>322</v>
      </c>
      <c r="B549" s="8" t="s">
        <v>107</v>
      </c>
      <c r="C549" s="8" t="s">
        <v>548</v>
      </c>
      <c r="D549" s="8" t="s">
        <v>575</v>
      </c>
      <c r="E549" s="8">
        <v>51.89</v>
      </c>
      <c r="F549" s="8" t="s">
        <v>469</v>
      </c>
      <c r="G549" s="10">
        <v>6957</v>
      </c>
      <c r="H549" s="11">
        <f t="array" ref="H549">INDEX([22]Monitoring!$H$6:$H$582,MATCH(1,([22]Monitoring!$D$6:$D$582=$D549)*([22]Monitoring!$D$6:$D$582=$D549),0))</f>
        <v>46149</v>
      </c>
      <c r="I549" s="143">
        <f t="array" ref="I549">INDEX([22]Monitoring!$I$6:$I$582,MATCH(1,([22]Monitoring!$D$6:$D$582=$D549)*([22]Monitoring!$D$6:$D$582=$D549),0))</f>
        <v>570</v>
      </c>
      <c r="J549" s="9">
        <f t="array" ref="J549">IFERROR(I549/G549*100,0)</f>
        <v>8.1931867184131093</v>
      </c>
      <c r="K549" s="143">
        <f t="array" ref="K549">INDEX([22]Monitoring!$J$6:$J$582,MATCH(1,([22]Monitoring!$D$6:$D$582=$D549)*([22]Monitoring!$D$6:$D$582=$D549),0))</f>
        <v>108</v>
      </c>
      <c r="L549" s="9">
        <f t="shared" si="10"/>
        <v>18.947368421052634</v>
      </c>
      <c r="M549" s="8" t="str">
        <f t="array" ref="M549">IF(L549&gt;5,"Perlu Pengendalian",IF(AND(L549&gt;=0,I549&gt;0),"Tidak Perlu Pengendalian","Belum Sensus"))</f>
        <v>Perlu Pengendalian</v>
      </c>
    </row>
    <row r="550" spans="1:13" x14ac:dyDescent="0.15">
      <c r="A550" s="8" t="s">
        <v>322</v>
      </c>
      <c r="B550" s="8" t="s">
        <v>107</v>
      </c>
      <c r="C550" s="8" t="s">
        <v>548</v>
      </c>
      <c r="D550" s="8" t="s">
        <v>576</v>
      </c>
      <c r="E550" s="8">
        <v>34.26</v>
      </c>
      <c r="F550" s="8" t="s">
        <v>469</v>
      </c>
      <c r="G550" s="10">
        <v>4716</v>
      </c>
      <c r="H550" s="11">
        <f t="array" ref="H550">INDEX([22]Monitoring!$H$6:$H$582,MATCH(1,([22]Monitoring!$D$6:$D$582=$D550)*([22]Monitoring!$D$6:$D$582=$D550),0))</f>
        <v>46148</v>
      </c>
      <c r="I550" s="143">
        <f t="array" ref="I550">INDEX([22]Monitoring!$I$6:$I$582,MATCH(1,([22]Monitoring!$D$6:$D$582=$D550)*([22]Monitoring!$D$6:$D$582=$D550),0))</f>
        <v>407</v>
      </c>
      <c r="J550" s="9">
        <f t="array" ref="J550">IFERROR(I550/G550*100,0)</f>
        <v>8.63019508057676</v>
      </c>
      <c r="K550" s="143">
        <f t="array" ref="K550">INDEX([22]Monitoring!$J$6:$J$582,MATCH(1,([22]Monitoring!$D$6:$D$582=$D550)*([22]Monitoring!$D$6:$D$582=$D550),0))</f>
        <v>53</v>
      </c>
      <c r="L550" s="9">
        <f t="shared" si="10"/>
        <v>13.022113022113022</v>
      </c>
      <c r="M550" s="8" t="str">
        <f t="array" ref="M550">IF(L550&gt;5,"Perlu Pengendalian",IF(AND(L550&gt;=0,I550&gt;0),"Tidak Perlu Pengendalian","Belum Sensus"))</f>
        <v>Perlu Pengendalian</v>
      </c>
    </row>
    <row r="551" spans="1:13" x14ac:dyDescent="0.15">
      <c r="A551" s="8" t="s">
        <v>322</v>
      </c>
      <c r="B551" s="8" t="s">
        <v>107</v>
      </c>
      <c r="C551" s="8" t="s">
        <v>548</v>
      </c>
      <c r="D551" s="8" t="s">
        <v>577</v>
      </c>
      <c r="E551" s="8">
        <v>31.5</v>
      </c>
      <c r="F551" s="8" t="s">
        <v>469</v>
      </c>
      <c r="G551" s="10">
        <v>4320</v>
      </c>
      <c r="H551" s="11">
        <f t="array" ref="H551">INDEX([22]Monitoring!$H$6:$H$582,MATCH(1,([22]Monitoring!$D$6:$D$582=$D551)*([22]Monitoring!$D$6:$D$582=$D551),0))</f>
        <v>46148</v>
      </c>
      <c r="I551" s="143">
        <f t="array" ref="I551">INDEX([22]Monitoring!$I$6:$I$582,MATCH(1,([22]Monitoring!$D$6:$D$582=$D551)*([22]Monitoring!$D$6:$D$582=$D551),0))</f>
        <v>442</v>
      </c>
      <c r="J551" s="9">
        <f t="array" ref="J551">IFERROR(I551/G551*100,0)</f>
        <v>10.231481481481481</v>
      </c>
      <c r="K551" s="143">
        <f t="array" ref="K551">INDEX([22]Monitoring!$J$6:$J$582,MATCH(1,([22]Monitoring!$D$6:$D$582=$D551)*([22]Monitoring!$D$6:$D$582=$D551),0))</f>
        <v>88</v>
      </c>
      <c r="L551" s="9">
        <f t="shared" si="10"/>
        <v>19.909502262443439</v>
      </c>
      <c r="M551" s="8" t="str">
        <f t="array" ref="M551">IF(L551&gt;5,"Perlu Pengendalian",IF(AND(L551&gt;=0,I551&gt;0),"Tidak Perlu Pengendalian","Belum Sensus"))</f>
        <v>Perlu Pengendalian</v>
      </c>
    </row>
    <row r="552" spans="1:13" x14ac:dyDescent="0.15">
      <c r="A552" s="8" t="s">
        <v>322</v>
      </c>
      <c r="B552" s="8" t="s">
        <v>107</v>
      </c>
      <c r="C552" s="8" t="s">
        <v>548</v>
      </c>
      <c r="D552" s="8" t="s">
        <v>578</v>
      </c>
      <c r="E552" s="8">
        <v>36.72</v>
      </c>
      <c r="F552" s="8" t="s">
        <v>469</v>
      </c>
      <c r="G552" s="10">
        <v>4976</v>
      </c>
      <c r="H552" s="11">
        <f t="array" ref="H552">INDEX([22]Monitoring!$H$6:$H$582,MATCH(1,([22]Monitoring!$D$6:$D$582=$D552)*([22]Monitoring!$D$6:$D$582=$D552),0))</f>
        <v>46148</v>
      </c>
      <c r="I552" s="143">
        <f t="array" ref="I552">INDEX([22]Monitoring!$I$6:$I$582,MATCH(1,([22]Monitoring!$D$6:$D$582=$D552)*([22]Monitoring!$D$6:$D$582=$D552),0))</f>
        <v>487</v>
      </c>
      <c r="J552" s="9">
        <f t="array" ref="J552">IFERROR(I552/G552*100,0)</f>
        <v>9.7869774919614141</v>
      </c>
      <c r="K552" s="143">
        <f t="array" ref="K552">INDEX([22]Monitoring!$J$6:$J$582,MATCH(1,([22]Monitoring!$D$6:$D$582=$D552)*([22]Monitoring!$D$6:$D$582=$D552),0))</f>
        <v>138</v>
      </c>
      <c r="L552" s="9">
        <f t="shared" si="10"/>
        <v>28.336755646817245</v>
      </c>
      <c r="M552" s="8" t="str">
        <f t="array" ref="M552">IF(L552&gt;5,"Perlu Pengendalian",IF(AND(L552&gt;=0,I552&gt;0),"Tidak Perlu Pengendalian","Belum Sensus"))</f>
        <v>Perlu Pengendalian</v>
      </c>
    </row>
    <row r="553" spans="1:13" x14ac:dyDescent="0.15">
      <c r="A553" s="8" t="s">
        <v>322</v>
      </c>
      <c r="B553" s="8" t="s">
        <v>107</v>
      </c>
      <c r="C553" s="8" t="s">
        <v>548</v>
      </c>
      <c r="D553" s="8" t="s">
        <v>579</v>
      </c>
      <c r="E553" s="8">
        <v>33.69</v>
      </c>
      <c r="F553" s="8" t="s">
        <v>469</v>
      </c>
      <c r="G553" s="10">
        <v>4725</v>
      </c>
      <c r="H553" s="11">
        <f t="array" ref="H553">INDEX([22]Monitoring!$H$6:$H$582,MATCH(1,([22]Monitoring!$D$6:$D$582=$D553)*([22]Monitoring!$D$6:$D$582=$D553),0))</f>
        <v>46148</v>
      </c>
      <c r="I553" s="143">
        <f t="array" ref="I553">INDEX([22]Monitoring!$I$6:$I$582,MATCH(1,([22]Monitoring!$D$6:$D$582=$D553)*([22]Monitoring!$D$6:$D$582=$D553),0))</f>
        <v>381</v>
      </c>
      <c r="J553" s="9">
        <f t="array" ref="J553">IFERROR(I553/G553*100,0)</f>
        <v>8.0634920634920633</v>
      </c>
      <c r="K553" s="143">
        <f t="array" ref="K553">INDEX([22]Monitoring!$J$6:$J$582,MATCH(1,([22]Monitoring!$D$6:$D$582=$D553)*([22]Monitoring!$D$6:$D$582=$D553),0))</f>
        <v>28</v>
      </c>
      <c r="L553" s="9">
        <f t="shared" si="10"/>
        <v>7.349081364829396</v>
      </c>
      <c r="M553" s="8" t="str">
        <f t="array" ref="M553">IF(L553&gt;5,"Perlu Pengendalian",IF(AND(L553&gt;=0,I553&gt;0),"Tidak Perlu Pengendalian","Belum Sensus"))</f>
        <v>Perlu Pengendalian</v>
      </c>
    </row>
    <row r="554" spans="1:13" x14ac:dyDescent="0.15">
      <c r="A554" s="8" t="s">
        <v>322</v>
      </c>
      <c r="B554" s="8" t="s">
        <v>107</v>
      </c>
      <c r="C554" s="8" t="s">
        <v>548</v>
      </c>
      <c r="D554" s="8" t="s">
        <v>580</v>
      </c>
      <c r="E554" s="8">
        <v>32.69</v>
      </c>
      <c r="F554" s="8" t="s">
        <v>469</v>
      </c>
      <c r="G554" s="10">
        <v>4599</v>
      </c>
      <c r="H554" s="11">
        <f t="array" ref="H554">INDEX([22]Monitoring!$H$6:$H$582,MATCH(1,([22]Monitoring!$D$6:$D$582=$D554)*([22]Monitoring!$D$6:$D$582=$D554),0))</f>
        <v>46148</v>
      </c>
      <c r="I554" s="143">
        <f t="array" ref="I554">INDEX([22]Monitoring!$I$6:$I$582,MATCH(1,([22]Monitoring!$D$6:$D$582=$D554)*([22]Monitoring!$D$6:$D$582=$D554),0))</f>
        <v>443</v>
      </c>
      <c r="J554" s="9">
        <f t="array" ref="J554">IFERROR(I554/G554*100,0)</f>
        <v>9.6325288106110012</v>
      </c>
      <c r="K554" s="143">
        <f t="array" ref="K554">INDEX([22]Monitoring!$J$6:$J$582,MATCH(1,([22]Monitoring!$D$6:$D$582=$D554)*([22]Monitoring!$D$6:$D$582=$D554),0))</f>
        <v>54</v>
      </c>
      <c r="L554" s="9">
        <f t="shared" si="10"/>
        <v>12.18961625282167</v>
      </c>
      <c r="M554" s="8" t="str">
        <f t="array" ref="M554">IF(L554&gt;5,"Perlu Pengendalian",IF(AND(L554&gt;=0,I554&gt;0),"Tidak Perlu Pengendalian","Belum Sensus"))</f>
        <v>Perlu Pengendalian</v>
      </c>
    </row>
    <row r="555" spans="1:13" x14ac:dyDescent="0.15">
      <c r="A555" s="8" t="s">
        <v>322</v>
      </c>
      <c r="B555" s="8" t="s">
        <v>107</v>
      </c>
      <c r="C555" s="8" t="s">
        <v>548</v>
      </c>
      <c r="D555" s="8" t="s">
        <v>581</v>
      </c>
      <c r="E555" s="8">
        <v>47.26</v>
      </c>
      <c r="F555" s="8" t="s">
        <v>469</v>
      </c>
      <c r="G555" s="10">
        <v>6389</v>
      </c>
      <c r="H555" s="11">
        <f t="array" ref="H555">INDEX([22]Monitoring!$H$6:$H$582,MATCH(1,([22]Monitoring!$D$6:$D$582=$D555)*([22]Monitoring!$D$6:$D$582=$D555),0))</f>
        <v>46153</v>
      </c>
      <c r="I555" s="143">
        <f t="array" ref="I555">INDEX([22]Monitoring!$I$6:$I$582,MATCH(1,([22]Monitoring!$D$6:$D$582=$D555)*([22]Monitoring!$D$6:$D$582=$D555),0))</f>
        <v>500</v>
      </c>
      <c r="J555" s="9">
        <f t="array" ref="J555">IFERROR(I555/G555*100,0)</f>
        <v>7.825950853028643</v>
      </c>
      <c r="K555" s="143">
        <f t="array" ref="K555">INDEX([22]Monitoring!$J$6:$J$582,MATCH(1,([22]Monitoring!$D$6:$D$582=$D555)*([22]Monitoring!$D$6:$D$582=$D555),0))</f>
        <v>53</v>
      </c>
      <c r="L555" s="9">
        <f t="shared" si="10"/>
        <v>10.6</v>
      </c>
      <c r="M555" s="8" t="str">
        <f t="array" ref="M555">IF(L555&gt;5,"Perlu Pengendalian",IF(AND(L555&gt;=0,I555&gt;0),"Tidak Perlu Pengendalian","Belum Sensus"))</f>
        <v>Perlu Pengendalian</v>
      </c>
    </row>
    <row r="556" spans="1:13" x14ac:dyDescent="0.15">
      <c r="A556" s="8" t="s">
        <v>322</v>
      </c>
      <c r="B556" s="8" t="s">
        <v>107</v>
      </c>
      <c r="C556" s="8" t="s">
        <v>582</v>
      </c>
      <c r="D556" s="8" t="s">
        <v>583</v>
      </c>
      <c r="E556" s="9">
        <v>31.47</v>
      </c>
      <c r="F556" s="8" t="s">
        <v>132</v>
      </c>
      <c r="G556" s="10">
        <v>4534</v>
      </c>
      <c r="H556" s="11">
        <f t="array" ref="H556">INDEX([22]Monitoring!$H$6:$H$582,MATCH(1,([22]Monitoring!$D$6:$D$582=$D556)*([22]Monitoring!$D$6:$D$582=$D556),0))</f>
        <v>46151</v>
      </c>
      <c r="I556" s="143">
        <f t="array" ref="I556">INDEX([22]Monitoring!$I$6:$I$582,MATCH(1,([22]Monitoring!$D$6:$D$582=$D556)*([22]Monitoring!$D$6:$D$582=$D556),0))</f>
        <v>243</v>
      </c>
      <c r="J556" s="9">
        <f t="array" ref="J556">IFERROR(I556/G556*100,0)</f>
        <v>5.3595059550066164</v>
      </c>
      <c r="K556" s="143">
        <f t="array" ref="K556">INDEX([22]Monitoring!$J$6:$J$582,MATCH(1,([22]Monitoring!$D$6:$D$582=$D556)*([22]Monitoring!$D$6:$D$582=$D556),0))</f>
        <v>11</v>
      </c>
      <c r="L556" s="9">
        <f t="shared" si="10"/>
        <v>4.5267489711934159</v>
      </c>
      <c r="M556" s="8" t="str">
        <f t="array" ref="M556">IF(L556&gt;5,"Perlu Pengendalian",IF(AND(L556&gt;=0,I556&gt;0),"Tidak Perlu Pengendalian","Belum Sensus"))</f>
        <v>Tidak Perlu Pengendalian</v>
      </c>
    </row>
    <row r="557" spans="1:13" x14ac:dyDescent="0.15">
      <c r="A557" s="8" t="s">
        <v>322</v>
      </c>
      <c r="B557" s="8" t="s">
        <v>107</v>
      </c>
      <c r="C557" s="8" t="s">
        <v>582</v>
      </c>
      <c r="D557" s="8" t="s">
        <v>584</v>
      </c>
      <c r="E557" s="9">
        <v>42.6</v>
      </c>
      <c r="F557" s="8" t="s">
        <v>132</v>
      </c>
      <c r="G557" s="10">
        <v>5582</v>
      </c>
      <c r="H557" s="11">
        <f t="array" ref="H557">INDEX([22]Monitoring!$H$6:$H$582,MATCH(1,([22]Monitoring!$D$6:$D$582=$D557)*([22]Monitoring!$D$6:$D$582=$D557),0))</f>
        <v>46151</v>
      </c>
      <c r="I557" s="143">
        <f t="array" ref="I557">INDEX([22]Monitoring!$I$6:$I$582,MATCH(1,([22]Monitoring!$D$6:$D$582=$D557)*([22]Monitoring!$D$6:$D$582=$D557),0))</f>
        <v>224</v>
      </c>
      <c r="J557" s="9">
        <f t="array" ref="J557">IFERROR(I557/G557*100,0)</f>
        <v>4.0128986026513793</v>
      </c>
      <c r="K557" s="143">
        <f t="array" ref="K557">INDEX([22]Monitoring!$J$6:$J$582,MATCH(1,([22]Monitoring!$D$6:$D$582=$D557)*([22]Monitoring!$D$6:$D$582=$D557),0))</f>
        <v>47</v>
      </c>
      <c r="L557" s="9">
        <f t="shared" si="10"/>
        <v>20.982142857142858</v>
      </c>
      <c r="M557" s="8" t="str">
        <f t="array" ref="M557">IF(L557&gt;5,"Perlu Pengendalian",IF(AND(L557&gt;=0,I557&gt;0),"Tidak Perlu Pengendalian","Belum Sensus"))</f>
        <v>Perlu Pengendalian</v>
      </c>
    </row>
    <row r="558" spans="1:13" x14ac:dyDescent="0.15">
      <c r="A558" s="8" t="s">
        <v>322</v>
      </c>
      <c r="B558" s="8" t="s">
        <v>107</v>
      </c>
      <c r="C558" s="8" t="s">
        <v>582</v>
      </c>
      <c r="D558" s="8" t="s">
        <v>585</v>
      </c>
      <c r="E558" s="9">
        <v>45.74</v>
      </c>
      <c r="F558" s="8" t="s">
        <v>132</v>
      </c>
      <c r="G558" s="10">
        <v>5323</v>
      </c>
      <c r="H558" s="11">
        <f t="array" ref="H558">INDEX([22]Monitoring!$H$6:$H$582,MATCH(1,([22]Monitoring!$D$6:$D$582=$D558)*([22]Monitoring!$D$6:$D$582=$D558),0))</f>
        <v>46151</v>
      </c>
      <c r="I558" s="143">
        <f t="array" ref="I558">INDEX([22]Monitoring!$I$6:$I$582,MATCH(1,([22]Monitoring!$D$6:$D$582=$D558)*([22]Monitoring!$D$6:$D$582=$D558),0))</f>
        <v>154</v>
      </c>
      <c r="J558" s="9">
        <f t="array" ref="J558">IFERROR(I558/G558*100,0)</f>
        <v>2.8931053916964116</v>
      </c>
      <c r="K558" s="143">
        <f t="array" ref="K558">INDEX([22]Monitoring!$J$6:$J$582,MATCH(1,([22]Monitoring!$D$6:$D$582=$D558)*([22]Monitoring!$D$6:$D$582=$D558),0))</f>
        <v>10</v>
      </c>
      <c r="L558" s="9">
        <f t="shared" si="10"/>
        <v>6.4935064935064926</v>
      </c>
      <c r="M558" s="8" t="str">
        <f t="array" ref="M558">IF(L558&gt;5,"Perlu Pengendalian",IF(AND(L558&gt;=0,I558&gt;0),"Tidak Perlu Pengendalian","Belum Sensus"))</f>
        <v>Perlu Pengendalian</v>
      </c>
    </row>
    <row r="559" spans="1:13" x14ac:dyDescent="0.15">
      <c r="A559" s="8" t="s">
        <v>322</v>
      </c>
      <c r="B559" s="8" t="s">
        <v>107</v>
      </c>
      <c r="C559" s="8" t="s">
        <v>582</v>
      </c>
      <c r="D559" s="8" t="s">
        <v>586</v>
      </c>
      <c r="E559" s="9">
        <v>21.85</v>
      </c>
      <c r="F559" s="8" t="s">
        <v>132</v>
      </c>
      <c r="G559" s="10">
        <v>2775</v>
      </c>
      <c r="H559" s="11">
        <f t="array" ref="H559">INDEX([22]Monitoring!$H$6:$H$582,MATCH(1,([22]Monitoring!$D$6:$D$582=$D559)*([22]Monitoring!$D$6:$D$582=$D559),0))</f>
        <v>46155</v>
      </c>
      <c r="I559" s="143">
        <f t="array" ref="I559">INDEX([22]Monitoring!$I$6:$I$582,MATCH(1,([22]Monitoring!$D$6:$D$582=$D559)*([22]Monitoring!$D$6:$D$582=$D559),0))</f>
        <v>131</v>
      </c>
      <c r="J559" s="9">
        <f t="array" ref="J559">IFERROR(I559/G559*100,0)</f>
        <v>4.7207207207207205</v>
      </c>
      <c r="K559" s="143">
        <f t="array" ref="K559">INDEX([22]Monitoring!$J$6:$J$582,MATCH(1,([22]Monitoring!$D$6:$D$582=$D559)*([22]Monitoring!$D$6:$D$582=$D559),0))</f>
        <v>13</v>
      </c>
      <c r="L559" s="9">
        <f t="shared" si="10"/>
        <v>9.9236641221374047</v>
      </c>
      <c r="M559" s="8" t="str">
        <f t="array" ref="M559">IF(L559&gt;5,"Perlu Pengendalian",IF(AND(L559&gt;=0,I559&gt;0),"Tidak Perlu Pengendalian","Belum Sensus"))</f>
        <v>Perlu Pengendalian</v>
      </c>
    </row>
    <row r="560" spans="1:13" x14ac:dyDescent="0.15">
      <c r="A560" s="8" t="s">
        <v>322</v>
      </c>
      <c r="B560" s="8" t="s">
        <v>107</v>
      </c>
      <c r="C560" s="8" t="s">
        <v>582</v>
      </c>
      <c r="D560" s="8" t="s">
        <v>587</v>
      </c>
      <c r="E560" s="9">
        <v>27.4</v>
      </c>
      <c r="F560" s="8" t="s">
        <v>469</v>
      </c>
      <c r="G560" s="10">
        <v>3911</v>
      </c>
      <c r="H560" s="11">
        <f t="array" ref="H560">INDEX([22]Monitoring!$H$6:$H$582,MATCH(1,([22]Monitoring!$D$6:$D$582=$D560)*([22]Monitoring!$D$6:$D$582=$D560),0))</f>
        <v>46155</v>
      </c>
      <c r="I560" s="143">
        <f t="array" ref="I560">INDEX([22]Monitoring!$I$6:$I$582,MATCH(1,([22]Monitoring!$D$6:$D$582=$D560)*([22]Monitoring!$D$6:$D$582=$D560),0))</f>
        <v>393</v>
      </c>
      <c r="J560" s="9">
        <f t="array" ref="J560">IFERROR(I560/G560*100,0)</f>
        <v>10.048580925594477</v>
      </c>
      <c r="K560" s="143">
        <f t="array" ref="K560">INDEX([22]Monitoring!$J$6:$J$582,MATCH(1,([22]Monitoring!$D$6:$D$582=$D560)*([22]Monitoring!$D$6:$D$582=$D560),0))</f>
        <v>23</v>
      </c>
      <c r="L560" s="9">
        <f t="shared" si="10"/>
        <v>5.8524173027989823</v>
      </c>
      <c r="M560" s="8" t="str">
        <f t="array" ref="M560">IF(L560&gt;5,"Perlu Pengendalian",IF(AND(L560&gt;=0,I560&gt;0),"Tidak Perlu Pengendalian","Belum Sensus"))</f>
        <v>Perlu Pengendalian</v>
      </c>
    </row>
    <row r="561" spans="1:13" x14ac:dyDescent="0.15">
      <c r="A561" s="8" t="s">
        <v>322</v>
      </c>
      <c r="B561" s="8" t="s">
        <v>107</v>
      </c>
      <c r="C561" s="8" t="s">
        <v>582</v>
      </c>
      <c r="D561" s="8" t="s">
        <v>588</v>
      </c>
      <c r="E561" s="9">
        <v>24.87</v>
      </c>
      <c r="F561" s="8" t="s">
        <v>132</v>
      </c>
      <c r="G561" s="10">
        <v>3733</v>
      </c>
      <c r="H561" s="11">
        <f t="array" ref="H561">INDEX([22]Monitoring!$H$6:$H$582,MATCH(1,([22]Monitoring!$D$6:$D$582=$D561)*([22]Monitoring!$D$6:$D$582=$D561),0))</f>
        <v>46155</v>
      </c>
      <c r="I561" s="143">
        <f t="array" ref="I561">INDEX([22]Monitoring!$I$6:$I$582,MATCH(1,([22]Monitoring!$D$6:$D$582=$D561)*([22]Monitoring!$D$6:$D$582=$D561),0))</f>
        <v>341</v>
      </c>
      <c r="J561" s="9">
        <f t="array" ref="J561">IFERROR(I561/G561*100,0)</f>
        <v>9.1347441735869275</v>
      </c>
      <c r="K561" s="143">
        <f t="array" ref="K561">INDEX([22]Monitoring!$J$6:$J$582,MATCH(1,([22]Monitoring!$D$6:$D$582=$D561)*([22]Monitoring!$D$6:$D$582=$D561),0))</f>
        <v>4</v>
      </c>
      <c r="L561" s="9">
        <f t="shared" si="10"/>
        <v>1.1730205278592376</v>
      </c>
      <c r="M561" s="8" t="str">
        <f t="array" ref="M561">IF(L561&gt;5,"Perlu Pengendalian",IF(AND(L561&gt;=0,I561&gt;0),"Tidak Perlu Pengendalian","Belum Sensus"))</f>
        <v>Tidak Perlu Pengendalian</v>
      </c>
    </row>
    <row r="562" spans="1:13" x14ac:dyDescent="0.15">
      <c r="A562" s="8" t="s">
        <v>322</v>
      </c>
      <c r="B562" s="8" t="s">
        <v>107</v>
      </c>
      <c r="C562" s="8" t="s">
        <v>582</v>
      </c>
      <c r="D562" s="8" t="s">
        <v>589</v>
      </c>
      <c r="E562" s="9">
        <v>23.9</v>
      </c>
      <c r="F562" s="8" t="s">
        <v>132</v>
      </c>
      <c r="G562" s="10">
        <v>3605</v>
      </c>
      <c r="H562" s="11">
        <f t="array" ref="H562">INDEX([22]Monitoring!$H$6:$H$582,MATCH(1,([22]Monitoring!$D$6:$D$582=$D562)*([22]Monitoring!$D$6:$D$582=$D562),0))</f>
        <v>46154</v>
      </c>
      <c r="I562" s="143">
        <f t="array" ref="I562">INDEX([22]Monitoring!$I$6:$I$582,MATCH(1,([22]Monitoring!$D$6:$D$582=$D562)*([22]Monitoring!$D$6:$D$582=$D562),0))</f>
        <v>462</v>
      </c>
      <c r="J562" s="9">
        <f t="array" ref="J562">IFERROR(I562/G562*100,0)</f>
        <v>12.815533980582524</v>
      </c>
      <c r="K562" s="143">
        <f t="array" ref="K562">INDEX([22]Monitoring!$J$6:$J$582,MATCH(1,([22]Monitoring!$D$6:$D$582=$D562)*([22]Monitoring!$D$6:$D$582=$D562),0))</f>
        <v>59</v>
      </c>
      <c r="L562" s="9">
        <f t="shared" si="10"/>
        <v>12.770562770562771</v>
      </c>
      <c r="M562" s="8" t="str">
        <f t="array" ref="M562">IF(L562&gt;5,"Perlu Pengendalian",IF(AND(L562&gt;=0,I562&gt;0),"Tidak Perlu Pengendalian","Belum Sensus"))</f>
        <v>Perlu Pengendalian</v>
      </c>
    </row>
    <row r="563" spans="1:13" x14ac:dyDescent="0.15">
      <c r="A563" s="8" t="s">
        <v>322</v>
      </c>
      <c r="B563" s="8" t="s">
        <v>107</v>
      </c>
      <c r="C563" s="8" t="s">
        <v>582</v>
      </c>
      <c r="D563" s="8" t="s">
        <v>590</v>
      </c>
      <c r="E563" s="9">
        <v>26.43</v>
      </c>
      <c r="F563" s="8" t="s">
        <v>132</v>
      </c>
      <c r="G563" s="10">
        <v>3862</v>
      </c>
      <c r="H563" s="11">
        <f t="array" ref="H563">INDEX([22]Monitoring!$H$6:$H$582,MATCH(1,([22]Monitoring!$D$6:$D$582=$D563)*([22]Monitoring!$D$6:$D$582=$D563),0))</f>
        <v>46154</v>
      </c>
      <c r="I563" s="143">
        <f t="array" ref="I563">INDEX([22]Monitoring!$I$6:$I$582,MATCH(1,([22]Monitoring!$D$6:$D$582=$D563)*([22]Monitoring!$D$6:$D$582=$D563),0))</f>
        <v>379</v>
      </c>
      <c r="J563" s="9">
        <f t="array" ref="J563">IFERROR(I563/G563*100,0)</f>
        <v>9.8135680994303485</v>
      </c>
      <c r="K563" s="143">
        <f t="array" ref="K563">INDEX([22]Monitoring!$J$6:$J$582,MATCH(1,([22]Monitoring!$D$6:$D$582=$D563)*([22]Monitoring!$D$6:$D$582=$D563),0))</f>
        <v>109</v>
      </c>
      <c r="L563" s="9">
        <f t="shared" si="10"/>
        <v>28.759894459102902</v>
      </c>
      <c r="M563" s="8" t="str">
        <f t="array" ref="M563">IF(L563&gt;5,"Perlu Pengendalian",IF(AND(L563&gt;=0,I563&gt;0),"Tidak Perlu Pengendalian","Belum Sensus"))</f>
        <v>Perlu Pengendalian</v>
      </c>
    </row>
    <row r="564" spans="1:13" x14ac:dyDescent="0.15">
      <c r="A564" s="8" t="s">
        <v>322</v>
      </c>
      <c r="B564" s="8" t="s">
        <v>107</v>
      </c>
      <c r="C564" s="8" t="s">
        <v>582</v>
      </c>
      <c r="D564" s="8" t="s">
        <v>591</v>
      </c>
      <c r="E564" s="9">
        <v>21.57</v>
      </c>
      <c r="F564" s="8" t="s">
        <v>132</v>
      </c>
      <c r="G564" s="10">
        <v>3140</v>
      </c>
      <c r="H564" s="11">
        <f t="array" ref="H564">INDEX([22]Monitoring!$H$6:$H$582,MATCH(1,([22]Monitoring!$D$6:$D$582=$D564)*([22]Monitoring!$D$6:$D$582=$D564),0))</f>
        <v>46154</v>
      </c>
      <c r="I564" s="143">
        <f t="array" ref="I564">INDEX([22]Monitoring!$I$6:$I$582,MATCH(1,([22]Monitoring!$D$6:$D$582=$D564)*([22]Monitoring!$D$6:$D$582=$D564),0))</f>
        <v>261</v>
      </c>
      <c r="J564" s="9">
        <f t="array" ref="J564">IFERROR(I564/G564*100,0)</f>
        <v>8.3121019108280247</v>
      </c>
      <c r="K564" s="143">
        <f t="array" ref="K564">INDEX([22]Monitoring!$J$6:$J$582,MATCH(1,([22]Monitoring!$D$6:$D$582=$D564)*([22]Monitoring!$D$6:$D$582=$D564),0))</f>
        <v>48</v>
      </c>
      <c r="L564" s="9">
        <f t="shared" si="10"/>
        <v>18.390804597701148</v>
      </c>
      <c r="M564" s="8" t="str">
        <f t="array" ref="M564">IF(L564&gt;5,"Perlu Pengendalian",IF(AND(L564&gt;=0,I564&gt;0),"Tidak Perlu Pengendalian","Belum Sensus"))</f>
        <v>Perlu Pengendalian</v>
      </c>
    </row>
    <row r="565" spans="1:13" x14ac:dyDescent="0.15">
      <c r="A565" s="8" t="s">
        <v>322</v>
      </c>
      <c r="B565" s="8" t="s">
        <v>107</v>
      </c>
      <c r="C565" s="8" t="s">
        <v>582</v>
      </c>
      <c r="D565" s="8" t="s">
        <v>592</v>
      </c>
      <c r="E565" s="9">
        <v>46</v>
      </c>
      <c r="F565" s="8" t="s">
        <v>132</v>
      </c>
      <c r="G565" s="10">
        <v>5187</v>
      </c>
      <c r="H565" s="11">
        <f t="array" ref="H565">INDEX([22]Monitoring!$H$6:$H$582,MATCH(1,([22]Monitoring!$D$6:$D$582=$D565)*([22]Monitoring!$D$6:$D$582=$D565),0))</f>
        <v>46154</v>
      </c>
      <c r="I565" s="143">
        <f t="array" ref="I565">INDEX([22]Monitoring!$I$6:$I$582,MATCH(1,([22]Monitoring!$D$6:$D$582=$D565)*([22]Monitoring!$D$6:$D$582=$D565),0))</f>
        <v>585</v>
      </c>
      <c r="J565" s="9">
        <f t="array" ref="J565">IFERROR(I565/G565*100,0)</f>
        <v>11.278195488721805</v>
      </c>
      <c r="K565" s="143">
        <f t="array" ref="K565">INDEX([22]Monitoring!$J$6:$J$582,MATCH(1,([22]Monitoring!$D$6:$D$582=$D565)*([22]Monitoring!$D$6:$D$582=$D565),0))</f>
        <v>43</v>
      </c>
      <c r="L565" s="9">
        <f t="shared" si="10"/>
        <v>7.350427350427351</v>
      </c>
      <c r="M565" s="8" t="str">
        <f t="array" ref="M565">IF(L565&gt;5,"Perlu Pengendalian",IF(AND(L565&gt;=0,I565&gt;0),"Tidak Perlu Pengendalian","Belum Sensus"))</f>
        <v>Perlu Pengendalian</v>
      </c>
    </row>
    <row r="566" spans="1:13" x14ac:dyDescent="0.15">
      <c r="A566" s="8" t="s">
        <v>322</v>
      </c>
      <c r="B566" s="8" t="s">
        <v>107</v>
      </c>
      <c r="C566" s="8" t="s">
        <v>582</v>
      </c>
      <c r="D566" s="8" t="s">
        <v>593</v>
      </c>
      <c r="E566" s="9">
        <v>43.8</v>
      </c>
      <c r="F566" s="8" t="s">
        <v>132</v>
      </c>
      <c r="G566" s="10">
        <v>2982</v>
      </c>
      <c r="H566" s="11">
        <f t="array" ref="H566">INDEX([22]Monitoring!$H$6:$H$582,MATCH(1,([22]Monitoring!$D$6:$D$582=$D566)*([22]Monitoring!$D$6:$D$582=$D566),0))</f>
        <v>46155</v>
      </c>
      <c r="I566" s="143">
        <f t="array" ref="I566">INDEX([22]Monitoring!$I$6:$I$582,MATCH(1,([22]Monitoring!$D$6:$D$582=$D566)*([22]Monitoring!$D$6:$D$582=$D566),0))</f>
        <v>511</v>
      </c>
      <c r="J566" s="9">
        <f t="array" ref="J566">IFERROR(I566/G566*100,0)</f>
        <v>17.136150234741784</v>
      </c>
      <c r="K566" s="143">
        <f t="array" ref="K566">INDEX([22]Monitoring!$J$6:$J$582,MATCH(1,([22]Monitoring!$D$6:$D$582=$D566)*([22]Monitoring!$D$6:$D$582=$D566),0))</f>
        <v>41</v>
      </c>
      <c r="L566" s="9">
        <f t="shared" si="10"/>
        <v>8.0234833659491187</v>
      </c>
      <c r="M566" s="8" t="str">
        <f t="array" ref="M566">IF(L566&gt;5,"Perlu Pengendalian",IF(AND(L566&gt;=0,I566&gt;0),"Tidak Perlu Pengendalian","Belum Sensus"))</f>
        <v>Perlu Pengendalian</v>
      </c>
    </row>
    <row r="567" spans="1:13" x14ac:dyDescent="0.15">
      <c r="A567" s="8" t="s">
        <v>322</v>
      </c>
      <c r="B567" s="8" t="s">
        <v>107</v>
      </c>
      <c r="C567" s="8" t="s">
        <v>582</v>
      </c>
      <c r="D567" s="8" t="s">
        <v>594</v>
      </c>
      <c r="E567" s="9">
        <v>36.78</v>
      </c>
      <c r="F567" s="8" t="s">
        <v>132</v>
      </c>
      <c r="G567" s="10">
        <v>4891</v>
      </c>
      <c r="H567" s="11">
        <f t="array" ref="H567">INDEX([22]Monitoring!$H$6:$H$582,MATCH(1,([22]Monitoring!$D$6:$D$582=$D567)*([22]Monitoring!$D$6:$D$582=$D567),0))</f>
        <v>46155</v>
      </c>
      <c r="I567" s="143">
        <f t="array" ref="I567">INDEX([22]Monitoring!$I$6:$I$582,MATCH(1,([22]Monitoring!$D$6:$D$582=$D567)*([22]Monitoring!$D$6:$D$582=$D567),0))</f>
        <v>513</v>
      </c>
      <c r="J567" s="9">
        <f t="array" ref="J567">IFERROR(I567/G567*100,0)</f>
        <v>10.488652627274586</v>
      </c>
      <c r="K567" s="143">
        <f t="array" ref="K567">INDEX([22]Monitoring!$J$6:$J$582,MATCH(1,([22]Monitoring!$D$6:$D$582=$D567)*([22]Monitoring!$D$6:$D$582=$D567),0))</f>
        <v>45</v>
      </c>
      <c r="L567" s="9">
        <f t="shared" si="10"/>
        <v>8.7719298245614024</v>
      </c>
      <c r="M567" s="8" t="str">
        <f t="array" ref="M567">IF(L567&gt;5,"Perlu Pengendalian",IF(AND(L567&gt;=0,I567&gt;0),"Tidak Perlu Pengendalian","Belum Sensus"))</f>
        <v>Perlu Pengendalian</v>
      </c>
    </row>
    <row r="568" spans="1:13" x14ac:dyDescent="0.15">
      <c r="A568" s="8" t="s">
        <v>322</v>
      </c>
      <c r="B568" s="8" t="s">
        <v>107</v>
      </c>
      <c r="C568" s="8" t="s">
        <v>582</v>
      </c>
      <c r="D568" s="8" t="s">
        <v>595</v>
      </c>
      <c r="E568" s="9">
        <v>27.72</v>
      </c>
      <c r="F568" s="8" t="s">
        <v>132</v>
      </c>
      <c r="G568" s="10">
        <v>3552</v>
      </c>
      <c r="H568" s="11">
        <f t="array" ref="H568">INDEX([22]Monitoring!$H$6:$H$582,MATCH(1,([22]Monitoring!$D$6:$D$582=$D568)*([22]Monitoring!$D$6:$D$582=$D568),0))</f>
        <v>46155</v>
      </c>
      <c r="I568" s="143">
        <f t="array" ref="I568">INDEX([22]Monitoring!$I$6:$I$582,MATCH(1,([22]Monitoring!$D$6:$D$582=$D568)*([22]Monitoring!$D$6:$D$582=$D568),0))</f>
        <v>371</v>
      </c>
      <c r="J568" s="9">
        <f t="array" ref="J568">IFERROR(I568/G568*100,0)</f>
        <v>10.44481981981982</v>
      </c>
      <c r="K568" s="143">
        <f t="array" ref="K568">INDEX([22]Monitoring!$J$6:$J$582,MATCH(1,([22]Monitoring!$D$6:$D$582=$D568)*([22]Monitoring!$D$6:$D$582=$D568),0))</f>
        <v>29</v>
      </c>
      <c r="L568" s="9">
        <f t="shared" si="10"/>
        <v>7.8167115902964959</v>
      </c>
      <c r="M568" s="8" t="str">
        <f t="array" ref="M568">IF(L568&gt;5,"Perlu Pengendalian",IF(AND(L568&gt;=0,I568&gt;0),"Tidak Perlu Pengendalian","Belum Sensus"))</f>
        <v>Perlu Pengendalian</v>
      </c>
    </row>
    <row r="569" spans="1:13" x14ac:dyDescent="0.15">
      <c r="A569" s="8" t="s">
        <v>322</v>
      </c>
      <c r="B569" s="8" t="s">
        <v>107</v>
      </c>
      <c r="C569" s="8" t="s">
        <v>582</v>
      </c>
      <c r="D569" s="8" t="s">
        <v>596</v>
      </c>
      <c r="E569" s="9">
        <v>32.1</v>
      </c>
      <c r="F569" s="8" t="s">
        <v>469</v>
      </c>
      <c r="G569" s="10">
        <v>4831</v>
      </c>
      <c r="H569" s="11">
        <f t="array" ref="H569">INDEX([22]Monitoring!$H$6:$H$582,MATCH(1,([22]Monitoring!$D$6:$D$582=$D569)*([22]Monitoring!$D$6:$D$582=$D569),0))</f>
        <v>46154</v>
      </c>
      <c r="I569" s="143">
        <f t="array" ref="I569">INDEX([22]Monitoring!$I$6:$I$582,MATCH(1,([22]Monitoring!$D$6:$D$582=$D569)*([22]Monitoring!$D$6:$D$582=$D569),0))</f>
        <v>397</v>
      </c>
      <c r="J569" s="9">
        <f t="array" ref="J569">IFERROR(I569/G569*100,0)</f>
        <v>8.2177602980749338</v>
      </c>
      <c r="K569" s="143">
        <f t="array" ref="K569">INDEX([22]Monitoring!$J$6:$J$582,MATCH(1,([22]Monitoring!$D$6:$D$582=$D569)*([22]Monitoring!$D$6:$D$582=$D569),0))</f>
        <v>45</v>
      </c>
      <c r="L569" s="9">
        <f t="shared" si="10"/>
        <v>11.335012594458437</v>
      </c>
      <c r="M569" s="8" t="str">
        <f t="array" ref="M569">IF(L569&gt;5,"Perlu Pengendalian",IF(AND(L569&gt;=0,I569&gt;0),"Tidak Perlu Pengendalian","Belum Sensus"))</f>
        <v>Perlu Pengendalian</v>
      </c>
    </row>
    <row r="570" spans="1:13" x14ac:dyDescent="0.15">
      <c r="A570" s="8" t="s">
        <v>322</v>
      </c>
      <c r="B570" s="8" t="s">
        <v>107</v>
      </c>
      <c r="C570" s="8" t="s">
        <v>582</v>
      </c>
      <c r="D570" s="8" t="s">
        <v>597</v>
      </c>
      <c r="E570" s="9">
        <v>31.33</v>
      </c>
      <c r="F570" s="8" t="s">
        <v>132</v>
      </c>
      <c r="G570" s="10">
        <v>4804</v>
      </c>
      <c r="H570" s="11">
        <f t="array" ref="H570">INDEX([22]Monitoring!$H$6:$H$582,MATCH(1,([22]Monitoring!$D$6:$D$582=$D570)*([22]Monitoring!$D$6:$D$582=$D570),0))</f>
        <v>46154</v>
      </c>
      <c r="I570" s="143">
        <f t="array" ref="I570">INDEX([22]Monitoring!$I$6:$I$582,MATCH(1,([22]Monitoring!$D$6:$D$582=$D570)*([22]Monitoring!$D$6:$D$582=$D570),0))</f>
        <v>386</v>
      </c>
      <c r="J570" s="9">
        <f t="array" ref="J570">IFERROR(I570/G570*100,0)</f>
        <v>8.0349708576186512</v>
      </c>
      <c r="K570" s="143">
        <f t="array" ref="K570">INDEX([22]Monitoring!$J$6:$J$582,MATCH(1,([22]Monitoring!$D$6:$D$582=$D570)*([22]Monitoring!$D$6:$D$582=$D570),0))</f>
        <v>32</v>
      </c>
      <c r="L570" s="9">
        <f t="shared" si="10"/>
        <v>8.2901554404145088</v>
      </c>
      <c r="M570" s="8" t="str">
        <f t="array" ref="M570">IF(L570&gt;5,"Perlu Pengendalian",IF(AND(L570&gt;=0,I570&gt;0),"Tidak Perlu Pengendalian","Belum Sensus"))</f>
        <v>Perlu Pengendalian</v>
      </c>
    </row>
    <row r="571" spans="1:13" x14ac:dyDescent="0.15">
      <c r="A571" s="8" t="s">
        <v>322</v>
      </c>
      <c r="B571" s="8" t="s">
        <v>107</v>
      </c>
      <c r="C571" s="8" t="s">
        <v>582</v>
      </c>
      <c r="D571" s="8" t="s">
        <v>598</v>
      </c>
      <c r="E571" s="9">
        <v>29.63</v>
      </c>
      <c r="F571" s="8" t="s">
        <v>132</v>
      </c>
      <c r="G571" s="10">
        <v>4301</v>
      </c>
      <c r="H571" s="11">
        <f t="array" ref="H571">INDEX([22]Monitoring!$H$6:$H$582,MATCH(1,([22]Monitoring!$D$6:$D$582=$D571)*([22]Monitoring!$D$6:$D$582=$D571),0))</f>
        <v>46154</v>
      </c>
      <c r="I571" s="143">
        <f t="array" ref="I571">INDEX([22]Monitoring!$I$6:$I$582,MATCH(1,([22]Monitoring!$D$6:$D$582=$D571)*([22]Monitoring!$D$6:$D$582=$D571),0))</f>
        <v>384</v>
      </c>
      <c r="J571" s="9">
        <f t="array" ref="J571">IFERROR(I571/G571*100,0)</f>
        <v>8.9281562427342482</v>
      </c>
      <c r="K571" s="143">
        <f t="array" ref="K571">INDEX([22]Monitoring!$J$6:$J$582,MATCH(1,([22]Monitoring!$D$6:$D$582=$D571)*([22]Monitoring!$D$6:$D$582=$D571),0))</f>
        <v>44</v>
      </c>
      <c r="L571" s="9">
        <f t="shared" si="10"/>
        <v>11.458333333333332</v>
      </c>
      <c r="M571" s="8" t="str">
        <f t="array" ref="M571">IF(L571&gt;5,"Perlu Pengendalian",IF(AND(L571&gt;=0,I571&gt;0),"Tidak Perlu Pengendalian","Belum Sensus"))</f>
        <v>Perlu Pengendalian</v>
      </c>
    </row>
    <row r="572" spans="1:13" x14ac:dyDescent="0.15">
      <c r="A572" s="8" t="s">
        <v>322</v>
      </c>
      <c r="B572" s="8" t="s">
        <v>107</v>
      </c>
      <c r="C572" s="8" t="s">
        <v>582</v>
      </c>
      <c r="D572" s="8" t="s">
        <v>599</v>
      </c>
      <c r="E572" s="9">
        <v>40.520000000000003</v>
      </c>
      <c r="F572" s="8" t="s">
        <v>132</v>
      </c>
      <c r="G572" s="10">
        <v>6156</v>
      </c>
      <c r="H572" s="11">
        <f t="array" ref="H572">INDEX([22]Monitoring!$H$6:$H$582,MATCH(1,([22]Monitoring!$D$6:$D$582=$D572)*([22]Monitoring!$D$6:$D$582=$D572),0))</f>
        <v>46154</v>
      </c>
      <c r="I572" s="143">
        <f t="array" ref="I572">INDEX([22]Monitoring!$I$6:$I$582,MATCH(1,([22]Monitoring!$D$6:$D$582=$D572)*([22]Monitoring!$D$6:$D$582=$D572),0))</f>
        <v>475</v>
      </c>
      <c r="J572" s="9">
        <f t="array" ref="J572">IFERROR(I572/G572*100,0)</f>
        <v>7.716049382716049</v>
      </c>
      <c r="K572" s="143">
        <f t="array" ref="K572">INDEX([22]Monitoring!$J$6:$J$582,MATCH(1,([22]Monitoring!$D$6:$D$582=$D572)*([22]Monitoring!$D$6:$D$582=$D572),0))</f>
        <v>40</v>
      </c>
      <c r="L572" s="9">
        <f t="shared" si="10"/>
        <v>8.4210526315789469</v>
      </c>
      <c r="M572" s="8" t="str">
        <f t="array" ref="M572">IF(L572&gt;5,"Perlu Pengendalian",IF(AND(L572&gt;=0,I572&gt;0),"Tidak Perlu Pengendalian","Belum Sensus"))</f>
        <v>Perlu Pengendalian</v>
      </c>
    </row>
    <row r="573" spans="1:13" x14ac:dyDescent="0.15">
      <c r="A573" s="8" t="s">
        <v>322</v>
      </c>
      <c r="B573" s="8" t="s">
        <v>107</v>
      </c>
      <c r="C573" s="8" t="s">
        <v>582</v>
      </c>
      <c r="D573" s="8" t="s">
        <v>600</v>
      </c>
      <c r="E573" s="9">
        <v>23</v>
      </c>
      <c r="F573" s="8" t="s">
        <v>132</v>
      </c>
      <c r="G573" s="10">
        <v>3151</v>
      </c>
      <c r="H573" s="11">
        <f t="array" ref="H573">INDEX([22]Monitoring!$H$6:$H$582,MATCH(1,([22]Monitoring!$D$6:$D$582=$D573)*([22]Monitoring!$D$6:$D$582=$D573),0))</f>
        <v>46155</v>
      </c>
      <c r="I573" s="143">
        <f t="array" ref="I573">INDEX([22]Monitoring!$I$6:$I$582,MATCH(1,([22]Monitoring!$D$6:$D$582=$D573)*([22]Monitoring!$D$6:$D$582=$D573),0))</f>
        <v>195</v>
      </c>
      <c r="J573" s="9">
        <f t="array" ref="J573">IFERROR(I573/G573*100,0)</f>
        <v>6.1885115836242459</v>
      </c>
      <c r="K573" s="143">
        <f t="array" ref="K573">INDEX([22]Monitoring!$J$6:$J$582,MATCH(1,([22]Monitoring!$D$6:$D$582=$D573)*([22]Monitoring!$D$6:$D$582=$D573),0))</f>
        <v>35</v>
      </c>
      <c r="L573" s="9">
        <f t="shared" si="10"/>
        <v>17.948717948717949</v>
      </c>
      <c r="M573" s="8" t="str">
        <f t="array" ref="M573">IF(L573&gt;5,"Perlu Pengendalian",IF(AND(L573&gt;=0,I573&gt;0),"Tidak Perlu Pengendalian","Belum Sensus"))</f>
        <v>Perlu Pengendalian</v>
      </c>
    </row>
    <row r="574" spans="1:13" x14ac:dyDescent="0.15">
      <c r="A574" s="8" t="s">
        <v>322</v>
      </c>
      <c r="B574" s="8" t="s">
        <v>107</v>
      </c>
      <c r="C574" s="8" t="s">
        <v>582</v>
      </c>
      <c r="D574" s="8" t="s">
        <v>601</v>
      </c>
      <c r="E574" s="9">
        <v>38.49</v>
      </c>
      <c r="F574" s="8" t="s">
        <v>132</v>
      </c>
      <c r="G574" s="10">
        <v>5672</v>
      </c>
      <c r="H574" s="11">
        <f t="array" ref="H574">INDEX([22]Monitoring!$H$6:$H$582,MATCH(1,([22]Monitoring!$D$6:$D$582=$D574)*([22]Monitoring!$D$6:$D$582=$D574),0))</f>
        <v>46155</v>
      </c>
      <c r="I574" s="143">
        <f t="array" ref="I574">INDEX([22]Monitoring!$I$6:$I$582,MATCH(1,([22]Monitoring!$D$6:$D$582=$D574)*([22]Monitoring!$D$6:$D$582=$D574),0))</f>
        <v>474</v>
      </c>
      <c r="J574" s="9">
        <f t="array" ref="J574">IFERROR(I574/G574*100,0)</f>
        <v>8.3568406205923829</v>
      </c>
      <c r="K574" s="143">
        <f t="array" ref="K574">INDEX([22]Monitoring!$J$6:$J$582,MATCH(1,([22]Monitoring!$D$6:$D$582=$D574)*([22]Monitoring!$D$6:$D$582=$D574),0))</f>
        <v>35</v>
      </c>
      <c r="L574" s="9">
        <f t="shared" si="10"/>
        <v>7.3839662447257384</v>
      </c>
      <c r="M574" s="8" t="str">
        <f t="array" ref="M574">IF(L574&gt;5,"Perlu Pengendalian",IF(AND(L574&gt;=0,I574&gt;0),"Tidak Perlu Pengendalian","Belum Sensus"))</f>
        <v>Perlu Pengendalian</v>
      </c>
    </row>
    <row r="575" spans="1:13" x14ac:dyDescent="0.15">
      <c r="A575" s="8" t="s">
        <v>322</v>
      </c>
      <c r="B575" s="8" t="s">
        <v>107</v>
      </c>
      <c r="C575" s="8" t="s">
        <v>582</v>
      </c>
      <c r="D575" s="8" t="s">
        <v>602</v>
      </c>
      <c r="E575" s="9">
        <v>29.58</v>
      </c>
      <c r="F575" s="8" t="s">
        <v>132</v>
      </c>
      <c r="G575" s="10">
        <v>4157</v>
      </c>
      <c r="H575" s="11">
        <f t="array" ref="H575">INDEX([22]Monitoring!$H$6:$H$582,MATCH(1,([22]Monitoring!$D$6:$D$582=$D575)*([22]Monitoring!$D$6:$D$582=$D575),0))</f>
        <v>46155</v>
      </c>
      <c r="I575" s="143">
        <f t="array" ref="I575">INDEX([22]Monitoring!$I$6:$I$582,MATCH(1,([22]Monitoring!$D$6:$D$582=$D575)*([22]Monitoring!$D$6:$D$582=$D575),0))</f>
        <v>283</v>
      </c>
      <c r="J575" s="9">
        <f t="array" ref="J575">IFERROR(I575/G575*100,0)</f>
        <v>6.8077940822708687</v>
      </c>
      <c r="K575" s="143">
        <f t="array" ref="K575">INDEX([22]Monitoring!$J$6:$J$582,MATCH(1,([22]Monitoring!$D$6:$D$582=$D575)*([22]Monitoring!$D$6:$D$582=$D575),0))</f>
        <v>18</v>
      </c>
      <c r="L575" s="9">
        <f t="shared" si="10"/>
        <v>6.3604240282685502</v>
      </c>
      <c r="M575" s="8" t="str">
        <f t="array" ref="M575">IF(L575&gt;5,"Perlu Pengendalian",IF(AND(L575&gt;=0,I575&gt;0),"Tidak Perlu Pengendalian","Belum Sensus"))</f>
        <v>Perlu Pengendalian</v>
      </c>
    </row>
    <row r="576" spans="1:13" x14ac:dyDescent="0.15">
      <c r="A576" s="8" t="s">
        <v>322</v>
      </c>
      <c r="B576" s="8" t="s">
        <v>107</v>
      </c>
      <c r="C576" s="8" t="s">
        <v>582</v>
      </c>
      <c r="D576" s="8" t="s">
        <v>603</v>
      </c>
      <c r="E576" s="9">
        <v>36.049999999999997</v>
      </c>
      <c r="F576" s="8" t="s">
        <v>132</v>
      </c>
      <c r="G576" s="10">
        <v>5251</v>
      </c>
      <c r="H576" s="11">
        <f t="array" ref="H576">INDEX([22]Monitoring!$H$6:$H$582,MATCH(1,([22]Monitoring!$D$6:$D$582=$D576)*([22]Monitoring!$D$6:$D$582=$D576),0))</f>
        <v>46154</v>
      </c>
      <c r="I576" s="143">
        <f t="array" ref="I576">INDEX([22]Monitoring!$I$6:$I$582,MATCH(1,([22]Monitoring!$D$6:$D$582=$D576)*([22]Monitoring!$D$6:$D$582=$D576),0))</f>
        <v>758</v>
      </c>
      <c r="J576" s="9">
        <f t="array" ref="J576">IFERROR(I576/G576*100,0)</f>
        <v>14.435345648447914</v>
      </c>
      <c r="K576" s="143">
        <f t="array" ref="K576">INDEX([22]Monitoring!$J$6:$J$582,MATCH(1,([22]Monitoring!$D$6:$D$582=$D576)*([22]Monitoring!$D$6:$D$582=$D576),0))</f>
        <v>43</v>
      </c>
      <c r="L576" s="9">
        <f t="shared" si="10"/>
        <v>5.6728232189973617</v>
      </c>
      <c r="M576" s="8" t="str">
        <f t="array" ref="M576">IF(L576&gt;5,"Perlu Pengendalian",IF(AND(L576&gt;=0,I576&gt;0),"Tidak Perlu Pengendalian","Belum Sensus"))</f>
        <v>Perlu Pengendalian</v>
      </c>
    </row>
    <row r="577" spans="1:13" x14ac:dyDescent="0.15">
      <c r="A577" s="8" t="s">
        <v>322</v>
      </c>
      <c r="B577" s="8" t="s">
        <v>107</v>
      </c>
      <c r="C577" s="8" t="s">
        <v>582</v>
      </c>
      <c r="D577" s="8" t="s">
        <v>604</v>
      </c>
      <c r="E577" s="9">
        <v>35.11</v>
      </c>
      <c r="F577" s="8" t="s">
        <v>132</v>
      </c>
      <c r="G577" s="10">
        <v>4880</v>
      </c>
      <c r="H577" s="11">
        <f t="array" ref="H577">INDEX([22]Monitoring!$H$6:$H$582,MATCH(1,([22]Monitoring!$D$6:$D$582=$D577)*([22]Monitoring!$D$6:$D$582=$D577),0))</f>
        <v>46153</v>
      </c>
      <c r="I577" s="143">
        <f t="array" ref="I577">INDEX([22]Monitoring!$I$6:$I$582,MATCH(1,([22]Monitoring!$D$6:$D$582=$D577)*([22]Monitoring!$D$6:$D$582=$D577),0))</f>
        <v>579</v>
      </c>
      <c r="J577" s="9">
        <f t="array" ref="J577">IFERROR(I577/G577*100,0)</f>
        <v>11.864754098360656</v>
      </c>
      <c r="K577" s="143">
        <f t="array" ref="K577">INDEX([22]Monitoring!$J$6:$J$582,MATCH(1,([22]Monitoring!$D$6:$D$582=$D577)*([22]Monitoring!$D$6:$D$582=$D577),0))</f>
        <v>62</v>
      </c>
      <c r="L577" s="9">
        <f t="shared" si="10"/>
        <v>10.708117443868739</v>
      </c>
      <c r="M577" s="8" t="str">
        <f t="array" ref="M577">IF(L577&gt;5,"Perlu Pengendalian",IF(AND(L577&gt;=0,I577&gt;0),"Tidak Perlu Pengendalian","Belum Sensus"))</f>
        <v>Perlu Pengendalian</v>
      </c>
    </row>
    <row r="578" spans="1:13" x14ac:dyDescent="0.15">
      <c r="A578" s="8" t="s">
        <v>322</v>
      </c>
      <c r="B578" s="8" t="s">
        <v>107</v>
      </c>
      <c r="C578" s="8" t="s">
        <v>582</v>
      </c>
      <c r="D578" s="8" t="s">
        <v>605</v>
      </c>
      <c r="E578" s="9">
        <v>35.39</v>
      </c>
      <c r="F578" s="8" t="s">
        <v>132</v>
      </c>
      <c r="G578" s="10">
        <v>5322</v>
      </c>
      <c r="H578" s="11">
        <f t="array" ref="H578">INDEX([22]Monitoring!$H$6:$H$582,MATCH(1,([22]Monitoring!$D$6:$D$582=$D578)*([22]Monitoring!$D$6:$D$582=$D578),0))</f>
        <v>46154</v>
      </c>
      <c r="I578" s="143">
        <f t="array" ref="I578">INDEX([22]Monitoring!$I$6:$I$582,MATCH(1,([22]Monitoring!$D$6:$D$582=$D578)*([22]Monitoring!$D$6:$D$582=$D578),0))</f>
        <v>544</v>
      </c>
      <c r="J578" s="9">
        <f t="array" ref="J578">IFERROR(I578/G578*100,0)</f>
        <v>10.221721157459601</v>
      </c>
      <c r="K578" s="143">
        <f t="array" ref="K578">INDEX([22]Monitoring!$J$6:$J$582,MATCH(1,([22]Monitoring!$D$6:$D$582=$D578)*([22]Monitoring!$D$6:$D$582=$D578),0))</f>
        <v>47</v>
      </c>
      <c r="L578" s="9">
        <f t="shared" si="10"/>
        <v>8.6397058823529402</v>
      </c>
      <c r="M578" s="8" t="str">
        <f t="array" ref="M578">IF(L578&gt;5,"Perlu Pengendalian",IF(AND(L578&gt;=0,I578&gt;0),"Tidak Perlu Pengendalian","Belum Sensus"))</f>
        <v>Perlu Pengendalian</v>
      </c>
    </row>
    <row r="579" spans="1:13" x14ac:dyDescent="0.15">
      <c r="A579" s="8" t="s">
        <v>322</v>
      </c>
      <c r="B579" s="8" t="s">
        <v>107</v>
      </c>
      <c r="C579" s="8" t="s">
        <v>582</v>
      </c>
      <c r="D579" s="8" t="s">
        <v>606</v>
      </c>
      <c r="E579" s="9">
        <v>29.34</v>
      </c>
      <c r="F579" s="8" t="s">
        <v>132</v>
      </c>
      <c r="G579" s="10">
        <v>3560</v>
      </c>
      <c r="H579" s="11">
        <f t="array" ref="H579">INDEX([22]Monitoring!$H$6:$H$582,MATCH(1,([22]Monitoring!$D$6:$D$582=$D579)*([22]Monitoring!$D$6:$D$582=$D579),0))</f>
        <v>46153</v>
      </c>
      <c r="I579" s="143">
        <f t="array" ref="I579">INDEX([22]Monitoring!$I$6:$I$582,MATCH(1,([22]Monitoring!$D$6:$D$582=$D579)*([22]Monitoring!$D$6:$D$582=$D579),0))</f>
        <v>464</v>
      </c>
      <c r="J579" s="9">
        <f t="array" ref="J579">IFERROR(I579/G579*100,0)</f>
        <v>13.033707865168539</v>
      </c>
      <c r="K579" s="143">
        <f t="array" ref="K579">INDEX([22]Monitoring!$J$6:$J$582,MATCH(1,([22]Monitoring!$D$6:$D$582=$D579)*([22]Monitoring!$D$6:$D$582=$D579),0))</f>
        <v>12</v>
      </c>
      <c r="L579" s="9">
        <f t="shared" si="10"/>
        <v>2.5862068965517242</v>
      </c>
      <c r="M579" s="8" t="str">
        <f t="array" ref="M579">IF(L579&gt;5,"Perlu Pengendalian",IF(AND(L579&gt;=0,I579&gt;0),"Tidak Perlu Pengendalian","Belum Sensus"))</f>
        <v>Tidak Perlu Pengendalian</v>
      </c>
    </row>
    <row r="580" spans="1:13" x14ac:dyDescent="0.15">
      <c r="A580" s="8" t="s">
        <v>322</v>
      </c>
      <c r="B580" s="8" t="s">
        <v>107</v>
      </c>
      <c r="C580" s="8" t="s">
        <v>582</v>
      </c>
      <c r="D580" s="8" t="s">
        <v>607</v>
      </c>
      <c r="E580" s="9">
        <v>25.23</v>
      </c>
      <c r="F580" s="8" t="s">
        <v>132</v>
      </c>
      <c r="G580" s="10">
        <v>3204</v>
      </c>
      <c r="H580" s="11">
        <f t="array" ref="H580">INDEX([22]Monitoring!$H$6:$H$582,MATCH(1,([22]Monitoring!$D$6:$D$582=$D580)*([22]Monitoring!$D$6:$D$582=$D580),0))</f>
        <v>46153</v>
      </c>
      <c r="I580" s="143">
        <f t="array" ref="I580">INDEX([22]Monitoring!$I$6:$I$582,MATCH(1,([22]Monitoring!$D$6:$D$582=$D580)*([22]Monitoring!$D$6:$D$582=$D580),0))</f>
        <v>398</v>
      </c>
      <c r="J580" s="9">
        <f t="array" ref="J580">IFERROR(I580/G580*100,0)</f>
        <v>12.421972534332085</v>
      </c>
      <c r="K580" s="143">
        <f t="array" ref="K580">INDEX([22]Monitoring!$J$6:$J$582,MATCH(1,([22]Monitoring!$D$6:$D$582=$D580)*([22]Monitoring!$D$6:$D$582=$D580),0))</f>
        <v>26</v>
      </c>
      <c r="L580" s="9">
        <f t="shared" si="10"/>
        <v>6.5326633165829149</v>
      </c>
      <c r="M580" s="8" t="str">
        <f t="array" ref="M580">IF(L580&gt;5,"Perlu Pengendalian",IF(AND(L580&gt;=0,I580&gt;0),"Tidak Perlu Pengendalian","Belum Sensus"))</f>
        <v>Perlu Pengendalian</v>
      </c>
    </row>
    <row r="581" spans="1:13" x14ac:dyDescent="0.15">
      <c r="A581" s="8" t="s">
        <v>322</v>
      </c>
      <c r="B581" s="8" t="s">
        <v>107</v>
      </c>
      <c r="C581" s="8" t="s">
        <v>582</v>
      </c>
      <c r="D581" s="8" t="s">
        <v>608</v>
      </c>
      <c r="E581" s="9">
        <v>24.99</v>
      </c>
      <c r="F581" s="8" t="s">
        <v>132</v>
      </c>
      <c r="G581" s="10">
        <v>3041</v>
      </c>
      <c r="H581" s="11">
        <f t="array" ref="H581">INDEX([22]Monitoring!$H$6:$H$582,MATCH(1,([22]Monitoring!$D$6:$D$582=$D581)*([22]Monitoring!$D$6:$D$582=$D581),0))</f>
        <v>46153</v>
      </c>
      <c r="I581" s="143">
        <f t="array" ref="I581">INDEX([22]Monitoring!$I$6:$I$582,MATCH(1,([22]Monitoring!$D$6:$D$582=$D581)*([22]Monitoring!$D$6:$D$582=$D581),0))</f>
        <v>339</v>
      </c>
      <c r="J581" s="9">
        <f t="array" ref="J581">IFERROR(I581/G581*100,0)</f>
        <v>11.147648799736928</v>
      </c>
      <c r="K581" s="143">
        <f t="array" ref="K581">INDEX([22]Monitoring!$J$6:$J$582,MATCH(1,([22]Monitoring!$D$6:$D$582=$D581)*([22]Monitoring!$D$6:$D$582=$D581),0))</f>
        <v>22</v>
      </c>
      <c r="L581" s="9">
        <f t="shared" si="10"/>
        <v>6.4896755162241888</v>
      </c>
      <c r="M581" s="8" t="str">
        <f t="array" ref="M581">IF(L581&gt;5,"Perlu Pengendalian",IF(AND(L581&gt;=0,I581&gt;0),"Tidak Perlu Pengendalian","Belum Sensus"))</f>
        <v>Perlu Pengendalian</v>
      </c>
    </row>
    <row r="582" spans="1:13" x14ac:dyDescent="0.15">
      <c r="A582" s="8" t="s">
        <v>322</v>
      </c>
      <c r="B582" s="8" t="s">
        <v>107</v>
      </c>
      <c r="C582" s="8" t="s">
        <v>582</v>
      </c>
      <c r="D582" s="8" t="s">
        <v>609</v>
      </c>
      <c r="E582" s="9">
        <v>26.27</v>
      </c>
      <c r="F582" s="8" t="s">
        <v>132</v>
      </c>
      <c r="G582" s="10">
        <v>3549</v>
      </c>
      <c r="H582" s="11">
        <f t="array" ref="H582">INDEX([22]Monitoring!$H$6:$H$582,MATCH(1,([22]Monitoring!$D$6:$D$582=$D582)*([22]Monitoring!$D$6:$D$582=$D582),0))</f>
        <v>46153</v>
      </c>
      <c r="I582" s="143">
        <f t="array" ref="I582">INDEX([22]Monitoring!$I$6:$I$582,MATCH(1,([22]Monitoring!$D$6:$D$582=$D582)*([22]Monitoring!$D$6:$D$582=$D582),0))</f>
        <v>403</v>
      </c>
      <c r="J582" s="9">
        <f t="array" ref="J582">IFERROR(I582/G582*100,0)</f>
        <v>11.355311355311356</v>
      </c>
      <c r="K582" s="143">
        <f t="array" ref="K582">INDEX([22]Monitoring!$J$6:$J$582,MATCH(1,([22]Monitoring!$D$6:$D$582=$D582)*([22]Monitoring!$D$6:$D$582=$D582),0))</f>
        <v>13</v>
      </c>
      <c r="L582" s="9">
        <f t="shared" si="10"/>
        <v>3.225806451612903</v>
      </c>
      <c r="M582" s="8" t="str">
        <f t="array" ref="M582">IF(L582&gt;5,"Perlu Pengendalian",IF(AND(L582&gt;=0,I582&gt;0),"Tidak Perlu Pengendalian","Belum Sensus"))</f>
        <v>Tidak Perlu Pengendalian</v>
      </c>
    </row>
    <row r="583" spans="1:13" outlineLevel="1" x14ac:dyDescent="0.15">
      <c r="A583" s="12" t="s">
        <v>13</v>
      </c>
      <c r="B583" s="12" t="s">
        <v>14</v>
      </c>
      <c r="C583" s="12" t="s">
        <v>14</v>
      </c>
      <c r="D583" s="12">
        <f t="array" ref="D583">COUNTIFS($C$6:$C$582,$C583)</f>
        <v>31</v>
      </c>
      <c r="E583" s="13">
        <f>SUMIFS($E$6:$E$582,$C$6:$C$582,$C583)</f>
        <v>922.57999999999993</v>
      </c>
      <c r="F583" s="14"/>
      <c r="G583" s="15">
        <f>SUMIFS($G$6:$G$582,$C$6:$C$582,$C583)</f>
        <v>124833</v>
      </c>
      <c r="H583" s="16"/>
      <c r="I583" s="16">
        <f>SUMIFS($I$6:$I$582,$C$6:$C$582,$C583)</f>
        <v>11328</v>
      </c>
      <c r="J583" s="17">
        <f t="array" ref="J583">IFERROR(I583/G583*100,0)</f>
        <v>9.0745235634808097</v>
      </c>
      <c r="K583" s="16">
        <f>SUMIFS($K$6:$K$582,$C$6:$C$582,$C583)</f>
        <v>1780</v>
      </c>
      <c r="L583" s="9">
        <f t="shared" si="10"/>
        <v>15.71327683615819</v>
      </c>
      <c r="M583" s="8" t="str">
        <f t="shared" ref="M583:M586" si="11">IF(L583&gt;2,"Perlu Pengendalian",IF(L583&gt;0,"Tidak Perlu Pengendalian","Belum Sensus"))</f>
        <v>Perlu Pengendalian</v>
      </c>
    </row>
    <row r="584" spans="1:13" outlineLevel="1" x14ac:dyDescent="0.15">
      <c r="A584" s="12" t="s">
        <v>13</v>
      </c>
      <c r="B584" s="12" t="s">
        <v>14</v>
      </c>
      <c r="C584" s="12" t="s">
        <v>47</v>
      </c>
      <c r="D584" s="12">
        <f t="array" ref="D584">COUNTIFS($C$6:$C$582,$C584)</f>
        <v>31</v>
      </c>
      <c r="E584" s="13">
        <f t="shared" ref="E584:E600" si="12">SUMIFS($E$6:$E$582,$C$6:$C$582,$C584)</f>
        <v>1001.2800000000001</v>
      </c>
      <c r="F584" s="14"/>
      <c r="G584" s="15">
        <f t="shared" ref="G584:G600" si="13">SUMIFS($G$6:$G$582,$C$6:$C$582,$C584)</f>
        <v>138506</v>
      </c>
      <c r="H584" s="18"/>
      <c r="I584" s="16">
        <f t="shared" ref="I584:I600" si="14">SUMIFS($I$6:$I$582,$C$6:$C$582,$C584)</f>
        <v>14005</v>
      </c>
      <c r="J584" s="17">
        <f t="array" ref="J584">IFERROR(I584/G584*100,0)</f>
        <v>10.111475315148802</v>
      </c>
      <c r="K584" s="16">
        <f t="shared" ref="K584:K600" si="15">SUMIFS($K$6:$K$582,$C$6:$C$582,$C584)</f>
        <v>1604</v>
      </c>
      <c r="L584" s="9">
        <f t="shared" si="10"/>
        <v>11.453052481256695</v>
      </c>
      <c r="M584" s="8" t="str">
        <f t="shared" si="11"/>
        <v>Perlu Pengendalian</v>
      </c>
    </row>
    <row r="585" spans="1:13" outlineLevel="1" x14ac:dyDescent="0.15">
      <c r="A585" s="12" t="s">
        <v>13</v>
      </c>
      <c r="B585" s="12" t="s">
        <v>14</v>
      </c>
      <c r="C585" s="12" t="s">
        <v>79</v>
      </c>
      <c r="D585" s="12">
        <f t="array" ref="D585">COUNTIFS($C$6:$C$582,$C585)</f>
        <v>27</v>
      </c>
      <c r="E585" s="13">
        <f t="shared" si="12"/>
        <v>940.47</v>
      </c>
      <c r="F585" s="14"/>
      <c r="G585" s="15">
        <f t="shared" si="13"/>
        <v>121141</v>
      </c>
      <c r="H585" s="18"/>
      <c r="I585" s="16">
        <f t="shared" si="14"/>
        <v>12530</v>
      </c>
      <c r="J585" s="17">
        <f t="array" ref="J585">IFERROR(I585/G585*100,0)</f>
        <v>10.343318942389446</v>
      </c>
      <c r="K585" s="16">
        <f t="shared" si="15"/>
        <v>1299</v>
      </c>
      <c r="L585" s="9">
        <f t="shared" si="10"/>
        <v>10.367118914604948</v>
      </c>
      <c r="M585" s="8" t="str">
        <f t="shared" si="11"/>
        <v>Perlu Pengendalian</v>
      </c>
    </row>
    <row r="586" spans="1:13" outlineLevel="1" x14ac:dyDescent="0.15">
      <c r="A586" s="12" t="s">
        <v>13</v>
      </c>
      <c r="B586" s="12" t="s">
        <v>14</v>
      </c>
      <c r="C586" s="12" t="s">
        <v>107</v>
      </c>
      <c r="D586" s="12">
        <f t="array" ref="D586">COUNTIFS($C$6:$C$582,$C586)</f>
        <v>35</v>
      </c>
      <c r="E586" s="13">
        <f t="shared" si="12"/>
        <v>961.00000000000023</v>
      </c>
      <c r="F586" s="14"/>
      <c r="G586" s="15">
        <f t="shared" si="13"/>
        <v>134476</v>
      </c>
      <c r="H586" s="18"/>
      <c r="I586" s="16">
        <f t="shared" si="14"/>
        <v>14200</v>
      </c>
      <c r="J586" s="17">
        <f t="array" ref="J586">IFERROR(I586/G586*100,0)</f>
        <v>10.559505041791844</v>
      </c>
      <c r="K586" s="16">
        <f t="shared" si="15"/>
        <v>1629</v>
      </c>
      <c r="L586" s="9">
        <f t="shared" si="10"/>
        <v>11.471830985915494</v>
      </c>
      <c r="M586" s="8" t="str">
        <f t="shared" si="11"/>
        <v>Perlu Pengendalian</v>
      </c>
    </row>
    <row r="587" spans="1:13" outlineLevel="1" x14ac:dyDescent="0.15">
      <c r="A587" s="12" t="s">
        <v>13</v>
      </c>
      <c r="B587" s="12" t="s">
        <v>14</v>
      </c>
      <c r="C587" s="12" t="s">
        <v>144</v>
      </c>
      <c r="D587" s="12">
        <f t="array" ref="D587">COUNTIFS($C$6:$C$582,$C587)</f>
        <v>28</v>
      </c>
      <c r="E587" s="13">
        <f t="shared" si="12"/>
        <v>898.86999999999978</v>
      </c>
      <c r="F587" s="14"/>
      <c r="G587" s="15">
        <f t="shared" si="13"/>
        <v>131840</v>
      </c>
      <c r="H587" s="18"/>
      <c r="I587" s="16">
        <f t="shared" si="14"/>
        <v>12892</v>
      </c>
      <c r="J587" s="17">
        <f t="array" ref="J587">IFERROR(I587/G587*100,0)</f>
        <v>9.7785194174757279</v>
      </c>
      <c r="K587" s="16">
        <f t="shared" si="15"/>
        <v>1647</v>
      </c>
      <c r="L587" s="9">
        <f t="shared" si="10"/>
        <v>12.775364567173442</v>
      </c>
      <c r="M587" s="8" t="str">
        <f t="shared" ref="M587:M613" si="16">IF(L587&gt;2,"Perlu Pengendalian",IF(L587&gt;0,"Tidak Perlu Pengendalian","Belum Sensus"))</f>
        <v>Perlu Pengendalian</v>
      </c>
    </row>
    <row r="588" spans="1:13" outlineLevel="1" x14ac:dyDescent="0.15">
      <c r="A588" s="12" t="s">
        <v>13</v>
      </c>
      <c r="B588" s="12" t="s">
        <v>47</v>
      </c>
      <c r="C588" s="12" t="s">
        <v>173</v>
      </c>
      <c r="D588" s="12">
        <f t="array" ref="D588">COUNTIFS($C$6:$C$582,$C588)</f>
        <v>42</v>
      </c>
      <c r="E588" s="13">
        <f t="shared" si="12"/>
        <v>1117.05</v>
      </c>
      <c r="F588" s="14"/>
      <c r="G588" s="15">
        <f t="shared" si="13"/>
        <v>156536</v>
      </c>
      <c r="H588" s="18"/>
      <c r="I588" s="16">
        <f t="shared" si="14"/>
        <v>15000</v>
      </c>
      <c r="J588" s="17">
        <f t="array" ref="J588">IFERROR(I588/G588*100,0)</f>
        <v>9.5824602647314343</v>
      </c>
      <c r="K588" s="16">
        <f t="shared" si="15"/>
        <v>988</v>
      </c>
      <c r="L588" s="9">
        <f t="shared" si="10"/>
        <v>6.5866666666666669</v>
      </c>
      <c r="M588" s="8" t="str">
        <f t="shared" si="16"/>
        <v>Perlu Pengendalian</v>
      </c>
    </row>
    <row r="589" spans="1:13" outlineLevel="1" x14ac:dyDescent="0.15">
      <c r="A589" s="12" t="s">
        <v>13</v>
      </c>
      <c r="B589" s="12" t="s">
        <v>47</v>
      </c>
      <c r="C589" s="12" t="s">
        <v>216</v>
      </c>
      <c r="D589" s="12">
        <f t="array" ref="D589">COUNTIFS($C$6:$C$582,$C589)</f>
        <v>35</v>
      </c>
      <c r="E589" s="13">
        <f t="shared" si="12"/>
        <v>964.15</v>
      </c>
      <c r="F589" s="14"/>
      <c r="G589" s="15">
        <f t="shared" si="13"/>
        <v>141905</v>
      </c>
      <c r="H589" s="18"/>
      <c r="I589" s="16">
        <f t="shared" si="14"/>
        <v>13429</v>
      </c>
      <c r="J589" s="17">
        <f t="array" ref="J589">IFERROR(I589/G589*100,0)</f>
        <v>9.4633733836017058</v>
      </c>
      <c r="K589" s="16">
        <f t="shared" si="15"/>
        <v>1107</v>
      </c>
      <c r="L589" s="9">
        <f t="shared" si="10"/>
        <v>8.2433539355126975</v>
      </c>
      <c r="M589" s="8" t="str">
        <f t="shared" si="16"/>
        <v>Perlu Pengendalian</v>
      </c>
    </row>
    <row r="590" spans="1:13" outlineLevel="1" x14ac:dyDescent="0.15">
      <c r="A590" s="12" t="s">
        <v>13</v>
      </c>
      <c r="B590" s="12" t="s">
        <v>47</v>
      </c>
      <c r="C590" s="12" t="s">
        <v>252</v>
      </c>
      <c r="D590" s="12">
        <f t="array" ref="D590">COUNTIFS($C$6:$C$582,$C590)</f>
        <v>37</v>
      </c>
      <c r="E590" s="13">
        <f t="shared" si="12"/>
        <v>967.70999999999992</v>
      </c>
      <c r="F590" s="14"/>
      <c r="G590" s="15">
        <f t="shared" si="13"/>
        <v>141747</v>
      </c>
      <c r="H590" s="18"/>
      <c r="I590" s="16">
        <f t="shared" si="14"/>
        <v>14919</v>
      </c>
      <c r="J590" s="17">
        <f t="array" ref="J590">IFERROR(I590/G590*100,0)</f>
        <v>10.525090478105357</v>
      </c>
      <c r="K590" s="16">
        <f t="shared" si="15"/>
        <v>1142</v>
      </c>
      <c r="L590" s="9">
        <f t="shared" si="10"/>
        <v>7.6546685434680617</v>
      </c>
      <c r="M590" s="8" t="str">
        <f t="shared" si="16"/>
        <v>Perlu Pengendalian</v>
      </c>
    </row>
    <row r="591" spans="1:13" outlineLevel="1" x14ac:dyDescent="0.15">
      <c r="A591" s="12" t="s">
        <v>13</v>
      </c>
      <c r="B591" s="12" t="s">
        <v>47</v>
      </c>
      <c r="C591" s="12" t="s">
        <v>290</v>
      </c>
      <c r="D591" s="12">
        <f t="array" ref="D591">COUNTIFS($C$6:$C$582,$C591)</f>
        <v>31</v>
      </c>
      <c r="E591" s="13">
        <f t="shared" si="12"/>
        <v>890.99</v>
      </c>
      <c r="F591" s="14"/>
      <c r="G591" s="15">
        <f t="shared" si="13"/>
        <v>127593</v>
      </c>
      <c r="H591" s="18"/>
      <c r="I591" s="16">
        <f t="shared" si="14"/>
        <v>11906</v>
      </c>
      <c r="J591" s="17">
        <f t="array" ref="J591">IFERROR(I591/G591*100,0)</f>
        <v>9.3312329046264288</v>
      </c>
      <c r="K591" s="16">
        <f t="shared" si="15"/>
        <v>1633</v>
      </c>
      <c r="L591" s="9">
        <f t="shared" si="10"/>
        <v>13.715773559549808</v>
      </c>
      <c r="M591" s="8" t="str">
        <f t="shared" si="16"/>
        <v>Perlu Pengendalian</v>
      </c>
    </row>
    <row r="592" spans="1:13" x14ac:dyDescent="0.15">
      <c r="A592" s="12" t="s">
        <v>322</v>
      </c>
      <c r="B592" s="12" t="s">
        <v>79</v>
      </c>
      <c r="C592" s="12" t="s">
        <v>323</v>
      </c>
      <c r="D592" s="12">
        <f t="array" ref="D592">COUNTIFS($C$6:$C$582,$C592)</f>
        <v>20</v>
      </c>
      <c r="E592" s="13">
        <f t="shared" si="12"/>
        <v>592.25000000000011</v>
      </c>
      <c r="F592" s="14"/>
      <c r="G592" s="15">
        <f t="shared" si="13"/>
        <v>82098</v>
      </c>
      <c r="H592" s="18"/>
      <c r="I592" s="16">
        <f t="shared" si="14"/>
        <v>8146</v>
      </c>
      <c r="J592" s="17">
        <f t="array" ref="J592">IFERROR(I592/G592*100,0)</f>
        <v>9.9222879972715532</v>
      </c>
      <c r="K592" s="16">
        <f t="shared" si="15"/>
        <v>1283</v>
      </c>
      <c r="L592" s="9">
        <f t="shared" si="10"/>
        <v>15.750061379818318</v>
      </c>
      <c r="M592" s="8" t="str">
        <f t="shared" si="16"/>
        <v>Perlu Pengendalian</v>
      </c>
    </row>
    <row r="593" spans="1:13" x14ac:dyDescent="0.15">
      <c r="A593" s="12" t="s">
        <v>322</v>
      </c>
      <c r="B593" s="12" t="s">
        <v>79</v>
      </c>
      <c r="C593" s="12" t="s">
        <v>345</v>
      </c>
      <c r="D593" s="12">
        <f t="array" ref="D593">COUNTIFS($C$6:$C$582,$C593)</f>
        <v>34</v>
      </c>
      <c r="E593" s="13">
        <f t="shared" si="12"/>
        <v>969.04000000000019</v>
      </c>
      <c r="F593" s="14"/>
      <c r="G593" s="15">
        <f t="shared" si="13"/>
        <v>134915</v>
      </c>
      <c r="H593" s="18"/>
      <c r="I593" s="16">
        <f t="shared" si="14"/>
        <v>12816</v>
      </c>
      <c r="J593" s="17">
        <f t="array" ref="J593">IFERROR(I593/G593*100,0)</f>
        <v>9.4993143831301179</v>
      </c>
      <c r="K593" s="16">
        <f t="shared" si="15"/>
        <v>1886</v>
      </c>
      <c r="L593" s="9">
        <f t="shared" si="10"/>
        <v>14.71598002496879</v>
      </c>
      <c r="M593" s="8" t="str">
        <f t="shared" si="16"/>
        <v>Perlu Pengendalian</v>
      </c>
    </row>
    <row r="594" spans="1:13" x14ac:dyDescent="0.15">
      <c r="A594" s="12" t="s">
        <v>322</v>
      </c>
      <c r="B594" s="12" t="s">
        <v>79</v>
      </c>
      <c r="C594" s="12" t="s">
        <v>380</v>
      </c>
      <c r="D594" s="12">
        <f t="array" ref="D594">COUNTIFS($C$6:$C$582,$C594)</f>
        <v>35</v>
      </c>
      <c r="E594" s="13">
        <f t="shared" si="12"/>
        <v>955.74</v>
      </c>
      <c r="F594" s="14"/>
      <c r="G594" s="15">
        <f t="shared" si="13"/>
        <v>135415</v>
      </c>
      <c r="H594" s="18"/>
      <c r="I594" s="16">
        <f t="shared" si="14"/>
        <v>12529</v>
      </c>
      <c r="J594" s="17">
        <f t="array" ref="J594">IFERROR(I594/G594*100,0)</f>
        <v>9.2522984898275666</v>
      </c>
      <c r="K594" s="16">
        <f t="shared" si="15"/>
        <v>937</v>
      </c>
      <c r="L594" s="9">
        <f t="shared" si="10"/>
        <v>7.4786495330832468</v>
      </c>
      <c r="M594" s="8" t="str">
        <f t="shared" si="16"/>
        <v>Perlu Pengendalian</v>
      </c>
    </row>
    <row r="595" spans="1:13" x14ac:dyDescent="0.15">
      <c r="A595" s="19" t="s">
        <v>322</v>
      </c>
      <c r="B595" s="19" t="s">
        <v>79</v>
      </c>
      <c r="C595" s="19" t="s">
        <v>416</v>
      </c>
      <c r="D595" s="19">
        <f t="array" ref="D595">COUNTIFS($C$6:$C$582,$C595)</f>
        <v>35</v>
      </c>
      <c r="E595" s="20">
        <f t="shared" si="12"/>
        <v>950.92</v>
      </c>
      <c r="F595" s="21"/>
      <c r="G595" s="22">
        <f t="shared" si="13"/>
        <v>141730</v>
      </c>
      <c r="H595" s="19"/>
      <c r="I595" s="22">
        <f t="shared" si="14"/>
        <v>13761</v>
      </c>
      <c r="J595" s="23">
        <f t="array" ref="J595">IFERROR(I595/G595*100,0)</f>
        <v>9.7093064277146688</v>
      </c>
      <c r="K595" s="22">
        <f t="shared" si="15"/>
        <v>1427</v>
      </c>
      <c r="L595" s="9">
        <f t="shared" si="10"/>
        <v>10.369885909454254</v>
      </c>
      <c r="M595" s="8" t="str">
        <f t="shared" si="16"/>
        <v>Perlu Pengendalian</v>
      </c>
    </row>
    <row r="596" spans="1:13" x14ac:dyDescent="0.15">
      <c r="A596" s="12" t="s">
        <v>322</v>
      </c>
      <c r="B596" s="12" t="s">
        <v>79</v>
      </c>
      <c r="C596" s="12" t="s">
        <v>452</v>
      </c>
      <c r="D596" s="12">
        <f t="array" ref="D596">COUNTIFS($C$6:$C$582,$C596)</f>
        <v>33</v>
      </c>
      <c r="E596" s="13">
        <f t="shared" si="12"/>
        <v>973.9799999999999</v>
      </c>
      <c r="F596" s="14"/>
      <c r="G596" s="15">
        <f t="shared" si="13"/>
        <v>140711</v>
      </c>
      <c r="H596" s="18"/>
      <c r="I596" s="16">
        <f t="shared" si="14"/>
        <v>15540</v>
      </c>
      <c r="J596" s="17">
        <f t="array" ref="J596">IFERROR(I596/G596*100,0)</f>
        <v>11.043912700499606</v>
      </c>
      <c r="K596" s="16">
        <f t="shared" si="15"/>
        <v>2044</v>
      </c>
      <c r="L596" s="9">
        <f t="shared" si="10"/>
        <v>13.153153153153152</v>
      </c>
      <c r="M596" s="8" t="str">
        <f t="shared" si="16"/>
        <v>Perlu Pengendalian</v>
      </c>
    </row>
    <row r="597" spans="1:13" x14ac:dyDescent="0.15">
      <c r="A597" s="12" t="s">
        <v>322</v>
      </c>
      <c r="B597" s="12" t="s">
        <v>107</v>
      </c>
      <c r="C597" s="12" t="s">
        <v>487</v>
      </c>
      <c r="D597" s="12">
        <f t="array" ref="D597">COUNTIFS($C$6:$C$582,$C597)</f>
        <v>33</v>
      </c>
      <c r="E597" s="13">
        <f t="shared" si="12"/>
        <v>992.3599999999999</v>
      </c>
      <c r="F597" s="14"/>
      <c r="G597" s="15">
        <f t="shared" si="13"/>
        <v>146428</v>
      </c>
      <c r="H597" s="18"/>
      <c r="I597" s="16">
        <f t="shared" si="14"/>
        <v>14170</v>
      </c>
      <c r="J597" s="17">
        <f t="array" ref="J597">IFERROR(I597/G597*100,0)</f>
        <v>9.6771109350670645</v>
      </c>
      <c r="K597" s="16">
        <f t="shared" si="15"/>
        <v>2115</v>
      </c>
      <c r="L597" s="9">
        <f t="shared" si="10"/>
        <v>14.925899788285109</v>
      </c>
      <c r="M597" s="8" t="str">
        <f t="shared" si="16"/>
        <v>Perlu Pengendalian</v>
      </c>
    </row>
    <row r="598" spans="1:13" x14ac:dyDescent="0.15">
      <c r="A598" s="19" t="s">
        <v>322</v>
      </c>
      <c r="B598" s="19" t="s">
        <v>107</v>
      </c>
      <c r="C598" s="19" t="s">
        <v>521</v>
      </c>
      <c r="D598" s="19">
        <f t="array" ref="D598">COUNTIFS($C$6:$C$582,$C598)</f>
        <v>30</v>
      </c>
      <c r="E598" s="20">
        <f t="shared" si="12"/>
        <v>852.52999999999975</v>
      </c>
      <c r="F598" s="21"/>
      <c r="G598" s="22">
        <f t="shared" si="13"/>
        <v>117774</v>
      </c>
      <c r="H598" s="19"/>
      <c r="I598" s="22">
        <f t="shared" si="14"/>
        <v>10404</v>
      </c>
      <c r="J598" s="23">
        <f t="array" ref="J598">IFERROR(I598/G598*100,0)</f>
        <v>8.8338682561516126</v>
      </c>
      <c r="K598" s="22">
        <f t="shared" si="15"/>
        <v>2590</v>
      </c>
      <c r="L598" s="9">
        <f t="shared" si="10"/>
        <v>24.894271434063821</v>
      </c>
      <c r="M598" s="8" t="str">
        <f t="shared" si="16"/>
        <v>Perlu Pengendalian</v>
      </c>
    </row>
    <row r="599" spans="1:13" x14ac:dyDescent="0.15">
      <c r="A599" s="12" t="s">
        <v>322</v>
      </c>
      <c r="B599" s="12" t="s">
        <v>107</v>
      </c>
      <c r="C599" s="12" t="s">
        <v>548</v>
      </c>
      <c r="D599" s="12">
        <f t="array" ref="D599">COUNTIFS($C$6:$C$582,$C599)</f>
        <v>33</v>
      </c>
      <c r="E599" s="13">
        <f t="shared" si="12"/>
        <v>933.85000000000014</v>
      </c>
      <c r="F599" s="14"/>
      <c r="G599" s="15">
        <f t="shared" si="13"/>
        <v>130094</v>
      </c>
      <c r="H599" s="18"/>
      <c r="I599" s="16">
        <f t="shared" si="14"/>
        <v>12379</v>
      </c>
      <c r="J599" s="17">
        <f t="array" ref="J599">IFERROR(I599/G599*100,0)</f>
        <v>9.5154273064092116</v>
      </c>
      <c r="K599" s="16">
        <f t="shared" si="15"/>
        <v>1643</v>
      </c>
      <c r="L599" s="9">
        <f t="shared" si="10"/>
        <v>13.272477583003472</v>
      </c>
      <c r="M599" s="8" t="str">
        <f t="shared" si="16"/>
        <v>Perlu Pengendalian</v>
      </c>
    </row>
    <row r="600" spans="1:13" x14ac:dyDescent="0.15">
      <c r="A600" s="19" t="s">
        <v>322</v>
      </c>
      <c r="B600" s="19" t="s">
        <v>107</v>
      </c>
      <c r="C600" s="19" t="s">
        <v>582</v>
      </c>
      <c r="D600" s="19">
        <f t="array" ref="D600">COUNTIFS($C$6:$C$582,$C600)</f>
        <v>27</v>
      </c>
      <c r="E600" s="20">
        <f t="shared" si="12"/>
        <v>857.1600000000002</v>
      </c>
      <c r="F600" s="21"/>
      <c r="G600" s="22">
        <f t="shared" si="13"/>
        <v>114956</v>
      </c>
      <c r="H600" s="19"/>
      <c r="I600" s="22">
        <f t="shared" si="14"/>
        <v>10647</v>
      </c>
      <c r="J600" s="23">
        <f t="array" ref="J600">IFERROR(I600/G600*100,0)</f>
        <v>9.2618045165106651</v>
      </c>
      <c r="K600" s="22">
        <f t="shared" si="15"/>
        <v>956</v>
      </c>
      <c r="L600" s="9">
        <f t="shared" ref="L600:L613" si="17">IFERROR(K600/I600*100,0)</f>
        <v>8.9790551329012871</v>
      </c>
      <c r="M600" s="8" t="str">
        <f t="shared" si="16"/>
        <v>Perlu Pengendalian</v>
      </c>
    </row>
    <row r="601" spans="1:13" outlineLevel="1" x14ac:dyDescent="0.15">
      <c r="A601" s="12" t="s">
        <v>13</v>
      </c>
      <c r="B601" s="24" t="s">
        <v>610</v>
      </c>
      <c r="C601" s="25" t="s">
        <v>610</v>
      </c>
      <c r="D601" s="26">
        <f>SUM(D583:D585)</f>
        <v>89</v>
      </c>
      <c r="E601" s="27">
        <f>SUM(E583:E585)</f>
        <v>2864.33</v>
      </c>
      <c r="F601" s="28"/>
      <c r="G601" s="29">
        <f>SUM(G583:G585)</f>
        <v>384480</v>
      </c>
      <c r="H601" s="30"/>
      <c r="I601" s="16">
        <f>SUM(I583:I585)</f>
        <v>37863</v>
      </c>
      <c r="J601" s="17">
        <f t="array" ref="J601">IFERROR(I601/G601*100,0)</f>
        <v>9.8478464419475653</v>
      </c>
      <c r="K601" s="16">
        <f>SUM(K583:K585)</f>
        <v>4683</v>
      </c>
      <c r="L601" s="9">
        <f t="shared" si="17"/>
        <v>12.368275097060454</v>
      </c>
      <c r="M601" s="8" t="str">
        <f t="shared" si="16"/>
        <v>Perlu Pengendalian</v>
      </c>
    </row>
    <row r="602" spans="1:13" outlineLevel="1" x14ac:dyDescent="0.15">
      <c r="A602" s="12" t="s">
        <v>13</v>
      </c>
      <c r="B602" s="24" t="s">
        <v>611</v>
      </c>
      <c r="C602" s="25" t="s">
        <v>611</v>
      </c>
      <c r="D602" s="12">
        <f>SUM(D586:D587)</f>
        <v>63</v>
      </c>
      <c r="E602" s="27">
        <f>SUM(E586:E587)</f>
        <v>1859.87</v>
      </c>
      <c r="F602" s="28"/>
      <c r="G602" s="29">
        <f>SUM(G586:G587)</f>
        <v>266316</v>
      </c>
      <c r="H602" s="18"/>
      <c r="I602" s="16">
        <f>SUM(I586:I587)</f>
        <v>27092</v>
      </c>
      <c r="J602" s="17">
        <f t="array" ref="J602">IFERROR(I602/G602*100,0)</f>
        <v>10.172877333693807</v>
      </c>
      <c r="K602" s="16">
        <f>SUM(K586:K587)</f>
        <v>3276</v>
      </c>
      <c r="L602" s="9">
        <f t="shared" si="17"/>
        <v>12.092130518234164</v>
      </c>
      <c r="M602" s="8" t="str">
        <f t="shared" si="16"/>
        <v>Perlu Pengendalian</v>
      </c>
    </row>
    <row r="603" spans="1:13" outlineLevel="1" x14ac:dyDescent="0.15">
      <c r="A603" s="12" t="s">
        <v>13</v>
      </c>
      <c r="B603" s="24" t="s">
        <v>612</v>
      </c>
      <c r="C603" s="25" t="s">
        <v>612</v>
      </c>
      <c r="D603" s="12">
        <f>SUM(D588:D589)</f>
        <v>77</v>
      </c>
      <c r="E603" s="27">
        <f>SUM(E588:E589)</f>
        <v>2081.1999999999998</v>
      </c>
      <c r="F603" s="28"/>
      <c r="G603" s="29">
        <f>SUM(G588:G589)</f>
        <v>298441</v>
      </c>
      <c r="H603" s="18"/>
      <c r="I603" s="16">
        <f>SUM(I588:I589)</f>
        <v>28429</v>
      </c>
      <c r="J603" s="17">
        <f t="array" ref="J603">IFERROR(I603/G603*100,0)</f>
        <v>9.5258359273692292</v>
      </c>
      <c r="K603" s="16">
        <f>SUM(K588:K589)</f>
        <v>2095</v>
      </c>
      <c r="L603" s="9">
        <f t="shared" si="17"/>
        <v>7.3692356396637235</v>
      </c>
      <c r="M603" s="8" t="str">
        <f t="shared" si="16"/>
        <v>Perlu Pengendalian</v>
      </c>
    </row>
    <row r="604" spans="1:13" outlineLevel="1" x14ac:dyDescent="0.15">
      <c r="A604" s="12" t="s">
        <v>13</v>
      </c>
      <c r="B604" s="24" t="s">
        <v>613</v>
      </c>
      <c r="C604" s="25" t="s">
        <v>613</v>
      </c>
      <c r="D604" s="12">
        <f>SUM(D590:D591)</f>
        <v>68</v>
      </c>
      <c r="E604" s="27">
        <f>SUM(E590:E591)</f>
        <v>1858.6999999999998</v>
      </c>
      <c r="F604" s="28"/>
      <c r="G604" s="29">
        <f>SUM(G590:G591)</f>
        <v>269340</v>
      </c>
      <c r="H604" s="18"/>
      <c r="I604" s="16">
        <f>SUM(I590:I591)</f>
        <v>26825</v>
      </c>
      <c r="J604" s="17">
        <f t="array" ref="J604">IFERROR(I604/G604*100,0)</f>
        <v>9.9595307046855286</v>
      </c>
      <c r="K604" s="16">
        <f>SUM(K590:K591)</f>
        <v>2775</v>
      </c>
      <c r="L604" s="9">
        <f t="shared" si="17"/>
        <v>10.344827586206897</v>
      </c>
      <c r="M604" s="8" t="str">
        <f t="shared" si="16"/>
        <v>Perlu Pengendalian</v>
      </c>
    </row>
    <row r="605" spans="1:13" x14ac:dyDescent="0.15">
      <c r="A605" s="12" t="s">
        <v>322</v>
      </c>
      <c r="B605" s="24" t="s">
        <v>614</v>
      </c>
      <c r="C605" s="25" t="s">
        <v>614</v>
      </c>
      <c r="D605" s="12">
        <f>SUM(D592:D594)</f>
        <v>89</v>
      </c>
      <c r="E605" s="27">
        <f>SUM(E592:E594)</f>
        <v>2517.0300000000007</v>
      </c>
      <c r="F605" s="28"/>
      <c r="G605" s="29">
        <f>SUM(G592:G594)</f>
        <v>352428</v>
      </c>
      <c r="H605" s="18"/>
      <c r="I605" s="16">
        <f>SUM(I592:I594)</f>
        <v>33491</v>
      </c>
      <c r="J605" s="17">
        <f t="array" ref="J605">IFERROR(I605/G605*100,0)</f>
        <v>9.5029339326046731</v>
      </c>
      <c r="K605" s="16">
        <f>SUM(K592:K594)</f>
        <v>4106</v>
      </c>
      <c r="L605" s="9">
        <f t="shared" si="17"/>
        <v>12.260010151981129</v>
      </c>
      <c r="M605" s="8" t="str">
        <f t="shared" si="16"/>
        <v>Perlu Pengendalian</v>
      </c>
    </row>
    <row r="606" spans="1:13" x14ac:dyDescent="0.15">
      <c r="A606" s="12" t="s">
        <v>322</v>
      </c>
      <c r="B606" s="24" t="s">
        <v>615</v>
      </c>
      <c r="C606" s="25" t="s">
        <v>615</v>
      </c>
      <c r="D606" s="12">
        <f>SUM(D595:D596)</f>
        <v>68</v>
      </c>
      <c r="E606" s="27">
        <f>SUM(E595:E596)</f>
        <v>1924.8999999999999</v>
      </c>
      <c r="F606" s="28"/>
      <c r="G606" s="29">
        <f>SUM(G594:G595)</f>
        <v>277145</v>
      </c>
      <c r="H606" s="18"/>
      <c r="I606" s="16">
        <f>SUM(I595:I596)</f>
        <v>29301</v>
      </c>
      <c r="J606" s="17">
        <f t="array" ref="J606">IFERROR(I606/G606*100,0)</f>
        <v>10.572444027494633</v>
      </c>
      <c r="K606" s="16">
        <f>SUM(K595:K596)</f>
        <v>3471</v>
      </c>
      <c r="L606" s="9">
        <f t="shared" si="17"/>
        <v>11.846012081498925</v>
      </c>
      <c r="M606" s="8" t="str">
        <f t="shared" si="16"/>
        <v>Perlu Pengendalian</v>
      </c>
    </row>
    <row r="607" spans="1:13" x14ac:dyDescent="0.15">
      <c r="A607" s="12" t="s">
        <v>322</v>
      </c>
      <c r="B607" s="24" t="s">
        <v>616</v>
      </c>
      <c r="C607" s="25" t="s">
        <v>616</v>
      </c>
      <c r="D607" s="12">
        <f>SUM(D597:D598)</f>
        <v>63</v>
      </c>
      <c r="E607" s="27">
        <f>SUM(E597:E598)</f>
        <v>1844.8899999999996</v>
      </c>
      <c r="F607" s="28"/>
      <c r="G607" s="29">
        <f>SUM(G597:G598)</f>
        <v>264202</v>
      </c>
      <c r="H607" s="18"/>
      <c r="I607" s="16">
        <f>SUM(I597:I598)</f>
        <v>24574</v>
      </c>
      <c r="J607" s="17">
        <f t="array" ref="J607">IFERROR(I607/G607*100,0)</f>
        <v>9.3012164934406254</v>
      </c>
      <c r="K607" s="16">
        <f>SUM(K597:K598)</f>
        <v>4705</v>
      </c>
      <c r="L607" s="9">
        <f t="shared" si="17"/>
        <v>19.146252136404328</v>
      </c>
      <c r="M607" s="8" t="str">
        <f t="shared" si="16"/>
        <v>Perlu Pengendalian</v>
      </c>
    </row>
    <row r="608" spans="1:13" x14ac:dyDescent="0.15">
      <c r="A608" s="12" t="s">
        <v>322</v>
      </c>
      <c r="B608" s="24" t="s">
        <v>617</v>
      </c>
      <c r="C608" s="25" t="s">
        <v>617</v>
      </c>
      <c r="D608" s="12">
        <f>SUM(D599:D600)</f>
        <v>60</v>
      </c>
      <c r="E608" s="27">
        <f>SUM(E599:E600)</f>
        <v>1791.0100000000002</v>
      </c>
      <c r="F608" s="28"/>
      <c r="G608" s="29">
        <f>SUM(G599:G600)</f>
        <v>245050</v>
      </c>
      <c r="H608" s="18"/>
      <c r="I608" s="16">
        <f>SUM(I599:I600)</f>
        <v>23026</v>
      </c>
      <c r="J608" s="17">
        <f t="array" ref="J608">IFERROR(I608/G608*100,0)</f>
        <v>9.3964497041420127</v>
      </c>
      <c r="K608" s="16">
        <f>SUM(K599:K600)</f>
        <v>2599</v>
      </c>
      <c r="L608" s="9">
        <f t="shared" si="17"/>
        <v>11.287240510727004</v>
      </c>
      <c r="M608" s="8" t="str">
        <f t="shared" si="16"/>
        <v>Perlu Pengendalian</v>
      </c>
    </row>
    <row r="609" spans="1:13" outlineLevel="1" x14ac:dyDescent="0.15">
      <c r="A609" s="31" t="s">
        <v>13</v>
      </c>
      <c r="B609" s="32" t="s">
        <v>14</v>
      </c>
      <c r="C609" s="31" t="s">
        <v>14</v>
      </c>
      <c r="D609" s="31">
        <f t="array" ref="D609">SUMIFS($E$583:$E$600,$C$583:$C$600,$C609)</f>
        <v>922.57999999999993</v>
      </c>
      <c r="E609" s="33">
        <f>SUM(E601:F602)</f>
        <v>4724.2</v>
      </c>
      <c r="F609" s="34"/>
      <c r="G609" s="35">
        <f>SUM(G601:G602)</f>
        <v>650796</v>
      </c>
      <c r="H609" s="16"/>
      <c r="I609" s="16">
        <f>SUM(I601:I602)</f>
        <v>64955</v>
      </c>
      <c r="J609" s="17">
        <f t="array" ref="J609">IFERROR(I609/G609*100,0)</f>
        <v>9.9808542154530766</v>
      </c>
      <c r="K609" s="16">
        <f>SUM(K601:K602)</f>
        <v>7959</v>
      </c>
      <c r="L609" s="9">
        <f t="shared" si="17"/>
        <v>12.253098298822261</v>
      </c>
      <c r="M609" s="8" t="str">
        <f t="shared" si="16"/>
        <v>Perlu Pengendalian</v>
      </c>
    </row>
    <row r="610" spans="1:13" outlineLevel="1" x14ac:dyDescent="0.15">
      <c r="A610" s="31" t="s">
        <v>13</v>
      </c>
      <c r="B610" s="32" t="s">
        <v>47</v>
      </c>
      <c r="C610" s="31" t="s">
        <v>47</v>
      </c>
      <c r="D610" s="31">
        <f t="array" ref="D610">SUMIFS($E$583:$E$600,$C$583:$C$600,$C610)</f>
        <v>1001.2800000000001</v>
      </c>
      <c r="E610" s="33">
        <f>SUM(E603:F604)</f>
        <v>3939.8999999999996</v>
      </c>
      <c r="F610" s="34"/>
      <c r="G610" s="35">
        <f>SUM(G603:G604)</f>
        <v>567781</v>
      </c>
      <c r="H610" s="16"/>
      <c r="I610" s="16">
        <f>SUM(I603:I604)</f>
        <v>55254</v>
      </c>
      <c r="J610" s="17">
        <f t="array" ref="J610">IFERROR(I610/G610*100,0)</f>
        <v>9.7315690380622097</v>
      </c>
      <c r="K610" s="16">
        <f>SUM(K603:K604)</f>
        <v>4870</v>
      </c>
      <c r="L610" s="9">
        <f t="shared" si="17"/>
        <v>8.8138415318348002</v>
      </c>
      <c r="M610" s="8" t="str">
        <f t="shared" si="16"/>
        <v>Perlu Pengendalian</v>
      </c>
    </row>
    <row r="611" spans="1:13" x14ac:dyDescent="0.15">
      <c r="A611" s="31" t="s">
        <v>322</v>
      </c>
      <c r="B611" s="32" t="s">
        <v>79</v>
      </c>
      <c r="C611" s="31" t="s">
        <v>79</v>
      </c>
      <c r="D611" s="31">
        <f t="array" ref="D611">SUMIFS($E$583:$E$600,$C$583:$C$600,$C611)</f>
        <v>940.47</v>
      </c>
      <c r="E611" s="33">
        <f>SUM(E605:F606)</f>
        <v>4441.93</v>
      </c>
      <c r="F611" s="34"/>
      <c r="G611" s="35">
        <f>SUM(G605:G606)</f>
        <v>629573</v>
      </c>
      <c r="H611" s="16"/>
      <c r="I611" s="16">
        <f>SUM(I605:I606)</f>
        <v>62792</v>
      </c>
      <c r="J611" s="17">
        <f t="array" ref="J611">IFERROR(I611/G611*100,0)</f>
        <v>9.973744109102519</v>
      </c>
      <c r="K611" s="16">
        <f>SUM(K605:K606)</f>
        <v>7577</v>
      </c>
      <c r="L611" s="9">
        <f t="shared" si="17"/>
        <v>12.06682379921009</v>
      </c>
      <c r="M611" s="8" t="str">
        <f t="shared" si="16"/>
        <v>Perlu Pengendalian</v>
      </c>
    </row>
    <row r="612" spans="1:13" x14ac:dyDescent="0.15">
      <c r="A612" s="31" t="s">
        <v>322</v>
      </c>
      <c r="B612" s="32" t="s">
        <v>107</v>
      </c>
      <c r="C612" s="31" t="s">
        <v>107</v>
      </c>
      <c r="D612" s="31">
        <f t="array" ref="D612">SUMIFS($E$583:$E$600,$C$583:$C$600,$C612)</f>
        <v>961.00000000000023</v>
      </c>
      <c r="E612" s="33">
        <f>SUM(E607:F608)</f>
        <v>3635.8999999999996</v>
      </c>
      <c r="F612" s="34"/>
      <c r="G612" s="35">
        <f>SUM(G607:G608)</f>
        <v>509252</v>
      </c>
      <c r="H612" s="16"/>
      <c r="I612" s="16">
        <f>SUM(I607:I608)</f>
        <v>47600</v>
      </c>
      <c r="J612" s="17">
        <f t="array" ref="J612">IFERROR(I612/G612*100,0)</f>
        <v>9.3470423287488327</v>
      </c>
      <c r="K612" s="16">
        <f>SUM(K607:K608)</f>
        <v>7304</v>
      </c>
      <c r="L612" s="9">
        <f t="shared" si="17"/>
        <v>15.344537815126049</v>
      </c>
      <c r="M612" s="8" t="str">
        <f t="shared" si="16"/>
        <v>Perlu Pengendalian</v>
      </c>
    </row>
    <row r="613" spans="1:13" x14ac:dyDescent="0.15">
      <c r="A613" s="31" t="s">
        <v>618</v>
      </c>
      <c r="B613" s="36"/>
      <c r="C613" s="37"/>
      <c r="D613" s="31">
        <f>SUM(D609:D612)</f>
        <v>3825.33</v>
      </c>
      <c r="E613" s="38">
        <f>SUM(E609:F612)</f>
        <v>16741.93</v>
      </c>
      <c r="F613" s="39"/>
      <c r="G613" s="35">
        <f>SUM(G609:G612)</f>
        <v>2357402</v>
      </c>
      <c r="H613" s="40"/>
      <c r="I613" s="16">
        <f>SUM(I609:I612)</f>
        <v>230601</v>
      </c>
      <c r="J613" s="17">
        <f t="array" ref="J613">IFERROR(I613/G613*100,0)</f>
        <v>9.7819973004180021</v>
      </c>
      <c r="K613" s="16">
        <f>SUM(K609:K612)</f>
        <v>27710</v>
      </c>
      <c r="L613" s="9">
        <f t="shared" si="17"/>
        <v>12.016426641688458</v>
      </c>
      <c r="M613" s="8" t="str">
        <f t="shared" si="16"/>
        <v>Perlu Pengendalian</v>
      </c>
    </row>
    <row r="615" spans="1:13" x14ac:dyDescent="0.15">
      <c r="G615" s="195">
        <f>G613/E613</f>
        <v>140.80825806821554</v>
      </c>
    </row>
    <row r="625" spans="1:7" x14ac:dyDescent="0.15">
      <c r="A625" s="41"/>
    </row>
    <row r="635" spans="1:7" x14ac:dyDescent="0.15">
      <c r="G635" s="42"/>
    </row>
  </sheetData>
  <autoFilter ref="A5:M5" xr:uid="{56982254-9FC2-40E4-AA20-F825D027E2ED}"/>
  <mergeCells count="13">
    <mergeCell ref="M3:M4"/>
    <mergeCell ref="J3:J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K3:K4"/>
    <mergeCell ref="L3:L4"/>
  </mergeCells>
  <conditionalFormatting sqref="L6:L613">
    <cfRule type="cellIs" dxfId="438" priority="1" operator="equal">
      <formula>"-"</formula>
    </cfRule>
    <cfRule type="cellIs" dxfId="437" priority="2" operator="greaterThan">
      <formula>5</formula>
    </cfRule>
    <cfRule type="cellIs" dxfId="436" priority="3" operator="between">
      <formula>2</formula>
      <formula>5</formula>
    </cfRule>
    <cfRule type="cellIs" dxfId="435" priority="4" operator="lessThan">
      <formula>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FBA60-83A9-44B6-8334-066EF1E6BEC9}">
  <sheetPr>
    <tabColor rgb="FF92D050"/>
  </sheetPr>
  <dimension ref="A1:AB631"/>
  <sheetViews>
    <sheetView zoomScale="72" zoomScaleNormal="115" workbookViewId="0">
      <pane xSplit="1" ySplit="5" topLeftCell="B6" activePane="bottomRight" state="frozen"/>
      <selection activeCell="V294" sqref="V158:V294"/>
      <selection pane="topRight" activeCell="V294" sqref="V158:V294"/>
      <selection pane="bottomLeft" activeCell="V294" sqref="V158:V294"/>
      <selection pane="bottomRight" activeCell="A2" sqref="A2"/>
    </sheetView>
  </sheetViews>
  <sheetFormatPr baseColWidth="10" defaultColWidth="8.6640625" defaultRowHeight="14" outlineLevelRow="1" outlineLevelCol="1" x14ac:dyDescent="0.15"/>
  <cols>
    <col min="1" max="1" width="12.5" style="3" customWidth="1"/>
    <col min="2" max="2" width="9.83203125" style="3" bestFit="1" customWidth="1" outlineLevel="1"/>
    <col min="3" max="3" width="16.33203125" style="3" customWidth="1"/>
    <col min="4" max="4" width="10.33203125" style="3" customWidth="1"/>
    <col min="5" max="5" width="10.6640625" style="3" customWidth="1"/>
    <col min="6" max="6" width="18.33203125" style="3" customWidth="1" outlineLevel="1"/>
    <col min="7" max="13" width="15.83203125" style="3" customWidth="1"/>
    <col min="14" max="14" width="13.5" style="2" customWidth="1"/>
    <col min="15" max="15" width="14.1640625" style="2" customWidth="1"/>
    <col min="16" max="16" width="17.1640625" style="2" customWidth="1"/>
    <col min="17" max="17" width="21.5" style="2" customWidth="1"/>
    <col min="18" max="18" width="11.1640625" style="3" customWidth="1"/>
    <col min="19" max="19" width="26.6640625" style="3" bestFit="1" customWidth="1"/>
    <col min="20" max="21" width="26.6640625" style="3" customWidth="1"/>
    <col min="22" max="22" width="11.83203125" style="3" customWidth="1"/>
    <col min="23" max="23" width="11.5" style="3" customWidth="1"/>
    <col min="24" max="24" width="19.1640625" style="3" customWidth="1"/>
    <col min="25" max="25" width="8.6640625" style="3"/>
    <col min="26" max="26" width="16.6640625" style="3" bestFit="1" customWidth="1"/>
    <col min="27" max="27" width="24.1640625" style="3" customWidth="1"/>
    <col min="28" max="28" width="16.6640625" style="3" customWidth="1"/>
    <col min="29" max="16384" width="8.6640625" style="3"/>
  </cols>
  <sheetData>
    <row r="1" spans="1:28" x14ac:dyDescent="0.15">
      <c r="H1" s="277" t="s">
        <v>2286</v>
      </c>
      <c r="I1" s="277"/>
      <c r="J1" s="277"/>
      <c r="K1" s="277"/>
      <c r="L1" s="277"/>
      <c r="M1" s="277"/>
    </row>
    <row r="2" spans="1:28" ht="16" x14ac:dyDescent="0.2">
      <c r="A2" s="1" t="s">
        <v>2293</v>
      </c>
      <c r="B2" s="2"/>
      <c r="C2" s="2"/>
      <c r="D2" s="2"/>
      <c r="E2" s="2"/>
      <c r="F2" s="2"/>
      <c r="G2" s="2"/>
      <c r="H2" s="278" t="s">
        <v>2097</v>
      </c>
      <c r="I2" s="278"/>
      <c r="J2" s="278"/>
      <c r="K2" s="278"/>
      <c r="L2" s="278"/>
      <c r="M2" s="278"/>
      <c r="N2" s="279" t="s">
        <v>938</v>
      </c>
      <c r="O2" s="280"/>
      <c r="P2" s="280"/>
      <c r="Q2" s="280"/>
      <c r="R2" s="280"/>
      <c r="S2" s="280"/>
      <c r="T2" s="280"/>
      <c r="U2" s="281"/>
      <c r="V2" s="282" t="s">
        <v>1742</v>
      </c>
      <c r="W2" s="283"/>
      <c r="X2" s="283"/>
      <c r="Y2" s="283"/>
      <c r="Z2" s="283"/>
      <c r="AA2" s="283"/>
      <c r="AB2" s="283"/>
    </row>
    <row r="3" spans="1:28" ht="13.75" customHeight="1" x14ac:dyDescent="0.15">
      <c r="A3" s="276" t="s">
        <v>1</v>
      </c>
      <c r="B3" s="276" t="s">
        <v>2</v>
      </c>
      <c r="C3" s="276" t="s">
        <v>3</v>
      </c>
      <c r="D3" s="276" t="s">
        <v>4</v>
      </c>
      <c r="E3" s="276" t="s">
        <v>5</v>
      </c>
      <c r="F3" s="276" t="s">
        <v>6</v>
      </c>
      <c r="G3" s="284" t="s">
        <v>7</v>
      </c>
      <c r="H3" s="275" t="s">
        <v>8</v>
      </c>
      <c r="I3" s="275" t="s">
        <v>2091</v>
      </c>
      <c r="J3" s="275" t="s">
        <v>626</v>
      </c>
      <c r="K3" s="275" t="s">
        <v>627</v>
      </c>
      <c r="L3" s="275" t="s">
        <v>10</v>
      </c>
      <c r="M3" s="276" t="s">
        <v>11</v>
      </c>
      <c r="N3" s="271" t="s">
        <v>8</v>
      </c>
      <c r="O3" s="271" t="s">
        <v>9</v>
      </c>
      <c r="P3" s="271" t="s">
        <v>626</v>
      </c>
      <c r="Q3" s="271" t="s">
        <v>627</v>
      </c>
      <c r="R3" s="271" t="s">
        <v>10</v>
      </c>
      <c r="S3" s="273" t="s">
        <v>11</v>
      </c>
      <c r="T3" s="271" t="s">
        <v>2096</v>
      </c>
      <c r="U3" s="271" t="s">
        <v>10</v>
      </c>
      <c r="V3" s="271" t="s">
        <v>8</v>
      </c>
      <c r="W3" s="271" t="s">
        <v>1743</v>
      </c>
      <c r="X3" s="271" t="s">
        <v>1744</v>
      </c>
      <c r="Y3" s="271" t="s">
        <v>10</v>
      </c>
      <c r="Z3" s="273" t="s">
        <v>11</v>
      </c>
      <c r="AA3" s="275" t="s">
        <v>2096</v>
      </c>
      <c r="AB3" s="275" t="s">
        <v>10</v>
      </c>
    </row>
    <row r="4" spans="1:28" x14ac:dyDescent="0.15">
      <c r="A4" s="276"/>
      <c r="B4" s="276"/>
      <c r="C4" s="276"/>
      <c r="D4" s="276"/>
      <c r="E4" s="276"/>
      <c r="F4" s="276"/>
      <c r="G4" s="284"/>
      <c r="H4" s="275"/>
      <c r="I4" s="275"/>
      <c r="J4" s="275"/>
      <c r="K4" s="275"/>
      <c r="L4" s="275"/>
      <c r="M4" s="276"/>
      <c r="N4" s="272"/>
      <c r="O4" s="272"/>
      <c r="P4" s="272"/>
      <c r="Q4" s="272"/>
      <c r="R4" s="272"/>
      <c r="S4" s="274"/>
      <c r="T4" s="272"/>
      <c r="U4" s="272"/>
      <c r="V4" s="272"/>
      <c r="W4" s="272"/>
      <c r="X4" s="272"/>
      <c r="Y4" s="272"/>
      <c r="Z4" s="274"/>
      <c r="AA4" s="275"/>
      <c r="AB4" s="275"/>
    </row>
    <row r="5" spans="1:28" ht="10.5" customHeight="1" x14ac:dyDescent="0.15">
      <c r="A5" s="4"/>
      <c r="B5" s="4"/>
      <c r="C5" s="4"/>
      <c r="D5" s="4"/>
      <c r="E5" s="4"/>
      <c r="F5" s="4"/>
      <c r="G5" s="5"/>
      <c r="H5" s="5"/>
      <c r="I5" s="5"/>
      <c r="J5" s="5"/>
      <c r="K5" s="5"/>
      <c r="L5" s="5"/>
      <c r="M5" s="5"/>
      <c r="N5" s="6"/>
      <c r="O5" s="6"/>
      <c r="P5" s="6"/>
      <c r="Q5" s="6"/>
      <c r="R5" s="6"/>
      <c r="S5" s="7"/>
      <c r="T5" s="7"/>
      <c r="U5" s="7"/>
      <c r="V5" s="6"/>
      <c r="W5" s="6"/>
      <c r="X5" s="6"/>
      <c r="Y5" s="6"/>
      <c r="Z5" s="7"/>
      <c r="AA5" s="7"/>
      <c r="AB5" s="7"/>
    </row>
    <row r="6" spans="1:28" outlineLevel="1" x14ac:dyDescent="0.15">
      <c r="A6" s="8" t="s">
        <v>13</v>
      </c>
      <c r="B6" s="8" t="s">
        <v>14</v>
      </c>
      <c r="C6" s="8" t="s">
        <v>14</v>
      </c>
      <c r="D6" s="8" t="s">
        <v>15</v>
      </c>
      <c r="E6" s="9">
        <v>29.32</v>
      </c>
      <c r="F6" s="8" t="s">
        <v>16</v>
      </c>
      <c r="G6" s="143">
        <v>3615</v>
      </c>
      <c r="H6" s="132">
        <f t="shared" ref="H6:I21" si="0">IF(N6&gt;0,N6,V6)</f>
        <v>0</v>
      </c>
      <c r="I6" s="140">
        <f t="shared" si="0"/>
        <v>0</v>
      </c>
      <c r="J6" s="9" t="str">
        <f t="shared" ref="J6:J69" si="1">IF(P6&gt;0,P6," ")</f>
        <v xml:space="preserve"> </v>
      </c>
      <c r="K6" s="140">
        <f t="shared" ref="K6:K69" si="2">IF(Q6&gt;0,Q6,X6)</f>
        <v>0</v>
      </c>
      <c r="L6" s="206">
        <f t="shared" ref="L6:L69" si="3">IFERROR(K6/I6*100,0)</f>
        <v>0</v>
      </c>
      <c r="M6" s="8" t="str">
        <f t="array" ref="M6">IF(L6&gt;5,"Perlu Sensus",IF(AND(L6&gt;=0,I6&gt;0),"Tetap Deteksi","Belum Deteksi"))</f>
        <v>Belum Deteksi</v>
      </c>
      <c r="N6" s="132">
        <f t="array" ref="N6">INDEX('[20]LS (Deteksi) Agustus'!N$7:N$303,MATCH(1,('[20]LS (Deteksi) Agustus'!$D$7:$D$303=$D6)*('[20]LS (Deteksi) Agustus'!$D$7:$D$303=$D6),0))</f>
        <v>0</v>
      </c>
      <c r="O6" s="203">
        <f t="array" ref="O6">INDEX('[20]LS (Deteksi) Agustus'!O$7:O$303,MATCH(1,('[20]LS (Deteksi) Agustus'!$D$7:$D$303=$D6)*('[20]LS (Deteksi) Agustus'!$D$7:$D$303=$D6),0))</f>
        <v>0</v>
      </c>
      <c r="P6" s="9">
        <f t="array" ref="P6">IFERROR(O6/G6*100,0)</f>
        <v>0</v>
      </c>
      <c r="Q6" s="203">
        <f t="array" ref="Q6">INDEX('[20]LS (Deteksi) Agustus'!Q$7:Q$303,MATCH(1,('[20]LS (Deteksi) Agustus'!$D$7:$D$303=$D6)*('[20]LS (Deteksi) Agustus'!$D$7:$D$303=$D6),0))</f>
        <v>0</v>
      </c>
      <c r="R6" s="9">
        <f t="shared" ref="R6" si="4">IFERROR(Q6/O6*100,0)</f>
        <v>0</v>
      </c>
      <c r="S6" s="8" t="str">
        <f t="array" ref="S6">IF(R6&gt;5,"Perlu Sensus",IF(AND(R6&gt;=0,O6&gt;0),"Tetap Deteksi","Belum Deteksi"))</f>
        <v>Belum Deteksi</v>
      </c>
      <c r="T6" s="203">
        <f t="array" ref="T6">INDEX('[20]LS (Deteksi) Agustus'!T$7:T$303,MATCH(1,('[20]LS (Deteksi) Agustus'!$D$7:$D$303=$D6)*('[20]LS (Deteksi) Agustus'!$D$7:$D$303=$D6),0))</f>
        <v>0</v>
      </c>
      <c r="U6" s="9">
        <f>IFERROR(T6/O6*100,0)</f>
        <v>0</v>
      </c>
      <c r="V6" s="132">
        <f t="array" ref="V6">INDEX('[20]LS (Deteksi) Agustus'!V$7:V$303,MATCH(1,('[20]LS (Deteksi) Agustus'!$D$7:$D$303=$D6)*('[20]LS (Deteksi) Agustus'!$D$7:$D$303=$D6),0))</f>
        <v>0</v>
      </c>
      <c r="W6" s="203">
        <f t="array" ref="W6">INDEX('[20]LS (Deteksi) Agustus'!W$7:W$303,MATCH(1,('[20]LS (Deteksi) Agustus'!$D$7:$D$303=$D6)*('[20]LS (Deteksi) Agustus'!$D$7:$D$303=$D6),0))</f>
        <v>0</v>
      </c>
      <c r="X6" s="203">
        <f t="array" ref="X6">INDEX('[20]LS (Deteksi) Agustus'!X$7:X$303,MATCH(1,('[20]LS (Deteksi) Agustus'!$D$7:$D$303=$D6)*('[20]LS (Deteksi) Agustus'!$D$7:$D$303=$D6),0))</f>
        <v>0</v>
      </c>
      <c r="Y6" s="9">
        <f t="shared" ref="Y6" si="5">IFERROR(X6/W6*100,0)</f>
        <v>0</v>
      </c>
      <c r="Z6" s="8" t="str">
        <f t="array" ref="Z6">IF(Y6&gt;5,"Perlu Sensus",IF(AND(Y6&gt;0,,O6&gt;0),"Tetap Deteksi","Belum Deteksi"))</f>
        <v>Belum Deteksi</v>
      </c>
      <c r="AA6" s="203">
        <f t="array" ref="AA6">INDEX('[20]LS (Deteksi) Agustus'!AA$7:AA$303,MATCH(1,('[20]LS (Deteksi) Agustus'!$D$7:$D$303=$D6)*('[20]LS (Deteksi) Agustus'!$D$7:$D$303=$D6),0))</f>
        <v>0</v>
      </c>
      <c r="AB6" s="9">
        <f>IFERROR(AA6/W6*100,0)</f>
        <v>0</v>
      </c>
    </row>
    <row r="7" spans="1:28" outlineLevel="1" x14ac:dyDescent="0.15">
      <c r="A7" s="8" t="s">
        <v>13</v>
      </c>
      <c r="B7" s="8" t="s">
        <v>14</v>
      </c>
      <c r="C7" s="8" t="s">
        <v>14</v>
      </c>
      <c r="D7" s="8" t="s">
        <v>17</v>
      </c>
      <c r="E7" s="9">
        <v>22.39</v>
      </c>
      <c r="F7" s="8" t="s">
        <v>16</v>
      </c>
      <c r="G7" s="143">
        <v>3145</v>
      </c>
      <c r="H7" s="132">
        <f t="shared" si="0"/>
        <v>0</v>
      </c>
      <c r="I7" s="140">
        <f t="shared" si="0"/>
        <v>0</v>
      </c>
      <c r="J7" s="9" t="str">
        <f t="shared" si="1"/>
        <v xml:space="preserve"> </v>
      </c>
      <c r="K7" s="140">
        <f t="shared" si="2"/>
        <v>0</v>
      </c>
      <c r="L7" s="206">
        <f t="shared" si="3"/>
        <v>0</v>
      </c>
      <c r="M7" s="8" t="str">
        <f t="array" ref="M7">IF(L7&gt;5,"Perlu Sensus",IF(AND(L7&gt;=0,I7&gt;0),"Tetap Deteksi","Belum Deteksi"))</f>
        <v>Belum Deteksi</v>
      </c>
      <c r="N7" s="132">
        <f t="array" ref="N7">INDEX('[20]LS (Deteksi) Agustus'!N$7:N$303,MATCH(1,('[20]LS (Deteksi) Agustus'!$D$7:$D$303=$D7)*('[20]LS (Deteksi) Agustus'!$D$7:$D$303=$D7),0))</f>
        <v>0</v>
      </c>
      <c r="O7" s="203">
        <f t="array" ref="O7">INDEX('[20]LS (Deteksi) Agustus'!O$7:O$303,MATCH(1,('[20]LS (Deteksi) Agustus'!$D$7:$D$303=$D7)*('[20]LS (Deteksi) Agustus'!$D$7:$D$303=$D7),0))</f>
        <v>0</v>
      </c>
      <c r="P7" s="9">
        <f t="array" ref="P7">IFERROR(O7/G7*100,0)</f>
        <v>0</v>
      </c>
      <c r="Q7" s="203">
        <f t="array" ref="Q7">INDEX('[20]LS (Deteksi) Agustus'!Q$7:Q$303,MATCH(1,('[20]LS (Deteksi) Agustus'!$D$7:$D$303=$D7)*('[20]LS (Deteksi) Agustus'!$D$7:$D$303=$D7),0))</f>
        <v>0</v>
      </c>
      <c r="R7" s="9">
        <f t="shared" ref="R7:R70" si="6">IFERROR(Q7/O7*100,0)</f>
        <v>0</v>
      </c>
      <c r="S7" s="8" t="str">
        <f t="array" ref="S7">IF(R7&gt;5,"Perlu Sensus",IF(AND(R7&gt;=0,O7&gt;0),"Tetap Deteksi","Belum Deteksi"))</f>
        <v>Belum Deteksi</v>
      </c>
      <c r="T7" s="203">
        <f t="array" ref="T7">INDEX('[20]LS (Deteksi) Agustus'!T$7:T$303,MATCH(1,('[20]LS (Deteksi) Agustus'!$D$7:$D$303=$D7)*('[20]LS (Deteksi) Agustus'!$D$7:$D$303=$D7),0))</f>
        <v>0</v>
      </c>
      <c r="U7" s="9">
        <f t="shared" ref="U7:U70" si="7">IFERROR(T7/O7*100,0)</f>
        <v>0</v>
      </c>
      <c r="V7" s="132">
        <f t="array" ref="V7">INDEX('[20]LS (Deteksi) Agustus'!V$7:V$303,MATCH(1,('[20]LS (Deteksi) Agustus'!$D$7:$D$303=$D7)*('[20]LS (Deteksi) Agustus'!$D$7:$D$303=$D7),0))</f>
        <v>0</v>
      </c>
      <c r="W7" s="203">
        <f t="array" ref="W7">INDEX('[20]LS (Deteksi) Agustus'!W$7:W$303,MATCH(1,('[20]LS (Deteksi) Agustus'!$D$7:$D$303=$D7)*('[20]LS (Deteksi) Agustus'!$D$7:$D$303=$D7),0))</f>
        <v>0</v>
      </c>
      <c r="X7" s="203">
        <f t="array" ref="X7">INDEX('[20]LS (Deteksi) Agustus'!X$7:X$303,MATCH(1,('[20]LS (Deteksi) Agustus'!$D$7:$D$303=$D7)*('[20]LS (Deteksi) Agustus'!$D$7:$D$303=$D7),0))</f>
        <v>0</v>
      </c>
      <c r="Y7" s="9">
        <f t="shared" ref="Y7:Y70" si="8">IFERROR(X7/W7*100,0)</f>
        <v>0</v>
      </c>
      <c r="Z7" s="8" t="str">
        <f t="array" ref="Z7">IF(Y7&gt;5,"Perlu Sensus",IF(AND(Y7&gt;0,,O7&gt;0),"Tetap Deteksi","Belum Deteksi"))</f>
        <v>Belum Deteksi</v>
      </c>
      <c r="AA7" s="203">
        <f t="array" ref="AA7">INDEX('[20]LS (Deteksi) Agustus'!AA$7:AA$303,MATCH(1,('[20]LS (Deteksi) Agustus'!$D$7:$D$303=$D7)*('[20]LS (Deteksi) Agustus'!$D$7:$D$303=$D7),0))</f>
        <v>0</v>
      </c>
      <c r="AB7" s="9">
        <f t="shared" ref="AB7:AB70" si="9">IFERROR(AA7/W7*100,0)</f>
        <v>0</v>
      </c>
    </row>
    <row r="8" spans="1:28" outlineLevel="1" x14ac:dyDescent="0.15">
      <c r="A8" s="8" t="s">
        <v>13</v>
      </c>
      <c r="B8" s="8" t="s">
        <v>14</v>
      </c>
      <c r="C8" s="8" t="s">
        <v>14</v>
      </c>
      <c r="D8" s="8" t="s">
        <v>18</v>
      </c>
      <c r="E8" s="9">
        <v>25.74</v>
      </c>
      <c r="F8" s="8" t="s">
        <v>16</v>
      </c>
      <c r="G8" s="143">
        <v>3551</v>
      </c>
      <c r="H8" s="132">
        <f t="shared" si="0"/>
        <v>46244</v>
      </c>
      <c r="I8" s="140">
        <f t="shared" si="0"/>
        <v>78</v>
      </c>
      <c r="J8" s="9">
        <f t="shared" si="1"/>
        <v>2.1965643480709658</v>
      </c>
      <c r="K8" s="140">
        <f t="shared" si="2"/>
        <v>3</v>
      </c>
      <c r="L8" s="206">
        <f t="shared" si="3"/>
        <v>3.8461538461538463</v>
      </c>
      <c r="M8" s="8" t="str">
        <f t="array" ref="M8">IF(L8&gt;5,"Perlu Sensus",IF(AND(L8&gt;=0,I8&gt;0),"Tetap Deteksi","Belum Deteksi"))</f>
        <v>Tetap Deteksi</v>
      </c>
      <c r="N8" s="132">
        <f t="array" ref="N8">INDEX('[20]LS (Deteksi) Agustus'!N$7:N$303,MATCH(1,('[20]LS (Deteksi) Agustus'!$D$7:$D$303=$D8)*('[20]LS (Deteksi) Agustus'!$D$7:$D$303=$D8),0))</f>
        <v>46244</v>
      </c>
      <c r="O8" s="203">
        <f t="array" ref="O8">INDEX('[20]LS (Deteksi) Agustus'!O$7:O$303,MATCH(1,('[20]LS (Deteksi) Agustus'!$D$7:$D$303=$D8)*('[20]LS (Deteksi) Agustus'!$D$7:$D$303=$D8),0))</f>
        <v>78</v>
      </c>
      <c r="P8" s="9">
        <f t="array" ref="P8">IFERROR(O8/G8*100,0)</f>
        <v>2.1965643480709658</v>
      </c>
      <c r="Q8" s="203">
        <f t="array" ref="Q8">INDEX('[20]LS (Deteksi) Agustus'!Q$7:Q$303,MATCH(1,('[20]LS (Deteksi) Agustus'!$D$7:$D$303=$D8)*('[20]LS (Deteksi) Agustus'!$D$7:$D$303=$D8),0))</f>
        <v>3</v>
      </c>
      <c r="R8" s="9">
        <f t="shared" si="6"/>
        <v>3.8461538461538463</v>
      </c>
      <c r="S8" s="8" t="str">
        <f t="array" ref="S8">IF(R8&gt;5,"Perlu Sensus",IF(AND(R8&gt;=0,O8&gt;0),"Tetap Deteksi","Belum Deteksi"))</f>
        <v>Tetap Deteksi</v>
      </c>
      <c r="T8" s="203">
        <f t="array" ref="T8">INDEX('[20]LS (Deteksi) Agustus'!T$7:T$303,MATCH(1,('[20]LS (Deteksi) Agustus'!$D$7:$D$303=$D8)*('[20]LS (Deteksi) Agustus'!$D$7:$D$303=$D8),0))</f>
        <v>5</v>
      </c>
      <c r="U8" s="9">
        <f t="shared" si="7"/>
        <v>6.4102564102564097</v>
      </c>
      <c r="V8" s="132">
        <f t="array" ref="V8">INDEX('[20]LS (Deteksi) Agustus'!V$7:V$303,MATCH(1,('[20]LS (Deteksi) Agustus'!$D$7:$D$303=$D8)*('[20]LS (Deteksi) Agustus'!$D$7:$D$303=$D8),0))</f>
        <v>46245</v>
      </c>
      <c r="W8" s="203">
        <f t="array" ref="W8">INDEX('[20]LS (Deteksi) Agustus'!W$7:W$303,MATCH(1,('[20]LS (Deteksi) Agustus'!$D$7:$D$303=$D8)*('[20]LS (Deteksi) Agustus'!$D$7:$D$303=$D8),0))</f>
        <v>189</v>
      </c>
      <c r="X8" s="203">
        <f t="array" ref="X8">INDEX('[20]LS (Deteksi) Agustus'!X$7:X$303,MATCH(1,('[20]LS (Deteksi) Agustus'!$D$7:$D$303=$D8)*('[20]LS (Deteksi) Agustus'!$D$7:$D$303=$D8),0))</f>
        <v>4</v>
      </c>
      <c r="Y8" s="9">
        <f t="shared" si="8"/>
        <v>2.1164021164021163</v>
      </c>
      <c r="Z8" s="8" t="str">
        <f t="array" ref="Z8">IF(Y8&gt;5,"Perlu Sensus",IF(AND(Y8&gt;0,,O8&gt;0),"Tetap Deteksi","Belum Deteksi"))</f>
        <v>Belum Deteksi</v>
      </c>
      <c r="AA8" s="203">
        <f t="array" ref="AA8">INDEX('[20]LS (Deteksi) Agustus'!AA$7:AA$303,MATCH(1,('[20]LS (Deteksi) Agustus'!$D$7:$D$303=$D8)*('[20]LS (Deteksi) Agustus'!$D$7:$D$303=$D8),0))</f>
        <v>13</v>
      </c>
      <c r="AB8" s="9">
        <f t="shared" si="9"/>
        <v>6.8783068783068781</v>
      </c>
    </row>
    <row r="9" spans="1:28" outlineLevel="1" x14ac:dyDescent="0.15">
      <c r="A9" s="8" t="s">
        <v>13</v>
      </c>
      <c r="B9" s="8" t="s">
        <v>14</v>
      </c>
      <c r="C9" s="8" t="s">
        <v>14</v>
      </c>
      <c r="D9" s="8" t="s">
        <v>19</v>
      </c>
      <c r="E9" s="9">
        <v>29.3</v>
      </c>
      <c r="F9" s="8" t="s">
        <v>16</v>
      </c>
      <c r="G9" s="143">
        <v>4705</v>
      </c>
      <c r="H9" s="132">
        <f t="shared" si="0"/>
        <v>46244</v>
      </c>
      <c r="I9" s="140">
        <f t="shared" si="0"/>
        <v>54</v>
      </c>
      <c r="J9" s="9">
        <f t="shared" si="1"/>
        <v>1.1477151965993624</v>
      </c>
      <c r="K9" s="140">
        <f t="shared" si="2"/>
        <v>3</v>
      </c>
      <c r="L9" s="206">
        <f t="shared" si="3"/>
        <v>5.5555555555555554</v>
      </c>
      <c r="M9" s="8" t="str">
        <f t="array" ref="M9">IF(L9&gt;5,"Perlu Sensus",IF(AND(L9&gt;=0,I9&gt;0),"Tetap Deteksi","Belum Deteksi"))</f>
        <v>Perlu Sensus</v>
      </c>
      <c r="N9" s="132">
        <f t="array" ref="N9">INDEX('[20]LS (Deteksi) Agustus'!N$7:N$303,MATCH(1,('[20]LS (Deteksi) Agustus'!$D$7:$D$303=$D9)*('[20]LS (Deteksi) Agustus'!$D$7:$D$303=$D9),0))</f>
        <v>46244</v>
      </c>
      <c r="O9" s="203">
        <f t="array" ref="O9">INDEX('[20]LS (Deteksi) Agustus'!O$7:O$303,MATCH(1,('[20]LS (Deteksi) Agustus'!$D$7:$D$303=$D9)*('[20]LS (Deteksi) Agustus'!$D$7:$D$303=$D9),0))</f>
        <v>54</v>
      </c>
      <c r="P9" s="9">
        <f t="array" ref="P9">IFERROR(O9/G9*100,0)</f>
        <v>1.1477151965993624</v>
      </c>
      <c r="Q9" s="203">
        <f t="array" ref="Q9">INDEX('[20]LS (Deteksi) Agustus'!Q$7:Q$303,MATCH(1,('[20]LS (Deteksi) Agustus'!$D$7:$D$303=$D9)*('[20]LS (Deteksi) Agustus'!$D$7:$D$303=$D9),0))</f>
        <v>3</v>
      </c>
      <c r="R9" s="9">
        <f t="shared" si="6"/>
        <v>5.5555555555555554</v>
      </c>
      <c r="S9" s="8" t="str">
        <f t="array" ref="S9">IF(R9&gt;5,"Perlu Sensus",IF(AND(R9&gt;=0,O9&gt;0),"Tetap Deteksi","Belum Deteksi"))</f>
        <v>Perlu Sensus</v>
      </c>
      <c r="T9" s="203">
        <f t="array" ref="T9">INDEX('[20]LS (Deteksi) Agustus'!T$7:T$303,MATCH(1,('[20]LS (Deteksi) Agustus'!$D$7:$D$303=$D9)*('[20]LS (Deteksi) Agustus'!$D$7:$D$303=$D9),0))</f>
        <v>18</v>
      </c>
      <c r="U9" s="9">
        <f t="shared" si="7"/>
        <v>33.333333333333329</v>
      </c>
      <c r="V9" s="132">
        <f t="array" ref="V9">INDEX('[20]LS (Deteksi) Agustus'!V$7:V$303,MATCH(1,('[20]LS (Deteksi) Agustus'!$D$7:$D$303=$D9)*('[20]LS (Deteksi) Agustus'!$D$7:$D$303=$D9),0))</f>
        <v>46245</v>
      </c>
      <c r="W9" s="203">
        <f t="array" ref="W9">INDEX('[20]LS (Deteksi) Agustus'!W$7:W$303,MATCH(1,('[20]LS (Deteksi) Agustus'!$D$7:$D$303=$D9)*('[20]LS (Deteksi) Agustus'!$D$7:$D$303=$D9),0))</f>
        <v>210</v>
      </c>
      <c r="X9" s="203">
        <f t="array" ref="X9">INDEX('[20]LS (Deteksi) Agustus'!X$7:X$303,MATCH(1,('[20]LS (Deteksi) Agustus'!$D$7:$D$303=$D9)*('[20]LS (Deteksi) Agustus'!$D$7:$D$303=$D9),0))</f>
        <v>6</v>
      </c>
      <c r="Y9" s="9">
        <f t="shared" si="8"/>
        <v>2.8571428571428572</v>
      </c>
      <c r="Z9" s="8" t="str">
        <f t="array" ref="Z9">IF(Y9&gt;5,"Perlu Sensus",IF(AND(Y9&gt;0,,O9&gt;0),"Tetap Deteksi","Belum Deteksi"))</f>
        <v>Belum Deteksi</v>
      </c>
      <c r="AA9" s="203">
        <f t="array" ref="AA9">INDEX('[20]LS (Deteksi) Agustus'!AA$7:AA$303,MATCH(1,('[20]LS (Deteksi) Agustus'!$D$7:$D$303=$D9)*('[20]LS (Deteksi) Agustus'!$D$7:$D$303=$D9),0))</f>
        <v>16</v>
      </c>
      <c r="AB9" s="9">
        <f t="shared" si="9"/>
        <v>7.6190476190476195</v>
      </c>
    </row>
    <row r="10" spans="1:28" outlineLevel="1" x14ac:dyDescent="0.15">
      <c r="A10" s="8" t="s">
        <v>13</v>
      </c>
      <c r="B10" s="8" t="s">
        <v>14</v>
      </c>
      <c r="C10" s="8" t="s">
        <v>14</v>
      </c>
      <c r="D10" s="8" t="s">
        <v>20</v>
      </c>
      <c r="E10" s="9">
        <v>31.12</v>
      </c>
      <c r="F10" s="8" t="s">
        <v>16</v>
      </c>
      <c r="G10" s="143">
        <v>4836</v>
      </c>
      <c r="H10" s="132">
        <f t="shared" si="0"/>
        <v>46247</v>
      </c>
      <c r="I10" s="140">
        <f t="shared" si="0"/>
        <v>176</v>
      </c>
      <c r="J10" s="9" t="str">
        <f t="shared" si="1"/>
        <v xml:space="preserve"> </v>
      </c>
      <c r="K10" s="140">
        <f t="shared" si="2"/>
        <v>9</v>
      </c>
      <c r="L10" s="206">
        <f t="shared" si="3"/>
        <v>5.1136363636363642</v>
      </c>
      <c r="M10" s="8" t="str">
        <f t="array" ref="M10">IF(L10&gt;5,"Perlu Sensus",IF(AND(L10&gt;=0,I10&gt;0),"Tetap Deteksi","Belum Deteksi"))</f>
        <v>Perlu Sensus</v>
      </c>
      <c r="N10" s="132">
        <f t="array" ref="N10">INDEX('[20]LS (Deteksi) Agustus'!N$7:N$303,MATCH(1,('[20]LS (Deteksi) Agustus'!$D$7:$D$303=$D10)*('[20]LS (Deteksi) Agustus'!$D$7:$D$303=$D10),0))</f>
        <v>0</v>
      </c>
      <c r="O10" s="203">
        <f t="array" ref="O10">INDEX('[20]LS (Deteksi) Agustus'!O$7:O$303,MATCH(1,('[20]LS (Deteksi) Agustus'!$D$7:$D$303=$D10)*('[20]LS (Deteksi) Agustus'!$D$7:$D$303=$D10),0))</f>
        <v>0</v>
      </c>
      <c r="P10" s="9">
        <f t="array" ref="P10">IFERROR(O10/G10*100,0)</f>
        <v>0</v>
      </c>
      <c r="Q10" s="203">
        <f t="array" ref="Q10">INDEX('[20]LS (Deteksi) Agustus'!Q$7:Q$303,MATCH(1,('[20]LS (Deteksi) Agustus'!$D$7:$D$303=$D10)*('[20]LS (Deteksi) Agustus'!$D$7:$D$303=$D10),0))</f>
        <v>0</v>
      </c>
      <c r="R10" s="9">
        <f t="shared" si="6"/>
        <v>0</v>
      </c>
      <c r="S10" s="8" t="str">
        <f t="array" ref="S10">IF(R10&gt;5,"Perlu Sensus",IF(AND(R10&gt;=0,O10&gt;0),"Tetap Deteksi","Belum Deteksi"))</f>
        <v>Belum Deteksi</v>
      </c>
      <c r="T10" s="203">
        <f t="array" ref="T10">INDEX('[20]LS (Deteksi) Agustus'!T$7:T$303,MATCH(1,('[20]LS (Deteksi) Agustus'!$D$7:$D$303=$D10)*('[20]LS (Deteksi) Agustus'!$D$7:$D$303=$D10),0))</f>
        <v>0</v>
      </c>
      <c r="U10" s="9">
        <f t="shared" si="7"/>
        <v>0</v>
      </c>
      <c r="V10" s="132">
        <f t="array" ref="V10">INDEX('[20]LS (Deteksi) Agustus'!V$7:V$303,MATCH(1,('[20]LS (Deteksi) Agustus'!$D$7:$D$303=$D10)*('[20]LS (Deteksi) Agustus'!$D$7:$D$303=$D10),0))</f>
        <v>46247</v>
      </c>
      <c r="W10" s="203">
        <f t="array" ref="W10">INDEX('[20]LS (Deteksi) Agustus'!W$7:W$303,MATCH(1,('[20]LS (Deteksi) Agustus'!$D$7:$D$303=$D10)*('[20]LS (Deteksi) Agustus'!$D$7:$D$303=$D10),0))</f>
        <v>176</v>
      </c>
      <c r="X10" s="203">
        <f t="array" ref="X10">INDEX('[20]LS (Deteksi) Agustus'!X$7:X$303,MATCH(1,('[20]LS (Deteksi) Agustus'!$D$7:$D$303=$D10)*('[20]LS (Deteksi) Agustus'!$D$7:$D$303=$D10),0))</f>
        <v>9</v>
      </c>
      <c r="Y10" s="9">
        <f t="shared" si="8"/>
        <v>5.1136363636363642</v>
      </c>
      <c r="Z10" s="8" t="str">
        <f t="array" ref="Z10">IF(Y10&gt;5,"Perlu Sensus",IF(AND(Y10&gt;0,,O10&gt;0),"Tetap Deteksi","Belum Deteksi"))</f>
        <v>Perlu Sensus</v>
      </c>
      <c r="AA10" s="203">
        <f t="array" ref="AA10">INDEX('[20]LS (Deteksi) Agustus'!AA$7:AA$303,MATCH(1,('[20]LS (Deteksi) Agustus'!$D$7:$D$303=$D10)*('[20]LS (Deteksi) Agustus'!$D$7:$D$303=$D10),0))</f>
        <v>17</v>
      </c>
      <c r="AB10" s="9">
        <f t="shared" si="9"/>
        <v>9.6590909090909083</v>
      </c>
    </row>
    <row r="11" spans="1:28" outlineLevel="1" x14ac:dyDescent="0.15">
      <c r="A11" s="8" t="s">
        <v>13</v>
      </c>
      <c r="B11" s="8" t="s">
        <v>14</v>
      </c>
      <c r="C11" s="8" t="s">
        <v>14</v>
      </c>
      <c r="D11" s="8" t="s">
        <v>21</v>
      </c>
      <c r="E11" s="9">
        <v>36.85</v>
      </c>
      <c r="F11" s="8" t="s">
        <v>16</v>
      </c>
      <c r="G11" s="143">
        <v>5351</v>
      </c>
      <c r="H11" s="132">
        <f t="shared" si="0"/>
        <v>46247</v>
      </c>
      <c r="I11" s="140">
        <f t="shared" si="0"/>
        <v>219</v>
      </c>
      <c r="J11" s="9" t="str">
        <f t="shared" si="1"/>
        <v xml:space="preserve"> </v>
      </c>
      <c r="K11" s="140">
        <f t="shared" si="2"/>
        <v>12</v>
      </c>
      <c r="L11" s="206">
        <f t="shared" si="3"/>
        <v>5.4794520547945202</v>
      </c>
      <c r="M11" s="8" t="str">
        <f t="array" ref="M11">IF(L11&gt;5,"Perlu Sensus",IF(AND(L11&gt;=0,I11&gt;0),"Tetap Deteksi","Belum Deteksi"))</f>
        <v>Perlu Sensus</v>
      </c>
      <c r="N11" s="132">
        <f t="array" ref="N11">INDEX('[20]LS (Deteksi) Agustus'!N$7:N$303,MATCH(1,('[20]LS (Deteksi) Agustus'!$D$7:$D$303=$D11)*('[20]LS (Deteksi) Agustus'!$D$7:$D$303=$D11),0))</f>
        <v>0</v>
      </c>
      <c r="O11" s="203">
        <f t="array" ref="O11">INDEX('[20]LS (Deteksi) Agustus'!O$7:O$303,MATCH(1,('[20]LS (Deteksi) Agustus'!$D$7:$D$303=$D11)*('[20]LS (Deteksi) Agustus'!$D$7:$D$303=$D11),0))</f>
        <v>0</v>
      </c>
      <c r="P11" s="9">
        <f t="array" ref="P11">IFERROR(O11/G11*100,0)</f>
        <v>0</v>
      </c>
      <c r="Q11" s="203">
        <f t="array" ref="Q11">INDEX('[20]LS (Deteksi) Agustus'!Q$7:Q$303,MATCH(1,('[20]LS (Deteksi) Agustus'!$D$7:$D$303=$D11)*('[20]LS (Deteksi) Agustus'!$D$7:$D$303=$D11),0))</f>
        <v>0</v>
      </c>
      <c r="R11" s="9">
        <f t="shared" si="6"/>
        <v>0</v>
      </c>
      <c r="S11" s="8" t="str">
        <f t="array" ref="S11">IF(R11&gt;5,"Perlu Sensus",IF(AND(R11&gt;=0,O11&gt;0),"Tetap Deteksi","Belum Deteksi"))</f>
        <v>Belum Deteksi</v>
      </c>
      <c r="T11" s="203">
        <f t="array" ref="T11">INDEX('[20]LS (Deteksi) Agustus'!T$7:T$303,MATCH(1,('[20]LS (Deteksi) Agustus'!$D$7:$D$303=$D11)*('[20]LS (Deteksi) Agustus'!$D$7:$D$303=$D11),0))</f>
        <v>0</v>
      </c>
      <c r="U11" s="9">
        <f t="shared" si="7"/>
        <v>0</v>
      </c>
      <c r="V11" s="132">
        <f t="array" ref="V11">INDEX('[20]LS (Deteksi) Agustus'!V$7:V$303,MATCH(1,('[20]LS (Deteksi) Agustus'!$D$7:$D$303=$D11)*('[20]LS (Deteksi) Agustus'!$D$7:$D$303=$D11),0))</f>
        <v>46247</v>
      </c>
      <c r="W11" s="203">
        <f t="array" ref="W11">INDEX('[20]LS (Deteksi) Agustus'!W$7:W$303,MATCH(1,('[20]LS (Deteksi) Agustus'!$D$7:$D$303=$D11)*('[20]LS (Deteksi) Agustus'!$D$7:$D$303=$D11),0))</f>
        <v>219</v>
      </c>
      <c r="X11" s="203">
        <f t="array" ref="X11">INDEX('[20]LS (Deteksi) Agustus'!X$7:X$303,MATCH(1,('[20]LS (Deteksi) Agustus'!$D$7:$D$303=$D11)*('[20]LS (Deteksi) Agustus'!$D$7:$D$303=$D11),0))</f>
        <v>12</v>
      </c>
      <c r="Y11" s="9">
        <f t="shared" si="8"/>
        <v>5.4794520547945202</v>
      </c>
      <c r="Z11" s="8" t="str">
        <f t="array" ref="Z11">IF(Y11&gt;5,"Perlu Sensus",IF(AND(Y11&gt;0,,O11&gt;0),"Tetap Deteksi","Belum Deteksi"))</f>
        <v>Perlu Sensus</v>
      </c>
      <c r="AA11" s="203">
        <f t="array" ref="AA11">INDEX('[20]LS (Deteksi) Agustus'!AA$7:AA$303,MATCH(1,('[20]LS (Deteksi) Agustus'!$D$7:$D$303=$D11)*('[20]LS (Deteksi) Agustus'!$D$7:$D$303=$D11),0))</f>
        <v>19</v>
      </c>
      <c r="AB11" s="9">
        <f t="shared" si="9"/>
        <v>8.6757990867579906</v>
      </c>
    </row>
    <row r="12" spans="1:28" outlineLevel="1" x14ac:dyDescent="0.15">
      <c r="A12" s="8" t="s">
        <v>13</v>
      </c>
      <c r="B12" s="8" t="s">
        <v>14</v>
      </c>
      <c r="C12" s="8" t="s">
        <v>14</v>
      </c>
      <c r="D12" s="8" t="s">
        <v>22</v>
      </c>
      <c r="E12" s="9">
        <v>31.93</v>
      </c>
      <c r="F12" s="8" t="s">
        <v>16</v>
      </c>
      <c r="G12" s="143">
        <v>4122</v>
      </c>
      <c r="H12" s="132">
        <f t="shared" si="0"/>
        <v>46248</v>
      </c>
      <c r="I12" s="140">
        <f t="shared" si="0"/>
        <v>176</v>
      </c>
      <c r="J12" s="9" t="str">
        <f t="shared" si="1"/>
        <v xml:space="preserve"> </v>
      </c>
      <c r="K12" s="140">
        <f t="shared" si="2"/>
        <v>5</v>
      </c>
      <c r="L12" s="206">
        <f t="shared" si="3"/>
        <v>2.8409090909090908</v>
      </c>
      <c r="M12" s="8" t="str">
        <f t="array" ref="M12">IF(L12&gt;5,"Perlu Sensus",IF(AND(L12&gt;=0,I12&gt;0),"Tetap Deteksi","Belum Deteksi"))</f>
        <v>Tetap Deteksi</v>
      </c>
      <c r="N12" s="132">
        <f t="array" ref="N12">INDEX('[20]LS (Deteksi) Agustus'!N$7:N$303,MATCH(1,('[20]LS (Deteksi) Agustus'!$D$7:$D$303=$D12)*('[20]LS (Deteksi) Agustus'!$D$7:$D$303=$D12),0))</f>
        <v>0</v>
      </c>
      <c r="O12" s="203">
        <f t="array" ref="O12">INDEX('[20]LS (Deteksi) Agustus'!O$7:O$303,MATCH(1,('[20]LS (Deteksi) Agustus'!$D$7:$D$303=$D12)*('[20]LS (Deteksi) Agustus'!$D$7:$D$303=$D12),0))</f>
        <v>0</v>
      </c>
      <c r="P12" s="9">
        <f t="array" ref="P12">IFERROR(O12/G12*100,0)</f>
        <v>0</v>
      </c>
      <c r="Q12" s="203">
        <f t="array" ref="Q12">INDEX('[20]LS (Deteksi) Agustus'!Q$7:Q$303,MATCH(1,('[20]LS (Deteksi) Agustus'!$D$7:$D$303=$D12)*('[20]LS (Deteksi) Agustus'!$D$7:$D$303=$D12),0))</f>
        <v>0</v>
      </c>
      <c r="R12" s="9">
        <f t="shared" si="6"/>
        <v>0</v>
      </c>
      <c r="S12" s="8" t="str">
        <f t="array" ref="S12">IF(R12&gt;5,"Perlu Sensus",IF(AND(R12&gt;=0,O12&gt;0),"Tetap Deteksi","Belum Deteksi"))</f>
        <v>Belum Deteksi</v>
      </c>
      <c r="T12" s="203">
        <f t="array" ref="T12">INDEX('[20]LS (Deteksi) Agustus'!T$7:T$303,MATCH(1,('[20]LS (Deteksi) Agustus'!$D$7:$D$303=$D12)*('[20]LS (Deteksi) Agustus'!$D$7:$D$303=$D12),0))</f>
        <v>0</v>
      </c>
      <c r="U12" s="9">
        <f t="shared" si="7"/>
        <v>0</v>
      </c>
      <c r="V12" s="132">
        <f t="array" ref="V12">INDEX('[20]LS (Deteksi) Agustus'!V$7:V$303,MATCH(1,('[20]LS (Deteksi) Agustus'!$D$7:$D$303=$D12)*('[20]LS (Deteksi) Agustus'!$D$7:$D$303=$D12),0))</f>
        <v>46248</v>
      </c>
      <c r="W12" s="203">
        <f t="array" ref="W12">INDEX('[20]LS (Deteksi) Agustus'!W$7:W$303,MATCH(1,('[20]LS (Deteksi) Agustus'!$D$7:$D$303=$D12)*('[20]LS (Deteksi) Agustus'!$D$7:$D$303=$D12),0))</f>
        <v>176</v>
      </c>
      <c r="X12" s="203">
        <f t="array" ref="X12">INDEX('[20]LS (Deteksi) Agustus'!X$7:X$303,MATCH(1,('[20]LS (Deteksi) Agustus'!$D$7:$D$303=$D12)*('[20]LS (Deteksi) Agustus'!$D$7:$D$303=$D12),0))</f>
        <v>5</v>
      </c>
      <c r="Y12" s="9">
        <f t="shared" si="8"/>
        <v>2.8409090909090908</v>
      </c>
      <c r="Z12" s="8" t="str">
        <f t="array" ref="Z12">IF(Y12&gt;5,"Perlu Sensus",IF(AND(Y12&gt;0,,O12&gt;0),"Tetap Deteksi","Belum Deteksi"))</f>
        <v>Belum Deteksi</v>
      </c>
      <c r="AA12" s="203">
        <f t="array" ref="AA12">INDEX('[20]LS (Deteksi) Agustus'!AA$7:AA$303,MATCH(1,('[20]LS (Deteksi) Agustus'!$D$7:$D$303=$D12)*('[20]LS (Deteksi) Agustus'!$D$7:$D$303=$D12),0))</f>
        <v>10</v>
      </c>
      <c r="AB12" s="9">
        <f t="shared" si="9"/>
        <v>5.6818181818181817</v>
      </c>
    </row>
    <row r="13" spans="1:28" outlineLevel="1" x14ac:dyDescent="0.15">
      <c r="A13" s="8" t="s">
        <v>13</v>
      </c>
      <c r="B13" s="8" t="s">
        <v>14</v>
      </c>
      <c r="C13" s="8" t="s">
        <v>14</v>
      </c>
      <c r="D13" s="8" t="s">
        <v>23</v>
      </c>
      <c r="E13" s="9">
        <v>37.130000000000003</v>
      </c>
      <c r="F13" s="8" t="s">
        <v>16</v>
      </c>
      <c r="G13" s="143">
        <v>4726</v>
      </c>
      <c r="H13" s="132">
        <f t="shared" si="0"/>
        <v>46248</v>
      </c>
      <c r="I13" s="140">
        <f t="shared" si="0"/>
        <v>180</v>
      </c>
      <c r="J13" s="9" t="str">
        <f t="shared" si="1"/>
        <v xml:space="preserve"> </v>
      </c>
      <c r="K13" s="140">
        <f t="shared" si="2"/>
        <v>8</v>
      </c>
      <c r="L13" s="206">
        <f t="shared" si="3"/>
        <v>4.4444444444444446</v>
      </c>
      <c r="M13" s="8" t="str">
        <f t="array" ref="M13">IF(L13&gt;5,"Perlu Sensus",IF(AND(L13&gt;=0,I13&gt;0),"Tetap Deteksi","Belum Deteksi"))</f>
        <v>Tetap Deteksi</v>
      </c>
      <c r="N13" s="132">
        <f t="array" ref="N13">INDEX('[20]LS (Deteksi) Agustus'!N$7:N$303,MATCH(1,('[20]LS (Deteksi) Agustus'!$D$7:$D$303=$D13)*('[20]LS (Deteksi) Agustus'!$D$7:$D$303=$D13),0))</f>
        <v>0</v>
      </c>
      <c r="O13" s="203">
        <f t="array" ref="O13">INDEX('[20]LS (Deteksi) Agustus'!O$7:O$303,MATCH(1,('[20]LS (Deteksi) Agustus'!$D$7:$D$303=$D13)*('[20]LS (Deteksi) Agustus'!$D$7:$D$303=$D13),0))</f>
        <v>0</v>
      </c>
      <c r="P13" s="9">
        <f t="array" ref="P13">IFERROR(O13/G13*100,0)</f>
        <v>0</v>
      </c>
      <c r="Q13" s="203">
        <f t="array" ref="Q13">INDEX('[20]LS (Deteksi) Agustus'!Q$7:Q$303,MATCH(1,('[20]LS (Deteksi) Agustus'!$D$7:$D$303=$D13)*('[20]LS (Deteksi) Agustus'!$D$7:$D$303=$D13),0))</f>
        <v>0</v>
      </c>
      <c r="R13" s="9">
        <f t="shared" si="6"/>
        <v>0</v>
      </c>
      <c r="S13" s="8" t="str">
        <f t="array" ref="S13">IF(R13&gt;5,"Perlu Sensus",IF(AND(R13&gt;=0,O13&gt;0),"Tetap Deteksi","Belum Deteksi"))</f>
        <v>Belum Deteksi</v>
      </c>
      <c r="T13" s="203">
        <f t="array" ref="T13">INDEX('[20]LS (Deteksi) Agustus'!T$7:T$303,MATCH(1,('[20]LS (Deteksi) Agustus'!$D$7:$D$303=$D13)*('[20]LS (Deteksi) Agustus'!$D$7:$D$303=$D13),0))</f>
        <v>0</v>
      </c>
      <c r="U13" s="9">
        <f t="shared" si="7"/>
        <v>0</v>
      </c>
      <c r="V13" s="132">
        <f t="array" ref="V13">INDEX('[20]LS (Deteksi) Agustus'!V$7:V$303,MATCH(1,('[20]LS (Deteksi) Agustus'!$D$7:$D$303=$D13)*('[20]LS (Deteksi) Agustus'!$D$7:$D$303=$D13),0))</f>
        <v>46248</v>
      </c>
      <c r="W13" s="203">
        <f t="array" ref="W13">INDEX('[20]LS (Deteksi) Agustus'!W$7:W$303,MATCH(1,('[20]LS (Deteksi) Agustus'!$D$7:$D$303=$D13)*('[20]LS (Deteksi) Agustus'!$D$7:$D$303=$D13),0))</f>
        <v>180</v>
      </c>
      <c r="X13" s="203">
        <f t="array" ref="X13">INDEX('[20]LS (Deteksi) Agustus'!X$7:X$303,MATCH(1,('[20]LS (Deteksi) Agustus'!$D$7:$D$303=$D13)*('[20]LS (Deteksi) Agustus'!$D$7:$D$303=$D13),0))</f>
        <v>8</v>
      </c>
      <c r="Y13" s="9">
        <f t="shared" si="8"/>
        <v>4.4444444444444446</v>
      </c>
      <c r="Z13" s="8" t="str">
        <f t="array" ref="Z13">IF(Y13&gt;5,"Perlu Sensus",IF(AND(Y13&gt;0,,O13&gt;0),"Tetap Deteksi","Belum Deteksi"))</f>
        <v>Belum Deteksi</v>
      </c>
      <c r="AA13" s="203">
        <f t="array" ref="AA13">INDEX('[20]LS (Deteksi) Agustus'!AA$7:AA$303,MATCH(1,('[20]LS (Deteksi) Agustus'!$D$7:$D$303=$D13)*('[20]LS (Deteksi) Agustus'!$D$7:$D$303=$D13),0))</f>
        <v>13</v>
      </c>
      <c r="AB13" s="9">
        <f t="shared" si="9"/>
        <v>7.2222222222222214</v>
      </c>
    </row>
    <row r="14" spans="1:28" outlineLevel="1" x14ac:dyDescent="0.15">
      <c r="A14" s="8" t="s">
        <v>13</v>
      </c>
      <c r="B14" s="8" t="s">
        <v>14</v>
      </c>
      <c r="C14" s="8" t="s">
        <v>14</v>
      </c>
      <c r="D14" s="8" t="s">
        <v>24</v>
      </c>
      <c r="E14" s="9">
        <v>33.49</v>
      </c>
      <c r="F14" s="8" t="s">
        <v>16</v>
      </c>
      <c r="G14" s="143">
        <v>3913</v>
      </c>
      <c r="H14" s="132">
        <f t="shared" si="0"/>
        <v>46248</v>
      </c>
      <c r="I14" s="140">
        <f t="shared" si="0"/>
        <v>187</v>
      </c>
      <c r="J14" s="9">
        <f t="shared" si="1"/>
        <v>4.7789419882443136</v>
      </c>
      <c r="K14" s="140">
        <f t="shared" si="2"/>
        <v>11</v>
      </c>
      <c r="L14" s="206">
        <f t="shared" si="3"/>
        <v>5.8823529411764701</v>
      </c>
      <c r="M14" s="8" t="str">
        <f t="array" ref="M14">IF(L14&gt;5,"Perlu Sensus",IF(AND(L14&gt;=0,I14&gt;0),"Tetap Deteksi","Belum Deteksi"))</f>
        <v>Perlu Sensus</v>
      </c>
      <c r="N14" s="132">
        <f t="array" ref="N14">INDEX('[20]LS (Deteksi) Agustus'!N$7:N$303,MATCH(1,('[20]LS (Deteksi) Agustus'!$D$7:$D$303=$D14)*('[20]LS (Deteksi) Agustus'!$D$7:$D$303=$D14),0))</f>
        <v>46248</v>
      </c>
      <c r="O14" s="203">
        <f t="array" ref="O14">INDEX('[20]LS (Deteksi) Agustus'!O$7:O$303,MATCH(1,('[20]LS (Deteksi) Agustus'!$D$7:$D$303=$D14)*('[20]LS (Deteksi) Agustus'!$D$7:$D$303=$D14),0))</f>
        <v>187</v>
      </c>
      <c r="P14" s="9">
        <f t="array" ref="P14">IFERROR(O14/G14*100,0)</f>
        <v>4.7789419882443136</v>
      </c>
      <c r="Q14" s="203">
        <f t="array" ref="Q14">INDEX('[20]LS (Deteksi) Agustus'!Q$7:Q$303,MATCH(1,('[20]LS (Deteksi) Agustus'!$D$7:$D$303=$D14)*('[20]LS (Deteksi) Agustus'!$D$7:$D$303=$D14),0))</f>
        <v>11</v>
      </c>
      <c r="R14" s="9">
        <f t="shared" si="6"/>
        <v>5.8823529411764701</v>
      </c>
      <c r="S14" s="8" t="str">
        <f t="array" ref="S14">IF(R14&gt;5,"Perlu Sensus",IF(AND(R14&gt;=0,O14&gt;0),"Tetap Deteksi","Belum Deteksi"))</f>
        <v>Perlu Sensus</v>
      </c>
      <c r="T14" s="203">
        <f t="array" ref="T14">INDEX('[20]LS (Deteksi) Agustus'!T$7:T$303,MATCH(1,('[20]LS (Deteksi) Agustus'!$D$7:$D$303=$D14)*('[20]LS (Deteksi) Agustus'!$D$7:$D$303=$D14),0))</f>
        <v>16</v>
      </c>
      <c r="U14" s="9">
        <f t="shared" si="7"/>
        <v>8.5561497326203195</v>
      </c>
      <c r="V14" s="132">
        <f t="array" ref="V14">INDEX('[20]LS (Deteksi) Agustus'!V$7:V$303,MATCH(1,('[20]LS (Deteksi) Agustus'!$D$7:$D$303=$D14)*('[20]LS (Deteksi) Agustus'!$D$7:$D$303=$D14),0))</f>
        <v>0</v>
      </c>
      <c r="W14" s="203">
        <f t="array" ref="W14">INDEX('[20]LS (Deteksi) Agustus'!W$7:W$303,MATCH(1,('[20]LS (Deteksi) Agustus'!$D$7:$D$303=$D14)*('[20]LS (Deteksi) Agustus'!$D$7:$D$303=$D14),0))</f>
        <v>0</v>
      </c>
      <c r="X14" s="203">
        <f t="array" ref="X14">INDEX('[20]LS (Deteksi) Agustus'!X$7:X$303,MATCH(1,('[20]LS (Deteksi) Agustus'!$D$7:$D$303=$D14)*('[20]LS (Deteksi) Agustus'!$D$7:$D$303=$D14),0))</f>
        <v>0</v>
      </c>
      <c r="Y14" s="9">
        <f t="shared" si="8"/>
        <v>0</v>
      </c>
      <c r="Z14" s="8" t="str">
        <f t="array" ref="Z14">IF(Y14&gt;5,"Perlu Sensus",IF(AND(Y14&gt;0,,O14&gt;0),"Tetap Deteksi","Belum Deteksi"))</f>
        <v>Belum Deteksi</v>
      </c>
      <c r="AA14" s="203">
        <f t="array" ref="AA14">INDEX('[20]LS (Deteksi) Agustus'!AA$7:AA$303,MATCH(1,('[20]LS (Deteksi) Agustus'!$D$7:$D$303=$D14)*('[20]LS (Deteksi) Agustus'!$D$7:$D$303=$D14),0))</f>
        <v>0</v>
      </c>
      <c r="AB14" s="9">
        <f t="shared" si="9"/>
        <v>0</v>
      </c>
    </row>
    <row r="15" spans="1:28" outlineLevel="1" x14ac:dyDescent="0.15">
      <c r="A15" s="8" t="s">
        <v>13</v>
      </c>
      <c r="B15" s="8" t="s">
        <v>14</v>
      </c>
      <c r="C15" s="8" t="s">
        <v>14</v>
      </c>
      <c r="D15" s="8" t="s">
        <v>25</v>
      </c>
      <c r="E15" s="9">
        <v>29.45</v>
      </c>
      <c r="F15" s="8" t="s">
        <v>16</v>
      </c>
      <c r="G15" s="143">
        <v>3806</v>
      </c>
      <c r="H15" s="132">
        <f t="shared" si="0"/>
        <v>46248</v>
      </c>
      <c r="I15" s="140">
        <f t="shared" si="0"/>
        <v>121</v>
      </c>
      <c r="J15" s="9">
        <f t="shared" si="1"/>
        <v>3.1791907514450863</v>
      </c>
      <c r="K15" s="140">
        <f t="shared" si="2"/>
        <v>8</v>
      </c>
      <c r="L15" s="206">
        <f t="shared" si="3"/>
        <v>6.6115702479338845</v>
      </c>
      <c r="M15" s="8" t="str">
        <f t="array" ref="M15">IF(L15&gt;5,"Perlu Sensus",IF(AND(L15&gt;=0,I15&gt;0),"Tetap Deteksi","Belum Deteksi"))</f>
        <v>Perlu Sensus</v>
      </c>
      <c r="N15" s="132">
        <f t="array" ref="N15">INDEX('[20]LS (Deteksi) Agustus'!N$7:N$303,MATCH(1,('[20]LS (Deteksi) Agustus'!$D$7:$D$303=$D15)*('[20]LS (Deteksi) Agustus'!$D$7:$D$303=$D15),0))</f>
        <v>46248</v>
      </c>
      <c r="O15" s="203">
        <f t="array" ref="O15">INDEX('[20]LS (Deteksi) Agustus'!O$7:O$303,MATCH(1,('[20]LS (Deteksi) Agustus'!$D$7:$D$303=$D15)*('[20]LS (Deteksi) Agustus'!$D$7:$D$303=$D15),0))</f>
        <v>121</v>
      </c>
      <c r="P15" s="9">
        <f t="array" ref="P15">IFERROR(O15/G15*100,0)</f>
        <v>3.1791907514450863</v>
      </c>
      <c r="Q15" s="203">
        <f t="array" ref="Q15">INDEX('[20]LS (Deteksi) Agustus'!Q$7:Q$303,MATCH(1,('[20]LS (Deteksi) Agustus'!$D$7:$D$303=$D15)*('[20]LS (Deteksi) Agustus'!$D$7:$D$303=$D15),0))</f>
        <v>8</v>
      </c>
      <c r="R15" s="9">
        <f t="shared" si="6"/>
        <v>6.6115702479338845</v>
      </c>
      <c r="S15" s="8" t="str">
        <f t="array" ref="S15">IF(R15&gt;5,"Perlu Sensus",IF(AND(R15&gt;=0,O15&gt;0),"Tetap Deteksi","Belum Deteksi"))</f>
        <v>Perlu Sensus</v>
      </c>
      <c r="T15" s="203">
        <f t="array" ref="T15">INDEX('[20]LS (Deteksi) Agustus'!T$7:T$303,MATCH(1,('[20]LS (Deteksi) Agustus'!$D$7:$D$303=$D15)*('[20]LS (Deteksi) Agustus'!$D$7:$D$303=$D15),0))</f>
        <v>9</v>
      </c>
      <c r="U15" s="9">
        <f t="shared" si="7"/>
        <v>7.4380165289256199</v>
      </c>
      <c r="V15" s="132">
        <f t="array" ref="V15">INDEX('[20]LS (Deteksi) Agustus'!V$7:V$303,MATCH(1,('[20]LS (Deteksi) Agustus'!$D$7:$D$303=$D15)*('[20]LS (Deteksi) Agustus'!$D$7:$D$303=$D15),0))</f>
        <v>0</v>
      </c>
      <c r="W15" s="203">
        <f t="array" ref="W15">INDEX('[20]LS (Deteksi) Agustus'!W$7:W$303,MATCH(1,('[20]LS (Deteksi) Agustus'!$D$7:$D$303=$D15)*('[20]LS (Deteksi) Agustus'!$D$7:$D$303=$D15),0))</f>
        <v>0</v>
      </c>
      <c r="X15" s="203">
        <f t="array" ref="X15">INDEX('[20]LS (Deteksi) Agustus'!X$7:X$303,MATCH(1,('[20]LS (Deteksi) Agustus'!$D$7:$D$303=$D15)*('[20]LS (Deteksi) Agustus'!$D$7:$D$303=$D15),0))</f>
        <v>0</v>
      </c>
      <c r="Y15" s="9">
        <f t="shared" si="8"/>
        <v>0</v>
      </c>
      <c r="Z15" s="8" t="str">
        <f t="array" ref="Z15">IF(Y15&gt;5,"Perlu Sensus",IF(AND(Y15&gt;0,,O15&gt;0),"Tetap Deteksi","Belum Deteksi"))</f>
        <v>Belum Deteksi</v>
      </c>
      <c r="AA15" s="203">
        <f t="array" ref="AA15">INDEX('[20]LS (Deteksi) Agustus'!AA$7:AA$303,MATCH(1,('[20]LS (Deteksi) Agustus'!$D$7:$D$303=$D15)*('[20]LS (Deteksi) Agustus'!$D$7:$D$303=$D15),0))</f>
        <v>0</v>
      </c>
      <c r="AB15" s="9">
        <f t="shared" si="9"/>
        <v>0</v>
      </c>
    </row>
    <row r="16" spans="1:28" outlineLevel="1" x14ac:dyDescent="0.15">
      <c r="A16" s="8" t="s">
        <v>13</v>
      </c>
      <c r="B16" s="8" t="s">
        <v>14</v>
      </c>
      <c r="C16" s="8" t="s">
        <v>14</v>
      </c>
      <c r="D16" s="8" t="s">
        <v>26</v>
      </c>
      <c r="E16" s="9">
        <v>24.51</v>
      </c>
      <c r="F16" s="8" t="s">
        <v>16</v>
      </c>
      <c r="G16" s="143">
        <v>3672</v>
      </c>
      <c r="H16" s="132">
        <f t="shared" si="0"/>
        <v>46241</v>
      </c>
      <c r="I16" s="140">
        <f t="shared" si="0"/>
        <v>54</v>
      </c>
      <c r="J16" s="9">
        <f t="shared" si="1"/>
        <v>1.4705882352941175</v>
      </c>
      <c r="K16" s="140">
        <f t="shared" si="2"/>
        <v>3</v>
      </c>
      <c r="L16" s="206">
        <f t="shared" si="3"/>
        <v>5.5555555555555554</v>
      </c>
      <c r="M16" s="8" t="str">
        <f t="array" ref="M16">IF(L16&gt;5,"Perlu Sensus",IF(AND(L16&gt;=0,I16&gt;0),"Tetap Deteksi","Belum Deteksi"))</f>
        <v>Perlu Sensus</v>
      </c>
      <c r="N16" s="132">
        <f t="array" ref="N16">INDEX('[20]LS (Deteksi) Agustus'!N$7:N$303,MATCH(1,('[20]LS (Deteksi) Agustus'!$D$7:$D$303=$D16)*('[20]LS (Deteksi) Agustus'!$D$7:$D$303=$D16),0))</f>
        <v>46241</v>
      </c>
      <c r="O16" s="203">
        <f t="array" ref="O16">INDEX('[20]LS (Deteksi) Agustus'!O$7:O$303,MATCH(1,('[20]LS (Deteksi) Agustus'!$D$7:$D$303=$D16)*('[20]LS (Deteksi) Agustus'!$D$7:$D$303=$D16),0))</f>
        <v>54</v>
      </c>
      <c r="P16" s="9">
        <f t="array" ref="P16">IFERROR(O16/G16*100,0)</f>
        <v>1.4705882352941175</v>
      </c>
      <c r="Q16" s="203">
        <f t="array" ref="Q16">INDEX('[20]LS (Deteksi) Agustus'!Q$7:Q$303,MATCH(1,('[20]LS (Deteksi) Agustus'!$D$7:$D$303=$D16)*('[20]LS (Deteksi) Agustus'!$D$7:$D$303=$D16),0))</f>
        <v>3</v>
      </c>
      <c r="R16" s="9">
        <f t="shared" si="6"/>
        <v>5.5555555555555554</v>
      </c>
      <c r="S16" s="8" t="str">
        <f t="array" ref="S16">IF(R16&gt;5,"Perlu Sensus",IF(AND(R16&gt;=0,O16&gt;0),"Tetap Deteksi","Belum Deteksi"))</f>
        <v>Perlu Sensus</v>
      </c>
      <c r="T16" s="203">
        <f t="array" ref="T16">INDEX('[20]LS (Deteksi) Agustus'!T$7:T$303,MATCH(1,('[20]LS (Deteksi) Agustus'!$D$7:$D$303=$D16)*('[20]LS (Deteksi) Agustus'!$D$7:$D$303=$D16),0))</f>
        <v>14</v>
      </c>
      <c r="U16" s="9">
        <f t="shared" si="7"/>
        <v>25.925925925925924</v>
      </c>
      <c r="V16" s="132">
        <f t="array" ref="V16">INDEX('[20]LS (Deteksi) Agustus'!V$7:V$303,MATCH(1,('[20]LS (Deteksi) Agustus'!$D$7:$D$303=$D16)*('[20]LS (Deteksi) Agustus'!$D$7:$D$303=$D16),0))</f>
        <v>46242</v>
      </c>
      <c r="W16" s="203">
        <f t="array" ref="W16">INDEX('[20]LS (Deteksi) Agustus'!W$7:W$303,MATCH(1,('[20]LS (Deteksi) Agustus'!$D$7:$D$303=$D16)*('[20]LS (Deteksi) Agustus'!$D$7:$D$303=$D16),0))</f>
        <v>233</v>
      </c>
      <c r="X16" s="203">
        <f t="array" ref="X16">INDEX('[20]LS (Deteksi) Agustus'!X$7:X$303,MATCH(1,('[20]LS (Deteksi) Agustus'!$D$7:$D$303=$D16)*('[20]LS (Deteksi) Agustus'!$D$7:$D$303=$D16),0))</f>
        <v>15</v>
      </c>
      <c r="Y16" s="9">
        <f t="shared" si="8"/>
        <v>6.4377682403433472</v>
      </c>
      <c r="Z16" s="8" t="str">
        <f t="array" ref="Z16">IF(Y16&gt;5,"Perlu Sensus",IF(AND(Y16&gt;0,,O16&gt;0),"Tetap Deteksi","Belum Deteksi"))</f>
        <v>Perlu Sensus</v>
      </c>
      <c r="AA16" s="203">
        <f t="array" ref="AA16">INDEX('[20]LS (Deteksi) Agustus'!AA$7:AA$303,MATCH(1,('[20]LS (Deteksi) Agustus'!$D$7:$D$303=$D16)*('[20]LS (Deteksi) Agustus'!$D$7:$D$303=$D16),0))</f>
        <v>15</v>
      </c>
      <c r="AB16" s="9">
        <f t="shared" si="9"/>
        <v>6.4377682403433472</v>
      </c>
    </row>
    <row r="17" spans="1:28" outlineLevel="1" x14ac:dyDescent="0.15">
      <c r="A17" s="8" t="s">
        <v>13</v>
      </c>
      <c r="B17" s="8" t="s">
        <v>14</v>
      </c>
      <c r="C17" s="8" t="s">
        <v>14</v>
      </c>
      <c r="D17" s="8" t="s">
        <v>27</v>
      </c>
      <c r="E17" s="9">
        <v>24.21</v>
      </c>
      <c r="F17" s="8" t="s">
        <v>16</v>
      </c>
      <c r="G17" s="143">
        <v>3591</v>
      </c>
      <c r="H17" s="132">
        <f t="shared" si="0"/>
        <v>46241</v>
      </c>
      <c r="I17" s="140">
        <f t="shared" si="0"/>
        <v>120</v>
      </c>
      <c r="J17" s="9">
        <f t="shared" si="1"/>
        <v>3.3416875522138678</v>
      </c>
      <c r="K17" s="140">
        <f t="shared" si="2"/>
        <v>11</v>
      </c>
      <c r="L17" s="206">
        <f t="shared" si="3"/>
        <v>9.1666666666666661</v>
      </c>
      <c r="M17" s="8" t="str">
        <f t="array" ref="M17">IF(L17&gt;5,"Perlu Sensus",IF(AND(L17&gt;=0,I17&gt;0),"Tetap Deteksi","Belum Deteksi"))</f>
        <v>Perlu Sensus</v>
      </c>
      <c r="N17" s="132">
        <f t="array" ref="N17">INDEX('[20]LS (Deteksi) Agustus'!N$7:N$303,MATCH(1,('[20]LS (Deteksi) Agustus'!$D$7:$D$303=$D17)*('[20]LS (Deteksi) Agustus'!$D$7:$D$303=$D17),0))</f>
        <v>46241</v>
      </c>
      <c r="O17" s="203">
        <f t="array" ref="O17">INDEX('[20]LS (Deteksi) Agustus'!O$7:O$303,MATCH(1,('[20]LS (Deteksi) Agustus'!$D$7:$D$303=$D17)*('[20]LS (Deteksi) Agustus'!$D$7:$D$303=$D17),0))</f>
        <v>120</v>
      </c>
      <c r="P17" s="9">
        <f t="array" ref="P17">IFERROR(O17/G17*100,0)</f>
        <v>3.3416875522138678</v>
      </c>
      <c r="Q17" s="203">
        <f t="array" ref="Q17">INDEX('[20]LS (Deteksi) Agustus'!Q$7:Q$303,MATCH(1,('[20]LS (Deteksi) Agustus'!$D$7:$D$303=$D17)*('[20]LS (Deteksi) Agustus'!$D$7:$D$303=$D17),0))</f>
        <v>11</v>
      </c>
      <c r="R17" s="9">
        <f t="shared" si="6"/>
        <v>9.1666666666666661</v>
      </c>
      <c r="S17" s="8" t="str">
        <f t="array" ref="S17">IF(R17&gt;5,"Perlu Sensus",IF(AND(R17&gt;=0,O17&gt;0),"Tetap Deteksi","Belum Deteksi"))</f>
        <v>Perlu Sensus</v>
      </c>
      <c r="T17" s="203">
        <f t="array" ref="T17">INDEX('[20]LS (Deteksi) Agustus'!T$7:T$303,MATCH(1,('[20]LS (Deteksi) Agustus'!$D$7:$D$303=$D17)*('[20]LS (Deteksi) Agustus'!$D$7:$D$303=$D17),0))</f>
        <v>15</v>
      </c>
      <c r="U17" s="9">
        <f t="shared" si="7"/>
        <v>12.5</v>
      </c>
      <c r="V17" s="132">
        <f t="array" ref="V17">INDEX('[20]LS (Deteksi) Agustus'!V$7:V$303,MATCH(1,('[20]LS (Deteksi) Agustus'!$D$7:$D$303=$D17)*('[20]LS (Deteksi) Agustus'!$D$7:$D$303=$D17),0))</f>
        <v>46242</v>
      </c>
      <c r="W17" s="203">
        <f t="array" ref="W17">INDEX('[20]LS (Deteksi) Agustus'!W$7:W$303,MATCH(1,('[20]LS (Deteksi) Agustus'!$D$7:$D$303=$D17)*('[20]LS (Deteksi) Agustus'!$D$7:$D$303=$D17),0))</f>
        <v>298</v>
      </c>
      <c r="X17" s="203">
        <f t="array" ref="X17">INDEX('[20]LS (Deteksi) Agustus'!X$7:X$303,MATCH(1,('[20]LS (Deteksi) Agustus'!$D$7:$D$303=$D17)*('[20]LS (Deteksi) Agustus'!$D$7:$D$303=$D17),0))</f>
        <v>20</v>
      </c>
      <c r="Y17" s="9">
        <f t="shared" si="8"/>
        <v>6.7114093959731544</v>
      </c>
      <c r="Z17" s="8" t="str">
        <f t="array" ref="Z17">IF(Y17&gt;5,"Perlu Sensus",IF(AND(Y17&gt;0,,O17&gt;0),"Tetap Deteksi","Belum Deteksi"))</f>
        <v>Perlu Sensus</v>
      </c>
      <c r="AA17" s="203">
        <f t="array" ref="AA17">INDEX('[20]LS (Deteksi) Agustus'!AA$7:AA$303,MATCH(1,('[20]LS (Deteksi) Agustus'!$D$7:$D$303=$D17)*('[20]LS (Deteksi) Agustus'!$D$7:$D$303=$D17),0))</f>
        <v>25</v>
      </c>
      <c r="AB17" s="9">
        <f t="shared" si="9"/>
        <v>8.3892617449664435</v>
      </c>
    </row>
    <row r="18" spans="1:28" outlineLevel="1" x14ac:dyDescent="0.15">
      <c r="A18" s="8" t="s">
        <v>13</v>
      </c>
      <c r="B18" s="8" t="s">
        <v>14</v>
      </c>
      <c r="C18" s="8" t="s">
        <v>14</v>
      </c>
      <c r="D18" s="8" t="s">
        <v>28</v>
      </c>
      <c r="E18" s="9">
        <v>46.1</v>
      </c>
      <c r="F18" s="8" t="s">
        <v>16</v>
      </c>
      <c r="G18" s="143">
        <v>1955</v>
      </c>
      <c r="H18" s="132">
        <f t="shared" si="0"/>
        <v>46248</v>
      </c>
      <c r="I18" s="140">
        <f t="shared" si="0"/>
        <v>132</v>
      </c>
      <c r="J18" s="9">
        <f t="shared" si="1"/>
        <v>6.7519181585677757</v>
      </c>
      <c r="K18" s="140">
        <f t="shared" si="2"/>
        <v>6</v>
      </c>
      <c r="L18" s="206">
        <f t="shared" si="3"/>
        <v>4.5454545454545459</v>
      </c>
      <c r="M18" s="8" t="str">
        <f t="array" ref="M18">IF(L18&gt;5,"Perlu Sensus",IF(AND(L18&gt;=0,I18&gt;0),"Tetap Deteksi","Belum Deteksi"))</f>
        <v>Tetap Deteksi</v>
      </c>
      <c r="N18" s="132">
        <f t="array" ref="N18">INDEX('[20]LS (Deteksi) Agustus'!N$7:N$303,MATCH(1,('[20]LS (Deteksi) Agustus'!$D$7:$D$303=$D18)*('[20]LS (Deteksi) Agustus'!$D$7:$D$303=$D18),0))</f>
        <v>46248</v>
      </c>
      <c r="O18" s="203">
        <f t="array" ref="O18">INDEX('[20]LS (Deteksi) Agustus'!O$7:O$303,MATCH(1,('[20]LS (Deteksi) Agustus'!$D$7:$D$303=$D18)*('[20]LS (Deteksi) Agustus'!$D$7:$D$303=$D18),0))</f>
        <v>132</v>
      </c>
      <c r="P18" s="9">
        <f t="array" ref="P18">IFERROR(O18/G18*100,0)</f>
        <v>6.7519181585677757</v>
      </c>
      <c r="Q18" s="203">
        <f t="array" ref="Q18">INDEX('[20]LS (Deteksi) Agustus'!Q$7:Q$303,MATCH(1,('[20]LS (Deteksi) Agustus'!$D$7:$D$303=$D18)*('[20]LS (Deteksi) Agustus'!$D$7:$D$303=$D18),0))</f>
        <v>6</v>
      </c>
      <c r="R18" s="9">
        <f t="shared" si="6"/>
        <v>4.5454545454545459</v>
      </c>
      <c r="S18" s="8" t="str">
        <f t="array" ref="S18">IF(R18&gt;5,"Perlu Sensus",IF(AND(R18&gt;=0,O18&gt;0),"Tetap Deteksi","Belum Deteksi"))</f>
        <v>Tetap Deteksi</v>
      </c>
      <c r="T18" s="203">
        <f t="array" ref="T18">INDEX('[20]LS (Deteksi) Agustus'!T$7:T$303,MATCH(1,('[20]LS (Deteksi) Agustus'!$D$7:$D$303=$D18)*('[20]LS (Deteksi) Agustus'!$D$7:$D$303=$D18),0))</f>
        <v>8</v>
      </c>
      <c r="U18" s="9">
        <f t="shared" si="7"/>
        <v>6.0606060606060606</v>
      </c>
      <c r="V18" s="132">
        <f t="array" ref="V18">INDEX('[20]LS (Deteksi) Agustus'!V$7:V$303,MATCH(1,('[20]LS (Deteksi) Agustus'!$D$7:$D$303=$D18)*('[20]LS (Deteksi) Agustus'!$D$7:$D$303=$D18),0))</f>
        <v>0</v>
      </c>
      <c r="W18" s="203">
        <f t="array" ref="W18">INDEX('[20]LS (Deteksi) Agustus'!W$7:W$303,MATCH(1,('[20]LS (Deteksi) Agustus'!$D$7:$D$303=$D18)*('[20]LS (Deteksi) Agustus'!$D$7:$D$303=$D18),0))</f>
        <v>0</v>
      </c>
      <c r="X18" s="203">
        <f t="array" ref="X18">INDEX('[20]LS (Deteksi) Agustus'!X$7:X$303,MATCH(1,('[20]LS (Deteksi) Agustus'!$D$7:$D$303=$D18)*('[20]LS (Deteksi) Agustus'!$D$7:$D$303=$D18),0))</f>
        <v>0</v>
      </c>
      <c r="Y18" s="9">
        <f t="shared" si="8"/>
        <v>0</v>
      </c>
      <c r="Z18" s="8" t="str">
        <f t="array" ref="Z18">IF(Y18&gt;5,"Perlu Sensus",IF(AND(Y18&gt;0,,O18&gt;0),"Tetap Deteksi","Belum Deteksi"))</f>
        <v>Belum Deteksi</v>
      </c>
      <c r="AA18" s="203">
        <f t="array" ref="AA18">INDEX('[20]LS (Deteksi) Agustus'!AA$7:AA$303,MATCH(1,('[20]LS (Deteksi) Agustus'!$D$7:$D$303=$D18)*('[20]LS (Deteksi) Agustus'!$D$7:$D$303=$D18),0))</f>
        <v>0</v>
      </c>
      <c r="AB18" s="9">
        <f t="shared" si="9"/>
        <v>0</v>
      </c>
    </row>
    <row r="19" spans="1:28" outlineLevel="1" x14ac:dyDescent="0.15">
      <c r="A19" s="8" t="s">
        <v>13</v>
      </c>
      <c r="B19" s="8" t="s">
        <v>14</v>
      </c>
      <c r="C19" s="8" t="s">
        <v>14</v>
      </c>
      <c r="D19" s="8" t="s">
        <v>29</v>
      </c>
      <c r="E19" s="9">
        <v>37.630000000000003</v>
      </c>
      <c r="F19" s="8" t="s">
        <v>16</v>
      </c>
      <c r="G19" s="143">
        <v>5658</v>
      </c>
      <c r="H19" s="132">
        <f t="shared" si="0"/>
        <v>46245</v>
      </c>
      <c r="I19" s="140">
        <f t="shared" si="0"/>
        <v>121</v>
      </c>
      <c r="J19" s="9">
        <f t="shared" si="1"/>
        <v>2.1385648639095085</v>
      </c>
      <c r="K19" s="140">
        <f t="shared" si="2"/>
        <v>5</v>
      </c>
      <c r="L19" s="206">
        <f t="shared" si="3"/>
        <v>4.1322314049586781</v>
      </c>
      <c r="M19" s="8" t="str">
        <f t="array" ref="M19">IF(L19&gt;5,"Perlu Sensus",IF(AND(L19&gt;=0,I19&gt;0),"Tetap Deteksi","Belum Deteksi"))</f>
        <v>Tetap Deteksi</v>
      </c>
      <c r="N19" s="132">
        <f t="array" ref="N19">INDEX('[20]LS (Deteksi) Agustus'!N$7:N$303,MATCH(1,('[20]LS (Deteksi) Agustus'!$D$7:$D$303=$D19)*('[20]LS (Deteksi) Agustus'!$D$7:$D$303=$D19),0))</f>
        <v>46245</v>
      </c>
      <c r="O19" s="203">
        <f t="array" ref="O19">INDEX('[20]LS (Deteksi) Agustus'!O$7:O$303,MATCH(1,('[20]LS (Deteksi) Agustus'!$D$7:$D$303=$D19)*('[20]LS (Deteksi) Agustus'!$D$7:$D$303=$D19),0))</f>
        <v>121</v>
      </c>
      <c r="P19" s="9">
        <f t="array" ref="P19">IFERROR(O19/G19*100,0)</f>
        <v>2.1385648639095085</v>
      </c>
      <c r="Q19" s="203">
        <f t="array" ref="Q19">INDEX('[20]LS (Deteksi) Agustus'!Q$7:Q$303,MATCH(1,('[20]LS (Deteksi) Agustus'!$D$7:$D$303=$D19)*('[20]LS (Deteksi) Agustus'!$D$7:$D$303=$D19),0))</f>
        <v>5</v>
      </c>
      <c r="R19" s="9">
        <f t="shared" si="6"/>
        <v>4.1322314049586781</v>
      </c>
      <c r="S19" s="8" t="str">
        <f t="array" ref="S19">IF(R19&gt;5,"Perlu Sensus",IF(AND(R19&gt;=0,O19&gt;0),"Tetap Deteksi","Belum Deteksi"))</f>
        <v>Tetap Deteksi</v>
      </c>
      <c r="T19" s="203">
        <f t="array" ref="T19">INDEX('[20]LS (Deteksi) Agustus'!T$7:T$303,MATCH(1,('[20]LS (Deteksi) Agustus'!$D$7:$D$303=$D19)*('[20]LS (Deteksi) Agustus'!$D$7:$D$303=$D19),0))</f>
        <v>8</v>
      </c>
      <c r="U19" s="9">
        <f t="shared" si="7"/>
        <v>6.6115702479338845</v>
      </c>
      <c r="V19" s="132">
        <f t="array" ref="V19">INDEX('[20]LS (Deteksi) Agustus'!V$7:V$303,MATCH(1,('[20]LS (Deteksi) Agustus'!$D$7:$D$303=$D19)*('[20]LS (Deteksi) Agustus'!$D$7:$D$303=$D19),0))</f>
        <v>46246</v>
      </c>
      <c r="W19" s="203">
        <f t="array" ref="W19">INDEX('[20]LS (Deteksi) Agustus'!W$7:W$303,MATCH(1,('[20]LS (Deteksi) Agustus'!$D$7:$D$303=$D19)*('[20]LS (Deteksi) Agustus'!$D$7:$D$303=$D19),0))</f>
        <v>189</v>
      </c>
      <c r="X19" s="203">
        <f t="array" ref="X19">INDEX('[20]LS (Deteksi) Agustus'!X$7:X$303,MATCH(1,('[20]LS (Deteksi) Agustus'!$D$7:$D$303=$D19)*('[20]LS (Deteksi) Agustus'!$D$7:$D$303=$D19),0))</f>
        <v>13</v>
      </c>
      <c r="Y19" s="9">
        <f t="shared" si="8"/>
        <v>6.8783068783068781</v>
      </c>
      <c r="Z19" s="8" t="str">
        <f t="array" ref="Z19">IF(Y19&gt;5,"Perlu Sensus",IF(AND(Y19&gt;0,,O19&gt;0),"Tetap Deteksi","Belum Deteksi"))</f>
        <v>Perlu Sensus</v>
      </c>
      <c r="AA19" s="203">
        <f t="array" ref="AA19">INDEX('[20]LS (Deteksi) Agustus'!AA$7:AA$303,MATCH(1,('[20]LS (Deteksi) Agustus'!$D$7:$D$303=$D19)*('[20]LS (Deteksi) Agustus'!$D$7:$D$303=$D19),0))</f>
        <v>24</v>
      </c>
      <c r="AB19" s="9">
        <f t="shared" si="9"/>
        <v>12.698412698412698</v>
      </c>
    </row>
    <row r="20" spans="1:28" outlineLevel="1" x14ac:dyDescent="0.15">
      <c r="A20" s="8" t="s">
        <v>13</v>
      </c>
      <c r="B20" s="8" t="s">
        <v>14</v>
      </c>
      <c r="C20" s="8" t="s">
        <v>14</v>
      </c>
      <c r="D20" s="8" t="s">
        <v>30</v>
      </c>
      <c r="E20" s="9">
        <v>23.66</v>
      </c>
      <c r="F20" s="8" t="s">
        <v>16</v>
      </c>
      <c r="G20" s="143">
        <v>3301</v>
      </c>
      <c r="H20" s="132">
        <f t="shared" si="0"/>
        <v>46246</v>
      </c>
      <c r="I20" s="140">
        <f t="shared" si="0"/>
        <v>82</v>
      </c>
      <c r="J20" s="9">
        <f t="shared" si="1"/>
        <v>2.4840957285671008</v>
      </c>
      <c r="K20" s="140">
        <f t="shared" si="2"/>
        <v>4</v>
      </c>
      <c r="L20" s="206">
        <f t="shared" si="3"/>
        <v>4.8780487804878048</v>
      </c>
      <c r="M20" s="8" t="str">
        <f t="array" ref="M20">IF(L20&gt;5,"Perlu Sensus",IF(AND(L20&gt;=0,I20&gt;0),"Tetap Deteksi","Belum Deteksi"))</f>
        <v>Tetap Deteksi</v>
      </c>
      <c r="N20" s="132">
        <f t="array" ref="N20">INDEX('[20]LS (Deteksi) Agustus'!N$7:N$303,MATCH(1,('[20]LS (Deteksi) Agustus'!$D$7:$D$303=$D20)*('[20]LS (Deteksi) Agustus'!$D$7:$D$303=$D20),0))</f>
        <v>46246</v>
      </c>
      <c r="O20" s="203">
        <f t="array" ref="O20">INDEX('[20]LS (Deteksi) Agustus'!O$7:O$303,MATCH(1,('[20]LS (Deteksi) Agustus'!$D$7:$D$303=$D20)*('[20]LS (Deteksi) Agustus'!$D$7:$D$303=$D20),0))</f>
        <v>82</v>
      </c>
      <c r="P20" s="9">
        <f t="array" ref="P20">IFERROR(O20/G20*100,0)</f>
        <v>2.4840957285671008</v>
      </c>
      <c r="Q20" s="203">
        <f t="array" ref="Q20">INDEX('[20]LS (Deteksi) Agustus'!Q$7:Q$303,MATCH(1,('[20]LS (Deteksi) Agustus'!$D$7:$D$303=$D20)*('[20]LS (Deteksi) Agustus'!$D$7:$D$303=$D20),0))</f>
        <v>4</v>
      </c>
      <c r="R20" s="9">
        <f t="shared" si="6"/>
        <v>4.8780487804878048</v>
      </c>
      <c r="S20" s="8" t="str">
        <f t="array" ref="S20">IF(R20&gt;5,"Perlu Sensus",IF(AND(R20&gt;=0,O20&gt;0),"Tetap Deteksi","Belum Deteksi"))</f>
        <v>Tetap Deteksi</v>
      </c>
      <c r="T20" s="203">
        <f t="array" ref="T20">INDEX('[20]LS (Deteksi) Agustus'!T$7:T$303,MATCH(1,('[20]LS (Deteksi) Agustus'!$D$7:$D$303=$D20)*('[20]LS (Deteksi) Agustus'!$D$7:$D$303=$D20),0))</f>
        <v>7</v>
      </c>
      <c r="U20" s="9">
        <f t="shared" si="7"/>
        <v>8.536585365853659</v>
      </c>
      <c r="V20" s="132">
        <f t="array" ref="V20">INDEX('[20]LS (Deteksi) Agustus'!V$7:V$303,MATCH(1,('[20]LS (Deteksi) Agustus'!$D$7:$D$303=$D20)*('[20]LS (Deteksi) Agustus'!$D$7:$D$303=$D20),0))</f>
        <v>46247</v>
      </c>
      <c r="W20" s="203">
        <f t="array" ref="W20">INDEX('[20]LS (Deteksi) Agustus'!W$7:W$303,MATCH(1,('[20]LS (Deteksi) Agustus'!$D$7:$D$303=$D20)*('[20]LS (Deteksi) Agustus'!$D$7:$D$303=$D20),0))</f>
        <v>211</v>
      </c>
      <c r="X20" s="203">
        <f t="array" ref="X20">INDEX('[20]LS (Deteksi) Agustus'!X$7:X$303,MATCH(1,('[20]LS (Deteksi) Agustus'!$D$7:$D$303=$D20)*('[20]LS (Deteksi) Agustus'!$D$7:$D$303=$D20),0))</f>
        <v>11</v>
      </c>
      <c r="Y20" s="9">
        <f t="shared" si="8"/>
        <v>5.2132701421800949</v>
      </c>
      <c r="Z20" s="8" t="str">
        <f t="array" ref="Z20">IF(Y20&gt;5,"Perlu Sensus",IF(AND(Y20&gt;0,,O20&gt;0),"Tetap Deteksi","Belum Deteksi"))</f>
        <v>Perlu Sensus</v>
      </c>
      <c r="AA20" s="203">
        <f t="array" ref="AA20">INDEX('[20]LS (Deteksi) Agustus'!AA$7:AA$303,MATCH(1,('[20]LS (Deteksi) Agustus'!$D$7:$D$303=$D20)*('[20]LS (Deteksi) Agustus'!$D$7:$D$303=$D20),0))</f>
        <v>14</v>
      </c>
      <c r="AB20" s="9">
        <f t="shared" si="9"/>
        <v>6.6350710900473935</v>
      </c>
    </row>
    <row r="21" spans="1:28" outlineLevel="1" x14ac:dyDescent="0.15">
      <c r="A21" s="8" t="s">
        <v>13</v>
      </c>
      <c r="B21" s="8" t="s">
        <v>14</v>
      </c>
      <c r="C21" s="8" t="s">
        <v>14</v>
      </c>
      <c r="D21" s="8" t="s">
        <v>31</v>
      </c>
      <c r="E21" s="9">
        <v>25.24</v>
      </c>
      <c r="F21" s="8" t="s">
        <v>16</v>
      </c>
      <c r="G21" s="143">
        <v>3498</v>
      </c>
      <c r="H21" s="132">
        <f t="shared" si="0"/>
        <v>46245</v>
      </c>
      <c r="I21" s="140">
        <f t="shared" si="0"/>
        <v>130</v>
      </c>
      <c r="J21" s="9">
        <f t="shared" si="1"/>
        <v>3.7164093767867357</v>
      </c>
      <c r="K21" s="140">
        <f t="shared" si="2"/>
        <v>7</v>
      </c>
      <c r="L21" s="206">
        <f t="shared" si="3"/>
        <v>5.384615384615385</v>
      </c>
      <c r="M21" s="8" t="str">
        <f t="array" ref="M21">IF(L21&gt;5,"Perlu Sensus",IF(AND(L21&gt;=0,I21&gt;0),"Tetap Deteksi","Belum Deteksi"))</f>
        <v>Perlu Sensus</v>
      </c>
      <c r="N21" s="132">
        <f t="array" ref="N21">INDEX('[20]LS (Deteksi) Agustus'!N$7:N$303,MATCH(1,('[20]LS (Deteksi) Agustus'!$D$7:$D$303=$D21)*('[20]LS (Deteksi) Agustus'!$D$7:$D$303=$D21),0))</f>
        <v>46245</v>
      </c>
      <c r="O21" s="203">
        <f t="array" ref="O21">INDEX('[20]LS (Deteksi) Agustus'!O$7:O$303,MATCH(1,('[20]LS (Deteksi) Agustus'!$D$7:$D$303=$D21)*('[20]LS (Deteksi) Agustus'!$D$7:$D$303=$D21),0))</f>
        <v>130</v>
      </c>
      <c r="P21" s="9">
        <f t="array" ref="P21">IFERROR(O21/G21*100,0)</f>
        <v>3.7164093767867357</v>
      </c>
      <c r="Q21" s="203">
        <f t="array" ref="Q21">INDEX('[20]LS (Deteksi) Agustus'!Q$7:Q$303,MATCH(1,('[20]LS (Deteksi) Agustus'!$D$7:$D$303=$D21)*('[20]LS (Deteksi) Agustus'!$D$7:$D$303=$D21),0))</f>
        <v>7</v>
      </c>
      <c r="R21" s="9">
        <f t="shared" si="6"/>
        <v>5.384615384615385</v>
      </c>
      <c r="S21" s="8" t="str">
        <f t="array" ref="S21">IF(R21&gt;5,"Perlu Sensus",IF(AND(R21&gt;=0,O21&gt;0),"Tetap Deteksi","Belum Deteksi"))</f>
        <v>Perlu Sensus</v>
      </c>
      <c r="T21" s="203">
        <f t="array" ref="T21">INDEX('[20]LS (Deteksi) Agustus'!T$7:T$303,MATCH(1,('[20]LS (Deteksi) Agustus'!$D$7:$D$303=$D21)*('[20]LS (Deteksi) Agustus'!$D$7:$D$303=$D21),0))</f>
        <v>10</v>
      </c>
      <c r="U21" s="9">
        <f t="shared" si="7"/>
        <v>7.6923076923076925</v>
      </c>
      <c r="V21" s="132">
        <f t="array" ref="V21">INDEX('[20]LS (Deteksi) Agustus'!V$7:V$303,MATCH(1,('[20]LS (Deteksi) Agustus'!$D$7:$D$303=$D21)*('[20]LS (Deteksi) Agustus'!$D$7:$D$303=$D21),0))</f>
        <v>46246</v>
      </c>
      <c r="W21" s="203">
        <f t="array" ref="W21">INDEX('[20]LS (Deteksi) Agustus'!W$7:W$303,MATCH(1,('[20]LS (Deteksi) Agustus'!$D$7:$D$303=$D21)*('[20]LS (Deteksi) Agustus'!$D$7:$D$303=$D21),0))</f>
        <v>130</v>
      </c>
      <c r="X21" s="203">
        <f t="array" ref="X21">INDEX('[20]LS (Deteksi) Agustus'!X$7:X$303,MATCH(1,('[20]LS (Deteksi) Agustus'!$D$7:$D$303=$D21)*('[20]LS (Deteksi) Agustus'!$D$7:$D$303=$D21),0))</f>
        <v>7</v>
      </c>
      <c r="Y21" s="9">
        <f t="shared" si="8"/>
        <v>5.384615384615385</v>
      </c>
      <c r="Z21" s="8" t="str">
        <f t="array" ref="Z21">IF(Y21&gt;5,"Perlu Sensus",IF(AND(Y21&gt;0,,O21&gt;0),"Tetap Deteksi","Belum Deteksi"))</f>
        <v>Perlu Sensus</v>
      </c>
      <c r="AA21" s="203">
        <f t="array" ref="AA21">INDEX('[20]LS (Deteksi) Agustus'!AA$7:AA$303,MATCH(1,('[20]LS (Deteksi) Agustus'!$D$7:$D$303=$D21)*('[20]LS (Deteksi) Agustus'!$D$7:$D$303=$D21),0))</f>
        <v>13</v>
      </c>
      <c r="AB21" s="9">
        <f t="shared" si="9"/>
        <v>10</v>
      </c>
    </row>
    <row r="22" spans="1:28" outlineLevel="1" x14ac:dyDescent="0.15">
      <c r="A22" s="8" t="s">
        <v>13</v>
      </c>
      <c r="B22" s="8" t="s">
        <v>14</v>
      </c>
      <c r="C22" s="8" t="s">
        <v>14</v>
      </c>
      <c r="D22" s="8" t="s">
        <v>32</v>
      </c>
      <c r="E22" s="9">
        <v>23.95</v>
      </c>
      <c r="F22" s="8" t="s">
        <v>16</v>
      </c>
      <c r="G22" s="143">
        <v>3405</v>
      </c>
      <c r="H22" s="132">
        <f t="shared" ref="H22:I85" si="10">IF(N22&gt;0,N22,V22)</f>
        <v>46246</v>
      </c>
      <c r="I22" s="140">
        <f t="shared" si="10"/>
        <v>52</v>
      </c>
      <c r="J22" s="9">
        <f t="shared" si="1"/>
        <v>1.5271659324522762</v>
      </c>
      <c r="K22" s="140">
        <f t="shared" si="2"/>
        <v>3</v>
      </c>
      <c r="L22" s="206">
        <f t="shared" si="3"/>
        <v>5.7692307692307692</v>
      </c>
      <c r="M22" s="8" t="str">
        <f t="array" ref="M22">IF(L22&gt;5,"Perlu Sensus",IF(AND(L22&gt;=0,I22&gt;0),"Tetap Deteksi","Belum Deteksi"))</f>
        <v>Perlu Sensus</v>
      </c>
      <c r="N22" s="132">
        <f t="array" ref="N22">INDEX('[20]LS (Deteksi) Agustus'!N$7:N$303,MATCH(1,('[20]LS (Deteksi) Agustus'!$D$7:$D$303=$D22)*('[20]LS (Deteksi) Agustus'!$D$7:$D$303=$D22),0))</f>
        <v>46246</v>
      </c>
      <c r="O22" s="203">
        <f t="array" ref="O22">INDEX('[20]LS (Deteksi) Agustus'!O$7:O$303,MATCH(1,('[20]LS (Deteksi) Agustus'!$D$7:$D$303=$D22)*('[20]LS (Deteksi) Agustus'!$D$7:$D$303=$D22),0))</f>
        <v>52</v>
      </c>
      <c r="P22" s="9">
        <f t="array" ref="P22">IFERROR(O22/G22*100,0)</f>
        <v>1.5271659324522762</v>
      </c>
      <c r="Q22" s="203">
        <f t="array" ref="Q22">INDEX('[20]LS (Deteksi) Agustus'!Q$7:Q$303,MATCH(1,('[20]LS (Deteksi) Agustus'!$D$7:$D$303=$D22)*('[20]LS (Deteksi) Agustus'!$D$7:$D$303=$D22),0))</f>
        <v>3</v>
      </c>
      <c r="R22" s="9">
        <f t="shared" si="6"/>
        <v>5.7692307692307692</v>
      </c>
      <c r="S22" s="8" t="str">
        <f t="array" ref="S22">IF(R22&gt;5,"Perlu Sensus",IF(AND(R22&gt;=0,O22&gt;0),"Tetap Deteksi","Belum Deteksi"))</f>
        <v>Perlu Sensus</v>
      </c>
      <c r="T22" s="203">
        <f t="array" ref="T22">INDEX('[20]LS (Deteksi) Agustus'!T$7:T$303,MATCH(1,('[20]LS (Deteksi) Agustus'!$D$7:$D$303=$D22)*('[20]LS (Deteksi) Agustus'!$D$7:$D$303=$D22),0))</f>
        <v>7</v>
      </c>
      <c r="U22" s="9">
        <f t="shared" si="7"/>
        <v>13.461538461538462</v>
      </c>
      <c r="V22" s="132">
        <f t="array" ref="V22">INDEX('[20]LS (Deteksi) Agustus'!V$7:V$303,MATCH(1,('[20]LS (Deteksi) Agustus'!$D$7:$D$303=$D22)*('[20]LS (Deteksi) Agustus'!$D$7:$D$303=$D22),0))</f>
        <v>46235</v>
      </c>
      <c r="W22" s="203">
        <f t="array" ref="W22">INDEX('[20]LS (Deteksi) Agustus'!W$7:W$303,MATCH(1,('[20]LS (Deteksi) Agustus'!$D$7:$D$303=$D22)*('[20]LS (Deteksi) Agustus'!$D$7:$D$303=$D22),0))</f>
        <v>123</v>
      </c>
      <c r="X22" s="203">
        <f t="array" ref="X22">INDEX('[20]LS (Deteksi) Agustus'!X$7:X$303,MATCH(1,('[20]LS (Deteksi) Agustus'!$D$7:$D$303=$D22)*('[20]LS (Deteksi) Agustus'!$D$7:$D$303=$D22),0))</f>
        <v>8</v>
      </c>
      <c r="Y22" s="9">
        <f t="shared" si="8"/>
        <v>6.5040650406504072</v>
      </c>
      <c r="Z22" s="8" t="str">
        <f t="array" ref="Z22">IF(Y22&gt;5,"Perlu Sensus",IF(AND(Y22&gt;0,,O22&gt;0),"Tetap Deteksi","Belum Deteksi"))</f>
        <v>Perlu Sensus</v>
      </c>
      <c r="AA22" s="203">
        <f t="array" ref="AA22">INDEX('[20]LS (Deteksi) Agustus'!AA$7:AA$303,MATCH(1,('[20]LS (Deteksi) Agustus'!$D$7:$D$303=$D22)*('[20]LS (Deteksi) Agustus'!$D$7:$D$303=$D22),0))</f>
        <v>7</v>
      </c>
      <c r="AB22" s="9">
        <f t="shared" si="9"/>
        <v>5.6910569105691051</v>
      </c>
    </row>
    <row r="23" spans="1:28" outlineLevel="1" x14ac:dyDescent="0.15">
      <c r="A23" s="8" t="s">
        <v>13</v>
      </c>
      <c r="B23" s="8" t="s">
        <v>14</v>
      </c>
      <c r="C23" s="8" t="s">
        <v>14</v>
      </c>
      <c r="D23" s="8" t="s">
        <v>33</v>
      </c>
      <c r="E23" s="9">
        <v>21.95</v>
      </c>
      <c r="F23" s="8" t="s">
        <v>16</v>
      </c>
      <c r="G23" s="143">
        <v>3027</v>
      </c>
      <c r="H23" s="132">
        <f t="shared" si="10"/>
        <v>46247</v>
      </c>
      <c r="I23" s="140">
        <f t="shared" si="10"/>
        <v>115</v>
      </c>
      <c r="J23" s="9">
        <f t="shared" si="1"/>
        <v>3.7991410637594978</v>
      </c>
      <c r="K23" s="140">
        <f t="shared" si="2"/>
        <v>9</v>
      </c>
      <c r="L23" s="206">
        <f t="shared" si="3"/>
        <v>7.8260869565217401</v>
      </c>
      <c r="M23" s="8" t="str">
        <f t="array" ref="M23">IF(L23&gt;5,"Perlu Sensus",IF(AND(L23&gt;=0,I23&gt;0),"Tetap Deteksi","Belum Deteksi"))</f>
        <v>Perlu Sensus</v>
      </c>
      <c r="N23" s="132">
        <f t="array" ref="N23">INDEX('[20]LS (Deteksi) Agustus'!N$7:N$303,MATCH(1,('[20]LS (Deteksi) Agustus'!$D$7:$D$303=$D23)*('[20]LS (Deteksi) Agustus'!$D$7:$D$303=$D23),0))</f>
        <v>46247</v>
      </c>
      <c r="O23" s="203">
        <f t="array" ref="O23">INDEX('[20]LS (Deteksi) Agustus'!O$7:O$303,MATCH(1,('[20]LS (Deteksi) Agustus'!$D$7:$D$303=$D23)*('[20]LS (Deteksi) Agustus'!$D$7:$D$303=$D23),0))</f>
        <v>115</v>
      </c>
      <c r="P23" s="9">
        <f t="array" ref="P23">IFERROR(O23/G23*100,0)</f>
        <v>3.7991410637594978</v>
      </c>
      <c r="Q23" s="203">
        <f t="array" ref="Q23">INDEX('[20]LS (Deteksi) Agustus'!Q$7:Q$303,MATCH(1,('[20]LS (Deteksi) Agustus'!$D$7:$D$303=$D23)*('[20]LS (Deteksi) Agustus'!$D$7:$D$303=$D23),0))</f>
        <v>9</v>
      </c>
      <c r="R23" s="9">
        <f t="shared" si="6"/>
        <v>7.8260869565217401</v>
      </c>
      <c r="S23" s="8" t="str">
        <f t="array" ref="S23">IF(R23&gt;5,"Perlu Sensus",IF(AND(R23&gt;=0,O23&gt;0),"Tetap Deteksi","Belum Deteksi"))</f>
        <v>Perlu Sensus</v>
      </c>
      <c r="T23" s="203">
        <f t="array" ref="T23">INDEX('[20]LS (Deteksi) Agustus'!T$7:T$303,MATCH(1,('[20]LS (Deteksi) Agustus'!$D$7:$D$303=$D23)*('[20]LS (Deteksi) Agustus'!$D$7:$D$303=$D23),0))</f>
        <v>12</v>
      </c>
      <c r="U23" s="9">
        <f t="shared" si="7"/>
        <v>10.434782608695652</v>
      </c>
      <c r="V23" s="132">
        <f t="array" ref="V23">INDEX('[20]LS (Deteksi) Agustus'!V$7:V$303,MATCH(1,('[20]LS (Deteksi) Agustus'!$D$7:$D$303=$D23)*('[20]LS (Deteksi) Agustus'!$D$7:$D$303=$D23),0))</f>
        <v>46235</v>
      </c>
      <c r="W23" s="203">
        <f t="array" ref="W23">INDEX('[20]LS (Deteksi) Agustus'!W$7:W$303,MATCH(1,('[20]LS (Deteksi) Agustus'!$D$7:$D$303=$D23)*('[20]LS (Deteksi) Agustus'!$D$7:$D$303=$D23),0))</f>
        <v>213</v>
      </c>
      <c r="X23" s="203">
        <f t="array" ref="X23">INDEX('[20]LS (Deteksi) Agustus'!X$7:X$303,MATCH(1,('[20]LS (Deteksi) Agustus'!$D$7:$D$303=$D23)*('[20]LS (Deteksi) Agustus'!$D$7:$D$303=$D23),0))</f>
        <v>15</v>
      </c>
      <c r="Y23" s="9">
        <f t="shared" si="8"/>
        <v>7.042253521126761</v>
      </c>
      <c r="Z23" s="8" t="str">
        <f t="array" ref="Z23">IF(Y23&gt;5,"Perlu Sensus",IF(AND(Y23&gt;0,,O23&gt;0),"Tetap Deteksi","Belum Deteksi"))</f>
        <v>Perlu Sensus</v>
      </c>
      <c r="AA23" s="203">
        <f t="array" ref="AA23">INDEX('[20]LS (Deteksi) Agustus'!AA$7:AA$303,MATCH(1,('[20]LS (Deteksi) Agustus'!$D$7:$D$303=$D23)*('[20]LS (Deteksi) Agustus'!$D$7:$D$303=$D23),0))</f>
        <v>10</v>
      </c>
      <c r="AB23" s="9">
        <f t="shared" si="9"/>
        <v>4.6948356807511731</v>
      </c>
    </row>
    <row r="24" spans="1:28" outlineLevel="1" x14ac:dyDescent="0.15">
      <c r="A24" s="8" t="s">
        <v>13</v>
      </c>
      <c r="B24" s="8" t="s">
        <v>14</v>
      </c>
      <c r="C24" s="8" t="s">
        <v>14</v>
      </c>
      <c r="D24" s="8" t="s">
        <v>34</v>
      </c>
      <c r="E24" s="9">
        <v>28.03</v>
      </c>
      <c r="F24" s="8" t="s">
        <v>16</v>
      </c>
      <c r="G24" s="143">
        <v>3980</v>
      </c>
      <c r="H24" s="132">
        <f t="shared" si="10"/>
        <v>46247</v>
      </c>
      <c r="I24" s="140">
        <f t="shared" si="10"/>
        <v>55</v>
      </c>
      <c r="J24" s="9">
        <f t="shared" si="1"/>
        <v>1.3819095477386936</v>
      </c>
      <c r="K24" s="140">
        <f t="shared" si="2"/>
        <v>5</v>
      </c>
      <c r="L24" s="206">
        <f t="shared" si="3"/>
        <v>9.0909090909090917</v>
      </c>
      <c r="M24" s="8" t="str">
        <f t="array" ref="M24">IF(L24&gt;5,"Perlu Sensus",IF(AND(L24&gt;=0,I24&gt;0),"Tetap Deteksi","Belum Deteksi"))</f>
        <v>Perlu Sensus</v>
      </c>
      <c r="N24" s="132">
        <f t="array" ref="N24">INDEX('[20]LS (Deteksi) Agustus'!N$7:N$303,MATCH(1,('[20]LS (Deteksi) Agustus'!$D$7:$D$303=$D24)*('[20]LS (Deteksi) Agustus'!$D$7:$D$303=$D24),0))</f>
        <v>46247</v>
      </c>
      <c r="O24" s="203">
        <f t="array" ref="O24">INDEX('[20]LS (Deteksi) Agustus'!O$7:O$303,MATCH(1,('[20]LS (Deteksi) Agustus'!$D$7:$D$303=$D24)*('[20]LS (Deteksi) Agustus'!$D$7:$D$303=$D24),0))</f>
        <v>55</v>
      </c>
      <c r="P24" s="9">
        <f t="array" ref="P24">IFERROR(O24/G24*100,0)</f>
        <v>1.3819095477386936</v>
      </c>
      <c r="Q24" s="203">
        <f t="array" ref="Q24">INDEX('[20]LS (Deteksi) Agustus'!Q$7:Q$303,MATCH(1,('[20]LS (Deteksi) Agustus'!$D$7:$D$303=$D24)*('[20]LS (Deteksi) Agustus'!$D$7:$D$303=$D24),0))</f>
        <v>5</v>
      </c>
      <c r="R24" s="9">
        <f t="shared" si="6"/>
        <v>9.0909090909090917</v>
      </c>
      <c r="S24" s="8" t="str">
        <f t="array" ref="S24">IF(R24&gt;5,"Perlu Sensus",IF(AND(R24&gt;=0,O24&gt;0),"Tetap Deteksi","Belum Deteksi"))</f>
        <v>Perlu Sensus</v>
      </c>
      <c r="T24" s="203">
        <f t="array" ref="T24">INDEX('[20]LS (Deteksi) Agustus'!T$7:T$303,MATCH(1,('[20]LS (Deteksi) Agustus'!$D$7:$D$303=$D24)*('[20]LS (Deteksi) Agustus'!$D$7:$D$303=$D24),0))</f>
        <v>15</v>
      </c>
      <c r="U24" s="9">
        <f t="shared" si="7"/>
        <v>27.27272727272727</v>
      </c>
      <c r="V24" s="132">
        <f t="array" ref="V24">INDEX('[20]LS (Deteksi) Agustus'!V$7:V$303,MATCH(1,('[20]LS (Deteksi) Agustus'!$D$7:$D$303=$D24)*('[20]LS (Deteksi) Agustus'!$D$7:$D$303=$D24),0))</f>
        <v>46248</v>
      </c>
      <c r="W24" s="203">
        <f t="array" ref="W24">INDEX('[20]LS (Deteksi) Agustus'!W$7:W$303,MATCH(1,('[20]LS (Deteksi) Agustus'!$D$7:$D$303=$D24)*('[20]LS (Deteksi) Agustus'!$D$7:$D$303=$D24),0))</f>
        <v>321</v>
      </c>
      <c r="X24" s="203">
        <f t="array" ref="X24">INDEX('[20]LS (Deteksi) Agustus'!X$7:X$303,MATCH(1,('[20]LS (Deteksi) Agustus'!$D$7:$D$303=$D24)*('[20]LS (Deteksi) Agustus'!$D$7:$D$303=$D24),0))</f>
        <v>18</v>
      </c>
      <c r="Y24" s="9">
        <f t="shared" si="8"/>
        <v>5.6074766355140184</v>
      </c>
      <c r="Z24" s="8" t="str">
        <f t="array" ref="Z24">IF(Y24&gt;5,"Perlu Sensus",IF(AND(Y24&gt;0,,O24&gt;0),"Tetap Deteksi","Belum Deteksi"))</f>
        <v>Perlu Sensus</v>
      </c>
      <c r="AA24" s="203">
        <f t="array" ref="AA24">INDEX('[20]LS (Deteksi) Agustus'!AA$7:AA$303,MATCH(1,('[20]LS (Deteksi) Agustus'!$D$7:$D$303=$D24)*('[20]LS (Deteksi) Agustus'!$D$7:$D$303=$D24),0))</f>
        <v>21</v>
      </c>
      <c r="AB24" s="9">
        <f t="shared" si="9"/>
        <v>6.5420560747663545</v>
      </c>
    </row>
    <row r="25" spans="1:28" outlineLevel="1" x14ac:dyDescent="0.15">
      <c r="A25" s="8" t="s">
        <v>13</v>
      </c>
      <c r="B25" s="8" t="s">
        <v>14</v>
      </c>
      <c r="C25" s="8" t="s">
        <v>14</v>
      </c>
      <c r="D25" s="8" t="s">
        <v>35</v>
      </c>
      <c r="E25" s="9">
        <v>25.71</v>
      </c>
      <c r="F25" s="8" t="s">
        <v>16</v>
      </c>
      <c r="G25" s="143">
        <v>3572</v>
      </c>
      <c r="H25" s="132">
        <f t="shared" si="10"/>
        <v>46235</v>
      </c>
      <c r="I25" s="140">
        <f t="shared" si="10"/>
        <v>52</v>
      </c>
      <c r="J25" s="9">
        <f t="shared" si="1"/>
        <v>1.4557670772676372</v>
      </c>
      <c r="K25" s="140">
        <f t="shared" si="2"/>
        <v>4</v>
      </c>
      <c r="L25" s="206">
        <f t="shared" si="3"/>
        <v>7.6923076923076925</v>
      </c>
      <c r="M25" s="8" t="str">
        <f t="array" ref="M25">IF(L25&gt;5,"Perlu Sensus",IF(AND(L25&gt;=0,I25&gt;0),"Tetap Deteksi","Belum Deteksi"))</f>
        <v>Perlu Sensus</v>
      </c>
      <c r="N25" s="132">
        <f t="array" ref="N25">INDEX('[20]LS (Deteksi) Agustus'!N$7:N$303,MATCH(1,('[20]LS (Deteksi) Agustus'!$D$7:$D$303=$D25)*('[20]LS (Deteksi) Agustus'!$D$7:$D$303=$D25),0))</f>
        <v>46235</v>
      </c>
      <c r="O25" s="203">
        <f t="array" ref="O25">INDEX('[20]LS (Deteksi) Agustus'!O$7:O$303,MATCH(1,('[20]LS (Deteksi) Agustus'!$D$7:$D$303=$D25)*('[20]LS (Deteksi) Agustus'!$D$7:$D$303=$D25),0))</f>
        <v>52</v>
      </c>
      <c r="P25" s="9">
        <f t="array" ref="P25">IFERROR(O25/G25*100,0)</f>
        <v>1.4557670772676372</v>
      </c>
      <c r="Q25" s="203">
        <f t="array" ref="Q25">INDEX('[20]LS (Deteksi) Agustus'!Q$7:Q$303,MATCH(1,('[20]LS (Deteksi) Agustus'!$D$7:$D$303=$D25)*('[20]LS (Deteksi) Agustus'!$D$7:$D$303=$D25),0))</f>
        <v>4</v>
      </c>
      <c r="R25" s="9">
        <f t="shared" si="6"/>
        <v>7.6923076923076925</v>
      </c>
      <c r="S25" s="8" t="str">
        <f t="array" ref="S25">IF(R25&gt;5,"Perlu Sensus",IF(AND(R25&gt;=0,O25&gt;0),"Tetap Deteksi","Belum Deteksi"))</f>
        <v>Perlu Sensus</v>
      </c>
      <c r="T25" s="203">
        <f t="array" ref="T25">INDEX('[20]LS (Deteksi) Agustus'!T$7:T$303,MATCH(1,('[20]LS (Deteksi) Agustus'!$D$7:$D$303=$D25)*('[20]LS (Deteksi) Agustus'!$D$7:$D$303=$D25),0))</f>
        <v>11</v>
      </c>
      <c r="U25" s="9">
        <f t="shared" si="7"/>
        <v>21.153846153846153</v>
      </c>
      <c r="V25" s="132">
        <f t="array" ref="V25">INDEX('[20]LS (Deteksi) Agustus'!V$7:V$303,MATCH(1,('[20]LS (Deteksi) Agustus'!$D$7:$D$303=$D25)*('[20]LS (Deteksi) Agustus'!$D$7:$D$303=$D25),0))</f>
        <v>46237</v>
      </c>
      <c r="W25" s="203">
        <f t="array" ref="W25">INDEX('[20]LS (Deteksi) Agustus'!W$7:W$303,MATCH(1,('[20]LS (Deteksi) Agustus'!$D$7:$D$303=$D25)*('[20]LS (Deteksi) Agustus'!$D$7:$D$303=$D25),0))</f>
        <v>210</v>
      </c>
      <c r="X25" s="203">
        <f t="array" ref="X25">INDEX('[20]LS (Deteksi) Agustus'!X$7:X$303,MATCH(1,('[20]LS (Deteksi) Agustus'!$D$7:$D$303=$D25)*('[20]LS (Deteksi) Agustus'!$D$7:$D$303=$D25),0))</f>
        <v>15</v>
      </c>
      <c r="Y25" s="9">
        <f t="shared" si="8"/>
        <v>7.1428571428571423</v>
      </c>
      <c r="Z25" s="8" t="str">
        <f t="array" ref="Z25">IF(Y25&gt;5,"Perlu Sensus",IF(AND(Y25&gt;0,,O25&gt;0),"Tetap Deteksi","Belum Deteksi"))</f>
        <v>Perlu Sensus</v>
      </c>
      <c r="AA25" s="203">
        <f t="array" ref="AA25">INDEX('[20]LS (Deteksi) Agustus'!AA$7:AA$303,MATCH(1,('[20]LS (Deteksi) Agustus'!$D$7:$D$303=$D25)*('[20]LS (Deteksi) Agustus'!$D$7:$D$303=$D25),0))</f>
        <v>2</v>
      </c>
      <c r="AB25" s="9">
        <f t="shared" si="9"/>
        <v>0.95238095238095244</v>
      </c>
    </row>
    <row r="26" spans="1:28" outlineLevel="1" x14ac:dyDescent="0.15">
      <c r="A26" s="8" t="s">
        <v>13</v>
      </c>
      <c r="B26" s="8" t="s">
        <v>14</v>
      </c>
      <c r="C26" s="8" t="s">
        <v>14</v>
      </c>
      <c r="D26" s="8" t="s">
        <v>36</v>
      </c>
      <c r="E26" s="9">
        <v>23.71</v>
      </c>
      <c r="F26" s="8" t="s">
        <v>16</v>
      </c>
      <c r="G26" s="143">
        <v>3277</v>
      </c>
      <c r="H26" s="132">
        <f t="shared" si="10"/>
        <v>46235</v>
      </c>
      <c r="I26" s="140">
        <f t="shared" si="10"/>
        <v>154</v>
      </c>
      <c r="J26" s="9">
        <f t="shared" si="1"/>
        <v>4.699420201403723</v>
      </c>
      <c r="K26" s="140">
        <f t="shared" si="2"/>
        <v>5</v>
      </c>
      <c r="L26" s="206">
        <f t="shared" si="3"/>
        <v>3.2467532467532463</v>
      </c>
      <c r="M26" s="8" t="str">
        <f t="array" ref="M26">IF(L26&gt;5,"Perlu Sensus",IF(AND(L26&gt;=0,I26&gt;0),"Tetap Deteksi","Belum Deteksi"))</f>
        <v>Tetap Deteksi</v>
      </c>
      <c r="N26" s="132">
        <f t="array" ref="N26">INDEX('[20]LS (Deteksi) Agustus'!N$7:N$303,MATCH(1,('[20]LS (Deteksi) Agustus'!$D$7:$D$303=$D26)*('[20]LS (Deteksi) Agustus'!$D$7:$D$303=$D26),0))</f>
        <v>46235</v>
      </c>
      <c r="O26" s="203">
        <f t="array" ref="O26">INDEX('[20]LS (Deteksi) Agustus'!O$7:O$303,MATCH(1,('[20]LS (Deteksi) Agustus'!$D$7:$D$303=$D26)*('[20]LS (Deteksi) Agustus'!$D$7:$D$303=$D26),0))</f>
        <v>154</v>
      </c>
      <c r="P26" s="9">
        <f t="array" ref="P26">IFERROR(O26/G26*100,0)</f>
        <v>4.699420201403723</v>
      </c>
      <c r="Q26" s="203">
        <f t="array" ref="Q26">INDEX('[20]LS (Deteksi) Agustus'!Q$7:Q$303,MATCH(1,('[20]LS (Deteksi) Agustus'!$D$7:$D$303=$D26)*('[20]LS (Deteksi) Agustus'!$D$7:$D$303=$D26),0))</f>
        <v>5</v>
      </c>
      <c r="R26" s="9">
        <f t="shared" si="6"/>
        <v>3.2467532467532463</v>
      </c>
      <c r="S26" s="8" t="str">
        <f t="array" ref="S26">IF(R26&gt;5,"Perlu Sensus",IF(AND(R26&gt;=0,O26&gt;0),"Tetap Deteksi","Belum Deteksi"))</f>
        <v>Tetap Deteksi</v>
      </c>
      <c r="T26" s="203">
        <f t="array" ref="T26">INDEX('[20]LS (Deteksi) Agustus'!T$7:T$303,MATCH(1,('[20]LS (Deteksi) Agustus'!$D$7:$D$303=$D26)*('[20]LS (Deteksi) Agustus'!$D$7:$D$303=$D26),0))</f>
        <v>9</v>
      </c>
      <c r="U26" s="9">
        <f t="shared" si="7"/>
        <v>5.8441558441558437</v>
      </c>
      <c r="V26" s="132">
        <f t="array" ref="V26">INDEX('[20]LS (Deteksi) Agustus'!V$7:V$303,MATCH(1,('[20]LS (Deteksi) Agustus'!$D$7:$D$303=$D26)*('[20]LS (Deteksi) Agustus'!$D$7:$D$303=$D26),0))</f>
        <v>46237</v>
      </c>
      <c r="W26" s="203">
        <f t="array" ref="W26">INDEX('[20]LS (Deteksi) Agustus'!W$7:W$303,MATCH(1,('[20]LS (Deteksi) Agustus'!$D$7:$D$303=$D26)*('[20]LS (Deteksi) Agustus'!$D$7:$D$303=$D26),0))</f>
        <v>180</v>
      </c>
      <c r="X26" s="203">
        <f t="array" ref="X26">INDEX('[20]LS (Deteksi) Agustus'!X$7:X$303,MATCH(1,('[20]LS (Deteksi) Agustus'!$D$7:$D$303=$D26)*('[20]LS (Deteksi) Agustus'!$D$7:$D$303=$D26),0))</f>
        <v>17</v>
      </c>
      <c r="Y26" s="9">
        <f t="shared" si="8"/>
        <v>9.4444444444444446</v>
      </c>
      <c r="Z26" s="8" t="str">
        <f t="array" ref="Z26">IF(Y26&gt;5,"Perlu Sensus",IF(AND(Y26&gt;0,,O26&gt;0),"Tetap Deteksi","Belum Deteksi"))</f>
        <v>Perlu Sensus</v>
      </c>
      <c r="AA26" s="203">
        <f t="array" ref="AA26">INDEX('[20]LS (Deteksi) Agustus'!AA$7:AA$303,MATCH(1,('[20]LS (Deteksi) Agustus'!$D$7:$D$303=$D26)*('[20]LS (Deteksi) Agustus'!$D$7:$D$303=$D26),0))</f>
        <v>20</v>
      </c>
      <c r="AB26" s="9">
        <f t="shared" si="9"/>
        <v>11.111111111111111</v>
      </c>
    </row>
    <row r="27" spans="1:28" outlineLevel="1" x14ac:dyDescent="0.15">
      <c r="A27" s="8" t="s">
        <v>13</v>
      </c>
      <c r="B27" s="8" t="s">
        <v>14</v>
      </c>
      <c r="C27" s="8" t="s">
        <v>14</v>
      </c>
      <c r="D27" s="8" t="s">
        <v>37</v>
      </c>
      <c r="E27" s="9">
        <v>23.9</v>
      </c>
      <c r="F27" s="8" t="s">
        <v>16</v>
      </c>
      <c r="G27" s="143">
        <v>3300</v>
      </c>
      <c r="H27" s="132">
        <f t="shared" si="10"/>
        <v>46247</v>
      </c>
      <c r="I27" s="140">
        <f t="shared" si="10"/>
        <v>143</v>
      </c>
      <c r="J27" s="9">
        <f t="shared" si="1"/>
        <v>4.3333333333333339</v>
      </c>
      <c r="K27" s="140">
        <f t="shared" si="2"/>
        <v>6</v>
      </c>
      <c r="L27" s="206">
        <f t="shared" si="3"/>
        <v>4.1958041958041958</v>
      </c>
      <c r="M27" s="8" t="str">
        <f t="array" ref="M27">IF(L27&gt;5,"Perlu Sensus",IF(AND(L27&gt;=0,I27&gt;0),"Tetap Deteksi","Belum Deteksi"))</f>
        <v>Tetap Deteksi</v>
      </c>
      <c r="N27" s="132">
        <f t="array" ref="N27">INDEX('[20]LS (Deteksi) Agustus'!N$7:N$303,MATCH(1,('[20]LS (Deteksi) Agustus'!$D$7:$D$303=$D27)*('[20]LS (Deteksi) Agustus'!$D$7:$D$303=$D27),0))</f>
        <v>46247</v>
      </c>
      <c r="O27" s="203">
        <f t="array" ref="O27">INDEX('[20]LS (Deteksi) Agustus'!O$7:O$303,MATCH(1,('[20]LS (Deteksi) Agustus'!$D$7:$D$303=$D27)*('[20]LS (Deteksi) Agustus'!$D$7:$D$303=$D27),0))</f>
        <v>143</v>
      </c>
      <c r="P27" s="9">
        <f t="array" ref="P27">IFERROR(O27/G27*100,0)</f>
        <v>4.3333333333333339</v>
      </c>
      <c r="Q27" s="203">
        <f t="array" ref="Q27">INDEX('[20]LS (Deteksi) Agustus'!Q$7:Q$303,MATCH(1,('[20]LS (Deteksi) Agustus'!$D$7:$D$303=$D27)*('[20]LS (Deteksi) Agustus'!$D$7:$D$303=$D27),0))</f>
        <v>6</v>
      </c>
      <c r="R27" s="9">
        <f t="shared" si="6"/>
        <v>4.1958041958041958</v>
      </c>
      <c r="S27" s="8" t="str">
        <f t="array" ref="S27">IF(R27&gt;5,"Perlu Sensus",IF(AND(R27&gt;=0,O27&gt;0),"Tetap Deteksi","Belum Deteksi"))</f>
        <v>Tetap Deteksi</v>
      </c>
      <c r="T27" s="203">
        <f t="array" ref="T27">INDEX('[20]LS (Deteksi) Agustus'!T$7:T$303,MATCH(1,('[20]LS (Deteksi) Agustus'!$D$7:$D$303=$D27)*('[20]LS (Deteksi) Agustus'!$D$7:$D$303=$D27),0))</f>
        <v>14</v>
      </c>
      <c r="U27" s="9">
        <f t="shared" si="7"/>
        <v>9.79020979020979</v>
      </c>
      <c r="V27" s="132">
        <f t="array" ref="V27">INDEX('[20]LS (Deteksi) Agustus'!V$7:V$303,MATCH(1,('[20]LS (Deteksi) Agustus'!$D$7:$D$303=$D27)*('[20]LS (Deteksi) Agustus'!$D$7:$D$303=$D27),0))</f>
        <v>46248</v>
      </c>
      <c r="W27" s="203">
        <f t="array" ref="W27">INDEX('[20]LS (Deteksi) Agustus'!W$7:W$303,MATCH(1,('[20]LS (Deteksi) Agustus'!$D$7:$D$303=$D27)*('[20]LS (Deteksi) Agustus'!$D$7:$D$303=$D27),0))</f>
        <v>221</v>
      </c>
      <c r="X27" s="203">
        <f t="array" ref="X27">INDEX('[20]LS (Deteksi) Agustus'!X$7:X$303,MATCH(1,('[20]LS (Deteksi) Agustus'!$D$7:$D$303=$D27)*('[20]LS (Deteksi) Agustus'!$D$7:$D$303=$D27),0))</f>
        <v>9</v>
      </c>
      <c r="Y27" s="9">
        <f t="shared" si="8"/>
        <v>4.0723981900452486</v>
      </c>
      <c r="Z27" s="8" t="str">
        <f t="array" ref="Z27">IF(Y27&gt;5,"Perlu Sensus",IF(AND(Y27&gt;0,,O27&gt;0),"Tetap Deteksi","Belum Deteksi"))</f>
        <v>Belum Deteksi</v>
      </c>
      <c r="AA27" s="203">
        <f t="array" ref="AA27">INDEX('[20]LS (Deteksi) Agustus'!AA$7:AA$303,MATCH(1,('[20]LS (Deteksi) Agustus'!$D$7:$D$303=$D27)*('[20]LS (Deteksi) Agustus'!$D$7:$D$303=$D27),0))</f>
        <v>10</v>
      </c>
      <c r="AB27" s="9">
        <f t="shared" si="9"/>
        <v>4.5248868778280542</v>
      </c>
    </row>
    <row r="28" spans="1:28" outlineLevel="1" x14ac:dyDescent="0.15">
      <c r="A28" s="8" t="s">
        <v>13</v>
      </c>
      <c r="B28" s="8" t="s">
        <v>14</v>
      </c>
      <c r="C28" s="8" t="s">
        <v>14</v>
      </c>
      <c r="D28" s="8" t="s">
        <v>38</v>
      </c>
      <c r="E28" s="9">
        <v>24.02</v>
      </c>
      <c r="F28" s="8" t="s">
        <v>16</v>
      </c>
      <c r="G28" s="143">
        <v>3202</v>
      </c>
      <c r="H28" s="132">
        <f t="shared" si="10"/>
        <v>46247</v>
      </c>
      <c r="I28" s="140">
        <f t="shared" si="10"/>
        <v>210</v>
      </c>
      <c r="J28" s="9">
        <f t="shared" si="1"/>
        <v>6.5584009993753893</v>
      </c>
      <c r="K28" s="140">
        <f t="shared" si="2"/>
        <v>10</v>
      </c>
      <c r="L28" s="206">
        <f t="shared" si="3"/>
        <v>4.7619047619047619</v>
      </c>
      <c r="M28" s="8" t="str">
        <f t="array" ref="M28">IF(L28&gt;5,"Perlu Sensus",IF(AND(L28&gt;=0,I28&gt;0),"Tetap Deteksi","Belum Deteksi"))</f>
        <v>Tetap Deteksi</v>
      </c>
      <c r="N28" s="132">
        <f t="array" ref="N28">INDEX('[20]LS (Deteksi) Agustus'!N$7:N$303,MATCH(1,('[20]LS (Deteksi) Agustus'!$D$7:$D$303=$D28)*('[20]LS (Deteksi) Agustus'!$D$7:$D$303=$D28),0))</f>
        <v>46247</v>
      </c>
      <c r="O28" s="203">
        <f t="array" ref="O28">INDEX('[20]LS (Deteksi) Agustus'!O$7:O$303,MATCH(1,('[20]LS (Deteksi) Agustus'!$D$7:$D$303=$D28)*('[20]LS (Deteksi) Agustus'!$D$7:$D$303=$D28),0))</f>
        <v>210</v>
      </c>
      <c r="P28" s="9">
        <f t="array" ref="P28">IFERROR(O28/G28*100,0)</f>
        <v>6.5584009993753893</v>
      </c>
      <c r="Q28" s="203">
        <f t="array" ref="Q28">INDEX('[20]LS (Deteksi) Agustus'!Q$7:Q$303,MATCH(1,('[20]LS (Deteksi) Agustus'!$D$7:$D$303=$D28)*('[20]LS (Deteksi) Agustus'!$D$7:$D$303=$D28),0))</f>
        <v>10</v>
      </c>
      <c r="R28" s="9">
        <f t="shared" si="6"/>
        <v>4.7619047619047619</v>
      </c>
      <c r="S28" s="8" t="str">
        <f t="array" ref="S28">IF(R28&gt;5,"Perlu Sensus",IF(AND(R28&gt;=0,O28&gt;0),"Tetap Deteksi","Belum Deteksi"))</f>
        <v>Tetap Deteksi</v>
      </c>
      <c r="T28" s="203">
        <f t="array" ref="T28">INDEX('[20]LS (Deteksi) Agustus'!T$7:T$303,MATCH(1,('[20]LS (Deteksi) Agustus'!$D$7:$D$303=$D28)*('[20]LS (Deteksi) Agustus'!$D$7:$D$303=$D28),0))</f>
        <v>12</v>
      </c>
      <c r="U28" s="9">
        <f t="shared" si="7"/>
        <v>5.7142857142857144</v>
      </c>
      <c r="V28" s="132">
        <f t="array" ref="V28">INDEX('[20]LS (Deteksi) Agustus'!V$7:V$303,MATCH(1,('[20]LS (Deteksi) Agustus'!$D$7:$D$303=$D28)*('[20]LS (Deteksi) Agustus'!$D$7:$D$303=$D28),0))</f>
        <v>46238</v>
      </c>
      <c r="W28" s="203">
        <f t="array" ref="W28">INDEX('[20]LS (Deteksi) Agustus'!W$7:W$303,MATCH(1,('[20]LS (Deteksi) Agustus'!$D$7:$D$303=$D28)*('[20]LS (Deteksi) Agustus'!$D$7:$D$303=$D28),0))</f>
        <v>278</v>
      </c>
      <c r="X28" s="203">
        <f t="array" ref="X28">INDEX('[20]LS (Deteksi) Agustus'!X$7:X$303,MATCH(1,('[20]LS (Deteksi) Agustus'!$D$7:$D$303=$D28)*('[20]LS (Deteksi) Agustus'!$D$7:$D$303=$D28),0))</f>
        <v>19</v>
      </c>
      <c r="Y28" s="9">
        <f t="shared" si="8"/>
        <v>6.8345323741007196</v>
      </c>
      <c r="Z28" s="8" t="str">
        <f t="array" ref="Z28">IF(Y28&gt;5,"Perlu Sensus",IF(AND(Y28&gt;0,,O28&gt;0),"Tetap Deteksi","Belum Deteksi"))</f>
        <v>Perlu Sensus</v>
      </c>
      <c r="AA28" s="203">
        <f t="array" ref="AA28">INDEX('[20]LS (Deteksi) Agustus'!AA$7:AA$303,MATCH(1,('[20]LS (Deteksi) Agustus'!$D$7:$D$303=$D28)*('[20]LS (Deteksi) Agustus'!$D$7:$D$303=$D28),0))</f>
        <v>21</v>
      </c>
      <c r="AB28" s="9">
        <f t="shared" si="9"/>
        <v>7.5539568345323742</v>
      </c>
    </row>
    <row r="29" spans="1:28" outlineLevel="1" x14ac:dyDescent="0.15">
      <c r="A29" s="8" t="s">
        <v>13</v>
      </c>
      <c r="B29" s="8" t="s">
        <v>14</v>
      </c>
      <c r="C29" s="8" t="s">
        <v>14</v>
      </c>
      <c r="D29" s="8" t="s">
        <v>39</v>
      </c>
      <c r="E29" s="9">
        <v>24.95</v>
      </c>
      <c r="F29" s="8" t="s">
        <v>16</v>
      </c>
      <c r="G29" s="143">
        <v>3528</v>
      </c>
      <c r="H29" s="132">
        <f t="shared" si="10"/>
        <v>46248</v>
      </c>
      <c r="I29" s="140">
        <f t="shared" si="10"/>
        <v>92</v>
      </c>
      <c r="J29" s="9">
        <f t="shared" si="1"/>
        <v>2.6077097505668934</v>
      </c>
      <c r="K29" s="140">
        <f t="shared" si="2"/>
        <v>6</v>
      </c>
      <c r="L29" s="206">
        <f t="shared" si="3"/>
        <v>6.5217391304347823</v>
      </c>
      <c r="M29" s="8" t="str">
        <f t="array" ref="M29">IF(L29&gt;5,"Perlu Sensus",IF(AND(L29&gt;=0,I29&gt;0),"Tetap Deteksi","Belum Deteksi"))</f>
        <v>Perlu Sensus</v>
      </c>
      <c r="N29" s="132">
        <f t="array" ref="N29">INDEX('[20]LS (Deteksi) Agustus'!N$7:N$303,MATCH(1,('[20]LS (Deteksi) Agustus'!$D$7:$D$303=$D29)*('[20]LS (Deteksi) Agustus'!$D$7:$D$303=$D29),0))</f>
        <v>46248</v>
      </c>
      <c r="O29" s="203">
        <f t="array" ref="O29">INDEX('[20]LS (Deteksi) Agustus'!O$7:O$303,MATCH(1,('[20]LS (Deteksi) Agustus'!$D$7:$D$303=$D29)*('[20]LS (Deteksi) Agustus'!$D$7:$D$303=$D29),0))</f>
        <v>92</v>
      </c>
      <c r="P29" s="9">
        <f t="array" ref="P29">IFERROR(O29/G29*100,0)</f>
        <v>2.6077097505668934</v>
      </c>
      <c r="Q29" s="203">
        <f t="array" ref="Q29">INDEX('[20]LS (Deteksi) Agustus'!Q$7:Q$303,MATCH(1,('[20]LS (Deteksi) Agustus'!$D$7:$D$303=$D29)*('[20]LS (Deteksi) Agustus'!$D$7:$D$303=$D29),0))</f>
        <v>6</v>
      </c>
      <c r="R29" s="9">
        <f t="shared" si="6"/>
        <v>6.5217391304347823</v>
      </c>
      <c r="S29" s="8" t="str">
        <f t="array" ref="S29">IF(R29&gt;5,"Perlu Sensus",IF(AND(R29&gt;=0,O29&gt;0),"Tetap Deteksi","Belum Deteksi"))</f>
        <v>Perlu Sensus</v>
      </c>
      <c r="T29" s="203">
        <f t="array" ref="T29">INDEX('[20]LS (Deteksi) Agustus'!T$7:T$303,MATCH(1,('[20]LS (Deteksi) Agustus'!$D$7:$D$303=$D29)*('[20]LS (Deteksi) Agustus'!$D$7:$D$303=$D29),0))</f>
        <v>12</v>
      </c>
      <c r="U29" s="9">
        <f t="shared" si="7"/>
        <v>13.043478260869565</v>
      </c>
      <c r="V29" s="132">
        <f t="array" ref="V29">INDEX('[20]LS (Deteksi) Agustus'!V$7:V$303,MATCH(1,('[20]LS (Deteksi) Agustus'!$D$7:$D$303=$D29)*('[20]LS (Deteksi) Agustus'!$D$7:$D$303=$D29),0))</f>
        <v>46238</v>
      </c>
      <c r="W29" s="203">
        <f t="array" ref="W29">INDEX('[20]LS (Deteksi) Agustus'!W$7:W$303,MATCH(1,('[20]LS (Deteksi) Agustus'!$D$7:$D$303=$D29)*('[20]LS (Deteksi) Agustus'!$D$7:$D$303=$D29),0))</f>
        <v>210</v>
      </c>
      <c r="X29" s="203">
        <f t="array" ref="X29">INDEX('[20]LS (Deteksi) Agustus'!X$7:X$303,MATCH(1,('[20]LS (Deteksi) Agustus'!$D$7:$D$303=$D29)*('[20]LS (Deteksi) Agustus'!$D$7:$D$303=$D29),0))</f>
        <v>12</v>
      </c>
      <c r="Y29" s="9">
        <f t="shared" si="8"/>
        <v>5.7142857142857144</v>
      </c>
      <c r="Z29" s="8" t="str">
        <f t="array" ref="Z29">IF(Y29&gt;5,"Perlu Sensus",IF(AND(Y29&gt;0,,O29&gt;0),"Tetap Deteksi","Belum Deteksi"))</f>
        <v>Perlu Sensus</v>
      </c>
      <c r="AA29" s="203">
        <f t="array" ref="AA29">INDEX('[20]LS (Deteksi) Agustus'!AA$7:AA$303,MATCH(1,('[20]LS (Deteksi) Agustus'!$D$7:$D$303=$D29)*('[20]LS (Deteksi) Agustus'!$D$7:$D$303=$D29),0))</f>
        <v>8</v>
      </c>
      <c r="AB29" s="9">
        <f t="shared" si="9"/>
        <v>3.8095238095238098</v>
      </c>
    </row>
    <row r="30" spans="1:28" outlineLevel="1" x14ac:dyDescent="0.15">
      <c r="A30" s="8" t="s">
        <v>13</v>
      </c>
      <c r="B30" s="8" t="s">
        <v>14</v>
      </c>
      <c r="C30" s="8" t="s">
        <v>14</v>
      </c>
      <c r="D30" s="8" t="s">
        <v>40</v>
      </c>
      <c r="E30" s="9">
        <v>32.049999999999997</v>
      </c>
      <c r="F30" s="8" t="s">
        <v>16</v>
      </c>
      <c r="G30" s="143">
        <v>4774</v>
      </c>
      <c r="H30" s="132">
        <f t="shared" si="10"/>
        <v>46237</v>
      </c>
      <c r="I30" s="140">
        <f t="shared" si="10"/>
        <v>118</v>
      </c>
      <c r="J30" s="9">
        <f t="shared" si="1"/>
        <v>2.4717218265605365</v>
      </c>
      <c r="K30" s="140">
        <f t="shared" si="2"/>
        <v>8</v>
      </c>
      <c r="L30" s="206">
        <f t="shared" si="3"/>
        <v>6.7796610169491522</v>
      </c>
      <c r="M30" s="8" t="str">
        <f t="array" ref="M30">IF(L30&gt;5,"Perlu Sensus",IF(AND(L30&gt;=0,I30&gt;0),"Tetap Deteksi","Belum Deteksi"))</f>
        <v>Perlu Sensus</v>
      </c>
      <c r="N30" s="132">
        <f t="array" ref="N30">INDEX('[20]LS (Deteksi) Agustus'!N$7:N$303,MATCH(1,('[20]LS (Deteksi) Agustus'!$D$7:$D$303=$D30)*('[20]LS (Deteksi) Agustus'!$D$7:$D$303=$D30),0))</f>
        <v>46237</v>
      </c>
      <c r="O30" s="203">
        <f t="array" ref="O30">INDEX('[20]LS (Deteksi) Agustus'!O$7:O$303,MATCH(1,('[20]LS (Deteksi) Agustus'!$D$7:$D$303=$D30)*('[20]LS (Deteksi) Agustus'!$D$7:$D$303=$D30),0))</f>
        <v>118</v>
      </c>
      <c r="P30" s="9">
        <f t="array" ref="P30">IFERROR(O30/G30*100,0)</f>
        <v>2.4717218265605365</v>
      </c>
      <c r="Q30" s="203">
        <f t="array" ref="Q30">INDEX('[20]LS (Deteksi) Agustus'!Q$7:Q$303,MATCH(1,('[20]LS (Deteksi) Agustus'!$D$7:$D$303=$D30)*('[20]LS (Deteksi) Agustus'!$D$7:$D$303=$D30),0))</f>
        <v>8</v>
      </c>
      <c r="R30" s="9">
        <f t="shared" si="6"/>
        <v>6.7796610169491522</v>
      </c>
      <c r="S30" s="8" t="str">
        <f t="array" ref="S30">IF(R30&gt;5,"Perlu Sensus",IF(AND(R30&gt;=0,O30&gt;0),"Tetap Deteksi","Belum Deteksi"))</f>
        <v>Perlu Sensus</v>
      </c>
      <c r="T30" s="203">
        <f t="array" ref="T30">INDEX('[20]LS (Deteksi) Agustus'!T$7:T$303,MATCH(1,('[20]LS (Deteksi) Agustus'!$D$7:$D$303=$D30)*('[20]LS (Deteksi) Agustus'!$D$7:$D$303=$D30),0))</f>
        <v>23</v>
      </c>
      <c r="U30" s="9">
        <f t="shared" si="7"/>
        <v>19.491525423728813</v>
      </c>
      <c r="V30" s="132">
        <f t="array" ref="V30">INDEX('[20]LS (Deteksi) Agustus'!V$7:V$303,MATCH(1,('[20]LS (Deteksi) Agustus'!$D$7:$D$303=$D30)*('[20]LS (Deteksi) Agustus'!$D$7:$D$303=$D30),0))</f>
        <v>46239</v>
      </c>
      <c r="W30" s="203">
        <f t="array" ref="W30">INDEX('[20]LS (Deteksi) Agustus'!W$7:W$303,MATCH(1,('[20]LS (Deteksi) Agustus'!$D$7:$D$303=$D30)*('[20]LS (Deteksi) Agustus'!$D$7:$D$303=$D30),0))</f>
        <v>189</v>
      </c>
      <c r="X30" s="203">
        <f t="array" ref="X30">INDEX('[20]LS (Deteksi) Agustus'!X$7:X$303,MATCH(1,('[20]LS (Deteksi) Agustus'!$D$7:$D$303=$D30)*('[20]LS (Deteksi) Agustus'!$D$7:$D$303=$D30),0))</f>
        <v>15</v>
      </c>
      <c r="Y30" s="9">
        <f t="shared" si="8"/>
        <v>7.9365079365079358</v>
      </c>
      <c r="Z30" s="8" t="str">
        <f t="array" ref="Z30">IF(Y30&gt;5,"Perlu Sensus",IF(AND(Y30&gt;0,,O30&gt;0),"Tetap Deteksi","Belum Deteksi"))</f>
        <v>Perlu Sensus</v>
      </c>
      <c r="AA30" s="203">
        <f t="array" ref="AA30">INDEX('[20]LS (Deteksi) Agustus'!AA$7:AA$303,MATCH(1,('[20]LS (Deteksi) Agustus'!$D$7:$D$303=$D30)*('[20]LS (Deteksi) Agustus'!$D$7:$D$303=$D30),0))</f>
        <v>13</v>
      </c>
      <c r="AB30" s="9">
        <f t="shared" si="9"/>
        <v>6.8783068783068781</v>
      </c>
    </row>
    <row r="31" spans="1:28" outlineLevel="1" x14ac:dyDescent="0.15">
      <c r="A31" s="8" t="s">
        <v>13</v>
      </c>
      <c r="B31" s="8" t="s">
        <v>14</v>
      </c>
      <c r="C31" s="8" t="s">
        <v>14</v>
      </c>
      <c r="D31" s="8" t="s">
        <v>41</v>
      </c>
      <c r="E31" s="9">
        <v>34.43</v>
      </c>
      <c r="F31" s="8" t="s">
        <v>16</v>
      </c>
      <c r="G31" s="143">
        <v>5311</v>
      </c>
      <c r="H31" s="132">
        <f t="shared" si="10"/>
        <v>46240</v>
      </c>
      <c r="I31" s="140">
        <f t="shared" si="10"/>
        <v>52</v>
      </c>
      <c r="J31" s="9">
        <f t="shared" si="1"/>
        <v>0.97909998117115415</v>
      </c>
      <c r="K31" s="140">
        <f t="shared" si="2"/>
        <v>3</v>
      </c>
      <c r="L31" s="206">
        <f t="shared" si="3"/>
        <v>5.7692307692307692</v>
      </c>
      <c r="M31" s="8" t="str">
        <f t="array" ref="M31">IF(L31&gt;5,"Perlu Sensus",IF(AND(L31&gt;=0,I31&gt;0),"Tetap Deteksi","Belum Deteksi"))</f>
        <v>Perlu Sensus</v>
      </c>
      <c r="N31" s="132">
        <f t="array" ref="N31">INDEX('[20]LS (Deteksi) Agustus'!N$7:N$303,MATCH(1,('[20]LS (Deteksi) Agustus'!$D$7:$D$303=$D31)*('[20]LS (Deteksi) Agustus'!$D$7:$D$303=$D31),0))</f>
        <v>46240</v>
      </c>
      <c r="O31" s="203">
        <f t="array" ref="O31">INDEX('[20]LS (Deteksi) Agustus'!O$7:O$303,MATCH(1,('[20]LS (Deteksi) Agustus'!$D$7:$D$303=$D31)*('[20]LS (Deteksi) Agustus'!$D$7:$D$303=$D31),0))</f>
        <v>52</v>
      </c>
      <c r="P31" s="9">
        <f t="array" ref="P31">IFERROR(O31/G31*100,0)</f>
        <v>0.97909998117115415</v>
      </c>
      <c r="Q31" s="203">
        <f t="array" ref="Q31">INDEX('[20]LS (Deteksi) Agustus'!Q$7:Q$303,MATCH(1,('[20]LS (Deteksi) Agustus'!$D$7:$D$303=$D31)*('[20]LS (Deteksi) Agustus'!$D$7:$D$303=$D31),0))</f>
        <v>3</v>
      </c>
      <c r="R31" s="9">
        <f t="shared" si="6"/>
        <v>5.7692307692307692</v>
      </c>
      <c r="S31" s="8" t="str">
        <f t="array" ref="S31">IF(R31&gt;5,"Perlu Sensus",IF(AND(R31&gt;=0,O31&gt;0),"Tetap Deteksi","Belum Deteksi"))</f>
        <v>Perlu Sensus</v>
      </c>
      <c r="T31" s="203">
        <f t="array" ref="T31">INDEX('[20]LS (Deteksi) Agustus'!T$7:T$303,MATCH(1,('[20]LS (Deteksi) Agustus'!$D$7:$D$303=$D31)*('[20]LS (Deteksi) Agustus'!$D$7:$D$303=$D31),0))</f>
        <v>18</v>
      </c>
      <c r="U31" s="9">
        <f t="shared" si="7"/>
        <v>34.615384615384613</v>
      </c>
      <c r="V31" s="132">
        <f t="array" ref="V31">INDEX('[20]LS (Deteksi) Agustus'!V$7:V$303,MATCH(1,('[20]LS (Deteksi) Agustus'!$D$7:$D$303=$D31)*('[20]LS (Deteksi) Agustus'!$D$7:$D$303=$D31),0))</f>
        <v>46247</v>
      </c>
      <c r="W31" s="203">
        <f t="array" ref="W31">INDEX('[20]LS (Deteksi) Agustus'!W$7:W$303,MATCH(1,('[20]LS (Deteksi) Agustus'!$D$7:$D$303=$D31)*('[20]LS (Deteksi) Agustus'!$D$7:$D$303=$D31),0))</f>
        <v>87</v>
      </c>
      <c r="X31" s="203">
        <f t="array" ref="X31">INDEX('[20]LS (Deteksi) Agustus'!X$7:X$303,MATCH(1,('[20]LS (Deteksi) Agustus'!$D$7:$D$303=$D31)*('[20]LS (Deteksi) Agustus'!$D$7:$D$303=$D31),0))</f>
        <v>3</v>
      </c>
      <c r="Y31" s="9">
        <f t="shared" si="8"/>
        <v>3.4482758620689653</v>
      </c>
      <c r="Z31" s="8" t="str">
        <f t="array" ref="Z31">IF(Y31&gt;5,"Perlu Sensus",IF(AND(Y31&gt;0,,O31&gt;0),"Tetap Deteksi","Belum Deteksi"))</f>
        <v>Belum Deteksi</v>
      </c>
      <c r="AA31" s="203">
        <f t="array" ref="AA31">INDEX('[20]LS (Deteksi) Agustus'!AA$7:AA$303,MATCH(1,('[20]LS (Deteksi) Agustus'!$D$7:$D$303=$D31)*('[20]LS (Deteksi) Agustus'!$D$7:$D$303=$D31),0))</f>
        <v>7</v>
      </c>
      <c r="AB31" s="9">
        <f t="shared" si="9"/>
        <v>8.0459770114942533</v>
      </c>
    </row>
    <row r="32" spans="1:28" outlineLevel="1" x14ac:dyDescent="0.15">
      <c r="A32" s="8" t="s">
        <v>13</v>
      </c>
      <c r="B32" s="8" t="s">
        <v>14</v>
      </c>
      <c r="C32" s="8" t="s">
        <v>14</v>
      </c>
      <c r="D32" s="8" t="s">
        <v>42</v>
      </c>
      <c r="E32" s="9">
        <v>40.99</v>
      </c>
      <c r="F32" s="8" t="s">
        <v>16</v>
      </c>
      <c r="G32" s="143">
        <v>5876</v>
      </c>
      <c r="H32" s="132">
        <f t="shared" si="10"/>
        <v>46239</v>
      </c>
      <c r="I32" s="140">
        <f t="shared" si="10"/>
        <v>53</v>
      </c>
      <c r="J32" s="9">
        <f t="shared" si="1"/>
        <v>0.90197413206262766</v>
      </c>
      <c r="K32" s="140">
        <f t="shared" si="2"/>
        <v>3</v>
      </c>
      <c r="L32" s="206">
        <f t="shared" si="3"/>
        <v>5.6603773584905666</v>
      </c>
      <c r="M32" s="8" t="str">
        <f t="array" ref="M32">IF(L32&gt;5,"Perlu Sensus",IF(AND(L32&gt;=0,I32&gt;0),"Tetap Deteksi","Belum Deteksi"))</f>
        <v>Perlu Sensus</v>
      </c>
      <c r="N32" s="132">
        <f t="array" ref="N32">INDEX('[20]LS (Deteksi) Agustus'!N$7:N$303,MATCH(1,('[20]LS (Deteksi) Agustus'!$D$7:$D$303=$D32)*('[20]LS (Deteksi) Agustus'!$D$7:$D$303=$D32),0))</f>
        <v>46239</v>
      </c>
      <c r="O32" s="203">
        <f t="array" ref="O32">INDEX('[20]LS (Deteksi) Agustus'!O$7:O$303,MATCH(1,('[20]LS (Deteksi) Agustus'!$D$7:$D$303=$D32)*('[20]LS (Deteksi) Agustus'!$D$7:$D$303=$D32),0))</f>
        <v>53</v>
      </c>
      <c r="P32" s="9">
        <f t="array" ref="P32">IFERROR(O32/G32*100,0)</f>
        <v>0.90197413206262766</v>
      </c>
      <c r="Q32" s="203">
        <f t="array" ref="Q32">INDEX('[20]LS (Deteksi) Agustus'!Q$7:Q$303,MATCH(1,('[20]LS (Deteksi) Agustus'!$D$7:$D$303=$D32)*('[20]LS (Deteksi) Agustus'!$D$7:$D$303=$D32),0))</f>
        <v>3</v>
      </c>
      <c r="R32" s="9">
        <f t="shared" si="6"/>
        <v>5.6603773584905666</v>
      </c>
      <c r="S32" s="8" t="str">
        <f t="array" ref="S32">IF(R32&gt;5,"Perlu Sensus",IF(AND(R32&gt;=0,O32&gt;0),"Tetap Deteksi","Belum Deteksi"))</f>
        <v>Perlu Sensus</v>
      </c>
      <c r="T32" s="203">
        <f t="array" ref="T32">INDEX('[20]LS (Deteksi) Agustus'!T$7:T$303,MATCH(1,('[20]LS (Deteksi) Agustus'!$D$7:$D$303=$D32)*('[20]LS (Deteksi) Agustus'!$D$7:$D$303=$D32),0))</f>
        <v>14</v>
      </c>
      <c r="U32" s="9">
        <f t="shared" si="7"/>
        <v>26.415094339622641</v>
      </c>
      <c r="V32" s="132">
        <f t="array" ref="V32">INDEX('[20]LS (Deteksi) Agustus'!V$7:V$303,MATCH(1,('[20]LS (Deteksi) Agustus'!$D$7:$D$303=$D32)*('[20]LS (Deteksi) Agustus'!$D$7:$D$303=$D32),0))</f>
        <v>46241</v>
      </c>
      <c r="W32" s="203">
        <f t="array" ref="W32">INDEX('[20]LS (Deteksi) Agustus'!W$7:W$303,MATCH(1,('[20]LS (Deteksi) Agustus'!$D$7:$D$303=$D32)*('[20]LS (Deteksi) Agustus'!$D$7:$D$303=$D32),0))</f>
        <v>134</v>
      </c>
      <c r="X32" s="203">
        <f t="array" ref="X32">INDEX('[20]LS (Deteksi) Agustus'!X$7:X$303,MATCH(1,('[20]LS (Deteksi) Agustus'!$D$7:$D$303=$D32)*('[20]LS (Deteksi) Agustus'!$D$7:$D$303=$D32),0))</f>
        <v>8</v>
      </c>
      <c r="Y32" s="9">
        <f t="shared" si="8"/>
        <v>5.9701492537313428</v>
      </c>
      <c r="Z32" s="8" t="str">
        <f t="array" ref="Z32">IF(Y32&gt;5,"Perlu Sensus",IF(AND(Y32&gt;0,,O32&gt;0),"Tetap Deteksi","Belum Deteksi"))</f>
        <v>Perlu Sensus</v>
      </c>
      <c r="AA32" s="203">
        <f t="array" ref="AA32">INDEX('[20]LS (Deteksi) Agustus'!AA$7:AA$303,MATCH(1,('[20]LS (Deteksi) Agustus'!$D$7:$D$303=$D32)*('[20]LS (Deteksi) Agustus'!$D$7:$D$303=$D32),0))</f>
        <v>9</v>
      </c>
      <c r="AB32" s="9">
        <f t="shared" si="9"/>
        <v>6.7164179104477615</v>
      </c>
    </row>
    <row r="33" spans="1:28" outlineLevel="1" x14ac:dyDescent="0.15">
      <c r="A33" s="8" t="s">
        <v>13</v>
      </c>
      <c r="B33" s="8" t="s">
        <v>14</v>
      </c>
      <c r="C33" s="8" t="s">
        <v>14</v>
      </c>
      <c r="D33" s="8" t="s">
        <v>43</v>
      </c>
      <c r="E33" s="9">
        <v>35.130000000000003</v>
      </c>
      <c r="F33" s="8" t="s">
        <v>16</v>
      </c>
      <c r="G33" s="143">
        <v>4918</v>
      </c>
      <c r="H33" s="132">
        <f t="shared" si="10"/>
        <v>46240</v>
      </c>
      <c r="I33" s="140">
        <f t="shared" si="10"/>
        <v>111</v>
      </c>
      <c r="J33" s="9">
        <f t="shared" si="1"/>
        <v>2.2570150467669787</v>
      </c>
      <c r="K33" s="140">
        <f t="shared" si="2"/>
        <v>7</v>
      </c>
      <c r="L33" s="206">
        <f t="shared" si="3"/>
        <v>6.3063063063063058</v>
      </c>
      <c r="M33" s="8" t="str">
        <f t="array" ref="M33">IF(L33&gt;5,"Perlu Sensus",IF(AND(L33&gt;=0,I33&gt;0),"Tetap Deteksi","Belum Deteksi"))</f>
        <v>Perlu Sensus</v>
      </c>
      <c r="N33" s="132">
        <f t="array" ref="N33">INDEX('[20]LS (Deteksi) Agustus'!N$7:N$303,MATCH(1,('[20]LS (Deteksi) Agustus'!$D$7:$D$303=$D33)*('[20]LS (Deteksi) Agustus'!$D$7:$D$303=$D33),0))</f>
        <v>46240</v>
      </c>
      <c r="O33" s="203">
        <f t="array" ref="O33">INDEX('[20]LS (Deteksi) Agustus'!O$7:O$303,MATCH(1,('[20]LS (Deteksi) Agustus'!$D$7:$D$303=$D33)*('[20]LS (Deteksi) Agustus'!$D$7:$D$303=$D33),0))</f>
        <v>111</v>
      </c>
      <c r="P33" s="9">
        <f t="array" ref="P33">IFERROR(O33/G33*100,0)</f>
        <v>2.2570150467669787</v>
      </c>
      <c r="Q33" s="203">
        <f t="array" ref="Q33">INDEX('[20]LS (Deteksi) Agustus'!Q$7:Q$303,MATCH(1,('[20]LS (Deteksi) Agustus'!$D$7:$D$303=$D33)*('[20]LS (Deteksi) Agustus'!$D$7:$D$303=$D33),0))</f>
        <v>7</v>
      </c>
      <c r="R33" s="9">
        <f t="shared" si="6"/>
        <v>6.3063063063063058</v>
      </c>
      <c r="S33" s="8" t="str">
        <f t="array" ref="S33">IF(R33&gt;5,"Perlu Sensus",IF(AND(R33&gt;=0,O33&gt;0),"Tetap Deteksi","Belum Deteksi"))</f>
        <v>Perlu Sensus</v>
      </c>
      <c r="T33" s="203">
        <f t="array" ref="T33">INDEX('[20]LS (Deteksi) Agustus'!T$7:T$303,MATCH(1,('[20]LS (Deteksi) Agustus'!$D$7:$D$303=$D33)*('[20]LS (Deteksi) Agustus'!$D$7:$D$303=$D33),0))</f>
        <v>17</v>
      </c>
      <c r="U33" s="9">
        <f t="shared" si="7"/>
        <v>15.315315315315313</v>
      </c>
      <c r="V33" s="132">
        <f t="array" ref="V33">INDEX('[20]LS (Deteksi) Agustus'!V$7:V$303,MATCH(1,('[20]LS (Deteksi) Agustus'!$D$7:$D$303=$D33)*('[20]LS (Deteksi) Agustus'!$D$7:$D$303=$D33),0))</f>
        <v>46241</v>
      </c>
      <c r="W33" s="203">
        <f t="array" ref="W33">INDEX('[20]LS (Deteksi) Agustus'!W$7:W$303,MATCH(1,('[20]LS (Deteksi) Agustus'!$D$7:$D$303=$D33)*('[20]LS (Deteksi) Agustus'!$D$7:$D$303=$D33),0))</f>
        <v>254</v>
      </c>
      <c r="X33" s="203">
        <f t="array" ref="X33">INDEX('[20]LS (Deteksi) Agustus'!X$7:X$303,MATCH(1,('[20]LS (Deteksi) Agustus'!$D$7:$D$303=$D33)*('[20]LS (Deteksi) Agustus'!$D$7:$D$303=$D33),0))</f>
        <v>17</v>
      </c>
      <c r="Y33" s="9">
        <f t="shared" si="8"/>
        <v>6.6929133858267722</v>
      </c>
      <c r="Z33" s="8" t="str">
        <f t="array" ref="Z33">IF(Y33&gt;5,"Perlu Sensus",IF(AND(Y33&gt;0,,O33&gt;0),"Tetap Deteksi","Belum Deteksi"))</f>
        <v>Perlu Sensus</v>
      </c>
      <c r="AA33" s="203">
        <f t="array" ref="AA33">INDEX('[20]LS (Deteksi) Agustus'!AA$7:AA$303,MATCH(1,('[20]LS (Deteksi) Agustus'!$D$7:$D$303=$D33)*('[20]LS (Deteksi) Agustus'!$D$7:$D$303=$D33),0))</f>
        <v>30</v>
      </c>
      <c r="AB33" s="9">
        <f t="shared" si="9"/>
        <v>11.811023622047244</v>
      </c>
    </row>
    <row r="34" spans="1:28" outlineLevel="1" x14ac:dyDescent="0.15">
      <c r="A34" s="8" t="s">
        <v>13</v>
      </c>
      <c r="B34" s="8" t="s">
        <v>14</v>
      </c>
      <c r="C34" s="8" t="s">
        <v>14</v>
      </c>
      <c r="D34" s="8" t="s">
        <v>44</v>
      </c>
      <c r="E34" s="9">
        <v>44.89</v>
      </c>
      <c r="F34" s="8" t="s">
        <v>16</v>
      </c>
      <c r="G34" s="143">
        <v>6188</v>
      </c>
      <c r="H34" s="132">
        <f t="shared" si="10"/>
        <v>46237</v>
      </c>
      <c r="I34" s="140">
        <f t="shared" si="10"/>
        <v>55</v>
      </c>
      <c r="J34" s="9">
        <f t="shared" si="1"/>
        <v>0.88881706528765347</v>
      </c>
      <c r="K34" s="140">
        <f t="shared" si="2"/>
        <v>3</v>
      </c>
      <c r="L34" s="206">
        <f t="shared" si="3"/>
        <v>5.4545454545454541</v>
      </c>
      <c r="M34" s="8" t="str">
        <f t="array" ref="M34">IF(L34&gt;5,"Perlu Sensus",IF(AND(L34&gt;=0,I34&gt;0),"Tetap Deteksi","Belum Deteksi"))</f>
        <v>Perlu Sensus</v>
      </c>
      <c r="N34" s="132">
        <f t="array" ref="N34">INDEX('[20]LS (Deteksi) Agustus'!N$7:N$303,MATCH(1,('[20]LS (Deteksi) Agustus'!$D$7:$D$303=$D34)*('[20]LS (Deteksi) Agustus'!$D$7:$D$303=$D34),0))</f>
        <v>46237</v>
      </c>
      <c r="O34" s="203">
        <f t="array" ref="O34">INDEX('[20]LS (Deteksi) Agustus'!O$7:O$303,MATCH(1,('[20]LS (Deteksi) Agustus'!$D$7:$D$303=$D34)*('[20]LS (Deteksi) Agustus'!$D$7:$D$303=$D34),0))</f>
        <v>55</v>
      </c>
      <c r="P34" s="9">
        <f t="array" ref="P34">IFERROR(O34/G34*100,0)</f>
        <v>0.88881706528765347</v>
      </c>
      <c r="Q34" s="203">
        <f t="array" ref="Q34">INDEX('[20]LS (Deteksi) Agustus'!Q$7:Q$303,MATCH(1,('[20]LS (Deteksi) Agustus'!$D$7:$D$303=$D34)*('[20]LS (Deteksi) Agustus'!$D$7:$D$303=$D34),0))</f>
        <v>3</v>
      </c>
      <c r="R34" s="9">
        <f t="shared" si="6"/>
        <v>5.4545454545454541</v>
      </c>
      <c r="S34" s="8" t="str">
        <f t="array" ref="S34">IF(R34&gt;5,"Perlu Sensus",IF(AND(R34&gt;=0,O34&gt;0),"Tetap Deteksi","Belum Deteksi"))</f>
        <v>Perlu Sensus</v>
      </c>
      <c r="T34" s="203">
        <f t="array" ref="T34">INDEX('[20]LS (Deteksi) Agustus'!T$7:T$303,MATCH(1,('[20]LS (Deteksi) Agustus'!$D$7:$D$303=$D34)*('[20]LS (Deteksi) Agustus'!$D$7:$D$303=$D34),0))</f>
        <v>8</v>
      </c>
      <c r="U34" s="9">
        <f t="shared" si="7"/>
        <v>14.545454545454545</v>
      </c>
      <c r="V34" s="132">
        <f t="array" ref="V34">INDEX('[20]LS (Deteksi) Agustus'!V$7:V$303,MATCH(1,('[20]LS (Deteksi) Agustus'!$D$7:$D$303=$D34)*('[20]LS (Deteksi) Agustus'!$D$7:$D$303=$D34),0))</f>
        <v>46239</v>
      </c>
      <c r="W34" s="203">
        <f t="array" ref="W34">INDEX('[20]LS (Deteksi) Agustus'!W$7:W$303,MATCH(1,('[20]LS (Deteksi) Agustus'!$D$7:$D$303=$D34)*('[20]LS (Deteksi) Agustus'!$D$7:$D$303=$D34),0))</f>
        <v>139</v>
      </c>
      <c r="X34" s="203">
        <f t="array" ref="X34">INDEX('[20]LS (Deteksi) Agustus'!X$7:X$303,MATCH(1,('[20]LS (Deteksi) Agustus'!$D$7:$D$303=$D34)*('[20]LS (Deteksi) Agustus'!$D$7:$D$303=$D34),0))</f>
        <v>9</v>
      </c>
      <c r="Y34" s="9">
        <f t="shared" si="8"/>
        <v>6.4748201438848918</v>
      </c>
      <c r="Z34" s="8" t="str">
        <f t="array" ref="Z34">IF(Y34&gt;5,"Perlu Sensus",IF(AND(Y34&gt;0,,O34&gt;0),"Tetap Deteksi","Belum Deteksi"))</f>
        <v>Perlu Sensus</v>
      </c>
      <c r="AA34" s="203">
        <f t="array" ref="AA34">INDEX('[20]LS (Deteksi) Agustus'!AA$7:AA$303,MATCH(1,('[20]LS (Deteksi) Agustus'!$D$7:$D$303=$D34)*('[20]LS (Deteksi) Agustus'!$D$7:$D$303=$D34),0))</f>
        <v>7</v>
      </c>
      <c r="AB34" s="9">
        <f t="shared" si="9"/>
        <v>5.0359712230215825</v>
      </c>
    </row>
    <row r="35" spans="1:28" outlineLevel="1" x14ac:dyDescent="0.15">
      <c r="A35" s="8" t="s">
        <v>13</v>
      </c>
      <c r="B35" s="8" t="s">
        <v>14</v>
      </c>
      <c r="C35" s="8" t="s">
        <v>14</v>
      </c>
      <c r="D35" s="8" t="s">
        <v>45</v>
      </c>
      <c r="E35" s="9">
        <v>29.8</v>
      </c>
      <c r="F35" s="8" t="s">
        <v>16</v>
      </c>
      <c r="G35" s="143">
        <v>4104</v>
      </c>
      <c r="H35" s="132">
        <f t="shared" si="10"/>
        <v>46238</v>
      </c>
      <c r="I35" s="140">
        <f t="shared" si="10"/>
        <v>116</v>
      </c>
      <c r="J35" s="9">
        <f t="shared" si="1"/>
        <v>2.8265107212475633</v>
      </c>
      <c r="K35" s="140">
        <f t="shared" si="2"/>
        <v>7</v>
      </c>
      <c r="L35" s="206">
        <f t="shared" si="3"/>
        <v>6.0344827586206895</v>
      </c>
      <c r="M35" s="8" t="str">
        <f t="array" ref="M35">IF(L35&gt;5,"Perlu Sensus",IF(AND(L35&gt;=0,I35&gt;0),"Tetap Deteksi","Belum Deteksi"))</f>
        <v>Perlu Sensus</v>
      </c>
      <c r="N35" s="132">
        <f t="array" ref="N35">INDEX('[20]LS (Deteksi) Agustus'!N$7:N$303,MATCH(1,('[20]LS (Deteksi) Agustus'!$D$7:$D$303=$D35)*('[20]LS (Deteksi) Agustus'!$D$7:$D$303=$D35),0))</f>
        <v>46238</v>
      </c>
      <c r="O35" s="203">
        <f t="array" ref="O35">INDEX('[20]LS (Deteksi) Agustus'!O$7:O$303,MATCH(1,('[20]LS (Deteksi) Agustus'!$D$7:$D$303=$D35)*('[20]LS (Deteksi) Agustus'!$D$7:$D$303=$D35),0))</f>
        <v>116</v>
      </c>
      <c r="P35" s="9">
        <f t="array" ref="P35">IFERROR(O35/G35*100,0)</f>
        <v>2.8265107212475633</v>
      </c>
      <c r="Q35" s="203">
        <f t="array" ref="Q35">INDEX('[20]LS (Deteksi) Agustus'!Q$7:Q$303,MATCH(1,('[20]LS (Deteksi) Agustus'!$D$7:$D$303=$D35)*('[20]LS (Deteksi) Agustus'!$D$7:$D$303=$D35),0))</f>
        <v>7</v>
      </c>
      <c r="R35" s="9">
        <f t="shared" si="6"/>
        <v>6.0344827586206895</v>
      </c>
      <c r="S35" s="8" t="str">
        <f t="array" ref="S35">IF(R35&gt;5,"Perlu Sensus",IF(AND(R35&gt;=0,O35&gt;0),"Tetap Deteksi","Belum Deteksi"))</f>
        <v>Perlu Sensus</v>
      </c>
      <c r="T35" s="203">
        <f t="array" ref="T35">INDEX('[20]LS (Deteksi) Agustus'!T$7:T$303,MATCH(1,('[20]LS (Deteksi) Agustus'!$D$7:$D$303=$D35)*('[20]LS (Deteksi) Agustus'!$D$7:$D$303=$D35),0))</f>
        <v>31</v>
      </c>
      <c r="U35" s="9">
        <f t="shared" si="7"/>
        <v>26.72413793103448</v>
      </c>
      <c r="V35" s="132">
        <f t="array" ref="V35">INDEX('[20]LS (Deteksi) Agustus'!V$7:V$303,MATCH(1,('[20]LS (Deteksi) Agustus'!$D$7:$D$303=$D35)*('[20]LS (Deteksi) Agustus'!$D$7:$D$303=$D35),0))</f>
        <v>46240</v>
      </c>
      <c r="W35" s="203">
        <f t="array" ref="W35">INDEX('[20]LS (Deteksi) Agustus'!W$7:W$303,MATCH(1,('[20]LS (Deteksi) Agustus'!$D$7:$D$303=$D35)*('[20]LS (Deteksi) Agustus'!$D$7:$D$303=$D35),0))</f>
        <v>167</v>
      </c>
      <c r="X35" s="203">
        <f t="array" ref="X35">INDEX('[20]LS (Deteksi) Agustus'!X$7:X$303,MATCH(1,('[20]LS (Deteksi) Agustus'!$D$7:$D$303=$D35)*('[20]LS (Deteksi) Agustus'!$D$7:$D$303=$D35),0))</f>
        <v>9</v>
      </c>
      <c r="Y35" s="9">
        <f t="shared" si="8"/>
        <v>5.3892215568862278</v>
      </c>
      <c r="Z35" s="8" t="str">
        <f t="array" ref="Z35">IF(Y35&gt;5,"Perlu Sensus",IF(AND(Y35&gt;0,,O35&gt;0),"Tetap Deteksi","Belum Deteksi"))</f>
        <v>Perlu Sensus</v>
      </c>
      <c r="AA35" s="203">
        <f t="array" ref="AA35">INDEX('[20]LS (Deteksi) Agustus'!AA$7:AA$303,MATCH(1,('[20]LS (Deteksi) Agustus'!$D$7:$D$303=$D35)*('[20]LS (Deteksi) Agustus'!$D$7:$D$303=$D35),0))</f>
        <v>5</v>
      </c>
      <c r="AB35" s="9">
        <f t="shared" si="9"/>
        <v>2.9940119760479043</v>
      </c>
    </row>
    <row r="36" spans="1:28" outlineLevel="1" x14ac:dyDescent="0.15">
      <c r="A36" s="8" t="s">
        <v>13</v>
      </c>
      <c r="B36" s="8" t="s">
        <v>14</v>
      </c>
      <c r="C36" s="8" t="s">
        <v>14</v>
      </c>
      <c r="D36" s="8" t="s">
        <v>46</v>
      </c>
      <c r="E36" s="9">
        <v>21</v>
      </c>
      <c r="F36" s="8" t="s">
        <v>16</v>
      </c>
      <c r="G36" s="143">
        <v>2926</v>
      </c>
      <c r="H36" s="132">
        <f t="shared" si="10"/>
        <v>46238</v>
      </c>
      <c r="I36" s="140">
        <f t="shared" si="10"/>
        <v>120</v>
      </c>
      <c r="J36" s="9">
        <f t="shared" si="1"/>
        <v>4.1011619958988383</v>
      </c>
      <c r="K36" s="140">
        <f t="shared" si="2"/>
        <v>7</v>
      </c>
      <c r="L36" s="206">
        <f t="shared" si="3"/>
        <v>5.833333333333333</v>
      </c>
      <c r="M36" s="8" t="str">
        <f t="array" ref="M36">IF(L36&gt;5,"Perlu Sensus",IF(AND(L36&gt;=0,I36&gt;0),"Tetap Deteksi","Belum Deteksi"))</f>
        <v>Perlu Sensus</v>
      </c>
      <c r="N36" s="132">
        <f t="array" ref="N36">INDEX('[20]LS (Deteksi) Agustus'!N$7:N$303,MATCH(1,('[20]LS (Deteksi) Agustus'!$D$7:$D$303=$D36)*('[20]LS (Deteksi) Agustus'!$D$7:$D$303=$D36),0))</f>
        <v>46238</v>
      </c>
      <c r="O36" s="203">
        <f t="array" ref="O36">INDEX('[20]LS (Deteksi) Agustus'!O$7:O$303,MATCH(1,('[20]LS (Deteksi) Agustus'!$D$7:$D$303=$D36)*('[20]LS (Deteksi) Agustus'!$D$7:$D$303=$D36),0))</f>
        <v>120</v>
      </c>
      <c r="P36" s="9">
        <f t="array" ref="P36">IFERROR(O36/G36*100,0)</f>
        <v>4.1011619958988383</v>
      </c>
      <c r="Q36" s="203">
        <f t="array" ref="Q36">INDEX('[20]LS (Deteksi) Agustus'!Q$7:Q$303,MATCH(1,('[20]LS (Deteksi) Agustus'!$D$7:$D$303=$D36)*('[20]LS (Deteksi) Agustus'!$D$7:$D$303=$D36),0))</f>
        <v>7</v>
      </c>
      <c r="R36" s="9">
        <f t="shared" si="6"/>
        <v>5.833333333333333</v>
      </c>
      <c r="S36" s="8" t="str">
        <f t="array" ref="S36">IF(R36&gt;5,"Perlu Sensus",IF(AND(R36&gt;=0,O36&gt;0),"Tetap Deteksi","Belum Deteksi"))</f>
        <v>Perlu Sensus</v>
      </c>
      <c r="T36" s="203">
        <f t="array" ref="T36">INDEX('[20]LS (Deteksi) Agustus'!T$7:T$303,MATCH(1,('[20]LS (Deteksi) Agustus'!$D$7:$D$303=$D36)*('[20]LS (Deteksi) Agustus'!$D$7:$D$303=$D36),0))</f>
        <v>18</v>
      </c>
      <c r="U36" s="9">
        <f t="shared" si="7"/>
        <v>15</v>
      </c>
      <c r="V36" s="132">
        <f t="array" ref="V36">INDEX('[20]LS (Deteksi) Agustus'!V$7:V$303,MATCH(1,('[20]LS (Deteksi) Agustus'!$D$7:$D$303=$D36)*('[20]LS (Deteksi) Agustus'!$D$7:$D$303=$D36),0))</f>
        <v>46240</v>
      </c>
      <c r="W36" s="203">
        <f t="array" ref="W36">INDEX('[20]LS (Deteksi) Agustus'!W$7:W$303,MATCH(1,('[20]LS (Deteksi) Agustus'!$D$7:$D$303=$D36)*('[20]LS (Deteksi) Agustus'!$D$7:$D$303=$D36),0))</f>
        <v>235</v>
      </c>
      <c r="X36" s="203">
        <f t="array" ref="X36">INDEX('[20]LS (Deteksi) Agustus'!X$7:X$303,MATCH(1,('[20]LS (Deteksi) Agustus'!$D$7:$D$303=$D36)*('[20]LS (Deteksi) Agustus'!$D$7:$D$303=$D36),0))</f>
        <v>18</v>
      </c>
      <c r="Y36" s="9">
        <f t="shared" si="8"/>
        <v>7.6595744680851059</v>
      </c>
      <c r="Z36" s="8" t="str">
        <f t="array" ref="Z36">IF(Y36&gt;5,"Perlu Sensus",IF(AND(Y36&gt;0,,O36&gt;0),"Tetap Deteksi","Belum Deteksi"))</f>
        <v>Perlu Sensus</v>
      </c>
      <c r="AA36" s="203">
        <f t="array" ref="AA36">INDEX('[20]LS (Deteksi) Agustus'!AA$7:AA$303,MATCH(1,('[20]LS (Deteksi) Agustus'!$D$7:$D$303=$D36)*('[20]LS (Deteksi) Agustus'!$D$7:$D$303=$D36),0))</f>
        <v>8</v>
      </c>
      <c r="AB36" s="9">
        <f t="shared" si="9"/>
        <v>3.4042553191489362</v>
      </c>
    </row>
    <row r="37" spans="1:28" outlineLevel="1" x14ac:dyDescent="0.15">
      <c r="A37" s="8" t="s">
        <v>13</v>
      </c>
      <c r="B37" s="8" t="s">
        <v>14</v>
      </c>
      <c r="C37" s="8" t="s">
        <v>47</v>
      </c>
      <c r="D37" s="8" t="s">
        <v>48</v>
      </c>
      <c r="E37" s="9">
        <v>29.7</v>
      </c>
      <c r="F37" s="8" t="s">
        <v>16</v>
      </c>
      <c r="G37" s="143">
        <v>4029</v>
      </c>
      <c r="H37" s="132">
        <f t="shared" si="10"/>
        <v>46240</v>
      </c>
      <c r="I37" s="140">
        <f t="shared" si="10"/>
        <v>131</v>
      </c>
      <c r="J37" s="9">
        <f t="shared" si="1"/>
        <v>3.251427153139737</v>
      </c>
      <c r="K37" s="140">
        <f t="shared" si="2"/>
        <v>5</v>
      </c>
      <c r="L37" s="206">
        <f t="shared" si="3"/>
        <v>3.8167938931297711</v>
      </c>
      <c r="M37" s="8" t="str">
        <f t="array" ref="M37">IF(L37&gt;5,"Perlu Sensus",IF(AND(L37&gt;=0,I37&gt;0),"Tetap Deteksi","Belum Deteksi"))</f>
        <v>Tetap Deteksi</v>
      </c>
      <c r="N37" s="132">
        <f t="array" ref="N37">INDEX('[20]LS (Deteksi) Agustus'!N$7:N$303,MATCH(1,('[20]LS (Deteksi) Agustus'!$D$7:$D$303=$D37)*('[20]LS (Deteksi) Agustus'!$D$7:$D$303=$D37),0))</f>
        <v>46240</v>
      </c>
      <c r="O37" s="203">
        <f t="array" ref="O37">INDEX('[20]LS (Deteksi) Agustus'!O$7:O$303,MATCH(1,('[20]LS (Deteksi) Agustus'!$D$7:$D$303=$D37)*('[20]LS (Deteksi) Agustus'!$D$7:$D$303=$D37),0))</f>
        <v>131</v>
      </c>
      <c r="P37" s="9">
        <f t="array" ref="P37">IFERROR(O37/G37*100,0)</f>
        <v>3.251427153139737</v>
      </c>
      <c r="Q37" s="203">
        <f t="array" ref="Q37">INDEX('[20]LS (Deteksi) Agustus'!Q$7:Q$303,MATCH(1,('[20]LS (Deteksi) Agustus'!$D$7:$D$303=$D37)*('[20]LS (Deteksi) Agustus'!$D$7:$D$303=$D37),0))</f>
        <v>5</v>
      </c>
      <c r="R37" s="9">
        <f t="shared" si="6"/>
        <v>3.8167938931297711</v>
      </c>
      <c r="S37" s="8" t="str">
        <f t="array" ref="S37">IF(R37&gt;5,"Perlu Sensus",IF(AND(R37&gt;=0,O37&gt;0),"Tetap Deteksi","Belum Deteksi"))</f>
        <v>Tetap Deteksi</v>
      </c>
      <c r="T37" s="203">
        <f t="array" ref="T37">INDEX('[20]LS (Deteksi) Agustus'!T$7:T$303,MATCH(1,('[20]LS (Deteksi) Agustus'!$D$7:$D$303=$D37)*('[20]LS (Deteksi) Agustus'!$D$7:$D$303=$D37),0))</f>
        <v>14</v>
      </c>
      <c r="U37" s="9">
        <f t="shared" si="7"/>
        <v>10.687022900763358</v>
      </c>
      <c r="V37" s="132">
        <f t="array" ref="V37">INDEX('[20]LS (Deteksi) Agustus'!V$7:V$303,MATCH(1,('[20]LS (Deteksi) Agustus'!$D$7:$D$303=$D37)*('[20]LS (Deteksi) Agustus'!$D$7:$D$303=$D37),0))</f>
        <v>46244</v>
      </c>
      <c r="W37" s="203">
        <f t="array" ref="W37">INDEX('[20]LS (Deteksi) Agustus'!W$7:W$303,MATCH(1,('[20]LS (Deteksi) Agustus'!$D$7:$D$303=$D37)*('[20]LS (Deteksi) Agustus'!$D$7:$D$303=$D37),0))</f>
        <v>312</v>
      </c>
      <c r="X37" s="203">
        <f t="array" ref="X37">INDEX('[20]LS (Deteksi) Agustus'!X$7:X$303,MATCH(1,('[20]LS (Deteksi) Agustus'!$D$7:$D$303=$D37)*('[20]LS (Deteksi) Agustus'!$D$7:$D$303=$D37),0))</f>
        <v>15</v>
      </c>
      <c r="Y37" s="9">
        <f t="shared" si="8"/>
        <v>4.8076923076923084</v>
      </c>
      <c r="Z37" s="8" t="str">
        <f t="array" ref="Z37">IF(Y37&gt;5,"Perlu Sensus",IF(AND(Y37&gt;0,,O37&gt;0),"Tetap Deteksi","Belum Deteksi"))</f>
        <v>Belum Deteksi</v>
      </c>
      <c r="AA37" s="203">
        <f t="array" ref="AA37">INDEX('[20]LS (Deteksi) Agustus'!AA$7:AA$303,MATCH(1,('[20]LS (Deteksi) Agustus'!$D$7:$D$303=$D37)*('[20]LS (Deteksi) Agustus'!$D$7:$D$303=$D37),0))</f>
        <v>21</v>
      </c>
      <c r="AB37" s="9">
        <f t="shared" si="9"/>
        <v>6.7307692307692308</v>
      </c>
    </row>
    <row r="38" spans="1:28" outlineLevel="1" x14ac:dyDescent="0.15">
      <c r="A38" s="8" t="s">
        <v>13</v>
      </c>
      <c r="B38" s="8" t="s">
        <v>14</v>
      </c>
      <c r="C38" s="8" t="s">
        <v>47</v>
      </c>
      <c r="D38" s="8" t="s">
        <v>49</v>
      </c>
      <c r="E38" s="9">
        <v>30.59</v>
      </c>
      <c r="F38" s="8" t="s">
        <v>16</v>
      </c>
      <c r="G38" s="143">
        <v>4301</v>
      </c>
      <c r="H38" s="132">
        <f t="shared" si="10"/>
        <v>46241</v>
      </c>
      <c r="I38" s="140">
        <f t="shared" si="10"/>
        <v>93</v>
      </c>
      <c r="J38" s="9">
        <f t="shared" si="1"/>
        <v>2.1622878400372008</v>
      </c>
      <c r="K38" s="140">
        <f t="shared" si="2"/>
        <v>8</v>
      </c>
      <c r="L38" s="206">
        <f t="shared" si="3"/>
        <v>8.6021505376344098</v>
      </c>
      <c r="M38" s="8" t="str">
        <f t="array" ref="M38">IF(L38&gt;5,"Perlu Sensus",IF(AND(L38&gt;=0,I38&gt;0),"Tetap Deteksi","Belum Deteksi"))</f>
        <v>Perlu Sensus</v>
      </c>
      <c r="N38" s="132">
        <f t="array" ref="N38">INDEX('[20]LS (Deteksi) Agustus'!N$7:N$303,MATCH(1,('[20]LS (Deteksi) Agustus'!$D$7:$D$303=$D38)*('[20]LS (Deteksi) Agustus'!$D$7:$D$303=$D38),0))</f>
        <v>46241</v>
      </c>
      <c r="O38" s="203">
        <f t="array" ref="O38">INDEX('[20]LS (Deteksi) Agustus'!O$7:O$303,MATCH(1,('[20]LS (Deteksi) Agustus'!$D$7:$D$303=$D38)*('[20]LS (Deteksi) Agustus'!$D$7:$D$303=$D38),0))</f>
        <v>93</v>
      </c>
      <c r="P38" s="9">
        <f t="array" ref="P38">IFERROR(O38/G38*100,0)</f>
        <v>2.1622878400372008</v>
      </c>
      <c r="Q38" s="203">
        <f t="array" ref="Q38">INDEX('[20]LS (Deteksi) Agustus'!Q$7:Q$303,MATCH(1,('[20]LS (Deteksi) Agustus'!$D$7:$D$303=$D38)*('[20]LS (Deteksi) Agustus'!$D$7:$D$303=$D38),0))</f>
        <v>8</v>
      </c>
      <c r="R38" s="9">
        <f t="shared" si="6"/>
        <v>8.6021505376344098</v>
      </c>
      <c r="S38" s="8" t="str">
        <f t="array" ref="S38">IF(R38&gt;5,"Perlu Sensus",IF(AND(R38&gt;=0,O38&gt;0),"Tetap Deteksi","Belum Deteksi"))</f>
        <v>Perlu Sensus</v>
      </c>
      <c r="T38" s="203">
        <f t="array" ref="T38">INDEX('[20]LS (Deteksi) Agustus'!T$7:T$303,MATCH(1,('[20]LS (Deteksi) Agustus'!$D$7:$D$303=$D38)*('[20]LS (Deteksi) Agustus'!$D$7:$D$303=$D38),0))</f>
        <v>13</v>
      </c>
      <c r="U38" s="9">
        <f t="shared" si="7"/>
        <v>13.978494623655912</v>
      </c>
      <c r="V38" s="132">
        <f t="array" ref="V38">INDEX('[20]LS (Deteksi) Agustus'!V$7:V$303,MATCH(1,('[20]LS (Deteksi) Agustus'!$D$7:$D$303=$D38)*('[20]LS (Deteksi) Agustus'!$D$7:$D$303=$D38),0))</f>
        <v>46244</v>
      </c>
      <c r="W38" s="203">
        <f t="array" ref="W38">INDEX('[20]LS (Deteksi) Agustus'!W$7:W$303,MATCH(1,('[20]LS (Deteksi) Agustus'!$D$7:$D$303=$D38)*('[20]LS (Deteksi) Agustus'!$D$7:$D$303=$D38),0))</f>
        <v>178</v>
      </c>
      <c r="X38" s="203">
        <f t="array" ref="X38">INDEX('[20]LS (Deteksi) Agustus'!X$7:X$303,MATCH(1,('[20]LS (Deteksi) Agustus'!$D$7:$D$303=$D38)*('[20]LS (Deteksi) Agustus'!$D$7:$D$303=$D38),0))</f>
        <v>9</v>
      </c>
      <c r="Y38" s="9">
        <f t="shared" si="8"/>
        <v>5.0561797752808983</v>
      </c>
      <c r="Z38" s="8" t="str">
        <f t="array" ref="Z38">IF(Y38&gt;5,"Perlu Sensus",IF(AND(Y38&gt;0,,O38&gt;0),"Tetap Deteksi","Belum Deteksi"))</f>
        <v>Perlu Sensus</v>
      </c>
      <c r="AA38" s="203">
        <f t="array" ref="AA38">INDEX('[20]LS (Deteksi) Agustus'!AA$7:AA$303,MATCH(1,('[20]LS (Deteksi) Agustus'!$D$7:$D$303=$D38)*('[20]LS (Deteksi) Agustus'!$D$7:$D$303=$D38),0))</f>
        <v>12</v>
      </c>
      <c r="AB38" s="9">
        <f t="shared" si="9"/>
        <v>6.7415730337078648</v>
      </c>
    </row>
    <row r="39" spans="1:28" outlineLevel="1" x14ac:dyDescent="0.15">
      <c r="A39" s="8" t="s">
        <v>13</v>
      </c>
      <c r="B39" s="8" t="s">
        <v>14</v>
      </c>
      <c r="C39" s="8" t="s">
        <v>47</v>
      </c>
      <c r="D39" s="8" t="s">
        <v>50</v>
      </c>
      <c r="E39" s="9">
        <v>38.97</v>
      </c>
      <c r="F39" s="8" t="s">
        <v>16</v>
      </c>
      <c r="G39" s="143">
        <v>5024</v>
      </c>
      <c r="H39" s="132">
        <f t="shared" si="10"/>
        <v>46241</v>
      </c>
      <c r="I39" s="140">
        <f t="shared" si="10"/>
        <v>104</v>
      </c>
      <c r="J39" s="9">
        <f t="shared" si="1"/>
        <v>2.0700636942675157</v>
      </c>
      <c r="K39" s="140">
        <f t="shared" si="2"/>
        <v>6</v>
      </c>
      <c r="L39" s="206">
        <f t="shared" si="3"/>
        <v>5.7692307692307692</v>
      </c>
      <c r="M39" s="8" t="str">
        <f t="array" ref="M39">IF(L39&gt;5,"Perlu Sensus",IF(AND(L39&gt;=0,I39&gt;0),"Tetap Deteksi","Belum Deteksi"))</f>
        <v>Perlu Sensus</v>
      </c>
      <c r="N39" s="132">
        <f t="array" ref="N39">INDEX('[20]LS (Deteksi) Agustus'!N$7:N$303,MATCH(1,('[20]LS (Deteksi) Agustus'!$D$7:$D$303=$D39)*('[20]LS (Deteksi) Agustus'!$D$7:$D$303=$D39),0))</f>
        <v>46241</v>
      </c>
      <c r="O39" s="203">
        <f t="array" ref="O39">INDEX('[20]LS (Deteksi) Agustus'!O$7:O$303,MATCH(1,('[20]LS (Deteksi) Agustus'!$D$7:$D$303=$D39)*('[20]LS (Deteksi) Agustus'!$D$7:$D$303=$D39),0))</f>
        <v>104</v>
      </c>
      <c r="P39" s="9">
        <f t="array" ref="P39">IFERROR(O39/G39*100,0)</f>
        <v>2.0700636942675157</v>
      </c>
      <c r="Q39" s="203">
        <f t="array" ref="Q39">INDEX('[20]LS (Deteksi) Agustus'!Q$7:Q$303,MATCH(1,('[20]LS (Deteksi) Agustus'!$D$7:$D$303=$D39)*('[20]LS (Deteksi) Agustus'!$D$7:$D$303=$D39),0))</f>
        <v>6</v>
      </c>
      <c r="R39" s="9">
        <f t="shared" si="6"/>
        <v>5.7692307692307692</v>
      </c>
      <c r="S39" s="8" t="str">
        <f t="array" ref="S39">IF(R39&gt;5,"Perlu Sensus",IF(AND(R39&gt;=0,O39&gt;0),"Tetap Deteksi","Belum Deteksi"))</f>
        <v>Perlu Sensus</v>
      </c>
      <c r="T39" s="203">
        <f t="array" ref="T39">INDEX('[20]LS (Deteksi) Agustus'!T$7:T$303,MATCH(1,('[20]LS (Deteksi) Agustus'!$D$7:$D$303=$D39)*('[20]LS (Deteksi) Agustus'!$D$7:$D$303=$D39),0))</f>
        <v>15</v>
      </c>
      <c r="U39" s="9">
        <f t="shared" si="7"/>
        <v>14.423076923076922</v>
      </c>
      <c r="V39" s="132">
        <f t="array" ref="V39">INDEX('[20]LS (Deteksi) Agustus'!V$7:V$303,MATCH(1,('[20]LS (Deteksi) Agustus'!$D$7:$D$303=$D39)*('[20]LS (Deteksi) Agustus'!$D$7:$D$303=$D39),0))</f>
        <v>46242</v>
      </c>
      <c r="W39" s="203">
        <f t="array" ref="W39">INDEX('[20]LS (Deteksi) Agustus'!W$7:W$303,MATCH(1,('[20]LS (Deteksi) Agustus'!$D$7:$D$303=$D39)*('[20]LS (Deteksi) Agustus'!$D$7:$D$303=$D39),0))</f>
        <v>198</v>
      </c>
      <c r="X39" s="203">
        <f t="array" ref="X39">INDEX('[20]LS (Deteksi) Agustus'!X$7:X$303,MATCH(1,('[20]LS (Deteksi) Agustus'!$D$7:$D$303=$D39)*('[20]LS (Deteksi) Agustus'!$D$7:$D$303=$D39),0))</f>
        <v>12</v>
      </c>
      <c r="Y39" s="9">
        <f t="shared" si="8"/>
        <v>6.0606060606060606</v>
      </c>
      <c r="Z39" s="8" t="str">
        <f t="array" ref="Z39">IF(Y39&gt;5,"Perlu Sensus",IF(AND(Y39&gt;0,,O39&gt;0),"Tetap Deteksi","Belum Deteksi"))</f>
        <v>Perlu Sensus</v>
      </c>
      <c r="AA39" s="203">
        <f t="array" ref="AA39">INDEX('[20]LS (Deteksi) Agustus'!AA$7:AA$303,MATCH(1,('[20]LS (Deteksi) Agustus'!$D$7:$D$303=$D39)*('[20]LS (Deteksi) Agustus'!$D$7:$D$303=$D39),0))</f>
        <v>10</v>
      </c>
      <c r="AB39" s="9">
        <f t="shared" si="9"/>
        <v>5.0505050505050502</v>
      </c>
    </row>
    <row r="40" spans="1:28" outlineLevel="1" x14ac:dyDescent="0.15">
      <c r="A40" s="8" t="s">
        <v>13</v>
      </c>
      <c r="B40" s="8" t="s">
        <v>14</v>
      </c>
      <c r="C40" s="8" t="s">
        <v>47</v>
      </c>
      <c r="D40" s="8" t="s">
        <v>51</v>
      </c>
      <c r="E40" s="9">
        <v>29.37</v>
      </c>
      <c r="F40" s="8" t="s">
        <v>16</v>
      </c>
      <c r="G40" s="143">
        <v>3928</v>
      </c>
      <c r="H40" s="132">
        <f t="shared" si="10"/>
        <v>46242</v>
      </c>
      <c r="I40" s="140">
        <f t="shared" si="10"/>
        <v>124</v>
      </c>
      <c r="J40" s="9">
        <f t="shared" si="1"/>
        <v>3.1568228105906315</v>
      </c>
      <c r="K40" s="140">
        <f t="shared" si="2"/>
        <v>7</v>
      </c>
      <c r="L40" s="206">
        <f t="shared" si="3"/>
        <v>5.6451612903225801</v>
      </c>
      <c r="M40" s="8" t="str">
        <f t="array" ref="M40">IF(L40&gt;5,"Perlu Sensus",IF(AND(L40&gt;=0,I40&gt;0),"Tetap Deteksi","Belum Deteksi"))</f>
        <v>Perlu Sensus</v>
      </c>
      <c r="N40" s="132">
        <f t="array" ref="N40">INDEX('[20]LS (Deteksi) Agustus'!N$7:N$303,MATCH(1,('[20]LS (Deteksi) Agustus'!$D$7:$D$303=$D40)*('[20]LS (Deteksi) Agustus'!$D$7:$D$303=$D40),0))</f>
        <v>46242</v>
      </c>
      <c r="O40" s="203">
        <f t="array" ref="O40">INDEX('[20]LS (Deteksi) Agustus'!O$7:O$303,MATCH(1,('[20]LS (Deteksi) Agustus'!$D$7:$D$303=$D40)*('[20]LS (Deteksi) Agustus'!$D$7:$D$303=$D40),0))</f>
        <v>124</v>
      </c>
      <c r="P40" s="9">
        <f t="array" ref="P40">IFERROR(O40/G40*100,0)</f>
        <v>3.1568228105906315</v>
      </c>
      <c r="Q40" s="203">
        <f t="array" ref="Q40">INDEX('[20]LS (Deteksi) Agustus'!Q$7:Q$303,MATCH(1,('[20]LS (Deteksi) Agustus'!$D$7:$D$303=$D40)*('[20]LS (Deteksi) Agustus'!$D$7:$D$303=$D40),0))</f>
        <v>7</v>
      </c>
      <c r="R40" s="9">
        <f t="shared" si="6"/>
        <v>5.6451612903225801</v>
      </c>
      <c r="S40" s="8" t="str">
        <f t="array" ref="S40">IF(R40&gt;5,"Perlu Sensus",IF(AND(R40&gt;=0,O40&gt;0),"Tetap Deteksi","Belum Deteksi"))</f>
        <v>Perlu Sensus</v>
      </c>
      <c r="T40" s="203">
        <f t="array" ref="T40">INDEX('[20]LS (Deteksi) Agustus'!T$7:T$303,MATCH(1,('[20]LS (Deteksi) Agustus'!$D$7:$D$303=$D40)*('[20]LS (Deteksi) Agustus'!$D$7:$D$303=$D40),0))</f>
        <v>20</v>
      </c>
      <c r="U40" s="9">
        <f t="shared" si="7"/>
        <v>16.129032258064516</v>
      </c>
      <c r="V40" s="132">
        <f t="array" ref="V40">INDEX('[20]LS (Deteksi) Agustus'!V$7:V$303,MATCH(1,('[20]LS (Deteksi) Agustus'!$D$7:$D$303=$D40)*('[20]LS (Deteksi) Agustus'!$D$7:$D$303=$D40),0))</f>
        <v>46235</v>
      </c>
      <c r="W40" s="203">
        <f t="array" ref="W40">INDEX('[20]LS (Deteksi) Agustus'!W$7:W$303,MATCH(1,('[20]LS (Deteksi) Agustus'!$D$7:$D$303=$D40)*('[20]LS (Deteksi) Agustus'!$D$7:$D$303=$D40),0))</f>
        <v>156</v>
      </c>
      <c r="X40" s="203">
        <f t="array" ref="X40">INDEX('[20]LS (Deteksi) Agustus'!X$7:X$303,MATCH(1,('[20]LS (Deteksi) Agustus'!$D$7:$D$303=$D40)*('[20]LS (Deteksi) Agustus'!$D$7:$D$303=$D40),0))</f>
        <v>17</v>
      </c>
      <c r="Y40" s="9">
        <f t="shared" si="8"/>
        <v>10.897435897435898</v>
      </c>
      <c r="Z40" s="8" t="str">
        <f t="array" ref="Z40">IF(Y40&gt;5,"Perlu Sensus",IF(AND(Y40&gt;0,,O40&gt;0),"Tetap Deteksi","Belum Deteksi"))</f>
        <v>Perlu Sensus</v>
      </c>
      <c r="AA40" s="203">
        <f t="array" ref="AA40">INDEX('[20]LS (Deteksi) Agustus'!AA$7:AA$303,MATCH(1,('[20]LS (Deteksi) Agustus'!$D$7:$D$303=$D40)*('[20]LS (Deteksi) Agustus'!$D$7:$D$303=$D40),0))</f>
        <v>20</v>
      </c>
      <c r="AB40" s="9">
        <f t="shared" si="9"/>
        <v>12.820512820512819</v>
      </c>
    </row>
    <row r="41" spans="1:28" outlineLevel="1" x14ac:dyDescent="0.15">
      <c r="A41" s="8" t="s">
        <v>13</v>
      </c>
      <c r="B41" s="8" t="s">
        <v>14</v>
      </c>
      <c r="C41" s="8" t="s">
        <v>47</v>
      </c>
      <c r="D41" s="8" t="s">
        <v>52</v>
      </c>
      <c r="E41" s="9">
        <v>25.93</v>
      </c>
      <c r="F41" s="8" t="s">
        <v>16</v>
      </c>
      <c r="G41" s="143">
        <v>3488</v>
      </c>
      <c r="H41" s="132">
        <f t="shared" si="10"/>
        <v>46242</v>
      </c>
      <c r="I41" s="140">
        <f t="shared" si="10"/>
        <v>89</v>
      </c>
      <c r="J41" s="9">
        <f t="shared" si="1"/>
        <v>2.551605504587156</v>
      </c>
      <c r="K41" s="140">
        <f t="shared" si="2"/>
        <v>7</v>
      </c>
      <c r="L41" s="206">
        <f t="shared" si="3"/>
        <v>7.8651685393258424</v>
      </c>
      <c r="M41" s="8" t="str">
        <f t="array" ref="M41">IF(L41&gt;5,"Perlu Sensus",IF(AND(L41&gt;=0,I41&gt;0),"Tetap Deteksi","Belum Deteksi"))</f>
        <v>Perlu Sensus</v>
      </c>
      <c r="N41" s="132">
        <f t="array" ref="N41">INDEX('[20]LS (Deteksi) Agustus'!N$7:N$303,MATCH(1,('[20]LS (Deteksi) Agustus'!$D$7:$D$303=$D41)*('[20]LS (Deteksi) Agustus'!$D$7:$D$303=$D41),0))</f>
        <v>46242</v>
      </c>
      <c r="O41" s="203">
        <f t="array" ref="O41">INDEX('[20]LS (Deteksi) Agustus'!O$7:O$303,MATCH(1,('[20]LS (Deteksi) Agustus'!$D$7:$D$303=$D41)*('[20]LS (Deteksi) Agustus'!$D$7:$D$303=$D41),0))</f>
        <v>89</v>
      </c>
      <c r="P41" s="9">
        <f t="array" ref="P41">IFERROR(O41/G41*100,0)</f>
        <v>2.551605504587156</v>
      </c>
      <c r="Q41" s="203">
        <f t="array" ref="Q41">INDEX('[20]LS (Deteksi) Agustus'!Q$7:Q$303,MATCH(1,('[20]LS (Deteksi) Agustus'!$D$7:$D$303=$D41)*('[20]LS (Deteksi) Agustus'!$D$7:$D$303=$D41),0))</f>
        <v>7</v>
      </c>
      <c r="R41" s="9">
        <f t="shared" si="6"/>
        <v>7.8651685393258424</v>
      </c>
      <c r="S41" s="8" t="str">
        <f t="array" ref="S41">IF(R41&gt;5,"Perlu Sensus",IF(AND(R41&gt;=0,O41&gt;0),"Tetap Deteksi","Belum Deteksi"))</f>
        <v>Perlu Sensus</v>
      </c>
      <c r="T41" s="203">
        <f t="array" ref="T41">INDEX('[20]LS (Deteksi) Agustus'!T$7:T$303,MATCH(1,('[20]LS (Deteksi) Agustus'!$D$7:$D$303=$D41)*('[20]LS (Deteksi) Agustus'!$D$7:$D$303=$D41),0))</f>
        <v>10</v>
      </c>
      <c r="U41" s="9">
        <f t="shared" si="7"/>
        <v>11.235955056179774</v>
      </c>
      <c r="V41" s="132">
        <f t="array" ref="V41">INDEX('[20]LS (Deteksi) Agustus'!V$7:V$303,MATCH(1,('[20]LS (Deteksi) Agustus'!$D$7:$D$303=$D41)*('[20]LS (Deteksi) Agustus'!$D$7:$D$303=$D41),0))</f>
        <v>46235</v>
      </c>
      <c r="W41" s="203">
        <f t="array" ref="W41">INDEX('[20]LS (Deteksi) Agustus'!W$7:W$303,MATCH(1,('[20]LS (Deteksi) Agustus'!$D$7:$D$303=$D41)*('[20]LS (Deteksi) Agustus'!$D$7:$D$303=$D41),0))</f>
        <v>134</v>
      </c>
      <c r="X41" s="203">
        <f t="array" ref="X41">INDEX('[20]LS (Deteksi) Agustus'!X$7:X$303,MATCH(1,('[20]LS (Deteksi) Agustus'!$D$7:$D$303=$D41)*('[20]LS (Deteksi) Agustus'!$D$7:$D$303=$D41),0))</f>
        <v>7</v>
      </c>
      <c r="Y41" s="9">
        <f t="shared" si="8"/>
        <v>5.2238805970149249</v>
      </c>
      <c r="Z41" s="8" t="str">
        <f t="array" ref="Z41">IF(Y41&gt;5,"Perlu Sensus",IF(AND(Y41&gt;0,,O41&gt;0),"Tetap Deteksi","Belum Deteksi"))</f>
        <v>Perlu Sensus</v>
      </c>
      <c r="AA41" s="203">
        <f t="array" ref="AA41">INDEX('[20]LS (Deteksi) Agustus'!AA$7:AA$303,MATCH(1,('[20]LS (Deteksi) Agustus'!$D$7:$D$303=$D41)*('[20]LS (Deteksi) Agustus'!$D$7:$D$303=$D41),0))</f>
        <v>15</v>
      </c>
      <c r="AB41" s="9">
        <f t="shared" si="9"/>
        <v>11.194029850746269</v>
      </c>
    </row>
    <row r="42" spans="1:28" outlineLevel="1" x14ac:dyDescent="0.15">
      <c r="A42" s="8" t="s">
        <v>13</v>
      </c>
      <c r="B42" s="8" t="s">
        <v>14</v>
      </c>
      <c r="C42" s="8" t="s">
        <v>47</v>
      </c>
      <c r="D42" s="8" t="s">
        <v>53</v>
      </c>
      <c r="E42" s="9">
        <v>23.4</v>
      </c>
      <c r="F42" s="8" t="s">
        <v>16</v>
      </c>
      <c r="G42" s="143">
        <v>3371</v>
      </c>
      <c r="H42" s="132">
        <f t="shared" si="10"/>
        <v>46235</v>
      </c>
      <c r="I42" s="140">
        <f t="shared" si="10"/>
        <v>120</v>
      </c>
      <c r="J42" s="9">
        <f t="shared" si="1"/>
        <v>3.5597745476119846</v>
      </c>
      <c r="K42" s="140">
        <f t="shared" si="2"/>
        <v>7</v>
      </c>
      <c r="L42" s="206">
        <f t="shared" si="3"/>
        <v>5.833333333333333</v>
      </c>
      <c r="M42" s="8" t="str">
        <f t="array" ref="M42">IF(L42&gt;5,"Perlu Sensus",IF(AND(L42&gt;=0,I42&gt;0),"Tetap Deteksi","Belum Deteksi"))</f>
        <v>Perlu Sensus</v>
      </c>
      <c r="N42" s="132">
        <f t="array" ref="N42">INDEX('[20]LS (Deteksi) Agustus'!N$7:N$303,MATCH(1,('[20]LS (Deteksi) Agustus'!$D$7:$D$303=$D42)*('[20]LS (Deteksi) Agustus'!$D$7:$D$303=$D42),0))</f>
        <v>46235</v>
      </c>
      <c r="O42" s="203">
        <f t="array" ref="O42">INDEX('[20]LS (Deteksi) Agustus'!O$7:O$303,MATCH(1,('[20]LS (Deteksi) Agustus'!$D$7:$D$303=$D42)*('[20]LS (Deteksi) Agustus'!$D$7:$D$303=$D42),0))</f>
        <v>120</v>
      </c>
      <c r="P42" s="9">
        <f t="array" ref="P42">IFERROR(O42/G42*100,0)</f>
        <v>3.5597745476119846</v>
      </c>
      <c r="Q42" s="203">
        <f t="array" ref="Q42">INDEX('[20]LS (Deteksi) Agustus'!Q$7:Q$303,MATCH(1,('[20]LS (Deteksi) Agustus'!$D$7:$D$303=$D42)*('[20]LS (Deteksi) Agustus'!$D$7:$D$303=$D42),0))</f>
        <v>7</v>
      </c>
      <c r="R42" s="9">
        <f t="shared" si="6"/>
        <v>5.833333333333333</v>
      </c>
      <c r="S42" s="8" t="str">
        <f t="array" ref="S42">IF(R42&gt;5,"Perlu Sensus",IF(AND(R42&gt;=0,O42&gt;0),"Tetap Deteksi","Belum Deteksi"))</f>
        <v>Perlu Sensus</v>
      </c>
      <c r="T42" s="203">
        <f t="array" ref="T42">INDEX('[20]LS (Deteksi) Agustus'!T$7:T$303,MATCH(1,('[20]LS (Deteksi) Agustus'!$D$7:$D$303=$D42)*('[20]LS (Deteksi) Agustus'!$D$7:$D$303=$D42),0))</f>
        <v>8</v>
      </c>
      <c r="U42" s="9">
        <f t="shared" si="7"/>
        <v>6.666666666666667</v>
      </c>
      <c r="V42" s="132">
        <f t="array" ref="V42">INDEX('[20]LS (Deteksi) Agustus'!V$7:V$303,MATCH(1,('[20]LS (Deteksi) Agustus'!$D$7:$D$303=$D42)*('[20]LS (Deteksi) Agustus'!$D$7:$D$303=$D42),0))</f>
        <v>46245</v>
      </c>
      <c r="W42" s="203">
        <f t="array" ref="W42">INDEX('[20]LS (Deteksi) Agustus'!W$7:W$303,MATCH(1,('[20]LS (Deteksi) Agustus'!$D$7:$D$303=$D42)*('[20]LS (Deteksi) Agustus'!$D$7:$D$303=$D42),0))</f>
        <v>135</v>
      </c>
      <c r="X42" s="203">
        <f t="array" ref="X42">INDEX('[20]LS (Deteksi) Agustus'!X$7:X$303,MATCH(1,('[20]LS (Deteksi) Agustus'!$D$7:$D$303=$D42)*('[20]LS (Deteksi) Agustus'!$D$7:$D$303=$D42),0))</f>
        <v>4</v>
      </c>
      <c r="Y42" s="9">
        <f t="shared" si="8"/>
        <v>2.9629629629629632</v>
      </c>
      <c r="Z42" s="8" t="str">
        <f t="array" ref="Z42">IF(Y42&gt;5,"Perlu Sensus",IF(AND(Y42&gt;0,,O42&gt;0),"Tetap Deteksi","Belum Deteksi"))</f>
        <v>Belum Deteksi</v>
      </c>
      <c r="AA42" s="203">
        <f t="array" ref="AA42">INDEX('[20]LS (Deteksi) Agustus'!AA$7:AA$303,MATCH(1,('[20]LS (Deteksi) Agustus'!$D$7:$D$303=$D42)*('[20]LS (Deteksi) Agustus'!$D$7:$D$303=$D42),0))</f>
        <v>8</v>
      </c>
      <c r="AB42" s="9">
        <f t="shared" si="9"/>
        <v>5.9259259259259265</v>
      </c>
    </row>
    <row r="43" spans="1:28" outlineLevel="1" x14ac:dyDescent="0.15">
      <c r="A43" s="8" t="s">
        <v>13</v>
      </c>
      <c r="B43" s="8" t="s">
        <v>14</v>
      </c>
      <c r="C43" s="8" t="s">
        <v>47</v>
      </c>
      <c r="D43" s="8" t="s">
        <v>54</v>
      </c>
      <c r="E43" s="9">
        <v>23.8</v>
      </c>
      <c r="F43" s="8" t="s">
        <v>16</v>
      </c>
      <c r="G43" s="143">
        <v>3147</v>
      </c>
      <c r="H43" s="132">
        <f t="shared" si="10"/>
        <v>46235</v>
      </c>
      <c r="I43" s="140">
        <f t="shared" si="10"/>
        <v>92</v>
      </c>
      <c r="J43" s="9">
        <f t="shared" si="1"/>
        <v>2.92341912932952</v>
      </c>
      <c r="K43" s="140">
        <f t="shared" si="2"/>
        <v>6</v>
      </c>
      <c r="L43" s="206">
        <f t="shared" si="3"/>
        <v>6.5217391304347823</v>
      </c>
      <c r="M43" s="8" t="str">
        <f t="array" ref="M43">IF(L43&gt;5,"Perlu Sensus",IF(AND(L43&gt;=0,I43&gt;0),"Tetap Deteksi","Belum Deteksi"))</f>
        <v>Perlu Sensus</v>
      </c>
      <c r="N43" s="132">
        <f t="array" ref="N43">INDEX('[20]LS (Deteksi) Agustus'!N$7:N$303,MATCH(1,('[20]LS (Deteksi) Agustus'!$D$7:$D$303=$D43)*('[20]LS (Deteksi) Agustus'!$D$7:$D$303=$D43),0))</f>
        <v>46235</v>
      </c>
      <c r="O43" s="203">
        <f t="array" ref="O43">INDEX('[20]LS (Deteksi) Agustus'!O$7:O$303,MATCH(1,('[20]LS (Deteksi) Agustus'!$D$7:$D$303=$D43)*('[20]LS (Deteksi) Agustus'!$D$7:$D$303=$D43),0))</f>
        <v>92</v>
      </c>
      <c r="P43" s="9">
        <f t="array" ref="P43">IFERROR(O43/G43*100,0)</f>
        <v>2.92341912932952</v>
      </c>
      <c r="Q43" s="203">
        <f t="array" ref="Q43">INDEX('[20]LS (Deteksi) Agustus'!Q$7:Q$303,MATCH(1,('[20]LS (Deteksi) Agustus'!$D$7:$D$303=$D43)*('[20]LS (Deteksi) Agustus'!$D$7:$D$303=$D43),0))</f>
        <v>6</v>
      </c>
      <c r="R43" s="9">
        <f t="shared" si="6"/>
        <v>6.5217391304347823</v>
      </c>
      <c r="S43" s="8" t="str">
        <f t="array" ref="S43">IF(R43&gt;5,"Perlu Sensus",IF(AND(R43&gt;=0,O43&gt;0),"Tetap Deteksi","Belum Deteksi"))</f>
        <v>Perlu Sensus</v>
      </c>
      <c r="T43" s="203">
        <f t="array" ref="T43">INDEX('[20]LS (Deteksi) Agustus'!T$7:T$303,MATCH(1,('[20]LS (Deteksi) Agustus'!$D$7:$D$303=$D43)*('[20]LS (Deteksi) Agustus'!$D$7:$D$303=$D43),0))</f>
        <v>8</v>
      </c>
      <c r="U43" s="9">
        <f t="shared" si="7"/>
        <v>8.695652173913043</v>
      </c>
      <c r="V43" s="132">
        <f t="array" ref="V43">INDEX('[20]LS (Deteksi) Agustus'!V$7:V$303,MATCH(1,('[20]LS (Deteksi) Agustus'!$D$7:$D$303=$D43)*('[20]LS (Deteksi) Agustus'!$D$7:$D$303=$D43),0))</f>
        <v>46245</v>
      </c>
      <c r="W43" s="203">
        <f t="array" ref="W43">INDEX('[20]LS (Deteksi) Agustus'!W$7:W$303,MATCH(1,('[20]LS (Deteksi) Agustus'!$D$7:$D$303=$D43)*('[20]LS (Deteksi) Agustus'!$D$7:$D$303=$D43),0))</f>
        <v>178</v>
      </c>
      <c r="X43" s="203">
        <f t="array" ref="X43">INDEX('[20]LS (Deteksi) Agustus'!X$7:X$303,MATCH(1,('[20]LS (Deteksi) Agustus'!$D$7:$D$303=$D43)*('[20]LS (Deteksi) Agustus'!$D$7:$D$303=$D43),0))</f>
        <v>7</v>
      </c>
      <c r="Y43" s="9">
        <f t="shared" si="8"/>
        <v>3.9325842696629212</v>
      </c>
      <c r="Z43" s="8" t="str">
        <f t="array" ref="Z43">IF(Y43&gt;5,"Perlu Sensus",IF(AND(Y43&gt;0,,O43&gt;0),"Tetap Deteksi","Belum Deteksi"))</f>
        <v>Belum Deteksi</v>
      </c>
      <c r="AA43" s="203">
        <f t="array" ref="AA43">INDEX('[20]LS (Deteksi) Agustus'!AA$7:AA$303,MATCH(1,('[20]LS (Deteksi) Agustus'!$D$7:$D$303=$D43)*('[20]LS (Deteksi) Agustus'!$D$7:$D$303=$D43),0))</f>
        <v>10</v>
      </c>
      <c r="AB43" s="9">
        <f t="shared" si="9"/>
        <v>5.6179775280898872</v>
      </c>
    </row>
    <row r="44" spans="1:28" outlineLevel="1" x14ac:dyDescent="0.15">
      <c r="A44" s="8" t="s">
        <v>13</v>
      </c>
      <c r="B44" s="8" t="s">
        <v>14</v>
      </c>
      <c r="C44" s="8" t="s">
        <v>47</v>
      </c>
      <c r="D44" s="8" t="s">
        <v>55</v>
      </c>
      <c r="E44" s="9">
        <v>50.97</v>
      </c>
      <c r="F44" s="8" t="s">
        <v>16</v>
      </c>
      <c r="G44" s="143">
        <v>6945</v>
      </c>
      <c r="H44" s="132">
        <f t="shared" si="10"/>
        <v>0</v>
      </c>
      <c r="I44" s="140">
        <f t="shared" si="10"/>
        <v>0</v>
      </c>
      <c r="J44" s="9" t="str">
        <f t="shared" si="1"/>
        <v xml:space="preserve"> </v>
      </c>
      <c r="K44" s="140">
        <f t="shared" si="2"/>
        <v>0</v>
      </c>
      <c r="L44" s="206">
        <f t="shared" si="3"/>
        <v>0</v>
      </c>
      <c r="M44" s="8" t="str">
        <f t="array" ref="M44">IF(L44&gt;5,"Perlu Sensus",IF(AND(L44&gt;=0,I44&gt;0),"Tetap Deteksi","Belum Deteksi"))</f>
        <v>Belum Deteksi</v>
      </c>
      <c r="N44" s="132">
        <f t="array" ref="N44">INDEX('[20]LS (Deteksi) Agustus'!N$7:N$303,MATCH(1,('[20]LS (Deteksi) Agustus'!$D$7:$D$303=$D44)*('[20]LS (Deteksi) Agustus'!$D$7:$D$303=$D44),0))</f>
        <v>0</v>
      </c>
      <c r="O44" s="203">
        <f t="array" ref="O44">INDEX('[20]LS (Deteksi) Agustus'!O$7:O$303,MATCH(1,('[20]LS (Deteksi) Agustus'!$D$7:$D$303=$D44)*('[20]LS (Deteksi) Agustus'!$D$7:$D$303=$D44),0))</f>
        <v>0</v>
      </c>
      <c r="P44" s="9">
        <f t="array" ref="P44">IFERROR(O44/G44*100,0)</f>
        <v>0</v>
      </c>
      <c r="Q44" s="203">
        <f t="array" ref="Q44">INDEX('[20]LS (Deteksi) Agustus'!Q$7:Q$303,MATCH(1,('[20]LS (Deteksi) Agustus'!$D$7:$D$303=$D44)*('[20]LS (Deteksi) Agustus'!$D$7:$D$303=$D44),0))</f>
        <v>0</v>
      </c>
      <c r="R44" s="9">
        <f t="shared" si="6"/>
        <v>0</v>
      </c>
      <c r="S44" s="8" t="str">
        <f t="array" ref="S44">IF(R44&gt;5,"Perlu Sensus",IF(AND(R44&gt;=0,O44&gt;0),"Tetap Deteksi","Belum Deteksi"))</f>
        <v>Belum Deteksi</v>
      </c>
      <c r="T44" s="203">
        <f t="array" ref="T44">INDEX('[20]LS (Deteksi) Agustus'!T$7:T$303,MATCH(1,('[20]LS (Deteksi) Agustus'!$D$7:$D$303=$D44)*('[20]LS (Deteksi) Agustus'!$D$7:$D$303=$D44),0))</f>
        <v>0</v>
      </c>
      <c r="U44" s="9">
        <f t="shared" si="7"/>
        <v>0</v>
      </c>
      <c r="V44" s="132">
        <f t="array" ref="V44">INDEX('[20]LS (Deteksi) Agustus'!V$7:V$303,MATCH(1,('[20]LS (Deteksi) Agustus'!$D$7:$D$303=$D44)*('[20]LS (Deteksi) Agustus'!$D$7:$D$303=$D44),0))</f>
        <v>0</v>
      </c>
      <c r="W44" s="203">
        <f t="array" ref="W44">INDEX('[20]LS (Deteksi) Agustus'!W$7:W$303,MATCH(1,('[20]LS (Deteksi) Agustus'!$D$7:$D$303=$D44)*('[20]LS (Deteksi) Agustus'!$D$7:$D$303=$D44),0))</f>
        <v>0</v>
      </c>
      <c r="X44" s="203">
        <f t="array" ref="X44">INDEX('[20]LS (Deteksi) Agustus'!X$7:X$303,MATCH(1,('[20]LS (Deteksi) Agustus'!$D$7:$D$303=$D44)*('[20]LS (Deteksi) Agustus'!$D$7:$D$303=$D44),0))</f>
        <v>0</v>
      </c>
      <c r="Y44" s="9">
        <f t="shared" si="8"/>
        <v>0</v>
      </c>
      <c r="Z44" s="8" t="str">
        <f t="array" ref="Z44">IF(Y44&gt;5,"Perlu Sensus",IF(AND(Y44&gt;0,,O44&gt;0),"Tetap Deteksi","Belum Deteksi"))</f>
        <v>Belum Deteksi</v>
      </c>
      <c r="AA44" s="203">
        <f t="array" ref="AA44">INDEX('[20]LS (Deteksi) Agustus'!AA$7:AA$303,MATCH(1,('[20]LS (Deteksi) Agustus'!$D$7:$D$303=$D44)*('[20]LS (Deteksi) Agustus'!$D$7:$D$303=$D44),0))</f>
        <v>0</v>
      </c>
      <c r="AB44" s="9">
        <f t="shared" si="9"/>
        <v>0</v>
      </c>
    </row>
    <row r="45" spans="1:28" outlineLevel="1" x14ac:dyDescent="0.15">
      <c r="A45" s="8" t="s">
        <v>13</v>
      </c>
      <c r="B45" s="8" t="s">
        <v>14</v>
      </c>
      <c r="C45" s="8" t="s">
        <v>47</v>
      </c>
      <c r="D45" s="8" t="s">
        <v>56</v>
      </c>
      <c r="E45" s="9">
        <v>30.63</v>
      </c>
      <c r="F45" s="8" t="s">
        <v>16</v>
      </c>
      <c r="G45" s="143">
        <v>3750</v>
      </c>
      <c r="H45" s="132">
        <f t="shared" si="10"/>
        <v>0</v>
      </c>
      <c r="I45" s="140">
        <f t="shared" si="10"/>
        <v>0</v>
      </c>
      <c r="J45" s="9" t="str">
        <f t="shared" si="1"/>
        <v xml:space="preserve"> </v>
      </c>
      <c r="K45" s="140">
        <f t="shared" si="2"/>
        <v>0</v>
      </c>
      <c r="L45" s="206">
        <f t="shared" si="3"/>
        <v>0</v>
      </c>
      <c r="M45" s="8" t="str">
        <f t="array" ref="M45">IF(L45&gt;5,"Perlu Sensus",IF(AND(L45&gt;=0,I45&gt;0),"Tetap Deteksi","Belum Deteksi"))</f>
        <v>Belum Deteksi</v>
      </c>
      <c r="N45" s="132">
        <f t="array" ref="N45">INDEX('[20]LS (Deteksi) Agustus'!N$7:N$303,MATCH(1,('[20]LS (Deteksi) Agustus'!$D$7:$D$303=$D45)*('[20]LS (Deteksi) Agustus'!$D$7:$D$303=$D45),0))</f>
        <v>0</v>
      </c>
      <c r="O45" s="203">
        <f t="array" ref="O45">INDEX('[20]LS (Deteksi) Agustus'!O$7:O$303,MATCH(1,('[20]LS (Deteksi) Agustus'!$D$7:$D$303=$D45)*('[20]LS (Deteksi) Agustus'!$D$7:$D$303=$D45),0))</f>
        <v>0</v>
      </c>
      <c r="P45" s="9">
        <f t="array" ref="P45">IFERROR(O45/G45*100,0)</f>
        <v>0</v>
      </c>
      <c r="Q45" s="203">
        <f t="array" ref="Q45">INDEX('[20]LS (Deteksi) Agustus'!Q$7:Q$303,MATCH(1,('[20]LS (Deteksi) Agustus'!$D$7:$D$303=$D45)*('[20]LS (Deteksi) Agustus'!$D$7:$D$303=$D45),0))</f>
        <v>0</v>
      </c>
      <c r="R45" s="9">
        <f t="shared" si="6"/>
        <v>0</v>
      </c>
      <c r="S45" s="8" t="str">
        <f t="array" ref="S45">IF(R45&gt;5,"Perlu Sensus",IF(AND(R45&gt;=0,O45&gt;0),"Tetap Deteksi","Belum Deteksi"))</f>
        <v>Belum Deteksi</v>
      </c>
      <c r="T45" s="203">
        <f t="array" ref="T45">INDEX('[20]LS (Deteksi) Agustus'!T$7:T$303,MATCH(1,('[20]LS (Deteksi) Agustus'!$D$7:$D$303=$D45)*('[20]LS (Deteksi) Agustus'!$D$7:$D$303=$D45),0))</f>
        <v>0</v>
      </c>
      <c r="U45" s="9">
        <f t="shared" si="7"/>
        <v>0</v>
      </c>
      <c r="V45" s="132">
        <f t="array" ref="V45">INDEX('[20]LS (Deteksi) Agustus'!V$7:V$303,MATCH(1,('[20]LS (Deteksi) Agustus'!$D$7:$D$303=$D45)*('[20]LS (Deteksi) Agustus'!$D$7:$D$303=$D45),0))</f>
        <v>0</v>
      </c>
      <c r="W45" s="203">
        <f t="array" ref="W45">INDEX('[20]LS (Deteksi) Agustus'!W$7:W$303,MATCH(1,('[20]LS (Deteksi) Agustus'!$D$7:$D$303=$D45)*('[20]LS (Deteksi) Agustus'!$D$7:$D$303=$D45),0))</f>
        <v>0</v>
      </c>
      <c r="X45" s="203">
        <f t="array" ref="X45">INDEX('[20]LS (Deteksi) Agustus'!X$7:X$303,MATCH(1,('[20]LS (Deteksi) Agustus'!$D$7:$D$303=$D45)*('[20]LS (Deteksi) Agustus'!$D$7:$D$303=$D45),0))</f>
        <v>0</v>
      </c>
      <c r="Y45" s="9">
        <f t="shared" si="8"/>
        <v>0</v>
      </c>
      <c r="Z45" s="8" t="str">
        <f t="array" ref="Z45">IF(Y45&gt;5,"Perlu Sensus",IF(AND(Y45&gt;0,,O45&gt;0),"Tetap Deteksi","Belum Deteksi"))</f>
        <v>Belum Deteksi</v>
      </c>
      <c r="AA45" s="203">
        <f t="array" ref="AA45">INDEX('[20]LS (Deteksi) Agustus'!AA$7:AA$303,MATCH(1,('[20]LS (Deteksi) Agustus'!$D$7:$D$303=$D45)*('[20]LS (Deteksi) Agustus'!$D$7:$D$303=$D45),0))</f>
        <v>0</v>
      </c>
      <c r="AB45" s="9">
        <f t="shared" si="9"/>
        <v>0</v>
      </c>
    </row>
    <row r="46" spans="1:28" outlineLevel="1" x14ac:dyDescent="0.15">
      <c r="A46" s="8" t="s">
        <v>13</v>
      </c>
      <c r="B46" s="8" t="s">
        <v>14</v>
      </c>
      <c r="C46" s="8" t="s">
        <v>47</v>
      </c>
      <c r="D46" s="8" t="s">
        <v>57</v>
      </c>
      <c r="E46" s="9">
        <v>30.38</v>
      </c>
      <c r="F46" s="8" t="s">
        <v>16</v>
      </c>
      <c r="G46" s="143">
        <v>4461</v>
      </c>
      <c r="H46" s="132">
        <f t="shared" si="10"/>
        <v>46240</v>
      </c>
      <c r="I46" s="140">
        <f t="shared" si="10"/>
        <v>103</v>
      </c>
      <c r="J46" s="9">
        <f t="shared" si="1"/>
        <v>2.3088993499215422</v>
      </c>
      <c r="K46" s="140">
        <f t="shared" si="2"/>
        <v>9</v>
      </c>
      <c r="L46" s="206">
        <f t="shared" si="3"/>
        <v>8.7378640776699026</v>
      </c>
      <c r="M46" s="8" t="str">
        <f t="array" ref="M46">IF(L46&gt;5,"Perlu Sensus",IF(AND(L46&gt;=0,I46&gt;0),"Tetap Deteksi","Belum Deteksi"))</f>
        <v>Perlu Sensus</v>
      </c>
      <c r="N46" s="132">
        <f t="array" ref="N46">INDEX('[20]LS (Deteksi) Agustus'!N$7:N$303,MATCH(1,('[20]LS (Deteksi) Agustus'!$D$7:$D$303=$D46)*('[20]LS (Deteksi) Agustus'!$D$7:$D$303=$D46),0))</f>
        <v>46240</v>
      </c>
      <c r="O46" s="203">
        <f t="array" ref="O46">INDEX('[20]LS (Deteksi) Agustus'!O$7:O$303,MATCH(1,('[20]LS (Deteksi) Agustus'!$D$7:$D$303=$D46)*('[20]LS (Deteksi) Agustus'!$D$7:$D$303=$D46),0))</f>
        <v>103</v>
      </c>
      <c r="P46" s="9">
        <f t="array" ref="P46">IFERROR(O46/G46*100,0)</f>
        <v>2.3088993499215422</v>
      </c>
      <c r="Q46" s="203">
        <f t="array" ref="Q46">INDEX('[20]LS (Deteksi) Agustus'!Q$7:Q$303,MATCH(1,('[20]LS (Deteksi) Agustus'!$D$7:$D$303=$D46)*('[20]LS (Deteksi) Agustus'!$D$7:$D$303=$D46),0))</f>
        <v>9</v>
      </c>
      <c r="R46" s="9">
        <f t="shared" si="6"/>
        <v>8.7378640776699026</v>
      </c>
      <c r="S46" s="8" t="str">
        <f t="array" ref="S46">IF(R46&gt;5,"Perlu Sensus",IF(AND(R46&gt;=0,O46&gt;0),"Tetap Deteksi","Belum Deteksi"))</f>
        <v>Perlu Sensus</v>
      </c>
      <c r="T46" s="203">
        <f t="array" ref="T46">INDEX('[20]LS (Deteksi) Agustus'!T$7:T$303,MATCH(1,('[20]LS (Deteksi) Agustus'!$D$7:$D$303=$D46)*('[20]LS (Deteksi) Agustus'!$D$7:$D$303=$D46),0))</f>
        <v>10</v>
      </c>
      <c r="U46" s="9">
        <f t="shared" si="7"/>
        <v>9.7087378640776691</v>
      </c>
      <c r="V46" s="132">
        <f t="array" ref="V46">INDEX('[20]LS (Deteksi) Agustus'!V$7:V$303,MATCH(1,('[20]LS (Deteksi) Agustus'!$D$7:$D$303=$D46)*('[20]LS (Deteksi) Agustus'!$D$7:$D$303=$D46),0))</f>
        <v>46247</v>
      </c>
      <c r="W46" s="203">
        <f t="array" ref="W46">INDEX('[20]LS (Deteksi) Agustus'!W$7:W$303,MATCH(1,('[20]LS (Deteksi) Agustus'!$D$7:$D$303=$D46)*('[20]LS (Deteksi) Agustus'!$D$7:$D$303=$D46),0))</f>
        <v>298</v>
      </c>
      <c r="X46" s="203">
        <f t="array" ref="X46">INDEX('[20]LS (Deteksi) Agustus'!X$7:X$303,MATCH(1,('[20]LS (Deteksi) Agustus'!$D$7:$D$303=$D46)*('[20]LS (Deteksi) Agustus'!$D$7:$D$303=$D46),0))</f>
        <v>12</v>
      </c>
      <c r="Y46" s="9">
        <f t="shared" si="8"/>
        <v>4.0268456375838921</v>
      </c>
      <c r="Z46" s="8" t="str">
        <f t="array" ref="Z46">IF(Y46&gt;5,"Perlu Sensus",IF(AND(Y46&gt;0,,O46&gt;0),"Tetap Deteksi","Belum Deteksi"))</f>
        <v>Belum Deteksi</v>
      </c>
      <c r="AA46" s="203">
        <f t="array" ref="AA46">INDEX('[20]LS (Deteksi) Agustus'!AA$7:AA$303,MATCH(1,('[20]LS (Deteksi) Agustus'!$D$7:$D$303=$D46)*('[20]LS (Deteksi) Agustus'!$D$7:$D$303=$D46),0))</f>
        <v>20</v>
      </c>
      <c r="AB46" s="9">
        <f t="shared" si="9"/>
        <v>6.7114093959731544</v>
      </c>
    </row>
    <row r="47" spans="1:28" outlineLevel="1" x14ac:dyDescent="0.15">
      <c r="A47" s="8" t="s">
        <v>13</v>
      </c>
      <c r="B47" s="8" t="s">
        <v>14</v>
      </c>
      <c r="C47" s="8" t="s">
        <v>47</v>
      </c>
      <c r="D47" s="8" t="s">
        <v>58</v>
      </c>
      <c r="E47" s="9">
        <v>42.45</v>
      </c>
      <c r="F47" s="8" t="s">
        <v>16</v>
      </c>
      <c r="G47" s="143">
        <v>6115</v>
      </c>
      <c r="H47" s="132">
        <f t="shared" si="10"/>
        <v>46239</v>
      </c>
      <c r="I47" s="140">
        <f t="shared" si="10"/>
        <v>67</v>
      </c>
      <c r="J47" s="9">
        <f t="shared" si="1"/>
        <v>1.0956663941128373</v>
      </c>
      <c r="K47" s="140">
        <f t="shared" si="2"/>
        <v>4</v>
      </c>
      <c r="L47" s="206">
        <f t="shared" si="3"/>
        <v>5.9701492537313428</v>
      </c>
      <c r="M47" s="8" t="str">
        <f t="array" ref="M47">IF(L47&gt;5,"Perlu Sensus",IF(AND(L47&gt;=0,I47&gt;0),"Tetap Deteksi","Belum Deteksi"))</f>
        <v>Perlu Sensus</v>
      </c>
      <c r="N47" s="132">
        <f t="array" ref="N47">INDEX('[20]LS (Deteksi) Agustus'!N$7:N$303,MATCH(1,('[20]LS (Deteksi) Agustus'!$D$7:$D$303=$D47)*('[20]LS (Deteksi) Agustus'!$D$7:$D$303=$D47),0))</f>
        <v>46239</v>
      </c>
      <c r="O47" s="203">
        <f t="array" ref="O47">INDEX('[20]LS (Deteksi) Agustus'!O$7:O$303,MATCH(1,('[20]LS (Deteksi) Agustus'!$D$7:$D$303=$D47)*('[20]LS (Deteksi) Agustus'!$D$7:$D$303=$D47),0))</f>
        <v>67</v>
      </c>
      <c r="P47" s="9">
        <f t="array" ref="P47">IFERROR(O47/G47*100,0)</f>
        <v>1.0956663941128373</v>
      </c>
      <c r="Q47" s="203">
        <f t="array" ref="Q47">INDEX('[20]LS (Deteksi) Agustus'!Q$7:Q$303,MATCH(1,('[20]LS (Deteksi) Agustus'!$D$7:$D$303=$D47)*('[20]LS (Deteksi) Agustus'!$D$7:$D$303=$D47),0))</f>
        <v>4</v>
      </c>
      <c r="R47" s="9">
        <f t="shared" si="6"/>
        <v>5.9701492537313428</v>
      </c>
      <c r="S47" s="8" t="str">
        <f t="array" ref="S47">IF(R47&gt;5,"Perlu Sensus",IF(AND(R47&gt;=0,O47&gt;0),"Tetap Deteksi","Belum Deteksi"))</f>
        <v>Perlu Sensus</v>
      </c>
      <c r="T47" s="203">
        <f t="array" ref="T47">INDEX('[20]LS (Deteksi) Agustus'!T$7:T$303,MATCH(1,('[20]LS (Deteksi) Agustus'!$D$7:$D$303=$D47)*('[20]LS (Deteksi) Agustus'!$D$7:$D$303=$D47),0))</f>
        <v>5</v>
      </c>
      <c r="U47" s="9">
        <f t="shared" si="7"/>
        <v>7.4626865671641784</v>
      </c>
      <c r="V47" s="132">
        <f t="array" ref="V47">INDEX('[20]LS (Deteksi) Agustus'!V$7:V$303,MATCH(1,('[20]LS (Deteksi) Agustus'!$D$7:$D$303=$D47)*('[20]LS (Deteksi) Agustus'!$D$7:$D$303=$D47),0))</f>
        <v>46246</v>
      </c>
      <c r="W47" s="203">
        <f t="array" ref="W47">INDEX('[20]LS (Deteksi) Agustus'!W$7:W$303,MATCH(1,('[20]LS (Deteksi) Agustus'!$D$7:$D$303=$D47)*('[20]LS (Deteksi) Agustus'!$D$7:$D$303=$D47),0))</f>
        <v>121</v>
      </c>
      <c r="X47" s="203">
        <f t="array" ref="X47">INDEX('[20]LS (Deteksi) Agustus'!X$7:X$303,MATCH(1,('[20]LS (Deteksi) Agustus'!$D$7:$D$303=$D47)*('[20]LS (Deteksi) Agustus'!$D$7:$D$303=$D47),0))</f>
        <v>4</v>
      </c>
      <c r="Y47" s="9">
        <f t="shared" si="8"/>
        <v>3.3057851239669422</v>
      </c>
      <c r="Z47" s="8" t="str">
        <f t="array" ref="Z47">IF(Y47&gt;5,"Perlu Sensus",IF(AND(Y47&gt;0,,O47&gt;0),"Tetap Deteksi","Belum Deteksi"))</f>
        <v>Belum Deteksi</v>
      </c>
      <c r="AA47" s="203">
        <f t="array" ref="AA47">INDEX('[20]LS (Deteksi) Agustus'!AA$7:AA$303,MATCH(1,('[20]LS (Deteksi) Agustus'!$D$7:$D$303=$D47)*('[20]LS (Deteksi) Agustus'!$D$7:$D$303=$D47),0))</f>
        <v>10</v>
      </c>
      <c r="AB47" s="9">
        <f t="shared" si="9"/>
        <v>8.2644628099173563</v>
      </c>
    </row>
    <row r="48" spans="1:28" outlineLevel="1" x14ac:dyDescent="0.15">
      <c r="A48" s="8" t="s">
        <v>13</v>
      </c>
      <c r="B48" s="8" t="s">
        <v>14</v>
      </c>
      <c r="C48" s="8" t="s">
        <v>47</v>
      </c>
      <c r="D48" s="8" t="s">
        <v>59</v>
      </c>
      <c r="E48" s="9">
        <v>26.78</v>
      </c>
      <c r="F48" s="8" t="s">
        <v>16</v>
      </c>
      <c r="G48" s="143">
        <v>3747</v>
      </c>
      <c r="H48" s="132">
        <f t="shared" si="10"/>
        <v>46239</v>
      </c>
      <c r="I48" s="140">
        <f t="shared" si="10"/>
        <v>53</v>
      </c>
      <c r="J48" s="9">
        <f t="shared" si="1"/>
        <v>1.4144649052575393</v>
      </c>
      <c r="K48" s="140">
        <f t="shared" si="2"/>
        <v>3</v>
      </c>
      <c r="L48" s="206">
        <f t="shared" si="3"/>
        <v>5.6603773584905666</v>
      </c>
      <c r="M48" s="8" t="str">
        <f t="array" ref="M48">IF(L48&gt;5,"Perlu Sensus",IF(AND(L48&gt;=0,I48&gt;0),"Tetap Deteksi","Belum Deteksi"))</f>
        <v>Perlu Sensus</v>
      </c>
      <c r="N48" s="132">
        <f t="array" ref="N48">INDEX('[20]LS (Deteksi) Agustus'!N$7:N$303,MATCH(1,('[20]LS (Deteksi) Agustus'!$D$7:$D$303=$D48)*('[20]LS (Deteksi) Agustus'!$D$7:$D$303=$D48),0))</f>
        <v>46239</v>
      </c>
      <c r="O48" s="203">
        <f t="array" ref="O48">INDEX('[20]LS (Deteksi) Agustus'!O$7:O$303,MATCH(1,('[20]LS (Deteksi) Agustus'!$D$7:$D$303=$D48)*('[20]LS (Deteksi) Agustus'!$D$7:$D$303=$D48),0))</f>
        <v>53</v>
      </c>
      <c r="P48" s="9">
        <f t="array" ref="P48">IFERROR(O48/G48*100,0)</f>
        <v>1.4144649052575393</v>
      </c>
      <c r="Q48" s="203">
        <f t="array" ref="Q48">INDEX('[20]LS (Deteksi) Agustus'!Q$7:Q$303,MATCH(1,('[20]LS (Deteksi) Agustus'!$D$7:$D$303=$D48)*('[20]LS (Deteksi) Agustus'!$D$7:$D$303=$D48),0))</f>
        <v>3</v>
      </c>
      <c r="R48" s="9">
        <f t="shared" si="6"/>
        <v>5.6603773584905666</v>
      </c>
      <c r="S48" s="8" t="str">
        <f t="array" ref="S48">IF(R48&gt;5,"Perlu Sensus",IF(AND(R48&gt;=0,O48&gt;0),"Tetap Deteksi","Belum Deteksi"))</f>
        <v>Perlu Sensus</v>
      </c>
      <c r="T48" s="203">
        <f t="array" ref="T48">INDEX('[20]LS (Deteksi) Agustus'!T$7:T$303,MATCH(1,('[20]LS (Deteksi) Agustus'!$D$7:$D$303=$D48)*('[20]LS (Deteksi) Agustus'!$D$7:$D$303=$D48),0))</f>
        <v>8</v>
      </c>
      <c r="U48" s="9">
        <f t="shared" si="7"/>
        <v>15.09433962264151</v>
      </c>
      <c r="V48" s="132">
        <f t="array" ref="V48">INDEX('[20]LS (Deteksi) Agustus'!V$7:V$303,MATCH(1,('[20]LS (Deteksi) Agustus'!$D$7:$D$303=$D48)*('[20]LS (Deteksi) Agustus'!$D$7:$D$303=$D48),0))</f>
        <v>46241</v>
      </c>
      <c r="W48" s="203">
        <f t="array" ref="W48">INDEX('[20]LS (Deteksi) Agustus'!W$7:W$303,MATCH(1,('[20]LS (Deteksi) Agustus'!$D$7:$D$303=$D48)*('[20]LS (Deteksi) Agustus'!$D$7:$D$303=$D48),0))</f>
        <v>210</v>
      </c>
      <c r="X48" s="203">
        <f t="array" ref="X48">INDEX('[20]LS (Deteksi) Agustus'!X$7:X$303,MATCH(1,('[20]LS (Deteksi) Agustus'!$D$7:$D$303=$D48)*('[20]LS (Deteksi) Agustus'!$D$7:$D$303=$D48),0))</f>
        <v>12</v>
      </c>
      <c r="Y48" s="9">
        <f t="shared" si="8"/>
        <v>5.7142857142857144</v>
      </c>
      <c r="Z48" s="8" t="str">
        <f t="array" ref="Z48">IF(Y48&gt;5,"Perlu Sensus",IF(AND(Y48&gt;0,,O48&gt;0),"Tetap Deteksi","Belum Deteksi"))</f>
        <v>Perlu Sensus</v>
      </c>
      <c r="AA48" s="203">
        <f t="array" ref="AA48">INDEX('[20]LS (Deteksi) Agustus'!AA$7:AA$303,MATCH(1,('[20]LS (Deteksi) Agustus'!$D$7:$D$303=$D48)*('[20]LS (Deteksi) Agustus'!$D$7:$D$303=$D48),0))</f>
        <v>13</v>
      </c>
      <c r="AB48" s="9">
        <f t="shared" si="9"/>
        <v>6.1904761904761907</v>
      </c>
    </row>
    <row r="49" spans="1:28" outlineLevel="1" x14ac:dyDescent="0.15">
      <c r="A49" s="8" t="s">
        <v>13</v>
      </c>
      <c r="B49" s="8" t="s">
        <v>14</v>
      </c>
      <c r="C49" s="8" t="s">
        <v>47</v>
      </c>
      <c r="D49" s="8" t="s">
        <v>60</v>
      </c>
      <c r="E49" s="9">
        <v>24.9</v>
      </c>
      <c r="F49" s="8" t="s">
        <v>16</v>
      </c>
      <c r="G49" s="143">
        <v>3241</v>
      </c>
      <c r="H49" s="132">
        <f t="shared" si="10"/>
        <v>46244</v>
      </c>
      <c r="I49" s="140">
        <f t="shared" si="10"/>
        <v>89</v>
      </c>
      <c r="J49" s="9">
        <f t="shared" si="1"/>
        <v>2.7460660290033938</v>
      </c>
      <c r="K49" s="140">
        <f t="shared" si="2"/>
        <v>5</v>
      </c>
      <c r="L49" s="206">
        <f t="shared" si="3"/>
        <v>5.6179775280898872</v>
      </c>
      <c r="M49" s="8" t="str">
        <f t="array" ref="M49">IF(L49&gt;5,"Perlu Sensus",IF(AND(L49&gt;=0,I49&gt;0),"Tetap Deteksi","Belum Deteksi"))</f>
        <v>Perlu Sensus</v>
      </c>
      <c r="N49" s="132">
        <f t="array" ref="N49">INDEX('[20]LS (Deteksi) Agustus'!N$7:N$303,MATCH(1,('[20]LS (Deteksi) Agustus'!$D$7:$D$303=$D49)*('[20]LS (Deteksi) Agustus'!$D$7:$D$303=$D49),0))</f>
        <v>46244</v>
      </c>
      <c r="O49" s="203">
        <f t="array" ref="O49">INDEX('[20]LS (Deteksi) Agustus'!O$7:O$303,MATCH(1,('[20]LS (Deteksi) Agustus'!$D$7:$D$303=$D49)*('[20]LS (Deteksi) Agustus'!$D$7:$D$303=$D49),0))</f>
        <v>89</v>
      </c>
      <c r="P49" s="9">
        <f t="array" ref="P49">IFERROR(O49/G49*100,0)</f>
        <v>2.7460660290033938</v>
      </c>
      <c r="Q49" s="203">
        <f t="array" ref="Q49">INDEX('[20]LS (Deteksi) Agustus'!Q$7:Q$303,MATCH(1,('[20]LS (Deteksi) Agustus'!$D$7:$D$303=$D49)*('[20]LS (Deteksi) Agustus'!$D$7:$D$303=$D49),0))</f>
        <v>5</v>
      </c>
      <c r="R49" s="9">
        <f t="shared" si="6"/>
        <v>5.6179775280898872</v>
      </c>
      <c r="S49" s="8" t="str">
        <f t="array" ref="S49">IF(R49&gt;5,"Perlu Sensus",IF(AND(R49&gt;=0,O49&gt;0),"Tetap Deteksi","Belum Deteksi"))</f>
        <v>Perlu Sensus</v>
      </c>
      <c r="T49" s="203">
        <f t="array" ref="T49">INDEX('[20]LS (Deteksi) Agustus'!T$7:T$303,MATCH(1,('[20]LS (Deteksi) Agustus'!$D$7:$D$303=$D49)*('[20]LS (Deteksi) Agustus'!$D$7:$D$303=$D49),0))</f>
        <v>10</v>
      </c>
      <c r="U49" s="9">
        <f t="shared" si="7"/>
        <v>11.235955056179774</v>
      </c>
      <c r="V49" s="132">
        <f t="array" ref="V49">INDEX('[20]LS (Deteksi) Agustus'!V$7:V$303,MATCH(1,('[20]LS (Deteksi) Agustus'!$D$7:$D$303=$D49)*('[20]LS (Deteksi) Agustus'!$D$7:$D$303=$D49),0))</f>
        <v>46246</v>
      </c>
      <c r="W49" s="203">
        <f t="array" ref="W49">INDEX('[20]LS (Deteksi) Agustus'!W$7:W$303,MATCH(1,('[20]LS (Deteksi) Agustus'!$D$7:$D$303=$D49)*('[20]LS (Deteksi) Agustus'!$D$7:$D$303=$D49),0))</f>
        <v>137</v>
      </c>
      <c r="X49" s="203">
        <f t="array" ref="X49">INDEX('[20]LS (Deteksi) Agustus'!X$7:X$303,MATCH(1,('[20]LS (Deteksi) Agustus'!$D$7:$D$303=$D49)*('[20]LS (Deteksi) Agustus'!$D$7:$D$303=$D49),0))</f>
        <v>7</v>
      </c>
      <c r="Y49" s="9">
        <f t="shared" si="8"/>
        <v>5.1094890510948909</v>
      </c>
      <c r="Z49" s="8" t="str">
        <f t="array" ref="Z49">IF(Y49&gt;5,"Perlu Sensus",IF(AND(Y49&gt;0,,O49&gt;0),"Tetap Deteksi","Belum Deteksi"))</f>
        <v>Perlu Sensus</v>
      </c>
      <c r="AA49" s="203">
        <f t="array" ref="AA49">INDEX('[20]LS (Deteksi) Agustus'!AA$7:AA$303,MATCH(1,('[20]LS (Deteksi) Agustus'!$D$7:$D$303=$D49)*('[20]LS (Deteksi) Agustus'!$D$7:$D$303=$D49),0))</f>
        <v>9</v>
      </c>
      <c r="AB49" s="9">
        <f t="shared" si="9"/>
        <v>6.5693430656934311</v>
      </c>
    </row>
    <row r="50" spans="1:28" outlineLevel="1" x14ac:dyDescent="0.15">
      <c r="A50" s="8" t="s">
        <v>13</v>
      </c>
      <c r="B50" s="8" t="s">
        <v>14</v>
      </c>
      <c r="C50" s="8" t="s">
        <v>47</v>
      </c>
      <c r="D50" s="8" t="s">
        <v>61</v>
      </c>
      <c r="E50" s="9">
        <v>24.32</v>
      </c>
      <c r="F50" s="8" t="s">
        <v>16</v>
      </c>
      <c r="G50" s="143">
        <v>3372</v>
      </c>
      <c r="H50" s="132">
        <f t="shared" si="10"/>
        <v>46248</v>
      </c>
      <c r="I50" s="140">
        <f t="shared" si="10"/>
        <v>108</v>
      </c>
      <c r="J50" s="9">
        <f t="shared" si="1"/>
        <v>3.2028469750889679</v>
      </c>
      <c r="K50" s="140">
        <f t="shared" si="2"/>
        <v>6</v>
      </c>
      <c r="L50" s="206">
        <f t="shared" si="3"/>
        <v>5.5555555555555554</v>
      </c>
      <c r="M50" s="8" t="str">
        <f t="array" ref="M50">IF(L50&gt;5,"Perlu Sensus",IF(AND(L50&gt;=0,I50&gt;0),"Tetap Deteksi","Belum Deteksi"))</f>
        <v>Perlu Sensus</v>
      </c>
      <c r="N50" s="132">
        <f t="array" ref="N50">INDEX('[20]LS (Deteksi) Agustus'!N$7:N$303,MATCH(1,('[20]LS (Deteksi) Agustus'!$D$7:$D$303=$D50)*('[20]LS (Deteksi) Agustus'!$D$7:$D$303=$D50),0))</f>
        <v>46248</v>
      </c>
      <c r="O50" s="203">
        <f t="array" ref="O50">INDEX('[20]LS (Deteksi) Agustus'!O$7:O$303,MATCH(1,('[20]LS (Deteksi) Agustus'!$D$7:$D$303=$D50)*('[20]LS (Deteksi) Agustus'!$D$7:$D$303=$D50),0))</f>
        <v>108</v>
      </c>
      <c r="P50" s="9">
        <f t="array" ref="P50">IFERROR(O50/G50*100,0)</f>
        <v>3.2028469750889679</v>
      </c>
      <c r="Q50" s="203">
        <f t="array" ref="Q50">INDEX('[20]LS (Deteksi) Agustus'!Q$7:Q$303,MATCH(1,('[20]LS (Deteksi) Agustus'!$D$7:$D$303=$D50)*('[20]LS (Deteksi) Agustus'!$D$7:$D$303=$D50),0))</f>
        <v>6</v>
      </c>
      <c r="R50" s="9">
        <f t="shared" si="6"/>
        <v>5.5555555555555554</v>
      </c>
      <c r="S50" s="8" t="str">
        <f t="array" ref="S50">IF(R50&gt;5,"Perlu Sensus",IF(AND(R50&gt;=0,O50&gt;0),"Tetap Deteksi","Belum Deteksi"))</f>
        <v>Perlu Sensus</v>
      </c>
      <c r="T50" s="203">
        <f t="array" ref="T50">INDEX('[20]LS (Deteksi) Agustus'!T$7:T$303,MATCH(1,('[20]LS (Deteksi) Agustus'!$D$7:$D$303=$D50)*('[20]LS (Deteksi) Agustus'!$D$7:$D$303=$D50),0))</f>
        <v>10</v>
      </c>
      <c r="U50" s="9">
        <f t="shared" si="7"/>
        <v>9.2592592592592595</v>
      </c>
      <c r="V50" s="132">
        <f t="array" ref="V50">INDEX('[20]LS (Deteksi) Agustus'!V$7:V$303,MATCH(1,('[20]LS (Deteksi) Agustus'!$D$7:$D$303=$D50)*('[20]LS (Deteksi) Agustus'!$D$7:$D$303=$D50),0))</f>
        <v>0</v>
      </c>
      <c r="W50" s="203">
        <f t="array" ref="W50">INDEX('[20]LS (Deteksi) Agustus'!W$7:W$303,MATCH(1,('[20]LS (Deteksi) Agustus'!$D$7:$D$303=$D50)*('[20]LS (Deteksi) Agustus'!$D$7:$D$303=$D50),0))</f>
        <v>0</v>
      </c>
      <c r="X50" s="203">
        <f t="array" ref="X50">INDEX('[20]LS (Deteksi) Agustus'!X$7:X$303,MATCH(1,('[20]LS (Deteksi) Agustus'!$D$7:$D$303=$D50)*('[20]LS (Deteksi) Agustus'!$D$7:$D$303=$D50),0))</f>
        <v>0</v>
      </c>
      <c r="Y50" s="9">
        <f t="shared" si="8"/>
        <v>0</v>
      </c>
      <c r="Z50" s="8" t="str">
        <f t="array" ref="Z50">IF(Y50&gt;5,"Perlu Sensus",IF(AND(Y50&gt;0,,O50&gt;0),"Tetap Deteksi","Belum Deteksi"))</f>
        <v>Belum Deteksi</v>
      </c>
      <c r="AA50" s="203">
        <f t="array" ref="AA50">INDEX('[20]LS (Deteksi) Agustus'!AA$7:AA$303,MATCH(1,('[20]LS (Deteksi) Agustus'!$D$7:$D$303=$D50)*('[20]LS (Deteksi) Agustus'!$D$7:$D$303=$D50),0))</f>
        <v>0</v>
      </c>
      <c r="AB50" s="9">
        <f t="shared" si="9"/>
        <v>0</v>
      </c>
    </row>
    <row r="51" spans="1:28" outlineLevel="1" x14ac:dyDescent="0.15">
      <c r="A51" s="8" t="s">
        <v>13</v>
      </c>
      <c r="B51" s="8" t="s">
        <v>14</v>
      </c>
      <c r="C51" s="8" t="s">
        <v>47</v>
      </c>
      <c r="D51" s="8" t="s">
        <v>62</v>
      </c>
      <c r="E51" s="9">
        <v>24.44</v>
      </c>
      <c r="F51" s="8" t="s">
        <v>16</v>
      </c>
      <c r="G51" s="143">
        <v>3092</v>
      </c>
      <c r="H51" s="132">
        <f t="shared" si="10"/>
        <v>46248</v>
      </c>
      <c r="I51" s="140">
        <f t="shared" si="10"/>
        <v>121</v>
      </c>
      <c r="J51" s="9">
        <f t="shared" si="1"/>
        <v>3.9133247089262615</v>
      </c>
      <c r="K51" s="140">
        <f t="shared" si="2"/>
        <v>7</v>
      </c>
      <c r="L51" s="206">
        <f t="shared" si="3"/>
        <v>5.785123966942149</v>
      </c>
      <c r="M51" s="8" t="str">
        <f t="array" ref="M51">IF(L51&gt;5,"Perlu Sensus",IF(AND(L51&gt;=0,I51&gt;0),"Tetap Deteksi","Belum Deteksi"))</f>
        <v>Perlu Sensus</v>
      </c>
      <c r="N51" s="132">
        <f t="array" ref="N51">INDEX('[20]LS (Deteksi) Agustus'!N$7:N$303,MATCH(1,('[20]LS (Deteksi) Agustus'!$D$7:$D$303=$D51)*('[20]LS (Deteksi) Agustus'!$D$7:$D$303=$D51),0))</f>
        <v>46248</v>
      </c>
      <c r="O51" s="203">
        <f t="array" ref="O51">INDEX('[20]LS (Deteksi) Agustus'!O$7:O$303,MATCH(1,('[20]LS (Deteksi) Agustus'!$D$7:$D$303=$D51)*('[20]LS (Deteksi) Agustus'!$D$7:$D$303=$D51),0))</f>
        <v>121</v>
      </c>
      <c r="P51" s="9">
        <f t="array" ref="P51">IFERROR(O51/G51*100,0)</f>
        <v>3.9133247089262615</v>
      </c>
      <c r="Q51" s="203">
        <f t="array" ref="Q51">INDEX('[20]LS (Deteksi) Agustus'!Q$7:Q$303,MATCH(1,('[20]LS (Deteksi) Agustus'!$D$7:$D$303=$D51)*('[20]LS (Deteksi) Agustus'!$D$7:$D$303=$D51),0))</f>
        <v>7</v>
      </c>
      <c r="R51" s="9">
        <f t="shared" si="6"/>
        <v>5.785123966942149</v>
      </c>
      <c r="S51" s="8" t="str">
        <f t="array" ref="S51">IF(R51&gt;5,"Perlu Sensus",IF(AND(R51&gt;=0,O51&gt;0),"Tetap Deteksi","Belum Deteksi"))</f>
        <v>Perlu Sensus</v>
      </c>
      <c r="T51" s="203">
        <f t="array" ref="T51">INDEX('[20]LS (Deteksi) Agustus'!T$7:T$303,MATCH(1,('[20]LS (Deteksi) Agustus'!$D$7:$D$303=$D51)*('[20]LS (Deteksi) Agustus'!$D$7:$D$303=$D51),0))</f>
        <v>12</v>
      </c>
      <c r="U51" s="9">
        <f t="shared" si="7"/>
        <v>9.9173553719008272</v>
      </c>
      <c r="V51" s="132">
        <f t="array" ref="V51">INDEX('[20]LS (Deteksi) Agustus'!V$7:V$303,MATCH(1,('[20]LS (Deteksi) Agustus'!$D$7:$D$303=$D51)*('[20]LS (Deteksi) Agustus'!$D$7:$D$303=$D51),0))</f>
        <v>46237</v>
      </c>
      <c r="W51" s="203">
        <f t="array" ref="W51">INDEX('[20]LS (Deteksi) Agustus'!W$7:W$303,MATCH(1,('[20]LS (Deteksi) Agustus'!$D$7:$D$303=$D51)*('[20]LS (Deteksi) Agustus'!$D$7:$D$303=$D51),0))</f>
        <v>148</v>
      </c>
      <c r="X51" s="203">
        <f t="array" ref="X51">INDEX('[20]LS (Deteksi) Agustus'!X$7:X$303,MATCH(1,('[20]LS (Deteksi) Agustus'!$D$7:$D$303=$D51)*('[20]LS (Deteksi) Agustus'!$D$7:$D$303=$D51),0))</f>
        <v>17</v>
      </c>
      <c r="Y51" s="9">
        <f t="shared" si="8"/>
        <v>11.486486486486488</v>
      </c>
      <c r="Z51" s="8" t="str">
        <f t="array" ref="Z51">IF(Y51&gt;5,"Perlu Sensus",IF(AND(Y51&gt;0,,O51&gt;0),"Tetap Deteksi","Belum Deteksi"))</f>
        <v>Perlu Sensus</v>
      </c>
      <c r="AA51" s="203">
        <f t="array" ref="AA51">INDEX('[20]LS (Deteksi) Agustus'!AA$7:AA$303,MATCH(1,('[20]LS (Deteksi) Agustus'!$D$7:$D$303=$D51)*('[20]LS (Deteksi) Agustus'!$D$7:$D$303=$D51),0))</f>
        <v>6</v>
      </c>
      <c r="AB51" s="9">
        <f t="shared" si="9"/>
        <v>4.0540540540540544</v>
      </c>
    </row>
    <row r="52" spans="1:28" outlineLevel="1" x14ac:dyDescent="0.15">
      <c r="A52" s="8" t="s">
        <v>13</v>
      </c>
      <c r="B52" s="8" t="s">
        <v>14</v>
      </c>
      <c r="C52" s="8" t="s">
        <v>47</v>
      </c>
      <c r="D52" s="8" t="s">
        <v>63</v>
      </c>
      <c r="E52" s="9">
        <v>48.23</v>
      </c>
      <c r="F52" s="8" t="s">
        <v>16</v>
      </c>
      <c r="G52" s="143">
        <v>6143</v>
      </c>
      <c r="H52" s="132">
        <f t="shared" si="10"/>
        <v>46248</v>
      </c>
      <c r="I52" s="140">
        <f t="shared" si="10"/>
        <v>111</v>
      </c>
      <c r="J52" s="9">
        <f t="shared" si="1"/>
        <v>1.806934722448315</v>
      </c>
      <c r="K52" s="140">
        <f t="shared" si="2"/>
        <v>5</v>
      </c>
      <c r="L52" s="206">
        <f t="shared" si="3"/>
        <v>4.5045045045045047</v>
      </c>
      <c r="M52" s="8" t="str">
        <f t="array" ref="M52">IF(L52&gt;5,"Perlu Sensus",IF(AND(L52&gt;=0,I52&gt;0),"Tetap Deteksi","Belum Deteksi"))</f>
        <v>Tetap Deteksi</v>
      </c>
      <c r="N52" s="132">
        <f t="array" ref="N52">INDEX('[20]LS (Deteksi) Agustus'!N$7:N$303,MATCH(1,('[20]LS (Deteksi) Agustus'!$D$7:$D$303=$D52)*('[20]LS (Deteksi) Agustus'!$D$7:$D$303=$D52),0))</f>
        <v>46248</v>
      </c>
      <c r="O52" s="203">
        <f t="array" ref="O52">INDEX('[20]LS (Deteksi) Agustus'!O$7:O$303,MATCH(1,('[20]LS (Deteksi) Agustus'!$D$7:$D$303=$D52)*('[20]LS (Deteksi) Agustus'!$D$7:$D$303=$D52),0))</f>
        <v>111</v>
      </c>
      <c r="P52" s="9">
        <f t="array" ref="P52">IFERROR(O52/G52*100,0)</f>
        <v>1.806934722448315</v>
      </c>
      <c r="Q52" s="203">
        <f t="array" ref="Q52">INDEX('[20]LS (Deteksi) Agustus'!Q$7:Q$303,MATCH(1,('[20]LS (Deteksi) Agustus'!$D$7:$D$303=$D52)*('[20]LS (Deteksi) Agustus'!$D$7:$D$303=$D52),0))</f>
        <v>5</v>
      </c>
      <c r="R52" s="9">
        <f t="shared" si="6"/>
        <v>4.5045045045045047</v>
      </c>
      <c r="S52" s="8" t="str">
        <f t="array" ref="S52">IF(R52&gt;5,"Perlu Sensus",IF(AND(R52&gt;=0,O52&gt;0),"Tetap Deteksi","Belum Deteksi"))</f>
        <v>Tetap Deteksi</v>
      </c>
      <c r="T52" s="203">
        <f t="array" ref="T52">INDEX('[20]LS (Deteksi) Agustus'!T$7:T$303,MATCH(1,('[20]LS (Deteksi) Agustus'!$D$7:$D$303=$D52)*('[20]LS (Deteksi) Agustus'!$D$7:$D$303=$D52),0))</f>
        <v>14</v>
      </c>
      <c r="U52" s="9">
        <f t="shared" si="7"/>
        <v>12.612612612612612</v>
      </c>
      <c r="V52" s="132">
        <f t="array" ref="V52">INDEX('[20]LS (Deteksi) Agustus'!V$7:V$303,MATCH(1,('[20]LS (Deteksi) Agustus'!$D$7:$D$303=$D52)*('[20]LS (Deteksi) Agustus'!$D$7:$D$303=$D52),0))</f>
        <v>46237</v>
      </c>
      <c r="W52" s="203">
        <f t="array" ref="W52">INDEX('[20]LS (Deteksi) Agustus'!W$7:W$303,MATCH(1,('[20]LS (Deteksi) Agustus'!$D$7:$D$303=$D52)*('[20]LS (Deteksi) Agustus'!$D$7:$D$303=$D52),0))</f>
        <v>123</v>
      </c>
      <c r="X52" s="203">
        <f t="array" ref="X52">INDEX('[20]LS (Deteksi) Agustus'!X$7:X$303,MATCH(1,('[20]LS (Deteksi) Agustus'!$D$7:$D$303=$D52)*('[20]LS (Deteksi) Agustus'!$D$7:$D$303=$D52),0))</f>
        <v>7</v>
      </c>
      <c r="Y52" s="9">
        <f t="shared" si="8"/>
        <v>5.6910569105691051</v>
      </c>
      <c r="Z52" s="8" t="str">
        <f t="array" ref="Z52">IF(Y52&gt;5,"Perlu Sensus",IF(AND(Y52&gt;0,,O52&gt;0),"Tetap Deteksi","Belum Deteksi"))</f>
        <v>Perlu Sensus</v>
      </c>
      <c r="AA52" s="203">
        <f t="array" ref="AA52">INDEX('[20]LS (Deteksi) Agustus'!AA$7:AA$303,MATCH(1,('[20]LS (Deteksi) Agustus'!$D$7:$D$303=$D52)*('[20]LS (Deteksi) Agustus'!$D$7:$D$303=$D52),0))</f>
        <v>8</v>
      </c>
      <c r="AB52" s="9">
        <f t="shared" si="9"/>
        <v>6.5040650406504072</v>
      </c>
    </row>
    <row r="53" spans="1:28" outlineLevel="1" x14ac:dyDescent="0.15">
      <c r="A53" s="8" t="s">
        <v>13</v>
      </c>
      <c r="B53" s="8" t="s">
        <v>14</v>
      </c>
      <c r="C53" s="8" t="s">
        <v>47</v>
      </c>
      <c r="D53" s="8" t="s">
        <v>64</v>
      </c>
      <c r="E53" s="9">
        <v>30.33</v>
      </c>
      <c r="F53" s="8" t="s">
        <v>16</v>
      </c>
      <c r="G53" s="143">
        <v>4041</v>
      </c>
      <c r="H53" s="132">
        <f t="shared" si="10"/>
        <v>0</v>
      </c>
      <c r="I53" s="140">
        <f t="shared" si="10"/>
        <v>0</v>
      </c>
      <c r="J53" s="9" t="str">
        <f t="shared" si="1"/>
        <v xml:space="preserve"> </v>
      </c>
      <c r="K53" s="140">
        <f t="shared" si="2"/>
        <v>0</v>
      </c>
      <c r="L53" s="206">
        <f t="shared" si="3"/>
        <v>0</v>
      </c>
      <c r="M53" s="8" t="str">
        <f t="array" ref="M53">IF(L53&gt;5,"Perlu Sensus",IF(AND(L53&gt;=0,I53&gt;0),"Tetap Deteksi","Belum Deteksi"))</f>
        <v>Belum Deteksi</v>
      </c>
      <c r="N53" s="132">
        <f t="array" ref="N53">INDEX('[20]LS (Deteksi) Agustus'!N$7:N$303,MATCH(1,('[20]LS (Deteksi) Agustus'!$D$7:$D$303=$D53)*('[20]LS (Deteksi) Agustus'!$D$7:$D$303=$D53),0))</f>
        <v>0</v>
      </c>
      <c r="O53" s="203">
        <f t="array" ref="O53">INDEX('[20]LS (Deteksi) Agustus'!O$7:O$303,MATCH(1,('[20]LS (Deteksi) Agustus'!$D$7:$D$303=$D53)*('[20]LS (Deteksi) Agustus'!$D$7:$D$303=$D53),0))</f>
        <v>0</v>
      </c>
      <c r="P53" s="9">
        <f t="array" ref="P53">IFERROR(O53/G53*100,0)</f>
        <v>0</v>
      </c>
      <c r="Q53" s="203">
        <f t="array" ref="Q53">INDEX('[20]LS (Deteksi) Agustus'!Q$7:Q$303,MATCH(1,('[20]LS (Deteksi) Agustus'!$D$7:$D$303=$D53)*('[20]LS (Deteksi) Agustus'!$D$7:$D$303=$D53),0))</f>
        <v>0</v>
      </c>
      <c r="R53" s="9">
        <f t="shared" si="6"/>
        <v>0</v>
      </c>
      <c r="S53" s="8" t="str">
        <f t="array" ref="S53">IF(R53&gt;5,"Perlu Sensus",IF(AND(R53&gt;=0,O53&gt;0),"Tetap Deteksi","Belum Deteksi"))</f>
        <v>Belum Deteksi</v>
      </c>
      <c r="T53" s="203">
        <f t="array" ref="T53">INDEX('[20]LS (Deteksi) Agustus'!T$7:T$303,MATCH(1,('[20]LS (Deteksi) Agustus'!$D$7:$D$303=$D53)*('[20]LS (Deteksi) Agustus'!$D$7:$D$303=$D53),0))</f>
        <v>0</v>
      </c>
      <c r="U53" s="9">
        <f t="shared" si="7"/>
        <v>0</v>
      </c>
      <c r="V53" s="132">
        <f t="array" ref="V53">INDEX('[20]LS (Deteksi) Agustus'!V$7:V$303,MATCH(1,('[20]LS (Deteksi) Agustus'!$D$7:$D$303=$D53)*('[20]LS (Deteksi) Agustus'!$D$7:$D$303=$D53),0))</f>
        <v>0</v>
      </c>
      <c r="W53" s="203">
        <f t="array" ref="W53">INDEX('[20]LS (Deteksi) Agustus'!W$7:W$303,MATCH(1,('[20]LS (Deteksi) Agustus'!$D$7:$D$303=$D53)*('[20]LS (Deteksi) Agustus'!$D$7:$D$303=$D53),0))</f>
        <v>0</v>
      </c>
      <c r="X53" s="203">
        <f t="array" ref="X53">INDEX('[20]LS (Deteksi) Agustus'!X$7:X$303,MATCH(1,('[20]LS (Deteksi) Agustus'!$D$7:$D$303=$D53)*('[20]LS (Deteksi) Agustus'!$D$7:$D$303=$D53),0))</f>
        <v>0</v>
      </c>
      <c r="Y53" s="9">
        <f t="shared" si="8"/>
        <v>0</v>
      </c>
      <c r="Z53" s="8" t="str">
        <f t="array" ref="Z53">IF(Y53&gt;5,"Perlu Sensus",IF(AND(Y53&gt;0,,O53&gt;0),"Tetap Deteksi","Belum Deteksi"))</f>
        <v>Belum Deteksi</v>
      </c>
      <c r="AA53" s="203">
        <f t="array" ref="AA53">INDEX('[20]LS (Deteksi) Agustus'!AA$7:AA$303,MATCH(1,('[20]LS (Deteksi) Agustus'!$D$7:$D$303=$D53)*('[20]LS (Deteksi) Agustus'!$D$7:$D$303=$D53),0))</f>
        <v>0</v>
      </c>
      <c r="AB53" s="9">
        <f t="shared" si="9"/>
        <v>0</v>
      </c>
    </row>
    <row r="54" spans="1:28" outlineLevel="1" x14ac:dyDescent="0.15">
      <c r="A54" s="8" t="s">
        <v>13</v>
      </c>
      <c r="B54" s="8" t="s">
        <v>14</v>
      </c>
      <c r="C54" s="8" t="s">
        <v>47</v>
      </c>
      <c r="D54" s="8" t="s">
        <v>65</v>
      </c>
      <c r="E54" s="9">
        <v>33.869999999999997</v>
      </c>
      <c r="F54" s="8" t="s">
        <v>16</v>
      </c>
      <c r="G54" s="143">
        <v>5215</v>
      </c>
      <c r="H54" s="132">
        <f t="shared" si="10"/>
        <v>46245</v>
      </c>
      <c r="I54" s="140">
        <f t="shared" si="10"/>
        <v>89</v>
      </c>
      <c r="J54" s="9">
        <f t="shared" si="1"/>
        <v>1.7066155321188876</v>
      </c>
      <c r="K54" s="140">
        <f t="shared" si="2"/>
        <v>4</v>
      </c>
      <c r="L54" s="206">
        <f t="shared" si="3"/>
        <v>4.4943820224719104</v>
      </c>
      <c r="M54" s="8" t="str">
        <f t="array" ref="M54">IF(L54&gt;5,"Perlu Sensus",IF(AND(L54&gt;=0,I54&gt;0),"Tetap Deteksi","Belum Deteksi"))</f>
        <v>Tetap Deteksi</v>
      </c>
      <c r="N54" s="132">
        <f t="array" ref="N54">INDEX('[20]LS (Deteksi) Agustus'!N$7:N$303,MATCH(1,('[20]LS (Deteksi) Agustus'!$D$7:$D$303=$D54)*('[20]LS (Deteksi) Agustus'!$D$7:$D$303=$D54),0))</f>
        <v>46245</v>
      </c>
      <c r="O54" s="203">
        <f t="array" ref="O54">INDEX('[20]LS (Deteksi) Agustus'!O$7:O$303,MATCH(1,('[20]LS (Deteksi) Agustus'!$D$7:$D$303=$D54)*('[20]LS (Deteksi) Agustus'!$D$7:$D$303=$D54),0))</f>
        <v>89</v>
      </c>
      <c r="P54" s="9">
        <f t="array" ref="P54">IFERROR(O54/G54*100,0)</f>
        <v>1.7066155321188876</v>
      </c>
      <c r="Q54" s="203">
        <f t="array" ref="Q54">INDEX('[20]LS (Deteksi) Agustus'!Q$7:Q$303,MATCH(1,('[20]LS (Deteksi) Agustus'!$D$7:$D$303=$D54)*('[20]LS (Deteksi) Agustus'!$D$7:$D$303=$D54),0))</f>
        <v>4</v>
      </c>
      <c r="R54" s="9">
        <f t="shared" si="6"/>
        <v>4.4943820224719104</v>
      </c>
      <c r="S54" s="8" t="str">
        <f t="array" ref="S54">IF(R54&gt;5,"Perlu Sensus",IF(AND(R54&gt;=0,O54&gt;0),"Tetap Deteksi","Belum Deteksi"))</f>
        <v>Tetap Deteksi</v>
      </c>
      <c r="T54" s="203">
        <f t="array" ref="T54">INDEX('[20]LS (Deteksi) Agustus'!T$7:T$303,MATCH(1,('[20]LS (Deteksi) Agustus'!$D$7:$D$303=$D54)*('[20]LS (Deteksi) Agustus'!$D$7:$D$303=$D54),0))</f>
        <v>6</v>
      </c>
      <c r="U54" s="9">
        <f t="shared" si="7"/>
        <v>6.7415730337078648</v>
      </c>
      <c r="V54" s="132">
        <f t="array" ref="V54">INDEX('[20]LS (Deteksi) Agustus'!V$7:V$303,MATCH(1,('[20]LS (Deteksi) Agustus'!$D$7:$D$303=$D54)*('[20]LS (Deteksi) Agustus'!$D$7:$D$303=$D54),0))</f>
        <v>46247</v>
      </c>
      <c r="W54" s="203">
        <f t="array" ref="W54">INDEX('[20]LS (Deteksi) Agustus'!W$7:W$303,MATCH(1,('[20]LS (Deteksi) Agustus'!$D$7:$D$303=$D54)*('[20]LS (Deteksi) Agustus'!$D$7:$D$303=$D54),0))</f>
        <v>242</v>
      </c>
      <c r="X54" s="203">
        <f t="array" ref="X54">INDEX('[20]LS (Deteksi) Agustus'!X$7:X$303,MATCH(1,('[20]LS (Deteksi) Agustus'!$D$7:$D$303=$D54)*('[20]LS (Deteksi) Agustus'!$D$7:$D$303=$D54),0))</f>
        <v>11</v>
      </c>
      <c r="Y54" s="9">
        <f t="shared" si="8"/>
        <v>4.5454545454545459</v>
      </c>
      <c r="Z54" s="8" t="str">
        <f t="array" ref="Z54">IF(Y54&gt;5,"Perlu Sensus",IF(AND(Y54&gt;0,,O54&gt;0),"Tetap Deteksi","Belum Deteksi"))</f>
        <v>Belum Deteksi</v>
      </c>
      <c r="AA54" s="203">
        <f t="array" ref="AA54">INDEX('[20]LS (Deteksi) Agustus'!AA$7:AA$303,MATCH(1,('[20]LS (Deteksi) Agustus'!$D$7:$D$303=$D54)*('[20]LS (Deteksi) Agustus'!$D$7:$D$303=$D54),0))</f>
        <v>13</v>
      </c>
      <c r="AB54" s="9">
        <f t="shared" si="9"/>
        <v>5.3719008264462813</v>
      </c>
    </row>
    <row r="55" spans="1:28" outlineLevel="1" x14ac:dyDescent="0.15">
      <c r="A55" s="8" t="s">
        <v>13</v>
      </c>
      <c r="B55" s="8" t="s">
        <v>14</v>
      </c>
      <c r="C55" s="8" t="s">
        <v>47</v>
      </c>
      <c r="D55" s="8" t="s">
        <v>66</v>
      </c>
      <c r="E55" s="9">
        <v>47.53</v>
      </c>
      <c r="F55" s="8" t="s">
        <v>16</v>
      </c>
      <c r="G55" s="143">
        <v>7139</v>
      </c>
      <c r="H55" s="132">
        <f t="shared" si="10"/>
        <v>46245</v>
      </c>
      <c r="I55" s="140">
        <f t="shared" si="10"/>
        <v>101</v>
      </c>
      <c r="J55" s="9">
        <f t="shared" si="1"/>
        <v>1.4147639725451744</v>
      </c>
      <c r="K55" s="140">
        <f t="shared" si="2"/>
        <v>3</v>
      </c>
      <c r="L55" s="206">
        <f t="shared" si="3"/>
        <v>2.9702970297029703</v>
      </c>
      <c r="M55" s="8" t="str">
        <f t="array" ref="M55">IF(L55&gt;5,"Perlu Sensus",IF(AND(L55&gt;=0,I55&gt;0),"Tetap Deteksi","Belum Deteksi"))</f>
        <v>Tetap Deteksi</v>
      </c>
      <c r="N55" s="132">
        <f t="array" ref="N55">INDEX('[20]LS (Deteksi) Agustus'!N$7:N$303,MATCH(1,('[20]LS (Deteksi) Agustus'!$D$7:$D$303=$D55)*('[20]LS (Deteksi) Agustus'!$D$7:$D$303=$D55),0))</f>
        <v>46245</v>
      </c>
      <c r="O55" s="203">
        <f t="array" ref="O55">INDEX('[20]LS (Deteksi) Agustus'!O$7:O$303,MATCH(1,('[20]LS (Deteksi) Agustus'!$D$7:$D$303=$D55)*('[20]LS (Deteksi) Agustus'!$D$7:$D$303=$D55),0))</f>
        <v>101</v>
      </c>
      <c r="P55" s="9">
        <f t="array" ref="P55">IFERROR(O55/G55*100,0)</f>
        <v>1.4147639725451744</v>
      </c>
      <c r="Q55" s="203">
        <f t="array" ref="Q55">INDEX('[20]LS (Deteksi) Agustus'!Q$7:Q$303,MATCH(1,('[20]LS (Deteksi) Agustus'!$D$7:$D$303=$D55)*('[20]LS (Deteksi) Agustus'!$D$7:$D$303=$D55),0))</f>
        <v>3</v>
      </c>
      <c r="R55" s="9">
        <f t="shared" si="6"/>
        <v>2.9702970297029703</v>
      </c>
      <c r="S55" s="8" t="str">
        <f t="array" ref="S55">IF(R55&gt;5,"Perlu Sensus",IF(AND(R55&gt;=0,O55&gt;0),"Tetap Deteksi","Belum Deteksi"))</f>
        <v>Tetap Deteksi</v>
      </c>
      <c r="T55" s="203">
        <f t="array" ref="T55">INDEX('[20]LS (Deteksi) Agustus'!T$7:T$303,MATCH(1,('[20]LS (Deteksi) Agustus'!$D$7:$D$303=$D55)*('[20]LS (Deteksi) Agustus'!$D$7:$D$303=$D55),0))</f>
        <v>6</v>
      </c>
      <c r="U55" s="9">
        <f t="shared" si="7"/>
        <v>5.9405940594059405</v>
      </c>
      <c r="V55" s="132">
        <f t="array" ref="V55">INDEX('[20]LS (Deteksi) Agustus'!V$7:V$303,MATCH(1,('[20]LS (Deteksi) Agustus'!$D$7:$D$303=$D55)*('[20]LS (Deteksi) Agustus'!$D$7:$D$303=$D55),0))</f>
        <v>46241</v>
      </c>
      <c r="W55" s="203">
        <f t="array" ref="W55">INDEX('[20]LS (Deteksi) Agustus'!W$7:W$303,MATCH(1,('[20]LS (Deteksi) Agustus'!$D$7:$D$303=$D55)*('[20]LS (Deteksi) Agustus'!$D$7:$D$303=$D55),0))</f>
        <v>178</v>
      </c>
      <c r="X55" s="203">
        <f t="array" ref="X55">INDEX('[20]LS (Deteksi) Agustus'!X$7:X$303,MATCH(1,('[20]LS (Deteksi) Agustus'!$D$7:$D$303=$D55)*('[20]LS (Deteksi) Agustus'!$D$7:$D$303=$D55),0))</f>
        <v>9</v>
      </c>
      <c r="Y55" s="9">
        <f t="shared" si="8"/>
        <v>5.0561797752808983</v>
      </c>
      <c r="Z55" s="8" t="str">
        <f t="array" ref="Z55">IF(Y55&gt;5,"Perlu Sensus",IF(AND(Y55&gt;0,,O55&gt;0),"Tetap Deteksi","Belum Deteksi"))</f>
        <v>Perlu Sensus</v>
      </c>
      <c r="AA55" s="203">
        <f t="array" ref="AA55">INDEX('[20]LS (Deteksi) Agustus'!AA$7:AA$303,MATCH(1,('[20]LS (Deteksi) Agustus'!$D$7:$D$303=$D55)*('[20]LS (Deteksi) Agustus'!$D$7:$D$303=$D55),0))</f>
        <v>7</v>
      </c>
      <c r="AB55" s="9">
        <f t="shared" si="9"/>
        <v>3.9325842696629212</v>
      </c>
    </row>
    <row r="56" spans="1:28" outlineLevel="1" x14ac:dyDescent="0.15">
      <c r="A56" s="8" t="s">
        <v>13</v>
      </c>
      <c r="B56" s="8" t="s">
        <v>14</v>
      </c>
      <c r="C56" s="8" t="s">
        <v>47</v>
      </c>
      <c r="D56" s="8" t="s">
        <v>67</v>
      </c>
      <c r="E56" s="9">
        <v>25.79</v>
      </c>
      <c r="F56" s="8" t="s">
        <v>16</v>
      </c>
      <c r="G56" s="143">
        <v>3762</v>
      </c>
      <c r="H56" s="132">
        <f t="shared" si="10"/>
        <v>46244</v>
      </c>
      <c r="I56" s="140">
        <f t="shared" si="10"/>
        <v>116</v>
      </c>
      <c r="J56" s="9">
        <f t="shared" si="1"/>
        <v>3.0834662413609779</v>
      </c>
      <c r="K56" s="140">
        <f t="shared" si="2"/>
        <v>7</v>
      </c>
      <c r="L56" s="206">
        <f t="shared" si="3"/>
        <v>6.0344827586206895</v>
      </c>
      <c r="M56" s="8" t="str">
        <f t="array" ref="M56">IF(L56&gt;5,"Perlu Sensus",IF(AND(L56&gt;=0,I56&gt;0),"Tetap Deteksi","Belum Deteksi"))</f>
        <v>Perlu Sensus</v>
      </c>
      <c r="N56" s="132">
        <f t="array" ref="N56">INDEX('[20]LS (Deteksi) Agustus'!N$7:N$303,MATCH(1,('[20]LS (Deteksi) Agustus'!$D$7:$D$303=$D56)*('[20]LS (Deteksi) Agustus'!$D$7:$D$303=$D56),0))</f>
        <v>46244</v>
      </c>
      <c r="O56" s="203">
        <f t="array" ref="O56">INDEX('[20]LS (Deteksi) Agustus'!O$7:O$303,MATCH(1,('[20]LS (Deteksi) Agustus'!$D$7:$D$303=$D56)*('[20]LS (Deteksi) Agustus'!$D$7:$D$303=$D56),0))</f>
        <v>116</v>
      </c>
      <c r="P56" s="9">
        <f t="array" ref="P56">IFERROR(O56/G56*100,0)</f>
        <v>3.0834662413609779</v>
      </c>
      <c r="Q56" s="203">
        <f t="array" ref="Q56">INDEX('[20]LS (Deteksi) Agustus'!Q$7:Q$303,MATCH(1,('[20]LS (Deteksi) Agustus'!$D$7:$D$303=$D56)*('[20]LS (Deteksi) Agustus'!$D$7:$D$303=$D56),0))</f>
        <v>7</v>
      </c>
      <c r="R56" s="9">
        <f t="shared" si="6"/>
        <v>6.0344827586206895</v>
      </c>
      <c r="S56" s="8" t="str">
        <f t="array" ref="S56">IF(R56&gt;5,"Perlu Sensus",IF(AND(R56&gt;=0,O56&gt;0),"Tetap Deteksi","Belum Deteksi"))</f>
        <v>Perlu Sensus</v>
      </c>
      <c r="T56" s="203">
        <f t="array" ref="T56">INDEX('[20]LS (Deteksi) Agustus'!T$7:T$303,MATCH(1,('[20]LS (Deteksi) Agustus'!$D$7:$D$303=$D56)*('[20]LS (Deteksi) Agustus'!$D$7:$D$303=$D56),0))</f>
        <v>14</v>
      </c>
      <c r="U56" s="9">
        <f t="shared" si="7"/>
        <v>12.068965517241379</v>
      </c>
      <c r="V56" s="132">
        <f t="array" ref="V56">INDEX('[20]LS (Deteksi) Agustus'!V$7:V$303,MATCH(1,('[20]LS (Deteksi) Agustus'!$D$7:$D$303=$D56)*('[20]LS (Deteksi) Agustus'!$D$7:$D$303=$D56),0))</f>
        <v>46238</v>
      </c>
      <c r="W56" s="203">
        <f t="array" ref="W56">INDEX('[20]LS (Deteksi) Agustus'!W$7:W$303,MATCH(1,('[20]LS (Deteksi) Agustus'!$D$7:$D$303=$D56)*('[20]LS (Deteksi) Agustus'!$D$7:$D$303=$D56),0))</f>
        <v>289</v>
      </c>
      <c r="X56" s="203">
        <f t="array" ref="X56">INDEX('[20]LS (Deteksi) Agustus'!X$7:X$303,MATCH(1,('[20]LS (Deteksi) Agustus'!$D$7:$D$303=$D56)*('[20]LS (Deteksi) Agustus'!$D$7:$D$303=$D56),0))</f>
        <v>16</v>
      </c>
      <c r="Y56" s="9">
        <f t="shared" si="8"/>
        <v>5.5363321799307963</v>
      </c>
      <c r="Z56" s="8" t="str">
        <f t="array" ref="Z56">IF(Y56&gt;5,"Perlu Sensus",IF(AND(Y56&gt;0,,O56&gt;0),"Tetap Deteksi","Belum Deteksi"))</f>
        <v>Perlu Sensus</v>
      </c>
      <c r="AA56" s="203">
        <f t="array" ref="AA56">INDEX('[20]LS (Deteksi) Agustus'!AA$7:AA$303,MATCH(1,('[20]LS (Deteksi) Agustus'!$D$7:$D$303=$D56)*('[20]LS (Deteksi) Agustus'!$D$7:$D$303=$D56),0))</f>
        <v>14</v>
      </c>
      <c r="AB56" s="9">
        <f t="shared" si="9"/>
        <v>4.844290657439446</v>
      </c>
    </row>
    <row r="57" spans="1:28" outlineLevel="1" x14ac:dyDescent="0.15">
      <c r="A57" s="8" t="s">
        <v>13</v>
      </c>
      <c r="B57" s="8" t="s">
        <v>14</v>
      </c>
      <c r="C57" s="8" t="s">
        <v>47</v>
      </c>
      <c r="D57" s="8" t="s">
        <v>68</v>
      </c>
      <c r="E57" s="9">
        <v>25.37</v>
      </c>
      <c r="F57" s="8" t="s">
        <v>16</v>
      </c>
      <c r="G57" s="143">
        <v>3857</v>
      </c>
      <c r="H57" s="132">
        <f t="shared" si="10"/>
        <v>46237</v>
      </c>
      <c r="I57" s="140">
        <f t="shared" si="10"/>
        <v>123</v>
      </c>
      <c r="J57" s="9">
        <f t="shared" si="1"/>
        <v>3.1890070002592688</v>
      </c>
      <c r="K57" s="140">
        <f t="shared" si="2"/>
        <v>5</v>
      </c>
      <c r="L57" s="206">
        <f t="shared" si="3"/>
        <v>4.0650406504065035</v>
      </c>
      <c r="M57" s="8" t="str">
        <f t="array" ref="M57">IF(L57&gt;5,"Perlu Sensus",IF(AND(L57&gt;=0,I57&gt;0),"Tetap Deteksi","Belum Deteksi"))</f>
        <v>Tetap Deteksi</v>
      </c>
      <c r="N57" s="132">
        <f t="array" ref="N57">INDEX('[20]LS (Deteksi) Agustus'!N$7:N$303,MATCH(1,('[20]LS (Deteksi) Agustus'!$D$7:$D$303=$D57)*('[20]LS (Deteksi) Agustus'!$D$7:$D$303=$D57),0))</f>
        <v>46237</v>
      </c>
      <c r="O57" s="203">
        <f t="array" ref="O57">INDEX('[20]LS (Deteksi) Agustus'!O$7:O$303,MATCH(1,('[20]LS (Deteksi) Agustus'!$D$7:$D$303=$D57)*('[20]LS (Deteksi) Agustus'!$D$7:$D$303=$D57),0))</f>
        <v>123</v>
      </c>
      <c r="P57" s="9">
        <f t="array" ref="P57">IFERROR(O57/G57*100,0)</f>
        <v>3.1890070002592688</v>
      </c>
      <c r="Q57" s="203">
        <f t="array" ref="Q57">INDEX('[20]LS (Deteksi) Agustus'!Q$7:Q$303,MATCH(1,('[20]LS (Deteksi) Agustus'!$D$7:$D$303=$D57)*('[20]LS (Deteksi) Agustus'!$D$7:$D$303=$D57),0))</f>
        <v>5</v>
      </c>
      <c r="R57" s="9">
        <f t="shared" si="6"/>
        <v>4.0650406504065035</v>
      </c>
      <c r="S57" s="8" t="str">
        <f t="array" ref="S57">IF(R57&gt;5,"Perlu Sensus",IF(AND(R57&gt;=0,O57&gt;0),"Tetap Deteksi","Belum Deteksi"))</f>
        <v>Tetap Deteksi</v>
      </c>
      <c r="T57" s="203">
        <f t="array" ref="T57">INDEX('[20]LS (Deteksi) Agustus'!T$7:T$303,MATCH(1,('[20]LS (Deteksi) Agustus'!$D$7:$D$303=$D57)*('[20]LS (Deteksi) Agustus'!$D$7:$D$303=$D57),0))</f>
        <v>15</v>
      </c>
      <c r="U57" s="9">
        <f t="shared" si="7"/>
        <v>12.195121951219512</v>
      </c>
      <c r="V57" s="132">
        <f t="array" ref="V57">INDEX('[20]LS (Deteksi) Agustus'!V$7:V$303,MATCH(1,('[20]LS (Deteksi) Agustus'!$D$7:$D$303=$D57)*('[20]LS (Deteksi) Agustus'!$D$7:$D$303=$D57),0))</f>
        <v>46238</v>
      </c>
      <c r="W57" s="203">
        <f t="array" ref="W57">INDEX('[20]LS (Deteksi) Agustus'!W$7:W$303,MATCH(1,('[20]LS (Deteksi) Agustus'!$D$7:$D$303=$D57)*('[20]LS (Deteksi) Agustus'!$D$7:$D$303=$D57),0))</f>
        <v>240</v>
      </c>
      <c r="X57" s="203">
        <f t="array" ref="X57">INDEX('[20]LS (Deteksi) Agustus'!X$7:X$303,MATCH(1,('[20]LS (Deteksi) Agustus'!$D$7:$D$303=$D57)*('[20]LS (Deteksi) Agustus'!$D$7:$D$303=$D57),0))</f>
        <v>17</v>
      </c>
      <c r="Y57" s="9">
        <f t="shared" si="8"/>
        <v>7.083333333333333</v>
      </c>
      <c r="Z57" s="8" t="str">
        <f t="array" ref="Z57">IF(Y57&gt;5,"Perlu Sensus",IF(AND(Y57&gt;0,,O57&gt;0),"Tetap Deteksi","Belum Deteksi"))</f>
        <v>Perlu Sensus</v>
      </c>
      <c r="AA57" s="203">
        <f t="array" ref="AA57">INDEX('[20]LS (Deteksi) Agustus'!AA$7:AA$303,MATCH(1,('[20]LS (Deteksi) Agustus'!$D$7:$D$303=$D57)*('[20]LS (Deteksi) Agustus'!$D$7:$D$303=$D57),0))</f>
        <v>11</v>
      </c>
      <c r="AB57" s="9">
        <f t="shared" si="9"/>
        <v>4.583333333333333</v>
      </c>
    </row>
    <row r="58" spans="1:28" outlineLevel="1" x14ac:dyDescent="0.15">
      <c r="A58" s="8" t="s">
        <v>13</v>
      </c>
      <c r="B58" s="8" t="s">
        <v>14</v>
      </c>
      <c r="C58" s="8" t="s">
        <v>47</v>
      </c>
      <c r="D58" s="8" t="s">
        <v>69</v>
      </c>
      <c r="E58" s="9">
        <v>23.87</v>
      </c>
      <c r="F58" s="8" t="s">
        <v>16</v>
      </c>
      <c r="G58" s="143">
        <v>3450</v>
      </c>
      <c r="H58" s="132">
        <f t="shared" si="10"/>
        <v>46237</v>
      </c>
      <c r="I58" s="140">
        <f t="shared" si="10"/>
        <v>210</v>
      </c>
      <c r="J58" s="9">
        <f t="shared" si="1"/>
        <v>6.0869565217391308</v>
      </c>
      <c r="K58" s="140">
        <f t="shared" si="2"/>
        <v>6</v>
      </c>
      <c r="L58" s="206">
        <f t="shared" si="3"/>
        <v>2.8571428571428572</v>
      </c>
      <c r="M58" s="8" t="str">
        <f t="array" ref="M58">IF(L58&gt;5,"Perlu Sensus",IF(AND(L58&gt;=0,I58&gt;0),"Tetap Deteksi","Belum Deteksi"))</f>
        <v>Tetap Deteksi</v>
      </c>
      <c r="N58" s="132">
        <f t="array" ref="N58">INDEX('[20]LS (Deteksi) Agustus'!N$7:N$303,MATCH(1,('[20]LS (Deteksi) Agustus'!$D$7:$D$303=$D58)*('[20]LS (Deteksi) Agustus'!$D$7:$D$303=$D58),0))</f>
        <v>46237</v>
      </c>
      <c r="O58" s="203">
        <f t="array" ref="O58">INDEX('[20]LS (Deteksi) Agustus'!O$7:O$303,MATCH(1,('[20]LS (Deteksi) Agustus'!$D$7:$D$303=$D58)*('[20]LS (Deteksi) Agustus'!$D$7:$D$303=$D58),0))</f>
        <v>210</v>
      </c>
      <c r="P58" s="9">
        <f t="array" ref="P58">IFERROR(O58/G58*100,0)</f>
        <v>6.0869565217391308</v>
      </c>
      <c r="Q58" s="203">
        <f t="array" ref="Q58">INDEX('[20]LS (Deteksi) Agustus'!Q$7:Q$303,MATCH(1,('[20]LS (Deteksi) Agustus'!$D$7:$D$303=$D58)*('[20]LS (Deteksi) Agustus'!$D$7:$D$303=$D58),0))</f>
        <v>6</v>
      </c>
      <c r="R58" s="9">
        <f t="shared" si="6"/>
        <v>2.8571428571428572</v>
      </c>
      <c r="S58" s="8" t="str">
        <f t="array" ref="S58">IF(R58&gt;5,"Perlu Sensus",IF(AND(R58&gt;=0,O58&gt;0),"Tetap Deteksi","Belum Deteksi"))</f>
        <v>Tetap Deteksi</v>
      </c>
      <c r="T58" s="203">
        <f t="array" ref="T58">INDEX('[20]LS (Deteksi) Agustus'!T$7:T$303,MATCH(1,('[20]LS (Deteksi) Agustus'!$D$7:$D$303=$D58)*('[20]LS (Deteksi) Agustus'!$D$7:$D$303=$D58),0))</f>
        <v>10</v>
      </c>
      <c r="U58" s="9">
        <f t="shared" si="7"/>
        <v>4.7619047619047619</v>
      </c>
      <c r="V58" s="132">
        <f t="array" ref="V58">INDEX('[20]LS (Deteksi) Agustus'!V$7:V$303,MATCH(1,('[20]LS (Deteksi) Agustus'!$D$7:$D$303=$D58)*('[20]LS (Deteksi) Agustus'!$D$7:$D$303=$D58),0))</f>
        <v>46247</v>
      </c>
      <c r="W58" s="203">
        <f t="array" ref="W58">INDEX('[20]LS (Deteksi) Agustus'!W$7:W$303,MATCH(1,('[20]LS (Deteksi) Agustus'!$D$7:$D$303=$D58)*('[20]LS (Deteksi) Agustus'!$D$7:$D$303=$D58),0))</f>
        <v>201</v>
      </c>
      <c r="X58" s="203">
        <f t="array" ref="X58">INDEX('[20]LS (Deteksi) Agustus'!X$7:X$303,MATCH(1,('[20]LS (Deteksi) Agustus'!$D$7:$D$303=$D58)*('[20]LS (Deteksi) Agustus'!$D$7:$D$303=$D58),0))</f>
        <v>10</v>
      </c>
      <c r="Y58" s="9">
        <f t="shared" si="8"/>
        <v>4.9751243781094532</v>
      </c>
      <c r="Z58" s="8" t="str">
        <f t="array" ref="Z58">IF(Y58&gt;5,"Perlu Sensus",IF(AND(Y58&gt;0,,O58&gt;0),"Tetap Deteksi","Belum Deteksi"))</f>
        <v>Belum Deteksi</v>
      </c>
      <c r="AA58" s="203">
        <f t="array" ref="AA58">INDEX('[20]LS (Deteksi) Agustus'!AA$7:AA$303,MATCH(1,('[20]LS (Deteksi) Agustus'!$D$7:$D$303=$D58)*('[20]LS (Deteksi) Agustus'!$D$7:$D$303=$D58),0))</f>
        <v>14</v>
      </c>
      <c r="AB58" s="9">
        <f t="shared" si="9"/>
        <v>6.9651741293532341</v>
      </c>
    </row>
    <row r="59" spans="1:28" outlineLevel="1" x14ac:dyDescent="0.15">
      <c r="A59" s="8" t="s">
        <v>13</v>
      </c>
      <c r="B59" s="8" t="s">
        <v>14</v>
      </c>
      <c r="C59" s="8" t="s">
        <v>47</v>
      </c>
      <c r="D59" s="8" t="s">
        <v>70</v>
      </c>
      <c r="E59" s="9">
        <v>46.52</v>
      </c>
      <c r="F59" s="8" t="s">
        <v>16</v>
      </c>
      <c r="G59" s="143">
        <v>5356</v>
      </c>
      <c r="H59" s="132">
        <f t="shared" si="10"/>
        <v>46238</v>
      </c>
      <c r="I59" s="140">
        <f t="shared" si="10"/>
        <v>198</v>
      </c>
      <c r="J59" s="9">
        <f t="shared" si="1"/>
        <v>3.6967886482449592</v>
      </c>
      <c r="K59" s="140">
        <f t="shared" si="2"/>
        <v>14</v>
      </c>
      <c r="L59" s="206">
        <f t="shared" si="3"/>
        <v>7.0707070707070701</v>
      </c>
      <c r="M59" s="8" t="str">
        <f t="array" ref="M59">IF(L59&gt;5,"Perlu Sensus",IF(AND(L59&gt;=0,I59&gt;0),"Tetap Deteksi","Belum Deteksi"))</f>
        <v>Perlu Sensus</v>
      </c>
      <c r="N59" s="132">
        <f t="array" ref="N59">INDEX('[20]LS (Deteksi) Agustus'!N$7:N$303,MATCH(1,('[20]LS (Deteksi) Agustus'!$D$7:$D$303=$D59)*('[20]LS (Deteksi) Agustus'!$D$7:$D$303=$D59),0))</f>
        <v>46238</v>
      </c>
      <c r="O59" s="203">
        <f t="array" ref="O59">INDEX('[20]LS (Deteksi) Agustus'!O$7:O$303,MATCH(1,('[20]LS (Deteksi) Agustus'!$D$7:$D$303=$D59)*('[20]LS (Deteksi) Agustus'!$D$7:$D$303=$D59),0))</f>
        <v>198</v>
      </c>
      <c r="P59" s="9">
        <f t="array" ref="P59">IFERROR(O59/G59*100,0)</f>
        <v>3.6967886482449592</v>
      </c>
      <c r="Q59" s="203">
        <f t="array" ref="Q59">INDEX('[20]LS (Deteksi) Agustus'!Q$7:Q$303,MATCH(1,('[20]LS (Deteksi) Agustus'!$D$7:$D$303=$D59)*('[20]LS (Deteksi) Agustus'!$D$7:$D$303=$D59),0))</f>
        <v>14</v>
      </c>
      <c r="R59" s="9">
        <f t="shared" si="6"/>
        <v>7.0707070707070701</v>
      </c>
      <c r="S59" s="8" t="str">
        <f t="array" ref="S59">IF(R59&gt;5,"Perlu Sensus",IF(AND(R59&gt;=0,O59&gt;0),"Tetap Deteksi","Belum Deteksi"))</f>
        <v>Perlu Sensus</v>
      </c>
      <c r="T59" s="203">
        <f t="array" ref="T59">INDEX('[20]LS (Deteksi) Agustus'!T$7:T$303,MATCH(1,('[20]LS (Deteksi) Agustus'!$D$7:$D$303=$D59)*('[20]LS (Deteksi) Agustus'!$D$7:$D$303=$D59),0))</f>
        <v>18</v>
      </c>
      <c r="U59" s="9">
        <f t="shared" si="7"/>
        <v>9.0909090909090917</v>
      </c>
      <c r="V59" s="132">
        <f t="array" ref="V59">INDEX('[20]LS (Deteksi) Agustus'!V$7:V$303,MATCH(1,('[20]LS (Deteksi) Agustus'!$D$7:$D$303=$D59)*('[20]LS (Deteksi) Agustus'!$D$7:$D$303=$D59),0))</f>
        <v>46248</v>
      </c>
      <c r="W59" s="203">
        <f t="array" ref="W59">INDEX('[20]LS (Deteksi) Agustus'!W$7:W$303,MATCH(1,('[20]LS (Deteksi) Agustus'!$D$7:$D$303=$D59)*('[20]LS (Deteksi) Agustus'!$D$7:$D$303=$D59),0))</f>
        <v>187</v>
      </c>
      <c r="X59" s="203">
        <f t="array" ref="X59">INDEX('[20]LS (Deteksi) Agustus'!X$7:X$303,MATCH(1,('[20]LS (Deteksi) Agustus'!$D$7:$D$303=$D59)*('[20]LS (Deteksi) Agustus'!$D$7:$D$303=$D59),0))</f>
        <v>12</v>
      </c>
      <c r="Y59" s="9">
        <f t="shared" si="8"/>
        <v>6.4171122994652414</v>
      </c>
      <c r="Z59" s="8" t="str">
        <f t="array" ref="Z59">IF(Y59&gt;5,"Perlu Sensus",IF(AND(Y59&gt;0,,O59&gt;0),"Tetap Deteksi","Belum Deteksi"))</f>
        <v>Perlu Sensus</v>
      </c>
      <c r="AA59" s="203">
        <f t="array" ref="AA59">INDEX('[20]LS (Deteksi) Agustus'!AA$7:AA$303,MATCH(1,('[20]LS (Deteksi) Agustus'!$D$7:$D$303=$D59)*('[20]LS (Deteksi) Agustus'!$D$7:$D$303=$D59),0))</f>
        <v>12</v>
      </c>
      <c r="AB59" s="9">
        <f t="shared" si="9"/>
        <v>6.4171122994652414</v>
      </c>
    </row>
    <row r="60" spans="1:28" outlineLevel="1" x14ac:dyDescent="0.15">
      <c r="A60" s="8" t="s">
        <v>13</v>
      </c>
      <c r="B60" s="8" t="s">
        <v>14</v>
      </c>
      <c r="C60" s="8" t="s">
        <v>47</v>
      </c>
      <c r="D60" s="8" t="s">
        <v>71</v>
      </c>
      <c r="E60" s="9">
        <v>29.69</v>
      </c>
      <c r="F60" s="8" t="s">
        <v>16</v>
      </c>
      <c r="G60" s="143">
        <v>4066</v>
      </c>
      <c r="H60" s="132">
        <f t="shared" si="10"/>
        <v>46238</v>
      </c>
      <c r="I60" s="140">
        <f t="shared" si="10"/>
        <v>70</v>
      </c>
      <c r="J60" s="9">
        <f t="shared" si="1"/>
        <v>1.7215937038858831</v>
      </c>
      <c r="K60" s="140">
        <f t="shared" si="2"/>
        <v>4</v>
      </c>
      <c r="L60" s="206">
        <f t="shared" si="3"/>
        <v>5.7142857142857144</v>
      </c>
      <c r="M60" s="8" t="str">
        <f t="array" ref="M60">IF(L60&gt;5,"Perlu Sensus",IF(AND(L60&gt;=0,I60&gt;0),"Tetap Deteksi","Belum Deteksi"))</f>
        <v>Perlu Sensus</v>
      </c>
      <c r="N60" s="132">
        <f t="array" ref="N60">INDEX('[20]LS (Deteksi) Agustus'!N$7:N$303,MATCH(1,('[20]LS (Deteksi) Agustus'!$D$7:$D$303=$D60)*('[20]LS (Deteksi) Agustus'!$D$7:$D$303=$D60),0))</f>
        <v>46238</v>
      </c>
      <c r="O60" s="203">
        <f t="array" ref="O60">INDEX('[20]LS (Deteksi) Agustus'!O$7:O$303,MATCH(1,('[20]LS (Deteksi) Agustus'!$D$7:$D$303=$D60)*('[20]LS (Deteksi) Agustus'!$D$7:$D$303=$D60),0))</f>
        <v>70</v>
      </c>
      <c r="P60" s="9">
        <f t="array" ref="P60">IFERROR(O60/G60*100,0)</f>
        <v>1.7215937038858831</v>
      </c>
      <c r="Q60" s="203">
        <f t="array" ref="Q60">INDEX('[20]LS (Deteksi) Agustus'!Q$7:Q$303,MATCH(1,('[20]LS (Deteksi) Agustus'!$D$7:$D$303=$D60)*('[20]LS (Deteksi) Agustus'!$D$7:$D$303=$D60),0))</f>
        <v>4</v>
      </c>
      <c r="R60" s="9">
        <f t="shared" si="6"/>
        <v>5.7142857142857144</v>
      </c>
      <c r="S60" s="8" t="str">
        <f t="array" ref="S60">IF(R60&gt;5,"Perlu Sensus",IF(AND(R60&gt;=0,O60&gt;0),"Tetap Deteksi","Belum Deteksi"))</f>
        <v>Perlu Sensus</v>
      </c>
      <c r="T60" s="203">
        <f t="array" ref="T60">INDEX('[20]LS (Deteksi) Agustus'!T$7:T$303,MATCH(1,('[20]LS (Deteksi) Agustus'!$D$7:$D$303=$D60)*('[20]LS (Deteksi) Agustus'!$D$7:$D$303=$D60),0))</f>
        <v>23</v>
      </c>
      <c r="U60" s="9">
        <f t="shared" si="7"/>
        <v>32.857142857142854</v>
      </c>
      <c r="V60" s="132">
        <f t="array" ref="V60">INDEX('[20]LS (Deteksi) Agustus'!V$7:V$303,MATCH(1,('[20]LS (Deteksi) Agustus'!$D$7:$D$303=$D60)*('[20]LS (Deteksi) Agustus'!$D$7:$D$303=$D60),0))</f>
        <v>46248</v>
      </c>
      <c r="W60" s="203">
        <f t="array" ref="W60">INDEX('[20]LS (Deteksi) Agustus'!W$7:W$303,MATCH(1,('[20]LS (Deteksi) Agustus'!$D$7:$D$303=$D60)*('[20]LS (Deteksi) Agustus'!$D$7:$D$303=$D60),0))</f>
        <v>136</v>
      </c>
      <c r="X60" s="203">
        <f t="array" ref="X60">INDEX('[20]LS (Deteksi) Agustus'!X$7:X$303,MATCH(1,('[20]LS (Deteksi) Agustus'!$D$7:$D$303=$D60)*('[20]LS (Deteksi) Agustus'!$D$7:$D$303=$D60),0))</f>
        <v>9</v>
      </c>
      <c r="Y60" s="9">
        <f t="shared" si="8"/>
        <v>6.6176470588235299</v>
      </c>
      <c r="Z60" s="8" t="str">
        <f t="array" ref="Z60">IF(Y60&gt;5,"Perlu Sensus",IF(AND(Y60&gt;0,,O60&gt;0),"Tetap Deteksi","Belum Deteksi"))</f>
        <v>Perlu Sensus</v>
      </c>
      <c r="AA60" s="203">
        <f t="array" ref="AA60">INDEX('[20]LS (Deteksi) Agustus'!AA$7:AA$303,MATCH(1,('[20]LS (Deteksi) Agustus'!$D$7:$D$303=$D60)*('[20]LS (Deteksi) Agustus'!$D$7:$D$303=$D60),0))</f>
        <v>11</v>
      </c>
      <c r="AB60" s="9">
        <f t="shared" si="9"/>
        <v>8.0882352941176467</v>
      </c>
    </row>
    <row r="61" spans="1:28" outlineLevel="1" x14ac:dyDescent="0.15">
      <c r="A61" s="8" t="s">
        <v>13</v>
      </c>
      <c r="B61" s="8" t="s">
        <v>14</v>
      </c>
      <c r="C61" s="8" t="s">
        <v>47</v>
      </c>
      <c r="D61" s="8" t="s">
        <v>72</v>
      </c>
      <c r="E61" s="9">
        <v>26.88</v>
      </c>
      <c r="F61" s="8" t="s">
        <v>16</v>
      </c>
      <c r="G61" s="143">
        <v>3881</v>
      </c>
      <c r="H61" s="132">
        <f t="shared" si="10"/>
        <v>46246</v>
      </c>
      <c r="I61" s="140">
        <f t="shared" si="10"/>
        <v>132</v>
      </c>
      <c r="J61" s="9">
        <f t="shared" si="1"/>
        <v>3.4011852615305336</v>
      </c>
      <c r="K61" s="140">
        <f t="shared" si="2"/>
        <v>6</v>
      </c>
      <c r="L61" s="206">
        <f t="shared" si="3"/>
        <v>4.5454545454545459</v>
      </c>
      <c r="M61" s="8" t="str">
        <f t="array" ref="M61">IF(L61&gt;5,"Perlu Sensus",IF(AND(L61&gt;=0,I61&gt;0),"Tetap Deteksi","Belum Deteksi"))</f>
        <v>Tetap Deteksi</v>
      </c>
      <c r="N61" s="132">
        <f t="array" ref="N61">INDEX('[20]LS (Deteksi) Agustus'!N$7:N$303,MATCH(1,('[20]LS (Deteksi) Agustus'!$D$7:$D$303=$D61)*('[20]LS (Deteksi) Agustus'!$D$7:$D$303=$D61),0))</f>
        <v>46246</v>
      </c>
      <c r="O61" s="203">
        <f t="array" ref="O61">INDEX('[20]LS (Deteksi) Agustus'!O$7:O$303,MATCH(1,('[20]LS (Deteksi) Agustus'!$D$7:$D$303=$D61)*('[20]LS (Deteksi) Agustus'!$D$7:$D$303=$D61),0))</f>
        <v>132</v>
      </c>
      <c r="P61" s="9">
        <f t="array" ref="P61">IFERROR(O61/G61*100,0)</f>
        <v>3.4011852615305336</v>
      </c>
      <c r="Q61" s="203">
        <f t="array" ref="Q61">INDEX('[20]LS (Deteksi) Agustus'!Q$7:Q$303,MATCH(1,('[20]LS (Deteksi) Agustus'!$D$7:$D$303=$D61)*('[20]LS (Deteksi) Agustus'!$D$7:$D$303=$D61),0))</f>
        <v>6</v>
      </c>
      <c r="R61" s="9">
        <f t="shared" si="6"/>
        <v>4.5454545454545459</v>
      </c>
      <c r="S61" s="8" t="str">
        <f t="array" ref="S61">IF(R61&gt;5,"Perlu Sensus",IF(AND(R61&gt;=0,O61&gt;0),"Tetap Deteksi","Belum Deteksi"))</f>
        <v>Tetap Deteksi</v>
      </c>
      <c r="T61" s="203">
        <f t="array" ref="T61">INDEX('[20]LS (Deteksi) Agustus'!T$7:T$303,MATCH(1,('[20]LS (Deteksi) Agustus'!$D$7:$D$303=$D61)*('[20]LS (Deteksi) Agustus'!$D$7:$D$303=$D61),0))</f>
        <v>8</v>
      </c>
      <c r="U61" s="9">
        <f t="shared" si="7"/>
        <v>6.0606060606060606</v>
      </c>
      <c r="V61" s="132">
        <f t="array" ref="V61">INDEX('[20]LS (Deteksi) Agustus'!V$7:V$303,MATCH(1,('[20]LS (Deteksi) Agustus'!$D$7:$D$303=$D61)*('[20]LS (Deteksi) Agustus'!$D$7:$D$303=$D61),0))</f>
        <v>46240</v>
      </c>
      <c r="W61" s="203">
        <f t="array" ref="W61">INDEX('[20]LS (Deteksi) Agustus'!W$7:W$303,MATCH(1,('[20]LS (Deteksi) Agustus'!$D$7:$D$303=$D61)*('[20]LS (Deteksi) Agustus'!$D$7:$D$303=$D61),0))</f>
        <v>272</v>
      </c>
      <c r="X61" s="203">
        <f t="array" ref="X61">INDEX('[20]LS (Deteksi) Agustus'!X$7:X$303,MATCH(1,('[20]LS (Deteksi) Agustus'!$D$7:$D$303=$D61)*('[20]LS (Deteksi) Agustus'!$D$7:$D$303=$D61),0))</f>
        <v>15</v>
      </c>
      <c r="Y61" s="9">
        <f t="shared" si="8"/>
        <v>5.5147058823529411</v>
      </c>
      <c r="Z61" s="8" t="str">
        <f t="array" ref="Z61">IF(Y61&gt;5,"Perlu Sensus",IF(AND(Y61&gt;0,,O61&gt;0),"Tetap Deteksi","Belum Deteksi"))</f>
        <v>Perlu Sensus</v>
      </c>
      <c r="AA61" s="203">
        <f t="array" ref="AA61">INDEX('[20]LS (Deteksi) Agustus'!AA$7:AA$303,MATCH(1,('[20]LS (Deteksi) Agustus'!$D$7:$D$303=$D61)*('[20]LS (Deteksi) Agustus'!$D$7:$D$303=$D61),0))</f>
        <v>13</v>
      </c>
      <c r="AB61" s="9">
        <f t="shared" si="9"/>
        <v>4.7794117647058822</v>
      </c>
    </row>
    <row r="62" spans="1:28" outlineLevel="1" x14ac:dyDescent="0.15">
      <c r="A62" s="8" t="s">
        <v>13</v>
      </c>
      <c r="B62" s="8" t="s">
        <v>14</v>
      </c>
      <c r="C62" s="8" t="s">
        <v>47</v>
      </c>
      <c r="D62" s="8" t="s">
        <v>73</v>
      </c>
      <c r="E62" s="9">
        <v>46.63</v>
      </c>
      <c r="F62" s="8" t="s">
        <v>16</v>
      </c>
      <c r="G62" s="143">
        <v>6743</v>
      </c>
      <c r="H62" s="132">
        <f t="shared" si="10"/>
        <v>46246</v>
      </c>
      <c r="I62" s="140">
        <f t="shared" si="10"/>
        <v>108</v>
      </c>
      <c r="J62" s="9">
        <f t="shared" si="1"/>
        <v>1.601660981758861</v>
      </c>
      <c r="K62" s="140">
        <f t="shared" si="2"/>
        <v>4</v>
      </c>
      <c r="L62" s="206">
        <f t="shared" si="3"/>
        <v>3.7037037037037033</v>
      </c>
      <c r="M62" s="8" t="str">
        <f t="array" ref="M62">IF(L62&gt;5,"Perlu Sensus",IF(AND(L62&gt;=0,I62&gt;0),"Tetap Deteksi","Belum Deteksi"))</f>
        <v>Tetap Deteksi</v>
      </c>
      <c r="N62" s="132">
        <f t="array" ref="N62">INDEX('[20]LS (Deteksi) Agustus'!N$7:N$303,MATCH(1,('[20]LS (Deteksi) Agustus'!$D$7:$D$303=$D62)*('[20]LS (Deteksi) Agustus'!$D$7:$D$303=$D62),0))</f>
        <v>46246</v>
      </c>
      <c r="O62" s="203">
        <f t="array" ref="O62">INDEX('[20]LS (Deteksi) Agustus'!O$7:O$303,MATCH(1,('[20]LS (Deteksi) Agustus'!$D$7:$D$303=$D62)*('[20]LS (Deteksi) Agustus'!$D$7:$D$303=$D62),0))</f>
        <v>108</v>
      </c>
      <c r="P62" s="9">
        <f t="array" ref="P62">IFERROR(O62/G62*100,0)</f>
        <v>1.601660981758861</v>
      </c>
      <c r="Q62" s="203">
        <f t="array" ref="Q62">INDEX('[20]LS (Deteksi) Agustus'!Q$7:Q$303,MATCH(1,('[20]LS (Deteksi) Agustus'!$D$7:$D$303=$D62)*('[20]LS (Deteksi) Agustus'!$D$7:$D$303=$D62),0))</f>
        <v>4</v>
      </c>
      <c r="R62" s="9">
        <f t="shared" si="6"/>
        <v>3.7037037037037033</v>
      </c>
      <c r="S62" s="8" t="str">
        <f t="array" ref="S62">IF(R62&gt;5,"Perlu Sensus",IF(AND(R62&gt;=0,O62&gt;0),"Tetap Deteksi","Belum Deteksi"))</f>
        <v>Tetap Deteksi</v>
      </c>
      <c r="T62" s="203">
        <f t="array" ref="T62">INDEX('[20]LS (Deteksi) Agustus'!T$7:T$303,MATCH(1,('[20]LS (Deteksi) Agustus'!$D$7:$D$303=$D62)*('[20]LS (Deteksi) Agustus'!$D$7:$D$303=$D62),0))</f>
        <v>10</v>
      </c>
      <c r="U62" s="9">
        <f t="shared" si="7"/>
        <v>9.2592592592592595</v>
      </c>
      <c r="V62" s="132">
        <f t="array" ref="V62">INDEX('[20]LS (Deteksi) Agustus'!V$7:V$303,MATCH(1,('[20]LS (Deteksi) Agustus'!$D$7:$D$303=$D62)*('[20]LS (Deteksi) Agustus'!$D$7:$D$303=$D62),0))</f>
        <v>46240</v>
      </c>
      <c r="W62" s="203">
        <f t="array" ref="W62">INDEX('[20]LS (Deteksi) Agustus'!W$7:W$303,MATCH(1,('[20]LS (Deteksi) Agustus'!$D$7:$D$303=$D62)*('[20]LS (Deteksi) Agustus'!$D$7:$D$303=$D62),0))</f>
        <v>279</v>
      </c>
      <c r="X62" s="203">
        <f t="array" ref="X62">INDEX('[20]LS (Deteksi) Agustus'!X$7:X$303,MATCH(1,('[20]LS (Deteksi) Agustus'!$D$7:$D$303=$D62)*('[20]LS (Deteksi) Agustus'!$D$7:$D$303=$D62),0))</f>
        <v>17</v>
      </c>
      <c r="Y62" s="9">
        <f t="shared" si="8"/>
        <v>6.0931899641577063</v>
      </c>
      <c r="Z62" s="8" t="str">
        <f t="array" ref="Z62">IF(Y62&gt;5,"Perlu Sensus",IF(AND(Y62&gt;0,,O62&gt;0),"Tetap Deteksi","Belum Deteksi"))</f>
        <v>Perlu Sensus</v>
      </c>
      <c r="AA62" s="203">
        <f t="array" ref="AA62">INDEX('[20]LS (Deteksi) Agustus'!AA$7:AA$303,MATCH(1,('[20]LS (Deteksi) Agustus'!$D$7:$D$303=$D62)*('[20]LS (Deteksi) Agustus'!$D$7:$D$303=$D62),0))</f>
        <v>15</v>
      </c>
      <c r="AB62" s="9">
        <f t="shared" si="9"/>
        <v>5.376344086021505</v>
      </c>
    </row>
    <row r="63" spans="1:28" outlineLevel="1" x14ac:dyDescent="0.15">
      <c r="A63" s="8" t="s">
        <v>13</v>
      </c>
      <c r="B63" s="8" t="s">
        <v>14</v>
      </c>
      <c r="C63" s="8" t="s">
        <v>47</v>
      </c>
      <c r="D63" s="8" t="s">
        <v>74</v>
      </c>
      <c r="E63" s="9">
        <v>28.87</v>
      </c>
      <c r="F63" s="8" t="s">
        <v>16</v>
      </c>
      <c r="G63" s="143">
        <v>4210</v>
      </c>
      <c r="H63" s="132">
        <f t="shared" si="10"/>
        <v>46247</v>
      </c>
      <c r="I63" s="140">
        <f t="shared" si="10"/>
        <v>116</v>
      </c>
      <c r="J63" s="9">
        <f t="shared" si="1"/>
        <v>2.7553444180522564</v>
      </c>
      <c r="K63" s="140">
        <f t="shared" si="2"/>
        <v>9</v>
      </c>
      <c r="L63" s="206">
        <f t="shared" si="3"/>
        <v>7.7586206896551726</v>
      </c>
      <c r="M63" s="8" t="str">
        <f t="array" ref="M63">IF(L63&gt;5,"Perlu Sensus",IF(AND(L63&gt;=0,I63&gt;0),"Tetap Deteksi","Belum Deteksi"))</f>
        <v>Perlu Sensus</v>
      </c>
      <c r="N63" s="132">
        <f t="array" ref="N63">INDEX('[20]LS (Deteksi) Agustus'!N$7:N$303,MATCH(1,('[20]LS (Deteksi) Agustus'!$D$7:$D$303=$D63)*('[20]LS (Deteksi) Agustus'!$D$7:$D$303=$D63),0))</f>
        <v>46247</v>
      </c>
      <c r="O63" s="203">
        <f t="array" ref="O63">INDEX('[20]LS (Deteksi) Agustus'!O$7:O$303,MATCH(1,('[20]LS (Deteksi) Agustus'!$D$7:$D$303=$D63)*('[20]LS (Deteksi) Agustus'!$D$7:$D$303=$D63),0))</f>
        <v>116</v>
      </c>
      <c r="P63" s="9">
        <f t="array" ref="P63">IFERROR(O63/G63*100,0)</f>
        <v>2.7553444180522564</v>
      </c>
      <c r="Q63" s="203">
        <f t="array" ref="Q63">INDEX('[20]LS (Deteksi) Agustus'!Q$7:Q$303,MATCH(1,('[20]LS (Deteksi) Agustus'!$D$7:$D$303=$D63)*('[20]LS (Deteksi) Agustus'!$D$7:$D$303=$D63),0))</f>
        <v>9</v>
      </c>
      <c r="R63" s="9">
        <f t="shared" si="6"/>
        <v>7.7586206896551726</v>
      </c>
      <c r="S63" s="8" t="str">
        <f t="array" ref="S63">IF(R63&gt;5,"Perlu Sensus",IF(AND(R63&gt;=0,O63&gt;0),"Tetap Deteksi","Belum Deteksi"))</f>
        <v>Perlu Sensus</v>
      </c>
      <c r="T63" s="203">
        <f t="array" ref="T63">INDEX('[20]LS (Deteksi) Agustus'!T$7:T$303,MATCH(1,('[20]LS (Deteksi) Agustus'!$D$7:$D$303=$D63)*('[20]LS (Deteksi) Agustus'!$D$7:$D$303=$D63),0))</f>
        <v>19</v>
      </c>
      <c r="U63" s="9">
        <f t="shared" si="7"/>
        <v>16.379310344827587</v>
      </c>
      <c r="V63" s="132">
        <f t="array" ref="V63">INDEX('[20]LS (Deteksi) Agustus'!V$7:V$303,MATCH(1,('[20]LS (Deteksi) Agustus'!$D$7:$D$303=$D63)*('[20]LS (Deteksi) Agustus'!$D$7:$D$303=$D63),0))</f>
        <v>46248</v>
      </c>
      <c r="W63" s="203">
        <f t="array" ref="W63">INDEX('[20]LS (Deteksi) Agustus'!W$7:W$303,MATCH(1,('[20]LS (Deteksi) Agustus'!$D$7:$D$303=$D63)*('[20]LS (Deteksi) Agustus'!$D$7:$D$303=$D63),0))</f>
        <v>210</v>
      </c>
      <c r="X63" s="203">
        <f t="array" ref="X63">INDEX('[20]LS (Deteksi) Agustus'!X$7:X$303,MATCH(1,('[20]LS (Deteksi) Agustus'!$D$7:$D$303=$D63)*('[20]LS (Deteksi) Agustus'!$D$7:$D$303=$D63),0))</f>
        <v>9</v>
      </c>
      <c r="Y63" s="9">
        <f t="shared" si="8"/>
        <v>4.2857142857142856</v>
      </c>
      <c r="Z63" s="8" t="str">
        <f t="array" ref="Z63">IF(Y63&gt;5,"Perlu Sensus",IF(AND(Y63&gt;0,,O63&gt;0),"Tetap Deteksi","Belum Deteksi"))</f>
        <v>Belum Deteksi</v>
      </c>
      <c r="AA63" s="203">
        <f t="array" ref="AA63">INDEX('[20]LS (Deteksi) Agustus'!AA$7:AA$303,MATCH(1,('[20]LS (Deteksi) Agustus'!$D$7:$D$303=$D63)*('[20]LS (Deteksi) Agustus'!$D$7:$D$303=$D63),0))</f>
        <v>12</v>
      </c>
      <c r="AB63" s="9">
        <f t="shared" si="9"/>
        <v>5.7142857142857144</v>
      </c>
    </row>
    <row r="64" spans="1:28" outlineLevel="1" x14ac:dyDescent="0.15">
      <c r="A64" s="8" t="s">
        <v>13</v>
      </c>
      <c r="B64" s="8" t="s">
        <v>14</v>
      </c>
      <c r="C64" s="8" t="s">
        <v>47</v>
      </c>
      <c r="D64" s="8" t="s">
        <v>75</v>
      </c>
      <c r="E64" s="9">
        <v>25.39</v>
      </c>
      <c r="F64" s="8" t="s">
        <v>16</v>
      </c>
      <c r="G64" s="143">
        <v>3690</v>
      </c>
      <c r="H64" s="132">
        <f t="shared" si="10"/>
        <v>46247</v>
      </c>
      <c r="I64" s="140">
        <f t="shared" si="10"/>
        <v>92</v>
      </c>
      <c r="J64" s="9">
        <f t="shared" si="1"/>
        <v>2.4932249322493227</v>
      </c>
      <c r="K64" s="140">
        <f t="shared" si="2"/>
        <v>5</v>
      </c>
      <c r="L64" s="206">
        <f t="shared" si="3"/>
        <v>5.4347826086956523</v>
      </c>
      <c r="M64" s="8" t="str">
        <f t="array" ref="M64">IF(L64&gt;5,"Perlu Sensus",IF(AND(L64&gt;=0,I64&gt;0),"Tetap Deteksi","Belum Deteksi"))</f>
        <v>Perlu Sensus</v>
      </c>
      <c r="N64" s="132">
        <f t="array" ref="N64">INDEX('[20]LS (Deteksi) Agustus'!N$7:N$303,MATCH(1,('[20]LS (Deteksi) Agustus'!$D$7:$D$303=$D64)*('[20]LS (Deteksi) Agustus'!$D$7:$D$303=$D64),0))</f>
        <v>46247</v>
      </c>
      <c r="O64" s="203">
        <f t="array" ref="O64">INDEX('[20]LS (Deteksi) Agustus'!O$7:O$303,MATCH(1,('[20]LS (Deteksi) Agustus'!$D$7:$D$303=$D64)*('[20]LS (Deteksi) Agustus'!$D$7:$D$303=$D64),0))</f>
        <v>92</v>
      </c>
      <c r="P64" s="9">
        <f t="array" ref="P64">IFERROR(O64/G64*100,0)</f>
        <v>2.4932249322493227</v>
      </c>
      <c r="Q64" s="203">
        <f t="array" ref="Q64">INDEX('[20]LS (Deteksi) Agustus'!Q$7:Q$303,MATCH(1,('[20]LS (Deteksi) Agustus'!$D$7:$D$303=$D64)*('[20]LS (Deteksi) Agustus'!$D$7:$D$303=$D64),0))</f>
        <v>5</v>
      </c>
      <c r="R64" s="9">
        <f t="shared" si="6"/>
        <v>5.4347826086956523</v>
      </c>
      <c r="S64" s="8" t="str">
        <f t="array" ref="S64">IF(R64&gt;5,"Perlu Sensus",IF(AND(R64&gt;=0,O64&gt;0),"Tetap Deteksi","Belum Deteksi"))</f>
        <v>Perlu Sensus</v>
      </c>
      <c r="T64" s="203">
        <f t="array" ref="T64">INDEX('[20]LS (Deteksi) Agustus'!T$7:T$303,MATCH(1,('[20]LS (Deteksi) Agustus'!$D$7:$D$303=$D64)*('[20]LS (Deteksi) Agustus'!$D$7:$D$303=$D64),0))</f>
        <v>12</v>
      </c>
      <c r="U64" s="9">
        <f t="shared" si="7"/>
        <v>13.043478260869565</v>
      </c>
      <c r="V64" s="132">
        <f t="array" ref="V64">INDEX('[20]LS (Deteksi) Agustus'!V$7:V$303,MATCH(1,('[20]LS (Deteksi) Agustus'!$D$7:$D$303=$D64)*('[20]LS (Deteksi) Agustus'!$D$7:$D$303=$D64),0))</f>
        <v>46248</v>
      </c>
      <c r="W64" s="203">
        <f t="array" ref="W64">INDEX('[20]LS (Deteksi) Agustus'!W$7:W$303,MATCH(1,('[20]LS (Deteksi) Agustus'!$D$7:$D$303=$D64)*('[20]LS (Deteksi) Agustus'!$D$7:$D$303=$D64),0))</f>
        <v>189</v>
      </c>
      <c r="X64" s="203">
        <f t="array" ref="X64">INDEX('[20]LS (Deteksi) Agustus'!X$7:X$303,MATCH(1,('[20]LS (Deteksi) Agustus'!$D$7:$D$303=$D64)*('[20]LS (Deteksi) Agustus'!$D$7:$D$303=$D64),0))</f>
        <v>8</v>
      </c>
      <c r="Y64" s="9">
        <f t="shared" si="8"/>
        <v>4.2328042328042326</v>
      </c>
      <c r="Z64" s="8" t="str">
        <f t="array" ref="Z64">IF(Y64&gt;5,"Perlu Sensus",IF(AND(Y64&gt;0,,O64&gt;0),"Tetap Deteksi","Belum Deteksi"))</f>
        <v>Belum Deteksi</v>
      </c>
      <c r="AA64" s="203">
        <f t="array" ref="AA64">INDEX('[20]LS (Deteksi) Agustus'!AA$7:AA$303,MATCH(1,('[20]LS (Deteksi) Agustus'!$D$7:$D$303=$D64)*('[20]LS (Deteksi) Agustus'!$D$7:$D$303=$D64),0))</f>
        <v>33</v>
      </c>
      <c r="AB64" s="9">
        <f t="shared" si="9"/>
        <v>17.460317460317459</v>
      </c>
    </row>
    <row r="65" spans="1:28" outlineLevel="1" x14ac:dyDescent="0.15">
      <c r="A65" s="8" t="s">
        <v>13</v>
      </c>
      <c r="B65" s="8" t="s">
        <v>14</v>
      </c>
      <c r="C65" s="8" t="s">
        <v>47</v>
      </c>
      <c r="D65" s="8" t="s">
        <v>76</v>
      </c>
      <c r="E65" s="9">
        <v>25.57</v>
      </c>
      <c r="F65" s="8" t="s">
        <v>16</v>
      </c>
      <c r="G65" s="143">
        <v>3686</v>
      </c>
      <c r="H65" s="132">
        <f t="shared" si="10"/>
        <v>46247</v>
      </c>
      <c r="I65" s="140">
        <f t="shared" si="10"/>
        <v>132</v>
      </c>
      <c r="J65" s="9">
        <f t="shared" si="1"/>
        <v>3.5811177428106347</v>
      </c>
      <c r="K65" s="140">
        <f t="shared" si="2"/>
        <v>7</v>
      </c>
      <c r="L65" s="206">
        <f t="shared" si="3"/>
        <v>5.3030303030303028</v>
      </c>
      <c r="M65" s="8" t="str">
        <f t="array" ref="M65">IF(L65&gt;5,"Perlu Sensus",IF(AND(L65&gt;=0,I65&gt;0),"Tetap Deteksi","Belum Deteksi"))</f>
        <v>Perlu Sensus</v>
      </c>
      <c r="N65" s="132">
        <f t="array" ref="N65">INDEX('[20]LS (Deteksi) Agustus'!N$7:N$303,MATCH(1,('[20]LS (Deteksi) Agustus'!$D$7:$D$303=$D65)*('[20]LS (Deteksi) Agustus'!$D$7:$D$303=$D65),0))</f>
        <v>46247</v>
      </c>
      <c r="O65" s="203">
        <f t="array" ref="O65">INDEX('[20]LS (Deteksi) Agustus'!O$7:O$303,MATCH(1,('[20]LS (Deteksi) Agustus'!$D$7:$D$303=$D65)*('[20]LS (Deteksi) Agustus'!$D$7:$D$303=$D65),0))</f>
        <v>132</v>
      </c>
      <c r="P65" s="9">
        <f t="array" ref="P65">IFERROR(O65/G65*100,0)</f>
        <v>3.5811177428106347</v>
      </c>
      <c r="Q65" s="203">
        <f t="array" ref="Q65">INDEX('[20]LS (Deteksi) Agustus'!Q$7:Q$303,MATCH(1,('[20]LS (Deteksi) Agustus'!$D$7:$D$303=$D65)*('[20]LS (Deteksi) Agustus'!$D$7:$D$303=$D65),0))</f>
        <v>7</v>
      </c>
      <c r="R65" s="9">
        <f t="shared" si="6"/>
        <v>5.3030303030303028</v>
      </c>
      <c r="S65" s="8" t="str">
        <f t="array" ref="S65">IF(R65&gt;5,"Perlu Sensus",IF(AND(R65&gt;=0,O65&gt;0),"Tetap Deteksi","Belum Deteksi"))</f>
        <v>Perlu Sensus</v>
      </c>
      <c r="T65" s="203">
        <f t="array" ref="T65">INDEX('[20]LS (Deteksi) Agustus'!T$7:T$303,MATCH(1,('[20]LS (Deteksi) Agustus'!$D$7:$D$303=$D65)*('[20]LS (Deteksi) Agustus'!$D$7:$D$303=$D65),0))</f>
        <v>10</v>
      </c>
      <c r="U65" s="9">
        <f t="shared" si="7"/>
        <v>7.5757575757575761</v>
      </c>
      <c r="V65" s="132">
        <f t="array" ref="V65">INDEX('[20]LS (Deteksi) Agustus'!V$7:V$303,MATCH(1,('[20]LS (Deteksi) Agustus'!$D$7:$D$303=$D65)*('[20]LS (Deteksi) Agustus'!$D$7:$D$303=$D65),0))</f>
        <v>46239</v>
      </c>
      <c r="W65" s="203">
        <f t="array" ref="W65">INDEX('[20]LS (Deteksi) Agustus'!W$7:W$303,MATCH(1,('[20]LS (Deteksi) Agustus'!$D$7:$D$303=$D65)*('[20]LS (Deteksi) Agustus'!$D$7:$D$303=$D65),0))</f>
        <v>200</v>
      </c>
      <c r="X65" s="203">
        <f t="array" ref="X65">INDEX('[20]LS (Deteksi) Agustus'!X$7:X$303,MATCH(1,('[20]LS (Deteksi) Agustus'!$D$7:$D$303=$D65)*('[20]LS (Deteksi) Agustus'!$D$7:$D$303=$D65),0))</f>
        <v>12</v>
      </c>
      <c r="Y65" s="9">
        <f t="shared" si="8"/>
        <v>6</v>
      </c>
      <c r="Z65" s="8" t="str">
        <f t="array" ref="Z65">IF(Y65&gt;5,"Perlu Sensus",IF(AND(Y65&gt;0,,O65&gt;0),"Tetap Deteksi","Belum Deteksi"))</f>
        <v>Perlu Sensus</v>
      </c>
      <c r="AA65" s="203">
        <f t="array" ref="AA65">INDEX('[20]LS (Deteksi) Agustus'!AA$7:AA$303,MATCH(1,('[20]LS (Deteksi) Agustus'!$D$7:$D$303=$D65)*('[20]LS (Deteksi) Agustus'!$D$7:$D$303=$D65),0))</f>
        <v>10</v>
      </c>
      <c r="AB65" s="9">
        <f t="shared" si="9"/>
        <v>5</v>
      </c>
    </row>
    <row r="66" spans="1:28" outlineLevel="1" x14ac:dyDescent="0.15">
      <c r="A66" s="8" t="s">
        <v>13</v>
      </c>
      <c r="B66" s="8" t="s">
        <v>14</v>
      </c>
      <c r="C66" s="8" t="s">
        <v>47</v>
      </c>
      <c r="D66" s="8" t="s">
        <v>77</v>
      </c>
      <c r="E66" s="9">
        <v>46.99</v>
      </c>
      <c r="F66" s="8" t="s">
        <v>16</v>
      </c>
      <c r="G66" s="143">
        <v>6769</v>
      </c>
      <c r="H66" s="132">
        <f t="shared" si="10"/>
        <v>46247</v>
      </c>
      <c r="I66" s="140">
        <f t="shared" si="10"/>
        <v>128</v>
      </c>
      <c r="J66" s="9">
        <f t="shared" si="1"/>
        <v>1.8909735559166789</v>
      </c>
      <c r="K66" s="140">
        <f t="shared" si="2"/>
        <v>8</v>
      </c>
      <c r="L66" s="206">
        <f t="shared" si="3"/>
        <v>6.25</v>
      </c>
      <c r="M66" s="8" t="str">
        <f t="array" ref="M66">IF(L66&gt;5,"Perlu Sensus",IF(AND(L66&gt;=0,I66&gt;0),"Tetap Deteksi","Belum Deteksi"))</f>
        <v>Perlu Sensus</v>
      </c>
      <c r="N66" s="132">
        <f t="array" ref="N66">INDEX('[20]LS (Deteksi) Agustus'!N$7:N$303,MATCH(1,('[20]LS (Deteksi) Agustus'!$D$7:$D$303=$D66)*('[20]LS (Deteksi) Agustus'!$D$7:$D$303=$D66),0))</f>
        <v>46247</v>
      </c>
      <c r="O66" s="203">
        <f t="array" ref="O66">INDEX('[20]LS (Deteksi) Agustus'!O$7:O$303,MATCH(1,('[20]LS (Deteksi) Agustus'!$D$7:$D$303=$D66)*('[20]LS (Deteksi) Agustus'!$D$7:$D$303=$D66),0))</f>
        <v>128</v>
      </c>
      <c r="P66" s="9">
        <f t="array" ref="P66">IFERROR(O66/G66*100,0)</f>
        <v>1.8909735559166789</v>
      </c>
      <c r="Q66" s="203">
        <f t="array" ref="Q66">INDEX('[20]LS (Deteksi) Agustus'!Q$7:Q$303,MATCH(1,('[20]LS (Deteksi) Agustus'!$D$7:$D$303=$D66)*('[20]LS (Deteksi) Agustus'!$D$7:$D$303=$D66),0))</f>
        <v>8</v>
      </c>
      <c r="R66" s="9">
        <f t="shared" si="6"/>
        <v>6.25</v>
      </c>
      <c r="S66" s="8" t="str">
        <f t="array" ref="S66">IF(R66&gt;5,"Perlu Sensus",IF(AND(R66&gt;=0,O66&gt;0),"Tetap Deteksi","Belum Deteksi"))</f>
        <v>Perlu Sensus</v>
      </c>
      <c r="T66" s="203">
        <f t="array" ref="T66">INDEX('[20]LS (Deteksi) Agustus'!T$7:T$303,MATCH(1,('[20]LS (Deteksi) Agustus'!$D$7:$D$303=$D66)*('[20]LS (Deteksi) Agustus'!$D$7:$D$303=$D66),0))</f>
        <v>8</v>
      </c>
      <c r="U66" s="9">
        <f t="shared" si="7"/>
        <v>6.25</v>
      </c>
      <c r="V66" s="132">
        <f t="array" ref="V66">INDEX('[20]LS (Deteksi) Agustus'!V$7:V$303,MATCH(1,('[20]LS (Deteksi) Agustus'!$D$7:$D$303=$D66)*('[20]LS (Deteksi) Agustus'!$D$7:$D$303=$D66),0))</f>
        <v>46239</v>
      </c>
      <c r="W66" s="203">
        <f t="array" ref="W66">INDEX('[20]LS (Deteksi) Agustus'!W$7:W$303,MATCH(1,('[20]LS (Deteksi) Agustus'!$D$7:$D$303=$D66)*('[20]LS (Deteksi) Agustus'!$D$7:$D$303=$D66),0))</f>
        <v>209</v>
      </c>
      <c r="X66" s="203">
        <f t="array" ref="X66">INDEX('[20]LS (Deteksi) Agustus'!X$7:X$303,MATCH(1,('[20]LS (Deteksi) Agustus'!$D$7:$D$303=$D66)*('[20]LS (Deteksi) Agustus'!$D$7:$D$303=$D66),0))</f>
        <v>15</v>
      </c>
      <c r="Y66" s="9">
        <f t="shared" si="8"/>
        <v>7.1770334928229662</v>
      </c>
      <c r="Z66" s="8" t="str">
        <f t="array" ref="Z66">IF(Y66&gt;5,"Perlu Sensus",IF(AND(Y66&gt;0,,O66&gt;0),"Tetap Deteksi","Belum Deteksi"))</f>
        <v>Perlu Sensus</v>
      </c>
      <c r="AA66" s="203">
        <f t="array" ref="AA66">INDEX('[20]LS (Deteksi) Agustus'!AA$7:AA$303,MATCH(1,('[20]LS (Deteksi) Agustus'!$D$7:$D$303=$D66)*('[20]LS (Deteksi) Agustus'!$D$7:$D$303=$D66),0))</f>
        <v>18</v>
      </c>
      <c r="AB66" s="9">
        <f t="shared" si="9"/>
        <v>8.6124401913875595</v>
      </c>
    </row>
    <row r="67" spans="1:28" outlineLevel="1" x14ac:dyDescent="0.15">
      <c r="A67" s="8" t="s">
        <v>13</v>
      </c>
      <c r="B67" s="8" t="s">
        <v>14</v>
      </c>
      <c r="C67" s="8" t="s">
        <v>47</v>
      </c>
      <c r="D67" s="8" t="s">
        <v>78</v>
      </c>
      <c r="E67" s="9">
        <v>33.119999999999997</v>
      </c>
      <c r="F67" s="8" t="s">
        <v>16</v>
      </c>
      <c r="G67" s="143">
        <v>4487</v>
      </c>
      <c r="H67" s="132">
        <f t="shared" si="10"/>
        <v>46248</v>
      </c>
      <c r="I67" s="140">
        <f t="shared" si="10"/>
        <v>130</v>
      </c>
      <c r="J67" s="9">
        <f t="shared" si="1"/>
        <v>2.8972587474927569</v>
      </c>
      <c r="K67" s="140">
        <f t="shared" si="2"/>
        <v>6</v>
      </c>
      <c r="L67" s="206">
        <f t="shared" si="3"/>
        <v>4.6153846153846159</v>
      </c>
      <c r="M67" s="8" t="str">
        <f t="array" ref="M67">IF(L67&gt;5,"Perlu Sensus",IF(AND(L67&gt;=0,I67&gt;0),"Tetap Deteksi","Belum Deteksi"))</f>
        <v>Tetap Deteksi</v>
      </c>
      <c r="N67" s="132">
        <f t="array" ref="N67">INDEX('[20]LS (Deteksi) Agustus'!N$7:N$303,MATCH(1,('[20]LS (Deteksi) Agustus'!$D$7:$D$303=$D67)*('[20]LS (Deteksi) Agustus'!$D$7:$D$303=$D67),0))</f>
        <v>46248</v>
      </c>
      <c r="O67" s="203">
        <f t="array" ref="O67">INDEX('[20]LS (Deteksi) Agustus'!O$7:O$303,MATCH(1,('[20]LS (Deteksi) Agustus'!$D$7:$D$303=$D67)*('[20]LS (Deteksi) Agustus'!$D$7:$D$303=$D67),0))</f>
        <v>130</v>
      </c>
      <c r="P67" s="9">
        <f t="array" ref="P67">IFERROR(O67/G67*100,0)</f>
        <v>2.8972587474927569</v>
      </c>
      <c r="Q67" s="203">
        <f t="array" ref="Q67">INDEX('[20]LS (Deteksi) Agustus'!Q$7:Q$303,MATCH(1,('[20]LS (Deteksi) Agustus'!$D$7:$D$303=$D67)*('[20]LS (Deteksi) Agustus'!$D$7:$D$303=$D67),0))</f>
        <v>6</v>
      </c>
      <c r="R67" s="9">
        <f t="shared" si="6"/>
        <v>4.6153846153846159</v>
      </c>
      <c r="S67" s="8" t="str">
        <f t="array" ref="S67">IF(R67&gt;5,"Perlu Sensus",IF(AND(R67&gt;=0,O67&gt;0),"Tetap Deteksi","Belum Deteksi"))</f>
        <v>Tetap Deteksi</v>
      </c>
      <c r="T67" s="203">
        <f t="array" ref="T67">INDEX('[20]LS (Deteksi) Agustus'!T$7:T$303,MATCH(1,('[20]LS (Deteksi) Agustus'!$D$7:$D$303=$D67)*('[20]LS (Deteksi) Agustus'!$D$7:$D$303=$D67),0))</f>
        <v>8</v>
      </c>
      <c r="U67" s="9">
        <f t="shared" si="7"/>
        <v>6.1538461538461542</v>
      </c>
      <c r="V67" s="132">
        <f t="array" ref="V67">INDEX('[20]LS (Deteksi) Agustus'!V$7:V$303,MATCH(1,('[20]LS (Deteksi) Agustus'!$D$7:$D$303=$D67)*('[20]LS (Deteksi) Agustus'!$D$7:$D$303=$D67),0))</f>
        <v>0</v>
      </c>
      <c r="W67" s="203">
        <f t="array" ref="W67">INDEX('[20]LS (Deteksi) Agustus'!W$7:W$303,MATCH(1,('[20]LS (Deteksi) Agustus'!$D$7:$D$303=$D67)*('[20]LS (Deteksi) Agustus'!$D$7:$D$303=$D67),0))</f>
        <v>0</v>
      </c>
      <c r="X67" s="203">
        <f t="array" ref="X67">INDEX('[20]LS (Deteksi) Agustus'!X$7:X$303,MATCH(1,('[20]LS (Deteksi) Agustus'!$D$7:$D$303=$D67)*('[20]LS (Deteksi) Agustus'!$D$7:$D$303=$D67),0))</f>
        <v>0</v>
      </c>
      <c r="Y67" s="9">
        <f t="shared" si="8"/>
        <v>0</v>
      </c>
      <c r="Z67" s="8" t="str">
        <f t="array" ref="Z67">IF(Y67&gt;5,"Perlu Sensus",IF(AND(Y67&gt;0,,O67&gt;0),"Tetap Deteksi","Belum Deteksi"))</f>
        <v>Belum Deteksi</v>
      </c>
      <c r="AA67" s="203">
        <f t="array" ref="AA67">INDEX('[20]LS (Deteksi) Agustus'!AA$7:AA$303,MATCH(1,('[20]LS (Deteksi) Agustus'!$D$7:$D$303=$D67)*('[20]LS (Deteksi) Agustus'!$D$7:$D$303=$D67),0))</f>
        <v>0</v>
      </c>
      <c r="AB67" s="9">
        <f t="shared" si="9"/>
        <v>0</v>
      </c>
    </row>
    <row r="68" spans="1:28" outlineLevel="1" x14ac:dyDescent="0.15">
      <c r="A68" s="8" t="s">
        <v>13</v>
      </c>
      <c r="B68" s="8" t="s">
        <v>14</v>
      </c>
      <c r="C68" s="8" t="s">
        <v>79</v>
      </c>
      <c r="D68" s="8" t="s">
        <v>80</v>
      </c>
      <c r="E68" s="9">
        <v>44.06</v>
      </c>
      <c r="F68" s="8" t="s">
        <v>16</v>
      </c>
      <c r="G68" s="143">
        <v>5654</v>
      </c>
      <c r="H68" s="132">
        <f t="shared" si="10"/>
        <v>46237</v>
      </c>
      <c r="I68" s="140">
        <f t="shared" si="10"/>
        <v>253</v>
      </c>
      <c r="J68" s="9" t="str">
        <f t="shared" si="1"/>
        <v xml:space="preserve"> </v>
      </c>
      <c r="K68" s="140">
        <f t="shared" si="2"/>
        <v>17</v>
      </c>
      <c r="L68" s="206">
        <f t="shared" si="3"/>
        <v>6.7193675889328066</v>
      </c>
      <c r="M68" s="8" t="str">
        <f t="array" ref="M68">IF(L68&gt;5,"Perlu Sensus",IF(AND(L68&gt;=0,I68&gt;0),"Tetap Deteksi","Belum Deteksi"))</f>
        <v>Perlu Sensus</v>
      </c>
      <c r="N68" s="132">
        <f t="array" ref="N68">INDEX('[20]LS (Deteksi) Agustus'!N$7:N$303,MATCH(1,('[20]LS (Deteksi) Agustus'!$D$7:$D$303=$D68)*('[20]LS (Deteksi) Agustus'!$D$7:$D$303=$D68),0))</f>
        <v>0</v>
      </c>
      <c r="O68" s="203">
        <f t="array" ref="O68">INDEX('[20]LS (Deteksi) Agustus'!O$7:O$303,MATCH(1,('[20]LS (Deteksi) Agustus'!$D$7:$D$303=$D68)*('[20]LS (Deteksi) Agustus'!$D$7:$D$303=$D68),0))</f>
        <v>0</v>
      </c>
      <c r="P68" s="9">
        <f t="array" ref="P68">IFERROR(O68/G68*100,0)</f>
        <v>0</v>
      </c>
      <c r="Q68" s="203">
        <f t="array" ref="Q68">INDEX('[20]LS (Deteksi) Agustus'!Q$7:Q$303,MATCH(1,('[20]LS (Deteksi) Agustus'!$D$7:$D$303=$D68)*('[20]LS (Deteksi) Agustus'!$D$7:$D$303=$D68),0))</f>
        <v>0</v>
      </c>
      <c r="R68" s="9">
        <f t="shared" si="6"/>
        <v>0</v>
      </c>
      <c r="S68" s="8" t="str">
        <f t="array" ref="S68">IF(R68&gt;5,"Perlu Sensus",IF(AND(R68&gt;=0,O68&gt;0),"Tetap Deteksi","Belum Deteksi"))</f>
        <v>Belum Deteksi</v>
      </c>
      <c r="T68" s="203">
        <f t="array" ref="T68">INDEX('[20]LS (Deteksi) Agustus'!T$7:T$303,MATCH(1,('[20]LS (Deteksi) Agustus'!$D$7:$D$303=$D68)*('[20]LS (Deteksi) Agustus'!$D$7:$D$303=$D68),0))</f>
        <v>0</v>
      </c>
      <c r="U68" s="9">
        <f t="shared" si="7"/>
        <v>0</v>
      </c>
      <c r="V68" s="132">
        <f t="array" ref="V68">INDEX('[20]LS (Deteksi) Agustus'!V$7:V$303,MATCH(1,('[20]LS (Deteksi) Agustus'!$D$7:$D$303=$D68)*('[20]LS (Deteksi) Agustus'!$D$7:$D$303=$D68),0))</f>
        <v>46237</v>
      </c>
      <c r="W68" s="203">
        <f t="array" ref="W68">INDEX('[20]LS (Deteksi) Agustus'!W$7:W$303,MATCH(1,('[20]LS (Deteksi) Agustus'!$D$7:$D$303=$D68)*('[20]LS (Deteksi) Agustus'!$D$7:$D$303=$D68),0))</f>
        <v>253</v>
      </c>
      <c r="X68" s="203">
        <f t="array" ref="X68">INDEX('[20]LS (Deteksi) Agustus'!X$7:X$303,MATCH(1,('[20]LS (Deteksi) Agustus'!$D$7:$D$303=$D68)*('[20]LS (Deteksi) Agustus'!$D$7:$D$303=$D68),0))</f>
        <v>17</v>
      </c>
      <c r="Y68" s="9">
        <f t="shared" si="8"/>
        <v>6.7193675889328066</v>
      </c>
      <c r="Z68" s="8" t="str">
        <f t="array" ref="Z68">IF(Y68&gt;5,"Perlu Sensus",IF(AND(Y68&gt;0,,O68&gt;0),"Tetap Deteksi","Belum Deteksi"))</f>
        <v>Perlu Sensus</v>
      </c>
      <c r="AA68" s="203">
        <f t="array" ref="AA68">INDEX('[20]LS (Deteksi) Agustus'!AA$7:AA$303,MATCH(1,('[20]LS (Deteksi) Agustus'!$D$7:$D$303=$D68)*('[20]LS (Deteksi) Agustus'!$D$7:$D$303=$D68),0))</f>
        <v>40</v>
      </c>
      <c r="AB68" s="9">
        <f t="shared" si="9"/>
        <v>15.810276679841898</v>
      </c>
    </row>
    <row r="69" spans="1:28" outlineLevel="1" x14ac:dyDescent="0.15">
      <c r="A69" s="8" t="s">
        <v>13</v>
      </c>
      <c r="B69" s="8" t="s">
        <v>14</v>
      </c>
      <c r="C69" s="8" t="s">
        <v>79</v>
      </c>
      <c r="D69" s="8" t="s">
        <v>81</v>
      </c>
      <c r="E69" s="9">
        <v>46.19</v>
      </c>
      <c r="F69" s="8" t="s">
        <v>16</v>
      </c>
      <c r="G69" s="143">
        <v>6326</v>
      </c>
      <c r="H69" s="132">
        <f t="shared" si="10"/>
        <v>46241</v>
      </c>
      <c r="I69" s="140">
        <f t="shared" si="10"/>
        <v>108</v>
      </c>
      <c r="J69" s="9">
        <f t="shared" si="1"/>
        <v>1.7072399620613341</v>
      </c>
      <c r="K69" s="140">
        <f t="shared" si="2"/>
        <v>6</v>
      </c>
      <c r="L69" s="206">
        <f t="shared" si="3"/>
        <v>5.5555555555555554</v>
      </c>
      <c r="M69" s="8" t="str">
        <f t="array" ref="M69">IF(L69&gt;5,"Perlu Sensus",IF(AND(L69&gt;=0,I69&gt;0),"Tetap Deteksi","Belum Deteksi"))</f>
        <v>Perlu Sensus</v>
      </c>
      <c r="N69" s="132">
        <f t="array" ref="N69">INDEX('[20]LS (Deteksi) Agustus'!N$7:N$303,MATCH(1,('[20]LS (Deteksi) Agustus'!$D$7:$D$303=$D69)*('[20]LS (Deteksi) Agustus'!$D$7:$D$303=$D69),0))</f>
        <v>46241</v>
      </c>
      <c r="O69" s="203">
        <f t="array" ref="O69">INDEX('[20]LS (Deteksi) Agustus'!O$7:O$303,MATCH(1,('[20]LS (Deteksi) Agustus'!$D$7:$D$303=$D69)*('[20]LS (Deteksi) Agustus'!$D$7:$D$303=$D69),0))</f>
        <v>108</v>
      </c>
      <c r="P69" s="9">
        <f t="array" ref="P69">IFERROR(O69/G69*100,0)</f>
        <v>1.7072399620613341</v>
      </c>
      <c r="Q69" s="203">
        <f t="array" ref="Q69">INDEX('[20]LS (Deteksi) Agustus'!Q$7:Q$303,MATCH(1,('[20]LS (Deteksi) Agustus'!$D$7:$D$303=$D69)*('[20]LS (Deteksi) Agustus'!$D$7:$D$303=$D69),0))</f>
        <v>6</v>
      </c>
      <c r="R69" s="9">
        <f t="shared" si="6"/>
        <v>5.5555555555555554</v>
      </c>
      <c r="S69" s="8" t="str">
        <f t="array" ref="S69">IF(R69&gt;5,"Perlu Sensus",IF(AND(R69&gt;=0,O69&gt;0),"Tetap Deteksi","Belum Deteksi"))</f>
        <v>Perlu Sensus</v>
      </c>
      <c r="T69" s="203">
        <f t="array" ref="T69">INDEX('[20]LS (Deteksi) Agustus'!T$7:T$303,MATCH(1,('[20]LS (Deteksi) Agustus'!$D$7:$D$303=$D69)*('[20]LS (Deteksi) Agustus'!$D$7:$D$303=$D69),0))</f>
        <v>23</v>
      </c>
      <c r="U69" s="9">
        <f t="shared" si="7"/>
        <v>21.296296296296298</v>
      </c>
      <c r="V69" s="132">
        <f t="array" ref="V69">INDEX('[20]LS (Deteksi) Agustus'!V$7:V$303,MATCH(1,('[20]LS (Deteksi) Agustus'!$D$7:$D$303=$D69)*('[20]LS (Deteksi) Agustus'!$D$7:$D$303=$D69),0))</f>
        <v>46242</v>
      </c>
      <c r="W69" s="203">
        <f t="array" ref="W69">INDEX('[20]LS (Deteksi) Agustus'!W$7:W$303,MATCH(1,('[20]LS (Deteksi) Agustus'!$D$7:$D$303=$D69)*('[20]LS (Deteksi) Agustus'!$D$7:$D$303=$D69),0))</f>
        <v>211</v>
      </c>
      <c r="X69" s="203">
        <f t="array" ref="X69">INDEX('[20]LS (Deteksi) Agustus'!X$7:X$303,MATCH(1,('[20]LS (Deteksi) Agustus'!$D$7:$D$303=$D69)*('[20]LS (Deteksi) Agustus'!$D$7:$D$303=$D69),0))</f>
        <v>12</v>
      </c>
      <c r="Y69" s="9">
        <f t="shared" si="8"/>
        <v>5.6872037914691944</v>
      </c>
      <c r="Z69" s="8" t="str">
        <f t="array" ref="Z69">IF(Y69&gt;5,"Perlu Sensus",IF(AND(Y69&gt;0,,O69&gt;0),"Tetap Deteksi","Belum Deteksi"))</f>
        <v>Perlu Sensus</v>
      </c>
      <c r="AA69" s="203">
        <f t="array" ref="AA69">INDEX('[20]LS (Deteksi) Agustus'!AA$7:AA$303,MATCH(1,('[20]LS (Deteksi) Agustus'!$D$7:$D$303=$D69)*('[20]LS (Deteksi) Agustus'!$D$7:$D$303=$D69),0))</f>
        <v>15</v>
      </c>
      <c r="AB69" s="9">
        <f t="shared" si="9"/>
        <v>7.109004739336493</v>
      </c>
    </row>
    <row r="70" spans="1:28" outlineLevel="1" x14ac:dyDescent="0.15">
      <c r="A70" s="8" t="s">
        <v>13</v>
      </c>
      <c r="B70" s="8" t="s">
        <v>14</v>
      </c>
      <c r="C70" s="8" t="s">
        <v>79</v>
      </c>
      <c r="D70" s="8" t="s">
        <v>82</v>
      </c>
      <c r="E70" s="9">
        <v>46.52</v>
      </c>
      <c r="F70" s="8" t="s">
        <v>16</v>
      </c>
      <c r="G70" s="143">
        <v>6630</v>
      </c>
      <c r="H70" s="132">
        <f t="shared" si="10"/>
        <v>46242</v>
      </c>
      <c r="I70" s="140">
        <f t="shared" si="10"/>
        <v>178</v>
      </c>
      <c r="J70" s="9">
        <f t="shared" ref="J70:J133" si="11">IF(P70&gt;0,P70," ")</f>
        <v>2.6847662141779787</v>
      </c>
      <c r="K70" s="140">
        <f t="shared" ref="K70:K133" si="12">IF(Q70&gt;0,Q70,X70)</f>
        <v>10</v>
      </c>
      <c r="L70" s="206">
        <f t="shared" ref="L70:L133" si="13">IFERROR(K70/I70*100,0)</f>
        <v>5.6179775280898872</v>
      </c>
      <c r="M70" s="8" t="str">
        <f t="array" ref="M70">IF(L70&gt;5,"Perlu Sensus",IF(AND(L70&gt;=0,I70&gt;0),"Tetap Deteksi","Belum Deteksi"))</f>
        <v>Perlu Sensus</v>
      </c>
      <c r="N70" s="132">
        <f t="array" ref="N70">INDEX('[20]LS (Deteksi) Agustus'!N$7:N$303,MATCH(1,('[20]LS (Deteksi) Agustus'!$D$7:$D$303=$D70)*('[20]LS (Deteksi) Agustus'!$D$7:$D$303=$D70),0))</f>
        <v>46242</v>
      </c>
      <c r="O70" s="203">
        <f t="array" ref="O70">INDEX('[20]LS (Deteksi) Agustus'!O$7:O$303,MATCH(1,('[20]LS (Deteksi) Agustus'!$D$7:$D$303=$D70)*('[20]LS (Deteksi) Agustus'!$D$7:$D$303=$D70),0))</f>
        <v>178</v>
      </c>
      <c r="P70" s="9">
        <f t="array" ref="P70">IFERROR(O70/G70*100,0)</f>
        <v>2.6847662141779787</v>
      </c>
      <c r="Q70" s="203">
        <f t="array" ref="Q70">INDEX('[20]LS (Deteksi) Agustus'!Q$7:Q$303,MATCH(1,('[20]LS (Deteksi) Agustus'!$D$7:$D$303=$D70)*('[20]LS (Deteksi) Agustus'!$D$7:$D$303=$D70),0))</f>
        <v>10</v>
      </c>
      <c r="R70" s="9">
        <f t="shared" si="6"/>
        <v>5.6179775280898872</v>
      </c>
      <c r="S70" s="8" t="str">
        <f t="array" ref="S70">IF(R70&gt;5,"Perlu Sensus",IF(AND(R70&gt;=0,O70&gt;0),"Tetap Deteksi","Belum Deteksi"))</f>
        <v>Perlu Sensus</v>
      </c>
      <c r="T70" s="203">
        <f t="array" ref="T70">INDEX('[20]LS (Deteksi) Agustus'!T$7:T$303,MATCH(1,('[20]LS (Deteksi) Agustus'!$D$7:$D$303=$D70)*('[20]LS (Deteksi) Agustus'!$D$7:$D$303=$D70),0))</f>
        <v>45</v>
      </c>
      <c r="U70" s="9">
        <f t="shared" si="7"/>
        <v>25.280898876404496</v>
      </c>
      <c r="V70" s="132">
        <f t="array" ref="V70">INDEX('[20]LS (Deteksi) Agustus'!V$7:V$303,MATCH(1,('[20]LS (Deteksi) Agustus'!$D$7:$D$303=$D70)*('[20]LS (Deteksi) Agustus'!$D$7:$D$303=$D70),0))</f>
        <v>46244</v>
      </c>
      <c r="W70" s="203">
        <f t="array" ref="W70">INDEX('[20]LS (Deteksi) Agustus'!W$7:W$303,MATCH(1,('[20]LS (Deteksi) Agustus'!$D$7:$D$303=$D70)*('[20]LS (Deteksi) Agustus'!$D$7:$D$303=$D70),0))</f>
        <v>210</v>
      </c>
      <c r="X70" s="203">
        <f t="array" ref="X70">INDEX('[20]LS (Deteksi) Agustus'!X$7:X$303,MATCH(1,('[20]LS (Deteksi) Agustus'!$D$7:$D$303=$D70)*('[20]LS (Deteksi) Agustus'!$D$7:$D$303=$D70),0))</f>
        <v>12</v>
      </c>
      <c r="Y70" s="9">
        <f t="shared" si="8"/>
        <v>5.7142857142857144</v>
      </c>
      <c r="Z70" s="8" t="str">
        <f t="array" ref="Z70">IF(Y70&gt;5,"Perlu Sensus",IF(AND(Y70&gt;0,,O70&gt;0),"Tetap Deteksi","Belum Deteksi"))</f>
        <v>Perlu Sensus</v>
      </c>
      <c r="AA70" s="203">
        <f t="array" ref="AA70">INDEX('[20]LS (Deteksi) Agustus'!AA$7:AA$303,MATCH(1,('[20]LS (Deteksi) Agustus'!$D$7:$D$303=$D70)*('[20]LS (Deteksi) Agustus'!$D$7:$D$303=$D70),0))</f>
        <v>12</v>
      </c>
      <c r="AB70" s="9">
        <f t="shared" si="9"/>
        <v>5.7142857142857144</v>
      </c>
    </row>
    <row r="71" spans="1:28" outlineLevel="1" x14ac:dyDescent="0.15">
      <c r="A71" s="8" t="s">
        <v>13</v>
      </c>
      <c r="B71" s="8" t="s">
        <v>14</v>
      </c>
      <c r="C71" s="8" t="s">
        <v>79</v>
      </c>
      <c r="D71" s="8" t="s">
        <v>83</v>
      </c>
      <c r="E71" s="9">
        <v>46.29</v>
      </c>
      <c r="F71" s="8" t="s">
        <v>16</v>
      </c>
      <c r="G71" s="143">
        <v>5115</v>
      </c>
      <c r="H71" s="132">
        <f t="shared" si="10"/>
        <v>46242</v>
      </c>
      <c r="I71" s="140">
        <f t="shared" si="10"/>
        <v>114</v>
      </c>
      <c r="J71" s="9">
        <f t="shared" si="11"/>
        <v>2.2287390029325516</v>
      </c>
      <c r="K71" s="140">
        <f t="shared" si="12"/>
        <v>6</v>
      </c>
      <c r="L71" s="206">
        <f t="shared" si="13"/>
        <v>5.2631578947368416</v>
      </c>
      <c r="M71" s="8" t="str">
        <f t="array" ref="M71">IF(L71&gt;5,"Perlu Sensus",IF(AND(L71&gt;=0,I71&gt;0),"Tetap Deteksi","Belum Deteksi"))</f>
        <v>Perlu Sensus</v>
      </c>
      <c r="N71" s="132">
        <f t="array" ref="N71">INDEX('[20]LS (Deteksi) Agustus'!N$7:N$303,MATCH(1,('[20]LS (Deteksi) Agustus'!$D$7:$D$303=$D71)*('[20]LS (Deteksi) Agustus'!$D$7:$D$303=$D71),0))</f>
        <v>46242</v>
      </c>
      <c r="O71" s="203">
        <f t="array" ref="O71">INDEX('[20]LS (Deteksi) Agustus'!O$7:O$303,MATCH(1,('[20]LS (Deteksi) Agustus'!$D$7:$D$303=$D71)*('[20]LS (Deteksi) Agustus'!$D$7:$D$303=$D71),0))</f>
        <v>114</v>
      </c>
      <c r="P71" s="9">
        <f t="array" ref="P71">IFERROR(O71/G71*100,0)</f>
        <v>2.2287390029325516</v>
      </c>
      <c r="Q71" s="203">
        <f t="array" ref="Q71">INDEX('[20]LS (Deteksi) Agustus'!Q$7:Q$303,MATCH(1,('[20]LS (Deteksi) Agustus'!$D$7:$D$303=$D71)*('[20]LS (Deteksi) Agustus'!$D$7:$D$303=$D71),0))</f>
        <v>6</v>
      </c>
      <c r="R71" s="9">
        <f t="shared" ref="R71:R134" si="14">IFERROR(Q71/O71*100,0)</f>
        <v>5.2631578947368416</v>
      </c>
      <c r="S71" s="8" t="str">
        <f t="array" ref="S71">IF(R71&gt;5,"Perlu Sensus",IF(AND(R71&gt;=0,O71&gt;0),"Tetap Deteksi","Belum Deteksi"))</f>
        <v>Perlu Sensus</v>
      </c>
      <c r="T71" s="203">
        <f t="array" ref="T71">INDEX('[20]LS (Deteksi) Agustus'!T$7:T$303,MATCH(1,('[20]LS (Deteksi) Agustus'!$D$7:$D$303=$D71)*('[20]LS (Deteksi) Agustus'!$D$7:$D$303=$D71),0))</f>
        <v>24</v>
      </c>
      <c r="U71" s="9">
        <f t="shared" ref="U71:U134" si="15">IFERROR(T71/O71*100,0)</f>
        <v>21.052631578947366</v>
      </c>
      <c r="V71" s="132">
        <f t="array" ref="V71">INDEX('[20]LS (Deteksi) Agustus'!V$7:V$303,MATCH(1,('[20]LS (Deteksi) Agustus'!$D$7:$D$303=$D71)*('[20]LS (Deteksi) Agustus'!$D$7:$D$303=$D71),0))</f>
        <v>46235</v>
      </c>
      <c r="W71" s="203">
        <f t="array" ref="W71">INDEX('[20]LS (Deteksi) Agustus'!W$7:W$303,MATCH(1,('[20]LS (Deteksi) Agustus'!$D$7:$D$303=$D71)*('[20]LS (Deteksi) Agustus'!$D$7:$D$303=$D71),0))</f>
        <v>206</v>
      </c>
      <c r="X71" s="203">
        <f t="array" ref="X71">INDEX('[20]LS (Deteksi) Agustus'!X$7:X$303,MATCH(1,('[20]LS (Deteksi) Agustus'!$D$7:$D$303=$D71)*('[20]LS (Deteksi) Agustus'!$D$7:$D$303=$D71),0))</f>
        <v>12</v>
      </c>
      <c r="Y71" s="9">
        <f t="shared" ref="Y71:Y134" si="16">IFERROR(X71/W71*100,0)</f>
        <v>5.825242718446602</v>
      </c>
      <c r="Z71" s="8" t="str">
        <f t="array" ref="Z71">IF(Y71&gt;5,"Perlu Sensus",IF(AND(Y71&gt;0,,O71&gt;0),"Tetap Deteksi","Belum Deteksi"))</f>
        <v>Perlu Sensus</v>
      </c>
      <c r="AA71" s="203">
        <f t="array" ref="AA71">INDEX('[20]LS (Deteksi) Agustus'!AA$7:AA$303,MATCH(1,('[20]LS (Deteksi) Agustus'!$D$7:$D$303=$D71)*('[20]LS (Deteksi) Agustus'!$D$7:$D$303=$D71),0))</f>
        <v>14</v>
      </c>
      <c r="AB71" s="9">
        <f t="shared" ref="AB71:AB134" si="17">IFERROR(AA71/W71*100,0)</f>
        <v>6.7961165048543686</v>
      </c>
    </row>
    <row r="72" spans="1:28" outlineLevel="1" x14ac:dyDescent="0.15">
      <c r="A72" s="8" t="s">
        <v>13</v>
      </c>
      <c r="B72" s="8" t="s">
        <v>14</v>
      </c>
      <c r="C72" s="8" t="s">
        <v>79</v>
      </c>
      <c r="D72" s="8" t="s">
        <v>84</v>
      </c>
      <c r="E72" s="9">
        <v>35.69</v>
      </c>
      <c r="F72" s="8" t="s">
        <v>16</v>
      </c>
      <c r="G72" s="143">
        <v>5484</v>
      </c>
      <c r="H72" s="132">
        <f t="shared" si="10"/>
        <v>46235</v>
      </c>
      <c r="I72" s="140">
        <f t="shared" si="10"/>
        <v>130</v>
      </c>
      <c r="J72" s="9">
        <f t="shared" si="11"/>
        <v>2.3705324580598104</v>
      </c>
      <c r="K72" s="140">
        <f t="shared" si="12"/>
        <v>7</v>
      </c>
      <c r="L72" s="206">
        <f t="shared" si="13"/>
        <v>5.384615384615385</v>
      </c>
      <c r="M72" s="8" t="str">
        <f t="array" ref="M72">IF(L72&gt;5,"Perlu Sensus",IF(AND(L72&gt;=0,I72&gt;0),"Tetap Deteksi","Belum Deteksi"))</f>
        <v>Perlu Sensus</v>
      </c>
      <c r="N72" s="132">
        <f t="array" ref="N72">INDEX('[20]LS (Deteksi) Agustus'!N$7:N$303,MATCH(1,('[20]LS (Deteksi) Agustus'!$D$7:$D$303=$D72)*('[20]LS (Deteksi) Agustus'!$D$7:$D$303=$D72),0))</f>
        <v>46235</v>
      </c>
      <c r="O72" s="203">
        <f t="array" ref="O72">INDEX('[20]LS (Deteksi) Agustus'!O$7:O$303,MATCH(1,('[20]LS (Deteksi) Agustus'!$D$7:$D$303=$D72)*('[20]LS (Deteksi) Agustus'!$D$7:$D$303=$D72),0))</f>
        <v>130</v>
      </c>
      <c r="P72" s="9">
        <f t="array" ref="P72">IFERROR(O72/G72*100,0)</f>
        <v>2.3705324580598104</v>
      </c>
      <c r="Q72" s="203">
        <f t="array" ref="Q72">INDEX('[20]LS (Deteksi) Agustus'!Q$7:Q$303,MATCH(1,('[20]LS (Deteksi) Agustus'!$D$7:$D$303=$D72)*('[20]LS (Deteksi) Agustus'!$D$7:$D$303=$D72),0))</f>
        <v>7</v>
      </c>
      <c r="R72" s="9">
        <f t="shared" si="14"/>
        <v>5.384615384615385</v>
      </c>
      <c r="S72" s="8" t="str">
        <f t="array" ref="S72">IF(R72&gt;5,"Perlu Sensus",IF(AND(R72&gt;=0,O72&gt;0),"Tetap Deteksi","Belum Deteksi"))</f>
        <v>Perlu Sensus</v>
      </c>
      <c r="T72" s="203">
        <f t="array" ref="T72">INDEX('[20]LS (Deteksi) Agustus'!T$7:T$303,MATCH(1,('[20]LS (Deteksi) Agustus'!$D$7:$D$303=$D72)*('[20]LS (Deteksi) Agustus'!$D$7:$D$303=$D72),0))</f>
        <v>13</v>
      </c>
      <c r="U72" s="9">
        <f t="shared" si="15"/>
        <v>10</v>
      </c>
      <c r="V72" s="132">
        <f t="array" ref="V72">INDEX('[20]LS (Deteksi) Agustus'!V$7:V$303,MATCH(1,('[20]LS (Deteksi) Agustus'!$D$7:$D$303=$D72)*('[20]LS (Deteksi) Agustus'!$D$7:$D$303=$D72),0))</f>
        <v>46235</v>
      </c>
      <c r="W72" s="203">
        <f t="array" ref="W72">INDEX('[20]LS (Deteksi) Agustus'!W$7:W$303,MATCH(1,('[20]LS (Deteksi) Agustus'!$D$7:$D$303=$D72)*('[20]LS (Deteksi) Agustus'!$D$7:$D$303=$D72),0))</f>
        <v>210</v>
      </c>
      <c r="X72" s="203">
        <f t="array" ref="X72">INDEX('[20]LS (Deteksi) Agustus'!X$7:X$303,MATCH(1,('[20]LS (Deteksi) Agustus'!$D$7:$D$303=$D72)*('[20]LS (Deteksi) Agustus'!$D$7:$D$303=$D72),0))</f>
        <v>12</v>
      </c>
      <c r="Y72" s="9">
        <f t="shared" si="16"/>
        <v>5.7142857142857144</v>
      </c>
      <c r="Z72" s="8" t="str">
        <f t="array" ref="Z72">IF(Y72&gt;5,"Perlu Sensus",IF(AND(Y72&gt;0,,O72&gt;0),"Tetap Deteksi","Belum Deteksi"))</f>
        <v>Perlu Sensus</v>
      </c>
      <c r="AA72" s="203">
        <f t="array" ref="AA72">INDEX('[20]LS (Deteksi) Agustus'!AA$7:AA$303,MATCH(1,('[20]LS (Deteksi) Agustus'!$D$7:$D$303=$D72)*('[20]LS (Deteksi) Agustus'!$D$7:$D$303=$D72),0))</f>
        <v>15</v>
      </c>
      <c r="AB72" s="9">
        <f t="shared" si="17"/>
        <v>7.1428571428571423</v>
      </c>
    </row>
    <row r="73" spans="1:28" outlineLevel="1" x14ac:dyDescent="0.15">
      <c r="A73" s="8" t="s">
        <v>13</v>
      </c>
      <c r="B73" s="8" t="s">
        <v>14</v>
      </c>
      <c r="C73" s="8" t="s">
        <v>79</v>
      </c>
      <c r="D73" s="8" t="s">
        <v>85</v>
      </c>
      <c r="E73" s="9">
        <v>24.37</v>
      </c>
      <c r="F73" s="8" t="s">
        <v>16</v>
      </c>
      <c r="G73" s="143">
        <v>3347</v>
      </c>
      <c r="H73" s="132">
        <f t="shared" si="10"/>
        <v>46235</v>
      </c>
      <c r="I73" s="140">
        <f t="shared" si="10"/>
        <v>220</v>
      </c>
      <c r="J73" s="9">
        <f t="shared" si="11"/>
        <v>6.573050492978787</v>
      </c>
      <c r="K73" s="140">
        <f t="shared" si="12"/>
        <v>10</v>
      </c>
      <c r="L73" s="206">
        <f t="shared" si="13"/>
        <v>4.5454545454545459</v>
      </c>
      <c r="M73" s="8" t="str">
        <f t="array" ref="M73">IF(L73&gt;5,"Perlu Sensus",IF(AND(L73&gt;=0,I73&gt;0),"Tetap Deteksi","Belum Deteksi"))</f>
        <v>Tetap Deteksi</v>
      </c>
      <c r="N73" s="132">
        <f t="array" ref="N73">INDEX('[20]LS (Deteksi) Agustus'!N$7:N$303,MATCH(1,('[20]LS (Deteksi) Agustus'!$D$7:$D$303=$D73)*('[20]LS (Deteksi) Agustus'!$D$7:$D$303=$D73),0))</f>
        <v>46235</v>
      </c>
      <c r="O73" s="203">
        <f t="array" ref="O73">INDEX('[20]LS (Deteksi) Agustus'!O$7:O$303,MATCH(1,('[20]LS (Deteksi) Agustus'!$D$7:$D$303=$D73)*('[20]LS (Deteksi) Agustus'!$D$7:$D$303=$D73),0))</f>
        <v>220</v>
      </c>
      <c r="P73" s="9">
        <f t="array" ref="P73">IFERROR(O73/G73*100,0)</f>
        <v>6.573050492978787</v>
      </c>
      <c r="Q73" s="203">
        <f t="array" ref="Q73">INDEX('[20]LS (Deteksi) Agustus'!Q$7:Q$303,MATCH(1,('[20]LS (Deteksi) Agustus'!$D$7:$D$303=$D73)*('[20]LS (Deteksi) Agustus'!$D$7:$D$303=$D73),0))</f>
        <v>10</v>
      </c>
      <c r="R73" s="9">
        <f t="shared" si="14"/>
        <v>4.5454545454545459</v>
      </c>
      <c r="S73" s="8" t="str">
        <f t="array" ref="S73">IF(R73&gt;5,"Perlu Sensus",IF(AND(R73&gt;=0,O73&gt;0),"Tetap Deteksi","Belum Deteksi"))</f>
        <v>Tetap Deteksi</v>
      </c>
      <c r="T73" s="203">
        <f t="array" ref="T73">INDEX('[20]LS (Deteksi) Agustus'!T$7:T$303,MATCH(1,('[20]LS (Deteksi) Agustus'!$D$7:$D$303=$D73)*('[20]LS (Deteksi) Agustus'!$D$7:$D$303=$D73),0))</f>
        <v>50</v>
      </c>
      <c r="U73" s="9">
        <f t="shared" si="15"/>
        <v>22.727272727272727</v>
      </c>
      <c r="V73" s="132">
        <f t="array" ref="V73">INDEX('[20]LS (Deteksi) Agustus'!V$7:V$303,MATCH(1,('[20]LS (Deteksi) Agustus'!$D$7:$D$303=$D73)*('[20]LS (Deteksi) Agustus'!$D$7:$D$303=$D73),0))</f>
        <v>46245</v>
      </c>
      <c r="W73" s="203">
        <f t="array" ref="W73">INDEX('[20]LS (Deteksi) Agustus'!W$7:W$303,MATCH(1,('[20]LS (Deteksi) Agustus'!$D$7:$D$303=$D73)*('[20]LS (Deteksi) Agustus'!$D$7:$D$303=$D73),0))</f>
        <v>185</v>
      </c>
      <c r="X73" s="203">
        <f t="array" ref="X73">INDEX('[20]LS (Deteksi) Agustus'!X$7:X$303,MATCH(1,('[20]LS (Deteksi) Agustus'!$D$7:$D$303=$D73)*('[20]LS (Deteksi) Agustus'!$D$7:$D$303=$D73),0))</f>
        <v>9</v>
      </c>
      <c r="Y73" s="9">
        <f t="shared" si="16"/>
        <v>4.8648648648648649</v>
      </c>
      <c r="Z73" s="8" t="str">
        <f t="array" ref="Z73">IF(Y73&gt;5,"Perlu Sensus",IF(AND(Y73&gt;0,,O73&gt;0),"Tetap Deteksi","Belum Deteksi"))</f>
        <v>Belum Deteksi</v>
      </c>
      <c r="AA73" s="203">
        <f t="array" ref="AA73">INDEX('[20]LS (Deteksi) Agustus'!AA$7:AA$303,MATCH(1,('[20]LS (Deteksi) Agustus'!$D$7:$D$303=$D73)*('[20]LS (Deteksi) Agustus'!$D$7:$D$303=$D73),0))</f>
        <v>19</v>
      </c>
      <c r="AB73" s="9">
        <f t="shared" si="17"/>
        <v>10.27027027027027</v>
      </c>
    </row>
    <row r="74" spans="1:28" outlineLevel="1" x14ac:dyDescent="0.15">
      <c r="A74" s="8" t="s">
        <v>13</v>
      </c>
      <c r="B74" s="8" t="s">
        <v>14</v>
      </c>
      <c r="C74" s="8" t="s">
        <v>79</v>
      </c>
      <c r="D74" s="8" t="s">
        <v>86</v>
      </c>
      <c r="E74" s="9">
        <v>45.36</v>
      </c>
      <c r="F74" s="8" t="s">
        <v>16</v>
      </c>
      <c r="G74" s="143">
        <v>6032</v>
      </c>
      <c r="H74" s="132">
        <f t="shared" si="10"/>
        <v>46244</v>
      </c>
      <c r="I74" s="140">
        <f t="shared" si="10"/>
        <v>233</v>
      </c>
      <c r="J74" s="9">
        <f t="shared" si="11"/>
        <v>3.8627320954907161</v>
      </c>
      <c r="K74" s="140">
        <f t="shared" si="12"/>
        <v>12</v>
      </c>
      <c r="L74" s="206">
        <f t="shared" si="13"/>
        <v>5.1502145922746783</v>
      </c>
      <c r="M74" s="8" t="str">
        <f t="array" ref="M74">IF(L74&gt;5,"Perlu Sensus",IF(AND(L74&gt;=0,I74&gt;0),"Tetap Deteksi","Belum Deteksi"))</f>
        <v>Perlu Sensus</v>
      </c>
      <c r="N74" s="132">
        <f t="array" ref="N74">INDEX('[20]LS (Deteksi) Agustus'!N$7:N$303,MATCH(1,('[20]LS (Deteksi) Agustus'!$D$7:$D$303=$D74)*('[20]LS (Deteksi) Agustus'!$D$7:$D$303=$D74),0))</f>
        <v>46244</v>
      </c>
      <c r="O74" s="203">
        <f t="array" ref="O74">INDEX('[20]LS (Deteksi) Agustus'!O$7:O$303,MATCH(1,('[20]LS (Deteksi) Agustus'!$D$7:$D$303=$D74)*('[20]LS (Deteksi) Agustus'!$D$7:$D$303=$D74),0))</f>
        <v>233</v>
      </c>
      <c r="P74" s="9">
        <f t="array" ref="P74">IFERROR(O74/G74*100,0)</f>
        <v>3.8627320954907161</v>
      </c>
      <c r="Q74" s="203">
        <f t="array" ref="Q74">INDEX('[20]LS (Deteksi) Agustus'!Q$7:Q$303,MATCH(1,('[20]LS (Deteksi) Agustus'!$D$7:$D$303=$D74)*('[20]LS (Deteksi) Agustus'!$D$7:$D$303=$D74),0))</f>
        <v>12</v>
      </c>
      <c r="R74" s="9">
        <f t="shared" si="14"/>
        <v>5.1502145922746783</v>
      </c>
      <c r="S74" s="8" t="str">
        <f t="array" ref="S74">IF(R74&gt;5,"Perlu Sensus",IF(AND(R74&gt;=0,O74&gt;0),"Tetap Deteksi","Belum Deteksi"))</f>
        <v>Perlu Sensus</v>
      </c>
      <c r="T74" s="203">
        <f t="array" ref="T74">INDEX('[20]LS (Deteksi) Agustus'!T$7:T$303,MATCH(1,('[20]LS (Deteksi) Agustus'!$D$7:$D$303=$D74)*('[20]LS (Deteksi) Agustus'!$D$7:$D$303=$D74),0))</f>
        <v>60</v>
      </c>
      <c r="U74" s="9">
        <f t="shared" si="15"/>
        <v>25.751072961373389</v>
      </c>
      <c r="V74" s="132">
        <f t="array" ref="V74">INDEX('[20]LS (Deteksi) Agustus'!V$7:V$303,MATCH(1,('[20]LS (Deteksi) Agustus'!$D$7:$D$303=$D74)*('[20]LS (Deteksi) Agustus'!$D$7:$D$303=$D74),0))</f>
        <v>46236</v>
      </c>
      <c r="W74" s="203">
        <f t="array" ref="W74">INDEX('[20]LS (Deteksi) Agustus'!W$7:W$303,MATCH(1,('[20]LS (Deteksi) Agustus'!$D$7:$D$303=$D74)*('[20]LS (Deteksi) Agustus'!$D$7:$D$303=$D74),0))</f>
        <v>182</v>
      </c>
      <c r="X74" s="203">
        <f t="array" ref="X74">INDEX('[20]LS (Deteksi) Agustus'!X$7:X$303,MATCH(1,('[20]LS (Deteksi) Agustus'!$D$7:$D$303=$D74)*('[20]LS (Deteksi) Agustus'!$D$7:$D$303=$D74),0))</f>
        <v>12</v>
      </c>
      <c r="Y74" s="9">
        <f t="shared" si="16"/>
        <v>6.593406593406594</v>
      </c>
      <c r="Z74" s="8" t="str">
        <f t="array" ref="Z74">IF(Y74&gt;5,"Perlu Sensus",IF(AND(Y74&gt;0,,O74&gt;0),"Tetap Deteksi","Belum Deteksi"))</f>
        <v>Perlu Sensus</v>
      </c>
      <c r="AA74" s="203">
        <f t="array" ref="AA74">INDEX('[20]LS (Deteksi) Agustus'!AA$7:AA$303,MATCH(1,('[20]LS (Deteksi) Agustus'!$D$7:$D$303=$D74)*('[20]LS (Deteksi) Agustus'!$D$7:$D$303=$D74),0))</f>
        <v>15</v>
      </c>
      <c r="AB74" s="9">
        <f t="shared" si="17"/>
        <v>8.2417582417582409</v>
      </c>
    </row>
    <row r="75" spans="1:28" outlineLevel="1" x14ac:dyDescent="0.15">
      <c r="A75" s="8" t="s">
        <v>13</v>
      </c>
      <c r="B75" s="8" t="s">
        <v>14</v>
      </c>
      <c r="C75" s="8" t="s">
        <v>79</v>
      </c>
      <c r="D75" s="8" t="s">
        <v>87</v>
      </c>
      <c r="E75" s="9">
        <v>22.07</v>
      </c>
      <c r="F75" s="8" t="s">
        <v>16</v>
      </c>
      <c r="G75" s="143">
        <v>2773</v>
      </c>
      <c r="H75" s="132">
        <f t="shared" si="10"/>
        <v>46244</v>
      </c>
      <c r="I75" s="140">
        <f t="shared" si="10"/>
        <v>198</v>
      </c>
      <c r="J75" s="9">
        <f t="shared" si="11"/>
        <v>7.1402812838081502</v>
      </c>
      <c r="K75" s="140">
        <f t="shared" si="12"/>
        <v>7</v>
      </c>
      <c r="L75" s="206">
        <f t="shared" si="13"/>
        <v>3.535353535353535</v>
      </c>
      <c r="M75" s="8" t="str">
        <f t="array" ref="M75">IF(L75&gt;5,"Perlu Sensus",IF(AND(L75&gt;=0,I75&gt;0),"Tetap Deteksi","Belum Deteksi"))</f>
        <v>Tetap Deteksi</v>
      </c>
      <c r="N75" s="132">
        <f t="array" ref="N75">INDEX('[20]LS (Deteksi) Agustus'!N$7:N$303,MATCH(1,('[20]LS (Deteksi) Agustus'!$D$7:$D$303=$D75)*('[20]LS (Deteksi) Agustus'!$D$7:$D$303=$D75),0))</f>
        <v>46244</v>
      </c>
      <c r="O75" s="203">
        <f t="array" ref="O75">INDEX('[20]LS (Deteksi) Agustus'!O$7:O$303,MATCH(1,('[20]LS (Deteksi) Agustus'!$D$7:$D$303=$D75)*('[20]LS (Deteksi) Agustus'!$D$7:$D$303=$D75),0))</f>
        <v>198</v>
      </c>
      <c r="P75" s="9">
        <f t="array" ref="P75">IFERROR(O75/G75*100,0)</f>
        <v>7.1402812838081502</v>
      </c>
      <c r="Q75" s="203">
        <f t="array" ref="Q75">INDEX('[20]LS (Deteksi) Agustus'!Q$7:Q$303,MATCH(1,('[20]LS (Deteksi) Agustus'!$D$7:$D$303=$D75)*('[20]LS (Deteksi) Agustus'!$D$7:$D$303=$D75),0))</f>
        <v>7</v>
      </c>
      <c r="R75" s="9">
        <f t="shared" si="14"/>
        <v>3.535353535353535</v>
      </c>
      <c r="S75" s="8" t="str">
        <f t="array" ref="S75">IF(R75&gt;5,"Perlu Sensus",IF(AND(R75&gt;=0,O75&gt;0),"Tetap Deteksi","Belum Deteksi"))</f>
        <v>Tetap Deteksi</v>
      </c>
      <c r="T75" s="203">
        <f t="array" ref="T75">INDEX('[20]LS (Deteksi) Agustus'!T$7:T$303,MATCH(1,('[20]LS (Deteksi) Agustus'!$D$7:$D$303=$D75)*('[20]LS (Deteksi) Agustus'!$D$7:$D$303=$D75),0))</f>
        <v>10</v>
      </c>
      <c r="U75" s="9">
        <f t="shared" si="15"/>
        <v>5.0505050505050502</v>
      </c>
      <c r="V75" s="132">
        <f t="array" ref="V75">INDEX('[20]LS (Deteksi) Agustus'!V$7:V$303,MATCH(1,('[20]LS (Deteksi) Agustus'!$D$7:$D$303=$D75)*('[20]LS (Deteksi) Agustus'!$D$7:$D$303=$D75),0))</f>
        <v>46236</v>
      </c>
      <c r="W75" s="203">
        <f t="array" ref="W75">INDEX('[20]LS (Deteksi) Agustus'!W$7:W$303,MATCH(1,('[20]LS (Deteksi) Agustus'!$D$7:$D$303=$D75)*('[20]LS (Deteksi) Agustus'!$D$7:$D$303=$D75),0))</f>
        <v>294</v>
      </c>
      <c r="X75" s="203">
        <f t="array" ref="X75">INDEX('[20]LS (Deteksi) Agustus'!X$7:X$303,MATCH(1,('[20]LS (Deteksi) Agustus'!$D$7:$D$303=$D75)*('[20]LS (Deteksi) Agustus'!$D$7:$D$303=$D75),0))</f>
        <v>17</v>
      </c>
      <c r="Y75" s="9">
        <f t="shared" si="16"/>
        <v>5.7823129251700678</v>
      </c>
      <c r="Z75" s="8" t="str">
        <f t="array" ref="Z75">IF(Y75&gt;5,"Perlu Sensus",IF(AND(Y75&gt;0,,O75&gt;0),"Tetap Deteksi","Belum Deteksi"))</f>
        <v>Perlu Sensus</v>
      </c>
      <c r="AA75" s="203">
        <f t="array" ref="AA75">INDEX('[20]LS (Deteksi) Agustus'!AA$7:AA$303,MATCH(1,('[20]LS (Deteksi) Agustus'!$D$7:$D$303=$D75)*('[20]LS (Deteksi) Agustus'!$D$7:$D$303=$D75),0))</f>
        <v>17</v>
      </c>
      <c r="AB75" s="9">
        <f t="shared" si="17"/>
        <v>5.7823129251700678</v>
      </c>
    </row>
    <row r="76" spans="1:28" outlineLevel="1" x14ac:dyDescent="0.15">
      <c r="A76" s="8" t="s">
        <v>13</v>
      </c>
      <c r="B76" s="8" t="s">
        <v>14</v>
      </c>
      <c r="C76" s="8" t="s">
        <v>79</v>
      </c>
      <c r="D76" s="8" t="s">
        <v>88</v>
      </c>
      <c r="E76" s="9">
        <v>23.61</v>
      </c>
      <c r="F76" s="8" t="s">
        <v>16</v>
      </c>
      <c r="G76" s="143">
        <v>2910</v>
      </c>
      <c r="H76" s="132">
        <f t="shared" si="10"/>
        <v>46237</v>
      </c>
      <c r="I76" s="140">
        <f t="shared" si="10"/>
        <v>260</v>
      </c>
      <c r="J76" s="9" t="str">
        <f t="shared" si="11"/>
        <v xml:space="preserve"> </v>
      </c>
      <c r="K76" s="140">
        <f t="shared" si="12"/>
        <v>22</v>
      </c>
      <c r="L76" s="206">
        <f t="shared" si="13"/>
        <v>8.4615384615384617</v>
      </c>
      <c r="M76" s="8" t="str">
        <f t="array" ref="M76">IF(L76&gt;5,"Perlu Sensus",IF(AND(L76&gt;=0,I76&gt;0),"Tetap Deteksi","Belum Deteksi"))</f>
        <v>Perlu Sensus</v>
      </c>
      <c r="N76" s="132">
        <f t="array" ref="N76">INDEX('[20]LS (Deteksi) Agustus'!N$7:N$303,MATCH(1,('[20]LS (Deteksi) Agustus'!$D$7:$D$303=$D76)*('[20]LS (Deteksi) Agustus'!$D$7:$D$303=$D76),0))</f>
        <v>0</v>
      </c>
      <c r="O76" s="203">
        <f t="array" ref="O76">INDEX('[20]LS (Deteksi) Agustus'!O$7:O$303,MATCH(1,('[20]LS (Deteksi) Agustus'!$D$7:$D$303=$D76)*('[20]LS (Deteksi) Agustus'!$D$7:$D$303=$D76),0))</f>
        <v>0</v>
      </c>
      <c r="P76" s="9">
        <f t="array" ref="P76">IFERROR(O76/G76*100,0)</f>
        <v>0</v>
      </c>
      <c r="Q76" s="203">
        <f t="array" ref="Q76">INDEX('[20]LS (Deteksi) Agustus'!Q$7:Q$303,MATCH(1,('[20]LS (Deteksi) Agustus'!$D$7:$D$303=$D76)*('[20]LS (Deteksi) Agustus'!$D$7:$D$303=$D76),0))</f>
        <v>0</v>
      </c>
      <c r="R76" s="9">
        <f t="shared" si="14"/>
        <v>0</v>
      </c>
      <c r="S76" s="8" t="str">
        <f t="array" ref="S76">IF(R76&gt;5,"Perlu Sensus",IF(AND(R76&gt;=0,O76&gt;0),"Tetap Deteksi","Belum Deteksi"))</f>
        <v>Belum Deteksi</v>
      </c>
      <c r="T76" s="203">
        <f t="array" ref="T76">INDEX('[20]LS (Deteksi) Agustus'!T$7:T$303,MATCH(1,('[20]LS (Deteksi) Agustus'!$D$7:$D$303=$D76)*('[20]LS (Deteksi) Agustus'!$D$7:$D$303=$D76),0))</f>
        <v>0</v>
      </c>
      <c r="U76" s="9">
        <f t="shared" si="15"/>
        <v>0</v>
      </c>
      <c r="V76" s="132">
        <f t="array" ref="V76">INDEX('[20]LS (Deteksi) Agustus'!V$7:V$303,MATCH(1,('[20]LS (Deteksi) Agustus'!$D$7:$D$303=$D76)*('[20]LS (Deteksi) Agustus'!$D$7:$D$303=$D76),0))</f>
        <v>46237</v>
      </c>
      <c r="W76" s="203">
        <f t="array" ref="W76">INDEX('[20]LS (Deteksi) Agustus'!W$7:W$303,MATCH(1,('[20]LS (Deteksi) Agustus'!$D$7:$D$303=$D76)*('[20]LS (Deteksi) Agustus'!$D$7:$D$303=$D76),0))</f>
        <v>260</v>
      </c>
      <c r="X76" s="203">
        <f t="array" ref="X76">INDEX('[20]LS (Deteksi) Agustus'!X$7:X$303,MATCH(1,('[20]LS (Deteksi) Agustus'!$D$7:$D$303=$D76)*('[20]LS (Deteksi) Agustus'!$D$7:$D$303=$D76),0))</f>
        <v>22</v>
      </c>
      <c r="Y76" s="9">
        <f t="shared" si="16"/>
        <v>8.4615384615384617</v>
      </c>
      <c r="Z76" s="8" t="str">
        <f t="array" ref="Z76">IF(Y76&gt;5,"Perlu Sensus",IF(AND(Y76&gt;0,,O76&gt;0),"Tetap Deteksi","Belum Deteksi"))</f>
        <v>Perlu Sensus</v>
      </c>
      <c r="AA76" s="203">
        <f t="array" ref="AA76">INDEX('[20]LS (Deteksi) Agustus'!AA$7:AA$303,MATCH(1,('[20]LS (Deteksi) Agustus'!$D$7:$D$303=$D76)*('[20]LS (Deteksi) Agustus'!$D$7:$D$303=$D76),0))</f>
        <v>25</v>
      </c>
      <c r="AB76" s="9">
        <f t="shared" si="17"/>
        <v>9.6153846153846168</v>
      </c>
    </row>
    <row r="77" spans="1:28" outlineLevel="1" x14ac:dyDescent="0.15">
      <c r="A77" s="8" t="s">
        <v>13</v>
      </c>
      <c r="B77" s="8" t="s">
        <v>14</v>
      </c>
      <c r="C77" s="8" t="s">
        <v>79</v>
      </c>
      <c r="D77" s="8" t="s">
        <v>89</v>
      </c>
      <c r="E77" s="9">
        <v>45.61</v>
      </c>
      <c r="F77" s="8" t="s">
        <v>16</v>
      </c>
      <c r="G77" s="143">
        <v>6553</v>
      </c>
      <c r="H77" s="132">
        <f t="shared" si="10"/>
        <v>46248</v>
      </c>
      <c r="I77" s="140">
        <f t="shared" si="10"/>
        <v>114</v>
      </c>
      <c r="J77" s="9">
        <f t="shared" si="11"/>
        <v>1.7396612238669311</v>
      </c>
      <c r="K77" s="140">
        <f t="shared" si="12"/>
        <v>7</v>
      </c>
      <c r="L77" s="206">
        <f t="shared" si="13"/>
        <v>6.140350877192982</v>
      </c>
      <c r="M77" s="8" t="str">
        <f t="array" ref="M77">IF(L77&gt;5,"Perlu Sensus",IF(AND(L77&gt;=0,I77&gt;0),"Tetap Deteksi","Belum Deteksi"))</f>
        <v>Perlu Sensus</v>
      </c>
      <c r="N77" s="132">
        <f t="array" ref="N77">INDEX('[20]LS (Deteksi) Agustus'!N$7:N$303,MATCH(1,('[20]LS (Deteksi) Agustus'!$D$7:$D$303=$D77)*('[20]LS (Deteksi) Agustus'!$D$7:$D$303=$D77),0))</f>
        <v>46248</v>
      </c>
      <c r="O77" s="203">
        <f t="array" ref="O77">INDEX('[20]LS (Deteksi) Agustus'!O$7:O$303,MATCH(1,('[20]LS (Deteksi) Agustus'!$D$7:$D$303=$D77)*('[20]LS (Deteksi) Agustus'!$D$7:$D$303=$D77),0))</f>
        <v>114</v>
      </c>
      <c r="P77" s="9">
        <f t="array" ref="P77">IFERROR(O77/G77*100,0)</f>
        <v>1.7396612238669311</v>
      </c>
      <c r="Q77" s="203">
        <f t="array" ref="Q77">INDEX('[20]LS (Deteksi) Agustus'!Q$7:Q$303,MATCH(1,('[20]LS (Deteksi) Agustus'!$D$7:$D$303=$D77)*('[20]LS (Deteksi) Agustus'!$D$7:$D$303=$D77),0))</f>
        <v>7</v>
      </c>
      <c r="R77" s="9">
        <f t="shared" si="14"/>
        <v>6.140350877192982</v>
      </c>
      <c r="S77" s="8" t="str">
        <f t="array" ref="S77">IF(R77&gt;5,"Perlu Sensus",IF(AND(R77&gt;=0,O77&gt;0),"Tetap Deteksi","Belum Deteksi"))</f>
        <v>Perlu Sensus</v>
      </c>
      <c r="T77" s="203">
        <f t="array" ref="T77">INDEX('[20]LS (Deteksi) Agustus'!T$7:T$303,MATCH(1,('[20]LS (Deteksi) Agustus'!$D$7:$D$303=$D77)*('[20]LS (Deteksi) Agustus'!$D$7:$D$303=$D77),0))</f>
        <v>11</v>
      </c>
      <c r="U77" s="9">
        <f t="shared" si="15"/>
        <v>9.6491228070175428</v>
      </c>
      <c r="V77" s="132">
        <f t="array" ref="V77">INDEX('[20]LS (Deteksi) Agustus'!V$7:V$303,MATCH(1,('[20]LS (Deteksi) Agustus'!$D$7:$D$303=$D77)*('[20]LS (Deteksi) Agustus'!$D$7:$D$303=$D77),0))</f>
        <v>46245</v>
      </c>
      <c r="W77" s="203">
        <f t="array" ref="W77">INDEX('[20]LS (Deteksi) Agustus'!W$7:W$303,MATCH(1,('[20]LS (Deteksi) Agustus'!$D$7:$D$303=$D77)*('[20]LS (Deteksi) Agustus'!$D$7:$D$303=$D77),0))</f>
        <v>143</v>
      </c>
      <c r="X77" s="203">
        <f t="array" ref="X77">INDEX('[20]LS (Deteksi) Agustus'!X$7:X$303,MATCH(1,('[20]LS (Deteksi) Agustus'!$D$7:$D$303=$D77)*('[20]LS (Deteksi) Agustus'!$D$7:$D$303=$D77),0))</f>
        <v>8</v>
      </c>
      <c r="Y77" s="9">
        <f t="shared" si="16"/>
        <v>5.5944055944055942</v>
      </c>
      <c r="Z77" s="8" t="str">
        <f t="array" ref="Z77">IF(Y77&gt;5,"Perlu Sensus",IF(AND(Y77&gt;0,,O77&gt;0),"Tetap Deteksi","Belum Deteksi"))</f>
        <v>Perlu Sensus</v>
      </c>
      <c r="AA77" s="203">
        <f t="array" ref="AA77">INDEX('[20]LS (Deteksi) Agustus'!AA$7:AA$303,MATCH(1,('[20]LS (Deteksi) Agustus'!$D$7:$D$303=$D77)*('[20]LS (Deteksi) Agustus'!$D$7:$D$303=$D77),0))</f>
        <v>10</v>
      </c>
      <c r="AB77" s="9">
        <f t="shared" si="17"/>
        <v>6.9930069930069934</v>
      </c>
    </row>
    <row r="78" spans="1:28" outlineLevel="1" x14ac:dyDescent="0.15">
      <c r="A78" s="8" t="s">
        <v>13</v>
      </c>
      <c r="B78" s="8" t="s">
        <v>14</v>
      </c>
      <c r="C78" s="8" t="s">
        <v>79</v>
      </c>
      <c r="D78" s="8" t="s">
        <v>90</v>
      </c>
      <c r="E78" s="9">
        <v>46.4</v>
      </c>
      <c r="F78" s="8" t="s">
        <v>16</v>
      </c>
      <c r="G78" s="143">
        <v>4700</v>
      </c>
      <c r="H78" s="132">
        <f t="shared" si="10"/>
        <v>46241</v>
      </c>
      <c r="I78" s="140">
        <f t="shared" si="10"/>
        <v>240</v>
      </c>
      <c r="J78" s="9">
        <f t="shared" si="11"/>
        <v>5.1063829787234036</v>
      </c>
      <c r="K78" s="140">
        <f t="shared" si="12"/>
        <v>13</v>
      </c>
      <c r="L78" s="206">
        <f t="shared" si="13"/>
        <v>5.416666666666667</v>
      </c>
      <c r="M78" s="8" t="str">
        <f t="array" ref="M78">IF(L78&gt;5,"Perlu Sensus",IF(AND(L78&gt;=0,I78&gt;0),"Tetap Deteksi","Belum Deteksi"))</f>
        <v>Perlu Sensus</v>
      </c>
      <c r="N78" s="132">
        <f t="array" ref="N78">INDEX('[20]LS (Deteksi) Agustus'!N$7:N$303,MATCH(1,('[20]LS (Deteksi) Agustus'!$D$7:$D$303=$D78)*('[20]LS (Deteksi) Agustus'!$D$7:$D$303=$D78),0))</f>
        <v>46241</v>
      </c>
      <c r="O78" s="203">
        <f t="array" ref="O78">INDEX('[20]LS (Deteksi) Agustus'!O$7:O$303,MATCH(1,('[20]LS (Deteksi) Agustus'!$D$7:$D$303=$D78)*('[20]LS (Deteksi) Agustus'!$D$7:$D$303=$D78),0))</f>
        <v>240</v>
      </c>
      <c r="P78" s="9">
        <f t="array" ref="P78">IFERROR(O78/G78*100,0)</f>
        <v>5.1063829787234036</v>
      </c>
      <c r="Q78" s="203">
        <f t="array" ref="Q78">INDEX('[20]LS (Deteksi) Agustus'!Q$7:Q$303,MATCH(1,('[20]LS (Deteksi) Agustus'!$D$7:$D$303=$D78)*('[20]LS (Deteksi) Agustus'!$D$7:$D$303=$D78),0))</f>
        <v>13</v>
      </c>
      <c r="R78" s="9">
        <f t="shared" si="14"/>
        <v>5.416666666666667</v>
      </c>
      <c r="S78" s="8" t="str">
        <f t="array" ref="S78">IF(R78&gt;5,"Perlu Sensus",IF(AND(R78&gt;=0,O78&gt;0),"Tetap Deteksi","Belum Deteksi"))</f>
        <v>Perlu Sensus</v>
      </c>
      <c r="T78" s="203">
        <f t="array" ref="T78">INDEX('[20]LS (Deteksi) Agustus'!T$7:T$303,MATCH(1,('[20]LS (Deteksi) Agustus'!$D$7:$D$303=$D78)*('[20]LS (Deteksi) Agustus'!$D$7:$D$303=$D78),0))</f>
        <v>75</v>
      </c>
      <c r="U78" s="9">
        <f t="shared" si="15"/>
        <v>31.25</v>
      </c>
      <c r="V78" s="132">
        <f t="array" ref="V78">INDEX('[20]LS (Deteksi) Agustus'!V$7:V$303,MATCH(1,('[20]LS (Deteksi) Agustus'!$D$7:$D$303=$D78)*('[20]LS (Deteksi) Agustus'!$D$7:$D$303=$D78),0))</f>
        <v>46244</v>
      </c>
      <c r="W78" s="203">
        <f t="array" ref="W78">INDEX('[20]LS (Deteksi) Agustus'!W$7:W$303,MATCH(1,('[20]LS (Deteksi) Agustus'!$D$7:$D$303=$D78)*('[20]LS (Deteksi) Agustus'!$D$7:$D$303=$D78),0))</f>
        <v>201</v>
      </c>
      <c r="X78" s="203">
        <f t="array" ref="X78">INDEX('[20]LS (Deteksi) Agustus'!X$7:X$303,MATCH(1,('[20]LS (Deteksi) Agustus'!$D$7:$D$303=$D78)*('[20]LS (Deteksi) Agustus'!$D$7:$D$303=$D78),0))</f>
        <v>12</v>
      </c>
      <c r="Y78" s="9">
        <f t="shared" si="16"/>
        <v>5.9701492537313428</v>
      </c>
      <c r="Z78" s="8" t="str">
        <f t="array" ref="Z78">IF(Y78&gt;5,"Perlu Sensus",IF(AND(Y78&gt;0,,O78&gt;0),"Tetap Deteksi","Belum Deteksi"))</f>
        <v>Perlu Sensus</v>
      </c>
      <c r="AA78" s="203">
        <f t="array" ref="AA78">INDEX('[20]LS (Deteksi) Agustus'!AA$7:AA$303,MATCH(1,('[20]LS (Deteksi) Agustus'!$D$7:$D$303=$D78)*('[20]LS (Deteksi) Agustus'!$D$7:$D$303=$D78),0))</f>
        <v>18</v>
      </c>
      <c r="AB78" s="9">
        <f t="shared" si="17"/>
        <v>8.9552238805970141</v>
      </c>
    </row>
    <row r="79" spans="1:28" outlineLevel="1" x14ac:dyDescent="0.15">
      <c r="A79" s="8" t="s">
        <v>13</v>
      </c>
      <c r="B79" s="8" t="s">
        <v>14</v>
      </c>
      <c r="C79" s="8" t="s">
        <v>79</v>
      </c>
      <c r="D79" s="8" t="s">
        <v>91</v>
      </c>
      <c r="E79" s="9">
        <v>47.38</v>
      </c>
      <c r="F79" s="8" t="s">
        <v>16</v>
      </c>
      <c r="G79" s="143">
        <v>5161</v>
      </c>
      <c r="H79" s="132">
        <f t="shared" si="10"/>
        <v>46245</v>
      </c>
      <c r="I79" s="140">
        <f t="shared" si="10"/>
        <v>189</v>
      </c>
      <c r="J79" s="9">
        <f t="shared" si="11"/>
        <v>3.6620809920558028</v>
      </c>
      <c r="K79" s="140">
        <f t="shared" si="12"/>
        <v>10</v>
      </c>
      <c r="L79" s="206">
        <f t="shared" si="13"/>
        <v>5.2910052910052912</v>
      </c>
      <c r="M79" s="8" t="str">
        <f t="array" ref="M79">IF(L79&gt;5,"Perlu Sensus",IF(AND(L79&gt;=0,I79&gt;0),"Tetap Deteksi","Belum Deteksi"))</f>
        <v>Perlu Sensus</v>
      </c>
      <c r="N79" s="132">
        <f t="array" ref="N79">INDEX('[20]LS (Deteksi) Agustus'!N$7:N$303,MATCH(1,('[20]LS (Deteksi) Agustus'!$D$7:$D$303=$D79)*('[20]LS (Deteksi) Agustus'!$D$7:$D$303=$D79),0))</f>
        <v>46245</v>
      </c>
      <c r="O79" s="203">
        <f t="array" ref="O79">INDEX('[20]LS (Deteksi) Agustus'!O$7:O$303,MATCH(1,('[20]LS (Deteksi) Agustus'!$D$7:$D$303=$D79)*('[20]LS (Deteksi) Agustus'!$D$7:$D$303=$D79),0))</f>
        <v>189</v>
      </c>
      <c r="P79" s="9">
        <f t="array" ref="P79">IFERROR(O79/G79*100,0)</f>
        <v>3.6620809920558028</v>
      </c>
      <c r="Q79" s="203">
        <f t="array" ref="Q79">INDEX('[20]LS (Deteksi) Agustus'!Q$7:Q$303,MATCH(1,('[20]LS (Deteksi) Agustus'!$D$7:$D$303=$D79)*('[20]LS (Deteksi) Agustus'!$D$7:$D$303=$D79),0))</f>
        <v>10</v>
      </c>
      <c r="R79" s="9">
        <f t="shared" si="14"/>
        <v>5.2910052910052912</v>
      </c>
      <c r="S79" s="8" t="str">
        <f t="array" ref="S79">IF(R79&gt;5,"Perlu Sensus",IF(AND(R79&gt;=0,O79&gt;0),"Tetap Deteksi","Belum Deteksi"))</f>
        <v>Perlu Sensus</v>
      </c>
      <c r="T79" s="203">
        <f t="array" ref="T79">INDEX('[20]LS (Deteksi) Agustus'!T$7:T$303,MATCH(1,('[20]LS (Deteksi) Agustus'!$D$7:$D$303=$D79)*('[20]LS (Deteksi) Agustus'!$D$7:$D$303=$D79),0))</f>
        <v>16</v>
      </c>
      <c r="U79" s="9">
        <f t="shared" si="15"/>
        <v>8.4656084656084651</v>
      </c>
      <c r="V79" s="132">
        <f t="array" ref="V79">INDEX('[20]LS (Deteksi) Agustus'!V$7:V$303,MATCH(1,('[20]LS (Deteksi) Agustus'!$D$7:$D$303=$D79)*('[20]LS (Deteksi) Agustus'!$D$7:$D$303=$D79),0))</f>
        <v>46241</v>
      </c>
      <c r="W79" s="203">
        <f t="array" ref="W79">INDEX('[20]LS (Deteksi) Agustus'!W$7:W$303,MATCH(1,('[20]LS (Deteksi) Agustus'!$D$7:$D$303=$D79)*('[20]LS (Deteksi) Agustus'!$D$7:$D$303=$D79),0))</f>
        <v>192</v>
      </c>
      <c r="X79" s="203">
        <f t="array" ref="X79">INDEX('[20]LS (Deteksi) Agustus'!X$7:X$303,MATCH(1,('[20]LS (Deteksi) Agustus'!$D$7:$D$303=$D79)*('[20]LS (Deteksi) Agustus'!$D$7:$D$303=$D79),0))</f>
        <v>10</v>
      </c>
      <c r="Y79" s="9">
        <f t="shared" si="16"/>
        <v>5.2083333333333339</v>
      </c>
      <c r="Z79" s="8" t="str">
        <f t="array" ref="Z79">IF(Y79&gt;5,"Perlu Sensus",IF(AND(Y79&gt;0,,O79&gt;0),"Tetap Deteksi","Belum Deteksi"))</f>
        <v>Perlu Sensus</v>
      </c>
      <c r="AA79" s="203">
        <f t="array" ref="AA79">INDEX('[20]LS (Deteksi) Agustus'!AA$7:AA$303,MATCH(1,('[20]LS (Deteksi) Agustus'!$D$7:$D$303=$D79)*('[20]LS (Deteksi) Agustus'!$D$7:$D$303=$D79),0))</f>
        <v>17</v>
      </c>
      <c r="AB79" s="9">
        <f t="shared" si="17"/>
        <v>8.8541666666666679</v>
      </c>
    </row>
    <row r="80" spans="1:28" outlineLevel="1" x14ac:dyDescent="0.15">
      <c r="A80" s="8" t="s">
        <v>13</v>
      </c>
      <c r="B80" s="8" t="s">
        <v>14</v>
      </c>
      <c r="C80" s="8" t="s">
        <v>79</v>
      </c>
      <c r="D80" s="8" t="s">
        <v>92</v>
      </c>
      <c r="E80" s="9">
        <v>29.91</v>
      </c>
      <c r="F80" s="8" t="s">
        <v>16</v>
      </c>
      <c r="G80" s="143">
        <v>2827</v>
      </c>
      <c r="H80" s="132">
        <f t="shared" si="10"/>
        <v>46240</v>
      </c>
      <c r="I80" s="140">
        <f t="shared" si="10"/>
        <v>166</v>
      </c>
      <c r="J80" s="9">
        <f t="shared" si="11"/>
        <v>5.8719490626105406</v>
      </c>
      <c r="K80" s="140">
        <f t="shared" si="12"/>
        <v>9</v>
      </c>
      <c r="L80" s="206">
        <f t="shared" si="13"/>
        <v>5.4216867469879517</v>
      </c>
      <c r="M80" s="8" t="str">
        <f t="array" ref="M80">IF(L80&gt;5,"Perlu Sensus",IF(AND(L80&gt;=0,I80&gt;0),"Tetap Deteksi","Belum Deteksi"))</f>
        <v>Perlu Sensus</v>
      </c>
      <c r="N80" s="132">
        <f t="array" ref="N80">INDEX('[20]LS (Deteksi) Agustus'!N$7:N$303,MATCH(1,('[20]LS (Deteksi) Agustus'!$D$7:$D$303=$D80)*('[20]LS (Deteksi) Agustus'!$D$7:$D$303=$D80),0))</f>
        <v>46240</v>
      </c>
      <c r="O80" s="203">
        <f t="array" ref="O80">INDEX('[20]LS (Deteksi) Agustus'!O$7:O$303,MATCH(1,('[20]LS (Deteksi) Agustus'!$D$7:$D$303=$D80)*('[20]LS (Deteksi) Agustus'!$D$7:$D$303=$D80),0))</f>
        <v>166</v>
      </c>
      <c r="P80" s="9">
        <f t="array" ref="P80">IFERROR(O80/G80*100,0)</f>
        <v>5.8719490626105406</v>
      </c>
      <c r="Q80" s="203">
        <f t="array" ref="Q80">INDEX('[20]LS (Deteksi) Agustus'!Q$7:Q$303,MATCH(1,('[20]LS (Deteksi) Agustus'!$D$7:$D$303=$D80)*('[20]LS (Deteksi) Agustus'!$D$7:$D$303=$D80),0))</f>
        <v>9</v>
      </c>
      <c r="R80" s="9">
        <f t="shared" si="14"/>
        <v>5.4216867469879517</v>
      </c>
      <c r="S80" s="8" t="str">
        <f t="array" ref="S80">IF(R80&gt;5,"Perlu Sensus",IF(AND(R80&gt;=0,O80&gt;0),"Tetap Deteksi","Belum Deteksi"))</f>
        <v>Perlu Sensus</v>
      </c>
      <c r="T80" s="203">
        <f t="array" ref="T80">INDEX('[20]LS (Deteksi) Agustus'!T$7:T$303,MATCH(1,('[20]LS (Deteksi) Agustus'!$D$7:$D$303=$D80)*('[20]LS (Deteksi) Agustus'!$D$7:$D$303=$D80),0))</f>
        <v>47</v>
      </c>
      <c r="U80" s="9">
        <f t="shared" si="15"/>
        <v>28.313253012048197</v>
      </c>
      <c r="V80" s="132">
        <f t="array" ref="V80">INDEX('[20]LS (Deteksi) Agustus'!V$7:V$303,MATCH(1,('[20]LS (Deteksi) Agustus'!$D$7:$D$303=$D80)*('[20]LS (Deteksi) Agustus'!$D$7:$D$303=$D80),0))</f>
        <v>46241</v>
      </c>
      <c r="W80" s="203">
        <f t="array" ref="W80">INDEX('[20]LS (Deteksi) Agustus'!W$7:W$303,MATCH(1,('[20]LS (Deteksi) Agustus'!$D$7:$D$303=$D80)*('[20]LS (Deteksi) Agustus'!$D$7:$D$303=$D80),0))</f>
        <v>206</v>
      </c>
      <c r="X80" s="203">
        <f t="array" ref="X80">INDEX('[20]LS (Deteksi) Agustus'!X$7:X$303,MATCH(1,('[20]LS (Deteksi) Agustus'!$D$7:$D$303=$D80)*('[20]LS (Deteksi) Agustus'!$D$7:$D$303=$D80),0))</f>
        <v>13</v>
      </c>
      <c r="Y80" s="9">
        <f t="shared" si="16"/>
        <v>6.3106796116504853</v>
      </c>
      <c r="Z80" s="8" t="str">
        <f t="array" ref="Z80">IF(Y80&gt;5,"Perlu Sensus",IF(AND(Y80&gt;0,,O80&gt;0),"Tetap Deteksi","Belum Deteksi"))</f>
        <v>Perlu Sensus</v>
      </c>
      <c r="AA80" s="203">
        <f t="array" ref="AA80">INDEX('[20]LS (Deteksi) Agustus'!AA$7:AA$303,MATCH(1,('[20]LS (Deteksi) Agustus'!$D$7:$D$303=$D80)*('[20]LS (Deteksi) Agustus'!$D$7:$D$303=$D80),0))</f>
        <v>11</v>
      </c>
      <c r="AB80" s="9">
        <f t="shared" si="17"/>
        <v>5.3398058252427179</v>
      </c>
    </row>
    <row r="81" spans="1:28" outlineLevel="1" x14ac:dyDescent="0.15">
      <c r="A81" s="8" t="s">
        <v>13</v>
      </c>
      <c r="B81" s="8" t="s">
        <v>14</v>
      </c>
      <c r="C81" s="8" t="s">
        <v>79</v>
      </c>
      <c r="D81" s="8" t="s">
        <v>93</v>
      </c>
      <c r="E81" s="9">
        <v>25.83</v>
      </c>
      <c r="F81" s="8" t="s">
        <v>16</v>
      </c>
      <c r="G81" s="143">
        <v>2589</v>
      </c>
      <c r="H81" s="132">
        <f t="shared" si="10"/>
        <v>46248</v>
      </c>
      <c r="I81" s="140">
        <f t="shared" si="10"/>
        <v>185</v>
      </c>
      <c r="J81" s="9">
        <f t="shared" si="11"/>
        <v>7.1456160679799154</v>
      </c>
      <c r="K81" s="140">
        <f t="shared" si="12"/>
        <v>12</v>
      </c>
      <c r="L81" s="206">
        <f t="shared" si="13"/>
        <v>6.4864864864864868</v>
      </c>
      <c r="M81" s="8" t="str">
        <f t="array" ref="M81">IF(L81&gt;5,"Perlu Sensus",IF(AND(L81&gt;=0,I81&gt;0),"Tetap Deteksi","Belum Deteksi"))</f>
        <v>Perlu Sensus</v>
      </c>
      <c r="N81" s="132">
        <f t="array" ref="N81">INDEX('[20]LS (Deteksi) Agustus'!N$7:N$303,MATCH(1,('[20]LS (Deteksi) Agustus'!$D$7:$D$303=$D81)*('[20]LS (Deteksi) Agustus'!$D$7:$D$303=$D81),0))</f>
        <v>46248</v>
      </c>
      <c r="O81" s="203">
        <f t="array" ref="O81">INDEX('[20]LS (Deteksi) Agustus'!O$7:O$303,MATCH(1,('[20]LS (Deteksi) Agustus'!$D$7:$D$303=$D81)*('[20]LS (Deteksi) Agustus'!$D$7:$D$303=$D81),0))</f>
        <v>185</v>
      </c>
      <c r="P81" s="9">
        <f t="array" ref="P81">IFERROR(O81/G81*100,0)</f>
        <v>7.1456160679799154</v>
      </c>
      <c r="Q81" s="203">
        <f t="array" ref="Q81">INDEX('[20]LS (Deteksi) Agustus'!Q$7:Q$303,MATCH(1,('[20]LS (Deteksi) Agustus'!$D$7:$D$303=$D81)*('[20]LS (Deteksi) Agustus'!$D$7:$D$303=$D81),0))</f>
        <v>12</v>
      </c>
      <c r="R81" s="9">
        <f t="shared" si="14"/>
        <v>6.4864864864864868</v>
      </c>
      <c r="S81" s="8" t="str">
        <f t="array" ref="S81">IF(R81&gt;5,"Perlu Sensus",IF(AND(R81&gt;=0,O81&gt;0),"Tetap Deteksi","Belum Deteksi"))</f>
        <v>Perlu Sensus</v>
      </c>
      <c r="T81" s="203">
        <f t="array" ref="T81">INDEX('[20]LS (Deteksi) Agustus'!T$7:T$303,MATCH(1,('[20]LS (Deteksi) Agustus'!$D$7:$D$303=$D81)*('[20]LS (Deteksi) Agustus'!$D$7:$D$303=$D81),0))</f>
        <v>20</v>
      </c>
      <c r="U81" s="9">
        <f t="shared" si="15"/>
        <v>10.810810810810811</v>
      </c>
      <c r="V81" s="132">
        <f t="array" ref="V81">INDEX('[20]LS (Deteksi) Agustus'!V$7:V$303,MATCH(1,('[20]LS (Deteksi) Agustus'!$D$7:$D$303=$D81)*('[20]LS (Deteksi) Agustus'!$D$7:$D$303=$D81),0))</f>
        <v>0</v>
      </c>
      <c r="W81" s="203">
        <f t="array" ref="W81">INDEX('[20]LS (Deteksi) Agustus'!W$7:W$303,MATCH(1,('[20]LS (Deteksi) Agustus'!$D$7:$D$303=$D81)*('[20]LS (Deteksi) Agustus'!$D$7:$D$303=$D81),0))</f>
        <v>0</v>
      </c>
      <c r="X81" s="203">
        <f t="array" ref="X81">INDEX('[20]LS (Deteksi) Agustus'!X$7:X$303,MATCH(1,('[20]LS (Deteksi) Agustus'!$D$7:$D$303=$D81)*('[20]LS (Deteksi) Agustus'!$D$7:$D$303=$D81),0))</f>
        <v>0</v>
      </c>
      <c r="Y81" s="9">
        <f t="shared" si="16"/>
        <v>0</v>
      </c>
      <c r="Z81" s="8" t="str">
        <f t="array" ref="Z81">IF(Y81&gt;5,"Perlu Sensus",IF(AND(Y81&gt;0,,O81&gt;0),"Tetap Deteksi","Belum Deteksi"))</f>
        <v>Belum Deteksi</v>
      </c>
      <c r="AA81" s="203">
        <f t="array" ref="AA81">INDEX('[20]LS (Deteksi) Agustus'!AA$7:AA$303,MATCH(1,('[20]LS (Deteksi) Agustus'!$D$7:$D$303=$D81)*('[20]LS (Deteksi) Agustus'!$D$7:$D$303=$D81),0))</f>
        <v>0</v>
      </c>
      <c r="AB81" s="9">
        <f t="shared" si="17"/>
        <v>0</v>
      </c>
    </row>
    <row r="82" spans="1:28" outlineLevel="1" x14ac:dyDescent="0.15">
      <c r="A82" s="8" t="s">
        <v>13</v>
      </c>
      <c r="B82" s="8" t="s">
        <v>14</v>
      </c>
      <c r="C82" s="8" t="s">
        <v>79</v>
      </c>
      <c r="D82" s="8" t="s">
        <v>94</v>
      </c>
      <c r="E82" s="9">
        <v>37.07</v>
      </c>
      <c r="F82" s="8" t="s">
        <v>16</v>
      </c>
      <c r="G82" s="143">
        <v>4925</v>
      </c>
      <c r="H82" s="132">
        <f t="shared" si="10"/>
        <v>46247</v>
      </c>
      <c r="I82" s="140">
        <f t="shared" si="10"/>
        <v>89</v>
      </c>
      <c r="J82" s="9">
        <f t="shared" si="11"/>
        <v>1.8071065989847714</v>
      </c>
      <c r="K82" s="140">
        <f t="shared" si="12"/>
        <v>5</v>
      </c>
      <c r="L82" s="206">
        <f t="shared" si="13"/>
        <v>5.6179775280898872</v>
      </c>
      <c r="M82" s="8" t="str">
        <f t="array" ref="M82">IF(L82&gt;5,"Perlu Sensus",IF(AND(L82&gt;=0,I82&gt;0),"Tetap Deteksi","Belum Deteksi"))</f>
        <v>Perlu Sensus</v>
      </c>
      <c r="N82" s="132">
        <f t="array" ref="N82">INDEX('[20]LS (Deteksi) Agustus'!N$7:N$303,MATCH(1,('[20]LS (Deteksi) Agustus'!$D$7:$D$303=$D82)*('[20]LS (Deteksi) Agustus'!$D$7:$D$303=$D82),0))</f>
        <v>46247</v>
      </c>
      <c r="O82" s="203">
        <f t="array" ref="O82">INDEX('[20]LS (Deteksi) Agustus'!O$7:O$303,MATCH(1,('[20]LS (Deteksi) Agustus'!$D$7:$D$303=$D82)*('[20]LS (Deteksi) Agustus'!$D$7:$D$303=$D82),0))</f>
        <v>89</v>
      </c>
      <c r="P82" s="9">
        <f t="array" ref="P82">IFERROR(O82/G82*100,0)</f>
        <v>1.8071065989847714</v>
      </c>
      <c r="Q82" s="203">
        <f t="array" ref="Q82">INDEX('[20]LS (Deteksi) Agustus'!Q$7:Q$303,MATCH(1,('[20]LS (Deteksi) Agustus'!$D$7:$D$303=$D82)*('[20]LS (Deteksi) Agustus'!$D$7:$D$303=$D82),0))</f>
        <v>5</v>
      </c>
      <c r="R82" s="9">
        <f t="shared" si="14"/>
        <v>5.6179775280898872</v>
      </c>
      <c r="S82" s="8" t="str">
        <f t="array" ref="S82">IF(R82&gt;5,"Perlu Sensus",IF(AND(R82&gt;=0,O82&gt;0),"Tetap Deteksi","Belum Deteksi"))</f>
        <v>Perlu Sensus</v>
      </c>
      <c r="T82" s="203">
        <f t="array" ref="T82">INDEX('[20]LS (Deteksi) Agustus'!T$7:T$303,MATCH(1,('[20]LS (Deteksi) Agustus'!$D$7:$D$303=$D82)*('[20]LS (Deteksi) Agustus'!$D$7:$D$303=$D82),0))</f>
        <v>13</v>
      </c>
      <c r="U82" s="9">
        <f t="shared" si="15"/>
        <v>14.606741573033707</v>
      </c>
      <c r="V82" s="132">
        <f t="array" ref="V82">INDEX('[20]LS (Deteksi) Agustus'!V$7:V$303,MATCH(1,('[20]LS (Deteksi) Agustus'!$D$7:$D$303=$D82)*('[20]LS (Deteksi) Agustus'!$D$7:$D$303=$D82),0))</f>
        <v>46248</v>
      </c>
      <c r="W82" s="203">
        <f t="array" ref="W82">INDEX('[20]LS (Deteksi) Agustus'!W$7:W$303,MATCH(1,('[20]LS (Deteksi) Agustus'!$D$7:$D$303=$D82)*('[20]LS (Deteksi) Agustus'!$D$7:$D$303=$D82),0))</f>
        <v>218</v>
      </c>
      <c r="X82" s="203">
        <f t="array" ref="X82">INDEX('[20]LS (Deteksi) Agustus'!X$7:X$303,MATCH(1,('[20]LS (Deteksi) Agustus'!$D$7:$D$303=$D82)*('[20]LS (Deteksi) Agustus'!$D$7:$D$303=$D82),0))</f>
        <v>12</v>
      </c>
      <c r="Y82" s="9">
        <f t="shared" si="16"/>
        <v>5.5045871559633035</v>
      </c>
      <c r="Z82" s="8" t="str">
        <f t="array" ref="Z82">IF(Y82&gt;5,"Perlu Sensus",IF(AND(Y82&gt;0,,O82&gt;0),"Tetap Deteksi","Belum Deteksi"))</f>
        <v>Perlu Sensus</v>
      </c>
      <c r="AA82" s="203">
        <f t="array" ref="AA82">INDEX('[20]LS (Deteksi) Agustus'!AA$7:AA$303,MATCH(1,('[20]LS (Deteksi) Agustus'!$D$7:$D$303=$D82)*('[20]LS (Deteksi) Agustus'!$D$7:$D$303=$D82),0))</f>
        <v>15</v>
      </c>
      <c r="AB82" s="9">
        <f t="shared" si="17"/>
        <v>6.8807339449541285</v>
      </c>
    </row>
    <row r="83" spans="1:28" outlineLevel="1" x14ac:dyDescent="0.15">
      <c r="A83" s="8" t="s">
        <v>13</v>
      </c>
      <c r="B83" s="8" t="s">
        <v>14</v>
      </c>
      <c r="C83" s="8" t="s">
        <v>79</v>
      </c>
      <c r="D83" s="8" t="s">
        <v>95</v>
      </c>
      <c r="E83" s="9">
        <v>25.55</v>
      </c>
      <c r="F83" s="8" t="s">
        <v>16</v>
      </c>
      <c r="G83" s="143">
        <v>3476</v>
      </c>
      <c r="H83" s="132">
        <f t="shared" si="10"/>
        <v>46247</v>
      </c>
      <c r="I83" s="140">
        <f t="shared" si="10"/>
        <v>132</v>
      </c>
      <c r="J83" s="9">
        <f t="shared" si="11"/>
        <v>3.79746835443038</v>
      </c>
      <c r="K83" s="140">
        <f t="shared" si="12"/>
        <v>7</v>
      </c>
      <c r="L83" s="206">
        <f t="shared" si="13"/>
        <v>5.3030303030303028</v>
      </c>
      <c r="M83" s="8" t="str">
        <f t="array" ref="M83">IF(L83&gt;5,"Perlu Sensus",IF(AND(L83&gt;=0,I83&gt;0),"Tetap Deteksi","Belum Deteksi"))</f>
        <v>Perlu Sensus</v>
      </c>
      <c r="N83" s="132">
        <f t="array" ref="N83">INDEX('[20]LS (Deteksi) Agustus'!N$7:N$303,MATCH(1,('[20]LS (Deteksi) Agustus'!$D$7:$D$303=$D83)*('[20]LS (Deteksi) Agustus'!$D$7:$D$303=$D83),0))</f>
        <v>46247</v>
      </c>
      <c r="O83" s="203">
        <f t="array" ref="O83">INDEX('[20]LS (Deteksi) Agustus'!O$7:O$303,MATCH(1,('[20]LS (Deteksi) Agustus'!$D$7:$D$303=$D83)*('[20]LS (Deteksi) Agustus'!$D$7:$D$303=$D83),0))</f>
        <v>132</v>
      </c>
      <c r="P83" s="9">
        <f t="array" ref="P83">IFERROR(O83/G83*100,0)</f>
        <v>3.79746835443038</v>
      </c>
      <c r="Q83" s="203">
        <f t="array" ref="Q83">INDEX('[20]LS (Deteksi) Agustus'!Q$7:Q$303,MATCH(1,('[20]LS (Deteksi) Agustus'!$D$7:$D$303=$D83)*('[20]LS (Deteksi) Agustus'!$D$7:$D$303=$D83),0))</f>
        <v>7</v>
      </c>
      <c r="R83" s="9">
        <f t="shared" si="14"/>
        <v>5.3030303030303028</v>
      </c>
      <c r="S83" s="8" t="str">
        <f t="array" ref="S83">IF(R83&gt;5,"Perlu Sensus",IF(AND(R83&gt;=0,O83&gt;0),"Tetap Deteksi","Belum Deteksi"))</f>
        <v>Perlu Sensus</v>
      </c>
      <c r="T83" s="203">
        <f t="array" ref="T83">INDEX('[20]LS (Deteksi) Agustus'!T$7:T$303,MATCH(1,('[20]LS (Deteksi) Agustus'!$D$7:$D$303=$D83)*('[20]LS (Deteksi) Agustus'!$D$7:$D$303=$D83),0))</f>
        <v>29</v>
      </c>
      <c r="U83" s="9">
        <f t="shared" si="15"/>
        <v>21.969696969696969</v>
      </c>
      <c r="V83" s="132">
        <f t="array" ref="V83">INDEX('[20]LS (Deteksi) Agustus'!V$7:V$303,MATCH(1,('[20]LS (Deteksi) Agustus'!$D$7:$D$303=$D83)*('[20]LS (Deteksi) Agustus'!$D$7:$D$303=$D83),0))</f>
        <v>46248</v>
      </c>
      <c r="W83" s="203">
        <f t="array" ref="W83">INDEX('[20]LS (Deteksi) Agustus'!W$7:W$303,MATCH(1,('[20]LS (Deteksi) Agustus'!$D$7:$D$303=$D83)*('[20]LS (Deteksi) Agustus'!$D$7:$D$303=$D83),0))</f>
        <v>276</v>
      </c>
      <c r="X83" s="203">
        <f t="array" ref="X83">INDEX('[20]LS (Deteksi) Agustus'!X$7:X$303,MATCH(1,('[20]LS (Deteksi) Agustus'!$D$7:$D$303=$D83)*('[20]LS (Deteksi) Agustus'!$D$7:$D$303=$D83),0))</f>
        <v>16</v>
      </c>
      <c r="Y83" s="9">
        <f t="shared" si="16"/>
        <v>5.7971014492753623</v>
      </c>
      <c r="Z83" s="8" t="str">
        <f t="array" ref="Z83">IF(Y83&gt;5,"Perlu Sensus",IF(AND(Y83&gt;0,,O83&gt;0),"Tetap Deteksi","Belum Deteksi"))</f>
        <v>Perlu Sensus</v>
      </c>
      <c r="AA83" s="203">
        <f t="array" ref="AA83">INDEX('[20]LS (Deteksi) Agustus'!AA$7:AA$303,MATCH(1,('[20]LS (Deteksi) Agustus'!$D$7:$D$303=$D83)*('[20]LS (Deteksi) Agustus'!$D$7:$D$303=$D83),0))</f>
        <v>21</v>
      </c>
      <c r="AB83" s="9">
        <f t="shared" si="17"/>
        <v>7.608695652173914</v>
      </c>
    </row>
    <row r="84" spans="1:28" outlineLevel="1" x14ac:dyDescent="0.15">
      <c r="A84" s="8" t="s">
        <v>13</v>
      </c>
      <c r="B84" s="8" t="s">
        <v>14</v>
      </c>
      <c r="C84" s="8" t="s">
        <v>79</v>
      </c>
      <c r="D84" s="8" t="s">
        <v>96</v>
      </c>
      <c r="E84" s="9">
        <v>23.38</v>
      </c>
      <c r="F84" s="8" t="s">
        <v>16</v>
      </c>
      <c r="G84" s="143">
        <v>3073</v>
      </c>
      <c r="H84" s="132">
        <f t="shared" si="10"/>
        <v>46239</v>
      </c>
      <c r="I84" s="140">
        <f t="shared" si="10"/>
        <v>227</v>
      </c>
      <c r="J84" s="9">
        <f t="shared" si="11"/>
        <v>7.3869183208590954</v>
      </c>
      <c r="K84" s="140">
        <f t="shared" si="12"/>
        <v>13</v>
      </c>
      <c r="L84" s="206">
        <f t="shared" si="13"/>
        <v>5.7268722466960353</v>
      </c>
      <c r="M84" s="8" t="str">
        <f t="array" ref="M84">IF(L84&gt;5,"Perlu Sensus",IF(AND(L84&gt;=0,I84&gt;0),"Tetap Deteksi","Belum Deteksi"))</f>
        <v>Perlu Sensus</v>
      </c>
      <c r="N84" s="132">
        <f t="array" ref="N84">INDEX('[20]LS (Deteksi) Agustus'!N$7:N$303,MATCH(1,('[20]LS (Deteksi) Agustus'!$D$7:$D$303=$D84)*('[20]LS (Deteksi) Agustus'!$D$7:$D$303=$D84),0))</f>
        <v>46239</v>
      </c>
      <c r="O84" s="203">
        <f t="array" ref="O84">INDEX('[20]LS (Deteksi) Agustus'!O$7:O$303,MATCH(1,('[20]LS (Deteksi) Agustus'!$D$7:$D$303=$D84)*('[20]LS (Deteksi) Agustus'!$D$7:$D$303=$D84),0))</f>
        <v>227</v>
      </c>
      <c r="P84" s="9">
        <f t="array" ref="P84">IFERROR(O84/G84*100,0)</f>
        <v>7.3869183208590954</v>
      </c>
      <c r="Q84" s="203">
        <f t="array" ref="Q84">INDEX('[20]LS (Deteksi) Agustus'!Q$7:Q$303,MATCH(1,('[20]LS (Deteksi) Agustus'!$D$7:$D$303=$D84)*('[20]LS (Deteksi) Agustus'!$D$7:$D$303=$D84),0))</f>
        <v>13</v>
      </c>
      <c r="R84" s="9">
        <f t="shared" si="14"/>
        <v>5.7268722466960353</v>
      </c>
      <c r="S84" s="8" t="str">
        <f t="array" ref="S84">IF(R84&gt;5,"Perlu Sensus",IF(AND(R84&gt;=0,O84&gt;0),"Tetap Deteksi","Belum Deteksi"))</f>
        <v>Perlu Sensus</v>
      </c>
      <c r="T84" s="203">
        <f t="array" ref="T84">INDEX('[20]LS (Deteksi) Agustus'!T$7:T$303,MATCH(1,('[20]LS (Deteksi) Agustus'!$D$7:$D$303=$D84)*('[20]LS (Deteksi) Agustus'!$D$7:$D$303=$D84),0))</f>
        <v>60</v>
      </c>
      <c r="U84" s="9">
        <f t="shared" si="15"/>
        <v>26.431718061674008</v>
      </c>
      <c r="V84" s="132">
        <f t="array" ref="V84">INDEX('[20]LS (Deteksi) Agustus'!V$7:V$303,MATCH(1,('[20]LS (Deteksi) Agustus'!$D$7:$D$303=$D84)*('[20]LS (Deteksi) Agustus'!$D$7:$D$303=$D84),0))</f>
        <v>46240</v>
      </c>
      <c r="W84" s="203">
        <f t="array" ref="W84">INDEX('[20]LS (Deteksi) Agustus'!W$7:W$303,MATCH(1,('[20]LS (Deteksi) Agustus'!$D$7:$D$303=$D84)*('[20]LS (Deteksi) Agustus'!$D$7:$D$303=$D84),0))</f>
        <v>169</v>
      </c>
      <c r="X84" s="203">
        <f t="array" ref="X84">INDEX('[20]LS (Deteksi) Agustus'!X$7:X$303,MATCH(1,('[20]LS (Deteksi) Agustus'!$D$7:$D$303=$D84)*('[20]LS (Deteksi) Agustus'!$D$7:$D$303=$D84),0))</f>
        <v>10</v>
      </c>
      <c r="Y84" s="9">
        <f t="shared" si="16"/>
        <v>5.9171597633136095</v>
      </c>
      <c r="Z84" s="8" t="str">
        <f t="array" ref="Z84">IF(Y84&gt;5,"Perlu Sensus",IF(AND(Y84&gt;0,,O84&gt;0),"Tetap Deteksi","Belum Deteksi"))</f>
        <v>Perlu Sensus</v>
      </c>
      <c r="AA84" s="203">
        <f t="array" ref="AA84">INDEX('[20]LS (Deteksi) Agustus'!AA$7:AA$303,MATCH(1,('[20]LS (Deteksi) Agustus'!$D$7:$D$303=$D84)*('[20]LS (Deteksi) Agustus'!$D$7:$D$303=$D84),0))</f>
        <v>7</v>
      </c>
      <c r="AB84" s="9">
        <f t="shared" si="17"/>
        <v>4.1420118343195274</v>
      </c>
    </row>
    <row r="85" spans="1:28" outlineLevel="1" x14ac:dyDescent="0.15">
      <c r="A85" s="8" t="s">
        <v>13</v>
      </c>
      <c r="B85" s="8" t="s">
        <v>14</v>
      </c>
      <c r="C85" s="8" t="s">
        <v>79</v>
      </c>
      <c r="D85" s="8" t="s">
        <v>97</v>
      </c>
      <c r="E85" s="9">
        <v>27.28</v>
      </c>
      <c r="F85" s="8" t="s">
        <v>16</v>
      </c>
      <c r="G85" s="143">
        <v>3842</v>
      </c>
      <c r="H85" s="132">
        <f t="shared" si="10"/>
        <v>46239</v>
      </c>
      <c r="I85" s="140">
        <f t="shared" si="10"/>
        <v>108</v>
      </c>
      <c r="J85" s="9">
        <f t="shared" si="11"/>
        <v>2.8110359187922955</v>
      </c>
      <c r="K85" s="140">
        <f t="shared" si="12"/>
        <v>6</v>
      </c>
      <c r="L85" s="206">
        <f t="shared" si="13"/>
        <v>5.5555555555555554</v>
      </c>
      <c r="M85" s="8" t="str">
        <f t="array" ref="M85">IF(L85&gt;5,"Perlu Sensus",IF(AND(L85&gt;=0,I85&gt;0),"Tetap Deteksi","Belum Deteksi"))</f>
        <v>Perlu Sensus</v>
      </c>
      <c r="N85" s="132">
        <f t="array" ref="N85">INDEX('[20]LS (Deteksi) Agustus'!N$7:N$303,MATCH(1,('[20]LS (Deteksi) Agustus'!$D$7:$D$303=$D85)*('[20]LS (Deteksi) Agustus'!$D$7:$D$303=$D85),0))</f>
        <v>46239</v>
      </c>
      <c r="O85" s="203">
        <f t="array" ref="O85">INDEX('[20]LS (Deteksi) Agustus'!O$7:O$303,MATCH(1,('[20]LS (Deteksi) Agustus'!$D$7:$D$303=$D85)*('[20]LS (Deteksi) Agustus'!$D$7:$D$303=$D85),0))</f>
        <v>108</v>
      </c>
      <c r="P85" s="9">
        <f t="array" ref="P85">IFERROR(O85/G85*100,0)</f>
        <v>2.8110359187922955</v>
      </c>
      <c r="Q85" s="203">
        <f t="array" ref="Q85">INDEX('[20]LS (Deteksi) Agustus'!Q$7:Q$303,MATCH(1,('[20]LS (Deteksi) Agustus'!$D$7:$D$303=$D85)*('[20]LS (Deteksi) Agustus'!$D$7:$D$303=$D85),0))</f>
        <v>6</v>
      </c>
      <c r="R85" s="9">
        <f t="shared" si="14"/>
        <v>5.5555555555555554</v>
      </c>
      <c r="S85" s="8" t="str">
        <f t="array" ref="S85">IF(R85&gt;5,"Perlu Sensus",IF(AND(R85&gt;=0,O85&gt;0),"Tetap Deteksi","Belum Deteksi"))</f>
        <v>Perlu Sensus</v>
      </c>
      <c r="T85" s="203">
        <f t="array" ref="T85">INDEX('[20]LS (Deteksi) Agustus'!T$7:T$303,MATCH(1,('[20]LS (Deteksi) Agustus'!$D$7:$D$303=$D85)*('[20]LS (Deteksi) Agustus'!$D$7:$D$303=$D85),0))</f>
        <v>12</v>
      </c>
      <c r="U85" s="9">
        <f t="shared" si="15"/>
        <v>11.111111111111111</v>
      </c>
      <c r="V85" s="132">
        <f t="array" ref="V85">INDEX('[20]LS (Deteksi) Agustus'!V$7:V$303,MATCH(1,('[20]LS (Deteksi) Agustus'!$D$7:$D$303=$D85)*('[20]LS (Deteksi) Agustus'!$D$7:$D$303=$D85),0))</f>
        <v>46240</v>
      </c>
      <c r="W85" s="203">
        <f t="array" ref="W85">INDEX('[20]LS (Deteksi) Agustus'!W$7:W$303,MATCH(1,('[20]LS (Deteksi) Agustus'!$D$7:$D$303=$D85)*('[20]LS (Deteksi) Agustus'!$D$7:$D$303=$D85),0))</f>
        <v>270</v>
      </c>
      <c r="X85" s="203">
        <f t="array" ref="X85">INDEX('[20]LS (Deteksi) Agustus'!X$7:X$303,MATCH(1,('[20]LS (Deteksi) Agustus'!$D$7:$D$303=$D85)*('[20]LS (Deteksi) Agustus'!$D$7:$D$303=$D85),0))</f>
        <v>15</v>
      </c>
      <c r="Y85" s="9">
        <f t="shared" si="16"/>
        <v>5.5555555555555554</v>
      </c>
      <c r="Z85" s="8" t="str">
        <f t="array" ref="Z85">IF(Y85&gt;5,"Perlu Sensus",IF(AND(Y85&gt;0,,O85&gt;0),"Tetap Deteksi","Belum Deteksi"))</f>
        <v>Perlu Sensus</v>
      </c>
      <c r="AA85" s="203">
        <f t="array" ref="AA85">INDEX('[20]LS (Deteksi) Agustus'!AA$7:AA$303,MATCH(1,('[20]LS (Deteksi) Agustus'!$D$7:$D$303=$D85)*('[20]LS (Deteksi) Agustus'!$D$7:$D$303=$D85),0))</f>
        <v>9</v>
      </c>
      <c r="AB85" s="9">
        <f t="shared" si="17"/>
        <v>3.3333333333333335</v>
      </c>
    </row>
    <row r="86" spans="1:28" outlineLevel="1" x14ac:dyDescent="0.15">
      <c r="A86" s="8" t="s">
        <v>13</v>
      </c>
      <c r="B86" s="8" t="s">
        <v>14</v>
      </c>
      <c r="C86" s="8" t="s">
        <v>79</v>
      </c>
      <c r="D86" s="8" t="s">
        <v>98</v>
      </c>
      <c r="E86" s="9">
        <v>38.97</v>
      </c>
      <c r="F86" s="8" t="s">
        <v>16</v>
      </c>
      <c r="G86" s="143">
        <v>5794</v>
      </c>
      <c r="H86" s="132">
        <f t="shared" ref="H86:I149" si="18">IF(N86&gt;0,N86,V86)</f>
        <v>46248</v>
      </c>
      <c r="I86" s="140">
        <f t="shared" si="18"/>
        <v>126</v>
      </c>
      <c r="J86" s="9">
        <f t="shared" si="11"/>
        <v>2.1746634449430444</v>
      </c>
      <c r="K86" s="140">
        <f t="shared" si="12"/>
        <v>8</v>
      </c>
      <c r="L86" s="206">
        <f t="shared" si="13"/>
        <v>6.3492063492063489</v>
      </c>
      <c r="M86" s="8" t="str">
        <f t="array" ref="M86">IF(L86&gt;5,"Perlu Sensus",IF(AND(L86&gt;=0,I86&gt;0),"Tetap Deteksi","Belum Deteksi"))</f>
        <v>Perlu Sensus</v>
      </c>
      <c r="N86" s="132">
        <f t="array" ref="N86">INDEX('[20]LS (Deteksi) Agustus'!N$7:N$303,MATCH(1,('[20]LS (Deteksi) Agustus'!$D$7:$D$303=$D86)*('[20]LS (Deteksi) Agustus'!$D$7:$D$303=$D86),0))</f>
        <v>46248</v>
      </c>
      <c r="O86" s="203">
        <f t="array" ref="O86">INDEX('[20]LS (Deteksi) Agustus'!O$7:O$303,MATCH(1,('[20]LS (Deteksi) Agustus'!$D$7:$D$303=$D86)*('[20]LS (Deteksi) Agustus'!$D$7:$D$303=$D86),0))</f>
        <v>126</v>
      </c>
      <c r="P86" s="9">
        <f t="array" ref="P86">IFERROR(O86/G86*100,0)</f>
        <v>2.1746634449430444</v>
      </c>
      <c r="Q86" s="203">
        <f t="array" ref="Q86">INDEX('[20]LS (Deteksi) Agustus'!Q$7:Q$303,MATCH(1,('[20]LS (Deteksi) Agustus'!$D$7:$D$303=$D86)*('[20]LS (Deteksi) Agustus'!$D$7:$D$303=$D86),0))</f>
        <v>8</v>
      </c>
      <c r="R86" s="9">
        <f t="shared" si="14"/>
        <v>6.3492063492063489</v>
      </c>
      <c r="S86" s="8" t="str">
        <f t="array" ref="S86">IF(R86&gt;5,"Perlu Sensus",IF(AND(R86&gt;=0,O86&gt;0),"Tetap Deteksi","Belum Deteksi"))</f>
        <v>Perlu Sensus</v>
      </c>
      <c r="T86" s="203">
        <f t="array" ref="T86">INDEX('[20]LS (Deteksi) Agustus'!T$7:T$303,MATCH(1,('[20]LS (Deteksi) Agustus'!$D$7:$D$303=$D86)*('[20]LS (Deteksi) Agustus'!$D$7:$D$303=$D86),0))</f>
        <v>11</v>
      </c>
      <c r="U86" s="9">
        <f t="shared" si="15"/>
        <v>8.7301587301587293</v>
      </c>
      <c r="V86" s="132">
        <f t="array" ref="V86">INDEX('[20]LS (Deteksi) Agustus'!V$7:V$303,MATCH(1,('[20]LS (Deteksi) Agustus'!$D$7:$D$303=$D86)*('[20]LS (Deteksi) Agustus'!$D$7:$D$303=$D86),0))</f>
        <v>0</v>
      </c>
      <c r="W86" s="203">
        <f t="array" ref="W86">INDEX('[20]LS (Deteksi) Agustus'!W$7:W$303,MATCH(1,('[20]LS (Deteksi) Agustus'!$D$7:$D$303=$D86)*('[20]LS (Deteksi) Agustus'!$D$7:$D$303=$D86),0))</f>
        <v>0</v>
      </c>
      <c r="X86" s="203">
        <f t="array" ref="X86">INDEX('[20]LS (Deteksi) Agustus'!X$7:X$303,MATCH(1,('[20]LS (Deteksi) Agustus'!$D$7:$D$303=$D86)*('[20]LS (Deteksi) Agustus'!$D$7:$D$303=$D86),0))</f>
        <v>0</v>
      </c>
      <c r="Y86" s="9">
        <f t="shared" si="16"/>
        <v>0</v>
      </c>
      <c r="Z86" s="8" t="str">
        <f t="array" ref="Z86">IF(Y86&gt;5,"Perlu Sensus",IF(AND(Y86&gt;0,,O86&gt;0),"Tetap Deteksi","Belum Deteksi"))</f>
        <v>Belum Deteksi</v>
      </c>
      <c r="AA86" s="203">
        <f t="array" ref="AA86">INDEX('[20]LS (Deteksi) Agustus'!AA$7:AA$303,MATCH(1,('[20]LS (Deteksi) Agustus'!$D$7:$D$303=$D86)*('[20]LS (Deteksi) Agustus'!$D$7:$D$303=$D86),0))</f>
        <v>0</v>
      </c>
      <c r="AB86" s="9">
        <f t="shared" si="17"/>
        <v>0</v>
      </c>
    </row>
    <row r="87" spans="1:28" outlineLevel="1" x14ac:dyDescent="0.15">
      <c r="A87" s="8" t="s">
        <v>13</v>
      </c>
      <c r="B87" s="8" t="s">
        <v>14</v>
      </c>
      <c r="C87" s="8" t="s">
        <v>79</v>
      </c>
      <c r="D87" s="8" t="s">
        <v>99</v>
      </c>
      <c r="E87" s="9">
        <v>42.77</v>
      </c>
      <c r="F87" s="8" t="s">
        <v>16</v>
      </c>
      <c r="G87" s="143">
        <v>5714</v>
      </c>
      <c r="H87" s="132">
        <f t="shared" si="18"/>
        <v>46246</v>
      </c>
      <c r="I87" s="140">
        <f t="shared" si="18"/>
        <v>211</v>
      </c>
      <c r="J87" s="9">
        <f t="shared" si="11"/>
        <v>3.6926846342317119</v>
      </c>
      <c r="K87" s="140">
        <f t="shared" si="12"/>
        <v>9</v>
      </c>
      <c r="L87" s="206">
        <f t="shared" si="13"/>
        <v>4.2654028436018958</v>
      </c>
      <c r="M87" s="8" t="str">
        <f t="array" ref="M87">IF(L87&gt;5,"Perlu Sensus",IF(AND(L87&gt;=0,I87&gt;0),"Tetap Deteksi","Belum Deteksi"))</f>
        <v>Tetap Deteksi</v>
      </c>
      <c r="N87" s="132">
        <f t="array" ref="N87">INDEX('[20]LS (Deteksi) Agustus'!N$7:N$303,MATCH(1,('[20]LS (Deteksi) Agustus'!$D$7:$D$303=$D87)*('[20]LS (Deteksi) Agustus'!$D$7:$D$303=$D87),0))</f>
        <v>46246</v>
      </c>
      <c r="O87" s="203">
        <f t="array" ref="O87">INDEX('[20]LS (Deteksi) Agustus'!O$7:O$303,MATCH(1,('[20]LS (Deteksi) Agustus'!$D$7:$D$303=$D87)*('[20]LS (Deteksi) Agustus'!$D$7:$D$303=$D87),0))</f>
        <v>211</v>
      </c>
      <c r="P87" s="9">
        <f t="array" ref="P87">IFERROR(O87/G87*100,0)</f>
        <v>3.6926846342317119</v>
      </c>
      <c r="Q87" s="203">
        <f t="array" ref="Q87">INDEX('[20]LS (Deteksi) Agustus'!Q$7:Q$303,MATCH(1,('[20]LS (Deteksi) Agustus'!$D$7:$D$303=$D87)*('[20]LS (Deteksi) Agustus'!$D$7:$D$303=$D87),0))</f>
        <v>9</v>
      </c>
      <c r="R87" s="9">
        <f t="shared" si="14"/>
        <v>4.2654028436018958</v>
      </c>
      <c r="S87" s="8" t="str">
        <f t="array" ref="S87">IF(R87&gt;5,"Perlu Sensus",IF(AND(R87&gt;=0,O87&gt;0),"Tetap Deteksi","Belum Deteksi"))</f>
        <v>Tetap Deteksi</v>
      </c>
      <c r="T87" s="203">
        <f t="array" ref="T87">INDEX('[20]LS (Deteksi) Agustus'!T$7:T$303,MATCH(1,('[20]LS (Deteksi) Agustus'!$D$7:$D$303=$D87)*('[20]LS (Deteksi) Agustus'!$D$7:$D$303=$D87),0))</f>
        <v>15</v>
      </c>
      <c r="U87" s="9">
        <f t="shared" si="15"/>
        <v>7.109004739336493</v>
      </c>
      <c r="V87" s="132">
        <f t="array" ref="V87">INDEX('[20]LS (Deteksi) Agustus'!V$7:V$303,MATCH(1,('[20]LS (Deteksi) Agustus'!$D$7:$D$303=$D87)*('[20]LS (Deteksi) Agustus'!$D$7:$D$303=$D87),0))</f>
        <v>46247</v>
      </c>
      <c r="W87" s="203">
        <f t="array" ref="W87">INDEX('[20]LS (Deteksi) Agustus'!W$7:W$303,MATCH(1,('[20]LS (Deteksi) Agustus'!$D$7:$D$303=$D87)*('[20]LS (Deteksi) Agustus'!$D$7:$D$303=$D87),0))</f>
        <v>87</v>
      </c>
      <c r="X87" s="203">
        <f t="array" ref="X87">INDEX('[20]LS (Deteksi) Agustus'!X$7:X$303,MATCH(1,('[20]LS (Deteksi) Agustus'!$D$7:$D$303=$D87)*('[20]LS (Deteksi) Agustus'!$D$7:$D$303=$D87),0))</f>
        <v>3</v>
      </c>
      <c r="Y87" s="9">
        <f t="shared" si="16"/>
        <v>3.4482758620689653</v>
      </c>
      <c r="Z87" s="8" t="str">
        <f t="array" ref="Z87">IF(Y87&gt;5,"Perlu Sensus",IF(AND(Y87&gt;0,,O87&gt;0),"Tetap Deteksi","Belum Deteksi"))</f>
        <v>Belum Deteksi</v>
      </c>
      <c r="AA87" s="203">
        <f t="array" ref="AA87">INDEX('[20]LS (Deteksi) Agustus'!AA$7:AA$303,MATCH(1,('[20]LS (Deteksi) Agustus'!$D$7:$D$303=$D87)*('[20]LS (Deteksi) Agustus'!$D$7:$D$303=$D87),0))</f>
        <v>12</v>
      </c>
      <c r="AB87" s="9">
        <f t="shared" si="17"/>
        <v>13.793103448275861</v>
      </c>
    </row>
    <row r="88" spans="1:28" outlineLevel="1" x14ac:dyDescent="0.15">
      <c r="A88" s="8" t="s">
        <v>13</v>
      </c>
      <c r="B88" s="8" t="s">
        <v>14</v>
      </c>
      <c r="C88" s="8" t="s">
        <v>79</v>
      </c>
      <c r="D88" s="8" t="s">
        <v>100</v>
      </c>
      <c r="E88" s="9">
        <v>46.32</v>
      </c>
      <c r="F88" s="8" t="s">
        <v>16</v>
      </c>
      <c r="G88" s="143">
        <v>5027</v>
      </c>
      <c r="H88" s="132">
        <f t="shared" si="18"/>
        <v>46245</v>
      </c>
      <c r="I88" s="140">
        <f t="shared" si="18"/>
        <v>113</v>
      </c>
      <c r="J88" s="9">
        <f t="shared" si="11"/>
        <v>2.2478615476427293</v>
      </c>
      <c r="K88" s="140">
        <f t="shared" si="12"/>
        <v>6</v>
      </c>
      <c r="L88" s="206">
        <f t="shared" si="13"/>
        <v>5.3097345132743365</v>
      </c>
      <c r="M88" s="8" t="str">
        <f t="array" ref="M88">IF(L88&gt;5,"Perlu Sensus",IF(AND(L88&gt;=0,I88&gt;0),"Tetap Deteksi","Belum Deteksi"))</f>
        <v>Perlu Sensus</v>
      </c>
      <c r="N88" s="132">
        <f t="array" ref="N88">INDEX('[20]LS (Deteksi) Agustus'!N$7:N$303,MATCH(1,('[20]LS (Deteksi) Agustus'!$D$7:$D$303=$D88)*('[20]LS (Deteksi) Agustus'!$D$7:$D$303=$D88),0))</f>
        <v>46245</v>
      </c>
      <c r="O88" s="203">
        <f t="array" ref="O88">INDEX('[20]LS (Deteksi) Agustus'!O$7:O$303,MATCH(1,('[20]LS (Deteksi) Agustus'!$D$7:$D$303=$D88)*('[20]LS (Deteksi) Agustus'!$D$7:$D$303=$D88),0))</f>
        <v>113</v>
      </c>
      <c r="P88" s="9">
        <f t="array" ref="P88">IFERROR(O88/G88*100,0)</f>
        <v>2.2478615476427293</v>
      </c>
      <c r="Q88" s="203">
        <f t="array" ref="Q88">INDEX('[20]LS (Deteksi) Agustus'!Q$7:Q$303,MATCH(1,('[20]LS (Deteksi) Agustus'!$D$7:$D$303=$D88)*('[20]LS (Deteksi) Agustus'!$D$7:$D$303=$D88),0))</f>
        <v>6</v>
      </c>
      <c r="R88" s="9">
        <f t="shared" si="14"/>
        <v>5.3097345132743365</v>
      </c>
      <c r="S88" s="8" t="str">
        <f t="array" ref="S88">IF(R88&gt;5,"Perlu Sensus",IF(AND(R88&gt;=0,O88&gt;0),"Tetap Deteksi","Belum Deteksi"))</f>
        <v>Perlu Sensus</v>
      </c>
      <c r="T88" s="203">
        <f t="array" ref="T88">INDEX('[20]LS (Deteksi) Agustus'!T$7:T$303,MATCH(1,('[20]LS (Deteksi) Agustus'!$D$7:$D$303=$D88)*('[20]LS (Deteksi) Agustus'!$D$7:$D$303=$D88),0))</f>
        <v>11</v>
      </c>
      <c r="U88" s="9">
        <f t="shared" si="15"/>
        <v>9.7345132743362832</v>
      </c>
      <c r="V88" s="132">
        <f t="array" ref="V88">INDEX('[20]LS (Deteksi) Agustus'!V$7:V$303,MATCH(1,('[20]LS (Deteksi) Agustus'!$D$7:$D$303=$D88)*('[20]LS (Deteksi) Agustus'!$D$7:$D$303=$D88),0))</f>
        <v>46246</v>
      </c>
      <c r="W88" s="203">
        <f t="array" ref="W88">INDEX('[20]LS (Deteksi) Agustus'!W$7:W$303,MATCH(1,('[20]LS (Deteksi) Agustus'!$D$7:$D$303=$D88)*('[20]LS (Deteksi) Agustus'!$D$7:$D$303=$D88),0))</f>
        <v>120</v>
      </c>
      <c r="X88" s="203">
        <f t="array" ref="X88">INDEX('[20]LS (Deteksi) Agustus'!X$7:X$303,MATCH(1,('[20]LS (Deteksi) Agustus'!$D$7:$D$303=$D88)*('[20]LS (Deteksi) Agustus'!$D$7:$D$303=$D88),0))</f>
        <v>4</v>
      </c>
      <c r="Y88" s="9">
        <f t="shared" si="16"/>
        <v>3.3333333333333335</v>
      </c>
      <c r="Z88" s="8" t="str">
        <f t="array" ref="Z88">IF(Y88&gt;5,"Perlu Sensus",IF(AND(Y88&gt;0,,O88&gt;0),"Tetap Deteksi","Belum Deteksi"))</f>
        <v>Belum Deteksi</v>
      </c>
      <c r="AA88" s="203">
        <f t="array" ref="AA88">INDEX('[20]LS (Deteksi) Agustus'!AA$7:AA$303,MATCH(1,('[20]LS (Deteksi) Agustus'!$D$7:$D$303=$D88)*('[20]LS (Deteksi) Agustus'!$D$7:$D$303=$D88),0))</f>
        <v>8</v>
      </c>
      <c r="AB88" s="9">
        <f t="shared" si="17"/>
        <v>6.666666666666667</v>
      </c>
    </row>
    <row r="89" spans="1:28" outlineLevel="1" x14ac:dyDescent="0.15">
      <c r="A89" s="8" t="s">
        <v>13</v>
      </c>
      <c r="B89" s="8" t="s">
        <v>14</v>
      </c>
      <c r="C89" s="8" t="s">
        <v>79</v>
      </c>
      <c r="D89" s="8" t="s">
        <v>101</v>
      </c>
      <c r="E89" s="9">
        <v>43.4</v>
      </c>
      <c r="F89" s="8" t="s">
        <v>16</v>
      </c>
      <c r="G89" s="143">
        <v>5621</v>
      </c>
      <c r="H89" s="132">
        <f t="shared" si="18"/>
        <v>46237</v>
      </c>
      <c r="I89" s="140">
        <f t="shared" si="18"/>
        <v>114</v>
      </c>
      <c r="J89" s="9">
        <f t="shared" si="11"/>
        <v>2.028108877423946</v>
      </c>
      <c r="K89" s="140">
        <f t="shared" si="12"/>
        <v>7</v>
      </c>
      <c r="L89" s="206">
        <f t="shared" si="13"/>
        <v>6.140350877192982</v>
      </c>
      <c r="M89" s="8" t="str">
        <f t="array" ref="M89">IF(L89&gt;5,"Perlu Sensus",IF(AND(L89&gt;=0,I89&gt;0),"Tetap Deteksi","Belum Deteksi"))</f>
        <v>Perlu Sensus</v>
      </c>
      <c r="N89" s="132">
        <f t="array" ref="N89">INDEX('[20]LS (Deteksi) Agustus'!N$7:N$303,MATCH(1,('[20]LS (Deteksi) Agustus'!$D$7:$D$303=$D89)*('[20]LS (Deteksi) Agustus'!$D$7:$D$303=$D89),0))</f>
        <v>46237</v>
      </c>
      <c r="O89" s="203">
        <f t="array" ref="O89">INDEX('[20]LS (Deteksi) Agustus'!O$7:O$303,MATCH(1,('[20]LS (Deteksi) Agustus'!$D$7:$D$303=$D89)*('[20]LS (Deteksi) Agustus'!$D$7:$D$303=$D89),0))</f>
        <v>114</v>
      </c>
      <c r="P89" s="9">
        <f t="array" ref="P89">IFERROR(O89/G89*100,0)</f>
        <v>2.028108877423946</v>
      </c>
      <c r="Q89" s="203">
        <f t="array" ref="Q89">INDEX('[20]LS (Deteksi) Agustus'!Q$7:Q$303,MATCH(1,('[20]LS (Deteksi) Agustus'!$D$7:$D$303=$D89)*('[20]LS (Deteksi) Agustus'!$D$7:$D$303=$D89),0))</f>
        <v>7</v>
      </c>
      <c r="R89" s="9">
        <f t="shared" si="14"/>
        <v>6.140350877192982</v>
      </c>
      <c r="S89" s="8" t="str">
        <f t="array" ref="S89">IF(R89&gt;5,"Perlu Sensus",IF(AND(R89&gt;=0,O89&gt;0),"Tetap Deteksi","Belum Deteksi"))</f>
        <v>Perlu Sensus</v>
      </c>
      <c r="T89" s="203">
        <f t="array" ref="T89">INDEX('[20]LS (Deteksi) Agustus'!T$7:T$303,MATCH(1,('[20]LS (Deteksi) Agustus'!$D$7:$D$303=$D89)*('[20]LS (Deteksi) Agustus'!$D$7:$D$303=$D89),0))</f>
        <v>14</v>
      </c>
      <c r="U89" s="9">
        <f t="shared" si="15"/>
        <v>12.280701754385964</v>
      </c>
      <c r="V89" s="132">
        <f t="array" ref="V89">INDEX('[20]LS (Deteksi) Agustus'!V$7:V$303,MATCH(1,('[20]LS (Deteksi) Agustus'!$D$7:$D$303=$D89)*('[20]LS (Deteksi) Agustus'!$D$7:$D$303=$D89),0))</f>
        <v>46238</v>
      </c>
      <c r="W89" s="203">
        <f t="array" ref="W89">INDEX('[20]LS (Deteksi) Agustus'!W$7:W$303,MATCH(1,('[20]LS (Deteksi) Agustus'!$D$7:$D$303=$D89)*('[20]LS (Deteksi) Agustus'!$D$7:$D$303=$D89),0))</f>
        <v>212</v>
      </c>
      <c r="X89" s="203">
        <f t="array" ref="X89">INDEX('[20]LS (Deteksi) Agustus'!X$7:X$303,MATCH(1,('[20]LS (Deteksi) Agustus'!$D$7:$D$303=$D89)*('[20]LS (Deteksi) Agustus'!$D$7:$D$303=$D89),0))</f>
        <v>12</v>
      </c>
      <c r="Y89" s="9">
        <f t="shared" si="16"/>
        <v>5.6603773584905666</v>
      </c>
      <c r="Z89" s="8" t="str">
        <f t="array" ref="Z89">IF(Y89&gt;5,"Perlu Sensus",IF(AND(Y89&gt;0,,O89&gt;0),"Tetap Deteksi","Belum Deteksi"))</f>
        <v>Perlu Sensus</v>
      </c>
      <c r="AA89" s="203">
        <f t="array" ref="AA89">INDEX('[20]LS (Deteksi) Agustus'!AA$7:AA$303,MATCH(1,('[20]LS (Deteksi) Agustus'!$D$7:$D$303=$D89)*('[20]LS (Deteksi) Agustus'!$D$7:$D$303=$D89),0))</f>
        <v>19</v>
      </c>
      <c r="AB89" s="9">
        <f t="shared" si="17"/>
        <v>8.9622641509433958</v>
      </c>
    </row>
    <row r="90" spans="1:28" outlineLevel="1" x14ac:dyDescent="0.15">
      <c r="A90" s="8" t="s">
        <v>13</v>
      </c>
      <c r="B90" s="8" t="s">
        <v>14</v>
      </c>
      <c r="C90" s="8" t="s">
        <v>79</v>
      </c>
      <c r="D90" s="8" t="s">
        <v>102</v>
      </c>
      <c r="E90" s="9">
        <v>22.26</v>
      </c>
      <c r="F90" s="8" t="s">
        <v>16</v>
      </c>
      <c r="G90" s="143">
        <v>3136</v>
      </c>
      <c r="H90" s="132">
        <f t="shared" si="18"/>
        <v>46237</v>
      </c>
      <c r="I90" s="140">
        <f t="shared" si="18"/>
        <v>175</v>
      </c>
      <c r="J90" s="9">
        <f t="shared" si="11"/>
        <v>5.5803571428571432</v>
      </c>
      <c r="K90" s="140">
        <f t="shared" si="12"/>
        <v>10</v>
      </c>
      <c r="L90" s="206">
        <f t="shared" si="13"/>
        <v>5.7142857142857144</v>
      </c>
      <c r="M90" s="8" t="str">
        <f t="array" ref="M90">IF(L90&gt;5,"Perlu Sensus",IF(AND(L90&gt;=0,I90&gt;0),"Tetap Deteksi","Belum Deteksi"))</f>
        <v>Perlu Sensus</v>
      </c>
      <c r="N90" s="132">
        <f t="array" ref="N90">INDEX('[20]LS (Deteksi) Agustus'!N$7:N$303,MATCH(1,('[20]LS (Deteksi) Agustus'!$D$7:$D$303=$D90)*('[20]LS (Deteksi) Agustus'!$D$7:$D$303=$D90),0))</f>
        <v>46237</v>
      </c>
      <c r="O90" s="203">
        <f t="array" ref="O90">INDEX('[20]LS (Deteksi) Agustus'!O$7:O$303,MATCH(1,('[20]LS (Deteksi) Agustus'!$D$7:$D$303=$D90)*('[20]LS (Deteksi) Agustus'!$D$7:$D$303=$D90),0))</f>
        <v>175</v>
      </c>
      <c r="P90" s="9">
        <f t="array" ref="P90">IFERROR(O90/G90*100,0)</f>
        <v>5.5803571428571432</v>
      </c>
      <c r="Q90" s="203">
        <f t="array" ref="Q90">INDEX('[20]LS (Deteksi) Agustus'!Q$7:Q$303,MATCH(1,('[20]LS (Deteksi) Agustus'!$D$7:$D$303=$D90)*('[20]LS (Deteksi) Agustus'!$D$7:$D$303=$D90),0))</f>
        <v>10</v>
      </c>
      <c r="R90" s="9">
        <f t="shared" si="14"/>
        <v>5.7142857142857144</v>
      </c>
      <c r="S90" s="8" t="str">
        <f t="array" ref="S90">IF(R90&gt;5,"Perlu Sensus",IF(AND(R90&gt;=0,O90&gt;0),"Tetap Deteksi","Belum Deteksi"))</f>
        <v>Perlu Sensus</v>
      </c>
      <c r="T90" s="203">
        <f t="array" ref="T90">INDEX('[20]LS (Deteksi) Agustus'!T$7:T$303,MATCH(1,('[20]LS (Deteksi) Agustus'!$D$7:$D$303=$D90)*('[20]LS (Deteksi) Agustus'!$D$7:$D$303=$D90),0))</f>
        <v>25</v>
      </c>
      <c r="U90" s="9">
        <f t="shared" si="15"/>
        <v>14.285714285714285</v>
      </c>
      <c r="V90" s="132">
        <f t="array" ref="V90">INDEX('[20]LS (Deteksi) Agustus'!V$7:V$303,MATCH(1,('[20]LS (Deteksi) Agustus'!$D$7:$D$303=$D90)*('[20]LS (Deteksi) Agustus'!$D$7:$D$303=$D90),0))</f>
        <v>46238</v>
      </c>
      <c r="W90" s="203">
        <f t="array" ref="W90">INDEX('[20]LS (Deteksi) Agustus'!W$7:W$303,MATCH(1,('[20]LS (Deteksi) Agustus'!$D$7:$D$303=$D90)*('[20]LS (Deteksi) Agustus'!$D$7:$D$303=$D90),0))</f>
        <v>240</v>
      </c>
      <c r="X90" s="203">
        <f t="array" ref="X90">INDEX('[20]LS (Deteksi) Agustus'!X$7:X$303,MATCH(1,('[20]LS (Deteksi) Agustus'!$D$7:$D$303=$D90)*('[20]LS (Deteksi) Agustus'!$D$7:$D$303=$D90),0))</f>
        <v>6</v>
      </c>
      <c r="Y90" s="9">
        <f t="shared" si="16"/>
        <v>2.5</v>
      </c>
      <c r="Z90" s="8" t="str">
        <f t="array" ref="Z90">IF(Y90&gt;5,"Perlu Sensus",IF(AND(Y90&gt;0,,O90&gt;0),"Tetap Deteksi","Belum Deteksi"))</f>
        <v>Belum Deteksi</v>
      </c>
      <c r="AA90" s="203">
        <f t="array" ref="AA90">INDEX('[20]LS (Deteksi) Agustus'!AA$7:AA$303,MATCH(1,('[20]LS (Deteksi) Agustus'!$D$7:$D$303=$D90)*('[20]LS (Deteksi) Agustus'!$D$7:$D$303=$D90),0))</f>
        <v>6</v>
      </c>
      <c r="AB90" s="9">
        <f t="shared" si="17"/>
        <v>2.5</v>
      </c>
    </row>
    <row r="91" spans="1:28" outlineLevel="1" x14ac:dyDescent="0.15">
      <c r="A91" s="8" t="s">
        <v>13</v>
      </c>
      <c r="B91" s="8" t="s">
        <v>14</v>
      </c>
      <c r="C91" s="8" t="s">
        <v>79</v>
      </c>
      <c r="D91" s="8" t="s">
        <v>103</v>
      </c>
      <c r="E91" s="9">
        <v>31.63</v>
      </c>
      <c r="F91" s="8" t="s">
        <v>16</v>
      </c>
      <c r="G91" s="143">
        <v>4457</v>
      </c>
      <c r="H91" s="132">
        <f t="shared" si="18"/>
        <v>46246</v>
      </c>
      <c r="I91" s="140">
        <f t="shared" si="18"/>
        <v>179</v>
      </c>
      <c r="J91" s="9">
        <f t="shared" si="11"/>
        <v>4.0161543639219204</v>
      </c>
      <c r="K91" s="140">
        <f t="shared" si="12"/>
        <v>10</v>
      </c>
      <c r="L91" s="206">
        <f t="shared" si="13"/>
        <v>5.5865921787709496</v>
      </c>
      <c r="M91" s="8" t="str">
        <f t="array" ref="M91">IF(L91&gt;5,"Perlu Sensus",IF(AND(L91&gt;=0,I91&gt;0),"Tetap Deteksi","Belum Deteksi"))</f>
        <v>Perlu Sensus</v>
      </c>
      <c r="N91" s="132">
        <f t="array" ref="N91">INDEX('[20]LS (Deteksi) Agustus'!N$7:N$303,MATCH(1,('[20]LS (Deteksi) Agustus'!$D$7:$D$303=$D91)*('[20]LS (Deteksi) Agustus'!$D$7:$D$303=$D91),0))</f>
        <v>46246</v>
      </c>
      <c r="O91" s="203">
        <f t="array" ref="O91">INDEX('[20]LS (Deteksi) Agustus'!O$7:O$303,MATCH(1,('[20]LS (Deteksi) Agustus'!$D$7:$D$303=$D91)*('[20]LS (Deteksi) Agustus'!$D$7:$D$303=$D91),0))</f>
        <v>179</v>
      </c>
      <c r="P91" s="9">
        <f t="array" ref="P91">IFERROR(O91/G91*100,0)</f>
        <v>4.0161543639219204</v>
      </c>
      <c r="Q91" s="203">
        <f t="array" ref="Q91">INDEX('[20]LS (Deteksi) Agustus'!Q$7:Q$303,MATCH(1,('[20]LS (Deteksi) Agustus'!$D$7:$D$303=$D91)*('[20]LS (Deteksi) Agustus'!$D$7:$D$303=$D91),0))</f>
        <v>10</v>
      </c>
      <c r="R91" s="9">
        <f t="shared" si="14"/>
        <v>5.5865921787709496</v>
      </c>
      <c r="S91" s="8" t="str">
        <f t="array" ref="S91">IF(R91&gt;5,"Perlu Sensus",IF(AND(R91&gt;=0,O91&gt;0),"Tetap Deteksi","Belum Deteksi"))</f>
        <v>Perlu Sensus</v>
      </c>
      <c r="T91" s="203">
        <f t="array" ref="T91">INDEX('[20]LS (Deteksi) Agustus'!T$7:T$303,MATCH(1,('[20]LS (Deteksi) Agustus'!$D$7:$D$303=$D91)*('[20]LS (Deteksi) Agustus'!$D$7:$D$303=$D91),0))</f>
        <v>17</v>
      </c>
      <c r="U91" s="9">
        <f t="shared" si="15"/>
        <v>9.4972067039106136</v>
      </c>
      <c r="V91" s="132">
        <f t="array" ref="V91">INDEX('[20]LS (Deteksi) Agustus'!V$7:V$303,MATCH(1,('[20]LS (Deteksi) Agustus'!$D$7:$D$303=$D91)*('[20]LS (Deteksi) Agustus'!$D$7:$D$303=$D91),0))</f>
        <v>46247</v>
      </c>
      <c r="W91" s="203">
        <f t="array" ref="W91">INDEX('[20]LS (Deteksi) Agustus'!W$7:W$303,MATCH(1,('[20]LS (Deteksi) Agustus'!$D$7:$D$303=$D91)*('[20]LS (Deteksi) Agustus'!$D$7:$D$303=$D91),0))</f>
        <v>90</v>
      </c>
      <c r="X91" s="203">
        <f t="array" ref="X91">INDEX('[20]LS (Deteksi) Agustus'!X$7:X$303,MATCH(1,('[20]LS (Deteksi) Agustus'!$D$7:$D$303=$D91)*('[20]LS (Deteksi) Agustus'!$D$7:$D$303=$D91),0))</f>
        <v>5</v>
      </c>
      <c r="Y91" s="9">
        <f t="shared" si="16"/>
        <v>5.5555555555555554</v>
      </c>
      <c r="Z91" s="8" t="str">
        <f t="array" ref="Z91">IF(Y91&gt;5,"Perlu Sensus",IF(AND(Y91&gt;0,,O91&gt;0),"Tetap Deteksi","Belum Deteksi"))</f>
        <v>Perlu Sensus</v>
      </c>
      <c r="AA91" s="203">
        <f t="array" ref="AA91">INDEX('[20]LS (Deteksi) Agustus'!AA$7:AA$303,MATCH(1,('[20]LS (Deteksi) Agustus'!$D$7:$D$303=$D91)*('[20]LS (Deteksi) Agustus'!$D$7:$D$303=$D91),0))</f>
        <v>8</v>
      </c>
      <c r="AB91" s="9">
        <f t="shared" si="17"/>
        <v>8.8888888888888893</v>
      </c>
    </row>
    <row r="92" spans="1:28" outlineLevel="1" x14ac:dyDescent="0.15">
      <c r="A92" s="8" t="s">
        <v>13</v>
      </c>
      <c r="B92" s="8" t="s">
        <v>14</v>
      </c>
      <c r="C92" s="8" t="s">
        <v>79</v>
      </c>
      <c r="D92" s="8" t="s">
        <v>104</v>
      </c>
      <c r="E92" s="9">
        <v>24.07</v>
      </c>
      <c r="F92" s="8" t="s">
        <v>16</v>
      </c>
      <c r="G92" s="143">
        <v>3350</v>
      </c>
      <c r="H92" s="132">
        <f t="shared" si="18"/>
        <v>46238</v>
      </c>
      <c r="I92" s="140">
        <f t="shared" si="18"/>
        <v>230</v>
      </c>
      <c r="J92" s="9">
        <f t="shared" si="11"/>
        <v>6.8656716417910451</v>
      </c>
      <c r="K92" s="140">
        <f t="shared" si="12"/>
        <v>11</v>
      </c>
      <c r="L92" s="206">
        <f t="shared" si="13"/>
        <v>4.7826086956521738</v>
      </c>
      <c r="M92" s="8" t="str">
        <f t="array" ref="M92">IF(L92&gt;5,"Perlu Sensus",IF(AND(L92&gt;=0,I92&gt;0),"Tetap Deteksi","Belum Deteksi"))</f>
        <v>Tetap Deteksi</v>
      </c>
      <c r="N92" s="132">
        <f t="array" ref="N92">INDEX('[20]LS (Deteksi) Agustus'!N$7:N$303,MATCH(1,('[20]LS (Deteksi) Agustus'!$D$7:$D$303=$D92)*('[20]LS (Deteksi) Agustus'!$D$7:$D$303=$D92),0))</f>
        <v>46238</v>
      </c>
      <c r="O92" s="203">
        <f t="array" ref="O92">INDEX('[20]LS (Deteksi) Agustus'!O$7:O$303,MATCH(1,('[20]LS (Deteksi) Agustus'!$D$7:$D$303=$D92)*('[20]LS (Deteksi) Agustus'!$D$7:$D$303=$D92),0))</f>
        <v>230</v>
      </c>
      <c r="P92" s="9">
        <f t="array" ref="P92">IFERROR(O92/G92*100,0)</f>
        <v>6.8656716417910451</v>
      </c>
      <c r="Q92" s="203">
        <f t="array" ref="Q92">INDEX('[20]LS (Deteksi) Agustus'!Q$7:Q$303,MATCH(1,('[20]LS (Deteksi) Agustus'!$D$7:$D$303=$D92)*('[20]LS (Deteksi) Agustus'!$D$7:$D$303=$D92),0))</f>
        <v>11</v>
      </c>
      <c r="R92" s="9">
        <f t="shared" si="14"/>
        <v>4.7826086956521738</v>
      </c>
      <c r="S92" s="8" t="str">
        <f t="array" ref="S92">IF(R92&gt;5,"Perlu Sensus",IF(AND(R92&gt;=0,O92&gt;0),"Tetap Deteksi","Belum Deteksi"))</f>
        <v>Tetap Deteksi</v>
      </c>
      <c r="T92" s="203">
        <f t="array" ref="T92">INDEX('[20]LS (Deteksi) Agustus'!T$7:T$303,MATCH(1,('[20]LS (Deteksi) Agustus'!$D$7:$D$303=$D92)*('[20]LS (Deteksi) Agustus'!$D$7:$D$303=$D92),0))</f>
        <v>55</v>
      </c>
      <c r="U92" s="9">
        <f t="shared" si="15"/>
        <v>23.913043478260871</v>
      </c>
      <c r="V92" s="132">
        <f t="array" ref="V92">INDEX('[20]LS (Deteksi) Agustus'!V$7:V$303,MATCH(1,('[20]LS (Deteksi) Agustus'!$D$7:$D$303=$D92)*('[20]LS (Deteksi) Agustus'!$D$7:$D$303=$D92),0))</f>
        <v>46239</v>
      </c>
      <c r="W92" s="203">
        <f t="array" ref="W92">INDEX('[20]LS (Deteksi) Agustus'!W$7:W$303,MATCH(1,('[20]LS (Deteksi) Agustus'!$D$7:$D$303=$D92)*('[20]LS (Deteksi) Agustus'!$D$7:$D$303=$D92),0))</f>
        <v>208</v>
      </c>
      <c r="X92" s="203">
        <f t="array" ref="X92">INDEX('[20]LS (Deteksi) Agustus'!X$7:X$303,MATCH(1,('[20]LS (Deteksi) Agustus'!$D$7:$D$303=$D92)*('[20]LS (Deteksi) Agustus'!$D$7:$D$303=$D92),0))</f>
        <v>11</v>
      </c>
      <c r="Y92" s="9">
        <f t="shared" si="16"/>
        <v>5.2884615384615383</v>
      </c>
      <c r="Z92" s="8" t="str">
        <f t="array" ref="Z92">IF(Y92&gt;5,"Perlu Sensus",IF(AND(Y92&gt;0,,O92&gt;0),"Tetap Deteksi","Belum Deteksi"))</f>
        <v>Perlu Sensus</v>
      </c>
      <c r="AA92" s="203">
        <f t="array" ref="AA92">INDEX('[20]LS (Deteksi) Agustus'!AA$7:AA$303,MATCH(1,('[20]LS (Deteksi) Agustus'!$D$7:$D$303=$D92)*('[20]LS (Deteksi) Agustus'!$D$7:$D$303=$D92),0))</f>
        <v>18</v>
      </c>
      <c r="AB92" s="9">
        <f t="shared" si="17"/>
        <v>8.6538461538461533</v>
      </c>
    </row>
    <row r="93" spans="1:28" outlineLevel="1" x14ac:dyDescent="0.15">
      <c r="A93" s="8" t="s">
        <v>13</v>
      </c>
      <c r="B93" s="8" t="s">
        <v>14</v>
      </c>
      <c r="C93" s="8" t="s">
        <v>79</v>
      </c>
      <c r="D93" s="8" t="s">
        <v>105</v>
      </c>
      <c r="E93" s="9">
        <v>22.67</v>
      </c>
      <c r="F93" s="8" t="s">
        <v>16</v>
      </c>
      <c r="G93" s="143">
        <v>3014</v>
      </c>
      <c r="H93" s="132">
        <f t="shared" si="18"/>
        <v>46238</v>
      </c>
      <c r="I93" s="140">
        <f t="shared" si="18"/>
        <v>115</v>
      </c>
      <c r="J93" s="9">
        <f t="shared" si="11"/>
        <v>3.8155275381552758</v>
      </c>
      <c r="K93" s="140">
        <f t="shared" si="12"/>
        <v>9</v>
      </c>
      <c r="L93" s="206">
        <f t="shared" si="13"/>
        <v>7.8260869565217401</v>
      </c>
      <c r="M93" s="8" t="str">
        <f t="array" ref="M93">IF(L93&gt;5,"Perlu Sensus",IF(AND(L93&gt;=0,I93&gt;0),"Tetap Deteksi","Belum Deteksi"))</f>
        <v>Perlu Sensus</v>
      </c>
      <c r="N93" s="132">
        <f t="array" ref="N93">INDEX('[20]LS (Deteksi) Agustus'!N$7:N$303,MATCH(1,('[20]LS (Deteksi) Agustus'!$D$7:$D$303=$D93)*('[20]LS (Deteksi) Agustus'!$D$7:$D$303=$D93),0))</f>
        <v>46238</v>
      </c>
      <c r="O93" s="203">
        <f t="array" ref="O93">INDEX('[20]LS (Deteksi) Agustus'!O$7:O$303,MATCH(1,('[20]LS (Deteksi) Agustus'!$D$7:$D$303=$D93)*('[20]LS (Deteksi) Agustus'!$D$7:$D$303=$D93),0))</f>
        <v>115</v>
      </c>
      <c r="P93" s="9">
        <f t="array" ref="P93">IFERROR(O93/G93*100,0)</f>
        <v>3.8155275381552758</v>
      </c>
      <c r="Q93" s="203">
        <f t="array" ref="Q93">INDEX('[20]LS (Deteksi) Agustus'!Q$7:Q$303,MATCH(1,('[20]LS (Deteksi) Agustus'!$D$7:$D$303=$D93)*('[20]LS (Deteksi) Agustus'!$D$7:$D$303=$D93),0))</f>
        <v>9</v>
      </c>
      <c r="R93" s="9">
        <f t="shared" si="14"/>
        <v>7.8260869565217401</v>
      </c>
      <c r="S93" s="8" t="str">
        <f t="array" ref="S93">IF(R93&gt;5,"Perlu Sensus",IF(AND(R93&gt;=0,O93&gt;0),"Tetap Deteksi","Belum Deteksi"))</f>
        <v>Perlu Sensus</v>
      </c>
      <c r="T93" s="203">
        <f t="array" ref="T93">INDEX('[20]LS (Deteksi) Agustus'!T$7:T$303,MATCH(1,('[20]LS (Deteksi) Agustus'!$D$7:$D$303=$D93)*('[20]LS (Deteksi) Agustus'!$D$7:$D$303=$D93),0))</f>
        <v>27</v>
      </c>
      <c r="U93" s="9">
        <f t="shared" si="15"/>
        <v>23.478260869565219</v>
      </c>
      <c r="V93" s="132">
        <f t="array" ref="V93">INDEX('[20]LS (Deteksi) Agustus'!V$7:V$303,MATCH(1,('[20]LS (Deteksi) Agustus'!$D$7:$D$303=$D93)*('[20]LS (Deteksi) Agustus'!$D$7:$D$303=$D93),0))</f>
        <v>46239</v>
      </c>
      <c r="W93" s="203">
        <f t="array" ref="W93">INDEX('[20]LS (Deteksi) Agustus'!W$7:W$303,MATCH(1,('[20]LS (Deteksi) Agustus'!$D$7:$D$303=$D93)*('[20]LS (Deteksi) Agustus'!$D$7:$D$303=$D93),0))</f>
        <v>270</v>
      </c>
      <c r="X93" s="203">
        <f t="array" ref="X93">INDEX('[20]LS (Deteksi) Agustus'!X$7:X$303,MATCH(1,('[20]LS (Deteksi) Agustus'!$D$7:$D$303=$D93)*('[20]LS (Deteksi) Agustus'!$D$7:$D$303=$D93),0))</f>
        <v>15</v>
      </c>
      <c r="Y93" s="9">
        <f t="shared" si="16"/>
        <v>5.5555555555555554</v>
      </c>
      <c r="Z93" s="8" t="str">
        <f t="array" ref="Z93">IF(Y93&gt;5,"Perlu Sensus",IF(AND(Y93&gt;0,,O93&gt;0),"Tetap Deteksi","Belum Deteksi"))</f>
        <v>Perlu Sensus</v>
      </c>
      <c r="AA93" s="203">
        <f t="array" ref="AA93">INDEX('[20]LS (Deteksi) Agustus'!AA$7:AA$303,MATCH(1,('[20]LS (Deteksi) Agustus'!$D$7:$D$303=$D93)*('[20]LS (Deteksi) Agustus'!$D$7:$D$303=$D93),0))</f>
        <v>8</v>
      </c>
      <c r="AB93" s="9">
        <f t="shared" si="17"/>
        <v>2.9629629629629632</v>
      </c>
    </row>
    <row r="94" spans="1:28" outlineLevel="1" x14ac:dyDescent="0.15">
      <c r="A94" s="8" t="s">
        <v>13</v>
      </c>
      <c r="B94" s="8" t="s">
        <v>14</v>
      </c>
      <c r="C94" s="8" t="s">
        <v>79</v>
      </c>
      <c r="D94" s="8" t="s">
        <v>106</v>
      </c>
      <c r="E94" s="9">
        <v>25.81</v>
      </c>
      <c r="F94" s="8" t="s">
        <v>16</v>
      </c>
      <c r="G94" s="143">
        <v>3611</v>
      </c>
      <c r="H94" s="132">
        <f t="shared" si="18"/>
        <v>46247</v>
      </c>
      <c r="I94" s="140">
        <f t="shared" si="18"/>
        <v>172</v>
      </c>
      <c r="J94" s="9">
        <f t="shared" si="11"/>
        <v>4.7632234837995018</v>
      </c>
      <c r="K94" s="140">
        <f t="shared" si="12"/>
        <v>6</v>
      </c>
      <c r="L94" s="206">
        <f t="shared" si="13"/>
        <v>3.4883720930232558</v>
      </c>
      <c r="M94" s="8" t="str">
        <f t="array" ref="M94">IF(L94&gt;5,"Perlu Sensus",IF(AND(L94&gt;=0,I94&gt;0),"Tetap Deteksi","Belum Deteksi"))</f>
        <v>Tetap Deteksi</v>
      </c>
      <c r="N94" s="132">
        <f t="array" ref="N94">INDEX('[20]LS (Deteksi) Agustus'!N$7:N$303,MATCH(1,('[20]LS (Deteksi) Agustus'!$D$7:$D$303=$D94)*('[20]LS (Deteksi) Agustus'!$D$7:$D$303=$D94),0))</f>
        <v>46247</v>
      </c>
      <c r="O94" s="203">
        <f t="array" ref="O94">INDEX('[20]LS (Deteksi) Agustus'!O$7:O$303,MATCH(1,('[20]LS (Deteksi) Agustus'!$D$7:$D$303=$D94)*('[20]LS (Deteksi) Agustus'!$D$7:$D$303=$D94),0))</f>
        <v>172</v>
      </c>
      <c r="P94" s="9">
        <f t="array" ref="P94">IFERROR(O94/G94*100,0)</f>
        <v>4.7632234837995018</v>
      </c>
      <c r="Q94" s="203">
        <f t="array" ref="Q94">INDEX('[20]LS (Deteksi) Agustus'!Q$7:Q$303,MATCH(1,('[20]LS (Deteksi) Agustus'!$D$7:$D$303=$D94)*('[20]LS (Deteksi) Agustus'!$D$7:$D$303=$D94),0))</f>
        <v>6</v>
      </c>
      <c r="R94" s="9">
        <f t="shared" si="14"/>
        <v>3.4883720930232558</v>
      </c>
      <c r="S94" s="8" t="str">
        <f t="array" ref="S94">IF(R94&gt;5,"Perlu Sensus",IF(AND(R94&gt;=0,O94&gt;0),"Tetap Deteksi","Belum Deteksi"))</f>
        <v>Tetap Deteksi</v>
      </c>
      <c r="T94" s="203">
        <f t="array" ref="T94">INDEX('[20]LS (Deteksi) Agustus'!T$7:T$303,MATCH(1,('[20]LS (Deteksi) Agustus'!$D$7:$D$303=$D94)*('[20]LS (Deteksi) Agustus'!$D$7:$D$303=$D94),0))</f>
        <v>36</v>
      </c>
      <c r="U94" s="9">
        <f t="shared" si="15"/>
        <v>20.930232558139537</v>
      </c>
      <c r="V94" s="132">
        <f t="array" ref="V94">INDEX('[20]LS (Deteksi) Agustus'!V$7:V$303,MATCH(1,('[20]LS (Deteksi) Agustus'!$D$7:$D$303=$D94)*('[20]LS (Deteksi) Agustus'!$D$7:$D$303=$D94),0))</f>
        <v>0</v>
      </c>
      <c r="W94" s="203">
        <f t="array" ref="W94">INDEX('[20]LS (Deteksi) Agustus'!W$7:W$303,MATCH(1,('[20]LS (Deteksi) Agustus'!$D$7:$D$303=$D94)*('[20]LS (Deteksi) Agustus'!$D$7:$D$303=$D94),0))</f>
        <v>0</v>
      </c>
      <c r="X94" s="203">
        <f t="array" ref="X94">INDEX('[20]LS (Deteksi) Agustus'!X$7:X$303,MATCH(1,('[20]LS (Deteksi) Agustus'!$D$7:$D$303=$D94)*('[20]LS (Deteksi) Agustus'!$D$7:$D$303=$D94),0))</f>
        <v>0</v>
      </c>
      <c r="Y94" s="9">
        <f t="shared" si="16"/>
        <v>0</v>
      </c>
      <c r="Z94" s="8" t="str">
        <f t="array" ref="Z94">IF(Y94&gt;5,"Perlu Sensus",IF(AND(Y94&gt;0,,O94&gt;0),"Tetap Deteksi","Belum Deteksi"))</f>
        <v>Belum Deteksi</v>
      </c>
      <c r="AA94" s="203">
        <f t="array" ref="AA94">INDEX('[20]LS (Deteksi) Agustus'!AA$7:AA$303,MATCH(1,('[20]LS (Deteksi) Agustus'!$D$7:$D$303=$D94)*('[20]LS (Deteksi) Agustus'!$D$7:$D$303=$D94),0))</f>
        <v>0</v>
      </c>
      <c r="AB94" s="9">
        <f t="shared" si="17"/>
        <v>0</v>
      </c>
    </row>
    <row r="95" spans="1:28" outlineLevel="1" x14ac:dyDescent="0.15">
      <c r="A95" s="8" t="s">
        <v>13</v>
      </c>
      <c r="B95" s="8" t="s">
        <v>14</v>
      </c>
      <c r="C95" s="8" t="s">
        <v>107</v>
      </c>
      <c r="D95" s="8" t="s">
        <v>108</v>
      </c>
      <c r="E95" s="9">
        <v>40.369999999999997</v>
      </c>
      <c r="F95" s="8" t="s">
        <v>16</v>
      </c>
      <c r="G95" s="143">
        <v>6100</v>
      </c>
      <c r="H95" s="132">
        <f t="shared" si="18"/>
        <v>46237</v>
      </c>
      <c r="I95" s="140">
        <f t="shared" si="18"/>
        <v>85</v>
      </c>
      <c r="J95" s="9">
        <f t="shared" si="11"/>
        <v>1.3934426229508197</v>
      </c>
      <c r="K95" s="140">
        <f t="shared" si="12"/>
        <v>5</v>
      </c>
      <c r="L95" s="206">
        <f t="shared" si="13"/>
        <v>5.8823529411764701</v>
      </c>
      <c r="M95" s="8" t="str">
        <f t="array" ref="M95">IF(L95&gt;5,"Perlu Sensus",IF(AND(L95&gt;=0,I95&gt;0),"Tetap Deteksi","Belum Deteksi"))</f>
        <v>Perlu Sensus</v>
      </c>
      <c r="N95" s="132">
        <f t="array" ref="N95">INDEX('[20]LS (Deteksi) Agustus'!N$7:N$303,MATCH(1,('[20]LS (Deteksi) Agustus'!$D$7:$D$303=$D95)*('[20]LS (Deteksi) Agustus'!$D$7:$D$303=$D95),0))</f>
        <v>46237</v>
      </c>
      <c r="O95" s="203">
        <f t="array" ref="O95">INDEX('[20]LS (Deteksi) Agustus'!O$7:O$303,MATCH(1,('[20]LS (Deteksi) Agustus'!$D$7:$D$303=$D95)*('[20]LS (Deteksi) Agustus'!$D$7:$D$303=$D95),0))</f>
        <v>85</v>
      </c>
      <c r="P95" s="9">
        <f t="array" ref="P95">IFERROR(O95/G95*100,0)</f>
        <v>1.3934426229508197</v>
      </c>
      <c r="Q95" s="203">
        <f t="array" ref="Q95">INDEX('[20]LS (Deteksi) Agustus'!Q$7:Q$303,MATCH(1,('[20]LS (Deteksi) Agustus'!$D$7:$D$303=$D95)*('[20]LS (Deteksi) Agustus'!$D$7:$D$303=$D95),0))</f>
        <v>5</v>
      </c>
      <c r="R95" s="9">
        <f t="shared" si="14"/>
        <v>5.8823529411764701</v>
      </c>
      <c r="S95" s="8" t="str">
        <f t="array" ref="S95">IF(R95&gt;5,"Perlu Sensus",IF(AND(R95&gt;=0,O95&gt;0),"Tetap Deteksi","Belum Deteksi"))</f>
        <v>Perlu Sensus</v>
      </c>
      <c r="T95" s="203">
        <f t="array" ref="T95">INDEX('[20]LS (Deteksi) Agustus'!T$7:T$303,MATCH(1,('[20]LS (Deteksi) Agustus'!$D$7:$D$303=$D95)*('[20]LS (Deteksi) Agustus'!$D$7:$D$303=$D95),0))</f>
        <v>17</v>
      </c>
      <c r="U95" s="9">
        <f t="shared" si="15"/>
        <v>20</v>
      </c>
      <c r="V95" s="132">
        <f t="array" ref="V95">INDEX('[20]LS (Deteksi) Agustus'!V$7:V$303,MATCH(1,('[20]LS (Deteksi) Agustus'!$D$7:$D$303=$D95)*('[20]LS (Deteksi) Agustus'!$D$7:$D$303=$D95),0))</f>
        <v>46238</v>
      </c>
      <c r="W95" s="203">
        <f t="array" ref="W95">INDEX('[20]LS (Deteksi) Agustus'!W$7:W$303,MATCH(1,('[20]LS (Deteksi) Agustus'!$D$7:$D$303=$D95)*('[20]LS (Deteksi) Agustus'!$D$7:$D$303=$D95),0))</f>
        <v>244</v>
      </c>
      <c r="X95" s="203">
        <f t="array" ref="X95">INDEX('[20]LS (Deteksi) Agustus'!X$7:X$303,MATCH(1,('[20]LS (Deteksi) Agustus'!$D$7:$D$303=$D95)*('[20]LS (Deteksi) Agustus'!$D$7:$D$303=$D95),0))</f>
        <v>15</v>
      </c>
      <c r="Y95" s="9">
        <f t="shared" si="16"/>
        <v>6.1475409836065573</v>
      </c>
      <c r="Z95" s="8" t="str">
        <f t="array" ref="Z95">IF(Y95&gt;5,"Perlu Sensus",IF(AND(Y95&gt;0,,O95&gt;0),"Tetap Deteksi","Belum Deteksi"))</f>
        <v>Perlu Sensus</v>
      </c>
      <c r="AA95" s="203">
        <f t="array" ref="AA95">INDEX('[20]LS (Deteksi) Agustus'!AA$7:AA$303,MATCH(1,('[20]LS (Deteksi) Agustus'!$D$7:$D$303=$D95)*('[20]LS (Deteksi) Agustus'!$D$7:$D$303=$D95),0))</f>
        <v>13</v>
      </c>
      <c r="AB95" s="9">
        <f t="shared" si="17"/>
        <v>5.3278688524590159</v>
      </c>
    </row>
    <row r="96" spans="1:28" outlineLevel="1" x14ac:dyDescent="0.15">
      <c r="A96" s="8" t="s">
        <v>13</v>
      </c>
      <c r="B96" s="8" t="s">
        <v>14</v>
      </c>
      <c r="C96" s="8" t="s">
        <v>107</v>
      </c>
      <c r="D96" s="8" t="s">
        <v>109</v>
      </c>
      <c r="E96" s="9">
        <v>24.23</v>
      </c>
      <c r="F96" s="8" t="s">
        <v>16</v>
      </c>
      <c r="G96" s="143">
        <v>3572</v>
      </c>
      <c r="H96" s="132">
        <f t="shared" si="18"/>
        <v>46237</v>
      </c>
      <c r="I96" s="140">
        <f t="shared" si="18"/>
        <v>94</v>
      </c>
      <c r="J96" s="9">
        <f t="shared" si="11"/>
        <v>2.6315789473684208</v>
      </c>
      <c r="K96" s="140">
        <f t="shared" si="12"/>
        <v>5</v>
      </c>
      <c r="L96" s="206">
        <f t="shared" si="13"/>
        <v>5.3191489361702127</v>
      </c>
      <c r="M96" s="8" t="str">
        <f t="array" ref="M96">IF(L96&gt;5,"Perlu Sensus",IF(AND(L96&gt;=0,I96&gt;0),"Tetap Deteksi","Belum Deteksi"))</f>
        <v>Perlu Sensus</v>
      </c>
      <c r="N96" s="132">
        <f t="array" ref="N96">INDEX('[20]LS (Deteksi) Agustus'!N$7:N$303,MATCH(1,('[20]LS (Deteksi) Agustus'!$D$7:$D$303=$D96)*('[20]LS (Deteksi) Agustus'!$D$7:$D$303=$D96),0))</f>
        <v>46237</v>
      </c>
      <c r="O96" s="203">
        <f t="array" ref="O96">INDEX('[20]LS (Deteksi) Agustus'!O$7:O$303,MATCH(1,('[20]LS (Deteksi) Agustus'!$D$7:$D$303=$D96)*('[20]LS (Deteksi) Agustus'!$D$7:$D$303=$D96),0))</f>
        <v>94</v>
      </c>
      <c r="P96" s="9">
        <f t="array" ref="P96">IFERROR(O96/G96*100,0)</f>
        <v>2.6315789473684208</v>
      </c>
      <c r="Q96" s="203">
        <f t="array" ref="Q96">INDEX('[20]LS (Deteksi) Agustus'!Q$7:Q$303,MATCH(1,('[20]LS (Deteksi) Agustus'!$D$7:$D$303=$D96)*('[20]LS (Deteksi) Agustus'!$D$7:$D$303=$D96),0))</f>
        <v>5</v>
      </c>
      <c r="R96" s="9">
        <f t="shared" si="14"/>
        <v>5.3191489361702127</v>
      </c>
      <c r="S96" s="8" t="str">
        <f t="array" ref="S96">IF(R96&gt;5,"Perlu Sensus",IF(AND(R96&gt;=0,O96&gt;0),"Tetap Deteksi","Belum Deteksi"))</f>
        <v>Perlu Sensus</v>
      </c>
      <c r="T96" s="203">
        <f t="array" ref="T96">INDEX('[20]LS (Deteksi) Agustus'!T$7:T$303,MATCH(1,('[20]LS (Deteksi) Agustus'!$D$7:$D$303=$D96)*('[20]LS (Deteksi) Agustus'!$D$7:$D$303=$D96),0))</f>
        <v>29</v>
      </c>
      <c r="U96" s="9">
        <f t="shared" si="15"/>
        <v>30.851063829787233</v>
      </c>
      <c r="V96" s="132">
        <f t="array" ref="V96">INDEX('[20]LS (Deteksi) Agustus'!V$7:V$303,MATCH(1,('[20]LS (Deteksi) Agustus'!$D$7:$D$303=$D96)*('[20]LS (Deteksi) Agustus'!$D$7:$D$303=$D96),0))</f>
        <v>46238</v>
      </c>
      <c r="W96" s="203">
        <f t="array" ref="W96">INDEX('[20]LS (Deteksi) Agustus'!W$7:W$303,MATCH(1,('[20]LS (Deteksi) Agustus'!$D$7:$D$303=$D96)*('[20]LS (Deteksi) Agustus'!$D$7:$D$303=$D96),0))</f>
        <v>231</v>
      </c>
      <c r="X96" s="203">
        <f t="array" ref="X96">INDEX('[20]LS (Deteksi) Agustus'!X$7:X$303,MATCH(1,('[20]LS (Deteksi) Agustus'!$D$7:$D$303=$D96)*('[20]LS (Deteksi) Agustus'!$D$7:$D$303=$D96),0))</f>
        <v>19</v>
      </c>
      <c r="Y96" s="9">
        <f t="shared" si="16"/>
        <v>8.2251082251082259</v>
      </c>
      <c r="Z96" s="8" t="str">
        <f t="array" ref="Z96">IF(Y96&gt;5,"Perlu Sensus",IF(AND(Y96&gt;0,,O96&gt;0),"Tetap Deteksi","Belum Deteksi"))</f>
        <v>Perlu Sensus</v>
      </c>
      <c r="AA96" s="203">
        <f t="array" ref="AA96">INDEX('[20]LS (Deteksi) Agustus'!AA$7:AA$303,MATCH(1,('[20]LS (Deteksi) Agustus'!$D$7:$D$303=$D96)*('[20]LS (Deteksi) Agustus'!$D$7:$D$303=$D96),0))</f>
        <v>21</v>
      </c>
      <c r="AB96" s="9">
        <f t="shared" si="17"/>
        <v>9.0909090909090917</v>
      </c>
    </row>
    <row r="97" spans="1:28" outlineLevel="1" x14ac:dyDescent="0.15">
      <c r="A97" s="8" t="s">
        <v>13</v>
      </c>
      <c r="B97" s="8" t="s">
        <v>14</v>
      </c>
      <c r="C97" s="8" t="s">
        <v>107</v>
      </c>
      <c r="D97" s="8" t="s">
        <v>110</v>
      </c>
      <c r="E97" s="9">
        <v>27.36</v>
      </c>
      <c r="F97" s="8" t="s">
        <v>16</v>
      </c>
      <c r="G97" s="143">
        <v>4034</v>
      </c>
      <c r="H97" s="132">
        <f t="shared" si="18"/>
        <v>46245</v>
      </c>
      <c r="I97" s="140">
        <f t="shared" si="18"/>
        <v>89</v>
      </c>
      <c r="J97" s="9">
        <f t="shared" si="11"/>
        <v>2.2062469013386217</v>
      </c>
      <c r="K97" s="140">
        <f t="shared" si="12"/>
        <v>4</v>
      </c>
      <c r="L97" s="206">
        <f t="shared" si="13"/>
        <v>4.4943820224719104</v>
      </c>
      <c r="M97" s="8" t="str">
        <f t="array" ref="M97">IF(L97&gt;5,"Perlu Sensus",IF(AND(L97&gt;=0,I97&gt;0),"Tetap Deteksi","Belum Deteksi"))</f>
        <v>Tetap Deteksi</v>
      </c>
      <c r="N97" s="132">
        <f t="array" ref="N97">INDEX('[20]LS (Deteksi) Agustus'!N$7:N$303,MATCH(1,('[20]LS (Deteksi) Agustus'!$D$7:$D$303=$D97)*('[20]LS (Deteksi) Agustus'!$D$7:$D$303=$D97),0))</f>
        <v>46245</v>
      </c>
      <c r="O97" s="203">
        <f t="array" ref="O97">INDEX('[20]LS (Deteksi) Agustus'!O$7:O$303,MATCH(1,('[20]LS (Deteksi) Agustus'!$D$7:$D$303=$D97)*('[20]LS (Deteksi) Agustus'!$D$7:$D$303=$D97),0))</f>
        <v>89</v>
      </c>
      <c r="P97" s="9">
        <f t="array" ref="P97">IFERROR(O97/G97*100,0)</f>
        <v>2.2062469013386217</v>
      </c>
      <c r="Q97" s="203">
        <f t="array" ref="Q97">INDEX('[20]LS (Deteksi) Agustus'!Q$7:Q$303,MATCH(1,('[20]LS (Deteksi) Agustus'!$D$7:$D$303=$D97)*('[20]LS (Deteksi) Agustus'!$D$7:$D$303=$D97),0))</f>
        <v>4</v>
      </c>
      <c r="R97" s="9">
        <f t="shared" si="14"/>
        <v>4.4943820224719104</v>
      </c>
      <c r="S97" s="8" t="str">
        <f t="array" ref="S97">IF(R97&gt;5,"Perlu Sensus",IF(AND(R97&gt;=0,O97&gt;0),"Tetap Deteksi","Belum Deteksi"))</f>
        <v>Tetap Deteksi</v>
      </c>
      <c r="T97" s="203">
        <f t="array" ref="T97">INDEX('[20]LS (Deteksi) Agustus'!T$7:T$303,MATCH(1,('[20]LS (Deteksi) Agustus'!$D$7:$D$303=$D97)*('[20]LS (Deteksi) Agustus'!$D$7:$D$303=$D97),0))</f>
        <v>7</v>
      </c>
      <c r="U97" s="9">
        <f t="shared" si="15"/>
        <v>7.8651685393258424</v>
      </c>
      <c r="V97" s="132">
        <f t="array" ref="V97">INDEX('[20]LS (Deteksi) Agustus'!V$7:V$303,MATCH(1,('[20]LS (Deteksi) Agustus'!$D$7:$D$303=$D97)*('[20]LS (Deteksi) Agustus'!$D$7:$D$303=$D97),0))</f>
        <v>46246</v>
      </c>
      <c r="W97" s="203">
        <f t="array" ref="W97">INDEX('[20]LS (Deteksi) Agustus'!W$7:W$303,MATCH(1,('[20]LS (Deteksi) Agustus'!$D$7:$D$303=$D97)*('[20]LS (Deteksi) Agustus'!$D$7:$D$303=$D97),0))</f>
        <v>211</v>
      </c>
      <c r="X97" s="203">
        <f t="array" ref="X97">INDEX('[20]LS (Deteksi) Agustus'!X$7:X$303,MATCH(1,('[20]LS (Deteksi) Agustus'!$D$7:$D$303=$D97)*('[20]LS (Deteksi) Agustus'!$D$7:$D$303=$D97),0))</f>
        <v>9</v>
      </c>
      <c r="Y97" s="9">
        <f t="shared" si="16"/>
        <v>4.2654028436018958</v>
      </c>
      <c r="Z97" s="8" t="str">
        <f t="array" ref="Z97">IF(Y97&gt;5,"Perlu Sensus",IF(AND(Y97&gt;0,,O97&gt;0),"Tetap Deteksi","Belum Deteksi"))</f>
        <v>Belum Deteksi</v>
      </c>
      <c r="AA97" s="203">
        <f t="array" ref="AA97">INDEX('[20]LS (Deteksi) Agustus'!AA$7:AA$303,MATCH(1,('[20]LS (Deteksi) Agustus'!$D$7:$D$303=$D97)*('[20]LS (Deteksi) Agustus'!$D$7:$D$303=$D97),0))</f>
        <v>17</v>
      </c>
      <c r="AB97" s="9">
        <f t="shared" si="17"/>
        <v>8.0568720379146921</v>
      </c>
    </row>
    <row r="98" spans="1:28" outlineLevel="1" x14ac:dyDescent="0.15">
      <c r="A98" s="8" t="s">
        <v>13</v>
      </c>
      <c r="B98" s="8" t="s">
        <v>14</v>
      </c>
      <c r="C98" s="8" t="s">
        <v>107</v>
      </c>
      <c r="D98" s="8" t="s">
        <v>111</v>
      </c>
      <c r="E98" s="9">
        <v>26.72</v>
      </c>
      <c r="F98" s="8" t="s">
        <v>16</v>
      </c>
      <c r="G98" s="143">
        <v>4128</v>
      </c>
      <c r="H98" s="132">
        <f t="shared" si="18"/>
        <v>46245</v>
      </c>
      <c r="I98" s="140">
        <f t="shared" si="18"/>
        <v>130</v>
      </c>
      <c r="J98" s="9">
        <f t="shared" si="11"/>
        <v>3.1492248062015502</v>
      </c>
      <c r="K98" s="140">
        <f t="shared" si="12"/>
        <v>5</v>
      </c>
      <c r="L98" s="206">
        <f t="shared" si="13"/>
        <v>3.8461538461538463</v>
      </c>
      <c r="M98" s="8" t="str">
        <f t="array" ref="M98">IF(L98&gt;5,"Perlu Sensus",IF(AND(L98&gt;=0,I98&gt;0),"Tetap Deteksi","Belum Deteksi"))</f>
        <v>Tetap Deteksi</v>
      </c>
      <c r="N98" s="132">
        <f t="array" ref="N98">INDEX('[20]LS (Deteksi) Agustus'!N$7:N$303,MATCH(1,('[20]LS (Deteksi) Agustus'!$D$7:$D$303=$D98)*('[20]LS (Deteksi) Agustus'!$D$7:$D$303=$D98),0))</f>
        <v>46245</v>
      </c>
      <c r="O98" s="203">
        <f t="array" ref="O98">INDEX('[20]LS (Deteksi) Agustus'!O$7:O$303,MATCH(1,('[20]LS (Deteksi) Agustus'!$D$7:$D$303=$D98)*('[20]LS (Deteksi) Agustus'!$D$7:$D$303=$D98),0))</f>
        <v>130</v>
      </c>
      <c r="P98" s="9">
        <f t="array" ref="P98">IFERROR(O98/G98*100,0)</f>
        <v>3.1492248062015502</v>
      </c>
      <c r="Q98" s="203">
        <f t="array" ref="Q98">INDEX('[20]LS (Deteksi) Agustus'!Q$7:Q$303,MATCH(1,('[20]LS (Deteksi) Agustus'!$D$7:$D$303=$D98)*('[20]LS (Deteksi) Agustus'!$D$7:$D$303=$D98),0))</f>
        <v>5</v>
      </c>
      <c r="R98" s="9">
        <f t="shared" si="14"/>
        <v>3.8461538461538463</v>
      </c>
      <c r="S98" s="8" t="str">
        <f t="array" ref="S98">IF(R98&gt;5,"Perlu Sensus",IF(AND(R98&gt;=0,O98&gt;0),"Tetap Deteksi","Belum Deteksi"))</f>
        <v>Tetap Deteksi</v>
      </c>
      <c r="T98" s="203">
        <f t="array" ref="T98">INDEX('[20]LS (Deteksi) Agustus'!T$7:T$303,MATCH(1,('[20]LS (Deteksi) Agustus'!$D$7:$D$303=$D98)*('[20]LS (Deteksi) Agustus'!$D$7:$D$303=$D98),0))</f>
        <v>12</v>
      </c>
      <c r="U98" s="9">
        <f t="shared" si="15"/>
        <v>9.2307692307692317</v>
      </c>
      <c r="V98" s="132">
        <f t="array" ref="V98">INDEX('[20]LS (Deteksi) Agustus'!V$7:V$303,MATCH(1,('[20]LS (Deteksi) Agustus'!$D$7:$D$303=$D98)*('[20]LS (Deteksi) Agustus'!$D$7:$D$303=$D98),0))</f>
        <v>46246</v>
      </c>
      <c r="W98" s="203">
        <f t="array" ref="W98">INDEX('[20]LS (Deteksi) Agustus'!W$7:W$303,MATCH(1,('[20]LS (Deteksi) Agustus'!$D$7:$D$303=$D98)*('[20]LS (Deteksi) Agustus'!$D$7:$D$303=$D98),0))</f>
        <v>190</v>
      </c>
      <c r="X98" s="203">
        <f t="array" ref="X98">INDEX('[20]LS (Deteksi) Agustus'!X$7:X$303,MATCH(1,('[20]LS (Deteksi) Agustus'!$D$7:$D$303=$D98)*('[20]LS (Deteksi) Agustus'!$D$7:$D$303=$D98),0))</f>
        <v>8</v>
      </c>
      <c r="Y98" s="9">
        <f t="shared" si="16"/>
        <v>4.2105263157894735</v>
      </c>
      <c r="Z98" s="8" t="str">
        <f t="array" ref="Z98">IF(Y98&gt;5,"Perlu Sensus",IF(AND(Y98&gt;0,,O98&gt;0),"Tetap Deteksi","Belum Deteksi"))</f>
        <v>Belum Deteksi</v>
      </c>
      <c r="AA98" s="203">
        <f t="array" ref="AA98">INDEX('[20]LS (Deteksi) Agustus'!AA$7:AA$303,MATCH(1,('[20]LS (Deteksi) Agustus'!$D$7:$D$303=$D98)*('[20]LS (Deteksi) Agustus'!$D$7:$D$303=$D98),0))</f>
        <v>15</v>
      </c>
      <c r="AB98" s="9">
        <f t="shared" si="17"/>
        <v>7.8947368421052628</v>
      </c>
    </row>
    <row r="99" spans="1:28" outlineLevel="1" x14ac:dyDescent="0.15">
      <c r="A99" s="8" t="s">
        <v>13</v>
      </c>
      <c r="B99" s="8" t="s">
        <v>14</v>
      </c>
      <c r="C99" s="8" t="s">
        <v>107</v>
      </c>
      <c r="D99" s="8" t="s">
        <v>112</v>
      </c>
      <c r="E99" s="9">
        <v>24.5</v>
      </c>
      <c r="F99" s="8" t="s">
        <v>16</v>
      </c>
      <c r="G99" s="143">
        <v>3509</v>
      </c>
      <c r="H99" s="132">
        <f t="shared" si="18"/>
        <v>46238</v>
      </c>
      <c r="I99" s="140">
        <f t="shared" si="18"/>
        <v>108</v>
      </c>
      <c r="J99" s="9">
        <f t="shared" si="11"/>
        <v>3.0777999430037046</v>
      </c>
      <c r="K99" s="140">
        <f t="shared" si="12"/>
        <v>8</v>
      </c>
      <c r="L99" s="206">
        <f t="shared" si="13"/>
        <v>7.4074074074074066</v>
      </c>
      <c r="M99" s="8" t="str">
        <f t="array" ref="M99">IF(L99&gt;5,"Perlu Sensus",IF(AND(L99&gt;=0,I99&gt;0),"Tetap Deteksi","Belum Deteksi"))</f>
        <v>Perlu Sensus</v>
      </c>
      <c r="N99" s="132">
        <f t="array" ref="N99">INDEX('[20]LS (Deteksi) Agustus'!N$7:N$303,MATCH(1,('[20]LS (Deteksi) Agustus'!$D$7:$D$303=$D99)*('[20]LS (Deteksi) Agustus'!$D$7:$D$303=$D99),0))</f>
        <v>46238</v>
      </c>
      <c r="O99" s="203">
        <f t="array" ref="O99">INDEX('[20]LS (Deteksi) Agustus'!O$7:O$303,MATCH(1,('[20]LS (Deteksi) Agustus'!$D$7:$D$303=$D99)*('[20]LS (Deteksi) Agustus'!$D$7:$D$303=$D99),0))</f>
        <v>108</v>
      </c>
      <c r="P99" s="9">
        <f t="array" ref="P99">IFERROR(O99/G99*100,0)</f>
        <v>3.0777999430037046</v>
      </c>
      <c r="Q99" s="203">
        <f t="array" ref="Q99">INDEX('[20]LS (Deteksi) Agustus'!Q$7:Q$303,MATCH(1,('[20]LS (Deteksi) Agustus'!$D$7:$D$303=$D99)*('[20]LS (Deteksi) Agustus'!$D$7:$D$303=$D99),0))</f>
        <v>8</v>
      </c>
      <c r="R99" s="9">
        <f t="shared" si="14"/>
        <v>7.4074074074074066</v>
      </c>
      <c r="S99" s="8" t="str">
        <f t="array" ref="S99">IF(R99&gt;5,"Perlu Sensus",IF(AND(R99&gt;=0,O99&gt;0),"Tetap Deteksi","Belum Deteksi"))</f>
        <v>Perlu Sensus</v>
      </c>
      <c r="T99" s="203">
        <f t="array" ref="T99">INDEX('[20]LS (Deteksi) Agustus'!T$7:T$303,MATCH(1,('[20]LS (Deteksi) Agustus'!$D$7:$D$303=$D99)*('[20]LS (Deteksi) Agustus'!$D$7:$D$303=$D99),0))</f>
        <v>25</v>
      </c>
      <c r="U99" s="9">
        <f t="shared" si="15"/>
        <v>23.148148148148149</v>
      </c>
      <c r="V99" s="132">
        <f t="array" ref="V99">INDEX('[20]LS (Deteksi) Agustus'!V$7:V$303,MATCH(1,('[20]LS (Deteksi) Agustus'!$D$7:$D$303=$D99)*('[20]LS (Deteksi) Agustus'!$D$7:$D$303=$D99),0))</f>
        <v>46239</v>
      </c>
      <c r="W99" s="203">
        <f t="array" ref="W99">INDEX('[20]LS (Deteksi) Agustus'!W$7:W$303,MATCH(1,('[20]LS (Deteksi) Agustus'!$D$7:$D$303=$D99)*('[20]LS (Deteksi) Agustus'!$D$7:$D$303=$D99),0))</f>
        <v>230</v>
      </c>
      <c r="X99" s="203">
        <f t="array" ref="X99">INDEX('[20]LS (Deteksi) Agustus'!X$7:X$303,MATCH(1,('[20]LS (Deteksi) Agustus'!$D$7:$D$303=$D99)*('[20]LS (Deteksi) Agustus'!$D$7:$D$303=$D99),0))</f>
        <v>12</v>
      </c>
      <c r="Y99" s="9">
        <f t="shared" si="16"/>
        <v>5.2173913043478262</v>
      </c>
      <c r="Z99" s="8" t="str">
        <f t="array" ref="Z99">IF(Y99&gt;5,"Perlu Sensus",IF(AND(Y99&gt;0,,O99&gt;0),"Tetap Deteksi","Belum Deteksi"))</f>
        <v>Perlu Sensus</v>
      </c>
      <c r="AA99" s="203">
        <f t="array" ref="AA99">INDEX('[20]LS (Deteksi) Agustus'!AA$7:AA$303,MATCH(1,('[20]LS (Deteksi) Agustus'!$D$7:$D$303=$D99)*('[20]LS (Deteksi) Agustus'!$D$7:$D$303=$D99),0))</f>
        <v>15</v>
      </c>
      <c r="AB99" s="9">
        <f t="shared" si="17"/>
        <v>6.5217391304347823</v>
      </c>
    </row>
    <row r="100" spans="1:28" outlineLevel="1" x14ac:dyDescent="0.15">
      <c r="A100" s="8" t="s">
        <v>13</v>
      </c>
      <c r="B100" s="8" t="s">
        <v>14</v>
      </c>
      <c r="C100" s="8" t="s">
        <v>107</v>
      </c>
      <c r="D100" s="8" t="s">
        <v>113</v>
      </c>
      <c r="E100" s="9">
        <v>25.29</v>
      </c>
      <c r="F100" s="8" t="s">
        <v>16</v>
      </c>
      <c r="G100" s="143">
        <v>3210</v>
      </c>
      <c r="H100" s="132">
        <f t="shared" si="18"/>
        <v>46238</v>
      </c>
      <c r="I100" s="140">
        <f t="shared" si="18"/>
        <v>98</v>
      </c>
      <c r="J100" s="9">
        <f t="shared" si="11"/>
        <v>3.0529595015576323</v>
      </c>
      <c r="K100" s="140">
        <f t="shared" si="12"/>
        <v>6</v>
      </c>
      <c r="L100" s="206">
        <f t="shared" si="13"/>
        <v>6.1224489795918364</v>
      </c>
      <c r="M100" s="8" t="str">
        <f t="array" ref="M100">IF(L100&gt;5,"Perlu Sensus",IF(AND(L100&gt;=0,I100&gt;0),"Tetap Deteksi","Belum Deteksi"))</f>
        <v>Perlu Sensus</v>
      </c>
      <c r="N100" s="132">
        <f t="array" ref="N100">INDEX('[20]LS (Deteksi) Agustus'!N$7:N$303,MATCH(1,('[20]LS (Deteksi) Agustus'!$D$7:$D$303=$D100)*('[20]LS (Deteksi) Agustus'!$D$7:$D$303=$D100),0))</f>
        <v>46238</v>
      </c>
      <c r="O100" s="203">
        <f t="array" ref="O100">INDEX('[20]LS (Deteksi) Agustus'!O$7:O$303,MATCH(1,('[20]LS (Deteksi) Agustus'!$D$7:$D$303=$D100)*('[20]LS (Deteksi) Agustus'!$D$7:$D$303=$D100),0))</f>
        <v>98</v>
      </c>
      <c r="P100" s="9">
        <f t="array" ref="P100">IFERROR(O100/G100*100,0)</f>
        <v>3.0529595015576323</v>
      </c>
      <c r="Q100" s="203">
        <f t="array" ref="Q100">INDEX('[20]LS (Deteksi) Agustus'!Q$7:Q$303,MATCH(1,('[20]LS (Deteksi) Agustus'!$D$7:$D$303=$D100)*('[20]LS (Deteksi) Agustus'!$D$7:$D$303=$D100),0))</f>
        <v>6</v>
      </c>
      <c r="R100" s="9">
        <f t="shared" si="14"/>
        <v>6.1224489795918364</v>
      </c>
      <c r="S100" s="8" t="str">
        <f t="array" ref="S100">IF(R100&gt;5,"Perlu Sensus",IF(AND(R100&gt;=0,O100&gt;0),"Tetap Deteksi","Belum Deteksi"))</f>
        <v>Perlu Sensus</v>
      </c>
      <c r="T100" s="203">
        <f t="array" ref="T100">INDEX('[20]LS (Deteksi) Agustus'!T$7:T$303,MATCH(1,('[20]LS (Deteksi) Agustus'!$D$7:$D$303=$D100)*('[20]LS (Deteksi) Agustus'!$D$7:$D$303=$D100),0))</f>
        <v>16</v>
      </c>
      <c r="U100" s="9">
        <f t="shared" si="15"/>
        <v>16.326530612244898</v>
      </c>
      <c r="V100" s="132">
        <f t="array" ref="V100">INDEX('[20]LS (Deteksi) Agustus'!V$7:V$303,MATCH(1,('[20]LS (Deteksi) Agustus'!$D$7:$D$303=$D100)*('[20]LS (Deteksi) Agustus'!$D$7:$D$303=$D100),0))</f>
        <v>46239</v>
      </c>
      <c r="W100" s="203">
        <f t="array" ref="W100">INDEX('[20]LS (Deteksi) Agustus'!W$7:W$303,MATCH(1,('[20]LS (Deteksi) Agustus'!$D$7:$D$303=$D100)*('[20]LS (Deteksi) Agustus'!$D$7:$D$303=$D100),0))</f>
        <v>219</v>
      </c>
      <c r="X100" s="203">
        <f t="array" ref="X100">INDEX('[20]LS (Deteksi) Agustus'!X$7:X$303,MATCH(1,('[20]LS (Deteksi) Agustus'!$D$7:$D$303=$D100)*('[20]LS (Deteksi) Agustus'!$D$7:$D$303=$D100),0))</f>
        <v>17</v>
      </c>
      <c r="Y100" s="9">
        <f t="shared" si="16"/>
        <v>7.7625570776255701</v>
      </c>
      <c r="Z100" s="8" t="str">
        <f t="array" ref="Z100">IF(Y100&gt;5,"Perlu Sensus",IF(AND(Y100&gt;0,,O100&gt;0),"Tetap Deteksi","Belum Deteksi"))</f>
        <v>Perlu Sensus</v>
      </c>
      <c r="AA100" s="203">
        <f t="array" ref="AA100">INDEX('[20]LS (Deteksi) Agustus'!AA$7:AA$303,MATCH(1,('[20]LS (Deteksi) Agustus'!$D$7:$D$303=$D100)*('[20]LS (Deteksi) Agustus'!$D$7:$D$303=$D100),0))</f>
        <v>12</v>
      </c>
      <c r="AB100" s="9">
        <f t="shared" si="17"/>
        <v>5.4794520547945202</v>
      </c>
    </row>
    <row r="101" spans="1:28" outlineLevel="1" x14ac:dyDescent="0.15">
      <c r="A101" s="8" t="s">
        <v>13</v>
      </c>
      <c r="B101" s="8" t="s">
        <v>14</v>
      </c>
      <c r="C101" s="8" t="s">
        <v>107</v>
      </c>
      <c r="D101" s="8" t="s">
        <v>114</v>
      </c>
      <c r="E101" s="9">
        <v>29.59</v>
      </c>
      <c r="F101" s="8" t="s">
        <v>16</v>
      </c>
      <c r="G101" s="143">
        <v>2781</v>
      </c>
      <c r="H101" s="132">
        <f t="shared" si="18"/>
        <v>46247</v>
      </c>
      <c r="I101" s="140">
        <f t="shared" si="18"/>
        <v>187</v>
      </c>
      <c r="J101" s="9" t="str">
        <f t="shared" si="11"/>
        <v xml:space="preserve"> </v>
      </c>
      <c r="K101" s="140">
        <f t="shared" si="12"/>
        <v>5</v>
      </c>
      <c r="L101" s="206">
        <f t="shared" si="13"/>
        <v>2.6737967914438503</v>
      </c>
      <c r="M101" s="8" t="str">
        <f t="array" ref="M101">IF(L101&gt;5,"Perlu Sensus",IF(AND(L101&gt;=0,I101&gt;0),"Tetap Deteksi","Belum Deteksi"))</f>
        <v>Tetap Deteksi</v>
      </c>
      <c r="N101" s="132">
        <f t="array" ref="N101">INDEX('[20]LS (Deteksi) Agustus'!N$7:N$303,MATCH(1,('[20]LS (Deteksi) Agustus'!$D$7:$D$303=$D101)*('[20]LS (Deteksi) Agustus'!$D$7:$D$303=$D101),0))</f>
        <v>0</v>
      </c>
      <c r="O101" s="203">
        <f t="array" ref="O101">INDEX('[20]LS (Deteksi) Agustus'!O$7:O$303,MATCH(1,('[20]LS (Deteksi) Agustus'!$D$7:$D$303=$D101)*('[20]LS (Deteksi) Agustus'!$D$7:$D$303=$D101),0))</f>
        <v>0</v>
      </c>
      <c r="P101" s="9">
        <f t="array" ref="P101">IFERROR(O101/G101*100,0)</f>
        <v>0</v>
      </c>
      <c r="Q101" s="203">
        <f t="array" ref="Q101">INDEX('[20]LS (Deteksi) Agustus'!Q$7:Q$303,MATCH(1,('[20]LS (Deteksi) Agustus'!$D$7:$D$303=$D101)*('[20]LS (Deteksi) Agustus'!$D$7:$D$303=$D101),0))</f>
        <v>0</v>
      </c>
      <c r="R101" s="9">
        <f t="shared" si="14"/>
        <v>0</v>
      </c>
      <c r="S101" s="8" t="str">
        <f t="array" ref="S101">IF(R101&gt;5,"Perlu Sensus",IF(AND(R101&gt;=0,O101&gt;0),"Tetap Deteksi","Belum Deteksi"))</f>
        <v>Belum Deteksi</v>
      </c>
      <c r="T101" s="203">
        <f t="array" ref="T101">INDEX('[20]LS (Deteksi) Agustus'!T$7:T$303,MATCH(1,('[20]LS (Deteksi) Agustus'!$D$7:$D$303=$D101)*('[20]LS (Deteksi) Agustus'!$D$7:$D$303=$D101),0))</f>
        <v>0</v>
      </c>
      <c r="U101" s="9">
        <f t="shared" si="15"/>
        <v>0</v>
      </c>
      <c r="V101" s="132">
        <f t="array" ref="V101">INDEX('[20]LS (Deteksi) Agustus'!V$7:V$303,MATCH(1,('[20]LS (Deteksi) Agustus'!$D$7:$D$303=$D101)*('[20]LS (Deteksi) Agustus'!$D$7:$D$303=$D101),0))</f>
        <v>46247</v>
      </c>
      <c r="W101" s="203">
        <f t="array" ref="W101">INDEX('[20]LS (Deteksi) Agustus'!W$7:W$303,MATCH(1,('[20]LS (Deteksi) Agustus'!$D$7:$D$303=$D101)*('[20]LS (Deteksi) Agustus'!$D$7:$D$303=$D101),0))</f>
        <v>187</v>
      </c>
      <c r="X101" s="203">
        <f t="array" ref="X101">INDEX('[20]LS (Deteksi) Agustus'!X$7:X$303,MATCH(1,('[20]LS (Deteksi) Agustus'!$D$7:$D$303=$D101)*('[20]LS (Deteksi) Agustus'!$D$7:$D$303=$D101),0))</f>
        <v>5</v>
      </c>
      <c r="Y101" s="9">
        <f t="shared" si="16"/>
        <v>2.6737967914438503</v>
      </c>
      <c r="Z101" s="8" t="str">
        <f t="array" ref="Z101">IF(Y101&gt;5,"Perlu Sensus",IF(AND(Y101&gt;0,,O101&gt;0),"Tetap Deteksi","Belum Deteksi"))</f>
        <v>Belum Deteksi</v>
      </c>
      <c r="AA101" s="203">
        <f t="array" ref="AA101">INDEX('[20]LS (Deteksi) Agustus'!AA$7:AA$303,MATCH(1,('[20]LS (Deteksi) Agustus'!$D$7:$D$303=$D101)*('[20]LS (Deteksi) Agustus'!$D$7:$D$303=$D101),0))</f>
        <v>12</v>
      </c>
      <c r="AB101" s="9">
        <f t="shared" si="17"/>
        <v>6.4171122994652414</v>
      </c>
    </row>
    <row r="102" spans="1:28" outlineLevel="1" x14ac:dyDescent="0.15">
      <c r="A102" s="8" t="s">
        <v>13</v>
      </c>
      <c r="B102" s="8" t="s">
        <v>14</v>
      </c>
      <c r="C102" s="8" t="s">
        <v>107</v>
      </c>
      <c r="D102" s="8" t="s">
        <v>115</v>
      </c>
      <c r="E102" s="9">
        <v>49.97</v>
      </c>
      <c r="F102" s="8" t="s">
        <v>16</v>
      </c>
      <c r="G102" s="143">
        <v>6611</v>
      </c>
      <c r="H102" s="132">
        <f t="shared" si="18"/>
        <v>46246</v>
      </c>
      <c r="I102" s="140">
        <f t="shared" si="18"/>
        <v>89</v>
      </c>
      <c r="J102" s="9">
        <f t="shared" si="11"/>
        <v>1.3462411132960217</v>
      </c>
      <c r="K102" s="140">
        <f t="shared" si="12"/>
        <v>5</v>
      </c>
      <c r="L102" s="206">
        <f t="shared" si="13"/>
        <v>5.6179775280898872</v>
      </c>
      <c r="M102" s="8" t="str">
        <f t="array" ref="M102">IF(L102&gt;5,"Perlu Sensus",IF(AND(L102&gt;=0,I102&gt;0),"Tetap Deteksi","Belum Deteksi"))</f>
        <v>Perlu Sensus</v>
      </c>
      <c r="N102" s="132">
        <f t="array" ref="N102">INDEX('[20]LS (Deteksi) Agustus'!N$7:N$303,MATCH(1,('[20]LS (Deteksi) Agustus'!$D$7:$D$303=$D102)*('[20]LS (Deteksi) Agustus'!$D$7:$D$303=$D102),0))</f>
        <v>46246</v>
      </c>
      <c r="O102" s="203">
        <f t="array" ref="O102">INDEX('[20]LS (Deteksi) Agustus'!O$7:O$303,MATCH(1,('[20]LS (Deteksi) Agustus'!$D$7:$D$303=$D102)*('[20]LS (Deteksi) Agustus'!$D$7:$D$303=$D102),0))</f>
        <v>89</v>
      </c>
      <c r="P102" s="9">
        <f t="array" ref="P102">IFERROR(O102/G102*100,0)</f>
        <v>1.3462411132960217</v>
      </c>
      <c r="Q102" s="203">
        <f t="array" ref="Q102">INDEX('[20]LS (Deteksi) Agustus'!Q$7:Q$303,MATCH(1,('[20]LS (Deteksi) Agustus'!$D$7:$D$303=$D102)*('[20]LS (Deteksi) Agustus'!$D$7:$D$303=$D102),0))</f>
        <v>5</v>
      </c>
      <c r="R102" s="9">
        <f t="shared" si="14"/>
        <v>5.6179775280898872</v>
      </c>
      <c r="S102" s="8" t="str">
        <f t="array" ref="S102">IF(R102&gt;5,"Perlu Sensus",IF(AND(R102&gt;=0,O102&gt;0),"Tetap Deteksi","Belum Deteksi"))</f>
        <v>Perlu Sensus</v>
      </c>
      <c r="T102" s="203">
        <f t="array" ref="T102">INDEX('[20]LS (Deteksi) Agustus'!T$7:T$303,MATCH(1,('[20]LS (Deteksi) Agustus'!$D$7:$D$303=$D102)*('[20]LS (Deteksi) Agustus'!$D$7:$D$303=$D102),0))</f>
        <v>8</v>
      </c>
      <c r="U102" s="9">
        <f t="shared" si="15"/>
        <v>8.9887640449438209</v>
      </c>
      <c r="V102" s="132">
        <f t="array" ref="V102">INDEX('[20]LS (Deteksi) Agustus'!V$7:V$303,MATCH(1,('[20]LS (Deteksi) Agustus'!$D$7:$D$303=$D102)*('[20]LS (Deteksi) Agustus'!$D$7:$D$303=$D102),0))</f>
        <v>46247</v>
      </c>
      <c r="W102" s="203">
        <f t="array" ref="W102">INDEX('[20]LS (Deteksi) Agustus'!W$7:W$303,MATCH(1,('[20]LS (Deteksi) Agustus'!$D$7:$D$303=$D102)*('[20]LS (Deteksi) Agustus'!$D$7:$D$303=$D102),0))</f>
        <v>180</v>
      </c>
      <c r="X102" s="203">
        <f t="array" ref="X102">INDEX('[20]LS (Deteksi) Agustus'!X$7:X$303,MATCH(1,('[20]LS (Deteksi) Agustus'!$D$7:$D$303=$D102)*('[20]LS (Deteksi) Agustus'!$D$7:$D$303=$D102),0))</f>
        <v>12</v>
      </c>
      <c r="Y102" s="9">
        <f t="shared" si="16"/>
        <v>6.666666666666667</v>
      </c>
      <c r="Z102" s="8" t="str">
        <f t="array" ref="Z102">IF(Y102&gt;5,"Perlu Sensus",IF(AND(Y102&gt;0,,O102&gt;0),"Tetap Deteksi","Belum Deteksi"))</f>
        <v>Perlu Sensus</v>
      </c>
      <c r="AA102" s="203">
        <f t="array" ref="AA102">INDEX('[20]LS (Deteksi) Agustus'!AA$7:AA$303,MATCH(1,('[20]LS (Deteksi) Agustus'!$D$7:$D$303=$D102)*('[20]LS (Deteksi) Agustus'!$D$7:$D$303=$D102),0))</f>
        <v>11</v>
      </c>
      <c r="AB102" s="9">
        <f t="shared" si="17"/>
        <v>6.1111111111111107</v>
      </c>
    </row>
    <row r="103" spans="1:28" outlineLevel="1" x14ac:dyDescent="0.15">
      <c r="A103" s="8" t="s">
        <v>13</v>
      </c>
      <c r="B103" s="8" t="s">
        <v>14</v>
      </c>
      <c r="C103" s="8" t="s">
        <v>107</v>
      </c>
      <c r="D103" s="8" t="s">
        <v>116</v>
      </c>
      <c r="E103" s="9">
        <v>25.48</v>
      </c>
      <c r="F103" s="8" t="s">
        <v>16</v>
      </c>
      <c r="G103" s="143">
        <v>3708</v>
      </c>
      <c r="H103" s="132">
        <f t="shared" si="18"/>
        <v>46246</v>
      </c>
      <c r="I103" s="140">
        <f t="shared" si="18"/>
        <v>102</v>
      </c>
      <c r="J103" s="9">
        <f t="shared" si="11"/>
        <v>2.7508090614886731</v>
      </c>
      <c r="K103" s="140">
        <f t="shared" si="12"/>
        <v>6</v>
      </c>
      <c r="L103" s="206">
        <f t="shared" si="13"/>
        <v>5.8823529411764701</v>
      </c>
      <c r="M103" s="8" t="str">
        <f t="array" ref="M103">IF(L103&gt;5,"Perlu Sensus",IF(AND(L103&gt;=0,I103&gt;0),"Tetap Deteksi","Belum Deteksi"))</f>
        <v>Perlu Sensus</v>
      </c>
      <c r="N103" s="132">
        <f t="array" ref="N103">INDEX('[20]LS (Deteksi) Agustus'!N$7:N$303,MATCH(1,('[20]LS (Deteksi) Agustus'!$D$7:$D$303=$D103)*('[20]LS (Deteksi) Agustus'!$D$7:$D$303=$D103),0))</f>
        <v>46246</v>
      </c>
      <c r="O103" s="203">
        <f t="array" ref="O103">INDEX('[20]LS (Deteksi) Agustus'!O$7:O$303,MATCH(1,('[20]LS (Deteksi) Agustus'!$D$7:$D$303=$D103)*('[20]LS (Deteksi) Agustus'!$D$7:$D$303=$D103),0))</f>
        <v>102</v>
      </c>
      <c r="P103" s="9">
        <f t="array" ref="P103">IFERROR(O103/G103*100,0)</f>
        <v>2.7508090614886731</v>
      </c>
      <c r="Q103" s="203">
        <f t="array" ref="Q103">INDEX('[20]LS (Deteksi) Agustus'!Q$7:Q$303,MATCH(1,('[20]LS (Deteksi) Agustus'!$D$7:$D$303=$D103)*('[20]LS (Deteksi) Agustus'!$D$7:$D$303=$D103),0))</f>
        <v>6</v>
      </c>
      <c r="R103" s="9">
        <f t="shared" si="14"/>
        <v>5.8823529411764701</v>
      </c>
      <c r="S103" s="8" t="str">
        <f t="array" ref="S103">IF(R103&gt;5,"Perlu Sensus",IF(AND(R103&gt;=0,O103&gt;0),"Tetap Deteksi","Belum Deteksi"))</f>
        <v>Perlu Sensus</v>
      </c>
      <c r="T103" s="203">
        <f t="array" ref="T103">INDEX('[20]LS (Deteksi) Agustus'!T$7:T$303,MATCH(1,('[20]LS (Deteksi) Agustus'!$D$7:$D$303=$D103)*('[20]LS (Deteksi) Agustus'!$D$7:$D$303=$D103),0))</f>
        <v>23</v>
      </c>
      <c r="U103" s="9">
        <f t="shared" si="15"/>
        <v>22.549019607843139</v>
      </c>
      <c r="V103" s="132">
        <f t="array" ref="V103">INDEX('[20]LS (Deteksi) Agustus'!V$7:V$303,MATCH(1,('[20]LS (Deteksi) Agustus'!$D$7:$D$303=$D103)*('[20]LS (Deteksi) Agustus'!$D$7:$D$303=$D103),0))</f>
        <v>46247</v>
      </c>
      <c r="W103" s="203">
        <f t="array" ref="W103">INDEX('[20]LS (Deteksi) Agustus'!W$7:W$303,MATCH(1,('[20]LS (Deteksi) Agustus'!$D$7:$D$303=$D103)*('[20]LS (Deteksi) Agustus'!$D$7:$D$303=$D103),0))</f>
        <v>165</v>
      </c>
      <c r="X103" s="203">
        <f t="array" ref="X103">INDEX('[20]LS (Deteksi) Agustus'!X$7:X$303,MATCH(1,('[20]LS (Deteksi) Agustus'!$D$7:$D$303=$D103)*('[20]LS (Deteksi) Agustus'!$D$7:$D$303=$D103),0))</f>
        <v>8</v>
      </c>
      <c r="Y103" s="9">
        <f t="shared" si="16"/>
        <v>4.8484848484848486</v>
      </c>
      <c r="Z103" s="8" t="str">
        <f t="array" ref="Z103">IF(Y103&gt;5,"Perlu Sensus",IF(AND(Y103&gt;0,,O103&gt;0),"Tetap Deteksi","Belum Deteksi"))</f>
        <v>Belum Deteksi</v>
      </c>
      <c r="AA103" s="203">
        <f t="array" ref="AA103">INDEX('[20]LS (Deteksi) Agustus'!AA$7:AA$303,MATCH(1,('[20]LS (Deteksi) Agustus'!$D$7:$D$303=$D103)*('[20]LS (Deteksi) Agustus'!$D$7:$D$303=$D103),0))</f>
        <v>16</v>
      </c>
      <c r="AB103" s="9">
        <f t="shared" si="17"/>
        <v>9.6969696969696972</v>
      </c>
    </row>
    <row r="104" spans="1:28" outlineLevel="1" x14ac:dyDescent="0.15">
      <c r="A104" s="8" t="s">
        <v>13</v>
      </c>
      <c r="B104" s="8" t="s">
        <v>14</v>
      </c>
      <c r="C104" s="8" t="s">
        <v>107</v>
      </c>
      <c r="D104" s="8" t="s">
        <v>117</v>
      </c>
      <c r="E104" s="9">
        <v>22.38</v>
      </c>
      <c r="F104" s="8" t="s">
        <v>16</v>
      </c>
      <c r="G104" s="143">
        <v>3134</v>
      </c>
      <c r="H104" s="132">
        <f t="shared" si="18"/>
        <v>46239</v>
      </c>
      <c r="I104" s="140">
        <f t="shared" si="18"/>
        <v>75</v>
      </c>
      <c r="J104" s="9">
        <f t="shared" si="11"/>
        <v>2.3931078493937461</v>
      </c>
      <c r="K104" s="140">
        <f t="shared" si="12"/>
        <v>5</v>
      </c>
      <c r="L104" s="206">
        <f t="shared" si="13"/>
        <v>6.666666666666667</v>
      </c>
      <c r="M104" s="8" t="str">
        <f t="array" ref="M104">IF(L104&gt;5,"Perlu Sensus",IF(AND(L104&gt;=0,I104&gt;0),"Tetap Deteksi","Belum Deteksi"))</f>
        <v>Perlu Sensus</v>
      </c>
      <c r="N104" s="132">
        <f t="array" ref="N104">INDEX('[20]LS (Deteksi) Agustus'!N$7:N$303,MATCH(1,('[20]LS (Deteksi) Agustus'!$D$7:$D$303=$D104)*('[20]LS (Deteksi) Agustus'!$D$7:$D$303=$D104),0))</f>
        <v>46239</v>
      </c>
      <c r="O104" s="203">
        <f t="array" ref="O104">INDEX('[20]LS (Deteksi) Agustus'!O$7:O$303,MATCH(1,('[20]LS (Deteksi) Agustus'!$D$7:$D$303=$D104)*('[20]LS (Deteksi) Agustus'!$D$7:$D$303=$D104),0))</f>
        <v>75</v>
      </c>
      <c r="P104" s="9">
        <f t="array" ref="P104">IFERROR(O104/G104*100,0)</f>
        <v>2.3931078493937461</v>
      </c>
      <c r="Q104" s="203">
        <f t="array" ref="Q104">INDEX('[20]LS (Deteksi) Agustus'!Q$7:Q$303,MATCH(1,('[20]LS (Deteksi) Agustus'!$D$7:$D$303=$D104)*('[20]LS (Deteksi) Agustus'!$D$7:$D$303=$D104),0))</f>
        <v>5</v>
      </c>
      <c r="R104" s="9">
        <f t="shared" si="14"/>
        <v>6.666666666666667</v>
      </c>
      <c r="S104" s="8" t="str">
        <f t="array" ref="S104">IF(R104&gt;5,"Perlu Sensus",IF(AND(R104&gt;=0,O104&gt;0),"Tetap Deteksi","Belum Deteksi"))</f>
        <v>Perlu Sensus</v>
      </c>
      <c r="T104" s="203">
        <f t="array" ref="T104">INDEX('[20]LS (Deteksi) Agustus'!T$7:T$303,MATCH(1,('[20]LS (Deteksi) Agustus'!$D$7:$D$303=$D104)*('[20]LS (Deteksi) Agustus'!$D$7:$D$303=$D104),0))</f>
        <v>18</v>
      </c>
      <c r="U104" s="9">
        <f t="shared" si="15"/>
        <v>24</v>
      </c>
      <c r="V104" s="132">
        <f t="array" ref="V104">INDEX('[20]LS (Deteksi) Agustus'!V$7:V$303,MATCH(1,('[20]LS (Deteksi) Agustus'!$D$7:$D$303=$D104)*('[20]LS (Deteksi) Agustus'!$D$7:$D$303=$D104),0))</f>
        <v>46240</v>
      </c>
      <c r="W104" s="203">
        <f t="array" ref="W104">INDEX('[20]LS (Deteksi) Agustus'!W$7:W$303,MATCH(1,('[20]LS (Deteksi) Agustus'!$D$7:$D$303=$D104)*('[20]LS (Deteksi) Agustus'!$D$7:$D$303=$D104),0))</f>
        <v>286</v>
      </c>
      <c r="X104" s="203">
        <f t="array" ref="X104">INDEX('[20]LS (Deteksi) Agustus'!X$7:X$303,MATCH(1,('[20]LS (Deteksi) Agustus'!$D$7:$D$303=$D104)*('[20]LS (Deteksi) Agustus'!$D$7:$D$303=$D104),0))</f>
        <v>17</v>
      </c>
      <c r="Y104" s="9">
        <f t="shared" si="16"/>
        <v>5.9440559440559442</v>
      </c>
      <c r="Z104" s="8" t="str">
        <f t="array" ref="Z104">IF(Y104&gt;5,"Perlu Sensus",IF(AND(Y104&gt;0,,O104&gt;0),"Tetap Deteksi","Belum Deteksi"))</f>
        <v>Perlu Sensus</v>
      </c>
      <c r="AA104" s="203">
        <f t="array" ref="AA104">INDEX('[20]LS (Deteksi) Agustus'!AA$7:AA$303,MATCH(1,('[20]LS (Deteksi) Agustus'!$D$7:$D$303=$D104)*('[20]LS (Deteksi) Agustus'!$D$7:$D$303=$D104),0))</f>
        <v>14</v>
      </c>
      <c r="AB104" s="9">
        <f t="shared" si="17"/>
        <v>4.895104895104895</v>
      </c>
    </row>
    <row r="105" spans="1:28" outlineLevel="1" x14ac:dyDescent="0.15">
      <c r="A105" s="8" t="s">
        <v>13</v>
      </c>
      <c r="B105" s="8" t="s">
        <v>14</v>
      </c>
      <c r="C105" s="8" t="s">
        <v>107</v>
      </c>
      <c r="D105" s="8" t="s">
        <v>118</v>
      </c>
      <c r="E105" s="9">
        <v>24.85</v>
      </c>
      <c r="F105" s="8" t="s">
        <v>16</v>
      </c>
      <c r="G105" s="143">
        <v>3940</v>
      </c>
      <c r="H105" s="132">
        <f t="shared" si="18"/>
        <v>46246</v>
      </c>
      <c r="I105" s="140">
        <f t="shared" si="18"/>
        <v>82</v>
      </c>
      <c r="J105" s="9">
        <f t="shared" si="11"/>
        <v>2.0812182741116749</v>
      </c>
      <c r="K105" s="140">
        <f t="shared" si="12"/>
        <v>5</v>
      </c>
      <c r="L105" s="206">
        <f t="shared" si="13"/>
        <v>6.0975609756097562</v>
      </c>
      <c r="M105" s="8" t="str">
        <f t="array" ref="M105">IF(L105&gt;5,"Perlu Sensus",IF(AND(L105&gt;=0,I105&gt;0),"Tetap Deteksi","Belum Deteksi"))</f>
        <v>Perlu Sensus</v>
      </c>
      <c r="N105" s="132">
        <f t="array" ref="N105">INDEX('[20]LS (Deteksi) Agustus'!N$7:N$303,MATCH(1,('[20]LS (Deteksi) Agustus'!$D$7:$D$303=$D105)*('[20]LS (Deteksi) Agustus'!$D$7:$D$303=$D105),0))</f>
        <v>46246</v>
      </c>
      <c r="O105" s="203">
        <f t="array" ref="O105">INDEX('[20]LS (Deteksi) Agustus'!O$7:O$303,MATCH(1,('[20]LS (Deteksi) Agustus'!$D$7:$D$303=$D105)*('[20]LS (Deteksi) Agustus'!$D$7:$D$303=$D105),0))</f>
        <v>82</v>
      </c>
      <c r="P105" s="9">
        <f t="array" ref="P105">IFERROR(O105/G105*100,0)</f>
        <v>2.0812182741116749</v>
      </c>
      <c r="Q105" s="203">
        <f t="array" ref="Q105">INDEX('[20]LS (Deteksi) Agustus'!Q$7:Q$303,MATCH(1,('[20]LS (Deteksi) Agustus'!$D$7:$D$303=$D105)*('[20]LS (Deteksi) Agustus'!$D$7:$D$303=$D105),0))</f>
        <v>5</v>
      </c>
      <c r="R105" s="9">
        <f t="shared" si="14"/>
        <v>6.0975609756097562</v>
      </c>
      <c r="S105" s="8" t="str">
        <f t="array" ref="S105">IF(R105&gt;5,"Perlu Sensus",IF(AND(R105&gt;=0,O105&gt;0),"Tetap Deteksi","Belum Deteksi"))</f>
        <v>Perlu Sensus</v>
      </c>
      <c r="T105" s="203">
        <f t="array" ref="T105">INDEX('[20]LS (Deteksi) Agustus'!T$7:T$303,MATCH(1,('[20]LS (Deteksi) Agustus'!$D$7:$D$303=$D105)*('[20]LS (Deteksi) Agustus'!$D$7:$D$303=$D105),0))</f>
        <v>11</v>
      </c>
      <c r="U105" s="9">
        <f t="shared" si="15"/>
        <v>13.414634146341465</v>
      </c>
      <c r="V105" s="132">
        <f t="array" ref="V105">INDEX('[20]LS (Deteksi) Agustus'!V$7:V$303,MATCH(1,('[20]LS (Deteksi) Agustus'!$D$7:$D$303=$D105)*('[20]LS (Deteksi) Agustus'!$D$7:$D$303=$D105),0))</f>
        <v>46240</v>
      </c>
      <c r="W105" s="203">
        <f t="array" ref="W105">INDEX('[20]LS (Deteksi) Agustus'!W$7:W$303,MATCH(1,('[20]LS (Deteksi) Agustus'!$D$7:$D$303=$D105)*('[20]LS (Deteksi) Agustus'!$D$7:$D$303=$D105),0))</f>
        <v>234</v>
      </c>
      <c r="X105" s="203">
        <f t="array" ref="X105">INDEX('[20]LS (Deteksi) Agustus'!X$7:X$303,MATCH(1,('[20]LS (Deteksi) Agustus'!$D$7:$D$303=$D105)*('[20]LS (Deteksi) Agustus'!$D$7:$D$303=$D105),0))</f>
        <v>12</v>
      </c>
      <c r="Y105" s="9">
        <f t="shared" si="16"/>
        <v>5.1282051282051277</v>
      </c>
      <c r="Z105" s="8" t="str">
        <f t="array" ref="Z105">IF(Y105&gt;5,"Perlu Sensus",IF(AND(Y105&gt;0,,O105&gt;0),"Tetap Deteksi","Belum Deteksi"))</f>
        <v>Perlu Sensus</v>
      </c>
      <c r="AA105" s="203">
        <f t="array" ref="AA105">INDEX('[20]LS (Deteksi) Agustus'!AA$7:AA$303,MATCH(1,('[20]LS (Deteksi) Agustus'!$D$7:$D$303=$D105)*('[20]LS (Deteksi) Agustus'!$D$7:$D$303=$D105),0))</f>
        <v>9</v>
      </c>
      <c r="AB105" s="9">
        <f t="shared" si="17"/>
        <v>3.8461538461538463</v>
      </c>
    </row>
    <row r="106" spans="1:28" outlineLevel="1" x14ac:dyDescent="0.15">
      <c r="A106" s="8" t="s">
        <v>13</v>
      </c>
      <c r="B106" s="8" t="s">
        <v>14</v>
      </c>
      <c r="C106" s="8" t="s">
        <v>107</v>
      </c>
      <c r="D106" s="8" t="s">
        <v>119</v>
      </c>
      <c r="E106" s="9">
        <v>40.32</v>
      </c>
      <c r="F106" s="8" t="s">
        <v>16</v>
      </c>
      <c r="G106" s="143">
        <v>6053</v>
      </c>
      <c r="H106" s="132">
        <f t="shared" si="18"/>
        <v>46237</v>
      </c>
      <c r="I106" s="140">
        <f t="shared" si="18"/>
        <v>210</v>
      </c>
      <c r="J106" s="9" t="str">
        <f t="shared" si="11"/>
        <v xml:space="preserve"> </v>
      </c>
      <c r="K106" s="140">
        <f t="shared" si="12"/>
        <v>17</v>
      </c>
      <c r="L106" s="206">
        <f t="shared" si="13"/>
        <v>8.0952380952380949</v>
      </c>
      <c r="M106" s="8" t="str">
        <f t="array" ref="M106">IF(L106&gt;5,"Perlu Sensus",IF(AND(L106&gt;=0,I106&gt;0),"Tetap Deteksi","Belum Deteksi"))</f>
        <v>Perlu Sensus</v>
      </c>
      <c r="N106" s="132">
        <f t="array" ref="N106">INDEX('[20]LS (Deteksi) Agustus'!N$7:N$303,MATCH(1,('[20]LS (Deteksi) Agustus'!$D$7:$D$303=$D106)*('[20]LS (Deteksi) Agustus'!$D$7:$D$303=$D106),0))</f>
        <v>0</v>
      </c>
      <c r="O106" s="203">
        <f t="array" ref="O106">INDEX('[20]LS (Deteksi) Agustus'!O$7:O$303,MATCH(1,('[20]LS (Deteksi) Agustus'!$D$7:$D$303=$D106)*('[20]LS (Deteksi) Agustus'!$D$7:$D$303=$D106),0))</f>
        <v>0</v>
      </c>
      <c r="P106" s="9">
        <f t="array" ref="P106">IFERROR(O106/G106*100,0)</f>
        <v>0</v>
      </c>
      <c r="Q106" s="203">
        <f t="array" ref="Q106">INDEX('[20]LS (Deteksi) Agustus'!Q$7:Q$303,MATCH(1,('[20]LS (Deteksi) Agustus'!$D$7:$D$303=$D106)*('[20]LS (Deteksi) Agustus'!$D$7:$D$303=$D106),0))</f>
        <v>0</v>
      </c>
      <c r="R106" s="9">
        <f t="shared" si="14"/>
        <v>0</v>
      </c>
      <c r="S106" s="8" t="str">
        <f t="array" ref="S106">IF(R106&gt;5,"Perlu Sensus",IF(AND(R106&gt;=0,O106&gt;0),"Tetap Deteksi","Belum Deteksi"))</f>
        <v>Belum Deteksi</v>
      </c>
      <c r="T106" s="203">
        <f t="array" ref="T106">INDEX('[20]LS (Deteksi) Agustus'!T$7:T$303,MATCH(1,('[20]LS (Deteksi) Agustus'!$D$7:$D$303=$D106)*('[20]LS (Deteksi) Agustus'!$D$7:$D$303=$D106),0))</f>
        <v>0</v>
      </c>
      <c r="U106" s="9">
        <f t="shared" si="15"/>
        <v>0</v>
      </c>
      <c r="V106" s="132">
        <f t="array" ref="V106">INDEX('[20]LS (Deteksi) Agustus'!V$7:V$303,MATCH(1,('[20]LS (Deteksi) Agustus'!$D$7:$D$303=$D106)*('[20]LS (Deteksi) Agustus'!$D$7:$D$303=$D106),0))</f>
        <v>46237</v>
      </c>
      <c r="W106" s="203">
        <f t="array" ref="W106">INDEX('[20]LS (Deteksi) Agustus'!W$7:W$303,MATCH(1,('[20]LS (Deteksi) Agustus'!$D$7:$D$303=$D106)*('[20]LS (Deteksi) Agustus'!$D$7:$D$303=$D106),0))</f>
        <v>210</v>
      </c>
      <c r="X106" s="203">
        <f t="array" ref="X106">INDEX('[20]LS (Deteksi) Agustus'!X$7:X$303,MATCH(1,('[20]LS (Deteksi) Agustus'!$D$7:$D$303=$D106)*('[20]LS (Deteksi) Agustus'!$D$7:$D$303=$D106),0))</f>
        <v>17</v>
      </c>
      <c r="Y106" s="9">
        <f t="shared" si="16"/>
        <v>8.0952380952380949</v>
      </c>
      <c r="Z106" s="8" t="str">
        <f t="array" ref="Z106">IF(Y106&gt;5,"Perlu Sensus",IF(AND(Y106&gt;0,,O106&gt;0),"Tetap Deteksi","Belum Deteksi"))</f>
        <v>Perlu Sensus</v>
      </c>
      <c r="AA106" s="203">
        <f t="array" ref="AA106">INDEX('[20]LS (Deteksi) Agustus'!AA$7:AA$303,MATCH(1,('[20]LS (Deteksi) Agustus'!$D$7:$D$303=$D106)*('[20]LS (Deteksi) Agustus'!$D$7:$D$303=$D106),0))</f>
        <v>13</v>
      </c>
      <c r="AB106" s="9">
        <f t="shared" si="17"/>
        <v>6.1904761904761907</v>
      </c>
    </row>
    <row r="107" spans="1:28" outlineLevel="1" x14ac:dyDescent="0.15">
      <c r="A107" s="8" t="s">
        <v>13</v>
      </c>
      <c r="B107" s="8" t="s">
        <v>14</v>
      </c>
      <c r="C107" s="8" t="s">
        <v>107</v>
      </c>
      <c r="D107" s="8" t="s">
        <v>120</v>
      </c>
      <c r="E107" s="9">
        <v>22.86</v>
      </c>
      <c r="F107" s="8" t="s">
        <v>16</v>
      </c>
      <c r="G107" s="143">
        <v>3216</v>
      </c>
      <c r="H107" s="132">
        <f t="shared" si="18"/>
        <v>46237</v>
      </c>
      <c r="I107" s="140">
        <f t="shared" si="18"/>
        <v>205</v>
      </c>
      <c r="J107" s="9" t="str">
        <f t="shared" si="11"/>
        <v xml:space="preserve"> </v>
      </c>
      <c r="K107" s="140">
        <f t="shared" si="12"/>
        <v>16</v>
      </c>
      <c r="L107" s="206">
        <f t="shared" si="13"/>
        <v>7.8048780487804876</v>
      </c>
      <c r="M107" s="8" t="str">
        <f t="array" ref="M107">IF(L107&gt;5,"Perlu Sensus",IF(AND(L107&gt;=0,I107&gt;0),"Tetap Deteksi","Belum Deteksi"))</f>
        <v>Perlu Sensus</v>
      </c>
      <c r="N107" s="132">
        <f t="array" ref="N107">INDEX('[20]LS (Deteksi) Agustus'!N$7:N$303,MATCH(1,('[20]LS (Deteksi) Agustus'!$D$7:$D$303=$D107)*('[20]LS (Deteksi) Agustus'!$D$7:$D$303=$D107),0))</f>
        <v>0</v>
      </c>
      <c r="O107" s="203">
        <f t="array" ref="O107">INDEX('[20]LS (Deteksi) Agustus'!O$7:O$303,MATCH(1,('[20]LS (Deteksi) Agustus'!$D$7:$D$303=$D107)*('[20]LS (Deteksi) Agustus'!$D$7:$D$303=$D107),0))</f>
        <v>0</v>
      </c>
      <c r="P107" s="9">
        <f t="array" ref="P107">IFERROR(O107/G107*100,0)</f>
        <v>0</v>
      </c>
      <c r="Q107" s="203">
        <f t="array" ref="Q107">INDEX('[20]LS (Deteksi) Agustus'!Q$7:Q$303,MATCH(1,('[20]LS (Deteksi) Agustus'!$D$7:$D$303=$D107)*('[20]LS (Deteksi) Agustus'!$D$7:$D$303=$D107),0))</f>
        <v>0</v>
      </c>
      <c r="R107" s="9">
        <f t="shared" si="14"/>
        <v>0</v>
      </c>
      <c r="S107" s="8" t="str">
        <f t="array" ref="S107">IF(R107&gt;5,"Perlu Sensus",IF(AND(R107&gt;=0,O107&gt;0),"Tetap Deteksi","Belum Deteksi"))</f>
        <v>Belum Deteksi</v>
      </c>
      <c r="T107" s="203">
        <f t="array" ref="T107">INDEX('[20]LS (Deteksi) Agustus'!T$7:T$303,MATCH(1,('[20]LS (Deteksi) Agustus'!$D$7:$D$303=$D107)*('[20]LS (Deteksi) Agustus'!$D$7:$D$303=$D107),0))</f>
        <v>0</v>
      </c>
      <c r="U107" s="9">
        <f t="shared" si="15"/>
        <v>0</v>
      </c>
      <c r="V107" s="132">
        <f t="array" ref="V107">INDEX('[20]LS (Deteksi) Agustus'!V$7:V$303,MATCH(1,('[20]LS (Deteksi) Agustus'!$D$7:$D$303=$D107)*('[20]LS (Deteksi) Agustus'!$D$7:$D$303=$D107),0))</f>
        <v>46237</v>
      </c>
      <c r="W107" s="203">
        <f t="array" ref="W107">INDEX('[20]LS (Deteksi) Agustus'!W$7:W$303,MATCH(1,('[20]LS (Deteksi) Agustus'!$D$7:$D$303=$D107)*('[20]LS (Deteksi) Agustus'!$D$7:$D$303=$D107),0))</f>
        <v>205</v>
      </c>
      <c r="X107" s="203">
        <f t="array" ref="X107">INDEX('[20]LS (Deteksi) Agustus'!X$7:X$303,MATCH(1,('[20]LS (Deteksi) Agustus'!$D$7:$D$303=$D107)*('[20]LS (Deteksi) Agustus'!$D$7:$D$303=$D107),0))</f>
        <v>16</v>
      </c>
      <c r="Y107" s="9">
        <f t="shared" si="16"/>
        <v>7.8048780487804876</v>
      </c>
      <c r="Z107" s="8" t="str">
        <f t="array" ref="Z107">IF(Y107&gt;5,"Perlu Sensus",IF(AND(Y107&gt;0,,O107&gt;0),"Tetap Deteksi","Belum Deteksi"))</f>
        <v>Perlu Sensus</v>
      </c>
      <c r="AA107" s="203">
        <f t="array" ref="AA107">INDEX('[20]LS (Deteksi) Agustus'!AA$7:AA$303,MATCH(1,('[20]LS (Deteksi) Agustus'!$D$7:$D$303=$D107)*('[20]LS (Deteksi) Agustus'!$D$7:$D$303=$D107),0))</f>
        <v>8</v>
      </c>
      <c r="AB107" s="9">
        <f t="shared" si="17"/>
        <v>3.9024390243902438</v>
      </c>
    </row>
    <row r="108" spans="1:28" outlineLevel="1" x14ac:dyDescent="0.15">
      <c r="A108" s="8" t="s">
        <v>13</v>
      </c>
      <c r="B108" s="8" t="s">
        <v>14</v>
      </c>
      <c r="C108" s="8" t="s">
        <v>107</v>
      </c>
      <c r="D108" s="8" t="s">
        <v>121</v>
      </c>
      <c r="E108" s="9">
        <v>25.74</v>
      </c>
      <c r="F108" s="8" t="s">
        <v>16</v>
      </c>
      <c r="G108" s="143">
        <v>3777</v>
      </c>
      <c r="H108" s="132">
        <f t="shared" si="18"/>
        <v>0</v>
      </c>
      <c r="I108" s="140">
        <f t="shared" si="18"/>
        <v>0</v>
      </c>
      <c r="J108" s="9" t="str">
        <f t="shared" si="11"/>
        <v xml:space="preserve"> </v>
      </c>
      <c r="K108" s="140">
        <f t="shared" si="12"/>
        <v>0</v>
      </c>
      <c r="L108" s="206">
        <f t="shared" si="13"/>
        <v>0</v>
      </c>
      <c r="M108" s="8" t="str">
        <f t="array" ref="M108">IF(L108&gt;5,"Perlu Sensus",IF(AND(L108&gt;=0,I108&gt;0),"Tetap Deteksi","Belum Deteksi"))</f>
        <v>Belum Deteksi</v>
      </c>
      <c r="N108" s="132">
        <f t="array" ref="N108">INDEX('[20]LS (Deteksi) Agustus'!N$7:N$303,MATCH(1,('[20]LS (Deteksi) Agustus'!$D$7:$D$303=$D108)*('[20]LS (Deteksi) Agustus'!$D$7:$D$303=$D108),0))</f>
        <v>0</v>
      </c>
      <c r="O108" s="203">
        <f t="array" ref="O108">INDEX('[20]LS (Deteksi) Agustus'!O$7:O$303,MATCH(1,('[20]LS (Deteksi) Agustus'!$D$7:$D$303=$D108)*('[20]LS (Deteksi) Agustus'!$D$7:$D$303=$D108),0))</f>
        <v>0</v>
      </c>
      <c r="P108" s="9">
        <f t="array" ref="P108">IFERROR(O108/G108*100,0)</f>
        <v>0</v>
      </c>
      <c r="Q108" s="203">
        <f t="array" ref="Q108">INDEX('[20]LS (Deteksi) Agustus'!Q$7:Q$303,MATCH(1,('[20]LS (Deteksi) Agustus'!$D$7:$D$303=$D108)*('[20]LS (Deteksi) Agustus'!$D$7:$D$303=$D108),0))</f>
        <v>0</v>
      </c>
      <c r="R108" s="9">
        <f t="shared" si="14"/>
        <v>0</v>
      </c>
      <c r="S108" s="8" t="str">
        <f t="array" ref="S108">IF(R108&gt;5,"Perlu Sensus",IF(AND(R108&gt;=0,O108&gt;0),"Tetap Deteksi","Belum Deteksi"))</f>
        <v>Belum Deteksi</v>
      </c>
      <c r="T108" s="203">
        <f t="array" ref="T108">INDEX('[20]LS (Deteksi) Agustus'!T$7:T$303,MATCH(1,('[20]LS (Deteksi) Agustus'!$D$7:$D$303=$D108)*('[20]LS (Deteksi) Agustus'!$D$7:$D$303=$D108),0))</f>
        <v>0</v>
      </c>
      <c r="U108" s="9">
        <f t="shared" si="15"/>
        <v>0</v>
      </c>
      <c r="V108" s="132">
        <f t="array" ref="V108">INDEX('[20]LS (Deteksi) Agustus'!V$7:V$303,MATCH(1,('[20]LS (Deteksi) Agustus'!$D$7:$D$303=$D108)*('[20]LS (Deteksi) Agustus'!$D$7:$D$303=$D108),0))</f>
        <v>0</v>
      </c>
      <c r="W108" s="203">
        <f t="array" ref="W108">INDEX('[20]LS (Deteksi) Agustus'!W$7:W$303,MATCH(1,('[20]LS (Deteksi) Agustus'!$D$7:$D$303=$D108)*('[20]LS (Deteksi) Agustus'!$D$7:$D$303=$D108),0))</f>
        <v>0</v>
      </c>
      <c r="X108" s="203">
        <f t="array" ref="X108">INDEX('[20]LS (Deteksi) Agustus'!X$7:X$303,MATCH(1,('[20]LS (Deteksi) Agustus'!$D$7:$D$303=$D108)*('[20]LS (Deteksi) Agustus'!$D$7:$D$303=$D108),0))</f>
        <v>0</v>
      </c>
      <c r="Y108" s="9">
        <f t="shared" si="16"/>
        <v>0</v>
      </c>
      <c r="Z108" s="8" t="str">
        <f t="array" ref="Z108">IF(Y108&gt;5,"Perlu Sensus",IF(AND(Y108&gt;0,,O108&gt;0),"Tetap Deteksi","Belum Deteksi"))</f>
        <v>Belum Deteksi</v>
      </c>
      <c r="AA108" s="203">
        <f t="array" ref="AA108">INDEX('[20]LS (Deteksi) Agustus'!AA$7:AA$303,MATCH(1,('[20]LS (Deteksi) Agustus'!$D$7:$D$303=$D108)*('[20]LS (Deteksi) Agustus'!$D$7:$D$303=$D108),0))</f>
        <v>0</v>
      </c>
      <c r="AB108" s="9">
        <f t="shared" si="17"/>
        <v>0</v>
      </c>
    </row>
    <row r="109" spans="1:28" outlineLevel="1" x14ac:dyDescent="0.15">
      <c r="A109" s="8" t="s">
        <v>13</v>
      </c>
      <c r="B109" s="8" t="s">
        <v>14</v>
      </c>
      <c r="C109" s="8" t="s">
        <v>107</v>
      </c>
      <c r="D109" s="8" t="s">
        <v>122</v>
      </c>
      <c r="E109" s="9">
        <v>26.16</v>
      </c>
      <c r="F109" s="8" t="s">
        <v>16</v>
      </c>
      <c r="G109" s="143">
        <v>3912</v>
      </c>
      <c r="H109" s="132">
        <f t="shared" si="18"/>
        <v>0</v>
      </c>
      <c r="I109" s="140">
        <f t="shared" si="18"/>
        <v>0</v>
      </c>
      <c r="J109" s="9" t="str">
        <f t="shared" si="11"/>
        <v xml:space="preserve"> </v>
      </c>
      <c r="K109" s="140">
        <f t="shared" si="12"/>
        <v>0</v>
      </c>
      <c r="L109" s="206">
        <f t="shared" si="13"/>
        <v>0</v>
      </c>
      <c r="M109" s="8" t="str">
        <f t="array" ref="M109">IF(L109&gt;5,"Perlu Sensus",IF(AND(L109&gt;=0,I109&gt;0),"Tetap Deteksi","Belum Deteksi"))</f>
        <v>Belum Deteksi</v>
      </c>
      <c r="N109" s="132">
        <f t="array" ref="N109">INDEX('[20]LS (Deteksi) Agustus'!N$7:N$303,MATCH(1,('[20]LS (Deteksi) Agustus'!$D$7:$D$303=$D109)*('[20]LS (Deteksi) Agustus'!$D$7:$D$303=$D109),0))</f>
        <v>0</v>
      </c>
      <c r="O109" s="203">
        <f t="array" ref="O109">INDEX('[20]LS (Deteksi) Agustus'!O$7:O$303,MATCH(1,('[20]LS (Deteksi) Agustus'!$D$7:$D$303=$D109)*('[20]LS (Deteksi) Agustus'!$D$7:$D$303=$D109),0))</f>
        <v>0</v>
      </c>
      <c r="P109" s="9">
        <f t="array" ref="P109">IFERROR(O109/G109*100,0)</f>
        <v>0</v>
      </c>
      <c r="Q109" s="203">
        <f t="array" ref="Q109">INDEX('[20]LS (Deteksi) Agustus'!Q$7:Q$303,MATCH(1,('[20]LS (Deteksi) Agustus'!$D$7:$D$303=$D109)*('[20]LS (Deteksi) Agustus'!$D$7:$D$303=$D109),0))</f>
        <v>0</v>
      </c>
      <c r="R109" s="9">
        <f t="shared" si="14"/>
        <v>0</v>
      </c>
      <c r="S109" s="8" t="str">
        <f t="array" ref="S109">IF(R109&gt;5,"Perlu Sensus",IF(AND(R109&gt;=0,O109&gt;0),"Tetap Deteksi","Belum Deteksi"))</f>
        <v>Belum Deteksi</v>
      </c>
      <c r="T109" s="203">
        <f t="array" ref="T109">INDEX('[20]LS (Deteksi) Agustus'!T$7:T$303,MATCH(1,('[20]LS (Deteksi) Agustus'!$D$7:$D$303=$D109)*('[20]LS (Deteksi) Agustus'!$D$7:$D$303=$D109),0))</f>
        <v>0</v>
      </c>
      <c r="U109" s="9">
        <f t="shared" si="15"/>
        <v>0</v>
      </c>
      <c r="V109" s="132">
        <f t="array" ref="V109">INDEX('[20]LS (Deteksi) Agustus'!V$7:V$303,MATCH(1,('[20]LS (Deteksi) Agustus'!$D$7:$D$303=$D109)*('[20]LS (Deteksi) Agustus'!$D$7:$D$303=$D109),0))</f>
        <v>0</v>
      </c>
      <c r="W109" s="203">
        <f t="array" ref="W109">INDEX('[20]LS (Deteksi) Agustus'!W$7:W$303,MATCH(1,('[20]LS (Deteksi) Agustus'!$D$7:$D$303=$D109)*('[20]LS (Deteksi) Agustus'!$D$7:$D$303=$D109),0))</f>
        <v>0</v>
      </c>
      <c r="X109" s="203">
        <f t="array" ref="X109">INDEX('[20]LS (Deteksi) Agustus'!X$7:X$303,MATCH(1,('[20]LS (Deteksi) Agustus'!$D$7:$D$303=$D109)*('[20]LS (Deteksi) Agustus'!$D$7:$D$303=$D109),0))</f>
        <v>0</v>
      </c>
      <c r="Y109" s="9">
        <f t="shared" si="16"/>
        <v>0</v>
      </c>
      <c r="Z109" s="8" t="str">
        <f t="array" ref="Z109">IF(Y109&gt;5,"Perlu Sensus",IF(AND(Y109&gt;0,,O109&gt;0),"Tetap Deteksi","Belum Deteksi"))</f>
        <v>Belum Deteksi</v>
      </c>
      <c r="AA109" s="203">
        <f t="array" ref="AA109">INDEX('[20]LS (Deteksi) Agustus'!AA$7:AA$303,MATCH(1,('[20]LS (Deteksi) Agustus'!$D$7:$D$303=$D109)*('[20]LS (Deteksi) Agustus'!$D$7:$D$303=$D109),0))</f>
        <v>0</v>
      </c>
      <c r="AB109" s="9">
        <f t="shared" si="17"/>
        <v>0</v>
      </c>
    </row>
    <row r="110" spans="1:28" outlineLevel="1" x14ac:dyDescent="0.15">
      <c r="A110" s="8" t="s">
        <v>13</v>
      </c>
      <c r="B110" s="8" t="s">
        <v>14</v>
      </c>
      <c r="C110" s="8" t="s">
        <v>107</v>
      </c>
      <c r="D110" s="8" t="s">
        <v>123</v>
      </c>
      <c r="E110" s="9">
        <v>24.16</v>
      </c>
      <c r="F110" s="8" t="s">
        <v>16</v>
      </c>
      <c r="G110" s="143">
        <v>3552</v>
      </c>
      <c r="H110" s="132">
        <f t="shared" si="18"/>
        <v>46235</v>
      </c>
      <c r="I110" s="140">
        <f t="shared" si="18"/>
        <v>112</v>
      </c>
      <c r="J110" s="9">
        <f t="shared" si="11"/>
        <v>3.1531531531531529</v>
      </c>
      <c r="K110" s="140">
        <f t="shared" si="12"/>
        <v>7</v>
      </c>
      <c r="L110" s="206">
        <f t="shared" si="13"/>
        <v>6.25</v>
      </c>
      <c r="M110" s="8" t="str">
        <f t="array" ref="M110">IF(L110&gt;5,"Perlu Sensus",IF(AND(L110&gt;=0,I110&gt;0),"Tetap Deteksi","Belum Deteksi"))</f>
        <v>Perlu Sensus</v>
      </c>
      <c r="N110" s="132">
        <f t="array" ref="N110">INDEX('[20]LS (Deteksi) Agustus'!N$7:N$303,MATCH(1,('[20]LS (Deteksi) Agustus'!$D$7:$D$303=$D110)*('[20]LS (Deteksi) Agustus'!$D$7:$D$303=$D110),0))</f>
        <v>46235</v>
      </c>
      <c r="O110" s="203">
        <f t="array" ref="O110">INDEX('[20]LS (Deteksi) Agustus'!O$7:O$303,MATCH(1,('[20]LS (Deteksi) Agustus'!$D$7:$D$303=$D110)*('[20]LS (Deteksi) Agustus'!$D$7:$D$303=$D110),0))</f>
        <v>112</v>
      </c>
      <c r="P110" s="9">
        <f t="array" ref="P110">IFERROR(O110/G110*100,0)</f>
        <v>3.1531531531531529</v>
      </c>
      <c r="Q110" s="203">
        <f t="array" ref="Q110">INDEX('[20]LS (Deteksi) Agustus'!Q$7:Q$303,MATCH(1,('[20]LS (Deteksi) Agustus'!$D$7:$D$303=$D110)*('[20]LS (Deteksi) Agustus'!$D$7:$D$303=$D110),0))</f>
        <v>7</v>
      </c>
      <c r="R110" s="9">
        <f t="shared" si="14"/>
        <v>6.25</v>
      </c>
      <c r="S110" s="8" t="str">
        <f t="array" ref="S110">IF(R110&gt;5,"Perlu Sensus",IF(AND(R110&gt;=0,O110&gt;0),"Tetap Deteksi","Belum Deteksi"))</f>
        <v>Perlu Sensus</v>
      </c>
      <c r="T110" s="203">
        <f t="array" ref="T110">INDEX('[20]LS (Deteksi) Agustus'!T$7:T$303,MATCH(1,('[20]LS (Deteksi) Agustus'!$D$7:$D$303=$D110)*('[20]LS (Deteksi) Agustus'!$D$7:$D$303=$D110),0))</f>
        <v>9</v>
      </c>
      <c r="U110" s="9">
        <f t="shared" si="15"/>
        <v>8.0357142857142865</v>
      </c>
      <c r="V110" s="132">
        <f t="array" ref="V110">INDEX('[20]LS (Deteksi) Agustus'!V$7:V$303,MATCH(1,('[20]LS (Deteksi) Agustus'!$D$7:$D$303=$D110)*('[20]LS (Deteksi) Agustus'!$D$7:$D$303=$D110),0))</f>
        <v>46238</v>
      </c>
      <c r="W110" s="203">
        <f t="array" ref="W110">INDEX('[20]LS (Deteksi) Agustus'!W$7:W$303,MATCH(1,('[20]LS (Deteksi) Agustus'!$D$7:$D$303=$D110)*('[20]LS (Deteksi) Agustus'!$D$7:$D$303=$D110),0))</f>
        <v>120</v>
      </c>
      <c r="X110" s="203">
        <f t="array" ref="X110">INDEX('[20]LS (Deteksi) Agustus'!X$7:X$303,MATCH(1,('[20]LS (Deteksi) Agustus'!$D$7:$D$303=$D110)*('[20]LS (Deteksi) Agustus'!$D$7:$D$303=$D110),0))</f>
        <v>7</v>
      </c>
      <c r="Y110" s="9">
        <f t="shared" si="16"/>
        <v>5.833333333333333</v>
      </c>
      <c r="Z110" s="8" t="str">
        <f t="array" ref="Z110">IF(Y110&gt;5,"Perlu Sensus",IF(AND(Y110&gt;0,,O110&gt;0),"Tetap Deteksi","Belum Deteksi"))</f>
        <v>Perlu Sensus</v>
      </c>
      <c r="AA110" s="203">
        <f t="array" ref="AA110">INDEX('[20]LS (Deteksi) Agustus'!AA$7:AA$303,MATCH(1,('[20]LS (Deteksi) Agustus'!$D$7:$D$303=$D110)*('[20]LS (Deteksi) Agustus'!$D$7:$D$303=$D110),0))</f>
        <v>10</v>
      </c>
      <c r="AB110" s="9">
        <f t="shared" si="17"/>
        <v>8.3333333333333321</v>
      </c>
    </row>
    <row r="111" spans="1:28" outlineLevel="1" x14ac:dyDescent="0.15">
      <c r="A111" s="8" t="s">
        <v>13</v>
      </c>
      <c r="B111" s="8" t="s">
        <v>14</v>
      </c>
      <c r="C111" s="8" t="s">
        <v>107</v>
      </c>
      <c r="D111" s="8" t="s">
        <v>124</v>
      </c>
      <c r="E111" s="9">
        <v>23.86</v>
      </c>
      <c r="F111" s="8" t="s">
        <v>16</v>
      </c>
      <c r="G111" s="143">
        <v>3600</v>
      </c>
      <c r="H111" s="132">
        <f t="shared" si="18"/>
        <v>46235</v>
      </c>
      <c r="I111" s="140">
        <f t="shared" si="18"/>
        <v>105</v>
      </c>
      <c r="J111" s="9">
        <f t="shared" si="11"/>
        <v>2.9166666666666665</v>
      </c>
      <c r="K111" s="140">
        <f t="shared" si="12"/>
        <v>6</v>
      </c>
      <c r="L111" s="206">
        <f t="shared" si="13"/>
        <v>5.7142857142857144</v>
      </c>
      <c r="M111" s="8" t="str">
        <f t="array" ref="M111">IF(L111&gt;5,"Perlu Sensus",IF(AND(L111&gt;=0,I111&gt;0),"Tetap Deteksi","Belum Deteksi"))</f>
        <v>Perlu Sensus</v>
      </c>
      <c r="N111" s="132">
        <f t="array" ref="N111">INDEX('[20]LS (Deteksi) Agustus'!N$7:N$303,MATCH(1,('[20]LS (Deteksi) Agustus'!$D$7:$D$303=$D111)*('[20]LS (Deteksi) Agustus'!$D$7:$D$303=$D111),0))</f>
        <v>46235</v>
      </c>
      <c r="O111" s="203">
        <f t="array" ref="O111">INDEX('[20]LS (Deteksi) Agustus'!O$7:O$303,MATCH(1,('[20]LS (Deteksi) Agustus'!$D$7:$D$303=$D111)*('[20]LS (Deteksi) Agustus'!$D$7:$D$303=$D111),0))</f>
        <v>105</v>
      </c>
      <c r="P111" s="9">
        <f t="array" ref="P111">IFERROR(O111/G111*100,0)</f>
        <v>2.9166666666666665</v>
      </c>
      <c r="Q111" s="203">
        <f t="array" ref="Q111">INDEX('[20]LS (Deteksi) Agustus'!Q$7:Q$303,MATCH(1,('[20]LS (Deteksi) Agustus'!$D$7:$D$303=$D111)*('[20]LS (Deteksi) Agustus'!$D$7:$D$303=$D111),0))</f>
        <v>6</v>
      </c>
      <c r="R111" s="9">
        <f t="shared" si="14"/>
        <v>5.7142857142857144</v>
      </c>
      <c r="S111" s="8" t="str">
        <f t="array" ref="S111">IF(R111&gt;5,"Perlu Sensus",IF(AND(R111&gt;=0,O111&gt;0),"Tetap Deteksi","Belum Deteksi"))</f>
        <v>Perlu Sensus</v>
      </c>
      <c r="T111" s="203">
        <f t="array" ref="T111">INDEX('[20]LS (Deteksi) Agustus'!T$7:T$303,MATCH(1,('[20]LS (Deteksi) Agustus'!$D$7:$D$303=$D111)*('[20]LS (Deteksi) Agustus'!$D$7:$D$303=$D111),0))</f>
        <v>16</v>
      </c>
      <c r="U111" s="9">
        <f t="shared" si="15"/>
        <v>15.238095238095239</v>
      </c>
      <c r="V111" s="132">
        <f t="array" ref="V111">INDEX('[20]LS (Deteksi) Agustus'!V$7:V$303,MATCH(1,('[20]LS (Deteksi) Agustus'!$D$7:$D$303=$D111)*('[20]LS (Deteksi) Agustus'!$D$7:$D$303=$D111),0))</f>
        <v>46237</v>
      </c>
      <c r="W111" s="203">
        <f t="array" ref="W111">INDEX('[20]LS (Deteksi) Agustus'!W$7:W$303,MATCH(1,('[20]LS (Deteksi) Agustus'!$D$7:$D$303=$D111)*('[20]LS (Deteksi) Agustus'!$D$7:$D$303=$D111),0))</f>
        <v>176</v>
      </c>
      <c r="X111" s="203">
        <f t="array" ref="X111">INDEX('[20]LS (Deteksi) Agustus'!X$7:X$303,MATCH(1,('[20]LS (Deteksi) Agustus'!$D$7:$D$303=$D111)*('[20]LS (Deteksi) Agustus'!$D$7:$D$303=$D111),0))</f>
        <v>8</v>
      </c>
      <c r="Y111" s="9">
        <f t="shared" si="16"/>
        <v>4.5454545454545459</v>
      </c>
      <c r="Z111" s="8" t="str">
        <f t="array" ref="Z111">IF(Y111&gt;5,"Perlu Sensus",IF(AND(Y111&gt;0,,O111&gt;0),"Tetap Deteksi","Belum Deteksi"))</f>
        <v>Belum Deteksi</v>
      </c>
      <c r="AA111" s="203">
        <f t="array" ref="AA111">INDEX('[20]LS (Deteksi) Agustus'!AA$7:AA$303,MATCH(1,('[20]LS (Deteksi) Agustus'!$D$7:$D$303=$D111)*('[20]LS (Deteksi) Agustus'!$D$7:$D$303=$D111),0))</f>
        <v>13</v>
      </c>
      <c r="AB111" s="9">
        <f t="shared" si="17"/>
        <v>7.3863636363636367</v>
      </c>
    </row>
    <row r="112" spans="1:28" outlineLevel="1" x14ac:dyDescent="0.15">
      <c r="A112" s="8" t="s">
        <v>13</v>
      </c>
      <c r="B112" s="8" t="s">
        <v>14</v>
      </c>
      <c r="C112" s="8" t="s">
        <v>107</v>
      </c>
      <c r="D112" s="8" t="s">
        <v>125</v>
      </c>
      <c r="E112" s="9">
        <v>28.05</v>
      </c>
      <c r="F112" s="8" t="s">
        <v>16</v>
      </c>
      <c r="G112" s="143">
        <v>4127</v>
      </c>
      <c r="H112" s="132">
        <f t="shared" si="18"/>
        <v>46240</v>
      </c>
      <c r="I112" s="140">
        <f t="shared" si="18"/>
        <v>133</v>
      </c>
      <c r="J112" s="9">
        <f t="shared" si="11"/>
        <v>3.222679912769566</v>
      </c>
      <c r="K112" s="140">
        <f t="shared" si="12"/>
        <v>7</v>
      </c>
      <c r="L112" s="206">
        <f t="shared" si="13"/>
        <v>5.2631578947368416</v>
      </c>
      <c r="M112" s="8" t="str">
        <f t="array" ref="M112">IF(L112&gt;5,"Perlu Sensus",IF(AND(L112&gt;=0,I112&gt;0),"Tetap Deteksi","Belum Deteksi"))</f>
        <v>Perlu Sensus</v>
      </c>
      <c r="N112" s="132">
        <f t="array" ref="N112">INDEX('[20]LS (Deteksi) Agustus'!N$7:N$303,MATCH(1,('[20]LS (Deteksi) Agustus'!$D$7:$D$303=$D112)*('[20]LS (Deteksi) Agustus'!$D$7:$D$303=$D112),0))</f>
        <v>46240</v>
      </c>
      <c r="O112" s="203">
        <f t="array" ref="O112">INDEX('[20]LS (Deteksi) Agustus'!O$7:O$303,MATCH(1,('[20]LS (Deteksi) Agustus'!$D$7:$D$303=$D112)*('[20]LS (Deteksi) Agustus'!$D$7:$D$303=$D112),0))</f>
        <v>133</v>
      </c>
      <c r="P112" s="9">
        <f t="array" ref="P112">IFERROR(O112/G112*100,0)</f>
        <v>3.222679912769566</v>
      </c>
      <c r="Q112" s="203">
        <f t="array" ref="Q112">INDEX('[20]LS (Deteksi) Agustus'!Q$7:Q$303,MATCH(1,('[20]LS (Deteksi) Agustus'!$D$7:$D$303=$D112)*('[20]LS (Deteksi) Agustus'!$D$7:$D$303=$D112),0))</f>
        <v>7</v>
      </c>
      <c r="R112" s="9">
        <f t="shared" si="14"/>
        <v>5.2631578947368416</v>
      </c>
      <c r="S112" s="8" t="str">
        <f t="array" ref="S112">IF(R112&gt;5,"Perlu Sensus",IF(AND(R112&gt;=0,O112&gt;0),"Tetap Deteksi","Belum Deteksi"))</f>
        <v>Perlu Sensus</v>
      </c>
      <c r="T112" s="203">
        <f t="array" ref="T112">INDEX('[20]LS (Deteksi) Agustus'!T$7:T$303,MATCH(1,('[20]LS (Deteksi) Agustus'!$D$7:$D$303=$D112)*('[20]LS (Deteksi) Agustus'!$D$7:$D$303=$D112),0))</f>
        <v>19</v>
      </c>
      <c r="U112" s="9">
        <f t="shared" si="15"/>
        <v>14.285714285714285</v>
      </c>
      <c r="V112" s="132">
        <f t="array" ref="V112">INDEX('[20]LS (Deteksi) Agustus'!V$7:V$303,MATCH(1,('[20]LS (Deteksi) Agustus'!$D$7:$D$303=$D112)*('[20]LS (Deteksi) Agustus'!$D$7:$D$303=$D112),0))</f>
        <v>46241</v>
      </c>
      <c r="W112" s="203">
        <f t="array" ref="W112">INDEX('[20]LS (Deteksi) Agustus'!W$7:W$303,MATCH(1,('[20]LS (Deteksi) Agustus'!$D$7:$D$303=$D112)*('[20]LS (Deteksi) Agustus'!$D$7:$D$303=$D112),0))</f>
        <v>221</v>
      </c>
      <c r="X112" s="203">
        <f t="array" ref="X112">INDEX('[20]LS (Deteksi) Agustus'!X$7:X$303,MATCH(1,('[20]LS (Deteksi) Agustus'!$D$7:$D$303=$D112)*('[20]LS (Deteksi) Agustus'!$D$7:$D$303=$D112),0))</f>
        <v>17</v>
      </c>
      <c r="Y112" s="9">
        <f t="shared" si="16"/>
        <v>7.6923076923076925</v>
      </c>
      <c r="Z112" s="8" t="str">
        <f t="array" ref="Z112">IF(Y112&gt;5,"Perlu Sensus",IF(AND(Y112&gt;0,,O112&gt;0),"Tetap Deteksi","Belum Deteksi"))</f>
        <v>Perlu Sensus</v>
      </c>
      <c r="AA112" s="203">
        <f t="array" ref="AA112">INDEX('[20]LS (Deteksi) Agustus'!AA$7:AA$303,MATCH(1,('[20]LS (Deteksi) Agustus'!$D$7:$D$303=$D112)*('[20]LS (Deteksi) Agustus'!$D$7:$D$303=$D112),0))</f>
        <v>18</v>
      </c>
      <c r="AB112" s="9">
        <f t="shared" si="17"/>
        <v>8.1447963800904972</v>
      </c>
    </row>
    <row r="113" spans="1:28" outlineLevel="1" x14ac:dyDescent="0.15">
      <c r="A113" s="8" t="s">
        <v>13</v>
      </c>
      <c r="B113" s="8" t="s">
        <v>14</v>
      </c>
      <c r="C113" s="8" t="s">
        <v>107</v>
      </c>
      <c r="D113" s="8" t="s">
        <v>126</v>
      </c>
      <c r="E113" s="9">
        <v>22.82</v>
      </c>
      <c r="F113" s="8" t="s">
        <v>16</v>
      </c>
      <c r="G113" s="143">
        <v>2883</v>
      </c>
      <c r="H113" s="132">
        <f t="shared" si="18"/>
        <v>46247</v>
      </c>
      <c r="I113" s="140">
        <f t="shared" si="18"/>
        <v>68</v>
      </c>
      <c r="J113" s="9">
        <f t="shared" si="11"/>
        <v>2.3586541796739509</v>
      </c>
      <c r="K113" s="140">
        <f t="shared" si="12"/>
        <v>5</v>
      </c>
      <c r="L113" s="206">
        <f t="shared" si="13"/>
        <v>7.3529411764705888</v>
      </c>
      <c r="M113" s="8" t="str">
        <f t="array" ref="M113">IF(L113&gt;5,"Perlu Sensus",IF(AND(L113&gt;=0,I113&gt;0),"Tetap Deteksi","Belum Deteksi"))</f>
        <v>Perlu Sensus</v>
      </c>
      <c r="N113" s="132">
        <f t="array" ref="N113">INDEX('[20]LS (Deteksi) Agustus'!N$7:N$303,MATCH(1,('[20]LS (Deteksi) Agustus'!$D$7:$D$303=$D113)*('[20]LS (Deteksi) Agustus'!$D$7:$D$303=$D113),0))</f>
        <v>46247</v>
      </c>
      <c r="O113" s="203">
        <f t="array" ref="O113">INDEX('[20]LS (Deteksi) Agustus'!O$7:O$303,MATCH(1,('[20]LS (Deteksi) Agustus'!$D$7:$D$303=$D113)*('[20]LS (Deteksi) Agustus'!$D$7:$D$303=$D113),0))</f>
        <v>68</v>
      </c>
      <c r="P113" s="9">
        <f t="array" ref="P113">IFERROR(O113/G113*100,0)</f>
        <v>2.3586541796739509</v>
      </c>
      <c r="Q113" s="203">
        <f t="array" ref="Q113">INDEX('[20]LS (Deteksi) Agustus'!Q$7:Q$303,MATCH(1,('[20]LS (Deteksi) Agustus'!$D$7:$D$303=$D113)*('[20]LS (Deteksi) Agustus'!$D$7:$D$303=$D113),0))</f>
        <v>5</v>
      </c>
      <c r="R113" s="9">
        <f t="shared" si="14"/>
        <v>7.3529411764705888</v>
      </c>
      <c r="S113" s="8" t="str">
        <f t="array" ref="S113">IF(R113&gt;5,"Perlu Sensus",IF(AND(R113&gt;=0,O113&gt;0),"Tetap Deteksi","Belum Deteksi"))</f>
        <v>Perlu Sensus</v>
      </c>
      <c r="T113" s="203">
        <f t="array" ref="T113">INDEX('[20]LS (Deteksi) Agustus'!T$7:T$303,MATCH(1,('[20]LS (Deteksi) Agustus'!$D$7:$D$303=$D113)*('[20]LS (Deteksi) Agustus'!$D$7:$D$303=$D113),0))</f>
        <v>9</v>
      </c>
      <c r="U113" s="9">
        <f t="shared" si="15"/>
        <v>13.23529411764706</v>
      </c>
      <c r="V113" s="132">
        <f t="array" ref="V113">INDEX('[20]LS (Deteksi) Agustus'!V$7:V$303,MATCH(1,('[20]LS (Deteksi) Agustus'!$D$7:$D$303=$D113)*('[20]LS (Deteksi) Agustus'!$D$7:$D$303=$D113),0))</f>
        <v>46241</v>
      </c>
      <c r="W113" s="203">
        <f t="array" ref="W113">INDEX('[20]LS (Deteksi) Agustus'!W$7:W$303,MATCH(1,('[20]LS (Deteksi) Agustus'!$D$7:$D$303=$D113)*('[20]LS (Deteksi) Agustus'!$D$7:$D$303=$D113),0))</f>
        <v>276</v>
      </c>
      <c r="X113" s="203">
        <f t="array" ref="X113">INDEX('[20]LS (Deteksi) Agustus'!X$7:X$303,MATCH(1,('[20]LS (Deteksi) Agustus'!$D$7:$D$303=$D113)*('[20]LS (Deteksi) Agustus'!$D$7:$D$303=$D113),0))</f>
        <v>14</v>
      </c>
      <c r="Y113" s="9">
        <f t="shared" si="16"/>
        <v>5.0724637681159424</v>
      </c>
      <c r="Z113" s="8" t="str">
        <f t="array" ref="Z113">IF(Y113&gt;5,"Perlu Sensus",IF(AND(Y113&gt;0,,O113&gt;0),"Tetap Deteksi","Belum Deteksi"))</f>
        <v>Perlu Sensus</v>
      </c>
      <c r="AA113" s="203">
        <f t="array" ref="AA113">INDEX('[20]LS (Deteksi) Agustus'!AA$7:AA$303,MATCH(1,('[20]LS (Deteksi) Agustus'!$D$7:$D$303=$D113)*('[20]LS (Deteksi) Agustus'!$D$7:$D$303=$D113),0))</f>
        <v>17</v>
      </c>
      <c r="AB113" s="9">
        <f t="shared" si="17"/>
        <v>6.1594202898550732</v>
      </c>
    </row>
    <row r="114" spans="1:28" outlineLevel="1" x14ac:dyDescent="0.15">
      <c r="A114" s="8" t="s">
        <v>13</v>
      </c>
      <c r="B114" s="8" t="s">
        <v>14</v>
      </c>
      <c r="C114" s="8" t="s">
        <v>107</v>
      </c>
      <c r="D114" s="8" t="s">
        <v>127</v>
      </c>
      <c r="E114" s="9">
        <v>29.22</v>
      </c>
      <c r="F114" s="8" t="s">
        <v>16</v>
      </c>
      <c r="G114" s="143">
        <v>3997</v>
      </c>
      <c r="H114" s="132">
        <f t="shared" si="18"/>
        <v>46247</v>
      </c>
      <c r="I114" s="140">
        <f t="shared" si="18"/>
        <v>90</v>
      </c>
      <c r="J114" s="9">
        <f t="shared" si="11"/>
        <v>2.2516887665749312</v>
      </c>
      <c r="K114" s="140">
        <f t="shared" si="12"/>
        <v>4</v>
      </c>
      <c r="L114" s="206">
        <f t="shared" si="13"/>
        <v>4.4444444444444446</v>
      </c>
      <c r="M114" s="8" t="str">
        <f t="array" ref="M114">IF(L114&gt;5,"Perlu Sensus",IF(AND(L114&gt;=0,I114&gt;0),"Tetap Deteksi","Belum Deteksi"))</f>
        <v>Tetap Deteksi</v>
      </c>
      <c r="N114" s="132">
        <f t="array" ref="N114">INDEX('[20]LS (Deteksi) Agustus'!N$7:N$303,MATCH(1,('[20]LS (Deteksi) Agustus'!$D$7:$D$303=$D114)*('[20]LS (Deteksi) Agustus'!$D$7:$D$303=$D114),0))</f>
        <v>46247</v>
      </c>
      <c r="O114" s="203">
        <f t="array" ref="O114">INDEX('[20]LS (Deteksi) Agustus'!O$7:O$303,MATCH(1,('[20]LS (Deteksi) Agustus'!$D$7:$D$303=$D114)*('[20]LS (Deteksi) Agustus'!$D$7:$D$303=$D114),0))</f>
        <v>90</v>
      </c>
      <c r="P114" s="9">
        <f t="array" ref="P114">IFERROR(O114/G114*100,0)</f>
        <v>2.2516887665749312</v>
      </c>
      <c r="Q114" s="203">
        <f t="array" ref="Q114">INDEX('[20]LS (Deteksi) Agustus'!Q$7:Q$303,MATCH(1,('[20]LS (Deteksi) Agustus'!$D$7:$D$303=$D114)*('[20]LS (Deteksi) Agustus'!$D$7:$D$303=$D114),0))</f>
        <v>4</v>
      </c>
      <c r="R114" s="9">
        <f t="shared" si="14"/>
        <v>4.4444444444444446</v>
      </c>
      <c r="S114" s="8" t="str">
        <f t="array" ref="S114">IF(R114&gt;5,"Perlu Sensus",IF(AND(R114&gt;=0,O114&gt;0),"Tetap Deteksi","Belum Deteksi"))</f>
        <v>Tetap Deteksi</v>
      </c>
      <c r="T114" s="203">
        <f t="array" ref="T114">INDEX('[20]LS (Deteksi) Agustus'!T$7:T$303,MATCH(1,('[20]LS (Deteksi) Agustus'!$D$7:$D$303=$D114)*('[20]LS (Deteksi) Agustus'!$D$7:$D$303=$D114),0))</f>
        <v>8</v>
      </c>
      <c r="U114" s="9">
        <f t="shared" si="15"/>
        <v>8.8888888888888893</v>
      </c>
      <c r="V114" s="132">
        <f t="array" ref="V114">INDEX('[20]LS (Deteksi) Agustus'!V$7:V$303,MATCH(1,('[20]LS (Deteksi) Agustus'!$D$7:$D$303=$D114)*('[20]LS (Deteksi) Agustus'!$D$7:$D$303=$D114),0))</f>
        <v>46248</v>
      </c>
      <c r="W114" s="203">
        <f t="array" ref="W114">INDEX('[20]LS (Deteksi) Agustus'!W$7:W$303,MATCH(1,('[20]LS (Deteksi) Agustus'!$D$7:$D$303=$D114)*('[20]LS (Deteksi) Agustus'!$D$7:$D$303=$D114),0))</f>
        <v>132</v>
      </c>
      <c r="X114" s="203">
        <f t="array" ref="X114">INDEX('[20]LS (Deteksi) Agustus'!X$7:X$303,MATCH(1,('[20]LS (Deteksi) Agustus'!$D$7:$D$303=$D114)*('[20]LS (Deteksi) Agustus'!$D$7:$D$303=$D114),0))</f>
        <v>6</v>
      </c>
      <c r="Y114" s="9">
        <f t="shared" si="16"/>
        <v>4.5454545454545459</v>
      </c>
      <c r="Z114" s="8" t="str">
        <f t="array" ref="Z114">IF(Y114&gt;5,"Perlu Sensus",IF(AND(Y114&gt;0,,O114&gt;0),"Tetap Deteksi","Belum Deteksi"))</f>
        <v>Belum Deteksi</v>
      </c>
      <c r="AA114" s="203">
        <f t="array" ref="AA114">INDEX('[20]LS (Deteksi) Agustus'!AA$7:AA$303,MATCH(1,('[20]LS (Deteksi) Agustus'!$D$7:$D$303=$D114)*('[20]LS (Deteksi) Agustus'!$D$7:$D$303=$D114),0))</f>
        <v>9</v>
      </c>
      <c r="AB114" s="9">
        <f t="shared" si="17"/>
        <v>6.8181818181818175</v>
      </c>
    </row>
    <row r="115" spans="1:28" outlineLevel="1" x14ac:dyDescent="0.15">
      <c r="A115" s="8" t="s">
        <v>13</v>
      </c>
      <c r="B115" s="8" t="s">
        <v>14</v>
      </c>
      <c r="C115" s="8" t="s">
        <v>107</v>
      </c>
      <c r="D115" s="8" t="s">
        <v>128</v>
      </c>
      <c r="E115" s="9">
        <v>24.57</v>
      </c>
      <c r="F115" s="8" t="s">
        <v>16</v>
      </c>
      <c r="G115" s="143">
        <v>3287</v>
      </c>
      <c r="H115" s="132">
        <f t="shared" si="18"/>
        <v>46247</v>
      </c>
      <c r="I115" s="140">
        <f t="shared" si="18"/>
        <v>100</v>
      </c>
      <c r="J115" s="9">
        <f t="shared" si="11"/>
        <v>3.0422878004259206</v>
      </c>
      <c r="K115" s="140">
        <f t="shared" si="12"/>
        <v>8</v>
      </c>
      <c r="L115" s="206">
        <f t="shared" si="13"/>
        <v>8</v>
      </c>
      <c r="M115" s="8" t="str">
        <f t="array" ref="M115">IF(L115&gt;5,"Perlu Sensus",IF(AND(L115&gt;=0,I115&gt;0),"Tetap Deteksi","Belum Deteksi"))</f>
        <v>Perlu Sensus</v>
      </c>
      <c r="N115" s="132">
        <f t="array" ref="N115">INDEX('[20]LS (Deteksi) Agustus'!N$7:N$303,MATCH(1,('[20]LS (Deteksi) Agustus'!$D$7:$D$303=$D115)*('[20]LS (Deteksi) Agustus'!$D$7:$D$303=$D115),0))</f>
        <v>46247</v>
      </c>
      <c r="O115" s="203">
        <f t="array" ref="O115">INDEX('[20]LS (Deteksi) Agustus'!O$7:O$303,MATCH(1,('[20]LS (Deteksi) Agustus'!$D$7:$D$303=$D115)*('[20]LS (Deteksi) Agustus'!$D$7:$D$303=$D115),0))</f>
        <v>100</v>
      </c>
      <c r="P115" s="9">
        <f t="array" ref="P115">IFERROR(O115/G115*100,0)</f>
        <v>3.0422878004259206</v>
      </c>
      <c r="Q115" s="203">
        <f t="array" ref="Q115">INDEX('[20]LS (Deteksi) Agustus'!Q$7:Q$303,MATCH(1,('[20]LS (Deteksi) Agustus'!$D$7:$D$303=$D115)*('[20]LS (Deteksi) Agustus'!$D$7:$D$303=$D115),0))</f>
        <v>8</v>
      </c>
      <c r="R115" s="9">
        <f t="shared" si="14"/>
        <v>8</v>
      </c>
      <c r="S115" s="8" t="str">
        <f t="array" ref="S115">IF(R115&gt;5,"Perlu Sensus",IF(AND(R115&gt;=0,O115&gt;0),"Tetap Deteksi","Belum Deteksi"))</f>
        <v>Perlu Sensus</v>
      </c>
      <c r="T115" s="203">
        <f t="array" ref="T115">INDEX('[20]LS (Deteksi) Agustus'!T$7:T$303,MATCH(1,('[20]LS (Deteksi) Agustus'!$D$7:$D$303=$D115)*('[20]LS (Deteksi) Agustus'!$D$7:$D$303=$D115),0))</f>
        <v>23</v>
      </c>
      <c r="U115" s="9">
        <f t="shared" si="15"/>
        <v>23</v>
      </c>
      <c r="V115" s="132">
        <f t="array" ref="V115">INDEX('[20]LS (Deteksi) Agustus'!V$7:V$303,MATCH(1,('[20]LS (Deteksi) Agustus'!$D$7:$D$303=$D115)*('[20]LS (Deteksi) Agustus'!$D$7:$D$303=$D115),0))</f>
        <v>46248</v>
      </c>
      <c r="W115" s="203">
        <f t="array" ref="W115">INDEX('[20]LS (Deteksi) Agustus'!W$7:W$303,MATCH(1,('[20]LS (Deteksi) Agustus'!$D$7:$D$303=$D115)*('[20]LS (Deteksi) Agustus'!$D$7:$D$303=$D115),0))</f>
        <v>187</v>
      </c>
      <c r="X115" s="203">
        <f t="array" ref="X115">INDEX('[20]LS (Deteksi) Agustus'!X$7:X$303,MATCH(1,('[20]LS (Deteksi) Agustus'!$D$7:$D$303=$D115)*('[20]LS (Deteksi) Agustus'!$D$7:$D$303=$D115),0))</f>
        <v>9</v>
      </c>
      <c r="Y115" s="9">
        <f t="shared" si="16"/>
        <v>4.8128342245989302</v>
      </c>
      <c r="Z115" s="8" t="str">
        <f t="array" ref="Z115">IF(Y115&gt;5,"Perlu Sensus",IF(AND(Y115&gt;0,,O115&gt;0),"Tetap Deteksi","Belum Deteksi"))</f>
        <v>Belum Deteksi</v>
      </c>
      <c r="AA115" s="203">
        <f t="array" ref="AA115">INDEX('[20]LS (Deteksi) Agustus'!AA$7:AA$303,MATCH(1,('[20]LS (Deteksi) Agustus'!$D$7:$D$303=$D115)*('[20]LS (Deteksi) Agustus'!$D$7:$D$303=$D115),0))</f>
        <v>11</v>
      </c>
      <c r="AB115" s="9">
        <f t="shared" si="17"/>
        <v>5.8823529411764701</v>
      </c>
    </row>
    <row r="116" spans="1:28" outlineLevel="1" x14ac:dyDescent="0.15">
      <c r="A116" s="8" t="s">
        <v>13</v>
      </c>
      <c r="B116" s="8" t="s">
        <v>14</v>
      </c>
      <c r="C116" s="8" t="s">
        <v>107</v>
      </c>
      <c r="D116" s="8" t="s">
        <v>129</v>
      </c>
      <c r="E116" s="9">
        <v>22.71</v>
      </c>
      <c r="F116" s="8" t="s">
        <v>16</v>
      </c>
      <c r="G116" s="143">
        <v>2927</v>
      </c>
      <c r="H116" s="132">
        <f t="shared" si="18"/>
        <v>46247</v>
      </c>
      <c r="I116" s="140">
        <f t="shared" si="18"/>
        <v>131</v>
      </c>
      <c r="J116" s="9">
        <f t="shared" si="11"/>
        <v>4.4755722582849335</v>
      </c>
      <c r="K116" s="140">
        <f t="shared" si="12"/>
        <v>5</v>
      </c>
      <c r="L116" s="206">
        <f t="shared" si="13"/>
        <v>3.8167938931297711</v>
      </c>
      <c r="M116" s="8" t="str">
        <f t="array" ref="M116">IF(L116&gt;5,"Perlu Sensus",IF(AND(L116&gt;=0,I116&gt;0),"Tetap Deteksi","Belum Deteksi"))</f>
        <v>Tetap Deteksi</v>
      </c>
      <c r="N116" s="132">
        <f t="array" ref="N116">INDEX('[20]LS (Deteksi) Agustus'!N$7:N$303,MATCH(1,('[20]LS (Deteksi) Agustus'!$D$7:$D$303=$D116)*('[20]LS (Deteksi) Agustus'!$D$7:$D$303=$D116),0))</f>
        <v>46247</v>
      </c>
      <c r="O116" s="203">
        <f t="array" ref="O116">INDEX('[20]LS (Deteksi) Agustus'!O$7:O$303,MATCH(1,('[20]LS (Deteksi) Agustus'!$D$7:$D$303=$D116)*('[20]LS (Deteksi) Agustus'!$D$7:$D$303=$D116),0))</f>
        <v>131</v>
      </c>
      <c r="P116" s="9">
        <f t="array" ref="P116">IFERROR(O116/G116*100,0)</f>
        <v>4.4755722582849335</v>
      </c>
      <c r="Q116" s="203">
        <f t="array" ref="Q116">INDEX('[20]LS (Deteksi) Agustus'!Q$7:Q$303,MATCH(1,('[20]LS (Deteksi) Agustus'!$D$7:$D$303=$D116)*('[20]LS (Deteksi) Agustus'!$D$7:$D$303=$D116),0))</f>
        <v>5</v>
      </c>
      <c r="R116" s="9">
        <f t="shared" si="14"/>
        <v>3.8167938931297711</v>
      </c>
      <c r="S116" s="8" t="str">
        <f t="array" ref="S116">IF(R116&gt;5,"Perlu Sensus",IF(AND(R116&gt;=0,O116&gt;0),"Tetap Deteksi","Belum Deteksi"))</f>
        <v>Tetap Deteksi</v>
      </c>
      <c r="T116" s="203">
        <f t="array" ref="T116">INDEX('[20]LS (Deteksi) Agustus'!T$7:T$303,MATCH(1,('[20]LS (Deteksi) Agustus'!$D$7:$D$303=$D116)*('[20]LS (Deteksi) Agustus'!$D$7:$D$303=$D116),0))</f>
        <v>8</v>
      </c>
      <c r="U116" s="9">
        <f t="shared" si="15"/>
        <v>6.1068702290076331</v>
      </c>
      <c r="V116" s="132">
        <f t="array" ref="V116">INDEX('[20]LS (Deteksi) Agustus'!V$7:V$303,MATCH(1,('[20]LS (Deteksi) Agustus'!$D$7:$D$303=$D116)*('[20]LS (Deteksi) Agustus'!$D$7:$D$303=$D116),0))</f>
        <v>46248</v>
      </c>
      <c r="W116" s="203">
        <f t="array" ref="W116">INDEX('[20]LS (Deteksi) Agustus'!W$7:W$303,MATCH(1,('[20]LS (Deteksi) Agustus'!$D$7:$D$303=$D116)*('[20]LS (Deteksi) Agustus'!$D$7:$D$303=$D116),0))</f>
        <v>154</v>
      </c>
      <c r="X116" s="203">
        <f t="array" ref="X116">INDEX('[20]LS (Deteksi) Agustus'!X$7:X$303,MATCH(1,('[20]LS (Deteksi) Agustus'!$D$7:$D$303=$D116)*('[20]LS (Deteksi) Agustus'!$D$7:$D$303=$D116),0))</f>
        <v>10</v>
      </c>
      <c r="Y116" s="9">
        <f t="shared" si="16"/>
        <v>6.4935064935064926</v>
      </c>
      <c r="Z116" s="8" t="str">
        <f t="array" ref="Z116">IF(Y116&gt;5,"Perlu Sensus",IF(AND(Y116&gt;0,,O116&gt;0),"Tetap Deteksi","Belum Deteksi"))</f>
        <v>Perlu Sensus</v>
      </c>
      <c r="AA116" s="203">
        <f t="array" ref="AA116">INDEX('[20]LS (Deteksi) Agustus'!AA$7:AA$303,MATCH(1,('[20]LS (Deteksi) Agustus'!$D$7:$D$303=$D116)*('[20]LS (Deteksi) Agustus'!$D$7:$D$303=$D116),0))</f>
        <v>13</v>
      </c>
      <c r="AB116" s="9">
        <f t="shared" si="17"/>
        <v>8.4415584415584419</v>
      </c>
    </row>
    <row r="117" spans="1:28" outlineLevel="1" x14ac:dyDescent="0.15">
      <c r="A117" s="8" t="s">
        <v>13</v>
      </c>
      <c r="B117" s="8" t="s">
        <v>14</v>
      </c>
      <c r="C117" s="8" t="s">
        <v>107</v>
      </c>
      <c r="D117" s="8" t="s">
        <v>130</v>
      </c>
      <c r="E117" s="9">
        <v>24.03</v>
      </c>
      <c r="F117" s="8" t="s">
        <v>16</v>
      </c>
      <c r="G117" s="143">
        <v>2923</v>
      </c>
      <c r="H117" s="132">
        <f t="shared" si="18"/>
        <v>46239</v>
      </c>
      <c r="I117" s="140">
        <f t="shared" si="18"/>
        <v>96</v>
      </c>
      <c r="J117" s="9">
        <f t="shared" si="11"/>
        <v>3.2842969551830312</v>
      </c>
      <c r="K117" s="140">
        <f t="shared" si="12"/>
        <v>5</v>
      </c>
      <c r="L117" s="206">
        <f t="shared" si="13"/>
        <v>5.2083333333333339</v>
      </c>
      <c r="M117" s="8" t="str">
        <f t="array" ref="M117">IF(L117&gt;5,"Perlu Sensus",IF(AND(L117&gt;=0,I117&gt;0),"Tetap Deteksi","Belum Deteksi"))</f>
        <v>Perlu Sensus</v>
      </c>
      <c r="N117" s="132">
        <f t="array" ref="N117">INDEX('[20]LS (Deteksi) Agustus'!N$7:N$303,MATCH(1,('[20]LS (Deteksi) Agustus'!$D$7:$D$303=$D117)*('[20]LS (Deteksi) Agustus'!$D$7:$D$303=$D117),0))</f>
        <v>46239</v>
      </c>
      <c r="O117" s="203">
        <f t="array" ref="O117">INDEX('[20]LS (Deteksi) Agustus'!O$7:O$303,MATCH(1,('[20]LS (Deteksi) Agustus'!$D$7:$D$303=$D117)*('[20]LS (Deteksi) Agustus'!$D$7:$D$303=$D117),0))</f>
        <v>96</v>
      </c>
      <c r="P117" s="9">
        <f t="array" ref="P117">IFERROR(O117/G117*100,0)</f>
        <v>3.2842969551830312</v>
      </c>
      <c r="Q117" s="203">
        <f t="array" ref="Q117">INDEX('[20]LS (Deteksi) Agustus'!Q$7:Q$303,MATCH(1,('[20]LS (Deteksi) Agustus'!$D$7:$D$303=$D117)*('[20]LS (Deteksi) Agustus'!$D$7:$D$303=$D117),0))</f>
        <v>5</v>
      </c>
      <c r="R117" s="9">
        <f t="shared" si="14"/>
        <v>5.2083333333333339</v>
      </c>
      <c r="S117" s="8" t="str">
        <f t="array" ref="S117">IF(R117&gt;5,"Perlu Sensus",IF(AND(R117&gt;=0,O117&gt;0),"Tetap Deteksi","Belum Deteksi"))</f>
        <v>Perlu Sensus</v>
      </c>
      <c r="T117" s="203">
        <f t="array" ref="T117">INDEX('[20]LS (Deteksi) Agustus'!T$7:T$303,MATCH(1,('[20]LS (Deteksi) Agustus'!$D$7:$D$303=$D117)*('[20]LS (Deteksi) Agustus'!$D$7:$D$303=$D117),0))</f>
        <v>36</v>
      </c>
      <c r="U117" s="9">
        <f t="shared" si="15"/>
        <v>37.5</v>
      </c>
      <c r="V117" s="132">
        <f t="array" ref="V117">INDEX('[20]LS (Deteksi) Agustus'!V$7:V$303,MATCH(1,('[20]LS (Deteksi) Agustus'!$D$7:$D$303=$D117)*('[20]LS (Deteksi) Agustus'!$D$7:$D$303=$D117),0))</f>
        <v>46247</v>
      </c>
      <c r="W117" s="203">
        <f t="array" ref="W117">INDEX('[20]LS (Deteksi) Agustus'!W$7:W$303,MATCH(1,('[20]LS (Deteksi) Agustus'!$D$7:$D$303=$D117)*('[20]LS (Deteksi) Agustus'!$D$7:$D$303=$D117),0))</f>
        <v>98</v>
      </c>
      <c r="X117" s="203">
        <f t="array" ref="X117">INDEX('[20]LS (Deteksi) Agustus'!X$7:X$303,MATCH(1,('[20]LS (Deteksi) Agustus'!$D$7:$D$303=$D117)*('[20]LS (Deteksi) Agustus'!$D$7:$D$303=$D117),0))</f>
        <v>7</v>
      </c>
      <c r="Y117" s="9">
        <f t="shared" si="16"/>
        <v>7.1428571428571423</v>
      </c>
      <c r="Z117" s="8" t="str">
        <f t="array" ref="Z117">IF(Y117&gt;5,"Perlu Sensus",IF(AND(Y117&gt;0,,O117&gt;0),"Tetap Deteksi","Belum Deteksi"))</f>
        <v>Perlu Sensus</v>
      </c>
      <c r="AA117" s="203">
        <f t="array" ref="AA117">INDEX('[20]LS (Deteksi) Agustus'!AA$7:AA$303,MATCH(1,('[20]LS (Deteksi) Agustus'!$D$7:$D$303=$D117)*('[20]LS (Deteksi) Agustus'!$D$7:$D$303=$D117),0))</f>
        <v>6</v>
      </c>
      <c r="AB117" s="9">
        <f t="shared" si="17"/>
        <v>6.1224489795918364</v>
      </c>
    </row>
    <row r="118" spans="1:28" outlineLevel="1" x14ac:dyDescent="0.15">
      <c r="A118" s="8" t="s">
        <v>13</v>
      </c>
      <c r="B118" s="8" t="s">
        <v>14</v>
      </c>
      <c r="C118" s="8" t="s">
        <v>107</v>
      </c>
      <c r="D118" s="8" t="s">
        <v>131</v>
      </c>
      <c r="E118" s="9">
        <v>43.81</v>
      </c>
      <c r="F118" s="8" t="s">
        <v>132</v>
      </c>
      <c r="G118" s="143">
        <v>6510</v>
      </c>
      <c r="H118" s="132">
        <f t="shared" si="18"/>
        <v>46242</v>
      </c>
      <c r="I118" s="140">
        <f t="shared" si="18"/>
        <v>96</v>
      </c>
      <c r="J118" s="9">
        <f t="shared" si="11"/>
        <v>1.4746543778801844</v>
      </c>
      <c r="K118" s="140">
        <f t="shared" si="12"/>
        <v>6</v>
      </c>
      <c r="L118" s="206">
        <f t="shared" si="13"/>
        <v>6.25</v>
      </c>
      <c r="M118" s="8" t="str">
        <f t="array" ref="M118">IF(L118&gt;5,"Perlu Sensus",IF(AND(L118&gt;=0,I118&gt;0),"Tetap Deteksi","Belum Deteksi"))</f>
        <v>Perlu Sensus</v>
      </c>
      <c r="N118" s="132">
        <f t="array" ref="N118">INDEX('[20]LS (Deteksi) Agustus'!N$7:N$303,MATCH(1,('[20]LS (Deteksi) Agustus'!$D$7:$D$303=$D118)*('[20]LS (Deteksi) Agustus'!$D$7:$D$303=$D118),0))</f>
        <v>46242</v>
      </c>
      <c r="O118" s="203">
        <f t="array" ref="O118">INDEX('[20]LS (Deteksi) Agustus'!O$7:O$303,MATCH(1,('[20]LS (Deteksi) Agustus'!$D$7:$D$303=$D118)*('[20]LS (Deteksi) Agustus'!$D$7:$D$303=$D118),0))</f>
        <v>96</v>
      </c>
      <c r="P118" s="9">
        <f t="array" ref="P118">IFERROR(O118/G118*100,0)</f>
        <v>1.4746543778801844</v>
      </c>
      <c r="Q118" s="203">
        <f t="array" ref="Q118">INDEX('[20]LS (Deteksi) Agustus'!Q$7:Q$303,MATCH(1,('[20]LS (Deteksi) Agustus'!$D$7:$D$303=$D118)*('[20]LS (Deteksi) Agustus'!$D$7:$D$303=$D118),0))</f>
        <v>6</v>
      </c>
      <c r="R118" s="9">
        <f t="shared" si="14"/>
        <v>6.25</v>
      </c>
      <c r="S118" s="8" t="str">
        <f t="array" ref="S118">IF(R118&gt;5,"Perlu Sensus",IF(AND(R118&gt;=0,O118&gt;0),"Tetap Deteksi","Belum Deteksi"))</f>
        <v>Perlu Sensus</v>
      </c>
      <c r="T118" s="203">
        <f t="array" ref="T118">INDEX('[20]LS (Deteksi) Agustus'!T$7:T$303,MATCH(1,('[20]LS (Deteksi) Agustus'!$D$7:$D$303=$D118)*('[20]LS (Deteksi) Agustus'!$D$7:$D$303=$D118),0))</f>
        <v>37</v>
      </c>
      <c r="U118" s="9">
        <f t="shared" si="15"/>
        <v>38.541666666666671</v>
      </c>
      <c r="V118" s="132">
        <f t="array" ref="V118">INDEX('[20]LS (Deteksi) Agustus'!V$7:V$303,MATCH(1,('[20]LS (Deteksi) Agustus'!$D$7:$D$303=$D118)*('[20]LS (Deteksi) Agustus'!$D$7:$D$303=$D118),0))</f>
        <v>46244</v>
      </c>
      <c r="W118" s="203">
        <f t="array" ref="W118">INDEX('[20]LS (Deteksi) Agustus'!W$7:W$303,MATCH(1,('[20]LS (Deteksi) Agustus'!$D$7:$D$303=$D118)*('[20]LS (Deteksi) Agustus'!$D$7:$D$303=$D118),0))</f>
        <v>210</v>
      </c>
      <c r="X118" s="203">
        <f t="array" ref="X118">INDEX('[20]LS (Deteksi) Agustus'!X$7:X$303,MATCH(1,('[20]LS (Deteksi) Agustus'!$D$7:$D$303=$D118)*('[20]LS (Deteksi) Agustus'!$D$7:$D$303=$D118),0))</f>
        <v>10</v>
      </c>
      <c r="Y118" s="9">
        <f t="shared" si="16"/>
        <v>4.7619047619047619</v>
      </c>
      <c r="Z118" s="8" t="str">
        <f t="array" ref="Z118">IF(Y118&gt;5,"Perlu Sensus",IF(AND(Y118&gt;0,,O118&gt;0),"Tetap Deteksi","Belum Deteksi"))</f>
        <v>Belum Deteksi</v>
      </c>
      <c r="AA118" s="203">
        <f t="array" ref="AA118">INDEX('[20]LS (Deteksi) Agustus'!AA$7:AA$303,MATCH(1,('[20]LS (Deteksi) Agustus'!$D$7:$D$303=$D118)*('[20]LS (Deteksi) Agustus'!$D$7:$D$303=$D118),0))</f>
        <v>13</v>
      </c>
      <c r="AB118" s="9">
        <f t="shared" si="17"/>
        <v>6.1904761904761907</v>
      </c>
    </row>
    <row r="119" spans="1:28" outlineLevel="1" x14ac:dyDescent="0.15">
      <c r="A119" s="8" t="s">
        <v>13</v>
      </c>
      <c r="B119" s="8" t="s">
        <v>14</v>
      </c>
      <c r="C119" s="8" t="s">
        <v>107</v>
      </c>
      <c r="D119" s="8" t="s">
        <v>133</v>
      </c>
      <c r="E119" s="9">
        <v>23.75</v>
      </c>
      <c r="F119" s="8" t="s">
        <v>132</v>
      </c>
      <c r="G119" s="143">
        <v>3574</v>
      </c>
      <c r="H119" s="132">
        <f t="shared" si="18"/>
        <v>46242</v>
      </c>
      <c r="I119" s="140">
        <f t="shared" si="18"/>
        <v>106</v>
      </c>
      <c r="J119" s="9">
        <f t="shared" si="11"/>
        <v>2.9658645775041967</v>
      </c>
      <c r="K119" s="140">
        <f t="shared" si="12"/>
        <v>6</v>
      </c>
      <c r="L119" s="206">
        <f t="shared" si="13"/>
        <v>5.6603773584905666</v>
      </c>
      <c r="M119" s="8" t="str">
        <f t="array" ref="M119">IF(L119&gt;5,"Perlu Sensus",IF(AND(L119&gt;=0,I119&gt;0),"Tetap Deteksi","Belum Deteksi"))</f>
        <v>Perlu Sensus</v>
      </c>
      <c r="N119" s="132">
        <f t="array" ref="N119">INDEX('[20]LS (Deteksi) Agustus'!N$7:N$303,MATCH(1,('[20]LS (Deteksi) Agustus'!$D$7:$D$303=$D119)*('[20]LS (Deteksi) Agustus'!$D$7:$D$303=$D119),0))</f>
        <v>46242</v>
      </c>
      <c r="O119" s="203">
        <f t="array" ref="O119">INDEX('[20]LS (Deteksi) Agustus'!O$7:O$303,MATCH(1,('[20]LS (Deteksi) Agustus'!$D$7:$D$303=$D119)*('[20]LS (Deteksi) Agustus'!$D$7:$D$303=$D119),0))</f>
        <v>106</v>
      </c>
      <c r="P119" s="9">
        <f t="array" ref="P119">IFERROR(O119/G119*100,0)</f>
        <v>2.9658645775041967</v>
      </c>
      <c r="Q119" s="203">
        <f t="array" ref="Q119">INDEX('[20]LS (Deteksi) Agustus'!Q$7:Q$303,MATCH(1,('[20]LS (Deteksi) Agustus'!$D$7:$D$303=$D119)*('[20]LS (Deteksi) Agustus'!$D$7:$D$303=$D119),0))</f>
        <v>6</v>
      </c>
      <c r="R119" s="9">
        <f t="shared" si="14"/>
        <v>5.6603773584905666</v>
      </c>
      <c r="S119" s="8" t="str">
        <f t="array" ref="S119">IF(R119&gt;5,"Perlu Sensus",IF(AND(R119&gt;=0,O119&gt;0),"Tetap Deteksi","Belum Deteksi"))</f>
        <v>Perlu Sensus</v>
      </c>
      <c r="T119" s="203">
        <f t="array" ref="T119">INDEX('[20]LS (Deteksi) Agustus'!T$7:T$303,MATCH(1,('[20]LS (Deteksi) Agustus'!$D$7:$D$303=$D119)*('[20]LS (Deteksi) Agustus'!$D$7:$D$303=$D119),0))</f>
        <v>38</v>
      </c>
      <c r="U119" s="9">
        <f t="shared" si="15"/>
        <v>35.849056603773583</v>
      </c>
      <c r="V119" s="132">
        <f t="array" ref="V119">INDEX('[20]LS (Deteksi) Agustus'!V$7:V$303,MATCH(1,('[20]LS (Deteksi) Agustus'!$D$7:$D$303=$D119)*('[20]LS (Deteksi) Agustus'!$D$7:$D$303=$D119),0))</f>
        <v>46244</v>
      </c>
      <c r="W119" s="203">
        <f t="array" ref="W119">INDEX('[20]LS (Deteksi) Agustus'!W$7:W$303,MATCH(1,('[20]LS (Deteksi) Agustus'!$D$7:$D$303=$D119)*('[20]LS (Deteksi) Agustus'!$D$7:$D$303=$D119),0))</f>
        <v>150</v>
      </c>
      <c r="X119" s="203">
        <f t="array" ref="X119">INDEX('[20]LS (Deteksi) Agustus'!X$7:X$303,MATCH(1,('[20]LS (Deteksi) Agustus'!$D$7:$D$303=$D119)*('[20]LS (Deteksi) Agustus'!$D$7:$D$303=$D119),0))</f>
        <v>8</v>
      </c>
      <c r="Y119" s="9">
        <f t="shared" si="16"/>
        <v>5.3333333333333339</v>
      </c>
      <c r="Z119" s="8" t="str">
        <f t="array" ref="Z119">IF(Y119&gt;5,"Perlu Sensus",IF(AND(Y119&gt;0,,O119&gt;0),"Tetap Deteksi","Belum Deteksi"))</f>
        <v>Perlu Sensus</v>
      </c>
      <c r="AA119" s="203">
        <f t="array" ref="AA119">INDEX('[20]LS (Deteksi) Agustus'!AA$7:AA$303,MATCH(1,('[20]LS (Deteksi) Agustus'!$D$7:$D$303=$D119)*('[20]LS (Deteksi) Agustus'!$D$7:$D$303=$D119),0))</f>
        <v>9</v>
      </c>
      <c r="AB119" s="9">
        <f t="shared" si="17"/>
        <v>6</v>
      </c>
    </row>
    <row r="120" spans="1:28" outlineLevel="1" x14ac:dyDescent="0.15">
      <c r="A120" s="8" t="s">
        <v>13</v>
      </c>
      <c r="B120" s="8" t="s">
        <v>14</v>
      </c>
      <c r="C120" s="8" t="s">
        <v>107</v>
      </c>
      <c r="D120" s="8" t="s">
        <v>134</v>
      </c>
      <c r="E120" s="9">
        <v>31.21</v>
      </c>
      <c r="F120" s="8" t="s">
        <v>16</v>
      </c>
      <c r="G120" s="143">
        <v>4513</v>
      </c>
      <c r="H120" s="132">
        <f t="shared" si="18"/>
        <v>46244</v>
      </c>
      <c r="I120" s="140">
        <f t="shared" si="18"/>
        <v>135</v>
      </c>
      <c r="J120" s="9">
        <f t="shared" si="11"/>
        <v>2.9913582982495015</v>
      </c>
      <c r="K120" s="140">
        <f t="shared" si="12"/>
        <v>5</v>
      </c>
      <c r="L120" s="206">
        <f t="shared" si="13"/>
        <v>3.7037037037037033</v>
      </c>
      <c r="M120" s="8" t="str">
        <f t="array" ref="M120">IF(L120&gt;5,"Perlu Sensus",IF(AND(L120&gt;=0,I120&gt;0),"Tetap Deteksi","Belum Deteksi"))</f>
        <v>Tetap Deteksi</v>
      </c>
      <c r="N120" s="132">
        <f t="array" ref="N120">INDEX('[20]LS (Deteksi) Agustus'!N$7:N$303,MATCH(1,('[20]LS (Deteksi) Agustus'!$D$7:$D$303=$D120)*('[20]LS (Deteksi) Agustus'!$D$7:$D$303=$D120),0))</f>
        <v>46244</v>
      </c>
      <c r="O120" s="203">
        <f t="array" ref="O120">INDEX('[20]LS (Deteksi) Agustus'!O$7:O$303,MATCH(1,('[20]LS (Deteksi) Agustus'!$D$7:$D$303=$D120)*('[20]LS (Deteksi) Agustus'!$D$7:$D$303=$D120),0))</f>
        <v>135</v>
      </c>
      <c r="P120" s="9">
        <f t="array" ref="P120">IFERROR(O120/G120*100,0)</f>
        <v>2.9913582982495015</v>
      </c>
      <c r="Q120" s="203">
        <f t="array" ref="Q120">INDEX('[20]LS (Deteksi) Agustus'!Q$7:Q$303,MATCH(1,('[20]LS (Deteksi) Agustus'!$D$7:$D$303=$D120)*('[20]LS (Deteksi) Agustus'!$D$7:$D$303=$D120),0))</f>
        <v>5</v>
      </c>
      <c r="R120" s="9">
        <f t="shared" si="14"/>
        <v>3.7037037037037033</v>
      </c>
      <c r="S120" s="8" t="str">
        <f t="array" ref="S120">IF(R120&gt;5,"Perlu Sensus",IF(AND(R120&gt;=0,O120&gt;0),"Tetap Deteksi","Belum Deteksi"))</f>
        <v>Tetap Deteksi</v>
      </c>
      <c r="T120" s="203">
        <f t="array" ref="T120">INDEX('[20]LS (Deteksi) Agustus'!T$7:T$303,MATCH(1,('[20]LS (Deteksi) Agustus'!$D$7:$D$303=$D120)*('[20]LS (Deteksi) Agustus'!$D$7:$D$303=$D120),0))</f>
        <v>9</v>
      </c>
      <c r="U120" s="9">
        <f t="shared" si="15"/>
        <v>6.666666666666667</v>
      </c>
      <c r="V120" s="132">
        <f t="array" ref="V120">INDEX('[20]LS (Deteksi) Agustus'!V$7:V$303,MATCH(1,('[20]LS (Deteksi) Agustus'!$D$7:$D$303=$D120)*('[20]LS (Deteksi) Agustus'!$D$7:$D$303=$D120),0))</f>
        <v>46245</v>
      </c>
      <c r="W120" s="203">
        <f t="array" ref="W120">INDEX('[20]LS (Deteksi) Agustus'!W$7:W$303,MATCH(1,('[20]LS (Deteksi) Agustus'!$D$7:$D$303=$D120)*('[20]LS (Deteksi) Agustus'!$D$7:$D$303=$D120),0))</f>
        <v>189</v>
      </c>
      <c r="X120" s="203">
        <f t="array" ref="X120">INDEX('[20]LS (Deteksi) Agustus'!X$7:X$303,MATCH(1,('[20]LS (Deteksi) Agustus'!$D$7:$D$303=$D120)*('[20]LS (Deteksi) Agustus'!$D$7:$D$303=$D120),0))</f>
        <v>9</v>
      </c>
      <c r="Y120" s="9">
        <f t="shared" si="16"/>
        <v>4.7619047619047619</v>
      </c>
      <c r="Z120" s="8" t="str">
        <f t="array" ref="Z120">IF(Y120&gt;5,"Perlu Sensus",IF(AND(Y120&gt;0,,O120&gt;0),"Tetap Deteksi","Belum Deteksi"))</f>
        <v>Belum Deteksi</v>
      </c>
      <c r="AA120" s="203">
        <f t="array" ref="AA120">INDEX('[20]LS (Deteksi) Agustus'!AA$7:AA$303,MATCH(1,('[20]LS (Deteksi) Agustus'!$D$7:$D$303=$D120)*('[20]LS (Deteksi) Agustus'!$D$7:$D$303=$D120),0))</f>
        <v>14</v>
      </c>
      <c r="AB120" s="9">
        <f t="shared" si="17"/>
        <v>7.4074074074074066</v>
      </c>
    </row>
    <row r="121" spans="1:28" outlineLevel="1" x14ac:dyDescent="0.15">
      <c r="A121" s="8" t="s">
        <v>13</v>
      </c>
      <c r="B121" s="8" t="s">
        <v>14</v>
      </c>
      <c r="C121" s="8" t="s">
        <v>107</v>
      </c>
      <c r="D121" s="8" t="s">
        <v>135</v>
      </c>
      <c r="E121" s="9">
        <v>24.27</v>
      </c>
      <c r="F121" s="8" t="s">
        <v>16</v>
      </c>
      <c r="G121" s="143">
        <v>3533</v>
      </c>
      <c r="H121" s="132">
        <f t="shared" si="18"/>
        <v>46244</v>
      </c>
      <c r="I121" s="140">
        <f t="shared" si="18"/>
        <v>167</v>
      </c>
      <c r="J121" s="9">
        <f t="shared" si="11"/>
        <v>4.7268610246249647</v>
      </c>
      <c r="K121" s="140">
        <f t="shared" si="12"/>
        <v>7</v>
      </c>
      <c r="L121" s="206">
        <f t="shared" si="13"/>
        <v>4.1916167664670656</v>
      </c>
      <c r="M121" s="8" t="str">
        <f t="array" ref="M121">IF(L121&gt;5,"Perlu Sensus",IF(AND(L121&gt;=0,I121&gt;0),"Tetap Deteksi","Belum Deteksi"))</f>
        <v>Tetap Deteksi</v>
      </c>
      <c r="N121" s="132">
        <f t="array" ref="N121">INDEX('[20]LS (Deteksi) Agustus'!N$7:N$303,MATCH(1,('[20]LS (Deteksi) Agustus'!$D$7:$D$303=$D121)*('[20]LS (Deteksi) Agustus'!$D$7:$D$303=$D121),0))</f>
        <v>46244</v>
      </c>
      <c r="O121" s="203">
        <f t="array" ref="O121">INDEX('[20]LS (Deteksi) Agustus'!O$7:O$303,MATCH(1,('[20]LS (Deteksi) Agustus'!$D$7:$D$303=$D121)*('[20]LS (Deteksi) Agustus'!$D$7:$D$303=$D121),0))</f>
        <v>167</v>
      </c>
      <c r="P121" s="9">
        <f t="array" ref="P121">IFERROR(O121/G121*100,0)</f>
        <v>4.7268610246249647</v>
      </c>
      <c r="Q121" s="203">
        <f t="array" ref="Q121">INDEX('[20]LS (Deteksi) Agustus'!Q$7:Q$303,MATCH(1,('[20]LS (Deteksi) Agustus'!$D$7:$D$303=$D121)*('[20]LS (Deteksi) Agustus'!$D$7:$D$303=$D121),0))</f>
        <v>7</v>
      </c>
      <c r="R121" s="9">
        <f t="shared" si="14"/>
        <v>4.1916167664670656</v>
      </c>
      <c r="S121" s="8" t="str">
        <f t="array" ref="S121">IF(R121&gt;5,"Perlu Sensus",IF(AND(R121&gt;=0,O121&gt;0),"Tetap Deteksi","Belum Deteksi"))</f>
        <v>Tetap Deteksi</v>
      </c>
      <c r="T121" s="203">
        <f t="array" ref="T121">INDEX('[20]LS (Deteksi) Agustus'!T$7:T$303,MATCH(1,('[20]LS (Deteksi) Agustus'!$D$7:$D$303=$D121)*('[20]LS (Deteksi) Agustus'!$D$7:$D$303=$D121),0))</f>
        <v>10</v>
      </c>
      <c r="U121" s="9">
        <f t="shared" si="15"/>
        <v>5.9880239520958085</v>
      </c>
      <c r="V121" s="132">
        <f t="array" ref="V121">INDEX('[20]LS (Deteksi) Agustus'!V$7:V$303,MATCH(1,('[20]LS (Deteksi) Agustus'!$D$7:$D$303=$D121)*('[20]LS (Deteksi) Agustus'!$D$7:$D$303=$D121),0))</f>
        <v>46245</v>
      </c>
      <c r="W121" s="203">
        <f t="array" ref="W121">INDEX('[20]LS (Deteksi) Agustus'!W$7:W$303,MATCH(1,('[20]LS (Deteksi) Agustus'!$D$7:$D$303=$D121)*('[20]LS (Deteksi) Agustus'!$D$7:$D$303=$D121),0))</f>
        <v>194</v>
      </c>
      <c r="X121" s="203">
        <f t="array" ref="X121">INDEX('[20]LS (Deteksi) Agustus'!X$7:X$303,MATCH(1,('[20]LS (Deteksi) Agustus'!$D$7:$D$303=$D121)*('[20]LS (Deteksi) Agustus'!$D$7:$D$303=$D121),0))</f>
        <v>12</v>
      </c>
      <c r="Y121" s="9">
        <f t="shared" si="16"/>
        <v>6.1855670103092786</v>
      </c>
      <c r="Z121" s="8" t="str">
        <f t="array" ref="Z121">IF(Y121&gt;5,"Perlu Sensus",IF(AND(Y121&gt;0,,O121&gt;0),"Tetap Deteksi","Belum Deteksi"))</f>
        <v>Perlu Sensus</v>
      </c>
      <c r="AA121" s="203">
        <f t="array" ref="AA121">INDEX('[20]LS (Deteksi) Agustus'!AA$7:AA$303,MATCH(1,('[20]LS (Deteksi) Agustus'!$D$7:$D$303=$D121)*('[20]LS (Deteksi) Agustus'!$D$7:$D$303=$D121),0))</f>
        <v>18</v>
      </c>
      <c r="AB121" s="9">
        <f t="shared" si="17"/>
        <v>9.2783505154639183</v>
      </c>
    </row>
    <row r="122" spans="1:28" outlineLevel="1" x14ac:dyDescent="0.15">
      <c r="A122" s="8" t="s">
        <v>13</v>
      </c>
      <c r="B122" s="8" t="s">
        <v>14</v>
      </c>
      <c r="C122" s="8" t="s">
        <v>107</v>
      </c>
      <c r="D122" s="8" t="s">
        <v>136</v>
      </c>
      <c r="E122" s="9">
        <v>24.15</v>
      </c>
      <c r="F122" s="8" t="s">
        <v>16</v>
      </c>
      <c r="G122" s="143">
        <v>3811</v>
      </c>
      <c r="H122" s="132">
        <f t="shared" si="18"/>
        <v>46235</v>
      </c>
      <c r="I122" s="140">
        <f t="shared" si="18"/>
        <v>270</v>
      </c>
      <c r="J122" s="9" t="str">
        <f t="shared" si="11"/>
        <v xml:space="preserve"> </v>
      </c>
      <c r="K122" s="140">
        <f t="shared" si="12"/>
        <v>11</v>
      </c>
      <c r="L122" s="206">
        <f t="shared" si="13"/>
        <v>4.0740740740740744</v>
      </c>
      <c r="M122" s="8" t="str">
        <f t="array" ref="M122">IF(L122&gt;5,"Perlu Sensus",IF(AND(L122&gt;=0,I122&gt;0),"Tetap Deteksi","Belum Deteksi"))</f>
        <v>Tetap Deteksi</v>
      </c>
      <c r="N122" s="132">
        <f t="array" ref="N122">INDEX('[20]LS (Deteksi) Agustus'!N$7:N$303,MATCH(1,('[20]LS (Deteksi) Agustus'!$D$7:$D$303=$D122)*('[20]LS (Deteksi) Agustus'!$D$7:$D$303=$D122),0))</f>
        <v>0</v>
      </c>
      <c r="O122" s="203">
        <f t="array" ref="O122">INDEX('[20]LS (Deteksi) Agustus'!O$7:O$303,MATCH(1,('[20]LS (Deteksi) Agustus'!$D$7:$D$303=$D122)*('[20]LS (Deteksi) Agustus'!$D$7:$D$303=$D122),0))</f>
        <v>0</v>
      </c>
      <c r="P122" s="9">
        <f t="array" ref="P122">IFERROR(O122/G122*100,0)</f>
        <v>0</v>
      </c>
      <c r="Q122" s="203">
        <f t="array" ref="Q122">INDEX('[20]LS (Deteksi) Agustus'!Q$7:Q$303,MATCH(1,('[20]LS (Deteksi) Agustus'!$D$7:$D$303=$D122)*('[20]LS (Deteksi) Agustus'!$D$7:$D$303=$D122),0))</f>
        <v>0</v>
      </c>
      <c r="R122" s="9">
        <f t="shared" si="14"/>
        <v>0</v>
      </c>
      <c r="S122" s="8" t="str">
        <f t="array" ref="S122">IF(R122&gt;5,"Perlu Sensus",IF(AND(R122&gt;=0,O122&gt;0),"Tetap Deteksi","Belum Deteksi"))</f>
        <v>Belum Deteksi</v>
      </c>
      <c r="T122" s="203">
        <f t="array" ref="T122">INDEX('[20]LS (Deteksi) Agustus'!T$7:T$303,MATCH(1,('[20]LS (Deteksi) Agustus'!$D$7:$D$303=$D122)*('[20]LS (Deteksi) Agustus'!$D$7:$D$303=$D122),0))</f>
        <v>0</v>
      </c>
      <c r="U122" s="9">
        <f t="shared" si="15"/>
        <v>0</v>
      </c>
      <c r="V122" s="132">
        <f t="array" ref="V122">INDEX('[20]LS (Deteksi) Agustus'!V$7:V$303,MATCH(1,('[20]LS (Deteksi) Agustus'!$D$7:$D$303=$D122)*('[20]LS (Deteksi) Agustus'!$D$7:$D$303=$D122),0))</f>
        <v>46235</v>
      </c>
      <c r="W122" s="203">
        <f t="array" ref="W122">INDEX('[20]LS (Deteksi) Agustus'!W$7:W$303,MATCH(1,('[20]LS (Deteksi) Agustus'!$D$7:$D$303=$D122)*('[20]LS (Deteksi) Agustus'!$D$7:$D$303=$D122),0))</f>
        <v>270</v>
      </c>
      <c r="X122" s="203">
        <f t="array" ref="X122">INDEX('[20]LS (Deteksi) Agustus'!X$7:X$303,MATCH(1,('[20]LS (Deteksi) Agustus'!$D$7:$D$303=$D122)*('[20]LS (Deteksi) Agustus'!$D$7:$D$303=$D122),0))</f>
        <v>11</v>
      </c>
      <c r="Y122" s="9">
        <f t="shared" si="16"/>
        <v>4.0740740740740744</v>
      </c>
      <c r="Z122" s="8" t="str">
        <f t="array" ref="Z122">IF(Y122&gt;5,"Perlu Sensus",IF(AND(Y122&gt;0,,O122&gt;0),"Tetap Deteksi","Belum Deteksi"))</f>
        <v>Belum Deteksi</v>
      </c>
      <c r="AA122" s="203">
        <f t="array" ref="AA122">INDEX('[20]LS (Deteksi) Agustus'!AA$7:AA$303,MATCH(1,('[20]LS (Deteksi) Agustus'!$D$7:$D$303=$D122)*('[20]LS (Deteksi) Agustus'!$D$7:$D$303=$D122),0))</f>
        <v>13</v>
      </c>
      <c r="AB122" s="9">
        <f t="shared" si="17"/>
        <v>4.8148148148148149</v>
      </c>
    </row>
    <row r="123" spans="1:28" outlineLevel="1" x14ac:dyDescent="0.15">
      <c r="A123" s="8" t="s">
        <v>13</v>
      </c>
      <c r="B123" s="8" t="s">
        <v>14</v>
      </c>
      <c r="C123" s="8" t="s">
        <v>107</v>
      </c>
      <c r="D123" s="8" t="s">
        <v>137</v>
      </c>
      <c r="E123" s="9">
        <v>24.18</v>
      </c>
      <c r="F123" s="8" t="s">
        <v>16</v>
      </c>
      <c r="G123" s="143">
        <v>3657</v>
      </c>
      <c r="H123" s="132">
        <f t="shared" si="18"/>
        <v>46241</v>
      </c>
      <c r="I123" s="140">
        <f t="shared" si="18"/>
        <v>103</v>
      </c>
      <c r="J123" s="9">
        <f t="shared" si="11"/>
        <v>2.8165162701668032</v>
      </c>
      <c r="K123" s="140">
        <f t="shared" si="12"/>
        <v>7</v>
      </c>
      <c r="L123" s="206">
        <f t="shared" si="13"/>
        <v>6.7961165048543686</v>
      </c>
      <c r="M123" s="8" t="str">
        <f t="array" ref="M123">IF(L123&gt;5,"Perlu Sensus",IF(AND(L123&gt;=0,I123&gt;0),"Tetap Deteksi","Belum Deteksi"))</f>
        <v>Perlu Sensus</v>
      </c>
      <c r="N123" s="132">
        <f t="array" ref="N123">INDEX('[20]LS (Deteksi) Agustus'!N$7:N$303,MATCH(1,('[20]LS (Deteksi) Agustus'!$D$7:$D$303=$D123)*('[20]LS (Deteksi) Agustus'!$D$7:$D$303=$D123),0))</f>
        <v>46241</v>
      </c>
      <c r="O123" s="203">
        <f t="array" ref="O123">INDEX('[20]LS (Deteksi) Agustus'!O$7:O$303,MATCH(1,('[20]LS (Deteksi) Agustus'!$D$7:$D$303=$D123)*('[20]LS (Deteksi) Agustus'!$D$7:$D$303=$D123),0))</f>
        <v>103</v>
      </c>
      <c r="P123" s="9">
        <f t="array" ref="P123">IFERROR(O123/G123*100,0)</f>
        <v>2.8165162701668032</v>
      </c>
      <c r="Q123" s="203">
        <f t="array" ref="Q123">INDEX('[20]LS (Deteksi) Agustus'!Q$7:Q$303,MATCH(1,('[20]LS (Deteksi) Agustus'!$D$7:$D$303=$D123)*('[20]LS (Deteksi) Agustus'!$D$7:$D$303=$D123),0))</f>
        <v>7</v>
      </c>
      <c r="R123" s="9">
        <f t="shared" si="14"/>
        <v>6.7961165048543686</v>
      </c>
      <c r="S123" s="8" t="str">
        <f t="array" ref="S123">IF(R123&gt;5,"Perlu Sensus",IF(AND(R123&gt;=0,O123&gt;0),"Tetap Deteksi","Belum Deteksi"))</f>
        <v>Perlu Sensus</v>
      </c>
      <c r="T123" s="203">
        <f t="array" ref="T123">INDEX('[20]LS (Deteksi) Agustus'!T$7:T$303,MATCH(1,('[20]LS (Deteksi) Agustus'!$D$7:$D$303=$D123)*('[20]LS (Deteksi) Agustus'!$D$7:$D$303=$D123),0))</f>
        <v>13</v>
      </c>
      <c r="U123" s="9">
        <f t="shared" si="15"/>
        <v>12.621359223300971</v>
      </c>
      <c r="V123" s="132">
        <f t="array" ref="V123">INDEX('[20]LS (Deteksi) Agustus'!V$7:V$303,MATCH(1,('[20]LS (Deteksi) Agustus'!$D$7:$D$303=$D123)*('[20]LS (Deteksi) Agustus'!$D$7:$D$303=$D123),0))</f>
        <v>46235</v>
      </c>
      <c r="W123" s="203">
        <f t="array" ref="W123">INDEX('[20]LS (Deteksi) Agustus'!W$7:W$303,MATCH(1,('[20]LS (Deteksi) Agustus'!$D$7:$D$303=$D123)*('[20]LS (Deteksi) Agustus'!$D$7:$D$303=$D123),0))</f>
        <v>239</v>
      </c>
      <c r="X123" s="203">
        <f t="array" ref="X123">INDEX('[20]LS (Deteksi) Agustus'!X$7:X$303,MATCH(1,('[20]LS (Deteksi) Agustus'!$D$7:$D$303=$D123)*('[20]LS (Deteksi) Agustus'!$D$7:$D$303=$D123),0))</f>
        <v>9</v>
      </c>
      <c r="Y123" s="9">
        <f t="shared" si="16"/>
        <v>3.7656903765690379</v>
      </c>
      <c r="Z123" s="8" t="str">
        <f t="array" ref="Z123">IF(Y123&gt;5,"Perlu Sensus",IF(AND(Y123&gt;0,,O123&gt;0),"Tetap Deteksi","Belum Deteksi"))</f>
        <v>Belum Deteksi</v>
      </c>
      <c r="AA123" s="203">
        <f t="array" ref="AA123">INDEX('[20]LS (Deteksi) Agustus'!AA$7:AA$303,MATCH(1,('[20]LS (Deteksi) Agustus'!$D$7:$D$303=$D123)*('[20]LS (Deteksi) Agustus'!$D$7:$D$303=$D123),0))</f>
        <v>11</v>
      </c>
      <c r="AB123" s="9">
        <f t="shared" si="17"/>
        <v>4.6025104602510458</v>
      </c>
    </row>
    <row r="124" spans="1:28" outlineLevel="1" x14ac:dyDescent="0.15">
      <c r="A124" s="8" t="s">
        <v>13</v>
      </c>
      <c r="B124" s="8" t="s">
        <v>14</v>
      </c>
      <c r="C124" s="8" t="s">
        <v>107</v>
      </c>
      <c r="D124" s="8" t="s">
        <v>138</v>
      </c>
      <c r="E124" s="9">
        <v>27.59</v>
      </c>
      <c r="F124" s="8" t="s">
        <v>16</v>
      </c>
      <c r="G124" s="143">
        <v>4030</v>
      </c>
      <c r="H124" s="132">
        <f t="shared" si="18"/>
        <v>46241</v>
      </c>
      <c r="I124" s="140">
        <f t="shared" si="18"/>
        <v>81</v>
      </c>
      <c r="J124" s="9">
        <f t="shared" si="11"/>
        <v>2.0099255583126552</v>
      </c>
      <c r="K124" s="140">
        <f t="shared" si="12"/>
        <v>6</v>
      </c>
      <c r="L124" s="206">
        <f t="shared" si="13"/>
        <v>7.4074074074074066</v>
      </c>
      <c r="M124" s="8" t="str">
        <f t="array" ref="M124">IF(L124&gt;5,"Perlu Sensus",IF(AND(L124&gt;=0,I124&gt;0),"Tetap Deteksi","Belum Deteksi"))</f>
        <v>Perlu Sensus</v>
      </c>
      <c r="N124" s="132">
        <f t="array" ref="N124">INDEX('[20]LS (Deteksi) Agustus'!N$7:N$303,MATCH(1,('[20]LS (Deteksi) Agustus'!$D$7:$D$303=$D124)*('[20]LS (Deteksi) Agustus'!$D$7:$D$303=$D124),0))</f>
        <v>46241</v>
      </c>
      <c r="O124" s="203">
        <f t="array" ref="O124">INDEX('[20]LS (Deteksi) Agustus'!O$7:O$303,MATCH(1,('[20]LS (Deteksi) Agustus'!$D$7:$D$303=$D124)*('[20]LS (Deteksi) Agustus'!$D$7:$D$303=$D124),0))</f>
        <v>81</v>
      </c>
      <c r="P124" s="9">
        <f t="array" ref="P124">IFERROR(O124/G124*100,0)</f>
        <v>2.0099255583126552</v>
      </c>
      <c r="Q124" s="203">
        <f t="array" ref="Q124">INDEX('[20]LS (Deteksi) Agustus'!Q$7:Q$303,MATCH(1,('[20]LS (Deteksi) Agustus'!$D$7:$D$303=$D124)*('[20]LS (Deteksi) Agustus'!$D$7:$D$303=$D124),0))</f>
        <v>6</v>
      </c>
      <c r="R124" s="9">
        <f t="shared" si="14"/>
        <v>7.4074074074074066</v>
      </c>
      <c r="S124" s="8" t="str">
        <f t="array" ref="S124">IF(R124&gt;5,"Perlu Sensus",IF(AND(R124&gt;=0,O124&gt;0),"Tetap Deteksi","Belum Deteksi"))</f>
        <v>Perlu Sensus</v>
      </c>
      <c r="T124" s="203">
        <f t="array" ref="T124">INDEX('[20]LS (Deteksi) Agustus'!T$7:T$303,MATCH(1,('[20]LS (Deteksi) Agustus'!$D$7:$D$303=$D124)*('[20]LS (Deteksi) Agustus'!$D$7:$D$303=$D124),0))</f>
        <v>17</v>
      </c>
      <c r="U124" s="9">
        <f t="shared" si="15"/>
        <v>20.987654320987652</v>
      </c>
      <c r="V124" s="132">
        <f t="array" ref="V124">INDEX('[20]LS (Deteksi) Agustus'!V$7:V$303,MATCH(1,('[20]LS (Deteksi) Agustus'!$D$7:$D$303=$D124)*('[20]LS (Deteksi) Agustus'!$D$7:$D$303=$D124),0))</f>
        <v>46242</v>
      </c>
      <c r="W124" s="203">
        <f t="array" ref="W124">INDEX('[20]LS (Deteksi) Agustus'!W$7:W$303,MATCH(1,('[20]LS (Deteksi) Agustus'!$D$7:$D$303=$D124)*('[20]LS (Deteksi) Agustus'!$D$7:$D$303=$D124),0))</f>
        <v>190</v>
      </c>
      <c r="X124" s="203">
        <f t="array" ref="X124">INDEX('[20]LS (Deteksi) Agustus'!X$7:X$303,MATCH(1,('[20]LS (Deteksi) Agustus'!$D$7:$D$303=$D124)*('[20]LS (Deteksi) Agustus'!$D$7:$D$303=$D124),0))</f>
        <v>10</v>
      </c>
      <c r="Y124" s="9">
        <f t="shared" si="16"/>
        <v>5.2631578947368416</v>
      </c>
      <c r="Z124" s="8" t="str">
        <f t="array" ref="Z124">IF(Y124&gt;5,"Perlu Sensus",IF(AND(Y124&gt;0,,O124&gt;0),"Tetap Deteksi","Belum Deteksi"))</f>
        <v>Perlu Sensus</v>
      </c>
      <c r="AA124" s="203">
        <f t="array" ref="AA124">INDEX('[20]LS (Deteksi) Agustus'!AA$7:AA$303,MATCH(1,('[20]LS (Deteksi) Agustus'!$D$7:$D$303=$D124)*('[20]LS (Deteksi) Agustus'!$D$7:$D$303=$D124),0))</f>
        <v>14</v>
      </c>
      <c r="AB124" s="9">
        <f t="shared" si="17"/>
        <v>7.3684210526315779</v>
      </c>
    </row>
    <row r="125" spans="1:28" outlineLevel="1" x14ac:dyDescent="0.15">
      <c r="A125" s="8" t="s">
        <v>13</v>
      </c>
      <c r="B125" s="8" t="s">
        <v>14</v>
      </c>
      <c r="C125" s="8" t="s">
        <v>107</v>
      </c>
      <c r="D125" s="8" t="s">
        <v>139</v>
      </c>
      <c r="E125" s="9">
        <v>24.97</v>
      </c>
      <c r="F125" s="8" t="s">
        <v>16</v>
      </c>
      <c r="G125" s="143">
        <v>3498</v>
      </c>
      <c r="H125" s="132">
        <f t="shared" si="18"/>
        <v>46248</v>
      </c>
      <c r="I125" s="140">
        <f t="shared" si="18"/>
        <v>98</v>
      </c>
      <c r="J125" s="9">
        <f t="shared" si="11"/>
        <v>2.801600914808462</v>
      </c>
      <c r="K125" s="140">
        <f t="shared" si="12"/>
        <v>5</v>
      </c>
      <c r="L125" s="206">
        <f t="shared" si="13"/>
        <v>5.1020408163265305</v>
      </c>
      <c r="M125" s="8" t="str">
        <f t="array" ref="M125">IF(L125&gt;5,"Perlu Sensus",IF(AND(L125&gt;=0,I125&gt;0),"Tetap Deteksi","Belum Deteksi"))</f>
        <v>Perlu Sensus</v>
      </c>
      <c r="N125" s="132">
        <f t="array" ref="N125">INDEX('[20]LS (Deteksi) Agustus'!N$7:N$303,MATCH(1,('[20]LS (Deteksi) Agustus'!$D$7:$D$303=$D125)*('[20]LS (Deteksi) Agustus'!$D$7:$D$303=$D125),0))</f>
        <v>46248</v>
      </c>
      <c r="O125" s="203">
        <f t="array" ref="O125">INDEX('[20]LS (Deteksi) Agustus'!O$7:O$303,MATCH(1,('[20]LS (Deteksi) Agustus'!$D$7:$D$303=$D125)*('[20]LS (Deteksi) Agustus'!$D$7:$D$303=$D125),0))</f>
        <v>98</v>
      </c>
      <c r="P125" s="9">
        <f t="array" ref="P125">IFERROR(O125/G125*100,0)</f>
        <v>2.801600914808462</v>
      </c>
      <c r="Q125" s="203">
        <f t="array" ref="Q125">INDEX('[20]LS (Deteksi) Agustus'!Q$7:Q$303,MATCH(1,('[20]LS (Deteksi) Agustus'!$D$7:$D$303=$D125)*('[20]LS (Deteksi) Agustus'!$D$7:$D$303=$D125),0))</f>
        <v>5</v>
      </c>
      <c r="R125" s="9">
        <f t="shared" si="14"/>
        <v>5.1020408163265305</v>
      </c>
      <c r="S125" s="8" t="str">
        <f t="array" ref="S125">IF(R125&gt;5,"Perlu Sensus",IF(AND(R125&gt;=0,O125&gt;0),"Tetap Deteksi","Belum Deteksi"))</f>
        <v>Perlu Sensus</v>
      </c>
      <c r="T125" s="203">
        <f t="array" ref="T125">INDEX('[20]LS (Deteksi) Agustus'!T$7:T$303,MATCH(1,('[20]LS (Deteksi) Agustus'!$D$7:$D$303=$D125)*('[20]LS (Deteksi) Agustus'!$D$7:$D$303=$D125),0))</f>
        <v>20</v>
      </c>
      <c r="U125" s="9">
        <f t="shared" si="15"/>
        <v>20.408163265306122</v>
      </c>
      <c r="V125" s="132">
        <f t="array" ref="V125">INDEX('[20]LS (Deteksi) Agustus'!V$7:V$303,MATCH(1,('[20]LS (Deteksi) Agustus'!$D$7:$D$303=$D125)*('[20]LS (Deteksi) Agustus'!$D$7:$D$303=$D125),0))</f>
        <v>0</v>
      </c>
      <c r="W125" s="203">
        <f t="array" ref="W125">INDEX('[20]LS (Deteksi) Agustus'!W$7:W$303,MATCH(1,('[20]LS (Deteksi) Agustus'!$D$7:$D$303=$D125)*('[20]LS (Deteksi) Agustus'!$D$7:$D$303=$D125),0))</f>
        <v>0</v>
      </c>
      <c r="X125" s="203">
        <f t="array" ref="X125">INDEX('[20]LS (Deteksi) Agustus'!X$7:X$303,MATCH(1,('[20]LS (Deteksi) Agustus'!$D$7:$D$303=$D125)*('[20]LS (Deteksi) Agustus'!$D$7:$D$303=$D125),0))</f>
        <v>0</v>
      </c>
      <c r="Y125" s="9">
        <f t="shared" si="16"/>
        <v>0</v>
      </c>
      <c r="Z125" s="8" t="str">
        <f t="array" ref="Z125">IF(Y125&gt;5,"Perlu Sensus",IF(AND(Y125&gt;0,,O125&gt;0),"Tetap Deteksi","Belum Deteksi"))</f>
        <v>Belum Deteksi</v>
      </c>
      <c r="AA125" s="203">
        <f t="array" ref="AA125">INDEX('[20]LS (Deteksi) Agustus'!AA$7:AA$303,MATCH(1,('[20]LS (Deteksi) Agustus'!$D$7:$D$303=$D125)*('[20]LS (Deteksi) Agustus'!$D$7:$D$303=$D125),0))</f>
        <v>0</v>
      </c>
      <c r="AB125" s="9">
        <f t="shared" si="17"/>
        <v>0</v>
      </c>
    </row>
    <row r="126" spans="1:28" outlineLevel="1" x14ac:dyDescent="0.15">
      <c r="A126" s="8" t="s">
        <v>13</v>
      </c>
      <c r="B126" s="8" t="s">
        <v>14</v>
      </c>
      <c r="C126" s="8" t="s">
        <v>107</v>
      </c>
      <c r="D126" s="8" t="s">
        <v>140</v>
      </c>
      <c r="E126" s="9">
        <v>29.62</v>
      </c>
      <c r="F126" s="8" t="s">
        <v>16</v>
      </c>
      <c r="G126" s="143">
        <v>3891</v>
      </c>
      <c r="H126" s="132">
        <f t="shared" si="18"/>
        <v>46248</v>
      </c>
      <c r="I126" s="140">
        <f t="shared" si="18"/>
        <v>70</v>
      </c>
      <c r="J126" s="9">
        <f t="shared" si="11"/>
        <v>1.7990233873040349</v>
      </c>
      <c r="K126" s="140">
        <f t="shared" si="12"/>
        <v>3</v>
      </c>
      <c r="L126" s="206">
        <f t="shared" si="13"/>
        <v>4.2857142857142856</v>
      </c>
      <c r="M126" s="8" t="str">
        <f t="array" ref="M126">IF(L126&gt;5,"Perlu Sensus",IF(AND(L126&gt;=0,I126&gt;0),"Tetap Deteksi","Belum Deteksi"))</f>
        <v>Tetap Deteksi</v>
      </c>
      <c r="N126" s="132">
        <f t="array" ref="N126">INDEX('[20]LS (Deteksi) Agustus'!N$7:N$303,MATCH(1,('[20]LS (Deteksi) Agustus'!$D$7:$D$303=$D126)*('[20]LS (Deteksi) Agustus'!$D$7:$D$303=$D126),0))</f>
        <v>46248</v>
      </c>
      <c r="O126" s="203">
        <f t="array" ref="O126">INDEX('[20]LS (Deteksi) Agustus'!O$7:O$303,MATCH(1,('[20]LS (Deteksi) Agustus'!$D$7:$D$303=$D126)*('[20]LS (Deteksi) Agustus'!$D$7:$D$303=$D126),0))</f>
        <v>70</v>
      </c>
      <c r="P126" s="9">
        <f t="array" ref="P126">IFERROR(O126/G126*100,0)</f>
        <v>1.7990233873040349</v>
      </c>
      <c r="Q126" s="203">
        <f t="array" ref="Q126">INDEX('[20]LS (Deteksi) Agustus'!Q$7:Q$303,MATCH(1,('[20]LS (Deteksi) Agustus'!$D$7:$D$303=$D126)*('[20]LS (Deteksi) Agustus'!$D$7:$D$303=$D126),0))</f>
        <v>3</v>
      </c>
      <c r="R126" s="9">
        <f t="shared" si="14"/>
        <v>4.2857142857142856</v>
      </c>
      <c r="S126" s="8" t="str">
        <f t="array" ref="S126">IF(R126&gt;5,"Perlu Sensus",IF(AND(R126&gt;=0,O126&gt;0),"Tetap Deteksi","Belum Deteksi"))</f>
        <v>Tetap Deteksi</v>
      </c>
      <c r="T126" s="203">
        <f t="array" ref="T126">INDEX('[20]LS (Deteksi) Agustus'!T$7:T$303,MATCH(1,('[20]LS (Deteksi) Agustus'!$D$7:$D$303=$D126)*('[20]LS (Deteksi) Agustus'!$D$7:$D$303=$D126),0))</f>
        <v>14</v>
      </c>
      <c r="U126" s="9">
        <f t="shared" si="15"/>
        <v>20</v>
      </c>
      <c r="V126" s="132">
        <f t="array" ref="V126">INDEX('[20]LS (Deteksi) Agustus'!V$7:V$303,MATCH(1,('[20]LS (Deteksi) Agustus'!$D$7:$D$303=$D126)*('[20]LS (Deteksi) Agustus'!$D$7:$D$303=$D126),0))</f>
        <v>0</v>
      </c>
      <c r="W126" s="203">
        <f t="array" ref="W126">INDEX('[20]LS (Deteksi) Agustus'!W$7:W$303,MATCH(1,('[20]LS (Deteksi) Agustus'!$D$7:$D$303=$D126)*('[20]LS (Deteksi) Agustus'!$D$7:$D$303=$D126),0))</f>
        <v>0</v>
      </c>
      <c r="X126" s="203">
        <f t="array" ref="X126">INDEX('[20]LS (Deteksi) Agustus'!X$7:X$303,MATCH(1,('[20]LS (Deteksi) Agustus'!$D$7:$D$303=$D126)*('[20]LS (Deteksi) Agustus'!$D$7:$D$303=$D126),0))</f>
        <v>0</v>
      </c>
      <c r="Y126" s="9">
        <f t="shared" si="16"/>
        <v>0</v>
      </c>
      <c r="Z126" s="8" t="str">
        <f t="array" ref="Z126">IF(Y126&gt;5,"Perlu Sensus",IF(AND(Y126&gt;0,,O126&gt;0),"Tetap Deteksi","Belum Deteksi"))</f>
        <v>Belum Deteksi</v>
      </c>
      <c r="AA126" s="203">
        <f t="array" ref="AA126">INDEX('[20]LS (Deteksi) Agustus'!AA$7:AA$303,MATCH(1,('[20]LS (Deteksi) Agustus'!$D$7:$D$303=$D126)*('[20]LS (Deteksi) Agustus'!$D$7:$D$303=$D126),0))</f>
        <v>0</v>
      </c>
      <c r="AB126" s="9">
        <f t="shared" si="17"/>
        <v>0</v>
      </c>
    </row>
    <row r="127" spans="1:28" outlineLevel="1" x14ac:dyDescent="0.15">
      <c r="A127" s="8" t="s">
        <v>13</v>
      </c>
      <c r="B127" s="8" t="s">
        <v>14</v>
      </c>
      <c r="C127" s="8" t="s">
        <v>107</v>
      </c>
      <c r="D127" s="8" t="s">
        <v>141</v>
      </c>
      <c r="E127" s="9">
        <v>24.32</v>
      </c>
      <c r="F127" s="8" t="s">
        <v>16</v>
      </c>
      <c r="G127" s="143">
        <v>3410</v>
      </c>
      <c r="H127" s="132">
        <f t="shared" si="18"/>
        <v>46248</v>
      </c>
      <c r="I127" s="140">
        <f t="shared" si="18"/>
        <v>111</v>
      </c>
      <c r="J127" s="9">
        <f t="shared" si="11"/>
        <v>3.2551319648093844</v>
      </c>
      <c r="K127" s="140">
        <f t="shared" si="12"/>
        <v>6</v>
      </c>
      <c r="L127" s="206">
        <f t="shared" si="13"/>
        <v>5.4054054054054053</v>
      </c>
      <c r="M127" s="8" t="str">
        <f t="array" ref="M127">IF(L127&gt;5,"Perlu Sensus",IF(AND(L127&gt;=0,I127&gt;0),"Tetap Deteksi","Belum Deteksi"))</f>
        <v>Perlu Sensus</v>
      </c>
      <c r="N127" s="132">
        <f t="array" ref="N127">INDEX('[20]LS (Deteksi) Agustus'!N$7:N$303,MATCH(1,('[20]LS (Deteksi) Agustus'!$D$7:$D$303=$D127)*('[20]LS (Deteksi) Agustus'!$D$7:$D$303=$D127),0))</f>
        <v>46248</v>
      </c>
      <c r="O127" s="203">
        <f t="array" ref="O127">INDEX('[20]LS (Deteksi) Agustus'!O$7:O$303,MATCH(1,('[20]LS (Deteksi) Agustus'!$D$7:$D$303=$D127)*('[20]LS (Deteksi) Agustus'!$D$7:$D$303=$D127),0))</f>
        <v>111</v>
      </c>
      <c r="P127" s="9">
        <f t="array" ref="P127">IFERROR(O127/G127*100,0)</f>
        <v>3.2551319648093844</v>
      </c>
      <c r="Q127" s="203">
        <f t="array" ref="Q127">INDEX('[20]LS (Deteksi) Agustus'!Q$7:Q$303,MATCH(1,('[20]LS (Deteksi) Agustus'!$D$7:$D$303=$D127)*('[20]LS (Deteksi) Agustus'!$D$7:$D$303=$D127),0))</f>
        <v>6</v>
      </c>
      <c r="R127" s="9">
        <f t="shared" si="14"/>
        <v>5.4054054054054053</v>
      </c>
      <c r="S127" s="8" t="str">
        <f t="array" ref="S127">IF(R127&gt;5,"Perlu Sensus",IF(AND(R127&gt;=0,O127&gt;0),"Tetap Deteksi","Belum Deteksi"))</f>
        <v>Perlu Sensus</v>
      </c>
      <c r="T127" s="203">
        <f t="array" ref="T127">INDEX('[20]LS (Deteksi) Agustus'!T$7:T$303,MATCH(1,('[20]LS (Deteksi) Agustus'!$D$7:$D$303=$D127)*('[20]LS (Deteksi) Agustus'!$D$7:$D$303=$D127),0))</f>
        <v>13</v>
      </c>
      <c r="U127" s="9">
        <f t="shared" si="15"/>
        <v>11.711711711711711</v>
      </c>
      <c r="V127" s="132">
        <f t="array" ref="V127">INDEX('[20]LS (Deteksi) Agustus'!V$7:V$303,MATCH(1,('[20]LS (Deteksi) Agustus'!$D$7:$D$303=$D127)*('[20]LS (Deteksi) Agustus'!$D$7:$D$303=$D127),0))</f>
        <v>0</v>
      </c>
      <c r="W127" s="203">
        <f t="array" ref="W127">INDEX('[20]LS (Deteksi) Agustus'!W$7:W$303,MATCH(1,('[20]LS (Deteksi) Agustus'!$D$7:$D$303=$D127)*('[20]LS (Deteksi) Agustus'!$D$7:$D$303=$D127),0))</f>
        <v>0</v>
      </c>
      <c r="X127" s="203">
        <f t="array" ref="X127">INDEX('[20]LS (Deteksi) Agustus'!X$7:X$303,MATCH(1,('[20]LS (Deteksi) Agustus'!$D$7:$D$303=$D127)*('[20]LS (Deteksi) Agustus'!$D$7:$D$303=$D127),0))</f>
        <v>0</v>
      </c>
      <c r="Y127" s="9">
        <f t="shared" si="16"/>
        <v>0</v>
      </c>
      <c r="Z127" s="8" t="str">
        <f t="array" ref="Z127">IF(Y127&gt;5,"Perlu Sensus",IF(AND(Y127&gt;0,,O127&gt;0),"Tetap Deteksi","Belum Deteksi"))</f>
        <v>Belum Deteksi</v>
      </c>
      <c r="AA127" s="203">
        <f t="array" ref="AA127">INDEX('[20]LS (Deteksi) Agustus'!AA$7:AA$303,MATCH(1,('[20]LS (Deteksi) Agustus'!$D$7:$D$303=$D127)*('[20]LS (Deteksi) Agustus'!$D$7:$D$303=$D127),0))</f>
        <v>0</v>
      </c>
      <c r="AB127" s="9">
        <f t="shared" si="17"/>
        <v>0</v>
      </c>
    </row>
    <row r="128" spans="1:28" outlineLevel="1" x14ac:dyDescent="0.15">
      <c r="A128" s="8" t="s">
        <v>13</v>
      </c>
      <c r="B128" s="8" t="s">
        <v>14</v>
      </c>
      <c r="C128" s="8" t="s">
        <v>107</v>
      </c>
      <c r="D128" s="8" t="s">
        <v>142</v>
      </c>
      <c r="E128" s="9">
        <v>23.92</v>
      </c>
      <c r="F128" s="8" t="s">
        <v>16</v>
      </c>
      <c r="G128" s="143">
        <v>2496</v>
      </c>
      <c r="H128" s="132">
        <f t="shared" si="18"/>
        <v>46248</v>
      </c>
      <c r="I128" s="140">
        <f t="shared" si="18"/>
        <v>132</v>
      </c>
      <c r="J128" s="9">
        <f t="shared" si="11"/>
        <v>5.2884615384615383</v>
      </c>
      <c r="K128" s="140">
        <f t="shared" si="12"/>
        <v>5</v>
      </c>
      <c r="L128" s="206">
        <f t="shared" si="13"/>
        <v>3.7878787878787881</v>
      </c>
      <c r="M128" s="8" t="str">
        <f t="array" ref="M128">IF(L128&gt;5,"Perlu Sensus",IF(AND(L128&gt;=0,I128&gt;0),"Tetap Deteksi","Belum Deteksi"))</f>
        <v>Tetap Deteksi</v>
      </c>
      <c r="N128" s="132">
        <f t="array" ref="N128">INDEX('[20]LS (Deteksi) Agustus'!N$7:N$303,MATCH(1,('[20]LS (Deteksi) Agustus'!$D$7:$D$303=$D128)*('[20]LS (Deteksi) Agustus'!$D$7:$D$303=$D128),0))</f>
        <v>46248</v>
      </c>
      <c r="O128" s="203">
        <f t="array" ref="O128">INDEX('[20]LS (Deteksi) Agustus'!O$7:O$303,MATCH(1,('[20]LS (Deteksi) Agustus'!$D$7:$D$303=$D128)*('[20]LS (Deteksi) Agustus'!$D$7:$D$303=$D128),0))</f>
        <v>132</v>
      </c>
      <c r="P128" s="9">
        <f t="array" ref="P128">IFERROR(O128/G128*100,0)</f>
        <v>5.2884615384615383</v>
      </c>
      <c r="Q128" s="203">
        <f t="array" ref="Q128">INDEX('[20]LS (Deteksi) Agustus'!Q$7:Q$303,MATCH(1,('[20]LS (Deteksi) Agustus'!$D$7:$D$303=$D128)*('[20]LS (Deteksi) Agustus'!$D$7:$D$303=$D128),0))</f>
        <v>5</v>
      </c>
      <c r="R128" s="9">
        <f t="shared" si="14"/>
        <v>3.7878787878787881</v>
      </c>
      <c r="S128" s="8" t="str">
        <f t="array" ref="S128">IF(R128&gt;5,"Perlu Sensus",IF(AND(R128&gt;=0,O128&gt;0),"Tetap Deteksi","Belum Deteksi"))</f>
        <v>Tetap Deteksi</v>
      </c>
      <c r="T128" s="203">
        <f t="array" ref="T128">INDEX('[20]LS (Deteksi) Agustus'!T$7:T$303,MATCH(1,('[20]LS (Deteksi) Agustus'!$D$7:$D$303=$D128)*('[20]LS (Deteksi) Agustus'!$D$7:$D$303=$D128),0))</f>
        <v>11</v>
      </c>
      <c r="U128" s="9">
        <f t="shared" si="15"/>
        <v>8.3333333333333321</v>
      </c>
      <c r="V128" s="132">
        <f t="array" ref="V128">INDEX('[20]LS (Deteksi) Agustus'!V$7:V$303,MATCH(1,('[20]LS (Deteksi) Agustus'!$D$7:$D$303=$D128)*('[20]LS (Deteksi) Agustus'!$D$7:$D$303=$D128),0))</f>
        <v>0</v>
      </c>
      <c r="W128" s="203">
        <f t="array" ref="W128">INDEX('[20]LS (Deteksi) Agustus'!W$7:W$303,MATCH(1,('[20]LS (Deteksi) Agustus'!$D$7:$D$303=$D128)*('[20]LS (Deteksi) Agustus'!$D$7:$D$303=$D128),0))</f>
        <v>0</v>
      </c>
      <c r="X128" s="203">
        <f t="array" ref="X128">INDEX('[20]LS (Deteksi) Agustus'!X$7:X$303,MATCH(1,('[20]LS (Deteksi) Agustus'!$D$7:$D$303=$D128)*('[20]LS (Deteksi) Agustus'!$D$7:$D$303=$D128),0))</f>
        <v>0</v>
      </c>
      <c r="Y128" s="9">
        <f t="shared" si="16"/>
        <v>0</v>
      </c>
      <c r="Z128" s="8" t="str">
        <f t="array" ref="Z128">IF(Y128&gt;5,"Perlu Sensus",IF(AND(Y128&gt;0,,O128&gt;0),"Tetap Deteksi","Belum Deteksi"))</f>
        <v>Belum Deteksi</v>
      </c>
      <c r="AA128" s="203">
        <f t="array" ref="AA128">INDEX('[20]LS (Deteksi) Agustus'!AA$7:AA$303,MATCH(1,('[20]LS (Deteksi) Agustus'!$D$7:$D$303=$D128)*('[20]LS (Deteksi) Agustus'!$D$7:$D$303=$D128),0))</f>
        <v>0</v>
      </c>
      <c r="AB128" s="9">
        <f t="shared" si="17"/>
        <v>0</v>
      </c>
    </row>
    <row r="129" spans="1:28" outlineLevel="1" x14ac:dyDescent="0.15">
      <c r="A129" s="8" t="s">
        <v>13</v>
      </c>
      <c r="B129" s="8" t="s">
        <v>14</v>
      </c>
      <c r="C129" s="8" t="s">
        <v>107</v>
      </c>
      <c r="D129" s="8" t="s">
        <v>143</v>
      </c>
      <c r="E129" s="9">
        <v>23.97</v>
      </c>
      <c r="F129" s="8" t="s">
        <v>16</v>
      </c>
      <c r="G129" s="143">
        <v>2572</v>
      </c>
      <c r="H129" s="132">
        <f t="shared" si="18"/>
        <v>46240</v>
      </c>
      <c r="I129" s="140">
        <f t="shared" si="18"/>
        <v>58</v>
      </c>
      <c r="J129" s="9">
        <f t="shared" si="11"/>
        <v>2.2550544323483668</v>
      </c>
      <c r="K129" s="140">
        <f t="shared" si="12"/>
        <v>3</v>
      </c>
      <c r="L129" s="206">
        <f t="shared" si="13"/>
        <v>5.1724137931034484</v>
      </c>
      <c r="M129" s="8" t="str">
        <f t="array" ref="M129">IF(L129&gt;5,"Perlu Sensus",IF(AND(L129&gt;=0,I129&gt;0),"Tetap Deteksi","Belum Deteksi"))</f>
        <v>Perlu Sensus</v>
      </c>
      <c r="N129" s="132">
        <f t="array" ref="N129">INDEX('[20]LS (Deteksi) Agustus'!N$7:N$303,MATCH(1,('[20]LS (Deteksi) Agustus'!$D$7:$D$303=$D129)*('[20]LS (Deteksi) Agustus'!$D$7:$D$303=$D129),0))</f>
        <v>46240</v>
      </c>
      <c r="O129" s="203">
        <f t="array" ref="O129">INDEX('[20]LS (Deteksi) Agustus'!O$7:O$303,MATCH(1,('[20]LS (Deteksi) Agustus'!$D$7:$D$303=$D129)*('[20]LS (Deteksi) Agustus'!$D$7:$D$303=$D129),0))</f>
        <v>58</v>
      </c>
      <c r="P129" s="9">
        <f t="array" ref="P129">IFERROR(O129/G129*100,0)</f>
        <v>2.2550544323483668</v>
      </c>
      <c r="Q129" s="203">
        <f t="array" ref="Q129">INDEX('[20]LS (Deteksi) Agustus'!Q$7:Q$303,MATCH(1,('[20]LS (Deteksi) Agustus'!$D$7:$D$303=$D129)*('[20]LS (Deteksi) Agustus'!$D$7:$D$303=$D129),0))</f>
        <v>3</v>
      </c>
      <c r="R129" s="9">
        <f t="shared" si="14"/>
        <v>5.1724137931034484</v>
      </c>
      <c r="S129" s="8" t="str">
        <f t="array" ref="S129">IF(R129&gt;5,"Perlu Sensus",IF(AND(R129&gt;=0,O129&gt;0),"Tetap Deteksi","Belum Deteksi"))</f>
        <v>Perlu Sensus</v>
      </c>
      <c r="T129" s="203">
        <f t="array" ref="T129">INDEX('[20]LS (Deteksi) Agustus'!T$7:T$303,MATCH(1,('[20]LS (Deteksi) Agustus'!$D$7:$D$303=$D129)*('[20]LS (Deteksi) Agustus'!$D$7:$D$303=$D129),0))</f>
        <v>15</v>
      </c>
      <c r="U129" s="9">
        <f t="shared" si="15"/>
        <v>25.862068965517242</v>
      </c>
      <c r="V129" s="132">
        <f t="array" ref="V129">INDEX('[20]LS (Deteksi) Agustus'!V$7:V$303,MATCH(1,('[20]LS (Deteksi) Agustus'!$D$7:$D$303=$D129)*('[20]LS (Deteksi) Agustus'!$D$7:$D$303=$D129),0))</f>
        <v>46242</v>
      </c>
      <c r="W129" s="203">
        <f t="array" ref="W129">INDEX('[20]LS (Deteksi) Agustus'!W$7:W$303,MATCH(1,('[20]LS (Deteksi) Agustus'!$D$7:$D$303=$D129)*('[20]LS (Deteksi) Agustus'!$D$7:$D$303=$D129),0))</f>
        <v>120</v>
      </c>
      <c r="X129" s="203">
        <f t="array" ref="X129">INDEX('[20]LS (Deteksi) Agustus'!X$7:X$303,MATCH(1,('[20]LS (Deteksi) Agustus'!$D$7:$D$303=$D129)*('[20]LS (Deteksi) Agustus'!$D$7:$D$303=$D129),0))</f>
        <v>9</v>
      </c>
      <c r="Y129" s="9">
        <f t="shared" si="16"/>
        <v>7.5</v>
      </c>
      <c r="Z129" s="8" t="str">
        <f t="array" ref="Z129">IF(Y129&gt;5,"Perlu Sensus",IF(AND(Y129&gt;0,,O129&gt;0),"Tetap Deteksi","Belum Deteksi"))</f>
        <v>Perlu Sensus</v>
      </c>
      <c r="AA129" s="203">
        <f t="array" ref="AA129">INDEX('[20]LS (Deteksi) Agustus'!AA$7:AA$303,MATCH(1,('[20]LS (Deteksi) Agustus'!$D$7:$D$303=$D129)*('[20]LS (Deteksi) Agustus'!$D$7:$D$303=$D129),0))</f>
        <v>13</v>
      </c>
      <c r="AB129" s="9">
        <f t="shared" si="17"/>
        <v>10.833333333333334</v>
      </c>
    </row>
    <row r="130" spans="1:28" outlineLevel="1" x14ac:dyDescent="0.15">
      <c r="A130" s="8" t="s">
        <v>13</v>
      </c>
      <c r="B130" s="8" t="s">
        <v>14</v>
      </c>
      <c r="C130" s="8" t="s">
        <v>144</v>
      </c>
      <c r="D130" s="8" t="s">
        <v>145</v>
      </c>
      <c r="E130" s="9">
        <v>29.02</v>
      </c>
      <c r="F130" s="8" t="s">
        <v>16</v>
      </c>
      <c r="G130" s="143">
        <v>4145</v>
      </c>
      <c r="H130" s="132">
        <f t="shared" si="18"/>
        <v>46241</v>
      </c>
      <c r="I130" s="140">
        <f t="shared" si="18"/>
        <v>56</v>
      </c>
      <c r="J130" s="9">
        <f t="shared" si="11"/>
        <v>1.3510253317249699</v>
      </c>
      <c r="K130" s="140">
        <f t="shared" si="12"/>
        <v>2</v>
      </c>
      <c r="L130" s="206">
        <f t="shared" si="13"/>
        <v>3.5714285714285712</v>
      </c>
      <c r="M130" s="8" t="str">
        <f t="array" ref="M130">IF(L130&gt;5,"Perlu Sensus",IF(AND(L130&gt;=0,I130&gt;0),"Tetap Deteksi","Belum Deteksi"))</f>
        <v>Tetap Deteksi</v>
      </c>
      <c r="N130" s="132">
        <f t="array" ref="N130">INDEX('[20]LS (Deteksi) Agustus'!N$7:N$303,MATCH(1,('[20]LS (Deteksi) Agustus'!$D$7:$D$303=$D130)*('[20]LS (Deteksi) Agustus'!$D$7:$D$303=$D130),0))</f>
        <v>46241</v>
      </c>
      <c r="O130" s="203">
        <f t="array" ref="O130">INDEX('[20]LS (Deteksi) Agustus'!O$7:O$303,MATCH(1,('[20]LS (Deteksi) Agustus'!$D$7:$D$303=$D130)*('[20]LS (Deteksi) Agustus'!$D$7:$D$303=$D130),0))</f>
        <v>56</v>
      </c>
      <c r="P130" s="9">
        <f t="array" ref="P130">IFERROR(O130/G130*100,0)</f>
        <v>1.3510253317249699</v>
      </c>
      <c r="Q130" s="203">
        <f t="array" ref="Q130">INDEX('[20]LS (Deteksi) Agustus'!Q$7:Q$303,MATCH(1,('[20]LS (Deteksi) Agustus'!$D$7:$D$303=$D130)*('[20]LS (Deteksi) Agustus'!$D$7:$D$303=$D130),0))</f>
        <v>2</v>
      </c>
      <c r="R130" s="9">
        <f t="shared" si="14"/>
        <v>3.5714285714285712</v>
      </c>
      <c r="S130" s="8" t="str">
        <f t="array" ref="S130">IF(R130&gt;5,"Perlu Sensus",IF(AND(R130&gt;=0,O130&gt;0),"Tetap Deteksi","Belum Deteksi"))</f>
        <v>Tetap Deteksi</v>
      </c>
      <c r="T130" s="203">
        <f t="array" ref="T130">INDEX('[20]LS (Deteksi) Agustus'!T$7:T$303,MATCH(1,('[20]LS (Deteksi) Agustus'!$D$7:$D$303=$D130)*('[20]LS (Deteksi) Agustus'!$D$7:$D$303=$D130),0))</f>
        <v>5</v>
      </c>
      <c r="U130" s="9">
        <f t="shared" si="15"/>
        <v>8.9285714285714288</v>
      </c>
      <c r="V130" s="132">
        <f t="array" ref="V130">INDEX('[20]LS (Deteksi) Agustus'!V$7:V$303,MATCH(1,('[20]LS (Deteksi) Agustus'!$D$7:$D$303=$D130)*('[20]LS (Deteksi) Agustus'!$D$7:$D$303=$D130),0))</f>
        <v>46242</v>
      </c>
      <c r="W130" s="203">
        <f t="array" ref="W130">INDEX('[20]LS (Deteksi) Agustus'!W$7:W$303,MATCH(1,('[20]LS (Deteksi) Agustus'!$D$7:$D$303=$D130)*('[20]LS (Deteksi) Agustus'!$D$7:$D$303=$D130),0))</f>
        <v>211</v>
      </c>
      <c r="X130" s="203">
        <f t="array" ref="X130">INDEX('[20]LS (Deteksi) Agustus'!X$7:X$303,MATCH(1,('[20]LS (Deteksi) Agustus'!$D$7:$D$303=$D130)*('[20]LS (Deteksi) Agustus'!$D$7:$D$303=$D130),0))</f>
        <v>12</v>
      </c>
      <c r="Y130" s="9">
        <f t="shared" si="16"/>
        <v>5.6872037914691944</v>
      </c>
      <c r="Z130" s="8" t="str">
        <f t="array" ref="Z130">IF(Y130&gt;5,"Perlu Sensus",IF(AND(Y130&gt;0,,O130&gt;0),"Tetap Deteksi","Belum Deteksi"))</f>
        <v>Perlu Sensus</v>
      </c>
      <c r="AA130" s="203">
        <f t="array" ref="AA130">INDEX('[20]LS (Deteksi) Agustus'!AA$7:AA$303,MATCH(1,('[20]LS (Deteksi) Agustus'!$D$7:$D$303=$D130)*('[20]LS (Deteksi) Agustus'!$D$7:$D$303=$D130),0))</f>
        <v>13</v>
      </c>
      <c r="AB130" s="9">
        <f t="shared" si="17"/>
        <v>6.1611374407582939</v>
      </c>
    </row>
    <row r="131" spans="1:28" outlineLevel="1" x14ac:dyDescent="0.15">
      <c r="A131" s="8" t="s">
        <v>13</v>
      </c>
      <c r="B131" s="8" t="s">
        <v>14</v>
      </c>
      <c r="C131" s="8" t="s">
        <v>144</v>
      </c>
      <c r="D131" s="8" t="s">
        <v>146</v>
      </c>
      <c r="E131" s="9">
        <v>45.85</v>
      </c>
      <c r="F131" s="8" t="s">
        <v>16</v>
      </c>
      <c r="G131" s="143">
        <v>6917</v>
      </c>
      <c r="H131" s="132">
        <f t="shared" si="18"/>
        <v>46241</v>
      </c>
      <c r="I131" s="140">
        <f t="shared" si="18"/>
        <v>46</v>
      </c>
      <c r="J131" s="9">
        <f t="shared" si="11"/>
        <v>0.66502819141246206</v>
      </c>
      <c r="K131" s="140">
        <f t="shared" si="12"/>
        <v>4</v>
      </c>
      <c r="L131" s="206">
        <f t="shared" si="13"/>
        <v>8.695652173913043</v>
      </c>
      <c r="M131" s="8" t="str">
        <f t="array" ref="M131">IF(L131&gt;5,"Perlu Sensus",IF(AND(L131&gt;=0,I131&gt;0),"Tetap Deteksi","Belum Deteksi"))</f>
        <v>Perlu Sensus</v>
      </c>
      <c r="N131" s="132">
        <f t="array" ref="N131">INDEX('[20]LS (Deteksi) Agustus'!N$7:N$303,MATCH(1,('[20]LS (Deteksi) Agustus'!$D$7:$D$303=$D131)*('[20]LS (Deteksi) Agustus'!$D$7:$D$303=$D131),0))</f>
        <v>46241</v>
      </c>
      <c r="O131" s="203">
        <f t="array" ref="O131">INDEX('[20]LS (Deteksi) Agustus'!O$7:O$303,MATCH(1,('[20]LS (Deteksi) Agustus'!$D$7:$D$303=$D131)*('[20]LS (Deteksi) Agustus'!$D$7:$D$303=$D131),0))</f>
        <v>46</v>
      </c>
      <c r="P131" s="9">
        <f t="array" ref="P131">IFERROR(O131/G131*100,0)</f>
        <v>0.66502819141246206</v>
      </c>
      <c r="Q131" s="203">
        <f t="array" ref="Q131">INDEX('[20]LS (Deteksi) Agustus'!Q$7:Q$303,MATCH(1,('[20]LS (Deteksi) Agustus'!$D$7:$D$303=$D131)*('[20]LS (Deteksi) Agustus'!$D$7:$D$303=$D131),0))</f>
        <v>4</v>
      </c>
      <c r="R131" s="9">
        <f t="shared" si="14"/>
        <v>8.695652173913043</v>
      </c>
      <c r="S131" s="8" t="str">
        <f t="array" ref="S131">IF(R131&gt;5,"Perlu Sensus",IF(AND(R131&gt;=0,O131&gt;0),"Tetap Deteksi","Belum Deteksi"))</f>
        <v>Perlu Sensus</v>
      </c>
      <c r="T131" s="203">
        <f t="array" ref="T131">INDEX('[20]LS (Deteksi) Agustus'!T$7:T$303,MATCH(1,('[20]LS (Deteksi) Agustus'!$D$7:$D$303=$D131)*('[20]LS (Deteksi) Agustus'!$D$7:$D$303=$D131),0))</f>
        <v>8</v>
      </c>
      <c r="U131" s="9">
        <f t="shared" si="15"/>
        <v>17.391304347826086</v>
      </c>
      <c r="V131" s="132">
        <f t="array" ref="V131">INDEX('[20]LS (Deteksi) Agustus'!V$7:V$303,MATCH(1,('[20]LS (Deteksi) Agustus'!$D$7:$D$303=$D131)*('[20]LS (Deteksi) Agustus'!$D$7:$D$303=$D131),0))</f>
        <v>46244</v>
      </c>
      <c r="W131" s="203">
        <f t="array" ref="W131">INDEX('[20]LS (Deteksi) Agustus'!W$7:W$303,MATCH(1,('[20]LS (Deteksi) Agustus'!$D$7:$D$303=$D131)*('[20]LS (Deteksi) Agustus'!$D$7:$D$303=$D131),0))</f>
        <v>192</v>
      </c>
      <c r="X131" s="203">
        <f t="array" ref="X131">INDEX('[20]LS (Deteksi) Agustus'!X$7:X$303,MATCH(1,('[20]LS (Deteksi) Agustus'!$D$7:$D$303=$D131)*('[20]LS (Deteksi) Agustus'!$D$7:$D$303=$D131),0))</f>
        <v>11</v>
      </c>
      <c r="Y131" s="9">
        <f t="shared" si="16"/>
        <v>5.7291666666666661</v>
      </c>
      <c r="Z131" s="8" t="str">
        <f t="array" ref="Z131">IF(Y131&gt;5,"Perlu Sensus",IF(AND(Y131&gt;0,,O131&gt;0),"Tetap Deteksi","Belum Deteksi"))</f>
        <v>Perlu Sensus</v>
      </c>
      <c r="AA131" s="203">
        <f t="array" ref="AA131">INDEX('[20]LS (Deteksi) Agustus'!AA$7:AA$303,MATCH(1,('[20]LS (Deteksi) Agustus'!$D$7:$D$303=$D131)*('[20]LS (Deteksi) Agustus'!$D$7:$D$303=$D131),0))</f>
        <v>15</v>
      </c>
      <c r="AB131" s="9">
        <f t="shared" si="17"/>
        <v>7.8125</v>
      </c>
    </row>
    <row r="132" spans="1:28" outlineLevel="1" x14ac:dyDescent="0.15">
      <c r="A132" s="8" t="s">
        <v>13</v>
      </c>
      <c r="B132" s="8" t="s">
        <v>14</v>
      </c>
      <c r="C132" s="8" t="s">
        <v>144</v>
      </c>
      <c r="D132" s="8" t="s">
        <v>147</v>
      </c>
      <c r="E132" s="9">
        <v>26.99</v>
      </c>
      <c r="F132" s="8" t="s">
        <v>16</v>
      </c>
      <c r="G132" s="143">
        <v>3916</v>
      </c>
      <c r="H132" s="132">
        <f t="shared" si="18"/>
        <v>46242</v>
      </c>
      <c r="I132" s="140">
        <f t="shared" si="18"/>
        <v>46</v>
      </c>
      <c r="J132" s="9">
        <f t="shared" si="11"/>
        <v>1.1746680286006128</v>
      </c>
      <c r="K132" s="140">
        <f t="shared" si="12"/>
        <v>4</v>
      </c>
      <c r="L132" s="206">
        <f t="shared" si="13"/>
        <v>8.695652173913043</v>
      </c>
      <c r="M132" s="8" t="str">
        <f t="array" ref="M132">IF(L132&gt;5,"Perlu Sensus",IF(AND(L132&gt;=0,I132&gt;0),"Tetap Deteksi","Belum Deteksi"))</f>
        <v>Perlu Sensus</v>
      </c>
      <c r="N132" s="132">
        <f t="array" ref="N132">INDEX('[20]LS (Deteksi) Agustus'!N$7:N$303,MATCH(1,('[20]LS (Deteksi) Agustus'!$D$7:$D$303=$D132)*('[20]LS (Deteksi) Agustus'!$D$7:$D$303=$D132),0))</f>
        <v>46242</v>
      </c>
      <c r="O132" s="203">
        <f t="array" ref="O132">INDEX('[20]LS (Deteksi) Agustus'!O$7:O$303,MATCH(1,('[20]LS (Deteksi) Agustus'!$D$7:$D$303=$D132)*('[20]LS (Deteksi) Agustus'!$D$7:$D$303=$D132),0))</f>
        <v>46</v>
      </c>
      <c r="P132" s="9">
        <f t="array" ref="P132">IFERROR(O132/G132*100,0)</f>
        <v>1.1746680286006128</v>
      </c>
      <c r="Q132" s="203">
        <f t="array" ref="Q132">INDEX('[20]LS (Deteksi) Agustus'!Q$7:Q$303,MATCH(1,('[20]LS (Deteksi) Agustus'!$D$7:$D$303=$D132)*('[20]LS (Deteksi) Agustus'!$D$7:$D$303=$D132),0))</f>
        <v>4</v>
      </c>
      <c r="R132" s="9">
        <f t="shared" si="14"/>
        <v>8.695652173913043</v>
      </c>
      <c r="S132" s="8" t="str">
        <f t="array" ref="S132">IF(R132&gt;5,"Perlu Sensus",IF(AND(R132&gt;=0,O132&gt;0),"Tetap Deteksi","Belum Deteksi"))</f>
        <v>Perlu Sensus</v>
      </c>
      <c r="T132" s="203">
        <f t="array" ref="T132">INDEX('[20]LS (Deteksi) Agustus'!T$7:T$303,MATCH(1,('[20]LS (Deteksi) Agustus'!$D$7:$D$303=$D132)*('[20]LS (Deteksi) Agustus'!$D$7:$D$303=$D132),0))</f>
        <v>11</v>
      </c>
      <c r="U132" s="9">
        <f t="shared" si="15"/>
        <v>23.913043478260871</v>
      </c>
      <c r="V132" s="132">
        <f t="array" ref="V132">INDEX('[20]LS (Deteksi) Agustus'!V$7:V$303,MATCH(1,('[20]LS (Deteksi) Agustus'!$D$7:$D$303=$D132)*('[20]LS (Deteksi) Agustus'!$D$7:$D$303=$D132),0))</f>
        <v>46244</v>
      </c>
      <c r="W132" s="203">
        <f t="array" ref="W132">INDEX('[20]LS (Deteksi) Agustus'!W$7:W$303,MATCH(1,('[20]LS (Deteksi) Agustus'!$D$7:$D$303=$D132)*('[20]LS (Deteksi) Agustus'!$D$7:$D$303=$D132),0))</f>
        <v>231</v>
      </c>
      <c r="X132" s="203">
        <f t="array" ref="X132">INDEX('[20]LS (Deteksi) Agustus'!X$7:X$303,MATCH(1,('[20]LS (Deteksi) Agustus'!$D$7:$D$303=$D132)*('[20]LS (Deteksi) Agustus'!$D$7:$D$303=$D132),0))</f>
        <v>13</v>
      </c>
      <c r="Y132" s="9">
        <f t="shared" si="16"/>
        <v>5.6277056277056277</v>
      </c>
      <c r="Z132" s="8" t="str">
        <f t="array" ref="Z132">IF(Y132&gt;5,"Perlu Sensus",IF(AND(Y132&gt;0,,O132&gt;0),"Tetap Deteksi","Belum Deteksi"))</f>
        <v>Perlu Sensus</v>
      </c>
      <c r="AA132" s="203">
        <f t="array" ref="AA132">INDEX('[20]LS (Deteksi) Agustus'!AA$7:AA$303,MATCH(1,('[20]LS (Deteksi) Agustus'!$D$7:$D$303=$D132)*('[20]LS (Deteksi) Agustus'!$D$7:$D$303=$D132),0))</f>
        <v>10</v>
      </c>
      <c r="AB132" s="9">
        <f t="shared" si="17"/>
        <v>4.329004329004329</v>
      </c>
    </row>
    <row r="133" spans="1:28" outlineLevel="1" x14ac:dyDescent="0.15">
      <c r="A133" s="8" t="s">
        <v>13</v>
      </c>
      <c r="B133" s="8" t="s">
        <v>14</v>
      </c>
      <c r="C133" s="8" t="s">
        <v>144</v>
      </c>
      <c r="D133" s="8" t="s">
        <v>148</v>
      </c>
      <c r="E133" s="9">
        <v>24.62</v>
      </c>
      <c r="F133" s="8" t="s">
        <v>16</v>
      </c>
      <c r="G133" s="143">
        <v>3583</v>
      </c>
      <c r="H133" s="132">
        <f t="shared" si="18"/>
        <v>46242</v>
      </c>
      <c r="I133" s="140">
        <f t="shared" si="18"/>
        <v>55</v>
      </c>
      <c r="J133" s="9">
        <f t="shared" si="11"/>
        <v>1.5350265140943344</v>
      </c>
      <c r="K133" s="140">
        <f t="shared" si="12"/>
        <v>3</v>
      </c>
      <c r="L133" s="206">
        <f t="shared" si="13"/>
        <v>5.4545454545454541</v>
      </c>
      <c r="M133" s="8" t="str">
        <f t="array" ref="M133">IF(L133&gt;5,"Perlu Sensus",IF(AND(L133&gt;=0,I133&gt;0),"Tetap Deteksi","Belum Deteksi"))</f>
        <v>Perlu Sensus</v>
      </c>
      <c r="N133" s="132">
        <f t="array" ref="N133">INDEX('[20]LS (Deteksi) Agustus'!N$7:N$303,MATCH(1,('[20]LS (Deteksi) Agustus'!$D$7:$D$303=$D133)*('[20]LS (Deteksi) Agustus'!$D$7:$D$303=$D133),0))</f>
        <v>46242</v>
      </c>
      <c r="O133" s="203">
        <f t="array" ref="O133">INDEX('[20]LS (Deteksi) Agustus'!O$7:O$303,MATCH(1,('[20]LS (Deteksi) Agustus'!$D$7:$D$303=$D133)*('[20]LS (Deteksi) Agustus'!$D$7:$D$303=$D133),0))</f>
        <v>55</v>
      </c>
      <c r="P133" s="9">
        <f t="array" ref="P133">IFERROR(O133/G133*100,0)</f>
        <v>1.5350265140943344</v>
      </c>
      <c r="Q133" s="203">
        <f t="array" ref="Q133">INDEX('[20]LS (Deteksi) Agustus'!Q$7:Q$303,MATCH(1,('[20]LS (Deteksi) Agustus'!$D$7:$D$303=$D133)*('[20]LS (Deteksi) Agustus'!$D$7:$D$303=$D133),0))</f>
        <v>3</v>
      </c>
      <c r="R133" s="9">
        <f t="shared" si="14"/>
        <v>5.4545454545454541</v>
      </c>
      <c r="S133" s="8" t="str">
        <f t="array" ref="S133">IF(R133&gt;5,"Perlu Sensus",IF(AND(R133&gt;=0,O133&gt;0),"Tetap Deteksi","Belum Deteksi"))</f>
        <v>Perlu Sensus</v>
      </c>
      <c r="T133" s="203">
        <f t="array" ref="T133">INDEX('[20]LS (Deteksi) Agustus'!T$7:T$303,MATCH(1,('[20]LS (Deteksi) Agustus'!$D$7:$D$303=$D133)*('[20]LS (Deteksi) Agustus'!$D$7:$D$303=$D133),0))</f>
        <v>9</v>
      </c>
      <c r="U133" s="9">
        <f t="shared" si="15"/>
        <v>16.363636363636363</v>
      </c>
      <c r="V133" s="132">
        <f t="array" ref="V133">INDEX('[20]LS (Deteksi) Agustus'!V$7:V$303,MATCH(1,('[20]LS (Deteksi) Agustus'!$D$7:$D$303=$D133)*('[20]LS (Deteksi) Agustus'!$D$7:$D$303=$D133),0))</f>
        <v>46245</v>
      </c>
      <c r="W133" s="203">
        <f t="array" ref="W133">INDEX('[20]LS (Deteksi) Agustus'!W$7:W$303,MATCH(1,('[20]LS (Deteksi) Agustus'!$D$7:$D$303=$D133)*('[20]LS (Deteksi) Agustus'!$D$7:$D$303=$D133),0))</f>
        <v>222</v>
      </c>
      <c r="X133" s="203">
        <f t="array" ref="X133">INDEX('[20]LS (Deteksi) Agustus'!X$7:X$303,MATCH(1,('[20]LS (Deteksi) Agustus'!$D$7:$D$303=$D133)*('[20]LS (Deteksi) Agustus'!$D$7:$D$303=$D133),0))</f>
        <v>10</v>
      </c>
      <c r="Y133" s="9">
        <f t="shared" si="16"/>
        <v>4.5045045045045047</v>
      </c>
      <c r="Z133" s="8" t="str">
        <f t="array" ref="Z133">IF(Y133&gt;5,"Perlu Sensus",IF(AND(Y133&gt;0,,O133&gt;0),"Tetap Deteksi","Belum Deteksi"))</f>
        <v>Belum Deteksi</v>
      </c>
      <c r="AA133" s="203">
        <f t="array" ref="AA133">INDEX('[20]LS (Deteksi) Agustus'!AA$7:AA$303,MATCH(1,('[20]LS (Deteksi) Agustus'!$D$7:$D$303=$D133)*('[20]LS (Deteksi) Agustus'!$D$7:$D$303=$D133),0))</f>
        <v>15</v>
      </c>
      <c r="AB133" s="9">
        <f t="shared" si="17"/>
        <v>6.756756756756757</v>
      </c>
    </row>
    <row r="134" spans="1:28" outlineLevel="1" x14ac:dyDescent="0.15">
      <c r="A134" s="8" t="s">
        <v>13</v>
      </c>
      <c r="B134" s="8" t="s">
        <v>14</v>
      </c>
      <c r="C134" s="8" t="s">
        <v>144</v>
      </c>
      <c r="D134" s="8" t="s">
        <v>149</v>
      </c>
      <c r="E134" s="9">
        <v>24.68</v>
      </c>
      <c r="F134" s="8" t="s">
        <v>16</v>
      </c>
      <c r="G134" s="143">
        <v>3490</v>
      </c>
      <c r="H134" s="132">
        <f t="shared" si="18"/>
        <v>46248</v>
      </c>
      <c r="I134" s="140">
        <f t="shared" si="18"/>
        <v>47</v>
      </c>
      <c r="J134" s="9">
        <f t="shared" ref="J134:J197" si="19">IF(P134&gt;0,P134," ")</f>
        <v>1.3467048710601719</v>
      </c>
      <c r="K134" s="140">
        <f t="shared" ref="K134:K197" si="20">IF(Q134&gt;0,Q134,X134)</f>
        <v>3</v>
      </c>
      <c r="L134" s="206">
        <f t="shared" ref="L134:L197" si="21">IFERROR(K134/I134*100,0)</f>
        <v>6.3829787234042552</v>
      </c>
      <c r="M134" s="8" t="str">
        <f t="array" ref="M134">IF(L134&gt;5,"Perlu Sensus",IF(AND(L134&gt;=0,I134&gt;0),"Tetap Deteksi","Belum Deteksi"))</f>
        <v>Perlu Sensus</v>
      </c>
      <c r="N134" s="132">
        <f t="array" ref="N134">INDEX('[20]LS (Deteksi) Agustus'!N$7:N$303,MATCH(1,('[20]LS (Deteksi) Agustus'!$D$7:$D$303=$D134)*('[20]LS (Deteksi) Agustus'!$D$7:$D$303=$D134),0))</f>
        <v>46248</v>
      </c>
      <c r="O134" s="203">
        <f t="array" ref="O134">INDEX('[20]LS (Deteksi) Agustus'!O$7:O$303,MATCH(1,('[20]LS (Deteksi) Agustus'!$D$7:$D$303=$D134)*('[20]LS (Deteksi) Agustus'!$D$7:$D$303=$D134),0))</f>
        <v>47</v>
      </c>
      <c r="P134" s="9">
        <f t="array" ref="P134">IFERROR(O134/G134*100,0)</f>
        <v>1.3467048710601719</v>
      </c>
      <c r="Q134" s="203">
        <f t="array" ref="Q134">INDEX('[20]LS (Deteksi) Agustus'!Q$7:Q$303,MATCH(1,('[20]LS (Deteksi) Agustus'!$D$7:$D$303=$D134)*('[20]LS (Deteksi) Agustus'!$D$7:$D$303=$D134),0))</f>
        <v>3</v>
      </c>
      <c r="R134" s="9">
        <f t="shared" si="14"/>
        <v>6.3829787234042552</v>
      </c>
      <c r="S134" s="8" t="str">
        <f t="array" ref="S134">IF(R134&gt;5,"Perlu Sensus",IF(AND(R134&gt;=0,O134&gt;0),"Tetap Deteksi","Belum Deteksi"))</f>
        <v>Perlu Sensus</v>
      </c>
      <c r="T134" s="203">
        <f t="array" ref="T134">INDEX('[20]LS (Deteksi) Agustus'!T$7:T$303,MATCH(1,('[20]LS (Deteksi) Agustus'!$D$7:$D$303=$D134)*('[20]LS (Deteksi) Agustus'!$D$7:$D$303=$D134),0))</f>
        <v>5</v>
      </c>
      <c r="U134" s="9">
        <f t="shared" si="15"/>
        <v>10.638297872340425</v>
      </c>
      <c r="V134" s="132">
        <f t="array" ref="V134">INDEX('[20]LS (Deteksi) Agustus'!V$7:V$303,MATCH(1,('[20]LS (Deteksi) Agustus'!$D$7:$D$303=$D134)*('[20]LS (Deteksi) Agustus'!$D$7:$D$303=$D134),0))</f>
        <v>46235</v>
      </c>
      <c r="W134" s="203">
        <f t="array" ref="W134">INDEX('[20]LS (Deteksi) Agustus'!W$7:W$303,MATCH(1,('[20]LS (Deteksi) Agustus'!$D$7:$D$303=$D134)*('[20]LS (Deteksi) Agustus'!$D$7:$D$303=$D134),0))</f>
        <v>211</v>
      </c>
      <c r="X134" s="203">
        <f t="array" ref="X134">INDEX('[20]LS (Deteksi) Agustus'!X$7:X$303,MATCH(1,('[20]LS (Deteksi) Agustus'!$D$7:$D$303=$D134)*('[20]LS (Deteksi) Agustus'!$D$7:$D$303=$D134),0))</f>
        <v>12</v>
      </c>
      <c r="Y134" s="9">
        <f t="shared" si="16"/>
        <v>5.6872037914691944</v>
      </c>
      <c r="Z134" s="8" t="str">
        <f t="array" ref="Z134">IF(Y134&gt;5,"Perlu Sensus",IF(AND(Y134&gt;0,,O134&gt;0),"Tetap Deteksi","Belum Deteksi"))</f>
        <v>Perlu Sensus</v>
      </c>
      <c r="AA134" s="203">
        <f t="array" ref="AA134">INDEX('[20]LS (Deteksi) Agustus'!AA$7:AA$303,MATCH(1,('[20]LS (Deteksi) Agustus'!$D$7:$D$303=$D134)*('[20]LS (Deteksi) Agustus'!$D$7:$D$303=$D134),0))</f>
        <v>8</v>
      </c>
      <c r="AB134" s="9">
        <f t="shared" si="17"/>
        <v>3.7914691943127963</v>
      </c>
    </row>
    <row r="135" spans="1:28" outlineLevel="1" x14ac:dyDescent="0.15">
      <c r="A135" s="8" t="s">
        <v>13</v>
      </c>
      <c r="B135" s="8" t="s">
        <v>14</v>
      </c>
      <c r="C135" s="8" t="s">
        <v>144</v>
      </c>
      <c r="D135" s="8" t="s">
        <v>150</v>
      </c>
      <c r="E135" s="9">
        <v>46.33</v>
      </c>
      <c r="F135" s="8" t="s">
        <v>16</v>
      </c>
      <c r="G135" s="143">
        <v>6679</v>
      </c>
      <c r="H135" s="132">
        <f t="shared" si="18"/>
        <v>46248</v>
      </c>
      <c r="I135" s="140">
        <f t="shared" si="18"/>
        <v>57</v>
      </c>
      <c r="J135" s="9">
        <f t="shared" si="19"/>
        <v>0.8534211708339573</v>
      </c>
      <c r="K135" s="140">
        <f t="shared" si="20"/>
        <v>4</v>
      </c>
      <c r="L135" s="206">
        <f t="shared" si="21"/>
        <v>7.0175438596491224</v>
      </c>
      <c r="M135" s="8" t="str">
        <f t="array" ref="M135">IF(L135&gt;5,"Perlu Sensus",IF(AND(L135&gt;=0,I135&gt;0),"Tetap Deteksi","Belum Deteksi"))</f>
        <v>Perlu Sensus</v>
      </c>
      <c r="N135" s="132">
        <f t="array" ref="N135">INDEX('[20]LS (Deteksi) Agustus'!N$7:N$303,MATCH(1,('[20]LS (Deteksi) Agustus'!$D$7:$D$303=$D135)*('[20]LS (Deteksi) Agustus'!$D$7:$D$303=$D135),0))</f>
        <v>46248</v>
      </c>
      <c r="O135" s="203">
        <f t="array" ref="O135">INDEX('[20]LS (Deteksi) Agustus'!O$7:O$303,MATCH(1,('[20]LS (Deteksi) Agustus'!$D$7:$D$303=$D135)*('[20]LS (Deteksi) Agustus'!$D$7:$D$303=$D135),0))</f>
        <v>57</v>
      </c>
      <c r="P135" s="9">
        <f t="array" ref="P135">IFERROR(O135/G135*100,0)</f>
        <v>0.8534211708339573</v>
      </c>
      <c r="Q135" s="203">
        <f t="array" ref="Q135">INDEX('[20]LS (Deteksi) Agustus'!Q$7:Q$303,MATCH(1,('[20]LS (Deteksi) Agustus'!$D$7:$D$303=$D135)*('[20]LS (Deteksi) Agustus'!$D$7:$D$303=$D135),0))</f>
        <v>4</v>
      </c>
      <c r="R135" s="9">
        <f t="shared" ref="R135:R198" si="22">IFERROR(Q135/O135*100,0)</f>
        <v>7.0175438596491224</v>
      </c>
      <c r="S135" s="8" t="str">
        <f t="array" ref="S135">IF(R135&gt;5,"Perlu Sensus",IF(AND(R135&gt;=0,O135&gt;0),"Tetap Deteksi","Belum Deteksi"))</f>
        <v>Perlu Sensus</v>
      </c>
      <c r="T135" s="203">
        <f t="array" ref="T135">INDEX('[20]LS (Deteksi) Agustus'!T$7:T$303,MATCH(1,('[20]LS (Deteksi) Agustus'!$D$7:$D$303=$D135)*('[20]LS (Deteksi) Agustus'!$D$7:$D$303=$D135),0))</f>
        <v>5</v>
      </c>
      <c r="U135" s="9">
        <f t="shared" ref="U135:U198" si="23">IFERROR(T135/O135*100,0)</f>
        <v>8.7719298245614024</v>
      </c>
      <c r="V135" s="132">
        <f t="array" ref="V135">INDEX('[20]LS (Deteksi) Agustus'!V$7:V$303,MATCH(1,('[20]LS (Deteksi) Agustus'!$D$7:$D$303=$D135)*('[20]LS (Deteksi) Agustus'!$D$7:$D$303=$D135),0))</f>
        <v>46235</v>
      </c>
      <c r="W135" s="203">
        <f t="array" ref="W135">INDEX('[20]LS (Deteksi) Agustus'!W$7:W$303,MATCH(1,('[20]LS (Deteksi) Agustus'!$D$7:$D$303=$D135)*('[20]LS (Deteksi) Agustus'!$D$7:$D$303=$D135),0))</f>
        <v>257</v>
      </c>
      <c r="X135" s="203">
        <f t="array" ref="X135">INDEX('[20]LS (Deteksi) Agustus'!X$7:X$303,MATCH(1,('[20]LS (Deteksi) Agustus'!$D$7:$D$303=$D135)*('[20]LS (Deteksi) Agustus'!$D$7:$D$303=$D135),0))</f>
        <v>14</v>
      </c>
      <c r="Y135" s="9">
        <f t="shared" ref="Y135:Y198" si="24">IFERROR(X135/W135*100,0)</f>
        <v>5.4474708171206228</v>
      </c>
      <c r="Z135" s="8" t="str">
        <f t="array" ref="Z135">IF(Y135&gt;5,"Perlu Sensus",IF(AND(Y135&gt;0,,O135&gt;0),"Tetap Deteksi","Belum Deteksi"))</f>
        <v>Perlu Sensus</v>
      </c>
      <c r="AA135" s="203">
        <f t="array" ref="AA135">INDEX('[20]LS (Deteksi) Agustus'!AA$7:AA$303,MATCH(1,('[20]LS (Deteksi) Agustus'!$D$7:$D$303=$D135)*('[20]LS (Deteksi) Agustus'!$D$7:$D$303=$D135),0))</f>
        <v>15</v>
      </c>
      <c r="AB135" s="9">
        <f t="shared" ref="AB135:AB198" si="25">IFERROR(AA135/W135*100,0)</f>
        <v>5.836575875486381</v>
      </c>
    </row>
    <row r="136" spans="1:28" outlineLevel="1" x14ac:dyDescent="0.15">
      <c r="A136" s="8" t="s">
        <v>13</v>
      </c>
      <c r="B136" s="8" t="s">
        <v>14</v>
      </c>
      <c r="C136" s="8" t="s">
        <v>144</v>
      </c>
      <c r="D136" s="8" t="s">
        <v>151</v>
      </c>
      <c r="E136" s="9">
        <v>33.799999999999997</v>
      </c>
      <c r="F136" s="8" t="s">
        <v>16</v>
      </c>
      <c r="G136" s="143">
        <v>4919</v>
      </c>
      <c r="H136" s="132">
        <f t="shared" si="18"/>
        <v>46248</v>
      </c>
      <c r="I136" s="140">
        <f t="shared" si="18"/>
        <v>59</v>
      </c>
      <c r="J136" s="9">
        <f t="shared" si="19"/>
        <v>1.1994307786135394</v>
      </c>
      <c r="K136" s="140">
        <f t="shared" si="20"/>
        <v>4</v>
      </c>
      <c r="L136" s="206">
        <f t="shared" si="21"/>
        <v>6.7796610169491522</v>
      </c>
      <c r="M136" s="8" t="str">
        <f t="array" ref="M136">IF(L136&gt;5,"Perlu Sensus",IF(AND(L136&gt;=0,I136&gt;0),"Tetap Deteksi","Belum Deteksi"))</f>
        <v>Perlu Sensus</v>
      </c>
      <c r="N136" s="132">
        <f t="array" ref="N136">INDEX('[20]LS (Deteksi) Agustus'!N$7:N$303,MATCH(1,('[20]LS (Deteksi) Agustus'!$D$7:$D$303=$D136)*('[20]LS (Deteksi) Agustus'!$D$7:$D$303=$D136),0))</f>
        <v>46248</v>
      </c>
      <c r="O136" s="203">
        <f t="array" ref="O136">INDEX('[20]LS (Deteksi) Agustus'!O$7:O$303,MATCH(1,('[20]LS (Deteksi) Agustus'!$D$7:$D$303=$D136)*('[20]LS (Deteksi) Agustus'!$D$7:$D$303=$D136),0))</f>
        <v>59</v>
      </c>
      <c r="P136" s="9">
        <f t="array" ref="P136">IFERROR(O136/G136*100,0)</f>
        <v>1.1994307786135394</v>
      </c>
      <c r="Q136" s="203">
        <f t="array" ref="Q136">INDEX('[20]LS (Deteksi) Agustus'!Q$7:Q$303,MATCH(1,('[20]LS (Deteksi) Agustus'!$D$7:$D$303=$D136)*('[20]LS (Deteksi) Agustus'!$D$7:$D$303=$D136),0))</f>
        <v>4</v>
      </c>
      <c r="R136" s="9">
        <f t="shared" si="22"/>
        <v>6.7796610169491522</v>
      </c>
      <c r="S136" s="8" t="str">
        <f t="array" ref="S136">IF(R136&gt;5,"Perlu Sensus",IF(AND(R136&gt;=0,O136&gt;0),"Tetap Deteksi","Belum Deteksi"))</f>
        <v>Perlu Sensus</v>
      </c>
      <c r="T136" s="203">
        <f t="array" ref="T136">INDEX('[20]LS (Deteksi) Agustus'!T$7:T$303,MATCH(1,('[20]LS (Deteksi) Agustus'!$D$7:$D$303=$D136)*('[20]LS (Deteksi) Agustus'!$D$7:$D$303=$D136),0))</f>
        <v>11</v>
      </c>
      <c r="U136" s="9">
        <f t="shared" si="23"/>
        <v>18.64406779661017</v>
      </c>
      <c r="V136" s="132">
        <f t="array" ref="V136">INDEX('[20]LS (Deteksi) Agustus'!V$7:V$303,MATCH(1,('[20]LS (Deteksi) Agustus'!$D$7:$D$303=$D136)*('[20]LS (Deteksi) Agustus'!$D$7:$D$303=$D136),0))</f>
        <v>46247</v>
      </c>
      <c r="W136" s="203">
        <f t="array" ref="W136">INDEX('[20]LS (Deteksi) Agustus'!W$7:W$303,MATCH(1,('[20]LS (Deteksi) Agustus'!$D$7:$D$303=$D136)*('[20]LS (Deteksi) Agustus'!$D$7:$D$303=$D136),0))</f>
        <v>110</v>
      </c>
      <c r="X136" s="203">
        <f t="array" ref="X136">INDEX('[20]LS (Deteksi) Agustus'!X$7:X$303,MATCH(1,('[20]LS (Deteksi) Agustus'!$D$7:$D$303=$D136)*('[20]LS (Deteksi) Agustus'!$D$7:$D$303=$D136),0))</f>
        <v>6</v>
      </c>
      <c r="Y136" s="9">
        <f t="shared" si="24"/>
        <v>5.4545454545454541</v>
      </c>
      <c r="Z136" s="8" t="str">
        <f t="array" ref="Z136">IF(Y136&gt;5,"Perlu Sensus",IF(AND(Y136&gt;0,,O136&gt;0),"Tetap Deteksi","Belum Deteksi"))</f>
        <v>Perlu Sensus</v>
      </c>
      <c r="AA136" s="203">
        <f t="array" ref="AA136">INDEX('[20]LS (Deteksi) Agustus'!AA$7:AA$303,MATCH(1,('[20]LS (Deteksi) Agustus'!$D$7:$D$303=$D136)*('[20]LS (Deteksi) Agustus'!$D$7:$D$303=$D136),0))</f>
        <v>15</v>
      </c>
      <c r="AB136" s="9">
        <f t="shared" si="25"/>
        <v>13.636363636363635</v>
      </c>
    </row>
    <row r="137" spans="1:28" outlineLevel="1" x14ac:dyDescent="0.15">
      <c r="A137" s="8" t="s">
        <v>13</v>
      </c>
      <c r="B137" s="8" t="s">
        <v>14</v>
      </c>
      <c r="C137" s="8" t="s">
        <v>144</v>
      </c>
      <c r="D137" s="8" t="s">
        <v>152</v>
      </c>
      <c r="E137" s="9">
        <v>27.3</v>
      </c>
      <c r="F137" s="8" t="s">
        <v>16</v>
      </c>
      <c r="G137" s="143">
        <v>4088</v>
      </c>
      <c r="H137" s="132">
        <f t="shared" si="18"/>
        <v>46246</v>
      </c>
      <c r="I137" s="140">
        <f t="shared" si="18"/>
        <v>75</v>
      </c>
      <c r="J137" s="9">
        <f t="shared" si="19"/>
        <v>1.8346379647749509</v>
      </c>
      <c r="K137" s="140">
        <f t="shared" si="20"/>
        <v>6</v>
      </c>
      <c r="L137" s="206">
        <f t="shared" si="21"/>
        <v>8</v>
      </c>
      <c r="M137" s="8" t="str">
        <f t="array" ref="M137">IF(L137&gt;5,"Perlu Sensus",IF(AND(L137&gt;=0,I137&gt;0),"Tetap Deteksi","Belum Deteksi"))</f>
        <v>Perlu Sensus</v>
      </c>
      <c r="N137" s="132">
        <f t="array" ref="N137">INDEX('[20]LS (Deteksi) Agustus'!N$7:N$303,MATCH(1,('[20]LS (Deteksi) Agustus'!$D$7:$D$303=$D137)*('[20]LS (Deteksi) Agustus'!$D$7:$D$303=$D137),0))</f>
        <v>46246</v>
      </c>
      <c r="O137" s="203">
        <f t="array" ref="O137">INDEX('[20]LS (Deteksi) Agustus'!O$7:O$303,MATCH(1,('[20]LS (Deteksi) Agustus'!$D$7:$D$303=$D137)*('[20]LS (Deteksi) Agustus'!$D$7:$D$303=$D137),0))</f>
        <v>75</v>
      </c>
      <c r="P137" s="9">
        <f t="array" ref="P137">IFERROR(O137/G137*100,0)</f>
        <v>1.8346379647749509</v>
      </c>
      <c r="Q137" s="203">
        <f t="array" ref="Q137">INDEX('[20]LS (Deteksi) Agustus'!Q$7:Q$303,MATCH(1,('[20]LS (Deteksi) Agustus'!$D$7:$D$303=$D137)*('[20]LS (Deteksi) Agustus'!$D$7:$D$303=$D137),0))</f>
        <v>6</v>
      </c>
      <c r="R137" s="9">
        <f t="shared" si="22"/>
        <v>8</v>
      </c>
      <c r="S137" s="8" t="str">
        <f t="array" ref="S137">IF(R137&gt;5,"Perlu Sensus",IF(AND(R137&gt;=0,O137&gt;0),"Tetap Deteksi","Belum Deteksi"))</f>
        <v>Perlu Sensus</v>
      </c>
      <c r="T137" s="203">
        <f t="array" ref="T137">INDEX('[20]LS (Deteksi) Agustus'!T$7:T$303,MATCH(1,('[20]LS (Deteksi) Agustus'!$D$7:$D$303=$D137)*('[20]LS (Deteksi) Agustus'!$D$7:$D$303=$D137),0))</f>
        <v>13</v>
      </c>
      <c r="U137" s="9">
        <f t="shared" si="23"/>
        <v>17.333333333333336</v>
      </c>
      <c r="V137" s="132">
        <f t="array" ref="V137">INDEX('[20]LS (Deteksi) Agustus'!V$7:V$303,MATCH(1,('[20]LS (Deteksi) Agustus'!$D$7:$D$303=$D137)*('[20]LS (Deteksi) Agustus'!$D$7:$D$303=$D137),0))</f>
        <v>46247</v>
      </c>
      <c r="W137" s="203">
        <f t="array" ref="W137">INDEX('[20]LS (Deteksi) Agustus'!W$7:W$303,MATCH(1,('[20]LS (Deteksi) Agustus'!$D$7:$D$303=$D137)*('[20]LS (Deteksi) Agustus'!$D$7:$D$303=$D137),0))</f>
        <v>132</v>
      </c>
      <c r="X137" s="203">
        <f t="array" ref="X137">INDEX('[20]LS (Deteksi) Agustus'!X$7:X$303,MATCH(1,('[20]LS (Deteksi) Agustus'!$D$7:$D$303=$D137)*('[20]LS (Deteksi) Agustus'!$D$7:$D$303=$D137),0))</f>
        <v>8</v>
      </c>
      <c r="Y137" s="9">
        <f t="shared" si="24"/>
        <v>6.0606060606060606</v>
      </c>
      <c r="Z137" s="8" t="str">
        <f t="array" ref="Z137">IF(Y137&gt;5,"Perlu Sensus",IF(AND(Y137&gt;0,,O137&gt;0),"Tetap Deteksi","Belum Deteksi"))</f>
        <v>Perlu Sensus</v>
      </c>
      <c r="AA137" s="203">
        <f t="array" ref="AA137">INDEX('[20]LS (Deteksi) Agustus'!AA$7:AA$303,MATCH(1,('[20]LS (Deteksi) Agustus'!$D$7:$D$303=$D137)*('[20]LS (Deteksi) Agustus'!$D$7:$D$303=$D137),0))</f>
        <v>10</v>
      </c>
      <c r="AB137" s="9">
        <f t="shared" si="25"/>
        <v>7.5757575757575761</v>
      </c>
    </row>
    <row r="138" spans="1:28" outlineLevel="1" x14ac:dyDescent="0.15">
      <c r="A138" s="8" t="s">
        <v>13</v>
      </c>
      <c r="B138" s="8" t="s">
        <v>14</v>
      </c>
      <c r="C138" s="8" t="s">
        <v>144</v>
      </c>
      <c r="D138" s="8" t="s">
        <v>153</v>
      </c>
      <c r="E138" s="9">
        <v>46.21</v>
      </c>
      <c r="F138" s="8" t="s">
        <v>16</v>
      </c>
      <c r="G138" s="143">
        <v>6824</v>
      </c>
      <c r="H138" s="132">
        <f t="shared" si="18"/>
        <v>46247</v>
      </c>
      <c r="I138" s="140">
        <f t="shared" si="18"/>
        <v>54</v>
      </c>
      <c r="J138" s="9">
        <f t="shared" si="19"/>
        <v>0.79132473622508781</v>
      </c>
      <c r="K138" s="140">
        <f t="shared" si="20"/>
        <v>3</v>
      </c>
      <c r="L138" s="206">
        <f t="shared" si="21"/>
        <v>5.5555555555555554</v>
      </c>
      <c r="M138" s="8" t="str">
        <f t="array" ref="M138">IF(L138&gt;5,"Perlu Sensus",IF(AND(L138&gt;=0,I138&gt;0),"Tetap Deteksi","Belum Deteksi"))</f>
        <v>Perlu Sensus</v>
      </c>
      <c r="N138" s="132">
        <f t="array" ref="N138">INDEX('[20]LS (Deteksi) Agustus'!N$7:N$303,MATCH(1,('[20]LS (Deteksi) Agustus'!$D$7:$D$303=$D138)*('[20]LS (Deteksi) Agustus'!$D$7:$D$303=$D138),0))</f>
        <v>46247</v>
      </c>
      <c r="O138" s="203">
        <f t="array" ref="O138">INDEX('[20]LS (Deteksi) Agustus'!O$7:O$303,MATCH(1,('[20]LS (Deteksi) Agustus'!$D$7:$D$303=$D138)*('[20]LS (Deteksi) Agustus'!$D$7:$D$303=$D138),0))</f>
        <v>54</v>
      </c>
      <c r="P138" s="9">
        <f t="array" ref="P138">IFERROR(O138/G138*100,0)</f>
        <v>0.79132473622508781</v>
      </c>
      <c r="Q138" s="203">
        <f t="array" ref="Q138">INDEX('[20]LS (Deteksi) Agustus'!Q$7:Q$303,MATCH(1,('[20]LS (Deteksi) Agustus'!$D$7:$D$303=$D138)*('[20]LS (Deteksi) Agustus'!$D$7:$D$303=$D138),0))</f>
        <v>3</v>
      </c>
      <c r="R138" s="9">
        <f t="shared" si="22"/>
        <v>5.5555555555555554</v>
      </c>
      <c r="S138" s="8" t="str">
        <f t="array" ref="S138">IF(R138&gt;5,"Perlu Sensus",IF(AND(R138&gt;=0,O138&gt;0),"Tetap Deteksi","Belum Deteksi"))</f>
        <v>Perlu Sensus</v>
      </c>
      <c r="T138" s="203">
        <f t="array" ref="T138">INDEX('[20]LS (Deteksi) Agustus'!T$7:T$303,MATCH(1,('[20]LS (Deteksi) Agustus'!$D$7:$D$303=$D138)*('[20]LS (Deteksi) Agustus'!$D$7:$D$303=$D138),0))</f>
        <v>6</v>
      </c>
      <c r="U138" s="9">
        <f t="shared" si="23"/>
        <v>11.111111111111111</v>
      </c>
      <c r="V138" s="132">
        <f t="array" ref="V138">INDEX('[20]LS (Deteksi) Agustus'!V$7:V$303,MATCH(1,('[20]LS (Deteksi) Agustus'!$D$7:$D$303=$D138)*('[20]LS (Deteksi) Agustus'!$D$7:$D$303=$D138),0))</f>
        <v>46248</v>
      </c>
      <c r="W138" s="203">
        <f t="array" ref="W138">INDEX('[20]LS (Deteksi) Agustus'!W$7:W$303,MATCH(1,('[20]LS (Deteksi) Agustus'!$D$7:$D$303=$D138)*('[20]LS (Deteksi) Agustus'!$D$7:$D$303=$D138),0))</f>
        <v>216</v>
      </c>
      <c r="X138" s="203">
        <f t="array" ref="X138">INDEX('[20]LS (Deteksi) Agustus'!X$7:X$303,MATCH(1,('[20]LS (Deteksi) Agustus'!$D$7:$D$303=$D138)*('[20]LS (Deteksi) Agustus'!$D$7:$D$303=$D138),0))</f>
        <v>9</v>
      </c>
      <c r="Y138" s="9">
        <f t="shared" si="24"/>
        <v>4.1666666666666661</v>
      </c>
      <c r="Z138" s="8" t="str">
        <f t="array" ref="Z138">IF(Y138&gt;5,"Perlu Sensus",IF(AND(Y138&gt;0,,O138&gt;0),"Tetap Deteksi","Belum Deteksi"))</f>
        <v>Belum Deteksi</v>
      </c>
      <c r="AA138" s="203">
        <f t="array" ref="AA138">INDEX('[20]LS (Deteksi) Agustus'!AA$7:AA$303,MATCH(1,('[20]LS (Deteksi) Agustus'!$D$7:$D$303=$D138)*('[20]LS (Deteksi) Agustus'!$D$7:$D$303=$D138),0))</f>
        <v>13</v>
      </c>
      <c r="AB138" s="9">
        <f t="shared" si="25"/>
        <v>6.0185185185185182</v>
      </c>
    </row>
    <row r="139" spans="1:28" outlineLevel="1" x14ac:dyDescent="0.15">
      <c r="A139" s="8" t="s">
        <v>13</v>
      </c>
      <c r="B139" s="8" t="s">
        <v>14</v>
      </c>
      <c r="C139" s="8" t="s">
        <v>144</v>
      </c>
      <c r="D139" s="8" t="s">
        <v>154</v>
      </c>
      <c r="E139" s="9">
        <v>26.46</v>
      </c>
      <c r="F139" s="8" t="s">
        <v>16</v>
      </c>
      <c r="G139" s="143">
        <v>3834</v>
      </c>
      <c r="H139" s="132">
        <f t="shared" si="18"/>
        <v>46240</v>
      </c>
      <c r="I139" s="140">
        <f t="shared" si="18"/>
        <v>60</v>
      </c>
      <c r="J139" s="9">
        <f t="shared" si="19"/>
        <v>1.5649452269170578</v>
      </c>
      <c r="K139" s="140">
        <f t="shared" si="20"/>
        <v>3</v>
      </c>
      <c r="L139" s="206">
        <f t="shared" si="21"/>
        <v>5</v>
      </c>
      <c r="M139" s="8" t="str">
        <f t="array" ref="M139">IF(L139&gt;5,"Perlu Sensus",IF(AND(L139&gt;=0,I139&gt;0),"Tetap Deteksi","Belum Deteksi"))</f>
        <v>Tetap Deteksi</v>
      </c>
      <c r="N139" s="132">
        <f t="array" ref="N139">INDEX('[20]LS (Deteksi) Agustus'!N$7:N$303,MATCH(1,('[20]LS (Deteksi) Agustus'!$D$7:$D$303=$D139)*('[20]LS (Deteksi) Agustus'!$D$7:$D$303=$D139),0))</f>
        <v>46240</v>
      </c>
      <c r="O139" s="203">
        <f t="array" ref="O139">INDEX('[20]LS (Deteksi) Agustus'!O$7:O$303,MATCH(1,('[20]LS (Deteksi) Agustus'!$D$7:$D$303=$D139)*('[20]LS (Deteksi) Agustus'!$D$7:$D$303=$D139),0))</f>
        <v>60</v>
      </c>
      <c r="P139" s="9">
        <f t="array" ref="P139">IFERROR(O139/G139*100,0)</f>
        <v>1.5649452269170578</v>
      </c>
      <c r="Q139" s="203">
        <f t="array" ref="Q139">INDEX('[20]LS (Deteksi) Agustus'!Q$7:Q$303,MATCH(1,('[20]LS (Deteksi) Agustus'!$D$7:$D$303=$D139)*('[20]LS (Deteksi) Agustus'!$D$7:$D$303=$D139),0))</f>
        <v>3</v>
      </c>
      <c r="R139" s="9">
        <f t="shared" si="22"/>
        <v>5</v>
      </c>
      <c r="S139" s="8" t="str">
        <f t="array" ref="S139">IF(R139&gt;5,"Perlu Sensus",IF(AND(R139&gt;=0,O139&gt;0),"Tetap Deteksi","Belum Deteksi"))</f>
        <v>Tetap Deteksi</v>
      </c>
      <c r="T139" s="203">
        <f t="array" ref="T139">INDEX('[20]LS (Deteksi) Agustus'!T$7:T$303,MATCH(1,('[20]LS (Deteksi) Agustus'!$D$7:$D$303=$D139)*('[20]LS (Deteksi) Agustus'!$D$7:$D$303=$D139),0))</f>
        <v>7</v>
      </c>
      <c r="U139" s="9">
        <f t="shared" si="23"/>
        <v>11.666666666666666</v>
      </c>
      <c r="V139" s="132">
        <f t="array" ref="V139">INDEX('[20]LS (Deteksi) Agustus'!V$7:V$303,MATCH(1,('[20]LS (Deteksi) Agustus'!$D$7:$D$303=$D139)*('[20]LS (Deteksi) Agustus'!$D$7:$D$303=$D139),0))</f>
        <v>46245</v>
      </c>
      <c r="W139" s="203">
        <f t="array" ref="W139">INDEX('[20]LS (Deteksi) Agustus'!W$7:W$303,MATCH(1,('[20]LS (Deteksi) Agustus'!$D$7:$D$303=$D139)*('[20]LS (Deteksi) Agustus'!$D$7:$D$303=$D139),0))</f>
        <v>233</v>
      </c>
      <c r="X139" s="203">
        <f t="array" ref="X139">INDEX('[20]LS (Deteksi) Agustus'!X$7:X$303,MATCH(1,('[20]LS (Deteksi) Agustus'!$D$7:$D$303=$D139)*('[20]LS (Deteksi) Agustus'!$D$7:$D$303=$D139),0))</f>
        <v>14</v>
      </c>
      <c r="Y139" s="9">
        <f t="shared" si="24"/>
        <v>6.0085836909871242</v>
      </c>
      <c r="Z139" s="8" t="str">
        <f t="array" ref="Z139">IF(Y139&gt;5,"Perlu Sensus",IF(AND(Y139&gt;0,,O139&gt;0),"Tetap Deteksi","Belum Deteksi"))</f>
        <v>Perlu Sensus</v>
      </c>
      <c r="AA139" s="203">
        <f t="array" ref="AA139">INDEX('[20]LS (Deteksi) Agustus'!AA$7:AA$303,MATCH(1,('[20]LS (Deteksi) Agustus'!$D$7:$D$303=$D139)*('[20]LS (Deteksi) Agustus'!$D$7:$D$303=$D139),0))</f>
        <v>15</v>
      </c>
      <c r="AB139" s="9">
        <f t="shared" si="25"/>
        <v>6.4377682403433472</v>
      </c>
    </row>
    <row r="140" spans="1:28" outlineLevel="1" x14ac:dyDescent="0.15">
      <c r="A140" s="8" t="s">
        <v>13</v>
      </c>
      <c r="B140" s="8" t="s">
        <v>14</v>
      </c>
      <c r="C140" s="8" t="s">
        <v>144</v>
      </c>
      <c r="D140" s="8" t="s">
        <v>155</v>
      </c>
      <c r="E140" s="9">
        <v>25.31</v>
      </c>
      <c r="F140" s="8" t="s">
        <v>16</v>
      </c>
      <c r="G140" s="143">
        <v>3671</v>
      </c>
      <c r="H140" s="132">
        <f t="shared" si="18"/>
        <v>46240</v>
      </c>
      <c r="I140" s="140">
        <f t="shared" si="18"/>
        <v>57</v>
      </c>
      <c r="J140" s="9">
        <f t="shared" si="19"/>
        <v>1.5527104331244892</v>
      </c>
      <c r="K140" s="140">
        <f t="shared" si="20"/>
        <v>4</v>
      </c>
      <c r="L140" s="206">
        <f t="shared" si="21"/>
        <v>7.0175438596491224</v>
      </c>
      <c r="M140" s="8" t="str">
        <f t="array" ref="M140">IF(L140&gt;5,"Perlu Sensus",IF(AND(L140&gt;=0,I140&gt;0),"Tetap Deteksi","Belum Deteksi"))</f>
        <v>Perlu Sensus</v>
      </c>
      <c r="N140" s="132">
        <f t="array" ref="N140">INDEX('[20]LS (Deteksi) Agustus'!N$7:N$303,MATCH(1,('[20]LS (Deteksi) Agustus'!$D$7:$D$303=$D140)*('[20]LS (Deteksi) Agustus'!$D$7:$D$303=$D140),0))</f>
        <v>46240</v>
      </c>
      <c r="O140" s="203">
        <f t="array" ref="O140">INDEX('[20]LS (Deteksi) Agustus'!O$7:O$303,MATCH(1,('[20]LS (Deteksi) Agustus'!$D$7:$D$303=$D140)*('[20]LS (Deteksi) Agustus'!$D$7:$D$303=$D140),0))</f>
        <v>57</v>
      </c>
      <c r="P140" s="9">
        <f t="array" ref="P140">IFERROR(O140/G140*100,0)</f>
        <v>1.5527104331244892</v>
      </c>
      <c r="Q140" s="203">
        <f t="array" ref="Q140">INDEX('[20]LS (Deteksi) Agustus'!Q$7:Q$303,MATCH(1,('[20]LS (Deteksi) Agustus'!$D$7:$D$303=$D140)*('[20]LS (Deteksi) Agustus'!$D$7:$D$303=$D140),0))</f>
        <v>4</v>
      </c>
      <c r="R140" s="9">
        <f t="shared" si="22"/>
        <v>7.0175438596491224</v>
      </c>
      <c r="S140" s="8" t="str">
        <f t="array" ref="S140">IF(R140&gt;5,"Perlu Sensus",IF(AND(R140&gt;=0,O140&gt;0),"Tetap Deteksi","Belum Deteksi"))</f>
        <v>Perlu Sensus</v>
      </c>
      <c r="T140" s="203">
        <f t="array" ref="T140">INDEX('[20]LS (Deteksi) Agustus'!T$7:T$303,MATCH(1,('[20]LS (Deteksi) Agustus'!$D$7:$D$303=$D140)*('[20]LS (Deteksi) Agustus'!$D$7:$D$303=$D140),0))</f>
        <v>10</v>
      </c>
      <c r="U140" s="9">
        <f t="shared" si="23"/>
        <v>17.543859649122805</v>
      </c>
      <c r="V140" s="132">
        <f t="array" ref="V140">INDEX('[20]LS (Deteksi) Agustus'!V$7:V$303,MATCH(1,('[20]LS (Deteksi) Agustus'!$D$7:$D$303=$D140)*('[20]LS (Deteksi) Agustus'!$D$7:$D$303=$D140),0))</f>
        <v>46241</v>
      </c>
      <c r="W140" s="203">
        <f t="array" ref="W140">INDEX('[20]LS (Deteksi) Agustus'!W$7:W$303,MATCH(1,('[20]LS (Deteksi) Agustus'!$D$7:$D$303=$D140)*('[20]LS (Deteksi) Agustus'!$D$7:$D$303=$D140),0))</f>
        <v>290</v>
      </c>
      <c r="X140" s="203">
        <f t="array" ref="X140">INDEX('[20]LS (Deteksi) Agustus'!X$7:X$303,MATCH(1,('[20]LS (Deteksi) Agustus'!$D$7:$D$303=$D140)*('[20]LS (Deteksi) Agustus'!$D$7:$D$303=$D140),0))</f>
        <v>16</v>
      </c>
      <c r="Y140" s="9">
        <f t="shared" si="24"/>
        <v>5.5172413793103452</v>
      </c>
      <c r="Z140" s="8" t="str">
        <f t="array" ref="Z140">IF(Y140&gt;5,"Perlu Sensus",IF(AND(Y140&gt;0,,O140&gt;0),"Tetap Deteksi","Belum Deteksi"))</f>
        <v>Perlu Sensus</v>
      </c>
      <c r="AA140" s="203">
        <f t="array" ref="AA140">INDEX('[20]LS (Deteksi) Agustus'!AA$7:AA$303,MATCH(1,('[20]LS (Deteksi) Agustus'!$D$7:$D$303=$D140)*('[20]LS (Deteksi) Agustus'!$D$7:$D$303=$D140),0))</f>
        <v>20</v>
      </c>
      <c r="AB140" s="9">
        <f t="shared" si="25"/>
        <v>6.8965517241379306</v>
      </c>
    </row>
    <row r="141" spans="1:28" outlineLevel="1" x14ac:dyDescent="0.15">
      <c r="A141" s="8" t="s">
        <v>13</v>
      </c>
      <c r="B141" s="8" t="s">
        <v>14</v>
      </c>
      <c r="C141" s="8" t="s">
        <v>144</v>
      </c>
      <c r="D141" s="8" t="s">
        <v>156</v>
      </c>
      <c r="E141" s="9">
        <v>25.11</v>
      </c>
      <c r="F141" s="8" t="s">
        <v>16</v>
      </c>
      <c r="G141" s="143">
        <v>3779</v>
      </c>
      <c r="H141" s="132">
        <f t="shared" si="18"/>
        <v>46239</v>
      </c>
      <c r="I141" s="140">
        <f t="shared" si="18"/>
        <v>57</v>
      </c>
      <c r="J141" s="9">
        <f t="shared" si="19"/>
        <v>1.5083355385022492</v>
      </c>
      <c r="K141" s="140">
        <f t="shared" si="20"/>
        <v>3</v>
      </c>
      <c r="L141" s="206">
        <f t="shared" si="21"/>
        <v>5.2631578947368416</v>
      </c>
      <c r="M141" s="8" t="str">
        <f t="array" ref="M141">IF(L141&gt;5,"Perlu Sensus",IF(AND(L141&gt;=0,I141&gt;0),"Tetap Deteksi","Belum Deteksi"))</f>
        <v>Perlu Sensus</v>
      </c>
      <c r="N141" s="132">
        <f t="array" ref="N141">INDEX('[20]LS (Deteksi) Agustus'!N$7:N$303,MATCH(1,('[20]LS (Deteksi) Agustus'!$D$7:$D$303=$D141)*('[20]LS (Deteksi) Agustus'!$D$7:$D$303=$D141),0))</f>
        <v>46239</v>
      </c>
      <c r="O141" s="203">
        <f t="array" ref="O141">INDEX('[20]LS (Deteksi) Agustus'!O$7:O$303,MATCH(1,('[20]LS (Deteksi) Agustus'!$D$7:$D$303=$D141)*('[20]LS (Deteksi) Agustus'!$D$7:$D$303=$D141),0))</f>
        <v>57</v>
      </c>
      <c r="P141" s="9">
        <f t="array" ref="P141">IFERROR(O141/G141*100,0)</f>
        <v>1.5083355385022492</v>
      </c>
      <c r="Q141" s="203">
        <f t="array" ref="Q141">INDEX('[20]LS (Deteksi) Agustus'!Q$7:Q$303,MATCH(1,('[20]LS (Deteksi) Agustus'!$D$7:$D$303=$D141)*('[20]LS (Deteksi) Agustus'!$D$7:$D$303=$D141),0))</f>
        <v>3</v>
      </c>
      <c r="R141" s="9">
        <f t="shared" si="22"/>
        <v>5.2631578947368416</v>
      </c>
      <c r="S141" s="8" t="str">
        <f t="array" ref="S141">IF(R141&gt;5,"Perlu Sensus",IF(AND(R141&gt;=0,O141&gt;0),"Tetap Deteksi","Belum Deteksi"))</f>
        <v>Perlu Sensus</v>
      </c>
      <c r="T141" s="203">
        <f t="array" ref="T141">INDEX('[20]LS (Deteksi) Agustus'!T$7:T$303,MATCH(1,('[20]LS (Deteksi) Agustus'!$D$7:$D$303=$D141)*('[20]LS (Deteksi) Agustus'!$D$7:$D$303=$D141),0))</f>
        <v>24</v>
      </c>
      <c r="U141" s="9">
        <f t="shared" si="23"/>
        <v>42.105263157894733</v>
      </c>
      <c r="V141" s="132">
        <f t="array" ref="V141">INDEX('[20]LS (Deteksi) Agustus'!V$7:V$303,MATCH(1,('[20]LS (Deteksi) Agustus'!$D$7:$D$303=$D141)*('[20]LS (Deteksi) Agustus'!$D$7:$D$303=$D141),0))</f>
        <v>46241</v>
      </c>
      <c r="W141" s="203">
        <f t="array" ref="W141">INDEX('[20]LS (Deteksi) Agustus'!W$7:W$303,MATCH(1,('[20]LS (Deteksi) Agustus'!$D$7:$D$303=$D141)*('[20]LS (Deteksi) Agustus'!$D$7:$D$303=$D141),0))</f>
        <v>225</v>
      </c>
      <c r="X141" s="203">
        <f t="array" ref="X141">INDEX('[20]LS (Deteksi) Agustus'!X$7:X$303,MATCH(1,('[20]LS (Deteksi) Agustus'!$D$7:$D$303=$D141)*('[20]LS (Deteksi) Agustus'!$D$7:$D$303=$D141),0))</f>
        <v>15</v>
      </c>
      <c r="Y141" s="9">
        <f t="shared" si="24"/>
        <v>6.666666666666667</v>
      </c>
      <c r="Z141" s="8" t="str">
        <f t="array" ref="Z141">IF(Y141&gt;5,"Perlu Sensus",IF(AND(Y141&gt;0,,O141&gt;0),"Tetap Deteksi","Belum Deteksi"))</f>
        <v>Perlu Sensus</v>
      </c>
      <c r="AA141" s="203">
        <f t="array" ref="AA141">INDEX('[20]LS (Deteksi) Agustus'!AA$7:AA$303,MATCH(1,('[20]LS (Deteksi) Agustus'!$D$7:$D$303=$D141)*('[20]LS (Deteksi) Agustus'!$D$7:$D$303=$D141),0))</f>
        <v>14</v>
      </c>
      <c r="AB141" s="9">
        <f t="shared" si="25"/>
        <v>6.2222222222222223</v>
      </c>
    </row>
    <row r="142" spans="1:28" outlineLevel="1" x14ac:dyDescent="0.15">
      <c r="A142" s="8" t="s">
        <v>13</v>
      </c>
      <c r="B142" s="8" t="s">
        <v>14</v>
      </c>
      <c r="C142" s="8" t="s">
        <v>144</v>
      </c>
      <c r="D142" s="8" t="s">
        <v>157</v>
      </c>
      <c r="E142" s="9">
        <v>47.89</v>
      </c>
      <c r="F142" s="8" t="s">
        <v>16</v>
      </c>
      <c r="G142" s="143">
        <v>7131</v>
      </c>
      <c r="H142" s="132">
        <f t="shared" si="18"/>
        <v>46247</v>
      </c>
      <c r="I142" s="140">
        <f t="shared" si="18"/>
        <v>72</v>
      </c>
      <c r="J142" s="9">
        <f t="shared" si="19"/>
        <v>1.0096760622633572</v>
      </c>
      <c r="K142" s="140">
        <f t="shared" si="20"/>
        <v>5</v>
      </c>
      <c r="L142" s="206">
        <f t="shared" si="21"/>
        <v>6.9444444444444446</v>
      </c>
      <c r="M142" s="8" t="str">
        <f t="array" ref="M142">IF(L142&gt;5,"Perlu Sensus",IF(AND(L142&gt;=0,I142&gt;0),"Tetap Deteksi","Belum Deteksi"))</f>
        <v>Perlu Sensus</v>
      </c>
      <c r="N142" s="132">
        <f t="array" ref="N142">INDEX('[20]LS (Deteksi) Agustus'!N$7:N$303,MATCH(1,('[20]LS (Deteksi) Agustus'!$D$7:$D$303=$D142)*('[20]LS (Deteksi) Agustus'!$D$7:$D$303=$D142),0))</f>
        <v>46247</v>
      </c>
      <c r="O142" s="203">
        <f t="array" ref="O142">INDEX('[20]LS (Deteksi) Agustus'!O$7:O$303,MATCH(1,('[20]LS (Deteksi) Agustus'!$D$7:$D$303=$D142)*('[20]LS (Deteksi) Agustus'!$D$7:$D$303=$D142),0))</f>
        <v>72</v>
      </c>
      <c r="P142" s="9">
        <f t="array" ref="P142">IFERROR(O142/G142*100,0)</f>
        <v>1.0096760622633572</v>
      </c>
      <c r="Q142" s="203">
        <f t="array" ref="Q142">INDEX('[20]LS (Deteksi) Agustus'!Q$7:Q$303,MATCH(1,('[20]LS (Deteksi) Agustus'!$D$7:$D$303=$D142)*('[20]LS (Deteksi) Agustus'!$D$7:$D$303=$D142),0))</f>
        <v>5</v>
      </c>
      <c r="R142" s="9">
        <f t="shared" si="22"/>
        <v>6.9444444444444446</v>
      </c>
      <c r="S142" s="8" t="str">
        <f t="array" ref="S142">IF(R142&gt;5,"Perlu Sensus",IF(AND(R142&gt;=0,O142&gt;0),"Tetap Deteksi","Belum Deteksi"))</f>
        <v>Perlu Sensus</v>
      </c>
      <c r="T142" s="203">
        <f t="array" ref="T142">INDEX('[20]LS (Deteksi) Agustus'!T$7:T$303,MATCH(1,('[20]LS (Deteksi) Agustus'!$D$7:$D$303=$D142)*('[20]LS (Deteksi) Agustus'!$D$7:$D$303=$D142),0))</f>
        <v>8</v>
      </c>
      <c r="U142" s="9">
        <f t="shared" si="23"/>
        <v>11.111111111111111</v>
      </c>
      <c r="V142" s="132">
        <f t="array" ref="V142">INDEX('[20]LS (Deteksi) Agustus'!V$7:V$303,MATCH(1,('[20]LS (Deteksi) Agustus'!$D$7:$D$303=$D142)*('[20]LS (Deteksi) Agustus'!$D$7:$D$303=$D142),0))</f>
        <v>46248</v>
      </c>
      <c r="W142" s="203">
        <f t="array" ref="W142">INDEX('[20]LS (Deteksi) Agustus'!W$7:W$303,MATCH(1,('[20]LS (Deteksi) Agustus'!$D$7:$D$303=$D142)*('[20]LS (Deteksi) Agustus'!$D$7:$D$303=$D142),0))</f>
        <v>210</v>
      </c>
      <c r="X142" s="203">
        <f t="array" ref="X142">INDEX('[20]LS (Deteksi) Agustus'!X$7:X$303,MATCH(1,('[20]LS (Deteksi) Agustus'!$D$7:$D$303=$D142)*('[20]LS (Deteksi) Agustus'!$D$7:$D$303=$D142),0))</f>
        <v>11</v>
      </c>
      <c r="Y142" s="9">
        <f t="shared" si="24"/>
        <v>5.2380952380952381</v>
      </c>
      <c r="Z142" s="8" t="str">
        <f t="array" ref="Z142">IF(Y142&gt;5,"Perlu Sensus",IF(AND(Y142&gt;0,,O142&gt;0),"Tetap Deteksi","Belum Deteksi"))</f>
        <v>Perlu Sensus</v>
      </c>
      <c r="AA142" s="203">
        <f t="array" ref="AA142">INDEX('[20]LS (Deteksi) Agustus'!AA$7:AA$303,MATCH(1,('[20]LS (Deteksi) Agustus'!$D$7:$D$303=$D142)*('[20]LS (Deteksi) Agustus'!$D$7:$D$303=$D142),0))</f>
        <v>16</v>
      </c>
      <c r="AB142" s="9">
        <f t="shared" si="25"/>
        <v>7.6190476190476195</v>
      </c>
    </row>
    <row r="143" spans="1:28" outlineLevel="1" x14ac:dyDescent="0.15">
      <c r="A143" s="8" t="s">
        <v>13</v>
      </c>
      <c r="B143" s="8" t="s">
        <v>14</v>
      </c>
      <c r="C143" s="8" t="s">
        <v>144</v>
      </c>
      <c r="D143" s="8" t="s">
        <v>158</v>
      </c>
      <c r="E143" s="9">
        <v>32.78</v>
      </c>
      <c r="F143" s="8" t="s">
        <v>16</v>
      </c>
      <c r="G143" s="143">
        <v>4868</v>
      </c>
      <c r="H143" s="132">
        <f t="shared" si="18"/>
        <v>46247</v>
      </c>
      <c r="I143" s="140">
        <f t="shared" si="18"/>
        <v>58</v>
      </c>
      <c r="J143" s="9">
        <f t="shared" si="19"/>
        <v>1.191454396055875</v>
      </c>
      <c r="K143" s="140">
        <f t="shared" si="20"/>
        <v>4</v>
      </c>
      <c r="L143" s="206">
        <f t="shared" si="21"/>
        <v>6.8965517241379306</v>
      </c>
      <c r="M143" s="8" t="str">
        <f t="array" ref="M143">IF(L143&gt;5,"Perlu Sensus",IF(AND(L143&gt;=0,I143&gt;0),"Tetap Deteksi","Belum Deteksi"))</f>
        <v>Perlu Sensus</v>
      </c>
      <c r="N143" s="132">
        <f t="array" ref="N143">INDEX('[20]LS (Deteksi) Agustus'!N$7:N$303,MATCH(1,('[20]LS (Deteksi) Agustus'!$D$7:$D$303=$D143)*('[20]LS (Deteksi) Agustus'!$D$7:$D$303=$D143),0))</f>
        <v>46247</v>
      </c>
      <c r="O143" s="203">
        <f t="array" ref="O143">INDEX('[20]LS (Deteksi) Agustus'!O$7:O$303,MATCH(1,('[20]LS (Deteksi) Agustus'!$D$7:$D$303=$D143)*('[20]LS (Deteksi) Agustus'!$D$7:$D$303=$D143),0))</f>
        <v>58</v>
      </c>
      <c r="P143" s="9">
        <f t="array" ref="P143">IFERROR(O143/G143*100,0)</f>
        <v>1.191454396055875</v>
      </c>
      <c r="Q143" s="203">
        <f t="array" ref="Q143">INDEX('[20]LS (Deteksi) Agustus'!Q$7:Q$303,MATCH(1,('[20]LS (Deteksi) Agustus'!$D$7:$D$303=$D143)*('[20]LS (Deteksi) Agustus'!$D$7:$D$303=$D143),0))</f>
        <v>4</v>
      </c>
      <c r="R143" s="9">
        <f t="shared" si="22"/>
        <v>6.8965517241379306</v>
      </c>
      <c r="S143" s="8" t="str">
        <f t="array" ref="S143">IF(R143&gt;5,"Perlu Sensus",IF(AND(R143&gt;=0,O143&gt;0),"Tetap Deteksi","Belum Deteksi"))</f>
        <v>Perlu Sensus</v>
      </c>
      <c r="T143" s="203">
        <f t="array" ref="T143">INDEX('[20]LS (Deteksi) Agustus'!T$7:T$303,MATCH(1,('[20]LS (Deteksi) Agustus'!$D$7:$D$303=$D143)*('[20]LS (Deteksi) Agustus'!$D$7:$D$303=$D143),0))</f>
        <v>10</v>
      </c>
      <c r="U143" s="9">
        <f t="shared" si="23"/>
        <v>17.241379310344829</v>
      </c>
      <c r="V143" s="132">
        <f t="array" ref="V143">INDEX('[20]LS (Deteksi) Agustus'!V$7:V$303,MATCH(1,('[20]LS (Deteksi) Agustus'!$D$7:$D$303=$D143)*('[20]LS (Deteksi) Agustus'!$D$7:$D$303=$D143),0))</f>
        <v>46240</v>
      </c>
      <c r="W143" s="203">
        <f t="array" ref="W143">INDEX('[20]LS (Deteksi) Agustus'!W$7:W$303,MATCH(1,('[20]LS (Deteksi) Agustus'!$D$7:$D$303=$D143)*('[20]LS (Deteksi) Agustus'!$D$7:$D$303=$D143),0))</f>
        <v>210</v>
      </c>
      <c r="X143" s="203">
        <f t="array" ref="X143">INDEX('[20]LS (Deteksi) Agustus'!X$7:X$303,MATCH(1,('[20]LS (Deteksi) Agustus'!$D$7:$D$303=$D143)*('[20]LS (Deteksi) Agustus'!$D$7:$D$303=$D143),0))</f>
        <v>12</v>
      </c>
      <c r="Y143" s="9">
        <f t="shared" si="24"/>
        <v>5.7142857142857144</v>
      </c>
      <c r="Z143" s="8" t="str">
        <f t="array" ref="Z143">IF(Y143&gt;5,"Perlu Sensus",IF(AND(Y143&gt;0,,O143&gt;0),"Tetap Deteksi","Belum Deteksi"))</f>
        <v>Perlu Sensus</v>
      </c>
      <c r="AA143" s="203">
        <f t="array" ref="AA143">INDEX('[20]LS (Deteksi) Agustus'!AA$7:AA$303,MATCH(1,('[20]LS (Deteksi) Agustus'!$D$7:$D$303=$D143)*('[20]LS (Deteksi) Agustus'!$D$7:$D$303=$D143),0))</f>
        <v>10</v>
      </c>
      <c r="AB143" s="9">
        <f t="shared" si="25"/>
        <v>4.7619047619047619</v>
      </c>
    </row>
    <row r="144" spans="1:28" outlineLevel="1" x14ac:dyDescent="0.15">
      <c r="A144" s="8" t="s">
        <v>13</v>
      </c>
      <c r="B144" s="8" t="s">
        <v>14</v>
      </c>
      <c r="C144" s="8" t="s">
        <v>144</v>
      </c>
      <c r="D144" s="8" t="s">
        <v>159</v>
      </c>
      <c r="E144" s="9">
        <v>24.99</v>
      </c>
      <c r="F144" s="8" t="s">
        <v>132</v>
      </c>
      <c r="G144" s="143">
        <v>3664</v>
      </c>
      <c r="H144" s="132">
        <f t="shared" si="18"/>
        <v>46246</v>
      </c>
      <c r="I144" s="140">
        <f t="shared" si="18"/>
        <v>53</v>
      </c>
      <c r="J144" s="9">
        <f t="shared" si="19"/>
        <v>1.4465065502183407</v>
      </c>
      <c r="K144" s="140">
        <f t="shared" si="20"/>
        <v>3</v>
      </c>
      <c r="L144" s="206">
        <f t="shared" si="21"/>
        <v>5.6603773584905666</v>
      </c>
      <c r="M144" s="8" t="str">
        <f t="array" ref="M144">IF(L144&gt;5,"Perlu Sensus",IF(AND(L144&gt;=0,I144&gt;0),"Tetap Deteksi","Belum Deteksi"))</f>
        <v>Perlu Sensus</v>
      </c>
      <c r="N144" s="132">
        <f t="array" ref="N144">INDEX('[20]LS (Deteksi) Agustus'!N$7:N$303,MATCH(1,('[20]LS (Deteksi) Agustus'!$D$7:$D$303=$D144)*('[20]LS (Deteksi) Agustus'!$D$7:$D$303=$D144),0))</f>
        <v>46246</v>
      </c>
      <c r="O144" s="203">
        <f t="array" ref="O144">INDEX('[20]LS (Deteksi) Agustus'!O$7:O$303,MATCH(1,('[20]LS (Deteksi) Agustus'!$D$7:$D$303=$D144)*('[20]LS (Deteksi) Agustus'!$D$7:$D$303=$D144),0))</f>
        <v>53</v>
      </c>
      <c r="P144" s="9">
        <f t="array" ref="P144">IFERROR(O144/G144*100,0)</f>
        <v>1.4465065502183407</v>
      </c>
      <c r="Q144" s="203">
        <f t="array" ref="Q144">INDEX('[20]LS (Deteksi) Agustus'!Q$7:Q$303,MATCH(1,('[20]LS (Deteksi) Agustus'!$D$7:$D$303=$D144)*('[20]LS (Deteksi) Agustus'!$D$7:$D$303=$D144),0))</f>
        <v>3</v>
      </c>
      <c r="R144" s="9">
        <f t="shared" si="22"/>
        <v>5.6603773584905666</v>
      </c>
      <c r="S144" s="8" t="str">
        <f t="array" ref="S144">IF(R144&gt;5,"Perlu Sensus",IF(AND(R144&gt;=0,O144&gt;0),"Tetap Deteksi","Belum Deteksi"))</f>
        <v>Perlu Sensus</v>
      </c>
      <c r="T144" s="203">
        <f t="array" ref="T144">INDEX('[20]LS (Deteksi) Agustus'!T$7:T$303,MATCH(1,('[20]LS (Deteksi) Agustus'!$D$7:$D$303=$D144)*('[20]LS (Deteksi) Agustus'!$D$7:$D$303=$D144),0))</f>
        <v>42</v>
      </c>
      <c r="U144" s="9">
        <f t="shared" si="23"/>
        <v>79.245283018867923</v>
      </c>
      <c r="V144" s="132">
        <f t="array" ref="V144">INDEX('[20]LS (Deteksi) Agustus'!V$7:V$303,MATCH(1,('[20]LS (Deteksi) Agustus'!$D$7:$D$303=$D144)*('[20]LS (Deteksi) Agustus'!$D$7:$D$303=$D144),0))</f>
        <v>46238</v>
      </c>
      <c r="W144" s="203">
        <f t="array" ref="W144">INDEX('[20]LS (Deteksi) Agustus'!W$7:W$303,MATCH(1,('[20]LS (Deteksi) Agustus'!$D$7:$D$303=$D144)*('[20]LS (Deteksi) Agustus'!$D$7:$D$303=$D144),0))</f>
        <v>208</v>
      </c>
      <c r="X144" s="203">
        <f t="array" ref="X144">INDEX('[20]LS (Deteksi) Agustus'!X$7:X$303,MATCH(1,('[20]LS (Deteksi) Agustus'!$D$7:$D$303=$D144)*('[20]LS (Deteksi) Agustus'!$D$7:$D$303=$D144),0))</f>
        <v>12</v>
      </c>
      <c r="Y144" s="9">
        <f t="shared" si="24"/>
        <v>5.7692307692307692</v>
      </c>
      <c r="Z144" s="8" t="str">
        <f t="array" ref="Z144">IF(Y144&gt;5,"Perlu Sensus",IF(AND(Y144&gt;0,,O144&gt;0),"Tetap Deteksi","Belum Deteksi"))</f>
        <v>Perlu Sensus</v>
      </c>
      <c r="AA144" s="203">
        <f t="array" ref="AA144">INDEX('[20]LS (Deteksi) Agustus'!AA$7:AA$303,MATCH(1,('[20]LS (Deteksi) Agustus'!$D$7:$D$303=$D144)*('[20]LS (Deteksi) Agustus'!$D$7:$D$303=$D144),0))</f>
        <v>15</v>
      </c>
      <c r="AB144" s="9">
        <f t="shared" si="25"/>
        <v>7.2115384615384608</v>
      </c>
    </row>
    <row r="145" spans="1:28" outlineLevel="1" x14ac:dyDescent="0.15">
      <c r="A145" s="8" t="s">
        <v>13</v>
      </c>
      <c r="B145" s="8" t="s">
        <v>14</v>
      </c>
      <c r="C145" s="8" t="s">
        <v>144</v>
      </c>
      <c r="D145" s="8" t="s">
        <v>160</v>
      </c>
      <c r="E145" s="9">
        <v>46.29</v>
      </c>
      <c r="F145" s="8" t="s">
        <v>132</v>
      </c>
      <c r="G145" s="143">
        <v>6791</v>
      </c>
      <c r="H145" s="132">
        <f t="shared" si="18"/>
        <v>46237</v>
      </c>
      <c r="I145" s="140">
        <f t="shared" si="18"/>
        <v>114</v>
      </c>
      <c r="J145" s="9">
        <f t="shared" si="19"/>
        <v>1.6786923869827712</v>
      </c>
      <c r="K145" s="140">
        <f t="shared" si="20"/>
        <v>6</v>
      </c>
      <c r="L145" s="206">
        <f t="shared" si="21"/>
        <v>5.2631578947368416</v>
      </c>
      <c r="M145" s="8" t="str">
        <f t="array" ref="M145">IF(L145&gt;5,"Perlu Sensus",IF(AND(L145&gt;=0,I145&gt;0),"Tetap Deteksi","Belum Deteksi"))</f>
        <v>Perlu Sensus</v>
      </c>
      <c r="N145" s="132">
        <f t="array" ref="N145">INDEX('[20]LS (Deteksi) Agustus'!N$7:N$303,MATCH(1,('[20]LS (Deteksi) Agustus'!$D$7:$D$303=$D145)*('[20]LS (Deteksi) Agustus'!$D$7:$D$303=$D145),0))</f>
        <v>46237</v>
      </c>
      <c r="O145" s="203">
        <f t="array" ref="O145">INDEX('[20]LS (Deteksi) Agustus'!O$7:O$303,MATCH(1,('[20]LS (Deteksi) Agustus'!$D$7:$D$303=$D145)*('[20]LS (Deteksi) Agustus'!$D$7:$D$303=$D145),0))</f>
        <v>114</v>
      </c>
      <c r="P145" s="9">
        <f t="array" ref="P145">IFERROR(O145/G145*100,0)</f>
        <v>1.6786923869827712</v>
      </c>
      <c r="Q145" s="203">
        <f t="array" ref="Q145">INDEX('[20]LS (Deteksi) Agustus'!Q$7:Q$303,MATCH(1,('[20]LS (Deteksi) Agustus'!$D$7:$D$303=$D145)*('[20]LS (Deteksi) Agustus'!$D$7:$D$303=$D145),0))</f>
        <v>6</v>
      </c>
      <c r="R145" s="9">
        <f t="shared" si="22"/>
        <v>5.2631578947368416</v>
      </c>
      <c r="S145" s="8" t="str">
        <f t="array" ref="S145">IF(R145&gt;5,"Perlu Sensus",IF(AND(R145&gt;=0,O145&gt;0),"Tetap Deteksi","Belum Deteksi"))</f>
        <v>Perlu Sensus</v>
      </c>
      <c r="T145" s="203">
        <f t="array" ref="T145">INDEX('[20]LS (Deteksi) Agustus'!T$7:T$303,MATCH(1,('[20]LS (Deteksi) Agustus'!$D$7:$D$303=$D145)*('[20]LS (Deteksi) Agustus'!$D$7:$D$303=$D145),0))</f>
        <v>12</v>
      </c>
      <c r="U145" s="9">
        <f t="shared" si="23"/>
        <v>10.526315789473683</v>
      </c>
      <c r="V145" s="132">
        <f t="array" ref="V145">INDEX('[20]LS (Deteksi) Agustus'!V$7:V$303,MATCH(1,('[20]LS (Deteksi) Agustus'!$D$7:$D$303=$D145)*('[20]LS (Deteksi) Agustus'!$D$7:$D$303=$D145),0))</f>
        <v>46238</v>
      </c>
      <c r="W145" s="203">
        <f t="array" ref="W145">INDEX('[20]LS (Deteksi) Agustus'!W$7:W$303,MATCH(1,('[20]LS (Deteksi) Agustus'!$D$7:$D$303=$D145)*('[20]LS (Deteksi) Agustus'!$D$7:$D$303=$D145),0))</f>
        <v>219</v>
      </c>
      <c r="X145" s="203">
        <f t="array" ref="X145">INDEX('[20]LS (Deteksi) Agustus'!X$7:X$303,MATCH(1,('[20]LS (Deteksi) Agustus'!$D$7:$D$303=$D145)*('[20]LS (Deteksi) Agustus'!$D$7:$D$303=$D145),0))</f>
        <v>17</v>
      </c>
      <c r="Y145" s="9">
        <f t="shared" si="24"/>
        <v>7.7625570776255701</v>
      </c>
      <c r="Z145" s="8" t="str">
        <f t="array" ref="Z145">IF(Y145&gt;5,"Perlu Sensus",IF(AND(Y145&gt;0,,O145&gt;0),"Tetap Deteksi","Belum Deteksi"))</f>
        <v>Perlu Sensus</v>
      </c>
      <c r="AA145" s="203">
        <f t="array" ref="AA145">INDEX('[20]LS (Deteksi) Agustus'!AA$7:AA$303,MATCH(1,('[20]LS (Deteksi) Agustus'!$D$7:$D$303=$D145)*('[20]LS (Deteksi) Agustus'!$D$7:$D$303=$D145),0))</f>
        <v>19</v>
      </c>
      <c r="AB145" s="9">
        <f t="shared" si="25"/>
        <v>8.6757990867579906</v>
      </c>
    </row>
    <row r="146" spans="1:28" outlineLevel="1" x14ac:dyDescent="0.15">
      <c r="A146" s="8" t="s">
        <v>13</v>
      </c>
      <c r="B146" s="8" t="s">
        <v>14</v>
      </c>
      <c r="C146" s="8" t="s">
        <v>144</v>
      </c>
      <c r="D146" s="8" t="s">
        <v>161</v>
      </c>
      <c r="E146" s="9">
        <v>25.38</v>
      </c>
      <c r="F146" s="8" t="s">
        <v>132</v>
      </c>
      <c r="G146" s="143">
        <v>3790</v>
      </c>
      <c r="H146" s="132">
        <f t="shared" si="18"/>
        <v>46237</v>
      </c>
      <c r="I146" s="140">
        <f t="shared" si="18"/>
        <v>60</v>
      </c>
      <c r="J146" s="9">
        <f t="shared" si="19"/>
        <v>1.5831134564643801</v>
      </c>
      <c r="K146" s="140">
        <f t="shared" si="20"/>
        <v>4</v>
      </c>
      <c r="L146" s="206">
        <f t="shared" si="21"/>
        <v>6.666666666666667</v>
      </c>
      <c r="M146" s="8" t="str">
        <f t="array" ref="M146">IF(L146&gt;5,"Perlu Sensus",IF(AND(L146&gt;=0,I146&gt;0),"Tetap Deteksi","Belum Deteksi"))</f>
        <v>Perlu Sensus</v>
      </c>
      <c r="N146" s="132">
        <f t="array" ref="N146">INDEX('[20]LS (Deteksi) Agustus'!N$7:N$303,MATCH(1,('[20]LS (Deteksi) Agustus'!$D$7:$D$303=$D146)*('[20]LS (Deteksi) Agustus'!$D$7:$D$303=$D146),0))</f>
        <v>46237</v>
      </c>
      <c r="O146" s="203">
        <f t="array" ref="O146">INDEX('[20]LS (Deteksi) Agustus'!O$7:O$303,MATCH(1,('[20]LS (Deteksi) Agustus'!$D$7:$D$303=$D146)*('[20]LS (Deteksi) Agustus'!$D$7:$D$303=$D146),0))</f>
        <v>60</v>
      </c>
      <c r="P146" s="9">
        <f t="array" ref="P146">IFERROR(O146/G146*100,0)</f>
        <v>1.5831134564643801</v>
      </c>
      <c r="Q146" s="203">
        <f t="array" ref="Q146">INDEX('[20]LS (Deteksi) Agustus'!Q$7:Q$303,MATCH(1,('[20]LS (Deteksi) Agustus'!$D$7:$D$303=$D146)*('[20]LS (Deteksi) Agustus'!$D$7:$D$303=$D146),0))</f>
        <v>4</v>
      </c>
      <c r="R146" s="9">
        <f t="shared" si="22"/>
        <v>6.666666666666667</v>
      </c>
      <c r="S146" s="8" t="str">
        <f t="array" ref="S146">IF(R146&gt;5,"Perlu Sensus",IF(AND(R146&gt;=0,O146&gt;0),"Tetap Deteksi","Belum Deteksi"))</f>
        <v>Perlu Sensus</v>
      </c>
      <c r="T146" s="203">
        <f t="array" ref="T146">INDEX('[20]LS (Deteksi) Agustus'!T$7:T$303,MATCH(1,('[20]LS (Deteksi) Agustus'!$D$7:$D$303=$D146)*('[20]LS (Deteksi) Agustus'!$D$7:$D$303=$D146),0))</f>
        <v>29</v>
      </c>
      <c r="U146" s="9">
        <f t="shared" si="23"/>
        <v>48.333333333333336</v>
      </c>
      <c r="V146" s="132">
        <f t="array" ref="V146">INDEX('[20]LS (Deteksi) Agustus'!V$7:V$303,MATCH(1,('[20]LS (Deteksi) Agustus'!$D$7:$D$303=$D146)*('[20]LS (Deteksi) Agustus'!$D$7:$D$303=$D146),0))</f>
        <v>46239</v>
      </c>
      <c r="W146" s="203">
        <f t="array" ref="W146">INDEX('[20]LS (Deteksi) Agustus'!W$7:W$303,MATCH(1,('[20]LS (Deteksi) Agustus'!$D$7:$D$303=$D146)*('[20]LS (Deteksi) Agustus'!$D$7:$D$303=$D146),0))</f>
        <v>253</v>
      </c>
      <c r="X146" s="203">
        <f t="array" ref="X146">INDEX('[20]LS (Deteksi) Agustus'!X$7:X$303,MATCH(1,('[20]LS (Deteksi) Agustus'!$D$7:$D$303=$D146)*('[20]LS (Deteksi) Agustus'!$D$7:$D$303=$D146),0))</f>
        <v>13</v>
      </c>
      <c r="Y146" s="9">
        <f t="shared" si="24"/>
        <v>5.1383399209486171</v>
      </c>
      <c r="Z146" s="8" t="str">
        <f t="array" ref="Z146">IF(Y146&gt;5,"Perlu Sensus",IF(AND(Y146&gt;0,,O146&gt;0),"Tetap Deteksi","Belum Deteksi"))</f>
        <v>Perlu Sensus</v>
      </c>
      <c r="AA146" s="203">
        <f t="array" ref="AA146">INDEX('[20]LS (Deteksi) Agustus'!AA$7:AA$303,MATCH(1,('[20]LS (Deteksi) Agustus'!$D$7:$D$303=$D146)*('[20]LS (Deteksi) Agustus'!$D$7:$D$303=$D146),0))</f>
        <v>14</v>
      </c>
      <c r="AB146" s="9">
        <f t="shared" si="25"/>
        <v>5.5335968379446641</v>
      </c>
    </row>
    <row r="147" spans="1:28" outlineLevel="1" x14ac:dyDescent="0.15">
      <c r="A147" s="8" t="s">
        <v>13</v>
      </c>
      <c r="B147" s="8" t="s">
        <v>14</v>
      </c>
      <c r="C147" s="8" t="s">
        <v>144</v>
      </c>
      <c r="D147" s="8" t="s">
        <v>162</v>
      </c>
      <c r="E147" s="9">
        <v>25.4</v>
      </c>
      <c r="F147" s="8" t="s">
        <v>132</v>
      </c>
      <c r="G147" s="143">
        <v>3694</v>
      </c>
      <c r="H147" s="132">
        <f t="shared" si="18"/>
        <v>46246</v>
      </c>
      <c r="I147" s="140">
        <f t="shared" si="18"/>
        <v>110</v>
      </c>
      <c r="J147" s="9">
        <f t="shared" si="19"/>
        <v>2.9778018408229561</v>
      </c>
      <c r="K147" s="140">
        <f t="shared" si="20"/>
        <v>7</v>
      </c>
      <c r="L147" s="206">
        <f t="shared" si="21"/>
        <v>6.3636363636363633</v>
      </c>
      <c r="M147" s="8" t="str">
        <f t="array" ref="M147">IF(L147&gt;5,"Perlu Sensus",IF(AND(L147&gt;=0,I147&gt;0),"Tetap Deteksi","Belum Deteksi"))</f>
        <v>Perlu Sensus</v>
      </c>
      <c r="N147" s="132">
        <f t="array" ref="N147">INDEX('[20]LS (Deteksi) Agustus'!N$7:N$303,MATCH(1,('[20]LS (Deteksi) Agustus'!$D$7:$D$303=$D147)*('[20]LS (Deteksi) Agustus'!$D$7:$D$303=$D147),0))</f>
        <v>46246</v>
      </c>
      <c r="O147" s="203">
        <f t="array" ref="O147">INDEX('[20]LS (Deteksi) Agustus'!O$7:O$303,MATCH(1,('[20]LS (Deteksi) Agustus'!$D$7:$D$303=$D147)*('[20]LS (Deteksi) Agustus'!$D$7:$D$303=$D147),0))</f>
        <v>110</v>
      </c>
      <c r="P147" s="9">
        <f t="array" ref="P147">IFERROR(O147/G147*100,0)</f>
        <v>2.9778018408229561</v>
      </c>
      <c r="Q147" s="203">
        <f t="array" ref="Q147">INDEX('[20]LS (Deteksi) Agustus'!Q$7:Q$303,MATCH(1,('[20]LS (Deteksi) Agustus'!$D$7:$D$303=$D147)*('[20]LS (Deteksi) Agustus'!$D$7:$D$303=$D147),0))</f>
        <v>7</v>
      </c>
      <c r="R147" s="9">
        <f t="shared" si="22"/>
        <v>6.3636363636363633</v>
      </c>
      <c r="S147" s="8" t="str">
        <f t="array" ref="S147">IF(R147&gt;5,"Perlu Sensus",IF(AND(R147&gt;=0,O147&gt;0),"Tetap Deteksi","Belum Deteksi"))</f>
        <v>Perlu Sensus</v>
      </c>
      <c r="T147" s="203">
        <f t="array" ref="T147">INDEX('[20]LS (Deteksi) Agustus'!T$7:T$303,MATCH(1,('[20]LS (Deteksi) Agustus'!$D$7:$D$303=$D147)*('[20]LS (Deteksi) Agustus'!$D$7:$D$303=$D147),0))</f>
        <v>40</v>
      </c>
      <c r="U147" s="9">
        <f t="shared" si="23"/>
        <v>36.363636363636367</v>
      </c>
      <c r="V147" s="132">
        <f t="array" ref="V147">INDEX('[20]LS (Deteksi) Agustus'!V$7:V$303,MATCH(1,('[20]LS (Deteksi) Agustus'!$D$7:$D$303=$D147)*('[20]LS (Deteksi) Agustus'!$D$7:$D$303=$D147),0))</f>
        <v>46239</v>
      </c>
      <c r="W147" s="203">
        <f t="array" ref="W147">INDEX('[20]LS (Deteksi) Agustus'!W$7:W$303,MATCH(1,('[20]LS (Deteksi) Agustus'!$D$7:$D$303=$D147)*('[20]LS (Deteksi) Agustus'!$D$7:$D$303=$D147),0))</f>
        <v>195</v>
      </c>
      <c r="X147" s="203">
        <f t="array" ref="X147">INDEX('[20]LS (Deteksi) Agustus'!X$7:X$303,MATCH(1,('[20]LS (Deteksi) Agustus'!$D$7:$D$303=$D147)*('[20]LS (Deteksi) Agustus'!$D$7:$D$303=$D147),0))</f>
        <v>12</v>
      </c>
      <c r="Y147" s="9">
        <f t="shared" si="24"/>
        <v>6.1538461538461542</v>
      </c>
      <c r="Z147" s="8" t="str">
        <f t="array" ref="Z147">IF(Y147&gt;5,"Perlu Sensus",IF(AND(Y147&gt;0,,O147&gt;0),"Tetap Deteksi","Belum Deteksi"))</f>
        <v>Perlu Sensus</v>
      </c>
      <c r="AA147" s="203">
        <f t="array" ref="AA147">INDEX('[20]LS (Deteksi) Agustus'!AA$7:AA$303,MATCH(1,('[20]LS (Deteksi) Agustus'!$D$7:$D$303=$D147)*('[20]LS (Deteksi) Agustus'!$D$7:$D$303=$D147),0))</f>
        <v>9</v>
      </c>
      <c r="AB147" s="9">
        <f t="shared" si="25"/>
        <v>4.6153846153846159</v>
      </c>
    </row>
    <row r="148" spans="1:28" outlineLevel="1" x14ac:dyDescent="0.15">
      <c r="A148" s="8" t="s">
        <v>13</v>
      </c>
      <c r="B148" s="8" t="s">
        <v>14</v>
      </c>
      <c r="C148" s="8" t="s">
        <v>144</v>
      </c>
      <c r="D148" s="8" t="s">
        <v>163</v>
      </c>
      <c r="E148" s="9">
        <v>24.68</v>
      </c>
      <c r="F148" s="8" t="s">
        <v>132</v>
      </c>
      <c r="G148" s="143">
        <v>3651</v>
      </c>
      <c r="H148" s="132">
        <f t="shared" si="18"/>
        <v>46238</v>
      </c>
      <c r="I148" s="140">
        <f t="shared" si="18"/>
        <v>58</v>
      </c>
      <c r="J148" s="9">
        <f t="shared" si="19"/>
        <v>1.5886058614078336</v>
      </c>
      <c r="K148" s="140">
        <f t="shared" si="20"/>
        <v>3</v>
      </c>
      <c r="L148" s="206">
        <f t="shared" si="21"/>
        <v>5.1724137931034484</v>
      </c>
      <c r="M148" s="8" t="str">
        <f t="array" ref="M148">IF(L148&gt;5,"Perlu Sensus",IF(AND(L148&gt;=0,I148&gt;0),"Tetap Deteksi","Belum Deteksi"))</f>
        <v>Perlu Sensus</v>
      </c>
      <c r="N148" s="132">
        <f t="array" ref="N148">INDEX('[20]LS (Deteksi) Agustus'!N$7:N$303,MATCH(1,('[20]LS (Deteksi) Agustus'!$D$7:$D$303=$D148)*('[20]LS (Deteksi) Agustus'!$D$7:$D$303=$D148),0))</f>
        <v>46238</v>
      </c>
      <c r="O148" s="203">
        <f t="array" ref="O148">INDEX('[20]LS (Deteksi) Agustus'!O$7:O$303,MATCH(1,('[20]LS (Deteksi) Agustus'!$D$7:$D$303=$D148)*('[20]LS (Deteksi) Agustus'!$D$7:$D$303=$D148),0))</f>
        <v>58</v>
      </c>
      <c r="P148" s="9">
        <f t="array" ref="P148">IFERROR(O148/G148*100,0)</f>
        <v>1.5886058614078336</v>
      </c>
      <c r="Q148" s="203">
        <f t="array" ref="Q148">INDEX('[20]LS (Deteksi) Agustus'!Q$7:Q$303,MATCH(1,('[20]LS (Deteksi) Agustus'!$D$7:$D$303=$D148)*('[20]LS (Deteksi) Agustus'!$D$7:$D$303=$D148),0))</f>
        <v>3</v>
      </c>
      <c r="R148" s="9">
        <f t="shared" si="22"/>
        <v>5.1724137931034484</v>
      </c>
      <c r="S148" s="8" t="str">
        <f t="array" ref="S148">IF(R148&gt;5,"Perlu Sensus",IF(AND(R148&gt;=0,O148&gt;0),"Tetap Deteksi","Belum Deteksi"))</f>
        <v>Perlu Sensus</v>
      </c>
      <c r="T148" s="203">
        <f t="array" ref="T148">INDEX('[20]LS (Deteksi) Agustus'!T$7:T$303,MATCH(1,('[20]LS (Deteksi) Agustus'!$D$7:$D$303=$D148)*('[20]LS (Deteksi) Agustus'!$D$7:$D$303=$D148),0))</f>
        <v>15</v>
      </c>
      <c r="U148" s="9">
        <f t="shared" si="23"/>
        <v>25.862068965517242</v>
      </c>
      <c r="V148" s="132">
        <f t="array" ref="V148">INDEX('[20]LS (Deteksi) Agustus'!V$7:V$303,MATCH(1,('[20]LS (Deteksi) Agustus'!$D$7:$D$303=$D148)*('[20]LS (Deteksi) Agustus'!$D$7:$D$303=$D148),0))</f>
        <v>46247</v>
      </c>
      <c r="W148" s="203">
        <f t="array" ref="W148">INDEX('[20]LS (Deteksi) Agustus'!W$7:W$303,MATCH(1,('[20]LS (Deteksi) Agustus'!$D$7:$D$303=$D148)*('[20]LS (Deteksi) Agustus'!$D$7:$D$303=$D148),0))</f>
        <v>135</v>
      </c>
      <c r="X148" s="203">
        <f t="array" ref="X148">INDEX('[20]LS (Deteksi) Agustus'!X$7:X$303,MATCH(1,('[20]LS (Deteksi) Agustus'!$D$7:$D$303=$D148)*('[20]LS (Deteksi) Agustus'!$D$7:$D$303=$D148),0))</f>
        <v>7</v>
      </c>
      <c r="Y148" s="9">
        <f t="shared" si="24"/>
        <v>5.1851851851851851</v>
      </c>
      <c r="Z148" s="8" t="str">
        <f t="array" ref="Z148">IF(Y148&gt;5,"Perlu Sensus",IF(AND(Y148&gt;0,,O148&gt;0),"Tetap Deteksi","Belum Deteksi"))</f>
        <v>Perlu Sensus</v>
      </c>
      <c r="AA148" s="203">
        <f t="array" ref="AA148">INDEX('[20]LS (Deteksi) Agustus'!AA$7:AA$303,MATCH(1,('[20]LS (Deteksi) Agustus'!$D$7:$D$303=$D148)*('[20]LS (Deteksi) Agustus'!$D$7:$D$303=$D148),0))</f>
        <v>13</v>
      </c>
      <c r="AB148" s="9">
        <f t="shared" si="25"/>
        <v>9.6296296296296298</v>
      </c>
    </row>
    <row r="149" spans="1:28" outlineLevel="1" x14ac:dyDescent="0.15">
      <c r="A149" s="8" t="s">
        <v>13</v>
      </c>
      <c r="B149" s="8" t="s">
        <v>14</v>
      </c>
      <c r="C149" s="8" t="s">
        <v>144</v>
      </c>
      <c r="D149" s="8" t="s">
        <v>164</v>
      </c>
      <c r="E149" s="9">
        <v>47.81</v>
      </c>
      <c r="F149" s="8" t="s">
        <v>132</v>
      </c>
      <c r="G149" s="143">
        <v>6989</v>
      </c>
      <c r="H149" s="132">
        <f t="shared" si="18"/>
        <v>46238</v>
      </c>
      <c r="I149" s="140">
        <f t="shared" si="18"/>
        <v>58</v>
      </c>
      <c r="J149" s="9">
        <f t="shared" si="19"/>
        <v>0.82987551867219922</v>
      </c>
      <c r="K149" s="140">
        <f t="shared" si="20"/>
        <v>3</v>
      </c>
      <c r="L149" s="206">
        <f t="shared" si="21"/>
        <v>5.1724137931034484</v>
      </c>
      <c r="M149" s="8" t="str">
        <f t="array" ref="M149">IF(L149&gt;5,"Perlu Sensus",IF(AND(L149&gt;=0,I149&gt;0),"Tetap Deteksi","Belum Deteksi"))</f>
        <v>Perlu Sensus</v>
      </c>
      <c r="N149" s="132">
        <f t="array" ref="N149">INDEX('[20]LS (Deteksi) Agustus'!N$7:N$303,MATCH(1,('[20]LS (Deteksi) Agustus'!$D$7:$D$303=$D149)*('[20]LS (Deteksi) Agustus'!$D$7:$D$303=$D149),0))</f>
        <v>46238</v>
      </c>
      <c r="O149" s="203">
        <f t="array" ref="O149">INDEX('[20]LS (Deteksi) Agustus'!O$7:O$303,MATCH(1,('[20]LS (Deteksi) Agustus'!$D$7:$D$303=$D149)*('[20]LS (Deteksi) Agustus'!$D$7:$D$303=$D149),0))</f>
        <v>58</v>
      </c>
      <c r="P149" s="9">
        <f t="array" ref="P149">IFERROR(O149/G149*100,0)</f>
        <v>0.82987551867219922</v>
      </c>
      <c r="Q149" s="203">
        <f t="array" ref="Q149">INDEX('[20]LS (Deteksi) Agustus'!Q$7:Q$303,MATCH(1,('[20]LS (Deteksi) Agustus'!$D$7:$D$303=$D149)*('[20]LS (Deteksi) Agustus'!$D$7:$D$303=$D149),0))</f>
        <v>3</v>
      </c>
      <c r="R149" s="9">
        <f t="shared" si="22"/>
        <v>5.1724137931034484</v>
      </c>
      <c r="S149" s="8" t="str">
        <f t="array" ref="S149">IF(R149&gt;5,"Perlu Sensus",IF(AND(R149&gt;=0,O149&gt;0),"Tetap Deteksi","Belum Deteksi"))</f>
        <v>Perlu Sensus</v>
      </c>
      <c r="T149" s="203">
        <f t="array" ref="T149">INDEX('[20]LS (Deteksi) Agustus'!T$7:T$303,MATCH(1,('[20]LS (Deteksi) Agustus'!$D$7:$D$303=$D149)*('[20]LS (Deteksi) Agustus'!$D$7:$D$303=$D149),0))</f>
        <v>16</v>
      </c>
      <c r="U149" s="9">
        <f t="shared" si="23"/>
        <v>27.586206896551722</v>
      </c>
      <c r="V149" s="132">
        <f t="array" ref="V149">INDEX('[20]LS (Deteksi) Agustus'!V$7:V$303,MATCH(1,('[20]LS (Deteksi) Agustus'!$D$7:$D$303=$D149)*('[20]LS (Deteksi) Agustus'!$D$7:$D$303=$D149),0))</f>
        <v>46247</v>
      </c>
      <c r="W149" s="203">
        <f t="array" ref="W149">INDEX('[20]LS (Deteksi) Agustus'!W$7:W$303,MATCH(1,('[20]LS (Deteksi) Agustus'!$D$7:$D$303=$D149)*('[20]LS (Deteksi) Agustus'!$D$7:$D$303=$D149),0))</f>
        <v>165</v>
      </c>
      <c r="X149" s="203">
        <f t="array" ref="X149">INDEX('[20]LS (Deteksi) Agustus'!X$7:X$303,MATCH(1,('[20]LS (Deteksi) Agustus'!$D$7:$D$303=$D149)*('[20]LS (Deteksi) Agustus'!$D$7:$D$303=$D149),0))</f>
        <v>9</v>
      </c>
      <c r="Y149" s="9">
        <f t="shared" si="24"/>
        <v>5.4545454545454541</v>
      </c>
      <c r="Z149" s="8" t="str">
        <f t="array" ref="Z149">IF(Y149&gt;5,"Perlu Sensus",IF(AND(Y149&gt;0,,O149&gt;0),"Tetap Deteksi","Belum Deteksi"))</f>
        <v>Perlu Sensus</v>
      </c>
      <c r="AA149" s="203">
        <f t="array" ref="AA149">INDEX('[20]LS (Deteksi) Agustus'!AA$7:AA$303,MATCH(1,('[20]LS (Deteksi) Agustus'!$D$7:$D$303=$D149)*('[20]LS (Deteksi) Agustus'!$D$7:$D$303=$D149),0))</f>
        <v>10</v>
      </c>
      <c r="AB149" s="9">
        <f t="shared" si="25"/>
        <v>6.0606060606060606</v>
      </c>
    </row>
    <row r="150" spans="1:28" outlineLevel="1" x14ac:dyDescent="0.15">
      <c r="A150" s="8" t="s">
        <v>13</v>
      </c>
      <c r="B150" s="8" t="s">
        <v>14</v>
      </c>
      <c r="C150" s="8" t="s">
        <v>144</v>
      </c>
      <c r="D150" s="8" t="s">
        <v>165</v>
      </c>
      <c r="E150" s="9">
        <v>30.54</v>
      </c>
      <c r="F150" s="8" t="s">
        <v>132</v>
      </c>
      <c r="G150" s="143">
        <v>4512</v>
      </c>
      <c r="H150" s="132">
        <f t="shared" ref="H150:I213" si="26">IF(N150&gt;0,N150,V150)</f>
        <v>46239</v>
      </c>
      <c r="I150" s="140">
        <f t="shared" si="26"/>
        <v>71</v>
      </c>
      <c r="J150" s="9">
        <f t="shared" si="19"/>
        <v>1.5735815602836878</v>
      </c>
      <c r="K150" s="140">
        <f t="shared" si="20"/>
        <v>4</v>
      </c>
      <c r="L150" s="206">
        <f t="shared" si="21"/>
        <v>5.6338028169014089</v>
      </c>
      <c r="M150" s="8" t="str">
        <f t="array" ref="M150">IF(L150&gt;5,"Perlu Sensus",IF(AND(L150&gt;=0,I150&gt;0),"Tetap Deteksi","Belum Deteksi"))</f>
        <v>Perlu Sensus</v>
      </c>
      <c r="N150" s="132">
        <f t="array" ref="N150">INDEX('[20]LS (Deteksi) Agustus'!N$7:N$303,MATCH(1,('[20]LS (Deteksi) Agustus'!$D$7:$D$303=$D150)*('[20]LS (Deteksi) Agustus'!$D$7:$D$303=$D150),0))</f>
        <v>46239</v>
      </c>
      <c r="O150" s="203">
        <f t="array" ref="O150">INDEX('[20]LS (Deteksi) Agustus'!O$7:O$303,MATCH(1,('[20]LS (Deteksi) Agustus'!$D$7:$D$303=$D150)*('[20]LS (Deteksi) Agustus'!$D$7:$D$303=$D150),0))</f>
        <v>71</v>
      </c>
      <c r="P150" s="9">
        <f t="array" ref="P150">IFERROR(O150/G150*100,0)</f>
        <v>1.5735815602836878</v>
      </c>
      <c r="Q150" s="203">
        <f t="array" ref="Q150">INDEX('[20]LS (Deteksi) Agustus'!Q$7:Q$303,MATCH(1,('[20]LS (Deteksi) Agustus'!$D$7:$D$303=$D150)*('[20]LS (Deteksi) Agustus'!$D$7:$D$303=$D150),0))</f>
        <v>4</v>
      </c>
      <c r="R150" s="9">
        <f t="shared" si="22"/>
        <v>5.6338028169014089</v>
      </c>
      <c r="S150" s="8" t="str">
        <f t="array" ref="S150">IF(R150&gt;5,"Perlu Sensus",IF(AND(R150&gt;=0,O150&gt;0),"Tetap Deteksi","Belum Deteksi"))</f>
        <v>Perlu Sensus</v>
      </c>
      <c r="T150" s="203">
        <f t="array" ref="T150">INDEX('[20]LS (Deteksi) Agustus'!T$7:T$303,MATCH(1,('[20]LS (Deteksi) Agustus'!$D$7:$D$303=$D150)*('[20]LS (Deteksi) Agustus'!$D$7:$D$303=$D150),0))</f>
        <v>7</v>
      </c>
      <c r="U150" s="9">
        <f t="shared" si="23"/>
        <v>9.8591549295774641</v>
      </c>
      <c r="V150" s="132">
        <f t="array" ref="V150">INDEX('[20]LS (Deteksi) Agustus'!V$7:V$303,MATCH(1,('[20]LS (Deteksi) Agustus'!$D$7:$D$303=$D150)*('[20]LS (Deteksi) Agustus'!$D$7:$D$303=$D150),0))</f>
        <v>46240</v>
      </c>
      <c r="W150" s="203">
        <f t="array" ref="W150">INDEX('[20]LS (Deteksi) Agustus'!W$7:W$303,MATCH(1,('[20]LS (Deteksi) Agustus'!$D$7:$D$303=$D150)*('[20]LS (Deteksi) Agustus'!$D$7:$D$303=$D150),0))</f>
        <v>204</v>
      </c>
      <c r="X150" s="203">
        <f t="array" ref="X150">INDEX('[20]LS (Deteksi) Agustus'!X$7:X$303,MATCH(1,('[20]LS (Deteksi) Agustus'!$D$7:$D$303=$D150)*('[20]LS (Deteksi) Agustus'!$D$7:$D$303=$D150),0))</f>
        <v>14</v>
      </c>
      <c r="Y150" s="9">
        <f t="shared" si="24"/>
        <v>6.8627450980392162</v>
      </c>
      <c r="Z150" s="8" t="str">
        <f t="array" ref="Z150">IF(Y150&gt;5,"Perlu Sensus",IF(AND(Y150&gt;0,,O150&gt;0),"Tetap Deteksi","Belum Deteksi"))</f>
        <v>Perlu Sensus</v>
      </c>
      <c r="AA150" s="203">
        <f t="array" ref="AA150">INDEX('[20]LS (Deteksi) Agustus'!AA$7:AA$303,MATCH(1,('[20]LS (Deteksi) Agustus'!$D$7:$D$303=$D150)*('[20]LS (Deteksi) Agustus'!$D$7:$D$303=$D150),0))</f>
        <v>10</v>
      </c>
      <c r="AB150" s="9">
        <f t="shared" si="25"/>
        <v>4.9019607843137258</v>
      </c>
    </row>
    <row r="151" spans="1:28" outlineLevel="1" x14ac:dyDescent="0.15">
      <c r="A151" s="8" t="s">
        <v>13</v>
      </c>
      <c r="B151" s="8" t="s">
        <v>14</v>
      </c>
      <c r="C151" s="8" t="s">
        <v>144</v>
      </c>
      <c r="D151" s="8" t="s">
        <v>166</v>
      </c>
      <c r="E151" s="9">
        <v>38.630000000000003</v>
      </c>
      <c r="F151" s="8" t="s">
        <v>132</v>
      </c>
      <c r="G151" s="143">
        <v>5542</v>
      </c>
      <c r="H151" s="132">
        <f t="shared" si="26"/>
        <v>0</v>
      </c>
      <c r="I151" s="140">
        <f t="shared" si="26"/>
        <v>0</v>
      </c>
      <c r="J151" s="9" t="str">
        <f t="shared" si="19"/>
        <v xml:space="preserve"> </v>
      </c>
      <c r="K151" s="140">
        <f t="shared" si="20"/>
        <v>0</v>
      </c>
      <c r="L151" s="206">
        <f t="shared" si="21"/>
        <v>0</v>
      </c>
      <c r="M151" s="8" t="str">
        <f t="array" ref="M151">IF(L151&gt;5,"Perlu Sensus",IF(AND(L151&gt;=0,I151&gt;0),"Tetap Deteksi","Belum Deteksi"))</f>
        <v>Belum Deteksi</v>
      </c>
      <c r="N151" s="132">
        <f t="array" ref="N151">INDEX('[20]LS (Deteksi) Agustus'!N$7:N$303,MATCH(1,('[20]LS (Deteksi) Agustus'!$D$7:$D$303=$D151)*('[20]LS (Deteksi) Agustus'!$D$7:$D$303=$D151),0))</f>
        <v>0</v>
      </c>
      <c r="O151" s="203">
        <f t="array" ref="O151">INDEX('[20]LS (Deteksi) Agustus'!O$7:O$303,MATCH(1,('[20]LS (Deteksi) Agustus'!$D$7:$D$303=$D151)*('[20]LS (Deteksi) Agustus'!$D$7:$D$303=$D151),0))</f>
        <v>0</v>
      </c>
      <c r="P151" s="9">
        <f t="array" ref="P151">IFERROR(O151/G151*100,0)</f>
        <v>0</v>
      </c>
      <c r="Q151" s="203">
        <f t="array" ref="Q151">INDEX('[20]LS (Deteksi) Agustus'!Q$7:Q$303,MATCH(1,('[20]LS (Deteksi) Agustus'!$D$7:$D$303=$D151)*('[20]LS (Deteksi) Agustus'!$D$7:$D$303=$D151),0))</f>
        <v>0</v>
      </c>
      <c r="R151" s="9">
        <f t="shared" si="22"/>
        <v>0</v>
      </c>
      <c r="S151" s="8" t="str">
        <f t="array" ref="S151">IF(R151&gt;5,"Perlu Sensus",IF(AND(R151&gt;=0,O151&gt;0),"Tetap Deteksi","Belum Deteksi"))</f>
        <v>Belum Deteksi</v>
      </c>
      <c r="T151" s="203">
        <f t="array" ref="T151">INDEX('[20]LS (Deteksi) Agustus'!T$7:T$303,MATCH(1,('[20]LS (Deteksi) Agustus'!$D$7:$D$303=$D151)*('[20]LS (Deteksi) Agustus'!$D$7:$D$303=$D151),0))</f>
        <v>0</v>
      </c>
      <c r="U151" s="9">
        <f t="shared" si="23"/>
        <v>0</v>
      </c>
      <c r="V151" s="132">
        <f t="array" ref="V151">INDEX('[20]LS (Deteksi) Agustus'!V$7:V$303,MATCH(1,('[20]LS (Deteksi) Agustus'!$D$7:$D$303=$D151)*('[20]LS (Deteksi) Agustus'!$D$7:$D$303=$D151),0))</f>
        <v>0</v>
      </c>
      <c r="W151" s="203">
        <f t="array" ref="W151">INDEX('[20]LS (Deteksi) Agustus'!W$7:W$303,MATCH(1,('[20]LS (Deteksi) Agustus'!$D$7:$D$303=$D151)*('[20]LS (Deteksi) Agustus'!$D$7:$D$303=$D151),0))</f>
        <v>0</v>
      </c>
      <c r="X151" s="203">
        <f t="array" ref="X151">INDEX('[20]LS (Deteksi) Agustus'!X$7:X$303,MATCH(1,('[20]LS (Deteksi) Agustus'!$D$7:$D$303=$D151)*('[20]LS (Deteksi) Agustus'!$D$7:$D$303=$D151),0))</f>
        <v>0</v>
      </c>
      <c r="Y151" s="9">
        <f t="shared" si="24"/>
        <v>0</v>
      </c>
      <c r="Z151" s="8" t="str">
        <f t="array" ref="Z151">IF(Y151&gt;5,"Perlu Sensus",IF(AND(Y151&gt;0,,O151&gt;0),"Tetap Deteksi","Belum Deteksi"))</f>
        <v>Belum Deteksi</v>
      </c>
      <c r="AA151" s="203">
        <f t="array" ref="AA151">INDEX('[20]LS (Deteksi) Agustus'!AA$7:AA$303,MATCH(1,('[20]LS (Deteksi) Agustus'!$D$7:$D$303=$D151)*('[20]LS (Deteksi) Agustus'!$D$7:$D$303=$D151),0))</f>
        <v>0</v>
      </c>
      <c r="AB151" s="9">
        <f t="shared" si="25"/>
        <v>0</v>
      </c>
    </row>
    <row r="152" spans="1:28" outlineLevel="1" x14ac:dyDescent="0.15">
      <c r="A152" s="8" t="s">
        <v>13</v>
      </c>
      <c r="B152" s="8" t="s">
        <v>14</v>
      </c>
      <c r="C152" s="8" t="s">
        <v>144</v>
      </c>
      <c r="D152" s="8" t="s">
        <v>167</v>
      </c>
      <c r="E152" s="9">
        <v>26.06</v>
      </c>
      <c r="F152" s="8" t="s">
        <v>132</v>
      </c>
      <c r="G152" s="143">
        <v>3837</v>
      </c>
      <c r="H152" s="132">
        <f t="shared" si="26"/>
        <v>46245</v>
      </c>
      <c r="I152" s="140">
        <f t="shared" si="26"/>
        <v>60</v>
      </c>
      <c r="J152" s="9">
        <f t="shared" si="19"/>
        <v>1.5637216575449568</v>
      </c>
      <c r="K152" s="140">
        <f t="shared" si="20"/>
        <v>3</v>
      </c>
      <c r="L152" s="206">
        <f t="shared" si="21"/>
        <v>5</v>
      </c>
      <c r="M152" s="8" t="str">
        <f t="array" ref="M152">IF(L152&gt;5,"Perlu Sensus",IF(AND(L152&gt;=0,I152&gt;0),"Tetap Deteksi","Belum Deteksi"))</f>
        <v>Tetap Deteksi</v>
      </c>
      <c r="N152" s="132">
        <f t="array" ref="N152">INDEX('[20]LS (Deteksi) Agustus'!N$7:N$303,MATCH(1,('[20]LS (Deteksi) Agustus'!$D$7:$D$303=$D152)*('[20]LS (Deteksi) Agustus'!$D$7:$D$303=$D152),0))</f>
        <v>46245</v>
      </c>
      <c r="O152" s="203">
        <f t="array" ref="O152">INDEX('[20]LS (Deteksi) Agustus'!O$7:O$303,MATCH(1,('[20]LS (Deteksi) Agustus'!$D$7:$D$303=$D152)*('[20]LS (Deteksi) Agustus'!$D$7:$D$303=$D152),0))</f>
        <v>60</v>
      </c>
      <c r="P152" s="9">
        <f t="array" ref="P152">IFERROR(O152/G152*100,0)</f>
        <v>1.5637216575449568</v>
      </c>
      <c r="Q152" s="203">
        <f t="array" ref="Q152">INDEX('[20]LS (Deteksi) Agustus'!Q$7:Q$303,MATCH(1,('[20]LS (Deteksi) Agustus'!$D$7:$D$303=$D152)*('[20]LS (Deteksi) Agustus'!$D$7:$D$303=$D152),0))</f>
        <v>3</v>
      </c>
      <c r="R152" s="9">
        <f t="shared" si="22"/>
        <v>5</v>
      </c>
      <c r="S152" s="8" t="str">
        <f t="array" ref="S152">IF(R152&gt;5,"Perlu Sensus",IF(AND(R152&gt;=0,O152&gt;0),"Tetap Deteksi","Belum Deteksi"))</f>
        <v>Tetap Deteksi</v>
      </c>
      <c r="T152" s="203">
        <f t="array" ref="T152">INDEX('[20]LS (Deteksi) Agustus'!T$7:T$303,MATCH(1,('[20]LS (Deteksi) Agustus'!$D$7:$D$303=$D152)*('[20]LS (Deteksi) Agustus'!$D$7:$D$303=$D152),0))</f>
        <v>25</v>
      </c>
      <c r="U152" s="9">
        <f t="shared" si="23"/>
        <v>41.666666666666671</v>
      </c>
      <c r="V152" s="132">
        <f t="array" ref="V152">INDEX('[20]LS (Deteksi) Agustus'!V$7:V$303,MATCH(1,('[20]LS (Deteksi) Agustus'!$D$7:$D$303=$D152)*('[20]LS (Deteksi) Agustus'!$D$7:$D$303=$D152),0))</f>
        <v>46246</v>
      </c>
      <c r="W152" s="203">
        <f t="array" ref="W152">INDEX('[20]LS (Deteksi) Agustus'!W$7:W$303,MATCH(1,('[20]LS (Deteksi) Agustus'!$D$7:$D$303=$D152)*('[20]LS (Deteksi) Agustus'!$D$7:$D$303=$D152),0))</f>
        <v>211</v>
      </c>
      <c r="X152" s="203">
        <f t="array" ref="X152">INDEX('[20]LS (Deteksi) Agustus'!X$7:X$303,MATCH(1,('[20]LS (Deteksi) Agustus'!$D$7:$D$303=$D152)*('[20]LS (Deteksi) Agustus'!$D$7:$D$303=$D152),0))</f>
        <v>10</v>
      </c>
      <c r="Y152" s="9">
        <f t="shared" si="24"/>
        <v>4.7393364928909953</v>
      </c>
      <c r="Z152" s="8" t="str">
        <f t="array" ref="Z152">IF(Y152&gt;5,"Perlu Sensus",IF(AND(Y152&gt;0,,O152&gt;0),"Tetap Deteksi","Belum Deteksi"))</f>
        <v>Belum Deteksi</v>
      </c>
      <c r="AA152" s="203">
        <f t="array" ref="AA152">INDEX('[20]LS (Deteksi) Agustus'!AA$7:AA$303,MATCH(1,('[20]LS (Deteksi) Agustus'!$D$7:$D$303=$D152)*('[20]LS (Deteksi) Agustus'!$D$7:$D$303=$D152),0))</f>
        <v>14</v>
      </c>
      <c r="AB152" s="9">
        <f t="shared" si="25"/>
        <v>6.6350710900473935</v>
      </c>
    </row>
    <row r="153" spans="1:28" outlineLevel="1" x14ac:dyDescent="0.15">
      <c r="A153" s="8" t="s">
        <v>13</v>
      </c>
      <c r="B153" s="8" t="s">
        <v>14</v>
      </c>
      <c r="C153" s="8" t="s">
        <v>144</v>
      </c>
      <c r="D153" s="8" t="s">
        <v>168</v>
      </c>
      <c r="E153" s="9">
        <v>25.53</v>
      </c>
      <c r="F153" s="8" t="s">
        <v>132</v>
      </c>
      <c r="G153" s="143">
        <v>3871</v>
      </c>
      <c r="H153" s="132">
        <f t="shared" si="26"/>
        <v>0</v>
      </c>
      <c r="I153" s="140">
        <f t="shared" si="26"/>
        <v>0</v>
      </c>
      <c r="J153" s="9" t="str">
        <f t="shared" si="19"/>
        <v xml:space="preserve"> </v>
      </c>
      <c r="K153" s="140">
        <f t="shared" si="20"/>
        <v>0</v>
      </c>
      <c r="L153" s="206">
        <f t="shared" si="21"/>
        <v>0</v>
      </c>
      <c r="M153" s="8" t="str">
        <f t="array" ref="M153">IF(L153&gt;5,"Perlu Sensus",IF(AND(L153&gt;=0,I153&gt;0),"Tetap Deteksi","Belum Deteksi"))</f>
        <v>Belum Deteksi</v>
      </c>
      <c r="N153" s="132">
        <f t="array" ref="N153">INDEX('[20]LS (Deteksi) Agustus'!N$7:N$303,MATCH(1,('[20]LS (Deteksi) Agustus'!$D$7:$D$303=$D153)*('[20]LS (Deteksi) Agustus'!$D$7:$D$303=$D153),0))</f>
        <v>0</v>
      </c>
      <c r="O153" s="203">
        <f t="array" ref="O153">INDEX('[20]LS (Deteksi) Agustus'!O$7:O$303,MATCH(1,('[20]LS (Deteksi) Agustus'!$D$7:$D$303=$D153)*('[20]LS (Deteksi) Agustus'!$D$7:$D$303=$D153),0))</f>
        <v>0</v>
      </c>
      <c r="P153" s="9">
        <f t="array" ref="P153">IFERROR(O153/G153*100,0)</f>
        <v>0</v>
      </c>
      <c r="Q153" s="203">
        <f t="array" ref="Q153">INDEX('[20]LS (Deteksi) Agustus'!Q$7:Q$303,MATCH(1,('[20]LS (Deteksi) Agustus'!$D$7:$D$303=$D153)*('[20]LS (Deteksi) Agustus'!$D$7:$D$303=$D153),0))</f>
        <v>0</v>
      </c>
      <c r="R153" s="9">
        <f t="shared" si="22"/>
        <v>0</v>
      </c>
      <c r="S153" s="8" t="str">
        <f t="array" ref="S153">IF(R153&gt;5,"Perlu Sensus",IF(AND(R153&gt;=0,O153&gt;0),"Tetap Deteksi","Belum Deteksi"))</f>
        <v>Belum Deteksi</v>
      </c>
      <c r="T153" s="203">
        <f t="array" ref="T153">INDEX('[20]LS (Deteksi) Agustus'!T$7:T$303,MATCH(1,('[20]LS (Deteksi) Agustus'!$D$7:$D$303=$D153)*('[20]LS (Deteksi) Agustus'!$D$7:$D$303=$D153),0))</f>
        <v>0</v>
      </c>
      <c r="U153" s="9">
        <f t="shared" si="23"/>
        <v>0</v>
      </c>
      <c r="V153" s="132">
        <f t="array" ref="V153">INDEX('[20]LS (Deteksi) Agustus'!V$7:V$303,MATCH(1,('[20]LS (Deteksi) Agustus'!$D$7:$D$303=$D153)*('[20]LS (Deteksi) Agustus'!$D$7:$D$303=$D153),0))</f>
        <v>0</v>
      </c>
      <c r="W153" s="203">
        <f t="array" ref="W153">INDEX('[20]LS (Deteksi) Agustus'!W$7:W$303,MATCH(1,('[20]LS (Deteksi) Agustus'!$D$7:$D$303=$D153)*('[20]LS (Deteksi) Agustus'!$D$7:$D$303=$D153),0))</f>
        <v>0</v>
      </c>
      <c r="X153" s="203">
        <f t="array" ref="X153">INDEX('[20]LS (Deteksi) Agustus'!X$7:X$303,MATCH(1,('[20]LS (Deteksi) Agustus'!$D$7:$D$303=$D153)*('[20]LS (Deteksi) Agustus'!$D$7:$D$303=$D153),0))</f>
        <v>0</v>
      </c>
      <c r="Y153" s="9">
        <f t="shared" si="24"/>
        <v>0</v>
      </c>
      <c r="Z153" s="8" t="str">
        <f t="array" ref="Z153">IF(Y153&gt;5,"Perlu Sensus",IF(AND(Y153&gt;0,,O153&gt;0),"Tetap Deteksi","Belum Deteksi"))</f>
        <v>Belum Deteksi</v>
      </c>
      <c r="AA153" s="203">
        <f t="array" ref="AA153">INDEX('[20]LS (Deteksi) Agustus'!AA$7:AA$303,MATCH(1,('[20]LS (Deteksi) Agustus'!$D$7:$D$303=$D153)*('[20]LS (Deteksi) Agustus'!$D$7:$D$303=$D153),0))</f>
        <v>0</v>
      </c>
      <c r="AB153" s="9">
        <f t="shared" si="25"/>
        <v>0</v>
      </c>
    </row>
    <row r="154" spans="1:28" outlineLevel="1" x14ac:dyDescent="0.15">
      <c r="A154" s="8" t="s">
        <v>13</v>
      </c>
      <c r="B154" s="8" t="s">
        <v>14</v>
      </c>
      <c r="C154" s="8" t="s">
        <v>144</v>
      </c>
      <c r="D154" s="8" t="s">
        <v>169</v>
      </c>
      <c r="E154" s="9">
        <v>25.67</v>
      </c>
      <c r="F154" s="8" t="s">
        <v>132</v>
      </c>
      <c r="G154" s="143">
        <v>3813</v>
      </c>
      <c r="H154" s="132">
        <f t="shared" si="26"/>
        <v>46245</v>
      </c>
      <c r="I154" s="140">
        <f t="shared" si="26"/>
        <v>57</v>
      </c>
      <c r="J154" s="9">
        <f t="shared" si="19"/>
        <v>1.4948859166011015</v>
      </c>
      <c r="K154" s="140">
        <f t="shared" si="20"/>
        <v>3</v>
      </c>
      <c r="L154" s="206">
        <f t="shared" si="21"/>
        <v>5.2631578947368416</v>
      </c>
      <c r="M154" s="8" t="str">
        <f t="array" ref="M154">IF(L154&gt;5,"Perlu Sensus",IF(AND(L154&gt;=0,I154&gt;0),"Tetap Deteksi","Belum Deteksi"))</f>
        <v>Perlu Sensus</v>
      </c>
      <c r="N154" s="132">
        <f t="array" ref="N154">INDEX('[20]LS (Deteksi) Agustus'!N$7:N$303,MATCH(1,('[20]LS (Deteksi) Agustus'!$D$7:$D$303=$D154)*('[20]LS (Deteksi) Agustus'!$D$7:$D$303=$D154),0))</f>
        <v>46245</v>
      </c>
      <c r="O154" s="203">
        <f t="array" ref="O154">INDEX('[20]LS (Deteksi) Agustus'!O$7:O$303,MATCH(1,('[20]LS (Deteksi) Agustus'!$D$7:$D$303=$D154)*('[20]LS (Deteksi) Agustus'!$D$7:$D$303=$D154),0))</f>
        <v>57</v>
      </c>
      <c r="P154" s="9">
        <f t="array" ref="P154">IFERROR(O154/G154*100,0)</f>
        <v>1.4948859166011015</v>
      </c>
      <c r="Q154" s="203">
        <f t="array" ref="Q154">INDEX('[20]LS (Deteksi) Agustus'!Q$7:Q$303,MATCH(1,('[20]LS (Deteksi) Agustus'!$D$7:$D$303=$D154)*('[20]LS (Deteksi) Agustus'!$D$7:$D$303=$D154),0))</f>
        <v>3</v>
      </c>
      <c r="R154" s="9">
        <f t="shared" si="22"/>
        <v>5.2631578947368416</v>
      </c>
      <c r="S154" s="8" t="str">
        <f t="array" ref="S154">IF(R154&gt;5,"Perlu Sensus",IF(AND(R154&gt;=0,O154&gt;0),"Tetap Deteksi","Belum Deteksi"))</f>
        <v>Perlu Sensus</v>
      </c>
      <c r="T154" s="203">
        <f t="array" ref="T154">INDEX('[20]LS (Deteksi) Agustus'!T$7:T$303,MATCH(1,('[20]LS (Deteksi) Agustus'!$D$7:$D$303=$D154)*('[20]LS (Deteksi) Agustus'!$D$7:$D$303=$D154),0))</f>
        <v>13</v>
      </c>
      <c r="U154" s="9">
        <f t="shared" si="23"/>
        <v>22.807017543859647</v>
      </c>
      <c r="V154" s="132">
        <f t="array" ref="V154">INDEX('[20]LS (Deteksi) Agustus'!V$7:V$303,MATCH(1,('[20]LS (Deteksi) Agustus'!$D$7:$D$303=$D154)*('[20]LS (Deteksi) Agustus'!$D$7:$D$303=$D154),0))</f>
        <v>46246</v>
      </c>
      <c r="W154" s="203">
        <f t="array" ref="W154">INDEX('[20]LS (Deteksi) Agustus'!W$7:W$303,MATCH(1,('[20]LS (Deteksi) Agustus'!$D$7:$D$303=$D154)*('[20]LS (Deteksi) Agustus'!$D$7:$D$303=$D154),0))</f>
        <v>176</v>
      </c>
      <c r="X154" s="203">
        <f t="array" ref="X154">INDEX('[20]LS (Deteksi) Agustus'!X$7:X$303,MATCH(1,('[20]LS (Deteksi) Agustus'!$D$7:$D$303=$D154)*('[20]LS (Deteksi) Agustus'!$D$7:$D$303=$D154),0))</f>
        <v>11</v>
      </c>
      <c r="Y154" s="9">
        <f t="shared" si="24"/>
        <v>6.25</v>
      </c>
      <c r="Z154" s="8" t="str">
        <f t="array" ref="Z154">IF(Y154&gt;5,"Perlu Sensus",IF(AND(Y154&gt;0,,O154&gt;0),"Tetap Deteksi","Belum Deteksi"))</f>
        <v>Perlu Sensus</v>
      </c>
      <c r="AA154" s="203">
        <f t="array" ref="AA154">INDEX('[20]LS (Deteksi) Agustus'!AA$7:AA$303,MATCH(1,('[20]LS (Deteksi) Agustus'!$D$7:$D$303=$D154)*('[20]LS (Deteksi) Agustus'!$D$7:$D$303=$D154),0))</f>
        <v>21</v>
      </c>
      <c r="AB154" s="9">
        <f t="shared" si="25"/>
        <v>11.931818181818182</v>
      </c>
    </row>
    <row r="155" spans="1:28" outlineLevel="1" x14ac:dyDescent="0.15">
      <c r="A155" s="8" t="s">
        <v>13</v>
      </c>
      <c r="B155" s="8" t="s">
        <v>14</v>
      </c>
      <c r="C155" s="8" t="s">
        <v>144</v>
      </c>
      <c r="D155" s="8" t="s">
        <v>170</v>
      </c>
      <c r="E155" s="9">
        <v>25.22</v>
      </c>
      <c r="F155" s="8" t="s">
        <v>132</v>
      </c>
      <c r="G155" s="143">
        <v>3763</v>
      </c>
      <c r="H155" s="132">
        <f t="shared" si="26"/>
        <v>46235</v>
      </c>
      <c r="I155" s="140">
        <f t="shared" si="26"/>
        <v>115</v>
      </c>
      <c r="J155" s="9">
        <f t="shared" si="19"/>
        <v>3.0560722827531226</v>
      </c>
      <c r="K155" s="140">
        <f t="shared" si="20"/>
        <v>6</v>
      </c>
      <c r="L155" s="206">
        <f t="shared" si="21"/>
        <v>5.2173913043478262</v>
      </c>
      <c r="M155" s="8" t="str">
        <f t="array" ref="M155">IF(L155&gt;5,"Perlu Sensus",IF(AND(L155&gt;=0,I155&gt;0),"Tetap Deteksi","Belum Deteksi"))</f>
        <v>Perlu Sensus</v>
      </c>
      <c r="N155" s="132">
        <f t="array" ref="N155">INDEX('[20]LS (Deteksi) Agustus'!N$7:N$303,MATCH(1,('[20]LS (Deteksi) Agustus'!$D$7:$D$303=$D155)*('[20]LS (Deteksi) Agustus'!$D$7:$D$303=$D155),0))</f>
        <v>46235</v>
      </c>
      <c r="O155" s="203">
        <f t="array" ref="O155">INDEX('[20]LS (Deteksi) Agustus'!O$7:O$303,MATCH(1,('[20]LS (Deteksi) Agustus'!$D$7:$D$303=$D155)*('[20]LS (Deteksi) Agustus'!$D$7:$D$303=$D155),0))</f>
        <v>115</v>
      </c>
      <c r="P155" s="9">
        <f t="array" ref="P155">IFERROR(O155/G155*100,0)</f>
        <v>3.0560722827531226</v>
      </c>
      <c r="Q155" s="203">
        <f t="array" ref="Q155">INDEX('[20]LS (Deteksi) Agustus'!Q$7:Q$303,MATCH(1,('[20]LS (Deteksi) Agustus'!$D$7:$D$303=$D155)*('[20]LS (Deteksi) Agustus'!$D$7:$D$303=$D155),0))</f>
        <v>6</v>
      </c>
      <c r="R155" s="9">
        <f t="shared" si="22"/>
        <v>5.2173913043478262</v>
      </c>
      <c r="S155" s="8" t="str">
        <f t="array" ref="S155">IF(R155&gt;5,"Perlu Sensus",IF(AND(R155&gt;=0,O155&gt;0),"Tetap Deteksi","Belum Deteksi"))</f>
        <v>Perlu Sensus</v>
      </c>
      <c r="T155" s="203">
        <f t="array" ref="T155">INDEX('[20]LS (Deteksi) Agustus'!T$7:T$303,MATCH(1,('[20]LS (Deteksi) Agustus'!$D$7:$D$303=$D155)*('[20]LS (Deteksi) Agustus'!$D$7:$D$303=$D155),0))</f>
        <v>9</v>
      </c>
      <c r="U155" s="9">
        <f t="shared" si="23"/>
        <v>7.8260869565217401</v>
      </c>
      <c r="V155" s="132">
        <f t="array" ref="V155">INDEX('[20]LS (Deteksi) Agustus'!V$7:V$303,MATCH(1,('[20]LS (Deteksi) Agustus'!$D$7:$D$303=$D155)*('[20]LS (Deteksi) Agustus'!$D$7:$D$303=$D155),0))</f>
        <v>46237</v>
      </c>
      <c r="W155" s="203">
        <f t="array" ref="W155">INDEX('[20]LS (Deteksi) Agustus'!W$7:W$303,MATCH(1,('[20]LS (Deteksi) Agustus'!$D$7:$D$303=$D155)*('[20]LS (Deteksi) Agustus'!$D$7:$D$303=$D155),0))</f>
        <v>219</v>
      </c>
      <c r="X155" s="203">
        <f t="array" ref="X155">INDEX('[20]LS (Deteksi) Agustus'!X$7:X$303,MATCH(1,('[20]LS (Deteksi) Agustus'!$D$7:$D$303=$D155)*('[20]LS (Deteksi) Agustus'!$D$7:$D$303=$D155),0))</f>
        <v>14</v>
      </c>
      <c r="Y155" s="9">
        <f t="shared" si="24"/>
        <v>6.3926940639269407</v>
      </c>
      <c r="Z155" s="8" t="str">
        <f t="array" ref="Z155">IF(Y155&gt;5,"Perlu Sensus",IF(AND(Y155&gt;0,,O155&gt;0),"Tetap Deteksi","Belum Deteksi"))</f>
        <v>Perlu Sensus</v>
      </c>
      <c r="AA155" s="203">
        <f t="array" ref="AA155">INDEX('[20]LS (Deteksi) Agustus'!AA$7:AA$303,MATCH(1,('[20]LS (Deteksi) Agustus'!$D$7:$D$303=$D155)*('[20]LS (Deteksi) Agustus'!$D$7:$D$303=$D155),0))</f>
        <v>11</v>
      </c>
      <c r="AB155" s="9">
        <f t="shared" si="25"/>
        <v>5.0228310502283104</v>
      </c>
    </row>
    <row r="156" spans="1:28" outlineLevel="1" x14ac:dyDescent="0.15">
      <c r="A156" s="8" t="s">
        <v>13</v>
      </c>
      <c r="B156" s="8" t="s">
        <v>14</v>
      </c>
      <c r="C156" s="8" t="s">
        <v>144</v>
      </c>
      <c r="D156" s="8" t="s">
        <v>171</v>
      </c>
      <c r="E156" s="9">
        <v>25.24</v>
      </c>
      <c r="F156" s="8" t="s">
        <v>132</v>
      </c>
      <c r="G156" s="143">
        <v>3677</v>
      </c>
      <c r="H156" s="132">
        <f t="shared" si="26"/>
        <v>46244</v>
      </c>
      <c r="I156" s="140">
        <f t="shared" si="26"/>
        <v>210</v>
      </c>
      <c r="J156" s="9">
        <f t="shared" si="19"/>
        <v>5.7111775904269786</v>
      </c>
      <c r="K156" s="140">
        <f t="shared" si="20"/>
        <v>6</v>
      </c>
      <c r="L156" s="206">
        <f t="shared" si="21"/>
        <v>2.8571428571428572</v>
      </c>
      <c r="M156" s="8" t="str">
        <f t="array" ref="M156">IF(L156&gt;5,"Perlu Sensus",IF(AND(L156&gt;=0,I156&gt;0),"Tetap Deteksi","Belum Deteksi"))</f>
        <v>Tetap Deteksi</v>
      </c>
      <c r="N156" s="132">
        <f t="array" ref="N156">INDEX('[20]LS (Deteksi) Agustus'!N$7:N$303,MATCH(1,('[20]LS (Deteksi) Agustus'!$D$7:$D$303=$D156)*('[20]LS (Deteksi) Agustus'!$D$7:$D$303=$D156),0))</f>
        <v>46244</v>
      </c>
      <c r="O156" s="203">
        <f t="array" ref="O156">INDEX('[20]LS (Deteksi) Agustus'!O$7:O$303,MATCH(1,('[20]LS (Deteksi) Agustus'!$D$7:$D$303=$D156)*('[20]LS (Deteksi) Agustus'!$D$7:$D$303=$D156),0))</f>
        <v>210</v>
      </c>
      <c r="P156" s="9">
        <f t="array" ref="P156">IFERROR(O156/G156*100,0)</f>
        <v>5.7111775904269786</v>
      </c>
      <c r="Q156" s="203">
        <f t="array" ref="Q156">INDEX('[20]LS (Deteksi) Agustus'!Q$7:Q$303,MATCH(1,('[20]LS (Deteksi) Agustus'!$D$7:$D$303=$D156)*('[20]LS (Deteksi) Agustus'!$D$7:$D$303=$D156),0))</f>
        <v>6</v>
      </c>
      <c r="R156" s="9">
        <f t="shared" si="22"/>
        <v>2.8571428571428572</v>
      </c>
      <c r="S156" s="8" t="str">
        <f t="array" ref="S156">IF(R156&gt;5,"Perlu Sensus",IF(AND(R156&gt;=0,O156&gt;0),"Tetap Deteksi","Belum Deteksi"))</f>
        <v>Tetap Deteksi</v>
      </c>
      <c r="T156" s="203">
        <f t="array" ref="T156">INDEX('[20]LS (Deteksi) Agustus'!T$7:T$303,MATCH(1,('[20]LS (Deteksi) Agustus'!$D$7:$D$303=$D156)*('[20]LS (Deteksi) Agustus'!$D$7:$D$303=$D156),0))</f>
        <v>9</v>
      </c>
      <c r="U156" s="9">
        <f t="shared" si="23"/>
        <v>4.2857142857142856</v>
      </c>
      <c r="V156" s="132">
        <f t="array" ref="V156">INDEX('[20]LS (Deteksi) Agustus'!V$7:V$303,MATCH(1,('[20]LS (Deteksi) Agustus'!$D$7:$D$303=$D156)*('[20]LS (Deteksi) Agustus'!$D$7:$D$303=$D156),0))</f>
        <v>46237</v>
      </c>
      <c r="W156" s="203">
        <f t="array" ref="W156">INDEX('[20]LS (Deteksi) Agustus'!W$7:W$303,MATCH(1,('[20]LS (Deteksi) Agustus'!$D$7:$D$303=$D156)*('[20]LS (Deteksi) Agustus'!$D$7:$D$303=$D156),0))</f>
        <v>214</v>
      </c>
      <c r="X156" s="203">
        <f t="array" ref="X156">INDEX('[20]LS (Deteksi) Agustus'!X$7:X$303,MATCH(1,('[20]LS (Deteksi) Agustus'!$D$7:$D$303=$D156)*('[20]LS (Deteksi) Agustus'!$D$7:$D$303=$D156),0))</f>
        <v>12</v>
      </c>
      <c r="Y156" s="9">
        <f t="shared" si="24"/>
        <v>5.6074766355140184</v>
      </c>
      <c r="Z156" s="8" t="str">
        <f t="array" ref="Z156">IF(Y156&gt;5,"Perlu Sensus",IF(AND(Y156&gt;0,,O156&gt;0),"Tetap Deteksi","Belum Deteksi"))</f>
        <v>Perlu Sensus</v>
      </c>
      <c r="AA156" s="203">
        <f t="array" ref="AA156">INDEX('[20]LS (Deteksi) Agustus'!AA$7:AA$303,MATCH(1,('[20]LS (Deteksi) Agustus'!$D$7:$D$303=$D156)*('[20]LS (Deteksi) Agustus'!$D$7:$D$303=$D156),0))</f>
        <v>10</v>
      </c>
      <c r="AB156" s="9">
        <f t="shared" si="25"/>
        <v>4.6728971962616823</v>
      </c>
    </row>
    <row r="157" spans="1:28" outlineLevel="1" x14ac:dyDescent="0.15">
      <c r="A157" s="8" t="s">
        <v>13</v>
      </c>
      <c r="B157" s="8" t="s">
        <v>14</v>
      </c>
      <c r="C157" s="8" t="s">
        <v>144</v>
      </c>
      <c r="D157" s="8" t="s">
        <v>172</v>
      </c>
      <c r="E157" s="9">
        <v>45.08</v>
      </c>
      <c r="F157" s="8" t="s">
        <v>132</v>
      </c>
      <c r="G157" s="143">
        <v>6402</v>
      </c>
      <c r="H157" s="132">
        <f t="shared" si="26"/>
        <v>46235</v>
      </c>
      <c r="I157" s="140">
        <f t="shared" si="26"/>
        <v>58</v>
      </c>
      <c r="J157" s="9">
        <f t="shared" si="19"/>
        <v>0.90596688534832859</v>
      </c>
      <c r="K157" s="140">
        <f t="shared" si="20"/>
        <v>2</v>
      </c>
      <c r="L157" s="206">
        <f t="shared" si="21"/>
        <v>3.4482758620689653</v>
      </c>
      <c r="M157" s="8" t="str">
        <f t="array" ref="M157">IF(L157&gt;5,"Perlu Sensus",IF(AND(L157&gt;=0,I157&gt;0),"Tetap Deteksi","Belum Deteksi"))</f>
        <v>Tetap Deteksi</v>
      </c>
      <c r="N157" s="132">
        <f t="array" ref="N157">INDEX('[20]LS (Deteksi) Agustus'!N$7:N$303,MATCH(1,('[20]LS (Deteksi) Agustus'!$D$7:$D$303=$D157)*('[20]LS (Deteksi) Agustus'!$D$7:$D$303=$D157),0))</f>
        <v>46235</v>
      </c>
      <c r="O157" s="203">
        <f t="array" ref="O157">INDEX('[20]LS (Deteksi) Agustus'!O$7:O$303,MATCH(1,('[20]LS (Deteksi) Agustus'!$D$7:$D$303=$D157)*('[20]LS (Deteksi) Agustus'!$D$7:$D$303=$D157),0))</f>
        <v>58</v>
      </c>
      <c r="P157" s="9">
        <f t="array" ref="P157">IFERROR(O157/G157*100,0)</f>
        <v>0.90596688534832859</v>
      </c>
      <c r="Q157" s="203">
        <f t="array" ref="Q157">INDEX('[20]LS (Deteksi) Agustus'!Q$7:Q$303,MATCH(1,('[20]LS (Deteksi) Agustus'!$D$7:$D$303=$D157)*('[20]LS (Deteksi) Agustus'!$D$7:$D$303=$D157),0))</f>
        <v>2</v>
      </c>
      <c r="R157" s="9">
        <f t="shared" si="22"/>
        <v>3.4482758620689653</v>
      </c>
      <c r="S157" s="8" t="str">
        <f t="array" ref="S157">IF(R157&gt;5,"Perlu Sensus",IF(AND(R157&gt;=0,O157&gt;0),"Tetap Deteksi","Belum Deteksi"))</f>
        <v>Tetap Deteksi</v>
      </c>
      <c r="T157" s="203">
        <f t="array" ref="T157">INDEX('[20]LS (Deteksi) Agustus'!T$7:T$303,MATCH(1,('[20]LS (Deteksi) Agustus'!$D$7:$D$303=$D157)*('[20]LS (Deteksi) Agustus'!$D$7:$D$303=$D157),0))</f>
        <v>45</v>
      </c>
      <c r="U157" s="9">
        <f t="shared" si="23"/>
        <v>77.58620689655173</v>
      </c>
      <c r="V157" s="132">
        <f t="array" ref="V157">INDEX('[20]LS (Deteksi) Agustus'!V$7:V$303,MATCH(1,('[20]LS (Deteksi) Agustus'!$D$7:$D$303=$D157)*('[20]LS (Deteksi) Agustus'!$D$7:$D$303=$D157),0))</f>
        <v>0</v>
      </c>
      <c r="W157" s="203">
        <f t="array" ref="W157">INDEX('[20]LS (Deteksi) Agustus'!W$7:W$303,MATCH(1,('[20]LS (Deteksi) Agustus'!$D$7:$D$303=$D157)*('[20]LS (Deteksi) Agustus'!$D$7:$D$303=$D157),0))</f>
        <v>0</v>
      </c>
      <c r="X157" s="203">
        <f t="array" ref="X157">INDEX('[20]LS (Deteksi) Agustus'!X$7:X$303,MATCH(1,('[20]LS (Deteksi) Agustus'!$D$7:$D$303=$D157)*('[20]LS (Deteksi) Agustus'!$D$7:$D$303=$D157),0))</f>
        <v>0</v>
      </c>
      <c r="Y157" s="9">
        <f t="shared" si="24"/>
        <v>0</v>
      </c>
      <c r="Z157" s="8" t="str">
        <f t="array" ref="Z157">IF(Y157&gt;5,"Perlu Sensus",IF(AND(Y157&gt;0,,O157&gt;0),"Tetap Deteksi","Belum Deteksi"))</f>
        <v>Belum Deteksi</v>
      </c>
      <c r="AA157" s="203">
        <f t="array" ref="AA157">INDEX('[20]LS (Deteksi) Agustus'!AA$7:AA$303,MATCH(1,('[20]LS (Deteksi) Agustus'!$D$7:$D$303=$D157)*('[20]LS (Deteksi) Agustus'!$D$7:$D$303=$D157),0))</f>
        <v>0</v>
      </c>
      <c r="AB157" s="9">
        <f t="shared" si="25"/>
        <v>0</v>
      </c>
    </row>
    <row r="158" spans="1:28" outlineLevel="1" x14ac:dyDescent="0.15">
      <c r="A158" s="8" t="s">
        <v>13</v>
      </c>
      <c r="B158" s="8" t="s">
        <v>47</v>
      </c>
      <c r="C158" s="8" t="s">
        <v>173</v>
      </c>
      <c r="D158" s="8" t="s">
        <v>174</v>
      </c>
      <c r="E158" s="9">
        <v>33.32</v>
      </c>
      <c r="F158" s="8" t="s">
        <v>132</v>
      </c>
      <c r="G158" s="143">
        <v>4628</v>
      </c>
      <c r="H158" s="132">
        <f t="shared" si="26"/>
        <v>46242</v>
      </c>
      <c r="I158" s="140">
        <f t="shared" si="26"/>
        <v>136</v>
      </c>
      <c r="J158" s="9">
        <f t="shared" si="19"/>
        <v>2.9386343993085569</v>
      </c>
      <c r="K158" s="140">
        <f t="shared" si="20"/>
        <v>8</v>
      </c>
      <c r="L158" s="206">
        <f t="shared" si="21"/>
        <v>5.8823529411764701</v>
      </c>
      <c r="M158" s="8" t="str">
        <f t="array" ref="M158">IF(L158&gt;5,"Perlu Sensus",IF(AND(L158&gt;=0,I158&gt;0),"Tetap Deteksi","Belum Deteksi"))</f>
        <v>Perlu Sensus</v>
      </c>
      <c r="N158" s="132">
        <v>46242</v>
      </c>
      <c r="O158" s="203">
        <v>136</v>
      </c>
      <c r="P158" s="9">
        <f t="array" ref="P158">IFERROR(O158/G158*100,0)</f>
        <v>2.9386343993085569</v>
      </c>
      <c r="Q158" s="203">
        <v>8</v>
      </c>
      <c r="R158" s="9">
        <f t="shared" si="22"/>
        <v>5.8823529411764701</v>
      </c>
      <c r="S158" s="8" t="str">
        <f t="array" ref="S158">IF(R158&gt;5,"Perlu Sensus",IF(AND(R158&gt;=0,O158&gt;0),"Tetap Deteksi","Belum Deteksi"))</f>
        <v>Perlu Sensus</v>
      </c>
      <c r="T158" s="203">
        <f t="array" ref="T158">INDEX('[20]LS (Deteksi) Agustus'!T$7:T$303,MATCH(1,('[20]LS (Deteksi) Agustus'!$D$7:$D$303=$D158)*('[20]LS (Deteksi) Agustus'!$D$7:$D$303=$D158),0))</f>
        <v>0</v>
      </c>
      <c r="U158" s="9">
        <f t="shared" si="23"/>
        <v>0</v>
      </c>
      <c r="V158" s="132">
        <v>46244</v>
      </c>
      <c r="W158" s="203">
        <v>203</v>
      </c>
      <c r="X158" s="203">
        <v>8</v>
      </c>
      <c r="Y158" s="9">
        <f t="shared" si="24"/>
        <v>3.9408866995073892</v>
      </c>
      <c r="Z158" s="8" t="str">
        <f t="array" ref="Z158">IF(Y158&gt;5,"Perlu Sensus",IF(AND(Y158&gt;0,,O158&gt;0),"Tetap Deteksi","Belum Deteksi"))</f>
        <v>Belum Deteksi</v>
      </c>
      <c r="AA158" s="203">
        <f t="array" ref="AA158">INDEX('[20]LS (Deteksi) Agustus'!AA$7:AA$303,MATCH(1,('[20]LS (Deteksi) Agustus'!$D$7:$D$303=$D158)*('[20]LS (Deteksi) Agustus'!$D$7:$D$303=$D158),0))</f>
        <v>0</v>
      </c>
      <c r="AB158" s="9">
        <f t="shared" si="25"/>
        <v>0</v>
      </c>
    </row>
    <row r="159" spans="1:28" outlineLevel="1" x14ac:dyDescent="0.15">
      <c r="A159" s="8" t="s">
        <v>13</v>
      </c>
      <c r="B159" s="8" t="s">
        <v>47</v>
      </c>
      <c r="C159" s="8" t="s">
        <v>173</v>
      </c>
      <c r="D159" s="8" t="s">
        <v>175</v>
      </c>
      <c r="E159" s="9">
        <v>25.36</v>
      </c>
      <c r="F159" s="8" t="s">
        <v>132</v>
      </c>
      <c r="G159" s="143">
        <v>3827</v>
      </c>
      <c r="H159" s="132">
        <f t="shared" si="26"/>
        <v>46242</v>
      </c>
      <c r="I159" s="140">
        <f t="shared" si="26"/>
        <v>118</v>
      </c>
      <c r="J159" s="9">
        <f t="shared" si="19"/>
        <v>3.0833551084400312</v>
      </c>
      <c r="K159" s="140">
        <f t="shared" si="20"/>
        <v>6</v>
      </c>
      <c r="L159" s="206">
        <f t="shared" si="21"/>
        <v>5.0847457627118651</v>
      </c>
      <c r="M159" s="8" t="str">
        <f t="array" ref="M159">IF(L159&gt;5,"Perlu Sensus",IF(AND(L159&gt;=0,I159&gt;0),"Tetap Deteksi","Belum Deteksi"))</f>
        <v>Perlu Sensus</v>
      </c>
      <c r="N159" s="132">
        <v>46242</v>
      </c>
      <c r="O159" s="203">
        <v>118</v>
      </c>
      <c r="P159" s="9">
        <f t="array" ref="P159">IFERROR(O159/G159*100,0)</f>
        <v>3.0833551084400312</v>
      </c>
      <c r="Q159" s="203">
        <v>6</v>
      </c>
      <c r="R159" s="9">
        <f t="shared" si="22"/>
        <v>5.0847457627118651</v>
      </c>
      <c r="S159" s="8" t="str">
        <f t="array" ref="S159">IF(R159&gt;5,"Perlu Sensus",IF(AND(R159&gt;=0,O159&gt;0),"Tetap Deteksi","Belum Deteksi"))</f>
        <v>Perlu Sensus</v>
      </c>
      <c r="T159" s="203">
        <f t="array" ref="T159">INDEX('[20]LS (Deteksi) Agustus'!T$7:T$303,MATCH(1,('[20]LS (Deteksi) Agustus'!$D$7:$D$303=$D159)*('[20]LS (Deteksi) Agustus'!$D$7:$D$303=$D159),0))</f>
        <v>0</v>
      </c>
      <c r="U159" s="9">
        <f t="shared" si="23"/>
        <v>0</v>
      </c>
      <c r="V159" s="132">
        <v>46244</v>
      </c>
      <c r="W159" s="203">
        <v>223</v>
      </c>
      <c r="X159" s="203">
        <v>9</v>
      </c>
      <c r="Y159" s="9">
        <f t="shared" si="24"/>
        <v>4.0358744394618835</v>
      </c>
      <c r="Z159" s="8" t="str">
        <f t="array" ref="Z159">IF(Y159&gt;5,"Perlu Sensus",IF(AND(Y159&gt;0,,O159&gt;0),"Tetap Deteksi","Belum Deteksi"))</f>
        <v>Belum Deteksi</v>
      </c>
      <c r="AA159" s="203">
        <f t="array" ref="AA159">INDEX('[20]LS (Deteksi) Agustus'!AA$7:AA$303,MATCH(1,('[20]LS (Deteksi) Agustus'!$D$7:$D$303=$D159)*('[20]LS (Deteksi) Agustus'!$D$7:$D$303=$D159),0))</f>
        <v>0</v>
      </c>
      <c r="AB159" s="9">
        <f t="shared" si="25"/>
        <v>0</v>
      </c>
    </row>
    <row r="160" spans="1:28" outlineLevel="1" x14ac:dyDescent="0.15">
      <c r="A160" s="8" t="s">
        <v>13</v>
      </c>
      <c r="B160" s="8" t="s">
        <v>47</v>
      </c>
      <c r="C160" s="8" t="s">
        <v>173</v>
      </c>
      <c r="D160" s="8" t="s">
        <v>176</v>
      </c>
      <c r="E160" s="9">
        <v>25.06</v>
      </c>
      <c r="F160" s="8" t="s">
        <v>132</v>
      </c>
      <c r="G160" s="143">
        <v>3856</v>
      </c>
      <c r="H160" s="132">
        <f t="shared" si="26"/>
        <v>46242</v>
      </c>
      <c r="I160" s="140">
        <f t="shared" si="26"/>
        <v>119</v>
      </c>
      <c r="J160" s="9">
        <f t="shared" si="19"/>
        <v>3.0860995850622408</v>
      </c>
      <c r="K160" s="140">
        <f t="shared" si="20"/>
        <v>21</v>
      </c>
      <c r="L160" s="206">
        <f t="shared" si="21"/>
        <v>17.647058823529413</v>
      </c>
      <c r="M160" s="8" t="str">
        <f t="array" ref="M160">IF(L160&gt;5,"Perlu Sensus",IF(AND(L160&gt;=0,I160&gt;0),"Tetap Deteksi","Belum Deteksi"))</f>
        <v>Perlu Sensus</v>
      </c>
      <c r="N160" s="132">
        <v>46242</v>
      </c>
      <c r="O160" s="203">
        <v>119</v>
      </c>
      <c r="P160" s="9">
        <f t="array" ref="P160">IFERROR(O160/G160*100,0)</f>
        <v>3.0860995850622408</v>
      </c>
      <c r="Q160" s="203">
        <v>21</v>
      </c>
      <c r="R160" s="9">
        <f t="shared" si="22"/>
        <v>17.647058823529413</v>
      </c>
      <c r="S160" s="8" t="str">
        <f t="array" ref="S160">IF(R160&gt;5,"Perlu Sensus",IF(AND(R160&gt;=0,O160&gt;0),"Tetap Deteksi","Belum Deteksi"))</f>
        <v>Perlu Sensus</v>
      </c>
      <c r="T160" s="203">
        <f t="array" ref="T160">INDEX('[20]LS (Deteksi) Agustus'!T$7:T$303,MATCH(1,('[20]LS (Deteksi) Agustus'!$D$7:$D$303=$D160)*('[20]LS (Deteksi) Agustus'!$D$7:$D$303=$D160),0))</f>
        <v>0</v>
      </c>
      <c r="U160" s="9">
        <f t="shared" si="23"/>
        <v>0</v>
      </c>
      <c r="V160" s="132">
        <v>46244</v>
      </c>
      <c r="W160" s="203">
        <v>215</v>
      </c>
      <c r="X160" s="203">
        <v>20</v>
      </c>
      <c r="Y160" s="9">
        <f t="shared" si="24"/>
        <v>9.3023255813953494</v>
      </c>
      <c r="Z160" s="8" t="str">
        <f t="array" ref="Z160">IF(Y160&gt;5,"Perlu Sensus",IF(AND(Y160&gt;0,,O160&gt;0),"Tetap Deteksi","Belum Deteksi"))</f>
        <v>Perlu Sensus</v>
      </c>
      <c r="AA160" s="203">
        <f t="array" ref="AA160">INDEX('[20]LS (Deteksi) Agustus'!AA$7:AA$303,MATCH(1,('[20]LS (Deteksi) Agustus'!$D$7:$D$303=$D160)*('[20]LS (Deteksi) Agustus'!$D$7:$D$303=$D160),0))</f>
        <v>0</v>
      </c>
      <c r="AB160" s="9">
        <f t="shared" si="25"/>
        <v>0</v>
      </c>
    </row>
    <row r="161" spans="1:28" outlineLevel="1" x14ac:dyDescent="0.15">
      <c r="A161" s="8" t="s">
        <v>13</v>
      </c>
      <c r="B161" s="8" t="s">
        <v>47</v>
      </c>
      <c r="C161" s="8" t="s">
        <v>173</v>
      </c>
      <c r="D161" s="8" t="s">
        <v>177</v>
      </c>
      <c r="E161" s="9">
        <v>24.9</v>
      </c>
      <c r="F161" s="8" t="s">
        <v>132</v>
      </c>
      <c r="G161" s="143">
        <v>3638</v>
      </c>
      <c r="H161" s="132">
        <f t="shared" si="26"/>
        <v>46248</v>
      </c>
      <c r="I161" s="140">
        <f t="shared" si="26"/>
        <v>222</v>
      </c>
      <c r="J161" s="9">
        <f t="shared" si="19"/>
        <v>6.1022539857064322</v>
      </c>
      <c r="K161" s="140">
        <f t="shared" si="20"/>
        <v>2</v>
      </c>
      <c r="L161" s="206">
        <f t="shared" si="21"/>
        <v>0.90090090090090091</v>
      </c>
      <c r="M161" s="8" t="str">
        <f t="array" ref="M161">IF(L161&gt;5,"Perlu Sensus",IF(AND(L161&gt;=0,I161&gt;0),"Tetap Deteksi","Belum Deteksi"))</f>
        <v>Tetap Deteksi</v>
      </c>
      <c r="N161" s="132">
        <v>46248</v>
      </c>
      <c r="O161" s="203">
        <v>222</v>
      </c>
      <c r="P161" s="9">
        <f t="array" ref="P161">IFERROR(O161/G161*100,0)</f>
        <v>6.1022539857064322</v>
      </c>
      <c r="Q161" s="203">
        <v>2</v>
      </c>
      <c r="R161" s="9">
        <f t="shared" si="22"/>
        <v>0.90090090090090091</v>
      </c>
      <c r="S161" s="8" t="str">
        <f t="array" ref="S161">IF(R161&gt;5,"Perlu Sensus",IF(AND(R161&gt;=0,O161&gt;0),"Tetap Deteksi","Belum Deteksi"))</f>
        <v>Tetap Deteksi</v>
      </c>
      <c r="T161" s="203">
        <f t="array" ref="T161">INDEX('[20]LS (Deteksi) Agustus'!T$7:T$303,MATCH(1,('[20]LS (Deteksi) Agustus'!$D$7:$D$303=$D161)*('[20]LS (Deteksi) Agustus'!$D$7:$D$303=$D161),0))</f>
        <v>0</v>
      </c>
      <c r="U161" s="9">
        <f t="shared" si="23"/>
        <v>0</v>
      </c>
      <c r="V161" s="132">
        <v>46249</v>
      </c>
      <c r="W161" s="203">
        <v>48</v>
      </c>
      <c r="X161" s="203">
        <v>1</v>
      </c>
      <c r="Y161" s="9">
        <f t="shared" si="24"/>
        <v>2.083333333333333</v>
      </c>
      <c r="Z161" s="8" t="str">
        <f t="array" ref="Z161">IF(Y161&gt;5,"Perlu Sensus",IF(AND(Y161&gt;0,,O161&gt;0),"Tetap Deteksi","Belum Deteksi"))</f>
        <v>Belum Deteksi</v>
      </c>
      <c r="AA161" s="203">
        <f t="array" ref="AA161">INDEX('[20]LS (Deteksi) Agustus'!AA$7:AA$303,MATCH(1,('[20]LS (Deteksi) Agustus'!$D$7:$D$303=$D161)*('[20]LS (Deteksi) Agustus'!$D$7:$D$303=$D161),0))</f>
        <v>0</v>
      </c>
      <c r="AB161" s="9">
        <f t="shared" si="25"/>
        <v>0</v>
      </c>
    </row>
    <row r="162" spans="1:28" outlineLevel="1" x14ac:dyDescent="0.15">
      <c r="A162" s="8" t="s">
        <v>13</v>
      </c>
      <c r="B162" s="8" t="s">
        <v>47</v>
      </c>
      <c r="C162" s="8" t="s">
        <v>173</v>
      </c>
      <c r="D162" s="8" t="s">
        <v>178</v>
      </c>
      <c r="E162" s="9">
        <v>25.35</v>
      </c>
      <c r="F162" s="8" t="s">
        <v>132</v>
      </c>
      <c r="G162" s="143">
        <v>3683</v>
      </c>
      <c r="H162" s="132">
        <f t="shared" si="26"/>
        <v>46244</v>
      </c>
      <c r="I162" s="140">
        <f t="shared" si="26"/>
        <v>112</v>
      </c>
      <c r="J162" s="9">
        <f t="shared" si="19"/>
        <v>3.0409991854466467</v>
      </c>
      <c r="K162" s="140">
        <f t="shared" si="20"/>
        <v>6</v>
      </c>
      <c r="L162" s="206">
        <f t="shared" si="21"/>
        <v>5.3571428571428568</v>
      </c>
      <c r="M162" s="8" t="str">
        <f t="array" ref="M162">IF(L162&gt;5,"Perlu Sensus",IF(AND(L162&gt;=0,I162&gt;0),"Tetap Deteksi","Belum Deteksi"))</f>
        <v>Perlu Sensus</v>
      </c>
      <c r="N162" s="132">
        <v>46244</v>
      </c>
      <c r="O162" s="203">
        <v>112</v>
      </c>
      <c r="P162" s="9">
        <f t="array" ref="P162">IFERROR(O162/G162*100,0)</f>
        <v>3.0409991854466467</v>
      </c>
      <c r="Q162" s="203">
        <v>6</v>
      </c>
      <c r="R162" s="9">
        <f t="shared" si="22"/>
        <v>5.3571428571428568</v>
      </c>
      <c r="S162" s="8" t="str">
        <f t="array" ref="S162">IF(R162&gt;5,"Perlu Sensus",IF(AND(R162&gt;=0,O162&gt;0),"Tetap Deteksi","Belum Deteksi"))</f>
        <v>Perlu Sensus</v>
      </c>
      <c r="T162" s="203">
        <f t="array" ref="T162">INDEX('[20]LS (Deteksi) Agustus'!T$7:T$303,MATCH(1,('[20]LS (Deteksi) Agustus'!$D$7:$D$303=$D162)*('[20]LS (Deteksi) Agustus'!$D$7:$D$303=$D162),0))</f>
        <v>0</v>
      </c>
      <c r="U162" s="9">
        <f t="shared" si="23"/>
        <v>0</v>
      </c>
      <c r="V162" s="132">
        <v>46245</v>
      </c>
      <c r="W162" s="203">
        <v>289</v>
      </c>
      <c r="X162" s="203">
        <v>5</v>
      </c>
      <c r="Y162" s="9">
        <f t="shared" si="24"/>
        <v>1.7301038062283738</v>
      </c>
      <c r="Z162" s="8" t="str">
        <f t="array" ref="Z162">IF(Y162&gt;5,"Perlu Sensus",IF(AND(Y162&gt;0,,O162&gt;0),"Tetap Deteksi","Belum Deteksi"))</f>
        <v>Belum Deteksi</v>
      </c>
      <c r="AA162" s="203">
        <f t="array" ref="AA162">INDEX('[20]LS (Deteksi) Agustus'!AA$7:AA$303,MATCH(1,('[20]LS (Deteksi) Agustus'!$D$7:$D$303=$D162)*('[20]LS (Deteksi) Agustus'!$D$7:$D$303=$D162),0))</f>
        <v>0</v>
      </c>
      <c r="AB162" s="9">
        <f t="shared" si="25"/>
        <v>0</v>
      </c>
    </row>
    <row r="163" spans="1:28" outlineLevel="1" x14ac:dyDescent="0.15">
      <c r="A163" s="8" t="s">
        <v>13</v>
      </c>
      <c r="B163" s="8" t="s">
        <v>47</v>
      </c>
      <c r="C163" s="8" t="s">
        <v>173</v>
      </c>
      <c r="D163" s="8" t="s">
        <v>179</v>
      </c>
      <c r="E163" s="9">
        <v>24.52</v>
      </c>
      <c r="F163" s="8" t="s">
        <v>132</v>
      </c>
      <c r="G163" s="143">
        <v>3584</v>
      </c>
      <c r="H163" s="132">
        <f t="shared" si="26"/>
        <v>46248</v>
      </c>
      <c r="I163" s="140">
        <f t="shared" si="26"/>
        <v>147</v>
      </c>
      <c r="J163" s="9">
        <f t="shared" si="19"/>
        <v>4.1015625</v>
      </c>
      <c r="K163" s="140">
        <f t="shared" si="20"/>
        <v>4</v>
      </c>
      <c r="L163" s="206">
        <f t="shared" si="21"/>
        <v>2.7210884353741496</v>
      </c>
      <c r="M163" s="8" t="str">
        <f t="array" ref="M163">IF(L163&gt;5,"Perlu Sensus",IF(AND(L163&gt;=0,I163&gt;0),"Tetap Deteksi","Belum Deteksi"))</f>
        <v>Tetap Deteksi</v>
      </c>
      <c r="N163" s="132">
        <v>46248</v>
      </c>
      <c r="O163" s="203">
        <v>147</v>
      </c>
      <c r="P163" s="9">
        <f t="array" ref="P163">IFERROR(O163/G163*100,0)</f>
        <v>4.1015625</v>
      </c>
      <c r="Q163" s="203">
        <v>4</v>
      </c>
      <c r="R163" s="9">
        <f t="shared" si="22"/>
        <v>2.7210884353741496</v>
      </c>
      <c r="S163" s="8" t="str">
        <f t="array" ref="S163">IF(R163&gt;5,"Perlu Sensus",IF(AND(R163&gt;=0,O163&gt;0),"Tetap Deteksi","Belum Deteksi"))</f>
        <v>Tetap Deteksi</v>
      </c>
      <c r="T163" s="203">
        <f t="array" ref="T163">INDEX('[20]LS (Deteksi) Agustus'!T$7:T$303,MATCH(1,('[20]LS (Deteksi) Agustus'!$D$7:$D$303=$D163)*('[20]LS (Deteksi) Agustus'!$D$7:$D$303=$D163),0))</f>
        <v>0</v>
      </c>
      <c r="U163" s="9">
        <f t="shared" si="23"/>
        <v>0</v>
      </c>
      <c r="V163" s="132">
        <v>46246</v>
      </c>
      <c r="W163" s="203">
        <v>260</v>
      </c>
      <c r="X163" s="203">
        <v>3</v>
      </c>
      <c r="Y163" s="9">
        <f t="shared" si="24"/>
        <v>1.153846153846154</v>
      </c>
      <c r="Z163" s="8" t="str">
        <f t="array" ref="Z163">IF(Y163&gt;5,"Perlu Sensus",IF(AND(Y163&gt;0,,O163&gt;0),"Tetap Deteksi","Belum Deteksi"))</f>
        <v>Belum Deteksi</v>
      </c>
      <c r="AA163" s="203">
        <f t="array" ref="AA163">INDEX('[20]LS (Deteksi) Agustus'!AA$7:AA$303,MATCH(1,('[20]LS (Deteksi) Agustus'!$D$7:$D$303=$D163)*('[20]LS (Deteksi) Agustus'!$D$7:$D$303=$D163),0))</f>
        <v>0</v>
      </c>
      <c r="AB163" s="9">
        <f t="shared" si="25"/>
        <v>0</v>
      </c>
    </row>
    <row r="164" spans="1:28" outlineLevel="1" x14ac:dyDescent="0.15">
      <c r="A164" s="8" t="s">
        <v>13</v>
      </c>
      <c r="B164" s="8" t="s">
        <v>47</v>
      </c>
      <c r="C164" s="8" t="s">
        <v>173</v>
      </c>
      <c r="D164" s="8" t="s">
        <v>180</v>
      </c>
      <c r="E164" s="9">
        <v>24.59</v>
      </c>
      <c r="F164" s="8" t="s">
        <v>132</v>
      </c>
      <c r="G164" s="143">
        <v>3638</v>
      </c>
      <c r="H164" s="132">
        <f t="shared" si="26"/>
        <v>46248</v>
      </c>
      <c r="I164" s="140">
        <f t="shared" si="26"/>
        <v>147</v>
      </c>
      <c r="J164" s="9">
        <f t="shared" si="19"/>
        <v>4.0406816932380432</v>
      </c>
      <c r="K164" s="140">
        <f t="shared" si="20"/>
        <v>2</v>
      </c>
      <c r="L164" s="206">
        <f t="shared" si="21"/>
        <v>1.3605442176870748</v>
      </c>
      <c r="M164" s="8" t="str">
        <f t="array" ref="M164">IF(L164&gt;5,"Perlu Sensus",IF(AND(L164&gt;=0,I164&gt;0),"Tetap Deteksi","Belum Deteksi"))</f>
        <v>Tetap Deteksi</v>
      </c>
      <c r="N164" s="132">
        <v>46248</v>
      </c>
      <c r="O164" s="203">
        <v>147</v>
      </c>
      <c r="P164" s="9">
        <f t="array" ref="P164">IFERROR(O164/G164*100,0)</f>
        <v>4.0406816932380432</v>
      </c>
      <c r="Q164" s="203">
        <v>2</v>
      </c>
      <c r="R164" s="9">
        <f t="shared" si="22"/>
        <v>1.3605442176870748</v>
      </c>
      <c r="S164" s="8" t="str">
        <f t="array" ref="S164">IF(R164&gt;5,"Perlu Sensus",IF(AND(R164&gt;=0,O164&gt;0),"Tetap Deteksi","Belum Deteksi"))</f>
        <v>Tetap Deteksi</v>
      </c>
      <c r="T164" s="203">
        <f t="array" ref="T164">INDEX('[20]LS (Deteksi) Agustus'!T$7:T$303,MATCH(1,('[20]LS (Deteksi) Agustus'!$D$7:$D$303=$D164)*('[20]LS (Deteksi) Agustus'!$D$7:$D$303=$D164),0))</f>
        <v>0</v>
      </c>
      <c r="U164" s="9">
        <f t="shared" si="23"/>
        <v>0</v>
      </c>
      <c r="V164" s="132">
        <v>46249</v>
      </c>
      <c r="W164" s="203">
        <v>48</v>
      </c>
      <c r="X164" s="203">
        <v>2</v>
      </c>
      <c r="Y164" s="9">
        <f t="shared" si="24"/>
        <v>4.1666666666666661</v>
      </c>
      <c r="Z164" s="8" t="str">
        <f t="array" ref="Z164">IF(Y164&gt;5,"Perlu Sensus",IF(AND(Y164&gt;0,,O164&gt;0),"Tetap Deteksi","Belum Deteksi"))</f>
        <v>Belum Deteksi</v>
      </c>
      <c r="AA164" s="203">
        <f t="array" ref="AA164">INDEX('[20]LS (Deteksi) Agustus'!AA$7:AA$303,MATCH(1,('[20]LS (Deteksi) Agustus'!$D$7:$D$303=$D164)*('[20]LS (Deteksi) Agustus'!$D$7:$D$303=$D164),0))</f>
        <v>0</v>
      </c>
      <c r="AB164" s="9">
        <f t="shared" si="25"/>
        <v>0</v>
      </c>
    </row>
    <row r="165" spans="1:28" outlineLevel="1" x14ac:dyDescent="0.15">
      <c r="A165" s="8" t="s">
        <v>13</v>
      </c>
      <c r="B165" s="8" t="s">
        <v>47</v>
      </c>
      <c r="C165" s="8" t="s">
        <v>173</v>
      </c>
      <c r="D165" s="8" t="s">
        <v>181</v>
      </c>
      <c r="E165" s="9">
        <v>28.34</v>
      </c>
      <c r="F165" s="8" t="s">
        <v>132</v>
      </c>
      <c r="G165" s="143">
        <v>4136</v>
      </c>
      <c r="H165" s="132">
        <f t="shared" si="26"/>
        <v>46248</v>
      </c>
      <c r="I165" s="140">
        <f t="shared" si="26"/>
        <v>123</v>
      </c>
      <c r="J165" s="9">
        <f t="shared" si="19"/>
        <v>2.9738878143133465</v>
      </c>
      <c r="K165" s="140">
        <f t="shared" si="20"/>
        <v>2</v>
      </c>
      <c r="L165" s="206">
        <f t="shared" si="21"/>
        <v>1.6260162601626018</v>
      </c>
      <c r="M165" s="8" t="str">
        <f t="array" ref="M165">IF(L165&gt;5,"Perlu Sensus",IF(AND(L165&gt;=0,I165&gt;0),"Tetap Deteksi","Belum Deteksi"))</f>
        <v>Tetap Deteksi</v>
      </c>
      <c r="N165" s="132">
        <v>46248</v>
      </c>
      <c r="O165" s="203">
        <v>123</v>
      </c>
      <c r="P165" s="9">
        <f t="array" ref="P165">IFERROR(O165/G165*100,0)</f>
        <v>2.9738878143133465</v>
      </c>
      <c r="Q165" s="203">
        <v>2</v>
      </c>
      <c r="R165" s="9">
        <f t="shared" si="22"/>
        <v>1.6260162601626018</v>
      </c>
      <c r="S165" s="8" t="str">
        <f t="array" ref="S165">IF(R165&gt;5,"Perlu Sensus",IF(AND(R165&gt;=0,O165&gt;0),"Tetap Deteksi","Belum Deteksi"))</f>
        <v>Tetap Deteksi</v>
      </c>
      <c r="T165" s="203">
        <f t="array" ref="T165">INDEX('[20]LS (Deteksi) Agustus'!T$7:T$303,MATCH(1,('[20]LS (Deteksi) Agustus'!$D$7:$D$303=$D165)*('[20]LS (Deteksi) Agustus'!$D$7:$D$303=$D165),0))</f>
        <v>0</v>
      </c>
      <c r="U165" s="9">
        <f t="shared" si="23"/>
        <v>0</v>
      </c>
      <c r="V165" s="132">
        <v>46249</v>
      </c>
      <c r="W165" s="203">
        <v>44</v>
      </c>
      <c r="X165" s="203">
        <v>1</v>
      </c>
      <c r="Y165" s="9">
        <f t="shared" si="24"/>
        <v>2.2727272727272729</v>
      </c>
      <c r="Z165" s="8" t="str">
        <f t="array" ref="Z165">IF(Y165&gt;5,"Perlu Sensus",IF(AND(Y165&gt;0,,O165&gt;0),"Tetap Deteksi","Belum Deteksi"))</f>
        <v>Belum Deteksi</v>
      </c>
      <c r="AA165" s="203">
        <f t="array" ref="AA165">INDEX('[20]LS (Deteksi) Agustus'!AA$7:AA$303,MATCH(1,('[20]LS (Deteksi) Agustus'!$D$7:$D$303=$D165)*('[20]LS (Deteksi) Agustus'!$D$7:$D$303=$D165),0))</f>
        <v>0</v>
      </c>
      <c r="AB165" s="9">
        <f t="shared" si="25"/>
        <v>0</v>
      </c>
    </row>
    <row r="166" spans="1:28" outlineLevel="1" x14ac:dyDescent="0.15">
      <c r="A166" s="8" t="s">
        <v>13</v>
      </c>
      <c r="B166" s="8" t="s">
        <v>47</v>
      </c>
      <c r="C166" s="8" t="s">
        <v>173</v>
      </c>
      <c r="D166" s="8" t="s">
        <v>182</v>
      </c>
      <c r="E166" s="9">
        <v>32.880000000000003</v>
      </c>
      <c r="F166" s="8" t="s">
        <v>132</v>
      </c>
      <c r="G166" s="143">
        <v>4776</v>
      </c>
      <c r="H166" s="132">
        <f t="shared" si="26"/>
        <v>46248</v>
      </c>
      <c r="I166" s="140">
        <f t="shared" si="26"/>
        <v>124</v>
      </c>
      <c r="J166" s="9">
        <f t="shared" si="19"/>
        <v>2.5963149078726966</v>
      </c>
      <c r="K166" s="140">
        <f t="shared" si="20"/>
        <v>2</v>
      </c>
      <c r="L166" s="206">
        <f t="shared" si="21"/>
        <v>1.6129032258064515</v>
      </c>
      <c r="M166" s="8" t="str">
        <f t="array" ref="M166">IF(L166&gt;5,"Perlu Sensus",IF(AND(L166&gt;=0,I166&gt;0),"Tetap Deteksi","Belum Deteksi"))</f>
        <v>Tetap Deteksi</v>
      </c>
      <c r="N166" s="132">
        <v>46248</v>
      </c>
      <c r="O166" s="203">
        <v>124</v>
      </c>
      <c r="P166" s="9">
        <f t="array" ref="P166">IFERROR(O166/G166*100,0)</f>
        <v>2.5963149078726966</v>
      </c>
      <c r="Q166" s="203">
        <v>2</v>
      </c>
      <c r="R166" s="9">
        <f t="shared" si="22"/>
        <v>1.6129032258064515</v>
      </c>
      <c r="S166" s="8" t="str">
        <f t="array" ref="S166">IF(R166&gt;5,"Perlu Sensus",IF(AND(R166&gt;=0,O166&gt;0),"Tetap Deteksi","Belum Deteksi"))</f>
        <v>Tetap Deteksi</v>
      </c>
      <c r="T166" s="203">
        <f t="array" ref="T166">INDEX('[20]LS (Deteksi) Agustus'!T$7:T$303,MATCH(1,('[20]LS (Deteksi) Agustus'!$D$7:$D$303=$D166)*('[20]LS (Deteksi) Agustus'!$D$7:$D$303=$D166),0))</f>
        <v>0</v>
      </c>
      <c r="U166" s="9">
        <f t="shared" si="23"/>
        <v>0</v>
      </c>
      <c r="V166" s="132">
        <v>46249</v>
      </c>
      <c r="W166" s="203">
        <v>48</v>
      </c>
      <c r="X166" s="203">
        <v>1</v>
      </c>
      <c r="Y166" s="9">
        <f t="shared" si="24"/>
        <v>2.083333333333333</v>
      </c>
      <c r="Z166" s="8" t="str">
        <f t="array" ref="Z166">IF(Y166&gt;5,"Perlu Sensus",IF(AND(Y166&gt;0,,O166&gt;0),"Tetap Deteksi","Belum Deteksi"))</f>
        <v>Belum Deteksi</v>
      </c>
      <c r="AA166" s="203">
        <f t="array" ref="AA166">INDEX('[20]LS (Deteksi) Agustus'!AA$7:AA$303,MATCH(1,('[20]LS (Deteksi) Agustus'!$D$7:$D$303=$D166)*('[20]LS (Deteksi) Agustus'!$D$7:$D$303=$D166),0))</f>
        <v>0</v>
      </c>
      <c r="AB166" s="9">
        <f t="shared" si="25"/>
        <v>0</v>
      </c>
    </row>
    <row r="167" spans="1:28" outlineLevel="1" x14ac:dyDescent="0.15">
      <c r="A167" s="8" t="s">
        <v>13</v>
      </c>
      <c r="B167" s="8" t="s">
        <v>47</v>
      </c>
      <c r="C167" s="8" t="s">
        <v>173</v>
      </c>
      <c r="D167" s="8" t="s">
        <v>183</v>
      </c>
      <c r="E167" s="9">
        <v>24.78</v>
      </c>
      <c r="F167" s="8" t="s">
        <v>132</v>
      </c>
      <c r="G167" s="143">
        <v>3511</v>
      </c>
      <c r="H167" s="132">
        <f t="shared" si="26"/>
        <v>46239</v>
      </c>
      <c r="I167" s="140">
        <f t="shared" si="26"/>
        <v>112</v>
      </c>
      <c r="J167" s="9">
        <f t="shared" si="19"/>
        <v>3.1899743662774136</v>
      </c>
      <c r="K167" s="140">
        <f t="shared" si="20"/>
        <v>4</v>
      </c>
      <c r="L167" s="206">
        <f t="shared" si="21"/>
        <v>3.5714285714285712</v>
      </c>
      <c r="M167" s="8" t="str">
        <f t="array" ref="M167">IF(L167&gt;5,"Perlu Sensus",IF(AND(L167&gt;=0,I167&gt;0),"Tetap Deteksi","Belum Deteksi"))</f>
        <v>Tetap Deteksi</v>
      </c>
      <c r="N167" s="132">
        <v>46239</v>
      </c>
      <c r="O167" s="203">
        <v>112</v>
      </c>
      <c r="P167" s="9">
        <f t="array" ref="P167">IFERROR(O167/G167*100,0)</f>
        <v>3.1899743662774136</v>
      </c>
      <c r="Q167" s="203">
        <v>4</v>
      </c>
      <c r="R167" s="9">
        <f t="shared" si="22"/>
        <v>3.5714285714285712</v>
      </c>
      <c r="S167" s="8" t="str">
        <f t="array" ref="S167">IF(R167&gt;5,"Perlu Sensus",IF(AND(R167&gt;=0,O167&gt;0),"Tetap Deteksi","Belum Deteksi"))</f>
        <v>Tetap Deteksi</v>
      </c>
      <c r="T167" s="203">
        <f t="array" ref="T167">INDEX('[20]LS (Deteksi) Agustus'!T$7:T$303,MATCH(1,('[20]LS (Deteksi) Agustus'!$D$7:$D$303=$D167)*('[20]LS (Deteksi) Agustus'!$D$7:$D$303=$D167),0))</f>
        <v>0</v>
      </c>
      <c r="U167" s="9">
        <f t="shared" si="23"/>
        <v>0</v>
      </c>
      <c r="V167" s="132">
        <v>46240</v>
      </c>
      <c r="W167" s="203">
        <v>250</v>
      </c>
      <c r="X167" s="203">
        <v>4</v>
      </c>
      <c r="Y167" s="9">
        <f t="shared" si="24"/>
        <v>1.6</v>
      </c>
      <c r="Z167" s="8" t="str">
        <f t="array" ref="Z167">IF(Y167&gt;5,"Perlu Sensus",IF(AND(Y167&gt;0,,O167&gt;0),"Tetap Deteksi","Belum Deteksi"))</f>
        <v>Belum Deteksi</v>
      </c>
      <c r="AA167" s="203">
        <f t="array" ref="AA167">INDEX('[20]LS (Deteksi) Agustus'!AA$7:AA$303,MATCH(1,('[20]LS (Deteksi) Agustus'!$D$7:$D$303=$D167)*('[20]LS (Deteksi) Agustus'!$D$7:$D$303=$D167),0))</f>
        <v>0</v>
      </c>
      <c r="AB167" s="9">
        <f t="shared" si="25"/>
        <v>0</v>
      </c>
    </row>
    <row r="168" spans="1:28" outlineLevel="1" x14ac:dyDescent="0.15">
      <c r="A168" s="8" t="s">
        <v>13</v>
      </c>
      <c r="B168" s="8" t="s">
        <v>47</v>
      </c>
      <c r="C168" s="8" t="s">
        <v>173</v>
      </c>
      <c r="D168" s="8" t="s">
        <v>184</v>
      </c>
      <c r="E168" s="9">
        <v>25.2</v>
      </c>
      <c r="F168" s="8" t="s">
        <v>132</v>
      </c>
      <c r="G168" s="143">
        <v>3569</v>
      </c>
      <c r="H168" s="132">
        <f t="shared" si="26"/>
        <v>46239</v>
      </c>
      <c r="I168" s="140">
        <f t="shared" si="26"/>
        <v>110</v>
      </c>
      <c r="J168" s="9">
        <f t="shared" si="19"/>
        <v>3.0820958251611095</v>
      </c>
      <c r="K168" s="140">
        <f t="shared" si="20"/>
        <v>3</v>
      </c>
      <c r="L168" s="206">
        <f t="shared" si="21"/>
        <v>2.7272727272727271</v>
      </c>
      <c r="M168" s="8" t="str">
        <f t="array" ref="M168">IF(L168&gt;5,"Perlu Sensus",IF(AND(L168&gt;=0,I168&gt;0),"Tetap Deteksi","Belum Deteksi"))</f>
        <v>Tetap Deteksi</v>
      </c>
      <c r="N168" s="132">
        <v>46239</v>
      </c>
      <c r="O168" s="203">
        <v>110</v>
      </c>
      <c r="P168" s="9">
        <f t="array" ref="P168">IFERROR(O168/G168*100,0)</f>
        <v>3.0820958251611095</v>
      </c>
      <c r="Q168" s="203">
        <v>3</v>
      </c>
      <c r="R168" s="9">
        <f t="shared" si="22"/>
        <v>2.7272727272727271</v>
      </c>
      <c r="S168" s="8" t="str">
        <f t="array" ref="S168">IF(R168&gt;5,"Perlu Sensus",IF(AND(R168&gt;=0,O168&gt;0),"Tetap Deteksi","Belum Deteksi"))</f>
        <v>Tetap Deteksi</v>
      </c>
      <c r="T168" s="203">
        <f t="array" ref="T168">INDEX('[20]LS (Deteksi) Agustus'!T$7:T$303,MATCH(1,('[20]LS (Deteksi) Agustus'!$D$7:$D$303=$D168)*('[20]LS (Deteksi) Agustus'!$D$7:$D$303=$D168),0))</f>
        <v>0</v>
      </c>
      <c r="U168" s="9">
        <f t="shared" si="23"/>
        <v>0</v>
      </c>
      <c r="V168" s="132">
        <v>46240</v>
      </c>
      <c r="W168" s="203">
        <v>270</v>
      </c>
      <c r="X168" s="203">
        <v>3</v>
      </c>
      <c r="Y168" s="9">
        <f t="shared" si="24"/>
        <v>1.1111111111111112</v>
      </c>
      <c r="Z168" s="8" t="str">
        <f t="array" ref="Z168">IF(Y168&gt;5,"Perlu Sensus",IF(AND(Y168&gt;0,,O168&gt;0),"Tetap Deteksi","Belum Deteksi"))</f>
        <v>Belum Deteksi</v>
      </c>
      <c r="AA168" s="203">
        <f t="array" ref="AA168">INDEX('[20]LS (Deteksi) Agustus'!AA$7:AA$303,MATCH(1,('[20]LS (Deteksi) Agustus'!$D$7:$D$303=$D168)*('[20]LS (Deteksi) Agustus'!$D$7:$D$303=$D168),0))</f>
        <v>0</v>
      </c>
      <c r="AB168" s="9">
        <f t="shared" si="25"/>
        <v>0</v>
      </c>
    </row>
    <row r="169" spans="1:28" outlineLevel="1" x14ac:dyDescent="0.15">
      <c r="A169" s="8" t="s">
        <v>13</v>
      </c>
      <c r="B169" s="8" t="s">
        <v>47</v>
      </c>
      <c r="C169" s="8" t="s">
        <v>173</v>
      </c>
      <c r="D169" s="8" t="s">
        <v>185</v>
      </c>
      <c r="E169" s="9">
        <v>25.13</v>
      </c>
      <c r="F169" s="8" t="s">
        <v>132</v>
      </c>
      <c r="G169" s="143">
        <v>3567</v>
      </c>
      <c r="H169" s="132">
        <f t="shared" si="26"/>
        <v>46239</v>
      </c>
      <c r="I169" s="140">
        <f t="shared" si="26"/>
        <v>56</v>
      </c>
      <c r="J169" s="9">
        <f t="shared" si="19"/>
        <v>1.5699467339500981</v>
      </c>
      <c r="K169" s="140">
        <f t="shared" si="20"/>
        <v>2</v>
      </c>
      <c r="L169" s="206">
        <f t="shared" si="21"/>
        <v>3.5714285714285712</v>
      </c>
      <c r="M169" s="8" t="str">
        <f t="array" ref="M169">IF(L169&gt;5,"Perlu Sensus",IF(AND(L169&gt;=0,I169&gt;0),"Tetap Deteksi","Belum Deteksi"))</f>
        <v>Tetap Deteksi</v>
      </c>
      <c r="N169" s="132">
        <v>46239</v>
      </c>
      <c r="O169" s="203">
        <v>56</v>
      </c>
      <c r="P169" s="9">
        <f t="array" ref="P169">IFERROR(O169/G169*100,0)</f>
        <v>1.5699467339500981</v>
      </c>
      <c r="Q169" s="203">
        <v>2</v>
      </c>
      <c r="R169" s="9">
        <f t="shared" si="22"/>
        <v>3.5714285714285712</v>
      </c>
      <c r="S169" s="8" t="str">
        <f t="array" ref="S169">IF(R169&gt;5,"Perlu Sensus",IF(AND(R169&gt;=0,O169&gt;0),"Tetap Deteksi","Belum Deteksi"))</f>
        <v>Tetap Deteksi</v>
      </c>
      <c r="T169" s="203">
        <f t="array" ref="T169">INDEX('[20]LS (Deteksi) Agustus'!T$7:T$303,MATCH(1,('[20]LS (Deteksi) Agustus'!$D$7:$D$303=$D169)*('[20]LS (Deteksi) Agustus'!$D$7:$D$303=$D169),0))</f>
        <v>0</v>
      </c>
      <c r="U169" s="9">
        <f t="shared" si="23"/>
        <v>0</v>
      </c>
      <c r="V169" s="132">
        <v>46240</v>
      </c>
      <c r="W169" s="203">
        <v>225</v>
      </c>
      <c r="X169" s="203">
        <v>8</v>
      </c>
      <c r="Y169" s="9">
        <f t="shared" si="24"/>
        <v>3.5555555555555554</v>
      </c>
      <c r="Z169" s="8" t="str">
        <f t="array" ref="Z169">IF(Y169&gt;5,"Perlu Sensus",IF(AND(Y169&gt;0,,O169&gt;0),"Tetap Deteksi","Belum Deteksi"))</f>
        <v>Belum Deteksi</v>
      </c>
      <c r="AA169" s="203">
        <f t="array" ref="AA169">INDEX('[20]LS (Deteksi) Agustus'!AA$7:AA$303,MATCH(1,('[20]LS (Deteksi) Agustus'!$D$7:$D$303=$D169)*('[20]LS (Deteksi) Agustus'!$D$7:$D$303=$D169),0))</f>
        <v>0</v>
      </c>
      <c r="AB169" s="9">
        <f t="shared" si="25"/>
        <v>0</v>
      </c>
    </row>
    <row r="170" spans="1:28" outlineLevel="1" x14ac:dyDescent="0.15">
      <c r="A170" s="8" t="s">
        <v>13</v>
      </c>
      <c r="B170" s="8" t="s">
        <v>47</v>
      </c>
      <c r="C170" s="8" t="s">
        <v>173</v>
      </c>
      <c r="D170" s="8" t="s">
        <v>186</v>
      </c>
      <c r="E170" s="9">
        <v>25.44</v>
      </c>
      <c r="F170" s="8" t="s">
        <v>132</v>
      </c>
      <c r="G170" s="143">
        <v>3702</v>
      </c>
      <c r="H170" s="132">
        <f t="shared" si="26"/>
        <v>46249</v>
      </c>
      <c r="I170" s="140">
        <f t="shared" si="26"/>
        <v>123</v>
      </c>
      <c r="J170" s="9">
        <f t="shared" si="19"/>
        <v>3.3225283630470019</v>
      </c>
      <c r="K170" s="140">
        <f t="shared" si="20"/>
        <v>4</v>
      </c>
      <c r="L170" s="206">
        <f t="shared" si="21"/>
        <v>3.2520325203252036</v>
      </c>
      <c r="M170" s="8" t="str">
        <f t="array" ref="M170">IF(L170&gt;5,"Perlu Sensus",IF(AND(L170&gt;=0,I170&gt;0),"Tetap Deteksi","Belum Deteksi"))</f>
        <v>Tetap Deteksi</v>
      </c>
      <c r="N170" s="132">
        <v>46249</v>
      </c>
      <c r="O170" s="203">
        <v>123</v>
      </c>
      <c r="P170" s="9">
        <f t="array" ref="P170">IFERROR(O170/G170*100,0)</f>
        <v>3.3225283630470019</v>
      </c>
      <c r="Q170" s="203">
        <v>4</v>
      </c>
      <c r="R170" s="9">
        <f t="shared" si="22"/>
        <v>3.2520325203252036</v>
      </c>
      <c r="S170" s="8" t="str">
        <f t="array" ref="S170">IF(R170&gt;5,"Perlu Sensus",IF(AND(R170&gt;=0,O170&gt;0),"Tetap Deteksi","Belum Deteksi"))</f>
        <v>Tetap Deteksi</v>
      </c>
      <c r="T170" s="203">
        <f t="array" ref="T170">INDEX('[20]LS (Deteksi) Agustus'!T$7:T$303,MATCH(1,('[20]LS (Deteksi) Agustus'!$D$7:$D$303=$D170)*('[20]LS (Deteksi) Agustus'!$D$7:$D$303=$D170),0))</f>
        <v>0</v>
      </c>
      <c r="U170" s="9">
        <f t="shared" si="23"/>
        <v>0</v>
      </c>
      <c r="V170" s="132">
        <v>46249</v>
      </c>
      <c r="W170" s="203">
        <v>37</v>
      </c>
      <c r="X170" s="203">
        <v>1</v>
      </c>
      <c r="Y170" s="9">
        <f t="shared" si="24"/>
        <v>2.7027027027027026</v>
      </c>
      <c r="Z170" s="8" t="str">
        <f t="array" ref="Z170">IF(Y170&gt;5,"Perlu Sensus",IF(AND(Y170&gt;0,,O170&gt;0),"Tetap Deteksi","Belum Deteksi"))</f>
        <v>Belum Deteksi</v>
      </c>
      <c r="AA170" s="203">
        <f t="array" ref="AA170">INDEX('[20]LS (Deteksi) Agustus'!AA$7:AA$303,MATCH(1,('[20]LS (Deteksi) Agustus'!$D$7:$D$303=$D170)*('[20]LS (Deteksi) Agustus'!$D$7:$D$303=$D170),0))</f>
        <v>0</v>
      </c>
      <c r="AB170" s="9">
        <f t="shared" si="25"/>
        <v>0</v>
      </c>
    </row>
    <row r="171" spans="1:28" outlineLevel="1" x14ac:dyDescent="0.15">
      <c r="A171" s="8" t="s">
        <v>13</v>
      </c>
      <c r="B171" s="8" t="s">
        <v>47</v>
      </c>
      <c r="C171" s="8" t="s">
        <v>173</v>
      </c>
      <c r="D171" s="8" t="s">
        <v>187</v>
      </c>
      <c r="E171" s="9">
        <v>24</v>
      </c>
      <c r="F171" s="8" t="s">
        <v>132</v>
      </c>
      <c r="G171" s="143">
        <v>3312</v>
      </c>
      <c r="H171" s="132">
        <f t="shared" si="26"/>
        <v>46249</v>
      </c>
      <c r="I171" s="140">
        <f t="shared" si="26"/>
        <v>223</v>
      </c>
      <c r="J171" s="9">
        <f t="shared" si="19"/>
        <v>6.733091787439613</v>
      </c>
      <c r="K171" s="140">
        <f t="shared" si="20"/>
        <v>12</v>
      </c>
      <c r="L171" s="206">
        <f t="shared" si="21"/>
        <v>5.3811659192825116</v>
      </c>
      <c r="M171" s="8" t="str">
        <f t="array" ref="M171">IF(L171&gt;5,"Perlu Sensus",IF(AND(L171&gt;=0,I171&gt;0),"Tetap Deteksi","Belum Deteksi"))</f>
        <v>Perlu Sensus</v>
      </c>
      <c r="N171" s="132">
        <v>46249</v>
      </c>
      <c r="O171" s="203">
        <v>223</v>
      </c>
      <c r="P171" s="9">
        <f t="array" ref="P171">IFERROR(O171/G171*100,0)</f>
        <v>6.733091787439613</v>
      </c>
      <c r="Q171" s="203">
        <v>12</v>
      </c>
      <c r="R171" s="9">
        <f t="shared" si="22"/>
        <v>5.3811659192825116</v>
      </c>
      <c r="S171" s="8" t="str">
        <f t="array" ref="S171">IF(R171&gt;5,"Perlu Sensus",IF(AND(R171&gt;=0,O171&gt;0),"Tetap Deteksi","Belum Deteksi"))</f>
        <v>Perlu Sensus</v>
      </c>
      <c r="T171" s="203">
        <f t="array" ref="T171">INDEX('[20]LS (Deteksi) Agustus'!T$7:T$303,MATCH(1,('[20]LS (Deteksi) Agustus'!$D$7:$D$303=$D171)*('[20]LS (Deteksi) Agustus'!$D$7:$D$303=$D171),0))</f>
        <v>0</v>
      </c>
      <c r="U171" s="9">
        <f t="shared" si="23"/>
        <v>0</v>
      </c>
      <c r="V171" s="132">
        <v>46249</v>
      </c>
      <c r="W171" s="203">
        <v>38</v>
      </c>
      <c r="X171" s="203">
        <v>4</v>
      </c>
      <c r="Y171" s="9">
        <f t="shared" si="24"/>
        <v>10.526315789473683</v>
      </c>
      <c r="Z171" s="8" t="str">
        <f t="array" ref="Z171">IF(Y171&gt;5,"Perlu Sensus",IF(AND(Y171&gt;0,,O171&gt;0),"Tetap Deteksi","Belum Deteksi"))</f>
        <v>Perlu Sensus</v>
      </c>
      <c r="AA171" s="203">
        <f t="array" ref="AA171">INDEX('[20]LS (Deteksi) Agustus'!AA$7:AA$303,MATCH(1,('[20]LS (Deteksi) Agustus'!$D$7:$D$303=$D171)*('[20]LS (Deteksi) Agustus'!$D$7:$D$303=$D171),0))</f>
        <v>0</v>
      </c>
      <c r="AB171" s="9">
        <f t="shared" si="25"/>
        <v>0</v>
      </c>
    </row>
    <row r="172" spans="1:28" outlineLevel="1" x14ac:dyDescent="0.15">
      <c r="A172" s="8" t="s">
        <v>13</v>
      </c>
      <c r="B172" s="8" t="s">
        <v>47</v>
      </c>
      <c r="C172" s="8" t="s">
        <v>173</v>
      </c>
      <c r="D172" s="8" t="s">
        <v>188</v>
      </c>
      <c r="E172" s="9">
        <v>24.99</v>
      </c>
      <c r="F172" s="8" t="s">
        <v>132</v>
      </c>
      <c r="G172" s="143">
        <v>3482</v>
      </c>
      <c r="H172" s="132">
        <f t="shared" si="26"/>
        <v>46244</v>
      </c>
      <c r="I172" s="140">
        <f t="shared" si="26"/>
        <v>118</v>
      </c>
      <c r="J172" s="9">
        <f t="shared" si="19"/>
        <v>3.388856978747846</v>
      </c>
      <c r="K172" s="140">
        <f t="shared" si="20"/>
        <v>15</v>
      </c>
      <c r="L172" s="206">
        <f t="shared" si="21"/>
        <v>12.711864406779661</v>
      </c>
      <c r="M172" s="8" t="str">
        <f t="array" ref="M172">IF(L172&gt;5,"Perlu Sensus",IF(AND(L172&gt;=0,I172&gt;0),"Tetap Deteksi","Belum Deteksi"))</f>
        <v>Perlu Sensus</v>
      </c>
      <c r="N172" s="132">
        <v>46244</v>
      </c>
      <c r="O172" s="203">
        <v>118</v>
      </c>
      <c r="P172" s="9">
        <f t="array" ref="P172">IFERROR(O172/G172*100,0)</f>
        <v>3.388856978747846</v>
      </c>
      <c r="Q172" s="203">
        <v>15</v>
      </c>
      <c r="R172" s="9">
        <f t="shared" si="22"/>
        <v>12.711864406779661</v>
      </c>
      <c r="S172" s="8" t="str">
        <f t="array" ref="S172">IF(R172&gt;5,"Perlu Sensus",IF(AND(R172&gt;=0,O172&gt;0),"Tetap Deteksi","Belum Deteksi"))</f>
        <v>Perlu Sensus</v>
      </c>
      <c r="T172" s="203">
        <f t="array" ref="T172">INDEX('[20]LS (Deteksi) Agustus'!T$7:T$303,MATCH(1,('[20]LS (Deteksi) Agustus'!$D$7:$D$303=$D172)*('[20]LS (Deteksi) Agustus'!$D$7:$D$303=$D172),0))</f>
        <v>0</v>
      </c>
      <c r="U172" s="9">
        <f t="shared" si="23"/>
        <v>0</v>
      </c>
      <c r="V172" s="132">
        <v>46245</v>
      </c>
      <c r="W172" s="203">
        <v>220</v>
      </c>
      <c r="X172" s="203">
        <v>25</v>
      </c>
      <c r="Y172" s="9">
        <f t="shared" si="24"/>
        <v>11.363636363636363</v>
      </c>
      <c r="Z172" s="8" t="str">
        <f t="array" ref="Z172">IF(Y172&gt;5,"Perlu Sensus",IF(AND(Y172&gt;0,,O172&gt;0),"Tetap Deteksi","Belum Deteksi"))</f>
        <v>Perlu Sensus</v>
      </c>
      <c r="AA172" s="203">
        <f t="array" ref="AA172">INDEX('[20]LS (Deteksi) Agustus'!AA$7:AA$303,MATCH(1,('[20]LS (Deteksi) Agustus'!$D$7:$D$303=$D172)*('[20]LS (Deteksi) Agustus'!$D$7:$D$303=$D172),0))</f>
        <v>0</v>
      </c>
      <c r="AB172" s="9">
        <f t="shared" si="25"/>
        <v>0</v>
      </c>
    </row>
    <row r="173" spans="1:28" outlineLevel="1" x14ac:dyDescent="0.15">
      <c r="A173" s="8" t="s">
        <v>13</v>
      </c>
      <c r="B173" s="8" t="s">
        <v>47</v>
      </c>
      <c r="C173" s="8" t="s">
        <v>173</v>
      </c>
      <c r="D173" s="8" t="s">
        <v>189</v>
      </c>
      <c r="E173" s="9">
        <v>25.71</v>
      </c>
      <c r="F173" s="8" t="s">
        <v>132</v>
      </c>
      <c r="G173" s="143">
        <v>3624</v>
      </c>
      <c r="H173" s="132">
        <f t="shared" si="26"/>
        <v>46244</v>
      </c>
      <c r="I173" s="140">
        <f t="shared" si="26"/>
        <v>114</v>
      </c>
      <c r="J173" s="9">
        <f t="shared" si="19"/>
        <v>3.1456953642384109</v>
      </c>
      <c r="K173" s="140">
        <f t="shared" si="20"/>
        <v>10</v>
      </c>
      <c r="L173" s="206">
        <f t="shared" si="21"/>
        <v>8.7719298245614024</v>
      </c>
      <c r="M173" s="8" t="str">
        <f t="array" ref="M173">IF(L173&gt;5,"Perlu Sensus",IF(AND(L173&gt;=0,I173&gt;0),"Tetap Deteksi","Belum Deteksi"))</f>
        <v>Perlu Sensus</v>
      </c>
      <c r="N173" s="132">
        <v>46244</v>
      </c>
      <c r="O173" s="203">
        <v>114</v>
      </c>
      <c r="P173" s="9">
        <f t="array" ref="P173">IFERROR(O173/G173*100,0)</f>
        <v>3.1456953642384109</v>
      </c>
      <c r="Q173" s="203">
        <v>10</v>
      </c>
      <c r="R173" s="9">
        <f t="shared" si="22"/>
        <v>8.7719298245614024</v>
      </c>
      <c r="S173" s="8" t="str">
        <f t="array" ref="S173">IF(R173&gt;5,"Perlu Sensus",IF(AND(R173&gt;=0,O173&gt;0),"Tetap Deteksi","Belum Deteksi"))</f>
        <v>Perlu Sensus</v>
      </c>
      <c r="T173" s="203">
        <f t="array" ref="T173">INDEX('[20]LS (Deteksi) Agustus'!T$7:T$303,MATCH(1,('[20]LS (Deteksi) Agustus'!$D$7:$D$303=$D173)*('[20]LS (Deteksi) Agustus'!$D$7:$D$303=$D173),0))</f>
        <v>0</v>
      </c>
      <c r="U173" s="9">
        <f t="shared" si="23"/>
        <v>0</v>
      </c>
      <c r="V173" s="132">
        <v>46245</v>
      </c>
      <c r="W173" s="203">
        <v>205</v>
      </c>
      <c r="X173" s="203">
        <v>28</v>
      </c>
      <c r="Y173" s="9">
        <f t="shared" si="24"/>
        <v>13.658536585365855</v>
      </c>
      <c r="Z173" s="8" t="str">
        <f t="array" ref="Z173">IF(Y173&gt;5,"Perlu Sensus",IF(AND(Y173&gt;0,,O173&gt;0),"Tetap Deteksi","Belum Deteksi"))</f>
        <v>Perlu Sensus</v>
      </c>
      <c r="AA173" s="203">
        <f t="array" ref="AA173">INDEX('[20]LS (Deteksi) Agustus'!AA$7:AA$303,MATCH(1,('[20]LS (Deteksi) Agustus'!$D$7:$D$303=$D173)*('[20]LS (Deteksi) Agustus'!$D$7:$D$303=$D173),0))</f>
        <v>0</v>
      </c>
      <c r="AB173" s="9">
        <f t="shared" si="25"/>
        <v>0</v>
      </c>
    </row>
    <row r="174" spans="1:28" outlineLevel="1" x14ac:dyDescent="0.15">
      <c r="A174" s="8" t="s">
        <v>13</v>
      </c>
      <c r="B174" s="8" t="s">
        <v>47</v>
      </c>
      <c r="C174" s="8" t="s">
        <v>173</v>
      </c>
      <c r="D174" s="8" t="s">
        <v>190</v>
      </c>
      <c r="E174" s="9">
        <v>30.07</v>
      </c>
      <c r="F174" s="8" t="s">
        <v>132</v>
      </c>
      <c r="G174" s="143">
        <v>4032</v>
      </c>
      <c r="H174" s="132">
        <f t="shared" si="26"/>
        <v>46239</v>
      </c>
      <c r="I174" s="140">
        <f t="shared" si="26"/>
        <v>132</v>
      </c>
      <c r="J174" s="9">
        <f t="shared" si="19"/>
        <v>3.2738095238095242</v>
      </c>
      <c r="K174" s="140">
        <f t="shared" si="20"/>
        <v>2</v>
      </c>
      <c r="L174" s="206">
        <f t="shared" si="21"/>
        <v>1.5151515151515151</v>
      </c>
      <c r="M174" s="8" t="str">
        <f t="array" ref="M174">IF(L174&gt;5,"Perlu Sensus",IF(AND(L174&gt;=0,I174&gt;0),"Tetap Deteksi","Belum Deteksi"))</f>
        <v>Tetap Deteksi</v>
      </c>
      <c r="N174" s="132">
        <v>46239</v>
      </c>
      <c r="O174" s="203">
        <v>132</v>
      </c>
      <c r="P174" s="9">
        <f t="array" ref="P174">IFERROR(O174/G174*100,0)</f>
        <v>3.2738095238095242</v>
      </c>
      <c r="Q174" s="203">
        <v>2</v>
      </c>
      <c r="R174" s="9">
        <f t="shared" si="22"/>
        <v>1.5151515151515151</v>
      </c>
      <c r="S174" s="8" t="str">
        <f t="array" ref="S174">IF(R174&gt;5,"Perlu Sensus",IF(AND(R174&gt;=0,O174&gt;0),"Tetap Deteksi","Belum Deteksi"))</f>
        <v>Tetap Deteksi</v>
      </c>
      <c r="T174" s="203">
        <f t="array" ref="T174">INDEX('[20]LS (Deteksi) Agustus'!T$7:T$303,MATCH(1,('[20]LS (Deteksi) Agustus'!$D$7:$D$303=$D174)*('[20]LS (Deteksi) Agustus'!$D$7:$D$303=$D174),0))</f>
        <v>0</v>
      </c>
      <c r="U174" s="9">
        <f t="shared" si="23"/>
        <v>0</v>
      </c>
      <c r="V174" s="132">
        <v>46240</v>
      </c>
      <c r="W174" s="203">
        <v>220</v>
      </c>
      <c r="X174" s="203">
        <v>8</v>
      </c>
      <c r="Y174" s="9">
        <f t="shared" si="24"/>
        <v>3.6363636363636362</v>
      </c>
      <c r="Z174" s="8" t="str">
        <f t="array" ref="Z174">IF(Y174&gt;5,"Perlu Sensus",IF(AND(Y174&gt;0,,O174&gt;0),"Tetap Deteksi","Belum Deteksi"))</f>
        <v>Belum Deteksi</v>
      </c>
      <c r="AA174" s="203">
        <f t="array" ref="AA174">INDEX('[20]LS (Deteksi) Agustus'!AA$7:AA$303,MATCH(1,('[20]LS (Deteksi) Agustus'!$D$7:$D$303=$D174)*('[20]LS (Deteksi) Agustus'!$D$7:$D$303=$D174),0))</f>
        <v>0</v>
      </c>
      <c r="AB174" s="9">
        <f t="shared" si="25"/>
        <v>0</v>
      </c>
    </row>
    <row r="175" spans="1:28" outlineLevel="1" x14ac:dyDescent="0.15">
      <c r="A175" s="8" t="s">
        <v>13</v>
      </c>
      <c r="B175" s="8" t="s">
        <v>47</v>
      </c>
      <c r="C175" s="8" t="s">
        <v>173</v>
      </c>
      <c r="D175" s="8" t="s">
        <v>191</v>
      </c>
      <c r="E175" s="9">
        <v>25.14</v>
      </c>
      <c r="F175" s="8" t="s">
        <v>132</v>
      </c>
      <c r="G175" s="143">
        <v>3503</v>
      </c>
      <c r="H175" s="132">
        <f t="shared" si="26"/>
        <v>46239</v>
      </c>
      <c r="I175" s="140">
        <f t="shared" si="26"/>
        <v>52</v>
      </c>
      <c r="J175" s="9">
        <f t="shared" si="19"/>
        <v>1.4844419069369112</v>
      </c>
      <c r="K175" s="140">
        <f t="shared" si="20"/>
        <v>5</v>
      </c>
      <c r="L175" s="206">
        <f t="shared" si="21"/>
        <v>9.6153846153846168</v>
      </c>
      <c r="M175" s="8" t="str">
        <f t="array" ref="M175">IF(L175&gt;5,"Perlu Sensus",IF(AND(L175&gt;=0,I175&gt;0),"Tetap Deteksi","Belum Deteksi"))</f>
        <v>Perlu Sensus</v>
      </c>
      <c r="N175" s="132">
        <v>46239</v>
      </c>
      <c r="O175" s="203">
        <v>52</v>
      </c>
      <c r="P175" s="9">
        <f t="array" ref="P175">IFERROR(O175/G175*100,0)</f>
        <v>1.4844419069369112</v>
      </c>
      <c r="Q175" s="203">
        <v>5</v>
      </c>
      <c r="R175" s="9">
        <f t="shared" si="22"/>
        <v>9.6153846153846168</v>
      </c>
      <c r="S175" s="8" t="str">
        <f t="array" ref="S175">IF(R175&gt;5,"Perlu Sensus",IF(AND(R175&gt;=0,O175&gt;0),"Tetap Deteksi","Belum Deteksi"))</f>
        <v>Perlu Sensus</v>
      </c>
      <c r="T175" s="203">
        <f t="array" ref="T175">INDEX('[20]LS (Deteksi) Agustus'!T$7:T$303,MATCH(1,('[20]LS (Deteksi) Agustus'!$D$7:$D$303=$D175)*('[20]LS (Deteksi) Agustus'!$D$7:$D$303=$D175),0))</f>
        <v>0</v>
      </c>
      <c r="U175" s="9">
        <f t="shared" si="23"/>
        <v>0</v>
      </c>
      <c r="V175" s="132">
        <v>46241</v>
      </c>
      <c r="W175" s="203">
        <v>250</v>
      </c>
      <c r="X175" s="203">
        <v>2</v>
      </c>
      <c r="Y175" s="9">
        <f t="shared" si="24"/>
        <v>0.8</v>
      </c>
      <c r="Z175" s="8" t="str">
        <f t="array" ref="Z175">IF(Y175&gt;5,"Perlu Sensus",IF(AND(Y175&gt;0,,O175&gt;0),"Tetap Deteksi","Belum Deteksi"))</f>
        <v>Belum Deteksi</v>
      </c>
      <c r="AA175" s="203">
        <f t="array" ref="AA175">INDEX('[20]LS (Deteksi) Agustus'!AA$7:AA$303,MATCH(1,('[20]LS (Deteksi) Agustus'!$D$7:$D$303=$D175)*('[20]LS (Deteksi) Agustus'!$D$7:$D$303=$D175),0))</f>
        <v>0</v>
      </c>
      <c r="AB175" s="9">
        <f t="shared" si="25"/>
        <v>0</v>
      </c>
    </row>
    <row r="176" spans="1:28" outlineLevel="1" x14ac:dyDescent="0.15">
      <c r="A176" s="8" t="s">
        <v>13</v>
      </c>
      <c r="B176" s="8" t="s">
        <v>47</v>
      </c>
      <c r="C176" s="8" t="s">
        <v>173</v>
      </c>
      <c r="D176" s="8" t="s">
        <v>192</v>
      </c>
      <c r="E176" s="9">
        <v>25.08</v>
      </c>
      <c r="F176" s="8" t="s">
        <v>132</v>
      </c>
      <c r="G176" s="143">
        <v>3285</v>
      </c>
      <c r="H176" s="132">
        <f t="shared" si="26"/>
        <v>46249</v>
      </c>
      <c r="I176" s="140">
        <f t="shared" si="26"/>
        <v>118</v>
      </c>
      <c r="J176" s="9">
        <f t="shared" si="19"/>
        <v>3.5920852359208522</v>
      </c>
      <c r="K176" s="140">
        <f t="shared" si="20"/>
        <v>2</v>
      </c>
      <c r="L176" s="206">
        <f t="shared" si="21"/>
        <v>1.6949152542372881</v>
      </c>
      <c r="M176" s="8" t="str">
        <f t="array" ref="M176">IF(L176&gt;5,"Perlu Sensus",IF(AND(L176&gt;=0,I176&gt;0),"Tetap Deteksi","Belum Deteksi"))</f>
        <v>Tetap Deteksi</v>
      </c>
      <c r="N176" s="132">
        <v>46249</v>
      </c>
      <c r="O176" s="203">
        <v>118</v>
      </c>
      <c r="P176" s="9">
        <f t="array" ref="P176">IFERROR(O176/G176*100,0)</f>
        <v>3.5920852359208522</v>
      </c>
      <c r="Q176" s="203">
        <v>2</v>
      </c>
      <c r="R176" s="9">
        <f t="shared" si="22"/>
        <v>1.6949152542372881</v>
      </c>
      <c r="S176" s="8" t="str">
        <f t="array" ref="S176">IF(R176&gt;5,"Perlu Sensus",IF(AND(R176&gt;=0,O176&gt;0),"Tetap Deteksi","Belum Deteksi"))</f>
        <v>Tetap Deteksi</v>
      </c>
      <c r="T176" s="203">
        <f t="array" ref="T176">INDEX('[20]LS (Deteksi) Agustus'!T$7:T$303,MATCH(1,('[20]LS (Deteksi) Agustus'!$D$7:$D$303=$D176)*('[20]LS (Deteksi) Agustus'!$D$7:$D$303=$D176),0))</f>
        <v>0</v>
      </c>
      <c r="U176" s="9">
        <f t="shared" si="23"/>
        <v>0</v>
      </c>
      <c r="V176" s="132">
        <v>46249</v>
      </c>
      <c r="W176" s="203">
        <v>49</v>
      </c>
      <c r="X176" s="203">
        <v>1</v>
      </c>
      <c r="Y176" s="9">
        <f t="shared" si="24"/>
        <v>2.0408163265306123</v>
      </c>
      <c r="Z176" s="8" t="str">
        <f t="array" ref="Z176">IF(Y176&gt;5,"Perlu Sensus",IF(AND(Y176&gt;0,,O176&gt;0),"Tetap Deteksi","Belum Deteksi"))</f>
        <v>Belum Deteksi</v>
      </c>
      <c r="AA176" s="203">
        <f t="array" ref="AA176">INDEX('[20]LS (Deteksi) Agustus'!AA$7:AA$303,MATCH(1,('[20]LS (Deteksi) Agustus'!$D$7:$D$303=$D176)*('[20]LS (Deteksi) Agustus'!$D$7:$D$303=$D176),0))</f>
        <v>0</v>
      </c>
      <c r="AB176" s="9">
        <f t="shared" si="25"/>
        <v>0</v>
      </c>
    </row>
    <row r="177" spans="1:28" outlineLevel="1" x14ac:dyDescent="0.15">
      <c r="A177" s="8" t="s">
        <v>13</v>
      </c>
      <c r="B177" s="8" t="s">
        <v>47</v>
      </c>
      <c r="C177" s="8" t="s">
        <v>173</v>
      </c>
      <c r="D177" s="8" t="s">
        <v>193</v>
      </c>
      <c r="E177" s="9">
        <v>25.61</v>
      </c>
      <c r="F177" s="8" t="s">
        <v>132</v>
      </c>
      <c r="G177" s="143">
        <v>3154</v>
      </c>
      <c r="H177" s="132">
        <f t="shared" si="26"/>
        <v>46244</v>
      </c>
      <c r="I177" s="140">
        <f t="shared" si="26"/>
        <v>112</v>
      </c>
      <c r="J177" s="9">
        <f t="shared" si="19"/>
        <v>3.551046290424857</v>
      </c>
      <c r="K177" s="140">
        <f t="shared" si="20"/>
        <v>6</v>
      </c>
      <c r="L177" s="206">
        <f t="shared" si="21"/>
        <v>5.3571428571428568</v>
      </c>
      <c r="M177" s="8" t="str">
        <f t="array" ref="M177">IF(L177&gt;5,"Perlu Sensus",IF(AND(L177&gt;=0,I177&gt;0),"Tetap Deteksi","Belum Deteksi"))</f>
        <v>Perlu Sensus</v>
      </c>
      <c r="N177" s="132">
        <v>46244</v>
      </c>
      <c r="O177" s="203">
        <v>112</v>
      </c>
      <c r="P177" s="9">
        <f t="array" ref="P177">IFERROR(O177/G177*100,0)</f>
        <v>3.551046290424857</v>
      </c>
      <c r="Q177" s="203">
        <v>6</v>
      </c>
      <c r="R177" s="9">
        <f t="shared" si="22"/>
        <v>5.3571428571428568</v>
      </c>
      <c r="S177" s="8" t="str">
        <f t="array" ref="S177">IF(R177&gt;5,"Perlu Sensus",IF(AND(R177&gt;=0,O177&gt;0),"Tetap Deteksi","Belum Deteksi"))</f>
        <v>Perlu Sensus</v>
      </c>
      <c r="T177" s="203">
        <f t="array" ref="T177">INDEX('[20]LS (Deteksi) Agustus'!T$7:T$303,MATCH(1,('[20]LS (Deteksi) Agustus'!$D$7:$D$303=$D177)*('[20]LS (Deteksi) Agustus'!$D$7:$D$303=$D177),0))</f>
        <v>0</v>
      </c>
      <c r="U177" s="9">
        <f t="shared" si="23"/>
        <v>0</v>
      </c>
      <c r="V177" s="132">
        <v>46245</v>
      </c>
      <c r="W177" s="203">
        <v>208</v>
      </c>
      <c r="X177" s="203">
        <v>8</v>
      </c>
      <c r="Y177" s="9">
        <f t="shared" si="24"/>
        <v>3.8461538461538463</v>
      </c>
      <c r="Z177" s="8" t="str">
        <f t="array" ref="Z177">IF(Y177&gt;5,"Perlu Sensus",IF(AND(Y177&gt;0,,O177&gt;0),"Tetap Deteksi","Belum Deteksi"))</f>
        <v>Belum Deteksi</v>
      </c>
      <c r="AA177" s="203">
        <f t="array" ref="AA177">INDEX('[20]LS (Deteksi) Agustus'!AA$7:AA$303,MATCH(1,('[20]LS (Deteksi) Agustus'!$D$7:$D$303=$D177)*('[20]LS (Deteksi) Agustus'!$D$7:$D$303=$D177),0))</f>
        <v>0</v>
      </c>
      <c r="AB177" s="9">
        <f t="shared" si="25"/>
        <v>0</v>
      </c>
    </row>
    <row r="178" spans="1:28" outlineLevel="1" x14ac:dyDescent="0.15">
      <c r="A178" s="8" t="s">
        <v>13</v>
      </c>
      <c r="B178" s="8" t="s">
        <v>47</v>
      </c>
      <c r="C178" s="8" t="s">
        <v>173</v>
      </c>
      <c r="D178" s="8" t="s">
        <v>194</v>
      </c>
      <c r="E178" s="9">
        <v>25.19</v>
      </c>
      <c r="F178" s="8" t="s">
        <v>132</v>
      </c>
      <c r="G178" s="143">
        <v>3512</v>
      </c>
      <c r="H178" s="132">
        <f t="shared" si="26"/>
        <v>46249</v>
      </c>
      <c r="I178" s="140">
        <f t="shared" si="26"/>
        <v>113</v>
      </c>
      <c r="J178" s="9">
        <f t="shared" si="19"/>
        <v>3.2175398633257406</v>
      </c>
      <c r="K178" s="140">
        <f t="shared" si="20"/>
        <v>4</v>
      </c>
      <c r="L178" s="206">
        <f t="shared" si="21"/>
        <v>3.5398230088495577</v>
      </c>
      <c r="M178" s="8" t="str">
        <f t="array" ref="M178">IF(L178&gt;5,"Perlu Sensus",IF(AND(L178&gt;=0,I178&gt;0),"Tetap Deteksi","Belum Deteksi"))</f>
        <v>Tetap Deteksi</v>
      </c>
      <c r="N178" s="132">
        <v>46249</v>
      </c>
      <c r="O178" s="203">
        <v>113</v>
      </c>
      <c r="P178" s="9">
        <f t="array" ref="P178">IFERROR(O178/G178*100,0)</f>
        <v>3.2175398633257406</v>
      </c>
      <c r="Q178" s="203">
        <v>4</v>
      </c>
      <c r="R178" s="9">
        <f t="shared" si="22"/>
        <v>3.5398230088495577</v>
      </c>
      <c r="S178" s="8" t="str">
        <f t="array" ref="S178">IF(R178&gt;5,"Perlu Sensus",IF(AND(R178&gt;=0,O178&gt;0),"Tetap Deteksi","Belum Deteksi"))</f>
        <v>Tetap Deteksi</v>
      </c>
      <c r="T178" s="203">
        <f t="array" ref="T178">INDEX('[20]LS (Deteksi) Agustus'!T$7:T$303,MATCH(1,('[20]LS (Deteksi) Agustus'!$D$7:$D$303=$D178)*('[20]LS (Deteksi) Agustus'!$D$7:$D$303=$D178),0))</f>
        <v>0</v>
      </c>
      <c r="U178" s="9">
        <f t="shared" si="23"/>
        <v>0</v>
      </c>
      <c r="V178" s="132">
        <v>46249</v>
      </c>
      <c r="W178" s="203">
        <v>150</v>
      </c>
      <c r="X178" s="203">
        <v>1</v>
      </c>
      <c r="Y178" s="9">
        <f t="shared" si="24"/>
        <v>0.66666666666666674</v>
      </c>
      <c r="Z178" s="8" t="str">
        <f t="array" ref="Z178">IF(Y178&gt;5,"Perlu Sensus",IF(AND(Y178&gt;0,,O178&gt;0),"Tetap Deteksi","Belum Deteksi"))</f>
        <v>Belum Deteksi</v>
      </c>
      <c r="AA178" s="203">
        <f t="array" ref="AA178">INDEX('[20]LS (Deteksi) Agustus'!AA$7:AA$303,MATCH(1,('[20]LS (Deteksi) Agustus'!$D$7:$D$303=$D178)*('[20]LS (Deteksi) Agustus'!$D$7:$D$303=$D178),0))</f>
        <v>0</v>
      </c>
      <c r="AB178" s="9">
        <f t="shared" si="25"/>
        <v>0</v>
      </c>
    </row>
    <row r="179" spans="1:28" outlineLevel="1" x14ac:dyDescent="0.15">
      <c r="A179" s="8" t="s">
        <v>13</v>
      </c>
      <c r="B179" s="8" t="s">
        <v>47</v>
      </c>
      <c r="C179" s="8" t="s">
        <v>173</v>
      </c>
      <c r="D179" s="8" t="s">
        <v>195</v>
      </c>
      <c r="E179" s="9">
        <v>24.52</v>
      </c>
      <c r="F179" s="8" t="s">
        <v>132</v>
      </c>
      <c r="G179" s="143">
        <v>3274</v>
      </c>
      <c r="H179" s="132">
        <f t="shared" si="26"/>
        <v>46249</v>
      </c>
      <c r="I179" s="140">
        <f t="shared" si="26"/>
        <v>114</v>
      </c>
      <c r="J179" s="9">
        <f t="shared" si="19"/>
        <v>3.481979230299328</v>
      </c>
      <c r="K179" s="140">
        <f t="shared" si="20"/>
        <v>4</v>
      </c>
      <c r="L179" s="206">
        <f t="shared" si="21"/>
        <v>3.5087719298245612</v>
      </c>
      <c r="M179" s="8" t="str">
        <f t="array" ref="M179">IF(L179&gt;5,"Perlu Sensus",IF(AND(L179&gt;=0,I179&gt;0),"Tetap Deteksi","Belum Deteksi"))</f>
        <v>Tetap Deteksi</v>
      </c>
      <c r="N179" s="132">
        <v>46249</v>
      </c>
      <c r="O179" s="203">
        <v>114</v>
      </c>
      <c r="P179" s="9">
        <f t="array" ref="P179">IFERROR(O179/G179*100,0)</f>
        <v>3.481979230299328</v>
      </c>
      <c r="Q179" s="203">
        <v>4</v>
      </c>
      <c r="R179" s="9">
        <f t="shared" si="22"/>
        <v>3.5087719298245612</v>
      </c>
      <c r="S179" s="8" t="str">
        <f t="array" ref="S179">IF(R179&gt;5,"Perlu Sensus",IF(AND(R179&gt;=0,O179&gt;0),"Tetap Deteksi","Belum Deteksi"))</f>
        <v>Tetap Deteksi</v>
      </c>
      <c r="T179" s="203">
        <f t="array" ref="T179">INDEX('[20]LS (Deteksi) Agustus'!T$7:T$303,MATCH(1,('[20]LS (Deteksi) Agustus'!$D$7:$D$303=$D179)*('[20]LS (Deteksi) Agustus'!$D$7:$D$303=$D179),0))</f>
        <v>0</v>
      </c>
      <c r="U179" s="9">
        <f t="shared" si="23"/>
        <v>0</v>
      </c>
      <c r="V179" s="132">
        <v>46247</v>
      </c>
      <c r="W179" s="203">
        <v>181</v>
      </c>
      <c r="X179" s="203">
        <v>6</v>
      </c>
      <c r="Y179" s="9">
        <f t="shared" si="24"/>
        <v>3.3149171270718232</v>
      </c>
      <c r="Z179" s="8" t="str">
        <f t="array" ref="Z179">IF(Y179&gt;5,"Perlu Sensus",IF(AND(Y179&gt;0,,O179&gt;0),"Tetap Deteksi","Belum Deteksi"))</f>
        <v>Belum Deteksi</v>
      </c>
      <c r="AA179" s="203">
        <f t="array" ref="AA179">INDEX('[20]LS (Deteksi) Agustus'!AA$7:AA$303,MATCH(1,('[20]LS (Deteksi) Agustus'!$D$7:$D$303=$D179)*('[20]LS (Deteksi) Agustus'!$D$7:$D$303=$D179),0))</f>
        <v>0</v>
      </c>
      <c r="AB179" s="9">
        <f t="shared" si="25"/>
        <v>0</v>
      </c>
    </row>
    <row r="180" spans="1:28" outlineLevel="1" x14ac:dyDescent="0.15">
      <c r="A180" s="8" t="s">
        <v>13</v>
      </c>
      <c r="B180" s="8" t="s">
        <v>47</v>
      </c>
      <c r="C180" s="8" t="s">
        <v>173</v>
      </c>
      <c r="D180" s="8" t="s">
        <v>196</v>
      </c>
      <c r="E180" s="9">
        <v>24.95</v>
      </c>
      <c r="F180" s="8" t="s">
        <v>132</v>
      </c>
      <c r="G180" s="143">
        <v>3460</v>
      </c>
      <c r="H180" s="132">
        <f t="shared" si="26"/>
        <v>46248</v>
      </c>
      <c r="I180" s="140">
        <f t="shared" si="26"/>
        <v>148</v>
      </c>
      <c r="J180" s="9">
        <f t="shared" si="19"/>
        <v>4.2774566473988438</v>
      </c>
      <c r="K180" s="140">
        <f t="shared" si="20"/>
        <v>2</v>
      </c>
      <c r="L180" s="206">
        <f t="shared" si="21"/>
        <v>1.3513513513513513</v>
      </c>
      <c r="M180" s="8" t="str">
        <f t="array" ref="M180">IF(L180&gt;5,"Perlu Sensus",IF(AND(L180&gt;=0,I180&gt;0),"Tetap Deteksi","Belum Deteksi"))</f>
        <v>Tetap Deteksi</v>
      </c>
      <c r="N180" s="132">
        <v>46248</v>
      </c>
      <c r="O180" s="203">
        <v>148</v>
      </c>
      <c r="P180" s="9">
        <f t="array" ref="P180">IFERROR(O180/G180*100,0)</f>
        <v>4.2774566473988438</v>
      </c>
      <c r="Q180" s="203">
        <v>2</v>
      </c>
      <c r="R180" s="9">
        <f t="shared" si="22"/>
        <v>1.3513513513513513</v>
      </c>
      <c r="S180" s="8" t="str">
        <f t="array" ref="S180">IF(R180&gt;5,"Perlu Sensus",IF(AND(R180&gt;=0,O180&gt;0),"Tetap Deteksi","Belum Deteksi"))</f>
        <v>Tetap Deteksi</v>
      </c>
      <c r="T180" s="203">
        <f t="array" ref="T180">INDEX('[20]LS (Deteksi) Agustus'!T$7:T$303,MATCH(1,('[20]LS (Deteksi) Agustus'!$D$7:$D$303=$D180)*('[20]LS (Deteksi) Agustus'!$D$7:$D$303=$D180),0))</f>
        <v>0</v>
      </c>
      <c r="U180" s="9">
        <f t="shared" si="23"/>
        <v>0</v>
      </c>
      <c r="V180" s="132">
        <v>46249</v>
      </c>
      <c r="W180" s="203">
        <v>78</v>
      </c>
      <c r="X180" s="203">
        <v>1</v>
      </c>
      <c r="Y180" s="9">
        <f t="shared" si="24"/>
        <v>1.2820512820512819</v>
      </c>
      <c r="Z180" s="8" t="str">
        <f t="array" ref="Z180">IF(Y180&gt;5,"Perlu Sensus",IF(AND(Y180&gt;0,,O180&gt;0),"Tetap Deteksi","Belum Deteksi"))</f>
        <v>Belum Deteksi</v>
      </c>
      <c r="AA180" s="203">
        <f t="array" ref="AA180">INDEX('[20]LS (Deteksi) Agustus'!AA$7:AA$303,MATCH(1,('[20]LS (Deteksi) Agustus'!$D$7:$D$303=$D180)*('[20]LS (Deteksi) Agustus'!$D$7:$D$303=$D180),0))</f>
        <v>0</v>
      </c>
      <c r="AB180" s="9">
        <f t="shared" si="25"/>
        <v>0</v>
      </c>
    </row>
    <row r="181" spans="1:28" outlineLevel="1" x14ac:dyDescent="0.15">
      <c r="A181" s="8" t="s">
        <v>13</v>
      </c>
      <c r="B181" s="8" t="s">
        <v>47</v>
      </c>
      <c r="C181" s="8" t="s">
        <v>173</v>
      </c>
      <c r="D181" s="8" t="s">
        <v>197</v>
      </c>
      <c r="E181" s="9">
        <v>24.2</v>
      </c>
      <c r="F181" s="8" t="s">
        <v>132</v>
      </c>
      <c r="G181" s="143">
        <v>3425</v>
      </c>
      <c r="H181" s="132">
        <f t="shared" si="26"/>
        <v>46248</v>
      </c>
      <c r="I181" s="140">
        <f t="shared" si="26"/>
        <v>102</v>
      </c>
      <c r="J181" s="9">
        <f t="shared" si="19"/>
        <v>2.9781021897810218</v>
      </c>
      <c r="K181" s="140">
        <f t="shared" si="20"/>
        <v>2</v>
      </c>
      <c r="L181" s="206">
        <f t="shared" si="21"/>
        <v>1.9607843137254901</v>
      </c>
      <c r="M181" s="8" t="str">
        <f t="array" ref="M181">IF(L181&gt;5,"Perlu Sensus",IF(AND(L181&gt;=0,I181&gt;0),"Tetap Deteksi","Belum Deteksi"))</f>
        <v>Tetap Deteksi</v>
      </c>
      <c r="N181" s="132">
        <v>46248</v>
      </c>
      <c r="O181" s="203">
        <v>102</v>
      </c>
      <c r="P181" s="9">
        <f t="array" ref="P181">IFERROR(O181/G181*100,0)</f>
        <v>2.9781021897810218</v>
      </c>
      <c r="Q181" s="203">
        <v>2</v>
      </c>
      <c r="R181" s="9">
        <f t="shared" si="22"/>
        <v>1.9607843137254901</v>
      </c>
      <c r="S181" s="8" t="str">
        <f t="array" ref="S181">IF(R181&gt;5,"Perlu Sensus",IF(AND(R181&gt;=0,O181&gt;0),"Tetap Deteksi","Belum Deteksi"))</f>
        <v>Tetap Deteksi</v>
      </c>
      <c r="T181" s="203">
        <f t="array" ref="T181">INDEX('[20]LS (Deteksi) Agustus'!T$7:T$303,MATCH(1,('[20]LS (Deteksi) Agustus'!$D$7:$D$303=$D181)*('[20]LS (Deteksi) Agustus'!$D$7:$D$303=$D181),0))</f>
        <v>0</v>
      </c>
      <c r="U181" s="9">
        <f t="shared" si="23"/>
        <v>0</v>
      </c>
      <c r="V181" s="132">
        <v>46249</v>
      </c>
      <c r="W181" s="203">
        <v>124</v>
      </c>
      <c r="X181" s="203">
        <v>2</v>
      </c>
      <c r="Y181" s="9">
        <f t="shared" si="24"/>
        <v>1.6129032258064515</v>
      </c>
      <c r="Z181" s="8" t="str">
        <f t="array" ref="Z181">IF(Y181&gt;5,"Perlu Sensus",IF(AND(Y181&gt;0,,O181&gt;0),"Tetap Deteksi","Belum Deteksi"))</f>
        <v>Belum Deteksi</v>
      </c>
      <c r="AA181" s="203">
        <f t="array" ref="AA181">INDEX('[20]LS (Deteksi) Agustus'!AA$7:AA$303,MATCH(1,('[20]LS (Deteksi) Agustus'!$D$7:$D$303=$D181)*('[20]LS (Deteksi) Agustus'!$D$7:$D$303=$D181),0))</f>
        <v>0</v>
      </c>
      <c r="AB181" s="9">
        <f t="shared" si="25"/>
        <v>0</v>
      </c>
    </row>
    <row r="182" spans="1:28" outlineLevel="1" x14ac:dyDescent="0.15">
      <c r="A182" s="8" t="s">
        <v>13</v>
      </c>
      <c r="B182" s="8" t="s">
        <v>47</v>
      </c>
      <c r="C182" s="8" t="s">
        <v>173</v>
      </c>
      <c r="D182" s="8" t="s">
        <v>198</v>
      </c>
      <c r="E182" s="9">
        <v>25.26</v>
      </c>
      <c r="F182" s="8" t="s">
        <v>132</v>
      </c>
      <c r="G182" s="143">
        <v>3073</v>
      </c>
      <c r="H182" s="132">
        <f t="shared" si="26"/>
        <v>46239</v>
      </c>
      <c r="I182" s="140">
        <f t="shared" si="26"/>
        <v>128</v>
      </c>
      <c r="J182" s="9">
        <f t="shared" si="19"/>
        <v>4.1653107712333224</v>
      </c>
      <c r="K182" s="140">
        <f t="shared" si="20"/>
        <v>3</v>
      </c>
      <c r="L182" s="206">
        <f t="shared" si="21"/>
        <v>2.34375</v>
      </c>
      <c r="M182" s="8" t="str">
        <f t="array" ref="M182">IF(L182&gt;5,"Perlu Sensus",IF(AND(L182&gt;=0,I182&gt;0),"Tetap Deteksi","Belum Deteksi"))</f>
        <v>Tetap Deteksi</v>
      </c>
      <c r="N182" s="132">
        <v>46239</v>
      </c>
      <c r="O182" s="203">
        <v>128</v>
      </c>
      <c r="P182" s="9">
        <f t="array" ref="P182">IFERROR(O182/G182*100,0)</f>
        <v>4.1653107712333224</v>
      </c>
      <c r="Q182" s="203">
        <v>3</v>
      </c>
      <c r="R182" s="9">
        <f t="shared" si="22"/>
        <v>2.34375</v>
      </c>
      <c r="S182" s="8" t="str">
        <f t="array" ref="S182">IF(R182&gt;5,"Perlu Sensus",IF(AND(R182&gt;=0,O182&gt;0),"Tetap Deteksi","Belum Deteksi"))</f>
        <v>Tetap Deteksi</v>
      </c>
      <c r="T182" s="203">
        <f t="array" ref="T182">INDEX('[20]LS (Deteksi) Agustus'!T$7:T$303,MATCH(1,('[20]LS (Deteksi) Agustus'!$D$7:$D$303=$D182)*('[20]LS (Deteksi) Agustus'!$D$7:$D$303=$D182),0))</f>
        <v>0</v>
      </c>
      <c r="U182" s="9">
        <f t="shared" si="23"/>
        <v>0</v>
      </c>
      <c r="V182" s="132">
        <v>46241</v>
      </c>
      <c r="W182" s="203">
        <v>231</v>
      </c>
      <c r="X182" s="203">
        <v>4</v>
      </c>
      <c r="Y182" s="9">
        <f t="shared" si="24"/>
        <v>1.7316017316017316</v>
      </c>
      <c r="Z182" s="8" t="str">
        <f t="array" ref="Z182">IF(Y182&gt;5,"Perlu Sensus",IF(AND(Y182&gt;0,,O182&gt;0),"Tetap Deteksi","Belum Deteksi"))</f>
        <v>Belum Deteksi</v>
      </c>
      <c r="AA182" s="203">
        <f t="array" ref="AA182">INDEX('[20]LS (Deteksi) Agustus'!AA$7:AA$303,MATCH(1,('[20]LS (Deteksi) Agustus'!$D$7:$D$303=$D182)*('[20]LS (Deteksi) Agustus'!$D$7:$D$303=$D182),0))</f>
        <v>0</v>
      </c>
      <c r="AB182" s="9">
        <f t="shared" si="25"/>
        <v>0</v>
      </c>
    </row>
    <row r="183" spans="1:28" outlineLevel="1" x14ac:dyDescent="0.15">
      <c r="A183" s="8" t="s">
        <v>13</v>
      </c>
      <c r="B183" s="8" t="s">
        <v>47</v>
      </c>
      <c r="C183" s="8" t="s">
        <v>173</v>
      </c>
      <c r="D183" s="8" t="s">
        <v>199</v>
      </c>
      <c r="E183" s="9">
        <v>25.09</v>
      </c>
      <c r="F183" s="8" t="s">
        <v>132</v>
      </c>
      <c r="G183" s="143">
        <v>3613</v>
      </c>
      <c r="H183" s="132">
        <f t="shared" si="26"/>
        <v>46238</v>
      </c>
      <c r="I183" s="140">
        <f t="shared" si="26"/>
        <v>112</v>
      </c>
      <c r="J183" s="9">
        <f t="shared" si="19"/>
        <v>3.0999169665098258</v>
      </c>
      <c r="K183" s="140">
        <f t="shared" si="20"/>
        <v>7</v>
      </c>
      <c r="L183" s="206">
        <f t="shared" si="21"/>
        <v>6.25</v>
      </c>
      <c r="M183" s="8" t="str">
        <f t="array" ref="M183">IF(L183&gt;5,"Perlu Sensus",IF(AND(L183&gt;=0,I183&gt;0),"Tetap Deteksi","Belum Deteksi"))</f>
        <v>Perlu Sensus</v>
      </c>
      <c r="N183" s="132">
        <v>46238</v>
      </c>
      <c r="O183" s="203">
        <v>112</v>
      </c>
      <c r="P183" s="9">
        <f t="array" ref="P183">IFERROR(O183/G183*100,0)</f>
        <v>3.0999169665098258</v>
      </c>
      <c r="Q183" s="203">
        <v>7</v>
      </c>
      <c r="R183" s="9">
        <f t="shared" si="22"/>
        <v>6.25</v>
      </c>
      <c r="S183" s="8" t="str">
        <f t="array" ref="S183">IF(R183&gt;5,"Perlu Sensus",IF(AND(R183&gt;=0,O183&gt;0),"Tetap Deteksi","Belum Deteksi"))</f>
        <v>Perlu Sensus</v>
      </c>
      <c r="T183" s="203">
        <f t="array" ref="T183">INDEX('[20]LS (Deteksi) Agustus'!T$7:T$303,MATCH(1,('[20]LS (Deteksi) Agustus'!$D$7:$D$303=$D183)*('[20]LS (Deteksi) Agustus'!$D$7:$D$303=$D183),0))</f>
        <v>0</v>
      </c>
      <c r="U183" s="9">
        <f t="shared" si="23"/>
        <v>0</v>
      </c>
      <c r="V183" s="132">
        <v>46240</v>
      </c>
      <c r="W183" s="203">
        <v>152</v>
      </c>
      <c r="X183" s="203">
        <v>0</v>
      </c>
      <c r="Y183" s="9">
        <f t="shared" si="24"/>
        <v>0</v>
      </c>
      <c r="Z183" s="8" t="str">
        <f t="array" ref="Z183">IF(Y183&gt;5,"Perlu Sensus",IF(AND(Y183&gt;0,,O183&gt;0),"Tetap Deteksi","Belum Deteksi"))</f>
        <v>Belum Deteksi</v>
      </c>
      <c r="AA183" s="203">
        <f t="array" ref="AA183">INDEX('[20]LS (Deteksi) Agustus'!AA$7:AA$303,MATCH(1,('[20]LS (Deteksi) Agustus'!$D$7:$D$303=$D183)*('[20]LS (Deteksi) Agustus'!$D$7:$D$303=$D183),0))</f>
        <v>0</v>
      </c>
      <c r="AB183" s="9">
        <f t="shared" si="25"/>
        <v>0</v>
      </c>
    </row>
    <row r="184" spans="1:28" outlineLevel="1" x14ac:dyDescent="0.15">
      <c r="A184" s="8" t="s">
        <v>13</v>
      </c>
      <c r="B184" s="8" t="s">
        <v>47</v>
      </c>
      <c r="C184" s="8" t="s">
        <v>173</v>
      </c>
      <c r="D184" s="8" t="s">
        <v>200</v>
      </c>
      <c r="E184" s="9">
        <v>23.72</v>
      </c>
      <c r="F184" s="8" t="s">
        <v>132</v>
      </c>
      <c r="G184" s="143">
        <v>3437</v>
      </c>
      <c r="H184" s="132">
        <f t="shared" si="26"/>
        <v>46238</v>
      </c>
      <c r="I184" s="140">
        <f t="shared" si="26"/>
        <v>55</v>
      </c>
      <c r="J184" s="9">
        <f t="shared" si="19"/>
        <v>1.6002327611288916</v>
      </c>
      <c r="K184" s="140">
        <f t="shared" si="20"/>
        <v>3</v>
      </c>
      <c r="L184" s="206">
        <f t="shared" si="21"/>
        <v>5.4545454545454541</v>
      </c>
      <c r="M184" s="8" t="str">
        <f t="array" ref="M184">IF(L184&gt;5,"Perlu Sensus",IF(AND(L184&gt;=0,I184&gt;0),"Tetap Deteksi","Belum Deteksi"))</f>
        <v>Perlu Sensus</v>
      </c>
      <c r="N184" s="132">
        <v>46238</v>
      </c>
      <c r="O184" s="203">
        <v>55</v>
      </c>
      <c r="P184" s="9">
        <f t="array" ref="P184">IFERROR(O184/G184*100,0)</f>
        <v>1.6002327611288916</v>
      </c>
      <c r="Q184" s="203">
        <v>3</v>
      </c>
      <c r="R184" s="9">
        <f t="shared" si="22"/>
        <v>5.4545454545454541</v>
      </c>
      <c r="S184" s="8" t="str">
        <f t="array" ref="S184">IF(R184&gt;5,"Perlu Sensus",IF(AND(R184&gt;=0,O184&gt;0),"Tetap Deteksi","Belum Deteksi"))</f>
        <v>Perlu Sensus</v>
      </c>
      <c r="T184" s="203">
        <f t="array" ref="T184">INDEX('[20]LS (Deteksi) Agustus'!T$7:T$303,MATCH(1,('[20]LS (Deteksi) Agustus'!$D$7:$D$303=$D184)*('[20]LS (Deteksi) Agustus'!$D$7:$D$303=$D184),0))</f>
        <v>0</v>
      </c>
      <c r="U184" s="9">
        <f t="shared" si="23"/>
        <v>0</v>
      </c>
      <c r="V184" s="132">
        <v>46240</v>
      </c>
      <c r="W184" s="203">
        <v>195</v>
      </c>
      <c r="X184" s="203">
        <v>6</v>
      </c>
      <c r="Y184" s="9">
        <f t="shared" si="24"/>
        <v>3.0769230769230771</v>
      </c>
      <c r="Z184" s="8" t="str">
        <f t="array" ref="Z184">IF(Y184&gt;5,"Perlu Sensus",IF(AND(Y184&gt;0,,O184&gt;0),"Tetap Deteksi","Belum Deteksi"))</f>
        <v>Belum Deteksi</v>
      </c>
      <c r="AA184" s="203">
        <f t="array" ref="AA184">INDEX('[20]LS (Deteksi) Agustus'!AA$7:AA$303,MATCH(1,('[20]LS (Deteksi) Agustus'!$D$7:$D$303=$D184)*('[20]LS (Deteksi) Agustus'!$D$7:$D$303=$D184),0))</f>
        <v>0</v>
      </c>
      <c r="AB184" s="9">
        <f t="shared" si="25"/>
        <v>0</v>
      </c>
    </row>
    <row r="185" spans="1:28" outlineLevel="1" x14ac:dyDescent="0.15">
      <c r="A185" s="8" t="s">
        <v>13</v>
      </c>
      <c r="B185" s="8" t="s">
        <v>47</v>
      </c>
      <c r="C185" s="8" t="s">
        <v>173</v>
      </c>
      <c r="D185" s="8" t="s">
        <v>201</v>
      </c>
      <c r="E185" s="9">
        <v>25.27</v>
      </c>
      <c r="F185" s="8" t="s">
        <v>132</v>
      </c>
      <c r="G185" s="143">
        <v>3595</v>
      </c>
      <c r="H185" s="132">
        <f t="shared" si="26"/>
        <v>46239</v>
      </c>
      <c r="I185" s="140">
        <f t="shared" si="26"/>
        <v>118</v>
      </c>
      <c r="J185" s="9">
        <f t="shared" si="19"/>
        <v>3.2823365785813632</v>
      </c>
      <c r="K185" s="140">
        <f t="shared" si="20"/>
        <v>21</v>
      </c>
      <c r="L185" s="206">
        <f t="shared" si="21"/>
        <v>17.796610169491526</v>
      </c>
      <c r="M185" s="8" t="str">
        <f t="array" ref="M185">IF(L185&gt;5,"Perlu Sensus",IF(AND(L185&gt;=0,I185&gt;0),"Tetap Deteksi","Belum Deteksi"))</f>
        <v>Perlu Sensus</v>
      </c>
      <c r="N185" s="132">
        <v>46239</v>
      </c>
      <c r="O185" s="203">
        <v>118</v>
      </c>
      <c r="P185" s="9">
        <f t="array" ref="P185">IFERROR(O185/G185*100,0)</f>
        <v>3.2823365785813632</v>
      </c>
      <c r="Q185" s="203">
        <v>21</v>
      </c>
      <c r="R185" s="9">
        <f t="shared" si="22"/>
        <v>17.796610169491526</v>
      </c>
      <c r="S185" s="8" t="str">
        <f t="array" ref="S185">IF(R185&gt;5,"Perlu Sensus",IF(AND(R185&gt;=0,O185&gt;0),"Tetap Deteksi","Belum Deteksi"))</f>
        <v>Perlu Sensus</v>
      </c>
      <c r="T185" s="203">
        <f t="array" ref="T185">INDEX('[20]LS (Deteksi) Agustus'!T$7:T$303,MATCH(1,('[20]LS (Deteksi) Agustus'!$D$7:$D$303=$D185)*('[20]LS (Deteksi) Agustus'!$D$7:$D$303=$D185),0))</f>
        <v>0</v>
      </c>
      <c r="U185" s="9">
        <f t="shared" si="23"/>
        <v>0</v>
      </c>
      <c r="V185" s="132">
        <v>46240</v>
      </c>
      <c r="W185" s="203">
        <v>203</v>
      </c>
      <c r="X185" s="203">
        <v>8</v>
      </c>
      <c r="Y185" s="9">
        <f t="shared" si="24"/>
        <v>3.9408866995073892</v>
      </c>
      <c r="Z185" s="8" t="str">
        <f t="array" ref="Z185">IF(Y185&gt;5,"Perlu Sensus",IF(AND(Y185&gt;0,,O185&gt;0),"Tetap Deteksi","Belum Deteksi"))</f>
        <v>Belum Deteksi</v>
      </c>
      <c r="AA185" s="203">
        <f t="array" ref="AA185">INDEX('[20]LS (Deteksi) Agustus'!AA$7:AA$303,MATCH(1,('[20]LS (Deteksi) Agustus'!$D$7:$D$303=$D185)*('[20]LS (Deteksi) Agustus'!$D$7:$D$303=$D185),0))</f>
        <v>0</v>
      </c>
      <c r="AB185" s="9">
        <f t="shared" si="25"/>
        <v>0</v>
      </c>
    </row>
    <row r="186" spans="1:28" outlineLevel="1" x14ac:dyDescent="0.15">
      <c r="A186" s="8" t="s">
        <v>13</v>
      </c>
      <c r="B186" s="8" t="s">
        <v>47</v>
      </c>
      <c r="C186" s="8" t="s">
        <v>173</v>
      </c>
      <c r="D186" s="8" t="s">
        <v>202</v>
      </c>
      <c r="E186" s="9">
        <v>24.63</v>
      </c>
      <c r="F186" s="8" t="s">
        <v>132</v>
      </c>
      <c r="G186" s="143">
        <v>3482</v>
      </c>
      <c r="H186" s="132">
        <f t="shared" si="26"/>
        <v>46247</v>
      </c>
      <c r="I186" s="140">
        <f t="shared" si="26"/>
        <v>119</v>
      </c>
      <c r="J186" s="9">
        <f t="shared" si="19"/>
        <v>3.4175761056863871</v>
      </c>
      <c r="K186" s="140">
        <f t="shared" si="20"/>
        <v>11</v>
      </c>
      <c r="L186" s="206">
        <f t="shared" si="21"/>
        <v>9.2436974789915975</v>
      </c>
      <c r="M186" s="8" t="str">
        <f t="array" ref="M186">IF(L186&gt;5,"Perlu Sensus",IF(AND(L186&gt;=0,I186&gt;0),"Tetap Deteksi","Belum Deteksi"))</f>
        <v>Perlu Sensus</v>
      </c>
      <c r="N186" s="132">
        <v>46247</v>
      </c>
      <c r="O186" s="203">
        <v>119</v>
      </c>
      <c r="P186" s="9">
        <f t="array" ref="P186">IFERROR(O186/G186*100,0)</f>
        <v>3.4175761056863871</v>
      </c>
      <c r="Q186" s="203">
        <v>11</v>
      </c>
      <c r="R186" s="9">
        <f t="shared" si="22"/>
        <v>9.2436974789915975</v>
      </c>
      <c r="S186" s="8" t="str">
        <f t="array" ref="S186">IF(R186&gt;5,"Perlu Sensus",IF(AND(R186&gt;=0,O186&gt;0),"Tetap Deteksi","Belum Deteksi"))</f>
        <v>Perlu Sensus</v>
      </c>
      <c r="T186" s="203">
        <f t="array" ref="T186">INDEX('[20]LS (Deteksi) Agustus'!T$7:T$303,MATCH(1,('[20]LS (Deteksi) Agustus'!$D$7:$D$303=$D186)*('[20]LS (Deteksi) Agustus'!$D$7:$D$303=$D186),0))</f>
        <v>0</v>
      </c>
      <c r="U186" s="9">
        <f t="shared" si="23"/>
        <v>0</v>
      </c>
      <c r="V186" s="132">
        <v>46248</v>
      </c>
      <c r="W186" s="203">
        <v>99</v>
      </c>
      <c r="X186" s="203">
        <v>8</v>
      </c>
      <c r="Y186" s="9">
        <f t="shared" si="24"/>
        <v>8.0808080808080813</v>
      </c>
      <c r="Z186" s="8" t="str">
        <f t="array" ref="Z186">IF(Y186&gt;5,"Perlu Sensus",IF(AND(Y186&gt;0,,O186&gt;0),"Tetap Deteksi","Belum Deteksi"))</f>
        <v>Perlu Sensus</v>
      </c>
      <c r="AA186" s="203">
        <f t="array" ref="AA186">INDEX('[20]LS (Deteksi) Agustus'!AA$7:AA$303,MATCH(1,('[20]LS (Deteksi) Agustus'!$D$7:$D$303=$D186)*('[20]LS (Deteksi) Agustus'!$D$7:$D$303=$D186),0))</f>
        <v>0</v>
      </c>
      <c r="AB186" s="9">
        <f t="shared" si="25"/>
        <v>0</v>
      </c>
    </row>
    <row r="187" spans="1:28" outlineLevel="1" x14ac:dyDescent="0.15">
      <c r="A187" s="8" t="s">
        <v>13</v>
      </c>
      <c r="B187" s="8" t="s">
        <v>47</v>
      </c>
      <c r="C187" s="8" t="s">
        <v>173</v>
      </c>
      <c r="D187" s="8" t="s">
        <v>203</v>
      </c>
      <c r="E187" s="9">
        <v>25.21</v>
      </c>
      <c r="F187" s="8" t="s">
        <v>132</v>
      </c>
      <c r="G187" s="143">
        <v>3491</v>
      </c>
      <c r="H187" s="132">
        <f t="shared" si="26"/>
        <v>46248</v>
      </c>
      <c r="I187" s="140">
        <f t="shared" si="26"/>
        <v>140</v>
      </c>
      <c r="J187" s="9">
        <f t="shared" si="19"/>
        <v>4.0103122314523061</v>
      </c>
      <c r="K187" s="140">
        <f t="shared" si="20"/>
        <v>4</v>
      </c>
      <c r="L187" s="206">
        <f t="shared" si="21"/>
        <v>2.8571428571428572</v>
      </c>
      <c r="M187" s="8" t="str">
        <f t="array" ref="M187">IF(L187&gt;5,"Perlu Sensus",IF(AND(L187&gt;=0,I187&gt;0),"Tetap Deteksi","Belum Deteksi"))</f>
        <v>Tetap Deteksi</v>
      </c>
      <c r="N187" s="132">
        <v>46248</v>
      </c>
      <c r="O187" s="203">
        <v>140</v>
      </c>
      <c r="P187" s="9">
        <f t="array" ref="P187">IFERROR(O187/G187*100,0)</f>
        <v>4.0103122314523061</v>
      </c>
      <c r="Q187" s="203">
        <v>4</v>
      </c>
      <c r="R187" s="9">
        <f t="shared" si="22"/>
        <v>2.8571428571428572</v>
      </c>
      <c r="S187" s="8" t="str">
        <f t="array" ref="S187">IF(R187&gt;5,"Perlu Sensus",IF(AND(R187&gt;=0,O187&gt;0),"Tetap Deteksi","Belum Deteksi"))</f>
        <v>Tetap Deteksi</v>
      </c>
      <c r="T187" s="203">
        <f t="array" ref="T187">INDEX('[20]LS (Deteksi) Agustus'!T$7:T$303,MATCH(1,('[20]LS (Deteksi) Agustus'!$D$7:$D$303=$D187)*('[20]LS (Deteksi) Agustus'!$D$7:$D$303=$D187),0))</f>
        <v>0</v>
      </c>
      <c r="U187" s="9">
        <f t="shared" si="23"/>
        <v>0</v>
      </c>
      <c r="V187" s="132">
        <v>46249</v>
      </c>
      <c r="W187" s="203">
        <v>89</v>
      </c>
      <c r="X187" s="203">
        <v>2</v>
      </c>
      <c r="Y187" s="9">
        <f t="shared" si="24"/>
        <v>2.2471910112359552</v>
      </c>
      <c r="Z187" s="8" t="str">
        <f t="array" ref="Z187">IF(Y187&gt;5,"Perlu Sensus",IF(AND(Y187&gt;0,,O187&gt;0),"Tetap Deteksi","Belum Deteksi"))</f>
        <v>Belum Deteksi</v>
      </c>
      <c r="AA187" s="203">
        <f t="array" ref="AA187">INDEX('[20]LS (Deteksi) Agustus'!AA$7:AA$303,MATCH(1,('[20]LS (Deteksi) Agustus'!$D$7:$D$303=$D187)*('[20]LS (Deteksi) Agustus'!$D$7:$D$303=$D187),0))</f>
        <v>0</v>
      </c>
      <c r="AB187" s="9">
        <f t="shared" si="25"/>
        <v>0</v>
      </c>
    </row>
    <row r="188" spans="1:28" outlineLevel="1" x14ac:dyDescent="0.15">
      <c r="A188" s="8" t="s">
        <v>13</v>
      </c>
      <c r="B188" s="8" t="s">
        <v>47</v>
      </c>
      <c r="C188" s="8" t="s">
        <v>173</v>
      </c>
      <c r="D188" s="8" t="s">
        <v>204</v>
      </c>
      <c r="E188" s="9">
        <v>24.72</v>
      </c>
      <c r="F188" s="8" t="s">
        <v>132</v>
      </c>
      <c r="G188" s="143">
        <v>3358</v>
      </c>
      <c r="H188" s="132">
        <f t="shared" si="26"/>
        <v>46248</v>
      </c>
      <c r="I188" s="140">
        <f t="shared" si="26"/>
        <v>132</v>
      </c>
      <c r="J188" s="9">
        <f t="shared" si="19"/>
        <v>3.9309112567004165</v>
      </c>
      <c r="K188" s="140">
        <f t="shared" si="20"/>
        <v>2</v>
      </c>
      <c r="L188" s="206">
        <f t="shared" si="21"/>
        <v>1.5151515151515151</v>
      </c>
      <c r="M188" s="8" t="str">
        <f t="array" ref="M188">IF(L188&gt;5,"Perlu Sensus",IF(AND(L188&gt;=0,I188&gt;0),"Tetap Deteksi","Belum Deteksi"))</f>
        <v>Tetap Deteksi</v>
      </c>
      <c r="N188" s="132">
        <v>46248</v>
      </c>
      <c r="O188" s="203">
        <v>132</v>
      </c>
      <c r="P188" s="9">
        <f t="array" ref="P188">IFERROR(O188/G188*100,0)</f>
        <v>3.9309112567004165</v>
      </c>
      <c r="Q188" s="203">
        <v>2</v>
      </c>
      <c r="R188" s="9">
        <f t="shared" si="22"/>
        <v>1.5151515151515151</v>
      </c>
      <c r="S188" s="8" t="str">
        <f t="array" ref="S188">IF(R188&gt;5,"Perlu Sensus",IF(AND(R188&gt;=0,O188&gt;0),"Tetap Deteksi","Belum Deteksi"))</f>
        <v>Tetap Deteksi</v>
      </c>
      <c r="T188" s="203">
        <f t="array" ref="T188">INDEX('[20]LS (Deteksi) Agustus'!T$7:T$303,MATCH(1,('[20]LS (Deteksi) Agustus'!$D$7:$D$303=$D188)*('[20]LS (Deteksi) Agustus'!$D$7:$D$303=$D188),0))</f>
        <v>0</v>
      </c>
      <c r="U188" s="9">
        <f t="shared" si="23"/>
        <v>0</v>
      </c>
      <c r="V188" s="132">
        <v>46249</v>
      </c>
      <c r="W188" s="203">
        <v>90</v>
      </c>
      <c r="X188" s="203">
        <v>1</v>
      </c>
      <c r="Y188" s="9">
        <f t="shared" si="24"/>
        <v>1.1111111111111112</v>
      </c>
      <c r="Z188" s="8" t="str">
        <f t="array" ref="Z188">IF(Y188&gt;5,"Perlu Sensus",IF(AND(Y188&gt;0,,O188&gt;0),"Tetap Deteksi","Belum Deteksi"))</f>
        <v>Belum Deteksi</v>
      </c>
      <c r="AA188" s="203">
        <f t="array" ref="AA188">INDEX('[20]LS (Deteksi) Agustus'!AA$7:AA$303,MATCH(1,('[20]LS (Deteksi) Agustus'!$D$7:$D$303=$D188)*('[20]LS (Deteksi) Agustus'!$D$7:$D$303=$D188),0))</f>
        <v>0</v>
      </c>
      <c r="AB188" s="9">
        <f t="shared" si="25"/>
        <v>0</v>
      </c>
    </row>
    <row r="189" spans="1:28" outlineLevel="1" x14ac:dyDescent="0.15">
      <c r="A189" s="8" t="s">
        <v>13</v>
      </c>
      <c r="B189" s="8" t="s">
        <v>47</v>
      </c>
      <c r="C189" s="8" t="s">
        <v>173</v>
      </c>
      <c r="D189" s="8" t="s">
        <v>205</v>
      </c>
      <c r="E189" s="9">
        <v>27.52</v>
      </c>
      <c r="F189" s="8" t="s">
        <v>132</v>
      </c>
      <c r="G189" s="143">
        <v>4028</v>
      </c>
      <c r="H189" s="132">
        <f t="shared" si="26"/>
        <v>46248</v>
      </c>
      <c r="I189" s="140">
        <f t="shared" si="26"/>
        <v>123</v>
      </c>
      <c r="J189" s="9">
        <f t="shared" si="19"/>
        <v>3.0536246276067525</v>
      </c>
      <c r="K189" s="140">
        <f t="shared" si="20"/>
        <v>4</v>
      </c>
      <c r="L189" s="206">
        <f t="shared" si="21"/>
        <v>3.2520325203252036</v>
      </c>
      <c r="M189" s="8" t="str">
        <f t="array" ref="M189">IF(L189&gt;5,"Perlu Sensus",IF(AND(L189&gt;=0,I189&gt;0),"Tetap Deteksi","Belum Deteksi"))</f>
        <v>Tetap Deteksi</v>
      </c>
      <c r="N189" s="132">
        <v>46248</v>
      </c>
      <c r="O189" s="203">
        <v>123</v>
      </c>
      <c r="P189" s="9">
        <f t="array" ref="P189">IFERROR(O189/G189*100,0)</f>
        <v>3.0536246276067525</v>
      </c>
      <c r="Q189" s="203">
        <v>4</v>
      </c>
      <c r="R189" s="9">
        <f t="shared" si="22"/>
        <v>3.2520325203252036</v>
      </c>
      <c r="S189" s="8" t="str">
        <f t="array" ref="S189">IF(R189&gt;5,"Perlu Sensus",IF(AND(R189&gt;=0,O189&gt;0),"Tetap Deteksi","Belum Deteksi"))</f>
        <v>Tetap Deteksi</v>
      </c>
      <c r="T189" s="203">
        <f t="array" ref="T189">INDEX('[20]LS (Deteksi) Agustus'!T$7:T$303,MATCH(1,('[20]LS (Deteksi) Agustus'!$D$7:$D$303=$D189)*('[20]LS (Deteksi) Agustus'!$D$7:$D$303=$D189),0))</f>
        <v>0</v>
      </c>
      <c r="U189" s="9">
        <f t="shared" si="23"/>
        <v>0</v>
      </c>
      <c r="V189" s="132">
        <v>46249</v>
      </c>
      <c r="W189" s="203">
        <v>78</v>
      </c>
      <c r="X189" s="203">
        <v>2</v>
      </c>
      <c r="Y189" s="9">
        <f t="shared" si="24"/>
        <v>2.5641025641025639</v>
      </c>
      <c r="Z189" s="8" t="str">
        <f t="array" ref="Z189">IF(Y189&gt;5,"Perlu Sensus",IF(AND(Y189&gt;0,,O189&gt;0),"Tetap Deteksi","Belum Deteksi"))</f>
        <v>Belum Deteksi</v>
      </c>
      <c r="AA189" s="203">
        <f t="array" ref="AA189">INDEX('[20]LS (Deteksi) Agustus'!AA$7:AA$303,MATCH(1,('[20]LS (Deteksi) Agustus'!$D$7:$D$303=$D189)*('[20]LS (Deteksi) Agustus'!$D$7:$D$303=$D189),0))</f>
        <v>0</v>
      </c>
      <c r="AB189" s="9">
        <f t="shared" si="25"/>
        <v>0</v>
      </c>
    </row>
    <row r="190" spans="1:28" outlineLevel="1" x14ac:dyDescent="0.15">
      <c r="A190" s="8" t="s">
        <v>13</v>
      </c>
      <c r="B190" s="8" t="s">
        <v>47</v>
      </c>
      <c r="C190" s="8" t="s">
        <v>173</v>
      </c>
      <c r="D190" s="8" t="s">
        <v>206</v>
      </c>
      <c r="E190" s="9">
        <v>44</v>
      </c>
      <c r="F190" s="8" t="s">
        <v>132</v>
      </c>
      <c r="G190" s="143">
        <v>5420</v>
      </c>
      <c r="H190" s="132">
        <f t="shared" si="26"/>
        <v>46241</v>
      </c>
      <c r="I190" s="140">
        <f t="shared" si="26"/>
        <v>125</v>
      </c>
      <c r="J190" s="9">
        <f t="shared" si="19"/>
        <v>2.3062730627306274</v>
      </c>
      <c r="K190" s="140">
        <f t="shared" si="20"/>
        <v>12</v>
      </c>
      <c r="L190" s="206">
        <f t="shared" si="21"/>
        <v>9.6</v>
      </c>
      <c r="M190" s="8" t="str">
        <f t="array" ref="M190">IF(L190&gt;5,"Perlu Sensus",IF(AND(L190&gt;=0,I190&gt;0),"Tetap Deteksi","Belum Deteksi"))</f>
        <v>Perlu Sensus</v>
      </c>
      <c r="N190" s="132">
        <v>46241</v>
      </c>
      <c r="O190" s="203">
        <v>125</v>
      </c>
      <c r="P190" s="9">
        <f t="array" ref="P190">IFERROR(O190/G190*100,0)</f>
        <v>2.3062730627306274</v>
      </c>
      <c r="Q190" s="203">
        <v>12</v>
      </c>
      <c r="R190" s="9">
        <f t="shared" si="22"/>
        <v>9.6</v>
      </c>
      <c r="S190" s="8" t="str">
        <f t="array" ref="S190">IF(R190&gt;5,"Perlu Sensus",IF(AND(R190&gt;=0,O190&gt;0),"Tetap Deteksi","Belum Deteksi"))</f>
        <v>Perlu Sensus</v>
      </c>
      <c r="T190" s="203">
        <f t="array" ref="T190">INDEX('[20]LS (Deteksi) Agustus'!T$7:T$303,MATCH(1,('[20]LS (Deteksi) Agustus'!$D$7:$D$303=$D190)*('[20]LS (Deteksi) Agustus'!$D$7:$D$303=$D190),0))</f>
        <v>0</v>
      </c>
      <c r="U190" s="9">
        <f t="shared" si="23"/>
        <v>0</v>
      </c>
      <c r="V190" s="132">
        <v>46242</v>
      </c>
      <c r="W190" s="203">
        <v>207</v>
      </c>
      <c r="X190" s="203">
        <v>12</v>
      </c>
      <c r="Y190" s="9">
        <f t="shared" si="24"/>
        <v>5.7971014492753623</v>
      </c>
      <c r="Z190" s="8" t="str">
        <f t="array" ref="Z190">IF(Y190&gt;5,"Perlu Sensus",IF(AND(Y190&gt;0,,O190&gt;0),"Tetap Deteksi","Belum Deteksi"))</f>
        <v>Perlu Sensus</v>
      </c>
      <c r="AA190" s="203">
        <f t="array" ref="AA190">INDEX('[20]LS (Deteksi) Agustus'!AA$7:AA$303,MATCH(1,('[20]LS (Deteksi) Agustus'!$D$7:$D$303=$D190)*('[20]LS (Deteksi) Agustus'!$D$7:$D$303=$D190),0))</f>
        <v>0</v>
      </c>
      <c r="AB190" s="9">
        <f t="shared" si="25"/>
        <v>0</v>
      </c>
    </row>
    <row r="191" spans="1:28" outlineLevel="1" x14ac:dyDescent="0.15">
      <c r="A191" s="8" t="s">
        <v>13</v>
      </c>
      <c r="B191" s="8" t="s">
        <v>47</v>
      </c>
      <c r="C191" s="8" t="s">
        <v>173</v>
      </c>
      <c r="D191" s="8" t="s">
        <v>207</v>
      </c>
      <c r="E191" s="9">
        <v>23.93</v>
      </c>
      <c r="F191" s="8" t="s">
        <v>132</v>
      </c>
      <c r="G191" s="143">
        <v>3141</v>
      </c>
      <c r="H191" s="132">
        <f t="shared" si="26"/>
        <v>46241</v>
      </c>
      <c r="I191" s="140">
        <f t="shared" si="26"/>
        <v>112</v>
      </c>
      <c r="J191" s="9">
        <f t="shared" si="19"/>
        <v>3.5657433938236229</v>
      </c>
      <c r="K191" s="140">
        <f t="shared" si="20"/>
        <v>8</v>
      </c>
      <c r="L191" s="206">
        <f t="shared" si="21"/>
        <v>7.1428571428571423</v>
      </c>
      <c r="M191" s="8" t="str">
        <f t="array" ref="M191">IF(L191&gt;5,"Perlu Sensus",IF(AND(L191&gt;=0,I191&gt;0),"Tetap Deteksi","Belum Deteksi"))</f>
        <v>Perlu Sensus</v>
      </c>
      <c r="N191" s="132">
        <v>46241</v>
      </c>
      <c r="O191" s="203">
        <v>112</v>
      </c>
      <c r="P191" s="9">
        <f t="array" ref="P191">IFERROR(O191/G191*100,0)</f>
        <v>3.5657433938236229</v>
      </c>
      <c r="Q191" s="203">
        <v>8</v>
      </c>
      <c r="R191" s="9">
        <f t="shared" si="22"/>
        <v>7.1428571428571423</v>
      </c>
      <c r="S191" s="8" t="str">
        <f t="array" ref="S191">IF(R191&gt;5,"Perlu Sensus",IF(AND(R191&gt;=0,O191&gt;0),"Tetap Deteksi","Belum Deteksi"))</f>
        <v>Perlu Sensus</v>
      </c>
      <c r="T191" s="203">
        <f t="array" ref="T191">INDEX('[20]LS (Deteksi) Agustus'!T$7:T$303,MATCH(1,('[20]LS (Deteksi) Agustus'!$D$7:$D$303=$D191)*('[20]LS (Deteksi) Agustus'!$D$7:$D$303=$D191),0))</f>
        <v>0</v>
      </c>
      <c r="U191" s="9">
        <f t="shared" si="23"/>
        <v>0</v>
      </c>
      <c r="V191" s="132">
        <v>46242</v>
      </c>
      <c r="W191" s="203">
        <v>205</v>
      </c>
      <c r="X191" s="203">
        <v>13</v>
      </c>
      <c r="Y191" s="9">
        <f t="shared" si="24"/>
        <v>6.3414634146341466</v>
      </c>
      <c r="Z191" s="8" t="str">
        <f t="array" ref="Z191">IF(Y191&gt;5,"Perlu Sensus",IF(AND(Y191&gt;0,,O191&gt;0),"Tetap Deteksi","Belum Deteksi"))</f>
        <v>Perlu Sensus</v>
      </c>
      <c r="AA191" s="203">
        <f t="array" ref="AA191">INDEX('[20]LS (Deteksi) Agustus'!AA$7:AA$303,MATCH(1,('[20]LS (Deteksi) Agustus'!$D$7:$D$303=$D191)*('[20]LS (Deteksi) Agustus'!$D$7:$D$303=$D191),0))</f>
        <v>0</v>
      </c>
      <c r="AB191" s="9">
        <f t="shared" si="25"/>
        <v>0</v>
      </c>
    </row>
    <row r="192" spans="1:28" outlineLevel="1" x14ac:dyDescent="0.15">
      <c r="A192" s="8" t="s">
        <v>13</v>
      </c>
      <c r="B192" s="8" t="s">
        <v>47</v>
      </c>
      <c r="C192" s="8" t="s">
        <v>173</v>
      </c>
      <c r="D192" s="8" t="s">
        <v>208</v>
      </c>
      <c r="E192" s="9">
        <v>26.81</v>
      </c>
      <c r="F192" s="8" t="s">
        <v>132</v>
      </c>
      <c r="G192" s="143">
        <v>3697</v>
      </c>
      <c r="H192" s="132">
        <f t="shared" si="26"/>
        <v>46240</v>
      </c>
      <c r="I192" s="140">
        <f t="shared" si="26"/>
        <v>113</v>
      </c>
      <c r="J192" s="9">
        <f t="shared" si="19"/>
        <v>3.0565323235055448</v>
      </c>
      <c r="K192" s="140">
        <f t="shared" si="20"/>
        <v>4</v>
      </c>
      <c r="L192" s="206">
        <f t="shared" si="21"/>
        <v>3.5398230088495577</v>
      </c>
      <c r="M192" s="8" t="str">
        <f t="array" ref="M192">IF(L192&gt;5,"Perlu Sensus",IF(AND(L192&gt;=0,I192&gt;0),"Tetap Deteksi","Belum Deteksi"))</f>
        <v>Tetap Deteksi</v>
      </c>
      <c r="N192" s="132">
        <v>46240</v>
      </c>
      <c r="O192" s="203">
        <v>113</v>
      </c>
      <c r="P192" s="9">
        <f t="array" ref="P192">IFERROR(O192/G192*100,0)</f>
        <v>3.0565323235055448</v>
      </c>
      <c r="Q192" s="203">
        <v>4</v>
      </c>
      <c r="R192" s="9">
        <f t="shared" si="22"/>
        <v>3.5398230088495577</v>
      </c>
      <c r="S192" s="8" t="str">
        <f t="array" ref="S192">IF(R192&gt;5,"Perlu Sensus",IF(AND(R192&gt;=0,O192&gt;0),"Tetap Deteksi","Belum Deteksi"))</f>
        <v>Tetap Deteksi</v>
      </c>
      <c r="T192" s="203">
        <f t="array" ref="T192">INDEX('[20]LS (Deteksi) Agustus'!T$7:T$303,MATCH(1,('[20]LS (Deteksi) Agustus'!$D$7:$D$303=$D192)*('[20]LS (Deteksi) Agustus'!$D$7:$D$303=$D192),0))</f>
        <v>0</v>
      </c>
      <c r="U192" s="9">
        <f t="shared" si="23"/>
        <v>0</v>
      </c>
      <c r="V192" s="132">
        <v>46241</v>
      </c>
      <c r="W192" s="203">
        <v>202</v>
      </c>
      <c r="X192" s="203">
        <v>18</v>
      </c>
      <c r="Y192" s="9">
        <f t="shared" si="24"/>
        <v>8.9108910891089099</v>
      </c>
      <c r="Z192" s="8" t="str">
        <f t="array" ref="Z192">IF(Y192&gt;5,"Perlu Sensus",IF(AND(Y192&gt;0,,O192&gt;0),"Tetap Deteksi","Belum Deteksi"))</f>
        <v>Perlu Sensus</v>
      </c>
      <c r="AA192" s="203">
        <f t="array" ref="AA192">INDEX('[20]LS (Deteksi) Agustus'!AA$7:AA$303,MATCH(1,('[20]LS (Deteksi) Agustus'!$D$7:$D$303=$D192)*('[20]LS (Deteksi) Agustus'!$D$7:$D$303=$D192),0))</f>
        <v>0</v>
      </c>
      <c r="AB192" s="9">
        <f t="shared" si="25"/>
        <v>0</v>
      </c>
    </row>
    <row r="193" spans="1:28" outlineLevel="1" x14ac:dyDescent="0.15">
      <c r="A193" s="8" t="s">
        <v>13</v>
      </c>
      <c r="B193" s="8" t="s">
        <v>47</v>
      </c>
      <c r="C193" s="8" t="s">
        <v>173</v>
      </c>
      <c r="D193" s="8" t="s">
        <v>209</v>
      </c>
      <c r="E193" s="9">
        <v>24.99</v>
      </c>
      <c r="F193" s="8" t="s">
        <v>132</v>
      </c>
      <c r="G193" s="143">
        <v>3489</v>
      </c>
      <c r="H193" s="132">
        <f t="shared" si="26"/>
        <v>46240</v>
      </c>
      <c r="I193" s="140">
        <f t="shared" si="26"/>
        <v>115</v>
      </c>
      <c r="J193" s="9">
        <f t="shared" si="19"/>
        <v>3.2960733734594441</v>
      </c>
      <c r="K193" s="140">
        <f t="shared" si="20"/>
        <v>5</v>
      </c>
      <c r="L193" s="206">
        <f t="shared" si="21"/>
        <v>4.3478260869565215</v>
      </c>
      <c r="M193" s="8" t="str">
        <f t="array" ref="M193">IF(L193&gt;5,"Perlu Sensus",IF(AND(L193&gt;=0,I193&gt;0),"Tetap Deteksi","Belum Deteksi"))</f>
        <v>Tetap Deteksi</v>
      </c>
      <c r="N193" s="132">
        <v>46240</v>
      </c>
      <c r="O193" s="203">
        <v>115</v>
      </c>
      <c r="P193" s="9">
        <f t="array" ref="P193">IFERROR(O193/G193*100,0)</f>
        <v>3.2960733734594441</v>
      </c>
      <c r="Q193" s="203">
        <v>5</v>
      </c>
      <c r="R193" s="9">
        <f t="shared" si="22"/>
        <v>4.3478260869565215</v>
      </c>
      <c r="S193" s="8" t="str">
        <f t="array" ref="S193">IF(R193&gt;5,"Perlu Sensus",IF(AND(R193&gt;=0,O193&gt;0),"Tetap Deteksi","Belum Deteksi"))</f>
        <v>Tetap Deteksi</v>
      </c>
      <c r="T193" s="203">
        <f t="array" ref="T193">INDEX('[20]LS (Deteksi) Agustus'!T$7:T$303,MATCH(1,('[20]LS (Deteksi) Agustus'!$D$7:$D$303=$D193)*('[20]LS (Deteksi) Agustus'!$D$7:$D$303=$D193),0))</f>
        <v>0</v>
      </c>
      <c r="U193" s="9">
        <f t="shared" si="23"/>
        <v>0</v>
      </c>
      <c r="V193" s="132">
        <v>46241</v>
      </c>
      <c r="W193" s="203">
        <v>215</v>
      </c>
      <c r="X193" s="203">
        <v>12</v>
      </c>
      <c r="Y193" s="9">
        <f t="shared" si="24"/>
        <v>5.5813953488372094</v>
      </c>
      <c r="Z193" s="8" t="str">
        <f t="array" ref="Z193">IF(Y193&gt;5,"Perlu Sensus",IF(AND(Y193&gt;0,,O193&gt;0),"Tetap Deteksi","Belum Deteksi"))</f>
        <v>Perlu Sensus</v>
      </c>
      <c r="AA193" s="203">
        <f t="array" ref="AA193">INDEX('[20]LS (Deteksi) Agustus'!AA$7:AA$303,MATCH(1,('[20]LS (Deteksi) Agustus'!$D$7:$D$303=$D193)*('[20]LS (Deteksi) Agustus'!$D$7:$D$303=$D193),0))</f>
        <v>0</v>
      </c>
      <c r="AB193" s="9">
        <f t="shared" si="25"/>
        <v>0</v>
      </c>
    </row>
    <row r="194" spans="1:28" outlineLevel="1" x14ac:dyDescent="0.15">
      <c r="A194" s="8" t="s">
        <v>13</v>
      </c>
      <c r="B194" s="8" t="s">
        <v>47</v>
      </c>
      <c r="C194" s="8" t="s">
        <v>173</v>
      </c>
      <c r="D194" s="8" t="s">
        <v>210</v>
      </c>
      <c r="E194" s="9">
        <v>25.39</v>
      </c>
      <c r="F194" s="8" t="s">
        <v>132</v>
      </c>
      <c r="G194" s="143">
        <v>3408</v>
      </c>
      <c r="H194" s="132">
        <f t="shared" si="26"/>
        <v>46235</v>
      </c>
      <c r="I194" s="140">
        <f t="shared" si="26"/>
        <v>116</v>
      </c>
      <c r="J194" s="9">
        <f t="shared" si="19"/>
        <v>3.403755868544601</v>
      </c>
      <c r="K194" s="140">
        <f t="shared" si="20"/>
        <v>9</v>
      </c>
      <c r="L194" s="206">
        <f t="shared" si="21"/>
        <v>7.7586206896551726</v>
      </c>
      <c r="M194" s="8" t="str">
        <f t="array" ref="M194">IF(L194&gt;5,"Perlu Sensus",IF(AND(L194&gt;=0,I194&gt;0),"Tetap Deteksi","Belum Deteksi"))</f>
        <v>Perlu Sensus</v>
      </c>
      <c r="N194" s="132">
        <v>46235</v>
      </c>
      <c r="O194" s="203">
        <v>116</v>
      </c>
      <c r="P194" s="9">
        <f t="array" ref="P194">IFERROR(O194/G194*100,0)</f>
        <v>3.403755868544601</v>
      </c>
      <c r="Q194" s="203">
        <v>9</v>
      </c>
      <c r="R194" s="9">
        <f t="shared" si="22"/>
        <v>7.7586206896551726</v>
      </c>
      <c r="S194" s="8" t="str">
        <f t="array" ref="S194">IF(R194&gt;5,"Perlu Sensus",IF(AND(R194&gt;=0,O194&gt;0),"Tetap Deteksi","Belum Deteksi"))</f>
        <v>Perlu Sensus</v>
      </c>
      <c r="T194" s="203">
        <f t="array" ref="T194">INDEX('[20]LS (Deteksi) Agustus'!T$7:T$303,MATCH(1,('[20]LS (Deteksi) Agustus'!$D$7:$D$303=$D194)*('[20]LS (Deteksi) Agustus'!$D$7:$D$303=$D194),0))</f>
        <v>0</v>
      </c>
      <c r="U194" s="9">
        <f t="shared" si="23"/>
        <v>0</v>
      </c>
      <c r="V194" s="132">
        <v>46236</v>
      </c>
      <c r="W194" s="203">
        <v>185</v>
      </c>
      <c r="X194" s="203">
        <v>9</v>
      </c>
      <c r="Y194" s="9">
        <f t="shared" si="24"/>
        <v>4.8648648648648649</v>
      </c>
      <c r="Z194" s="8" t="str">
        <f t="array" ref="Z194">IF(Y194&gt;5,"Perlu Sensus",IF(AND(Y194&gt;0,,O194&gt;0),"Tetap Deteksi","Belum Deteksi"))</f>
        <v>Belum Deteksi</v>
      </c>
      <c r="AA194" s="203">
        <f t="array" ref="AA194">INDEX('[20]LS (Deteksi) Agustus'!AA$7:AA$303,MATCH(1,('[20]LS (Deteksi) Agustus'!$D$7:$D$303=$D194)*('[20]LS (Deteksi) Agustus'!$D$7:$D$303=$D194),0))</f>
        <v>0</v>
      </c>
      <c r="AB194" s="9">
        <f t="shared" si="25"/>
        <v>0</v>
      </c>
    </row>
    <row r="195" spans="1:28" outlineLevel="1" x14ac:dyDescent="0.15">
      <c r="A195" s="8" t="s">
        <v>13</v>
      </c>
      <c r="B195" s="8" t="s">
        <v>47</v>
      </c>
      <c r="C195" s="8" t="s">
        <v>173</v>
      </c>
      <c r="D195" s="8" t="s">
        <v>211</v>
      </c>
      <c r="E195" s="9">
        <v>25.9</v>
      </c>
      <c r="F195" s="8" t="s">
        <v>132</v>
      </c>
      <c r="G195" s="143">
        <v>3637</v>
      </c>
      <c r="H195" s="132">
        <f t="shared" si="26"/>
        <v>46235</v>
      </c>
      <c r="I195" s="140">
        <f t="shared" si="26"/>
        <v>112</v>
      </c>
      <c r="J195" s="9">
        <f t="shared" si="19"/>
        <v>3.0794610943084959</v>
      </c>
      <c r="K195" s="140">
        <f t="shared" si="20"/>
        <v>4</v>
      </c>
      <c r="L195" s="206">
        <f t="shared" si="21"/>
        <v>3.5714285714285712</v>
      </c>
      <c r="M195" s="8" t="str">
        <f t="array" ref="M195">IF(L195&gt;5,"Perlu Sensus",IF(AND(L195&gt;=0,I195&gt;0),"Tetap Deteksi","Belum Deteksi"))</f>
        <v>Tetap Deteksi</v>
      </c>
      <c r="N195" s="132">
        <v>46235</v>
      </c>
      <c r="O195" s="203">
        <v>112</v>
      </c>
      <c r="P195" s="9">
        <f t="array" ref="P195">IFERROR(O195/G195*100,0)</f>
        <v>3.0794610943084959</v>
      </c>
      <c r="Q195" s="203">
        <v>4</v>
      </c>
      <c r="R195" s="9">
        <f t="shared" si="22"/>
        <v>3.5714285714285712</v>
      </c>
      <c r="S195" s="8" t="str">
        <f t="array" ref="S195">IF(R195&gt;5,"Perlu Sensus",IF(AND(R195&gt;=0,O195&gt;0),"Tetap Deteksi","Belum Deteksi"))</f>
        <v>Tetap Deteksi</v>
      </c>
      <c r="T195" s="203">
        <f t="array" ref="T195">INDEX('[20]LS (Deteksi) Agustus'!T$7:T$303,MATCH(1,('[20]LS (Deteksi) Agustus'!$D$7:$D$303=$D195)*('[20]LS (Deteksi) Agustus'!$D$7:$D$303=$D195),0))</f>
        <v>0</v>
      </c>
      <c r="U195" s="9">
        <f t="shared" si="23"/>
        <v>0</v>
      </c>
      <c r="V195" s="132">
        <v>46236</v>
      </c>
      <c r="W195" s="203">
        <v>178</v>
      </c>
      <c r="X195" s="203">
        <v>11</v>
      </c>
      <c r="Y195" s="9">
        <f t="shared" si="24"/>
        <v>6.179775280898876</v>
      </c>
      <c r="Z195" s="8" t="str">
        <f t="array" ref="Z195">IF(Y195&gt;5,"Perlu Sensus",IF(AND(Y195&gt;0,,O195&gt;0),"Tetap Deteksi","Belum Deteksi"))</f>
        <v>Perlu Sensus</v>
      </c>
      <c r="AA195" s="203">
        <f t="array" ref="AA195">INDEX('[20]LS (Deteksi) Agustus'!AA$7:AA$303,MATCH(1,('[20]LS (Deteksi) Agustus'!$D$7:$D$303=$D195)*('[20]LS (Deteksi) Agustus'!$D$7:$D$303=$D195),0))</f>
        <v>0</v>
      </c>
      <c r="AB195" s="9">
        <f t="shared" si="25"/>
        <v>0</v>
      </c>
    </row>
    <row r="196" spans="1:28" outlineLevel="1" x14ac:dyDescent="0.15">
      <c r="A196" s="8" t="s">
        <v>13</v>
      </c>
      <c r="B196" s="8" t="s">
        <v>47</v>
      </c>
      <c r="C196" s="8" t="s">
        <v>173</v>
      </c>
      <c r="D196" s="8" t="s">
        <v>212</v>
      </c>
      <c r="E196" s="9">
        <v>27.96</v>
      </c>
      <c r="F196" s="8" t="s">
        <v>132</v>
      </c>
      <c r="G196" s="143">
        <v>3951</v>
      </c>
      <c r="H196" s="132">
        <f t="shared" si="26"/>
        <v>46235</v>
      </c>
      <c r="I196" s="140">
        <f t="shared" si="26"/>
        <v>113</v>
      </c>
      <c r="J196" s="9">
        <f t="shared" si="19"/>
        <v>2.8600354340673246</v>
      </c>
      <c r="K196" s="140">
        <f t="shared" si="20"/>
        <v>8</v>
      </c>
      <c r="L196" s="206">
        <f t="shared" si="21"/>
        <v>7.0796460176991154</v>
      </c>
      <c r="M196" s="8" t="str">
        <f t="array" ref="M196">IF(L196&gt;5,"Perlu Sensus",IF(AND(L196&gt;=0,I196&gt;0),"Tetap Deteksi","Belum Deteksi"))</f>
        <v>Perlu Sensus</v>
      </c>
      <c r="N196" s="132">
        <v>46235</v>
      </c>
      <c r="O196" s="203">
        <v>113</v>
      </c>
      <c r="P196" s="9">
        <f t="array" ref="P196">IFERROR(O196/G196*100,0)</f>
        <v>2.8600354340673246</v>
      </c>
      <c r="Q196" s="203">
        <v>8</v>
      </c>
      <c r="R196" s="9">
        <f t="shared" si="22"/>
        <v>7.0796460176991154</v>
      </c>
      <c r="S196" s="8" t="str">
        <f t="array" ref="S196">IF(R196&gt;5,"Perlu Sensus",IF(AND(R196&gt;=0,O196&gt;0),"Tetap Deteksi","Belum Deteksi"))</f>
        <v>Perlu Sensus</v>
      </c>
      <c r="T196" s="203">
        <f t="array" ref="T196">INDEX('[20]LS (Deteksi) Agustus'!T$7:T$303,MATCH(1,('[20]LS (Deteksi) Agustus'!$D$7:$D$303=$D196)*('[20]LS (Deteksi) Agustus'!$D$7:$D$303=$D196),0))</f>
        <v>0</v>
      </c>
      <c r="U196" s="9">
        <f t="shared" si="23"/>
        <v>0</v>
      </c>
      <c r="V196" s="132">
        <v>46236</v>
      </c>
      <c r="W196" s="203">
        <v>192</v>
      </c>
      <c r="X196" s="203">
        <v>13</v>
      </c>
      <c r="Y196" s="9">
        <f t="shared" si="24"/>
        <v>6.770833333333333</v>
      </c>
      <c r="Z196" s="8" t="str">
        <f t="array" ref="Z196">IF(Y196&gt;5,"Perlu Sensus",IF(AND(Y196&gt;0,,O196&gt;0),"Tetap Deteksi","Belum Deteksi"))</f>
        <v>Perlu Sensus</v>
      </c>
      <c r="AA196" s="203">
        <f t="array" ref="AA196">INDEX('[20]LS (Deteksi) Agustus'!AA$7:AA$303,MATCH(1,('[20]LS (Deteksi) Agustus'!$D$7:$D$303=$D196)*('[20]LS (Deteksi) Agustus'!$D$7:$D$303=$D196),0))</f>
        <v>0</v>
      </c>
      <c r="AB196" s="9">
        <f t="shared" si="25"/>
        <v>0</v>
      </c>
    </row>
    <row r="197" spans="1:28" outlineLevel="1" x14ac:dyDescent="0.15">
      <c r="A197" s="8" t="s">
        <v>13</v>
      </c>
      <c r="B197" s="8" t="s">
        <v>47</v>
      </c>
      <c r="C197" s="8" t="s">
        <v>173</v>
      </c>
      <c r="D197" s="8" t="s">
        <v>213</v>
      </c>
      <c r="E197" s="9">
        <v>39.47</v>
      </c>
      <c r="F197" s="8" t="s">
        <v>132</v>
      </c>
      <c r="G197" s="143">
        <v>5904</v>
      </c>
      <c r="H197" s="132">
        <f t="shared" si="26"/>
        <v>46237</v>
      </c>
      <c r="I197" s="140">
        <f t="shared" si="26"/>
        <v>55</v>
      </c>
      <c r="J197" s="9">
        <f t="shared" si="19"/>
        <v>0.93157181571815717</v>
      </c>
      <c r="K197" s="140">
        <f t="shared" si="20"/>
        <v>4</v>
      </c>
      <c r="L197" s="206">
        <f t="shared" si="21"/>
        <v>7.2727272727272725</v>
      </c>
      <c r="M197" s="8" t="str">
        <f t="array" ref="M197">IF(L197&gt;5,"Perlu Sensus",IF(AND(L197&gt;=0,I197&gt;0),"Tetap Deteksi","Belum Deteksi"))</f>
        <v>Perlu Sensus</v>
      </c>
      <c r="N197" s="132">
        <v>46237</v>
      </c>
      <c r="O197" s="203">
        <v>55</v>
      </c>
      <c r="P197" s="9">
        <f t="array" ref="P197">IFERROR(O197/G197*100,0)</f>
        <v>0.93157181571815717</v>
      </c>
      <c r="Q197" s="203">
        <v>4</v>
      </c>
      <c r="R197" s="9">
        <f t="shared" si="22"/>
        <v>7.2727272727272725</v>
      </c>
      <c r="S197" s="8" t="str">
        <f t="array" ref="S197">IF(R197&gt;5,"Perlu Sensus",IF(AND(R197&gt;=0,O197&gt;0),"Tetap Deteksi","Belum Deteksi"))</f>
        <v>Perlu Sensus</v>
      </c>
      <c r="T197" s="203">
        <f t="array" ref="T197">INDEX('[20]LS (Deteksi) Agustus'!T$7:T$303,MATCH(1,('[20]LS (Deteksi) Agustus'!$D$7:$D$303=$D197)*('[20]LS (Deteksi) Agustus'!$D$7:$D$303=$D197),0))</f>
        <v>0</v>
      </c>
      <c r="U197" s="9">
        <f t="shared" si="23"/>
        <v>0</v>
      </c>
      <c r="V197" s="132">
        <v>46238</v>
      </c>
      <c r="W197" s="203">
        <v>205</v>
      </c>
      <c r="X197" s="203">
        <v>12</v>
      </c>
      <c r="Y197" s="9">
        <f t="shared" si="24"/>
        <v>5.8536585365853666</v>
      </c>
      <c r="Z197" s="8" t="str">
        <f t="array" ref="Z197">IF(Y197&gt;5,"Perlu Sensus",IF(AND(Y197&gt;0,,O197&gt;0),"Tetap Deteksi","Belum Deteksi"))</f>
        <v>Perlu Sensus</v>
      </c>
      <c r="AA197" s="203">
        <f t="array" ref="AA197">INDEX('[20]LS (Deteksi) Agustus'!AA$7:AA$303,MATCH(1,('[20]LS (Deteksi) Agustus'!$D$7:$D$303=$D197)*('[20]LS (Deteksi) Agustus'!$D$7:$D$303=$D197),0))</f>
        <v>0</v>
      </c>
      <c r="AB197" s="9">
        <f t="shared" si="25"/>
        <v>0</v>
      </c>
    </row>
    <row r="198" spans="1:28" outlineLevel="1" x14ac:dyDescent="0.15">
      <c r="A198" s="8" t="s">
        <v>13</v>
      </c>
      <c r="B198" s="8" t="s">
        <v>47</v>
      </c>
      <c r="C198" s="8" t="s">
        <v>173</v>
      </c>
      <c r="D198" s="8" t="s">
        <v>214</v>
      </c>
      <c r="E198" s="9">
        <v>27.02</v>
      </c>
      <c r="F198" s="8" t="s">
        <v>132</v>
      </c>
      <c r="G198" s="143">
        <v>3909</v>
      </c>
      <c r="H198" s="132">
        <f t="shared" si="26"/>
        <v>46237</v>
      </c>
      <c r="I198" s="140">
        <f t="shared" si="26"/>
        <v>116</v>
      </c>
      <c r="J198" s="9">
        <f t="shared" ref="J198:J261" si="27">IF(P198&gt;0,P198," ")</f>
        <v>2.9675108723458683</v>
      </c>
      <c r="K198" s="140">
        <f t="shared" ref="K198:K261" si="28">IF(Q198&gt;0,Q198,X198)</f>
        <v>8</v>
      </c>
      <c r="L198" s="206">
        <f t="shared" ref="L198:L261" si="29">IFERROR(K198/I198*100,0)</f>
        <v>6.8965517241379306</v>
      </c>
      <c r="M198" s="8" t="str">
        <f t="array" ref="M198">IF(L198&gt;5,"Perlu Sensus",IF(AND(L198&gt;=0,I198&gt;0),"Tetap Deteksi","Belum Deteksi"))</f>
        <v>Perlu Sensus</v>
      </c>
      <c r="N198" s="132">
        <v>46237</v>
      </c>
      <c r="O198" s="203">
        <v>116</v>
      </c>
      <c r="P198" s="9">
        <f t="array" ref="P198">IFERROR(O198/G198*100,0)</f>
        <v>2.9675108723458683</v>
      </c>
      <c r="Q198" s="203">
        <v>8</v>
      </c>
      <c r="R198" s="9">
        <f t="shared" si="22"/>
        <v>6.8965517241379306</v>
      </c>
      <c r="S198" s="8" t="str">
        <f t="array" ref="S198">IF(R198&gt;5,"Perlu Sensus",IF(AND(R198&gt;=0,O198&gt;0),"Tetap Deteksi","Belum Deteksi"))</f>
        <v>Perlu Sensus</v>
      </c>
      <c r="T198" s="203">
        <f t="array" ref="T198">INDEX('[20]LS (Deteksi) Agustus'!T$7:T$303,MATCH(1,('[20]LS (Deteksi) Agustus'!$D$7:$D$303=$D198)*('[20]LS (Deteksi) Agustus'!$D$7:$D$303=$D198),0))</f>
        <v>0</v>
      </c>
      <c r="U198" s="9">
        <f t="shared" si="23"/>
        <v>0</v>
      </c>
      <c r="V198" s="132">
        <v>46238</v>
      </c>
      <c r="W198" s="203">
        <v>225</v>
      </c>
      <c r="X198" s="203">
        <v>18</v>
      </c>
      <c r="Y198" s="9">
        <f t="shared" si="24"/>
        <v>8</v>
      </c>
      <c r="Z198" s="8" t="str">
        <f t="array" ref="Z198">IF(Y198&gt;5,"Perlu Sensus",IF(AND(Y198&gt;0,,O198&gt;0),"Tetap Deteksi","Belum Deteksi"))</f>
        <v>Perlu Sensus</v>
      </c>
      <c r="AA198" s="203">
        <f t="array" ref="AA198">INDEX('[20]LS (Deteksi) Agustus'!AA$7:AA$303,MATCH(1,('[20]LS (Deteksi) Agustus'!$D$7:$D$303=$D198)*('[20]LS (Deteksi) Agustus'!$D$7:$D$303=$D198),0))</f>
        <v>0</v>
      </c>
      <c r="AB198" s="9">
        <f t="shared" si="25"/>
        <v>0</v>
      </c>
    </row>
    <row r="199" spans="1:28" outlineLevel="1" x14ac:dyDescent="0.15">
      <c r="A199" s="8" t="s">
        <v>13</v>
      </c>
      <c r="B199" s="8" t="s">
        <v>47</v>
      </c>
      <c r="C199" s="8" t="s">
        <v>173</v>
      </c>
      <c r="D199" s="8" t="s">
        <v>215</v>
      </c>
      <c r="E199" s="9">
        <v>25.83</v>
      </c>
      <c r="F199" s="8" t="s">
        <v>132</v>
      </c>
      <c r="G199" s="143">
        <v>3725</v>
      </c>
      <c r="H199" s="132">
        <f t="shared" si="26"/>
        <v>46237</v>
      </c>
      <c r="I199" s="140">
        <f t="shared" si="26"/>
        <v>118</v>
      </c>
      <c r="J199" s="9">
        <f t="shared" si="27"/>
        <v>3.1677852348993292</v>
      </c>
      <c r="K199" s="140">
        <f t="shared" si="28"/>
        <v>8</v>
      </c>
      <c r="L199" s="206">
        <f t="shared" si="29"/>
        <v>6.7796610169491522</v>
      </c>
      <c r="M199" s="8" t="str">
        <f t="array" ref="M199">IF(L199&gt;5,"Perlu Sensus",IF(AND(L199&gt;=0,I199&gt;0),"Tetap Deteksi","Belum Deteksi"))</f>
        <v>Perlu Sensus</v>
      </c>
      <c r="N199" s="132">
        <v>46237</v>
      </c>
      <c r="O199" s="203">
        <v>118</v>
      </c>
      <c r="P199" s="9">
        <f t="array" ref="P199">IFERROR(O199/G199*100,0)</f>
        <v>3.1677852348993292</v>
      </c>
      <c r="Q199" s="203">
        <v>8</v>
      </c>
      <c r="R199" s="9">
        <f t="shared" ref="R199:R262" si="30">IFERROR(Q199/O199*100,0)</f>
        <v>6.7796610169491522</v>
      </c>
      <c r="S199" s="8" t="str">
        <f t="array" ref="S199">IF(R199&gt;5,"Perlu Sensus",IF(AND(R199&gt;=0,O199&gt;0),"Tetap Deteksi","Belum Deteksi"))</f>
        <v>Perlu Sensus</v>
      </c>
      <c r="T199" s="203">
        <f t="array" ref="T199">INDEX('[20]LS (Deteksi) Agustus'!T$7:T$303,MATCH(1,('[20]LS (Deteksi) Agustus'!$D$7:$D$303=$D199)*('[20]LS (Deteksi) Agustus'!$D$7:$D$303=$D199),0))</f>
        <v>0</v>
      </c>
      <c r="U199" s="9">
        <f t="shared" ref="U199:U262" si="31">IFERROR(T199/O199*100,0)</f>
        <v>0</v>
      </c>
      <c r="V199" s="132">
        <v>46238</v>
      </c>
      <c r="W199" s="203">
        <v>230</v>
      </c>
      <c r="X199" s="203">
        <v>11</v>
      </c>
      <c r="Y199" s="9">
        <f t="shared" ref="Y199:Y262" si="32">IFERROR(X199/W199*100,0)</f>
        <v>4.7826086956521738</v>
      </c>
      <c r="Z199" s="8" t="str">
        <f t="array" ref="Z199">IF(Y199&gt;5,"Perlu Sensus",IF(AND(Y199&gt;0,,O199&gt;0),"Tetap Deteksi","Belum Deteksi"))</f>
        <v>Belum Deteksi</v>
      </c>
      <c r="AA199" s="203">
        <f t="array" ref="AA199">INDEX('[20]LS (Deteksi) Agustus'!AA$7:AA$303,MATCH(1,('[20]LS (Deteksi) Agustus'!$D$7:$D$303=$D199)*('[20]LS (Deteksi) Agustus'!$D$7:$D$303=$D199),0))</f>
        <v>0</v>
      </c>
      <c r="AB199" s="9">
        <f t="shared" ref="AB199:AB262" si="33">IFERROR(AA199/W199*100,0)</f>
        <v>0</v>
      </c>
    </row>
    <row r="200" spans="1:28" outlineLevel="1" x14ac:dyDescent="0.15">
      <c r="A200" s="8" t="s">
        <v>13</v>
      </c>
      <c r="B200" s="8" t="s">
        <v>47</v>
      </c>
      <c r="C200" s="8" t="s">
        <v>216</v>
      </c>
      <c r="D200" s="8" t="s">
        <v>217</v>
      </c>
      <c r="E200" s="9">
        <v>45.54</v>
      </c>
      <c r="F200" s="8" t="s">
        <v>132</v>
      </c>
      <c r="G200" s="143">
        <v>6802</v>
      </c>
      <c r="H200" s="132">
        <f t="shared" si="26"/>
        <v>46243</v>
      </c>
      <c r="I200" s="140">
        <f t="shared" si="26"/>
        <v>73</v>
      </c>
      <c r="J200" s="9">
        <f t="shared" si="27"/>
        <v>1.0732137606586298</v>
      </c>
      <c r="K200" s="140">
        <f t="shared" si="28"/>
        <v>2</v>
      </c>
      <c r="L200" s="206">
        <f t="shared" si="29"/>
        <v>2.7397260273972601</v>
      </c>
      <c r="M200" s="8" t="str">
        <f t="array" ref="M200">IF(L200&gt;5,"Perlu Sensus",IF(AND(L200&gt;=0,I200&gt;0),"Tetap Deteksi","Belum Deteksi"))</f>
        <v>Tetap Deteksi</v>
      </c>
      <c r="N200" s="132">
        <v>46243</v>
      </c>
      <c r="O200" s="203">
        <v>73</v>
      </c>
      <c r="P200" s="9">
        <f t="array" ref="P200">IFERROR(O200/G200*100,0)</f>
        <v>1.0732137606586298</v>
      </c>
      <c r="Q200" s="203">
        <v>2</v>
      </c>
      <c r="R200" s="9">
        <f t="shared" si="30"/>
        <v>2.7397260273972601</v>
      </c>
      <c r="S200" s="8" t="str">
        <f t="array" ref="S200">IF(R200&gt;5,"Perlu Sensus",IF(AND(R200&gt;=0,O200&gt;0),"Tetap Deteksi","Belum Deteksi"))</f>
        <v>Tetap Deteksi</v>
      </c>
      <c r="T200" s="203">
        <f t="array" ref="T200">INDEX('[20]LS (Deteksi) Agustus'!T$7:T$303,MATCH(1,('[20]LS (Deteksi) Agustus'!$D$7:$D$303=$D200)*('[20]LS (Deteksi) Agustus'!$D$7:$D$303=$D200),0))</f>
        <v>0</v>
      </c>
      <c r="U200" s="9">
        <f t="shared" si="31"/>
        <v>0</v>
      </c>
      <c r="V200" s="132">
        <v>46244</v>
      </c>
      <c r="W200" s="203">
        <v>257</v>
      </c>
      <c r="X200" s="203">
        <v>10</v>
      </c>
      <c r="Y200" s="9">
        <f t="shared" si="32"/>
        <v>3.8910505836575875</v>
      </c>
      <c r="Z200" s="8" t="str">
        <f t="array" ref="Z200">IF(Y200&gt;5,"Perlu Sensus",IF(AND(Y200&gt;0,,O200&gt;0),"Tetap Deteksi","Belum Deteksi"))</f>
        <v>Belum Deteksi</v>
      </c>
      <c r="AA200" s="203">
        <f t="array" ref="AA200">INDEX('[20]LS (Deteksi) Agustus'!AA$7:AA$303,MATCH(1,('[20]LS (Deteksi) Agustus'!$D$7:$D$303=$D200)*('[20]LS (Deteksi) Agustus'!$D$7:$D$303=$D200),0))</f>
        <v>0</v>
      </c>
      <c r="AB200" s="9">
        <f t="shared" si="33"/>
        <v>0</v>
      </c>
    </row>
    <row r="201" spans="1:28" outlineLevel="1" x14ac:dyDescent="0.15">
      <c r="A201" s="8" t="s">
        <v>13</v>
      </c>
      <c r="B201" s="8" t="s">
        <v>47</v>
      </c>
      <c r="C201" s="8" t="s">
        <v>216</v>
      </c>
      <c r="D201" s="8" t="s">
        <v>218</v>
      </c>
      <c r="E201" s="9">
        <v>24.28</v>
      </c>
      <c r="F201" s="8" t="s">
        <v>132</v>
      </c>
      <c r="G201" s="143">
        <v>3824</v>
      </c>
      <c r="H201" s="132">
        <f t="shared" si="26"/>
        <v>46243</v>
      </c>
      <c r="I201" s="140">
        <f t="shared" si="26"/>
        <v>52</v>
      </c>
      <c r="J201" s="9">
        <f t="shared" si="27"/>
        <v>1.3598326359832638</v>
      </c>
      <c r="K201" s="140">
        <f t="shared" si="28"/>
        <v>1</v>
      </c>
      <c r="L201" s="206">
        <f t="shared" si="29"/>
        <v>1.9230769230769231</v>
      </c>
      <c r="M201" s="8" t="str">
        <f t="array" ref="M201">IF(L201&gt;5,"Perlu Sensus",IF(AND(L201&gt;=0,I201&gt;0),"Tetap Deteksi","Belum Deteksi"))</f>
        <v>Tetap Deteksi</v>
      </c>
      <c r="N201" s="132">
        <v>46243</v>
      </c>
      <c r="O201" s="203">
        <v>52</v>
      </c>
      <c r="P201" s="9">
        <f t="array" ref="P201">IFERROR(O201/G201*100,0)</f>
        <v>1.3598326359832638</v>
      </c>
      <c r="Q201" s="203">
        <v>1</v>
      </c>
      <c r="R201" s="9">
        <f t="shared" si="30"/>
        <v>1.9230769230769231</v>
      </c>
      <c r="S201" s="8" t="str">
        <f t="array" ref="S201">IF(R201&gt;5,"Perlu Sensus",IF(AND(R201&gt;=0,O201&gt;0),"Tetap Deteksi","Belum Deteksi"))</f>
        <v>Tetap Deteksi</v>
      </c>
      <c r="T201" s="203">
        <f t="array" ref="T201">INDEX('[20]LS (Deteksi) Agustus'!T$7:T$303,MATCH(1,('[20]LS (Deteksi) Agustus'!$D$7:$D$303=$D201)*('[20]LS (Deteksi) Agustus'!$D$7:$D$303=$D201),0))</f>
        <v>0</v>
      </c>
      <c r="U201" s="9">
        <f t="shared" si="31"/>
        <v>0</v>
      </c>
      <c r="V201" s="132">
        <v>46244</v>
      </c>
      <c r="W201" s="203">
        <v>236</v>
      </c>
      <c r="X201" s="203">
        <v>7</v>
      </c>
      <c r="Y201" s="9">
        <f t="shared" si="32"/>
        <v>2.9661016949152543</v>
      </c>
      <c r="Z201" s="8" t="str">
        <f t="array" ref="Z201">IF(Y201&gt;5,"Perlu Sensus",IF(AND(Y201&gt;0,,O201&gt;0),"Tetap Deteksi","Belum Deteksi"))</f>
        <v>Belum Deteksi</v>
      </c>
      <c r="AA201" s="203">
        <f t="array" ref="AA201">INDEX('[20]LS (Deteksi) Agustus'!AA$7:AA$303,MATCH(1,('[20]LS (Deteksi) Agustus'!$D$7:$D$303=$D201)*('[20]LS (Deteksi) Agustus'!$D$7:$D$303=$D201),0))</f>
        <v>0</v>
      </c>
      <c r="AB201" s="9">
        <f t="shared" si="33"/>
        <v>0</v>
      </c>
    </row>
    <row r="202" spans="1:28" outlineLevel="1" x14ac:dyDescent="0.15">
      <c r="A202" s="8" t="s">
        <v>13</v>
      </c>
      <c r="B202" s="8" t="s">
        <v>47</v>
      </c>
      <c r="C202" s="8" t="s">
        <v>216</v>
      </c>
      <c r="D202" s="8" t="s">
        <v>219</v>
      </c>
      <c r="E202" s="9">
        <v>34.869999999999997</v>
      </c>
      <c r="F202" s="8" t="s">
        <v>132</v>
      </c>
      <c r="G202" s="143">
        <v>5139</v>
      </c>
      <c r="H202" s="132">
        <f t="shared" si="26"/>
        <v>46243</v>
      </c>
      <c r="I202" s="140">
        <f t="shared" si="26"/>
        <v>54</v>
      </c>
      <c r="J202" s="9">
        <f t="shared" si="27"/>
        <v>1.0507880910683012</v>
      </c>
      <c r="K202" s="140">
        <f t="shared" si="28"/>
        <v>3</v>
      </c>
      <c r="L202" s="206">
        <f t="shared" si="29"/>
        <v>5.5555555555555554</v>
      </c>
      <c r="M202" s="8" t="str">
        <f t="array" ref="M202">IF(L202&gt;5,"Perlu Sensus",IF(AND(L202&gt;=0,I202&gt;0),"Tetap Deteksi","Belum Deteksi"))</f>
        <v>Perlu Sensus</v>
      </c>
      <c r="N202" s="132">
        <v>46243</v>
      </c>
      <c r="O202" s="203">
        <v>54</v>
      </c>
      <c r="P202" s="9">
        <f t="array" ref="P202">IFERROR(O202/G202*100,0)</f>
        <v>1.0507880910683012</v>
      </c>
      <c r="Q202" s="203">
        <v>3</v>
      </c>
      <c r="R202" s="9">
        <f t="shared" si="30"/>
        <v>5.5555555555555554</v>
      </c>
      <c r="S202" s="8" t="str">
        <f t="array" ref="S202">IF(R202&gt;5,"Perlu Sensus",IF(AND(R202&gt;=0,O202&gt;0),"Tetap Deteksi","Belum Deteksi"))</f>
        <v>Perlu Sensus</v>
      </c>
      <c r="T202" s="203">
        <f t="array" ref="T202">INDEX('[20]LS (Deteksi) Agustus'!T$7:T$303,MATCH(1,('[20]LS (Deteksi) Agustus'!$D$7:$D$303=$D202)*('[20]LS (Deteksi) Agustus'!$D$7:$D$303=$D202),0))</f>
        <v>0</v>
      </c>
      <c r="U202" s="9">
        <f t="shared" si="31"/>
        <v>0</v>
      </c>
      <c r="V202" s="132">
        <v>46244</v>
      </c>
      <c r="W202" s="203">
        <v>215</v>
      </c>
      <c r="X202" s="203">
        <v>9</v>
      </c>
      <c r="Y202" s="9">
        <f t="shared" si="32"/>
        <v>4.1860465116279073</v>
      </c>
      <c r="Z202" s="8" t="str">
        <f t="array" ref="Z202">IF(Y202&gt;5,"Perlu Sensus",IF(AND(Y202&gt;0,,O202&gt;0),"Tetap Deteksi","Belum Deteksi"))</f>
        <v>Belum Deteksi</v>
      </c>
      <c r="AA202" s="203">
        <f t="array" ref="AA202">INDEX('[20]LS (Deteksi) Agustus'!AA$7:AA$303,MATCH(1,('[20]LS (Deteksi) Agustus'!$D$7:$D$303=$D202)*('[20]LS (Deteksi) Agustus'!$D$7:$D$303=$D202),0))</f>
        <v>0</v>
      </c>
      <c r="AB202" s="9">
        <f t="shared" si="33"/>
        <v>0</v>
      </c>
    </row>
    <row r="203" spans="1:28" outlineLevel="1" x14ac:dyDescent="0.15">
      <c r="A203" s="8" t="s">
        <v>13</v>
      </c>
      <c r="B203" s="8" t="s">
        <v>47</v>
      </c>
      <c r="C203" s="8" t="s">
        <v>216</v>
      </c>
      <c r="D203" s="8" t="s">
        <v>220</v>
      </c>
      <c r="E203" s="9">
        <v>46.16</v>
      </c>
      <c r="F203" s="8" t="s">
        <v>16</v>
      </c>
      <c r="G203" s="143">
        <v>6347</v>
      </c>
      <c r="H203" s="132">
        <f t="shared" si="26"/>
        <v>46242</v>
      </c>
      <c r="I203" s="140">
        <f t="shared" si="26"/>
        <v>67</v>
      </c>
      <c r="J203" s="9">
        <f t="shared" si="27"/>
        <v>1.0556168268473296</v>
      </c>
      <c r="K203" s="140">
        <f t="shared" si="28"/>
        <v>3</v>
      </c>
      <c r="L203" s="206">
        <f t="shared" si="29"/>
        <v>4.4776119402985071</v>
      </c>
      <c r="M203" s="8" t="str">
        <f t="array" ref="M203">IF(L203&gt;5,"Perlu Sensus",IF(AND(L203&gt;=0,I203&gt;0),"Tetap Deteksi","Belum Deteksi"))</f>
        <v>Tetap Deteksi</v>
      </c>
      <c r="N203" s="132">
        <v>46242</v>
      </c>
      <c r="O203" s="203">
        <v>67</v>
      </c>
      <c r="P203" s="9">
        <f t="array" ref="P203">IFERROR(O203/G203*100,0)</f>
        <v>1.0556168268473296</v>
      </c>
      <c r="Q203" s="203">
        <v>3</v>
      </c>
      <c r="R203" s="9">
        <f t="shared" si="30"/>
        <v>4.4776119402985071</v>
      </c>
      <c r="S203" s="8" t="str">
        <f t="array" ref="S203">IF(R203&gt;5,"Perlu Sensus",IF(AND(R203&gt;=0,O203&gt;0),"Tetap Deteksi","Belum Deteksi"))</f>
        <v>Tetap Deteksi</v>
      </c>
      <c r="T203" s="203">
        <f t="array" ref="T203">INDEX('[20]LS (Deteksi) Agustus'!T$7:T$303,MATCH(1,('[20]LS (Deteksi) Agustus'!$D$7:$D$303=$D203)*('[20]LS (Deteksi) Agustus'!$D$7:$D$303=$D203),0))</f>
        <v>0</v>
      </c>
      <c r="U203" s="9">
        <f t="shared" si="31"/>
        <v>0</v>
      </c>
      <c r="V203" s="132">
        <v>46240</v>
      </c>
      <c r="W203" s="203">
        <v>156</v>
      </c>
      <c r="X203" s="203">
        <v>4</v>
      </c>
      <c r="Y203" s="9">
        <f t="shared" si="32"/>
        <v>2.5641025641025639</v>
      </c>
      <c r="Z203" s="8" t="str">
        <f t="array" ref="Z203">IF(Y203&gt;5,"Perlu Sensus",IF(AND(Y203&gt;0,,O203&gt;0),"Tetap Deteksi","Belum Deteksi"))</f>
        <v>Belum Deteksi</v>
      </c>
      <c r="AA203" s="203">
        <f t="array" ref="AA203">INDEX('[20]LS (Deteksi) Agustus'!AA$7:AA$303,MATCH(1,('[20]LS (Deteksi) Agustus'!$D$7:$D$303=$D203)*('[20]LS (Deteksi) Agustus'!$D$7:$D$303=$D203),0))</f>
        <v>0</v>
      </c>
      <c r="AB203" s="9">
        <f t="shared" si="33"/>
        <v>0</v>
      </c>
    </row>
    <row r="204" spans="1:28" outlineLevel="1" x14ac:dyDescent="0.15">
      <c r="A204" s="8" t="s">
        <v>13</v>
      </c>
      <c r="B204" s="8" t="s">
        <v>47</v>
      </c>
      <c r="C204" s="8" t="s">
        <v>216</v>
      </c>
      <c r="D204" s="8" t="s">
        <v>221</v>
      </c>
      <c r="E204" s="9">
        <v>22.47</v>
      </c>
      <c r="F204" s="8" t="s">
        <v>16</v>
      </c>
      <c r="G204" s="143">
        <v>3111</v>
      </c>
      <c r="H204" s="132">
        <f t="shared" si="26"/>
        <v>46242</v>
      </c>
      <c r="I204" s="140">
        <f t="shared" si="26"/>
        <v>54</v>
      </c>
      <c r="J204" s="9">
        <f t="shared" si="27"/>
        <v>1.7357762777242043</v>
      </c>
      <c r="K204" s="140">
        <f t="shared" si="28"/>
        <v>6</v>
      </c>
      <c r="L204" s="206">
        <f t="shared" si="29"/>
        <v>11.111111111111111</v>
      </c>
      <c r="M204" s="8" t="str">
        <f t="array" ref="M204">IF(L204&gt;5,"Perlu Sensus",IF(AND(L204&gt;=0,I204&gt;0),"Tetap Deteksi","Belum Deteksi"))</f>
        <v>Perlu Sensus</v>
      </c>
      <c r="N204" s="132">
        <v>46242</v>
      </c>
      <c r="O204" s="203">
        <v>54</v>
      </c>
      <c r="P204" s="9">
        <f t="array" ref="P204">IFERROR(O204/G204*100,0)</f>
        <v>1.7357762777242043</v>
      </c>
      <c r="Q204" s="203">
        <v>6</v>
      </c>
      <c r="R204" s="9">
        <f t="shared" si="30"/>
        <v>11.111111111111111</v>
      </c>
      <c r="S204" s="8" t="str">
        <f t="array" ref="S204">IF(R204&gt;5,"Perlu Sensus",IF(AND(R204&gt;=0,O204&gt;0),"Tetap Deteksi","Belum Deteksi"))</f>
        <v>Perlu Sensus</v>
      </c>
      <c r="T204" s="203">
        <f t="array" ref="T204">INDEX('[20]LS (Deteksi) Agustus'!T$7:T$303,MATCH(1,('[20]LS (Deteksi) Agustus'!$D$7:$D$303=$D204)*('[20]LS (Deteksi) Agustus'!$D$7:$D$303=$D204),0))</f>
        <v>0</v>
      </c>
      <c r="U204" s="9">
        <f t="shared" si="31"/>
        <v>0</v>
      </c>
      <c r="V204" s="132">
        <v>46243</v>
      </c>
      <c r="W204" s="203">
        <v>296</v>
      </c>
      <c r="X204" s="203">
        <v>27</v>
      </c>
      <c r="Y204" s="9">
        <f t="shared" si="32"/>
        <v>9.121621621621621</v>
      </c>
      <c r="Z204" s="8" t="str">
        <f t="array" ref="Z204">IF(Y204&gt;5,"Perlu Sensus",IF(AND(Y204&gt;0,,O204&gt;0),"Tetap Deteksi","Belum Deteksi"))</f>
        <v>Perlu Sensus</v>
      </c>
      <c r="AA204" s="203">
        <f t="array" ref="AA204">INDEX('[20]LS (Deteksi) Agustus'!AA$7:AA$303,MATCH(1,('[20]LS (Deteksi) Agustus'!$D$7:$D$303=$D204)*('[20]LS (Deteksi) Agustus'!$D$7:$D$303=$D204),0))</f>
        <v>0</v>
      </c>
      <c r="AB204" s="9">
        <f t="shared" si="33"/>
        <v>0</v>
      </c>
    </row>
    <row r="205" spans="1:28" outlineLevel="1" x14ac:dyDescent="0.15">
      <c r="A205" s="8" t="s">
        <v>13</v>
      </c>
      <c r="B205" s="8" t="s">
        <v>47</v>
      </c>
      <c r="C205" s="8" t="s">
        <v>216</v>
      </c>
      <c r="D205" s="8" t="s">
        <v>222</v>
      </c>
      <c r="E205" s="9">
        <v>25.91</v>
      </c>
      <c r="F205" s="8" t="s">
        <v>16</v>
      </c>
      <c r="G205" s="143">
        <v>3926</v>
      </c>
      <c r="H205" s="132">
        <f t="shared" si="26"/>
        <v>46242</v>
      </c>
      <c r="I205" s="140">
        <f t="shared" si="26"/>
        <v>53</v>
      </c>
      <c r="J205" s="9">
        <f t="shared" si="27"/>
        <v>1.3499745287824758</v>
      </c>
      <c r="K205" s="140">
        <f t="shared" si="28"/>
        <v>2</v>
      </c>
      <c r="L205" s="206">
        <f t="shared" si="29"/>
        <v>3.7735849056603774</v>
      </c>
      <c r="M205" s="8" t="str">
        <f t="array" ref="M205">IF(L205&gt;5,"Perlu Sensus",IF(AND(L205&gt;=0,I205&gt;0),"Tetap Deteksi","Belum Deteksi"))</f>
        <v>Tetap Deteksi</v>
      </c>
      <c r="N205" s="132">
        <v>46242</v>
      </c>
      <c r="O205" s="203">
        <v>53</v>
      </c>
      <c r="P205" s="9">
        <f t="array" ref="P205">IFERROR(O205/G205*100,0)</f>
        <v>1.3499745287824758</v>
      </c>
      <c r="Q205" s="203">
        <v>2</v>
      </c>
      <c r="R205" s="9">
        <f t="shared" si="30"/>
        <v>3.7735849056603774</v>
      </c>
      <c r="S205" s="8" t="str">
        <f t="array" ref="S205">IF(R205&gt;5,"Perlu Sensus",IF(AND(R205&gt;=0,O205&gt;0),"Tetap Deteksi","Belum Deteksi"))</f>
        <v>Tetap Deteksi</v>
      </c>
      <c r="T205" s="203">
        <f t="array" ref="T205">INDEX('[20]LS (Deteksi) Agustus'!T$7:T$303,MATCH(1,('[20]LS (Deteksi) Agustus'!$D$7:$D$303=$D205)*('[20]LS (Deteksi) Agustus'!$D$7:$D$303=$D205),0))</f>
        <v>0</v>
      </c>
      <c r="U205" s="9">
        <f t="shared" si="31"/>
        <v>0</v>
      </c>
      <c r="V205" s="132">
        <v>46243</v>
      </c>
      <c r="W205" s="203">
        <v>224</v>
      </c>
      <c r="X205" s="203">
        <v>7</v>
      </c>
      <c r="Y205" s="9">
        <f t="shared" si="32"/>
        <v>3.125</v>
      </c>
      <c r="Z205" s="8" t="str">
        <f t="array" ref="Z205">IF(Y205&gt;5,"Perlu Sensus",IF(AND(Y205&gt;0,,O205&gt;0),"Tetap Deteksi","Belum Deteksi"))</f>
        <v>Belum Deteksi</v>
      </c>
      <c r="AA205" s="203">
        <f t="array" ref="AA205">INDEX('[20]LS (Deteksi) Agustus'!AA$7:AA$303,MATCH(1,('[20]LS (Deteksi) Agustus'!$D$7:$D$303=$D205)*('[20]LS (Deteksi) Agustus'!$D$7:$D$303=$D205),0))</f>
        <v>0</v>
      </c>
      <c r="AB205" s="9">
        <f t="shared" si="33"/>
        <v>0</v>
      </c>
    </row>
    <row r="206" spans="1:28" outlineLevel="1" x14ac:dyDescent="0.15">
      <c r="A206" s="8" t="s">
        <v>13</v>
      </c>
      <c r="B206" s="8" t="s">
        <v>47</v>
      </c>
      <c r="C206" s="8" t="s">
        <v>216</v>
      </c>
      <c r="D206" s="8" t="s">
        <v>223</v>
      </c>
      <c r="E206" s="9">
        <v>25.91</v>
      </c>
      <c r="F206" s="8" t="s">
        <v>16</v>
      </c>
      <c r="G206" s="143">
        <v>3884</v>
      </c>
      <c r="H206" s="132">
        <f t="shared" si="26"/>
        <v>46241</v>
      </c>
      <c r="I206" s="140">
        <f t="shared" si="26"/>
        <v>54</v>
      </c>
      <c r="J206" s="9">
        <f t="shared" si="27"/>
        <v>1.3903192584963955</v>
      </c>
      <c r="K206" s="140">
        <f t="shared" si="28"/>
        <v>6</v>
      </c>
      <c r="L206" s="206">
        <f t="shared" si="29"/>
        <v>11.111111111111111</v>
      </c>
      <c r="M206" s="8" t="str">
        <f t="array" ref="M206">IF(L206&gt;5,"Perlu Sensus",IF(AND(L206&gt;=0,I206&gt;0),"Tetap Deteksi","Belum Deteksi"))</f>
        <v>Perlu Sensus</v>
      </c>
      <c r="N206" s="132">
        <v>46241</v>
      </c>
      <c r="O206" s="203">
        <v>54</v>
      </c>
      <c r="P206" s="9">
        <f t="array" ref="P206">IFERROR(O206/G206*100,0)</f>
        <v>1.3903192584963955</v>
      </c>
      <c r="Q206" s="203">
        <v>6</v>
      </c>
      <c r="R206" s="9">
        <f t="shared" si="30"/>
        <v>11.111111111111111</v>
      </c>
      <c r="S206" s="8" t="str">
        <f t="array" ref="S206">IF(R206&gt;5,"Perlu Sensus",IF(AND(R206&gt;=0,O206&gt;0),"Tetap Deteksi","Belum Deteksi"))</f>
        <v>Perlu Sensus</v>
      </c>
      <c r="T206" s="203">
        <f t="array" ref="T206">INDEX('[20]LS (Deteksi) Agustus'!T$7:T$303,MATCH(1,('[20]LS (Deteksi) Agustus'!$D$7:$D$303=$D206)*('[20]LS (Deteksi) Agustus'!$D$7:$D$303=$D206),0))</f>
        <v>0</v>
      </c>
      <c r="U206" s="9">
        <f t="shared" si="31"/>
        <v>0</v>
      </c>
      <c r="V206" s="132">
        <v>46241</v>
      </c>
      <c r="W206" s="203">
        <v>225</v>
      </c>
      <c r="X206" s="203">
        <v>3</v>
      </c>
      <c r="Y206" s="9">
        <f t="shared" si="32"/>
        <v>1.3333333333333335</v>
      </c>
      <c r="Z206" s="8" t="str">
        <f t="array" ref="Z206">IF(Y206&gt;5,"Perlu Sensus",IF(AND(Y206&gt;0,,O206&gt;0),"Tetap Deteksi","Belum Deteksi"))</f>
        <v>Belum Deteksi</v>
      </c>
      <c r="AA206" s="203">
        <f t="array" ref="AA206">INDEX('[20]LS (Deteksi) Agustus'!AA$7:AA$303,MATCH(1,('[20]LS (Deteksi) Agustus'!$D$7:$D$303=$D206)*('[20]LS (Deteksi) Agustus'!$D$7:$D$303=$D206),0))</f>
        <v>0</v>
      </c>
      <c r="AB206" s="9">
        <f t="shared" si="33"/>
        <v>0</v>
      </c>
    </row>
    <row r="207" spans="1:28" outlineLevel="1" x14ac:dyDescent="0.15">
      <c r="A207" s="8" t="s">
        <v>13</v>
      </c>
      <c r="B207" s="8" t="s">
        <v>47</v>
      </c>
      <c r="C207" s="8" t="s">
        <v>216</v>
      </c>
      <c r="D207" s="8" t="s">
        <v>224</v>
      </c>
      <c r="E207" s="9">
        <v>28.1</v>
      </c>
      <c r="F207" s="8" t="s">
        <v>16</v>
      </c>
      <c r="G207" s="143">
        <v>3751</v>
      </c>
      <c r="H207" s="132">
        <f t="shared" si="26"/>
        <v>46240</v>
      </c>
      <c r="I207" s="140">
        <f t="shared" si="26"/>
        <v>46</v>
      </c>
      <c r="J207" s="9">
        <f t="shared" si="27"/>
        <v>1.2263396427619302</v>
      </c>
      <c r="K207" s="140">
        <f t="shared" si="28"/>
        <v>5</v>
      </c>
      <c r="L207" s="206">
        <f t="shared" si="29"/>
        <v>10.869565217391305</v>
      </c>
      <c r="M207" s="8" t="str">
        <f t="array" ref="M207">IF(L207&gt;5,"Perlu Sensus",IF(AND(L207&gt;=0,I207&gt;0),"Tetap Deteksi","Belum Deteksi"))</f>
        <v>Perlu Sensus</v>
      </c>
      <c r="N207" s="132">
        <v>46240</v>
      </c>
      <c r="O207" s="203">
        <v>46</v>
      </c>
      <c r="P207" s="9">
        <f t="array" ref="P207">IFERROR(O207/G207*100,0)</f>
        <v>1.2263396427619302</v>
      </c>
      <c r="Q207" s="203">
        <v>5</v>
      </c>
      <c r="R207" s="9">
        <f t="shared" si="30"/>
        <v>10.869565217391305</v>
      </c>
      <c r="S207" s="8" t="str">
        <f t="array" ref="S207">IF(R207&gt;5,"Perlu Sensus",IF(AND(R207&gt;=0,O207&gt;0),"Tetap Deteksi","Belum Deteksi"))</f>
        <v>Perlu Sensus</v>
      </c>
      <c r="T207" s="203">
        <f t="array" ref="T207">INDEX('[20]LS (Deteksi) Agustus'!T$7:T$303,MATCH(1,('[20]LS (Deteksi) Agustus'!$D$7:$D$303=$D207)*('[20]LS (Deteksi) Agustus'!$D$7:$D$303=$D207),0))</f>
        <v>0</v>
      </c>
      <c r="U207" s="9">
        <f t="shared" si="31"/>
        <v>0</v>
      </c>
      <c r="V207" s="132">
        <v>46241</v>
      </c>
      <c r="W207" s="203">
        <v>311</v>
      </c>
      <c r="X207" s="203">
        <v>31</v>
      </c>
      <c r="Y207" s="9">
        <f t="shared" si="32"/>
        <v>9.9678456591639879</v>
      </c>
      <c r="Z207" s="8" t="str">
        <f t="array" ref="Z207">IF(Y207&gt;5,"Perlu Sensus",IF(AND(Y207&gt;0,,O207&gt;0),"Tetap Deteksi","Belum Deteksi"))</f>
        <v>Perlu Sensus</v>
      </c>
      <c r="AA207" s="203">
        <f t="array" ref="AA207">INDEX('[20]LS (Deteksi) Agustus'!AA$7:AA$303,MATCH(1,('[20]LS (Deteksi) Agustus'!$D$7:$D$303=$D207)*('[20]LS (Deteksi) Agustus'!$D$7:$D$303=$D207),0))</f>
        <v>0</v>
      </c>
      <c r="AB207" s="9">
        <f t="shared" si="33"/>
        <v>0</v>
      </c>
    </row>
    <row r="208" spans="1:28" outlineLevel="1" x14ac:dyDescent="0.15">
      <c r="A208" s="8" t="s">
        <v>13</v>
      </c>
      <c r="B208" s="8" t="s">
        <v>47</v>
      </c>
      <c r="C208" s="8" t="s">
        <v>216</v>
      </c>
      <c r="D208" s="8" t="s">
        <v>225</v>
      </c>
      <c r="E208" s="9">
        <v>23.24</v>
      </c>
      <c r="F208" s="8" t="s">
        <v>16</v>
      </c>
      <c r="G208" s="143">
        <v>3613</v>
      </c>
      <c r="H208" s="132">
        <f t="shared" si="26"/>
        <v>46240</v>
      </c>
      <c r="I208" s="140">
        <f t="shared" si="26"/>
        <v>48</v>
      </c>
      <c r="J208" s="9">
        <f t="shared" si="27"/>
        <v>1.3285358427899252</v>
      </c>
      <c r="K208" s="140">
        <f t="shared" si="28"/>
        <v>7</v>
      </c>
      <c r="L208" s="206">
        <f t="shared" si="29"/>
        <v>14.583333333333334</v>
      </c>
      <c r="M208" s="8" t="str">
        <f t="array" ref="M208">IF(L208&gt;5,"Perlu Sensus",IF(AND(L208&gt;=0,I208&gt;0),"Tetap Deteksi","Belum Deteksi"))</f>
        <v>Perlu Sensus</v>
      </c>
      <c r="N208" s="132">
        <v>46240</v>
      </c>
      <c r="O208" s="203">
        <v>48</v>
      </c>
      <c r="P208" s="9">
        <f t="array" ref="P208">IFERROR(O208/G208*100,0)</f>
        <v>1.3285358427899252</v>
      </c>
      <c r="Q208" s="203">
        <v>7</v>
      </c>
      <c r="R208" s="9">
        <f t="shared" si="30"/>
        <v>14.583333333333334</v>
      </c>
      <c r="S208" s="8" t="str">
        <f t="array" ref="S208">IF(R208&gt;5,"Perlu Sensus",IF(AND(R208&gt;=0,O208&gt;0),"Tetap Deteksi","Belum Deteksi"))</f>
        <v>Perlu Sensus</v>
      </c>
      <c r="T208" s="203">
        <f t="array" ref="T208">INDEX('[20]LS (Deteksi) Agustus'!T$7:T$303,MATCH(1,('[20]LS (Deteksi) Agustus'!$D$7:$D$303=$D208)*('[20]LS (Deteksi) Agustus'!$D$7:$D$303=$D208),0))</f>
        <v>0</v>
      </c>
      <c r="U208" s="9">
        <f t="shared" si="31"/>
        <v>0</v>
      </c>
      <c r="V208" s="132">
        <v>46242</v>
      </c>
      <c r="W208" s="203">
        <v>213</v>
      </c>
      <c r="X208" s="203">
        <v>9</v>
      </c>
      <c r="Y208" s="9">
        <f t="shared" si="32"/>
        <v>4.225352112676056</v>
      </c>
      <c r="Z208" s="8" t="str">
        <f t="array" ref="Z208">IF(Y208&gt;5,"Perlu Sensus",IF(AND(Y208&gt;0,,O208&gt;0),"Tetap Deteksi","Belum Deteksi"))</f>
        <v>Belum Deteksi</v>
      </c>
      <c r="AA208" s="203">
        <f t="array" ref="AA208">INDEX('[20]LS (Deteksi) Agustus'!AA$7:AA$303,MATCH(1,('[20]LS (Deteksi) Agustus'!$D$7:$D$303=$D208)*('[20]LS (Deteksi) Agustus'!$D$7:$D$303=$D208),0))</f>
        <v>0</v>
      </c>
      <c r="AB208" s="9">
        <f t="shared" si="33"/>
        <v>0</v>
      </c>
    </row>
    <row r="209" spans="1:28" outlineLevel="1" x14ac:dyDescent="0.15">
      <c r="A209" s="8" t="s">
        <v>13</v>
      </c>
      <c r="B209" s="8" t="s">
        <v>47</v>
      </c>
      <c r="C209" s="8" t="s">
        <v>216</v>
      </c>
      <c r="D209" s="8" t="s">
        <v>226</v>
      </c>
      <c r="E209" s="9">
        <v>24.19</v>
      </c>
      <c r="F209" s="8" t="s">
        <v>16</v>
      </c>
      <c r="G209" s="143">
        <v>3435</v>
      </c>
      <c r="H209" s="132">
        <f t="shared" si="26"/>
        <v>46240</v>
      </c>
      <c r="I209" s="140">
        <f t="shared" si="26"/>
        <v>49</v>
      </c>
      <c r="J209" s="9">
        <f t="shared" si="27"/>
        <v>1.4264919941775838</v>
      </c>
      <c r="K209" s="140">
        <f t="shared" si="28"/>
        <v>7</v>
      </c>
      <c r="L209" s="206">
        <f t="shared" si="29"/>
        <v>14.285714285714285</v>
      </c>
      <c r="M209" s="8" t="str">
        <f t="array" ref="M209">IF(L209&gt;5,"Perlu Sensus",IF(AND(L209&gt;=0,I209&gt;0),"Tetap Deteksi","Belum Deteksi"))</f>
        <v>Perlu Sensus</v>
      </c>
      <c r="N209" s="132">
        <v>46240</v>
      </c>
      <c r="O209" s="203">
        <v>49</v>
      </c>
      <c r="P209" s="9">
        <f t="array" ref="P209">IFERROR(O209/G209*100,0)</f>
        <v>1.4264919941775838</v>
      </c>
      <c r="Q209" s="203">
        <v>7</v>
      </c>
      <c r="R209" s="9">
        <f t="shared" si="30"/>
        <v>14.285714285714285</v>
      </c>
      <c r="S209" s="8" t="str">
        <f t="array" ref="S209">IF(R209&gt;5,"Perlu Sensus",IF(AND(R209&gt;=0,O209&gt;0),"Tetap Deteksi","Belum Deteksi"))</f>
        <v>Perlu Sensus</v>
      </c>
      <c r="T209" s="203">
        <f t="array" ref="T209">INDEX('[20]LS (Deteksi) Agustus'!T$7:T$303,MATCH(1,('[20]LS (Deteksi) Agustus'!$D$7:$D$303=$D209)*('[20]LS (Deteksi) Agustus'!$D$7:$D$303=$D209),0))</f>
        <v>0</v>
      </c>
      <c r="U209" s="9">
        <f t="shared" si="31"/>
        <v>0</v>
      </c>
      <c r="V209" s="132">
        <v>46242</v>
      </c>
      <c r="W209" s="203">
        <v>215</v>
      </c>
      <c r="X209" s="203">
        <v>27</v>
      </c>
      <c r="Y209" s="9">
        <f t="shared" si="32"/>
        <v>12.558139534883722</v>
      </c>
      <c r="Z209" s="8" t="str">
        <f t="array" ref="Z209">IF(Y209&gt;5,"Perlu Sensus",IF(AND(Y209&gt;0,,O209&gt;0),"Tetap Deteksi","Belum Deteksi"))</f>
        <v>Perlu Sensus</v>
      </c>
      <c r="AA209" s="203">
        <f t="array" ref="AA209">INDEX('[20]LS (Deteksi) Agustus'!AA$7:AA$303,MATCH(1,('[20]LS (Deteksi) Agustus'!$D$7:$D$303=$D209)*('[20]LS (Deteksi) Agustus'!$D$7:$D$303=$D209),0))</f>
        <v>0</v>
      </c>
      <c r="AB209" s="9">
        <f t="shared" si="33"/>
        <v>0</v>
      </c>
    </row>
    <row r="210" spans="1:28" outlineLevel="1" x14ac:dyDescent="0.15">
      <c r="A210" s="8" t="s">
        <v>13</v>
      </c>
      <c r="B210" s="8" t="s">
        <v>47</v>
      </c>
      <c r="C210" s="8" t="s">
        <v>216</v>
      </c>
      <c r="D210" s="8" t="s">
        <v>227</v>
      </c>
      <c r="E210" s="9">
        <v>23.35</v>
      </c>
      <c r="F210" s="8" t="s">
        <v>16</v>
      </c>
      <c r="G210" s="143">
        <v>3594</v>
      </c>
      <c r="H210" s="132">
        <f t="shared" si="26"/>
        <v>46240</v>
      </c>
      <c r="I210" s="140">
        <f t="shared" si="26"/>
        <v>51</v>
      </c>
      <c r="J210" s="9">
        <f t="shared" si="27"/>
        <v>1.4190317195325544</v>
      </c>
      <c r="K210" s="140">
        <f t="shared" si="28"/>
        <v>6</v>
      </c>
      <c r="L210" s="206">
        <f t="shared" si="29"/>
        <v>11.76470588235294</v>
      </c>
      <c r="M210" s="8" t="str">
        <f t="array" ref="M210">IF(L210&gt;5,"Perlu Sensus",IF(AND(L210&gt;=0,I210&gt;0),"Tetap Deteksi","Belum Deteksi"))</f>
        <v>Perlu Sensus</v>
      </c>
      <c r="N210" s="132">
        <v>46240</v>
      </c>
      <c r="O210" s="203">
        <v>51</v>
      </c>
      <c r="P210" s="9">
        <f t="array" ref="P210">IFERROR(O210/G210*100,0)</f>
        <v>1.4190317195325544</v>
      </c>
      <c r="Q210" s="203">
        <v>6</v>
      </c>
      <c r="R210" s="9">
        <f t="shared" si="30"/>
        <v>11.76470588235294</v>
      </c>
      <c r="S210" s="8" t="str">
        <f t="array" ref="S210">IF(R210&gt;5,"Perlu Sensus",IF(AND(R210&gt;=0,O210&gt;0),"Tetap Deteksi","Belum Deteksi"))</f>
        <v>Perlu Sensus</v>
      </c>
      <c r="T210" s="203">
        <f t="array" ref="T210">INDEX('[20]LS (Deteksi) Agustus'!T$7:T$303,MATCH(1,('[20]LS (Deteksi) Agustus'!$D$7:$D$303=$D210)*('[20]LS (Deteksi) Agustus'!$D$7:$D$303=$D210),0))</f>
        <v>0</v>
      </c>
      <c r="U210" s="9">
        <f t="shared" si="31"/>
        <v>0</v>
      </c>
      <c r="V210" s="132">
        <v>46241</v>
      </c>
      <c r="W210" s="203">
        <v>276</v>
      </c>
      <c r="X210" s="203">
        <v>32</v>
      </c>
      <c r="Y210" s="9">
        <f t="shared" si="32"/>
        <v>11.594202898550725</v>
      </c>
      <c r="Z210" s="8" t="str">
        <f t="array" ref="Z210">IF(Y210&gt;5,"Perlu Sensus",IF(AND(Y210&gt;0,,O210&gt;0),"Tetap Deteksi","Belum Deteksi"))</f>
        <v>Perlu Sensus</v>
      </c>
      <c r="AA210" s="203">
        <f t="array" ref="AA210">INDEX('[20]LS (Deteksi) Agustus'!AA$7:AA$303,MATCH(1,('[20]LS (Deteksi) Agustus'!$D$7:$D$303=$D210)*('[20]LS (Deteksi) Agustus'!$D$7:$D$303=$D210),0))</f>
        <v>0</v>
      </c>
      <c r="AB210" s="9">
        <f t="shared" si="33"/>
        <v>0</v>
      </c>
    </row>
    <row r="211" spans="1:28" outlineLevel="1" x14ac:dyDescent="0.15">
      <c r="A211" s="8" t="s">
        <v>13</v>
      </c>
      <c r="B211" s="8" t="s">
        <v>47</v>
      </c>
      <c r="C211" s="8" t="s">
        <v>216</v>
      </c>
      <c r="D211" s="8" t="s">
        <v>228</v>
      </c>
      <c r="E211" s="9">
        <v>24.79</v>
      </c>
      <c r="F211" s="8" t="s">
        <v>132</v>
      </c>
      <c r="G211" s="143">
        <v>3166</v>
      </c>
      <c r="H211" s="132">
        <f t="shared" si="26"/>
        <v>46239</v>
      </c>
      <c r="I211" s="140">
        <f t="shared" si="26"/>
        <v>52</v>
      </c>
      <c r="J211" s="9">
        <f t="shared" si="27"/>
        <v>1.6424510423247001</v>
      </c>
      <c r="K211" s="140">
        <f t="shared" si="28"/>
        <v>3</v>
      </c>
      <c r="L211" s="206">
        <f t="shared" si="29"/>
        <v>5.7692307692307692</v>
      </c>
      <c r="M211" s="8" t="str">
        <f t="array" ref="M211">IF(L211&gt;5,"Perlu Sensus",IF(AND(L211&gt;=0,I211&gt;0),"Tetap Deteksi","Belum Deteksi"))</f>
        <v>Perlu Sensus</v>
      </c>
      <c r="N211" s="132">
        <v>46239</v>
      </c>
      <c r="O211" s="203">
        <v>52</v>
      </c>
      <c r="P211" s="9">
        <f t="array" ref="P211">IFERROR(O211/G211*100,0)</f>
        <v>1.6424510423247001</v>
      </c>
      <c r="Q211" s="203">
        <v>3</v>
      </c>
      <c r="R211" s="9">
        <f t="shared" si="30"/>
        <v>5.7692307692307692</v>
      </c>
      <c r="S211" s="8" t="str">
        <f t="array" ref="S211">IF(R211&gt;5,"Perlu Sensus",IF(AND(R211&gt;=0,O211&gt;0),"Tetap Deteksi","Belum Deteksi"))</f>
        <v>Perlu Sensus</v>
      </c>
      <c r="T211" s="203">
        <f t="array" ref="T211">INDEX('[20]LS (Deteksi) Agustus'!T$7:T$303,MATCH(1,('[20]LS (Deteksi) Agustus'!$D$7:$D$303=$D211)*('[20]LS (Deteksi) Agustus'!$D$7:$D$303=$D211),0))</f>
        <v>0</v>
      </c>
      <c r="U211" s="9">
        <f t="shared" si="31"/>
        <v>0</v>
      </c>
      <c r="V211" s="132">
        <v>46240</v>
      </c>
      <c r="W211" s="203">
        <v>247</v>
      </c>
      <c r="X211" s="203">
        <v>21</v>
      </c>
      <c r="Y211" s="9">
        <f t="shared" si="32"/>
        <v>8.5020242914979747</v>
      </c>
      <c r="Z211" s="8" t="str">
        <f t="array" ref="Z211">IF(Y211&gt;5,"Perlu Sensus",IF(AND(Y211&gt;0,,O211&gt;0),"Tetap Deteksi","Belum Deteksi"))</f>
        <v>Perlu Sensus</v>
      </c>
      <c r="AA211" s="203">
        <f t="array" ref="AA211">INDEX('[20]LS (Deteksi) Agustus'!AA$7:AA$303,MATCH(1,('[20]LS (Deteksi) Agustus'!$D$7:$D$303=$D211)*('[20]LS (Deteksi) Agustus'!$D$7:$D$303=$D211),0))</f>
        <v>0</v>
      </c>
      <c r="AB211" s="9">
        <f t="shared" si="33"/>
        <v>0</v>
      </c>
    </row>
    <row r="212" spans="1:28" outlineLevel="1" x14ac:dyDescent="0.15">
      <c r="A212" s="8" t="s">
        <v>13</v>
      </c>
      <c r="B212" s="8" t="s">
        <v>47</v>
      </c>
      <c r="C212" s="8" t="s">
        <v>216</v>
      </c>
      <c r="D212" s="8" t="s">
        <v>229</v>
      </c>
      <c r="E212" s="9">
        <v>23.28</v>
      </c>
      <c r="F212" s="8" t="s">
        <v>132</v>
      </c>
      <c r="G212" s="143">
        <v>3277</v>
      </c>
      <c r="H212" s="132">
        <f t="shared" si="26"/>
        <v>46239</v>
      </c>
      <c r="I212" s="140">
        <f t="shared" si="26"/>
        <v>53</v>
      </c>
      <c r="J212" s="9">
        <f t="shared" si="27"/>
        <v>1.6173329264571255</v>
      </c>
      <c r="K212" s="140">
        <f t="shared" si="28"/>
        <v>2</v>
      </c>
      <c r="L212" s="206">
        <f t="shared" si="29"/>
        <v>3.7735849056603774</v>
      </c>
      <c r="M212" s="8" t="str">
        <f t="array" ref="M212">IF(L212&gt;5,"Perlu Sensus",IF(AND(L212&gt;=0,I212&gt;0),"Tetap Deteksi","Belum Deteksi"))</f>
        <v>Tetap Deteksi</v>
      </c>
      <c r="N212" s="132">
        <v>46239</v>
      </c>
      <c r="O212" s="203">
        <v>53</v>
      </c>
      <c r="P212" s="9">
        <f t="array" ref="P212">IFERROR(O212/G212*100,0)</f>
        <v>1.6173329264571255</v>
      </c>
      <c r="Q212" s="203">
        <v>2</v>
      </c>
      <c r="R212" s="9">
        <f t="shared" si="30"/>
        <v>3.7735849056603774</v>
      </c>
      <c r="S212" s="8" t="str">
        <f t="array" ref="S212">IF(R212&gt;5,"Perlu Sensus",IF(AND(R212&gt;=0,O212&gt;0),"Tetap Deteksi","Belum Deteksi"))</f>
        <v>Tetap Deteksi</v>
      </c>
      <c r="T212" s="203">
        <f t="array" ref="T212">INDEX('[20]LS (Deteksi) Agustus'!T$7:T$303,MATCH(1,('[20]LS (Deteksi) Agustus'!$D$7:$D$303=$D212)*('[20]LS (Deteksi) Agustus'!$D$7:$D$303=$D212),0))</f>
        <v>0</v>
      </c>
      <c r="U212" s="9">
        <f t="shared" si="31"/>
        <v>0</v>
      </c>
      <c r="V212" s="132">
        <v>46240</v>
      </c>
      <c r="W212" s="203">
        <v>266</v>
      </c>
      <c r="X212" s="203">
        <v>19</v>
      </c>
      <c r="Y212" s="9">
        <f t="shared" si="32"/>
        <v>7.1428571428571423</v>
      </c>
      <c r="Z212" s="8" t="str">
        <f t="array" ref="Z212">IF(Y212&gt;5,"Perlu Sensus",IF(AND(Y212&gt;0,,O212&gt;0),"Tetap Deteksi","Belum Deteksi"))</f>
        <v>Perlu Sensus</v>
      </c>
      <c r="AA212" s="203">
        <f t="array" ref="AA212">INDEX('[20]LS (Deteksi) Agustus'!AA$7:AA$303,MATCH(1,('[20]LS (Deteksi) Agustus'!$D$7:$D$303=$D212)*('[20]LS (Deteksi) Agustus'!$D$7:$D$303=$D212),0))</f>
        <v>0</v>
      </c>
      <c r="AB212" s="9">
        <f t="shared" si="33"/>
        <v>0</v>
      </c>
    </row>
    <row r="213" spans="1:28" outlineLevel="1" x14ac:dyDescent="0.15">
      <c r="A213" s="8" t="s">
        <v>13</v>
      </c>
      <c r="B213" s="8" t="s">
        <v>47</v>
      </c>
      <c r="C213" s="8" t="s">
        <v>216</v>
      </c>
      <c r="D213" s="8" t="s">
        <v>230</v>
      </c>
      <c r="E213" s="9">
        <v>24.58</v>
      </c>
      <c r="F213" s="8" t="s">
        <v>132</v>
      </c>
      <c r="G213" s="143">
        <v>3545</v>
      </c>
      <c r="H213" s="132">
        <f t="shared" si="26"/>
        <v>46239</v>
      </c>
      <c r="I213" s="140">
        <f t="shared" si="26"/>
        <v>54</v>
      </c>
      <c r="J213" s="9">
        <f t="shared" si="27"/>
        <v>1.5232722143864599</v>
      </c>
      <c r="K213" s="140">
        <f t="shared" si="28"/>
        <v>3</v>
      </c>
      <c r="L213" s="206">
        <f t="shared" si="29"/>
        <v>5.5555555555555554</v>
      </c>
      <c r="M213" s="8" t="str">
        <f t="array" ref="M213">IF(L213&gt;5,"Perlu Sensus",IF(AND(L213&gt;=0,I213&gt;0),"Tetap Deteksi","Belum Deteksi"))</f>
        <v>Perlu Sensus</v>
      </c>
      <c r="N213" s="132">
        <v>46239</v>
      </c>
      <c r="O213" s="203">
        <v>54</v>
      </c>
      <c r="P213" s="9">
        <f t="array" ref="P213">IFERROR(O213/G213*100,0)</f>
        <v>1.5232722143864599</v>
      </c>
      <c r="Q213" s="203">
        <v>3</v>
      </c>
      <c r="R213" s="9">
        <f t="shared" si="30"/>
        <v>5.5555555555555554</v>
      </c>
      <c r="S213" s="8" t="str">
        <f t="array" ref="S213">IF(R213&gt;5,"Perlu Sensus",IF(AND(R213&gt;=0,O213&gt;0),"Tetap Deteksi","Belum Deteksi"))</f>
        <v>Perlu Sensus</v>
      </c>
      <c r="T213" s="203">
        <f t="array" ref="T213">INDEX('[20]LS (Deteksi) Agustus'!T$7:T$303,MATCH(1,('[20]LS (Deteksi) Agustus'!$D$7:$D$303=$D213)*('[20]LS (Deteksi) Agustus'!$D$7:$D$303=$D213),0))</f>
        <v>0</v>
      </c>
      <c r="U213" s="9">
        <f t="shared" si="31"/>
        <v>0</v>
      </c>
      <c r="V213" s="132">
        <v>46240</v>
      </c>
      <c r="W213" s="203">
        <v>219</v>
      </c>
      <c r="X213" s="203">
        <v>12</v>
      </c>
      <c r="Y213" s="9">
        <f t="shared" si="32"/>
        <v>5.4794520547945202</v>
      </c>
      <c r="Z213" s="8" t="str">
        <f t="array" ref="Z213">IF(Y213&gt;5,"Perlu Sensus",IF(AND(Y213&gt;0,,O213&gt;0),"Tetap Deteksi","Belum Deteksi"))</f>
        <v>Perlu Sensus</v>
      </c>
      <c r="AA213" s="203">
        <f t="array" ref="AA213">INDEX('[20]LS (Deteksi) Agustus'!AA$7:AA$303,MATCH(1,('[20]LS (Deteksi) Agustus'!$D$7:$D$303=$D213)*('[20]LS (Deteksi) Agustus'!$D$7:$D$303=$D213),0))</f>
        <v>0</v>
      </c>
      <c r="AB213" s="9">
        <f t="shared" si="33"/>
        <v>0</v>
      </c>
    </row>
    <row r="214" spans="1:28" outlineLevel="1" x14ac:dyDescent="0.15">
      <c r="A214" s="8" t="s">
        <v>13</v>
      </c>
      <c r="B214" s="8" t="s">
        <v>47</v>
      </c>
      <c r="C214" s="8" t="s">
        <v>216</v>
      </c>
      <c r="D214" s="8" t="s">
        <v>231</v>
      </c>
      <c r="E214" s="9">
        <v>31.06</v>
      </c>
      <c r="F214" s="8" t="s">
        <v>132</v>
      </c>
      <c r="G214" s="143">
        <v>4803</v>
      </c>
      <c r="H214" s="132">
        <f t="shared" ref="H214:I277" si="34">IF(N214&gt;0,N214,V214)</f>
        <v>46238</v>
      </c>
      <c r="I214" s="140">
        <f t="shared" si="34"/>
        <v>66</v>
      </c>
      <c r="J214" s="9">
        <f t="shared" si="27"/>
        <v>1.3741411617738912</v>
      </c>
      <c r="K214" s="140">
        <f t="shared" si="28"/>
        <v>5</v>
      </c>
      <c r="L214" s="206">
        <f t="shared" si="29"/>
        <v>7.5757575757575761</v>
      </c>
      <c r="M214" s="8" t="str">
        <f t="array" ref="M214">IF(L214&gt;5,"Perlu Sensus",IF(AND(L214&gt;=0,I214&gt;0),"Tetap Deteksi","Belum Deteksi"))</f>
        <v>Perlu Sensus</v>
      </c>
      <c r="N214" s="132">
        <v>46238</v>
      </c>
      <c r="O214" s="203">
        <v>66</v>
      </c>
      <c r="P214" s="9">
        <f t="array" ref="P214">IFERROR(O214/G214*100,0)</f>
        <v>1.3741411617738912</v>
      </c>
      <c r="Q214" s="203">
        <v>5</v>
      </c>
      <c r="R214" s="9">
        <f t="shared" si="30"/>
        <v>7.5757575757575761</v>
      </c>
      <c r="S214" s="8" t="str">
        <f t="array" ref="S214">IF(R214&gt;5,"Perlu Sensus",IF(AND(R214&gt;=0,O214&gt;0),"Tetap Deteksi","Belum Deteksi"))</f>
        <v>Perlu Sensus</v>
      </c>
      <c r="T214" s="203">
        <f t="array" ref="T214">INDEX('[20]LS (Deteksi) Agustus'!T$7:T$303,MATCH(1,('[20]LS (Deteksi) Agustus'!$D$7:$D$303=$D214)*('[20]LS (Deteksi) Agustus'!$D$7:$D$303=$D214),0))</f>
        <v>0</v>
      </c>
      <c r="U214" s="9">
        <f t="shared" si="31"/>
        <v>0</v>
      </c>
      <c r="V214" s="132">
        <v>46239</v>
      </c>
      <c r="W214" s="203">
        <v>232</v>
      </c>
      <c r="X214" s="203">
        <v>33</v>
      </c>
      <c r="Y214" s="9">
        <f t="shared" si="32"/>
        <v>14.224137931034484</v>
      </c>
      <c r="Z214" s="8" t="str">
        <f t="array" ref="Z214">IF(Y214&gt;5,"Perlu Sensus",IF(AND(Y214&gt;0,,O214&gt;0),"Tetap Deteksi","Belum Deteksi"))</f>
        <v>Perlu Sensus</v>
      </c>
      <c r="AA214" s="203">
        <f t="array" ref="AA214">INDEX('[20]LS (Deteksi) Agustus'!AA$7:AA$303,MATCH(1,('[20]LS (Deteksi) Agustus'!$D$7:$D$303=$D214)*('[20]LS (Deteksi) Agustus'!$D$7:$D$303=$D214),0))</f>
        <v>0</v>
      </c>
      <c r="AB214" s="9">
        <f t="shared" si="33"/>
        <v>0</v>
      </c>
    </row>
    <row r="215" spans="1:28" outlineLevel="1" x14ac:dyDescent="0.15">
      <c r="A215" s="8" t="s">
        <v>13</v>
      </c>
      <c r="B215" s="8" t="s">
        <v>47</v>
      </c>
      <c r="C215" s="8" t="s">
        <v>216</v>
      </c>
      <c r="D215" s="8" t="s">
        <v>232</v>
      </c>
      <c r="E215" s="9">
        <v>46.6</v>
      </c>
      <c r="F215" s="8" t="s">
        <v>16</v>
      </c>
      <c r="G215" s="143">
        <v>7036</v>
      </c>
      <c r="H215" s="132">
        <f t="shared" si="34"/>
        <v>46238</v>
      </c>
      <c r="I215" s="140">
        <f t="shared" si="34"/>
        <v>96</v>
      </c>
      <c r="J215" s="9">
        <f t="shared" si="27"/>
        <v>1.3644115974985787</v>
      </c>
      <c r="K215" s="140">
        <f t="shared" si="28"/>
        <v>4</v>
      </c>
      <c r="L215" s="206">
        <f t="shared" si="29"/>
        <v>4.1666666666666661</v>
      </c>
      <c r="M215" s="8" t="str">
        <f t="array" ref="M215">IF(L215&gt;5,"Perlu Sensus",IF(AND(L215&gt;=0,I215&gt;0),"Tetap Deteksi","Belum Deteksi"))</f>
        <v>Tetap Deteksi</v>
      </c>
      <c r="N215" s="132">
        <v>46238</v>
      </c>
      <c r="O215" s="203">
        <v>96</v>
      </c>
      <c r="P215" s="9">
        <f t="array" ref="P215">IFERROR(O215/G215*100,0)</f>
        <v>1.3644115974985787</v>
      </c>
      <c r="Q215" s="203">
        <v>4</v>
      </c>
      <c r="R215" s="9">
        <f t="shared" si="30"/>
        <v>4.1666666666666661</v>
      </c>
      <c r="S215" s="8" t="str">
        <f t="array" ref="S215">IF(R215&gt;5,"Perlu Sensus",IF(AND(R215&gt;=0,O215&gt;0),"Tetap Deteksi","Belum Deteksi"))</f>
        <v>Tetap Deteksi</v>
      </c>
      <c r="T215" s="203">
        <f t="array" ref="T215">INDEX('[20]LS (Deteksi) Agustus'!T$7:T$303,MATCH(1,('[20]LS (Deteksi) Agustus'!$D$7:$D$303=$D215)*('[20]LS (Deteksi) Agustus'!$D$7:$D$303=$D215),0))</f>
        <v>0</v>
      </c>
      <c r="U215" s="9">
        <f t="shared" si="31"/>
        <v>0</v>
      </c>
      <c r="V215" s="132">
        <v>46239</v>
      </c>
      <c r="W215" s="203">
        <v>302</v>
      </c>
      <c r="X215" s="203">
        <v>19</v>
      </c>
      <c r="Y215" s="9">
        <f t="shared" si="32"/>
        <v>6.2913907284768218</v>
      </c>
      <c r="Z215" s="8" t="str">
        <f t="array" ref="Z215">IF(Y215&gt;5,"Perlu Sensus",IF(AND(Y215&gt;0,,O215&gt;0),"Tetap Deteksi","Belum Deteksi"))</f>
        <v>Perlu Sensus</v>
      </c>
      <c r="AA215" s="203">
        <f t="array" ref="AA215">INDEX('[20]LS (Deteksi) Agustus'!AA$7:AA$303,MATCH(1,('[20]LS (Deteksi) Agustus'!$D$7:$D$303=$D215)*('[20]LS (Deteksi) Agustus'!$D$7:$D$303=$D215),0))</f>
        <v>0</v>
      </c>
      <c r="AB215" s="9">
        <f t="shared" si="33"/>
        <v>0</v>
      </c>
    </row>
    <row r="216" spans="1:28" outlineLevel="1" x14ac:dyDescent="0.15">
      <c r="A216" s="8" t="s">
        <v>13</v>
      </c>
      <c r="B216" s="8" t="s">
        <v>47</v>
      </c>
      <c r="C216" s="8" t="s">
        <v>216</v>
      </c>
      <c r="D216" s="8" t="s">
        <v>233</v>
      </c>
      <c r="E216" s="9">
        <v>21.17</v>
      </c>
      <c r="F216" s="8" t="s">
        <v>16</v>
      </c>
      <c r="G216" s="143">
        <v>3311</v>
      </c>
      <c r="H216" s="132">
        <f t="shared" si="34"/>
        <v>46238</v>
      </c>
      <c r="I216" s="140">
        <f t="shared" si="34"/>
        <v>53</v>
      </c>
      <c r="J216" s="9">
        <f t="shared" si="27"/>
        <v>1.6007248565388099</v>
      </c>
      <c r="K216" s="140">
        <f t="shared" si="28"/>
        <v>3</v>
      </c>
      <c r="L216" s="206">
        <f t="shared" si="29"/>
        <v>5.6603773584905666</v>
      </c>
      <c r="M216" s="8" t="str">
        <f t="array" ref="M216">IF(L216&gt;5,"Perlu Sensus",IF(AND(L216&gt;=0,I216&gt;0),"Tetap Deteksi","Belum Deteksi"))</f>
        <v>Perlu Sensus</v>
      </c>
      <c r="N216" s="132">
        <v>46238</v>
      </c>
      <c r="O216" s="203">
        <v>53</v>
      </c>
      <c r="P216" s="9">
        <f t="array" ref="P216">IFERROR(O216/G216*100,0)</f>
        <v>1.6007248565388099</v>
      </c>
      <c r="Q216" s="203">
        <v>3</v>
      </c>
      <c r="R216" s="9">
        <f t="shared" si="30"/>
        <v>5.6603773584905666</v>
      </c>
      <c r="S216" s="8" t="str">
        <f t="array" ref="S216">IF(R216&gt;5,"Perlu Sensus",IF(AND(R216&gt;=0,O216&gt;0),"Tetap Deteksi","Belum Deteksi"))</f>
        <v>Perlu Sensus</v>
      </c>
      <c r="T216" s="203">
        <f t="array" ref="T216">INDEX('[20]LS (Deteksi) Agustus'!T$7:T$303,MATCH(1,('[20]LS (Deteksi) Agustus'!$D$7:$D$303=$D216)*('[20]LS (Deteksi) Agustus'!$D$7:$D$303=$D216),0))</f>
        <v>0</v>
      </c>
      <c r="U216" s="9">
        <f t="shared" si="31"/>
        <v>0</v>
      </c>
      <c r="V216" s="132">
        <v>46239</v>
      </c>
      <c r="W216" s="203">
        <v>242</v>
      </c>
      <c r="X216" s="203">
        <v>17</v>
      </c>
      <c r="Y216" s="9">
        <f t="shared" si="32"/>
        <v>7.0247933884297522</v>
      </c>
      <c r="Z216" s="8" t="str">
        <f t="array" ref="Z216">IF(Y216&gt;5,"Perlu Sensus",IF(AND(Y216&gt;0,,O216&gt;0),"Tetap Deteksi","Belum Deteksi"))</f>
        <v>Perlu Sensus</v>
      </c>
      <c r="AA216" s="203">
        <f t="array" ref="AA216">INDEX('[20]LS (Deteksi) Agustus'!AA$7:AA$303,MATCH(1,('[20]LS (Deteksi) Agustus'!$D$7:$D$303=$D216)*('[20]LS (Deteksi) Agustus'!$D$7:$D$303=$D216),0))</f>
        <v>0</v>
      </c>
      <c r="AB216" s="9">
        <f t="shared" si="33"/>
        <v>0</v>
      </c>
    </row>
    <row r="217" spans="1:28" outlineLevel="1" x14ac:dyDescent="0.15">
      <c r="A217" s="8" t="s">
        <v>13</v>
      </c>
      <c r="B217" s="8" t="s">
        <v>47</v>
      </c>
      <c r="C217" s="8" t="s">
        <v>216</v>
      </c>
      <c r="D217" s="8" t="s">
        <v>234</v>
      </c>
      <c r="E217" s="9">
        <v>23.9</v>
      </c>
      <c r="F217" s="8" t="s">
        <v>16</v>
      </c>
      <c r="G217" s="143">
        <v>3605</v>
      </c>
      <c r="H217" s="132">
        <f t="shared" si="34"/>
        <v>46242</v>
      </c>
      <c r="I217" s="140">
        <f t="shared" si="34"/>
        <v>55</v>
      </c>
      <c r="J217" s="9">
        <f t="shared" si="27"/>
        <v>1.5256588072122053</v>
      </c>
      <c r="K217" s="140">
        <f t="shared" si="28"/>
        <v>6</v>
      </c>
      <c r="L217" s="206">
        <f t="shared" si="29"/>
        <v>10.909090909090908</v>
      </c>
      <c r="M217" s="8" t="str">
        <f t="array" ref="M217">IF(L217&gt;5,"Perlu Sensus",IF(AND(L217&gt;=0,I217&gt;0),"Tetap Deteksi","Belum Deteksi"))</f>
        <v>Perlu Sensus</v>
      </c>
      <c r="N217" s="132">
        <v>46242</v>
      </c>
      <c r="O217" s="203">
        <v>55</v>
      </c>
      <c r="P217" s="9">
        <f t="array" ref="P217">IFERROR(O217/G217*100,0)</f>
        <v>1.5256588072122053</v>
      </c>
      <c r="Q217" s="203">
        <v>6</v>
      </c>
      <c r="R217" s="9">
        <f t="shared" si="30"/>
        <v>10.909090909090908</v>
      </c>
      <c r="S217" s="8" t="str">
        <f t="array" ref="S217">IF(R217&gt;5,"Perlu Sensus",IF(AND(R217&gt;=0,O217&gt;0),"Tetap Deteksi","Belum Deteksi"))</f>
        <v>Perlu Sensus</v>
      </c>
      <c r="T217" s="203">
        <f t="array" ref="T217">INDEX('[20]LS (Deteksi) Agustus'!T$7:T$303,MATCH(1,('[20]LS (Deteksi) Agustus'!$D$7:$D$303=$D217)*('[20]LS (Deteksi) Agustus'!$D$7:$D$303=$D217),0))</f>
        <v>0</v>
      </c>
      <c r="U217" s="9">
        <f t="shared" si="31"/>
        <v>0</v>
      </c>
      <c r="V217" s="132">
        <v>46243</v>
      </c>
      <c r="W217" s="203">
        <v>283</v>
      </c>
      <c r="X217" s="203">
        <v>42</v>
      </c>
      <c r="Y217" s="9">
        <f t="shared" si="32"/>
        <v>14.840989399293287</v>
      </c>
      <c r="Z217" s="8" t="str">
        <f t="array" ref="Z217">IF(Y217&gt;5,"Perlu Sensus",IF(AND(Y217&gt;0,,O217&gt;0),"Tetap Deteksi","Belum Deteksi"))</f>
        <v>Perlu Sensus</v>
      </c>
      <c r="AA217" s="203">
        <f t="array" ref="AA217">INDEX('[20]LS (Deteksi) Agustus'!AA$7:AA$303,MATCH(1,('[20]LS (Deteksi) Agustus'!$D$7:$D$303=$D217)*('[20]LS (Deteksi) Agustus'!$D$7:$D$303=$D217),0))</f>
        <v>0</v>
      </c>
      <c r="AB217" s="9">
        <f t="shared" si="33"/>
        <v>0</v>
      </c>
    </row>
    <row r="218" spans="1:28" outlineLevel="1" x14ac:dyDescent="0.15">
      <c r="A218" s="8" t="s">
        <v>13</v>
      </c>
      <c r="B218" s="8" t="s">
        <v>47</v>
      </c>
      <c r="C218" s="8" t="s">
        <v>216</v>
      </c>
      <c r="D218" s="8" t="s">
        <v>235</v>
      </c>
      <c r="E218" s="9">
        <v>26.4</v>
      </c>
      <c r="F218" s="8" t="s">
        <v>16</v>
      </c>
      <c r="G218" s="143">
        <v>4024</v>
      </c>
      <c r="H218" s="132">
        <f t="shared" si="34"/>
        <v>46244</v>
      </c>
      <c r="I218" s="140">
        <f t="shared" si="34"/>
        <v>53</v>
      </c>
      <c r="J218" s="9">
        <f t="shared" si="27"/>
        <v>1.3170974155069581</v>
      </c>
      <c r="K218" s="140">
        <f t="shared" si="28"/>
        <v>3</v>
      </c>
      <c r="L218" s="206">
        <f t="shared" si="29"/>
        <v>5.6603773584905666</v>
      </c>
      <c r="M218" s="8" t="str">
        <f t="array" ref="M218">IF(L218&gt;5,"Perlu Sensus",IF(AND(L218&gt;=0,I218&gt;0),"Tetap Deteksi","Belum Deteksi"))</f>
        <v>Perlu Sensus</v>
      </c>
      <c r="N218" s="132">
        <v>46244</v>
      </c>
      <c r="O218" s="203">
        <v>53</v>
      </c>
      <c r="P218" s="9">
        <f t="array" ref="P218">IFERROR(O218/G218*100,0)</f>
        <v>1.3170974155069581</v>
      </c>
      <c r="Q218" s="203">
        <v>3</v>
      </c>
      <c r="R218" s="9">
        <f t="shared" si="30"/>
        <v>5.6603773584905666</v>
      </c>
      <c r="S218" s="8" t="str">
        <f t="array" ref="S218">IF(R218&gt;5,"Perlu Sensus",IF(AND(R218&gt;=0,O218&gt;0),"Tetap Deteksi","Belum Deteksi"))</f>
        <v>Perlu Sensus</v>
      </c>
      <c r="T218" s="203">
        <f t="array" ref="T218">INDEX('[20]LS (Deteksi) Agustus'!T$7:T$303,MATCH(1,('[20]LS (Deteksi) Agustus'!$D$7:$D$303=$D218)*('[20]LS (Deteksi) Agustus'!$D$7:$D$303=$D218),0))</f>
        <v>0</v>
      </c>
      <c r="U218" s="9">
        <f t="shared" si="31"/>
        <v>0</v>
      </c>
      <c r="V218" s="132">
        <v>46245</v>
      </c>
      <c r="W218" s="203">
        <v>229</v>
      </c>
      <c r="X218" s="203">
        <v>22</v>
      </c>
      <c r="Y218" s="9">
        <f t="shared" si="32"/>
        <v>9.606986899563319</v>
      </c>
      <c r="Z218" s="8" t="str">
        <f t="array" ref="Z218">IF(Y218&gt;5,"Perlu Sensus",IF(AND(Y218&gt;0,,O218&gt;0),"Tetap Deteksi","Belum Deteksi"))</f>
        <v>Perlu Sensus</v>
      </c>
      <c r="AA218" s="203">
        <f t="array" ref="AA218">INDEX('[20]LS (Deteksi) Agustus'!AA$7:AA$303,MATCH(1,('[20]LS (Deteksi) Agustus'!$D$7:$D$303=$D218)*('[20]LS (Deteksi) Agustus'!$D$7:$D$303=$D218),0))</f>
        <v>0</v>
      </c>
      <c r="AB218" s="9">
        <f t="shared" si="33"/>
        <v>0</v>
      </c>
    </row>
    <row r="219" spans="1:28" outlineLevel="1" x14ac:dyDescent="0.15">
      <c r="A219" s="8" t="s">
        <v>13</v>
      </c>
      <c r="B219" s="8" t="s">
        <v>47</v>
      </c>
      <c r="C219" s="8" t="s">
        <v>216</v>
      </c>
      <c r="D219" s="8" t="s">
        <v>236</v>
      </c>
      <c r="E219" s="9">
        <v>26.47</v>
      </c>
      <c r="F219" s="8" t="s">
        <v>16</v>
      </c>
      <c r="G219" s="143">
        <v>3915</v>
      </c>
      <c r="H219" s="132">
        <f t="shared" si="34"/>
        <v>46244</v>
      </c>
      <c r="I219" s="140">
        <f t="shared" si="34"/>
        <v>51</v>
      </c>
      <c r="J219" s="9">
        <f t="shared" si="27"/>
        <v>1.3026819923371646</v>
      </c>
      <c r="K219" s="140">
        <f t="shared" si="28"/>
        <v>2</v>
      </c>
      <c r="L219" s="206">
        <f t="shared" si="29"/>
        <v>3.9215686274509802</v>
      </c>
      <c r="M219" s="8" t="str">
        <f t="array" ref="M219">IF(L219&gt;5,"Perlu Sensus",IF(AND(L219&gt;=0,I219&gt;0),"Tetap Deteksi","Belum Deteksi"))</f>
        <v>Tetap Deteksi</v>
      </c>
      <c r="N219" s="132">
        <v>46244</v>
      </c>
      <c r="O219" s="203">
        <v>51</v>
      </c>
      <c r="P219" s="9">
        <f t="array" ref="P219">IFERROR(O219/G219*100,0)</f>
        <v>1.3026819923371646</v>
      </c>
      <c r="Q219" s="203">
        <v>2</v>
      </c>
      <c r="R219" s="9">
        <f t="shared" si="30"/>
        <v>3.9215686274509802</v>
      </c>
      <c r="S219" s="8" t="str">
        <f t="array" ref="S219">IF(R219&gt;5,"Perlu Sensus",IF(AND(R219&gt;=0,O219&gt;0),"Tetap Deteksi","Belum Deteksi"))</f>
        <v>Tetap Deteksi</v>
      </c>
      <c r="T219" s="203">
        <f t="array" ref="T219">INDEX('[20]LS (Deteksi) Agustus'!T$7:T$303,MATCH(1,('[20]LS (Deteksi) Agustus'!$D$7:$D$303=$D219)*('[20]LS (Deteksi) Agustus'!$D$7:$D$303=$D219),0))</f>
        <v>0</v>
      </c>
      <c r="U219" s="9">
        <f t="shared" si="31"/>
        <v>0</v>
      </c>
      <c r="V219" s="132">
        <v>46245</v>
      </c>
      <c r="W219" s="203">
        <v>211</v>
      </c>
      <c r="X219" s="203">
        <v>9</v>
      </c>
      <c r="Y219" s="9">
        <f t="shared" si="32"/>
        <v>4.2654028436018958</v>
      </c>
      <c r="Z219" s="8" t="str">
        <f t="array" ref="Z219">IF(Y219&gt;5,"Perlu Sensus",IF(AND(Y219&gt;0,,O219&gt;0),"Tetap Deteksi","Belum Deteksi"))</f>
        <v>Belum Deteksi</v>
      </c>
      <c r="AA219" s="203">
        <f t="array" ref="AA219">INDEX('[20]LS (Deteksi) Agustus'!AA$7:AA$303,MATCH(1,('[20]LS (Deteksi) Agustus'!$D$7:$D$303=$D219)*('[20]LS (Deteksi) Agustus'!$D$7:$D$303=$D219),0))</f>
        <v>0</v>
      </c>
      <c r="AB219" s="9">
        <f t="shared" si="33"/>
        <v>0</v>
      </c>
    </row>
    <row r="220" spans="1:28" outlineLevel="1" x14ac:dyDescent="0.15">
      <c r="A220" s="8" t="s">
        <v>13</v>
      </c>
      <c r="B220" s="8" t="s">
        <v>47</v>
      </c>
      <c r="C220" s="8" t="s">
        <v>216</v>
      </c>
      <c r="D220" s="8" t="s">
        <v>237</v>
      </c>
      <c r="E220" s="9">
        <v>22.7</v>
      </c>
      <c r="F220" s="8" t="s">
        <v>16</v>
      </c>
      <c r="G220" s="143">
        <v>3583</v>
      </c>
      <c r="H220" s="132">
        <f t="shared" si="34"/>
        <v>46244</v>
      </c>
      <c r="I220" s="140">
        <f t="shared" si="34"/>
        <v>52</v>
      </c>
      <c r="J220" s="9">
        <f t="shared" si="27"/>
        <v>1.4512977951437345</v>
      </c>
      <c r="K220" s="140">
        <f t="shared" si="28"/>
        <v>3</v>
      </c>
      <c r="L220" s="206">
        <f t="shared" si="29"/>
        <v>5.7692307692307692</v>
      </c>
      <c r="M220" s="8" t="str">
        <f t="array" ref="M220">IF(L220&gt;5,"Perlu Sensus",IF(AND(L220&gt;=0,I220&gt;0),"Tetap Deteksi","Belum Deteksi"))</f>
        <v>Perlu Sensus</v>
      </c>
      <c r="N220" s="132">
        <v>46244</v>
      </c>
      <c r="O220" s="203">
        <v>52</v>
      </c>
      <c r="P220" s="9">
        <f t="array" ref="P220">IFERROR(O220/G220*100,0)</f>
        <v>1.4512977951437345</v>
      </c>
      <c r="Q220" s="203">
        <v>3</v>
      </c>
      <c r="R220" s="9">
        <f t="shared" si="30"/>
        <v>5.7692307692307692</v>
      </c>
      <c r="S220" s="8" t="str">
        <f t="array" ref="S220">IF(R220&gt;5,"Perlu Sensus",IF(AND(R220&gt;=0,O220&gt;0),"Tetap Deteksi","Belum Deteksi"))</f>
        <v>Perlu Sensus</v>
      </c>
      <c r="T220" s="203">
        <f t="array" ref="T220">INDEX('[20]LS (Deteksi) Agustus'!T$7:T$303,MATCH(1,('[20]LS (Deteksi) Agustus'!$D$7:$D$303=$D220)*('[20]LS (Deteksi) Agustus'!$D$7:$D$303=$D220),0))</f>
        <v>0</v>
      </c>
      <c r="U220" s="9">
        <f t="shared" si="31"/>
        <v>0</v>
      </c>
      <c r="V220" s="132">
        <v>46245</v>
      </c>
      <c r="W220" s="203">
        <v>269</v>
      </c>
      <c r="X220" s="203">
        <v>28</v>
      </c>
      <c r="Y220" s="9">
        <f t="shared" si="32"/>
        <v>10.408921933085502</v>
      </c>
      <c r="Z220" s="8" t="str">
        <f t="array" ref="Z220">IF(Y220&gt;5,"Perlu Sensus",IF(AND(Y220&gt;0,,O220&gt;0),"Tetap Deteksi","Belum Deteksi"))</f>
        <v>Perlu Sensus</v>
      </c>
      <c r="AA220" s="203">
        <f t="array" ref="AA220">INDEX('[20]LS (Deteksi) Agustus'!AA$7:AA$303,MATCH(1,('[20]LS (Deteksi) Agustus'!$D$7:$D$303=$D220)*('[20]LS (Deteksi) Agustus'!$D$7:$D$303=$D220),0))</f>
        <v>0</v>
      </c>
      <c r="AB220" s="9">
        <f t="shared" si="33"/>
        <v>0</v>
      </c>
    </row>
    <row r="221" spans="1:28" outlineLevel="1" x14ac:dyDescent="0.15">
      <c r="A221" s="8" t="s">
        <v>13</v>
      </c>
      <c r="B221" s="8" t="s">
        <v>47</v>
      </c>
      <c r="C221" s="8" t="s">
        <v>216</v>
      </c>
      <c r="D221" s="8" t="s">
        <v>238</v>
      </c>
      <c r="E221" s="9">
        <v>25.27</v>
      </c>
      <c r="F221" s="8" t="s">
        <v>16</v>
      </c>
      <c r="G221" s="143">
        <v>3807</v>
      </c>
      <c r="H221" s="132">
        <f t="shared" si="34"/>
        <v>46244</v>
      </c>
      <c r="I221" s="140">
        <f t="shared" si="34"/>
        <v>54</v>
      </c>
      <c r="J221" s="9">
        <f t="shared" si="27"/>
        <v>1.4184397163120568</v>
      </c>
      <c r="K221" s="140">
        <f t="shared" si="28"/>
        <v>3</v>
      </c>
      <c r="L221" s="206">
        <f t="shared" si="29"/>
        <v>5.5555555555555554</v>
      </c>
      <c r="M221" s="8" t="str">
        <f t="array" ref="M221">IF(L221&gt;5,"Perlu Sensus",IF(AND(L221&gt;=0,I221&gt;0),"Tetap Deteksi","Belum Deteksi"))</f>
        <v>Perlu Sensus</v>
      </c>
      <c r="N221" s="132">
        <v>46244</v>
      </c>
      <c r="O221" s="203">
        <v>54</v>
      </c>
      <c r="P221" s="9">
        <f t="array" ref="P221">IFERROR(O221/G221*100,0)</f>
        <v>1.4184397163120568</v>
      </c>
      <c r="Q221" s="203">
        <v>3</v>
      </c>
      <c r="R221" s="9">
        <f t="shared" si="30"/>
        <v>5.5555555555555554</v>
      </c>
      <c r="S221" s="8" t="str">
        <f t="array" ref="S221">IF(R221&gt;5,"Perlu Sensus",IF(AND(R221&gt;=0,O221&gt;0),"Tetap Deteksi","Belum Deteksi"))</f>
        <v>Perlu Sensus</v>
      </c>
      <c r="T221" s="203">
        <f t="array" ref="T221">INDEX('[20]LS (Deteksi) Agustus'!T$7:T$303,MATCH(1,('[20]LS (Deteksi) Agustus'!$D$7:$D$303=$D221)*('[20]LS (Deteksi) Agustus'!$D$7:$D$303=$D221),0))</f>
        <v>0</v>
      </c>
      <c r="U221" s="9">
        <f t="shared" si="31"/>
        <v>0</v>
      </c>
      <c r="V221" s="132">
        <v>46245</v>
      </c>
      <c r="W221" s="203">
        <v>232</v>
      </c>
      <c r="X221" s="203">
        <v>17</v>
      </c>
      <c r="Y221" s="9">
        <f t="shared" si="32"/>
        <v>7.3275862068965507</v>
      </c>
      <c r="Z221" s="8" t="str">
        <f t="array" ref="Z221">IF(Y221&gt;5,"Perlu Sensus",IF(AND(Y221&gt;0,,O221&gt;0),"Tetap Deteksi","Belum Deteksi"))</f>
        <v>Perlu Sensus</v>
      </c>
      <c r="AA221" s="203">
        <f t="array" ref="AA221">INDEX('[20]LS (Deteksi) Agustus'!AA$7:AA$303,MATCH(1,('[20]LS (Deteksi) Agustus'!$D$7:$D$303=$D221)*('[20]LS (Deteksi) Agustus'!$D$7:$D$303=$D221),0))</f>
        <v>0</v>
      </c>
      <c r="AB221" s="9">
        <f t="shared" si="33"/>
        <v>0</v>
      </c>
    </row>
    <row r="222" spans="1:28" outlineLevel="1" x14ac:dyDescent="0.15">
      <c r="A222" s="8" t="s">
        <v>13</v>
      </c>
      <c r="B222" s="8" t="s">
        <v>47</v>
      </c>
      <c r="C222" s="8" t="s">
        <v>216</v>
      </c>
      <c r="D222" s="8" t="s">
        <v>239</v>
      </c>
      <c r="E222" s="9">
        <v>22.81</v>
      </c>
      <c r="F222" s="8" t="s">
        <v>16</v>
      </c>
      <c r="G222" s="143">
        <v>3605</v>
      </c>
      <c r="H222" s="132">
        <f t="shared" si="34"/>
        <v>46241</v>
      </c>
      <c r="I222" s="140">
        <f t="shared" si="34"/>
        <v>54</v>
      </c>
      <c r="J222" s="9">
        <f t="shared" si="27"/>
        <v>1.4979195561719834</v>
      </c>
      <c r="K222" s="140">
        <f t="shared" si="28"/>
        <v>4</v>
      </c>
      <c r="L222" s="206">
        <f t="shared" si="29"/>
        <v>7.4074074074074066</v>
      </c>
      <c r="M222" s="8" t="str">
        <f t="array" ref="M222">IF(L222&gt;5,"Perlu Sensus",IF(AND(L222&gt;=0,I222&gt;0),"Tetap Deteksi","Belum Deteksi"))</f>
        <v>Perlu Sensus</v>
      </c>
      <c r="N222" s="132">
        <v>46241</v>
      </c>
      <c r="O222" s="203">
        <v>54</v>
      </c>
      <c r="P222" s="9">
        <f t="array" ref="P222">IFERROR(O222/G222*100,0)</f>
        <v>1.4979195561719834</v>
      </c>
      <c r="Q222" s="203">
        <v>4</v>
      </c>
      <c r="R222" s="9">
        <f t="shared" si="30"/>
        <v>7.4074074074074066</v>
      </c>
      <c r="S222" s="8" t="str">
        <f t="array" ref="S222">IF(R222&gt;5,"Perlu Sensus",IF(AND(R222&gt;=0,O222&gt;0),"Tetap Deteksi","Belum Deteksi"))</f>
        <v>Perlu Sensus</v>
      </c>
      <c r="T222" s="203">
        <f t="array" ref="T222">INDEX('[20]LS (Deteksi) Agustus'!T$7:T$303,MATCH(1,('[20]LS (Deteksi) Agustus'!$D$7:$D$303=$D222)*('[20]LS (Deteksi) Agustus'!$D$7:$D$303=$D222),0))</f>
        <v>0</v>
      </c>
      <c r="U222" s="9">
        <f t="shared" si="31"/>
        <v>0</v>
      </c>
      <c r="V222" s="132">
        <v>46242</v>
      </c>
      <c r="W222" s="203">
        <v>216</v>
      </c>
      <c r="X222" s="203">
        <v>9</v>
      </c>
      <c r="Y222" s="9">
        <f t="shared" si="32"/>
        <v>4.1666666666666661</v>
      </c>
      <c r="Z222" s="8" t="str">
        <f t="array" ref="Z222">IF(Y222&gt;5,"Perlu Sensus",IF(AND(Y222&gt;0,,O222&gt;0),"Tetap Deteksi","Belum Deteksi"))</f>
        <v>Belum Deteksi</v>
      </c>
      <c r="AA222" s="203">
        <f t="array" ref="AA222">INDEX('[20]LS (Deteksi) Agustus'!AA$7:AA$303,MATCH(1,('[20]LS (Deteksi) Agustus'!$D$7:$D$303=$D222)*('[20]LS (Deteksi) Agustus'!$D$7:$D$303=$D222),0))</f>
        <v>0</v>
      </c>
      <c r="AB222" s="9">
        <f t="shared" si="33"/>
        <v>0</v>
      </c>
    </row>
    <row r="223" spans="1:28" outlineLevel="1" x14ac:dyDescent="0.15">
      <c r="A223" s="8" t="s">
        <v>13</v>
      </c>
      <c r="B223" s="8" t="s">
        <v>47</v>
      </c>
      <c r="C223" s="8" t="s">
        <v>216</v>
      </c>
      <c r="D223" s="8" t="s">
        <v>240</v>
      </c>
      <c r="E223" s="9">
        <v>24.54</v>
      </c>
      <c r="F223" s="8" t="s">
        <v>132</v>
      </c>
      <c r="G223" s="143">
        <v>3193</v>
      </c>
      <c r="H223" s="132">
        <f t="shared" si="34"/>
        <v>46238</v>
      </c>
      <c r="I223" s="140">
        <f t="shared" si="34"/>
        <v>55</v>
      </c>
      <c r="J223" s="9">
        <f t="shared" si="27"/>
        <v>1.7225180081428124</v>
      </c>
      <c r="K223" s="140">
        <f t="shared" si="28"/>
        <v>5</v>
      </c>
      <c r="L223" s="206">
        <f t="shared" si="29"/>
        <v>9.0909090909090917</v>
      </c>
      <c r="M223" s="8" t="str">
        <f t="array" ref="M223">IF(L223&gt;5,"Perlu Sensus",IF(AND(L223&gt;=0,I223&gt;0),"Tetap Deteksi","Belum Deteksi"))</f>
        <v>Perlu Sensus</v>
      </c>
      <c r="N223" s="132">
        <v>46238</v>
      </c>
      <c r="O223" s="203">
        <v>55</v>
      </c>
      <c r="P223" s="9">
        <f t="array" ref="P223">IFERROR(O223/G223*100,0)</f>
        <v>1.7225180081428124</v>
      </c>
      <c r="Q223" s="203">
        <v>5</v>
      </c>
      <c r="R223" s="9">
        <f t="shared" si="30"/>
        <v>9.0909090909090917</v>
      </c>
      <c r="S223" s="8" t="str">
        <f t="array" ref="S223">IF(R223&gt;5,"Perlu Sensus",IF(AND(R223&gt;=0,O223&gt;0),"Tetap Deteksi","Belum Deteksi"))</f>
        <v>Perlu Sensus</v>
      </c>
      <c r="T223" s="203">
        <f t="array" ref="T223">INDEX('[20]LS (Deteksi) Agustus'!T$7:T$303,MATCH(1,('[20]LS (Deteksi) Agustus'!$D$7:$D$303=$D223)*('[20]LS (Deteksi) Agustus'!$D$7:$D$303=$D223),0))</f>
        <v>0</v>
      </c>
      <c r="U223" s="9">
        <f t="shared" si="31"/>
        <v>0</v>
      </c>
      <c r="V223" s="132">
        <v>46239</v>
      </c>
      <c r="W223" s="203">
        <v>228</v>
      </c>
      <c r="X223" s="203">
        <v>19</v>
      </c>
      <c r="Y223" s="9">
        <f t="shared" si="32"/>
        <v>8.3333333333333321</v>
      </c>
      <c r="Z223" s="8" t="str">
        <f t="array" ref="Z223">IF(Y223&gt;5,"Perlu Sensus",IF(AND(Y223&gt;0,,O223&gt;0),"Tetap Deteksi","Belum Deteksi"))</f>
        <v>Perlu Sensus</v>
      </c>
      <c r="AA223" s="203">
        <f t="array" ref="AA223">INDEX('[20]LS (Deteksi) Agustus'!AA$7:AA$303,MATCH(1,('[20]LS (Deteksi) Agustus'!$D$7:$D$303=$D223)*('[20]LS (Deteksi) Agustus'!$D$7:$D$303=$D223),0))</f>
        <v>0</v>
      </c>
      <c r="AB223" s="9">
        <f t="shared" si="33"/>
        <v>0</v>
      </c>
    </row>
    <row r="224" spans="1:28" outlineLevel="1" x14ac:dyDescent="0.15">
      <c r="A224" s="8" t="s">
        <v>13</v>
      </c>
      <c r="B224" s="8" t="s">
        <v>47</v>
      </c>
      <c r="C224" s="8" t="s">
        <v>216</v>
      </c>
      <c r="D224" s="8" t="s">
        <v>241</v>
      </c>
      <c r="E224" s="9">
        <v>25.27</v>
      </c>
      <c r="F224" s="8" t="s">
        <v>132</v>
      </c>
      <c r="G224" s="143">
        <v>3286</v>
      </c>
      <c r="H224" s="132">
        <f t="shared" si="34"/>
        <v>46237</v>
      </c>
      <c r="I224" s="140">
        <f t="shared" si="34"/>
        <v>52</v>
      </c>
      <c r="J224" s="9">
        <f t="shared" si="27"/>
        <v>1.582471089470481</v>
      </c>
      <c r="K224" s="140">
        <f t="shared" si="28"/>
        <v>3</v>
      </c>
      <c r="L224" s="206">
        <f t="shared" si="29"/>
        <v>5.7692307692307692</v>
      </c>
      <c r="M224" s="8" t="str">
        <f t="array" ref="M224">IF(L224&gt;5,"Perlu Sensus",IF(AND(L224&gt;=0,I224&gt;0),"Tetap Deteksi","Belum Deteksi"))</f>
        <v>Perlu Sensus</v>
      </c>
      <c r="N224" s="132">
        <v>46237</v>
      </c>
      <c r="O224" s="203">
        <v>52</v>
      </c>
      <c r="P224" s="9">
        <f t="array" ref="P224">IFERROR(O224/G224*100,0)</f>
        <v>1.582471089470481</v>
      </c>
      <c r="Q224" s="203">
        <v>3</v>
      </c>
      <c r="R224" s="9">
        <f t="shared" si="30"/>
        <v>5.7692307692307692</v>
      </c>
      <c r="S224" s="8" t="str">
        <f t="array" ref="S224">IF(R224&gt;5,"Perlu Sensus",IF(AND(R224&gt;=0,O224&gt;0),"Tetap Deteksi","Belum Deteksi"))</f>
        <v>Perlu Sensus</v>
      </c>
      <c r="T224" s="203">
        <f t="array" ref="T224">INDEX('[20]LS (Deteksi) Agustus'!T$7:T$303,MATCH(1,('[20]LS (Deteksi) Agustus'!$D$7:$D$303=$D224)*('[20]LS (Deteksi) Agustus'!$D$7:$D$303=$D224),0))</f>
        <v>0</v>
      </c>
      <c r="U224" s="9">
        <f t="shared" si="31"/>
        <v>0</v>
      </c>
      <c r="V224" s="132">
        <v>46238</v>
      </c>
      <c r="W224" s="203">
        <v>210</v>
      </c>
      <c r="X224" s="203">
        <v>7</v>
      </c>
      <c r="Y224" s="9">
        <f t="shared" si="32"/>
        <v>3.3333333333333335</v>
      </c>
      <c r="Z224" s="8" t="str">
        <f t="array" ref="Z224">IF(Y224&gt;5,"Perlu Sensus",IF(AND(Y224&gt;0,,O224&gt;0),"Tetap Deteksi","Belum Deteksi"))</f>
        <v>Belum Deteksi</v>
      </c>
      <c r="AA224" s="203">
        <f t="array" ref="AA224">INDEX('[20]LS (Deteksi) Agustus'!AA$7:AA$303,MATCH(1,('[20]LS (Deteksi) Agustus'!$D$7:$D$303=$D224)*('[20]LS (Deteksi) Agustus'!$D$7:$D$303=$D224),0))</f>
        <v>0</v>
      </c>
      <c r="AB224" s="9">
        <f t="shared" si="33"/>
        <v>0</v>
      </c>
    </row>
    <row r="225" spans="1:28" outlineLevel="1" x14ac:dyDescent="0.15">
      <c r="A225" s="8" t="s">
        <v>13</v>
      </c>
      <c r="B225" s="8" t="s">
        <v>47</v>
      </c>
      <c r="C225" s="8" t="s">
        <v>216</v>
      </c>
      <c r="D225" s="8" t="s">
        <v>242</v>
      </c>
      <c r="E225" s="9">
        <v>24.55</v>
      </c>
      <c r="F225" s="8" t="s">
        <v>132</v>
      </c>
      <c r="G225" s="143">
        <v>3529</v>
      </c>
      <c r="H225" s="132">
        <f t="shared" si="34"/>
        <v>46237</v>
      </c>
      <c r="I225" s="140">
        <f t="shared" si="34"/>
        <v>53</v>
      </c>
      <c r="J225" s="9">
        <f t="shared" si="27"/>
        <v>1.5018418815528478</v>
      </c>
      <c r="K225" s="140">
        <f t="shared" si="28"/>
        <v>2</v>
      </c>
      <c r="L225" s="206">
        <f t="shared" si="29"/>
        <v>3.7735849056603774</v>
      </c>
      <c r="M225" s="8" t="str">
        <f t="array" ref="M225">IF(L225&gt;5,"Perlu Sensus",IF(AND(L225&gt;=0,I225&gt;0),"Tetap Deteksi","Belum Deteksi"))</f>
        <v>Tetap Deteksi</v>
      </c>
      <c r="N225" s="132">
        <v>46237</v>
      </c>
      <c r="O225" s="203">
        <v>53</v>
      </c>
      <c r="P225" s="9">
        <f t="array" ref="P225">IFERROR(O225/G225*100,0)</f>
        <v>1.5018418815528478</v>
      </c>
      <c r="Q225" s="203">
        <v>2</v>
      </c>
      <c r="R225" s="9">
        <f t="shared" si="30"/>
        <v>3.7735849056603774</v>
      </c>
      <c r="S225" s="8" t="str">
        <f t="array" ref="S225">IF(R225&gt;5,"Perlu Sensus",IF(AND(R225&gt;=0,O225&gt;0),"Tetap Deteksi","Belum Deteksi"))</f>
        <v>Tetap Deteksi</v>
      </c>
      <c r="T225" s="203">
        <f t="array" ref="T225">INDEX('[20]LS (Deteksi) Agustus'!T$7:T$303,MATCH(1,('[20]LS (Deteksi) Agustus'!$D$7:$D$303=$D225)*('[20]LS (Deteksi) Agustus'!$D$7:$D$303=$D225),0))</f>
        <v>0</v>
      </c>
      <c r="U225" s="9">
        <f t="shared" si="31"/>
        <v>0</v>
      </c>
      <c r="V225" s="132">
        <v>46238</v>
      </c>
      <c r="W225" s="203">
        <v>248</v>
      </c>
      <c r="X225" s="203">
        <v>11</v>
      </c>
      <c r="Y225" s="9">
        <f t="shared" si="32"/>
        <v>4.435483870967742</v>
      </c>
      <c r="Z225" s="8" t="str">
        <f t="array" ref="Z225">IF(Y225&gt;5,"Perlu Sensus",IF(AND(Y225&gt;0,,O225&gt;0),"Tetap Deteksi","Belum Deteksi"))</f>
        <v>Belum Deteksi</v>
      </c>
      <c r="AA225" s="203">
        <f t="array" ref="AA225">INDEX('[20]LS (Deteksi) Agustus'!AA$7:AA$303,MATCH(1,('[20]LS (Deteksi) Agustus'!$D$7:$D$303=$D225)*('[20]LS (Deteksi) Agustus'!$D$7:$D$303=$D225),0))</f>
        <v>0</v>
      </c>
      <c r="AB225" s="9">
        <f t="shared" si="33"/>
        <v>0</v>
      </c>
    </row>
    <row r="226" spans="1:28" outlineLevel="1" x14ac:dyDescent="0.15">
      <c r="A226" s="8" t="s">
        <v>13</v>
      </c>
      <c r="B226" s="8" t="s">
        <v>47</v>
      </c>
      <c r="C226" s="8" t="s">
        <v>216</v>
      </c>
      <c r="D226" s="8" t="s">
        <v>243</v>
      </c>
      <c r="E226" s="9">
        <v>29.51</v>
      </c>
      <c r="F226" s="8" t="s">
        <v>132</v>
      </c>
      <c r="G226" s="143">
        <v>4442</v>
      </c>
      <c r="H226" s="132">
        <f t="shared" si="34"/>
        <v>46237</v>
      </c>
      <c r="I226" s="140">
        <f t="shared" si="34"/>
        <v>63</v>
      </c>
      <c r="J226" s="9">
        <f t="shared" si="27"/>
        <v>1.4182800540297165</v>
      </c>
      <c r="K226" s="140">
        <f t="shared" si="28"/>
        <v>3</v>
      </c>
      <c r="L226" s="206">
        <f t="shared" si="29"/>
        <v>4.7619047619047619</v>
      </c>
      <c r="M226" s="8" t="str">
        <f t="array" ref="M226">IF(L226&gt;5,"Perlu Sensus",IF(AND(L226&gt;=0,I226&gt;0),"Tetap Deteksi","Belum Deteksi"))</f>
        <v>Tetap Deteksi</v>
      </c>
      <c r="N226" s="132">
        <v>46237</v>
      </c>
      <c r="O226" s="203">
        <v>63</v>
      </c>
      <c r="P226" s="9">
        <f t="array" ref="P226">IFERROR(O226/G226*100,0)</f>
        <v>1.4182800540297165</v>
      </c>
      <c r="Q226" s="203">
        <v>3</v>
      </c>
      <c r="R226" s="9">
        <f t="shared" si="30"/>
        <v>4.7619047619047619</v>
      </c>
      <c r="S226" s="8" t="str">
        <f t="array" ref="S226">IF(R226&gt;5,"Perlu Sensus",IF(AND(R226&gt;=0,O226&gt;0),"Tetap Deteksi","Belum Deteksi"))</f>
        <v>Tetap Deteksi</v>
      </c>
      <c r="T226" s="203">
        <f t="array" ref="T226">INDEX('[20]LS (Deteksi) Agustus'!T$7:T$303,MATCH(1,('[20]LS (Deteksi) Agustus'!$D$7:$D$303=$D226)*('[20]LS (Deteksi) Agustus'!$D$7:$D$303=$D226),0))</f>
        <v>0</v>
      </c>
      <c r="U226" s="9">
        <f t="shared" si="31"/>
        <v>0</v>
      </c>
      <c r="V226" s="132">
        <v>46238</v>
      </c>
      <c r="W226" s="203">
        <v>259</v>
      </c>
      <c r="X226" s="203">
        <v>9</v>
      </c>
      <c r="Y226" s="9">
        <f t="shared" si="32"/>
        <v>3.4749034749034751</v>
      </c>
      <c r="Z226" s="8" t="str">
        <f t="array" ref="Z226">IF(Y226&gt;5,"Perlu Sensus",IF(AND(Y226&gt;0,,O226&gt;0),"Tetap Deteksi","Belum Deteksi"))</f>
        <v>Belum Deteksi</v>
      </c>
      <c r="AA226" s="203">
        <f t="array" ref="AA226">INDEX('[20]LS (Deteksi) Agustus'!AA$7:AA$303,MATCH(1,('[20]LS (Deteksi) Agustus'!$D$7:$D$303=$D226)*('[20]LS (Deteksi) Agustus'!$D$7:$D$303=$D226),0))</f>
        <v>0</v>
      </c>
      <c r="AB226" s="9">
        <f t="shared" si="33"/>
        <v>0</v>
      </c>
    </row>
    <row r="227" spans="1:28" outlineLevel="1" x14ac:dyDescent="0.15">
      <c r="A227" s="8" t="s">
        <v>13</v>
      </c>
      <c r="B227" s="8" t="s">
        <v>47</v>
      </c>
      <c r="C227" s="8" t="s">
        <v>216</v>
      </c>
      <c r="D227" s="8" t="s">
        <v>244</v>
      </c>
      <c r="E227" s="9">
        <v>23.38</v>
      </c>
      <c r="F227" s="8" t="s">
        <v>132</v>
      </c>
      <c r="G227" s="143">
        <v>3639</v>
      </c>
      <c r="H227" s="132">
        <f t="shared" si="34"/>
        <v>46237</v>
      </c>
      <c r="I227" s="140">
        <f t="shared" si="34"/>
        <v>54</v>
      </c>
      <c r="J227" s="9">
        <f t="shared" si="27"/>
        <v>1.4839241549876341</v>
      </c>
      <c r="K227" s="140">
        <f t="shared" si="28"/>
        <v>4</v>
      </c>
      <c r="L227" s="206">
        <f t="shared" si="29"/>
        <v>7.4074074074074066</v>
      </c>
      <c r="M227" s="8" t="str">
        <f t="array" ref="M227">IF(L227&gt;5,"Perlu Sensus",IF(AND(L227&gt;=0,I227&gt;0),"Tetap Deteksi","Belum Deteksi"))</f>
        <v>Perlu Sensus</v>
      </c>
      <c r="N227" s="132">
        <v>46237</v>
      </c>
      <c r="O227" s="203">
        <v>54</v>
      </c>
      <c r="P227" s="9">
        <f t="array" ref="P227">IFERROR(O227/G227*100,0)</f>
        <v>1.4839241549876341</v>
      </c>
      <c r="Q227" s="203">
        <v>4</v>
      </c>
      <c r="R227" s="9">
        <f t="shared" si="30"/>
        <v>7.4074074074074066</v>
      </c>
      <c r="S227" s="8" t="str">
        <f t="array" ref="S227">IF(R227&gt;5,"Perlu Sensus",IF(AND(R227&gt;=0,O227&gt;0),"Tetap Deteksi","Belum Deteksi"))</f>
        <v>Perlu Sensus</v>
      </c>
      <c r="T227" s="203">
        <f t="array" ref="T227">INDEX('[20]LS (Deteksi) Agustus'!T$7:T$303,MATCH(1,('[20]LS (Deteksi) Agustus'!$D$7:$D$303=$D227)*('[20]LS (Deteksi) Agustus'!$D$7:$D$303=$D227),0))</f>
        <v>0</v>
      </c>
      <c r="U227" s="9">
        <f t="shared" si="31"/>
        <v>0</v>
      </c>
      <c r="V227" s="132">
        <v>46238</v>
      </c>
      <c r="W227" s="203">
        <v>211</v>
      </c>
      <c r="X227" s="203">
        <v>7</v>
      </c>
      <c r="Y227" s="9">
        <f t="shared" si="32"/>
        <v>3.3175355450236967</v>
      </c>
      <c r="Z227" s="8" t="str">
        <f t="array" ref="Z227">IF(Y227&gt;5,"Perlu Sensus",IF(AND(Y227&gt;0,,O227&gt;0),"Tetap Deteksi","Belum Deteksi"))</f>
        <v>Belum Deteksi</v>
      </c>
      <c r="AA227" s="203">
        <f t="array" ref="AA227">INDEX('[20]LS (Deteksi) Agustus'!AA$7:AA$303,MATCH(1,('[20]LS (Deteksi) Agustus'!$D$7:$D$303=$D227)*('[20]LS (Deteksi) Agustus'!$D$7:$D$303=$D227),0))</f>
        <v>0</v>
      </c>
      <c r="AB227" s="9">
        <f t="shared" si="33"/>
        <v>0</v>
      </c>
    </row>
    <row r="228" spans="1:28" outlineLevel="1" x14ac:dyDescent="0.15">
      <c r="A228" s="8" t="s">
        <v>13</v>
      </c>
      <c r="B228" s="8" t="s">
        <v>47</v>
      </c>
      <c r="C228" s="8" t="s">
        <v>216</v>
      </c>
      <c r="D228" s="8" t="s">
        <v>245</v>
      </c>
      <c r="E228" s="9">
        <v>25.2</v>
      </c>
      <c r="F228" s="8" t="s">
        <v>16</v>
      </c>
      <c r="G228" s="143">
        <v>4053</v>
      </c>
      <c r="H228" s="132">
        <f t="shared" si="34"/>
        <v>46244</v>
      </c>
      <c r="I228" s="140">
        <f t="shared" si="34"/>
        <v>113</v>
      </c>
      <c r="J228" s="9">
        <f t="shared" si="27"/>
        <v>2.7880582284727362</v>
      </c>
      <c r="K228" s="140">
        <f t="shared" si="28"/>
        <v>8</v>
      </c>
      <c r="L228" s="206">
        <f t="shared" si="29"/>
        <v>7.0796460176991154</v>
      </c>
      <c r="M228" s="8" t="str">
        <f t="array" ref="M228">IF(L228&gt;5,"Perlu Sensus",IF(AND(L228&gt;=0,I228&gt;0),"Tetap Deteksi","Belum Deteksi"))</f>
        <v>Perlu Sensus</v>
      </c>
      <c r="N228" s="132">
        <v>46244</v>
      </c>
      <c r="O228" s="203">
        <v>113</v>
      </c>
      <c r="P228" s="9">
        <f t="array" ref="P228">IFERROR(O228/G228*100,0)</f>
        <v>2.7880582284727362</v>
      </c>
      <c r="Q228" s="203">
        <v>8</v>
      </c>
      <c r="R228" s="9">
        <f t="shared" si="30"/>
        <v>7.0796460176991154</v>
      </c>
      <c r="S228" s="8" t="str">
        <f t="array" ref="S228">IF(R228&gt;5,"Perlu Sensus",IF(AND(R228&gt;=0,O228&gt;0),"Tetap Deteksi","Belum Deteksi"))</f>
        <v>Perlu Sensus</v>
      </c>
      <c r="T228" s="203">
        <f t="array" ref="T228">INDEX('[20]LS (Deteksi) Agustus'!T$7:T$303,MATCH(1,('[20]LS (Deteksi) Agustus'!$D$7:$D$303=$D228)*('[20]LS (Deteksi) Agustus'!$D$7:$D$303=$D228),0))</f>
        <v>0</v>
      </c>
      <c r="U228" s="9">
        <f t="shared" si="31"/>
        <v>0</v>
      </c>
      <c r="V228" s="132">
        <v>46245</v>
      </c>
      <c r="W228" s="203">
        <v>246</v>
      </c>
      <c r="X228" s="203">
        <v>12</v>
      </c>
      <c r="Y228" s="9">
        <f t="shared" si="32"/>
        <v>4.8780487804878048</v>
      </c>
      <c r="Z228" s="8" t="str">
        <f t="array" ref="Z228">IF(Y228&gt;5,"Perlu Sensus",IF(AND(Y228&gt;0,,O228&gt;0),"Tetap Deteksi","Belum Deteksi"))</f>
        <v>Belum Deteksi</v>
      </c>
      <c r="AA228" s="203">
        <f t="array" ref="AA228">INDEX('[20]LS (Deteksi) Agustus'!AA$7:AA$303,MATCH(1,('[20]LS (Deteksi) Agustus'!$D$7:$D$303=$D228)*('[20]LS (Deteksi) Agustus'!$D$7:$D$303=$D228),0))</f>
        <v>0</v>
      </c>
      <c r="AB228" s="9">
        <f t="shared" si="33"/>
        <v>0</v>
      </c>
    </row>
    <row r="229" spans="1:28" outlineLevel="1" x14ac:dyDescent="0.15">
      <c r="A229" s="8" t="s">
        <v>13</v>
      </c>
      <c r="B229" s="8" t="s">
        <v>47</v>
      </c>
      <c r="C229" s="8" t="s">
        <v>216</v>
      </c>
      <c r="D229" s="8" t="s">
        <v>246</v>
      </c>
      <c r="E229" s="9">
        <v>44.67</v>
      </c>
      <c r="F229" s="8" t="s">
        <v>16</v>
      </c>
      <c r="G229" s="143">
        <v>6550</v>
      </c>
      <c r="H229" s="132">
        <f t="shared" si="34"/>
        <v>46244</v>
      </c>
      <c r="I229" s="140">
        <f t="shared" si="34"/>
        <v>87</v>
      </c>
      <c r="J229" s="9">
        <f t="shared" si="27"/>
        <v>1.3282442748091603</v>
      </c>
      <c r="K229" s="140">
        <f t="shared" si="28"/>
        <v>1</v>
      </c>
      <c r="L229" s="206">
        <f t="shared" si="29"/>
        <v>1.1494252873563218</v>
      </c>
      <c r="M229" s="8" t="str">
        <f t="array" ref="M229">IF(L229&gt;5,"Perlu Sensus",IF(AND(L229&gt;=0,I229&gt;0),"Tetap Deteksi","Belum Deteksi"))</f>
        <v>Tetap Deteksi</v>
      </c>
      <c r="N229" s="132">
        <v>46244</v>
      </c>
      <c r="O229" s="203">
        <v>87</v>
      </c>
      <c r="P229" s="9">
        <f t="array" ref="P229">IFERROR(O229/G229*100,0)</f>
        <v>1.3282442748091603</v>
      </c>
      <c r="Q229" s="203">
        <v>1</v>
      </c>
      <c r="R229" s="9">
        <f t="shared" si="30"/>
        <v>1.1494252873563218</v>
      </c>
      <c r="S229" s="8" t="str">
        <f t="array" ref="S229">IF(R229&gt;5,"Perlu Sensus",IF(AND(R229&gt;=0,O229&gt;0),"Tetap Deteksi","Belum Deteksi"))</f>
        <v>Tetap Deteksi</v>
      </c>
      <c r="T229" s="203">
        <f t="array" ref="T229">INDEX('[20]LS (Deteksi) Agustus'!T$7:T$303,MATCH(1,('[20]LS (Deteksi) Agustus'!$D$7:$D$303=$D229)*('[20]LS (Deteksi) Agustus'!$D$7:$D$303=$D229),0))</f>
        <v>0</v>
      </c>
      <c r="U229" s="9">
        <f t="shared" si="31"/>
        <v>0</v>
      </c>
      <c r="V229" s="132">
        <v>46245</v>
      </c>
      <c r="W229" s="203">
        <v>209</v>
      </c>
      <c r="X229" s="203">
        <v>7</v>
      </c>
      <c r="Y229" s="9">
        <f t="shared" si="32"/>
        <v>3.3492822966507179</v>
      </c>
      <c r="Z229" s="8" t="str">
        <f t="array" ref="Z229">IF(Y229&gt;5,"Perlu Sensus",IF(AND(Y229&gt;0,,O229&gt;0),"Tetap Deteksi","Belum Deteksi"))</f>
        <v>Belum Deteksi</v>
      </c>
      <c r="AA229" s="203">
        <f t="array" ref="AA229">INDEX('[20]LS (Deteksi) Agustus'!AA$7:AA$303,MATCH(1,('[20]LS (Deteksi) Agustus'!$D$7:$D$303=$D229)*('[20]LS (Deteksi) Agustus'!$D$7:$D$303=$D229),0))</f>
        <v>0</v>
      </c>
      <c r="AB229" s="9">
        <f t="shared" si="33"/>
        <v>0</v>
      </c>
    </row>
    <row r="230" spans="1:28" outlineLevel="1" x14ac:dyDescent="0.15">
      <c r="A230" s="8" t="s">
        <v>13</v>
      </c>
      <c r="B230" s="8" t="s">
        <v>47</v>
      </c>
      <c r="C230" s="8" t="s">
        <v>216</v>
      </c>
      <c r="D230" s="8" t="s">
        <v>247</v>
      </c>
      <c r="E230" s="9">
        <v>26.05</v>
      </c>
      <c r="F230" s="8" t="s">
        <v>16</v>
      </c>
      <c r="G230" s="143">
        <v>4093</v>
      </c>
      <c r="H230" s="132">
        <f t="shared" si="34"/>
        <v>46244</v>
      </c>
      <c r="I230" s="140">
        <f t="shared" si="34"/>
        <v>50</v>
      </c>
      <c r="J230" s="9">
        <f t="shared" si="27"/>
        <v>1.221597849987784</v>
      </c>
      <c r="K230" s="140">
        <f t="shared" si="28"/>
        <v>3</v>
      </c>
      <c r="L230" s="206">
        <f t="shared" si="29"/>
        <v>6</v>
      </c>
      <c r="M230" s="8" t="str">
        <f t="array" ref="M230">IF(L230&gt;5,"Perlu Sensus",IF(AND(L230&gt;=0,I230&gt;0),"Tetap Deteksi","Belum Deteksi"))</f>
        <v>Perlu Sensus</v>
      </c>
      <c r="N230" s="132">
        <v>46244</v>
      </c>
      <c r="O230" s="203">
        <v>50</v>
      </c>
      <c r="P230" s="9">
        <f t="array" ref="P230">IFERROR(O230/G230*100,0)</f>
        <v>1.221597849987784</v>
      </c>
      <c r="Q230" s="203">
        <v>3</v>
      </c>
      <c r="R230" s="9">
        <f t="shared" si="30"/>
        <v>6</v>
      </c>
      <c r="S230" s="8" t="str">
        <f t="array" ref="S230">IF(R230&gt;5,"Perlu Sensus",IF(AND(R230&gt;=0,O230&gt;0),"Tetap Deteksi","Belum Deteksi"))</f>
        <v>Perlu Sensus</v>
      </c>
      <c r="T230" s="203">
        <f t="array" ref="T230">INDEX('[20]LS (Deteksi) Agustus'!T$7:T$303,MATCH(1,('[20]LS (Deteksi) Agustus'!$D$7:$D$303=$D230)*('[20]LS (Deteksi) Agustus'!$D$7:$D$303=$D230),0))</f>
        <v>0</v>
      </c>
      <c r="U230" s="9">
        <f t="shared" si="31"/>
        <v>0</v>
      </c>
      <c r="V230" s="132">
        <v>46245</v>
      </c>
      <c r="W230" s="203">
        <v>248</v>
      </c>
      <c r="X230" s="203">
        <v>9</v>
      </c>
      <c r="Y230" s="9">
        <f t="shared" si="32"/>
        <v>3.6290322580645165</v>
      </c>
      <c r="Z230" s="8" t="str">
        <f t="array" ref="Z230">IF(Y230&gt;5,"Perlu Sensus",IF(AND(Y230&gt;0,,O230&gt;0),"Tetap Deteksi","Belum Deteksi"))</f>
        <v>Belum Deteksi</v>
      </c>
      <c r="AA230" s="203">
        <f t="array" ref="AA230">INDEX('[20]LS (Deteksi) Agustus'!AA$7:AA$303,MATCH(1,('[20]LS (Deteksi) Agustus'!$D$7:$D$303=$D230)*('[20]LS (Deteksi) Agustus'!$D$7:$D$303=$D230),0))</f>
        <v>0</v>
      </c>
      <c r="AB230" s="9">
        <f t="shared" si="33"/>
        <v>0</v>
      </c>
    </row>
    <row r="231" spans="1:28" outlineLevel="1" x14ac:dyDescent="0.15">
      <c r="A231" s="8" t="s">
        <v>13</v>
      </c>
      <c r="B231" s="8" t="s">
        <v>47</v>
      </c>
      <c r="C231" s="8" t="s">
        <v>216</v>
      </c>
      <c r="D231" s="8" t="s">
        <v>248</v>
      </c>
      <c r="E231" s="9">
        <v>25.98</v>
      </c>
      <c r="F231" s="8" t="s">
        <v>16</v>
      </c>
      <c r="G231" s="143">
        <v>3629</v>
      </c>
      <c r="H231" s="132">
        <f t="shared" si="34"/>
        <v>46235</v>
      </c>
      <c r="I231" s="140">
        <f t="shared" si="34"/>
        <v>54</v>
      </c>
      <c r="J231" s="9">
        <f t="shared" si="27"/>
        <v>1.4880132267842381</v>
      </c>
      <c r="K231" s="140">
        <f t="shared" si="28"/>
        <v>2</v>
      </c>
      <c r="L231" s="206">
        <f t="shared" si="29"/>
        <v>3.7037037037037033</v>
      </c>
      <c r="M231" s="8" t="str">
        <f t="array" ref="M231">IF(L231&gt;5,"Perlu Sensus",IF(AND(L231&gt;=0,I231&gt;0),"Tetap Deteksi","Belum Deteksi"))</f>
        <v>Tetap Deteksi</v>
      </c>
      <c r="N231" s="132">
        <v>46235</v>
      </c>
      <c r="O231" s="203">
        <v>54</v>
      </c>
      <c r="P231" s="9">
        <f t="array" ref="P231">IFERROR(O231/G231*100,0)</f>
        <v>1.4880132267842381</v>
      </c>
      <c r="Q231" s="203">
        <v>2</v>
      </c>
      <c r="R231" s="9">
        <f t="shared" si="30"/>
        <v>3.7037037037037033</v>
      </c>
      <c r="S231" s="8" t="str">
        <f t="array" ref="S231">IF(R231&gt;5,"Perlu Sensus",IF(AND(R231&gt;=0,O231&gt;0),"Tetap Deteksi","Belum Deteksi"))</f>
        <v>Tetap Deteksi</v>
      </c>
      <c r="T231" s="203">
        <f t="array" ref="T231">INDEX('[20]LS (Deteksi) Agustus'!T$7:T$303,MATCH(1,('[20]LS (Deteksi) Agustus'!$D$7:$D$303=$D231)*('[20]LS (Deteksi) Agustus'!$D$7:$D$303=$D231),0))</f>
        <v>0</v>
      </c>
      <c r="U231" s="9">
        <f t="shared" si="31"/>
        <v>0</v>
      </c>
      <c r="V231" s="132">
        <v>46245</v>
      </c>
      <c r="W231" s="203">
        <v>153</v>
      </c>
      <c r="X231" s="203">
        <v>6</v>
      </c>
      <c r="Y231" s="9">
        <f t="shared" si="32"/>
        <v>3.9215686274509802</v>
      </c>
      <c r="Z231" s="8" t="str">
        <f t="array" ref="Z231">IF(Y231&gt;5,"Perlu Sensus",IF(AND(Y231&gt;0,,O231&gt;0),"Tetap Deteksi","Belum Deteksi"))</f>
        <v>Belum Deteksi</v>
      </c>
      <c r="AA231" s="203">
        <f t="array" ref="AA231">INDEX('[20]LS (Deteksi) Agustus'!AA$7:AA$303,MATCH(1,('[20]LS (Deteksi) Agustus'!$D$7:$D$303=$D231)*('[20]LS (Deteksi) Agustus'!$D$7:$D$303=$D231),0))</f>
        <v>0</v>
      </c>
      <c r="AB231" s="9">
        <f t="shared" si="33"/>
        <v>0</v>
      </c>
    </row>
    <row r="232" spans="1:28" outlineLevel="1" x14ac:dyDescent="0.15">
      <c r="A232" s="8" t="s">
        <v>13</v>
      </c>
      <c r="B232" s="8" t="s">
        <v>47</v>
      </c>
      <c r="C232" s="8" t="s">
        <v>216</v>
      </c>
      <c r="D232" s="8" t="s">
        <v>249</v>
      </c>
      <c r="E232" s="9">
        <v>23.23</v>
      </c>
      <c r="F232" s="8" t="s">
        <v>16</v>
      </c>
      <c r="G232" s="143">
        <v>3361</v>
      </c>
      <c r="H232" s="132">
        <f t="shared" si="34"/>
        <v>46245</v>
      </c>
      <c r="I232" s="140">
        <f t="shared" si="34"/>
        <v>56</v>
      </c>
      <c r="J232" s="9">
        <f t="shared" si="27"/>
        <v>1.6661707825052066</v>
      </c>
      <c r="K232" s="140">
        <f t="shared" si="28"/>
        <v>2</v>
      </c>
      <c r="L232" s="206">
        <f t="shared" si="29"/>
        <v>3.5714285714285712</v>
      </c>
      <c r="M232" s="8" t="str">
        <f t="array" ref="M232">IF(L232&gt;5,"Perlu Sensus",IF(AND(L232&gt;=0,I232&gt;0),"Tetap Deteksi","Belum Deteksi"))</f>
        <v>Tetap Deteksi</v>
      </c>
      <c r="N232" s="132">
        <v>46245</v>
      </c>
      <c r="O232" s="203">
        <v>56</v>
      </c>
      <c r="P232" s="9">
        <f t="array" ref="P232">IFERROR(O232/G232*100,0)</f>
        <v>1.6661707825052066</v>
      </c>
      <c r="Q232" s="203">
        <v>2</v>
      </c>
      <c r="R232" s="9">
        <f t="shared" si="30"/>
        <v>3.5714285714285712</v>
      </c>
      <c r="S232" s="8" t="str">
        <f t="array" ref="S232">IF(R232&gt;5,"Perlu Sensus",IF(AND(R232&gt;=0,O232&gt;0),"Tetap Deteksi","Belum Deteksi"))</f>
        <v>Tetap Deteksi</v>
      </c>
      <c r="T232" s="203">
        <f t="array" ref="T232">INDEX('[20]LS (Deteksi) Agustus'!T$7:T$303,MATCH(1,('[20]LS (Deteksi) Agustus'!$D$7:$D$303=$D232)*('[20]LS (Deteksi) Agustus'!$D$7:$D$303=$D232),0))</f>
        <v>0</v>
      </c>
      <c r="U232" s="9">
        <f t="shared" si="31"/>
        <v>0</v>
      </c>
      <c r="V232" s="132">
        <v>46246</v>
      </c>
      <c r="W232" s="203">
        <v>267</v>
      </c>
      <c r="X232" s="203">
        <v>11</v>
      </c>
      <c r="Y232" s="9">
        <f t="shared" si="32"/>
        <v>4.119850187265917</v>
      </c>
      <c r="Z232" s="8" t="str">
        <f t="array" ref="Z232">IF(Y232&gt;5,"Perlu Sensus",IF(AND(Y232&gt;0,,O232&gt;0),"Tetap Deteksi","Belum Deteksi"))</f>
        <v>Belum Deteksi</v>
      </c>
      <c r="AA232" s="203">
        <f t="array" ref="AA232">INDEX('[20]LS (Deteksi) Agustus'!AA$7:AA$303,MATCH(1,('[20]LS (Deteksi) Agustus'!$D$7:$D$303=$D232)*('[20]LS (Deteksi) Agustus'!$D$7:$D$303=$D232),0))</f>
        <v>0</v>
      </c>
      <c r="AB232" s="9">
        <f t="shared" si="33"/>
        <v>0</v>
      </c>
    </row>
    <row r="233" spans="1:28" outlineLevel="1" x14ac:dyDescent="0.15">
      <c r="A233" s="8" t="s">
        <v>13</v>
      </c>
      <c r="B233" s="8" t="s">
        <v>47</v>
      </c>
      <c r="C233" s="8" t="s">
        <v>216</v>
      </c>
      <c r="D233" s="8" t="s">
        <v>250</v>
      </c>
      <c r="E233" s="9">
        <v>25.38</v>
      </c>
      <c r="F233" s="8" t="s">
        <v>16</v>
      </c>
      <c r="G233" s="143">
        <v>3666</v>
      </c>
      <c r="H233" s="132">
        <f t="shared" si="34"/>
        <v>46245</v>
      </c>
      <c r="I233" s="140">
        <f t="shared" si="34"/>
        <v>55</v>
      </c>
      <c r="J233" s="9">
        <f t="shared" si="27"/>
        <v>1.5002727768685216</v>
      </c>
      <c r="K233" s="140">
        <f t="shared" si="28"/>
        <v>3</v>
      </c>
      <c r="L233" s="206">
        <f t="shared" si="29"/>
        <v>5.4545454545454541</v>
      </c>
      <c r="M233" s="8" t="str">
        <f t="array" ref="M233">IF(L233&gt;5,"Perlu Sensus",IF(AND(L233&gt;=0,I233&gt;0),"Tetap Deteksi","Belum Deteksi"))</f>
        <v>Perlu Sensus</v>
      </c>
      <c r="N233" s="132">
        <v>46245</v>
      </c>
      <c r="O233" s="203">
        <v>55</v>
      </c>
      <c r="P233" s="9">
        <f t="array" ref="P233">IFERROR(O233/G233*100,0)</f>
        <v>1.5002727768685216</v>
      </c>
      <c r="Q233" s="203">
        <v>3</v>
      </c>
      <c r="R233" s="9">
        <f t="shared" si="30"/>
        <v>5.4545454545454541</v>
      </c>
      <c r="S233" s="8" t="str">
        <f t="array" ref="S233">IF(R233&gt;5,"Perlu Sensus",IF(AND(R233&gt;=0,O233&gt;0),"Tetap Deteksi","Belum Deteksi"))</f>
        <v>Perlu Sensus</v>
      </c>
      <c r="T233" s="203">
        <f t="array" ref="T233">INDEX('[20]LS (Deteksi) Agustus'!T$7:T$303,MATCH(1,('[20]LS (Deteksi) Agustus'!$D$7:$D$303=$D233)*('[20]LS (Deteksi) Agustus'!$D$7:$D$303=$D233),0))</f>
        <v>0</v>
      </c>
      <c r="U233" s="9">
        <f t="shared" si="31"/>
        <v>0</v>
      </c>
      <c r="V233" s="132">
        <v>46246</v>
      </c>
      <c r="W233" s="203">
        <v>249</v>
      </c>
      <c r="X233" s="203">
        <v>12</v>
      </c>
      <c r="Y233" s="9">
        <f t="shared" si="32"/>
        <v>4.8192771084337354</v>
      </c>
      <c r="Z233" s="8" t="str">
        <f t="array" ref="Z233">IF(Y233&gt;5,"Perlu Sensus",IF(AND(Y233&gt;0,,O233&gt;0),"Tetap Deteksi","Belum Deteksi"))</f>
        <v>Belum Deteksi</v>
      </c>
      <c r="AA233" s="203">
        <f t="array" ref="AA233">INDEX('[20]LS (Deteksi) Agustus'!AA$7:AA$303,MATCH(1,('[20]LS (Deteksi) Agustus'!$D$7:$D$303=$D233)*('[20]LS (Deteksi) Agustus'!$D$7:$D$303=$D233),0))</f>
        <v>0</v>
      </c>
      <c r="AB233" s="9">
        <f t="shared" si="33"/>
        <v>0</v>
      </c>
    </row>
    <row r="234" spans="1:28" outlineLevel="1" x14ac:dyDescent="0.15">
      <c r="A234" s="8" t="s">
        <v>13</v>
      </c>
      <c r="B234" s="8" t="s">
        <v>47</v>
      </c>
      <c r="C234" s="8" t="s">
        <v>216</v>
      </c>
      <c r="D234" s="8" t="s">
        <v>251</v>
      </c>
      <c r="E234" s="9">
        <v>23.34</v>
      </c>
      <c r="F234" s="8" t="s">
        <v>16</v>
      </c>
      <c r="G234" s="143">
        <v>3361</v>
      </c>
      <c r="H234" s="132">
        <f t="shared" si="34"/>
        <v>46245</v>
      </c>
      <c r="I234" s="140">
        <f t="shared" si="34"/>
        <v>53</v>
      </c>
      <c r="J234" s="9">
        <f t="shared" si="27"/>
        <v>1.576911633442428</v>
      </c>
      <c r="K234" s="140">
        <f t="shared" si="28"/>
        <v>2</v>
      </c>
      <c r="L234" s="206">
        <f t="shared" si="29"/>
        <v>3.7735849056603774</v>
      </c>
      <c r="M234" s="8" t="str">
        <f t="array" ref="M234">IF(L234&gt;5,"Perlu Sensus",IF(AND(L234&gt;=0,I234&gt;0),"Tetap Deteksi","Belum Deteksi"))</f>
        <v>Tetap Deteksi</v>
      </c>
      <c r="N234" s="132">
        <v>46245</v>
      </c>
      <c r="O234" s="203">
        <v>53</v>
      </c>
      <c r="P234" s="9">
        <f t="array" ref="P234">IFERROR(O234/G234*100,0)</f>
        <v>1.576911633442428</v>
      </c>
      <c r="Q234" s="203">
        <v>2</v>
      </c>
      <c r="R234" s="9">
        <f t="shared" si="30"/>
        <v>3.7735849056603774</v>
      </c>
      <c r="S234" s="8" t="str">
        <f t="array" ref="S234">IF(R234&gt;5,"Perlu Sensus",IF(AND(R234&gt;=0,O234&gt;0),"Tetap Deteksi","Belum Deteksi"))</f>
        <v>Tetap Deteksi</v>
      </c>
      <c r="T234" s="203">
        <f t="array" ref="T234">INDEX('[20]LS (Deteksi) Agustus'!T$7:T$303,MATCH(1,('[20]LS (Deteksi) Agustus'!$D$7:$D$303=$D234)*('[20]LS (Deteksi) Agustus'!$D$7:$D$303=$D234),0))</f>
        <v>0</v>
      </c>
      <c r="U234" s="9">
        <f t="shared" si="31"/>
        <v>0</v>
      </c>
      <c r="V234" s="132">
        <v>46246</v>
      </c>
      <c r="W234" s="203">
        <v>202</v>
      </c>
      <c r="X234" s="203">
        <v>23</v>
      </c>
      <c r="Y234" s="9">
        <f t="shared" si="32"/>
        <v>11.386138613861387</v>
      </c>
      <c r="Z234" s="8" t="str">
        <f t="array" ref="Z234">IF(Y234&gt;5,"Perlu Sensus",IF(AND(Y234&gt;0,,O234&gt;0),"Tetap Deteksi","Belum Deteksi"))</f>
        <v>Perlu Sensus</v>
      </c>
      <c r="AA234" s="203">
        <f t="array" ref="AA234">INDEX('[20]LS (Deteksi) Agustus'!AA$7:AA$303,MATCH(1,('[20]LS (Deteksi) Agustus'!$D$7:$D$303=$D234)*('[20]LS (Deteksi) Agustus'!$D$7:$D$303=$D234),0))</f>
        <v>0</v>
      </c>
      <c r="AB234" s="9">
        <f t="shared" si="33"/>
        <v>0</v>
      </c>
    </row>
    <row r="235" spans="1:28" outlineLevel="1" x14ac:dyDescent="0.15">
      <c r="A235" s="8" t="s">
        <v>13</v>
      </c>
      <c r="B235" s="8" t="s">
        <v>47</v>
      </c>
      <c r="C235" s="8" t="s">
        <v>252</v>
      </c>
      <c r="D235" s="8" t="s">
        <v>253</v>
      </c>
      <c r="E235" s="9">
        <v>22.51</v>
      </c>
      <c r="F235" s="8" t="s">
        <v>12</v>
      </c>
      <c r="G235" s="143">
        <v>3420</v>
      </c>
      <c r="H235" s="132">
        <f t="shared" si="34"/>
        <v>46234</v>
      </c>
      <c r="I235" s="140">
        <f t="shared" si="34"/>
        <v>54</v>
      </c>
      <c r="J235" s="9">
        <f t="shared" si="27"/>
        <v>1.5789473684210527</v>
      </c>
      <c r="K235" s="140">
        <f t="shared" si="28"/>
        <v>6</v>
      </c>
      <c r="L235" s="206">
        <f t="shared" si="29"/>
        <v>11.111111111111111</v>
      </c>
      <c r="M235" s="8" t="str">
        <f t="array" ref="M235">IF(L235&gt;5,"Perlu Sensus",IF(AND(L235&gt;=0,I235&gt;0),"Tetap Deteksi","Belum Deteksi"))</f>
        <v>Perlu Sensus</v>
      </c>
      <c r="N235" s="132">
        <v>46234</v>
      </c>
      <c r="O235" s="203">
        <v>54</v>
      </c>
      <c r="P235" s="9">
        <f t="array" ref="P235">IFERROR(O235/G235*100,0)</f>
        <v>1.5789473684210527</v>
      </c>
      <c r="Q235" s="203">
        <v>6</v>
      </c>
      <c r="R235" s="9">
        <f t="shared" si="30"/>
        <v>11.111111111111111</v>
      </c>
      <c r="S235" s="8" t="str">
        <f t="array" ref="S235">IF(R235&gt;5,"Perlu Sensus",IF(AND(R235&gt;=0,O235&gt;0),"Tetap Deteksi","Belum Deteksi"))</f>
        <v>Perlu Sensus</v>
      </c>
      <c r="T235" s="203">
        <f t="array" ref="T235">INDEX('[20]LS (Deteksi) Agustus'!T$7:T$303,MATCH(1,('[20]LS (Deteksi) Agustus'!$D$7:$D$303=$D235)*('[20]LS (Deteksi) Agustus'!$D$7:$D$303=$D235),0))</f>
        <v>0</v>
      </c>
      <c r="U235" s="9">
        <f t="shared" si="31"/>
        <v>0</v>
      </c>
      <c r="V235" s="132">
        <v>46235</v>
      </c>
      <c r="W235" s="203">
        <v>220</v>
      </c>
      <c r="X235" s="203">
        <v>20</v>
      </c>
      <c r="Y235" s="9">
        <f t="shared" si="32"/>
        <v>9.0909090909090917</v>
      </c>
      <c r="Z235" s="8" t="str">
        <f t="array" ref="Z235">IF(Y235&gt;5,"Perlu Sensus",IF(AND(Y235&gt;0,,O235&gt;0),"Tetap Deteksi","Belum Deteksi"))</f>
        <v>Perlu Sensus</v>
      </c>
      <c r="AA235" s="203">
        <f t="array" ref="AA235">INDEX('[20]LS (Deteksi) Agustus'!AA$7:AA$303,MATCH(1,('[20]LS (Deteksi) Agustus'!$D$7:$D$303=$D235)*('[20]LS (Deteksi) Agustus'!$D$7:$D$303=$D235),0))</f>
        <v>0</v>
      </c>
      <c r="AB235" s="9">
        <f t="shared" si="33"/>
        <v>0</v>
      </c>
    </row>
    <row r="236" spans="1:28" outlineLevel="1" x14ac:dyDescent="0.15">
      <c r="A236" s="8" t="s">
        <v>13</v>
      </c>
      <c r="B236" s="8" t="s">
        <v>47</v>
      </c>
      <c r="C236" s="8" t="s">
        <v>252</v>
      </c>
      <c r="D236" s="8" t="s">
        <v>254</v>
      </c>
      <c r="E236" s="9">
        <v>28.33</v>
      </c>
      <c r="F236" s="8" t="s">
        <v>132</v>
      </c>
      <c r="G236" s="143">
        <v>4410</v>
      </c>
      <c r="H236" s="132">
        <f t="shared" si="34"/>
        <v>46234</v>
      </c>
      <c r="I236" s="140">
        <f t="shared" si="34"/>
        <v>64</v>
      </c>
      <c r="J236" s="9">
        <f t="shared" si="27"/>
        <v>1.4512471655328798</v>
      </c>
      <c r="K236" s="140">
        <f t="shared" si="28"/>
        <v>5</v>
      </c>
      <c r="L236" s="206">
        <f t="shared" si="29"/>
        <v>7.8125</v>
      </c>
      <c r="M236" s="8" t="str">
        <f t="array" ref="M236">IF(L236&gt;5,"Perlu Sensus",IF(AND(L236&gt;=0,I236&gt;0),"Tetap Deteksi","Belum Deteksi"))</f>
        <v>Perlu Sensus</v>
      </c>
      <c r="N236" s="132">
        <v>46234</v>
      </c>
      <c r="O236" s="203">
        <v>64</v>
      </c>
      <c r="P236" s="9">
        <f t="array" ref="P236">IFERROR(O236/G236*100,0)</f>
        <v>1.4512471655328798</v>
      </c>
      <c r="Q236" s="203">
        <v>5</v>
      </c>
      <c r="R236" s="9">
        <f t="shared" si="30"/>
        <v>7.8125</v>
      </c>
      <c r="S236" s="8" t="str">
        <f t="array" ref="S236">IF(R236&gt;5,"Perlu Sensus",IF(AND(R236&gt;=0,O236&gt;0),"Tetap Deteksi","Belum Deteksi"))</f>
        <v>Perlu Sensus</v>
      </c>
      <c r="T236" s="203">
        <f t="array" ref="T236">INDEX('[20]LS (Deteksi) Agustus'!T$7:T$303,MATCH(1,('[20]LS (Deteksi) Agustus'!$D$7:$D$303=$D236)*('[20]LS (Deteksi) Agustus'!$D$7:$D$303=$D236),0))</f>
        <v>0</v>
      </c>
      <c r="U236" s="9">
        <f t="shared" si="31"/>
        <v>0</v>
      </c>
      <c r="V236" s="132">
        <v>46235</v>
      </c>
      <c r="W236" s="203">
        <v>230</v>
      </c>
      <c r="X236" s="203">
        <v>35</v>
      </c>
      <c r="Y236" s="9">
        <f t="shared" si="32"/>
        <v>15.217391304347828</v>
      </c>
      <c r="Z236" s="8" t="str">
        <f t="array" ref="Z236">IF(Y236&gt;5,"Perlu Sensus",IF(AND(Y236&gt;0,,O236&gt;0),"Tetap Deteksi","Belum Deteksi"))</f>
        <v>Perlu Sensus</v>
      </c>
      <c r="AA236" s="203">
        <f t="array" ref="AA236">INDEX('[20]LS (Deteksi) Agustus'!AA$7:AA$303,MATCH(1,('[20]LS (Deteksi) Agustus'!$D$7:$D$303=$D236)*('[20]LS (Deteksi) Agustus'!$D$7:$D$303=$D236),0))</f>
        <v>0</v>
      </c>
      <c r="AB236" s="9">
        <f t="shared" si="33"/>
        <v>0</v>
      </c>
    </row>
    <row r="237" spans="1:28" outlineLevel="1" x14ac:dyDescent="0.15">
      <c r="A237" s="8" t="s">
        <v>13</v>
      </c>
      <c r="B237" s="8" t="s">
        <v>47</v>
      </c>
      <c r="C237" s="8" t="s">
        <v>252</v>
      </c>
      <c r="D237" s="8" t="s">
        <v>255</v>
      </c>
      <c r="E237" s="9">
        <v>22.91</v>
      </c>
      <c r="F237" s="8" t="s">
        <v>132</v>
      </c>
      <c r="G237" s="143">
        <v>3633</v>
      </c>
      <c r="H237" s="132">
        <f t="shared" si="34"/>
        <v>46234</v>
      </c>
      <c r="I237" s="140">
        <f t="shared" si="34"/>
        <v>51</v>
      </c>
      <c r="J237" s="9">
        <f t="shared" si="27"/>
        <v>1.4037985136251032</v>
      </c>
      <c r="K237" s="140">
        <f t="shared" si="28"/>
        <v>4</v>
      </c>
      <c r="L237" s="206">
        <f t="shared" si="29"/>
        <v>7.8431372549019605</v>
      </c>
      <c r="M237" s="8" t="str">
        <f t="array" ref="M237">IF(L237&gt;5,"Perlu Sensus",IF(AND(L237&gt;=0,I237&gt;0),"Tetap Deteksi","Belum Deteksi"))</f>
        <v>Perlu Sensus</v>
      </c>
      <c r="N237" s="132">
        <v>46234</v>
      </c>
      <c r="O237" s="203">
        <v>51</v>
      </c>
      <c r="P237" s="9">
        <f t="array" ref="P237">IFERROR(O237/G237*100,0)</f>
        <v>1.4037985136251032</v>
      </c>
      <c r="Q237" s="203">
        <v>4</v>
      </c>
      <c r="R237" s="9">
        <f t="shared" si="30"/>
        <v>7.8431372549019605</v>
      </c>
      <c r="S237" s="8" t="str">
        <f t="array" ref="S237">IF(R237&gt;5,"Perlu Sensus",IF(AND(R237&gt;=0,O237&gt;0),"Tetap Deteksi","Belum Deteksi"))</f>
        <v>Perlu Sensus</v>
      </c>
      <c r="T237" s="203">
        <f t="array" ref="T237">INDEX('[20]LS (Deteksi) Agustus'!T$7:T$303,MATCH(1,('[20]LS (Deteksi) Agustus'!$D$7:$D$303=$D237)*('[20]LS (Deteksi) Agustus'!$D$7:$D$303=$D237),0))</f>
        <v>0</v>
      </c>
      <c r="U237" s="9">
        <f t="shared" si="31"/>
        <v>0</v>
      </c>
      <c r="V237" s="132">
        <v>46235</v>
      </c>
      <c r="W237" s="203">
        <v>215</v>
      </c>
      <c r="X237" s="203">
        <v>5</v>
      </c>
      <c r="Y237" s="9">
        <f t="shared" si="32"/>
        <v>2.3255813953488373</v>
      </c>
      <c r="Z237" s="8" t="str">
        <f t="array" ref="Z237">IF(Y237&gt;5,"Perlu Sensus",IF(AND(Y237&gt;0,,O237&gt;0),"Tetap Deteksi","Belum Deteksi"))</f>
        <v>Belum Deteksi</v>
      </c>
      <c r="AA237" s="203">
        <f t="array" ref="AA237">INDEX('[20]LS (Deteksi) Agustus'!AA$7:AA$303,MATCH(1,('[20]LS (Deteksi) Agustus'!$D$7:$D$303=$D237)*('[20]LS (Deteksi) Agustus'!$D$7:$D$303=$D237),0))</f>
        <v>0</v>
      </c>
      <c r="AB237" s="9">
        <f t="shared" si="33"/>
        <v>0</v>
      </c>
    </row>
    <row r="238" spans="1:28" outlineLevel="1" x14ac:dyDescent="0.15">
      <c r="A238" s="8" t="s">
        <v>13</v>
      </c>
      <c r="B238" s="8" t="s">
        <v>47</v>
      </c>
      <c r="C238" s="8" t="s">
        <v>252</v>
      </c>
      <c r="D238" s="8" t="s">
        <v>256</v>
      </c>
      <c r="E238" s="9">
        <v>26.71</v>
      </c>
      <c r="F238" s="8" t="s">
        <v>132</v>
      </c>
      <c r="G238" s="143">
        <v>4107</v>
      </c>
      <c r="H238" s="132">
        <f t="shared" si="34"/>
        <v>46234</v>
      </c>
      <c r="I238" s="140">
        <f t="shared" si="34"/>
        <v>56</v>
      </c>
      <c r="J238" s="9">
        <f t="shared" si="27"/>
        <v>1.3635256878500122</v>
      </c>
      <c r="K238" s="140">
        <f t="shared" si="28"/>
        <v>1</v>
      </c>
      <c r="L238" s="206">
        <f t="shared" si="29"/>
        <v>1.7857142857142856</v>
      </c>
      <c r="M238" s="8" t="str">
        <f t="array" ref="M238">IF(L238&gt;5,"Perlu Sensus",IF(AND(L238&gt;=0,I238&gt;0),"Tetap Deteksi","Belum Deteksi"))</f>
        <v>Tetap Deteksi</v>
      </c>
      <c r="N238" s="132">
        <v>46234</v>
      </c>
      <c r="O238" s="203">
        <v>56</v>
      </c>
      <c r="P238" s="9">
        <f t="array" ref="P238">IFERROR(O238/G238*100,0)</f>
        <v>1.3635256878500122</v>
      </c>
      <c r="Q238" s="203">
        <v>1</v>
      </c>
      <c r="R238" s="9">
        <f t="shared" si="30"/>
        <v>1.7857142857142856</v>
      </c>
      <c r="S238" s="8" t="str">
        <f t="array" ref="S238">IF(R238&gt;5,"Perlu Sensus",IF(AND(R238&gt;=0,O238&gt;0),"Tetap Deteksi","Belum Deteksi"))</f>
        <v>Tetap Deteksi</v>
      </c>
      <c r="T238" s="203">
        <f t="array" ref="T238">INDEX('[20]LS (Deteksi) Agustus'!T$7:T$303,MATCH(1,('[20]LS (Deteksi) Agustus'!$D$7:$D$303=$D238)*('[20]LS (Deteksi) Agustus'!$D$7:$D$303=$D238),0))</f>
        <v>0</v>
      </c>
      <c r="U238" s="9">
        <f t="shared" si="31"/>
        <v>0</v>
      </c>
      <c r="V238" s="132">
        <v>46235</v>
      </c>
      <c r="W238" s="203">
        <v>250</v>
      </c>
      <c r="X238" s="203">
        <v>5</v>
      </c>
      <c r="Y238" s="9">
        <f t="shared" si="32"/>
        <v>2</v>
      </c>
      <c r="Z238" s="8" t="str">
        <f t="array" ref="Z238">IF(Y238&gt;5,"Perlu Sensus",IF(AND(Y238&gt;0,,O238&gt;0),"Tetap Deteksi","Belum Deteksi"))</f>
        <v>Belum Deteksi</v>
      </c>
      <c r="AA238" s="203">
        <f t="array" ref="AA238">INDEX('[20]LS (Deteksi) Agustus'!AA$7:AA$303,MATCH(1,('[20]LS (Deteksi) Agustus'!$D$7:$D$303=$D238)*('[20]LS (Deteksi) Agustus'!$D$7:$D$303=$D238),0))</f>
        <v>0</v>
      </c>
      <c r="AB238" s="9">
        <f t="shared" si="33"/>
        <v>0</v>
      </c>
    </row>
    <row r="239" spans="1:28" outlineLevel="1" x14ac:dyDescent="0.15">
      <c r="A239" s="8" t="s">
        <v>13</v>
      </c>
      <c r="B239" s="8" t="s">
        <v>47</v>
      </c>
      <c r="C239" s="8" t="s">
        <v>252</v>
      </c>
      <c r="D239" s="8" t="s">
        <v>257</v>
      </c>
      <c r="E239" s="9">
        <v>24.5</v>
      </c>
      <c r="F239" s="8" t="s">
        <v>132</v>
      </c>
      <c r="G239" s="143">
        <v>3707</v>
      </c>
      <c r="H239" s="132">
        <f t="shared" si="34"/>
        <v>46243</v>
      </c>
      <c r="I239" s="140">
        <f t="shared" si="34"/>
        <v>53</v>
      </c>
      <c r="J239" s="9">
        <f t="shared" si="27"/>
        <v>1.4297275424871863</v>
      </c>
      <c r="K239" s="140">
        <f t="shared" si="28"/>
        <v>2</v>
      </c>
      <c r="L239" s="206">
        <f t="shared" si="29"/>
        <v>3.7735849056603774</v>
      </c>
      <c r="M239" s="8" t="str">
        <f t="array" ref="M239">IF(L239&gt;5,"Perlu Sensus",IF(AND(L239&gt;=0,I239&gt;0),"Tetap Deteksi","Belum Deteksi"))</f>
        <v>Tetap Deteksi</v>
      </c>
      <c r="N239" s="132">
        <v>46243</v>
      </c>
      <c r="O239" s="203">
        <v>53</v>
      </c>
      <c r="P239" s="9">
        <f t="array" ref="P239">IFERROR(O239/G239*100,0)</f>
        <v>1.4297275424871863</v>
      </c>
      <c r="Q239" s="203">
        <v>2</v>
      </c>
      <c r="R239" s="9">
        <f t="shared" si="30"/>
        <v>3.7735849056603774</v>
      </c>
      <c r="S239" s="8" t="str">
        <f t="array" ref="S239">IF(R239&gt;5,"Perlu Sensus",IF(AND(R239&gt;=0,O239&gt;0),"Tetap Deteksi","Belum Deteksi"))</f>
        <v>Tetap Deteksi</v>
      </c>
      <c r="T239" s="203">
        <f t="array" ref="T239">INDEX('[20]LS (Deteksi) Agustus'!T$7:T$303,MATCH(1,('[20]LS (Deteksi) Agustus'!$D$7:$D$303=$D239)*('[20]LS (Deteksi) Agustus'!$D$7:$D$303=$D239),0))</f>
        <v>0</v>
      </c>
      <c r="U239" s="9">
        <f t="shared" si="31"/>
        <v>0</v>
      </c>
      <c r="V239" s="132">
        <v>46244</v>
      </c>
      <c r="W239" s="203">
        <v>235</v>
      </c>
      <c r="X239" s="203">
        <v>7</v>
      </c>
      <c r="Y239" s="9">
        <f t="shared" si="32"/>
        <v>2.9787234042553195</v>
      </c>
      <c r="Z239" s="8" t="str">
        <f t="array" ref="Z239">IF(Y239&gt;5,"Perlu Sensus",IF(AND(Y239&gt;0,,O239&gt;0),"Tetap Deteksi","Belum Deteksi"))</f>
        <v>Belum Deteksi</v>
      </c>
      <c r="AA239" s="203">
        <f t="array" ref="AA239">INDEX('[20]LS (Deteksi) Agustus'!AA$7:AA$303,MATCH(1,('[20]LS (Deteksi) Agustus'!$D$7:$D$303=$D239)*('[20]LS (Deteksi) Agustus'!$D$7:$D$303=$D239),0))</f>
        <v>0</v>
      </c>
      <c r="AB239" s="9">
        <f t="shared" si="33"/>
        <v>0</v>
      </c>
    </row>
    <row r="240" spans="1:28" outlineLevel="1" x14ac:dyDescent="0.15">
      <c r="A240" s="8" t="s">
        <v>13</v>
      </c>
      <c r="B240" s="8" t="s">
        <v>47</v>
      </c>
      <c r="C240" s="8" t="s">
        <v>252</v>
      </c>
      <c r="D240" s="8" t="s">
        <v>258</v>
      </c>
      <c r="E240" s="9">
        <v>25.23</v>
      </c>
      <c r="F240" s="8" t="s">
        <v>16</v>
      </c>
      <c r="G240" s="143">
        <v>3701</v>
      </c>
      <c r="H240" s="132">
        <f t="shared" si="34"/>
        <v>46243</v>
      </c>
      <c r="I240" s="140">
        <f t="shared" si="34"/>
        <v>55</v>
      </c>
      <c r="J240" s="9">
        <f t="shared" si="27"/>
        <v>1.4860848419346122</v>
      </c>
      <c r="K240" s="140">
        <f t="shared" si="28"/>
        <v>2</v>
      </c>
      <c r="L240" s="206">
        <f t="shared" si="29"/>
        <v>3.6363636363636362</v>
      </c>
      <c r="M240" s="8" t="str">
        <f t="array" ref="M240">IF(L240&gt;5,"Perlu Sensus",IF(AND(L240&gt;=0,I240&gt;0),"Tetap Deteksi","Belum Deteksi"))</f>
        <v>Tetap Deteksi</v>
      </c>
      <c r="N240" s="132">
        <v>46243</v>
      </c>
      <c r="O240" s="203">
        <v>55</v>
      </c>
      <c r="P240" s="9">
        <f t="array" ref="P240">IFERROR(O240/G240*100,0)</f>
        <v>1.4860848419346122</v>
      </c>
      <c r="Q240" s="203">
        <v>2</v>
      </c>
      <c r="R240" s="9">
        <f t="shared" si="30"/>
        <v>3.6363636363636362</v>
      </c>
      <c r="S240" s="8" t="str">
        <f t="array" ref="S240">IF(R240&gt;5,"Perlu Sensus",IF(AND(R240&gt;=0,O240&gt;0),"Tetap Deteksi","Belum Deteksi"))</f>
        <v>Tetap Deteksi</v>
      </c>
      <c r="T240" s="203">
        <f t="array" ref="T240">INDEX('[20]LS (Deteksi) Agustus'!T$7:T$303,MATCH(1,('[20]LS (Deteksi) Agustus'!$D$7:$D$303=$D240)*('[20]LS (Deteksi) Agustus'!$D$7:$D$303=$D240),0))</f>
        <v>0</v>
      </c>
      <c r="U240" s="9">
        <f t="shared" si="31"/>
        <v>0</v>
      </c>
      <c r="V240" s="132">
        <v>46244</v>
      </c>
      <c r="W240" s="203">
        <v>213</v>
      </c>
      <c r="X240" s="203">
        <v>6</v>
      </c>
      <c r="Y240" s="9">
        <f t="shared" si="32"/>
        <v>2.8169014084507045</v>
      </c>
      <c r="Z240" s="8" t="str">
        <f t="array" ref="Z240">IF(Y240&gt;5,"Perlu Sensus",IF(AND(Y240&gt;0,,O240&gt;0),"Tetap Deteksi","Belum Deteksi"))</f>
        <v>Belum Deteksi</v>
      </c>
      <c r="AA240" s="203">
        <f t="array" ref="AA240">INDEX('[20]LS (Deteksi) Agustus'!AA$7:AA$303,MATCH(1,('[20]LS (Deteksi) Agustus'!$D$7:$D$303=$D240)*('[20]LS (Deteksi) Agustus'!$D$7:$D$303=$D240),0))</f>
        <v>0</v>
      </c>
      <c r="AB240" s="9">
        <f t="shared" si="33"/>
        <v>0</v>
      </c>
    </row>
    <row r="241" spans="1:28" outlineLevel="1" x14ac:dyDescent="0.15">
      <c r="A241" s="8" t="s">
        <v>13</v>
      </c>
      <c r="B241" s="8" t="s">
        <v>47</v>
      </c>
      <c r="C241" s="8" t="s">
        <v>252</v>
      </c>
      <c r="D241" s="8" t="s">
        <v>259</v>
      </c>
      <c r="E241" s="9">
        <v>23.06</v>
      </c>
      <c r="F241" s="8" t="s">
        <v>16</v>
      </c>
      <c r="G241" s="143">
        <v>3196</v>
      </c>
      <c r="H241" s="132">
        <f t="shared" si="34"/>
        <v>46243</v>
      </c>
      <c r="I241" s="140">
        <f t="shared" si="34"/>
        <v>102</v>
      </c>
      <c r="J241" s="9">
        <f t="shared" si="27"/>
        <v>3.1914893617021276</v>
      </c>
      <c r="K241" s="140">
        <f t="shared" si="28"/>
        <v>6</v>
      </c>
      <c r="L241" s="206">
        <f t="shared" si="29"/>
        <v>5.8823529411764701</v>
      </c>
      <c r="M241" s="8" t="str">
        <f t="array" ref="M241">IF(L241&gt;5,"Perlu Sensus",IF(AND(L241&gt;=0,I241&gt;0),"Tetap Deteksi","Belum Deteksi"))</f>
        <v>Perlu Sensus</v>
      </c>
      <c r="N241" s="132">
        <v>46243</v>
      </c>
      <c r="O241" s="203">
        <v>102</v>
      </c>
      <c r="P241" s="9">
        <f t="array" ref="P241">IFERROR(O241/G241*100,0)</f>
        <v>3.1914893617021276</v>
      </c>
      <c r="Q241" s="203">
        <v>6</v>
      </c>
      <c r="R241" s="9">
        <f t="shared" si="30"/>
        <v>5.8823529411764701</v>
      </c>
      <c r="S241" s="8" t="str">
        <f t="array" ref="S241">IF(R241&gt;5,"Perlu Sensus",IF(AND(R241&gt;=0,O241&gt;0),"Tetap Deteksi","Belum Deteksi"))</f>
        <v>Perlu Sensus</v>
      </c>
      <c r="T241" s="203">
        <f t="array" ref="T241">INDEX('[20]LS (Deteksi) Agustus'!T$7:T$303,MATCH(1,('[20]LS (Deteksi) Agustus'!$D$7:$D$303=$D241)*('[20]LS (Deteksi) Agustus'!$D$7:$D$303=$D241),0))</f>
        <v>0</v>
      </c>
      <c r="U241" s="9">
        <f t="shared" si="31"/>
        <v>0</v>
      </c>
      <c r="V241" s="132">
        <v>46244</v>
      </c>
      <c r="W241" s="203">
        <v>219</v>
      </c>
      <c r="X241" s="203">
        <v>32</v>
      </c>
      <c r="Y241" s="9">
        <f t="shared" si="32"/>
        <v>14.611872146118721</v>
      </c>
      <c r="Z241" s="8" t="str">
        <f t="array" ref="Z241">IF(Y241&gt;5,"Perlu Sensus",IF(AND(Y241&gt;0,,O241&gt;0),"Tetap Deteksi","Belum Deteksi"))</f>
        <v>Perlu Sensus</v>
      </c>
      <c r="AA241" s="203">
        <f t="array" ref="AA241">INDEX('[20]LS (Deteksi) Agustus'!AA$7:AA$303,MATCH(1,('[20]LS (Deteksi) Agustus'!$D$7:$D$303=$D241)*('[20]LS (Deteksi) Agustus'!$D$7:$D$303=$D241),0))</f>
        <v>0</v>
      </c>
      <c r="AB241" s="9">
        <f t="shared" si="33"/>
        <v>0</v>
      </c>
    </row>
    <row r="242" spans="1:28" outlineLevel="1" x14ac:dyDescent="0.15">
      <c r="A242" s="8" t="s">
        <v>13</v>
      </c>
      <c r="B242" s="8" t="s">
        <v>47</v>
      </c>
      <c r="C242" s="8" t="s">
        <v>252</v>
      </c>
      <c r="D242" s="8" t="s">
        <v>260</v>
      </c>
      <c r="E242" s="9">
        <v>22.9</v>
      </c>
      <c r="F242" s="8" t="s">
        <v>16</v>
      </c>
      <c r="G242" s="143">
        <v>3212</v>
      </c>
      <c r="H242" s="132">
        <f t="shared" si="34"/>
        <v>46241</v>
      </c>
      <c r="I242" s="140">
        <f t="shared" si="34"/>
        <v>51</v>
      </c>
      <c r="J242" s="9">
        <f t="shared" si="27"/>
        <v>1.5877957658779578</v>
      </c>
      <c r="K242" s="140">
        <f t="shared" si="28"/>
        <v>4</v>
      </c>
      <c r="L242" s="206">
        <f t="shared" si="29"/>
        <v>7.8431372549019605</v>
      </c>
      <c r="M242" s="8" t="str">
        <f t="array" ref="M242">IF(L242&gt;5,"Perlu Sensus",IF(AND(L242&gt;=0,I242&gt;0),"Tetap Deteksi","Belum Deteksi"))</f>
        <v>Perlu Sensus</v>
      </c>
      <c r="N242" s="132">
        <v>46241</v>
      </c>
      <c r="O242" s="203">
        <v>51</v>
      </c>
      <c r="P242" s="9">
        <f t="array" ref="P242">IFERROR(O242/G242*100,0)</f>
        <v>1.5877957658779578</v>
      </c>
      <c r="Q242" s="203">
        <v>4</v>
      </c>
      <c r="R242" s="9">
        <f t="shared" si="30"/>
        <v>7.8431372549019605</v>
      </c>
      <c r="S242" s="8" t="str">
        <f t="array" ref="S242">IF(R242&gt;5,"Perlu Sensus",IF(AND(R242&gt;=0,O242&gt;0),"Tetap Deteksi","Belum Deteksi"))</f>
        <v>Perlu Sensus</v>
      </c>
      <c r="T242" s="203">
        <f t="array" ref="T242">INDEX('[20]LS (Deteksi) Agustus'!T$7:T$303,MATCH(1,('[20]LS (Deteksi) Agustus'!$D$7:$D$303=$D242)*('[20]LS (Deteksi) Agustus'!$D$7:$D$303=$D242),0))</f>
        <v>0</v>
      </c>
      <c r="U242" s="9">
        <f t="shared" si="31"/>
        <v>0</v>
      </c>
      <c r="V242" s="132">
        <v>46242</v>
      </c>
      <c r="W242" s="203">
        <v>230</v>
      </c>
      <c r="X242" s="203">
        <v>20</v>
      </c>
      <c r="Y242" s="9">
        <f t="shared" si="32"/>
        <v>8.695652173913043</v>
      </c>
      <c r="Z242" s="8" t="str">
        <f t="array" ref="Z242">IF(Y242&gt;5,"Perlu Sensus",IF(AND(Y242&gt;0,,O242&gt;0),"Tetap Deteksi","Belum Deteksi"))</f>
        <v>Perlu Sensus</v>
      </c>
      <c r="AA242" s="203">
        <f t="array" ref="AA242">INDEX('[20]LS (Deteksi) Agustus'!AA$7:AA$303,MATCH(1,('[20]LS (Deteksi) Agustus'!$D$7:$D$303=$D242)*('[20]LS (Deteksi) Agustus'!$D$7:$D$303=$D242),0))</f>
        <v>0</v>
      </c>
      <c r="AB242" s="9">
        <f t="shared" si="33"/>
        <v>0</v>
      </c>
    </row>
    <row r="243" spans="1:28" outlineLevel="1" x14ac:dyDescent="0.15">
      <c r="A243" s="8" t="s">
        <v>13</v>
      </c>
      <c r="B243" s="8" t="s">
        <v>47</v>
      </c>
      <c r="C243" s="8" t="s">
        <v>252</v>
      </c>
      <c r="D243" s="8" t="s">
        <v>261</v>
      </c>
      <c r="E243" s="9">
        <v>24.48</v>
      </c>
      <c r="F243" s="8" t="s">
        <v>16</v>
      </c>
      <c r="G243" s="143">
        <v>3540</v>
      </c>
      <c r="H243" s="132">
        <f t="shared" si="34"/>
        <v>46241</v>
      </c>
      <c r="I243" s="140">
        <f t="shared" si="34"/>
        <v>56</v>
      </c>
      <c r="J243" s="9">
        <f t="shared" si="27"/>
        <v>1.5819209039548021</v>
      </c>
      <c r="K243" s="140">
        <f t="shared" si="28"/>
        <v>5</v>
      </c>
      <c r="L243" s="206">
        <f t="shared" si="29"/>
        <v>8.9285714285714288</v>
      </c>
      <c r="M243" s="8" t="str">
        <f t="array" ref="M243">IF(L243&gt;5,"Perlu Sensus",IF(AND(L243&gt;=0,I243&gt;0),"Tetap Deteksi","Belum Deteksi"))</f>
        <v>Perlu Sensus</v>
      </c>
      <c r="N243" s="132">
        <v>46241</v>
      </c>
      <c r="O243" s="203">
        <v>56</v>
      </c>
      <c r="P243" s="9">
        <f t="array" ref="P243">IFERROR(O243/G243*100,0)</f>
        <v>1.5819209039548021</v>
      </c>
      <c r="Q243" s="203">
        <v>5</v>
      </c>
      <c r="R243" s="9">
        <f t="shared" si="30"/>
        <v>8.9285714285714288</v>
      </c>
      <c r="S243" s="8" t="str">
        <f t="array" ref="S243">IF(R243&gt;5,"Perlu Sensus",IF(AND(R243&gt;=0,O243&gt;0),"Tetap Deteksi","Belum Deteksi"))</f>
        <v>Perlu Sensus</v>
      </c>
      <c r="T243" s="203">
        <f t="array" ref="T243">INDEX('[20]LS (Deteksi) Agustus'!T$7:T$303,MATCH(1,('[20]LS (Deteksi) Agustus'!$D$7:$D$303=$D243)*('[20]LS (Deteksi) Agustus'!$D$7:$D$303=$D243),0))</f>
        <v>0</v>
      </c>
      <c r="U243" s="9">
        <f t="shared" si="31"/>
        <v>0</v>
      </c>
      <c r="V243" s="132">
        <v>46242</v>
      </c>
      <c r="W243" s="203">
        <v>241</v>
      </c>
      <c r="X243" s="203">
        <v>19</v>
      </c>
      <c r="Y243" s="9">
        <f t="shared" si="32"/>
        <v>7.8838174273858916</v>
      </c>
      <c r="Z243" s="8" t="str">
        <f t="array" ref="Z243">IF(Y243&gt;5,"Perlu Sensus",IF(AND(Y243&gt;0,,O243&gt;0),"Tetap Deteksi","Belum Deteksi"))</f>
        <v>Perlu Sensus</v>
      </c>
      <c r="AA243" s="203">
        <f t="array" ref="AA243">INDEX('[20]LS (Deteksi) Agustus'!AA$7:AA$303,MATCH(1,('[20]LS (Deteksi) Agustus'!$D$7:$D$303=$D243)*('[20]LS (Deteksi) Agustus'!$D$7:$D$303=$D243),0))</f>
        <v>0</v>
      </c>
      <c r="AB243" s="9">
        <f t="shared" si="33"/>
        <v>0</v>
      </c>
    </row>
    <row r="244" spans="1:28" outlineLevel="1" x14ac:dyDescent="0.15">
      <c r="A244" s="8" t="s">
        <v>13</v>
      </c>
      <c r="B244" s="8" t="s">
        <v>47</v>
      </c>
      <c r="C244" s="8" t="s">
        <v>252</v>
      </c>
      <c r="D244" s="8" t="s">
        <v>262</v>
      </c>
      <c r="E244" s="9">
        <v>25.13</v>
      </c>
      <c r="F244" s="8" t="s">
        <v>16</v>
      </c>
      <c r="G244" s="143">
        <v>3921</v>
      </c>
      <c r="H244" s="132">
        <f t="shared" si="34"/>
        <v>46241</v>
      </c>
      <c r="I244" s="140">
        <f t="shared" si="34"/>
        <v>54</v>
      </c>
      <c r="J244" s="9">
        <f t="shared" si="27"/>
        <v>1.3771996939556235</v>
      </c>
      <c r="K244" s="140">
        <f t="shared" si="28"/>
        <v>1</v>
      </c>
      <c r="L244" s="206">
        <f t="shared" si="29"/>
        <v>1.8518518518518516</v>
      </c>
      <c r="M244" s="8" t="str">
        <f t="array" ref="M244">IF(L244&gt;5,"Perlu Sensus",IF(AND(L244&gt;=0,I244&gt;0),"Tetap Deteksi","Belum Deteksi"))</f>
        <v>Tetap Deteksi</v>
      </c>
      <c r="N244" s="132">
        <v>46241</v>
      </c>
      <c r="O244" s="203">
        <v>54</v>
      </c>
      <c r="P244" s="9">
        <f t="array" ref="P244">IFERROR(O244/G244*100,0)</f>
        <v>1.3771996939556235</v>
      </c>
      <c r="Q244" s="203">
        <v>1</v>
      </c>
      <c r="R244" s="9">
        <f t="shared" si="30"/>
        <v>1.8518518518518516</v>
      </c>
      <c r="S244" s="8" t="str">
        <f t="array" ref="S244">IF(R244&gt;5,"Perlu Sensus",IF(AND(R244&gt;=0,O244&gt;0),"Tetap Deteksi","Belum Deteksi"))</f>
        <v>Tetap Deteksi</v>
      </c>
      <c r="T244" s="203">
        <f t="array" ref="T244">INDEX('[20]LS (Deteksi) Agustus'!T$7:T$303,MATCH(1,('[20]LS (Deteksi) Agustus'!$D$7:$D$303=$D244)*('[20]LS (Deteksi) Agustus'!$D$7:$D$303=$D244),0))</f>
        <v>0</v>
      </c>
      <c r="U244" s="9">
        <f t="shared" si="31"/>
        <v>0</v>
      </c>
      <c r="V244" s="132">
        <v>46242</v>
      </c>
      <c r="W244" s="203">
        <v>218</v>
      </c>
      <c r="X244" s="203">
        <v>7</v>
      </c>
      <c r="Y244" s="9">
        <f t="shared" si="32"/>
        <v>3.2110091743119269</v>
      </c>
      <c r="Z244" s="8" t="str">
        <f t="array" ref="Z244">IF(Y244&gt;5,"Perlu Sensus",IF(AND(Y244&gt;0,,O244&gt;0),"Tetap Deteksi","Belum Deteksi"))</f>
        <v>Belum Deteksi</v>
      </c>
      <c r="AA244" s="203">
        <f t="array" ref="AA244">INDEX('[20]LS (Deteksi) Agustus'!AA$7:AA$303,MATCH(1,('[20]LS (Deteksi) Agustus'!$D$7:$D$303=$D244)*('[20]LS (Deteksi) Agustus'!$D$7:$D$303=$D244),0))</f>
        <v>0</v>
      </c>
      <c r="AB244" s="9">
        <f t="shared" si="33"/>
        <v>0</v>
      </c>
    </row>
    <row r="245" spans="1:28" outlineLevel="1" x14ac:dyDescent="0.15">
      <c r="A245" s="8" t="s">
        <v>13</v>
      </c>
      <c r="B245" s="8" t="s">
        <v>47</v>
      </c>
      <c r="C245" s="8" t="s">
        <v>252</v>
      </c>
      <c r="D245" s="8" t="s">
        <v>263</v>
      </c>
      <c r="E245" s="9">
        <v>24.63</v>
      </c>
      <c r="F245" s="8" t="s">
        <v>16</v>
      </c>
      <c r="G245" s="143">
        <v>3889</v>
      </c>
      <c r="H245" s="132">
        <f t="shared" si="34"/>
        <v>46240</v>
      </c>
      <c r="I245" s="140">
        <f t="shared" si="34"/>
        <v>63</v>
      </c>
      <c r="J245" s="9">
        <f t="shared" si="27"/>
        <v>1.6199537156081256</v>
      </c>
      <c r="K245" s="140">
        <f t="shared" si="28"/>
        <v>5</v>
      </c>
      <c r="L245" s="206">
        <f t="shared" si="29"/>
        <v>7.9365079365079358</v>
      </c>
      <c r="M245" s="8" t="str">
        <f t="array" ref="M245">IF(L245&gt;5,"Perlu Sensus",IF(AND(L245&gt;=0,I245&gt;0),"Tetap Deteksi","Belum Deteksi"))</f>
        <v>Perlu Sensus</v>
      </c>
      <c r="N245" s="132">
        <v>46240</v>
      </c>
      <c r="O245" s="203">
        <v>63</v>
      </c>
      <c r="P245" s="9">
        <f t="array" ref="P245">IFERROR(O245/G245*100,0)</f>
        <v>1.6199537156081256</v>
      </c>
      <c r="Q245" s="203">
        <v>5</v>
      </c>
      <c r="R245" s="9">
        <f t="shared" si="30"/>
        <v>7.9365079365079358</v>
      </c>
      <c r="S245" s="8" t="str">
        <f t="array" ref="S245">IF(R245&gt;5,"Perlu Sensus",IF(AND(R245&gt;=0,O245&gt;0),"Tetap Deteksi","Belum Deteksi"))</f>
        <v>Perlu Sensus</v>
      </c>
      <c r="T245" s="203">
        <f t="array" ref="T245">INDEX('[20]LS (Deteksi) Agustus'!T$7:T$303,MATCH(1,('[20]LS (Deteksi) Agustus'!$D$7:$D$303=$D245)*('[20]LS (Deteksi) Agustus'!$D$7:$D$303=$D245),0))</f>
        <v>0</v>
      </c>
      <c r="U245" s="9">
        <f t="shared" si="31"/>
        <v>0</v>
      </c>
      <c r="V245" s="132">
        <v>46241</v>
      </c>
      <c r="W245" s="203">
        <v>208</v>
      </c>
      <c r="X245" s="203">
        <v>14</v>
      </c>
      <c r="Y245" s="9">
        <f t="shared" si="32"/>
        <v>6.7307692307692308</v>
      </c>
      <c r="Z245" s="8" t="str">
        <f t="array" ref="Z245">IF(Y245&gt;5,"Perlu Sensus",IF(AND(Y245&gt;0,,O245&gt;0),"Tetap Deteksi","Belum Deteksi"))</f>
        <v>Perlu Sensus</v>
      </c>
      <c r="AA245" s="203">
        <f t="array" ref="AA245">INDEX('[20]LS (Deteksi) Agustus'!AA$7:AA$303,MATCH(1,('[20]LS (Deteksi) Agustus'!$D$7:$D$303=$D245)*('[20]LS (Deteksi) Agustus'!$D$7:$D$303=$D245),0))</f>
        <v>0</v>
      </c>
      <c r="AB245" s="9">
        <f t="shared" si="33"/>
        <v>0</v>
      </c>
    </row>
    <row r="246" spans="1:28" outlineLevel="1" x14ac:dyDescent="0.15">
      <c r="A246" s="8" t="s">
        <v>13</v>
      </c>
      <c r="B246" s="8" t="s">
        <v>47</v>
      </c>
      <c r="C246" s="8" t="s">
        <v>252</v>
      </c>
      <c r="D246" s="8" t="s">
        <v>264</v>
      </c>
      <c r="E246" s="9">
        <v>25.6</v>
      </c>
      <c r="F246" s="8" t="s">
        <v>16</v>
      </c>
      <c r="G246" s="143">
        <v>3998</v>
      </c>
      <c r="H246" s="132">
        <f t="shared" si="34"/>
        <v>46240</v>
      </c>
      <c r="I246" s="140">
        <f t="shared" si="34"/>
        <v>58</v>
      </c>
      <c r="J246" s="9">
        <f t="shared" si="27"/>
        <v>1.4507253626813406</v>
      </c>
      <c r="K246" s="140">
        <f t="shared" si="28"/>
        <v>2</v>
      </c>
      <c r="L246" s="206">
        <f t="shared" si="29"/>
        <v>3.4482758620689653</v>
      </c>
      <c r="M246" s="8" t="str">
        <f t="array" ref="M246">IF(L246&gt;5,"Perlu Sensus",IF(AND(L246&gt;=0,I246&gt;0),"Tetap Deteksi","Belum Deteksi"))</f>
        <v>Tetap Deteksi</v>
      </c>
      <c r="N246" s="132">
        <v>46240</v>
      </c>
      <c r="O246" s="203">
        <v>58</v>
      </c>
      <c r="P246" s="9">
        <f t="array" ref="P246">IFERROR(O246/G246*100,0)</f>
        <v>1.4507253626813406</v>
      </c>
      <c r="Q246" s="203">
        <v>2</v>
      </c>
      <c r="R246" s="9">
        <f t="shared" si="30"/>
        <v>3.4482758620689653</v>
      </c>
      <c r="S246" s="8" t="str">
        <f t="array" ref="S246">IF(R246&gt;5,"Perlu Sensus",IF(AND(R246&gt;=0,O246&gt;0),"Tetap Deteksi","Belum Deteksi"))</f>
        <v>Tetap Deteksi</v>
      </c>
      <c r="T246" s="203">
        <f t="array" ref="T246">INDEX('[20]LS (Deteksi) Agustus'!T$7:T$303,MATCH(1,('[20]LS (Deteksi) Agustus'!$D$7:$D$303=$D246)*('[20]LS (Deteksi) Agustus'!$D$7:$D$303=$D246),0))</f>
        <v>0</v>
      </c>
      <c r="U246" s="9">
        <f t="shared" si="31"/>
        <v>0</v>
      </c>
      <c r="V246" s="132">
        <v>46241</v>
      </c>
      <c r="W246" s="203">
        <v>220</v>
      </c>
      <c r="X246" s="203">
        <v>7</v>
      </c>
      <c r="Y246" s="9">
        <f t="shared" si="32"/>
        <v>3.1818181818181817</v>
      </c>
      <c r="Z246" s="8" t="str">
        <f t="array" ref="Z246">IF(Y246&gt;5,"Perlu Sensus",IF(AND(Y246&gt;0,,O246&gt;0),"Tetap Deteksi","Belum Deteksi"))</f>
        <v>Belum Deteksi</v>
      </c>
      <c r="AA246" s="203">
        <f t="array" ref="AA246">INDEX('[20]LS (Deteksi) Agustus'!AA$7:AA$303,MATCH(1,('[20]LS (Deteksi) Agustus'!$D$7:$D$303=$D246)*('[20]LS (Deteksi) Agustus'!$D$7:$D$303=$D246),0))</f>
        <v>0</v>
      </c>
      <c r="AB246" s="9">
        <f t="shared" si="33"/>
        <v>0</v>
      </c>
    </row>
    <row r="247" spans="1:28" outlineLevel="1" x14ac:dyDescent="0.15">
      <c r="A247" s="8" t="s">
        <v>13</v>
      </c>
      <c r="B247" s="8" t="s">
        <v>47</v>
      </c>
      <c r="C247" s="8" t="s">
        <v>252</v>
      </c>
      <c r="D247" s="8" t="s">
        <v>265</v>
      </c>
      <c r="E247" s="9">
        <v>24.33</v>
      </c>
      <c r="F247" s="8" t="s">
        <v>16</v>
      </c>
      <c r="G247" s="143">
        <v>3625</v>
      </c>
      <c r="H247" s="132">
        <f t="shared" si="34"/>
        <v>46240</v>
      </c>
      <c r="I247" s="140">
        <f t="shared" si="34"/>
        <v>57</v>
      </c>
      <c r="J247" s="9">
        <f t="shared" si="27"/>
        <v>1.5724137931034481</v>
      </c>
      <c r="K247" s="140">
        <f t="shared" si="28"/>
        <v>2</v>
      </c>
      <c r="L247" s="206">
        <f t="shared" si="29"/>
        <v>3.5087719298245612</v>
      </c>
      <c r="M247" s="8" t="str">
        <f t="array" ref="M247">IF(L247&gt;5,"Perlu Sensus",IF(AND(L247&gt;=0,I247&gt;0),"Tetap Deteksi","Belum Deteksi"))</f>
        <v>Tetap Deteksi</v>
      </c>
      <c r="N247" s="132">
        <v>46240</v>
      </c>
      <c r="O247" s="203">
        <v>57</v>
      </c>
      <c r="P247" s="9">
        <f t="array" ref="P247">IFERROR(O247/G247*100,0)</f>
        <v>1.5724137931034481</v>
      </c>
      <c r="Q247" s="203">
        <v>2</v>
      </c>
      <c r="R247" s="9">
        <f t="shared" si="30"/>
        <v>3.5087719298245612</v>
      </c>
      <c r="S247" s="8" t="str">
        <f t="array" ref="S247">IF(R247&gt;5,"Perlu Sensus",IF(AND(R247&gt;=0,O247&gt;0),"Tetap Deteksi","Belum Deteksi"))</f>
        <v>Tetap Deteksi</v>
      </c>
      <c r="T247" s="203">
        <f t="array" ref="T247">INDEX('[20]LS (Deteksi) Agustus'!T$7:T$303,MATCH(1,('[20]LS (Deteksi) Agustus'!$D$7:$D$303=$D247)*('[20]LS (Deteksi) Agustus'!$D$7:$D$303=$D247),0))</f>
        <v>0</v>
      </c>
      <c r="U247" s="9">
        <f t="shared" si="31"/>
        <v>0</v>
      </c>
      <c r="V247" s="132">
        <v>46241</v>
      </c>
      <c r="W247" s="203">
        <v>215</v>
      </c>
      <c r="X247" s="203">
        <v>5</v>
      </c>
      <c r="Y247" s="9">
        <f t="shared" si="32"/>
        <v>2.3255813953488373</v>
      </c>
      <c r="Z247" s="8" t="str">
        <f t="array" ref="Z247">IF(Y247&gt;5,"Perlu Sensus",IF(AND(Y247&gt;0,,O247&gt;0),"Tetap Deteksi","Belum Deteksi"))</f>
        <v>Belum Deteksi</v>
      </c>
      <c r="AA247" s="203">
        <f t="array" ref="AA247">INDEX('[20]LS (Deteksi) Agustus'!AA$7:AA$303,MATCH(1,('[20]LS (Deteksi) Agustus'!$D$7:$D$303=$D247)*('[20]LS (Deteksi) Agustus'!$D$7:$D$303=$D247),0))</f>
        <v>0</v>
      </c>
      <c r="AB247" s="9">
        <f t="shared" si="33"/>
        <v>0</v>
      </c>
    </row>
    <row r="248" spans="1:28" outlineLevel="1" x14ac:dyDescent="0.15">
      <c r="A248" s="8" t="s">
        <v>13</v>
      </c>
      <c r="B248" s="8" t="s">
        <v>47</v>
      </c>
      <c r="C248" s="8" t="s">
        <v>252</v>
      </c>
      <c r="D248" s="8" t="s">
        <v>266</v>
      </c>
      <c r="E248" s="9">
        <v>24.58</v>
      </c>
      <c r="F248" s="8" t="s">
        <v>132</v>
      </c>
      <c r="G248" s="143">
        <v>3622</v>
      </c>
      <c r="H248" s="132">
        <f t="shared" si="34"/>
        <v>46234</v>
      </c>
      <c r="I248" s="140">
        <f t="shared" si="34"/>
        <v>53</v>
      </c>
      <c r="J248" s="9">
        <f t="shared" si="27"/>
        <v>1.4632799558255107</v>
      </c>
      <c r="K248" s="140">
        <f t="shared" si="28"/>
        <v>1</v>
      </c>
      <c r="L248" s="206">
        <f t="shared" si="29"/>
        <v>1.8867924528301887</v>
      </c>
      <c r="M248" s="8" t="str">
        <f t="array" ref="M248">IF(L248&gt;5,"Perlu Sensus",IF(AND(L248&gt;=0,I248&gt;0),"Tetap Deteksi","Belum Deteksi"))</f>
        <v>Tetap Deteksi</v>
      </c>
      <c r="N248" s="132">
        <v>46234</v>
      </c>
      <c r="O248" s="203">
        <v>53</v>
      </c>
      <c r="P248" s="9">
        <f t="array" ref="P248">IFERROR(O248/G248*100,0)</f>
        <v>1.4632799558255107</v>
      </c>
      <c r="Q248" s="203">
        <v>1</v>
      </c>
      <c r="R248" s="9">
        <f t="shared" si="30"/>
        <v>1.8867924528301887</v>
      </c>
      <c r="S248" s="8" t="str">
        <f t="array" ref="S248">IF(R248&gt;5,"Perlu Sensus",IF(AND(R248&gt;=0,O248&gt;0),"Tetap Deteksi","Belum Deteksi"))</f>
        <v>Tetap Deteksi</v>
      </c>
      <c r="T248" s="203">
        <f t="array" ref="T248">INDEX('[20]LS (Deteksi) Agustus'!T$7:T$303,MATCH(1,('[20]LS (Deteksi) Agustus'!$D$7:$D$303=$D248)*('[20]LS (Deteksi) Agustus'!$D$7:$D$303=$D248),0))</f>
        <v>0</v>
      </c>
      <c r="U248" s="9">
        <f t="shared" si="31"/>
        <v>0</v>
      </c>
      <c r="V248" s="132">
        <v>46235</v>
      </c>
      <c r="W248" s="203">
        <v>202</v>
      </c>
      <c r="X248" s="203">
        <v>5</v>
      </c>
      <c r="Y248" s="9">
        <f t="shared" si="32"/>
        <v>2.4752475247524752</v>
      </c>
      <c r="Z248" s="8" t="str">
        <f t="array" ref="Z248">IF(Y248&gt;5,"Perlu Sensus",IF(AND(Y248&gt;0,,O248&gt;0),"Tetap Deteksi","Belum Deteksi"))</f>
        <v>Belum Deteksi</v>
      </c>
      <c r="AA248" s="203">
        <f t="array" ref="AA248">INDEX('[20]LS (Deteksi) Agustus'!AA$7:AA$303,MATCH(1,('[20]LS (Deteksi) Agustus'!$D$7:$D$303=$D248)*('[20]LS (Deteksi) Agustus'!$D$7:$D$303=$D248),0))</f>
        <v>0</v>
      </c>
      <c r="AB248" s="9">
        <f t="shared" si="33"/>
        <v>0</v>
      </c>
    </row>
    <row r="249" spans="1:28" outlineLevel="1" x14ac:dyDescent="0.15">
      <c r="A249" s="8" t="s">
        <v>13</v>
      </c>
      <c r="B249" s="8" t="s">
        <v>47</v>
      </c>
      <c r="C249" s="8" t="s">
        <v>252</v>
      </c>
      <c r="D249" s="8" t="s">
        <v>267</v>
      </c>
      <c r="E249" s="9">
        <v>26.81</v>
      </c>
      <c r="F249" s="8" t="s">
        <v>132</v>
      </c>
      <c r="G249" s="143">
        <v>4031</v>
      </c>
      <c r="H249" s="132">
        <f t="shared" si="34"/>
        <v>46234</v>
      </c>
      <c r="I249" s="140">
        <f t="shared" si="34"/>
        <v>65</v>
      </c>
      <c r="J249" s="9">
        <f t="shared" si="27"/>
        <v>1.6125031009675019</v>
      </c>
      <c r="K249" s="140">
        <f t="shared" si="28"/>
        <v>6</v>
      </c>
      <c r="L249" s="206">
        <f t="shared" si="29"/>
        <v>9.2307692307692317</v>
      </c>
      <c r="M249" s="8" t="str">
        <f t="array" ref="M249">IF(L249&gt;5,"Perlu Sensus",IF(AND(L249&gt;=0,I249&gt;0),"Tetap Deteksi","Belum Deteksi"))</f>
        <v>Perlu Sensus</v>
      </c>
      <c r="N249" s="132">
        <v>46234</v>
      </c>
      <c r="O249" s="203">
        <v>65</v>
      </c>
      <c r="P249" s="9">
        <f t="array" ref="P249">IFERROR(O249/G249*100,0)</f>
        <v>1.6125031009675019</v>
      </c>
      <c r="Q249" s="203">
        <v>6</v>
      </c>
      <c r="R249" s="9">
        <f t="shared" si="30"/>
        <v>9.2307692307692317</v>
      </c>
      <c r="S249" s="8" t="str">
        <f t="array" ref="S249">IF(R249&gt;5,"Perlu Sensus",IF(AND(R249&gt;=0,O249&gt;0),"Tetap Deteksi","Belum Deteksi"))</f>
        <v>Perlu Sensus</v>
      </c>
      <c r="T249" s="203">
        <f t="array" ref="T249">INDEX('[20]LS (Deteksi) Agustus'!T$7:T$303,MATCH(1,('[20]LS (Deteksi) Agustus'!$D$7:$D$303=$D249)*('[20]LS (Deteksi) Agustus'!$D$7:$D$303=$D249),0))</f>
        <v>0</v>
      </c>
      <c r="U249" s="9">
        <f t="shared" si="31"/>
        <v>0</v>
      </c>
      <c r="V249" s="132">
        <v>46235</v>
      </c>
      <c r="W249" s="203">
        <v>217</v>
      </c>
      <c r="X249" s="203">
        <v>25</v>
      </c>
      <c r="Y249" s="9">
        <f t="shared" si="32"/>
        <v>11.52073732718894</v>
      </c>
      <c r="Z249" s="8" t="str">
        <f t="array" ref="Z249">IF(Y249&gt;5,"Perlu Sensus",IF(AND(Y249&gt;0,,O249&gt;0),"Tetap Deteksi","Belum Deteksi"))</f>
        <v>Perlu Sensus</v>
      </c>
      <c r="AA249" s="203">
        <f t="array" ref="AA249">INDEX('[20]LS (Deteksi) Agustus'!AA$7:AA$303,MATCH(1,('[20]LS (Deteksi) Agustus'!$D$7:$D$303=$D249)*('[20]LS (Deteksi) Agustus'!$D$7:$D$303=$D249),0))</f>
        <v>0</v>
      </c>
      <c r="AB249" s="9">
        <f t="shared" si="33"/>
        <v>0</v>
      </c>
    </row>
    <row r="250" spans="1:28" outlineLevel="1" x14ac:dyDescent="0.15">
      <c r="A250" s="8" t="s">
        <v>13</v>
      </c>
      <c r="B250" s="8" t="s">
        <v>47</v>
      </c>
      <c r="C250" s="8" t="s">
        <v>252</v>
      </c>
      <c r="D250" s="8" t="s">
        <v>268</v>
      </c>
      <c r="E250" s="9">
        <v>40.9</v>
      </c>
      <c r="F250" s="8" t="s">
        <v>132</v>
      </c>
      <c r="G250" s="143">
        <v>6119</v>
      </c>
      <c r="H250" s="132">
        <f t="shared" si="34"/>
        <v>46234</v>
      </c>
      <c r="I250" s="140">
        <f t="shared" si="34"/>
        <v>56</v>
      </c>
      <c r="J250" s="9">
        <f t="shared" si="27"/>
        <v>0.91518221931688182</v>
      </c>
      <c r="K250" s="140">
        <f t="shared" si="28"/>
        <v>5</v>
      </c>
      <c r="L250" s="206">
        <f t="shared" si="29"/>
        <v>8.9285714285714288</v>
      </c>
      <c r="M250" s="8" t="str">
        <f t="array" ref="M250">IF(L250&gt;5,"Perlu Sensus",IF(AND(L250&gt;=0,I250&gt;0),"Tetap Deteksi","Belum Deteksi"))</f>
        <v>Perlu Sensus</v>
      </c>
      <c r="N250" s="132">
        <v>46234</v>
      </c>
      <c r="O250" s="203">
        <v>56</v>
      </c>
      <c r="P250" s="9">
        <f t="array" ref="P250">IFERROR(O250/G250*100,0)</f>
        <v>0.91518221931688182</v>
      </c>
      <c r="Q250" s="203">
        <v>5</v>
      </c>
      <c r="R250" s="9">
        <f t="shared" si="30"/>
        <v>8.9285714285714288</v>
      </c>
      <c r="S250" s="8" t="str">
        <f t="array" ref="S250">IF(R250&gt;5,"Perlu Sensus",IF(AND(R250&gt;=0,O250&gt;0),"Tetap Deteksi","Belum Deteksi"))</f>
        <v>Perlu Sensus</v>
      </c>
      <c r="T250" s="203">
        <f t="array" ref="T250">INDEX('[20]LS (Deteksi) Agustus'!T$7:T$303,MATCH(1,('[20]LS (Deteksi) Agustus'!$D$7:$D$303=$D250)*('[20]LS (Deteksi) Agustus'!$D$7:$D$303=$D250),0))</f>
        <v>0</v>
      </c>
      <c r="U250" s="9">
        <f t="shared" si="31"/>
        <v>0</v>
      </c>
      <c r="V250" s="132">
        <v>46235</v>
      </c>
      <c r="W250" s="203">
        <v>230</v>
      </c>
      <c r="X250" s="203">
        <v>21</v>
      </c>
      <c r="Y250" s="9">
        <f t="shared" si="32"/>
        <v>9.1304347826086953</v>
      </c>
      <c r="Z250" s="8" t="str">
        <f t="array" ref="Z250">IF(Y250&gt;5,"Perlu Sensus",IF(AND(Y250&gt;0,,O250&gt;0),"Tetap Deteksi","Belum Deteksi"))</f>
        <v>Perlu Sensus</v>
      </c>
      <c r="AA250" s="203">
        <f t="array" ref="AA250">INDEX('[20]LS (Deteksi) Agustus'!AA$7:AA$303,MATCH(1,('[20]LS (Deteksi) Agustus'!$D$7:$D$303=$D250)*('[20]LS (Deteksi) Agustus'!$D$7:$D$303=$D250),0))</f>
        <v>0</v>
      </c>
      <c r="AB250" s="9">
        <f t="shared" si="33"/>
        <v>0</v>
      </c>
    </row>
    <row r="251" spans="1:28" outlineLevel="1" x14ac:dyDescent="0.15">
      <c r="A251" s="8" t="s">
        <v>13</v>
      </c>
      <c r="B251" s="8" t="s">
        <v>47</v>
      </c>
      <c r="C251" s="8" t="s">
        <v>252</v>
      </c>
      <c r="D251" s="8" t="s">
        <v>269</v>
      </c>
      <c r="E251" s="9">
        <v>24.69</v>
      </c>
      <c r="F251" s="8" t="s">
        <v>132</v>
      </c>
      <c r="G251" s="143">
        <v>3734</v>
      </c>
      <c r="H251" s="132">
        <f t="shared" si="34"/>
        <v>46236</v>
      </c>
      <c r="I251" s="140">
        <f t="shared" si="34"/>
        <v>54</v>
      </c>
      <c r="J251" s="9">
        <f t="shared" si="27"/>
        <v>1.44617032672737</v>
      </c>
      <c r="K251" s="140">
        <f t="shared" si="28"/>
        <v>2</v>
      </c>
      <c r="L251" s="206">
        <f t="shared" si="29"/>
        <v>3.7037037037037033</v>
      </c>
      <c r="M251" s="8" t="str">
        <f t="array" ref="M251">IF(L251&gt;5,"Perlu Sensus",IF(AND(L251&gt;=0,I251&gt;0),"Tetap Deteksi","Belum Deteksi"))</f>
        <v>Tetap Deteksi</v>
      </c>
      <c r="N251" s="132">
        <v>46236</v>
      </c>
      <c r="O251" s="203">
        <v>54</v>
      </c>
      <c r="P251" s="9">
        <f t="array" ref="P251">IFERROR(O251/G251*100,0)</f>
        <v>1.44617032672737</v>
      </c>
      <c r="Q251" s="203">
        <v>2</v>
      </c>
      <c r="R251" s="9">
        <f t="shared" si="30"/>
        <v>3.7037037037037033</v>
      </c>
      <c r="S251" s="8" t="str">
        <f t="array" ref="S251">IF(R251&gt;5,"Perlu Sensus",IF(AND(R251&gt;=0,O251&gt;0),"Tetap Deteksi","Belum Deteksi"))</f>
        <v>Tetap Deteksi</v>
      </c>
      <c r="T251" s="203">
        <f t="array" ref="T251">INDEX('[20]LS (Deteksi) Agustus'!T$7:T$303,MATCH(1,('[20]LS (Deteksi) Agustus'!$D$7:$D$303=$D251)*('[20]LS (Deteksi) Agustus'!$D$7:$D$303=$D251),0))</f>
        <v>0</v>
      </c>
      <c r="U251" s="9">
        <f t="shared" si="31"/>
        <v>0</v>
      </c>
      <c r="V251" s="132">
        <v>46237</v>
      </c>
      <c r="W251" s="203">
        <v>243</v>
      </c>
      <c r="X251" s="203">
        <v>8</v>
      </c>
      <c r="Y251" s="9">
        <f t="shared" si="32"/>
        <v>3.2921810699588478</v>
      </c>
      <c r="Z251" s="8" t="str">
        <f t="array" ref="Z251">IF(Y251&gt;5,"Perlu Sensus",IF(AND(Y251&gt;0,,O251&gt;0),"Tetap Deteksi","Belum Deteksi"))</f>
        <v>Belum Deteksi</v>
      </c>
      <c r="AA251" s="203">
        <f t="array" ref="AA251">INDEX('[20]LS (Deteksi) Agustus'!AA$7:AA$303,MATCH(1,('[20]LS (Deteksi) Agustus'!$D$7:$D$303=$D251)*('[20]LS (Deteksi) Agustus'!$D$7:$D$303=$D251),0))</f>
        <v>0</v>
      </c>
      <c r="AB251" s="9">
        <f t="shared" si="33"/>
        <v>0</v>
      </c>
    </row>
    <row r="252" spans="1:28" outlineLevel="1" x14ac:dyDescent="0.15">
      <c r="A252" s="8" t="s">
        <v>13</v>
      </c>
      <c r="B252" s="8" t="s">
        <v>47</v>
      </c>
      <c r="C252" s="8" t="s">
        <v>252</v>
      </c>
      <c r="D252" s="8" t="s">
        <v>270</v>
      </c>
      <c r="E252" s="9">
        <v>23.9</v>
      </c>
      <c r="F252" s="8" t="s">
        <v>132</v>
      </c>
      <c r="G252" s="143">
        <v>3675</v>
      </c>
      <c r="H252" s="132">
        <f t="shared" si="34"/>
        <v>46236</v>
      </c>
      <c r="I252" s="140">
        <f t="shared" si="34"/>
        <v>55</v>
      </c>
      <c r="J252" s="9">
        <f t="shared" si="27"/>
        <v>1.4965986394557822</v>
      </c>
      <c r="K252" s="140">
        <f t="shared" si="28"/>
        <v>1</v>
      </c>
      <c r="L252" s="206">
        <f t="shared" si="29"/>
        <v>1.8181818181818181</v>
      </c>
      <c r="M252" s="8" t="str">
        <f t="array" ref="M252">IF(L252&gt;5,"Perlu Sensus",IF(AND(L252&gt;=0,I252&gt;0),"Tetap Deteksi","Belum Deteksi"))</f>
        <v>Tetap Deteksi</v>
      </c>
      <c r="N252" s="132">
        <v>46236</v>
      </c>
      <c r="O252" s="203">
        <v>55</v>
      </c>
      <c r="P252" s="9">
        <f t="array" ref="P252">IFERROR(O252/G252*100,0)</f>
        <v>1.4965986394557822</v>
      </c>
      <c r="Q252" s="203">
        <v>1</v>
      </c>
      <c r="R252" s="9">
        <f t="shared" si="30"/>
        <v>1.8181818181818181</v>
      </c>
      <c r="S252" s="8" t="str">
        <f t="array" ref="S252">IF(R252&gt;5,"Perlu Sensus",IF(AND(R252&gt;=0,O252&gt;0),"Tetap Deteksi","Belum Deteksi"))</f>
        <v>Tetap Deteksi</v>
      </c>
      <c r="T252" s="203">
        <f t="array" ref="T252">INDEX('[20]LS (Deteksi) Agustus'!T$7:T$303,MATCH(1,('[20]LS (Deteksi) Agustus'!$D$7:$D$303=$D252)*('[20]LS (Deteksi) Agustus'!$D$7:$D$303=$D252),0))</f>
        <v>0</v>
      </c>
      <c r="U252" s="9">
        <f t="shared" si="31"/>
        <v>0</v>
      </c>
      <c r="V252" s="132">
        <v>46237</v>
      </c>
      <c r="W252" s="203">
        <v>221</v>
      </c>
      <c r="X252" s="203">
        <v>5</v>
      </c>
      <c r="Y252" s="9">
        <f t="shared" si="32"/>
        <v>2.2624434389140271</v>
      </c>
      <c r="Z252" s="8" t="str">
        <f t="array" ref="Z252">IF(Y252&gt;5,"Perlu Sensus",IF(AND(Y252&gt;0,,O252&gt;0),"Tetap Deteksi","Belum Deteksi"))</f>
        <v>Belum Deteksi</v>
      </c>
      <c r="AA252" s="203">
        <f t="array" ref="AA252">INDEX('[20]LS (Deteksi) Agustus'!AA$7:AA$303,MATCH(1,('[20]LS (Deteksi) Agustus'!$D$7:$D$303=$D252)*('[20]LS (Deteksi) Agustus'!$D$7:$D$303=$D252),0))</f>
        <v>0</v>
      </c>
      <c r="AB252" s="9">
        <f t="shared" si="33"/>
        <v>0</v>
      </c>
    </row>
    <row r="253" spans="1:28" outlineLevel="1" x14ac:dyDescent="0.15">
      <c r="A253" s="8" t="s">
        <v>13</v>
      </c>
      <c r="B253" s="8" t="s">
        <v>47</v>
      </c>
      <c r="C253" s="8" t="s">
        <v>252</v>
      </c>
      <c r="D253" s="8" t="s">
        <v>271</v>
      </c>
      <c r="E253" s="9">
        <v>27.24</v>
      </c>
      <c r="F253" s="8" t="s">
        <v>132</v>
      </c>
      <c r="G253" s="143">
        <v>3887</v>
      </c>
      <c r="H253" s="132">
        <f t="shared" si="34"/>
        <v>46236</v>
      </c>
      <c r="I253" s="140">
        <f t="shared" si="34"/>
        <v>54</v>
      </c>
      <c r="J253" s="9">
        <f t="shared" si="27"/>
        <v>1.389246205299717</v>
      </c>
      <c r="K253" s="140">
        <f t="shared" si="28"/>
        <v>5</v>
      </c>
      <c r="L253" s="206">
        <f t="shared" si="29"/>
        <v>9.2592592592592595</v>
      </c>
      <c r="M253" s="8" t="str">
        <f t="array" ref="M253">IF(L253&gt;5,"Perlu Sensus",IF(AND(L253&gt;=0,I253&gt;0),"Tetap Deteksi","Belum Deteksi"))</f>
        <v>Perlu Sensus</v>
      </c>
      <c r="N253" s="132">
        <v>46236</v>
      </c>
      <c r="O253" s="203">
        <v>54</v>
      </c>
      <c r="P253" s="9">
        <f t="array" ref="P253">IFERROR(O253/G253*100,0)</f>
        <v>1.389246205299717</v>
      </c>
      <c r="Q253" s="203">
        <v>5</v>
      </c>
      <c r="R253" s="9">
        <f t="shared" si="30"/>
        <v>9.2592592592592595</v>
      </c>
      <c r="S253" s="8" t="str">
        <f t="array" ref="S253">IF(R253&gt;5,"Perlu Sensus",IF(AND(R253&gt;=0,O253&gt;0),"Tetap Deteksi","Belum Deteksi"))</f>
        <v>Perlu Sensus</v>
      </c>
      <c r="T253" s="203">
        <f t="array" ref="T253">INDEX('[20]LS (Deteksi) Agustus'!T$7:T$303,MATCH(1,('[20]LS (Deteksi) Agustus'!$D$7:$D$303=$D253)*('[20]LS (Deteksi) Agustus'!$D$7:$D$303=$D253),0))</f>
        <v>0</v>
      </c>
      <c r="U253" s="9">
        <f t="shared" si="31"/>
        <v>0</v>
      </c>
      <c r="V253" s="132">
        <v>46237</v>
      </c>
      <c r="W253" s="203">
        <v>214</v>
      </c>
      <c r="X253" s="203">
        <v>21</v>
      </c>
      <c r="Y253" s="9">
        <f t="shared" si="32"/>
        <v>9.8130841121495322</v>
      </c>
      <c r="Z253" s="8" t="str">
        <f t="array" ref="Z253">IF(Y253&gt;5,"Perlu Sensus",IF(AND(Y253&gt;0,,O253&gt;0),"Tetap Deteksi","Belum Deteksi"))</f>
        <v>Perlu Sensus</v>
      </c>
      <c r="AA253" s="203">
        <f t="array" ref="AA253">INDEX('[20]LS (Deteksi) Agustus'!AA$7:AA$303,MATCH(1,('[20]LS (Deteksi) Agustus'!$D$7:$D$303=$D253)*('[20]LS (Deteksi) Agustus'!$D$7:$D$303=$D253),0))</f>
        <v>0</v>
      </c>
      <c r="AB253" s="9">
        <f t="shared" si="33"/>
        <v>0</v>
      </c>
    </row>
    <row r="254" spans="1:28" outlineLevel="1" x14ac:dyDescent="0.15">
      <c r="A254" s="8" t="s">
        <v>13</v>
      </c>
      <c r="B254" s="8" t="s">
        <v>47</v>
      </c>
      <c r="C254" s="8" t="s">
        <v>252</v>
      </c>
      <c r="D254" s="8" t="s">
        <v>272</v>
      </c>
      <c r="E254" s="9">
        <v>21.12</v>
      </c>
      <c r="F254" s="8" t="s">
        <v>132</v>
      </c>
      <c r="G254" s="143">
        <v>3075</v>
      </c>
      <c r="H254" s="132">
        <f t="shared" si="34"/>
        <v>46238</v>
      </c>
      <c r="I254" s="140">
        <f t="shared" si="34"/>
        <v>51</v>
      </c>
      <c r="J254" s="9">
        <f t="shared" si="27"/>
        <v>1.6585365853658538</v>
      </c>
      <c r="K254" s="140">
        <f t="shared" si="28"/>
        <v>4</v>
      </c>
      <c r="L254" s="206">
        <f t="shared" si="29"/>
        <v>7.8431372549019605</v>
      </c>
      <c r="M254" s="8" t="str">
        <f t="array" ref="M254">IF(L254&gt;5,"Perlu Sensus",IF(AND(L254&gt;=0,I254&gt;0),"Tetap Deteksi","Belum Deteksi"))</f>
        <v>Perlu Sensus</v>
      </c>
      <c r="N254" s="132">
        <v>46238</v>
      </c>
      <c r="O254" s="203">
        <v>51</v>
      </c>
      <c r="P254" s="9">
        <f t="array" ref="P254">IFERROR(O254/G254*100,0)</f>
        <v>1.6585365853658538</v>
      </c>
      <c r="Q254" s="203">
        <v>4</v>
      </c>
      <c r="R254" s="9">
        <f t="shared" si="30"/>
        <v>7.8431372549019605</v>
      </c>
      <c r="S254" s="8" t="str">
        <f t="array" ref="S254">IF(R254&gt;5,"Perlu Sensus",IF(AND(R254&gt;=0,O254&gt;0),"Tetap Deteksi","Belum Deteksi"))</f>
        <v>Perlu Sensus</v>
      </c>
      <c r="T254" s="203">
        <f t="array" ref="T254">INDEX('[20]LS (Deteksi) Agustus'!T$7:T$303,MATCH(1,('[20]LS (Deteksi) Agustus'!$D$7:$D$303=$D254)*('[20]LS (Deteksi) Agustus'!$D$7:$D$303=$D254),0))</f>
        <v>0</v>
      </c>
      <c r="U254" s="9">
        <f t="shared" si="31"/>
        <v>0</v>
      </c>
      <c r="V254" s="132">
        <v>46239</v>
      </c>
      <c r="W254" s="203">
        <v>260</v>
      </c>
      <c r="X254" s="203">
        <v>23</v>
      </c>
      <c r="Y254" s="9">
        <f t="shared" si="32"/>
        <v>8.8461538461538467</v>
      </c>
      <c r="Z254" s="8" t="str">
        <f t="array" ref="Z254">IF(Y254&gt;5,"Perlu Sensus",IF(AND(Y254&gt;0,,O254&gt;0),"Tetap Deteksi","Belum Deteksi"))</f>
        <v>Perlu Sensus</v>
      </c>
      <c r="AA254" s="203">
        <f t="array" ref="AA254">INDEX('[20]LS (Deteksi) Agustus'!AA$7:AA$303,MATCH(1,('[20]LS (Deteksi) Agustus'!$D$7:$D$303=$D254)*('[20]LS (Deteksi) Agustus'!$D$7:$D$303=$D254),0))</f>
        <v>0</v>
      </c>
      <c r="AB254" s="9">
        <f t="shared" si="33"/>
        <v>0</v>
      </c>
    </row>
    <row r="255" spans="1:28" outlineLevel="1" x14ac:dyDescent="0.15">
      <c r="A255" s="8" t="s">
        <v>13</v>
      </c>
      <c r="B255" s="8" t="s">
        <v>47</v>
      </c>
      <c r="C255" s="8" t="s">
        <v>252</v>
      </c>
      <c r="D255" s="8" t="s">
        <v>273</v>
      </c>
      <c r="E255" s="9">
        <v>25.66</v>
      </c>
      <c r="F255" s="8" t="s">
        <v>132</v>
      </c>
      <c r="G255" s="143">
        <v>3765</v>
      </c>
      <c r="H255" s="132">
        <f t="shared" si="34"/>
        <v>46239</v>
      </c>
      <c r="I255" s="140">
        <f t="shared" si="34"/>
        <v>60</v>
      </c>
      <c r="J255" s="9">
        <f t="shared" si="27"/>
        <v>1.593625498007968</v>
      </c>
      <c r="K255" s="140">
        <f t="shared" si="28"/>
        <v>2</v>
      </c>
      <c r="L255" s="206">
        <f t="shared" si="29"/>
        <v>3.3333333333333335</v>
      </c>
      <c r="M255" s="8" t="str">
        <f t="array" ref="M255">IF(L255&gt;5,"Perlu Sensus",IF(AND(L255&gt;=0,I255&gt;0),"Tetap Deteksi","Belum Deteksi"))</f>
        <v>Tetap Deteksi</v>
      </c>
      <c r="N255" s="132">
        <v>46239</v>
      </c>
      <c r="O255" s="203">
        <v>60</v>
      </c>
      <c r="P255" s="9">
        <f t="array" ref="P255">IFERROR(O255/G255*100,0)</f>
        <v>1.593625498007968</v>
      </c>
      <c r="Q255" s="203">
        <v>2</v>
      </c>
      <c r="R255" s="9">
        <f t="shared" si="30"/>
        <v>3.3333333333333335</v>
      </c>
      <c r="S255" s="8" t="str">
        <f t="array" ref="S255">IF(R255&gt;5,"Perlu Sensus",IF(AND(R255&gt;=0,O255&gt;0),"Tetap Deteksi","Belum Deteksi"))</f>
        <v>Tetap Deteksi</v>
      </c>
      <c r="T255" s="203">
        <f t="array" ref="T255">INDEX('[20]LS (Deteksi) Agustus'!T$7:T$303,MATCH(1,('[20]LS (Deteksi) Agustus'!$D$7:$D$303=$D255)*('[20]LS (Deteksi) Agustus'!$D$7:$D$303=$D255),0))</f>
        <v>0</v>
      </c>
      <c r="U255" s="9">
        <f t="shared" si="31"/>
        <v>0</v>
      </c>
      <c r="V255" s="132">
        <v>46240</v>
      </c>
      <c r="W255" s="203">
        <v>215</v>
      </c>
      <c r="X255" s="203">
        <v>5</v>
      </c>
      <c r="Y255" s="9">
        <f t="shared" si="32"/>
        <v>2.3255813953488373</v>
      </c>
      <c r="Z255" s="8" t="str">
        <f t="array" ref="Z255">IF(Y255&gt;5,"Perlu Sensus",IF(AND(Y255&gt;0,,O255&gt;0),"Tetap Deteksi","Belum Deteksi"))</f>
        <v>Belum Deteksi</v>
      </c>
      <c r="AA255" s="203">
        <f t="array" ref="AA255">INDEX('[20]LS (Deteksi) Agustus'!AA$7:AA$303,MATCH(1,('[20]LS (Deteksi) Agustus'!$D$7:$D$303=$D255)*('[20]LS (Deteksi) Agustus'!$D$7:$D$303=$D255),0))</f>
        <v>0</v>
      </c>
      <c r="AB255" s="9">
        <f t="shared" si="33"/>
        <v>0</v>
      </c>
    </row>
    <row r="256" spans="1:28" outlineLevel="1" x14ac:dyDescent="0.15">
      <c r="A256" s="8" t="s">
        <v>13</v>
      </c>
      <c r="B256" s="8" t="s">
        <v>47</v>
      </c>
      <c r="C256" s="8" t="s">
        <v>252</v>
      </c>
      <c r="D256" s="8" t="s">
        <v>274</v>
      </c>
      <c r="E256" s="9">
        <v>25.62</v>
      </c>
      <c r="F256" s="8" t="s">
        <v>132</v>
      </c>
      <c r="G256" s="143">
        <v>3816</v>
      </c>
      <c r="H256" s="132">
        <f t="shared" si="34"/>
        <v>46239</v>
      </c>
      <c r="I256" s="140">
        <f t="shared" si="34"/>
        <v>55</v>
      </c>
      <c r="J256" s="9">
        <f t="shared" si="27"/>
        <v>1.441299790356394</v>
      </c>
      <c r="K256" s="140">
        <f t="shared" si="28"/>
        <v>4</v>
      </c>
      <c r="L256" s="206">
        <f t="shared" si="29"/>
        <v>7.2727272727272725</v>
      </c>
      <c r="M256" s="8" t="str">
        <f t="array" ref="M256">IF(L256&gt;5,"Perlu Sensus",IF(AND(L256&gt;=0,I256&gt;0),"Tetap Deteksi","Belum Deteksi"))</f>
        <v>Perlu Sensus</v>
      </c>
      <c r="N256" s="132">
        <v>46239</v>
      </c>
      <c r="O256" s="203">
        <v>55</v>
      </c>
      <c r="P256" s="9">
        <f t="array" ref="P256">IFERROR(O256/G256*100,0)</f>
        <v>1.441299790356394</v>
      </c>
      <c r="Q256" s="203">
        <v>4</v>
      </c>
      <c r="R256" s="9">
        <f t="shared" si="30"/>
        <v>7.2727272727272725</v>
      </c>
      <c r="S256" s="8" t="str">
        <f t="array" ref="S256">IF(R256&gt;5,"Perlu Sensus",IF(AND(R256&gt;=0,O256&gt;0),"Tetap Deteksi","Belum Deteksi"))</f>
        <v>Perlu Sensus</v>
      </c>
      <c r="T256" s="203">
        <f t="array" ref="T256">INDEX('[20]LS (Deteksi) Agustus'!T$7:T$303,MATCH(1,('[20]LS (Deteksi) Agustus'!$D$7:$D$303=$D256)*('[20]LS (Deteksi) Agustus'!$D$7:$D$303=$D256),0))</f>
        <v>0</v>
      </c>
      <c r="U256" s="9">
        <f t="shared" si="31"/>
        <v>0</v>
      </c>
      <c r="V256" s="132">
        <v>46240</v>
      </c>
      <c r="W256" s="203">
        <v>270</v>
      </c>
      <c r="X256" s="203">
        <v>40</v>
      </c>
      <c r="Y256" s="9">
        <f t="shared" si="32"/>
        <v>14.814814814814813</v>
      </c>
      <c r="Z256" s="8" t="str">
        <f t="array" ref="Z256">IF(Y256&gt;5,"Perlu Sensus",IF(AND(Y256&gt;0,,O256&gt;0),"Tetap Deteksi","Belum Deteksi"))</f>
        <v>Perlu Sensus</v>
      </c>
      <c r="AA256" s="203">
        <f t="array" ref="AA256">INDEX('[20]LS (Deteksi) Agustus'!AA$7:AA$303,MATCH(1,('[20]LS (Deteksi) Agustus'!$D$7:$D$303=$D256)*('[20]LS (Deteksi) Agustus'!$D$7:$D$303=$D256),0))</f>
        <v>0</v>
      </c>
      <c r="AB256" s="9">
        <f t="shared" si="33"/>
        <v>0</v>
      </c>
    </row>
    <row r="257" spans="1:28" outlineLevel="1" x14ac:dyDescent="0.15">
      <c r="A257" s="8" t="s">
        <v>13</v>
      </c>
      <c r="B257" s="8" t="s">
        <v>47</v>
      </c>
      <c r="C257" s="8" t="s">
        <v>252</v>
      </c>
      <c r="D257" s="8" t="s">
        <v>275</v>
      </c>
      <c r="E257" s="9">
        <v>28.55</v>
      </c>
      <c r="F257" s="8" t="s">
        <v>132</v>
      </c>
      <c r="G257" s="143">
        <v>4403</v>
      </c>
      <c r="H257" s="132">
        <f t="shared" si="34"/>
        <v>46239</v>
      </c>
      <c r="I257" s="140">
        <f t="shared" si="34"/>
        <v>63</v>
      </c>
      <c r="J257" s="9">
        <f t="shared" si="27"/>
        <v>1.4308426073131957</v>
      </c>
      <c r="K257" s="140">
        <f t="shared" si="28"/>
        <v>7</v>
      </c>
      <c r="L257" s="206">
        <f t="shared" si="29"/>
        <v>11.111111111111111</v>
      </c>
      <c r="M257" s="8" t="str">
        <f t="array" ref="M257">IF(L257&gt;5,"Perlu Sensus",IF(AND(L257&gt;=0,I257&gt;0),"Tetap Deteksi","Belum Deteksi"))</f>
        <v>Perlu Sensus</v>
      </c>
      <c r="N257" s="132">
        <v>46239</v>
      </c>
      <c r="O257" s="203">
        <v>63</v>
      </c>
      <c r="P257" s="9">
        <f t="array" ref="P257">IFERROR(O257/G257*100,0)</f>
        <v>1.4308426073131957</v>
      </c>
      <c r="Q257" s="203">
        <v>7</v>
      </c>
      <c r="R257" s="9">
        <f t="shared" si="30"/>
        <v>11.111111111111111</v>
      </c>
      <c r="S257" s="8" t="str">
        <f t="array" ref="S257">IF(R257&gt;5,"Perlu Sensus",IF(AND(R257&gt;=0,O257&gt;0),"Tetap Deteksi","Belum Deteksi"))</f>
        <v>Perlu Sensus</v>
      </c>
      <c r="T257" s="203">
        <f t="array" ref="T257">INDEX('[20]LS (Deteksi) Agustus'!T$7:T$303,MATCH(1,('[20]LS (Deteksi) Agustus'!$D$7:$D$303=$D257)*('[20]LS (Deteksi) Agustus'!$D$7:$D$303=$D257),0))</f>
        <v>0</v>
      </c>
      <c r="U257" s="9">
        <f t="shared" si="31"/>
        <v>0</v>
      </c>
      <c r="V257" s="132">
        <v>46240</v>
      </c>
      <c r="W257" s="203">
        <v>251</v>
      </c>
      <c r="X257" s="203">
        <v>31</v>
      </c>
      <c r="Y257" s="9">
        <f t="shared" si="32"/>
        <v>12.350597609561753</v>
      </c>
      <c r="Z257" s="8" t="str">
        <f t="array" ref="Z257">IF(Y257&gt;5,"Perlu Sensus",IF(AND(Y257&gt;0,,O257&gt;0),"Tetap Deteksi","Belum Deteksi"))</f>
        <v>Perlu Sensus</v>
      </c>
      <c r="AA257" s="203">
        <f t="array" ref="AA257">INDEX('[20]LS (Deteksi) Agustus'!AA$7:AA$303,MATCH(1,('[20]LS (Deteksi) Agustus'!$D$7:$D$303=$D257)*('[20]LS (Deteksi) Agustus'!$D$7:$D$303=$D257),0))</f>
        <v>0</v>
      </c>
      <c r="AB257" s="9">
        <f t="shared" si="33"/>
        <v>0</v>
      </c>
    </row>
    <row r="258" spans="1:28" outlineLevel="1" x14ac:dyDescent="0.15">
      <c r="A258" s="8" t="s">
        <v>13</v>
      </c>
      <c r="B258" s="8" t="s">
        <v>47</v>
      </c>
      <c r="C258" s="8" t="s">
        <v>252</v>
      </c>
      <c r="D258" s="8" t="s">
        <v>276</v>
      </c>
      <c r="E258" s="9">
        <v>44.83</v>
      </c>
      <c r="F258" s="8" t="s">
        <v>132</v>
      </c>
      <c r="G258" s="143">
        <v>6503</v>
      </c>
      <c r="H258" s="132">
        <f t="shared" si="34"/>
        <v>46238</v>
      </c>
      <c r="I258" s="140">
        <f t="shared" si="34"/>
        <v>112</v>
      </c>
      <c r="J258" s="9">
        <f t="shared" si="27"/>
        <v>1.7222820236813776</v>
      </c>
      <c r="K258" s="140">
        <f t="shared" si="28"/>
        <v>4</v>
      </c>
      <c r="L258" s="206">
        <f t="shared" si="29"/>
        <v>3.5714285714285712</v>
      </c>
      <c r="M258" s="8" t="str">
        <f t="array" ref="M258">IF(L258&gt;5,"Perlu Sensus",IF(AND(L258&gt;=0,I258&gt;0),"Tetap Deteksi","Belum Deteksi"))</f>
        <v>Tetap Deteksi</v>
      </c>
      <c r="N258" s="132">
        <v>46238</v>
      </c>
      <c r="O258" s="203">
        <v>112</v>
      </c>
      <c r="P258" s="9">
        <f t="array" ref="P258">IFERROR(O258/G258*100,0)</f>
        <v>1.7222820236813776</v>
      </c>
      <c r="Q258" s="203">
        <v>4</v>
      </c>
      <c r="R258" s="9">
        <f t="shared" si="30"/>
        <v>3.5714285714285712</v>
      </c>
      <c r="S258" s="8" t="str">
        <f t="array" ref="S258">IF(R258&gt;5,"Perlu Sensus",IF(AND(R258&gt;=0,O258&gt;0),"Tetap Deteksi","Belum Deteksi"))</f>
        <v>Tetap Deteksi</v>
      </c>
      <c r="T258" s="203">
        <f t="array" ref="T258">INDEX('[20]LS (Deteksi) Agustus'!T$7:T$303,MATCH(1,('[20]LS (Deteksi) Agustus'!$D$7:$D$303=$D258)*('[20]LS (Deteksi) Agustus'!$D$7:$D$303=$D258),0))</f>
        <v>0</v>
      </c>
      <c r="U258" s="9">
        <f t="shared" si="31"/>
        <v>0</v>
      </c>
      <c r="V258" s="132">
        <v>46239</v>
      </c>
      <c r="W258" s="203">
        <v>218</v>
      </c>
      <c r="X258" s="203">
        <v>8</v>
      </c>
      <c r="Y258" s="9">
        <f t="shared" si="32"/>
        <v>3.669724770642202</v>
      </c>
      <c r="Z258" s="8" t="str">
        <f t="array" ref="Z258">IF(Y258&gt;5,"Perlu Sensus",IF(AND(Y258&gt;0,,O258&gt;0),"Tetap Deteksi","Belum Deteksi"))</f>
        <v>Belum Deteksi</v>
      </c>
      <c r="AA258" s="203">
        <f t="array" ref="AA258">INDEX('[20]LS (Deteksi) Agustus'!AA$7:AA$303,MATCH(1,('[20]LS (Deteksi) Agustus'!$D$7:$D$303=$D258)*('[20]LS (Deteksi) Agustus'!$D$7:$D$303=$D258),0))</f>
        <v>0</v>
      </c>
      <c r="AB258" s="9">
        <f t="shared" si="33"/>
        <v>0</v>
      </c>
    </row>
    <row r="259" spans="1:28" outlineLevel="1" x14ac:dyDescent="0.15">
      <c r="A259" s="8" t="s">
        <v>13</v>
      </c>
      <c r="B259" s="8" t="s">
        <v>47</v>
      </c>
      <c r="C259" s="8" t="s">
        <v>252</v>
      </c>
      <c r="D259" s="8" t="s">
        <v>277</v>
      </c>
      <c r="E259" s="9">
        <v>24.85</v>
      </c>
      <c r="F259" s="8" t="s">
        <v>132</v>
      </c>
      <c r="G259" s="143">
        <v>3637</v>
      </c>
      <c r="H259" s="132">
        <f t="shared" si="34"/>
        <v>46236</v>
      </c>
      <c r="I259" s="140">
        <f t="shared" si="34"/>
        <v>56</v>
      </c>
      <c r="J259" s="9">
        <f t="shared" si="27"/>
        <v>1.539730547154248</v>
      </c>
      <c r="K259" s="140">
        <f t="shared" si="28"/>
        <v>2</v>
      </c>
      <c r="L259" s="206">
        <f t="shared" si="29"/>
        <v>3.5714285714285712</v>
      </c>
      <c r="M259" s="8" t="str">
        <f t="array" ref="M259">IF(L259&gt;5,"Perlu Sensus",IF(AND(L259&gt;=0,I259&gt;0),"Tetap Deteksi","Belum Deteksi"))</f>
        <v>Tetap Deteksi</v>
      </c>
      <c r="N259" s="132">
        <v>46236</v>
      </c>
      <c r="O259" s="203">
        <v>56</v>
      </c>
      <c r="P259" s="9">
        <f t="array" ref="P259">IFERROR(O259/G259*100,0)</f>
        <v>1.539730547154248</v>
      </c>
      <c r="Q259" s="203">
        <v>2</v>
      </c>
      <c r="R259" s="9">
        <f t="shared" si="30"/>
        <v>3.5714285714285712</v>
      </c>
      <c r="S259" s="8" t="str">
        <f t="array" ref="S259">IF(R259&gt;5,"Perlu Sensus",IF(AND(R259&gt;=0,O259&gt;0),"Tetap Deteksi","Belum Deteksi"))</f>
        <v>Tetap Deteksi</v>
      </c>
      <c r="T259" s="203">
        <f t="array" ref="T259">INDEX('[20]LS (Deteksi) Agustus'!T$7:T$303,MATCH(1,('[20]LS (Deteksi) Agustus'!$D$7:$D$303=$D259)*('[20]LS (Deteksi) Agustus'!$D$7:$D$303=$D259),0))</f>
        <v>0</v>
      </c>
      <c r="U259" s="9">
        <f t="shared" si="31"/>
        <v>0</v>
      </c>
      <c r="V259" s="132">
        <v>46237</v>
      </c>
      <c r="W259" s="203">
        <v>215</v>
      </c>
      <c r="X259" s="203">
        <v>6</v>
      </c>
      <c r="Y259" s="9">
        <f t="shared" si="32"/>
        <v>2.7906976744186047</v>
      </c>
      <c r="Z259" s="8" t="str">
        <f t="array" ref="Z259">IF(Y259&gt;5,"Perlu Sensus",IF(AND(Y259&gt;0,,O259&gt;0),"Tetap Deteksi","Belum Deteksi"))</f>
        <v>Belum Deteksi</v>
      </c>
      <c r="AA259" s="203">
        <f t="array" ref="AA259">INDEX('[20]LS (Deteksi) Agustus'!AA$7:AA$303,MATCH(1,('[20]LS (Deteksi) Agustus'!$D$7:$D$303=$D259)*('[20]LS (Deteksi) Agustus'!$D$7:$D$303=$D259),0))</f>
        <v>0</v>
      </c>
      <c r="AB259" s="9">
        <f t="shared" si="33"/>
        <v>0</v>
      </c>
    </row>
    <row r="260" spans="1:28" outlineLevel="1" x14ac:dyDescent="0.15">
      <c r="A260" s="8" t="s">
        <v>13</v>
      </c>
      <c r="B260" s="8" t="s">
        <v>47</v>
      </c>
      <c r="C260" s="8" t="s">
        <v>252</v>
      </c>
      <c r="D260" s="8" t="s">
        <v>278</v>
      </c>
      <c r="E260" s="9">
        <v>24.32</v>
      </c>
      <c r="F260" s="8" t="s">
        <v>132</v>
      </c>
      <c r="G260" s="143">
        <v>3559</v>
      </c>
      <c r="H260" s="132">
        <f t="shared" si="34"/>
        <v>46236</v>
      </c>
      <c r="I260" s="140">
        <f t="shared" si="34"/>
        <v>53</v>
      </c>
      <c r="J260" s="9">
        <f t="shared" si="27"/>
        <v>1.4891823545939871</v>
      </c>
      <c r="K260" s="140">
        <f t="shared" si="28"/>
        <v>1</v>
      </c>
      <c r="L260" s="206">
        <f t="shared" si="29"/>
        <v>1.8867924528301887</v>
      </c>
      <c r="M260" s="8" t="str">
        <f t="array" ref="M260">IF(L260&gt;5,"Perlu Sensus",IF(AND(L260&gt;=0,I260&gt;0),"Tetap Deteksi","Belum Deteksi"))</f>
        <v>Tetap Deteksi</v>
      </c>
      <c r="N260" s="132">
        <v>46236</v>
      </c>
      <c r="O260" s="203">
        <v>53</v>
      </c>
      <c r="P260" s="9">
        <f t="array" ref="P260">IFERROR(O260/G260*100,0)</f>
        <v>1.4891823545939871</v>
      </c>
      <c r="Q260" s="203">
        <v>1</v>
      </c>
      <c r="R260" s="9">
        <f t="shared" si="30"/>
        <v>1.8867924528301887</v>
      </c>
      <c r="S260" s="8" t="str">
        <f t="array" ref="S260">IF(R260&gt;5,"Perlu Sensus",IF(AND(R260&gt;=0,O260&gt;0),"Tetap Deteksi","Belum Deteksi"))</f>
        <v>Tetap Deteksi</v>
      </c>
      <c r="T260" s="203">
        <f t="array" ref="T260">INDEX('[20]LS (Deteksi) Agustus'!T$7:T$303,MATCH(1,('[20]LS (Deteksi) Agustus'!$D$7:$D$303=$D260)*('[20]LS (Deteksi) Agustus'!$D$7:$D$303=$D260),0))</f>
        <v>0</v>
      </c>
      <c r="U260" s="9">
        <f t="shared" si="31"/>
        <v>0</v>
      </c>
      <c r="V260" s="132">
        <v>46237</v>
      </c>
      <c r="W260" s="203">
        <v>208</v>
      </c>
      <c r="X260" s="203">
        <v>4</v>
      </c>
      <c r="Y260" s="9">
        <f t="shared" si="32"/>
        <v>1.9230769230769231</v>
      </c>
      <c r="Z260" s="8" t="str">
        <f t="array" ref="Z260">IF(Y260&gt;5,"Perlu Sensus",IF(AND(Y260&gt;0,,O260&gt;0),"Tetap Deteksi","Belum Deteksi"))</f>
        <v>Belum Deteksi</v>
      </c>
      <c r="AA260" s="203">
        <f t="array" ref="AA260">INDEX('[20]LS (Deteksi) Agustus'!AA$7:AA$303,MATCH(1,('[20]LS (Deteksi) Agustus'!$D$7:$D$303=$D260)*('[20]LS (Deteksi) Agustus'!$D$7:$D$303=$D260),0))</f>
        <v>0</v>
      </c>
      <c r="AB260" s="9">
        <f t="shared" si="33"/>
        <v>0</v>
      </c>
    </row>
    <row r="261" spans="1:28" outlineLevel="1" x14ac:dyDescent="0.15">
      <c r="A261" s="8" t="s">
        <v>13</v>
      </c>
      <c r="B261" s="8" t="s">
        <v>47</v>
      </c>
      <c r="C261" s="8" t="s">
        <v>252</v>
      </c>
      <c r="D261" s="8" t="s">
        <v>279</v>
      </c>
      <c r="E261" s="9">
        <v>26.27</v>
      </c>
      <c r="F261" s="8" t="s">
        <v>132</v>
      </c>
      <c r="G261" s="143">
        <v>3961</v>
      </c>
      <c r="H261" s="132">
        <f t="shared" si="34"/>
        <v>46236</v>
      </c>
      <c r="I261" s="140">
        <f t="shared" si="34"/>
        <v>55</v>
      </c>
      <c r="J261" s="9">
        <f t="shared" si="27"/>
        <v>1.3885382479171926</v>
      </c>
      <c r="K261" s="140">
        <f t="shared" si="28"/>
        <v>2</v>
      </c>
      <c r="L261" s="206">
        <f t="shared" si="29"/>
        <v>3.6363636363636362</v>
      </c>
      <c r="M261" s="8" t="str">
        <f t="array" ref="M261">IF(L261&gt;5,"Perlu Sensus",IF(AND(L261&gt;=0,I261&gt;0),"Tetap Deteksi","Belum Deteksi"))</f>
        <v>Tetap Deteksi</v>
      </c>
      <c r="N261" s="132">
        <v>46236</v>
      </c>
      <c r="O261" s="203">
        <v>55</v>
      </c>
      <c r="P261" s="9">
        <f t="array" ref="P261">IFERROR(O261/G261*100,0)</f>
        <v>1.3885382479171926</v>
      </c>
      <c r="Q261" s="203">
        <v>2</v>
      </c>
      <c r="R261" s="9">
        <f t="shared" si="30"/>
        <v>3.6363636363636362</v>
      </c>
      <c r="S261" s="8" t="str">
        <f t="array" ref="S261">IF(R261&gt;5,"Perlu Sensus",IF(AND(R261&gt;=0,O261&gt;0),"Tetap Deteksi","Belum Deteksi"))</f>
        <v>Tetap Deteksi</v>
      </c>
      <c r="T261" s="203">
        <f t="array" ref="T261">INDEX('[20]LS (Deteksi) Agustus'!T$7:T$303,MATCH(1,('[20]LS (Deteksi) Agustus'!$D$7:$D$303=$D261)*('[20]LS (Deteksi) Agustus'!$D$7:$D$303=$D261),0))</f>
        <v>0</v>
      </c>
      <c r="U261" s="9">
        <f t="shared" si="31"/>
        <v>0</v>
      </c>
      <c r="V261" s="132">
        <v>46237</v>
      </c>
      <c r="W261" s="203">
        <v>205</v>
      </c>
      <c r="X261" s="203">
        <v>2</v>
      </c>
      <c r="Y261" s="9">
        <f t="shared" si="32"/>
        <v>0.97560975609756095</v>
      </c>
      <c r="Z261" s="8" t="str">
        <f t="array" ref="Z261">IF(Y261&gt;5,"Perlu Sensus",IF(AND(Y261&gt;0,,O261&gt;0),"Tetap Deteksi","Belum Deteksi"))</f>
        <v>Belum Deteksi</v>
      </c>
      <c r="AA261" s="203">
        <f t="array" ref="AA261">INDEX('[20]LS (Deteksi) Agustus'!AA$7:AA$303,MATCH(1,('[20]LS (Deteksi) Agustus'!$D$7:$D$303=$D261)*('[20]LS (Deteksi) Agustus'!$D$7:$D$303=$D261),0))</f>
        <v>0</v>
      </c>
      <c r="AB261" s="9">
        <f t="shared" si="33"/>
        <v>0</v>
      </c>
    </row>
    <row r="262" spans="1:28" outlineLevel="1" x14ac:dyDescent="0.15">
      <c r="A262" s="8" t="s">
        <v>13</v>
      </c>
      <c r="B262" s="8" t="s">
        <v>47</v>
      </c>
      <c r="C262" s="8" t="s">
        <v>252</v>
      </c>
      <c r="D262" s="8" t="s">
        <v>280</v>
      </c>
      <c r="E262" s="9">
        <v>25.38</v>
      </c>
      <c r="F262" s="8" t="s">
        <v>132</v>
      </c>
      <c r="G262" s="143">
        <v>3752</v>
      </c>
      <c r="H262" s="132">
        <f t="shared" si="34"/>
        <v>46236</v>
      </c>
      <c r="I262" s="140">
        <f t="shared" si="34"/>
        <v>57</v>
      </c>
      <c r="J262" s="9">
        <f t="shared" ref="J262:J325" si="35">IF(P262&gt;0,P262," ")</f>
        <v>1.5191897654584221</v>
      </c>
      <c r="K262" s="140">
        <f t="shared" ref="K262:K325" si="36">IF(Q262&gt;0,Q262,X262)</f>
        <v>5</v>
      </c>
      <c r="L262" s="206">
        <f t="shared" ref="L262:L325" si="37">IFERROR(K262/I262*100,0)</f>
        <v>8.7719298245614024</v>
      </c>
      <c r="M262" s="8" t="str">
        <f t="array" ref="M262">IF(L262&gt;5,"Perlu Sensus",IF(AND(L262&gt;=0,I262&gt;0),"Tetap Deteksi","Belum Deteksi"))</f>
        <v>Perlu Sensus</v>
      </c>
      <c r="N262" s="132">
        <v>46236</v>
      </c>
      <c r="O262" s="203">
        <v>57</v>
      </c>
      <c r="P262" s="9">
        <f t="array" ref="P262">IFERROR(O262/G262*100,0)</f>
        <v>1.5191897654584221</v>
      </c>
      <c r="Q262" s="203">
        <v>5</v>
      </c>
      <c r="R262" s="9">
        <f t="shared" si="30"/>
        <v>8.7719298245614024</v>
      </c>
      <c r="S262" s="8" t="str">
        <f t="array" ref="S262">IF(R262&gt;5,"Perlu Sensus",IF(AND(R262&gt;=0,O262&gt;0),"Tetap Deteksi","Belum Deteksi"))</f>
        <v>Perlu Sensus</v>
      </c>
      <c r="T262" s="203">
        <f t="array" ref="T262">INDEX('[20]LS (Deteksi) Agustus'!T$7:T$303,MATCH(1,('[20]LS (Deteksi) Agustus'!$D$7:$D$303=$D262)*('[20]LS (Deteksi) Agustus'!$D$7:$D$303=$D262),0))</f>
        <v>0</v>
      </c>
      <c r="U262" s="9">
        <f t="shared" si="31"/>
        <v>0</v>
      </c>
      <c r="V262" s="132">
        <v>46237</v>
      </c>
      <c r="W262" s="203">
        <v>216</v>
      </c>
      <c r="X262" s="203">
        <v>30</v>
      </c>
      <c r="Y262" s="9">
        <f t="shared" si="32"/>
        <v>13.888888888888889</v>
      </c>
      <c r="Z262" s="8" t="str">
        <f t="array" ref="Z262">IF(Y262&gt;5,"Perlu Sensus",IF(AND(Y262&gt;0,,O262&gt;0),"Tetap Deteksi","Belum Deteksi"))</f>
        <v>Perlu Sensus</v>
      </c>
      <c r="AA262" s="203">
        <f t="array" ref="AA262">INDEX('[20]LS (Deteksi) Agustus'!AA$7:AA$303,MATCH(1,('[20]LS (Deteksi) Agustus'!$D$7:$D$303=$D262)*('[20]LS (Deteksi) Agustus'!$D$7:$D$303=$D262),0))</f>
        <v>0</v>
      </c>
      <c r="AB262" s="9">
        <f t="shared" si="33"/>
        <v>0</v>
      </c>
    </row>
    <row r="263" spans="1:28" outlineLevel="1" x14ac:dyDescent="0.15">
      <c r="A263" s="8" t="s">
        <v>13</v>
      </c>
      <c r="B263" s="8" t="s">
        <v>47</v>
      </c>
      <c r="C263" s="8" t="s">
        <v>252</v>
      </c>
      <c r="D263" s="8" t="s">
        <v>281</v>
      </c>
      <c r="E263" s="9">
        <v>25.26</v>
      </c>
      <c r="F263" s="8" t="s">
        <v>132</v>
      </c>
      <c r="G263" s="143">
        <v>3705</v>
      </c>
      <c r="H263" s="132">
        <f t="shared" si="34"/>
        <v>46237</v>
      </c>
      <c r="I263" s="140">
        <f t="shared" si="34"/>
        <v>55</v>
      </c>
      <c r="J263" s="9">
        <f t="shared" si="35"/>
        <v>1.4844804318488529</v>
      </c>
      <c r="K263" s="140">
        <f t="shared" si="36"/>
        <v>1</v>
      </c>
      <c r="L263" s="206">
        <f t="shared" si="37"/>
        <v>1.8181818181818181</v>
      </c>
      <c r="M263" s="8" t="str">
        <f t="array" ref="M263">IF(L263&gt;5,"Perlu Sensus",IF(AND(L263&gt;=0,I263&gt;0),"Tetap Deteksi","Belum Deteksi"))</f>
        <v>Tetap Deteksi</v>
      </c>
      <c r="N263" s="132">
        <v>46237</v>
      </c>
      <c r="O263" s="203">
        <v>55</v>
      </c>
      <c r="P263" s="9">
        <f t="array" ref="P263">IFERROR(O263/G263*100,0)</f>
        <v>1.4844804318488529</v>
      </c>
      <c r="Q263" s="203">
        <v>1</v>
      </c>
      <c r="R263" s="9">
        <f t="shared" ref="R263:R302" si="38">IFERROR(Q263/O263*100,0)</f>
        <v>1.8181818181818181</v>
      </c>
      <c r="S263" s="8" t="str">
        <f t="array" ref="S263">IF(R263&gt;5,"Perlu Sensus",IF(AND(R263&gt;=0,O263&gt;0),"Tetap Deteksi","Belum Deteksi"))</f>
        <v>Tetap Deteksi</v>
      </c>
      <c r="T263" s="203">
        <f t="array" ref="T263">INDEX('[20]LS (Deteksi) Agustus'!T$7:T$303,MATCH(1,('[20]LS (Deteksi) Agustus'!$D$7:$D$303=$D263)*('[20]LS (Deteksi) Agustus'!$D$7:$D$303=$D263),0))</f>
        <v>0</v>
      </c>
      <c r="U263" s="9">
        <f t="shared" ref="U263:U302" si="39">IFERROR(T263/O263*100,0)</f>
        <v>0</v>
      </c>
      <c r="V263" s="132">
        <v>46238</v>
      </c>
      <c r="W263" s="203">
        <v>220</v>
      </c>
      <c r="X263" s="203">
        <v>6</v>
      </c>
      <c r="Y263" s="9">
        <f t="shared" ref="Y263:Y302" si="40">IFERROR(X263/W263*100,0)</f>
        <v>2.7272727272727271</v>
      </c>
      <c r="Z263" s="8" t="str">
        <f t="array" ref="Z263">IF(Y263&gt;5,"Perlu Sensus",IF(AND(Y263&gt;0,,O263&gt;0),"Tetap Deteksi","Belum Deteksi"))</f>
        <v>Belum Deteksi</v>
      </c>
      <c r="AA263" s="203">
        <f t="array" ref="AA263">INDEX('[20]LS (Deteksi) Agustus'!AA$7:AA$303,MATCH(1,('[20]LS (Deteksi) Agustus'!$D$7:$D$303=$D263)*('[20]LS (Deteksi) Agustus'!$D$7:$D$303=$D263),0))</f>
        <v>0</v>
      </c>
      <c r="AB263" s="9">
        <f t="shared" ref="AB263:AB302" si="41">IFERROR(AA263/W263*100,0)</f>
        <v>0</v>
      </c>
    </row>
    <row r="264" spans="1:28" outlineLevel="1" x14ac:dyDescent="0.15">
      <c r="A264" s="8" t="s">
        <v>13</v>
      </c>
      <c r="B264" s="8" t="s">
        <v>47</v>
      </c>
      <c r="C264" s="8" t="s">
        <v>252</v>
      </c>
      <c r="D264" s="8" t="s">
        <v>282</v>
      </c>
      <c r="E264" s="9">
        <v>24.8</v>
      </c>
      <c r="F264" s="8" t="s">
        <v>132</v>
      </c>
      <c r="G264" s="143">
        <v>3539</v>
      </c>
      <c r="H264" s="132">
        <f t="shared" si="34"/>
        <v>46237</v>
      </c>
      <c r="I264" s="140">
        <f t="shared" si="34"/>
        <v>56</v>
      </c>
      <c r="J264" s="9">
        <f t="shared" si="35"/>
        <v>1.5823679005368747</v>
      </c>
      <c r="K264" s="140">
        <f t="shared" si="36"/>
        <v>2</v>
      </c>
      <c r="L264" s="206">
        <f t="shared" si="37"/>
        <v>3.5714285714285712</v>
      </c>
      <c r="M264" s="8" t="str">
        <f t="array" ref="M264">IF(L264&gt;5,"Perlu Sensus",IF(AND(L264&gt;=0,I264&gt;0),"Tetap Deteksi","Belum Deteksi"))</f>
        <v>Tetap Deteksi</v>
      </c>
      <c r="N264" s="132">
        <v>46237</v>
      </c>
      <c r="O264" s="203">
        <v>56</v>
      </c>
      <c r="P264" s="9">
        <f t="array" ref="P264">IFERROR(O264/G264*100,0)</f>
        <v>1.5823679005368747</v>
      </c>
      <c r="Q264" s="203">
        <v>2</v>
      </c>
      <c r="R264" s="9">
        <f t="shared" si="38"/>
        <v>3.5714285714285712</v>
      </c>
      <c r="S264" s="8" t="str">
        <f t="array" ref="S264">IF(R264&gt;5,"Perlu Sensus",IF(AND(R264&gt;=0,O264&gt;0),"Tetap Deteksi","Belum Deteksi"))</f>
        <v>Tetap Deteksi</v>
      </c>
      <c r="T264" s="203">
        <f t="array" ref="T264">INDEX('[20]LS (Deteksi) Agustus'!T$7:T$303,MATCH(1,('[20]LS (Deteksi) Agustus'!$D$7:$D$303=$D264)*('[20]LS (Deteksi) Agustus'!$D$7:$D$303=$D264),0))</f>
        <v>0</v>
      </c>
      <c r="U264" s="9">
        <f t="shared" si="39"/>
        <v>0</v>
      </c>
      <c r="V264" s="132">
        <v>46238</v>
      </c>
      <c r="W264" s="203">
        <v>235</v>
      </c>
      <c r="X264" s="203">
        <v>4</v>
      </c>
      <c r="Y264" s="9">
        <f t="shared" si="40"/>
        <v>1.7021276595744681</v>
      </c>
      <c r="Z264" s="8" t="str">
        <f t="array" ref="Z264">IF(Y264&gt;5,"Perlu Sensus",IF(AND(Y264&gt;0,,O264&gt;0),"Tetap Deteksi","Belum Deteksi"))</f>
        <v>Belum Deteksi</v>
      </c>
      <c r="AA264" s="203">
        <f t="array" ref="AA264">INDEX('[20]LS (Deteksi) Agustus'!AA$7:AA$303,MATCH(1,('[20]LS (Deteksi) Agustus'!$D$7:$D$303=$D264)*('[20]LS (Deteksi) Agustus'!$D$7:$D$303=$D264),0))</f>
        <v>0</v>
      </c>
      <c r="AB264" s="9">
        <f t="shared" si="41"/>
        <v>0</v>
      </c>
    </row>
    <row r="265" spans="1:28" outlineLevel="1" x14ac:dyDescent="0.15">
      <c r="A265" s="8" t="s">
        <v>13</v>
      </c>
      <c r="B265" s="8" t="s">
        <v>47</v>
      </c>
      <c r="C265" s="8" t="s">
        <v>252</v>
      </c>
      <c r="D265" s="8" t="s">
        <v>283</v>
      </c>
      <c r="E265" s="9">
        <v>27.11</v>
      </c>
      <c r="F265" s="8" t="s">
        <v>132</v>
      </c>
      <c r="G265" s="143">
        <v>3183</v>
      </c>
      <c r="H265" s="132">
        <f t="shared" si="34"/>
        <v>46237</v>
      </c>
      <c r="I265" s="140">
        <f t="shared" si="34"/>
        <v>54</v>
      </c>
      <c r="J265" s="9">
        <f t="shared" si="35"/>
        <v>1.6965127238454287</v>
      </c>
      <c r="K265" s="140">
        <f t="shared" si="36"/>
        <v>2</v>
      </c>
      <c r="L265" s="206">
        <f t="shared" si="37"/>
        <v>3.7037037037037033</v>
      </c>
      <c r="M265" s="8" t="str">
        <f t="array" ref="M265">IF(L265&gt;5,"Perlu Sensus",IF(AND(L265&gt;=0,I265&gt;0),"Tetap Deteksi","Belum Deteksi"))</f>
        <v>Tetap Deteksi</v>
      </c>
      <c r="N265" s="132">
        <v>46237</v>
      </c>
      <c r="O265" s="203">
        <v>54</v>
      </c>
      <c r="P265" s="9">
        <f t="array" ref="P265">IFERROR(O265/G265*100,0)</f>
        <v>1.6965127238454287</v>
      </c>
      <c r="Q265" s="203">
        <v>2</v>
      </c>
      <c r="R265" s="9">
        <f t="shared" si="38"/>
        <v>3.7037037037037033</v>
      </c>
      <c r="S265" s="8" t="str">
        <f t="array" ref="S265">IF(R265&gt;5,"Perlu Sensus",IF(AND(R265&gt;=0,O265&gt;0),"Tetap Deteksi","Belum Deteksi"))</f>
        <v>Tetap Deteksi</v>
      </c>
      <c r="T265" s="203">
        <f t="array" ref="T265">INDEX('[20]LS (Deteksi) Agustus'!T$7:T$303,MATCH(1,('[20]LS (Deteksi) Agustus'!$D$7:$D$303=$D265)*('[20]LS (Deteksi) Agustus'!$D$7:$D$303=$D265),0))</f>
        <v>0</v>
      </c>
      <c r="U265" s="9">
        <f t="shared" si="39"/>
        <v>0</v>
      </c>
      <c r="V265" s="132">
        <v>46238</v>
      </c>
      <c r="W265" s="203">
        <v>240</v>
      </c>
      <c r="X265" s="203">
        <v>5</v>
      </c>
      <c r="Y265" s="9">
        <f t="shared" si="40"/>
        <v>2.083333333333333</v>
      </c>
      <c r="Z265" s="8" t="str">
        <f t="array" ref="Z265">IF(Y265&gt;5,"Perlu Sensus",IF(AND(Y265&gt;0,,O265&gt;0),"Tetap Deteksi","Belum Deteksi"))</f>
        <v>Belum Deteksi</v>
      </c>
      <c r="AA265" s="203">
        <f t="array" ref="AA265">INDEX('[20]LS (Deteksi) Agustus'!AA$7:AA$303,MATCH(1,('[20]LS (Deteksi) Agustus'!$D$7:$D$303=$D265)*('[20]LS (Deteksi) Agustus'!$D$7:$D$303=$D265),0))</f>
        <v>0</v>
      </c>
      <c r="AB265" s="9">
        <f t="shared" si="41"/>
        <v>0</v>
      </c>
    </row>
    <row r="266" spans="1:28" outlineLevel="1" x14ac:dyDescent="0.15">
      <c r="A266" s="8" t="s">
        <v>13</v>
      </c>
      <c r="B266" s="8" t="s">
        <v>47</v>
      </c>
      <c r="C266" s="8" t="s">
        <v>252</v>
      </c>
      <c r="D266" s="8" t="s">
        <v>284</v>
      </c>
      <c r="E266" s="9">
        <v>24.67</v>
      </c>
      <c r="F266" s="8" t="s">
        <v>132</v>
      </c>
      <c r="G266" s="143">
        <v>3552</v>
      </c>
      <c r="H266" s="132">
        <f t="shared" si="34"/>
        <v>46238</v>
      </c>
      <c r="I266" s="140">
        <f t="shared" si="34"/>
        <v>55</v>
      </c>
      <c r="J266" s="9">
        <f t="shared" si="35"/>
        <v>1.5484234234234233</v>
      </c>
      <c r="K266" s="140">
        <f t="shared" si="36"/>
        <v>4</v>
      </c>
      <c r="L266" s="206">
        <f t="shared" si="37"/>
        <v>7.2727272727272725</v>
      </c>
      <c r="M266" s="8" t="str">
        <f t="array" ref="M266">IF(L266&gt;5,"Perlu Sensus",IF(AND(L266&gt;=0,I266&gt;0),"Tetap Deteksi","Belum Deteksi"))</f>
        <v>Perlu Sensus</v>
      </c>
      <c r="N266" s="132">
        <v>46238</v>
      </c>
      <c r="O266" s="203">
        <v>55</v>
      </c>
      <c r="P266" s="9">
        <f t="array" ref="P266">IFERROR(O266/G266*100,0)</f>
        <v>1.5484234234234233</v>
      </c>
      <c r="Q266" s="203">
        <v>4</v>
      </c>
      <c r="R266" s="9">
        <f t="shared" si="38"/>
        <v>7.2727272727272725</v>
      </c>
      <c r="S266" s="8" t="str">
        <f t="array" ref="S266">IF(R266&gt;5,"Perlu Sensus",IF(AND(R266&gt;=0,O266&gt;0),"Tetap Deteksi","Belum Deteksi"))</f>
        <v>Perlu Sensus</v>
      </c>
      <c r="T266" s="203">
        <f t="array" ref="T266">INDEX('[20]LS (Deteksi) Agustus'!T$7:T$303,MATCH(1,('[20]LS (Deteksi) Agustus'!$D$7:$D$303=$D266)*('[20]LS (Deteksi) Agustus'!$D$7:$D$303=$D266),0))</f>
        <v>0</v>
      </c>
      <c r="U266" s="9">
        <f t="shared" si="39"/>
        <v>0</v>
      </c>
      <c r="V266" s="132">
        <v>46239</v>
      </c>
      <c r="W266" s="203">
        <v>203</v>
      </c>
      <c r="X266" s="203">
        <v>22</v>
      </c>
      <c r="Y266" s="9">
        <f t="shared" si="40"/>
        <v>10.83743842364532</v>
      </c>
      <c r="Z266" s="8" t="str">
        <f t="array" ref="Z266">IF(Y266&gt;5,"Perlu Sensus",IF(AND(Y266&gt;0,,O266&gt;0),"Tetap Deteksi","Belum Deteksi"))</f>
        <v>Perlu Sensus</v>
      </c>
      <c r="AA266" s="203">
        <f t="array" ref="AA266">INDEX('[20]LS (Deteksi) Agustus'!AA$7:AA$303,MATCH(1,('[20]LS (Deteksi) Agustus'!$D$7:$D$303=$D266)*('[20]LS (Deteksi) Agustus'!$D$7:$D$303=$D266),0))</f>
        <v>0</v>
      </c>
      <c r="AB266" s="9">
        <f t="shared" si="41"/>
        <v>0</v>
      </c>
    </row>
    <row r="267" spans="1:28" outlineLevel="1" x14ac:dyDescent="0.15">
      <c r="A267" s="8" t="s">
        <v>13</v>
      </c>
      <c r="B267" s="8" t="s">
        <v>47</v>
      </c>
      <c r="C267" s="8" t="s">
        <v>252</v>
      </c>
      <c r="D267" s="8" t="s">
        <v>285</v>
      </c>
      <c r="E267" s="9">
        <v>27.96</v>
      </c>
      <c r="F267" s="8" t="s">
        <v>132</v>
      </c>
      <c r="G267" s="143">
        <v>3412</v>
      </c>
      <c r="H267" s="132">
        <f t="shared" si="34"/>
        <v>46238</v>
      </c>
      <c r="I267" s="140">
        <f t="shared" si="34"/>
        <v>58</v>
      </c>
      <c r="J267" s="9">
        <f t="shared" si="35"/>
        <v>1.6998827667057446</v>
      </c>
      <c r="K267" s="140">
        <f t="shared" si="36"/>
        <v>6</v>
      </c>
      <c r="L267" s="206">
        <f t="shared" si="37"/>
        <v>10.344827586206897</v>
      </c>
      <c r="M267" s="8" t="str">
        <f t="array" ref="M267">IF(L267&gt;5,"Perlu Sensus",IF(AND(L267&gt;=0,I267&gt;0),"Tetap Deteksi","Belum Deteksi"))</f>
        <v>Perlu Sensus</v>
      </c>
      <c r="N267" s="132">
        <v>46238</v>
      </c>
      <c r="O267" s="203">
        <v>58</v>
      </c>
      <c r="P267" s="9">
        <f t="array" ref="P267">IFERROR(O267/G267*100,0)</f>
        <v>1.6998827667057446</v>
      </c>
      <c r="Q267" s="203">
        <v>6</v>
      </c>
      <c r="R267" s="9">
        <f t="shared" si="38"/>
        <v>10.344827586206897</v>
      </c>
      <c r="S267" s="8" t="str">
        <f t="array" ref="S267">IF(R267&gt;5,"Perlu Sensus",IF(AND(R267&gt;=0,O267&gt;0),"Tetap Deteksi","Belum Deteksi"))</f>
        <v>Perlu Sensus</v>
      </c>
      <c r="T267" s="203">
        <f t="array" ref="T267">INDEX('[20]LS (Deteksi) Agustus'!T$7:T$303,MATCH(1,('[20]LS (Deteksi) Agustus'!$D$7:$D$303=$D267)*('[20]LS (Deteksi) Agustus'!$D$7:$D$303=$D267),0))</f>
        <v>0</v>
      </c>
      <c r="U267" s="9">
        <f t="shared" si="39"/>
        <v>0</v>
      </c>
      <c r="V267" s="132">
        <v>46239</v>
      </c>
      <c r="W267" s="203">
        <v>211</v>
      </c>
      <c r="X267" s="203">
        <v>17</v>
      </c>
      <c r="Y267" s="9">
        <f t="shared" si="40"/>
        <v>8.0568720379146921</v>
      </c>
      <c r="Z267" s="8" t="str">
        <f t="array" ref="Z267">IF(Y267&gt;5,"Perlu Sensus",IF(AND(Y267&gt;0,,O267&gt;0),"Tetap Deteksi","Belum Deteksi"))</f>
        <v>Perlu Sensus</v>
      </c>
      <c r="AA267" s="203">
        <f t="array" ref="AA267">INDEX('[20]LS (Deteksi) Agustus'!AA$7:AA$303,MATCH(1,('[20]LS (Deteksi) Agustus'!$D$7:$D$303=$D267)*('[20]LS (Deteksi) Agustus'!$D$7:$D$303=$D267),0))</f>
        <v>0</v>
      </c>
      <c r="AB267" s="9">
        <f t="shared" si="41"/>
        <v>0</v>
      </c>
    </row>
    <row r="268" spans="1:28" outlineLevel="1" x14ac:dyDescent="0.15">
      <c r="A268" s="8" t="s">
        <v>13</v>
      </c>
      <c r="B268" s="8" t="s">
        <v>47</v>
      </c>
      <c r="C268" s="8" t="s">
        <v>252</v>
      </c>
      <c r="D268" s="8" t="s">
        <v>286</v>
      </c>
      <c r="E268" s="9">
        <v>25.14</v>
      </c>
      <c r="F268" s="8" t="s">
        <v>132</v>
      </c>
      <c r="G268" s="143">
        <v>3437</v>
      </c>
      <c r="H268" s="132">
        <f t="shared" si="34"/>
        <v>46238</v>
      </c>
      <c r="I268" s="140">
        <f t="shared" si="34"/>
        <v>54</v>
      </c>
      <c r="J268" s="9">
        <f t="shared" si="35"/>
        <v>1.5711376200174572</v>
      </c>
      <c r="K268" s="140">
        <f t="shared" si="36"/>
        <v>6</v>
      </c>
      <c r="L268" s="206">
        <f t="shared" si="37"/>
        <v>11.111111111111111</v>
      </c>
      <c r="M268" s="8" t="str">
        <f t="array" ref="M268">IF(L268&gt;5,"Perlu Sensus",IF(AND(L268&gt;=0,I268&gt;0),"Tetap Deteksi","Belum Deteksi"))</f>
        <v>Perlu Sensus</v>
      </c>
      <c r="N268" s="132">
        <v>46238</v>
      </c>
      <c r="O268" s="203">
        <v>54</v>
      </c>
      <c r="P268" s="9">
        <f t="array" ref="P268">IFERROR(O268/G268*100,0)</f>
        <v>1.5711376200174572</v>
      </c>
      <c r="Q268" s="203">
        <v>6</v>
      </c>
      <c r="R268" s="9">
        <f t="shared" si="38"/>
        <v>11.111111111111111</v>
      </c>
      <c r="S268" s="8" t="str">
        <f t="array" ref="S268">IF(R268&gt;5,"Perlu Sensus",IF(AND(R268&gt;=0,O268&gt;0),"Tetap Deteksi","Belum Deteksi"))</f>
        <v>Perlu Sensus</v>
      </c>
      <c r="T268" s="203">
        <f t="array" ref="T268">INDEX('[20]LS (Deteksi) Agustus'!T$7:T$303,MATCH(1,('[20]LS (Deteksi) Agustus'!$D$7:$D$303=$D268)*('[20]LS (Deteksi) Agustus'!$D$7:$D$303=$D268),0))</f>
        <v>0</v>
      </c>
      <c r="U268" s="9">
        <f t="shared" si="39"/>
        <v>0</v>
      </c>
      <c r="V268" s="132">
        <v>46239</v>
      </c>
      <c r="W268" s="203">
        <v>225</v>
      </c>
      <c r="X268" s="203">
        <v>18</v>
      </c>
      <c r="Y268" s="9">
        <f t="shared" si="40"/>
        <v>8</v>
      </c>
      <c r="Z268" s="8" t="str">
        <f t="array" ref="Z268">IF(Y268&gt;5,"Perlu Sensus",IF(AND(Y268&gt;0,,O268&gt;0),"Tetap Deteksi","Belum Deteksi"))</f>
        <v>Perlu Sensus</v>
      </c>
      <c r="AA268" s="203">
        <f t="array" ref="AA268">INDEX('[20]LS (Deteksi) Agustus'!AA$7:AA$303,MATCH(1,('[20]LS (Deteksi) Agustus'!$D$7:$D$303=$D268)*('[20]LS (Deteksi) Agustus'!$D$7:$D$303=$D268),0))</f>
        <v>0</v>
      </c>
      <c r="AB268" s="9">
        <f t="shared" si="41"/>
        <v>0</v>
      </c>
    </row>
    <row r="269" spans="1:28" outlineLevel="1" x14ac:dyDescent="0.15">
      <c r="A269" s="8" t="s">
        <v>13</v>
      </c>
      <c r="B269" s="8" t="s">
        <v>47</v>
      </c>
      <c r="C269" s="8" t="s">
        <v>252</v>
      </c>
      <c r="D269" s="8" t="s">
        <v>287</v>
      </c>
      <c r="E269" s="9">
        <v>28.08</v>
      </c>
      <c r="F269" s="8" t="s">
        <v>132</v>
      </c>
      <c r="G269" s="143">
        <v>4064</v>
      </c>
      <c r="H269" s="132">
        <f t="shared" si="34"/>
        <v>46238</v>
      </c>
      <c r="I269" s="140">
        <f t="shared" si="34"/>
        <v>62</v>
      </c>
      <c r="J269" s="9">
        <f t="shared" si="35"/>
        <v>1.5255905511811023</v>
      </c>
      <c r="K269" s="140">
        <f t="shared" si="36"/>
        <v>7</v>
      </c>
      <c r="L269" s="206">
        <f t="shared" si="37"/>
        <v>11.29032258064516</v>
      </c>
      <c r="M269" s="8" t="str">
        <f t="array" ref="M269">IF(L269&gt;5,"Perlu Sensus",IF(AND(L269&gt;=0,I269&gt;0),"Tetap Deteksi","Belum Deteksi"))</f>
        <v>Perlu Sensus</v>
      </c>
      <c r="N269" s="132">
        <v>46238</v>
      </c>
      <c r="O269" s="203">
        <v>62</v>
      </c>
      <c r="P269" s="9">
        <f t="array" ref="P269">IFERROR(O269/G269*100,0)</f>
        <v>1.5255905511811023</v>
      </c>
      <c r="Q269" s="203">
        <v>7</v>
      </c>
      <c r="R269" s="9">
        <f t="shared" si="38"/>
        <v>11.29032258064516</v>
      </c>
      <c r="S269" s="8" t="str">
        <f t="array" ref="S269">IF(R269&gt;5,"Perlu Sensus",IF(AND(R269&gt;=0,O269&gt;0),"Tetap Deteksi","Belum Deteksi"))</f>
        <v>Perlu Sensus</v>
      </c>
      <c r="T269" s="203">
        <f t="array" ref="T269">INDEX('[20]LS (Deteksi) Agustus'!T$7:T$303,MATCH(1,('[20]LS (Deteksi) Agustus'!$D$7:$D$303=$D269)*('[20]LS (Deteksi) Agustus'!$D$7:$D$303=$D269),0))</f>
        <v>0</v>
      </c>
      <c r="U269" s="9">
        <f t="shared" si="39"/>
        <v>0</v>
      </c>
      <c r="V269" s="132">
        <v>46239</v>
      </c>
      <c r="W269" s="203">
        <v>219</v>
      </c>
      <c r="X269" s="203">
        <v>40</v>
      </c>
      <c r="Y269" s="9">
        <f t="shared" si="40"/>
        <v>18.264840182648399</v>
      </c>
      <c r="Z269" s="8" t="str">
        <f t="array" ref="Z269">IF(Y269&gt;5,"Perlu Sensus",IF(AND(Y269&gt;0,,O269&gt;0),"Tetap Deteksi","Belum Deteksi"))</f>
        <v>Perlu Sensus</v>
      </c>
      <c r="AA269" s="203">
        <f t="array" ref="AA269">INDEX('[20]LS (Deteksi) Agustus'!AA$7:AA$303,MATCH(1,('[20]LS (Deteksi) Agustus'!$D$7:$D$303=$D269)*('[20]LS (Deteksi) Agustus'!$D$7:$D$303=$D269),0))</f>
        <v>0</v>
      </c>
      <c r="AB269" s="9">
        <f t="shared" si="41"/>
        <v>0</v>
      </c>
    </row>
    <row r="270" spans="1:28" outlineLevel="1" x14ac:dyDescent="0.15">
      <c r="A270" s="8" t="s">
        <v>13</v>
      </c>
      <c r="B270" s="8" t="s">
        <v>47</v>
      </c>
      <c r="C270" s="8" t="s">
        <v>252</v>
      </c>
      <c r="D270" s="8" t="s">
        <v>288</v>
      </c>
      <c r="E270" s="9">
        <v>23.3</v>
      </c>
      <c r="F270" s="8" t="s">
        <v>132</v>
      </c>
      <c r="G270" s="143">
        <v>3387</v>
      </c>
      <c r="H270" s="132">
        <f t="shared" si="34"/>
        <v>46238</v>
      </c>
      <c r="I270" s="140">
        <f t="shared" si="34"/>
        <v>57</v>
      </c>
      <c r="J270" s="9">
        <f t="shared" si="35"/>
        <v>1.6829052258635961</v>
      </c>
      <c r="K270" s="140">
        <f t="shared" si="36"/>
        <v>2</v>
      </c>
      <c r="L270" s="206">
        <f t="shared" si="37"/>
        <v>3.5087719298245612</v>
      </c>
      <c r="M270" s="8" t="str">
        <f t="array" ref="M270">IF(L270&gt;5,"Perlu Sensus",IF(AND(L270&gt;=0,I270&gt;0),"Tetap Deteksi","Belum Deteksi"))</f>
        <v>Tetap Deteksi</v>
      </c>
      <c r="N270" s="132">
        <v>46238</v>
      </c>
      <c r="O270" s="203">
        <v>57</v>
      </c>
      <c r="P270" s="9">
        <f t="array" ref="P270">IFERROR(O270/G270*100,0)</f>
        <v>1.6829052258635961</v>
      </c>
      <c r="Q270" s="203">
        <v>2</v>
      </c>
      <c r="R270" s="9">
        <f t="shared" si="38"/>
        <v>3.5087719298245612</v>
      </c>
      <c r="S270" s="8" t="str">
        <f t="array" ref="S270">IF(R270&gt;5,"Perlu Sensus",IF(AND(R270&gt;=0,O270&gt;0),"Tetap Deteksi","Belum Deteksi"))</f>
        <v>Tetap Deteksi</v>
      </c>
      <c r="T270" s="203">
        <f t="array" ref="T270">INDEX('[20]LS (Deteksi) Agustus'!T$7:T$303,MATCH(1,('[20]LS (Deteksi) Agustus'!$D$7:$D$303=$D270)*('[20]LS (Deteksi) Agustus'!$D$7:$D$303=$D270),0))</f>
        <v>0</v>
      </c>
      <c r="U270" s="9">
        <f t="shared" si="39"/>
        <v>0</v>
      </c>
      <c r="V270" s="132">
        <v>46239</v>
      </c>
      <c r="W270" s="203">
        <v>214</v>
      </c>
      <c r="X270" s="203">
        <v>6</v>
      </c>
      <c r="Y270" s="9">
        <f t="shared" si="40"/>
        <v>2.8037383177570092</v>
      </c>
      <c r="Z270" s="8" t="str">
        <f t="array" ref="Z270">IF(Y270&gt;5,"Perlu Sensus",IF(AND(Y270&gt;0,,O270&gt;0),"Tetap Deteksi","Belum Deteksi"))</f>
        <v>Belum Deteksi</v>
      </c>
      <c r="AA270" s="203">
        <f t="array" ref="AA270">INDEX('[20]LS (Deteksi) Agustus'!AA$7:AA$303,MATCH(1,('[20]LS (Deteksi) Agustus'!$D$7:$D$303=$D270)*('[20]LS (Deteksi) Agustus'!$D$7:$D$303=$D270),0))</f>
        <v>0</v>
      </c>
      <c r="AB270" s="9">
        <f t="shared" si="41"/>
        <v>0</v>
      </c>
    </row>
    <row r="271" spans="1:28" outlineLevel="1" x14ac:dyDescent="0.15">
      <c r="A271" s="8" t="s">
        <v>13</v>
      </c>
      <c r="B271" s="8" t="s">
        <v>47</v>
      </c>
      <c r="C271" s="8" t="s">
        <v>252</v>
      </c>
      <c r="D271" s="8" t="s">
        <v>289</v>
      </c>
      <c r="E271" s="9">
        <v>26.35</v>
      </c>
      <c r="F271" s="8" t="s">
        <v>132</v>
      </c>
      <c r="G271" s="143">
        <v>3570</v>
      </c>
      <c r="H271" s="132">
        <f t="shared" si="34"/>
        <v>46238</v>
      </c>
      <c r="I271" s="140">
        <f t="shared" si="34"/>
        <v>55</v>
      </c>
      <c r="J271" s="9">
        <f t="shared" si="35"/>
        <v>1.5406162464985995</v>
      </c>
      <c r="K271" s="140">
        <f t="shared" si="36"/>
        <v>4</v>
      </c>
      <c r="L271" s="206">
        <f t="shared" si="37"/>
        <v>7.2727272727272725</v>
      </c>
      <c r="M271" s="8" t="str">
        <f t="array" ref="M271">IF(L271&gt;5,"Perlu Sensus",IF(AND(L271&gt;=0,I271&gt;0),"Tetap Deteksi","Belum Deteksi"))</f>
        <v>Perlu Sensus</v>
      </c>
      <c r="N271" s="132">
        <v>46238</v>
      </c>
      <c r="O271" s="203">
        <v>55</v>
      </c>
      <c r="P271" s="9">
        <f t="array" ref="P271">IFERROR(O271/G271*100,0)</f>
        <v>1.5406162464985995</v>
      </c>
      <c r="Q271" s="203">
        <v>4</v>
      </c>
      <c r="R271" s="9">
        <f t="shared" si="38"/>
        <v>7.2727272727272725</v>
      </c>
      <c r="S271" s="8" t="str">
        <f t="array" ref="S271">IF(R271&gt;5,"Perlu Sensus",IF(AND(R271&gt;=0,O271&gt;0),"Tetap Deteksi","Belum Deteksi"))</f>
        <v>Perlu Sensus</v>
      </c>
      <c r="T271" s="203">
        <f t="array" ref="T271">INDEX('[20]LS (Deteksi) Agustus'!T$7:T$303,MATCH(1,('[20]LS (Deteksi) Agustus'!$D$7:$D$303=$D271)*('[20]LS (Deteksi) Agustus'!$D$7:$D$303=$D271),0))</f>
        <v>0</v>
      </c>
      <c r="U271" s="9">
        <f t="shared" si="39"/>
        <v>0</v>
      </c>
      <c r="V271" s="132">
        <v>46239</v>
      </c>
      <c r="W271" s="203">
        <v>230</v>
      </c>
      <c r="X271" s="203">
        <v>30</v>
      </c>
      <c r="Y271" s="9">
        <f t="shared" si="40"/>
        <v>13.043478260869565</v>
      </c>
      <c r="Z271" s="8" t="str">
        <f t="array" ref="Z271">IF(Y271&gt;5,"Perlu Sensus",IF(AND(Y271&gt;0,,O271&gt;0),"Tetap Deteksi","Belum Deteksi"))</f>
        <v>Perlu Sensus</v>
      </c>
      <c r="AA271" s="203">
        <f t="array" ref="AA271">INDEX('[20]LS (Deteksi) Agustus'!AA$7:AA$303,MATCH(1,('[20]LS (Deteksi) Agustus'!$D$7:$D$303=$D271)*('[20]LS (Deteksi) Agustus'!$D$7:$D$303=$D271),0))</f>
        <v>0</v>
      </c>
      <c r="AB271" s="9">
        <f t="shared" si="41"/>
        <v>0</v>
      </c>
    </row>
    <row r="272" spans="1:28" outlineLevel="1" x14ac:dyDescent="0.15">
      <c r="A272" s="8" t="s">
        <v>13</v>
      </c>
      <c r="B272" s="8" t="s">
        <v>47</v>
      </c>
      <c r="C272" s="8" t="s">
        <v>290</v>
      </c>
      <c r="D272" s="8" t="s">
        <v>291</v>
      </c>
      <c r="E272" s="9">
        <v>25.02</v>
      </c>
      <c r="F272" s="8" t="s">
        <v>132</v>
      </c>
      <c r="G272" s="143">
        <v>3636</v>
      </c>
      <c r="H272" s="132">
        <f t="shared" si="34"/>
        <v>46235</v>
      </c>
      <c r="I272" s="140">
        <f t="shared" si="34"/>
        <v>55</v>
      </c>
      <c r="J272" s="9">
        <f t="shared" si="35"/>
        <v>1.5126512651265127</v>
      </c>
      <c r="K272" s="140">
        <f t="shared" si="36"/>
        <v>3</v>
      </c>
      <c r="L272" s="206">
        <f t="shared" si="37"/>
        <v>5.4545454545454541</v>
      </c>
      <c r="M272" s="8" t="str">
        <f t="array" ref="M272">IF(L272&gt;5,"Perlu Sensus",IF(AND(L272&gt;=0,I272&gt;0),"Tetap Deteksi","Belum Deteksi"))</f>
        <v>Perlu Sensus</v>
      </c>
      <c r="N272" s="132">
        <v>46235</v>
      </c>
      <c r="O272" s="203">
        <v>55</v>
      </c>
      <c r="P272" s="9">
        <f t="array" ref="P272">IFERROR(O272/G272*100,0)</f>
        <v>1.5126512651265127</v>
      </c>
      <c r="Q272" s="203">
        <v>3</v>
      </c>
      <c r="R272" s="9">
        <f t="shared" si="38"/>
        <v>5.4545454545454541</v>
      </c>
      <c r="S272" s="8" t="str">
        <f t="array" ref="S272">IF(R272&gt;5,"Perlu Sensus",IF(AND(R272&gt;=0,O272&gt;0),"Tetap Deteksi","Belum Deteksi"))</f>
        <v>Perlu Sensus</v>
      </c>
      <c r="T272" s="203">
        <f t="array" ref="T272">INDEX('[20]LS (Deteksi) Agustus'!T$7:T$303,MATCH(1,('[20]LS (Deteksi) Agustus'!$D$7:$D$303=$D272)*('[20]LS (Deteksi) Agustus'!$D$7:$D$303=$D272),0))</f>
        <v>0</v>
      </c>
      <c r="U272" s="9">
        <f t="shared" si="39"/>
        <v>0</v>
      </c>
      <c r="V272" s="132">
        <v>46237</v>
      </c>
      <c r="W272" s="203">
        <v>200</v>
      </c>
      <c r="X272" s="203">
        <v>16</v>
      </c>
      <c r="Y272" s="9">
        <f t="shared" si="40"/>
        <v>8</v>
      </c>
      <c r="Z272" s="8" t="str">
        <f t="array" ref="Z272">IF(Y272&gt;5,"Perlu Sensus",IF(AND(Y272&gt;0,,O272&gt;0),"Tetap Deteksi","Belum Deteksi"))</f>
        <v>Perlu Sensus</v>
      </c>
      <c r="AA272" s="203">
        <f t="array" ref="AA272">INDEX('[20]LS (Deteksi) Agustus'!AA$7:AA$303,MATCH(1,('[20]LS (Deteksi) Agustus'!$D$7:$D$303=$D272)*('[20]LS (Deteksi) Agustus'!$D$7:$D$303=$D272),0))</f>
        <v>0</v>
      </c>
      <c r="AB272" s="9">
        <f t="shared" si="41"/>
        <v>0</v>
      </c>
    </row>
    <row r="273" spans="1:28" outlineLevel="1" x14ac:dyDescent="0.15">
      <c r="A273" s="8" t="s">
        <v>13</v>
      </c>
      <c r="B273" s="8" t="s">
        <v>47</v>
      </c>
      <c r="C273" s="8" t="s">
        <v>290</v>
      </c>
      <c r="D273" s="8" t="s">
        <v>292</v>
      </c>
      <c r="E273" s="9">
        <v>25.01</v>
      </c>
      <c r="F273" s="8" t="s">
        <v>132</v>
      </c>
      <c r="G273" s="143">
        <v>3740</v>
      </c>
      <c r="H273" s="132">
        <f t="shared" si="34"/>
        <v>46235</v>
      </c>
      <c r="I273" s="140">
        <f t="shared" si="34"/>
        <v>55</v>
      </c>
      <c r="J273" s="9">
        <f t="shared" si="35"/>
        <v>1.4705882352941175</v>
      </c>
      <c r="K273" s="140">
        <f t="shared" si="36"/>
        <v>2</v>
      </c>
      <c r="L273" s="206">
        <f t="shared" si="37"/>
        <v>3.6363636363636362</v>
      </c>
      <c r="M273" s="8" t="str">
        <f t="array" ref="M273">IF(L273&gt;5,"Perlu Sensus",IF(AND(L273&gt;=0,I273&gt;0),"Tetap Deteksi","Belum Deteksi"))</f>
        <v>Tetap Deteksi</v>
      </c>
      <c r="N273" s="132">
        <v>46235</v>
      </c>
      <c r="O273" s="203">
        <v>55</v>
      </c>
      <c r="P273" s="9">
        <f t="array" ref="P273">IFERROR(O273/G273*100,0)</f>
        <v>1.4705882352941175</v>
      </c>
      <c r="Q273" s="203">
        <v>2</v>
      </c>
      <c r="R273" s="9">
        <f t="shared" si="38"/>
        <v>3.6363636363636362</v>
      </c>
      <c r="S273" s="8" t="str">
        <f t="array" ref="S273">IF(R273&gt;5,"Perlu Sensus",IF(AND(R273&gt;=0,O273&gt;0),"Tetap Deteksi","Belum Deteksi"))</f>
        <v>Tetap Deteksi</v>
      </c>
      <c r="T273" s="203">
        <f t="array" ref="T273">INDEX('[20]LS (Deteksi) Agustus'!T$7:T$303,MATCH(1,('[20]LS (Deteksi) Agustus'!$D$7:$D$303=$D273)*('[20]LS (Deteksi) Agustus'!$D$7:$D$303=$D273),0))</f>
        <v>0</v>
      </c>
      <c r="U273" s="9">
        <f t="shared" si="39"/>
        <v>0</v>
      </c>
      <c r="V273" s="132">
        <v>46237</v>
      </c>
      <c r="W273" s="203">
        <v>205</v>
      </c>
      <c r="X273" s="203">
        <v>19</v>
      </c>
      <c r="Y273" s="9">
        <f t="shared" si="40"/>
        <v>9.2682926829268286</v>
      </c>
      <c r="Z273" s="8" t="str">
        <f t="array" ref="Z273">IF(Y273&gt;5,"Perlu Sensus",IF(AND(Y273&gt;0,,O273&gt;0),"Tetap Deteksi","Belum Deteksi"))</f>
        <v>Perlu Sensus</v>
      </c>
      <c r="AA273" s="203">
        <f t="array" ref="AA273">INDEX('[20]LS (Deteksi) Agustus'!AA$7:AA$303,MATCH(1,('[20]LS (Deteksi) Agustus'!$D$7:$D$303=$D273)*('[20]LS (Deteksi) Agustus'!$D$7:$D$303=$D273),0))</f>
        <v>0</v>
      </c>
      <c r="AB273" s="9">
        <f t="shared" si="41"/>
        <v>0</v>
      </c>
    </row>
    <row r="274" spans="1:28" outlineLevel="1" x14ac:dyDescent="0.15">
      <c r="A274" s="8" t="s">
        <v>13</v>
      </c>
      <c r="B274" s="8" t="s">
        <v>47</v>
      </c>
      <c r="C274" s="8" t="s">
        <v>290</v>
      </c>
      <c r="D274" s="8" t="s">
        <v>293</v>
      </c>
      <c r="E274" s="9">
        <v>25.35</v>
      </c>
      <c r="F274" s="8" t="s">
        <v>132</v>
      </c>
      <c r="G274" s="143">
        <v>3784</v>
      </c>
      <c r="H274" s="132">
        <f t="shared" si="34"/>
        <v>46237</v>
      </c>
      <c r="I274" s="140">
        <f t="shared" si="34"/>
        <v>58</v>
      </c>
      <c r="J274" s="9">
        <f t="shared" si="35"/>
        <v>1.53276955602537</v>
      </c>
      <c r="K274" s="140">
        <f t="shared" si="36"/>
        <v>3</v>
      </c>
      <c r="L274" s="206">
        <f t="shared" si="37"/>
        <v>5.1724137931034484</v>
      </c>
      <c r="M274" s="8" t="str">
        <f t="array" ref="M274">IF(L274&gt;5,"Perlu Sensus",IF(AND(L274&gt;=0,I274&gt;0),"Tetap Deteksi","Belum Deteksi"))</f>
        <v>Perlu Sensus</v>
      </c>
      <c r="N274" s="132">
        <v>46237</v>
      </c>
      <c r="O274" s="203">
        <v>58</v>
      </c>
      <c r="P274" s="9">
        <f t="array" ref="P274">IFERROR(O274/G274*100,0)</f>
        <v>1.53276955602537</v>
      </c>
      <c r="Q274" s="203">
        <v>3</v>
      </c>
      <c r="R274" s="9">
        <f t="shared" si="38"/>
        <v>5.1724137931034484</v>
      </c>
      <c r="S274" s="8" t="str">
        <f t="array" ref="S274">IF(R274&gt;5,"Perlu Sensus",IF(AND(R274&gt;=0,O274&gt;0),"Tetap Deteksi","Belum Deteksi"))</f>
        <v>Perlu Sensus</v>
      </c>
      <c r="T274" s="203">
        <f t="array" ref="T274">INDEX('[20]LS (Deteksi) Agustus'!T$7:T$303,MATCH(1,('[20]LS (Deteksi) Agustus'!$D$7:$D$303=$D274)*('[20]LS (Deteksi) Agustus'!$D$7:$D$303=$D274),0))</f>
        <v>0</v>
      </c>
      <c r="U274" s="9">
        <f t="shared" si="39"/>
        <v>0</v>
      </c>
      <c r="V274" s="132">
        <v>46238</v>
      </c>
      <c r="W274" s="203">
        <v>203</v>
      </c>
      <c r="X274" s="203">
        <v>21</v>
      </c>
      <c r="Y274" s="9">
        <f t="shared" si="40"/>
        <v>10.344827586206897</v>
      </c>
      <c r="Z274" s="8" t="str">
        <f t="array" ref="Z274">IF(Y274&gt;5,"Perlu Sensus",IF(AND(Y274&gt;0,,O274&gt;0),"Tetap Deteksi","Belum Deteksi"))</f>
        <v>Perlu Sensus</v>
      </c>
      <c r="AA274" s="203">
        <f t="array" ref="AA274">INDEX('[20]LS (Deteksi) Agustus'!AA$7:AA$303,MATCH(1,('[20]LS (Deteksi) Agustus'!$D$7:$D$303=$D274)*('[20]LS (Deteksi) Agustus'!$D$7:$D$303=$D274),0))</f>
        <v>0</v>
      </c>
      <c r="AB274" s="9">
        <f t="shared" si="41"/>
        <v>0</v>
      </c>
    </row>
    <row r="275" spans="1:28" outlineLevel="1" x14ac:dyDescent="0.15">
      <c r="A275" s="8" t="s">
        <v>13</v>
      </c>
      <c r="B275" s="8" t="s">
        <v>47</v>
      </c>
      <c r="C275" s="8" t="s">
        <v>290</v>
      </c>
      <c r="D275" s="8" t="s">
        <v>294</v>
      </c>
      <c r="E275" s="9">
        <v>37.630000000000003</v>
      </c>
      <c r="F275" s="8" t="s">
        <v>132</v>
      </c>
      <c r="G275" s="143">
        <v>5707</v>
      </c>
      <c r="H275" s="132">
        <f t="shared" si="34"/>
        <v>46238</v>
      </c>
      <c r="I275" s="140">
        <f t="shared" si="34"/>
        <v>83</v>
      </c>
      <c r="J275" s="9">
        <f t="shared" si="35"/>
        <v>1.4543543017347118</v>
      </c>
      <c r="K275" s="140">
        <f t="shared" si="36"/>
        <v>2</v>
      </c>
      <c r="L275" s="206">
        <f t="shared" si="37"/>
        <v>2.4096385542168677</v>
      </c>
      <c r="M275" s="8" t="str">
        <f t="array" ref="M275">IF(L275&gt;5,"Perlu Sensus",IF(AND(L275&gt;=0,I275&gt;0),"Tetap Deteksi","Belum Deteksi"))</f>
        <v>Tetap Deteksi</v>
      </c>
      <c r="N275" s="132">
        <v>46238</v>
      </c>
      <c r="O275" s="203">
        <v>83</v>
      </c>
      <c r="P275" s="9">
        <f t="array" ref="P275">IFERROR(O275/G275*100,0)</f>
        <v>1.4543543017347118</v>
      </c>
      <c r="Q275" s="203">
        <v>2</v>
      </c>
      <c r="R275" s="9">
        <f t="shared" si="38"/>
        <v>2.4096385542168677</v>
      </c>
      <c r="S275" s="8" t="str">
        <f t="array" ref="S275">IF(R275&gt;5,"Perlu Sensus",IF(AND(R275&gt;=0,O275&gt;0),"Tetap Deteksi","Belum Deteksi"))</f>
        <v>Tetap Deteksi</v>
      </c>
      <c r="T275" s="203">
        <f t="array" ref="T275">INDEX('[20]LS (Deteksi) Agustus'!T$7:T$303,MATCH(1,('[20]LS (Deteksi) Agustus'!$D$7:$D$303=$D275)*('[20]LS (Deteksi) Agustus'!$D$7:$D$303=$D275),0))</f>
        <v>0</v>
      </c>
      <c r="U275" s="9">
        <f t="shared" si="39"/>
        <v>0</v>
      </c>
      <c r="V275" s="132">
        <v>46239</v>
      </c>
      <c r="W275" s="203">
        <v>233</v>
      </c>
      <c r="X275" s="203">
        <v>16</v>
      </c>
      <c r="Y275" s="9">
        <f t="shared" si="40"/>
        <v>6.866952789699571</v>
      </c>
      <c r="Z275" s="8" t="str">
        <f t="array" ref="Z275">IF(Y275&gt;5,"Perlu Sensus",IF(AND(Y275&gt;0,,O275&gt;0),"Tetap Deteksi","Belum Deteksi"))</f>
        <v>Perlu Sensus</v>
      </c>
      <c r="AA275" s="203">
        <f t="array" ref="AA275">INDEX('[20]LS (Deteksi) Agustus'!AA$7:AA$303,MATCH(1,('[20]LS (Deteksi) Agustus'!$D$7:$D$303=$D275)*('[20]LS (Deteksi) Agustus'!$D$7:$D$303=$D275),0))</f>
        <v>0</v>
      </c>
      <c r="AB275" s="9">
        <f t="shared" si="41"/>
        <v>0</v>
      </c>
    </row>
    <row r="276" spans="1:28" outlineLevel="1" x14ac:dyDescent="0.15">
      <c r="A276" s="8" t="s">
        <v>13</v>
      </c>
      <c r="B276" s="8" t="s">
        <v>47</v>
      </c>
      <c r="C276" s="8" t="s">
        <v>290</v>
      </c>
      <c r="D276" s="8" t="s">
        <v>295</v>
      </c>
      <c r="E276" s="9">
        <v>25.63</v>
      </c>
      <c r="F276" s="8" t="s">
        <v>132</v>
      </c>
      <c r="G276" s="143">
        <v>3686</v>
      </c>
      <c r="H276" s="132">
        <f t="shared" si="34"/>
        <v>46238</v>
      </c>
      <c r="I276" s="140">
        <f t="shared" si="34"/>
        <v>60</v>
      </c>
      <c r="J276" s="9">
        <f t="shared" si="35"/>
        <v>1.6277807921866523</v>
      </c>
      <c r="K276" s="140">
        <f t="shared" si="36"/>
        <v>4</v>
      </c>
      <c r="L276" s="206">
        <f t="shared" si="37"/>
        <v>6.666666666666667</v>
      </c>
      <c r="M276" s="8" t="str">
        <f t="array" ref="M276">IF(L276&gt;5,"Perlu Sensus",IF(AND(L276&gt;=0,I276&gt;0),"Tetap Deteksi","Belum Deteksi"))</f>
        <v>Perlu Sensus</v>
      </c>
      <c r="N276" s="132">
        <v>46238</v>
      </c>
      <c r="O276" s="203">
        <v>60</v>
      </c>
      <c r="P276" s="9">
        <f t="array" ref="P276">IFERROR(O276/G276*100,0)</f>
        <v>1.6277807921866523</v>
      </c>
      <c r="Q276" s="203">
        <v>4</v>
      </c>
      <c r="R276" s="9">
        <f t="shared" si="38"/>
        <v>6.666666666666667</v>
      </c>
      <c r="S276" s="8" t="str">
        <f t="array" ref="S276">IF(R276&gt;5,"Perlu Sensus",IF(AND(R276&gt;=0,O276&gt;0),"Tetap Deteksi","Belum Deteksi"))</f>
        <v>Perlu Sensus</v>
      </c>
      <c r="T276" s="203">
        <f t="array" ref="T276">INDEX('[20]LS (Deteksi) Agustus'!T$7:T$303,MATCH(1,('[20]LS (Deteksi) Agustus'!$D$7:$D$303=$D276)*('[20]LS (Deteksi) Agustus'!$D$7:$D$303=$D276),0))</f>
        <v>0</v>
      </c>
      <c r="U276" s="9">
        <f t="shared" si="39"/>
        <v>0</v>
      </c>
      <c r="V276" s="132">
        <v>46239</v>
      </c>
      <c r="W276" s="203">
        <v>210</v>
      </c>
      <c r="X276" s="203">
        <v>19</v>
      </c>
      <c r="Y276" s="9">
        <f t="shared" si="40"/>
        <v>9.0476190476190474</v>
      </c>
      <c r="Z276" s="8" t="str">
        <f t="array" ref="Z276">IF(Y276&gt;5,"Perlu Sensus",IF(AND(Y276&gt;0,,O276&gt;0),"Tetap Deteksi","Belum Deteksi"))</f>
        <v>Perlu Sensus</v>
      </c>
      <c r="AA276" s="203">
        <f t="array" ref="AA276">INDEX('[20]LS (Deteksi) Agustus'!AA$7:AA$303,MATCH(1,('[20]LS (Deteksi) Agustus'!$D$7:$D$303=$D276)*('[20]LS (Deteksi) Agustus'!$D$7:$D$303=$D276),0))</f>
        <v>0</v>
      </c>
      <c r="AB276" s="9">
        <f t="shared" si="41"/>
        <v>0</v>
      </c>
    </row>
    <row r="277" spans="1:28" outlineLevel="1" x14ac:dyDescent="0.15">
      <c r="A277" s="8" t="s">
        <v>13</v>
      </c>
      <c r="B277" s="8" t="s">
        <v>47</v>
      </c>
      <c r="C277" s="8" t="s">
        <v>290</v>
      </c>
      <c r="D277" s="8" t="s">
        <v>296</v>
      </c>
      <c r="E277" s="9">
        <v>24.32</v>
      </c>
      <c r="F277" s="8" t="s">
        <v>132</v>
      </c>
      <c r="G277" s="143">
        <v>3611</v>
      </c>
      <c r="H277" s="132">
        <f t="shared" si="34"/>
        <v>46239</v>
      </c>
      <c r="I277" s="140">
        <f t="shared" si="34"/>
        <v>58</v>
      </c>
      <c r="J277" s="9">
        <f t="shared" si="35"/>
        <v>1.606203267792855</v>
      </c>
      <c r="K277" s="140">
        <f t="shared" si="36"/>
        <v>2</v>
      </c>
      <c r="L277" s="206">
        <f t="shared" si="37"/>
        <v>3.4482758620689653</v>
      </c>
      <c r="M277" s="8" t="str">
        <f t="array" ref="M277">IF(L277&gt;5,"Perlu Sensus",IF(AND(L277&gt;=0,I277&gt;0),"Tetap Deteksi","Belum Deteksi"))</f>
        <v>Tetap Deteksi</v>
      </c>
      <c r="N277" s="132">
        <v>46239</v>
      </c>
      <c r="O277" s="203">
        <v>58</v>
      </c>
      <c r="P277" s="9">
        <f t="array" ref="P277">IFERROR(O277/G277*100,0)</f>
        <v>1.606203267792855</v>
      </c>
      <c r="Q277" s="203">
        <v>2</v>
      </c>
      <c r="R277" s="9">
        <f t="shared" si="38"/>
        <v>3.4482758620689653</v>
      </c>
      <c r="S277" s="8" t="str">
        <f t="array" ref="S277">IF(R277&gt;5,"Perlu Sensus",IF(AND(R277&gt;=0,O277&gt;0),"Tetap Deteksi","Belum Deteksi"))</f>
        <v>Tetap Deteksi</v>
      </c>
      <c r="T277" s="203">
        <f t="array" ref="T277">INDEX('[20]LS (Deteksi) Agustus'!T$7:T$303,MATCH(1,('[20]LS (Deteksi) Agustus'!$D$7:$D$303=$D277)*('[20]LS (Deteksi) Agustus'!$D$7:$D$303=$D277),0))</f>
        <v>0</v>
      </c>
      <c r="U277" s="9">
        <f t="shared" si="39"/>
        <v>0</v>
      </c>
      <c r="V277" s="132">
        <v>46240</v>
      </c>
      <c r="W277" s="203">
        <v>203</v>
      </c>
      <c r="X277" s="203">
        <v>15</v>
      </c>
      <c r="Y277" s="9">
        <f t="shared" si="40"/>
        <v>7.389162561576355</v>
      </c>
      <c r="Z277" s="8" t="str">
        <f t="array" ref="Z277">IF(Y277&gt;5,"Perlu Sensus",IF(AND(Y277&gt;0,,O277&gt;0),"Tetap Deteksi","Belum Deteksi"))</f>
        <v>Perlu Sensus</v>
      </c>
      <c r="AA277" s="203">
        <f t="array" ref="AA277">INDEX('[20]LS (Deteksi) Agustus'!AA$7:AA$303,MATCH(1,('[20]LS (Deteksi) Agustus'!$D$7:$D$303=$D277)*('[20]LS (Deteksi) Agustus'!$D$7:$D$303=$D277),0))</f>
        <v>0</v>
      </c>
      <c r="AB277" s="9">
        <f t="shared" si="41"/>
        <v>0</v>
      </c>
    </row>
    <row r="278" spans="1:28" outlineLevel="1" x14ac:dyDescent="0.15">
      <c r="A278" s="8" t="s">
        <v>13</v>
      </c>
      <c r="B278" s="8" t="s">
        <v>47</v>
      </c>
      <c r="C278" s="8" t="s">
        <v>290</v>
      </c>
      <c r="D278" s="8" t="s">
        <v>297</v>
      </c>
      <c r="E278" s="9">
        <v>25.17</v>
      </c>
      <c r="F278" s="8" t="s">
        <v>132</v>
      </c>
      <c r="G278" s="143">
        <v>3628</v>
      </c>
      <c r="H278" s="132">
        <f t="shared" ref="H278:I299" si="42">IF(N278&gt;0,N278,V278)</f>
        <v>46240</v>
      </c>
      <c r="I278" s="140">
        <f t="shared" si="42"/>
        <v>58</v>
      </c>
      <c r="J278" s="9">
        <f t="shared" si="35"/>
        <v>1.5986769570011026</v>
      </c>
      <c r="K278" s="140">
        <f t="shared" si="36"/>
        <v>3</v>
      </c>
      <c r="L278" s="206">
        <f t="shared" si="37"/>
        <v>5.1724137931034484</v>
      </c>
      <c r="M278" s="8" t="str">
        <f t="array" ref="M278">IF(L278&gt;5,"Perlu Sensus",IF(AND(L278&gt;=0,I278&gt;0),"Tetap Deteksi","Belum Deteksi"))</f>
        <v>Perlu Sensus</v>
      </c>
      <c r="N278" s="132">
        <v>46240</v>
      </c>
      <c r="O278" s="203">
        <v>58</v>
      </c>
      <c r="P278" s="9">
        <f t="array" ref="P278">IFERROR(O278/G278*100,0)</f>
        <v>1.5986769570011026</v>
      </c>
      <c r="Q278" s="203">
        <v>3</v>
      </c>
      <c r="R278" s="9">
        <f t="shared" si="38"/>
        <v>5.1724137931034484</v>
      </c>
      <c r="S278" s="8" t="str">
        <f t="array" ref="S278">IF(R278&gt;5,"Perlu Sensus",IF(AND(R278&gt;=0,O278&gt;0),"Tetap Deteksi","Belum Deteksi"))</f>
        <v>Perlu Sensus</v>
      </c>
      <c r="T278" s="203">
        <f t="array" ref="T278">INDEX('[20]LS (Deteksi) Agustus'!T$7:T$303,MATCH(1,('[20]LS (Deteksi) Agustus'!$D$7:$D$303=$D278)*('[20]LS (Deteksi) Agustus'!$D$7:$D$303=$D278),0))</f>
        <v>0</v>
      </c>
      <c r="U278" s="9">
        <f t="shared" si="39"/>
        <v>0</v>
      </c>
      <c r="V278" s="132">
        <v>46241</v>
      </c>
      <c r="W278" s="203">
        <v>200</v>
      </c>
      <c r="X278" s="203">
        <v>23</v>
      </c>
      <c r="Y278" s="9">
        <f t="shared" si="40"/>
        <v>11.5</v>
      </c>
      <c r="Z278" s="8" t="str">
        <f t="array" ref="Z278">IF(Y278&gt;5,"Perlu Sensus",IF(AND(Y278&gt;0,,O278&gt;0),"Tetap Deteksi","Belum Deteksi"))</f>
        <v>Perlu Sensus</v>
      </c>
      <c r="AA278" s="203">
        <f t="array" ref="AA278">INDEX('[20]LS (Deteksi) Agustus'!AA$7:AA$303,MATCH(1,('[20]LS (Deteksi) Agustus'!$D$7:$D$303=$D278)*('[20]LS (Deteksi) Agustus'!$D$7:$D$303=$D278),0))</f>
        <v>0</v>
      </c>
      <c r="AB278" s="9">
        <f t="shared" si="41"/>
        <v>0</v>
      </c>
    </row>
    <row r="279" spans="1:28" outlineLevel="1" x14ac:dyDescent="0.15">
      <c r="A279" s="8" t="s">
        <v>13</v>
      </c>
      <c r="B279" s="8" t="s">
        <v>47</v>
      </c>
      <c r="C279" s="8" t="s">
        <v>290</v>
      </c>
      <c r="D279" s="8" t="s">
        <v>298</v>
      </c>
      <c r="E279" s="9">
        <v>24.89</v>
      </c>
      <c r="F279" s="8" t="s">
        <v>132</v>
      </c>
      <c r="G279" s="143">
        <v>3713</v>
      </c>
      <c r="H279" s="132">
        <f t="shared" si="42"/>
        <v>46241</v>
      </c>
      <c r="I279" s="140">
        <f t="shared" si="42"/>
        <v>55</v>
      </c>
      <c r="J279" s="9">
        <f t="shared" si="35"/>
        <v>1.4812819822246162</v>
      </c>
      <c r="K279" s="140">
        <f t="shared" si="36"/>
        <v>2</v>
      </c>
      <c r="L279" s="206">
        <f t="shared" si="37"/>
        <v>3.6363636363636362</v>
      </c>
      <c r="M279" s="8" t="str">
        <f t="array" ref="M279">IF(L279&gt;5,"Perlu Sensus",IF(AND(L279&gt;=0,I279&gt;0),"Tetap Deteksi","Belum Deteksi"))</f>
        <v>Tetap Deteksi</v>
      </c>
      <c r="N279" s="132">
        <v>46241</v>
      </c>
      <c r="O279" s="203">
        <v>55</v>
      </c>
      <c r="P279" s="9">
        <f t="array" ref="P279">IFERROR(O279/G279*100,0)</f>
        <v>1.4812819822246162</v>
      </c>
      <c r="Q279" s="203">
        <v>2</v>
      </c>
      <c r="R279" s="9">
        <f t="shared" si="38"/>
        <v>3.6363636363636362</v>
      </c>
      <c r="S279" s="8" t="str">
        <f t="array" ref="S279">IF(R279&gt;5,"Perlu Sensus",IF(AND(R279&gt;=0,O279&gt;0),"Tetap Deteksi","Belum Deteksi"))</f>
        <v>Tetap Deteksi</v>
      </c>
      <c r="T279" s="203">
        <f t="array" ref="T279">INDEX('[20]LS (Deteksi) Agustus'!T$7:T$303,MATCH(1,('[20]LS (Deteksi) Agustus'!$D$7:$D$303=$D279)*('[20]LS (Deteksi) Agustus'!$D$7:$D$303=$D279),0))</f>
        <v>0</v>
      </c>
      <c r="U279" s="9">
        <f t="shared" si="39"/>
        <v>0</v>
      </c>
      <c r="V279" s="132">
        <v>46242</v>
      </c>
      <c r="W279" s="203">
        <v>211</v>
      </c>
      <c r="X279" s="203">
        <v>21</v>
      </c>
      <c r="Y279" s="9">
        <f t="shared" si="40"/>
        <v>9.9526066350710902</v>
      </c>
      <c r="Z279" s="8" t="str">
        <f t="array" ref="Z279">IF(Y279&gt;5,"Perlu Sensus",IF(AND(Y279&gt;0,,O279&gt;0),"Tetap Deteksi","Belum Deteksi"))</f>
        <v>Perlu Sensus</v>
      </c>
      <c r="AA279" s="203">
        <f t="array" ref="AA279">INDEX('[20]LS (Deteksi) Agustus'!AA$7:AA$303,MATCH(1,('[20]LS (Deteksi) Agustus'!$D$7:$D$303=$D279)*('[20]LS (Deteksi) Agustus'!$D$7:$D$303=$D279),0))</f>
        <v>0</v>
      </c>
      <c r="AB279" s="9">
        <f t="shared" si="41"/>
        <v>0</v>
      </c>
    </row>
    <row r="280" spans="1:28" outlineLevel="1" x14ac:dyDescent="0.15">
      <c r="A280" s="8" t="s">
        <v>13</v>
      </c>
      <c r="B280" s="8" t="s">
        <v>47</v>
      </c>
      <c r="C280" s="8" t="s">
        <v>290</v>
      </c>
      <c r="D280" s="8" t="s">
        <v>299</v>
      </c>
      <c r="E280" s="9">
        <v>24.1</v>
      </c>
      <c r="F280" s="8" t="s">
        <v>132</v>
      </c>
      <c r="G280" s="143">
        <v>3521</v>
      </c>
      <c r="H280" s="132">
        <f t="shared" si="42"/>
        <v>46242</v>
      </c>
      <c r="I280" s="140">
        <f t="shared" si="42"/>
        <v>55</v>
      </c>
      <c r="J280" s="9">
        <f t="shared" si="35"/>
        <v>1.5620562340244248</v>
      </c>
      <c r="K280" s="140">
        <f t="shared" si="36"/>
        <v>6</v>
      </c>
      <c r="L280" s="206">
        <f t="shared" si="37"/>
        <v>10.909090909090908</v>
      </c>
      <c r="M280" s="8" t="str">
        <f t="array" ref="M280">IF(L280&gt;5,"Perlu Sensus",IF(AND(L280&gt;=0,I280&gt;0),"Tetap Deteksi","Belum Deteksi"))</f>
        <v>Perlu Sensus</v>
      </c>
      <c r="N280" s="132">
        <v>46242</v>
      </c>
      <c r="O280" s="203">
        <v>55</v>
      </c>
      <c r="P280" s="9">
        <f t="array" ref="P280">IFERROR(O280/G280*100,0)</f>
        <v>1.5620562340244248</v>
      </c>
      <c r="Q280" s="203">
        <v>6</v>
      </c>
      <c r="R280" s="9">
        <f t="shared" si="38"/>
        <v>10.909090909090908</v>
      </c>
      <c r="S280" s="8" t="str">
        <f t="array" ref="S280">IF(R280&gt;5,"Perlu Sensus",IF(AND(R280&gt;=0,O280&gt;0),"Tetap Deteksi","Belum Deteksi"))</f>
        <v>Perlu Sensus</v>
      </c>
      <c r="T280" s="203">
        <f t="array" ref="T280">INDEX('[20]LS (Deteksi) Agustus'!T$7:T$303,MATCH(1,('[20]LS (Deteksi) Agustus'!$D$7:$D$303=$D280)*('[20]LS (Deteksi) Agustus'!$D$7:$D$303=$D280),0))</f>
        <v>0</v>
      </c>
      <c r="U280" s="9">
        <f t="shared" si="39"/>
        <v>0</v>
      </c>
      <c r="V280" s="132">
        <v>46244</v>
      </c>
      <c r="W280" s="203">
        <v>207</v>
      </c>
      <c r="X280" s="203">
        <v>19</v>
      </c>
      <c r="Y280" s="9">
        <f t="shared" si="40"/>
        <v>9.1787439613526569</v>
      </c>
      <c r="Z280" s="8" t="str">
        <f t="array" ref="Z280">IF(Y280&gt;5,"Perlu Sensus",IF(AND(Y280&gt;0,,O280&gt;0),"Tetap Deteksi","Belum Deteksi"))</f>
        <v>Perlu Sensus</v>
      </c>
      <c r="AA280" s="203">
        <f t="array" ref="AA280">INDEX('[20]LS (Deteksi) Agustus'!AA$7:AA$303,MATCH(1,('[20]LS (Deteksi) Agustus'!$D$7:$D$303=$D280)*('[20]LS (Deteksi) Agustus'!$D$7:$D$303=$D280),0))</f>
        <v>0</v>
      </c>
      <c r="AB280" s="9">
        <f t="shared" si="41"/>
        <v>0</v>
      </c>
    </row>
    <row r="281" spans="1:28" outlineLevel="1" x14ac:dyDescent="0.15">
      <c r="A281" s="8" t="s">
        <v>13</v>
      </c>
      <c r="B281" s="8" t="s">
        <v>47</v>
      </c>
      <c r="C281" s="8" t="s">
        <v>290</v>
      </c>
      <c r="D281" s="8" t="s">
        <v>300</v>
      </c>
      <c r="E281" s="9">
        <v>26.5</v>
      </c>
      <c r="F281" s="8" t="s">
        <v>132</v>
      </c>
      <c r="G281" s="143">
        <v>3831</v>
      </c>
      <c r="H281" s="132">
        <f t="shared" si="42"/>
        <v>46242</v>
      </c>
      <c r="I281" s="140">
        <f t="shared" si="42"/>
        <v>58</v>
      </c>
      <c r="J281" s="9">
        <f t="shared" si="35"/>
        <v>1.5139650221874186</v>
      </c>
      <c r="K281" s="140">
        <f t="shared" si="36"/>
        <v>5</v>
      </c>
      <c r="L281" s="206">
        <f t="shared" si="37"/>
        <v>8.6206896551724146</v>
      </c>
      <c r="M281" s="8" t="str">
        <f t="array" ref="M281">IF(L281&gt;5,"Perlu Sensus",IF(AND(L281&gt;=0,I281&gt;0),"Tetap Deteksi","Belum Deteksi"))</f>
        <v>Perlu Sensus</v>
      </c>
      <c r="N281" s="132">
        <v>46242</v>
      </c>
      <c r="O281" s="203">
        <v>58</v>
      </c>
      <c r="P281" s="9">
        <f t="array" ref="P281">IFERROR(O281/G281*100,0)</f>
        <v>1.5139650221874186</v>
      </c>
      <c r="Q281" s="203">
        <v>5</v>
      </c>
      <c r="R281" s="9">
        <f t="shared" si="38"/>
        <v>8.6206896551724146</v>
      </c>
      <c r="S281" s="8" t="str">
        <f t="array" ref="S281">IF(R281&gt;5,"Perlu Sensus",IF(AND(R281&gt;=0,O281&gt;0),"Tetap Deteksi","Belum Deteksi"))</f>
        <v>Perlu Sensus</v>
      </c>
      <c r="T281" s="203">
        <f t="array" ref="T281">INDEX('[20]LS (Deteksi) Agustus'!T$7:T$303,MATCH(1,('[20]LS (Deteksi) Agustus'!$D$7:$D$303=$D281)*('[20]LS (Deteksi) Agustus'!$D$7:$D$303=$D281),0))</f>
        <v>0</v>
      </c>
      <c r="U281" s="9">
        <f t="shared" si="39"/>
        <v>0</v>
      </c>
      <c r="V281" s="132">
        <v>46244</v>
      </c>
      <c r="W281" s="203">
        <v>219</v>
      </c>
      <c r="X281" s="203">
        <v>26</v>
      </c>
      <c r="Y281" s="9">
        <f t="shared" si="40"/>
        <v>11.87214611872146</v>
      </c>
      <c r="Z281" s="8" t="str">
        <f t="array" ref="Z281">IF(Y281&gt;5,"Perlu Sensus",IF(AND(Y281&gt;0,,O281&gt;0),"Tetap Deteksi","Belum Deteksi"))</f>
        <v>Perlu Sensus</v>
      </c>
      <c r="AA281" s="203">
        <f t="array" ref="AA281">INDEX('[20]LS (Deteksi) Agustus'!AA$7:AA$303,MATCH(1,('[20]LS (Deteksi) Agustus'!$D$7:$D$303=$D281)*('[20]LS (Deteksi) Agustus'!$D$7:$D$303=$D281),0))</f>
        <v>0</v>
      </c>
      <c r="AB281" s="9">
        <f t="shared" si="41"/>
        <v>0</v>
      </c>
    </row>
    <row r="282" spans="1:28" outlineLevel="1" x14ac:dyDescent="0.15">
      <c r="A282" s="8" t="s">
        <v>13</v>
      </c>
      <c r="B282" s="8" t="s">
        <v>47</v>
      </c>
      <c r="C282" s="8" t="s">
        <v>290</v>
      </c>
      <c r="D282" s="8" t="s">
        <v>301</v>
      </c>
      <c r="E282" s="9">
        <v>25.32</v>
      </c>
      <c r="F282" s="8" t="s">
        <v>132</v>
      </c>
      <c r="G282" s="143">
        <v>3521</v>
      </c>
      <c r="H282" s="132">
        <f t="shared" si="42"/>
        <v>46244</v>
      </c>
      <c r="I282" s="140">
        <f t="shared" si="42"/>
        <v>58</v>
      </c>
      <c r="J282" s="9">
        <f t="shared" si="35"/>
        <v>1.647259301334848</v>
      </c>
      <c r="K282" s="140">
        <f t="shared" si="36"/>
        <v>5</v>
      </c>
      <c r="L282" s="206">
        <f t="shared" si="37"/>
        <v>8.6206896551724146</v>
      </c>
      <c r="M282" s="8" t="str">
        <f t="array" ref="M282">IF(L282&gt;5,"Perlu Sensus",IF(AND(L282&gt;=0,I282&gt;0),"Tetap Deteksi","Belum Deteksi"))</f>
        <v>Perlu Sensus</v>
      </c>
      <c r="N282" s="132">
        <v>46244</v>
      </c>
      <c r="O282" s="203">
        <v>58</v>
      </c>
      <c r="P282" s="9">
        <f t="array" ref="P282">IFERROR(O282/G282*100,0)</f>
        <v>1.647259301334848</v>
      </c>
      <c r="Q282" s="203">
        <v>5</v>
      </c>
      <c r="R282" s="9">
        <f t="shared" si="38"/>
        <v>8.6206896551724146</v>
      </c>
      <c r="S282" s="8" t="str">
        <f t="array" ref="S282">IF(R282&gt;5,"Perlu Sensus",IF(AND(R282&gt;=0,O282&gt;0),"Tetap Deteksi","Belum Deteksi"))</f>
        <v>Perlu Sensus</v>
      </c>
      <c r="T282" s="203">
        <f t="array" ref="T282">INDEX('[20]LS (Deteksi) Agustus'!T$7:T$303,MATCH(1,('[20]LS (Deteksi) Agustus'!$D$7:$D$303=$D282)*('[20]LS (Deteksi) Agustus'!$D$7:$D$303=$D282),0))</f>
        <v>0</v>
      </c>
      <c r="U282" s="9">
        <f t="shared" si="39"/>
        <v>0</v>
      </c>
      <c r="V282" s="132">
        <v>46245</v>
      </c>
      <c r="W282" s="203">
        <v>206</v>
      </c>
      <c r="X282" s="203">
        <v>27</v>
      </c>
      <c r="Y282" s="9">
        <f t="shared" si="40"/>
        <v>13.106796116504855</v>
      </c>
      <c r="Z282" s="8" t="str">
        <f t="array" ref="Z282">IF(Y282&gt;5,"Perlu Sensus",IF(AND(Y282&gt;0,,O282&gt;0),"Tetap Deteksi","Belum Deteksi"))</f>
        <v>Perlu Sensus</v>
      </c>
      <c r="AA282" s="203">
        <f t="array" ref="AA282">INDEX('[20]LS (Deteksi) Agustus'!AA$7:AA$303,MATCH(1,('[20]LS (Deteksi) Agustus'!$D$7:$D$303=$D282)*('[20]LS (Deteksi) Agustus'!$D$7:$D$303=$D282),0))</f>
        <v>0</v>
      </c>
      <c r="AB282" s="9">
        <f t="shared" si="41"/>
        <v>0</v>
      </c>
    </row>
    <row r="283" spans="1:28" outlineLevel="1" x14ac:dyDescent="0.15">
      <c r="A283" s="8" t="s">
        <v>13</v>
      </c>
      <c r="B283" s="8" t="s">
        <v>47</v>
      </c>
      <c r="C283" s="8" t="s">
        <v>290</v>
      </c>
      <c r="D283" s="8" t="s">
        <v>302</v>
      </c>
      <c r="E283" s="9">
        <v>24.57</v>
      </c>
      <c r="F283" s="8" t="s">
        <v>132</v>
      </c>
      <c r="G283" s="143">
        <v>3537</v>
      </c>
      <c r="H283" s="132">
        <f t="shared" si="42"/>
        <v>46245</v>
      </c>
      <c r="I283" s="140">
        <f t="shared" si="42"/>
        <v>111</v>
      </c>
      <c r="J283" s="9">
        <f t="shared" si="35"/>
        <v>3.1382527565733676</v>
      </c>
      <c r="K283" s="140">
        <f t="shared" si="36"/>
        <v>6</v>
      </c>
      <c r="L283" s="206">
        <f t="shared" si="37"/>
        <v>5.4054054054054053</v>
      </c>
      <c r="M283" s="8" t="str">
        <f t="array" ref="M283">IF(L283&gt;5,"Perlu Sensus",IF(AND(L283&gt;=0,I283&gt;0),"Tetap Deteksi","Belum Deteksi"))</f>
        <v>Perlu Sensus</v>
      </c>
      <c r="N283" s="132">
        <v>46245</v>
      </c>
      <c r="O283" s="203">
        <v>111</v>
      </c>
      <c r="P283" s="9">
        <f t="array" ref="P283">IFERROR(O283/G283*100,0)</f>
        <v>3.1382527565733676</v>
      </c>
      <c r="Q283" s="203">
        <v>6</v>
      </c>
      <c r="R283" s="9">
        <f t="shared" si="38"/>
        <v>5.4054054054054053</v>
      </c>
      <c r="S283" s="8" t="str">
        <f t="array" ref="S283">IF(R283&gt;5,"Perlu Sensus",IF(AND(R283&gt;=0,O283&gt;0),"Tetap Deteksi","Belum Deteksi"))</f>
        <v>Perlu Sensus</v>
      </c>
      <c r="T283" s="203">
        <f t="array" ref="T283">INDEX('[20]LS (Deteksi) Agustus'!T$7:T$303,MATCH(1,('[20]LS (Deteksi) Agustus'!$D$7:$D$303=$D283)*('[20]LS (Deteksi) Agustus'!$D$7:$D$303=$D283),0))</f>
        <v>0</v>
      </c>
      <c r="U283" s="9">
        <f t="shared" si="39"/>
        <v>0</v>
      </c>
      <c r="V283" s="132">
        <v>46248</v>
      </c>
      <c r="W283" s="203">
        <v>188</v>
      </c>
      <c r="X283" s="203">
        <v>4</v>
      </c>
      <c r="Y283" s="9">
        <f t="shared" si="40"/>
        <v>2.1276595744680851</v>
      </c>
      <c r="Z283" s="8" t="str">
        <f t="array" ref="Z283">IF(Y283&gt;5,"Perlu Sensus",IF(AND(Y283&gt;0,,O283&gt;0),"Tetap Deteksi","Belum Deteksi"))</f>
        <v>Belum Deteksi</v>
      </c>
      <c r="AA283" s="203">
        <f t="array" ref="AA283">INDEX('[20]LS (Deteksi) Agustus'!AA$7:AA$303,MATCH(1,('[20]LS (Deteksi) Agustus'!$D$7:$D$303=$D283)*('[20]LS (Deteksi) Agustus'!$D$7:$D$303=$D283),0))</f>
        <v>0</v>
      </c>
      <c r="AB283" s="9">
        <f t="shared" si="41"/>
        <v>0</v>
      </c>
    </row>
    <row r="284" spans="1:28" outlineLevel="1" x14ac:dyDescent="0.15">
      <c r="A284" s="8" t="s">
        <v>13</v>
      </c>
      <c r="B284" s="8" t="s">
        <v>47</v>
      </c>
      <c r="C284" s="8" t="s">
        <v>290</v>
      </c>
      <c r="D284" s="8" t="s">
        <v>303</v>
      </c>
      <c r="E284" s="9">
        <v>25.09</v>
      </c>
      <c r="F284" s="8" t="s">
        <v>132</v>
      </c>
      <c r="G284" s="143">
        <v>3515</v>
      </c>
      <c r="H284" s="132">
        <f t="shared" si="42"/>
        <v>46247</v>
      </c>
      <c r="I284" s="140">
        <f t="shared" si="42"/>
        <v>57</v>
      </c>
      <c r="J284" s="9">
        <f t="shared" si="35"/>
        <v>1.6216216216216217</v>
      </c>
      <c r="K284" s="140">
        <f t="shared" si="36"/>
        <v>5</v>
      </c>
      <c r="L284" s="206">
        <f t="shared" si="37"/>
        <v>8.7719298245614024</v>
      </c>
      <c r="M284" s="8" t="str">
        <f t="array" ref="M284">IF(L284&gt;5,"Perlu Sensus",IF(AND(L284&gt;=0,I284&gt;0),"Tetap Deteksi","Belum Deteksi"))</f>
        <v>Perlu Sensus</v>
      </c>
      <c r="N284" s="132">
        <v>46247</v>
      </c>
      <c r="O284" s="203">
        <v>57</v>
      </c>
      <c r="P284" s="9">
        <f t="array" ref="P284">IFERROR(O284/G284*100,0)</f>
        <v>1.6216216216216217</v>
      </c>
      <c r="Q284" s="203">
        <v>5</v>
      </c>
      <c r="R284" s="9">
        <f t="shared" si="38"/>
        <v>8.7719298245614024</v>
      </c>
      <c r="S284" s="8" t="str">
        <f t="array" ref="S284">IF(R284&gt;5,"Perlu Sensus",IF(AND(R284&gt;=0,O284&gt;0),"Tetap Deteksi","Belum Deteksi"))</f>
        <v>Perlu Sensus</v>
      </c>
      <c r="T284" s="203">
        <f t="array" ref="T284">INDEX('[20]LS (Deteksi) Agustus'!T$7:T$303,MATCH(1,('[20]LS (Deteksi) Agustus'!$D$7:$D$303=$D284)*('[20]LS (Deteksi) Agustus'!$D$7:$D$303=$D284),0))</f>
        <v>0</v>
      </c>
      <c r="U284" s="9">
        <f t="shared" si="39"/>
        <v>0</v>
      </c>
      <c r="V284" s="132">
        <v>46247</v>
      </c>
      <c r="W284" s="203">
        <v>164</v>
      </c>
      <c r="X284" s="203">
        <v>7</v>
      </c>
      <c r="Y284" s="9">
        <f t="shared" si="40"/>
        <v>4.2682926829268295</v>
      </c>
      <c r="Z284" s="8" t="str">
        <f t="array" ref="Z284">IF(Y284&gt;5,"Perlu Sensus",IF(AND(Y284&gt;0,,O284&gt;0),"Tetap Deteksi","Belum Deteksi"))</f>
        <v>Belum Deteksi</v>
      </c>
      <c r="AA284" s="203">
        <f t="array" ref="AA284">INDEX('[20]LS (Deteksi) Agustus'!AA$7:AA$303,MATCH(1,('[20]LS (Deteksi) Agustus'!$D$7:$D$303=$D284)*('[20]LS (Deteksi) Agustus'!$D$7:$D$303=$D284),0))</f>
        <v>0</v>
      </c>
      <c r="AB284" s="9">
        <f t="shared" si="41"/>
        <v>0</v>
      </c>
    </row>
    <row r="285" spans="1:28" outlineLevel="1" x14ac:dyDescent="0.15">
      <c r="A285" s="8" t="s">
        <v>13</v>
      </c>
      <c r="B285" s="8" t="s">
        <v>47</v>
      </c>
      <c r="C285" s="8" t="s">
        <v>290</v>
      </c>
      <c r="D285" s="8" t="s">
        <v>304</v>
      </c>
      <c r="E285" s="9">
        <v>24.32</v>
      </c>
      <c r="F285" s="8" t="s">
        <v>132</v>
      </c>
      <c r="G285" s="143">
        <v>3110</v>
      </c>
      <c r="H285" s="132">
        <f t="shared" si="42"/>
        <v>46248</v>
      </c>
      <c r="I285" s="140">
        <f t="shared" si="42"/>
        <v>123</v>
      </c>
      <c r="J285" s="9">
        <f t="shared" si="35"/>
        <v>3.9549839228295824</v>
      </c>
      <c r="K285" s="140">
        <f t="shared" si="36"/>
        <v>2</v>
      </c>
      <c r="L285" s="206">
        <f t="shared" si="37"/>
        <v>1.6260162601626018</v>
      </c>
      <c r="M285" s="8" t="str">
        <f t="array" ref="M285">IF(L285&gt;5,"Perlu Sensus",IF(AND(L285&gt;=0,I285&gt;0),"Tetap Deteksi","Belum Deteksi"))</f>
        <v>Tetap Deteksi</v>
      </c>
      <c r="N285" s="132">
        <v>46248</v>
      </c>
      <c r="O285" s="203">
        <v>123</v>
      </c>
      <c r="P285" s="9">
        <f t="array" ref="P285">IFERROR(O285/G285*100,0)</f>
        <v>3.9549839228295824</v>
      </c>
      <c r="Q285" s="203">
        <v>2</v>
      </c>
      <c r="R285" s="9">
        <f t="shared" si="38"/>
        <v>1.6260162601626018</v>
      </c>
      <c r="S285" s="8" t="str">
        <f t="array" ref="S285">IF(R285&gt;5,"Perlu Sensus",IF(AND(R285&gt;=0,O285&gt;0),"Tetap Deteksi","Belum Deteksi"))</f>
        <v>Tetap Deteksi</v>
      </c>
      <c r="T285" s="203">
        <f t="array" ref="T285">INDEX('[20]LS (Deteksi) Agustus'!T$7:T$303,MATCH(1,('[20]LS (Deteksi) Agustus'!$D$7:$D$303=$D285)*('[20]LS (Deteksi) Agustus'!$D$7:$D$303=$D285),0))</f>
        <v>0</v>
      </c>
      <c r="U285" s="9">
        <f t="shared" si="39"/>
        <v>0</v>
      </c>
      <c r="V285" s="132">
        <v>46248</v>
      </c>
      <c r="W285" s="203">
        <v>109</v>
      </c>
      <c r="X285" s="203">
        <v>2</v>
      </c>
      <c r="Y285" s="9">
        <f t="shared" si="40"/>
        <v>1.834862385321101</v>
      </c>
      <c r="Z285" s="8" t="str">
        <f t="array" ref="Z285">IF(Y285&gt;5,"Perlu Sensus",IF(AND(Y285&gt;0,,O285&gt;0),"Tetap Deteksi","Belum Deteksi"))</f>
        <v>Belum Deteksi</v>
      </c>
      <c r="AA285" s="203">
        <f t="array" ref="AA285">INDEX('[20]LS (Deteksi) Agustus'!AA$7:AA$303,MATCH(1,('[20]LS (Deteksi) Agustus'!$D$7:$D$303=$D285)*('[20]LS (Deteksi) Agustus'!$D$7:$D$303=$D285),0))</f>
        <v>0</v>
      </c>
      <c r="AB285" s="9">
        <f t="shared" si="41"/>
        <v>0</v>
      </c>
    </row>
    <row r="286" spans="1:28" outlineLevel="1" x14ac:dyDescent="0.15">
      <c r="A286" s="8" t="s">
        <v>13</v>
      </c>
      <c r="B286" s="8" t="s">
        <v>47</v>
      </c>
      <c r="C286" s="8" t="s">
        <v>290</v>
      </c>
      <c r="D286" s="8" t="s">
        <v>305</v>
      </c>
      <c r="E286" s="9">
        <v>26.12</v>
      </c>
      <c r="F286" s="8" t="s">
        <v>132</v>
      </c>
      <c r="G286" s="143">
        <v>3783</v>
      </c>
      <c r="H286" s="132">
        <f t="shared" si="42"/>
        <v>46247</v>
      </c>
      <c r="I286" s="140">
        <f t="shared" si="42"/>
        <v>114</v>
      </c>
      <c r="J286" s="9">
        <f t="shared" si="35"/>
        <v>3.0134813639968279</v>
      </c>
      <c r="K286" s="140">
        <f t="shared" si="36"/>
        <v>11</v>
      </c>
      <c r="L286" s="206">
        <f t="shared" si="37"/>
        <v>9.6491228070175428</v>
      </c>
      <c r="M286" s="8" t="str">
        <f t="array" ref="M286">IF(L286&gt;5,"Perlu Sensus",IF(AND(L286&gt;=0,I286&gt;0),"Tetap Deteksi","Belum Deteksi"))</f>
        <v>Perlu Sensus</v>
      </c>
      <c r="N286" s="132">
        <v>46247</v>
      </c>
      <c r="O286" s="203">
        <v>114</v>
      </c>
      <c r="P286" s="9">
        <f t="array" ref="P286">IFERROR(O286/G286*100,0)</f>
        <v>3.0134813639968279</v>
      </c>
      <c r="Q286" s="203">
        <v>11</v>
      </c>
      <c r="R286" s="9">
        <f t="shared" si="38"/>
        <v>9.6491228070175428</v>
      </c>
      <c r="S286" s="8" t="str">
        <f t="array" ref="S286">IF(R286&gt;5,"Perlu Sensus",IF(AND(R286&gt;=0,O286&gt;0),"Tetap Deteksi","Belum Deteksi"))</f>
        <v>Perlu Sensus</v>
      </c>
      <c r="T286" s="203">
        <f t="array" ref="T286">INDEX('[20]LS (Deteksi) Agustus'!T$7:T$303,MATCH(1,('[20]LS (Deteksi) Agustus'!$D$7:$D$303=$D286)*('[20]LS (Deteksi) Agustus'!$D$7:$D$303=$D286),0))</f>
        <v>0</v>
      </c>
      <c r="U286" s="9">
        <f t="shared" si="39"/>
        <v>0</v>
      </c>
      <c r="V286" s="132">
        <v>46248</v>
      </c>
      <c r="W286" s="203">
        <v>71</v>
      </c>
      <c r="X286" s="203">
        <v>4</v>
      </c>
      <c r="Y286" s="9">
        <f t="shared" si="40"/>
        <v>5.6338028169014089</v>
      </c>
      <c r="Z286" s="8" t="str">
        <f t="array" ref="Z286">IF(Y286&gt;5,"Perlu Sensus",IF(AND(Y286&gt;0,,O286&gt;0),"Tetap Deteksi","Belum Deteksi"))</f>
        <v>Perlu Sensus</v>
      </c>
      <c r="AA286" s="203">
        <f t="array" ref="AA286">INDEX('[20]LS (Deteksi) Agustus'!AA$7:AA$303,MATCH(1,('[20]LS (Deteksi) Agustus'!$D$7:$D$303=$D286)*('[20]LS (Deteksi) Agustus'!$D$7:$D$303=$D286),0))</f>
        <v>0</v>
      </c>
      <c r="AB286" s="9">
        <f t="shared" si="41"/>
        <v>0</v>
      </c>
    </row>
    <row r="287" spans="1:28" outlineLevel="1" x14ac:dyDescent="0.15">
      <c r="A287" s="8" t="s">
        <v>13</v>
      </c>
      <c r="B287" s="8" t="s">
        <v>47</v>
      </c>
      <c r="C287" s="8" t="s">
        <v>290</v>
      </c>
      <c r="D287" s="8" t="s">
        <v>306</v>
      </c>
      <c r="E287" s="9">
        <v>24.85</v>
      </c>
      <c r="F287" s="8" t="s">
        <v>132</v>
      </c>
      <c r="G287" s="143">
        <v>3596</v>
      </c>
      <c r="H287" s="132">
        <f t="shared" si="42"/>
        <v>46248</v>
      </c>
      <c r="I287" s="140">
        <f t="shared" si="42"/>
        <v>248</v>
      </c>
      <c r="J287" s="9">
        <f t="shared" si="35"/>
        <v>6.8965517241379306</v>
      </c>
      <c r="K287" s="140">
        <f t="shared" si="36"/>
        <v>2</v>
      </c>
      <c r="L287" s="206">
        <f t="shared" si="37"/>
        <v>0.80645161290322576</v>
      </c>
      <c r="M287" s="8" t="str">
        <f t="array" ref="M287">IF(L287&gt;5,"Perlu Sensus",IF(AND(L287&gt;=0,I287&gt;0),"Tetap Deteksi","Belum Deteksi"))</f>
        <v>Tetap Deteksi</v>
      </c>
      <c r="N287" s="132">
        <v>46248</v>
      </c>
      <c r="O287" s="203">
        <v>248</v>
      </c>
      <c r="P287" s="9">
        <f t="array" ref="P287">IFERROR(O287/G287*100,0)</f>
        <v>6.8965517241379306</v>
      </c>
      <c r="Q287" s="203">
        <v>2</v>
      </c>
      <c r="R287" s="9">
        <f t="shared" si="38"/>
        <v>0.80645161290322576</v>
      </c>
      <c r="S287" s="8" t="str">
        <f t="array" ref="S287">IF(R287&gt;5,"Perlu Sensus",IF(AND(R287&gt;=0,O287&gt;0),"Tetap Deteksi","Belum Deteksi"))</f>
        <v>Tetap Deteksi</v>
      </c>
      <c r="T287" s="203">
        <f t="array" ref="T287">INDEX('[20]LS (Deteksi) Agustus'!T$7:T$303,MATCH(1,('[20]LS (Deteksi) Agustus'!$D$7:$D$303=$D287)*('[20]LS (Deteksi) Agustus'!$D$7:$D$303=$D287),0))</f>
        <v>0</v>
      </c>
      <c r="U287" s="9">
        <f t="shared" si="39"/>
        <v>0</v>
      </c>
      <c r="V287" s="132">
        <v>46249</v>
      </c>
      <c r="W287" s="203">
        <v>112</v>
      </c>
      <c r="X287" s="203">
        <v>1</v>
      </c>
      <c r="Y287" s="9">
        <f t="shared" si="40"/>
        <v>0.89285714285714279</v>
      </c>
      <c r="Z287" s="8" t="str">
        <f t="array" ref="Z287">IF(Y287&gt;5,"Perlu Sensus",IF(AND(Y287&gt;0,,O287&gt;0),"Tetap Deteksi","Belum Deteksi"))</f>
        <v>Belum Deteksi</v>
      </c>
      <c r="AA287" s="203">
        <f t="array" ref="AA287">INDEX('[20]LS (Deteksi) Agustus'!AA$7:AA$303,MATCH(1,('[20]LS (Deteksi) Agustus'!$D$7:$D$303=$D287)*('[20]LS (Deteksi) Agustus'!$D$7:$D$303=$D287),0))</f>
        <v>0</v>
      </c>
      <c r="AB287" s="9">
        <f t="shared" si="41"/>
        <v>0</v>
      </c>
    </row>
    <row r="288" spans="1:28" outlineLevel="1" x14ac:dyDescent="0.15">
      <c r="A288" s="8" t="s">
        <v>13</v>
      </c>
      <c r="B288" s="8" t="s">
        <v>47</v>
      </c>
      <c r="C288" s="8" t="s">
        <v>290</v>
      </c>
      <c r="D288" s="8" t="s">
        <v>307</v>
      </c>
      <c r="E288" s="9">
        <v>24.8</v>
      </c>
      <c r="F288" s="8" t="s">
        <v>132</v>
      </c>
      <c r="G288" s="143">
        <v>3765</v>
      </c>
      <c r="H288" s="132">
        <f t="shared" si="42"/>
        <v>46249</v>
      </c>
      <c r="I288" s="140">
        <f t="shared" si="42"/>
        <v>123</v>
      </c>
      <c r="J288" s="9">
        <f t="shared" si="35"/>
        <v>3.2669322709163349</v>
      </c>
      <c r="K288" s="140">
        <f t="shared" si="36"/>
        <v>3</v>
      </c>
      <c r="L288" s="206">
        <f t="shared" si="37"/>
        <v>2.4390243902439024</v>
      </c>
      <c r="M288" s="8" t="str">
        <f t="array" ref="M288">IF(L288&gt;5,"Perlu Sensus",IF(AND(L288&gt;=0,I288&gt;0),"Tetap Deteksi","Belum Deteksi"))</f>
        <v>Tetap Deteksi</v>
      </c>
      <c r="N288" s="132">
        <v>46249</v>
      </c>
      <c r="O288" s="203">
        <v>123</v>
      </c>
      <c r="P288" s="9">
        <f t="array" ref="P288">IFERROR(O288/G288*100,0)</f>
        <v>3.2669322709163349</v>
      </c>
      <c r="Q288" s="203">
        <v>3</v>
      </c>
      <c r="R288" s="9">
        <f t="shared" si="38"/>
        <v>2.4390243902439024</v>
      </c>
      <c r="S288" s="8" t="str">
        <f t="array" ref="S288">IF(R288&gt;5,"Perlu Sensus",IF(AND(R288&gt;=0,O288&gt;0),"Tetap Deteksi","Belum Deteksi"))</f>
        <v>Tetap Deteksi</v>
      </c>
      <c r="T288" s="203">
        <f t="array" ref="T288">INDEX('[20]LS (Deteksi) Agustus'!T$7:T$303,MATCH(1,('[20]LS (Deteksi) Agustus'!$D$7:$D$303=$D288)*('[20]LS (Deteksi) Agustus'!$D$7:$D$303=$D288),0))</f>
        <v>0</v>
      </c>
      <c r="U288" s="9">
        <f t="shared" si="39"/>
        <v>0</v>
      </c>
      <c r="V288" s="132">
        <v>46249</v>
      </c>
      <c r="W288" s="203">
        <v>112</v>
      </c>
      <c r="X288" s="203">
        <v>2</v>
      </c>
      <c r="Y288" s="9">
        <f t="shared" si="40"/>
        <v>1.7857142857142856</v>
      </c>
      <c r="Z288" s="8" t="str">
        <f t="array" ref="Z288">IF(Y288&gt;5,"Perlu Sensus",IF(AND(Y288&gt;0,,O288&gt;0),"Tetap Deteksi","Belum Deteksi"))</f>
        <v>Belum Deteksi</v>
      </c>
      <c r="AA288" s="203">
        <f t="array" ref="AA288">INDEX('[20]LS (Deteksi) Agustus'!AA$7:AA$303,MATCH(1,('[20]LS (Deteksi) Agustus'!$D$7:$D$303=$D288)*('[20]LS (Deteksi) Agustus'!$D$7:$D$303=$D288),0))</f>
        <v>0</v>
      </c>
      <c r="AB288" s="9">
        <f t="shared" si="41"/>
        <v>0</v>
      </c>
    </row>
    <row r="289" spans="1:28" outlineLevel="1" x14ac:dyDescent="0.15">
      <c r="A289" s="8" t="s">
        <v>13</v>
      </c>
      <c r="B289" s="8" t="s">
        <v>47</v>
      </c>
      <c r="C289" s="8" t="s">
        <v>290</v>
      </c>
      <c r="D289" s="8" t="s">
        <v>308</v>
      </c>
      <c r="E289" s="9">
        <v>25.47</v>
      </c>
      <c r="F289" s="8" t="s">
        <v>132</v>
      </c>
      <c r="G289" s="143">
        <v>3761</v>
      </c>
      <c r="H289" s="132">
        <f t="shared" si="42"/>
        <v>46249</v>
      </c>
      <c r="I289" s="140">
        <f t="shared" si="42"/>
        <v>118</v>
      </c>
      <c r="J289" s="9">
        <f t="shared" si="35"/>
        <v>3.1374634405743151</v>
      </c>
      <c r="K289" s="140">
        <f t="shared" si="36"/>
        <v>8</v>
      </c>
      <c r="L289" s="206">
        <f t="shared" si="37"/>
        <v>6.7796610169491522</v>
      </c>
      <c r="M289" s="8" t="str">
        <f t="array" ref="M289">IF(L289&gt;5,"Perlu Sensus",IF(AND(L289&gt;=0,I289&gt;0),"Tetap Deteksi","Belum Deteksi"))</f>
        <v>Perlu Sensus</v>
      </c>
      <c r="N289" s="132">
        <v>46249</v>
      </c>
      <c r="O289" s="203">
        <v>118</v>
      </c>
      <c r="P289" s="9">
        <f t="array" ref="P289">IFERROR(O289/G289*100,0)</f>
        <v>3.1374634405743151</v>
      </c>
      <c r="Q289" s="203">
        <v>8</v>
      </c>
      <c r="R289" s="9">
        <f t="shared" si="38"/>
        <v>6.7796610169491522</v>
      </c>
      <c r="S289" s="8" t="str">
        <f t="array" ref="S289">IF(R289&gt;5,"Perlu Sensus",IF(AND(R289&gt;=0,O289&gt;0),"Tetap Deteksi","Belum Deteksi"))</f>
        <v>Perlu Sensus</v>
      </c>
      <c r="T289" s="203">
        <f t="array" ref="T289">INDEX('[20]LS (Deteksi) Agustus'!T$7:T$303,MATCH(1,('[20]LS (Deteksi) Agustus'!$D$7:$D$303=$D289)*('[20]LS (Deteksi) Agustus'!$D$7:$D$303=$D289),0))</f>
        <v>0</v>
      </c>
      <c r="U289" s="9">
        <f t="shared" si="39"/>
        <v>0</v>
      </c>
      <c r="V289" s="132">
        <v>46249</v>
      </c>
      <c r="W289" s="203">
        <v>140</v>
      </c>
      <c r="X289" s="203">
        <v>8</v>
      </c>
      <c r="Y289" s="9">
        <f t="shared" si="40"/>
        <v>5.7142857142857144</v>
      </c>
      <c r="Z289" s="8" t="str">
        <f t="array" ref="Z289">IF(Y289&gt;5,"Perlu Sensus",IF(AND(Y289&gt;0,,O289&gt;0),"Tetap Deteksi","Belum Deteksi"))</f>
        <v>Perlu Sensus</v>
      </c>
      <c r="AA289" s="203">
        <f t="array" ref="AA289">INDEX('[20]LS (Deteksi) Agustus'!AA$7:AA$303,MATCH(1,('[20]LS (Deteksi) Agustus'!$D$7:$D$303=$D289)*('[20]LS (Deteksi) Agustus'!$D$7:$D$303=$D289),0))</f>
        <v>0</v>
      </c>
      <c r="AB289" s="9">
        <f t="shared" si="41"/>
        <v>0</v>
      </c>
    </row>
    <row r="290" spans="1:28" outlineLevel="1" x14ac:dyDescent="0.15">
      <c r="A290" s="8" t="s">
        <v>13</v>
      </c>
      <c r="B290" s="8" t="s">
        <v>47</v>
      </c>
      <c r="C290" s="8" t="s">
        <v>290</v>
      </c>
      <c r="D290" s="8" t="s">
        <v>309</v>
      </c>
      <c r="E290" s="9">
        <v>27.81</v>
      </c>
      <c r="F290" s="8" t="s">
        <v>132</v>
      </c>
      <c r="G290" s="143">
        <v>4188</v>
      </c>
      <c r="H290" s="132">
        <f t="shared" si="42"/>
        <v>46249</v>
      </c>
      <c r="I290" s="140">
        <f t="shared" si="42"/>
        <v>184</v>
      </c>
      <c r="J290" s="9">
        <f t="shared" si="35"/>
        <v>4.3935052531041068</v>
      </c>
      <c r="K290" s="140">
        <f t="shared" si="36"/>
        <v>11</v>
      </c>
      <c r="L290" s="206">
        <f t="shared" si="37"/>
        <v>5.9782608695652177</v>
      </c>
      <c r="M290" s="8" t="str">
        <f t="array" ref="M290">IF(L290&gt;5,"Perlu Sensus",IF(AND(L290&gt;=0,I290&gt;0),"Tetap Deteksi","Belum Deteksi"))</f>
        <v>Perlu Sensus</v>
      </c>
      <c r="N290" s="132">
        <v>46249</v>
      </c>
      <c r="O290" s="203">
        <v>184</v>
      </c>
      <c r="P290" s="9">
        <f t="array" ref="P290">IFERROR(O290/G290*100,0)</f>
        <v>4.3935052531041068</v>
      </c>
      <c r="Q290" s="203">
        <v>11</v>
      </c>
      <c r="R290" s="9">
        <f t="shared" si="38"/>
        <v>5.9782608695652177</v>
      </c>
      <c r="S290" s="8" t="str">
        <f t="array" ref="S290">IF(R290&gt;5,"Perlu Sensus",IF(AND(R290&gt;=0,O290&gt;0),"Tetap Deteksi","Belum Deteksi"))</f>
        <v>Perlu Sensus</v>
      </c>
      <c r="T290" s="203">
        <f t="array" ref="T290">INDEX('[20]LS (Deteksi) Agustus'!T$7:T$303,MATCH(1,('[20]LS (Deteksi) Agustus'!$D$7:$D$303=$D290)*('[20]LS (Deteksi) Agustus'!$D$7:$D$303=$D290),0))</f>
        <v>0</v>
      </c>
      <c r="U290" s="9">
        <f t="shared" si="39"/>
        <v>0</v>
      </c>
      <c r="V290" s="132">
        <v>46249</v>
      </c>
      <c r="W290" s="203">
        <v>140</v>
      </c>
      <c r="X290" s="203">
        <v>9</v>
      </c>
      <c r="Y290" s="9">
        <f t="shared" si="40"/>
        <v>6.4285714285714279</v>
      </c>
      <c r="Z290" s="8" t="str">
        <f t="array" ref="Z290">IF(Y290&gt;5,"Perlu Sensus",IF(AND(Y290&gt;0,,O290&gt;0),"Tetap Deteksi","Belum Deteksi"))</f>
        <v>Perlu Sensus</v>
      </c>
      <c r="AA290" s="203">
        <f t="array" ref="AA290">INDEX('[20]LS (Deteksi) Agustus'!AA$7:AA$303,MATCH(1,('[20]LS (Deteksi) Agustus'!$D$7:$D$303=$D290)*('[20]LS (Deteksi) Agustus'!$D$7:$D$303=$D290),0))</f>
        <v>0</v>
      </c>
      <c r="AB290" s="9">
        <f t="shared" si="41"/>
        <v>0</v>
      </c>
    </row>
    <row r="291" spans="1:28" outlineLevel="1" x14ac:dyDescent="0.15">
      <c r="A291" s="8" t="s">
        <v>13</v>
      </c>
      <c r="B291" s="8" t="s">
        <v>47</v>
      </c>
      <c r="C291" s="8" t="s">
        <v>290</v>
      </c>
      <c r="D291" s="8" t="s">
        <v>310</v>
      </c>
      <c r="E291" s="9">
        <v>29.78</v>
      </c>
      <c r="F291" s="8" t="s">
        <v>132</v>
      </c>
      <c r="G291" s="143">
        <v>4040</v>
      </c>
      <c r="H291" s="132">
        <f t="shared" si="42"/>
        <v>46249</v>
      </c>
      <c r="I291" s="140">
        <f t="shared" si="42"/>
        <v>128</v>
      </c>
      <c r="J291" s="9">
        <f t="shared" si="35"/>
        <v>3.1683168316831685</v>
      </c>
      <c r="K291" s="140">
        <f t="shared" si="36"/>
        <v>9</v>
      </c>
      <c r="L291" s="206">
        <f t="shared" si="37"/>
        <v>7.03125</v>
      </c>
      <c r="M291" s="8" t="str">
        <f t="array" ref="M291">IF(L291&gt;5,"Perlu Sensus",IF(AND(L291&gt;=0,I291&gt;0),"Tetap Deteksi","Belum Deteksi"))</f>
        <v>Perlu Sensus</v>
      </c>
      <c r="N291" s="132">
        <v>46249</v>
      </c>
      <c r="O291" s="203">
        <v>128</v>
      </c>
      <c r="P291" s="9">
        <f t="array" ref="P291">IFERROR(O291/G291*100,0)</f>
        <v>3.1683168316831685</v>
      </c>
      <c r="Q291" s="203">
        <v>9</v>
      </c>
      <c r="R291" s="9">
        <f t="shared" si="38"/>
        <v>7.03125</v>
      </c>
      <c r="S291" s="8" t="str">
        <f t="array" ref="S291">IF(R291&gt;5,"Perlu Sensus",IF(AND(R291&gt;=0,O291&gt;0),"Tetap Deteksi","Belum Deteksi"))</f>
        <v>Perlu Sensus</v>
      </c>
      <c r="T291" s="203">
        <f t="array" ref="T291">INDEX('[20]LS (Deteksi) Agustus'!T$7:T$303,MATCH(1,('[20]LS (Deteksi) Agustus'!$D$7:$D$303=$D291)*('[20]LS (Deteksi) Agustus'!$D$7:$D$303=$D291),0))</f>
        <v>0</v>
      </c>
      <c r="U291" s="9">
        <f t="shared" si="39"/>
        <v>0</v>
      </c>
      <c r="V291" s="132">
        <v>46249</v>
      </c>
      <c r="W291" s="203">
        <v>150</v>
      </c>
      <c r="X291" s="203">
        <v>9</v>
      </c>
      <c r="Y291" s="9">
        <f t="shared" si="40"/>
        <v>6</v>
      </c>
      <c r="Z291" s="8" t="str">
        <f t="array" ref="Z291">IF(Y291&gt;5,"Perlu Sensus",IF(AND(Y291&gt;0,,O291&gt;0),"Tetap Deteksi","Belum Deteksi"))</f>
        <v>Perlu Sensus</v>
      </c>
      <c r="AA291" s="203">
        <f t="array" ref="AA291">INDEX('[20]LS (Deteksi) Agustus'!AA$7:AA$303,MATCH(1,('[20]LS (Deteksi) Agustus'!$D$7:$D$303=$D291)*('[20]LS (Deteksi) Agustus'!$D$7:$D$303=$D291),0))</f>
        <v>0</v>
      </c>
      <c r="AB291" s="9">
        <f t="shared" si="41"/>
        <v>0</v>
      </c>
    </row>
    <row r="292" spans="1:28" outlineLevel="1" x14ac:dyDescent="0.15">
      <c r="A292" s="8" t="s">
        <v>13</v>
      </c>
      <c r="B292" s="8" t="s">
        <v>47</v>
      </c>
      <c r="C292" s="8" t="s">
        <v>290</v>
      </c>
      <c r="D292" s="8" t="s">
        <v>311</v>
      </c>
      <c r="E292" s="9">
        <v>33</v>
      </c>
      <c r="F292" s="8" t="s">
        <v>132</v>
      </c>
      <c r="G292" s="143">
        <v>4665</v>
      </c>
      <c r="H292" s="132">
        <f t="shared" si="42"/>
        <v>46249</v>
      </c>
      <c r="I292" s="140">
        <f t="shared" si="42"/>
        <v>129</v>
      </c>
      <c r="J292" s="9">
        <f t="shared" si="35"/>
        <v>2.765273311897106</v>
      </c>
      <c r="K292" s="140">
        <f t="shared" si="36"/>
        <v>10</v>
      </c>
      <c r="L292" s="206">
        <f t="shared" si="37"/>
        <v>7.7519379844961236</v>
      </c>
      <c r="M292" s="8" t="str">
        <f t="array" ref="M292">IF(L292&gt;5,"Perlu Sensus",IF(AND(L292&gt;=0,I292&gt;0),"Tetap Deteksi","Belum Deteksi"))</f>
        <v>Perlu Sensus</v>
      </c>
      <c r="N292" s="132">
        <v>46249</v>
      </c>
      <c r="O292" s="203">
        <v>129</v>
      </c>
      <c r="P292" s="9">
        <f t="array" ref="P292">IFERROR(O292/G292*100,0)</f>
        <v>2.765273311897106</v>
      </c>
      <c r="Q292" s="203">
        <v>10</v>
      </c>
      <c r="R292" s="9">
        <f t="shared" si="38"/>
        <v>7.7519379844961236</v>
      </c>
      <c r="S292" s="8" t="str">
        <f t="array" ref="S292">IF(R292&gt;5,"Perlu Sensus",IF(AND(R292&gt;=0,O292&gt;0),"Tetap Deteksi","Belum Deteksi"))</f>
        <v>Perlu Sensus</v>
      </c>
      <c r="T292" s="203">
        <f t="array" ref="T292">INDEX('[20]LS (Deteksi) Agustus'!T$7:T$303,MATCH(1,('[20]LS (Deteksi) Agustus'!$D$7:$D$303=$D292)*('[20]LS (Deteksi) Agustus'!$D$7:$D$303=$D292),0))</f>
        <v>0</v>
      </c>
      <c r="U292" s="9">
        <f t="shared" si="39"/>
        <v>0</v>
      </c>
      <c r="V292" s="132">
        <v>46249</v>
      </c>
      <c r="W292" s="203">
        <v>142</v>
      </c>
      <c r="X292" s="203">
        <v>10</v>
      </c>
      <c r="Y292" s="9">
        <f t="shared" si="40"/>
        <v>7.042253521126761</v>
      </c>
      <c r="Z292" s="8" t="str">
        <f t="array" ref="Z292">IF(Y292&gt;5,"Perlu Sensus",IF(AND(Y292&gt;0,,O292&gt;0),"Tetap Deteksi","Belum Deteksi"))</f>
        <v>Perlu Sensus</v>
      </c>
      <c r="AA292" s="203">
        <f t="array" ref="AA292">INDEX('[20]LS (Deteksi) Agustus'!AA$7:AA$303,MATCH(1,('[20]LS (Deteksi) Agustus'!$D$7:$D$303=$D292)*('[20]LS (Deteksi) Agustus'!$D$7:$D$303=$D292),0))</f>
        <v>0</v>
      </c>
      <c r="AB292" s="9">
        <f t="shared" si="41"/>
        <v>0</v>
      </c>
    </row>
    <row r="293" spans="1:28" outlineLevel="1" x14ac:dyDescent="0.15">
      <c r="A293" s="8" t="s">
        <v>13</v>
      </c>
      <c r="B293" s="8" t="s">
        <v>47</v>
      </c>
      <c r="C293" s="8" t="s">
        <v>290</v>
      </c>
      <c r="D293" s="8" t="s">
        <v>312</v>
      </c>
      <c r="E293" s="9">
        <v>31.08</v>
      </c>
      <c r="F293" s="8" t="s">
        <v>132</v>
      </c>
      <c r="G293" s="143">
        <v>4604</v>
      </c>
      <c r="H293" s="132">
        <f t="shared" si="42"/>
        <v>46249</v>
      </c>
      <c r="I293" s="140">
        <f t="shared" si="42"/>
        <v>120</v>
      </c>
      <c r="J293" s="9">
        <f t="shared" si="35"/>
        <v>2.6064291920069502</v>
      </c>
      <c r="K293" s="140">
        <f t="shared" si="36"/>
        <v>2</v>
      </c>
      <c r="L293" s="206">
        <f t="shared" si="37"/>
        <v>1.6666666666666667</v>
      </c>
      <c r="M293" s="8" t="str">
        <f t="array" ref="M293">IF(L293&gt;5,"Perlu Sensus",IF(AND(L293&gt;=0,I293&gt;0),"Tetap Deteksi","Belum Deteksi"))</f>
        <v>Tetap Deteksi</v>
      </c>
      <c r="N293" s="132">
        <v>46249</v>
      </c>
      <c r="O293" s="203">
        <v>120</v>
      </c>
      <c r="P293" s="9">
        <f t="array" ref="P293">IFERROR(O293/G293*100,0)</f>
        <v>2.6064291920069502</v>
      </c>
      <c r="Q293" s="203">
        <v>2</v>
      </c>
      <c r="R293" s="9">
        <f t="shared" si="38"/>
        <v>1.6666666666666667</v>
      </c>
      <c r="S293" s="8" t="str">
        <f t="array" ref="S293">IF(R293&gt;5,"Perlu Sensus",IF(AND(R293&gt;=0,O293&gt;0),"Tetap Deteksi","Belum Deteksi"))</f>
        <v>Tetap Deteksi</v>
      </c>
      <c r="T293" s="203">
        <f t="array" ref="T293">INDEX('[20]LS (Deteksi) Agustus'!T$7:T$303,MATCH(1,('[20]LS (Deteksi) Agustus'!$D$7:$D$303=$D293)*('[20]LS (Deteksi) Agustus'!$D$7:$D$303=$D293),0))</f>
        <v>0</v>
      </c>
      <c r="U293" s="9">
        <f t="shared" si="39"/>
        <v>0</v>
      </c>
      <c r="V293" s="132">
        <v>46249</v>
      </c>
      <c r="W293" s="203">
        <v>123</v>
      </c>
      <c r="X293" s="203">
        <v>3</v>
      </c>
      <c r="Y293" s="9">
        <f t="shared" si="40"/>
        <v>2.4390243902439024</v>
      </c>
      <c r="Z293" s="8" t="str">
        <f t="array" ref="Z293">IF(Y293&gt;5,"Perlu Sensus",IF(AND(Y293&gt;0,,O293&gt;0),"Tetap Deteksi","Belum Deteksi"))</f>
        <v>Belum Deteksi</v>
      </c>
      <c r="AA293" s="203">
        <f t="array" ref="AA293">INDEX('[20]LS (Deteksi) Agustus'!AA$7:AA$303,MATCH(1,('[20]LS (Deteksi) Agustus'!$D$7:$D$303=$D293)*('[20]LS (Deteksi) Agustus'!$D$7:$D$303=$D293),0))</f>
        <v>0</v>
      </c>
      <c r="AB293" s="9">
        <f t="shared" si="41"/>
        <v>0</v>
      </c>
    </row>
    <row r="294" spans="1:28" outlineLevel="1" x14ac:dyDescent="0.15">
      <c r="A294" s="8" t="s">
        <v>13</v>
      </c>
      <c r="B294" s="8" t="s">
        <v>47</v>
      </c>
      <c r="C294" s="8" t="s">
        <v>290</v>
      </c>
      <c r="D294" s="8" t="s">
        <v>313</v>
      </c>
      <c r="E294" s="9">
        <v>35.64</v>
      </c>
      <c r="F294" s="8" t="s">
        <v>132</v>
      </c>
      <c r="G294" s="143">
        <v>5082</v>
      </c>
      <c r="H294" s="132">
        <f t="shared" si="42"/>
        <v>46249</v>
      </c>
      <c r="I294" s="140">
        <f t="shared" si="42"/>
        <v>123</v>
      </c>
      <c r="J294" s="9">
        <f t="shared" si="35"/>
        <v>2.4203069657615113</v>
      </c>
      <c r="K294" s="140">
        <f t="shared" si="36"/>
        <v>4</v>
      </c>
      <c r="L294" s="206">
        <f t="shared" si="37"/>
        <v>3.2520325203252036</v>
      </c>
      <c r="M294" s="8" t="str">
        <f t="array" ref="M294">IF(L294&gt;5,"Perlu Sensus",IF(AND(L294&gt;=0,I294&gt;0),"Tetap Deteksi","Belum Deteksi"))</f>
        <v>Tetap Deteksi</v>
      </c>
      <c r="N294" s="132">
        <v>46249</v>
      </c>
      <c r="O294" s="203">
        <v>123</v>
      </c>
      <c r="P294" s="9">
        <f t="array" ref="P294">IFERROR(O294/G294*100,0)</f>
        <v>2.4203069657615113</v>
      </c>
      <c r="Q294" s="203">
        <v>4</v>
      </c>
      <c r="R294" s="9">
        <f t="shared" si="38"/>
        <v>3.2520325203252036</v>
      </c>
      <c r="S294" s="8" t="str">
        <f t="array" ref="S294">IF(R294&gt;5,"Perlu Sensus",IF(AND(R294&gt;=0,O294&gt;0),"Tetap Deteksi","Belum Deteksi"))</f>
        <v>Tetap Deteksi</v>
      </c>
      <c r="T294" s="203">
        <f t="array" ref="T294">INDEX('[20]LS (Deteksi) Agustus'!T$7:T$303,MATCH(1,('[20]LS (Deteksi) Agustus'!$D$7:$D$303=$D294)*('[20]LS (Deteksi) Agustus'!$D$7:$D$303=$D294),0))</f>
        <v>0</v>
      </c>
      <c r="U294" s="9">
        <f t="shared" si="39"/>
        <v>0</v>
      </c>
      <c r="V294" s="132">
        <v>46249</v>
      </c>
      <c r="W294" s="203">
        <v>122</v>
      </c>
      <c r="X294" s="203">
        <v>3</v>
      </c>
      <c r="Y294" s="9">
        <f t="shared" si="40"/>
        <v>2.459016393442623</v>
      </c>
      <c r="Z294" s="8" t="str">
        <f t="array" ref="Z294">IF(Y294&gt;5,"Perlu Sensus",IF(AND(Y294&gt;0,,O294&gt;0),"Tetap Deteksi","Belum Deteksi"))</f>
        <v>Belum Deteksi</v>
      </c>
      <c r="AA294" s="203">
        <f t="array" ref="AA294">INDEX('[20]LS (Deteksi) Agustus'!AA$7:AA$303,MATCH(1,('[20]LS (Deteksi) Agustus'!$D$7:$D$303=$D294)*('[20]LS (Deteksi) Agustus'!$D$7:$D$303=$D294),0))</f>
        <v>0</v>
      </c>
      <c r="AB294" s="9">
        <f t="shared" si="41"/>
        <v>0</v>
      </c>
    </row>
    <row r="295" spans="1:28" outlineLevel="1" x14ac:dyDescent="0.15">
      <c r="A295" s="8" t="s">
        <v>13</v>
      </c>
      <c r="B295" s="8" t="s">
        <v>47</v>
      </c>
      <c r="C295" s="8" t="s">
        <v>290</v>
      </c>
      <c r="D295" s="8" t="s">
        <v>314</v>
      </c>
      <c r="E295" s="9">
        <v>33.86</v>
      </c>
      <c r="F295" s="8" t="s">
        <v>132</v>
      </c>
      <c r="G295" s="143">
        <v>4957</v>
      </c>
      <c r="H295" s="132">
        <f t="shared" si="42"/>
        <v>46249</v>
      </c>
      <c r="I295" s="140">
        <f t="shared" si="42"/>
        <v>119</v>
      </c>
      <c r="J295" s="9">
        <f t="shared" si="35"/>
        <v>2.4006455517450074</v>
      </c>
      <c r="K295" s="140">
        <f t="shared" si="36"/>
        <v>2</v>
      </c>
      <c r="L295" s="206">
        <f t="shared" si="37"/>
        <v>1.680672268907563</v>
      </c>
      <c r="M295" s="8" t="str">
        <f t="array" ref="M295">IF(L295&gt;5,"Perlu Sensus",IF(AND(L295&gt;=0,I295&gt;0),"Tetap Deteksi","Belum Deteksi"))</f>
        <v>Tetap Deteksi</v>
      </c>
      <c r="N295" s="132">
        <v>46249</v>
      </c>
      <c r="O295" s="203">
        <v>119</v>
      </c>
      <c r="P295" s="9">
        <f t="array" ref="P295">IFERROR(O295/G295*100,0)</f>
        <v>2.4006455517450074</v>
      </c>
      <c r="Q295" s="203">
        <v>2</v>
      </c>
      <c r="R295" s="9">
        <f t="shared" si="38"/>
        <v>1.680672268907563</v>
      </c>
      <c r="S295" s="8" t="str">
        <f t="array" ref="S295">IF(R295&gt;5,"Perlu Sensus",IF(AND(R295&gt;=0,O295&gt;0),"Tetap Deteksi","Belum Deteksi"))</f>
        <v>Tetap Deteksi</v>
      </c>
      <c r="T295" s="203">
        <f t="array" ref="T295">INDEX('[20]LS (Deteksi) Agustus'!T$7:T$303,MATCH(1,('[20]LS (Deteksi) Agustus'!$D$7:$D$303=$D295)*('[20]LS (Deteksi) Agustus'!$D$7:$D$303=$D295),0))</f>
        <v>0</v>
      </c>
      <c r="U295" s="9">
        <f t="shared" si="39"/>
        <v>0</v>
      </c>
      <c r="V295" s="132">
        <v>46249</v>
      </c>
      <c r="W295" s="203">
        <v>108</v>
      </c>
      <c r="X295" s="203">
        <v>2</v>
      </c>
      <c r="Y295" s="9">
        <f t="shared" si="40"/>
        <v>1.8518518518518516</v>
      </c>
      <c r="Z295" s="8" t="str">
        <f t="array" ref="Z295">IF(Y295&gt;5,"Perlu Sensus",IF(AND(Y295&gt;0,,O295&gt;0),"Tetap Deteksi","Belum Deteksi"))</f>
        <v>Belum Deteksi</v>
      </c>
      <c r="AA295" s="203">
        <f t="array" ref="AA295">INDEX('[20]LS (Deteksi) Agustus'!AA$7:AA$303,MATCH(1,('[20]LS (Deteksi) Agustus'!$D$7:$D$303=$D295)*('[20]LS (Deteksi) Agustus'!$D$7:$D$303=$D295),0))</f>
        <v>0</v>
      </c>
      <c r="AB295" s="9">
        <f t="shared" si="41"/>
        <v>0</v>
      </c>
    </row>
    <row r="296" spans="1:28" outlineLevel="1" x14ac:dyDescent="0.15">
      <c r="A296" s="8" t="s">
        <v>13</v>
      </c>
      <c r="B296" s="8" t="s">
        <v>47</v>
      </c>
      <c r="C296" s="8" t="s">
        <v>290</v>
      </c>
      <c r="D296" s="8" t="s">
        <v>315</v>
      </c>
      <c r="E296" s="9">
        <v>34.22</v>
      </c>
      <c r="F296" s="8" t="s">
        <v>132</v>
      </c>
      <c r="G296" s="143">
        <v>4651</v>
      </c>
      <c r="H296" s="132">
        <f t="shared" si="42"/>
        <v>46235</v>
      </c>
      <c r="I296" s="140">
        <f t="shared" si="42"/>
        <v>56</v>
      </c>
      <c r="J296" s="9">
        <f t="shared" si="35"/>
        <v>1.2040421414749516</v>
      </c>
      <c r="K296" s="140">
        <f t="shared" si="36"/>
        <v>9</v>
      </c>
      <c r="L296" s="206">
        <f t="shared" si="37"/>
        <v>16.071428571428573</v>
      </c>
      <c r="M296" s="8" t="str">
        <f t="array" ref="M296">IF(L296&gt;5,"Perlu Sensus",IF(AND(L296&gt;=0,I296&gt;0),"Tetap Deteksi","Belum Deteksi"))</f>
        <v>Perlu Sensus</v>
      </c>
      <c r="N296" s="132">
        <v>46235</v>
      </c>
      <c r="O296" s="203">
        <v>56</v>
      </c>
      <c r="P296" s="9">
        <f t="array" ref="P296">IFERROR(O296/G296*100,0)</f>
        <v>1.2040421414749516</v>
      </c>
      <c r="Q296" s="203">
        <v>9</v>
      </c>
      <c r="R296" s="9">
        <f t="shared" si="38"/>
        <v>16.071428571428573</v>
      </c>
      <c r="S296" s="8" t="str">
        <f t="array" ref="S296">IF(R296&gt;5,"Perlu Sensus",IF(AND(R296&gt;=0,O296&gt;0),"Tetap Deteksi","Belum Deteksi"))</f>
        <v>Perlu Sensus</v>
      </c>
      <c r="T296" s="203">
        <f t="array" ref="T296">INDEX('[20]LS (Deteksi) Agustus'!T$7:T$303,MATCH(1,('[20]LS (Deteksi) Agustus'!$D$7:$D$303=$D296)*('[20]LS (Deteksi) Agustus'!$D$7:$D$303=$D296),0))</f>
        <v>0</v>
      </c>
      <c r="U296" s="9">
        <f t="shared" si="39"/>
        <v>0</v>
      </c>
      <c r="V296" s="132">
        <v>46235</v>
      </c>
      <c r="W296" s="203">
        <v>213</v>
      </c>
      <c r="X296" s="203">
        <v>13</v>
      </c>
      <c r="Y296" s="9">
        <f t="shared" si="40"/>
        <v>6.103286384976526</v>
      </c>
      <c r="Z296" s="8" t="str">
        <f t="array" ref="Z296">IF(Y296&gt;5,"Perlu Sensus",IF(AND(Y296&gt;0,,O296&gt;0),"Tetap Deteksi","Belum Deteksi"))</f>
        <v>Perlu Sensus</v>
      </c>
      <c r="AA296" s="203">
        <f t="array" ref="AA296">INDEX('[20]LS (Deteksi) Agustus'!AA$7:AA$303,MATCH(1,('[20]LS (Deteksi) Agustus'!$D$7:$D$303=$D296)*('[20]LS (Deteksi) Agustus'!$D$7:$D$303=$D296),0))</f>
        <v>0</v>
      </c>
      <c r="AB296" s="9">
        <f t="shared" si="41"/>
        <v>0</v>
      </c>
    </row>
    <row r="297" spans="1:28" outlineLevel="1" x14ac:dyDescent="0.15">
      <c r="A297" s="8" t="s">
        <v>13</v>
      </c>
      <c r="B297" s="8" t="s">
        <v>47</v>
      </c>
      <c r="C297" s="8" t="s">
        <v>290</v>
      </c>
      <c r="D297" s="8" t="s">
        <v>316</v>
      </c>
      <c r="E297" s="9">
        <v>32.93</v>
      </c>
      <c r="F297" s="8" t="s">
        <v>132</v>
      </c>
      <c r="G297" s="143">
        <v>4834</v>
      </c>
      <c r="H297" s="132">
        <f t="shared" si="42"/>
        <v>46235</v>
      </c>
      <c r="I297" s="140">
        <f t="shared" si="42"/>
        <v>55</v>
      </c>
      <c r="J297" s="9">
        <f t="shared" si="35"/>
        <v>1.1377741001241208</v>
      </c>
      <c r="K297" s="140">
        <f t="shared" si="36"/>
        <v>7</v>
      </c>
      <c r="L297" s="206">
        <f t="shared" si="37"/>
        <v>12.727272727272727</v>
      </c>
      <c r="M297" s="8" t="str">
        <f t="array" ref="M297">IF(L297&gt;5,"Perlu Sensus",IF(AND(L297&gt;=0,I297&gt;0),"Tetap Deteksi","Belum Deteksi"))</f>
        <v>Perlu Sensus</v>
      </c>
      <c r="N297" s="132">
        <v>46235</v>
      </c>
      <c r="O297" s="203">
        <v>55</v>
      </c>
      <c r="P297" s="9">
        <f t="array" ref="P297">IFERROR(O297/G297*100,0)</f>
        <v>1.1377741001241208</v>
      </c>
      <c r="Q297" s="203">
        <v>7</v>
      </c>
      <c r="R297" s="9">
        <f t="shared" si="38"/>
        <v>12.727272727272727</v>
      </c>
      <c r="S297" s="8" t="str">
        <f t="array" ref="S297">IF(R297&gt;5,"Perlu Sensus",IF(AND(R297&gt;=0,O297&gt;0),"Tetap Deteksi","Belum Deteksi"))</f>
        <v>Perlu Sensus</v>
      </c>
      <c r="T297" s="203">
        <f t="array" ref="T297">INDEX('[20]LS (Deteksi) Agustus'!T$7:T$303,MATCH(1,('[20]LS (Deteksi) Agustus'!$D$7:$D$303=$D297)*('[20]LS (Deteksi) Agustus'!$D$7:$D$303=$D297),0))</f>
        <v>0</v>
      </c>
      <c r="U297" s="9">
        <f t="shared" si="39"/>
        <v>0</v>
      </c>
      <c r="V297" s="132">
        <v>46235</v>
      </c>
      <c r="W297" s="203">
        <v>210</v>
      </c>
      <c r="X297" s="203">
        <v>21</v>
      </c>
      <c r="Y297" s="9">
        <f t="shared" si="40"/>
        <v>10</v>
      </c>
      <c r="Z297" s="8" t="str">
        <f t="array" ref="Z297">IF(Y297&gt;5,"Perlu Sensus",IF(AND(Y297&gt;0,,O297&gt;0),"Tetap Deteksi","Belum Deteksi"))</f>
        <v>Perlu Sensus</v>
      </c>
      <c r="AA297" s="203">
        <f t="array" ref="AA297">INDEX('[20]LS (Deteksi) Agustus'!AA$7:AA$303,MATCH(1,('[20]LS (Deteksi) Agustus'!$D$7:$D$303=$D297)*('[20]LS (Deteksi) Agustus'!$D$7:$D$303=$D297),0))</f>
        <v>0</v>
      </c>
      <c r="AB297" s="9">
        <f t="shared" si="41"/>
        <v>0</v>
      </c>
    </row>
    <row r="298" spans="1:28" outlineLevel="1" x14ac:dyDescent="0.15">
      <c r="A298" s="8" t="s">
        <v>13</v>
      </c>
      <c r="B298" s="8" t="s">
        <v>47</v>
      </c>
      <c r="C298" s="8" t="s">
        <v>290</v>
      </c>
      <c r="D298" s="8" t="s">
        <v>317</v>
      </c>
      <c r="E298" s="9">
        <v>32.49</v>
      </c>
      <c r="F298" s="8" t="s">
        <v>132</v>
      </c>
      <c r="G298" s="143">
        <v>4416</v>
      </c>
      <c r="H298" s="132">
        <f t="shared" si="42"/>
        <v>46249</v>
      </c>
      <c r="I298" s="140">
        <f t="shared" si="42"/>
        <v>158</v>
      </c>
      <c r="J298" s="9">
        <f t="shared" si="35"/>
        <v>3.5778985507246377</v>
      </c>
      <c r="K298" s="140">
        <f t="shared" si="36"/>
        <v>8</v>
      </c>
      <c r="L298" s="206">
        <f t="shared" si="37"/>
        <v>5.0632911392405067</v>
      </c>
      <c r="M298" s="8" t="str">
        <f t="array" ref="M298">IF(L298&gt;5,"Perlu Sensus",IF(AND(L298&gt;=0,I298&gt;0),"Tetap Deteksi","Belum Deteksi"))</f>
        <v>Perlu Sensus</v>
      </c>
      <c r="N298" s="132">
        <v>46249</v>
      </c>
      <c r="O298" s="203">
        <v>158</v>
      </c>
      <c r="P298" s="9">
        <f t="array" ref="P298">IFERROR(O298/G298*100,0)</f>
        <v>3.5778985507246377</v>
      </c>
      <c r="Q298" s="203">
        <v>8</v>
      </c>
      <c r="R298" s="9">
        <f t="shared" si="38"/>
        <v>5.0632911392405067</v>
      </c>
      <c r="S298" s="8" t="str">
        <f t="array" ref="S298">IF(R298&gt;5,"Perlu Sensus",IF(AND(R298&gt;=0,O298&gt;0),"Tetap Deteksi","Belum Deteksi"))</f>
        <v>Perlu Sensus</v>
      </c>
      <c r="T298" s="203">
        <f t="array" ref="T298">INDEX('[20]LS (Deteksi) Agustus'!T$7:T$303,MATCH(1,('[20]LS (Deteksi) Agustus'!$D$7:$D$303=$D298)*('[20]LS (Deteksi) Agustus'!$D$7:$D$303=$D298),0))</f>
        <v>0</v>
      </c>
      <c r="U298" s="9">
        <f t="shared" si="39"/>
        <v>0</v>
      </c>
      <c r="V298" s="132">
        <v>46249</v>
      </c>
      <c r="W298" s="203">
        <v>98</v>
      </c>
      <c r="X298" s="203">
        <v>8</v>
      </c>
      <c r="Y298" s="9">
        <f t="shared" si="40"/>
        <v>8.1632653061224492</v>
      </c>
      <c r="Z298" s="8" t="str">
        <f t="array" ref="Z298">IF(Y298&gt;5,"Perlu Sensus",IF(AND(Y298&gt;0,,O298&gt;0),"Tetap Deteksi","Belum Deteksi"))</f>
        <v>Perlu Sensus</v>
      </c>
      <c r="AA298" s="203">
        <f t="array" ref="AA298">INDEX('[20]LS (Deteksi) Agustus'!AA$7:AA$303,MATCH(1,('[20]LS (Deteksi) Agustus'!$D$7:$D$303=$D298)*('[20]LS (Deteksi) Agustus'!$D$7:$D$303=$D298),0))</f>
        <v>0</v>
      </c>
      <c r="AB298" s="9">
        <f t="shared" si="41"/>
        <v>0</v>
      </c>
    </row>
    <row r="299" spans="1:28" outlineLevel="1" x14ac:dyDescent="0.15">
      <c r="A299" s="8" t="s">
        <v>13</v>
      </c>
      <c r="B299" s="8" t="s">
        <v>47</v>
      </c>
      <c r="C299" s="8" t="s">
        <v>290</v>
      </c>
      <c r="D299" s="8" t="s">
        <v>318</v>
      </c>
      <c r="E299" s="9">
        <v>36.159999999999997</v>
      </c>
      <c r="F299" s="8" t="s">
        <v>132</v>
      </c>
      <c r="G299" s="143">
        <v>4558</v>
      </c>
      <c r="H299" s="132">
        <f t="shared" si="42"/>
        <v>46249</v>
      </c>
      <c r="I299" s="140">
        <f t="shared" si="42"/>
        <v>142</v>
      </c>
      <c r="J299" s="9">
        <f t="shared" si="35"/>
        <v>3.1154014918824044</v>
      </c>
      <c r="K299" s="140">
        <f t="shared" si="36"/>
        <v>10</v>
      </c>
      <c r="L299" s="206">
        <f t="shared" si="37"/>
        <v>7.042253521126761</v>
      </c>
      <c r="M299" s="8" t="str">
        <f t="array" ref="M299">IF(L299&gt;5,"Perlu Sensus",IF(AND(L299&gt;=0,I299&gt;0),"Tetap Deteksi","Belum Deteksi"))</f>
        <v>Perlu Sensus</v>
      </c>
      <c r="N299" s="132">
        <v>46249</v>
      </c>
      <c r="O299" s="203">
        <v>142</v>
      </c>
      <c r="P299" s="9">
        <f t="array" ref="P299">IFERROR(O299/G299*100,0)</f>
        <v>3.1154014918824044</v>
      </c>
      <c r="Q299" s="203">
        <v>10</v>
      </c>
      <c r="R299" s="9">
        <f t="shared" si="38"/>
        <v>7.042253521126761</v>
      </c>
      <c r="S299" s="8" t="str">
        <f t="array" ref="S299">IF(R299&gt;5,"Perlu Sensus",IF(AND(R299&gt;=0,O299&gt;0),"Tetap Deteksi","Belum Deteksi"))</f>
        <v>Perlu Sensus</v>
      </c>
      <c r="T299" s="203">
        <f t="array" ref="T299">INDEX('[20]LS (Deteksi) Agustus'!T$7:T$303,MATCH(1,('[20]LS (Deteksi) Agustus'!$D$7:$D$303=$D299)*('[20]LS (Deteksi) Agustus'!$D$7:$D$303=$D299),0))</f>
        <v>0</v>
      </c>
      <c r="U299" s="9">
        <f t="shared" si="39"/>
        <v>0</v>
      </c>
      <c r="V299" s="132">
        <v>46249</v>
      </c>
      <c r="W299" s="203">
        <v>95</v>
      </c>
      <c r="X299" s="203">
        <v>5</v>
      </c>
      <c r="Y299" s="9">
        <f t="shared" si="40"/>
        <v>5.2631578947368416</v>
      </c>
      <c r="Z299" s="8" t="str">
        <f t="array" ref="Z299">IF(Y299&gt;5,"Perlu Sensus",IF(AND(Y299&gt;0,,O299&gt;0),"Tetap Deteksi","Belum Deteksi"))</f>
        <v>Perlu Sensus</v>
      </c>
      <c r="AA299" s="203">
        <f t="array" ref="AA299">INDEX('[20]LS (Deteksi) Agustus'!AA$7:AA$303,MATCH(1,('[20]LS (Deteksi) Agustus'!$D$7:$D$303=$D299)*('[20]LS (Deteksi) Agustus'!$D$7:$D$303=$D299),0))</f>
        <v>0</v>
      </c>
      <c r="AB299" s="9">
        <f t="shared" si="41"/>
        <v>0</v>
      </c>
    </row>
    <row r="300" spans="1:28" outlineLevel="1" x14ac:dyDescent="0.15">
      <c r="A300" s="8" t="s">
        <v>13</v>
      </c>
      <c r="B300" s="8" t="s">
        <v>47</v>
      </c>
      <c r="C300" s="8" t="s">
        <v>290</v>
      </c>
      <c r="D300" s="8" t="s">
        <v>319</v>
      </c>
      <c r="E300" s="9">
        <v>31.4</v>
      </c>
      <c r="F300" s="8" t="s">
        <v>132</v>
      </c>
      <c r="G300" s="143">
        <v>4325</v>
      </c>
      <c r="H300" s="132">
        <f t="shared" ref="H300:I363" si="43">IF(N300&gt;0,N300,V300)</f>
        <v>46248</v>
      </c>
      <c r="I300" s="140">
        <f t="shared" si="43"/>
        <v>134</v>
      </c>
      <c r="J300" s="9">
        <f t="shared" si="35"/>
        <v>3.098265895953757</v>
      </c>
      <c r="K300" s="140">
        <f t="shared" si="36"/>
        <v>12</v>
      </c>
      <c r="L300" s="206">
        <f t="shared" si="37"/>
        <v>8.9552238805970141</v>
      </c>
      <c r="M300" s="8" t="str">
        <f t="array" ref="M300">IF(L300&gt;5,"Perlu Sensus",IF(AND(L300&gt;=0,I300&gt;0),"Tetap Deteksi","Belum Deteksi"))</f>
        <v>Perlu Sensus</v>
      </c>
      <c r="N300" s="132">
        <v>46248</v>
      </c>
      <c r="O300" s="203">
        <v>134</v>
      </c>
      <c r="P300" s="9">
        <f t="array" ref="P300">IFERROR(O300/G300*100,0)</f>
        <v>3.098265895953757</v>
      </c>
      <c r="Q300" s="203">
        <v>12</v>
      </c>
      <c r="R300" s="9">
        <f t="shared" si="38"/>
        <v>8.9552238805970141</v>
      </c>
      <c r="S300" s="8" t="str">
        <f t="array" ref="S300">IF(R300&gt;5,"Perlu Sensus",IF(AND(R300&gt;=0,O300&gt;0),"Tetap Deteksi","Belum Deteksi"))</f>
        <v>Perlu Sensus</v>
      </c>
      <c r="T300" s="203">
        <f t="array" ref="T300">INDEX('[20]LS (Deteksi) Agustus'!T$7:T$303,MATCH(1,('[20]LS (Deteksi) Agustus'!$D$7:$D$303=$D300)*('[20]LS (Deteksi) Agustus'!$D$7:$D$303=$D300),0))</f>
        <v>0</v>
      </c>
      <c r="U300" s="9">
        <f t="shared" si="39"/>
        <v>0</v>
      </c>
      <c r="V300" s="132">
        <v>46249</v>
      </c>
      <c r="W300" s="203">
        <v>108</v>
      </c>
      <c r="X300" s="203">
        <v>8</v>
      </c>
      <c r="Y300" s="9">
        <f t="shared" si="40"/>
        <v>7.4074074074074066</v>
      </c>
      <c r="Z300" s="8" t="str">
        <f t="array" ref="Z300">IF(Y300&gt;5,"Perlu Sensus",IF(AND(Y300&gt;0,,O300&gt;0),"Tetap Deteksi","Belum Deteksi"))</f>
        <v>Perlu Sensus</v>
      </c>
      <c r="AA300" s="203">
        <f t="array" ref="AA300">INDEX('[20]LS (Deteksi) Agustus'!AA$7:AA$303,MATCH(1,('[20]LS (Deteksi) Agustus'!$D$7:$D$303=$D300)*('[20]LS (Deteksi) Agustus'!$D$7:$D$303=$D300),0))</f>
        <v>0</v>
      </c>
      <c r="AB300" s="9">
        <f t="shared" si="41"/>
        <v>0</v>
      </c>
    </row>
    <row r="301" spans="1:28" outlineLevel="1" x14ac:dyDescent="0.15">
      <c r="A301" s="8" t="s">
        <v>13</v>
      </c>
      <c r="B301" s="8" t="s">
        <v>47</v>
      </c>
      <c r="C301" s="8" t="s">
        <v>290</v>
      </c>
      <c r="D301" s="8" t="s">
        <v>320</v>
      </c>
      <c r="E301" s="9">
        <v>34.479999999999997</v>
      </c>
      <c r="F301" s="8" t="s">
        <v>132</v>
      </c>
      <c r="G301" s="143">
        <v>4947</v>
      </c>
      <c r="H301" s="132">
        <f t="shared" si="43"/>
        <v>46248</v>
      </c>
      <c r="I301" s="140">
        <f t="shared" si="43"/>
        <v>114</v>
      </c>
      <c r="J301" s="9">
        <f t="shared" si="35"/>
        <v>2.3044269254093392</v>
      </c>
      <c r="K301" s="140">
        <f t="shared" si="36"/>
        <v>12</v>
      </c>
      <c r="L301" s="206">
        <f t="shared" si="37"/>
        <v>10.526315789473683</v>
      </c>
      <c r="M301" s="8" t="str">
        <f t="array" ref="M301">IF(L301&gt;5,"Perlu Sensus",IF(AND(L301&gt;=0,I301&gt;0),"Tetap Deteksi","Belum Deteksi"))</f>
        <v>Perlu Sensus</v>
      </c>
      <c r="N301" s="132">
        <v>46248</v>
      </c>
      <c r="O301" s="203">
        <v>114</v>
      </c>
      <c r="P301" s="9">
        <f t="array" ref="P301">IFERROR(O301/G301*100,0)</f>
        <v>2.3044269254093392</v>
      </c>
      <c r="Q301" s="203">
        <v>12</v>
      </c>
      <c r="R301" s="9">
        <f t="shared" si="38"/>
        <v>10.526315789473683</v>
      </c>
      <c r="S301" s="8" t="str">
        <f t="array" ref="S301">IF(R301&gt;5,"Perlu Sensus",IF(AND(R301&gt;=0,O301&gt;0),"Tetap Deteksi","Belum Deteksi"))</f>
        <v>Perlu Sensus</v>
      </c>
      <c r="T301" s="203">
        <f t="array" ref="T301">INDEX('[20]LS (Deteksi) Agustus'!T$7:T$303,MATCH(1,('[20]LS (Deteksi) Agustus'!$D$7:$D$303=$D301)*('[20]LS (Deteksi) Agustus'!$D$7:$D$303=$D301),0))</f>
        <v>0</v>
      </c>
      <c r="U301" s="9">
        <f t="shared" si="39"/>
        <v>0</v>
      </c>
      <c r="V301" s="132">
        <v>46249</v>
      </c>
      <c r="W301" s="203">
        <v>105</v>
      </c>
      <c r="X301" s="203">
        <v>9</v>
      </c>
      <c r="Y301" s="9">
        <f t="shared" si="40"/>
        <v>8.5714285714285712</v>
      </c>
      <c r="Z301" s="8" t="str">
        <f t="array" ref="Z301">IF(Y301&gt;5,"Perlu Sensus",IF(AND(Y301&gt;0,,O301&gt;0),"Tetap Deteksi","Belum Deteksi"))</f>
        <v>Perlu Sensus</v>
      </c>
      <c r="AA301" s="203">
        <f t="array" ref="AA301">INDEX('[20]LS (Deteksi) Agustus'!AA$7:AA$303,MATCH(1,('[20]LS (Deteksi) Agustus'!$D$7:$D$303=$D301)*('[20]LS (Deteksi) Agustus'!$D$7:$D$303=$D301),0))</f>
        <v>0</v>
      </c>
      <c r="AB301" s="9">
        <f t="shared" si="41"/>
        <v>0</v>
      </c>
    </row>
    <row r="302" spans="1:28" outlineLevel="1" x14ac:dyDescent="0.15">
      <c r="A302" s="8" t="s">
        <v>13</v>
      </c>
      <c r="B302" s="8" t="s">
        <v>47</v>
      </c>
      <c r="C302" s="8" t="s">
        <v>290</v>
      </c>
      <c r="D302" s="8" t="s">
        <v>321</v>
      </c>
      <c r="E302" s="9">
        <v>33.979999999999997</v>
      </c>
      <c r="F302" s="8" t="s">
        <v>132</v>
      </c>
      <c r="G302" s="143">
        <v>4881</v>
      </c>
      <c r="H302" s="132">
        <f t="shared" si="43"/>
        <v>46248</v>
      </c>
      <c r="I302" s="140">
        <f t="shared" si="43"/>
        <v>121</v>
      </c>
      <c r="J302" s="9">
        <f t="shared" si="35"/>
        <v>2.47900020487605</v>
      </c>
      <c r="K302" s="140">
        <f t="shared" si="36"/>
        <v>2</v>
      </c>
      <c r="L302" s="206">
        <f t="shared" si="37"/>
        <v>1.6528925619834711</v>
      </c>
      <c r="M302" s="8" t="str">
        <f t="array" ref="M302">IF(L302&gt;5,"Perlu Sensus",IF(AND(L302&gt;=0,I302&gt;0),"Tetap Deteksi","Belum Deteksi"))</f>
        <v>Tetap Deteksi</v>
      </c>
      <c r="N302" s="132">
        <v>46248</v>
      </c>
      <c r="O302" s="203">
        <v>121</v>
      </c>
      <c r="P302" s="9">
        <f t="array" ref="P302">IFERROR(O302/G302*100,0)</f>
        <v>2.47900020487605</v>
      </c>
      <c r="Q302" s="203">
        <v>2</v>
      </c>
      <c r="R302" s="9">
        <f t="shared" si="38"/>
        <v>1.6528925619834711</v>
      </c>
      <c r="S302" s="8" t="str">
        <f t="array" ref="S302">IF(R302&gt;5,"Perlu Sensus",IF(AND(R302&gt;=0,O302&gt;0),"Tetap Deteksi","Belum Deteksi"))</f>
        <v>Tetap Deteksi</v>
      </c>
      <c r="T302" s="203">
        <f t="array" ref="T302">INDEX('[20]LS (Deteksi) Agustus'!T$7:T$303,MATCH(1,('[20]LS (Deteksi) Agustus'!$D$7:$D$303=$D302)*('[20]LS (Deteksi) Agustus'!$D$7:$D$303=$D302),0))</f>
        <v>0</v>
      </c>
      <c r="U302" s="9">
        <f t="shared" si="39"/>
        <v>0</v>
      </c>
      <c r="V302" s="132">
        <v>46249</v>
      </c>
      <c r="W302" s="203">
        <v>102</v>
      </c>
      <c r="X302" s="203">
        <v>2</v>
      </c>
      <c r="Y302" s="9">
        <f t="shared" si="40"/>
        <v>1.9607843137254901</v>
      </c>
      <c r="Z302" s="8" t="str">
        <f t="array" ref="Z302">IF(Y302&gt;5,"Perlu Sensus",IF(AND(Y302&gt;0,,O302&gt;0),"Tetap Deteksi","Belum Deteksi"))</f>
        <v>Belum Deteksi</v>
      </c>
      <c r="AA302" s="203">
        <f t="array" ref="AA302">INDEX('[20]LS (Deteksi) Agustus'!AA$7:AA$303,MATCH(1,('[20]LS (Deteksi) Agustus'!$D$7:$D$303=$D302)*('[20]LS (Deteksi) Agustus'!$D$7:$D$303=$D302),0))</f>
        <v>0</v>
      </c>
      <c r="AB302" s="9">
        <f t="shared" si="41"/>
        <v>0</v>
      </c>
    </row>
    <row r="303" spans="1:28" x14ac:dyDescent="0.15">
      <c r="A303" s="8" t="s">
        <v>322</v>
      </c>
      <c r="B303" s="8" t="s">
        <v>79</v>
      </c>
      <c r="C303" s="8" t="s">
        <v>323</v>
      </c>
      <c r="D303" s="8" t="s">
        <v>324</v>
      </c>
      <c r="E303" s="9">
        <v>26.53</v>
      </c>
      <c r="F303" s="8" t="s">
        <v>325</v>
      </c>
      <c r="G303" s="143">
        <v>3723</v>
      </c>
      <c r="H303" s="132">
        <f t="shared" si="43"/>
        <v>46249</v>
      </c>
      <c r="I303" s="140">
        <f t="shared" si="43"/>
        <v>58</v>
      </c>
      <c r="J303" s="9">
        <f t="shared" si="35"/>
        <v>1.55788342734354</v>
      </c>
      <c r="K303" s="140">
        <f t="shared" si="36"/>
        <v>3</v>
      </c>
      <c r="L303" s="206">
        <f t="shared" si="37"/>
        <v>5.1724137931034484</v>
      </c>
      <c r="M303" s="8" t="str">
        <f t="array" ref="M303">IF(L303&gt;5,"Perlu Sensus",IF(AND(L303&gt;=0,I303&gt;0),"Tetap Deteksi","Belum Deteksi"))</f>
        <v>Perlu Sensus</v>
      </c>
      <c r="N303" s="132">
        <v>46249</v>
      </c>
      <c r="O303" s="143">
        <f t="array" ref="O303">INDEX('[21]DETEKSI ROT 2 (2)'!$G$343:$G$622,MATCH(1,('[21]DETEKSI ROT 2 (2)'!$D$343:$D$622=$D303)*('[21]DETEKSI ROT 2 (2)'!$D$343:$D$622=$D303),0))</f>
        <v>58</v>
      </c>
      <c r="P303" s="9">
        <f t="array" ref="P303">IFERROR(O303/G303*100,0)</f>
        <v>1.55788342734354</v>
      </c>
      <c r="Q303" s="143">
        <f t="array" ref="Q303">INDEX('[21]DETEKSI ROT 2 (2)'!$I$343:$I$622,MATCH(1,('[21]DETEKSI ROT 2 (2)'!$D$343:$D$622=$D303)*('[21]DETEKSI ROT 2 (2)'!$D$343:$D$622=$D303),0))</f>
        <v>3</v>
      </c>
      <c r="R303" s="9">
        <f t="shared" ref="R303:R326" si="44">IFERROR(Q303/O303*100,0)</f>
        <v>5.1724137931034484</v>
      </c>
      <c r="S303" s="8" t="str">
        <f t="array" ref="S303">IF(R303&gt;5,"Perlu Sensus",IF(AND(R303&gt;=0,O303&gt;0),"Tetap Deteksi","Belum Deteksi"))</f>
        <v>Perlu Sensus</v>
      </c>
      <c r="T303" s="203"/>
      <c r="U303" s="9">
        <f t="shared" ref="U303:U326" si="45">IFERROR(T303/O303*100,0)</f>
        <v>0</v>
      </c>
      <c r="V303" s="132">
        <v>46249</v>
      </c>
      <c r="W303" s="143">
        <f t="array" ref="W303">INDEX('[21]DETEKSI ROT 2 (2)'!$L$343:$L$622,MATCH(1,('[21]DETEKSI ROT 2 (2)'!$D$343:$D$622=$D303)*('[21]DETEKSI ROT 2 (2)'!$D$343:$D$622=$D303),0))</f>
        <v>21</v>
      </c>
      <c r="X303" s="143">
        <f t="array" ref="X303">INDEX('[21]DETEKSI ROT 2 (2)'!$M$343:$M$622,MATCH(1,('[21]DETEKSI ROT 2 (2)'!$D$343:$D$622=$D303)*('[21]DETEKSI ROT 2 (2)'!$D$343:$D$622=$D303),0))</f>
        <v>2</v>
      </c>
      <c r="Y303" s="9">
        <f t="shared" ref="Y303:Y325" si="46">IFERROR(X303/W303*100,0)</f>
        <v>9.5238095238095237</v>
      </c>
      <c r="Z303" s="8" t="str">
        <f t="array" ref="Z303">IF(Y303&gt;5,"Perlu Sensus",IF(AND(Y303&gt;0,,O303&gt;0),"Tetap Deteksi","Belum Deteksi"))</f>
        <v>Perlu Sensus</v>
      </c>
      <c r="AA303" s="203"/>
      <c r="AB303" s="9">
        <f t="shared" ref="AB303:AB326" si="47">IFERROR(AA303/W303*100,0)</f>
        <v>0</v>
      </c>
    </row>
    <row r="304" spans="1:28" x14ac:dyDescent="0.15">
      <c r="A304" s="8" t="s">
        <v>322</v>
      </c>
      <c r="B304" s="8" t="s">
        <v>79</v>
      </c>
      <c r="C304" s="8" t="s">
        <v>323</v>
      </c>
      <c r="D304" s="8" t="s">
        <v>326</v>
      </c>
      <c r="E304" s="9">
        <v>30.25</v>
      </c>
      <c r="F304" s="8" t="s">
        <v>325</v>
      </c>
      <c r="G304" s="143">
        <v>4313</v>
      </c>
      <c r="H304" s="132">
        <f t="shared" si="43"/>
        <v>46249</v>
      </c>
      <c r="I304" s="140">
        <f t="shared" si="43"/>
        <v>38</v>
      </c>
      <c r="J304" s="9">
        <f t="shared" si="35"/>
        <v>0.88105726872246704</v>
      </c>
      <c r="K304" s="140">
        <f t="shared" si="36"/>
        <v>2</v>
      </c>
      <c r="L304" s="206">
        <f t="shared" si="37"/>
        <v>5.2631578947368416</v>
      </c>
      <c r="M304" s="8" t="str">
        <f t="array" ref="M304">IF(L304&gt;5,"Perlu Sensus",IF(AND(L304&gt;=0,I304&gt;0),"Tetap Deteksi","Belum Deteksi"))</f>
        <v>Perlu Sensus</v>
      </c>
      <c r="N304" s="132">
        <v>46249</v>
      </c>
      <c r="O304" s="143">
        <f t="array" ref="O304">INDEX('[21]DETEKSI ROT 2 (2)'!$G$343:$G$622,MATCH(1,('[21]DETEKSI ROT 2 (2)'!$D$343:$D$622=$D304)*('[21]DETEKSI ROT 2 (2)'!$D$343:$D$622=$D304),0))</f>
        <v>38</v>
      </c>
      <c r="P304" s="9">
        <f t="array" ref="P304">IFERROR(O304/G304*100,0)</f>
        <v>0.88105726872246704</v>
      </c>
      <c r="Q304" s="143">
        <f t="array" ref="Q304">INDEX('[21]DETEKSI ROT 2 (2)'!$I$343:$I$622,MATCH(1,('[21]DETEKSI ROT 2 (2)'!$D$343:$D$622=$D304)*('[21]DETEKSI ROT 2 (2)'!$D$343:$D$622=$D304),0))</f>
        <v>2</v>
      </c>
      <c r="R304" s="9">
        <f t="shared" si="44"/>
        <v>5.2631578947368416</v>
      </c>
      <c r="S304" s="8" t="str">
        <f t="array" ref="S304">IF(R304&gt;5,"Perlu Sensus",IF(AND(R304&gt;=0,O304&gt;0),"Tetap Deteksi","Belum Deteksi"))</f>
        <v>Perlu Sensus</v>
      </c>
      <c r="T304" s="203"/>
      <c r="U304" s="9">
        <f t="shared" si="45"/>
        <v>0</v>
      </c>
      <c r="V304" s="132">
        <v>46249</v>
      </c>
      <c r="W304" s="143">
        <f t="array" ref="W304">INDEX('[21]DETEKSI ROT 2 (2)'!$L$343:$L$622,MATCH(1,('[21]DETEKSI ROT 2 (2)'!$D$343:$D$622=$D304)*('[21]DETEKSI ROT 2 (2)'!$D$343:$D$622=$D304),0))</f>
        <v>58</v>
      </c>
      <c r="X304" s="143">
        <f t="array" ref="X304">INDEX('[21]DETEKSI ROT 2 (2)'!$M$343:$M$622,MATCH(1,('[21]DETEKSI ROT 2 (2)'!$D$343:$D$622=$D304)*('[21]DETEKSI ROT 2 (2)'!$D$343:$D$622=$D304),0))</f>
        <v>3</v>
      </c>
      <c r="Y304" s="9">
        <f t="shared" si="46"/>
        <v>5.1724137931034484</v>
      </c>
      <c r="Z304" s="8" t="str">
        <f t="array" ref="Z304">IF(Y304&gt;5,"Perlu Sensus",IF(AND(Y304&gt;0,,O304&gt;0),"Tetap Deteksi","Belum Deteksi"))</f>
        <v>Perlu Sensus</v>
      </c>
      <c r="AA304" s="203"/>
      <c r="AB304" s="9">
        <f t="shared" si="47"/>
        <v>0</v>
      </c>
    </row>
    <row r="305" spans="1:28" x14ac:dyDescent="0.15">
      <c r="A305" s="8" t="s">
        <v>322</v>
      </c>
      <c r="B305" s="8" t="s">
        <v>79</v>
      </c>
      <c r="C305" s="8" t="s">
        <v>323</v>
      </c>
      <c r="D305" s="8" t="s">
        <v>327</v>
      </c>
      <c r="E305" s="9">
        <v>26.27</v>
      </c>
      <c r="F305" s="8" t="s">
        <v>325</v>
      </c>
      <c r="G305" s="143">
        <v>3648</v>
      </c>
      <c r="H305" s="132">
        <f t="shared" si="43"/>
        <v>46249</v>
      </c>
      <c r="I305" s="140">
        <f t="shared" si="43"/>
        <v>98</v>
      </c>
      <c r="J305" s="9">
        <f t="shared" si="35"/>
        <v>2.6864035087719298</v>
      </c>
      <c r="K305" s="140">
        <f t="shared" si="36"/>
        <v>3</v>
      </c>
      <c r="L305" s="206">
        <f t="shared" si="37"/>
        <v>3.0612244897959182</v>
      </c>
      <c r="M305" s="8" t="str">
        <f t="array" ref="M305">IF(L305&gt;5,"Perlu Sensus",IF(AND(L305&gt;=0,I305&gt;0),"Tetap Deteksi","Belum Deteksi"))</f>
        <v>Tetap Deteksi</v>
      </c>
      <c r="N305" s="132">
        <v>46249</v>
      </c>
      <c r="O305" s="143">
        <f t="array" ref="O305">INDEX('[21]DETEKSI ROT 2 (2)'!$G$343:$G$622,MATCH(1,('[21]DETEKSI ROT 2 (2)'!$D$343:$D$622=$D305)*('[21]DETEKSI ROT 2 (2)'!$D$343:$D$622=$D305),0))</f>
        <v>98</v>
      </c>
      <c r="P305" s="9">
        <f t="array" ref="P305">IFERROR(O305/G305*100,0)</f>
        <v>2.6864035087719298</v>
      </c>
      <c r="Q305" s="143">
        <f t="array" ref="Q305">INDEX('[21]DETEKSI ROT 2 (2)'!$I$343:$I$622,MATCH(1,('[21]DETEKSI ROT 2 (2)'!$D$343:$D$622=$D305)*('[21]DETEKSI ROT 2 (2)'!$D$343:$D$622=$D305),0))</f>
        <v>3</v>
      </c>
      <c r="R305" s="9">
        <f t="shared" si="44"/>
        <v>3.0612244897959182</v>
      </c>
      <c r="S305" s="8" t="str">
        <f t="array" ref="S305">IF(R305&gt;5,"Perlu Sensus",IF(AND(R305&gt;=0,O305&gt;0),"Tetap Deteksi","Belum Deteksi"))</f>
        <v>Tetap Deteksi</v>
      </c>
      <c r="T305" s="203"/>
      <c r="U305" s="9">
        <f t="shared" si="45"/>
        <v>0</v>
      </c>
      <c r="V305" s="132">
        <v>46249</v>
      </c>
      <c r="W305" s="143">
        <f t="array" ref="W305">INDEX('[21]DETEKSI ROT 2 (2)'!$L$343:$L$622,MATCH(1,('[21]DETEKSI ROT 2 (2)'!$D$343:$D$622=$D305)*('[21]DETEKSI ROT 2 (2)'!$D$343:$D$622=$D305),0))</f>
        <v>75</v>
      </c>
      <c r="X305" s="143">
        <f t="array" ref="X305">INDEX('[21]DETEKSI ROT 2 (2)'!$M$343:$M$622,MATCH(1,('[21]DETEKSI ROT 2 (2)'!$D$343:$D$622=$D305)*('[21]DETEKSI ROT 2 (2)'!$D$343:$D$622=$D305),0))</f>
        <v>2</v>
      </c>
      <c r="Y305" s="9">
        <f t="shared" si="46"/>
        <v>2.666666666666667</v>
      </c>
      <c r="Z305" s="8" t="str">
        <f t="array" ref="Z305">IF(Y305&gt;5,"Perlu Sensus",IF(AND(Y305&gt;0,,O305&gt;0),"Tetap Deteksi","Belum Deteksi"))</f>
        <v>Belum Deteksi</v>
      </c>
      <c r="AA305" s="203"/>
      <c r="AB305" s="9">
        <f t="shared" si="47"/>
        <v>0</v>
      </c>
    </row>
    <row r="306" spans="1:28" x14ac:dyDescent="0.15">
      <c r="A306" s="8" t="s">
        <v>322</v>
      </c>
      <c r="B306" s="8" t="s">
        <v>79</v>
      </c>
      <c r="C306" s="8" t="s">
        <v>323</v>
      </c>
      <c r="D306" s="8" t="s">
        <v>328</v>
      </c>
      <c r="E306" s="9">
        <v>22.02</v>
      </c>
      <c r="F306" s="8" t="s">
        <v>325</v>
      </c>
      <c r="G306" s="143">
        <v>3323</v>
      </c>
      <c r="H306" s="132">
        <f t="shared" si="43"/>
        <v>46249</v>
      </c>
      <c r="I306" s="140">
        <f t="shared" si="43"/>
        <v>101</v>
      </c>
      <c r="J306" s="9">
        <f t="shared" si="35"/>
        <v>3.039422208847427</v>
      </c>
      <c r="K306" s="140">
        <f t="shared" si="36"/>
        <v>3</v>
      </c>
      <c r="L306" s="206">
        <f t="shared" si="37"/>
        <v>2.9702970297029703</v>
      </c>
      <c r="M306" s="8" t="str">
        <f t="array" ref="M306">IF(L306&gt;5,"Perlu Sensus",IF(AND(L306&gt;=0,I306&gt;0),"Tetap Deteksi","Belum Deteksi"))</f>
        <v>Tetap Deteksi</v>
      </c>
      <c r="N306" s="132">
        <v>46249</v>
      </c>
      <c r="O306" s="143">
        <f t="array" ref="O306">INDEX('[21]DETEKSI ROT 2 (2)'!$G$343:$G$622,MATCH(1,('[21]DETEKSI ROT 2 (2)'!$D$343:$D$622=$D306)*('[21]DETEKSI ROT 2 (2)'!$D$343:$D$622=$D306),0))</f>
        <v>101</v>
      </c>
      <c r="P306" s="9">
        <f t="array" ref="P306">IFERROR(O306/G306*100,0)</f>
        <v>3.039422208847427</v>
      </c>
      <c r="Q306" s="143">
        <f t="array" ref="Q306">INDEX('[21]DETEKSI ROT 2 (2)'!$I$343:$I$622,MATCH(1,('[21]DETEKSI ROT 2 (2)'!$D$343:$D$622=$D306)*('[21]DETEKSI ROT 2 (2)'!$D$343:$D$622=$D306),0))</f>
        <v>3</v>
      </c>
      <c r="R306" s="9">
        <f t="shared" si="44"/>
        <v>2.9702970297029703</v>
      </c>
      <c r="S306" s="8" t="str">
        <f t="array" ref="S306">IF(R306&gt;5,"Perlu Sensus",IF(AND(R306&gt;=0,O306&gt;0),"Tetap Deteksi","Belum Deteksi"))</f>
        <v>Tetap Deteksi</v>
      </c>
      <c r="T306" s="203"/>
      <c r="U306" s="9">
        <f t="shared" si="45"/>
        <v>0</v>
      </c>
      <c r="V306" s="132">
        <v>46249</v>
      </c>
      <c r="W306" s="143">
        <f t="array" ref="W306">INDEX('[21]DETEKSI ROT 2 (2)'!$L$343:$L$622,MATCH(1,('[21]DETEKSI ROT 2 (2)'!$D$343:$D$622=$D306)*('[21]DETEKSI ROT 2 (2)'!$D$343:$D$622=$D306),0))</f>
        <v>58</v>
      </c>
      <c r="X306" s="143">
        <f t="array" ref="X306">INDEX('[21]DETEKSI ROT 2 (2)'!$M$343:$M$622,MATCH(1,('[21]DETEKSI ROT 2 (2)'!$D$343:$D$622=$D306)*('[21]DETEKSI ROT 2 (2)'!$D$343:$D$622=$D306),0))</f>
        <v>3</v>
      </c>
      <c r="Y306" s="9">
        <f t="shared" si="46"/>
        <v>5.1724137931034484</v>
      </c>
      <c r="Z306" s="8" t="str">
        <f t="array" ref="Z306">IF(Y306&gt;5,"Perlu Sensus",IF(AND(Y306&gt;0,,O306&gt;0),"Tetap Deteksi","Belum Deteksi"))</f>
        <v>Perlu Sensus</v>
      </c>
      <c r="AA306" s="203"/>
      <c r="AB306" s="9">
        <f t="shared" si="47"/>
        <v>0</v>
      </c>
    </row>
    <row r="307" spans="1:28" x14ac:dyDescent="0.15">
      <c r="A307" s="8" t="s">
        <v>322</v>
      </c>
      <c r="B307" s="8" t="s">
        <v>79</v>
      </c>
      <c r="C307" s="8" t="s">
        <v>323</v>
      </c>
      <c r="D307" s="8" t="s">
        <v>329</v>
      </c>
      <c r="E307" s="9">
        <v>31.42</v>
      </c>
      <c r="F307" s="8" t="s">
        <v>325</v>
      </c>
      <c r="G307" s="143">
        <v>4288</v>
      </c>
      <c r="H307" s="132">
        <f t="shared" si="43"/>
        <v>46249</v>
      </c>
      <c r="I307" s="140">
        <f t="shared" si="43"/>
        <v>78</v>
      </c>
      <c r="J307" s="9">
        <f t="shared" si="35"/>
        <v>1.8190298507462688</v>
      </c>
      <c r="K307" s="140">
        <f t="shared" si="36"/>
        <v>2</v>
      </c>
      <c r="L307" s="206">
        <f t="shared" si="37"/>
        <v>2.5641025641025639</v>
      </c>
      <c r="M307" s="8" t="str">
        <f t="array" ref="M307">IF(L307&gt;5,"Perlu Sensus",IF(AND(L307&gt;=0,I307&gt;0),"Tetap Deteksi","Belum Deteksi"))</f>
        <v>Tetap Deteksi</v>
      </c>
      <c r="N307" s="132">
        <v>46249</v>
      </c>
      <c r="O307" s="143">
        <f t="array" ref="O307">INDEX('[21]DETEKSI ROT 2 (2)'!$G$343:$G$622,MATCH(1,('[21]DETEKSI ROT 2 (2)'!$D$343:$D$622=$D307)*('[21]DETEKSI ROT 2 (2)'!$D$343:$D$622=$D307),0))</f>
        <v>78</v>
      </c>
      <c r="P307" s="9">
        <f t="array" ref="P307">IFERROR(O307/G307*100,0)</f>
        <v>1.8190298507462688</v>
      </c>
      <c r="Q307" s="143">
        <f t="array" ref="Q307">INDEX('[21]DETEKSI ROT 2 (2)'!$I$343:$I$622,MATCH(1,('[21]DETEKSI ROT 2 (2)'!$D$343:$D$622=$D307)*('[21]DETEKSI ROT 2 (2)'!$D$343:$D$622=$D307),0))</f>
        <v>2</v>
      </c>
      <c r="R307" s="9">
        <f t="shared" si="44"/>
        <v>2.5641025641025639</v>
      </c>
      <c r="S307" s="8" t="str">
        <f t="array" ref="S307">IF(R307&gt;5,"Perlu Sensus",IF(AND(R307&gt;=0,O307&gt;0),"Tetap Deteksi","Belum Deteksi"))</f>
        <v>Tetap Deteksi</v>
      </c>
      <c r="T307" s="203"/>
      <c r="U307" s="9">
        <f t="shared" si="45"/>
        <v>0</v>
      </c>
      <c r="V307" s="132">
        <v>46249</v>
      </c>
      <c r="W307" s="143">
        <f t="array" ref="W307">INDEX('[21]DETEKSI ROT 2 (2)'!$L$343:$L$622,MATCH(1,('[21]DETEKSI ROT 2 (2)'!$D$343:$D$622=$D307)*('[21]DETEKSI ROT 2 (2)'!$D$343:$D$622=$D307),0))</f>
        <v>56</v>
      </c>
      <c r="X307" s="143">
        <f t="array" ref="X307">INDEX('[21]DETEKSI ROT 2 (2)'!$M$343:$M$622,MATCH(1,('[21]DETEKSI ROT 2 (2)'!$D$343:$D$622=$D307)*('[21]DETEKSI ROT 2 (2)'!$D$343:$D$622=$D307),0))</f>
        <v>3</v>
      </c>
      <c r="Y307" s="9">
        <f t="shared" si="46"/>
        <v>5.3571428571428568</v>
      </c>
      <c r="Z307" s="8" t="str">
        <f t="array" ref="Z307">IF(Y307&gt;5,"Perlu Sensus",IF(AND(Y307&gt;0,,O307&gt;0),"Tetap Deteksi","Belum Deteksi"))</f>
        <v>Perlu Sensus</v>
      </c>
      <c r="AA307" s="203"/>
      <c r="AB307" s="9">
        <f t="shared" si="47"/>
        <v>0</v>
      </c>
    </row>
    <row r="308" spans="1:28" x14ac:dyDescent="0.15">
      <c r="A308" s="8" t="s">
        <v>322</v>
      </c>
      <c r="B308" s="8" t="s">
        <v>79</v>
      </c>
      <c r="C308" s="8" t="s">
        <v>323</v>
      </c>
      <c r="D308" s="8" t="s">
        <v>330</v>
      </c>
      <c r="E308" s="9">
        <v>28.03</v>
      </c>
      <c r="F308" s="8" t="s">
        <v>325</v>
      </c>
      <c r="G308" s="143">
        <v>3871</v>
      </c>
      <c r="H308" s="132">
        <f t="shared" si="43"/>
        <v>46249</v>
      </c>
      <c r="I308" s="140">
        <f t="shared" si="43"/>
        <v>94</v>
      </c>
      <c r="J308" s="9">
        <f t="shared" si="35"/>
        <v>2.4283130973908551</v>
      </c>
      <c r="K308" s="140">
        <f t="shared" si="36"/>
        <v>3</v>
      </c>
      <c r="L308" s="206">
        <f t="shared" si="37"/>
        <v>3.1914893617021276</v>
      </c>
      <c r="M308" s="8" t="str">
        <f t="array" ref="M308">IF(L308&gt;5,"Perlu Sensus",IF(AND(L308&gt;=0,I308&gt;0),"Tetap Deteksi","Belum Deteksi"))</f>
        <v>Tetap Deteksi</v>
      </c>
      <c r="N308" s="132">
        <v>46249</v>
      </c>
      <c r="O308" s="143">
        <f t="array" ref="O308">INDEX('[21]DETEKSI ROT 2 (2)'!$G$343:$G$622,MATCH(1,('[21]DETEKSI ROT 2 (2)'!$D$343:$D$622=$D308)*('[21]DETEKSI ROT 2 (2)'!$D$343:$D$622=$D308),0))</f>
        <v>94</v>
      </c>
      <c r="P308" s="9">
        <f t="array" ref="P308">IFERROR(O308/G308*100,0)</f>
        <v>2.4283130973908551</v>
      </c>
      <c r="Q308" s="143">
        <f t="array" ref="Q308">INDEX('[21]DETEKSI ROT 2 (2)'!$I$343:$I$622,MATCH(1,('[21]DETEKSI ROT 2 (2)'!$D$343:$D$622=$D308)*('[21]DETEKSI ROT 2 (2)'!$D$343:$D$622=$D308),0))</f>
        <v>3</v>
      </c>
      <c r="R308" s="9">
        <f t="shared" si="44"/>
        <v>3.1914893617021276</v>
      </c>
      <c r="S308" s="8" t="str">
        <f t="array" ref="S308">IF(R308&gt;5,"Perlu Sensus",IF(AND(R308&gt;=0,O308&gt;0),"Tetap Deteksi","Belum Deteksi"))</f>
        <v>Tetap Deteksi</v>
      </c>
      <c r="T308" s="203"/>
      <c r="U308" s="9">
        <f t="shared" si="45"/>
        <v>0</v>
      </c>
      <c r="V308" s="132">
        <v>46249</v>
      </c>
      <c r="W308" s="143">
        <f t="array" ref="W308">INDEX('[21]DETEKSI ROT 2 (2)'!$L$343:$L$622,MATCH(1,('[21]DETEKSI ROT 2 (2)'!$D$343:$D$622=$D308)*('[21]DETEKSI ROT 2 (2)'!$D$343:$D$622=$D308),0))</f>
        <v>54</v>
      </c>
      <c r="X308" s="143">
        <f t="array" ref="X308">INDEX('[21]DETEKSI ROT 2 (2)'!$M$343:$M$622,MATCH(1,('[21]DETEKSI ROT 2 (2)'!$D$343:$D$622=$D308)*('[21]DETEKSI ROT 2 (2)'!$D$343:$D$622=$D308),0))</f>
        <v>2</v>
      </c>
      <c r="Y308" s="9">
        <f t="shared" si="46"/>
        <v>3.7037037037037033</v>
      </c>
      <c r="Z308" s="8" t="str">
        <f t="array" ref="Z308">IF(Y308&gt;5,"Perlu Sensus",IF(AND(Y308&gt;0,,O308&gt;0),"Tetap Deteksi","Belum Deteksi"))</f>
        <v>Belum Deteksi</v>
      </c>
      <c r="AA308" s="203"/>
      <c r="AB308" s="9">
        <f t="shared" si="47"/>
        <v>0</v>
      </c>
    </row>
    <row r="309" spans="1:28" x14ac:dyDescent="0.15">
      <c r="A309" s="8" t="s">
        <v>322</v>
      </c>
      <c r="B309" s="8" t="s">
        <v>79</v>
      </c>
      <c r="C309" s="8" t="s">
        <v>323</v>
      </c>
      <c r="D309" s="8" t="s">
        <v>331</v>
      </c>
      <c r="E309" s="9">
        <v>24.05</v>
      </c>
      <c r="F309" s="8" t="s">
        <v>325</v>
      </c>
      <c r="G309" s="143">
        <v>3414</v>
      </c>
      <c r="H309" s="132">
        <f t="shared" si="43"/>
        <v>46249</v>
      </c>
      <c r="I309" s="140">
        <f t="shared" si="43"/>
        <v>101</v>
      </c>
      <c r="J309" s="9">
        <f t="shared" si="35"/>
        <v>2.9584065612185122</v>
      </c>
      <c r="K309" s="140">
        <f t="shared" si="36"/>
        <v>4</v>
      </c>
      <c r="L309" s="206">
        <f t="shared" si="37"/>
        <v>3.9603960396039604</v>
      </c>
      <c r="M309" s="8" t="str">
        <f t="array" ref="M309">IF(L309&gt;5,"Perlu Sensus",IF(AND(L309&gt;=0,I309&gt;0),"Tetap Deteksi","Belum Deteksi"))</f>
        <v>Tetap Deteksi</v>
      </c>
      <c r="N309" s="132">
        <v>46249</v>
      </c>
      <c r="O309" s="143">
        <f t="array" ref="O309">INDEX('[21]DETEKSI ROT 2 (2)'!$G$343:$G$622,MATCH(1,('[21]DETEKSI ROT 2 (2)'!$D$343:$D$622=$D309)*('[21]DETEKSI ROT 2 (2)'!$D$343:$D$622=$D309),0))</f>
        <v>101</v>
      </c>
      <c r="P309" s="9">
        <f t="array" ref="P309">IFERROR(O309/G309*100,0)</f>
        <v>2.9584065612185122</v>
      </c>
      <c r="Q309" s="143">
        <f t="array" ref="Q309">INDEX('[21]DETEKSI ROT 2 (2)'!$I$343:$I$622,MATCH(1,('[21]DETEKSI ROT 2 (2)'!$D$343:$D$622=$D309)*('[21]DETEKSI ROT 2 (2)'!$D$343:$D$622=$D309),0))</f>
        <v>4</v>
      </c>
      <c r="R309" s="9">
        <f t="shared" si="44"/>
        <v>3.9603960396039604</v>
      </c>
      <c r="S309" s="8" t="str">
        <f t="array" ref="S309">IF(R309&gt;5,"Perlu Sensus",IF(AND(R309&gt;=0,O309&gt;0),"Tetap Deteksi","Belum Deteksi"))</f>
        <v>Tetap Deteksi</v>
      </c>
      <c r="T309" s="203"/>
      <c r="U309" s="9">
        <f t="shared" si="45"/>
        <v>0</v>
      </c>
      <c r="V309" s="132">
        <v>46249</v>
      </c>
      <c r="W309" s="143">
        <f t="array" ref="W309">INDEX('[21]DETEKSI ROT 2 (2)'!$L$343:$L$622,MATCH(1,('[21]DETEKSI ROT 2 (2)'!$D$343:$D$622=$D309)*('[21]DETEKSI ROT 2 (2)'!$D$343:$D$622=$D309),0))</f>
        <v>49</v>
      </c>
      <c r="X309" s="143">
        <f t="array" ref="X309">INDEX('[21]DETEKSI ROT 2 (2)'!$M$343:$M$622,MATCH(1,('[21]DETEKSI ROT 2 (2)'!$D$343:$D$622=$D309)*('[21]DETEKSI ROT 2 (2)'!$D$343:$D$622=$D309),0))</f>
        <v>1</v>
      </c>
      <c r="Y309" s="9">
        <f t="shared" si="46"/>
        <v>2.0408163265306123</v>
      </c>
      <c r="Z309" s="8" t="str">
        <f t="array" ref="Z309">IF(Y309&gt;5,"Perlu Sensus",IF(AND(Y309&gt;0,,O309&gt;0),"Tetap Deteksi","Belum Deteksi"))</f>
        <v>Belum Deteksi</v>
      </c>
      <c r="AA309" s="203"/>
      <c r="AB309" s="9">
        <f t="shared" si="47"/>
        <v>0</v>
      </c>
    </row>
    <row r="310" spans="1:28" x14ac:dyDescent="0.15">
      <c r="A310" s="8" t="s">
        <v>322</v>
      </c>
      <c r="B310" s="8" t="s">
        <v>79</v>
      </c>
      <c r="C310" s="8" t="s">
        <v>323</v>
      </c>
      <c r="D310" s="8" t="s">
        <v>332</v>
      </c>
      <c r="E310" s="9">
        <v>27.03</v>
      </c>
      <c r="F310" s="8" t="s">
        <v>325</v>
      </c>
      <c r="G310" s="143">
        <v>3972</v>
      </c>
      <c r="H310" s="132">
        <f t="shared" si="43"/>
        <v>46249</v>
      </c>
      <c r="I310" s="140">
        <f t="shared" si="43"/>
        <v>167</v>
      </c>
      <c r="J310" s="9">
        <f t="shared" si="35"/>
        <v>4.2044310171198394</v>
      </c>
      <c r="K310" s="140">
        <f t="shared" si="36"/>
        <v>5</v>
      </c>
      <c r="L310" s="206">
        <f t="shared" si="37"/>
        <v>2.9940119760479043</v>
      </c>
      <c r="M310" s="8" t="str">
        <f t="array" ref="M310">IF(L310&gt;5,"Perlu Sensus",IF(AND(L310&gt;=0,I310&gt;0),"Tetap Deteksi","Belum Deteksi"))</f>
        <v>Tetap Deteksi</v>
      </c>
      <c r="N310" s="132">
        <v>46249</v>
      </c>
      <c r="O310" s="143">
        <f t="array" ref="O310">INDEX('[21]DETEKSI ROT 2 (2)'!$G$343:$G$622,MATCH(1,('[21]DETEKSI ROT 2 (2)'!$D$343:$D$622=$D310)*('[21]DETEKSI ROT 2 (2)'!$D$343:$D$622=$D310),0))</f>
        <v>167</v>
      </c>
      <c r="P310" s="9">
        <f t="array" ref="P310">IFERROR(O310/G310*100,0)</f>
        <v>4.2044310171198394</v>
      </c>
      <c r="Q310" s="143">
        <f t="array" ref="Q310">INDEX('[21]DETEKSI ROT 2 (2)'!$I$343:$I$622,MATCH(1,('[21]DETEKSI ROT 2 (2)'!$D$343:$D$622=$D310)*('[21]DETEKSI ROT 2 (2)'!$D$343:$D$622=$D310),0))</f>
        <v>5</v>
      </c>
      <c r="R310" s="9">
        <f t="shared" si="44"/>
        <v>2.9940119760479043</v>
      </c>
      <c r="S310" s="8" t="str">
        <f t="array" ref="S310">IF(R310&gt;5,"Perlu Sensus",IF(AND(R310&gt;=0,O310&gt;0),"Tetap Deteksi","Belum Deteksi"))</f>
        <v>Tetap Deteksi</v>
      </c>
      <c r="T310" s="203"/>
      <c r="U310" s="9">
        <f t="shared" si="45"/>
        <v>0</v>
      </c>
      <c r="V310" s="132">
        <v>46249</v>
      </c>
      <c r="W310" s="143">
        <f t="array" ref="W310">INDEX('[21]DETEKSI ROT 2 (2)'!$L$343:$L$622,MATCH(1,('[21]DETEKSI ROT 2 (2)'!$D$343:$D$622=$D310)*('[21]DETEKSI ROT 2 (2)'!$D$343:$D$622=$D310),0))</f>
        <v>58</v>
      </c>
      <c r="X310" s="143">
        <f t="array" ref="X310">INDEX('[21]DETEKSI ROT 2 (2)'!$M$343:$M$622,MATCH(1,('[21]DETEKSI ROT 2 (2)'!$D$343:$D$622=$D310)*('[21]DETEKSI ROT 2 (2)'!$D$343:$D$622=$D310),0))</f>
        <v>2</v>
      </c>
      <c r="Y310" s="9">
        <f t="shared" si="46"/>
        <v>3.4482758620689653</v>
      </c>
      <c r="Z310" s="8" t="str">
        <f t="array" ref="Z310">IF(Y310&gt;5,"Perlu Sensus",IF(AND(Y310&gt;0,,O310&gt;0),"Tetap Deteksi","Belum Deteksi"))</f>
        <v>Belum Deteksi</v>
      </c>
      <c r="AA310" s="203"/>
      <c r="AB310" s="9">
        <f t="shared" si="47"/>
        <v>0</v>
      </c>
    </row>
    <row r="311" spans="1:28" x14ac:dyDescent="0.15">
      <c r="A311" s="8" t="s">
        <v>322</v>
      </c>
      <c r="B311" s="8" t="s">
        <v>79</v>
      </c>
      <c r="C311" s="8" t="s">
        <v>323</v>
      </c>
      <c r="D311" s="8" t="s">
        <v>333</v>
      </c>
      <c r="E311" s="9">
        <v>23.99</v>
      </c>
      <c r="F311" s="8" t="s">
        <v>325</v>
      </c>
      <c r="G311" s="143">
        <v>2647</v>
      </c>
      <c r="H311" s="132">
        <f t="shared" si="43"/>
        <v>46249</v>
      </c>
      <c r="I311" s="140">
        <f t="shared" si="43"/>
        <v>110</v>
      </c>
      <c r="J311" s="9">
        <f t="shared" si="35"/>
        <v>4.1556479032867397</v>
      </c>
      <c r="K311" s="140">
        <f t="shared" si="36"/>
        <v>3</v>
      </c>
      <c r="L311" s="206">
        <f t="shared" si="37"/>
        <v>2.7272727272727271</v>
      </c>
      <c r="M311" s="8" t="str">
        <f t="array" ref="M311">IF(L311&gt;5,"Perlu Sensus",IF(AND(L311&gt;=0,I311&gt;0),"Tetap Deteksi","Belum Deteksi"))</f>
        <v>Tetap Deteksi</v>
      </c>
      <c r="N311" s="132">
        <v>46249</v>
      </c>
      <c r="O311" s="143">
        <f t="array" ref="O311">INDEX('[21]DETEKSI ROT 2 (2)'!$G$343:$G$622,MATCH(1,('[21]DETEKSI ROT 2 (2)'!$D$343:$D$622=$D311)*('[21]DETEKSI ROT 2 (2)'!$D$343:$D$622=$D311),0))</f>
        <v>110</v>
      </c>
      <c r="P311" s="9">
        <f t="array" ref="P311">IFERROR(O311/G311*100,0)</f>
        <v>4.1556479032867397</v>
      </c>
      <c r="Q311" s="143">
        <f t="array" ref="Q311">INDEX('[21]DETEKSI ROT 2 (2)'!$I$343:$I$622,MATCH(1,('[21]DETEKSI ROT 2 (2)'!$D$343:$D$622=$D311)*('[21]DETEKSI ROT 2 (2)'!$D$343:$D$622=$D311),0))</f>
        <v>3</v>
      </c>
      <c r="R311" s="9">
        <f t="shared" si="44"/>
        <v>2.7272727272727271</v>
      </c>
      <c r="S311" s="8" t="str">
        <f t="array" ref="S311">IF(R311&gt;5,"Perlu Sensus",IF(AND(R311&gt;=0,O311&gt;0),"Tetap Deteksi","Belum Deteksi"))</f>
        <v>Tetap Deteksi</v>
      </c>
      <c r="T311" s="203"/>
      <c r="U311" s="9">
        <f t="shared" si="45"/>
        <v>0</v>
      </c>
      <c r="V311" s="132">
        <v>46249</v>
      </c>
      <c r="W311" s="143">
        <f t="array" ref="W311">INDEX('[21]DETEKSI ROT 2 (2)'!$L$343:$L$622,MATCH(1,('[21]DETEKSI ROT 2 (2)'!$D$343:$D$622=$D311)*('[21]DETEKSI ROT 2 (2)'!$D$343:$D$622=$D311),0))</f>
        <v>76</v>
      </c>
      <c r="X311" s="143">
        <f t="array" ref="X311">INDEX('[21]DETEKSI ROT 2 (2)'!$M$343:$M$622,MATCH(1,('[21]DETEKSI ROT 2 (2)'!$D$343:$D$622=$D311)*('[21]DETEKSI ROT 2 (2)'!$D$343:$D$622=$D311),0))</f>
        <v>3</v>
      </c>
      <c r="Y311" s="9">
        <f t="shared" si="46"/>
        <v>3.9473684210526314</v>
      </c>
      <c r="Z311" s="8" t="str">
        <f t="array" ref="Z311">IF(Y311&gt;5,"Perlu Sensus",IF(AND(Y311&gt;0,,O311&gt;0),"Tetap Deteksi","Belum Deteksi"))</f>
        <v>Belum Deteksi</v>
      </c>
      <c r="AA311" s="203"/>
      <c r="AB311" s="9">
        <f t="shared" si="47"/>
        <v>0</v>
      </c>
    </row>
    <row r="312" spans="1:28" x14ac:dyDescent="0.15">
      <c r="A312" s="8" t="s">
        <v>322</v>
      </c>
      <c r="B312" s="8" t="s">
        <v>79</v>
      </c>
      <c r="C312" s="8" t="s">
        <v>323</v>
      </c>
      <c r="D312" s="8" t="s">
        <v>334</v>
      </c>
      <c r="E312" s="9">
        <v>32.92</v>
      </c>
      <c r="F312" s="8" t="s">
        <v>325</v>
      </c>
      <c r="G312" s="143">
        <v>3952</v>
      </c>
      <c r="H312" s="132">
        <f t="shared" si="43"/>
        <v>46249</v>
      </c>
      <c r="I312" s="140">
        <f t="shared" si="43"/>
        <v>1127</v>
      </c>
      <c r="J312" s="9">
        <f t="shared" si="35"/>
        <v>28.517206477732792</v>
      </c>
      <c r="K312" s="140">
        <f t="shared" si="36"/>
        <v>3</v>
      </c>
      <c r="L312" s="206">
        <f t="shared" si="37"/>
        <v>0.26619343389529726</v>
      </c>
      <c r="M312" s="8" t="str">
        <f t="array" ref="M312">IF(L312&gt;5,"Perlu Sensus",IF(AND(L312&gt;=0,I312&gt;0),"Tetap Deteksi","Belum Deteksi"))</f>
        <v>Tetap Deteksi</v>
      </c>
      <c r="N312" s="132">
        <v>46249</v>
      </c>
      <c r="O312" s="143">
        <f t="array" ref="O312">INDEX('[21]DETEKSI ROT 2 (2)'!$G$343:$G$622,MATCH(1,('[21]DETEKSI ROT 2 (2)'!$D$343:$D$622=$D312)*('[21]DETEKSI ROT 2 (2)'!$D$343:$D$622=$D312),0))</f>
        <v>1127</v>
      </c>
      <c r="P312" s="9">
        <f t="array" ref="P312">IFERROR(O312/G312*100,0)</f>
        <v>28.517206477732792</v>
      </c>
      <c r="Q312" s="143">
        <f t="array" ref="Q312">INDEX('[21]DETEKSI ROT 2 (2)'!$I$343:$I$622,MATCH(1,('[21]DETEKSI ROT 2 (2)'!$D$343:$D$622=$D312)*('[21]DETEKSI ROT 2 (2)'!$D$343:$D$622=$D312),0))</f>
        <v>3</v>
      </c>
      <c r="R312" s="9">
        <f t="shared" si="44"/>
        <v>0.26619343389529726</v>
      </c>
      <c r="S312" s="8" t="str">
        <f t="array" ref="S312">IF(R312&gt;5,"Perlu Sensus",IF(AND(R312&gt;=0,O312&gt;0),"Tetap Deteksi","Belum Deteksi"))</f>
        <v>Tetap Deteksi</v>
      </c>
      <c r="T312" s="203"/>
      <c r="U312" s="9">
        <f t="shared" si="45"/>
        <v>0</v>
      </c>
      <c r="V312" s="132">
        <v>46249</v>
      </c>
      <c r="W312" s="143">
        <f t="array" ref="W312">INDEX('[21]DETEKSI ROT 2 (2)'!$L$343:$L$622,MATCH(1,('[21]DETEKSI ROT 2 (2)'!$D$343:$D$622=$D312)*('[21]DETEKSI ROT 2 (2)'!$D$343:$D$622=$D312),0))</f>
        <v>45</v>
      </c>
      <c r="X312" s="143">
        <f t="array" ref="X312">INDEX('[21]DETEKSI ROT 2 (2)'!$M$343:$M$622,MATCH(1,('[21]DETEKSI ROT 2 (2)'!$D$343:$D$622=$D312)*('[21]DETEKSI ROT 2 (2)'!$D$343:$D$622=$D312),0))</f>
        <v>3</v>
      </c>
      <c r="Y312" s="9">
        <f t="shared" si="46"/>
        <v>6.666666666666667</v>
      </c>
      <c r="Z312" s="8" t="str">
        <f t="array" ref="Z312">IF(Y312&gt;5,"Perlu Sensus",IF(AND(Y312&gt;0,,O312&gt;0),"Tetap Deteksi","Belum Deteksi"))</f>
        <v>Perlu Sensus</v>
      </c>
      <c r="AA312" s="203"/>
      <c r="AB312" s="9">
        <f t="shared" si="47"/>
        <v>0</v>
      </c>
    </row>
    <row r="313" spans="1:28" x14ac:dyDescent="0.15">
      <c r="A313" s="8" t="s">
        <v>322</v>
      </c>
      <c r="B313" s="8" t="s">
        <v>79</v>
      </c>
      <c r="C313" s="8" t="s">
        <v>323</v>
      </c>
      <c r="D313" s="8" t="s">
        <v>335</v>
      </c>
      <c r="E313" s="9">
        <v>26.19</v>
      </c>
      <c r="F313" s="8" t="s">
        <v>325</v>
      </c>
      <c r="G313" s="143">
        <v>3420</v>
      </c>
      <c r="H313" s="132">
        <f t="shared" si="43"/>
        <v>46249</v>
      </c>
      <c r="I313" s="140">
        <f t="shared" si="43"/>
        <v>95</v>
      </c>
      <c r="J313" s="9">
        <f t="shared" si="35"/>
        <v>2.7777777777777777</v>
      </c>
      <c r="K313" s="140">
        <f t="shared" si="36"/>
        <v>3</v>
      </c>
      <c r="L313" s="206">
        <f t="shared" si="37"/>
        <v>3.1578947368421053</v>
      </c>
      <c r="M313" s="8" t="str">
        <f t="array" ref="M313">IF(L313&gt;5,"Perlu Sensus",IF(AND(L313&gt;=0,I313&gt;0),"Tetap Deteksi","Belum Deteksi"))</f>
        <v>Tetap Deteksi</v>
      </c>
      <c r="N313" s="132">
        <v>46249</v>
      </c>
      <c r="O313" s="143">
        <f t="array" ref="O313">INDEX('[21]DETEKSI ROT 2 (2)'!$G$343:$G$622,MATCH(1,('[21]DETEKSI ROT 2 (2)'!$D$343:$D$622=$D313)*('[21]DETEKSI ROT 2 (2)'!$D$343:$D$622=$D313),0))</f>
        <v>95</v>
      </c>
      <c r="P313" s="9">
        <f t="array" ref="P313">IFERROR(O313/G313*100,0)</f>
        <v>2.7777777777777777</v>
      </c>
      <c r="Q313" s="143">
        <f t="array" ref="Q313">INDEX('[21]DETEKSI ROT 2 (2)'!$I$343:$I$622,MATCH(1,('[21]DETEKSI ROT 2 (2)'!$D$343:$D$622=$D313)*('[21]DETEKSI ROT 2 (2)'!$D$343:$D$622=$D313),0))</f>
        <v>3</v>
      </c>
      <c r="R313" s="9">
        <f t="shared" si="44"/>
        <v>3.1578947368421053</v>
      </c>
      <c r="S313" s="8" t="str">
        <f t="array" ref="S313">IF(R313&gt;5,"Perlu Sensus",IF(AND(R313&gt;=0,O313&gt;0),"Tetap Deteksi","Belum Deteksi"))</f>
        <v>Tetap Deteksi</v>
      </c>
      <c r="T313" s="203"/>
      <c r="U313" s="9">
        <f t="shared" si="45"/>
        <v>0</v>
      </c>
      <c r="V313" s="132">
        <v>46249</v>
      </c>
      <c r="W313" s="143">
        <f t="array" ref="W313">INDEX('[21]DETEKSI ROT 2 (2)'!$L$343:$L$622,MATCH(1,('[21]DETEKSI ROT 2 (2)'!$D$343:$D$622=$D313)*('[21]DETEKSI ROT 2 (2)'!$D$343:$D$622=$D313),0))</f>
        <v>78</v>
      </c>
      <c r="X313" s="143">
        <f t="array" ref="X313">INDEX('[21]DETEKSI ROT 2 (2)'!$M$343:$M$622,MATCH(1,('[21]DETEKSI ROT 2 (2)'!$D$343:$D$622=$D313)*('[21]DETEKSI ROT 2 (2)'!$D$343:$D$622=$D313),0))</f>
        <v>4</v>
      </c>
      <c r="Y313" s="9">
        <f t="shared" si="46"/>
        <v>5.1282051282051277</v>
      </c>
      <c r="Z313" s="8" t="str">
        <f t="array" ref="Z313">IF(Y313&gt;5,"Perlu Sensus",IF(AND(Y313&gt;0,,O313&gt;0),"Tetap Deteksi","Belum Deteksi"))</f>
        <v>Perlu Sensus</v>
      </c>
      <c r="AA313" s="203"/>
      <c r="AB313" s="9">
        <f t="shared" si="47"/>
        <v>0</v>
      </c>
    </row>
    <row r="314" spans="1:28" x14ac:dyDescent="0.15">
      <c r="A314" s="8" t="s">
        <v>322</v>
      </c>
      <c r="B314" s="8" t="s">
        <v>79</v>
      </c>
      <c r="C314" s="8" t="s">
        <v>323</v>
      </c>
      <c r="D314" s="8" t="s">
        <v>336</v>
      </c>
      <c r="E314" s="9">
        <v>28.47</v>
      </c>
      <c r="F314" s="8" t="s">
        <v>325</v>
      </c>
      <c r="G314" s="143">
        <v>3913</v>
      </c>
      <c r="H314" s="132">
        <f t="shared" si="43"/>
        <v>46249</v>
      </c>
      <c r="I314" s="140">
        <f t="shared" si="43"/>
        <v>110</v>
      </c>
      <c r="J314" s="9">
        <f t="shared" si="35"/>
        <v>2.8111423460260672</v>
      </c>
      <c r="K314" s="140">
        <f t="shared" si="36"/>
        <v>2</v>
      </c>
      <c r="L314" s="206">
        <f t="shared" si="37"/>
        <v>1.8181818181818181</v>
      </c>
      <c r="M314" s="8" t="str">
        <f t="array" ref="M314">IF(L314&gt;5,"Perlu Sensus",IF(AND(L314&gt;=0,I314&gt;0),"Tetap Deteksi","Belum Deteksi"))</f>
        <v>Tetap Deteksi</v>
      </c>
      <c r="N314" s="132">
        <v>46249</v>
      </c>
      <c r="O314" s="143">
        <f t="array" ref="O314">INDEX('[21]DETEKSI ROT 2 (2)'!$G$343:$G$622,MATCH(1,('[21]DETEKSI ROT 2 (2)'!$D$343:$D$622=$D314)*('[21]DETEKSI ROT 2 (2)'!$D$343:$D$622=$D314),0))</f>
        <v>110</v>
      </c>
      <c r="P314" s="9">
        <f t="array" ref="P314">IFERROR(O314/G314*100,0)</f>
        <v>2.8111423460260672</v>
      </c>
      <c r="Q314" s="143">
        <f t="array" ref="Q314">INDEX('[21]DETEKSI ROT 2 (2)'!$I$343:$I$622,MATCH(1,('[21]DETEKSI ROT 2 (2)'!$D$343:$D$622=$D314)*('[21]DETEKSI ROT 2 (2)'!$D$343:$D$622=$D314),0))</f>
        <v>2</v>
      </c>
      <c r="R314" s="9">
        <f t="shared" si="44"/>
        <v>1.8181818181818181</v>
      </c>
      <c r="S314" s="8" t="str">
        <f t="array" ref="S314">IF(R314&gt;5,"Perlu Sensus",IF(AND(R314&gt;=0,O314&gt;0),"Tetap Deteksi","Belum Deteksi"))</f>
        <v>Tetap Deteksi</v>
      </c>
      <c r="T314" s="203"/>
      <c r="U314" s="9">
        <f t="shared" si="45"/>
        <v>0</v>
      </c>
      <c r="V314" s="132">
        <v>46249</v>
      </c>
      <c r="W314" s="143">
        <f t="array" ref="W314">INDEX('[21]DETEKSI ROT 2 (2)'!$L$343:$L$622,MATCH(1,('[21]DETEKSI ROT 2 (2)'!$D$343:$D$622=$D314)*('[21]DETEKSI ROT 2 (2)'!$D$343:$D$622=$D314),0))</f>
        <v>57</v>
      </c>
      <c r="X314" s="143">
        <f t="array" ref="X314">INDEX('[21]DETEKSI ROT 2 (2)'!$M$343:$M$622,MATCH(1,('[21]DETEKSI ROT 2 (2)'!$D$343:$D$622=$D314)*('[21]DETEKSI ROT 2 (2)'!$D$343:$D$622=$D314),0))</f>
        <v>3</v>
      </c>
      <c r="Y314" s="9">
        <f t="shared" si="46"/>
        <v>5.2631578947368416</v>
      </c>
      <c r="Z314" s="8" t="str">
        <f t="array" ref="Z314">IF(Y314&gt;5,"Perlu Sensus",IF(AND(Y314&gt;0,,O314&gt;0),"Tetap Deteksi","Belum Deteksi"))</f>
        <v>Perlu Sensus</v>
      </c>
      <c r="AA314" s="203"/>
      <c r="AB314" s="9">
        <f t="shared" si="47"/>
        <v>0</v>
      </c>
    </row>
    <row r="315" spans="1:28" x14ac:dyDescent="0.15">
      <c r="A315" s="8" t="s">
        <v>322</v>
      </c>
      <c r="B315" s="8" t="s">
        <v>79</v>
      </c>
      <c r="C315" s="8" t="s">
        <v>323</v>
      </c>
      <c r="D315" s="8" t="s">
        <v>337</v>
      </c>
      <c r="E315" s="9">
        <v>47.23</v>
      </c>
      <c r="F315" s="8" t="s">
        <v>325</v>
      </c>
      <c r="G315" s="143">
        <v>7056</v>
      </c>
      <c r="H315" s="132">
        <f t="shared" si="43"/>
        <v>46249</v>
      </c>
      <c r="I315" s="140">
        <f t="shared" si="43"/>
        <v>78</v>
      </c>
      <c r="J315" s="9">
        <f t="shared" si="35"/>
        <v>1.1054421768707483</v>
      </c>
      <c r="K315" s="140">
        <f t="shared" si="36"/>
        <v>3</v>
      </c>
      <c r="L315" s="206">
        <f t="shared" si="37"/>
        <v>3.8461538461538463</v>
      </c>
      <c r="M315" s="8" t="str">
        <f t="array" ref="M315">IF(L315&gt;5,"Perlu Sensus",IF(AND(L315&gt;=0,I315&gt;0),"Tetap Deteksi","Belum Deteksi"))</f>
        <v>Tetap Deteksi</v>
      </c>
      <c r="N315" s="132">
        <v>46249</v>
      </c>
      <c r="O315" s="143">
        <f t="array" ref="O315">INDEX('[21]DETEKSI ROT 2 (2)'!$G$343:$G$622,MATCH(1,('[21]DETEKSI ROT 2 (2)'!$D$343:$D$622=$D315)*('[21]DETEKSI ROT 2 (2)'!$D$343:$D$622=$D315),0))</f>
        <v>78</v>
      </c>
      <c r="P315" s="9">
        <f t="array" ref="P315">IFERROR(O315/G315*100,0)</f>
        <v>1.1054421768707483</v>
      </c>
      <c r="Q315" s="143">
        <f t="array" ref="Q315">INDEX('[21]DETEKSI ROT 2 (2)'!$I$343:$I$622,MATCH(1,('[21]DETEKSI ROT 2 (2)'!$D$343:$D$622=$D315)*('[21]DETEKSI ROT 2 (2)'!$D$343:$D$622=$D315),0))</f>
        <v>3</v>
      </c>
      <c r="R315" s="9">
        <f t="shared" si="44"/>
        <v>3.8461538461538463</v>
      </c>
      <c r="S315" s="8" t="str">
        <f t="array" ref="S315">IF(R315&gt;5,"Perlu Sensus",IF(AND(R315&gt;=0,O315&gt;0),"Tetap Deteksi","Belum Deteksi"))</f>
        <v>Tetap Deteksi</v>
      </c>
      <c r="T315" s="203"/>
      <c r="U315" s="9">
        <f t="shared" si="45"/>
        <v>0</v>
      </c>
      <c r="V315" s="132">
        <v>46249</v>
      </c>
      <c r="W315" s="143">
        <f t="array" ref="W315">INDEX('[21]DETEKSI ROT 2 (2)'!$L$343:$L$622,MATCH(1,('[21]DETEKSI ROT 2 (2)'!$D$343:$D$622=$D315)*('[21]DETEKSI ROT 2 (2)'!$D$343:$D$622=$D315),0))</f>
        <v>75</v>
      </c>
      <c r="X315" s="143">
        <f t="array" ref="X315">INDEX('[21]DETEKSI ROT 2 (2)'!$M$343:$M$622,MATCH(1,('[21]DETEKSI ROT 2 (2)'!$D$343:$D$622=$D315)*('[21]DETEKSI ROT 2 (2)'!$D$343:$D$622=$D315),0))</f>
        <v>2</v>
      </c>
      <c r="Y315" s="9">
        <f t="shared" si="46"/>
        <v>2.666666666666667</v>
      </c>
      <c r="Z315" s="8" t="str">
        <f t="array" ref="Z315">IF(Y315&gt;5,"Perlu Sensus",IF(AND(Y315&gt;0,,O315&gt;0),"Tetap Deteksi","Belum Deteksi"))</f>
        <v>Belum Deteksi</v>
      </c>
      <c r="AA315" s="203"/>
      <c r="AB315" s="9">
        <f t="shared" si="47"/>
        <v>0</v>
      </c>
    </row>
    <row r="316" spans="1:28" x14ac:dyDescent="0.15">
      <c r="A316" s="8" t="s">
        <v>322</v>
      </c>
      <c r="B316" s="8" t="s">
        <v>79</v>
      </c>
      <c r="C316" s="8" t="s">
        <v>323</v>
      </c>
      <c r="D316" s="8" t="s">
        <v>338</v>
      </c>
      <c r="E316" s="9">
        <v>30.13</v>
      </c>
      <c r="F316" s="8" t="s">
        <v>325</v>
      </c>
      <c r="G316" s="143">
        <v>4634</v>
      </c>
      <c r="H316" s="132">
        <f t="shared" si="43"/>
        <v>46249</v>
      </c>
      <c r="I316" s="140">
        <f t="shared" si="43"/>
        <v>88</v>
      </c>
      <c r="J316" s="9">
        <f t="shared" si="35"/>
        <v>1.8990073370738023</v>
      </c>
      <c r="K316" s="140">
        <f t="shared" si="36"/>
        <v>3</v>
      </c>
      <c r="L316" s="206">
        <f t="shared" si="37"/>
        <v>3.4090909090909087</v>
      </c>
      <c r="M316" s="8" t="str">
        <f t="array" ref="M316">IF(L316&gt;5,"Perlu Sensus",IF(AND(L316&gt;=0,I316&gt;0),"Tetap Deteksi","Belum Deteksi"))</f>
        <v>Tetap Deteksi</v>
      </c>
      <c r="N316" s="132">
        <v>46249</v>
      </c>
      <c r="O316" s="143">
        <f t="array" ref="O316">INDEX('[21]DETEKSI ROT 2 (2)'!$G$343:$G$622,MATCH(1,('[21]DETEKSI ROT 2 (2)'!$D$343:$D$622=$D316)*('[21]DETEKSI ROT 2 (2)'!$D$343:$D$622=$D316),0))</f>
        <v>88</v>
      </c>
      <c r="P316" s="9">
        <f t="array" ref="P316">IFERROR(O316/G316*100,0)</f>
        <v>1.8990073370738023</v>
      </c>
      <c r="Q316" s="143">
        <f t="array" ref="Q316">INDEX('[21]DETEKSI ROT 2 (2)'!$I$343:$I$622,MATCH(1,('[21]DETEKSI ROT 2 (2)'!$D$343:$D$622=$D316)*('[21]DETEKSI ROT 2 (2)'!$D$343:$D$622=$D316),0))</f>
        <v>3</v>
      </c>
      <c r="R316" s="9">
        <f t="shared" si="44"/>
        <v>3.4090909090909087</v>
      </c>
      <c r="S316" s="8" t="str">
        <f t="array" ref="S316">IF(R316&gt;5,"Perlu Sensus",IF(AND(R316&gt;=0,O316&gt;0),"Tetap Deteksi","Belum Deteksi"))</f>
        <v>Tetap Deteksi</v>
      </c>
      <c r="T316" s="203"/>
      <c r="U316" s="9">
        <f t="shared" si="45"/>
        <v>0</v>
      </c>
      <c r="V316" s="132">
        <v>46249</v>
      </c>
      <c r="W316" s="143">
        <f t="array" ref="W316">INDEX('[21]DETEKSI ROT 2 (2)'!$L$343:$L$622,MATCH(1,('[21]DETEKSI ROT 2 (2)'!$D$343:$D$622=$D316)*('[21]DETEKSI ROT 2 (2)'!$D$343:$D$622=$D316),0))</f>
        <v>45</v>
      </c>
      <c r="X316" s="143">
        <f t="array" ref="X316">INDEX('[21]DETEKSI ROT 2 (2)'!$M$343:$M$622,MATCH(1,('[21]DETEKSI ROT 2 (2)'!$D$343:$D$622=$D316)*('[21]DETEKSI ROT 2 (2)'!$D$343:$D$622=$D316),0))</f>
        <v>3</v>
      </c>
      <c r="Y316" s="9">
        <f t="shared" si="46"/>
        <v>6.666666666666667</v>
      </c>
      <c r="Z316" s="8" t="str">
        <f t="array" ref="Z316">IF(Y316&gt;5,"Perlu Sensus",IF(AND(Y316&gt;0,,O316&gt;0),"Tetap Deteksi","Belum Deteksi"))</f>
        <v>Perlu Sensus</v>
      </c>
      <c r="AA316" s="203"/>
      <c r="AB316" s="9">
        <f t="shared" si="47"/>
        <v>0</v>
      </c>
    </row>
    <row r="317" spans="1:28" x14ac:dyDescent="0.15">
      <c r="A317" s="8" t="s">
        <v>322</v>
      </c>
      <c r="B317" s="8" t="s">
        <v>79</v>
      </c>
      <c r="C317" s="8" t="s">
        <v>323</v>
      </c>
      <c r="D317" s="8" t="s">
        <v>339</v>
      </c>
      <c r="E317" s="9">
        <v>26.03</v>
      </c>
      <c r="F317" s="8" t="s">
        <v>325</v>
      </c>
      <c r="G317" s="143">
        <v>3680</v>
      </c>
      <c r="H317" s="132">
        <f t="shared" si="43"/>
        <v>46249</v>
      </c>
      <c r="I317" s="140">
        <f t="shared" si="43"/>
        <v>115</v>
      </c>
      <c r="J317" s="9">
        <f t="shared" si="35"/>
        <v>3.125</v>
      </c>
      <c r="K317" s="140">
        <f t="shared" si="36"/>
        <v>3</v>
      </c>
      <c r="L317" s="206">
        <f t="shared" si="37"/>
        <v>2.6086956521739131</v>
      </c>
      <c r="M317" s="8" t="str">
        <f t="array" ref="M317">IF(L317&gt;5,"Perlu Sensus",IF(AND(L317&gt;=0,I317&gt;0),"Tetap Deteksi","Belum Deteksi"))</f>
        <v>Tetap Deteksi</v>
      </c>
      <c r="N317" s="132">
        <v>46249</v>
      </c>
      <c r="O317" s="143">
        <f t="array" ref="O317">INDEX('[21]DETEKSI ROT 2 (2)'!$G$343:$G$622,MATCH(1,('[21]DETEKSI ROT 2 (2)'!$D$343:$D$622=$D317)*('[21]DETEKSI ROT 2 (2)'!$D$343:$D$622=$D317),0))</f>
        <v>115</v>
      </c>
      <c r="P317" s="9">
        <f t="array" ref="P317">IFERROR(O317/G317*100,0)</f>
        <v>3.125</v>
      </c>
      <c r="Q317" s="143">
        <f t="array" ref="Q317">INDEX('[21]DETEKSI ROT 2 (2)'!$I$343:$I$622,MATCH(1,('[21]DETEKSI ROT 2 (2)'!$D$343:$D$622=$D317)*('[21]DETEKSI ROT 2 (2)'!$D$343:$D$622=$D317),0))</f>
        <v>3</v>
      </c>
      <c r="R317" s="9">
        <f t="shared" si="44"/>
        <v>2.6086956521739131</v>
      </c>
      <c r="S317" s="8" t="str">
        <f t="array" ref="S317">IF(R317&gt;5,"Perlu Sensus",IF(AND(R317&gt;=0,O317&gt;0),"Tetap Deteksi","Belum Deteksi"))</f>
        <v>Tetap Deteksi</v>
      </c>
      <c r="T317" s="203"/>
      <c r="U317" s="9">
        <f t="shared" si="45"/>
        <v>0</v>
      </c>
      <c r="V317" s="132">
        <v>46249</v>
      </c>
      <c r="W317" s="143">
        <f t="array" ref="W317">INDEX('[21]DETEKSI ROT 2 (2)'!$L$343:$L$622,MATCH(1,('[21]DETEKSI ROT 2 (2)'!$D$343:$D$622=$D317)*('[21]DETEKSI ROT 2 (2)'!$D$343:$D$622=$D317),0))</f>
        <v>52</v>
      </c>
      <c r="X317" s="143">
        <f t="array" ref="X317">INDEX('[21]DETEKSI ROT 2 (2)'!$M$343:$M$622,MATCH(1,('[21]DETEKSI ROT 2 (2)'!$D$343:$D$622=$D317)*('[21]DETEKSI ROT 2 (2)'!$D$343:$D$622=$D317),0))</f>
        <v>2</v>
      </c>
      <c r="Y317" s="9">
        <f t="shared" si="46"/>
        <v>3.8461538461538463</v>
      </c>
      <c r="Z317" s="8" t="str">
        <f t="array" ref="Z317">IF(Y317&gt;5,"Perlu Sensus",IF(AND(Y317&gt;0,,O317&gt;0),"Tetap Deteksi","Belum Deteksi"))</f>
        <v>Belum Deteksi</v>
      </c>
      <c r="AA317" s="203"/>
      <c r="AB317" s="9">
        <f t="shared" si="47"/>
        <v>0</v>
      </c>
    </row>
    <row r="318" spans="1:28" x14ac:dyDescent="0.15">
      <c r="A318" s="8" t="s">
        <v>322</v>
      </c>
      <c r="B318" s="8" t="s">
        <v>79</v>
      </c>
      <c r="C318" s="8" t="s">
        <v>323</v>
      </c>
      <c r="D318" s="8" t="s">
        <v>340</v>
      </c>
      <c r="E318" s="9">
        <v>24.72</v>
      </c>
      <c r="F318" s="8" t="s">
        <v>325</v>
      </c>
      <c r="G318" s="143">
        <v>3609</v>
      </c>
      <c r="H318" s="132">
        <f t="shared" si="43"/>
        <v>46249</v>
      </c>
      <c r="I318" s="140">
        <f t="shared" si="43"/>
        <v>78</v>
      </c>
      <c r="J318" s="9">
        <f t="shared" si="35"/>
        <v>2.1612635078969245</v>
      </c>
      <c r="K318" s="140">
        <f t="shared" si="36"/>
        <v>3</v>
      </c>
      <c r="L318" s="206">
        <f t="shared" si="37"/>
        <v>3.8461538461538463</v>
      </c>
      <c r="M318" s="8" t="str">
        <f t="array" ref="M318">IF(L318&gt;5,"Perlu Sensus",IF(AND(L318&gt;=0,I318&gt;0),"Tetap Deteksi","Belum Deteksi"))</f>
        <v>Tetap Deteksi</v>
      </c>
      <c r="N318" s="132">
        <v>46249</v>
      </c>
      <c r="O318" s="143">
        <f t="array" ref="O318">INDEX('[21]DETEKSI ROT 2 (2)'!$G$343:$G$622,MATCH(1,('[21]DETEKSI ROT 2 (2)'!$D$343:$D$622=$D318)*('[21]DETEKSI ROT 2 (2)'!$D$343:$D$622=$D318),0))</f>
        <v>78</v>
      </c>
      <c r="P318" s="9">
        <f t="array" ref="P318">IFERROR(O318/G318*100,0)</f>
        <v>2.1612635078969245</v>
      </c>
      <c r="Q318" s="143">
        <f t="array" ref="Q318">INDEX('[21]DETEKSI ROT 2 (2)'!$I$343:$I$622,MATCH(1,('[21]DETEKSI ROT 2 (2)'!$D$343:$D$622=$D318)*('[21]DETEKSI ROT 2 (2)'!$D$343:$D$622=$D318),0))</f>
        <v>3</v>
      </c>
      <c r="R318" s="9">
        <f t="shared" si="44"/>
        <v>3.8461538461538463</v>
      </c>
      <c r="S318" s="8" t="str">
        <f t="array" ref="S318">IF(R318&gt;5,"Perlu Sensus",IF(AND(R318&gt;=0,O318&gt;0),"Tetap Deteksi","Belum Deteksi"))</f>
        <v>Tetap Deteksi</v>
      </c>
      <c r="T318" s="203"/>
      <c r="U318" s="9">
        <f t="shared" si="45"/>
        <v>0</v>
      </c>
      <c r="V318" s="132">
        <v>46249</v>
      </c>
      <c r="W318" s="143">
        <f t="array" ref="W318">INDEX('[21]DETEKSI ROT 2 (2)'!$L$343:$L$622,MATCH(1,('[21]DETEKSI ROT 2 (2)'!$D$343:$D$622=$D318)*('[21]DETEKSI ROT 2 (2)'!$D$343:$D$622=$D318),0))</f>
        <v>33</v>
      </c>
      <c r="X318" s="143">
        <f t="array" ref="X318">INDEX('[21]DETEKSI ROT 2 (2)'!$M$343:$M$622,MATCH(1,('[21]DETEKSI ROT 2 (2)'!$D$343:$D$622=$D318)*('[21]DETEKSI ROT 2 (2)'!$D$343:$D$622=$D318),0))</f>
        <v>3</v>
      </c>
      <c r="Y318" s="9">
        <f t="shared" si="46"/>
        <v>9.0909090909090917</v>
      </c>
      <c r="Z318" s="8" t="str">
        <f t="array" ref="Z318">IF(Y318&gt;5,"Perlu Sensus",IF(AND(Y318&gt;0,,O318&gt;0),"Tetap Deteksi","Belum Deteksi"))</f>
        <v>Perlu Sensus</v>
      </c>
      <c r="AA318" s="203"/>
      <c r="AB318" s="9">
        <f t="shared" si="47"/>
        <v>0</v>
      </c>
    </row>
    <row r="319" spans="1:28" x14ac:dyDescent="0.15">
      <c r="A319" s="8" t="s">
        <v>322</v>
      </c>
      <c r="B319" s="8" t="s">
        <v>79</v>
      </c>
      <c r="C319" s="8" t="s">
        <v>323</v>
      </c>
      <c r="D319" s="8" t="s">
        <v>341</v>
      </c>
      <c r="E319" s="9">
        <v>26.06</v>
      </c>
      <c r="F319" s="8" t="s">
        <v>325</v>
      </c>
      <c r="G319" s="143">
        <v>3894</v>
      </c>
      <c r="H319" s="132">
        <f t="shared" si="43"/>
        <v>46249</v>
      </c>
      <c r="I319" s="140">
        <f t="shared" si="43"/>
        <v>95</v>
      </c>
      <c r="J319" s="9">
        <f t="shared" si="35"/>
        <v>2.4396507447354905</v>
      </c>
      <c r="K319" s="140">
        <f t="shared" si="36"/>
        <v>3</v>
      </c>
      <c r="L319" s="206">
        <f t="shared" si="37"/>
        <v>3.1578947368421053</v>
      </c>
      <c r="M319" s="8" t="str">
        <f t="array" ref="M319">IF(L319&gt;5,"Perlu Sensus",IF(AND(L319&gt;=0,I319&gt;0),"Tetap Deteksi","Belum Deteksi"))</f>
        <v>Tetap Deteksi</v>
      </c>
      <c r="N319" s="132">
        <v>46249</v>
      </c>
      <c r="O319" s="143">
        <f t="array" ref="O319">INDEX('[21]DETEKSI ROT 2 (2)'!$G$343:$G$622,MATCH(1,('[21]DETEKSI ROT 2 (2)'!$D$343:$D$622=$D319)*('[21]DETEKSI ROT 2 (2)'!$D$343:$D$622=$D319),0))</f>
        <v>95</v>
      </c>
      <c r="P319" s="9">
        <f t="array" ref="P319">IFERROR(O319/G319*100,0)</f>
        <v>2.4396507447354905</v>
      </c>
      <c r="Q319" s="143">
        <f t="array" ref="Q319">INDEX('[21]DETEKSI ROT 2 (2)'!$I$343:$I$622,MATCH(1,('[21]DETEKSI ROT 2 (2)'!$D$343:$D$622=$D319)*('[21]DETEKSI ROT 2 (2)'!$D$343:$D$622=$D319),0))</f>
        <v>3</v>
      </c>
      <c r="R319" s="9">
        <f t="shared" si="44"/>
        <v>3.1578947368421053</v>
      </c>
      <c r="S319" s="8" t="str">
        <f t="array" ref="S319">IF(R319&gt;5,"Perlu Sensus",IF(AND(R319&gt;=0,O319&gt;0),"Tetap Deteksi","Belum Deteksi"))</f>
        <v>Tetap Deteksi</v>
      </c>
      <c r="T319" s="203"/>
      <c r="U319" s="9">
        <f t="shared" si="45"/>
        <v>0</v>
      </c>
      <c r="V319" s="132">
        <v>46249</v>
      </c>
      <c r="W319" s="143">
        <f t="array" ref="W319">INDEX('[21]DETEKSI ROT 2 (2)'!$L$343:$L$622,MATCH(1,('[21]DETEKSI ROT 2 (2)'!$D$343:$D$622=$D319)*('[21]DETEKSI ROT 2 (2)'!$D$343:$D$622=$D319),0))</f>
        <v>53</v>
      </c>
      <c r="X319" s="143">
        <f t="array" ref="X319">INDEX('[21]DETEKSI ROT 2 (2)'!$M$343:$M$622,MATCH(1,('[21]DETEKSI ROT 2 (2)'!$D$343:$D$622=$D319)*('[21]DETEKSI ROT 2 (2)'!$D$343:$D$622=$D319),0))</f>
        <v>2</v>
      </c>
      <c r="Y319" s="9">
        <f t="shared" si="46"/>
        <v>3.7735849056603774</v>
      </c>
      <c r="Z319" s="8" t="str">
        <f t="array" ref="Z319">IF(Y319&gt;5,"Perlu Sensus",IF(AND(Y319&gt;0,,O319&gt;0),"Tetap Deteksi","Belum Deteksi"))</f>
        <v>Belum Deteksi</v>
      </c>
      <c r="AA319" s="203"/>
      <c r="AB319" s="9">
        <f t="shared" si="47"/>
        <v>0</v>
      </c>
    </row>
    <row r="320" spans="1:28" x14ac:dyDescent="0.15">
      <c r="A320" s="8" t="s">
        <v>322</v>
      </c>
      <c r="B320" s="8" t="s">
        <v>79</v>
      </c>
      <c r="C320" s="8" t="s">
        <v>323</v>
      </c>
      <c r="D320" s="8" t="s">
        <v>342</v>
      </c>
      <c r="E320" s="9">
        <v>24.63</v>
      </c>
      <c r="F320" s="8" t="s">
        <v>325</v>
      </c>
      <c r="G320" s="143">
        <v>3720</v>
      </c>
      <c r="H320" s="132">
        <f t="shared" si="43"/>
        <v>46249</v>
      </c>
      <c r="I320" s="140">
        <f t="shared" si="43"/>
        <v>101</v>
      </c>
      <c r="J320" s="9">
        <f t="shared" si="35"/>
        <v>2.71505376344086</v>
      </c>
      <c r="K320" s="140">
        <f t="shared" si="36"/>
        <v>2</v>
      </c>
      <c r="L320" s="206">
        <f t="shared" si="37"/>
        <v>1.9801980198019802</v>
      </c>
      <c r="M320" s="8" t="str">
        <f t="array" ref="M320">IF(L320&gt;5,"Perlu Sensus",IF(AND(L320&gt;=0,I320&gt;0),"Tetap Deteksi","Belum Deteksi"))</f>
        <v>Tetap Deteksi</v>
      </c>
      <c r="N320" s="132">
        <v>46249</v>
      </c>
      <c r="O320" s="143">
        <f t="array" ref="O320">INDEX('[21]DETEKSI ROT 2 (2)'!$G$343:$G$622,MATCH(1,('[21]DETEKSI ROT 2 (2)'!$D$343:$D$622=$D320)*('[21]DETEKSI ROT 2 (2)'!$D$343:$D$622=$D320),0))</f>
        <v>101</v>
      </c>
      <c r="P320" s="9">
        <f t="array" ref="P320">IFERROR(O320/G320*100,0)</f>
        <v>2.71505376344086</v>
      </c>
      <c r="Q320" s="143">
        <f t="array" ref="Q320">INDEX('[21]DETEKSI ROT 2 (2)'!$I$343:$I$622,MATCH(1,('[21]DETEKSI ROT 2 (2)'!$D$343:$D$622=$D320)*('[21]DETEKSI ROT 2 (2)'!$D$343:$D$622=$D320),0))</f>
        <v>2</v>
      </c>
      <c r="R320" s="9">
        <f t="shared" si="44"/>
        <v>1.9801980198019802</v>
      </c>
      <c r="S320" s="8" t="str">
        <f t="array" ref="S320">IF(R320&gt;5,"Perlu Sensus",IF(AND(R320&gt;=0,O320&gt;0),"Tetap Deteksi","Belum Deteksi"))</f>
        <v>Tetap Deteksi</v>
      </c>
      <c r="T320" s="203"/>
      <c r="U320" s="9">
        <f t="shared" si="45"/>
        <v>0</v>
      </c>
      <c r="V320" s="132">
        <v>46249</v>
      </c>
      <c r="W320" s="143">
        <f t="array" ref="W320">INDEX('[21]DETEKSI ROT 2 (2)'!$L$343:$L$622,MATCH(1,('[21]DETEKSI ROT 2 (2)'!$D$343:$D$622=$D320)*('[21]DETEKSI ROT 2 (2)'!$D$343:$D$622=$D320),0))</f>
        <v>63</v>
      </c>
      <c r="X320" s="143">
        <f t="array" ref="X320">INDEX('[21]DETEKSI ROT 2 (2)'!$M$343:$M$622,MATCH(1,('[21]DETEKSI ROT 2 (2)'!$D$343:$D$622=$D320)*('[21]DETEKSI ROT 2 (2)'!$D$343:$D$622=$D320),0))</f>
        <v>3</v>
      </c>
      <c r="Y320" s="9">
        <f t="shared" si="46"/>
        <v>4.7619047619047619</v>
      </c>
      <c r="Z320" s="8" t="str">
        <f t="array" ref="Z320">IF(Y320&gt;5,"Perlu Sensus",IF(AND(Y320&gt;0,,O320&gt;0),"Tetap Deteksi","Belum Deteksi"))</f>
        <v>Belum Deteksi</v>
      </c>
      <c r="AA320" s="203"/>
      <c r="AB320" s="9">
        <f t="shared" si="47"/>
        <v>0</v>
      </c>
    </row>
    <row r="321" spans="1:28" x14ac:dyDescent="0.15">
      <c r="A321" s="8" t="s">
        <v>322</v>
      </c>
      <c r="B321" s="8" t="s">
        <v>79</v>
      </c>
      <c r="C321" s="8" t="s">
        <v>323</v>
      </c>
      <c r="D321" s="8" t="s">
        <v>343</v>
      </c>
      <c r="E321" s="9">
        <v>47.2</v>
      </c>
      <c r="F321" s="8" t="s">
        <v>325</v>
      </c>
      <c r="G321" s="143">
        <v>6946</v>
      </c>
      <c r="H321" s="132">
        <f t="shared" si="43"/>
        <v>46249</v>
      </c>
      <c r="I321" s="140">
        <f t="shared" si="43"/>
        <v>73</v>
      </c>
      <c r="J321" s="9">
        <f t="shared" si="35"/>
        <v>1.0509645839331989</v>
      </c>
      <c r="K321" s="140">
        <f t="shared" si="36"/>
        <v>3</v>
      </c>
      <c r="L321" s="206">
        <f t="shared" si="37"/>
        <v>4.10958904109589</v>
      </c>
      <c r="M321" s="8" t="str">
        <f t="array" ref="M321">IF(L321&gt;5,"Perlu Sensus",IF(AND(L321&gt;=0,I321&gt;0),"Tetap Deteksi","Belum Deteksi"))</f>
        <v>Tetap Deteksi</v>
      </c>
      <c r="N321" s="132">
        <v>46249</v>
      </c>
      <c r="O321" s="143">
        <f t="array" ref="O321">INDEX('[21]DETEKSI ROT 2 (2)'!$G$343:$G$622,MATCH(1,('[21]DETEKSI ROT 2 (2)'!$D$343:$D$622=$D321)*('[21]DETEKSI ROT 2 (2)'!$D$343:$D$622=$D321),0))</f>
        <v>73</v>
      </c>
      <c r="P321" s="9">
        <f t="array" ref="P321">IFERROR(O321/G321*100,0)</f>
        <v>1.0509645839331989</v>
      </c>
      <c r="Q321" s="143">
        <f t="array" ref="Q321">INDEX('[21]DETEKSI ROT 2 (2)'!$I$343:$I$622,MATCH(1,('[21]DETEKSI ROT 2 (2)'!$D$343:$D$622=$D321)*('[21]DETEKSI ROT 2 (2)'!$D$343:$D$622=$D321),0))</f>
        <v>3</v>
      </c>
      <c r="R321" s="9">
        <f t="shared" si="44"/>
        <v>4.10958904109589</v>
      </c>
      <c r="S321" s="8" t="str">
        <f t="array" ref="S321">IF(R321&gt;5,"Perlu Sensus",IF(AND(R321&gt;=0,O321&gt;0),"Tetap Deteksi","Belum Deteksi"))</f>
        <v>Tetap Deteksi</v>
      </c>
      <c r="T321" s="203"/>
      <c r="U321" s="9">
        <f t="shared" si="45"/>
        <v>0</v>
      </c>
      <c r="V321" s="132">
        <v>46249</v>
      </c>
      <c r="W321" s="143">
        <f t="array" ref="W321">INDEX('[21]DETEKSI ROT 2 (2)'!$L$343:$L$622,MATCH(1,('[21]DETEKSI ROT 2 (2)'!$D$343:$D$622=$D321)*('[21]DETEKSI ROT 2 (2)'!$D$343:$D$622=$D321),0))</f>
        <v>54</v>
      </c>
      <c r="X321" s="143">
        <f t="array" ref="X321">INDEX('[21]DETEKSI ROT 2 (2)'!$M$343:$M$622,MATCH(1,('[21]DETEKSI ROT 2 (2)'!$D$343:$D$622=$D321)*('[21]DETEKSI ROT 2 (2)'!$D$343:$D$622=$D321),0))</f>
        <v>2</v>
      </c>
      <c r="Y321" s="9">
        <f t="shared" si="46"/>
        <v>3.7037037037037033</v>
      </c>
      <c r="Z321" s="8" t="str">
        <f t="array" ref="Z321">IF(Y321&gt;5,"Perlu Sensus",IF(AND(Y321&gt;0,,O321&gt;0),"Tetap Deteksi","Belum Deteksi"))</f>
        <v>Belum Deteksi</v>
      </c>
      <c r="AA321" s="203"/>
      <c r="AB321" s="9">
        <f t="shared" si="47"/>
        <v>0</v>
      </c>
    </row>
    <row r="322" spans="1:28" x14ac:dyDescent="0.15">
      <c r="A322" s="8" t="s">
        <v>322</v>
      </c>
      <c r="B322" s="8" t="s">
        <v>79</v>
      </c>
      <c r="C322" s="8" t="s">
        <v>323</v>
      </c>
      <c r="D322" s="8" t="s">
        <v>344</v>
      </c>
      <c r="E322" s="9">
        <v>39.08</v>
      </c>
      <c r="F322" s="8" t="s">
        <v>325</v>
      </c>
      <c r="G322" s="143">
        <v>4075</v>
      </c>
      <c r="H322" s="132">
        <f t="shared" si="43"/>
        <v>46249</v>
      </c>
      <c r="I322" s="140">
        <f t="shared" si="43"/>
        <v>77</v>
      </c>
      <c r="J322" s="9">
        <f t="shared" si="35"/>
        <v>1.8895705521472392</v>
      </c>
      <c r="K322" s="140">
        <f t="shared" si="36"/>
        <v>3</v>
      </c>
      <c r="L322" s="206">
        <f t="shared" si="37"/>
        <v>3.8961038961038961</v>
      </c>
      <c r="M322" s="8" t="str">
        <f t="array" ref="M322">IF(L322&gt;5,"Perlu Sensus",IF(AND(L322&gt;=0,I322&gt;0),"Tetap Deteksi","Belum Deteksi"))</f>
        <v>Tetap Deteksi</v>
      </c>
      <c r="N322" s="132">
        <v>46249</v>
      </c>
      <c r="O322" s="143">
        <f t="array" ref="O322">INDEX('[21]DETEKSI ROT 2 (2)'!$G$343:$G$622,MATCH(1,('[21]DETEKSI ROT 2 (2)'!$D$343:$D$622=$D322)*('[21]DETEKSI ROT 2 (2)'!$D$343:$D$622=$D322),0))</f>
        <v>77</v>
      </c>
      <c r="P322" s="9">
        <f t="array" ref="P322">IFERROR(O322/G322*100,0)</f>
        <v>1.8895705521472392</v>
      </c>
      <c r="Q322" s="143">
        <f t="array" ref="Q322">INDEX('[21]DETEKSI ROT 2 (2)'!$I$343:$I$622,MATCH(1,('[21]DETEKSI ROT 2 (2)'!$D$343:$D$622=$D322)*('[21]DETEKSI ROT 2 (2)'!$D$343:$D$622=$D322),0))</f>
        <v>3</v>
      </c>
      <c r="R322" s="9">
        <f t="shared" si="44"/>
        <v>3.8961038961038961</v>
      </c>
      <c r="S322" s="8" t="str">
        <f t="array" ref="S322">IF(R322&gt;5,"Perlu Sensus",IF(AND(R322&gt;=0,O322&gt;0),"Tetap Deteksi","Belum Deteksi"))</f>
        <v>Tetap Deteksi</v>
      </c>
      <c r="T322" s="203"/>
      <c r="U322" s="9">
        <f t="shared" si="45"/>
        <v>0</v>
      </c>
      <c r="V322" s="132">
        <v>46249</v>
      </c>
      <c r="W322" s="143">
        <f t="array" ref="W322">INDEX('[21]DETEKSI ROT 2 (2)'!$L$343:$L$622,MATCH(1,('[21]DETEKSI ROT 2 (2)'!$D$343:$D$622=$D322)*('[21]DETEKSI ROT 2 (2)'!$D$343:$D$622=$D322),0))</f>
        <v>32</v>
      </c>
      <c r="X322" s="143">
        <f t="array" ref="X322">INDEX('[21]DETEKSI ROT 2 (2)'!$M$343:$M$622,MATCH(1,('[21]DETEKSI ROT 2 (2)'!$D$343:$D$622=$D322)*('[21]DETEKSI ROT 2 (2)'!$D$343:$D$622=$D322),0))</f>
        <v>3</v>
      </c>
      <c r="Y322" s="9">
        <f t="shared" si="46"/>
        <v>9.375</v>
      </c>
      <c r="Z322" s="8" t="str">
        <f t="array" ref="Z322">IF(Y322&gt;5,"Perlu Sensus",IF(AND(Y322&gt;0,,O322&gt;0),"Tetap Deteksi","Belum Deteksi"))</f>
        <v>Perlu Sensus</v>
      </c>
      <c r="AA322" s="203"/>
      <c r="AB322" s="9">
        <f t="shared" si="47"/>
        <v>0</v>
      </c>
    </row>
    <row r="323" spans="1:28" x14ac:dyDescent="0.15">
      <c r="A323" s="8" t="s">
        <v>322</v>
      </c>
      <c r="B323" s="8" t="s">
        <v>79</v>
      </c>
      <c r="C323" s="8" t="s">
        <v>345</v>
      </c>
      <c r="D323" s="8" t="s">
        <v>346</v>
      </c>
      <c r="E323" s="9">
        <v>26.24</v>
      </c>
      <c r="F323" s="8" t="s">
        <v>325</v>
      </c>
      <c r="G323" s="143">
        <v>3918</v>
      </c>
      <c r="H323" s="132">
        <f t="shared" si="43"/>
        <v>46249</v>
      </c>
      <c r="I323" s="140">
        <f t="shared" si="43"/>
        <v>112</v>
      </c>
      <c r="J323" s="9">
        <f t="shared" si="35"/>
        <v>2.8586013272077588</v>
      </c>
      <c r="K323" s="140">
        <f t="shared" si="36"/>
        <v>3</v>
      </c>
      <c r="L323" s="206">
        <f t="shared" si="37"/>
        <v>2.6785714285714284</v>
      </c>
      <c r="M323" s="8" t="str">
        <f t="array" ref="M323">IF(L323&gt;5,"Perlu Sensus",IF(AND(L323&gt;=0,I323&gt;0),"Tetap Deteksi","Belum Deteksi"))</f>
        <v>Tetap Deteksi</v>
      </c>
      <c r="N323" s="132">
        <v>46249</v>
      </c>
      <c r="O323" s="143">
        <f t="array" ref="O323">INDEX('[21]DETEKSI ROT 2 (2)'!$G$343:$G$622,MATCH(1,('[21]DETEKSI ROT 2 (2)'!$D$343:$D$622=$D323)*('[21]DETEKSI ROT 2 (2)'!$D$343:$D$622=$D323),0))</f>
        <v>112</v>
      </c>
      <c r="P323" s="9">
        <f t="array" ref="P323">IFERROR(O323/G323*100,0)</f>
        <v>2.8586013272077588</v>
      </c>
      <c r="Q323" s="143">
        <f t="array" ref="Q323">INDEX('[21]DETEKSI ROT 2 (2)'!$I$343:$I$622,MATCH(1,('[21]DETEKSI ROT 2 (2)'!$D$343:$D$622=$D323)*('[21]DETEKSI ROT 2 (2)'!$D$343:$D$622=$D323),0))</f>
        <v>3</v>
      </c>
      <c r="R323" s="9">
        <f t="shared" si="44"/>
        <v>2.6785714285714284</v>
      </c>
      <c r="S323" s="8" t="str">
        <f t="array" ref="S323">IF(R323&gt;5,"Perlu Sensus",IF(AND(R323&gt;=0,O323&gt;0),"Tetap Deteksi","Belum Deteksi"))</f>
        <v>Tetap Deteksi</v>
      </c>
      <c r="T323" s="203"/>
      <c r="U323" s="9">
        <f t="shared" si="45"/>
        <v>0</v>
      </c>
      <c r="V323" s="132">
        <v>46249</v>
      </c>
      <c r="W323" s="143">
        <f t="array" ref="W323">INDEX('[21]DETEKSI ROT 2 (2)'!$L$343:$L$622,MATCH(1,('[21]DETEKSI ROT 2 (2)'!$D$343:$D$622=$D323)*('[21]DETEKSI ROT 2 (2)'!$D$343:$D$622=$D323),0))</f>
        <v>25</v>
      </c>
      <c r="X323" s="143">
        <f t="array" ref="X323">INDEX('[21]DETEKSI ROT 2 (2)'!$M$343:$M$622,MATCH(1,('[21]DETEKSI ROT 2 (2)'!$D$343:$D$622=$D323)*('[21]DETEKSI ROT 2 (2)'!$D$343:$D$622=$D323),0))</f>
        <v>2</v>
      </c>
      <c r="Y323" s="9">
        <f t="shared" si="46"/>
        <v>8</v>
      </c>
      <c r="Z323" s="8" t="str">
        <f t="array" ref="Z323">IF(Y323&gt;5,"Perlu Sensus",IF(AND(Y323&gt;0,,O323&gt;0),"Tetap Deteksi","Belum Deteksi"))</f>
        <v>Perlu Sensus</v>
      </c>
      <c r="AA323" s="203"/>
      <c r="AB323" s="9">
        <f t="shared" si="47"/>
        <v>0</v>
      </c>
    </row>
    <row r="324" spans="1:28" x14ac:dyDescent="0.15">
      <c r="A324" s="8" t="s">
        <v>322</v>
      </c>
      <c r="B324" s="8" t="s">
        <v>79</v>
      </c>
      <c r="C324" s="8" t="s">
        <v>345</v>
      </c>
      <c r="D324" s="8" t="s">
        <v>347</v>
      </c>
      <c r="E324" s="9">
        <v>26.95</v>
      </c>
      <c r="F324" s="8" t="s">
        <v>325</v>
      </c>
      <c r="G324" s="143">
        <v>3703</v>
      </c>
      <c r="H324" s="132">
        <f t="shared" si="43"/>
        <v>46249</v>
      </c>
      <c r="I324" s="140">
        <f t="shared" si="43"/>
        <v>132</v>
      </c>
      <c r="J324" s="9">
        <f t="shared" si="35"/>
        <v>3.5646772886848503</v>
      </c>
      <c r="K324" s="140">
        <f t="shared" si="36"/>
        <v>3</v>
      </c>
      <c r="L324" s="206">
        <f t="shared" si="37"/>
        <v>2.2727272727272729</v>
      </c>
      <c r="M324" s="8" t="str">
        <f t="array" ref="M324">IF(L324&gt;5,"Perlu Sensus",IF(AND(L324&gt;=0,I324&gt;0),"Tetap Deteksi","Belum Deteksi"))</f>
        <v>Tetap Deteksi</v>
      </c>
      <c r="N324" s="132">
        <v>46249</v>
      </c>
      <c r="O324" s="143">
        <f t="array" ref="O324">INDEX('[21]DETEKSI ROT 2 (2)'!$G$343:$G$622,MATCH(1,('[21]DETEKSI ROT 2 (2)'!$D$343:$D$622=$D324)*('[21]DETEKSI ROT 2 (2)'!$D$343:$D$622=$D324),0))</f>
        <v>132</v>
      </c>
      <c r="P324" s="9">
        <f t="array" ref="P324">IFERROR(O324/G324*100,0)</f>
        <v>3.5646772886848503</v>
      </c>
      <c r="Q324" s="143">
        <f t="array" ref="Q324">INDEX('[21]DETEKSI ROT 2 (2)'!$I$343:$I$622,MATCH(1,('[21]DETEKSI ROT 2 (2)'!$D$343:$D$622=$D324)*('[21]DETEKSI ROT 2 (2)'!$D$343:$D$622=$D324),0))</f>
        <v>3</v>
      </c>
      <c r="R324" s="9">
        <f t="shared" si="44"/>
        <v>2.2727272727272729</v>
      </c>
      <c r="S324" s="8" t="str">
        <f t="array" ref="S324">IF(R324&gt;5,"Perlu Sensus",IF(AND(R324&gt;=0,O324&gt;0),"Tetap Deteksi","Belum Deteksi"))</f>
        <v>Tetap Deteksi</v>
      </c>
      <c r="T324" s="203"/>
      <c r="U324" s="9">
        <f t="shared" si="45"/>
        <v>0</v>
      </c>
      <c r="V324" s="132">
        <v>46249</v>
      </c>
      <c r="W324" s="143">
        <f t="array" ref="W324">INDEX('[21]DETEKSI ROT 2 (2)'!$L$343:$L$622,MATCH(1,('[21]DETEKSI ROT 2 (2)'!$D$343:$D$622=$D324)*('[21]DETEKSI ROT 2 (2)'!$D$343:$D$622=$D324),0))</f>
        <v>20</v>
      </c>
      <c r="X324" s="143">
        <f t="array" ref="X324">INDEX('[21]DETEKSI ROT 2 (2)'!$M$343:$M$622,MATCH(1,('[21]DETEKSI ROT 2 (2)'!$D$343:$D$622=$D324)*('[21]DETEKSI ROT 2 (2)'!$D$343:$D$622=$D324),0))</f>
        <v>3</v>
      </c>
      <c r="Y324" s="9">
        <f t="shared" si="46"/>
        <v>15</v>
      </c>
      <c r="Z324" s="8" t="str">
        <f t="array" ref="Z324">IF(Y324&gt;5,"Perlu Sensus",IF(AND(Y324&gt;0,,O324&gt;0),"Tetap Deteksi","Belum Deteksi"))</f>
        <v>Perlu Sensus</v>
      </c>
      <c r="AA324" s="203"/>
      <c r="AB324" s="9">
        <f t="shared" si="47"/>
        <v>0</v>
      </c>
    </row>
    <row r="325" spans="1:28" x14ac:dyDescent="0.15">
      <c r="A325" s="8" t="s">
        <v>322</v>
      </c>
      <c r="B325" s="8" t="s">
        <v>79</v>
      </c>
      <c r="C325" s="8" t="s">
        <v>345</v>
      </c>
      <c r="D325" s="8" t="s">
        <v>348</v>
      </c>
      <c r="E325" s="9">
        <v>44.95</v>
      </c>
      <c r="F325" s="8" t="s">
        <v>325</v>
      </c>
      <c r="G325" s="143">
        <v>6254</v>
      </c>
      <c r="H325" s="132">
        <f t="shared" si="43"/>
        <v>46249</v>
      </c>
      <c r="I325" s="140">
        <f t="shared" si="43"/>
        <v>123</v>
      </c>
      <c r="J325" s="9">
        <f t="shared" si="35"/>
        <v>1.9667412855772306</v>
      </c>
      <c r="K325" s="140">
        <f t="shared" si="36"/>
        <v>2</v>
      </c>
      <c r="L325" s="206">
        <f t="shared" si="37"/>
        <v>1.6260162601626018</v>
      </c>
      <c r="M325" s="8" t="str">
        <f t="array" ref="M325">IF(L325&gt;5,"Perlu Sensus",IF(AND(L325&gt;=0,I325&gt;0),"Tetap Deteksi","Belum Deteksi"))</f>
        <v>Tetap Deteksi</v>
      </c>
      <c r="N325" s="132">
        <v>46249</v>
      </c>
      <c r="O325" s="143">
        <f t="array" ref="O325">INDEX('[21]DETEKSI ROT 2 (2)'!$G$343:$G$622,MATCH(1,('[21]DETEKSI ROT 2 (2)'!$D$343:$D$622=$D325)*('[21]DETEKSI ROT 2 (2)'!$D$343:$D$622=$D325),0))</f>
        <v>123</v>
      </c>
      <c r="P325" s="9">
        <f t="array" ref="P325">IFERROR(O325/G325*100,0)</f>
        <v>1.9667412855772306</v>
      </c>
      <c r="Q325" s="143">
        <f t="array" ref="Q325">INDEX('[21]DETEKSI ROT 2 (2)'!$I$343:$I$622,MATCH(1,('[21]DETEKSI ROT 2 (2)'!$D$343:$D$622=$D325)*('[21]DETEKSI ROT 2 (2)'!$D$343:$D$622=$D325),0))</f>
        <v>2</v>
      </c>
      <c r="R325" s="9">
        <f t="shared" si="44"/>
        <v>1.6260162601626018</v>
      </c>
      <c r="S325" s="8" t="str">
        <f t="array" ref="S325">IF(R325&gt;5,"Perlu Sensus",IF(AND(R325&gt;=0,O325&gt;0),"Tetap Deteksi","Belum Deteksi"))</f>
        <v>Tetap Deteksi</v>
      </c>
      <c r="T325" s="203"/>
      <c r="U325" s="9">
        <f t="shared" si="45"/>
        <v>0</v>
      </c>
      <c r="V325" s="132">
        <v>46249</v>
      </c>
      <c r="W325" s="143">
        <f t="array" ref="W325">INDEX('[21]DETEKSI ROT 2 (2)'!$L$343:$L$622,MATCH(1,('[21]DETEKSI ROT 2 (2)'!$D$343:$D$622=$D325)*('[21]DETEKSI ROT 2 (2)'!$D$343:$D$622=$D325),0))</f>
        <v>35</v>
      </c>
      <c r="X325" s="143">
        <f t="array" ref="X325">INDEX('[21]DETEKSI ROT 2 (2)'!$M$343:$M$622,MATCH(1,('[21]DETEKSI ROT 2 (2)'!$D$343:$D$622=$D325)*('[21]DETEKSI ROT 2 (2)'!$D$343:$D$622=$D325),0))</f>
        <v>2</v>
      </c>
      <c r="Y325" s="9">
        <f t="shared" si="46"/>
        <v>5.7142857142857144</v>
      </c>
      <c r="Z325" s="8" t="str">
        <f t="array" ref="Z325">IF(Y325&gt;5,"Perlu Sensus",IF(AND(Y325&gt;0,,O325&gt;0),"Tetap Deteksi","Belum Deteksi"))</f>
        <v>Perlu Sensus</v>
      </c>
      <c r="AA325" s="203"/>
      <c r="AB325" s="9">
        <f t="shared" si="47"/>
        <v>0</v>
      </c>
    </row>
    <row r="326" spans="1:28" x14ac:dyDescent="0.15">
      <c r="A326" s="8" t="s">
        <v>322</v>
      </c>
      <c r="B326" s="8" t="s">
        <v>79</v>
      </c>
      <c r="C326" s="8" t="s">
        <v>345</v>
      </c>
      <c r="D326" s="8" t="s">
        <v>349</v>
      </c>
      <c r="E326" s="9">
        <v>28.94</v>
      </c>
      <c r="F326" s="8" t="s">
        <v>325</v>
      </c>
      <c r="G326" s="143">
        <v>3794</v>
      </c>
      <c r="H326" s="132">
        <f t="shared" si="43"/>
        <v>46249</v>
      </c>
      <c r="I326" s="140">
        <f t="shared" si="43"/>
        <v>71</v>
      </c>
      <c r="J326" s="9">
        <f t="shared" ref="J326:J389" si="48">IF(P326&gt;0,P326," ")</f>
        <v>1.871375856615709</v>
      </c>
      <c r="K326" s="140">
        <f t="shared" ref="K326:K389" si="49">IF(Q326&gt;0,Q326,X326)</f>
        <v>3</v>
      </c>
      <c r="L326" s="206">
        <f t="shared" ref="L326:L389" si="50">IFERROR(K326/I326*100,0)</f>
        <v>4.225352112676056</v>
      </c>
      <c r="M326" s="8" t="str">
        <f t="array" ref="M326">IF(L326&gt;5,"Perlu Sensus",IF(AND(L326&gt;=0,I326&gt;0),"Tetap Deteksi","Belum Deteksi"))</f>
        <v>Tetap Deteksi</v>
      </c>
      <c r="N326" s="132">
        <v>46249</v>
      </c>
      <c r="O326" s="143">
        <f t="array" ref="O326">INDEX('[21]DETEKSI ROT 2 (2)'!$G$343:$G$622,MATCH(1,('[21]DETEKSI ROT 2 (2)'!$D$343:$D$622=$D326)*('[21]DETEKSI ROT 2 (2)'!$D$343:$D$622=$D326),0))</f>
        <v>71</v>
      </c>
      <c r="P326" s="9">
        <f t="array" ref="P326">IFERROR(O326/G326*100,0)</f>
        <v>1.871375856615709</v>
      </c>
      <c r="Q326" s="143">
        <f t="array" ref="Q326">INDEX('[21]DETEKSI ROT 2 (2)'!$I$343:$I$622,MATCH(1,('[21]DETEKSI ROT 2 (2)'!$D$343:$D$622=$D326)*('[21]DETEKSI ROT 2 (2)'!$D$343:$D$622=$D326),0))</f>
        <v>3</v>
      </c>
      <c r="R326" s="9">
        <f t="shared" si="44"/>
        <v>4.225352112676056</v>
      </c>
      <c r="S326" s="8" t="str">
        <f t="array" ref="S326">IF(R326&gt;5,"Perlu Sensus",IF(AND(R326&gt;=0,O326&gt;0),"Tetap Deteksi","Belum Deteksi"))</f>
        <v>Tetap Deteksi</v>
      </c>
      <c r="T326" s="203"/>
      <c r="U326" s="9">
        <f t="shared" si="45"/>
        <v>0</v>
      </c>
      <c r="V326" s="132">
        <v>46249</v>
      </c>
      <c r="W326" s="143">
        <f t="array" ref="W326">INDEX('[21]DETEKSI ROT 2 (2)'!$L$343:$L$622,MATCH(1,('[21]DETEKSI ROT 2 (2)'!$D$343:$D$622=$D326)*('[21]DETEKSI ROT 2 (2)'!$D$343:$D$622=$D326),0))</f>
        <v>45</v>
      </c>
      <c r="X326" s="143">
        <f t="array" ref="X326">INDEX('[21]DETEKSI ROT 2 (2)'!$M$343:$M$622,MATCH(1,('[21]DETEKSI ROT 2 (2)'!$D$343:$D$622=$D326)*('[21]DETEKSI ROT 2 (2)'!$D$343:$D$622=$D326),0))</f>
        <v>3</v>
      </c>
      <c r="Y326" s="9">
        <f t="shared" ref="Y326:Y389" si="51">IFERROR(X326/W326*100,0)</f>
        <v>6.666666666666667</v>
      </c>
      <c r="Z326" s="8" t="str">
        <f t="array" ref="Z326">IF(Y326&gt;5,"Perlu Sensus",IF(AND(Y326&gt;0,,O326&gt;0),"Tetap Deteksi","Belum Deteksi"))</f>
        <v>Perlu Sensus</v>
      </c>
      <c r="AA326" s="203"/>
      <c r="AB326" s="9">
        <f t="shared" si="47"/>
        <v>0</v>
      </c>
    </row>
    <row r="327" spans="1:28" x14ac:dyDescent="0.15">
      <c r="A327" s="8" t="s">
        <v>322</v>
      </c>
      <c r="B327" s="8" t="s">
        <v>79</v>
      </c>
      <c r="C327" s="8" t="s">
        <v>345</v>
      </c>
      <c r="D327" s="8" t="s">
        <v>350</v>
      </c>
      <c r="E327" s="9">
        <v>23.92</v>
      </c>
      <c r="F327" s="8" t="s">
        <v>325</v>
      </c>
      <c r="G327" s="143">
        <v>3078</v>
      </c>
      <c r="H327" s="132">
        <f t="shared" si="43"/>
        <v>46249</v>
      </c>
      <c r="I327" s="140">
        <f t="shared" si="43"/>
        <v>121</v>
      </c>
      <c r="J327" s="9">
        <f t="shared" si="48"/>
        <v>3.9311241065627027</v>
      </c>
      <c r="K327" s="140">
        <f t="shared" si="49"/>
        <v>2</v>
      </c>
      <c r="L327" s="206">
        <f t="shared" si="50"/>
        <v>1.6528925619834711</v>
      </c>
      <c r="M327" s="8" t="str">
        <f t="array" ref="M327">IF(L327&gt;5,"Perlu Sensus",IF(AND(L327&gt;=0,I327&gt;0),"Tetap Deteksi","Belum Deteksi"))</f>
        <v>Tetap Deteksi</v>
      </c>
      <c r="N327" s="132">
        <v>46249</v>
      </c>
      <c r="O327" s="143">
        <f t="array" ref="O327">INDEX('[21]DETEKSI ROT 2 (2)'!$G$343:$G$622,MATCH(1,('[21]DETEKSI ROT 2 (2)'!$D$343:$D$622=$D327)*('[21]DETEKSI ROT 2 (2)'!$D$343:$D$622=$D327),0))</f>
        <v>121</v>
      </c>
      <c r="P327" s="9">
        <f t="array" ref="P327">IFERROR(O327/G327*100,0)</f>
        <v>3.9311241065627027</v>
      </c>
      <c r="Q327" s="143">
        <f t="array" ref="Q327">INDEX('[21]DETEKSI ROT 2 (2)'!$I$343:$I$622,MATCH(1,('[21]DETEKSI ROT 2 (2)'!$D$343:$D$622=$D327)*('[21]DETEKSI ROT 2 (2)'!$D$343:$D$622=$D327),0))</f>
        <v>2</v>
      </c>
      <c r="R327" s="9">
        <f t="shared" ref="R327:R390" si="52">IFERROR(Q327/O327*100,0)</f>
        <v>1.6528925619834711</v>
      </c>
      <c r="S327" s="8" t="str">
        <f t="array" ref="S327">IF(R327&gt;5,"Perlu Sensus",IF(AND(R327&gt;=0,O327&gt;0),"Tetap Deteksi","Belum Deteksi"))</f>
        <v>Tetap Deteksi</v>
      </c>
      <c r="T327" s="203"/>
      <c r="U327" s="9">
        <f t="shared" ref="U327:U390" si="53">IFERROR(T327/O327*100,0)</f>
        <v>0</v>
      </c>
      <c r="V327" s="132">
        <v>46249</v>
      </c>
      <c r="W327" s="143">
        <f t="array" ref="W327">INDEX('[21]DETEKSI ROT 2 (2)'!$L$343:$L$622,MATCH(1,('[21]DETEKSI ROT 2 (2)'!$D$343:$D$622=$D327)*('[21]DETEKSI ROT 2 (2)'!$D$343:$D$622=$D327),0))</f>
        <v>58</v>
      </c>
      <c r="X327" s="143">
        <f t="array" ref="X327">INDEX('[21]DETEKSI ROT 2 (2)'!$M$343:$M$622,MATCH(1,('[21]DETEKSI ROT 2 (2)'!$D$343:$D$622=$D327)*('[21]DETEKSI ROT 2 (2)'!$D$343:$D$622=$D327),0))</f>
        <v>3</v>
      </c>
      <c r="Y327" s="9">
        <f t="shared" si="51"/>
        <v>5.1724137931034484</v>
      </c>
      <c r="Z327" s="8" t="str">
        <f t="array" ref="Z327">IF(Y327&gt;5,"Perlu Sensus",IF(AND(Y327&gt;0,,O327&gt;0),"Tetap Deteksi","Belum Deteksi"))</f>
        <v>Perlu Sensus</v>
      </c>
      <c r="AA327" s="203"/>
      <c r="AB327" s="9">
        <f t="shared" ref="AB327:AB390" si="54">IFERROR(AA327/W327*100,0)</f>
        <v>0</v>
      </c>
    </row>
    <row r="328" spans="1:28" x14ac:dyDescent="0.15">
      <c r="A328" s="8" t="s">
        <v>322</v>
      </c>
      <c r="B328" s="8" t="s">
        <v>79</v>
      </c>
      <c r="C328" s="8" t="s">
        <v>345</v>
      </c>
      <c r="D328" s="8" t="s">
        <v>351</v>
      </c>
      <c r="E328" s="9">
        <v>25.29</v>
      </c>
      <c r="F328" s="8" t="s">
        <v>325</v>
      </c>
      <c r="G328" s="143">
        <v>3586</v>
      </c>
      <c r="H328" s="132">
        <f t="shared" si="43"/>
        <v>46249</v>
      </c>
      <c r="I328" s="140">
        <f t="shared" si="43"/>
        <v>98</v>
      </c>
      <c r="J328" s="9">
        <f t="shared" si="48"/>
        <v>2.7328499721137756</v>
      </c>
      <c r="K328" s="140">
        <f t="shared" si="49"/>
        <v>3</v>
      </c>
      <c r="L328" s="206">
        <f t="shared" si="50"/>
        <v>3.0612244897959182</v>
      </c>
      <c r="M328" s="8" t="str">
        <f t="array" ref="M328">IF(L328&gt;5,"Perlu Sensus",IF(AND(L328&gt;=0,I328&gt;0),"Tetap Deteksi","Belum Deteksi"))</f>
        <v>Tetap Deteksi</v>
      </c>
      <c r="N328" s="132">
        <v>46249</v>
      </c>
      <c r="O328" s="143">
        <f t="array" ref="O328">INDEX('[21]DETEKSI ROT 2 (2)'!$G$343:$G$622,MATCH(1,('[21]DETEKSI ROT 2 (2)'!$D$343:$D$622=$D328)*('[21]DETEKSI ROT 2 (2)'!$D$343:$D$622=$D328),0))</f>
        <v>98</v>
      </c>
      <c r="P328" s="9">
        <f t="array" ref="P328">IFERROR(O328/G328*100,0)</f>
        <v>2.7328499721137756</v>
      </c>
      <c r="Q328" s="143">
        <f t="array" ref="Q328">INDEX('[21]DETEKSI ROT 2 (2)'!$I$343:$I$622,MATCH(1,('[21]DETEKSI ROT 2 (2)'!$D$343:$D$622=$D328)*('[21]DETEKSI ROT 2 (2)'!$D$343:$D$622=$D328),0))</f>
        <v>3</v>
      </c>
      <c r="R328" s="9">
        <f t="shared" si="52"/>
        <v>3.0612244897959182</v>
      </c>
      <c r="S328" s="8" t="str">
        <f t="array" ref="S328">IF(R328&gt;5,"Perlu Sensus",IF(AND(R328&gt;=0,O328&gt;0),"Tetap Deteksi","Belum Deteksi"))</f>
        <v>Tetap Deteksi</v>
      </c>
      <c r="T328" s="203"/>
      <c r="U328" s="9">
        <f t="shared" si="53"/>
        <v>0</v>
      </c>
      <c r="V328" s="132">
        <v>46249</v>
      </c>
      <c r="W328" s="143">
        <f t="array" ref="W328">INDEX('[21]DETEKSI ROT 2 (2)'!$L$343:$L$622,MATCH(1,('[21]DETEKSI ROT 2 (2)'!$D$343:$D$622=$D328)*('[21]DETEKSI ROT 2 (2)'!$D$343:$D$622=$D328),0))</f>
        <v>38</v>
      </c>
      <c r="X328" s="143">
        <f t="array" ref="X328">INDEX('[21]DETEKSI ROT 2 (2)'!$M$343:$M$622,MATCH(1,('[21]DETEKSI ROT 2 (2)'!$D$343:$D$622=$D328)*('[21]DETEKSI ROT 2 (2)'!$D$343:$D$622=$D328),0))</f>
        <v>2</v>
      </c>
      <c r="Y328" s="9">
        <f t="shared" si="51"/>
        <v>5.2631578947368416</v>
      </c>
      <c r="Z328" s="8" t="str">
        <f t="array" ref="Z328">IF(Y328&gt;5,"Perlu Sensus",IF(AND(Y328&gt;0,,O328&gt;0),"Tetap Deteksi","Belum Deteksi"))</f>
        <v>Perlu Sensus</v>
      </c>
      <c r="AA328" s="203"/>
      <c r="AB328" s="9">
        <f t="shared" si="54"/>
        <v>0</v>
      </c>
    </row>
    <row r="329" spans="1:28" x14ac:dyDescent="0.15">
      <c r="A329" s="8" t="s">
        <v>322</v>
      </c>
      <c r="B329" s="8" t="s">
        <v>79</v>
      </c>
      <c r="C329" s="8" t="s">
        <v>345</v>
      </c>
      <c r="D329" s="8" t="s">
        <v>352</v>
      </c>
      <c r="E329" s="9">
        <v>25.78</v>
      </c>
      <c r="F329" s="8" t="s">
        <v>325</v>
      </c>
      <c r="G329" s="143">
        <v>3736</v>
      </c>
      <c r="H329" s="132">
        <f t="shared" si="43"/>
        <v>46249</v>
      </c>
      <c r="I329" s="140">
        <f t="shared" si="43"/>
        <v>125</v>
      </c>
      <c r="J329" s="9">
        <f t="shared" si="48"/>
        <v>3.3458244111349038</v>
      </c>
      <c r="K329" s="140">
        <f t="shared" si="49"/>
        <v>2</v>
      </c>
      <c r="L329" s="206">
        <f t="shared" si="50"/>
        <v>1.6</v>
      </c>
      <c r="M329" s="8" t="str">
        <f t="array" ref="M329">IF(L329&gt;5,"Perlu Sensus",IF(AND(L329&gt;=0,I329&gt;0),"Tetap Deteksi","Belum Deteksi"))</f>
        <v>Tetap Deteksi</v>
      </c>
      <c r="N329" s="132">
        <v>46249</v>
      </c>
      <c r="O329" s="143">
        <f t="array" ref="O329">INDEX('[21]DETEKSI ROT 2 (2)'!$G$343:$G$622,MATCH(1,('[21]DETEKSI ROT 2 (2)'!$D$343:$D$622=$D329)*('[21]DETEKSI ROT 2 (2)'!$D$343:$D$622=$D329),0))</f>
        <v>125</v>
      </c>
      <c r="P329" s="9">
        <f t="array" ref="P329">IFERROR(O329/G329*100,0)</f>
        <v>3.3458244111349038</v>
      </c>
      <c r="Q329" s="143">
        <f t="array" ref="Q329">INDEX('[21]DETEKSI ROT 2 (2)'!$I$343:$I$622,MATCH(1,('[21]DETEKSI ROT 2 (2)'!$D$343:$D$622=$D329)*('[21]DETEKSI ROT 2 (2)'!$D$343:$D$622=$D329),0))</f>
        <v>2</v>
      </c>
      <c r="R329" s="9">
        <f t="shared" si="52"/>
        <v>1.6</v>
      </c>
      <c r="S329" s="8" t="str">
        <f t="array" ref="S329">IF(R329&gt;5,"Perlu Sensus",IF(AND(R329&gt;=0,O329&gt;0),"Tetap Deteksi","Belum Deteksi"))</f>
        <v>Tetap Deteksi</v>
      </c>
      <c r="T329" s="203"/>
      <c r="U329" s="9">
        <f t="shared" si="53"/>
        <v>0</v>
      </c>
      <c r="V329" s="132">
        <v>46249</v>
      </c>
      <c r="W329" s="143">
        <f t="array" ref="W329">INDEX('[21]DETEKSI ROT 2 (2)'!$L$343:$L$622,MATCH(1,('[21]DETEKSI ROT 2 (2)'!$D$343:$D$622=$D329)*('[21]DETEKSI ROT 2 (2)'!$D$343:$D$622=$D329),0))</f>
        <v>75</v>
      </c>
      <c r="X329" s="143">
        <f t="array" ref="X329">INDEX('[21]DETEKSI ROT 2 (2)'!$M$343:$M$622,MATCH(1,('[21]DETEKSI ROT 2 (2)'!$D$343:$D$622=$D329)*('[21]DETEKSI ROT 2 (2)'!$D$343:$D$622=$D329),0))</f>
        <v>3</v>
      </c>
      <c r="Y329" s="9">
        <f t="shared" si="51"/>
        <v>4</v>
      </c>
      <c r="Z329" s="8" t="str">
        <f t="array" ref="Z329">IF(Y329&gt;5,"Perlu Sensus",IF(AND(Y329&gt;0,,O329&gt;0),"Tetap Deteksi","Belum Deteksi"))</f>
        <v>Belum Deteksi</v>
      </c>
      <c r="AA329" s="203"/>
      <c r="AB329" s="9">
        <f t="shared" si="54"/>
        <v>0</v>
      </c>
    </row>
    <row r="330" spans="1:28" x14ac:dyDescent="0.15">
      <c r="A330" s="8" t="s">
        <v>322</v>
      </c>
      <c r="B330" s="8" t="s">
        <v>79</v>
      </c>
      <c r="C330" s="8" t="s">
        <v>345</v>
      </c>
      <c r="D330" s="8" t="s">
        <v>353</v>
      </c>
      <c r="E330" s="9">
        <v>25.32</v>
      </c>
      <c r="F330" s="8" t="s">
        <v>325</v>
      </c>
      <c r="G330" s="143">
        <v>3584</v>
      </c>
      <c r="H330" s="132">
        <f t="shared" si="43"/>
        <v>46249</v>
      </c>
      <c r="I330" s="140">
        <f t="shared" si="43"/>
        <v>53</v>
      </c>
      <c r="J330" s="9">
        <f t="shared" si="48"/>
        <v>1.4787946428571428</v>
      </c>
      <c r="K330" s="140">
        <f t="shared" si="49"/>
        <v>2</v>
      </c>
      <c r="L330" s="206">
        <f t="shared" si="50"/>
        <v>3.7735849056603774</v>
      </c>
      <c r="M330" s="8" t="str">
        <f t="array" ref="M330">IF(L330&gt;5,"Perlu Sensus",IF(AND(L330&gt;=0,I330&gt;0),"Tetap Deteksi","Belum Deteksi"))</f>
        <v>Tetap Deteksi</v>
      </c>
      <c r="N330" s="132">
        <v>46249</v>
      </c>
      <c r="O330" s="143">
        <f t="array" ref="O330">INDEX('[21]DETEKSI ROT 2 (2)'!$G$343:$G$622,MATCH(1,('[21]DETEKSI ROT 2 (2)'!$D$343:$D$622=$D330)*('[21]DETEKSI ROT 2 (2)'!$D$343:$D$622=$D330),0))</f>
        <v>53</v>
      </c>
      <c r="P330" s="9">
        <f t="array" ref="P330">IFERROR(O330/G330*100,0)</f>
        <v>1.4787946428571428</v>
      </c>
      <c r="Q330" s="143">
        <f t="array" ref="Q330">INDEX('[21]DETEKSI ROT 2 (2)'!$I$343:$I$622,MATCH(1,('[21]DETEKSI ROT 2 (2)'!$D$343:$D$622=$D330)*('[21]DETEKSI ROT 2 (2)'!$D$343:$D$622=$D330),0))</f>
        <v>2</v>
      </c>
      <c r="R330" s="9">
        <f t="shared" si="52"/>
        <v>3.7735849056603774</v>
      </c>
      <c r="S330" s="8" t="str">
        <f t="array" ref="S330">IF(R330&gt;5,"Perlu Sensus",IF(AND(R330&gt;=0,O330&gt;0),"Tetap Deteksi","Belum Deteksi"))</f>
        <v>Tetap Deteksi</v>
      </c>
      <c r="T330" s="203"/>
      <c r="U330" s="9">
        <f t="shared" si="53"/>
        <v>0</v>
      </c>
      <c r="V330" s="132">
        <v>46249</v>
      </c>
      <c r="W330" s="143">
        <f t="array" ref="W330">INDEX('[21]DETEKSI ROT 2 (2)'!$L$343:$L$622,MATCH(1,('[21]DETEKSI ROT 2 (2)'!$D$343:$D$622=$D330)*('[21]DETEKSI ROT 2 (2)'!$D$343:$D$622=$D330),0))</f>
        <v>56</v>
      </c>
      <c r="X330" s="143">
        <f t="array" ref="X330">INDEX('[21]DETEKSI ROT 2 (2)'!$M$343:$M$622,MATCH(1,('[21]DETEKSI ROT 2 (2)'!$D$343:$D$622=$D330)*('[21]DETEKSI ROT 2 (2)'!$D$343:$D$622=$D330),0))</f>
        <v>3</v>
      </c>
      <c r="Y330" s="9">
        <f t="shared" si="51"/>
        <v>5.3571428571428568</v>
      </c>
      <c r="Z330" s="8" t="str">
        <f t="array" ref="Z330">IF(Y330&gt;5,"Perlu Sensus",IF(AND(Y330&gt;0,,O330&gt;0),"Tetap Deteksi","Belum Deteksi"))</f>
        <v>Perlu Sensus</v>
      </c>
      <c r="AA330" s="203"/>
      <c r="AB330" s="9">
        <f t="shared" si="54"/>
        <v>0</v>
      </c>
    </row>
    <row r="331" spans="1:28" x14ac:dyDescent="0.15">
      <c r="A331" s="8" t="s">
        <v>322</v>
      </c>
      <c r="B331" s="8" t="s">
        <v>79</v>
      </c>
      <c r="C331" s="8" t="s">
        <v>345</v>
      </c>
      <c r="D331" s="8" t="s">
        <v>354</v>
      </c>
      <c r="E331" s="9">
        <v>46.98</v>
      </c>
      <c r="F331" s="8" t="s">
        <v>325</v>
      </c>
      <c r="G331" s="143">
        <v>6951</v>
      </c>
      <c r="H331" s="132">
        <f t="shared" si="43"/>
        <v>46249</v>
      </c>
      <c r="I331" s="140">
        <f t="shared" si="43"/>
        <v>135</v>
      </c>
      <c r="J331" s="9">
        <f t="shared" si="48"/>
        <v>1.9421665947345708</v>
      </c>
      <c r="K331" s="140">
        <f t="shared" si="49"/>
        <v>3</v>
      </c>
      <c r="L331" s="206">
        <f t="shared" si="50"/>
        <v>2.2222222222222223</v>
      </c>
      <c r="M331" s="8" t="str">
        <f t="array" ref="M331">IF(L331&gt;5,"Perlu Sensus",IF(AND(L331&gt;=0,I331&gt;0),"Tetap Deteksi","Belum Deteksi"))</f>
        <v>Tetap Deteksi</v>
      </c>
      <c r="N331" s="132">
        <v>46249</v>
      </c>
      <c r="O331" s="143">
        <f t="array" ref="O331">INDEX('[21]DETEKSI ROT 2 (2)'!$G$343:$G$622,MATCH(1,('[21]DETEKSI ROT 2 (2)'!$D$343:$D$622=$D331)*('[21]DETEKSI ROT 2 (2)'!$D$343:$D$622=$D331),0))</f>
        <v>135</v>
      </c>
      <c r="P331" s="9">
        <f t="array" ref="P331">IFERROR(O331/G331*100,0)</f>
        <v>1.9421665947345708</v>
      </c>
      <c r="Q331" s="143">
        <f t="array" ref="Q331">INDEX('[21]DETEKSI ROT 2 (2)'!$I$343:$I$622,MATCH(1,('[21]DETEKSI ROT 2 (2)'!$D$343:$D$622=$D331)*('[21]DETEKSI ROT 2 (2)'!$D$343:$D$622=$D331),0))</f>
        <v>3</v>
      </c>
      <c r="R331" s="9">
        <f t="shared" si="52"/>
        <v>2.2222222222222223</v>
      </c>
      <c r="S331" s="8" t="str">
        <f t="array" ref="S331">IF(R331&gt;5,"Perlu Sensus",IF(AND(R331&gt;=0,O331&gt;0),"Tetap Deteksi","Belum Deteksi"))</f>
        <v>Tetap Deteksi</v>
      </c>
      <c r="T331" s="203"/>
      <c r="U331" s="9">
        <f t="shared" si="53"/>
        <v>0</v>
      </c>
      <c r="V331" s="132">
        <v>46249</v>
      </c>
      <c r="W331" s="143">
        <f t="array" ref="W331">INDEX('[21]DETEKSI ROT 2 (2)'!$L$343:$L$622,MATCH(1,('[21]DETEKSI ROT 2 (2)'!$D$343:$D$622=$D331)*('[21]DETEKSI ROT 2 (2)'!$D$343:$D$622=$D331),0))</f>
        <v>67</v>
      </c>
      <c r="X331" s="143">
        <f t="array" ref="X331">INDEX('[21]DETEKSI ROT 2 (2)'!$M$343:$M$622,MATCH(1,('[21]DETEKSI ROT 2 (2)'!$D$343:$D$622=$D331)*('[21]DETEKSI ROT 2 (2)'!$D$343:$D$622=$D331),0))</f>
        <v>3</v>
      </c>
      <c r="Y331" s="9">
        <f t="shared" si="51"/>
        <v>4.4776119402985071</v>
      </c>
      <c r="Z331" s="8" t="str">
        <f t="array" ref="Z331">IF(Y331&gt;5,"Perlu Sensus",IF(AND(Y331&gt;0,,O331&gt;0),"Tetap Deteksi","Belum Deteksi"))</f>
        <v>Belum Deteksi</v>
      </c>
      <c r="AA331" s="203"/>
      <c r="AB331" s="9">
        <f t="shared" si="54"/>
        <v>0</v>
      </c>
    </row>
    <row r="332" spans="1:28" x14ac:dyDescent="0.15">
      <c r="A332" s="8" t="s">
        <v>322</v>
      </c>
      <c r="B332" s="8" t="s">
        <v>79</v>
      </c>
      <c r="C332" s="8" t="s">
        <v>345</v>
      </c>
      <c r="D332" s="8" t="s">
        <v>355</v>
      </c>
      <c r="E332" s="9">
        <v>23.98</v>
      </c>
      <c r="F332" s="8" t="s">
        <v>325</v>
      </c>
      <c r="G332" s="143">
        <v>3588</v>
      </c>
      <c r="H332" s="132">
        <f t="shared" si="43"/>
        <v>46249</v>
      </c>
      <c r="I332" s="140">
        <f t="shared" si="43"/>
        <v>132</v>
      </c>
      <c r="J332" s="9">
        <f t="shared" si="48"/>
        <v>3.6789297658862878</v>
      </c>
      <c r="K332" s="140">
        <f t="shared" si="49"/>
        <v>3</v>
      </c>
      <c r="L332" s="206">
        <f t="shared" si="50"/>
        <v>2.2727272727272729</v>
      </c>
      <c r="M332" s="8" t="str">
        <f t="array" ref="M332">IF(L332&gt;5,"Perlu Sensus",IF(AND(L332&gt;=0,I332&gt;0),"Tetap Deteksi","Belum Deteksi"))</f>
        <v>Tetap Deteksi</v>
      </c>
      <c r="N332" s="132">
        <v>46249</v>
      </c>
      <c r="O332" s="143">
        <f t="array" ref="O332">INDEX('[21]DETEKSI ROT 2 (2)'!$G$343:$G$622,MATCH(1,('[21]DETEKSI ROT 2 (2)'!$D$343:$D$622=$D332)*('[21]DETEKSI ROT 2 (2)'!$D$343:$D$622=$D332),0))</f>
        <v>132</v>
      </c>
      <c r="P332" s="9">
        <f t="array" ref="P332">IFERROR(O332/G332*100,0)</f>
        <v>3.6789297658862878</v>
      </c>
      <c r="Q332" s="143">
        <f t="array" ref="Q332">INDEX('[21]DETEKSI ROT 2 (2)'!$I$343:$I$622,MATCH(1,('[21]DETEKSI ROT 2 (2)'!$D$343:$D$622=$D332)*('[21]DETEKSI ROT 2 (2)'!$D$343:$D$622=$D332),0))</f>
        <v>3</v>
      </c>
      <c r="R332" s="9">
        <f t="shared" si="52"/>
        <v>2.2727272727272729</v>
      </c>
      <c r="S332" s="8" t="str">
        <f t="array" ref="S332">IF(R332&gt;5,"Perlu Sensus",IF(AND(R332&gt;=0,O332&gt;0),"Tetap Deteksi","Belum Deteksi"))</f>
        <v>Tetap Deteksi</v>
      </c>
      <c r="T332" s="203"/>
      <c r="U332" s="9">
        <f t="shared" si="53"/>
        <v>0</v>
      </c>
      <c r="V332" s="132">
        <v>46249</v>
      </c>
      <c r="W332" s="143">
        <f t="array" ref="W332">INDEX('[21]DETEKSI ROT 2 (2)'!$L$343:$L$622,MATCH(1,('[21]DETEKSI ROT 2 (2)'!$D$343:$D$622=$D332)*('[21]DETEKSI ROT 2 (2)'!$D$343:$D$622=$D332),0))</f>
        <v>20</v>
      </c>
      <c r="X332" s="143">
        <f t="array" ref="X332">INDEX('[21]DETEKSI ROT 2 (2)'!$M$343:$M$622,MATCH(1,('[21]DETEKSI ROT 2 (2)'!$D$343:$D$622=$D332)*('[21]DETEKSI ROT 2 (2)'!$D$343:$D$622=$D332),0))</f>
        <v>3</v>
      </c>
      <c r="Y332" s="9">
        <f t="shared" si="51"/>
        <v>15</v>
      </c>
      <c r="Z332" s="8" t="str">
        <f t="array" ref="Z332">IF(Y332&gt;5,"Perlu Sensus",IF(AND(Y332&gt;0,,O332&gt;0),"Tetap Deteksi","Belum Deteksi"))</f>
        <v>Perlu Sensus</v>
      </c>
      <c r="AA332" s="203"/>
      <c r="AB332" s="9">
        <f t="shared" si="54"/>
        <v>0</v>
      </c>
    </row>
    <row r="333" spans="1:28" x14ac:dyDescent="0.15">
      <c r="A333" s="8" t="s">
        <v>322</v>
      </c>
      <c r="B333" s="8" t="s">
        <v>79</v>
      </c>
      <c r="C333" s="8" t="s">
        <v>345</v>
      </c>
      <c r="D333" s="8" t="s">
        <v>356</v>
      </c>
      <c r="E333" s="9">
        <v>26.1</v>
      </c>
      <c r="F333" s="8" t="s">
        <v>325</v>
      </c>
      <c r="G333" s="143">
        <v>3795</v>
      </c>
      <c r="H333" s="132">
        <f t="shared" si="43"/>
        <v>46249</v>
      </c>
      <c r="I333" s="140">
        <f t="shared" si="43"/>
        <v>101</v>
      </c>
      <c r="J333" s="9">
        <f t="shared" si="48"/>
        <v>2.6613965744400527</v>
      </c>
      <c r="K333" s="140">
        <f t="shared" si="49"/>
        <v>3</v>
      </c>
      <c r="L333" s="206">
        <f t="shared" si="50"/>
        <v>2.9702970297029703</v>
      </c>
      <c r="M333" s="8" t="str">
        <f t="array" ref="M333">IF(L333&gt;5,"Perlu Sensus",IF(AND(L333&gt;=0,I333&gt;0),"Tetap Deteksi","Belum Deteksi"))</f>
        <v>Tetap Deteksi</v>
      </c>
      <c r="N333" s="132">
        <v>46249</v>
      </c>
      <c r="O333" s="143">
        <f t="array" ref="O333">INDEX('[21]DETEKSI ROT 2 (2)'!$G$343:$G$622,MATCH(1,('[21]DETEKSI ROT 2 (2)'!$D$343:$D$622=$D333)*('[21]DETEKSI ROT 2 (2)'!$D$343:$D$622=$D333),0))</f>
        <v>101</v>
      </c>
      <c r="P333" s="9">
        <f t="array" ref="P333">IFERROR(O333/G333*100,0)</f>
        <v>2.6613965744400527</v>
      </c>
      <c r="Q333" s="143">
        <f t="array" ref="Q333">INDEX('[21]DETEKSI ROT 2 (2)'!$I$343:$I$622,MATCH(1,('[21]DETEKSI ROT 2 (2)'!$D$343:$D$622=$D333)*('[21]DETEKSI ROT 2 (2)'!$D$343:$D$622=$D333),0))</f>
        <v>3</v>
      </c>
      <c r="R333" s="9">
        <f t="shared" si="52"/>
        <v>2.9702970297029703</v>
      </c>
      <c r="S333" s="8" t="str">
        <f t="array" ref="S333">IF(R333&gt;5,"Perlu Sensus",IF(AND(R333&gt;=0,O333&gt;0),"Tetap Deteksi","Belum Deteksi"))</f>
        <v>Tetap Deteksi</v>
      </c>
      <c r="T333" s="203"/>
      <c r="U333" s="9">
        <f t="shared" si="53"/>
        <v>0</v>
      </c>
      <c r="V333" s="132">
        <v>46249</v>
      </c>
      <c r="W333" s="143">
        <f t="array" ref="W333">INDEX('[21]DETEKSI ROT 2 (2)'!$L$343:$L$622,MATCH(1,('[21]DETEKSI ROT 2 (2)'!$D$343:$D$622=$D333)*('[21]DETEKSI ROT 2 (2)'!$D$343:$D$622=$D333),0))</f>
        <v>98</v>
      </c>
      <c r="X333" s="143">
        <f t="array" ref="X333">INDEX('[21]DETEKSI ROT 2 (2)'!$M$343:$M$622,MATCH(1,('[21]DETEKSI ROT 2 (2)'!$D$343:$D$622=$D333)*('[21]DETEKSI ROT 2 (2)'!$D$343:$D$622=$D333),0))</f>
        <v>3</v>
      </c>
      <c r="Y333" s="9">
        <f t="shared" si="51"/>
        <v>3.0612244897959182</v>
      </c>
      <c r="Z333" s="8" t="str">
        <f t="array" ref="Z333">IF(Y333&gt;5,"Perlu Sensus",IF(AND(Y333&gt;0,,O333&gt;0),"Tetap Deteksi","Belum Deteksi"))</f>
        <v>Belum Deteksi</v>
      </c>
      <c r="AA333" s="203"/>
      <c r="AB333" s="9">
        <f t="shared" si="54"/>
        <v>0</v>
      </c>
    </row>
    <row r="334" spans="1:28" x14ac:dyDescent="0.15">
      <c r="A334" s="8" t="s">
        <v>322</v>
      </c>
      <c r="B334" s="8" t="s">
        <v>79</v>
      </c>
      <c r="C334" s="8" t="s">
        <v>345</v>
      </c>
      <c r="D334" s="8" t="s">
        <v>357</v>
      </c>
      <c r="E334" s="9">
        <v>26.41</v>
      </c>
      <c r="F334" s="8" t="s">
        <v>325</v>
      </c>
      <c r="G334" s="143">
        <v>3692</v>
      </c>
      <c r="H334" s="132">
        <f t="shared" si="43"/>
        <v>46249</v>
      </c>
      <c r="I334" s="140">
        <f t="shared" si="43"/>
        <v>133</v>
      </c>
      <c r="J334" s="9">
        <f t="shared" si="48"/>
        <v>3.6023835319609967</v>
      </c>
      <c r="K334" s="140">
        <f t="shared" si="49"/>
        <v>3</v>
      </c>
      <c r="L334" s="206">
        <f t="shared" si="50"/>
        <v>2.2556390977443606</v>
      </c>
      <c r="M334" s="8" t="str">
        <f t="array" ref="M334">IF(L334&gt;5,"Perlu Sensus",IF(AND(L334&gt;=0,I334&gt;0),"Tetap Deteksi","Belum Deteksi"))</f>
        <v>Tetap Deteksi</v>
      </c>
      <c r="N334" s="132">
        <v>46249</v>
      </c>
      <c r="O334" s="143">
        <f t="array" ref="O334">INDEX('[21]DETEKSI ROT 2 (2)'!$G$343:$G$622,MATCH(1,('[21]DETEKSI ROT 2 (2)'!$D$343:$D$622=$D334)*('[21]DETEKSI ROT 2 (2)'!$D$343:$D$622=$D334),0))</f>
        <v>133</v>
      </c>
      <c r="P334" s="9">
        <f t="array" ref="P334">IFERROR(O334/G334*100,0)</f>
        <v>3.6023835319609967</v>
      </c>
      <c r="Q334" s="143">
        <f t="array" ref="Q334">INDEX('[21]DETEKSI ROT 2 (2)'!$I$343:$I$622,MATCH(1,('[21]DETEKSI ROT 2 (2)'!$D$343:$D$622=$D334)*('[21]DETEKSI ROT 2 (2)'!$D$343:$D$622=$D334),0))</f>
        <v>3</v>
      </c>
      <c r="R334" s="9">
        <f t="shared" si="52"/>
        <v>2.2556390977443606</v>
      </c>
      <c r="S334" s="8" t="str">
        <f t="array" ref="S334">IF(R334&gt;5,"Perlu Sensus",IF(AND(R334&gt;=0,O334&gt;0),"Tetap Deteksi","Belum Deteksi"))</f>
        <v>Tetap Deteksi</v>
      </c>
      <c r="T334" s="203"/>
      <c r="U334" s="9">
        <f t="shared" si="53"/>
        <v>0</v>
      </c>
      <c r="V334" s="132">
        <v>46249</v>
      </c>
      <c r="W334" s="143">
        <f t="array" ref="W334">INDEX('[21]DETEKSI ROT 2 (2)'!$L$343:$L$622,MATCH(1,('[21]DETEKSI ROT 2 (2)'!$D$343:$D$622=$D334)*('[21]DETEKSI ROT 2 (2)'!$D$343:$D$622=$D334),0))</f>
        <v>36</v>
      </c>
      <c r="X334" s="143">
        <f t="array" ref="X334">INDEX('[21]DETEKSI ROT 2 (2)'!$M$343:$M$622,MATCH(1,('[21]DETEKSI ROT 2 (2)'!$D$343:$D$622=$D334)*('[21]DETEKSI ROT 2 (2)'!$D$343:$D$622=$D334),0))</f>
        <v>2</v>
      </c>
      <c r="Y334" s="9">
        <f t="shared" si="51"/>
        <v>5.5555555555555554</v>
      </c>
      <c r="Z334" s="8" t="str">
        <f t="array" ref="Z334">IF(Y334&gt;5,"Perlu Sensus",IF(AND(Y334&gt;0,,O334&gt;0),"Tetap Deteksi","Belum Deteksi"))</f>
        <v>Perlu Sensus</v>
      </c>
      <c r="AA334" s="203"/>
      <c r="AB334" s="9">
        <f t="shared" si="54"/>
        <v>0</v>
      </c>
    </row>
    <row r="335" spans="1:28" x14ac:dyDescent="0.15">
      <c r="A335" s="8" t="s">
        <v>322</v>
      </c>
      <c r="B335" s="8" t="s">
        <v>79</v>
      </c>
      <c r="C335" s="8" t="s">
        <v>345</v>
      </c>
      <c r="D335" s="8" t="s">
        <v>358</v>
      </c>
      <c r="E335" s="9">
        <v>26.5</v>
      </c>
      <c r="F335" s="8" t="s">
        <v>325</v>
      </c>
      <c r="G335" s="143">
        <v>3666</v>
      </c>
      <c r="H335" s="132">
        <f t="shared" si="43"/>
        <v>46249</v>
      </c>
      <c r="I335" s="140">
        <f t="shared" si="43"/>
        <v>116</v>
      </c>
      <c r="J335" s="9">
        <f t="shared" si="48"/>
        <v>3.1642116748499727</v>
      </c>
      <c r="K335" s="140">
        <f t="shared" si="49"/>
        <v>3</v>
      </c>
      <c r="L335" s="206">
        <f t="shared" si="50"/>
        <v>2.5862068965517242</v>
      </c>
      <c r="M335" s="8" t="str">
        <f t="array" ref="M335">IF(L335&gt;5,"Perlu Sensus",IF(AND(L335&gt;=0,I335&gt;0),"Tetap Deteksi","Belum Deteksi"))</f>
        <v>Tetap Deteksi</v>
      </c>
      <c r="N335" s="132">
        <v>46249</v>
      </c>
      <c r="O335" s="143">
        <f t="array" ref="O335">INDEX('[21]DETEKSI ROT 2 (2)'!$G$343:$G$622,MATCH(1,('[21]DETEKSI ROT 2 (2)'!$D$343:$D$622=$D335)*('[21]DETEKSI ROT 2 (2)'!$D$343:$D$622=$D335),0))</f>
        <v>116</v>
      </c>
      <c r="P335" s="9">
        <f t="array" ref="P335">IFERROR(O335/G335*100,0)</f>
        <v>3.1642116748499727</v>
      </c>
      <c r="Q335" s="143">
        <f t="array" ref="Q335">INDEX('[21]DETEKSI ROT 2 (2)'!$I$343:$I$622,MATCH(1,('[21]DETEKSI ROT 2 (2)'!$D$343:$D$622=$D335)*('[21]DETEKSI ROT 2 (2)'!$D$343:$D$622=$D335),0))</f>
        <v>3</v>
      </c>
      <c r="R335" s="9">
        <f t="shared" si="52"/>
        <v>2.5862068965517242</v>
      </c>
      <c r="S335" s="8" t="str">
        <f t="array" ref="S335">IF(R335&gt;5,"Perlu Sensus",IF(AND(R335&gt;=0,O335&gt;0),"Tetap Deteksi","Belum Deteksi"))</f>
        <v>Tetap Deteksi</v>
      </c>
      <c r="T335" s="203"/>
      <c r="U335" s="9">
        <f t="shared" si="53"/>
        <v>0</v>
      </c>
      <c r="V335" s="132">
        <v>46249</v>
      </c>
      <c r="W335" s="143">
        <f t="array" ref="W335">INDEX('[21]DETEKSI ROT 2 (2)'!$L$343:$L$622,MATCH(1,('[21]DETEKSI ROT 2 (2)'!$D$343:$D$622=$D335)*('[21]DETEKSI ROT 2 (2)'!$D$343:$D$622=$D335),0))</f>
        <v>48</v>
      </c>
      <c r="X335" s="143">
        <f t="array" ref="X335">INDEX('[21]DETEKSI ROT 2 (2)'!$M$343:$M$622,MATCH(1,('[21]DETEKSI ROT 2 (2)'!$D$343:$D$622=$D335)*('[21]DETEKSI ROT 2 (2)'!$D$343:$D$622=$D335),0))</f>
        <v>3</v>
      </c>
      <c r="Y335" s="9">
        <f t="shared" si="51"/>
        <v>6.25</v>
      </c>
      <c r="Z335" s="8" t="str">
        <f t="array" ref="Z335">IF(Y335&gt;5,"Perlu Sensus",IF(AND(Y335&gt;0,,O335&gt;0),"Tetap Deteksi","Belum Deteksi"))</f>
        <v>Perlu Sensus</v>
      </c>
      <c r="AA335" s="203"/>
      <c r="AB335" s="9">
        <f t="shared" si="54"/>
        <v>0</v>
      </c>
    </row>
    <row r="336" spans="1:28" x14ac:dyDescent="0.15">
      <c r="A336" s="8" t="s">
        <v>322</v>
      </c>
      <c r="B336" s="8" t="s">
        <v>79</v>
      </c>
      <c r="C336" s="8" t="s">
        <v>345</v>
      </c>
      <c r="D336" s="8" t="s">
        <v>359</v>
      </c>
      <c r="E336" s="9">
        <v>44.89</v>
      </c>
      <c r="F336" s="8" t="s">
        <v>325</v>
      </c>
      <c r="G336" s="143">
        <v>6227</v>
      </c>
      <c r="H336" s="132">
        <f t="shared" si="43"/>
        <v>46249</v>
      </c>
      <c r="I336" s="140">
        <f t="shared" si="43"/>
        <v>67</v>
      </c>
      <c r="J336" s="9">
        <f t="shared" si="48"/>
        <v>1.0759595310743537</v>
      </c>
      <c r="K336" s="140">
        <f t="shared" si="49"/>
        <v>2</v>
      </c>
      <c r="L336" s="206">
        <f t="shared" si="50"/>
        <v>2.9850746268656714</v>
      </c>
      <c r="M336" s="8" t="str">
        <f t="array" ref="M336">IF(L336&gt;5,"Perlu Sensus",IF(AND(L336&gt;=0,I336&gt;0),"Tetap Deteksi","Belum Deteksi"))</f>
        <v>Tetap Deteksi</v>
      </c>
      <c r="N336" s="132">
        <v>46249</v>
      </c>
      <c r="O336" s="143">
        <f t="array" ref="O336">INDEX('[21]DETEKSI ROT 2 (2)'!$G$343:$G$622,MATCH(1,('[21]DETEKSI ROT 2 (2)'!$D$343:$D$622=$D336)*('[21]DETEKSI ROT 2 (2)'!$D$343:$D$622=$D336),0))</f>
        <v>67</v>
      </c>
      <c r="P336" s="9">
        <f t="array" ref="P336">IFERROR(O336/G336*100,0)</f>
        <v>1.0759595310743537</v>
      </c>
      <c r="Q336" s="143">
        <f t="array" ref="Q336">INDEX('[21]DETEKSI ROT 2 (2)'!$I$343:$I$622,MATCH(1,('[21]DETEKSI ROT 2 (2)'!$D$343:$D$622=$D336)*('[21]DETEKSI ROT 2 (2)'!$D$343:$D$622=$D336),0))</f>
        <v>2</v>
      </c>
      <c r="R336" s="9">
        <f t="shared" si="52"/>
        <v>2.9850746268656714</v>
      </c>
      <c r="S336" s="8" t="str">
        <f t="array" ref="S336">IF(R336&gt;5,"Perlu Sensus",IF(AND(R336&gt;=0,O336&gt;0),"Tetap Deteksi","Belum Deteksi"))</f>
        <v>Tetap Deteksi</v>
      </c>
      <c r="T336" s="203"/>
      <c r="U336" s="9">
        <f t="shared" si="53"/>
        <v>0</v>
      </c>
      <c r="V336" s="132">
        <v>46249</v>
      </c>
      <c r="W336" s="143">
        <f t="array" ref="W336">INDEX('[21]DETEKSI ROT 2 (2)'!$L$343:$L$622,MATCH(1,('[21]DETEKSI ROT 2 (2)'!$D$343:$D$622=$D336)*('[21]DETEKSI ROT 2 (2)'!$D$343:$D$622=$D336),0))</f>
        <v>55</v>
      </c>
      <c r="X336" s="143">
        <f t="array" ref="X336">INDEX('[21]DETEKSI ROT 2 (2)'!$M$343:$M$622,MATCH(1,('[21]DETEKSI ROT 2 (2)'!$D$343:$D$622=$D336)*('[21]DETEKSI ROT 2 (2)'!$D$343:$D$622=$D336),0))</f>
        <v>3</v>
      </c>
      <c r="Y336" s="9">
        <f t="shared" si="51"/>
        <v>5.4545454545454541</v>
      </c>
      <c r="Z336" s="8" t="str">
        <f t="array" ref="Z336">IF(Y336&gt;5,"Perlu Sensus",IF(AND(Y336&gt;0,,O336&gt;0),"Tetap Deteksi","Belum Deteksi"))</f>
        <v>Perlu Sensus</v>
      </c>
      <c r="AA336" s="203"/>
      <c r="AB336" s="9">
        <f t="shared" si="54"/>
        <v>0</v>
      </c>
    </row>
    <row r="337" spans="1:28" x14ac:dyDescent="0.15">
      <c r="A337" s="8" t="s">
        <v>322</v>
      </c>
      <c r="B337" s="8" t="s">
        <v>79</v>
      </c>
      <c r="C337" s="8" t="s">
        <v>345</v>
      </c>
      <c r="D337" s="8" t="s">
        <v>360</v>
      </c>
      <c r="E337" s="9">
        <v>27.67</v>
      </c>
      <c r="F337" s="8" t="s">
        <v>325</v>
      </c>
      <c r="G337" s="143">
        <v>3543</v>
      </c>
      <c r="H337" s="132">
        <f t="shared" si="43"/>
        <v>46249</v>
      </c>
      <c r="I337" s="140">
        <f t="shared" si="43"/>
        <v>125</v>
      </c>
      <c r="J337" s="9">
        <f t="shared" si="48"/>
        <v>3.5280835450183465</v>
      </c>
      <c r="K337" s="140">
        <f t="shared" si="49"/>
        <v>4</v>
      </c>
      <c r="L337" s="206">
        <f t="shared" si="50"/>
        <v>3.2</v>
      </c>
      <c r="M337" s="8" t="str">
        <f t="array" ref="M337">IF(L337&gt;5,"Perlu Sensus",IF(AND(L337&gt;=0,I337&gt;0),"Tetap Deteksi","Belum Deteksi"))</f>
        <v>Tetap Deteksi</v>
      </c>
      <c r="N337" s="132">
        <v>46249</v>
      </c>
      <c r="O337" s="143">
        <f t="array" ref="O337">INDEX('[21]DETEKSI ROT 2 (2)'!$G$343:$G$622,MATCH(1,('[21]DETEKSI ROT 2 (2)'!$D$343:$D$622=$D337)*('[21]DETEKSI ROT 2 (2)'!$D$343:$D$622=$D337),0))</f>
        <v>125</v>
      </c>
      <c r="P337" s="9">
        <f t="array" ref="P337">IFERROR(O337/G337*100,0)</f>
        <v>3.5280835450183465</v>
      </c>
      <c r="Q337" s="143">
        <f t="array" ref="Q337">INDEX('[21]DETEKSI ROT 2 (2)'!$I$343:$I$622,MATCH(1,('[21]DETEKSI ROT 2 (2)'!$D$343:$D$622=$D337)*('[21]DETEKSI ROT 2 (2)'!$D$343:$D$622=$D337),0))</f>
        <v>4</v>
      </c>
      <c r="R337" s="9">
        <f t="shared" si="52"/>
        <v>3.2</v>
      </c>
      <c r="S337" s="8" t="str">
        <f t="array" ref="S337">IF(R337&gt;5,"Perlu Sensus",IF(AND(R337&gt;=0,O337&gt;0),"Tetap Deteksi","Belum Deteksi"))</f>
        <v>Tetap Deteksi</v>
      </c>
      <c r="T337" s="203"/>
      <c r="U337" s="9">
        <f t="shared" si="53"/>
        <v>0</v>
      </c>
      <c r="V337" s="132">
        <v>46249</v>
      </c>
      <c r="W337" s="143">
        <f t="array" ref="W337">INDEX('[21]DETEKSI ROT 2 (2)'!$L$343:$L$622,MATCH(1,('[21]DETEKSI ROT 2 (2)'!$D$343:$D$622=$D337)*('[21]DETEKSI ROT 2 (2)'!$D$343:$D$622=$D337),0))</f>
        <v>65</v>
      </c>
      <c r="X337" s="143">
        <f t="array" ref="X337">INDEX('[21]DETEKSI ROT 2 (2)'!$M$343:$M$622,MATCH(1,('[21]DETEKSI ROT 2 (2)'!$D$343:$D$622=$D337)*('[21]DETEKSI ROT 2 (2)'!$D$343:$D$622=$D337),0))</f>
        <v>3</v>
      </c>
      <c r="Y337" s="9">
        <f t="shared" si="51"/>
        <v>4.6153846153846159</v>
      </c>
      <c r="Z337" s="8" t="str">
        <f t="array" ref="Z337">IF(Y337&gt;5,"Perlu Sensus",IF(AND(Y337&gt;0,,O337&gt;0),"Tetap Deteksi","Belum Deteksi"))</f>
        <v>Belum Deteksi</v>
      </c>
      <c r="AA337" s="203"/>
      <c r="AB337" s="9">
        <f t="shared" si="54"/>
        <v>0</v>
      </c>
    </row>
    <row r="338" spans="1:28" x14ac:dyDescent="0.15">
      <c r="A338" s="8" t="s">
        <v>322</v>
      </c>
      <c r="B338" s="8" t="s">
        <v>79</v>
      </c>
      <c r="C338" s="8" t="s">
        <v>345</v>
      </c>
      <c r="D338" s="8" t="s">
        <v>361</v>
      </c>
      <c r="E338" s="9">
        <v>24.93</v>
      </c>
      <c r="F338" s="8" t="s">
        <v>325</v>
      </c>
      <c r="G338" s="143">
        <v>3288</v>
      </c>
      <c r="H338" s="132">
        <f t="shared" si="43"/>
        <v>46249</v>
      </c>
      <c r="I338" s="140">
        <f t="shared" si="43"/>
        <v>131</v>
      </c>
      <c r="J338" s="9">
        <f t="shared" si="48"/>
        <v>3.9841849148418493</v>
      </c>
      <c r="K338" s="140">
        <f t="shared" si="49"/>
        <v>3</v>
      </c>
      <c r="L338" s="206">
        <f t="shared" si="50"/>
        <v>2.2900763358778624</v>
      </c>
      <c r="M338" s="8" t="str">
        <f t="array" ref="M338">IF(L338&gt;5,"Perlu Sensus",IF(AND(L338&gt;=0,I338&gt;0),"Tetap Deteksi","Belum Deteksi"))</f>
        <v>Tetap Deteksi</v>
      </c>
      <c r="N338" s="132">
        <v>46249</v>
      </c>
      <c r="O338" s="143">
        <f t="array" ref="O338">INDEX('[21]DETEKSI ROT 2 (2)'!$G$343:$G$622,MATCH(1,('[21]DETEKSI ROT 2 (2)'!$D$343:$D$622=$D338)*('[21]DETEKSI ROT 2 (2)'!$D$343:$D$622=$D338),0))</f>
        <v>131</v>
      </c>
      <c r="P338" s="9">
        <f t="array" ref="P338">IFERROR(O338/G338*100,0)</f>
        <v>3.9841849148418493</v>
      </c>
      <c r="Q338" s="143">
        <f t="array" ref="Q338">INDEX('[21]DETEKSI ROT 2 (2)'!$I$343:$I$622,MATCH(1,('[21]DETEKSI ROT 2 (2)'!$D$343:$D$622=$D338)*('[21]DETEKSI ROT 2 (2)'!$D$343:$D$622=$D338),0))</f>
        <v>3</v>
      </c>
      <c r="R338" s="9">
        <f t="shared" si="52"/>
        <v>2.2900763358778624</v>
      </c>
      <c r="S338" s="8" t="str">
        <f t="array" ref="S338">IF(R338&gt;5,"Perlu Sensus",IF(AND(R338&gt;=0,O338&gt;0),"Tetap Deteksi","Belum Deteksi"))</f>
        <v>Tetap Deteksi</v>
      </c>
      <c r="T338" s="203"/>
      <c r="U338" s="9">
        <f t="shared" si="53"/>
        <v>0</v>
      </c>
      <c r="V338" s="132">
        <v>46249</v>
      </c>
      <c r="W338" s="143">
        <f t="array" ref="W338">INDEX('[21]DETEKSI ROT 2 (2)'!$L$343:$L$622,MATCH(1,('[21]DETEKSI ROT 2 (2)'!$D$343:$D$622=$D338)*('[21]DETEKSI ROT 2 (2)'!$D$343:$D$622=$D338),0))</f>
        <v>35</v>
      </c>
      <c r="X338" s="143">
        <f t="array" ref="X338">INDEX('[21]DETEKSI ROT 2 (2)'!$M$343:$M$622,MATCH(1,('[21]DETEKSI ROT 2 (2)'!$D$343:$D$622=$D338)*('[21]DETEKSI ROT 2 (2)'!$D$343:$D$622=$D338),0))</f>
        <v>2</v>
      </c>
      <c r="Y338" s="9">
        <f t="shared" si="51"/>
        <v>5.7142857142857144</v>
      </c>
      <c r="Z338" s="8" t="str">
        <f t="array" ref="Z338">IF(Y338&gt;5,"Perlu Sensus",IF(AND(Y338&gt;0,,O338&gt;0),"Tetap Deteksi","Belum Deteksi"))</f>
        <v>Perlu Sensus</v>
      </c>
      <c r="AA338" s="203"/>
      <c r="AB338" s="9">
        <f t="shared" si="54"/>
        <v>0</v>
      </c>
    </row>
    <row r="339" spans="1:28" x14ac:dyDescent="0.15">
      <c r="A339" s="8" t="s">
        <v>322</v>
      </c>
      <c r="B339" s="8" t="s">
        <v>79</v>
      </c>
      <c r="C339" s="8" t="s">
        <v>345</v>
      </c>
      <c r="D339" s="8" t="s">
        <v>362</v>
      </c>
      <c r="E339" s="9">
        <v>24.69</v>
      </c>
      <c r="F339" s="8" t="s">
        <v>325</v>
      </c>
      <c r="G339" s="143">
        <v>3346</v>
      </c>
      <c r="H339" s="132">
        <f t="shared" si="43"/>
        <v>46249</v>
      </c>
      <c r="I339" s="140">
        <f t="shared" si="43"/>
        <v>127</v>
      </c>
      <c r="J339" s="9">
        <f t="shared" si="48"/>
        <v>3.7955768081291095</v>
      </c>
      <c r="K339" s="140">
        <f t="shared" si="49"/>
        <v>3</v>
      </c>
      <c r="L339" s="206">
        <f t="shared" si="50"/>
        <v>2.3622047244094486</v>
      </c>
      <c r="M339" s="8" t="str">
        <f t="array" ref="M339">IF(L339&gt;5,"Perlu Sensus",IF(AND(L339&gt;=0,I339&gt;0),"Tetap Deteksi","Belum Deteksi"))</f>
        <v>Tetap Deteksi</v>
      </c>
      <c r="N339" s="132">
        <v>46249</v>
      </c>
      <c r="O339" s="143">
        <f t="array" ref="O339">INDEX('[21]DETEKSI ROT 2 (2)'!$G$343:$G$622,MATCH(1,('[21]DETEKSI ROT 2 (2)'!$D$343:$D$622=$D339)*('[21]DETEKSI ROT 2 (2)'!$D$343:$D$622=$D339),0))</f>
        <v>127</v>
      </c>
      <c r="P339" s="9">
        <f t="array" ref="P339">IFERROR(O339/G339*100,0)</f>
        <v>3.7955768081291095</v>
      </c>
      <c r="Q339" s="143">
        <f t="array" ref="Q339">INDEX('[21]DETEKSI ROT 2 (2)'!$I$343:$I$622,MATCH(1,('[21]DETEKSI ROT 2 (2)'!$D$343:$D$622=$D339)*('[21]DETEKSI ROT 2 (2)'!$D$343:$D$622=$D339),0))</f>
        <v>3</v>
      </c>
      <c r="R339" s="9">
        <f t="shared" si="52"/>
        <v>2.3622047244094486</v>
      </c>
      <c r="S339" s="8" t="str">
        <f t="array" ref="S339">IF(R339&gt;5,"Perlu Sensus",IF(AND(R339&gt;=0,O339&gt;0),"Tetap Deteksi","Belum Deteksi"))</f>
        <v>Tetap Deteksi</v>
      </c>
      <c r="T339" s="203"/>
      <c r="U339" s="9">
        <f t="shared" si="53"/>
        <v>0</v>
      </c>
      <c r="V339" s="132">
        <v>46249</v>
      </c>
      <c r="W339" s="143">
        <f t="array" ref="W339">INDEX('[21]DETEKSI ROT 2 (2)'!$L$343:$L$622,MATCH(1,('[21]DETEKSI ROT 2 (2)'!$D$343:$D$622=$D339)*('[21]DETEKSI ROT 2 (2)'!$D$343:$D$622=$D339),0))</f>
        <v>45</v>
      </c>
      <c r="X339" s="143">
        <f t="array" ref="X339">INDEX('[21]DETEKSI ROT 2 (2)'!$M$343:$M$622,MATCH(1,('[21]DETEKSI ROT 2 (2)'!$D$343:$D$622=$D339)*('[21]DETEKSI ROT 2 (2)'!$D$343:$D$622=$D339),0))</f>
        <v>3</v>
      </c>
      <c r="Y339" s="9">
        <f t="shared" si="51"/>
        <v>6.666666666666667</v>
      </c>
      <c r="Z339" s="8" t="str">
        <f t="array" ref="Z339">IF(Y339&gt;5,"Perlu Sensus",IF(AND(Y339&gt;0,,O339&gt;0),"Tetap Deteksi","Belum Deteksi"))</f>
        <v>Perlu Sensus</v>
      </c>
      <c r="AA339" s="203"/>
      <c r="AB339" s="9">
        <f t="shared" si="54"/>
        <v>0</v>
      </c>
    </row>
    <row r="340" spans="1:28" x14ac:dyDescent="0.15">
      <c r="A340" s="8" t="s">
        <v>322</v>
      </c>
      <c r="B340" s="8" t="s">
        <v>79</v>
      </c>
      <c r="C340" s="8" t="s">
        <v>345</v>
      </c>
      <c r="D340" s="8" t="s">
        <v>363</v>
      </c>
      <c r="E340" s="9">
        <v>24.1</v>
      </c>
      <c r="F340" s="8" t="s">
        <v>325</v>
      </c>
      <c r="G340" s="143">
        <v>3410</v>
      </c>
      <c r="H340" s="132">
        <f t="shared" si="43"/>
        <v>46249</v>
      </c>
      <c r="I340" s="140">
        <f t="shared" si="43"/>
        <v>75</v>
      </c>
      <c r="J340" s="9">
        <f t="shared" si="48"/>
        <v>2.1994134897360706</v>
      </c>
      <c r="K340" s="140">
        <f t="shared" si="49"/>
        <v>3</v>
      </c>
      <c r="L340" s="206">
        <f t="shared" si="50"/>
        <v>4</v>
      </c>
      <c r="M340" s="8" t="str">
        <f t="array" ref="M340">IF(L340&gt;5,"Perlu Sensus",IF(AND(L340&gt;=0,I340&gt;0),"Tetap Deteksi","Belum Deteksi"))</f>
        <v>Tetap Deteksi</v>
      </c>
      <c r="N340" s="132">
        <v>46249</v>
      </c>
      <c r="O340" s="143">
        <f t="array" ref="O340">INDEX('[21]DETEKSI ROT 2 (2)'!$G$343:$G$622,MATCH(1,('[21]DETEKSI ROT 2 (2)'!$D$343:$D$622=$D340)*('[21]DETEKSI ROT 2 (2)'!$D$343:$D$622=$D340),0))</f>
        <v>75</v>
      </c>
      <c r="P340" s="9">
        <f t="array" ref="P340">IFERROR(O340/G340*100,0)</f>
        <v>2.1994134897360706</v>
      </c>
      <c r="Q340" s="143">
        <f t="array" ref="Q340">INDEX('[21]DETEKSI ROT 2 (2)'!$I$343:$I$622,MATCH(1,('[21]DETEKSI ROT 2 (2)'!$D$343:$D$622=$D340)*('[21]DETEKSI ROT 2 (2)'!$D$343:$D$622=$D340),0))</f>
        <v>3</v>
      </c>
      <c r="R340" s="9">
        <f t="shared" si="52"/>
        <v>4</v>
      </c>
      <c r="S340" s="8" t="str">
        <f t="array" ref="S340">IF(R340&gt;5,"Perlu Sensus",IF(AND(R340&gt;=0,O340&gt;0),"Tetap Deteksi","Belum Deteksi"))</f>
        <v>Tetap Deteksi</v>
      </c>
      <c r="T340" s="203"/>
      <c r="U340" s="9">
        <f t="shared" si="53"/>
        <v>0</v>
      </c>
      <c r="V340" s="132">
        <v>46249</v>
      </c>
      <c r="W340" s="143">
        <f t="array" ref="W340">INDEX('[21]DETEKSI ROT 2 (2)'!$L$343:$L$622,MATCH(1,('[21]DETEKSI ROT 2 (2)'!$D$343:$D$622=$D340)*('[21]DETEKSI ROT 2 (2)'!$D$343:$D$622=$D340),0))</f>
        <v>25</v>
      </c>
      <c r="X340" s="143">
        <f t="array" ref="X340">INDEX('[21]DETEKSI ROT 2 (2)'!$M$343:$M$622,MATCH(1,('[21]DETEKSI ROT 2 (2)'!$D$343:$D$622=$D340)*('[21]DETEKSI ROT 2 (2)'!$D$343:$D$622=$D340),0))</f>
        <v>3</v>
      </c>
      <c r="Y340" s="9">
        <f t="shared" si="51"/>
        <v>12</v>
      </c>
      <c r="Z340" s="8" t="str">
        <f t="array" ref="Z340">IF(Y340&gt;5,"Perlu Sensus",IF(AND(Y340&gt;0,,O340&gt;0),"Tetap Deteksi","Belum Deteksi"))</f>
        <v>Perlu Sensus</v>
      </c>
      <c r="AA340" s="203"/>
      <c r="AB340" s="9">
        <f t="shared" si="54"/>
        <v>0</v>
      </c>
    </row>
    <row r="341" spans="1:28" x14ac:dyDescent="0.15">
      <c r="A341" s="8" t="s">
        <v>322</v>
      </c>
      <c r="B341" s="8" t="s">
        <v>79</v>
      </c>
      <c r="C341" s="8" t="s">
        <v>345</v>
      </c>
      <c r="D341" s="8" t="s">
        <v>364</v>
      </c>
      <c r="E341" s="9">
        <v>24.74</v>
      </c>
      <c r="F341" s="8" t="s">
        <v>325</v>
      </c>
      <c r="G341" s="143">
        <v>3369</v>
      </c>
      <c r="H341" s="132">
        <f t="shared" si="43"/>
        <v>46249</v>
      </c>
      <c r="I341" s="140">
        <f t="shared" si="43"/>
        <v>34</v>
      </c>
      <c r="J341" s="9">
        <f t="shared" si="48"/>
        <v>1.0092015434847135</v>
      </c>
      <c r="K341" s="140">
        <f t="shared" si="49"/>
        <v>2</v>
      </c>
      <c r="L341" s="206">
        <f t="shared" si="50"/>
        <v>5.8823529411764701</v>
      </c>
      <c r="M341" s="8" t="str">
        <f t="array" ref="M341">IF(L341&gt;5,"Perlu Sensus",IF(AND(L341&gt;=0,I341&gt;0),"Tetap Deteksi","Belum Deteksi"))</f>
        <v>Perlu Sensus</v>
      </c>
      <c r="N341" s="132">
        <v>46249</v>
      </c>
      <c r="O341" s="143">
        <f t="array" ref="O341">INDEX('[21]DETEKSI ROT 2 (2)'!$G$343:$G$622,MATCH(1,('[21]DETEKSI ROT 2 (2)'!$D$343:$D$622=$D341)*('[21]DETEKSI ROT 2 (2)'!$D$343:$D$622=$D341),0))</f>
        <v>34</v>
      </c>
      <c r="P341" s="9">
        <f t="array" ref="P341">IFERROR(O341/G341*100,0)</f>
        <v>1.0092015434847135</v>
      </c>
      <c r="Q341" s="143">
        <f t="array" ref="Q341">INDEX('[21]DETEKSI ROT 2 (2)'!$I$343:$I$622,MATCH(1,('[21]DETEKSI ROT 2 (2)'!$D$343:$D$622=$D341)*('[21]DETEKSI ROT 2 (2)'!$D$343:$D$622=$D341),0))</f>
        <v>2</v>
      </c>
      <c r="R341" s="9">
        <f t="shared" si="52"/>
        <v>5.8823529411764701</v>
      </c>
      <c r="S341" s="8" t="str">
        <f t="array" ref="S341">IF(R341&gt;5,"Perlu Sensus",IF(AND(R341&gt;=0,O341&gt;0),"Tetap Deteksi","Belum Deteksi"))</f>
        <v>Perlu Sensus</v>
      </c>
      <c r="T341" s="203"/>
      <c r="U341" s="9">
        <f t="shared" si="53"/>
        <v>0</v>
      </c>
      <c r="V341" s="132">
        <v>46249</v>
      </c>
      <c r="W341" s="143">
        <f t="array" ref="W341">INDEX('[21]DETEKSI ROT 2 (2)'!$L$343:$L$622,MATCH(1,('[21]DETEKSI ROT 2 (2)'!$D$343:$D$622=$D341)*('[21]DETEKSI ROT 2 (2)'!$D$343:$D$622=$D341),0))</f>
        <v>33</v>
      </c>
      <c r="X341" s="143">
        <f t="array" ref="X341">INDEX('[21]DETEKSI ROT 2 (2)'!$M$343:$M$622,MATCH(1,('[21]DETEKSI ROT 2 (2)'!$D$343:$D$622=$D341)*('[21]DETEKSI ROT 2 (2)'!$D$343:$D$622=$D341),0))</f>
        <v>2</v>
      </c>
      <c r="Y341" s="9">
        <f t="shared" si="51"/>
        <v>6.0606060606060606</v>
      </c>
      <c r="Z341" s="8" t="str">
        <f t="array" ref="Z341">IF(Y341&gt;5,"Perlu Sensus",IF(AND(Y341&gt;0,,O341&gt;0),"Tetap Deteksi","Belum Deteksi"))</f>
        <v>Perlu Sensus</v>
      </c>
      <c r="AA341" s="203"/>
      <c r="AB341" s="9">
        <f t="shared" si="54"/>
        <v>0</v>
      </c>
    </row>
    <row r="342" spans="1:28" x14ac:dyDescent="0.15">
      <c r="A342" s="8" t="s">
        <v>322</v>
      </c>
      <c r="B342" s="8" t="s">
        <v>79</v>
      </c>
      <c r="C342" s="8" t="s">
        <v>345</v>
      </c>
      <c r="D342" s="8" t="s">
        <v>365</v>
      </c>
      <c r="E342" s="9">
        <v>44.57</v>
      </c>
      <c r="F342" s="8" t="s">
        <v>325</v>
      </c>
      <c r="G342" s="143">
        <v>6678</v>
      </c>
      <c r="H342" s="132">
        <f t="shared" si="43"/>
        <v>46249</v>
      </c>
      <c r="I342" s="140">
        <f t="shared" si="43"/>
        <v>55</v>
      </c>
      <c r="J342" s="9">
        <f t="shared" si="48"/>
        <v>0.82359988020365371</v>
      </c>
      <c r="K342" s="140">
        <f t="shared" si="49"/>
        <v>3</v>
      </c>
      <c r="L342" s="206">
        <f t="shared" si="50"/>
        <v>5.4545454545454541</v>
      </c>
      <c r="M342" s="8" t="str">
        <f t="array" ref="M342">IF(L342&gt;5,"Perlu Sensus",IF(AND(L342&gt;=0,I342&gt;0),"Tetap Deteksi","Belum Deteksi"))</f>
        <v>Perlu Sensus</v>
      </c>
      <c r="N342" s="132">
        <v>46249</v>
      </c>
      <c r="O342" s="143">
        <f t="array" ref="O342">INDEX('[21]DETEKSI ROT 2 (2)'!$G$343:$G$622,MATCH(1,('[21]DETEKSI ROT 2 (2)'!$D$343:$D$622=$D342)*('[21]DETEKSI ROT 2 (2)'!$D$343:$D$622=$D342),0))</f>
        <v>55</v>
      </c>
      <c r="P342" s="9">
        <f t="array" ref="P342">IFERROR(O342/G342*100,0)</f>
        <v>0.82359988020365371</v>
      </c>
      <c r="Q342" s="143">
        <f t="array" ref="Q342">INDEX('[21]DETEKSI ROT 2 (2)'!$I$343:$I$622,MATCH(1,('[21]DETEKSI ROT 2 (2)'!$D$343:$D$622=$D342)*('[21]DETEKSI ROT 2 (2)'!$D$343:$D$622=$D342),0))</f>
        <v>3</v>
      </c>
      <c r="R342" s="9">
        <f t="shared" si="52"/>
        <v>5.4545454545454541</v>
      </c>
      <c r="S342" s="8" t="str">
        <f t="array" ref="S342">IF(R342&gt;5,"Perlu Sensus",IF(AND(R342&gt;=0,O342&gt;0),"Tetap Deteksi","Belum Deteksi"))</f>
        <v>Perlu Sensus</v>
      </c>
      <c r="T342" s="203"/>
      <c r="U342" s="9">
        <f t="shared" si="53"/>
        <v>0</v>
      </c>
      <c r="V342" s="132">
        <v>46249</v>
      </c>
      <c r="W342" s="143">
        <f t="array" ref="W342">INDEX('[21]DETEKSI ROT 2 (2)'!$L$343:$L$622,MATCH(1,('[21]DETEKSI ROT 2 (2)'!$D$343:$D$622=$D342)*('[21]DETEKSI ROT 2 (2)'!$D$343:$D$622=$D342),0))</f>
        <v>26</v>
      </c>
      <c r="X342" s="143">
        <f t="array" ref="X342">INDEX('[21]DETEKSI ROT 2 (2)'!$M$343:$M$622,MATCH(1,('[21]DETEKSI ROT 2 (2)'!$D$343:$D$622=$D342)*('[21]DETEKSI ROT 2 (2)'!$D$343:$D$622=$D342),0))</f>
        <v>3</v>
      </c>
      <c r="Y342" s="9">
        <f t="shared" si="51"/>
        <v>11.538461538461538</v>
      </c>
      <c r="Z342" s="8" t="str">
        <f t="array" ref="Z342">IF(Y342&gt;5,"Perlu Sensus",IF(AND(Y342&gt;0,,O342&gt;0),"Tetap Deteksi","Belum Deteksi"))</f>
        <v>Perlu Sensus</v>
      </c>
      <c r="AA342" s="203"/>
      <c r="AB342" s="9">
        <f t="shared" si="54"/>
        <v>0</v>
      </c>
    </row>
    <row r="343" spans="1:28" x14ac:dyDescent="0.15">
      <c r="A343" s="8" t="s">
        <v>322</v>
      </c>
      <c r="B343" s="8" t="s">
        <v>79</v>
      </c>
      <c r="C343" s="8" t="s">
        <v>345</v>
      </c>
      <c r="D343" s="8" t="s">
        <v>366</v>
      </c>
      <c r="E343" s="9">
        <v>23.81</v>
      </c>
      <c r="F343" s="8" t="s">
        <v>325</v>
      </c>
      <c r="G343" s="143">
        <v>3630</v>
      </c>
      <c r="H343" s="132">
        <f t="shared" si="43"/>
        <v>46249</v>
      </c>
      <c r="I343" s="140">
        <f t="shared" si="43"/>
        <v>115</v>
      </c>
      <c r="J343" s="9">
        <f t="shared" si="48"/>
        <v>3.1680440771349865</v>
      </c>
      <c r="K343" s="140">
        <f t="shared" si="49"/>
        <v>3</v>
      </c>
      <c r="L343" s="206">
        <f t="shared" si="50"/>
        <v>2.6086956521739131</v>
      </c>
      <c r="M343" s="8" t="str">
        <f t="array" ref="M343">IF(L343&gt;5,"Perlu Sensus",IF(AND(L343&gt;=0,I343&gt;0),"Tetap Deteksi","Belum Deteksi"))</f>
        <v>Tetap Deteksi</v>
      </c>
      <c r="N343" s="132">
        <v>46249</v>
      </c>
      <c r="O343" s="143">
        <f t="array" ref="O343">INDEX('[21]DETEKSI ROT 2 (2)'!$G$343:$G$622,MATCH(1,('[21]DETEKSI ROT 2 (2)'!$D$343:$D$622=$D343)*('[21]DETEKSI ROT 2 (2)'!$D$343:$D$622=$D343),0))</f>
        <v>115</v>
      </c>
      <c r="P343" s="9">
        <f t="array" ref="P343">IFERROR(O343/G343*100,0)</f>
        <v>3.1680440771349865</v>
      </c>
      <c r="Q343" s="143">
        <f t="array" ref="Q343">INDEX('[21]DETEKSI ROT 2 (2)'!$I$343:$I$622,MATCH(1,('[21]DETEKSI ROT 2 (2)'!$D$343:$D$622=$D343)*('[21]DETEKSI ROT 2 (2)'!$D$343:$D$622=$D343),0))</f>
        <v>3</v>
      </c>
      <c r="R343" s="9">
        <f t="shared" si="52"/>
        <v>2.6086956521739131</v>
      </c>
      <c r="S343" s="8" t="str">
        <f t="array" ref="S343">IF(R343&gt;5,"Perlu Sensus",IF(AND(R343&gt;=0,O343&gt;0),"Tetap Deteksi","Belum Deteksi"))</f>
        <v>Tetap Deteksi</v>
      </c>
      <c r="T343" s="203"/>
      <c r="U343" s="9">
        <f t="shared" si="53"/>
        <v>0</v>
      </c>
      <c r="V343" s="132">
        <v>46249</v>
      </c>
      <c r="W343" s="143">
        <f t="array" ref="W343">INDEX('[21]DETEKSI ROT 2 (2)'!$L$343:$L$622,MATCH(1,('[21]DETEKSI ROT 2 (2)'!$D$343:$D$622=$D343)*('[21]DETEKSI ROT 2 (2)'!$D$343:$D$622=$D343),0))</f>
        <v>58</v>
      </c>
      <c r="X343" s="143">
        <f t="array" ref="X343">INDEX('[21]DETEKSI ROT 2 (2)'!$M$343:$M$622,MATCH(1,('[21]DETEKSI ROT 2 (2)'!$D$343:$D$622=$D343)*('[21]DETEKSI ROT 2 (2)'!$D$343:$D$622=$D343),0))</f>
        <v>3</v>
      </c>
      <c r="Y343" s="9">
        <f t="shared" si="51"/>
        <v>5.1724137931034484</v>
      </c>
      <c r="Z343" s="8" t="str">
        <f t="array" ref="Z343">IF(Y343&gt;5,"Perlu Sensus",IF(AND(Y343&gt;0,,O343&gt;0),"Tetap Deteksi","Belum Deteksi"))</f>
        <v>Perlu Sensus</v>
      </c>
      <c r="AA343" s="203"/>
      <c r="AB343" s="9">
        <f t="shared" si="54"/>
        <v>0</v>
      </c>
    </row>
    <row r="344" spans="1:28" x14ac:dyDescent="0.15">
      <c r="A344" s="8" t="s">
        <v>322</v>
      </c>
      <c r="B344" s="8" t="s">
        <v>79</v>
      </c>
      <c r="C344" s="8" t="s">
        <v>345</v>
      </c>
      <c r="D344" s="8" t="s">
        <v>367</v>
      </c>
      <c r="E344" s="9">
        <v>24.67</v>
      </c>
      <c r="F344" s="8" t="s">
        <v>325</v>
      </c>
      <c r="G344" s="143">
        <v>3693</v>
      </c>
      <c r="H344" s="132">
        <f t="shared" si="43"/>
        <v>46249</v>
      </c>
      <c r="I344" s="140">
        <f t="shared" si="43"/>
        <v>124</v>
      </c>
      <c r="J344" s="9">
        <f t="shared" si="48"/>
        <v>3.3577037638776064</v>
      </c>
      <c r="K344" s="140">
        <f t="shared" si="49"/>
        <v>3</v>
      </c>
      <c r="L344" s="206">
        <f t="shared" si="50"/>
        <v>2.4193548387096775</v>
      </c>
      <c r="M344" s="8" t="str">
        <f t="array" ref="M344">IF(L344&gt;5,"Perlu Sensus",IF(AND(L344&gt;=0,I344&gt;0),"Tetap Deteksi","Belum Deteksi"))</f>
        <v>Tetap Deteksi</v>
      </c>
      <c r="N344" s="132">
        <v>46249</v>
      </c>
      <c r="O344" s="143">
        <f t="array" ref="O344">INDEX('[21]DETEKSI ROT 2 (2)'!$G$343:$G$622,MATCH(1,('[21]DETEKSI ROT 2 (2)'!$D$343:$D$622=$D344)*('[21]DETEKSI ROT 2 (2)'!$D$343:$D$622=$D344),0))</f>
        <v>124</v>
      </c>
      <c r="P344" s="9">
        <f t="array" ref="P344">IFERROR(O344/G344*100,0)</f>
        <v>3.3577037638776064</v>
      </c>
      <c r="Q344" s="143">
        <f t="array" ref="Q344">INDEX('[21]DETEKSI ROT 2 (2)'!$I$343:$I$622,MATCH(1,('[21]DETEKSI ROT 2 (2)'!$D$343:$D$622=$D344)*('[21]DETEKSI ROT 2 (2)'!$D$343:$D$622=$D344),0))</f>
        <v>3</v>
      </c>
      <c r="R344" s="9">
        <f t="shared" si="52"/>
        <v>2.4193548387096775</v>
      </c>
      <c r="S344" s="8" t="str">
        <f t="array" ref="S344">IF(R344&gt;5,"Perlu Sensus",IF(AND(R344&gt;=0,O344&gt;0),"Tetap Deteksi","Belum Deteksi"))</f>
        <v>Tetap Deteksi</v>
      </c>
      <c r="T344" s="203"/>
      <c r="U344" s="9">
        <f t="shared" si="53"/>
        <v>0</v>
      </c>
      <c r="V344" s="132">
        <v>46249</v>
      </c>
      <c r="W344" s="143">
        <f t="array" ref="W344">INDEX('[21]DETEKSI ROT 2 (2)'!$L$343:$L$622,MATCH(1,('[21]DETEKSI ROT 2 (2)'!$D$343:$D$622=$D344)*('[21]DETEKSI ROT 2 (2)'!$D$343:$D$622=$D344),0))</f>
        <v>49</v>
      </c>
      <c r="X344" s="143">
        <f t="array" ref="X344">INDEX('[21]DETEKSI ROT 2 (2)'!$M$343:$M$622,MATCH(1,('[21]DETEKSI ROT 2 (2)'!$D$343:$D$622=$D344)*('[21]DETEKSI ROT 2 (2)'!$D$343:$D$622=$D344),0))</f>
        <v>2</v>
      </c>
      <c r="Y344" s="9">
        <f t="shared" si="51"/>
        <v>4.0816326530612246</v>
      </c>
      <c r="Z344" s="8" t="str">
        <f t="array" ref="Z344">IF(Y344&gt;5,"Perlu Sensus",IF(AND(Y344&gt;0,,O344&gt;0),"Tetap Deteksi","Belum Deteksi"))</f>
        <v>Belum Deteksi</v>
      </c>
      <c r="AA344" s="203"/>
      <c r="AB344" s="9">
        <f t="shared" si="54"/>
        <v>0</v>
      </c>
    </row>
    <row r="345" spans="1:28" x14ac:dyDescent="0.15">
      <c r="A345" s="8" t="s">
        <v>322</v>
      </c>
      <c r="B345" s="8" t="s">
        <v>79</v>
      </c>
      <c r="C345" s="8" t="s">
        <v>345</v>
      </c>
      <c r="D345" s="8" t="s">
        <v>368</v>
      </c>
      <c r="E345" s="9">
        <v>27.26</v>
      </c>
      <c r="F345" s="8" t="s">
        <v>325</v>
      </c>
      <c r="G345" s="143">
        <v>3707</v>
      </c>
      <c r="H345" s="132">
        <f t="shared" si="43"/>
        <v>46249</v>
      </c>
      <c r="I345" s="140">
        <f t="shared" si="43"/>
        <v>66</v>
      </c>
      <c r="J345" s="9">
        <f t="shared" si="48"/>
        <v>1.7804154302670623</v>
      </c>
      <c r="K345" s="140">
        <f t="shared" si="49"/>
        <v>4</v>
      </c>
      <c r="L345" s="206">
        <f t="shared" si="50"/>
        <v>6.0606060606060606</v>
      </c>
      <c r="M345" s="8" t="str">
        <f t="array" ref="M345">IF(L345&gt;5,"Perlu Sensus",IF(AND(L345&gt;=0,I345&gt;0),"Tetap Deteksi","Belum Deteksi"))</f>
        <v>Perlu Sensus</v>
      </c>
      <c r="N345" s="132">
        <v>46249</v>
      </c>
      <c r="O345" s="143">
        <f t="array" ref="O345">INDEX('[21]DETEKSI ROT 2 (2)'!$G$343:$G$622,MATCH(1,('[21]DETEKSI ROT 2 (2)'!$D$343:$D$622=$D345)*('[21]DETEKSI ROT 2 (2)'!$D$343:$D$622=$D345),0))</f>
        <v>66</v>
      </c>
      <c r="P345" s="9">
        <f t="array" ref="P345">IFERROR(O345/G345*100,0)</f>
        <v>1.7804154302670623</v>
      </c>
      <c r="Q345" s="143">
        <f t="array" ref="Q345">INDEX('[21]DETEKSI ROT 2 (2)'!$I$343:$I$622,MATCH(1,('[21]DETEKSI ROT 2 (2)'!$D$343:$D$622=$D345)*('[21]DETEKSI ROT 2 (2)'!$D$343:$D$622=$D345),0))</f>
        <v>4</v>
      </c>
      <c r="R345" s="9">
        <f t="shared" si="52"/>
        <v>6.0606060606060606</v>
      </c>
      <c r="S345" s="8" t="str">
        <f t="array" ref="S345">IF(R345&gt;5,"Perlu Sensus",IF(AND(R345&gt;=0,O345&gt;0),"Tetap Deteksi","Belum Deteksi"))</f>
        <v>Perlu Sensus</v>
      </c>
      <c r="T345" s="203"/>
      <c r="U345" s="9">
        <f t="shared" si="53"/>
        <v>0</v>
      </c>
      <c r="V345" s="132">
        <v>46249</v>
      </c>
      <c r="W345" s="143">
        <f t="array" ref="W345">INDEX('[21]DETEKSI ROT 2 (2)'!$L$343:$L$622,MATCH(1,('[21]DETEKSI ROT 2 (2)'!$D$343:$D$622=$D345)*('[21]DETEKSI ROT 2 (2)'!$D$343:$D$622=$D345),0))</f>
        <v>35</v>
      </c>
      <c r="X345" s="143">
        <f t="array" ref="X345">INDEX('[21]DETEKSI ROT 2 (2)'!$M$343:$M$622,MATCH(1,('[21]DETEKSI ROT 2 (2)'!$D$343:$D$622=$D345)*('[21]DETEKSI ROT 2 (2)'!$D$343:$D$622=$D345),0))</f>
        <v>3</v>
      </c>
      <c r="Y345" s="9">
        <f t="shared" si="51"/>
        <v>8.5714285714285712</v>
      </c>
      <c r="Z345" s="8" t="str">
        <f t="array" ref="Z345">IF(Y345&gt;5,"Perlu Sensus",IF(AND(Y345&gt;0,,O345&gt;0),"Tetap Deteksi","Belum Deteksi"))</f>
        <v>Perlu Sensus</v>
      </c>
      <c r="AA345" s="203"/>
      <c r="AB345" s="9">
        <f t="shared" si="54"/>
        <v>0</v>
      </c>
    </row>
    <row r="346" spans="1:28" x14ac:dyDescent="0.15">
      <c r="A346" s="8" t="s">
        <v>322</v>
      </c>
      <c r="B346" s="8" t="s">
        <v>79</v>
      </c>
      <c r="C346" s="8" t="s">
        <v>345</v>
      </c>
      <c r="D346" s="8" t="s">
        <v>369</v>
      </c>
      <c r="E346" s="9">
        <v>26.21</v>
      </c>
      <c r="F346" s="8" t="s">
        <v>325</v>
      </c>
      <c r="G346" s="143">
        <v>3529</v>
      </c>
      <c r="H346" s="132">
        <f t="shared" si="43"/>
        <v>46249</v>
      </c>
      <c r="I346" s="140">
        <f t="shared" si="43"/>
        <v>31</v>
      </c>
      <c r="J346" s="9">
        <f t="shared" si="48"/>
        <v>0.87843581751204314</v>
      </c>
      <c r="K346" s="140">
        <f t="shared" si="49"/>
        <v>2</v>
      </c>
      <c r="L346" s="206">
        <f t="shared" si="50"/>
        <v>6.4516129032258061</v>
      </c>
      <c r="M346" s="8" t="str">
        <f t="array" ref="M346">IF(L346&gt;5,"Perlu Sensus",IF(AND(L346&gt;=0,I346&gt;0),"Tetap Deteksi","Belum Deteksi"))</f>
        <v>Perlu Sensus</v>
      </c>
      <c r="N346" s="132">
        <v>46249</v>
      </c>
      <c r="O346" s="143">
        <f t="array" ref="O346">INDEX('[21]DETEKSI ROT 2 (2)'!$G$343:$G$622,MATCH(1,('[21]DETEKSI ROT 2 (2)'!$D$343:$D$622=$D346)*('[21]DETEKSI ROT 2 (2)'!$D$343:$D$622=$D346),0))</f>
        <v>31</v>
      </c>
      <c r="P346" s="9">
        <f t="array" ref="P346">IFERROR(O346/G346*100,0)</f>
        <v>0.87843581751204314</v>
      </c>
      <c r="Q346" s="143">
        <f t="array" ref="Q346">INDEX('[21]DETEKSI ROT 2 (2)'!$I$343:$I$622,MATCH(1,('[21]DETEKSI ROT 2 (2)'!$D$343:$D$622=$D346)*('[21]DETEKSI ROT 2 (2)'!$D$343:$D$622=$D346),0))</f>
        <v>2</v>
      </c>
      <c r="R346" s="9">
        <f t="shared" si="52"/>
        <v>6.4516129032258061</v>
      </c>
      <c r="S346" s="8" t="str">
        <f t="array" ref="S346">IF(R346&gt;5,"Perlu Sensus",IF(AND(R346&gt;=0,O346&gt;0),"Tetap Deteksi","Belum Deteksi"))</f>
        <v>Perlu Sensus</v>
      </c>
      <c r="T346" s="203"/>
      <c r="U346" s="9">
        <f t="shared" si="53"/>
        <v>0</v>
      </c>
      <c r="V346" s="132">
        <v>46249</v>
      </c>
      <c r="W346" s="143">
        <f t="array" ref="W346">INDEX('[21]DETEKSI ROT 2 (2)'!$L$343:$L$622,MATCH(1,('[21]DETEKSI ROT 2 (2)'!$D$343:$D$622=$D346)*('[21]DETEKSI ROT 2 (2)'!$D$343:$D$622=$D346),0))</f>
        <v>27</v>
      </c>
      <c r="X346" s="143">
        <f t="array" ref="X346">INDEX('[21]DETEKSI ROT 2 (2)'!$M$343:$M$622,MATCH(1,('[21]DETEKSI ROT 2 (2)'!$D$343:$D$622=$D346)*('[21]DETEKSI ROT 2 (2)'!$D$343:$D$622=$D346),0))</f>
        <v>2</v>
      </c>
      <c r="Y346" s="9">
        <f t="shared" si="51"/>
        <v>7.4074074074074066</v>
      </c>
      <c r="Z346" s="8" t="str">
        <f t="array" ref="Z346">IF(Y346&gt;5,"Perlu Sensus",IF(AND(Y346&gt;0,,O346&gt;0),"Tetap Deteksi","Belum Deteksi"))</f>
        <v>Perlu Sensus</v>
      </c>
      <c r="AA346" s="203"/>
      <c r="AB346" s="9">
        <f t="shared" si="54"/>
        <v>0</v>
      </c>
    </row>
    <row r="347" spans="1:28" x14ac:dyDescent="0.15">
      <c r="A347" s="8" t="s">
        <v>322</v>
      </c>
      <c r="B347" s="8" t="s">
        <v>79</v>
      </c>
      <c r="C347" s="8" t="s">
        <v>345</v>
      </c>
      <c r="D347" s="8" t="s">
        <v>370</v>
      </c>
      <c r="E347" s="9">
        <v>45.14</v>
      </c>
      <c r="F347" s="8" t="s">
        <v>325</v>
      </c>
      <c r="G347" s="143">
        <v>6115</v>
      </c>
      <c r="H347" s="132">
        <f t="shared" si="43"/>
        <v>46249</v>
      </c>
      <c r="I347" s="140">
        <f t="shared" si="43"/>
        <v>68</v>
      </c>
      <c r="J347" s="9">
        <f t="shared" si="48"/>
        <v>1.1120196238757156</v>
      </c>
      <c r="K347" s="140">
        <f t="shared" si="49"/>
        <v>2</v>
      </c>
      <c r="L347" s="206">
        <f t="shared" si="50"/>
        <v>2.9411764705882351</v>
      </c>
      <c r="M347" s="8" t="str">
        <f t="array" ref="M347">IF(L347&gt;5,"Perlu Sensus",IF(AND(L347&gt;=0,I347&gt;0),"Tetap Deteksi","Belum Deteksi"))</f>
        <v>Tetap Deteksi</v>
      </c>
      <c r="N347" s="132">
        <v>46249</v>
      </c>
      <c r="O347" s="143">
        <f t="array" ref="O347">INDEX('[21]DETEKSI ROT 2 (2)'!$G$343:$G$622,MATCH(1,('[21]DETEKSI ROT 2 (2)'!$D$343:$D$622=$D347)*('[21]DETEKSI ROT 2 (2)'!$D$343:$D$622=$D347),0))</f>
        <v>68</v>
      </c>
      <c r="P347" s="9">
        <f t="array" ref="P347">IFERROR(O347/G347*100,0)</f>
        <v>1.1120196238757156</v>
      </c>
      <c r="Q347" s="143">
        <f t="array" ref="Q347">INDEX('[21]DETEKSI ROT 2 (2)'!$I$343:$I$622,MATCH(1,('[21]DETEKSI ROT 2 (2)'!$D$343:$D$622=$D347)*('[21]DETEKSI ROT 2 (2)'!$D$343:$D$622=$D347),0))</f>
        <v>2</v>
      </c>
      <c r="R347" s="9">
        <f t="shared" si="52"/>
        <v>2.9411764705882351</v>
      </c>
      <c r="S347" s="8" t="str">
        <f t="array" ref="S347">IF(R347&gt;5,"Perlu Sensus",IF(AND(R347&gt;=0,O347&gt;0),"Tetap Deteksi","Belum Deteksi"))</f>
        <v>Tetap Deteksi</v>
      </c>
      <c r="T347" s="203"/>
      <c r="U347" s="9">
        <f t="shared" si="53"/>
        <v>0</v>
      </c>
      <c r="V347" s="132">
        <v>46249</v>
      </c>
      <c r="W347" s="143">
        <f t="array" ref="W347">INDEX('[21]DETEKSI ROT 2 (2)'!$L$343:$L$622,MATCH(1,('[21]DETEKSI ROT 2 (2)'!$D$343:$D$622=$D347)*('[21]DETEKSI ROT 2 (2)'!$D$343:$D$622=$D347),0))</f>
        <v>56</v>
      </c>
      <c r="X347" s="143">
        <f t="array" ref="X347">INDEX('[21]DETEKSI ROT 2 (2)'!$M$343:$M$622,MATCH(1,('[21]DETEKSI ROT 2 (2)'!$D$343:$D$622=$D347)*('[21]DETEKSI ROT 2 (2)'!$D$343:$D$622=$D347),0))</f>
        <v>3</v>
      </c>
      <c r="Y347" s="9">
        <f t="shared" si="51"/>
        <v>5.3571428571428568</v>
      </c>
      <c r="Z347" s="8" t="str">
        <f t="array" ref="Z347">IF(Y347&gt;5,"Perlu Sensus",IF(AND(Y347&gt;0,,O347&gt;0),"Tetap Deteksi","Belum Deteksi"))</f>
        <v>Perlu Sensus</v>
      </c>
      <c r="AA347" s="203"/>
      <c r="AB347" s="9">
        <f t="shared" si="54"/>
        <v>0</v>
      </c>
    </row>
    <row r="348" spans="1:28" x14ac:dyDescent="0.15">
      <c r="A348" s="8" t="s">
        <v>322</v>
      </c>
      <c r="B348" s="8" t="s">
        <v>79</v>
      </c>
      <c r="C348" s="8" t="s">
        <v>345</v>
      </c>
      <c r="D348" s="8" t="s">
        <v>371</v>
      </c>
      <c r="E348" s="9">
        <v>25.99</v>
      </c>
      <c r="F348" s="8" t="s">
        <v>325</v>
      </c>
      <c r="G348" s="143">
        <v>3288</v>
      </c>
      <c r="H348" s="132">
        <f t="shared" si="43"/>
        <v>46249</v>
      </c>
      <c r="I348" s="140">
        <f t="shared" si="43"/>
        <v>45</v>
      </c>
      <c r="J348" s="9">
        <f t="shared" si="48"/>
        <v>1.3686131386861315</v>
      </c>
      <c r="K348" s="140">
        <f t="shared" si="49"/>
        <v>2</v>
      </c>
      <c r="L348" s="206">
        <f t="shared" si="50"/>
        <v>4.4444444444444446</v>
      </c>
      <c r="M348" s="8" t="str">
        <f t="array" ref="M348">IF(L348&gt;5,"Perlu Sensus",IF(AND(L348&gt;=0,I348&gt;0),"Tetap Deteksi","Belum Deteksi"))</f>
        <v>Tetap Deteksi</v>
      </c>
      <c r="N348" s="132">
        <v>46249</v>
      </c>
      <c r="O348" s="143">
        <f t="array" ref="O348">INDEX('[21]DETEKSI ROT 2 (2)'!$G$343:$G$622,MATCH(1,('[21]DETEKSI ROT 2 (2)'!$D$343:$D$622=$D348)*('[21]DETEKSI ROT 2 (2)'!$D$343:$D$622=$D348),0))</f>
        <v>45</v>
      </c>
      <c r="P348" s="9">
        <f t="array" ref="P348">IFERROR(O348/G348*100,0)</f>
        <v>1.3686131386861315</v>
      </c>
      <c r="Q348" s="143">
        <f t="array" ref="Q348">INDEX('[21]DETEKSI ROT 2 (2)'!$I$343:$I$622,MATCH(1,('[21]DETEKSI ROT 2 (2)'!$D$343:$D$622=$D348)*('[21]DETEKSI ROT 2 (2)'!$D$343:$D$622=$D348),0))</f>
        <v>2</v>
      </c>
      <c r="R348" s="9">
        <f t="shared" si="52"/>
        <v>4.4444444444444446</v>
      </c>
      <c r="S348" s="8" t="str">
        <f t="array" ref="S348">IF(R348&gt;5,"Perlu Sensus",IF(AND(R348&gt;=0,O348&gt;0),"Tetap Deteksi","Belum Deteksi"))</f>
        <v>Tetap Deteksi</v>
      </c>
      <c r="T348" s="203"/>
      <c r="U348" s="9">
        <f t="shared" si="53"/>
        <v>0</v>
      </c>
      <c r="V348" s="132">
        <v>46249</v>
      </c>
      <c r="W348" s="143">
        <f t="array" ref="W348">INDEX('[21]DETEKSI ROT 2 (2)'!$L$343:$L$622,MATCH(1,('[21]DETEKSI ROT 2 (2)'!$D$343:$D$622=$D348)*('[21]DETEKSI ROT 2 (2)'!$D$343:$D$622=$D348),0))</f>
        <v>61</v>
      </c>
      <c r="X348" s="143">
        <f t="array" ref="X348">INDEX('[21]DETEKSI ROT 2 (2)'!$M$343:$M$622,MATCH(1,('[21]DETEKSI ROT 2 (2)'!$D$343:$D$622=$D348)*('[21]DETEKSI ROT 2 (2)'!$D$343:$D$622=$D348),0))</f>
        <v>2</v>
      </c>
      <c r="Y348" s="9">
        <f t="shared" si="51"/>
        <v>3.278688524590164</v>
      </c>
      <c r="Z348" s="8" t="str">
        <f t="array" ref="Z348">IF(Y348&gt;5,"Perlu Sensus",IF(AND(Y348&gt;0,,O348&gt;0),"Tetap Deteksi","Belum Deteksi"))</f>
        <v>Belum Deteksi</v>
      </c>
      <c r="AA348" s="203"/>
      <c r="AB348" s="9">
        <f t="shared" si="54"/>
        <v>0</v>
      </c>
    </row>
    <row r="349" spans="1:28" x14ac:dyDescent="0.15">
      <c r="A349" s="8" t="s">
        <v>322</v>
      </c>
      <c r="B349" s="8" t="s">
        <v>79</v>
      </c>
      <c r="C349" s="8" t="s">
        <v>345</v>
      </c>
      <c r="D349" s="8" t="s">
        <v>372</v>
      </c>
      <c r="E349" s="9">
        <v>27.78</v>
      </c>
      <c r="F349" s="8" t="s">
        <v>325</v>
      </c>
      <c r="G349" s="143">
        <v>3713</v>
      </c>
      <c r="H349" s="132">
        <f t="shared" si="43"/>
        <v>46249</v>
      </c>
      <c r="I349" s="140">
        <f t="shared" si="43"/>
        <v>41</v>
      </c>
      <c r="J349" s="9">
        <f t="shared" si="48"/>
        <v>1.1042283867492593</v>
      </c>
      <c r="K349" s="140">
        <f t="shared" si="49"/>
        <v>1</v>
      </c>
      <c r="L349" s="206">
        <f t="shared" si="50"/>
        <v>2.4390243902439024</v>
      </c>
      <c r="M349" s="8" t="str">
        <f t="array" ref="M349">IF(L349&gt;5,"Perlu Sensus",IF(AND(L349&gt;=0,I349&gt;0),"Tetap Deteksi","Belum Deteksi"))</f>
        <v>Tetap Deteksi</v>
      </c>
      <c r="N349" s="132">
        <v>46249</v>
      </c>
      <c r="O349" s="143">
        <f t="array" ref="O349">INDEX('[21]DETEKSI ROT 2 (2)'!$G$343:$G$622,MATCH(1,('[21]DETEKSI ROT 2 (2)'!$D$343:$D$622=$D349)*('[21]DETEKSI ROT 2 (2)'!$D$343:$D$622=$D349),0))</f>
        <v>41</v>
      </c>
      <c r="P349" s="9">
        <f t="array" ref="P349">IFERROR(O349/G349*100,0)</f>
        <v>1.1042283867492593</v>
      </c>
      <c r="Q349" s="143">
        <f t="array" ref="Q349">INDEX('[21]DETEKSI ROT 2 (2)'!$I$343:$I$622,MATCH(1,('[21]DETEKSI ROT 2 (2)'!$D$343:$D$622=$D349)*('[21]DETEKSI ROT 2 (2)'!$D$343:$D$622=$D349),0))</f>
        <v>1</v>
      </c>
      <c r="R349" s="9">
        <f t="shared" si="52"/>
        <v>2.4390243902439024</v>
      </c>
      <c r="S349" s="8" t="str">
        <f t="array" ref="S349">IF(R349&gt;5,"Perlu Sensus",IF(AND(R349&gt;=0,O349&gt;0),"Tetap Deteksi","Belum Deteksi"))</f>
        <v>Tetap Deteksi</v>
      </c>
      <c r="T349" s="203"/>
      <c r="U349" s="9">
        <f t="shared" si="53"/>
        <v>0</v>
      </c>
      <c r="V349" s="132">
        <v>46249</v>
      </c>
      <c r="W349" s="143">
        <f t="array" ref="W349">INDEX('[21]DETEKSI ROT 2 (2)'!$L$343:$L$622,MATCH(1,('[21]DETEKSI ROT 2 (2)'!$D$343:$D$622=$D349)*('[21]DETEKSI ROT 2 (2)'!$D$343:$D$622=$D349),0))</f>
        <v>56</v>
      </c>
      <c r="X349" s="143">
        <f t="array" ref="X349">INDEX('[21]DETEKSI ROT 2 (2)'!$M$343:$M$622,MATCH(1,('[21]DETEKSI ROT 2 (2)'!$D$343:$D$622=$D349)*('[21]DETEKSI ROT 2 (2)'!$D$343:$D$622=$D349),0))</f>
        <v>2</v>
      </c>
      <c r="Y349" s="9">
        <f t="shared" si="51"/>
        <v>3.5714285714285712</v>
      </c>
      <c r="Z349" s="8" t="str">
        <f t="array" ref="Z349">IF(Y349&gt;5,"Perlu Sensus",IF(AND(Y349&gt;0,,O349&gt;0),"Tetap Deteksi","Belum Deteksi"))</f>
        <v>Belum Deteksi</v>
      </c>
      <c r="AA349" s="203"/>
      <c r="AB349" s="9">
        <f t="shared" si="54"/>
        <v>0</v>
      </c>
    </row>
    <row r="350" spans="1:28" x14ac:dyDescent="0.15">
      <c r="A350" s="8" t="s">
        <v>322</v>
      </c>
      <c r="B350" s="8" t="s">
        <v>79</v>
      </c>
      <c r="C350" s="8" t="s">
        <v>345</v>
      </c>
      <c r="D350" s="8" t="s">
        <v>373</v>
      </c>
      <c r="E350" s="9">
        <v>25.94</v>
      </c>
      <c r="F350" s="8" t="s">
        <v>325</v>
      </c>
      <c r="G350" s="143">
        <v>3342</v>
      </c>
      <c r="H350" s="132">
        <f t="shared" si="43"/>
        <v>46249</v>
      </c>
      <c r="I350" s="140">
        <f t="shared" si="43"/>
        <v>78</v>
      </c>
      <c r="J350" s="9">
        <f t="shared" si="48"/>
        <v>2.3339317773788149</v>
      </c>
      <c r="K350" s="140">
        <f t="shared" si="49"/>
        <v>3</v>
      </c>
      <c r="L350" s="206">
        <f t="shared" si="50"/>
        <v>3.8461538461538463</v>
      </c>
      <c r="M350" s="8" t="str">
        <f t="array" ref="M350">IF(L350&gt;5,"Perlu Sensus",IF(AND(L350&gt;=0,I350&gt;0),"Tetap Deteksi","Belum Deteksi"))</f>
        <v>Tetap Deteksi</v>
      </c>
      <c r="N350" s="132">
        <v>46249</v>
      </c>
      <c r="O350" s="143">
        <f t="array" ref="O350">INDEX('[21]DETEKSI ROT 2 (2)'!$G$343:$G$622,MATCH(1,('[21]DETEKSI ROT 2 (2)'!$D$343:$D$622=$D350)*('[21]DETEKSI ROT 2 (2)'!$D$343:$D$622=$D350),0))</f>
        <v>78</v>
      </c>
      <c r="P350" s="9">
        <f t="array" ref="P350">IFERROR(O350/G350*100,0)</f>
        <v>2.3339317773788149</v>
      </c>
      <c r="Q350" s="143">
        <f t="array" ref="Q350">INDEX('[21]DETEKSI ROT 2 (2)'!$I$343:$I$622,MATCH(1,('[21]DETEKSI ROT 2 (2)'!$D$343:$D$622=$D350)*('[21]DETEKSI ROT 2 (2)'!$D$343:$D$622=$D350),0))</f>
        <v>3</v>
      </c>
      <c r="R350" s="9">
        <f t="shared" si="52"/>
        <v>3.8461538461538463</v>
      </c>
      <c r="S350" s="8" t="str">
        <f t="array" ref="S350">IF(R350&gt;5,"Perlu Sensus",IF(AND(R350&gt;=0,O350&gt;0),"Tetap Deteksi","Belum Deteksi"))</f>
        <v>Tetap Deteksi</v>
      </c>
      <c r="T350" s="203"/>
      <c r="U350" s="9">
        <f t="shared" si="53"/>
        <v>0</v>
      </c>
      <c r="V350" s="132">
        <v>46249</v>
      </c>
      <c r="W350" s="143">
        <f t="array" ref="W350">INDEX('[21]DETEKSI ROT 2 (2)'!$L$343:$L$622,MATCH(1,('[21]DETEKSI ROT 2 (2)'!$D$343:$D$622=$D350)*('[21]DETEKSI ROT 2 (2)'!$D$343:$D$622=$D350),0))</f>
        <v>49</v>
      </c>
      <c r="X350" s="143">
        <f t="array" ref="X350">INDEX('[21]DETEKSI ROT 2 (2)'!$M$343:$M$622,MATCH(1,('[21]DETEKSI ROT 2 (2)'!$D$343:$D$622=$D350)*('[21]DETEKSI ROT 2 (2)'!$D$343:$D$622=$D350),0))</f>
        <v>2</v>
      </c>
      <c r="Y350" s="9">
        <f t="shared" si="51"/>
        <v>4.0816326530612246</v>
      </c>
      <c r="Z350" s="8" t="str">
        <f t="array" ref="Z350">IF(Y350&gt;5,"Perlu Sensus",IF(AND(Y350&gt;0,,O350&gt;0),"Tetap Deteksi","Belum Deteksi"))</f>
        <v>Belum Deteksi</v>
      </c>
      <c r="AA350" s="203"/>
      <c r="AB350" s="9">
        <f t="shared" si="54"/>
        <v>0</v>
      </c>
    </row>
    <row r="351" spans="1:28" x14ac:dyDescent="0.15">
      <c r="A351" s="8" t="s">
        <v>322</v>
      </c>
      <c r="B351" s="8" t="s">
        <v>79</v>
      </c>
      <c r="C351" s="8" t="s">
        <v>345</v>
      </c>
      <c r="D351" s="8" t="s">
        <v>374</v>
      </c>
      <c r="E351" s="9">
        <v>22.6</v>
      </c>
      <c r="F351" s="8" t="s">
        <v>325</v>
      </c>
      <c r="G351" s="143">
        <v>2939</v>
      </c>
      <c r="H351" s="132">
        <f t="shared" si="43"/>
        <v>46249</v>
      </c>
      <c r="I351" s="140">
        <f t="shared" si="43"/>
        <v>13</v>
      </c>
      <c r="J351" s="9">
        <f t="shared" si="48"/>
        <v>0.44232732221844168</v>
      </c>
      <c r="K351" s="140">
        <f t="shared" si="49"/>
        <v>3</v>
      </c>
      <c r="L351" s="206">
        <f t="shared" si="50"/>
        <v>23.076923076923077</v>
      </c>
      <c r="M351" s="8" t="str">
        <f t="array" ref="M351">IF(L351&gt;5,"Perlu Sensus",IF(AND(L351&gt;=0,I351&gt;0),"Tetap Deteksi","Belum Deteksi"))</f>
        <v>Perlu Sensus</v>
      </c>
      <c r="N351" s="132">
        <v>46249</v>
      </c>
      <c r="O351" s="143">
        <f t="array" ref="O351">INDEX('[21]DETEKSI ROT 2 (2)'!$G$343:$G$622,MATCH(1,('[21]DETEKSI ROT 2 (2)'!$D$343:$D$622=$D351)*('[21]DETEKSI ROT 2 (2)'!$D$343:$D$622=$D351),0))</f>
        <v>13</v>
      </c>
      <c r="P351" s="9">
        <f t="array" ref="P351">IFERROR(O351/G351*100,0)</f>
        <v>0.44232732221844168</v>
      </c>
      <c r="Q351" s="143">
        <f t="array" ref="Q351">INDEX('[21]DETEKSI ROT 2 (2)'!$I$343:$I$622,MATCH(1,('[21]DETEKSI ROT 2 (2)'!$D$343:$D$622=$D351)*('[21]DETEKSI ROT 2 (2)'!$D$343:$D$622=$D351),0))</f>
        <v>3</v>
      </c>
      <c r="R351" s="9">
        <f t="shared" si="52"/>
        <v>23.076923076923077</v>
      </c>
      <c r="S351" s="8" t="str">
        <f t="array" ref="S351">IF(R351&gt;5,"Perlu Sensus",IF(AND(R351&gt;=0,O351&gt;0),"Tetap Deteksi","Belum Deteksi"))</f>
        <v>Perlu Sensus</v>
      </c>
      <c r="T351" s="203"/>
      <c r="U351" s="9">
        <f t="shared" si="53"/>
        <v>0</v>
      </c>
      <c r="V351" s="132">
        <v>46249</v>
      </c>
      <c r="W351" s="143">
        <f t="array" ref="W351">INDEX('[21]DETEKSI ROT 2 (2)'!$L$343:$L$622,MATCH(1,('[21]DETEKSI ROT 2 (2)'!$D$343:$D$622=$D351)*('[21]DETEKSI ROT 2 (2)'!$D$343:$D$622=$D351),0))</f>
        <v>28</v>
      </c>
      <c r="X351" s="143">
        <f t="array" ref="X351">INDEX('[21]DETEKSI ROT 2 (2)'!$M$343:$M$622,MATCH(1,('[21]DETEKSI ROT 2 (2)'!$D$343:$D$622=$D351)*('[21]DETEKSI ROT 2 (2)'!$D$343:$D$622=$D351),0))</f>
        <v>3</v>
      </c>
      <c r="Y351" s="9">
        <f t="shared" si="51"/>
        <v>10.714285714285714</v>
      </c>
      <c r="Z351" s="8" t="str">
        <f t="array" ref="Z351">IF(Y351&gt;5,"Perlu Sensus",IF(AND(Y351&gt;0,,O351&gt;0),"Tetap Deteksi","Belum Deteksi"))</f>
        <v>Perlu Sensus</v>
      </c>
      <c r="AA351" s="203"/>
      <c r="AB351" s="9">
        <f t="shared" si="54"/>
        <v>0</v>
      </c>
    </row>
    <row r="352" spans="1:28" x14ac:dyDescent="0.15">
      <c r="A352" s="8" t="s">
        <v>322</v>
      </c>
      <c r="B352" s="8" t="s">
        <v>79</v>
      </c>
      <c r="C352" s="8" t="s">
        <v>345</v>
      </c>
      <c r="D352" s="8" t="s">
        <v>375</v>
      </c>
      <c r="E352" s="9">
        <v>25.47</v>
      </c>
      <c r="F352" s="8" t="s">
        <v>325</v>
      </c>
      <c r="G352" s="143">
        <v>3258</v>
      </c>
      <c r="H352" s="132">
        <f t="shared" si="43"/>
        <v>46249</v>
      </c>
      <c r="I352" s="140">
        <f t="shared" si="43"/>
        <v>62</v>
      </c>
      <c r="J352" s="9">
        <f t="shared" si="48"/>
        <v>1.9030079803560467</v>
      </c>
      <c r="K352" s="140">
        <f t="shared" si="49"/>
        <v>3</v>
      </c>
      <c r="L352" s="206">
        <f t="shared" si="50"/>
        <v>4.838709677419355</v>
      </c>
      <c r="M352" s="8" t="str">
        <f t="array" ref="M352">IF(L352&gt;5,"Perlu Sensus",IF(AND(L352&gt;=0,I352&gt;0),"Tetap Deteksi","Belum Deteksi"))</f>
        <v>Tetap Deteksi</v>
      </c>
      <c r="N352" s="132">
        <v>46249</v>
      </c>
      <c r="O352" s="143">
        <f t="array" ref="O352">INDEX('[21]DETEKSI ROT 2 (2)'!$G$343:$G$622,MATCH(1,('[21]DETEKSI ROT 2 (2)'!$D$343:$D$622=$D352)*('[21]DETEKSI ROT 2 (2)'!$D$343:$D$622=$D352),0))</f>
        <v>62</v>
      </c>
      <c r="P352" s="9">
        <f t="array" ref="P352">IFERROR(O352/G352*100,0)</f>
        <v>1.9030079803560467</v>
      </c>
      <c r="Q352" s="143">
        <f t="array" ref="Q352">INDEX('[21]DETEKSI ROT 2 (2)'!$I$343:$I$622,MATCH(1,('[21]DETEKSI ROT 2 (2)'!$D$343:$D$622=$D352)*('[21]DETEKSI ROT 2 (2)'!$D$343:$D$622=$D352),0))</f>
        <v>3</v>
      </c>
      <c r="R352" s="9">
        <f t="shared" si="52"/>
        <v>4.838709677419355</v>
      </c>
      <c r="S352" s="8" t="str">
        <f t="array" ref="S352">IF(R352&gt;5,"Perlu Sensus",IF(AND(R352&gt;=0,O352&gt;0),"Tetap Deteksi","Belum Deteksi"))</f>
        <v>Tetap Deteksi</v>
      </c>
      <c r="T352" s="203"/>
      <c r="U352" s="9">
        <f t="shared" si="53"/>
        <v>0</v>
      </c>
      <c r="V352" s="132">
        <v>46249</v>
      </c>
      <c r="W352" s="143">
        <f t="array" ref="W352">INDEX('[21]DETEKSI ROT 2 (2)'!$L$343:$L$622,MATCH(1,('[21]DETEKSI ROT 2 (2)'!$D$343:$D$622=$D352)*('[21]DETEKSI ROT 2 (2)'!$D$343:$D$622=$D352),0))</f>
        <v>56</v>
      </c>
      <c r="X352" s="143">
        <f t="array" ref="X352">INDEX('[21]DETEKSI ROT 2 (2)'!$M$343:$M$622,MATCH(1,('[21]DETEKSI ROT 2 (2)'!$D$343:$D$622=$D352)*('[21]DETEKSI ROT 2 (2)'!$D$343:$D$622=$D352),0))</f>
        <v>3</v>
      </c>
      <c r="Y352" s="9">
        <f t="shared" si="51"/>
        <v>5.3571428571428568</v>
      </c>
      <c r="Z352" s="8" t="str">
        <f t="array" ref="Z352">IF(Y352&gt;5,"Perlu Sensus",IF(AND(Y352&gt;0,,O352&gt;0),"Tetap Deteksi","Belum Deteksi"))</f>
        <v>Perlu Sensus</v>
      </c>
      <c r="AA352" s="203"/>
      <c r="AB352" s="9">
        <f t="shared" si="54"/>
        <v>0</v>
      </c>
    </row>
    <row r="353" spans="1:28" x14ac:dyDescent="0.15">
      <c r="A353" s="8" t="s">
        <v>322</v>
      </c>
      <c r="B353" s="8" t="s">
        <v>79</v>
      </c>
      <c r="C353" s="8" t="s">
        <v>345</v>
      </c>
      <c r="D353" s="8" t="s">
        <v>376</v>
      </c>
      <c r="E353" s="9">
        <v>25.84</v>
      </c>
      <c r="F353" s="8" t="s">
        <v>325</v>
      </c>
      <c r="G353" s="143">
        <v>3441</v>
      </c>
      <c r="H353" s="132">
        <f t="shared" si="43"/>
        <v>46249</v>
      </c>
      <c r="I353" s="140">
        <f t="shared" si="43"/>
        <v>117</v>
      </c>
      <c r="J353" s="9">
        <f t="shared" si="48"/>
        <v>3.4001743679163035</v>
      </c>
      <c r="K353" s="140">
        <f t="shared" si="49"/>
        <v>3</v>
      </c>
      <c r="L353" s="206">
        <f t="shared" si="50"/>
        <v>2.5641025641025639</v>
      </c>
      <c r="M353" s="8" t="str">
        <f t="array" ref="M353">IF(L353&gt;5,"Perlu Sensus",IF(AND(L353&gt;=0,I353&gt;0),"Tetap Deteksi","Belum Deteksi"))</f>
        <v>Tetap Deteksi</v>
      </c>
      <c r="N353" s="132">
        <v>46249</v>
      </c>
      <c r="O353" s="143">
        <f t="array" ref="O353">INDEX('[21]DETEKSI ROT 2 (2)'!$G$343:$G$622,MATCH(1,('[21]DETEKSI ROT 2 (2)'!$D$343:$D$622=$D353)*('[21]DETEKSI ROT 2 (2)'!$D$343:$D$622=$D353),0))</f>
        <v>117</v>
      </c>
      <c r="P353" s="9">
        <f t="array" ref="P353">IFERROR(O353/G353*100,0)</f>
        <v>3.4001743679163035</v>
      </c>
      <c r="Q353" s="143">
        <f t="array" ref="Q353">INDEX('[21]DETEKSI ROT 2 (2)'!$I$343:$I$622,MATCH(1,('[21]DETEKSI ROT 2 (2)'!$D$343:$D$622=$D353)*('[21]DETEKSI ROT 2 (2)'!$D$343:$D$622=$D353),0))</f>
        <v>3</v>
      </c>
      <c r="R353" s="9">
        <f t="shared" si="52"/>
        <v>2.5641025641025639</v>
      </c>
      <c r="S353" s="8" t="str">
        <f t="array" ref="S353">IF(R353&gt;5,"Perlu Sensus",IF(AND(R353&gt;=0,O353&gt;0),"Tetap Deteksi","Belum Deteksi"))</f>
        <v>Tetap Deteksi</v>
      </c>
      <c r="T353" s="203"/>
      <c r="U353" s="9">
        <f t="shared" si="53"/>
        <v>0</v>
      </c>
      <c r="V353" s="132">
        <v>46249</v>
      </c>
      <c r="W353" s="143">
        <f t="array" ref="W353">INDEX('[21]DETEKSI ROT 2 (2)'!$L$343:$L$622,MATCH(1,('[21]DETEKSI ROT 2 (2)'!$D$343:$D$622=$D353)*('[21]DETEKSI ROT 2 (2)'!$D$343:$D$622=$D353),0))</f>
        <v>86</v>
      </c>
      <c r="X353" s="143">
        <f t="array" ref="X353">INDEX('[21]DETEKSI ROT 2 (2)'!$M$343:$M$622,MATCH(1,('[21]DETEKSI ROT 2 (2)'!$D$343:$D$622=$D353)*('[21]DETEKSI ROT 2 (2)'!$D$343:$D$622=$D353),0))</f>
        <v>4</v>
      </c>
      <c r="Y353" s="9">
        <f t="shared" si="51"/>
        <v>4.6511627906976747</v>
      </c>
      <c r="Z353" s="8" t="str">
        <f t="array" ref="Z353">IF(Y353&gt;5,"Perlu Sensus",IF(AND(Y353&gt;0,,O353&gt;0),"Tetap Deteksi","Belum Deteksi"))</f>
        <v>Belum Deteksi</v>
      </c>
      <c r="AA353" s="203"/>
      <c r="AB353" s="9">
        <f t="shared" si="54"/>
        <v>0</v>
      </c>
    </row>
    <row r="354" spans="1:28" x14ac:dyDescent="0.15">
      <c r="A354" s="8" t="s">
        <v>322</v>
      </c>
      <c r="B354" s="8" t="s">
        <v>79</v>
      </c>
      <c r="C354" s="8" t="s">
        <v>345</v>
      </c>
      <c r="D354" s="8" t="s">
        <v>377</v>
      </c>
      <c r="E354" s="9">
        <v>24.5</v>
      </c>
      <c r="F354" s="8" t="s">
        <v>325</v>
      </c>
      <c r="G354" s="143">
        <v>3595</v>
      </c>
      <c r="H354" s="132">
        <f t="shared" si="43"/>
        <v>46249</v>
      </c>
      <c r="I354" s="140">
        <f t="shared" si="43"/>
        <v>98</v>
      </c>
      <c r="J354" s="9">
        <f t="shared" si="48"/>
        <v>2.7260083449235051</v>
      </c>
      <c r="K354" s="140">
        <f t="shared" si="49"/>
        <v>4</v>
      </c>
      <c r="L354" s="206">
        <f t="shared" si="50"/>
        <v>4.0816326530612246</v>
      </c>
      <c r="M354" s="8" t="str">
        <f t="array" ref="M354">IF(L354&gt;5,"Perlu Sensus",IF(AND(L354&gt;=0,I354&gt;0),"Tetap Deteksi","Belum Deteksi"))</f>
        <v>Tetap Deteksi</v>
      </c>
      <c r="N354" s="132">
        <v>46249</v>
      </c>
      <c r="O354" s="143">
        <f t="array" ref="O354">INDEX('[21]DETEKSI ROT 2 (2)'!$G$343:$G$622,MATCH(1,('[21]DETEKSI ROT 2 (2)'!$D$343:$D$622=$D354)*('[21]DETEKSI ROT 2 (2)'!$D$343:$D$622=$D354),0))</f>
        <v>98</v>
      </c>
      <c r="P354" s="9">
        <f t="array" ref="P354">IFERROR(O354/G354*100,0)</f>
        <v>2.7260083449235051</v>
      </c>
      <c r="Q354" s="143">
        <f t="array" ref="Q354">INDEX('[21]DETEKSI ROT 2 (2)'!$I$343:$I$622,MATCH(1,('[21]DETEKSI ROT 2 (2)'!$D$343:$D$622=$D354)*('[21]DETEKSI ROT 2 (2)'!$D$343:$D$622=$D354),0))</f>
        <v>4</v>
      </c>
      <c r="R354" s="9">
        <f t="shared" si="52"/>
        <v>4.0816326530612246</v>
      </c>
      <c r="S354" s="8" t="str">
        <f t="array" ref="S354">IF(R354&gt;5,"Perlu Sensus",IF(AND(R354&gt;=0,O354&gt;0),"Tetap Deteksi","Belum Deteksi"))</f>
        <v>Tetap Deteksi</v>
      </c>
      <c r="T354" s="203"/>
      <c r="U354" s="9">
        <f t="shared" si="53"/>
        <v>0</v>
      </c>
      <c r="V354" s="132">
        <v>46249</v>
      </c>
      <c r="W354" s="143">
        <f t="array" ref="W354">INDEX('[21]DETEKSI ROT 2 (2)'!$L$343:$L$622,MATCH(1,('[21]DETEKSI ROT 2 (2)'!$D$343:$D$622=$D354)*('[21]DETEKSI ROT 2 (2)'!$D$343:$D$622=$D354),0))</f>
        <v>55</v>
      </c>
      <c r="X354" s="143">
        <f t="array" ref="X354">INDEX('[21]DETEKSI ROT 2 (2)'!$M$343:$M$622,MATCH(1,('[21]DETEKSI ROT 2 (2)'!$D$343:$D$622=$D354)*('[21]DETEKSI ROT 2 (2)'!$D$343:$D$622=$D354),0))</f>
        <v>2</v>
      </c>
      <c r="Y354" s="9">
        <f t="shared" si="51"/>
        <v>3.6363636363636362</v>
      </c>
      <c r="Z354" s="8" t="str">
        <f t="array" ref="Z354">IF(Y354&gt;5,"Perlu Sensus",IF(AND(Y354&gt;0,,O354&gt;0),"Tetap Deteksi","Belum Deteksi"))</f>
        <v>Belum Deteksi</v>
      </c>
      <c r="AA354" s="203"/>
      <c r="AB354" s="9">
        <f t="shared" si="54"/>
        <v>0</v>
      </c>
    </row>
    <row r="355" spans="1:28" x14ac:dyDescent="0.15">
      <c r="A355" s="8" t="s">
        <v>322</v>
      </c>
      <c r="B355" s="8" t="s">
        <v>79</v>
      </c>
      <c r="C355" s="8" t="s">
        <v>345</v>
      </c>
      <c r="D355" s="8" t="s">
        <v>378</v>
      </c>
      <c r="E355" s="9">
        <v>26.22</v>
      </c>
      <c r="F355" s="8" t="s">
        <v>325</v>
      </c>
      <c r="G355" s="143">
        <v>3875</v>
      </c>
      <c r="H355" s="132">
        <f t="shared" si="43"/>
        <v>46249</v>
      </c>
      <c r="I355" s="140">
        <f t="shared" si="43"/>
        <v>162</v>
      </c>
      <c r="J355" s="9">
        <f t="shared" si="48"/>
        <v>4.1806451612903226</v>
      </c>
      <c r="K355" s="140">
        <f t="shared" si="49"/>
        <v>6</v>
      </c>
      <c r="L355" s="206">
        <f t="shared" si="50"/>
        <v>3.7037037037037033</v>
      </c>
      <c r="M355" s="8" t="str">
        <f t="array" ref="M355">IF(L355&gt;5,"Perlu Sensus",IF(AND(L355&gt;=0,I355&gt;0),"Tetap Deteksi","Belum Deteksi"))</f>
        <v>Tetap Deteksi</v>
      </c>
      <c r="N355" s="132">
        <v>46249</v>
      </c>
      <c r="O355" s="143">
        <f t="array" ref="O355">INDEX('[21]DETEKSI ROT 2 (2)'!$G$343:$G$622,MATCH(1,('[21]DETEKSI ROT 2 (2)'!$D$343:$D$622=$D355)*('[21]DETEKSI ROT 2 (2)'!$D$343:$D$622=$D355),0))</f>
        <v>162</v>
      </c>
      <c r="P355" s="9">
        <f t="array" ref="P355">IFERROR(O355/G355*100,0)</f>
        <v>4.1806451612903226</v>
      </c>
      <c r="Q355" s="143">
        <f t="array" ref="Q355">INDEX('[21]DETEKSI ROT 2 (2)'!$I$343:$I$622,MATCH(1,('[21]DETEKSI ROT 2 (2)'!$D$343:$D$622=$D355)*('[21]DETEKSI ROT 2 (2)'!$D$343:$D$622=$D355),0))</f>
        <v>6</v>
      </c>
      <c r="R355" s="9">
        <f t="shared" si="52"/>
        <v>3.7037037037037033</v>
      </c>
      <c r="S355" s="8" t="str">
        <f t="array" ref="S355">IF(R355&gt;5,"Perlu Sensus",IF(AND(R355&gt;=0,O355&gt;0),"Tetap Deteksi","Belum Deteksi"))</f>
        <v>Tetap Deteksi</v>
      </c>
      <c r="T355" s="203"/>
      <c r="U355" s="9">
        <f t="shared" si="53"/>
        <v>0</v>
      </c>
      <c r="V355" s="132">
        <v>46249</v>
      </c>
      <c r="W355" s="143">
        <f t="array" ref="W355">INDEX('[21]DETEKSI ROT 2 (2)'!$L$343:$L$622,MATCH(1,('[21]DETEKSI ROT 2 (2)'!$D$343:$D$622=$D355)*('[21]DETEKSI ROT 2 (2)'!$D$343:$D$622=$D355),0))</f>
        <v>87</v>
      </c>
      <c r="X355" s="143">
        <f t="array" ref="X355">INDEX('[21]DETEKSI ROT 2 (2)'!$M$343:$M$622,MATCH(1,('[21]DETEKSI ROT 2 (2)'!$D$343:$D$622=$D355)*('[21]DETEKSI ROT 2 (2)'!$D$343:$D$622=$D355),0))</f>
        <v>3</v>
      </c>
      <c r="Y355" s="9">
        <f t="shared" si="51"/>
        <v>3.4482758620689653</v>
      </c>
      <c r="Z355" s="8" t="str">
        <f t="array" ref="Z355">IF(Y355&gt;5,"Perlu Sensus",IF(AND(Y355&gt;0,,O355&gt;0),"Tetap Deteksi","Belum Deteksi"))</f>
        <v>Belum Deteksi</v>
      </c>
      <c r="AA355" s="203"/>
      <c r="AB355" s="9">
        <f t="shared" si="54"/>
        <v>0</v>
      </c>
    </row>
    <row r="356" spans="1:28" x14ac:dyDescent="0.15">
      <c r="A356" s="8" t="s">
        <v>322</v>
      </c>
      <c r="B356" s="8" t="s">
        <v>79</v>
      </c>
      <c r="C356" s="8" t="s">
        <v>345</v>
      </c>
      <c r="D356" s="8" t="s">
        <v>379</v>
      </c>
      <c r="E356" s="9">
        <v>24.66</v>
      </c>
      <c r="F356" s="8" t="s">
        <v>325</v>
      </c>
      <c r="G356" s="143">
        <v>3584</v>
      </c>
      <c r="H356" s="132">
        <f t="shared" si="43"/>
        <v>46249</v>
      </c>
      <c r="I356" s="140">
        <f t="shared" si="43"/>
        <v>138</v>
      </c>
      <c r="J356" s="9">
        <f t="shared" si="48"/>
        <v>3.8504464285714288</v>
      </c>
      <c r="K356" s="140">
        <f t="shared" si="49"/>
        <v>3</v>
      </c>
      <c r="L356" s="206">
        <f t="shared" si="50"/>
        <v>2.1739130434782608</v>
      </c>
      <c r="M356" s="8" t="str">
        <f t="array" ref="M356">IF(L356&gt;5,"Perlu Sensus",IF(AND(L356&gt;=0,I356&gt;0),"Tetap Deteksi","Belum Deteksi"))</f>
        <v>Tetap Deteksi</v>
      </c>
      <c r="N356" s="132">
        <v>46249</v>
      </c>
      <c r="O356" s="143">
        <f t="array" ref="O356">INDEX('[21]DETEKSI ROT 2 (2)'!$G$343:$G$622,MATCH(1,('[21]DETEKSI ROT 2 (2)'!$D$343:$D$622=$D356)*('[21]DETEKSI ROT 2 (2)'!$D$343:$D$622=$D356),0))</f>
        <v>138</v>
      </c>
      <c r="P356" s="9">
        <f t="array" ref="P356">IFERROR(O356/G356*100,0)</f>
        <v>3.8504464285714288</v>
      </c>
      <c r="Q356" s="143">
        <f t="array" ref="Q356">INDEX('[21]DETEKSI ROT 2 (2)'!$I$343:$I$622,MATCH(1,('[21]DETEKSI ROT 2 (2)'!$D$343:$D$622=$D356)*('[21]DETEKSI ROT 2 (2)'!$D$343:$D$622=$D356),0))</f>
        <v>3</v>
      </c>
      <c r="R356" s="9">
        <f t="shared" si="52"/>
        <v>2.1739130434782608</v>
      </c>
      <c r="S356" s="8" t="str">
        <f t="array" ref="S356">IF(R356&gt;5,"Perlu Sensus",IF(AND(R356&gt;=0,O356&gt;0),"Tetap Deteksi","Belum Deteksi"))</f>
        <v>Tetap Deteksi</v>
      </c>
      <c r="T356" s="203"/>
      <c r="U356" s="9">
        <f t="shared" si="53"/>
        <v>0</v>
      </c>
      <c r="V356" s="132">
        <v>46249</v>
      </c>
      <c r="W356" s="143">
        <f t="array" ref="W356">INDEX('[21]DETEKSI ROT 2 (2)'!$L$343:$L$622,MATCH(1,('[21]DETEKSI ROT 2 (2)'!$D$343:$D$622=$D356)*('[21]DETEKSI ROT 2 (2)'!$D$343:$D$622=$D356),0))</f>
        <v>78</v>
      </c>
      <c r="X356" s="143">
        <f t="array" ref="X356">INDEX('[21]DETEKSI ROT 2 (2)'!$M$343:$M$622,MATCH(1,('[21]DETEKSI ROT 2 (2)'!$D$343:$D$622=$D356)*('[21]DETEKSI ROT 2 (2)'!$D$343:$D$622=$D356),0))</f>
        <v>3</v>
      </c>
      <c r="Y356" s="9">
        <f t="shared" si="51"/>
        <v>3.8461538461538463</v>
      </c>
      <c r="Z356" s="8" t="str">
        <f t="array" ref="Z356">IF(Y356&gt;5,"Perlu Sensus",IF(AND(Y356&gt;0,,O356&gt;0),"Tetap Deteksi","Belum Deteksi"))</f>
        <v>Belum Deteksi</v>
      </c>
      <c r="AA356" s="203"/>
      <c r="AB356" s="9">
        <f t="shared" si="54"/>
        <v>0</v>
      </c>
    </row>
    <row r="357" spans="1:28" x14ac:dyDescent="0.15">
      <c r="A357" s="8" t="s">
        <v>322</v>
      </c>
      <c r="B357" s="8" t="s">
        <v>79</v>
      </c>
      <c r="C357" s="8" t="s">
        <v>380</v>
      </c>
      <c r="D357" s="8" t="s">
        <v>381</v>
      </c>
      <c r="E357" s="9">
        <v>26.99</v>
      </c>
      <c r="F357" s="8" t="s">
        <v>325</v>
      </c>
      <c r="G357" s="143">
        <v>3969</v>
      </c>
      <c r="H357" s="132">
        <f t="shared" si="43"/>
        <v>46249</v>
      </c>
      <c r="I357" s="140">
        <f t="shared" si="43"/>
        <v>95</v>
      </c>
      <c r="J357" s="9">
        <f t="shared" si="48"/>
        <v>2.3935500125976317</v>
      </c>
      <c r="K357" s="140">
        <f t="shared" si="49"/>
        <v>4</v>
      </c>
      <c r="L357" s="206">
        <f t="shared" si="50"/>
        <v>4.2105263157894735</v>
      </c>
      <c r="M357" s="8" t="str">
        <f t="array" ref="M357">IF(L357&gt;5,"Perlu Sensus",IF(AND(L357&gt;=0,I357&gt;0),"Tetap Deteksi","Belum Deteksi"))</f>
        <v>Tetap Deteksi</v>
      </c>
      <c r="N357" s="132">
        <v>46249</v>
      </c>
      <c r="O357" s="143">
        <f t="array" ref="O357">INDEX('[21]DETEKSI ROT 2 (2)'!$G$343:$G$622,MATCH(1,('[21]DETEKSI ROT 2 (2)'!$D$343:$D$622=$D357)*('[21]DETEKSI ROT 2 (2)'!$D$343:$D$622=$D357),0))</f>
        <v>95</v>
      </c>
      <c r="P357" s="9">
        <f t="array" ref="P357">IFERROR(O357/G357*100,0)</f>
        <v>2.3935500125976317</v>
      </c>
      <c r="Q357" s="143">
        <f t="array" ref="Q357">INDEX('[21]DETEKSI ROT 2 (2)'!$I$343:$I$622,MATCH(1,('[21]DETEKSI ROT 2 (2)'!$D$343:$D$622=$D357)*('[21]DETEKSI ROT 2 (2)'!$D$343:$D$622=$D357),0))</f>
        <v>4</v>
      </c>
      <c r="R357" s="9">
        <f t="shared" si="52"/>
        <v>4.2105263157894735</v>
      </c>
      <c r="S357" s="8" t="str">
        <f t="array" ref="S357">IF(R357&gt;5,"Perlu Sensus",IF(AND(R357&gt;=0,O357&gt;0),"Tetap Deteksi","Belum Deteksi"))</f>
        <v>Tetap Deteksi</v>
      </c>
      <c r="T357" s="203"/>
      <c r="U357" s="9">
        <f t="shared" si="53"/>
        <v>0</v>
      </c>
      <c r="V357" s="132">
        <v>46249</v>
      </c>
      <c r="W357" s="143">
        <f t="array" ref="W357">INDEX('[21]DETEKSI ROT 2 (2)'!$L$343:$L$622,MATCH(1,('[21]DETEKSI ROT 2 (2)'!$D$343:$D$622=$D357)*('[21]DETEKSI ROT 2 (2)'!$D$343:$D$622=$D357),0))</f>
        <v>87</v>
      </c>
      <c r="X357" s="143">
        <f t="array" ref="X357">INDEX('[21]DETEKSI ROT 2 (2)'!$M$343:$M$622,MATCH(1,('[21]DETEKSI ROT 2 (2)'!$D$343:$D$622=$D357)*('[21]DETEKSI ROT 2 (2)'!$D$343:$D$622=$D357),0))</f>
        <v>3</v>
      </c>
      <c r="Y357" s="9">
        <f t="shared" si="51"/>
        <v>3.4482758620689653</v>
      </c>
      <c r="Z357" s="8" t="str">
        <f t="array" ref="Z357">IF(Y357&gt;5,"Perlu Sensus",IF(AND(Y357&gt;0,,O357&gt;0),"Tetap Deteksi","Belum Deteksi"))</f>
        <v>Belum Deteksi</v>
      </c>
      <c r="AA357" s="203"/>
      <c r="AB357" s="9">
        <f t="shared" si="54"/>
        <v>0</v>
      </c>
    </row>
    <row r="358" spans="1:28" x14ac:dyDescent="0.15">
      <c r="A358" s="8" t="s">
        <v>322</v>
      </c>
      <c r="B358" s="8" t="s">
        <v>79</v>
      </c>
      <c r="C358" s="8" t="s">
        <v>380</v>
      </c>
      <c r="D358" s="8" t="s">
        <v>382</v>
      </c>
      <c r="E358" s="9">
        <v>24.81</v>
      </c>
      <c r="F358" s="8" t="s">
        <v>325</v>
      </c>
      <c r="G358" s="143">
        <v>3637</v>
      </c>
      <c r="H358" s="132">
        <f t="shared" si="43"/>
        <v>46249</v>
      </c>
      <c r="I358" s="140">
        <f t="shared" si="43"/>
        <v>89</v>
      </c>
      <c r="J358" s="9">
        <f t="shared" si="48"/>
        <v>2.4470717624415728</v>
      </c>
      <c r="K358" s="140">
        <f t="shared" si="49"/>
        <v>5</v>
      </c>
      <c r="L358" s="206">
        <f t="shared" si="50"/>
        <v>5.6179775280898872</v>
      </c>
      <c r="M358" s="8" t="str">
        <f t="array" ref="M358">IF(L358&gt;5,"Perlu Sensus",IF(AND(L358&gt;=0,I358&gt;0),"Tetap Deteksi","Belum Deteksi"))</f>
        <v>Perlu Sensus</v>
      </c>
      <c r="N358" s="132">
        <v>46249</v>
      </c>
      <c r="O358" s="143">
        <f t="array" ref="O358">INDEX('[21]DETEKSI ROT 2 (2)'!$G$343:$G$622,MATCH(1,('[21]DETEKSI ROT 2 (2)'!$D$343:$D$622=$D358)*('[21]DETEKSI ROT 2 (2)'!$D$343:$D$622=$D358),0))</f>
        <v>89</v>
      </c>
      <c r="P358" s="9">
        <f t="array" ref="P358">IFERROR(O358/G358*100,0)</f>
        <v>2.4470717624415728</v>
      </c>
      <c r="Q358" s="143">
        <f t="array" ref="Q358">INDEX('[21]DETEKSI ROT 2 (2)'!$I$343:$I$622,MATCH(1,('[21]DETEKSI ROT 2 (2)'!$D$343:$D$622=$D358)*('[21]DETEKSI ROT 2 (2)'!$D$343:$D$622=$D358),0))</f>
        <v>5</v>
      </c>
      <c r="R358" s="9">
        <f t="shared" si="52"/>
        <v>5.6179775280898872</v>
      </c>
      <c r="S358" s="8" t="str">
        <f t="array" ref="S358">IF(R358&gt;5,"Perlu Sensus",IF(AND(R358&gt;=0,O358&gt;0),"Tetap Deteksi","Belum Deteksi"))</f>
        <v>Perlu Sensus</v>
      </c>
      <c r="T358" s="203"/>
      <c r="U358" s="9">
        <f t="shared" si="53"/>
        <v>0</v>
      </c>
      <c r="V358" s="132">
        <v>46249</v>
      </c>
      <c r="W358" s="143">
        <f t="array" ref="W358">INDEX('[21]DETEKSI ROT 2 (2)'!$L$343:$L$622,MATCH(1,('[21]DETEKSI ROT 2 (2)'!$D$343:$D$622=$D358)*('[21]DETEKSI ROT 2 (2)'!$D$343:$D$622=$D358),0))</f>
        <v>56</v>
      </c>
      <c r="X358" s="143">
        <f t="array" ref="X358">INDEX('[21]DETEKSI ROT 2 (2)'!$M$343:$M$622,MATCH(1,('[21]DETEKSI ROT 2 (2)'!$D$343:$D$622=$D358)*('[21]DETEKSI ROT 2 (2)'!$D$343:$D$622=$D358),0))</f>
        <v>4</v>
      </c>
      <c r="Y358" s="9">
        <f t="shared" si="51"/>
        <v>7.1428571428571423</v>
      </c>
      <c r="Z358" s="8" t="str">
        <f t="array" ref="Z358">IF(Y358&gt;5,"Perlu Sensus",IF(AND(Y358&gt;0,,O358&gt;0),"Tetap Deteksi","Belum Deteksi"))</f>
        <v>Perlu Sensus</v>
      </c>
      <c r="AA358" s="203"/>
      <c r="AB358" s="9">
        <f t="shared" si="54"/>
        <v>0</v>
      </c>
    </row>
    <row r="359" spans="1:28" x14ac:dyDescent="0.15">
      <c r="A359" s="8" t="s">
        <v>322</v>
      </c>
      <c r="B359" s="8" t="s">
        <v>79</v>
      </c>
      <c r="C359" s="8" t="s">
        <v>380</v>
      </c>
      <c r="D359" s="8" t="s">
        <v>383</v>
      </c>
      <c r="E359" s="9">
        <v>43.89</v>
      </c>
      <c r="F359" s="8" t="s">
        <v>325</v>
      </c>
      <c r="G359" s="143">
        <v>5634</v>
      </c>
      <c r="H359" s="132">
        <f t="shared" si="43"/>
        <v>46249</v>
      </c>
      <c r="I359" s="140">
        <f t="shared" si="43"/>
        <v>102</v>
      </c>
      <c r="J359" s="9">
        <f t="shared" si="48"/>
        <v>1.8104366347177849</v>
      </c>
      <c r="K359" s="140">
        <f t="shared" si="49"/>
        <v>5</v>
      </c>
      <c r="L359" s="206">
        <f t="shared" si="50"/>
        <v>4.9019607843137258</v>
      </c>
      <c r="M359" s="8" t="str">
        <f t="array" ref="M359">IF(L359&gt;5,"Perlu Sensus",IF(AND(L359&gt;=0,I359&gt;0),"Tetap Deteksi","Belum Deteksi"))</f>
        <v>Tetap Deteksi</v>
      </c>
      <c r="N359" s="132">
        <v>46249</v>
      </c>
      <c r="O359" s="143">
        <f t="array" ref="O359">INDEX('[21]DETEKSI ROT 2 (2)'!$G$343:$G$622,MATCH(1,('[21]DETEKSI ROT 2 (2)'!$D$343:$D$622=$D359)*('[21]DETEKSI ROT 2 (2)'!$D$343:$D$622=$D359),0))</f>
        <v>102</v>
      </c>
      <c r="P359" s="9">
        <f t="array" ref="P359">IFERROR(O359/G359*100,0)</f>
        <v>1.8104366347177849</v>
      </c>
      <c r="Q359" s="143">
        <f t="array" ref="Q359">INDEX('[21]DETEKSI ROT 2 (2)'!$I$343:$I$622,MATCH(1,('[21]DETEKSI ROT 2 (2)'!$D$343:$D$622=$D359)*('[21]DETEKSI ROT 2 (2)'!$D$343:$D$622=$D359),0))</f>
        <v>5</v>
      </c>
      <c r="R359" s="9">
        <f t="shared" si="52"/>
        <v>4.9019607843137258</v>
      </c>
      <c r="S359" s="8" t="str">
        <f t="array" ref="S359">IF(R359&gt;5,"Perlu Sensus",IF(AND(R359&gt;=0,O359&gt;0),"Tetap Deteksi","Belum Deteksi"))</f>
        <v>Tetap Deteksi</v>
      </c>
      <c r="T359" s="203"/>
      <c r="U359" s="9">
        <f t="shared" si="53"/>
        <v>0</v>
      </c>
      <c r="V359" s="132">
        <v>46249</v>
      </c>
      <c r="W359" s="143">
        <f t="array" ref="W359">INDEX('[21]DETEKSI ROT 2 (2)'!$L$343:$L$622,MATCH(1,('[21]DETEKSI ROT 2 (2)'!$D$343:$D$622=$D359)*('[21]DETEKSI ROT 2 (2)'!$D$343:$D$622=$D359),0))</f>
        <v>65</v>
      </c>
      <c r="X359" s="143">
        <f t="array" ref="X359">INDEX('[21]DETEKSI ROT 2 (2)'!$M$343:$M$622,MATCH(1,('[21]DETEKSI ROT 2 (2)'!$D$343:$D$622=$D359)*('[21]DETEKSI ROT 2 (2)'!$D$343:$D$622=$D359),0))</f>
        <v>3</v>
      </c>
      <c r="Y359" s="9">
        <f t="shared" si="51"/>
        <v>4.6153846153846159</v>
      </c>
      <c r="Z359" s="8" t="str">
        <f t="array" ref="Z359">IF(Y359&gt;5,"Perlu Sensus",IF(AND(Y359&gt;0,,O359&gt;0),"Tetap Deteksi","Belum Deteksi"))</f>
        <v>Belum Deteksi</v>
      </c>
      <c r="AA359" s="203"/>
      <c r="AB359" s="9">
        <f t="shared" si="54"/>
        <v>0</v>
      </c>
    </row>
    <row r="360" spans="1:28" x14ac:dyDescent="0.15">
      <c r="A360" s="8" t="s">
        <v>322</v>
      </c>
      <c r="B360" s="8" t="s">
        <v>79</v>
      </c>
      <c r="C360" s="8" t="s">
        <v>380</v>
      </c>
      <c r="D360" s="8" t="s">
        <v>384</v>
      </c>
      <c r="E360" s="9">
        <v>25.7</v>
      </c>
      <c r="F360" s="8" t="s">
        <v>325</v>
      </c>
      <c r="G360" s="143">
        <v>3576</v>
      </c>
      <c r="H360" s="132">
        <f t="shared" si="43"/>
        <v>46249</v>
      </c>
      <c r="I360" s="140">
        <f t="shared" si="43"/>
        <v>100</v>
      </c>
      <c r="J360" s="9">
        <f t="shared" si="48"/>
        <v>2.796420581655481</v>
      </c>
      <c r="K360" s="140">
        <f t="shared" si="49"/>
        <v>5</v>
      </c>
      <c r="L360" s="206">
        <f t="shared" si="50"/>
        <v>5</v>
      </c>
      <c r="M360" s="8" t="str">
        <f t="array" ref="M360">IF(L360&gt;5,"Perlu Sensus",IF(AND(L360&gt;=0,I360&gt;0),"Tetap Deteksi","Belum Deteksi"))</f>
        <v>Tetap Deteksi</v>
      </c>
      <c r="N360" s="132">
        <v>46249</v>
      </c>
      <c r="O360" s="143">
        <f t="array" ref="O360">INDEX('[21]DETEKSI ROT 2 (2)'!$G$343:$G$622,MATCH(1,('[21]DETEKSI ROT 2 (2)'!$D$343:$D$622=$D360)*('[21]DETEKSI ROT 2 (2)'!$D$343:$D$622=$D360),0))</f>
        <v>100</v>
      </c>
      <c r="P360" s="9">
        <f t="array" ref="P360">IFERROR(O360/G360*100,0)</f>
        <v>2.796420581655481</v>
      </c>
      <c r="Q360" s="143">
        <f t="array" ref="Q360">INDEX('[21]DETEKSI ROT 2 (2)'!$I$343:$I$622,MATCH(1,('[21]DETEKSI ROT 2 (2)'!$D$343:$D$622=$D360)*('[21]DETEKSI ROT 2 (2)'!$D$343:$D$622=$D360),0))</f>
        <v>5</v>
      </c>
      <c r="R360" s="9">
        <f t="shared" si="52"/>
        <v>5</v>
      </c>
      <c r="S360" s="8" t="str">
        <f t="array" ref="S360">IF(R360&gt;5,"Perlu Sensus",IF(AND(R360&gt;=0,O360&gt;0),"Tetap Deteksi","Belum Deteksi"))</f>
        <v>Tetap Deteksi</v>
      </c>
      <c r="T360" s="203"/>
      <c r="U360" s="9">
        <f t="shared" si="53"/>
        <v>0</v>
      </c>
      <c r="V360" s="132">
        <v>46249</v>
      </c>
      <c r="W360" s="143">
        <f t="array" ref="W360">INDEX('[21]DETEKSI ROT 2 (2)'!$L$343:$L$622,MATCH(1,('[21]DETEKSI ROT 2 (2)'!$D$343:$D$622=$D360)*('[21]DETEKSI ROT 2 (2)'!$D$343:$D$622=$D360),0))</f>
        <v>68</v>
      </c>
      <c r="X360" s="143">
        <f t="array" ref="X360">INDEX('[21]DETEKSI ROT 2 (2)'!$M$343:$M$622,MATCH(1,('[21]DETEKSI ROT 2 (2)'!$D$343:$D$622=$D360)*('[21]DETEKSI ROT 2 (2)'!$D$343:$D$622=$D360),0))</f>
        <v>5</v>
      </c>
      <c r="Y360" s="9">
        <f t="shared" si="51"/>
        <v>7.3529411764705888</v>
      </c>
      <c r="Z360" s="8" t="str">
        <f t="array" ref="Z360">IF(Y360&gt;5,"Perlu Sensus",IF(AND(Y360&gt;0,,O360&gt;0),"Tetap Deteksi","Belum Deteksi"))</f>
        <v>Perlu Sensus</v>
      </c>
      <c r="AA360" s="203"/>
      <c r="AB360" s="9">
        <f t="shared" si="54"/>
        <v>0</v>
      </c>
    </row>
    <row r="361" spans="1:28" x14ac:dyDescent="0.15">
      <c r="A361" s="8" t="s">
        <v>322</v>
      </c>
      <c r="B361" s="8" t="s">
        <v>79</v>
      </c>
      <c r="C361" s="8" t="s">
        <v>380</v>
      </c>
      <c r="D361" s="8" t="s">
        <v>385</v>
      </c>
      <c r="E361" s="9">
        <v>28.45</v>
      </c>
      <c r="F361" s="8" t="s">
        <v>325</v>
      </c>
      <c r="G361" s="143">
        <v>3992</v>
      </c>
      <c r="H361" s="132">
        <f t="shared" si="43"/>
        <v>46249</v>
      </c>
      <c r="I361" s="140">
        <f t="shared" si="43"/>
        <v>102</v>
      </c>
      <c r="J361" s="9">
        <f t="shared" si="48"/>
        <v>2.555110220440882</v>
      </c>
      <c r="K361" s="140">
        <f t="shared" si="49"/>
        <v>6</v>
      </c>
      <c r="L361" s="206">
        <f t="shared" si="50"/>
        <v>5.8823529411764701</v>
      </c>
      <c r="M361" s="8" t="str">
        <f t="array" ref="M361">IF(L361&gt;5,"Perlu Sensus",IF(AND(L361&gt;=0,I361&gt;0),"Tetap Deteksi","Belum Deteksi"))</f>
        <v>Perlu Sensus</v>
      </c>
      <c r="N361" s="132">
        <v>46249</v>
      </c>
      <c r="O361" s="143">
        <f t="array" ref="O361">INDEX('[21]DETEKSI ROT 2 (2)'!$G$343:$G$622,MATCH(1,('[21]DETEKSI ROT 2 (2)'!$D$343:$D$622=$D361)*('[21]DETEKSI ROT 2 (2)'!$D$343:$D$622=$D361),0))</f>
        <v>102</v>
      </c>
      <c r="P361" s="9">
        <f t="array" ref="P361">IFERROR(O361/G361*100,0)</f>
        <v>2.555110220440882</v>
      </c>
      <c r="Q361" s="143">
        <f t="array" ref="Q361">INDEX('[21]DETEKSI ROT 2 (2)'!$I$343:$I$622,MATCH(1,('[21]DETEKSI ROT 2 (2)'!$D$343:$D$622=$D361)*('[21]DETEKSI ROT 2 (2)'!$D$343:$D$622=$D361),0))</f>
        <v>6</v>
      </c>
      <c r="R361" s="9">
        <f t="shared" si="52"/>
        <v>5.8823529411764701</v>
      </c>
      <c r="S361" s="8" t="str">
        <f t="array" ref="S361">IF(R361&gt;5,"Perlu Sensus",IF(AND(R361&gt;=0,O361&gt;0),"Tetap Deteksi","Belum Deteksi"))</f>
        <v>Perlu Sensus</v>
      </c>
      <c r="T361" s="203"/>
      <c r="U361" s="9">
        <f t="shared" si="53"/>
        <v>0</v>
      </c>
      <c r="V361" s="132">
        <v>46249</v>
      </c>
      <c r="W361" s="143">
        <f t="array" ref="W361">INDEX('[21]DETEKSI ROT 2 (2)'!$L$343:$L$622,MATCH(1,('[21]DETEKSI ROT 2 (2)'!$D$343:$D$622=$D361)*('[21]DETEKSI ROT 2 (2)'!$D$343:$D$622=$D361),0))</f>
        <v>95</v>
      </c>
      <c r="X361" s="143">
        <f t="array" ref="X361">INDEX('[21]DETEKSI ROT 2 (2)'!$M$343:$M$622,MATCH(1,('[21]DETEKSI ROT 2 (2)'!$D$343:$D$622=$D361)*('[21]DETEKSI ROT 2 (2)'!$D$343:$D$622=$D361),0))</f>
        <v>4</v>
      </c>
      <c r="Y361" s="9">
        <f t="shared" si="51"/>
        <v>4.2105263157894735</v>
      </c>
      <c r="Z361" s="8" t="str">
        <f t="array" ref="Z361">IF(Y361&gt;5,"Perlu Sensus",IF(AND(Y361&gt;0,,O361&gt;0),"Tetap Deteksi","Belum Deteksi"))</f>
        <v>Belum Deteksi</v>
      </c>
      <c r="AA361" s="203"/>
      <c r="AB361" s="9">
        <f t="shared" si="54"/>
        <v>0</v>
      </c>
    </row>
    <row r="362" spans="1:28" x14ac:dyDescent="0.15">
      <c r="A362" s="8" t="s">
        <v>322</v>
      </c>
      <c r="B362" s="8" t="s">
        <v>79</v>
      </c>
      <c r="C362" s="8" t="s">
        <v>380</v>
      </c>
      <c r="D362" s="8" t="s">
        <v>386</v>
      </c>
      <c r="E362" s="9">
        <v>21.35</v>
      </c>
      <c r="F362" s="8" t="s">
        <v>325</v>
      </c>
      <c r="G362" s="143">
        <v>3163</v>
      </c>
      <c r="H362" s="132">
        <f t="shared" si="43"/>
        <v>46249</v>
      </c>
      <c r="I362" s="140">
        <f t="shared" si="43"/>
        <v>114</v>
      </c>
      <c r="J362" s="9">
        <f t="shared" si="48"/>
        <v>3.6041732532405946</v>
      </c>
      <c r="K362" s="140">
        <f t="shared" si="49"/>
        <v>3</v>
      </c>
      <c r="L362" s="206">
        <f t="shared" si="50"/>
        <v>2.6315789473684208</v>
      </c>
      <c r="M362" s="8" t="str">
        <f t="array" ref="M362">IF(L362&gt;5,"Perlu Sensus",IF(AND(L362&gt;=0,I362&gt;0),"Tetap Deteksi","Belum Deteksi"))</f>
        <v>Tetap Deteksi</v>
      </c>
      <c r="N362" s="132">
        <v>46249</v>
      </c>
      <c r="O362" s="143">
        <f t="array" ref="O362">INDEX('[21]DETEKSI ROT 2 (2)'!$G$343:$G$622,MATCH(1,('[21]DETEKSI ROT 2 (2)'!$D$343:$D$622=$D362)*('[21]DETEKSI ROT 2 (2)'!$D$343:$D$622=$D362),0))</f>
        <v>114</v>
      </c>
      <c r="P362" s="9">
        <f t="array" ref="P362">IFERROR(O362/G362*100,0)</f>
        <v>3.6041732532405946</v>
      </c>
      <c r="Q362" s="143">
        <f t="array" ref="Q362">INDEX('[21]DETEKSI ROT 2 (2)'!$I$343:$I$622,MATCH(1,('[21]DETEKSI ROT 2 (2)'!$D$343:$D$622=$D362)*('[21]DETEKSI ROT 2 (2)'!$D$343:$D$622=$D362),0))</f>
        <v>3</v>
      </c>
      <c r="R362" s="9">
        <f t="shared" si="52"/>
        <v>2.6315789473684208</v>
      </c>
      <c r="S362" s="8" t="str">
        <f t="array" ref="S362">IF(R362&gt;5,"Perlu Sensus",IF(AND(R362&gt;=0,O362&gt;0),"Tetap Deteksi","Belum Deteksi"))</f>
        <v>Tetap Deteksi</v>
      </c>
      <c r="T362" s="203"/>
      <c r="U362" s="9">
        <f t="shared" si="53"/>
        <v>0</v>
      </c>
      <c r="V362" s="132">
        <v>46249</v>
      </c>
      <c r="W362" s="143">
        <f t="array" ref="W362">INDEX('[21]DETEKSI ROT 2 (2)'!$L$343:$L$622,MATCH(1,('[21]DETEKSI ROT 2 (2)'!$D$343:$D$622=$D362)*('[21]DETEKSI ROT 2 (2)'!$D$343:$D$622=$D362),0))</f>
        <v>86</v>
      </c>
      <c r="X362" s="143">
        <f t="array" ref="X362">INDEX('[21]DETEKSI ROT 2 (2)'!$M$343:$M$622,MATCH(1,('[21]DETEKSI ROT 2 (2)'!$D$343:$D$622=$D362)*('[21]DETEKSI ROT 2 (2)'!$D$343:$D$622=$D362),0))</f>
        <v>3</v>
      </c>
      <c r="Y362" s="9">
        <f t="shared" si="51"/>
        <v>3.4883720930232558</v>
      </c>
      <c r="Z362" s="8" t="str">
        <f t="array" ref="Z362">IF(Y362&gt;5,"Perlu Sensus",IF(AND(Y362&gt;0,,O362&gt;0),"Tetap Deteksi","Belum Deteksi"))</f>
        <v>Belum Deteksi</v>
      </c>
      <c r="AA362" s="203"/>
      <c r="AB362" s="9">
        <f t="shared" si="54"/>
        <v>0</v>
      </c>
    </row>
    <row r="363" spans="1:28" x14ac:dyDescent="0.15">
      <c r="A363" s="8" t="s">
        <v>322</v>
      </c>
      <c r="B363" s="8" t="s">
        <v>79</v>
      </c>
      <c r="C363" s="8" t="s">
        <v>380</v>
      </c>
      <c r="D363" s="8" t="s">
        <v>387</v>
      </c>
      <c r="E363" s="9">
        <v>23.36</v>
      </c>
      <c r="F363" s="8" t="s">
        <v>325</v>
      </c>
      <c r="G363" s="143">
        <v>3246</v>
      </c>
      <c r="H363" s="132">
        <f t="shared" si="43"/>
        <v>46249</v>
      </c>
      <c r="I363" s="140">
        <f t="shared" si="43"/>
        <v>110</v>
      </c>
      <c r="J363" s="9">
        <f t="shared" si="48"/>
        <v>3.3887861983980283</v>
      </c>
      <c r="K363" s="140">
        <f t="shared" si="49"/>
        <v>5</v>
      </c>
      <c r="L363" s="206">
        <f t="shared" si="50"/>
        <v>4.5454545454545459</v>
      </c>
      <c r="M363" s="8" t="str">
        <f t="array" ref="M363">IF(L363&gt;5,"Perlu Sensus",IF(AND(L363&gt;=0,I363&gt;0),"Tetap Deteksi","Belum Deteksi"))</f>
        <v>Tetap Deteksi</v>
      </c>
      <c r="N363" s="132">
        <v>46249</v>
      </c>
      <c r="O363" s="143">
        <f t="array" ref="O363">INDEX('[21]DETEKSI ROT 2 (2)'!$G$343:$G$622,MATCH(1,('[21]DETEKSI ROT 2 (2)'!$D$343:$D$622=$D363)*('[21]DETEKSI ROT 2 (2)'!$D$343:$D$622=$D363),0))</f>
        <v>110</v>
      </c>
      <c r="P363" s="9">
        <f t="array" ref="P363">IFERROR(O363/G363*100,0)</f>
        <v>3.3887861983980283</v>
      </c>
      <c r="Q363" s="143">
        <f t="array" ref="Q363">INDEX('[21]DETEKSI ROT 2 (2)'!$I$343:$I$622,MATCH(1,('[21]DETEKSI ROT 2 (2)'!$D$343:$D$622=$D363)*('[21]DETEKSI ROT 2 (2)'!$D$343:$D$622=$D363),0))</f>
        <v>5</v>
      </c>
      <c r="R363" s="9">
        <f t="shared" si="52"/>
        <v>4.5454545454545459</v>
      </c>
      <c r="S363" s="8" t="str">
        <f t="array" ref="S363">IF(R363&gt;5,"Perlu Sensus",IF(AND(R363&gt;=0,O363&gt;0),"Tetap Deteksi","Belum Deteksi"))</f>
        <v>Tetap Deteksi</v>
      </c>
      <c r="T363" s="203"/>
      <c r="U363" s="9">
        <f t="shared" si="53"/>
        <v>0</v>
      </c>
      <c r="V363" s="132">
        <v>46249</v>
      </c>
      <c r="W363" s="143">
        <f t="array" ref="W363">INDEX('[21]DETEKSI ROT 2 (2)'!$L$343:$L$622,MATCH(1,('[21]DETEKSI ROT 2 (2)'!$D$343:$D$622=$D363)*('[21]DETEKSI ROT 2 (2)'!$D$343:$D$622=$D363),0))</f>
        <v>65</v>
      </c>
      <c r="X363" s="143">
        <f t="array" ref="X363">INDEX('[21]DETEKSI ROT 2 (2)'!$M$343:$M$622,MATCH(1,('[21]DETEKSI ROT 2 (2)'!$D$343:$D$622=$D363)*('[21]DETEKSI ROT 2 (2)'!$D$343:$D$622=$D363),0))</f>
        <v>2</v>
      </c>
      <c r="Y363" s="9">
        <f t="shared" si="51"/>
        <v>3.0769230769230771</v>
      </c>
      <c r="Z363" s="8" t="str">
        <f t="array" ref="Z363">IF(Y363&gt;5,"Perlu Sensus",IF(AND(Y363&gt;0,,O363&gt;0),"Tetap Deteksi","Belum Deteksi"))</f>
        <v>Belum Deteksi</v>
      </c>
      <c r="AA363" s="203"/>
      <c r="AB363" s="9">
        <f t="shared" si="54"/>
        <v>0</v>
      </c>
    </row>
    <row r="364" spans="1:28" x14ac:dyDescent="0.15">
      <c r="A364" s="8" t="s">
        <v>322</v>
      </c>
      <c r="B364" s="8" t="s">
        <v>79</v>
      </c>
      <c r="C364" s="8" t="s">
        <v>380</v>
      </c>
      <c r="D364" s="8" t="s">
        <v>388</v>
      </c>
      <c r="E364" s="9">
        <v>24</v>
      </c>
      <c r="F364" s="8" t="s">
        <v>325</v>
      </c>
      <c r="G364" s="143">
        <v>3189</v>
      </c>
      <c r="H364" s="132">
        <f t="shared" ref="H364:I427" si="55">IF(N364&gt;0,N364,V364)</f>
        <v>46249</v>
      </c>
      <c r="I364" s="140">
        <f t="shared" si="55"/>
        <v>113</v>
      </c>
      <c r="J364" s="9">
        <f t="shared" si="48"/>
        <v>3.5434305424898089</v>
      </c>
      <c r="K364" s="140">
        <f t="shared" si="49"/>
        <v>5</v>
      </c>
      <c r="L364" s="206">
        <f t="shared" si="50"/>
        <v>4.4247787610619467</v>
      </c>
      <c r="M364" s="8" t="str">
        <f t="array" ref="M364">IF(L364&gt;5,"Perlu Sensus",IF(AND(L364&gt;=0,I364&gt;0),"Tetap Deteksi","Belum Deteksi"))</f>
        <v>Tetap Deteksi</v>
      </c>
      <c r="N364" s="132">
        <v>46249</v>
      </c>
      <c r="O364" s="143">
        <f t="array" ref="O364">INDEX('[21]DETEKSI ROT 2 (2)'!$G$343:$G$622,MATCH(1,('[21]DETEKSI ROT 2 (2)'!$D$343:$D$622=$D364)*('[21]DETEKSI ROT 2 (2)'!$D$343:$D$622=$D364),0))</f>
        <v>113</v>
      </c>
      <c r="P364" s="9">
        <f t="array" ref="P364">IFERROR(O364/G364*100,0)</f>
        <v>3.5434305424898089</v>
      </c>
      <c r="Q364" s="143">
        <f t="array" ref="Q364">INDEX('[21]DETEKSI ROT 2 (2)'!$I$343:$I$622,MATCH(1,('[21]DETEKSI ROT 2 (2)'!$D$343:$D$622=$D364)*('[21]DETEKSI ROT 2 (2)'!$D$343:$D$622=$D364),0))</f>
        <v>5</v>
      </c>
      <c r="R364" s="9">
        <f t="shared" si="52"/>
        <v>4.4247787610619467</v>
      </c>
      <c r="S364" s="8" t="str">
        <f t="array" ref="S364">IF(R364&gt;5,"Perlu Sensus",IF(AND(R364&gt;=0,O364&gt;0),"Tetap Deteksi","Belum Deteksi"))</f>
        <v>Tetap Deteksi</v>
      </c>
      <c r="T364" s="203"/>
      <c r="U364" s="9">
        <f t="shared" si="53"/>
        <v>0</v>
      </c>
      <c r="V364" s="132">
        <v>46249</v>
      </c>
      <c r="W364" s="143">
        <f t="array" ref="W364">INDEX('[21]DETEKSI ROT 2 (2)'!$L$343:$L$622,MATCH(1,('[21]DETEKSI ROT 2 (2)'!$D$343:$D$622=$D364)*('[21]DETEKSI ROT 2 (2)'!$D$343:$D$622=$D364),0))</f>
        <v>86</v>
      </c>
      <c r="X364" s="143">
        <f t="array" ref="X364">INDEX('[21]DETEKSI ROT 2 (2)'!$M$343:$M$622,MATCH(1,('[21]DETEKSI ROT 2 (2)'!$D$343:$D$622=$D364)*('[21]DETEKSI ROT 2 (2)'!$D$343:$D$622=$D364),0))</f>
        <v>4</v>
      </c>
      <c r="Y364" s="9">
        <f t="shared" si="51"/>
        <v>4.6511627906976747</v>
      </c>
      <c r="Z364" s="8" t="str">
        <f t="array" ref="Z364">IF(Y364&gt;5,"Perlu Sensus",IF(AND(Y364&gt;0,,O364&gt;0),"Tetap Deteksi","Belum Deteksi"))</f>
        <v>Belum Deteksi</v>
      </c>
      <c r="AA364" s="203"/>
      <c r="AB364" s="9">
        <f t="shared" si="54"/>
        <v>0</v>
      </c>
    </row>
    <row r="365" spans="1:28" x14ac:dyDescent="0.15">
      <c r="A365" s="8" t="s">
        <v>322</v>
      </c>
      <c r="B365" s="8" t="s">
        <v>79</v>
      </c>
      <c r="C365" s="8" t="s">
        <v>380</v>
      </c>
      <c r="D365" s="8" t="s">
        <v>389</v>
      </c>
      <c r="E365" s="9">
        <v>24.13</v>
      </c>
      <c r="F365" s="8" t="s">
        <v>325</v>
      </c>
      <c r="G365" s="143">
        <v>3331</v>
      </c>
      <c r="H365" s="132">
        <f t="shared" si="55"/>
        <v>46249</v>
      </c>
      <c r="I365" s="140">
        <f t="shared" si="55"/>
        <v>110</v>
      </c>
      <c r="J365" s="9">
        <f t="shared" si="48"/>
        <v>3.302311618132693</v>
      </c>
      <c r="K365" s="140">
        <f t="shared" si="49"/>
        <v>6</v>
      </c>
      <c r="L365" s="206">
        <f t="shared" si="50"/>
        <v>5.4545454545454541</v>
      </c>
      <c r="M365" s="8" t="str">
        <f t="array" ref="M365">IF(L365&gt;5,"Perlu Sensus",IF(AND(L365&gt;=0,I365&gt;0),"Tetap Deteksi","Belum Deteksi"))</f>
        <v>Perlu Sensus</v>
      </c>
      <c r="N365" s="132">
        <v>46249</v>
      </c>
      <c r="O365" s="143">
        <f t="array" ref="O365">INDEX('[21]DETEKSI ROT 2 (2)'!$G$343:$G$622,MATCH(1,('[21]DETEKSI ROT 2 (2)'!$D$343:$D$622=$D365)*('[21]DETEKSI ROT 2 (2)'!$D$343:$D$622=$D365),0))</f>
        <v>110</v>
      </c>
      <c r="P365" s="9">
        <f t="array" ref="P365">IFERROR(O365/G365*100,0)</f>
        <v>3.302311618132693</v>
      </c>
      <c r="Q365" s="143">
        <f t="array" ref="Q365">INDEX('[21]DETEKSI ROT 2 (2)'!$I$343:$I$622,MATCH(1,('[21]DETEKSI ROT 2 (2)'!$D$343:$D$622=$D365)*('[21]DETEKSI ROT 2 (2)'!$D$343:$D$622=$D365),0))</f>
        <v>6</v>
      </c>
      <c r="R365" s="9">
        <f t="shared" si="52"/>
        <v>5.4545454545454541</v>
      </c>
      <c r="S365" s="8" t="str">
        <f t="array" ref="S365">IF(R365&gt;5,"Perlu Sensus",IF(AND(R365&gt;=0,O365&gt;0),"Tetap Deteksi","Belum Deteksi"))</f>
        <v>Perlu Sensus</v>
      </c>
      <c r="T365" s="203"/>
      <c r="U365" s="9">
        <f t="shared" si="53"/>
        <v>0</v>
      </c>
      <c r="V365" s="132">
        <v>46249</v>
      </c>
      <c r="W365" s="143">
        <f t="array" ref="W365">INDEX('[21]DETEKSI ROT 2 (2)'!$L$343:$L$622,MATCH(1,('[21]DETEKSI ROT 2 (2)'!$D$343:$D$622=$D365)*('[21]DETEKSI ROT 2 (2)'!$D$343:$D$622=$D365),0))</f>
        <v>79</v>
      </c>
      <c r="X365" s="143">
        <f t="array" ref="X365">INDEX('[21]DETEKSI ROT 2 (2)'!$M$343:$M$622,MATCH(1,('[21]DETEKSI ROT 2 (2)'!$D$343:$D$622=$D365)*('[21]DETEKSI ROT 2 (2)'!$D$343:$D$622=$D365),0))</f>
        <v>5</v>
      </c>
      <c r="Y365" s="9">
        <f t="shared" si="51"/>
        <v>6.3291139240506329</v>
      </c>
      <c r="Z365" s="8" t="str">
        <f t="array" ref="Z365">IF(Y365&gt;5,"Perlu Sensus",IF(AND(Y365&gt;0,,O365&gt;0),"Tetap Deteksi","Belum Deteksi"))</f>
        <v>Perlu Sensus</v>
      </c>
      <c r="AA365" s="203"/>
      <c r="AB365" s="9">
        <f t="shared" si="54"/>
        <v>0</v>
      </c>
    </row>
    <row r="366" spans="1:28" x14ac:dyDescent="0.15">
      <c r="A366" s="8" t="s">
        <v>322</v>
      </c>
      <c r="B366" s="8" t="s">
        <v>79</v>
      </c>
      <c r="C366" s="8" t="s">
        <v>380</v>
      </c>
      <c r="D366" s="8" t="s">
        <v>390</v>
      </c>
      <c r="E366" s="9">
        <v>27.2</v>
      </c>
      <c r="F366" s="8" t="s">
        <v>325</v>
      </c>
      <c r="G366" s="143">
        <v>3399</v>
      </c>
      <c r="H366" s="132">
        <f t="shared" si="55"/>
        <v>46249</v>
      </c>
      <c r="I366" s="140">
        <f t="shared" si="55"/>
        <v>105</v>
      </c>
      <c r="J366" s="9">
        <f t="shared" si="48"/>
        <v>3.0891438658428951</v>
      </c>
      <c r="K366" s="140">
        <f t="shared" si="49"/>
        <v>4</v>
      </c>
      <c r="L366" s="206">
        <f t="shared" si="50"/>
        <v>3.8095238095238098</v>
      </c>
      <c r="M366" s="8" t="str">
        <f t="array" ref="M366">IF(L366&gt;5,"Perlu Sensus",IF(AND(L366&gt;=0,I366&gt;0),"Tetap Deteksi","Belum Deteksi"))</f>
        <v>Tetap Deteksi</v>
      </c>
      <c r="N366" s="132">
        <v>46249</v>
      </c>
      <c r="O366" s="143">
        <f t="array" ref="O366">INDEX('[21]DETEKSI ROT 2 (2)'!$G$343:$G$622,MATCH(1,('[21]DETEKSI ROT 2 (2)'!$D$343:$D$622=$D366)*('[21]DETEKSI ROT 2 (2)'!$D$343:$D$622=$D366),0))</f>
        <v>105</v>
      </c>
      <c r="P366" s="9">
        <f t="array" ref="P366">IFERROR(O366/G366*100,0)</f>
        <v>3.0891438658428951</v>
      </c>
      <c r="Q366" s="143">
        <f t="array" ref="Q366">INDEX('[21]DETEKSI ROT 2 (2)'!$I$343:$I$622,MATCH(1,('[21]DETEKSI ROT 2 (2)'!$D$343:$D$622=$D366)*('[21]DETEKSI ROT 2 (2)'!$D$343:$D$622=$D366),0))</f>
        <v>4</v>
      </c>
      <c r="R366" s="9">
        <f t="shared" si="52"/>
        <v>3.8095238095238098</v>
      </c>
      <c r="S366" s="8" t="str">
        <f t="array" ref="S366">IF(R366&gt;5,"Perlu Sensus",IF(AND(R366&gt;=0,O366&gt;0),"Tetap Deteksi","Belum Deteksi"))</f>
        <v>Tetap Deteksi</v>
      </c>
      <c r="T366" s="203"/>
      <c r="U366" s="9">
        <f t="shared" si="53"/>
        <v>0</v>
      </c>
      <c r="V366" s="132">
        <v>46249</v>
      </c>
      <c r="W366" s="143">
        <f t="array" ref="W366">INDEX('[21]DETEKSI ROT 2 (2)'!$L$343:$L$622,MATCH(1,('[21]DETEKSI ROT 2 (2)'!$D$343:$D$622=$D366)*('[21]DETEKSI ROT 2 (2)'!$D$343:$D$622=$D366),0))</f>
        <v>59</v>
      </c>
      <c r="X366" s="143">
        <f t="array" ref="X366">INDEX('[21]DETEKSI ROT 2 (2)'!$M$343:$M$622,MATCH(1,('[21]DETEKSI ROT 2 (2)'!$D$343:$D$622=$D366)*('[21]DETEKSI ROT 2 (2)'!$D$343:$D$622=$D366),0))</f>
        <v>3</v>
      </c>
      <c r="Y366" s="9">
        <f t="shared" si="51"/>
        <v>5.0847457627118651</v>
      </c>
      <c r="Z366" s="8" t="str">
        <f t="array" ref="Z366">IF(Y366&gt;5,"Perlu Sensus",IF(AND(Y366&gt;0,,O366&gt;0),"Tetap Deteksi","Belum Deteksi"))</f>
        <v>Perlu Sensus</v>
      </c>
      <c r="AA366" s="203"/>
      <c r="AB366" s="9">
        <f t="shared" si="54"/>
        <v>0</v>
      </c>
    </row>
    <row r="367" spans="1:28" x14ac:dyDescent="0.15">
      <c r="A367" s="8" t="s">
        <v>322</v>
      </c>
      <c r="B367" s="8" t="s">
        <v>79</v>
      </c>
      <c r="C367" s="8" t="s">
        <v>380</v>
      </c>
      <c r="D367" s="8" t="s">
        <v>391</v>
      </c>
      <c r="E367" s="9">
        <v>26.95</v>
      </c>
      <c r="F367" s="8" t="s">
        <v>325</v>
      </c>
      <c r="G367" s="143">
        <v>3497</v>
      </c>
      <c r="H367" s="132">
        <f t="shared" si="55"/>
        <v>46249</v>
      </c>
      <c r="I367" s="140">
        <f t="shared" si="55"/>
        <v>128</v>
      </c>
      <c r="J367" s="9">
        <f t="shared" si="48"/>
        <v>3.6602802402058909</v>
      </c>
      <c r="K367" s="140">
        <f t="shared" si="49"/>
        <v>5</v>
      </c>
      <c r="L367" s="206">
        <f t="shared" si="50"/>
        <v>3.90625</v>
      </c>
      <c r="M367" s="8" t="str">
        <f t="array" ref="M367">IF(L367&gt;5,"Perlu Sensus",IF(AND(L367&gt;=0,I367&gt;0),"Tetap Deteksi","Belum Deteksi"))</f>
        <v>Tetap Deteksi</v>
      </c>
      <c r="N367" s="132">
        <v>46249</v>
      </c>
      <c r="O367" s="143">
        <f t="array" ref="O367">INDEX('[21]DETEKSI ROT 2 (2)'!$G$343:$G$622,MATCH(1,('[21]DETEKSI ROT 2 (2)'!$D$343:$D$622=$D367)*('[21]DETEKSI ROT 2 (2)'!$D$343:$D$622=$D367),0))</f>
        <v>128</v>
      </c>
      <c r="P367" s="9">
        <f t="array" ref="P367">IFERROR(O367/G367*100,0)</f>
        <v>3.6602802402058909</v>
      </c>
      <c r="Q367" s="143">
        <f t="array" ref="Q367">INDEX('[21]DETEKSI ROT 2 (2)'!$I$343:$I$622,MATCH(1,('[21]DETEKSI ROT 2 (2)'!$D$343:$D$622=$D367)*('[21]DETEKSI ROT 2 (2)'!$D$343:$D$622=$D367),0))</f>
        <v>5</v>
      </c>
      <c r="R367" s="9">
        <f t="shared" si="52"/>
        <v>3.90625</v>
      </c>
      <c r="S367" s="8" t="str">
        <f t="array" ref="S367">IF(R367&gt;5,"Perlu Sensus",IF(AND(R367&gt;=0,O367&gt;0),"Tetap Deteksi","Belum Deteksi"))</f>
        <v>Tetap Deteksi</v>
      </c>
      <c r="T367" s="203"/>
      <c r="U367" s="9">
        <f t="shared" si="53"/>
        <v>0</v>
      </c>
      <c r="V367" s="132">
        <v>46249</v>
      </c>
      <c r="W367" s="143">
        <f t="array" ref="W367">INDEX('[21]DETEKSI ROT 2 (2)'!$L$343:$L$622,MATCH(1,('[21]DETEKSI ROT 2 (2)'!$D$343:$D$622=$D367)*('[21]DETEKSI ROT 2 (2)'!$D$343:$D$622=$D367),0))</f>
        <v>67</v>
      </c>
      <c r="X367" s="143">
        <f t="array" ref="X367">INDEX('[21]DETEKSI ROT 2 (2)'!$M$343:$M$622,MATCH(1,('[21]DETEKSI ROT 2 (2)'!$D$343:$D$622=$D367)*('[21]DETEKSI ROT 2 (2)'!$D$343:$D$622=$D367),0))</f>
        <v>3</v>
      </c>
      <c r="Y367" s="9">
        <f t="shared" si="51"/>
        <v>4.4776119402985071</v>
      </c>
      <c r="Z367" s="8" t="str">
        <f t="array" ref="Z367">IF(Y367&gt;5,"Perlu Sensus",IF(AND(Y367&gt;0,,O367&gt;0),"Tetap Deteksi","Belum Deteksi"))</f>
        <v>Belum Deteksi</v>
      </c>
      <c r="AA367" s="203"/>
      <c r="AB367" s="9">
        <f t="shared" si="54"/>
        <v>0</v>
      </c>
    </row>
    <row r="368" spans="1:28" x14ac:dyDescent="0.15">
      <c r="A368" s="8" t="s">
        <v>322</v>
      </c>
      <c r="B368" s="8" t="s">
        <v>79</v>
      </c>
      <c r="C368" s="8" t="s">
        <v>380</v>
      </c>
      <c r="D368" s="8" t="s">
        <v>392</v>
      </c>
      <c r="E368" s="9">
        <v>26.54</v>
      </c>
      <c r="F368" s="8" t="s">
        <v>325</v>
      </c>
      <c r="G368" s="143">
        <v>3751</v>
      </c>
      <c r="H368" s="132">
        <f t="shared" si="55"/>
        <v>46249</v>
      </c>
      <c r="I368" s="140">
        <f t="shared" si="55"/>
        <v>143</v>
      </c>
      <c r="J368" s="9">
        <f t="shared" si="48"/>
        <v>3.8123167155425222</v>
      </c>
      <c r="K368" s="140">
        <f t="shared" si="49"/>
        <v>6</v>
      </c>
      <c r="L368" s="206">
        <f t="shared" si="50"/>
        <v>4.1958041958041958</v>
      </c>
      <c r="M368" s="8" t="str">
        <f t="array" ref="M368">IF(L368&gt;5,"Perlu Sensus",IF(AND(L368&gt;=0,I368&gt;0),"Tetap Deteksi","Belum Deteksi"))</f>
        <v>Tetap Deteksi</v>
      </c>
      <c r="N368" s="132">
        <v>46249</v>
      </c>
      <c r="O368" s="143">
        <f t="array" ref="O368">INDEX('[21]DETEKSI ROT 2 (2)'!$G$343:$G$622,MATCH(1,('[21]DETEKSI ROT 2 (2)'!$D$343:$D$622=$D368)*('[21]DETEKSI ROT 2 (2)'!$D$343:$D$622=$D368),0))</f>
        <v>143</v>
      </c>
      <c r="P368" s="9">
        <f t="array" ref="P368">IFERROR(O368/G368*100,0)</f>
        <v>3.8123167155425222</v>
      </c>
      <c r="Q368" s="143">
        <f t="array" ref="Q368">INDEX('[21]DETEKSI ROT 2 (2)'!$I$343:$I$622,MATCH(1,('[21]DETEKSI ROT 2 (2)'!$D$343:$D$622=$D368)*('[21]DETEKSI ROT 2 (2)'!$D$343:$D$622=$D368),0))</f>
        <v>6</v>
      </c>
      <c r="R368" s="9">
        <f t="shared" si="52"/>
        <v>4.1958041958041958</v>
      </c>
      <c r="S368" s="8" t="str">
        <f t="array" ref="S368">IF(R368&gt;5,"Perlu Sensus",IF(AND(R368&gt;=0,O368&gt;0),"Tetap Deteksi","Belum Deteksi"))</f>
        <v>Tetap Deteksi</v>
      </c>
      <c r="T368" s="203"/>
      <c r="U368" s="9">
        <f t="shared" si="53"/>
        <v>0</v>
      </c>
      <c r="V368" s="132">
        <v>46249</v>
      </c>
      <c r="W368" s="143">
        <f t="array" ref="W368">INDEX('[21]DETEKSI ROT 2 (2)'!$L$343:$L$622,MATCH(1,('[21]DETEKSI ROT 2 (2)'!$D$343:$D$622=$D368)*('[21]DETEKSI ROT 2 (2)'!$D$343:$D$622=$D368),0))</f>
        <v>56</v>
      </c>
      <c r="X368" s="143">
        <f t="array" ref="X368">INDEX('[21]DETEKSI ROT 2 (2)'!$M$343:$M$622,MATCH(1,('[21]DETEKSI ROT 2 (2)'!$D$343:$D$622=$D368)*('[21]DETEKSI ROT 2 (2)'!$D$343:$D$622=$D368),0))</f>
        <v>2</v>
      </c>
      <c r="Y368" s="9">
        <f t="shared" si="51"/>
        <v>3.5714285714285712</v>
      </c>
      <c r="Z368" s="8" t="str">
        <f t="array" ref="Z368">IF(Y368&gt;5,"Perlu Sensus",IF(AND(Y368&gt;0,,O368&gt;0),"Tetap Deteksi","Belum Deteksi"))</f>
        <v>Belum Deteksi</v>
      </c>
      <c r="AA368" s="203"/>
      <c r="AB368" s="9">
        <f t="shared" si="54"/>
        <v>0</v>
      </c>
    </row>
    <row r="369" spans="1:28" x14ac:dyDescent="0.15">
      <c r="A369" s="8" t="s">
        <v>322</v>
      </c>
      <c r="B369" s="8" t="s">
        <v>79</v>
      </c>
      <c r="C369" s="8" t="s">
        <v>380</v>
      </c>
      <c r="D369" s="8" t="s">
        <v>393</v>
      </c>
      <c r="E369" s="9">
        <v>27.92</v>
      </c>
      <c r="F369" s="8" t="s">
        <v>325</v>
      </c>
      <c r="G369" s="143">
        <v>4123</v>
      </c>
      <c r="H369" s="132">
        <f t="shared" si="55"/>
        <v>46249</v>
      </c>
      <c r="I369" s="140">
        <f t="shared" si="55"/>
        <v>142</v>
      </c>
      <c r="J369" s="9">
        <f t="shared" si="48"/>
        <v>3.444094106233325</v>
      </c>
      <c r="K369" s="140">
        <f t="shared" si="49"/>
        <v>5</v>
      </c>
      <c r="L369" s="206">
        <f t="shared" si="50"/>
        <v>3.5211267605633805</v>
      </c>
      <c r="M369" s="8" t="str">
        <f t="array" ref="M369">IF(L369&gt;5,"Perlu Sensus",IF(AND(L369&gt;=0,I369&gt;0),"Tetap Deteksi","Belum Deteksi"))</f>
        <v>Tetap Deteksi</v>
      </c>
      <c r="N369" s="132">
        <v>46249</v>
      </c>
      <c r="O369" s="143">
        <f t="array" ref="O369">INDEX('[21]DETEKSI ROT 2 (2)'!$G$343:$G$622,MATCH(1,('[21]DETEKSI ROT 2 (2)'!$D$343:$D$622=$D369)*('[21]DETEKSI ROT 2 (2)'!$D$343:$D$622=$D369),0))</f>
        <v>142</v>
      </c>
      <c r="P369" s="9">
        <f t="array" ref="P369">IFERROR(O369/G369*100,0)</f>
        <v>3.444094106233325</v>
      </c>
      <c r="Q369" s="143">
        <f t="array" ref="Q369">INDEX('[21]DETEKSI ROT 2 (2)'!$I$343:$I$622,MATCH(1,('[21]DETEKSI ROT 2 (2)'!$D$343:$D$622=$D369)*('[21]DETEKSI ROT 2 (2)'!$D$343:$D$622=$D369),0))</f>
        <v>5</v>
      </c>
      <c r="R369" s="9">
        <f t="shared" si="52"/>
        <v>3.5211267605633805</v>
      </c>
      <c r="S369" s="8" t="str">
        <f t="array" ref="S369">IF(R369&gt;5,"Perlu Sensus",IF(AND(R369&gt;=0,O369&gt;0),"Tetap Deteksi","Belum Deteksi"))</f>
        <v>Tetap Deteksi</v>
      </c>
      <c r="T369" s="203"/>
      <c r="U369" s="9">
        <f t="shared" si="53"/>
        <v>0</v>
      </c>
      <c r="V369" s="132">
        <v>46249</v>
      </c>
      <c r="W369" s="143">
        <f t="array" ref="W369">INDEX('[21]DETEKSI ROT 2 (2)'!$L$343:$L$622,MATCH(1,('[21]DETEKSI ROT 2 (2)'!$D$343:$D$622=$D369)*('[21]DETEKSI ROT 2 (2)'!$D$343:$D$622=$D369),0))</f>
        <v>76</v>
      </c>
      <c r="X369" s="143">
        <f t="array" ref="X369">INDEX('[21]DETEKSI ROT 2 (2)'!$M$343:$M$622,MATCH(1,('[21]DETEKSI ROT 2 (2)'!$D$343:$D$622=$D369)*('[21]DETEKSI ROT 2 (2)'!$D$343:$D$622=$D369),0))</f>
        <v>4</v>
      </c>
      <c r="Y369" s="9">
        <f t="shared" si="51"/>
        <v>5.2631578947368416</v>
      </c>
      <c r="Z369" s="8" t="str">
        <f t="array" ref="Z369">IF(Y369&gt;5,"Perlu Sensus",IF(AND(Y369&gt;0,,O369&gt;0),"Tetap Deteksi","Belum Deteksi"))</f>
        <v>Perlu Sensus</v>
      </c>
      <c r="AA369" s="203"/>
      <c r="AB369" s="9">
        <f t="shared" si="54"/>
        <v>0</v>
      </c>
    </row>
    <row r="370" spans="1:28" x14ac:dyDescent="0.15">
      <c r="A370" s="8" t="s">
        <v>322</v>
      </c>
      <c r="B370" s="8" t="s">
        <v>79</v>
      </c>
      <c r="C370" s="8" t="s">
        <v>380</v>
      </c>
      <c r="D370" s="8" t="s">
        <v>394</v>
      </c>
      <c r="E370" s="9">
        <v>24.85</v>
      </c>
      <c r="F370" s="8" t="s">
        <v>325</v>
      </c>
      <c r="G370" s="143">
        <v>3696</v>
      </c>
      <c r="H370" s="132">
        <f t="shared" si="55"/>
        <v>46249</v>
      </c>
      <c r="I370" s="140">
        <f t="shared" si="55"/>
        <v>127</v>
      </c>
      <c r="J370" s="9">
        <f t="shared" si="48"/>
        <v>3.4361471861471862</v>
      </c>
      <c r="K370" s="140">
        <f t="shared" si="49"/>
        <v>6</v>
      </c>
      <c r="L370" s="206">
        <f t="shared" si="50"/>
        <v>4.7244094488188972</v>
      </c>
      <c r="M370" s="8" t="str">
        <f t="array" ref="M370">IF(L370&gt;5,"Perlu Sensus",IF(AND(L370&gt;=0,I370&gt;0),"Tetap Deteksi","Belum Deteksi"))</f>
        <v>Tetap Deteksi</v>
      </c>
      <c r="N370" s="132">
        <v>46249</v>
      </c>
      <c r="O370" s="143">
        <f t="array" ref="O370">INDEX('[21]DETEKSI ROT 2 (2)'!$G$343:$G$622,MATCH(1,('[21]DETEKSI ROT 2 (2)'!$D$343:$D$622=$D370)*('[21]DETEKSI ROT 2 (2)'!$D$343:$D$622=$D370),0))</f>
        <v>127</v>
      </c>
      <c r="P370" s="9">
        <f t="array" ref="P370">IFERROR(O370/G370*100,0)</f>
        <v>3.4361471861471862</v>
      </c>
      <c r="Q370" s="143">
        <f t="array" ref="Q370">INDEX('[21]DETEKSI ROT 2 (2)'!$I$343:$I$622,MATCH(1,('[21]DETEKSI ROT 2 (2)'!$D$343:$D$622=$D370)*('[21]DETEKSI ROT 2 (2)'!$D$343:$D$622=$D370),0))</f>
        <v>6</v>
      </c>
      <c r="R370" s="9">
        <f t="shared" si="52"/>
        <v>4.7244094488188972</v>
      </c>
      <c r="S370" s="8" t="str">
        <f t="array" ref="S370">IF(R370&gt;5,"Perlu Sensus",IF(AND(R370&gt;=0,O370&gt;0),"Tetap Deteksi","Belum Deteksi"))</f>
        <v>Tetap Deteksi</v>
      </c>
      <c r="T370" s="203"/>
      <c r="U370" s="9">
        <f t="shared" si="53"/>
        <v>0</v>
      </c>
      <c r="V370" s="132">
        <v>46249</v>
      </c>
      <c r="W370" s="143">
        <f t="array" ref="W370">INDEX('[21]DETEKSI ROT 2 (2)'!$L$343:$L$622,MATCH(1,('[21]DETEKSI ROT 2 (2)'!$D$343:$D$622=$D370)*('[21]DETEKSI ROT 2 (2)'!$D$343:$D$622=$D370),0))</f>
        <v>67</v>
      </c>
      <c r="X370" s="143">
        <f t="array" ref="X370">INDEX('[21]DETEKSI ROT 2 (2)'!$M$343:$M$622,MATCH(1,('[21]DETEKSI ROT 2 (2)'!$D$343:$D$622=$D370)*('[21]DETEKSI ROT 2 (2)'!$D$343:$D$622=$D370),0))</f>
        <v>2</v>
      </c>
      <c r="Y370" s="9">
        <f t="shared" si="51"/>
        <v>2.9850746268656714</v>
      </c>
      <c r="Z370" s="8" t="str">
        <f t="array" ref="Z370">IF(Y370&gt;5,"Perlu Sensus",IF(AND(Y370&gt;0,,O370&gt;0),"Tetap Deteksi","Belum Deteksi"))</f>
        <v>Belum Deteksi</v>
      </c>
      <c r="AA370" s="203"/>
      <c r="AB370" s="9">
        <f t="shared" si="54"/>
        <v>0</v>
      </c>
    </row>
    <row r="371" spans="1:28" x14ac:dyDescent="0.15">
      <c r="A371" s="8" t="s">
        <v>322</v>
      </c>
      <c r="B371" s="8" t="s">
        <v>79</v>
      </c>
      <c r="C371" s="8" t="s">
        <v>380</v>
      </c>
      <c r="D371" s="8" t="s">
        <v>395</v>
      </c>
      <c r="E371" s="9">
        <v>44.38</v>
      </c>
      <c r="F371" s="8" t="s">
        <v>325</v>
      </c>
      <c r="G371" s="143">
        <v>6659</v>
      </c>
      <c r="H371" s="132">
        <f t="shared" si="55"/>
        <v>46249</v>
      </c>
      <c r="I371" s="140">
        <f t="shared" si="55"/>
        <v>78</v>
      </c>
      <c r="J371" s="9">
        <f t="shared" si="48"/>
        <v>1.1713470491064724</v>
      </c>
      <c r="K371" s="140">
        <f t="shared" si="49"/>
        <v>3</v>
      </c>
      <c r="L371" s="206">
        <f t="shared" si="50"/>
        <v>3.8461538461538463</v>
      </c>
      <c r="M371" s="8" t="str">
        <f t="array" ref="M371">IF(L371&gt;5,"Perlu Sensus",IF(AND(L371&gt;=0,I371&gt;0),"Tetap Deteksi","Belum Deteksi"))</f>
        <v>Tetap Deteksi</v>
      </c>
      <c r="N371" s="132">
        <v>46249</v>
      </c>
      <c r="O371" s="143">
        <f t="array" ref="O371">INDEX('[21]DETEKSI ROT 2 (2)'!$G$343:$G$622,MATCH(1,('[21]DETEKSI ROT 2 (2)'!$D$343:$D$622=$D371)*('[21]DETEKSI ROT 2 (2)'!$D$343:$D$622=$D371),0))</f>
        <v>78</v>
      </c>
      <c r="P371" s="9">
        <f t="array" ref="P371">IFERROR(O371/G371*100,0)</f>
        <v>1.1713470491064724</v>
      </c>
      <c r="Q371" s="143">
        <f t="array" ref="Q371">INDEX('[21]DETEKSI ROT 2 (2)'!$I$343:$I$622,MATCH(1,('[21]DETEKSI ROT 2 (2)'!$D$343:$D$622=$D371)*('[21]DETEKSI ROT 2 (2)'!$D$343:$D$622=$D371),0))</f>
        <v>3</v>
      </c>
      <c r="R371" s="9">
        <f t="shared" si="52"/>
        <v>3.8461538461538463</v>
      </c>
      <c r="S371" s="8" t="str">
        <f t="array" ref="S371">IF(R371&gt;5,"Perlu Sensus",IF(AND(R371&gt;=0,O371&gt;0),"Tetap Deteksi","Belum Deteksi"))</f>
        <v>Tetap Deteksi</v>
      </c>
      <c r="T371" s="203"/>
      <c r="U371" s="9">
        <f t="shared" si="53"/>
        <v>0</v>
      </c>
      <c r="V371" s="132">
        <v>46249</v>
      </c>
      <c r="W371" s="143">
        <f t="array" ref="W371">INDEX('[21]DETEKSI ROT 2 (2)'!$L$343:$L$622,MATCH(1,('[21]DETEKSI ROT 2 (2)'!$D$343:$D$622=$D371)*('[21]DETEKSI ROT 2 (2)'!$D$343:$D$622=$D371),0))</f>
        <v>78</v>
      </c>
      <c r="X371" s="143">
        <f t="array" ref="X371">INDEX('[21]DETEKSI ROT 2 (2)'!$M$343:$M$622,MATCH(1,('[21]DETEKSI ROT 2 (2)'!$D$343:$D$622=$D371)*('[21]DETEKSI ROT 2 (2)'!$D$343:$D$622=$D371),0))</f>
        <v>3</v>
      </c>
      <c r="Y371" s="9">
        <f t="shared" si="51"/>
        <v>3.8461538461538463</v>
      </c>
      <c r="Z371" s="8" t="str">
        <f t="array" ref="Z371">IF(Y371&gt;5,"Perlu Sensus",IF(AND(Y371&gt;0,,O371&gt;0),"Tetap Deteksi","Belum Deteksi"))</f>
        <v>Belum Deteksi</v>
      </c>
      <c r="AA371" s="203"/>
      <c r="AB371" s="9">
        <f t="shared" si="54"/>
        <v>0</v>
      </c>
    </row>
    <row r="372" spans="1:28" x14ac:dyDescent="0.15">
      <c r="A372" s="8" t="s">
        <v>322</v>
      </c>
      <c r="B372" s="8" t="s">
        <v>79</v>
      </c>
      <c r="C372" s="8" t="s">
        <v>380</v>
      </c>
      <c r="D372" s="8" t="s">
        <v>396</v>
      </c>
      <c r="E372" s="9">
        <v>26.16</v>
      </c>
      <c r="F372" s="8" t="s">
        <v>325</v>
      </c>
      <c r="G372" s="143">
        <v>3736</v>
      </c>
      <c r="H372" s="132">
        <f t="shared" si="55"/>
        <v>46249</v>
      </c>
      <c r="I372" s="140">
        <f t="shared" si="55"/>
        <v>96</v>
      </c>
      <c r="J372" s="9">
        <f t="shared" si="48"/>
        <v>2.5695931477516059</v>
      </c>
      <c r="K372" s="140">
        <f t="shared" si="49"/>
        <v>4</v>
      </c>
      <c r="L372" s="206">
        <f t="shared" si="50"/>
        <v>4.1666666666666661</v>
      </c>
      <c r="M372" s="8" t="str">
        <f t="array" ref="M372">IF(L372&gt;5,"Perlu Sensus",IF(AND(L372&gt;=0,I372&gt;0),"Tetap Deteksi","Belum Deteksi"))</f>
        <v>Tetap Deteksi</v>
      </c>
      <c r="N372" s="132">
        <v>46249</v>
      </c>
      <c r="O372" s="143">
        <f t="array" ref="O372">INDEX('[21]DETEKSI ROT 2 (2)'!$G$343:$G$622,MATCH(1,('[21]DETEKSI ROT 2 (2)'!$D$343:$D$622=$D372)*('[21]DETEKSI ROT 2 (2)'!$D$343:$D$622=$D372),0))</f>
        <v>96</v>
      </c>
      <c r="P372" s="9">
        <f t="array" ref="P372">IFERROR(O372/G372*100,0)</f>
        <v>2.5695931477516059</v>
      </c>
      <c r="Q372" s="143">
        <f t="array" ref="Q372">INDEX('[21]DETEKSI ROT 2 (2)'!$I$343:$I$622,MATCH(1,('[21]DETEKSI ROT 2 (2)'!$D$343:$D$622=$D372)*('[21]DETEKSI ROT 2 (2)'!$D$343:$D$622=$D372),0))</f>
        <v>4</v>
      </c>
      <c r="R372" s="9">
        <f t="shared" si="52"/>
        <v>4.1666666666666661</v>
      </c>
      <c r="S372" s="8" t="str">
        <f t="array" ref="S372">IF(R372&gt;5,"Perlu Sensus",IF(AND(R372&gt;=0,O372&gt;0),"Tetap Deteksi","Belum Deteksi"))</f>
        <v>Tetap Deteksi</v>
      </c>
      <c r="T372" s="203"/>
      <c r="U372" s="9">
        <f t="shared" si="53"/>
        <v>0</v>
      </c>
      <c r="V372" s="132">
        <v>46249</v>
      </c>
      <c r="W372" s="143">
        <f t="array" ref="W372">INDEX('[21]DETEKSI ROT 2 (2)'!$L$343:$L$622,MATCH(1,('[21]DETEKSI ROT 2 (2)'!$D$343:$D$622=$D372)*('[21]DETEKSI ROT 2 (2)'!$D$343:$D$622=$D372),0))</f>
        <v>79</v>
      </c>
      <c r="X372" s="143">
        <f t="array" ref="X372">INDEX('[21]DETEKSI ROT 2 (2)'!$M$343:$M$622,MATCH(1,('[21]DETEKSI ROT 2 (2)'!$D$343:$D$622=$D372)*('[21]DETEKSI ROT 2 (2)'!$D$343:$D$622=$D372),0))</f>
        <v>4</v>
      </c>
      <c r="Y372" s="9">
        <f t="shared" si="51"/>
        <v>5.0632911392405067</v>
      </c>
      <c r="Z372" s="8" t="str">
        <f t="array" ref="Z372">IF(Y372&gt;5,"Perlu Sensus",IF(AND(Y372&gt;0,,O372&gt;0),"Tetap Deteksi","Belum Deteksi"))</f>
        <v>Perlu Sensus</v>
      </c>
      <c r="AA372" s="203"/>
      <c r="AB372" s="9">
        <f t="shared" si="54"/>
        <v>0</v>
      </c>
    </row>
    <row r="373" spans="1:28" x14ac:dyDescent="0.15">
      <c r="A373" s="8" t="s">
        <v>322</v>
      </c>
      <c r="B373" s="8" t="s">
        <v>79</v>
      </c>
      <c r="C373" s="8" t="s">
        <v>380</v>
      </c>
      <c r="D373" s="8" t="s">
        <v>397</v>
      </c>
      <c r="E373" s="9">
        <v>48.5</v>
      </c>
      <c r="F373" s="8" t="s">
        <v>325</v>
      </c>
      <c r="G373" s="143">
        <v>6691</v>
      </c>
      <c r="H373" s="132">
        <f t="shared" si="55"/>
        <v>46249</v>
      </c>
      <c r="I373" s="140">
        <f t="shared" si="55"/>
        <v>97</v>
      </c>
      <c r="J373" s="9">
        <f t="shared" si="48"/>
        <v>1.4497085637423404</v>
      </c>
      <c r="K373" s="140">
        <f t="shared" si="49"/>
        <v>2</v>
      </c>
      <c r="L373" s="206">
        <f t="shared" si="50"/>
        <v>2.0618556701030926</v>
      </c>
      <c r="M373" s="8" t="str">
        <f t="array" ref="M373">IF(L373&gt;5,"Perlu Sensus",IF(AND(L373&gt;=0,I373&gt;0),"Tetap Deteksi","Belum Deteksi"))</f>
        <v>Tetap Deteksi</v>
      </c>
      <c r="N373" s="132">
        <v>46249</v>
      </c>
      <c r="O373" s="143">
        <f t="array" ref="O373">INDEX('[21]DETEKSI ROT 2 (2)'!$G$343:$G$622,MATCH(1,('[21]DETEKSI ROT 2 (2)'!$D$343:$D$622=$D373)*('[21]DETEKSI ROT 2 (2)'!$D$343:$D$622=$D373),0))</f>
        <v>97</v>
      </c>
      <c r="P373" s="9">
        <f t="array" ref="P373">IFERROR(O373/G373*100,0)</f>
        <v>1.4497085637423404</v>
      </c>
      <c r="Q373" s="143">
        <f t="array" ref="Q373">INDEX('[21]DETEKSI ROT 2 (2)'!$I$343:$I$622,MATCH(1,('[21]DETEKSI ROT 2 (2)'!$D$343:$D$622=$D373)*('[21]DETEKSI ROT 2 (2)'!$D$343:$D$622=$D373),0))</f>
        <v>2</v>
      </c>
      <c r="R373" s="9">
        <f t="shared" si="52"/>
        <v>2.0618556701030926</v>
      </c>
      <c r="S373" s="8" t="str">
        <f t="array" ref="S373">IF(R373&gt;5,"Perlu Sensus",IF(AND(R373&gt;=0,O373&gt;0),"Tetap Deteksi","Belum Deteksi"))</f>
        <v>Tetap Deteksi</v>
      </c>
      <c r="T373" s="203"/>
      <c r="U373" s="9">
        <f t="shared" si="53"/>
        <v>0</v>
      </c>
      <c r="V373" s="132">
        <v>46249</v>
      </c>
      <c r="W373" s="143">
        <f t="array" ref="W373">INDEX('[21]DETEKSI ROT 2 (2)'!$L$343:$L$622,MATCH(1,('[21]DETEKSI ROT 2 (2)'!$D$343:$D$622=$D373)*('[21]DETEKSI ROT 2 (2)'!$D$343:$D$622=$D373),0))</f>
        <v>102</v>
      </c>
      <c r="X373" s="143">
        <f t="array" ref="X373">INDEX('[21]DETEKSI ROT 2 (2)'!$M$343:$M$622,MATCH(1,('[21]DETEKSI ROT 2 (2)'!$D$343:$D$622=$D373)*('[21]DETEKSI ROT 2 (2)'!$D$343:$D$622=$D373),0))</f>
        <v>3</v>
      </c>
      <c r="Y373" s="9">
        <f t="shared" si="51"/>
        <v>2.9411764705882351</v>
      </c>
      <c r="Z373" s="8" t="str">
        <f t="array" ref="Z373">IF(Y373&gt;5,"Perlu Sensus",IF(AND(Y373&gt;0,,O373&gt;0),"Tetap Deteksi","Belum Deteksi"))</f>
        <v>Belum Deteksi</v>
      </c>
      <c r="AA373" s="203"/>
      <c r="AB373" s="9">
        <f t="shared" si="54"/>
        <v>0</v>
      </c>
    </row>
    <row r="374" spans="1:28" x14ac:dyDescent="0.15">
      <c r="A374" s="8" t="s">
        <v>322</v>
      </c>
      <c r="B374" s="8" t="s">
        <v>79</v>
      </c>
      <c r="C374" s="8" t="s">
        <v>380</v>
      </c>
      <c r="D374" s="8" t="s">
        <v>398</v>
      </c>
      <c r="E374" s="9">
        <v>24.89</v>
      </c>
      <c r="F374" s="8" t="s">
        <v>325</v>
      </c>
      <c r="G374" s="143">
        <v>3428</v>
      </c>
      <c r="H374" s="132">
        <f t="shared" si="55"/>
        <v>46249</v>
      </c>
      <c r="I374" s="140">
        <f t="shared" si="55"/>
        <v>101</v>
      </c>
      <c r="J374" s="9">
        <f t="shared" si="48"/>
        <v>2.9463243873978997</v>
      </c>
      <c r="K374" s="140">
        <f t="shared" si="49"/>
        <v>4</v>
      </c>
      <c r="L374" s="206">
        <f t="shared" si="50"/>
        <v>3.9603960396039604</v>
      </c>
      <c r="M374" s="8" t="str">
        <f t="array" ref="M374">IF(L374&gt;5,"Perlu Sensus",IF(AND(L374&gt;=0,I374&gt;0),"Tetap Deteksi","Belum Deteksi"))</f>
        <v>Tetap Deteksi</v>
      </c>
      <c r="N374" s="132">
        <v>46249</v>
      </c>
      <c r="O374" s="143">
        <f t="array" ref="O374">INDEX('[21]DETEKSI ROT 2 (2)'!$G$343:$G$622,MATCH(1,('[21]DETEKSI ROT 2 (2)'!$D$343:$D$622=$D374)*('[21]DETEKSI ROT 2 (2)'!$D$343:$D$622=$D374),0))</f>
        <v>101</v>
      </c>
      <c r="P374" s="9">
        <f t="array" ref="P374">IFERROR(O374/G374*100,0)</f>
        <v>2.9463243873978997</v>
      </c>
      <c r="Q374" s="143">
        <f t="array" ref="Q374">INDEX('[21]DETEKSI ROT 2 (2)'!$I$343:$I$622,MATCH(1,('[21]DETEKSI ROT 2 (2)'!$D$343:$D$622=$D374)*('[21]DETEKSI ROT 2 (2)'!$D$343:$D$622=$D374),0))</f>
        <v>4</v>
      </c>
      <c r="R374" s="9">
        <f t="shared" si="52"/>
        <v>3.9603960396039604</v>
      </c>
      <c r="S374" s="8" t="str">
        <f t="array" ref="S374">IF(R374&gt;5,"Perlu Sensus",IF(AND(R374&gt;=0,O374&gt;0),"Tetap Deteksi","Belum Deteksi"))</f>
        <v>Tetap Deteksi</v>
      </c>
      <c r="T374" s="203"/>
      <c r="U374" s="9">
        <f t="shared" si="53"/>
        <v>0</v>
      </c>
      <c r="V374" s="132">
        <v>46249</v>
      </c>
      <c r="W374" s="143">
        <f t="array" ref="W374">INDEX('[21]DETEKSI ROT 2 (2)'!$L$343:$L$622,MATCH(1,('[21]DETEKSI ROT 2 (2)'!$D$343:$D$622=$D374)*('[21]DETEKSI ROT 2 (2)'!$D$343:$D$622=$D374),0))</f>
        <v>89</v>
      </c>
      <c r="X374" s="143">
        <f t="array" ref="X374">INDEX('[21]DETEKSI ROT 2 (2)'!$M$343:$M$622,MATCH(1,('[21]DETEKSI ROT 2 (2)'!$D$343:$D$622=$D374)*('[21]DETEKSI ROT 2 (2)'!$D$343:$D$622=$D374),0))</f>
        <v>4</v>
      </c>
      <c r="Y374" s="9">
        <f t="shared" si="51"/>
        <v>4.4943820224719104</v>
      </c>
      <c r="Z374" s="8" t="str">
        <f t="array" ref="Z374">IF(Y374&gt;5,"Perlu Sensus",IF(AND(Y374&gt;0,,O374&gt;0),"Tetap Deteksi","Belum Deteksi"))</f>
        <v>Belum Deteksi</v>
      </c>
      <c r="AA374" s="203"/>
      <c r="AB374" s="9">
        <f t="shared" si="54"/>
        <v>0</v>
      </c>
    </row>
    <row r="375" spans="1:28" x14ac:dyDescent="0.15">
      <c r="A375" s="8" t="s">
        <v>322</v>
      </c>
      <c r="B375" s="8" t="s">
        <v>79</v>
      </c>
      <c r="C375" s="8" t="s">
        <v>380</v>
      </c>
      <c r="D375" s="8" t="s">
        <v>399</v>
      </c>
      <c r="E375" s="9">
        <v>22.59</v>
      </c>
      <c r="F375" s="8" t="s">
        <v>325</v>
      </c>
      <c r="G375" s="143">
        <v>3095</v>
      </c>
      <c r="H375" s="132">
        <f t="shared" si="55"/>
        <v>46249</v>
      </c>
      <c r="I375" s="140">
        <f t="shared" si="55"/>
        <v>97</v>
      </c>
      <c r="J375" s="9">
        <f t="shared" si="48"/>
        <v>3.1340872374798061</v>
      </c>
      <c r="K375" s="140">
        <f t="shared" si="49"/>
        <v>5</v>
      </c>
      <c r="L375" s="206">
        <f t="shared" si="50"/>
        <v>5.1546391752577314</v>
      </c>
      <c r="M375" s="8" t="str">
        <f t="array" ref="M375">IF(L375&gt;5,"Perlu Sensus",IF(AND(L375&gt;=0,I375&gt;0),"Tetap Deteksi","Belum Deteksi"))</f>
        <v>Perlu Sensus</v>
      </c>
      <c r="N375" s="132">
        <v>46249</v>
      </c>
      <c r="O375" s="143">
        <f t="array" ref="O375">INDEX('[21]DETEKSI ROT 2 (2)'!$G$343:$G$622,MATCH(1,('[21]DETEKSI ROT 2 (2)'!$D$343:$D$622=$D375)*('[21]DETEKSI ROT 2 (2)'!$D$343:$D$622=$D375),0))</f>
        <v>97</v>
      </c>
      <c r="P375" s="9">
        <f t="array" ref="P375">IFERROR(O375/G375*100,0)</f>
        <v>3.1340872374798061</v>
      </c>
      <c r="Q375" s="143">
        <f t="array" ref="Q375">INDEX('[21]DETEKSI ROT 2 (2)'!$I$343:$I$622,MATCH(1,('[21]DETEKSI ROT 2 (2)'!$D$343:$D$622=$D375)*('[21]DETEKSI ROT 2 (2)'!$D$343:$D$622=$D375),0))</f>
        <v>5</v>
      </c>
      <c r="R375" s="9">
        <f t="shared" si="52"/>
        <v>5.1546391752577314</v>
      </c>
      <c r="S375" s="8" t="str">
        <f t="array" ref="S375">IF(R375&gt;5,"Perlu Sensus",IF(AND(R375&gt;=0,O375&gt;0),"Tetap Deteksi","Belum Deteksi"))</f>
        <v>Perlu Sensus</v>
      </c>
      <c r="T375" s="203"/>
      <c r="U375" s="9">
        <f t="shared" si="53"/>
        <v>0</v>
      </c>
      <c r="V375" s="132">
        <v>46249</v>
      </c>
      <c r="W375" s="143">
        <f t="array" ref="W375">INDEX('[21]DETEKSI ROT 2 (2)'!$L$343:$L$622,MATCH(1,('[21]DETEKSI ROT 2 (2)'!$D$343:$D$622=$D375)*('[21]DETEKSI ROT 2 (2)'!$D$343:$D$622=$D375),0))</f>
        <v>58</v>
      </c>
      <c r="X375" s="143">
        <f t="array" ref="X375">INDEX('[21]DETEKSI ROT 2 (2)'!$M$343:$M$622,MATCH(1,('[21]DETEKSI ROT 2 (2)'!$D$343:$D$622=$D375)*('[21]DETEKSI ROT 2 (2)'!$D$343:$D$622=$D375),0))</f>
        <v>3</v>
      </c>
      <c r="Y375" s="9">
        <f t="shared" si="51"/>
        <v>5.1724137931034484</v>
      </c>
      <c r="Z375" s="8" t="str">
        <f t="array" ref="Z375">IF(Y375&gt;5,"Perlu Sensus",IF(AND(Y375&gt;0,,O375&gt;0),"Tetap Deteksi","Belum Deteksi"))</f>
        <v>Perlu Sensus</v>
      </c>
      <c r="AA375" s="203"/>
      <c r="AB375" s="9">
        <f t="shared" si="54"/>
        <v>0</v>
      </c>
    </row>
    <row r="376" spans="1:28" x14ac:dyDescent="0.15">
      <c r="A376" s="8" t="s">
        <v>322</v>
      </c>
      <c r="B376" s="8" t="s">
        <v>79</v>
      </c>
      <c r="C376" s="8" t="s">
        <v>380</v>
      </c>
      <c r="D376" s="8" t="s">
        <v>400</v>
      </c>
      <c r="E376" s="9">
        <v>24.64</v>
      </c>
      <c r="F376" s="8" t="s">
        <v>325</v>
      </c>
      <c r="G376" s="143">
        <v>3381</v>
      </c>
      <c r="H376" s="132">
        <f t="shared" si="55"/>
        <v>46249</v>
      </c>
      <c r="I376" s="140">
        <f t="shared" si="55"/>
        <v>110</v>
      </c>
      <c r="J376" s="9">
        <f t="shared" si="48"/>
        <v>3.2534753031647443</v>
      </c>
      <c r="K376" s="140">
        <f t="shared" si="49"/>
        <v>6</v>
      </c>
      <c r="L376" s="206">
        <f t="shared" si="50"/>
        <v>5.4545454545454541</v>
      </c>
      <c r="M376" s="8" t="str">
        <f t="array" ref="M376">IF(L376&gt;5,"Perlu Sensus",IF(AND(L376&gt;=0,I376&gt;0),"Tetap Deteksi","Belum Deteksi"))</f>
        <v>Perlu Sensus</v>
      </c>
      <c r="N376" s="132">
        <v>46249</v>
      </c>
      <c r="O376" s="143">
        <f t="array" ref="O376">INDEX('[21]DETEKSI ROT 2 (2)'!$G$343:$G$622,MATCH(1,('[21]DETEKSI ROT 2 (2)'!$D$343:$D$622=$D376)*('[21]DETEKSI ROT 2 (2)'!$D$343:$D$622=$D376),0))</f>
        <v>110</v>
      </c>
      <c r="P376" s="9">
        <f t="array" ref="P376">IFERROR(O376/G376*100,0)</f>
        <v>3.2534753031647443</v>
      </c>
      <c r="Q376" s="143">
        <f t="array" ref="Q376">INDEX('[21]DETEKSI ROT 2 (2)'!$I$343:$I$622,MATCH(1,('[21]DETEKSI ROT 2 (2)'!$D$343:$D$622=$D376)*('[21]DETEKSI ROT 2 (2)'!$D$343:$D$622=$D376),0))</f>
        <v>6</v>
      </c>
      <c r="R376" s="9">
        <f t="shared" si="52"/>
        <v>5.4545454545454541</v>
      </c>
      <c r="S376" s="8" t="str">
        <f t="array" ref="S376">IF(R376&gt;5,"Perlu Sensus",IF(AND(R376&gt;=0,O376&gt;0),"Tetap Deteksi","Belum Deteksi"))</f>
        <v>Perlu Sensus</v>
      </c>
      <c r="T376" s="203"/>
      <c r="U376" s="9">
        <f t="shared" si="53"/>
        <v>0</v>
      </c>
      <c r="V376" s="132">
        <v>46249</v>
      </c>
      <c r="W376" s="143">
        <f t="array" ref="W376">INDEX('[21]DETEKSI ROT 2 (2)'!$L$343:$L$622,MATCH(1,('[21]DETEKSI ROT 2 (2)'!$D$343:$D$622=$D376)*('[21]DETEKSI ROT 2 (2)'!$D$343:$D$622=$D376),0))</f>
        <v>75</v>
      </c>
      <c r="X376" s="143">
        <f t="array" ref="X376">INDEX('[21]DETEKSI ROT 2 (2)'!$M$343:$M$622,MATCH(1,('[21]DETEKSI ROT 2 (2)'!$D$343:$D$622=$D376)*('[21]DETEKSI ROT 2 (2)'!$D$343:$D$622=$D376),0))</f>
        <v>5</v>
      </c>
      <c r="Y376" s="9">
        <f t="shared" si="51"/>
        <v>6.666666666666667</v>
      </c>
      <c r="Z376" s="8" t="str">
        <f t="array" ref="Z376">IF(Y376&gt;5,"Perlu Sensus",IF(AND(Y376&gt;0,,O376&gt;0),"Tetap Deteksi","Belum Deteksi"))</f>
        <v>Perlu Sensus</v>
      </c>
      <c r="AA376" s="203"/>
      <c r="AB376" s="9">
        <f t="shared" si="54"/>
        <v>0</v>
      </c>
    </row>
    <row r="377" spans="1:28" x14ac:dyDescent="0.15">
      <c r="A377" s="8" t="s">
        <v>322</v>
      </c>
      <c r="B377" s="8" t="s">
        <v>79</v>
      </c>
      <c r="C377" s="8" t="s">
        <v>380</v>
      </c>
      <c r="D377" s="8" t="s">
        <v>401</v>
      </c>
      <c r="E377" s="9">
        <v>22.91</v>
      </c>
      <c r="F377" s="8" t="s">
        <v>325</v>
      </c>
      <c r="G377" s="143">
        <v>3002</v>
      </c>
      <c r="H377" s="132">
        <f t="shared" si="55"/>
        <v>46249</v>
      </c>
      <c r="I377" s="140">
        <f t="shared" si="55"/>
        <v>112</v>
      </c>
      <c r="J377" s="9">
        <f t="shared" si="48"/>
        <v>3.7308461025982673</v>
      </c>
      <c r="K377" s="140">
        <f t="shared" si="49"/>
        <v>3</v>
      </c>
      <c r="L377" s="206">
        <f t="shared" si="50"/>
        <v>2.6785714285714284</v>
      </c>
      <c r="M377" s="8" t="str">
        <f t="array" ref="M377">IF(L377&gt;5,"Perlu Sensus",IF(AND(L377&gt;=0,I377&gt;0),"Tetap Deteksi","Belum Deteksi"))</f>
        <v>Tetap Deteksi</v>
      </c>
      <c r="N377" s="132">
        <v>46249</v>
      </c>
      <c r="O377" s="143">
        <f t="array" ref="O377">INDEX('[21]DETEKSI ROT 2 (2)'!$G$343:$G$622,MATCH(1,('[21]DETEKSI ROT 2 (2)'!$D$343:$D$622=$D377)*('[21]DETEKSI ROT 2 (2)'!$D$343:$D$622=$D377),0))</f>
        <v>112</v>
      </c>
      <c r="P377" s="9">
        <f t="array" ref="P377">IFERROR(O377/G377*100,0)</f>
        <v>3.7308461025982673</v>
      </c>
      <c r="Q377" s="143">
        <f t="array" ref="Q377">INDEX('[21]DETEKSI ROT 2 (2)'!$I$343:$I$622,MATCH(1,('[21]DETEKSI ROT 2 (2)'!$D$343:$D$622=$D377)*('[21]DETEKSI ROT 2 (2)'!$D$343:$D$622=$D377),0))</f>
        <v>3</v>
      </c>
      <c r="R377" s="9">
        <f t="shared" si="52"/>
        <v>2.6785714285714284</v>
      </c>
      <c r="S377" s="8" t="str">
        <f t="array" ref="S377">IF(R377&gt;5,"Perlu Sensus",IF(AND(R377&gt;=0,O377&gt;0),"Tetap Deteksi","Belum Deteksi"))</f>
        <v>Tetap Deteksi</v>
      </c>
      <c r="T377" s="203"/>
      <c r="U377" s="9">
        <f t="shared" si="53"/>
        <v>0</v>
      </c>
      <c r="V377" s="132">
        <v>46249</v>
      </c>
      <c r="W377" s="143">
        <f t="array" ref="W377">INDEX('[21]DETEKSI ROT 2 (2)'!$L$343:$L$622,MATCH(1,('[21]DETEKSI ROT 2 (2)'!$D$343:$D$622=$D377)*('[21]DETEKSI ROT 2 (2)'!$D$343:$D$622=$D377),0))</f>
        <v>84</v>
      </c>
      <c r="X377" s="143">
        <f t="array" ref="X377">INDEX('[21]DETEKSI ROT 2 (2)'!$M$343:$M$622,MATCH(1,('[21]DETEKSI ROT 2 (2)'!$D$343:$D$622=$D377)*('[21]DETEKSI ROT 2 (2)'!$D$343:$D$622=$D377),0))</f>
        <v>2</v>
      </c>
      <c r="Y377" s="9">
        <f t="shared" si="51"/>
        <v>2.3809523809523809</v>
      </c>
      <c r="Z377" s="8" t="str">
        <f t="array" ref="Z377">IF(Y377&gt;5,"Perlu Sensus",IF(AND(Y377&gt;0,,O377&gt;0),"Tetap Deteksi","Belum Deteksi"))</f>
        <v>Belum Deteksi</v>
      </c>
      <c r="AA377" s="203"/>
      <c r="AB377" s="9">
        <f t="shared" si="54"/>
        <v>0</v>
      </c>
    </row>
    <row r="378" spans="1:28" x14ac:dyDescent="0.15">
      <c r="A378" s="8" t="s">
        <v>322</v>
      </c>
      <c r="B378" s="8" t="s">
        <v>79</v>
      </c>
      <c r="C378" s="8" t="s">
        <v>380</v>
      </c>
      <c r="D378" s="8" t="s">
        <v>402</v>
      </c>
      <c r="E378" s="9">
        <v>23.52</v>
      </c>
      <c r="F378" s="8" t="s">
        <v>325</v>
      </c>
      <c r="G378" s="143">
        <v>3242</v>
      </c>
      <c r="H378" s="132">
        <f t="shared" si="55"/>
        <v>46249</v>
      </c>
      <c r="I378" s="140">
        <f t="shared" si="55"/>
        <v>97</v>
      </c>
      <c r="J378" s="9">
        <f t="shared" si="48"/>
        <v>2.9919802590993214</v>
      </c>
      <c r="K378" s="140">
        <f t="shared" si="49"/>
        <v>2</v>
      </c>
      <c r="L378" s="206">
        <f t="shared" si="50"/>
        <v>2.0618556701030926</v>
      </c>
      <c r="M378" s="8" t="str">
        <f t="array" ref="M378">IF(L378&gt;5,"Perlu Sensus",IF(AND(L378&gt;=0,I378&gt;0),"Tetap Deteksi","Belum Deteksi"))</f>
        <v>Tetap Deteksi</v>
      </c>
      <c r="N378" s="132">
        <v>46249</v>
      </c>
      <c r="O378" s="143">
        <f t="array" ref="O378">INDEX('[21]DETEKSI ROT 2 (2)'!$G$343:$G$622,MATCH(1,('[21]DETEKSI ROT 2 (2)'!$D$343:$D$622=$D378)*('[21]DETEKSI ROT 2 (2)'!$D$343:$D$622=$D378),0))</f>
        <v>97</v>
      </c>
      <c r="P378" s="9">
        <f t="array" ref="P378">IFERROR(O378/G378*100,0)</f>
        <v>2.9919802590993214</v>
      </c>
      <c r="Q378" s="143">
        <f t="array" ref="Q378">INDEX('[21]DETEKSI ROT 2 (2)'!$I$343:$I$622,MATCH(1,('[21]DETEKSI ROT 2 (2)'!$D$343:$D$622=$D378)*('[21]DETEKSI ROT 2 (2)'!$D$343:$D$622=$D378),0))</f>
        <v>2</v>
      </c>
      <c r="R378" s="9">
        <f t="shared" si="52"/>
        <v>2.0618556701030926</v>
      </c>
      <c r="S378" s="8" t="str">
        <f t="array" ref="S378">IF(R378&gt;5,"Perlu Sensus",IF(AND(R378&gt;=0,O378&gt;0),"Tetap Deteksi","Belum Deteksi"))</f>
        <v>Tetap Deteksi</v>
      </c>
      <c r="T378" s="203"/>
      <c r="U378" s="9">
        <f t="shared" si="53"/>
        <v>0</v>
      </c>
      <c r="V378" s="132">
        <v>46249</v>
      </c>
      <c r="W378" s="143">
        <f t="array" ref="W378">INDEX('[21]DETEKSI ROT 2 (2)'!$L$343:$L$622,MATCH(1,('[21]DETEKSI ROT 2 (2)'!$D$343:$D$622=$D378)*('[21]DETEKSI ROT 2 (2)'!$D$343:$D$622=$D378),0))</f>
        <v>142</v>
      </c>
      <c r="X378" s="143">
        <f t="array" ref="X378">INDEX('[21]DETEKSI ROT 2 (2)'!$M$343:$M$622,MATCH(1,('[21]DETEKSI ROT 2 (2)'!$D$343:$D$622=$D378)*('[21]DETEKSI ROT 2 (2)'!$D$343:$D$622=$D378),0))</f>
        <v>3</v>
      </c>
      <c r="Y378" s="9">
        <f t="shared" si="51"/>
        <v>2.112676056338028</v>
      </c>
      <c r="Z378" s="8" t="str">
        <f t="array" ref="Z378">IF(Y378&gt;5,"Perlu Sensus",IF(AND(Y378&gt;0,,O378&gt;0),"Tetap Deteksi","Belum Deteksi"))</f>
        <v>Belum Deteksi</v>
      </c>
      <c r="AA378" s="203"/>
      <c r="AB378" s="9">
        <f t="shared" si="54"/>
        <v>0</v>
      </c>
    </row>
    <row r="379" spans="1:28" x14ac:dyDescent="0.15">
      <c r="A379" s="8" t="s">
        <v>322</v>
      </c>
      <c r="B379" s="8" t="s">
        <v>79</v>
      </c>
      <c r="C379" s="8" t="s">
        <v>380</v>
      </c>
      <c r="D379" s="8" t="s">
        <v>403</v>
      </c>
      <c r="E379" s="9">
        <v>23.45</v>
      </c>
      <c r="F379" s="8" t="s">
        <v>325</v>
      </c>
      <c r="G379" s="143">
        <v>3198</v>
      </c>
      <c r="H379" s="132">
        <f t="shared" si="55"/>
        <v>46249</v>
      </c>
      <c r="I379" s="140">
        <f t="shared" si="55"/>
        <v>142</v>
      </c>
      <c r="J379" s="9">
        <f t="shared" si="48"/>
        <v>4.4402751719824893</v>
      </c>
      <c r="K379" s="140">
        <f t="shared" si="49"/>
        <v>4</v>
      </c>
      <c r="L379" s="206">
        <f t="shared" si="50"/>
        <v>2.8169014084507045</v>
      </c>
      <c r="M379" s="8" t="str">
        <f t="array" ref="M379">IF(L379&gt;5,"Perlu Sensus",IF(AND(L379&gt;=0,I379&gt;0),"Tetap Deteksi","Belum Deteksi"))</f>
        <v>Tetap Deteksi</v>
      </c>
      <c r="N379" s="132">
        <v>46249</v>
      </c>
      <c r="O379" s="143">
        <f t="array" ref="O379">INDEX('[21]DETEKSI ROT 2 (2)'!$G$343:$G$622,MATCH(1,('[21]DETEKSI ROT 2 (2)'!$D$343:$D$622=$D379)*('[21]DETEKSI ROT 2 (2)'!$D$343:$D$622=$D379),0))</f>
        <v>142</v>
      </c>
      <c r="P379" s="9">
        <f t="array" ref="P379">IFERROR(O379/G379*100,0)</f>
        <v>4.4402751719824893</v>
      </c>
      <c r="Q379" s="143">
        <f t="array" ref="Q379">INDEX('[21]DETEKSI ROT 2 (2)'!$I$343:$I$622,MATCH(1,('[21]DETEKSI ROT 2 (2)'!$D$343:$D$622=$D379)*('[21]DETEKSI ROT 2 (2)'!$D$343:$D$622=$D379),0))</f>
        <v>4</v>
      </c>
      <c r="R379" s="9">
        <f t="shared" si="52"/>
        <v>2.8169014084507045</v>
      </c>
      <c r="S379" s="8" t="str">
        <f t="array" ref="S379">IF(R379&gt;5,"Perlu Sensus",IF(AND(R379&gt;=0,O379&gt;0),"Tetap Deteksi","Belum Deteksi"))</f>
        <v>Tetap Deteksi</v>
      </c>
      <c r="T379" s="203"/>
      <c r="U379" s="9">
        <f t="shared" si="53"/>
        <v>0</v>
      </c>
      <c r="V379" s="132">
        <v>46249</v>
      </c>
      <c r="W379" s="143">
        <f t="array" ref="W379">INDEX('[21]DETEKSI ROT 2 (2)'!$L$343:$L$622,MATCH(1,('[21]DETEKSI ROT 2 (2)'!$D$343:$D$622=$D379)*('[21]DETEKSI ROT 2 (2)'!$D$343:$D$622=$D379),0))</f>
        <v>129</v>
      </c>
      <c r="X379" s="143">
        <f t="array" ref="X379">INDEX('[21]DETEKSI ROT 2 (2)'!$M$343:$M$622,MATCH(1,('[21]DETEKSI ROT 2 (2)'!$D$343:$D$622=$D379)*('[21]DETEKSI ROT 2 (2)'!$D$343:$D$622=$D379),0))</f>
        <v>2</v>
      </c>
      <c r="Y379" s="9">
        <f t="shared" si="51"/>
        <v>1.5503875968992249</v>
      </c>
      <c r="Z379" s="8" t="str">
        <f t="array" ref="Z379">IF(Y379&gt;5,"Perlu Sensus",IF(AND(Y379&gt;0,,O379&gt;0),"Tetap Deteksi","Belum Deteksi"))</f>
        <v>Belum Deteksi</v>
      </c>
      <c r="AA379" s="203"/>
      <c r="AB379" s="9">
        <f t="shared" si="54"/>
        <v>0</v>
      </c>
    </row>
    <row r="380" spans="1:28" x14ac:dyDescent="0.15">
      <c r="A380" s="8" t="s">
        <v>322</v>
      </c>
      <c r="B380" s="8" t="s">
        <v>79</v>
      </c>
      <c r="C380" s="8" t="s">
        <v>380</v>
      </c>
      <c r="D380" s="8" t="s">
        <v>404</v>
      </c>
      <c r="E380" s="9">
        <v>27.68</v>
      </c>
      <c r="F380" s="8" t="s">
        <v>325</v>
      </c>
      <c r="G380" s="143">
        <v>4067</v>
      </c>
      <c r="H380" s="132">
        <f t="shared" si="55"/>
        <v>46249</v>
      </c>
      <c r="I380" s="140">
        <f t="shared" si="55"/>
        <v>110</v>
      </c>
      <c r="J380" s="9">
        <f t="shared" si="48"/>
        <v>2.7046963363658718</v>
      </c>
      <c r="K380" s="140">
        <f t="shared" si="49"/>
        <v>4</v>
      </c>
      <c r="L380" s="206">
        <f t="shared" si="50"/>
        <v>3.6363636363636362</v>
      </c>
      <c r="M380" s="8" t="str">
        <f t="array" ref="M380">IF(L380&gt;5,"Perlu Sensus",IF(AND(L380&gt;=0,I380&gt;0),"Tetap Deteksi","Belum Deteksi"))</f>
        <v>Tetap Deteksi</v>
      </c>
      <c r="N380" s="132">
        <v>46249</v>
      </c>
      <c r="O380" s="143">
        <f t="array" ref="O380">INDEX('[21]DETEKSI ROT 2 (2)'!$G$343:$G$622,MATCH(1,('[21]DETEKSI ROT 2 (2)'!$D$343:$D$622=$D380)*('[21]DETEKSI ROT 2 (2)'!$D$343:$D$622=$D380),0))</f>
        <v>110</v>
      </c>
      <c r="P380" s="9">
        <f t="array" ref="P380">IFERROR(O380/G380*100,0)</f>
        <v>2.7046963363658718</v>
      </c>
      <c r="Q380" s="143">
        <f t="array" ref="Q380">INDEX('[21]DETEKSI ROT 2 (2)'!$I$343:$I$622,MATCH(1,('[21]DETEKSI ROT 2 (2)'!$D$343:$D$622=$D380)*('[21]DETEKSI ROT 2 (2)'!$D$343:$D$622=$D380),0))</f>
        <v>4</v>
      </c>
      <c r="R380" s="9">
        <f t="shared" si="52"/>
        <v>3.6363636363636362</v>
      </c>
      <c r="S380" s="8" t="str">
        <f t="array" ref="S380">IF(R380&gt;5,"Perlu Sensus",IF(AND(R380&gt;=0,O380&gt;0),"Tetap Deteksi","Belum Deteksi"))</f>
        <v>Tetap Deteksi</v>
      </c>
      <c r="T380" s="203"/>
      <c r="U380" s="9">
        <f t="shared" si="53"/>
        <v>0</v>
      </c>
      <c r="V380" s="132">
        <v>46249</v>
      </c>
      <c r="W380" s="143">
        <f t="array" ref="W380">INDEX('[21]DETEKSI ROT 2 (2)'!$L$343:$L$622,MATCH(1,('[21]DETEKSI ROT 2 (2)'!$D$343:$D$622=$D380)*('[21]DETEKSI ROT 2 (2)'!$D$343:$D$622=$D380),0))</f>
        <v>86</v>
      </c>
      <c r="X380" s="143">
        <f t="array" ref="X380">INDEX('[21]DETEKSI ROT 2 (2)'!$M$343:$M$622,MATCH(1,('[21]DETEKSI ROT 2 (2)'!$D$343:$D$622=$D380)*('[21]DETEKSI ROT 2 (2)'!$D$343:$D$622=$D380),0))</f>
        <v>3</v>
      </c>
      <c r="Y380" s="9">
        <f t="shared" si="51"/>
        <v>3.4883720930232558</v>
      </c>
      <c r="Z380" s="8" t="str">
        <f t="array" ref="Z380">IF(Y380&gt;5,"Perlu Sensus",IF(AND(Y380&gt;0,,O380&gt;0),"Tetap Deteksi","Belum Deteksi"))</f>
        <v>Belum Deteksi</v>
      </c>
      <c r="AA380" s="203"/>
      <c r="AB380" s="9">
        <f t="shared" si="54"/>
        <v>0</v>
      </c>
    </row>
    <row r="381" spans="1:28" x14ac:dyDescent="0.15">
      <c r="A381" s="8" t="s">
        <v>322</v>
      </c>
      <c r="B381" s="8" t="s">
        <v>79</v>
      </c>
      <c r="C381" s="8" t="s">
        <v>380</v>
      </c>
      <c r="D381" s="8" t="s">
        <v>405</v>
      </c>
      <c r="E381" s="9">
        <v>22.62</v>
      </c>
      <c r="F381" s="8" t="s">
        <v>325</v>
      </c>
      <c r="G381" s="143">
        <v>3376</v>
      </c>
      <c r="H381" s="132">
        <f t="shared" si="55"/>
        <v>46249</v>
      </c>
      <c r="I381" s="140">
        <f t="shared" si="55"/>
        <v>113</v>
      </c>
      <c r="J381" s="9">
        <f t="shared" si="48"/>
        <v>3.3471563981042651</v>
      </c>
      <c r="K381" s="140">
        <f t="shared" si="49"/>
        <v>5</v>
      </c>
      <c r="L381" s="206">
        <f t="shared" si="50"/>
        <v>4.4247787610619467</v>
      </c>
      <c r="M381" s="8" t="str">
        <f t="array" ref="M381">IF(L381&gt;5,"Perlu Sensus",IF(AND(L381&gt;=0,I381&gt;0),"Tetap Deteksi","Belum Deteksi"))</f>
        <v>Tetap Deteksi</v>
      </c>
      <c r="N381" s="132">
        <v>46249</v>
      </c>
      <c r="O381" s="143">
        <f t="array" ref="O381">INDEX('[21]DETEKSI ROT 2 (2)'!$G$343:$G$622,MATCH(1,('[21]DETEKSI ROT 2 (2)'!$D$343:$D$622=$D381)*('[21]DETEKSI ROT 2 (2)'!$D$343:$D$622=$D381),0))</f>
        <v>113</v>
      </c>
      <c r="P381" s="9">
        <f t="array" ref="P381">IFERROR(O381/G381*100,0)</f>
        <v>3.3471563981042651</v>
      </c>
      <c r="Q381" s="143">
        <f t="array" ref="Q381">INDEX('[21]DETEKSI ROT 2 (2)'!$I$343:$I$622,MATCH(1,('[21]DETEKSI ROT 2 (2)'!$D$343:$D$622=$D381)*('[21]DETEKSI ROT 2 (2)'!$D$343:$D$622=$D381),0))</f>
        <v>5</v>
      </c>
      <c r="R381" s="9">
        <f t="shared" si="52"/>
        <v>4.4247787610619467</v>
      </c>
      <c r="S381" s="8" t="str">
        <f t="array" ref="S381">IF(R381&gt;5,"Perlu Sensus",IF(AND(R381&gt;=0,O381&gt;0),"Tetap Deteksi","Belum Deteksi"))</f>
        <v>Tetap Deteksi</v>
      </c>
      <c r="T381" s="203"/>
      <c r="U381" s="9">
        <f t="shared" si="53"/>
        <v>0</v>
      </c>
      <c r="V381" s="132">
        <v>46249</v>
      </c>
      <c r="W381" s="143">
        <f t="array" ref="W381">INDEX('[21]DETEKSI ROT 2 (2)'!$L$343:$L$622,MATCH(1,('[21]DETEKSI ROT 2 (2)'!$D$343:$D$622=$D381)*('[21]DETEKSI ROT 2 (2)'!$D$343:$D$622=$D381),0))</f>
        <v>94</v>
      </c>
      <c r="X381" s="143">
        <f t="array" ref="X381">INDEX('[21]DETEKSI ROT 2 (2)'!$M$343:$M$622,MATCH(1,('[21]DETEKSI ROT 2 (2)'!$D$343:$D$622=$D381)*('[21]DETEKSI ROT 2 (2)'!$D$343:$D$622=$D381),0))</f>
        <v>2</v>
      </c>
      <c r="Y381" s="9">
        <f t="shared" si="51"/>
        <v>2.1276595744680851</v>
      </c>
      <c r="Z381" s="8" t="str">
        <f t="array" ref="Z381">IF(Y381&gt;5,"Perlu Sensus",IF(AND(Y381&gt;0,,O381&gt;0),"Tetap Deteksi","Belum Deteksi"))</f>
        <v>Belum Deteksi</v>
      </c>
      <c r="AA381" s="203"/>
      <c r="AB381" s="9">
        <f t="shared" si="54"/>
        <v>0</v>
      </c>
    </row>
    <row r="382" spans="1:28" x14ac:dyDescent="0.15">
      <c r="A382" s="8" t="s">
        <v>322</v>
      </c>
      <c r="B382" s="8" t="s">
        <v>79</v>
      </c>
      <c r="C382" s="8" t="s">
        <v>380</v>
      </c>
      <c r="D382" s="8" t="s">
        <v>406</v>
      </c>
      <c r="E382" s="9">
        <v>26.14</v>
      </c>
      <c r="F382" s="8" t="s">
        <v>325</v>
      </c>
      <c r="G382" s="143">
        <v>3826</v>
      </c>
      <c r="H382" s="132">
        <f t="shared" si="55"/>
        <v>46249</v>
      </c>
      <c r="I382" s="140">
        <f t="shared" si="55"/>
        <v>102</v>
      </c>
      <c r="J382" s="9">
        <f t="shared" si="48"/>
        <v>2.6659696811291167</v>
      </c>
      <c r="K382" s="140">
        <f t="shared" si="49"/>
        <v>3</v>
      </c>
      <c r="L382" s="206">
        <f t="shared" si="50"/>
        <v>2.9411764705882351</v>
      </c>
      <c r="M382" s="8" t="str">
        <f t="array" ref="M382">IF(L382&gt;5,"Perlu Sensus",IF(AND(L382&gt;=0,I382&gt;0),"Tetap Deteksi","Belum Deteksi"))</f>
        <v>Tetap Deteksi</v>
      </c>
      <c r="N382" s="132">
        <v>46249</v>
      </c>
      <c r="O382" s="143">
        <f t="array" ref="O382">INDEX('[21]DETEKSI ROT 2 (2)'!$G$343:$G$622,MATCH(1,('[21]DETEKSI ROT 2 (2)'!$D$343:$D$622=$D382)*('[21]DETEKSI ROT 2 (2)'!$D$343:$D$622=$D382),0))</f>
        <v>102</v>
      </c>
      <c r="P382" s="9">
        <f t="array" ref="P382">IFERROR(O382/G382*100,0)</f>
        <v>2.6659696811291167</v>
      </c>
      <c r="Q382" s="143">
        <f t="array" ref="Q382">INDEX('[21]DETEKSI ROT 2 (2)'!$I$343:$I$622,MATCH(1,('[21]DETEKSI ROT 2 (2)'!$D$343:$D$622=$D382)*('[21]DETEKSI ROT 2 (2)'!$D$343:$D$622=$D382),0))</f>
        <v>3</v>
      </c>
      <c r="R382" s="9">
        <f t="shared" si="52"/>
        <v>2.9411764705882351</v>
      </c>
      <c r="S382" s="8" t="str">
        <f t="array" ref="S382">IF(R382&gt;5,"Perlu Sensus",IF(AND(R382&gt;=0,O382&gt;0),"Tetap Deteksi","Belum Deteksi"))</f>
        <v>Tetap Deteksi</v>
      </c>
      <c r="T382" s="203"/>
      <c r="U382" s="9">
        <f t="shared" si="53"/>
        <v>0</v>
      </c>
      <c r="V382" s="132">
        <v>46249</v>
      </c>
      <c r="W382" s="143">
        <f t="array" ref="W382">INDEX('[21]DETEKSI ROT 2 (2)'!$L$343:$L$622,MATCH(1,('[21]DETEKSI ROT 2 (2)'!$D$343:$D$622=$D382)*('[21]DETEKSI ROT 2 (2)'!$D$343:$D$622=$D382),0))</f>
        <v>74</v>
      </c>
      <c r="X382" s="143">
        <f t="array" ref="X382">INDEX('[21]DETEKSI ROT 2 (2)'!$M$343:$M$622,MATCH(1,('[21]DETEKSI ROT 2 (2)'!$D$343:$D$622=$D382)*('[21]DETEKSI ROT 2 (2)'!$D$343:$D$622=$D382),0))</f>
        <v>4</v>
      </c>
      <c r="Y382" s="9">
        <f t="shared" si="51"/>
        <v>5.4054054054054053</v>
      </c>
      <c r="Z382" s="8" t="str">
        <f t="array" ref="Z382">IF(Y382&gt;5,"Perlu Sensus",IF(AND(Y382&gt;0,,O382&gt;0),"Tetap Deteksi","Belum Deteksi"))</f>
        <v>Perlu Sensus</v>
      </c>
      <c r="AA382" s="203"/>
      <c r="AB382" s="9">
        <f t="shared" si="54"/>
        <v>0</v>
      </c>
    </row>
    <row r="383" spans="1:28" x14ac:dyDescent="0.15">
      <c r="A383" s="8" t="s">
        <v>322</v>
      </c>
      <c r="B383" s="8" t="s">
        <v>79</v>
      </c>
      <c r="C383" s="8" t="s">
        <v>380</v>
      </c>
      <c r="D383" s="8" t="s">
        <v>407</v>
      </c>
      <c r="E383" s="9">
        <v>21.32</v>
      </c>
      <c r="F383" s="8" t="s">
        <v>325</v>
      </c>
      <c r="G383" s="143">
        <v>3673</v>
      </c>
      <c r="H383" s="132">
        <f t="shared" si="55"/>
        <v>46249</v>
      </c>
      <c r="I383" s="140">
        <f t="shared" si="55"/>
        <v>99</v>
      </c>
      <c r="J383" s="9">
        <f t="shared" si="48"/>
        <v>2.6953444051184317</v>
      </c>
      <c r="K383" s="140">
        <f t="shared" si="49"/>
        <v>2</v>
      </c>
      <c r="L383" s="206">
        <f t="shared" si="50"/>
        <v>2.0202020202020203</v>
      </c>
      <c r="M383" s="8" t="str">
        <f t="array" ref="M383">IF(L383&gt;5,"Perlu Sensus",IF(AND(L383&gt;=0,I383&gt;0),"Tetap Deteksi","Belum Deteksi"))</f>
        <v>Tetap Deteksi</v>
      </c>
      <c r="N383" s="132">
        <v>46249</v>
      </c>
      <c r="O383" s="143">
        <f t="array" ref="O383">INDEX('[21]DETEKSI ROT 2 (2)'!$G$343:$G$622,MATCH(1,('[21]DETEKSI ROT 2 (2)'!$D$343:$D$622=$D383)*('[21]DETEKSI ROT 2 (2)'!$D$343:$D$622=$D383),0))</f>
        <v>99</v>
      </c>
      <c r="P383" s="9">
        <f t="array" ref="P383">IFERROR(O383/G383*100,0)</f>
        <v>2.6953444051184317</v>
      </c>
      <c r="Q383" s="143">
        <f t="array" ref="Q383">INDEX('[21]DETEKSI ROT 2 (2)'!$I$343:$I$622,MATCH(1,('[21]DETEKSI ROT 2 (2)'!$D$343:$D$622=$D383)*('[21]DETEKSI ROT 2 (2)'!$D$343:$D$622=$D383),0))</f>
        <v>2</v>
      </c>
      <c r="R383" s="9">
        <f t="shared" si="52"/>
        <v>2.0202020202020203</v>
      </c>
      <c r="S383" s="8" t="str">
        <f t="array" ref="S383">IF(R383&gt;5,"Perlu Sensus",IF(AND(R383&gt;=0,O383&gt;0),"Tetap Deteksi","Belum Deteksi"))</f>
        <v>Tetap Deteksi</v>
      </c>
      <c r="T383" s="203"/>
      <c r="U383" s="9">
        <f t="shared" si="53"/>
        <v>0</v>
      </c>
      <c r="V383" s="132">
        <v>46249</v>
      </c>
      <c r="W383" s="143">
        <f t="array" ref="W383">INDEX('[21]DETEKSI ROT 2 (2)'!$L$343:$L$622,MATCH(1,('[21]DETEKSI ROT 2 (2)'!$D$343:$D$622=$D383)*('[21]DETEKSI ROT 2 (2)'!$D$343:$D$622=$D383),0))</f>
        <v>142</v>
      </c>
      <c r="X383" s="143">
        <f t="array" ref="X383">INDEX('[21]DETEKSI ROT 2 (2)'!$M$343:$M$622,MATCH(1,('[21]DETEKSI ROT 2 (2)'!$D$343:$D$622=$D383)*('[21]DETEKSI ROT 2 (2)'!$D$343:$D$622=$D383),0))</f>
        <v>3</v>
      </c>
      <c r="Y383" s="9">
        <f t="shared" si="51"/>
        <v>2.112676056338028</v>
      </c>
      <c r="Z383" s="8" t="str">
        <f t="array" ref="Z383">IF(Y383&gt;5,"Perlu Sensus",IF(AND(Y383&gt;0,,O383&gt;0),"Tetap Deteksi","Belum Deteksi"))</f>
        <v>Belum Deteksi</v>
      </c>
      <c r="AA383" s="203"/>
      <c r="AB383" s="9">
        <f t="shared" si="54"/>
        <v>0</v>
      </c>
    </row>
    <row r="384" spans="1:28" x14ac:dyDescent="0.15">
      <c r="A384" s="8" t="s">
        <v>322</v>
      </c>
      <c r="B384" s="8" t="s">
        <v>79</v>
      </c>
      <c r="C384" s="8" t="s">
        <v>380</v>
      </c>
      <c r="D384" s="8" t="s">
        <v>408</v>
      </c>
      <c r="E384" s="9">
        <v>25.85</v>
      </c>
      <c r="F384" s="8" t="s">
        <v>325</v>
      </c>
      <c r="G384" s="143">
        <v>3911</v>
      </c>
      <c r="H384" s="132">
        <f t="shared" si="55"/>
        <v>46249</v>
      </c>
      <c r="I384" s="140">
        <f t="shared" si="55"/>
        <v>152</v>
      </c>
      <c r="J384" s="9">
        <f t="shared" si="48"/>
        <v>3.8864740475581696</v>
      </c>
      <c r="K384" s="140">
        <f t="shared" si="49"/>
        <v>4</v>
      </c>
      <c r="L384" s="206">
        <f t="shared" si="50"/>
        <v>2.6315789473684208</v>
      </c>
      <c r="M384" s="8" t="str">
        <f t="array" ref="M384">IF(L384&gt;5,"Perlu Sensus",IF(AND(L384&gt;=0,I384&gt;0),"Tetap Deteksi","Belum Deteksi"))</f>
        <v>Tetap Deteksi</v>
      </c>
      <c r="N384" s="132">
        <v>46249</v>
      </c>
      <c r="O384" s="143">
        <f t="array" ref="O384">INDEX('[21]DETEKSI ROT 2 (2)'!$G$343:$G$622,MATCH(1,('[21]DETEKSI ROT 2 (2)'!$D$343:$D$622=$D384)*('[21]DETEKSI ROT 2 (2)'!$D$343:$D$622=$D384),0))</f>
        <v>152</v>
      </c>
      <c r="P384" s="9">
        <f t="array" ref="P384">IFERROR(O384/G384*100,0)</f>
        <v>3.8864740475581696</v>
      </c>
      <c r="Q384" s="143">
        <f t="array" ref="Q384">INDEX('[21]DETEKSI ROT 2 (2)'!$I$343:$I$622,MATCH(1,('[21]DETEKSI ROT 2 (2)'!$D$343:$D$622=$D384)*('[21]DETEKSI ROT 2 (2)'!$D$343:$D$622=$D384),0))</f>
        <v>4</v>
      </c>
      <c r="R384" s="9">
        <f t="shared" si="52"/>
        <v>2.6315789473684208</v>
      </c>
      <c r="S384" s="8" t="str">
        <f t="array" ref="S384">IF(R384&gt;5,"Perlu Sensus",IF(AND(R384&gt;=0,O384&gt;0),"Tetap Deteksi","Belum Deteksi"))</f>
        <v>Tetap Deteksi</v>
      </c>
      <c r="T384" s="203"/>
      <c r="U384" s="9">
        <f t="shared" si="53"/>
        <v>0</v>
      </c>
      <c r="V384" s="132">
        <v>46249</v>
      </c>
      <c r="W384" s="143">
        <f t="array" ref="W384">INDEX('[21]DETEKSI ROT 2 (2)'!$L$343:$L$622,MATCH(1,('[21]DETEKSI ROT 2 (2)'!$D$343:$D$622=$D384)*('[21]DETEKSI ROT 2 (2)'!$D$343:$D$622=$D384),0))</f>
        <v>102</v>
      </c>
      <c r="X384" s="143">
        <f t="array" ref="X384">INDEX('[21]DETEKSI ROT 2 (2)'!$M$343:$M$622,MATCH(1,('[21]DETEKSI ROT 2 (2)'!$D$343:$D$622=$D384)*('[21]DETEKSI ROT 2 (2)'!$D$343:$D$622=$D384),0))</f>
        <v>1</v>
      </c>
      <c r="Y384" s="9">
        <f t="shared" si="51"/>
        <v>0.98039215686274506</v>
      </c>
      <c r="Z384" s="8" t="str">
        <f t="array" ref="Z384">IF(Y384&gt;5,"Perlu Sensus",IF(AND(Y384&gt;0,,O384&gt;0),"Tetap Deteksi","Belum Deteksi"))</f>
        <v>Belum Deteksi</v>
      </c>
      <c r="AA384" s="203"/>
      <c r="AB384" s="9">
        <f t="shared" si="54"/>
        <v>0</v>
      </c>
    </row>
    <row r="385" spans="1:28" x14ac:dyDescent="0.15">
      <c r="A385" s="8" t="s">
        <v>322</v>
      </c>
      <c r="B385" s="8" t="s">
        <v>79</v>
      </c>
      <c r="C385" s="8" t="s">
        <v>380</v>
      </c>
      <c r="D385" s="8" t="s">
        <v>409</v>
      </c>
      <c r="E385" s="9">
        <v>26.86</v>
      </c>
      <c r="F385" s="8" t="s">
        <v>325</v>
      </c>
      <c r="G385" s="143">
        <v>3935</v>
      </c>
      <c r="H385" s="132">
        <f t="shared" si="55"/>
        <v>46249</v>
      </c>
      <c r="I385" s="140">
        <f t="shared" si="55"/>
        <v>112</v>
      </c>
      <c r="J385" s="9">
        <f t="shared" si="48"/>
        <v>2.8462515883100381</v>
      </c>
      <c r="K385" s="140">
        <f t="shared" si="49"/>
        <v>5</v>
      </c>
      <c r="L385" s="206">
        <f t="shared" si="50"/>
        <v>4.4642857142857144</v>
      </c>
      <c r="M385" s="8" t="str">
        <f t="array" ref="M385">IF(L385&gt;5,"Perlu Sensus",IF(AND(L385&gt;=0,I385&gt;0),"Tetap Deteksi","Belum Deteksi"))</f>
        <v>Tetap Deteksi</v>
      </c>
      <c r="N385" s="132">
        <v>46249</v>
      </c>
      <c r="O385" s="143">
        <f t="array" ref="O385">INDEX('[21]DETEKSI ROT 2 (2)'!$G$343:$G$622,MATCH(1,('[21]DETEKSI ROT 2 (2)'!$D$343:$D$622=$D385)*('[21]DETEKSI ROT 2 (2)'!$D$343:$D$622=$D385),0))</f>
        <v>112</v>
      </c>
      <c r="P385" s="9">
        <f t="array" ref="P385">IFERROR(O385/G385*100,0)</f>
        <v>2.8462515883100381</v>
      </c>
      <c r="Q385" s="143">
        <f t="array" ref="Q385">INDEX('[21]DETEKSI ROT 2 (2)'!$I$343:$I$622,MATCH(1,('[21]DETEKSI ROT 2 (2)'!$D$343:$D$622=$D385)*('[21]DETEKSI ROT 2 (2)'!$D$343:$D$622=$D385),0))</f>
        <v>5</v>
      </c>
      <c r="R385" s="9">
        <f t="shared" si="52"/>
        <v>4.4642857142857144</v>
      </c>
      <c r="S385" s="8" t="str">
        <f t="array" ref="S385">IF(R385&gt;5,"Perlu Sensus",IF(AND(R385&gt;=0,O385&gt;0),"Tetap Deteksi","Belum Deteksi"))</f>
        <v>Tetap Deteksi</v>
      </c>
      <c r="T385" s="203"/>
      <c r="U385" s="9">
        <f t="shared" si="53"/>
        <v>0</v>
      </c>
      <c r="V385" s="132">
        <v>46249</v>
      </c>
      <c r="W385" s="143">
        <f t="array" ref="W385">INDEX('[21]DETEKSI ROT 2 (2)'!$L$343:$L$622,MATCH(1,('[21]DETEKSI ROT 2 (2)'!$D$343:$D$622=$D385)*('[21]DETEKSI ROT 2 (2)'!$D$343:$D$622=$D385),0))</f>
        <v>89</v>
      </c>
      <c r="X385" s="143">
        <f t="array" ref="X385">INDEX('[21]DETEKSI ROT 2 (2)'!$M$343:$M$622,MATCH(1,('[21]DETEKSI ROT 2 (2)'!$D$343:$D$622=$D385)*('[21]DETEKSI ROT 2 (2)'!$D$343:$D$622=$D385),0))</f>
        <v>5</v>
      </c>
      <c r="Y385" s="9">
        <f t="shared" si="51"/>
        <v>5.6179775280898872</v>
      </c>
      <c r="Z385" s="8" t="str">
        <f t="array" ref="Z385">IF(Y385&gt;5,"Perlu Sensus",IF(AND(Y385&gt;0,,O385&gt;0),"Tetap Deteksi","Belum Deteksi"))</f>
        <v>Perlu Sensus</v>
      </c>
      <c r="AA385" s="203"/>
      <c r="AB385" s="9">
        <f t="shared" si="54"/>
        <v>0</v>
      </c>
    </row>
    <row r="386" spans="1:28" x14ac:dyDescent="0.15">
      <c r="A386" s="8" t="s">
        <v>322</v>
      </c>
      <c r="B386" s="8" t="s">
        <v>79</v>
      </c>
      <c r="C386" s="8" t="s">
        <v>380</v>
      </c>
      <c r="D386" s="8" t="s">
        <v>410</v>
      </c>
      <c r="E386" s="9">
        <v>22.49</v>
      </c>
      <c r="F386" s="8" t="s">
        <v>325</v>
      </c>
      <c r="G386" s="143">
        <v>3261</v>
      </c>
      <c r="H386" s="132">
        <f t="shared" si="55"/>
        <v>46249</v>
      </c>
      <c r="I386" s="140">
        <f t="shared" si="55"/>
        <v>109</v>
      </c>
      <c r="J386" s="9">
        <f t="shared" si="48"/>
        <v>3.3425329653480529</v>
      </c>
      <c r="K386" s="140">
        <f t="shared" si="49"/>
        <v>4</v>
      </c>
      <c r="L386" s="206">
        <f t="shared" si="50"/>
        <v>3.669724770642202</v>
      </c>
      <c r="M386" s="8" t="str">
        <f t="array" ref="M386">IF(L386&gt;5,"Perlu Sensus",IF(AND(L386&gt;=0,I386&gt;0),"Tetap Deteksi","Belum Deteksi"))</f>
        <v>Tetap Deteksi</v>
      </c>
      <c r="N386" s="132">
        <v>46249</v>
      </c>
      <c r="O386" s="143">
        <f t="array" ref="O386">INDEX('[21]DETEKSI ROT 2 (2)'!$G$343:$G$622,MATCH(1,('[21]DETEKSI ROT 2 (2)'!$D$343:$D$622=$D386)*('[21]DETEKSI ROT 2 (2)'!$D$343:$D$622=$D386),0))</f>
        <v>109</v>
      </c>
      <c r="P386" s="9">
        <f t="array" ref="P386">IFERROR(O386/G386*100,0)</f>
        <v>3.3425329653480529</v>
      </c>
      <c r="Q386" s="143">
        <f t="array" ref="Q386">INDEX('[21]DETEKSI ROT 2 (2)'!$I$343:$I$622,MATCH(1,('[21]DETEKSI ROT 2 (2)'!$D$343:$D$622=$D386)*('[21]DETEKSI ROT 2 (2)'!$D$343:$D$622=$D386),0))</f>
        <v>4</v>
      </c>
      <c r="R386" s="9">
        <f t="shared" si="52"/>
        <v>3.669724770642202</v>
      </c>
      <c r="S386" s="8" t="str">
        <f t="array" ref="S386">IF(R386&gt;5,"Perlu Sensus",IF(AND(R386&gt;=0,O386&gt;0),"Tetap Deteksi","Belum Deteksi"))</f>
        <v>Tetap Deteksi</v>
      </c>
      <c r="T386" s="203"/>
      <c r="U386" s="9">
        <f t="shared" si="53"/>
        <v>0</v>
      </c>
      <c r="V386" s="132">
        <v>46249</v>
      </c>
      <c r="W386" s="143">
        <f t="array" ref="W386">INDEX('[21]DETEKSI ROT 2 (2)'!$L$343:$L$622,MATCH(1,('[21]DETEKSI ROT 2 (2)'!$D$343:$D$622=$D386)*('[21]DETEKSI ROT 2 (2)'!$D$343:$D$622=$D386),0))</f>
        <v>102</v>
      </c>
      <c r="X386" s="143">
        <f t="array" ref="X386">INDEX('[21]DETEKSI ROT 2 (2)'!$M$343:$M$622,MATCH(1,('[21]DETEKSI ROT 2 (2)'!$D$343:$D$622=$D386)*('[21]DETEKSI ROT 2 (2)'!$D$343:$D$622=$D386),0))</f>
        <v>3</v>
      </c>
      <c r="Y386" s="9">
        <f t="shared" si="51"/>
        <v>2.9411764705882351</v>
      </c>
      <c r="Z386" s="8" t="str">
        <f t="array" ref="Z386">IF(Y386&gt;5,"Perlu Sensus",IF(AND(Y386&gt;0,,O386&gt;0),"Tetap Deteksi","Belum Deteksi"))</f>
        <v>Belum Deteksi</v>
      </c>
      <c r="AA386" s="203"/>
      <c r="AB386" s="9">
        <f t="shared" si="54"/>
        <v>0</v>
      </c>
    </row>
    <row r="387" spans="1:28" x14ac:dyDescent="0.15">
      <c r="A387" s="8" t="s">
        <v>322</v>
      </c>
      <c r="B387" s="8" t="s">
        <v>79</v>
      </c>
      <c r="C387" s="8" t="s">
        <v>380</v>
      </c>
      <c r="D387" s="8" t="s">
        <v>411</v>
      </c>
      <c r="E387" s="9">
        <v>26.03</v>
      </c>
      <c r="F387" s="8" t="s">
        <v>325</v>
      </c>
      <c r="G387" s="143">
        <v>3652</v>
      </c>
      <c r="H387" s="132">
        <f t="shared" si="55"/>
        <v>46249</v>
      </c>
      <c r="I387" s="140">
        <f t="shared" si="55"/>
        <v>100</v>
      </c>
      <c r="J387" s="9">
        <f t="shared" si="48"/>
        <v>2.7382256297918945</v>
      </c>
      <c r="K387" s="140">
        <f t="shared" si="49"/>
        <v>5</v>
      </c>
      <c r="L387" s="206">
        <f t="shared" si="50"/>
        <v>5</v>
      </c>
      <c r="M387" s="8" t="str">
        <f t="array" ref="M387">IF(L387&gt;5,"Perlu Sensus",IF(AND(L387&gt;=0,I387&gt;0),"Tetap Deteksi","Belum Deteksi"))</f>
        <v>Tetap Deteksi</v>
      </c>
      <c r="N387" s="132">
        <v>46249</v>
      </c>
      <c r="O387" s="143">
        <f t="array" ref="O387">INDEX('[21]DETEKSI ROT 2 (2)'!$G$343:$G$622,MATCH(1,('[21]DETEKSI ROT 2 (2)'!$D$343:$D$622=$D387)*('[21]DETEKSI ROT 2 (2)'!$D$343:$D$622=$D387),0))</f>
        <v>100</v>
      </c>
      <c r="P387" s="9">
        <f t="array" ref="P387">IFERROR(O387/G387*100,0)</f>
        <v>2.7382256297918945</v>
      </c>
      <c r="Q387" s="143">
        <f t="array" ref="Q387">INDEX('[21]DETEKSI ROT 2 (2)'!$I$343:$I$622,MATCH(1,('[21]DETEKSI ROT 2 (2)'!$D$343:$D$622=$D387)*('[21]DETEKSI ROT 2 (2)'!$D$343:$D$622=$D387),0))</f>
        <v>5</v>
      </c>
      <c r="R387" s="9">
        <f t="shared" si="52"/>
        <v>5</v>
      </c>
      <c r="S387" s="8" t="str">
        <f t="array" ref="S387">IF(R387&gt;5,"Perlu Sensus",IF(AND(R387&gt;=0,O387&gt;0),"Tetap Deteksi","Belum Deteksi"))</f>
        <v>Tetap Deteksi</v>
      </c>
      <c r="T387" s="203"/>
      <c r="U387" s="9">
        <f t="shared" si="53"/>
        <v>0</v>
      </c>
      <c r="V387" s="132">
        <v>46249</v>
      </c>
      <c r="W387" s="143">
        <f t="array" ref="W387">INDEX('[21]DETEKSI ROT 2 (2)'!$L$343:$L$622,MATCH(1,('[21]DETEKSI ROT 2 (2)'!$D$343:$D$622=$D387)*('[21]DETEKSI ROT 2 (2)'!$D$343:$D$622=$D387),0))</f>
        <v>93</v>
      </c>
      <c r="X387" s="143">
        <f t="array" ref="X387">INDEX('[21]DETEKSI ROT 2 (2)'!$M$343:$M$622,MATCH(1,('[21]DETEKSI ROT 2 (2)'!$D$343:$D$622=$D387)*('[21]DETEKSI ROT 2 (2)'!$D$343:$D$622=$D387),0))</f>
        <v>4</v>
      </c>
      <c r="Y387" s="9">
        <f t="shared" si="51"/>
        <v>4.3010752688172049</v>
      </c>
      <c r="Z387" s="8" t="str">
        <f t="array" ref="Z387">IF(Y387&gt;5,"Perlu Sensus",IF(AND(Y387&gt;0,,O387&gt;0),"Tetap Deteksi","Belum Deteksi"))</f>
        <v>Belum Deteksi</v>
      </c>
      <c r="AA387" s="203"/>
      <c r="AB387" s="9">
        <f t="shared" si="54"/>
        <v>0</v>
      </c>
    </row>
    <row r="388" spans="1:28" x14ac:dyDescent="0.15">
      <c r="A388" s="8" t="s">
        <v>322</v>
      </c>
      <c r="B388" s="8" t="s">
        <v>79</v>
      </c>
      <c r="C388" s="8" t="s">
        <v>380</v>
      </c>
      <c r="D388" s="8" t="s">
        <v>412</v>
      </c>
      <c r="E388" s="9">
        <v>21.37</v>
      </c>
      <c r="F388" s="8" t="s">
        <v>325</v>
      </c>
      <c r="G388" s="143">
        <v>3074</v>
      </c>
      <c r="H388" s="132">
        <f t="shared" si="55"/>
        <v>46249</v>
      </c>
      <c r="I388" s="140">
        <f t="shared" si="55"/>
        <v>98</v>
      </c>
      <c r="J388" s="9">
        <f t="shared" si="48"/>
        <v>3.1880286271958358</v>
      </c>
      <c r="K388" s="140">
        <f t="shared" si="49"/>
        <v>6</v>
      </c>
      <c r="L388" s="206">
        <f t="shared" si="50"/>
        <v>6.1224489795918364</v>
      </c>
      <c r="M388" s="8" t="str">
        <f t="array" ref="M388">IF(L388&gt;5,"Perlu Sensus",IF(AND(L388&gt;=0,I388&gt;0),"Tetap Deteksi","Belum Deteksi"))</f>
        <v>Perlu Sensus</v>
      </c>
      <c r="N388" s="132">
        <v>46249</v>
      </c>
      <c r="O388" s="143">
        <f t="array" ref="O388">INDEX('[21]DETEKSI ROT 2 (2)'!$G$343:$G$622,MATCH(1,('[21]DETEKSI ROT 2 (2)'!$D$343:$D$622=$D388)*('[21]DETEKSI ROT 2 (2)'!$D$343:$D$622=$D388),0))</f>
        <v>98</v>
      </c>
      <c r="P388" s="9">
        <f t="array" ref="P388">IFERROR(O388/G388*100,0)</f>
        <v>3.1880286271958358</v>
      </c>
      <c r="Q388" s="143">
        <f t="array" ref="Q388">INDEX('[21]DETEKSI ROT 2 (2)'!$I$343:$I$622,MATCH(1,('[21]DETEKSI ROT 2 (2)'!$D$343:$D$622=$D388)*('[21]DETEKSI ROT 2 (2)'!$D$343:$D$622=$D388),0))</f>
        <v>6</v>
      </c>
      <c r="R388" s="9">
        <f t="shared" si="52"/>
        <v>6.1224489795918364</v>
      </c>
      <c r="S388" s="8" t="str">
        <f t="array" ref="S388">IF(R388&gt;5,"Perlu Sensus",IF(AND(R388&gt;=0,O388&gt;0),"Tetap Deteksi","Belum Deteksi"))</f>
        <v>Perlu Sensus</v>
      </c>
      <c r="T388" s="203"/>
      <c r="U388" s="9">
        <f t="shared" si="53"/>
        <v>0</v>
      </c>
      <c r="V388" s="132">
        <v>46249</v>
      </c>
      <c r="W388" s="143">
        <f t="array" ref="W388">INDEX('[21]DETEKSI ROT 2 (2)'!$L$343:$L$622,MATCH(1,('[21]DETEKSI ROT 2 (2)'!$D$343:$D$622=$D388)*('[21]DETEKSI ROT 2 (2)'!$D$343:$D$622=$D388),0))</f>
        <v>58</v>
      </c>
      <c r="X388" s="143">
        <f t="array" ref="X388">INDEX('[21]DETEKSI ROT 2 (2)'!$M$343:$M$622,MATCH(1,('[21]DETEKSI ROT 2 (2)'!$D$343:$D$622=$D388)*('[21]DETEKSI ROT 2 (2)'!$D$343:$D$622=$D388),0))</f>
        <v>5</v>
      </c>
      <c r="Y388" s="9">
        <f t="shared" si="51"/>
        <v>8.6206896551724146</v>
      </c>
      <c r="Z388" s="8" t="str">
        <f t="array" ref="Z388">IF(Y388&gt;5,"Perlu Sensus",IF(AND(Y388&gt;0,,O388&gt;0),"Tetap Deteksi","Belum Deteksi"))</f>
        <v>Perlu Sensus</v>
      </c>
      <c r="AA388" s="203"/>
      <c r="AB388" s="9">
        <f t="shared" si="54"/>
        <v>0</v>
      </c>
    </row>
    <row r="389" spans="1:28" x14ac:dyDescent="0.15">
      <c r="A389" s="8" t="s">
        <v>322</v>
      </c>
      <c r="B389" s="8" t="s">
        <v>79</v>
      </c>
      <c r="C389" s="8" t="s">
        <v>380</v>
      </c>
      <c r="D389" s="8" t="s">
        <v>413</v>
      </c>
      <c r="E389" s="9">
        <v>28.43</v>
      </c>
      <c r="F389" s="8" t="s">
        <v>325</v>
      </c>
      <c r="G389" s="143">
        <v>4061</v>
      </c>
      <c r="H389" s="132">
        <f t="shared" si="55"/>
        <v>46249</v>
      </c>
      <c r="I389" s="140">
        <f t="shared" si="55"/>
        <v>112</v>
      </c>
      <c r="J389" s="9">
        <f t="shared" si="48"/>
        <v>2.7579413937453832</v>
      </c>
      <c r="K389" s="140">
        <f t="shared" si="49"/>
        <v>4</v>
      </c>
      <c r="L389" s="206">
        <f t="shared" si="50"/>
        <v>3.5714285714285712</v>
      </c>
      <c r="M389" s="8" t="str">
        <f t="array" ref="M389">IF(L389&gt;5,"Perlu Sensus",IF(AND(L389&gt;=0,I389&gt;0),"Tetap Deteksi","Belum Deteksi"))</f>
        <v>Tetap Deteksi</v>
      </c>
      <c r="N389" s="132">
        <v>46249</v>
      </c>
      <c r="O389" s="143">
        <f t="array" ref="O389">INDEX('[21]DETEKSI ROT 2 (2)'!$G$343:$G$622,MATCH(1,('[21]DETEKSI ROT 2 (2)'!$D$343:$D$622=$D389)*('[21]DETEKSI ROT 2 (2)'!$D$343:$D$622=$D389),0))</f>
        <v>112</v>
      </c>
      <c r="P389" s="9">
        <f t="array" ref="P389">IFERROR(O389/G389*100,0)</f>
        <v>2.7579413937453832</v>
      </c>
      <c r="Q389" s="143">
        <f t="array" ref="Q389">INDEX('[21]DETEKSI ROT 2 (2)'!$I$343:$I$622,MATCH(1,('[21]DETEKSI ROT 2 (2)'!$D$343:$D$622=$D389)*('[21]DETEKSI ROT 2 (2)'!$D$343:$D$622=$D389),0))</f>
        <v>4</v>
      </c>
      <c r="R389" s="9">
        <f t="shared" si="52"/>
        <v>3.5714285714285712</v>
      </c>
      <c r="S389" s="8" t="str">
        <f t="array" ref="S389">IF(R389&gt;5,"Perlu Sensus",IF(AND(R389&gt;=0,O389&gt;0),"Tetap Deteksi","Belum Deteksi"))</f>
        <v>Tetap Deteksi</v>
      </c>
      <c r="T389" s="203"/>
      <c r="U389" s="9">
        <f t="shared" si="53"/>
        <v>0</v>
      </c>
      <c r="V389" s="132">
        <v>46249</v>
      </c>
      <c r="W389" s="143">
        <f t="array" ref="W389">INDEX('[21]DETEKSI ROT 2 (2)'!$L$343:$L$622,MATCH(1,('[21]DETEKSI ROT 2 (2)'!$D$343:$D$622=$D389)*('[21]DETEKSI ROT 2 (2)'!$D$343:$D$622=$D389),0))</f>
        <v>65</v>
      </c>
      <c r="X389" s="143">
        <f t="array" ref="X389">INDEX('[21]DETEKSI ROT 2 (2)'!$M$343:$M$622,MATCH(1,('[21]DETEKSI ROT 2 (2)'!$D$343:$D$622=$D389)*('[21]DETEKSI ROT 2 (2)'!$D$343:$D$622=$D389),0))</f>
        <v>4</v>
      </c>
      <c r="Y389" s="9">
        <f t="shared" si="51"/>
        <v>6.1538461538461542</v>
      </c>
      <c r="Z389" s="8" t="str">
        <f t="array" ref="Z389">IF(Y389&gt;5,"Perlu Sensus",IF(AND(Y389&gt;0,,O389&gt;0),"Tetap Deteksi","Belum Deteksi"))</f>
        <v>Perlu Sensus</v>
      </c>
      <c r="AA389" s="203"/>
      <c r="AB389" s="9">
        <f t="shared" si="54"/>
        <v>0</v>
      </c>
    </row>
    <row r="390" spans="1:28" x14ac:dyDescent="0.15">
      <c r="A390" s="8" t="s">
        <v>322</v>
      </c>
      <c r="B390" s="8" t="s">
        <v>79</v>
      </c>
      <c r="C390" s="8" t="s">
        <v>380</v>
      </c>
      <c r="D390" s="8" t="s">
        <v>414</v>
      </c>
      <c r="E390" s="9">
        <v>25.12</v>
      </c>
      <c r="F390" s="8" t="s">
        <v>325</v>
      </c>
      <c r="G390" s="143">
        <v>3501</v>
      </c>
      <c r="H390" s="132">
        <f t="shared" si="55"/>
        <v>46249</v>
      </c>
      <c r="I390" s="140">
        <f t="shared" si="55"/>
        <v>154</v>
      </c>
      <c r="J390" s="9">
        <f t="shared" ref="J390:J435" si="56">IF(P390&gt;0,P390," ")</f>
        <v>4.3987432162239362</v>
      </c>
      <c r="K390" s="140">
        <f t="shared" ref="K390:K435" si="57">IF(Q390&gt;0,Q390,X390)</f>
        <v>6</v>
      </c>
      <c r="L390" s="206">
        <f t="shared" ref="L390:L435" si="58">IFERROR(K390/I390*100,0)</f>
        <v>3.8961038961038961</v>
      </c>
      <c r="M390" s="8" t="str">
        <f t="array" ref="M390">IF(L390&gt;5,"Perlu Sensus",IF(AND(L390&gt;=0,I390&gt;0),"Tetap Deteksi","Belum Deteksi"))</f>
        <v>Tetap Deteksi</v>
      </c>
      <c r="N390" s="132">
        <v>46249</v>
      </c>
      <c r="O390" s="143">
        <f t="array" ref="O390">INDEX('[21]DETEKSI ROT 2 (2)'!$G$343:$G$622,MATCH(1,('[21]DETEKSI ROT 2 (2)'!$D$343:$D$622=$D390)*('[21]DETEKSI ROT 2 (2)'!$D$343:$D$622=$D390),0))</f>
        <v>154</v>
      </c>
      <c r="P390" s="9">
        <f t="array" ref="P390">IFERROR(O390/G390*100,0)</f>
        <v>4.3987432162239362</v>
      </c>
      <c r="Q390" s="143">
        <f t="array" ref="Q390">INDEX('[21]DETEKSI ROT 2 (2)'!$I$343:$I$622,MATCH(1,('[21]DETEKSI ROT 2 (2)'!$D$343:$D$622=$D390)*('[21]DETEKSI ROT 2 (2)'!$D$343:$D$622=$D390),0))</f>
        <v>6</v>
      </c>
      <c r="R390" s="9">
        <f t="shared" si="52"/>
        <v>3.8961038961038961</v>
      </c>
      <c r="S390" s="8" t="str">
        <f t="array" ref="S390">IF(R390&gt;5,"Perlu Sensus",IF(AND(R390&gt;=0,O390&gt;0),"Tetap Deteksi","Belum Deteksi"))</f>
        <v>Tetap Deteksi</v>
      </c>
      <c r="T390" s="203"/>
      <c r="U390" s="9">
        <f t="shared" si="53"/>
        <v>0</v>
      </c>
      <c r="V390" s="132">
        <v>46249</v>
      </c>
      <c r="W390" s="143">
        <f t="array" ref="W390">INDEX('[21]DETEKSI ROT 2 (2)'!$L$343:$L$622,MATCH(1,('[21]DETEKSI ROT 2 (2)'!$D$343:$D$622=$D390)*('[21]DETEKSI ROT 2 (2)'!$D$343:$D$622=$D390),0))</f>
        <v>78</v>
      </c>
      <c r="X390" s="143">
        <f t="array" ref="X390">INDEX('[21]DETEKSI ROT 2 (2)'!$M$343:$M$622,MATCH(1,('[21]DETEKSI ROT 2 (2)'!$D$343:$D$622=$D390)*('[21]DETEKSI ROT 2 (2)'!$D$343:$D$622=$D390),0))</f>
        <v>3</v>
      </c>
      <c r="Y390" s="9">
        <f t="shared" ref="Y390:Y435" si="59">IFERROR(X390/W390*100,0)</f>
        <v>3.8461538461538463</v>
      </c>
      <c r="Z390" s="8" t="str">
        <f t="array" ref="Z390">IF(Y390&gt;5,"Perlu Sensus",IF(AND(Y390&gt;0,,O390&gt;0),"Tetap Deteksi","Belum Deteksi"))</f>
        <v>Belum Deteksi</v>
      </c>
      <c r="AA390" s="203"/>
      <c r="AB390" s="9">
        <f t="shared" si="54"/>
        <v>0</v>
      </c>
    </row>
    <row r="391" spans="1:28" x14ac:dyDescent="0.15">
      <c r="A391" s="8" t="s">
        <v>322</v>
      </c>
      <c r="B391" s="8" t="s">
        <v>79</v>
      </c>
      <c r="C391" s="8" t="s">
        <v>380</v>
      </c>
      <c r="D391" s="8" t="s">
        <v>415</v>
      </c>
      <c r="E391" s="9">
        <v>44.65</v>
      </c>
      <c r="F391" s="8" t="s">
        <v>325</v>
      </c>
      <c r="G391" s="143">
        <v>6443</v>
      </c>
      <c r="H391" s="132">
        <f t="shared" si="55"/>
        <v>46249</v>
      </c>
      <c r="I391" s="140">
        <f t="shared" si="55"/>
        <v>129</v>
      </c>
      <c r="J391" s="9">
        <f t="shared" si="56"/>
        <v>2.0021729008225981</v>
      </c>
      <c r="K391" s="140">
        <f t="shared" si="57"/>
        <v>5</v>
      </c>
      <c r="L391" s="206">
        <f t="shared" si="58"/>
        <v>3.8759689922480618</v>
      </c>
      <c r="M391" s="8" t="str">
        <f t="array" ref="M391">IF(L391&gt;5,"Perlu Sensus",IF(AND(L391&gt;=0,I391&gt;0),"Tetap Deteksi","Belum Deteksi"))</f>
        <v>Tetap Deteksi</v>
      </c>
      <c r="N391" s="132">
        <v>46249</v>
      </c>
      <c r="O391" s="143">
        <f t="array" ref="O391">INDEX('[21]DETEKSI ROT 2 (2)'!$G$343:$G$622,MATCH(1,('[21]DETEKSI ROT 2 (2)'!$D$343:$D$622=$D391)*('[21]DETEKSI ROT 2 (2)'!$D$343:$D$622=$D391),0))</f>
        <v>129</v>
      </c>
      <c r="P391" s="9">
        <f t="array" ref="P391">IFERROR(O391/G391*100,0)</f>
        <v>2.0021729008225981</v>
      </c>
      <c r="Q391" s="143">
        <f t="array" ref="Q391">INDEX('[21]DETEKSI ROT 2 (2)'!$I$343:$I$622,MATCH(1,('[21]DETEKSI ROT 2 (2)'!$D$343:$D$622=$D391)*('[21]DETEKSI ROT 2 (2)'!$D$343:$D$622=$D391),0))</f>
        <v>5</v>
      </c>
      <c r="R391" s="9">
        <f t="shared" ref="R391:R454" si="60">IFERROR(Q391/O391*100,0)</f>
        <v>3.8759689922480618</v>
      </c>
      <c r="S391" s="8" t="str">
        <f t="array" ref="S391">IF(R391&gt;5,"Perlu Sensus",IF(AND(R391&gt;=0,O391&gt;0),"Tetap Deteksi","Belum Deteksi"))</f>
        <v>Tetap Deteksi</v>
      </c>
      <c r="T391" s="203"/>
      <c r="U391" s="9">
        <f t="shared" ref="U391:U454" si="61">IFERROR(T391/O391*100,0)</f>
        <v>0</v>
      </c>
      <c r="V391" s="132">
        <v>46249</v>
      </c>
      <c r="W391" s="143">
        <f t="array" ref="W391">INDEX('[21]DETEKSI ROT 2 (2)'!$L$343:$L$622,MATCH(1,('[21]DETEKSI ROT 2 (2)'!$D$343:$D$622=$D391)*('[21]DETEKSI ROT 2 (2)'!$D$343:$D$622=$D391),0))</f>
        <v>67</v>
      </c>
      <c r="X391" s="143">
        <f t="array" ref="X391">INDEX('[21]DETEKSI ROT 2 (2)'!$M$343:$M$622,MATCH(1,('[21]DETEKSI ROT 2 (2)'!$D$343:$D$622=$D391)*('[21]DETEKSI ROT 2 (2)'!$D$343:$D$622=$D391),0))</f>
        <v>2</v>
      </c>
      <c r="Y391" s="9">
        <f t="shared" si="59"/>
        <v>2.9850746268656714</v>
      </c>
      <c r="Z391" s="8" t="str">
        <f t="array" ref="Z391">IF(Y391&gt;5,"Perlu Sensus",IF(AND(Y391&gt;0,,O391&gt;0),"Tetap Deteksi","Belum Deteksi"))</f>
        <v>Belum Deteksi</v>
      </c>
      <c r="AA391" s="203"/>
      <c r="AB391" s="9">
        <f t="shared" ref="AB391:AB454" si="62">IFERROR(AA391/W391*100,0)</f>
        <v>0</v>
      </c>
    </row>
    <row r="392" spans="1:28" x14ac:dyDescent="0.15">
      <c r="A392" s="8" t="s">
        <v>322</v>
      </c>
      <c r="B392" s="8" t="s">
        <v>79</v>
      </c>
      <c r="C392" s="8" t="s">
        <v>416</v>
      </c>
      <c r="D392" s="8" t="s">
        <v>417</v>
      </c>
      <c r="E392" s="9">
        <v>25.58</v>
      </c>
      <c r="F392" s="8" t="s">
        <v>16</v>
      </c>
      <c r="G392" s="143">
        <v>3795</v>
      </c>
      <c r="H392" s="132">
        <f t="shared" si="55"/>
        <v>46249</v>
      </c>
      <c r="I392" s="140">
        <f t="shared" si="55"/>
        <v>111</v>
      </c>
      <c r="J392" s="9">
        <f t="shared" si="56"/>
        <v>2.924901185770751</v>
      </c>
      <c r="K392" s="140">
        <f t="shared" si="57"/>
        <v>4</v>
      </c>
      <c r="L392" s="206">
        <f t="shared" si="58"/>
        <v>3.6036036036036037</v>
      </c>
      <c r="M392" s="8" t="str">
        <f t="array" ref="M392">IF(L392&gt;5,"Perlu Sensus",IF(AND(L392&gt;=0,I392&gt;0),"Tetap Deteksi","Belum Deteksi"))</f>
        <v>Tetap Deteksi</v>
      </c>
      <c r="N392" s="132">
        <v>46249</v>
      </c>
      <c r="O392" s="143">
        <f t="array" ref="O392">INDEX('[21]DETEKSI ROT 2 (2)'!$G$343:$G$622,MATCH(1,('[21]DETEKSI ROT 2 (2)'!$D$343:$D$622=$D392)*('[21]DETEKSI ROT 2 (2)'!$D$343:$D$622=$D392),0))</f>
        <v>111</v>
      </c>
      <c r="P392" s="9">
        <f t="array" ref="P392">IFERROR(O392/G392*100,0)</f>
        <v>2.924901185770751</v>
      </c>
      <c r="Q392" s="143">
        <f t="array" ref="Q392">INDEX('[21]DETEKSI ROT 2 (2)'!$I$343:$I$622,MATCH(1,('[21]DETEKSI ROT 2 (2)'!$D$343:$D$622=$D392)*('[21]DETEKSI ROT 2 (2)'!$D$343:$D$622=$D392),0))</f>
        <v>4</v>
      </c>
      <c r="R392" s="9">
        <f t="shared" si="60"/>
        <v>3.6036036036036037</v>
      </c>
      <c r="S392" s="8" t="str">
        <f t="array" ref="S392">IF(R392&gt;5,"Perlu Sensus",IF(AND(R392&gt;=0,O392&gt;0),"Tetap Deteksi","Belum Deteksi"))</f>
        <v>Tetap Deteksi</v>
      </c>
      <c r="T392" s="203"/>
      <c r="U392" s="9">
        <f t="shared" si="61"/>
        <v>0</v>
      </c>
      <c r="V392" s="132">
        <v>46249</v>
      </c>
      <c r="W392" s="143">
        <f t="array" ref="W392">INDEX('[21]DETEKSI ROT 2 (2)'!$L$343:$L$622,MATCH(1,('[21]DETEKSI ROT 2 (2)'!$D$343:$D$622=$D392)*('[21]DETEKSI ROT 2 (2)'!$D$343:$D$622=$D392),0))</f>
        <v>89</v>
      </c>
      <c r="X392" s="143">
        <f t="array" ref="X392">INDEX('[21]DETEKSI ROT 2 (2)'!$M$343:$M$622,MATCH(1,('[21]DETEKSI ROT 2 (2)'!$D$343:$D$622=$D392)*('[21]DETEKSI ROT 2 (2)'!$D$343:$D$622=$D392),0))</f>
        <v>5</v>
      </c>
      <c r="Y392" s="9">
        <f t="shared" si="59"/>
        <v>5.6179775280898872</v>
      </c>
      <c r="Z392" s="8" t="str">
        <f t="array" ref="Z392">IF(Y392&gt;5,"Perlu Sensus",IF(AND(Y392&gt;0,,O392&gt;0),"Tetap Deteksi","Belum Deteksi"))</f>
        <v>Perlu Sensus</v>
      </c>
      <c r="AA392" s="203"/>
      <c r="AB392" s="9">
        <f t="shared" si="62"/>
        <v>0</v>
      </c>
    </row>
    <row r="393" spans="1:28" x14ac:dyDescent="0.15">
      <c r="A393" s="8" t="s">
        <v>322</v>
      </c>
      <c r="B393" s="8" t="s">
        <v>79</v>
      </c>
      <c r="C393" s="8" t="s">
        <v>416</v>
      </c>
      <c r="D393" s="8" t="s">
        <v>418</v>
      </c>
      <c r="E393" s="9">
        <v>22.53</v>
      </c>
      <c r="F393" s="8" t="s">
        <v>16</v>
      </c>
      <c r="G393" s="143">
        <v>3303</v>
      </c>
      <c r="H393" s="132">
        <f t="shared" si="55"/>
        <v>46249</v>
      </c>
      <c r="I393" s="140">
        <f t="shared" si="55"/>
        <v>108</v>
      </c>
      <c r="J393" s="9">
        <f t="shared" si="56"/>
        <v>3.2697547683923704</v>
      </c>
      <c r="K393" s="140">
        <f t="shared" si="57"/>
        <v>5</v>
      </c>
      <c r="L393" s="206">
        <f t="shared" si="58"/>
        <v>4.6296296296296298</v>
      </c>
      <c r="M393" s="8" t="str">
        <f t="array" ref="M393">IF(L393&gt;5,"Perlu Sensus",IF(AND(L393&gt;=0,I393&gt;0),"Tetap Deteksi","Belum Deteksi"))</f>
        <v>Tetap Deteksi</v>
      </c>
      <c r="N393" s="132">
        <v>46249</v>
      </c>
      <c r="O393" s="143">
        <f t="array" ref="O393">INDEX('[21]DETEKSI ROT 2 (2)'!$G$343:$G$622,MATCH(1,('[21]DETEKSI ROT 2 (2)'!$D$343:$D$622=$D393)*('[21]DETEKSI ROT 2 (2)'!$D$343:$D$622=$D393),0))</f>
        <v>108</v>
      </c>
      <c r="P393" s="9">
        <f t="array" ref="P393">IFERROR(O393/G393*100,0)</f>
        <v>3.2697547683923704</v>
      </c>
      <c r="Q393" s="143">
        <f t="array" ref="Q393">INDEX('[21]DETEKSI ROT 2 (2)'!$I$343:$I$622,MATCH(1,('[21]DETEKSI ROT 2 (2)'!$D$343:$D$622=$D393)*('[21]DETEKSI ROT 2 (2)'!$D$343:$D$622=$D393),0))</f>
        <v>5</v>
      </c>
      <c r="R393" s="9">
        <f t="shared" si="60"/>
        <v>4.6296296296296298</v>
      </c>
      <c r="S393" s="8" t="str">
        <f t="array" ref="S393">IF(R393&gt;5,"Perlu Sensus",IF(AND(R393&gt;=0,O393&gt;0),"Tetap Deteksi","Belum Deteksi"))</f>
        <v>Tetap Deteksi</v>
      </c>
      <c r="T393" s="203"/>
      <c r="U393" s="9">
        <f t="shared" si="61"/>
        <v>0</v>
      </c>
      <c r="V393" s="132">
        <v>46249</v>
      </c>
      <c r="W393" s="143">
        <f t="array" ref="W393">INDEX('[21]DETEKSI ROT 2 (2)'!$L$343:$L$622,MATCH(1,('[21]DETEKSI ROT 2 (2)'!$D$343:$D$622=$D393)*('[21]DETEKSI ROT 2 (2)'!$D$343:$D$622=$D393),0))</f>
        <v>75</v>
      </c>
      <c r="X393" s="143">
        <f t="array" ref="X393">INDEX('[21]DETEKSI ROT 2 (2)'!$M$343:$M$622,MATCH(1,('[21]DETEKSI ROT 2 (2)'!$D$343:$D$622=$D393)*('[21]DETEKSI ROT 2 (2)'!$D$343:$D$622=$D393),0))</f>
        <v>6</v>
      </c>
      <c r="Y393" s="9">
        <f t="shared" si="59"/>
        <v>8</v>
      </c>
      <c r="Z393" s="8" t="str">
        <f t="array" ref="Z393">IF(Y393&gt;5,"Perlu Sensus",IF(AND(Y393&gt;0,,O393&gt;0),"Tetap Deteksi","Belum Deteksi"))</f>
        <v>Perlu Sensus</v>
      </c>
      <c r="AA393" s="203"/>
      <c r="AB393" s="9">
        <f t="shared" si="62"/>
        <v>0</v>
      </c>
    </row>
    <row r="394" spans="1:28" x14ac:dyDescent="0.15">
      <c r="A394" s="8" t="s">
        <v>322</v>
      </c>
      <c r="B394" s="8" t="s">
        <v>79</v>
      </c>
      <c r="C394" s="8" t="s">
        <v>416</v>
      </c>
      <c r="D394" s="8" t="s">
        <v>419</v>
      </c>
      <c r="E394" s="9">
        <v>27.69</v>
      </c>
      <c r="F394" s="8" t="s">
        <v>16</v>
      </c>
      <c r="G394" s="143">
        <v>4020</v>
      </c>
      <c r="H394" s="132">
        <f t="shared" si="55"/>
        <v>46249</v>
      </c>
      <c r="I394" s="140">
        <f t="shared" si="55"/>
        <v>112</v>
      </c>
      <c r="J394" s="9">
        <f t="shared" si="56"/>
        <v>2.7860696517412937</v>
      </c>
      <c r="K394" s="140">
        <f t="shared" si="57"/>
        <v>4</v>
      </c>
      <c r="L394" s="206">
        <f t="shared" si="58"/>
        <v>3.5714285714285712</v>
      </c>
      <c r="M394" s="8" t="str">
        <f t="array" ref="M394">IF(L394&gt;5,"Perlu Sensus",IF(AND(L394&gt;=0,I394&gt;0),"Tetap Deteksi","Belum Deteksi"))</f>
        <v>Tetap Deteksi</v>
      </c>
      <c r="N394" s="132">
        <v>46249</v>
      </c>
      <c r="O394" s="143">
        <f t="array" ref="O394">INDEX('[21]DETEKSI ROT 2 (2)'!$G$343:$G$622,MATCH(1,('[21]DETEKSI ROT 2 (2)'!$D$343:$D$622=$D394)*('[21]DETEKSI ROT 2 (2)'!$D$343:$D$622=$D394),0))</f>
        <v>112</v>
      </c>
      <c r="P394" s="9">
        <f t="array" ref="P394">IFERROR(O394/G394*100,0)</f>
        <v>2.7860696517412937</v>
      </c>
      <c r="Q394" s="143">
        <f t="array" ref="Q394">INDEX('[21]DETEKSI ROT 2 (2)'!$I$343:$I$622,MATCH(1,('[21]DETEKSI ROT 2 (2)'!$D$343:$D$622=$D394)*('[21]DETEKSI ROT 2 (2)'!$D$343:$D$622=$D394),0))</f>
        <v>4</v>
      </c>
      <c r="R394" s="9">
        <f t="shared" si="60"/>
        <v>3.5714285714285712</v>
      </c>
      <c r="S394" s="8" t="str">
        <f t="array" ref="S394">IF(R394&gt;5,"Perlu Sensus",IF(AND(R394&gt;=0,O394&gt;0),"Tetap Deteksi","Belum Deteksi"))</f>
        <v>Tetap Deteksi</v>
      </c>
      <c r="T394" s="203"/>
      <c r="U394" s="9">
        <f t="shared" si="61"/>
        <v>0</v>
      </c>
      <c r="V394" s="132">
        <v>46249</v>
      </c>
      <c r="W394" s="143">
        <f t="array" ref="W394">INDEX('[21]DETEKSI ROT 2 (2)'!$L$343:$L$622,MATCH(1,('[21]DETEKSI ROT 2 (2)'!$D$343:$D$622=$D394)*('[21]DETEKSI ROT 2 (2)'!$D$343:$D$622=$D394),0))</f>
        <v>96</v>
      </c>
      <c r="X394" s="143">
        <f t="array" ref="X394">INDEX('[21]DETEKSI ROT 2 (2)'!$M$343:$M$622,MATCH(1,('[21]DETEKSI ROT 2 (2)'!$D$343:$D$622=$D394)*('[21]DETEKSI ROT 2 (2)'!$D$343:$D$622=$D394),0))</f>
        <v>4</v>
      </c>
      <c r="Y394" s="9">
        <f t="shared" si="59"/>
        <v>4.1666666666666661</v>
      </c>
      <c r="Z394" s="8" t="str">
        <f t="array" ref="Z394">IF(Y394&gt;5,"Perlu Sensus",IF(AND(Y394&gt;0,,O394&gt;0),"Tetap Deteksi","Belum Deteksi"))</f>
        <v>Belum Deteksi</v>
      </c>
      <c r="AA394" s="203"/>
      <c r="AB394" s="9">
        <f t="shared" si="62"/>
        <v>0</v>
      </c>
    </row>
    <row r="395" spans="1:28" x14ac:dyDescent="0.15">
      <c r="A395" s="8" t="s">
        <v>322</v>
      </c>
      <c r="B395" s="8" t="s">
        <v>79</v>
      </c>
      <c r="C395" s="8" t="s">
        <v>416</v>
      </c>
      <c r="D395" s="8" t="s">
        <v>420</v>
      </c>
      <c r="E395" s="9">
        <v>22</v>
      </c>
      <c r="F395" s="8" t="s">
        <v>16</v>
      </c>
      <c r="G395" s="143">
        <v>3302</v>
      </c>
      <c r="H395" s="132">
        <f t="shared" si="55"/>
        <v>46249</v>
      </c>
      <c r="I395" s="140">
        <f t="shared" si="55"/>
        <v>101</v>
      </c>
      <c r="J395" s="9">
        <f t="shared" si="56"/>
        <v>3.0587522713506963</v>
      </c>
      <c r="K395" s="140">
        <f t="shared" si="57"/>
        <v>3</v>
      </c>
      <c r="L395" s="206">
        <f t="shared" si="58"/>
        <v>2.9702970297029703</v>
      </c>
      <c r="M395" s="8" t="str">
        <f t="array" ref="M395">IF(L395&gt;5,"Perlu Sensus",IF(AND(L395&gt;=0,I395&gt;0),"Tetap Deteksi","Belum Deteksi"))</f>
        <v>Tetap Deteksi</v>
      </c>
      <c r="N395" s="132">
        <v>46249</v>
      </c>
      <c r="O395" s="143">
        <f t="array" ref="O395">INDEX('[21]DETEKSI ROT 2 (2)'!$G$343:$G$622,MATCH(1,('[21]DETEKSI ROT 2 (2)'!$D$343:$D$622=$D395)*('[21]DETEKSI ROT 2 (2)'!$D$343:$D$622=$D395),0))</f>
        <v>101</v>
      </c>
      <c r="P395" s="9">
        <f t="array" ref="P395">IFERROR(O395/G395*100,0)</f>
        <v>3.0587522713506963</v>
      </c>
      <c r="Q395" s="143">
        <f t="array" ref="Q395">INDEX('[21]DETEKSI ROT 2 (2)'!$I$343:$I$622,MATCH(1,('[21]DETEKSI ROT 2 (2)'!$D$343:$D$622=$D395)*('[21]DETEKSI ROT 2 (2)'!$D$343:$D$622=$D395),0))</f>
        <v>3</v>
      </c>
      <c r="R395" s="9">
        <f t="shared" si="60"/>
        <v>2.9702970297029703</v>
      </c>
      <c r="S395" s="8" t="str">
        <f t="array" ref="S395">IF(R395&gt;5,"Perlu Sensus",IF(AND(R395&gt;=0,O395&gt;0),"Tetap Deteksi","Belum Deteksi"))</f>
        <v>Tetap Deteksi</v>
      </c>
      <c r="T395" s="203"/>
      <c r="U395" s="9">
        <f t="shared" si="61"/>
        <v>0</v>
      </c>
      <c r="V395" s="132">
        <v>46249</v>
      </c>
      <c r="W395" s="143">
        <f t="array" ref="W395">INDEX('[21]DETEKSI ROT 2 (2)'!$L$343:$L$622,MATCH(1,('[21]DETEKSI ROT 2 (2)'!$D$343:$D$622=$D395)*('[21]DETEKSI ROT 2 (2)'!$D$343:$D$622=$D395),0))</f>
        <v>78</v>
      </c>
      <c r="X395" s="143">
        <f t="array" ref="X395">INDEX('[21]DETEKSI ROT 2 (2)'!$M$343:$M$622,MATCH(1,('[21]DETEKSI ROT 2 (2)'!$D$343:$D$622=$D395)*('[21]DETEKSI ROT 2 (2)'!$D$343:$D$622=$D395),0))</f>
        <v>3</v>
      </c>
      <c r="Y395" s="9">
        <f t="shared" si="59"/>
        <v>3.8461538461538463</v>
      </c>
      <c r="Z395" s="8" t="str">
        <f t="array" ref="Z395">IF(Y395&gt;5,"Perlu Sensus",IF(AND(Y395&gt;0,,O395&gt;0),"Tetap Deteksi","Belum Deteksi"))</f>
        <v>Belum Deteksi</v>
      </c>
      <c r="AA395" s="203"/>
      <c r="AB395" s="9">
        <f t="shared" si="62"/>
        <v>0</v>
      </c>
    </row>
    <row r="396" spans="1:28" x14ac:dyDescent="0.15">
      <c r="A396" s="8" t="s">
        <v>322</v>
      </c>
      <c r="B396" s="8" t="s">
        <v>79</v>
      </c>
      <c r="C396" s="8" t="s">
        <v>416</v>
      </c>
      <c r="D396" s="8" t="s">
        <v>421</v>
      </c>
      <c r="E396" s="9">
        <v>25.26</v>
      </c>
      <c r="F396" s="8" t="s">
        <v>16</v>
      </c>
      <c r="G396" s="143">
        <v>3857</v>
      </c>
      <c r="H396" s="132">
        <f t="shared" si="55"/>
        <v>46249</v>
      </c>
      <c r="I396" s="140">
        <f t="shared" si="55"/>
        <v>110</v>
      </c>
      <c r="J396" s="9">
        <f t="shared" si="56"/>
        <v>2.8519574799066629</v>
      </c>
      <c r="K396" s="140">
        <f t="shared" si="57"/>
        <v>5</v>
      </c>
      <c r="L396" s="206">
        <f t="shared" si="58"/>
        <v>4.5454545454545459</v>
      </c>
      <c r="M396" s="8" t="str">
        <f t="array" ref="M396">IF(L396&gt;5,"Perlu Sensus",IF(AND(L396&gt;=0,I396&gt;0),"Tetap Deteksi","Belum Deteksi"))</f>
        <v>Tetap Deteksi</v>
      </c>
      <c r="N396" s="132">
        <v>46249</v>
      </c>
      <c r="O396" s="143">
        <f t="array" ref="O396">INDEX('[21]DETEKSI ROT 2 (2)'!$G$343:$G$622,MATCH(1,('[21]DETEKSI ROT 2 (2)'!$D$343:$D$622=$D396)*('[21]DETEKSI ROT 2 (2)'!$D$343:$D$622=$D396),0))</f>
        <v>110</v>
      </c>
      <c r="P396" s="9">
        <f t="array" ref="P396">IFERROR(O396/G396*100,0)</f>
        <v>2.8519574799066629</v>
      </c>
      <c r="Q396" s="143">
        <f t="array" ref="Q396">INDEX('[21]DETEKSI ROT 2 (2)'!$I$343:$I$622,MATCH(1,('[21]DETEKSI ROT 2 (2)'!$D$343:$D$622=$D396)*('[21]DETEKSI ROT 2 (2)'!$D$343:$D$622=$D396),0))</f>
        <v>5</v>
      </c>
      <c r="R396" s="9">
        <f t="shared" si="60"/>
        <v>4.5454545454545459</v>
      </c>
      <c r="S396" s="8" t="str">
        <f t="array" ref="S396">IF(R396&gt;5,"Perlu Sensus",IF(AND(R396&gt;=0,O396&gt;0),"Tetap Deteksi","Belum Deteksi"))</f>
        <v>Tetap Deteksi</v>
      </c>
      <c r="T396" s="203"/>
      <c r="U396" s="9">
        <f t="shared" si="61"/>
        <v>0</v>
      </c>
      <c r="V396" s="132">
        <v>46249</v>
      </c>
      <c r="W396" s="143">
        <f t="array" ref="W396">INDEX('[21]DETEKSI ROT 2 (2)'!$L$343:$L$622,MATCH(1,('[21]DETEKSI ROT 2 (2)'!$D$343:$D$622=$D396)*('[21]DETEKSI ROT 2 (2)'!$D$343:$D$622=$D396),0))</f>
        <v>38</v>
      </c>
      <c r="X396" s="143">
        <f t="array" ref="X396">INDEX('[21]DETEKSI ROT 2 (2)'!$M$343:$M$622,MATCH(1,('[21]DETEKSI ROT 2 (2)'!$D$343:$D$622=$D396)*('[21]DETEKSI ROT 2 (2)'!$D$343:$D$622=$D396),0))</f>
        <v>2</v>
      </c>
      <c r="Y396" s="9">
        <f t="shared" si="59"/>
        <v>5.2631578947368416</v>
      </c>
      <c r="Z396" s="8" t="str">
        <f t="array" ref="Z396">IF(Y396&gt;5,"Perlu Sensus",IF(AND(Y396&gt;0,,O396&gt;0),"Tetap Deteksi","Belum Deteksi"))</f>
        <v>Perlu Sensus</v>
      </c>
      <c r="AA396" s="203"/>
      <c r="AB396" s="9">
        <f t="shared" si="62"/>
        <v>0</v>
      </c>
    </row>
    <row r="397" spans="1:28" x14ac:dyDescent="0.15">
      <c r="A397" s="8" t="s">
        <v>322</v>
      </c>
      <c r="B397" s="8" t="s">
        <v>79</v>
      </c>
      <c r="C397" s="8" t="s">
        <v>416</v>
      </c>
      <c r="D397" s="8" t="s">
        <v>422</v>
      </c>
      <c r="E397" s="9">
        <v>25.77</v>
      </c>
      <c r="F397" s="8" t="s">
        <v>16</v>
      </c>
      <c r="G397" s="143">
        <v>3929</v>
      </c>
      <c r="H397" s="132">
        <f t="shared" si="55"/>
        <v>46249</v>
      </c>
      <c r="I397" s="140">
        <f t="shared" si="55"/>
        <v>142</v>
      </c>
      <c r="J397" s="9">
        <f t="shared" si="56"/>
        <v>3.614151183507254</v>
      </c>
      <c r="K397" s="140">
        <f t="shared" si="57"/>
        <v>6</v>
      </c>
      <c r="L397" s="206">
        <f t="shared" si="58"/>
        <v>4.225352112676056</v>
      </c>
      <c r="M397" s="8" t="str">
        <f t="array" ref="M397">IF(L397&gt;5,"Perlu Sensus",IF(AND(L397&gt;=0,I397&gt;0),"Tetap Deteksi","Belum Deteksi"))</f>
        <v>Tetap Deteksi</v>
      </c>
      <c r="N397" s="132">
        <v>46249</v>
      </c>
      <c r="O397" s="143">
        <f t="array" ref="O397">INDEX('[21]DETEKSI ROT 2 (2)'!$G$343:$G$622,MATCH(1,('[21]DETEKSI ROT 2 (2)'!$D$343:$D$622=$D397)*('[21]DETEKSI ROT 2 (2)'!$D$343:$D$622=$D397),0))</f>
        <v>142</v>
      </c>
      <c r="P397" s="9">
        <f t="array" ref="P397">IFERROR(O397/G397*100,0)</f>
        <v>3.614151183507254</v>
      </c>
      <c r="Q397" s="143">
        <f t="array" ref="Q397">INDEX('[21]DETEKSI ROT 2 (2)'!$I$343:$I$622,MATCH(1,('[21]DETEKSI ROT 2 (2)'!$D$343:$D$622=$D397)*('[21]DETEKSI ROT 2 (2)'!$D$343:$D$622=$D397),0))</f>
        <v>6</v>
      </c>
      <c r="R397" s="9">
        <f t="shared" si="60"/>
        <v>4.225352112676056</v>
      </c>
      <c r="S397" s="8" t="str">
        <f t="array" ref="S397">IF(R397&gt;5,"Perlu Sensus",IF(AND(R397&gt;=0,O397&gt;0),"Tetap Deteksi","Belum Deteksi"))</f>
        <v>Tetap Deteksi</v>
      </c>
      <c r="T397" s="203"/>
      <c r="U397" s="9">
        <f t="shared" si="61"/>
        <v>0</v>
      </c>
      <c r="V397" s="132">
        <v>46249</v>
      </c>
      <c r="W397" s="143">
        <f t="array" ref="W397">INDEX('[21]DETEKSI ROT 2 (2)'!$L$343:$L$622,MATCH(1,('[21]DETEKSI ROT 2 (2)'!$D$343:$D$622=$D397)*('[21]DETEKSI ROT 2 (2)'!$D$343:$D$622=$D397),0))</f>
        <v>78</v>
      </c>
      <c r="X397" s="143">
        <f t="array" ref="X397">INDEX('[21]DETEKSI ROT 2 (2)'!$M$343:$M$622,MATCH(1,('[21]DETEKSI ROT 2 (2)'!$D$343:$D$622=$D397)*('[21]DETEKSI ROT 2 (2)'!$D$343:$D$622=$D397),0))</f>
        <v>3</v>
      </c>
      <c r="Y397" s="9">
        <f t="shared" si="59"/>
        <v>3.8461538461538463</v>
      </c>
      <c r="Z397" s="8" t="str">
        <f t="array" ref="Z397">IF(Y397&gt;5,"Perlu Sensus",IF(AND(Y397&gt;0,,O397&gt;0),"Tetap Deteksi","Belum Deteksi"))</f>
        <v>Belum Deteksi</v>
      </c>
      <c r="AA397" s="203"/>
      <c r="AB397" s="9">
        <f t="shared" si="62"/>
        <v>0</v>
      </c>
    </row>
    <row r="398" spans="1:28" x14ac:dyDescent="0.15">
      <c r="A398" s="8" t="s">
        <v>322</v>
      </c>
      <c r="B398" s="8" t="s">
        <v>79</v>
      </c>
      <c r="C398" s="8" t="s">
        <v>416</v>
      </c>
      <c r="D398" s="8" t="s">
        <v>423</v>
      </c>
      <c r="E398" s="9">
        <v>22.25</v>
      </c>
      <c r="F398" s="8" t="s">
        <v>16</v>
      </c>
      <c r="G398" s="143">
        <v>3470</v>
      </c>
      <c r="H398" s="132">
        <f t="shared" si="55"/>
        <v>46249</v>
      </c>
      <c r="I398" s="140">
        <f t="shared" si="55"/>
        <v>127</v>
      </c>
      <c r="J398" s="9">
        <f t="shared" si="56"/>
        <v>3.6599423631123917</v>
      </c>
      <c r="K398" s="140">
        <f t="shared" si="57"/>
        <v>4</v>
      </c>
      <c r="L398" s="206">
        <f t="shared" si="58"/>
        <v>3.1496062992125982</v>
      </c>
      <c r="M398" s="8" t="str">
        <f t="array" ref="M398">IF(L398&gt;5,"Perlu Sensus",IF(AND(L398&gt;=0,I398&gt;0),"Tetap Deteksi","Belum Deteksi"))</f>
        <v>Tetap Deteksi</v>
      </c>
      <c r="N398" s="132">
        <v>46249</v>
      </c>
      <c r="O398" s="143">
        <f t="array" ref="O398">INDEX('[21]DETEKSI ROT 2 (2)'!$G$343:$G$622,MATCH(1,('[21]DETEKSI ROT 2 (2)'!$D$343:$D$622=$D398)*('[21]DETEKSI ROT 2 (2)'!$D$343:$D$622=$D398),0))</f>
        <v>127</v>
      </c>
      <c r="P398" s="9">
        <f t="array" ref="P398">IFERROR(O398/G398*100,0)</f>
        <v>3.6599423631123917</v>
      </c>
      <c r="Q398" s="143">
        <f t="array" ref="Q398">INDEX('[21]DETEKSI ROT 2 (2)'!$I$343:$I$622,MATCH(1,('[21]DETEKSI ROT 2 (2)'!$D$343:$D$622=$D398)*('[21]DETEKSI ROT 2 (2)'!$D$343:$D$622=$D398),0))</f>
        <v>4</v>
      </c>
      <c r="R398" s="9">
        <f t="shared" si="60"/>
        <v>3.1496062992125982</v>
      </c>
      <c r="S398" s="8" t="str">
        <f t="array" ref="S398">IF(R398&gt;5,"Perlu Sensus",IF(AND(R398&gt;=0,O398&gt;0),"Tetap Deteksi","Belum Deteksi"))</f>
        <v>Tetap Deteksi</v>
      </c>
      <c r="T398" s="203"/>
      <c r="U398" s="9">
        <f t="shared" si="61"/>
        <v>0</v>
      </c>
      <c r="V398" s="132">
        <v>46249</v>
      </c>
      <c r="W398" s="143">
        <f t="array" ref="W398">INDEX('[21]DETEKSI ROT 2 (2)'!$L$343:$L$622,MATCH(1,('[21]DETEKSI ROT 2 (2)'!$D$343:$D$622=$D398)*('[21]DETEKSI ROT 2 (2)'!$D$343:$D$622=$D398),0))</f>
        <v>65</v>
      </c>
      <c r="X398" s="143">
        <f t="array" ref="X398">INDEX('[21]DETEKSI ROT 2 (2)'!$M$343:$M$622,MATCH(1,('[21]DETEKSI ROT 2 (2)'!$D$343:$D$622=$D398)*('[21]DETEKSI ROT 2 (2)'!$D$343:$D$622=$D398),0))</f>
        <v>2</v>
      </c>
      <c r="Y398" s="9">
        <f t="shared" si="59"/>
        <v>3.0769230769230771</v>
      </c>
      <c r="Z398" s="8" t="str">
        <f t="array" ref="Z398">IF(Y398&gt;5,"Perlu Sensus",IF(AND(Y398&gt;0,,O398&gt;0),"Tetap Deteksi","Belum Deteksi"))</f>
        <v>Belum Deteksi</v>
      </c>
      <c r="AA398" s="203"/>
      <c r="AB398" s="9">
        <f t="shared" si="62"/>
        <v>0</v>
      </c>
    </row>
    <row r="399" spans="1:28" x14ac:dyDescent="0.15">
      <c r="A399" s="8" t="s">
        <v>322</v>
      </c>
      <c r="B399" s="8" t="s">
        <v>79</v>
      </c>
      <c r="C399" s="8" t="s">
        <v>416</v>
      </c>
      <c r="D399" s="8" t="s">
        <v>424</v>
      </c>
      <c r="E399" s="9">
        <v>46.65</v>
      </c>
      <c r="F399" s="8" t="s">
        <v>16</v>
      </c>
      <c r="G399" s="143">
        <v>7043</v>
      </c>
      <c r="H399" s="132">
        <f t="shared" si="55"/>
        <v>46249</v>
      </c>
      <c r="I399" s="140">
        <f t="shared" si="55"/>
        <v>110</v>
      </c>
      <c r="J399" s="9">
        <f t="shared" si="56"/>
        <v>1.5618344455487718</v>
      </c>
      <c r="K399" s="140">
        <f t="shared" si="57"/>
        <v>5</v>
      </c>
      <c r="L399" s="206">
        <f t="shared" si="58"/>
        <v>4.5454545454545459</v>
      </c>
      <c r="M399" s="8" t="str">
        <f t="array" ref="M399">IF(L399&gt;5,"Perlu Sensus",IF(AND(L399&gt;=0,I399&gt;0),"Tetap Deteksi","Belum Deteksi"))</f>
        <v>Tetap Deteksi</v>
      </c>
      <c r="N399" s="132">
        <v>46249</v>
      </c>
      <c r="O399" s="143">
        <f t="array" ref="O399">INDEX('[21]DETEKSI ROT 2 (2)'!$G$343:$G$622,MATCH(1,('[21]DETEKSI ROT 2 (2)'!$D$343:$D$622=$D399)*('[21]DETEKSI ROT 2 (2)'!$D$343:$D$622=$D399),0))</f>
        <v>110</v>
      </c>
      <c r="P399" s="9">
        <f t="array" ref="P399">IFERROR(O399/G399*100,0)</f>
        <v>1.5618344455487718</v>
      </c>
      <c r="Q399" s="143">
        <f t="array" ref="Q399">INDEX('[21]DETEKSI ROT 2 (2)'!$I$343:$I$622,MATCH(1,('[21]DETEKSI ROT 2 (2)'!$D$343:$D$622=$D399)*('[21]DETEKSI ROT 2 (2)'!$D$343:$D$622=$D399),0))</f>
        <v>5</v>
      </c>
      <c r="R399" s="9">
        <f t="shared" si="60"/>
        <v>4.5454545454545459</v>
      </c>
      <c r="S399" s="8" t="str">
        <f t="array" ref="S399">IF(R399&gt;5,"Perlu Sensus",IF(AND(R399&gt;=0,O399&gt;0),"Tetap Deteksi","Belum Deteksi"))</f>
        <v>Tetap Deteksi</v>
      </c>
      <c r="T399" s="203"/>
      <c r="U399" s="9">
        <f t="shared" si="61"/>
        <v>0</v>
      </c>
      <c r="V399" s="132">
        <v>46249</v>
      </c>
      <c r="W399" s="143">
        <f t="array" ref="W399">INDEX('[21]DETEKSI ROT 2 (2)'!$L$343:$L$622,MATCH(1,('[21]DETEKSI ROT 2 (2)'!$D$343:$D$622=$D399)*('[21]DETEKSI ROT 2 (2)'!$D$343:$D$622=$D399),0))</f>
        <v>96</v>
      </c>
      <c r="X399" s="143">
        <f t="array" ref="X399">INDEX('[21]DETEKSI ROT 2 (2)'!$M$343:$M$622,MATCH(1,('[21]DETEKSI ROT 2 (2)'!$D$343:$D$622=$D399)*('[21]DETEKSI ROT 2 (2)'!$D$343:$D$622=$D399),0))</f>
        <v>3</v>
      </c>
      <c r="Y399" s="9">
        <f t="shared" si="59"/>
        <v>3.125</v>
      </c>
      <c r="Z399" s="8" t="str">
        <f t="array" ref="Z399">IF(Y399&gt;5,"Perlu Sensus",IF(AND(Y399&gt;0,,O399&gt;0),"Tetap Deteksi","Belum Deteksi"))</f>
        <v>Belum Deteksi</v>
      </c>
      <c r="AA399" s="203"/>
      <c r="AB399" s="9">
        <f t="shared" si="62"/>
        <v>0</v>
      </c>
    </row>
    <row r="400" spans="1:28" x14ac:dyDescent="0.15">
      <c r="A400" s="8" t="s">
        <v>322</v>
      </c>
      <c r="B400" s="8" t="s">
        <v>79</v>
      </c>
      <c r="C400" s="8" t="s">
        <v>416</v>
      </c>
      <c r="D400" s="8" t="s">
        <v>425</v>
      </c>
      <c r="E400" s="9">
        <v>28.34</v>
      </c>
      <c r="F400" s="8" t="s">
        <v>16</v>
      </c>
      <c r="G400" s="143">
        <v>4385</v>
      </c>
      <c r="H400" s="132">
        <f t="shared" si="55"/>
        <v>46249</v>
      </c>
      <c r="I400" s="140">
        <f t="shared" si="55"/>
        <v>111</v>
      </c>
      <c r="J400" s="9">
        <f t="shared" si="56"/>
        <v>2.5313568985176742</v>
      </c>
      <c r="K400" s="140">
        <f t="shared" si="57"/>
        <v>4</v>
      </c>
      <c r="L400" s="206">
        <f t="shared" si="58"/>
        <v>3.6036036036036037</v>
      </c>
      <c r="M400" s="8" t="str">
        <f t="array" ref="M400">IF(L400&gt;5,"Perlu Sensus",IF(AND(L400&gt;=0,I400&gt;0),"Tetap Deteksi","Belum Deteksi"))</f>
        <v>Tetap Deteksi</v>
      </c>
      <c r="N400" s="132">
        <v>46249</v>
      </c>
      <c r="O400" s="143">
        <f t="array" ref="O400">INDEX('[21]DETEKSI ROT 2 (2)'!$G$343:$G$622,MATCH(1,('[21]DETEKSI ROT 2 (2)'!$D$343:$D$622=$D400)*('[21]DETEKSI ROT 2 (2)'!$D$343:$D$622=$D400),0))</f>
        <v>111</v>
      </c>
      <c r="P400" s="9">
        <f t="array" ref="P400">IFERROR(O400/G400*100,0)</f>
        <v>2.5313568985176742</v>
      </c>
      <c r="Q400" s="143">
        <f t="array" ref="Q400">INDEX('[21]DETEKSI ROT 2 (2)'!$I$343:$I$622,MATCH(1,('[21]DETEKSI ROT 2 (2)'!$D$343:$D$622=$D400)*('[21]DETEKSI ROT 2 (2)'!$D$343:$D$622=$D400),0))</f>
        <v>4</v>
      </c>
      <c r="R400" s="9">
        <f t="shared" si="60"/>
        <v>3.6036036036036037</v>
      </c>
      <c r="S400" s="8" t="str">
        <f t="array" ref="S400">IF(R400&gt;5,"Perlu Sensus",IF(AND(R400&gt;=0,O400&gt;0),"Tetap Deteksi","Belum Deteksi"))</f>
        <v>Tetap Deteksi</v>
      </c>
      <c r="T400" s="203"/>
      <c r="U400" s="9">
        <f t="shared" si="61"/>
        <v>0</v>
      </c>
      <c r="V400" s="132">
        <v>46249</v>
      </c>
      <c r="W400" s="143">
        <f t="array" ref="W400">INDEX('[21]DETEKSI ROT 2 (2)'!$L$343:$L$622,MATCH(1,('[21]DETEKSI ROT 2 (2)'!$D$343:$D$622=$D400)*('[21]DETEKSI ROT 2 (2)'!$D$343:$D$622=$D400),0))</f>
        <v>79</v>
      </c>
      <c r="X400" s="143">
        <f t="array" ref="X400">INDEX('[21]DETEKSI ROT 2 (2)'!$M$343:$M$622,MATCH(1,('[21]DETEKSI ROT 2 (2)'!$D$343:$D$622=$D400)*('[21]DETEKSI ROT 2 (2)'!$D$343:$D$622=$D400),0))</f>
        <v>4</v>
      </c>
      <c r="Y400" s="9">
        <f t="shared" si="59"/>
        <v>5.0632911392405067</v>
      </c>
      <c r="Z400" s="8" t="str">
        <f t="array" ref="Z400">IF(Y400&gt;5,"Perlu Sensus",IF(AND(Y400&gt;0,,O400&gt;0),"Tetap Deteksi","Belum Deteksi"))</f>
        <v>Perlu Sensus</v>
      </c>
      <c r="AA400" s="203"/>
      <c r="AB400" s="9">
        <f t="shared" si="62"/>
        <v>0</v>
      </c>
    </row>
    <row r="401" spans="1:28" x14ac:dyDescent="0.15">
      <c r="A401" s="8" t="s">
        <v>322</v>
      </c>
      <c r="B401" s="8" t="s">
        <v>79</v>
      </c>
      <c r="C401" s="8" t="s">
        <v>416</v>
      </c>
      <c r="D401" s="8" t="s">
        <v>426</v>
      </c>
      <c r="E401" s="9">
        <v>25.4</v>
      </c>
      <c r="F401" s="8" t="s">
        <v>16</v>
      </c>
      <c r="G401" s="143">
        <v>3688</v>
      </c>
      <c r="H401" s="132">
        <f t="shared" si="55"/>
        <v>46249</v>
      </c>
      <c r="I401" s="140">
        <f t="shared" si="55"/>
        <v>113</v>
      </c>
      <c r="J401" s="9">
        <f t="shared" si="56"/>
        <v>3.0639913232104123</v>
      </c>
      <c r="K401" s="140">
        <f t="shared" si="57"/>
        <v>3</v>
      </c>
      <c r="L401" s="206">
        <f t="shared" si="58"/>
        <v>2.6548672566371683</v>
      </c>
      <c r="M401" s="8" t="str">
        <f t="array" ref="M401">IF(L401&gt;5,"Perlu Sensus",IF(AND(L401&gt;=0,I401&gt;0),"Tetap Deteksi","Belum Deteksi"))</f>
        <v>Tetap Deteksi</v>
      </c>
      <c r="N401" s="132">
        <v>46249</v>
      </c>
      <c r="O401" s="143">
        <f t="array" ref="O401">INDEX('[21]DETEKSI ROT 2 (2)'!$G$343:$G$622,MATCH(1,('[21]DETEKSI ROT 2 (2)'!$D$343:$D$622=$D401)*('[21]DETEKSI ROT 2 (2)'!$D$343:$D$622=$D401),0))</f>
        <v>113</v>
      </c>
      <c r="P401" s="9">
        <f t="array" ref="P401">IFERROR(O401/G401*100,0)</f>
        <v>3.0639913232104123</v>
      </c>
      <c r="Q401" s="143">
        <f t="array" ref="Q401">INDEX('[21]DETEKSI ROT 2 (2)'!$I$343:$I$622,MATCH(1,('[21]DETEKSI ROT 2 (2)'!$D$343:$D$622=$D401)*('[21]DETEKSI ROT 2 (2)'!$D$343:$D$622=$D401),0))</f>
        <v>3</v>
      </c>
      <c r="R401" s="9">
        <f t="shared" si="60"/>
        <v>2.6548672566371683</v>
      </c>
      <c r="S401" s="8" t="str">
        <f t="array" ref="S401">IF(R401&gt;5,"Perlu Sensus",IF(AND(R401&gt;=0,O401&gt;0),"Tetap Deteksi","Belum Deteksi"))</f>
        <v>Tetap Deteksi</v>
      </c>
      <c r="T401" s="203"/>
      <c r="U401" s="9">
        <f t="shared" si="61"/>
        <v>0</v>
      </c>
      <c r="V401" s="132">
        <v>46249</v>
      </c>
      <c r="W401" s="143">
        <f t="array" ref="W401">INDEX('[21]DETEKSI ROT 2 (2)'!$L$343:$L$622,MATCH(1,('[21]DETEKSI ROT 2 (2)'!$D$343:$D$622=$D401)*('[21]DETEKSI ROT 2 (2)'!$D$343:$D$622=$D401),0))</f>
        <v>85</v>
      </c>
      <c r="X401" s="143">
        <f t="array" ref="X401">INDEX('[21]DETEKSI ROT 2 (2)'!$M$343:$M$622,MATCH(1,('[21]DETEKSI ROT 2 (2)'!$D$343:$D$622=$D401)*('[21]DETEKSI ROT 2 (2)'!$D$343:$D$622=$D401),0))</f>
        <v>2</v>
      </c>
      <c r="Y401" s="9">
        <f t="shared" si="59"/>
        <v>2.3529411764705883</v>
      </c>
      <c r="Z401" s="8" t="str">
        <f t="array" ref="Z401">IF(Y401&gt;5,"Perlu Sensus",IF(AND(Y401&gt;0,,O401&gt;0),"Tetap Deteksi","Belum Deteksi"))</f>
        <v>Belum Deteksi</v>
      </c>
      <c r="AA401" s="203"/>
      <c r="AB401" s="9">
        <f t="shared" si="62"/>
        <v>0</v>
      </c>
    </row>
    <row r="402" spans="1:28" x14ac:dyDescent="0.15">
      <c r="A402" s="8" t="s">
        <v>322</v>
      </c>
      <c r="B402" s="8" t="s">
        <v>79</v>
      </c>
      <c r="C402" s="8" t="s">
        <v>416</v>
      </c>
      <c r="D402" s="8" t="s">
        <v>427</v>
      </c>
      <c r="E402" s="9">
        <v>45.32</v>
      </c>
      <c r="F402" s="8" t="s">
        <v>16</v>
      </c>
      <c r="G402" s="143">
        <v>6999</v>
      </c>
      <c r="H402" s="132">
        <f t="shared" si="55"/>
        <v>46249</v>
      </c>
      <c r="I402" s="140">
        <f t="shared" si="55"/>
        <v>198</v>
      </c>
      <c r="J402" s="9">
        <f t="shared" si="56"/>
        <v>2.8289755679382766</v>
      </c>
      <c r="K402" s="140">
        <f t="shared" si="57"/>
        <v>9</v>
      </c>
      <c r="L402" s="206">
        <f t="shared" si="58"/>
        <v>4.5454545454545459</v>
      </c>
      <c r="M402" s="8" t="str">
        <f t="array" ref="M402">IF(L402&gt;5,"Perlu Sensus",IF(AND(L402&gt;=0,I402&gt;0),"Tetap Deteksi","Belum Deteksi"))</f>
        <v>Tetap Deteksi</v>
      </c>
      <c r="N402" s="132">
        <v>46249</v>
      </c>
      <c r="O402" s="143">
        <f t="array" ref="O402">INDEX('[21]DETEKSI ROT 2 (2)'!$G$343:$G$622,MATCH(1,('[21]DETEKSI ROT 2 (2)'!$D$343:$D$622=$D402)*('[21]DETEKSI ROT 2 (2)'!$D$343:$D$622=$D402),0))</f>
        <v>198</v>
      </c>
      <c r="P402" s="9">
        <f t="array" ref="P402">IFERROR(O402/G402*100,0)</f>
        <v>2.8289755679382766</v>
      </c>
      <c r="Q402" s="143">
        <f t="array" ref="Q402">INDEX('[21]DETEKSI ROT 2 (2)'!$I$343:$I$622,MATCH(1,('[21]DETEKSI ROT 2 (2)'!$D$343:$D$622=$D402)*('[21]DETEKSI ROT 2 (2)'!$D$343:$D$622=$D402),0))</f>
        <v>9</v>
      </c>
      <c r="R402" s="9">
        <f t="shared" si="60"/>
        <v>4.5454545454545459</v>
      </c>
      <c r="S402" s="8" t="str">
        <f t="array" ref="S402">IF(R402&gt;5,"Perlu Sensus",IF(AND(R402&gt;=0,O402&gt;0),"Tetap Deteksi","Belum Deteksi"))</f>
        <v>Tetap Deteksi</v>
      </c>
      <c r="T402" s="203"/>
      <c r="U402" s="9">
        <f t="shared" si="61"/>
        <v>0</v>
      </c>
      <c r="V402" s="132">
        <v>46249</v>
      </c>
      <c r="W402" s="143">
        <f t="array" ref="W402">INDEX('[21]DETEKSI ROT 2 (2)'!$L$343:$L$622,MATCH(1,('[21]DETEKSI ROT 2 (2)'!$D$343:$D$622=$D402)*('[21]DETEKSI ROT 2 (2)'!$D$343:$D$622=$D402),0))</f>
        <v>98</v>
      </c>
      <c r="X402" s="143">
        <f t="array" ref="X402">INDEX('[21]DETEKSI ROT 2 (2)'!$M$343:$M$622,MATCH(1,('[21]DETEKSI ROT 2 (2)'!$D$343:$D$622=$D402)*('[21]DETEKSI ROT 2 (2)'!$D$343:$D$622=$D402),0))</f>
        <v>4</v>
      </c>
      <c r="Y402" s="9">
        <f t="shared" si="59"/>
        <v>4.0816326530612246</v>
      </c>
      <c r="Z402" s="8" t="str">
        <f t="array" ref="Z402">IF(Y402&gt;5,"Perlu Sensus",IF(AND(Y402&gt;0,,O402&gt;0),"Tetap Deteksi","Belum Deteksi"))</f>
        <v>Belum Deteksi</v>
      </c>
      <c r="AA402" s="203"/>
      <c r="AB402" s="9">
        <f t="shared" si="62"/>
        <v>0</v>
      </c>
    </row>
    <row r="403" spans="1:28" x14ac:dyDescent="0.15">
      <c r="A403" s="8" t="s">
        <v>322</v>
      </c>
      <c r="B403" s="8" t="s">
        <v>79</v>
      </c>
      <c r="C403" s="8" t="s">
        <v>416</v>
      </c>
      <c r="D403" s="8" t="s">
        <v>428</v>
      </c>
      <c r="E403" s="9">
        <v>24.08</v>
      </c>
      <c r="F403" s="8" t="s">
        <v>132</v>
      </c>
      <c r="G403" s="143">
        <v>3485</v>
      </c>
      <c r="H403" s="132">
        <f t="shared" si="55"/>
        <v>46249</v>
      </c>
      <c r="I403" s="140">
        <f t="shared" si="55"/>
        <v>36</v>
      </c>
      <c r="J403" s="9">
        <f t="shared" si="56"/>
        <v>1.0329985652797704</v>
      </c>
      <c r="K403" s="140">
        <f t="shared" si="57"/>
        <v>2</v>
      </c>
      <c r="L403" s="206">
        <f t="shared" si="58"/>
        <v>5.5555555555555554</v>
      </c>
      <c r="M403" s="8" t="str">
        <f t="array" ref="M403">IF(L403&gt;5,"Perlu Sensus",IF(AND(L403&gt;=0,I403&gt;0),"Tetap Deteksi","Belum Deteksi"))</f>
        <v>Perlu Sensus</v>
      </c>
      <c r="N403" s="132">
        <v>46249</v>
      </c>
      <c r="O403" s="143">
        <f t="array" ref="O403">INDEX('[21]DETEKSI ROT 2 (2)'!$G$343:$G$622,MATCH(1,('[21]DETEKSI ROT 2 (2)'!$D$343:$D$622=$D403)*('[21]DETEKSI ROT 2 (2)'!$D$343:$D$622=$D403),0))</f>
        <v>36</v>
      </c>
      <c r="P403" s="9">
        <f t="array" ref="P403">IFERROR(O403/G403*100,0)</f>
        <v>1.0329985652797704</v>
      </c>
      <c r="Q403" s="143">
        <f t="array" ref="Q403">INDEX('[21]DETEKSI ROT 2 (2)'!$I$343:$I$622,MATCH(1,('[21]DETEKSI ROT 2 (2)'!$D$343:$D$622=$D403)*('[21]DETEKSI ROT 2 (2)'!$D$343:$D$622=$D403),0))</f>
        <v>2</v>
      </c>
      <c r="R403" s="9">
        <f t="shared" si="60"/>
        <v>5.5555555555555554</v>
      </c>
      <c r="S403" s="8" t="str">
        <f t="array" ref="S403">IF(R403&gt;5,"Perlu Sensus",IF(AND(R403&gt;=0,O403&gt;0),"Tetap Deteksi","Belum Deteksi"))</f>
        <v>Perlu Sensus</v>
      </c>
      <c r="T403" s="203"/>
      <c r="U403" s="9">
        <f t="shared" si="61"/>
        <v>0</v>
      </c>
      <c r="V403" s="132">
        <v>46249</v>
      </c>
      <c r="W403" s="143">
        <f t="array" ref="W403">INDEX('[21]DETEKSI ROT 2 (2)'!$L$343:$L$622,MATCH(1,('[21]DETEKSI ROT 2 (2)'!$D$343:$D$622=$D403)*('[21]DETEKSI ROT 2 (2)'!$D$343:$D$622=$D403),0))</f>
        <v>60</v>
      </c>
      <c r="X403" s="143">
        <f t="array" ref="X403">INDEX('[21]DETEKSI ROT 2 (2)'!$M$343:$M$622,MATCH(1,('[21]DETEKSI ROT 2 (2)'!$D$343:$D$622=$D403)*('[21]DETEKSI ROT 2 (2)'!$D$343:$D$622=$D403),0))</f>
        <v>3</v>
      </c>
      <c r="Y403" s="9">
        <f t="shared" si="59"/>
        <v>5</v>
      </c>
      <c r="Z403" s="8" t="str">
        <f t="array" ref="Z403">IF(Y403&gt;5,"Perlu Sensus",IF(AND(Y403&gt;0,,O403&gt;0),"Tetap Deteksi","Belum Deteksi"))</f>
        <v>Belum Deteksi</v>
      </c>
      <c r="AA403" s="203"/>
      <c r="AB403" s="9">
        <f t="shared" si="62"/>
        <v>0</v>
      </c>
    </row>
    <row r="404" spans="1:28" x14ac:dyDescent="0.15">
      <c r="A404" s="8" t="s">
        <v>322</v>
      </c>
      <c r="B404" s="8" t="s">
        <v>79</v>
      </c>
      <c r="C404" s="8" t="s">
        <v>416</v>
      </c>
      <c r="D404" s="8" t="s">
        <v>429</v>
      </c>
      <c r="E404" s="9">
        <v>23.98</v>
      </c>
      <c r="F404" s="8" t="s">
        <v>132</v>
      </c>
      <c r="G404" s="143">
        <v>3520</v>
      </c>
      <c r="H404" s="132">
        <f t="shared" si="55"/>
        <v>46249</v>
      </c>
      <c r="I404" s="140">
        <f t="shared" si="55"/>
        <v>105</v>
      </c>
      <c r="J404" s="9">
        <f t="shared" si="56"/>
        <v>2.9829545454545454</v>
      </c>
      <c r="K404" s="140">
        <f t="shared" si="57"/>
        <v>6</v>
      </c>
      <c r="L404" s="206">
        <f t="shared" si="58"/>
        <v>5.7142857142857144</v>
      </c>
      <c r="M404" s="8" t="str">
        <f t="array" ref="M404">IF(L404&gt;5,"Perlu Sensus",IF(AND(L404&gt;=0,I404&gt;0),"Tetap Deteksi","Belum Deteksi"))</f>
        <v>Perlu Sensus</v>
      </c>
      <c r="N404" s="132">
        <v>46249</v>
      </c>
      <c r="O404" s="143">
        <f t="array" ref="O404">INDEX('[21]DETEKSI ROT 2 (2)'!$G$343:$G$622,MATCH(1,('[21]DETEKSI ROT 2 (2)'!$D$343:$D$622=$D404)*('[21]DETEKSI ROT 2 (2)'!$D$343:$D$622=$D404),0))</f>
        <v>105</v>
      </c>
      <c r="P404" s="9">
        <f t="array" ref="P404">IFERROR(O404/G404*100,0)</f>
        <v>2.9829545454545454</v>
      </c>
      <c r="Q404" s="143">
        <f t="array" ref="Q404">INDEX('[21]DETEKSI ROT 2 (2)'!$I$343:$I$622,MATCH(1,('[21]DETEKSI ROT 2 (2)'!$D$343:$D$622=$D404)*('[21]DETEKSI ROT 2 (2)'!$D$343:$D$622=$D404),0))</f>
        <v>6</v>
      </c>
      <c r="R404" s="9">
        <f t="shared" si="60"/>
        <v>5.7142857142857144</v>
      </c>
      <c r="S404" s="8" t="str">
        <f t="array" ref="S404">IF(R404&gt;5,"Perlu Sensus",IF(AND(R404&gt;=0,O404&gt;0),"Tetap Deteksi","Belum Deteksi"))</f>
        <v>Perlu Sensus</v>
      </c>
      <c r="T404" s="203"/>
      <c r="U404" s="9">
        <f t="shared" si="61"/>
        <v>0</v>
      </c>
      <c r="V404" s="132">
        <v>46249</v>
      </c>
      <c r="W404" s="143">
        <f t="array" ref="W404">INDEX('[21]DETEKSI ROT 2 (2)'!$L$343:$L$622,MATCH(1,('[21]DETEKSI ROT 2 (2)'!$D$343:$D$622=$D404)*('[21]DETEKSI ROT 2 (2)'!$D$343:$D$622=$D404),0))</f>
        <v>27</v>
      </c>
      <c r="X404" s="143">
        <f t="array" ref="X404">INDEX('[21]DETEKSI ROT 2 (2)'!$M$343:$M$622,MATCH(1,('[21]DETEKSI ROT 2 (2)'!$D$343:$D$622=$D404)*('[21]DETEKSI ROT 2 (2)'!$D$343:$D$622=$D404),0))</f>
        <v>3</v>
      </c>
      <c r="Y404" s="9">
        <f t="shared" si="59"/>
        <v>11.111111111111111</v>
      </c>
      <c r="Z404" s="8" t="str">
        <f t="array" ref="Z404">IF(Y404&gt;5,"Perlu Sensus",IF(AND(Y404&gt;0,,O404&gt;0),"Tetap Deteksi","Belum Deteksi"))</f>
        <v>Perlu Sensus</v>
      </c>
      <c r="AA404" s="203"/>
      <c r="AB404" s="9">
        <f t="shared" si="62"/>
        <v>0</v>
      </c>
    </row>
    <row r="405" spans="1:28" x14ac:dyDescent="0.15">
      <c r="A405" s="8" t="s">
        <v>322</v>
      </c>
      <c r="B405" s="8" t="s">
        <v>79</v>
      </c>
      <c r="C405" s="8" t="s">
        <v>416</v>
      </c>
      <c r="D405" s="8" t="s">
        <v>430</v>
      </c>
      <c r="E405" s="9">
        <v>25.79</v>
      </c>
      <c r="F405" s="8" t="s">
        <v>132</v>
      </c>
      <c r="G405" s="143">
        <v>3917</v>
      </c>
      <c r="H405" s="132">
        <f t="shared" si="55"/>
        <v>46249</v>
      </c>
      <c r="I405" s="140">
        <f t="shared" si="55"/>
        <v>110</v>
      </c>
      <c r="J405" s="9">
        <f t="shared" si="56"/>
        <v>2.8082716364564719</v>
      </c>
      <c r="K405" s="140">
        <f t="shared" si="57"/>
        <v>8</v>
      </c>
      <c r="L405" s="206">
        <f t="shared" si="58"/>
        <v>7.2727272727272725</v>
      </c>
      <c r="M405" s="8" t="str">
        <f t="array" ref="M405">IF(L405&gt;5,"Perlu Sensus",IF(AND(L405&gt;=0,I405&gt;0),"Tetap Deteksi","Belum Deteksi"))</f>
        <v>Perlu Sensus</v>
      </c>
      <c r="N405" s="132">
        <v>46249</v>
      </c>
      <c r="O405" s="143">
        <f t="array" ref="O405">INDEX('[21]DETEKSI ROT 2 (2)'!$G$343:$G$622,MATCH(1,('[21]DETEKSI ROT 2 (2)'!$D$343:$D$622=$D405)*('[21]DETEKSI ROT 2 (2)'!$D$343:$D$622=$D405),0))</f>
        <v>110</v>
      </c>
      <c r="P405" s="9">
        <f t="array" ref="P405">IFERROR(O405/G405*100,0)</f>
        <v>2.8082716364564719</v>
      </c>
      <c r="Q405" s="143">
        <f t="array" ref="Q405">INDEX('[21]DETEKSI ROT 2 (2)'!$I$343:$I$622,MATCH(1,('[21]DETEKSI ROT 2 (2)'!$D$343:$D$622=$D405)*('[21]DETEKSI ROT 2 (2)'!$D$343:$D$622=$D405),0))</f>
        <v>8</v>
      </c>
      <c r="R405" s="9">
        <f t="shared" si="60"/>
        <v>7.2727272727272725</v>
      </c>
      <c r="S405" s="8" t="str">
        <f t="array" ref="S405">IF(R405&gt;5,"Perlu Sensus",IF(AND(R405&gt;=0,O405&gt;0),"Tetap Deteksi","Belum Deteksi"))</f>
        <v>Perlu Sensus</v>
      </c>
      <c r="T405" s="203"/>
      <c r="U405" s="9">
        <f t="shared" si="61"/>
        <v>0</v>
      </c>
      <c r="V405" s="132">
        <v>46249</v>
      </c>
      <c r="W405" s="143">
        <f t="array" ref="W405">INDEX('[21]DETEKSI ROT 2 (2)'!$L$343:$L$622,MATCH(1,('[21]DETEKSI ROT 2 (2)'!$D$343:$D$622=$D405)*('[21]DETEKSI ROT 2 (2)'!$D$343:$D$622=$D405),0))</f>
        <v>64</v>
      </c>
      <c r="X405" s="143">
        <f t="array" ref="X405">INDEX('[21]DETEKSI ROT 2 (2)'!$M$343:$M$622,MATCH(1,('[21]DETEKSI ROT 2 (2)'!$D$343:$D$622=$D405)*('[21]DETEKSI ROT 2 (2)'!$D$343:$D$622=$D405),0))</f>
        <v>3</v>
      </c>
      <c r="Y405" s="9">
        <f t="shared" si="59"/>
        <v>4.6875</v>
      </c>
      <c r="Z405" s="8" t="str">
        <f t="array" ref="Z405">IF(Y405&gt;5,"Perlu Sensus",IF(AND(Y405&gt;0,,O405&gt;0),"Tetap Deteksi","Belum Deteksi"))</f>
        <v>Belum Deteksi</v>
      </c>
      <c r="AA405" s="203"/>
      <c r="AB405" s="9">
        <f t="shared" si="62"/>
        <v>0</v>
      </c>
    </row>
    <row r="406" spans="1:28" x14ac:dyDescent="0.15">
      <c r="A406" s="8" t="s">
        <v>322</v>
      </c>
      <c r="B406" s="8" t="s">
        <v>79</v>
      </c>
      <c r="C406" s="8" t="s">
        <v>416</v>
      </c>
      <c r="D406" s="8" t="s">
        <v>431</v>
      </c>
      <c r="E406" s="9">
        <v>23.94</v>
      </c>
      <c r="F406" s="8" t="s">
        <v>132</v>
      </c>
      <c r="G406" s="143">
        <v>3619</v>
      </c>
      <c r="H406" s="132">
        <f t="shared" si="55"/>
        <v>46249</v>
      </c>
      <c r="I406" s="140">
        <f t="shared" si="55"/>
        <v>121</v>
      </c>
      <c r="J406" s="9">
        <f t="shared" si="56"/>
        <v>3.3434650455927049</v>
      </c>
      <c r="K406" s="140">
        <f t="shared" si="57"/>
        <v>5</v>
      </c>
      <c r="L406" s="206">
        <f t="shared" si="58"/>
        <v>4.1322314049586781</v>
      </c>
      <c r="M406" s="8" t="str">
        <f t="array" ref="M406">IF(L406&gt;5,"Perlu Sensus",IF(AND(L406&gt;=0,I406&gt;0),"Tetap Deteksi","Belum Deteksi"))</f>
        <v>Tetap Deteksi</v>
      </c>
      <c r="N406" s="132">
        <v>46249</v>
      </c>
      <c r="O406" s="143">
        <f t="array" ref="O406">INDEX('[21]DETEKSI ROT 2 (2)'!$G$343:$G$622,MATCH(1,('[21]DETEKSI ROT 2 (2)'!$D$343:$D$622=$D406)*('[21]DETEKSI ROT 2 (2)'!$D$343:$D$622=$D406),0))</f>
        <v>121</v>
      </c>
      <c r="P406" s="9">
        <f t="array" ref="P406">IFERROR(O406/G406*100,0)</f>
        <v>3.3434650455927049</v>
      </c>
      <c r="Q406" s="143">
        <f t="array" ref="Q406">INDEX('[21]DETEKSI ROT 2 (2)'!$I$343:$I$622,MATCH(1,('[21]DETEKSI ROT 2 (2)'!$D$343:$D$622=$D406)*('[21]DETEKSI ROT 2 (2)'!$D$343:$D$622=$D406),0))</f>
        <v>5</v>
      </c>
      <c r="R406" s="9">
        <f t="shared" si="60"/>
        <v>4.1322314049586781</v>
      </c>
      <c r="S406" s="8" t="str">
        <f t="array" ref="S406">IF(R406&gt;5,"Perlu Sensus",IF(AND(R406&gt;=0,O406&gt;0),"Tetap Deteksi","Belum Deteksi"))</f>
        <v>Tetap Deteksi</v>
      </c>
      <c r="T406" s="203"/>
      <c r="U406" s="9">
        <f t="shared" si="61"/>
        <v>0</v>
      </c>
      <c r="V406" s="132">
        <v>46249</v>
      </c>
      <c r="W406" s="143">
        <f t="array" ref="W406">INDEX('[21]DETEKSI ROT 2 (2)'!$L$343:$L$622,MATCH(1,('[21]DETEKSI ROT 2 (2)'!$D$343:$D$622=$D406)*('[21]DETEKSI ROT 2 (2)'!$D$343:$D$622=$D406),0))</f>
        <v>27</v>
      </c>
      <c r="X406" s="143">
        <f t="array" ref="X406">INDEX('[21]DETEKSI ROT 2 (2)'!$M$343:$M$622,MATCH(1,('[21]DETEKSI ROT 2 (2)'!$D$343:$D$622=$D406)*('[21]DETEKSI ROT 2 (2)'!$D$343:$D$622=$D406),0))</f>
        <v>1</v>
      </c>
      <c r="Y406" s="9">
        <f t="shared" si="59"/>
        <v>3.7037037037037033</v>
      </c>
      <c r="Z406" s="8" t="str">
        <f t="array" ref="Z406">IF(Y406&gt;5,"Perlu Sensus",IF(AND(Y406&gt;0,,O406&gt;0),"Tetap Deteksi","Belum Deteksi"))</f>
        <v>Belum Deteksi</v>
      </c>
      <c r="AA406" s="203"/>
      <c r="AB406" s="9">
        <f t="shared" si="62"/>
        <v>0</v>
      </c>
    </row>
    <row r="407" spans="1:28" x14ac:dyDescent="0.15">
      <c r="A407" s="8" t="s">
        <v>322</v>
      </c>
      <c r="B407" s="8" t="s">
        <v>79</v>
      </c>
      <c r="C407" s="8" t="s">
        <v>416</v>
      </c>
      <c r="D407" s="8" t="s">
        <v>432</v>
      </c>
      <c r="E407" s="9">
        <v>25.09</v>
      </c>
      <c r="F407" s="8" t="s">
        <v>132</v>
      </c>
      <c r="G407" s="143">
        <v>3705</v>
      </c>
      <c r="H407" s="132">
        <f t="shared" si="55"/>
        <v>46249</v>
      </c>
      <c r="I407" s="140">
        <f t="shared" si="55"/>
        <v>110</v>
      </c>
      <c r="J407" s="9">
        <f t="shared" si="56"/>
        <v>2.9689608636977058</v>
      </c>
      <c r="K407" s="140">
        <f t="shared" si="57"/>
        <v>5</v>
      </c>
      <c r="L407" s="206">
        <f t="shared" si="58"/>
        <v>4.5454545454545459</v>
      </c>
      <c r="M407" s="8" t="str">
        <f t="array" ref="M407">IF(L407&gt;5,"Perlu Sensus",IF(AND(L407&gt;=0,I407&gt;0),"Tetap Deteksi","Belum Deteksi"))</f>
        <v>Tetap Deteksi</v>
      </c>
      <c r="N407" s="132">
        <v>46249</v>
      </c>
      <c r="O407" s="143">
        <f t="array" ref="O407">INDEX('[21]DETEKSI ROT 2 (2)'!$G$343:$G$622,MATCH(1,('[21]DETEKSI ROT 2 (2)'!$D$343:$D$622=$D407)*('[21]DETEKSI ROT 2 (2)'!$D$343:$D$622=$D407),0))</f>
        <v>110</v>
      </c>
      <c r="P407" s="9">
        <f t="array" ref="P407">IFERROR(O407/G407*100,0)</f>
        <v>2.9689608636977058</v>
      </c>
      <c r="Q407" s="143">
        <f t="array" ref="Q407">INDEX('[21]DETEKSI ROT 2 (2)'!$I$343:$I$622,MATCH(1,('[21]DETEKSI ROT 2 (2)'!$D$343:$D$622=$D407)*('[21]DETEKSI ROT 2 (2)'!$D$343:$D$622=$D407),0))</f>
        <v>5</v>
      </c>
      <c r="R407" s="9">
        <f t="shared" si="60"/>
        <v>4.5454545454545459</v>
      </c>
      <c r="S407" s="8" t="str">
        <f t="array" ref="S407">IF(R407&gt;5,"Perlu Sensus",IF(AND(R407&gt;=0,O407&gt;0),"Tetap Deteksi","Belum Deteksi"))</f>
        <v>Tetap Deteksi</v>
      </c>
      <c r="T407" s="203"/>
      <c r="U407" s="9">
        <f t="shared" si="61"/>
        <v>0</v>
      </c>
      <c r="V407" s="132">
        <v>46249</v>
      </c>
      <c r="W407" s="143">
        <f t="array" ref="W407">INDEX('[21]DETEKSI ROT 2 (2)'!$L$343:$L$622,MATCH(1,('[21]DETEKSI ROT 2 (2)'!$D$343:$D$622=$D407)*('[21]DETEKSI ROT 2 (2)'!$D$343:$D$622=$D407),0))</f>
        <v>38</v>
      </c>
      <c r="X407" s="143">
        <f t="array" ref="X407">INDEX('[21]DETEKSI ROT 2 (2)'!$M$343:$M$622,MATCH(1,('[21]DETEKSI ROT 2 (2)'!$D$343:$D$622=$D407)*('[21]DETEKSI ROT 2 (2)'!$D$343:$D$622=$D407),0))</f>
        <v>1</v>
      </c>
      <c r="Y407" s="9">
        <f t="shared" si="59"/>
        <v>2.6315789473684208</v>
      </c>
      <c r="Z407" s="8" t="str">
        <f t="array" ref="Z407">IF(Y407&gt;5,"Perlu Sensus",IF(AND(Y407&gt;0,,O407&gt;0),"Tetap Deteksi","Belum Deteksi"))</f>
        <v>Belum Deteksi</v>
      </c>
      <c r="AA407" s="203"/>
      <c r="AB407" s="9">
        <f t="shared" si="62"/>
        <v>0</v>
      </c>
    </row>
    <row r="408" spans="1:28" x14ac:dyDescent="0.15">
      <c r="A408" s="8" t="s">
        <v>322</v>
      </c>
      <c r="B408" s="8" t="s">
        <v>79</v>
      </c>
      <c r="C408" s="8" t="s">
        <v>416</v>
      </c>
      <c r="D408" s="8" t="s">
        <v>433</v>
      </c>
      <c r="E408" s="9">
        <v>25.84</v>
      </c>
      <c r="F408" s="8" t="s">
        <v>132</v>
      </c>
      <c r="G408" s="143">
        <v>3886</v>
      </c>
      <c r="H408" s="132">
        <f t="shared" si="55"/>
        <v>46249</v>
      </c>
      <c r="I408" s="140">
        <f t="shared" si="55"/>
        <v>112</v>
      </c>
      <c r="J408" s="9">
        <f t="shared" si="56"/>
        <v>2.8821410190427175</v>
      </c>
      <c r="K408" s="140">
        <f t="shared" si="57"/>
        <v>5</v>
      </c>
      <c r="L408" s="206">
        <f t="shared" si="58"/>
        <v>4.4642857142857144</v>
      </c>
      <c r="M408" s="8" t="str">
        <f t="array" ref="M408">IF(L408&gt;5,"Perlu Sensus",IF(AND(L408&gt;=0,I408&gt;0),"Tetap Deteksi","Belum Deteksi"))</f>
        <v>Tetap Deteksi</v>
      </c>
      <c r="N408" s="132">
        <v>46249</v>
      </c>
      <c r="O408" s="143">
        <f t="array" ref="O408">INDEX('[21]DETEKSI ROT 2 (2)'!$G$343:$G$622,MATCH(1,('[21]DETEKSI ROT 2 (2)'!$D$343:$D$622=$D408)*('[21]DETEKSI ROT 2 (2)'!$D$343:$D$622=$D408),0))</f>
        <v>112</v>
      </c>
      <c r="P408" s="9">
        <f t="array" ref="P408">IFERROR(O408/G408*100,0)</f>
        <v>2.8821410190427175</v>
      </c>
      <c r="Q408" s="143">
        <f t="array" ref="Q408">INDEX('[21]DETEKSI ROT 2 (2)'!$I$343:$I$622,MATCH(1,('[21]DETEKSI ROT 2 (2)'!$D$343:$D$622=$D408)*('[21]DETEKSI ROT 2 (2)'!$D$343:$D$622=$D408),0))</f>
        <v>5</v>
      </c>
      <c r="R408" s="9">
        <f t="shared" si="60"/>
        <v>4.4642857142857144</v>
      </c>
      <c r="S408" s="8" t="str">
        <f t="array" ref="S408">IF(R408&gt;5,"Perlu Sensus",IF(AND(R408&gt;=0,O408&gt;0),"Tetap Deteksi","Belum Deteksi"))</f>
        <v>Tetap Deteksi</v>
      </c>
      <c r="T408" s="203"/>
      <c r="U408" s="9">
        <f t="shared" si="61"/>
        <v>0</v>
      </c>
      <c r="V408" s="132">
        <v>46249</v>
      </c>
      <c r="W408" s="143">
        <f t="array" ref="W408">INDEX('[21]DETEKSI ROT 2 (2)'!$L$343:$L$622,MATCH(1,('[21]DETEKSI ROT 2 (2)'!$D$343:$D$622=$D408)*('[21]DETEKSI ROT 2 (2)'!$D$343:$D$622=$D408),0))</f>
        <v>102</v>
      </c>
      <c r="X408" s="143">
        <f t="array" ref="X408">INDEX('[21]DETEKSI ROT 2 (2)'!$M$343:$M$622,MATCH(1,('[21]DETEKSI ROT 2 (2)'!$D$343:$D$622=$D408)*('[21]DETEKSI ROT 2 (2)'!$D$343:$D$622=$D408),0))</f>
        <v>4</v>
      </c>
      <c r="Y408" s="9">
        <f t="shared" si="59"/>
        <v>3.9215686274509802</v>
      </c>
      <c r="Z408" s="8" t="str">
        <f t="array" ref="Z408">IF(Y408&gt;5,"Perlu Sensus",IF(AND(Y408&gt;0,,O408&gt;0),"Tetap Deteksi","Belum Deteksi"))</f>
        <v>Belum Deteksi</v>
      </c>
      <c r="AA408" s="203"/>
      <c r="AB408" s="9">
        <f t="shared" si="62"/>
        <v>0</v>
      </c>
    </row>
    <row r="409" spans="1:28" x14ac:dyDescent="0.15">
      <c r="A409" s="8" t="s">
        <v>322</v>
      </c>
      <c r="B409" s="8" t="s">
        <v>79</v>
      </c>
      <c r="C409" s="8" t="s">
        <v>416</v>
      </c>
      <c r="D409" s="8" t="s">
        <v>434</v>
      </c>
      <c r="E409" s="9">
        <v>24.06</v>
      </c>
      <c r="F409" s="8" t="s">
        <v>132</v>
      </c>
      <c r="G409" s="143">
        <v>3533</v>
      </c>
      <c r="H409" s="132">
        <f t="shared" si="55"/>
        <v>46249</v>
      </c>
      <c r="I409" s="140">
        <f t="shared" si="55"/>
        <v>112</v>
      </c>
      <c r="J409" s="9">
        <f t="shared" si="56"/>
        <v>3.1701103877724313</v>
      </c>
      <c r="K409" s="140">
        <f t="shared" si="57"/>
        <v>6</v>
      </c>
      <c r="L409" s="206">
        <f t="shared" si="58"/>
        <v>5.3571428571428568</v>
      </c>
      <c r="M409" s="8" t="str">
        <f t="array" ref="M409">IF(L409&gt;5,"Perlu Sensus",IF(AND(L409&gt;=0,I409&gt;0),"Tetap Deteksi","Belum Deteksi"))</f>
        <v>Perlu Sensus</v>
      </c>
      <c r="N409" s="132">
        <v>46249</v>
      </c>
      <c r="O409" s="143">
        <f t="array" ref="O409">INDEX('[21]DETEKSI ROT 2 (2)'!$G$343:$G$622,MATCH(1,('[21]DETEKSI ROT 2 (2)'!$D$343:$D$622=$D409)*('[21]DETEKSI ROT 2 (2)'!$D$343:$D$622=$D409),0))</f>
        <v>112</v>
      </c>
      <c r="P409" s="9">
        <f t="array" ref="P409">IFERROR(O409/G409*100,0)</f>
        <v>3.1701103877724313</v>
      </c>
      <c r="Q409" s="143">
        <f t="array" ref="Q409">INDEX('[21]DETEKSI ROT 2 (2)'!$I$343:$I$622,MATCH(1,('[21]DETEKSI ROT 2 (2)'!$D$343:$D$622=$D409)*('[21]DETEKSI ROT 2 (2)'!$D$343:$D$622=$D409),0))</f>
        <v>6</v>
      </c>
      <c r="R409" s="9">
        <f t="shared" si="60"/>
        <v>5.3571428571428568</v>
      </c>
      <c r="S409" s="8" t="str">
        <f t="array" ref="S409">IF(R409&gt;5,"Perlu Sensus",IF(AND(R409&gt;=0,O409&gt;0),"Tetap Deteksi","Belum Deteksi"))</f>
        <v>Perlu Sensus</v>
      </c>
      <c r="T409" s="203"/>
      <c r="U409" s="9">
        <f t="shared" si="61"/>
        <v>0</v>
      </c>
      <c r="V409" s="132">
        <v>46249</v>
      </c>
      <c r="W409" s="143">
        <f t="array" ref="W409">INDEX('[21]DETEKSI ROT 2 (2)'!$L$343:$L$622,MATCH(1,('[21]DETEKSI ROT 2 (2)'!$D$343:$D$622=$D409)*('[21]DETEKSI ROT 2 (2)'!$D$343:$D$622=$D409),0))</f>
        <v>45</v>
      </c>
      <c r="X409" s="143">
        <f t="array" ref="X409">INDEX('[21]DETEKSI ROT 2 (2)'!$M$343:$M$622,MATCH(1,('[21]DETEKSI ROT 2 (2)'!$D$343:$D$622=$D409)*('[21]DETEKSI ROT 2 (2)'!$D$343:$D$622=$D409),0))</f>
        <v>2</v>
      </c>
      <c r="Y409" s="9">
        <f t="shared" si="59"/>
        <v>4.4444444444444446</v>
      </c>
      <c r="Z409" s="8" t="str">
        <f t="array" ref="Z409">IF(Y409&gt;5,"Perlu Sensus",IF(AND(Y409&gt;0,,O409&gt;0),"Tetap Deteksi","Belum Deteksi"))</f>
        <v>Belum Deteksi</v>
      </c>
      <c r="AA409" s="203"/>
      <c r="AB409" s="9">
        <f t="shared" si="62"/>
        <v>0</v>
      </c>
    </row>
    <row r="410" spans="1:28" x14ac:dyDescent="0.15">
      <c r="A410" s="8" t="s">
        <v>322</v>
      </c>
      <c r="B410" s="8" t="s">
        <v>79</v>
      </c>
      <c r="C410" s="8" t="s">
        <v>416</v>
      </c>
      <c r="D410" s="8" t="s">
        <v>435</v>
      </c>
      <c r="E410" s="9">
        <v>25.22</v>
      </c>
      <c r="F410" s="8" t="s">
        <v>132</v>
      </c>
      <c r="G410" s="143">
        <v>3718</v>
      </c>
      <c r="H410" s="132">
        <f t="shared" si="55"/>
        <v>46249</v>
      </c>
      <c r="I410" s="140">
        <f t="shared" si="55"/>
        <v>152</v>
      </c>
      <c r="J410" s="9">
        <f t="shared" si="56"/>
        <v>4.0882194728348571</v>
      </c>
      <c r="K410" s="140">
        <f t="shared" si="57"/>
        <v>7</v>
      </c>
      <c r="L410" s="206">
        <f t="shared" si="58"/>
        <v>4.6052631578947363</v>
      </c>
      <c r="M410" s="8" t="str">
        <f t="array" ref="M410">IF(L410&gt;5,"Perlu Sensus",IF(AND(L410&gt;=0,I410&gt;0),"Tetap Deteksi","Belum Deteksi"))</f>
        <v>Tetap Deteksi</v>
      </c>
      <c r="N410" s="132">
        <v>46249</v>
      </c>
      <c r="O410" s="143">
        <f t="array" ref="O410">INDEX('[21]DETEKSI ROT 2 (2)'!$G$343:$G$622,MATCH(1,('[21]DETEKSI ROT 2 (2)'!$D$343:$D$622=$D410)*('[21]DETEKSI ROT 2 (2)'!$D$343:$D$622=$D410),0))</f>
        <v>152</v>
      </c>
      <c r="P410" s="9">
        <f t="array" ref="P410">IFERROR(O410/G410*100,0)</f>
        <v>4.0882194728348571</v>
      </c>
      <c r="Q410" s="143">
        <f t="array" ref="Q410">INDEX('[21]DETEKSI ROT 2 (2)'!$I$343:$I$622,MATCH(1,('[21]DETEKSI ROT 2 (2)'!$D$343:$D$622=$D410)*('[21]DETEKSI ROT 2 (2)'!$D$343:$D$622=$D410),0))</f>
        <v>7</v>
      </c>
      <c r="R410" s="9">
        <f t="shared" si="60"/>
        <v>4.6052631578947363</v>
      </c>
      <c r="S410" s="8" t="str">
        <f t="array" ref="S410">IF(R410&gt;5,"Perlu Sensus",IF(AND(R410&gt;=0,O410&gt;0),"Tetap Deteksi","Belum Deteksi"))</f>
        <v>Tetap Deteksi</v>
      </c>
      <c r="T410" s="203"/>
      <c r="U410" s="9">
        <f t="shared" si="61"/>
        <v>0</v>
      </c>
      <c r="V410" s="132">
        <v>46249</v>
      </c>
      <c r="W410" s="143">
        <f t="array" ref="W410">INDEX('[21]DETEKSI ROT 2 (2)'!$L$343:$L$622,MATCH(1,('[21]DETEKSI ROT 2 (2)'!$D$343:$D$622=$D410)*('[21]DETEKSI ROT 2 (2)'!$D$343:$D$622=$D410),0))</f>
        <v>56</v>
      </c>
      <c r="X410" s="143">
        <f t="array" ref="X410">INDEX('[21]DETEKSI ROT 2 (2)'!$M$343:$M$622,MATCH(1,('[21]DETEKSI ROT 2 (2)'!$D$343:$D$622=$D410)*('[21]DETEKSI ROT 2 (2)'!$D$343:$D$622=$D410),0))</f>
        <v>2</v>
      </c>
      <c r="Y410" s="9">
        <f t="shared" si="59"/>
        <v>3.5714285714285712</v>
      </c>
      <c r="Z410" s="8" t="str">
        <f t="array" ref="Z410">IF(Y410&gt;5,"Perlu Sensus",IF(AND(Y410&gt;0,,O410&gt;0),"Tetap Deteksi","Belum Deteksi"))</f>
        <v>Belum Deteksi</v>
      </c>
      <c r="AA410" s="203"/>
      <c r="AB410" s="9">
        <f t="shared" si="62"/>
        <v>0</v>
      </c>
    </row>
    <row r="411" spans="1:28" x14ac:dyDescent="0.15">
      <c r="A411" s="8" t="s">
        <v>322</v>
      </c>
      <c r="B411" s="8" t="s">
        <v>79</v>
      </c>
      <c r="C411" s="8" t="s">
        <v>416</v>
      </c>
      <c r="D411" s="8" t="s">
        <v>436</v>
      </c>
      <c r="E411" s="9">
        <v>23.41</v>
      </c>
      <c r="F411" s="8" t="s">
        <v>132</v>
      </c>
      <c r="G411" s="143">
        <v>3428</v>
      </c>
      <c r="H411" s="132">
        <f t="shared" si="55"/>
        <v>46249</v>
      </c>
      <c r="I411" s="140">
        <f t="shared" si="55"/>
        <v>108</v>
      </c>
      <c r="J411" s="9">
        <f t="shared" si="56"/>
        <v>3.1505250875145858</v>
      </c>
      <c r="K411" s="140">
        <f t="shared" si="57"/>
        <v>5</v>
      </c>
      <c r="L411" s="206">
        <f t="shared" si="58"/>
        <v>4.6296296296296298</v>
      </c>
      <c r="M411" s="8" t="str">
        <f t="array" ref="M411">IF(L411&gt;5,"Perlu Sensus",IF(AND(L411&gt;=0,I411&gt;0),"Tetap Deteksi","Belum Deteksi"))</f>
        <v>Tetap Deteksi</v>
      </c>
      <c r="N411" s="132">
        <v>46249</v>
      </c>
      <c r="O411" s="143">
        <f t="array" ref="O411">INDEX('[21]DETEKSI ROT 2 (2)'!$G$343:$G$622,MATCH(1,('[21]DETEKSI ROT 2 (2)'!$D$343:$D$622=$D411)*('[21]DETEKSI ROT 2 (2)'!$D$343:$D$622=$D411),0))</f>
        <v>108</v>
      </c>
      <c r="P411" s="9">
        <f t="array" ref="P411">IFERROR(O411/G411*100,0)</f>
        <v>3.1505250875145858</v>
      </c>
      <c r="Q411" s="143">
        <f t="array" ref="Q411">INDEX('[21]DETEKSI ROT 2 (2)'!$I$343:$I$622,MATCH(1,('[21]DETEKSI ROT 2 (2)'!$D$343:$D$622=$D411)*('[21]DETEKSI ROT 2 (2)'!$D$343:$D$622=$D411),0))</f>
        <v>5</v>
      </c>
      <c r="R411" s="9">
        <f t="shared" si="60"/>
        <v>4.6296296296296298</v>
      </c>
      <c r="S411" s="8" t="str">
        <f t="array" ref="S411">IF(R411&gt;5,"Perlu Sensus",IF(AND(R411&gt;=0,O411&gt;0),"Tetap Deteksi","Belum Deteksi"))</f>
        <v>Tetap Deteksi</v>
      </c>
      <c r="T411" s="203"/>
      <c r="U411" s="9">
        <f t="shared" si="61"/>
        <v>0</v>
      </c>
      <c r="V411" s="132">
        <v>46249</v>
      </c>
      <c r="W411" s="143">
        <f t="array" ref="W411">INDEX('[21]DETEKSI ROT 2 (2)'!$L$343:$L$622,MATCH(1,('[21]DETEKSI ROT 2 (2)'!$D$343:$D$622=$D411)*('[21]DETEKSI ROT 2 (2)'!$D$343:$D$622=$D411),0))</f>
        <v>39</v>
      </c>
      <c r="X411" s="143">
        <f t="array" ref="X411">INDEX('[21]DETEKSI ROT 2 (2)'!$M$343:$M$622,MATCH(1,('[21]DETEKSI ROT 2 (2)'!$D$343:$D$622=$D411)*('[21]DETEKSI ROT 2 (2)'!$D$343:$D$622=$D411),0))</f>
        <v>1</v>
      </c>
      <c r="Y411" s="9">
        <f t="shared" si="59"/>
        <v>2.5641025641025639</v>
      </c>
      <c r="Z411" s="8" t="str">
        <f t="array" ref="Z411">IF(Y411&gt;5,"Perlu Sensus",IF(AND(Y411&gt;0,,O411&gt;0),"Tetap Deteksi","Belum Deteksi"))</f>
        <v>Belum Deteksi</v>
      </c>
      <c r="AA411" s="203"/>
      <c r="AB411" s="9">
        <f t="shared" si="62"/>
        <v>0</v>
      </c>
    </row>
    <row r="412" spans="1:28" x14ac:dyDescent="0.15">
      <c r="A412" s="8" t="s">
        <v>322</v>
      </c>
      <c r="B412" s="8" t="s">
        <v>79</v>
      </c>
      <c r="C412" s="8" t="s">
        <v>416</v>
      </c>
      <c r="D412" s="8" t="s">
        <v>437</v>
      </c>
      <c r="E412" s="9">
        <v>26.86</v>
      </c>
      <c r="F412" s="8" t="s">
        <v>132</v>
      </c>
      <c r="G412" s="143">
        <v>3830</v>
      </c>
      <c r="H412" s="132">
        <f t="shared" si="55"/>
        <v>46249</v>
      </c>
      <c r="I412" s="140">
        <f t="shared" si="55"/>
        <v>95</v>
      </c>
      <c r="J412" s="9">
        <f t="shared" si="56"/>
        <v>2.4804177545691903</v>
      </c>
      <c r="K412" s="140">
        <f t="shared" si="57"/>
        <v>2</v>
      </c>
      <c r="L412" s="206">
        <f t="shared" si="58"/>
        <v>2.1052631578947367</v>
      </c>
      <c r="M412" s="8" t="str">
        <f t="array" ref="M412">IF(L412&gt;5,"Perlu Sensus",IF(AND(L412&gt;=0,I412&gt;0),"Tetap Deteksi","Belum Deteksi"))</f>
        <v>Tetap Deteksi</v>
      </c>
      <c r="N412" s="132">
        <v>46249</v>
      </c>
      <c r="O412" s="143">
        <f t="array" ref="O412">INDEX('[21]DETEKSI ROT 2 (2)'!$G$343:$G$622,MATCH(1,('[21]DETEKSI ROT 2 (2)'!$D$343:$D$622=$D412)*('[21]DETEKSI ROT 2 (2)'!$D$343:$D$622=$D412),0))</f>
        <v>95</v>
      </c>
      <c r="P412" s="9">
        <f t="array" ref="P412">IFERROR(O412/G412*100,0)</f>
        <v>2.4804177545691903</v>
      </c>
      <c r="Q412" s="143">
        <f t="array" ref="Q412">INDEX('[21]DETEKSI ROT 2 (2)'!$I$343:$I$622,MATCH(1,('[21]DETEKSI ROT 2 (2)'!$D$343:$D$622=$D412)*('[21]DETEKSI ROT 2 (2)'!$D$343:$D$622=$D412),0))</f>
        <v>2</v>
      </c>
      <c r="R412" s="9">
        <f t="shared" si="60"/>
        <v>2.1052631578947367</v>
      </c>
      <c r="S412" s="8" t="str">
        <f t="array" ref="S412">IF(R412&gt;5,"Perlu Sensus",IF(AND(R412&gt;=0,O412&gt;0),"Tetap Deteksi","Belum Deteksi"))</f>
        <v>Tetap Deteksi</v>
      </c>
      <c r="T412" s="203"/>
      <c r="U412" s="9">
        <f t="shared" si="61"/>
        <v>0</v>
      </c>
      <c r="V412" s="132">
        <v>46249</v>
      </c>
      <c r="W412" s="143">
        <f t="array" ref="W412">INDEX('[21]DETEKSI ROT 2 (2)'!$L$343:$L$622,MATCH(1,('[21]DETEKSI ROT 2 (2)'!$D$343:$D$622=$D412)*('[21]DETEKSI ROT 2 (2)'!$D$343:$D$622=$D412),0))</f>
        <v>53</v>
      </c>
      <c r="X412" s="143">
        <f t="array" ref="X412">INDEX('[21]DETEKSI ROT 2 (2)'!$M$343:$M$622,MATCH(1,('[21]DETEKSI ROT 2 (2)'!$D$343:$D$622=$D412)*('[21]DETEKSI ROT 2 (2)'!$D$343:$D$622=$D412),0))</f>
        <v>2</v>
      </c>
      <c r="Y412" s="9">
        <f t="shared" si="59"/>
        <v>3.7735849056603774</v>
      </c>
      <c r="Z412" s="8" t="str">
        <f t="array" ref="Z412">IF(Y412&gt;5,"Perlu Sensus",IF(AND(Y412&gt;0,,O412&gt;0),"Tetap Deteksi","Belum Deteksi"))</f>
        <v>Belum Deteksi</v>
      </c>
      <c r="AA412" s="203"/>
      <c r="AB412" s="9">
        <f t="shared" si="62"/>
        <v>0</v>
      </c>
    </row>
    <row r="413" spans="1:28" x14ac:dyDescent="0.15">
      <c r="A413" s="8" t="s">
        <v>322</v>
      </c>
      <c r="B413" s="8" t="s">
        <v>79</v>
      </c>
      <c r="C413" s="8" t="s">
        <v>416</v>
      </c>
      <c r="D413" s="8" t="s">
        <v>438</v>
      </c>
      <c r="E413" s="9">
        <v>25.23</v>
      </c>
      <c r="F413" s="8" t="s">
        <v>132</v>
      </c>
      <c r="G413" s="143">
        <v>3399</v>
      </c>
      <c r="H413" s="132">
        <f t="shared" si="55"/>
        <v>46249</v>
      </c>
      <c r="I413" s="140">
        <f t="shared" si="55"/>
        <v>112</v>
      </c>
      <c r="J413" s="9">
        <f t="shared" si="56"/>
        <v>3.2950867902324212</v>
      </c>
      <c r="K413" s="140">
        <f t="shared" si="57"/>
        <v>6</v>
      </c>
      <c r="L413" s="206">
        <f t="shared" si="58"/>
        <v>5.3571428571428568</v>
      </c>
      <c r="M413" s="8" t="str">
        <f t="array" ref="M413">IF(L413&gt;5,"Perlu Sensus",IF(AND(L413&gt;=0,I413&gt;0),"Tetap Deteksi","Belum Deteksi"))</f>
        <v>Perlu Sensus</v>
      </c>
      <c r="N413" s="132">
        <v>46249</v>
      </c>
      <c r="O413" s="143">
        <f t="array" ref="O413">INDEX('[21]DETEKSI ROT 2 (2)'!$G$343:$G$622,MATCH(1,('[21]DETEKSI ROT 2 (2)'!$D$343:$D$622=$D413)*('[21]DETEKSI ROT 2 (2)'!$D$343:$D$622=$D413),0))</f>
        <v>112</v>
      </c>
      <c r="P413" s="9">
        <f t="array" ref="P413">IFERROR(O413/G413*100,0)</f>
        <v>3.2950867902324212</v>
      </c>
      <c r="Q413" s="143">
        <f t="array" ref="Q413">INDEX('[21]DETEKSI ROT 2 (2)'!$I$343:$I$622,MATCH(1,('[21]DETEKSI ROT 2 (2)'!$D$343:$D$622=$D413)*('[21]DETEKSI ROT 2 (2)'!$D$343:$D$622=$D413),0))</f>
        <v>6</v>
      </c>
      <c r="R413" s="9">
        <f t="shared" si="60"/>
        <v>5.3571428571428568</v>
      </c>
      <c r="S413" s="8" t="str">
        <f t="array" ref="S413">IF(R413&gt;5,"Perlu Sensus",IF(AND(R413&gt;=0,O413&gt;0),"Tetap Deteksi","Belum Deteksi"))</f>
        <v>Perlu Sensus</v>
      </c>
      <c r="T413" s="203"/>
      <c r="U413" s="9">
        <f t="shared" si="61"/>
        <v>0</v>
      </c>
      <c r="V413" s="132">
        <v>46249</v>
      </c>
      <c r="W413" s="143">
        <f t="array" ref="W413">INDEX('[21]DETEKSI ROT 2 (2)'!$L$343:$L$622,MATCH(1,('[21]DETEKSI ROT 2 (2)'!$D$343:$D$622=$D413)*('[21]DETEKSI ROT 2 (2)'!$D$343:$D$622=$D413),0))</f>
        <v>41</v>
      </c>
      <c r="X413" s="143">
        <f t="array" ref="X413">INDEX('[21]DETEKSI ROT 2 (2)'!$M$343:$M$622,MATCH(1,('[21]DETEKSI ROT 2 (2)'!$D$343:$D$622=$D413)*('[21]DETEKSI ROT 2 (2)'!$D$343:$D$622=$D413),0))</f>
        <v>2</v>
      </c>
      <c r="Y413" s="9">
        <f t="shared" si="59"/>
        <v>4.8780487804878048</v>
      </c>
      <c r="Z413" s="8" t="str">
        <f t="array" ref="Z413">IF(Y413&gt;5,"Perlu Sensus",IF(AND(Y413&gt;0,,O413&gt;0),"Tetap Deteksi","Belum Deteksi"))</f>
        <v>Belum Deteksi</v>
      </c>
      <c r="AA413" s="203"/>
      <c r="AB413" s="9">
        <f t="shared" si="62"/>
        <v>0</v>
      </c>
    </row>
    <row r="414" spans="1:28" x14ac:dyDescent="0.15">
      <c r="A414" s="8" t="s">
        <v>322</v>
      </c>
      <c r="B414" s="8" t="s">
        <v>79</v>
      </c>
      <c r="C414" s="8" t="s">
        <v>416</v>
      </c>
      <c r="D414" s="8" t="s">
        <v>439</v>
      </c>
      <c r="E414" s="9">
        <v>31.02</v>
      </c>
      <c r="F414" s="8" t="s">
        <v>132</v>
      </c>
      <c r="G414" s="143">
        <v>4665</v>
      </c>
      <c r="H414" s="132">
        <f t="shared" si="55"/>
        <v>46249</v>
      </c>
      <c r="I414" s="140">
        <f t="shared" si="55"/>
        <v>91</v>
      </c>
      <c r="J414" s="9">
        <f t="shared" si="56"/>
        <v>1.9506966773847803</v>
      </c>
      <c r="K414" s="140">
        <f t="shared" si="57"/>
        <v>4</v>
      </c>
      <c r="L414" s="206">
        <f t="shared" si="58"/>
        <v>4.395604395604396</v>
      </c>
      <c r="M414" s="8" t="str">
        <f t="array" ref="M414">IF(L414&gt;5,"Perlu Sensus",IF(AND(L414&gt;=0,I414&gt;0),"Tetap Deteksi","Belum Deteksi"))</f>
        <v>Tetap Deteksi</v>
      </c>
      <c r="N414" s="132">
        <v>46249</v>
      </c>
      <c r="O414" s="143">
        <f t="array" ref="O414">INDEX('[21]DETEKSI ROT 2 (2)'!$G$343:$G$622,MATCH(1,('[21]DETEKSI ROT 2 (2)'!$D$343:$D$622=$D414)*('[21]DETEKSI ROT 2 (2)'!$D$343:$D$622=$D414),0))</f>
        <v>91</v>
      </c>
      <c r="P414" s="9">
        <f t="array" ref="P414">IFERROR(O414/G414*100,0)</f>
        <v>1.9506966773847803</v>
      </c>
      <c r="Q414" s="143">
        <f t="array" ref="Q414">INDEX('[21]DETEKSI ROT 2 (2)'!$I$343:$I$622,MATCH(1,('[21]DETEKSI ROT 2 (2)'!$D$343:$D$622=$D414)*('[21]DETEKSI ROT 2 (2)'!$D$343:$D$622=$D414),0))</f>
        <v>4</v>
      </c>
      <c r="R414" s="9">
        <f t="shared" si="60"/>
        <v>4.395604395604396</v>
      </c>
      <c r="S414" s="8" t="str">
        <f t="array" ref="S414">IF(R414&gt;5,"Perlu Sensus",IF(AND(R414&gt;=0,O414&gt;0),"Tetap Deteksi","Belum Deteksi"))</f>
        <v>Tetap Deteksi</v>
      </c>
      <c r="T414" s="203"/>
      <c r="U414" s="9">
        <f t="shared" si="61"/>
        <v>0</v>
      </c>
      <c r="V414" s="132">
        <v>46249</v>
      </c>
      <c r="W414" s="143">
        <f t="array" ref="W414">INDEX('[21]DETEKSI ROT 2 (2)'!$L$343:$L$622,MATCH(1,('[21]DETEKSI ROT 2 (2)'!$D$343:$D$622=$D414)*('[21]DETEKSI ROT 2 (2)'!$D$343:$D$622=$D414),0))</f>
        <v>112</v>
      </c>
      <c r="X414" s="143">
        <f t="array" ref="X414">INDEX('[21]DETEKSI ROT 2 (2)'!$M$343:$M$622,MATCH(1,('[21]DETEKSI ROT 2 (2)'!$D$343:$D$622=$D414)*('[21]DETEKSI ROT 2 (2)'!$D$343:$D$622=$D414),0))</f>
        <v>6</v>
      </c>
      <c r="Y414" s="9">
        <f t="shared" si="59"/>
        <v>5.3571428571428568</v>
      </c>
      <c r="Z414" s="8" t="str">
        <f t="array" ref="Z414">IF(Y414&gt;5,"Perlu Sensus",IF(AND(Y414&gt;0,,O414&gt;0),"Tetap Deteksi","Belum Deteksi"))</f>
        <v>Perlu Sensus</v>
      </c>
      <c r="AA414" s="203"/>
      <c r="AB414" s="9">
        <f t="shared" si="62"/>
        <v>0</v>
      </c>
    </row>
    <row r="415" spans="1:28" x14ac:dyDescent="0.15">
      <c r="A415" s="8" t="s">
        <v>322</v>
      </c>
      <c r="B415" s="8" t="s">
        <v>79</v>
      </c>
      <c r="C415" s="8" t="s">
        <v>416</v>
      </c>
      <c r="D415" s="8" t="s">
        <v>440</v>
      </c>
      <c r="E415" s="9">
        <v>26.28</v>
      </c>
      <c r="F415" s="8" t="s">
        <v>132</v>
      </c>
      <c r="G415" s="143">
        <v>3947</v>
      </c>
      <c r="H415" s="132">
        <f t="shared" si="55"/>
        <v>46249</v>
      </c>
      <c r="I415" s="140">
        <f t="shared" si="55"/>
        <v>101</v>
      </c>
      <c r="J415" s="9">
        <f t="shared" si="56"/>
        <v>2.5589054978464656</v>
      </c>
      <c r="K415" s="140">
        <f t="shared" si="57"/>
        <v>3</v>
      </c>
      <c r="L415" s="206">
        <f t="shared" si="58"/>
        <v>2.9702970297029703</v>
      </c>
      <c r="M415" s="8" t="str">
        <f t="array" ref="M415">IF(L415&gt;5,"Perlu Sensus",IF(AND(L415&gt;=0,I415&gt;0),"Tetap Deteksi","Belum Deteksi"))</f>
        <v>Tetap Deteksi</v>
      </c>
      <c r="N415" s="132">
        <v>46249</v>
      </c>
      <c r="O415" s="143">
        <f t="array" ref="O415">INDEX('[21]DETEKSI ROT 2 (2)'!$G$343:$G$622,MATCH(1,('[21]DETEKSI ROT 2 (2)'!$D$343:$D$622=$D415)*('[21]DETEKSI ROT 2 (2)'!$D$343:$D$622=$D415),0))</f>
        <v>101</v>
      </c>
      <c r="P415" s="9">
        <f t="array" ref="P415">IFERROR(O415/G415*100,0)</f>
        <v>2.5589054978464656</v>
      </c>
      <c r="Q415" s="143">
        <f t="array" ref="Q415">INDEX('[21]DETEKSI ROT 2 (2)'!$I$343:$I$622,MATCH(1,('[21]DETEKSI ROT 2 (2)'!$D$343:$D$622=$D415)*('[21]DETEKSI ROT 2 (2)'!$D$343:$D$622=$D415),0))</f>
        <v>3</v>
      </c>
      <c r="R415" s="9">
        <f t="shared" si="60"/>
        <v>2.9702970297029703</v>
      </c>
      <c r="S415" s="8" t="str">
        <f t="array" ref="S415">IF(R415&gt;5,"Perlu Sensus",IF(AND(R415&gt;=0,O415&gt;0),"Tetap Deteksi","Belum Deteksi"))</f>
        <v>Tetap Deteksi</v>
      </c>
      <c r="T415" s="203"/>
      <c r="U415" s="9">
        <f t="shared" si="61"/>
        <v>0</v>
      </c>
      <c r="V415" s="132">
        <v>46249</v>
      </c>
      <c r="W415" s="143">
        <f t="array" ref="W415">INDEX('[21]DETEKSI ROT 2 (2)'!$L$343:$L$622,MATCH(1,('[21]DETEKSI ROT 2 (2)'!$D$343:$D$622=$D415)*('[21]DETEKSI ROT 2 (2)'!$D$343:$D$622=$D415),0))</f>
        <v>112</v>
      </c>
      <c r="X415" s="143">
        <f t="array" ref="X415">INDEX('[21]DETEKSI ROT 2 (2)'!$M$343:$M$622,MATCH(1,('[21]DETEKSI ROT 2 (2)'!$D$343:$D$622=$D415)*('[21]DETEKSI ROT 2 (2)'!$D$343:$D$622=$D415),0))</f>
        <v>4</v>
      </c>
      <c r="Y415" s="9">
        <f t="shared" si="59"/>
        <v>3.5714285714285712</v>
      </c>
      <c r="Z415" s="8" t="str">
        <f t="array" ref="Z415">IF(Y415&gt;5,"Perlu Sensus",IF(AND(Y415&gt;0,,O415&gt;0),"Tetap Deteksi","Belum Deteksi"))</f>
        <v>Belum Deteksi</v>
      </c>
      <c r="AA415" s="203"/>
      <c r="AB415" s="9">
        <f t="shared" si="62"/>
        <v>0</v>
      </c>
    </row>
    <row r="416" spans="1:28" x14ac:dyDescent="0.15">
      <c r="A416" s="8" t="s">
        <v>322</v>
      </c>
      <c r="B416" s="8" t="s">
        <v>79</v>
      </c>
      <c r="C416" s="8" t="s">
        <v>416</v>
      </c>
      <c r="D416" s="8" t="s">
        <v>441</v>
      </c>
      <c r="E416" s="9">
        <v>26.95</v>
      </c>
      <c r="F416" s="8" t="s">
        <v>132</v>
      </c>
      <c r="G416" s="143">
        <v>3989</v>
      </c>
      <c r="H416" s="132">
        <f t="shared" si="55"/>
        <v>46249</v>
      </c>
      <c r="I416" s="140">
        <f t="shared" si="55"/>
        <v>98</v>
      </c>
      <c r="J416" s="9">
        <f t="shared" si="56"/>
        <v>2.4567560792178491</v>
      </c>
      <c r="K416" s="140">
        <f t="shared" si="57"/>
        <v>2</v>
      </c>
      <c r="L416" s="206">
        <f t="shared" si="58"/>
        <v>2.0408163265306123</v>
      </c>
      <c r="M416" s="8" t="str">
        <f t="array" ref="M416">IF(L416&gt;5,"Perlu Sensus",IF(AND(L416&gt;=0,I416&gt;0),"Tetap Deteksi","Belum Deteksi"))</f>
        <v>Tetap Deteksi</v>
      </c>
      <c r="N416" s="132">
        <v>46249</v>
      </c>
      <c r="O416" s="143">
        <f t="array" ref="O416">INDEX('[21]DETEKSI ROT 2 (2)'!$G$343:$G$622,MATCH(1,('[21]DETEKSI ROT 2 (2)'!$D$343:$D$622=$D416)*('[21]DETEKSI ROT 2 (2)'!$D$343:$D$622=$D416),0))</f>
        <v>98</v>
      </c>
      <c r="P416" s="9">
        <f t="array" ref="P416">IFERROR(O416/G416*100,0)</f>
        <v>2.4567560792178491</v>
      </c>
      <c r="Q416" s="143">
        <f t="array" ref="Q416">INDEX('[21]DETEKSI ROT 2 (2)'!$I$343:$I$622,MATCH(1,('[21]DETEKSI ROT 2 (2)'!$D$343:$D$622=$D416)*('[21]DETEKSI ROT 2 (2)'!$D$343:$D$622=$D416),0))</f>
        <v>2</v>
      </c>
      <c r="R416" s="9">
        <f t="shared" si="60"/>
        <v>2.0408163265306123</v>
      </c>
      <c r="S416" s="8" t="str">
        <f t="array" ref="S416">IF(R416&gt;5,"Perlu Sensus",IF(AND(R416&gt;=0,O416&gt;0),"Tetap Deteksi","Belum Deteksi"))</f>
        <v>Tetap Deteksi</v>
      </c>
      <c r="T416" s="203"/>
      <c r="U416" s="9">
        <f t="shared" si="61"/>
        <v>0</v>
      </c>
      <c r="V416" s="132">
        <v>46249</v>
      </c>
      <c r="W416" s="143">
        <f t="array" ref="W416">INDEX('[21]DETEKSI ROT 2 (2)'!$L$343:$L$622,MATCH(1,('[21]DETEKSI ROT 2 (2)'!$D$343:$D$622=$D416)*('[21]DETEKSI ROT 2 (2)'!$D$343:$D$622=$D416),0))</f>
        <v>98</v>
      </c>
      <c r="X416" s="143">
        <f t="array" ref="X416">INDEX('[21]DETEKSI ROT 2 (2)'!$M$343:$M$622,MATCH(1,('[21]DETEKSI ROT 2 (2)'!$D$343:$D$622=$D416)*('[21]DETEKSI ROT 2 (2)'!$D$343:$D$622=$D416),0))</f>
        <v>3</v>
      </c>
      <c r="Y416" s="9">
        <f t="shared" si="59"/>
        <v>3.0612244897959182</v>
      </c>
      <c r="Z416" s="8" t="str">
        <f t="array" ref="Z416">IF(Y416&gt;5,"Perlu Sensus",IF(AND(Y416&gt;0,,O416&gt;0),"Tetap Deteksi","Belum Deteksi"))</f>
        <v>Belum Deteksi</v>
      </c>
      <c r="AA416" s="203"/>
      <c r="AB416" s="9">
        <f t="shared" si="62"/>
        <v>0</v>
      </c>
    </row>
    <row r="417" spans="1:28" x14ac:dyDescent="0.15">
      <c r="A417" s="8" t="s">
        <v>322</v>
      </c>
      <c r="B417" s="8" t="s">
        <v>79</v>
      </c>
      <c r="C417" s="8" t="s">
        <v>416</v>
      </c>
      <c r="D417" s="8" t="s">
        <v>442</v>
      </c>
      <c r="E417" s="9">
        <v>25.1</v>
      </c>
      <c r="F417" s="8" t="s">
        <v>132</v>
      </c>
      <c r="G417" s="143">
        <v>3718</v>
      </c>
      <c r="H417" s="132">
        <f t="shared" si="55"/>
        <v>46249</v>
      </c>
      <c r="I417" s="140">
        <f t="shared" si="55"/>
        <v>113</v>
      </c>
      <c r="J417" s="9">
        <f t="shared" si="56"/>
        <v>3.0392684238838084</v>
      </c>
      <c r="K417" s="140">
        <f t="shared" si="57"/>
        <v>2</v>
      </c>
      <c r="L417" s="206">
        <f t="shared" si="58"/>
        <v>1.7699115044247788</v>
      </c>
      <c r="M417" s="8" t="str">
        <f t="array" ref="M417">IF(L417&gt;5,"Perlu Sensus",IF(AND(L417&gt;=0,I417&gt;0),"Tetap Deteksi","Belum Deteksi"))</f>
        <v>Tetap Deteksi</v>
      </c>
      <c r="N417" s="132">
        <v>46249</v>
      </c>
      <c r="O417" s="143">
        <f t="array" ref="O417">INDEX('[21]DETEKSI ROT 2 (2)'!$G$343:$G$622,MATCH(1,('[21]DETEKSI ROT 2 (2)'!$D$343:$D$622=$D417)*('[21]DETEKSI ROT 2 (2)'!$D$343:$D$622=$D417),0))</f>
        <v>113</v>
      </c>
      <c r="P417" s="9">
        <f t="array" ref="P417">IFERROR(O417/G417*100,0)</f>
        <v>3.0392684238838084</v>
      </c>
      <c r="Q417" s="143">
        <f t="array" ref="Q417">INDEX('[21]DETEKSI ROT 2 (2)'!$I$343:$I$622,MATCH(1,('[21]DETEKSI ROT 2 (2)'!$D$343:$D$622=$D417)*('[21]DETEKSI ROT 2 (2)'!$D$343:$D$622=$D417),0))</f>
        <v>2</v>
      </c>
      <c r="R417" s="9">
        <f t="shared" si="60"/>
        <v>1.7699115044247788</v>
      </c>
      <c r="S417" s="8" t="str">
        <f t="array" ref="S417">IF(R417&gt;5,"Perlu Sensus",IF(AND(R417&gt;=0,O417&gt;0),"Tetap Deteksi","Belum Deteksi"))</f>
        <v>Tetap Deteksi</v>
      </c>
      <c r="T417" s="203"/>
      <c r="U417" s="9">
        <f t="shared" si="61"/>
        <v>0</v>
      </c>
      <c r="V417" s="132">
        <v>46249</v>
      </c>
      <c r="W417" s="143">
        <f t="array" ref="W417">INDEX('[21]DETEKSI ROT 2 (2)'!$L$343:$L$622,MATCH(1,('[21]DETEKSI ROT 2 (2)'!$D$343:$D$622=$D417)*('[21]DETEKSI ROT 2 (2)'!$D$343:$D$622=$D417),0))</f>
        <v>65</v>
      </c>
      <c r="X417" s="143">
        <f t="array" ref="X417">INDEX('[21]DETEKSI ROT 2 (2)'!$M$343:$M$622,MATCH(1,('[21]DETEKSI ROT 2 (2)'!$D$343:$D$622=$D417)*('[21]DETEKSI ROT 2 (2)'!$D$343:$D$622=$D417),0))</f>
        <v>3</v>
      </c>
      <c r="Y417" s="9">
        <f t="shared" si="59"/>
        <v>4.6153846153846159</v>
      </c>
      <c r="Z417" s="8" t="str">
        <f t="array" ref="Z417">IF(Y417&gt;5,"Perlu Sensus",IF(AND(Y417&gt;0,,O417&gt;0),"Tetap Deteksi","Belum Deteksi"))</f>
        <v>Belum Deteksi</v>
      </c>
      <c r="AA417" s="203"/>
      <c r="AB417" s="9">
        <f t="shared" si="62"/>
        <v>0</v>
      </c>
    </row>
    <row r="418" spans="1:28" x14ac:dyDescent="0.15">
      <c r="A418" s="8" t="s">
        <v>322</v>
      </c>
      <c r="B418" s="8" t="s">
        <v>79</v>
      </c>
      <c r="C418" s="8" t="s">
        <v>416</v>
      </c>
      <c r="D418" s="8" t="s">
        <v>443</v>
      </c>
      <c r="E418" s="9">
        <v>26.01</v>
      </c>
      <c r="F418" s="8" t="s">
        <v>132</v>
      </c>
      <c r="G418" s="143">
        <v>3931</v>
      </c>
      <c r="H418" s="132">
        <f t="shared" si="55"/>
        <v>46249</v>
      </c>
      <c r="I418" s="140">
        <f t="shared" si="55"/>
        <v>57</v>
      </c>
      <c r="J418" s="9">
        <f t="shared" si="56"/>
        <v>1.4500127194098194</v>
      </c>
      <c r="K418" s="140">
        <f t="shared" si="57"/>
        <v>2</v>
      </c>
      <c r="L418" s="206">
        <f t="shared" si="58"/>
        <v>3.5087719298245612</v>
      </c>
      <c r="M418" s="8" t="str">
        <f t="array" ref="M418">IF(L418&gt;5,"Perlu Sensus",IF(AND(L418&gt;=0,I418&gt;0),"Tetap Deteksi","Belum Deteksi"))</f>
        <v>Tetap Deteksi</v>
      </c>
      <c r="N418" s="132">
        <v>46249</v>
      </c>
      <c r="O418" s="143">
        <f t="array" ref="O418">INDEX('[21]DETEKSI ROT 2 (2)'!$G$343:$G$622,MATCH(1,('[21]DETEKSI ROT 2 (2)'!$D$343:$D$622=$D418)*('[21]DETEKSI ROT 2 (2)'!$D$343:$D$622=$D418),0))</f>
        <v>57</v>
      </c>
      <c r="P418" s="9">
        <f t="array" ref="P418">IFERROR(O418/G418*100,0)</f>
        <v>1.4500127194098194</v>
      </c>
      <c r="Q418" s="143">
        <f t="array" ref="Q418">INDEX('[21]DETEKSI ROT 2 (2)'!$I$343:$I$622,MATCH(1,('[21]DETEKSI ROT 2 (2)'!$D$343:$D$622=$D418)*('[21]DETEKSI ROT 2 (2)'!$D$343:$D$622=$D418),0))</f>
        <v>2</v>
      </c>
      <c r="R418" s="9">
        <f t="shared" si="60"/>
        <v>3.5087719298245612</v>
      </c>
      <c r="S418" s="8" t="str">
        <f t="array" ref="S418">IF(R418&gt;5,"Perlu Sensus",IF(AND(R418&gt;=0,O418&gt;0),"Tetap Deteksi","Belum Deteksi"))</f>
        <v>Tetap Deteksi</v>
      </c>
      <c r="T418" s="203"/>
      <c r="U418" s="9">
        <f t="shared" si="61"/>
        <v>0</v>
      </c>
      <c r="V418" s="132">
        <v>46249</v>
      </c>
      <c r="W418" s="143">
        <f t="array" ref="W418">INDEX('[21]DETEKSI ROT 2 (2)'!$L$343:$L$622,MATCH(1,('[21]DETEKSI ROT 2 (2)'!$D$343:$D$622=$D418)*('[21]DETEKSI ROT 2 (2)'!$D$343:$D$622=$D418),0))</f>
        <v>51</v>
      </c>
      <c r="X418" s="143">
        <f t="array" ref="X418">INDEX('[21]DETEKSI ROT 2 (2)'!$M$343:$M$622,MATCH(1,('[21]DETEKSI ROT 2 (2)'!$D$343:$D$622=$D418)*('[21]DETEKSI ROT 2 (2)'!$D$343:$D$622=$D418),0))</f>
        <v>2</v>
      </c>
      <c r="Y418" s="9">
        <f t="shared" si="59"/>
        <v>3.9215686274509802</v>
      </c>
      <c r="Z418" s="8" t="str">
        <f t="array" ref="Z418">IF(Y418&gt;5,"Perlu Sensus",IF(AND(Y418&gt;0,,O418&gt;0),"Tetap Deteksi","Belum Deteksi"))</f>
        <v>Belum Deteksi</v>
      </c>
      <c r="AA418" s="203"/>
      <c r="AB418" s="9">
        <f t="shared" si="62"/>
        <v>0</v>
      </c>
    </row>
    <row r="419" spans="1:28" x14ac:dyDescent="0.15">
      <c r="A419" s="8" t="s">
        <v>322</v>
      </c>
      <c r="B419" s="8" t="s">
        <v>79</v>
      </c>
      <c r="C419" s="8" t="s">
        <v>416</v>
      </c>
      <c r="D419" s="8" t="s">
        <v>444</v>
      </c>
      <c r="E419" s="9">
        <v>25.81</v>
      </c>
      <c r="F419" s="8" t="s">
        <v>132</v>
      </c>
      <c r="G419" s="143">
        <v>3954</v>
      </c>
      <c r="H419" s="132">
        <f t="shared" si="55"/>
        <v>46249</v>
      </c>
      <c r="I419" s="140">
        <f t="shared" si="55"/>
        <v>56</v>
      </c>
      <c r="J419" s="9">
        <f t="shared" si="56"/>
        <v>1.4162873039959536</v>
      </c>
      <c r="K419" s="140">
        <f t="shared" si="57"/>
        <v>3</v>
      </c>
      <c r="L419" s="206">
        <f t="shared" si="58"/>
        <v>5.3571428571428568</v>
      </c>
      <c r="M419" s="8" t="str">
        <f t="array" ref="M419">IF(L419&gt;5,"Perlu Sensus",IF(AND(L419&gt;=0,I419&gt;0),"Tetap Deteksi","Belum Deteksi"))</f>
        <v>Perlu Sensus</v>
      </c>
      <c r="N419" s="132">
        <v>46249</v>
      </c>
      <c r="O419" s="143">
        <f t="array" ref="O419">INDEX('[21]DETEKSI ROT 2 (2)'!$G$343:$G$622,MATCH(1,('[21]DETEKSI ROT 2 (2)'!$D$343:$D$622=$D419)*('[21]DETEKSI ROT 2 (2)'!$D$343:$D$622=$D419),0))</f>
        <v>56</v>
      </c>
      <c r="P419" s="9">
        <f t="array" ref="P419">IFERROR(O419/G419*100,0)</f>
        <v>1.4162873039959536</v>
      </c>
      <c r="Q419" s="143">
        <f t="array" ref="Q419">INDEX('[21]DETEKSI ROT 2 (2)'!$I$343:$I$622,MATCH(1,('[21]DETEKSI ROT 2 (2)'!$D$343:$D$622=$D419)*('[21]DETEKSI ROT 2 (2)'!$D$343:$D$622=$D419),0))</f>
        <v>3</v>
      </c>
      <c r="R419" s="9">
        <f t="shared" si="60"/>
        <v>5.3571428571428568</v>
      </c>
      <c r="S419" s="8" t="str">
        <f t="array" ref="S419">IF(R419&gt;5,"Perlu Sensus",IF(AND(R419&gt;=0,O419&gt;0),"Tetap Deteksi","Belum Deteksi"))</f>
        <v>Perlu Sensus</v>
      </c>
      <c r="T419" s="203"/>
      <c r="U419" s="9">
        <f t="shared" si="61"/>
        <v>0</v>
      </c>
      <c r="V419" s="132">
        <v>46249</v>
      </c>
      <c r="W419" s="143">
        <f t="array" ref="W419">INDEX('[21]DETEKSI ROT 2 (2)'!$L$343:$L$622,MATCH(1,('[21]DETEKSI ROT 2 (2)'!$D$343:$D$622=$D419)*('[21]DETEKSI ROT 2 (2)'!$D$343:$D$622=$D419),0))</f>
        <v>37</v>
      </c>
      <c r="X419" s="143">
        <f t="array" ref="X419">INDEX('[21]DETEKSI ROT 2 (2)'!$M$343:$M$622,MATCH(1,('[21]DETEKSI ROT 2 (2)'!$D$343:$D$622=$D419)*('[21]DETEKSI ROT 2 (2)'!$D$343:$D$622=$D419),0))</f>
        <v>4</v>
      </c>
      <c r="Y419" s="9">
        <f t="shared" si="59"/>
        <v>10.810810810810811</v>
      </c>
      <c r="Z419" s="8" t="str">
        <f t="array" ref="Z419">IF(Y419&gt;5,"Perlu Sensus",IF(AND(Y419&gt;0,,O419&gt;0),"Tetap Deteksi","Belum Deteksi"))</f>
        <v>Perlu Sensus</v>
      </c>
      <c r="AA419" s="203"/>
      <c r="AB419" s="9">
        <f t="shared" si="62"/>
        <v>0</v>
      </c>
    </row>
    <row r="420" spans="1:28" x14ac:dyDescent="0.15">
      <c r="A420" s="8" t="s">
        <v>322</v>
      </c>
      <c r="B420" s="8" t="s">
        <v>79</v>
      </c>
      <c r="C420" s="8" t="s">
        <v>416</v>
      </c>
      <c r="D420" s="8" t="s">
        <v>445</v>
      </c>
      <c r="E420" s="9">
        <v>27.49</v>
      </c>
      <c r="F420" s="8" t="s">
        <v>132</v>
      </c>
      <c r="G420" s="143">
        <v>4043</v>
      </c>
      <c r="H420" s="132">
        <f t="shared" si="55"/>
        <v>46249</v>
      </c>
      <c r="I420" s="140">
        <f t="shared" si="55"/>
        <v>56</v>
      </c>
      <c r="J420" s="9">
        <f t="shared" si="56"/>
        <v>1.3851100667820926</v>
      </c>
      <c r="K420" s="140">
        <f t="shared" si="57"/>
        <v>2</v>
      </c>
      <c r="L420" s="206">
        <f t="shared" si="58"/>
        <v>3.5714285714285712</v>
      </c>
      <c r="M420" s="8" t="str">
        <f t="array" ref="M420">IF(L420&gt;5,"Perlu Sensus",IF(AND(L420&gt;=0,I420&gt;0),"Tetap Deteksi","Belum Deteksi"))</f>
        <v>Tetap Deteksi</v>
      </c>
      <c r="N420" s="132">
        <v>46249</v>
      </c>
      <c r="O420" s="143">
        <f t="array" ref="O420">INDEX('[21]DETEKSI ROT 2 (2)'!$G$343:$G$622,MATCH(1,('[21]DETEKSI ROT 2 (2)'!$D$343:$D$622=$D420)*('[21]DETEKSI ROT 2 (2)'!$D$343:$D$622=$D420),0))</f>
        <v>56</v>
      </c>
      <c r="P420" s="9">
        <f t="array" ref="P420">IFERROR(O420/G420*100,0)</f>
        <v>1.3851100667820926</v>
      </c>
      <c r="Q420" s="143">
        <f t="array" ref="Q420">INDEX('[21]DETEKSI ROT 2 (2)'!$I$343:$I$622,MATCH(1,('[21]DETEKSI ROT 2 (2)'!$D$343:$D$622=$D420)*('[21]DETEKSI ROT 2 (2)'!$D$343:$D$622=$D420),0))</f>
        <v>2</v>
      </c>
      <c r="R420" s="9">
        <f t="shared" si="60"/>
        <v>3.5714285714285712</v>
      </c>
      <c r="S420" s="8" t="str">
        <f t="array" ref="S420">IF(R420&gt;5,"Perlu Sensus",IF(AND(R420&gt;=0,O420&gt;0),"Tetap Deteksi","Belum Deteksi"))</f>
        <v>Tetap Deteksi</v>
      </c>
      <c r="T420" s="203"/>
      <c r="U420" s="9">
        <f t="shared" si="61"/>
        <v>0</v>
      </c>
      <c r="V420" s="132">
        <v>46249</v>
      </c>
      <c r="W420" s="143">
        <f t="array" ref="W420">INDEX('[21]DETEKSI ROT 2 (2)'!$L$343:$L$622,MATCH(1,('[21]DETEKSI ROT 2 (2)'!$D$343:$D$622=$D420)*('[21]DETEKSI ROT 2 (2)'!$D$343:$D$622=$D420),0))</f>
        <v>51</v>
      </c>
      <c r="X420" s="143">
        <f t="array" ref="X420">INDEX('[21]DETEKSI ROT 2 (2)'!$M$343:$M$622,MATCH(1,('[21]DETEKSI ROT 2 (2)'!$D$343:$D$622=$D420)*('[21]DETEKSI ROT 2 (2)'!$D$343:$D$622=$D420),0))</f>
        <v>2</v>
      </c>
      <c r="Y420" s="9">
        <f t="shared" si="59"/>
        <v>3.9215686274509802</v>
      </c>
      <c r="Z420" s="8" t="str">
        <f t="array" ref="Z420">IF(Y420&gt;5,"Perlu Sensus",IF(AND(Y420&gt;0,,O420&gt;0),"Tetap Deteksi","Belum Deteksi"))</f>
        <v>Belum Deteksi</v>
      </c>
      <c r="AA420" s="203"/>
      <c r="AB420" s="9">
        <f t="shared" si="62"/>
        <v>0</v>
      </c>
    </row>
    <row r="421" spans="1:28" x14ac:dyDescent="0.15">
      <c r="A421" s="8" t="s">
        <v>322</v>
      </c>
      <c r="B421" s="8" t="s">
        <v>79</v>
      </c>
      <c r="C421" s="8" t="s">
        <v>416</v>
      </c>
      <c r="D421" s="8" t="s">
        <v>446</v>
      </c>
      <c r="E421" s="9">
        <v>26.02</v>
      </c>
      <c r="F421" s="8" t="s">
        <v>132</v>
      </c>
      <c r="G421" s="143">
        <v>3785</v>
      </c>
      <c r="H421" s="132">
        <f t="shared" si="55"/>
        <v>46249</v>
      </c>
      <c r="I421" s="140">
        <f t="shared" si="55"/>
        <v>78</v>
      </c>
      <c r="J421" s="9">
        <f t="shared" si="56"/>
        <v>2.0607661822985466</v>
      </c>
      <c r="K421" s="140">
        <f t="shared" si="57"/>
        <v>3</v>
      </c>
      <c r="L421" s="206">
        <f t="shared" si="58"/>
        <v>3.8461538461538463</v>
      </c>
      <c r="M421" s="8" t="str">
        <f t="array" ref="M421">IF(L421&gt;5,"Perlu Sensus",IF(AND(L421&gt;=0,I421&gt;0),"Tetap Deteksi","Belum Deteksi"))</f>
        <v>Tetap Deteksi</v>
      </c>
      <c r="N421" s="132">
        <v>46249</v>
      </c>
      <c r="O421" s="143">
        <f t="array" ref="O421">INDEX('[21]DETEKSI ROT 2 (2)'!$G$343:$G$622,MATCH(1,('[21]DETEKSI ROT 2 (2)'!$D$343:$D$622=$D421)*('[21]DETEKSI ROT 2 (2)'!$D$343:$D$622=$D421),0))</f>
        <v>78</v>
      </c>
      <c r="P421" s="9">
        <f t="array" ref="P421">IFERROR(O421/G421*100,0)</f>
        <v>2.0607661822985466</v>
      </c>
      <c r="Q421" s="143">
        <f t="array" ref="Q421">INDEX('[21]DETEKSI ROT 2 (2)'!$I$343:$I$622,MATCH(1,('[21]DETEKSI ROT 2 (2)'!$D$343:$D$622=$D421)*('[21]DETEKSI ROT 2 (2)'!$D$343:$D$622=$D421),0))</f>
        <v>3</v>
      </c>
      <c r="R421" s="9">
        <f t="shared" si="60"/>
        <v>3.8461538461538463</v>
      </c>
      <c r="S421" s="8" t="str">
        <f t="array" ref="S421">IF(R421&gt;5,"Perlu Sensus",IF(AND(R421&gt;=0,O421&gt;0),"Tetap Deteksi","Belum Deteksi"))</f>
        <v>Tetap Deteksi</v>
      </c>
      <c r="T421" s="203"/>
      <c r="U421" s="9">
        <f t="shared" si="61"/>
        <v>0</v>
      </c>
      <c r="V421" s="132">
        <v>46249</v>
      </c>
      <c r="W421" s="143">
        <f t="array" ref="W421">INDEX('[21]DETEKSI ROT 2 (2)'!$L$343:$L$622,MATCH(1,('[21]DETEKSI ROT 2 (2)'!$D$343:$D$622=$D421)*('[21]DETEKSI ROT 2 (2)'!$D$343:$D$622=$D421),0))</f>
        <v>29</v>
      </c>
      <c r="X421" s="143">
        <f t="array" ref="X421">INDEX('[21]DETEKSI ROT 2 (2)'!$M$343:$M$622,MATCH(1,('[21]DETEKSI ROT 2 (2)'!$D$343:$D$622=$D421)*('[21]DETEKSI ROT 2 (2)'!$D$343:$D$622=$D421),0))</f>
        <v>3</v>
      </c>
      <c r="Y421" s="9">
        <f t="shared" si="59"/>
        <v>10.344827586206897</v>
      </c>
      <c r="Z421" s="8" t="str">
        <f t="array" ref="Z421">IF(Y421&gt;5,"Perlu Sensus",IF(AND(Y421&gt;0,,O421&gt;0),"Tetap Deteksi","Belum Deteksi"))</f>
        <v>Perlu Sensus</v>
      </c>
      <c r="AA421" s="203"/>
      <c r="AB421" s="9">
        <f t="shared" si="62"/>
        <v>0</v>
      </c>
    </row>
    <row r="422" spans="1:28" x14ac:dyDescent="0.15">
      <c r="A422" s="8" t="s">
        <v>322</v>
      </c>
      <c r="B422" s="8" t="s">
        <v>79</v>
      </c>
      <c r="C422" s="8" t="s">
        <v>416</v>
      </c>
      <c r="D422" s="8" t="s">
        <v>447</v>
      </c>
      <c r="E422" s="9">
        <v>25.5</v>
      </c>
      <c r="F422" s="8" t="s">
        <v>132</v>
      </c>
      <c r="G422" s="143">
        <v>3920</v>
      </c>
      <c r="H422" s="132">
        <f t="shared" si="55"/>
        <v>46249</v>
      </c>
      <c r="I422" s="140">
        <f t="shared" si="55"/>
        <v>87</v>
      </c>
      <c r="J422" s="9">
        <f t="shared" si="56"/>
        <v>2.2193877551020407</v>
      </c>
      <c r="K422" s="140">
        <f t="shared" si="57"/>
        <v>2</v>
      </c>
      <c r="L422" s="206">
        <f t="shared" si="58"/>
        <v>2.2988505747126435</v>
      </c>
      <c r="M422" s="8" t="str">
        <f t="array" ref="M422">IF(L422&gt;5,"Perlu Sensus",IF(AND(L422&gt;=0,I422&gt;0),"Tetap Deteksi","Belum Deteksi"))</f>
        <v>Tetap Deteksi</v>
      </c>
      <c r="N422" s="132">
        <v>46249</v>
      </c>
      <c r="O422" s="143">
        <f t="array" ref="O422">INDEX('[21]DETEKSI ROT 2 (2)'!$G$343:$G$622,MATCH(1,('[21]DETEKSI ROT 2 (2)'!$D$343:$D$622=$D422)*('[21]DETEKSI ROT 2 (2)'!$D$343:$D$622=$D422),0))</f>
        <v>87</v>
      </c>
      <c r="P422" s="9">
        <f t="array" ref="P422">IFERROR(O422/G422*100,0)</f>
        <v>2.2193877551020407</v>
      </c>
      <c r="Q422" s="143">
        <f t="array" ref="Q422">INDEX('[21]DETEKSI ROT 2 (2)'!$I$343:$I$622,MATCH(1,('[21]DETEKSI ROT 2 (2)'!$D$343:$D$622=$D422)*('[21]DETEKSI ROT 2 (2)'!$D$343:$D$622=$D422),0))</f>
        <v>2</v>
      </c>
      <c r="R422" s="9">
        <f t="shared" si="60"/>
        <v>2.2988505747126435</v>
      </c>
      <c r="S422" s="8" t="str">
        <f t="array" ref="S422">IF(R422&gt;5,"Perlu Sensus",IF(AND(R422&gt;=0,O422&gt;0),"Tetap Deteksi","Belum Deteksi"))</f>
        <v>Tetap Deteksi</v>
      </c>
      <c r="T422" s="203"/>
      <c r="U422" s="9">
        <f t="shared" si="61"/>
        <v>0</v>
      </c>
      <c r="V422" s="132">
        <v>46249</v>
      </c>
      <c r="W422" s="143">
        <f t="array" ref="W422">INDEX('[21]DETEKSI ROT 2 (2)'!$L$343:$L$622,MATCH(1,('[21]DETEKSI ROT 2 (2)'!$D$343:$D$622=$D422)*('[21]DETEKSI ROT 2 (2)'!$D$343:$D$622=$D422),0))</f>
        <v>41</v>
      </c>
      <c r="X422" s="143">
        <f t="array" ref="X422">INDEX('[21]DETEKSI ROT 2 (2)'!$M$343:$M$622,MATCH(1,('[21]DETEKSI ROT 2 (2)'!$D$343:$D$622=$D422)*('[21]DETEKSI ROT 2 (2)'!$D$343:$D$622=$D422),0))</f>
        <v>1</v>
      </c>
      <c r="Y422" s="9">
        <f t="shared" si="59"/>
        <v>2.4390243902439024</v>
      </c>
      <c r="Z422" s="8" t="str">
        <f t="array" ref="Z422">IF(Y422&gt;5,"Perlu Sensus",IF(AND(Y422&gt;0,,O422&gt;0),"Tetap Deteksi","Belum Deteksi"))</f>
        <v>Belum Deteksi</v>
      </c>
      <c r="AA422" s="203"/>
      <c r="AB422" s="9">
        <f t="shared" si="62"/>
        <v>0</v>
      </c>
    </row>
    <row r="423" spans="1:28" x14ac:dyDescent="0.15">
      <c r="A423" s="8" t="s">
        <v>322</v>
      </c>
      <c r="B423" s="8" t="s">
        <v>79</v>
      </c>
      <c r="C423" s="8" t="s">
        <v>416</v>
      </c>
      <c r="D423" s="8" t="s">
        <v>448</v>
      </c>
      <c r="E423" s="9">
        <v>24.76</v>
      </c>
      <c r="F423" s="8" t="s">
        <v>132</v>
      </c>
      <c r="G423" s="143">
        <v>3677</v>
      </c>
      <c r="H423" s="132">
        <f t="shared" si="55"/>
        <v>46249</v>
      </c>
      <c r="I423" s="140">
        <f t="shared" si="55"/>
        <v>69</v>
      </c>
      <c r="J423" s="9">
        <f t="shared" si="56"/>
        <v>1.8765297797117215</v>
      </c>
      <c r="K423" s="140">
        <f t="shared" si="57"/>
        <v>1</v>
      </c>
      <c r="L423" s="206">
        <f t="shared" si="58"/>
        <v>1.4492753623188406</v>
      </c>
      <c r="M423" s="8" t="str">
        <f t="array" ref="M423">IF(L423&gt;5,"Perlu Sensus",IF(AND(L423&gt;=0,I423&gt;0),"Tetap Deteksi","Belum Deteksi"))</f>
        <v>Tetap Deteksi</v>
      </c>
      <c r="N423" s="132">
        <v>46249</v>
      </c>
      <c r="O423" s="143">
        <f t="array" ref="O423">INDEX('[21]DETEKSI ROT 2 (2)'!$G$343:$G$622,MATCH(1,('[21]DETEKSI ROT 2 (2)'!$D$343:$D$622=$D423)*('[21]DETEKSI ROT 2 (2)'!$D$343:$D$622=$D423),0))</f>
        <v>69</v>
      </c>
      <c r="P423" s="9">
        <f t="array" ref="P423">IFERROR(O423/G423*100,0)</f>
        <v>1.8765297797117215</v>
      </c>
      <c r="Q423" s="143">
        <f t="array" ref="Q423">INDEX('[21]DETEKSI ROT 2 (2)'!$I$343:$I$622,MATCH(1,('[21]DETEKSI ROT 2 (2)'!$D$343:$D$622=$D423)*('[21]DETEKSI ROT 2 (2)'!$D$343:$D$622=$D423),0))</f>
        <v>1</v>
      </c>
      <c r="R423" s="9">
        <f t="shared" si="60"/>
        <v>1.4492753623188406</v>
      </c>
      <c r="S423" s="8" t="str">
        <f t="array" ref="S423">IF(R423&gt;5,"Perlu Sensus",IF(AND(R423&gt;=0,O423&gt;0),"Tetap Deteksi","Belum Deteksi"))</f>
        <v>Tetap Deteksi</v>
      </c>
      <c r="T423" s="203"/>
      <c r="U423" s="9">
        <f t="shared" si="61"/>
        <v>0</v>
      </c>
      <c r="V423" s="132">
        <v>46249</v>
      </c>
      <c r="W423" s="143">
        <f t="array" ref="W423">INDEX('[21]DETEKSI ROT 2 (2)'!$L$343:$L$622,MATCH(1,('[21]DETEKSI ROT 2 (2)'!$D$343:$D$622=$D423)*('[21]DETEKSI ROT 2 (2)'!$D$343:$D$622=$D423),0))</f>
        <v>79</v>
      </c>
      <c r="X423" s="143">
        <f t="array" ref="X423">INDEX('[21]DETEKSI ROT 2 (2)'!$M$343:$M$622,MATCH(1,('[21]DETEKSI ROT 2 (2)'!$D$343:$D$622=$D423)*('[21]DETEKSI ROT 2 (2)'!$D$343:$D$622=$D423),0))</f>
        <v>2</v>
      </c>
      <c r="Y423" s="9">
        <f t="shared" si="59"/>
        <v>2.5316455696202533</v>
      </c>
      <c r="Z423" s="8" t="str">
        <f t="array" ref="Z423">IF(Y423&gt;5,"Perlu Sensus",IF(AND(Y423&gt;0,,O423&gt;0),"Tetap Deteksi","Belum Deteksi"))</f>
        <v>Belum Deteksi</v>
      </c>
      <c r="AA423" s="203"/>
      <c r="AB423" s="9">
        <f t="shared" si="62"/>
        <v>0</v>
      </c>
    </row>
    <row r="424" spans="1:28" x14ac:dyDescent="0.15">
      <c r="A424" s="8" t="s">
        <v>322</v>
      </c>
      <c r="B424" s="8" t="s">
        <v>79</v>
      </c>
      <c r="C424" s="8" t="s">
        <v>416</v>
      </c>
      <c r="D424" s="8" t="s">
        <v>449</v>
      </c>
      <c r="E424" s="9">
        <v>26.04</v>
      </c>
      <c r="F424" s="8" t="s">
        <v>132</v>
      </c>
      <c r="G424" s="143">
        <v>3994</v>
      </c>
      <c r="H424" s="132">
        <f t="shared" si="55"/>
        <v>46249</v>
      </c>
      <c r="I424" s="140">
        <f t="shared" si="55"/>
        <v>107</v>
      </c>
      <c r="J424" s="9">
        <f t="shared" si="56"/>
        <v>2.6790185277916874</v>
      </c>
      <c r="K424" s="140">
        <f t="shared" si="57"/>
        <v>5</v>
      </c>
      <c r="L424" s="206">
        <f t="shared" si="58"/>
        <v>4.6728971962616823</v>
      </c>
      <c r="M424" s="8" t="str">
        <f t="array" ref="M424">IF(L424&gt;5,"Perlu Sensus",IF(AND(L424&gt;=0,I424&gt;0),"Tetap Deteksi","Belum Deteksi"))</f>
        <v>Tetap Deteksi</v>
      </c>
      <c r="N424" s="132">
        <v>46249</v>
      </c>
      <c r="O424" s="143">
        <f t="array" ref="O424">INDEX('[21]DETEKSI ROT 2 (2)'!$G$343:$G$622,MATCH(1,('[21]DETEKSI ROT 2 (2)'!$D$343:$D$622=$D424)*('[21]DETEKSI ROT 2 (2)'!$D$343:$D$622=$D424),0))</f>
        <v>107</v>
      </c>
      <c r="P424" s="9">
        <f t="array" ref="P424">IFERROR(O424/G424*100,0)</f>
        <v>2.6790185277916874</v>
      </c>
      <c r="Q424" s="143">
        <f t="array" ref="Q424">INDEX('[21]DETEKSI ROT 2 (2)'!$I$343:$I$622,MATCH(1,('[21]DETEKSI ROT 2 (2)'!$D$343:$D$622=$D424)*('[21]DETEKSI ROT 2 (2)'!$D$343:$D$622=$D424),0))</f>
        <v>5</v>
      </c>
      <c r="R424" s="9">
        <f t="shared" si="60"/>
        <v>4.6728971962616823</v>
      </c>
      <c r="S424" s="8" t="str">
        <f t="array" ref="S424">IF(R424&gt;5,"Perlu Sensus",IF(AND(R424&gt;=0,O424&gt;0),"Tetap Deteksi","Belum Deteksi"))</f>
        <v>Tetap Deteksi</v>
      </c>
      <c r="T424" s="203"/>
      <c r="U424" s="9">
        <f t="shared" si="61"/>
        <v>0</v>
      </c>
      <c r="V424" s="132">
        <v>46249</v>
      </c>
      <c r="W424" s="143">
        <f t="array" ref="W424">INDEX('[21]DETEKSI ROT 2 (2)'!$L$343:$L$622,MATCH(1,('[21]DETEKSI ROT 2 (2)'!$D$343:$D$622=$D424)*('[21]DETEKSI ROT 2 (2)'!$D$343:$D$622=$D424),0))</f>
        <v>14</v>
      </c>
      <c r="X424" s="143">
        <f t="array" ref="X424">INDEX('[21]DETEKSI ROT 2 (2)'!$M$343:$M$622,MATCH(1,('[21]DETEKSI ROT 2 (2)'!$D$343:$D$622=$D424)*('[21]DETEKSI ROT 2 (2)'!$D$343:$D$622=$D424),0))</f>
        <v>2</v>
      </c>
      <c r="Y424" s="9">
        <f t="shared" si="59"/>
        <v>14.285714285714285</v>
      </c>
      <c r="Z424" s="8" t="str">
        <f t="array" ref="Z424">IF(Y424&gt;5,"Perlu Sensus",IF(AND(Y424&gt;0,,O424&gt;0),"Tetap Deteksi","Belum Deteksi"))</f>
        <v>Perlu Sensus</v>
      </c>
      <c r="AA424" s="203"/>
      <c r="AB424" s="9">
        <f t="shared" si="62"/>
        <v>0</v>
      </c>
    </row>
    <row r="425" spans="1:28" x14ac:dyDescent="0.15">
      <c r="A425" s="8" t="s">
        <v>322</v>
      </c>
      <c r="B425" s="8" t="s">
        <v>79</v>
      </c>
      <c r="C425" s="8" t="s">
        <v>416</v>
      </c>
      <c r="D425" s="8" t="s">
        <v>450</v>
      </c>
      <c r="E425" s="9">
        <v>25.44</v>
      </c>
      <c r="F425" s="8" t="s">
        <v>132</v>
      </c>
      <c r="G425" s="143">
        <v>3740</v>
      </c>
      <c r="H425" s="132">
        <f t="shared" si="55"/>
        <v>46249</v>
      </c>
      <c r="I425" s="140">
        <f t="shared" si="55"/>
        <v>126</v>
      </c>
      <c r="J425" s="9">
        <f t="shared" si="56"/>
        <v>3.3689839572192515</v>
      </c>
      <c r="K425" s="140">
        <f t="shared" si="57"/>
        <v>6</v>
      </c>
      <c r="L425" s="206">
        <f t="shared" si="58"/>
        <v>4.7619047619047619</v>
      </c>
      <c r="M425" s="8" t="str">
        <f t="array" ref="M425">IF(L425&gt;5,"Perlu Sensus",IF(AND(L425&gt;=0,I425&gt;0),"Tetap Deteksi","Belum Deteksi"))</f>
        <v>Tetap Deteksi</v>
      </c>
      <c r="N425" s="132">
        <v>46249</v>
      </c>
      <c r="O425" s="143">
        <f t="array" ref="O425">INDEX('[21]DETEKSI ROT 2 (2)'!$G$343:$G$622,MATCH(1,('[21]DETEKSI ROT 2 (2)'!$D$343:$D$622=$D425)*('[21]DETEKSI ROT 2 (2)'!$D$343:$D$622=$D425),0))</f>
        <v>126</v>
      </c>
      <c r="P425" s="9">
        <f t="array" ref="P425">IFERROR(O425/G425*100,0)</f>
        <v>3.3689839572192515</v>
      </c>
      <c r="Q425" s="143">
        <f t="array" ref="Q425">INDEX('[21]DETEKSI ROT 2 (2)'!$I$343:$I$622,MATCH(1,('[21]DETEKSI ROT 2 (2)'!$D$343:$D$622=$D425)*('[21]DETEKSI ROT 2 (2)'!$D$343:$D$622=$D425),0))</f>
        <v>6</v>
      </c>
      <c r="R425" s="9">
        <f t="shared" si="60"/>
        <v>4.7619047619047619</v>
      </c>
      <c r="S425" s="8" t="str">
        <f t="array" ref="S425">IF(R425&gt;5,"Perlu Sensus",IF(AND(R425&gt;=0,O425&gt;0),"Tetap Deteksi","Belum Deteksi"))</f>
        <v>Tetap Deteksi</v>
      </c>
      <c r="T425" s="203"/>
      <c r="U425" s="9">
        <f t="shared" si="61"/>
        <v>0</v>
      </c>
      <c r="V425" s="132">
        <v>46249</v>
      </c>
      <c r="W425" s="143">
        <f t="array" ref="W425">INDEX('[21]DETEKSI ROT 2 (2)'!$L$343:$L$622,MATCH(1,('[21]DETEKSI ROT 2 (2)'!$D$343:$D$622=$D425)*('[21]DETEKSI ROT 2 (2)'!$D$343:$D$622=$D425),0))</f>
        <v>36</v>
      </c>
      <c r="X425" s="143">
        <f t="array" ref="X425">INDEX('[21]DETEKSI ROT 2 (2)'!$M$343:$M$622,MATCH(1,('[21]DETEKSI ROT 2 (2)'!$D$343:$D$622=$D425)*('[21]DETEKSI ROT 2 (2)'!$D$343:$D$622=$D425),0))</f>
        <v>1</v>
      </c>
      <c r="Y425" s="9">
        <f t="shared" si="59"/>
        <v>2.7777777777777777</v>
      </c>
      <c r="Z425" s="8" t="str">
        <f t="array" ref="Z425">IF(Y425&gt;5,"Perlu Sensus",IF(AND(Y425&gt;0,,O425&gt;0),"Tetap Deteksi","Belum Deteksi"))</f>
        <v>Belum Deteksi</v>
      </c>
      <c r="AA425" s="203"/>
      <c r="AB425" s="9">
        <f t="shared" si="62"/>
        <v>0</v>
      </c>
    </row>
    <row r="426" spans="1:28" x14ac:dyDescent="0.15">
      <c r="A426" s="8" t="s">
        <v>322</v>
      </c>
      <c r="B426" s="8" t="s">
        <v>79</v>
      </c>
      <c r="C426" s="8" t="s">
        <v>416</v>
      </c>
      <c r="D426" s="8" t="s">
        <v>451</v>
      </c>
      <c r="E426" s="9">
        <v>44.21</v>
      </c>
      <c r="F426" s="8" t="s">
        <v>132</v>
      </c>
      <c r="G426" s="143">
        <v>6536</v>
      </c>
      <c r="H426" s="132">
        <f t="shared" si="55"/>
        <v>46249</v>
      </c>
      <c r="I426" s="140">
        <f t="shared" si="55"/>
        <v>141</v>
      </c>
      <c r="J426" s="9">
        <f t="shared" si="56"/>
        <v>2.157282741738066</v>
      </c>
      <c r="K426" s="140">
        <f t="shared" si="57"/>
        <v>7</v>
      </c>
      <c r="L426" s="206">
        <f t="shared" si="58"/>
        <v>4.9645390070921991</v>
      </c>
      <c r="M426" s="8" t="str">
        <f t="array" ref="M426">IF(L426&gt;5,"Perlu Sensus",IF(AND(L426&gt;=0,I426&gt;0),"Tetap Deteksi","Belum Deteksi"))</f>
        <v>Tetap Deteksi</v>
      </c>
      <c r="N426" s="132">
        <v>46249</v>
      </c>
      <c r="O426" s="143">
        <f t="array" ref="O426">INDEX('[21]DETEKSI ROT 2 (2)'!$G$343:$G$622,MATCH(1,('[21]DETEKSI ROT 2 (2)'!$D$343:$D$622=$D426)*('[21]DETEKSI ROT 2 (2)'!$D$343:$D$622=$D426),0))</f>
        <v>141</v>
      </c>
      <c r="P426" s="9">
        <f t="array" ref="P426">IFERROR(O426/G426*100,0)</f>
        <v>2.157282741738066</v>
      </c>
      <c r="Q426" s="143">
        <f t="array" ref="Q426">INDEX('[21]DETEKSI ROT 2 (2)'!$I$343:$I$622,MATCH(1,('[21]DETEKSI ROT 2 (2)'!$D$343:$D$622=$D426)*('[21]DETEKSI ROT 2 (2)'!$D$343:$D$622=$D426),0))</f>
        <v>7</v>
      </c>
      <c r="R426" s="9">
        <f t="shared" si="60"/>
        <v>4.9645390070921991</v>
      </c>
      <c r="S426" s="8" t="str">
        <f t="array" ref="S426">IF(R426&gt;5,"Perlu Sensus",IF(AND(R426&gt;=0,O426&gt;0),"Tetap Deteksi","Belum Deteksi"))</f>
        <v>Tetap Deteksi</v>
      </c>
      <c r="T426" s="203"/>
      <c r="U426" s="9">
        <f t="shared" si="61"/>
        <v>0</v>
      </c>
      <c r="V426" s="132">
        <v>46249</v>
      </c>
      <c r="W426" s="143">
        <f t="array" ref="W426">INDEX('[21]DETEKSI ROT 2 (2)'!$L$343:$L$622,MATCH(1,('[21]DETEKSI ROT 2 (2)'!$D$343:$D$622=$D426)*('[21]DETEKSI ROT 2 (2)'!$D$343:$D$622=$D426),0))</f>
        <v>120</v>
      </c>
      <c r="X426" s="143">
        <f t="array" ref="X426">INDEX('[21]DETEKSI ROT 2 (2)'!$M$343:$M$622,MATCH(1,('[21]DETEKSI ROT 2 (2)'!$D$343:$D$622=$D426)*('[21]DETEKSI ROT 2 (2)'!$D$343:$D$622=$D426),0))</f>
        <v>9</v>
      </c>
      <c r="Y426" s="9">
        <f t="shared" si="59"/>
        <v>7.5</v>
      </c>
      <c r="Z426" s="8" t="str">
        <f t="array" ref="Z426">IF(Y426&gt;5,"Perlu Sensus",IF(AND(Y426&gt;0,,O426&gt;0),"Tetap Deteksi","Belum Deteksi"))</f>
        <v>Perlu Sensus</v>
      </c>
      <c r="AA426" s="203"/>
      <c r="AB426" s="9">
        <f t="shared" si="62"/>
        <v>0</v>
      </c>
    </row>
    <row r="427" spans="1:28" x14ac:dyDescent="0.15">
      <c r="A427" s="8" t="s">
        <v>322</v>
      </c>
      <c r="B427" s="8" t="s">
        <v>79</v>
      </c>
      <c r="C427" s="8" t="s">
        <v>452</v>
      </c>
      <c r="D427" s="8" t="s">
        <v>453</v>
      </c>
      <c r="E427" s="9">
        <v>24.17</v>
      </c>
      <c r="F427" s="8" t="s">
        <v>132</v>
      </c>
      <c r="G427" s="143">
        <v>3469</v>
      </c>
      <c r="H427" s="132">
        <f t="shared" si="55"/>
        <v>46249</v>
      </c>
      <c r="I427" s="140">
        <f t="shared" si="55"/>
        <v>67</v>
      </c>
      <c r="J427" s="9">
        <f t="shared" si="56"/>
        <v>1.9313923320841742</v>
      </c>
      <c r="K427" s="140">
        <f t="shared" si="57"/>
        <v>8</v>
      </c>
      <c r="L427" s="206">
        <f t="shared" si="58"/>
        <v>11.940298507462686</v>
      </c>
      <c r="M427" s="8" t="str">
        <f t="array" ref="M427">IF(L427&gt;5,"Perlu Sensus",IF(AND(L427&gt;=0,I427&gt;0),"Tetap Deteksi","Belum Deteksi"))</f>
        <v>Perlu Sensus</v>
      </c>
      <c r="N427" s="132">
        <v>46249</v>
      </c>
      <c r="O427" s="143">
        <f t="array" ref="O427">INDEX('[21]DETEKSI ROT 2 (2)'!$G$343:$G$622,MATCH(1,('[21]DETEKSI ROT 2 (2)'!$D$343:$D$622=$D427)*('[21]DETEKSI ROT 2 (2)'!$D$343:$D$622=$D427),0))</f>
        <v>67</v>
      </c>
      <c r="P427" s="9">
        <f t="array" ref="P427">IFERROR(O427/G427*100,0)</f>
        <v>1.9313923320841742</v>
      </c>
      <c r="Q427" s="143">
        <f t="array" ref="Q427">INDEX('[21]DETEKSI ROT 2 (2)'!$I$343:$I$622,MATCH(1,('[21]DETEKSI ROT 2 (2)'!$D$343:$D$622=$D427)*('[21]DETEKSI ROT 2 (2)'!$D$343:$D$622=$D427),0))</f>
        <v>8</v>
      </c>
      <c r="R427" s="9">
        <f t="shared" si="60"/>
        <v>11.940298507462686</v>
      </c>
      <c r="S427" s="8" t="str">
        <f t="array" ref="S427">IF(R427&gt;5,"Perlu Sensus",IF(AND(R427&gt;=0,O427&gt;0),"Tetap Deteksi","Belum Deteksi"))</f>
        <v>Perlu Sensus</v>
      </c>
      <c r="T427" s="203"/>
      <c r="U427" s="9">
        <f t="shared" si="61"/>
        <v>0</v>
      </c>
      <c r="V427" s="132">
        <v>46249</v>
      </c>
      <c r="W427" s="143">
        <f t="array" ref="W427">INDEX('[21]DETEKSI ROT 2 (2)'!$L$343:$L$622,MATCH(1,('[21]DETEKSI ROT 2 (2)'!$D$343:$D$622=$D427)*('[21]DETEKSI ROT 2 (2)'!$D$343:$D$622=$D427),0))</f>
        <v>44</v>
      </c>
      <c r="X427" s="143">
        <f t="array" ref="X427">INDEX('[21]DETEKSI ROT 2 (2)'!$M$343:$M$622,MATCH(1,('[21]DETEKSI ROT 2 (2)'!$D$343:$D$622=$D427)*('[21]DETEKSI ROT 2 (2)'!$D$343:$D$622=$D427),0))</f>
        <v>8</v>
      </c>
      <c r="Y427" s="9">
        <f t="shared" si="59"/>
        <v>18.181818181818183</v>
      </c>
      <c r="Z427" s="8" t="str">
        <f t="array" ref="Z427">IF(Y427&gt;5,"Perlu Sensus",IF(AND(Y427&gt;0,,O427&gt;0),"Tetap Deteksi","Belum Deteksi"))</f>
        <v>Perlu Sensus</v>
      </c>
      <c r="AA427" s="203"/>
      <c r="AB427" s="9">
        <f t="shared" si="62"/>
        <v>0</v>
      </c>
    </row>
    <row r="428" spans="1:28" x14ac:dyDescent="0.15">
      <c r="A428" s="8" t="s">
        <v>322</v>
      </c>
      <c r="B428" s="8" t="s">
        <v>79</v>
      </c>
      <c r="C428" s="8" t="s">
        <v>452</v>
      </c>
      <c r="D428" s="8" t="s">
        <v>454</v>
      </c>
      <c r="E428" s="9">
        <v>25.45</v>
      </c>
      <c r="F428" s="8" t="s">
        <v>132</v>
      </c>
      <c r="G428" s="143">
        <v>3762</v>
      </c>
      <c r="H428" s="132">
        <f t="shared" ref="H428:I435" si="63">IF(N428&gt;0,N428,V428)</f>
        <v>46249</v>
      </c>
      <c r="I428" s="140">
        <f t="shared" si="63"/>
        <v>57</v>
      </c>
      <c r="J428" s="9">
        <f t="shared" si="56"/>
        <v>1.5151515151515151</v>
      </c>
      <c r="K428" s="140">
        <f t="shared" si="57"/>
        <v>6</v>
      </c>
      <c r="L428" s="206">
        <f t="shared" si="58"/>
        <v>10.526315789473683</v>
      </c>
      <c r="M428" s="8" t="str">
        <f t="array" ref="M428">IF(L428&gt;5,"Perlu Sensus",IF(AND(L428&gt;=0,I428&gt;0),"Tetap Deteksi","Belum Deteksi"))</f>
        <v>Perlu Sensus</v>
      </c>
      <c r="N428" s="132">
        <v>46249</v>
      </c>
      <c r="O428" s="143">
        <f t="array" ref="O428">INDEX('[21]DETEKSI ROT 2 (2)'!$G$343:$G$622,MATCH(1,('[21]DETEKSI ROT 2 (2)'!$D$343:$D$622=$D428)*('[21]DETEKSI ROT 2 (2)'!$D$343:$D$622=$D428),0))</f>
        <v>57</v>
      </c>
      <c r="P428" s="9">
        <f t="array" ref="P428">IFERROR(O428/G428*100,0)</f>
        <v>1.5151515151515151</v>
      </c>
      <c r="Q428" s="143">
        <f t="array" ref="Q428">INDEX('[21]DETEKSI ROT 2 (2)'!$I$343:$I$622,MATCH(1,('[21]DETEKSI ROT 2 (2)'!$D$343:$D$622=$D428)*('[21]DETEKSI ROT 2 (2)'!$D$343:$D$622=$D428),0))</f>
        <v>6</v>
      </c>
      <c r="R428" s="9">
        <f t="shared" si="60"/>
        <v>10.526315789473683</v>
      </c>
      <c r="S428" s="8" t="str">
        <f t="array" ref="S428">IF(R428&gt;5,"Perlu Sensus",IF(AND(R428&gt;=0,O428&gt;0),"Tetap Deteksi","Belum Deteksi"))</f>
        <v>Perlu Sensus</v>
      </c>
      <c r="T428" s="203"/>
      <c r="U428" s="9">
        <f t="shared" si="61"/>
        <v>0</v>
      </c>
      <c r="V428" s="132">
        <v>46249</v>
      </c>
      <c r="W428" s="143">
        <f t="array" ref="W428">INDEX('[21]DETEKSI ROT 2 (2)'!$L$343:$L$622,MATCH(1,('[21]DETEKSI ROT 2 (2)'!$D$343:$D$622=$D428)*('[21]DETEKSI ROT 2 (2)'!$D$343:$D$622=$D428),0))</f>
        <v>55</v>
      </c>
      <c r="X428" s="143">
        <f t="array" ref="X428">INDEX('[21]DETEKSI ROT 2 (2)'!$M$343:$M$622,MATCH(1,('[21]DETEKSI ROT 2 (2)'!$D$343:$D$622=$D428)*('[21]DETEKSI ROT 2 (2)'!$D$343:$D$622=$D428),0))</f>
        <v>7</v>
      </c>
      <c r="Y428" s="9">
        <f t="shared" si="59"/>
        <v>12.727272727272727</v>
      </c>
      <c r="Z428" s="8" t="str">
        <f t="array" ref="Z428">IF(Y428&gt;5,"Perlu Sensus",IF(AND(Y428&gt;0,,O428&gt;0),"Tetap Deteksi","Belum Deteksi"))</f>
        <v>Perlu Sensus</v>
      </c>
      <c r="AA428" s="203"/>
      <c r="AB428" s="9">
        <f t="shared" si="62"/>
        <v>0</v>
      </c>
    </row>
    <row r="429" spans="1:28" x14ac:dyDescent="0.15">
      <c r="A429" s="8" t="s">
        <v>322</v>
      </c>
      <c r="B429" s="8" t="s">
        <v>79</v>
      </c>
      <c r="C429" s="8" t="s">
        <v>452</v>
      </c>
      <c r="D429" s="8" t="s">
        <v>455</v>
      </c>
      <c r="E429" s="9">
        <v>25.29</v>
      </c>
      <c r="F429" s="8" t="s">
        <v>132</v>
      </c>
      <c r="G429" s="143">
        <v>3768</v>
      </c>
      <c r="H429" s="132">
        <f t="shared" si="63"/>
        <v>46249</v>
      </c>
      <c r="I429" s="140">
        <f t="shared" si="63"/>
        <v>112</v>
      </c>
      <c r="J429" s="9">
        <f t="shared" si="56"/>
        <v>2.9723991507431</v>
      </c>
      <c r="K429" s="140">
        <f t="shared" si="57"/>
        <v>7</v>
      </c>
      <c r="L429" s="206">
        <f t="shared" si="58"/>
        <v>6.25</v>
      </c>
      <c r="M429" s="8" t="str">
        <f t="array" ref="M429">IF(L429&gt;5,"Perlu Sensus",IF(AND(L429&gt;=0,I429&gt;0),"Tetap Deteksi","Belum Deteksi"))</f>
        <v>Perlu Sensus</v>
      </c>
      <c r="N429" s="132">
        <v>46249</v>
      </c>
      <c r="O429" s="143">
        <f t="array" ref="O429">INDEX('[21]DETEKSI ROT 2 (2)'!$G$343:$G$622,MATCH(1,('[21]DETEKSI ROT 2 (2)'!$D$343:$D$622=$D429)*('[21]DETEKSI ROT 2 (2)'!$D$343:$D$622=$D429),0))</f>
        <v>112</v>
      </c>
      <c r="P429" s="9">
        <f t="array" ref="P429">IFERROR(O429/G429*100,0)</f>
        <v>2.9723991507431</v>
      </c>
      <c r="Q429" s="143">
        <f t="array" ref="Q429">INDEX('[21]DETEKSI ROT 2 (2)'!$I$343:$I$622,MATCH(1,('[21]DETEKSI ROT 2 (2)'!$D$343:$D$622=$D429)*('[21]DETEKSI ROT 2 (2)'!$D$343:$D$622=$D429),0))</f>
        <v>7</v>
      </c>
      <c r="R429" s="9">
        <f t="shared" si="60"/>
        <v>6.25</v>
      </c>
      <c r="S429" s="8" t="str">
        <f t="array" ref="S429">IF(R429&gt;5,"Perlu Sensus",IF(AND(R429&gt;=0,O429&gt;0),"Tetap Deteksi","Belum Deteksi"))</f>
        <v>Perlu Sensus</v>
      </c>
      <c r="T429" s="203"/>
      <c r="U429" s="9">
        <f t="shared" si="61"/>
        <v>0</v>
      </c>
      <c r="V429" s="132">
        <v>46249</v>
      </c>
      <c r="W429" s="143">
        <f t="array" ref="W429">INDEX('[21]DETEKSI ROT 2 (2)'!$L$343:$L$622,MATCH(1,('[21]DETEKSI ROT 2 (2)'!$D$343:$D$622=$D429)*('[21]DETEKSI ROT 2 (2)'!$D$343:$D$622=$D429),0))</f>
        <v>65</v>
      </c>
      <c r="X429" s="143">
        <f t="array" ref="X429">INDEX('[21]DETEKSI ROT 2 (2)'!$M$343:$M$622,MATCH(1,('[21]DETEKSI ROT 2 (2)'!$D$343:$D$622=$D429)*('[21]DETEKSI ROT 2 (2)'!$D$343:$D$622=$D429),0))</f>
        <v>9</v>
      </c>
      <c r="Y429" s="9">
        <f t="shared" si="59"/>
        <v>13.846153846153847</v>
      </c>
      <c r="Z429" s="8" t="str">
        <f t="array" ref="Z429">IF(Y429&gt;5,"Perlu Sensus",IF(AND(Y429&gt;0,,O429&gt;0),"Tetap Deteksi","Belum Deteksi"))</f>
        <v>Perlu Sensus</v>
      </c>
      <c r="AA429" s="203"/>
      <c r="AB429" s="9">
        <f t="shared" si="62"/>
        <v>0</v>
      </c>
    </row>
    <row r="430" spans="1:28" x14ac:dyDescent="0.15">
      <c r="A430" s="8" t="s">
        <v>322</v>
      </c>
      <c r="B430" s="8" t="s">
        <v>79</v>
      </c>
      <c r="C430" s="8" t="s">
        <v>452</v>
      </c>
      <c r="D430" s="8" t="s">
        <v>456</v>
      </c>
      <c r="E430" s="9">
        <v>25.19</v>
      </c>
      <c r="F430" s="8" t="s">
        <v>132</v>
      </c>
      <c r="G430" s="143">
        <v>3832</v>
      </c>
      <c r="H430" s="132">
        <f t="shared" si="63"/>
        <v>46249</v>
      </c>
      <c r="I430" s="140">
        <f t="shared" si="63"/>
        <v>54</v>
      </c>
      <c r="J430" s="9">
        <f t="shared" si="56"/>
        <v>1.4091858037578289</v>
      </c>
      <c r="K430" s="140">
        <f t="shared" si="57"/>
        <v>4</v>
      </c>
      <c r="L430" s="206">
        <f t="shared" si="58"/>
        <v>7.4074074074074066</v>
      </c>
      <c r="M430" s="8" t="str">
        <f t="array" ref="M430">IF(L430&gt;5,"Perlu Sensus",IF(AND(L430&gt;=0,I430&gt;0),"Tetap Deteksi","Belum Deteksi"))</f>
        <v>Perlu Sensus</v>
      </c>
      <c r="N430" s="132">
        <v>46249</v>
      </c>
      <c r="O430" s="143">
        <f t="array" ref="O430">INDEX('[21]DETEKSI ROT 2 (2)'!$G$343:$G$622,MATCH(1,('[21]DETEKSI ROT 2 (2)'!$D$343:$D$622=$D430)*('[21]DETEKSI ROT 2 (2)'!$D$343:$D$622=$D430),0))</f>
        <v>54</v>
      </c>
      <c r="P430" s="9">
        <f t="array" ref="P430">IFERROR(O430/G430*100,0)</f>
        <v>1.4091858037578289</v>
      </c>
      <c r="Q430" s="143">
        <f t="array" ref="Q430">INDEX('[21]DETEKSI ROT 2 (2)'!$I$343:$I$622,MATCH(1,('[21]DETEKSI ROT 2 (2)'!$D$343:$D$622=$D430)*('[21]DETEKSI ROT 2 (2)'!$D$343:$D$622=$D430),0))</f>
        <v>4</v>
      </c>
      <c r="R430" s="9">
        <f t="shared" si="60"/>
        <v>7.4074074074074066</v>
      </c>
      <c r="S430" s="8" t="str">
        <f t="array" ref="S430">IF(R430&gt;5,"Perlu Sensus",IF(AND(R430&gt;=0,O430&gt;0),"Tetap Deteksi","Belum Deteksi"))</f>
        <v>Perlu Sensus</v>
      </c>
      <c r="T430" s="203"/>
      <c r="U430" s="9">
        <f t="shared" si="61"/>
        <v>0</v>
      </c>
      <c r="V430" s="132">
        <v>46249</v>
      </c>
      <c r="W430" s="143">
        <f t="array" ref="W430">INDEX('[21]DETEKSI ROT 2 (2)'!$L$343:$L$622,MATCH(1,('[21]DETEKSI ROT 2 (2)'!$D$343:$D$622=$D430)*('[21]DETEKSI ROT 2 (2)'!$D$343:$D$622=$D430),0))</f>
        <v>152</v>
      </c>
      <c r="X430" s="143">
        <f t="array" ref="X430">INDEX('[21]DETEKSI ROT 2 (2)'!$M$343:$M$622,MATCH(1,('[21]DETEKSI ROT 2 (2)'!$D$343:$D$622=$D430)*('[21]DETEKSI ROT 2 (2)'!$D$343:$D$622=$D430),0))</f>
        <v>11</v>
      </c>
      <c r="Y430" s="9">
        <f t="shared" si="59"/>
        <v>7.2368421052631584</v>
      </c>
      <c r="Z430" s="8" t="str">
        <f t="array" ref="Z430">IF(Y430&gt;5,"Perlu Sensus",IF(AND(Y430&gt;0,,O430&gt;0),"Tetap Deteksi","Belum Deteksi"))</f>
        <v>Perlu Sensus</v>
      </c>
      <c r="AA430" s="203"/>
      <c r="AB430" s="9">
        <f t="shared" si="62"/>
        <v>0</v>
      </c>
    </row>
    <row r="431" spans="1:28" x14ac:dyDescent="0.15">
      <c r="A431" s="8" t="s">
        <v>322</v>
      </c>
      <c r="B431" s="8" t="s">
        <v>79</v>
      </c>
      <c r="C431" s="8" t="s">
        <v>452</v>
      </c>
      <c r="D431" s="8" t="s">
        <v>457</v>
      </c>
      <c r="E431" s="9">
        <v>24.61</v>
      </c>
      <c r="F431" s="8" t="s">
        <v>132</v>
      </c>
      <c r="G431" s="143">
        <v>3635</v>
      </c>
      <c r="H431" s="132">
        <f t="shared" si="63"/>
        <v>46249</v>
      </c>
      <c r="I431" s="140">
        <f t="shared" si="63"/>
        <v>152</v>
      </c>
      <c r="J431" s="9">
        <f t="shared" si="56"/>
        <v>4.1815680880330124</v>
      </c>
      <c r="K431" s="140">
        <f t="shared" si="57"/>
        <v>15</v>
      </c>
      <c r="L431" s="206">
        <f t="shared" si="58"/>
        <v>9.8684210526315788</v>
      </c>
      <c r="M431" s="8" t="str">
        <f t="array" ref="M431">IF(L431&gt;5,"Perlu Sensus",IF(AND(L431&gt;=0,I431&gt;0),"Tetap Deteksi","Belum Deteksi"))</f>
        <v>Perlu Sensus</v>
      </c>
      <c r="N431" s="132">
        <v>46249</v>
      </c>
      <c r="O431" s="143">
        <f t="array" ref="O431">INDEX('[21]DETEKSI ROT 2 (2)'!$G$343:$G$622,MATCH(1,('[21]DETEKSI ROT 2 (2)'!$D$343:$D$622=$D431)*('[21]DETEKSI ROT 2 (2)'!$D$343:$D$622=$D431),0))</f>
        <v>152</v>
      </c>
      <c r="P431" s="9">
        <f t="array" ref="P431">IFERROR(O431/G431*100,0)</f>
        <v>4.1815680880330124</v>
      </c>
      <c r="Q431" s="143">
        <f t="array" ref="Q431">INDEX('[21]DETEKSI ROT 2 (2)'!$I$343:$I$622,MATCH(1,('[21]DETEKSI ROT 2 (2)'!$D$343:$D$622=$D431)*('[21]DETEKSI ROT 2 (2)'!$D$343:$D$622=$D431),0))</f>
        <v>15</v>
      </c>
      <c r="R431" s="9">
        <f t="shared" si="60"/>
        <v>9.8684210526315788</v>
      </c>
      <c r="S431" s="8" t="str">
        <f t="array" ref="S431">IF(R431&gt;5,"Perlu Sensus",IF(AND(R431&gt;=0,O431&gt;0),"Tetap Deteksi","Belum Deteksi"))</f>
        <v>Perlu Sensus</v>
      </c>
      <c r="T431" s="203"/>
      <c r="U431" s="9">
        <f t="shared" si="61"/>
        <v>0</v>
      </c>
      <c r="V431" s="132">
        <v>46249</v>
      </c>
      <c r="W431" s="143">
        <f t="array" ref="W431">INDEX('[21]DETEKSI ROT 2 (2)'!$L$343:$L$622,MATCH(1,('[21]DETEKSI ROT 2 (2)'!$D$343:$D$622=$D431)*('[21]DETEKSI ROT 2 (2)'!$D$343:$D$622=$D431),0))</f>
        <v>66</v>
      </c>
      <c r="X431" s="143">
        <f t="array" ref="X431">INDEX('[21]DETEKSI ROT 2 (2)'!$M$343:$M$622,MATCH(1,('[21]DETEKSI ROT 2 (2)'!$D$343:$D$622=$D431)*('[21]DETEKSI ROT 2 (2)'!$D$343:$D$622=$D431),0))</f>
        <v>2</v>
      </c>
      <c r="Y431" s="9">
        <f t="shared" si="59"/>
        <v>3.0303030303030303</v>
      </c>
      <c r="Z431" s="8" t="str">
        <f t="array" ref="Z431">IF(Y431&gt;5,"Perlu Sensus",IF(AND(Y431&gt;0,,O431&gt;0),"Tetap Deteksi","Belum Deteksi"))</f>
        <v>Belum Deteksi</v>
      </c>
      <c r="AA431" s="203"/>
      <c r="AB431" s="9">
        <f t="shared" si="62"/>
        <v>0</v>
      </c>
    </row>
    <row r="432" spans="1:28" x14ac:dyDescent="0.15">
      <c r="A432" s="8" t="s">
        <v>322</v>
      </c>
      <c r="B432" s="8" t="s">
        <v>79</v>
      </c>
      <c r="C432" s="8" t="s">
        <v>452</v>
      </c>
      <c r="D432" s="8" t="s">
        <v>458</v>
      </c>
      <c r="E432" s="9">
        <v>25.14</v>
      </c>
      <c r="F432" s="8" t="s">
        <v>132</v>
      </c>
      <c r="G432" s="143">
        <v>3731</v>
      </c>
      <c r="H432" s="132">
        <f t="shared" si="63"/>
        <v>46249</v>
      </c>
      <c r="I432" s="140">
        <f t="shared" si="63"/>
        <v>114</v>
      </c>
      <c r="J432" s="9">
        <f t="shared" si="56"/>
        <v>3.0554811042615921</v>
      </c>
      <c r="K432" s="140">
        <f t="shared" si="57"/>
        <v>12</v>
      </c>
      <c r="L432" s="206">
        <f t="shared" si="58"/>
        <v>10.526315789473683</v>
      </c>
      <c r="M432" s="8" t="str">
        <f t="array" ref="M432">IF(L432&gt;5,"Perlu Sensus",IF(AND(L432&gt;=0,I432&gt;0),"Tetap Deteksi","Belum Deteksi"))</f>
        <v>Perlu Sensus</v>
      </c>
      <c r="N432" s="132">
        <v>46249</v>
      </c>
      <c r="O432" s="143">
        <f t="array" ref="O432">INDEX('[21]DETEKSI ROT 2 (2)'!$G$343:$G$622,MATCH(1,('[21]DETEKSI ROT 2 (2)'!$D$343:$D$622=$D432)*('[21]DETEKSI ROT 2 (2)'!$D$343:$D$622=$D432),0))</f>
        <v>114</v>
      </c>
      <c r="P432" s="9">
        <f t="array" ref="P432">IFERROR(O432/G432*100,0)</f>
        <v>3.0554811042615921</v>
      </c>
      <c r="Q432" s="143">
        <f t="array" ref="Q432">INDEX('[21]DETEKSI ROT 2 (2)'!$I$343:$I$622,MATCH(1,('[21]DETEKSI ROT 2 (2)'!$D$343:$D$622=$D432)*('[21]DETEKSI ROT 2 (2)'!$D$343:$D$622=$D432),0))</f>
        <v>12</v>
      </c>
      <c r="R432" s="9">
        <f t="shared" si="60"/>
        <v>10.526315789473683</v>
      </c>
      <c r="S432" s="8" t="str">
        <f t="array" ref="S432">IF(R432&gt;5,"Perlu Sensus",IF(AND(R432&gt;=0,O432&gt;0),"Tetap Deteksi","Belum Deteksi"))</f>
        <v>Perlu Sensus</v>
      </c>
      <c r="T432" s="203"/>
      <c r="U432" s="9">
        <f t="shared" si="61"/>
        <v>0</v>
      </c>
      <c r="V432" s="132">
        <v>46249</v>
      </c>
      <c r="W432" s="143">
        <f t="array" ref="W432">INDEX('[21]DETEKSI ROT 2 (2)'!$L$343:$L$622,MATCH(1,('[21]DETEKSI ROT 2 (2)'!$D$343:$D$622=$D432)*('[21]DETEKSI ROT 2 (2)'!$D$343:$D$622=$D432),0))</f>
        <v>71</v>
      </c>
      <c r="X432" s="143">
        <f t="array" ref="X432">INDEX('[21]DETEKSI ROT 2 (2)'!$M$343:$M$622,MATCH(1,('[21]DETEKSI ROT 2 (2)'!$D$343:$D$622=$D432)*('[21]DETEKSI ROT 2 (2)'!$D$343:$D$622=$D432),0))</f>
        <v>11</v>
      </c>
      <c r="Y432" s="9">
        <f t="shared" si="59"/>
        <v>15.492957746478872</v>
      </c>
      <c r="Z432" s="8" t="str">
        <f t="array" ref="Z432">IF(Y432&gt;5,"Perlu Sensus",IF(AND(Y432&gt;0,,O432&gt;0),"Tetap Deteksi","Belum Deteksi"))</f>
        <v>Perlu Sensus</v>
      </c>
      <c r="AA432" s="203"/>
      <c r="AB432" s="9">
        <f t="shared" si="62"/>
        <v>0</v>
      </c>
    </row>
    <row r="433" spans="1:28" x14ac:dyDescent="0.15">
      <c r="A433" s="8" t="s">
        <v>322</v>
      </c>
      <c r="B433" s="8" t="s">
        <v>79</v>
      </c>
      <c r="C433" s="8" t="s">
        <v>452</v>
      </c>
      <c r="D433" s="8" t="s">
        <v>459</v>
      </c>
      <c r="E433" s="9">
        <v>24.67</v>
      </c>
      <c r="F433" s="8" t="s">
        <v>132</v>
      </c>
      <c r="G433" s="143">
        <v>3560</v>
      </c>
      <c r="H433" s="132">
        <f t="shared" si="63"/>
        <v>46249</v>
      </c>
      <c r="I433" s="140">
        <f t="shared" si="63"/>
        <v>56</v>
      </c>
      <c r="J433" s="9">
        <f t="shared" si="56"/>
        <v>1.5730337078651686</v>
      </c>
      <c r="K433" s="140">
        <f t="shared" si="57"/>
        <v>6</v>
      </c>
      <c r="L433" s="206">
        <f t="shared" si="58"/>
        <v>10.714285714285714</v>
      </c>
      <c r="M433" s="8" t="str">
        <f t="array" ref="M433">IF(L433&gt;5,"Perlu Sensus",IF(AND(L433&gt;=0,I433&gt;0),"Tetap Deteksi","Belum Deteksi"))</f>
        <v>Perlu Sensus</v>
      </c>
      <c r="N433" s="132">
        <v>46249</v>
      </c>
      <c r="O433" s="143">
        <f t="array" ref="O433">INDEX('[21]DETEKSI ROT 2 (2)'!$G$343:$G$622,MATCH(1,('[21]DETEKSI ROT 2 (2)'!$D$343:$D$622=$D433)*('[21]DETEKSI ROT 2 (2)'!$D$343:$D$622=$D433),0))</f>
        <v>56</v>
      </c>
      <c r="P433" s="9">
        <f t="array" ref="P433">IFERROR(O433/G433*100,0)</f>
        <v>1.5730337078651686</v>
      </c>
      <c r="Q433" s="143">
        <f t="array" ref="Q433">INDEX('[21]DETEKSI ROT 2 (2)'!$I$343:$I$622,MATCH(1,('[21]DETEKSI ROT 2 (2)'!$D$343:$D$622=$D433)*('[21]DETEKSI ROT 2 (2)'!$D$343:$D$622=$D433),0))</f>
        <v>6</v>
      </c>
      <c r="R433" s="9">
        <f t="shared" si="60"/>
        <v>10.714285714285714</v>
      </c>
      <c r="S433" s="8" t="str">
        <f t="array" ref="S433">IF(R433&gt;5,"Perlu Sensus",IF(AND(R433&gt;=0,O433&gt;0),"Tetap Deteksi","Belum Deteksi"))</f>
        <v>Perlu Sensus</v>
      </c>
      <c r="T433" s="203"/>
      <c r="U433" s="9">
        <f t="shared" si="61"/>
        <v>0</v>
      </c>
      <c r="V433" s="132">
        <v>46249</v>
      </c>
      <c r="W433" s="143">
        <f t="array" ref="W433">INDEX('[21]DETEKSI ROT 2 (2)'!$L$343:$L$622,MATCH(1,('[21]DETEKSI ROT 2 (2)'!$D$343:$D$622=$D433)*('[21]DETEKSI ROT 2 (2)'!$D$343:$D$622=$D433),0))</f>
        <v>50</v>
      </c>
      <c r="X433" s="143">
        <f t="array" ref="X433">INDEX('[21]DETEKSI ROT 2 (2)'!$M$343:$M$622,MATCH(1,('[21]DETEKSI ROT 2 (2)'!$D$343:$D$622=$D433)*('[21]DETEKSI ROT 2 (2)'!$D$343:$D$622=$D433),0))</f>
        <v>6</v>
      </c>
      <c r="Y433" s="9">
        <f t="shared" si="59"/>
        <v>12</v>
      </c>
      <c r="Z433" s="8" t="str">
        <f t="array" ref="Z433">IF(Y433&gt;5,"Perlu Sensus",IF(AND(Y433&gt;0,,O433&gt;0),"Tetap Deteksi","Belum Deteksi"))</f>
        <v>Perlu Sensus</v>
      </c>
      <c r="AA433" s="203"/>
      <c r="AB433" s="9">
        <f t="shared" si="62"/>
        <v>0</v>
      </c>
    </row>
    <row r="434" spans="1:28" x14ac:dyDescent="0.15">
      <c r="A434" s="8" t="s">
        <v>322</v>
      </c>
      <c r="B434" s="8" t="s">
        <v>79</v>
      </c>
      <c r="C434" s="8" t="s">
        <v>452</v>
      </c>
      <c r="D434" s="8" t="s">
        <v>460</v>
      </c>
      <c r="E434" s="9">
        <v>25.91</v>
      </c>
      <c r="F434" s="8" t="s">
        <v>132</v>
      </c>
      <c r="G434" s="143">
        <v>3816</v>
      </c>
      <c r="H434" s="132">
        <f t="shared" si="63"/>
        <v>46249</v>
      </c>
      <c r="I434" s="140">
        <f t="shared" si="63"/>
        <v>57</v>
      </c>
      <c r="J434" s="9">
        <f t="shared" si="56"/>
        <v>1.4937106918238994</v>
      </c>
      <c r="K434" s="140">
        <f t="shared" si="57"/>
        <v>7</v>
      </c>
      <c r="L434" s="206">
        <f t="shared" si="58"/>
        <v>12.280701754385964</v>
      </c>
      <c r="M434" s="8" t="str">
        <f t="array" ref="M434">IF(L434&gt;5,"Perlu Sensus",IF(AND(L434&gt;=0,I434&gt;0),"Tetap Deteksi","Belum Deteksi"))</f>
        <v>Perlu Sensus</v>
      </c>
      <c r="N434" s="132">
        <v>46249</v>
      </c>
      <c r="O434" s="143">
        <f t="array" ref="O434">INDEX('[21]DETEKSI ROT 2 (2)'!$G$343:$G$622,MATCH(1,('[21]DETEKSI ROT 2 (2)'!$D$343:$D$622=$D434)*('[21]DETEKSI ROT 2 (2)'!$D$343:$D$622=$D434),0))</f>
        <v>57</v>
      </c>
      <c r="P434" s="9">
        <f t="array" ref="P434">IFERROR(O434/G434*100,0)</f>
        <v>1.4937106918238994</v>
      </c>
      <c r="Q434" s="143">
        <f t="array" ref="Q434">INDEX('[21]DETEKSI ROT 2 (2)'!$I$343:$I$622,MATCH(1,('[21]DETEKSI ROT 2 (2)'!$D$343:$D$622=$D434)*('[21]DETEKSI ROT 2 (2)'!$D$343:$D$622=$D434),0))</f>
        <v>7</v>
      </c>
      <c r="R434" s="9">
        <f t="shared" si="60"/>
        <v>12.280701754385964</v>
      </c>
      <c r="S434" s="8" t="str">
        <f t="array" ref="S434">IF(R434&gt;5,"Perlu Sensus",IF(AND(R434&gt;=0,O434&gt;0),"Tetap Deteksi","Belum Deteksi"))</f>
        <v>Perlu Sensus</v>
      </c>
      <c r="T434" s="203"/>
      <c r="U434" s="9">
        <f t="shared" si="61"/>
        <v>0</v>
      </c>
      <c r="V434" s="132">
        <v>46249</v>
      </c>
      <c r="W434" s="143">
        <f t="array" ref="W434">INDEX('[21]DETEKSI ROT 2 (2)'!$L$343:$L$622,MATCH(1,('[21]DETEKSI ROT 2 (2)'!$D$343:$D$622=$D434)*('[21]DETEKSI ROT 2 (2)'!$D$343:$D$622=$D434),0))</f>
        <v>50</v>
      </c>
      <c r="X434" s="143">
        <f t="array" ref="X434">INDEX('[21]DETEKSI ROT 2 (2)'!$M$343:$M$622,MATCH(1,('[21]DETEKSI ROT 2 (2)'!$D$343:$D$622=$D434)*('[21]DETEKSI ROT 2 (2)'!$D$343:$D$622=$D434),0))</f>
        <v>5</v>
      </c>
      <c r="Y434" s="9">
        <f t="shared" si="59"/>
        <v>10</v>
      </c>
      <c r="Z434" s="8" t="str">
        <f t="array" ref="Z434">IF(Y434&gt;5,"Perlu Sensus",IF(AND(Y434&gt;0,,O434&gt;0),"Tetap Deteksi","Belum Deteksi"))</f>
        <v>Perlu Sensus</v>
      </c>
      <c r="AA434" s="203"/>
      <c r="AB434" s="9">
        <f t="shared" si="62"/>
        <v>0</v>
      </c>
    </row>
    <row r="435" spans="1:28" x14ac:dyDescent="0.15">
      <c r="A435" s="8" t="s">
        <v>322</v>
      </c>
      <c r="B435" s="8" t="s">
        <v>79</v>
      </c>
      <c r="C435" s="8" t="s">
        <v>452</v>
      </c>
      <c r="D435" s="8" t="s">
        <v>461</v>
      </c>
      <c r="E435" s="9">
        <v>25.39</v>
      </c>
      <c r="F435" s="8" t="s">
        <v>132</v>
      </c>
      <c r="G435" s="143">
        <v>3788</v>
      </c>
      <c r="H435" s="132">
        <f t="shared" si="63"/>
        <v>46249</v>
      </c>
      <c r="I435" s="140">
        <f t="shared" si="63"/>
        <v>54</v>
      </c>
      <c r="J435" s="9">
        <f t="shared" si="56"/>
        <v>1.4255543822597676</v>
      </c>
      <c r="K435" s="140">
        <f t="shared" si="57"/>
        <v>5</v>
      </c>
      <c r="L435" s="206">
        <f t="shared" si="58"/>
        <v>9.2592592592592595</v>
      </c>
      <c r="M435" s="8" t="str">
        <f t="array" ref="M435">IF(L435&gt;5,"Perlu Sensus",IF(AND(L435&gt;=0,I435&gt;0),"Tetap Deteksi","Belum Deteksi"))</f>
        <v>Perlu Sensus</v>
      </c>
      <c r="N435" s="132">
        <v>46249</v>
      </c>
      <c r="O435" s="143">
        <f t="array" ref="O435">INDEX('[21]DETEKSI ROT 2 (2)'!$G$343:$G$622,MATCH(1,('[21]DETEKSI ROT 2 (2)'!$D$343:$D$622=$D435)*('[21]DETEKSI ROT 2 (2)'!$D$343:$D$622=$D435),0))</f>
        <v>54</v>
      </c>
      <c r="P435" s="9">
        <f t="array" ref="P435">IFERROR(O435/G435*100,0)</f>
        <v>1.4255543822597676</v>
      </c>
      <c r="Q435" s="143">
        <f t="array" ref="Q435">INDEX('[21]DETEKSI ROT 2 (2)'!$I$343:$I$622,MATCH(1,('[21]DETEKSI ROT 2 (2)'!$D$343:$D$622=$D435)*('[21]DETEKSI ROT 2 (2)'!$D$343:$D$622=$D435),0))</f>
        <v>5</v>
      </c>
      <c r="R435" s="9">
        <f t="shared" si="60"/>
        <v>9.2592592592592595</v>
      </c>
      <c r="S435" s="8" t="str">
        <f t="array" ref="S435">IF(R435&gt;5,"Perlu Sensus",IF(AND(R435&gt;=0,O435&gt;0),"Tetap Deteksi","Belum Deteksi"))</f>
        <v>Perlu Sensus</v>
      </c>
      <c r="T435" s="203"/>
      <c r="U435" s="9">
        <f t="shared" si="61"/>
        <v>0</v>
      </c>
      <c r="V435" s="132">
        <v>46249</v>
      </c>
      <c r="W435" s="143">
        <f t="array" ref="W435">INDEX('[21]DETEKSI ROT 2 (2)'!$L$343:$L$622,MATCH(1,('[21]DETEKSI ROT 2 (2)'!$D$343:$D$622=$D435)*('[21]DETEKSI ROT 2 (2)'!$D$343:$D$622=$D435),0))</f>
        <v>50</v>
      </c>
      <c r="X435" s="143">
        <f t="array" ref="X435">INDEX('[21]DETEKSI ROT 2 (2)'!$M$343:$M$622,MATCH(1,('[21]DETEKSI ROT 2 (2)'!$D$343:$D$622=$D435)*('[21]DETEKSI ROT 2 (2)'!$D$343:$D$622=$D435),0))</f>
        <v>2</v>
      </c>
      <c r="Y435" s="9">
        <f t="shared" si="59"/>
        <v>4</v>
      </c>
      <c r="Z435" s="8" t="str">
        <f t="array" ref="Z435">IF(Y435&gt;5,"Perlu Sensus",IF(AND(Y435&gt;0,,O435&gt;0),"Tetap Deteksi","Belum Deteksi"))</f>
        <v>Belum Deteksi</v>
      </c>
      <c r="AA435" s="203"/>
      <c r="AB435" s="9">
        <f t="shared" si="62"/>
        <v>0</v>
      </c>
    </row>
    <row r="436" spans="1:28" x14ac:dyDescent="0.15">
      <c r="A436" s="8" t="s">
        <v>322</v>
      </c>
      <c r="B436" s="8" t="s">
        <v>79</v>
      </c>
      <c r="C436" s="8" t="s">
        <v>452</v>
      </c>
      <c r="D436" s="8" t="s">
        <v>462</v>
      </c>
      <c r="E436" s="9">
        <v>25.01</v>
      </c>
      <c r="F436" s="8" t="s">
        <v>132</v>
      </c>
      <c r="G436" s="10">
        <v>3751</v>
      </c>
      <c r="H436" s="132">
        <f t="shared" ref="H436:H499" si="64">IF(N436&gt;0,N436,V436)</f>
        <v>46249</v>
      </c>
      <c r="I436" s="140">
        <f t="shared" ref="I436:I499" si="65">IF(O436&gt;0,O436,W436)</f>
        <v>56</v>
      </c>
      <c r="J436" s="9">
        <f t="shared" ref="J436:J499" si="66">IF(P436&gt;0,P436," ")</f>
        <v>1.4929352172753934</v>
      </c>
      <c r="K436" s="140">
        <f t="shared" ref="K436:K499" si="67">IF(Q436&gt;0,Q436,X436)</f>
        <v>6</v>
      </c>
      <c r="L436" s="206">
        <f t="shared" ref="L436:L499" si="68">IFERROR(K436/I436*100,0)</f>
        <v>10.714285714285714</v>
      </c>
      <c r="M436" s="8" t="str">
        <f t="array" ref="M436">IF(L436&gt;5,"Perlu Sensus",IF(AND(L436&gt;=0,I436&gt;0),"Tetap Deteksi","Belum Deteksi"))</f>
        <v>Perlu Sensus</v>
      </c>
      <c r="N436" s="132">
        <v>46249</v>
      </c>
      <c r="O436" s="143">
        <f t="array" ref="O436">INDEX('[21]DETEKSI ROT 2 (2)'!$G$343:$G$622,MATCH(1,('[21]DETEKSI ROT 2 (2)'!$D$343:$D$622=$D436)*('[21]DETEKSI ROT 2 (2)'!$D$343:$D$622=$D436),0))</f>
        <v>56</v>
      </c>
      <c r="P436" s="9">
        <f t="array" ref="P436">IFERROR(O436/G436*100,0)</f>
        <v>1.4929352172753934</v>
      </c>
      <c r="Q436" s="143">
        <f t="array" ref="Q436">INDEX('[21]DETEKSI ROT 2 (2)'!$I$343:$I$622,MATCH(1,('[21]DETEKSI ROT 2 (2)'!$D$343:$D$622=$D436)*('[21]DETEKSI ROT 2 (2)'!$D$343:$D$622=$D436),0))</f>
        <v>6</v>
      </c>
      <c r="R436" s="9">
        <f t="shared" si="60"/>
        <v>10.714285714285714</v>
      </c>
      <c r="S436" s="8" t="str">
        <f t="array" ref="S436">IF(R436&gt;5,"Perlu Sensus",IF(AND(R436&gt;=0,O436&gt;0),"Tetap Deteksi","Belum Deteksi"))</f>
        <v>Perlu Sensus</v>
      </c>
      <c r="T436" s="203"/>
      <c r="U436" s="9">
        <f t="shared" si="61"/>
        <v>0</v>
      </c>
      <c r="V436" s="132">
        <v>46249</v>
      </c>
      <c r="W436" s="143">
        <f t="array" ref="W436">INDEX('[21]DETEKSI ROT 2 (2)'!$L$343:$L$622,MATCH(1,('[21]DETEKSI ROT 2 (2)'!$D$343:$D$622=$D436)*('[21]DETEKSI ROT 2 (2)'!$D$343:$D$622=$D436),0))</f>
        <v>38</v>
      </c>
      <c r="X436" s="143">
        <f t="array" ref="X436">INDEX('[21]DETEKSI ROT 2 (2)'!$M$343:$M$622,MATCH(1,('[21]DETEKSI ROT 2 (2)'!$D$343:$D$622=$D436)*('[21]DETEKSI ROT 2 (2)'!$D$343:$D$622=$D436),0))</f>
        <v>3</v>
      </c>
      <c r="Y436" s="9">
        <f t="shared" ref="Y436:Y499" si="69">IFERROR(X436/W436*100,0)</f>
        <v>7.8947368421052628</v>
      </c>
      <c r="Z436" s="8" t="str">
        <f t="array" ref="Z436">IF(Y436&gt;5,"Perlu Sensus",IF(AND(Y436&gt;0,,O436&gt;0),"Tetap Deteksi","Belum Deteksi"))</f>
        <v>Perlu Sensus</v>
      </c>
      <c r="AA436" s="203"/>
      <c r="AB436" s="9">
        <f t="shared" si="62"/>
        <v>0</v>
      </c>
    </row>
    <row r="437" spans="1:28" x14ac:dyDescent="0.15">
      <c r="A437" s="8" t="s">
        <v>322</v>
      </c>
      <c r="B437" s="8" t="s">
        <v>79</v>
      </c>
      <c r="C437" s="8" t="s">
        <v>452</v>
      </c>
      <c r="D437" s="8" t="s">
        <v>463</v>
      </c>
      <c r="E437" s="9">
        <v>24.45</v>
      </c>
      <c r="F437" s="8" t="s">
        <v>132</v>
      </c>
      <c r="G437" s="10">
        <v>3686</v>
      </c>
      <c r="H437" s="132">
        <f t="shared" si="64"/>
        <v>46249</v>
      </c>
      <c r="I437" s="140">
        <f t="shared" si="65"/>
        <v>57</v>
      </c>
      <c r="J437" s="9">
        <f t="shared" si="66"/>
        <v>1.5463917525773196</v>
      </c>
      <c r="K437" s="140">
        <f t="shared" si="67"/>
        <v>12</v>
      </c>
      <c r="L437" s="206">
        <f t="shared" si="68"/>
        <v>21.052631578947366</v>
      </c>
      <c r="M437" s="8" t="str">
        <f t="array" ref="M437">IF(L437&gt;5,"Perlu Sensus",IF(AND(L437&gt;=0,I437&gt;0),"Tetap Deteksi","Belum Deteksi"))</f>
        <v>Perlu Sensus</v>
      </c>
      <c r="N437" s="132">
        <v>46249</v>
      </c>
      <c r="O437" s="143">
        <f t="array" ref="O437">INDEX('[21]DETEKSI ROT 2 (2)'!$G$343:$G$622,MATCH(1,('[21]DETEKSI ROT 2 (2)'!$D$343:$D$622=$D437)*('[21]DETEKSI ROT 2 (2)'!$D$343:$D$622=$D437),0))</f>
        <v>57</v>
      </c>
      <c r="P437" s="9">
        <f t="array" ref="P437">IFERROR(O437/G437*100,0)</f>
        <v>1.5463917525773196</v>
      </c>
      <c r="Q437" s="143">
        <f t="array" ref="Q437">INDEX('[21]DETEKSI ROT 2 (2)'!$I$343:$I$622,MATCH(1,('[21]DETEKSI ROT 2 (2)'!$D$343:$D$622=$D437)*('[21]DETEKSI ROT 2 (2)'!$D$343:$D$622=$D437),0))</f>
        <v>12</v>
      </c>
      <c r="R437" s="9">
        <f t="shared" si="60"/>
        <v>21.052631578947366</v>
      </c>
      <c r="S437" s="8" t="str">
        <f t="array" ref="S437">IF(R437&gt;5,"Perlu Sensus",IF(AND(R437&gt;=0,O437&gt;0),"Tetap Deteksi","Belum Deteksi"))</f>
        <v>Perlu Sensus</v>
      </c>
      <c r="T437" s="203"/>
      <c r="U437" s="9">
        <f t="shared" si="61"/>
        <v>0</v>
      </c>
      <c r="V437" s="132">
        <v>46249</v>
      </c>
      <c r="W437" s="143">
        <f t="array" ref="W437">INDEX('[21]DETEKSI ROT 2 (2)'!$L$343:$L$622,MATCH(1,('[21]DETEKSI ROT 2 (2)'!$D$343:$D$622=$D437)*('[21]DETEKSI ROT 2 (2)'!$D$343:$D$622=$D437),0))</f>
        <v>46</v>
      </c>
      <c r="X437" s="143">
        <f t="array" ref="X437">INDEX('[21]DETEKSI ROT 2 (2)'!$M$343:$M$622,MATCH(1,('[21]DETEKSI ROT 2 (2)'!$D$343:$D$622=$D437)*('[21]DETEKSI ROT 2 (2)'!$D$343:$D$622=$D437),0))</f>
        <v>12</v>
      </c>
      <c r="Y437" s="9">
        <f t="shared" si="69"/>
        <v>26.086956521739129</v>
      </c>
      <c r="Z437" s="8" t="str">
        <f t="array" ref="Z437">IF(Y437&gt;5,"Perlu Sensus",IF(AND(Y437&gt;0,,O437&gt;0),"Tetap Deteksi","Belum Deteksi"))</f>
        <v>Perlu Sensus</v>
      </c>
      <c r="AA437" s="203"/>
      <c r="AB437" s="9">
        <f t="shared" si="62"/>
        <v>0</v>
      </c>
    </row>
    <row r="438" spans="1:28" x14ac:dyDescent="0.15">
      <c r="A438" s="8" t="s">
        <v>322</v>
      </c>
      <c r="B438" s="8" t="s">
        <v>79</v>
      </c>
      <c r="C438" s="8" t="s">
        <v>452</v>
      </c>
      <c r="D438" s="8" t="s">
        <v>464</v>
      </c>
      <c r="E438" s="9">
        <v>25.37</v>
      </c>
      <c r="F438" s="8" t="s">
        <v>132</v>
      </c>
      <c r="G438" s="10">
        <v>3634</v>
      </c>
      <c r="H438" s="132">
        <f t="shared" si="64"/>
        <v>46249</v>
      </c>
      <c r="I438" s="140">
        <f t="shared" si="65"/>
        <v>59</v>
      </c>
      <c r="J438" s="9">
        <f t="shared" si="66"/>
        <v>1.6235553109521188</v>
      </c>
      <c r="K438" s="140">
        <f t="shared" si="67"/>
        <v>7</v>
      </c>
      <c r="L438" s="206">
        <f t="shared" si="68"/>
        <v>11.864406779661017</v>
      </c>
      <c r="M438" s="8" t="str">
        <f t="array" ref="M438">IF(L438&gt;5,"Perlu Sensus",IF(AND(L438&gt;=0,I438&gt;0),"Tetap Deteksi","Belum Deteksi"))</f>
        <v>Perlu Sensus</v>
      </c>
      <c r="N438" s="132">
        <v>46249</v>
      </c>
      <c r="O438" s="143">
        <f t="array" ref="O438">INDEX('[21]DETEKSI ROT 2 (2)'!$G$343:$G$622,MATCH(1,('[21]DETEKSI ROT 2 (2)'!$D$343:$D$622=$D438)*('[21]DETEKSI ROT 2 (2)'!$D$343:$D$622=$D438),0))</f>
        <v>59</v>
      </c>
      <c r="P438" s="9">
        <f t="array" ref="P438">IFERROR(O438/G438*100,0)</f>
        <v>1.6235553109521188</v>
      </c>
      <c r="Q438" s="143">
        <f t="array" ref="Q438">INDEX('[21]DETEKSI ROT 2 (2)'!$I$343:$I$622,MATCH(1,('[21]DETEKSI ROT 2 (2)'!$D$343:$D$622=$D438)*('[21]DETEKSI ROT 2 (2)'!$D$343:$D$622=$D438),0))</f>
        <v>7</v>
      </c>
      <c r="R438" s="9">
        <f t="shared" si="60"/>
        <v>11.864406779661017</v>
      </c>
      <c r="S438" s="8" t="str">
        <f t="array" ref="S438">IF(R438&gt;5,"Perlu Sensus",IF(AND(R438&gt;=0,O438&gt;0),"Tetap Deteksi","Belum Deteksi"))</f>
        <v>Perlu Sensus</v>
      </c>
      <c r="T438" s="203"/>
      <c r="U438" s="9">
        <f t="shared" si="61"/>
        <v>0</v>
      </c>
      <c r="V438" s="132">
        <v>46249</v>
      </c>
      <c r="W438" s="143">
        <f t="array" ref="W438">INDEX('[21]DETEKSI ROT 2 (2)'!$L$343:$L$622,MATCH(1,('[21]DETEKSI ROT 2 (2)'!$D$343:$D$622=$D438)*('[21]DETEKSI ROT 2 (2)'!$D$343:$D$622=$D438),0))</f>
        <v>54</v>
      </c>
      <c r="X438" s="143">
        <f t="array" ref="X438">INDEX('[21]DETEKSI ROT 2 (2)'!$M$343:$M$622,MATCH(1,('[21]DETEKSI ROT 2 (2)'!$D$343:$D$622=$D438)*('[21]DETEKSI ROT 2 (2)'!$D$343:$D$622=$D438),0))</f>
        <v>7</v>
      </c>
      <c r="Y438" s="9">
        <f t="shared" si="69"/>
        <v>12.962962962962962</v>
      </c>
      <c r="Z438" s="8" t="str">
        <f t="array" ref="Z438">IF(Y438&gt;5,"Perlu Sensus",IF(AND(Y438&gt;0,,O438&gt;0),"Tetap Deteksi","Belum Deteksi"))</f>
        <v>Perlu Sensus</v>
      </c>
      <c r="AA438" s="203"/>
      <c r="AB438" s="9">
        <f t="shared" si="62"/>
        <v>0</v>
      </c>
    </row>
    <row r="439" spans="1:28" x14ac:dyDescent="0.15">
      <c r="A439" s="8" t="s">
        <v>322</v>
      </c>
      <c r="B439" s="8" t="s">
        <v>79</v>
      </c>
      <c r="C439" s="8" t="s">
        <v>452</v>
      </c>
      <c r="D439" s="8" t="s">
        <v>465</v>
      </c>
      <c r="E439" s="9">
        <v>25.68</v>
      </c>
      <c r="F439" s="8" t="s">
        <v>132</v>
      </c>
      <c r="G439" s="10">
        <v>3777</v>
      </c>
      <c r="H439" s="132">
        <f t="shared" si="64"/>
        <v>46249</v>
      </c>
      <c r="I439" s="140">
        <f t="shared" si="65"/>
        <v>58</v>
      </c>
      <c r="J439" s="9">
        <f t="shared" si="66"/>
        <v>1.5356102727032035</v>
      </c>
      <c r="K439" s="140">
        <f t="shared" si="67"/>
        <v>4</v>
      </c>
      <c r="L439" s="206">
        <f t="shared" si="68"/>
        <v>6.8965517241379306</v>
      </c>
      <c r="M439" s="8" t="str">
        <f t="array" ref="M439">IF(L439&gt;5,"Perlu Sensus",IF(AND(L439&gt;=0,I439&gt;0),"Tetap Deteksi","Belum Deteksi"))</f>
        <v>Perlu Sensus</v>
      </c>
      <c r="N439" s="132">
        <v>46249</v>
      </c>
      <c r="O439" s="143">
        <f t="array" ref="O439">INDEX('[21]DETEKSI ROT 2 (2)'!$G$343:$G$622,MATCH(1,('[21]DETEKSI ROT 2 (2)'!$D$343:$D$622=$D439)*('[21]DETEKSI ROT 2 (2)'!$D$343:$D$622=$D439),0))</f>
        <v>58</v>
      </c>
      <c r="P439" s="9">
        <f t="array" ref="P439">IFERROR(O439/G439*100,0)</f>
        <v>1.5356102727032035</v>
      </c>
      <c r="Q439" s="143">
        <f t="array" ref="Q439">INDEX('[21]DETEKSI ROT 2 (2)'!$I$343:$I$622,MATCH(1,('[21]DETEKSI ROT 2 (2)'!$D$343:$D$622=$D439)*('[21]DETEKSI ROT 2 (2)'!$D$343:$D$622=$D439),0))</f>
        <v>4</v>
      </c>
      <c r="R439" s="9">
        <f t="shared" si="60"/>
        <v>6.8965517241379306</v>
      </c>
      <c r="S439" s="8" t="str">
        <f t="array" ref="S439">IF(R439&gt;5,"Perlu Sensus",IF(AND(R439&gt;=0,O439&gt;0),"Tetap Deteksi","Belum Deteksi"))</f>
        <v>Perlu Sensus</v>
      </c>
      <c r="T439" s="203"/>
      <c r="U439" s="9">
        <f t="shared" si="61"/>
        <v>0</v>
      </c>
      <c r="V439" s="132">
        <v>46249</v>
      </c>
      <c r="W439" s="143">
        <f t="array" ref="W439">INDEX('[21]DETEKSI ROT 2 (2)'!$L$343:$L$622,MATCH(1,('[21]DETEKSI ROT 2 (2)'!$D$343:$D$622=$D439)*('[21]DETEKSI ROT 2 (2)'!$D$343:$D$622=$D439),0))</f>
        <v>49</v>
      </c>
      <c r="X439" s="143">
        <f t="array" ref="X439">INDEX('[21]DETEKSI ROT 2 (2)'!$M$343:$M$622,MATCH(1,('[21]DETEKSI ROT 2 (2)'!$D$343:$D$622=$D439)*('[21]DETEKSI ROT 2 (2)'!$D$343:$D$622=$D439),0))</f>
        <v>5</v>
      </c>
      <c r="Y439" s="9">
        <f t="shared" si="69"/>
        <v>10.204081632653061</v>
      </c>
      <c r="Z439" s="8" t="str">
        <f t="array" ref="Z439">IF(Y439&gt;5,"Perlu Sensus",IF(AND(Y439&gt;0,,O439&gt;0),"Tetap Deteksi","Belum Deteksi"))</f>
        <v>Perlu Sensus</v>
      </c>
      <c r="AA439" s="203"/>
      <c r="AB439" s="9">
        <f t="shared" si="62"/>
        <v>0</v>
      </c>
    </row>
    <row r="440" spans="1:28" x14ac:dyDescent="0.15">
      <c r="A440" s="8" t="s">
        <v>322</v>
      </c>
      <c r="B440" s="8" t="s">
        <v>79</v>
      </c>
      <c r="C440" s="8" t="s">
        <v>452</v>
      </c>
      <c r="D440" s="8" t="s">
        <v>466</v>
      </c>
      <c r="E440" s="9">
        <v>25.59</v>
      </c>
      <c r="F440" s="8" t="s">
        <v>132</v>
      </c>
      <c r="G440" s="10">
        <v>3650</v>
      </c>
      <c r="H440" s="132">
        <f t="shared" si="64"/>
        <v>46249</v>
      </c>
      <c r="I440" s="140">
        <f t="shared" si="65"/>
        <v>116</v>
      </c>
      <c r="J440" s="9">
        <f t="shared" si="66"/>
        <v>3.1780821917808217</v>
      </c>
      <c r="K440" s="140">
        <f t="shared" si="67"/>
        <v>7</v>
      </c>
      <c r="L440" s="206">
        <f t="shared" si="68"/>
        <v>6.0344827586206895</v>
      </c>
      <c r="M440" s="8" t="str">
        <f t="array" ref="M440">IF(L440&gt;5,"Perlu Sensus",IF(AND(L440&gt;=0,I440&gt;0),"Tetap Deteksi","Belum Deteksi"))</f>
        <v>Perlu Sensus</v>
      </c>
      <c r="N440" s="132">
        <v>46249</v>
      </c>
      <c r="O440" s="143">
        <f t="array" ref="O440">INDEX('[21]DETEKSI ROT 2 (2)'!$G$343:$G$622,MATCH(1,('[21]DETEKSI ROT 2 (2)'!$D$343:$D$622=$D440)*('[21]DETEKSI ROT 2 (2)'!$D$343:$D$622=$D440),0))</f>
        <v>116</v>
      </c>
      <c r="P440" s="9">
        <f t="array" ref="P440">IFERROR(O440/G440*100,0)</f>
        <v>3.1780821917808217</v>
      </c>
      <c r="Q440" s="143">
        <f t="array" ref="Q440">INDEX('[21]DETEKSI ROT 2 (2)'!$I$343:$I$622,MATCH(1,('[21]DETEKSI ROT 2 (2)'!$D$343:$D$622=$D440)*('[21]DETEKSI ROT 2 (2)'!$D$343:$D$622=$D440),0))</f>
        <v>7</v>
      </c>
      <c r="R440" s="9">
        <f t="shared" si="60"/>
        <v>6.0344827586206895</v>
      </c>
      <c r="S440" s="8" t="str">
        <f t="array" ref="S440">IF(R440&gt;5,"Perlu Sensus",IF(AND(R440&gt;=0,O440&gt;0),"Tetap Deteksi","Belum Deteksi"))</f>
        <v>Perlu Sensus</v>
      </c>
      <c r="T440" s="203"/>
      <c r="U440" s="9">
        <f t="shared" si="61"/>
        <v>0</v>
      </c>
      <c r="V440" s="132">
        <v>46249</v>
      </c>
      <c r="W440" s="143">
        <f t="array" ref="W440">INDEX('[21]DETEKSI ROT 2 (2)'!$L$343:$L$622,MATCH(1,('[21]DETEKSI ROT 2 (2)'!$D$343:$D$622=$D440)*('[21]DETEKSI ROT 2 (2)'!$D$343:$D$622=$D440),0))</f>
        <v>40</v>
      </c>
      <c r="X440" s="143">
        <f t="array" ref="X440">INDEX('[21]DETEKSI ROT 2 (2)'!$M$343:$M$622,MATCH(1,('[21]DETEKSI ROT 2 (2)'!$D$343:$D$622=$D440)*('[21]DETEKSI ROT 2 (2)'!$D$343:$D$622=$D440),0))</f>
        <v>5</v>
      </c>
      <c r="Y440" s="9">
        <f t="shared" si="69"/>
        <v>12.5</v>
      </c>
      <c r="Z440" s="8" t="str">
        <f t="array" ref="Z440">IF(Y440&gt;5,"Perlu Sensus",IF(AND(Y440&gt;0,,O440&gt;0),"Tetap Deteksi","Belum Deteksi"))</f>
        <v>Perlu Sensus</v>
      </c>
      <c r="AA440" s="203"/>
      <c r="AB440" s="9">
        <f t="shared" si="62"/>
        <v>0</v>
      </c>
    </row>
    <row r="441" spans="1:28" x14ac:dyDescent="0.15">
      <c r="A441" s="8" t="s">
        <v>322</v>
      </c>
      <c r="B441" s="8" t="s">
        <v>79</v>
      </c>
      <c r="C441" s="8" t="s">
        <v>452</v>
      </c>
      <c r="D441" s="8" t="s">
        <v>467</v>
      </c>
      <c r="E441" s="9">
        <v>25.16</v>
      </c>
      <c r="F441" s="8" t="s">
        <v>132</v>
      </c>
      <c r="G441" s="10">
        <v>3513</v>
      </c>
      <c r="H441" s="132">
        <f t="shared" si="64"/>
        <v>46249</v>
      </c>
      <c r="I441" s="140">
        <f t="shared" si="65"/>
        <v>89</v>
      </c>
      <c r="J441" s="9">
        <f t="shared" si="66"/>
        <v>2.5334471961286646</v>
      </c>
      <c r="K441" s="140">
        <f t="shared" si="67"/>
        <v>5</v>
      </c>
      <c r="L441" s="206">
        <f t="shared" si="68"/>
        <v>5.6179775280898872</v>
      </c>
      <c r="M441" s="8" t="str">
        <f t="array" ref="M441">IF(L441&gt;5,"Perlu Sensus",IF(AND(L441&gt;=0,I441&gt;0),"Tetap Deteksi","Belum Deteksi"))</f>
        <v>Perlu Sensus</v>
      </c>
      <c r="N441" s="132">
        <v>46249</v>
      </c>
      <c r="O441" s="143">
        <f t="array" ref="O441">INDEX('[21]DETEKSI ROT 2 (2)'!$G$343:$G$622,MATCH(1,('[21]DETEKSI ROT 2 (2)'!$D$343:$D$622=$D441)*('[21]DETEKSI ROT 2 (2)'!$D$343:$D$622=$D441),0))</f>
        <v>89</v>
      </c>
      <c r="P441" s="9">
        <f t="array" ref="P441">IFERROR(O441/G441*100,0)</f>
        <v>2.5334471961286646</v>
      </c>
      <c r="Q441" s="143">
        <f t="array" ref="Q441">INDEX('[21]DETEKSI ROT 2 (2)'!$I$343:$I$622,MATCH(1,('[21]DETEKSI ROT 2 (2)'!$D$343:$D$622=$D441)*('[21]DETEKSI ROT 2 (2)'!$D$343:$D$622=$D441),0))</f>
        <v>5</v>
      </c>
      <c r="R441" s="9">
        <f t="shared" si="60"/>
        <v>5.6179775280898872</v>
      </c>
      <c r="S441" s="8" t="str">
        <f t="array" ref="S441">IF(R441&gt;5,"Perlu Sensus",IF(AND(R441&gt;=0,O441&gt;0),"Tetap Deteksi","Belum Deteksi"))</f>
        <v>Perlu Sensus</v>
      </c>
      <c r="T441" s="203"/>
      <c r="U441" s="9">
        <f t="shared" si="61"/>
        <v>0</v>
      </c>
      <c r="V441" s="132">
        <v>46249</v>
      </c>
      <c r="W441" s="143">
        <f t="array" ref="W441">INDEX('[21]DETEKSI ROT 2 (2)'!$L$343:$L$622,MATCH(1,('[21]DETEKSI ROT 2 (2)'!$D$343:$D$622=$D441)*('[21]DETEKSI ROT 2 (2)'!$D$343:$D$622=$D441),0))</f>
        <v>89</v>
      </c>
      <c r="X441" s="143">
        <f t="array" ref="X441">INDEX('[21]DETEKSI ROT 2 (2)'!$M$343:$M$622,MATCH(1,('[21]DETEKSI ROT 2 (2)'!$D$343:$D$622=$D441)*('[21]DETEKSI ROT 2 (2)'!$D$343:$D$622=$D441),0))</f>
        <v>3</v>
      </c>
      <c r="Y441" s="9">
        <f t="shared" si="69"/>
        <v>3.3707865168539324</v>
      </c>
      <c r="Z441" s="8" t="str">
        <f t="array" ref="Z441">IF(Y441&gt;5,"Perlu Sensus",IF(AND(Y441&gt;0,,O441&gt;0),"Tetap Deteksi","Belum Deteksi"))</f>
        <v>Belum Deteksi</v>
      </c>
      <c r="AA441" s="203"/>
      <c r="AB441" s="9">
        <f t="shared" si="62"/>
        <v>0</v>
      </c>
    </row>
    <row r="442" spans="1:28" x14ac:dyDescent="0.15">
      <c r="A442" s="8" t="s">
        <v>322</v>
      </c>
      <c r="B442" s="8" t="s">
        <v>79</v>
      </c>
      <c r="C442" s="8" t="s">
        <v>452</v>
      </c>
      <c r="D442" s="8" t="s">
        <v>468</v>
      </c>
      <c r="E442" s="9">
        <v>25.72</v>
      </c>
      <c r="F442" s="8" t="s">
        <v>469</v>
      </c>
      <c r="G442" s="10">
        <v>3360</v>
      </c>
      <c r="H442" s="132">
        <f t="shared" si="64"/>
        <v>46249</v>
      </c>
      <c r="I442" s="140">
        <f t="shared" si="65"/>
        <v>56</v>
      </c>
      <c r="J442" s="9">
        <f t="shared" si="66"/>
        <v>1.6666666666666667</v>
      </c>
      <c r="K442" s="140">
        <f t="shared" si="67"/>
        <v>3</v>
      </c>
      <c r="L442" s="206">
        <f t="shared" si="68"/>
        <v>5.3571428571428568</v>
      </c>
      <c r="M442" s="8" t="str">
        <f t="array" ref="M442">IF(L442&gt;5,"Perlu Sensus",IF(AND(L442&gt;=0,I442&gt;0),"Tetap Deteksi","Belum Deteksi"))</f>
        <v>Perlu Sensus</v>
      </c>
      <c r="N442" s="132">
        <v>46249</v>
      </c>
      <c r="O442" s="143">
        <f t="array" ref="O442">INDEX('[21]DETEKSI ROT 2 (2)'!$G$343:$G$622,MATCH(1,('[21]DETEKSI ROT 2 (2)'!$D$343:$D$622=$D442)*('[21]DETEKSI ROT 2 (2)'!$D$343:$D$622=$D442),0))</f>
        <v>56</v>
      </c>
      <c r="P442" s="9">
        <f t="array" ref="P442">IFERROR(O442/G442*100,0)</f>
        <v>1.6666666666666667</v>
      </c>
      <c r="Q442" s="143">
        <f t="array" ref="Q442">INDEX('[21]DETEKSI ROT 2 (2)'!$I$343:$I$622,MATCH(1,('[21]DETEKSI ROT 2 (2)'!$D$343:$D$622=$D442)*('[21]DETEKSI ROT 2 (2)'!$D$343:$D$622=$D442),0))</f>
        <v>3</v>
      </c>
      <c r="R442" s="9">
        <f t="shared" si="60"/>
        <v>5.3571428571428568</v>
      </c>
      <c r="S442" s="8" t="str">
        <f t="array" ref="S442">IF(R442&gt;5,"Perlu Sensus",IF(AND(R442&gt;=0,O442&gt;0),"Tetap Deteksi","Belum Deteksi"))</f>
        <v>Perlu Sensus</v>
      </c>
      <c r="T442" s="203"/>
      <c r="U442" s="9">
        <f t="shared" si="61"/>
        <v>0</v>
      </c>
      <c r="V442" s="132">
        <v>46249</v>
      </c>
      <c r="W442" s="143">
        <f t="array" ref="W442">INDEX('[21]DETEKSI ROT 2 (2)'!$L$343:$L$622,MATCH(1,('[21]DETEKSI ROT 2 (2)'!$D$343:$D$622=$D442)*('[21]DETEKSI ROT 2 (2)'!$D$343:$D$622=$D442),0))</f>
        <v>75</v>
      </c>
      <c r="X442" s="143">
        <f t="array" ref="X442">INDEX('[21]DETEKSI ROT 2 (2)'!$M$343:$M$622,MATCH(1,('[21]DETEKSI ROT 2 (2)'!$D$343:$D$622=$D442)*('[21]DETEKSI ROT 2 (2)'!$D$343:$D$622=$D442),0))</f>
        <v>4</v>
      </c>
      <c r="Y442" s="9">
        <f t="shared" si="69"/>
        <v>5.3333333333333339</v>
      </c>
      <c r="Z442" s="8" t="str">
        <f t="array" ref="Z442">IF(Y442&gt;5,"Perlu Sensus",IF(AND(Y442&gt;0,,O442&gt;0),"Tetap Deteksi","Belum Deteksi"))</f>
        <v>Perlu Sensus</v>
      </c>
      <c r="AA442" s="203"/>
      <c r="AB442" s="9">
        <f t="shared" si="62"/>
        <v>0</v>
      </c>
    </row>
    <row r="443" spans="1:28" x14ac:dyDescent="0.15">
      <c r="A443" s="8" t="s">
        <v>322</v>
      </c>
      <c r="B443" s="8" t="s">
        <v>79</v>
      </c>
      <c r="C443" s="8" t="s">
        <v>452</v>
      </c>
      <c r="D443" s="8" t="s">
        <v>470</v>
      </c>
      <c r="E443" s="9">
        <v>24.51</v>
      </c>
      <c r="F443" s="8" t="s">
        <v>469</v>
      </c>
      <c r="G443" s="10">
        <v>3379</v>
      </c>
      <c r="H443" s="132">
        <f t="shared" si="64"/>
        <v>46249</v>
      </c>
      <c r="I443" s="140">
        <f t="shared" si="65"/>
        <v>68</v>
      </c>
      <c r="J443" s="9">
        <f t="shared" si="66"/>
        <v>2.0124297129328204</v>
      </c>
      <c r="K443" s="140">
        <f t="shared" si="67"/>
        <v>3</v>
      </c>
      <c r="L443" s="206">
        <f t="shared" si="68"/>
        <v>4.4117647058823533</v>
      </c>
      <c r="M443" s="8" t="str">
        <f t="array" ref="M443">IF(L443&gt;5,"Perlu Sensus",IF(AND(L443&gt;=0,I443&gt;0),"Tetap Deteksi","Belum Deteksi"))</f>
        <v>Tetap Deteksi</v>
      </c>
      <c r="N443" s="132">
        <v>46249</v>
      </c>
      <c r="O443" s="143">
        <f t="array" ref="O443">INDEX('[21]DETEKSI ROT 2 (2)'!$G$343:$G$622,MATCH(1,('[21]DETEKSI ROT 2 (2)'!$D$343:$D$622=$D443)*('[21]DETEKSI ROT 2 (2)'!$D$343:$D$622=$D443),0))</f>
        <v>68</v>
      </c>
      <c r="P443" s="9">
        <f t="array" ref="P443">IFERROR(O443/G443*100,0)</f>
        <v>2.0124297129328204</v>
      </c>
      <c r="Q443" s="143">
        <f t="array" ref="Q443">INDEX('[21]DETEKSI ROT 2 (2)'!$I$343:$I$622,MATCH(1,('[21]DETEKSI ROT 2 (2)'!$D$343:$D$622=$D443)*('[21]DETEKSI ROT 2 (2)'!$D$343:$D$622=$D443),0))</f>
        <v>3</v>
      </c>
      <c r="R443" s="9">
        <f t="shared" si="60"/>
        <v>4.4117647058823533</v>
      </c>
      <c r="S443" s="8" t="str">
        <f t="array" ref="S443">IF(R443&gt;5,"Perlu Sensus",IF(AND(R443&gt;=0,O443&gt;0),"Tetap Deteksi","Belum Deteksi"))</f>
        <v>Tetap Deteksi</v>
      </c>
      <c r="T443" s="203"/>
      <c r="U443" s="9">
        <f t="shared" si="61"/>
        <v>0</v>
      </c>
      <c r="V443" s="132">
        <v>46249</v>
      </c>
      <c r="W443" s="143">
        <f t="array" ref="W443">INDEX('[21]DETEKSI ROT 2 (2)'!$L$343:$L$622,MATCH(1,('[21]DETEKSI ROT 2 (2)'!$D$343:$D$622=$D443)*('[21]DETEKSI ROT 2 (2)'!$D$343:$D$622=$D443),0))</f>
        <v>85</v>
      </c>
      <c r="X443" s="143">
        <f t="array" ref="X443">INDEX('[21]DETEKSI ROT 2 (2)'!$M$343:$M$622,MATCH(1,('[21]DETEKSI ROT 2 (2)'!$D$343:$D$622=$D443)*('[21]DETEKSI ROT 2 (2)'!$D$343:$D$622=$D443),0))</f>
        <v>5</v>
      </c>
      <c r="Y443" s="9">
        <f t="shared" si="69"/>
        <v>5.8823529411764701</v>
      </c>
      <c r="Z443" s="8" t="str">
        <f t="array" ref="Z443">IF(Y443&gt;5,"Perlu Sensus",IF(AND(Y443&gt;0,,O443&gt;0),"Tetap Deteksi","Belum Deteksi"))</f>
        <v>Perlu Sensus</v>
      </c>
      <c r="AA443" s="203"/>
      <c r="AB443" s="9">
        <f t="shared" si="62"/>
        <v>0</v>
      </c>
    </row>
    <row r="444" spans="1:28" x14ac:dyDescent="0.15">
      <c r="A444" s="8" t="s">
        <v>322</v>
      </c>
      <c r="B444" s="8" t="s">
        <v>79</v>
      </c>
      <c r="C444" s="8" t="s">
        <v>452</v>
      </c>
      <c r="D444" s="8" t="s">
        <v>471</v>
      </c>
      <c r="E444" s="9">
        <v>34.39</v>
      </c>
      <c r="F444" s="8" t="s">
        <v>132</v>
      </c>
      <c r="G444" s="10">
        <v>5099</v>
      </c>
      <c r="H444" s="132">
        <f t="shared" si="64"/>
        <v>46249</v>
      </c>
      <c r="I444" s="140">
        <f t="shared" si="65"/>
        <v>68</v>
      </c>
      <c r="J444" s="9">
        <f t="shared" si="66"/>
        <v>1.3335948225142185</v>
      </c>
      <c r="K444" s="140">
        <f t="shared" si="67"/>
        <v>3</v>
      </c>
      <c r="L444" s="206">
        <f t="shared" si="68"/>
        <v>4.4117647058823533</v>
      </c>
      <c r="M444" s="8" t="str">
        <f t="array" ref="M444">IF(L444&gt;5,"Perlu Sensus",IF(AND(L444&gt;=0,I444&gt;0),"Tetap Deteksi","Belum Deteksi"))</f>
        <v>Tetap Deteksi</v>
      </c>
      <c r="N444" s="132">
        <v>46249</v>
      </c>
      <c r="O444" s="143">
        <f t="array" ref="O444">INDEX('[21]DETEKSI ROT 2 (2)'!$G$343:$G$622,MATCH(1,('[21]DETEKSI ROT 2 (2)'!$D$343:$D$622=$D444)*('[21]DETEKSI ROT 2 (2)'!$D$343:$D$622=$D444),0))</f>
        <v>68</v>
      </c>
      <c r="P444" s="9">
        <f t="array" ref="P444">IFERROR(O444/G444*100,0)</f>
        <v>1.3335948225142185</v>
      </c>
      <c r="Q444" s="143">
        <f t="array" ref="Q444">INDEX('[21]DETEKSI ROT 2 (2)'!$I$343:$I$622,MATCH(1,('[21]DETEKSI ROT 2 (2)'!$D$343:$D$622=$D444)*('[21]DETEKSI ROT 2 (2)'!$D$343:$D$622=$D444),0))</f>
        <v>3</v>
      </c>
      <c r="R444" s="9">
        <f t="shared" si="60"/>
        <v>4.4117647058823533</v>
      </c>
      <c r="S444" s="8" t="str">
        <f t="array" ref="S444">IF(R444&gt;5,"Perlu Sensus",IF(AND(R444&gt;=0,O444&gt;0),"Tetap Deteksi","Belum Deteksi"))</f>
        <v>Tetap Deteksi</v>
      </c>
      <c r="T444" s="203"/>
      <c r="U444" s="9">
        <f t="shared" si="61"/>
        <v>0</v>
      </c>
      <c r="V444" s="132">
        <v>46249</v>
      </c>
      <c r="W444" s="143">
        <f t="array" ref="W444">INDEX('[21]DETEKSI ROT 2 (2)'!$L$343:$L$622,MATCH(1,('[21]DETEKSI ROT 2 (2)'!$D$343:$D$622=$D444)*('[21]DETEKSI ROT 2 (2)'!$D$343:$D$622=$D444),0))</f>
        <v>112</v>
      </c>
      <c r="X444" s="143">
        <f t="array" ref="X444">INDEX('[21]DETEKSI ROT 2 (2)'!$M$343:$M$622,MATCH(1,('[21]DETEKSI ROT 2 (2)'!$D$343:$D$622=$D444)*('[21]DETEKSI ROT 2 (2)'!$D$343:$D$622=$D444),0))</f>
        <v>5</v>
      </c>
      <c r="Y444" s="9">
        <f t="shared" si="69"/>
        <v>4.4642857142857144</v>
      </c>
      <c r="Z444" s="8" t="str">
        <f t="array" ref="Z444">IF(Y444&gt;5,"Perlu Sensus",IF(AND(Y444&gt;0,,O444&gt;0),"Tetap Deteksi","Belum Deteksi"))</f>
        <v>Belum Deteksi</v>
      </c>
      <c r="AA444" s="203"/>
      <c r="AB444" s="9">
        <f t="shared" si="62"/>
        <v>0</v>
      </c>
    </row>
    <row r="445" spans="1:28" x14ac:dyDescent="0.15">
      <c r="A445" s="8" t="s">
        <v>322</v>
      </c>
      <c r="B445" s="8" t="s">
        <v>79</v>
      </c>
      <c r="C445" s="8" t="s">
        <v>452</v>
      </c>
      <c r="D445" s="8" t="s">
        <v>472</v>
      </c>
      <c r="E445" s="9">
        <v>33.68</v>
      </c>
      <c r="F445" s="8" t="s">
        <v>132</v>
      </c>
      <c r="G445" s="10">
        <v>5017</v>
      </c>
      <c r="H445" s="132">
        <f t="shared" si="64"/>
        <v>46249</v>
      </c>
      <c r="I445" s="140">
        <f t="shared" si="65"/>
        <v>75</v>
      </c>
      <c r="J445" s="9">
        <f t="shared" si="66"/>
        <v>1.494917281243771</v>
      </c>
      <c r="K445" s="140">
        <f t="shared" si="67"/>
        <v>4</v>
      </c>
      <c r="L445" s="206">
        <f t="shared" si="68"/>
        <v>5.3333333333333339</v>
      </c>
      <c r="M445" s="8" t="str">
        <f t="array" ref="M445">IF(L445&gt;5,"Perlu Sensus",IF(AND(L445&gt;=0,I445&gt;0),"Tetap Deteksi","Belum Deteksi"))</f>
        <v>Perlu Sensus</v>
      </c>
      <c r="N445" s="132">
        <v>46249</v>
      </c>
      <c r="O445" s="143">
        <f t="array" ref="O445">INDEX('[21]DETEKSI ROT 2 (2)'!$G$343:$G$622,MATCH(1,('[21]DETEKSI ROT 2 (2)'!$D$343:$D$622=$D445)*('[21]DETEKSI ROT 2 (2)'!$D$343:$D$622=$D445),0))</f>
        <v>75</v>
      </c>
      <c r="P445" s="9">
        <f t="array" ref="P445">IFERROR(O445/G445*100,0)</f>
        <v>1.494917281243771</v>
      </c>
      <c r="Q445" s="143">
        <f t="array" ref="Q445">INDEX('[21]DETEKSI ROT 2 (2)'!$I$343:$I$622,MATCH(1,('[21]DETEKSI ROT 2 (2)'!$D$343:$D$622=$D445)*('[21]DETEKSI ROT 2 (2)'!$D$343:$D$622=$D445),0))</f>
        <v>4</v>
      </c>
      <c r="R445" s="9">
        <f t="shared" si="60"/>
        <v>5.3333333333333339</v>
      </c>
      <c r="S445" s="8" t="str">
        <f t="array" ref="S445">IF(R445&gt;5,"Perlu Sensus",IF(AND(R445&gt;=0,O445&gt;0),"Tetap Deteksi","Belum Deteksi"))</f>
        <v>Perlu Sensus</v>
      </c>
      <c r="T445" s="203"/>
      <c r="U445" s="9">
        <f t="shared" si="61"/>
        <v>0</v>
      </c>
      <c r="V445" s="132">
        <v>46249</v>
      </c>
      <c r="W445" s="143">
        <f t="array" ref="W445">INDEX('[21]DETEKSI ROT 2 (2)'!$L$343:$L$622,MATCH(1,('[21]DETEKSI ROT 2 (2)'!$D$343:$D$622=$D445)*('[21]DETEKSI ROT 2 (2)'!$D$343:$D$622=$D445),0))</f>
        <v>98</v>
      </c>
      <c r="X445" s="143">
        <f t="array" ref="X445">INDEX('[21]DETEKSI ROT 2 (2)'!$M$343:$M$622,MATCH(1,('[21]DETEKSI ROT 2 (2)'!$D$343:$D$622=$D445)*('[21]DETEKSI ROT 2 (2)'!$D$343:$D$622=$D445),0))</f>
        <v>6</v>
      </c>
      <c r="Y445" s="9">
        <f t="shared" si="69"/>
        <v>6.1224489795918364</v>
      </c>
      <c r="Z445" s="8" t="str">
        <f t="array" ref="Z445">IF(Y445&gt;5,"Perlu Sensus",IF(AND(Y445&gt;0,,O445&gt;0),"Tetap Deteksi","Belum Deteksi"))</f>
        <v>Perlu Sensus</v>
      </c>
      <c r="AA445" s="203"/>
      <c r="AB445" s="9">
        <f t="shared" si="62"/>
        <v>0</v>
      </c>
    </row>
    <row r="446" spans="1:28" x14ac:dyDescent="0.15">
      <c r="A446" s="8" t="s">
        <v>322</v>
      </c>
      <c r="B446" s="8" t="s">
        <v>79</v>
      </c>
      <c r="C446" s="8" t="s">
        <v>452</v>
      </c>
      <c r="D446" s="8" t="s">
        <v>473</v>
      </c>
      <c r="E446" s="9">
        <v>33.119999999999997</v>
      </c>
      <c r="F446" s="8" t="s">
        <v>132</v>
      </c>
      <c r="G446" s="10">
        <v>5000</v>
      </c>
      <c r="H446" s="132">
        <f t="shared" si="64"/>
        <v>46249</v>
      </c>
      <c r="I446" s="140">
        <f t="shared" si="65"/>
        <v>89</v>
      </c>
      <c r="J446" s="9">
        <f t="shared" si="66"/>
        <v>1.78</v>
      </c>
      <c r="K446" s="140">
        <f t="shared" si="67"/>
        <v>5</v>
      </c>
      <c r="L446" s="206">
        <f t="shared" si="68"/>
        <v>5.6179775280898872</v>
      </c>
      <c r="M446" s="8" t="str">
        <f t="array" ref="M446">IF(L446&gt;5,"Perlu Sensus",IF(AND(L446&gt;=0,I446&gt;0),"Tetap Deteksi","Belum Deteksi"))</f>
        <v>Perlu Sensus</v>
      </c>
      <c r="N446" s="132">
        <v>46249</v>
      </c>
      <c r="O446" s="143">
        <f t="array" ref="O446">INDEX('[21]DETEKSI ROT 2 (2)'!$G$343:$G$622,MATCH(1,('[21]DETEKSI ROT 2 (2)'!$D$343:$D$622=$D446)*('[21]DETEKSI ROT 2 (2)'!$D$343:$D$622=$D446),0))</f>
        <v>89</v>
      </c>
      <c r="P446" s="9">
        <f t="array" ref="P446">IFERROR(O446/G446*100,0)</f>
        <v>1.78</v>
      </c>
      <c r="Q446" s="143">
        <f t="array" ref="Q446">INDEX('[21]DETEKSI ROT 2 (2)'!$I$343:$I$622,MATCH(1,('[21]DETEKSI ROT 2 (2)'!$D$343:$D$622=$D446)*('[21]DETEKSI ROT 2 (2)'!$D$343:$D$622=$D446),0))</f>
        <v>5</v>
      </c>
      <c r="R446" s="9">
        <f t="shared" si="60"/>
        <v>5.6179775280898872</v>
      </c>
      <c r="S446" s="8" t="str">
        <f t="array" ref="S446">IF(R446&gt;5,"Perlu Sensus",IF(AND(R446&gt;=0,O446&gt;0),"Tetap Deteksi","Belum Deteksi"))</f>
        <v>Perlu Sensus</v>
      </c>
      <c r="T446" s="203"/>
      <c r="U446" s="9">
        <f t="shared" si="61"/>
        <v>0</v>
      </c>
      <c r="V446" s="132">
        <v>46249</v>
      </c>
      <c r="W446" s="143">
        <f t="array" ref="W446">INDEX('[21]DETEKSI ROT 2 (2)'!$L$343:$L$622,MATCH(1,('[21]DETEKSI ROT 2 (2)'!$D$343:$D$622=$D446)*('[21]DETEKSI ROT 2 (2)'!$D$343:$D$622=$D446),0))</f>
        <v>50</v>
      </c>
      <c r="X446" s="143">
        <f t="array" ref="X446">INDEX('[21]DETEKSI ROT 2 (2)'!$M$343:$M$622,MATCH(1,('[21]DETEKSI ROT 2 (2)'!$D$343:$D$622=$D446)*('[21]DETEKSI ROT 2 (2)'!$D$343:$D$622=$D446),0))</f>
        <v>4</v>
      </c>
      <c r="Y446" s="9">
        <f t="shared" si="69"/>
        <v>8</v>
      </c>
      <c r="Z446" s="8" t="str">
        <f t="array" ref="Z446">IF(Y446&gt;5,"Perlu Sensus",IF(AND(Y446&gt;0,,O446&gt;0),"Tetap Deteksi","Belum Deteksi"))</f>
        <v>Perlu Sensus</v>
      </c>
      <c r="AA446" s="203"/>
      <c r="AB446" s="9">
        <f t="shared" si="62"/>
        <v>0</v>
      </c>
    </row>
    <row r="447" spans="1:28" x14ac:dyDescent="0.15">
      <c r="A447" s="8" t="s">
        <v>322</v>
      </c>
      <c r="B447" s="8" t="s">
        <v>79</v>
      </c>
      <c r="C447" s="8" t="s">
        <v>452</v>
      </c>
      <c r="D447" s="8" t="s">
        <v>474</v>
      </c>
      <c r="E447" s="9">
        <v>34.409999999999997</v>
      </c>
      <c r="F447" s="8" t="s">
        <v>132</v>
      </c>
      <c r="G447" s="10">
        <v>5210</v>
      </c>
      <c r="H447" s="132">
        <f t="shared" si="64"/>
        <v>46249</v>
      </c>
      <c r="I447" s="140">
        <f t="shared" si="65"/>
        <v>61</v>
      </c>
      <c r="J447" s="9">
        <f t="shared" si="66"/>
        <v>1.1708253358925143</v>
      </c>
      <c r="K447" s="140">
        <f t="shared" si="67"/>
        <v>3</v>
      </c>
      <c r="L447" s="206">
        <f t="shared" si="68"/>
        <v>4.918032786885246</v>
      </c>
      <c r="M447" s="8" t="str">
        <f t="array" ref="M447">IF(L447&gt;5,"Perlu Sensus",IF(AND(L447&gt;=0,I447&gt;0),"Tetap Deteksi","Belum Deteksi"))</f>
        <v>Tetap Deteksi</v>
      </c>
      <c r="N447" s="132">
        <v>46249</v>
      </c>
      <c r="O447" s="143">
        <f t="array" ref="O447">INDEX('[21]DETEKSI ROT 2 (2)'!$G$343:$G$622,MATCH(1,('[21]DETEKSI ROT 2 (2)'!$D$343:$D$622=$D447)*('[21]DETEKSI ROT 2 (2)'!$D$343:$D$622=$D447),0))</f>
        <v>61</v>
      </c>
      <c r="P447" s="9">
        <f t="array" ref="P447">IFERROR(O447/G447*100,0)</f>
        <v>1.1708253358925143</v>
      </c>
      <c r="Q447" s="143">
        <f t="array" ref="Q447">INDEX('[21]DETEKSI ROT 2 (2)'!$I$343:$I$622,MATCH(1,('[21]DETEKSI ROT 2 (2)'!$D$343:$D$622=$D447)*('[21]DETEKSI ROT 2 (2)'!$D$343:$D$622=$D447),0))</f>
        <v>3</v>
      </c>
      <c r="R447" s="9">
        <f t="shared" si="60"/>
        <v>4.918032786885246</v>
      </c>
      <c r="S447" s="8" t="str">
        <f t="array" ref="S447">IF(R447&gt;5,"Perlu Sensus",IF(AND(R447&gt;=0,O447&gt;0),"Tetap Deteksi","Belum Deteksi"))</f>
        <v>Tetap Deteksi</v>
      </c>
      <c r="T447" s="203"/>
      <c r="U447" s="9">
        <f t="shared" si="61"/>
        <v>0</v>
      </c>
      <c r="V447" s="132">
        <v>46249</v>
      </c>
      <c r="W447" s="143">
        <f t="array" ref="W447">INDEX('[21]DETEKSI ROT 2 (2)'!$L$343:$L$622,MATCH(1,('[21]DETEKSI ROT 2 (2)'!$D$343:$D$622=$D447)*('[21]DETEKSI ROT 2 (2)'!$D$343:$D$622=$D447),0))</f>
        <v>43</v>
      </c>
      <c r="X447" s="143">
        <f t="array" ref="X447">INDEX('[21]DETEKSI ROT 2 (2)'!$M$343:$M$622,MATCH(1,('[21]DETEKSI ROT 2 (2)'!$D$343:$D$622=$D447)*('[21]DETEKSI ROT 2 (2)'!$D$343:$D$622=$D447),0))</f>
        <v>2</v>
      </c>
      <c r="Y447" s="9">
        <f t="shared" si="69"/>
        <v>4.6511627906976747</v>
      </c>
      <c r="Z447" s="8" t="str">
        <f t="array" ref="Z447">IF(Y447&gt;5,"Perlu Sensus",IF(AND(Y447&gt;0,,O447&gt;0),"Tetap Deteksi","Belum Deteksi"))</f>
        <v>Belum Deteksi</v>
      </c>
      <c r="AA447" s="203"/>
      <c r="AB447" s="9">
        <f t="shared" si="62"/>
        <v>0</v>
      </c>
    </row>
    <row r="448" spans="1:28" x14ac:dyDescent="0.15">
      <c r="A448" s="8" t="s">
        <v>322</v>
      </c>
      <c r="B448" s="8" t="s">
        <v>79</v>
      </c>
      <c r="C448" s="8" t="s">
        <v>452</v>
      </c>
      <c r="D448" s="8" t="s">
        <v>475</v>
      </c>
      <c r="E448" s="9">
        <v>34.58</v>
      </c>
      <c r="F448" s="8" t="s">
        <v>132</v>
      </c>
      <c r="G448" s="10">
        <v>5208</v>
      </c>
      <c r="H448" s="132">
        <f t="shared" si="64"/>
        <v>46249</v>
      </c>
      <c r="I448" s="140">
        <f t="shared" si="65"/>
        <v>78</v>
      </c>
      <c r="J448" s="9">
        <f t="shared" si="66"/>
        <v>1.4976958525345621</v>
      </c>
      <c r="K448" s="140">
        <f t="shared" si="67"/>
        <v>4</v>
      </c>
      <c r="L448" s="206">
        <f t="shared" si="68"/>
        <v>5.1282051282051277</v>
      </c>
      <c r="M448" s="8" t="str">
        <f t="array" ref="M448">IF(L448&gt;5,"Perlu Sensus",IF(AND(L448&gt;=0,I448&gt;0),"Tetap Deteksi","Belum Deteksi"))</f>
        <v>Perlu Sensus</v>
      </c>
      <c r="N448" s="132">
        <v>46249</v>
      </c>
      <c r="O448" s="143">
        <f t="array" ref="O448">INDEX('[21]DETEKSI ROT 2 (2)'!$G$343:$G$622,MATCH(1,('[21]DETEKSI ROT 2 (2)'!$D$343:$D$622=$D448)*('[21]DETEKSI ROT 2 (2)'!$D$343:$D$622=$D448),0))</f>
        <v>78</v>
      </c>
      <c r="P448" s="9">
        <f t="array" ref="P448">IFERROR(O448/G448*100,0)</f>
        <v>1.4976958525345621</v>
      </c>
      <c r="Q448" s="143">
        <f t="array" ref="Q448">INDEX('[21]DETEKSI ROT 2 (2)'!$I$343:$I$622,MATCH(1,('[21]DETEKSI ROT 2 (2)'!$D$343:$D$622=$D448)*('[21]DETEKSI ROT 2 (2)'!$D$343:$D$622=$D448),0))</f>
        <v>4</v>
      </c>
      <c r="R448" s="9">
        <f t="shared" si="60"/>
        <v>5.1282051282051277</v>
      </c>
      <c r="S448" s="8" t="str">
        <f t="array" ref="S448">IF(R448&gt;5,"Perlu Sensus",IF(AND(R448&gt;=0,O448&gt;0),"Tetap Deteksi","Belum Deteksi"))</f>
        <v>Perlu Sensus</v>
      </c>
      <c r="T448" s="203"/>
      <c r="U448" s="9">
        <f t="shared" si="61"/>
        <v>0</v>
      </c>
      <c r="V448" s="132">
        <v>46249</v>
      </c>
      <c r="W448" s="143">
        <f t="array" ref="W448">INDEX('[21]DETEKSI ROT 2 (2)'!$L$343:$L$622,MATCH(1,('[21]DETEKSI ROT 2 (2)'!$D$343:$D$622=$D448)*('[21]DETEKSI ROT 2 (2)'!$D$343:$D$622=$D448),0))</f>
        <v>80</v>
      </c>
      <c r="X448" s="143">
        <f t="array" ref="X448">INDEX('[21]DETEKSI ROT 2 (2)'!$M$343:$M$622,MATCH(1,('[21]DETEKSI ROT 2 (2)'!$D$343:$D$622=$D448)*('[21]DETEKSI ROT 2 (2)'!$D$343:$D$622=$D448),0))</f>
        <v>5</v>
      </c>
      <c r="Y448" s="9">
        <f t="shared" si="69"/>
        <v>6.25</v>
      </c>
      <c r="Z448" s="8" t="str">
        <f t="array" ref="Z448">IF(Y448&gt;5,"Perlu Sensus",IF(AND(Y448&gt;0,,O448&gt;0),"Tetap Deteksi","Belum Deteksi"))</f>
        <v>Perlu Sensus</v>
      </c>
      <c r="AA448" s="203"/>
      <c r="AB448" s="9">
        <f t="shared" si="62"/>
        <v>0</v>
      </c>
    </row>
    <row r="449" spans="1:28" x14ac:dyDescent="0.15">
      <c r="A449" s="8" t="s">
        <v>322</v>
      </c>
      <c r="B449" s="8" t="s">
        <v>79</v>
      </c>
      <c r="C449" s="8" t="s">
        <v>452</v>
      </c>
      <c r="D449" s="8" t="s">
        <v>476</v>
      </c>
      <c r="E449" s="9">
        <v>32.369999999999997</v>
      </c>
      <c r="F449" s="8" t="s">
        <v>132</v>
      </c>
      <c r="G449" s="10">
        <v>4504</v>
      </c>
      <c r="H449" s="132">
        <f t="shared" si="64"/>
        <v>46249</v>
      </c>
      <c r="I449" s="140">
        <f t="shared" si="65"/>
        <v>58</v>
      </c>
      <c r="J449" s="9">
        <f t="shared" si="66"/>
        <v>1.2877442273534636</v>
      </c>
      <c r="K449" s="140">
        <f t="shared" si="67"/>
        <v>3</v>
      </c>
      <c r="L449" s="206">
        <f t="shared" si="68"/>
        <v>5.1724137931034484</v>
      </c>
      <c r="M449" s="8" t="str">
        <f t="array" ref="M449">IF(L449&gt;5,"Perlu Sensus",IF(AND(L449&gt;=0,I449&gt;0),"Tetap Deteksi","Belum Deteksi"))</f>
        <v>Perlu Sensus</v>
      </c>
      <c r="N449" s="132">
        <v>46249</v>
      </c>
      <c r="O449" s="143">
        <f t="array" ref="O449">INDEX('[21]DETEKSI ROT 2 (2)'!$G$343:$G$622,MATCH(1,('[21]DETEKSI ROT 2 (2)'!$D$343:$D$622=$D449)*('[21]DETEKSI ROT 2 (2)'!$D$343:$D$622=$D449),0))</f>
        <v>58</v>
      </c>
      <c r="P449" s="9">
        <f t="array" ref="P449">IFERROR(O449/G449*100,0)</f>
        <v>1.2877442273534636</v>
      </c>
      <c r="Q449" s="143">
        <f t="array" ref="Q449">INDEX('[21]DETEKSI ROT 2 (2)'!$I$343:$I$622,MATCH(1,('[21]DETEKSI ROT 2 (2)'!$D$343:$D$622=$D449)*('[21]DETEKSI ROT 2 (2)'!$D$343:$D$622=$D449),0))</f>
        <v>3</v>
      </c>
      <c r="R449" s="9">
        <f t="shared" si="60"/>
        <v>5.1724137931034484</v>
      </c>
      <c r="S449" s="8" t="str">
        <f t="array" ref="S449">IF(R449&gt;5,"Perlu Sensus",IF(AND(R449&gt;=0,O449&gt;0),"Tetap Deteksi","Belum Deteksi"))</f>
        <v>Perlu Sensus</v>
      </c>
      <c r="T449" s="203"/>
      <c r="U449" s="9">
        <f t="shared" si="61"/>
        <v>0</v>
      </c>
      <c r="V449" s="132">
        <v>46249</v>
      </c>
      <c r="W449" s="143">
        <f t="array" ref="W449">INDEX('[21]DETEKSI ROT 2 (2)'!$L$343:$L$622,MATCH(1,('[21]DETEKSI ROT 2 (2)'!$D$343:$D$622=$D449)*('[21]DETEKSI ROT 2 (2)'!$D$343:$D$622=$D449),0))</f>
        <v>98</v>
      </c>
      <c r="X449" s="143">
        <f t="array" ref="X449">INDEX('[21]DETEKSI ROT 2 (2)'!$M$343:$M$622,MATCH(1,('[21]DETEKSI ROT 2 (2)'!$D$343:$D$622=$D449)*('[21]DETEKSI ROT 2 (2)'!$D$343:$D$622=$D449),0))</f>
        <v>7</v>
      </c>
      <c r="Y449" s="9">
        <f t="shared" si="69"/>
        <v>7.1428571428571423</v>
      </c>
      <c r="Z449" s="8" t="str">
        <f t="array" ref="Z449">IF(Y449&gt;5,"Perlu Sensus",IF(AND(Y449&gt;0,,O449&gt;0),"Tetap Deteksi","Belum Deteksi"))</f>
        <v>Perlu Sensus</v>
      </c>
      <c r="AA449" s="203"/>
      <c r="AB449" s="9">
        <f t="shared" si="62"/>
        <v>0</v>
      </c>
    </row>
    <row r="450" spans="1:28" x14ac:dyDescent="0.15">
      <c r="A450" s="8" t="s">
        <v>322</v>
      </c>
      <c r="B450" s="8" t="s">
        <v>79</v>
      </c>
      <c r="C450" s="8" t="s">
        <v>452</v>
      </c>
      <c r="D450" s="8" t="s">
        <v>477</v>
      </c>
      <c r="E450" s="9">
        <v>36.49</v>
      </c>
      <c r="F450" s="8" t="s">
        <v>132</v>
      </c>
      <c r="G450" s="10">
        <v>5027</v>
      </c>
      <c r="H450" s="132">
        <f t="shared" si="64"/>
        <v>46249</v>
      </c>
      <c r="I450" s="140">
        <f t="shared" si="65"/>
        <v>75</v>
      </c>
      <c r="J450" s="9">
        <f t="shared" si="66"/>
        <v>1.491943505072608</v>
      </c>
      <c r="K450" s="140">
        <f t="shared" si="67"/>
        <v>4</v>
      </c>
      <c r="L450" s="206">
        <f t="shared" si="68"/>
        <v>5.3333333333333339</v>
      </c>
      <c r="M450" s="8" t="str">
        <f t="array" ref="M450">IF(L450&gt;5,"Perlu Sensus",IF(AND(L450&gt;=0,I450&gt;0),"Tetap Deteksi","Belum Deteksi"))</f>
        <v>Perlu Sensus</v>
      </c>
      <c r="N450" s="132">
        <v>46249</v>
      </c>
      <c r="O450" s="143">
        <f t="array" ref="O450">INDEX('[21]DETEKSI ROT 2 (2)'!$G$343:$G$622,MATCH(1,('[21]DETEKSI ROT 2 (2)'!$D$343:$D$622=$D450)*('[21]DETEKSI ROT 2 (2)'!$D$343:$D$622=$D450),0))</f>
        <v>75</v>
      </c>
      <c r="P450" s="9">
        <f t="array" ref="P450">IFERROR(O450/G450*100,0)</f>
        <v>1.491943505072608</v>
      </c>
      <c r="Q450" s="143">
        <f t="array" ref="Q450">INDEX('[21]DETEKSI ROT 2 (2)'!$I$343:$I$622,MATCH(1,('[21]DETEKSI ROT 2 (2)'!$D$343:$D$622=$D450)*('[21]DETEKSI ROT 2 (2)'!$D$343:$D$622=$D450),0))</f>
        <v>4</v>
      </c>
      <c r="R450" s="9">
        <f t="shared" si="60"/>
        <v>5.3333333333333339</v>
      </c>
      <c r="S450" s="8" t="str">
        <f t="array" ref="S450">IF(R450&gt;5,"Perlu Sensus",IF(AND(R450&gt;=0,O450&gt;0),"Tetap Deteksi","Belum Deteksi"))</f>
        <v>Perlu Sensus</v>
      </c>
      <c r="T450" s="203"/>
      <c r="U450" s="9">
        <f t="shared" si="61"/>
        <v>0</v>
      </c>
      <c r="V450" s="132">
        <v>46249</v>
      </c>
      <c r="W450" s="143">
        <f t="array" ref="W450">INDEX('[21]DETEKSI ROT 2 (2)'!$L$343:$L$622,MATCH(1,('[21]DETEKSI ROT 2 (2)'!$D$343:$D$622=$D450)*('[21]DETEKSI ROT 2 (2)'!$D$343:$D$622=$D450),0))</f>
        <v>59</v>
      </c>
      <c r="X450" s="143">
        <f t="array" ref="X450">INDEX('[21]DETEKSI ROT 2 (2)'!$M$343:$M$622,MATCH(1,('[21]DETEKSI ROT 2 (2)'!$D$343:$D$622=$D450)*('[21]DETEKSI ROT 2 (2)'!$D$343:$D$622=$D450),0))</f>
        <v>4</v>
      </c>
      <c r="Y450" s="9">
        <f t="shared" si="69"/>
        <v>6.7796610169491522</v>
      </c>
      <c r="Z450" s="8" t="str">
        <f t="array" ref="Z450">IF(Y450&gt;5,"Perlu Sensus",IF(AND(Y450&gt;0,,O450&gt;0),"Tetap Deteksi","Belum Deteksi"))</f>
        <v>Perlu Sensus</v>
      </c>
      <c r="AA450" s="203"/>
      <c r="AB450" s="9">
        <f t="shared" si="62"/>
        <v>0</v>
      </c>
    </row>
    <row r="451" spans="1:28" x14ac:dyDescent="0.15">
      <c r="A451" s="8" t="s">
        <v>322</v>
      </c>
      <c r="B451" s="8" t="s">
        <v>79</v>
      </c>
      <c r="C451" s="8" t="s">
        <v>452</v>
      </c>
      <c r="D451" s="8" t="s">
        <v>478</v>
      </c>
      <c r="E451" s="9">
        <v>32.58</v>
      </c>
      <c r="F451" s="8" t="s">
        <v>132</v>
      </c>
      <c r="G451" s="10">
        <v>4837</v>
      </c>
      <c r="H451" s="132">
        <f t="shared" si="64"/>
        <v>46249</v>
      </c>
      <c r="I451" s="140">
        <f t="shared" si="65"/>
        <v>54</v>
      </c>
      <c r="J451" s="9">
        <f t="shared" si="66"/>
        <v>1.1163944593756461</v>
      </c>
      <c r="K451" s="140">
        <f t="shared" si="67"/>
        <v>1</v>
      </c>
      <c r="L451" s="206">
        <f t="shared" si="68"/>
        <v>1.8518518518518516</v>
      </c>
      <c r="M451" s="8" t="str">
        <f t="array" ref="M451">IF(L451&gt;5,"Perlu Sensus",IF(AND(L451&gt;=0,I451&gt;0),"Tetap Deteksi","Belum Deteksi"))</f>
        <v>Tetap Deteksi</v>
      </c>
      <c r="N451" s="132">
        <v>46249</v>
      </c>
      <c r="O451" s="143">
        <f t="array" ref="O451">INDEX('[21]DETEKSI ROT 2 (2)'!$G$343:$G$622,MATCH(1,('[21]DETEKSI ROT 2 (2)'!$D$343:$D$622=$D451)*('[21]DETEKSI ROT 2 (2)'!$D$343:$D$622=$D451),0))</f>
        <v>54</v>
      </c>
      <c r="P451" s="9">
        <f t="array" ref="P451">IFERROR(O451/G451*100,0)</f>
        <v>1.1163944593756461</v>
      </c>
      <c r="Q451" s="143">
        <f t="array" ref="Q451">INDEX('[21]DETEKSI ROT 2 (2)'!$I$343:$I$622,MATCH(1,('[21]DETEKSI ROT 2 (2)'!$D$343:$D$622=$D451)*('[21]DETEKSI ROT 2 (2)'!$D$343:$D$622=$D451),0))</f>
        <v>1</v>
      </c>
      <c r="R451" s="9">
        <f t="shared" si="60"/>
        <v>1.8518518518518516</v>
      </c>
      <c r="S451" s="8" t="str">
        <f t="array" ref="S451">IF(R451&gt;5,"Perlu Sensus",IF(AND(R451&gt;=0,O451&gt;0),"Tetap Deteksi","Belum Deteksi"))</f>
        <v>Tetap Deteksi</v>
      </c>
      <c r="T451" s="203"/>
      <c r="U451" s="9">
        <f t="shared" si="61"/>
        <v>0</v>
      </c>
      <c r="V451" s="132">
        <v>46249</v>
      </c>
      <c r="W451" s="143">
        <f t="array" ref="W451">INDEX('[21]DETEKSI ROT 2 (2)'!$L$343:$L$622,MATCH(1,('[21]DETEKSI ROT 2 (2)'!$D$343:$D$622=$D451)*('[21]DETEKSI ROT 2 (2)'!$D$343:$D$622=$D451),0))</f>
        <v>69</v>
      </c>
      <c r="X451" s="143">
        <f t="array" ref="X451">INDEX('[21]DETEKSI ROT 2 (2)'!$M$343:$M$622,MATCH(1,('[21]DETEKSI ROT 2 (2)'!$D$343:$D$622=$D451)*('[21]DETEKSI ROT 2 (2)'!$D$343:$D$622=$D451),0))</f>
        <v>7</v>
      </c>
      <c r="Y451" s="9">
        <f t="shared" si="69"/>
        <v>10.144927536231885</v>
      </c>
      <c r="Z451" s="8" t="str">
        <f t="array" ref="Z451">IF(Y451&gt;5,"Perlu Sensus",IF(AND(Y451&gt;0,,O451&gt;0),"Tetap Deteksi","Belum Deteksi"))</f>
        <v>Perlu Sensus</v>
      </c>
      <c r="AA451" s="203"/>
      <c r="AB451" s="9">
        <f t="shared" si="62"/>
        <v>0</v>
      </c>
    </row>
    <row r="452" spans="1:28" x14ac:dyDescent="0.15">
      <c r="A452" s="8" t="s">
        <v>322</v>
      </c>
      <c r="B452" s="8" t="s">
        <v>79</v>
      </c>
      <c r="C452" s="8" t="s">
        <v>452</v>
      </c>
      <c r="D452" s="8" t="s">
        <v>479</v>
      </c>
      <c r="E452" s="9">
        <v>33.76</v>
      </c>
      <c r="F452" s="8" t="s">
        <v>132</v>
      </c>
      <c r="G452" s="10">
        <v>4918</v>
      </c>
      <c r="H452" s="132">
        <f t="shared" si="64"/>
        <v>46249</v>
      </c>
      <c r="I452" s="140">
        <f t="shared" si="65"/>
        <v>55</v>
      </c>
      <c r="J452" s="9">
        <f t="shared" si="66"/>
        <v>1.1183407889385928</v>
      </c>
      <c r="K452" s="140">
        <f t="shared" si="67"/>
        <v>1</v>
      </c>
      <c r="L452" s="206">
        <f t="shared" si="68"/>
        <v>1.8181818181818181</v>
      </c>
      <c r="M452" s="8" t="str">
        <f t="array" ref="M452">IF(L452&gt;5,"Perlu Sensus",IF(AND(L452&gt;=0,I452&gt;0),"Tetap Deteksi","Belum Deteksi"))</f>
        <v>Tetap Deteksi</v>
      </c>
      <c r="N452" s="132">
        <v>46249</v>
      </c>
      <c r="O452" s="143">
        <f t="array" ref="O452">INDEX('[21]DETEKSI ROT 2 (2)'!$G$343:$G$622,MATCH(1,('[21]DETEKSI ROT 2 (2)'!$D$343:$D$622=$D452)*('[21]DETEKSI ROT 2 (2)'!$D$343:$D$622=$D452),0))</f>
        <v>55</v>
      </c>
      <c r="P452" s="9">
        <f t="array" ref="P452">IFERROR(O452/G452*100,0)</f>
        <v>1.1183407889385928</v>
      </c>
      <c r="Q452" s="143">
        <f t="array" ref="Q452">INDEX('[21]DETEKSI ROT 2 (2)'!$I$343:$I$622,MATCH(1,('[21]DETEKSI ROT 2 (2)'!$D$343:$D$622=$D452)*('[21]DETEKSI ROT 2 (2)'!$D$343:$D$622=$D452),0))</f>
        <v>1</v>
      </c>
      <c r="R452" s="9">
        <f t="shared" si="60"/>
        <v>1.8181818181818181</v>
      </c>
      <c r="S452" s="8" t="str">
        <f t="array" ref="S452">IF(R452&gt;5,"Perlu Sensus",IF(AND(R452&gt;=0,O452&gt;0),"Tetap Deteksi","Belum Deteksi"))</f>
        <v>Tetap Deteksi</v>
      </c>
      <c r="T452" s="203"/>
      <c r="U452" s="9">
        <f t="shared" si="61"/>
        <v>0</v>
      </c>
      <c r="V452" s="132">
        <v>46249</v>
      </c>
      <c r="W452" s="143">
        <f t="array" ref="W452">INDEX('[21]DETEKSI ROT 2 (2)'!$L$343:$L$622,MATCH(1,('[21]DETEKSI ROT 2 (2)'!$D$343:$D$622=$D452)*('[21]DETEKSI ROT 2 (2)'!$D$343:$D$622=$D452),0))</f>
        <v>45</v>
      </c>
      <c r="X452" s="143">
        <f t="array" ref="X452">INDEX('[21]DETEKSI ROT 2 (2)'!$M$343:$M$622,MATCH(1,('[21]DETEKSI ROT 2 (2)'!$D$343:$D$622=$D452)*('[21]DETEKSI ROT 2 (2)'!$D$343:$D$622=$D452),0))</f>
        <v>4</v>
      </c>
      <c r="Y452" s="9">
        <f t="shared" si="69"/>
        <v>8.8888888888888893</v>
      </c>
      <c r="Z452" s="8" t="str">
        <f t="array" ref="Z452">IF(Y452&gt;5,"Perlu Sensus",IF(AND(Y452&gt;0,,O452&gt;0),"Tetap Deteksi","Belum Deteksi"))</f>
        <v>Perlu Sensus</v>
      </c>
      <c r="AA452" s="203"/>
      <c r="AB452" s="9">
        <f t="shared" si="62"/>
        <v>0</v>
      </c>
    </row>
    <row r="453" spans="1:28" x14ac:dyDescent="0.15">
      <c r="A453" s="8" t="s">
        <v>322</v>
      </c>
      <c r="B453" s="8" t="s">
        <v>79</v>
      </c>
      <c r="C453" s="8" t="s">
        <v>452</v>
      </c>
      <c r="D453" s="8" t="s">
        <v>480</v>
      </c>
      <c r="E453" s="9">
        <v>34.54</v>
      </c>
      <c r="F453" s="8" t="s">
        <v>132</v>
      </c>
      <c r="G453" s="10">
        <v>5086</v>
      </c>
      <c r="H453" s="132">
        <f t="shared" si="64"/>
        <v>46249</v>
      </c>
      <c r="I453" s="140">
        <f t="shared" si="65"/>
        <v>107</v>
      </c>
      <c r="J453" s="9">
        <f t="shared" si="66"/>
        <v>2.1038143924498622</v>
      </c>
      <c r="K453" s="140">
        <f t="shared" si="67"/>
        <v>7</v>
      </c>
      <c r="L453" s="206">
        <f t="shared" si="68"/>
        <v>6.5420560747663545</v>
      </c>
      <c r="M453" s="8" t="str">
        <f t="array" ref="M453">IF(L453&gt;5,"Perlu Sensus",IF(AND(L453&gt;=0,I453&gt;0),"Tetap Deteksi","Belum Deteksi"))</f>
        <v>Perlu Sensus</v>
      </c>
      <c r="N453" s="132">
        <v>46249</v>
      </c>
      <c r="O453" s="143">
        <f t="array" ref="O453">INDEX('[21]DETEKSI ROT 2 (2)'!$G$343:$G$622,MATCH(1,('[21]DETEKSI ROT 2 (2)'!$D$343:$D$622=$D453)*('[21]DETEKSI ROT 2 (2)'!$D$343:$D$622=$D453),0))</f>
        <v>107</v>
      </c>
      <c r="P453" s="9">
        <f t="array" ref="P453">IFERROR(O453/G453*100,0)</f>
        <v>2.1038143924498622</v>
      </c>
      <c r="Q453" s="143">
        <f t="array" ref="Q453">INDEX('[21]DETEKSI ROT 2 (2)'!$I$343:$I$622,MATCH(1,('[21]DETEKSI ROT 2 (2)'!$D$343:$D$622=$D453)*('[21]DETEKSI ROT 2 (2)'!$D$343:$D$622=$D453),0))</f>
        <v>7</v>
      </c>
      <c r="R453" s="9">
        <f t="shared" si="60"/>
        <v>6.5420560747663545</v>
      </c>
      <c r="S453" s="8" t="str">
        <f t="array" ref="S453">IF(R453&gt;5,"Perlu Sensus",IF(AND(R453&gt;=0,O453&gt;0),"Tetap Deteksi","Belum Deteksi"))</f>
        <v>Perlu Sensus</v>
      </c>
      <c r="T453" s="203"/>
      <c r="U453" s="9">
        <f t="shared" si="61"/>
        <v>0</v>
      </c>
      <c r="V453" s="132">
        <v>46249</v>
      </c>
      <c r="W453" s="143">
        <f t="array" ref="W453">INDEX('[21]DETEKSI ROT 2 (2)'!$L$343:$L$622,MATCH(1,('[21]DETEKSI ROT 2 (2)'!$D$343:$D$622=$D453)*('[21]DETEKSI ROT 2 (2)'!$D$343:$D$622=$D453),0))</f>
        <v>67</v>
      </c>
      <c r="X453" s="143">
        <f t="array" ref="X453">INDEX('[21]DETEKSI ROT 2 (2)'!$M$343:$M$622,MATCH(1,('[21]DETEKSI ROT 2 (2)'!$D$343:$D$622=$D453)*('[21]DETEKSI ROT 2 (2)'!$D$343:$D$622=$D453),0))</f>
        <v>7</v>
      </c>
      <c r="Y453" s="9">
        <f t="shared" si="69"/>
        <v>10.44776119402985</v>
      </c>
      <c r="Z453" s="8" t="str">
        <f t="array" ref="Z453">IF(Y453&gt;5,"Perlu Sensus",IF(AND(Y453&gt;0,,O453&gt;0),"Tetap Deteksi","Belum Deteksi"))</f>
        <v>Perlu Sensus</v>
      </c>
      <c r="AA453" s="203"/>
      <c r="AB453" s="9">
        <f t="shared" si="62"/>
        <v>0</v>
      </c>
    </row>
    <row r="454" spans="1:28" x14ac:dyDescent="0.15">
      <c r="A454" s="8" t="s">
        <v>322</v>
      </c>
      <c r="B454" s="8" t="s">
        <v>79</v>
      </c>
      <c r="C454" s="8" t="s">
        <v>452</v>
      </c>
      <c r="D454" s="8" t="s">
        <v>481</v>
      </c>
      <c r="E454" s="9">
        <v>35.619999999999997</v>
      </c>
      <c r="F454" s="8" t="s">
        <v>132</v>
      </c>
      <c r="G454" s="10">
        <v>5073</v>
      </c>
      <c r="H454" s="132">
        <f t="shared" si="64"/>
        <v>46249</v>
      </c>
      <c r="I454" s="140">
        <f t="shared" si="65"/>
        <v>109</v>
      </c>
      <c r="J454" s="9">
        <f t="shared" si="66"/>
        <v>2.1486300019712199</v>
      </c>
      <c r="K454" s="140">
        <f t="shared" si="67"/>
        <v>4</v>
      </c>
      <c r="L454" s="206">
        <f t="shared" si="68"/>
        <v>3.669724770642202</v>
      </c>
      <c r="M454" s="8" t="str">
        <f t="array" ref="M454">IF(L454&gt;5,"Perlu Sensus",IF(AND(L454&gt;=0,I454&gt;0),"Tetap Deteksi","Belum Deteksi"))</f>
        <v>Tetap Deteksi</v>
      </c>
      <c r="N454" s="132">
        <v>46249</v>
      </c>
      <c r="O454" s="143">
        <f t="array" ref="O454">INDEX('[21]DETEKSI ROT 2 (2)'!$G$343:$G$622,MATCH(1,('[21]DETEKSI ROT 2 (2)'!$D$343:$D$622=$D454)*('[21]DETEKSI ROT 2 (2)'!$D$343:$D$622=$D454),0))</f>
        <v>109</v>
      </c>
      <c r="P454" s="9">
        <f t="array" ref="P454">IFERROR(O454/G454*100,0)</f>
        <v>2.1486300019712199</v>
      </c>
      <c r="Q454" s="143">
        <f t="array" ref="Q454">INDEX('[21]DETEKSI ROT 2 (2)'!$I$343:$I$622,MATCH(1,('[21]DETEKSI ROT 2 (2)'!$D$343:$D$622=$D454)*('[21]DETEKSI ROT 2 (2)'!$D$343:$D$622=$D454),0))</f>
        <v>4</v>
      </c>
      <c r="R454" s="9">
        <f t="shared" si="60"/>
        <v>3.669724770642202</v>
      </c>
      <c r="S454" s="8" t="str">
        <f t="array" ref="S454">IF(R454&gt;5,"Perlu Sensus",IF(AND(R454&gt;=0,O454&gt;0),"Tetap Deteksi","Belum Deteksi"))</f>
        <v>Tetap Deteksi</v>
      </c>
      <c r="T454" s="203"/>
      <c r="U454" s="9">
        <f t="shared" si="61"/>
        <v>0</v>
      </c>
      <c r="V454" s="132">
        <v>46249</v>
      </c>
      <c r="W454" s="143">
        <f t="array" ref="W454">INDEX('[21]DETEKSI ROT 2 (2)'!$L$343:$L$622,MATCH(1,('[21]DETEKSI ROT 2 (2)'!$D$343:$D$622=$D454)*('[21]DETEKSI ROT 2 (2)'!$D$343:$D$622=$D454),0))</f>
        <v>32</v>
      </c>
      <c r="X454" s="143">
        <f t="array" ref="X454">INDEX('[21]DETEKSI ROT 2 (2)'!$M$343:$M$622,MATCH(1,('[21]DETEKSI ROT 2 (2)'!$D$343:$D$622=$D454)*('[21]DETEKSI ROT 2 (2)'!$D$343:$D$622=$D454),0))</f>
        <v>6</v>
      </c>
      <c r="Y454" s="9">
        <f t="shared" si="69"/>
        <v>18.75</v>
      </c>
      <c r="Z454" s="8" t="str">
        <f t="array" ref="Z454">IF(Y454&gt;5,"Perlu Sensus",IF(AND(Y454&gt;0,,O454&gt;0),"Tetap Deteksi","Belum Deteksi"))</f>
        <v>Perlu Sensus</v>
      </c>
      <c r="AA454" s="203"/>
      <c r="AB454" s="9">
        <f t="shared" si="62"/>
        <v>0</v>
      </c>
    </row>
    <row r="455" spans="1:28" x14ac:dyDescent="0.15">
      <c r="A455" s="8" t="s">
        <v>322</v>
      </c>
      <c r="B455" s="8" t="s">
        <v>79</v>
      </c>
      <c r="C455" s="8" t="s">
        <v>452</v>
      </c>
      <c r="D455" s="8" t="s">
        <v>482</v>
      </c>
      <c r="E455" s="9">
        <v>33.68</v>
      </c>
      <c r="F455" s="8" t="s">
        <v>132</v>
      </c>
      <c r="G455" s="10">
        <v>4742</v>
      </c>
      <c r="H455" s="132">
        <f t="shared" si="64"/>
        <v>46249</v>
      </c>
      <c r="I455" s="140">
        <f t="shared" si="65"/>
        <v>112</v>
      </c>
      <c r="J455" s="9">
        <f t="shared" si="66"/>
        <v>2.3618726275832982</v>
      </c>
      <c r="K455" s="140">
        <f t="shared" si="67"/>
        <v>7</v>
      </c>
      <c r="L455" s="206">
        <f t="shared" si="68"/>
        <v>6.25</v>
      </c>
      <c r="M455" s="8" t="str">
        <f t="array" ref="M455">IF(L455&gt;5,"Perlu Sensus",IF(AND(L455&gt;=0,I455&gt;0),"Tetap Deteksi","Belum Deteksi"))</f>
        <v>Perlu Sensus</v>
      </c>
      <c r="N455" s="132">
        <v>46249</v>
      </c>
      <c r="O455" s="143">
        <f t="array" ref="O455">INDEX('[21]DETEKSI ROT 2 (2)'!$G$343:$G$622,MATCH(1,('[21]DETEKSI ROT 2 (2)'!$D$343:$D$622=$D455)*('[21]DETEKSI ROT 2 (2)'!$D$343:$D$622=$D455),0))</f>
        <v>112</v>
      </c>
      <c r="P455" s="9">
        <f t="array" ref="P455">IFERROR(O455/G455*100,0)</f>
        <v>2.3618726275832982</v>
      </c>
      <c r="Q455" s="143">
        <f t="array" ref="Q455">INDEX('[21]DETEKSI ROT 2 (2)'!$I$343:$I$622,MATCH(1,('[21]DETEKSI ROT 2 (2)'!$D$343:$D$622=$D455)*('[21]DETEKSI ROT 2 (2)'!$D$343:$D$622=$D455),0))</f>
        <v>7</v>
      </c>
      <c r="R455" s="9">
        <f t="shared" ref="R455:R518" si="70">IFERROR(Q455/O455*100,0)</f>
        <v>6.25</v>
      </c>
      <c r="S455" s="8" t="str">
        <f t="array" ref="S455">IF(R455&gt;5,"Perlu Sensus",IF(AND(R455&gt;=0,O455&gt;0),"Tetap Deteksi","Belum Deteksi"))</f>
        <v>Perlu Sensus</v>
      </c>
      <c r="T455" s="203"/>
      <c r="U455" s="9">
        <f t="shared" ref="U455:U518" si="71">IFERROR(T455/O455*100,0)</f>
        <v>0</v>
      </c>
      <c r="V455" s="132">
        <v>46249</v>
      </c>
      <c r="W455" s="143">
        <f t="array" ref="W455">INDEX('[21]DETEKSI ROT 2 (2)'!$L$343:$L$622,MATCH(1,('[21]DETEKSI ROT 2 (2)'!$D$343:$D$622=$D455)*('[21]DETEKSI ROT 2 (2)'!$D$343:$D$622=$D455),0))</f>
        <v>58</v>
      </c>
      <c r="X455" s="143">
        <f t="array" ref="X455">INDEX('[21]DETEKSI ROT 2 (2)'!$M$343:$M$622,MATCH(1,('[21]DETEKSI ROT 2 (2)'!$D$343:$D$622=$D455)*('[21]DETEKSI ROT 2 (2)'!$D$343:$D$622=$D455),0))</f>
        <v>2</v>
      </c>
      <c r="Y455" s="9">
        <f t="shared" si="69"/>
        <v>3.4482758620689653</v>
      </c>
      <c r="Z455" s="8" t="str">
        <f t="array" ref="Z455">IF(Y455&gt;5,"Perlu Sensus",IF(AND(Y455&gt;0,,O455&gt;0),"Tetap Deteksi","Belum Deteksi"))</f>
        <v>Belum Deteksi</v>
      </c>
      <c r="AA455" s="203"/>
      <c r="AB455" s="9">
        <f t="shared" ref="AB455:AB518" si="72">IFERROR(AA455/W455*100,0)</f>
        <v>0</v>
      </c>
    </row>
    <row r="456" spans="1:28" x14ac:dyDescent="0.15">
      <c r="A456" s="8" t="s">
        <v>322</v>
      </c>
      <c r="B456" s="8" t="s">
        <v>79</v>
      </c>
      <c r="C456" s="8" t="s">
        <v>452</v>
      </c>
      <c r="D456" s="8" t="s">
        <v>483</v>
      </c>
      <c r="E456" s="9">
        <v>34.130000000000003</v>
      </c>
      <c r="F456" s="8" t="s">
        <v>132</v>
      </c>
      <c r="G456" s="10">
        <v>4931</v>
      </c>
      <c r="H456" s="132">
        <f t="shared" si="64"/>
        <v>46249</v>
      </c>
      <c r="I456" s="140">
        <f t="shared" si="65"/>
        <v>58</v>
      </c>
      <c r="J456" s="9">
        <f t="shared" si="66"/>
        <v>1.1762320016223891</v>
      </c>
      <c r="K456" s="140">
        <f t="shared" si="67"/>
        <v>3</v>
      </c>
      <c r="L456" s="206">
        <f t="shared" si="68"/>
        <v>5.1724137931034484</v>
      </c>
      <c r="M456" s="8" t="str">
        <f t="array" ref="M456">IF(L456&gt;5,"Perlu Sensus",IF(AND(L456&gt;=0,I456&gt;0),"Tetap Deteksi","Belum Deteksi"))</f>
        <v>Perlu Sensus</v>
      </c>
      <c r="N456" s="132">
        <v>46249</v>
      </c>
      <c r="O456" s="143">
        <f t="array" ref="O456">INDEX('[21]DETEKSI ROT 2 (2)'!$G$343:$G$622,MATCH(1,('[21]DETEKSI ROT 2 (2)'!$D$343:$D$622=$D456)*('[21]DETEKSI ROT 2 (2)'!$D$343:$D$622=$D456),0))</f>
        <v>58</v>
      </c>
      <c r="P456" s="9">
        <f t="array" ref="P456">IFERROR(O456/G456*100,0)</f>
        <v>1.1762320016223891</v>
      </c>
      <c r="Q456" s="143">
        <f t="array" ref="Q456">INDEX('[21]DETEKSI ROT 2 (2)'!$I$343:$I$622,MATCH(1,('[21]DETEKSI ROT 2 (2)'!$D$343:$D$622=$D456)*('[21]DETEKSI ROT 2 (2)'!$D$343:$D$622=$D456),0))</f>
        <v>3</v>
      </c>
      <c r="R456" s="9">
        <f t="shared" si="70"/>
        <v>5.1724137931034484</v>
      </c>
      <c r="S456" s="8" t="str">
        <f t="array" ref="S456">IF(R456&gt;5,"Perlu Sensus",IF(AND(R456&gt;=0,O456&gt;0),"Tetap Deteksi","Belum Deteksi"))</f>
        <v>Perlu Sensus</v>
      </c>
      <c r="T456" s="203"/>
      <c r="U456" s="9">
        <f t="shared" si="71"/>
        <v>0</v>
      </c>
      <c r="V456" s="132">
        <v>46249</v>
      </c>
      <c r="W456" s="143">
        <f t="array" ref="W456">INDEX('[21]DETEKSI ROT 2 (2)'!$L$343:$L$622,MATCH(1,('[21]DETEKSI ROT 2 (2)'!$D$343:$D$622=$D456)*('[21]DETEKSI ROT 2 (2)'!$D$343:$D$622=$D456),0))</f>
        <v>75</v>
      </c>
      <c r="X456" s="143">
        <f t="array" ref="X456">INDEX('[21]DETEKSI ROT 2 (2)'!$M$343:$M$622,MATCH(1,('[21]DETEKSI ROT 2 (2)'!$D$343:$D$622=$D456)*('[21]DETEKSI ROT 2 (2)'!$D$343:$D$622=$D456),0))</f>
        <v>3</v>
      </c>
      <c r="Y456" s="9">
        <f t="shared" si="69"/>
        <v>4</v>
      </c>
      <c r="Z456" s="8" t="str">
        <f t="array" ref="Z456">IF(Y456&gt;5,"Perlu Sensus",IF(AND(Y456&gt;0,,O456&gt;0),"Tetap Deteksi","Belum Deteksi"))</f>
        <v>Belum Deteksi</v>
      </c>
      <c r="AA456" s="203"/>
      <c r="AB456" s="9">
        <f t="shared" si="72"/>
        <v>0</v>
      </c>
    </row>
    <row r="457" spans="1:28" x14ac:dyDescent="0.15">
      <c r="A457" s="8" t="s">
        <v>322</v>
      </c>
      <c r="B457" s="8" t="s">
        <v>79</v>
      </c>
      <c r="C457" s="8" t="s">
        <v>452</v>
      </c>
      <c r="D457" s="8" t="s">
        <v>484</v>
      </c>
      <c r="E457" s="9">
        <v>33.94</v>
      </c>
      <c r="F457" s="8" t="s">
        <v>132</v>
      </c>
      <c r="G457" s="10">
        <v>4693</v>
      </c>
      <c r="H457" s="132">
        <f t="shared" si="64"/>
        <v>46249</v>
      </c>
      <c r="I457" s="140">
        <f t="shared" si="65"/>
        <v>98</v>
      </c>
      <c r="J457" s="9">
        <f t="shared" si="66"/>
        <v>2.088216492648626</v>
      </c>
      <c r="K457" s="140">
        <f t="shared" si="67"/>
        <v>4</v>
      </c>
      <c r="L457" s="206">
        <f t="shared" si="68"/>
        <v>4.0816326530612246</v>
      </c>
      <c r="M457" s="8" t="str">
        <f t="array" ref="M457">IF(L457&gt;5,"Perlu Sensus",IF(AND(L457&gt;=0,I457&gt;0),"Tetap Deteksi","Belum Deteksi"))</f>
        <v>Tetap Deteksi</v>
      </c>
      <c r="N457" s="132">
        <v>46249</v>
      </c>
      <c r="O457" s="143">
        <f t="array" ref="O457">INDEX('[21]DETEKSI ROT 2 (2)'!$G$343:$G$622,MATCH(1,('[21]DETEKSI ROT 2 (2)'!$D$343:$D$622=$D457)*('[21]DETEKSI ROT 2 (2)'!$D$343:$D$622=$D457),0))</f>
        <v>98</v>
      </c>
      <c r="P457" s="9">
        <f t="array" ref="P457">IFERROR(O457/G457*100,0)</f>
        <v>2.088216492648626</v>
      </c>
      <c r="Q457" s="143">
        <f t="array" ref="Q457">INDEX('[21]DETEKSI ROT 2 (2)'!$I$343:$I$622,MATCH(1,('[21]DETEKSI ROT 2 (2)'!$D$343:$D$622=$D457)*('[21]DETEKSI ROT 2 (2)'!$D$343:$D$622=$D457),0))</f>
        <v>4</v>
      </c>
      <c r="R457" s="9">
        <f t="shared" si="70"/>
        <v>4.0816326530612246</v>
      </c>
      <c r="S457" s="8" t="str">
        <f t="array" ref="S457">IF(R457&gt;5,"Perlu Sensus",IF(AND(R457&gt;=0,O457&gt;0),"Tetap Deteksi","Belum Deteksi"))</f>
        <v>Tetap Deteksi</v>
      </c>
      <c r="T457" s="203"/>
      <c r="U457" s="9">
        <f t="shared" si="71"/>
        <v>0</v>
      </c>
      <c r="V457" s="132">
        <v>46249</v>
      </c>
      <c r="W457" s="143">
        <f t="array" ref="W457">INDEX('[21]DETEKSI ROT 2 (2)'!$L$343:$L$622,MATCH(1,('[21]DETEKSI ROT 2 (2)'!$D$343:$D$622=$D457)*('[21]DETEKSI ROT 2 (2)'!$D$343:$D$622=$D457),0))</f>
        <v>54</v>
      </c>
      <c r="X457" s="143">
        <f t="array" ref="X457">INDEX('[21]DETEKSI ROT 2 (2)'!$M$343:$M$622,MATCH(1,('[21]DETEKSI ROT 2 (2)'!$D$343:$D$622=$D457)*('[21]DETEKSI ROT 2 (2)'!$D$343:$D$622=$D457),0))</f>
        <v>2</v>
      </c>
      <c r="Y457" s="9">
        <f t="shared" si="69"/>
        <v>3.7037037037037033</v>
      </c>
      <c r="Z457" s="8" t="str">
        <f t="array" ref="Z457">IF(Y457&gt;5,"Perlu Sensus",IF(AND(Y457&gt;0,,O457&gt;0),"Tetap Deteksi","Belum Deteksi"))</f>
        <v>Belum Deteksi</v>
      </c>
      <c r="AA457" s="203"/>
      <c r="AB457" s="9">
        <f t="shared" si="72"/>
        <v>0</v>
      </c>
    </row>
    <row r="458" spans="1:28" x14ac:dyDescent="0.15">
      <c r="A458" s="8" t="s">
        <v>322</v>
      </c>
      <c r="B458" s="8" t="s">
        <v>79</v>
      </c>
      <c r="C458" s="8" t="s">
        <v>452</v>
      </c>
      <c r="D458" s="8" t="s">
        <v>485</v>
      </c>
      <c r="E458" s="9">
        <v>34.53</v>
      </c>
      <c r="F458" s="8" t="s">
        <v>132</v>
      </c>
      <c r="G458" s="10">
        <v>4886</v>
      </c>
      <c r="H458" s="132">
        <f t="shared" si="64"/>
        <v>46249</v>
      </c>
      <c r="I458" s="140">
        <f t="shared" si="65"/>
        <v>106</v>
      </c>
      <c r="J458" s="9">
        <f t="shared" si="66"/>
        <v>2.1694637740483009</v>
      </c>
      <c r="K458" s="140">
        <f t="shared" si="67"/>
        <v>5</v>
      </c>
      <c r="L458" s="206">
        <f t="shared" si="68"/>
        <v>4.716981132075472</v>
      </c>
      <c r="M458" s="8" t="str">
        <f t="array" ref="M458">IF(L458&gt;5,"Perlu Sensus",IF(AND(L458&gt;=0,I458&gt;0),"Tetap Deteksi","Belum Deteksi"))</f>
        <v>Tetap Deteksi</v>
      </c>
      <c r="N458" s="132">
        <v>46249</v>
      </c>
      <c r="O458" s="143">
        <f t="array" ref="O458">INDEX('[21]DETEKSI ROT 2 (2)'!$G$343:$G$622,MATCH(1,('[21]DETEKSI ROT 2 (2)'!$D$343:$D$622=$D458)*('[21]DETEKSI ROT 2 (2)'!$D$343:$D$622=$D458),0))</f>
        <v>106</v>
      </c>
      <c r="P458" s="9">
        <f t="array" ref="P458">IFERROR(O458/G458*100,0)</f>
        <v>2.1694637740483009</v>
      </c>
      <c r="Q458" s="143">
        <f t="array" ref="Q458">INDEX('[21]DETEKSI ROT 2 (2)'!$I$343:$I$622,MATCH(1,('[21]DETEKSI ROT 2 (2)'!$D$343:$D$622=$D458)*('[21]DETEKSI ROT 2 (2)'!$D$343:$D$622=$D458),0))</f>
        <v>5</v>
      </c>
      <c r="R458" s="9">
        <f t="shared" si="70"/>
        <v>4.716981132075472</v>
      </c>
      <c r="S458" s="8" t="str">
        <f t="array" ref="S458">IF(R458&gt;5,"Perlu Sensus",IF(AND(R458&gt;=0,O458&gt;0),"Tetap Deteksi","Belum Deteksi"))</f>
        <v>Tetap Deteksi</v>
      </c>
      <c r="T458" s="203"/>
      <c r="U458" s="9">
        <f t="shared" si="71"/>
        <v>0</v>
      </c>
      <c r="V458" s="132">
        <v>46249</v>
      </c>
      <c r="W458" s="143">
        <f t="array" ref="W458">INDEX('[21]DETEKSI ROT 2 (2)'!$L$343:$L$622,MATCH(1,('[21]DETEKSI ROT 2 (2)'!$D$343:$D$622=$D458)*('[21]DETEKSI ROT 2 (2)'!$D$343:$D$622=$D458),0))</f>
        <v>110</v>
      </c>
      <c r="X458" s="143">
        <f t="array" ref="X458">INDEX('[21]DETEKSI ROT 2 (2)'!$M$343:$M$622,MATCH(1,('[21]DETEKSI ROT 2 (2)'!$D$343:$D$622=$D458)*('[21]DETEKSI ROT 2 (2)'!$D$343:$D$622=$D458),0))</f>
        <v>1</v>
      </c>
      <c r="Y458" s="9">
        <f t="shared" si="69"/>
        <v>0.90909090909090906</v>
      </c>
      <c r="Z458" s="8" t="str">
        <f t="array" ref="Z458">IF(Y458&gt;5,"Perlu Sensus",IF(AND(Y458&gt;0,,O458&gt;0),"Tetap Deteksi","Belum Deteksi"))</f>
        <v>Belum Deteksi</v>
      </c>
      <c r="AA458" s="203"/>
      <c r="AB458" s="9">
        <f t="shared" si="72"/>
        <v>0</v>
      </c>
    </row>
    <row r="459" spans="1:28" x14ac:dyDescent="0.15">
      <c r="A459" s="8" t="s">
        <v>322</v>
      </c>
      <c r="B459" s="8" t="s">
        <v>79</v>
      </c>
      <c r="C459" s="8" t="s">
        <v>452</v>
      </c>
      <c r="D459" s="8" t="s">
        <v>486</v>
      </c>
      <c r="E459" s="9">
        <v>34.85</v>
      </c>
      <c r="F459" s="8" t="s">
        <v>469</v>
      </c>
      <c r="G459" s="10">
        <v>4369</v>
      </c>
      <c r="H459" s="132">
        <f t="shared" si="64"/>
        <v>46249</v>
      </c>
      <c r="I459" s="140">
        <f t="shared" si="65"/>
        <v>109</v>
      </c>
      <c r="J459" s="9">
        <f t="shared" si="66"/>
        <v>2.494850080109865</v>
      </c>
      <c r="K459" s="140">
        <f t="shared" si="67"/>
        <v>3</v>
      </c>
      <c r="L459" s="206">
        <f t="shared" si="68"/>
        <v>2.7522935779816518</v>
      </c>
      <c r="M459" s="8" t="str">
        <f t="array" ref="M459">IF(L459&gt;5,"Perlu Sensus",IF(AND(L459&gt;=0,I459&gt;0),"Tetap Deteksi","Belum Deteksi"))</f>
        <v>Tetap Deteksi</v>
      </c>
      <c r="N459" s="132">
        <v>46249</v>
      </c>
      <c r="O459" s="143">
        <f t="array" ref="O459">INDEX('[21]DETEKSI ROT 2 (2)'!$G$343:$G$622,MATCH(1,('[21]DETEKSI ROT 2 (2)'!$D$343:$D$622=$D459)*('[21]DETEKSI ROT 2 (2)'!$D$343:$D$622=$D459),0))</f>
        <v>109</v>
      </c>
      <c r="P459" s="9">
        <f t="array" ref="P459">IFERROR(O459/G459*100,0)</f>
        <v>2.494850080109865</v>
      </c>
      <c r="Q459" s="143">
        <f t="array" ref="Q459">INDEX('[21]DETEKSI ROT 2 (2)'!$I$343:$I$622,MATCH(1,('[21]DETEKSI ROT 2 (2)'!$D$343:$D$622=$D459)*('[21]DETEKSI ROT 2 (2)'!$D$343:$D$622=$D459),0))</f>
        <v>3</v>
      </c>
      <c r="R459" s="9">
        <f t="shared" si="70"/>
        <v>2.7522935779816518</v>
      </c>
      <c r="S459" s="8" t="str">
        <f t="array" ref="S459">IF(R459&gt;5,"Perlu Sensus",IF(AND(R459&gt;=0,O459&gt;0),"Tetap Deteksi","Belum Deteksi"))</f>
        <v>Tetap Deteksi</v>
      </c>
      <c r="T459" s="203"/>
      <c r="U459" s="9">
        <f t="shared" si="71"/>
        <v>0</v>
      </c>
      <c r="V459" s="132">
        <v>46249</v>
      </c>
      <c r="W459" s="143">
        <f t="array" ref="W459">INDEX('[21]DETEKSI ROT 2 (2)'!$L$343:$L$622,MATCH(1,('[21]DETEKSI ROT 2 (2)'!$D$343:$D$622=$D459)*('[21]DETEKSI ROT 2 (2)'!$D$343:$D$622=$D459),0))</f>
        <v>200</v>
      </c>
      <c r="X459" s="143">
        <f t="array" ref="X459">INDEX('[21]DETEKSI ROT 2 (2)'!$M$343:$M$622,MATCH(1,('[21]DETEKSI ROT 2 (2)'!$D$343:$D$622=$D459)*('[21]DETEKSI ROT 2 (2)'!$D$343:$D$622=$D459),0))</f>
        <v>7</v>
      </c>
      <c r="Y459" s="9">
        <f t="shared" si="69"/>
        <v>3.5000000000000004</v>
      </c>
      <c r="Z459" s="8" t="str">
        <f t="array" ref="Z459">IF(Y459&gt;5,"Perlu Sensus",IF(AND(Y459&gt;0,,O459&gt;0),"Tetap Deteksi","Belum Deteksi"))</f>
        <v>Belum Deteksi</v>
      </c>
      <c r="AA459" s="203"/>
      <c r="AB459" s="9">
        <f t="shared" si="72"/>
        <v>0</v>
      </c>
    </row>
    <row r="460" spans="1:28" x14ac:dyDescent="0.15">
      <c r="A460" s="8" t="s">
        <v>322</v>
      </c>
      <c r="B460" s="8" t="s">
        <v>107</v>
      </c>
      <c r="C460" s="8" t="s">
        <v>487</v>
      </c>
      <c r="D460" s="8" t="s">
        <v>488</v>
      </c>
      <c r="E460" s="9">
        <v>27.97</v>
      </c>
      <c r="F460" s="8" t="s">
        <v>325</v>
      </c>
      <c r="G460" s="10">
        <v>4040</v>
      </c>
      <c r="H460" s="132">
        <f t="shared" si="64"/>
        <v>46249</v>
      </c>
      <c r="I460" s="140">
        <f t="shared" si="65"/>
        <v>92</v>
      </c>
      <c r="J460" s="9">
        <f t="shared" si="66"/>
        <v>2.277227722772277</v>
      </c>
      <c r="K460" s="140">
        <f t="shared" si="67"/>
        <v>3</v>
      </c>
      <c r="L460" s="206">
        <f t="shared" si="68"/>
        <v>3.2608695652173911</v>
      </c>
      <c r="M460" s="8" t="str">
        <f t="array" ref="M460">IF(L460&gt;5,"Perlu Sensus",IF(AND(L460&gt;=0,I460&gt;0),"Tetap Deteksi","Belum Deteksi"))</f>
        <v>Tetap Deteksi</v>
      </c>
      <c r="N460" s="132">
        <v>46249</v>
      </c>
      <c r="O460" s="143">
        <f t="array" ref="O460">INDEX('[21]DETEKSI ROT 2 (2)'!$G$343:$G$622,MATCH(1,('[21]DETEKSI ROT 2 (2)'!$D$343:$D$622=$D460)*('[21]DETEKSI ROT 2 (2)'!$D$343:$D$622=$D460),0))</f>
        <v>92</v>
      </c>
      <c r="P460" s="9">
        <f t="array" ref="P460">IFERROR(O460/G460*100,0)</f>
        <v>2.277227722772277</v>
      </c>
      <c r="Q460" s="143">
        <f t="array" ref="Q460">INDEX('[21]DETEKSI ROT 2 (2)'!$I$343:$I$622,MATCH(1,('[21]DETEKSI ROT 2 (2)'!$D$343:$D$622=$D460)*('[21]DETEKSI ROT 2 (2)'!$D$343:$D$622=$D460),0))</f>
        <v>3</v>
      </c>
      <c r="R460" s="9">
        <f t="shared" si="70"/>
        <v>3.2608695652173911</v>
      </c>
      <c r="S460" s="8" t="str">
        <f t="array" ref="S460">IF(R460&gt;5,"Perlu Sensus",IF(AND(R460&gt;=0,O460&gt;0),"Tetap Deteksi","Belum Deteksi"))</f>
        <v>Tetap Deteksi</v>
      </c>
      <c r="T460" s="203"/>
      <c r="U460" s="9">
        <f t="shared" si="71"/>
        <v>0</v>
      </c>
      <c r="V460" s="132">
        <v>46249</v>
      </c>
      <c r="W460" s="143">
        <f t="array" ref="W460">INDEX('[21]DETEKSI ROT 2 (2)'!$L$343:$L$622,MATCH(1,('[21]DETEKSI ROT 2 (2)'!$D$343:$D$622=$D460)*('[21]DETEKSI ROT 2 (2)'!$D$343:$D$622=$D460),0))</f>
        <v>78</v>
      </c>
      <c r="X460" s="143">
        <f t="array" ref="X460">INDEX('[21]DETEKSI ROT 2 (2)'!$M$343:$M$622,MATCH(1,('[21]DETEKSI ROT 2 (2)'!$D$343:$D$622=$D460)*('[21]DETEKSI ROT 2 (2)'!$D$343:$D$622=$D460),0))</f>
        <v>2</v>
      </c>
      <c r="Y460" s="9">
        <f t="shared" si="69"/>
        <v>2.5641025641025639</v>
      </c>
      <c r="Z460" s="8" t="str">
        <f t="array" ref="Z460">IF(Y460&gt;5,"Perlu Sensus",IF(AND(Y460&gt;0,,O460&gt;0),"Tetap Deteksi","Belum Deteksi"))</f>
        <v>Belum Deteksi</v>
      </c>
      <c r="AA460" s="203"/>
      <c r="AB460" s="9">
        <f t="shared" si="72"/>
        <v>0</v>
      </c>
    </row>
    <row r="461" spans="1:28" x14ac:dyDescent="0.15">
      <c r="A461" s="8" t="s">
        <v>322</v>
      </c>
      <c r="B461" s="8" t="s">
        <v>107</v>
      </c>
      <c r="C461" s="8" t="s">
        <v>487</v>
      </c>
      <c r="D461" s="8" t="s">
        <v>489</v>
      </c>
      <c r="E461" s="9">
        <v>40.64</v>
      </c>
      <c r="F461" s="8" t="s">
        <v>325</v>
      </c>
      <c r="G461" s="10">
        <v>6228</v>
      </c>
      <c r="H461" s="132">
        <f t="shared" si="64"/>
        <v>46249</v>
      </c>
      <c r="I461" s="140">
        <f t="shared" si="65"/>
        <v>106</v>
      </c>
      <c r="J461" s="9">
        <f t="shared" si="66"/>
        <v>1.7019910083493899</v>
      </c>
      <c r="K461" s="140">
        <f t="shared" si="67"/>
        <v>4</v>
      </c>
      <c r="L461" s="206">
        <f t="shared" si="68"/>
        <v>3.7735849056603774</v>
      </c>
      <c r="M461" s="8" t="str">
        <f t="array" ref="M461">IF(L461&gt;5,"Perlu Sensus",IF(AND(L461&gt;=0,I461&gt;0),"Tetap Deteksi","Belum Deteksi"))</f>
        <v>Tetap Deteksi</v>
      </c>
      <c r="N461" s="132">
        <v>46249</v>
      </c>
      <c r="O461" s="143">
        <f t="array" ref="O461">INDEX('[21]DETEKSI ROT 2 (2)'!$G$343:$G$622,MATCH(1,('[21]DETEKSI ROT 2 (2)'!$D$343:$D$622=$D461)*('[21]DETEKSI ROT 2 (2)'!$D$343:$D$622=$D461),0))</f>
        <v>106</v>
      </c>
      <c r="P461" s="9">
        <f t="array" ref="P461">IFERROR(O461/G461*100,0)</f>
        <v>1.7019910083493899</v>
      </c>
      <c r="Q461" s="143">
        <f t="array" ref="Q461">INDEX('[21]DETEKSI ROT 2 (2)'!$I$343:$I$622,MATCH(1,('[21]DETEKSI ROT 2 (2)'!$D$343:$D$622=$D461)*('[21]DETEKSI ROT 2 (2)'!$D$343:$D$622=$D461),0))</f>
        <v>4</v>
      </c>
      <c r="R461" s="9">
        <f t="shared" si="70"/>
        <v>3.7735849056603774</v>
      </c>
      <c r="S461" s="8" t="str">
        <f t="array" ref="S461">IF(R461&gt;5,"Perlu Sensus",IF(AND(R461&gt;=0,O461&gt;0),"Tetap Deteksi","Belum Deteksi"))</f>
        <v>Tetap Deteksi</v>
      </c>
      <c r="T461" s="203"/>
      <c r="U461" s="9">
        <f t="shared" si="71"/>
        <v>0</v>
      </c>
      <c r="V461" s="132">
        <v>46249</v>
      </c>
      <c r="W461" s="143">
        <f t="array" ref="W461">INDEX('[21]DETEKSI ROT 2 (2)'!$L$343:$L$622,MATCH(1,('[21]DETEKSI ROT 2 (2)'!$D$343:$D$622=$D461)*('[21]DETEKSI ROT 2 (2)'!$D$343:$D$622=$D461),0))</f>
        <v>81</v>
      </c>
      <c r="X461" s="143">
        <f t="array" ref="X461">INDEX('[21]DETEKSI ROT 2 (2)'!$M$343:$M$622,MATCH(1,('[21]DETEKSI ROT 2 (2)'!$D$343:$D$622=$D461)*('[21]DETEKSI ROT 2 (2)'!$D$343:$D$622=$D461),0))</f>
        <v>4</v>
      </c>
      <c r="Y461" s="9">
        <f t="shared" si="69"/>
        <v>4.9382716049382713</v>
      </c>
      <c r="Z461" s="8" t="str">
        <f t="array" ref="Z461">IF(Y461&gt;5,"Perlu Sensus",IF(AND(Y461&gt;0,,O461&gt;0),"Tetap Deteksi","Belum Deteksi"))</f>
        <v>Belum Deteksi</v>
      </c>
      <c r="AA461" s="203"/>
      <c r="AB461" s="9">
        <f t="shared" si="72"/>
        <v>0</v>
      </c>
    </row>
    <row r="462" spans="1:28" x14ac:dyDescent="0.15">
      <c r="A462" s="8" t="s">
        <v>322</v>
      </c>
      <c r="B462" s="8" t="s">
        <v>107</v>
      </c>
      <c r="C462" s="8" t="s">
        <v>487</v>
      </c>
      <c r="D462" s="8" t="s">
        <v>490</v>
      </c>
      <c r="E462" s="9">
        <v>26.5</v>
      </c>
      <c r="F462" s="8" t="s">
        <v>325</v>
      </c>
      <c r="G462" s="10">
        <v>4096</v>
      </c>
      <c r="H462" s="132">
        <f t="shared" si="64"/>
        <v>46249</v>
      </c>
      <c r="I462" s="140">
        <f t="shared" si="65"/>
        <v>52</v>
      </c>
      <c r="J462" s="9">
        <f t="shared" si="66"/>
        <v>1.26953125</v>
      </c>
      <c r="K462" s="140">
        <f t="shared" si="67"/>
        <v>1</v>
      </c>
      <c r="L462" s="206">
        <f t="shared" si="68"/>
        <v>1.9230769230769231</v>
      </c>
      <c r="M462" s="8" t="str">
        <f t="array" ref="M462">IF(L462&gt;5,"Perlu Sensus",IF(AND(L462&gt;=0,I462&gt;0),"Tetap Deteksi","Belum Deteksi"))</f>
        <v>Tetap Deteksi</v>
      </c>
      <c r="N462" s="132">
        <v>46249</v>
      </c>
      <c r="O462" s="143">
        <f t="array" ref="O462">INDEX('[21]DETEKSI ROT 2 (2)'!$G$343:$G$622,MATCH(1,('[21]DETEKSI ROT 2 (2)'!$D$343:$D$622=$D462)*('[21]DETEKSI ROT 2 (2)'!$D$343:$D$622=$D462),0))</f>
        <v>52</v>
      </c>
      <c r="P462" s="9">
        <f t="array" ref="P462">IFERROR(O462/G462*100,0)</f>
        <v>1.26953125</v>
      </c>
      <c r="Q462" s="143">
        <f t="array" ref="Q462">INDEX('[21]DETEKSI ROT 2 (2)'!$I$343:$I$622,MATCH(1,('[21]DETEKSI ROT 2 (2)'!$D$343:$D$622=$D462)*('[21]DETEKSI ROT 2 (2)'!$D$343:$D$622=$D462),0))</f>
        <v>1</v>
      </c>
      <c r="R462" s="9">
        <f t="shared" si="70"/>
        <v>1.9230769230769231</v>
      </c>
      <c r="S462" s="8" t="str">
        <f t="array" ref="S462">IF(R462&gt;5,"Perlu Sensus",IF(AND(R462&gt;=0,O462&gt;0),"Tetap Deteksi","Belum Deteksi"))</f>
        <v>Tetap Deteksi</v>
      </c>
      <c r="T462" s="203"/>
      <c r="U462" s="9">
        <f t="shared" si="71"/>
        <v>0</v>
      </c>
      <c r="V462" s="132">
        <v>46249</v>
      </c>
      <c r="W462" s="143">
        <f t="array" ref="W462">INDEX('[21]DETEKSI ROT 2 (2)'!$L$343:$L$622,MATCH(1,('[21]DETEKSI ROT 2 (2)'!$D$343:$D$622=$D462)*('[21]DETEKSI ROT 2 (2)'!$D$343:$D$622=$D462),0))</f>
        <v>121</v>
      </c>
      <c r="X462" s="143">
        <f t="array" ref="X462">INDEX('[21]DETEKSI ROT 2 (2)'!$M$343:$M$622,MATCH(1,('[21]DETEKSI ROT 2 (2)'!$D$343:$D$622=$D462)*('[21]DETEKSI ROT 2 (2)'!$D$343:$D$622=$D462),0))</f>
        <v>5</v>
      </c>
      <c r="Y462" s="9">
        <f t="shared" si="69"/>
        <v>4.1322314049586781</v>
      </c>
      <c r="Z462" s="8" t="str">
        <f t="array" ref="Z462">IF(Y462&gt;5,"Perlu Sensus",IF(AND(Y462&gt;0,,O462&gt;0),"Tetap Deteksi","Belum Deteksi"))</f>
        <v>Belum Deteksi</v>
      </c>
      <c r="AA462" s="203"/>
      <c r="AB462" s="9">
        <f t="shared" si="72"/>
        <v>0</v>
      </c>
    </row>
    <row r="463" spans="1:28" x14ac:dyDescent="0.15">
      <c r="A463" s="8" t="s">
        <v>322</v>
      </c>
      <c r="B463" s="8" t="s">
        <v>107</v>
      </c>
      <c r="C463" s="8" t="s">
        <v>487</v>
      </c>
      <c r="D463" s="8" t="s">
        <v>491</v>
      </c>
      <c r="E463" s="9">
        <v>44.18</v>
      </c>
      <c r="F463" s="8" t="s">
        <v>325</v>
      </c>
      <c r="G463" s="10">
        <v>6921</v>
      </c>
      <c r="H463" s="132">
        <f t="shared" si="64"/>
        <v>46249</v>
      </c>
      <c r="I463" s="140">
        <f t="shared" si="65"/>
        <v>49</v>
      </c>
      <c r="J463" s="9">
        <f t="shared" si="66"/>
        <v>0.70799017483022686</v>
      </c>
      <c r="K463" s="140">
        <f t="shared" si="67"/>
        <v>1</v>
      </c>
      <c r="L463" s="206">
        <f t="shared" si="68"/>
        <v>2.0408163265306123</v>
      </c>
      <c r="M463" s="8" t="str">
        <f t="array" ref="M463">IF(L463&gt;5,"Perlu Sensus",IF(AND(L463&gt;=0,I463&gt;0),"Tetap Deteksi","Belum Deteksi"))</f>
        <v>Tetap Deteksi</v>
      </c>
      <c r="N463" s="132">
        <v>46249</v>
      </c>
      <c r="O463" s="143">
        <f t="array" ref="O463">INDEX('[21]DETEKSI ROT 2 (2)'!$G$343:$G$622,MATCH(1,('[21]DETEKSI ROT 2 (2)'!$D$343:$D$622=$D463)*('[21]DETEKSI ROT 2 (2)'!$D$343:$D$622=$D463),0))</f>
        <v>49</v>
      </c>
      <c r="P463" s="9">
        <f t="array" ref="P463">IFERROR(O463/G463*100,0)</f>
        <v>0.70799017483022686</v>
      </c>
      <c r="Q463" s="143">
        <f t="array" ref="Q463">INDEX('[21]DETEKSI ROT 2 (2)'!$I$343:$I$622,MATCH(1,('[21]DETEKSI ROT 2 (2)'!$D$343:$D$622=$D463)*('[21]DETEKSI ROT 2 (2)'!$D$343:$D$622=$D463),0))</f>
        <v>1</v>
      </c>
      <c r="R463" s="9">
        <f t="shared" si="70"/>
        <v>2.0408163265306123</v>
      </c>
      <c r="S463" s="8" t="str">
        <f t="array" ref="S463">IF(R463&gt;5,"Perlu Sensus",IF(AND(R463&gt;=0,O463&gt;0),"Tetap Deteksi","Belum Deteksi"))</f>
        <v>Tetap Deteksi</v>
      </c>
      <c r="T463" s="203"/>
      <c r="U463" s="9">
        <f t="shared" si="71"/>
        <v>0</v>
      </c>
      <c r="V463" s="132">
        <v>46249</v>
      </c>
      <c r="W463" s="143">
        <f t="array" ref="W463">INDEX('[21]DETEKSI ROT 2 (2)'!$L$343:$L$622,MATCH(1,('[21]DETEKSI ROT 2 (2)'!$D$343:$D$622=$D463)*('[21]DETEKSI ROT 2 (2)'!$D$343:$D$622=$D463),0))</f>
        <v>56</v>
      </c>
      <c r="X463" s="143">
        <f t="array" ref="X463">INDEX('[21]DETEKSI ROT 2 (2)'!$M$343:$M$622,MATCH(1,('[21]DETEKSI ROT 2 (2)'!$D$343:$D$622=$D463)*('[21]DETEKSI ROT 2 (2)'!$D$343:$D$622=$D463),0))</f>
        <v>2</v>
      </c>
      <c r="Y463" s="9">
        <f t="shared" si="69"/>
        <v>3.5714285714285712</v>
      </c>
      <c r="Z463" s="8" t="str">
        <f t="array" ref="Z463">IF(Y463&gt;5,"Perlu Sensus",IF(AND(Y463&gt;0,,O463&gt;0),"Tetap Deteksi","Belum Deteksi"))</f>
        <v>Belum Deteksi</v>
      </c>
      <c r="AA463" s="203"/>
      <c r="AB463" s="9">
        <f t="shared" si="72"/>
        <v>0</v>
      </c>
    </row>
    <row r="464" spans="1:28" x14ac:dyDescent="0.15">
      <c r="A464" s="8" t="s">
        <v>322</v>
      </c>
      <c r="B464" s="8" t="s">
        <v>107</v>
      </c>
      <c r="C464" s="8" t="s">
        <v>487</v>
      </c>
      <c r="D464" s="8" t="s">
        <v>492</v>
      </c>
      <c r="E464" s="9">
        <v>25.21</v>
      </c>
      <c r="F464" s="8" t="s">
        <v>325</v>
      </c>
      <c r="G464" s="10">
        <v>3836</v>
      </c>
      <c r="H464" s="132">
        <f t="shared" si="64"/>
        <v>46249</v>
      </c>
      <c r="I464" s="140">
        <f t="shared" si="65"/>
        <v>58</v>
      </c>
      <c r="J464" s="9">
        <f t="shared" si="66"/>
        <v>1.5119916579770596</v>
      </c>
      <c r="K464" s="140">
        <f t="shared" si="67"/>
        <v>2</v>
      </c>
      <c r="L464" s="206">
        <f t="shared" si="68"/>
        <v>3.4482758620689653</v>
      </c>
      <c r="M464" s="8" t="str">
        <f t="array" ref="M464">IF(L464&gt;5,"Perlu Sensus",IF(AND(L464&gt;=0,I464&gt;0),"Tetap Deteksi","Belum Deteksi"))</f>
        <v>Tetap Deteksi</v>
      </c>
      <c r="N464" s="132">
        <v>46249</v>
      </c>
      <c r="O464" s="143">
        <f t="array" ref="O464">INDEX('[21]DETEKSI ROT 2 (2)'!$G$343:$G$622,MATCH(1,('[21]DETEKSI ROT 2 (2)'!$D$343:$D$622=$D464)*('[21]DETEKSI ROT 2 (2)'!$D$343:$D$622=$D464),0))</f>
        <v>58</v>
      </c>
      <c r="P464" s="9">
        <f t="array" ref="P464">IFERROR(O464/G464*100,0)</f>
        <v>1.5119916579770596</v>
      </c>
      <c r="Q464" s="143">
        <f t="array" ref="Q464">INDEX('[21]DETEKSI ROT 2 (2)'!$I$343:$I$622,MATCH(1,('[21]DETEKSI ROT 2 (2)'!$D$343:$D$622=$D464)*('[21]DETEKSI ROT 2 (2)'!$D$343:$D$622=$D464),0))</f>
        <v>2</v>
      </c>
      <c r="R464" s="9">
        <f t="shared" si="70"/>
        <v>3.4482758620689653</v>
      </c>
      <c r="S464" s="8" t="str">
        <f t="array" ref="S464">IF(R464&gt;5,"Perlu Sensus",IF(AND(R464&gt;=0,O464&gt;0),"Tetap Deteksi","Belum Deteksi"))</f>
        <v>Tetap Deteksi</v>
      </c>
      <c r="T464" s="203"/>
      <c r="U464" s="9">
        <f t="shared" si="71"/>
        <v>0</v>
      </c>
      <c r="V464" s="132">
        <v>46249</v>
      </c>
      <c r="W464" s="143">
        <f t="array" ref="W464">INDEX('[21]DETEKSI ROT 2 (2)'!$L$343:$L$622,MATCH(1,('[21]DETEKSI ROT 2 (2)'!$D$343:$D$622=$D464)*('[21]DETEKSI ROT 2 (2)'!$D$343:$D$622=$D464),0))</f>
        <v>77</v>
      </c>
      <c r="X464" s="143">
        <f t="array" ref="X464">INDEX('[21]DETEKSI ROT 2 (2)'!$M$343:$M$622,MATCH(1,('[21]DETEKSI ROT 2 (2)'!$D$343:$D$622=$D464)*('[21]DETEKSI ROT 2 (2)'!$D$343:$D$622=$D464),0))</f>
        <v>4</v>
      </c>
      <c r="Y464" s="9">
        <f t="shared" si="69"/>
        <v>5.1948051948051948</v>
      </c>
      <c r="Z464" s="8" t="str">
        <f t="array" ref="Z464">IF(Y464&gt;5,"Perlu Sensus",IF(AND(Y464&gt;0,,O464&gt;0),"Tetap Deteksi","Belum Deteksi"))</f>
        <v>Perlu Sensus</v>
      </c>
      <c r="AA464" s="203"/>
      <c r="AB464" s="9">
        <f t="shared" si="72"/>
        <v>0</v>
      </c>
    </row>
    <row r="465" spans="1:28" x14ac:dyDescent="0.15">
      <c r="A465" s="8" t="s">
        <v>322</v>
      </c>
      <c r="B465" s="8" t="s">
        <v>107</v>
      </c>
      <c r="C465" s="8" t="s">
        <v>487</v>
      </c>
      <c r="D465" s="8" t="s">
        <v>493</v>
      </c>
      <c r="E465" s="9">
        <v>41.48</v>
      </c>
      <c r="F465" s="8" t="s">
        <v>325</v>
      </c>
      <c r="G465" s="10">
        <v>6340</v>
      </c>
      <c r="H465" s="132">
        <f t="shared" si="64"/>
        <v>46249</v>
      </c>
      <c r="I465" s="140">
        <f t="shared" si="65"/>
        <v>59</v>
      </c>
      <c r="J465" s="9">
        <f t="shared" si="66"/>
        <v>0.93059936908517349</v>
      </c>
      <c r="K465" s="140">
        <f t="shared" si="67"/>
        <v>2</v>
      </c>
      <c r="L465" s="206">
        <f t="shared" si="68"/>
        <v>3.3898305084745761</v>
      </c>
      <c r="M465" s="8" t="str">
        <f t="array" ref="M465">IF(L465&gt;5,"Perlu Sensus",IF(AND(L465&gt;=0,I465&gt;0),"Tetap Deteksi","Belum Deteksi"))</f>
        <v>Tetap Deteksi</v>
      </c>
      <c r="N465" s="132">
        <v>46249</v>
      </c>
      <c r="O465" s="143">
        <f t="array" ref="O465">INDEX('[21]DETEKSI ROT 2 (2)'!$G$343:$G$622,MATCH(1,('[21]DETEKSI ROT 2 (2)'!$D$343:$D$622=$D465)*('[21]DETEKSI ROT 2 (2)'!$D$343:$D$622=$D465),0))</f>
        <v>59</v>
      </c>
      <c r="P465" s="9">
        <f t="array" ref="P465">IFERROR(O465/G465*100,0)</f>
        <v>0.93059936908517349</v>
      </c>
      <c r="Q465" s="143">
        <f t="array" ref="Q465">INDEX('[21]DETEKSI ROT 2 (2)'!$I$343:$I$622,MATCH(1,('[21]DETEKSI ROT 2 (2)'!$D$343:$D$622=$D465)*('[21]DETEKSI ROT 2 (2)'!$D$343:$D$622=$D465),0))</f>
        <v>2</v>
      </c>
      <c r="R465" s="9">
        <f t="shared" si="70"/>
        <v>3.3898305084745761</v>
      </c>
      <c r="S465" s="8" t="str">
        <f t="array" ref="S465">IF(R465&gt;5,"Perlu Sensus",IF(AND(R465&gt;=0,O465&gt;0),"Tetap Deteksi","Belum Deteksi"))</f>
        <v>Tetap Deteksi</v>
      </c>
      <c r="T465" s="203"/>
      <c r="U465" s="9">
        <f t="shared" si="71"/>
        <v>0</v>
      </c>
      <c r="V465" s="132">
        <v>46249</v>
      </c>
      <c r="W465" s="143">
        <f t="array" ref="W465">INDEX('[21]DETEKSI ROT 2 (2)'!$L$343:$L$622,MATCH(1,('[21]DETEKSI ROT 2 (2)'!$D$343:$D$622=$D465)*('[21]DETEKSI ROT 2 (2)'!$D$343:$D$622=$D465),0))</f>
        <v>175</v>
      </c>
      <c r="X465" s="143">
        <f t="array" ref="X465">INDEX('[21]DETEKSI ROT 2 (2)'!$M$343:$M$622,MATCH(1,('[21]DETEKSI ROT 2 (2)'!$D$343:$D$622=$D465)*('[21]DETEKSI ROT 2 (2)'!$D$343:$D$622=$D465),0))</f>
        <v>8</v>
      </c>
      <c r="Y465" s="9">
        <f t="shared" si="69"/>
        <v>4.5714285714285712</v>
      </c>
      <c r="Z465" s="8" t="str">
        <f t="array" ref="Z465">IF(Y465&gt;5,"Perlu Sensus",IF(AND(Y465&gt;0,,O465&gt;0),"Tetap Deteksi","Belum Deteksi"))</f>
        <v>Belum Deteksi</v>
      </c>
      <c r="AA465" s="203"/>
      <c r="AB465" s="9">
        <f t="shared" si="72"/>
        <v>0</v>
      </c>
    </row>
    <row r="466" spans="1:28" x14ac:dyDescent="0.15">
      <c r="A466" s="8" t="s">
        <v>322</v>
      </c>
      <c r="B466" s="8" t="s">
        <v>107</v>
      </c>
      <c r="C466" s="8" t="s">
        <v>487</v>
      </c>
      <c r="D466" s="8" t="s">
        <v>494</v>
      </c>
      <c r="E466" s="9">
        <v>26.66</v>
      </c>
      <c r="F466" s="8" t="s">
        <v>325</v>
      </c>
      <c r="G466" s="10">
        <v>3726</v>
      </c>
      <c r="H466" s="132">
        <f t="shared" si="64"/>
        <v>46249</v>
      </c>
      <c r="I466" s="140">
        <f t="shared" si="65"/>
        <v>34</v>
      </c>
      <c r="J466" s="9">
        <f t="shared" si="66"/>
        <v>0.91250670960815894</v>
      </c>
      <c r="K466" s="140">
        <f t="shared" si="67"/>
        <v>1</v>
      </c>
      <c r="L466" s="206">
        <f t="shared" si="68"/>
        <v>2.9411764705882351</v>
      </c>
      <c r="M466" s="8" t="str">
        <f t="array" ref="M466">IF(L466&gt;5,"Perlu Sensus",IF(AND(L466&gt;=0,I466&gt;0),"Tetap Deteksi","Belum Deteksi"))</f>
        <v>Tetap Deteksi</v>
      </c>
      <c r="N466" s="132">
        <v>46249</v>
      </c>
      <c r="O466" s="143">
        <f t="array" ref="O466">INDEX('[21]DETEKSI ROT 2 (2)'!$G$343:$G$622,MATCH(1,('[21]DETEKSI ROT 2 (2)'!$D$343:$D$622=$D466)*('[21]DETEKSI ROT 2 (2)'!$D$343:$D$622=$D466),0))</f>
        <v>34</v>
      </c>
      <c r="P466" s="9">
        <f t="array" ref="P466">IFERROR(O466/G466*100,0)</f>
        <v>0.91250670960815894</v>
      </c>
      <c r="Q466" s="143">
        <f t="array" ref="Q466">INDEX('[21]DETEKSI ROT 2 (2)'!$I$343:$I$622,MATCH(1,('[21]DETEKSI ROT 2 (2)'!$D$343:$D$622=$D466)*('[21]DETEKSI ROT 2 (2)'!$D$343:$D$622=$D466),0))</f>
        <v>1</v>
      </c>
      <c r="R466" s="9">
        <f t="shared" si="70"/>
        <v>2.9411764705882351</v>
      </c>
      <c r="S466" s="8" t="str">
        <f t="array" ref="S466">IF(R466&gt;5,"Perlu Sensus",IF(AND(R466&gt;=0,O466&gt;0),"Tetap Deteksi","Belum Deteksi"))</f>
        <v>Tetap Deteksi</v>
      </c>
      <c r="T466" s="203"/>
      <c r="U466" s="9">
        <f t="shared" si="71"/>
        <v>0</v>
      </c>
      <c r="V466" s="132">
        <v>46249</v>
      </c>
      <c r="W466" s="143">
        <f t="array" ref="W466">INDEX('[21]DETEKSI ROT 2 (2)'!$L$343:$L$622,MATCH(1,('[21]DETEKSI ROT 2 (2)'!$D$343:$D$622=$D466)*('[21]DETEKSI ROT 2 (2)'!$D$343:$D$622=$D466),0))</f>
        <v>66</v>
      </c>
      <c r="X466" s="143">
        <f t="array" ref="X466">INDEX('[21]DETEKSI ROT 2 (2)'!$M$343:$M$622,MATCH(1,('[21]DETEKSI ROT 2 (2)'!$D$343:$D$622=$D466)*('[21]DETEKSI ROT 2 (2)'!$D$343:$D$622=$D466),0))</f>
        <v>3</v>
      </c>
      <c r="Y466" s="9">
        <f t="shared" si="69"/>
        <v>4.5454545454545459</v>
      </c>
      <c r="Z466" s="8" t="str">
        <f t="array" ref="Z466">IF(Y466&gt;5,"Perlu Sensus",IF(AND(Y466&gt;0,,O466&gt;0),"Tetap Deteksi","Belum Deteksi"))</f>
        <v>Belum Deteksi</v>
      </c>
      <c r="AA466" s="203"/>
      <c r="AB466" s="9">
        <f t="shared" si="72"/>
        <v>0</v>
      </c>
    </row>
    <row r="467" spans="1:28" x14ac:dyDescent="0.15">
      <c r="A467" s="8" t="s">
        <v>322</v>
      </c>
      <c r="B467" s="8" t="s">
        <v>107</v>
      </c>
      <c r="C467" s="8" t="s">
        <v>487</v>
      </c>
      <c r="D467" s="8" t="s">
        <v>495</v>
      </c>
      <c r="E467" s="9">
        <v>46.13</v>
      </c>
      <c r="F467" s="8" t="s">
        <v>325</v>
      </c>
      <c r="G467" s="10">
        <v>6739</v>
      </c>
      <c r="H467" s="132">
        <f t="shared" si="64"/>
        <v>46249</v>
      </c>
      <c r="I467" s="140">
        <f t="shared" si="65"/>
        <v>99</v>
      </c>
      <c r="J467" s="9">
        <f t="shared" si="66"/>
        <v>1.4690606914972548</v>
      </c>
      <c r="K467" s="140">
        <f t="shared" si="67"/>
        <v>4</v>
      </c>
      <c r="L467" s="206">
        <f t="shared" si="68"/>
        <v>4.0404040404040407</v>
      </c>
      <c r="M467" s="8" t="str">
        <f t="array" ref="M467">IF(L467&gt;5,"Perlu Sensus",IF(AND(L467&gt;=0,I467&gt;0),"Tetap Deteksi","Belum Deteksi"))</f>
        <v>Tetap Deteksi</v>
      </c>
      <c r="N467" s="132">
        <v>46249</v>
      </c>
      <c r="O467" s="143">
        <f t="array" ref="O467">INDEX('[21]DETEKSI ROT 2 (2)'!$G$343:$G$622,MATCH(1,('[21]DETEKSI ROT 2 (2)'!$D$343:$D$622=$D467)*('[21]DETEKSI ROT 2 (2)'!$D$343:$D$622=$D467),0))</f>
        <v>99</v>
      </c>
      <c r="P467" s="9">
        <f t="array" ref="P467">IFERROR(O467/G467*100,0)</f>
        <v>1.4690606914972548</v>
      </c>
      <c r="Q467" s="143">
        <f t="array" ref="Q467">INDEX('[21]DETEKSI ROT 2 (2)'!$I$343:$I$622,MATCH(1,('[21]DETEKSI ROT 2 (2)'!$D$343:$D$622=$D467)*('[21]DETEKSI ROT 2 (2)'!$D$343:$D$622=$D467),0))</f>
        <v>4</v>
      </c>
      <c r="R467" s="9">
        <f t="shared" si="70"/>
        <v>4.0404040404040407</v>
      </c>
      <c r="S467" s="8" t="str">
        <f t="array" ref="S467">IF(R467&gt;5,"Perlu Sensus",IF(AND(R467&gt;=0,O467&gt;0),"Tetap Deteksi","Belum Deteksi"))</f>
        <v>Tetap Deteksi</v>
      </c>
      <c r="T467" s="203"/>
      <c r="U467" s="9">
        <f t="shared" si="71"/>
        <v>0</v>
      </c>
      <c r="V467" s="132">
        <v>46249</v>
      </c>
      <c r="W467" s="143">
        <f t="array" ref="W467">INDEX('[21]DETEKSI ROT 2 (2)'!$L$343:$L$622,MATCH(1,('[21]DETEKSI ROT 2 (2)'!$D$343:$D$622=$D467)*('[21]DETEKSI ROT 2 (2)'!$D$343:$D$622=$D467),0))</f>
        <v>93</v>
      </c>
      <c r="X467" s="143">
        <f t="array" ref="X467">INDEX('[21]DETEKSI ROT 2 (2)'!$M$343:$M$622,MATCH(1,('[21]DETEKSI ROT 2 (2)'!$D$343:$D$622=$D467)*('[21]DETEKSI ROT 2 (2)'!$D$343:$D$622=$D467),0))</f>
        <v>5</v>
      </c>
      <c r="Y467" s="9">
        <f t="shared" si="69"/>
        <v>5.376344086021505</v>
      </c>
      <c r="Z467" s="8" t="str">
        <f t="array" ref="Z467">IF(Y467&gt;5,"Perlu Sensus",IF(AND(Y467&gt;0,,O467&gt;0),"Tetap Deteksi","Belum Deteksi"))</f>
        <v>Perlu Sensus</v>
      </c>
      <c r="AA467" s="203"/>
      <c r="AB467" s="9">
        <f t="shared" si="72"/>
        <v>0</v>
      </c>
    </row>
    <row r="468" spans="1:28" x14ac:dyDescent="0.15">
      <c r="A468" s="8" t="s">
        <v>322</v>
      </c>
      <c r="B468" s="8" t="s">
        <v>107</v>
      </c>
      <c r="C468" s="8" t="s">
        <v>487</v>
      </c>
      <c r="D468" s="8" t="s">
        <v>496</v>
      </c>
      <c r="E468" s="9">
        <v>24.93</v>
      </c>
      <c r="F468" s="8" t="s">
        <v>325</v>
      </c>
      <c r="G468" s="10">
        <v>3769</v>
      </c>
      <c r="H468" s="132">
        <f t="shared" si="64"/>
        <v>46249</v>
      </c>
      <c r="I468" s="140">
        <f t="shared" si="65"/>
        <v>86</v>
      </c>
      <c r="J468" s="9">
        <f t="shared" si="66"/>
        <v>2.2817723534093926</v>
      </c>
      <c r="K468" s="140">
        <f t="shared" si="67"/>
        <v>3</v>
      </c>
      <c r="L468" s="206">
        <f t="shared" si="68"/>
        <v>3.4883720930232558</v>
      </c>
      <c r="M468" s="8" t="str">
        <f t="array" ref="M468">IF(L468&gt;5,"Perlu Sensus",IF(AND(L468&gt;=0,I468&gt;0),"Tetap Deteksi","Belum Deteksi"))</f>
        <v>Tetap Deteksi</v>
      </c>
      <c r="N468" s="132">
        <v>46249</v>
      </c>
      <c r="O468" s="143">
        <f t="array" ref="O468">INDEX('[21]DETEKSI ROT 2 (2)'!$G$343:$G$622,MATCH(1,('[21]DETEKSI ROT 2 (2)'!$D$343:$D$622=$D468)*('[21]DETEKSI ROT 2 (2)'!$D$343:$D$622=$D468),0))</f>
        <v>86</v>
      </c>
      <c r="P468" s="9">
        <f t="array" ref="P468">IFERROR(O468/G468*100,0)</f>
        <v>2.2817723534093926</v>
      </c>
      <c r="Q468" s="143">
        <f t="array" ref="Q468">INDEX('[21]DETEKSI ROT 2 (2)'!$I$343:$I$622,MATCH(1,('[21]DETEKSI ROT 2 (2)'!$D$343:$D$622=$D468)*('[21]DETEKSI ROT 2 (2)'!$D$343:$D$622=$D468),0))</f>
        <v>3</v>
      </c>
      <c r="R468" s="9">
        <f t="shared" si="70"/>
        <v>3.4883720930232558</v>
      </c>
      <c r="S468" s="8" t="str">
        <f t="array" ref="S468">IF(R468&gt;5,"Perlu Sensus",IF(AND(R468&gt;=0,O468&gt;0),"Tetap Deteksi","Belum Deteksi"))</f>
        <v>Tetap Deteksi</v>
      </c>
      <c r="T468" s="203"/>
      <c r="U468" s="9">
        <f t="shared" si="71"/>
        <v>0</v>
      </c>
      <c r="V468" s="132">
        <v>46249</v>
      </c>
      <c r="W468" s="143">
        <f t="array" ref="W468">INDEX('[21]DETEKSI ROT 2 (2)'!$L$343:$L$622,MATCH(1,('[21]DETEKSI ROT 2 (2)'!$D$343:$D$622=$D468)*('[21]DETEKSI ROT 2 (2)'!$D$343:$D$622=$D468),0))</f>
        <v>142</v>
      </c>
      <c r="X468" s="143">
        <f t="array" ref="X468">INDEX('[21]DETEKSI ROT 2 (2)'!$M$343:$M$622,MATCH(1,('[21]DETEKSI ROT 2 (2)'!$D$343:$D$622=$D468)*('[21]DETEKSI ROT 2 (2)'!$D$343:$D$622=$D468),0))</f>
        <v>2</v>
      </c>
      <c r="Y468" s="9">
        <f t="shared" si="69"/>
        <v>1.4084507042253522</v>
      </c>
      <c r="Z468" s="8" t="str">
        <f t="array" ref="Z468">IF(Y468&gt;5,"Perlu Sensus",IF(AND(Y468&gt;0,,O468&gt;0),"Tetap Deteksi","Belum Deteksi"))</f>
        <v>Belum Deteksi</v>
      </c>
      <c r="AA468" s="203"/>
      <c r="AB468" s="9">
        <f t="shared" si="72"/>
        <v>0</v>
      </c>
    </row>
    <row r="469" spans="1:28" x14ac:dyDescent="0.15">
      <c r="A469" s="8" t="s">
        <v>322</v>
      </c>
      <c r="B469" s="8" t="s">
        <v>107</v>
      </c>
      <c r="C469" s="8" t="s">
        <v>487</v>
      </c>
      <c r="D469" s="8" t="s">
        <v>497</v>
      </c>
      <c r="E469" s="9">
        <v>24.23</v>
      </c>
      <c r="F469" s="8" t="s">
        <v>325</v>
      </c>
      <c r="G469" s="10">
        <v>3499</v>
      </c>
      <c r="H469" s="132">
        <f t="shared" si="64"/>
        <v>46249</v>
      </c>
      <c r="I469" s="140">
        <f t="shared" si="65"/>
        <v>105</v>
      </c>
      <c r="J469" s="9">
        <f t="shared" si="66"/>
        <v>3.0008573878250933</v>
      </c>
      <c r="K469" s="140">
        <f t="shared" si="67"/>
        <v>5</v>
      </c>
      <c r="L469" s="206">
        <f t="shared" si="68"/>
        <v>4.7619047619047619</v>
      </c>
      <c r="M469" s="8" t="str">
        <f t="array" ref="M469">IF(L469&gt;5,"Perlu Sensus",IF(AND(L469&gt;=0,I469&gt;0),"Tetap Deteksi","Belum Deteksi"))</f>
        <v>Tetap Deteksi</v>
      </c>
      <c r="N469" s="132">
        <v>46249</v>
      </c>
      <c r="O469" s="143">
        <f t="array" ref="O469">INDEX('[21]DETEKSI ROT 2 (2)'!$G$343:$G$622,MATCH(1,('[21]DETEKSI ROT 2 (2)'!$D$343:$D$622=$D469)*('[21]DETEKSI ROT 2 (2)'!$D$343:$D$622=$D469),0))</f>
        <v>105</v>
      </c>
      <c r="P469" s="9">
        <f t="array" ref="P469">IFERROR(O469/G469*100,0)</f>
        <v>3.0008573878250933</v>
      </c>
      <c r="Q469" s="143">
        <f t="array" ref="Q469">INDEX('[21]DETEKSI ROT 2 (2)'!$I$343:$I$622,MATCH(1,('[21]DETEKSI ROT 2 (2)'!$D$343:$D$622=$D469)*('[21]DETEKSI ROT 2 (2)'!$D$343:$D$622=$D469),0))</f>
        <v>5</v>
      </c>
      <c r="R469" s="9">
        <f t="shared" si="70"/>
        <v>4.7619047619047619</v>
      </c>
      <c r="S469" s="8" t="str">
        <f t="array" ref="S469">IF(R469&gt;5,"Perlu Sensus",IF(AND(R469&gt;=0,O469&gt;0),"Tetap Deteksi","Belum Deteksi"))</f>
        <v>Tetap Deteksi</v>
      </c>
      <c r="T469" s="203"/>
      <c r="U469" s="9">
        <f t="shared" si="71"/>
        <v>0</v>
      </c>
      <c r="V469" s="132">
        <v>46249</v>
      </c>
      <c r="W469" s="143">
        <f t="array" ref="W469">INDEX('[21]DETEKSI ROT 2 (2)'!$L$343:$L$622,MATCH(1,('[21]DETEKSI ROT 2 (2)'!$D$343:$D$622=$D469)*('[21]DETEKSI ROT 2 (2)'!$D$343:$D$622=$D469),0))</f>
        <v>125</v>
      </c>
      <c r="X469" s="143">
        <f t="array" ref="X469">INDEX('[21]DETEKSI ROT 2 (2)'!$M$343:$M$622,MATCH(1,('[21]DETEKSI ROT 2 (2)'!$D$343:$D$622=$D469)*('[21]DETEKSI ROT 2 (2)'!$D$343:$D$622=$D469),0))</f>
        <v>5</v>
      </c>
      <c r="Y469" s="9">
        <f t="shared" si="69"/>
        <v>4</v>
      </c>
      <c r="Z469" s="8" t="str">
        <f t="array" ref="Z469">IF(Y469&gt;5,"Perlu Sensus",IF(AND(Y469&gt;0,,O469&gt;0),"Tetap Deteksi","Belum Deteksi"))</f>
        <v>Belum Deteksi</v>
      </c>
      <c r="AA469" s="203"/>
      <c r="AB469" s="9">
        <f t="shared" si="72"/>
        <v>0</v>
      </c>
    </row>
    <row r="470" spans="1:28" x14ac:dyDescent="0.15">
      <c r="A470" s="8" t="s">
        <v>322</v>
      </c>
      <c r="B470" s="8" t="s">
        <v>107</v>
      </c>
      <c r="C470" s="8" t="s">
        <v>487</v>
      </c>
      <c r="D470" s="8" t="s">
        <v>498</v>
      </c>
      <c r="E470" s="9">
        <v>27.45</v>
      </c>
      <c r="F470" s="8" t="s">
        <v>325</v>
      </c>
      <c r="G470" s="10">
        <v>3988</v>
      </c>
      <c r="H470" s="132">
        <f t="shared" si="64"/>
        <v>46249</v>
      </c>
      <c r="I470" s="140">
        <f t="shared" si="65"/>
        <v>210</v>
      </c>
      <c r="J470" s="9">
        <f t="shared" si="66"/>
        <v>5.2657973921765295</v>
      </c>
      <c r="K470" s="140">
        <f t="shared" si="67"/>
        <v>9</v>
      </c>
      <c r="L470" s="206">
        <f t="shared" si="68"/>
        <v>4.2857142857142856</v>
      </c>
      <c r="M470" s="8" t="str">
        <f t="array" ref="M470">IF(L470&gt;5,"Perlu Sensus",IF(AND(L470&gt;=0,I470&gt;0),"Tetap Deteksi","Belum Deteksi"))</f>
        <v>Tetap Deteksi</v>
      </c>
      <c r="N470" s="132">
        <v>46249</v>
      </c>
      <c r="O470" s="143">
        <f t="array" ref="O470">INDEX('[21]DETEKSI ROT 2 (2)'!$G$343:$G$622,MATCH(1,('[21]DETEKSI ROT 2 (2)'!$D$343:$D$622=$D470)*('[21]DETEKSI ROT 2 (2)'!$D$343:$D$622=$D470),0))</f>
        <v>210</v>
      </c>
      <c r="P470" s="9">
        <f t="array" ref="P470">IFERROR(O470/G470*100,0)</f>
        <v>5.2657973921765295</v>
      </c>
      <c r="Q470" s="143">
        <f t="array" ref="Q470">INDEX('[21]DETEKSI ROT 2 (2)'!$I$343:$I$622,MATCH(1,('[21]DETEKSI ROT 2 (2)'!$D$343:$D$622=$D470)*('[21]DETEKSI ROT 2 (2)'!$D$343:$D$622=$D470),0))</f>
        <v>9</v>
      </c>
      <c r="R470" s="9">
        <f t="shared" si="70"/>
        <v>4.2857142857142856</v>
      </c>
      <c r="S470" s="8" t="str">
        <f t="array" ref="S470">IF(R470&gt;5,"Perlu Sensus",IF(AND(R470&gt;=0,O470&gt;0),"Tetap Deteksi","Belum Deteksi"))</f>
        <v>Tetap Deteksi</v>
      </c>
      <c r="T470" s="203"/>
      <c r="U470" s="9">
        <f t="shared" si="71"/>
        <v>0</v>
      </c>
      <c r="V470" s="132">
        <v>46249</v>
      </c>
      <c r="W470" s="143">
        <f t="array" ref="W470">INDEX('[21]DETEKSI ROT 2 (2)'!$L$343:$L$622,MATCH(1,('[21]DETEKSI ROT 2 (2)'!$D$343:$D$622=$D470)*('[21]DETEKSI ROT 2 (2)'!$D$343:$D$622=$D470),0))</f>
        <v>35</v>
      </c>
      <c r="X470" s="143">
        <f t="array" ref="X470">INDEX('[21]DETEKSI ROT 2 (2)'!$M$343:$M$622,MATCH(1,('[21]DETEKSI ROT 2 (2)'!$D$343:$D$622=$D470)*('[21]DETEKSI ROT 2 (2)'!$D$343:$D$622=$D470),0))</f>
        <v>1</v>
      </c>
      <c r="Y470" s="9">
        <f t="shared" si="69"/>
        <v>2.8571428571428572</v>
      </c>
      <c r="Z470" s="8" t="str">
        <f t="array" ref="Z470">IF(Y470&gt;5,"Perlu Sensus",IF(AND(Y470&gt;0,,O470&gt;0),"Tetap Deteksi","Belum Deteksi"))</f>
        <v>Belum Deteksi</v>
      </c>
      <c r="AA470" s="203"/>
      <c r="AB470" s="9">
        <f t="shared" si="72"/>
        <v>0</v>
      </c>
    </row>
    <row r="471" spans="1:28" x14ac:dyDescent="0.15">
      <c r="A471" s="8" t="s">
        <v>322</v>
      </c>
      <c r="B471" s="8" t="s">
        <v>107</v>
      </c>
      <c r="C471" s="8" t="s">
        <v>487</v>
      </c>
      <c r="D471" s="8" t="s">
        <v>499</v>
      </c>
      <c r="E471" s="9">
        <v>44</v>
      </c>
      <c r="F471" s="8" t="s">
        <v>325</v>
      </c>
      <c r="G471" s="10">
        <v>6860</v>
      </c>
      <c r="H471" s="132">
        <f t="shared" si="64"/>
        <v>46249</v>
      </c>
      <c r="I471" s="140">
        <f t="shared" si="65"/>
        <v>74</v>
      </c>
      <c r="J471" s="9">
        <f t="shared" si="66"/>
        <v>1.0787172011661808</v>
      </c>
      <c r="K471" s="140">
        <f t="shared" si="67"/>
        <v>2</v>
      </c>
      <c r="L471" s="206">
        <f t="shared" si="68"/>
        <v>2.7027027027027026</v>
      </c>
      <c r="M471" s="8" t="str">
        <f t="array" ref="M471">IF(L471&gt;5,"Perlu Sensus",IF(AND(L471&gt;=0,I471&gt;0),"Tetap Deteksi","Belum Deteksi"))</f>
        <v>Tetap Deteksi</v>
      </c>
      <c r="N471" s="132">
        <v>46249</v>
      </c>
      <c r="O471" s="143">
        <f t="array" ref="O471">INDEX('[21]DETEKSI ROT 2 (2)'!$G$343:$G$622,MATCH(1,('[21]DETEKSI ROT 2 (2)'!$D$343:$D$622=$D471)*('[21]DETEKSI ROT 2 (2)'!$D$343:$D$622=$D471),0))</f>
        <v>74</v>
      </c>
      <c r="P471" s="9">
        <f t="array" ref="P471">IFERROR(O471/G471*100,0)</f>
        <v>1.0787172011661808</v>
      </c>
      <c r="Q471" s="143">
        <f t="array" ref="Q471">INDEX('[21]DETEKSI ROT 2 (2)'!$I$343:$I$622,MATCH(1,('[21]DETEKSI ROT 2 (2)'!$D$343:$D$622=$D471)*('[21]DETEKSI ROT 2 (2)'!$D$343:$D$622=$D471),0))</f>
        <v>2</v>
      </c>
      <c r="R471" s="9">
        <f t="shared" si="70"/>
        <v>2.7027027027027026</v>
      </c>
      <c r="S471" s="8" t="str">
        <f t="array" ref="S471">IF(R471&gt;5,"Perlu Sensus",IF(AND(R471&gt;=0,O471&gt;0),"Tetap Deteksi","Belum Deteksi"))</f>
        <v>Tetap Deteksi</v>
      </c>
      <c r="T471" s="203"/>
      <c r="U471" s="9">
        <f t="shared" si="71"/>
        <v>0</v>
      </c>
      <c r="V471" s="132">
        <v>46249</v>
      </c>
      <c r="W471" s="143">
        <f t="array" ref="W471">INDEX('[21]DETEKSI ROT 2 (2)'!$L$343:$L$622,MATCH(1,('[21]DETEKSI ROT 2 (2)'!$D$343:$D$622=$D471)*('[21]DETEKSI ROT 2 (2)'!$D$343:$D$622=$D471),0))</f>
        <v>30</v>
      </c>
      <c r="X471" s="143">
        <f t="array" ref="X471">INDEX('[21]DETEKSI ROT 2 (2)'!$M$343:$M$622,MATCH(1,('[21]DETEKSI ROT 2 (2)'!$D$343:$D$622=$D471)*('[21]DETEKSI ROT 2 (2)'!$D$343:$D$622=$D471),0))</f>
        <v>1</v>
      </c>
      <c r="Y471" s="9">
        <f t="shared" si="69"/>
        <v>3.3333333333333335</v>
      </c>
      <c r="Z471" s="8" t="str">
        <f t="array" ref="Z471">IF(Y471&gt;5,"Perlu Sensus",IF(AND(Y471&gt;0,,O471&gt;0),"Tetap Deteksi","Belum Deteksi"))</f>
        <v>Belum Deteksi</v>
      </c>
      <c r="AA471" s="203"/>
      <c r="AB471" s="9">
        <f t="shared" si="72"/>
        <v>0</v>
      </c>
    </row>
    <row r="472" spans="1:28" x14ac:dyDescent="0.15">
      <c r="A472" s="8" t="s">
        <v>322</v>
      </c>
      <c r="B472" s="8" t="s">
        <v>107</v>
      </c>
      <c r="C472" s="8" t="s">
        <v>487</v>
      </c>
      <c r="D472" s="8" t="s">
        <v>500</v>
      </c>
      <c r="E472" s="9">
        <v>27.1</v>
      </c>
      <c r="F472" s="8" t="s">
        <v>325</v>
      </c>
      <c r="G472" s="10">
        <v>3993</v>
      </c>
      <c r="H472" s="132">
        <f t="shared" si="64"/>
        <v>46249</v>
      </c>
      <c r="I472" s="140">
        <f t="shared" si="65"/>
        <v>94</v>
      </c>
      <c r="J472" s="9">
        <f t="shared" si="66"/>
        <v>2.3541197094916102</v>
      </c>
      <c r="K472" s="140">
        <f t="shared" si="67"/>
        <v>3</v>
      </c>
      <c r="L472" s="206">
        <f t="shared" si="68"/>
        <v>3.1914893617021276</v>
      </c>
      <c r="M472" s="8" t="str">
        <f t="array" ref="M472">IF(L472&gt;5,"Perlu Sensus",IF(AND(L472&gt;=0,I472&gt;0),"Tetap Deteksi","Belum Deteksi"))</f>
        <v>Tetap Deteksi</v>
      </c>
      <c r="N472" s="132">
        <v>46249</v>
      </c>
      <c r="O472" s="143">
        <f t="array" ref="O472">INDEX('[21]DETEKSI ROT 2 (2)'!$G$343:$G$622,MATCH(1,('[21]DETEKSI ROT 2 (2)'!$D$343:$D$622=$D472)*('[21]DETEKSI ROT 2 (2)'!$D$343:$D$622=$D472),0))</f>
        <v>94</v>
      </c>
      <c r="P472" s="9">
        <f t="array" ref="P472">IFERROR(O472/G472*100,0)</f>
        <v>2.3541197094916102</v>
      </c>
      <c r="Q472" s="143">
        <f t="array" ref="Q472">INDEX('[21]DETEKSI ROT 2 (2)'!$I$343:$I$622,MATCH(1,('[21]DETEKSI ROT 2 (2)'!$D$343:$D$622=$D472)*('[21]DETEKSI ROT 2 (2)'!$D$343:$D$622=$D472),0))</f>
        <v>3</v>
      </c>
      <c r="R472" s="9">
        <f t="shared" si="70"/>
        <v>3.1914893617021276</v>
      </c>
      <c r="S472" s="8" t="str">
        <f t="array" ref="S472">IF(R472&gt;5,"Perlu Sensus",IF(AND(R472&gt;=0,O472&gt;0),"Tetap Deteksi","Belum Deteksi"))</f>
        <v>Tetap Deteksi</v>
      </c>
      <c r="T472" s="203"/>
      <c r="U472" s="9">
        <f t="shared" si="71"/>
        <v>0</v>
      </c>
      <c r="V472" s="132">
        <v>46249</v>
      </c>
      <c r="W472" s="143">
        <f t="array" ref="W472">INDEX('[21]DETEKSI ROT 2 (2)'!$L$343:$L$622,MATCH(1,('[21]DETEKSI ROT 2 (2)'!$D$343:$D$622=$D472)*('[21]DETEKSI ROT 2 (2)'!$D$343:$D$622=$D472),0))</f>
        <v>152</v>
      </c>
      <c r="X472" s="143">
        <f t="array" ref="X472">INDEX('[21]DETEKSI ROT 2 (2)'!$M$343:$M$622,MATCH(1,('[21]DETEKSI ROT 2 (2)'!$D$343:$D$622=$D472)*('[21]DETEKSI ROT 2 (2)'!$D$343:$D$622=$D472),0))</f>
        <v>6</v>
      </c>
      <c r="Y472" s="9">
        <f t="shared" si="69"/>
        <v>3.9473684210526314</v>
      </c>
      <c r="Z472" s="8" t="str">
        <f t="array" ref="Z472">IF(Y472&gt;5,"Perlu Sensus",IF(AND(Y472&gt;0,,O472&gt;0),"Tetap Deteksi","Belum Deteksi"))</f>
        <v>Belum Deteksi</v>
      </c>
      <c r="AA472" s="203"/>
      <c r="AB472" s="9">
        <f t="shared" si="72"/>
        <v>0</v>
      </c>
    </row>
    <row r="473" spans="1:28" x14ac:dyDescent="0.15">
      <c r="A473" s="8" t="s">
        <v>322</v>
      </c>
      <c r="B473" s="8" t="s">
        <v>107</v>
      </c>
      <c r="C473" s="8" t="s">
        <v>487</v>
      </c>
      <c r="D473" s="8" t="s">
        <v>501</v>
      </c>
      <c r="E473" s="9">
        <v>48.33</v>
      </c>
      <c r="F473" s="8" t="s">
        <v>325</v>
      </c>
      <c r="G473" s="10">
        <v>6869</v>
      </c>
      <c r="H473" s="132">
        <f t="shared" si="64"/>
        <v>46249</v>
      </c>
      <c r="I473" s="140">
        <f t="shared" si="65"/>
        <v>110</v>
      </c>
      <c r="J473" s="9">
        <f t="shared" si="66"/>
        <v>1.6013975833454652</v>
      </c>
      <c r="K473" s="140">
        <f t="shared" si="67"/>
        <v>3</v>
      </c>
      <c r="L473" s="206">
        <f t="shared" si="68"/>
        <v>2.7272727272727271</v>
      </c>
      <c r="M473" s="8" t="str">
        <f t="array" ref="M473">IF(L473&gt;5,"Perlu Sensus",IF(AND(L473&gt;=0,I473&gt;0),"Tetap Deteksi","Belum Deteksi"))</f>
        <v>Tetap Deteksi</v>
      </c>
      <c r="N473" s="132">
        <v>46249</v>
      </c>
      <c r="O473" s="143">
        <f t="array" ref="O473">INDEX('[21]DETEKSI ROT 2 (2)'!$G$343:$G$622,MATCH(1,('[21]DETEKSI ROT 2 (2)'!$D$343:$D$622=$D473)*('[21]DETEKSI ROT 2 (2)'!$D$343:$D$622=$D473),0))</f>
        <v>110</v>
      </c>
      <c r="P473" s="9">
        <f t="array" ref="P473">IFERROR(O473/G473*100,0)</f>
        <v>1.6013975833454652</v>
      </c>
      <c r="Q473" s="143">
        <f t="array" ref="Q473">INDEX('[21]DETEKSI ROT 2 (2)'!$I$343:$I$622,MATCH(1,('[21]DETEKSI ROT 2 (2)'!$D$343:$D$622=$D473)*('[21]DETEKSI ROT 2 (2)'!$D$343:$D$622=$D473),0))</f>
        <v>3</v>
      </c>
      <c r="R473" s="9">
        <f t="shared" si="70"/>
        <v>2.7272727272727271</v>
      </c>
      <c r="S473" s="8" t="str">
        <f t="array" ref="S473">IF(R473&gt;5,"Perlu Sensus",IF(AND(R473&gt;=0,O473&gt;0),"Tetap Deteksi","Belum Deteksi"))</f>
        <v>Tetap Deteksi</v>
      </c>
      <c r="T473" s="203"/>
      <c r="U473" s="9">
        <f t="shared" si="71"/>
        <v>0</v>
      </c>
      <c r="V473" s="132">
        <v>46249</v>
      </c>
      <c r="W473" s="143">
        <f t="array" ref="W473">INDEX('[21]DETEKSI ROT 2 (2)'!$L$343:$L$622,MATCH(1,('[21]DETEKSI ROT 2 (2)'!$D$343:$D$622=$D473)*('[21]DETEKSI ROT 2 (2)'!$D$343:$D$622=$D473),0))</f>
        <v>98</v>
      </c>
      <c r="X473" s="143">
        <f t="array" ref="X473">INDEX('[21]DETEKSI ROT 2 (2)'!$M$343:$M$622,MATCH(1,('[21]DETEKSI ROT 2 (2)'!$D$343:$D$622=$D473)*('[21]DETEKSI ROT 2 (2)'!$D$343:$D$622=$D473),0))</f>
        <v>4</v>
      </c>
      <c r="Y473" s="9">
        <f t="shared" si="69"/>
        <v>4.0816326530612246</v>
      </c>
      <c r="Z473" s="8" t="str">
        <f t="array" ref="Z473">IF(Y473&gt;5,"Perlu Sensus",IF(AND(Y473&gt;0,,O473&gt;0),"Tetap Deteksi","Belum Deteksi"))</f>
        <v>Belum Deteksi</v>
      </c>
      <c r="AA473" s="203"/>
      <c r="AB473" s="9">
        <f t="shared" si="72"/>
        <v>0</v>
      </c>
    </row>
    <row r="474" spans="1:28" x14ac:dyDescent="0.15">
      <c r="A474" s="8" t="s">
        <v>322</v>
      </c>
      <c r="B474" s="8" t="s">
        <v>107</v>
      </c>
      <c r="C474" s="8" t="s">
        <v>487</v>
      </c>
      <c r="D474" s="8" t="s">
        <v>502</v>
      </c>
      <c r="E474" s="9">
        <v>25.56</v>
      </c>
      <c r="F474" s="8" t="s">
        <v>325</v>
      </c>
      <c r="G474" s="10">
        <v>3852</v>
      </c>
      <c r="H474" s="132">
        <f t="shared" si="64"/>
        <v>46249</v>
      </c>
      <c r="I474" s="140">
        <f t="shared" si="65"/>
        <v>68</v>
      </c>
      <c r="J474" s="9">
        <f t="shared" si="66"/>
        <v>1.7653167185877467</v>
      </c>
      <c r="K474" s="140">
        <f t="shared" si="67"/>
        <v>1</v>
      </c>
      <c r="L474" s="206">
        <f t="shared" si="68"/>
        <v>1.4705882352941175</v>
      </c>
      <c r="M474" s="8" t="str">
        <f t="array" ref="M474">IF(L474&gt;5,"Perlu Sensus",IF(AND(L474&gt;=0,I474&gt;0),"Tetap Deteksi","Belum Deteksi"))</f>
        <v>Tetap Deteksi</v>
      </c>
      <c r="N474" s="132">
        <v>46249</v>
      </c>
      <c r="O474" s="143">
        <f t="array" ref="O474">INDEX('[21]DETEKSI ROT 2 (2)'!$G$343:$G$622,MATCH(1,('[21]DETEKSI ROT 2 (2)'!$D$343:$D$622=$D474)*('[21]DETEKSI ROT 2 (2)'!$D$343:$D$622=$D474),0))</f>
        <v>68</v>
      </c>
      <c r="P474" s="9">
        <f t="array" ref="P474">IFERROR(O474/G474*100,0)</f>
        <v>1.7653167185877467</v>
      </c>
      <c r="Q474" s="143">
        <f t="array" ref="Q474">INDEX('[21]DETEKSI ROT 2 (2)'!$I$343:$I$622,MATCH(1,('[21]DETEKSI ROT 2 (2)'!$D$343:$D$622=$D474)*('[21]DETEKSI ROT 2 (2)'!$D$343:$D$622=$D474),0))</f>
        <v>1</v>
      </c>
      <c r="R474" s="9">
        <f t="shared" si="70"/>
        <v>1.4705882352941175</v>
      </c>
      <c r="S474" s="8" t="str">
        <f t="array" ref="S474">IF(R474&gt;5,"Perlu Sensus",IF(AND(R474&gt;=0,O474&gt;0),"Tetap Deteksi","Belum Deteksi"))</f>
        <v>Tetap Deteksi</v>
      </c>
      <c r="T474" s="203"/>
      <c r="U474" s="9">
        <f t="shared" si="71"/>
        <v>0</v>
      </c>
      <c r="V474" s="132">
        <v>46249</v>
      </c>
      <c r="W474" s="143">
        <f t="array" ref="W474">INDEX('[21]DETEKSI ROT 2 (2)'!$L$343:$L$622,MATCH(1,('[21]DETEKSI ROT 2 (2)'!$D$343:$D$622=$D474)*('[21]DETEKSI ROT 2 (2)'!$D$343:$D$622=$D474),0))</f>
        <v>47</v>
      </c>
      <c r="X474" s="143">
        <f t="array" ref="X474">INDEX('[21]DETEKSI ROT 2 (2)'!$M$343:$M$622,MATCH(1,('[21]DETEKSI ROT 2 (2)'!$D$343:$D$622=$D474)*('[21]DETEKSI ROT 2 (2)'!$D$343:$D$622=$D474),0))</f>
        <v>1</v>
      </c>
      <c r="Y474" s="9">
        <f t="shared" si="69"/>
        <v>2.1276595744680851</v>
      </c>
      <c r="Z474" s="8" t="str">
        <f t="array" ref="Z474">IF(Y474&gt;5,"Perlu Sensus",IF(AND(Y474&gt;0,,O474&gt;0),"Tetap Deteksi","Belum Deteksi"))</f>
        <v>Belum Deteksi</v>
      </c>
      <c r="AA474" s="203"/>
      <c r="AB474" s="9">
        <f t="shared" si="72"/>
        <v>0</v>
      </c>
    </row>
    <row r="475" spans="1:28" x14ac:dyDescent="0.15">
      <c r="A475" s="8" t="s">
        <v>322</v>
      </c>
      <c r="B475" s="8" t="s">
        <v>107</v>
      </c>
      <c r="C475" s="8" t="s">
        <v>487</v>
      </c>
      <c r="D475" s="8" t="s">
        <v>503</v>
      </c>
      <c r="E475" s="9">
        <v>25.35</v>
      </c>
      <c r="F475" s="8" t="s">
        <v>325</v>
      </c>
      <c r="G475" s="10">
        <v>3768</v>
      </c>
      <c r="H475" s="132">
        <f t="shared" si="64"/>
        <v>46249</v>
      </c>
      <c r="I475" s="140">
        <f t="shared" si="65"/>
        <v>73</v>
      </c>
      <c r="J475" s="9">
        <f t="shared" si="66"/>
        <v>1.9373673036093417</v>
      </c>
      <c r="K475" s="140">
        <f t="shared" si="67"/>
        <v>3</v>
      </c>
      <c r="L475" s="206">
        <f t="shared" si="68"/>
        <v>4.10958904109589</v>
      </c>
      <c r="M475" s="8" t="str">
        <f t="array" ref="M475">IF(L475&gt;5,"Perlu Sensus",IF(AND(L475&gt;=0,I475&gt;0),"Tetap Deteksi","Belum Deteksi"))</f>
        <v>Tetap Deteksi</v>
      </c>
      <c r="N475" s="132">
        <v>46249</v>
      </c>
      <c r="O475" s="143">
        <f t="array" ref="O475">INDEX('[21]DETEKSI ROT 2 (2)'!$G$343:$G$622,MATCH(1,('[21]DETEKSI ROT 2 (2)'!$D$343:$D$622=$D475)*('[21]DETEKSI ROT 2 (2)'!$D$343:$D$622=$D475),0))</f>
        <v>73</v>
      </c>
      <c r="P475" s="9">
        <f t="array" ref="P475">IFERROR(O475/G475*100,0)</f>
        <v>1.9373673036093417</v>
      </c>
      <c r="Q475" s="143">
        <f t="array" ref="Q475">INDEX('[21]DETEKSI ROT 2 (2)'!$I$343:$I$622,MATCH(1,('[21]DETEKSI ROT 2 (2)'!$D$343:$D$622=$D475)*('[21]DETEKSI ROT 2 (2)'!$D$343:$D$622=$D475),0))</f>
        <v>3</v>
      </c>
      <c r="R475" s="9">
        <f t="shared" si="70"/>
        <v>4.10958904109589</v>
      </c>
      <c r="S475" s="8" t="str">
        <f t="array" ref="S475">IF(R475&gt;5,"Perlu Sensus",IF(AND(R475&gt;=0,O475&gt;0),"Tetap Deteksi","Belum Deteksi"))</f>
        <v>Tetap Deteksi</v>
      </c>
      <c r="T475" s="203"/>
      <c r="U475" s="9">
        <f t="shared" si="71"/>
        <v>0</v>
      </c>
      <c r="V475" s="132">
        <v>46249</v>
      </c>
      <c r="W475" s="143">
        <f t="array" ref="W475">INDEX('[21]DETEKSI ROT 2 (2)'!$L$343:$L$622,MATCH(1,('[21]DETEKSI ROT 2 (2)'!$D$343:$D$622=$D475)*('[21]DETEKSI ROT 2 (2)'!$D$343:$D$622=$D475),0))</f>
        <v>65</v>
      </c>
      <c r="X475" s="143">
        <f t="array" ref="X475">INDEX('[21]DETEKSI ROT 2 (2)'!$M$343:$M$622,MATCH(1,('[21]DETEKSI ROT 2 (2)'!$D$343:$D$622=$D475)*('[21]DETEKSI ROT 2 (2)'!$D$343:$D$622=$D475),0))</f>
        <v>3</v>
      </c>
      <c r="Y475" s="9">
        <f t="shared" si="69"/>
        <v>4.6153846153846159</v>
      </c>
      <c r="Z475" s="8" t="str">
        <f t="array" ref="Z475">IF(Y475&gt;5,"Perlu Sensus",IF(AND(Y475&gt;0,,O475&gt;0),"Tetap Deteksi","Belum Deteksi"))</f>
        <v>Belum Deteksi</v>
      </c>
      <c r="AA475" s="203"/>
      <c r="AB475" s="9">
        <f t="shared" si="72"/>
        <v>0</v>
      </c>
    </row>
    <row r="476" spans="1:28" x14ac:dyDescent="0.15">
      <c r="A476" s="8" t="s">
        <v>322</v>
      </c>
      <c r="B476" s="8" t="s">
        <v>107</v>
      </c>
      <c r="C476" s="8" t="s">
        <v>487</v>
      </c>
      <c r="D476" s="8" t="s">
        <v>504</v>
      </c>
      <c r="E476" s="9">
        <v>27.26</v>
      </c>
      <c r="F476" s="8" t="s">
        <v>325</v>
      </c>
      <c r="G476" s="10">
        <v>3991</v>
      </c>
      <c r="H476" s="132">
        <f t="shared" si="64"/>
        <v>46249</v>
      </c>
      <c r="I476" s="140">
        <f t="shared" si="65"/>
        <v>69</v>
      </c>
      <c r="J476" s="9">
        <f t="shared" si="66"/>
        <v>1.7288900025056377</v>
      </c>
      <c r="K476" s="140">
        <f t="shared" si="67"/>
        <v>3</v>
      </c>
      <c r="L476" s="206">
        <f t="shared" si="68"/>
        <v>4.3478260869565215</v>
      </c>
      <c r="M476" s="8" t="str">
        <f t="array" ref="M476">IF(L476&gt;5,"Perlu Sensus",IF(AND(L476&gt;=0,I476&gt;0),"Tetap Deteksi","Belum Deteksi"))</f>
        <v>Tetap Deteksi</v>
      </c>
      <c r="N476" s="132">
        <v>46249</v>
      </c>
      <c r="O476" s="143">
        <f t="array" ref="O476">INDEX('[21]DETEKSI ROT 2 (2)'!$G$343:$G$622,MATCH(1,('[21]DETEKSI ROT 2 (2)'!$D$343:$D$622=$D476)*('[21]DETEKSI ROT 2 (2)'!$D$343:$D$622=$D476),0))</f>
        <v>69</v>
      </c>
      <c r="P476" s="9">
        <f t="array" ref="P476">IFERROR(O476/G476*100,0)</f>
        <v>1.7288900025056377</v>
      </c>
      <c r="Q476" s="143">
        <f t="array" ref="Q476">INDEX('[21]DETEKSI ROT 2 (2)'!$I$343:$I$622,MATCH(1,('[21]DETEKSI ROT 2 (2)'!$D$343:$D$622=$D476)*('[21]DETEKSI ROT 2 (2)'!$D$343:$D$622=$D476),0))</f>
        <v>3</v>
      </c>
      <c r="R476" s="9">
        <f t="shared" si="70"/>
        <v>4.3478260869565215</v>
      </c>
      <c r="S476" s="8" t="str">
        <f t="array" ref="S476">IF(R476&gt;5,"Perlu Sensus",IF(AND(R476&gt;=0,O476&gt;0),"Tetap Deteksi","Belum Deteksi"))</f>
        <v>Tetap Deteksi</v>
      </c>
      <c r="T476" s="203"/>
      <c r="U476" s="9">
        <f t="shared" si="71"/>
        <v>0</v>
      </c>
      <c r="V476" s="132">
        <v>46249</v>
      </c>
      <c r="W476" s="143">
        <f t="array" ref="W476">INDEX('[21]DETEKSI ROT 2 (2)'!$L$343:$L$622,MATCH(1,('[21]DETEKSI ROT 2 (2)'!$D$343:$D$622=$D476)*('[21]DETEKSI ROT 2 (2)'!$D$343:$D$622=$D476),0))</f>
        <v>31</v>
      </c>
      <c r="X476" s="143">
        <f t="array" ref="X476">INDEX('[21]DETEKSI ROT 2 (2)'!$M$343:$M$622,MATCH(1,('[21]DETEKSI ROT 2 (2)'!$D$343:$D$622=$D476)*('[21]DETEKSI ROT 2 (2)'!$D$343:$D$622=$D476),0))</f>
        <v>1</v>
      </c>
      <c r="Y476" s="9">
        <f t="shared" si="69"/>
        <v>3.225806451612903</v>
      </c>
      <c r="Z476" s="8" t="str">
        <f t="array" ref="Z476">IF(Y476&gt;5,"Perlu Sensus",IF(AND(Y476&gt;0,,O476&gt;0),"Tetap Deteksi","Belum Deteksi"))</f>
        <v>Belum Deteksi</v>
      </c>
      <c r="AA476" s="203"/>
      <c r="AB476" s="9">
        <f t="shared" si="72"/>
        <v>0</v>
      </c>
    </row>
    <row r="477" spans="1:28" x14ac:dyDescent="0.15">
      <c r="A477" s="8" t="s">
        <v>322</v>
      </c>
      <c r="B477" s="8" t="s">
        <v>107</v>
      </c>
      <c r="C477" s="8" t="s">
        <v>487</v>
      </c>
      <c r="D477" s="8" t="s">
        <v>505</v>
      </c>
      <c r="E477" s="9">
        <v>24.72</v>
      </c>
      <c r="F477" s="8" t="s">
        <v>325</v>
      </c>
      <c r="G477" s="10">
        <v>3509</v>
      </c>
      <c r="H477" s="132">
        <f t="shared" si="64"/>
        <v>46249</v>
      </c>
      <c r="I477" s="140">
        <f t="shared" si="65"/>
        <v>101</v>
      </c>
      <c r="J477" s="9">
        <f t="shared" si="66"/>
        <v>2.8783129096608722</v>
      </c>
      <c r="K477" s="140">
        <f t="shared" si="67"/>
        <v>5</v>
      </c>
      <c r="L477" s="206">
        <f t="shared" si="68"/>
        <v>4.9504950495049505</v>
      </c>
      <c r="M477" s="8" t="str">
        <f t="array" ref="M477">IF(L477&gt;5,"Perlu Sensus",IF(AND(L477&gt;=0,I477&gt;0),"Tetap Deteksi","Belum Deteksi"))</f>
        <v>Tetap Deteksi</v>
      </c>
      <c r="N477" s="132">
        <v>46249</v>
      </c>
      <c r="O477" s="143">
        <f t="array" ref="O477">INDEX('[21]DETEKSI ROT 2 (2)'!$G$343:$G$622,MATCH(1,('[21]DETEKSI ROT 2 (2)'!$D$343:$D$622=$D477)*('[21]DETEKSI ROT 2 (2)'!$D$343:$D$622=$D477),0))</f>
        <v>101</v>
      </c>
      <c r="P477" s="9">
        <f t="array" ref="P477">IFERROR(O477/G477*100,0)</f>
        <v>2.8783129096608722</v>
      </c>
      <c r="Q477" s="143">
        <f t="array" ref="Q477">INDEX('[21]DETEKSI ROT 2 (2)'!$I$343:$I$622,MATCH(1,('[21]DETEKSI ROT 2 (2)'!$D$343:$D$622=$D477)*('[21]DETEKSI ROT 2 (2)'!$D$343:$D$622=$D477),0))</f>
        <v>5</v>
      </c>
      <c r="R477" s="9">
        <f t="shared" si="70"/>
        <v>4.9504950495049505</v>
      </c>
      <c r="S477" s="8" t="str">
        <f t="array" ref="S477">IF(R477&gt;5,"Perlu Sensus",IF(AND(R477&gt;=0,O477&gt;0),"Tetap Deteksi","Belum Deteksi"))</f>
        <v>Tetap Deteksi</v>
      </c>
      <c r="T477" s="203"/>
      <c r="U477" s="9">
        <f t="shared" si="71"/>
        <v>0</v>
      </c>
      <c r="V477" s="132">
        <v>46249</v>
      </c>
      <c r="W477" s="143">
        <f t="array" ref="W477">INDEX('[21]DETEKSI ROT 2 (2)'!$L$343:$L$622,MATCH(1,('[21]DETEKSI ROT 2 (2)'!$D$343:$D$622=$D477)*('[21]DETEKSI ROT 2 (2)'!$D$343:$D$622=$D477),0))</f>
        <v>45</v>
      </c>
      <c r="X477" s="143">
        <f t="array" ref="X477">INDEX('[21]DETEKSI ROT 2 (2)'!$M$343:$M$622,MATCH(1,('[21]DETEKSI ROT 2 (2)'!$D$343:$D$622=$D477)*('[21]DETEKSI ROT 2 (2)'!$D$343:$D$622=$D477),0))</f>
        <v>1</v>
      </c>
      <c r="Y477" s="9">
        <f t="shared" si="69"/>
        <v>2.2222222222222223</v>
      </c>
      <c r="Z477" s="8" t="str">
        <f t="array" ref="Z477">IF(Y477&gt;5,"Perlu Sensus",IF(AND(Y477&gt;0,,O477&gt;0),"Tetap Deteksi","Belum Deteksi"))</f>
        <v>Belum Deteksi</v>
      </c>
      <c r="AA477" s="203"/>
      <c r="AB477" s="9">
        <f t="shared" si="72"/>
        <v>0</v>
      </c>
    </row>
    <row r="478" spans="1:28" x14ac:dyDescent="0.15">
      <c r="A478" s="8" t="s">
        <v>322</v>
      </c>
      <c r="B478" s="8" t="s">
        <v>107</v>
      </c>
      <c r="C478" s="8" t="s">
        <v>487</v>
      </c>
      <c r="D478" s="8" t="s">
        <v>506</v>
      </c>
      <c r="E478" s="9">
        <v>25.62</v>
      </c>
      <c r="F478" s="8" t="s">
        <v>325</v>
      </c>
      <c r="G478" s="10">
        <v>3708</v>
      </c>
      <c r="H478" s="132">
        <f t="shared" si="64"/>
        <v>46249</v>
      </c>
      <c r="I478" s="140">
        <f t="shared" si="65"/>
        <v>87</v>
      </c>
      <c r="J478" s="9">
        <f t="shared" si="66"/>
        <v>2.3462783171521036</v>
      </c>
      <c r="K478" s="140">
        <f t="shared" si="67"/>
        <v>4</v>
      </c>
      <c r="L478" s="206">
        <f t="shared" si="68"/>
        <v>4.5977011494252871</v>
      </c>
      <c r="M478" s="8" t="str">
        <f t="array" ref="M478">IF(L478&gt;5,"Perlu Sensus",IF(AND(L478&gt;=0,I478&gt;0),"Tetap Deteksi","Belum Deteksi"))</f>
        <v>Tetap Deteksi</v>
      </c>
      <c r="N478" s="132">
        <v>46249</v>
      </c>
      <c r="O478" s="143">
        <f t="array" ref="O478">INDEX('[21]DETEKSI ROT 2 (2)'!$G$343:$G$622,MATCH(1,('[21]DETEKSI ROT 2 (2)'!$D$343:$D$622=$D478)*('[21]DETEKSI ROT 2 (2)'!$D$343:$D$622=$D478),0))</f>
        <v>87</v>
      </c>
      <c r="P478" s="9">
        <f t="array" ref="P478">IFERROR(O478/G478*100,0)</f>
        <v>2.3462783171521036</v>
      </c>
      <c r="Q478" s="143">
        <f t="array" ref="Q478">INDEX('[21]DETEKSI ROT 2 (2)'!$I$343:$I$622,MATCH(1,('[21]DETEKSI ROT 2 (2)'!$D$343:$D$622=$D478)*('[21]DETEKSI ROT 2 (2)'!$D$343:$D$622=$D478),0))</f>
        <v>4</v>
      </c>
      <c r="R478" s="9">
        <f t="shared" si="70"/>
        <v>4.5977011494252871</v>
      </c>
      <c r="S478" s="8" t="str">
        <f t="array" ref="S478">IF(R478&gt;5,"Perlu Sensus",IF(AND(R478&gt;=0,O478&gt;0),"Tetap Deteksi","Belum Deteksi"))</f>
        <v>Tetap Deteksi</v>
      </c>
      <c r="T478" s="203"/>
      <c r="U478" s="9">
        <f t="shared" si="71"/>
        <v>0</v>
      </c>
      <c r="V478" s="132">
        <v>46249</v>
      </c>
      <c r="W478" s="143">
        <f t="array" ref="W478">INDEX('[21]DETEKSI ROT 2 (2)'!$L$343:$L$622,MATCH(1,('[21]DETEKSI ROT 2 (2)'!$D$343:$D$622=$D478)*('[21]DETEKSI ROT 2 (2)'!$D$343:$D$622=$D478),0))</f>
        <v>150</v>
      </c>
      <c r="X478" s="143">
        <f t="array" ref="X478">INDEX('[21]DETEKSI ROT 2 (2)'!$M$343:$M$622,MATCH(1,('[21]DETEKSI ROT 2 (2)'!$D$343:$D$622=$D478)*('[21]DETEKSI ROT 2 (2)'!$D$343:$D$622=$D478),0))</f>
        <v>10</v>
      </c>
      <c r="Y478" s="9">
        <f t="shared" si="69"/>
        <v>6.666666666666667</v>
      </c>
      <c r="Z478" s="8" t="str">
        <f t="array" ref="Z478">IF(Y478&gt;5,"Perlu Sensus",IF(AND(Y478&gt;0,,O478&gt;0),"Tetap Deteksi","Belum Deteksi"))</f>
        <v>Perlu Sensus</v>
      </c>
      <c r="AA478" s="203"/>
      <c r="AB478" s="9">
        <f t="shared" si="72"/>
        <v>0</v>
      </c>
    </row>
    <row r="479" spans="1:28" x14ac:dyDescent="0.15">
      <c r="A479" s="8" t="s">
        <v>322</v>
      </c>
      <c r="B479" s="8" t="s">
        <v>107</v>
      </c>
      <c r="C479" s="8" t="s">
        <v>487</v>
      </c>
      <c r="D479" s="8" t="s">
        <v>507</v>
      </c>
      <c r="E479" s="9">
        <v>25.61</v>
      </c>
      <c r="F479" s="8" t="s">
        <v>325</v>
      </c>
      <c r="G479" s="10">
        <v>3550</v>
      </c>
      <c r="H479" s="132">
        <f t="shared" si="64"/>
        <v>46249</v>
      </c>
      <c r="I479" s="140">
        <f t="shared" si="65"/>
        <v>132</v>
      </c>
      <c r="J479" s="9">
        <f t="shared" si="66"/>
        <v>3.7183098591549295</v>
      </c>
      <c r="K479" s="140">
        <f t="shared" si="67"/>
        <v>6</v>
      </c>
      <c r="L479" s="206">
        <f t="shared" si="68"/>
        <v>4.5454545454545459</v>
      </c>
      <c r="M479" s="8" t="str">
        <f t="array" ref="M479">IF(L479&gt;5,"Perlu Sensus",IF(AND(L479&gt;=0,I479&gt;0),"Tetap Deteksi","Belum Deteksi"))</f>
        <v>Tetap Deteksi</v>
      </c>
      <c r="N479" s="132">
        <v>46249</v>
      </c>
      <c r="O479" s="143">
        <f t="array" ref="O479">INDEX('[21]DETEKSI ROT 2 (2)'!$G$343:$G$622,MATCH(1,('[21]DETEKSI ROT 2 (2)'!$D$343:$D$622=$D479)*('[21]DETEKSI ROT 2 (2)'!$D$343:$D$622=$D479),0))</f>
        <v>132</v>
      </c>
      <c r="P479" s="9">
        <f t="array" ref="P479">IFERROR(O479/G479*100,0)</f>
        <v>3.7183098591549295</v>
      </c>
      <c r="Q479" s="143">
        <f t="array" ref="Q479">INDEX('[21]DETEKSI ROT 2 (2)'!$I$343:$I$622,MATCH(1,('[21]DETEKSI ROT 2 (2)'!$D$343:$D$622=$D479)*('[21]DETEKSI ROT 2 (2)'!$D$343:$D$622=$D479),0))</f>
        <v>6</v>
      </c>
      <c r="R479" s="9">
        <f t="shared" si="70"/>
        <v>4.5454545454545459</v>
      </c>
      <c r="S479" s="8" t="str">
        <f t="array" ref="S479">IF(R479&gt;5,"Perlu Sensus",IF(AND(R479&gt;=0,O479&gt;0),"Tetap Deteksi","Belum Deteksi"))</f>
        <v>Tetap Deteksi</v>
      </c>
      <c r="T479" s="203"/>
      <c r="U479" s="9">
        <f t="shared" si="71"/>
        <v>0</v>
      </c>
      <c r="V479" s="132">
        <v>46249</v>
      </c>
      <c r="W479" s="143">
        <f t="array" ref="W479">INDEX('[21]DETEKSI ROT 2 (2)'!$L$343:$L$622,MATCH(1,('[21]DETEKSI ROT 2 (2)'!$D$343:$D$622=$D479)*('[21]DETEKSI ROT 2 (2)'!$D$343:$D$622=$D479),0))</f>
        <v>43</v>
      </c>
      <c r="X479" s="143">
        <f t="array" ref="X479">INDEX('[21]DETEKSI ROT 2 (2)'!$M$343:$M$622,MATCH(1,('[21]DETEKSI ROT 2 (2)'!$D$343:$D$622=$D479)*('[21]DETEKSI ROT 2 (2)'!$D$343:$D$622=$D479),0))</f>
        <v>3</v>
      </c>
      <c r="Y479" s="9">
        <f t="shared" si="69"/>
        <v>6.9767441860465116</v>
      </c>
      <c r="Z479" s="8" t="str">
        <f t="array" ref="Z479">IF(Y479&gt;5,"Perlu Sensus",IF(AND(Y479&gt;0,,O479&gt;0),"Tetap Deteksi","Belum Deteksi"))</f>
        <v>Perlu Sensus</v>
      </c>
      <c r="AA479" s="203"/>
      <c r="AB479" s="9">
        <f t="shared" si="72"/>
        <v>0</v>
      </c>
    </row>
    <row r="480" spans="1:28" x14ac:dyDescent="0.15">
      <c r="A480" s="8" t="s">
        <v>322</v>
      </c>
      <c r="B480" s="8" t="s">
        <v>107</v>
      </c>
      <c r="C480" s="8" t="s">
        <v>487</v>
      </c>
      <c r="D480" s="8" t="s">
        <v>508</v>
      </c>
      <c r="E480" s="9">
        <v>46.31</v>
      </c>
      <c r="F480" s="8" t="s">
        <v>325</v>
      </c>
      <c r="G480" s="10">
        <v>6896</v>
      </c>
      <c r="H480" s="132">
        <f t="shared" si="64"/>
        <v>46249</v>
      </c>
      <c r="I480" s="140">
        <f t="shared" si="65"/>
        <v>109</v>
      </c>
      <c r="J480" s="9">
        <f t="shared" si="66"/>
        <v>1.5806264501160092</v>
      </c>
      <c r="K480" s="140">
        <f t="shared" si="67"/>
        <v>8</v>
      </c>
      <c r="L480" s="206">
        <f t="shared" si="68"/>
        <v>7.3394495412844041</v>
      </c>
      <c r="M480" s="8" t="str">
        <f t="array" ref="M480">IF(L480&gt;5,"Perlu Sensus",IF(AND(L480&gt;=0,I480&gt;0),"Tetap Deteksi","Belum Deteksi"))</f>
        <v>Perlu Sensus</v>
      </c>
      <c r="N480" s="132">
        <v>46249</v>
      </c>
      <c r="O480" s="143">
        <f t="array" ref="O480">INDEX('[21]DETEKSI ROT 2 (2)'!$G$343:$G$622,MATCH(1,('[21]DETEKSI ROT 2 (2)'!$D$343:$D$622=$D480)*('[21]DETEKSI ROT 2 (2)'!$D$343:$D$622=$D480),0))</f>
        <v>109</v>
      </c>
      <c r="P480" s="9">
        <f t="array" ref="P480">IFERROR(O480/G480*100,0)</f>
        <v>1.5806264501160092</v>
      </c>
      <c r="Q480" s="143">
        <f t="array" ref="Q480">INDEX('[21]DETEKSI ROT 2 (2)'!$I$343:$I$622,MATCH(1,('[21]DETEKSI ROT 2 (2)'!$D$343:$D$622=$D480)*('[21]DETEKSI ROT 2 (2)'!$D$343:$D$622=$D480),0))</f>
        <v>8</v>
      </c>
      <c r="R480" s="9">
        <f t="shared" si="70"/>
        <v>7.3394495412844041</v>
      </c>
      <c r="S480" s="8" t="str">
        <f t="array" ref="S480">IF(R480&gt;5,"Perlu Sensus",IF(AND(R480&gt;=0,O480&gt;0),"Tetap Deteksi","Belum Deteksi"))</f>
        <v>Perlu Sensus</v>
      </c>
      <c r="T480" s="203"/>
      <c r="U480" s="9">
        <f t="shared" si="71"/>
        <v>0</v>
      </c>
      <c r="V480" s="132">
        <v>46249</v>
      </c>
      <c r="W480" s="143">
        <f t="array" ref="W480">INDEX('[21]DETEKSI ROT 2 (2)'!$L$343:$L$622,MATCH(1,('[21]DETEKSI ROT 2 (2)'!$D$343:$D$622=$D480)*('[21]DETEKSI ROT 2 (2)'!$D$343:$D$622=$D480),0))</f>
        <v>21</v>
      </c>
      <c r="X480" s="143">
        <f t="array" ref="X480">INDEX('[21]DETEKSI ROT 2 (2)'!$M$343:$M$622,MATCH(1,('[21]DETEKSI ROT 2 (2)'!$D$343:$D$622=$D480)*('[21]DETEKSI ROT 2 (2)'!$D$343:$D$622=$D480),0))</f>
        <v>2</v>
      </c>
      <c r="Y480" s="9">
        <f t="shared" si="69"/>
        <v>9.5238095238095237</v>
      </c>
      <c r="Z480" s="8" t="str">
        <f t="array" ref="Z480">IF(Y480&gt;5,"Perlu Sensus",IF(AND(Y480&gt;0,,O480&gt;0),"Tetap Deteksi","Belum Deteksi"))</f>
        <v>Perlu Sensus</v>
      </c>
      <c r="AA480" s="203"/>
      <c r="AB480" s="9">
        <f t="shared" si="72"/>
        <v>0</v>
      </c>
    </row>
    <row r="481" spans="1:28" x14ac:dyDescent="0.15">
      <c r="A481" s="8" t="s">
        <v>322</v>
      </c>
      <c r="B481" s="8" t="s">
        <v>107</v>
      </c>
      <c r="C481" s="8" t="s">
        <v>487</v>
      </c>
      <c r="D481" s="8" t="s">
        <v>509</v>
      </c>
      <c r="E481" s="9">
        <v>24.4</v>
      </c>
      <c r="F481" s="8" t="s">
        <v>325</v>
      </c>
      <c r="G481" s="10">
        <v>3429</v>
      </c>
      <c r="H481" s="132">
        <f t="shared" si="64"/>
        <v>46249</v>
      </c>
      <c r="I481" s="140">
        <f t="shared" si="65"/>
        <v>112</v>
      </c>
      <c r="J481" s="9">
        <f t="shared" si="66"/>
        <v>3.2662583843686206</v>
      </c>
      <c r="K481" s="140">
        <f t="shared" si="67"/>
        <v>9</v>
      </c>
      <c r="L481" s="206">
        <f t="shared" si="68"/>
        <v>8.0357142857142865</v>
      </c>
      <c r="M481" s="8" t="str">
        <f t="array" ref="M481">IF(L481&gt;5,"Perlu Sensus",IF(AND(L481&gt;=0,I481&gt;0),"Tetap Deteksi","Belum Deteksi"))</f>
        <v>Perlu Sensus</v>
      </c>
      <c r="N481" s="132">
        <v>46249</v>
      </c>
      <c r="O481" s="143">
        <f t="array" ref="O481">INDEX('[21]DETEKSI ROT 2 (2)'!$G$343:$G$622,MATCH(1,('[21]DETEKSI ROT 2 (2)'!$D$343:$D$622=$D481)*('[21]DETEKSI ROT 2 (2)'!$D$343:$D$622=$D481),0))</f>
        <v>112</v>
      </c>
      <c r="P481" s="9">
        <f t="array" ref="P481">IFERROR(O481/G481*100,0)</f>
        <v>3.2662583843686206</v>
      </c>
      <c r="Q481" s="143">
        <f t="array" ref="Q481">INDEX('[21]DETEKSI ROT 2 (2)'!$I$343:$I$622,MATCH(1,('[21]DETEKSI ROT 2 (2)'!$D$343:$D$622=$D481)*('[21]DETEKSI ROT 2 (2)'!$D$343:$D$622=$D481),0))</f>
        <v>9</v>
      </c>
      <c r="R481" s="9">
        <f t="shared" si="70"/>
        <v>8.0357142857142865</v>
      </c>
      <c r="S481" s="8" t="str">
        <f t="array" ref="S481">IF(R481&gt;5,"Perlu Sensus",IF(AND(R481&gt;=0,O481&gt;0),"Tetap Deteksi","Belum Deteksi"))</f>
        <v>Perlu Sensus</v>
      </c>
      <c r="T481" s="203"/>
      <c r="U481" s="9">
        <f t="shared" si="71"/>
        <v>0</v>
      </c>
      <c r="V481" s="132">
        <v>46249</v>
      </c>
      <c r="W481" s="143">
        <f t="array" ref="W481">INDEX('[21]DETEKSI ROT 2 (2)'!$L$343:$L$622,MATCH(1,('[21]DETEKSI ROT 2 (2)'!$D$343:$D$622=$D481)*('[21]DETEKSI ROT 2 (2)'!$D$343:$D$622=$D481),0))</f>
        <v>39</v>
      </c>
      <c r="X481" s="143">
        <f t="array" ref="X481">INDEX('[21]DETEKSI ROT 2 (2)'!$M$343:$M$622,MATCH(1,('[21]DETEKSI ROT 2 (2)'!$D$343:$D$622=$D481)*('[21]DETEKSI ROT 2 (2)'!$D$343:$D$622=$D481),0))</f>
        <v>3</v>
      </c>
      <c r="Y481" s="9">
        <f t="shared" si="69"/>
        <v>7.6923076923076925</v>
      </c>
      <c r="Z481" s="8" t="str">
        <f t="array" ref="Z481">IF(Y481&gt;5,"Perlu Sensus",IF(AND(Y481&gt;0,,O481&gt;0),"Tetap Deteksi","Belum Deteksi"))</f>
        <v>Perlu Sensus</v>
      </c>
      <c r="AA481" s="203"/>
      <c r="AB481" s="9">
        <f t="shared" si="72"/>
        <v>0</v>
      </c>
    </row>
    <row r="482" spans="1:28" x14ac:dyDescent="0.15">
      <c r="A482" s="8" t="s">
        <v>322</v>
      </c>
      <c r="B482" s="8" t="s">
        <v>107</v>
      </c>
      <c r="C482" s="8" t="s">
        <v>487</v>
      </c>
      <c r="D482" s="8" t="s">
        <v>510</v>
      </c>
      <c r="E482" s="9">
        <v>25</v>
      </c>
      <c r="F482" s="8" t="s">
        <v>325</v>
      </c>
      <c r="G482" s="10">
        <v>3529</v>
      </c>
      <c r="H482" s="132">
        <f t="shared" si="64"/>
        <v>46249</v>
      </c>
      <c r="I482" s="140">
        <f t="shared" si="65"/>
        <v>98</v>
      </c>
      <c r="J482" s="9">
        <f t="shared" si="66"/>
        <v>2.7769906489090395</v>
      </c>
      <c r="K482" s="140">
        <f t="shared" si="67"/>
        <v>4</v>
      </c>
      <c r="L482" s="206">
        <f t="shared" si="68"/>
        <v>4.0816326530612246</v>
      </c>
      <c r="M482" s="8" t="str">
        <f t="array" ref="M482">IF(L482&gt;5,"Perlu Sensus",IF(AND(L482&gt;=0,I482&gt;0),"Tetap Deteksi","Belum Deteksi"))</f>
        <v>Tetap Deteksi</v>
      </c>
      <c r="N482" s="132">
        <v>46249</v>
      </c>
      <c r="O482" s="143">
        <f t="array" ref="O482">INDEX('[21]DETEKSI ROT 2 (2)'!$G$343:$G$622,MATCH(1,('[21]DETEKSI ROT 2 (2)'!$D$343:$D$622=$D482)*('[21]DETEKSI ROT 2 (2)'!$D$343:$D$622=$D482),0))</f>
        <v>98</v>
      </c>
      <c r="P482" s="9">
        <f t="array" ref="P482">IFERROR(O482/G482*100,0)</f>
        <v>2.7769906489090395</v>
      </c>
      <c r="Q482" s="143">
        <f t="array" ref="Q482">INDEX('[21]DETEKSI ROT 2 (2)'!$I$343:$I$622,MATCH(1,('[21]DETEKSI ROT 2 (2)'!$D$343:$D$622=$D482)*('[21]DETEKSI ROT 2 (2)'!$D$343:$D$622=$D482),0))</f>
        <v>4</v>
      </c>
      <c r="R482" s="9">
        <f t="shared" si="70"/>
        <v>4.0816326530612246</v>
      </c>
      <c r="S482" s="8" t="str">
        <f t="array" ref="S482">IF(R482&gt;5,"Perlu Sensus",IF(AND(R482&gt;=0,O482&gt;0),"Tetap Deteksi","Belum Deteksi"))</f>
        <v>Tetap Deteksi</v>
      </c>
      <c r="T482" s="203"/>
      <c r="U482" s="9">
        <f t="shared" si="71"/>
        <v>0</v>
      </c>
      <c r="V482" s="132">
        <v>46249</v>
      </c>
      <c r="W482" s="143">
        <f t="array" ref="W482">INDEX('[21]DETEKSI ROT 2 (2)'!$L$343:$L$622,MATCH(1,('[21]DETEKSI ROT 2 (2)'!$D$343:$D$622=$D482)*('[21]DETEKSI ROT 2 (2)'!$D$343:$D$622=$D482),0))</f>
        <v>56</v>
      </c>
      <c r="X482" s="143">
        <f t="array" ref="X482">INDEX('[21]DETEKSI ROT 2 (2)'!$M$343:$M$622,MATCH(1,('[21]DETEKSI ROT 2 (2)'!$D$343:$D$622=$D482)*('[21]DETEKSI ROT 2 (2)'!$D$343:$D$622=$D482),0))</f>
        <v>2</v>
      </c>
      <c r="Y482" s="9">
        <f t="shared" si="69"/>
        <v>3.5714285714285712</v>
      </c>
      <c r="Z482" s="8" t="str">
        <f t="array" ref="Z482">IF(Y482&gt;5,"Perlu Sensus",IF(AND(Y482&gt;0,,O482&gt;0),"Tetap Deteksi","Belum Deteksi"))</f>
        <v>Belum Deteksi</v>
      </c>
      <c r="AA482" s="203"/>
      <c r="AB482" s="9">
        <f t="shared" si="72"/>
        <v>0</v>
      </c>
    </row>
    <row r="483" spans="1:28" x14ac:dyDescent="0.15">
      <c r="A483" s="8" t="s">
        <v>322</v>
      </c>
      <c r="B483" s="8" t="s">
        <v>107</v>
      </c>
      <c r="C483" s="8" t="s">
        <v>487</v>
      </c>
      <c r="D483" s="8" t="s">
        <v>511</v>
      </c>
      <c r="E483" s="9">
        <v>24.38</v>
      </c>
      <c r="F483" s="8" t="s">
        <v>325</v>
      </c>
      <c r="G483" s="10">
        <v>3590</v>
      </c>
      <c r="H483" s="132">
        <f t="shared" si="64"/>
        <v>46249</v>
      </c>
      <c r="I483" s="140">
        <f t="shared" si="65"/>
        <v>67</v>
      </c>
      <c r="J483" s="9">
        <f t="shared" si="66"/>
        <v>1.8662952646239555</v>
      </c>
      <c r="K483" s="140">
        <f t="shared" si="67"/>
        <v>3</v>
      </c>
      <c r="L483" s="206">
        <f t="shared" si="68"/>
        <v>4.4776119402985071</v>
      </c>
      <c r="M483" s="8" t="str">
        <f t="array" ref="M483">IF(L483&gt;5,"Perlu Sensus",IF(AND(L483&gt;=0,I483&gt;0),"Tetap Deteksi","Belum Deteksi"))</f>
        <v>Tetap Deteksi</v>
      </c>
      <c r="N483" s="132">
        <v>46249</v>
      </c>
      <c r="O483" s="143">
        <f t="array" ref="O483">INDEX('[21]DETEKSI ROT 2 (2)'!$G$343:$G$622,MATCH(1,('[21]DETEKSI ROT 2 (2)'!$D$343:$D$622=$D483)*('[21]DETEKSI ROT 2 (2)'!$D$343:$D$622=$D483),0))</f>
        <v>67</v>
      </c>
      <c r="P483" s="9">
        <f t="array" ref="P483">IFERROR(O483/G483*100,0)</f>
        <v>1.8662952646239555</v>
      </c>
      <c r="Q483" s="143">
        <f t="array" ref="Q483">INDEX('[21]DETEKSI ROT 2 (2)'!$I$343:$I$622,MATCH(1,('[21]DETEKSI ROT 2 (2)'!$D$343:$D$622=$D483)*('[21]DETEKSI ROT 2 (2)'!$D$343:$D$622=$D483),0))</f>
        <v>3</v>
      </c>
      <c r="R483" s="9">
        <f t="shared" si="70"/>
        <v>4.4776119402985071</v>
      </c>
      <c r="S483" s="8" t="str">
        <f t="array" ref="S483">IF(R483&gt;5,"Perlu Sensus",IF(AND(R483&gt;=0,O483&gt;0),"Tetap Deteksi","Belum Deteksi"))</f>
        <v>Tetap Deteksi</v>
      </c>
      <c r="T483" s="203"/>
      <c r="U483" s="9">
        <f t="shared" si="71"/>
        <v>0</v>
      </c>
      <c r="V483" s="132">
        <v>46249</v>
      </c>
      <c r="W483" s="143">
        <f t="array" ref="W483">INDEX('[21]DETEKSI ROT 2 (2)'!$L$343:$L$622,MATCH(1,('[21]DETEKSI ROT 2 (2)'!$D$343:$D$622=$D483)*('[21]DETEKSI ROT 2 (2)'!$D$343:$D$622=$D483),0))</f>
        <v>98</v>
      </c>
      <c r="X483" s="143">
        <f t="array" ref="X483">INDEX('[21]DETEKSI ROT 2 (2)'!$M$343:$M$622,MATCH(1,('[21]DETEKSI ROT 2 (2)'!$D$343:$D$622=$D483)*('[21]DETEKSI ROT 2 (2)'!$D$343:$D$622=$D483),0))</f>
        <v>4</v>
      </c>
      <c r="Y483" s="9">
        <f t="shared" si="69"/>
        <v>4.0816326530612246</v>
      </c>
      <c r="Z483" s="8" t="str">
        <f t="array" ref="Z483">IF(Y483&gt;5,"Perlu Sensus",IF(AND(Y483&gt;0,,O483&gt;0),"Tetap Deteksi","Belum Deteksi"))</f>
        <v>Belum Deteksi</v>
      </c>
      <c r="AA483" s="203"/>
      <c r="AB483" s="9">
        <f t="shared" si="72"/>
        <v>0</v>
      </c>
    </row>
    <row r="484" spans="1:28" x14ac:dyDescent="0.15">
      <c r="A484" s="8" t="s">
        <v>322</v>
      </c>
      <c r="B484" s="8" t="s">
        <v>107</v>
      </c>
      <c r="C484" s="8" t="s">
        <v>487</v>
      </c>
      <c r="D484" s="8" t="s">
        <v>512</v>
      </c>
      <c r="E484" s="9">
        <v>24.3</v>
      </c>
      <c r="F484" s="8" t="s">
        <v>325</v>
      </c>
      <c r="G484" s="10">
        <v>3472</v>
      </c>
      <c r="H484" s="132">
        <f t="shared" si="64"/>
        <v>46249</v>
      </c>
      <c r="I484" s="140">
        <f t="shared" si="65"/>
        <v>98</v>
      </c>
      <c r="J484" s="9">
        <f t="shared" si="66"/>
        <v>2.82258064516129</v>
      </c>
      <c r="K484" s="140">
        <f t="shared" si="67"/>
        <v>4</v>
      </c>
      <c r="L484" s="206">
        <f t="shared" si="68"/>
        <v>4.0816326530612246</v>
      </c>
      <c r="M484" s="8" t="str">
        <f t="array" ref="M484">IF(L484&gt;5,"Perlu Sensus",IF(AND(L484&gt;=0,I484&gt;0),"Tetap Deteksi","Belum Deteksi"))</f>
        <v>Tetap Deteksi</v>
      </c>
      <c r="N484" s="132">
        <v>46249</v>
      </c>
      <c r="O484" s="143">
        <f t="array" ref="O484">INDEX('[21]DETEKSI ROT 2 (2)'!$G$343:$G$622,MATCH(1,('[21]DETEKSI ROT 2 (2)'!$D$343:$D$622=$D484)*('[21]DETEKSI ROT 2 (2)'!$D$343:$D$622=$D484),0))</f>
        <v>98</v>
      </c>
      <c r="P484" s="9">
        <f t="array" ref="P484">IFERROR(O484/G484*100,0)</f>
        <v>2.82258064516129</v>
      </c>
      <c r="Q484" s="143">
        <f t="array" ref="Q484">INDEX('[21]DETEKSI ROT 2 (2)'!$I$343:$I$622,MATCH(1,('[21]DETEKSI ROT 2 (2)'!$D$343:$D$622=$D484)*('[21]DETEKSI ROT 2 (2)'!$D$343:$D$622=$D484),0))</f>
        <v>4</v>
      </c>
      <c r="R484" s="9">
        <f t="shared" si="70"/>
        <v>4.0816326530612246</v>
      </c>
      <c r="S484" s="8" t="str">
        <f t="array" ref="S484">IF(R484&gt;5,"Perlu Sensus",IF(AND(R484&gt;=0,O484&gt;0),"Tetap Deteksi","Belum Deteksi"))</f>
        <v>Tetap Deteksi</v>
      </c>
      <c r="T484" s="203"/>
      <c r="U484" s="9">
        <f t="shared" si="71"/>
        <v>0</v>
      </c>
      <c r="V484" s="132">
        <v>46249</v>
      </c>
      <c r="W484" s="143">
        <f t="array" ref="W484">INDEX('[21]DETEKSI ROT 2 (2)'!$L$343:$L$622,MATCH(1,('[21]DETEKSI ROT 2 (2)'!$D$343:$D$622=$D484)*('[21]DETEKSI ROT 2 (2)'!$D$343:$D$622=$D484),0))</f>
        <v>39</v>
      </c>
      <c r="X484" s="143">
        <f t="array" ref="X484">INDEX('[21]DETEKSI ROT 2 (2)'!$M$343:$M$622,MATCH(1,('[21]DETEKSI ROT 2 (2)'!$D$343:$D$622=$D484)*('[21]DETEKSI ROT 2 (2)'!$D$343:$D$622=$D484),0))</f>
        <v>1</v>
      </c>
      <c r="Y484" s="9">
        <f t="shared" si="69"/>
        <v>2.5641025641025639</v>
      </c>
      <c r="Z484" s="8" t="str">
        <f t="array" ref="Z484">IF(Y484&gt;5,"Perlu Sensus",IF(AND(Y484&gt;0,,O484&gt;0),"Tetap Deteksi","Belum Deteksi"))</f>
        <v>Belum Deteksi</v>
      </c>
      <c r="AA484" s="203"/>
      <c r="AB484" s="9">
        <f t="shared" si="72"/>
        <v>0</v>
      </c>
    </row>
    <row r="485" spans="1:28" x14ac:dyDescent="0.15">
      <c r="A485" s="8" t="s">
        <v>322</v>
      </c>
      <c r="B485" s="8" t="s">
        <v>107</v>
      </c>
      <c r="C485" s="8" t="s">
        <v>487</v>
      </c>
      <c r="D485" s="8" t="s">
        <v>513</v>
      </c>
      <c r="E485" s="9">
        <v>24.25</v>
      </c>
      <c r="F485" s="8" t="s">
        <v>325</v>
      </c>
      <c r="G485" s="10">
        <v>3539</v>
      </c>
      <c r="H485" s="132">
        <f t="shared" si="64"/>
        <v>46249</v>
      </c>
      <c r="I485" s="140">
        <f t="shared" si="65"/>
        <v>233</v>
      </c>
      <c r="J485" s="9">
        <f t="shared" si="66"/>
        <v>6.5837807290194963</v>
      </c>
      <c r="K485" s="140">
        <f t="shared" si="67"/>
        <v>10</v>
      </c>
      <c r="L485" s="206">
        <f t="shared" si="68"/>
        <v>4.2918454935622314</v>
      </c>
      <c r="M485" s="8" t="str">
        <f t="array" ref="M485">IF(L485&gt;5,"Perlu Sensus",IF(AND(L485&gt;=0,I485&gt;0),"Tetap Deteksi","Belum Deteksi"))</f>
        <v>Tetap Deteksi</v>
      </c>
      <c r="N485" s="132">
        <v>46249</v>
      </c>
      <c r="O485" s="143">
        <f t="array" ref="O485">INDEX('[21]DETEKSI ROT 2 (2)'!$G$343:$G$622,MATCH(1,('[21]DETEKSI ROT 2 (2)'!$D$343:$D$622=$D485)*('[21]DETEKSI ROT 2 (2)'!$D$343:$D$622=$D485),0))</f>
        <v>233</v>
      </c>
      <c r="P485" s="9">
        <f t="array" ref="P485">IFERROR(O485/G485*100,0)</f>
        <v>6.5837807290194963</v>
      </c>
      <c r="Q485" s="143">
        <f t="array" ref="Q485">INDEX('[21]DETEKSI ROT 2 (2)'!$I$343:$I$622,MATCH(1,('[21]DETEKSI ROT 2 (2)'!$D$343:$D$622=$D485)*('[21]DETEKSI ROT 2 (2)'!$D$343:$D$622=$D485),0))</f>
        <v>10</v>
      </c>
      <c r="R485" s="9">
        <f t="shared" si="70"/>
        <v>4.2918454935622314</v>
      </c>
      <c r="S485" s="8" t="str">
        <f t="array" ref="S485">IF(R485&gt;5,"Perlu Sensus",IF(AND(R485&gt;=0,O485&gt;0),"Tetap Deteksi","Belum Deteksi"))</f>
        <v>Tetap Deteksi</v>
      </c>
      <c r="T485" s="203"/>
      <c r="U485" s="9">
        <f t="shared" si="71"/>
        <v>0</v>
      </c>
      <c r="V485" s="132">
        <v>46249</v>
      </c>
      <c r="W485" s="143">
        <f t="array" ref="W485">INDEX('[21]DETEKSI ROT 2 (2)'!$L$343:$L$622,MATCH(1,('[21]DETEKSI ROT 2 (2)'!$D$343:$D$622=$D485)*('[21]DETEKSI ROT 2 (2)'!$D$343:$D$622=$D485),0))</f>
        <v>56</v>
      </c>
      <c r="X485" s="143">
        <f t="array" ref="X485">INDEX('[21]DETEKSI ROT 2 (2)'!$M$343:$M$622,MATCH(1,('[21]DETEKSI ROT 2 (2)'!$D$343:$D$622=$D485)*('[21]DETEKSI ROT 2 (2)'!$D$343:$D$622=$D485),0))</f>
        <v>2</v>
      </c>
      <c r="Y485" s="9">
        <f t="shared" si="69"/>
        <v>3.5714285714285712</v>
      </c>
      <c r="Z485" s="8" t="str">
        <f t="array" ref="Z485">IF(Y485&gt;5,"Perlu Sensus",IF(AND(Y485&gt;0,,O485&gt;0),"Tetap Deteksi","Belum Deteksi"))</f>
        <v>Belum Deteksi</v>
      </c>
      <c r="AA485" s="203"/>
      <c r="AB485" s="9">
        <f t="shared" si="72"/>
        <v>0</v>
      </c>
    </row>
    <row r="486" spans="1:28" x14ac:dyDescent="0.15">
      <c r="A486" s="8" t="s">
        <v>322</v>
      </c>
      <c r="B486" s="8" t="s">
        <v>107</v>
      </c>
      <c r="C486" s="8" t="s">
        <v>487</v>
      </c>
      <c r="D486" s="8" t="s">
        <v>514</v>
      </c>
      <c r="E486" s="9">
        <v>25.13</v>
      </c>
      <c r="F486" s="8" t="s">
        <v>325</v>
      </c>
      <c r="G486" s="10">
        <v>3686</v>
      </c>
      <c r="H486" s="132">
        <f t="shared" si="64"/>
        <v>46249</v>
      </c>
      <c r="I486" s="140">
        <f t="shared" si="65"/>
        <v>210</v>
      </c>
      <c r="J486" s="9">
        <f t="shared" si="66"/>
        <v>5.6972327726532832</v>
      </c>
      <c r="K486" s="140">
        <f t="shared" si="67"/>
        <v>16</v>
      </c>
      <c r="L486" s="206">
        <f t="shared" si="68"/>
        <v>7.6190476190476195</v>
      </c>
      <c r="M486" s="8" t="str">
        <f t="array" ref="M486">IF(L486&gt;5,"Perlu Sensus",IF(AND(L486&gt;=0,I486&gt;0),"Tetap Deteksi","Belum Deteksi"))</f>
        <v>Perlu Sensus</v>
      </c>
      <c r="N486" s="132">
        <v>46249</v>
      </c>
      <c r="O486" s="143">
        <f t="array" ref="O486">INDEX('[21]DETEKSI ROT 2 (2)'!$G$343:$G$622,MATCH(1,('[21]DETEKSI ROT 2 (2)'!$D$343:$D$622=$D486)*('[21]DETEKSI ROT 2 (2)'!$D$343:$D$622=$D486),0))</f>
        <v>210</v>
      </c>
      <c r="P486" s="9">
        <f t="array" ref="P486">IFERROR(O486/G486*100,0)</f>
        <v>5.6972327726532832</v>
      </c>
      <c r="Q486" s="143">
        <f t="array" ref="Q486">INDEX('[21]DETEKSI ROT 2 (2)'!$I$343:$I$622,MATCH(1,('[21]DETEKSI ROT 2 (2)'!$D$343:$D$622=$D486)*('[21]DETEKSI ROT 2 (2)'!$D$343:$D$622=$D486),0))</f>
        <v>16</v>
      </c>
      <c r="R486" s="9">
        <f t="shared" si="70"/>
        <v>7.6190476190476195</v>
      </c>
      <c r="S486" s="8" t="str">
        <f t="array" ref="S486">IF(R486&gt;5,"Perlu Sensus",IF(AND(R486&gt;=0,O486&gt;0),"Tetap Deteksi","Belum Deteksi"))</f>
        <v>Perlu Sensus</v>
      </c>
      <c r="T486" s="203"/>
      <c r="U486" s="9">
        <f t="shared" si="71"/>
        <v>0</v>
      </c>
      <c r="V486" s="132">
        <v>46249</v>
      </c>
      <c r="W486" s="143">
        <f t="array" ref="W486">INDEX('[21]DETEKSI ROT 2 (2)'!$L$343:$L$622,MATCH(1,('[21]DETEKSI ROT 2 (2)'!$D$343:$D$622=$D486)*('[21]DETEKSI ROT 2 (2)'!$D$343:$D$622=$D486),0))</f>
        <v>35</v>
      </c>
      <c r="X486" s="143">
        <f t="array" ref="X486">INDEX('[21]DETEKSI ROT 2 (2)'!$M$343:$M$622,MATCH(1,('[21]DETEKSI ROT 2 (2)'!$D$343:$D$622=$D486)*('[21]DETEKSI ROT 2 (2)'!$D$343:$D$622=$D486),0))</f>
        <v>4</v>
      </c>
      <c r="Y486" s="9">
        <f t="shared" si="69"/>
        <v>11.428571428571429</v>
      </c>
      <c r="Z486" s="8" t="str">
        <f t="array" ref="Z486">IF(Y486&gt;5,"Perlu Sensus",IF(AND(Y486&gt;0,,O486&gt;0),"Tetap Deteksi","Belum Deteksi"))</f>
        <v>Perlu Sensus</v>
      </c>
      <c r="AA486" s="203"/>
      <c r="AB486" s="9">
        <f t="shared" si="72"/>
        <v>0</v>
      </c>
    </row>
    <row r="487" spans="1:28" x14ac:dyDescent="0.15">
      <c r="A487" s="8" t="s">
        <v>322</v>
      </c>
      <c r="B487" s="8" t="s">
        <v>107</v>
      </c>
      <c r="C487" s="8" t="s">
        <v>487</v>
      </c>
      <c r="D487" s="8" t="s">
        <v>515</v>
      </c>
      <c r="E487" s="9">
        <v>45.88</v>
      </c>
      <c r="F487" s="8" t="s">
        <v>325</v>
      </c>
      <c r="G487" s="10">
        <v>6651</v>
      </c>
      <c r="H487" s="132">
        <f t="shared" si="64"/>
        <v>46249</v>
      </c>
      <c r="I487" s="140">
        <f t="shared" si="65"/>
        <v>153</v>
      </c>
      <c r="J487" s="9">
        <f t="shared" si="66"/>
        <v>2.3004059539918806</v>
      </c>
      <c r="K487" s="140">
        <f t="shared" si="67"/>
        <v>9</v>
      </c>
      <c r="L487" s="206">
        <f t="shared" si="68"/>
        <v>5.8823529411764701</v>
      </c>
      <c r="M487" s="8" t="str">
        <f t="array" ref="M487">IF(L487&gt;5,"Perlu Sensus",IF(AND(L487&gt;=0,I487&gt;0),"Tetap Deteksi","Belum Deteksi"))</f>
        <v>Perlu Sensus</v>
      </c>
      <c r="N487" s="132">
        <v>46249</v>
      </c>
      <c r="O487" s="143">
        <f t="array" ref="O487">INDEX('[21]DETEKSI ROT 2 (2)'!$G$343:$G$622,MATCH(1,('[21]DETEKSI ROT 2 (2)'!$D$343:$D$622=$D487)*('[21]DETEKSI ROT 2 (2)'!$D$343:$D$622=$D487),0))</f>
        <v>153</v>
      </c>
      <c r="P487" s="9">
        <f t="array" ref="P487">IFERROR(O487/G487*100,0)</f>
        <v>2.3004059539918806</v>
      </c>
      <c r="Q487" s="143">
        <f t="array" ref="Q487">INDEX('[21]DETEKSI ROT 2 (2)'!$I$343:$I$622,MATCH(1,('[21]DETEKSI ROT 2 (2)'!$D$343:$D$622=$D487)*('[21]DETEKSI ROT 2 (2)'!$D$343:$D$622=$D487),0))</f>
        <v>9</v>
      </c>
      <c r="R487" s="9">
        <f t="shared" si="70"/>
        <v>5.8823529411764701</v>
      </c>
      <c r="S487" s="8" t="str">
        <f t="array" ref="S487">IF(R487&gt;5,"Perlu Sensus",IF(AND(R487&gt;=0,O487&gt;0),"Tetap Deteksi","Belum Deteksi"))</f>
        <v>Perlu Sensus</v>
      </c>
      <c r="T487" s="203"/>
      <c r="U487" s="9">
        <f t="shared" si="71"/>
        <v>0</v>
      </c>
      <c r="V487" s="132">
        <v>46249</v>
      </c>
      <c r="W487" s="143">
        <f t="array" ref="W487">INDEX('[21]DETEKSI ROT 2 (2)'!$L$343:$L$622,MATCH(1,('[21]DETEKSI ROT 2 (2)'!$D$343:$D$622=$D487)*('[21]DETEKSI ROT 2 (2)'!$D$343:$D$622=$D487),0))</f>
        <v>78</v>
      </c>
      <c r="X487" s="143">
        <f t="array" ref="X487">INDEX('[21]DETEKSI ROT 2 (2)'!$M$343:$M$622,MATCH(1,('[21]DETEKSI ROT 2 (2)'!$D$343:$D$622=$D487)*('[21]DETEKSI ROT 2 (2)'!$D$343:$D$622=$D487),0))</f>
        <v>4</v>
      </c>
      <c r="Y487" s="9">
        <f t="shared" si="69"/>
        <v>5.1282051282051277</v>
      </c>
      <c r="Z487" s="8" t="str">
        <f t="array" ref="Z487">IF(Y487&gt;5,"Perlu Sensus",IF(AND(Y487&gt;0,,O487&gt;0),"Tetap Deteksi","Belum Deteksi"))</f>
        <v>Perlu Sensus</v>
      </c>
      <c r="AA487" s="203"/>
      <c r="AB487" s="9">
        <f t="shared" si="72"/>
        <v>0</v>
      </c>
    </row>
    <row r="488" spans="1:28" x14ac:dyDescent="0.15">
      <c r="A488" s="8" t="s">
        <v>322</v>
      </c>
      <c r="B488" s="8" t="s">
        <v>107</v>
      </c>
      <c r="C488" s="8" t="s">
        <v>487</v>
      </c>
      <c r="D488" s="8" t="s">
        <v>516</v>
      </c>
      <c r="E488" s="9">
        <v>24.86</v>
      </c>
      <c r="F488" s="8" t="s">
        <v>325</v>
      </c>
      <c r="G488" s="10">
        <v>3650</v>
      </c>
      <c r="H488" s="132">
        <f t="shared" si="64"/>
        <v>46249</v>
      </c>
      <c r="I488" s="140">
        <f t="shared" si="65"/>
        <v>115</v>
      </c>
      <c r="J488" s="9">
        <f t="shared" si="66"/>
        <v>3.1506849315068495</v>
      </c>
      <c r="K488" s="140">
        <f t="shared" si="67"/>
        <v>5</v>
      </c>
      <c r="L488" s="206">
        <f t="shared" si="68"/>
        <v>4.3478260869565215</v>
      </c>
      <c r="M488" s="8" t="str">
        <f t="array" ref="M488">IF(L488&gt;5,"Perlu Sensus",IF(AND(L488&gt;=0,I488&gt;0),"Tetap Deteksi","Belum Deteksi"))</f>
        <v>Tetap Deteksi</v>
      </c>
      <c r="N488" s="132">
        <v>46249</v>
      </c>
      <c r="O488" s="143">
        <f t="array" ref="O488">INDEX('[21]DETEKSI ROT 2 (2)'!$G$343:$G$622,MATCH(1,('[21]DETEKSI ROT 2 (2)'!$D$343:$D$622=$D488)*('[21]DETEKSI ROT 2 (2)'!$D$343:$D$622=$D488),0))</f>
        <v>115</v>
      </c>
      <c r="P488" s="9">
        <f t="array" ref="P488">IFERROR(O488/G488*100,0)</f>
        <v>3.1506849315068495</v>
      </c>
      <c r="Q488" s="143">
        <f t="array" ref="Q488">INDEX('[21]DETEKSI ROT 2 (2)'!$I$343:$I$622,MATCH(1,('[21]DETEKSI ROT 2 (2)'!$D$343:$D$622=$D488)*('[21]DETEKSI ROT 2 (2)'!$D$343:$D$622=$D488),0))</f>
        <v>5</v>
      </c>
      <c r="R488" s="9">
        <f t="shared" si="70"/>
        <v>4.3478260869565215</v>
      </c>
      <c r="S488" s="8" t="str">
        <f t="array" ref="S488">IF(R488&gt;5,"Perlu Sensus",IF(AND(R488&gt;=0,O488&gt;0),"Tetap Deteksi","Belum Deteksi"))</f>
        <v>Tetap Deteksi</v>
      </c>
      <c r="T488" s="203"/>
      <c r="U488" s="9">
        <f t="shared" si="71"/>
        <v>0</v>
      </c>
      <c r="V488" s="132">
        <v>46249</v>
      </c>
      <c r="W488" s="143">
        <f t="array" ref="W488">INDEX('[21]DETEKSI ROT 2 (2)'!$L$343:$L$622,MATCH(1,('[21]DETEKSI ROT 2 (2)'!$D$343:$D$622=$D488)*('[21]DETEKSI ROT 2 (2)'!$D$343:$D$622=$D488),0))</f>
        <v>33</v>
      </c>
      <c r="X488" s="143">
        <f t="array" ref="X488">INDEX('[21]DETEKSI ROT 2 (2)'!$M$343:$M$622,MATCH(1,('[21]DETEKSI ROT 2 (2)'!$D$343:$D$622=$D488)*('[21]DETEKSI ROT 2 (2)'!$D$343:$D$622=$D488),0))</f>
        <v>1</v>
      </c>
      <c r="Y488" s="9">
        <f t="shared" si="69"/>
        <v>3.0303030303030303</v>
      </c>
      <c r="Z488" s="8" t="str">
        <f t="array" ref="Z488">IF(Y488&gt;5,"Perlu Sensus",IF(AND(Y488&gt;0,,O488&gt;0),"Tetap Deteksi","Belum Deteksi"))</f>
        <v>Belum Deteksi</v>
      </c>
      <c r="AA488" s="203"/>
      <c r="AB488" s="9">
        <f t="shared" si="72"/>
        <v>0</v>
      </c>
    </row>
    <row r="489" spans="1:28" x14ac:dyDescent="0.15">
      <c r="A489" s="8" t="s">
        <v>322</v>
      </c>
      <c r="B489" s="8" t="s">
        <v>107</v>
      </c>
      <c r="C489" s="8" t="s">
        <v>487</v>
      </c>
      <c r="D489" s="8" t="s">
        <v>517</v>
      </c>
      <c r="E489" s="9">
        <v>25.79</v>
      </c>
      <c r="F489" s="8" t="s">
        <v>325</v>
      </c>
      <c r="G489" s="10">
        <v>3795</v>
      </c>
      <c r="H489" s="132">
        <f t="shared" si="64"/>
        <v>46249</v>
      </c>
      <c r="I489" s="140">
        <f t="shared" si="65"/>
        <v>110</v>
      </c>
      <c r="J489" s="9">
        <f t="shared" si="66"/>
        <v>2.8985507246376812</v>
      </c>
      <c r="K489" s="140">
        <f t="shared" si="67"/>
        <v>5</v>
      </c>
      <c r="L489" s="206">
        <f t="shared" si="68"/>
        <v>4.5454545454545459</v>
      </c>
      <c r="M489" s="8" t="str">
        <f t="array" ref="M489">IF(L489&gt;5,"Perlu Sensus",IF(AND(L489&gt;=0,I489&gt;0),"Tetap Deteksi","Belum Deteksi"))</f>
        <v>Tetap Deteksi</v>
      </c>
      <c r="N489" s="132">
        <v>46249</v>
      </c>
      <c r="O489" s="143">
        <f t="array" ref="O489">INDEX('[21]DETEKSI ROT 2 (2)'!$G$343:$G$622,MATCH(1,('[21]DETEKSI ROT 2 (2)'!$D$343:$D$622=$D489)*('[21]DETEKSI ROT 2 (2)'!$D$343:$D$622=$D489),0))</f>
        <v>110</v>
      </c>
      <c r="P489" s="9">
        <f t="array" ref="P489">IFERROR(O489/G489*100,0)</f>
        <v>2.8985507246376812</v>
      </c>
      <c r="Q489" s="143">
        <f t="array" ref="Q489">INDEX('[21]DETEKSI ROT 2 (2)'!$I$343:$I$622,MATCH(1,('[21]DETEKSI ROT 2 (2)'!$D$343:$D$622=$D489)*('[21]DETEKSI ROT 2 (2)'!$D$343:$D$622=$D489),0))</f>
        <v>5</v>
      </c>
      <c r="R489" s="9">
        <f t="shared" si="70"/>
        <v>4.5454545454545459</v>
      </c>
      <c r="S489" s="8" t="str">
        <f t="array" ref="S489">IF(R489&gt;5,"Perlu Sensus",IF(AND(R489&gt;=0,O489&gt;0),"Tetap Deteksi","Belum Deteksi"))</f>
        <v>Tetap Deteksi</v>
      </c>
      <c r="T489" s="203"/>
      <c r="U489" s="9">
        <f t="shared" si="71"/>
        <v>0</v>
      </c>
      <c r="V489" s="132">
        <v>46249</v>
      </c>
      <c r="W489" s="143">
        <f t="array" ref="W489">INDEX('[21]DETEKSI ROT 2 (2)'!$L$343:$L$622,MATCH(1,('[21]DETEKSI ROT 2 (2)'!$D$343:$D$622=$D489)*('[21]DETEKSI ROT 2 (2)'!$D$343:$D$622=$D489),0))</f>
        <v>59</v>
      </c>
      <c r="X489" s="143">
        <f t="array" ref="X489">INDEX('[21]DETEKSI ROT 2 (2)'!$M$343:$M$622,MATCH(1,('[21]DETEKSI ROT 2 (2)'!$D$343:$D$622=$D489)*('[21]DETEKSI ROT 2 (2)'!$D$343:$D$622=$D489),0))</f>
        <v>1</v>
      </c>
      <c r="Y489" s="9">
        <f t="shared" si="69"/>
        <v>1.6949152542372881</v>
      </c>
      <c r="Z489" s="8" t="str">
        <f t="array" ref="Z489">IF(Y489&gt;5,"Perlu Sensus",IF(AND(Y489&gt;0,,O489&gt;0),"Tetap Deteksi","Belum Deteksi"))</f>
        <v>Belum Deteksi</v>
      </c>
      <c r="AA489" s="203"/>
      <c r="AB489" s="9">
        <f t="shared" si="72"/>
        <v>0</v>
      </c>
    </row>
    <row r="490" spans="1:28" x14ac:dyDescent="0.15">
      <c r="A490" s="8" t="s">
        <v>322</v>
      </c>
      <c r="B490" s="8" t="s">
        <v>107</v>
      </c>
      <c r="C490" s="8" t="s">
        <v>487</v>
      </c>
      <c r="D490" s="8" t="s">
        <v>518</v>
      </c>
      <c r="E490" s="9">
        <v>23.65</v>
      </c>
      <c r="F490" s="8" t="s">
        <v>325</v>
      </c>
      <c r="G490" s="10">
        <v>3566</v>
      </c>
      <c r="H490" s="132">
        <f t="shared" si="64"/>
        <v>46249</v>
      </c>
      <c r="I490" s="140">
        <f t="shared" si="65"/>
        <v>156</v>
      </c>
      <c r="J490" s="9">
        <f t="shared" si="66"/>
        <v>4.374649467190129</v>
      </c>
      <c r="K490" s="140">
        <f t="shared" si="67"/>
        <v>7</v>
      </c>
      <c r="L490" s="206">
        <f t="shared" si="68"/>
        <v>4.4871794871794872</v>
      </c>
      <c r="M490" s="8" t="str">
        <f t="array" ref="M490">IF(L490&gt;5,"Perlu Sensus",IF(AND(L490&gt;=0,I490&gt;0),"Tetap Deteksi","Belum Deteksi"))</f>
        <v>Tetap Deteksi</v>
      </c>
      <c r="N490" s="132">
        <v>46249</v>
      </c>
      <c r="O490" s="143">
        <f t="array" ref="O490">INDEX('[21]DETEKSI ROT 2 (2)'!$G$343:$G$622,MATCH(1,('[21]DETEKSI ROT 2 (2)'!$D$343:$D$622=$D490)*('[21]DETEKSI ROT 2 (2)'!$D$343:$D$622=$D490),0))</f>
        <v>156</v>
      </c>
      <c r="P490" s="9">
        <f t="array" ref="P490">IFERROR(O490/G490*100,0)</f>
        <v>4.374649467190129</v>
      </c>
      <c r="Q490" s="143">
        <f t="array" ref="Q490">INDEX('[21]DETEKSI ROT 2 (2)'!$I$343:$I$622,MATCH(1,('[21]DETEKSI ROT 2 (2)'!$D$343:$D$622=$D490)*('[21]DETEKSI ROT 2 (2)'!$D$343:$D$622=$D490),0))</f>
        <v>7</v>
      </c>
      <c r="R490" s="9">
        <f t="shared" si="70"/>
        <v>4.4871794871794872</v>
      </c>
      <c r="S490" s="8" t="str">
        <f t="array" ref="S490">IF(R490&gt;5,"Perlu Sensus",IF(AND(R490&gt;=0,O490&gt;0),"Tetap Deteksi","Belum Deteksi"))</f>
        <v>Tetap Deteksi</v>
      </c>
      <c r="T490" s="203"/>
      <c r="U490" s="9">
        <f t="shared" si="71"/>
        <v>0</v>
      </c>
      <c r="V490" s="132">
        <v>46249</v>
      </c>
      <c r="W490" s="143">
        <f t="array" ref="W490">INDEX('[21]DETEKSI ROT 2 (2)'!$L$343:$L$622,MATCH(1,('[21]DETEKSI ROT 2 (2)'!$D$343:$D$622=$D490)*('[21]DETEKSI ROT 2 (2)'!$D$343:$D$622=$D490),0))</f>
        <v>121</v>
      </c>
      <c r="X490" s="143">
        <f t="array" ref="X490">INDEX('[21]DETEKSI ROT 2 (2)'!$M$343:$M$622,MATCH(1,('[21]DETEKSI ROT 2 (2)'!$D$343:$D$622=$D490)*('[21]DETEKSI ROT 2 (2)'!$D$343:$D$622=$D490),0))</f>
        <v>5</v>
      </c>
      <c r="Y490" s="9">
        <f t="shared" si="69"/>
        <v>4.1322314049586781</v>
      </c>
      <c r="Z490" s="8" t="str">
        <f t="array" ref="Z490">IF(Y490&gt;5,"Perlu Sensus",IF(AND(Y490&gt;0,,O490&gt;0),"Tetap Deteksi","Belum Deteksi"))</f>
        <v>Belum Deteksi</v>
      </c>
      <c r="AA490" s="203"/>
      <c r="AB490" s="9">
        <f t="shared" si="72"/>
        <v>0</v>
      </c>
    </row>
    <row r="491" spans="1:28" x14ac:dyDescent="0.15">
      <c r="A491" s="8" t="s">
        <v>322</v>
      </c>
      <c r="B491" s="8" t="s">
        <v>107</v>
      </c>
      <c r="C491" s="8" t="s">
        <v>487</v>
      </c>
      <c r="D491" s="8" t="s">
        <v>519</v>
      </c>
      <c r="E491" s="9">
        <v>25.36</v>
      </c>
      <c r="F491" s="8" t="s">
        <v>325</v>
      </c>
      <c r="G491" s="10">
        <v>3762</v>
      </c>
      <c r="H491" s="132">
        <f t="shared" si="64"/>
        <v>46249</v>
      </c>
      <c r="I491" s="140">
        <f t="shared" si="65"/>
        <v>126</v>
      </c>
      <c r="J491" s="9">
        <f t="shared" si="66"/>
        <v>3.3492822966507179</v>
      </c>
      <c r="K491" s="140">
        <f t="shared" si="67"/>
        <v>5</v>
      </c>
      <c r="L491" s="206">
        <f t="shared" si="68"/>
        <v>3.9682539682539679</v>
      </c>
      <c r="M491" s="8" t="str">
        <f t="array" ref="M491">IF(L491&gt;5,"Perlu Sensus",IF(AND(L491&gt;=0,I491&gt;0),"Tetap Deteksi","Belum Deteksi"))</f>
        <v>Tetap Deteksi</v>
      </c>
      <c r="N491" s="132">
        <v>46249</v>
      </c>
      <c r="O491" s="143">
        <f t="array" ref="O491">INDEX('[21]DETEKSI ROT 2 (2)'!$G$343:$G$622,MATCH(1,('[21]DETEKSI ROT 2 (2)'!$D$343:$D$622=$D491)*('[21]DETEKSI ROT 2 (2)'!$D$343:$D$622=$D491),0))</f>
        <v>126</v>
      </c>
      <c r="P491" s="9">
        <f t="array" ref="P491">IFERROR(O491/G491*100,0)</f>
        <v>3.3492822966507179</v>
      </c>
      <c r="Q491" s="143">
        <f t="array" ref="Q491">INDEX('[21]DETEKSI ROT 2 (2)'!$I$343:$I$622,MATCH(1,('[21]DETEKSI ROT 2 (2)'!$D$343:$D$622=$D491)*('[21]DETEKSI ROT 2 (2)'!$D$343:$D$622=$D491),0))</f>
        <v>5</v>
      </c>
      <c r="R491" s="9">
        <f t="shared" si="70"/>
        <v>3.9682539682539679</v>
      </c>
      <c r="S491" s="8" t="str">
        <f t="array" ref="S491">IF(R491&gt;5,"Perlu Sensus",IF(AND(R491&gt;=0,O491&gt;0),"Tetap Deteksi","Belum Deteksi"))</f>
        <v>Tetap Deteksi</v>
      </c>
      <c r="T491" s="203"/>
      <c r="U491" s="9">
        <f t="shared" si="71"/>
        <v>0</v>
      </c>
      <c r="V491" s="132">
        <v>46249</v>
      </c>
      <c r="W491" s="143">
        <f t="array" ref="W491">INDEX('[21]DETEKSI ROT 2 (2)'!$L$343:$L$622,MATCH(1,('[21]DETEKSI ROT 2 (2)'!$D$343:$D$622=$D491)*('[21]DETEKSI ROT 2 (2)'!$D$343:$D$622=$D491),0))</f>
        <v>50</v>
      </c>
      <c r="X491" s="143">
        <f t="array" ref="X491">INDEX('[21]DETEKSI ROT 2 (2)'!$M$343:$M$622,MATCH(1,('[21]DETEKSI ROT 2 (2)'!$D$343:$D$622=$D491)*('[21]DETEKSI ROT 2 (2)'!$D$343:$D$622=$D491),0))</f>
        <v>1</v>
      </c>
      <c r="Y491" s="9">
        <f t="shared" si="69"/>
        <v>2</v>
      </c>
      <c r="Z491" s="8" t="str">
        <f t="array" ref="Z491">IF(Y491&gt;5,"Perlu Sensus",IF(AND(Y491&gt;0,,O491&gt;0),"Tetap Deteksi","Belum Deteksi"))</f>
        <v>Belum Deteksi</v>
      </c>
      <c r="AA491" s="203"/>
      <c r="AB491" s="9">
        <f t="shared" si="72"/>
        <v>0</v>
      </c>
    </row>
    <row r="492" spans="1:28" x14ac:dyDescent="0.15">
      <c r="A492" s="8" t="s">
        <v>322</v>
      </c>
      <c r="B492" s="8" t="s">
        <v>107</v>
      </c>
      <c r="C492" s="8" t="s">
        <v>487</v>
      </c>
      <c r="D492" s="8" t="s">
        <v>520</v>
      </c>
      <c r="E492" s="9">
        <v>24.12</v>
      </c>
      <c r="F492" s="8" t="s">
        <v>325</v>
      </c>
      <c r="G492" s="10">
        <v>3581</v>
      </c>
      <c r="H492" s="132">
        <f t="shared" si="64"/>
        <v>46249</v>
      </c>
      <c r="I492" s="140">
        <f t="shared" si="65"/>
        <v>99</v>
      </c>
      <c r="J492" s="9">
        <f t="shared" si="66"/>
        <v>2.764590896397654</v>
      </c>
      <c r="K492" s="140">
        <f t="shared" si="67"/>
        <v>3</v>
      </c>
      <c r="L492" s="206">
        <f t="shared" si="68"/>
        <v>3.0303030303030303</v>
      </c>
      <c r="M492" s="8" t="str">
        <f t="array" ref="M492">IF(L492&gt;5,"Perlu Sensus",IF(AND(L492&gt;=0,I492&gt;0),"Tetap Deteksi","Belum Deteksi"))</f>
        <v>Tetap Deteksi</v>
      </c>
      <c r="N492" s="132">
        <v>46249</v>
      </c>
      <c r="O492" s="143">
        <f t="array" ref="O492">INDEX('[21]DETEKSI ROT 2 (2)'!$G$343:$G$622,MATCH(1,('[21]DETEKSI ROT 2 (2)'!$D$343:$D$622=$D492)*('[21]DETEKSI ROT 2 (2)'!$D$343:$D$622=$D492),0))</f>
        <v>99</v>
      </c>
      <c r="P492" s="9">
        <f t="array" ref="P492">IFERROR(O492/G492*100,0)</f>
        <v>2.764590896397654</v>
      </c>
      <c r="Q492" s="143">
        <f t="array" ref="Q492">INDEX('[21]DETEKSI ROT 2 (2)'!$I$343:$I$622,MATCH(1,('[21]DETEKSI ROT 2 (2)'!$D$343:$D$622=$D492)*('[21]DETEKSI ROT 2 (2)'!$D$343:$D$622=$D492),0))</f>
        <v>3</v>
      </c>
      <c r="R492" s="9">
        <f t="shared" si="70"/>
        <v>3.0303030303030303</v>
      </c>
      <c r="S492" s="8" t="str">
        <f t="array" ref="S492">IF(R492&gt;5,"Perlu Sensus",IF(AND(R492&gt;=0,O492&gt;0),"Tetap Deteksi","Belum Deteksi"))</f>
        <v>Tetap Deteksi</v>
      </c>
      <c r="T492" s="203"/>
      <c r="U492" s="9">
        <f t="shared" si="71"/>
        <v>0</v>
      </c>
      <c r="V492" s="132">
        <v>46249</v>
      </c>
      <c r="W492" s="143">
        <f t="array" ref="W492">INDEX('[21]DETEKSI ROT 2 (2)'!$L$343:$L$622,MATCH(1,('[21]DETEKSI ROT 2 (2)'!$D$343:$D$622=$D492)*('[21]DETEKSI ROT 2 (2)'!$D$343:$D$622=$D492),0))</f>
        <v>45</v>
      </c>
      <c r="X492" s="143">
        <f t="array" ref="X492">INDEX('[21]DETEKSI ROT 2 (2)'!$M$343:$M$622,MATCH(1,('[21]DETEKSI ROT 2 (2)'!$D$343:$D$622=$D492)*('[21]DETEKSI ROT 2 (2)'!$D$343:$D$622=$D492),0))</f>
        <v>2</v>
      </c>
      <c r="Y492" s="9">
        <f t="shared" si="69"/>
        <v>4.4444444444444446</v>
      </c>
      <c r="Z492" s="8" t="str">
        <f t="array" ref="Z492">IF(Y492&gt;5,"Perlu Sensus",IF(AND(Y492&gt;0,,O492&gt;0),"Tetap Deteksi","Belum Deteksi"))</f>
        <v>Belum Deteksi</v>
      </c>
      <c r="AA492" s="203"/>
      <c r="AB492" s="9">
        <f t="shared" si="72"/>
        <v>0</v>
      </c>
    </row>
    <row r="493" spans="1:28" x14ac:dyDescent="0.15">
      <c r="A493" s="8" t="s">
        <v>322</v>
      </c>
      <c r="B493" s="8" t="s">
        <v>107</v>
      </c>
      <c r="C493" s="8" t="s">
        <v>521</v>
      </c>
      <c r="D493" s="8" t="s">
        <v>522</v>
      </c>
      <c r="E493" s="9">
        <v>37.380000000000003</v>
      </c>
      <c r="F493" s="8" t="s">
        <v>16</v>
      </c>
      <c r="G493" s="10">
        <v>5957</v>
      </c>
      <c r="H493" s="132">
        <f t="shared" si="64"/>
        <v>46249</v>
      </c>
      <c r="I493" s="140">
        <f t="shared" si="65"/>
        <v>62</v>
      </c>
      <c r="J493" s="9">
        <f t="shared" si="66"/>
        <v>1.0407923451401713</v>
      </c>
      <c r="K493" s="140">
        <f t="shared" si="67"/>
        <v>6</v>
      </c>
      <c r="L493" s="206">
        <f t="shared" si="68"/>
        <v>9.67741935483871</v>
      </c>
      <c r="M493" s="8" t="str">
        <f t="array" ref="M493">IF(L493&gt;5,"Perlu Sensus",IF(AND(L493&gt;=0,I493&gt;0),"Tetap Deteksi","Belum Deteksi"))</f>
        <v>Perlu Sensus</v>
      </c>
      <c r="N493" s="132">
        <v>46249</v>
      </c>
      <c r="O493" s="143">
        <f t="array" ref="O493">INDEX('[21]DETEKSI ROT 2 (2)'!$G$343:$G$622,MATCH(1,('[21]DETEKSI ROT 2 (2)'!$D$343:$D$622=$D493)*('[21]DETEKSI ROT 2 (2)'!$D$343:$D$622=$D493),0))</f>
        <v>62</v>
      </c>
      <c r="P493" s="9">
        <f t="array" ref="P493">IFERROR(O493/G493*100,0)</f>
        <v>1.0407923451401713</v>
      </c>
      <c r="Q493" s="143">
        <f t="array" ref="Q493">INDEX('[21]DETEKSI ROT 2 (2)'!$I$343:$I$622,MATCH(1,('[21]DETEKSI ROT 2 (2)'!$D$343:$D$622=$D493)*('[21]DETEKSI ROT 2 (2)'!$D$343:$D$622=$D493),0))</f>
        <v>6</v>
      </c>
      <c r="R493" s="9">
        <f t="shared" si="70"/>
        <v>9.67741935483871</v>
      </c>
      <c r="S493" s="8" t="str">
        <f t="array" ref="S493">IF(R493&gt;5,"Perlu Sensus",IF(AND(R493&gt;=0,O493&gt;0),"Tetap Deteksi","Belum Deteksi"))</f>
        <v>Perlu Sensus</v>
      </c>
      <c r="T493" s="203"/>
      <c r="U493" s="9">
        <f t="shared" si="71"/>
        <v>0</v>
      </c>
      <c r="V493" s="132">
        <v>46249</v>
      </c>
      <c r="W493" s="143">
        <f t="array" ref="W493">INDEX('[21]DETEKSI ROT 2 (2)'!$L$343:$L$622,MATCH(1,('[21]DETEKSI ROT 2 (2)'!$D$343:$D$622=$D493)*('[21]DETEKSI ROT 2 (2)'!$D$343:$D$622=$D493),0))</f>
        <v>92</v>
      </c>
      <c r="X493" s="143">
        <f t="array" ref="X493">INDEX('[21]DETEKSI ROT 2 (2)'!$M$343:$M$622,MATCH(1,('[21]DETEKSI ROT 2 (2)'!$D$343:$D$622=$D493)*('[21]DETEKSI ROT 2 (2)'!$D$343:$D$622=$D493),0))</f>
        <v>5</v>
      </c>
      <c r="Y493" s="9">
        <f t="shared" si="69"/>
        <v>5.4347826086956523</v>
      </c>
      <c r="Z493" s="8" t="str">
        <f t="array" ref="Z493">IF(Y493&gt;5,"Perlu Sensus",IF(AND(Y493&gt;0,,O493&gt;0),"Tetap Deteksi","Belum Deteksi"))</f>
        <v>Perlu Sensus</v>
      </c>
      <c r="AA493" s="203"/>
      <c r="AB493" s="9">
        <f t="shared" si="72"/>
        <v>0</v>
      </c>
    </row>
    <row r="494" spans="1:28" x14ac:dyDescent="0.15">
      <c r="A494" s="8" t="s">
        <v>322</v>
      </c>
      <c r="B494" s="8" t="s">
        <v>107</v>
      </c>
      <c r="C494" s="8" t="s">
        <v>521</v>
      </c>
      <c r="D494" s="8" t="s">
        <v>523</v>
      </c>
      <c r="E494" s="9">
        <v>44.8</v>
      </c>
      <c r="F494" s="8" t="s">
        <v>16</v>
      </c>
      <c r="G494" s="10">
        <v>7203</v>
      </c>
      <c r="H494" s="132">
        <f t="shared" si="64"/>
        <v>46249</v>
      </c>
      <c r="I494" s="140">
        <f t="shared" si="65"/>
        <v>43</v>
      </c>
      <c r="J494" s="9">
        <f t="shared" si="66"/>
        <v>0.59697348327085942</v>
      </c>
      <c r="K494" s="140">
        <f t="shared" si="67"/>
        <v>3</v>
      </c>
      <c r="L494" s="206">
        <f t="shared" si="68"/>
        <v>6.9767441860465116</v>
      </c>
      <c r="M494" s="8" t="str">
        <f t="array" ref="M494">IF(L494&gt;5,"Perlu Sensus",IF(AND(L494&gt;=0,I494&gt;0),"Tetap Deteksi","Belum Deteksi"))</f>
        <v>Perlu Sensus</v>
      </c>
      <c r="N494" s="132">
        <v>46249</v>
      </c>
      <c r="O494" s="143">
        <f t="array" ref="O494">INDEX('[21]DETEKSI ROT 2 (2)'!$G$343:$G$622,MATCH(1,('[21]DETEKSI ROT 2 (2)'!$D$343:$D$622=$D494)*('[21]DETEKSI ROT 2 (2)'!$D$343:$D$622=$D494),0))</f>
        <v>43</v>
      </c>
      <c r="P494" s="9">
        <f t="array" ref="P494">IFERROR(O494/G494*100,0)</f>
        <v>0.59697348327085942</v>
      </c>
      <c r="Q494" s="143">
        <f t="array" ref="Q494">INDEX('[21]DETEKSI ROT 2 (2)'!$I$343:$I$622,MATCH(1,('[21]DETEKSI ROT 2 (2)'!$D$343:$D$622=$D494)*('[21]DETEKSI ROT 2 (2)'!$D$343:$D$622=$D494),0))</f>
        <v>3</v>
      </c>
      <c r="R494" s="9">
        <f t="shared" si="70"/>
        <v>6.9767441860465116</v>
      </c>
      <c r="S494" s="8" t="str">
        <f t="array" ref="S494">IF(R494&gt;5,"Perlu Sensus",IF(AND(R494&gt;=0,O494&gt;0),"Tetap Deteksi","Belum Deteksi"))</f>
        <v>Perlu Sensus</v>
      </c>
      <c r="T494" s="203"/>
      <c r="U494" s="9">
        <f t="shared" si="71"/>
        <v>0</v>
      </c>
      <c r="V494" s="132">
        <v>46249</v>
      </c>
      <c r="W494" s="143">
        <f t="array" ref="W494">INDEX('[21]DETEKSI ROT 2 (2)'!$L$343:$L$622,MATCH(1,('[21]DETEKSI ROT 2 (2)'!$D$343:$D$622=$D494)*('[21]DETEKSI ROT 2 (2)'!$D$343:$D$622=$D494),0))</f>
        <v>56</v>
      </c>
      <c r="X494" s="143">
        <f t="array" ref="X494">INDEX('[21]DETEKSI ROT 2 (2)'!$M$343:$M$622,MATCH(1,('[21]DETEKSI ROT 2 (2)'!$D$343:$D$622=$D494)*('[21]DETEKSI ROT 2 (2)'!$D$343:$D$622=$D494),0))</f>
        <v>4</v>
      </c>
      <c r="Y494" s="9">
        <f t="shared" si="69"/>
        <v>7.1428571428571423</v>
      </c>
      <c r="Z494" s="8" t="str">
        <f t="array" ref="Z494">IF(Y494&gt;5,"Perlu Sensus",IF(AND(Y494&gt;0,,O494&gt;0),"Tetap Deteksi","Belum Deteksi"))</f>
        <v>Perlu Sensus</v>
      </c>
      <c r="AA494" s="203"/>
      <c r="AB494" s="9">
        <f t="shared" si="72"/>
        <v>0</v>
      </c>
    </row>
    <row r="495" spans="1:28" x14ac:dyDescent="0.15">
      <c r="A495" s="8" t="s">
        <v>322</v>
      </c>
      <c r="B495" s="8" t="s">
        <v>107</v>
      </c>
      <c r="C495" s="8" t="s">
        <v>521</v>
      </c>
      <c r="D495" s="8" t="s">
        <v>524</v>
      </c>
      <c r="E495" s="9">
        <v>25.22</v>
      </c>
      <c r="F495" s="8" t="s">
        <v>16</v>
      </c>
      <c r="G495" s="10">
        <v>3722</v>
      </c>
      <c r="H495" s="132">
        <f t="shared" si="64"/>
        <v>46249</v>
      </c>
      <c r="I495" s="140">
        <f t="shared" si="65"/>
        <v>53</v>
      </c>
      <c r="J495" s="9">
        <f t="shared" si="66"/>
        <v>1.4239656098871574</v>
      </c>
      <c r="K495" s="140">
        <f t="shared" si="67"/>
        <v>2</v>
      </c>
      <c r="L495" s="206">
        <f t="shared" si="68"/>
        <v>3.7735849056603774</v>
      </c>
      <c r="M495" s="8" t="str">
        <f t="array" ref="M495">IF(L495&gt;5,"Perlu Sensus",IF(AND(L495&gt;=0,I495&gt;0),"Tetap Deteksi","Belum Deteksi"))</f>
        <v>Tetap Deteksi</v>
      </c>
      <c r="N495" s="132">
        <v>46249</v>
      </c>
      <c r="O495" s="143">
        <f t="array" ref="O495">INDEX('[21]DETEKSI ROT 2 (2)'!$G$343:$G$622,MATCH(1,('[21]DETEKSI ROT 2 (2)'!$D$343:$D$622=$D495)*('[21]DETEKSI ROT 2 (2)'!$D$343:$D$622=$D495),0))</f>
        <v>53</v>
      </c>
      <c r="P495" s="9">
        <f t="array" ref="P495">IFERROR(O495/G495*100,0)</f>
        <v>1.4239656098871574</v>
      </c>
      <c r="Q495" s="143">
        <f t="array" ref="Q495">INDEX('[21]DETEKSI ROT 2 (2)'!$I$343:$I$622,MATCH(1,('[21]DETEKSI ROT 2 (2)'!$D$343:$D$622=$D495)*('[21]DETEKSI ROT 2 (2)'!$D$343:$D$622=$D495),0))</f>
        <v>2</v>
      </c>
      <c r="R495" s="9">
        <f t="shared" si="70"/>
        <v>3.7735849056603774</v>
      </c>
      <c r="S495" s="8" t="str">
        <f t="array" ref="S495">IF(R495&gt;5,"Perlu Sensus",IF(AND(R495&gt;=0,O495&gt;0),"Tetap Deteksi","Belum Deteksi"))</f>
        <v>Tetap Deteksi</v>
      </c>
      <c r="T495" s="203"/>
      <c r="U495" s="9">
        <f t="shared" si="71"/>
        <v>0</v>
      </c>
      <c r="V495" s="132">
        <v>46249</v>
      </c>
      <c r="W495" s="143">
        <f t="array" ref="W495">INDEX('[21]DETEKSI ROT 2 (2)'!$L$343:$L$622,MATCH(1,('[21]DETEKSI ROT 2 (2)'!$D$343:$D$622=$D495)*('[21]DETEKSI ROT 2 (2)'!$D$343:$D$622=$D495),0))</f>
        <v>44</v>
      </c>
      <c r="X495" s="143">
        <f t="array" ref="X495">INDEX('[21]DETEKSI ROT 2 (2)'!$M$343:$M$622,MATCH(1,('[21]DETEKSI ROT 2 (2)'!$D$343:$D$622=$D495)*('[21]DETEKSI ROT 2 (2)'!$D$343:$D$622=$D495),0))</f>
        <v>3</v>
      </c>
      <c r="Y495" s="9">
        <f t="shared" si="69"/>
        <v>6.8181818181818175</v>
      </c>
      <c r="Z495" s="8" t="str">
        <f t="array" ref="Z495">IF(Y495&gt;5,"Perlu Sensus",IF(AND(Y495&gt;0,,O495&gt;0),"Tetap Deteksi","Belum Deteksi"))</f>
        <v>Perlu Sensus</v>
      </c>
      <c r="AA495" s="203"/>
      <c r="AB495" s="9">
        <f t="shared" si="72"/>
        <v>0</v>
      </c>
    </row>
    <row r="496" spans="1:28" x14ac:dyDescent="0.15">
      <c r="A496" s="8" t="s">
        <v>322</v>
      </c>
      <c r="B496" s="8" t="s">
        <v>107</v>
      </c>
      <c r="C496" s="8" t="s">
        <v>521</v>
      </c>
      <c r="D496" s="8" t="s">
        <v>525</v>
      </c>
      <c r="E496" s="9">
        <v>24.74</v>
      </c>
      <c r="F496" s="8" t="s">
        <v>16</v>
      </c>
      <c r="G496" s="10">
        <v>3520</v>
      </c>
      <c r="H496" s="132">
        <f t="shared" si="64"/>
        <v>46249</v>
      </c>
      <c r="I496" s="140">
        <f t="shared" si="65"/>
        <v>33</v>
      </c>
      <c r="J496" s="9">
        <f t="shared" si="66"/>
        <v>0.9375</v>
      </c>
      <c r="K496" s="140">
        <f t="shared" si="67"/>
        <v>1</v>
      </c>
      <c r="L496" s="206">
        <f t="shared" si="68"/>
        <v>3.0303030303030303</v>
      </c>
      <c r="M496" s="8" t="str">
        <f t="array" ref="M496">IF(L496&gt;5,"Perlu Sensus",IF(AND(L496&gt;=0,I496&gt;0),"Tetap Deteksi","Belum Deteksi"))</f>
        <v>Tetap Deteksi</v>
      </c>
      <c r="N496" s="132">
        <v>46249</v>
      </c>
      <c r="O496" s="143">
        <f t="array" ref="O496">INDEX('[21]DETEKSI ROT 2 (2)'!$G$343:$G$622,MATCH(1,('[21]DETEKSI ROT 2 (2)'!$D$343:$D$622=$D496)*('[21]DETEKSI ROT 2 (2)'!$D$343:$D$622=$D496),0))</f>
        <v>33</v>
      </c>
      <c r="P496" s="9">
        <f t="array" ref="P496">IFERROR(O496/G496*100,0)</f>
        <v>0.9375</v>
      </c>
      <c r="Q496" s="143">
        <f t="array" ref="Q496">INDEX('[21]DETEKSI ROT 2 (2)'!$I$343:$I$622,MATCH(1,('[21]DETEKSI ROT 2 (2)'!$D$343:$D$622=$D496)*('[21]DETEKSI ROT 2 (2)'!$D$343:$D$622=$D496),0))</f>
        <v>1</v>
      </c>
      <c r="R496" s="9">
        <f t="shared" si="70"/>
        <v>3.0303030303030303</v>
      </c>
      <c r="S496" s="8" t="str">
        <f t="array" ref="S496">IF(R496&gt;5,"Perlu Sensus",IF(AND(R496&gt;=0,O496&gt;0),"Tetap Deteksi","Belum Deteksi"))</f>
        <v>Tetap Deteksi</v>
      </c>
      <c r="T496" s="203"/>
      <c r="U496" s="9">
        <f t="shared" si="71"/>
        <v>0</v>
      </c>
      <c r="V496" s="132">
        <v>46249</v>
      </c>
      <c r="W496" s="143">
        <f t="array" ref="W496">INDEX('[21]DETEKSI ROT 2 (2)'!$L$343:$L$622,MATCH(1,('[21]DETEKSI ROT 2 (2)'!$D$343:$D$622=$D496)*('[21]DETEKSI ROT 2 (2)'!$D$343:$D$622=$D496),0))</f>
        <v>22</v>
      </c>
      <c r="X496" s="143">
        <f t="array" ref="X496">INDEX('[21]DETEKSI ROT 2 (2)'!$M$343:$M$622,MATCH(1,('[21]DETEKSI ROT 2 (2)'!$D$343:$D$622=$D496)*('[21]DETEKSI ROT 2 (2)'!$D$343:$D$622=$D496),0))</f>
        <v>1</v>
      </c>
      <c r="Y496" s="9">
        <f t="shared" si="69"/>
        <v>4.5454545454545459</v>
      </c>
      <c r="Z496" s="8" t="str">
        <f t="array" ref="Z496">IF(Y496&gt;5,"Perlu Sensus",IF(AND(Y496&gt;0,,O496&gt;0),"Tetap Deteksi","Belum Deteksi"))</f>
        <v>Belum Deteksi</v>
      </c>
      <c r="AA496" s="203"/>
      <c r="AB496" s="9">
        <f t="shared" si="72"/>
        <v>0</v>
      </c>
    </row>
    <row r="497" spans="1:28" x14ac:dyDescent="0.15">
      <c r="A497" s="8" t="s">
        <v>322</v>
      </c>
      <c r="B497" s="8" t="s">
        <v>107</v>
      </c>
      <c r="C497" s="8" t="s">
        <v>521</v>
      </c>
      <c r="D497" s="8" t="s">
        <v>526</v>
      </c>
      <c r="E497" s="9">
        <v>24.73</v>
      </c>
      <c r="F497" s="8" t="s">
        <v>16</v>
      </c>
      <c r="G497" s="10">
        <v>3577</v>
      </c>
      <c r="H497" s="132">
        <f t="shared" si="64"/>
        <v>46249</v>
      </c>
      <c r="I497" s="140">
        <f t="shared" si="65"/>
        <v>56</v>
      </c>
      <c r="J497" s="9">
        <f t="shared" si="66"/>
        <v>1.5655577299412915</v>
      </c>
      <c r="K497" s="140">
        <f t="shared" si="67"/>
        <v>1</v>
      </c>
      <c r="L497" s="206">
        <f t="shared" si="68"/>
        <v>1.7857142857142856</v>
      </c>
      <c r="M497" s="8" t="str">
        <f t="array" ref="M497">IF(L497&gt;5,"Perlu Sensus",IF(AND(L497&gt;=0,I497&gt;0),"Tetap Deteksi","Belum Deteksi"))</f>
        <v>Tetap Deteksi</v>
      </c>
      <c r="N497" s="132">
        <v>46249</v>
      </c>
      <c r="O497" s="143">
        <f t="array" ref="O497">INDEX('[21]DETEKSI ROT 2 (2)'!$G$343:$G$622,MATCH(1,('[21]DETEKSI ROT 2 (2)'!$D$343:$D$622=$D497)*('[21]DETEKSI ROT 2 (2)'!$D$343:$D$622=$D497),0))</f>
        <v>56</v>
      </c>
      <c r="P497" s="9">
        <f t="array" ref="P497">IFERROR(O497/G497*100,0)</f>
        <v>1.5655577299412915</v>
      </c>
      <c r="Q497" s="143">
        <f t="array" ref="Q497">INDEX('[21]DETEKSI ROT 2 (2)'!$I$343:$I$622,MATCH(1,('[21]DETEKSI ROT 2 (2)'!$D$343:$D$622=$D497)*('[21]DETEKSI ROT 2 (2)'!$D$343:$D$622=$D497),0))</f>
        <v>1</v>
      </c>
      <c r="R497" s="9">
        <f t="shared" si="70"/>
        <v>1.7857142857142856</v>
      </c>
      <c r="S497" s="8" t="str">
        <f t="array" ref="S497">IF(R497&gt;5,"Perlu Sensus",IF(AND(R497&gt;=0,O497&gt;0),"Tetap Deteksi","Belum Deteksi"))</f>
        <v>Tetap Deteksi</v>
      </c>
      <c r="T497" s="203"/>
      <c r="U497" s="9">
        <f t="shared" si="71"/>
        <v>0</v>
      </c>
      <c r="V497" s="132">
        <v>46249</v>
      </c>
      <c r="W497" s="143">
        <f t="array" ref="W497">INDEX('[21]DETEKSI ROT 2 (2)'!$L$343:$L$622,MATCH(1,('[21]DETEKSI ROT 2 (2)'!$D$343:$D$622=$D497)*('[21]DETEKSI ROT 2 (2)'!$D$343:$D$622=$D497),0))</f>
        <v>90</v>
      </c>
      <c r="X497" s="143">
        <f t="array" ref="X497">INDEX('[21]DETEKSI ROT 2 (2)'!$M$343:$M$622,MATCH(1,('[21]DETEKSI ROT 2 (2)'!$D$343:$D$622=$D497)*('[21]DETEKSI ROT 2 (2)'!$D$343:$D$622=$D497),0))</f>
        <v>2</v>
      </c>
      <c r="Y497" s="9">
        <f t="shared" si="69"/>
        <v>2.2222222222222223</v>
      </c>
      <c r="Z497" s="8" t="str">
        <f t="array" ref="Z497">IF(Y497&gt;5,"Perlu Sensus",IF(AND(Y497&gt;0,,O497&gt;0),"Tetap Deteksi","Belum Deteksi"))</f>
        <v>Belum Deteksi</v>
      </c>
      <c r="AA497" s="203"/>
      <c r="AB497" s="9">
        <f t="shared" si="72"/>
        <v>0</v>
      </c>
    </row>
    <row r="498" spans="1:28" x14ac:dyDescent="0.15">
      <c r="A498" s="8" t="s">
        <v>322</v>
      </c>
      <c r="B498" s="8" t="s">
        <v>107</v>
      </c>
      <c r="C498" s="8" t="s">
        <v>521</v>
      </c>
      <c r="D498" s="8" t="s">
        <v>527</v>
      </c>
      <c r="E498" s="9">
        <v>24.38</v>
      </c>
      <c r="F498" s="8" t="s">
        <v>16</v>
      </c>
      <c r="G498" s="10">
        <v>3432</v>
      </c>
      <c r="H498" s="132">
        <f t="shared" si="64"/>
        <v>46249</v>
      </c>
      <c r="I498" s="140">
        <f t="shared" si="65"/>
        <v>39</v>
      </c>
      <c r="J498" s="9">
        <f t="shared" si="66"/>
        <v>1.1363636363636365</v>
      </c>
      <c r="K498" s="140">
        <f t="shared" si="67"/>
        <v>1</v>
      </c>
      <c r="L498" s="206">
        <f t="shared" si="68"/>
        <v>2.5641025641025639</v>
      </c>
      <c r="M498" s="8" t="str">
        <f t="array" ref="M498">IF(L498&gt;5,"Perlu Sensus",IF(AND(L498&gt;=0,I498&gt;0),"Tetap Deteksi","Belum Deteksi"))</f>
        <v>Tetap Deteksi</v>
      </c>
      <c r="N498" s="132">
        <v>46249</v>
      </c>
      <c r="O498" s="143">
        <f t="array" ref="O498">INDEX('[21]DETEKSI ROT 2 (2)'!$G$343:$G$622,MATCH(1,('[21]DETEKSI ROT 2 (2)'!$D$343:$D$622=$D498)*('[21]DETEKSI ROT 2 (2)'!$D$343:$D$622=$D498),0))</f>
        <v>39</v>
      </c>
      <c r="P498" s="9">
        <f t="array" ref="P498">IFERROR(O498/G498*100,0)</f>
        <v>1.1363636363636365</v>
      </c>
      <c r="Q498" s="143">
        <f t="array" ref="Q498">INDEX('[21]DETEKSI ROT 2 (2)'!$I$343:$I$622,MATCH(1,('[21]DETEKSI ROT 2 (2)'!$D$343:$D$622=$D498)*('[21]DETEKSI ROT 2 (2)'!$D$343:$D$622=$D498),0))</f>
        <v>1</v>
      </c>
      <c r="R498" s="9">
        <f t="shared" si="70"/>
        <v>2.5641025641025639</v>
      </c>
      <c r="S498" s="8" t="str">
        <f t="array" ref="S498">IF(R498&gt;5,"Perlu Sensus",IF(AND(R498&gt;=0,O498&gt;0),"Tetap Deteksi","Belum Deteksi"))</f>
        <v>Tetap Deteksi</v>
      </c>
      <c r="T498" s="203"/>
      <c r="U498" s="9">
        <f t="shared" si="71"/>
        <v>0</v>
      </c>
      <c r="V498" s="132">
        <v>46249</v>
      </c>
      <c r="W498" s="143">
        <f t="array" ref="W498">INDEX('[21]DETEKSI ROT 2 (2)'!$L$343:$L$622,MATCH(1,('[21]DETEKSI ROT 2 (2)'!$D$343:$D$622=$D498)*('[21]DETEKSI ROT 2 (2)'!$D$343:$D$622=$D498),0))</f>
        <v>26</v>
      </c>
      <c r="X498" s="143">
        <f t="array" ref="X498">INDEX('[21]DETEKSI ROT 2 (2)'!$M$343:$M$622,MATCH(1,('[21]DETEKSI ROT 2 (2)'!$D$343:$D$622=$D498)*('[21]DETEKSI ROT 2 (2)'!$D$343:$D$622=$D498),0))</f>
        <v>2</v>
      </c>
      <c r="Y498" s="9">
        <f t="shared" si="69"/>
        <v>7.6923076923076925</v>
      </c>
      <c r="Z498" s="8" t="str">
        <f t="array" ref="Z498">IF(Y498&gt;5,"Perlu Sensus",IF(AND(Y498&gt;0,,O498&gt;0),"Tetap Deteksi","Belum Deteksi"))</f>
        <v>Perlu Sensus</v>
      </c>
      <c r="AA498" s="203"/>
      <c r="AB498" s="9">
        <f t="shared" si="72"/>
        <v>0</v>
      </c>
    </row>
    <row r="499" spans="1:28" x14ac:dyDescent="0.15">
      <c r="A499" s="8" t="s">
        <v>322</v>
      </c>
      <c r="B499" s="8" t="s">
        <v>107</v>
      </c>
      <c r="C499" s="8" t="s">
        <v>521</v>
      </c>
      <c r="D499" s="8" t="s">
        <v>528</v>
      </c>
      <c r="E499" s="9">
        <v>39.479999999999997</v>
      </c>
      <c r="F499" s="8" t="s">
        <v>16</v>
      </c>
      <c r="G499" s="10">
        <v>5941</v>
      </c>
      <c r="H499" s="132">
        <f t="shared" si="64"/>
        <v>46249</v>
      </c>
      <c r="I499" s="140">
        <f t="shared" si="65"/>
        <v>42</v>
      </c>
      <c r="J499" s="9">
        <f t="shared" si="66"/>
        <v>0.70695169163440497</v>
      </c>
      <c r="K499" s="140">
        <f t="shared" si="67"/>
        <v>2</v>
      </c>
      <c r="L499" s="206">
        <f t="shared" si="68"/>
        <v>4.7619047619047619</v>
      </c>
      <c r="M499" s="8" t="str">
        <f t="array" ref="M499">IF(L499&gt;5,"Perlu Sensus",IF(AND(L499&gt;=0,I499&gt;0),"Tetap Deteksi","Belum Deteksi"))</f>
        <v>Tetap Deteksi</v>
      </c>
      <c r="N499" s="132">
        <v>46249</v>
      </c>
      <c r="O499" s="143">
        <f t="array" ref="O499">INDEX('[21]DETEKSI ROT 2 (2)'!$G$343:$G$622,MATCH(1,('[21]DETEKSI ROT 2 (2)'!$D$343:$D$622=$D499)*('[21]DETEKSI ROT 2 (2)'!$D$343:$D$622=$D499),0))</f>
        <v>42</v>
      </c>
      <c r="P499" s="9">
        <f t="array" ref="P499">IFERROR(O499/G499*100,0)</f>
        <v>0.70695169163440497</v>
      </c>
      <c r="Q499" s="143">
        <f t="array" ref="Q499">INDEX('[21]DETEKSI ROT 2 (2)'!$I$343:$I$622,MATCH(1,('[21]DETEKSI ROT 2 (2)'!$D$343:$D$622=$D499)*('[21]DETEKSI ROT 2 (2)'!$D$343:$D$622=$D499),0))</f>
        <v>2</v>
      </c>
      <c r="R499" s="9">
        <f t="shared" si="70"/>
        <v>4.7619047619047619</v>
      </c>
      <c r="S499" s="8" t="str">
        <f t="array" ref="S499">IF(R499&gt;5,"Perlu Sensus",IF(AND(R499&gt;=0,O499&gt;0),"Tetap Deteksi","Belum Deteksi"))</f>
        <v>Tetap Deteksi</v>
      </c>
      <c r="T499" s="203"/>
      <c r="U499" s="9">
        <f t="shared" si="71"/>
        <v>0</v>
      </c>
      <c r="V499" s="132">
        <v>46249</v>
      </c>
      <c r="W499" s="143">
        <f t="array" ref="W499">INDEX('[21]DETEKSI ROT 2 (2)'!$L$343:$L$622,MATCH(1,('[21]DETEKSI ROT 2 (2)'!$D$343:$D$622=$D499)*('[21]DETEKSI ROT 2 (2)'!$D$343:$D$622=$D499),0))</f>
        <v>48</v>
      </c>
      <c r="X499" s="143">
        <f t="array" ref="X499">INDEX('[21]DETEKSI ROT 2 (2)'!$M$343:$M$622,MATCH(1,('[21]DETEKSI ROT 2 (2)'!$D$343:$D$622=$D499)*('[21]DETEKSI ROT 2 (2)'!$D$343:$D$622=$D499),0))</f>
        <v>1</v>
      </c>
      <c r="Y499" s="9">
        <f t="shared" si="69"/>
        <v>2.083333333333333</v>
      </c>
      <c r="Z499" s="8" t="str">
        <f t="array" ref="Z499">IF(Y499&gt;5,"Perlu Sensus",IF(AND(Y499&gt;0,,O499&gt;0),"Tetap Deteksi","Belum Deteksi"))</f>
        <v>Belum Deteksi</v>
      </c>
      <c r="AA499" s="203"/>
      <c r="AB499" s="9">
        <f t="shared" si="72"/>
        <v>0</v>
      </c>
    </row>
    <row r="500" spans="1:28" x14ac:dyDescent="0.15">
      <c r="A500" s="8" t="s">
        <v>322</v>
      </c>
      <c r="B500" s="8" t="s">
        <v>107</v>
      </c>
      <c r="C500" s="8" t="s">
        <v>521</v>
      </c>
      <c r="D500" s="8" t="s">
        <v>529</v>
      </c>
      <c r="E500" s="9">
        <v>25.15</v>
      </c>
      <c r="F500" s="8" t="s">
        <v>16</v>
      </c>
      <c r="G500" s="10">
        <v>3618</v>
      </c>
      <c r="H500" s="132">
        <f t="shared" ref="H500:H563" si="73">IF(N500&gt;0,N500,V500)</f>
        <v>46249</v>
      </c>
      <c r="I500" s="140">
        <f t="shared" ref="I500:I563" si="74">IF(O500&gt;0,O500,W500)</f>
        <v>48</v>
      </c>
      <c r="J500" s="9">
        <f t="shared" ref="J500:J563" si="75">IF(P500&gt;0,P500," ")</f>
        <v>1.3266998341625207</v>
      </c>
      <c r="K500" s="140">
        <f t="shared" ref="K500:K563" si="76">IF(Q500&gt;0,Q500,X500)</f>
        <v>2</v>
      </c>
      <c r="L500" s="206">
        <f t="shared" ref="L500:L563" si="77">IFERROR(K500/I500*100,0)</f>
        <v>4.1666666666666661</v>
      </c>
      <c r="M500" s="8" t="str">
        <f t="array" ref="M500">IF(L500&gt;5,"Perlu Sensus",IF(AND(L500&gt;=0,I500&gt;0),"Tetap Deteksi","Belum Deteksi"))</f>
        <v>Tetap Deteksi</v>
      </c>
      <c r="N500" s="132">
        <v>46249</v>
      </c>
      <c r="O500" s="143">
        <f t="array" ref="O500">INDEX('[21]DETEKSI ROT 2 (2)'!$G$343:$G$622,MATCH(1,('[21]DETEKSI ROT 2 (2)'!$D$343:$D$622=$D500)*('[21]DETEKSI ROT 2 (2)'!$D$343:$D$622=$D500),0))</f>
        <v>48</v>
      </c>
      <c r="P500" s="9">
        <f t="array" ref="P500">IFERROR(O500/G500*100,0)</f>
        <v>1.3266998341625207</v>
      </c>
      <c r="Q500" s="143">
        <f t="array" ref="Q500">INDEX('[21]DETEKSI ROT 2 (2)'!$I$343:$I$622,MATCH(1,('[21]DETEKSI ROT 2 (2)'!$D$343:$D$622=$D500)*('[21]DETEKSI ROT 2 (2)'!$D$343:$D$622=$D500),0))</f>
        <v>2</v>
      </c>
      <c r="R500" s="9">
        <f t="shared" si="70"/>
        <v>4.1666666666666661</v>
      </c>
      <c r="S500" s="8" t="str">
        <f t="array" ref="S500">IF(R500&gt;5,"Perlu Sensus",IF(AND(R500&gt;=0,O500&gt;0),"Tetap Deteksi","Belum Deteksi"))</f>
        <v>Tetap Deteksi</v>
      </c>
      <c r="T500" s="203"/>
      <c r="U500" s="9">
        <f t="shared" si="71"/>
        <v>0</v>
      </c>
      <c r="V500" s="132">
        <v>46249</v>
      </c>
      <c r="W500" s="143">
        <f t="array" ref="W500">INDEX('[21]DETEKSI ROT 2 (2)'!$L$343:$L$622,MATCH(1,('[21]DETEKSI ROT 2 (2)'!$D$343:$D$622=$D500)*('[21]DETEKSI ROT 2 (2)'!$D$343:$D$622=$D500),0))</f>
        <v>28</v>
      </c>
      <c r="X500" s="143">
        <f t="array" ref="X500">INDEX('[21]DETEKSI ROT 2 (2)'!$M$343:$M$622,MATCH(1,('[21]DETEKSI ROT 2 (2)'!$D$343:$D$622=$D500)*('[21]DETEKSI ROT 2 (2)'!$D$343:$D$622=$D500),0))</f>
        <v>2</v>
      </c>
      <c r="Y500" s="9">
        <f t="shared" ref="Y500:Y563" si="78">IFERROR(X500/W500*100,0)</f>
        <v>7.1428571428571423</v>
      </c>
      <c r="Z500" s="8" t="str">
        <f t="array" ref="Z500">IF(Y500&gt;5,"Perlu Sensus",IF(AND(Y500&gt;0,,O500&gt;0),"Tetap Deteksi","Belum Deteksi"))</f>
        <v>Perlu Sensus</v>
      </c>
      <c r="AA500" s="203"/>
      <c r="AB500" s="9">
        <f t="shared" si="72"/>
        <v>0</v>
      </c>
    </row>
    <row r="501" spans="1:28" x14ac:dyDescent="0.15">
      <c r="A501" s="8" t="s">
        <v>322</v>
      </c>
      <c r="B501" s="8" t="s">
        <v>107</v>
      </c>
      <c r="C501" s="8" t="s">
        <v>521</v>
      </c>
      <c r="D501" s="8" t="s">
        <v>530</v>
      </c>
      <c r="E501" s="9">
        <v>24.76</v>
      </c>
      <c r="F501" s="8" t="s">
        <v>16</v>
      </c>
      <c r="G501" s="10">
        <v>3449</v>
      </c>
      <c r="H501" s="132">
        <f t="shared" si="73"/>
        <v>46249</v>
      </c>
      <c r="I501" s="140">
        <f t="shared" si="74"/>
        <v>56</v>
      </c>
      <c r="J501" s="9">
        <f t="shared" si="75"/>
        <v>1.6236590316033632</v>
      </c>
      <c r="K501" s="140">
        <f t="shared" si="76"/>
        <v>2</v>
      </c>
      <c r="L501" s="206">
        <f t="shared" si="77"/>
        <v>3.5714285714285712</v>
      </c>
      <c r="M501" s="8" t="str">
        <f t="array" ref="M501">IF(L501&gt;5,"Perlu Sensus",IF(AND(L501&gt;=0,I501&gt;0),"Tetap Deteksi","Belum Deteksi"))</f>
        <v>Tetap Deteksi</v>
      </c>
      <c r="N501" s="132">
        <v>46249</v>
      </c>
      <c r="O501" s="143">
        <f t="array" ref="O501">INDEX('[21]DETEKSI ROT 2 (2)'!$G$343:$G$622,MATCH(1,('[21]DETEKSI ROT 2 (2)'!$D$343:$D$622=$D501)*('[21]DETEKSI ROT 2 (2)'!$D$343:$D$622=$D501),0))</f>
        <v>56</v>
      </c>
      <c r="P501" s="9">
        <f t="array" ref="P501">IFERROR(O501/G501*100,0)</f>
        <v>1.6236590316033632</v>
      </c>
      <c r="Q501" s="143">
        <f t="array" ref="Q501">INDEX('[21]DETEKSI ROT 2 (2)'!$I$343:$I$622,MATCH(1,('[21]DETEKSI ROT 2 (2)'!$D$343:$D$622=$D501)*('[21]DETEKSI ROT 2 (2)'!$D$343:$D$622=$D501),0))</f>
        <v>2</v>
      </c>
      <c r="R501" s="9">
        <f t="shared" si="70"/>
        <v>3.5714285714285712</v>
      </c>
      <c r="S501" s="8" t="str">
        <f t="array" ref="S501">IF(R501&gt;5,"Perlu Sensus",IF(AND(R501&gt;=0,O501&gt;0),"Tetap Deteksi","Belum Deteksi"))</f>
        <v>Tetap Deteksi</v>
      </c>
      <c r="T501" s="203"/>
      <c r="U501" s="9">
        <f t="shared" si="71"/>
        <v>0</v>
      </c>
      <c r="V501" s="132">
        <v>46249</v>
      </c>
      <c r="W501" s="143">
        <f t="array" ref="W501">INDEX('[21]DETEKSI ROT 2 (2)'!$L$343:$L$622,MATCH(1,('[21]DETEKSI ROT 2 (2)'!$D$343:$D$622=$D501)*('[21]DETEKSI ROT 2 (2)'!$D$343:$D$622=$D501),0))</f>
        <v>54</v>
      </c>
      <c r="X501" s="143">
        <f t="array" ref="X501">INDEX('[21]DETEKSI ROT 2 (2)'!$M$343:$M$622,MATCH(1,('[21]DETEKSI ROT 2 (2)'!$D$343:$D$622=$D501)*('[21]DETEKSI ROT 2 (2)'!$D$343:$D$622=$D501),0))</f>
        <v>2</v>
      </c>
      <c r="Y501" s="9">
        <f t="shared" si="78"/>
        <v>3.7037037037037033</v>
      </c>
      <c r="Z501" s="8" t="str">
        <f t="array" ref="Z501">IF(Y501&gt;5,"Perlu Sensus",IF(AND(Y501&gt;0,,O501&gt;0),"Tetap Deteksi","Belum Deteksi"))</f>
        <v>Belum Deteksi</v>
      </c>
      <c r="AA501" s="203"/>
      <c r="AB501" s="9">
        <f t="shared" si="72"/>
        <v>0</v>
      </c>
    </row>
    <row r="502" spans="1:28" x14ac:dyDescent="0.15">
      <c r="A502" s="8" t="s">
        <v>322</v>
      </c>
      <c r="B502" s="8" t="s">
        <v>107</v>
      </c>
      <c r="C502" s="8" t="s">
        <v>521</v>
      </c>
      <c r="D502" s="8" t="s">
        <v>531</v>
      </c>
      <c r="E502" s="9">
        <v>25.02</v>
      </c>
      <c r="F502" s="8" t="s">
        <v>16</v>
      </c>
      <c r="G502" s="10">
        <v>3572</v>
      </c>
      <c r="H502" s="132">
        <f t="shared" si="73"/>
        <v>46249</v>
      </c>
      <c r="I502" s="140">
        <f t="shared" si="74"/>
        <v>78</v>
      </c>
      <c r="J502" s="9">
        <f t="shared" si="75"/>
        <v>2.1836506159014557</v>
      </c>
      <c r="K502" s="140">
        <f t="shared" si="76"/>
        <v>2</v>
      </c>
      <c r="L502" s="206">
        <f t="shared" si="77"/>
        <v>2.5641025641025639</v>
      </c>
      <c r="M502" s="8" t="str">
        <f t="array" ref="M502">IF(L502&gt;5,"Perlu Sensus",IF(AND(L502&gt;=0,I502&gt;0),"Tetap Deteksi","Belum Deteksi"))</f>
        <v>Tetap Deteksi</v>
      </c>
      <c r="N502" s="132">
        <v>46249</v>
      </c>
      <c r="O502" s="143">
        <f t="array" ref="O502">INDEX('[21]DETEKSI ROT 2 (2)'!$G$343:$G$622,MATCH(1,('[21]DETEKSI ROT 2 (2)'!$D$343:$D$622=$D502)*('[21]DETEKSI ROT 2 (2)'!$D$343:$D$622=$D502),0))</f>
        <v>78</v>
      </c>
      <c r="P502" s="9">
        <f t="array" ref="P502">IFERROR(O502/G502*100,0)</f>
        <v>2.1836506159014557</v>
      </c>
      <c r="Q502" s="143">
        <f t="array" ref="Q502">INDEX('[21]DETEKSI ROT 2 (2)'!$I$343:$I$622,MATCH(1,('[21]DETEKSI ROT 2 (2)'!$D$343:$D$622=$D502)*('[21]DETEKSI ROT 2 (2)'!$D$343:$D$622=$D502),0))</f>
        <v>2</v>
      </c>
      <c r="R502" s="9">
        <f t="shared" si="70"/>
        <v>2.5641025641025639</v>
      </c>
      <c r="S502" s="8" t="str">
        <f t="array" ref="S502">IF(R502&gt;5,"Perlu Sensus",IF(AND(R502&gt;=0,O502&gt;0),"Tetap Deteksi","Belum Deteksi"))</f>
        <v>Tetap Deteksi</v>
      </c>
      <c r="T502" s="203"/>
      <c r="U502" s="9">
        <f t="shared" si="71"/>
        <v>0</v>
      </c>
      <c r="V502" s="132">
        <v>46249</v>
      </c>
      <c r="W502" s="143">
        <f t="array" ref="W502">INDEX('[21]DETEKSI ROT 2 (2)'!$L$343:$L$622,MATCH(1,('[21]DETEKSI ROT 2 (2)'!$D$343:$D$622=$D502)*('[21]DETEKSI ROT 2 (2)'!$D$343:$D$622=$D502),0))</f>
        <v>47</v>
      </c>
      <c r="X502" s="143">
        <f t="array" ref="X502">INDEX('[21]DETEKSI ROT 2 (2)'!$M$343:$M$622,MATCH(1,('[21]DETEKSI ROT 2 (2)'!$D$343:$D$622=$D502)*('[21]DETEKSI ROT 2 (2)'!$D$343:$D$622=$D502),0))</f>
        <v>1</v>
      </c>
      <c r="Y502" s="9">
        <f t="shared" si="78"/>
        <v>2.1276595744680851</v>
      </c>
      <c r="Z502" s="8" t="str">
        <f t="array" ref="Z502">IF(Y502&gt;5,"Perlu Sensus",IF(AND(Y502&gt;0,,O502&gt;0),"Tetap Deteksi","Belum Deteksi"))</f>
        <v>Belum Deteksi</v>
      </c>
      <c r="AA502" s="203"/>
      <c r="AB502" s="9">
        <f t="shared" si="72"/>
        <v>0</v>
      </c>
    </row>
    <row r="503" spans="1:28" x14ac:dyDescent="0.15">
      <c r="A503" s="8" t="s">
        <v>322</v>
      </c>
      <c r="B503" s="8" t="s">
        <v>107</v>
      </c>
      <c r="C503" s="8" t="s">
        <v>521</v>
      </c>
      <c r="D503" s="8" t="s">
        <v>532</v>
      </c>
      <c r="E503" s="9">
        <v>24.83</v>
      </c>
      <c r="F503" s="8" t="s">
        <v>16</v>
      </c>
      <c r="G503" s="10">
        <v>3428</v>
      </c>
      <c r="H503" s="132">
        <f t="shared" si="73"/>
        <v>46249</v>
      </c>
      <c r="I503" s="140">
        <f t="shared" si="74"/>
        <v>67</v>
      </c>
      <c r="J503" s="9">
        <f t="shared" si="75"/>
        <v>1.9544924154025671</v>
      </c>
      <c r="K503" s="140">
        <f t="shared" si="76"/>
        <v>1</v>
      </c>
      <c r="L503" s="206">
        <f t="shared" si="77"/>
        <v>1.4925373134328357</v>
      </c>
      <c r="M503" s="8" t="str">
        <f t="array" ref="M503">IF(L503&gt;5,"Perlu Sensus",IF(AND(L503&gt;=0,I503&gt;0),"Tetap Deteksi","Belum Deteksi"))</f>
        <v>Tetap Deteksi</v>
      </c>
      <c r="N503" s="132">
        <v>46249</v>
      </c>
      <c r="O503" s="143">
        <f t="array" ref="O503">INDEX('[21]DETEKSI ROT 2 (2)'!$G$343:$G$622,MATCH(1,('[21]DETEKSI ROT 2 (2)'!$D$343:$D$622=$D503)*('[21]DETEKSI ROT 2 (2)'!$D$343:$D$622=$D503),0))</f>
        <v>67</v>
      </c>
      <c r="P503" s="9">
        <f t="array" ref="P503">IFERROR(O503/G503*100,0)</f>
        <v>1.9544924154025671</v>
      </c>
      <c r="Q503" s="143">
        <f t="array" ref="Q503">INDEX('[21]DETEKSI ROT 2 (2)'!$I$343:$I$622,MATCH(1,('[21]DETEKSI ROT 2 (2)'!$D$343:$D$622=$D503)*('[21]DETEKSI ROT 2 (2)'!$D$343:$D$622=$D503),0))</f>
        <v>1</v>
      </c>
      <c r="R503" s="9">
        <f t="shared" si="70"/>
        <v>1.4925373134328357</v>
      </c>
      <c r="S503" s="8" t="str">
        <f t="array" ref="S503">IF(R503&gt;5,"Perlu Sensus",IF(AND(R503&gt;=0,O503&gt;0),"Tetap Deteksi","Belum Deteksi"))</f>
        <v>Tetap Deteksi</v>
      </c>
      <c r="T503" s="203"/>
      <c r="U503" s="9">
        <f t="shared" si="71"/>
        <v>0</v>
      </c>
      <c r="V503" s="132">
        <v>46249</v>
      </c>
      <c r="W503" s="143">
        <f t="array" ref="W503">INDEX('[21]DETEKSI ROT 2 (2)'!$L$343:$L$622,MATCH(1,('[21]DETEKSI ROT 2 (2)'!$D$343:$D$622=$D503)*('[21]DETEKSI ROT 2 (2)'!$D$343:$D$622=$D503),0))</f>
        <v>29</v>
      </c>
      <c r="X503" s="143">
        <f t="array" ref="X503">INDEX('[21]DETEKSI ROT 2 (2)'!$M$343:$M$622,MATCH(1,('[21]DETEKSI ROT 2 (2)'!$D$343:$D$622=$D503)*('[21]DETEKSI ROT 2 (2)'!$D$343:$D$622=$D503),0))</f>
        <v>1</v>
      </c>
      <c r="Y503" s="9">
        <f t="shared" si="78"/>
        <v>3.4482758620689653</v>
      </c>
      <c r="Z503" s="8" t="str">
        <f t="array" ref="Z503">IF(Y503&gt;5,"Perlu Sensus",IF(AND(Y503&gt;0,,O503&gt;0),"Tetap Deteksi","Belum Deteksi"))</f>
        <v>Belum Deteksi</v>
      </c>
      <c r="AA503" s="203"/>
      <c r="AB503" s="9">
        <f t="shared" si="72"/>
        <v>0</v>
      </c>
    </row>
    <row r="504" spans="1:28" x14ac:dyDescent="0.15">
      <c r="A504" s="8" t="s">
        <v>322</v>
      </c>
      <c r="B504" s="8" t="s">
        <v>107</v>
      </c>
      <c r="C504" s="8" t="s">
        <v>521</v>
      </c>
      <c r="D504" s="8" t="s">
        <v>533</v>
      </c>
      <c r="E504" s="9">
        <v>25.26</v>
      </c>
      <c r="F504" s="8" t="s">
        <v>16</v>
      </c>
      <c r="G504" s="10">
        <v>3707</v>
      </c>
      <c r="H504" s="132">
        <f t="shared" si="73"/>
        <v>46249</v>
      </c>
      <c r="I504" s="140">
        <f t="shared" si="74"/>
        <v>61</v>
      </c>
      <c r="J504" s="9">
        <f t="shared" si="75"/>
        <v>1.6455354734286485</v>
      </c>
      <c r="K504" s="140">
        <f t="shared" si="76"/>
        <v>2</v>
      </c>
      <c r="L504" s="206">
        <f t="shared" si="77"/>
        <v>3.278688524590164</v>
      </c>
      <c r="M504" s="8" t="str">
        <f t="array" ref="M504">IF(L504&gt;5,"Perlu Sensus",IF(AND(L504&gt;=0,I504&gt;0),"Tetap Deteksi","Belum Deteksi"))</f>
        <v>Tetap Deteksi</v>
      </c>
      <c r="N504" s="132">
        <v>46249</v>
      </c>
      <c r="O504" s="143">
        <f t="array" ref="O504">INDEX('[21]DETEKSI ROT 2 (2)'!$G$343:$G$622,MATCH(1,('[21]DETEKSI ROT 2 (2)'!$D$343:$D$622=$D504)*('[21]DETEKSI ROT 2 (2)'!$D$343:$D$622=$D504),0))</f>
        <v>61</v>
      </c>
      <c r="P504" s="9">
        <f t="array" ref="P504">IFERROR(O504/G504*100,0)</f>
        <v>1.6455354734286485</v>
      </c>
      <c r="Q504" s="143">
        <f t="array" ref="Q504">INDEX('[21]DETEKSI ROT 2 (2)'!$I$343:$I$622,MATCH(1,('[21]DETEKSI ROT 2 (2)'!$D$343:$D$622=$D504)*('[21]DETEKSI ROT 2 (2)'!$D$343:$D$622=$D504),0))</f>
        <v>2</v>
      </c>
      <c r="R504" s="9">
        <f t="shared" si="70"/>
        <v>3.278688524590164</v>
      </c>
      <c r="S504" s="8" t="str">
        <f t="array" ref="S504">IF(R504&gt;5,"Perlu Sensus",IF(AND(R504&gt;=0,O504&gt;0),"Tetap Deteksi","Belum Deteksi"))</f>
        <v>Tetap Deteksi</v>
      </c>
      <c r="T504" s="203"/>
      <c r="U504" s="9">
        <f t="shared" si="71"/>
        <v>0</v>
      </c>
      <c r="V504" s="132">
        <v>46249</v>
      </c>
      <c r="W504" s="143">
        <f t="array" ref="W504">INDEX('[21]DETEKSI ROT 2 (2)'!$L$343:$L$622,MATCH(1,('[21]DETEKSI ROT 2 (2)'!$D$343:$D$622=$D504)*('[21]DETEKSI ROT 2 (2)'!$D$343:$D$622=$D504),0))</f>
        <v>35</v>
      </c>
      <c r="X504" s="143">
        <f t="array" ref="X504">INDEX('[21]DETEKSI ROT 2 (2)'!$M$343:$M$622,MATCH(1,('[21]DETEKSI ROT 2 (2)'!$D$343:$D$622=$D504)*('[21]DETEKSI ROT 2 (2)'!$D$343:$D$622=$D504),0))</f>
        <v>1</v>
      </c>
      <c r="Y504" s="9">
        <f t="shared" si="78"/>
        <v>2.8571428571428572</v>
      </c>
      <c r="Z504" s="8" t="str">
        <f t="array" ref="Z504">IF(Y504&gt;5,"Perlu Sensus",IF(AND(Y504&gt;0,,O504&gt;0),"Tetap Deteksi","Belum Deteksi"))</f>
        <v>Belum Deteksi</v>
      </c>
      <c r="AA504" s="203"/>
      <c r="AB504" s="9">
        <f t="shared" si="72"/>
        <v>0</v>
      </c>
    </row>
    <row r="505" spans="1:28" x14ac:dyDescent="0.15">
      <c r="A505" s="8" t="s">
        <v>322</v>
      </c>
      <c r="B505" s="8" t="s">
        <v>107</v>
      </c>
      <c r="C505" s="8" t="s">
        <v>521</v>
      </c>
      <c r="D505" s="8" t="s">
        <v>534</v>
      </c>
      <c r="E505" s="9">
        <v>25.42</v>
      </c>
      <c r="F505" s="8" t="s">
        <v>16</v>
      </c>
      <c r="G505" s="10">
        <v>3881</v>
      </c>
      <c r="H505" s="132">
        <f t="shared" si="73"/>
        <v>46249</v>
      </c>
      <c r="I505" s="140">
        <f t="shared" si="74"/>
        <v>87</v>
      </c>
      <c r="J505" s="9">
        <f t="shared" si="75"/>
        <v>2.2416902860087609</v>
      </c>
      <c r="K505" s="140">
        <f t="shared" si="76"/>
        <v>2</v>
      </c>
      <c r="L505" s="206">
        <f t="shared" si="77"/>
        <v>2.2988505747126435</v>
      </c>
      <c r="M505" s="8" t="str">
        <f t="array" ref="M505">IF(L505&gt;5,"Perlu Sensus",IF(AND(L505&gt;=0,I505&gt;0),"Tetap Deteksi","Belum Deteksi"))</f>
        <v>Tetap Deteksi</v>
      </c>
      <c r="N505" s="132">
        <v>46249</v>
      </c>
      <c r="O505" s="143">
        <f t="array" ref="O505">INDEX('[21]DETEKSI ROT 2 (2)'!$G$343:$G$622,MATCH(1,('[21]DETEKSI ROT 2 (2)'!$D$343:$D$622=$D505)*('[21]DETEKSI ROT 2 (2)'!$D$343:$D$622=$D505),0))</f>
        <v>87</v>
      </c>
      <c r="P505" s="9">
        <f t="array" ref="P505">IFERROR(O505/G505*100,0)</f>
        <v>2.2416902860087609</v>
      </c>
      <c r="Q505" s="143">
        <f t="array" ref="Q505">INDEX('[21]DETEKSI ROT 2 (2)'!$I$343:$I$622,MATCH(1,('[21]DETEKSI ROT 2 (2)'!$D$343:$D$622=$D505)*('[21]DETEKSI ROT 2 (2)'!$D$343:$D$622=$D505),0))</f>
        <v>2</v>
      </c>
      <c r="R505" s="9">
        <f t="shared" si="70"/>
        <v>2.2988505747126435</v>
      </c>
      <c r="S505" s="8" t="str">
        <f t="array" ref="S505">IF(R505&gt;5,"Perlu Sensus",IF(AND(R505&gt;=0,O505&gt;0),"Tetap Deteksi","Belum Deteksi"))</f>
        <v>Tetap Deteksi</v>
      </c>
      <c r="T505" s="203"/>
      <c r="U505" s="9">
        <f t="shared" si="71"/>
        <v>0</v>
      </c>
      <c r="V505" s="132">
        <v>46249</v>
      </c>
      <c r="W505" s="143">
        <f t="array" ref="W505">INDEX('[21]DETEKSI ROT 2 (2)'!$L$343:$L$622,MATCH(1,('[21]DETEKSI ROT 2 (2)'!$D$343:$D$622=$D505)*('[21]DETEKSI ROT 2 (2)'!$D$343:$D$622=$D505),0))</f>
        <v>53</v>
      </c>
      <c r="X505" s="143">
        <f t="array" ref="X505">INDEX('[21]DETEKSI ROT 2 (2)'!$M$343:$M$622,MATCH(1,('[21]DETEKSI ROT 2 (2)'!$D$343:$D$622=$D505)*('[21]DETEKSI ROT 2 (2)'!$D$343:$D$622=$D505),0))</f>
        <v>2</v>
      </c>
      <c r="Y505" s="9">
        <f t="shared" si="78"/>
        <v>3.7735849056603774</v>
      </c>
      <c r="Z505" s="8" t="str">
        <f t="array" ref="Z505">IF(Y505&gt;5,"Perlu Sensus",IF(AND(Y505&gt;0,,O505&gt;0),"Tetap Deteksi","Belum Deteksi"))</f>
        <v>Belum Deteksi</v>
      </c>
      <c r="AA505" s="203"/>
      <c r="AB505" s="9">
        <f t="shared" si="72"/>
        <v>0</v>
      </c>
    </row>
    <row r="506" spans="1:28" x14ac:dyDescent="0.15">
      <c r="A506" s="8" t="s">
        <v>322</v>
      </c>
      <c r="B506" s="8" t="s">
        <v>107</v>
      </c>
      <c r="C506" s="8" t="s">
        <v>521</v>
      </c>
      <c r="D506" s="8" t="s">
        <v>535</v>
      </c>
      <c r="E506" s="9">
        <v>23.02</v>
      </c>
      <c r="F506" s="8" t="s">
        <v>16</v>
      </c>
      <c r="G506" s="10">
        <v>3458</v>
      </c>
      <c r="H506" s="132">
        <f t="shared" si="73"/>
        <v>46249</v>
      </c>
      <c r="I506" s="140">
        <f t="shared" si="74"/>
        <v>98</v>
      </c>
      <c r="J506" s="9">
        <f t="shared" si="75"/>
        <v>2.834008097165992</v>
      </c>
      <c r="K506" s="140">
        <f t="shared" si="76"/>
        <v>3</v>
      </c>
      <c r="L506" s="206">
        <f t="shared" si="77"/>
        <v>3.0612244897959182</v>
      </c>
      <c r="M506" s="8" t="str">
        <f t="array" ref="M506">IF(L506&gt;5,"Perlu Sensus",IF(AND(L506&gt;=0,I506&gt;0),"Tetap Deteksi","Belum Deteksi"))</f>
        <v>Tetap Deteksi</v>
      </c>
      <c r="N506" s="132">
        <v>46249</v>
      </c>
      <c r="O506" s="143">
        <f t="array" ref="O506">INDEX('[21]DETEKSI ROT 2 (2)'!$G$343:$G$622,MATCH(1,('[21]DETEKSI ROT 2 (2)'!$D$343:$D$622=$D506)*('[21]DETEKSI ROT 2 (2)'!$D$343:$D$622=$D506),0))</f>
        <v>98</v>
      </c>
      <c r="P506" s="9">
        <f t="array" ref="P506">IFERROR(O506/G506*100,0)</f>
        <v>2.834008097165992</v>
      </c>
      <c r="Q506" s="143">
        <f t="array" ref="Q506">INDEX('[21]DETEKSI ROT 2 (2)'!$I$343:$I$622,MATCH(1,('[21]DETEKSI ROT 2 (2)'!$D$343:$D$622=$D506)*('[21]DETEKSI ROT 2 (2)'!$D$343:$D$622=$D506),0))</f>
        <v>3</v>
      </c>
      <c r="R506" s="9">
        <f t="shared" si="70"/>
        <v>3.0612244897959182</v>
      </c>
      <c r="S506" s="8" t="str">
        <f t="array" ref="S506">IF(R506&gt;5,"Perlu Sensus",IF(AND(R506&gt;=0,O506&gt;0),"Tetap Deteksi","Belum Deteksi"))</f>
        <v>Tetap Deteksi</v>
      </c>
      <c r="T506" s="203"/>
      <c r="U506" s="9">
        <f t="shared" si="71"/>
        <v>0</v>
      </c>
      <c r="V506" s="132">
        <v>46249</v>
      </c>
      <c r="W506" s="143">
        <f t="array" ref="W506">INDEX('[21]DETEKSI ROT 2 (2)'!$L$343:$L$622,MATCH(1,('[21]DETEKSI ROT 2 (2)'!$D$343:$D$622=$D506)*('[21]DETEKSI ROT 2 (2)'!$D$343:$D$622=$D506),0))</f>
        <v>63</v>
      </c>
      <c r="X506" s="143">
        <f t="array" ref="X506">INDEX('[21]DETEKSI ROT 2 (2)'!$M$343:$M$622,MATCH(1,('[21]DETEKSI ROT 2 (2)'!$D$343:$D$622=$D506)*('[21]DETEKSI ROT 2 (2)'!$D$343:$D$622=$D506),0))</f>
        <v>1</v>
      </c>
      <c r="Y506" s="9">
        <f t="shared" si="78"/>
        <v>1.5873015873015872</v>
      </c>
      <c r="Z506" s="8" t="str">
        <f t="array" ref="Z506">IF(Y506&gt;5,"Perlu Sensus",IF(AND(Y506&gt;0,,O506&gt;0),"Tetap Deteksi","Belum Deteksi"))</f>
        <v>Belum Deteksi</v>
      </c>
      <c r="AA506" s="203"/>
      <c r="AB506" s="9">
        <f t="shared" si="72"/>
        <v>0</v>
      </c>
    </row>
    <row r="507" spans="1:28" x14ac:dyDescent="0.15">
      <c r="A507" s="8" t="s">
        <v>322</v>
      </c>
      <c r="B507" s="8" t="s">
        <v>107</v>
      </c>
      <c r="C507" s="8" t="s">
        <v>521</v>
      </c>
      <c r="D507" s="8" t="s">
        <v>536</v>
      </c>
      <c r="E507" s="9">
        <v>35.57</v>
      </c>
      <c r="F507" s="8" t="s">
        <v>16</v>
      </c>
      <c r="G507" s="10">
        <v>5242</v>
      </c>
      <c r="H507" s="132">
        <f t="shared" si="73"/>
        <v>46249</v>
      </c>
      <c r="I507" s="140">
        <f t="shared" si="74"/>
        <v>142</v>
      </c>
      <c r="J507" s="9">
        <f t="shared" si="75"/>
        <v>2.708889736741702</v>
      </c>
      <c r="K507" s="140">
        <f t="shared" si="76"/>
        <v>7</v>
      </c>
      <c r="L507" s="206">
        <f t="shared" si="77"/>
        <v>4.929577464788732</v>
      </c>
      <c r="M507" s="8" t="str">
        <f t="array" ref="M507">IF(L507&gt;5,"Perlu Sensus",IF(AND(L507&gt;=0,I507&gt;0),"Tetap Deteksi","Belum Deteksi"))</f>
        <v>Tetap Deteksi</v>
      </c>
      <c r="N507" s="132">
        <v>46249</v>
      </c>
      <c r="O507" s="143">
        <f t="array" ref="O507">INDEX('[21]DETEKSI ROT 2 (2)'!$G$343:$G$622,MATCH(1,('[21]DETEKSI ROT 2 (2)'!$D$343:$D$622=$D507)*('[21]DETEKSI ROT 2 (2)'!$D$343:$D$622=$D507),0))</f>
        <v>142</v>
      </c>
      <c r="P507" s="9">
        <f t="array" ref="P507">IFERROR(O507/G507*100,0)</f>
        <v>2.708889736741702</v>
      </c>
      <c r="Q507" s="143">
        <f t="array" ref="Q507">INDEX('[21]DETEKSI ROT 2 (2)'!$I$343:$I$622,MATCH(1,('[21]DETEKSI ROT 2 (2)'!$D$343:$D$622=$D507)*('[21]DETEKSI ROT 2 (2)'!$D$343:$D$622=$D507),0))</f>
        <v>7</v>
      </c>
      <c r="R507" s="9">
        <f t="shared" si="70"/>
        <v>4.929577464788732</v>
      </c>
      <c r="S507" s="8" t="str">
        <f t="array" ref="S507">IF(R507&gt;5,"Perlu Sensus",IF(AND(R507&gt;=0,O507&gt;0),"Tetap Deteksi","Belum Deteksi"))</f>
        <v>Tetap Deteksi</v>
      </c>
      <c r="T507" s="203"/>
      <c r="U507" s="9">
        <f t="shared" si="71"/>
        <v>0</v>
      </c>
      <c r="V507" s="132">
        <v>46249</v>
      </c>
      <c r="W507" s="143">
        <f t="array" ref="W507">INDEX('[21]DETEKSI ROT 2 (2)'!$L$343:$L$622,MATCH(1,('[21]DETEKSI ROT 2 (2)'!$D$343:$D$622=$D507)*('[21]DETEKSI ROT 2 (2)'!$D$343:$D$622=$D507),0))</f>
        <v>27</v>
      </c>
      <c r="X507" s="143">
        <f t="array" ref="X507">INDEX('[21]DETEKSI ROT 2 (2)'!$M$343:$M$622,MATCH(1,('[21]DETEKSI ROT 2 (2)'!$D$343:$D$622=$D507)*('[21]DETEKSI ROT 2 (2)'!$D$343:$D$622=$D507),0))</f>
        <v>1</v>
      </c>
      <c r="Y507" s="9">
        <f t="shared" si="78"/>
        <v>3.7037037037037033</v>
      </c>
      <c r="Z507" s="8" t="str">
        <f t="array" ref="Z507">IF(Y507&gt;5,"Perlu Sensus",IF(AND(Y507&gt;0,,O507&gt;0),"Tetap Deteksi","Belum Deteksi"))</f>
        <v>Belum Deteksi</v>
      </c>
      <c r="AA507" s="203"/>
      <c r="AB507" s="9">
        <f t="shared" si="72"/>
        <v>0</v>
      </c>
    </row>
    <row r="508" spans="1:28" x14ac:dyDescent="0.15">
      <c r="A508" s="8" t="s">
        <v>322</v>
      </c>
      <c r="B508" s="8" t="s">
        <v>107</v>
      </c>
      <c r="C508" s="8" t="s">
        <v>521</v>
      </c>
      <c r="D508" s="8" t="s">
        <v>537</v>
      </c>
      <c r="E508" s="9">
        <v>25.24</v>
      </c>
      <c r="F508" s="8" t="s">
        <v>16</v>
      </c>
      <c r="G508" s="10">
        <v>3217</v>
      </c>
      <c r="H508" s="132">
        <f t="shared" si="73"/>
        <v>46249</v>
      </c>
      <c r="I508" s="140">
        <f t="shared" si="74"/>
        <v>39</v>
      </c>
      <c r="J508" s="9">
        <f t="shared" si="75"/>
        <v>1.2123096052222568</v>
      </c>
      <c r="K508" s="140">
        <f t="shared" si="76"/>
        <v>1</v>
      </c>
      <c r="L508" s="206">
        <f t="shared" si="77"/>
        <v>2.5641025641025639</v>
      </c>
      <c r="M508" s="8" t="str">
        <f t="array" ref="M508">IF(L508&gt;5,"Perlu Sensus",IF(AND(L508&gt;=0,I508&gt;0),"Tetap Deteksi","Belum Deteksi"))</f>
        <v>Tetap Deteksi</v>
      </c>
      <c r="N508" s="132">
        <v>46249</v>
      </c>
      <c r="O508" s="143">
        <f t="array" ref="O508">INDEX('[21]DETEKSI ROT 2 (2)'!$G$343:$G$622,MATCH(1,('[21]DETEKSI ROT 2 (2)'!$D$343:$D$622=$D508)*('[21]DETEKSI ROT 2 (2)'!$D$343:$D$622=$D508),0))</f>
        <v>39</v>
      </c>
      <c r="P508" s="9">
        <f t="array" ref="P508">IFERROR(O508/G508*100,0)</f>
        <v>1.2123096052222568</v>
      </c>
      <c r="Q508" s="143">
        <f t="array" ref="Q508">INDEX('[21]DETEKSI ROT 2 (2)'!$I$343:$I$622,MATCH(1,('[21]DETEKSI ROT 2 (2)'!$D$343:$D$622=$D508)*('[21]DETEKSI ROT 2 (2)'!$D$343:$D$622=$D508),0))</f>
        <v>1</v>
      </c>
      <c r="R508" s="9">
        <f t="shared" si="70"/>
        <v>2.5641025641025639</v>
      </c>
      <c r="S508" s="8" t="str">
        <f t="array" ref="S508">IF(R508&gt;5,"Perlu Sensus",IF(AND(R508&gt;=0,O508&gt;0),"Tetap Deteksi","Belum Deteksi"))</f>
        <v>Tetap Deteksi</v>
      </c>
      <c r="T508" s="203"/>
      <c r="U508" s="9">
        <f t="shared" si="71"/>
        <v>0</v>
      </c>
      <c r="V508" s="132">
        <v>46249</v>
      </c>
      <c r="W508" s="143">
        <f t="array" ref="W508">INDEX('[21]DETEKSI ROT 2 (2)'!$L$343:$L$622,MATCH(1,('[21]DETEKSI ROT 2 (2)'!$D$343:$D$622=$D508)*('[21]DETEKSI ROT 2 (2)'!$D$343:$D$622=$D508),0))</f>
        <v>41</v>
      </c>
      <c r="X508" s="143">
        <f t="array" ref="X508">INDEX('[21]DETEKSI ROT 2 (2)'!$M$343:$M$622,MATCH(1,('[21]DETEKSI ROT 2 (2)'!$D$343:$D$622=$D508)*('[21]DETEKSI ROT 2 (2)'!$D$343:$D$622=$D508),0))</f>
        <v>2</v>
      </c>
      <c r="Y508" s="9">
        <f t="shared" si="78"/>
        <v>4.8780487804878048</v>
      </c>
      <c r="Z508" s="8" t="str">
        <f t="array" ref="Z508">IF(Y508&gt;5,"Perlu Sensus",IF(AND(Y508&gt;0,,O508&gt;0),"Tetap Deteksi","Belum Deteksi"))</f>
        <v>Belum Deteksi</v>
      </c>
      <c r="AA508" s="203"/>
      <c r="AB508" s="9">
        <f t="shared" si="72"/>
        <v>0</v>
      </c>
    </row>
    <row r="509" spans="1:28" x14ac:dyDescent="0.15">
      <c r="A509" s="8" t="s">
        <v>322</v>
      </c>
      <c r="B509" s="8" t="s">
        <v>107</v>
      </c>
      <c r="C509" s="8" t="s">
        <v>521</v>
      </c>
      <c r="D509" s="8" t="s">
        <v>538</v>
      </c>
      <c r="E509" s="9">
        <v>25.08</v>
      </c>
      <c r="F509" s="8" t="s">
        <v>16</v>
      </c>
      <c r="G509" s="10">
        <v>3276</v>
      </c>
      <c r="H509" s="132">
        <f t="shared" si="73"/>
        <v>46249</v>
      </c>
      <c r="I509" s="140">
        <f t="shared" si="74"/>
        <v>40</v>
      </c>
      <c r="J509" s="9">
        <f t="shared" si="75"/>
        <v>1.2210012210012211</v>
      </c>
      <c r="K509" s="140">
        <f t="shared" si="76"/>
        <v>2</v>
      </c>
      <c r="L509" s="206">
        <f t="shared" si="77"/>
        <v>5</v>
      </c>
      <c r="M509" s="8" t="str">
        <f t="array" ref="M509">IF(L509&gt;5,"Perlu Sensus",IF(AND(L509&gt;=0,I509&gt;0),"Tetap Deteksi","Belum Deteksi"))</f>
        <v>Tetap Deteksi</v>
      </c>
      <c r="N509" s="132">
        <v>46249</v>
      </c>
      <c r="O509" s="143">
        <f t="array" ref="O509">INDEX('[21]DETEKSI ROT 2 (2)'!$G$343:$G$622,MATCH(1,('[21]DETEKSI ROT 2 (2)'!$D$343:$D$622=$D509)*('[21]DETEKSI ROT 2 (2)'!$D$343:$D$622=$D509),0))</f>
        <v>40</v>
      </c>
      <c r="P509" s="9">
        <f t="array" ref="P509">IFERROR(O509/G509*100,0)</f>
        <v>1.2210012210012211</v>
      </c>
      <c r="Q509" s="143">
        <f t="array" ref="Q509">INDEX('[21]DETEKSI ROT 2 (2)'!$I$343:$I$622,MATCH(1,('[21]DETEKSI ROT 2 (2)'!$D$343:$D$622=$D509)*('[21]DETEKSI ROT 2 (2)'!$D$343:$D$622=$D509),0))</f>
        <v>2</v>
      </c>
      <c r="R509" s="9">
        <f t="shared" si="70"/>
        <v>5</v>
      </c>
      <c r="S509" s="8" t="str">
        <f t="array" ref="S509">IF(R509&gt;5,"Perlu Sensus",IF(AND(R509&gt;=0,O509&gt;0),"Tetap Deteksi","Belum Deteksi"))</f>
        <v>Tetap Deteksi</v>
      </c>
      <c r="T509" s="203"/>
      <c r="U509" s="9">
        <f t="shared" si="71"/>
        <v>0</v>
      </c>
      <c r="V509" s="132">
        <v>46249</v>
      </c>
      <c r="W509" s="143">
        <f t="array" ref="W509">INDEX('[21]DETEKSI ROT 2 (2)'!$L$343:$L$622,MATCH(1,('[21]DETEKSI ROT 2 (2)'!$D$343:$D$622=$D509)*('[21]DETEKSI ROT 2 (2)'!$D$343:$D$622=$D509),0))</f>
        <v>36</v>
      </c>
      <c r="X509" s="143">
        <f t="array" ref="X509">INDEX('[21]DETEKSI ROT 2 (2)'!$M$343:$M$622,MATCH(1,('[21]DETEKSI ROT 2 (2)'!$D$343:$D$622=$D509)*('[21]DETEKSI ROT 2 (2)'!$D$343:$D$622=$D509),0))</f>
        <v>1</v>
      </c>
      <c r="Y509" s="9">
        <f t="shared" si="78"/>
        <v>2.7777777777777777</v>
      </c>
      <c r="Z509" s="8" t="str">
        <f t="array" ref="Z509">IF(Y509&gt;5,"Perlu Sensus",IF(AND(Y509&gt;0,,O509&gt;0),"Tetap Deteksi","Belum Deteksi"))</f>
        <v>Belum Deteksi</v>
      </c>
      <c r="AA509" s="203"/>
      <c r="AB509" s="9">
        <f t="shared" si="72"/>
        <v>0</v>
      </c>
    </row>
    <row r="510" spans="1:28" x14ac:dyDescent="0.15">
      <c r="A510" s="8" t="s">
        <v>322</v>
      </c>
      <c r="B510" s="8" t="s">
        <v>107</v>
      </c>
      <c r="C510" s="8" t="s">
        <v>521</v>
      </c>
      <c r="D510" s="8" t="s">
        <v>539</v>
      </c>
      <c r="E510" s="9">
        <v>25.4</v>
      </c>
      <c r="F510" s="8" t="s">
        <v>16</v>
      </c>
      <c r="G510" s="10">
        <v>2840</v>
      </c>
      <c r="H510" s="132">
        <f t="shared" si="73"/>
        <v>46249</v>
      </c>
      <c r="I510" s="140">
        <f t="shared" si="74"/>
        <v>39</v>
      </c>
      <c r="J510" s="9">
        <f t="shared" si="75"/>
        <v>1.3732394366197185</v>
      </c>
      <c r="K510" s="140">
        <f t="shared" si="76"/>
        <v>1</v>
      </c>
      <c r="L510" s="206">
        <f t="shared" si="77"/>
        <v>2.5641025641025639</v>
      </c>
      <c r="M510" s="8" t="str">
        <f t="array" ref="M510">IF(L510&gt;5,"Perlu Sensus",IF(AND(L510&gt;=0,I510&gt;0),"Tetap Deteksi","Belum Deteksi"))</f>
        <v>Tetap Deteksi</v>
      </c>
      <c r="N510" s="132">
        <v>46249</v>
      </c>
      <c r="O510" s="143">
        <f t="array" ref="O510">INDEX('[21]DETEKSI ROT 2 (2)'!$G$343:$G$622,MATCH(1,('[21]DETEKSI ROT 2 (2)'!$D$343:$D$622=$D510)*('[21]DETEKSI ROT 2 (2)'!$D$343:$D$622=$D510),0))</f>
        <v>39</v>
      </c>
      <c r="P510" s="9">
        <f t="array" ref="P510">IFERROR(O510/G510*100,0)</f>
        <v>1.3732394366197185</v>
      </c>
      <c r="Q510" s="143">
        <f t="array" ref="Q510">INDEX('[21]DETEKSI ROT 2 (2)'!$I$343:$I$622,MATCH(1,('[21]DETEKSI ROT 2 (2)'!$D$343:$D$622=$D510)*('[21]DETEKSI ROT 2 (2)'!$D$343:$D$622=$D510),0))</f>
        <v>1</v>
      </c>
      <c r="R510" s="9">
        <f t="shared" si="70"/>
        <v>2.5641025641025639</v>
      </c>
      <c r="S510" s="8" t="str">
        <f t="array" ref="S510">IF(R510&gt;5,"Perlu Sensus",IF(AND(R510&gt;=0,O510&gt;0),"Tetap Deteksi","Belum Deteksi"))</f>
        <v>Tetap Deteksi</v>
      </c>
      <c r="T510" s="203"/>
      <c r="U510" s="9">
        <f t="shared" si="71"/>
        <v>0</v>
      </c>
      <c r="V510" s="132">
        <v>46249</v>
      </c>
      <c r="W510" s="143">
        <f t="array" ref="W510">INDEX('[21]DETEKSI ROT 2 (2)'!$L$343:$L$622,MATCH(1,('[21]DETEKSI ROT 2 (2)'!$D$343:$D$622=$D510)*('[21]DETEKSI ROT 2 (2)'!$D$343:$D$622=$D510),0))</f>
        <v>61</v>
      </c>
      <c r="X510" s="143">
        <f t="array" ref="X510">INDEX('[21]DETEKSI ROT 2 (2)'!$M$343:$M$622,MATCH(1,('[21]DETEKSI ROT 2 (2)'!$D$343:$D$622=$D510)*('[21]DETEKSI ROT 2 (2)'!$D$343:$D$622=$D510),0))</f>
        <v>2</v>
      </c>
      <c r="Y510" s="9">
        <f t="shared" si="78"/>
        <v>3.278688524590164</v>
      </c>
      <c r="Z510" s="8" t="str">
        <f t="array" ref="Z510">IF(Y510&gt;5,"Perlu Sensus",IF(AND(Y510&gt;0,,O510&gt;0),"Tetap Deteksi","Belum Deteksi"))</f>
        <v>Belum Deteksi</v>
      </c>
      <c r="AA510" s="203"/>
      <c r="AB510" s="9">
        <f t="shared" si="72"/>
        <v>0</v>
      </c>
    </row>
    <row r="511" spans="1:28" x14ac:dyDescent="0.15">
      <c r="A511" s="8" t="s">
        <v>322</v>
      </c>
      <c r="B511" s="8" t="s">
        <v>107</v>
      </c>
      <c r="C511" s="8" t="s">
        <v>521</v>
      </c>
      <c r="D511" s="8" t="s">
        <v>540</v>
      </c>
      <c r="E511" s="9">
        <v>25.34</v>
      </c>
      <c r="F511" s="8" t="s">
        <v>16</v>
      </c>
      <c r="G511" s="10">
        <v>3632</v>
      </c>
      <c r="H511" s="132">
        <f t="shared" si="73"/>
        <v>46249</v>
      </c>
      <c r="I511" s="140">
        <f t="shared" si="74"/>
        <v>46</v>
      </c>
      <c r="J511" s="9">
        <f t="shared" si="75"/>
        <v>1.2665198237885462</v>
      </c>
      <c r="K511" s="140">
        <f t="shared" si="76"/>
        <v>2</v>
      </c>
      <c r="L511" s="206">
        <f t="shared" si="77"/>
        <v>4.3478260869565215</v>
      </c>
      <c r="M511" s="8" t="str">
        <f t="array" ref="M511">IF(L511&gt;5,"Perlu Sensus",IF(AND(L511&gt;=0,I511&gt;0),"Tetap Deteksi","Belum Deteksi"))</f>
        <v>Tetap Deteksi</v>
      </c>
      <c r="N511" s="132">
        <v>46249</v>
      </c>
      <c r="O511" s="143">
        <f t="array" ref="O511">INDEX('[21]DETEKSI ROT 2 (2)'!$G$343:$G$622,MATCH(1,('[21]DETEKSI ROT 2 (2)'!$D$343:$D$622=$D511)*('[21]DETEKSI ROT 2 (2)'!$D$343:$D$622=$D511),0))</f>
        <v>46</v>
      </c>
      <c r="P511" s="9">
        <f t="array" ref="P511">IFERROR(O511/G511*100,0)</f>
        <v>1.2665198237885462</v>
      </c>
      <c r="Q511" s="143">
        <f t="array" ref="Q511">INDEX('[21]DETEKSI ROT 2 (2)'!$I$343:$I$622,MATCH(1,('[21]DETEKSI ROT 2 (2)'!$D$343:$D$622=$D511)*('[21]DETEKSI ROT 2 (2)'!$D$343:$D$622=$D511),0))</f>
        <v>2</v>
      </c>
      <c r="R511" s="9">
        <f t="shared" si="70"/>
        <v>4.3478260869565215</v>
      </c>
      <c r="S511" s="8" t="str">
        <f t="array" ref="S511">IF(R511&gt;5,"Perlu Sensus",IF(AND(R511&gt;=0,O511&gt;0),"Tetap Deteksi","Belum Deteksi"))</f>
        <v>Tetap Deteksi</v>
      </c>
      <c r="T511" s="203"/>
      <c r="U511" s="9">
        <f t="shared" si="71"/>
        <v>0</v>
      </c>
      <c r="V511" s="132">
        <v>46249</v>
      </c>
      <c r="W511" s="143">
        <f t="array" ref="W511">INDEX('[21]DETEKSI ROT 2 (2)'!$L$343:$L$622,MATCH(1,('[21]DETEKSI ROT 2 (2)'!$D$343:$D$622=$D511)*('[21]DETEKSI ROT 2 (2)'!$D$343:$D$622=$D511),0))</f>
        <v>48</v>
      </c>
      <c r="X511" s="143">
        <f t="array" ref="X511">INDEX('[21]DETEKSI ROT 2 (2)'!$M$343:$M$622,MATCH(1,('[21]DETEKSI ROT 2 (2)'!$D$343:$D$622=$D511)*('[21]DETEKSI ROT 2 (2)'!$D$343:$D$622=$D511),0))</f>
        <v>1</v>
      </c>
      <c r="Y511" s="9">
        <f t="shared" si="78"/>
        <v>2.083333333333333</v>
      </c>
      <c r="Z511" s="8" t="str">
        <f t="array" ref="Z511">IF(Y511&gt;5,"Perlu Sensus",IF(AND(Y511&gt;0,,O511&gt;0),"Tetap Deteksi","Belum Deteksi"))</f>
        <v>Belum Deteksi</v>
      </c>
      <c r="AA511" s="203"/>
      <c r="AB511" s="9">
        <f t="shared" si="72"/>
        <v>0</v>
      </c>
    </row>
    <row r="512" spans="1:28" x14ac:dyDescent="0.15">
      <c r="A512" s="8" t="s">
        <v>322</v>
      </c>
      <c r="B512" s="8" t="s">
        <v>107</v>
      </c>
      <c r="C512" s="8" t="s">
        <v>521</v>
      </c>
      <c r="D512" s="8" t="s">
        <v>541</v>
      </c>
      <c r="E512" s="9">
        <v>25.78</v>
      </c>
      <c r="F512" s="8" t="s">
        <v>16</v>
      </c>
      <c r="G512" s="10">
        <v>3730</v>
      </c>
      <c r="H512" s="132">
        <f t="shared" si="73"/>
        <v>46249</v>
      </c>
      <c r="I512" s="140">
        <f t="shared" si="74"/>
        <v>63</v>
      </c>
      <c r="J512" s="9">
        <f t="shared" si="75"/>
        <v>1.6890080428954422</v>
      </c>
      <c r="K512" s="140">
        <f t="shared" si="76"/>
        <v>2</v>
      </c>
      <c r="L512" s="206">
        <f t="shared" si="77"/>
        <v>3.1746031746031744</v>
      </c>
      <c r="M512" s="8" t="str">
        <f t="array" ref="M512">IF(L512&gt;5,"Perlu Sensus",IF(AND(L512&gt;=0,I512&gt;0),"Tetap Deteksi","Belum Deteksi"))</f>
        <v>Tetap Deteksi</v>
      </c>
      <c r="N512" s="132">
        <v>46249</v>
      </c>
      <c r="O512" s="143">
        <f t="array" ref="O512">INDEX('[21]DETEKSI ROT 2 (2)'!$G$343:$G$622,MATCH(1,('[21]DETEKSI ROT 2 (2)'!$D$343:$D$622=$D512)*('[21]DETEKSI ROT 2 (2)'!$D$343:$D$622=$D512),0))</f>
        <v>63</v>
      </c>
      <c r="P512" s="9">
        <f t="array" ref="P512">IFERROR(O512/G512*100,0)</f>
        <v>1.6890080428954422</v>
      </c>
      <c r="Q512" s="143">
        <f t="array" ref="Q512">INDEX('[21]DETEKSI ROT 2 (2)'!$I$343:$I$622,MATCH(1,('[21]DETEKSI ROT 2 (2)'!$D$343:$D$622=$D512)*('[21]DETEKSI ROT 2 (2)'!$D$343:$D$622=$D512),0))</f>
        <v>2</v>
      </c>
      <c r="R512" s="9">
        <f t="shared" si="70"/>
        <v>3.1746031746031744</v>
      </c>
      <c r="S512" s="8" t="str">
        <f t="array" ref="S512">IF(R512&gt;5,"Perlu Sensus",IF(AND(R512&gt;=0,O512&gt;0),"Tetap Deteksi","Belum Deteksi"))</f>
        <v>Tetap Deteksi</v>
      </c>
      <c r="T512" s="203"/>
      <c r="U512" s="9">
        <f t="shared" si="71"/>
        <v>0</v>
      </c>
      <c r="V512" s="132">
        <v>46249</v>
      </c>
      <c r="W512" s="143">
        <f t="array" ref="W512">INDEX('[21]DETEKSI ROT 2 (2)'!$L$343:$L$622,MATCH(1,('[21]DETEKSI ROT 2 (2)'!$D$343:$D$622=$D512)*('[21]DETEKSI ROT 2 (2)'!$D$343:$D$622=$D512),0))</f>
        <v>56</v>
      </c>
      <c r="X512" s="143">
        <f t="array" ref="X512">INDEX('[21]DETEKSI ROT 2 (2)'!$M$343:$M$622,MATCH(1,('[21]DETEKSI ROT 2 (2)'!$D$343:$D$622=$D512)*('[21]DETEKSI ROT 2 (2)'!$D$343:$D$622=$D512),0))</f>
        <v>2</v>
      </c>
      <c r="Y512" s="9">
        <f t="shared" si="78"/>
        <v>3.5714285714285712</v>
      </c>
      <c r="Z512" s="8" t="str">
        <f t="array" ref="Z512">IF(Y512&gt;5,"Perlu Sensus",IF(AND(Y512&gt;0,,O512&gt;0),"Tetap Deteksi","Belum Deteksi"))</f>
        <v>Belum Deteksi</v>
      </c>
      <c r="AA512" s="203"/>
      <c r="AB512" s="9">
        <f t="shared" si="72"/>
        <v>0</v>
      </c>
    </row>
    <row r="513" spans="1:28" x14ac:dyDescent="0.15">
      <c r="A513" s="8" t="s">
        <v>322</v>
      </c>
      <c r="B513" s="8" t="s">
        <v>107</v>
      </c>
      <c r="C513" s="8" t="s">
        <v>521</v>
      </c>
      <c r="D513" s="8" t="s">
        <v>542</v>
      </c>
      <c r="E513" s="9">
        <v>26.4</v>
      </c>
      <c r="F513" s="8" t="s">
        <v>16</v>
      </c>
      <c r="G513" s="10">
        <v>3927</v>
      </c>
      <c r="H513" s="132">
        <f t="shared" si="73"/>
        <v>46249</v>
      </c>
      <c r="I513" s="140">
        <f t="shared" si="74"/>
        <v>54</v>
      </c>
      <c r="J513" s="9">
        <f t="shared" si="75"/>
        <v>1.3750954927425516</v>
      </c>
      <c r="K513" s="140">
        <f t="shared" si="76"/>
        <v>1</v>
      </c>
      <c r="L513" s="206">
        <f t="shared" si="77"/>
        <v>1.8518518518518516</v>
      </c>
      <c r="M513" s="8" t="str">
        <f t="array" ref="M513">IF(L513&gt;5,"Perlu Sensus",IF(AND(L513&gt;=0,I513&gt;0),"Tetap Deteksi","Belum Deteksi"))</f>
        <v>Tetap Deteksi</v>
      </c>
      <c r="N513" s="132">
        <v>46249</v>
      </c>
      <c r="O513" s="143">
        <f t="array" ref="O513">INDEX('[21]DETEKSI ROT 2 (2)'!$G$343:$G$622,MATCH(1,('[21]DETEKSI ROT 2 (2)'!$D$343:$D$622=$D513)*('[21]DETEKSI ROT 2 (2)'!$D$343:$D$622=$D513),0))</f>
        <v>54</v>
      </c>
      <c r="P513" s="9">
        <f t="array" ref="P513">IFERROR(O513/G513*100,0)</f>
        <v>1.3750954927425516</v>
      </c>
      <c r="Q513" s="143">
        <f t="array" ref="Q513">INDEX('[21]DETEKSI ROT 2 (2)'!$I$343:$I$622,MATCH(1,('[21]DETEKSI ROT 2 (2)'!$D$343:$D$622=$D513)*('[21]DETEKSI ROT 2 (2)'!$D$343:$D$622=$D513),0))</f>
        <v>1</v>
      </c>
      <c r="R513" s="9">
        <f t="shared" si="70"/>
        <v>1.8518518518518516</v>
      </c>
      <c r="S513" s="8" t="str">
        <f t="array" ref="S513">IF(R513&gt;5,"Perlu Sensus",IF(AND(R513&gt;=0,O513&gt;0),"Tetap Deteksi","Belum Deteksi"))</f>
        <v>Tetap Deteksi</v>
      </c>
      <c r="T513" s="203"/>
      <c r="U513" s="9">
        <f t="shared" si="71"/>
        <v>0</v>
      </c>
      <c r="V513" s="132">
        <v>46249</v>
      </c>
      <c r="W513" s="143">
        <f t="array" ref="W513">INDEX('[21]DETEKSI ROT 2 (2)'!$L$343:$L$622,MATCH(1,('[21]DETEKSI ROT 2 (2)'!$D$343:$D$622=$D513)*('[21]DETEKSI ROT 2 (2)'!$D$343:$D$622=$D513),0))</f>
        <v>43</v>
      </c>
      <c r="X513" s="143">
        <f t="array" ref="X513">INDEX('[21]DETEKSI ROT 2 (2)'!$M$343:$M$622,MATCH(1,('[21]DETEKSI ROT 2 (2)'!$D$343:$D$622=$D513)*('[21]DETEKSI ROT 2 (2)'!$D$343:$D$622=$D513),0))</f>
        <v>2</v>
      </c>
      <c r="Y513" s="9">
        <f t="shared" si="78"/>
        <v>4.6511627906976747</v>
      </c>
      <c r="Z513" s="8" t="str">
        <f t="array" ref="Z513">IF(Y513&gt;5,"Perlu Sensus",IF(AND(Y513&gt;0,,O513&gt;0),"Tetap Deteksi","Belum Deteksi"))</f>
        <v>Belum Deteksi</v>
      </c>
      <c r="AA513" s="203"/>
      <c r="AB513" s="9">
        <f t="shared" si="72"/>
        <v>0</v>
      </c>
    </row>
    <row r="514" spans="1:28" x14ac:dyDescent="0.15">
      <c r="A514" s="8" t="s">
        <v>322</v>
      </c>
      <c r="B514" s="8" t="s">
        <v>107</v>
      </c>
      <c r="C514" s="8" t="s">
        <v>521</v>
      </c>
      <c r="D514" s="8" t="s">
        <v>543</v>
      </c>
      <c r="E514" s="9">
        <v>25.38</v>
      </c>
      <c r="F514" s="8" t="s">
        <v>16</v>
      </c>
      <c r="G514" s="10">
        <v>3541</v>
      </c>
      <c r="H514" s="132">
        <f t="shared" si="73"/>
        <v>46249</v>
      </c>
      <c r="I514" s="140">
        <f t="shared" si="74"/>
        <v>65</v>
      </c>
      <c r="J514" s="9">
        <f t="shared" si="75"/>
        <v>1.835639649816436</v>
      </c>
      <c r="K514" s="140">
        <f t="shared" si="76"/>
        <v>2</v>
      </c>
      <c r="L514" s="206">
        <f t="shared" si="77"/>
        <v>3.0769230769230771</v>
      </c>
      <c r="M514" s="8" t="str">
        <f t="array" ref="M514">IF(L514&gt;5,"Perlu Sensus",IF(AND(L514&gt;=0,I514&gt;0),"Tetap Deteksi","Belum Deteksi"))</f>
        <v>Tetap Deteksi</v>
      </c>
      <c r="N514" s="132">
        <v>46249</v>
      </c>
      <c r="O514" s="143">
        <f t="array" ref="O514">INDEX('[21]DETEKSI ROT 2 (2)'!$G$343:$G$622,MATCH(1,('[21]DETEKSI ROT 2 (2)'!$D$343:$D$622=$D514)*('[21]DETEKSI ROT 2 (2)'!$D$343:$D$622=$D514),0))</f>
        <v>65</v>
      </c>
      <c r="P514" s="9">
        <f t="array" ref="P514">IFERROR(O514/G514*100,0)</f>
        <v>1.835639649816436</v>
      </c>
      <c r="Q514" s="143">
        <f t="array" ref="Q514">INDEX('[21]DETEKSI ROT 2 (2)'!$I$343:$I$622,MATCH(1,('[21]DETEKSI ROT 2 (2)'!$D$343:$D$622=$D514)*('[21]DETEKSI ROT 2 (2)'!$D$343:$D$622=$D514),0))</f>
        <v>2</v>
      </c>
      <c r="R514" s="9">
        <f t="shared" si="70"/>
        <v>3.0769230769230771</v>
      </c>
      <c r="S514" s="8" t="str">
        <f t="array" ref="S514">IF(R514&gt;5,"Perlu Sensus",IF(AND(R514&gt;=0,O514&gt;0),"Tetap Deteksi","Belum Deteksi"))</f>
        <v>Tetap Deteksi</v>
      </c>
      <c r="T514" s="203"/>
      <c r="U514" s="9">
        <f t="shared" si="71"/>
        <v>0</v>
      </c>
      <c r="V514" s="132">
        <v>46249</v>
      </c>
      <c r="W514" s="143">
        <f t="array" ref="W514">INDEX('[21]DETEKSI ROT 2 (2)'!$L$343:$L$622,MATCH(1,('[21]DETEKSI ROT 2 (2)'!$D$343:$D$622=$D514)*('[21]DETEKSI ROT 2 (2)'!$D$343:$D$622=$D514),0))</f>
        <v>36</v>
      </c>
      <c r="X514" s="143">
        <f t="array" ref="X514">INDEX('[21]DETEKSI ROT 2 (2)'!$M$343:$M$622,MATCH(1,('[21]DETEKSI ROT 2 (2)'!$D$343:$D$622=$D514)*('[21]DETEKSI ROT 2 (2)'!$D$343:$D$622=$D514),0))</f>
        <v>1</v>
      </c>
      <c r="Y514" s="9">
        <f t="shared" si="78"/>
        <v>2.7777777777777777</v>
      </c>
      <c r="Z514" s="8" t="str">
        <f t="array" ref="Z514">IF(Y514&gt;5,"Perlu Sensus",IF(AND(Y514&gt;0,,O514&gt;0),"Tetap Deteksi","Belum Deteksi"))</f>
        <v>Belum Deteksi</v>
      </c>
      <c r="AA514" s="203"/>
      <c r="AB514" s="9">
        <f t="shared" si="72"/>
        <v>0</v>
      </c>
    </row>
    <row r="515" spans="1:28" x14ac:dyDescent="0.15">
      <c r="A515" s="8" t="s">
        <v>322</v>
      </c>
      <c r="B515" s="8" t="s">
        <v>107</v>
      </c>
      <c r="C515" s="8" t="s">
        <v>521</v>
      </c>
      <c r="D515" s="8" t="s">
        <v>544</v>
      </c>
      <c r="E515" s="9">
        <v>25.08</v>
      </c>
      <c r="F515" s="8" t="s">
        <v>16</v>
      </c>
      <c r="G515" s="10">
        <v>3475</v>
      </c>
      <c r="H515" s="132">
        <f t="shared" si="73"/>
        <v>46249</v>
      </c>
      <c r="I515" s="140">
        <f t="shared" si="74"/>
        <v>53</v>
      </c>
      <c r="J515" s="9">
        <f t="shared" si="75"/>
        <v>1.525179856115108</v>
      </c>
      <c r="K515" s="140">
        <f t="shared" si="76"/>
        <v>2</v>
      </c>
      <c r="L515" s="206">
        <f t="shared" si="77"/>
        <v>3.7735849056603774</v>
      </c>
      <c r="M515" s="8" t="str">
        <f t="array" ref="M515">IF(L515&gt;5,"Perlu Sensus",IF(AND(L515&gt;=0,I515&gt;0),"Tetap Deteksi","Belum Deteksi"))</f>
        <v>Tetap Deteksi</v>
      </c>
      <c r="N515" s="132">
        <v>46249</v>
      </c>
      <c r="O515" s="143">
        <f t="array" ref="O515">INDEX('[21]DETEKSI ROT 2 (2)'!$G$343:$G$622,MATCH(1,('[21]DETEKSI ROT 2 (2)'!$D$343:$D$622=$D515)*('[21]DETEKSI ROT 2 (2)'!$D$343:$D$622=$D515),0))</f>
        <v>53</v>
      </c>
      <c r="P515" s="9">
        <f t="array" ref="P515">IFERROR(O515/G515*100,0)</f>
        <v>1.525179856115108</v>
      </c>
      <c r="Q515" s="143">
        <f t="array" ref="Q515">INDEX('[21]DETEKSI ROT 2 (2)'!$I$343:$I$622,MATCH(1,('[21]DETEKSI ROT 2 (2)'!$D$343:$D$622=$D515)*('[21]DETEKSI ROT 2 (2)'!$D$343:$D$622=$D515),0))</f>
        <v>2</v>
      </c>
      <c r="R515" s="9">
        <f t="shared" si="70"/>
        <v>3.7735849056603774</v>
      </c>
      <c r="S515" s="8" t="str">
        <f t="array" ref="S515">IF(R515&gt;5,"Perlu Sensus",IF(AND(R515&gt;=0,O515&gt;0),"Tetap Deteksi","Belum Deteksi"))</f>
        <v>Tetap Deteksi</v>
      </c>
      <c r="T515" s="203"/>
      <c r="U515" s="9">
        <f t="shared" si="71"/>
        <v>0</v>
      </c>
      <c r="V515" s="132">
        <v>46249</v>
      </c>
      <c r="W515" s="143">
        <f t="array" ref="W515">INDEX('[21]DETEKSI ROT 2 (2)'!$L$343:$L$622,MATCH(1,('[21]DETEKSI ROT 2 (2)'!$D$343:$D$622=$D515)*('[21]DETEKSI ROT 2 (2)'!$D$343:$D$622=$D515),0))</f>
        <v>48</v>
      </c>
      <c r="X515" s="143">
        <f t="array" ref="X515">INDEX('[21]DETEKSI ROT 2 (2)'!$M$343:$M$622,MATCH(1,('[21]DETEKSI ROT 2 (2)'!$D$343:$D$622=$D515)*('[21]DETEKSI ROT 2 (2)'!$D$343:$D$622=$D515),0))</f>
        <v>1</v>
      </c>
      <c r="Y515" s="9">
        <f t="shared" si="78"/>
        <v>2.083333333333333</v>
      </c>
      <c r="Z515" s="8" t="str">
        <f t="array" ref="Z515">IF(Y515&gt;5,"Perlu Sensus",IF(AND(Y515&gt;0,,O515&gt;0),"Tetap Deteksi","Belum Deteksi"))</f>
        <v>Belum Deteksi</v>
      </c>
      <c r="AA515" s="203"/>
      <c r="AB515" s="9">
        <f t="shared" si="72"/>
        <v>0</v>
      </c>
    </row>
    <row r="516" spans="1:28" x14ac:dyDescent="0.15">
      <c r="A516" s="8" t="s">
        <v>322</v>
      </c>
      <c r="B516" s="8" t="s">
        <v>107</v>
      </c>
      <c r="C516" s="8" t="s">
        <v>521</v>
      </c>
      <c r="D516" s="8" t="s">
        <v>545</v>
      </c>
      <c r="E516" s="9">
        <v>34.18</v>
      </c>
      <c r="F516" s="8" t="s">
        <v>16</v>
      </c>
      <c r="G516" s="10">
        <v>3839</v>
      </c>
      <c r="H516" s="132">
        <f t="shared" si="73"/>
        <v>46249</v>
      </c>
      <c r="I516" s="140">
        <f t="shared" si="74"/>
        <v>76</v>
      </c>
      <c r="J516" s="9">
        <f t="shared" si="75"/>
        <v>1.9796822089085699</v>
      </c>
      <c r="K516" s="140">
        <f t="shared" si="76"/>
        <v>3</v>
      </c>
      <c r="L516" s="206">
        <f t="shared" si="77"/>
        <v>3.9473684210526314</v>
      </c>
      <c r="M516" s="8" t="str">
        <f t="array" ref="M516">IF(L516&gt;5,"Perlu Sensus",IF(AND(L516&gt;=0,I516&gt;0),"Tetap Deteksi","Belum Deteksi"))</f>
        <v>Tetap Deteksi</v>
      </c>
      <c r="N516" s="132">
        <v>46249</v>
      </c>
      <c r="O516" s="143">
        <f t="array" ref="O516">INDEX('[21]DETEKSI ROT 2 (2)'!$G$343:$G$622,MATCH(1,('[21]DETEKSI ROT 2 (2)'!$D$343:$D$622=$D516)*('[21]DETEKSI ROT 2 (2)'!$D$343:$D$622=$D516),0))</f>
        <v>76</v>
      </c>
      <c r="P516" s="9">
        <f t="array" ref="P516">IFERROR(O516/G516*100,0)</f>
        <v>1.9796822089085699</v>
      </c>
      <c r="Q516" s="143">
        <f t="array" ref="Q516">INDEX('[21]DETEKSI ROT 2 (2)'!$I$343:$I$622,MATCH(1,('[21]DETEKSI ROT 2 (2)'!$D$343:$D$622=$D516)*('[21]DETEKSI ROT 2 (2)'!$D$343:$D$622=$D516),0))</f>
        <v>3</v>
      </c>
      <c r="R516" s="9">
        <f t="shared" si="70"/>
        <v>3.9473684210526314</v>
      </c>
      <c r="S516" s="8" t="str">
        <f t="array" ref="S516">IF(R516&gt;5,"Perlu Sensus",IF(AND(R516&gt;=0,O516&gt;0),"Tetap Deteksi","Belum Deteksi"))</f>
        <v>Tetap Deteksi</v>
      </c>
      <c r="T516" s="203"/>
      <c r="U516" s="9">
        <f t="shared" si="71"/>
        <v>0</v>
      </c>
      <c r="V516" s="132">
        <v>46249</v>
      </c>
      <c r="W516" s="143">
        <f t="array" ref="W516">INDEX('[21]DETEKSI ROT 2 (2)'!$L$343:$L$622,MATCH(1,('[21]DETEKSI ROT 2 (2)'!$D$343:$D$622=$D516)*('[21]DETEKSI ROT 2 (2)'!$D$343:$D$622=$D516),0))</f>
        <v>34</v>
      </c>
      <c r="X516" s="143">
        <f t="array" ref="X516">INDEX('[21]DETEKSI ROT 2 (2)'!$M$343:$M$622,MATCH(1,('[21]DETEKSI ROT 2 (2)'!$D$343:$D$622=$D516)*('[21]DETEKSI ROT 2 (2)'!$D$343:$D$622=$D516),0))</f>
        <v>1</v>
      </c>
      <c r="Y516" s="9">
        <f t="shared" si="78"/>
        <v>2.9411764705882351</v>
      </c>
      <c r="Z516" s="8" t="str">
        <f t="array" ref="Z516">IF(Y516&gt;5,"Perlu Sensus",IF(AND(Y516&gt;0,,O516&gt;0),"Tetap Deteksi","Belum Deteksi"))</f>
        <v>Belum Deteksi</v>
      </c>
      <c r="AA516" s="203"/>
      <c r="AB516" s="9">
        <f t="shared" si="72"/>
        <v>0</v>
      </c>
    </row>
    <row r="517" spans="1:28" x14ac:dyDescent="0.15">
      <c r="A517" s="8" t="s">
        <v>322</v>
      </c>
      <c r="B517" s="8" t="s">
        <v>107</v>
      </c>
      <c r="C517" s="8" t="s">
        <v>521</v>
      </c>
      <c r="D517" s="8" t="s">
        <v>2043</v>
      </c>
      <c r="E517" s="9">
        <v>45.13</v>
      </c>
      <c r="F517" s="8" t="s">
        <v>132</v>
      </c>
      <c r="G517" s="10">
        <v>6413</v>
      </c>
      <c r="H517" s="132">
        <f t="shared" si="73"/>
        <v>46249</v>
      </c>
      <c r="I517" s="140">
        <f t="shared" si="74"/>
        <v>49</v>
      </c>
      <c r="J517" s="9">
        <f t="shared" si="75"/>
        <v>0.76407297676594421</v>
      </c>
      <c r="K517" s="140">
        <f t="shared" si="76"/>
        <v>2</v>
      </c>
      <c r="L517" s="206">
        <f t="shared" si="77"/>
        <v>4.0816326530612246</v>
      </c>
      <c r="M517" s="8" t="str">
        <f t="array" ref="M517">IF(L517&gt;5,"Perlu Sensus",IF(AND(L517&gt;=0,I517&gt;0),"Tetap Deteksi","Belum Deteksi"))</f>
        <v>Tetap Deteksi</v>
      </c>
      <c r="N517" s="132">
        <v>46249</v>
      </c>
      <c r="O517" s="143">
        <f t="array" ref="O517">INDEX('[21]DETEKSI ROT 2 (2)'!$G$343:$G$622,MATCH(1,('[21]DETEKSI ROT 2 (2)'!$D$343:$D$622=$D517)*('[21]DETEKSI ROT 2 (2)'!$D$343:$D$622=$D517),0))</f>
        <v>49</v>
      </c>
      <c r="P517" s="9">
        <f t="array" ref="P517">IFERROR(O517/G517*100,0)</f>
        <v>0.76407297676594421</v>
      </c>
      <c r="Q517" s="143">
        <f t="array" ref="Q517">INDEX('[21]DETEKSI ROT 2 (2)'!$I$343:$I$622,MATCH(1,('[21]DETEKSI ROT 2 (2)'!$D$343:$D$622=$D517)*('[21]DETEKSI ROT 2 (2)'!$D$343:$D$622=$D517),0))</f>
        <v>2</v>
      </c>
      <c r="R517" s="9">
        <f t="shared" si="70"/>
        <v>4.0816326530612246</v>
      </c>
      <c r="S517" s="8" t="str">
        <f t="array" ref="S517">IF(R517&gt;5,"Perlu Sensus",IF(AND(R517&gt;=0,O517&gt;0),"Tetap Deteksi","Belum Deteksi"))</f>
        <v>Tetap Deteksi</v>
      </c>
      <c r="T517" s="203"/>
      <c r="U517" s="9">
        <f t="shared" si="71"/>
        <v>0</v>
      </c>
      <c r="V517" s="132">
        <v>46249</v>
      </c>
      <c r="W517" s="143">
        <f t="array" ref="W517">INDEX('[21]DETEKSI ROT 2 (2)'!$L$343:$L$622,MATCH(1,('[21]DETEKSI ROT 2 (2)'!$D$343:$D$622=$D517)*('[21]DETEKSI ROT 2 (2)'!$D$343:$D$622=$D517),0))</f>
        <v>55</v>
      </c>
      <c r="X517" s="143">
        <f t="array" ref="X517">INDEX('[21]DETEKSI ROT 2 (2)'!$M$343:$M$622,MATCH(1,('[21]DETEKSI ROT 2 (2)'!$D$343:$D$622=$D517)*('[21]DETEKSI ROT 2 (2)'!$D$343:$D$622=$D517),0))</f>
        <v>5</v>
      </c>
      <c r="Y517" s="9">
        <f t="shared" si="78"/>
        <v>9.0909090909090917</v>
      </c>
      <c r="Z517" s="8" t="str">
        <f t="array" ref="Z517">IF(Y517&gt;5,"Perlu Sensus",IF(AND(Y517&gt;0,,O517&gt;0),"Tetap Deteksi","Belum Deteksi"))</f>
        <v>Perlu Sensus</v>
      </c>
      <c r="AA517" s="203"/>
      <c r="AB517" s="9">
        <f t="shared" si="72"/>
        <v>0</v>
      </c>
    </row>
    <row r="518" spans="1:28" x14ac:dyDescent="0.15">
      <c r="A518" s="8" t="s">
        <v>322</v>
      </c>
      <c r="B518" s="8" t="s">
        <v>107</v>
      </c>
      <c r="C518" s="8" t="s">
        <v>521</v>
      </c>
      <c r="D518" s="8" t="s">
        <v>546</v>
      </c>
      <c r="E518" s="9">
        <v>42.69</v>
      </c>
      <c r="F518" s="8" t="s">
        <v>132</v>
      </c>
      <c r="G518" s="10">
        <v>6342</v>
      </c>
      <c r="H518" s="132">
        <f t="shared" si="73"/>
        <v>46249</v>
      </c>
      <c r="I518" s="140">
        <f t="shared" si="74"/>
        <v>42</v>
      </c>
      <c r="J518" s="9">
        <f t="shared" si="75"/>
        <v>0.66225165562913912</v>
      </c>
      <c r="K518" s="140">
        <f t="shared" si="76"/>
        <v>1</v>
      </c>
      <c r="L518" s="206">
        <f t="shared" si="77"/>
        <v>2.3809523809523809</v>
      </c>
      <c r="M518" s="8" t="str">
        <f t="array" ref="M518">IF(L518&gt;5,"Perlu Sensus",IF(AND(L518&gt;=0,I518&gt;0),"Tetap Deteksi","Belum Deteksi"))</f>
        <v>Tetap Deteksi</v>
      </c>
      <c r="N518" s="132">
        <v>46249</v>
      </c>
      <c r="O518" s="143">
        <f t="array" ref="O518">INDEX('[21]DETEKSI ROT 2 (2)'!$G$343:$G$622,MATCH(1,('[21]DETEKSI ROT 2 (2)'!$D$343:$D$622=$D518)*('[21]DETEKSI ROT 2 (2)'!$D$343:$D$622=$D518),0))</f>
        <v>42</v>
      </c>
      <c r="P518" s="9">
        <f t="array" ref="P518">IFERROR(O518/G518*100,0)</f>
        <v>0.66225165562913912</v>
      </c>
      <c r="Q518" s="143">
        <f t="array" ref="Q518">INDEX('[21]DETEKSI ROT 2 (2)'!$I$343:$I$622,MATCH(1,('[21]DETEKSI ROT 2 (2)'!$D$343:$D$622=$D518)*('[21]DETEKSI ROT 2 (2)'!$D$343:$D$622=$D518),0))</f>
        <v>1</v>
      </c>
      <c r="R518" s="9">
        <f t="shared" si="70"/>
        <v>2.3809523809523809</v>
      </c>
      <c r="S518" s="8" t="str">
        <f t="array" ref="S518">IF(R518&gt;5,"Perlu Sensus",IF(AND(R518&gt;=0,O518&gt;0),"Tetap Deteksi","Belum Deteksi"))</f>
        <v>Tetap Deteksi</v>
      </c>
      <c r="T518" s="203"/>
      <c r="U518" s="9">
        <f t="shared" si="71"/>
        <v>0</v>
      </c>
      <c r="V518" s="132">
        <v>46249</v>
      </c>
      <c r="W518" s="143">
        <f t="array" ref="W518">INDEX('[21]DETEKSI ROT 2 (2)'!$L$343:$L$622,MATCH(1,('[21]DETEKSI ROT 2 (2)'!$D$343:$D$622=$D518)*('[21]DETEKSI ROT 2 (2)'!$D$343:$D$622=$D518),0))</f>
        <v>49</v>
      </c>
      <c r="X518" s="143">
        <f t="array" ref="X518">INDEX('[21]DETEKSI ROT 2 (2)'!$M$343:$M$622,MATCH(1,('[21]DETEKSI ROT 2 (2)'!$D$343:$D$622=$D518)*('[21]DETEKSI ROT 2 (2)'!$D$343:$D$622=$D518),0))</f>
        <v>1</v>
      </c>
      <c r="Y518" s="9">
        <f t="shared" si="78"/>
        <v>2.0408163265306123</v>
      </c>
      <c r="Z518" s="8" t="str">
        <f t="array" ref="Z518">IF(Y518&gt;5,"Perlu Sensus",IF(AND(Y518&gt;0,,O518&gt;0),"Tetap Deteksi","Belum Deteksi"))</f>
        <v>Belum Deteksi</v>
      </c>
      <c r="AA518" s="203"/>
      <c r="AB518" s="9">
        <f t="shared" si="72"/>
        <v>0</v>
      </c>
    </row>
    <row r="519" spans="1:28" x14ac:dyDescent="0.15">
      <c r="A519" s="8" t="s">
        <v>322</v>
      </c>
      <c r="B519" s="8" t="s">
        <v>107</v>
      </c>
      <c r="C519" s="8" t="s">
        <v>521</v>
      </c>
      <c r="D519" s="8" t="s">
        <v>547</v>
      </c>
      <c r="E519" s="8">
        <v>24.21</v>
      </c>
      <c r="F519" s="8" t="s">
        <v>132</v>
      </c>
      <c r="G519" s="10">
        <v>2701</v>
      </c>
      <c r="H519" s="132">
        <f t="shared" si="73"/>
        <v>46249</v>
      </c>
      <c r="I519" s="140">
        <f t="shared" si="74"/>
        <v>35</v>
      </c>
      <c r="J519" s="9">
        <f t="shared" si="75"/>
        <v>1.2958163643095151</v>
      </c>
      <c r="K519" s="140">
        <f t="shared" si="76"/>
        <v>1</v>
      </c>
      <c r="L519" s="206">
        <f t="shared" si="77"/>
        <v>2.8571428571428572</v>
      </c>
      <c r="M519" s="8" t="str">
        <f t="array" ref="M519">IF(L519&gt;5,"Perlu Sensus",IF(AND(L519&gt;=0,I519&gt;0),"Tetap Deteksi","Belum Deteksi"))</f>
        <v>Tetap Deteksi</v>
      </c>
      <c r="N519" s="132">
        <v>46249</v>
      </c>
      <c r="O519" s="143">
        <f t="array" ref="O519">INDEX('[21]DETEKSI ROT 2 (2)'!$G$343:$G$622,MATCH(1,('[21]DETEKSI ROT 2 (2)'!$D$343:$D$622=$D519)*('[21]DETEKSI ROT 2 (2)'!$D$343:$D$622=$D519),0))</f>
        <v>35</v>
      </c>
      <c r="P519" s="9">
        <f t="array" ref="P519">IFERROR(O519/G519*100,0)</f>
        <v>1.2958163643095151</v>
      </c>
      <c r="Q519" s="143">
        <f t="array" ref="Q519">INDEX('[21]DETEKSI ROT 2 (2)'!$I$343:$I$622,MATCH(1,('[21]DETEKSI ROT 2 (2)'!$D$343:$D$622=$D519)*('[21]DETEKSI ROT 2 (2)'!$D$343:$D$622=$D519),0))</f>
        <v>1</v>
      </c>
      <c r="R519" s="9">
        <f t="shared" ref="R519:R582" si="79">IFERROR(Q519/O519*100,0)</f>
        <v>2.8571428571428572</v>
      </c>
      <c r="S519" s="8" t="str">
        <f t="array" ref="S519">IF(R519&gt;5,"Perlu Sensus",IF(AND(R519&gt;=0,O519&gt;0),"Tetap Deteksi","Belum Deteksi"))</f>
        <v>Tetap Deteksi</v>
      </c>
      <c r="T519" s="203"/>
      <c r="U519" s="9">
        <f t="shared" ref="U519:U582" si="80">IFERROR(T519/O519*100,0)</f>
        <v>0</v>
      </c>
      <c r="V519" s="132">
        <v>46249</v>
      </c>
      <c r="W519" s="143">
        <f t="array" ref="W519">INDEX('[21]DETEKSI ROT 2 (2)'!$L$343:$L$622,MATCH(1,('[21]DETEKSI ROT 2 (2)'!$D$343:$D$622=$D519)*('[21]DETEKSI ROT 2 (2)'!$D$343:$D$622=$D519),0))</f>
        <v>51</v>
      </c>
      <c r="X519" s="143">
        <f t="array" ref="X519">INDEX('[21]DETEKSI ROT 2 (2)'!$M$343:$M$622,MATCH(1,('[21]DETEKSI ROT 2 (2)'!$D$343:$D$622=$D519)*('[21]DETEKSI ROT 2 (2)'!$D$343:$D$622=$D519),0))</f>
        <v>4</v>
      </c>
      <c r="Y519" s="9">
        <f t="shared" si="78"/>
        <v>7.8431372549019605</v>
      </c>
      <c r="Z519" s="8" t="str">
        <f t="array" ref="Z519">IF(Y519&gt;5,"Perlu Sensus",IF(AND(Y519&gt;0,,O519&gt;0),"Tetap Deteksi","Belum Deteksi"))</f>
        <v>Perlu Sensus</v>
      </c>
      <c r="AA519" s="203"/>
      <c r="AB519" s="9">
        <f t="shared" ref="AB519:AB582" si="81">IFERROR(AA519/W519*100,0)</f>
        <v>0</v>
      </c>
    </row>
    <row r="520" spans="1:28" x14ac:dyDescent="0.15">
      <c r="A520" s="8" t="s">
        <v>322</v>
      </c>
      <c r="B520" s="8" t="s">
        <v>107</v>
      </c>
      <c r="C520" s="8" t="s">
        <v>521</v>
      </c>
      <c r="D520" s="8" t="s">
        <v>2044</v>
      </c>
      <c r="E520" s="8">
        <v>23.65</v>
      </c>
      <c r="F520" s="8" t="s">
        <v>132</v>
      </c>
      <c r="G520" s="10">
        <v>2021</v>
      </c>
      <c r="H520" s="132">
        <f t="shared" si="73"/>
        <v>46249</v>
      </c>
      <c r="I520" s="140">
        <f t="shared" si="74"/>
        <v>45</v>
      </c>
      <c r="J520" s="9">
        <f t="shared" si="75"/>
        <v>2.2266204849084614</v>
      </c>
      <c r="K520" s="140">
        <f t="shared" si="76"/>
        <v>1</v>
      </c>
      <c r="L520" s="206">
        <f t="shared" si="77"/>
        <v>2.2222222222222223</v>
      </c>
      <c r="M520" s="8" t="str">
        <f t="array" ref="M520">IF(L520&gt;5,"Perlu Sensus",IF(AND(L520&gt;=0,I520&gt;0),"Tetap Deteksi","Belum Deteksi"))</f>
        <v>Tetap Deteksi</v>
      </c>
      <c r="N520" s="132">
        <v>46249</v>
      </c>
      <c r="O520" s="143">
        <f t="array" ref="O520">INDEX('[21]DETEKSI ROT 2 (2)'!$G$343:$G$622,MATCH(1,('[21]DETEKSI ROT 2 (2)'!$D$343:$D$622=$D520)*('[21]DETEKSI ROT 2 (2)'!$D$343:$D$622=$D520),0))</f>
        <v>45</v>
      </c>
      <c r="P520" s="9">
        <f t="array" ref="P520">IFERROR(O520/G520*100,0)</f>
        <v>2.2266204849084614</v>
      </c>
      <c r="Q520" s="143">
        <f t="array" ref="Q520">INDEX('[21]DETEKSI ROT 2 (2)'!$I$343:$I$622,MATCH(1,('[21]DETEKSI ROT 2 (2)'!$D$343:$D$622=$D520)*('[21]DETEKSI ROT 2 (2)'!$D$343:$D$622=$D520),0))</f>
        <v>1</v>
      </c>
      <c r="R520" s="9">
        <f t="shared" si="79"/>
        <v>2.2222222222222223</v>
      </c>
      <c r="S520" s="8" t="str">
        <f t="array" ref="S520">IF(R520&gt;5,"Perlu Sensus",IF(AND(R520&gt;=0,O520&gt;0),"Tetap Deteksi","Belum Deteksi"))</f>
        <v>Tetap Deteksi</v>
      </c>
      <c r="T520" s="203"/>
      <c r="U520" s="9">
        <f t="shared" si="80"/>
        <v>0</v>
      </c>
      <c r="V520" s="132">
        <v>46249</v>
      </c>
      <c r="W520" s="143">
        <f t="array" ref="W520">INDEX('[21]DETEKSI ROT 2 (2)'!$L$343:$L$622,MATCH(1,('[21]DETEKSI ROT 2 (2)'!$D$343:$D$622=$D520)*('[21]DETEKSI ROT 2 (2)'!$D$343:$D$622=$D520),0))</f>
        <v>29</v>
      </c>
      <c r="X520" s="143">
        <f t="array" ref="X520">INDEX('[21]DETEKSI ROT 2 (2)'!$M$343:$M$622,MATCH(1,('[21]DETEKSI ROT 2 (2)'!$D$343:$D$622=$D520)*('[21]DETEKSI ROT 2 (2)'!$D$343:$D$622=$D520),0))</f>
        <v>1</v>
      </c>
      <c r="Y520" s="9">
        <f t="shared" si="78"/>
        <v>3.4482758620689653</v>
      </c>
      <c r="Z520" s="8" t="str">
        <f t="array" ref="Z520">IF(Y520&gt;5,"Perlu Sensus",IF(AND(Y520&gt;0,,O520&gt;0),"Tetap Deteksi","Belum Deteksi"))</f>
        <v>Belum Deteksi</v>
      </c>
      <c r="AA520" s="203"/>
      <c r="AB520" s="9">
        <f t="shared" si="81"/>
        <v>0</v>
      </c>
    </row>
    <row r="521" spans="1:28" x14ac:dyDescent="0.15">
      <c r="A521" s="8" t="s">
        <v>322</v>
      </c>
      <c r="B521" s="8" t="s">
        <v>107</v>
      </c>
      <c r="C521" s="8" t="s">
        <v>521</v>
      </c>
      <c r="D521" s="8" t="s">
        <v>2045</v>
      </c>
      <c r="E521" s="8">
        <v>27.55</v>
      </c>
      <c r="F521" s="8" t="s">
        <v>132</v>
      </c>
      <c r="G521" s="10">
        <v>2580</v>
      </c>
      <c r="H521" s="132">
        <f t="shared" si="73"/>
        <v>46249</v>
      </c>
      <c r="I521" s="140">
        <f t="shared" si="74"/>
        <v>51</v>
      </c>
      <c r="J521" s="9">
        <f t="shared" si="75"/>
        <v>1.9767441860465116</v>
      </c>
      <c r="K521" s="140">
        <f t="shared" si="76"/>
        <v>1</v>
      </c>
      <c r="L521" s="206">
        <f t="shared" si="77"/>
        <v>1.9607843137254901</v>
      </c>
      <c r="M521" s="8" t="str">
        <f t="array" ref="M521">IF(L521&gt;5,"Perlu Sensus",IF(AND(L521&gt;=0,I521&gt;0),"Tetap Deteksi","Belum Deteksi"))</f>
        <v>Tetap Deteksi</v>
      </c>
      <c r="N521" s="132">
        <v>46249</v>
      </c>
      <c r="O521" s="143">
        <f t="array" ref="O521">INDEX('[21]DETEKSI ROT 2 (2)'!$G$343:$G$622,MATCH(1,('[21]DETEKSI ROT 2 (2)'!$D$343:$D$622=$D521)*('[21]DETEKSI ROT 2 (2)'!$D$343:$D$622=$D521),0))</f>
        <v>51</v>
      </c>
      <c r="P521" s="9">
        <f t="array" ref="P521">IFERROR(O521/G521*100,0)</f>
        <v>1.9767441860465116</v>
      </c>
      <c r="Q521" s="143">
        <f t="array" ref="Q521">INDEX('[21]DETEKSI ROT 2 (2)'!$I$343:$I$622,MATCH(1,('[21]DETEKSI ROT 2 (2)'!$D$343:$D$622=$D521)*('[21]DETEKSI ROT 2 (2)'!$D$343:$D$622=$D521),0))</f>
        <v>1</v>
      </c>
      <c r="R521" s="9">
        <f t="shared" si="79"/>
        <v>1.9607843137254901</v>
      </c>
      <c r="S521" s="8" t="str">
        <f t="array" ref="S521">IF(R521&gt;5,"Perlu Sensus",IF(AND(R521&gt;=0,O521&gt;0),"Tetap Deteksi","Belum Deteksi"))</f>
        <v>Tetap Deteksi</v>
      </c>
      <c r="T521" s="203"/>
      <c r="U521" s="9">
        <f t="shared" si="80"/>
        <v>0</v>
      </c>
      <c r="V521" s="132">
        <v>46249</v>
      </c>
      <c r="W521" s="143">
        <f t="array" ref="W521">INDEX('[21]DETEKSI ROT 2 (2)'!$L$343:$L$622,MATCH(1,('[21]DETEKSI ROT 2 (2)'!$D$343:$D$622=$D521)*('[21]DETEKSI ROT 2 (2)'!$D$343:$D$622=$D521),0))</f>
        <v>50</v>
      </c>
      <c r="X521" s="143">
        <f t="array" ref="X521">INDEX('[21]DETEKSI ROT 2 (2)'!$M$343:$M$622,MATCH(1,('[21]DETEKSI ROT 2 (2)'!$D$343:$D$622=$D521)*('[21]DETEKSI ROT 2 (2)'!$D$343:$D$622=$D521),0))</f>
        <v>1</v>
      </c>
      <c r="Y521" s="9">
        <f t="shared" si="78"/>
        <v>2</v>
      </c>
      <c r="Z521" s="8" t="str">
        <f t="array" ref="Z521">IF(Y521&gt;5,"Perlu Sensus",IF(AND(Y521&gt;0,,O521&gt;0),"Tetap Deteksi","Belum Deteksi"))</f>
        <v>Belum Deteksi</v>
      </c>
      <c r="AA521" s="203"/>
      <c r="AB521" s="9">
        <f t="shared" si="81"/>
        <v>0</v>
      </c>
    </row>
    <row r="522" spans="1:28" x14ac:dyDescent="0.15">
      <c r="A522" s="8" t="s">
        <v>322</v>
      </c>
      <c r="B522" s="8" t="s">
        <v>107</v>
      </c>
      <c r="C522" s="8" t="s">
        <v>521</v>
      </c>
      <c r="D522" s="8" t="s">
        <v>2046</v>
      </c>
      <c r="E522" s="8">
        <v>21.66</v>
      </c>
      <c r="F522" s="8" t="s">
        <v>132</v>
      </c>
      <c r="G522" s="10">
        <v>2533</v>
      </c>
      <c r="H522" s="132">
        <f t="shared" si="73"/>
        <v>46249</v>
      </c>
      <c r="I522" s="140">
        <f t="shared" si="74"/>
        <v>27</v>
      </c>
      <c r="J522" s="9">
        <f t="shared" si="75"/>
        <v>1.0659297275957362</v>
      </c>
      <c r="K522" s="140">
        <f t="shared" si="76"/>
        <v>1</v>
      </c>
      <c r="L522" s="206">
        <f t="shared" si="77"/>
        <v>3.7037037037037033</v>
      </c>
      <c r="M522" s="8" t="str">
        <f t="array" ref="M522">IF(L522&gt;5,"Perlu Sensus",IF(AND(L522&gt;=0,I522&gt;0),"Tetap Deteksi","Belum Deteksi"))</f>
        <v>Tetap Deteksi</v>
      </c>
      <c r="N522" s="132">
        <v>46249</v>
      </c>
      <c r="O522" s="143">
        <f t="array" ref="O522">INDEX('[21]DETEKSI ROT 2 (2)'!$G$343:$G$622,MATCH(1,('[21]DETEKSI ROT 2 (2)'!$D$343:$D$622=$D522)*('[21]DETEKSI ROT 2 (2)'!$D$343:$D$622=$D522),0))</f>
        <v>27</v>
      </c>
      <c r="P522" s="9">
        <f t="array" ref="P522">IFERROR(O522/G522*100,0)</f>
        <v>1.0659297275957362</v>
      </c>
      <c r="Q522" s="143">
        <f t="array" ref="Q522">INDEX('[21]DETEKSI ROT 2 (2)'!$I$343:$I$622,MATCH(1,('[21]DETEKSI ROT 2 (2)'!$D$343:$D$622=$D522)*('[21]DETEKSI ROT 2 (2)'!$D$343:$D$622=$D522),0))</f>
        <v>1</v>
      </c>
      <c r="R522" s="9">
        <f t="shared" si="79"/>
        <v>3.7037037037037033</v>
      </c>
      <c r="S522" s="8" t="str">
        <f t="array" ref="S522">IF(R522&gt;5,"Perlu Sensus",IF(AND(R522&gt;=0,O522&gt;0),"Tetap Deteksi","Belum Deteksi"))</f>
        <v>Tetap Deteksi</v>
      </c>
      <c r="T522" s="203"/>
      <c r="U522" s="9">
        <f t="shared" si="80"/>
        <v>0</v>
      </c>
      <c r="V522" s="132">
        <v>46249</v>
      </c>
      <c r="W522" s="143">
        <f t="array" ref="W522">INDEX('[21]DETEKSI ROT 2 (2)'!$L$343:$L$622,MATCH(1,('[21]DETEKSI ROT 2 (2)'!$D$343:$D$622=$D522)*('[21]DETEKSI ROT 2 (2)'!$D$343:$D$622=$D522),0))</f>
        <v>33</v>
      </c>
      <c r="X522" s="143">
        <f t="array" ref="X522">INDEX('[21]DETEKSI ROT 2 (2)'!$M$343:$M$622,MATCH(1,('[21]DETEKSI ROT 2 (2)'!$D$343:$D$622=$D522)*('[21]DETEKSI ROT 2 (2)'!$D$343:$D$622=$D522),0))</f>
        <v>1</v>
      </c>
      <c r="Y522" s="9">
        <f t="shared" si="78"/>
        <v>3.0303030303030303</v>
      </c>
      <c r="Z522" s="8" t="str">
        <f t="array" ref="Z522">IF(Y522&gt;5,"Perlu Sensus",IF(AND(Y522&gt;0,,O522&gt;0),"Tetap Deteksi","Belum Deteksi"))</f>
        <v>Belum Deteksi</v>
      </c>
      <c r="AA522" s="203"/>
      <c r="AB522" s="9">
        <f t="shared" si="81"/>
        <v>0</v>
      </c>
    </row>
    <row r="523" spans="1:28" x14ac:dyDescent="0.15">
      <c r="A523" s="8" t="s">
        <v>322</v>
      </c>
      <c r="B523" s="8" t="s">
        <v>107</v>
      </c>
      <c r="C523" s="8" t="s">
        <v>548</v>
      </c>
      <c r="D523" s="8" t="s">
        <v>549</v>
      </c>
      <c r="E523" s="8">
        <v>25.84</v>
      </c>
      <c r="F523" s="8" t="s">
        <v>16</v>
      </c>
      <c r="G523" s="10">
        <v>3850</v>
      </c>
      <c r="H523" s="132">
        <f t="shared" si="73"/>
        <v>46249</v>
      </c>
      <c r="I523" s="140">
        <f t="shared" si="74"/>
        <v>125</v>
      </c>
      <c r="J523" s="9">
        <f t="shared" si="75"/>
        <v>3.2467532467532463</v>
      </c>
      <c r="K523" s="140">
        <f t="shared" si="76"/>
        <v>12</v>
      </c>
      <c r="L523" s="206">
        <f t="shared" si="77"/>
        <v>9.6</v>
      </c>
      <c r="M523" s="8" t="str">
        <f t="array" ref="M523">IF(L523&gt;5,"Perlu Sensus",IF(AND(L523&gt;=0,I523&gt;0),"Tetap Deteksi","Belum Deteksi"))</f>
        <v>Perlu Sensus</v>
      </c>
      <c r="N523" s="132">
        <v>46249</v>
      </c>
      <c r="O523" s="143">
        <f t="array" ref="O523">INDEX('[21]DETEKSI ROT 2 (2)'!$G$343:$G$622,MATCH(1,('[21]DETEKSI ROT 2 (2)'!$D$343:$D$622=$D523)*('[21]DETEKSI ROT 2 (2)'!$D$343:$D$622=$D523),0))</f>
        <v>125</v>
      </c>
      <c r="P523" s="9">
        <f t="array" ref="P523">IFERROR(O523/G523*100,0)</f>
        <v>3.2467532467532463</v>
      </c>
      <c r="Q523" s="143">
        <f t="array" ref="Q523">INDEX('[21]DETEKSI ROT 2 (2)'!$I$343:$I$622,MATCH(1,('[21]DETEKSI ROT 2 (2)'!$D$343:$D$622=$D523)*('[21]DETEKSI ROT 2 (2)'!$D$343:$D$622=$D523),0))</f>
        <v>12</v>
      </c>
      <c r="R523" s="9">
        <f t="shared" si="79"/>
        <v>9.6</v>
      </c>
      <c r="S523" s="8" t="str">
        <f t="array" ref="S523">IF(R523&gt;5,"Perlu Sensus",IF(AND(R523&gt;=0,O523&gt;0),"Tetap Deteksi","Belum Deteksi"))</f>
        <v>Perlu Sensus</v>
      </c>
      <c r="T523" s="203"/>
      <c r="U523" s="9">
        <f t="shared" si="80"/>
        <v>0</v>
      </c>
      <c r="V523" s="132">
        <v>46249</v>
      </c>
      <c r="W523" s="143">
        <f t="array" ref="W523">INDEX('[21]DETEKSI ROT 2 (2)'!$L$343:$L$622,MATCH(1,('[21]DETEKSI ROT 2 (2)'!$D$343:$D$622=$D523)*('[21]DETEKSI ROT 2 (2)'!$D$343:$D$622=$D523),0))</f>
        <v>102</v>
      </c>
      <c r="X523" s="143">
        <f t="array" ref="X523">INDEX('[21]DETEKSI ROT 2 (2)'!$M$343:$M$622,MATCH(1,('[21]DETEKSI ROT 2 (2)'!$D$343:$D$622=$D523)*('[21]DETEKSI ROT 2 (2)'!$D$343:$D$622=$D523),0))</f>
        <v>6</v>
      </c>
      <c r="Y523" s="9">
        <f t="shared" si="78"/>
        <v>5.8823529411764701</v>
      </c>
      <c r="Z523" s="8" t="str">
        <f t="array" ref="Z523">IF(Y523&gt;5,"Perlu Sensus",IF(AND(Y523&gt;0,,O523&gt;0),"Tetap Deteksi","Belum Deteksi"))</f>
        <v>Perlu Sensus</v>
      </c>
      <c r="AA523" s="203"/>
      <c r="AB523" s="9">
        <f t="shared" si="81"/>
        <v>0</v>
      </c>
    </row>
    <row r="524" spans="1:28" x14ac:dyDescent="0.15">
      <c r="A524" s="8" t="s">
        <v>322</v>
      </c>
      <c r="B524" s="8" t="s">
        <v>107</v>
      </c>
      <c r="C524" s="8" t="s">
        <v>548</v>
      </c>
      <c r="D524" s="8" t="s">
        <v>550</v>
      </c>
      <c r="E524" s="8">
        <v>24.56</v>
      </c>
      <c r="F524" s="8" t="s">
        <v>16</v>
      </c>
      <c r="G524" s="10">
        <v>3607</v>
      </c>
      <c r="H524" s="132">
        <f t="shared" si="73"/>
        <v>46249</v>
      </c>
      <c r="I524" s="140">
        <f t="shared" si="74"/>
        <v>145</v>
      </c>
      <c r="J524" s="9">
        <f t="shared" si="75"/>
        <v>4.0199611865816474</v>
      </c>
      <c r="K524" s="140">
        <f t="shared" si="76"/>
        <v>10</v>
      </c>
      <c r="L524" s="206">
        <f t="shared" si="77"/>
        <v>6.8965517241379306</v>
      </c>
      <c r="M524" s="8" t="str">
        <f t="array" ref="M524">IF(L524&gt;5,"Perlu Sensus",IF(AND(L524&gt;=0,I524&gt;0),"Tetap Deteksi","Belum Deteksi"))</f>
        <v>Perlu Sensus</v>
      </c>
      <c r="N524" s="132">
        <v>46249</v>
      </c>
      <c r="O524" s="143">
        <f t="array" ref="O524">INDEX('[21]DETEKSI ROT 2 (2)'!$G$343:$G$622,MATCH(1,('[21]DETEKSI ROT 2 (2)'!$D$343:$D$622=$D524)*('[21]DETEKSI ROT 2 (2)'!$D$343:$D$622=$D524),0))</f>
        <v>145</v>
      </c>
      <c r="P524" s="9">
        <f t="array" ref="P524">IFERROR(O524/G524*100,0)</f>
        <v>4.0199611865816474</v>
      </c>
      <c r="Q524" s="143">
        <f t="array" ref="Q524">INDEX('[21]DETEKSI ROT 2 (2)'!$I$343:$I$622,MATCH(1,('[21]DETEKSI ROT 2 (2)'!$D$343:$D$622=$D524)*('[21]DETEKSI ROT 2 (2)'!$D$343:$D$622=$D524),0))</f>
        <v>10</v>
      </c>
      <c r="R524" s="9">
        <f t="shared" si="79"/>
        <v>6.8965517241379306</v>
      </c>
      <c r="S524" s="8" t="str">
        <f t="array" ref="S524">IF(R524&gt;5,"Perlu Sensus",IF(AND(R524&gt;=0,O524&gt;0),"Tetap Deteksi","Belum Deteksi"))</f>
        <v>Perlu Sensus</v>
      </c>
      <c r="T524" s="203"/>
      <c r="U524" s="9">
        <f t="shared" si="80"/>
        <v>0</v>
      </c>
      <c r="V524" s="132">
        <v>46249</v>
      </c>
      <c r="W524" s="143">
        <f t="array" ref="W524">INDEX('[21]DETEKSI ROT 2 (2)'!$L$343:$L$622,MATCH(1,('[21]DETEKSI ROT 2 (2)'!$D$343:$D$622=$D524)*('[21]DETEKSI ROT 2 (2)'!$D$343:$D$622=$D524),0))</f>
        <v>50</v>
      </c>
      <c r="X524" s="143">
        <f t="array" ref="X524">INDEX('[21]DETEKSI ROT 2 (2)'!$M$343:$M$622,MATCH(1,('[21]DETEKSI ROT 2 (2)'!$D$343:$D$622=$D524)*('[21]DETEKSI ROT 2 (2)'!$D$343:$D$622=$D524),0))</f>
        <v>3</v>
      </c>
      <c r="Y524" s="9">
        <f t="shared" si="78"/>
        <v>6</v>
      </c>
      <c r="Z524" s="8" t="str">
        <f t="array" ref="Z524">IF(Y524&gt;5,"Perlu Sensus",IF(AND(Y524&gt;0,,O524&gt;0),"Tetap Deteksi","Belum Deteksi"))</f>
        <v>Perlu Sensus</v>
      </c>
      <c r="AA524" s="203"/>
      <c r="AB524" s="9">
        <f t="shared" si="81"/>
        <v>0</v>
      </c>
    </row>
    <row r="525" spans="1:28" x14ac:dyDescent="0.15">
      <c r="A525" s="8" t="s">
        <v>322</v>
      </c>
      <c r="B525" s="8" t="s">
        <v>107</v>
      </c>
      <c r="C525" s="8" t="s">
        <v>548</v>
      </c>
      <c r="D525" s="8" t="s">
        <v>551</v>
      </c>
      <c r="E525" s="8">
        <v>23.29</v>
      </c>
      <c r="F525" s="8" t="s">
        <v>16</v>
      </c>
      <c r="G525" s="10">
        <v>3391</v>
      </c>
      <c r="H525" s="132">
        <f t="shared" si="73"/>
        <v>46249</v>
      </c>
      <c r="I525" s="140">
        <f t="shared" si="74"/>
        <v>132</v>
      </c>
      <c r="J525" s="9">
        <f t="shared" si="75"/>
        <v>3.8926570333235029</v>
      </c>
      <c r="K525" s="140">
        <f t="shared" si="76"/>
        <v>2</v>
      </c>
      <c r="L525" s="206">
        <f t="shared" si="77"/>
        <v>1.5151515151515151</v>
      </c>
      <c r="M525" s="8" t="str">
        <f t="array" ref="M525">IF(L525&gt;5,"Perlu Sensus",IF(AND(L525&gt;=0,I525&gt;0),"Tetap Deteksi","Belum Deteksi"))</f>
        <v>Tetap Deteksi</v>
      </c>
      <c r="N525" s="132">
        <v>46249</v>
      </c>
      <c r="O525" s="143">
        <f t="array" ref="O525">INDEX('[21]DETEKSI ROT 2 (2)'!$G$343:$G$622,MATCH(1,('[21]DETEKSI ROT 2 (2)'!$D$343:$D$622=$D525)*('[21]DETEKSI ROT 2 (2)'!$D$343:$D$622=$D525),0))</f>
        <v>132</v>
      </c>
      <c r="P525" s="9">
        <f t="array" ref="P525">IFERROR(O525/G525*100,0)</f>
        <v>3.8926570333235029</v>
      </c>
      <c r="Q525" s="143">
        <f t="array" ref="Q525">INDEX('[21]DETEKSI ROT 2 (2)'!$I$343:$I$622,MATCH(1,('[21]DETEKSI ROT 2 (2)'!$D$343:$D$622=$D525)*('[21]DETEKSI ROT 2 (2)'!$D$343:$D$622=$D525),0))</f>
        <v>2</v>
      </c>
      <c r="R525" s="9">
        <f t="shared" si="79"/>
        <v>1.5151515151515151</v>
      </c>
      <c r="S525" s="8" t="str">
        <f t="array" ref="S525">IF(R525&gt;5,"Perlu Sensus",IF(AND(R525&gt;=0,O525&gt;0),"Tetap Deteksi","Belum Deteksi"))</f>
        <v>Tetap Deteksi</v>
      </c>
      <c r="T525" s="203"/>
      <c r="U525" s="9">
        <f t="shared" si="80"/>
        <v>0</v>
      </c>
      <c r="V525" s="132">
        <v>46249</v>
      </c>
      <c r="W525" s="143">
        <f t="array" ref="W525">INDEX('[21]DETEKSI ROT 2 (2)'!$L$343:$L$622,MATCH(1,('[21]DETEKSI ROT 2 (2)'!$D$343:$D$622=$D525)*('[21]DETEKSI ROT 2 (2)'!$D$343:$D$622=$D525),0))</f>
        <v>143</v>
      </c>
      <c r="X525" s="143">
        <f t="array" ref="X525">INDEX('[21]DETEKSI ROT 2 (2)'!$M$343:$M$622,MATCH(1,('[21]DETEKSI ROT 2 (2)'!$D$343:$D$622=$D525)*('[21]DETEKSI ROT 2 (2)'!$D$343:$D$622=$D525),0))</f>
        <v>6</v>
      </c>
      <c r="Y525" s="9">
        <f t="shared" si="78"/>
        <v>4.1958041958041958</v>
      </c>
      <c r="Z525" s="8" t="str">
        <f t="array" ref="Z525">IF(Y525&gt;5,"Perlu Sensus",IF(AND(Y525&gt;0,,O525&gt;0),"Tetap Deteksi","Belum Deteksi"))</f>
        <v>Belum Deteksi</v>
      </c>
      <c r="AA525" s="203"/>
      <c r="AB525" s="9">
        <f t="shared" si="81"/>
        <v>0</v>
      </c>
    </row>
    <row r="526" spans="1:28" x14ac:dyDescent="0.15">
      <c r="A526" s="8" t="s">
        <v>322</v>
      </c>
      <c r="B526" s="8" t="s">
        <v>107</v>
      </c>
      <c r="C526" s="8" t="s">
        <v>548</v>
      </c>
      <c r="D526" s="8" t="s">
        <v>552</v>
      </c>
      <c r="E526" s="8">
        <v>26.36</v>
      </c>
      <c r="F526" s="8" t="s">
        <v>16</v>
      </c>
      <c r="G526" s="10">
        <v>3667</v>
      </c>
      <c r="H526" s="132">
        <f t="shared" si="73"/>
        <v>46249</v>
      </c>
      <c r="I526" s="140">
        <f t="shared" si="74"/>
        <v>115</v>
      </c>
      <c r="J526" s="9">
        <f t="shared" si="75"/>
        <v>3.136078538314699</v>
      </c>
      <c r="K526" s="140">
        <f t="shared" si="76"/>
        <v>10</v>
      </c>
      <c r="L526" s="206">
        <f t="shared" si="77"/>
        <v>8.695652173913043</v>
      </c>
      <c r="M526" s="8" t="str">
        <f t="array" ref="M526">IF(L526&gt;5,"Perlu Sensus",IF(AND(L526&gt;=0,I526&gt;0),"Tetap Deteksi","Belum Deteksi"))</f>
        <v>Perlu Sensus</v>
      </c>
      <c r="N526" s="132">
        <v>46249</v>
      </c>
      <c r="O526" s="143">
        <f t="array" ref="O526">INDEX('[21]DETEKSI ROT 2 (2)'!$G$343:$G$622,MATCH(1,('[21]DETEKSI ROT 2 (2)'!$D$343:$D$622=$D526)*('[21]DETEKSI ROT 2 (2)'!$D$343:$D$622=$D526),0))</f>
        <v>115</v>
      </c>
      <c r="P526" s="9">
        <f t="array" ref="P526">IFERROR(O526/G526*100,0)</f>
        <v>3.136078538314699</v>
      </c>
      <c r="Q526" s="143">
        <f t="array" ref="Q526">INDEX('[21]DETEKSI ROT 2 (2)'!$I$343:$I$622,MATCH(1,('[21]DETEKSI ROT 2 (2)'!$D$343:$D$622=$D526)*('[21]DETEKSI ROT 2 (2)'!$D$343:$D$622=$D526),0))</f>
        <v>10</v>
      </c>
      <c r="R526" s="9">
        <f t="shared" si="79"/>
        <v>8.695652173913043</v>
      </c>
      <c r="S526" s="8" t="str">
        <f t="array" ref="S526">IF(R526&gt;5,"Perlu Sensus",IF(AND(R526&gt;=0,O526&gt;0),"Tetap Deteksi","Belum Deteksi"))</f>
        <v>Perlu Sensus</v>
      </c>
      <c r="T526" s="203"/>
      <c r="U526" s="9">
        <f t="shared" si="80"/>
        <v>0</v>
      </c>
      <c r="V526" s="132">
        <v>46249</v>
      </c>
      <c r="W526" s="143">
        <f t="array" ref="W526">INDEX('[21]DETEKSI ROT 2 (2)'!$L$343:$L$622,MATCH(1,('[21]DETEKSI ROT 2 (2)'!$D$343:$D$622=$D526)*('[21]DETEKSI ROT 2 (2)'!$D$343:$D$622=$D526),0))</f>
        <v>33</v>
      </c>
      <c r="X526" s="143">
        <f t="array" ref="X526">INDEX('[21]DETEKSI ROT 2 (2)'!$M$343:$M$622,MATCH(1,('[21]DETEKSI ROT 2 (2)'!$D$343:$D$622=$D526)*('[21]DETEKSI ROT 2 (2)'!$D$343:$D$622=$D526),0))</f>
        <v>1</v>
      </c>
      <c r="Y526" s="9">
        <f t="shared" si="78"/>
        <v>3.0303030303030303</v>
      </c>
      <c r="Z526" s="8" t="str">
        <f t="array" ref="Z526">IF(Y526&gt;5,"Perlu Sensus",IF(AND(Y526&gt;0,,O526&gt;0),"Tetap Deteksi","Belum Deteksi"))</f>
        <v>Belum Deteksi</v>
      </c>
      <c r="AA526" s="203"/>
      <c r="AB526" s="9">
        <f t="shared" si="81"/>
        <v>0</v>
      </c>
    </row>
    <row r="527" spans="1:28" x14ac:dyDescent="0.15">
      <c r="A527" s="8" t="s">
        <v>322</v>
      </c>
      <c r="B527" s="8" t="s">
        <v>107</v>
      </c>
      <c r="C527" s="8" t="s">
        <v>548</v>
      </c>
      <c r="D527" s="8" t="s">
        <v>553</v>
      </c>
      <c r="E527" s="8">
        <v>25.96</v>
      </c>
      <c r="F527" s="8" t="s">
        <v>16</v>
      </c>
      <c r="G527" s="10">
        <v>3858</v>
      </c>
      <c r="H527" s="132">
        <f t="shared" si="73"/>
        <v>46249</v>
      </c>
      <c r="I527" s="140">
        <f t="shared" si="74"/>
        <v>109</v>
      </c>
      <c r="J527" s="9">
        <f t="shared" si="75"/>
        <v>2.8252980819077242</v>
      </c>
      <c r="K527" s="140">
        <f t="shared" si="76"/>
        <v>1</v>
      </c>
      <c r="L527" s="206">
        <f t="shared" si="77"/>
        <v>0.91743119266055051</v>
      </c>
      <c r="M527" s="8" t="str">
        <f t="array" ref="M527">IF(L527&gt;5,"Perlu Sensus",IF(AND(L527&gt;=0,I527&gt;0),"Tetap Deteksi","Belum Deteksi"))</f>
        <v>Tetap Deteksi</v>
      </c>
      <c r="N527" s="132">
        <v>46249</v>
      </c>
      <c r="O527" s="143">
        <f t="array" ref="O527">INDEX('[21]DETEKSI ROT 2 (2)'!$G$343:$G$622,MATCH(1,('[21]DETEKSI ROT 2 (2)'!$D$343:$D$622=$D527)*('[21]DETEKSI ROT 2 (2)'!$D$343:$D$622=$D527),0))</f>
        <v>109</v>
      </c>
      <c r="P527" s="9">
        <f t="array" ref="P527">IFERROR(O527/G527*100,0)</f>
        <v>2.8252980819077242</v>
      </c>
      <c r="Q527" s="143">
        <f t="array" ref="Q527">INDEX('[21]DETEKSI ROT 2 (2)'!$I$343:$I$622,MATCH(1,('[21]DETEKSI ROT 2 (2)'!$D$343:$D$622=$D527)*('[21]DETEKSI ROT 2 (2)'!$D$343:$D$622=$D527),0))</f>
        <v>1</v>
      </c>
      <c r="R527" s="9">
        <f t="shared" si="79"/>
        <v>0.91743119266055051</v>
      </c>
      <c r="S527" s="8" t="str">
        <f t="array" ref="S527">IF(R527&gt;5,"Perlu Sensus",IF(AND(R527&gt;=0,O527&gt;0),"Tetap Deteksi","Belum Deteksi"))</f>
        <v>Tetap Deteksi</v>
      </c>
      <c r="T527" s="203"/>
      <c r="U527" s="9">
        <f t="shared" si="80"/>
        <v>0</v>
      </c>
      <c r="V527" s="132">
        <v>46249</v>
      </c>
      <c r="W527" s="143">
        <f t="array" ref="W527">INDEX('[21]DETEKSI ROT 2 (2)'!$L$343:$L$622,MATCH(1,('[21]DETEKSI ROT 2 (2)'!$D$343:$D$622=$D527)*('[21]DETEKSI ROT 2 (2)'!$D$343:$D$622=$D527),0))</f>
        <v>64</v>
      </c>
      <c r="X527" s="143">
        <f t="array" ref="X527">INDEX('[21]DETEKSI ROT 2 (2)'!$M$343:$M$622,MATCH(1,('[21]DETEKSI ROT 2 (2)'!$D$343:$D$622=$D527)*('[21]DETEKSI ROT 2 (2)'!$D$343:$D$622=$D527),0))</f>
        <v>1</v>
      </c>
      <c r="Y527" s="9">
        <f t="shared" si="78"/>
        <v>1.5625</v>
      </c>
      <c r="Z527" s="8" t="str">
        <f t="array" ref="Z527">IF(Y527&gt;5,"Perlu Sensus",IF(AND(Y527&gt;0,,O527&gt;0),"Tetap Deteksi","Belum Deteksi"))</f>
        <v>Belum Deteksi</v>
      </c>
      <c r="AA527" s="203"/>
      <c r="AB527" s="9">
        <f t="shared" si="81"/>
        <v>0</v>
      </c>
    </row>
    <row r="528" spans="1:28" x14ac:dyDescent="0.15">
      <c r="A528" s="8" t="s">
        <v>322</v>
      </c>
      <c r="B528" s="8" t="s">
        <v>107</v>
      </c>
      <c r="C528" s="8" t="s">
        <v>548</v>
      </c>
      <c r="D528" s="8" t="s">
        <v>554</v>
      </c>
      <c r="E528" s="8">
        <v>24.48</v>
      </c>
      <c r="F528" s="8" t="s">
        <v>16</v>
      </c>
      <c r="G528" s="10">
        <v>3511</v>
      </c>
      <c r="H528" s="132">
        <f t="shared" si="73"/>
        <v>46249</v>
      </c>
      <c r="I528" s="140">
        <f t="shared" si="74"/>
        <v>123</v>
      </c>
      <c r="J528" s="9">
        <f t="shared" si="75"/>
        <v>3.5032754201082308</v>
      </c>
      <c r="K528" s="140">
        <f t="shared" si="76"/>
        <v>9</v>
      </c>
      <c r="L528" s="206">
        <f t="shared" si="77"/>
        <v>7.3170731707317067</v>
      </c>
      <c r="M528" s="8" t="str">
        <f t="array" ref="M528">IF(L528&gt;5,"Perlu Sensus",IF(AND(L528&gt;=0,I528&gt;0),"Tetap Deteksi","Belum Deteksi"))</f>
        <v>Perlu Sensus</v>
      </c>
      <c r="N528" s="132">
        <v>46249</v>
      </c>
      <c r="O528" s="143">
        <f t="array" ref="O528">INDEX('[21]DETEKSI ROT 2 (2)'!$G$343:$G$622,MATCH(1,('[21]DETEKSI ROT 2 (2)'!$D$343:$D$622=$D528)*('[21]DETEKSI ROT 2 (2)'!$D$343:$D$622=$D528),0))</f>
        <v>123</v>
      </c>
      <c r="P528" s="9">
        <f t="array" ref="P528">IFERROR(O528/G528*100,0)</f>
        <v>3.5032754201082308</v>
      </c>
      <c r="Q528" s="143">
        <f t="array" ref="Q528">INDEX('[21]DETEKSI ROT 2 (2)'!$I$343:$I$622,MATCH(1,('[21]DETEKSI ROT 2 (2)'!$D$343:$D$622=$D528)*('[21]DETEKSI ROT 2 (2)'!$D$343:$D$622=$D528),0))</f>
        <v>9</v>
      </c>
      <c r="R528" s="9">
        <f t="shared" si="79"/>
        <v>7.3170731707317067</v>
      </c>
      <c r="S528" s="8" t="str">
        <f t="array" ref="S528">IF(R528&gt;5,"Perlu Sensus",IF(AND(R528&gt;=0,O528&gt;0),"Tetap Deteksi","Belum Deteksi"))</f>
        <v>Perlu Sensus</v>
      </c>
      <c r="T528" s="203"/>
      <c r="U528" s="9">
        <f t="shared" si="80"/>
        <v>0</v>
      </c>
      <c r="V528" s="132">
        <v>46249</v>
      </c>
      <c r="W528" s="143">
        <f t="array" ref="W528">INDEX('[21]DETEKSI ROT 2 (2)'!$L$343:$L$622,MATCH(1,('[21]DETEKSI ROT 2 (2)'!$D$343:$D$622=$D528)*('[21]DETEKSI ROT 2 (2)'!$D$343:$D$622=$D528),0))</f>
        <v>109</v>
      </c>
      <c r="X528" s="143">
        <f t="array" ref="X528">INDEX('[21]DETEKSI ROT 2 (2)'!$M$343:$M$622,MATCH(1,('[21]DETEKSI ROT 2 (2)'!$D$343:$D$622=$D528)*('[21]DETEKSI ROT 2 (2)'!$D$343:$D$622=$D528),0))</f>
        <v>4</v>
      </c>
      <c r="Y528" s="9">
        <f t="shared" si="78"/>
        <v>3.669724770642202</v>
      </c>
      <c r="Z528" s="8" t="str">
        <f t="array" ref="Z528">IF(Y528&gt;5,"Perlu Sensus",IF(AND(Y528&gt;0,,O528&gt;0),"Tetap Deteksi","Belum Deteksi"))</f>
        <v>Belum Deteksi</v>
      </c>
      <c r="AA528" s="203"/>
      <c r="AB528" s="9">
        <f t="shared" si="81"/>
        <v>0</v>
      </c>
    </row>
    <row r="529" spans="1:28" x14ac:dyDescent="0.15">
      <c r="A529" s="8" t="s">
        <v>322</v>
      </c>
      <c r="B529" s="8" t="s">
        <v>107</v>
      </c>
      <c r="C529" s="8" t="s">
        <v>548</v>
      </c>
      <c r="D529" s="8" t="s">
        <v>555</v>
      </c>
      <c r="E529" s="8">
        <v>26.56</v>
      </c>
      <c r="F529" s="8" t="s">
        <v>16</v>
      </c>
      <c r="G529" s="10">
        <v>3597</v>
      </c>
      <c r="H529" s="132">
        <f t="shared" si="73"/>
        <v>46249</v>
      </c>
      <c r="I529" s="140">
        <f t="shared" si="74"/>
        <v>109</v>
      </c>
      <c r="J529" s="9">
        <f t="shared" si="75"/>
        <v>3.0303030303030303</v>
      </c>
      <c r="K529" s="140">
        <f t="shared" si="76"/>
        <v>9</v>
      </c>
      <c r="L529" s="206">
        <f t="shared" si="77"/>
        <v>8.2568807339449553</v>
      </c>
      <c r="M529" s="8" t="str">
        <f t="array" ref="M529">IF(L529&gt;5,"Perlu Sensus",IF(AND(L529&gt;=0,I529&gt;0),"Tetap Deteksi","Belum Deteksi"))</f>
        <v>Perlu Sensus</v>
      </c>
      <c r="N529" s="132">
        <v>46249</v>
      </c>
      <c r="O529" s="143">
        <f t="array" ref="O529">INDEX('[21]DETEKSI ROT 2 (2)'!$G$343:$G$622,MATCH(1,('[21]DETEKSI ROT 2 (2)'!$D$343:$D$622=$D529)*('[21]DETEKSI ROT 2 (2)'!$D$343:$D$622=$D529),0))</f>
        <v>109</v>
      </c>
      <c r="P529" s="9">
        <f t="array" ref="P529">IFERROR(O529/G529*100,0)</f>
        <v>3.0303030303030303</v>
      </c>
      <c r="Q529" s="143">
        <f t="array" ref="Q529">INDEX('[21]DETEKSI ROT 2 (2)'!$I$343:$I$622,MATCH(1,('[21]DETEKSI ROT 2 (2)'!$D$343:$D$622=$D529)*('[21]DETEKSI ROT 2 (2)'!$D$343:$D$622=$D529),0))</f>
        <v>9</v>
      </c>
      <c r="R529" s="9">
        <f t="shared" si="79"/>
        <v>8.2568807339449553</v>
      </c>
      <c r="S529" s="8" t="str">
        <f t="array" ref="S529">IF(R529&gt;5,"Perlu Sensus",IF(AND(R529&gt;=0,O529&gt;0),"Tetap Deteksi","Belum Deteksi"))</f>
        <v>Perlu Sensus</v>
      </c>
      <c r="T529" s="203"/>
      <c r="U529" s="9">
        <f t="shared" si="80"/>
        <v>0</v>
      </c>
      <c r="V529" s="132">
        <v>46249</v>
      </c>
      <c r="W529" s="143">
        <f t="array" ref="W529">INDEX('[21]DETEKSI ROT 2 (2)'!$L$343:$L$622,MATCH(1,('[21]DETEKSI ROT 2 (2)'!$D$343:$D$622=$D529)*('[21]DETEKSI ROT 2 (2)'!$D$343:$D$622=$D529),0))</f>
        <v>189</v>
      </c>
      <c r="X529" s="143">
        <f t="array" ref="X529">INDEX('[21]DETEKSI ROT 2 (2)'!$M$343:$M$622,MATCH(1,('[21]DETEKSI ROT 2 (2)'!$D$343:$D$622=$D529)*('[21]DETEKSI ROT 2 (2)'!$D$343:$D$622=$D529),0))</f>
        <v>11</v>
      </c>
      <c r="Y529" s="9">
        <f t="shared" si="78"/>
        <v>5.8201058201058196</v>
      </c>
      <c r="Z529" s="8" t="str">
        <f t="array" ref="Z529">IF(Y529&gt;5,"Perlu Sensus",IF(AND(Y529&gt;0,,O529&gt;0),"Tetap Deteksi","Belum Deteksi"))</f>
        <v>Perlu Sensus</v>
      </c>
      <c r="AA529" s="203"/>
      <c r="AB529" s="9">
        <f t="shared" si="81"/>
        <v>0</v>
      </c>
    </row>
    <row r="530" spans="1:28" x14ac:dyDescent="0.15">
      <c r="A530" s="8" t="s">
        <v>322</v>
      </c>
      <c r="B530" s="8" t="s">
        <v>107</v>
      </c>
      <c r="C530" s="8" t="s">
        <v>548</v>
      </c>
      <c r="D530" s="8" t="s">
        <v>556</v>
      </c>
      <c r="E530" s="8">
        <v>24.29</v>
      </c>
      <c r="F530" s="8" t="s">
        <v>16</v>
      </c>
      <c r="G530" s="10">
        <v>3409</v>
      </c>
      <c r="H530" s="132">
        <f t="shared" si="73"/>
        <v>46249</v>
      </c>
      <c r="I530" s="140">
        <f t="shared" si="74"/>
        <v>25</v>
      </c>
      <c r="J530" s="9">
        <f t="shared" si="75"/>
        <v>0.73335288941038423</v>
      </c>
      <c r="K530" s="140">
        <f t="shared" si="76"/>
        <v>2</v>
      </c>
      <c r="L530" s="206">
        <f t="shared" si="77"/>
        <v>8</v>
      </c>
      <c r="M530" s="8" t="str">
        <f t="array" ref="M530">IF(L530&gt;5,"Perlu Sensus",IF(AND(L530&gt;=0,I530&gt;0),"Tetap Deteksi","Belum Deteksi"))</f>
        <v>Perlu Sensus</v>
      </c>
      <c r="N530" s="132">
        <v>46249</v>
      </c>
      <c r="O530" s="143">
        <f t="array" ref="O530">INDEX('[21]DETEKSI ROT 2 (2)'!$G$343:$G$622,MATCH(1,('[21]DETEKSI ROT 2 (2)'!$D$343:$D$622=$D530)*('[21]DETEKSI ROT 2 (2)'!$D$343:$D$622=$D530),0))</f>
        <v>25</v>
      </c>
      <c r="P530" s="9">
        <f t="array" ref="P530">IFERROR(O530/G530*100,0)</f>
        <v>0.73335288941038423</v>
      </c>
      <c r="Q530" s="143">
        <f t="array" ref="Q530">INDEX('[21]DETEKSI ROT 2 (2)'!$I$343:$I$622,MATCH(1,('[21]DETEKSI ROT 2 (2)'!$D$343:$D$622=$D530)*('[21]DETEKSI ROT 2 (2)'!$D$343:$D$622=$D530),0))</f>
        <v>2</v>
      </c>
      <c r="R530" s="9">
        <f t="shared" si="79"/>
        <v>8</v>
      </c>
      <c r="S530" s="8" t="str">
        <f t="array" ref="S530">IF(R530&gt;5,"Perlu Sensus",IF(AND(R530&gt;=0,O530&gt;0),"Tetap Deteksi","Belum Deteksi"))</f>
        <v>Perlu Sensus</v>
      </c>
      <c r="T530" s="203"/>
      <c r="U530" s="9">
        <f t="shared" si="80"/>
        <v>0</v>
      </c>
      <c r="V530" s="132">
        <v>46249</v>
      </c>
      <c r="W530" s="143">
        <f t="array" ref="W530">INDEX('[21]DETEKSI ROT 2 (2)'!$L$343:$L$622,MATCH(1,('[21]DETEKSI ROT 2 (2)'!$D$343:$D$622=$D530)*('[21]DETEKSI ROT 2 (2)'!$D$343:$D$622=$D530),0))</f>
        <v>119</v>
      </c>
      <c r="X530" s="143">
        <f t="array" ref="X530">INDEX('[21]DETEKSI ROT 2 (2)'!$M$343:$M$622,MATCH(1,('[21]DETEKSI ROT 2 (2)'!$D$343:$D$622=$D530)*('[21]DETEKSI ROT 2 (2)'!$D$343:$D$622=$D530),0))</f>
        <v>3</v>
      </c>
      <c r="Y530" s="9">
        <f t="shared" si="78"/>
        <v>2.5210084033613445</v>
      </c>
      <c r="Z530" s="8" t="str">
        <f t="array" ref="Z530">IF(Y530&gt;5,"Perlu Sensus",IF(AND(Y530&gt;0,,O530&gt;0),"Tetap Deteksi","Belum Deteksi"))</f>
        <v>Belum Deteksi</v>
      </c>
      <c r="AA530" s="203"/>
      <c r="AB530" s="9">
        <f t="shared" si="81"/>
        <v>0</v>
      </c>
    </row>
    <row r="531" spans="1:28" x14ac:dyDescent="0.15">
      <c r="A531" s="8" t="s">
        <v>322</v>
      </c>
      <c r="B531" s="8" t="s">
        <v>107</v>
      </c>
      <c r="C531" s="8" t="s">
        <v>548</v>
      </c>
      <c r="D531" s="8" t="s">
        <v>557</v>
      </c>
      <c r="E531" s="8">
        <v>26.09</v>
      </c>
      <c r="F531" s="8" t="s">
        <v>16</v>
      </c>
      <c r="G531" s="10">
        <v>3782</v>
      </c>
      <c r="H531" s="132">
        <f t="shared" si="73"/>
        <v>46249</v>
      </c>
      <c r="I531" s="140">
        <f t="shared" si="74"/>
        <v>35</v>
      </c>
      <c r="J531" s="9">
        <f t="shared" si="75"/>
        <v>0.92543627710206244</v>
      </c>
      <c r="K531" s="140">
        <f t="shared" si="76"/>
        <v>4</v>
      </c>
      <c r="L531" s="206">
        <f t="shared" si="77"/>
        <v>11.428571428571429</v>
      </c>
      <c r="M531" s="8" t="str">
        <f t="array" ref="M531">IF(L531&gt;5,"Perlu Sensus",IF(AND(L531&gt;=0,I531&gt;0),"Tetap Deteksi","Belum Deteksi"))</f>
        <v>Perlu Sensus</v>
      </c>
      <c r="N531" s="132">
        <v>46249</v>
      </c>
      <c r="O531" s="143">
        <f t="array" ref="O531">INDEX('[21]DETEKSI ROT 2 (2)'!$G$343:$G$622,MATCH(1,('[21]DETEKSI ROT 2 (2)'!$D$343:$D$622=$D531)*('[21]DETEKSI ROT 2 (2)'!$D$343:$D$622=$D531),0))</f>
        <v>35</v>
      </c>
      <c r="P531" s="9">
        <f t="array" ref="P531">IFERROR(O531/G531*100,0)</f>
        <v>0.92543627710206244</v>
      </c>
      <c r="Q531" s="143">
        <f t="array" ref="Q531">INDEX('[21]DETEKSI ROT 2 (2)'!$I$343:$I$622,MATCH(1,('[21]DETEKSI ROT 2 (2)'!$D$343:$D$622=$D531)*('[21]DETEKSI ROT 2 (2)'!$D$343:$D$622=$D531),0))</f>
        <v>4</v>
      </c>
      <c r="R531" s="9">
        <f t="shared" si="79"/>
        <v>11.428571428571429</v>
      </c>
      <c r="S531" s="8" t="str">
        <f t="array" ref="S531">IF(R531&gt;5,"Perlu Sensus",IF(AND(R531&gt;=0,O531&gt;0),"Tetap Deteksi","Belum Deteksi"))</f>
        <v>Perlu Sensus</v>
      </c>
      <c r="T531" s="203"/>
      <c r="U531" s="9">
        <f t="shared" si="80"/>
        <v>0</v>
      </c>
      <c r="V531" s="132">
        <v>46249</v>
      </c>
      <c r="W531" s="143">
        <f t="array" ref="W531">INDEX('[21]DETEKSI ROT 2 (2)'!$L$343:$L$622,MATCH(1,('[21]DETEKSI ROT 2 (2)'!$D$343:$D$622=$D531)*('[21]DETEKSI ROT 2 (2)'!$D$343:$D$622=$D531),0))</f>
        <v>115</v>
      </c>
      <c r="X531" s="143">
        <f t="array" ref="X531">INDEX('[21]DETEKSI ROT 2 (2)'!$M$343:$M$622,MATCH(1,('[21]DETEKSI ROT 2 (2)'!$D$343:$D$622=$D531)*('[21]DETEKSI ROT 2 (2)'!$D$343:$D$622=$D531),0))</f>
        <v>4</v>
      </c>
      <c r="Y531" s="9">
        <f t="shared" si="78"/>
        <v>3.4782608695652173</v>
      </c>
      <c r="Z531" s="8" t="str">
        <f t="array" ref="Z531">IF(Y531&gt;5,"Perlu Sensus",IF(AND(Y531&gt;0,,O531&gt;0),"Tetap Deteksi","Belum Deteksi"))</f>
        <v>Belum Deteksi</v>
      </c>
      <c r="AA531" s="203"/>
      <c r="AB531" s="9">
        <f t="shared" si="81"/>
        <v>0</v>
      </c>
    </row>
    <row r="532" spans="1:28" x14ac:dyDescent="0.15">
      <c r="A532" s="8" t="s">
        <v>322</v>
      </c>
      <c r="B532" s="8" t="s">
        <v>107</v>
      </c>
      <c r="C532" s="8" t="s">
        <v>548</v>
      </c>
      <c r="D532" s="8" t="s">
        <v>558</v>
      </c>
      <c r="E532" s="8">
        <v>25.22</v>
      </c>
      <c r="F532" s="8" t="s">
        <v>16</v>
      </c>
      <c r="G532" s="10">
        <v>3614</v>
      </c>
      <c r="H532" s="132">
        <f t="shared" si="73"/>
        <v>46249</v>
      </c>
      <c r="I532" s="140">
        <f t="shared" si="74"/>
        <v>32</v>
      </c>
      <c r="J532" s="9">
        <f t="shared" si="75"/>
        <v>0.88544548976203652</v>
      </c>
      <c r="K532" s="140">
        <f t="shared" si="76"/>
        <v>2</v>
      </c>
      <c r="L532" s="206">
        <f t="shared" si="77"/>
        <v>6.25</v>
      </c>
      <c r="M532" s="8" t="str">
        <f t="array" ref="M532">IF(L532&gt;5,"Perlu Sensus",IF(AND(L532&gt;=0,I532&gt;0),"Tetap Deteksi","Belum Deteksi"))</f>
        <v>Perlu Sensus</v>
      </c>
      <c r="N532" s="132">
        <v>46249</v>
      </c>
      <c r="O532" s="143">
        <f t="array" ref="O532">INDEX('[21]DETEKSI ROT 2 (2)'!$G$343:$G$622,MATCH(1,('[21]DETEKSI ROT 2 (2)'!$D$343:$D$622=$D532)*('[21]DETEKSI ROT 2 (2)'!$D$343:$D$622=$D532),0))</f>
        <v>32</v>
      </c>
      <c r="P532" s="9">
        <f t="array" ref="P532">IFERROR(O532/G532*100,0)</f>
        <v>0.88544548976203652</v>
      </c>
      <c r="Q532" s="143">
        <f t="array" ref="Q532">INDEX('[21]DETEKSI ROT 2 (2)'!$I$343:$I$622,MATCH(1,('[21]DETEKSI ROT 2 (2)'!$D$343:$D$622=$D532)*('[21]DETEKSI ROT 2 (2)'!$D$343:$D$622=$D532),0))</f>
        <v>2</v>
      </c>
      <c r="R532" s="9">
        <f t="shared" si="79"/>
        <v>6.25</v>
      </c>
      <c r="S532" s="8" t="str">
        <f t="array" ref="S532">IF(R532&gt;5,"Perlu Sensus",IF(AND(R532&gt;=0,O532&gt;0),"Tetap Deteksi","Belum Deteksi"))</f>
        <v>Perlu Sensus</v>
      </c>
      <c r="T532" s="203"/>
      <c r="U532" s="9">
        <f t="shared" si="80"/>
        <v>0</v>
      </c>
      <c r="V532" s="132">
        <v>46249</v>
      </c>
      <c r="W532" s="143">
        <f t="array" ref="W532">INDEX('[21]DETEKSI ROT 2 (2)'!$L$343:$L$622,MATCH(1,('[21]DETEKSI ROT 2 (2)'!$D$343:$D$622=$D532)*('[21]DETEKSI ROT 2 (2)'!$D$343:$D$622=$D532),0))</f>
        <v>135</v>
      </c>
      <c r="X532" s="143">
        <f t="array" ref="X532">INDEX('[21]DETEKSI ROT 2 (2)'!$M$343:$M$622,MATCH(1,('[21]DETEKSI ROT 2 (2)'!$D$343:$D$622=$D532)*('[21]DETEKSI ROT 2 (2)'!$D$343:$D$622=$D532),0))</f>
        <v>3</v>
      </c>
      <c r="Y532" s="9">
        <f t="shared" si="78"/>
        <v>2.2222222222222223</v>
      </c>
      <c r="Z532" s="8" t="str">
        <f t="array" ref="Z532">IF(Y532&gt;5,"Perlu Sensus",IF(AND(Y532&gt;0,,O532&gt;0),"Tetap Deteksi","Belum Deteksi"))</f>
        <v>Belum Deteksi</v>
      </c>
      <c r="AA532" s="203"/>
      <c r="AB532" s="9">
        <f t="shared" si="81"/>
        <v>0</v>
      </c>
    </row>
    <row r="533" spans="1:28" x14ac:dyDescent="0.15">
      <c r="A533" s="8" t="s">
        <v>322</v>
      </c>
      <c r="B533" s="8" t="s">
        <v>107</v>
      </c>
      <c r="C533" s="8" t="s">
        <v>548</v>
      </c>
      <c r="D533" s="8" t="s">
        <v>559</v>
      </c>
      <c r="E533" s="8">
        <v>23.21</v>
      </c>
      <c r="F533" s="8" t="s">
        <v>16</v>
      </c>
      <c r="G533" s="10">
        <v>3458</v>
      </c>
      <c r="H533" s="132">
        <f t="shared" si="73"/>
        <v>46249</v>
      </c>
      <c r="I533" s="140">
        <f t="shared" si="74"/>
        <v>52</v>
      </c>
      <c r="J533" s="9">
        <f t="shared" si="75"/>
        <v>1.5037593984962405</v>
      </c>
      <c r="K533" s="140">
        <f t="shared" si="76"/>
        <v>4</v>
      </c>
      <c r="L533" s="206">
        <f t="shared" si="77"/>
        <v>7.6923076923076925</v>
      </c>
      <c r="M533" s="8" t="str">
        <f t="array" ref="M533">IF(L533&gt;5,"Perlu Sensus",IF(AND(L533&gt;=0,I533&gt;0),"Tetap Deteksi","Belum Deteksi"))</f>
        <v>Perlu Sensus</v>
      </c>
      <c r="N533" s="132">
        <v>46249</v>
      </c>
      <c r="O533" s="143">
        <f t="array" ref="O533">INDEX('[21]DETEKSI ROT 2 (2)'!$G$343:$G$622,MATCH(1,('[21]DETEKSI ROT 2 (2)'!$D$343:$D$622=$D533)*('[21]DETEKSI ROT 2 (2)'!$D$343:$D$622=$D533),0))</f>
        <v>52</v>
      </c>
      <c r="P533" s="9">
        <f t="array" ref="P533">IFERROR(O533/G533*100,0)</f>
        <v>1.5037593984962405</v>
      </c>
      <c r="Q533" s="143">
        <f t="array" ref="Q533">INDEX('[21]DETEKSI ROT 2 (2)'!$I$343:$I$622,MATCH(1,('[21]DETEKSI ROT 2 (2)'!$D$343:$D$622=$D533)*('[21]DETEKSI ROT 2 (2)'!$D$343:$D$622=$D533),0))</f>
        <v>4</v>
      </c>
      <c r="R533" s="9">
        <f t="shared" si="79"/>
        <v>7.6923076923076925</v>
      </c>
      <c r="S533" s="8" t="str">
        <f t="array" ref="S533">IF(R533&gt;5,"Perlu Sensus",IF(AND(R533&gt;=0,O533&gt;0),"Tetap Deteksi","Belum Deteksi"))</f>
        <v>Perlu Sensus</v>
      </c>
      <c r="T533" s="203"/>
      <c r="U533" s="9">
        <f t="shared" si="80"/>
        <v>0</v>
      </c>
      <c r="V533" s="132">
        <v>46249</v>
      </c>
      <c r="W533" s="143">
        <f t="array" ref="W533">INDEX('[21]DETEKSI ROT 2 (2)'!$L$343:$L$622,MATCH(1,('[21]DETEKSI ROT 2 (2)'!$D$343:$D$622=$D533)*('[21]DETEKSI ROT 2 (2)'!$D$343:$D$622=$D533),0))</f>
        <v>50</v>
      </c>
      <c r="X533" s="143">
        <f t="array" ref="X533">INDEX('[21]DETEKSI ROT 2 (2)'!$M$343:$M$622,MATCH(1,('[21]DETEKSI ROT 2 (2)'!$D$343:$D$622=$D533)*('[21]DETEKSI ROT 2 (2)'!$D$343:$D$622=$D533),0))</f>
        <v>2</v>
      </c>
      <c r="Y533" s="9">
        <f t="shared" si="78"/>
        <v>4</v>
      </c>
      <c r="Z533" s="8" t="str">
        <f t="array" ref="Z533">IF(Y533&gt;5,"Perlu Sensus",IF(AND(Y533&gt;0,,O533&gt;0),"Tetap Deteksi","Belum Deteksi"))</f>
        <v>Belum Deteksi</v>
      </c>
      <c r="AA533" s="203"/>
      <c r="AB533" s="9">
        <f t="shared" si="81"/>
        <v>0</v>
      </c>
    </row>
    <row r="534" spans="1:28" x14ac:dyDescent="0.15">
      <c r="A534" s="8" t="s">
        <v>322</v>
      </c>
      <c r="B534" s="8" t="s">
        <v>107</v>
      </c>
      <c r="C534" s="8" t="s">
        <v>548</v>
      </c>
      <c r="D534" s="8" t="s">
        <v>560</v>
      </c>
      <c r="E534" s="8">
        <v>26.81</v>
      </c>
      <c r="F534" s="8" t="s">
        <v>16</v>
      </c>
      <c r="G534" s="10">
        <v>4007</v>
      </c>
      <c r="H534" s="132">
        <f t="shared" si="73"/>
        <v>46249</v>
      </c>
      <c r="I534" s="140">
        <f t="shared" si="74"/>
        <v>24</v>
      </c>
      <c r="J534" s="9">
        <f t="shared" si="75"/>
        <v>0.59895183428999244</v>
      </c>
      <c r="K534" s="140">
        <f t="shared" si="76"/>
        <v>2</v>
      </c>
      <c r="L534" s="206">
        <f t="shared" si="77"/>
        <v>8.3333333333333321</v>
      </c>
      <c r="M534" s="8" t="str">
        <f t="array" ref="M534">IF(L534&gt;5,"Perlu Sensus",IF(AND(L534&gt;=0,I534&gt;0),"Tetap Deteksi","Belum Deteksi"))</f>
        <v>Perlu Sensus</v>
      </c>
      <c r="N534" s="132">
        <v>46249</v>
      </c>
      <c r="O534" s="143">
        <f t="array" ref="O534">INDEX('[21]DETEKSI ROT 2 (2)'!$G$343:$G$622,MATCH(1,('[21]DETEKSI ROT 2 (2)'!$D$343:$D$622=$D534)*('[21]DETEKSI ROT 2 (2)'!$D$343:$D$622=$D534),0))</f>
        <v>24</v>
      </c>
      <c r="P534" s="9">
        <f t="array" ref="P534">IFERROR(O534/G534*100,0)</f>
        <v>0.59895183428999244</v>
      </c>
      <c r="Q534" s="143">
        <f t="array" ref="Q534">INDEX('[21]DETEKSI ROT 2 (2)'!$I$343:$I$622,MATCH(1,('[21]DETEKSI ROT 2 (2)'!$D$343:$D$622=$D534)*('[21]DETEKSI ROT 2 (2)'!$D$343:$D$622=$D534),0))</f>
        <v>2</v>
      </c>
      <c r="R534" s="9">
        <f t="shared" si="79"/>
        <v>8.3333333333333321</v>
      </c>
      <c r="S534" s="8" t="str">
        <f t="array" ref="S534">IF(R534&gt;5,"Perlu Sensus",IF(AND(R534&gt;=0,O534&gt;0),"Tetap Deteksi","Belum Deteksi"))</f>
        <v>Perlu Sensus</v>
      </c>
      <c r="T534" s="203"/>
      <c r="U534" s="9">
        <f t="shared" si="80"/>
        <v>0</v>
      </c>
      <c r="V534" s="132">
        <v>46249</v>
      </c>
      <c r="W534" s="143">
        <f t="array" ref="W534">INDEX('[21]DETEKSI ROT 2 (2)'!$L$343:$L$622,MATCH(1,('[21]DETEKSI ROT 2 (2)'!$D$343:$D$622=$D534)*('[21]DETEKSI ROT 2 (2)'!$D$343:$D$622=$D534),0))</f>
        <v>105</v>
      </c>
      <c r="X534" s="143">
        <f t="array" ref="X534">INDEX('[21]DETEKSI ROT 2 (2)'!$M$343:$M$622,MATCH(1,('[21]DETEKSI ROT 2 (2)'!$D$343:$D$622=$D534)*('[21]DETEKSI ROT 2 (2)'!$D$343:$D$622=$D534),0))</f>
        <v>5</v>
      </c>
      <c r="Y534" s="9">
        <f t="shared" si="78"/>
        <v>4.7619047619047619</v>
      </c>
      <c r="Z534" s="8" t="str">
        <f t="array" ref="Z534">IF(Y534&gt;5,"Perlu Sensus",IF(AND(Y534&gt;0,,O534&gt;0),"Tetap Deteksi","Belum Deteksi"))</f>
        <v>Belum Deteksi</v>
      </c>
      <c r="AA534" s="203"/>
      <c r="AB534" s="9">
        <f t="shared" si="81"/>
        <v>0</v>
      </c>
    </row>
    <row r="535" spans="1:28" x14ac:dyDescent="0.15">
      <c r="A535" s="8" t="s">
        <v>322</v>
      </c>
      <c r="B535" s="8" t="s">
        <v>107</v>
      </c>
      <c r="C535" s="8" t="s">
        <v>548</v>
      </c>
      <c r="D535" s="8" t="s">
        <v>561</v>
      </c>
      <c r="E535" s="8">
        <v>25.73</v>
      </c>
      <c r="F535" s="8" t="s">
        <v>16</v>
      </c>
      <c r="G535" s="10">
        <v>3755</v>
      </c>
      <c r="H535" s="132">
        <f t="shared" si="73"/>
        <v>46249</v>
      </c>
      <c r="I535" s="140">
        <f t="shared" si="74"/>
        <v>88</v>
      </c>
      <c r="J535" s="9">
        <f t="shared" si="75"/>
        <v>2.3435419440745671</v>
      </c>
      <c r="K535" s="140">
        <f t="shared" si="76"/>
        <v>5</v>
      </c>
      <c r="L535" s="206">
        <f t="shared" si="77"/>
        <v>5.6818181818181817</v>
      </c>
      <c r="M535" s="8" t="str">
        <f t="array" ref="M535">IF(L535&gt;5,"Perlu Sensus",IF(AND(L535&gt;=0,I535&gt;0),"Tetap Deteksi","Belum Deteksi"))</f>
        <v>Perlu Sensus</v>
      </c>
      <c r="N535" s="132">
        <v>46249</v>
      </c>
      <c r="O535" s="143">
        <f t="array" ref="O535">INDEX('[21]DETEKSI ROT 2 (2)'!$G$343:$G$622,MATCH(1,('[21]DETEKSI ROT 2 (2)'!$D$343:$D$622=$D535)*('[21]DETEKSI ROT 2 (2)'!$D$343:$D$622=$D535),0))</f>
        <v>88</v>
      </c>
      <c r="P535" s="9">
        <f t="array" ref="P535">IFERROR(O535/G535*100,0)</f>
        <v>2.3435419440745671</v>
      </c>
      <c r="Q535" s="143">
        <f t="array" ref="Q535">INDEX('[21]DETEKSI ROT 2 (2)'!$I$343:$I$622,MATCH(1,('[21]DETEKSI ROT 2 (2)'!$D$343:$D$622=$D535)*('[21]DETEKSI ROT 2 (2)'!$D$343:$D$622=$D535),0))</f>
        <v>5</v>
      </c>
      <c r="R535" s="9">
        <f t="shared" si="79"/>
        <v>5.6818181818181817</v>
      </c>
      <c r="S535" s="8" t="str">
        <f t="array" ref="S535">IF(R535&gt;5,"Perlu Sensus",IF(AND(R535&gt;=0,O535&gt;0),"Tetap Deteksi","Belum Deteksi"))</f>
        <v>Perlu Sensus</v>
      </c>
      <c r="T535" s="203"/>
      <c r="U535" s="9">
        <f t="shared" si="80"/>
        <v>0</v>
      </c>
      <c r="V535" s="132">
        <v>46249</v>
      </c>
      <c r="W535" s="143">
        <f t="array" ref="W535">INDEX('[21]DETEKSI ROT 2 (2)'!$L$343:$L$622,MATCH(1,('[21]DETEKSI ROT 2 (2)'!$D$343:$D$622=$D535)*('[21]DETEKSI ROT 2 (2)'!$D$343:$D$622=$D535),0))</f>
        <v>152</v>
      </c>
      <c r="X535" s="143">
        <f t="array" ref="X535">INDEX('[21]DETEKSI ROT 2 (2)'!$M$343:$M$622,MATCH(1,('[21]DETEKSI ROT 2 (2)'!$D$343:$D$622=$D535)*('[21]DETEKSI ROT 2 (2)'!$D$343:$D$622=$D535),0))</f>
        <v>5</v>
      </c>
      <c r="Y535" s="9">
        <f t="shared" si="78"/>
        <v>3.2894736842105261</v>
      </c>
      <c r="Z535" s="8" t="str">
        <f t="array" ref="Z535">IF(Y535&gt;5,"Perlu Sensus",IF(AND(Y535&gt;0,,O535&gt;0),"Tetap Deteksi","Belum Deteksi"))</f>
        <v>Belum Deteksi</v>
      </c>
      <c r="AA535" s="203"/>
      <c r="AB535" s="9">
        <f t="shared" si="81"/>
        <v>0</v>
      </c>
    </row>
    <row r="536" spans="1:28" x14ac:dyDescent="0.15">
      <c r="A536" s="8" t="s">
        <v>322</v>
      </c>
      <c r="B536" s="8" t="s">
        <v>107</v>
      </c>
      <c r="C536" s="8" t="s">
        <v>548</v>
      </c>
      <c r="D536" s="8" t="s">
        <v>562</v>
      </c>
      <c r="E536" s="8">
        <v>24.66</v>
      </c>
      <c r="F536" s="8" t="s">
        <v>16</v>
      </c>
      <c r="G536" s="10">
        <v>3613</v>
      </c>
      <c r="H536" s="132">
        <f t="shared" si="73"/>
        <v>46249</v>
      </c>
      <c r="I536" s="140">
        <f t="shared" si="74"/>
        <v>103</v>
      </c>
      <c r="J536" s="9">
        <f t="shared" si="75"/>
        <v>2.8508164959867148</v>
      </c>
      <c r="K536" s="140">
        <f t="shared" si="76"/>
        <v>7</v>
      </c>
      <c r="L536" s="206">
        <f t="shared" si="77"/>
        <v>6.7961165048543686</v>
      </c>
      <c r="M536" s="8" t="str">
        <f t="array" ref="M536">IF(L536&gt;5,"Perlu Sensus",IF(AND(L536&gt;=0,I536&gt;0),"Tetap Deteksi","Belum Deteksi"))</f>
        <v>Perlu Sensus</v>
      </c>
      <c r="N536" s="132">
        <v>46249</v>
      </c>
      <c r="O536" s="143">
        <f t="array" ref="O536">INDEX('[21]DETEKSI ROT 2 (2)'!$G$343:$G$622,MATCH(1,('[21]DETEKSI ROT 2 (2)'!$D$343:$D$622=$D536)*('[21]DETEKSI ROT 2 (2)'!$D$343:$D$622=$D536),0))</f>
        <v>103</v>
      </c>
      <c r="P536" s="9">
        <f t="array" ref="P536">IFERROR(O536/G536*100,0)</f>
        <v>2.8508164959867148</v>
      </c>
      <c r="Q536" s="143">
        <f t="array" ref="Q536">INDEX('[21]DETEKSI ROT 2 (2)'!$I$343:$I$622,MATCH(1,('[21]DETEKSI ROT 2 (2)'!$D$343:$D$622=$D536)*('[21]DETEKSI ROT 2 (2)'!$D$343:$D$622=$D536),0))</f>
        <v>7</v>
      </c>
      <c r="R536" s="9">
        <f t="shared" si="79"/>
        <v>6.7961165048543686</v>
      </c>
      <c r="S536" s="8" t="str">
        <f t="array" ref="S536">IF(R536&gt;5,"Perlu Sensus",IF(AND(R536&gt;=0,O536&gt;0),"Tetap Deteksi","Belum Deteksi"))</f>
        <v>Perlu Sensus</v>
      </c>
      <c r="T536" s="203"/>
      <c r="U536" s="9">
        <f t="shared" si="80"/>
        <v>0</v>
      </c>
      <c r="V536" s="132">
        <v>46249</v>
      </c>
      <c r="W536" s="143">
        <f t="array" ref="W536">INDEX('[21]DETEKSI ROT 2 (2)'!$L$343:$L$622,MATCH(1,('[21]DETEKSI ROT 2 (2)'!$D$343:$D$622=$D536)*('[21]DETEKSI ROT 2 (2)'!$D$343:$D$622=$D536),0))</f>
        <v>64</v>
      </c>
      <c r="X536" s="143">
        <f t="array" ref="X536">INDEX('[21]DETEKSI ROT 2 (2)'!$M$343:$M$622,MATCH(1,('[21]DETEKSI ROT 2 (2)'!$D$343:$D$622=$D536)*('[21]DETEKSI ROT 2 (2)'!$D$343:$D$622=$D536),0))</f>
        <v>2</v>
      </c>
      <c r="Y536" s="9">
        <f t="shared" si="78"/>
        <v>3.125</v>
      </c>
      <c r="Z536" s="8" t="str">
        <f t="array" ref="Z536">IF(Y536&gt;5,"Perlu Sensus",IF(AND(Y536&gt;0,,O536&gt;0),"Tetap Deteksi","Belum Deteksi"))</f>
        <v>Belum Deteksi</v>
      </c>
      <c r="AA536" s="203"/>
      <c r="AB536" s="9">
        <f t="shared" si="81"/>
        <v>0</v>
      </c>
    </row>
    <row r="537" spans="1:28" x14ac:dyDescent="0.15">
      <c r="A537" s="8" t="s">
        <v>322</v>
      </c>
      <c r="B537" s="8" t="s">
        <v>107</v>
      </c>
      <c r="C537" s="8" t="s">
        <v>548</v>
      </c>
      <c r="D537" s="8" t="s">
        <v>563</v>
      </c>
      <c r="E537" s="8">
        <v>27.36</v>
      </c>
      <c r="F537" s="8" t="s">
        <v>16</v>
      </c>
      <c r="G537" s="10">
        <v>3628</v>
      </c>
      <c r="H537" s="132">
        <f t="shared" si="73"/>
        <v>46249</v>
      </c>
      <c r="I537" s="140">
        <f t="shared" si="74"/>
        <v>86</v>
      </c>
      <c r="J537" s="9">
        <f t="shared" si="75"/>
        <v>2.3704520396912896</v>
      </c>
      <c r="K537" s="140">
        <f t="shared" si="76"/>
        <v>8</v>
      </c>
      <c r="L537" s="206">
        <f t="shared" si="77"/>
        <v>9.3023255813953494</v>
      </c>
      <c r="M537" s="8" t="str">
        <f t="array" ref="M537">IF(L537&gt;5,"Perlu Sensus",IF(AND(L537&gt;=0,I537&gt;0),"Tetap Deteksi","Belum Deteksi"))</f>
        <v>Perlu Sensus</v>
      </c>
      <c r="N537" s="132">
        <v>46249</v>
      </c>
      <c r="O537" s="143">
        <f t="array" ref="O537">INDEX('[21]DETEKSI ROT 2 (2)'!$G$343:$G$622,MATCH(1,('[21]DETEKSI ROT 2 (2)'!$D$343:$D$622=$D537)*('[21]DETEKSI ROT 2 (2)'!$D$343:$D$622=$D537),0))</f>
        <v>86</v>
      </c>
      <c r="P537" s="9">
        <f t="array" ref="P537">IFERROR(O537/G537*100,0)</f>
        <v>2.3704520396912896</v>
      </c>
      <c r="Q537" s="143">
        <f t="array" ref="Q537">INDEX('[21]DETEKSI ROT 2 (2)'!$I$343:$I$622,MATCH(1,('[21]DETEKSI ROT 2 (2)'!$D$343:$D$622=$D537)*('[21]DETEKSI ROT 2 (2)'!$D$343:$D$622=$D537),0))</f>
        <v>8</v>
      </c>
      <c r="R537" s="9">
        <f t="shared" si="79"/>
        <v>9.3023255813953494</v>
      </c>
      <c r="S537" s="8" t="str">
        <f t="array" ref="S537">IF(R537&gt;5,"Perlu Sensus",IF(AND(R537&gt;=0,O537&gt;0),"Tetap Deteksi","Belum Deteksi"))</f>
        <v>Perlu Sensus</v>
      </c>
      <c r="T537" s="203"/>
      <c r="U537" s="9">
        <f t="shared" si="80"/>
        <v>0</v>
      </c>
      <c r="V537" s="132">
        <v>46249</v>
      </c>
      <c r="W537" s="143">
        <f t="array" ref="W537">INDEX('[21]DETEKSI ROT 2 (2)'!$L$343:$L$622,MATCH(1,('[21]DETEKSI ROT 2 (2)'!$D$343:$D$622=$D537)*('[21]DETEKSI ROT 2 (2)'!$D$343:$D$622=$D537),0))</f>
        <v>145</v>
      </c>
      <c r="X537" s="143">
        <f t="array" ref="X537">INDEX('[21]DETEKSI ROT 2 (2)'!$M$343:$M$622,MATCH(1,('[21]DETEKSI ROT 2 (2)'!$D$343:$D$622=$D537)*('[21]DETEKSI ROT 2 (2)'!$D$343:$D$622=$D537),0))</f>
        <v>6</v>
      </c>
      <c r="Y537" s="9">
        <f t="shared" si="78"/>
        <v>4.1379310344827589</v>
      </c>
      <c r="Z537" s="8" t="str">
        <f t="array" ref="Z537">IF(Y537&gt;5,"Perlu Sensus",IF(AND(Y537&gt;0,,O537&gt;0),"Tetap Deteksi","Belum Deteksi"))</f>
        <v>Belum Deteksi</v>
      </c>
      <c r="AA537" s="203"/>
      <c r="AB537" s="9">
        <f t="shared" si="81"/>
        <v>0</v>
      </c>
    </row>
    <row r="538" spans="1:28" x14ac:dyDescent="0.15">
      <c r="A538" s="8" t="s">
        <v>322</v>
      </c>
      <c r="B538" s="8" t="s">
        <v>107</v>
      </c>
      <c r="C538" s="8" t="s">
        <v>548</v>
      </c>
      <c r="D538" s="8" t="s">
        <v>564</v>
      </c>
      <c r="E538" s="8">
        <v>23.56</v>
      </c>
      <c r="F538" s="8" t="s">
        <v>16</v>
      </c>
      <c r="G538" s="10">
        <v>3263</v>
      </c>
      <c r="H538" s="132">
        <f t="shared" si="73"/>
        <v>46249</v>
      </c>
      <c r="I538" s="140">
        <f t="shared" si="74"/>
        <v>112</v>
      </c>
      <c r="J538" s="9">
        <f t="shared" si="75"/>
        <v>3.4324241495556231</v>
      </c>
      <c r="K538" s="140">
        <f t="shared" si="76"/>
        <v>9</v>
      </c>
      <c r="L538" s="206">
        <f t="shared" si="77"/>
        <v>8.0357142857142865</v>
      </c>
      <c r="M538" s="8" t="str">
        <f t="array" ref="M538">IF(L538&gt;5,"Perlu Sensus",IF(AND(L538&gt;=0,I538&gt;0),"Tetap Deteksi","Belum Deteksi"))</f>
        <v>Perlu Sensus</v>
      </c>
      <c r="N538" s="132">
        <v>46249</v>
      </c>
      <c r="O538" s="143">
        <f t="array" ref="O538">INDEX('[21]DETEKSI ROT 2 (2)'!$G$343:$G$622,MATCH(1,('[21]DETEKSI ROT 2 (2)'!$D$343:$D$622=$D538)*('[21]DETEKSI ROT 2 (2)'!$D$343:$D$622=$D538),0))</f>
        <v>112</v>
      </c>
      <c r="P538" s="9">
        <f t="array" ref="P538">IFERROR(O538/G538*100,0)</f>
        <v>3.4324241495556231</v>
      </c>
      <c r="Q538" s="143">
        <f t="array" ref="Q538">INDEX('[21]DETEKSI ROT 2 (2)'!$I$343:$I$622,MATCH(1,('[21]DETEKSI ROT 2 (2)'!$D$343:$D$622=$D538)*('[21]DETEKSI ROT 2 (2)'!$D$343:$D$622=$D538),0))</f>
        <v>9</v>
      </c>
      <c r="R538" s="9">
        <f t="shared" si="79"/>
        <v>8.0357142857142865</v>
      </c>
      <c r="S538" s="8" t="str">
        <f t="array" ref="S538">IF(R538&gt;5,"Perlu Sensus",IF(AND(R538&gt;=0,O538&gt;0),"Tetap Deteksi","Belum Deteksi"))</f>
        <v>Perlu Sensus</v>
      </c>
      <c r="T538" s="203"/>
      <c r="U538" s="9">
        <f t="shared" si="80"/>
        <v>0</v>
      </c>
      <c r="V538" s="132">
        <v>46249</v>
      </c>
      <c r="W538" s="143">
        <f t="array" ref="W538">INDEX('[21]DETEKSI ROT 2 (2)'!$L$343:$L$622,MATCH(1,('[21]DETEKSI ROT 2 (2)'!$D$343:$D$622=$D538)*('[21]DETEKSI ROT 2 (2)'!$D$343:$D$622=$D538),0))</f>
        <v>88</v>
      </c>
      <c r="X538" s="143">
        <f t="array" ref="X538">INDEX('[21]DETEKSI ROT 2 (2)'!$M$343:$M$622,MATCH(1,('[21]DETEKSI ROT 2 (2)'!$D$343:$D$622=$D538)*('[21]DETEKSI ROT 2 (2)'!$D$343:$D$622=$D538),0))</f>
        <v>5</v>
      </c>
      <c r="Y538" s="9">
        <f t="shared" si="78"/>
        <v>5.6818181818181817</v>
      </c>
      <c r="Z538" s="8" t="str">
        <f t="array" ref="Z538">IF(Y538&gt;5,"Perlu Sensus",IF(AND(Y538&gt;0,,O538&gt;0),"Tetap Deteksi","Belum Deteksi"))</f>
        <v>Perlu Sensus</v>
      </c>
      <c r="AA538" s="203"/>
      <c r="AB538" s="9">
        <f t="shared" si="81"/>
        <v>0</v>
      </c>
    </row>
    <row r="539" spans="1:28" x14ac:dyDescent="0.15">
      <c r="A539" s="8" t="s">
        <v>322</v>
      </c>
      <c r="B539" s="8" t="s">
        <v>107</v>
      </c>
      <c r="C539" s="8" t="s">
        <v>548</v>
      </c>
      <c r="D539" s="8" t="s">
        <v>565</v>
      </c>
      <c r="E539" s="8">
        <v>27.39</v>
      </c>
      <c r="F539" s="8" t="s">
        <v>132</v>
      </c>
      <c r="G539" s="10">
        <v>3528</v>
      </c>
      <c r="H539" s="132">
        <f t="shared" si="73"/>
        <v>46249</v>
      </c>
      <c r="I539" s="140">
        <f t="shared" si="74"/>
        <v>102</v>
      </c>
      <c r="J539" s="9">
        <f t="shared" si="75"/>
        <v>2.8911564625850339</v>
      </c>
      <c r="K539" s="140">
        <f t="shared" si="76"/>
        <v>10</v>
      </c>
      <c r="L539" s="206">
        <f t="shared" si="77"/>
        <v>9.8039215686274517</v>
      </c>
      <c r="M539" s="8" t="str">
        <f t="array" ref="M539">IF(L539&gt;5,"Perlu Sensus",IF(AND(L539&gt;=0,I539&gt;0),"Tetap Deteksi","Belum Deteksi"))</f>
        <v>Perlu Sensus</v>
      </c>
      <c r="N539" s="132">
        <v>46249</v>
      </c>
      <c r="O539" s="143">
        <f t="array" ref="O539">INDEX('[21]DETEKSI ROT 2 (2)'!$G$343:$G$622,MATCH(1,('[21]DETEKSI ROT 2 (2)'!$D$343:$D$622=$D539)*('[21]DETEKSI ROT 2 (2)'!$D$343:$D$622=$D539),0))</f>
        <v>102</v>
      </c>
      <c r="P539" s="9">
        <f t="array" ref="P539">IFERROR(O539/G539*100,0)</f>
        <v>2.8911564625850339</v>
      </c>
      <c r="Q539" s="143">
        <f t="array" ref="Q539">INDEX('[21]DETEKSI ROT 2 (2)'!$I$343:$I$622,MATCH(1,('[21]DETEKSI ROT 2 (2)'!$D$343:$D$622=$D539)*('[21]DETEKSI ROT 2 (2)'!$D$343:$D$622=$D539),0))</f>
        <v>10</v>
      </c>
      <c r="R539" s="9">
        <f t="shared" si="79"/>
        <v>9.8039215686274517</v>
      </c>
      <c r="S539" s="8" t="str">
        <f t="array" ref="S539">IF(R539&gt;5,"Perlu Sensus",IF(AND(R539&gt;=0,O539&gt;0),"Tetap Deteksi","Belum Deteksi"))</f>
        <v>Perlu Sensus</v>
      </c>
      <c r="T539" s="203"/>
      <c r="U539" s="9">
        <f t="shared" si="80"/>
        <v>0</v>
      </c>
      <c r="V539" s="132">
        <v>46249</v>
      </c>
      <c r="W539" s="143">
        <f t="array" ref="W539">INDEX('[21]DETEKSI ROT 2 (2)'!$L$343:$L$622,MATCH(1,('[21]DETEKSI ROT 2 (2)'!$D$343:$D$622=$D539)*('[21]DETEKSI ROT 2 (2)'!$D$343:$D$622=$D539),0))</f>
        <v>138</v>
      </c>
      <c r="X539" s="143">
        <f t="array" ref="X539">INDEX('[21]DETEKSI ROT 2 (2)'!$M$343:$M$622,MATCH(1,('[21]DETEKSI ROT 2 (2)'!$D$343:$D$622=$D539)*('[21]DETEKSI ROT 2 (2)'!$D$343:$D$622=$D539),0))</f>
        <v>9</v>
      </c>
      <c r="Y539" s="9">
        <f t="shared" si="78"/>
        <v>6.5217391304347823</v>
      </c>
      <c r="Z539" s="8" t="str">
        <f t="array" ref="Z539">IF(Y539&gt;5,"Perlu Sensus",IF(AND(Y539&gt;0,,O539&gt;0),"Tetap Deteksi","Belum Deteksi"))</f>
        <v>Perlu Sensus</v>
      </c>
      <c r="AA539" s="203"/>
      <c r="AB539" s="9">
        <f t="shared" si="81"/>
        <v>0</v>
      </c>
    </row>
    <row r="540" spans="1:28" x14ac:dyDescent="0.15">
      <c r="A540" s="8" t="s">
        <v>322</v>
      </c>
      <c r="B540" s="8" t="s">
        <v>107</v>
      </c>
      <c r="C540" s="8" t="s">
        <v>548</v>
      </c>
      <c r="D540" s="8" t="s">
        <v>566</v>
      </c>
      <c r="E540" s="8">
        <v>24.61</v>
      </c>
      <c r="F540" s="8" t="s">
        <v>132</v>
      </c>
      <c r="G540" s="10">
        <v>3285</v>
      </c>
      <c r="H540" s="132">
        <f t="shared" si="73"/>
        <v>46249</v>
      </c>
      <c r="I540" s="140">
        <f t="shared" si="74"/>
        <v>115</v>
      </c>
      <c r="J540" s="9">
        <f t="shared" si="75"/>
        <v>3.5007610350076099</v>
      </c>
      <c r="K540" s="140">
        <f t="shared" si="76"/>
        <v>5</v>
      </c>
      <c r="L540" s="206">
        <f t="shared" si="77"/>
        <v>4.3478260869565215</v>
      </c>
      <c r="M540" s="8" t="str">
        <f t="array" ref="M540">IF(L540&gt;5,"Perlu Sensus",IF(AND(L540&gt;=0,I540&gt;0),"Tetap Deteksi","Belum Deteksi"))</f>
        <v>Tetap Deteksi</v>
      </c>
      <c r="N540" s="132">
        <v>46249</v>
      </c>
      <c r="O540" s="143">
        <f t="array" ref="O540">INDEX('[21]DETEKSI ROT 2 (2)'!$G$343:$G$622,MATCH(1,('[21]DETEKSI ROT 2 (2)'!$D$343:$D$622=$D540)*('[21]DETEKSI ROT 2 (2)'!$D$343:$D$622=$D540),0))</f>
        <v>115</v>
      </c>
      <c r="P540" s="9">
        <f t="array" ref="P540">IFERROR(O540/G540*100,0)</f>
        <v>3.5007610350076099</v>
      </c>
      <c r="Q540" s="143">
        <f t="array" ref="Q540">INDEX('[21]DETEKSI ROT 2 (2)'!$I$343:$I$622,MATCH(1,('[21]DETEKSI ROT 2 (2)'!$D$343:$D$622=$D540)*('[21]DETEKSI ROT 2 (2)'!$D$343:$D$622=$D540),0))</f>
        <v>5</v>
      </c>
      <c r="R540" s="9">
        <f t="shared" si="79"/>
        <v>4.3478260869565215</v>
      </c>
      <c r="S540" s="8" t="str">
        <f t="array" ref="S540">IF(R540&gt;5,"Perlu Sensus",IF(AND(R540&gt;=0,O540&gt;0),"Tetap Deteksi","Belum Deteksi"))</f>
        <v>Tetap Deteksi</v>
      </c>
      <c r="T540" s="203"/>
      <c r="U540" s="9">
        <f t="shared" si="80"/>
        <v>0</v>
      </c>
      <c r="V540" s="132">
        <v>46249</v>
      </c>
      <c r="W540" s="143">
        <f t="array" ref="W540">INDEX('[21]DETEKSI ROT 2 (2)'!$L$343:$L$622,MATCH(1,('[21]DETEKSI ROT 2 (2)'!$D$343:$D$622=$D540)*('[21]DETEKSI ROT 2 (2)'!$D$343:$D$622=$D540),0))</f>
        <v>156</v>
      </c>
      <c r="X540" s="143">
        <f t="array" ref="X540">INDEX('[21]DETEKSI ROT 2 (2)'!$M$343:$M$622,MATCH(1,('[21]DETEKSI ROT 2 (2)'!$D$343:$D$622=$D540)*('[21]DETEKSI ROT 2 (2)'!$D$343:$D$622=$D540),0))</f>
        <v>6</v>
      </c>
      <c r="Y540" s="9">
        <f t="shared" si="78"/>
        <v>3.8461538461538463</v>
      </c>
      <c r="Z540" s="8" t="str">
        <f t="array" ref="Z540">IF(Y540&gt;5,"Perlu Sensus",IF(AND(Y540&gt;0,,O540&gt;0),"Tetap Deteksi","Belum Deteksi"))</f>
        <v>Belum Deteksi</v>
      </c>
      <c r="AA540" s="203"/>
      <c r="AB540" s="9">
        <f t="shared" si="81"/>
        <v>0</v>
      </c>
    </row>
    <row r="541" spans="1:28" x14ac:dyDescent="0.15">
      <c r="A541" s="8" t="s">
        <v>322</v>
      </c>
      <c r="B541" s="8" t="s">
        <v>107</v>
      </c>
      <c r="C541" s="8" t="s">
        <v>548</v>
      </c>
      <c r="D541" s="8" t="s">
        <v>567</v>
      </c>
      <c r="E541" s="8">
        <v>22.79</v>
      </c>
      <c r="F541" s="8" t="s">
        <v>132</v>
      </c>
      <c r="G541" s="10">
        <v>3178</v>
      </c>
      <c r="H541" s="132">
        <f t="shared" si="73"/>
        <v>46249</v>
      </c>
      <c r="I541" s="140">
        <f t="shared" si="74"/>
        <v>156</v>
      </c>
      <c r="J541" s="9">
        <f t="shared" si="75"/>
        <v>4.9087476400251733</v>
      </c>
      <c r="K541" s="140">
        <f t="shared" si="76"/>
        <v>5</v>
      </c>
      <c r="L541" s="206">
        <f t="shared" si="77"/>
        <v>3.2051282051282048</v>
      </c>
      <c r="M541" s="8" t="str">
        <f t="array" ref="M541">IF(L541&gt;5,"Perlu Sensus",IF(AND(L541&gt;=0,I541&gt;0),"Tetap Deteksi","Belum Deteksi"))</f>
        <v>Tetap Deteksi</v>
      </c>
      <c r="N541" s="132">
        <v>46249</v>
      </c>
      <c r="O541" s="143">
        <f t="array" ref="O541">INDEX('[21]DETEKSI ROT 2 (2)'!$G$343:$G$622,MATCH(1,('[21]DETEKSI ROT 2 (2)'!$D$343:$D$622=$D541)*('[21]DETEKSI ROT 2 (2)'!$D$343:$D$622=$D541),0))</f>
        <v>156</v>
      </c>
      <c r="P541" s="9">
        <f t="array" ref="P541">IFERROR(O541/G541*100,0)</f>
        <v>4.9087476400251733</v>
      </c>
      <c r="Q541" s="143">
        <f t="array" ref="Q541">INDEX('[21]DETEKSI ROT 2 (2)'!$I$343:$I$622,MATCH(1,('[21]DETEKSI ROT 2 (2)'!$D$343:$D$622=$D541)*('[21]DETEKSI ROT 2 (2)'!$D$343:$D$622=$D541),0))</f>
        <v>5</v>
      </c>
      <c r="R541" s="9">
        <f t="shared" si="79"/>
        <v>3.2051282051282048</v>
      </c>
      <c r="S541" s="8" t="str">
        <f t="array" ref="S541">IF(R541&gt;5,"Perlu Sensus",IF(AND(R541&gt;=0,O541&gt;0),"Tetap Deteksi","Belum Deteksi"))</f>
        <v>Tetap Deteksi</v>
      </c>
      <c r="T541" s="203"/>
      <c r="U541" s="9">
        <f t="shared" si="80"/>
        <v>0</v>
      </c>
      <c r="V541" s="132">
        <v>46249</v>
      </c>
      <c r="W541" s="143">
        <f t="array" ref="W541">INDEX('[21]DETEKSI ROT 2 (2)'!$L$343:$L$622,MATCH(1,('[21]DETEKSI ROT 2 (2)'!$D$343:$D$622=$D541)*('[21]DETEKSI ROT 2 (2)'!$D$343:$D$622=$D541),0))</f>
        <v>163</v>
      </c>
      <c r="X541" s="143">
        <f t="array" ref="X541">INDEX('[21]DETEKSI ROT 2 (2)'!$M$343:$M$622,MATCH(1,('[21]DETEKSI ROT 2 (2)'!$D$343:$D$622=$D541)*('[21]DETEKSI ROT 2 (2)'!$D$343:$D$622=$D541),0))</f>
        <v>8</v>
      </c>
      <c r="Y541" s="9">
        <f t="shared" si="78"/>
        <v>4.9079754601226995</v>
      </c>
      <c r="Z541" s="8" t="str">
        <f t="array" ref="Z541">IF(Y541&gt;5,"Perlu Sensus",IF(AND(Y541&gt;0,,O541&gt;0),"Tetap Deteksi","Belum Deteksi"))</f>
        <v>Belum Deteksi</v>
      </c>
      <c r="AA541" s="203"/>
      <c r="AB541" s="9">
        <f t="shared" si="81"/>
        <v>0</v>
      </c>
    </row>
    <row r="542" spans="1:28" x14ac:dyDescent="0.15">
      <c r="A542" s="8" t="s">
        <v>322</v>
      </c>
      <c r="B542" s="8" t="s">
        <v>107</v>
      </c>
      <c r="C542" s="8" t="s">
        <v>548</v>
      </c>
      <c r="D542" s="8" t="s">
        <v>568</v>
      </c>
      <c r="E542" s="8">
        <v>25.95</v>
      </c>
      <c r="F542" s="8" t="s">
        <v>132</v>
      </c>
      <c r="G542" s="10">
        <v>3738</v>
      </c>
      <c r="H542" s="132">
        <f t="shared" si="73"/>
        <v>46249</v>
      </c>
      <c r="I542" s="140">
        <f t="shared" si="74"/>
        <v>171</v>
      </c>
      <c r="J542" s="9">
        <f t="shared" si="75"/>
        <v>4.5746388443017656</v>
      </c>
      <c r="K542" s="140">
        <f t="shared" si="76"/>
        <v>13</v>
      </c>
      <c r="L542" s="206">
        <f t="shared" si="77"/>
        <v>7.6023391812865491</v>
      </c>
      <c r="M542" s="8" t="str">
        <f t="array" ref="M542">IF(L542&gt;5,"Perlu Sensus",IF(AND(L542&gt;=0,I542&gt;0),"Tetap Deteksi","Belum Deteksi"))</f>
        <v>Perlu Sensus</v>
      </c>
      <c r="N542" s="132">
        <v>46249</v>
      </c>
      <c r="O542" s="143">
        <f t="array" ref="O542">INDEX('[21]DETEKSI ROT 2 (2)'!$G$343:$G$622,MATCH(1,('[21]DETEKSI ROT 2 (2)'!$D$343:$D$622=$D542)*('[21]DETEKSI ROT 2 (2)'!$D$343:$D$622=$D542),0))</f>
        <v>171</v>
      </c>
      <c r="P542" s="9">
        <f t="array" ref="P542">IFERROR(O542/G542*100,0)</f>
        <v>4.5746388443017656</v>
      </c>
      <c r="Q542" s="143">
        <f t="array" ref="Q542">INDEX('[21]DETEKSI ROT 2 (2)'!$I$343:$I$622,MATCH(1,('[21]DETEKSI ROT 2 (2)'!$D$343:$D$622=$D542)*('[21]DETEKSI ROT 2 (2)'!$D$343:$D$622=$D542),0))</f>
        <v>13</v>
      </c>
      <c r="R542" s="9">
        <f t="shared" si="79"/>
        <v>7.6023391812865491</v>
      </c>
      <c r="S542" s="8" t="str">
        <f t="array" ref="S542">IF(R542&gt;5,"Perlu Sensus",IF(AND(R542&gt;=0,O542&gt;0),"Tetap Deteksi","Belum Deteksi"))</f>
        <v>Perlu Sensus</v>
      </c>
      <c r="T542" s="203"/>
      <c r="U542" s="9">
        <f t="shared" si="80"/>
        <v>0</v>
      </c>
      <c r="V542" s="132">
        <v>46249</v>
      </c>
      <c r="W542" s="143">
        <f t="array" ref="W542">INDEX('[21]DETEKSI ROT 2 (2)'!$L$343:$L$622,MATCH(1,('[21]DETEKSI ROT 2 (2)'!$D$343:$D$622=$D542)*('[21]DETEKSI ROT 2 (2)'!$D$343:$D$622=$D542),0))</f>
        <v>188</v>
      </c>
      <c r="X542" s="143">
        <f t="array" ref="X542">INDEX('[21]DETEKSI ROT 2 (2)'!$M$343:$M$622,MATCH(1,('[21]DETEKSI ROT 2 (2)'!$D$343:$D$622=$D542)*('[21]DETEKSI ROT 2 (2)'!$D$343:$D$622=$D542),0))</f>
        <v>7</v>
      </c>
      <c r="Y542" s="9">
        <f t="shared" si="78"/>
        <v>3.7234042553191489</v>
      </c>
      <c r="Z542" s="8" t="str">
        <f t="array" ref="Z542">IF(Y542&gt;5,"Perlu Sensus",IF(AND(Y542&gt;0,,O542&gt;0),"Tetap Deteksi","Belum Deteksi"))</f>
        <v>Belum Deteksi</v>
      </c>
      <c r="AA542" s="203"/>
      <c r="AB542" s="9">
        <f t="shared" si="81"/>
        <v>0</v>
      </c>
    </row>
    <row r="543" spans="1:28" x14ac:dyDescent="0.15">
      <c r="A543" s="8" t="s">
        <v>322</v>
      </c>
      <c r="B543" s="8" t="s">
        <v>107</v>
      </c>
      <c r="C543" s="8" t="s">
        <v>548</v>
      </c>
      <c r="D543" s="8" t="s">
        <v>569</v>
      </c>
      <c r="E543" s="8">
        <v>25.04</v>
      </c>
      <c r="F543" s="8" t="s">
        <v>132</v>
      </c>
      <c r="G543" s="10">
        <v>3624</v>
      </c>
      <c r="H543" s="132">
        <f t="shared" si="73"/>
        <v>46249</v>
      </c>
      <c r="I543" s="140">
        <f t="shared" si="74"/>
        <v>114</v>
      </c>
      <c r="J543" s="9">
        <f t="shared" si="75"/>
        <v>3.1456953642384109</v>
      </c>
      <c r="K543" s="140">
        <f t="shared" si="76"/>
        <v>4</v>
      </c>
      <c r="L543" s="206">
        <f t="shared" si="77"/>
        <v>3.5087719298245612</v>
      </c>
      <c r="M543" s="8" t="str">
        <f t="array" ref="M543">IF(L543&gt;5,"Perlu Sensus",IF(AND(L543&gt;=0,I543&gt;0),"Tetap Deteksi","Belum Deteksi"))</f>
        <v>Tetap Deteksi</v>
      </c>
      <c r="N543" s="132">
        <v>46249</v>
      </c>
      <c r="O543" s="143">
        <f t="array" ref="O543">INDEX('[21]DETEKSI ROT 2 (2)'!$G$343:$G$622,MATCH(1,('[21]DETEKSI ROT 2 (2)'!$D$343:$D$622=$D543)*('[21]DETEKSI ROT 2 (2)'!$D$343:$D$622=$D543),0))</f>
        <v>114</v>
      </c>
      <c r="P543" s="9">
        <f t="array" ref="P543">IFERROR(O543/G543*100,0)</f>
        <v>3.1456953642384109</v>
      </c>
      <c r="Q543" s="143">
        <f t="array" ref="Q543">INDEX('[21]DETEKSI ROT 2 (2)'!$I$343:$I$622,MATCH(1,('[21]DETEKSI ROT 2 (2)'!$D$343:$D$622=$D543)*('[21]DETEKSI ROT 2 (2)'!$D$343:$D$622=$D543),0))</f>
        <v>4</v>
      </c>
      <c r="R543" s="9">
        <f t="shared" si="79"/>
        <v>3.5087719298245612</v>
      </c>
      <c r="S543" s="8" t="str">
        <f t="array" ref="S543">IF(R543&gt;5,"Perlu Sensus",IF(AND(R543&gt;=0,O543&gt;0),"Tetap Deteksi","Belum Deteksi"))</f>
        <v>Tetap Deteksi</v>
      </c>
      <c r="T543" s="203"/>
      <c r="U543" s="9">
        <f t="shared" si="80"/>
        <v>0</v>
      </c>
      <c r="V543" s="132">
        <v>46249</v>
      </c>
      <c r="W543" s="143">
        <f t="array" ref="W543">INDEX('[21]DETEKSI ROT 2 (2)'!$L$343:$L$622,MATCH(1,('[21]DETEKSI ROT 2 (2)'!$D$343:$D$622=$D543)*('[21]DETEKSI ROT 2 (2)'!$D$343:$D$622=$D543),0))</f>
        <v>179</v>
      </c>
      <c r="X543" s="143">
        <f t="array" ref="X543">INDEX('[21]DETEKSI ROT 2 (2)'!$M$343:$M$622,MATCH(1,('[21]DETEKSI ROT 2 (2)'!$D$343:$D$622=$D543)*('[21]DETEKSI ROT 2 (2)'!$D$343:$D$622=$D543),0))</f>
        <v>12</v>
      </c>
      <c r="Y543" s="9">
        <f t="shared" si="78"/>
        <v>6.7039106145251397</v>
      </c>
      <c r="Z543" s="8" t="str">
        <f t="array" ref="Z543">IF(Y543&gt;5,"Perlu Sensus",IF(AND(Y543&gt;0,,O543&gt;0),"Tetap Deteksi","Belum Deteksi"))</f>
        <v>Perlu Sensus</v>
      </c>
      <c r="AA543" s="203"/>
      <c r="AB543" s="9">
        <f t="shared" si="81"/>
        <v>0</v>
      </c>
    </row>
    <row r="544" spans="1:28" x14ac:dyDescent="0.15">
      <c r="A544" s="8" t="s">
        <v>322</v>
      </c>
      <c r="B544" s="8" t="s">
        <v>107</v>
      </c>
      <c r="C544" s="8" t="s">
        <v>548</v>
      </c>
      <c r="D544" s="8" t="s">
        <v>570</v>
      </c>
      <c r="E544" s="8">
        <v>25.83</v>
      </c>
      <c r="F544" s="8" t="s">
        <v>132</v>
      </c>
      <c r="G544" s="10">
        <v>3319</v>
      </c>
      <c r="H544" s="132">
        <f t="shared" si="73"/>
        <v>46249</v>
      </c>
      <c r="I544" s="140">
        <f t="shared" si="74"/>
        <v>111</v>
      </c>
      <c r="J544" s="9">
        <f t="shared" si="75"/>
        <v>3.3443808376016877</v>
      </c>
      <c r="K544" s="140">
        <f t="shared" si="76"/>
        <v>2</v>
      </c>
      <c r="L544" s="206">
        <f t="shared" si="77"/>
        <v>1.8018018018018018</v>
      </c>
      <c r="M544" s="8" t="str">
        <f t="array" ref="M544">IF(L544&gt;5,"Perlu Sensus",IF(AND(L544&gt;=0,I544&gt;0),"Tetap Deteksi","Belum Deteksi"))</f>
        <v>Tetap Deteksi</v>
      </c>
      <c r="N544" s="132">
        <v>46249</v>
      </c>
      <c r="O544" s="143">
        <f t="array" ref="O544">INDEX('[21]DETEKSI ROT 2 (2)'!$G$343:$G$622,MATCH(1,('[21]DETEKSI ROT 2 (2)'!$D$343:$D$622=$D544)*('[21]DETEKSI ROT 2 (2)'!$D$343:$D$622=$D544),0))</f>
        <v>111</v>
      </c>
      <c r="P544" s="9">
        <f t="array" ref="P544">IFERROR(O544/G544*100,0)</f>
        <v>3.3443808376016877</v>
      </c>
      <c r="Q544" s="143">
        <f t="array" ref="Q544">INDEX('[21]DETEKSI ROT 2 (2)'!$I$343:$I$622,MATCH(1,('[21]DETEKSI ROT 2 (2)'!$D$343:$D$622=$D544)*('[21]DETEKSI ROT 2 (2)'!$D$343:$D$622=$D544),0))</f>
        <v>2</v>
      </c>
      <c r="R544" s="9">
        <f t="shared" si="79"/>
        <v>1.8018018018018018</v>
      </c>
      <c r="S544" s="8" t="str">
        <f t="array" ref="S544">IF(R544&gt;5,"Perlu Sensus",IF(AND(R544&gt;=0,O544&gt;0),"Tetap Deteksi","Belum Deteksi"))</f>
        <v>Tetap Deteksi</v>
      </c>
      <c r="T544" s="203"/>
      <c r="U544" s="9">
        <f t="shared" si="80"/>
        <v>0</v>
      </c>
      <c r="V544" s="132">
        <v>46249</v>
      </c>
      <c r="W544" s="143">
        <f t="array" ref="W544">INDEX('[21]DETEKSI ROT 2 (2)'!$L$343:$L$622,MATCH(1,('[21]DETEKSI ROT 2 (2)'!$D$343:$D$622=$D544)*('[21]DETEKSI ROT 2 (2)'!$D$343:$D$622=$D544),0))</f>
        <v>120</v>
      </c>
      <c r="X544" s="143">
        <f t="array" ref="X544">INDEX('[21]DETEKSI ROT 2 (2)'!$M$343:$M$622,MATCH(1,('[21]DETEKSI ROT 2 (2)'!$D$343:$D$622=$D544)*('[21]DETEKSI ROT 2 (2)'!$D$343:$D$622=$D544),0))</f>
        <v>7</v>
      </c>
      <c r="Y544" s="9">
        <f t="shared" si="78"/>
        <v>5.833333333333333</v>
      </c>
      <c r="Z544" s="8" t="str">
        <f t="array" ref="Z544">IF(Y544&gt;5,"Perlu Sensus",IF(AND(Y544&gt;0,,O544&gt;0),"Tetap Deteksi","Belum Deteksi"))</f>
        <v>Perlu Sensus</v>
      </c>
      <c r="AA544" s="203"/>
      <c r="AB544" s="9">
        <f t="shared" si="81"/>
        <v>0</v>
      </c>
    </row>
    <row r="545" spans="1:28" x14ac:dyDescent="0.15">
      <c r="A545" s="8" t="s">
        <v>322</v>
      </c>
      <c r="B545" s="8" t="s">
        <v>107</v>
      </c>
      <c r="C545" s="8" t="s">
        <v>548</v>
      </c>
      <c r="D545" s="8" t="s">
        <v>571</v>
      </c>
      <c r="E545" s="8">
        <v>33.92</v>
      </c>
      <c r="F545" s="8" t="s">
        <v>132</v>
      </c>
      <c r="G545" s="10">
        <v>4846</v>
      </c>
      <c r="H545" s="132">
        <f t="shared" si="73"/>
        <v>46249</v>
      </c>
      <c r="I545" s="140">
        <f t="shared" si="74"/>
        <v>132</v>
      </c>
      <c r="J545" s="9">
        <f t="shared" si="75"/>
        <v>2.7238959966983081</v>
      </c>
      <c r="K545" s="140">
        <f t="shared" si="76"/>
        <v>6</v>
      </c>
      <c r="L545" s="206">
        <f t="shared" si="77"/>
        <v>4.5454545454545459</v>
      </c>
      <c r="M545" s="8" t="str">
        <f t="array" ref="M545">IF(L545&gt;5,"Perlu Sensus",IF(AND(L545&gt;=0,I545&gt;0),"Tetap Deteksi","Belum Deteksi"))</f>
        <v>Tetap Deteksi</v>
      </c>
      <c r="N545" s="132">
        <v>46249</v>
      </c>
      <c r="O545" s="143">
        <f t="array" ref="O545">INDEX('[21]DETEKSI ROT 2 (2)'!$G$343:$G$622,MATCH(1,('[21]DETEKSI ROT 2 (2)'!$D$343:$D$622=$D545)*('[21]DETEKSI ROT 2 (2)'!$D$343:$D$622=$D545),0))</f>
        <v>132</v>
      </c>
      <c r="P545" s="9">
        <f t="array" ref="P545">IFERROR(O545/G545*100,0)</f>
        <v>2.7238959966983081</v>
      </c>
      <c r="Q545" s="143">
        <f t="array" ref="Q545">INDEX('[21]DETEKSI ROT 2 (2)'!$I$343:$I$622,MATCH(1,('[21]DETEKSI ROT 2 (2)'!$D$343:$D$622=$D545)*('[21]DETEKSI ROT 2 (2)'!$D$343:$D$622=$D545),0))</f>
        <v>6</v>
      </c>
      <c r="R545" s="9">
        <f t="shared" si="79"/>
        <v>4.5454545454545459</v>
      </c>
      <c r="S545" s="8" t="str">
        <f t="array" ref="S545">IF(R545&gt;5,"Perlu Sensus",IF(AND(R545&gt;=0,O545&gt;0),"Tetap Deteksi","Belum Deteksi"))</f>
        <v>Tetap Deteksi</v>
      </c>
      <c r="T545" s="203"/>
      <c r="U545" s="9">
        <f t="shared" si="80"/>
        <v>0</v>
      </c>
      <c r="V545" s="132">
        <v>46249</v>
      </c>
      <c r="W545" s="143">
        <f t="array" ref="W545">INDEX('[21]DETEKSI ROT 2 (2)'!$L$343:$L$622,MATCH(1,('[21]DETEKSI ROT 2 (2)'!$D$343:$D$622=$D545)*('[21]DETEKSI ROT 2 (2)'!$D$343:$D$622=$D545),0))</f>
        <v>65</v>
      </c>
      <c r="X545" s="143">
        <f t="array" ref="X545">INDEX('[21]DETEKSI ROT 2 (2)'!$M$343:$M$622,MATCH(1,('[21]DETEKSI ROT 2 (2)'!$D$343:$D$622=$D545)*('[21]DETEKSI ROT 2 (2)'!$D$343:$D$622=$D545),0))</f>
        <v>1</v>
      </c>
      <c r="Y545" s="9">
        <f t="shared" si="78"/>
        <v>1.5384615384615385</v>
      </c>
      <c r="Z545" s="8" t="str">
        <f t="array" ref="Z545">IF(Y545&gt;5,"Perlu Sensus",IF(AND(Y545&gt;0,,O545&gt;0),"Tetap Deteksi","Belum Deteksi"))</f>
        <v>Belum Deteksi</v>
      </c>
      <c r="AA545" s="203"/>
      <c r="AB545" s="9">
        <f t="shared" si="81"/>
        <v>0</v>
      </c>
    </row>
    <row r="546" spans="1:28" x14ac:dyDescent="0.15">
      <c r="A546" s="8" t="s">
        <v>322</v>
      </c>
      <c r="B546" s="8" t="s">
        <v>107</v>
      </c>
      <c r="C546" s="8" t="s">
        <v>548</v>
      </c>
      <c r="D546" s="8" t="s">
        <v>572</v>
      </c>
      <c r="E546" s="8">
        <v>25.78</v>
      </c>
      <c r="F546" s="8" t="s">
        <v>469</v>
      </c>
      <c r="G546" s="10">
        <v>3446</v>
      </c>
      <c r="H546" s="132">
        <f t="shared" si="73"/>
        <v>46249</v>
      </c>
      <c r="I546" s="140">
        <f t="shared" si="74"/>
        <v>142</v>
      </c>
      <c r="J546" s="9">
        <f t="shared" si="75"/>
        <v>4.12071967498549</v>
      </c>
      <c r="K546" s="140">
        <f t="shared" si="76"/>
        <v>7</v>
      </c>
      <c r="L546" s="206">
        <f t="shared" si="77"/>
        <v>4.929577464788732</v>
      </c>
      <c r="M546" s="8" t="str">
        <f t="array" ref="M546">IF(L546&gt;5,"Perlu Sensus",IF(AND(L546&gt;=0,I546&gt;0),"Tetap Deteksi","Belum Deteksi"))</f>
        <v>Tetap Deteksi</v>
      </c>
      <c r="N546" s="132">
        <v>46249</v>
      </c>
      <c r="O546" s="143">
        <f t="array" ref="O546">INDEX('[21]DETEKSI ROT 2 (2)'!$G$343:$G$622,MATCH(1,('[21]DETEKSI ROT 2 (2)'!$D$343:$D$622=$D546)*('[21]DETEKSI ROT 2 (2)'!$D$343:$D$622=$D546),0))</f>
        <v>142</v>
      </c>
      <c r="P546" s="9">
        <f t="array" ref="P546">IFERROR(O546/G546*100,0)</f>
        <v>4.12071967498549</v>
      </c>
      <c r="Q546" s="143">
        <f t="array" ref="Q546">INDEX('[21]DETEKSI ROT 2 (2)'!$I$343:$I$622,MATCH(1,('[21]DETEKSI ROT 2 (2)'!$D$343:$D$622=$D546)*('[21]DETEKSI ROT 2 (2)'!$D$343:$D$622=$D546),0))</f>
        <v>7</v>
      </c>
      <c r="R546" s="9">
        <f t="shared" si="79"/>
        <v>4.929577464788732</v>
      </c>
      <c r="S546" s="8" t="str">
        <f t="array" ref="S546">IF(R546&gt;5,"Perlu Sensus",IF(AND(R546&gt;=0,O546&gt;0),"Tetap Deteksi","Belum Deteksi"))</f>
        <v>Tetap Deteksi</v>
      </c>
      <c r="T546" s="203"/>
      <c r="U546" s="9">
        <f t="shared" si="80"/>
        <v>0</v>
      </c>
      <c r="V546" s="132">
        <v>46249</v>
      </c>
      <c r="W546" s="143">
        <f t="array" ref="W546">INDEX('[21]DETEKSI ROT 2 (2)'!$L$343:$L$622,MATCH(1,('[21]DETEKSI ROT 2 (2)'!$D$343:$D$622=$D546)*('[21]DETEKSI ROT 2 (2)'!$D$343:$D$622=$D546),0))</f>
        <v>79</v>
      </c>
      <c r="X546" s="143">
        <f t="array" ref="X546">INDEX('[21]DETEKSI ROT 2 (2)'!$M$343:$M$622,MATCH(1,('[21]DETEKSI ROT 2 (2)'!$D$343:$D$622=$D546)*('[21]DETEKSI ROT 2 (2)'!$D$343:$D$622=$D546),0))</f>
        <v>2</v>
      </c>
      <c r="Y546" s="9">
        <f t="shared" si="78"/>
        <v>2.5316455696202533</v>
      </c>
      <c r="Z546" s="8" t="str">
        <f t="array" ref="Z546">IF(Y546&gt;5,"Perlu Sensus",IF(AND(Y546&gt;0,,O546&gt;0),"Tetap Deteksi","Belum Deteksi"))</f>
        <v>Belum Deteksi</v>
      </c>
      <c r="AA546" s="203"/>
      <c r="AB546" s="9">
        <f t="shared" si="81"/>
        <v>0</v>
      </c>
    </row>
    <row r="547" spans="1:28" x14ac:dyDescent="0.15">
      <c r="A547" s="8" t="s">
        <v>322</v>
      </c>
      <c r="B547" s="8" t="s">
        <v>107</v>
      </c>
      <c r="C547" s="8" t="s">
        <v>548</v>
      </c>
      <c r="D547" s="8" t="s">
        <v>573</v>
      </c>
      <c r="E547" s="8">
        <v>25.11</v>
      </c>
      <c r="F547" s="8" t="s">
        <v>469</v>
      </c>
      <c r="G547" s="10">
        <v>3185</v>
      </c>
      <c r="H547" s="132">
        <f t="shared" si="73"/>
        <v>46249</v>
      </c>
      <c r="I547" s="140">
        <f t="shared" si="74"/>
        <v>116</v>
      </c>
      <c r="J547" s="9">
        <f t="shared" si="75"/>
        <v>3.6420722135007848</v>
      </c>
      <c r="K547" s="140">
        <f t="shared" si="76"/>
        <v>5</v>
      </c>
      <c r="L547" s="206">
        <f t="shared" si="77"/>
        <v>4.3103448275862073</v>
      </c>
      <c r="M547" s="8" t="str">
        <f t="array" ref="M547">IF(L547&gt;5,"Perlu Sensus",IF(AND(L547&gt;=0,I547&gt;0),"Tetap Deteksi","Belum Deteksi"))</f>
        <v>Tetap Deteksi</v>
      </c>
      <c r="N547" s="132">
        <v>46249</v>
      </c>
      <c r="O547" s="143">
        <f t="array" ref="O547">INDEX('[21]DETEKSI ROT 2 (2)'!$G$343:$G$622,MATCH(1,('[21]DETEKSI ROT 2 (2)'!$D$343:$D$622=$D547)*('[21]DETEKSI ROT 2 (2)'!$D$343:$D$622=$D547),0))</f>
        <v>116</v>
      </c>
      <c r="P547" s="9">
        <f t="array" ref="P547">IFERROR(O547/G547*100,0)</f>
        <v>3.6420722135007848</v>
      </c>
      <c r="Q547" s="143">
        <f t="array" ref="Q547">INDEX('[21]DETEKSI ROT 2 (2)'!$I$343:$I$622,MATCH(1,('[21]DETEKSI ROT 2 (2)'!$D$343:$D$622=$D547)*('[21]DETEKSI ROT 2 (2)'!$D$343:$D$622=$D547),0))</f>
        <v>5</v>
      </c>
      <c r="R547" s="9">
        <f t="shared" si="79"/>
        <v>4.3103448275862073</v>
      </c>
      <c r="S547" s="8" t="str">
        <f t="array" ref="S547">IF(R547&gt;5,"Perlu Sensus",IF(AND(R547&gt;=0,O547&gt;0),"Tetap Deteksi","Belum Deteksi"))</f>
        <v>Tetap Deteksi</v>
      </c>
      <c r="T547" s="203"/>
      <c r="U547" s="9">
        <f t="shared" si="80"/>
        <v>0</v>
      </c>
      <c r="V547" s="132">
        <v>46249</v>
      </c>
      <c r="W547" s="143">
        <f t="array" ref="W547">INDEX('[21]DETEKSI ROT 2 (2)'!$L$343:$L$622,MATCH(1,('[21]DETEKSI ROT 2 (2)'!$D$343:$D$622=$D547)*('[21]DETEKSI ROT 2 (2)'!$D$343:$D$622=$D547),0))</f>
        <v>100</v>
      </c>
      <c r="X547" s="143">
        <f t="array" ref="X547">INDEX('[21]DETEKSI ROT 2 (2)'!$M$343:$M$622,MATCH(1,('[21]DETEKSI ROT 2 (2)'!$D$343:$D$622=$D547)*('[21]DETEKSI ROT 2 (2)'!$D$343:$D$622=$D547),0))</f>
        <v>4</v>
      </c>
      <c r="Y547" s="9">
        <f t="shared" si="78"/>
        <v>4</v>
      </c>
      <c r="Z547" s="8" t="str">
        <f t="array" ref="Z547">IF(Y547&gt;5,"Perlu Sensus",IF(AND(Y547&gt;0,,O547&gt;0),"Tetap Deteksi","Belum Deteksi"))</f>
        <v>Belum Deteksi</v>
      </c>
      <c r="AA547" s="203"/>
      <c r="AB547" s="9">
        <f t="shared" si="81"/>
        <v>0</v>
      </c>
    </row>
    <row r="548" spans="1:28" x14ac:dyDescent="0.15">
      <c r="A548" s="8" t="s">
        <v>322</v>
      </c>
      <c r="B548" s="8" t="s">
        <v>107</v>
      </c>
      <c r="C548" s="8" t="s">
        <v>548</v>
      </c>
      <c r="D548" s="8" t="s">
        <v>574</v>
      </c>
      <c r="E548" s="8">
        <v>25.44</v>
      </c>
      <c r="F548" s="8" t="s">
        <v>469</v>
      </c>
      <c r="G548" s="10">
        <v>3253</v>
      </c>
      <c r="H548" s="132">
        <f t="shared" si="73"/>
        <v>46249</v>
      </c>
      <c r="I548" s="140">
        <f t="shared" si="74"/>
        <v>105</v>
      </c>
      <c r="J548" s="9">
        <f t="shared" si="75"/>
        <v>3.2277897325545655</v>
      </c>
      <c r="K548" s="140">
        <f t="shared" si="76"/>
        <v>4</v>
      </c>
      <c r="L548" s="206">
        <f t="shared" si="77"/>
        <v>3.8095238095238098</v>
      </c>
      <c r="M548" s="8" t="str">
        <f t="array" ref="M548">IF(L548&gt;5,"Perlu Sensus",IF(AND(L548&gt;=0,I548&gt;0),"Tetap Deteksi","Belum Deteksi"))</f>
        <v>Tetap Deteksi</v>
      </c>
      <c r="N548" s="132">
        <v>46249</v>
      </c>
      <c r="O548" s="143">
        <f t="array" ref="O548">INDEX('[21]DETEKSI ROT 2 (2)'!$G$343:$G$622,MATCH(1,('[21]DETEKSI ROT 2 (2)'!$D$343:$D$622=$D548)*('[21]DETEKSI ROT 2 (2)'!$D$343:$D$622=$D548),0))</f>
        <v>105</v>
      </c>
      <c r="P548" s="9">
        <f t="array" ref="P548">IFERROR(O548/G548*100,0)</f>
        <v>3.2277897325545655</v>
      </c>
      <c r="Q548" s="143">
        <f t="array" ref="Q548">INDEX('[21]DETEKSI ROT 2 (2)'!$I$343:$I$622,MATCH(1,('[21]DETEKSI ROT 2 (2)'!$D$343:$D$622=$D548)*('[21]DETEKSI ROT 2 (2)'!$D$343:$D$622=$D548),0))</f>
        <v>4</v>
      </c>
      <c r="R548" s="9">
        <f t="shared" si="79"/>
        <v>3.8095238095238098</v>
      </c>
      <c r="S548" s="8" t="str">
        <f t="array" ref="S548">IF(R548&gt;5,"Perlu Sensus",IF(AND(R548&gt;=0,O548&gt;0),"Tetap Deteksi","Belum Deteksi"))</f>
        <v>Tetap Deteksi</v>
      </c>
      <c r="T548" s="203"/>
      <c r="U548" s="9">
        <f t="shared" si="80"/>
        <v>0</v>
      </c>
      <c r="V548" s="132">
        <v>46249</v>
      </c>
      <c r="W548" s="143">
        <f t="array" ref="W548">INDEX('[21]DETEKSI ROT 2 (2)'!$L$343:$L$622,MATCH(1,('[21]DETEKSI ROT 2 (2)'!$D$343:$D$622=$D548)*('[21]DETEKSI ROT 2 (2)'!$D$343:$D$622=$D548),0))</f>
        <v>84</v>
      </c>
      <c r="X548" s="143">
        <f t="array" ref="X548">INDEX('[21]DETEKSI ROT 2 (2)'!$M$343:$M$622,MATCH(1,('[21]DETEKSI ROT 2 (2)'!$D$343:$D$622=$D548)*('[21]DETEKSI ROT 2 (2)'!$D$343:$D$622=$D548),0))</f>
        <v>3</v>
      </c>
      <c r="Y548" s="9">
        <f t="shared" si="78"/>
        <v>3.5714285714285712</v>
      </c>
      <c r="Z548" s="8" t="str">
        <f t="array" ref="Z548">IF(Y548&gt;5,"Perlu Sensus",IF(AND(Y548&gt;0,,O548&gt;0),"Tetap Deteksi","Belum Deteksi"))</f>
        <v>Belum Deteksi</v>
      </c>
      <c r="AA548" s="203"/>
      <c r="AB548" s="9">
        <f t="shared" si="81"/>
        <v>0</v>
      </c>
    </row>
    <row r="549" spans="1:28" x14ac:dyDescent="0.15">
      <c r="A549" s="8" t="s">
        <v>322</v>
      </c>
      <c r="B549" s="8" t="s">
        <v>107</v>
      </c>
      <c r="C549" s="8" t="s">
        <v>548</v>
      </c>
      <c r="D549" s="8" t="s">
        <v>575</v>
      </c>
      <c r="E549" s="8">
        <v>51.89</v>
      </c>
      <c r="F549" s="8" t="s">
        <v>469</v>
      </c>
      <c r="G549" s="10">
        <v>6957</v>
      </c>
      <c r="H549" s="132">
        <f t="shared" si="73"/>
        <v>46249</v>
      </c>
      <c r="I549" s="140">
        <f t="shared" si="74"/>
        <v>112</v>
      </c>
      <c r="J549" s="9">
        <f t="shared" si="75"/>
        <v>1.6098893201092423</v>
      </c>
      <c r="K549" s="140">
        <f t="shared" si="76"/>
        <v>3</v>
      </c>
      <c r="L549" s="206">
        <f t="shared" si="77"/>
        <v>2.6785714285714284</v>
      </c>
      <c r="M549" s="8" t="str">
        <f t="array" ref="M549">IF(L549&gt;5,"Perlu Sensus",IF(AND(L549&gt;=0,I549&gt;0),"Tetap Deteksi","Belum Deteksi"))</f>
        <v>Tetap Deteksi</v>
      </c>
      <c r="N549" s="132">
        <v>46249</v>
      </c>
      <c r="O549" s="143">
        <f t="array" ref="O549">INDEX('[21]DETEKSI ROT 2 (2)'!$G$343:$G$622,MATCH(1,('[21]DETEKSI ROT 2 (2)'!$D$343:$D$622=$D549)*('[21]DETEKSI ROT 2 (2)'!$D$343:$D$622=$D549),0))</f>
        <v>112</v>
      </c>
      <c r="P549" s="9">
        <f t="array" ref="P549">IFERROR(O549/G549*100,0)</f>
        <v>1.6098893201092423</v>
      </c>
      <c r="Q549" s="143">
        <f t="array" ref="Q549">INDEX('[21]DETEKSI ROT 2 (2)'!$I$343:$I$622,MATCH(1,('[21]DETEKSI ROT 2 (2)'!$D$343:$D$622=$D549)*('[21]DETEKSI ROT 2 (2)'!$D$343:$D$622=$D549),0))</f>
        <v>3</v>
      </c>
      <c r="R549" s="9">
        <f t="shared" si="79"/>
        <v>2.6785714285714284</v>
      </c>
      <c r="S549" s="8" t="str">
        <f t="array" ref="S549">IF(R549&gt;5,"Perlu Sensus",IF(AND(R549&gt;=0,O549&gt;0),"Tetap Deteksi","Belum Deteksi"))</f>
        <v>Tetap Deteksi</v>
      </c>
      <c r="T549" s="203"/>
      <c r="U549" s="9">
        <f t="shared" si="80"/>
        <v>0</v>
      </c>
      <c r="V549" s="132">
        <v>46249</v>
      </c>
      <c r="W549" s="143">
        <f t="array" ref="W549">INDEX('[21]DETEKSI ROT 2 (2)'!$L$343:$L$622,MATCH(1,('[21]DETEKSI ROT 2 (2)'!$D$343:$D$622=$D549)*('[21]DETEKSI ROT 2 (2)'!$D$343:$D$622=$D549),0))</f>
        <v>39</v>
      </c>
      <c r="X549" s="143">
        <f t="array" ref="X549">INDEX('[21]DETEKSI ROT 2 (2)'!$M$343:$M$622,MATCH(1,('[21]DETEKSI ROT 2 (2)'!$D$343:$D$622=$D549)*('[21]DETEKSI ROT 2 (2)'!$D$343:$D$622=$D549),0))</f>
        <v>1</v>
      </c>
      <c r="Y549" s="9">
        <f t="shared" si="78"/>
        <v>2.5641025641025639</v>
      </c>
      <c r="Z549" s="8" t="str">
        <f t="array" ref="Z549">IF(Y549&gt;5,"Perlu Sensus",IF(AND(Y549&gt;0,,O549&gt;0),"Tetap Deteksi","Belum Deteksi"))</f>
        <v>Belum Deteksi</v>
      </c>
      <c r="AA549" s="203"/>
      <c r="AB549" s="9">
        <f t="shared" si="81"/>
        <v>0</v>
      </c>
    </row>
    <row r="550" spans="1:28" x14ac:dyDescent="0.15">
      <c r="A550" s="8" t="s">
        <v>322</v>
      </c>
      <c r="B550" s="8" t="s">
        <v>107</v>
      </c>
      <c r="C550" s="8" t="s">
        <v>548</v>
      </c>
      <c r="D550" s="8" t="s">
        <v>576</v>
      </c>
      <c r="E550" s="8">
        <v>34.26</v>
      </c>
      <c r="F550" s="8" t="s">
        <v>469</v>
      </c>
      <c r="G550" s="10">
        <v>4716</v>
      </c>
      <c r="H550" s="132">
        <f t="shared" si="73"/>
        <v>46249</v>
      </c>
      <c r="I550" s="140">
        <f t="shared" si="74"/>
        <v>111</v>
      </c>
      <c r="J550" s="9">
        <f t="shared" si="75"/>
        <v>2.3536895674300253</v>
      </c>
      <c r="K550" s="140">
        <f t="shared" si="76"/>
        <v>2</v>
      </c>
      <c r="L550" s="206">
        <f t="shared" si="77"/>
        <v>1.8018018018018018</v>
      </c>
      <c r="M550" s="8" t="str">
        <f t="array" ref="M550">IF(L550&gt;5,"Perlu Sensus",IF(AND(L550&gt;=0,I550&gt;0),"Tetap Deteksi","Belum Deteksi"))</f>
        <v>Tetap Deteksi</v>
      </c>
      <c r="N550" s="132">
        <v>46249</v>
      </c>
      <c r="O550" s="143">
        <f t="array" ref="O550">INDEX('[21]DETEKSI ROT 2 (2)'!$G$343:$G$622,MATCH(1,('[21]DETEKSI ROT 2 (2)'!$D$343:$D$622=$D550)*('[21]DETEKSI ROT 2 (2)'!$D$343:$D$622=$D550),0))</f>
        <v>111</v>
      </c>
      <c r="P550" s="9">
        <f t="array" ref="P550">IFERROR(O550/G550*100,0)</f>
        <v>2.3536895674300253</v>
      </c>
      <c r="Q550" s="143">
        <f t="array" ref="Q550">INDEX('[21]DETEKSI ROT 2 (2)'!$I$343:$I$622,MATCH(1,('[21]DETEKSI ROT 2 (2)'!$D$343:$D$622=$D550)*('[21]DETEKSI ROT 2 (2)'!$D$343:$D$622=$D550),0))</f>
        <v>2</v>
      </c>
      <c r="R550" s="9">
        <f t="shared" si="79"/>
        <v>1.8018018018018018</v>
      </c>
      <c r="S550" s="8" t="str">
        <f t="array" ref="S550">IF(R550&gt;5,"Perlu Sensus",IF(AND(R550&gt;=0,O550&gt;0),"Tetap Deteksi","Belum Deteksi"))</f>
        <v>Tetap Deteksi</v>
      </c>
      <c r="T550" s="203"/>
      <c r="U550" s="9">
        <f t="shared" si="80"/>
        <v>0</v>
      </c>
      <c r="V550" s="132">
        <v>46249</v>
      </c>
      <c r="W550" s="143">
        <f t="array" ref="W550">INDEX('[21]DETEKSI ROT 2 (2)'!$L$343:$L$622,MATCH(1,('[21]DETEKSI ROT 2 (2)'!$D$343:$D$622=$D550)*('[21]DETEKSI ROT 2 (2)'!$D$343:$D$622=$D550),0))</f>
        <v>120</v>
      </c>
      <c r="X550" s="143">
        <f t="array" ref="X550">INDEX('[21]DETEKSI ROT 2 (2)'!$M$343:$M$622,MATCH(1,('[21]DETEKSI ROT 2 (2)'!$D$343:$D$622=$D550)*('[21]DETEKSI ROT 2 (2)'!$D$343:$D$622=$D550),0))</f>
        <v>3</v>
      </c>
      <c r="Y550" s="9">
        <f t="shared" si="78"/>
        <v>2.5</v>
      </c>
      <c r="Z550" s="8" t="str">
        <f t="array" ref="Z550">IF(Y550&gt;5,"Perlu Sensus",IF(AND(Y550&gt;0,,O550&gt;0),"Tetap Deteksi","Belum Deteksi"))</f>
        <v>Belum Deteksi</v>
      </c>
      <c r="AA550" s="203"/>
      <c r="AB550" s="9">
        <f t="shared" si="81"/>
        <v>0</v>
      </c>
    </row>
    <row r="551" spans="1:28" x14ac:dyDescent="0.15">
      <c r="A551" s="8" t="s">
        <v>322</v>
      </c>
      <c r="B551" s="8" t="s">
        <v>107</v>
      </c>
      <c r="C551" s="8" t="s">
        <v>548</v>
      </c>
      <c r="D551" s="8" t="s">
        <v>577</v>
      </c>
      <c r="E551" s="8">
        <v>31.5</v>
      </c>
      <c r="F551" s="8" t="s">
        <v>469</v>
      </c>
      <c r="G551" s="10">
        <v>4320</v>
      </c>
      <c r="H551" s="132">
        <f t="shared" si="73"/>
        <v>46249</v>
      </c>
      <c r="I551" s="140">
        <f t="shared" si="74"/>
        <v>104</v>
      </c>
      <c r="J551" s="9">
        <f t="shared" si="75"/>
        <v>2.4074074074074074</v>
      </c>
      <c r="K551" s="140">
        <f t="shared" si="76"/>
        <v>4</v>
      </c>
      <c r="L551" s="206">
        <f t="shared" si="77"/>
        <v>3.8461538461538463</v>
      </c>
      <c r="M551" s="8" t="str">
        <f t="array" ref="M551">IF(L551&gt;5,"Perlu Sensus",IF(AND(L551&gt;=0,I551&gt;0),"Tetap Deteksi","Belum Deteksi"))</f>
        <v>Tetap Deteksi</v>
      </c>
      <c r="N551" s="132">
        <v>46249</v>
      </c>
      <c r="O551" s="143">
        <f t="array" ref="O551">INDEX('[21]DETEKSI ROT 2 (2)'!$G$343:$G$622,MATCH(1,('[21]DETEKSI ROT 2 (2)'!$D$343:$D$622=$D551)*('[21]DETEKSI ROT 2 (2)'!$D$343:$D$622=$D551),0))</f>
        <v>104</v>
      </c>
      <c r="P551" s="9">
        <f t="array" ref="P551">IFERROR(O551/G551*100,0)</f>
        <v>2.4074074074074074</v>
      </c>
      <c r="Q551" s="143">
        <f t="array" ref="Q551">INDEX('[21]DETEKSI ROT 2 (2)'!$I$343:$I$622,MATCH(1,('[21]DETEKSI ROT 2 (2)'!$D$343:$D$622=$D551)*('[21]DETEKSI ROT 2 (2)'!$D$343:$D$622=$D551),0))</f>
        <v>4</v>
      </c>
      <c r="R551" s="9">
        <f t="shared" si="79"/>
        <v>3.8461538461538463</v>
      </c>
      <c r="S551" s="8" t="str">
        <f t="array" ref="S551">IF(R551&gt;5,"Perlu Sensus",IF(AND(R551&gt;=0,O551&gt;0),"Tetap Deteksi","Belum Deteksi"))</f>
        <v>Tetap Deteksi</v>
      </c>
      <c r="T551" s="203"/>
      <c r="U551" s="9">
        <f t="shared" si="80"/>
        <v>0</v>
      </c>
      <c r="V551" s="132">
        <v>46249</v>
      </c>
      <c r="W551" s="143">
        <f t="array" ref="W551">INDEX('[21]DETEKSI ROT 2 (2)'!$L$343:$L$622,MATCH(1,('[21]DETEKSI ROT 2 (2)'!$D$343:$D$622=$D551)*('[21]DETEKSI ROT 2 (2)'!$D$343:$D$622=$D551),0))</f>
        <v>89</v>
      </c>
      <c r="X551" s="143">
        <f t="array" ref="X551">INDEX('[21]DETEKSI ROT 2 (2)'!$M$343:$M$622,MATCH(1,('[21]DETEKSI ROT 2 (2)'!$D$343:$D$622=$D551)*('[21]DETEKSI ROT 2 (2)'!$D$343:$D$622=$D551),0))</f>
        <v>2</v>
      </c>
      <c r="Y551" s="9">
        <f t="shared" si="78"/>
        <v>2.2471910112359552</v>
      </c>
      <c r="Z551" s="8" t="str">
        <f t="array" ref="Z551">IF(Y551&gt;5,"Perlu Sensus",IF(AND(Y551&gt;0,,O551&gt;0),"Tetap Deteksi","Belum Deteksi"))</f>
        <v>Belum Deteksi</v>
      </c>
      <c r="AA551" s="203"/>
      <c r="AB551" s="9">
        <f t="shared" si="81"/>
        <v>0</v>
      </c>
    </row>
    <row r="552" spans="1:28" x14ac:dyDescent="0.15">
      <c r="A552" s="8" t="s">
        <v>322</v>
      </c>
      <c r="B552" s="8" t="s">
        <v>107</v>
      </c>
      <c r="C552" s="8" t="s">
        <v>548</v>
      </c>
      <c r="D552" s="8" t="s">
        <v>578</v>
      </c>
      <c r="E552" s="8">
        <v>36.72</v>
      </c>
      <c r="F552" s="8" t="s">
        <v>469</v>
      </c>
      <c r="G552" s="10">
        <v>4976</v>
      </c>
      <c r="H552" s="132">
        <f t="shared" si="73"/>
        <v>46249</v>
      </c>
      <c r="I552" s="140">
        <f t="shared" si="74"/>
        <v>98</v>
      </c>
      <c r="J552" s="9">
        <f t="shared" si="75"/>
        <v>1.969453376205788</v>
      </c>
      <c r="K552" s="140">
        <f t="shared" si="76"/>
        <v>3</v>
      </c>
      <c r="L552" s="206">
        <f t="shared" si="77"/>
        <v>3.0612244897959182</v>
      </c>
      <c r="M552" s="8" t="str">
        <f t="array" ref="M552">IF(L552&gt;5,"Perlu Sensus",IF(AND(L552&gt;=0,I552&gt;0),"Tetap Deteksi","Belum Deteksi"))</f>
        <v>Tetap Deteksi</v>
      </c>
      <c r="N552" s="132">
        <v>46249</v>
      </c>
      <c r="O552" s="143">
        <f t="array" ref="O552">INDEX('[21]DETEKSI ROT 2 (2)'!$G$343:$G$622,MATCH(1,('[21]DETEKSI ROT 2 (2)'!$D$343:$D$622=$D552)*('[21]DETEKSI ROT 2 (2)'!$D$343:$D$622=$D552),0))</f>
        <v>98</v>
      </c>
      <c r="P552" s="9">
        <f t="array" ref="P552">IFERROR(O552/G552*100,0)</f>
        <v>1.969453376205788</v>
      </c>
      <c r="Q552" s="143">
        <f t="array" ref="Q552">INDEX('[21]DETEKSI ROT 2 (2)'!$I$343:$I$622,MATCH(1,('[21]DETEKSI ROT 2 (2)'!$D$343:$D$622=$D552)*('[21]DETEKSI ROT 2 (2)'!$D$343:$D$622=$D552),0))</f>
        <v>3</v>
      </c>
      <c r="R552" s="9">
        <f t="shared" si="79"/>
        <v>3.0612244897959182</v>
      </c>
      <c r="S552" s="8" t="str">
        <f t="array" ref="S552">IF(R552&gt;5,"Perlu Sensus",IF(AND(R552&gt;=0,O552&gt;0),"Tetap Deteksi","Belum Deteksi"))</f>
        <v>Tetap Deteksi</v>
      </c>
      <c r="T552" s="203"/>
      <c r="U552" s="9">
        <f t="shared" si="80"/>
        <v>0</v>
      </c>
      <c r="V552" s="132">
        <v>46249</v>
      </c>
      <c r="W552" s="143">
        <f t="array" ref="W552">INDEX('[21]DETEKSI ROT 2 (2)'!$L$343:$L$622,MATCH(1,('[21]DETEKSI ROT 2 (2)'!$D$343:$D$622=$D552)*('[21]DETEKSI ROT 2 (2)'!$D$343:$D$622=$D552),0))</f>
        <v>65</v>
      </c>
      <c r="X552" s="143">
        <f t="array" ref="X552">INDEX('[21]DETEKSI ROT 2 (2)'!$M$343:$M$622,MATCH(1,('[21]DETEKSI ROT 2 (2)'!$D$343:$D$622=$D552)*('[21]DETEKSI ROT 2 (2)'!$D$343:$D$622=$D552),0))</f>
        <v>3</v>
      </c>
      <c r="Y552" s="9">
        <f t="shared" si="78"/>
        <v>4.6153846153846159</v>
      </c>
      <c r="Z552" s="8" t="str">
        <f t="array" ref="Z552">IF(Y552&gt;5,"Perlu Sensus",IF(AND(Y552&gt;0,,O552&gt;0),"Tetap Deteksi","Belum Deteksi"))</f>
        <v>Belum Deteksi</v>
      </c>
      <c r="AA552" s="203"/>
      <c r="AB552" s="9">
        <f t="shared" si="81"/>
        <v>0</v>
      </c>
    </row>
    <row r="553" spans="1:28" x14ac:dyDescent="0.15">
      <c r="A553" s="8" t="s">
        <v>322</v>
      </c>
      <c r="B553" s="8" t="s">
        <v>107</v>
      </c>
      <c r="C553" s="8" t="s">
        <v>548</v>
      </c>
      <c r="D553" s="8" t="s">
        <v>579</v>
      </c>
      <c r="E553" s="8">
        <v>33.69</v>
      </c>
      <c r="F553" s="8" t="s">
        <v>469</v>
      </c>
      <c r="G553" s="10">
        <v>4725</v>
      </c>
      <c r="H553" s="132">
        <f t="shared" si="73"/>
        <v>46249</v>
      </c>
      <c r="I553" s="140">
        <f t="shared" si="74"/>
        <v>107</v>
      </c>
      <c r="J553" s="9">
        <f t="shared" si="75"/>
        <v>2.2645502645502646</v>
      </c>
      <c r="K553" s="140">
        <f t="shared" si="76"/>
        <v>2</v>
      </c>
      <c r="L553" s="206">
        <f t="shared" si="77"/>
        <v>1.8691588785046727</v>
      </c>
      <c r="M553" s="8" t="str">
        <f t="array" ref="M553">IF(L553&gt;5,"Perlu Sensus",IF(AND(L553&gt;=0,I553&gt;0),"Tetap Deteksi","Belum Deteksi"))</f>
        <v>Tetap Deteksi</v>
      </c>
      <c r="N553" s="132">
        <v>46249</v>
      </c>
      <c r="O553" s="143">
        <f t="array" ref="O553">INDEX('[21]DETEKSI ROT 2 (2)'!$G$343:$G$622,MATCH(1,('[21]DETEKSI ROT 2 (2)'!$D$343:$D$622=$D553)*('[21]DETEKSI ROT 2 (2)'!$D$343:$D$622=$D553),0))</f>
        <v>107</v>
      </c>
      <c r="P553" s="9">
        <f t="array" ref="P553">IFERROR(O553/G553*100,0)</f>
        <v>2.2645502645502646</v>
      </c>
      <c r="Q553" s="143">
        <f t="array" ref="Q553">INDEX('[21]DETEKSI ROT 2 (2)'!$I$343:$I$622,MATCH(1,('[21]DETEKSI ROT 2 (2)'!$D$343:$D$622=$D553)*('[21]DETEKSI ROT 2 (2)'!$D$343:$D$622=$D553),0))</f>
        <v>2</v>
      </c>
      <c r="R553" s="9">
        <f t="shared" si="79"/>
        <v>1.8691588785046727</v>
      </c>
      <c r="S553" s="8" t="str">
        <f t="array" ref="S553">IF(R553&gt;5,"Perlu Sensus",IF(AND(R553&gt;=0,O553&gt;0),"Tetap Deteksi","Belum Deteksi"))</f>
        <v>Tetap Deteksi</v>
      </c>
      <c r="T553" s="203"/>
      <c r="U553" s="9">
        <f t="shared" si="80"/>
        <v>0</v>
      </c>
      <c r="V553" s="132">
        <v>46249</v>
      </c>
      <c r="W553" s="143">
        <f t="array" ref="W553">INDEX('[21]DETEKSI ROT 2 (2)'!$L$343:$L$622,MATCH(1,('[21]DETEKSI ROT 2 (2)'!$D$343:$D$622=$D553)*('[21]DETEKSI ROT 2 (2)'!$D$343:$D$622=$D553),0))</f>
        <v>83</v>
      </c>
      <c r="X553" s="143">
        <f t="array" ref="X553">INDEX('[21]DETEKSI ROT 2 (2)'!$M$343:$M$622,MATCH(1,('[21]DETEKSI ROT 2 (2)'!$D$343:$D$622=$D553)*('[21]DETEKSI ROT 2 (2)'!$D$343:$D$622=$D553),0))</f>
        <v>1</v>
      </c>
      <c r="Y553" s="9">
        <f t="shared" si="78"/>
        <v>1.2048192771084338</v>
      </c>
      <c r="Z553" s="8" t="str">
        <f t="array" ref="Z553">IF(Y553&gt;5,"Perlu Sensus",IF(AND(Y553&gt;0,,O553&gt;0),"Tetap Deteksi","Belum Deteksi"))</f>
        <v>Belum Deteksi</v>
      </c>
      <c r="AA553" s="203"/>
      <c r="AB553" s="9">
        <f t="shared" si="81"/>
        <v>0</v>
      </c>
    </row>
    <row r="554" spans="1:28" x14ac:dyDescent="0.15">
      <c r="A554" s="8" t="s">
        <v>322</v>
      </c>
      <c r="B554" s="8" t="s">
        <v>107</v>
      </c>
      <c r="C554" s="8" t="s">
        <v>548</v>
      </c>
      <c r="D554" s="8" t="s">
        <v>580</v>
      </c>
      <c r="E554" s="8">
        <v>32.69</v>
      </c>
      <c r="F554" s="8" t="s">
        <v>469</v>
      </c>
      <c r="G554" s="10">
        <v>4599</v>
      </c>
      <c r="H554" s="132">
        <f t="shared" si="73"/>
        <v>46249</v>
      </c>
      <c r="I554" s="140">
        <f t="shared" si="74"/>
        <v>96</v>
      </c>
      <c r="J554" s="9">
        <f t="shared" si="75"/>
        <v>2.0874103065883887</v>
      </c>
      <c r="K554" s="140">
        <f t="shared" si="76"/>
        <v>2</v>
      </c>
      <c r="L554" s="206">
        <f t="shared" si="77"/>
        <v>2.083333333333333</v>
      </c>
      <c r="M554" s="8" t="str">
        <f t="array" ref="M554">IF(L554&gt;5,"Perlu Sensus",IF(AND(L554&gt;=0,I554&gt;0),"Tetap Deteksi","Belum Deteksi"))</f>
        <v>Tetap Deteksi</v>
      </c>
      <c r="N554" s="132">
        <v>46249</v>
      </c>
      <c r="O554" s="143">
        <f t="array" ref="O554">INDEX('[21]DETEKSI ROT 2 (2)'!$G$343:$G$622,MATCH(1,('[21]DETEKSI ROT 2 (2)'!$D$343:$D$622=$D554)*('[21]DETEKSI ROT 2 (2)'!$D$343:$D$622=$D554),0))</f>
        <v>96</v>
      </c>
      <c r="P554" s="9">
        <f t="array" ref="P554">IFERROR(O554/G554*100,0)</f>
        <v>2.0874103065883887</v>
      </c>
      <c r="Q554" s="143">
        <f t="array" ref="Q554">INDEX('[21]DETEKSI ROT 2 (2)'!$I$343:$I$622,MATCH(1,('[21]DETEKSI ROT 2 (2)'!$D$343:$D$622=$D554)*('[21]DETEKSI ROT 2 (2)'!$D$343:$D$622=$D554),0))</f>
        <v>2</v>
      </c>
      <c r="R554" s="9">
        <f t="shared" si="79"/>
        <v>2.083333333333333</v>
      </c>
      <c r="S554" s="8" t="str">
        <f t="array" ref="S554">IF(R554&gt;5,"Perlu Sensus",IF(AND(R554&gt;=0,O554&gt;0),"Tetap Deteksi","Belum Deteksi"))</f>
        <v>Tetap Deteksi</v>
      </c>
      <c r="T554" s="203"/>
      <c r="U554" s="9">
        <f t="shared" si="80"/>
        <v>0</v>
      </c>
      <c r="V554" s="132">
        <v>46249</v>
      </c>
      <c r="W554" s="143">
        <f t="array" ref="W554">INDEX('[21]DETEKSI ROT 2 (2)'!$L$343:$L$622,MATCH(1,('[21]DETEKSI ROT 2 (2)'!$D$343:$D$622=$D554)*('[21]DETEKSI ROT 2 (2)'!$D$343:$D$622=$D554),0))</f>
        <v>251</v>
      </c>
      <c r="X554" s="143">
        <f t="array" ref="X554">INDEX('[21]DETEKSI ROT 2 (2)'!$M$343:$M$622,MATCH(1,('[21]DETEKSI ROT 2 (2)'!$D$343:$D$622=$D554)*('[21]DETEKSI ROT 2 (2)'!$D$343:$D$622=$D554),0))</f>
        <v>11</v>
      </c>
      <c r="Y554" s="9">
        <f t="shared" si="78"/>
        <v>4.3824701195219129</v>
      </c>
      <c r="Z554" s="8" t="str">
        <f t="array" ref="Z554">IF(Y554&gt;5,"Perlu Sensus",IF(AND(Y554&gt;0,,O554&gt;0),"Tetap Deteksi","Belum Deteksi"))</f>
        <v>Belum Deteksi</v>
      </c>
      <c r="AA554" s="203"/>
      <c r="AB554" s="9">
        <f t="shared" si="81"/>
        <v>0</v>
      </c>
    </row>
    <row r="555" spans="1:28" x14ac:dyDescent="0.15">
      <c r="A555" s="8" t="s">
        <v>322</v>
      </c>
      <c r="B555" s="8" t="s">
        <v>107</v>
      </c>
      <c r="C555" s="8" t="s">
        <v>548</v>
      </c>
      <c r="D555" s="8" t="s">
        <v>581</v>
      </c>
      <c r="E555" s="8">
        <v>47.26</v>
      </c>
      <c r="F555" s="8" t="s">
        <v>469</v>
      </c>
      <c r="G555" s="10">
        <v>6389</v>
      </c>
      <c r="H555" s="132">
        <f t="shared" si="73"/>
        <v>46249</v>
      </c>
      <c r="I555" s="140">
        <f t="shared" si="74"/>
        <v>98</v>
      </c>
      <c r="J555" s="9">
        <f t="shared" si="75"/>
        <v>1.533886367193614</v>
      </c>
      <c r="K555" s="140">
        <f t="shared" si="76"/>
        <v>4</v>
      </c>
      <c r="L555" s="206">
        <f t="shared" si="77"/>
        <v>4.0816326530612246</v>
      </c>
      <c r="M555" s="8" t="str">
        <f t="array" ref="M555">IF(L555&gt;5,"Perlu Sensus",IF(AND(L555&gt;=0,I555&gt;0),"Tetap Deteksi","Belum Deteksi"))</f>
        <v>Tetap Deteksi</v>
      </c>
      <c r="N555" s="132">
        <v>46249</v>
      </c>
      <c r="O555" s="143">
        <f t="array" ref="O555">INDEX('[21]DETEKSI ROT 2 (2)'!$G$343:$G$622,MATCH(1,('[21]DETEKSI ROT 2 (2)'!$D$343:$D$622=$D555)*('[21]DETEKSI ROT 2 (2)'!$D$343:$D$622=$D555),0))</f>
        <v>98</v>
      </c>
      <c r="P555" s="9">
        <f t="array" ref="P555">IFERROR(O555/G555*100,0)</f>
        <v>1.533886367193614</v>
      </c>
      <c r="Q555" s="143">
        <f t="array" ref="Q555">INDEX('[21]DETEKSI ROT 2 (2)'!$I$343:$I$622,MATCH(1,('[21]DETEKSI ROT 2 (2)'!$D$343:$D$622=$D555)*('[21]DETEKSI ROT 2 (2)'!$D$343:$D$622=$D555),0))</f>
        <v>4</v>
      </c>
      <c r="R555" s="9">
        <f t="shared" si="79"/>
        <v>4.0816326530612246</v>
      </c>
      <c r="S555" s="8" t="str">
        <f t="array" ref="S555">IF(R555&gt;5,"Perlu Sensus",IF(AND(R555&gt;=0,O555&gt;0),"Tetap Deteksi","Belum Deteksi"))</f>
        <v>Tetap Deteksi</v>
      </c>
      <c r="T555" s="203"/>
      <c r="U555" s="9">
        <f t="shared" si="80"/>
        <v>0</v>
      </c>
      <c r="V555" s="132">
        <v>46249</v>
      </c>
      <c r="W555" s="143">
        <f t="array" ref="W555">INDEX('[21]DETEKSI ROT 2 (2)'!$L$343:$L$622,MATCH(1,('[21]DETEKSI ROT 2 (2)'!$D$343:$D$622=$D555)*('[21]DETEKSI ROT 2 (2)'!$D$343:$D$622=$D555),0))</f>
        <v>165</v>
      </c>
      <c r="X555" s="143">
        <f t="array" ref="X555">INDEX('[21]DETEKSI ROT 2 (2)'!$M$343:$M$622,MATCH(1,('[21]DETEKSI ROT 2 (2)'!$D$343:$D$622=$D555)*('[21]DETEKSI ROT 2 (2)'!$D$343:$D$622=$D555),0))</f>
        <v>6</v>
      </c>
      <c r="Y555" s="9">
        <f t="shared" si="78"/>
        <v>3.6363636363636362</v>
      </c>
      <c r="Z555" s="8" t="str">
        <f t="array" ref="Z555">IF(Y555&gt;5,"Perlu Sensus",IF(AND(Y555&gt;0,,O555&gt;0),"Tetap Deteksi","Belum Deteksi"))</f>
        <v>Belum Deteksi</v>
      </c>
      <c r="AA555" s="203"/>
      <c r="AB555" s="9">
        <f t="shared" si="81"/>
        <v>0</v>
      </c>
    </row>
    <row r="556" spans="1:28" x14ac:dyDescent="0.15">
      <c r="A556" s="8" t="s">
        <v>322</v>
      </c>
      <c r="B556" s="8" t="s">
        <v>107</v>
      </c>
      <c r="C556" s="8" t="s">
        <v>582</v>
      </c>
      <c r="D556" s="8" t="s">
        <v>583</v>
      </c>
      <c r="E556" s="8">
        <v>31.47</v>
      </c>
      <c r="F556" s="8" t="s">
        <v>132</v>
      </c>
      <c r="G556" s="10">
        <v>4534</v>
      </c>
      <c r="H556" s="132">
        <f t="shared" si="73"/>
        <v>46249</v>
      </c>
      <c r="I556" s="140">
        <f t="shared" si="74"/>
        <v>198</v>
      </c>
      <c r="J556" s="9">
        <f t="shared" si="75"/>
        <v>4.3670048522276135</v>
      </c>
      <c r="K556" s="140">
        <f t="shared" si="76"/>
        <v>23</v>
      </c>
      <c r="L556" s="206">
        <f t="shared" si="77"/>
        <v>11.616161616161616</v>
      </c>
      <c r="M556" s="8" t="str">
        <f t="array" ref="M556">IF(L556&gt;5,"Perlu Sensus",IF(AND(L556&gt;=0,I556&gt;0),"Tetap Deteksi","Belum Deteksi"))</f>
        <v>Perlu Sensus</v>
      </c>
      <c r="N556" s="132">
        <v>46249</v>
      </c>
      <c r="O556" s="143">
        <f t="array" ref="O556">INDEX('[21]DETEKSI ROT 2 (2)'!$G$343:$G$622,MATCH(1,('[21]DETEKSI ROT 2 (2)'!$D$343:$D$622=$D556)*('[21]DETEKSI ROT 2 (2)'!$D$343:$D$622=$D556),0))</f>
        <v>198</v>
      </c>
      <c r="P556" s="9">
        <f t="array" ref="P556">IFERROR(O556/G556*100,0)</f>
        <v>4.3670048522276135</v>
      </c>
      <c r="Q556" s="143">
        <f t="array" ref="Q556">INDEX('[21]DETEKSI ROT 2 (2)'!$I$343:$I$622,MATCH(1,('[21]DETEKSI ROT 2 (2)'!$D$343:$D$622=$D556)*('[21]DETEKSI ROT 2 (2)'!$D$343:$D$622=$D556),0))</f>
        <v>23</v>
      </c>
      <c r="R556" s="9">
        <f t="shared" si="79"/>
        <v>11.616161616161616</v>
      </c>
      <c r="S556" s="8" t="str">
        <f t="array" ref="S556">IF(R556&gt;5,"Perlu Sensus",IF(AND(R556&gt;=0,O556&gt;0),"Tetap Deteksi","Belum Deteksi"))</f>
        <v>Perlu Sensus</v>
      </c>
      <c r="T556" s="203"/>
      <c r="U556" s="9">
        <f t="shared" si="80"/>
        <v>0</v>
      </c>
      <c r="V556" s="132">
        <v>46249</v>
      </c>
      <c r="W556" s="143">
        <f t="array" ref="W556">INDEX('[21]DETEKSI ROT 2 (2)'!$L$343:$L$622,MATCH(1,('[21]DETEKSI ROT 2 (2)'!$D$343:$D$622=$D556)*('[21]DETEKSI ROT 2 (2)'!$D$343:$D$622=$D556),0))</f>
        <v>34</v>
      </c>
      <c r="X556" s="143">
        <f t="array" ref="X556">INDEX('[21]DETEKSI ROT 2 (2)'!$M$343:$M$622,MATCH(1,('[21]DETEKSI ROT 2 (2)'!$D$343:$D$622=$D556)*('[21]DETEKSI ROT 2 (2)'!$D$343:$D$622=$D556),0))</f>
        <v>1</v>
      </c>
      <c r="Y556" s="9">
        <f t="shared" si="78"/>
        <v>2.9411764705882351</v>
      </c>
      <c r="Z556" s="8" t="str">
        <f t="array" ref="Z556">IF(Y556&gt;5,"Perlu Sensus",IF(AND(Y556&gt;0,,O556&gt;0),"Tetap Deteksi","Belum Deteksi"))</f>
        <v>Belum Deteksi</v>
      </c>
      <c r="AA556" s="203"/>
      <c r="AB556" s="9">
        <f t="shared" si="81"/>
        <v>0</v>
      </c>
    </row>
    <row r="557" spans="1:28" x14ac:dyDescent="0.15">
      <c r="A557" s="8" t="s">
        <v>322</v>
      </c>
      <c r="B557" s="8" t="s">
        <v>107</v>
      </c>
      <c r="C557" s="8" t="s">
        <v>582</v>
      </c>
      <c r="D557" s="8" t="s">
        <v>584</v>
      </c>
      <c r="E557" s="8">
        <v>42.6</v>
      </c>
      <c r="F557" s="8" t="s">
        <v>132</v>
      </c>
      <c r="G557" s="10">
        <v>5582</v>
      </c>
      <c r="H557" s="132">
        <f t="shared" si="73"/>
        <v>46249</v>
      </c>
      <c r="I557" s="140">
        <f t="shared" si="74"/>
        <v>254</v>
      </c>
      <c r="J557" s="9">
        <f t="shared" si="75"/>
        <v>4.5503403797921891</v>
      </c>
      <c r="K557" s="140">
        <f t="shared" si="76"/>
        <v>12</v>
      </c>
      <c r="L557" s="206">
        <f t="shared" si="77"/>
        <v>4.7244094488188972</v>
      </c>
      <c r="M557" s="8" t="str">
        <f t="array" ref="M557">IF(L557&gt;5,"Perlu Sensus",IF(AND(L557&gt;=0,I557&gt;0),"Tetap Deteksi","Belum Deteksi"))</f>
        <v>Tetap Deteksi</v>
      </c>
      <c r="N557" s="132">
        <v>46249</v>
      </c>
      <c r="O557" s="143">
        <f t="array" ref="O557">INDEX('[21]DETEKSI ROT 2 (2)'!$G$343:$G$622,MATCH(1,('[21]DETEKSI ROT 2 (2)'!$D$343:$D$622=$D557)*('[21]DETEKSI ROT 2 (2)'!$D$343:$D$622=$D557),0))</f>
        <v>254</v>
      </c>
      <c r="P557" s="9">
        <f t="array" ref="P557">IFERROR(O557/G557*100,0)</f>
        <v>4.5503403797921891</v>
      </c>
      <c r="Q557" s="143">
        <f t="array" ref="Q557">INDEX('[21]DETEKSI ROT 2 (2)'!$I$343:$I$622,MATCH(1,('[21]DETEKSI ROT 2 (2)'!$D$343:$D$622=$D557)*('[21]DETEKSI ROT 2 (2)'!$D$343:$D$622=$D557),0))</f>
        <v>12</v>
      </c>
      <c r="R557" s="9">
        <f t="shared" si="79"/>
        <v>4.7244094488188972</v>
      </c>
      <c r="S557" s="8" t="str">
        <f t="array" ref="S557">IF(R557&gt;5,"Perlu Sensus",IF(AND(R557&gt;=0,O557&gt;0),"Tetap Deteksi","Belum Deteksi"))</f>
        <v>Tetap Deteksi</v>
      </c>
      <c r="T557" s="203"/>
      <c r="U557" s="9">
        <f t="shared" si="80"/>
        <v>0</v>
      </c>
      <c r="V557" s="132">
        <v>46249</v>
      </c>
      <c r="W557" s="143">
        <f t="array" ref="W557">INDEX('[21]DETEKSI ROT 2 (2)'!$L$343:$L$622,MATCH(1,('[21]DETEKSI ROT 2 (2)'!$D$343:$D$622=$D557)*('[21]DETEKSI ROT 2 (2)'!$D$343:$D$622=$D557),0))</f>
        <v>53</v>
      </c>
      <c r="X557" s="143">
        <f t="array" ref="X557">INDEX('[21]DETEKSI ROT 2 (2)'!$M$343:$M$622,MATCH(1,('[21]DETEKSI ROT 2 (2)'!$D$343:$D$622=$D557)*('[21]DETEKSI ROT 2 (2)'!$D$343:$D$622=$D557),0))</f>
        <v>2</v>
      </c>
      <c r="Y557" s="9">
        <f t="shared" si="78"/>
        <v>3.7735849056603774</v>
      </c>
      <c r="Z557" s="8" t="str">
        <f t="array" ref="Z557">IF(Y557&gt;5,"Perlu Sensus",IF(AND(Y557&gt;0,,O557&gt;0),"Tetap Deteksi","Belum Deteksi"))</f>
        <v>Belum Deteksi</v>
      </c>
      <c r="AA557" s="203"/>
      <c r="AB557" s="9">
        <f t="shared" si="81"/>
        <v>0</v>
      </c>
    </row>
    <row r="558" spans="1:28" x14ac:dyDescent="0.15">
      <c r="A558" s="8" t="s">
        <v>322</v>
      </c>
      <c r="B558" s="8" t="s">
        <v>107</v>
      </c>
      <c r="C558" s="8" t="s">
        <v>582</v>
      </c>
      <c r="D558" s="8" t="s">
        <v>585</v>
      </c>
      <c r="E558" s="8">
        <v>45.74</v>
      </c>
      <c r="F558" s="8" t="s">
        <v>132</v>
      </c>
      <c r="G558" s="10">
        <v>5323</v>
      </c>
      <c r="H558" s="132">
        <f t="shared" si="73"/>
        <v>46249</v>
      </c>
      <c r="I558" s="140">
        <f t="shared" si="74"/>
        <v>229</v>
      </c>
      <c r="J558" s="9">
        <f t="shared" si="75"/>
        <v>4.3020852902498588</v>
      </c>
      <c r="K558" s="140">
        <f t="shared" si="76"/>
        <v>10</v>
      </c>
      <c r="L558" s="206">
        <f t="shared" si="77"/>
        <v>4.3668122270742353</v>
      </c>
      <c r="M558" s="8" t="str">
        <f t="array" ref="M558">IF(L558&gt;5,"Perlu Sensus",IF(AND(L558&gt;=0,I558&gt;0),"Tetap Deteksi","Belum Deteksi"))</f>
        <v>Tetap Deteksi</v>
      </c>
      <c r="N558" s="132">
        <v>46249</v>
      </c>
      <c r="O558" s="143">
        <f t="array" ref="O558">INDEX('[21]DETEKSI ROT 2 (2)'!$G$343:$G$622,MATCH(1,('[21]DETEKSI ROT 2 (2)'!$D$343:$D$622=$D558)*('[21]DETEKSI ROT 2 (2)'!$D$343:$D$622=$D558),0))</f>
        <v>229</v>
      </c>
      <c r="P558" s="9">
        <f t="array" ref="P558">IFERROR(O558/G558*100,0)</f>
        <v>4.3020852902498588</v>
      </c>
      <c r="Q558" s="143">
        <f t="array" ref="Q558">INDEX('[21]DETEKSI ROT 2 (2)'!$I$343:$I$622,MATCH(1,('[21]DETEKSI ROT 2 (2)'!$D$343:$D$622=$D558)*('[21]DETEKSI ROT 2 (2)'!$D$343:$D$622=$D558),0))</f>
        <v>10</v>
      </c>
      <c r="R558" s="9">
        <f t="shared" si="79"/>
        <v>4.3668122270742353</v>
      </c>
      <c r="S558" s="8" t="str">
        <f t="array" ref="S558">IF(R558&gt;5,"Perlu Sensus",IF(AND(R558&gt;=0,O558&gt;0),"Tetap Deteksi","Belum Deteksi"))</f>
        <v>Tetap Deteksi</v>
      </c>
      <c r="T558" s="203"/>
      <c r="U558" s="9">
        <f t="shared" si="80"/>
        <v>0</v>
      </c>
      <c r="V558" s="132">
        <v>46249</v>
      </c>
      <c r="W558" s="143">
        <f t="array" ref="W558">INDEX('[21]DETEKSI ROT 2 (2)'!$L$343:$L$622,MATCH(1,('[21]DETEKSI ROT 2 (2)'!$D$343:$D$622=$D558)*('[21]DETEKSI ROT 2 (2)'!$D$343:$D$622=$D558),0))</f>
        <v>86</v>
      </c>
      <c r="X558" s="143">
        <f t="array" ref="X558">INDEX('[21]DETEKSI ROT 2 (2)'!$M$343:$M$622,MATCH(1,('[21]DETEKSI ROT 2 (2)'!$D$343:$D$622=$D558)*('[21]DETEKSI ROT 2 (2)'!$D$343:$D$622=$D558),0))</f>
        <v>4</v>
      </c>
      <c r="Y558" s="9">
        <f t="shared" si="78"/>
        <v>4.6511627906976747</v>
      </c>
      <c r="Z558" s="8" t="str">
        <f t="array" ref="Z558">IF(Y558&gt;5,"Perlu Sensus",IF(AND(Y558&gt;0,,O558&gt;0),"Tetap Deteksi","Belum Deteksi"))</f>
        <v>Belum Deteksi</v>
      </c>
      <c r="AA558" s="203"/>
      <c r="AB558" s="9">
        <f t="shared" si="81"/>
        <v>0</v>
      </c>
    </row>
    <row r="559" spans="1:28" x14ac:dyDescent="0.15">
      <c r="A559" s="8" t="s">
        <v>322</v>
      </c>
      <c r="B559" s="8" t="s">
        <v>107</v>
      </c>
      <c r="C559" s="8" t="s">
        <v>582</v>
      </c>
      <c r="D559" s="8" t="s">
        <v>586</v>
      </c>
      <c r="E559" s="8">
        <v>21.85</v>
      </c>
      <c r="F559" s="8" t="s">
        <v>132</v>
      </c>
      <c r="G559" s="10">
        <v>2775</v>
      </c>
      <c r="H559" s="132">
        <f t="shared" si="73"/>
        <v>46249</v>
      </c>
      <c r="I559" s="140">
        <f t="shared" si="74"/>
        <v>410</v>
      </c>
      <c r="J559" s="9">
        <f t="shared" si="75"/>
        <v>14.774774774774773</v>
      </c>
      <c r="K559" s="140">
        <f t="shared" si="76"/>
        <v>17</v>
      </c>
      <c r="L559" s="206">
        <f t="shared" si="77"/>
        <v>4.1463414634146343</v>
      </c>
      <c r="M559" s="8" t="str">
        <f t="array" ref="M559">IF(L559&gt;5,"Perlu Sensus",IF(AND(L559&gt;=0,I559&gt;0),"Tetap Deteksi","Belum Deteksi"))</f>
        <v>Tetap Deteksi</v>
      </c>
      <c r="N559" s="132">
        <v>46249</v>
      </c>
      <c r="O559" s="143">
        <f t="array" ref="O559">INDEX('[21]DETEKSI ROT 2 (2)'!$G$343:$G$622,MATCH(1,('[21]DETEKSI ROT 2 (2)'!$D$343:$D$622=$D559)*('[21]DETEKSI ROT 2 (2)'!$D$343:$D$622=$D559),0))</f>
        <v>410</v>
      </c>
      <c r="P559" s="9">
        <f t="array" ref="P559">IFERROR(O559/G559*100,0)</f>
        <v>14.774774774774773</v>
      </c>
      <c r="Q559" s="143">
        <f t="array" ref="Q559">INDEX('[21]DETEKSI ROT 2 (2)'!$I$343:$I$622,MATCH(1,('[21]DETEKSI ROT 2 (2)'!$D$343:$D$622=$D559)*('[21]DETEKSI ROT 2 (2)'!$D$343:$D$622=$D559),0))</f>
        <v>17</v>
      </c>
      <c r="R559" s="9">
        <f t="shared" si="79"/>
        <v>4.1463414634146343</v>
      </c>
      <c r="S559" s="8" t="str">
        <f t="array" ref="S559">IF(R559&gt;5,"Perlu Sensus",IF(AND(R559&gt;=0,O559&gt;0),"Tetap Deteksi","Belum Deteksi"))</f>
        <v>Tetap Deteksi</v>
      </c>
      <c r="T559" s="203"/>
      <c r="U559" s="9">
        <f t="shared" si="80"/>
        <v>0</v>
      </c>
      <c r="V559" s="132">
        <v>46249</v>
      </c>
      <c r="W559" s="143">
        <f t="array" ref="W559">INDEX('[21]DETEKSI ROT 2 (2)'!$L$343:$L$622,MATCH(1,('[21]DETEKSI ROT 2 (2)'!$D$343:$D$622=$D559)*('[21]DETEKSI ROT 2 (2)'!$D$343:$D$622=$D559),0))</f>
        <v>76</v>
      </c>
      <c r="X559" s="143">
        <f t="array" ref="X559">INDEX('[21]DETEKSI ROT 2 (2)'!$M$343:$M$622,MATCH(1,('[21]DETEKSI ROT 2 (2)'!$D$343:$D$622=$D559)*('[21]DETEKSI ROT 2 (2)'!$D$343:$D$622=$D559),0))</f>
        <v>3</v>
      </c>
      <c r="Y559" s="9">
        <f t="shared" si="78"/>
        <v>3.9473684210526314</v>
      </c>
      <c r="Z559" s="8" t="str">
        <f t="array" ref="Z559">IF(Y559&gt;5,"Perlu Sensus",IF(AND(Y559&gt;0,,O559&gt;0),"Tetap Deteksi","Belum Deteksi"))</f>
        <v>Belum Deteksi</v>
      </c>
      <c r="AA559" s="203"/>
      <c r="AB559" s="9">
        <f t="shared" si="81"/>
        <v>0</v>
      </c>
    </row>
    <row r="560" spans="1:28" x14ac:dyDescent="0.15">
      <c r="A560" s="8" t="s">
        <v>322</v>
      </c>
      <c r="B560" s="8" t="s">
        <v>107</v>
      </c>
      <c r="C560" s="8" t="s">
        <v>582</v>
      </c>
      <c r="D560" s="8" t="s">
        <v>587</v>
      </c>
      <c r="E560" s="8">
        <v>27.4</v>
      </c>
      <c r="F560" s="8" t="s">
        <v>469</v>
      </c>
      <c r="G560" s="10">
        <v>3911</v>
      </c>
      <c r="H560" s="132">
        <f t="shared" si="73"/>
        <v>46249</v>
      </c>
      <c r="I560" s="140">
        <f t="shared" si="74"/>
        <v>109</v>
      </c>
      <c r="J560" s="9">
        <f t="shared" si="75"/>
        <v>2.787010994630529</v>
      </c>
      <c r="K560" s="140">
        <f t="shared" si="76"/>
        <v>12</v>
      </c>
      <c r="L560" s="206">
        <f t="shared" si="77"/>
        <v>11.009174311926607</v>
      </c>
      <c r="M560" s="8" t="str">
        <f t="array" ref="M560">IF(L560&gt;5,"Perlu Sensus",IF(AND(L560&gt;=0,I560&gt;0),"Tetap Deteksi","Belum Deteksi"))</f>
        <v>Perlu Sensus</v>
      </c>
      <c r="N560" s="132">
        <v>46249</v>
      </c>
      <c r="O560" s="143">
        <f t="array" ref="O560">INDEX('[21]DETEKSI ROT 2 (2)'!$G$343:$G$622,MATCH(1,('[21]DETEKSI ROT 2 (2)'!$D$343:$D$622=$D560)*('[21]DETEKSI ROT 2 (2)'!$D$343:$D$622=$D560),0))</f>
        <v>109</v>
      </c>
      <c r="P560" s="9">
        <f t="array" ref="P560">IFERROR(O560/G560*100,0)</f>
        <v>2.787010994630529</v>
      </c>
      <c r="Q560" s="143">
        <f t="array" ref="Q560">INDEX('[21]DETEKSI ROT 2 (2)'!$I$343:$I$622,MATCH(1,('[21]DETEKSI ROT 2 (2)'!$D$343:$D$622=$D560)*('[21]DETEKSI ROT 2 (2)'!$D$343:$D$622=$D560),0))</f>
        <v>12</v>
      </c>
      <c r="R560" s="9">
        <f t="shared" si="79"/>
        <v>11.009174311926607</v>
      </c>
      <c r="S560" s="8" t="str">
        <f t="array" ref="S560">IF(R560&gt;5,"Perlu Sensus",IF(AND(R560&gt;=0,O560&gt;0),"Tetap Deteksi","Belum Deteksi"))</f>
        <v>Perlu Sensus</v>
      </c>
      <c r="T560" s="203"/>
      <c r="U560" s="9">
        <f t="shared" si="80"/>
        <v>0</v>
      </c>
      <c r="V560" s="132">
        <v>46249</v>
      </c>
      <c r="W560" s="143">
        <f t="array" ref="W560">INDEX('[21]DETEKSI ROT 2 (2)'!$L$343:$L$622,MATCH(1,('[21]DETEKSI ROT 2 (2)'!$D$343:$D$622=$D560)*('[21]DETEKSI ROT 2 (2)'!$D$343:$D$622=$D560),0))</f>
        <v>60</v>
      </c>
      <c r="X560" s="143">
        <f t="array" ref="X560">INDEX('[21]DETEKSI ROT 2 (2)'!$M$343:$M$622,MATCH(1,('[21]DETEKSI ROT 2 (2)'!$D$343:$D$622=$D560)*('[21]DETEKSI ROT 2 (2)'!$D$343:$D$622=$D560),0))</f>
        <v>3</v>
      </c>
      <c r="Y560" s="9">
        <f t="shared" si="78"/>
        <v>5</v>
      </c>
      <c r="Z560" s="8" t="str">
        <f t="array" ref="Z560">IF(Y560&gt;5,"Perlu Sensus",IF(AND(Y560&gt;0,,O560&gt;0),"Tetap Deteksi","Belum Deteksi"))</f>
        <v>Belum Deteksi</v>
      </c>
      <c r="AA560" s="203"/>
      <c r="AB560" s="9">
        <f t="shared" si="81"/>
        <v>0</v>
      </c>
    </row>
    <row r="561" spans="1:28" x14ac:dyDescent="0.15">
      <c r="A561" s="8" t="s">
        <v>322</v>
      </c>
      <c r="B561" s="8" t="s">
        <v>107</v>
      </c>
      <c r="C561" s="8" t="s">
        <v>582</v>
      </c>
      <c r="D561" s="8" t="s">
        <v>588</v>
      </c>
      <c r="E561" s="8">
        <v>24.87</v>
      </c>
      <c r="F561" s="8" t="s">
        <v>132</v>
      </c>
      <c r="G561" s="10">
        <v>3733</v>
      </c>
      <c r="H561" s="132">
        <f t="shared" si="73"/>
        <v>46249</v>
      </c>
      <c r="I561" s="140">
        <f t="shared" si="74"/>
        <v>358</v>
      </c>
      <c r="J561" s="9">
        <f t="shared" si="75"/>
        <v>9.5901419769622276</v>
      </c>
      <c r="K561" s="140">
        <f t="shared" si="76"/>
        <v>15</v>
      </c>
      <c r="L561" s="206">
        <f t="shared" si="77"/>
        <v>4.1899441340782122</v>
      </c>
      <c r="M561" s="8" t="str">
        <f t="array" ref="M561">IF(L561&gt;5,"Perlu Sensus",IF(AND(L561&gt;=0,I561&gt;0),"Tetap Deteksi","Belum Deteksi"))</f>
        <v>Tetap Deteksi</v>
      </c>
      <c r="N561" s="132">
        <v>46249</v>
      </c>
      <c r="O561" s="143">
        <f t="array" ref="O561">INDEX('[21]DETEKSI ROT 2 (2)'!$G$343:$G$622,MATCH(1,('[21]DETEKSI ROT 2 (2)'!$D$343:$D$622=$D561)*('[21]DETEKSI ROT 2 (2)'!$D$343:$D$622=$D561),0))</f>
        <v>358</v>
      </c>
      <c r="P561" s="9">
        <f t="array" ref="P561">IFERROR(O561/G561*100,0)</f>
        <v>9.5901419769622276</v>
      </c>
      <c r="Q561" s="143">
        <f t="array" ref="Q561">INDEX('[21]DETEKSI ROT 2 (2)'!$I$343:$I$622,MATCH(1,('[21]DETEKSI ROT 2 (2)'!$D$343:$D$622=$D561)*('[21]DETEKSI ROT 2 (2)'!$D$343:$D$622=$D561),0))</f>
        <v>15</v>
      </c>
      <c r="R561" s="9">
        <f t="shared" si="79"/>
        <v>4.1899441340782122</v>
      </c>
      <c r="S561" s="8" t="str">
        <f t="array" ref="S561">IF(R561&gt;5,"Perlu Sensus",IF(AND(R561&gt;=0,O561&gt;0),"Tetap Deteksi","Belum Deteksi"))</f>
        <v>Tetap Deteksi</v>
      </c>
      <c r="T561" s="203"/>
      <c r="U561" s="9">
        <f t="shared" si="80"/>
        <v>0</v>
      </c>
      <c r="V561" s="132">
        <v>46249</v>
      </c>
      <c r="W561" s="143">
        <f t="array" ref="W561">INDEX('[21]DETEKSI ROT 2 (2)'!$L$343:$L$622,MATCH(1,('[21]DETEKSI ROT 2 (2)'!$D$343:$D$622=$D561)*('[21]DETEKSI ROT 2 (2)'!$D$343:$D$622=$D561),0))</f>
        <v>79</v>
      </c>
      <c r="X561" s="143">
        <f t="array" ref="X561">INDEX('[21]DETEKSI ROT 2 (2)'!$M$343:$M$622,MATCH(1,('[21]DETEKSI ROT 2 (2)'!$D$343:$D$622=$D561)*('[21]DETEKSI ROT 2 (2)'!$D$343:$D$622=$D561),0))</f>
        <v>2</v>
      </c>
      <c r="Y561" s="9">
        <f t="shared" si="78"/>
        <v>2.5316455696202533</v>
      </c>
      <c r="Z561" s="8" t="str">
        <f t="array" ref="Z561">IF(Y561&gt;5,"Perlu Sensus",IF(AND(Y561&gt;0,,O561&gt;0),"Tetap Deteksi","Belum Deteksi"))</f>
        <v>Belum Deteksi</v>
      </c>
      <c r="AA561" s="203"/>
      <c r="AB561" s="9">
        <f t="shared" si="81"/>
        <v>0</v>
      </c>
    </row>
    <row r="562" spans="1:28" x14ac:dyDescent="0.15">
      <c r="A562" s="8" t="s">
        <v>322</v>
      </c>
      <c r="B562" s="8" t="s">
        <v>107</v>
      </c>
      <c r="C562" s="8" t="s">
        <v>582</v>
      </c>
      <c r="D562" s="8" t="s">
        <v>589</v>
      </c>
      <c r="E562" s="8">
        <v>23.9</v>
      </c>
      <c r="F562" s="8" t="s">
        <v>132</v>
      </c>
      <c r="G562" s="10">
        <v>3605</v>
      </c>
      <c r="H562" s="132">
        <f t="shared" si="73"/>
        <v>46249</v>
      </c>
      <c r="I562" s="140">
        <f t="shared" si="74"/>
        <v>376</v>
      </c>
      <c r="J562" s="9">
        <f t="shared" si="75"/>
        <v>10.429958391123439</v>
      </c>
      <c r="K562" s="140">
        <f t="shared" si="76"/>
        <v>13</v>
      </c>
      <c r="L562" s="206">
        <f t="shared" si="77"/>
        <v>3.4574468085106385</v>
      </c>
      <c r="M562" s="8" t="str">
        <f t="array" ref="M562">IF(L562&gt;5,"Perlu Sensus",IF(AND(L562&gt;=0,I562&gt;0),"Tetap Deteksi","Belum Deteksi"))</f>
        <v>Tetap Deteksi</v>
      </c>
      <c r="N562" s="132">
        <v>46249</v>
      </c>
      <c r="O562" s="143">
        <f t="array" ref="O562">INDEX('[21]DETEKSI ROT 2 (2)'!$G$343:$G$622,MATCH(1,('[21]DETEKSI ROT 2 (2)'!$D$343:$D$622=$D562)*('[21]DETEKSI ROT 2 (2)'!$D$343:$D$622=$D562),0))</f>
        <v>376</v>
      </c>
      <c r="P562" s="9">
        <f t="array" ref="P562">IFERROR(O562/G562*100,0)</f>
        <v>10.429958391123439</v>
      </c>
      <c r="Q562" s="143">
        <f t="array" ref="Q562">INDEX('[21]DETEKSI ROT 2 (2)'!$I$343:$I$622,MATCH(1,('[21]DETEKSI ROT 2 (2)'!$D$343:$D$622=$D562)*('[21]DETEKSI ROT 2 (2)'!$D$343:$D$622=$D562),0))</f>
        <v>13</v>
      </c>
      <c r="R562" s="9">
        <f t="shared" si="79"/>
        <v>3.4574468085106385</v>
      </c>
      <c r="S562" s="8" t="str">
        <f t="array" ref="S562">IF(R562&gt;5,"Perlu Sensus",IF(AND(R562&gt;=0,O562&gt;0),"Tetap Deteksi","Belum Deteksi"))</f>
        <v>Tetap Deteksi</v>
      </c>
      <c r="T562" s="203"/>
      <c r="U562" s="9">
        <f t="shared" si="80"/>
        <v>0</v>
      </c>
      <c r="V562" s="132">
        <v>46249</v>
      </c>
      <c r="W562" s="143">
        <f t="array" ref="W562">INDEX('[21]DETEKSI ROT 2 (2)'!$L$343:$L$622,MATCH(1,('[21]DETEKSI ROT 2 (2)'!$D$343:$D$622=$D562)*('[21]DETEKSI ROT 2 (2)'!$D$343:$D$622=$D562),0))</f>
        <v>50</v>
      </c>
      <c r="X562" s="143">
        <f t="array" ref="X562">INDEX('[21]DETEKSI ROT 2 (2)'!$M$343:$M$622,MATCH(1,('[21]DETEKSI ROT 2 (2)'!$D$343:$D$622=$D562)*('[21]DETEKSI ROT 2 (2)'!$D$343:$D$622=$D562),0))</f>
        <v>1</v>
      </c>
      <c r="Y562" s="9">
        <f t="shared" si="78"/>
        <v>2</v>
      </c>
      <c r="Z562" s="8" t="str">
        <f t="array" ref="Z562">IF(Y562&gt;5,"Perlu Sensus",IF(AND(Y562&gt;0,,O562&gt;0),"Tetap Deteksi","Belum Deteksi"))</f>
        <v>Belum Deteksi</v>
      </c>
      <c r="AA562" s="203"/>
      <c r="AB562" s="9">
        <f t="shared" si="81"/>
        <v>0</v>
      </c>
    </row>
    <row r="563" spans="1:28" x14ac:dyDescent="0.15">
      <c r="A563" s="8" t="s">
        <v>322</v>
      </c>
      <c r="B563" s="8" t="s">
        <v>107</v>
      </c>
      <c r="C563" s="8" t="s">
        <v>582</v>
      </c>
      <c r="D563" s="8" t="s">
        <v>590</v>
      </c>
      <c r="E563" s="8">
        <v>26.43</v>
      </c>
      <c r="F563" s="8" t="s">
        <v>132</v>
      </c>
      <c r="G563" s="10">
        <v>3862</v>
      </c>
      <c r="H563" s="132">
        <f t="shared" si="73"/>
        <v>46249</v>
      </c>
      <c r="I563" s="140">
        <f t="shared" si="74"/>
        <v>422</v>
      </c>
      <c r="J563" s="9">
        <f t="shared" si="75"/>
        <v>10.926980838943551</v>
      </c>
      <c r="K563" s="140">
        <f t="shared" si="76"/>
        <v>21</v>
      </c>
      <c r="L563" s="206">
        <f t="shared" si="77"/>
        <v>4.9763033175355451</v>
      </c>
      <c r="M563" s="8" t="str">
        <f t="array" ref="M563">IF(L563&gt;5,"Perlu Sensus",IF(AND(L563&gt;=0,I563&gt;0),"Tetap Deteksi","Belum Deteksi"))</f>
        <v>Tetap Deteksi</v>
      </c>
      <c r="N563" s="132">
        <v>46249</v>
      </c>
      <c r="O563" s="143">
        <f t="array" ref="O563">INDEX('[21]DETEKSI ROT 2 (2)'!$G$343:$G$622,MATCH(1,('[21]DETEKSI ROT 2 (2)'!$D$343:$D$622=$D563)*('[21]DETEKSI ROT 2 (2)'!$D$343:$D$622=$D563),0))</f>
        <v>422</v>
      </c>
      <c r="P563" s="9">
        <f t="array" ref="P563">IFERROR(O563/G563*100,0)</f>
        <v>10.926980838943551</v>
      </c>
      <c r="Q563" s="143">
        <f t="array" ref="Q563">INDEX('[21]DETEKSI ROT 2 (2)'!$I$343:$I$622,MATCH(1,('[21]DETEKSI ROT 2 (2)'!$D$343:$D$622=$D563)*('[21]DETEKSI ROT 2 (2)'!$D$343:$D$622=$D563),0))</f>
        <v>21</v>
      </c>
      <c r="R563" s="9">
        <f t="shared" si="79"/>
        <v>4.9763033175355451</v>
      </c>
      <c r="S563" s="8" t="str">
        <f t="array" ref="S563">IF(R563&gt;5,"Perlu Sensus",IF(AND(R563&gt;=0,O563&gt;0),"Tetap Deteksi","Belum Deteksi"))</f>
        <v>Tetap Deteksi</v>
      </c>
      <c r="T563" s="203"/>
      <c r="U563" s="9">
        <f t="shared" si="80"/>
        <v>0</v>
      </c>
      <c r="V563" s="132">
        <v>46249</v>
      </c>
      <c r="W563" s="143">
        <f t="array" ref="W563">INDEX('[21]DETEKSI ROT 2 (2)'!$L$343:$L$622,MATCH(1,('[21]DETEKSI ROT 2 (2)'!$D$343:$D$622=$D563)*('[21]DETEKSI ROT 2 (2)'!$D$343:$D$622=$D563),0))</f>
        <v>63</v>
      </c>
      <c r="X563" s="143">
        <f t="array" ref="X563">INDEX('[21]DETEKSI ROT 2 (2)'!$M$343:$M$622,MATCH(1,('[21]DETEKSI ROT 2 (2)'!$D$343:$D$622=$D563)*('[21]DETEKSI ROT 2 (2)'!$D$343:$D$622=$D563),0))</f>
        <v>2</v>
      </c>
      <c r="Y563" s="9">
        <f t="shared" si="78"/>
        <v>3.1746031746031744</v>
      </c>
      <c r="Z563" s="8" t="str">
        <f t="array" ref="Z563">IF(Y563&gt;5,"Perlu Sensus",IF(AND(Y563&gt;0,,O563&gt;0),"Tetap Deteksi","Belum Deteksi"))</f>
        <v>Belum Deteksi</v>
      </c>
      <c r="AA563" s="203"/>
      <c r="AB563" s="9">
        <f t="shared" si="81"/>
        <v>0</v>
      </c>
    </row>
    <row r="564" spans="1:28" x14ac:dyDescent="0.15">
      <c r="A564" s="8" t="s">
        <v>322</v>
      </c>
      <c r="B564" s="8" t="s">
        <v>107</v>
      </c>
      <c r="C564" s="8" t="s">
        <v>582</v>
      </c>
      <c r="D564" s="8" t="s">
        <v>591</v>
      </c>
      <c r="E564" s="8">
        <v>21.57</v>
      </c>
      <c r="F564" s="8" t="s">
        <v>132</v>
      </c>
      <c r="G564" s="10">
        <v>3140</v>
      </c>
      <c r="H564" s="132">
        <f t="shared" ref="H564:H582" si="82">IF(N564&gt;0,N564,V564)</f>
        <v>46249</v>
      </c>
      <c r="I564" s="140">
        <f t="shared" ref="I564:I582" si="83">IF(O564&gt;0,O564,W564)</f>
        <v>326</v>
      </c>
      <c r="J564" s="9">
        <f t="shared" ref="J564:J582" si="84">IF(P564&gt;0,P564," ")</f>
        <v>10.382165605095542</v>
      </c>
      <c r="K564" s="140">
        <f t="shared" ref="K564:K582" si="85">IF(Q564&gt;0,Q564,X564)</f>
        <v>3</v>
      </c>
      <c r="L564" s="206">
        <f t="shared" ref="L564:L582" si="86">IFERROR(K564/I564*100,0)</f>
        <v>0.92024539877300615</v>
      </c>
      <c r="M564" s="8" t="str">
        <f t="array" ref="M564">IF(L564&gt;5,"Perlu Sensus",IF(AND(L564&gt;=0,I564&gt;0),"Tetap Deteksi","Belum Deteksi"))</f>
        <v>Tetap Deteksi</v>
      </c>
      <c r="N564" s="132">
        <v>46249</v>
      </c>
      <c r="O564" s="143">
        <f t="array" ref="O564">INDEX('[21]DETEKSI ROT 2 (2)'!$G$343:$G$622,MATCH(1,('[21]DETEKSI ROT 2 (2)'!$D$343:$D$622=$D564)*('[21]DETEKSI ROT 2 (2)'!$D$343:$D$622=$D564),0))</f>
        <v>326</v>
      </c>
      <c r="P564" s="9">
        <f t="array" ref="P564">IFERROR(O564/G564*100,0)</f>
        <v>10.382165605095542</v>
      </c>
      <c r="Q564" s="143">
        <f t="array" ref="Q564">INDEX('[21]DETEKSI ROT 2 (2)'!$I$343:$I$622,MATCH(1,('[21]DETEKSI ROT 2 (2)'!$D$343:$D$622=$D564)*('[21]DETEKSI ROT 2 (2)'!$D$343:$D$622=$D564),0))</f>
        <v>3</v>
      </c>
      <c r="R564" s="9">
        <f t="shared" si="79"/>
        <v>0.92024539877300615</v>
      </c>
      <c r="S564" s="8" t="str">
        <f t="array" ref="S564">IF(R564&gt;5,"Perlu Sensus",IF(AND(R564&gt;=0,O564&gt;0),"Tetap Deteksi","Belum Deteksi"))</f>
        <v>Tetap Deteksi</v>
      </c>
      <c r="T564" s="203"/>
      <c r="U564" s="9">
        <f t="shared" si="80"/>
        <v>0</v>
      </c>
      <c r="V564" s="132">
        <v>46249</v>
      </c>
      <c r="W564" s="143">
        <f t="array" ref="W564">INDEX('[21]DETEKSI ROT 2 (2)'!$L$343:$L$622,MATCH(1,('[21]DETEKSI ROT 2 (2)'!$D$343:$D$622=$D564)*('[21]DETEKSI ROT 2 (2)'!$D$343:$D$622=$D564),0))</f>
        <v>54</v>
      </c>
      <c r="X564" s="143">
        <f t="array" ref="X564">INDEX('[21]DETEKSI ROT 2 (2)'!$M$343:$M$622,MATCH(1,('[21]DETEKSI ROT 2 (2)'!$D$343:$D$622=$D564)*('[21]DETEKSI ROT 2 (2)'!$D$343:$D$622=$D564),0))</f>
        <v>1</v>
      </c>
      <c r="Y564" s="9">
        <f t="shared" ref="Y564:Y609" si="87">IFERROR(X564/W564*100,0)</f>
        <v>1.8518518518518516</v>
      </c>
      <c r="Z564" s="8" t="str">
        <f t="array" ref="Z564">IF(Y564&gt;5,"Perlu Sensus",IF(AND(Y564&gt;0,,O564&gt;0),"Tetap Deteksi","Belum Deteksi"))</f>
        <v>Belum Deteksi</v>
      </c>
      <c r="AA564" s="203"/>
      <c r="AB564" s="9">
        <f t="shared" si="81"/>
        <v>0</v>
      </c>
    </row>
    <row r="565" spans="1:28" x14ac:dyDescent="0.15">
      <c r="A565" s="8" t="s">
        <v>322</v>
      </c>
      <c r="B565" s="8" t="s">
        <v>107</v>
      </c>
      <c r="C565" s="8" t="s">
        <v>582</v>
      </c>
      <c r="D565" s="8" t="s">
        <v>592</v>
      </c>
      <c r="E565" s="8">
        <v>46</v>
      </c>
      <c r="F565" s="8" t="s">
        <v>132</v>
      </c>
      <c r="G565" s="10">
        <v>5187</v>
      </c>
      <c r="H565" s="132">
        <f t="shared" si="82"/>
        <v>46249</v>
      </c>
      <c r="I565" s="140">
        <f t="shared" si="83"/>
        <v>126</v>
      </c>
      <c r="J565" s="9">
        <f t="shared" si="84"/>
        <v>2.42914979757085</v>
      </c>
      <c r="K565" s="140">
        <f t="shared" si="85"/>
        <v>5</v>
      </c>
      <c r="L565" s="206">
        <f t="shared" si="86"/>
        <v>3.9682539682539679</v>
      </c>
      <c r="M565" s="8" t="str">
        <f t="array" ref="M565">IF(L565&gt;5,"Perlu Sensus",IF(AND(L565&gt;=0,I565&gt;0),"Tetap Deteksi","Belum Deteksi"))</f>
        <v>Tetap Deteksi</v>
      </c>
      <c r="N565" s="132">
        <v>46249</v>
      </c>
      <c r="O565" s="143">
        <f t="array" ref="O565">INDEX('[21]DETEKSI ROT 2 (2)'!$G$343:$G$622,MATCH(1,('[21]DETEKSI ROT 2 (2)'!$D$343:$D$622=$D565)*('[21]DETEKSI ROT 2 (2)'!$D$343:$D$622=$D565),0))</f>
        <v>126</v>
      </c>
      <c r="P565" s="9">
        <f t="array" ref="P565">IFERROR(O565/G565*100,0)</f>
        <v>2.42914979757085</v>
      </c>
      <c r="Q565" s="143">
        <f t="array" ref="Q565">INDEX('[21]DETEKSI ROT 2 (2)'!$I$343:$I$622,MATCH(1,('[21]DETEKSI ROT 2 (2)'!$D$343:$D$622=$D565)*('[21]DETEKSI ROT 2 (2)'!$D$343:$D$622=$D565),0))</f>
        <v>5</v>
      </c>
      <c r="R565" s="9">
        <f t="shared" si="79"/>
        <v>3.9682539682539679</v>
      </c>
      <c r="S565" s="8" t="str">
        <f t="array" ref="S565">IF(R565&gt;5,"Perlu Sensus",IF(AND(R565&gt;=0,O565&gt;0),"Tetap Deteksi","Belum Deteksi"))</f>
        <v>Tetap Deteksi</v>
      </c>
      <c r="T565" s="203"/>
      <c r="U565" s="9">
        <f t="shared" si="80"/>
        <v>0</v>
      </c>
      <c r="V565" s="132">
        <v>46249</v>
      </c>
      <c r="W565" s="143">
        <f t="array" ref="W565">INDEX('[21]DETEKSI ROT 2 (2)'!$L$343:$L$622,MATCH(1,('[21]DETEKSI ROT 2 (2)'!$D$343:$D$622=$D565)*('[21]DETEKSI ROT 2 (2)'!$D$343:$D$622=$D565),0))</f>
        <v>82</v>
      </c>
      <c r="X565" s="143">
        <f t="array" ref="X565">INDEX('[21]DETEKSI ROT 2 (2)'!$M$343:$M$622,MATCH(1,('[21]DETEKSI ROT 2 (2)'!$D$343:$D$622=$D565)*('[21]DETEKSI ROT 2 (2)'!$D$343:$D$622=$D565),0))</f>
        <v>4</v>
      </c>
      <c r="Y565" s="9">
        <f t="shared" si="87"/>
        <v>4.8780487804878048</v>
      </c>
      <c r="Z565" s="8" t="str">
        <f t="array" ref="Z565">IF(Y565&gt;5,"Perlu Sensus",IF(AND(Y565&gt;0,,O565&gt;0),"Tetap Deteksi","Belum Deteksi"))</f>
        <v>Belum Deteksi</v>
      </c>
      <c r="AA565" s="203"/>
      <c r="AB565" s="9">
        <f t="shared" si="81"/>
        <v>0</v>
      </c>
    </row>
    <row r="566" spans="1:28" x14ac:dyDescent="0.15">
      <c r="A566" s="8" t="s">
        <v>322</v>
      </c>
      <c r="B566" s="8" t="s">
        <v>107</v>
      </c>
      <c r="C566" s="8" t="s">
        <v>582</v>
      </c>
      <c r="D566" s="8" t="s">
        <v>593</v>
      </c>
      <c r="E566" s="8">
        <v>43.8</v>
      </c>
      <c r="F566" s="8" t="s">
        <v>132</v>
      </c>
      <c r="G566" s="10">
        <v>2982</v>
      </c>
      <c r="H566" s="132">
        <f t="shared" si="82"/>
        <v>46249</v>
      </c>
      <c r="I566" s="140">
        <f t="shared" si="83"/>
        <v>135</v>
      </c>
      <c r="J566" s="9">
        <f t="shared" si="84"/>
        <v>4.5271629778672029</v>
      </c>
      <c r="K566" s="140">
        <f t="shared" si="85"/>
        <v>2</v>
      </c>
      <c r="L566" s="206">
        <f t="shared" si="86"/>
        <v>1.4814814814814816</v>
      </c>
      <c r="M566" s="8" t="str">
        <f t="array" ref="M566">IF(L566&gt;5,"Perlu Sensus",IF(AND(L566&gt;=0,I566&gt;0),"Tetap Deteksi","Belum Deteksi"))</f>
        <v>Tetap Deteksi</v>
      </c>
      <c r="N566" s="132">
        <v>46249</v>
      </c>
      <c r="O566" s="143">
        <f t="array" ref="O566">INDEX('[21]DETEKSI ROT 2 (2)'!$G$343:$G$622,MATCH(1,('[21]DETEKSI ROT 2 (2)'!$D$343:$D$622=$D566)*('[21]DETEKSI ROT 2 (2)'!$D$343:$D$622=$D566),0))</f>
        <v>135</v>
      </c>
      <c r="P566" s="9">
        <f t="array" ref="P566">IFERROR(O566/G566*100,0)</f>
        <v>4.5271629778672029</v>
      </c>
      <c r="Q566" s="143">
        <f t="array" ref="Q566">INDEX('[21]DETEKSI ROT 2 (2)'!$I$343:$I$622,MATCH(1,('[21]DETEKSI ROT 2 (2)'!$D$343:$D$622=$D566)*('[21]DETEKSI ROT 2 (2)'!$D$343:$D$622=$D566),0))</f>
        <v>2</v>
      </c>
      <c r="R566" s="9">
        <f t="shared" si="79"/>
        <v>1.4814814814814816</v>
      </c>
      <c r="S566" s="8" t="str">
        <f t="array" ref="S566">IF(R566&gt;5,"Perlu Sensus",IF(AND(R566&gt;=0,O566&gt;0),"Tetap Deteksi","Belum Deteksi"))</f>
        <v>Tetap Deteksi</v>
      </c>
      <c r="T566" s="203"/>
      <c r="U566" s="9">
        <f t="shared" si="80"/>
        <v>0</v>
      </c>
      <c r="V566" s="132">
        <v>46249</v>
      </c>
      <c r="W566" s="143">
        <f t="array" ref="W566">INDEX('[21]DETEKSI ROT 2 (2)'!$L$343:$L$622,MATCH(1,('[21]DETEKSI ROT 2 (2)'!$D$343:$D$622=$D566)*('[21]DETEKSI ROT 2 (2)'!$D$343:$D$622=$D566),0))</f>
        <v>63</v>
      </c>
      <c r="X566" s="143">
        <f t="array" ref="X566">INDEX('[21]DETEKSI ROT 2 (2)'!$M$343:$M$622,MATCH(1,('[21]DETEKSI ROT 2 (2)'!$D$343:$D$622=$D566)*('[21]DETEKSI ROT 2 (2)'!$D$343:$D$622=$D566),0))</f>
        <v>3</v>
      </c>
      <c r="Y566" s="9">
        <f t="shared" si="87"/>
        <v>4.7619047619047619</v>
      </c>
      <c r="Z566" s="8" t="str">
        <f t="array" ref="Z566">IF(Y566&gt;5,"Perlu Sensus",IF(AND(Y566&gt;0,,O566&gt;0),"Tetap Deteksi","Belum Deteksi"))</f>
        <v>Belum Deteksi</v>
      </c>
      <c r="AA566" s="203"/>
      <c r="AB566" s="9">
        <f t="shared" si="81"/>
        <v>0</v>
      </c>
    </row>
    <row r="567" spans="1:28" x14ac:dyDescent="0.15">
      <c r="A567" s="8" t="s">
        <v>322</v>
      </c>
      <c r="B567" s="8" t="s">
        <v>107</v>
      </c>
      <c r="C567" s="8" t="s">
        <v>582</v>
      </c>
      <c r="D567" s="8" t="s">
        <v>594</v>
      </c>
      <c r="E567" s="8">
        <v>36.78</v>
      </c>
      <c r="F567" s="8" t="s">
        <v>132</v>
      </c>
      <c r="G567" s="10">
        <v>4891</v>
      </c>
      <c r="H567" s="132">
        <f t="shared" si="82"/>
        <v>46249</v>
      </c>
      <c r="I567" s="140">
        <f t="shared" si="83"/>
        <v>830</v>
      </c>
      <c r="J567" s="9">
        <f t="shared" si="84"/>
        <v>16.96994479656512</v>
      </c>
      <c r="K567" s="140">
        <f t="shared" si="85"/>
        <v>37</v>
      </c>
      <c r="L567" s="206">
        <f t="shared" si="86"/>
        <v>4.4578313253012052</v>
      </c>
      <c r="M567" s="8" t="str">
        <f t="array" ref="M567">IF(L567&gt;5,"Perlu Sensus",IF(AND(L567&gt;=0,I567&gt;0),"Tetap Deteksi","Belum Deteksi"))</f>
        <v>Tetap Deteksi</v>
      </c>
      <c r="N567" s="132">
        <v>46249</v>
      </c>
      <c r="O567" s="143">
        <f t="array" ref="O567">INDEX('[21]DETEKSI ROT 2 (2)'!$G$343:$G$622,MATCH(1,('[21]DETEKSI ROT 2 (2)'!$D$343:$D$622=$D567)*('[21]DETEKSI ROT 2 (2)'!$D$343:$D$622=$D567),0))</f>
        <v>830</v>
      </c>
      <c r="P567" s="9">
        <f t="array" ref="P567">IFERROR(O567/G567*100,0)</f>
        <v>16.96994479656512</v>
      </c>
      <c r="Q567" s="143">
        <f t="array" ref="Q567">INDEX('[21]DETEKSI ROT 2 (2)'!$I$343:$I$622,MATCH(1,('[21]DETEKSI ROT 2 (2)'!$D$343:$D$622=$D567)*('[21]DETEKSI ROT 2 (2)'!$D$343:$D$622=$D567),0))</f>
        <v>37</v>
      </c>
      <c r="R567" s="9">
        <f t="shared" si="79"/>
        <v>4.4578313253012052</v>
      </c>
      <c r="S567" s="8" t="str">
        <f t="array" ref="S567">IF(R567&gt;5,"Perlu Sensus",IF(AND(R567&gt;=0,O567&gt;0),"Tetap Deteksi","Belum Deteksi"))</f>
        <v>Tetap Deteksi</v>
      </c>
      <c r="T567" s="203"/>
      <c r="U567" s="9">
        <f t="shared" si="80"/>
        <v>0</v>
      </c>
      <c r="V567" s="132">
        <v>46249</v>
      </c>
      <c r="W567" s="143">
        <f t="array" ref="W567">INDEX('[21]DETEKSI ROT 2 (2)'!$L$343:$L$622,MATCH(1,('[21]DETEKSI ROT 2 (2)'!$D$343:$D$622=$D567)*('[21]DETEKSI ROT 2 (2)'!$D$343:$D$622=$D567),0))</f>
        <v>24</v>
      </c>
      <c r="X567" s="143">
        <f t="array" ref="X567">INDEX('[21]DETEKSI ROT 2 (2)'!$M$343:$M$622,MATCH(1,('[21]DETEKSI ROT 2 (2)'!$D$343:$D$622=$D567)*('[21]DETEKSI ROT 2 (2)'!$D$343:$D$622=$D567),0))</f>
        <v>1</v>
      </c>
      <c r="Y567" s="9">
        <f t="shared" si="87"/>
        <v>4.1666666666666661</v>
      </c>
      <c r="Z567" s="8" t="str">
        <f t="array" ref="Z567">IF(Y567&gt;5,"Perlu Sensus",IF(AND(Y567&gt;0,,O567&gt;0),"Tetap Deteksi","Belum Deteksi"))</f>
        <v>Belum Deteksi</v>
      </c>
      <c r="AA567" s="203"/>
      <c r="AB567" s="9">
        <f t="shared" si="81"/>
        <v>0</v>
      </c>
    </row>
    <row r="568" spans="1:28" x14ac:dyDescent="0.15">
      <c r="A568" s="8" t="s">
        <v>322</v>
      </c>
      <c r="B568" s="8" t="s">
        <v>107</v>
      </c>
      <c r="C568" s="8" t="s">
        <v>582</v>
      </c>
      <c r="D568" s="8" t="s">
        <v>595</v>
      </c>
      <c r="E568" s="8">
        <v>27.72</v>
      </c>
      <c r="F568" s="8" t="s">
        <v>132</v>
      </c>
      <c r="G568" s="10">
        <v>3552</v>
      </c>
      <c r="H568" s="132">
        <f t="shared" si="82"/>
        <v>46249</v>
      </c>
      <c r="I568" s="140">
        <f t="shared" si="83"/>
        <v>639</v>
      </c>
      <c r="J568" s="9">
        <f t="shared" si="84"/>
        <v>17.989864864864867</v>
      </c>
      <c r="K568" s="140">
        <f t="shared" si="85"/>
        <v>12</v>
      </c>
      <c r="L568" s="206">
        <f t="shared" si="86"/>
        <v>1.8779342723004695</v>
      </c>
      <c r="M568" s="8" t="str">
        <f t="array" ref="M568">IF(L568&gt;5,"Perlu Sensus",IF(AND(L568&gt;=0,I568&gt;0),"Tetap Deteksi","Belum Deteksi"))</f>
        <v>Tetap Deteksi</v>
      </c>
      <c r="N568" s="132">
        <v>46249</v>
      </c>
      <c r="O568" s="143">
        <f t="array" ref="O568">INDEX('[21]DETEKSI ROT 2 (2)'!$G$343:$G$622,MATCH(1,('[21]DETEKSI ROT 2 (2)'!$D$343:$D$622=$D568)*('[21]DETEKSI ROT 2 (2)'!$D$343:$D$622=$D568),0))</f>
        <v>639</v>
      </c>
      <c r="P568" s="9">
        <f t="array" ref="P568">IFERROR(O568/G568*100,0)</f>
        <v>17.989864864864867</v>
      </c>
      <c r="Q568" s="143">
        <f t="array" ref="Q568">INDEX('[21]DETEKSI ROT 2 (2)'!$I$343:$I$622,MATCH(1,('[21]DETEKSI ROT 2 (2)'!$D$343:$D$622=$D568)*('[21]DETEKSI ROT 2 (2)'!$D$343:$D$622=$D568),0))</f>
        <v>12</v>
      </c>
      <c r="R568" s="9">
        <f t="shared" si="79"/>
        <v>1.8779342723004695</v>
      </c>
      <c r="S568" s="8" t="str">
        <f t="array" ref="S568">IF(R568&gt;5,"Perlu Sensus",IF(AND(R568&gt;=0,O568&gt;0),"Tetap Deteksi","Belum Deteksi"))</f>
        <v>Tetap Deteksi</v>
      </c>
      <c r="T568" s="203"/>
      <c r="U568" s="9">
        <f t="shared" si="80"/>
        <v>0</v>
      </c>
      <c r="V568" s="132">
        <v>46249</v>
      </c>
      <c r="W568" s="143">
        <f t="array" ref="W568">INDEX('[21]DETEKSI ROT 2 (2)'!$L$343:$L$622,MATCH(1,('[21]DETEKSI ROT 2 (2)'!$D$343:$D$622=$D568)*('[21]DETEKSI ROT 2 (2)'!$D$343:$D$622=$D568),0))</f>
        <v>115</v>
      </c>
      <c r="X568" s="143">
        <f t="array" ref="X568">INDEX('[21]DETEKSI ROT 2 (2)'!$M$343:$M$622,MATCH(1,('[21]DETEKSI ROT 2 (2)'!$D$343:$D$622=$D568)*('[21]DETEKSI ROT 2 (2)'!$D$343:$D$622=$D568),0))</f>
        <v>2</v>
      </c>
      <c r="Y568" s="9">
        <f t="shared" si="87"/>
        <v>1.7391304347826086</v>
      </c>
      <c r="Z568" s="8" t="str">
        <f t="array" ref="Z568">IF(Y568&gt;5,"Perlu Sensus",IF(AND(Y568&gt;0,,O568&gt;0),"Tetap Deteksi","Belum Deteksi"))</f>
        <v>Belum Deteksi</v>
      </c>
      <c r="AA568" s="203"/>
      <c r="AB568" s="9">
        <f t="shared" si="81"/>
        <v>0</v>
      </c>
    </row>
    <row r="569" spans="1:28" x14ac:dyDescent="0.15">
      <c r="A569" s="8" t="s">
        <v>322</v>
      </c>
      <c r="B569" s="8" t="s">
        <v>107</v>
      </c>
      <c r="C569" s="8" t="s">
        <v>582</v>
      </c>
      <c r="D569" s="8" t="s">
        <v>596</v>
      </c>
      <c r="E569" s="8">
        <v>32.1</v>
      </c>
      <c r="F569" s="8" t="s">
        <v>469</v>
      </c>
      <c r="G569" s="10">
        <v>4831</v>
      </c>
      <c r="H569" s="132">
        <f t="shared" si="82"/>
        <v>46249</v>
      </c>
      <c r="I569" s="140">
        <f t="shared" si="83"/>
        <v>523</v>
      </c>
      <c r="J569" s="9">
        <f t="shared" si="84"/>
        <v>10.82591595942869</v>
      </c>
      <c r="K569" s="140">
        <f t="shared" si="85"/>
        <v>30</v>
      </c>
      <c r="L569" s="206">
        <f t="shared" si="86"/>
        <v>5.736137667304015</v>
      </c>
      <c r="M569" s="8" t="str">
        <f t="array" ref="M569">IF(L569&gt;5,"Perlu Sensus",IF(AND(L569&gt;=0,I569&gt;0),"Tetap Deteksi","Belum Deteksi"))</f>
        <v>Perlu Sensus</v>
      </c>
      <c r="N569" s="132">
        <v>46249</v>
      </c>
      <c r="O569" s="143">
        <f t="array" ref="O569">INDEX('[21]DETEKSI ROT 2 (2)'!$G$343:$G$622,MATCH(1,('[21]DETEKSI ROT 2 (2)'!$D$343:$D$622=$D569)*('[21]DETEKSI ROT 2 (2)'!$D$343:$D$622=$D569),0))</f>
        <v>523</v>
      </c>
      <c r="P569" s="9">
        <f t="array" ref="P569">IFERROR(O569/G569*100,0)</f>
        <v>10.82591595942869</v>
      </c>
      <c r="Q569" s="143">
        <f t="array" ref="Q569">INDEX('[21]DETEKSI ROT 2 (2)'!$I$343:$I$622,MATCH(1,('[21]DETEKSI ROT 2 (2)'!$D$343:$D$622=$D569)*('[21]DETEKSI ROT 2 (2)'!$D$343:$D$622=$D569),0))</f>
        <v>30</v>
      </c>
      <c r="R569" s="9">
        <f t="shared" si="79"/>
        <v>5.736137667304015</v>
      </c>
      <c r="S569" s="8" t="str">
        <f t="array" ref="S569">IF(R569&gt;5,"Perlu Sensus",IF(AND(R569&gt;=0,O569&gt;0),"Tetap Deteksi","Belum Deteksi"))</f>
        <v>Perlu Sensus</v>
      </c>
      <c r="T569" s="203"/>
      <c r="U569" s="9">
        <f t="shared" si="80"/>
        <v>0</v>
      </c>
      <c r="V569" s="132">
        <v>46249</v>
      </c>
      <c r="W569" s="143">
        <f t="array" ref="W569">INDEX('[21]DETEKSI ROT 2 (2)'!$L$343:$L$622,MATCH(1,('[21]DETEKSI ROT 2 (2)'!$D$343:$D$622=$D569)*('[21]DETEKSI ROT 2 (2)'!$D$343:$D$622=$D569),0))</f>
        <v>105</v>
      </c>
      <c r="X569" s="143">
        <f t="array" ref="X569">INDEX('[21]DETEKSI ROT 2 (2)'!$M$343:$M$622,MATCH(1,('[21]DETEKSI ROT 2 (2)'!$D$343:$D$622=$D569)*('[21]DETEKSI ROT 2 (2)'!$D$343:$D$622=$D569),0))</f>
        <v>5</v>
      </c>
      <c r="Y569" s="9">
        <f t="shared" si="87"/>
        <v>4.7619047619047619</v>
      </c>
      <c r="Z569" s="8" t="str">
        <f t="array" ref="Z569">IF(Y569&gt;5,"Perlu Sensus",IF(AND(Y569&gt;0,,O569&gt;0),"Tetap Deteksi","Belum Deteksi"))</f>
        <v>Belum Deteksi</v>
      </c>
      <c r="AA569" s="203"/>
      <c r="AB569" s="9">
        <f t="shared" si="81"/>
        <v>0</v>
      </c>
    </row>
    <row r="570" spans="1:28" x14ac:dyDescent="0.15">
      <c r="A570" s="8" t="s">
        <v>322</v>
      </c>
      <c r="B570" s="8" t="s">
        <v>107</v>
      </c>
      <c r="C570" s="8" t="s">
        <v>582</v>
      </c>
      <c r="D570" s="8" t="s">
        <v>597</v>
      </c>
      <c r="E570" s="8">
        <v>31.33</v>
      </c>
      <c r="F570" s="8" t="s">
        <v>132</v>
      </c>
      <c r="G570" s="10">
        <v>4804</v>
      </c>
      <c r="H570" s="132">
        <f t="shared" si="82"/>
        <v>46249</v>
      </c>
      <c r="I570" s="140">
        <f t="shared" si="83"/>
        <v>434</v>
      </c>
      <c r="J570" s="9">
        <f t="shared" si="84"/>
        <v>9.0341382181515399</v>
      </c>
      <c r="K570" s="140">
        <f t="shared" si="85"/>
        <v>5</v>
      </c>
      <c r="L570" s="206">
        <f t="shared" si="86"/>
        <v>1.1520737327188941</v>
      </c>
      <c r="M570" s="8" t="str">
        <f t="array" ref="M570">IF(L570&gt;5,"Perlu Sensus",IF(AND(L570&gt;=0,I570&gt;0),"Tetap Deteksi","Belum Deteksi"))</f>
        <v>Tetap Deteksi</v>
      </c>
      <c r="N570" s="132">
        <v>46249</v>
      </c>
      <c r="O570" s="143">
        <f t="array" ref="O570">INDEX('[21]DETEKSI ROT 2 (2)'!$G$343:$G$622,MATCH(1,('[21]DETEKSI ROT 2 (2)'!$D$343:$D$622=$D570)*('[21]DETEKSI ROT 2 (2)'!$D$343:$D$622=$D570),0))</f>
        <v>434</v>
      </c>
      <c r="P570" s="9">
        <f t="array" ref="P570">IFERROR(O570/G570*100,0)</f>
        <v>9.0341382181515399</v>
      </c>
      <c r="Q570" s="143">
        <f t="array" ref="Q570">INDEX('[21]DETEKSI ROT 2 (2)'!$I$343:$I$622,MATCH(1,('[21]DETEKSI ROT 2 (2)'!$D$343:$D$622=$D570)*('[21]DETEKSI ROT 2 (2)'!$D$343:$D$622=$D570),0))</f>
        <v>5</v>
      </c>
      <c r="R570" s="9">
        <f t="shared" si="79"/>
        <v>1.1520737327188941</v>
      </c>
      <c r="S570" s="8" t="str">
        <f t="array" ref="S570">IF(R570&gt;5,"Perlu Sensus",IF(AND(R570&gt;=0,O570&gt;0),"Tetap Deteksi","Belum Deteksi"))</f>
        <v>Tetap Deteksi</v>
      </c>
      <c r="T570" s="203"/>
      <c r="U570" s="9">
        <f t="shared" si="80"/>
        <v>0</v>
      </c>
      <c r="V570" s="132">
        <v>46249</v>
      </c>
      <c r="W570" s="143">
        <f t="array" ref="W570">INDEX('[21]DETEKSI ROT 2 (2)'!$L$343:$L$622,MATCH(1,('[21]DETEKSI ROT 2 (2)'!$D$343:$D$622=$D570)*('[21]DETEKSI ROT 2 (2)'!$D$343:$D$622=$D570),0))</f>
        <v>100</v>
      </c>
      <c r="X570" s="143">
        <f t="array" ref="X570">INDEX('[21]DETEKSI ROT 2 (2)'!$M$343:$M$622,MATCH(1,('[21]DETEKSI ROT 2 (2)'!$D$343:$D$622=$D570)*('[21]DETEKSI ROT 2 (2)'!$D$343:$D$622=$D570),0))</f>
        <v>3</v>
      </c>
      <c r="Y570" s="9">
        <f t="shared" si="87"/>
        <v>3</v>
      </c>
      <c r="Z570" s="8" t="str">
        <f t="array" ref="Z570">IF(Y570&gt;5,"Perlu Sensus",IF(AND(Y570&gt;0,,O570&gt;0),"Tetap Deteksi","Belum Deteksi"))</f>
        <v>Belum Deteksi</v>
      </c>
      <c r="AA570" s="203"/>
      <c r="AB570" s="9">
        <f t="shared" si="81"/>
        <v>0</v>
      </c>
    </row>
    <row r="571" spans="1:28" x14ac:dyDescent="0.15">
      <c r="A571" s="8" t="s">
        <v>322</v>
      </c>
      <c r="B571" s="8" t="s">
        <v>107</v>
      </c>
      <c r="C571" s="8" t="s">
        <v>582</v>
      </c>
      <c r="D571" s="8" t="s">
        <v>598</v>
      </c>
      <c r="E571" s="8">
        <v>29.63</v>
      </c>
      <c r="F571" s="8" t="s">
        <v>132</v>
      </c>
      <c r="G571" s="10">
        <v>4301</v>
      </c>
      <c r="H571" s="132">
        <f t="shared" si="82"/>
        <v>46249</v>
      </c>
      <c r="I571" s="140">
        <f t="shared" si="83"/>
        <v>427</v>
      </c>
      <c r="J571" s="9">
        <f t="shared" si="84"/>
        <v>9.9279237386654273</v>
      </c>
      <c r="K571" s="140">
        <f t="shared" si="85"/>
        <v>21</v>
      </c>
      <c r="L571" s="206">
        <f t="shared" si="86"/>
        <v>4.918032786885246</v>
      </c>
      <c r="M571" s="8" t="str">
        <f t="array" ref="M571">IF(L571&gt;5,"Perlu Sensus",IF(AND(L571&gt;=0,I571&gt;0),"Tetap Deteksi","Belum Deteksi"))</f>
        <v>Tetap Deteksi</v>
      </c>
      <c r="N571" s="132">
        <v>46249</v>
      </c>
      <c r="O571" s="143">
        <f t="array" ref="O571">INDEX('[21]DETEKSI ROT 2 (2)'!$G$343:$G$622,MATCH(1,('[21]DETEKSI ROT 2 (2)'!$D$343:$D$622=$D571)*('[21]DETEKSI ROT 2 (2)'!$D$343:$D$622=$D571),0))</f>
        <v>427</v>
      </c>
      <c r="P571" s="9">
        <f t="array" ref="P571">IFERROR(O571/G571*100,0)</f>
        <v>9.9279237386654273</v>
      </c>
      <c r="Q571" s="143">
        <f t="array" ref="Q571">INDEX('[21]DETEKSI ROT 2 (2)'!$I$343:$I$622,MATCH(1,('[21]DETEKSI ROT 2 (2)'!$D$343:$D$622=$D571)*('[21]DETEKSI ROT 2 (2)'!$D$343:$D$622=$D571),0))</f>
        <v>21</v>
      </c>
      <c r="R571" s="9">
        <f t="shared" si="79"/>
        <v>4.918032786885246</v>
      </c>
      <c r="S571" s="8" t="str">
        <f t="array" ref="S571">IF(R571&gt;5,"Perlu Sensus",IF(AND(R571&gt;=0,O571&gt;0),"Tetap Deteksi","Belum Deteksi"))</f>
        <v>Tetap Deteksi</v>
      </c>
      <c r="T571" s="203"/>
      <c r="U571" s="9">
        <f t="shared" si="80"/>
        <v>0</v>
      </c>
      <c r="V571" s="132">
        <v>46249</v>
      </c>
      <c r="W571" s="143">
        <f t="array" ref="W571">INDEX('[21]DETEKSI ROT 2 (2)'!$L$343:$L$622,MATCH(1,('[21]DETEKSI ROT 2 (2)'!$D$343:$D$622=$D571)*('[21]DETEKSI ROT 2 (2)'!$D$343:$D$622=$D571),0))</f>
        <v>66</v>
      </c>
      <c r="X571" s="143">
        <f t="array" ref="X571">INDEX('[21]DETEKSI ROT 2 (2)'!$M$343:$M$622,MATCH(1,('[21]DETEKSI ROT 2 (2)'!$D$343:$D$622=$D571)*('[21]DETEKSI ROT 2 (2)'!$D$343:$D$622=$D571),0))</f>
        <v>3</v>
      </c>
      <c r="Y571" s="9">
        <f t="shared" si="87"/>
        <v>4.5454545454545459</v>
      </c>
      <c r="Z571" s="8" t="str">
        <f t="array" ref="Z571">IF(Y571&gt;5,"Perlu Sensus",IF(AND(Y571&gt;0,,O571&gt;0),"Tetap Deteksi","Belum Deteksi"))</f>
        <v>Belum Deteksi</v>
      </c>
      <c r="AA571" s="203"/>
      <c r="AB571" s="9">
        <f t="shared" si="81"/>
        <v>0</v>
      </c>
    </row>
    <row r="572" spans="1:28" x14ac:dyDescent="0.15">
      <c r="A572" s="8" t="s">
        <v>322</v>
      </c>
      <c r="B572" s="8" t="s">
        <v>107</v>
      </c>
      <c r="C572" s="8" t="s">
        <v>582</v>
      </c>
      <c r="D572" s="8" t="s">
        <v>599</v>
      </c>
      <c r="E572" s="8">
        <v>40.520000000000003</v>
      </c>
      <c r="F572" s="8" t="s">
        <v>132</v>
      </c>
      <c r="G572" s="10">
        <v>6156</v>
      </c>
      <c r="H572" s="132">
        <f t="shared" si="82"/>
        <v>46249</v>
      </c>
      <c r="I572" s="140">
        <f t="shared" si="83"/>
        <v>586</v>
      </c>
      <c r="J572" s="9">
        <f t="shared" si="84"/>
        <v>9.519168291098115</v>
      </c>
      <c r="K572" s="140">
        <f t="shared" si="85"/>
        <v>9.9999999999999995E-8</v>
      </c>
      <c r="L572" s="206">
        <f t="shared" si="86"/>
        <v>1.7064846416382251E-8</v>
      </c>
      <c r="M572" s="8" t="str">
        <f t="array" ref="M572">IF(L572&gt;5,"Perlu Sensus",IF(AND(L572&gt;=0,I572&gt;0),"Tetap Deteksi","Belum Deteksi"))</f>
        <v>Tetap Deteksi</v>
      </c>
      <c r="N572" s="132">
        <v>46249</v>
      </c>
      <c r="O572" s="143">
        <f t="array" ref="O572">INDEX('[21]DETEKSI ROT 2 (2)'!$G$343:$G$622,MATCH(1,('[21]DETEKSI ROT 2 (2)'!$D$343:$D$622=$D572)*('[21]DETEKSI ROT 2 (2)'!$D$343:$D$622=$D572),0))</f>
        <v>586</v>
      </c>
      <c r="P572" s="9">
        <f t="array" ref="P572">IFERROR(O572/G572*100,0)</f>
        <v>9.519168291098115</v>
      </c>
      <c r="Q572" s="140">
        <v>9.9999999999999995E-8</v>
      </c>
      <c r="R572" s="9">
        <f t="shared" si="79"/>
        <v>1.7064846416382251E-8</v>
      </c>
      <c r="S572" s="8" t="str">
        <f t="array" ref="S572">IF(R572&gt;5,"Perlu Sensus",IF(AND(R572&gt;=0,O572&gt;0),"Tetap Deteksi","Belum Deteksi"))</f>
        <v>Tetap Deteksi</v>
      </c>
      <c r="T572" s="203"/>
      <c r="U572" s="9">
        <f t="shared" si="80"/>
        <v>0</v>
      </c>
      <c r="V572" s="132">
        <v>46249</v>
      </c>
      <c r="W572" s="143">
        <f t="array" ref="W572">INDEX('[21]DETEKSI ROT 2 (2)'!$L$343:$L$622,MATCH(1,('[21]DETEKSI ROT 2 (2)'!$D$343:$D$622=$D572)*('[21]DETEKSI ROT 2 (2)'!$D$343:$D$622=$D572),0))</f>
        <v>42</v>
      </c>
      <c r="X572" s="143">
        <f t="array" ref="X572">INDEX('[21]DETEKSI ROT 2 (2)'!$M$343:$M$622,MATCH(1,('[21]DETEKSI ROT 2 (2)'!$D$343:$D$622=$D572)*('[21]DETEKSI ROT 2 (2)'!$D$343:$D$622=$D572),0))</f>
        <v>2</v>
      </c>
      <c r="Y572" s="9">
        <f t="shared" si="87"/>
        <v>4.7619047619047619</v>
      </c>
      <c r="Z572" s="8" t="str">
        <f t="array" ref="Z572">IF(Y572&gt;5,"Perlu Sensus",IF(AND(Y572&gt;0,,O572&gt;0),"Tetap Deteksi","Belum Deteksi"))</f>
        <v>Belum Deteksi</v>
      </c>
      <c r="AA572" s="203"/>
      <c r="AB572" s="9">
        <f t="shared" si="81"/>
        <v>0</v>
      </c>
    </row>
    <row r="573" spans="1:28" x14ac:dyDescent="0.15">
      <c r="A573" s="8" t="s">
        <v>322</v>
      </c>
      <c r="B573" s="8" t="s">
        <v>107</v>
      </c>
      <c r="C573" s="8" t="s">
        <v>582</v>
      </c>
      <c r="D573" s="8" t="s">
        <v>600</v>
      </c>
      <c r="E573" s="8">
        <v>23</v>
      </c>
      <c r="F573" s="8" t="s">
        <v>132</v>
      </c>
      <c r="G573" s="10">
        <v>3151</v>
      </c>
      <c r="H573" s="132">
        <f t="shared" si="82"/>
        <v>46249</v>
      </c>
      <c r="I573" s="140">
        <f t="shared" si="83"/>
        <v>349</v>
      </c>
      <c r="J573" s="9">
        <f t="shared" si="84"/>
        <v>11.075848936845446</v>
      </c>
      <c r="K573" s="140">
        <f t="shared" si="85"/>
        <v>9</v>
      </c>
      <c r="L573" s="206">
        <f t="shared" si="86"/>
        <v>2.5787965616045847</v>
      </c>
      <c r="M573" s="8" t="str">
        <f t="array" ref="M573">IF(L573&gt;5,"Perlu Sensus",IF(AND(L573&gt;=0,I573&gt;0),"Tetap Deteksi","Belum Deteksi"))</f>
        <v>Tetap Deteksi</v>
      </c>
      <c r="N573" s="132">
        <v>46249</v>
      </c>
      <c r="O573" s="143">
        <f t="array" ref="O573">INDEX('[21]DETEKSI ROT 2 (2)'!$G$343:$G$622,MATCH(1,('[21]DETEKSI ROT 2 (2)'!$D$343:$D$622=$D573)*('[21]DETEKSI ROT 2 (2)'!$D$343:$D$622=$D573),0))</f>
        <v>349</v>
      </c>
      <c r="P573" s="9">
        <f t="array" ref="P573">IFERROR(O573/G573*100,0)</f>
        <v>11.075848936845446</v>
      </c>
      <c r="Q573" s="143">
        <f t="array" ref="Q573">INDEX('[21]DETEKSI ROT 2 (2)'!$I$343:$I$622,MATCH(1,('[21]DETEKSI ROT 2 (2)'!$D$343:$D$622=$D573)*('[21]DETEKSI ROT 2 (2)'!$D$343:$D$622=$D573),0))</f>
        <v>9</v>
      </c>
      <c r="R573" s="9">
        <f t="shared" si="79"/>
        <v>2.5787965616045847</v>
      </c>
      <c r="S573" s="8" t="str">
        <f t="array" ref="S573">IF(R573&gt;5,"Perlu Sensus",IF(AND(R573&gt;=0,O573&gt;0),"Tetap Deteksi","Belum Deteksi"))</f>
        <v>Tetap Deteksi</v>
      </c>
      <c r="T573" s="203"/>
      <c r="U573" s="9">
        <f t="shared" si="80"/>
        <v>0</v>
      </c>
      <c r="V573" s="132">
        <v>46249</v>
      </c>
      <c r="W573" s="143">
        <f t="array" ref="W573">INDEX('[21]DETEKSI ROT 2 (2)'!$L$343:$L$622,MATCH(1,('[21]DETEKSI ROT 2 (2)'!$D$343:$D$622=$D573)*('[21]DETEKSI ROT 2 (2)'!$D$343:$D$622=$D573),0))</f>
        <v>220</v>
      </c>
      <c r="X573" s="143">
        <f t="array" ref="X573">INDEX('[21]DETEKSI ROT 2 (2)'!$M$343:$M$622,MATCH(1,('[21]DETEKSI ROT 2 (2)'!$D$343:$D$622=$D573)*('[21]DETEKSI ROT 2 (2)'!$D$343:$D$622=$D573),0))</f>
        <v>6</v>
      </c>
      <c r="Y573" s="9">
        <f t="shared" si="87"/>
        <v>2.7272727272727271</v>
      </c>
      <c r="Z573" s="8" t="str">
        <f t="array" ref="Z573">IF(Y573&gt;5,"Perlu Sensus",IF(AND(Y573&gt;0,,O573&gt;0),"Tetap Deteksi","Belum Deteksi"))</f>
        <v>Belum Deteksi</v>
      </c>
      <c r="AA573" s="203"/>
      <c r="AB573" s="9">
        <f t="shared" si="81"/>
        <v>0</v>
      </c>
    </row>
    <row r="574" spans="1:28" x14ac:dyDescent="0.15">
      <c r="A574" s="8" t="s">
        <v>322</v>
      </c>
      <c r="B574" s="8" t="s">
        <v>107</v>
      </c>
      <c r="C574" s="8" t="s">
        <v>582</v>
      </c>
      <c r="D574" s="8" t="s">
        <v>601</v>
      </c>
      <c r="E574" s="8">
        <v>38.49</v>
      </c>
      <c r="F574" s="8" t="s">
        <v>132</v>
      </c>
      <c r="G574" s="10">
        <v>5672</v>
      </c>
      <c r="H574" s="132">
        <f t="shared" si="82"/>
        <v>46249</v>
      </c>
      <c r="I574" s="140">
        <f t="shared" si="83"/>
        <v>326</v>
      </c>
      <c r="J574" s="9">
        <f t="shared" si="84"/>
        <v>5.7475317348377999</v>
      </c>
      <c r="K574" s="140">
        <f t="shared" si="85"/>
        <v>16</v>
      </c>
      <c r="L574" s="206">
        <f t="shared" si="86"/>
        <v>4.9079754601226995</v>
      </c>
      <c r="M574" s="8" t="str">
        <f t="array" ref="M574">IF(L574&gt;5,"Perlu Sensus",IF(AND(L574&gt;=0,I574&gt;0),"Tetap Deteksi","Belum Deteksi"))</f>
        <v>Tetap Deteksi</v>
      </c>
      <c r="N574" s="132">
        <v>46249</v>
      </c>
      <c r="O574" s="143">
        <f t="array" ref="O574">INDEX('[21]DETEKSI ROT 2 (2)'!$G$343:$G$622,MATCH(1,('[21]DETEKSI ROT 2 (2)'!$D$343:$D$622=$D574)*('[21]DETEKSI ROT 2 (2)'!$D$343:$D$622=$D574),0))</f>
        <v>326</v>
      </c>
      <c r="P574" s="9">
        <f t="array" ref="P574">IFERROR(O574/G574*100,0)</f>
        <v>5.7475317348377999</v>
      </c>
      <c r="Q574" s="143">
        <f t="array" ref="Q574">INDEX('[21]DETEKSI ROT 2 (2)'!$I$343:$I$622,MATCH(1,('[21]DETEKSI ROT 2 (2)'!$D$343:$D$622=$D574)*('[21]DETEKSI ROT 2 (2)'!$D$343:$D$622=$D574),0))</f>
        <v>16</v>
      </c>
      <c r="R574" s="9">
        <f t="shared" si="79"/>
        <v>4.9079754601226995</v>
      </c>
      <c r="S574" s="8" t="str">
        <f t="array" ref="S574">IF(R574&gt;5,"Perlu Sensus",IF(AND(R574&gt;=0,O574&gt;0),"Tetap Deteksi","Belum Deteksi"))</f>
        <v>Tetap Deteksi</v>
      </c>
      <c r="T574" s="203"/>
      <c r="U574" s="9">
        <f t="shared" si="80"/>
        <v>0</v>
      </c>
      <c r="V574" s="132">
        <v>46249</v>
      </c>
      <c r="W574" s="143">
        <f t="array" ref="W574">INDEX('[21]DETEKSI ROT 2 (2)'!$L$343:$L$622,MATCH(1,('[21]DETEKSI ROT 2 (2)'!$D$343:$D$622=$D574)*('[21]DETEKSI ROT 2 (2)'!$D$343:$D$622=$D574),0))</f>
        <v>71</v>
      </c>
      <c r="X574" s="143">
        <f t="array" ref="X574">INDEX('[21]DETEKSI ROT 2 (2)'!$M$343:$M$622,MATCH(1,('[21]DETEKSI ROT 2 (2)'!$D$343:$D$622=$D574)*('[21]DETEKSI ROT 2 (2)'!$D$343:$D$622=$D574),0))</f>
        <v>2</v>
      </c>
      <c r="Y574" s="9">
        <f t="shared" si="87"/>
        <v>2.8169014084507045</v>
      </c>
      <c r="Z574" s="8" t="str">
        <f t="array" ref="Z574">IF(Y574&gt;5,"Perlu Sensus",IF(AND(Y574&gt;0,,O574&gt;0),"Tetap Deteksi","Belum Deteksi"))</f>
        <v>Belum Deteksi</v>
      </c>
      <c r="AA574" s="203"/>
      <c r="AB574" s="9">
        <f t="shared" si="81"/>
        <v>0</v>
      </c>
    </row>
    <row r="575" spans="1:28" x14ac:dyDescent="0.15">
      <c r="A575" s="8" t="s">
        <v>322</v>
      </c>
      <c r="B575" s="8" t="s">
        <v>107</v>
      </c>
      <c r="C575" s="8" t="s">
        <v>582</v>
      </c>
      <c r="D575" s="8" t="s">
        <v>602</v>
      </c>
      <c r="E575" s="8">
        <v>29.58</v>
      </c>
      <c r="F575" s="8" t="s">
        <v>132</v>
      </c>
      <c r="G575" s="10">
        <v>4157</v>
      </c>
      <c r="H575" s="132">
        <f t="shared" si="82"/>
        <v>46249</v>
      </c>
      <c r="I575" s="140">
        <f t="shared" si="83"/>
        <v>427</v>
      </c>
      <c r="J575" s="9">
        <f t="shared" si="84"/>
        <v>10.271830647101275</v>
      </c>
      <c r="K575" s="140">
        <f t="shared" si="85"/>
        <v>8</v>
      </c>
      <c r="L575" s="206">
        <f t="shared" si="86"/>
        <v>1.873536299765808</v>
      </c>
      <c r="M575" s="8" t="str">
        <f t="array" ref="M575">IF(L575&gt;5,"Perlu Sensus",IF(AND(L575&gt;=0,I575&gt;0),"Tetap Deteksi","Belum Deteksi"))</f>
        <v>Tetap Deteksi</v>
      </c>
      <c r="N575" s="132">
        <v>46249</v>
      </c>
      <c r="O575" s="143">
        <f t="array" ref="O575">INDEX('[21]DETEKSI ROT 2 (2)'!$G$343:$G$622,MATCH(1,('[21]DETEKSI ROT 2 (2)'!$D$343:$D$622=$D575)*('[21]DETEKSI ROT 2 (2)'!$D$343:$D$622=$D575),0))</f>
        <v>427</v>
      </c>
      <c r="P575" s="9">
        <f t="array" ref="P575">IFERROR(O575/G575*100,0)</f>
        <v>10.271830647101275</v>
      </c>
      <c r="Q575" s="143">
        <f t="array" ref="Q575">INDEX('[21]DETEKSI ROT 2 (2)'!$I$343:$I$622,MATCH(1,('[21]DETEKSI ROT 2 (2)'!$D$343:$D$622=$D575)*('[21]DETEKSI ROT 2 (2)'!$D$343:$D$622=$D575),0))</f>
        <v>8</v>
      </c>
      <c r="R575" s="9">
        <f t="shared" si="79"/>
        <v>1.873536299765808</v>
      </c>
      <c r="S575" s="8" t="str">
        <f t="array" ref="S575">IF(R575&gt;5,"Perlu Sensus",IF(AND(R575&gt;=0,O575&gt;0),"Tetap Deteksi","Belum Deteksi"))</f>
        <v>Tetap Deteksi</v>
      </c>
      <c r="T575" s="203"/>
      <c r="U575" s="9">
        <f t="shared" si="80"/>
        <v>0</v>
      </c>
      <c r="V575" s="132">
        <v>46249</v>
      </c>
      <c r="W575" s="143">
        <f t="array" ref="W575">INDEX('[21]DETEKSI ROT 2 (2)'!$L$343:$L$622,MATCH(1,('[21]DETEKSI ROT 2 (2)'!$D$343:$D$622=$D575)*('[21]DETEKSI ROT 2 (2)'!$D$343:$D$622=$D575),0))</f>
        <v>95</v>
      </c>
      <c r="X575" s="143">
        <f t="array" ref="X575">INDEX('[21]DETEKSI ROT 2 (2)'!$M$343:$M$622,MATCH(1,('[21]DETEKSI ROT 2 (2)'!$D$343:$D$622=$D575)*('[21]DETEKSI ROT 2 (2)'!$D$343:$D$622=$D575),0))</f>
        <v>3</v>
      </c>
      <c r="Y575" s="9">
        <f t="shared" si="87"/>
        <v>3.1578947368421053</v>
      </c>
      <c r="Z575" s="8" t="str">
        <f t="array" ref="Z575">IF(Y575&gt;5,"Perlu Sensus",IF(AND(Y575&gt;0,,O575&gt;0),"Tetap Deteksi","Belum Deteksi"))</f>
        <v>Belum Deteksi</v>
      </c>
      <c r="AA575" s="203"/>
      <c r="AB575" s="9">
        <f t="shared" si="81"/>
        <v>0</v>
      </c>
    </row>
    <row r="576" spans="1:28" x14ac:dyDescent="0.15">
      <c r="A576" s="8" t="s">
        <v>322</v>
      </c>
      <c r="B576" s="8" t="s">
        <v>107</v>
      </c>
      <c r="C576" s="8" t="s">
        <v>582</v>
      </c>
      <c r="D576" s="8" t="s">
        <v>603</v>
      </c>
      <c r="E576" s="8">
        <v>36.049999999999997</v>
      </c>
      <c r="F576" s="8" t="s">
        <v>132</v>
      </c>
      <c r="G576" s="10">
        <v>5251</v>
      </c>
      <c r="H576" s="132">
        <f t="shared" si="82"/>
        <v>46249</v>
      </c>
      <c r="I576" s="140">
        <f t="shared" si="83"/>
        <v>484</v>
      </c>
      <c r="J576" s="9">
        <f t="shared" si="84"/>
        <v>9.217291944391544</v>
      </c>
      <c r="K576" s="140">
        <f t="shared" si="85"/>
        <v>15</v>
      </c>
      <c r="L576" s="206">
        <f t="shared" si="86"/>
        <v>3.0991735537190084</v>
      </c>
      <c r="M576" s="8" t="str">
        <f t="array" ref="M576">IF(L576&gt;5,"Perlu Sensus",IF(AND(L576&gt;=0,I576&gt;0),"Tetap Deteksi","Belum Deteksi"))</f>
        <v>Tetap Deteksi</v>
      </c>
      <c r="N576" s="132">
        <v>46249</v>
      </c>
      <c r="O576" s="143">
        <f t="array" ref="O576">INDEX('[21]DETEKSI ROT 2 (2)'!$G$343:$G$622,MATCH(1,('[21]DETEKSI ROT 2 (2)'!$D$343:$D$622=$D576)*('[21]DETEKSI ROT 2 (2)'!$D$343:$D$622=$D576),0))</f>
        <v>484</v>
      </c>
      <c r="P576" s="9">
        <f t="array" ref="P576">IFERROR(O576/G576*100,0)</f>
        <v>9.217291944391544</v>
      </c>
      <c r="Q576" s="143">
        <f t="array" ref="Q576">INDEX('[21]DETEKSI ROT 2 (2)'!$I$343:$I$622,MATCH(1,('[21]DETEKSI ROT 2 (2)'!$D$343:$D$622=$D576)*('[21]DETEKSI ROT 2 (2)'!$D$343:$D$622=$D576),0))</f>
        <v>15</v>
      </c>
      <c r="R576" s="9">
        <f t="shared" si="79"/>
        <v>3.0991735537190084</v>
      </c>
      <c r="S576" s="8" t="str">
        <f t="array" ref="S576">IF(R576&gt;5,"Perlu Sensus",IF(AND(R576&gt;=0,O576&gt;0),"Tetap Deteksi","Belum Deteksi"))</f>
        <v>Tetap Deteksi</v>
      </c>
      <c r="T576" s="203"/>
      <c r="U576" s="9">
        <f t="shared" si="80"/>
        <v>0</v>
      </c>
      <c r="V576" s="132">
        <v>46249</v>
      </c>
      <c r="W576" s="143">
        <f t="array" ref="W576">INDEX('[21]DETEKSI ROT 2 (2)'!$L$343:$L$622,MATCH(1,('[21]DETEKSI ROT 2 (2)'!$D$343:$D$622=$D576)*('[21]DETEKSI ROT 2 (2)'!$D$343:$D$622=$D576),0))</f>
        <v>302</v>
      </c>
      <c r="X576" s="143">
        <f t="array" ref="X576">INDEX('[21]DETEKSI ROT 2 (2)'!$M$343:$M$622,MATCH(1,('[21]DETEKSI ROT 2 (2)'!$D$343:$D$622=$D576)*('[21]DETEKSI ROT 2 (2)'!$D$343:$D$622=$D576),0))</f>
        <v>7</v>
      </c>
      <c r="Y576" s="9">
        <f t="shared" si="87"/>
        <v>2.3178807947019866</v>
      </c>
      <c r="Z576" s="8" t="str">
        <f t="array" ref="Z576">IF(Y576&gt;5,"Perlu Sensus",IF(AND(Y576&gt;0,,O576&gt;0),"Tetap Deteksi","Belum Deteksi"))</f>
        <v>Belum Deteksi</v>
      </c>
      <c r="AA576" s="203"/>
      <c r="AB576" s="9">
        <f t="shared" si="81"/>
        <v>0</v>
      </c>
    </row>
    <row r="577" spans="1:28" x14ac:dyDescent="0.15">
      <c r="A577" s="8" t="s">
        <v>322</v>
      </c>
      <c r="B577" s="8" t="s">
        <v>107</v>
      </c>
      <c r="C577" s="8" t="s">
        <v>582</v>
      </c>
      <c r="D577" s="8" t="s">
        <v>604</v>
      </c>
      <c r="E577" s="8">
        <v>35.11</v>
      </c>
      <c r="F577" s="8" t="s">
        <v>132</v>
      </c>
      <c r="G577" s="10">
        <v>4880</v>
      </c>
      <c r="H577" s="132">
        <f t="shared" si="82"/>
        <v>46249</v>
      </c>
      <c r="I577" s="140">
        <f t="shared" si="83"/>
        <v>454</v>
      </c>
      <c r="J577" s="9">
        <f t="shared" si="84"/>
        <v>9.3032786885245891</v>
      </c>
      <c r="K577" s="140">
        <f t="shared" si="85"/>
        <v>12</v>
      </c>
      <c r="L577" s="206">
        <f t="shared" si="86"/>
        <v>2.643171806167401</v>
      </c>
      <c r="M577" s="8" t="str">
        <f t="array" ref="M577">IF(L577&gt;5,"Perlu Sensus",IF(AND(L577&gt;=0,I577&gt;0),"Tetap Deteksi","Belum Deteksi"))</f>
        <v>Tetap Deteksi</v>
      </c>
      <c r="N577" s="132">
        <v>46249</v>
      </c>
      <c r="O577" s="143">
        <f t="array" ref="O577">INDEX('[21]DETEKSI ROT 2 (2)'!$G$343:$G$622,MATCH(1,('[21]DETEKSI ROT 2 (2)'!$D$343:$D$622=$D577)*('[21]DETEKSI ROT 2 (2)'!$D$343:$D$622=$D577),0))</f>
        <v>454</v>
      </c>
      <c r="P577" s="9">
        <f t="array" ref="P577">IFERROR(O577/G577*100,0)</f>
        <v>9.3032786885245891</v>
      </c>
      <c r="Q577" s="143">
        <f t="array" ref="Q577">INDEX('[21]DETEKSI ROT 2 (2)'!$I$343:$I$622,MATCH(1,('[21]DETEKSI ROT 2 (2)'!$D$343:$D$622=$D577)*('[21]DETEKSI ROT 2 (2)'!$D$343:$D$622=$D577),0))</f>
        <v>12</v>
      </c>
      <c r="R577" s="9">
        <f t="shared" si="79"/>
        <v>2.643171806167401</v>
      </c>
      <c r="S577" s="8" t="str">
        <f t="array" ref="S577">IF(R577&gt;5,"Perlu Sensus",IF(AND(R577&gt;=0,O577&gt;0),"Tetap Deteksi","Belum Deteksi"))</f>
        <v>Tetap Deteksi</v>
      </c>
      <c r="T577" s="203"/>
      <c r="U577" s="9">
        <f t="shared" si="80"/>
        <v>0</v>
      </c>
      <c r="V577" s="132">
        <v>46249</v>
      </c>
      <c r="W577" s="143">
        <f t="array" ref="W577">INDEX('[21]DETEKSI ROT 2 (2)'!$L$343:$L$622,MATCH(1,('[21]DETEKSI ROT 2 (2)'!$D$343:$D$622=$D577)*('[21]DETEKSI ROT 2 (2)'!$D$343:$D$622=$D577),0))</f>
        <v>132</v>
      </c>
      <c r="X577" s="143">
        <f t="array" ref="X577">INDEX('[21]DETEKSI ROT 2 (2)'!$M$343:$M$622,MATCH(1,('[21]DETEKSI ROT 2 (2)'!$D$343:$D$622=$D577)*('[21]DETEKSI ROT 2 (2)'!$D$343:$D$622=$D577),0))</f>
        <v>6</v>
      </c>
      <c r="Y577" s="9">
        <f t="shared" si="87"/>
        <v>4.5454545454545459</v>
      </c>
      <c r="Z577" s="8" t="str">
        <f t="array" ref="Z577">IF(Y577&gt;5,"Perlu Sensus",IF(AND(Y577&gt;0,,O577&gt;0),"Tetap Deteksi","Belum Deteksi"))</f>
        <v>Belum Deteksi</v>
      </c>
      <c r="AA577" s="203"/>
      <c r="AB577" s="9">
        <f t="shared" si="81"/>
        <v>0</v>
      </c>
    </row>
    <row r="578" spans="1:28" x14ac:dyDescent="0.15">
      <c r="A578" s="8" t="s">
        <v>322</v>
      </c>
      <c r="B578" s="8" t="s">
        <v>107</v>
      </c>
      <c r="C578" s="8" t="s">
        <v>582</v>
      </c>
      <c r="D578" s="8" t="s">
        <v>605</v>
      </c>
      <c r="E578" s="8">
        <v>35.39</v>
      </c>
      <c r="F578" s="8" t="s">
        <v>132</v>
      </c>
      <c r="G578" s="10">
        <v>5322</v>
      </c>
      <c r="H578" s="132">
        <f t="shared" si="82"/>
        <v>46249</v>
      </c>
      <c r="I578" s="140">
        <f t="shared" si="83"/>
        <v>476</v>
      </c>
      <c r="J578" s="9">
        <f t="shared" si="84"/>
        <v>8.9440060127771517</v>
      </c>
      <c r="K578" s="140">
        <f t="shared" si="85"/>
        <v>9.9999999999999995E-8</v>
      </c>
      <c r="L578" s="206">
        <f t="shared" si="86"/>
        <v>2.1008403361344538E-8</v>
      </c>
      <c r="M578" s="8" t="str">
        <f t="array" ref="M578">IF(L578&gt;5,"Perlu Sensus",IF(AND(L578&gt;=0,I578&gt;0),"Tetap Deteksi","Belum Deteksi"))</f>
        <v>Tetap Deteksi</v>
      </c>
      <c r="N578" s="132">
        <v>46249</v>
      </c>
      <c r="O578" s="143">
        <f t="array" ref="O578">INDEX('[21]DETEKSI ROT 2 (2)'!$G$343:$G$622,MATCH(1,('[21]DETEKSI ROT 2 (2)'!$D$343:$D$622=$D578)*('[21]DETEKSI ROT 2 (2)'!$D$343:$D$622=$D578),0))</f>
        <v>476</v>
      </c>
      <c r="P578" s="9">
        <f t="array" ref="P578">IFERROR(O578/G578*100,0)</f>
        <v>8.9440060127771517</v>
      </c>
      <c r="Q578" s="140">
        <v>9.9999999999999995E-8</v>
      </c>
      <c r="R578" s="9">
        <f t="shared" si="79"/>
        <v>2.1008403361344538E-8</v>
      </c>
      <c r="S578" s="8" t="str">
        <f t="array" ref="S578">IF(R578&gt;5,"Perlu Sensus",IF(AND(R578&gt;=0,O578&gt;0),"Tetap Deteksi","Belum Deteksi"))</f>
        <v>Tetap Deteksi</v>
      </c>
      <c r="T578" s="203"/>
      <c r="U578" s="9">
        <f t="shared" si="80"/>
        <v>0</v>
      </c>
      <c r="V578" s="132">
        <v>46249</v>
      </c>
      <c r="W578" s="143">
        <f t="array" ref="W578">INDEX('[21]DETEKSI ROT 2 (2)'!$L$343:$L$622,MATCH(1,('[21]DETEKSI ROT 2 (2)'!$D$343:$D$622=$D578)*('[21]DETEKSI ROT 2 (2)'!$D$343:$D$622=$D578),0))</f>
        <v>35</v>
      </c>
      <c r="X578" s="143">
        <f t="array" ref="X578">INDEX('[21]DETEKSI ROT 2 (2)'!$M$343:$M$622,MATCH(1,('[21]DETEKSI ROT 2 (2)'!$D$343:$D$622=$D578)*('[21]DETEKSI ROT 2 (2)'!$D$343:$D$622=$D578),0))</f>
        <v>1</v>
      </c>
      <c r="Y578" s="9">
        <f t="shared" si="87"/>
        <v>2.8571428571428572</v>
      </c>
      <c r="Z578" s="8" t="str">
        <f t="array" ref="Z578">IF(Y578&gt;5,"Perlu Sensus",IF(AND(Y578&gt;0,,O578&gt;0),"Tetap Deteksi","Belum Deteksi"))</f>
        <v>Belum Deteksi</v>
      </c>
      <c r="AA578" s="203"/>
      <c r="AB578" s="9">
        <f t="shared" si="81"/>
        <v>0</v>
      </c>
    </row>
    <row r="579" spans="1:28" outlineLevel="1" x14ac:dyDescent="0.15">
      <c r="A579" s="8" t="s">
        <v>322</v>
      </c>
      <c r="B579" s="8" t="s">
        <v>107</v>
      </c>
      <c r="C579" s="8" t="s">
        <v>582</v>
      </c>
      <c r="D579" s="8" t="s">
        <v>606</v>
      </c>
      <c r="E579" s="8">
        <v>29.34</v>
      </c>
      <c r="F579" s="8" t="s">
        <v>132</v>
      </c>
      <c r="G579" s="10">
        <v>3560</v>
      </c>
      <c r="H579" s="132">
        <f t="shared" si="82"/>
        <v>46249</v>
      </c>
      <c r="I579" s="140">
        <f t="shared" si="83"/>
        <v>396</v>
      </c>
      <c r="J579" s="9">
        <f t="shared" si="84"/>
        <v>11.123595505617978</v>
      </c>
      <c r="K579" s="140">
        <f t="shared" si="85"/>
        <v>1</v>
      </c>
      <c r="L579" s="206">
        <f t="shared" si="86"/>
        <v>0.25252525252525254</v>
      </c>
      <c r="M579" s="8" t="str">
        <f t="array" ref="M579">IF(L579&gt;5,"Perlu Sensus",IF(AND(L579&gt;=0,I579&gt;0),"Tetap Deteksi","Belum Deteksi"))</f>
        <v>Tetap Deteksi</v>
      </c>
      <c r="N579" s="132">
        <v>46249</v>
      </c>
      <c r="O579" s="143">
        <f t="array" ref="O579">INDEX('[21]DETEKSI ROT 2 (2)'!$G$343:$G$622,MATCH(1,('[21]DETEKSI ROT 2 (2)'!$D$343:$D$622=$D579)*('[21]DETEKSI ROT 2 (2)'!$D$343:$D$622=$D579),0))</f>
        <v>396</v>
      </c>
      <c r="P579" s="9">
        <f t="array" ref="P579">IFERROR(O579/G579*100,0)</f>
        <v>11.123595505617978</v>
      </c>
      <c r="Q579" s="143">
        <f t="array" ref="Q579">INDEX('[21]DETEKSI ROT 2 (2)'!$I$343:$I$622,MATCH(1,('[21]DETEKSI ROT 2 (2)'!$D$343:$D$622=$D579)*('[21]DETEKSI ROT 2 (2)'!$D$343:$D$622=$D579),0))</f>
        <v>1</v>
      </c>
      <c r="R579" s="9">
        <f t="shared" si="79"/>
        <v>0.25252525252525254</v>
      </c>
      <c r="S579" s="8" t="str">
        <f t="array" ref="S579">IF(R579&gt;5,"Perlu Sensus",IF(AND(R579&gt;=0,O579&gt;0),"Tetap Deteksi","Belum Deteksi"))</f>
        <v>Tetap Deteksi</v>
      </c>
      <c r="T579" s="203"/>
      <c r="U579" s="9">
        <f t="shared" si="80"/>
        <v>0</v>
      </c>
      <c r="V579" s="132">
        <v>46249</v>
      </c>
      <c r="W579" s="143">
        <f t="array" ref="W579">INDEX('[21]DETEKSI ROT 2 (2)'!$L$343:$L$622,MATCH(1,('[21]DETEKSI ROT 2 (2)'!$D$343:$D$622=$D579)*('[21]DETEKSI ROT 2 (2)'!$D$343:$D$622=$D579),0))</f>
        <v>123</v>
      </c>
      <c r="X579" s="143">
        <f t="array" ref="X579">INDEX('[21]DETEKSI ROT 2 (2)'!$M$343:$M$622,MATCH(1,('[21]DETEKSI ROT 2 (2)'!$D$343:$D$622=$D579)*('[21]DETEKSI ROT 2 (2)'!$D$343:$D$622=$D579),0))</f>
        <v>2</v>
      </c>
      <c r="Y579" s="9">
        <f t="shared" si="87"/>
        <v>1.6260162601626018</v>
      </c>
      <c r="Z579" s="8" t="str">
        <f t="array" ref="Z579">IF(Y579&gt;5,"Perlu Sensus",IF(AND(Y579&gt;0,,O579&gt;0),"Tetap Deteksi","Belum Deteksi"))</f>
        <v>Belum Deteksi</v>
      </c>
      <c r="AA579" s="203"/>
      <c r="AB579" s="9">
        <f t="shared" si="81"/>
        <v>0</v>
      </c>
    </row>
    <row r="580" spans="1:28" outlineLevel="1" x14ac:dyDescent="0.15">
      <c r="A580" s="8" t="s">
        <v>322</v>
      </c>
      <c r="B580" s="8" t="s">
        <v>107</v>
      </c>
      <c r="C580" s="8" t="s">
        <v>582</v>
      </c>
      <c r="D580" s="8" t="s">
        <v>607</v>
      </c>
      <c r="E580" s="8">
        <v>25.23</v>
      </c>
      <c r="F580" s="8" t="s">
        <v>132</v>
      </c>
      <c r="G580" s="10">
        <v>3204</v>
      </c>
      <c r="H580" s="132">
        <f t="shared" si="82"/>
        <v>46249</v>
      </c>
      <c r="I580" s="140">
        <f t="shared" si="83"/>
        <v>546</v>
      </c>
      <c r="J580" s="9">
        <f t="shared" si="84"/>
        <v>17.04119850187266</v>
      </c>
      <c r="K580" s="140">
        <f t="shared" si="85"/>
        <v>7</v>
      </c>
      <c r="L580" s="206">
        <f t="shared" si="86"/>
        <v>1.2820512820512819</v>
      </c>
      <c r="M580" s="8" t="str">
        <f t="array" ref="M580">IF(L580&gt;5,"Perlu Sensus",IF(AND(L580&gt;=0,I580&gt;0),"Tetap Deteksi","Belum Deteksi"))</f>
        <v>Tetap Deteksi</v>
      </c>
      <c r="N580" s="132">
        <v>46249</v>
      </c>
      <c r="O580" s="143">
        <f t="array" ref="O580">INDEX('[21]DETEKSI ROT 2 (2)'!$G$343:$G$622,MATCH(1,('[21]DETEKSI ROT 2 (2)'!$D$343:$D$622=$D580)*('[21]DETEKSI ROT 2 (2)'!$D$343:$D$622=$D580),0))</f>
        <v>546</v>
      </c>
      <c r="P580" s="9">
        <f t="array" ref="P580">IFERROR(O580/G580*100,0)</f>
        <v>17.04119850187266</v>
      </c>
      <c r="Q580" s="143">
        <f t="array" ref="Q580">INDEX('[21]DETEKSI ROT 2 (2)'!$I$343:$I$622,MATCH(1,('[21]DETEKSI ROT 2 (2)'!$D$343:$D$622=$D580)*('[21]DETEKSI ROT 2 (2)'!$D$343:$D$622=$D580),0))</f>
        <v>7</v>
      </c>
      <c r="R580" s="9">
        <f t="shared" si="79"/>
        <v>1.2820512820512819</v>
      </c>
      <c r="S580" s="8" t="str">
        <f t="array" ref="S580">IF(R580&gt;5,"Perlu Sensus",IF(AND(R580&gt;=0,O580&gt;0),"Tetap Deteksi","Belum Deteksi"))</f>
        <v>Tetap Deteksi</v>
      </c>
      <c r="T580" s="203"/>
      <c r="U580" s="9">
        <f t="shared" si="80"/>
        <v>0</v>
      </c>
      <c r="V580" s="132">
        <v>46249</v>
      </c>
      <c r="W580" s="143">
        <f t="array" ref="W580">INDEX('[21]DETEKSI ROT 2 (2)'!$L$343:$L$622,MATCH(1,('[21]DETEKSI ROT 2 (2)'!$D$343:$D$622=$D580)*('[21]DETEKSI ROT 2 (2)'!$D$343:$D$622=$D580),0))</f>
        <v>40</v>
      </c>
      <c r="X580" s="143">
        <f t="array" ref="X580">INDEX('[21]DETEKSI ROT 2 (2)'!$M$343:$M$622,MATCH(1,('[21]DETEKSI ROT 2 (2)'!$D$343:$D$622=$D580)*('[21]DETEKSI ROT 2 (2)'!$D$343:$D$622=$D580),0))</f>
        <v>2</v>
      </c>
      <c r="Y580" s="9">
        <f t="shared" si="87"/>
        <v>5</v>
      </c>
      <c r="Z580" s="8" t="str">
        <f t="array" ref="Z580">IF(Y580&gt;5,"Perlu Sensus",IF(AND(Y580&gt;0,,O580&gt;0),"Tetap Deteksi","Belum Deteksi"))</f>
        <v>Belum Deteksi</v>
      </c>
      <c r="AA580" s="203"/>
      <c r="AB580" s="9">
        <f t="shared" si="81"/>
        <v>0</v>
      </c>
    </row>
    <row r="581" spans="1:28" outlineLevel="1" x14ac:dyDescent="0.15">
      <c r="A581" s="8" t="s">
        <v>322</v>
      </c>
      <c r="B581" s="8" t="s">
        <v>107</v>
      </c>
      <c r="C581" s="8" t="s">
        <v>582</v>
      </c>
      <c r="D581" s="8" t="s">
        <v>608</v>
      </c>
      <c r="E581" s="8">
        <v>24.99</v>
      </c>
      <c r="F581" s="8" t="s">
        <v>132</v>
      </c>
      <c r="G581" s="10">
        <v>3041</v>
      </c>
      <c r="H581" s="132">
        <f t="shared" si="82"/>
        <v>46249</v>
      </c>
      <c r="I581" s="140">
        <f t="shared" si="83"/>
        <v>744</v>
      </c>
      <c r="J581" s="9">
        <f t="shared" si="84"/>
        <v>24.465636303847418</v>
      </c>
      <c r="K581" s="140">
        <f t="shared" si="85"/>
        <v>22</v>
      </c>
      <c r="L581" s="206">
        <f t="shared" si="86"/>
        <v>2.956989247311828</v>
      </c>
      <c r="M581" s="8" t="str">
        <f t="array" ref="M581">IF(L581&gt;5,"Perlu Sensus",IF(AND(L581&gt;=0,I581&gt;0),"Tetap Deteksi","Belum Deteksi"))</f>
        <v>Tetap Deteksi</v>
      </c>
      <c r="N581" s="132">
        <v>46249</v>
      </c>
      <c r="O581" s="143">
        <f t="array" ref="O581">INDEX('[21]DETEKSI ROT 2 (2)'!$G$343:$G$622,MATCH(1,('[21]DETEKSI ROT 2 (2)'!$D$343:$D$622=$D581)*('[21]DETEKSI ROT 2 (2)'!$D$343:$D$622=$D581),0))</f>
        <v>744</v>
      </c>
      <c r="P581" s="9">
        <f t="array" ref="P581">IFERROR(O581/G581*100,0)</f>
        <v>24.465636303847418</v>
      </c>
      <c r="Q581" s="143">
        <f t="array" ref="Q581">INDEX('[21]DETEKSI ROT 2 (2)'!$I$343:$I$622,MATCH(1,('[21]DETEKSI ROT 2 (2)'!$D$343:$D$622=$D581)*('[21]DETEKSI ROT 2 (2)'!$D$343:$D$622=$D581),0))</f>
        <v>22</v>
      </c>
      <c r="R581" s="9">
        <f t="shared" si="79"/>
        <v>2.956989247311828</v>
      </c>
      <c r="S581" s="8" t="str">
        <f t="array" ref="S581">IF(R581&gt;5,"Perlu Sensus",IF(AND(R581&gt;=0,O581&gt;0),"Tetap Deteksi","Belum Deteksi"))</f>
        <v>Tetap Deteksi</v>
      </c>
      <c r="T581" s="203"/>
      <c r="U581" s="9">
        <f t="shared" si="80"/>
        <v>0</v>
      </c>
      <c r="V581" s="132">
        <v>46249</v>
      </c>
      <c r="W581" s="143">
        <f t="array" ref="W581">INDEX('[21]DETEKSI ROT 2 (2)'!$L$343:$L$622,MATCH(1,('[21]DETEKSI ROT 2 (2)'!$D$343:$D$622=$D581)*('[21]DETEKSI ROT 2 (2)'!$D$343:$D$622=$D581),0))</f>
        <v>56</v>
      </c>
      <c r="X581" s="143">
        <f t="array" ref="X581">INDEX('[21]DETEKSI ROT 2 (2)'!$M$343:$M$622,MATCH(1,('[21]DETEKSI ROT 2 (2)'!$D$343:$D$622=$D581)*('[21]DETEKSI ROT 2 (2)'!$D$343:$D$622=$D581),0))</f>
        <v>1</v>
      </c>
      <c r="Y581" s="9">
        <f t="shared" si="87"/>
        <v>1.7857142857142856</v>
      </c>
      <c r="Z581" s="8" t="str">
        <f t="array" ref="Z581">IF(Y581&gt;5,"Perlu Sensus",IF(AND(Y581&gt;0,,O581&gt;0),"Tetap Deteksi","Belum Deteksi"))</f>
        <v>Belum Deteksi</v>
      </c>
      <c r="AA581" s="203"/>
      <c r="AB581" s="9">
        <f t="shared" si="81"/>
        <v>0</v>
      </c>
    </row>
    <row r="582" spans="1:28" outlineLevel="1" x14ac:dyDescent="0.15">
      <c r="A582" s="8" t="s">
        <v>322</v>
      </c>
      <c r="B582" s="8" t="s">
        <v>107</v>
      </c>
      <c r="C582" s="8" t="s">
        <v>582</v>
      </c>
      <c r="D582" s="8" t="s">
        <v>609</v>
      </c>
      <c r="E582" s="8">
        <v>26.27</v>
      </c>
      <c r="F582" s="8" t="s">
        <v>132</v>
      </c>
      <c r="G582" s="10">
        <v>3549</v>
      </c>
      <c r="H582" s="132">
        <f t="shared" si="82"/>
        <v>46249</v>
      </c>
      <c r="I582" s="140">
        <f t="shared" si="83"/>
        <v>720</v>
      </c>
      <c r="J582" s="9">
        <f t="shared" si="84"/>
        <v>20.287404902789518</v>
      </c>
      <c r="K582" s="140">
        <f t="shared" si="85"/>
        <v>27</v>
      </c>
      <c r="L582" s="206">
        <f t="shared" si="86"/>
        <v>3.75</v>
      </c>
      <c r="M582" s="8" t="str">
        <f t="array" ref="M582">IF(L582&gt;5,"Perlu Sensus",IF(AND(L582&gt;=0,I582&gt;0),"Tetap Deteksi","Belum Deteksi"))</f>
        <v>Tetap Deteksi</v>
      </c>
      <c r="N582" s="132">
        <v>46249</v>
      </c>
      <c r="O582" s="143">
        <f t="array" ref="O582">INDEX('[21]DETEKSI ROT 2 (2)'!$G$343:$G$622,MATCH(1,('[21]DETEKSI ROT 2 (2)'!$D$343:$D$622=$D582)*('[21]DETEKSI ROT 2 (2)'!$D$343:$D$622=$D582),0))</f>
        <v>720</v>
      </c>
      <c r="P582" s="9">
        <f t="array" ref="P582">IFERROR(O582/G582*100,0)</f>
        <v>20.287404902789518</v>
      </c>
      <c r="Q582" s="143">
        <f t="array" ref="Q582">INDEX('[21]DETEKSI ROT 2 (2)'!$I$343:$I$622,MATCH(1,('[21]DETEKSI ROT 2 (2)'!$D$343:$D$622=$D582)*('[21]DETEKSI ROT 2 (2)'!$D$343:$D$622=$D582),0))</f>
        <v>27</v>
      </c>
      <c r="R582" s="9">
        <f t="shared" si="79"/>
        <v>3.75</v>
      </c>
      <c r="S582" s="8" t="str">
        <f t="array" ref="S582">IF(R582&gt;5,"Perlu Sensus",IF(AND(R582&gt;=0,O582&gt;0),"Tetap Deteksi","Belum Deteksi"))</f>
        <v>Tetap Deteksi</v>
      </c>
      <c r="T582" s="203"/>
      <c r="U582" s="9">
        <f t="shared" si="80"/>
        <v>0</v>
      </c>
      <c r="V582" s="132">
        <v>46249</v>
      </c>
      <c r="W582" s="143">
        <f t="array" ref="W582">INDEX('[21]DETEKSI ROT 2 (2)'!$L$343:$L$622,MATCH(1,('[21]DETEKSI ROT 2 (2)'!$D$343:$D$622=$D582)*('[21]DETEKSI ROT 2 (2)'!$D$343:$D$622=$D582),0))</f>
        <v>162</v>
      </c>
      <c r="X582" s="143">
        <f t="array" ref="X582">INDEX('[21]DETEKSI ROT 2 (2)'!$M$343:$M$622,MATCH(1,('[21]DETEKSI ROT 2 (2)'!$D$343:$D$622=$D582)*('[21]DETEKSI ROT 2 (2)'!$D$343:$D$622=$D582),0))</f>
        <v>8</v>
      </c>
      <c r="Y582" s="9">
        <f t="shared" si="87"/>
        <v>4.9382716049382713</v>
      </c>
      <c r="Z582" s="8" t="str">
        <f t="array" ref="Z582">IF(Y582&gt;5,"Perlu Sensus",IF(AND(Y582&gt;0,,O582&gt;0),"Tetap Deteksi","Belum Deteksi"))</f>
        <v>Belum Deteksi</v>
      </c>
      <c r="AA582" s="203"/>
      <c r="AB582" s="9">
        <f t="shared" si="81"/>
        <v>0</v>
      </c>
    </row>
    <row r="583" spans="1:28" outlineLevel="1" x14ac:dyDescent="0.15">
      <c r="A583" s="8"/>
      <c r="B583" s="8"/>
      <c r="C583" s="8"/>
      <c r="D583" s="8"/>
      <c r="E583" s="8"/>
      <c r="F583" s="8"/>
      <c r="G583" s="10"/>
      <c r="H583" s="10"/>
      <c r="I583" s="10"/>
      <c r="J583" s="10"/>
      <c r="K583" s="10"/>
      <c r="L583" s="10"/>
      <c r="M583" s="10"/>
      <c r="N583" s="11"/>
      <c r="O583" s="8"/>
      <c r="P583" s="9"/>
      <c r="Q583" s="8"/>
      <c r="R583" s="9"/>
      <c r="S583" s="8"/>
      <c r="T583" s="8"/>
      <c r="U583" s="8"/>
      <c r="V583" s="11"/>
      <c r="W583" s="8"/>
      <c r="X583" s="8"/>
      <c r="Y583" s="9">
        <f t="shared" si="87"/>
        <v>0</v>
      </c>
      <c r="Z583" s="8" t="str">
        <f t="array" ref="Z583">IF(Y583&gt;5,"Perlu Sensus",IF(AND(Y583&gt;0,,O583&gt;0),"Tetap Deteksi","Belum Deteksi"))</f>
        <v>Belum Deteksi</v>
      </c>
      <c r="AA583" s="143"/>
      <c r="AB583" s="9"/>
    </row>
    <row r="584" spans="1:28" outlineLevel="1" x14ac:dyDescent="0.15">
      <c r="A584" s="8"/>
      <c r="B584" s="8"/>
      <c r="C584" s="8"/>
      <c r="D584" s="8"/>
      <c r="E584" s="8"/>
      <c r="F584" s="8"/>
      <c r="G584" s="10"/>
      <c r="H584" s="10"/>
      <c r="I584" s="10"/>
      <c r="J584" s="10"/>
      <c r="K584" s="10"/>
      <c r="L584" s="10"/>
      <c r="M584" s="10"/>
      <c r="N584" s="11"/>
      <c r="O584" s="8"/>
      <c r="P584" s="9"/>
      <c r="Q584" s="8"/>
      <c r="R584" s="9"/>
      <c r="S584" s="8"/>
      <c r="T584" s="8"/>
      <c r="U584" s="8"/>
      <c r="V584" s="11"/>
      <c r="W584" s="8"/>
      <c r="X584" s="8"/>
      <c r="Y584" s="9">
        <f t="shared" si="87"/>
        <v>0</v>
      </c>
      <c r="Z584" s="8" t="str">
        <f t="array" ref="Z584">IF(Y584&gt;5,"Perlu Sensus",IF(AND(Y584&gt;0,,O584&gt;0),"Tetap Deteksi","Belum Deteksi"))</f>
        <v>Belum Deteksi</v>
      </c>
      <c r="AA584" s="143"/>
      <c r="AB584" s="9"/>
    </row>
    <row r="585" spans="1:28" outlineLevel="1" x14ac:dyDescent="0.15">
      <c r="A585" s="8"/>
      <c r="B585" s="8"/>
      <c r="C585" s="8"/>
      <c r="D585" s="8"/>
      <c r="E585" s="8"/>
      <c r="F585" s="8"/>
      <c r="G585" s="10"/>
      <c r="H585" s="10"/>
      <c r="I585" s="10"/>
      <c r="J585" s="10"/>
      <c r="K585" s="10"/>
      <c r="L585" s="10"/>
      <c r="M585" s="10"/>
      <c r="N585" s="11"/>
      <c r="O585" s="8"/>
      <c r="P585" s="9"/>
      <c r="Q585" s="8"/>
      <c r="R585" s="9"/>
      <c r="S585" s="8"/>
      <c r="T585" s="8"/>
      <c r="U585" s="8"/>
      <c r="V585" s="11"/>
      <c r="W585" s="8"/>
      <c r="X585" s="8"/>
      <c r="Y585" s="9">
        <f t="shared" si="87"/>
        <v>0</v>
      </c>
      <c r="Z585" s="8" t="str">
        <f t="array" ref="Z585">IF(Y585&gt;5,"Perlu Sensus",IF(AND(Y585&gt;0,,O585&gt;0),"Tetap Deteksi","Belum Deteksi"))</f>
        <v>Belum Deteksi</v>
      </c>
      <c r="AA585" s="143"/>
      <c r="AB585" s="9"/>
    </row>
    <row r="586" spans="1:28" outlineLevel="1" x14ac:dyDescent="0.15">
      <c r="A586" s="8"/>
      <c r="B586" s="8"/>
      <c r="C586" s="8"/>
      <c r="D586" s="8"/>
      <c r="E586" s="8"/>
      <c r="F586" s="8"/>
      <c r="G586" s="10"/>
      <c r="H586" s="10"/>
      <c r="I586" s="10"/>
      <c r="J586" s="10"/>
      <c r="K586" s="10"/>
      <c r="L586" s="10"/>
      <c r="M586" s="10"/>
      <c r="N586" s="11"/>
      <c r="O586" s="8"/>
      <c r="P586" s="9"/>
      <c r="Q586" s="8"/>
      <c r="R586" s="9"/>
      <c r="S586" s="8"/>
      <c r="T586" s="8"/>
      <c r="U586" s="8"/>
      <c r="V586" s="11"/>
      <c r="W586" s="8"/>
      <c r="X586" s="8"/>
      <c r="Y586" s="9">
        <f t="shared" si="87"/>
        <v>0</v>
      </c>
      <c r="Z586" s="8" t="str">
        <f t="array" ref="Z586">IF(Y586&gt;5,"Perlu Sensus",IF(AND(Y586&gt;0,,O586&gt;0),"Tetap Deteksi","Belum Deteksi"))</f>
        <v>Belum Deteksi</v>
      </c>
      <c r="AA586" s="143"/>
      <c r="AB586" s="9"/>
    </row>
    <row r="587" spans="1:28" outlineLevel="1" x14ac:dyDescent="0.15">
      <c r="A587" s="8"/>
      <c r="B587" s="8"/>
      <c r="C587" s="8"/>
      <c r="D587" s="8"/>
      <c r="E587" s="8"/>
      <c r="F587" s="8"/>
      <c r="G587" s="10"/>
      <c r="H587" s="10"/>
      <c r="I587" s="10"/>
      <c r="J587" s="10"/>
      <c r="K587" s="10"/>
      <c r="L587" s="10"/>
      <c r="M587" s="10"/>
      <c r="N587" s="11"/>
      <c r="O587" s="8"/>
      <c r="P587" s="9"/>
      <c r="Q587" s="8"/>
      <c r="R587" s="9"/>
      <c r="S587" s="8"/>
      <c r="T587" s="8"/>
      <c r="U587" s="8"/>
      <c r="V587" s="11"/>
      <c r="W587" s="8"/>
      <c r="X587" s="8"/>
      <c r="Y587" s="9">
        <f t="shared" si="87"/>
        <v>0</v>
      </c>
      <c r="Z587" s="8" t="str">
        <f t="array" ref="Z587">IF(Y587&gt;5,"Perlu Sensus",IF(AND(Y587&gt;0,,O587&gt;0),"Tetap Deteksi","Belum Deteksi"))</f>
        <v>Belum Deteksi</v>
      </c>
      <c r="AA587" s="143"/>
      <c r="AB587" s="9"/>
    </row>
    <row r="588" spans="1:28" x14ac:dyDescent="0.15">
      <c r="A588" s="8"/>
      <c r="B588" s="8"/>
      <c r="C588" s="8"/>
      <c r="D588" s="8"/>
      <c r="E588" s="8"/>
      <c r="F588" s="8"/>
      <c r="G588" s="10"/>
      <c r="H588" s="10"/>
      <c r="I588" s="10"/>
      <c r="J588" s="10"/>
      <c r="K588" s="10"/>
      <c r="L588" s="10"/>
      <c r="M588" s="10"/>
      <c r="N588" s="11"/>
      <c r="O588" s="8"/>
      <c r="P588" s="9"/>
      <c r="Q588" s="8"/>
      <c r="R588" s="9"/>
      <c r="S588" s="8"/>
      <c r="T588" s="8"/>
      <c r="U588" s="8"/>
      <c r="V588" s="11"/>
      <c r="W588" s="8"/>
      <c r="X588" s="8"/>
      <c r="Y588" s="9">
        <f t="shared" si="87"/>
        <v>0</v>
      </c>
      <c r="Z588" s="8" t="str">
        <f t="array" ref="Z588">IF(Y588&gt;5,"Perlu Sensus",IF(AND(Y588&gt;0,,O588&gt;0),"Tetap Deteksi","Belum Deteksi"))</f>
        <v>Belum Deteksi</v>
      </c>
      <c r="AA588" s="143"/>
      <c r="AB588" s="9"/>
    </row>
    <row r="589" spans="1:28" x14ac:dyDescent="0.15">
      <c r="A589" s="8"/>
      <c r="B589" s="8"/>
      <c r="C589" s="8"/>
      <c r="D589" s="8"/>
      <c r="E589" s="8"/>
      <c r="F589" s="8"/>
      <c r="G589" s="10"/>
      <c r="H589" s="10"/>
      <c r="I589" s="10"/>
      <c r="J589" s="10"/>
      <c r="K589" s="10"/>
      <c r="L589" s="10"/>
      <c r="M589" s="10"/>
      <c r="N589" s="11"/>
      <c r="O589" s="8"/>
      <c r="P589" s="9"/>
      <c r="Q589" s="8"/>
      <c r="R589" s="9"/>
      <c r="S589" s="8"/>
      <c r="T589" s="8"/>
      <c r="U589" s="8"/>
      <c r="V589" s="11"/>
      <c r="W589" s="8"/>
      <c r="X589" s="8"/>
      <c r="Y589" s="9">
        <f t="shared" si="87"/>
        <v>0</v>
      </c>
      <c r="Z589" s="8" t="str">
        <f t="array" ref="Z589">IF(Y589&gt;5,"Perlu Sensus",IF(AND(Y589&gt;0,,O589&gt;0),"Tetap Deteksi","Belum Deteksi"))</f>
        <v>Belum Deteksi</v>
      </c>
      <c r="AA589" s="143"/>
      <c r="AB589" s="9"/>
    </row>
    <row r="590" spans="1:28" x14ac:dyDescent="0.15">
      <c r="A590" s="8"/>
      <c r="B590" s="8"/>
      <c r="C590" s="8"/>
      <c r="D590" s="8"/>
      <c r="E590" s="8"/>
      <c r="F590" s="8"/>
      <c r="G590" s="10"/>
      <c r="H590" s="10"/>
      <c r="I590" s="10"/>
      <c r="J590" s="10"/>
      <c r="K590" s="10"/>
      <c r="L590" s="10"/>
      <c r="M590" s="10"/>
      <c r="N590" s="11"/>
      <c r="O590" s="8"/>
      <c r="P590" s="9"/>
      <c r="Q590" s="8"/>
      <c r="R590" s="9"/>
      <c r="S590" s="8"/>
      <c r="T590" s="8"/>
      <c r="U590" s="8"/>
      <c r="V590" s="11"/>
      <c r="W590" s="8"/>
      <c r="X590" s="8"/>
      <c r="Y590" s="9">
        <f t="shared" si="87"/>
        <v>0</v>
      </c>
      <c r="Z590" s="8" t="str">
        <f t="array" ref="Z590">IF(Y590&gt;5,"Perlu Sensus",IF(AND(Y590&gt;0,,O590&gt;0),"Tetap Deteksi","Belum Deteksi"))</f>
        <v>Belum Deteksi</v>
      </c>
      <c r="AA590" s="143"/>
      <c r="AB590" s="9"/>
    </row>
    <row r="591" spans="1:28" x14ac:dyDescent="0.15">
      <c r="A591" s="8"/>
      <c r="B591" s="8"/>
      <c r="C591" s="8"/>
      <c r="D591" s="8"/>
      <c r="E591" s="8"/>
      <c r="F591" s="8"/>
      <c r="G591" s="10"/>
      <c r="H591" s="10"/>
      <c r="I591" s="10"/>
      <c r="J591" s="10"/>
      <c r="K591" s="10"/>
      <c r="L591" s="10"/>
      <c r="M591" s="10"/>
      <c r="N591" s="11"/>
      <c r="O591" s="8"/>
      <c r="P591" s="9"/>
      <c r="Q591" s="8"/>
      <c r="R591" s="9"/>
      <c r="S591" s="8"/>
      <c r="T591" s="8"/>
      <c r="U591" s="8"/>
      <c r="V591" s="11"/>
      <c r="W591" s="8"/>
      <c r="X591" s="8"/>
      <c r="Y591" s="9">
        <f t="shared" si="87"/>
        <v>0</v>
      </c>
      <c r="Z591" s="8" t="str">
        <f t="array" ref="Z591">IF(Y591&gt;5,"Perlu Sensus",IF(AND(Y591&gt;0,,O591&gt;0),"Tetap Deteksi","Belum Deteksi"))</f>
        <v>Belum Deteksi</v>
      </c>
      <c r="AA591" s="143"/>
      <c r="AB591" s="9"/>
    </row>
    <row r="592" spans="1:28" x14ac:dyDescent="0.15">
      <c r="A592" s="8"/>
      <c r="B592" s="8"/>
      <c r="C592" s="8"/>
      <c r="D592" s="8"/>
      <c r="E592" s="8"/>
      <c r="F592" s="8"/>
      <c r="G592" s="10"/>
      <c r="H592" s="10"/>
      <c r="I592" s="10"/>
      <c r="J592" s="10"/>
      <c r="K592" s="10"/>
      <c r="L592" s="10"/>
      <c r="M592" s="10"/>
      <c r="N592" s="11"/>
      <c r="O592" s="8"/>
      <c r="P592" s="9"/>
      <c r="Q592" s="8"/>
      <c r="R592" s="9"/>
      <c r="S592" s="8"/>
      <c r="T592" s="8"/>
      <c r="U592" s="8"/>
      <c r="V592" s="11"/>
      <c r="W592" s="8"/>
      <c r="X592" s="8"/>
      <c r="Y592" s="9">
        <f t="shared" si="87"/>
        <v>0</v>
      </c>
      <c r="Z592" s="8" t="str">
        <f t="array" ref="Z592">IF(Y592&gt;5,"Perlu Sensus",IF(AND(Y592&gt;0,,O592&gt;0),"Tetap Deteksi","Belum Deteksi"))</f>
        <v>Belum Deteksi</v>
      </c>
      <c r="AA592" s="143"/>
      <c r="AB592" s="9"/>
    </row>
    <row r="593" spans="1:28" x14ac:dyDescent="0.15">
      <c r="A593" s="8"/>
      <c r="B593" s="8"/>
      <c r="C593" s="8"/>
      <c r="D593" s="8"/>
      <c r="E593" s="8"/>
      <c r="F593" s="8"/>
      <c r="G593" s="10"/>
      <c r="H593" s="10"/>
      <c r="I593" s="10"/>
      <c r="J593" s="10"/>
      <c r="K593" s="10"/>
      <c r="L593" s="10"/>
      <c r="M593" s="10"/>
      <c r="N593" s="11"/>
      <c r="O593" s="8"/>
      <c r="P593" s="9"/>
      <c r="Q593" s="8"/>
      <c r="R593" s="9"/>
      <c r="S593" s="8"/>
      <c r="T593" s="8"/>
      <c r="U593" s="8"/>
      <c r="V593" s="11"/>
      <c r="W593" s="8"/>
      <c r="X593" s="8"/>
      <c r="Y593" s="9">
        <f t="shared" si="87"/>
        <v>0</v>
      </c>
      <c r="Z593" s="8" t="str">
        <f t="array" ref="Z593">IF(Y593&gt;5,"Perlu Sensus",IF(AND(Y593&gt;0,,O593&gt;0),"Tetap Deteksi","Belum Deteksi"))</f>
        <v>Belum Deteksi</v>
      </c>
      <c r="AA593" s="143"/>
      <c r="AB593" s="9"/>
    </row>
    <row r="594" spans="1:28" x14ac:dyDescent="0.15">
      <c r="A594" s="8"/>
      <c r="B594" s="8"/>
      <c r="C594" s="8"/>
      <c r="D594" s="8"/>
      <c r="E594" s="8"/>
      <c r="F594" s="8"/>
      <c r="G594" s="10"/>
      <c r="H594" s="10"/>
      <c r="I594" s="10"/>
      <c r="J594" s="10"/>
      <c r="K594" s="10"/>
      <c r="L594" s="10"/>
      <c r="M594" s="10"/>
      <c r="N594" s="11"/>
      <c r="O594" s="8"/>
      <c r="P594" s="9"/>
      <c r="Q594" s="8"/>
      <c r="R594" s="9"/>
      <c r="S594" s="8"/>
      <c r="T594" s="8"/>
      <c r="U594" s="8"/>
      <c r="V594" s="11"/>
      <c r="W594" s="8"/>
      <c r="X594" s="8"/>
      <c r="Y594" s="9">
        <f t="shared" si="87"/>
        <v>0</v>
      </c>
      <c r="Z594" s="8" t="str">
        <f t="array" ref="Z594">IF(Y594&gt;5,"Perlu Sensus",IF(AND(Y594&gt;0,,O594&gt;0),"Tetap Deteksi","Belum Deteksi"))</f>
        <v>Belum Deteksi</v>
      </c>
      <c r="AA594" s="143"/>
      <c r="AB594" s="9"/>
    </row>
    <row r="595" spans="1:28" x14ac:dyDescent="0.15">
      <c r="A595" s="8"/>
      <c r="B595" s="8"/>
      <c r="C595" s="8"/>
      <c r="D595" s="8"/>
      <c r="E595" s="8"/>
      <c r="F595" s="8"/>
      <c r="G595" s="10"/>
      <c r="H595" s="10"/>
      <c r="I595" s="10"/>
      <c r="J595" s="10"/>
      <c r="K595" s="10"/>
      <c r="L595" s="10"/>
      <c r="M595" s="10"/>
      <c r="N595" s="11"/>
      <c r="O595" s="8"/>
      <c r="P595" s="9"/>
      <c r="Q595" s="8"/>
      <c r="R595" s="9"/>
      <c r="S595" s="8"/>
      <c r="T595" s="8"/>
      <c r="U595" s="8"/>
      <c r="V595" s="11"/>
      <c r="W595" s="8"/>
      <c r="X595" s="8"/>
      <c r="Y595" s="9">
        <f t="shared" si="87"/>
        <v>0</v>
      </c>
      <c r="Z595" s="8" t="str">
        <f t="array" ref="Z595">IF(Y595&gt;5,"Perlu Sensus",IF(AND(Y595&gt;0,,O595&gt;0),"Tetap Deteksi","Belum Deteksi"))</f>
        <v>Belum Deteksi</v>
      </c>
      <c r="AA595" s="143"/>
      <c r="AB595" s="9"/>
    </row>
    <row r="596" spans="1:28" x14ac:dyDescent="0.15">
      <c r="A596" s="8"/>
      <c r="B596" s="8"/>
      <c r="C596" s="8"/>
      <c r="D596" s="8"/>
      <c r="E596" s="8"/>
      <c r="F596" s="8"/>
      <c r="G596" s="10"/>
      <c r="H596" s="10"/>
      <c r="I596" s="10"/>
      <c r="J596" s="10"/>
      <c r="K596" s="10"/>
      <c r="L596" s="10"/>
      <c r="M596" s="10"/>
      <c r="N596" s="11"/>
      <c r="O596" s="8"/>
      <c r="P596" s="9"/>
      <c r="Q596" s="8"/>
      <c r="R596" s="9"/>
      <c r="S596" s="8"/>
      <c r="T596" s="8"/>
      <c r="U596" s="8"/>
      <c r="V596" s="11"/>
      <c r="W596" s="8"/>
      <c r="X596" s="8"/>
      <c r="Y596" s="9">
        <f t="shared" si="87"/>
        <v>0</v>
      </c>
      <c r="Z596" s="8" t="str">
        <f t="array" ref="Z596">IF(Y596&gt;5,"Perlu Sensus",IF(AND(Y596&gt;0,,O596&gt;0),"Tetap Deteksi","Belum Deteksi"))</f>
        <v>Belum Deteksi</v>
      </c>
      <c r="AA596" s="143"/>
      <c r="AB596" s="9"/>
    </row>
    <row r="597" spans="1:28" outlineLevel="1" x14ac:dyDescent="0.15">
      <c r="A597" s="8"/>
      <c r="B597" s="8"/>
      <c r="C597" s="8"/>
      <c r="D597" s="8"/>
      <c r="E597" s="8"/>
      <c r="F597" s="8"/>
      <c r="G597" s="10"/>
      <c r="H597" s="10"/>
      <c r="I597" s="10"/>
      <c r="J597" s="10"/>
      <c r="K597" s="10"/>
      <c r="L597" s="10"/>
      <c r="M597" s="10"/>
      <c r="N597" s="11"/>
      <c r="O597" s="8"/>
      <c r="P597" s="9"/>
      <c r="Q597" s="8"/>
      <c r="R597" s="9"/>
      <c r="S597" s="8"/>
      <c r="T597" s="8"/>
      <c r="U597" s="8"/>
      <c r="V597" s="11"/>
      <c r="W597" s="8"/>
      <c r="X597" s="8"/>
      <c r="Y597" s="9">
        <f t="shared" si="87"/>
        <v>0</v>
      </c>
      <c r="Z597" s="8" t="str">
        <f t="array" ref="Z597">IF(Y597&gt;5,"Perlu Sensus",IF(AND(Y597&gt;0,,O597&gt;0),"Tetap Deteksi","Belum Deteksi"))</f>
        <v>Belum Deteksi</v>
      </c>
      <c r="AA597" s="143"/>
      <c r="AB597" s="9"/>
    </row>
    <row r="598" spans="1:28" outlineLevel="1" x14ac:dyDescent="0.15">
      <c r="A598" s="8"/>
      <c r="B598" s="8"/>
      <c r="C598" s="8"/>
      <c r="D598" s="8"/>
      <c r="E598" s="8"/>
      <c r="F598" s="8"/>
      <c r="G598" s="10"/>
      <c r="H598" s="10"/>
      <c r="I598" s="10"/>
      <c r="J598" s="10"/>
      <c r="K598" s="10"/>
      <c r="L598" s="10"/>
      <c r="M598" s="10"/>
      <c r="N598" s="11"/>
      <c r="O598" s="8"/>
      <c r="P598" s="9"/>
      <c r="Q598" s="8"/>
      <c r="R598" s="9"/>
      <c r="S598" s="8"/>
      <c r="T598" s="8"/>
      <c r="U598" s="8"/>
      <c r="V598" s="11"/>
      <c r="W598" s="8"/>
      <c r="X598" s="8"/>
      <c r="Y598" s="9">
        <f t="shared" si="87"/>
        <v>0</v>
      </c>
      <c r="Z598" s="8" t="str">
        <f t="array" ref="Z598">IF(Y598&gt;5,"Perlu Sensus",IF(AND(Y598&gt;0,,O598&gt;0),"Tetap Deteksi","Belum Deteksi"))</f>
        <v>Belum Deteksi</v>
      </c>
      <c r="AA598" s="143"/>
      <c r="AB598" s="9"/>
    </row>
    <row r="599" spans="1:28" outlineLevel="1" x14ac:dyDescent="0.15">
      <c r="A599" s="8"/>
      <c r="B599" s="8"/>
      <c r="C599" s="8"/>
      <c r="D599" s="8"/>
      <c r="E599" s="8"/>
      <c r="F599" s="8"/>
      <c r="G599" s="10"/>
      <c r="H599" s="10"/>
      <c r="I599" s="10"/>
      <c r="J599" s="10"/>
      <c r="K599" s="10"/>
      <c r="L599" s="10"/>
      <c r="M599" s="10"/>
      <c r="N599" s="11"/>
      <c r="O599" s="8"/>
      <c r="P599" s="9"/>
      <c r="Q599" s="8"/>
      <c r="R599" s="9"/>
      <c r="S599" s="8"/>
      <c r="T599" s="8"/>
      <c r="U599" s="8"/>
      <c r="V599" s="11"/>
      <c r="W599" s="8"/>
      <c r="X599" s="8"/>
      <c r="Y599" s="9">
        <f t="shared" si="87"/>
        <v>0</v>
      </c>
      <c r="Z599" s="8" t="str">
        <f t="array" ref="Z599">IF(Y599&gt;5,"Perlu Sensus",IF(AND(Y599&gt;0,,O599&gt;0),"Tetap Deteksi","Belum Deteksi"))</f>
        <v>Belum Deteksi</v>
      </c>
      <c r="AA599" s="143"/>
      <c r="AB599" s="9"/>
    </row>
    <row r="600" spans="1:28" outlineLevel="1" x14ac:dyDescent="0.15">
      <c r="A600" s="8"/>
      <c r="B600" s="8"/>
      <c r="C600" s="8"/>
      <c r="D600" s="8"/>
      <c r="E600" s="8"/>
      <c r="F600" s="8"/>
      <c r="G600" s="10"/>
      <c r="H600" s="10"/>
      <c r="I600" s="10"/>
      <c r="J600" s="10"/>
      <c r="K600" s="10"/>
      <c r="L600" s="10"/>
      <c r="M600" s="10"/>
      <c r="N600" s="11"/>
      <c r="O600" s="8"/>
      <c r="P600" s="9"/>
      <c r="Q600" s="8"/>
      <c r="R600" s="9"/>
      <c r="S600" s="8"/>
      <c r="T600" s="8"/>
      <c r="U600" s="8"/>
      <c r="V600" s="11"/>
      <c r="W600" s="8"/>
      <c r="X600" s="8"/>
      <c r="Y600" s="9">
        <f t="shared" si="87"/>
        <v>0</v>
      </c>
      <c r="Z600" s="8" t="str">
        <f t="array" ref="Z600">IF(Y600&gt;5,"Perlu Sensus",IF(AND(Y600&gt;0,,O600&gt;0),"Tetap Deteksi","Belum Deteksi"))</f>
        <v>Belum Deteksi</v>
      </c>
      <c r="AA600" s="143"/>
      <c r="AB600" s="9"/>
    </row>
    <row r="601" spans="1:28" x14ac:dyDescent="0.15">
      <c r="A601" s="8"/>
      <c r="B601" s="8"/>
      <c r="C601" s="8"/>
      <c r="D601" s="8"/>
      <c r="E601" s="8"/>
      <c r="F601" s="8"/>
      <c r="G601" s="10"/>
      <c r="H601" s="10"/>
      <c r="I601" s="10"/>
      <c r="J601" s="10"/>
      <c r="K601" s="10"/>
      <c r="L601" s="10"/>
      <c r="M601" s="10"/>
      <c r="N601" s="11"/>
      <c r="O601" s="8"/>
      <c r="P601" s="9"/>
      <c r="Q601" s="8"/>
      <c r="R601" s="9"/>
      <c r="S601" s="8"/>
      <c r="T601" s="8"/>
      <c r="U601" s="8"/>
      <c r="V601" s="11"/>
      <c r="W601" s="8"/>
      <c r="X601" s="8"/>
      <c r="Y601" s="9">
        <f t="shared" si="87"/>
        <v>0</v>
      </c>
      <c r="Z601" s="8" t="str">
        <f t="array" ref="Z601">IF(Y601&gt;5,"Perlu Sensus",IF(AND(Y601&gt;0,,O601&gt;0),"Tetap Deteksi","Belum Deteksi"))</f>
        <v>Belum Deteksi</v>
      </c>
      <c r="AA601" s="143"/>
      <c r="AB601" s="9"/>
    </row>
    <row r="602" spans="1:28" x14ac:dyDescent="0.15">
      <c r="A602" s="8"/>
      <c r="B602" s="8"/>
      <c r="C602" s="8"/>
      <c r="D602" s="8"/>
      <c r="E602" s="8"/>
      <c r="F602" s="8"/>
      <c r="G602" s="10"/>
      <c r="H602" s="10"/>
      <c r="I602" s="10"/>
      <c r="J602" s="10"/>
      <c r="K602" s="10"/>
      <c r="L602" s="10"/>
      <c r="M602" s="10"/>
      <c r="N602" s="11"/>
      <c r="O602" s="8"/>
      <c r="P602" s="9"/>
      <c r="Q602" s="8"/>
      <c r="R602" s="9"/>
      <c r="S602" s="8"/>
      <c r="T602" s="8"/>
      <c r="U602" s="8"/>
      <c r="V602" s="11"/>
      <c r="W602" s="8"/>
      <c r="X602" s="8"/>
      <c r="Y602" s="9">
        <f t="shared" si="87"/>
        <v>0</v>
      </c>
      <c r="Z602" s="8" t="str">
        <f t="array" ref="Z602">IF(Y602&gt;5,"Perlu Sensus",IF(AND(Y602&gt;0,,O602&gt;0),"Tetap Deteksi","Belum Deteksi"))</f>
        <v>Belum Deteksi</v>
      </c>
      <c r="AA602" s="143"/>
      <c r="AB602" s="9"/>
    </row>
    <row r="603" spans="1:28" x14ac:dyDescent="0.15">
      <c r="A603" s="8"/>
      <c r="B603" s="8"/>
      <c r="C603" s="8"/>
      <c r="D603" s="8"/>
      <c r="E603" s="8"/>
      <c r="F603" s="8"/>
      <c r="G603" s="10"/>
      <c r="H603" s="10"/>
      <c r="I603" s="10"/>
      <c r="J603" s="10"/>
      <c r="K603" s="10"/>
      <c r="L603" s="10"/>
      <c r="M603" s="10"/>
      <c r="N603" s="11"/>
      <c r="O603" s="8"/>
      <c r="P603" s="9"/>
      <c r="Q603" s="8"/>
      <c r="R603" s="9"/>
      <c r="S603" s="8"/>
      <c r="T603" s="8"/>
      <c r="U603" s="8"/>
      <c r="V603" s="11"/>
      <c r="W603" s="8"/>
      <c r="X603" s="8"/>
      <c r="Y603" s="9">
        <f t="shared" si="87"/>
        <v>0</v>
      </c>
      <c r="Z603" s="8" t="str">
        <f t="array" ref="Z603">IF(Y603&gt;5,"Perlu Sensus",IF(AND(Y603&gt;0,,O603&gt;0),"Tetap Deteksi","Belum Deteksi"))</f>
        <v>Belum Deteksi</v>
      </c>
      <c r="AA603" s="143"/>
      <c r="AB603" s="9"/>
    </row>
    <row r="604" spans="1:28" x14ac:dyDescent="0.15">
      <c r="A604" s="8"/>
      <c r="B604" s="8"/>
      <c r="C604" s="8"/>
      <c r="D604" s="8"/>
      <c r="E604" s="8"/>
      <c r="F604" s="8"/>
      <c r="G604" s="10"/>
      <c r="H604" s="10"/>
      <c r="I604" s="10"/>
      <c r="J604" s="10"/>
      <c r="K604" s="10"/>
      <c r="L604" s="10"/>
      <c r="M604" s="10"/>
      <c r="N604" s="11"/>
      <c r="O604" s="8"/>
      <c r="P604" s="9"/>
      <c r="Q604" s="8"/>
      <c r="R604" s="9"/>
      <c r="S604" s="8"/>
      <c r="T604" s="8"/>
      <c r="U604" s="8"/>
      <c r="V604" s="11"/>
      <c r="W604" s="8"/>
      <c r="X604" s="8"/>
      <c r="Y604" s="9">
        <f t="shared" si="87"/>
        <v>0</v>
      </c>
      <c r="Z604" s="8" t="str">
        <f t="array" ref="Z604">IF(Y604&gt;5,"Perlu Sensus",IF(AND(Y604&gt;0,,O604&gt;0),"Tetap Deteksi","Belum Deteksi"))</f>
        <v>Belum Deteksi</v>
      </c>
      <c r="AA604" s="143"/>
      <c r="AB604" s="9"/>
    </row>
    <row r="605" spans="1:28" outlineLevel="1" x14ac:dyDescent="0.15">
      <c r="A605" s="8"/>
      <c r="B605" s="8"/>
      <c r="C605" s="8"/>
      <c r="D605" s="8"/>
      <c r="E605" s="8"/>
      <c r="F605" s="8"/>
      <c r="G605" s="10"/>
      <c r="H605" s="10"/>
      <c r="I605" s="10"/>
      <c r="J605" s="10"/>
      <c r="K605" s="10"/>
      <c r="L605" s="10"/>
      <c r="M605" s="10"/>
      <c r="N605" s="11"/>
      <c r="O605" s="8"/>
      <c r="P605" s="9"/>
      <c r="Q605" s="8"/>
      <c r="R605" s="9"/>
      <c r="S605" s="8"/>
      <c r="T605" s="8"/>
      <c r="U605" s="8"/>
      <c r="V605" s="11"/>
      <c r="W605" s="8"/>
      <c r="X605" s="8"/>
      <c r="Y605" s="9">
        <f t="shared" si="87"/>
        <v>0</v>
      </c>
      <c r="Z605" s="8" t="str">
        <f t="array" ref="Z605">IF(Y605&gt;5,"Perlu Sensus",IF(AND(Y605&gt;0,,O605&gt;0),"Tetap Deteksi","Belum Deteksi"))</f>
        <v>Belum Deteksi</v>
      </c>
      <c r="AA605" s="143"/>
      <c r="AB605" s="9"/>
    </row>
    <row r="606" spans="1:28" outlineLevel="1" x14ac:dyDescent="0.15">
      <c r="A606" s="8"/>
      <c r="B606" s="8"/>
      <c r="C606" s="8"/>
      <c r="D606" s="8"/>
      <c r="E606" s="8"/>
      <c r="F606" s="8"/>
      <c r="G606" s="10"/>
      <c r="H606" s="10"/>
      <c r="I606" s="10"/>
      <c r="J606" s="10"/>
      <c r="K606" s="10"/>
      <c r="L606" s="10"/>
      <c r="M606" s="10"/>
      <c r="N606" s="11"/>
      <c r="O606" s="8"/>
      <c r="P606" s="9"/>
      <c r="Q606" s="8"/>
      <c r="R606" s="9"/>
      <c r="S606" s="8"/>
      <c r="T606" s="8"/>
      <c r="U606" s="8"/>
      <c r="V606" s="11"/>
      <c r="W606" s="8"/>
      <c r="X606" s="8"/>
      <c r="Y606" s="9">
        <f t="shared" si="87"/>
        <v>0</v>
      </c>
      <c r="Z606" s="8" t="str">
        <f t="array" ref="Z606">IF(Y606&gt;5,"Perlu Sensus",IF(AND(Y606&gt;0,,O606&gt;0),"Tetap Deteksi","Belum Deteksi"))</f>
        <v>Belum Deteksi</v>
      </c>
      <c r="AA606" s="143"/>
      <c r="AB606" s="9"/>
    </row>
    <row r="607" spans="1:28" x14ac:dyDescent="0.15">
      <c r="A607" s="8"/>
      <c r="B607" s="8"/>
      <c r="C607" s="8"/>
      <c r="D607" s="8"/>
      <c r="E607" s="8"/>
      <c r="F607" s="8"/>
      <c r="G607" s="10"/>
      <c r="H607" s="10"/>
      <c r="I607" s="10"/>
      <c r="J607" s="10"/>
      <c r="K607" s="10"/>
      <c r="L607" s="10"/>
      <c r="M607" s="10"/>
      <c r="N607" s="11"/>
      <c r="O607" s="8"/>
      <c r="P607" s="9"/>
      <c r="Q607" s="8"/>
      <c r="R607" s="9"/>
      <c r="S607" s="8"/>
      <c r="T607" s="8"/>
      <c r="U607" s="8"/>
      <c r="V607" s="11"/>
      <c r="W607" s="8"/>
      <c r="X607" s="8"/>
      <c r="Y607" s="9">
        <f t="shared" si="87"/>
        <v>0</v>
      </c>
      <c r="Z607" s="8" t="str">
        <f t="array" ref="Z607">IF(Y607&gt;5,"Perlu Sensus",IF(AND(Y607&gt;0,,O607&gt;0),"Tetap Deteksi","Belum Deteksi"))</f>
        <v>Belum Deteksi</v>
      </c>
      <c r="AA607" s="143"/>
      <c r="AB607" s="9"/>
    </row>
    <row r="608" spans="1:28" x14ac:dyDescent="0.15">
      <c r="A608" s="8"/>
      <c r="B608" s="8"/>
      <c r="C608" s="8"/>
      <c r="D608" s="8"/>
      <c r="E608" s="8"/>
      <c r="F608" s="8"/>
      <c r="G608" s="10"/>
      <c r="H608" s="10"/>
      <c r="I608" s="10"/>
      <c r="J608" s="10"/>
      <c r="K608" s="10"/>
      <c r="L608" s="10"/>
      <c r="M608" s="10"/>
      <c r="N608" s="11"/>
      <c r="O608" s="8"/>
      <c r="P608" s="9"/>
      <c r="Q608" s="8"/>
      <c r="R608" s="9"/>
      <c r="S608" s="8"/>
      <c r="T608" s="8"/>
      <c r="U608" s="8"/>
      <c r="V608" s="11"/>
      <c r="W608" s="8"/>
      <c r="X608" s="8"/>
      <c r="Y608" s="9">
        <f t="shared" si="87"/>
        <v>0</v>
      </c>
      <c r="Z608" s="8" t="str">
        <f t="array" ref="Z608">IF(Y608&gt;5,"Perlu Sensus",IF(AND(Y608&gt;0,,O608&gt;0),"Tetap Deteksi","Belum Deteksi"))</f>
        <v>Belum Deteksi</v>
      </c>
      <c r="AA608" s="143"/>
      <c r="AB608" s="9"/>
    </row>
    <row r="609" spans="1:28" x14ac:dyDescent="0.15">
      <c r="A609" s="8"/>
      <c r="B609" s="8"/>
      <c r="C609" s="8"/>
      <c r="D609" s="8"/>
      <c r="E609" s="8"/>
      <c r="F609" s="8"/>
      <c r="G609" s="10"/>
      <c r="H609" s="10"/>
      <c r="I609" s="10"/>
      <c r="J609" s="10"/>
      <c r="K609" s="10"/>
      <c r="L609" s="10"/>
      <c r="M609" s="10"/>
      <c r="N609" s="11"/>
      <c r="O609" s="8"/>
      <c r="P609" s="9"/>
      <c r="Q609" s="8"/>
      <c r="R609" s="9"/>
      <c r="S609" s="8"/>
      <c r="T609" s="8"/>
      <c r="U609" s="8"/>
      <c r="V609" s="11"/>
      <c r="W609" s="8"/>
      <c r="X609" s="8"/>
      <c r="Y609" s="9">
        <f t="shared" si="87"/>
        <v>0</v>
      </c>
      <c r="Z609" s="8" t="str">
        <f t="array" ref="Z609">IF(Y609&gt;5,"Perlu Sensus",IF(AND(Y609&gt;0,,O609&gt;0),"Tetap Deteksi","Belum Deteksi"))</f>
        <v>Belum Deteksi</v>
      </c>
      <c r="AA609" s="143"/>
      <c r="AB609" s="9"/>
    </row>
    <row r="621" spans="1:28" x14ac:dyDescent="0.15">
      <c r="A621" s="41"/>
    </row>
    <row r="631" spans="7:13" x14ac:dyDescent="0.15">
      <c r="G631" s="42"/>
      <c r="H631" s="42"/>
      <c r="I631" s="42"/>
      <c r="J631" s="42"/>
      <c r="K631" s="42"/>
      <c r="L631" s="42"/>
      <c r="M631" s="42"/>
    </row>
  </sheetData>
  <autoFilter ref="A5:AB609" xr:uid="{9CF282C4-115D-4F65-8444-68A2D47F9F9B}"/>
  <mergeCells count="32">
    <mergeCell ref="H1:M1"/>
    <mergeCell ref="H2:M2"/>
    <mergeCell ref="N2:U2"/>
    <mergeCell ref="V2:AB2"/>
    <mergeCell ref="A3:A4"/>
    <mergeCell ref="B3:B4"/>
    <mergeCell ref="C3:C4"/>
    <mergeCell ref="D3:D4"/>
    <mergeCell ref="E3:E4"/>
    <mergeCell ref="F3:F4"/>
    <mergeCell ref="R3:R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Y3:Y4"/>
    <mergeCell ref="Z3:Z4"/>
    <mergeCell ref="AA3:AA4"/>
    <mergeCell ref="AB3:AB4"/>
    <mergeCell ref="S3:S4"/>
    <mergeCell ref="T3:T4"/>
    <mergeCell ref="U3:U4"/>
    <mergeCell ref="V3:V4"/>
    <mergeCell ref="W3:W4"/>
    <mergeCell ref="X3:X4"/>
  </mergeCells>
  <conditionalFormatting sqref="L6:L582">
    <cfRule type="cellIs" dxfId="434" priority="13" operator="equal">
      <formula>"-"</formula>
    </cfRule>
    <cfRule type="cellIs" dxfId="433" priority="14" operator="greaterThan">
      <formula>5</formula>
    </cfRule>
    <cfRule type="cellIs" dxfId="432" priority="15" operator="between">
      <formula>2</formula>
      <formula>5</formula>
    </cfRule>
    <cfRule type="cellIs" dxfId="431" priority="16" operator="lessThan">
      <formula>2</formula>
    </cfRule>
  </conditionalFormatting>
  <conditionalFormatting sqref="R6:R609">
    <cfRule type="cellIs" dxfId="430" priority="25" operator="equal">
      <formula>"-"</formula>
    </cfRule>
    <cfRule type="cellIs" dxfId="429" priority="26" operator="greaterThan">
      <formula>5</formula>
    </cfRule>
    <cfRule type="cellIs" dxfId="428" priority="27" operator="between">
      <formula>2</formula>
      <formula>5</formula>
    </cfRule>
    <cfRule type="cellIs" dxfId="427" priority="28" operator="lessThan">
      <formula>2</formula>
    </cfRule>
  </conditionalFormatting>
  <conditionalFormatting sqref="U6:U582">
    <cfRule type="cellIs" dxfId="426" priority="17" operator="equal">
      <formula>"-"</formula>
    </cfRule>
    <cfRule type="cellIs" dxfId="425" priority="18" operator="greaterThan">
      <formula>5</formula>
    </cfRule>
    <cfRule type="cellIs" dxfId="424" priority="19" operator="between">
      <formula>2</formula>
      <formula>5</formula>
    </cfRule>
    <cfRule type="cellIs" dxfId="423" priority="20" operator="lessThan">
      <formula>2</formula>
    </cfRule>
  </conditionalFormatting>
  <conditionalFormatting sqref="Y6:Y609">
    <cfRule type="cellIs" dxfId="422" priority="21" operator="equal">
      <formula>"-"</formula>
    </cfRule>
    <cfRule type="cellIs" dxfId="421" priority="22" operator="greaterThan">
      <formula>5</formula>
    </cfRule>
    <cfRule type="cellIs" dxfId="420" priority="23" operator="between">
      <formula>2</formula>
      <formula>5</formula>
    </cfRule>
    <cfRule type="cellIs" dxfId="419" priority="24" operator="lessThan">
      <formula>2</formula>
    </cfRule>
  </conditionalFormatting>
  <conditionalFormatting sqref="AB6:AB609">
    <cfRule type="cellIs" dxfId="418" priority="9" operator="equal">
      <formula>"-"</formula>
    </cfRule>
    <cfRule type="cellIs" dxfId="417" priority="10" operator="greaterThan">
      <formula>5</formula>
    </cfRule>
    <cfRule type="cellIs" dxfId="416" priority="11" operator="between">
      <formula>2</formula>
      <formula>5</formula>
    </cfRule>
    <cfRule type="cellIs" dxfId="415" priority="12" operator="lessThan">
      <formula>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A3F52-B8AC-4193-B4B8-94C71E38BB56}">
  <sheetPr>
    <tabColor rgb="FF92D050"/>
  </sheetPr>
  <dimension ref="A2:T631"/>
  <sheetViews>
    <sheetView zoomScale="70" zoomScaleNormal="70" workbookViewId="0">
      <pane xSplit="1" ySplit="5" topLeftCell="B6" activePane="bottomRight" state="frozen"/>
      <selection activeCell="I17" sqref="I17"/>
      <selection pane="topRight" activeCell="I17" sqref="I17"/>
      <selection pane="bottomLeft" activeCell="I17" sqref="I17"/>
      <selection pane="bottomRight" activeCell="P10" sqref="P10"/>
    </sheetView>
  </sheetViews>
  <sheetFormatPr baseColWidth="10" defaultColWidth="8.6640625" defaultRowHeight="14" outlineLevelRow="1" outlineLevelCol="1" x14ac:dyDescent="0.15"/>
  <cols>
    <col min="1" max="1" width="12.5" style="3" customWidth="1"/>
    <col min="2" max="2" width="12.5" style="3" bestFit="1" customWidth="1" outlineLevel="1"/>
    <col min="3" max="3" width="16.33203125" style="3" customWidth="1"/>
    <col min="4" max="4" width="10.33203125" style="3" customWidth="1"/>
    <col min="5" max="5" width="10.6640625" style="3" customWidth="1"/>
    <col min="6" max="6" width="18.33203125" style="3" customWidth="1" outlineLevel="1"/>
    <col min="7" max="7" width="15.83203125" style="3" customWidth="1"/>
    <col min="8" max="8" width="13.5" style="2" customWidth="1"/>
    <col min="9" max="9" width="14.1640625" style="2" customWidth="1"/>
    <col min="10" max="10" width="17.1640625" style="2" customWidth="1"/>
    <col min="11" max="11" width="21.5" style="2" customWidth="1"/>
    <col min="12" max="12" width="11.1640625" style="3" customWidth="1"/>
    <col min="13" max="13" width="24.6640625" style="3" customWidth="1"/>
    <col min="14" max="15" width="8.6640625" style="3"/>
    <col min="16" max="20" width="9.5" style="3" bestFit="1" customWidth="1"/>
    <col min="21" max="16384" width="8.6640625" style="3"/>
  </cols>
  <sheetData>
    <row r="2" spans="1:20" ht="16" x14ac:dyDescent="0.2">
      <c r="A2" s="1" t="s">
        <v>0</v>
      </c>
      <c r="B2" s="2"/>
      <c r="C2" s="2"/>
      <c r="D2" s="2"/>
      <c r="E2" s="2"/>
      <c r="F2" s="2"/>
      <c r="G2" s="2"/>
    </row>
    <row r="3" spans="1:20" x14ac:dyDescent="0.15">
      <c r="A3" s="276" t="s">
        <v>1</v>
      </c>
      <c r="B3" s="276" t="s">
        <v>2</v>
      </c>
      <c r="C3" s="276" t="s">
        <v>3</v>
      </c>
      <c r="D3" s="276" t="s">
        <v>4</v>
      </c>
      <c r="E3" s="276" t="s">
        <v>5</v>
      </c>
      <c r="F3" s="276" t="s">
        <v>6</v>
      </c>
      <c r="G3" s="284" t="s">
        <v>7</v>
      </c>
      <c r="H3" s="275" t="s">
        <v>8</v>
      </c>
      <c r="I3" s="275" t="s">
        <v>9</v>
      </c>
      <c r="J3" s="275" t="s">
        <v>626</v>
      </c>
      <c r="K3" s="275" t="s">
        <v>627</v>
      </c>
      <c r="L3" s="275" t="s">
        <v>10</v>
      </c>
      <c r="M3" s="276" t="s">
        <v>11</v>
      </c>
    </row>
    <row r="4" spans="1:20" x14ac:dyDescent="0.15">
      <c r="A4" s="276"/>
      <c r="B4" s="276"/>
      <c r="C4" s="276"/>
      <c r="D4" s="276"/>
      <c r="E4" s="276"/>
      <c r="F4" s="276"/>
      <c r="G4" s="284"/>
      <c r="H4" s="275"/>
      <c r="I4" s="275"/>
      <c r="J4" s="275"/>
      <c r="K4" s="275"/>
      <c r="L4" s="275"/>
      <c r="M4" s="276"/>
      <c r="P4" s="196">
        <v>100</v>
      </c>
      <c r="Q4" s="196">
        <v>80</v>
      </c>
      <c r="R4" s="196">
        <v>60</v>
      </c>
      <c r="S4" s="196">
        <v>40</v>
      </c>
      <c r="T4" s="196">
        <v>20</v>
      </c>
    </row>
    <row r="5" spans="1:20" ht="10.5" customHeight="1" x14ac:dyDescent="0.15">
      <c r="A5" s="4"/>
      <c r="B5" s="4"/>
      <c r="C5" s="4"/>
      <c r="D5" s="4"/>
      <c r="E5" s="4"/>
      <c r="F5" s="4"/>
      <c r="G5" s="5"/>
      <c r="H5" s="6"/>
      <c r="I5" s="6"/>
      <c r="J5" s="6"/>
      <c r="K5" s="6"/>
      <c r="L5" s="6"/>
      <c r="M5" s="7"/>
      <c r="P5" s="196" t="s">
        <v>2104</v>
      </c>
      <c r="Q5" s="196" t="s">
        <v>2105</v>
      </c>
      <c r="R5" s="196" t="s">
        <v>2106</v>
      </c>
      <c r="S5" s="196" t="s">
        <v>2107</v>
      </c>
      <c r="T5" s="196" t="s">
        <v>2108</v>
      </c>
    </row>
    <row r="6" spans="1:20" outlineLevel="1" x14ac:dyDescent="0.15">
      <c r="A6" s="8" t="s">
        <v>628</v>
      </c>
      <c r="B6" s="8" t="s">
        <v>14</v>
      </c>
      <c r="C6" s="8" t="s">
        <v>14</v>
      </c>
      <c r="D6" s="8" t="s">
        <v>629</v>
      </c>
      <c r="E6" s="9">
        <v>19.8</v>
      </c>
      <c r="F6" s="8" t="s">
        <v>16</v>
      </c>
      <c r="G6" s="143">
        <f t="array" ref="G6">INDEX('[23]SENSUS MEI'!$G$9:$G$453,MATCH(1,('[23]SENSUS MEI'!$D$9:$D$453=$D6)*('[23]SENSUS MEI'!$D$9:$D$453=$D6),0))</f>
        <v>2655</v>
      </c>
      <c r="H6" s="11">
        <f t="array" ref="H6">INDEX('[23]SENSUS MEI'!$J$9:$J$453,MATCH(1,('[23]SENSUS MEI'!$D$9:$D$453=$D6)*('[23]SENSUS MEI'!$D$9:$D$453=$D6),0))</f>
        <v>46150</v>
      </c>
      <c r="I6" s="143">
        <f t="array" ref="I6">INDEX('[23]SENSUS MEI'!$K$9:$K$453,MATCH(1,('[23]SENSUS MEI'!$D$9:$D$453=$D6)*('[23]SENSUS MEI'!$D$9:$D$453=$D6),0))</f>
        <v>150</v>
      </c>
      <c r="J6" s="9">
        <f t="array" ref="J6">IFERROR(I6/G6*100,0)</f>
        <v>5.6497175141242941</v>
      </c>
      <c r="K6" s="143">
        <f t="array" ref="K6">INDEX('[23]SENSUS MEI'!$M$9:$M$453,MATCH(1,('[23]SENSUS MEI'!$D$9:$D$453=$D6)*('[23]SENSUS MEI'!$D$9:$D$453=$D6),0))+INDEX('[23]SENSUS MEI'!$O$9:$O$453,MATCH(1,('[23]SENSUS MEI'!$D$9:$D$453=$D6)*('[23]SENSUS MEI'!$D$9:$D$453=$D6),0))</f>
        <v>34</v>
      </c>
      <c r="L6" s="9">
        <f t="shared" ref="L6:L18" si="0">IFERROR(K6/I6*100,0)</f>
        <v>22.666666666666664</v>
      </c>
      <c r="M6" s="8" t="str">
        <f>IF(L6&gt;2,"Perlu Pengendalian",IF(L6&gt;0,"Tidak Perlu Pengendalian","Belum Sensus"))</f>
        <v>Perlu Pengendalian</v>
      </c>
      <c r="P6" s="194">
        <f>G6*4.5/1000</f>
        <v>11.9475</v>
      </c>
      <c r="Q6" s="194">
        <f t="array" ref="Q6">$P6*0.8</f>
        <v>9.5579999999999998</v>
      </c>
      <c r="R6" s="194">
        <f>$P6*0.6</f>
        <v>7.1684999999999999</v>
      </c>
      <c r="S6" s="194">
        <f>$P6*0.4</f>
        <v>4.7789999999999999</v>
      </c>
      <c r="T6" s="194">
        <f>$P6*0.2</f>
        <v>2.3895</v>
      </c>
    </row>
    <row r="7" spans="1:20" outlineLevel="1" x14ac:dyDescent="0.15">
      <c r="A7" s="8" t="s">
        <v>628</v>
      </c>
      <c r="B7" s="8" t="s">
        <v>14</v>
      </c>
      <c r="C7" s="8" t="s">
        <v>14</v>
      </c>
      <c r="D7" s="8" t="s">
        <v>630</v>
      </c>
      <c r="E7" s="9">
        <v>5.32</v>
      </c>
      <c r="F7" s="8" t="s">
        <v>16</v>
      </c>
      <c r="G7" s="143">
        <f t="array" ref="G7">INDEX('[23]SENSUS MEI'!$G$9:$G$453,MATCH(1,('[23]SENSUS MEI'!$D$9:$D$453=$D7)*('[23]SENSUS MEI'!$D$9:$D$453=$D7),0))</f>
        <v>669</v>
      </c>
      <c r="H7" s="11">
        <f t="array" ref="H7">INDEX('[23]SENSUS MEI'!$J$9:$J$453,MATCH(1,('[23]SENSUS MEI'!$D$9:$D$453=$D7)*('[23]SENSUS MEI'!$D$9:$D$453=$D7),0))</f>
        <v>46150</v>
      </c>
      <c r="I7" s="143">
        <f t="array" ref="I7">INDEX('[23]SENSUS MEI'!$K$9:$K$453,MATCH(1,('[23]SENSUS MEI'!$D$9:$D$453=$D7)*('[23]SENSUS MEI'!$D$9:$D$453=$D7),0))</f>
        <v>67</v>
      </c>
      <c r="J7" s="9">
        <f t="array" ref="J7">IFERROR(I7/G7*100,0)</f>
        <v>10.014947683109119</v>
      </c>
      <c r="K7" s="143">
        <f t="array" ref="K7">INDEX('[23]SENSUS MEI'!$M$9:$M$453,MATCH(1,('[23]SENSUS MEI'!$D$9:$D$453=$D7)*('[23]SENSUS MEI'!$D$9:$D$453=$D7),0))+INDEX('[23]SENSUS MEI'!$O$9:$O$453,MATCH(1,('[23]SENSUS MEI'!$D$9:$D$453=$D7)*('[23]SENSUS MEI'!$D$9:$D$453=$D7),0))</f>
        <v>13</v>
      </c>
      <c r="L7" s="9">
        <f t="shared" si="0"/>
        <v>19.402985074626866</v>
      </c>
      <c r="M7" s="8" t="str">
        <f t="shared" ref="M7:M70" si="1">IF(L7&gt;2,"Perlu Pengendalian",IF(L7&gt;0,"Tidak Perlu Pengendalian","Belum Sensus"))</f>
        <v>Perlu Pengendalian</v>
      </c>
      <c r="P7" s="194">
        <f t="shared" ref="P7:P70" si="2">G7*4.5/1000</f>
        <v>3.0105</v>
      </c>
      <c r="Q7" s="194">
        <f t="array" ref="Q7">$P7*0.8</f>
        <v>2.4084000000000003</v>
      </c>
      <c r="R7" s="194">
        <f t="shared" ref="R7:R70" si="3">$P7*0.6</f>
        <v>1.8062999999999998</v>
      </c>
      <c r="S7" s="194">
        <f t="shared" ref="S7:S70" si="4">$P7*0.4</f>
        <v>1.2042000000000002</v>
      </c>
      <c r="T7" s="194">
        <f t="shared" ref="T7:T70" si="5">$P7*0.2</f>
        <v>0.60210000000000008</v>
      </c>
    </row>
    <row r="8" spans="1:20" outlineLevel="1" x14ac:dyDescent="0.15">
      <c r="A8" s="8" t="s">
        <v>628</v>
      </c>
      <c r="B8" s="8" t="s">
        <v>14</v>
      </c>
      <c r="C8" s="8" t="s">
        <v>14</v>
      </c>
      <c r="D8" s="8" t="s">
        <v>631</v>
      </c>
      <c r="E8" s="9">
        <v>3.16</v>
      </c>
      <c r="F8" s="8" t="s">
        <v>16</v>
      </c>
      <c r="G8" s="143">
        <f t="array" ref="G8">INDEX('[23]SENSUS MEI'!$G$9:$G$453,MATCH(1,('[23]SENSUS MEI'!$D$9:$D$453=$D8)*('[23]SENSUS MEI'!$D$9:$D$453=$D8),0))</f>
        <v>519</v>
      </c>
      <c r="H8" s="11">
        <f t="array" ref="H8">INDEX('[23]SENSUS MEI'!$J$9:$J$453,MATCH(1,('[23]SENSUS MEI'!$D$9:$D$453=$D8)*('[23]SENSUS MEI'!$D$9:$D$453=$D8),0))</f>
        <v>46150</v>
      </c>
      <c r="I8" s="143">
        <f t="array" ref="I8">INDEX('[23]SENSUS MEI'!$K$9:$K$453,MATCH(1,('[23]SENSUS MEI'!$D$9:$D$453=$D8)*('[23]SENSUS MEI'!$D$9:$D$453=$D8),0))</f>
        <v>46</v>
      </c>
      <c r="J8" s="9">
        <f t="array" ref="J8">IFERROR(I8/G8*100,0)</f>
        <v>8.8631984585741819</v>
      </c>
      <c r="K8" s="143">
        <f t="array" ref="K8">INDEX('[23]SENSUS MEI'!$M$9:$M$453,MATCH(1,('[23]SENSUS MEI'!$D$9:$D$453=$D8)*('[23]SENSUS MEI'!$D$9:$D$453=$D8),0))+INDEX('[23]SENSUS MEI'!$O$9:$O$453,MATCH(1,('[23]SENSUS MEI'!$D$9:$D$453=$D8)*('[23]SENSUS MEI'!$D$9:$D$453=$D8),0))</f>
        <v>7</v>
      </c>
      <c r="L8" s="9">
        <f t="shared" si="0"/>
        <v>15.217391304347828</v>
      </c>
      <c r="M8" s="8" t="str">
        <f t="shared" si="1"/>
        <v>Perlu Pengendalian</v>
      </c>
      <c r="P8" s="194">
        <f t="shared" si="2"/>
        <v>2.3355000000000001</v>
      </c>
      <c r="Q8" s="194">
        <f t="array" ref="Q8">$P8*0.8</f>
        <v>1.8684000000000003</v>
      </c>
      <c r="R8" s="194">
        <f t="shared" si="3"/>
        <v>1.4013</v>
      </c>
      <c r="S8" s="194">
        <f t="shared" si="4"/>
        <v>0.93420000000000014</v>
      </c>
      <c r="T8" s="194">
        <f t="shared" si="5"/>
        <v>0.46710000000000007</v>
      </c>
    </row>
    <row r="9" spans="1:20" outlineLevel="1" x14ac:dyDescent="0.15">
      <c r="A9" s="8" t="s">
        <v>628</v>
      </c>
      <c r="B9" s="8" t="s">
        <v>14</v>
      </c>
      <c r="C9" s="8" t="s">
        <v>14</v>
      </c>
      <c r="D9" s="8" t="s">
        <v>632</v>
      </c>
      <c r="E9" s="9">
        <v>29.56</v>
      </c>
      <c r="F9" s="8" t="s">
        <v>16</v>
      </c>
      <c r="G9" s="143">
        <f t="array" ref="G9">INDEX('[23]SENSUS MEI'!$G$9:$G$453,MATCH(1,('[23]SENSUS MEI'!$D$9:$D$453=$D9)*('[23]SENSUS MEI'!$D$9:$D$453=$D9),0))</f>
        <v>3810</v>
      </c>
      <c r="H9" s="11">
        <f t="array" ref="H9">INDEX('[23]SENSUS MEI'!$J$9:$J$453,MATCH(1,('[23]SENSUS MEI'!$D$9:$D$453=$D9)*('[23]SENSUS MEI'!$D$9:$D$453=$D9),0))</f>
        <v>46155</v>
      </c>
      <c r="I9" s="143">
        <f t="array" ref="I9">INDEX('[23]SENSUS MEI'!$K$9:$K$453,MATCH(1,('[23]SENSUS MEI'!$D$9:$D$453=$D9)*('[23]SENSUS MEI'!$D$9:$D$453=$D9),0))</f>
        <v>300</v>
      </c>
      <c r="J9" s="9">
        <f t="array" ref="J9">IFERROR(I9/G9*100,0)</f>
        <v>7.8740157480314963</v>
      </c>
      <c r="K9" s="143">
        <f t="array" ref="K9">INDEX('[23]SENSUS MEI'!$M$9:$M$453,MATCH(1,('[23]SENSUS MEI'!$D$9:$D$453=$D9)*('[23]SENSUS MEI'!$D$9:$D$453=$D9),0))+INDEX('[23]SENSUS MEI'!$O$9:$O$453,MATCH(1,('[23]SENSUS MEI'!$D$9:$D$453=$D9)*('[23]SENSUS MEI'!$D$9:$D$453=$D9),0))</f>
        <v>18</v>
      </c>
      <c r="L9" s="9">
        <f t="shared" si="0"/>
        <v>6</v>
      </c>
      <c r="M9" s="8" t="str">
        <f t="shared" si="1"/>
        <v>Perlu Pengendalian</v>
      </c>
      <c r="P9" s="194">
        <f t="shared" si="2"/>
        <v>17.145</v>
      </c>
      <c r="Q9" s="194">
        <f t="array" ref="Q9">$P9*0.8</f>
        <v>13.716000000000001</v>
      </c>
      <c r="R9" s="194">
        <f t="shared" si="3"/>
        <v>10.286999999999999</v>
      </c>
      <c r="S9" s="194">
        <f t="shared" si="4"/>
        <v>6.8580000000000005</v>
      </c>
      <c r="T9" s="194">
        <f t="shared" si="5"/>
        <v>3.4290000000000003</v>
      </c>
    </row>
    <row r="10" spans="1:20" outlineLevel="1" x14ac:dyDescent="0.15">
      <c r="A10" s="8" t="s">
        <v>628</v>
      </c>
      <c r="B10" s="8" t="s">
        <v>14</v>
      </c>
      <c r="C10" s="8" t="s">
        <v>14</v>
      </c>
      <c r="D10" s="8" t="s">
        <v>633</v>
      </c>
      <c r="E10" s="9">
        <v>19.59</v>
      </c>
      <c r="F10" s="8" t="s">
        <v>16</v>
      </c>
      <c r="G10" s="143">
        <f t="array" ref="G10">INDEX('[23]SENSUS MEI'!$G$9:$G$453,MATCH(1,('[23]SENSUS MEI'!$D$9:$D$453=$D10)*('[23]SENSUS MEI'!$D$9:$D$453=$D10),0))</f>
        <v>2776</v>
      </c>
      <c r="H10" s="11">
        <f t="array" ref="H10">INDEX('[23]SENSUS MEI'!$J$9:$J$453,MATCH(1,('[23]SENSUS MEI'!$D$9:$D$453=$D10)*('[23]SENSUS MEI'!$D$9:$D$453=$D10),0))</f>
        <v>46154</v>
      </c>
      <c r="I10" s="143">
        <f t="array" ref="I10">INDEX('[23]SENSUS MEI'!$K$9:$K$453,MATCH(1,('[23]SENSUS MEI'!$D$9:$D$453=$D10)*('[23]SENSUS MEI'!$D$9:$D$453=$D10),0))</f>
        <v>287</v>
      </c>
      <c r="J10" s="9">
        <f t="array" ref="J10">IFERROR(I10/G10*100,0)</f>
        <v>10.338616714697405</v>
      </c>
      <c r="K10" s="143">
        <f t="array" ref="K10">INDEX('[23]SENSUS MEI'!$M$9:$M$453,MATCH(1,('[23]SENSUS MEI'!$D$9:$D$453=$D10)*('[23]SENSUS MEI'!$D$9:$D$453=$D10),0))+INDEX('[23]SENSUS MEI'!$O$9:$O$453,MATCH(1,('[23]SENSUS MEI'!$D$9:$D$453=$D10)*('[23]SENSUS MEI'!$D$9:$D$453=$D10),0))</f>
        <v>28</v>
      </c>
      <c r="L10" s="9">
        <f t="shared" si="0"/>
        <v>9.7560975609756095</v>
      </c>
      <c r="M10" s="8" t="str">
        <f t="shared" si="1"/>
        <v>Perlu Pengendalian</v>
      </c>
      <c r="P10" s="194">
        <f t="shared" si="2"/>
        <v>12.492000000000001</v>
      </c>
      <c r="Q10" s="194">
        <f t="array" ref="Q10">$P10*0.8</f>
        <v>9.9936000000000007</v>
      </c>
      <c r="R10" s="194">
        <f t="shared" si="3"/>
        <v>7.4952000000000005</v>
      </c>
      <c r="S10" s="194">
        <f t="shared" si="4"/>
        <v>4.9968000000000004</v>
      </c>
      <c r="T10" s="194">
        <f t="shared" si="5"/>
        <v>2.4984000000000002</v>
      </c>
    </row>
    <row r="11" spans="1:20" outlineLevel="1" x14ac:dyDescent="0.15">
      <c r="A11" s="8" t="s">
        <v>628</v>
      </c>
      <c r="B11" s="8" t="s">
        <v>14</v>
      </c>
      <c r="C11" s="8" t="s">
        <v>14</v>
      </c>
      <c r="D11" s="8" t="s">
        <v>634</v>
      </c>
      <c r="E11" s="9">
        <v>38.78</v>
      </c>
      <c r="F11" s="8" t="s">
        <v>16</v>
      </c>
      <c r="G11" s="143">
        <f t="array" ref="G11">INDEX('[23]SENSUS MEI'!$G$9:$G$453,MATCH(1,('[23]SENSUS MEI'!$D$9:$D$453=$D11)*('[23]SENSUS MEI'!$D$9:$D$453=$D11),0))</f>
        <v>5607</v>
      </c>
      <c r="H11" s="11">
        <f t="array" ref="H11">INDEX('[23]SENSUS MEI'!$J$9:$J$453,MATCH(1,('[23]SENSUS MEI'!$D$9:$D$453=$D11)*('[23]SENSUS MEI'!$D$9:$D$453=$D11),0))</f>
        <v>46150</v>
      </c>
      <c r="I11" s="143">
        <f t="array" ref="I11">INDEX('[23]SENSUS MEI'!$K$9:$K$453,MATCH(1,('[23]SENSUS MEI'!$D$9:$D$453=$D11)*('[23]SENSUS MEI'!$D$9:$D$453=$D11),0))</f>
        <v>489</v>
      </c>
      <c r="J11" s="9">
        <f t="array" ref="J11">IFERROR(I11/G11*100,0)</f>
        <v>8.7212413055109685</v>
      </c>
      <c r="K11" s="143">
        <f t="array" ref="K11">INDEX('[23]SENSUS MEI'!$M$9:$M$453,MATCH(1,('[23]SENSUS MEI'!$D$9:$D$453=$D11)*('[23]SENSUS MEI'!$D$9:$D$453=$D11),0))+INDEX('[23]SENSUS MEI'!$O$9:$O$453,MATCH(1,('[23]SENSUS MEI'!$D$9:$D$453=$D11)*('[23]SENSUS MEI'!$D$9:$D$453=$D11),0))</f>
        <v>53</v>
      </c>
      <c r="L11" s="9">
        <f t="shared" si="0"/>
        <v>10.838445807770961</v>
      </c>
      <c r="M11" s="8" t="str">
        <f t="shared" si="1"/>
        <v>Perlu Pengendalian</v>
      </c>
      <c r="P11" s="194">
        <f t="shared" si="2"/>
        <v>25.2315</v>
      </c>
      <c r="Q11" s="194">
        <f t="array" ref="Q11">$P11*0.8</f>
        <v>20.185200000000002</v>
      </c>
      <c r="R11" s="194">
        <f t="shared" si="3"/>
        <v>15.1389</v>
      </c>
      <c r="S11" s="194">
        <f t="shared" si="4"/>
        <v>10.092600000000001</v>
      </c>
      <c r="T11" s="194">
        <f t="shared" si="5"/>
        <v>5.0463000000000005</v>
      </c>
    </row>
    <row r="12" spans="1:20" outlineLevel="1" x14ac:dyDescent="0.15">
      <c r="A12" s="8" t="s">
        <v>628</v>
      </c>
      <c r="B12" s="8" t="s">
        <v>14</v>
      </c>
      <c r="C12" s="8" t="s">
        <v>14</v>
      </c>
      <c r="D12" s="8" t="s">
        <v>635</v>
      </c>
      <c r="E12" s="9">
        <v>45.86</v>
      </c>
      <c r="F12" s="8" t="s">
        <v>16</v>
      </c>
      <c r="G12" s="143">
        <f t="array" ref="G12">INDEX('[23]SENSUS MEI'!$G$9:$G$453,MATCH(1,('[23]SENSUS MEI'!$D$9:$D$453=$D12)*('[23]SENSUS MEI'!$D$9:$D$453=$D12),0))</f>
        <v>6177</v>
      </c>
      <c r="H12" s="11">
        <f t="array" ref="H12">INDEX('[23]SENSUS MEI'!$J$9:$J$453,MATCH(1,('[23]SENSUS MEI'!$D$9:$D$453=$D12)*('[23]SENSUS MEI'!$D$9:$D$453=$D12),0))</f>
        <v>46151</v>
      </c>
      <c r="I12" s="143">
        <f t="array" ref="I12">INDEX('[23]SENSUS MEI'!$K$9:$K$453,MATCH(1,('[23]SENSUS MEI'!$D$9:$D$453=$D12)*('[23]SENSUS MEI'!$D$9:$D$453=$D12),0))</f>
        <v>805</v>
      </c>
      <c r="J12" s="9">
        <f t="array" ref="J12">IFERROR(I12/G12*100,0)</f>
        <v>13.032216286223086</v>
      </c>
      <c r="K12" s="143">
        <f t="array" ref="K12">INDEX('[23]SENSUS MEI'!$M$9:$M$453,MATCH(1,('[23]SENSUS MEI'!$D$9:$D$453=$D12)*('[23]SENSUS MEI'!$D$9:$D$453=$D12),0))+INDEX('[23]SENSUS MEI'!$O$9:$O$453,MATCH(1,('[23]SENSUS MEI'!$D$9:$D$453=$D12)*('[23]SENSUS MEI'!$D$9:$D$453=$D12),0))</f>
        <v>175</v>
      </c>
      <c r="L12" s="9">
        <f t="shared" si="0"/>
        <v>21.739130434782609</v>
      </c>
      <c r="M12" s="8" t="str">
        <f t="shared" si="1"/>
        <v>Perlu Pengendalian</v>
      </c>
      <c r="P12" s="194">
        <f t="shared" si="2"/>
        <v>27.796500000000002</v>
      </c>
      <c r="Q12" s="194">
        <f t="array" ref="Q12">$P12*0.8</f>
        <v>22.237200000000001</v>
      </c>
      <c r="R12" s="194">
        <f t="shared" si="3"/>
        <v>16.677900000000001</v>
      </c>
      <c r="S12" s="194">
        <f t="shared" si="4"/>
        <v>11.118600000000001</v>
      </c>
      <c r="T12" s="194">
        <f t="shared" si="5"/>
        <v>5.5593000000000004</v>
      </c>
    </row>
    <row r="13" spans="1:20" outlineLevel="1" x14ac:dyDescent="0.15">
      <c r="A13" s="8" t="s">
        <v>628</v>
      </c>
      <c r="B13" s="8" t="s">
        <v>14</v>
      </c>
      <c r="C13" s="8" t="s">
        <v>14</v>
      </c>
      <c r="D13" s="8" t="s">
        <v>15</v>
      </c>
      <c r="E13" s="9">
        <v>44.8</v>
      </c>
      <c r="F13" s="8" t="s">
        <v>16</v>
      </c>
      <c r="G13" s="143">
        <f t="array" ref="G13">INDEX('[23]SENSUS MEI'!$G$9:$G$453,MATCH(1,('[23]SENSUS MEI'!$D$9:$D$453=$D13)*('[23]SENSUS MEI'!$D$9:$D$453=$D13),0))</f>
        <v>6611</v>
      </c>
      <c r="H13" s="11">
        <f t="array" ref="H13">INDEX('[23]SENSUS MEI'!$J$9:$J$453,MATCH(1,('[23]SENSUS MEI'!$D$9:$D$453=$D13)*('[23]SENSUS MEI'!$D$9:$D$453=$D13),0))</f>
        <v>46151</v>
      </c>
      <c r="I13" s="143">
        <f t="array" ref="I13">INDEX('[23]SENSUS MEI'!$K$9:$K$453,MATCH(1,('[23]SENSUS MEI'!$D$9:$D$453=$D13)*('[23]SENSUS MEI'!$D$9:$D$453=$D13),0))</f>
        <v>345</v>
      </c>
      <c r="J13" s="9">
        <f t="array" ref="J13">IFERROR(I13/G13*100,0)</f>
        <v>5.2185751021025562</v>
      </c>
      <c r="K13" s="143">
        <f t="array" ref="K13">INDEX('[23]SENSUS MEI'!$M$9:$M$453,MATCH(1,('[23]SENSUS MEI'!$D$9:$D$453=$D13)*('[23]SENSUS MEI'!$D$9:$D$453=$D13),0))+INDEX('[23]SENSUS MEI'!$O$9:$O$453,MATCH(1,('[23]SENSUS MEI'!$D$9:$D$453=$D13)*('[23]SENSUS MEI'!$D$9:$D$453=$D13),0))</f>
        <v>45</v>
      </c>
      <c r="L13" s="9">
        <f t="shared" si="0"/>
        <v>13.043478260869565</v>
      </c>
      <c r="M13" s="8" t="str">
        <f t="shared" si="1"/>
        <v>Perlu Pengendalian</v>
      </c>
      <c r="P13" s="194">
        <f t="shared" si="2"/>
        <v>29.749500000000001</v>
      </c>
      <c r="Q13" s="194">
        <f t="array" ref="Q13">$P13*0.8</f>
        <v>23.799600000000002</v>
      </c>
      <c r="R13" s="194">
        <f t="shared" si="3"/>
        <v>17.849699999999999</v>
      </c>
      <c r="S13" s="194">
        <f t="shared" si="4"/>
        <v>11.899800000000001</v>
      </c>
      <c r="T13" s="194">
        <f t="shared" si="5"/>
        <v>5.9499000000000004</v>
      </c>
    </row>
    <row r="14" spans="1:20" outlineLevel="1" x14ac:dyDescent="0.15">
      <c r="A14" s="8" t="s">
        <v>628</v>
      </c>
      <c r="B14" s="8" t="s">
        <v>14</v>
      </c>
      <c r="C14" s="8" t="s">
        <v>14</v>
      </c>
      <c r="D14" s="8" t="s">
        <v>17</v>
      </c>
      <c r="E14" s="9">
        <v>42.64</v>
      </c>
      <c r="F14" s="8" t="s">
        <v>16</v>
      </c>
      <c r="G14" s="143">
        <f t="array" ref="G14">INDEX('[23]SENSUS MEI'!$G$9:$G$453,MATCH(1,('[23]SENSUS MEI'!$D$9:$D$453=$D14)*('[23]SENSUS MEI'!$D$9:$D$453=$D14),0))</f>
        <v>5898</v>
      </c>
      <c r="H14" s="11">
        <f t="array" ref="H14">INDEX('[23]SENSUS MEI'!$J$9:$J$453,MATCH(1,('[23]SENSUS MEI'!$D$9:$D$453=$D14)*('[23]SENSUS MEI'!$D$9:$D$453=$D14),0))</f>
        <v>46151</v>
      </c>
      <c r="I14" s="143">
        <f t="array" ref="I14">INDEX('[23]SENSUS MEI'!$K$9:$K$453,MATCH(1,('[23]SENSUS MEI'!$D$9:$D$453=$D14)*('[23]SENSUS MEI'!$D$9:$D$453=$D14),0))</f>
        <v>698</v>
      </c>
      <c r="J14" s="9">
        <f t="array" ref="J14">IFERROR(I14/G14*100,0)</f>
        <v>11.83452017633096</v>
      </c>
      <c r="K14" s="143">
        <f t="array" ref="K14">INDEX('[23]SENSUS MEI'!$M$9:$M$453,MATCH(1,('[23]SENSUS MEI'!$D$9:$D$453=$D14)*('[23]SENSUS MEI'!$D$9:$D$453=$D14),0))+INDEX('[23]SENSUS MEI'!$O$9:$O$453,MATCH(1,('[23]SENSUS MEI'!$D$9:$D$453=$D14)*('[23]SENSUS MEI'!$D$9:$D$453=$D14),0))</f>
        <v>153</v>
      </c>
      <c r="L14" s="9">
        <f t="shared" si="0"/>
        <v>21.91977077363897</v>
      </c>
      <c r="M14" s="8" t="str">
        <f t="shared" si="1"/>
        <v>Perlu Pengendalian</v>
      </c>
      <c r="P14" s="194">
        <f t="shared" si="2"/>
        <v>26.541</v>
      </c>
      <c r="Q14" s="194">
        <f t="array" ref="Q14">$P14*0.8</f>
        <v>21.232800000000001</v>
      </c>
      <c r="R14" s="194">
        <f t="shared" si="3"/>
        <v>15.9246</v>
      </c>
      <c r="S14" s="194">
        <f t="shared" si="4"/>
        <v>10.616400000000001</v>
      </c>
      <c r="T14" s="194">
        <f t="shared" si="5"/>
        <v>5.3082000000000003</v>
      </c>
    </row>
    <row r="15" spans="1:20" outlineLevel="1" x14ac:dyDescent="0.15">
      <c r="A15" s="8" t="s">
        <v>628</v>
      </c>
      <c r="B15" s="8" t="s">
        <v>14</v>
      </c>
      <c r="C15" s="8" t="s">
        <v>14</v>
      </c>
      <c r="D15" s="8" t="s">
        <v>18</v>
      </c>
      <c r="E15" s="9">
        <v>55.17</v>
      </c>
      <c r="F15" s="8" t="s">
        <v>16</v>
      </c>
      <c r="G15" s="143">
        <f t="array" ref="G15">INDEX('[23]SENSUS MEI'!$G$9:$G$453,MATCH(1,('[23]SENSUS MEI'!$D$9:$D$453=$D15)*('[23]SENSUS MEI'!$D$9:$D$453=$D15),0))</f>
        <v>6728</v>
      </c>
      <c r="H15" s="11">
        <f t="array" ref="H15">INDEX('[23]SENSUS MEI'!$J$9:$J$453,MATCH(1,('[23]SENSUS MEI'!$D$9:$D$453=$D15)*('[23]SENSUS MEI'!$D$9:$D$453=$D15),0))</f>
        <v>46151</v>
      </c>
      <c r="I15" s="143">
        <f t="array" ref="I15">INDEX('[23]SENSUS MEI'!$K$9:$K$453,MATCH(1,('[23]SENSUS MEI'!$D$9:$D$453=$D15)*('[23]SENSUS MEI'!$D$9:$D$453=$D15),0))</f>
        <v>562</v>
      </c>
      <c r="J15" s="9">
        <f t="array" ref="J15">IFERROR(I15/G15*100,0)</f>
        <v>8.353151010701545</v>
      </c>
      <c r="K15" s="143">
        <f t="array" ref="K15">INDEX('[23]SENSUS MEI'!$M$9:$M$453,MATCH(1,('[23]SENSUS MEI'!$D$9:$D$453=$D15)*('[23]SENSUS MEI'!$D$9:$D$453=$D15),0))+INDEX('[23]SENSUS MEI'!$O$9:$O$453,MATCH(1,('[23]SENSUS MEI'!$D$9:$D$453=$D15)*('[23]SENSUS MEI'!$D$9:$D$453=$D15),0))</f>
        <v>50</v>
      </c>
      <c r="L15" s="9">
        <f t="shared" si="0"/>
        <v>8.8967971530249113</v>
      </c>
      <c r="M15" s="8" t="str">
        <f t="shared" si="1"/>
        <v>Perlu Pengendalian</v>
      </c>
      <c r="P15" s="194">
        <f t="shared" si="2"/>
        <v>30.276</v>
      </c>
      <c r="Q15" s="194">
        <f t="array" ref="Q15">$P15*0.8</f>
        <v>24.220800000000001</v>
      </c>
      <c r="R15" s="194">
        <f t="shared" si="3"/>
        <v>18.165599999999998</v>
      </c>
      <c r="S15" s="194">
        <f t="shared" si="4"/>
        <v>12.1104</v>
      </c>
      <c r="T15" s="194">
        <f t="shared" si="5"/>
        <v>6.0552000000000001</v>
      </c>
    </row>
    <row r="16" spans="1:20" outlineLevel="1" x14ac:dyDescent="0.15">
      <c r="A16" s="8" t="s">
        <v>628</v>
      </c>
      <c r="B16" s="8" t="s">
        <v>14</v>
      </c>
      <c r="C16" s="8" t="s">
        <v>14</v>
      </c>
      <c r="D16" s="8" t="s">
        <v>19</v>
      </c>
      <c r="E16" s="9">
        <v>42.96</v>
      </c>
      <c r="F16" s="8" t="s">
        <v>16</v>
      </c>
      <c r="G16" s="143">
        <f t="array" ref="G16">INDEX('[23]SENSUS MEI'!$G$9:$G$453,MATCH(1,('[23]SENSUS MEI'!$D$9:$D$453=$D16)*('[23]SENSUS MEI'!$D$9:$D$453=$D16),0))</f>
        <v>6522</v>
      </c>
      <c r="H16" s="11">
        <f t="array" ref="H16">INDEX('[23]SENSUS MEI'!$J$9:$J$453,MATCH(1,('[23]SENSUS MEI'!$D$9:$D$453=$D16)*('[23]SENSUS MEI'!$D$9:$D$453=$D16),0))</f>
        <v>46150</v>
      </c>
      <c r="I16" s="143">
        <f t="array" ref="I16">INDEX('[23]SENSUS MEI'!$K$9:$K$453,MATCH(1,('[23]SENSUS MEI'!$D$9:$D$453=$D16)*('[23]SENSUS MEI'!$D$9:$D$453=$D16),0))</f>
        <v>321</v>
      </c>
      <c r="J16" s="9">
        <f t="array" ref="J16">IFERROR(I16/G16*100,0)</f>
        <v>4.9218031278748855</v>
      </c>
      <c r="K16" s="143">
        <f t="array" ref="K16">INDEX('[23]SENSUS MEI'!$M$9:$M$453,MATCH(1,('[23]SENSUS MEI'!$D$9:$D$453=$D16)*('[23]SENSUS MEI'!$D$9:$D$453=$D16),0))+INDEX('[23]SENSUS MEI'!$O$9:$O$453,MATCH(1,('[23]SENSUS MEI'!$D$9:$D$453=$D16)*('[23]SENSUS MEI'!$D$9:$D$453=$D16),0))</f>
        <v>115</v>
      </c>
      <c r="L16" s="9">
        <f t="shared" si="0"/>
        <v>35.825545171339563</v>
      </c>
      <c r="M16" s="8" t="str">
        <f t="shared" si="1"/>
        <v>Perlu Pengendalian</v>
      </c>
      <c r="P16" s="194">
        <f t="shared" si="2"/>
        <v>29.349</v>
      </c>
      <c r="Q16" s="194">
        <f t="array" ref="Q16">$P16*0.8</f>
        <v>23.479200000000002</v>
      </c>
      <c r="R16" s="194">
        <f t="shared" si="3"/>
        <v>17.609400000000001</v>
      </c>
      <c r="S16" s="194">
        <f t="shared" si="4"/>
        <v>11.739600000000001</v>
      </c>
      <c r="T16" s="194">
        <f t="shared" si="5"/>
        <v>5.8698000000000006</v>
      </c>
    </row>
    <row r="17" spans="1:20" outlineLevel="1" x14ac:dyDescent="0.15">
      <c r="A17" s="8" t="s">
        <v>628</v>
      </c>
      <c r="B17" s="8" t="s">
        <v>14</v>
      </c>
      <c r="C17" s="8" t="s">
        <v>14</v>
      </c>
      <c r="D17" s="8" t="s">
        <v>20</v>
      </c>
      <c r="E17" s="9">
        <v>54.63</v>
      </c>
      <c r="F17" s="8" t="s">
        <v>16</v>
      </c>
      <c r="G17" s="143">
        <f t="array" ref="G17">INDEX('[23]SENSUS MEI'!$G$9:$G$453,MATCH(1,('[23]SENSUS MEI'!$D$9:$D$453=$D17)*('[23]SENSUS MEI'!$D$9:$D$453=$D17),0))</f>
        <v>7989</v>
      </c>
      <c r="H17" s="11">
        <f t="array" ref="H17">INDEX('[23]SENSUS MEI'!$J$9:$J$453,MATCH(1,('[23]SENSUS MEI'!$D$9:$D$453=$D17)*('[23]SENSUS MEI'!$D$9:$D$453=$D17),0))</f>
        <v>46150</v>
      </c>
      <c r="I17" s="143">
        <f t="array" ref="I17">INDEX('[23]SENSUS MEI'!$K$9:$K$453,MATCH(1,('[23]SENSUS MEI'!$D$9:$D$453=$D17)*('[23]SENSUS MEI'!$D$9:$D$453=$D17),0))</f>
        <v>858</v>
      </c>
      <c r="J17" s="9">
        <f t="array" ref="J17">IFERROR(I17/G17*100,0)</f>
        <v>10.739767179872324</v>
      </c>
      <c r="K17" s="143">
        <f t="array" ref="K17">INDEX('[23]SENSUS MEI'!$M$9:$M$453,MATCH(1,('[23]SENSUS MEI'!$D$9:$D$453=$D17)*('[23]SENSUS MEI'!$D$9:$D$453=$D17),0))+INDEX('[23]SENSUS MEI'!$O$9:$O$453,MATCH(1,('[23]SENSUS MEI'!$D$9:$D$453=$D17)*('[23]SENSUS MEI'!$D$9:$D$453=$D17),0))</f>
        <v>143</v>
      </c>
      <c r="L17" s="9">
        <f t="shared" si="0"/>
        <v>16.666666666666664</v>
      </c>
      <c r="M17" s="8" t="str">
        <f t="shared" si="1"/>
        <v>Perlu Pengendalian</v>
      </c>
      <c r="P17" s="194">
        <f t="shared" si="2"/>
        <v>35.950499999999998</v>
      </c>
      <c r="Q17" s="194">
        <f t="array" ref="Q17">$P17*0.8</f>
        <v>28.760400000000001</v>
      </c>
      <c r="R17" s="194">
        <f t="shared" si="3"/>
        <v>21.5703</v>
      </c>
      <c r="S17" s="194">
        <f t="shared" si="4"/>
        <v>14.3802</v>
      </c>
      <c r="T17" s="194">
        <f t="shared" si="5"/>
        <v>7.1901000000000002</v>
      </c>
    </row>
    <row r="18" spans="1:20" outlineLevel="1" x14ac:dyDescent="0.15">
      <c r="A18" s="8" t="s">
        <v>628</v>
      </c>
      <c r="B18" s="8" t="s">
        <v>14</v>
      </c>
      <c r="C18" s="8" t="s">
        <v>14</v>
      </c>
      <c r="D18" s="8" t="s">
        <v>23</v>
      </c>
      <c r="E18" s="9">
        <v>28.88</v>
      </c>
      <c r="F18" s="8" t="s">
        <v>16</v>
      </c>
      <c r="G18" s="143">
        <f t="array" ref="G18">INDEX('[23]SENSUS MEI'!$G$9:$G$453,MATCH(1,('[23]SENSUS MEI'!$D$9:$D$453=$D18)*('[23]SENSUS MEI'!$D$9:$D$453=$D18),0))</f>
        <v>4415</v>
      </c>
      <c r="H18" s="11">
        <f t="array" ref="H18">INDEX('[23]SENSUS MEI'!$J$9:$J$453,MATCH(1,('[23]SENSUS MEI'!$D$9:$D$453=$D18)*('[23]SENSUS MEI'!$D$9:$D$453=$D18),0))</f>
        <v>46150</v>
      </c>
      <c r="I18" s="143">
        <f t="array" ref="I18">INDEX('[23]SENSUS MEI'!$K$9:$K$453,MATCH(1,('[23]SENSUS MEI'!$D$9:$D$453=$D18)*('[23]SENSUS MEI'!$D$9:$D$453=$D18),0))</f>
        <v>896</v>
      </c>
      <c r="J18" s="9">
        <f t="array" ref="J18">IFERROR(I18/G18*100,0)</f>
        <v>20.294450736126841</v>
      </c>
      <c r="K18" s="143">
        <f t="array" ref="K18">INDEX('[23]SENSUS MEI'!$M$9:$M$453,MATCH(1,('[23]SENSUS MEI'!$D$9:$D$453=$D18)*('[23]SENSUS MEI'!$D$9:$D$453=$D18),0))+INDEX('[23]SENSUS MEI'!$O$9:$O$453,MATCH(1,('[23]SENSUS MEI'!$D$9:$D$453=$D18)*('[23]SENSUS MEI'!$D$9:$D$453=$D18),0))</f>
        <v>142</v>
      </c>
      <c r="L18" s="9">
        <f t="shared" si="0"/>
        <v>15.848214285714285</v>
      </c>
      <c r="M18" s="8" t="str">
        <f t="shared" si="1"/>
        <v>Perlu Pengendalian</v>
      </c>
      <c r="P18" s="194">
        <f t="shared" si="2"/>
        <v>19.8675</v>
      </c>
      <c r="Q18" s="194">
        <f t="array" ref="Q18">$P18*0.8</f>
        <v>15.894</v>
      </c>
      <c r="R18" s="194">
        <f t="shared" si="3"/>
        <v>11.920499999999999</v>
      </c>
      <c r="S18" s="194">
        <f t="shared" si="4"/>
        <v>7.9470000000000001</v>
      </c>
      <c r="T18" s="194">
        <f t="shared" si="5"/>
        <v>3.9735</v>
      </c>
    </row>
    <row r="19" spans="1:20" outlineLevel="1" x14ac:dyDescent="0.15">
      <c r="A19" s="8" t="s">
        <v>628</v>
      </c>
      <c r="B19" s="8" t="s">
        <v>14</v>
      </c>
      <c r="C19" s="8" t="s">
        <v>14</v>
      </c>
      <c r="D19" s="8" t="s">
        <v>636</v>
      </c>
      <c r="E19" s="9">
        <v>6.42</v>
      </c>
      <c r="F19" s="8" t="s">
        <v>469</v>
      </c>
      <c r="G19" s="143">
        <f t="array" ref="G19">INDEX('[23]SENSUS MEI'!$G$9:$G$453,MATCH(1,('[23]SENSUS MEI'!$D$9:$D$453=$D19)*('[23]SENSUS MEI'!$D$9:$D$453=$D19),0))</f>
        <v>857</v>
      </c>
      <c r="H19" s="11">
        <f t="array" ref="H19">INDEX('[23]SENSUS MEI'!$J$9:$J$453,MATCH(1,('[23]SENSUS MEI'!$D$9:$D$453=$D19)*('[23]SENSUS MEI'!$D$9:$D$453=$D19),0))</f>
        <v>46155</v>
      </c>
      <c r="I19" s="143">
        <f t="array" ref="I19">INDEX('[23]SENSUS MEI'!$K$9:$K$453,MATCH(1,('[23]SENSUS MEI'!$D$9:$D$453=$D19)*('[23]SENSUS MEI'!$D$9:$D$453=$D19),0))</f>
        <v>96</v>
      </c>
      <c r="J19" s="9">
        <f t="array" ref="J19">IFERROR(I19/G19*100,0)</f>
        <v>11.201866977829638</v>
      </c>
      <c r="K19" s="143">
        <f t="array" ref="K19">INDEX('[23]SENSUS MEI'!$M$9:$M$453,MATCH(1,('[23]SENSUS MEI'!$D$9:$D$453=$D19)*('[23]SENSUS MEI'!$D$9:$D$453=$D19),0))+INDEX('[23]SENSUS MEI'!$O$9:$O$453,MATCH(1,('[23]SENSUS MEI'!$D$9:$D$453=$D19)*('[23]SENSUS MEI'!$D$9:$D$453=$D19),0))</f>
        <v>7</v>
      </c>
      <c r="L19" s="9">
        <f>IFERROR(K19/I19*100,0)</f>
        <v>7.291666666666667</v>
      </c>
      <c r="M19" s="8" t="str">
        <f t="shared" si="1"/>
        <v>Perlu Pengendalian</v>
      </c>
      <c r="P19" s="194">
        <f t="shared" si="2"/>
        <v>3.8565</v>
      </c>
      <c r="Q19" s="194">
        <f t="array" ref="Q19">$P19*0.8</f>
        <v>3.0852000000000004</v>
      </c>
      <c r="R19" s="194">
        <f t="shared" si="3"/>
        <v>2.3138999999999998</v>
      </c>
      <c r="S19" s="194">
        <f t="shared" si="4"/>
        <v>1.5426000000000002</v>
      </c>
      <c r="T19" s="194">
        <f t="shared" si="5"/>
        <v>0.7713000000000001</v>
      </c>
    </row>
    <row r="20" spans="1:20" outlineLevel="1" x14ac:dyDescent="0.15">
      <c r="A20" s="8" t="s">
        <v>628</v>
      </c>
      <c r="B20" s="8" t="s">
        <v>14</v>
      </c>
      <c r="C20" s="8" t="s">
        <v>14</v>
      </c>
      <c r="D20" s="8" t="s">
        <v>637</v>
      </c>
      <c r="E20" s="9">
        <v>32.89</v>
      </c>
      <c r="F20" s="8" t="s">
        <v>469</v>
      </c>
      <c r="G20" s="143">
        <f t="array" ref="G20">INDEX('[23]SENSUS MEI'!$G$9:$G$453,MATCH(1,('[23]SENSUS MEI'!$D$9:$D$453=$D20)*('[23]SENSUS MEI'!$D$9:$D$453=$D20),0))</f>
        <v>4956</v>
      </c>
      <c r="H20" s="11">
        <f t="array" ref="H20">INDEX('[23]SENSUS MEI'!$J$9:$J$453,MATCH(1,('[23]SENSUS MEI'!$D$9:$D$453=$D20)*('[23]SENSUS MEI'!$D$9:$D$453=$D20),0))</f>
        <v>46154</v>
      </c>
      <c r="I20" s="143">
        <f t="array" ref="I20">INDEX('[23]SENSUS MEI'!$K$9:$K$453,MATCH(1,('[23]SENSUS MEI'!$D$9:$D$453=$D20)*('[23]SENSUS MEI'!$D$9:$D$453=$D20),0))</f>
        <v>368</v>
      </c>
      <c r="J20" s="9">
        <f t="array" ref="J20">IFERROR(I20/G20*100,0)</f>
        <v>7.4253430185633569</v>
      </c>
      <c r="K20" s="143">
        <f t="array" ref="K20">INDEX('[23]SENSUS MEI'!$M$9:$M$453,MATCH(1,('[23]SENSUS MEI'!$D$9:$D$453=$D20)*('[23]SENSUS MEI'!$D$9:$D$453=$D20),0))+INDEX('[23]SENSUS MEI'!$O$9:$O$453,MATCH(1,('[23]SENSUS MEI'!$D$9:$D$453=$D20)*('[23]SENSUS MEI'!$D$9:$D$453=$D20),0))</f>
        <v>41</v>
      </c>
      <c r="L20" s="9">
        <f t="shared" ref="L20:L83" si="6">IFERROR(K20/I20*100,0)</f>
        <v>11.141304347826086</v>
      </c>
      <c r="M20" s="8" t="str">
        <f t="shared" si="1"/>
        <v>Perlu Pengendalian</v>
      </c>
      <c r="P20" s="194">
        <f t="shared" si="2"/>
        <v>22.302</v>
      </c>
      <c r="Q20" s="194">
        <f t="array" ref="Q20">$P20*0.8</f>
        <v>17.8416</v>
      </c>
      <c r="R20" s="194">
        <f t="shared" si="3"/>
        <v>13.3812</v>
      </c>
      <c r="S20" s="194">
        <f t="shared" si="4"/>
        <v>8.9207999999999998</v>
      </c>
      <c r="T20" s="194">
        <f t="shared" si="5"/>
        <v>4.4603999999999999</v>
      </c>
    </row>
    <row r="21" spans="1:20" outlineLevel="1" x14ac:dyDescent="0.15">
      <c r="A21" s="8" t="s">
        <v>628</v>
      </c>
      <c r="B21" s="8" t="s">
        <v>14</v>
      </c>
      <c r="C21" s="8" t="s">
        <v>14</v>
      </c>
      <c r="D21" s="8" t="s">
        <v>638</v>
      </c>
      <c r="E21" s="9">
        <v>30.03</v>
      </c>
      <c r="F21" s="8" t="s">
        <v>469</v>
      </c>
      <c r="G21" s="143">
        <f t="array" ref="G21">INDEX('[23]SENSUS MEI'!$G$9:$G$453,MATCH(1,('[23]SENSUS MEI'!$D$9:$D$453=$D21)*('[23]SENSUS MEI'!$D$9:$D$453=$D21),0))</f>
        <v>4600</v>
      </c>
      <c r="H21" s="11">
        <f t="array" ref="H21">INDEX('[23]SENSUS MEI'!$J$9:$J$453,MATCH(1,('[23]SENSUS MEI'!$D$9:$D$453=$D21)*('[23]SENSUS MEI'!$D$9:$D$453=$D21),0))</f>
        <v>46154</v>
      </c>
      <c r="I21" s="143">
        <f t="array" ref="I21">INDEX('[23]SENSUS MEI'!$K$9:$K$453,MATCH(1,('[23]SENSUS MEI'!$D$9:$D$453=$D21)*('[23]SENSUS MEI'!$D$9:$D$453=$D21),0))</f>
        <v>366</v>
      </c>
      <c r="J21" s="9">
        <f t="array" ref="J21">IFERROR(I21/G21*100,0)</f>
        <v>7.9565217391304346</v>
      </c>
      <c r="K21" s="143">
        <f t="array" ref="K21">INDEX('[23]SENSUS MEI'!$M$9:$M$453,MATCH(1,('[23]SENSUS MEI'!$D$9:$D$453=$D21)*('[23]SENSUS MEI'!$D$9:$D$453=$D21),0))+INDEX('[23]SENSUS MEI'!$O$9:$O$453,MATCH(1,('[23]SENSUS MEI'!$D$9:$D$453=$D21)*('[23]SENSUS MEI'!$D$9:$D$453=$D21),0))</f>
        <v>68</v>
      </c>
      <c r="L21" s="9">
        <f t="shared" si="6"/>
        <v>18.579234972677597</v>
      </c>
      <c r="M21" s="8" t="str">
        <f t="shared" si="1"/>
        <v>Perlu Pengendalian</v>
      </c>
      <c r="P21" s="194">
        <f t="shared" si="2"/>
        <v>20.7</v>
      </c>
      <c r="Q21" s="194">
        <f t="array" ref="Q21">$P21*0.8</f>
        <v>16.559999999999999</v>
      </c>
      <c r="R21" s="194">
        <f t="shared" si="3"/>
        <v>12.42</v>
      </c>
      <c r="S21" s="194">
        <f t="shared" si="4"/>
        <v>8.2799999999999994</v>
      </c>
      <c r="T21" s="194">
        <f t="shared" si="5"/>
        <v>4.1399999999999997</v>
      </c>
    </row>
    <row r="22" spans="1:20" outlineLevel="1" x14ac:dyDescent="0.15">
      <c r="A22" s="8" t="s">
        <v>628</v>
      </c>
      <c r="B22" s="8" t="s">
        <v>14</v>
      </c>
      <c r="C22" s="8" t="s">
        <v>14</v>
      </c>
      <c r="D22" s="8" t="s">
        <v>29</v>
      </c>
      <c r="E22" s="9">
        <v>31.48</v>
      </c>
      <c r="F22" s="8" t="s">
        <v>469</v>
      </c>
      <c r="G22" s="143">
        <f t="array" ref="G22">INDEX('[23]SENSUS MEI'!$G$9:$G$453,MATCH(1,('[23]SENSUS MEI'!$D$9:$D$453=$D22)*('[23]SENSUS MEI'!$D$9:$D$453=$D22),0))</f>
        <v>4801</v>
      </c>
      <c r="H22" s="11">
        <f t="array" ref="H22">INDEX('[23]SENSUS MEI'!$J$9:$J$453,MATCH(1,('[23]SENSUS MEI'!$D$9:$D$453=$D22)*('[23]SENSUS MEI'!$D$9:$D$453=$D22),0))</f>
        <v>46154</v>
      </c>
      <c r="I22" s="143">
        <f t="array" ref="I22">INDEX('[23]SENSUS MEI'!$K$9:$K$453,MATCH(1,('[23]SENSUS MEI'!$D$9:$D$453=$D22)*('[23]SENSUS MEI'!$D$9:$D$453=$D22),0))</f>
        <v>468</v>
      </c>
      <c r="J22" s="9">
        <f t="array" ref="J22">IFERROR(I22/G22*100,0)</f>
        <v>9.74796917308894</v>
      </c>
      <c r="K22" s="143">
        <f t="array" ref="K22">INDEX('[23]SENSUS MEI'!$M$9:$M$453,MATCH(1,('[23]SENSUS MEI'!$D$9:$D$453=$D22)*('[23]SENSUS MEI'!$D$9:$D$453=$D22),0))+INDEX('[23]SENSUS MEI'!$O$9:$O$453,MATCH(1,('[23]SENSUS MEI'!$D$9:$D$453=$D22)*('[23]SENSUS MEI'!$D$9:$D$453=$D22),0))</f>
        <v>44</v>
      </c>
      <c r="L22" s="9">
        <f t="shared" si="6"/>
        <v>9.4017094017094021</v>
      </c>
      <c r="M22" s="8" t="str">
        <f t="shared" si="1"/>
        <v>Perlu Pengendalian</v>
      </c>
      <c r="P22" s="194">
        <f t="shared" si="2"/>
        <v>21.604500000000002</v>
      </c>
      <c r="Q22" s="194">
        <f t="array" ref="Q22">$P22*0.8</f>
        <v>17.283600000000003</v>
      </c>
      <c r="R22" s="194">
        <f t="shared" si="3"/>
        <v>12.9627</v>
      </c>
      <c r="S22" s="194">
        <f t="shared" si="4"/>
        <v>8.6418000000000017</v>
      </c>
      <c r="T22" s="194">
        <f t="shared" si="5"/>
        <v>4.3209000000000009</v>
      </c>
    </row>
    <row r="23" spans="1:20" outlineLevel="1" x14ac:dyDescent="0.15">
      <c r="A23" s="8" t="s">
        <v>628</v>
      </c>
      <c r="B23" s="8" t="s">
        <v>14</v>
      </c>
      <c r="C23" s="8" t="s">
        <v>14</v>
      </c>
      <c r="D23" s="8" t="s">
        <v>30</v>
      </c>
      <c r="E23" s="9">
        <v>22.46</v>
      </c>
      <c r="F23" s="8" t="s">
        <v>469</v>
      </c>
      <c r="G23" s="143">
        <f t="array" ref="G23">INDEX('[23]SENSUS MEI'!$G$9:$G$453,MATCH(1,('[23]SENSUS MEI'!$D$9:$D$453=$D23)*('[23]SENSUS MEI'!$D$9:$D$453=$D23),0))</f>
        <v>3451</v>
      </c>
      <c r="H23" s="11">
        <f t="array" ref="H23">INDEX('[23]SENSUS MEI'!$J$9:$J$453,MATCH(1,('[23]SENSUS MEI'!$D$9:$D$453=$D23)*('[23]SENSUS MEI'!$D$9:$D$453=$D23),0))</f>
        <v>46154</v>
      </c>
      <c r="I23" s="143">
        <f t="array" ref="I23">INDEX('[23]SENSUS MEI'!$K$9:$K$453,MATCH(1,('[23]SENSUS MEI'!$D$9:$D$453=$D23)*('[23]SENSUS MEI'!$D$9:$D$453=$D23),0))</f>
        <v>355</v>
      </c>
      <c r="J23" s="9">
        <f t="array" ref="J23">IFERROR(I23/G23*100,0)</f>
        <v>10.28687337003767</v>
      </c>
      <c r="K23" s="143">
        <f t="array" ref="K23">INDEX('[23]SENSUS MEI'!$M$9:$M$453,MATCH(1,('[23]SENSUS MEI'!$D$9:$D$453=$D23)*('[23]SENSUS MEI'!$D$9:$D$453=$D23),0))+INDEX('[23]SENSUS MEI'!$O$9:$O$453,MATCH(1,('[23]SENSUS MEI'!$D$9:$D$453=$D23)*('[23]SENSUS MEI'!$D$9:$D$453=$D23),0))</f>
        <v>24</v>
      </c>
      <c r="L23" s="9">
        <f t="shared" si="6"/>
        <v>6.7605633802816891</v>
      </c>
      <c r="M23" s="8" t="str">
        <f t="shared" si="1"/>
        <v>Perlu Pengendalian</v>
      </c>
      <c r="P23" s="194">
        <f t="shared" si="2"/>
        <v>15.529500000000001</v>
      </c>
      <c r="Q23" s="194">
        <f t="array" ref="Q23">$P23*0.8</f>
        <v>12.4236</v>
      </c>
      <c r="R23" s="194">
        <f t="shared" si="3"/>
        <v>9.3177000000000003</v>
      </c>
      <c r="S23" s="194">
        <f t="shared" si="4"/>
        <v>6.2118000000000002</v>
      </c>
      <c r="T23" s="194">
        <f t="shared" si="5"/>
        <v>3.1059000000000001</v>
      </c>
    </row>
    <row r="24" spans="1:20" outlineLevel="1" x14ac:dyDescent="0.15">
      <c r="A24" s="8" t="s">
        <v>628</v>
      </c>
      <c r="B24" s="8" t="s">
        <v>14</v>
      </c>
      <c r="C24" s="8" t="s">
        <v>14</v>
      </c>
      <c r="D24" s="8" t="s">
        <v>31</v>
      </c>
      <c r="E24" s="9">
        <v>25.74</v>
      </c>
      <c r="F24" s="8" t="s">
        <v>469</v>
      </c>
      <c r="G24" s="143">
        <f t="array" ref="G24">INDEX('[23]SENSUS MEI'!$G$9:$G$453,MATCH(1,('[23]SENSUS MEI'!$D$9:$D$453=$D24)*('[23]SENSUS MEI'!$D$9:$D$453=$D24),0))</f>
        <v>3937</v>
      </c>
      <c r="H24" s="11">
        <f t="array" ref="H24">INDEX('[23]SENSUS MEI'!$J$9:$J$453,MATCH(1,('[23]SENSUS MEI'!$D$9:$D$453=$D24)*('[23]SENSUS MEI'!$D$9:$D$453=$D24),0))</f>
        <v>46155</v>
      </c>
      <c r="I24" s="143">
        <f t="array" ref="I24">INDEX('[23]SENSUS MEI'!$K$9:$K$453,MATCH(1,('[23]SENSUS MEI'!$D$9:$D$453=$D24)*('[23]SENSUS MEI'!$D$9:$D$453=$D24),0))</f>
        <v>399</v>
      </c>
      <c r="J24" s="9">
        <f t="array" ref="J24">IFERROR(I24/G24*100,0)</f>
        <v>10.134620269240537</v>
      </c>
      <c r="K24" s="143">
        <f t="array" ref="K24">INDEX('[23]SENSUS MEI'!$M$9:$M$453,MATCH(1,('[23]SENSUS MEI'!$D$9:$D$453=$D24)*('[23]SENSUS MEI'!$D$9:$D$453=$D24),0))+INDEX('[23]SENSUS MEI'!$O$9:$O$453,MATCH(1,('[23]SENSUS MEI'!$D$9:$D$453=$D24)*('[23]SENSUS MEI'!$D$9:$D$453=$D24),0))</f>
        <v>64</v>
      </c>
      <c r="L24" s="9">
        <f t="shared" si="6"/>
        <v>16.040100250626566</v>
      </c>
      <c r="M24" s="8" t="str">
        <f t="shared" si="1"/>
        <v>Perlu Pengendalian</v>
      </c>
      <c r="P24" s="194">
        <f t="shared" si="2"/>
        <v>17.7165</v>
      </c>
      <c r="Q24" s="194">
        <f t="array" ref="Q24">$P24*0.8</f>
        <v>14.173200000000001</v>
      </c>
      <c r="R24" s="194">
        <f t="shared" si="3"/>
        <v>10.629899999999999</v>
      </c>
      <c r="S24" s="194">
        <f t="shared" si="4"/>
        <v>7.0866000000000007</v>
      </c>
      <c r="T24" s="194">
        <f t="shared" si="5"/>
        <v>3.5433000000000003</v>
      </c>
    </row>
    <row r="25" spans="1:20" outlineLevel="1" x14ac:dyDescent="0.15">
      <c r="A25" s="8" t="s">
        <v>628</v>
      </c>
      <c r="B25" s="8" t="s">
        <v>14</v>
      </c>
      <c r="C25" s="8" t="s">
        <v>14</v>
      </c>
      <c r="D25" s="8" t="s">
        <v>32</v>
      </c>
      <c r="E25" s="9">
        <v>23.52</v>
      </c>
      <c r="F25" s="8" t="s">
        <v>469</v>
      </c>
      <c r="G25" s="143">
        <f t="array" ref="G25">INDEX('[23]SENSUS MEI'!$G$9:$G$453,MATCH(1,('[23]SENSUS MEI'!$D$9:$D$453=$D25)*('[23]SENSUS MEI'!$D$9:$D$453=$D25),0))</f>
        <v>3549</v>
      </c>
      <c r="H25" s="11">
        <f t="array" ref="H25">INDEX('[23]SENSUS MEI'!$J$9:$J$453,MATCH(1,('[23]SENSUS MEI'!$D$9:$D$453=$D25)*('[23]SENSUS MEI'!$D$9:$D$453=$D25),0))</f>
        <v>46154</v>
      </c>
      <c r="I25" s="143">
        <f t="array" ref="I25">INDEX('[23]SENSUS MEI'!$K$9:$K$453,MATCH(1,('[23]SENSUS MEI'!$D$9:$D$453=$D25)*('[23]SENSUS MEI'!$D$9:$D$453=$D25),0))</f>
        <v>383</v>
      </c>
      <c r="J25" s="9">
        <f t="array" ref="J25">IFERROR(I25/G25*100,0)</f>
        <v>10.791772330233869</v>
      </c>
      <c r="K25" s="143">
        <f t="array" ref="K25">INDEX('[23]SENSUS MEI'!$M$9:$M$453,MATCH(1,('[23]SENSUS MEI'!$D$9:$D$453=$D25)*('[23]SENSUS MEI'!$D$9:$D$453=$D25),0))+INDEX('[23]SENSUS MEI'!$O$9:$O$453,MATCH(1,('[23]SENSUS MEI'!$D$9:$D$453=$D25)*('[23]SENSUS MEI'!$D$9:$D$453=$D25),0))</f>
        <v>109</v>
      </c>
      <c r="L25" s="9">
        <f t="shared" si="6"/>
        <v>28.459530026109658</v>
      </c>
      <c r="M25" s="8" t="str">
        <f t="shared" si="1"/>
        <v>Perlu Pengendalian</v>
      </c>
      <c r="P25" s="194">
        <f t="shared" si="2"/>
        <v>15.970499999999999</v>
      </c>
      <c r="Q25" s="194">
        <f t="array" ref="Q25">$P25*0.8</f>
        <v>12.776400000000001</v>
      </c>
      <c r="R25" s="194">
        <f t="shared" si="3"/>
        <v>9.5823</v>
      </c>
      <c r="S25" s="194">
        <f t="shared" si="4"/>
        <v>6.3882000000000003</v>
      </c>
      <c r="T25" s="194">
        <f t="shared" si="5"/>
        <v>3.1941000000000002</v>
      </c>
    </row>
    <row r="26" spans="1:20" outlineLevel="1" x14ac:dyDescent="0.15">
      <c r="A26" s="8" t="s">
        <v>628</v>
      </c>
      <c r="B26" s="8" t="s">
        <v>14</v>
      </c>
      <c r="C26" s="8" t="s">
        <v>14</v>
      </c>
      <c r="D26" s="8" t="s">
        <v>33</v>
      </c>
      <c r="E26" s="9">
        <v>19.559999999999999</v>
      </c>
      <c r="F26" s="8" t="s">
        <v>16</v>
      </c>
      <c r="G26" s="143">
        <f t="array" ref="G26">INDEX('[23]SENSUS MEI'!$G$9:$G$453,MATCH(1,('[23]SENSUS MEI'!$D$9:$D$453=$D26)*('[23]SENSUS MEI'!$D$9:$D$453=$D26),0))</f>
        <v>2961</v>
      </c>
      <c r="H26" s="11">
        <f t="array" ref="H26">INDEX('[23]SENSUS MEI'!$J$9:$J$453,MATCH(1,('[23]SENSUS MEI'!$D$9:$D$453=$D26)*('[23]SENSUS MEI'!$D$9:$D$453=$D26),0))</f>
        <v>46151</v>
      </c>
      <c r="I26" s="143">
        <f t="array" ref="I26">INDEX('[23]SENSUS MEI'!$K$9:$K$453,MATCH(1,('[23]SENSUS MEI'!$D$9:$D$453=$D26)*('[23]SENSUS MEI'!$D$9:$D$453=$D26),0))</f>
        <v>314</v>
      </c>
      <c r="J26" s="9">
        <f t="array" ref="J26">IFERROR(I26/G26*100,0)</f>
        <v>10.60452549814252</v>
      </c>
      <c r="K26" s="143">
        <f t="array" ref="K26">INDEX('[23]SENSUS MEI'!$M$9:$M$453,MATCH(1,('[23]SENSUS MEI'!$D$9:$D$453=$D26)*('[23]SENSUS MEI'!$D$9:$D$453=$D26),0))+INDEX('[23]SENSUS MEI'!$O$9:$O$453,MATCH(1,('[23]SENSUS MEI'!$D$9:$D$453=$D26)*('[23]SENSUS MEI'!$D$9:$D$453=$D26),0))</f>
        <v>54</v>
      </c>
      <c r="L26" s="9">
        <f t="shared" si="6"/>
        <v>17.197452229299362</v>
      </c>
      <c r="M26" s="8" t="str">
        <f t="shared" si="1"/>
        <v>Perlu Pengendalian</v>
      </c>
      <c r="P26" s="194">
        <f t="shared" si="2"/>
        <v>13.3245</v>
      </c>
      <c r="Q26" s="194">
        <f t="array" ref="Q26">$P26*0.8</f>
        <v>10.659600000000001</v>
      </c>
      <c r="R26" s="194">
        <f t="shared" si="3"/>
        <v>7.9946999999999999</v>
      </c>
      <c r="S26" s="194">
        <f t="shared" si="4"/>
        <v>5.3298000000000005</v>
      </c>
      <c r="T26" s="194">
        <f t="shared" si="5"/>
        <v>2.6649000000000003</v>
      </c>
    </row>
    <row r="27" spans="1:20" outlineLevel="1" x14ac:dyDescent="0.15">
      <c r="A27" s="8" t="s">
        <v>628</v>
      </c>
      <c r="B27" s="8" t="s">
        <v>14</v>
      </c>
      <c r="C27" s="8" t="s">
        <v>14</v>
      </c>
      <c r="D27" s="8" t="s">
        <v>34</v>
      </c>
      <c r="E27" s="9">
        <v>19.57</v>
      </c>
      <c r="F27" s="8" t="s">
        <v>16</v>
      </c>
      <c r="G27" s="143">
        <f t="array" ref="G27">INDEX('[23]SENSUS MEI'!$G$9:$G$453,MATCH(1,('[23]SENSUS MEI'!$D$9:$D$453=$D27)*('[23]SENSUS MEI'!$D$9:$D$453=$D27),0))</f>
        <v>3023</v>
      </c>
      <c r="H27" s="11">
        <f t="array" ref="H27">INDEX('[23]SENSUS MEI'!$J$9:$J$453,MATCH(1,('[23]SENSUS MEI'!$D$9:$D$453=$D27)*('[23]SENSUS MEI'!$D$9:$D$453=$D27),0))</f>
        <v>46151</v>
      </c>
      <c r="I27" s="143">
        <f t="array" ref="I27">INDEX('[23]SENSUS MEI'!$K$9:$K$453,MATCH(1,('[23]SENSUS MEI'!$D$9:$D$453=$D27)*('[23]SENSUS MEI'!$D$9:$D$453=$D27),0))</f>
        <v>316</v>
      </c>
      <c r="J27" s="9">
        <f t="array" ref="J27">IFERROR(I27/G27*100,0)</f>
        <v>10.453192193185577</v>
      </c>
      <c r="K27" s="143">
        <f t="array" ref="K27">INDEX('[23]SENSUS MEI'!$M$9:$M$453,MATCH(1,('[23]SENSUS MEI'!$D$9:$D$453=$D27)*('[23]SENSUS MEI'!$D$9:$D$453=$D27),0))+INDEX('[23]SENSUS MEI'!$O$9:$O$453,MATCH(1,('[23]SENSUS MEI'!$D$9:$D$453=$D27)*('[23]SENSUS MEI'!$D$9:$D$453=$D27),0))</f>
        <v>62</v>
      </c>
      <c r="L27" s="9">
        <f t="shared" si="6"/>
        <v>19.62025316455696</v>
      </c>
      <c r="M27" s="8" t="str">
        <f t="shared" si="1"/>
        <v>Perlu Pengendalian</v>
      </c>
      <c r="P27" s="194">
        <f t="shared" si="2"/>
        <v>13.6035</v>
      </c>
      <c r="Q27" s="194">
        <f t="array" ref="Q27">$P27*0.8</f>
        <v>10.882800000000001</v>
      </c>
      <c r="R27" s="194">
        <f t="shared" si="3"/>
        <v>8.1621000000000006</v>
      </c>
      <c r="S27" s="194">
        <f t="shared" si="4"/>
        <v>5.4414000000000007</v>
      </c>
      <c r="T27" s="194">
        <f t="shared" si="5"/>
        <v>2.7207000000000003</v>
      </c>
    </row>
    <row r="28" spans="1:20" outlineLevel="1" x14ac:dyDescent="0.15">
      <c r="A28" s="8" t="s">
        <v>628</v>
      </c>
      <c r="B28" s="8" t="s">
        <v>14</v>
      </c>
      <c r="C28" s="8" t="s">
        <v>14</v>
      </c>
      <c r="D28" s="8" t="s">
        <v>35</v>
      </c>
      <c r="E28" s="9">
        <v>15.75</v>
      </c>
      <c r="F28" s="8" t="s">
        <v>16</v>
      </c>
      <c r="G28" s="143">
        <f t="array" ref="G28">INDEX('[23]SENSUS MEI'!$G$9:$G$453,MATCH(1,('[23]SENSUS MEI'!$D$9:$D$453=$D28)*('[23]SENSUS MEI'!$D$9:$D$453=$D28),0))</f>
        <v>2329</v>
      </c>
      <c r="H28" s="11">
        <f t="array" ref="H28">INDEX('[23]SENSUS MEI'!$J$9:$J$453,MATCH(1,('[23]SENSUS MEI'!$D$9:$D$453=$D28)*('[23]SENSUS MEI'!$D$9:$D$453=$D28),0))</f>
        <v>46151</v>
      </c>
      <c r="I28" s="143">
        <f t="array" ref="I28">INDEX('[23]SENSUS MEI'!$K$9:$K$453,MATCH(1,('[23]SENSUS MEI'!$D$9:$D$453=$D28)*('[23]SENSUS MEI'!$D$9:$D$453=$D28),0))</f>
        <v>193</v>
      </c>
      <c r="J28" s="9">
        <f t="array" ref="J28">IFERROR(I28/G28*100,0)</f>
        <v>8.2868183769858312</v>
      </c>
      <c r="K28" s="143">
        <f t="array" ref="K28">INDEX('[23]SENSUS MEI'!$M$9:$M$453,MATCH(1,('[23]SENSUS MEI'!$D$9:$D$453=$D28)*('[23]SENSUS MEI'!$D$9:$D$453=$D28),0))+INDEX('[23]SENSUS MEI'!$O$9:$O$453,MATCH(1,('[23]SENSUS MEI'!$D$9:$D$453=$D28)*('[23]SENSUS MEI'!$D$9:$D$453=$D28),0))</f>
        <v>54</v>
      </c>
      <c r="L28" s="9">
        <f t="shared" si="6"/>
        <v>27.979274611398964</v>
      </c>
      <c r="M28" s="8" t="str">
        <f t="shared" si="1"/>
        <v>Perlu Pengendalian</v>
      </c>
      <c r="P28" s="194">
        <f t="shared" si="2"/>
        <v>10.480499999999999</v>
      </c>
      <c r="Q28" s="194">
        <f t="array" ref="Q28">$P28*0.8</f>
        <v>8.3843999999999994</v>
      </c>
      <c r="R28" s="194">
        <f t="shared" si="3"/>
        <v>6.2882999999999996</v>
      </c>
      <c r="S28" s="194">
        <f t="shared" si="4"/>
        <v>4.1921999999999997</v>
      </c>
      <c r="T28" s="194">
        <f t="shared" si="5"/>
        <v>2.0960999999999999</v>
      </c>
    </row>
    <row r="29" spans="1:20" outlineLevel="1" x14ac:dyDescent="0.15">
      <c r="A29" s="8" t="s">
        <v>628</v>
      </c>
      <c r="B29" s="8" t="s">
        <v>14</v>
      </c>
      <c r="C29" s="8" t="s">
        <v>14</v>
      </c>
      <c r="D29" s="8" t="s">
        <v>36</v>
      </c>
      <c r="E29" s="9">
        <v>10.039999999999999</v>
      </c>
      <c r="F29" s="8" t="s">
        <v>469</v>
      </c>
      <c r="G29" s="143">
        <f t="array" ref="G29">INDEX('[23]SENSUS MEI'!$G$9:$G$453,MATCH(1,('[23]SENSUS MEI'!$D$9:$D$453=$D29)*('[23]SENSUS MEI'!$D$9:$D$453=$D29),0))</f>
        <v>1520</v>
      </c>
      <c r="H29" s="11">
        <f t="array" ref="H29">INDEX('[23]SENSUS MEI'!$J$9:$J$453,MATCH(1,('[23]SENSUS MEI'!$D$9:$D$453=$D29)*('[23]SENSUS MEI'!$D$9:$D$453=$D29),0))</f>
        <v>46153</v>
      </c>
      <c r="I29" s="143">
        <f t="array" ref="I29">INDEX('[23]SENSUS MEI'!$K$9:$K$453,MATCH(1,('[23]SENSUS MEI'!$D$9:$D$453=$D29)*('[23]SENSUS MEI'!$D$9:$D$453=$D29),0))</f>
        <v>128</v>
      </c>
      <c r="J29" s="9">
        <f t="array" ref="J29">IFERROR(I29/G29*100,0)</f>
        <v>8.4210526315789469</v>
      </c>
      <c r="K29" s="143">
        <f t="array" ref="K29">INDEX('[23]SENSUS MEI'!$M$9:$M$453,MATCH(1,('[23]SENSUS MEI'!$D$9:$D$453=$D29)*('[23]SENSUS MEI'!$D$9:$D$453=$D29),0))+INDEX('[23]SENSUS MEI'!$O$9:$O$453,MATCH(1,('[23]SENSUS MEI'!$D$9:$D$453=$D29)*('[23]SENSUS MEI'!$D$9:$D$453=$D29),0))</f>
        <v>9</v>
      </c>
      <c r="L29" s="9">
        <f t="shared" si="6"/>
        <v>7.03125</v>
      </c>
      <c r="M29" s="8" t="str">
        <f t="shared" si="1"/>
        <v>Perlu Pengendalian</v>
      </c>
      <c r="P29" s="194">
        <f t="shared" si="2"/>
        <v>6.84</v>
      </c>
      <c r="Q29" s="194">
        <f t="array" ref="Q29">$P29*0.8</f>
        <v>5.4720000000000004</v>
      </c>
      <c r="R29" s="194">
        <f t="shared" si="3"/>
        <v>4.1040000000000001</v>
      </c>
      <c r="S29" s="194">
        <f t="shared" si="4"/>
        <v>2.7360000000000002</v>
      </c>
      <c r="T29" s="194">
        <f t="shared" si="5"/>
        <v>1.3680000000000001</v>
      </c>
    </row>
    <row r="30" spans="1:20" outlineLevel="1" x14ac:dyDescent="0.15">
      <c r="A30" s="8" t="s">
        <v>628</v>
      </c>
      <c r="B30" s="8" t="s">
        <v>14</v>
      </c>
      <c r="C30" s="8" t="s">
        <v>14</v>
      </c>
      <c r="D30" s="8" t="s">
        <v>37</v>
      </c>
      <c r="E30" s="9">
        <v>4.49</v>
      </c>
      <c r="F30" s="8" t="s">
        <v>469</v>
      </c>
      <c r="G30" s="143">
        <f t="array" ref="G30">INDEX('[23]SENSUS MEI'!$G$9:$G$453,MATCH(1,('[23]SENSUS MEI'!$D$9:$D$453=$D30)*('[23]SENSUS MEI'!$D$9:$D$453=$D30),0))</f>
        <v>629</v>
      </c>
      <c r="H30" s="11">
        <f t="array" ref="H30">INDEX('[23]SENSUS MEI'!$J$9:$J$453,MATCH(1,('[23]SENSUS MEI'!$D$9:$D$453=$D30)*('[23]SENSUS MEI'!$D$9:$D$453=$D30),0))</f>
        <v>46153</v>
      </c>
      <c r="I30" s="143">
        <f t="array" ref="I30">INDEX('[23]SENSUS MEI'!$K$9:$K$453,MATCH(1,('[23]SENSUS MEI'!$D$9:$D$453=$D30)*('[23]SENSUS MEI'!$D$9:$D$453=$D30),0))</f>
        <v>73</v>
      </c>
      <c r="J30" s="9">
        <f t="array" ref="J30">IFERROR(I30/G30*100,0)</f>
        <v>11.605723370429253</v>
      </c>
      <c r="K30" s="143">
        <f t="array" ref="K30">INDEX('[23]SENSUS MEI'!$M$9:$M$453,MATCH(1,('[23]SENSUS MEI'!$D$9:$D$453=$D30)*('[23]SENSUS MEI'!$D$9:$D$453=$D30),0))+INDEX('[23]SENSUS MEI'!$O$9:$O$453,MATCH(1,('[23]SENSUS MEI'!$D$9:$D$453=$D30)*('[23]SENSUS MEI'!$D$9:$D$453=$D30),0))</f>
        <v>6</v>
      </c>
      <c r="L30" s="9">
        <f t="shared" si="6"/>
        <v>8.2191780821917799</v>
      </c>
      <c r="M30" s="8" t="str">
        <f t="shared" si="1"/>
        <v>Perlu Pengendalian</v>
      </c>
      <c r="P30" s="194">
        <f t="shared" si="2"/>
        <v>2.8304999999999998</v>
      </c>
      <c r="Q30" s="194">
        <f t="array" ref="Q30">$P30*0.8</f>
        <v>2.2643999999999997</v>
      </c>
      <c r="R30" s="194">
        <f t="shared" si="3"/>
        <v>1.6982999999999999</v>
      </c>
      <c r="S30" s="194">
        <f t="shared" si="4"/>
        <v>1.1321999999999999</v>
      </c>
      <c r="T30" s="194">
        <f t="shared" si="5"/>
        <v>0.56609999999999994</v>
      </c>
    </row>
    <row r="31" spans="1:20" outlineLevel="1" x14ac:dyDescent="0.15">
      <c r="A31" s="8" t="s">
        <v>628</v>
      </c>
      <c r="B31" s="8" t="s">
        <v>14</v>
      </c>
      <c r="C31" s="8" t="s">
        <v>14</v>
      </c>
      <c r="D31" s="8" t="s">
        <v>38</v>
      </c>
      <c r="E31" s="9">
        <v>6.38</v>
      </c>
      <c r="F31" s="8" t="s">
        <v>469</v>
      </c>
      <c r="G31" s="143">
        <f t="array" ref="G31">INDEX('[23]SENSUS MEI'!$G$9:$G$453,MATCH(1,('[23]SENSUS MEI'!$D$9:$D$453=$D31)*('[23]SENSUS MEI'!$D$9:$D$453=$D31),0))</f>
        <v>856</v>
      </c>
      <c r="H31" s="11">
        <f t="array" ref="H31">INDEX('[23]SENSUS MEI'!$J$9:$J$453,MATCH(1,('[23]SENSUS MEI'!$D$9:$D$453=$D31)*('[23]SENSUS MEI'!$D$9:$D$453=$D31),0))</f>
        <v>46153</v>
      </c>
      <c r="I31" s="143">
        <f t="array" ref="I31">INDEX('[23]SENSUS MEI'!$K$9:$K$453,MATCH(1,('[23]SENSUS MEI'!$D$9:$D$453=$D31)*('[23]SENSUS MEI'!$D$9:$D$453=$D31),0))</f>
        <v>57</v>
      </c>
      <c r="J31" s="9">
        <f t="array" ref="J31">IFERROR(I31/G31*100,0)</f>
        <v>6.6588785046728969</v>
      </c>
      <c r="K31" s="143">
        <f t="array" ref="K31">INDEX('[23]SENSUS MEI'!$M$9:$M$453,MATCH(1,('[23]SENSUS MEI'!$D$9:$D$453=$D31)*('[23]SENSUS MEI'!$D$9:$D$453=$D31),0))+INDEX('[23]SENSUS MEI'!$O$9:$O$453,MATCH(1,('[23]SENSUS MEI'!$D$9:$D$453=$D31)*('[23]SENSUS MEI'!$D$9:$D$453=$D31),0))</f>
        <v>5</v>
      </c>
      <c r="L31" s="9">
        <f t="shared" si="6"/>
        <v>8.7719298245614024</v>
      </c>
      <c r="M31" s="8" t="str">
        <f t="shared" si="1"/>
        <v>Perlu Pengendalian</v>
      </c>
      <c r="P31" s="194">
        <f t="shared" si="2"/>
        <v>3.8519999999999999</v>
      </c>
      <c r="Q31" s="194">
        <f t="array" ref="Q31">$P31*0.8</f>
        <v>3.0815999999999999</v>
      </c>
      <c r="R31" s="194">
        <f t="shared" si="3"/>
        <v>2.3111999999999999</v>
      </c>
      <c r="S31" s="194">
        <f t="shared" si="4"/>
        <v>1.5407999999999999</v>
      </c>
      <c r="T31" s="194">
        <f t="shared" si="5"/>
        <v>0.77039999999999997</v>
      </c>
    </row>
    <row r="32" spans="1:20" outlineLevel="1" x14ac:dyDescent="0.15">
      <c r="A32" s="8" t="s">
        <v>628</v>
      </c>
      <c r="B32" s="8" t="s">
        <v>14</v>
      </c>
      <c r="C32" s="8" t="s">
        <v>14</v>
      </c>
      <c r="D32" s="8" t="s">
        <v>39</v>
      </c>
      <c r="E32" s="9">
        <v>6.14</v>
      </c>
      <c r="F32" s="8" t="s">
        <v>469</v>
      </c>
      <c r="G32" s="143">
        <f t="array" ref="G32">INDEX('[23]SENSUS MEI'!$G$9:$G$453,MATCH(1,('[23]SENSUS MEI'!$D$9:$D$453=$D32)*('[23]SENSUS MEI'!$D$9:$D$453=$D32),0))</f>
        <v>788</v>
      </c>
      <c r="H32" s="11">
        <f t="array" ref="H32">INDEX('[23]SENSUS MEI'!$J$9:$J$453,MATCH(1,('[23]SENSUS MEI'!$D$9:$D$453=$D32)*('[23]SENSUS MEI'!$D$9:$D$453=$D32),0))</f>
        <v>46153</v>
      </c>
      <c r="I32" s="143">
        <f t="array" ref="I32">INDEX('[23]SENSUS MEI'!$K$9:$K$453,MATCH(1,('[23]SENSUS MEI'!$D$9:$D$453=$D32)*('[23]SENSUS MEI'!$D$9:$D$453=$D32),0))</f>
        <v>23</v>
      </c>
      <c r="J32" s="9">
        <f t="array" ref="J32">IFERROR(I32/G32*100,0)</f>
        <v>2.9187817258883251</v>
      </c>
      <c r="K32" s="143">
        <f t="array" ref="K32">INDEX('[23]SENSUS MEI'!$M$9:$M$453,MATCH(1,('[23]SENSUS MEI'!$D$9:$D$453=$D32)*('[23]SENSUS MEI'!$D$9:$D$453=$D32),0))+INDEX('[23]SENSUS MEI'!$O$9:$O$453,MATCH(1,('[23]SENSUS MEI'!$D$9:$D$453=$D32)*('[23]SENSUS MEI'!$D$9:$D$453=$D32),0))</f>
        <v>3</v>
      </c>
      <c r="L32" s="9">
        <f t="shared" si="6"/>
        <v>13.043478260869565</v>
      </c>
      <c r="M32" s="8" t="str">
        <f t="shared" si="1"/>
        <v>Perlu Pengendalian</v>
      </c>
      <c r="P32" s="194">
        <f t="shared" si="2"/>
        <v>3.5459999999999998</v>
      </c>
      <c r="Q32" s="194">
        <f t="array" ref="Q32">$P32*0.8</f>
        <v>2.8368000000000002</v>
      </c>
      <c r="R32" s="194">
        <f t="shared" si="3"/>
        <v>2.1275999999999997</v>
      </c>
      <c r="S32" s="194">
        <f t="shared" si="4"/>
        <v>1.4184000000000001</v>
      </c>
      <c r="T32" s="194">
        <f t="shared" si="5"/>
        <v>0.70920000000000005</v>
      </c>
    </row>
    <row r="33" spans="1:20" outlineLevel="1" x14ac:dyDescent="0.15">
      <c r="A33" s="8" t="s">
        <v>628</v>
      </c>
      <c r="B33" s="8" t="s">
        <v>14</v>
      </c>
      <c r="C33" s="8" t="s">
        <v>14</v>
      </c>
      <c r="D33" s="8" t="s">
        <v>166</v>
      </c>
      <c r="E33" s="9">
        <v>12.69</v>
      </c>
      <c r="F33" s="8" t="s">
        <v>16</v>
      </c>
      <c r="G33" s="143">
        <f t="array" ref="G33">INDEX('[23]SENSUS MEI'!$G$9:$G$453,MATCH(1,('[23]SENSUS MEI'!$D$9:$D$453=$D33)*('[23]SENSUS MEI'!$D$9:$D$453=$D33),0))</f>
        <v>2246</v>
      </c>
      <c r="H33" s="11">
        <f t="array" ref="H33">INDEX('[23]SENSUS MEI'!$J$9:$J$453,MATCH(1,('[23]SENSUS MEI'!$D$9:$D$453=$D33)*('[23]SENSUS MEI'!$D$9:$D$453=$D33),0))</f>
        <v>46150</v>
      </c>
      <c r="I33" s="143">
        <f t="array" ref="I33">INDEX('[23]SENSUS MEI'!$K$9:$K$453,MATCH(1,('[23]SENSUS MEI'!$D$9:$D$453=$D33)*('[23]SENSUS MEI'!$D$9:$D$453=$D33),0))</f>
        <v>93</v>
      </c>
      <c r="J33" s="9">
        <f t="array" ref="J33">IFERROR(I33/G33*100,0)</f>
        <v>4.1406945681211038</v>
      </c>
      <c r="K33" s="143">
        <f t="array" ref="K33">INDEX('[23]SENSUS MEI'!$M$9:$M$453,MATCH(1,('[23]SENSUS MEI'!$D$9:$D$453=$D33)*('[23]SENSUS MEI'!$D$9:$D$453=$D33),0))+INDEX('[23]SENSUS MEI'!$O$9:$O$453,MATCH(1,('[23]SENSUS MEI'!$D$9:$D$453=$D33)*('[23]SENSUS MEI'!$D$9:$D$453=$D33),0))</f>
        <v>25</v>
      </c>
      <c r="L33" s="9">
        <f t="shared" si="6"/>
        <v>26.881720430107524</v>
      </c>
      <c r="M33" s="8" t="str">
        <f t="shared" si="1"/>
        <v>Perlu Pengendalian</v>
      </c>
      <c r="P33" s="194">
        <f t="shared" si="2"/>
        <v>10.106999999999999</v>
      </c>
      <c r="Q33" s="194">
        <f t="array" ref="Q33">$P33*0.8</f>
        <v>8.0855999999999995</v>
      </c>
      <c r="R33" s="194">
        <f t="shared" si="3"/>
        <v>6.0641999999999996</v>
      </c>
      <c r="S33" s="194">
        <f t="shared" si="4"/>
        <v>4.0427999999999997</v>
      </c>
      <c r="T33" s="194">
        <f t="shared" si="5"/>
        <v>2.0213999999999999</v>
      </c>
    </row>
    <row r="34" spans="1:20" outlineLevel="1" x14ac:dyDescent="0.15">
      <c r="A34" s="8" t="s">
        <v>628</v>
      </c>
      <c r="B34" s="8" t="s">
        <v>14</v>
      </c>
      <c r="C34" s="8" t="s">
        <v>14</v>
      </c>
      <c r="D34" s="8" t="s">
        <v>24</v>
      </c>
      <c r="E34" s="9">
        <v>46.16</v>
      </c>
      <c r="F34" s="8" t="s">
        <v>16</v>
      </c>
      <c r="G34" s="143">
        <f t="array" ref="G34">INDEX('[23]SENSUS MEI'!$G$9:$G$453,MATCH(1,('[23]SENSUS MEI'!$D$9:$D$453=$D34)*('[23]SENSUS MEI'!$D$9:$D$453=$D34),0))</f>
        <v>6397</v>
      </c>
      <c r="H34" s="11">
        <f t="array" ref="H34">INDEX('[23]SENSUS MEI'!$J$9:$J$453,MATCH(1,('[23]SENSUS MEI'!$D$9:$D$453=$D34)*('[23]SENSUS MEI'!$D$9:$D$453=$D34),0))</f>
        <v>46149</v>
      </c>
      <c r="I34" s="143">
        <f t="array" ref="I34">INDEX('[23]SENSUS MEI'!$K$9:$K$453,MATCH(1,('[23]SENSUS MEI'!$D$9:$D$453=$D34)*('[23]SENSUS MEI'!$D$9:$D$453=$D34),0))</f>
        <v>531</v>
      </c>
      <c r="J34" s="9">
        <f t="array" ref="J34">IFERROR(I34/G34*100,0)</f>
        <v>8.3007659840550261</v>
      </c>
      <c r="K34" s="143">
        <f t="array" ref="K34">INDEX('[23]SENSUS MEI'!$M$9:$M$453,MATCH(1,('[23]SENSUS MEI'!$D$9:$D$453=$D34)*('[23]SENSUS MEI'!$D$9:$D$453=$D34),0))+INDEX('[23]SENSUS MEI'!$O$9:$O$453,MATCH(1,('[23]SENSUS MEI'!$D$9:$D$453=$D34)*('[23]SENSUS MEI'!$D$9:$D$453=$D34),0))</f>
        <v>204</v>
      </c>
      <c r="L34" s="9">
        <f t="shared" si="6"/>
        <v>38.418079096045197</v>
      </c>
      <c r="M34" s="8" t="str">
        <f t="shared" si="1"/>
        <v>Perlu Pengendalian</v>
      </c>
      <c r="P34" s="194">
        <f t="shared" si="2"/>
        <v>28.7865</v>
      </c>
      <c r="Q34" s="194">
        <f t="array" ref="Q34">$P34*0.8</f>
        <v>23.029200000000003</v>
      </c>
      <c r="R34" s="194">
        <f t="shared" si="3"/>
        <v>17.271899999999999</v>
      </c>
      <c r="S34" s="194">
        <f t="shared" si="4"/>
        <v>11.514600000000002</v>
      </c>
      <c r="T34" s="194">
        <f t="shared" si="5"/>
        <v>5.7573000000000008</v>
      </c>
    </row>
    <row r="35" spans="1:20" outlineLevel="1" x14ac:dyDescent="0.15">
      <c r="A35" s="8" t="s">
        <v>628</v>
      </c>
      <c r="B35" s="8" t="s">
        <v>14</v>
      </c>
      <c r="C35" s="8" t="s">
        <v>14</v>
      </c>
      <c r="D35" s="8" t="s">
        <v>25</v>
      </c>
      <c r="E35" s="9">
        <v>49.6</v>
      </c>
      <c r="F35" s="8" t="s">
        <v>16</v>
      </c>
      <c r="G35" s="143">
        <f t="array" ref="G35">INDEX('[23]SENSUS MEI'!$G$9:$G$453,MATCH(1,('[23]SENSUS MEI'!$D$9:$D$453=$D35)*('[23]SENSUS MEI'!$D$9:$D$453=$D35),0))</f>
        <v>6650</v>
      </c>
      <c r="H35" s="11">
        <f t="array" ref="H35">INDEX('[23]SENSUS MEI'!$J$9:$J$453,MATCH(1,('[23]SENSUS MEI'!$D$9:$D$453=$D35)*('[23]SENSUS MEI'!$D$9:$D$453=$D35),0))</f>
        <v>46149</v>
      </c>
      <c r="I35" s="143">
        <f t="array" ref="I35">INDEX('[23]SENSUS MEI'!$K$9:$K$453,MATCH(1,('[23]SENSUS MEI'!$D$9:$D$453=$D35)*('[23]SENSUS MEI'!$D$9:$D$453=$D35),0))</f>
        <v>761</v>
      </c>
      <c r="J35" s="9">
        <f t="array" ref="J35">IFERROR(I35/G35*100,0)</f>
        <v>11.443609022556391</v>
      </c>
      <c r="K35" s="143">
        <f t="array" ref="K35">INDEX('[23]SENSUS MEI'!$M$9:$M$453,MATCH(1,('[23]SENSUS MEI'!$D$9:$D$453=$D35)*('[23]SENSUS MEI'!$D$9:$D$453=$D35),0))+INDEX('[23]SENSUS MEI'!$O$9:$O$453,MATCH(1,('[23]SENSUS MEI'!$D$9:$D$453=$D35)*('[23]SENSUS MEI'!$D$9:$D$453=$D35),0))</f>
        <v>163</v>
      </c>
      <c r="L35" s="9">
        <f t="shared" si="6"/>
        <v>21.419185282522996</v>
      </c>
      <c r="M35" s="8" t="str">
        <f t="shared" si="1"/>
        <v>Perlu Pengendalian</v>
      </c>
      <c r="P35" s="194">
        <f t="shared" si="2"/>
        <v>29.925000000000001</v>
      </c>
      <c r="Q35" s="194">
        <f t="array" ref="Q35">$P35*0.8</f>
        <v>23.94</v>
      </c>
      <c r="R35" s="194">
        <f t="shared" si="3"/>
        <v>17.954999999999998</v>
      </c>
      <c r="S35" s="194">
        <f t="shared" si="4"/>
        <v>11.97</v>
      </c>
      <c r="T35" s="194">
        <f t="shared" si="5"/>
        <v>5.9850000000000003</v>
      </c>
    </row>
    <row r="36" spans="1:20" outlineLevel="1" x14ac:dyDescent="0.15">
      <c r="A36" s="8" t="s">
        <v>628</v>
      </c>
      <c r="B36" s="8" t="s">
        <v>14</v>
      </c>
      <c r="C36" s="8" t="s">
        <v>14</v>
      </c>
      <c r="D36" s="8" t="s">
        <v>26</v>
      </c>
      <c r="E36" s="9">
        <v>46.57</v>
      </c>
      <c r="F36" s="8" t="s">
        <v>16</v>
      </c>
      <c r="G36" s="143">
        <f t="array" ref="G36">INDEX('[23]SENSUS MEI'!$G$9:$G$453,MATCH(1,('[23]SENSUS MEI'!$D$9:$D$453=$D36)*('[23]SENSUS MEI'!$D$9:$D$453=$D36),0))</f>
        <v>6851</v>
      </c>
      <c r="H36" s="11">
        <f t="array" ref="H36">INDEX('[23]SENSUS MEI'!$J$9:$J$453,MATCH(1,('[23]SENSUS MEI'!$D$9:$D$453=$D36)*('[23]SENSUS MEI'!$D$9:$D$453=$D36),0))</f>
        <v>46149</v>
      </c>
      <c r="I36" s="143">
        <f t="array" ref="I36">INDEX('[23]SENSUS MEI'!$K$9:$K$453,MATCH(1,('[23]SENSUS MEI'!$D$9:$D$453=$D36)*('[23]SENSUS MEI'!$D$9:$D$453=$D36),0))</f>
        <v>666</v>
      </c>
      <c r="J36" s="9">
        <f t="array" ref="J36">IFERROR(I36/G36*100,0)</f>
        <v>9.721208582688659</v>
      </c>
      <c r="K36" s="143">
        <f t="array" ref="K36">INDEX('[23]SENSUS MEI'!$M$9:$M$453,MATCH(1,('[23]SENSUS MEI'!$D$9:$D$453=$D36)*('[23]SENSUS MEI'!$D$9:$D$453=$D36),0))+INDEX('[23]SENSUS MEI'!$O$9:$O$453,MATCH(1,('[23]SENSUS MEI'!$D$9:$D$453=$D36)*('[23]SENSUS MEI'!$D$9:$D$453=$D36),0))</f>
        <v>137</v>
      </c>
      <c r="L36" s="9">
        <f t="shared" si="6"/>
        <v>20.57057057057057</v>
      </c>
      <c r="M36" s="8" t="str">
        <f t="shared" si="1"/>
        <v>Perlu Pengendalian</v>
      </c>
      <c r="P36" s="194">
        <f t="shared" si="2"/>
        <v>30.829499999999999</v>
      </c>
      <c r="Q36" s="194">
        <f t="array" ref="Q36">$P36*0.8</f>
        <v>24.663600000000002</v>
      </c>
      <c r="R36" s="194">
        <f t="shared" si="3"/>
        <v>18.497699999999998</v>
      </c>
      <c r="S36" s="194">
        <f t="shared" si="4"/>
        <v>12.331800000000001</v>
      </c>
      <c r="T36" s="194">
        <f t="shared" si="5"/>
        <v>6.1659000000000006</v>
      </c>
    </row>
    <row r="37" spans="1:20" outlineLevel="1" x14ac:dyDescent="0.15">
      <c r="A37" s="8" t="s">
        <v>628</v>
      </c>
      <c r="B37" s="8" t="s">
        <v>14</v>
      </c>
      <c r="C37" s="8" t="s">
        <v>47</v>
      </c>
      <c r="D37" s="8" t="s">
        <v>639</v>
      </c>
      <c r="E37" s="9">
        <v>5.72</v>
      </c>
      <c r="F37" s="8" t="s">
        <v>16</v>
      </c>
      <c r="G37" s="143">
        <f t="array" ref="G37">INDEX('[23]SENSUS MEI'!$G$9:$G$453,MATCH(1,('[23]SENSUS MEI'!$D$9:$D$453=$D37)*('[23]SENSUS MEI'!$D$9:$D$453=$D37),0))</f>
        <v>961</v>
      </c>
      <c r="H37" s="11">
        <f t="array" ref="H37">INDEX('[23]SENSUS MEI'!$J$9:$J$453,MATCH(1,('[23]SENSUS MEI'!$D$9:$D$453=$D37)*('[23]SENSUS MEI'!$D$9:$D$453=$D37),0))</f>
        <v>46151</v>
      </c>
      <c r="I37" s="143">
        <f t="array" ref="I37">INDEX('[23]SENSUS MEI'!$K$9:$K$453,MATCH(1,('[23]SENSUS MEI'!$D$9:$D$453=$D37)*('[23]SENSUS MEI'!$D$9:$D$453=$D37),0))</f>
        <v>80</v>
      </c>
      <c r="J37" s="9">
        <f t="array" ref="J37">IFERROR(I37/G37*100,0)</f>
        <v>8.3246618106139447</v>
      </c>
      <c r="K37" s="143">
        <f t="array" ref="K37">INDEX('[23]SENSUS MEI'!$M$9:$M$453,MATCH(1,('[23]SENSUS MEI'!$D$9:$D$453=$D37)*('[23]SENSUS MEI'!$D$9:$D$453=$D37),0))+INDEX('[23]SENSUS MEI'!$O$9:$O$453,MATCH(1,('[23]SENSUS MEI'!$D$9:$D$453=$D37)*('[23]SENSUS MEI'!$D$9:$D$453=$D37),0))</f>
        <v>23</v>
      </c>
      <c r="L37" s="9">
        <f t="shared" si="6"/>
        <v>28.749999999999996</v>
      </c>
      <c r="M37" s="8" t="str">
        <f t="shared" si="1"/>
        <v>Perlu Pengendalian</v>
      </c>
      <c r="P37" s="194">
        <f t="shared" si="2"/>
        <v>4.3244999999999996</v>
      </c>
      <c r="Q37" s="194">
        <f t="array" ref="Q37">$P37*0.8</f>
        <v>3.4596</v>
      </c>
      <c r="R37" s="194">
        <f t="shared" si="3"/>
        <v>2.5946999999999996</v>
      </c>
      <c r="S37" s="194">
        <f t="shared" si="4"/>
        <v>1.7298</v>
      </c>
      <c r="T37" s="194">
        <f t="shared" si="5"/>
        <v>0.8649</v>
      </c>
    </row>
    <row r="38" spans="1:20" outlineLevel="1" x14ac:dyDescent="0.15">
      <c r="A38" s="8" t="s">
        <v>628</v>
      </c>
      <c r="B38" s="8" t="s">
        <v>14</v>
      </c>
      <c r="C38" s="8" t="s">
        <v>47</v>
      </c>
      <c r="D38" s="8" t="s">
        <v>640</v>
      </c>
      <c r="E38" s="9">
        <v>9.09</v>
      </c>
      <c r="F38" s="8" t="s">
        <v>16</v>
      </c>
      <c r="G38" s="143">
        <f t="array" ref="G38">INDEX('[23]SENSUS MEI'!$G$9:$G$453,MATCH(1,('[23]SENSUS MEI'!$D$9:$D$453=$D38)*('[23]SENSUS MEI'!$D$9:$D$453=$D38),0))</f>
        <v>1180</v>
      </c>
      <c r="H38" s="11">
        <f t="array" ref="H38">INDEX('[23]SENSUS MEI'!$J$9:$J$453,MATCH(1,('[23]SENSUS MEI'!$D$9:$D$453=$D38)*('[23]SENSUS MEI'!$D$9:$D$453=$D38),0))</f>
        <v>46151</v>
      </c>
      <c r="I38" s="143">
        <f t="array" ref="I38">INDEX('[23]SENSUS MEI'!$K$9:$K$453,MATCH(1,('[23]SENSUS MEI'!$D$9:$D$453=$D38)*('[23]SENSUS MEI'!$D$9:$D$453=$D38),0))</f>
        <v>129</v>
      </c>
      <c r="J38" s="9">
        <f t="array" ref="J38">IFERROR(I38/G38*100,0)</f>
        <v>10.932203389830509</v>
      </c>
      <c r="K38" s="143">
        <f t="array" ref="K38">INDEX('[23]SENSUS MEI'!$M$9:$M$453,MATCH(1,('[23]SENSUS MEI'!$D$9:$D$453=$D38)*('[23]SENSUS MEI'!$D$9:$D$453=$D38),0))+INDEX('[23]SENSUS MEI'!$O$9:$O$453,MATCH(1,('[23]SENSUS MEI'!$D$9:$D$453=$D38)*('[23]SENSUS MEI'!$D$9:$D$453=$D38),0))</f>
        <v>11</v>
      </c>
      <c r="L38" s="9">
        <f t="shared" si="6"/>
        <v>8.5271317829457356</v>
      </c>
      <c r="M38" s="8" t="str">
        <f t="shared" si="1"/>
        <v>Perlu Pengendalian</v>
      </c>
      <c r="P38" s="194">
        <f t="shared" si="2"/>
        <v>5.31</v>
      </c>
      <c r="Q38" s="194">
        <f t="array" ref="Q38">$P38*0.8</f>
        <v>4.2480000000000002</v>
      </c>
      <c r="R38" s="194">
        <f t="shared" si="3"/>
        <v>3.1859999999999995</v>
      </c>
      <c r="S38" s="194">
        <f t="shared" si="4"/>
        <v>2.1240000000000001</v>
      </c>
      <c r="T38" s="194">
        <f t="shared" si="5"/>
        <v>1.0620000000000001</v>
      </c>
    </row>
    <row r="39" spans="1:20" outlineLevel="1" x14ac:dyDescent="0.15">
      <c r="A39" s="8" t="s">
        <v>628</v>
      </c>
      <c r="B39" s="8" t="s">
        <v>14</v>
      </c>
      <c r="C39" s="8" t="s">
        <v>47</v>
      </c>
      <c r="D39" s="8" t="s">
        <v>641</v>
      </c>
      <c r="E39" s="9">
        <v>8.8699999999999992</v>
      </c>
      <c r="F39" s="8" t="s">
        <v>16</v>
      </c>
      <c r="G39" s="143">
        <f t="array" ref="G39">INDEX('[23]SENSUS MEI'!$G$9:$G$453,MATCH(1,('[23]SENSUS MEI'!$D$9:$D$453=$D39)*('[23]SENSUS MEI'!$D$9:$D$453=$D39),0))</f>
        <v>1181</v>
      </c>
      <c r="H39" s="11">
        <f t="array" ref="H39">INDEX('[23]SENSUS MEI'!$J$9:$J$453,MATCH(1,('[23]SENSUS MEI'!$D$9:$D$453=$D39)*('[23]SENSUS MEI'!$D$9:$D$453=$D39),0))</f>
        <v>46151</v>
      </c>
      <c r="I39" s="143">
        <f t="array" ref="I39">INDEX('[23]SENSUS MEI'!$K$9:$K$453,MATCH(1,('[23]SENSUS MEI'!$D$9:$D$453=$D39)*('[23]SENSUS MEI'!$D$9:$D$453=$D39),0))</f>
        <v>132</v>
      </c>
      <c r="J39" s="9">
        <f t="array" ref="J39">IFERROR(I39/G39*100,0)</f>
        <v>11.17696867061812</v>
      </c>
      <c r="K39" s="143">
        <f t="array" ref="K39">INDEX('[23]SENSUS MEI'!$M$9:$M$453,MATCH(1,('[23]SENSUS MEI'!$D$9:$D$453=$D39)*('[23]SENSUS MEI'!$D$9:$D$453=$D39),0))+INDEX('[23]SENSUS MEI'!$O$9:$O$453,MATCH(1,('[23]SENSUS MEI'!$D$9:$D$453=$D39)*('[23]SENSUS MEI'!$D$9:$D$453=$D39),0))</f>
        <v>10</v>
      </c>
      <c r="L39" s="9">
        <f t="shared" si="6"/>
        <v>7.5757575757575761</v>
      </c>
      <c r="M39" s="8" t="str">
        <f t="shared" si="1"/>
        <v>Perlu Pengendalian</v>
      </c>
      <c r="P39" s="194">
        <f t="shared" si="2"/>
        <v>5.3144999999999998</v>
      </c>
      <c r="Q39" s="194">
        <f t="array" ref="Q39">$P39*0.8</f>
        <v>4.2515999999999998</v>
      </c>
      <c r="R39" s="194">
        <f t="shared" si="3"/>
        <v>3.1886999999999999</v>
      </c>
      <c r="S39" s="194">
        <f t="shared" si="4"/>
        <v>2.1257999999999999</v>
      </c>
      <c r="T39" s="194">
        <f t="shared" si="5"/>
        <v>1.0629</v>
      </c>
    </row>
    <row r="40" spans="1:20" outlineLevel="1" x14ac:dyDescent="0.15">
      <c r="A40" s="8" t="s">
        <v>628</v>
      </c>
      <c r="B40" s="8" t="s">
        <v>14</v>
      </c>
      <c r="C40" s="8" t="s">
        <v>47</v>
      </c>
      <c r="D40" s="8" t="s">
        <v>642</v>
      </c>
      <c r="E40" s="9">
        <v>6.17</v>
      </c>
      <c r="F40" s="8" t="s">
        <v>16</v>
      </c>
      <c r="G40" s="143">
        <f t="array" ref="G40">INDEX('[23]SENSUS MEI'!$G$9:$G$453,MATCH(1,('[23]SENSUS MEI'!$D$9:$D$453=$D40)*('[23]SENSUS MEI'!$D$9:$D$453=$D40),0))</f>
        <v>843</v>
      </c>
      <c r="H40" s="11">
        <f t="array" ref="H40">INDEX('[23]SENSUS MEI'!$J$9:$J$453,MATCH(1,('[23]SENSUS MEI'!$D$9:$D$453=$D40)*('[23]SENSUS MEI'!$D$9:$D$453=$D40),0))</f>
        <v>46153</v>
      </c>
      <c r="I40" s="143">
        <f t="array" ref="I40">INDEX('[23]SENSUS MEI'!$K$9:$K$453,MATCH(1,('[23]SENSUS MEI'!$D$9:$D$453=$D40)*('[23]SENSUS MEI'!$D$9:$D$453=$D40),0))</f>
        <v>112</v>
      </c>
      <c r="J40" s="9">
        <f t="array" ref="J40">IFERROR(I40/G40*100,0)</f>
        <v>13.285883748517199</v>
      </c>
      <c r="K40" s="143">
        <f t="array" ref="K40">INDEX('[23]SENSUS MEI'!$M$9:$M$453,MATCH(1,('[23]SENSUS MEI'!$D$9:$D$453=$D40)*('[23]SENSUS MEI'!$D$9:$D$453=$D40),0))+INDEX('[23]SENSUS MEI'!$O$9:$O$453,MATCH(1,('[23]SENSUS MEI'!$D$9:$D$453=$D40)*('[23]SENSUS MEI'!$D$9:$D$453=$D40),0))</f>
        <v>17</v>
      </c>
      <c r="L40" s="9">
        <f t="shared" si="6"/>
        <v>15.178571428571427</v>
      </c>
      <c r="M40" s="8" t="str">
        <f t="shared" si="1"/>
        <v>Perlu Pengendalian</v>
      </c>
      <c r="P40" s="194">
        <f t="shared" si="2"/>
        <v>3.7934999999999999</v>
      </c>
      <c r="Q40" s="194">
        <f t="array" ref="Q40">$P40*0.8</f>
        <v>3.0348000000000002</v>
      </c>
      <c r="R40" s="194">
        <f t="shared" si="3"/>
        <v>2.2761</v>
      </c>
      <c r="S40" s="194">
        <f t="shared" si="4"/>
        <v>1.5174000000000001</v>
      </c>
      <c r="T40" s="194">
        <f t="shared" si="5"/>
        <v>0.75870000000000004</v>
      </c>
    </row>
    <row r="41" spans="1:20" outlineLevel="1" x14ac:dyDescent="0.15">
      <c r="A41" s="8" t="s">
        <v>628</v>
      </c>
      <c r="B41" s="8" t="s">
        <v>14</v>
      </c>
      <c r="C41" s="8" t="s">
        <v>47</v>
      </c>
      <c r="D41" s="8" t="s">
        <v>27</v>
      </c>
      <c r="E41" s="9">
        <v>32.64</v>
      </c>
      <c r="F41" s="8" t="s">
        <v>16</v>
      </c>
      <c r="G41" s="143">
        <f t="array" ref="G41">INDEX('[23]SENSUS MEI'!$G$9:$G$453,MATCH(1,('[23]SENSUS MEI'!$D$9:$D$453=$D41)*('[23]SENSUS MEI'!$D$9:$D$453=$D41),0))</f>
        <v>4956</v>
      </c>
      <c r="H41" s="11">
        <f t="array" ref="H41">INDEX('[23]SENSUS MEI'!$J$9:$J$453,MATCH(1,('[23]SENSUS MEI'!$D$9:$D$453=$D41)*('[23]SENSUS MEI'!$D$9:$D$453=$D41),0))</f>
        <v>46155</v>
      </c>
      <c r="I41" s="143">
        <f t="array" ref="I41">INDEX('[23]SENSUS MEI'!$K$9:$K$453,MATCH(1,('[23]SENSUS MEI'!$D$9:$D$453=$D41)*('[23]SENSUS MEI'!$D$9:$D$453=$D41),0))</f>
        <v>290</v>
      </c>
      <c r="J41" s="9">
        <f t="array" ref="J41">IFERROR(I41/G41*100,0)</f>
        <v>5.8514931396287331</v>
      </c>
      <c r="K41" s="143">
        <f t="array" ref="K41">INDEX('[23]SENSUS MEI'!$M$9:$M$453,MATCH(1,('[23]SENSUS MEI'!$D$9:$D$453=$D41)*('[23]SENSUS MEI'!$D$9:$D$453=$D41),0))+INDEX('[23]SENSUS MEI'!$O$9:$O$453,MATCH(1,('[23]SENSUS MEI'!$D$9:$D$453=$D41)*('[23]SENSUS MEI'!$D$9:$D$453=$D41),0))</f>
        <v>49</v>
      </c>
      <c r="L41" s="9">
        <f t="shared" si="6"/>
        <v>16.896551724137932</v>
      </c>
      <c r="M41" s="8" t="str">
        <f t="shared" si="1"/>
        <v>Perlu Pengendalian</v>
      </c>
      <c r="P41" s="194">
        <f t="shared" si="2"/>
        <v>22.302</v>
      </c>
      <c r="Q41" s="194">
        <f t="array" ref="Q41">$P41*0.8</f>
        <v>17.8416</v>
      </c>
      <c r="R41" s="194">
        <f t="shared" si="3"/>
        <v>13.3812</v>
      </c>
      <c r="S41" s="194">
        <f t="shared" si="4"/>
        <v>8.9207999999999998</v>
      </c>
      <c r="T41" s="194">
        <f t="shared" si="5"/>
        <v>4.4603999999999999</v>
      </c>
    </row>
    <row r="42" spans="1:20" outlineLevel="1" x14ac:dyDescent="0.15">
      <c r="A42" s="8" t="s">
        <v>628</v>
      </c>
      <c r="B42" s="8" t="s">
        <v>14</v>
      </c>
      <c r="C42" s="8" t="s">
        <v>47</v>
      </c>
      <c r="D42" s="8" t="s">
        <v>28</v>
      </c>
      <c r="E42" s="9">
        <v>41.09</v>
      </c>
      <c r="F42" s="8" t="s">
        <v>16</v>
      </c>
      <c r="G42" s="143">
        <f t="array" ref="G42">INDEX('[23]SENSUS MEI'!$G$9:$G$453,MATCH(1,('[23]SENSUS MEI'!$D$9:$D$453=$D42)*('[23]SENSUS MEI'!$D$9:$D$453=$D42),0))</f>
        <v>6299</v>
      </c>
      <c r="H42" s="11">
        <f t="array" ref="H42">INDEX('[23]SENSUS MEI'!$J$9:$J$453,MATCH(1,('[23]SENSUS MEI'!$D$9:$D$453=$D42)*('[23]SENSUS MEI'!$D$9:$D$453=$D42),0))</f>
        <v>46155</v>
      </c>
      <c r="I42" s="143">
        <f t="array" ref="I42">INDEX('[23]SENSUS MEI'!$K$9:$K$453,MATCH(1,('[23]SENSUS MEI'!$D$9:$D$453=$D42)*('[23]SENSUS MEI'!$D$9:$D$453=$D42),0))</f>
        <v>493</v>
      </c>
      <c r="J42" s="9">
        <f t="array" ref="J42">IFERROR(I42/G42*100,0)</f>
        <v>7.8266391490712808</v>
      </c>
      <c r="K42" s="143">
        <f t="array" ref="K42">INDEX('[23]SENSUS MEI'!$M$9:$M$453,MATCH(1,('[23]SENSUS MEI'!$D$9:$D$453=$D42)*('[23]SENSUS MEI'!$D$9:$D$453=$D42),0))+INDEX('[23]SENSUS MEI'!$O$9:$O$453,MATCH(1,('[23]SENSUS MEI'!$D$9:$D$453=$D42)*('[23]SENSUS MEI'!$D$9:$D$453=$D42),0))</f>
        <v>36</v>
      </c>
      <c r="L42" s="9">
        <f t="shared" si="6"/>
        <v>7.3022312373225153</v>
      </c>
      <c r="M42" s="8" t="str">
        <f t="shared" si="1"/>
        <v>Perlu Pengendalian</v>
      </c>
      <c r="P42" s="194">
        <f t="shared" si="2"/>
        <v>28.345500000000001</v>
      </c>
      <c r="Q42" s="194">
        <f t="array" ref="Q42">$P42*0.8</f>
        <v>22.676400000000001</v>
      </c>
      <c r="R42" s="194">
        <f t="shared" si="3"/>
        <v>17.007300000000001</v>
      </c>
      <c r="S42" s="194">
        <f t="shared" si="4"/>
        <v>11.338200000000001</v>
      </c>
      <c r="T42" s="194">
        <f t="shared" si="5"/>
        <v>5.6691000000000003</v>
      </c>
    </row>
    <row r="43" spans="1:20" outlineLevel="1" x14ac:dyDescent="0.15">
      <c r="A43" s="8" t="s">
        <v>628</v>
      </c>
      <c r="B43" s="8" t="s">
        <v>14</v>
      </c>
      <c r="C43" s="8" t="s">
        <v>47</v>
      </c>
      <c r="D43" s="8" t="s">
        <v>643</v>
      </c>
      <c r="E43" s="9">
        <v>35.71</v>
      </c>
      <c r="F43" s="8" t="s">
        <v>16</v>
      </c>
      <c r="G43" s="143">
        <f t="array" ref="G43">INDEX('[23]SENSUS MEI'!$G$9:$G$453,MATCH(1,('[23]SENSUS MEI'!$D$9:$D$453=$D43)*('[23]SENSUS MEI'!$D$9:$D$453=$D43),0))</f>
        <v>5282</v>
      </c>
      <c r="H43" s="11">
        <f t="array" ref="H43">INDEX('[23]SENSUS MEI'!$J$9:$J$453,MATCH(1,('[23]SENSUS MEI'!$D$9:$D$453=$D43)*('[23]SENSUS MEI'!$D$9:$D$453=$D43),0))</f>
        <v>46149</v>
      </c>
      <c r="I43" s="143">
        <f t="array" ref="I43">INDEX('[23]SENSUS MEI'!$K$9:$K$453,MATCH(1,('[23]SENSUS MEI'!$D$9:$D$453=$D43)*('[23]SENSUS MEI'!$D$9:$D$453=$D43),0))</f>
        <v>339</v>
      </c>
      <c r="J43" s="9">
        <f t="array" ref="J43">IFERROR(I43/G43*100,0)</f>
        <v>6.4180234759560779</v>
      </c>
      <c r="K43" s="143">
        <f t="array" ref="K43">INDEX('[23]SENSUS MEI'!$M$9:$M$453,MATCH(1,('[23]SENSUS MEI'!$D$9:$D$453=$D43)*('[23]SENSUS MEI'!$D$9:$D$453=$D43),0))+INDEX('[23]SENSUS MEI'!$O$9:$O$453,MATCH(1,('[23]SENSUS MEI'!$D$9:$D$453=$D43)*('[23]SENSUS MEI'!$D$9:$D$453=$D43),0))</f>
        <v>55</v>
      </c>
      <c r="L43" s="9">
        <f t="shared" si="6"/>
        <v>16.224188790560472</v>
      </c>
      <c r="M43" s="8" t="str">
        <f t="shared" si="1"/>
        <v>Perlu Pengendalian</v>
      </c>
      <c r="P43" s="194">
        <f t="shared" si="2"/>
        <v>23.768999999999998</v>
      </c>
      <c r="Q43" s="194">
        <f t="array" ref="Q43">$P43*0.8</f>
        <v>19.0152</v>
      </c>
      <c r="R43" s="194">
        <f t="shared" si="3"/>
        <v>14.261399999999998</v>
      </c>
      <c r="S43" s="194">
        <f t="shared" si="4"/>
        <v>9.5076000000000001</v>
      </c>
      <c r="T43" s="194">
        <f t="shared" si="5"/>
        <v>4.7538</v>
      </c>
    </row>
    <row r="44" spans="1:20" outlineLevel="1" x14ac:dyDescent="0.15">
      <c r="A44" s="8" t="s">
        <v>628</v>
      </c>
      <c r="B44" s="8" t="s">
        <v>14</v>
      </c>
      <c r="C44" s="8" t="s">
        <v>47</v>
      </c>
      <c r="D44" s="8" t="s">
        <v>644</v>
      </c>
      <c r="E44" s="9">
        <v>30.73</v>
      </c>
      <c r="F44" s="8" t="s">
        <v>16</v>
      </c>
      <c r="G44" s="143">
        <f t="array" ref="G44">INDEX('[23]SENSUS MEI'!$G$9:$G$453,MATCH(1,('[23]SENSUS MEI'!$D$9:$D$453=$D44)*('[23]SENSUS MEI'!$D$9:$D$453=$D44),0))</f>
        <v>4578</v>
      </c>
      <c r="H44" s="11">
        <f t="array" ref="H44">INDEX('[23]SENSUS MEI'!$J$9:$J$453,MATCH(1,('[23]SENSUS MEI'!$D$9:$D$453=$D44)*('[23]SENSUS MEI'!$D$9:$D$453=$D44),0))</f>
        <v>46149</v>
      </c>
      <c r="I44" s="143">
        <f t="array" ref="I44">INDEX('[23]SENSUS MEI'!$K$9:$K$453,MATCH(1,('[23]SENSUS MEI'!$D$9:$D$453=$D44)*('[23]SENSUS MEI'!$D$9:$D$453=$D44),0))</f>
        <v>357</v>
      </c>
      <c r="J44" s="9">
        <f t="array" ref="J44">IFERROR(I44/G44*100,0)</f>
        <v>7.7981651376146797</v>
      </c>
      <c r="K44" s="143">
        <f t="array" ref="K44">INDEX('[23]SENSUS MEI'!$M$9:$M$453,MATCH(1,('[23]SENSUS MEI'!$D$9:$D$453=$D44)*('[23]SENSUS MEI'!$D$9:$D$453=$D44),0))+INDEX('[23]SENSUS MEI'!$O$9:$O$453,MATCH(1,('[23]SENSUS MEI'!$D$9:$D$453=$D44)*('[23]SENSUS MEI'!$D$9:$D$453=$D44),0))</f>
        <v>125</v>
      </c>
      <c r="L44" s="9">
        <f t="shared" si="6"/>
        <v>35.014005602240893</v>
      </c>
      <c r="M44" s="8" t="str">
        <f t="shared" si="1"/>
        <v>Perlu Pengendalian</v>
      </c>
      <c r="P44" s="194">
        <f t="shared" si="2"/>
        <v>20.600999999999999</v>
      </c>
      <c r="Q44" s="194">
        <f t="array" ref="Q44">$P44*0.8</f>
        <v>16.480799999999999</v>
      </c>
      <c r="R44" s="194">
        <f t="shared" si="3"/>
        <v>12.3606</v>
      </c>
      <c r="S44" s="194">
        <f t="shared" si="4"/>
        <v>8.2403999999999993</v>
      </c>
      <c r="T44" s="194">
        <f t="shared" si="5"/>
        <v>4.1201999999999996</v>
      </c>
    </row>
    <row r="45" spans="1:20" outlineLevel="1" x14ac:dyDescent="0.15">
      <c r="A45" s="8" t="s">
        <v>628</v>
      </c>
      <c r="B45" s="8" t="s">
        <v>14</v>
      </c>
      <c r="C45" s="8" t="s">
        <v>47</v>
      </c>
      <c r="D45" s="8" t="s">
        <v>645</v>
      </c>
      <c r="E45" s="9">
        <v>27.55</v>
      </c>
      <c r="F45" s="8" t="s">
        <v>16</v>
      </c>
      <c r="G45" s="143">
        <f t="array" ref="G45">INDEX('[23]SENSUS MEI'!$G$9:$G$453,MATCH(1,('[23]SENSUS MEI'!$D$9:$D$453=$D45)*('[23]SENSUS MEI'!$D$9:$D$453=$D45),0))</f>
        <v>4025</v>
      </c>
      <c r="H45" s="11">
        <f t="array" ref="H45">INDEX('[23]SENSUS MEI'!$J$9:$J$453,MATCH(1,('[23]SENSUS MEI'!$D$9:$D$453=$D45)*('[23]SENSUS MEI'!$D$9:$D$453=$D45),0))</f>
        <v>46150</v>
      </c>
      <c r="I45" s="143">
        <f t="array" ref="I45">INDEX('[23]SENSUS MEI'!$K$9:$K$453,MATCH(1,('[23]SENSUS MEI'!$D$9:$D$453=$D45)*('[23]SENSUS MEI'!$D$9:$D$453=$D45),0))</f>
        <v>380</v>
      </c>
      <c r="J45" s="9">
        <f t="array" ref="J45">IFERROR(I45/G45*100,0)</f>
        <v>9.4409937888198758</v>
      </c>
      <c r="K45" s="143">
        <f t="array" ref="K45">INDEX('[23]SENSUS MEI'!$M$9:$M$453,MATCH(1,('[23]SENSUS MEI'!$D$9:$D$453=$D45)*('[23]SENSUS MEI'!$D$9:$D$453=$D45),0))+INDEX('[23]SENSUS MEI'!$O$9:$O$453,MATCH(1,('[23]SENSUS MEI'!$D$9:$D$453=$D45)*('[23]SENSUS MEI'!$D$9:$D$453=$D45),0))</f>
        <v>101</v>
      </c>
      <c r="L45" s="9">
        <f t="shared" si="6"/>
        <v>26.578947368421051</v>
      </c>
      <c r="M45" s="8" t="str">
        <f t="shared" si="1"/>
        <v>Perlu Pengendalian</v>
      </c>
      <c r="P45" s="194">
        <f t="shared" si="2"/>
        <v>18.112500000000001</v>
      </c>
      <c r="Q45" s="194">
        <f t="array" ref="Q45">$P45*0.8</f>
        <v>14.490000000000002</v>
      </c>
      <c r="R45" s="194">
        <f t="shared" si="3"/>
        <v>10.8675</v>
      </c>
      <c r="S45" s="194">
        <f t="shared" si="4"/>
        <v>7.245000000000001</v>
      </c>
      <c r="T45" s="194">
        <f t="shared" si="5"/>
        <v>3.6225000000000005</v>
      </c>
    </row>
    <row r="46" spans="1:20" outlineLevel="1" x14ac:dyDescent="0.15">
      <c r="A46" s="8" t="s">
        <v>628</v>
      </c>
      <c r="B46" s="8" t="s">
        <v>14</v>
      </c>
      <c r="C46" s="8" t="s">
        <v>47</v>
      </c>
      <c r="D46" s="8" t="s">
        <v>646</v>
      </c>
      <c r="E46" s="9">
        <v>27.04</v>
      </c>
      <c r="F46" s="8" t="s">
        <v>16</v>
      </c>
      <c r="G46" s="143">
        <f t="array" ref="G46">INDEX('[23]SENSUS MEI'!$G$9:$G$453,MATCH(1,('[23]SENSUS MEI'!$D$9:$D$453=$D46)*('[23]SENSUS MEI'!$D$9:$D$453=$D46),0))</f>
        <v>4017</v>
      </c>
      <c r="H46" s="11">
        <f t="array" ref="H46">INDEX('[23]SENSUS MEI'!$J$9:$J$453,MATCH(1,('[23]SENSUS MEI'!$D$9:$D$453=$D46)*('[23]SENSUS MEI'!$D$9:$D$453=$D46),0))</f>
        <v>46150</v>
      </c>
      <c r="I46" s="143">
        <f t="array" ref="I46">INDEX('[23]SENSUS MEI'!$K$9:$K$453,MATCH(1,('[23]SENSUS MEI'!$D$9:$D$453=$D46)*('[23]SENSUS MEI'!$D$9:$D$453=$D46),0))</f>
        <v>349</v>
      </c>
      <c r="J46" s="9">
        <f t="array" ref="J46">IFERROR(I46/G46*100,0)</f>
        <v>8.6880756783669408</v>
      </c>
      <c r="K46" s="143">
        <f t="array" ref="K46">INDEX('[23]SENSUS MEI'!$M$9:$M$453,MATCH(1,('[23]SENSUS MEI'!$D$9:$D$453=$D46)*('[23]SENSUS MEI'!$D$9:$D$453=$D46),0))+INDEX('[23]SENSUS MEI'!$O$9:$O$453,MATCH(1,('[23]SENSUS MEI'!$D$9:$D$453=$D46)*('[23]SENSUS MEI'!$D$9:$D$453=$D46),0))</f>
        <v>72</v>
      </c>
      <c r="L46" s="9">
        <f t="shared" si="6"/>
        <v>20.630372492836678</v>
      </c>
      <c r="M46" s="8" t="str">
        <f t="shared" si="1"/>
        <v>Perlu Pengendalian</v>
      </c>
      <c r="P46" s="194">
        <f t="shared" si="2"/>
        <v>18.076499999999999</v>
      </c>
      <c r="Q46" s="194">
        <f t="array" ref="Q46">$P46*0.8</f>
        <v>14.4612</v>
      </c>
      <c r="R46" s="194">
        <f t="shared" si="3"/>
        <v>10.845899999999999</v>
      </c>
      <c r="S46" s="194">
        <f t="shared" si="4"/>
        <v>7.2305999999999999</v>
      </c>
      <c r="T46" s="194">
        <f t="shared" si="5"/>
        <v>3.6153</v>
      </c>
    </row>
    <row r="47" spans="1:20" outlineLevel="1" x14ac:dyDescent="0.15">
      <c r="A47" s="8" t="s">
        <v>628</v>
      </c>
      <c r="B47" s="8" t="s">
        <v>14</v>
      </c>
      <c r="C47" s="8" t="s">
        <v>47</v>
      </c>
      <c r="D47" s="8" t="s">
        <v>647</v>
      </c>
      <c r="E47" s="9">
        <v>30.51</v>
      </c>
      <c r="F47" s="8" t="s">
        <v>16</v>
      </c>
      <c r="G47" s="143">
        <f t="array" ref="G47">INDEX('[23]SENSUS MEI'!$G$9:$G$453,MATCH(1,('[23]SENSUS MEI'!$D$9:$D$453=$D47)*('[23]SENSUS MEI'!$D$9:$D$453=$D47),0))</f>
        <v>4510</v>
      </c>
      <c r="H47" s="11">
        <f t="array" ref="H47">INDEX('[23]SENSUS MEI'!$J$9:$J$453,MATCH(1,('[23]SENSUS MEI'!$D$9:$D$453=$D47)*('[23]SENSUS MEI'!$D$9:$D$453=$D47),0))</f>
        <v>46150</v>
      </c>
      <c r="I47" s="143">
        <f t="array" ref="I47">INDEX('[23]SENSUS MEI'!$K$9:$K$453,MATCH(1,('[23]SENSUS MEI'!$D$9:$D$453=$D47)*('[23]SENSUS MEI'!$D$9:$D$453=$D47),0))</f>
        <v>347</v>
      </c>
      <c r="J47" s="9">
        <f t="array" ref="J47">IFERROR(I47/G47*100,0)</f>
        <v>7.6940133037694007</v>
      </c>
      <c r="K47" s="143">
        <f t="array" ref="K47">INDEX('[23]SENSUS MEI'!$M$9:$M$453,MATCH(1,('[23]SENSUS MEI'!$D$9:$D$453=$D47)*('[23]SENSUS MEI'!$D$9:$D$453=$D47),0))+INDEX('[23]SENSUS MEI'!$O$9:$O$453,MATCH(1,('[23]SENSUS MEI'!$D$9:$D$453=$D47)*('[23]SENSUS MEI'!$D$9:$D$453=$D47),0))</f>
        <v>51</v>
      </c>
      <c r="L47" s="9">
        <f t="shared" si="6"/>
        <v>14.697406340057636</v>
      </c>
      <c r="M47" s="8" t="str">
        <f t="shared" si="1"/>
        <v>Perlu Pengendalian</v>
      </c>
      <c r="P47" s="194">
        <f t="shared" si="2"/>
        <v>20.295000000000002</v>
      </c>
      <c r="Q47" s="194">
        <f t="array" ref="Q47">$P47*0.8</f>
        <v>16.236000000000001</v>
      </c>
      <c r="R47" s="194">
        <f t="shared" si="3"/>
        <v>12.177000000000001</v>
      </c>
      <c r="S47" s="194">
        <f t="shared" si="4"/>
        <v>8.1180000000000003</v>
      </c>
      <c r="T47" s="194">
        <f t="shared" si="5"/>
        <v>4.0590000000000002</v>
      </c>
    </row>
    <row r="48" spans="1:20" outlineLevel="1" x14ac:dyDescent="0.15">
      <c r="A48" s="8" t="s">
        <v>628</v>
      </c>
      <c r="B48" s="8" t="s">
        <v>14</v>
      </c>
      <c r="C48" s="8" t="s">
        <v>47</v>
      </c>
      <c r="D48" s="8" t="s">
        <v>648</v>
      </c>
      <c r="E48" s="9">
        <v>22.17</v>
      </c>
      <c r="F48" s="8" t="s">
        <v>16</v>
      </c>
      <c r="G48" s="143">
        <f t="array" ref="G48">INDEX('[23]SENSUS MEI'!$G$9:$G$453,MATCH(1,('[23]SENSUS MEI'!$D$9:$D$453=$D48)*('[23]SENSUS MEI'!$D$9:$D$453=$D48),0))</f>
        <v>3225</v>
      </c>
      <c r="H48" s="11">
        <f t="array" ref="H48">INDEX('[23]SENSUS MEI'!$J$9:$J$453,MATCH(1,('[23]SENSUS MEI'!$D$9:$D$453=$D48)*('[23]SENSUS MEI'!$D$9:$D$453=$D48),0))</f>
        <v>46150</v>
      </c>
      <c r="I48" s="143">
        <f t="array" ref="I48">INDEX('[23]SENSUS MEI'!$K$9:$K$453,MATCH(1,('[23]SENSUS MEI'!$D$9:$D$453=$D48)*('[23]SENSUS MEI'!$D$9:$D$453=$D48),0))</f>
        <v>245</v>
      </c>
      <c r="J48" s="9">
        <f t="array" ref="J48">IFERROR(I48/G48*100,0)</f>
        <v>7.5968992248062017</v>
      </c>
      <c r="K48" s="143">
        <f t="array" ref="K48">INDEX('[23]SENSUS MEI'!$M$9:$M$453,MATCH(1,('[23]SENSUS MEI'!$D$9:$D$453=$D48)*('[23]SENSUS MEI'!$D$9:$D$453=$D48),0))+INDEX('[23]SENSUS MEI'!$O$9:$O$453,MATCH(1,('[23]SENSUS MEI'!$D$9:$D$453=$D48)*('[23]SENSUS MEI'!$D$9:$D$453=$D48),0))</f>
        <v>120</v>
      </c>
      <c r="L48" s="9">
        <f t="shared" si="6"/>
        <v>48.979591836734691</v>
      </c>
      <c r="M48" s="8" t="str">
        <f t="shared" si="1"/>
        <v>Perlu Pengendalian</v>
      </c>
      <c r="P48" s="194">
        <f t="shared" si="2"/>
        <v>14.512499999999999</v>
      </c>
      <c r="Q48" s="194">
        <f t="array" ref="Q48">$P48*0.8</f>
        <v>11.61</v>
      </c>
      <c r="R48" s="194">
        <f t="shared" si="3"/>
        <v>8.7074999999999996</v>
      </c>
      <c r="S48" s="194">
        <f t="shared" si="4"/>
        <v>5.8049999999999997</v>
      </c>
      <c r="T48" s="194">
        <f t="shared" si="5"/>
        <v>2.9024999999999999</v>
      </c>
    </row>
    <row r="49" spans="1:20" outlineLevel="1" x14ac:dyDescent="0.15">
      <c r="A49" s="8" t="s">
        <v>628</v>
      </c>
      <c r="B49" s="8" t="s">
        <v>14</v>
      </c>
      <c r="C49" s="8" t="s">
        <v>47</v>
      </c>
      <c r="D49" s="8" t="s">
        <v>649</v>
      </c>
      <c r="E49" s="9">
        <v>8.67</v>
      </c>
      <c r="F49" s="8" t="s">
        <v>16</v>
      </c>
      <c r="G49" s="143">
        <f t="array" ref="G49">INDEX('[23]SENSUS MEI'!$G$9:$G$453,MATCH(1,('[23]SENSUS MEI'!$D$9:$D$453=$D49)*('[23]SENSUS MEI'!$D$9:$D$453=$D49),0))</f>
        <v>1385</v>
      </c>
      <c r="H49" s="11">
        <f t="array" ref="H49">INDEX('[23]SENSUS MEI'!$J$9:$J$453,MATCH(1,('[23]SENSUS MEI'!$D$9:$D$453=$D49)*('[23]SENSUS MEI'!$D$9:$D$453=$D49),0))</f>
        <v>46150</v>
      </c>
      <c r="I49" s="143">
        <f t="array" ref="I49">INDEX('[23]SENSUS MEI'!$K$9:$K$453,MATCH(1,('[23]SENSUS MEI'!$D$9:$D$453=$D49)*('[23]SENSUS MEI'!$D$9:$D$453=$D49),0))</f>
        <v>140</v>
      </c>
      <c r="J49" s="9">
        <f t="array" ref="J49">IFERROR(I49/G49*100,0)</f>
        <v>10.108303249097473</v>
      </c>
      <c r="K49" s="143">
        <f t="array" ref="K49">INDEX('[23]SENSUS MEI'!$M$9:$M$453,MATCH(1,('[23]SENSUS MEI'!$D$9:$D$453=$D49)*('[23]SENSUS MEI'!$D$9:$D$453=$D49),0))+INDEX('[23]SENSUS MEI'!$O$9:$O$453,MATCH(1,('[23]SENSUS MEI'!$D$9:$D$453=$D49)*('[23]SENSUS MEI'!$D$9:$D$453=$D49),0))</f>
        <v>133</v>
      </c>
      <c r="L49" s="9">
        <f t="shared" si="6"/>
        <v>95</v>
      </c>
      <c r="M49" s="8" t="str">
        <f t="shared" si="1"/>
        <v>Perlu Pengendalian</v>
      </c>
      <c r="P49" s="194">
        <f t="shared" si="2"/>
        <v>6.2324999999999999</v>
      </c>
      <c r="Q49" s="194">
        <f t="array" ref="Q49">$P49*0.8</f>
        <v>4.9860000000000007</v>
      </c>
      <c r="R49" s="194">
        <f t="shared" si="3"/>
        <v>3.7394999999999996</v>
      </c>
      <c r="S49" s="194">
        <f t="shared" si="4"/>
        <v>2.4930000000000003</v>
      </c>
      <c r="T49" s="194">
        <f t="shared" si="5"/>
        <v>1.2465000000000002</v>
      </c>
    </row>
    <row r="50" spans="1:20" outlineLevel="1" x14ac:dyDescent="0.15">
      <c r="A50" s="8" t="s">
        <v>628</v>
      </c>
      <c r="B50" s="8" t="s">
        <v>14</v>
      </c>
      <c r="C50" s="8" t="s">
        <v>47</v>
      </c>
      <c r="D50" s="8" t="s">
        <v>650</v>
      </c>
      <c r="E50" s="9">
        <v>27.87</v>
      </c>
      <c r="F50" s="8" t="s">
        <v>16</v>
      </c>
      <c r="G50" s="143">
        <f t="array" ref="G50">INDEX('[23]SENSUS MEI'!$G$9:$G$453,MATCH(1,('[23]SENSUS MEI'!$D$9:$D$453=$D50)*('[23]SENSUS MEI'!$D$9:$D$453=$D50),0))</f>
        <v>4292</v>
      </c>
      <c r="H50" s="11">
        <f t="array" ref="H50">INDEX('[23]SENSUS MEI'!$J$9:$J$453,MATCH(1,('[23]SENSUS MEI'!$D$9:$D$453=$D50)*('[23]SENSUS MEI'!$D$9:$D$453=$D50),0))</f>
        <v>46150</v>
      </c>
      <c r="I50" s="143">
        <f t="array" ref="I50">INDEX('[23]SENSUS MEI'!$K$9:$K$453,MATCH(1,('[23]SENSUS MEI'!$D$9:$D$453=$D50)*('[23]SENSUS MEI'!$D$9:$D$453=$D50),0))</f>
        <v>329</v>
      </c>
      <c r="J50" s="9">
        <f t="array" ref="J50">IFERROR(I50/G50*100,0)</f>
        <v>7.6654240447343893</v>
      </c>
      <c r="K50" s="143">
        <f t="array" ref="K50">INDEX('[23]SENSUS MEI'!$M$9:$M$453,MATCH(1,('[23]SENSUS MEI'!$D$9:$D$453=$D50)*('[23]SENSUS MEI'!$D$9:$D$453=$D50),0))+INDEX('[23]SENSUS MEI'!$O$9:$O$453,MATCH(1,('[23]SENSUS MEI'!$D$9:$D$453=$D50)*('[23]SENSUS MEI'!$D$9:$D$453=$D50),0))</f>
        <v>268</v>
      </c>
      <c r="L50" s="9">
        <f t="shared" si="6"/>
        <v>81.458966565349542</v>
      </c>
      <c r="M50" s="8" t="str">
        <f t="shared" si="1"/>
        <v>Perlu Pengendalian</v>
      </c>
      <c r="P50" s="194">
        <f t="shared" si="2"/>
        <v>19.314</v>
      </c>
      <c r="Q50" s="194">
        <f t="array" ref="Q50">$P50*0.8</f>
        <v>15.4512</v>
      </c>
      <c r="R50" s="194">
        <f t="shared" si="3"/>
        <v>11.5884</v>
      </c>
      <c r="S50" s="194">
        <f t="shared" si="4"/>
        <v>7.7256</v>
      </c>
      <c r="T50" s="194">
        <f t="shared" si="5"/>
        <v>3.8628</v>
      </c>
    </row>
    <row r="51" spans="1:20" outlineLevel="1" x14ac:dyDescent="0.15">
      <c r="A51" s="8" t="s">
        <v>628</v>
      </c>
      <c r="B51" s="8" t="s">
        <v>14</v>
      </c>
      <c r="C51" s="8" t="s">
        <v>47</v>
      </c>
      <c r="D51" s="8" t="s">
        <v>651</v>
      </c>
      <c r="E51" s="9">
        <v>29.67</v>
      </c>
      <c r="F51" s="8" t="s">
        <v>16</v>
      </c>
      <c r="G51" s="143">
        <f t="array" ref="G51">INDEX('[23]SENSUS MEI'!$G$9:$G$453,MATCH(1,('[23]SENSUS MEI'!$D$9:$D$453=$D51)*('[23]SENSUS MEI'!$D$9:$D$453=$D51),0))</f>
        <v>4609</v>
      </c>
      <c r="H51" s="11">
        <f t="array" ref="H51">INDEX('[23]SENSUS MEI'!$J$9:$J$453,MATCH(1,('[23]SENSUS MEI'!$D$9:$D$453=$D51)*('[23]SENSUS MEI'!$D$9:$D$453=$D51),0))</f>
        <v>46151</v>
      </c>
      <c r="I51" s="143">
        <f t="array" ref="I51">INDEX('[23]SENSUS MEI'!$K$9:$K$453,MATCH(1,('[23]SENSUS MEI'!$D$9:$D$453=$D51)*('[23]SENSUS MEI'!$D$9:$D$453=$D51),0))</f>
        <v>380</v>
      </c>
      <c r="J51" s="9">
        <f t="array" ref="J51">IFERROR(I51/G51*100,0)</f>
        <v>8.244738555001085</v>
      </c>
      <c r="K51" s="143">
        <f t="array" ref="K51">INDEX('[23]SENSUS MEI'!$M$9:$M$453,MATCH(1,('[23]SENSUS MEI'!$D$9:$D$453=$D51)*('[23]SENSUS MEI'!$D$9:$D$453=$D51),0))+INDEX('[23]SENSUS MEI'!$O$9:$O$453,MATCH(1,('[23]SENSUS MEI'!$D$9:$D$453=$D51)*('[23]SENSUS MEI'!$D$9:$D$453=$D51),0))</f>
        <v>168</v>
      </c>
      <c r="L51" s="9">
        <f t="shared" si="6"/>
        <v>44.210526315789473</v>
      </c>
      <c r="M51" s="8" t="str">
        <f t="shared" si="1"/>
        <v>Perlu Pengendalian</v>
      </c>
      <c r="P51" s="194">
        <f t="shared" si="2"/>
        <v>20.740500000000001</v>
      </c>
      <c r="Q51" s="194">
        <f t="array" ref="Q51">$P51*0.8</f>
        <v>16.592400000000001</v>
      </c>
      <c r="R51" s="194">
        <f t="shared" si="3"/>
        <v>12.4443</v>
      </c>
      <c r="S51" s="194">
        <f t="shared" si="4"/>
        <v>8.2962000000000007</v>
      </c>
      <c r="T51" s="194">
        <f t="shared" si="5"/>
        <v>4.1481000000000003</v>
      </c>
    </row>
    <row r="52" spans="1:20" outlineLevel="1" x14ac:dyDescent="0.15">
      <c r="A52" s="8" t="s">
        <v>628</v>
      </c>
      <c r="B52" s="8" t="s">
        <v>14</v>
      </c>
      <c r="C52" s="8" t="s">
        <v>47</v>
      </c>
      <c r="D52" s="8" t="s">
        <v>652</v>
      </c>
      <c r="E52" s="9">
        <v>39.340000000000003</v>
      </c>
      <c r="F52" s="8" t="s">
        <v>16</v>
      </c>
      <c r="G52" s="143">
        <f t="array" ref="G52">INDEX('[23]SENSUS MEI'!$G$9:$G$453,MATCH(1,('[23]SENSUS MEI'!$D$9:$D$453=$D52)*('[23]SENSUS MEI'!$D$9:$D$453=$D52),0))</f>
        <v>5934</v>
      </c>
      <c r="H52" s="11">
        <f t="array" ref="H52">INDEX('[23]SENSUS MEI'!$J$9:$J$453,MATCH(1,('[23]SENSUS MEI'!$D$9:$D$453=$D52)*('[23]SENSUS MEI'!$D$9:$D$453=$D52),0))</f>
        <v>46151</v>
      </c>
      <c r="I52" s="143">
        <f t="array" ref="I52">INDEX('[23]SENSUS MEI'!$K$9:$K$453,MATCH(1,('[23]SENSUS MEI'!$D$9:$D$453=$D52)*('[23]SENSUS MEI'!$D$9:$D$453=$D52),0))</f>
        <v>394</v>
      </c>
      <c r="J52" s="9">
        <f t="array" ref="J52">IFERROR(I52/G52*100,0)</f>
        <v>6.6397034041118976</v>
      </c>
      <c r="K52" s="143">
        <f t="array" ref="K52">INDEX('[23]SENSUS MEI'!$M$9:$M$453,MATCH(1,('[23]SENSUS MEI'!$D$9:$D$453=$D52)*('[23]SENSUS MEI'!$D$9:$D$453=$D52),0))+INDEX('[23]SENSUS MEI'!$O$9:$O$453,MATCH(1,('[23]SENSUS MEI'!$D$9:$D$453=$D52)*('[23]SENSUS MEI'!$D$9:$D$453=$D52),0))</f>
        <v>171</v>
      </c>
      <c r="L52" s="9">
        <f t="shared" si="6"/>
        <v>43.401015228426395</v>
      </c>
      <c r="M52" s="8" t="str">
        <f t="shared" si="1"/>
        <v>Perlu Pengendalian</v>
      </c>
      <c r="P52" s="194">
        <f t="shared" si="2"/>
        <v>26.702999999999999</v>
      </c>
      <c r="Q52" s="194">
        <f t="array" ref="Q52">$P52*0.8</f>
        <v>21.362400000000001</v>
      </c>
      <c r="R52" s="194">
        <f t="shared" si="3"/>
        <v>16.021799999999999</v>
      </c>
      <c r="S52" s="194">
        <f t="shared" si="4"/>
        <v>10.6812</v>
      </c>
      <c r="T52" s="194">
        <f t="shared" si="5"/>
        <v>5.3406000000000002</v>
      </c>
    </row>
    <row r="53" spans="1:20" outlineLevel="1" x14ac:dyDescent="0.15">
      <c r="A53" s="8" t="s">
        <v>628</v>
      </c>
      <c r="B53" s="8" t="s">
        <v>14</v>
      </c>
      <c r="C53" s="8" t="s">
        <v>47</v>
      </c>
      <c r="D53" s="8" t="s">
        <v>653</v>
      </c>
      <c r="E53" s="9">
        <v>42.19</v>
      </c>
      <c r="F53" s="8" t="s">
        <v>16</v>
      </c>
      <c r="G53" s="143">
        <f t="array" ref="G53">INDEX('[23]SENSUS MEI'!$G$9:$G$453,MATCH(1,('[23]SENSUS MEI'!$D$9:$D$453=$D53)*('[23]SENSUS MEI'!$D$9:$D$453=$D53),0))</f>
        <v>5698</v>
      </c>
      <c r="H53" s="11">
        <f t="array" ref="H53">INDEX('[23]SENSUS MEI'!$J$9:$J$453,MATCH(1,('[23]SENSUS MEI'!$D$9:$D$453=$D53)*('[23]SENSUS MEI'!$D$9:$D$453=$D53),0))</f>
        <v>46151</v>
      </c>
      <c r="I53" s="143">
        <f t="array" ref="I53">INDEX('[23]SENSUS MEI'!$K$9:$K$453,MATCH(1,('[23]SENSUS MEI'!$D$9:$D$453=$D53)*('[23]SENSUS MEI'!$D$9:$D$453=$D53),0))</f>
        <v>382</v>
      </c>
      <c r="J53" s="9">
        <f t="array" ref="J53">IFERROR(I53/G53*100,0)</f>
        <v>6.7041067041067031</v>
      </c>
      <c r="K53" s="143">
        <f t="array" ref="K53">INDEX('[23]SENSUS MEI'!$M$9:$M$453,MATCH(1,('[23]SENSUS MEI'!$D$9:$D$453=$D53)*('[23]SENSUS MEI'!$D$9:$D$453=$D53),0))+INDEX('[23]SENSUS MEI'!$O$9:$O$453,MATCH(1,('[23]SENSUS MEI'!$D$9:$D$453=$D53)*('[23]SENSUS MEI'!$D$9:$D$453=$D53),0))</f>
        <v>288</v>
      </c>
      <c r="L53" s="9">
        <f t="shared" si="6"/>
        <v>75.392670157068068</v>
      </c>
      <c r="M53" s="8" t="str">
        <f t="shared" si="1"/>
        <v>Perlu Pengendalian</v>
      </c>
      <c r="P53" s="194">
        <f t="shared" si="2"/>
        <v>25.640999999999998</v>
      </c>
      <c r="Q53" s="194">
        <f t="array" ref="Q53">$P53*0.8</f>
        <v>20.512799999999999</v>
      </c>
      <c r="R53" s="194">
        <f t="shared" si="3"/>
        <v>15.384599999999999</v>
      </c>
      <c r="S53" s="194">
        <f t="shared" si="4"/>
        <v>10.256399999999999</v>
      </c>
      <c r="T53" s="194">
        <f t="shared" si="5"/>
        <v>5.1281999999999996</v>
      </c>
    </row>
    <row r="54" spans="1:20" outlineLevel="1" x14ac:dyDescent="0.15">
      <c r="A54" s="8" t="s">
        <v>628</v>
      </c>
      <c r="B54" s="8" t="s">
        <v>14</v>
      </c>
      <c r="C54" s="8" t="s">
        <v>47</v>
      </c>
      <c r="D54" s="8" t="s">
        <v>654</v>
      </c>
      <c r="E54" s="9">
        <v>42.58</v>
      </c>
      <c r="F54" s="8" t="s">
        <v>16</v>
      </c>
      <c r="G54" s="143">
        <f t="array" ref="G54">INDEX('[23]SENSUS MEI'!$G$9:$G$453,MATCH(1,('[23]SENSUS MEI'!$D$9:$D$453=$D54)*('[23]SENSUS MEI'!$D$9:$D$453=$D54),0))</f>
        <v>5060</v>
      </c>
      <c r="H54" s="11">
        <f t="array" ref="H54">INDEX('[23]SENSUS MEI'!$J$9:$J$453,MATCH(1,('[23]SENSUS MEI'!$D$9:$D$453=$D54)*('[23]SENSUS MEI'!$D$9:$D$453=$D54),0))</f>
        <v>46151</v>
      </c>
      <c r="I54" s="143">
        <f t="array" ref="I54">INDEX('[23]SENSUS MEI'!$K$9:$K$453,MATCH(1,('[23]SENSUS MEI'!$D$9:$D$453=$D54)*('[23]SENSUS MEI'!$D$9:$D$453=$D54),0))</f>
        <v>390</v>
      </c>
      <c r="J54" s="9">
        <f t="array" ref="J54">IFERROR(I54/G54*100,0)</f>
        <v>7.7075098814229248</v>
      </c>
      <c r="K54" s="143">
        <f t="array" ref="K54">INDEX('[23]SENSUS MEI'!$M$9:$M$453,MATCH(1,('[23]SENSUS MEI'!$D$9:$D$453=$D54)*('[23]SENSUS MEI'!$D$9:$D$453=$D54),0))+INDEX('[23]SENSUS MEI'!$O$9:$O$453,MATCH(1,('[23]SENSUS MEI'!$D$9:$D$453=$D54)*('[23]SENSUS MEI'!$D$9:$D$453=$D54),0))</f>
        <v>198</v>
      </c>
      <c r="L54" s="9">
        <f t="shared" si="6"/>
        <v>50.769230769230766</v>
      </c>
      <c r="M54" s="8" t="str">
        <f t="shared" si="1"/>
        <v>Perlu Pengendalian</v>
      </c>
      <c r="P54" s="194">
        <f t="shared" si="2"/>
        <v>22.77</v>
      </c>
      <c r="Q54" s="194">
        <f t="array" ref="Q54">$P54*0.8</f>
        <v>18.216000000000001</v>
      </c>
      <c r="R54" s="194">
        <f t="shared" si="3"/>
        <v>13.661999999999999</v>
      </c>
      <c r="S54" s="194">
        <f t="shared" si="4"/>
        <v>9.1080000000000005</v>
      </c>
      <c r="T54" s="194">
        <f t="shared" si="5"/>
        <v>4.5540000000000003</v>
      </c>
    </row>
    <row r="55" spans="1:20" outlineLevel="1" x14ac:dyDescent="0.15">
      <c r="A55" s="8" t="s">
        <v>628</v>
      </c>
      <c r="B55" s="8" t="s">
        <v>14</v>
      </c>
      <c r="C55" s="8" t="s">
        <v>47</v>
      </c>
      <c r="D55" s="8" t="s">
        <v>655</v>
      </c>
      <c r="E55" s="9">
        <v>33.72</v>
      </c>
      <c r="F55" s="8" t="s">
        <v>16</v>
      </c>
      <c r="G55" s="143">
        <f t="array" ref="G55">INDEX('[23]SENSUS MEI'!$G$9:$G$453,MATCH(1,('[23]SENSUS MEI'!$D$9:$D$453=$D55)*('[23]SENSUS MEI'!$D$9:$D$453=$D55),0))</f>
        <v>4625</v>
      </c>
      <c r="H55" s="11">
        <f t="array" ref="H55">INDEX('[23]SENSUS MEI'!$J$9:$J$453,MATCH(1,('[23]SENSUS MEI'!$D$9:$D$453=$D55)*('[23]SENSUS MEI'!$D$9:$D$453=$D55),0))</f>
        <v>46151</v>
      </c>
      <c r="I55" s="143">
        <f t="array" ref="I55">INDEX('[23]SENSUS MEI'!$K$9:$K$453,MATCH(1,('[23]SENSUS MEI'!$D$9:$D$453=$D55)*('[23]SENSUS MEI'!$D$9:$D$453=$D55),0))</f>
        <v>337</v>
      </c>
      <c r="J55" s="9">
        <f t="array" ref="J55">IFERROR(I55/G55*100,0)</f>
        <v>7.2864864864864858</v>
      </c>
      <c r="K55" s="143">
        <f t="array" ref="K55">INDEX('[23]SENSUS MEI'!$M$9:$M$453,MATCH(1,('[23]SENSUS MEI'!$D$9:$D$453=$D55)*('[23]SENSUS MEI'!$D$9:$D$453=$D55),0))+INDEX('[23]SENSUS MEI'!$O$9:$O$453,MATCH(1,('[23]SENSUS MEI'!$D$9:$D$453=$D55)*('[23]SENSUS MEI'!$D$9:$D$453=$D55),0))</f>
        <v>100</v>
      </c>
      <c r="L55" s="9">
        <f t="shared" si="6"/>
        <v>29.673590504451035</v>
      </c>
      <c r="M55" s="8" t="str">
        <f t="shared" si="1"/>
        <v>Perlu Pengendalian</v>
      </c>
      <c r="P55" s="194">
        <f t="shared" si="2"/>
        <v>20.8125</v>
      </c>
      <c r="Q55" s="194">
        <f t="array" ref="Q55">$P55*0.8</f>
        <v>16.650000000000002</v>
      </c>
      <c r="R55" s="194">
        <f t="shared" si="3"/>
        <v>12.487499999999999</v>
      </c>
      <c r="S55" s="194">
        <f t="shared" si="4"/>
        <v>8.3250000000000011</v>
      </c>
      <c r="T55" s="194">
        <f t="shared" si="5"/>
        <v>4.1625000000000005</v>
      </c>
    </row>
    <row r="56" spans="1:20" outlineLevel="1" x14ac:dyDescent="0.15">
      <c r="A56" s="8" t="s">
        <v>628</v>
      </c>
      <c r="B56" s="8" t="s">
        <v>14</v>
      </c>
      <c r="C56" s="8" t="s">
        <v>47</v>
      </c>
      <c r="D56" s="8" t="s">
        <v>143</v>
      </c>
      <c r="E56" s="9">
        <v>10.4</v>
      </c>
      <c r="F56" s="8" t="s">
        <v>16</v>
      </c>
      <c r="G56" s="143">
        <f t="array" ref="G56">INDEX('[23]SENSUS MEI'!$G$9:$G$453,MATCH(1,('[23]SENSUS MEI'!$D$9:$D$453=$D56)*('[23]SENSUS MEI'!$D$9:$D$453=$D56),0))</f>
        <v>1530</v>
      </c>
      <c r="H56" s="11">
        <f t="array" ref="H56">INDEX('[23]SENSUS MEI'!$J$9:$J$453,MATCH(1,('[23]SENSUS MEI'!$D$9:$D$453=$D56)*('[23]SENSUS MEI'!$D$9:$D$453=$D56),0))</f>
        <v>46151</v>
      </c>
      <c r="I56" s="143">
        <f t="array" ref="I56">INDEX('[23]SENSUS MEI'!$K$9:$K$453,MATCH(1,('[23]SENSUS MEI'!$D$9:$D$453=$D56)*('[23]SENSUS MEI'!$D$9:$D$453=$D56),0))</f>
        <v>67</v>
      </c>
      <c r="J56" s="9">
        <f t="array" ref="J56">IFERROR(I56/G56*100,0)</f>
        <v>4.379084967320261</v>
      </c>
      <c r="K56" s="143">
        <f t="array" ref="K56">INDEX('[23]SENSUS MEI'!$M$9:$M$453,MATCH(1,('[23]SENSUS MEI'!$D$9:$D$453=$D56)*('[23]SENSUS MEI'!$D$9:$D$453=$D56),0))+INDEX('[23]SENSUS MEI'!$O$9:$O$453,MATCH(1,('[23]SENSUS MEI'!$D$9:$D$453=$D56)*('[23]SENSUS MEI'!$D$9:$D$453=$D56),0))</f>
        <v>13</v>
      </c>
      <c r="L56" s="9">
        <f t="shared" si="6"/>
        <v>19.402985074626866</v>
      </c>
      <c r="M56" s="8" t="str">
        <f t="shared" si="1"/>
        <v>Perlu Pengendalian</v>
      </c>
      <c r="P56" s="194">
        <f t="shared" si="2"/>
        <v>6.8849999999999998</v>
      </c>
      <c r="Q56" s="194">
        <f t="array" ref="Q56">$P56*0.8</f>
        <v>5.508</v>
      </c>
      <c r="R56" s="194">
        <f t="shared" si="3"/>
        <v>4.1309999999999993</v>
      </c>
      <c r="S56" s="194">
        <f t="shared" si="4"/>
        <v>2.754</v>
      </c>
      <c r="T56" s="194">
        <f t="shared" si="5"/>
        <v>1.377</v>
      </c>
    </row>
    <row r="57" spans="1:20" outlineLevel="1" x14ac:dyDescent="0.15">
      <c r="A57" s="8" t="s">
        <v>628</v>
      </c>
      <c r="B57" s="8" t="s">
        <v>14</v>
      </c>
      <c r="C57" s="8" t="s">
        <v>47</v>
      </c>
      <c r="D57" s="8" t="s">
        <v>368</v>
      </c>
      <c r="E57" s="9">
        <v>16.61</v>
      </c>
      <c r="F57" s="8" t="s">
        <v>16</v>
      </c>
      <c r="G57" s="143">
        <f t="array" ref="G57">INDEX('[23]SENSUS MEI'!$G$9:$G$453,MATCH(1,('[23]SENSUS MEI'!$D$9:$D$453=$D57)*('[23]SENSUS MEI'!$D$9:$D$453=$D57),0))</f>
        <v>2264</v>
      </c>
      <c r="H57" s="11">
        <f t="array" ref="H57">INDEX('[23]SENSUS MEI'!$J$9:$J$453,MATCH(1,('[23]SENSUS MEI'!$D$9:$D$453=$D57)*('[23]SENSUS MEI'!$D$9:$D$453=$D57),0))</f>
        <v>46151</v>
      </c>
      <c r="I57" s="143">
        <f t="array" ref="I57">INDEX('[23]SENSUS MEI'!$K$9:$K$453,MATCH(1,('[23]SENSUS MEI'!$D$9:$D$453=$D57)*('[23]SENSUS MEI'!$D$9:$D$453=$D57),0))</f>
        <v>75</v>
      </c>
      <c r="J57" s="9">
        <f t="array" ref="J57">IFERROR(I57/G57*100,0)</f>
        <v>3.3127208480565371</v>
      </c>
      <c r="K57" s="143">
        <f t="array" ref="K57">INDEX('[23]SENSUS MEI'!$M$9:$M$453,MATCH(1,('[23]SENSUS MEI'!$D$9:$D$453=$D57)*('[23]SENSUS MEI'!$D$9:$D$453=$D57),0))+INDEX('[23]SENSUS MEI'!$O$9:$O$453,MATCH(1,('[23]SENSUS MEI'!$D$9:$D$453=$D57)*('[23]SENSUS MEI'!$D$9:$D$453=$D57),0))</f>
        <v>10</v>
      </c>
      <c r="L57" s="9">
        <f t="shared" si="6"/>
        <v>13.333333333333334</v>
      </c>
      <c r="M57" s="8" t="str">
        <f t="shared" si="1"/>
        <v>Perlu Pengendalian</v>
      </c>
      <c r="P57" s="194">
        <f t="shared" si="2"/>
        <v>10.188000000000001</v>
      </c>
      <c r="Q57" s="194">
        <f t="array" ref="Q57">$P57*0.8</f>
        <v>8.1504000000000012</v>
      </c>
      <c r="R57" s="194">
        <f t="shared" si="3"/>
        <v>6.1128</v>
      </c>
      <c r="S57" s="194">
        <f t="shared" si="4"/>
        <v>4.0752000000000006</v>
      </c>
      <c r="T57" s="194">
        <f t="shared" si="5"/>
        <v>2.0376000000000003</v>
      </c>
    </row>
    <row r="58" spans="1:20" outlineLevel="1" x14ac:dyDescent="0.15">
      <c r="A58" s="8" t="s">
        <v>628</v>
      </c>
      <c r="B58" s="8" t="s">
        <v>14</v>
      </c>
      <c r="C58" s="8" t="s">
        <v>47</v>
      </c>
      <c r="D58" s="8" t="s">
        <v>369</v>
      </c>
      <c r="E58" s="9">
        <v>13.13</v>
      </c>
      <c r="F58" s="8" t="s">
        <v>16</v>
      </c>
      <c r="G58" s="143">
        <f t="array" ref="G58">INDEX('[23]SENSUS MEI'!$G$9:$G$453,MATCH(1,('[23]SENSUS MEI'!$D$9:$D$453=$D58)*('[23]SENSUS MEI'!$D$9:$D$453=$D58),0))</f>
        <v>1761</v>
      </c>
      <c r="H58" s="11">
        <f t="array" ref="H58">INDEX('[23]SENSUS MEI'!$J$9:$J$453,MATCH(1,('[23]SENSUS MEI'!$D$9:$D$453=$D58)*('[23]SENSUS MEI'!$D$9:$D$453=$D58),0))</f>
        <v>46151</v>
      </c>
      <c r="I58" s="143">
        <f t="array" ref="I58">INDEX('[23]SENSUS MEI'!$K$9:$K$453,MATCH(1,('[23]SENSUS MEI'!$D$9:$D$453=$D58)*('[23]SENSUS MEI'!$D$9:$D$453=$D58),0))</f>
        <v>120</v>
      </c>
      <c r="J58" s="9">
        <f t="array" ref="J58">IFERROR(I58/G58*100,0)</f>
        <v>6.8143100511073254</v>
      </c>
      <c r="K58" s="143">
        <f t="array" ref="K58">INDEX('[23]SENSUS MEI'!$M$9:$M$453,MATCH(1,('[23]SENSUS MEI'!$D$9:$D$453=$D58)*('[23]SENSUS MEI'!$D$9:$D$453=$D58),0))+INDEX('[23]SENSUS MEI'!$O$9:$O$453,MATCH(1,('[23]SENSUS MEI'!$D$9:$D$453=$D58)*('[23]SENSUS MEI'!$D$9:$D$453=$D58),0))</f>
        <v>7</v>
      </c>
      <c r="L58" s="9">
        <f t="shared" si="6"/>
        <v>5.833333333333333</v>
      </c>
      <c r="M58" s="8" t="str">
        <f t="shared" si="1"/>
        <v>Perlu Pengendalian</v>
      </c>
      <c r="P58" s="194">
        <f t="shared" si="2"/>
        <v>7.9245000000000001</v>
      </c>
      <c r="Q58" s="194">
        <f t="array" ref="Q58">$P58*0.8</f>
        <v>6.3396000000000008</v>
      </c>
      <c r="R58" s="194">
        <f t="shared" si="3"/>
        <v>4.7546999999999997</v>
      </c>
      <c r="S58" s="194">
        <f t="shared" si="4"/>
        <v>3.1698000000000004</v>
      </c>
      <c r="T58" s="194">
        <f t="shared" si="5"/>
        <v>1.5849000000000002</v>
      </c>
    </row>
    <row r="59" spans="1:20" outlineLevel="1" x14ac:dyDescent="0.15">
      <c r="A59" s="8" t="s">
        <v>628</v>
      </c>
      <c r="B59" s="8" t="s">
        <v>14</v>
      </c>
      <c r="C59" s="8" t="s">
        <v>47</v>
      </c>
      <c r="D59" s="8" t="s">
        <v>656</v>
      </c>
      <c r="E59" s="9">
        <v>14.01</v>
      </c>
      <c r="F59" s="8" t="s">
        <v>16</v>
      </c>
      <c r="G59" s="143">
        <f t="array" ref="G59">INDEX('[23]SENSUS MEI'!$G$9:$G$453,MATCH(1,('[23]SENSUS MEI'!$D$9:$D$453=$D59)*('[23]SENSUS MEI'!$D$9:$D$453=$D59),0))</f>
        <v>2216</v>
      </c>
      <c r="H59" s="11">
        <f t="array" ref="H59">INDEX('[23]SENSUS MEI'!$J$9:$J$453,MATCH(1,('[23]SENSUS MEI'!$D$9:$D$453=$D59)*('[23]SENSUS MEI'!$D$9:$D$453=$D59),0))</f>
        <v>46153</v>
      </c>
      <c r="I59" s="143">
        <f t="array" ref="I59">INDEX('[23]SENSUS MEI'!$K$9:$K$453,MATCH(1,('[23]SENSUS MEI'!$D$9:$D$453=$D59)*('[23]SENSUS MEI'!$D$9:$D$453=$D59),0))</f>
        <v>198</v>
      </c>
      <c r="J59" s="9">
        <f t="array" ref="J59">IFERROR(I59/G59*100,0)</f>
        <v>8.9350180505415171</v>
      </c>
      <c r="K59" s="143">
        <f t="array" ref="K59">INDEX('[23]SENSUS MEI'!$M$9:$M$453,MATCH(1,('[23]SENSUS MEI'!$D$9:$D$453=$D59)*('[23]SENSUS MEI'!$D$9:$D$453=$D59),0))+INDEX('[23]SENSUS MEI'!$O$9:$O$453,MATCH(1,('[23]SENSUS MEI'!$D$9:$D$453=$D59)*('[23]SENSUS MEI'!$D$9:$D$453=$D59),0))</f>
        <v>33</v>
      </c>
      <c r="L59" s="9">
        <f t="shared" si="6"/>
        <v>16.666666666666664</v>
      </c>
      <c r="M59" s="8" t="str">
        <f t="shared" si="1"/>
        <v>Perlu Pengendalian</v>
      </c>
      <c r="P59" s="194">
        <f t="shared" si="2"/>
        <v>9.9719999999999995</v>
      </c>
      <c r="Q59" s="194">
        <f t="array" ref="Q59">$P59*0.8</f>
        <v>7.9775999999999998</v>
      </c>
      <c r="R59" s="194">
        <f t="shared" si="3"/>
        <v>5.9831999999999992</v>
      </c>
      <c r="S59" s="194">
        <f t="shared" si="4"/>
        <v>3.9887999999999999</v>
      </c>
      <c r="T59" s="194">
        <f t="shared" si="5"/>
        <v>1.9944</v>
      </c>
    </row>
    <row r="60" spans="1:20" outlineLevel="1" x14ac:dyDescent="0.15">
      <c r="A60" s="8" t="s">
        <v>628</v>
      </c>
      <c r="B60" s="8" t="s">
        <v>14</v>
      </c>
      <c r="C60" s="8" t="s">
        <v>47</v>
      </c>
      <c r="D60" s="8" t="s">
        <v>657</v>
      </c>
      <c r="E60" s="9">
        <v>50.41</v>
      </c>
      <c r="F60" s="8" t="s">
        <v>16</v>
      </c>
      <c r="G60" s="143">
        <f t="array" ref="G60">INDEX('[23]SENSUS MEI'!$G$9:$G$453,MATCH(1,('[23]SENSUS MEI'!$D$9:$D$453=$D60)*('[23]SENSUS MEI'!$D$9:$D$453=$D60),0))</f>
        <v>6734</v>
      </c>
      <c r="H60" s="11">
        <f t="array" ref="H60">INDEX('[23]SENSUS MEI'!$J$9:$J$453,MATCH(1,('[23]SENSUS MEI'!$D$9:$D$453=$D60)*('[23]SENSUS MEI'!$D$9:$D$453=$D60),0))</f>
        <v>46151</v>
      </c>
      <c r="I60" s="143">
        <f t="array" ref="I60">INDEX('[23]SENSUS MEI'!$K$9:$K$453,MATCH(1,('[23]SENSUS MEI'!$D$9:$D$453=$D60)*('[23]SENSUS MEI'!$D$9:$D$453=$D60),0))</f>
        <v>359</v>
      </c>
      <c r="J60" s="9">
        <f t="array" ref="J60">IFERROR(I60/G60*100,0)</f>
        <v>5.3311553311553306</v>
      </c>
      <c r="K60" s="143">
        <f t="array" ref="K60">INDEX('[23]SENSUS MEI'!$M$9:$M$453,MATCH(1,('[23]SENSUS MEI'!$D$9:$D$453=$D60)*('[23]SENSUS MEI'!$D$9:$D$453=$D60),0))+INDEX('[23]SENSUS MEI'!$O$9:$O$453,MATCH(1,('[23]SENSUS MEI'!$D$9:$D$453=$D60)*('[23]SENSUS MEI'!$D$9:$D$453=$D60),0))</f>
        <v>197</v>
      </c>
      <c r="L60" s="9">
        <f t="shared" si="6"/>
        <v>54.874651810584965</v>
      </c>
      <c r="M60" s="8" t="str">
        <f t="shared" si="1"/>
        <v>Perlu Pengendalian</v>
      </c>
      <c r="P60" s="194">
        <f t="shared" si="2"/>
        <v>30.303000000000001</v>
      </c>
      <c r="Q60" s="194">
        <f t="array" ref="Q60">$P60*0.8</f>
        <v>24.242400000000004</v>
      </c>
      <c r="R60" s="194">
        <f t="shared" si="3"/>
        <v>18.181799999999999</v>
      </c>
      <c r="S60" s="194">
        <f t="shared" si="4"/>
        <v>12.121200000000002</v>
      </c>
      <c r="T60" s="194">
        <f t="shared" si="5"/>
        <v>6.0606000000000009</v>
      </c>
    </row>
    <row r="61" spans="1:20" outlineLevel="1" x14ac:dyDescent="0.15">
      <c r="A61" s="8" t="s">
        <v>628</v>
      </c>
      <c r="B61" s="8" t="s">
        <v>14</v>
      </c>
      <c r="C61" s="8" t="s">
        <v>47</v>
      </c>
      <c r="D61" s="8" t="s">
        <v>658</v>
      </c>
      <c r="E61" s="9">
        <v>14.08</v>
      </c>
      <c r="F61" s="8" t="s">
        <v>469</v>
      </c>
      <c r="G61" s="143">
        <f t="array" ref="G61">INDEX('[23]SENSUS MEI'!$G$9:$G$453,MATCH(1,('[23]SENSUS MEI'!$D$9:$D$453=$D61)*('[23]SENSUS MEI'!$D$9:$D$453=$D61),0))</f>
        <v>2091</v>
      </c>
      <c r="H61" s="11">
        <f t="array" ref="H61">INDEX('[23]SENSUS MEI'!$J$9:$J$453,MATCH(1,('[23]SENSUS MEI'!$D$9:$D$453=$D61)*('[23]SENSUS MEI'!$D$9:$D$453=$D61),0))</f>
        <v>46153</v>
      </c>
      <c r="I61" s="143">
        <f t="array" ref="I61">INDEX('[23]SENSUS MEI'!$K$9:$K$453,MATCH(1,('[23]SENSUS MEI'!$D$9:$D$453=$D61)*('[23]SENSUS MEI'!$D$9:$D$453=$D61),0))</f>
        <v>203</v>
      </c>
      <c r="J61" s="9">
        <f t="array" ref="J61">IFERROR(I61/G61*100,0)</f>
        <v>9.7082735533237674</v>
      </c>
      <c r="K61" s="143">
        <f t="array" ref="K61">INDEX('[23]SENSUS MEI'!$M$9:$M$453,MATCH(1,('[23]SENSUS MEI'!$D$9:$D$453=$D61)*('[23]SENSUS MEI'!$D$9:$D$453=$D61),0))+INDEX('[23]SENSUS MEI'!$O$9:$O$453,MATCH(1,('[23]SENSUS MEI'!$D$9:$D$453=$D61)*('[23]SENSUS MEI'!$D$9:$D$453=$D61),0))</f>
        <v>46</v>
      </c>
      <c r="L61" s="9">
        <f t="shared" si="6"/>
        <v>22.660098522167488</v>
      </c>
      <c r="M61" s="8" t="str">
        <f t="shared" si="1"/>
        <v>Perlu Pengendalian</v>
      </c>
      <c r="P61" s="194">
        <f t="shared" si="2"/>
        <v>9.4094999999999995</v>
      </c>
      <c r="Q61" s="194">
        <f t="array" ref="Q61">$P61*0.8</f>
        <v>7.5275999999999996</v>
      </c>
      <c r="R61" s="194">
        <f t="shared" si="3"/>
        <v>5.6456999999999997</v>
      </c>
      <c r="S61" s="194">
        <f t="shared" si="4"/>
        <v>3.7637999999999998</v>
      </c>
      <c r="T61" s="194">
        <f t="shared" si="5"/>
        <v>1.8818999999999999</v>
      </c>
    </row>
    <row r="62" spans="1:20" outlineLevel="1" x14ac:dyDescent="0.15">
      <c r="A62" s="8" t="s">
        <v>628</v>
      </c>
      <c r="B62" s="8" t="s">
        <v>14</v>
      </c>
      <c r="C62" s="8" t="s">
        <v>47</v>
      </c>
      <c r="D62" s="8" t="s">
        <v>659</v>
      </c>
      <c r="E62" s="9">
        <v>34.630000000000003</v>
      </c>
      <c r="F62" s="8" t="s">
        <v>469</v>
      </c>
      <c r="G62" s="143">
        <f t="array" ref="G62">INDEX('[23]SENSUS MEI'!$G$9:$G$453,MATCH(1,('[23]SENSUS MEI'!$D$9:$D$453=$D62)*('[23]SENSUS MEI'!$D$9:$D$453=$D62),0))</f>
        <v>4790</v>
      </c>
      <c r="H62" s="11">
        <f t="array" ref="H62">INDEX('[23]SENSUS MEI'!$J$9:$J$453,MATCH(1,('[23]SENSUS MEI'!$D$9:$D$453=$D62)*('[23]SENSUS MEI'!$D$9:$D$453=$D62),0))</f>
        <v>46153</v>
      </c>
      <c r="I62" s="143">
        <f t="array" ref="I62">INDEX('[23]SENSUS MEI'!$K$9:$K$453,MATCH(1,('[23]SENSUS MEI'!$D$9:$D$453=$D62)*('[23]SENSUS MEI'!$D$9:$D$453=$D62),0))</f>
        <v>429</v>
      </c>
      <c r="J62" s="9">
        <f t="array" ref="J62">IFERROR(I62/G62*100,0)</f>
        <v>8.956158663883091</v>
      </c>
      <c r="K62" s="143">
        <f t="array" ref="K62">INDEX('[23]SENSUS MEI'!$M$9:$M$453,MATCH(1,('[23]SENSUS MEI'!$D$9:$D$453=$D62)*('[23]SENSUS MEI'!$D$9:$D$453=$D62),0))+INDEX('[23]SENSUS MEI'!$O$9:$O$453,MATCH(1,('[23]SENSUS MEI'!$D$9:$D$453=$D62)*('[23]SENSUS MEI'!$D$9:$D$453=$D62),0))</f>
        <v>28</v>
      </c>
      <c r="L62" s="9">
        <f t="shared" si="6"/>
        <v>6.5268065268065261</v>
      </c>
      <c r="M62" s="8" t="str">
        <f t="shared" si="1"/>
        <v>Perlu Pengendalian</v>
      </c>
      <c r="P62" s="194">
        <f t="shared" si="2"/>
        <v>21.555</v>
      </c>
      <c r="Q62" s="194">
        <f t="array" ref="Q62">$P62*0.8</f>
        <v>17.244</v>
      </c>
      <c r="R62" s="194">
        <f t="shared" si="3"/>
        <v>12.933</v>
      </c>
      <c r="S62" s="194">
        <f t="shared" si="4"/>
        <v>8.6219999999999999</v>
      </c>
      <c r="T62" s="194">
        <f t="shared" si="5"/>
        <v>4.3109999999999999</v>
      </c>
    </row>
    <row r="63" spans="1:20" outlineLevel="1" x14ac:dyDescent="0.15">
      <c r="A63" s="8" t="s">
        <v>628</v>
      </c>
      <c r="B63" s="8" t="s">
        <v>14</v>
      </c>
      <c r="C63" s="8" t="s">
        <v>47</v>
      </c>
      <c r="D63" s="8" t="s">
        <v>660</v>
      </c>
      <c r="E63" s="9">
        <v>29.97</v>
      </c>
      <c r="F63" s="8" t="s">
        <v>469</v>
      </c>
      <c r="G63" s="143">
        <f t="array" ref="G63">INDEX('[23]SENSUS MEI'!$G$9:$G$453,MATCH(1,('[23]SENSUS MEI'!$D$9:$D$453=$D63)*('[23]SENSUS MEI'!$D$9:$D$453=$D63),0))</f>
        <v>4370</v>
      </c>
      <c r="H63" s="11">
        <f t="array" ref="H63">INDEX('[23]SENSUS MEI'!$J$9:$J$453,MATCH(1,('[23]SENSUS MEI'!$D$9:$D$453=$D63)*('[23]SENSUS MEI'!$D$9:$D$453=$D63),0))</f>
        <v>46154</v>
      </c>
      <c r="I63" s="143">
        <f t="array" ref="I63">INDEX('[23]SENSUS MEI'!$K$9:$K$453,MATCH(1,('[23]SENSUS MEI'!$D$9:$D$453=$D63)*('[23]SENSUS MEI'!$D$9:$D$453=$D63),0))</f>
        <v>290</v>
      </c>
      <c r="J63" s="9">
        <f t="array" ref="J63">IFERROR(I63/G63*100,0)</f>
        <v>6.6361556064073222</v>
      </c>
      <c r="K63" s="143">
        <f t="array" ref="K63">INDEX('[23]SENSUS MEI'!$M$9:$M$453,MATCH(1,('[23]SENSUS MEI'!$D$9:$D$453=$D63)*('[23]SENSUS MEI'!$D$9:$D$453=$D63),0))+INDEX('[23]SENSUS MEI'!$O$9:$O$453,MATCH(1,('[23]SENSUS MEI'!$D$9:$D$453=$D63)*('[23]SENSUS MEI'!$D$9:$D$453=$D63),0))</f>
        <v>64</v>
      </c>
      <c r="L63" s="9">
        <f t="shared" si="6"/>
        <v>22.068965517241381</v>
      </c>
      <c r="M63" s="8" t="str">
        <f t="shared" si="1"/>
        <v>Perlu Pengendalian</v>
      </c>
      <c r="P63" s="194">
        <f t="shared" si="2"/>
        <v>19.664999999999999</v>
      </c>
      <c r="Q63" s="194">
        <f t="array" ref="Q63">$P63*0.8</f>
        <v>15.731999999999999</v>
      </c>
      <c r="R63" s="194">
        <f t="shared" si="3"/>
        <v>11.798999999999999</v>
      </c>
      <c r="S63" s="194">
        <f t="shared" si="4"/>
        <v>7.8659999999999997</v>
      </c>
      <c r="T63" s="194">
        <f t="shared" si="5"/>
        <v>3.9329999999999998</v>
      </c>
    </row>
    <row r="64" spans="1:20" outlineLevel="1" x14ac:dyDescent="0.15">
      <c r="A64" s="8" t="s">
        <v>628</v>
      </c>
      <c r="B64" s="8" t="s">
        <v>14</v>
      </c>
      <c r="C64" s="8" t="s">
        <v>47</v>
      </c>
      <c r="D64" s="8" t="s">
        <v>661</v>
      </c>
      <c r="E64" s="9">
        <v>59.76</v>
      </c>
      <c r="F64" s="8" t="s">
        <v>469</v>
      </c>
      <c r="G64" s="143">
        <f t="array" ref="G64">INDEX('[23]SENSUS MEI'!$G$9:$G$453,MATCH(1,('[23]SENSUS MEI'!$D$9:$D$453=$D64)*('[23]SENSUS MEI'!$D$9:$D$453=$D64),0))</f>
        <v>8325</v>
      </c>
      <c r="H64" s="11">
        <f t="array" ref="H64">INDEX('[23]SENSUS MEI'!$J$9:$J$453,MATCH(1,('[23]SENSUS MEI'!$D$9:$D$453=$D64)*('[23]SENSUS MEI'!$D$9:$D$453=$D64),0))</f>
        <v>46154</v>
      </c>
      <c r="I64" s="143">
        <f t="array" ref="I64">INDEX('[23]SENSUS MEI'!$K$9:$K$453,MATCH(1,('[23]SENSUS MEI'!$D$9:$D$453=$D64)*('[23]SENSUS MEI'!$D$9:$D$453=$D64),0))</f>
        <v>878</v>
      </c>
      <c r="J64" s="9">
        <f t="array" ref="J64">IFERROR(I64/G64*100,0)</f>
        <v>10.546546546546546</v>
      </c>
      <c r="K64" s="143">
        <f t="array" ref="K64">INDEX('[23]SENSUS MEI'!$M$9:$M$453,MATCH(1,('[23]SENSUS MEI'!$D$9:$D$453=$D64)*('[23]SENSUS MEI'!$D$9:$D$453=$D64),0))+INDEX('[23]SENSUS MEI'!$O$9:$O$453,MATCH(1,('[23]SENSUS MEI'!$D$9:$D$453=$D64)*('[23]SENSUS MEI'!$D$9:$D$453=$D64),0))</f>
        <v>197</v>
      </c>
      <c r="L64" s="9">
        <f t="shared" si="6"/>
        <v>22.437357630979498</v>
      </c>
      <c r="M64" s="8" t="str">
        <f t="shared" si="1"/>
        <v>Perlu Pengendalian</v>
      </c>
      <c r="P64" s="194">
        <f t="shared" si="2"/>
        <v>37.462499999999999</v>
      </c>
      <c r="Q64" s="194">
        <f t="array" ref="Q64">$P64*0.8</f>
        <v>29.97</v>
      </c>
      <c r="R64" s="194">
        <f t="shared" si="3"/>
        <v>22.477499999999999</v>
      </c>
      <c r="S64" s="194">
        <f t="shared" si="4"/>
        <v>14.984999999999999</v>
      </c>
      <c r="T64" s="194">
        <f t="shared" si="5"/>
        <v>7.4924999999999997</v>
      </c>
    </row>
    <row r="65" spans="1:20" outlineLevel="1" x14ac:dyDescent="0.15">
      <c r="A65" s="8" t="s">
        <v>628</v>
      </c>
      <c r="B65" s="8" t="s">
        <v>14</v>
      </c>
      <c r="C65" s="8" t="s">
        <v>47</v>
      </c>
      <c r="D65" s="8" t="s">
        <v>662</v>
      </c>
      <c r="E65" s="9">
        <v>7.06</v>
      </c>
      <c r="F65" s="8" t="s">
        <v>469</v>
      </c>
      <c r="G65" s="143">
        <f t="array" ref="G65">INDEX('[23]SENSUS MEI'!$G$9:$G$453,MATCH(1,('[23]SENSUS MEI'!$D$9:$D$453=$D65)*('[23]SENSUS MEI'!$D$9:$D$453=$D65),0))</f>
        <v>972</v>
      </c>
      <c r="H65" s="11">
        <f t="array" ref="H65">INDEX('[23]SENSUS MEI'!$J$9:$J$453,MATCH(1,('[23]SENSUS MEI'!$D$9:$D$453=$D65)*('[23]SENSUS MEI'!$D$9:$D$453=$D65),0))</f>
        <v>46154</v>
      </c>
      <c r="I65" s="143">
        <f t="array" ref="I65">INDEX('[23]SENSUS MEI'!$K$9:$K$453,MATCH(1,('[23]SENSUS MEI'!$D$9:$D$453=$D65)*('[23]SENSUS MEI'!$D$9:$D$453=$D65),0))</f>
        <v>24</v>
      </c>
      <c r="J65" s="9">
        <f t="array" ref="J65">IFERROR(I65/G65*100,0)</f>
        <v>2.4691358024691357</v>
      </c>
      <c r="K65" s="143">
        <f t="array" ref="K65">INDEX('[23]SENSUS MEI'!$M$9:$M$453,MATCH(1,('[23]SENSUS MEI'!$D$9:$D$453=$D65)*('[23]SENSUS MEI'!$D$9:$D$453=$D65),0))+INDEX('[23]SENSUS MEI'!$O$9:$O$453,MATCH(1,('[23]SENSUS MEI'!$D$9:$D$453=$D65)*('[23]SENSUS MEI'!$D$9:$D$453=$D65),0))</f>
        <v>9</v>
      </c>
      <c r="L65" s="9">
        <f t="shared" si="6"/>
        <v>37.5</v>
      </c>
      <c r="M65" s="8" t="str">
        <f t="shared" si="1"/>
        <v>Perlu Pengendalian</v>
      </c>
      <c r="P65" s="194">
        <f t="shared" si="2"/>
        <v>4.3739999999999997</v>
      </c>
      <c r="Q65" s="194">
        <f t="array" ref="Q65">$P65*0.8</f>
        <v>3.4992000000000001</v>
      </c>
      <c r="R65" s="194">
        <f t="shared" si="3"/>
        <v>2.6243999999999996</v>
      </c>
      <c r="S65" s="194">
        <f t="shared" si="4"/>
        <v>1.7496</v>
      </c>
      <c r="T65" s="194">
        <f t="shared" si="5"/>
        <v>0.87480000000000002</v>
      </c>
    </row>
    <row r="66" spans="1:20" outlineLevel="1" x14ac:dyDescent="0.15">
      <c r="A66" s="8" t="s">
        <v>628</v>
      </c>
      <c r="B66" s="8" t="s">
        <v>14</v>
      </c>
      <c r="C66" s="8" t="s">
        <v>47</v>
      </c>
      <c r="D66" s="8" t="s">
        <v>663</v>
      </c>
      <c r="E66" s="9">
        <v>21.83</v>
      </c>
      <c r="F66" s="8" t="s">
        <v>469</v>
      </c>
      <c r="G66" s="143">
        <f t="array" ref="G66">INDEX('[23]SENSUS MEI'!$G$9:$G$453,MATCH(1,('[23]SENSUS MEI'!$D$9:$D$453=$D66)*('[23]SENSUS MEI'!$D$9:$D$453=$D66),0))</f>
        <v>2953</v>
      </c>
      <c r="H66" s="11">
        <f t="array" ref="H66">INDEX('[23]SENSUS MEI'!$J$9:$J$453,MATCH(1,('[23]SENSUS MEI'!$D$9:$D$453=$D66)*('[23]SENSUS MEI'!$D$9:$D$453=$D66),0))</f>
        <v>46154</v>
      </c>
      <c r="I66" s="143">
        <f t="array" ref="I66">INDEX('[23]SENSUS MEI'!$K$9:$K$453,MATCH(1,('[23]SENSUS MEI'!$D$9:$D$453=$D66)*('[23]SENSUS MEI'!$D$9:$D$453=$D66),0))</f>
        <v>310</v>
      </c>
      <c r="J66" s="9">
        <f t="array" ref="J66">IFERROR(I66/G66*100,0)</f>
        <v>10.497798848628513</v>
      </c>
      <c r="K66" s="143">
        <f t="array" ref="K66">INDEX('[23]SENSUS MEI'!$M$9:$M$453,MATCH(1,('[23]SENSUS MEI'!$D$9:$D$453=$D66)*('[23]SENSUS MEI'!$D$9:$D$453=$D66),0))+INDEX('[23]SENSUS MEI'!$O$9:$O$453,MATCH(1,('[23]SENSUS MEI'!$D$9:$D$453=$D66)*('[23]SENSUS MEI'!$D$9:$D$453=$D66),0))</f>
        <v>60</v>
      </c>
      <c r="L66" s="9">
        <f t="shared" si="6"/>
        <v>19.35483870967742</v>
      </c>
      <c r="M66" s="8" t="str">
        <f t="shared" si="1"/>
        <v>Perlu Pengendalian</v>
      </c>
      <c r="P66" s="194">
        <f t="shared" si="2"/>
        <v>13.288500000000001</v>
      </c>
      <c r="Q66" s="194">
        <f t="array" ref="Q66">$P66*0.8</f>
        <v>10.630800000000001</v>
      </c>
      <c r="R66" s="194">
        <f t="shared" si="3"/>
        <v>7.9731000000000005</v>
      </c>
      <c r="S66" s="194">
        <f t="shared" si="4"/>
        <v>5.3154000000000003</v>
      </c>
      <c r="T66" s="194">
        <f t="shared" si="5"/>
        <v>2.6577000000000002</v>
      </c>
    </row>
    <row r="67" spans="1:20" outlineLevel="1" x14ac:dyDescent="0.15">
      <c r="A67" s="8" t="s">
        <v>628</v>
      </c>
      <c r="B67" s="8" t="s">
        <v>14</v>
      </c>
      <c r="C67" s="8" t="s">
        <v>47</v>
      </c>
      <c r="D67" s="8" t="s">
        <v>664</v>
      </c>
      <c r="E67" s="9">
        <v>31.03</v>
      </c>
      <c r="F67" s="8" t="s">
        <v>469</v>
      </c>
      <c r="G67" s="143">
        <f t="array" ref="G67">INDEX('[23]SENSUS MEI'!$G$9:$G$453,MATCH(1,('[23]SENSUS MEI'!$D$9:$D$453=$D67)*('[23]SENSUS MEI'!$D$9:$D$453=$D67),0))</f>
        <v>4350</v>
      </c>
      <c r="H67" s="11">
        <f t="array" ref="H67">INDEX('[23]SENSUS MEI'!$J$9:$J$453,MATCH(1,('[23]SENSUS MEI'!$D$9:$D$453=$D67)*('[23]SENSUS MEI'!$D$9:$D$453=$D67),0))</f>
        <v>46154</v>
      </c>
      <c r="I67" s="143">
        <f t="array" ref="I67">INDEX('[23]SENSUS MEI'!$K$9:$K$453,MATCH(1,('[23]SENSUS MEI'!$D$9:$D$453=$D67)*('[23]SENSUS MEI'!$D$9:$D$453=$D67),0))</f>
        <v>409</v>
      </c>
      <c r="J67" s="9">
        <f t="array" ref="J67">IFERROR(I67/G67*100,0)</f>
        <v>9.4022988505747129</v>
      </c>
      <c r="K67" s="143">
        <f t="array" ref="K67">INDEX('[23]SENSUS MEI'!$M$9:$M$453,MATCH(1,('[23]SENSUS MEI'!$D$9:$D$453=$D67)*('[23]SENSUS MEI'!$D$9:$D$453=$D67),0))+INDEX('[23]SENSUS MEI'!$O$9:$O$453,MATCH(1,('[23]SENSUS MEI'!$D$9:$D$453=$D67)*('[23]SENSUS MEI'!$D$9:$D$453=$D67),0))</f>
        <v>91</v>
      </c>
      <c r="L67" s="9">
        <f t="shared" si="6"/>
        <v>22.249388753056234</v>
      </c>
      <c r="M67" s="8" t="str">
        <f t="shared" si="1"/>
        <v>Perlu Pengendalian</v>
      </c>
      <c r="P67" s="194">
        <f t="shared" si="2"/>
        <v>19.574999999999999</v>
      </c>
      <c r="Q67" s="194">
        <f t="array" ref="Q67">$P67*0.8</f>
        <v>15.66</v>
      </c>
      <c r="R67" s="194">
        <f t="shared" si="3"/>
        <v>11.744999999999999</v>
      </c>
      <c r="S67" s="194">
        <f t="shared" si="4"/>
        <v>7.83</v>
      </c>
      <c r="T67" s="194">
        <f t="shared" si="5"/>
        <v>3.915</v>
      </c>
    </row>
    <row r="68" spans="1:20" outlineLevel="1" x14ac:dyDescent="0.15">
      <c r="A68" s="8" t="s">
        <v>628</v>
      </c>
      <c r="B68" s="8" t="s">
        <v>14</v>
      </c>
      <c r="C68" s="8" t="s">
        <v>79</v>
      </c>
      <c r="D68" s="8" t="s">
        <v>665</v>
      </c>
      <c r="E68" s="9">
        <v>2.2000000000000002</v>
      </c>
      <c r="F68" s="8" t="s">
        <v>16</v>
      </c>
      <c r="G68" s="143">
        <f t="array" ref="G68">INDEX('[23]SENSUS MEI'!$G$9:$G$453,MATCH(1,('[23]SENSUS MEI'!$D$9:$D$453=$D68)*('[23]SENSUS MEI'!$D$9:$D$453=$D68),0))</f>
        <v>343</v>
      </c>
      <c r="H68" s="11">
        <f t="array" ref="H68">INDEX('[23]SENSUS MEI'!$J$9:$J$453,MATCH(1,('[23]SENSUS MEI'!$D$9:$D$453=$D68)*('[23]SENSUS MEI'!$D$9:$D$453=$D68),0))</f>
        <v>46150</v>
      </c>
      <c r="I68" s="143">
        <f t="array" ref="I68">INDEX('[23]SENSUS MEI'!$K$9:$K$453,MATCH(1,('[23]SENSUS MEI'!$D$9:$D$453=$D68)*('[23]SENSUS MEI'!$D$9:$D$453=$D68),0))</f>
        <v>34</v>
      </c>
      <c r="J68" s="9">
        <f t="array" ref="J68">IFERROR(I68/G68*100,0)</f>
        <v>9.9125364431486886</v>
      </c>
      <c r="K68" s="143">
        <f t="array" ref="K68">INDEX('[23]SENSUS MEI'!$M$9:$M$453,MATCH(1,('[23]SENSUS MEI'!$D$9:$D$453=$D68)*('[23]SENSUS MEI'!$D$9:$D$453=$D68),0))+INDEX('[23]SENSUS MEI'!$O$9:$O$453,MATCH(1,('[23]SENSUS MEI'!$D$9:$D$453=$D68)*('[23]SENSUS MEI'!$D$9:$D$453=$D68),0))</f>
        <v>9</v>
      </c>
      <c r="L68" s="9">
        <f t="shared" si="6"/>
        <v>26.47058823529412</v>
      </c>
      <c r="M68" s="8" t="str">
        <f t="shared" si="1"/>
        <v>Perlu Pengendalian</v>
      </c>
      <c r="P68" s="194">
        <f t="shared" si="2"/>
        <v>1.5435000000000001</v>
      </c>
      <c r="Q68" s="194">
        <f t="array" ref="Q68">$P68*0.8</f>
        <v>1.2348000000000001</v>
      </c>
      <c r="R68" s="194">
        <f t="shared" si="3"/>
        <v>0.92610000000000003</v>
      </c>
      <c r="S68" s="194">
        <f t="shared" si="4"/>
        <v>0.61740000000000006</v>
      </c>
      <c r="T68" s="194">
        <f t="shared" si="5"/>
        <v>0.30870000000000003</v>
      </c>
    </row>
    <row r="69" spans="1:20" outlineLevel="1" x14ac:dyDescent="0.15">
      <c r="A69" s="8" t="s">
        <v>628</v>
      </c>
      <c r="B69" s="8" t="s">
        <v>14</v>
      </c>
      <c r="C69" s="8" t="s">
        <v>79</v>
      </c>
      <c r="D69" s="8" t="s">
        <v>666</v>
      </c>
      <c r="E69" s="9">
        <v>15.78</v>
      </c>
      <c r="F69" s="8" t="s">
        <v>16</v>
      </c>
      <c r="G69" s="143">
        <f t="array" ref="G69">INDEX('[23]SENSUS MEI'!$G$9:$G$453,MATCH(1,('[23]SENSUS MEI'!$D$9:$D$453=$D69)*('[23]SENSUS MEI'!$D$9:$D$453=$D69),0))</f>
        <v>2521</v>
      </c>
      <c r="H69" s="11">
        <f t="array" ref="H69">INDEX('[23]SENSUS MEI'!$J$9:$J$453,MATCH(1,('[23]SENSUS MEI'!$D$9:$D$453=$D69)*('[23]SENSUS MEI'!$D$9:$D$453=$D69),0))</f>
        <v>46150</v>
      </c>
      <c r="I69" s="143">
        <f t="array" ref="I69">INDEX('[23]SENSUS MEI'!$K$9:$K$453,MATCH(1,('[23]SENSUS MEI'!$D$9:$D$453=$D69)*('[23]SENSUS MEI'!$D$9:$D$453=$D69),0))</f>
        <v>235</v>
      </c>
      <c r="J69" s="9">
        <f t="array" ref="J69">IFERROR(I69/G69*100,0)</f>
        <v>9.3216977389924622</v>
      </c>
      <c r="K69" s="143">
        <f t="array" ref="K69">INDEX('[23]SENSUS MEI'!$M$9:$M$453,MATCH(1,('[23]SENSUS MEI'!$D$9:$D$453=$D69)*('[23]SENSUS MEI'!$D$9:$D$453=$D69),0))+INDEX('[23]SENSUS MEI'!$O$9:$O$453,MATCH(1,('[23]SENSUS MEI'!$D$9:$D$453=$D69)*('[23]SENSUS MEI'!$D$9:$D$453=$D69),0))</f>
        <v>43</v>
      </c>
      <c r="L69" s="9">
        <f t="shared" si="6"/>
        <v>18.297872340425531</v>
      </c>
      <c r="M69" s="8" t="str">
        <f t="shared" si="1"/>
        <v>Perlu Pengendalian</v>
      </c>
      <c r="P69" s="194">
        <f t="shared" si="2"/>
        <v>11.3445</v>
      </c>
      <c r="Q69" s="194">
        <f t="array" ref="Q69">$P69*0.8</f>
        <v>9.0755999999999997</v>
      </c>
      <c r="R69" s="194">
        <f t="shared" si="3"/>
        <v>6.8067000000000002</v>
      </c>
      <c r="S69" s="194">
        <f t="shared" si="4"/>
        <v>4.5377999999999998</v>
      </c>
      <c r="T69" s="194">
        <f t="shared" si="5"/>
        <v>2.2688999999999999</v>
      </c>
    </row>
    <row r="70" spans="1:20" outlineLevel="1" x14ac:dyDescent="0.15">
      <c r="A70" s="8" t="s">
        <v>628</v>
      </c>
      <c r="B70" s="8" t="s">
        <v>14</v>
      </c>
      <c r="C70" s="8" t="s">
        <v>79</v>
      </c>
      <c r="D70" s="8" t="s">
        <v>667</v>
      </c>
      <c r="E70" s="9">
        <v>26.62</v>
      </c>
      <c r="F70" s="8" t="s">
        <v>16</v>
      </c>
      <c r="G70" s="143">
        <f t="array" ref="G70">INDEX('[23]SENSUS MEI'!$G$9:$G$453,MATCH(1,('[23]SENSUS MEI'!$D$9:$D$453=$D70)*('[23]SENSUS MEI'!$D$9:$D$453=$D70),0))</f>
        <v>3942</v>
      </c>
      <c r="H70" s="11">
        <f t="array" ref="H70">INDEX('[23]SENSUS MEI'!$J$9:$J$453,MATCH(1,('[23]SENSUS MEI'!$D$9:$D$453=$D70)*('[23]SENSUS MEI'!$D$9:$D$453=$D70),0))</f>
        <v>46149</v>
      </c>
      <c r="I70" s="143">
        <f t="array" ref="I70">INDEX('[23]SENSUS MEI'!$K$9:$K$453,MATCH(1,('[23]SENSUS MEI'!$D$9:$D$453=$D70)*('[23]SENSUS MEI'!$D$9:$D$453=$D70),0))</f>
        <v>358</v>
      </c>
      <c r="J70" s="9">
        <f t="array" ref="J70">IFERROR(I70/G70*100,0)</f>
        <v>9.0816844241501773</v>
      </c>
      <c r="K70" s="143">
        <f t="array" ref="K70">INDEX('[23]SENSUS MEI'!$M$9:$M$453,MATCH(1,('[23]SENSUS MEI'!$D$9:$D$453=$D70)*('[23]SENSUS MEI'!$D$9:$D$453=$D70),0))+INDEX('[23]SENSUS MEI'!$O$9:$O$453,MATCH(1,('[23]SENSUS MEI'!$D$9:$D$453=$D70)*('[23]SENSUS MEI'!$D$9:$D$453=$D70),0))</f>
        <v>145</v>
      </c>
      <c r="L70" s="9">
        <f t="shared" si="6"/>
        <v>40.502793296089386</v>
      </c>
      <c r="M70" s="8" t="str">
        <f t="shared" si="1"/>
        <v>Perlu Pengendalian</v>
      </c>
      <c r="P70" s="194">
        <f t="shared" si="2"/>
        <v>17.739000000000001</v>
      </c>
      <c r="Q70" s="194">
        <f t="array" ref="Q70">$P70*0.8</f>
        <v>14.191200000000002</v>
      </c>
      <c r="R70" s="194">
        <f t="shared" si="3"/>
        <v>10.6434</v>
      </c>
      <c r="S70" s="194">
        <f t="shared" si="4"/>
        <v>7.095600000000001</v>
      </c>
      <c r="T70" s="194">
        <f t="shared" si="5"/>
        <v>3.5478000000000005</v>
      </c>
    </row>
    <row r="71" spans="1:20" outlineLevel="1" x14ac:dyDescent="0.15">
      <c r="A71" s="8" t="s">
        <v>628</v>
      </c>
      <c r="B71" s="8" t="s">
        <v>14</v>
      </c>
      <c r="C71" s="8" t="s">
        <v>79</v>
      </c>
      <c r="D71" s="8" t="s">
        <v>668</v>
      </c>
      <c r="E71" s="9">
        <v>31.09</v>
      </c>
      <c r="F71" s="8" t="s">
        <v>16</v>
      </c>
      <c r="G71" s="143">
        <f t="array" ref="G71">INDEX('[23]SENSUS MEI'!$G$9:$G$453,MATCH(1,('[23]SENSUS MEI'!$D$9:$D$453=$D71)*('[23]SENSUS MEI'!$D$9:$D$453=$D71),0))</f>
        <v>4305</v>
      </c>
      <c r="H71" s="11">
        <f t="array" ref="H71">INDEX('[23]SENSUS MEI'!$J$9:$J$453,MATCH(1,('[23]SENSUS MEI'!$D$9:$D$453=$D71)*('[23]SENSUS MEI'!$D$9:$D$453=$D71),0))</f>
        <v>46149</v>
      </c>
      <c r="I71" s="143">
        <f t="array" ref="I71">INDEX('[23]SENSUS MEI'!$K$9:$K$453,MATCH(1,('[23]SENSUS MEI'!$D$9:$D$453=$D71)*('[23]SENSUS MEI'!$D$9:$D$453=$D71),0))</f>
        <v>416</v>
      </c>
      <c r="J71" s="9">
        <f t="array" ref="J71">IFERROR(I71/G71*100,0)</f>
        <v>9.6631823461091759</v>
      </c>
      <c r="K71" s="143">
        <f t="array" ref="K71">INDEX('[23]SENSUS MEI'!$M$9:$M$453,MATCH(1,('[23]SENSUS MEI'!$D$9:$D$453=$D71)*('[23]SENSUS MEI'!$D$9:$D$453=$D71),0))+INDEX('[23]SENSUS MEI'!$O$9:$O$453,MATCH(1,('[23]SENSUS MEI'!$D$9:$D$453=$D71)*('[23]SENSUS MEI'!$D$9:$D$453=$D71),0))</f>
        <v>125</v>
      </c>
      <c r="L71" s="9">
        <f t="shared" si="6"/>
        <v>30.048076923076923</v>
      </c>
      <c r="M71" s="8" t="str">
        <f t="shared" ref="M71:M134" si="7">IF(L71&gt;2,"Perlu Pengendalian",IF(L71&gt;0,"Tidak Perlu Pengendalian","Belum Sensus"))</f>
        <v>Perlu Pengendalian</v>
      </c>
      <c r="P71" s="194">
        <f t="shared" ref="P71:P134" si="8">G71*4.5/1000</f>
        <v>19.372499999999999</v>
      </c>
      <c r="Q71" s="194">
        <f t="array" ref="Q71">$P71*0.8</f>
        <v>15.497999999999999</v>
      </c>
      <c r="R71" s="194">
        <f t="shared" ref="R71:R134" si="9">$P71*0.6</f>
        <v>11.623499999999998</v>
      </c>
      <c r="S71" s="194">
        <f t="shared" ref="S71:S134" si="10">$P71*0.4</f>
        <v>7.7489999999999997</v>
      </c>
      <c r="T71" s="194">
        <f t="shared" ref="T71:T134" si="11">$P71*0.2</f>
        <v>3.8744999999999998</v>
      </c>
    </row>
    <row r="72" spans="1:20" outlineLevel="1" x14ac:dyDescent="0.15">
      <c r="A72" s="8" t="s">
        <v>628</v>
      </c>
      <c r="B72" s="8" t="s">
        <v>14</v>
      </c>
      <c r="C72" s="8" t="s">
        <v>79</v>
      </c>
      <c r="D72" s="8" t="s">
        <v>669</v>
      </c>
      <c r="E72" s="9">
        <v>22.91</v>
      </c>
      <c r="F72" s="8" t="s">
        <v>16</v>
      </c>
      <c r="G72" s="143">
        <f t="array" ref="G72">INDEX('[23]SENSUS MEI'!$G$9:$G$453,MATCH(1,('[23]SENSUS MEI'!$D$9:$D$453=$D72)*('[23]SENSUS MEI'!$D$9:$D$453=$D72),0))</f>
        <v>3241</v>
      </c>
      <c r="H72" s="11">
        <f t="array" ref="H72">INDEX('[23]SENSUS MEI'!$J$9:$J$453,MATCH(1,('[23]SENSUS MEI'!$D$9:$D$453=$D72)*('[23]SENSUS MEI'!$D$9:$D$453=$D72),0))</f>
        <v>46149</v>
      </c>
      <c r="I72" s="143">
        <f t="array" ref="I72">INDEX('[23]SENSUS MEI'!$K$9:$K$453,MATCH(1,('[23]SENSUS MEI'!$D$9:$D$453=$D72)*('[23]SENSUS MEI'!$D$9:$D$453=$D72),0))</f>
        <v>337</v>
      </c>
      <c r="J72" s="9">
        <f t="array" ref="J72">IFERROR(I72/G72*100,0)</f>
        <v>10.398025300833076</v>
      </c>
      <c r="K72" s="143">
        <f t="array" ref="K72">INDEX('[23]SENSUS MEI'!$M$9:$M$453,MATCH(1,('[23]SENSUS MEI'!$D$9:$D$453=$D72)*('[23]SENSUS MEI'!$D$9:$D$453=$D72),0))+INDEX('[23]SENSUS MEI'!$O$9:$O$453,MATCH(1,('[23]SENSUS MEI'!$D$9:$D$453=$D72)*('[23]SENSUS MEI'!$D$9:$D$453=$D72),0))</f>
        <v>107</v>
      </c>
      <c r="L72" s="9">
        <f t="shared" si="6"/>
        <v>31.750741839762615</v>
      </c>
      <c r="M72" s="8" t="str">
        <f t="shared" si="7"/>
        <v>Perlu Pengendalian</v>
      </c>
      <c r="P72" s="194">
        <f t="shared" si="8"/>
        <v>14.5845</v>
      </c>
      <c r="Q72" s="194">
        <f t="array" ref="Q72">$P72*0.8</f>
        <v>11.6676</v>
      </c>
      <c r="R72" s="194">
        <f t="shared" si="9"/>
        <v>8.7507000000000001</v>
      </c>
      <c r="S72" s="194">
        <f t="shared" si="10"/>
        <v>5.8338000000000001</v>
      </c>
      <c r="T72" s="194">
        <f t="shared" si="11"/>
        <v>2.9169</v>
      </c>
    </row>
    <row r="73" spans="1:20" outlineLevel="1" x14ac:dyDescent="0.15">
      <c r="A73" s="8" t="s">
        <v>628</v>
      </c>
      <c r="B73" s="8" t="s">
        <v>14</v>
      </c>
      <c r="C73" s="8" t="s">
        <v>79</v>
      </c>
      <c r="D73" s="8" t="s">
        <v>670</v>
      </c>
      <c r="E73" s="9">
        <v>22.72</v>
      </c>
      <c r="F73" s="8" t="s">
        <v>16</v>
      </c>
      <c r="G73" s="143">
        <f t="array" ref="G73">INDEX('[23]SENSUS MEI'!$G$9:$G$453,MATCH(1,('[23]SENSUS MEI'!$D$9:$D$453=$D73)*('[23]SENSUS MEI'!$D$9:$D$453=$D73),0))</f>
        <v>3205</v>
      </c>
      <c r="H73" s="11">
        <f t="array" ref="H73">INDEX('[23]SENSUS MEI'!$J$9:$J$453,MATCH(1,('[23]SENSUS MEI'!$D$9:$D$453=$D73)*('[23]SENSUS MEI'!$D$9:$D$453=$D73),0))</f>
        <v>46149</v>
      </c>
      <c r="I73" s="143">
        <f t="array" ref="I73">INDEX('[23]SENSUS MEI'!$K$9:$K$453,MATCH(1,('[23]SENSUS MEI'!$D$9:$D$453=$D73)*('[23]SENSUS MEI'!$D$9:$D$453=$D73),0))</f>
        <v>320</v>
      </c>
      <c r="J73" s="9">
        <f t="array" ref="J73">IFERROR(I73/G73*100,0)</f>
        <v>9.9843993759750393</v>
      </c>
      <c r="K73" s="143">
        <f t="array" ref="K73">INDEX('[23]SENSUS MEI'!$M$9:$M$453,MATCH(1,('[23]SENSUS MEI'!$D$9:$D$453=$D73)*('[23]SENSUS MEI'!$D$9:$D$453=$D73),0))+INDEX('[23]SENSUS MEI'!$O$9:$O$453,MATCH(1,('[23]SENSUS MEI'!$D$9:$D$453=$D73)*('[23]SENSUS MEI'!$D$9:$D$453=$D73),0))</f>
        <v>71</v>
      </c>
      <c r="L73" s="9">
        <f t="shared" si="6"/>
        <v>22.1875</v>
      </c>
      <c r="M73" s="8" t="str">
        <f t="shared" si="7"/>
        <v>Perlu Pengendalian</v>
      </c>
      <c r="P73" s="194">
        <f t="shared" si="8"/>
        <v>14.422499999999999</v>
      </c>
      <c r="Q73" s="194">
        <f t="array" ref="Q73">$P73*0.8</f>
        <v>11.538</v>
      </c>
      <c r="R73" s="194">
        <f t="shared" si="9"/>
        <v>8.6534999999999993</v>
      </c>
      <c r="S73" s="194">
        <f t="shared" si="10"/>
        <v>5.7690000000000001</v>
      </c>
      <c r="T73" s="194">
        <f t="shared" si="11"/>
        <v>2.8845000000000001</v>
      </c>
    </row>
    <row r="74" spans="1:20" outlineLevel="1" x14ac:dyDescent="0.15">
      <c r="A74" s="8" t="s">
        <v>628</v>
      </c>
      <c r="B74" s="8" t="s">
        <v>14</v>
      </c>
      <c r="C74" s="8" t="s">
        <v>79</v>
      </c>
      <c r="D74" s="8" t="s">
        <v>671</v>
      </c>
      <c r="E74" s="9">
        <v>27.1</v>
      </c>
      <c r="F74" s="8" t="s">
        <v>16</v>
      </c>
      <c r="G74" s="143">
        <f t="array" ref="G74">INDEX('[23]SENSUS MEI'!$G$9:$G$453,MATCH(1,('[23]SENSUS MEI'!$D$9:$D$453=$D74)*('[23]SENSUS MEI'!$D$9:$D$453=$D74),0))</f>
        <v>3922</v>
      </c>
      <c r="H74" s="11">
        <f t="array" ref="H74">INDEX('[23]SENSUS MEI'!$J$9:$J$453,MATCH(1,('[23]SENSUS MEI'!$D$9:$D$453=$D74)*('[23]SENSUS MEI'!$D$9:$D$453=$D74),0))</f>
        <v>46149</v>
      </c>
      <c r="I74" s="143">
        <f t="array" ref="I74">INDEX('[23]SENSUS MEI'!$K$9:$K$453,MATCH(1,('[23]SENSUS MEI'!$D$9:$D$453=$D74)*('[23]SENSUS MEI'!$D$9:$D$453=$D74),0))</f>
        <v>330</v>
      </c>
      <c r="J74" s="9">
        <f t="array" ref="J74">IFERROR(I74/G74*100,0)</f>
        <v>8.4140744518103006</v>
      </c>
      <c r="K74" s="143">
        <f t="array" ref="K74">INDEX('[23]SENSUS MEI'!$M$9:$M$453,MATCH(1,('[23]SENSUS MEI'!$D$9:$D$453=$D74)*('[23]SENSUS MEI'!$D$9:$D$453=$D74),0))+INDEX('[23]SENSUS MEI'!$O$9:$O$453,MATCH(1,('[23]SENSUS MEI'!$D$9:$D$453=$D74)*('[23]SENSUS MEI'!$D$9:$D$453=$D74),0))</f>
        <v>83</v>
      </c>
      <c r="L74" s="9">
        <f t="shared" si="6"/>
        <v>25.151515151515152</v>
      </c>
      <c r="M74" s="8" t="str">
        <f t="shared" si="7"/>
        <v>Perlu Pengendalian</v>
      </c>
      <c r="P74" s="194">
        <f t="shared" si="8"/>
        <v>17.649000000000001</v>
      </c>
      <c r="Q74" s="194">
        <f t="array" ref="Q74">$P74*0.8</f>
        <v>14.119200000000001</v>
      </c>
      <c r="R74" s="194">
        <f t="shared" si="9"/>
        <v>10.589399999999999</v>
      </c>
      <c r="S74" s="194">
        <f t="shared" si="10"/>
        <v>7.0596000000000005</v>
      </c>
      <c r="T74" s="194">
        <f t="shared" si="11"/>
        <v>3.5298000000000003</v>
      </c>
    </row>
    <row r="75" spans="1:20" outlineLevel="1" x14ac:dyDescent="0.15">
      <c r="A75" s="8" t="s">
        <v>628</v>
      </c>
      <c r="B75" s="8" t="s">
        <v>14</v>
      </c>
      <c r="C75" s="8" t="s">
        <v>79</v>
      </c>
      <c r="D75" s="8" t="s">
        <v>21</v>
      </c>
      <c r="E75" s="9">
        <v>46.2</v>
      </c>
      <c r="F75" s="8" t="s">
        <v>16</v>
      </c>
      <c r="G75" s="143">
        <f t="array" ref="G75">INDEX('[23]SENSUS MEI'!$G$9:$G$453,MATCH(1,('[23]SENSUS MEI'!$D$9:$D$453=$D75)*('[23]SENSUS MEI'!$D$9:$D$453=$D75),0))</f>
        <v>6972</v>
      </c>
      <c r="H75" s="11">
        <f t="array" ref="H75">INDEX('[23]SENSUS MEI'!$J$9:$J$453,MATCH(1,('[23]SENSUS MEI'!$D$9:$D$453=$D75)*('[23]SENSUS MEI'!$D$9:$D$453=$D75),0))</f>
        <v>46151</v>
      </c>
      <c r="I75" s="143">
        <f t="array" ref="I75">INDEX('[23]SENSUS MEI'!$K$9:$K$453,MATCH(1,('[23]SENSUS MEI'!$D$9:$D$453=$D75)*('[23]SENSUS MEI'!$D$9:$D$453=$D75),0))</f>
        <v>386</v>
      </c>
      <c r="J75" s="9">
        <f t="array" ref="J75">IFERROR(I75/G75*100,0)</f>
        <v>5.5364314400458978</v>
      </c>
      <c r="K75" s="143">
        <f t="array" ref="K75">INDEX('[23]SENSUS MEI'!$M$9:$M$453,MATCH(1,('[23]SENSUS MEI'!$D$9:$D$453=$D75)*('[23]SENSUS MEI'!$D$9:$D$453=$D75),0))+INDEX('[23]SENSUS MEI'!$O$9:$O$453,MATCH(1,('[23]SENSUS MEI'!$D$9:$D$453=$D75)*('[23]SENSUS MEI'!$D$9:$D$453=$D75),0))</f>
        <v>166</v>
      </c>
      <c r="L75" s="9">
        <f t="shared" si="6"/>
        <v>43.005181347150256</v>
      </c>
      <c r="M75" s="8" t="str">
        <f t="shared" si="7"/>
        <v>Perlu Pengendalian</v>
      </c>
      <c r="P75" s="194">
        <f t="shared" si="8"/>
        <v>31.373999999999999</v>
      </c>
      <c r="Q75" s="194">
        <f t="array" ref="Q75">$P75*0.8</f>
        <v>25.0992</v>
      </c>
      <c r="R75" s="194">
        <f t="shared" si="9"/>
        <v>18.824399999999997</v>
      </c>
      <c r="S75" s="194">
        <f t="shared" si="10"/>
        <v>12.5496</v>
      </c>
      <c r="T75" s="194">
        <f t="shared" si="11"/>
        <v>6.2747999999999999</v>
      </c>
    </row>
    <row r="76" spans="1:20" outlineLevel="1" x14ac:dyDescent="0.15">
      <c r="A76" s="8" t="s">
        <v>628</v>
      </c>
      <c r="B76" s="8" t="s">
        <v>14</v>
      </c>
      <c r="C76" s="8" t="s">
        <v>79</v>
      </c>
      <c r="D76" s="8" t="s">
        <v>22</v>
      </c>
      <c r="E76" s="9">
        <v>47.9</v>
      </c>
      <c r="F76" s="8" t="s">
        <v>16</v>
      </c>
      <c r="G76" s="143">
        <f t="array" ref="G76">INDEX('[23]SENSUS MEI'!$G$9:$G$453,MATCH(1,('[23]SENSUS MEI'!$D$9:$D$453=$D76)*('[23]SENSUS MEI'!$D$9:$D$453=$D76),0))</f>
        <v>7178</v>
      </c>
      <c r="H76" s="11">
        <f t="array" ref="H76">INDEX('[23]SENSUS MEI'!$J$9:$J$453,MATCH(1,('[23]SENSUS MEI'!$D$9:$D$453=$D76)*('[23]SENSUS MEI'!$D$9:$D$453=$D76),0))</f>
        <v>46151</v>
      </c>
      <c r="I76" s="143">
        <f t="array" ref="I76">INDEX('[23]SENSUS MEI'!$K$9:$K$453,MATCH(1,('[23]SENSUS MEI'!$D$9:$D$453=$D76)*('[23]SENSUS MEI'!$D$9:$D$453=$D76),0))</f>
        <v>765</v>
      </c>
      <c r="J76" s="9">
        <f t="array" ref="J76">IFERROR(I76/G76*100,0)</f>
        <v>10.657564781276122</v>
      </c>
      <c r="K76" s="143">
        <f t="array" ref="K76">INDEX('[23]SENSUS MEI'!$M$9:$M$453,MATCH(1,('[23]SENSUS MEI'!$D$9:$D$453=$D76)*('[23]SENSUS MEI'!$D$9:$D$453=$D76),0))+INDEX('[23]SENSUS MEI'!$O$9:$O$453,MATCH(1,('[23]SENSUS MEI'!$D$9:$D$453=$D76)*('[23]SENSUS MEI'!$D$9:$D$453=$D76),0))</f>
        <v>140</v>
      </c>
      <c r="L76" s="9">
        <f t="shared" si="6"/>
        <v>18.300653594771241</v>
      </c>
      <c r="M76" s="8" t="str">
        <f t="shared" si="7"/>
        <v>Perlu Pengendalian</v>
      </c>
      <c r="P76" s="194">
        <f t="shared" si="8"/>
        <v>32.301000000000002</v>
      </c>
      <c r="Q76" s="194">
        <f t="array" ref="Q76">$P76*0.8</f>
        <v>25.840800000000002</v>
      </c>
      <c r="R76" s="194">
        <f t="shared" si="9"/>
        <v>19.380600000000001</v>
      </c>
      <c r="S76" s="194">
        <f t="shared" si="10"/>
        <v>12.920400000000001</v>
      </c>
      <c r="T76" s="194">
        <f t="shared" si="11"/>
        <v>6.4602000000000004</v>
      </c>
    </row>
    <row r="77" spans="1:20" outlineLevel="1" x14ac:dyDescent="0.15">
      <c r="A77" s="8" t="s">
        <v>628</v>
      </c>
      <c r="B77" s="8" t="s">
        <v>14</v>
      </c>
      <c r="C77" s="8" t="s">
        <v>79</v>
      </c>
      <c r="D77" s="8" t="s">
        <v>672</v>
      </c>
      <c r="E77" s="9">
        <v>20.92</v>
      </c>
      <c r="F77" s="8" t="s">
        <v>16</v>
      </c>
      <c r="G77" s="143">
        <f t="array" ref="G77">INDEX('[23]SENSUS MEI'!$G$9:$G$453,MATCH(1,('[23]SENSUS MEI'!$D$9:$D$453=$D77)*('[23]SENSUS MEI'!$D$9:$D$453=$D77),0))</f>
        <v>3212</v>
      </c>
      <c r="H77" s="11">
        <f t="array" ref="H77">INDEX('[23]SENSUS MEI'!$J$9:$J$453,MATCH(1,('[23]SENSUS MEI'!$D$9:$D$453=$D77)*('[23]SENSUS MEI'!$D$9:$D$453=$D77),0))</f>
        <v>46151</v>
      </c>
      <c r="I77" s="143">
        <f t="array" ref="I77">INDEX('[23]SENSUS MEI'!$K$9:$K$453,MATCH(1,('[23]SENSUS MEI'!$D$9:$D$453=$D77)*('[23]SENSUS MEI'!$D$9:$D$453=$D77),0))</f>
        <v>410</v>
      </c>
      <c r="J77" s="9">
        <f t="array" ref="J77">IFERROR(I77/G77*100,0)</f>
        <v>12.764632627646327</v>
      </c>
      <c r="K77" s="143">
        <f t="array" ref="K77">INDEX('[23]SENSUS MEI'!$M$9:$M$453,MATCH(1,('[23]SENSUS MEI'!$D$9:$D$453=$D77)*('[23]SENSUS MEI'!$D$9:$D$453=$D77),0))+INDEX('[23]SENSUS MEI'!$O$9:$O$453,MATCH(1,('[23]SENSUS MEI'!$D$9:$D$453=$D77)*('[23]SENSUS MEI'!$D$9:$D$453=$D77),0))</f>
        <v>69</v>
      </c>
      <c r="L77" s="9">
        <f t="shared" si="6"/>
        <v>16.829268292682929</v>
      </c>
      <c r="M77" s="8" t="str">
        <f t="shared" si="7"/>
        <v>Perlu Pengendalian</v>
      </c>
      <c r="P77" s="194">
        <f t="shared" si="8"/>
        <v>14.454000000000001</v>
      </c>
      <c r="Q77" s="194">
        <f t="array" ref="Q77">$P77*0.8</f>
        <v>11.563200000000002</v>
      </c>
      <c r="R77" s="194">
        <f t="shared" si="9"/>
        <v>8.6723999999999997</v>
      </c>
      <c r="S77" s="194">
        <f t="shared" si="10"/>
        <v>5.781600000000001</v>
      </c>
      <c r="T77" s="194">
        <f t="shared" si="11"/>
        <v>2.8908000000000005</v>
      </c>
    </row>
    <row r="78" spans="1:20" outlineLevel="1" x14ac:dyDescent="0.15">
      <c r="A78" s="8" t="s">
        <v>628</v>
      </c>
      <c r="B78" s="8" t="s">
        <v>14</v>
      </c>
      <c r="C78" s="8" t="s">
        <v>79</v>
      </c>
      <c r="D78" s="8" t="s">
        <v>673</v>
      </c>
      <c r="E78" s="9">
        <v>12.8</v>
      </c>
      <c r="F78" s="8" t="s">
        <v>16</v>
      </c>
      <c r="G78" s="143">
        <f t="array" ref="G78">INDEX('[23]SENSUS MEI'!$G$9:$G$453,MATCH(1,('[23]SENSUS MEI'!$D$9:$D$453=$D78)*('[23]SENSUS MEI'!$D$9:$D$453=$D78),0))</f>
        <v>1613</v>
      </c>
      <c r="H78" s="11">
        <f t="array" ref="H78">INDEX('[23]SENSUS MEI'!$J$9:$J$453,MATCH(1,('[23]SENSUS MEI'!$D$9:$D$453=$D78)*('[23]SENSUS MEI'!$D$9:$D$453=$D78),0))</f>
        <v>46150</v>
      </c>
      <c r="I78" s="143">
        <f t="array" ref="I78">INDEX('[23]SENSUS MEI'!$K$9:$K$453,MATCH(1,('[23]SENSUS MEI'!$D$9:$D$453=$D78)*('[23]SENSUS MEI'!$D$9:$D$453=$D78),0))</f>
        <v>237</v>
      </c>
      <c r="J78" s="9">
        <f t="array" ref="J78">IFERROR(I78/G78*100,0)</f>
        <v>14.693118412895226</v>
      </c>
      <c r="K78" s="143">
        <f t="array" ref="K78">INDEX('[23]SENSUS MEI'!$M$9:$M$453,MATCH(1,('[23]SENSUS MEI'!$D$9:$D$453=$D78)*('[23]SENSUS MEI'!$D$9:$D$453=$D78),0))+INDEX('[23]SENSUS MEI'!$O$9:$O$453,MATCH(1,('[23]SENSUS MEI'!$D$9:$D$453=$D78)*('[23]SENSUS MEI'!$D$9:$D$453=$D78),0))</f>
        <v>52</v>
      </c>
      <c r="L78" s="9">
        <f t="shared" si="6"/>
        <v>21.940928270042196</v>
      </c>
      <c r="M78" s="8" t="str">
        <f t="shared" si="7"/>
        <v>Perlu Pengendalian</v>
      </c>
      <c r="P78" s="194">
        <f t="shared" si="8"/>
        <v>7.2584999999999997</v>
      </c>
      <c r="Q78" s="194">
        <f t="array" ref="Q78">$P78*0.8</f>
        <v>5.8068</v>
      </c>
      <c r="R78" s="194">
        <f t="shared" si="9"/>
        <v>4.3550999999999993</v>
      </c>
      <c r="S78" s="194">
        <f t="shared" si="10"/>
        <v>2.9034</v>
      </c>
      <c r="T78" s="194">
        <f t="shared" si="11"/>
        <v>1.4517</v>
      </c>
    </row>
    <row r="79" spans="1:20" outlineLevel="1" x14ac:dyDescent="0.15">
      <c r="A79" s="8" t="s">
        <v>628</v>
      </c>
      <c r="B79" s="8" t="s">
        <v>14</v>
      </c>
      <c r="C79" s="8" t="s">
        <v>79</v>
      </c>
      <c r="D79" s="8" t="s">
        <v>674</v>
      </c>
      <c r="E79" s="9">
        <v>35.06</v>
      </c>
      <c r="F79" s="8" t="s">
        <v>16</v>
      </c>
      <c r="G79" s="143">
        <f t="array" ref="G79">INDEX('[23]SENSUS MEI'!$G$9:$G$453,MATCH(1,('[23]SENSUS MEI'!$D$9:$D$453=$D79)*('[23]SENSUS MEI'!$D$9:$D$453=$D79),0))</f>
        <v>4615</v>
      </c>
      <c r="H79" s="11">
        <f t="array" ref="H79">INDEX('[23]SENSUS MEI'!$J$9:$J$453,MATCH(1,('[23]SENSUS MEI'!$D$9:$D$453=$D79)*('[23]SENSUS MEI'!$D$9:$D$453=$D79),0))</f>
        <v>46150</v>
      </c>
      <c r="I79" s="143">
        <f t="array" ref="I79">INDEX('[23]SENSUS MEI'!$K$9:$K$453,MATCH(1,('[23]SENSUS MEI'!$D$9:$D$453=$D79)*('[23]SENSUS MEI'!$D$9:$D$453=$D79),0))</f>
        <v>554</v>
      </c>
      <c r="J79" s="9">
        <f t="array" ref="J79">IFERROR(I79/G79*100,0)</f>
        <v>12.004333694474539</v>
      </c>
      <c r="K79" s="143">
        <f t="array" ref="K79">INDEX('[23]SENSUS MEI'!$M$9:$M$453,MATCH(1,('[23]SENSUS MEI'!$D$9:$D$453=$D79)*('[23]SENSUS MEI'!$D$9:$D$453=$D79),0))+INDEX('[23]SENSUS MEI'!$O$9:$O$453,MATCH(1,('[23]SENSUS MEI'!$D$9:$D$453=$D79)*('[23]SENSUS MEI'!$D$9:$D$453=$D79),0))</f>
        <v>85</v>
      </c>
      <c r="L79" s="9">
        <f t="shared" si="6"/>
        <v>15.342960288808664</v>
      </c>
      <c r="M79" s="8" t="str">
        <f t="shared" si="7"/>
        <v>Perlu Pengendalian</v>
      </c>
      <c r="P79" s="194">
        <f t="shared" si="8"/>
        <v>20.767499999999998</v>
      </c>
      <c r="Q79" s="194">
        <f t="array" ref="Q79">$P79*0.8</f>
        <v>16.614000000000001</v>
      </c>
      <c r="R79" s="194">
        <f t="shared" si="9"/>
        <v>12.460499999999998</v>
      </c>
      <c r="S79" s="194">
        <f t="shared" si="10"/>
        <v>8.3070000000000004</v>
      </c>
      <c r="T79" s="194">
        <f t="shared" si="11"/>
        <v>4.1535000000000002</v>
      </c>
    </row>
    <row r="80" spans="1:20" outlineLevel="1" x14ac:dyDescent="0.15">
      <c r="A80" s="8" t="s">
        <v>628</v>
      </c>
      <c r="B80" s="8" t="s">
        <v>14</v>
      </c>
      <c r="C80" s="8" t="s">
        <v>79</v>
      </c>
      <c r="D80" s="8" t="s">
        <v>675</v>
      </c>
      <c r="E80" s="9">
        <v>22.89</v>
      </c>
      <c r="F80" s="8" t="s">
        <v>16</v>
      </c>
      <c r="G80" s="143">
        <f t="array" ref="G80">INDEX('[23]SENSUS MEI'!$G$9:$G$453,MATCH(1,('[23]SENSUS MEI'!$D$9:$D$453=$D80)*('[23]SENSUS MEI'!$D$9:$D$453=$D80),0))</f>
        <v>3458</v>
      </c>
      <c r="H80" s="11">
        <f t="array" ref="H80">INDEX('[23]SENSUS MEI'!$J$9:$J$453,MATCH(1,('[23]SENSUS MEI'!$D$9:$D$453=$D80)*('[23]SENSUS MEI'!$D$9:$D$453=$D80),0))</f>
        <v>46150</v>
      </c>
      <c r="I80" s="143">
        <f t="array" ref="I80">INDEX('[23]SENSUS MEI'!$K$9:$K$453,MATCH(1,('[23]SENSUS MEI'!$D$9:$D$453=$D80)*('[23]SENSUS MEI'!$D$9:$D$453=$D80),0))</f>
        <v>327</v>
      </c>
      <c r="J80" s="9">
        <f t="array" ref="J80">IFERROR(I80/G80*100,0)</f>
        <v>9.4563331405436664</v>
      </c>
      <c r="K80" s="143">
        <f t="array" ref="K80">INDEX('[23]SENSUS MEI'!$M$9:$M$453,MATCH(1,('[23]SENSUS MEI'!$D$9:$D$453=$D80)*('[23]SENSUS MEI'!$D$9:$D$453=$D80),0))+INDEX('[23]SENSUS MEI'!$O$9:$O$453,MATCH(1,('[23]SENSUS MEI'!$D$9:$D$453=$D80)*('[23]SENSUS MEI'!$D$9:$D$453=$D80),0))</f>
        <v>48</v>
      </c>
      <c r="L80" s="9">
        <f t="shared" si="6"/>
        <v>14.678899082568808</v>
      </c>
      <c r="M80" s="8" t="str">
        <f t="shared" si="7"/>
        <v>Perlu Pengendalian</v>
      </c>
      <c r="P80" s="194">
        <f t="shared" si="8"/>
        <v>15.561</v>
      </c>
      <c r="Q80" s="194">
        <f t="array" ref="Q80">$P80*0.8</f>
        <v>12.4488</v>
      </c>
      <c r="R80" s="194">
        <f t="shared" si="9"/>
        <v>9.3365999999999989</v>
      </c>
      <c r="S80" s="194">
        <f t="shared" si="10"/>
        <v>6.2244000000000002</v>
      </c>
      <c r="T80" s="194">
        <f t="shared" si="11"/>
        <v>3.1122000000000001</v>
      </c>
    </row>
    <row r="81" spans="1:20" outlineLevel="1" x14ac:dyDescent="0.15">
      <c r="A81" s="8" t="s">
        <v>628</v>
      </c>
      <c r="B81" s="8" t="s">
        <v>14</v>
      </c>
      <c r="C81" s="8" t="s">
        <v>79</v>
      </c>
      <c r="D81" s="8" t="s">
        <v>676</v>
      </c>
      <c r="E81" s="9">
        <v>23.49</v>
      </c>
      <c r="F81" s="8" t="s">
        <v>16</v>
      </c>
      <c r="G81" s="143">
        <f t="array" ref="G81">INDEX('[23]SENSUS MEI'!$G$9:$G$453,MATCH(1,('[23]SENSUS MEI'!$D$9:$D$453=$D81)*('[23]SENSUS MEI'!$D$9:$D$453=$D81),0))</f>
        <v>3398</v>
      </c>
      <c r="H81" s="11">
        <f t="array" ref="H81">INDEX('[23]SENSUS MEI'!$J$9:$J$453,MATCH(1,('[23]SENSUS MEI'!$D$9:$D$453=$D81)*('[23]SENSUS MEI'!$D$9:$D$453=$D81),0))</f>
        <v>46150</v>
      </c>
      <c r="I81" s="143">
        <f t="array" ref="I81">INDEX('[23]SENSUS MEI'!$K$9:$K$453,MATCH(1,('[23]SENSUS MEI'!$D$9:$D$453=$D81)*('[23]SENSUS MEI'!$D$9:$D$453=$D81),0))</f>
        <v>316</v>
      </c>
      <c r="J81" s="9">
        <f t="array" ref="J81">IFERROR(I81/G81*100,0)</f>
        <v>9.2995879929370222</v>
      </c>
      <c r="K81" s="143">
        <f t="array" ref="K81">INDEX('[23]SENSUS MEI'!$M$9:$M$453,MATCH(1,('[23]SENSUS MEI'!$D$9:$D$453=$D81)*('[23]SENSUS MEI'!$D$9:$D$453=$D81),0))+INDEX('[23]SENSUS MEI'!$O$9:$O$453,MATCH(1,('[23]SENSUS MEI'!$D$9:$D$453=$D81)*('[23]SENSUS MEI'!$D$9:$D$453=$D81),0))</f>
        <v>44</v>
      </c>
      <c r="L81" s="9">
        <f t="shared" si="6"/>
        <v>13.924050632911392</v>
      </c>
      <c r="M81" s="8" t="str">
        <f t="shared" si="7"/>
        <v>Perlu Pengendalian</v>
      </c>
      <c r="P81" s="194">
        <f t="shared" si="8"/>
        <v>15.291</v>
      </c>
      <c r="Q81" s="194">
        <f t="array" ref="Q81">$P81*0.8</f>
        <v>12.232800000000001</v>
      </c>
      <c r="R81" s="194">
        <f t="shared" si="9"/>
        <v>9.1745999999999999</v>
      </c>
      <c r="S81" s="194">
        <f t="shared" si="10"/>
        <v>6.1164000000000005</v>
      </c>
      <c r="T81" s="194">
        <f t="shared" si="11"/>
        <v>3.0582000000000003</v>
      </c>
    </row>
    <row r="82" spans="1:20" outlineLevel="1" x14ac:dyDescent="0.15">
      <c r="A82" s="8" t="s">
        <v>628</v>
      </c>
      <c r="B82" s="8" t="s">
        <v>14</v>
      </c>
      <c r="C82" s="8" t="s">
        <v>79</v>
      </c>
      <c r="D82" s="8" t="s">
        <v>677</v>
      </c>
      <c r="E82" s="9">
        <v>24.83</v>
      </c>
      <c r="F82" s="8" t="s">
        <v>16</v>
      </c>
      <c r="G82" s="143">
        <f t="array" ref="G82">INDEX('[23]SENSUS MEI'!$G$9:$G$453,MATCH(1,('[23]SENSUS MEI'!$D$9:$D$453=$D82)*('[23]SENSUS MEI'!$D$9:$D$453=$D82),0))</f>
        <v>3497</v>
      </c>
      <c r="H82" s="11">
        <f t="array" ref="H82">INDEX('[23]SENSUS MEI'!$J$9:$J$453,MATCH(1,('[23]SENSUS MEI'!$D$9:$D$453=$D82)*('[23]SENSUS MEI'!$D$9:$D$453=$D82),0))</f>
        <v>46154</v>
      </c>
      <c r="I82" s="143">
        <f t="array" ref="I82">INDEX('[23]SENSUS MEI'!$K$9:$K$453,MATCH(1,('[23]SENSUS MEI'!$D$9:$D$453=$D82)*('[23]SENSUS MEI'!$D$9:$D$453=$D82),0))</f>
        <v>365</v>
      </c>
      <c r="J82" s="9">
        <f t="array" ref="J82">IFERROR(I82/G82*100,0)</f>
        <v>10.437517872462109</v>
      </c>
      <c r="K82" s="143">
        <f t="array" ref="K82">INDEX('[23]SENSUS MEI'!$M$9:$M$453,MATCH(1,('[23]SENSUS MEI'!$D$9:$D$453=$D82)*('[23]SENSUS MEI'!$D$9:$D$453=$D82),0))+INDEX('[23]SENSUS MEI'!$O$9:$O$453,MATCH(1,('[23]SENSUS MEI'!$D$9:$D$453=$D82)*('[23]SENSUS MEI'!$D$9:$D$453=$D82),0))</f>
        <v>33</v>
      </c>
      <c r="L82" s="9">
        <f t="shared" si="6"/>
        <v>9.0410958904109595</v>
      </c>
      <c r="M82" s="8" t="str">
        <f t="shared" si="7"/>
        <v>Perlu Pengendalian</v>
      </c>
      <c r="P82" s="194">
        <f t="shared" si="8"/>
        <v>15.736499999999999</v>
      </c>
      <c r="Q82" s="194">
        <f t="array" ref="Q82">$P82*0.8</f>
        <v>12.5892</v>
      </c>
      <c r="R82" s="194">
        <f t="shared" si="9"/>
        <v>9.4418999999999986</v>
      </c>
      <c r="S82" s="194">
        <f t="shared" si="10"/>
        <v>6.2946</v>
      </c>
      <c r="T82" s="194">
        <f t="shared" si="11"/>
        <v>3.1473</v>
      </c>
    </row>
    <row r="83" spans="1:20" outlineLevel="1" x14ac:dyDescent="0.15">
      <c r="A83" s="8" t="s">
        <v>628</v>
      </c>
      <c r="B83" s="8" t="s">
        <v>14</v>
      </c>
      <c r="C83" s="8" t="s">
        <v>79</v>
      </c>
      <c r="D83" s="8" t="s">
        <v>678</v>
      </c>
      <c r="E83" s="9">
        <v>8.0399999999999991</v>
      </c>
      <c r="F83" s="8" t="s">
        <v>16</v>
      </c>
      <c r="G83" s="143">
        <f t="array" ref="G83">INDEX('[23]SENSUS MEI'!$G$9:$G$453,MATCH(1,('[23]SENSUS MEI'!$D$9:$D$453=$D83)*('[23]SENSUS MEI'!$D$9:$D$453=$D83),0))</f>
        <v>898</v>
      </c>
      <c r="H83" s="11">
        <f t="array" ref="H83">INDEX('[23]SENSUS MEI'!$J$9:$J$453,MATCH(1,('[23]SENSUS MEI'!$D$9:$D$453=$D83)*('[23]SENSUS MEI'!$D$9:$D$453=$D83),0))</f>
        <v>46154</v>
      </c>
      <c r="I83" s="143">
        <f t="array" ref="I83">INDEX('[23]SENSUS MEI'!$K$9:$K$453,MATCH(1,('[23]SENSUS MEI'!$D$9:$D$453=$D83)*('[23]SENSUS MEI'!$D$9:$D$453=$D83),0))</f>
        <v>123</v>
      </c>
      <c r="J83" s="9">
        <f t="array" ref="J83">IFERROR(I83/G83*100,0)</f>
        <v>13.697104677060135</v>
      </c>
      <c r="K83" s="143">
        <f t="array" ref="K83">INDEX('[23]SENSUS MEI'!$M$9:$M$453,MATCH(1,('[23]SENSUS MEI'!$D$9:$D$453=$D83)*('[23]SENSUS MEI'!$D$9:$D$453=$D83),0))+INDEX('[23]SENSUS MEI'!$O$9:$O$453,MATCH(1,('[23]SENSUS MEI'!$D$9:$D$453=$D83)*('[23]SENSUS MEI'!$D$9:$D$453=$D83),0))</f>
        <v>17</v>
      </c>
      <c r="L83" s="9">
        <f t="shared" si="6"/>
        <v>13.821138211382115</v>
      </c>
      <c r="M83" s="8" t="str">
        <f t="shared" si="7"/>
        <v>Perlu Pengendalian</v>
      </c>
      <c r="P83" s="194">
        <f t="shared" si="8"/>
        <v>4.0410000000000004</v>
      </c>
      <c r="Q83" s="194">
        <f t="array" ref="Q83">$P83*0.8</f>
        <v>3.2328000000000006</v>
      </c>
      <c r="R83" s="194">
        <f t="shared" si="9"/>
        <v>2.4246000000000003</v>
      </c>
      <c r="S83" s="194">
        <f t="shared" si="10"/>
        <v>1.6164000000000003</v>
      </c>
      <c r="T83" s="194">
        <f t="shared" si="11"/>
        <v>0.80820000000000014</v>
      </c>
    </row>
    <row r="84" spans="1:20" outlineLevel="1" x14ac:dyDescent="0.15">
      <c r="A84" s="8" t="s">
        <v>628</v>
      </c>
      <c r="B84" s="8" t="s">
        <v>14</v>
      </c>
      <c r="C84" s="8" t="s">
        <v>79</v>
      </c>
      <c r="D84" s="8" t="s">
        <v>679</v>
      </c>
      <c r="E84" s="9">
        <v>32.42</v>
      </c>
      <c r="F84" s="8" t="s">
        <v>16</v>
      </c>
      <c r="G84" s="143">
        <f t="array" ref="G84">INDEX('[23]SENSUS MEI'!$G$9:$G$453,MATCH(1,('[23]SENSUS MEI'!$D$9:$D$453=$D84)*('[23]SENSUS MEI'!$D$9:$D$453=$D84),0))</f>
        <v>4386</v>
      </c>
      <c r="H84" s="11">
        <f t="array" ref="H84">INDEX('[23]SENSUS MEI'!$J$9:$J$453,MATCH(1,('[23]SENSUS MEI'!$D$9:$D$453=$D84)*('[23]SENSUS MEI'!$D$9:$D$453=$D84),0))</f>
        <v>46154</v>
      </c>
      <c r="I84" s="143">
        <f t="array" ref="I84">INDEX('[23]SENSUS MEI'!$K$9:$K$453,MATCH(1,('[23]SENSUS MEI'!$D$9:$D$453=$D84)*('[23]SENSUS MEI'!$D$9:$D$453=$D84),0))</f>
        <v>400</v>
      </c>
      <c r="J84" s="9">
        <f t="array" ref="J84">IFERROR(I84/G84*100,0)</f>
        <v>9.1199270405836756</v>
      </c>
      <c r="K84" s="143">
        <f t="array" ref="K84">INDEX('[23]SENSUS MEI'!$M$9:$M$453,MATCH(1,('[23]SENSUS MEI'!$D$9:$D$453=$D84)*('[23]SENSUS MEI'!$D$9:$D$453=$D84),0))+INDEX('[23]SENSUS MEI'!$O$9:$O$453,MATCH(1,('[23]SENSUS MEI'!$D$9:$D$453=$D84)*('[23]SENSUS MEI'!$D$9:$D$453=$D84),0))</f>
        <v>23</v>
      </c>
      <c r="L84" s="9">
        <f t="shared" ref="L84:L147" si="12">IFERROR(K84/I84*100,0)</f>
        <v>5.75</v>
      </c>
      <c r="M84" s="8" t="str">
        <f t="shared" si="7"/>
        <v>Perlu Pengendalian</v>
      </c>
      <c r="P84" s="194">
        <f t="shared" si="8"/>
        <v>19.736999999999998</v>
      </c>
      <c r="Q84" s="194">
        <f t="array" ref="Q84">$P84*0.8</f>
        <v>15.7896</v>
      </c>
      <c r="R84" s="194">
        <f t="shared" si="9"/>
        <v>11.842199999999998</v>
      </c>
      <c r="S84" s="194">
        <f t="shared" si="10"/>
        <v>7.8948</v>
      </c>
      <c r="T84" s="194">
        <f t="shared" si="11"/>
        <v>3.9474</v>
      </c>
    </row>
    <row r="85" spans="1:20" outlineLevel="1" x14ac:dyDescent="0.15">
      <c r="A85" s="8" t="s">
        <v>628</v>
      </c>
      <c r="B85" s="8" t="s">
        <v>14</v>
      </c>
      <c r="C85" s="8" t="s">
        <v>79</v>
      </c>
      <c r="D85" s="8" t="s">
        <v>680</v>
      </c>
      <c r="E85" s="9">
        <v>32.43</v>
      </c>
      <c r="F85" s="8" t="s">
        <v>16</v>
      </c>
      <c r="G85" s="143">
        <f t="array" ref="G85">INDEX('[23]SENSUS MEI'!$G$9:$G$453,MATCH(1,('[23]SENSUS MEI'!$D$9:$D$453=$D85)*('[23]SENSUS MEI'!$D$9:$D$453=$D85),0))</f>
        <v>4014</v>
      </c>
      <c r="H85" s="11">
        <f t="array" ref="H85">INDEX('[23]SENSUS MEI'!$J$9:$J$453,MATCH(1,('[23]SENSUS MEI'!$D$9:$D$453=$D85)*('[23]SENSUS MEI'!$D$9:$D$453=$D85),0))</f>
        <v>46154</v>
      </c>
      <c r="I85" s="143">
        <f t="array" ref="I85">INDEX('[23]SENSUS MEI'!$K$9:$K$453,MATCH(1,('[23]SENSUS MEI'!$D$9:$D$453=$D85)*('[23]SENSUS MEI'!$D$9:$D$453=$D85),0))</f>
        <v>319</v>
      </c>
      <c r="J85" s="9">
        <f t="array" ref="J85">IFERROR(I85/G85*100,0)</f>
        <v>7.9471848530144493</v>
      </c>
      <c r="K85" s="143">
        <f t="array" ref="K85">INDEX('[23]SENSUS MEI'!$M$9:$M$453,MATCH(1,('[23]SENSUS MEI'!$D$9:$D$453=$D85)*('[23]SENSUS MEI'!$D$9:$D$453=$D85),0))+INDEX('[23]SENSUS MEI'!$O$9:$O$453,MATCH(1,('[23]SENSUS MEI'!$D$9:$D$453=$D85)*('[23]SENSUS MEI'!$D$9:$D$453=$D85),0))</f>
        <v>39</v>
      </c>
      <c r="L85" s="9">
        <f t="shared" si="12"/>
        <v>12.225705329153605</v>
      </c>
      <c r="M85" s="8" t="str">
        <f t="shared" si="7"/>
        <v>Perlu Pengendalian</v>
      </c>
      <c r="P85" s="194">
        <f t="shared" si="8"/>
        <v>18.062999999999999</v>
      </c>
      <c r="Q85" s="194">
        <f t="array" ref="Q85">$P85*0.8</f>
        <v>14.4504</v>
      </c>
      <c r="R85" s="194">
        <f t="shared" si="9"/>
        <v>10.8378</v>
      </c>
      <c r="S85" s="194">
        <f t="shared" si="10"/>
        <v>7.2252000000000001</v>
      </c>
      <c r="T85" s="194">
        <f t="shared" si="11"/>
        <v>3.6126</v>
      </c>
    </row>
    <row r="86" spans="1:20" outlineLevel="1" x14ac:dyDescent="0.15">
      <c r="A86" s="8" t="s">
        <v>628</v>
      </c>
      <c r="B86" s="8" t="s">
        <v>14</v>
      </c>
      <c r="C86" s="8" t="s">
        <v>79</v>
      </c>
      <c r="D86" s="8" t="s">
        <v>681</v>
      </c>
      <c r="E86" s="9">
        <v>22.56</v>
      </c>
      <c r="F86" s="8" t="s">
        <v>16</v>
      </c>
      <c r="G86" s="143">
        <f t="array" ref="G86">INDEX('[23]SENSUS MEI'!$G$9:$G$453,MATCH(1,('[23]SENSUS MEI'!$D$9:$D$453=$D86)*('[23]SENSUS MEI'!$D$9:$D$453=$D86),0))</f>
        <v>2851</v>
      </c>
      <c r="H86" s="11">
        <f t="array" ref="H86">INDEX('[23]SENSUS MEI'!$J$9:$J$453,MATCH(1,('[23]SENSUS MEI'!$D$9:$D$453=$D86)*('[23]SENSUS MEI'!$D$9:$D$453=$D86),0))</f>
        <v>46154</v>
      </c>
      <c r="I86" s="143">
        <f t="array" ref="I86">INDEX('[23]SENSUS MEI'!$K$9:$K$453,MATCH(1,('[23]SENSUS MEI'!$D$9:$D$453=$D86)*('[23]SENSUS MEI'!$D$9:$D$453=$D86),0))</f>
        <v>284</v>
      </c>
      <c r="J86" s="9">
        <f t="array" ref="J86">IFERROR(I86/G86*100,0)</f>
        <v>9.9614170466502969</v>
      </c>
      <c r="K86" s="143">
        <f t="array" ref="K86">INDEX('[23]SENSUS MEI'!$M$9:$M$453,MATCH(1,('[23]SENSUS MEI'!$D$9:$D$453=$D86)*('[23]SENSUS MEI'!$D$9:$D$453=$D86),0))+INDEX('[23]SENSUS MEI'!$O$9:$O$453,MATCH(1,('[23]SENSUS MEI'!$D$9:$D$453=$D86)*('[23]SENSUS MEI'!$D$9:$D$453=$D86),0))</f>
        <v>51</v>
      </c>
      <c r="L86" s="9">
        <f t="shared" si="12"/>
        <v>17.95774647887324</v>
      </c>
      <c r="M86" s="8" t="str">
        <f t="shared" si="7"/>
        <v>Perlu Pengendalian</v>
      </c>
      <c r="P86" s="194">
        <f t="shared" si="8"/>
        <v>12.829499999999999</v>
      </c>
      <c r="Q86" s="194">
        <f t="array" ref="Q86">$P86*0.8</f>
        <v>10.2636</v>
      </c>
      <c r="R86" s="194">
        <f t="shared" si="9"/>
        <v>7.6976999999999993</v>
      </c>
      <c r="S86" s="194">
        <f t="shared" si="10"/>
        <v>5.1318000000000001</v>
      </c>
      <c r="T86" s="194">
        <f t="shared" si="11"/>
        <v>2.5659000000000001</v>
      </c>
    </row>
    <row r="87" spans="1:20" outlineLevel="1" x14ac:dyDescent="0.15">
      <c r="A87" s="8" t="s">
        <v>628</v>
      </c>
      <c r="B87" s="8" t="s">
        <v>14</v>
      </c>
      <c r="C87" s="8" t="s">
        <v>79</v>
      </c>
      <c r="D87" s="8" t="s">
        <v>682</v>
      </c>
      <c r="E87" s="9">
        <v>19.54</v>
      </c>
      <c r="F87" s="8" t="s">
        <v>16</v>
      </c>
      <c r="G87" s="143">
        <f t="array" ref="G87">INDEX('[23]SENSUS MEI'!$G$9:$G$453,MATCH(1,('[23]SENSUS MEI'!$D$9:$D$453=$D87)*('[23]SENSUS MEI'!$D$9:$D$453=$D87),0))</f>
        <v>2354</v>
      </c>
      <c r="H87" s="11">
        <f t="array" ref="H87">INDEX('[23]SENSUS MEI'!$J$9:$J$453,MATCH(1,('[23]SENSUS MEI'!$D$9:$D$453=$D87)*('[23]SENSUS MEI'!$D$9:$D$453=$D87),0))</f>
        <v>46154</v>
      </c>
      <c r="I87" s="143">
        <f t="array" ref="I87">INDEX('[23]SENSUS MEI'!$K$9:$K$453,MATCH(1,('[23]SENSUS MEI'!$D$9:$D$453=$D87)*('[23]SENSUS MEI'!$D$9:$D$453=$D87),0))</f>
        <v>225</v>
      </c>
      <c r="J87" s="9">
        <f t="array" ref="J87">IFERROR(I87/G87*100,0)</f>
        <v>9.5581988105352593</v>
      </c>
      <c r="K87" s="143">
        <f t="array" ref="K87">INDEX('[23]SENSUS MEI'!$M$9:$M$453,MATCH(1,('[23]SENSUS MEI'!$D$9:$D$453=$D87)*('[23]SENSUS MEI'!$D$9:$D$453=$D87),0))+INDEX('[23]SENSUS MEI'!$O$9:$O$453,MATCH(1,('[23]SENSUS MEI'!$D$9:$D$453=$D87)*('[23]SENSUS MEI'!$D$9:$D$453=$D87),0))</f>
        <v>49</v>
      </c>
      <c r="L87" s="9">
        <f t="shared" si="12"/>
        <v>21.777777777777775</v>
      </c>
      <c r="M87" s="8" t="str">
        <f t="shared" si="7"/>
        <v>Perlu Pengendalian</v>
      </c>
      <c r="P87" s="194">
        <f t="shared" si="8"/>
        <v>10.593</v>
      </c>
      <c r="Q87" s="194">
        <f t="array" ref="Q87">$P87*0.8</f>
        <v>8.474400000000001</v>
      </c>
      <c r="R87" s="194">
        <f t="shared" si="9"/>
        <v>6.3557999999999995</v>
      </c>
      <c r="S87" s="194">
        <f t="shared" si="10"/>
        <v>4.2372000000000005</v>
      </c>
      <c r="T87" s="194">
        <f t="shared" si="11"/>
        <v>2.1186000000000003</v>
      </c>
    </row>
    <row r="88" spans="1:20" outlineLevel="1" x14ac:dyDescent="0.15">
      <c r="A88" s="8" t="s">
        <v>628</v>
      </c>
      <c r="B88" s="8" t="s">
        <v>14</v>
      </c>
      <c r="C88" s="8" t="s">
        <v>79</v>
      </c>
      <c r="D88" s="8" t="s">
        <v>683</v>
      </c>
      <c r="E88" s="9">
        <v>23.55</v>
      </c>
      <c r="F88" s="8" t="s">
        <v>16</v>
      </c>
      <c r="G88" s="143">
        <f t="array" ref="G88">INDEX('[23]SENSUS MEI'!$G$9:$G$453,MATCH(1,('[23]SENSUS MEI'!$D$9:$D$453=$D88)*('[23]SENSUS MEI'!$D$9:$D$453=$D88),0))</f>
        <v>3231</v>
      </c>
      <c r="H88" s="11">
        <f t="array" ref="H88">INDEX('[23]SENSUS MEI'!$J$9:$J$453,MATCH(1,('[23]SENSUS MEI'!$D$9:$D$453=$D88)*('[23]SENSUS MEI'!$D$9:$D$453=$D88),0))</f>
        <v>46153</v>
      </c>
      <c r="I88" s="143">
        <f t="array" ref="I88">INDEX('[23]SENSUS MEI'!$K$9:$K$453,MATCH(1,('[23]SENSUS MEI'!$D$9:$D$453=$D88)*('[23]SENSUS MEI'!$D$9:$D$453=$D88),0))</f>
        <v>417</v>
      </c>
      <c r="J88" s="9">
        <f t="array" ref="J88">IFERROR(I88/G88*100,0)</f>
        <v>12.906220984215414</v>
      </c>
      <c r="K88" s="143">
        <f t="array" ref="K88">INDEX('[23]SENSUS MEI'!$M$9:$M$453,MATCH(1,('[23]SENSUS MEI'!$D$9:$D$453=$D88)*('[23]SENSUS MEI'!$D$9:$D$453=$D88),0))+INDEX('[23]SENSUS MEI'!$O$9:$O$453,MATCH(1,('[23]SENSUS MEI'!$D$9:$D$453=$D88)*('[23]SENSUS MEI'!$D$9:$D$453=$D88),0))</f>
        <v>46</v>
      </c>
      <c r="L88" s="9">
        <f t="shared" si="12"/>
        <v>11.031175059952037</v>
      </c>
      <c r="M88" s="8" t="str">
        <f t="shared" si="7"/>
        <v>Perlu Pengendalian</v>
      </c>
      <c r="P88" s="194">
        <f t="shared" si="8"/>
        <v>14.5395</v>
      </c>
      <c r="Q88" s="194">
        <f t="array" ref="Q88">$P88*0.8</f>
        <v>11.631600000000001</v>
      </c>
      <c r="R88" s="194">
        <f t="shared" si="9"/>
        <v>8.7236999999999991</v>
      </c>
      <c r="S88" s="194">
        <f t="shared" si="10"/>
        <v>5.8158000000000003</v>
      </c>
      <c r="T88" s="194">
        <f t="shared" si="11"/>
        <v>2.9079000000000002</v>
      </c>
    </row>
    <row r="89" spans="1:20" outlineLevel="1" x14ac:dyDescent="0.15">
      <c r="A89" s="8" t="s">
        <v>628</v>
      </c>
      <c r="B89" s="8" t="s">
        <v>14</v>
      </c>
      <c r="C89" s="8" t="s">
        <v>79</v>
      </c>
      <c r="D89" s="8" t="s">
        <v>684</v>
      </c>
      <c r="E89" s="9">
        <v>24.37</v>
      </c>
      <c r="F89" s="8" t="s">
        <v>16</v>
      </c>
      <c r="G89" s="143">
        <f t="array" ref="G89">INDEX('[23]SENSUS MEI'!$G$9:$G$453,MATCH(1,('[23]SENSUS MEI'!$D$9:$D$453=$D89)*('[23]SENSUS MEI'!$D$9:$D$453=$D89),0))</f>
        <v>3635</v>
      </c>
      <c r="H89" s="11">
        <f t="array" ref="H89">INDEX('[23]SENSUS MEI'!$J$9:$J$453,MATCH(1,('[23]SENSUS MEI'!$D$9:$D$453=$D89)*('[23]SENSUS MEI'!$D$9:$D$453=$D89),0))</f>
        <v>46153</v>
      </c>
      <c r="I89" s="143">
        <f t="array" ref="I89">INDEX('[23]SENSUS MEI'!$K$9:$K$453,MATCH(1,('[23]SENSUS MEI'!$D$9:$D$453=$D89)*('[23]SENSUS MEI'!$D$9:$D$453=$D89),0))</f>
        <v>392</v>
      </c>
      <c r="J89" s="9">
        <f t="array" ref="J89">IFERROR(I89/G89*100,0)</f>
        <v>10.78404401650619</v>
      </c>
      <c r="K89" s="143">
        <f t="array" ref="K89">INDEX('[23]SENSUS MEI'!$M$9:$M$453,MATCH(1,('[23]SENSUS MEI'!$D$9:$D$453=$D89)*('[23]SENSUS MEI'!$D$9:$D$453=$D89),0))+INDEX('[23]SENSUS MEI'!$O$9:$O$453,MATCH(1,('[23]SENSUS MEI'!$D$9:$D$453=$D89)*('[23]SENSUS MEI'!$D$9:$D$453=$D89),0))</f>
        <v>53</v>
      </c>
      <c r="L89" s="9">
        <f t="shared" si="12"/>
        <v>13.520408163265307</v>
      </c>
      <c r="M89" s="8" t="str">
        <f t="shared" si="7"/>
        <v>Perlu Pengendalian</v>
      </c>
      <c r="P89" s="194">
        <f t="shared" si="8"/>
        <v>16.357500000000002</v>
      </c>
      <c r="Q89" s="194">
        <f t="array" ref="Q89">$P89*0.8</f>
        <v>13.086000000000002</v>
      </c>
      <c r="R89" s="194">
        <f t="shared" si="9"/>
        <v>9.8145000000000007</v>
      </c>
      <c r="S89" s="194">
        <f t="shared" si="10"/>
        <v>6.543000000000001</v>
      </c>
      <c r="T89" s="194">
        <f t="shared" si="11"/>
        <v>3.2715000000000005</v>
      </c>
    </row>
    <row r="90" spans="1:20" outlineLevel="1" x14ac:dyDescent="0.15">
      <c r="A90" s="8" t="s">
        <v>628</v>
      </c>
      <c r="B90" s="8" t="s">
        <v>14</v>
      </c>
      <c r="C90" s="8" t="s">
        <v>79</v>
      </c>
      <c r="D90" s="8" t="s">
        <v>685</v>
      </c>
      <c r="E90" s="9">
        <v>20.100000000000001</v>
      </c>
      <c r="F90" s="8" t="s">
        <v>16</v>
      </c>
      <c r="G90" s="143">
        <f t="array" ref="G90">INDEX('[23]SENSUS MEI'!$G$9:$G$453,MATCH(1,('[23]SENSUS MEI'!$D$9:$D$453=$D90)*('[23]SENSUS MEI'!$D$9:$D$453=$D90),0))</f>
        <v>3049</v>
      </c>
      <c r="H90" s="11">
        <f t="array" ref="H90">INDEX('[23]SENSUS MEI'!$J$9:$J$453,MATCH(1,('[23]SENSUS MEI'!$D$9:$D$453=$D90)*('[23]SENSUS MEI'!$D$9:$D$453=$D90),0))</f>
        <v>46153</v>
      </c>
      <c r="I90" s="143">
        <f t="array" ref="I90">INDEX('[23]SENSUS MEI'!$K$9:$K$453,MATCH(1,('[23]SENSUS MEI'!$D$9:$D$453=$D90)*('[23]SENSUS MEI'!$D$9:$D$453=$D90),0))</f>
        <v>295</v>
      </c>
      <c r="J90" s="9">
        <f t="array" ref="J90">IFERROR(I90/G90*100,0)</f>
        <v>9.675303378156773</v>
      </c>
      <c r="K90" s="143">
        <f t="array" ref="K90">INDEX('[23]SENSUS MEI'!$M$9:$M$453,MATCH(1,('[23]SENSUS MEI'!$D$9:$D$453=$D90)*('[23]SENSUS MEI'!$D$9:$D$453=$D90),0))+INDEX('[23]SENSUS MEI'!$O$9:$O$453,MATCH(1,('[23]SENSUS MEI'!$D$9:$D$453=$D90)*('[23]SENSUS MEI'!$D$9:$D$453=$D90),0))</f>
        <v>55</v>
      </c>
      <c r="L90" s="9">
        <f t="shared" si="12"/>
        <v>18.64406779661017</v>
      </c>
      <c r="M90" s="8" t="str">
        <f t="shared" si="7"/>
        <v>Perlu Pengendalian</v>
      </c>
      <c r="P90" s="194">
        <f t="shared" si="8"/>
        <v>13.720499999999999</v>
      </c>
      <c r="Q90" s="194">
        <f t="array" ref="Q90">$P90*0.8</f>
        <v>10.9764</v>
      </c>
      <c r="R90" s="194">
        <f t="shared" si="9"/>
        <v>8.2322999999999986</v>
      </c>
      <c r="S90" s="194">
        <f t="shared" si="10"/>
        <v>5.4882</v>
      </c>
      <c r="T90" s="194">
        <f t="shared" si="11"/>
        <v>2.7441</v>
      </c>
    </row>
    <row r="91" spans="1:20" outlineLevel="1" x14ac:dyDescent="0.15">
      <c r="A91" s="8" t="s">
        <v>628</v>
      </c>
      <c r="B91" s="8" t="s">
        <v>14</v>
      </c>
      <c r="C91" s="8" t="s">
        <v>79</v>
      </c>
      <c r="D91" s="8" t="s">
        <v>686</v>
      </c>
      <c r="E91" s="9">
        <v>20.85</v>
      </c>
      <c r="F91" s="8" t="s">
        <v>16</v>
      </c>
      <c r="G91" s="143">
        <f t="array" ref="G91">INDEX('[23]SENSUS MEI'!$G$9:$G$453,MATCH(1,('[23]SENSUS MEI'!$D$9:$D$453=$D91)*('[23]SENSUS MEI'!$D$9:$D$453=$D91),0))</f>
        <v>3198</v>
      </c>
      <c r="H91" s="11">
        <f t="array" ref="H91">INDEX('[23]SENSUS MEI'!$J$9:$J$453,MATCH(1,('[23]SENSUS MEI'!$D$9:$D$453=$D91)*('[23]SENSUS MEI'!$D$9:$D$453=$D91),0))</f>
        <v>46153</v>
      </c>
      <c r="I91" s="143">
        <f t="array" ref="I91">INDEX('[23]SENSUS MEI'!$K$9:$K$453,MATCH(1,('[23]SENSUS MEI'!$D$9:$D$453=$D91)*('[23]SENSUS MEI'!$D$9:$D$453=$D91),0))</f>
        <v>313</v>
      </c>
      <c r="J91" s="9">
        <f t="array" ref="J91">IFERROR(I91/G91*100,0)</f>
        <v>9.7873671044402748</v>
      </c>
      <c r="K91" s="143">
        <f t="array" ref="K91">INDEX('[23]SENSUS MEI'!$M$9:$M$453,MATCH(1,('[23]SENSUS MEI'!$D$9:$D$453=$D91)*('[23]SENSUS MEI'!$D$9:$D$453=$D91),0))+INDEX('[23]SENSUS MEI'!$O$9:$O$453,MATCH(1,('[23]SENSUS MEI'!$D$9:$D$453=$D91)*('[23]SENSUS MEI'!$D$9:$D$453=$D91),0))</f>
        <v>38</v>
      </c>
      <c r="L91" s="9">
        <f t="shared" si="12"/>
        <v>12.140575079872203</v>
      </c>
      <c r="M91" s="8" t="str">
        <f t="shared" si="7"/>
        <v>Perlu Pengendalian</v>
      </c>
      <c r="P91" s="194">
        <f t="shared" si="8"/>
        <v>14.391</v>
      </c>
      <c r="Q91" s="194">
        <f t="array" ref="Q91">$P91*0.8</f>
        <v>11.5128</v>
      </c>
      <c r="R91" s="194">
        <f t="shared" si="9"/>
        <v>8.6345999999999989</v>
      </c>
      <c r="S91" s="194">
        <f t="shared" si="10"/>
        <v>5.7564000000000002</v>
      </c>
      <c r="T91" s="194">
        <f t="shared" si="11"/>
        <v>2.8782000000000001</v>
      </c>
    </row>
    <row r="92" spans="1:20" outlineLevel="1" x14ac:dyDescent="0.15">
      <c r="A92" s="8" t="s">
        <v>628</v>
      </c>
      <c r="B92" s="8" t="s">
        <v>14</v>
      </c>
      <c r="C92" s="8" t="s">
        <v>79</v>
      </c>
      <c r="D92" s="8" t="s">
        <v>379</v>
      </c>
      <c r="E92" s="9">
        <v>5.03</v>
      </c>
      <c r="F92" s="8" t="s">
        <v>16</v>
      </c>
      <c r="G92" s="143">
        <f t="array" ref="G92">INDEX('[23]SENSUS MEI'!$G$9:$G$453,MATCH(1,('[23]SENSUS MEI'!$D$9:$D$453=$D92)*('[23]SENSUS MEI'!$D$9:$D$453=$D92),0))</f>
        <v>805</v>
      </c>
      <c r="H92" s="11">
        <f t="array" ref="H92">INDEX('[23]SENSUS MEI'!$J$9:$J$453,MATCH(1,('[23]SENSUS MEI'!$D$9:$D$453=$D92)*('[23]SENSUS MEI'!$D$9:$D$453=$D92),0))</f>
        <v>46155</v>
      </c>
      <c r="I92" s="143">
        <f t="array" ref="I92">INDEX('[23]SENSUS MEI'!$K$9:$K$453,MATCH(1,('[23]SENSUS MEI'!$D$9:$D$453=$D92)*('[23]SENSUS MEI'!$D$9:$D$453=$D92),0))</f>
        <v>115</v>
      </c>
      <c r="J92" s="9">
        <f t="array" ref="J92">IFERROR(I92/G92*100,0)</f>
        <v>14.285714285714285</v>
      </c>
      <c r="K92" s="143">
        <f t="array" ref="K92">INDEX('[23]SENSUS MEI'!$M$9:$M$453,MATCH(1,('[23]SENSUS MEI'!$D$9:$D$453=$D92)*('[23]SENSUS MEI'!$D$9:$D$453=$D92),0))+INDEX('[23]SENSUS MEI'!$O$9:$O$453,MATCH(1,('[23]SENSUS MEI'!$D$9:$D$453=$D92)*('[23]SENSUS MEI'!$D$9:$D$453=$D92),0))</f>
        <v>20</v>
      </c>
      <c r="L92" s="9">
        <f t="shared" si="12"/>
        <v>17.391304347826086</v>
      </c>
      <c r="M92" s="8" t="str">
        <f t="shared" si="7"/>
        <v>Perlu Pengendalian</v>
      </c>
      <c r="P92" s="194">
        <f t="shared" si="8"/>
        <v>3.6225000000000001</v>
      </c>
      <c r="Q92" s="194">
        <f t="array" ref="Q92">$P92*0.8</f>
        <v>2.8980000000000001</v>
      </c>
      <c r="R92" s="194">
        <f t="shared" si="9"/>
        <v>2.1734999999999998</v>
      </c>
      <c r="S92" s="194">
        <f t="shared" si="10"/>
        <v>1.4490000000000001</v>
      </c>
      <c r="T92" s="194">
        <f t="shared" si="11"/>
        <v>0.72450000000000003</v>
      </c>
    </row>
    <row r="93" spans="1:20" outlineLevel="1" x14ac:dyDescent="0.15">
      <c r="A93" s="8" t="s">
        <v>628</v>
      </c>
      <c r="B93" s="8" t="s">
        <v>14</v>
      </c>
      <c r="C93" s="8" t="s">
        <v>79</v>
      </c>
      <c r="D93" s="8" t="s">
        <v>494</v>
      </c>
      <c r="E93" s="9">
        <v>25.41</v>
      </c>
      <c r="F93" s="8" t="s">
        <v>16</v>
      </c>
      <c r="G93" s="143">
        <f t="array" ref="G93">INDEX('[23]SENSUS MEI'!$G$9:$G$453,MATCH(1,('[23]SENSUS MEI'!$D$9:$D$453=$D93)*('[23]SENSUS MEI'!$D$9:$D$453=$D93),0))</f>
        <v>3953</v>
      </c>
      <c r="H93" s="11">
        <f t="array" ref="H93">INDEX('[23]SENSUS MEI'!$J$9:$J$453,MATCH(1,('[23]SENSUS MEI'!$D$9:$D$453=$D93)*('[23]SENSUS MEI'!$D$9:$D$453=$D93),0))</f>
        <v>46155</v>
      </c>
      <c r="I93" s="143">
        <f t="array" ref="I93">INDEX('[23]SENSUS MEI'!$K$9:$K$453,MATCH(1,('[23]SENSUS MEI'!$D$9:$D$453=$D93)*('[23]SENSUS MEI'!$D$9:$D$453=$D93),0))</f>
        <v>430</v>
      </c>
      <c r="J93" s="9">
        <f t="array" ref="J93">IFERROR(I93/G93*100,0)</f>
        <v>10.877814318239313</v>
      </c>
      <c r="K93" s="143">
        <f t="array" ref="K93">INDEX('[23]SENSUS MEI'!$M$9:$M$453,MATCH(1,('[23]SENSUS MEI'!$D$9:$D$453=$D93)*('[23]SENSUS MEI'!$D$9:$D$453=$D93),0))+INDEX('[23]SENSUS MEI'!$O$9:$O$453,MATCH(1,('[23]SENSUS MEI'!$D$9:$D$453=$D93)*('[23]SENSUS MEI'!$D$9:$D$453=$D93),0))</f>
        <v>43</v>
      </c>
      <c r="L93" s="9">
        <f t="shared" si="12"/>
        <v>10</v>
      </c>
      <c r="M93" s="8" t="str">
        <f t="shared" si="7"/>
        <v>Perlu Pengendalian</v>
      </c>
      <c r="P93" s="194">
        <f t="shared" si="8"/>
        <v>17.788499999999999</v>
      </c>
      <c r="Q93" s="194">
        <f t="array" ref="Q93">$P93*0.8</f>
        <v>14.2308</v>
      </c>
      <c r="R93" s="194">
        <f t="shared" si="9"/>
        <v>10.6731</v>
      </c>
      <c r="S93" s="194">
        <f t="shared" si="10"/>
        <v>7.1154000000000002</v>
      </c>
      <c r="T93" s="194">
        <f t="shared" si="11"/>
        <v>3.5577000000000001</v>
      </c>
    </row>
    <row r="94" spans="1:20" outlineLevel="1" x14ac:dyDescent="0.15">
      <c r="A94" s="8" t="s">
        <v>628</v>
      </c>
      <c r="B94" s="8" t="s">
        <v>14</v>
      </c>
      <c r="C94" s="8" t="s">
        <v>79</v>
      </c>
      <c r="D94" s="8" t="s">
        <v>495</v>
      </c>
      <c r="E94" s="9">
        <v>10.6</v>
      </c>
      <c r="F94" s="8" t="s">
        <v>16</v>
      </c>
      <c r="G94" s="143">
        <f t="array" ref="G94">INDEX('[23]SENSUS MEI'!$G$9:$G$453,MATCH(1,('[23]SENSUS MEI'!$D$9:$D$453=$D94)*('[23]SENSUS MEI'!$D$9:$D$453=$D94),0))</f>
        <v>1048</v>
      </c>
      <c r="H94" s="11">
        <f t="array" ref="H94">INDEX('[23]SENSUS MEI'!$J$9:$J$453,MATCH(1,('[23]SENSUS MEI'!$D$9:$D$453=$D94)*('[23]SENSUS MEI'!$D$9:$D$453=$D94),0))</f>
        <v>46155</v>
      </c>
      <c r="I94" s="143">
        <f t="array" ref="I94">INDEX('[23]SENSUS MEI'!$K$9:$K$453,MATCH(1,('[23]SENSUS MEI'!$D$9:$D$453=$D94)*('[23]SENSUS MEI'!$D$9:$D$453=$D94),0))</f>
        <v>253</v>
      </c>
      <c r="J94" s="9">
        <f t="array" ref="J94">IFERROR(I94/G94*100,0)</f>
        <v>24.141221374045802</v>
      </c>
      <c r="K94" s="143">
        <f t="array" ref="K94">INDEX('[23]SENSUS MEI'!$M$9:$M$453,MATCH(1,('[23]SENSUS MEI'!$D$9:$D$453=$D94)*('[23]SENSUS MEI'!$D$9:$D$453=$D94),0))+INDEX('[23]SENSUS MEI'!$O$9:$O$453,MATCH(1,('[23]SENSUS MEI'!$D$9:$D$453=$D94)*('[23]SENSUS MEI'!$D$9:$D$453=$D94),0))</f>
        <v>32</v>
      </c>
      <c r="L94" s="9">
        <f t="shared" si="12"/>
        <v>12.648221343873518</v>
      </c>
      <c r="M94" s="8" t="str">
        <f t="shared" si="7"/>
        <v>Perlu Pengendalian</v>
      </c>
      <c r="P94" s="194">
        <f t="shared" si="8"/>
        <v>4.7160000000000002</v>
      </c>
      <c r="Q94" s="194">
        <f t="array" ref="Q94">$P94*0.8</f>
        <v>3.7728000000000002</v>
      </c>
      <c r="R94" s="194">
        <f t="shared" si="9"/>
        <v>2.8296000000000001</v>
      </c>
      <c r="S94" s="194">
        <f t="shared" si="10"/>
        <v>1.8864000000000001</v>
      </c>
      <c r="T94" s="194">
        <f t="shared" si="11"/>
        <v>0.94320000000000004</v>
      </c>
    </row>
    <row r="95" spans="1:20" outlineLevel="1" x14ac:dyDescent="0.15">
      <c r="A95" s="8" t="s">
        <v>628</v>
      </c>
      <c r="B95" s="8" t="s">
        <v>14</v>
      </c>
      <c r="C95" s="8" t="s">
        <v>79</v>
      </c>
      <c r="D95" s="8" t="s">
        <v>687</v>
      </c>
      <c r="E95" s="9">
        <v>11.03</v>
      </c>
      <c r="F95" s="8" t="s">
        <v>16</v>
      </c>
      <c r="G95" s="143">
        <f t="array" ref="G95">INDEX('[23]SENSUS MEI'!$G$9:$G$453,MATCH(1,('[23]SENSUS MEI'!$D$9:$D$453=$D95)*('[23]SENSUS MEI'!$D$9:$D$453=$D95),0))</f>
        <v>1676</v>
      </c>
      <c r="H95" s="11">
        <f t="array" ref="H95">INDEX('[23]SENSUS MEI'!$J$9:$J$453,MATCH(1,('[23]SENSUS MEI'!$D$9:$D$453=$D95)*('[23]SENSUS MEI'!$D$9:$D$453=$D95),0))</f>
        <v>46154</v>
      </c>
      <c r="I95" s="143">
        <f t="array" ref="I95">INDEX('[23]SENSUS MEI'!$K$9:$K$453,MATCH(1,('[23]SENSUS MEI'!$D$9:$D$453=$D95)*('[23]SENSUS MEI'!$D$9:$D$453=$D95),0))</f>
        <v>147</v>
      </c>
      <c r="J95" s="9">
        <f t="array" ref="J95">IFERROR(I95/G95*100,0)</f>
        <v>8.770883054892602</v>
      </c>
      <c r="K95" s="143">
        <f t="array" ref="K95">INDEX('[23]SENSUS MEI'!$M$9:$M$453,MATCH(1,('[23]SENSUS MEI'!$D$9:$D$453=$D95)*('[23]SENSUS MEI'!$D$9:$D$453=$D95),0))+INDEX('[23]SENSUS MEI'!$O$9:$O$453,MATCH(1,('[23]SENSUS MEI'!$D$9:$D$453=$D95)*('[23]SENSUS MEI'!$D$9:$D$453=$D95),0))</f>
        <v>36</v>
      </c>
      <c r="L95" s="9">
        <f t="shared" si="12"/>
        <v>24.489795918367346</v>
      </c>
      <c r="M95" s="8" t="str">
        <f t="shared" si="7"/>
        <v>Perlu Pengendalian</v>
      </c>
      <c r="P95" s="194">
        <f t="shared" si="8"/>
        <v>7.5419999999999998</v>
      </c>
      <c r="Q95" s="194">
        <f t="array" ref="Q95">$P95*0.8</f>
        <v>6.0335999999999999</v>
      </c>
      <c r="R95" s="194">
        <f t="shared" si="9"/>
        <v>4.5251999999999999</v>
      </c>
      <c r="S95" s="194">
        <f t="shared" si="10"/>
        <v>3.0167999999999999</v>
      </c>
      <c r="T95" s="194">
        <f t="shared" si="11"/>
        <v>1.5084</v>
      </c>
    </row>
    <row r="96" spans="1:20" outlineLevel="1" x14ac:dyDescent="0.15">
      <c r="A96" s="8" t="s">
        <v>628</v>
      </c>
      <c r="B96" s="8" t="s">
        <v>14</v>
      </c>
      <c r="C96" s="8" t="s">
        <v>79</v>
      </c>
      <c r="D96" s="8" t="s">
        <v>688</v>
      </c>
      <c r="E96" s="9">
        <v>7.27</v>
      </c>
      <c r="F96" s="8" t="s">
        <v>16</v>
      </c>
      <c r="G96" s="143">
        <f t="array" ref="G96">INDEX('[23]SENSUS MEI'!$G$9:$G$453,MATCH(1,('[23]SENSUS MEI'!$D$9:$D$453=$D96)*('[23]SENSUS MEI'!$D$9:$D$453=$D96),0))</f>
        <v>1215</v>
      </c>
      <c r="H96" s="11">
        <f t="array" ref="H96">INDEX('[23]SENSUS MEI'!$J$9:$J$453,MATCH(1,('[23]SENSUS MEI'!$D$9:$D$453=$D96)*('[23]SENSUS MEI'!$D$9:$D$453=$D96),0))</f>
        <v>46154</v>
      </c>
      <c r="I96" s="143">
        <f t="array" ref="I96">INDEX('[23]SENSUS MEI'!$K$9:$K$453,MATCH(1,('[23]SENSUS MEI'!$D$9:$D$453=$D96)*('[23]SENSUS MEI'!$D$9:$D$453=$D96),0))</f>
        <v>107</v>
      </c>
      <c r="J96" s="9">
        <f t="array" ref="J96">IFERROR(I96/G96*100,0)</f>
        <v>8.8065843621399171</v>
      </c>
      <c r="K96" s="143">
        <f t="array" ref="K96">INDEX('[23]SENSUS MEI'!$M$9:$M$453,MATCH(1,('[23]SENSUS MEI'!$D$9:$D$453=$D96)*('[23]SENSUS MEI'!$D$9:$D$453=$D96),0))+INDEX('[23]SENSUS MEI'!$O$9:$O$453,MATCH(1,('[23]SENSUS MEI'!$D$9:$D$453=$D96)*('[23]SENSUS MEI'!$D$9:$D$453=$D96),0))</f>
        <v>14</v>
      </c>
      <c r="L96" s="9">
        <f t="shared" si="12"/>
        <v>13.084112149532709</v>
      </c>
      <c r="M96" s="8" t="str">
        <f t="shared" si="7"/>
        <v>Perlu Pengendalian</v>
      </c>
      <c r="P96" s="194">
        <f t="shared" si="8"/>
        <v>5.4675000000000002</v>
      </c>
      <c r="Q96" s="194">
        <f t="array" ref="Q96">$P96*0.8</f>
        <v>4.3740000000000006</v>
      </c>
      <c r="R96" s="194">
        <f t="shared" si="9"/>
        <v>3.2805</v>
      </c>
      <c r="S96" s="194">
        <f t="shared" si="10"/>
        <v>2.1870000000000003</v>
      </c>
      <c r="T96" s="194">
        <f t="shared" si="11"/>
        <v>1.0935000000000001</v>
      </c>
    </row>
    <row r="97" spans="1:20" outlineLevel="1" x14ac:dyDescent="0.15">
      <c r="A97" s="8" t="s">
        <v>628</v>
      </c>
      <c r="B97" s="8" t="s">
        <v>14</v>
      </c>
      <c r="C97" s="8" t="s">
        <v>79</v>
      </c>
      <c r="D97" s="8" t="s">
        <v>689</v>
      </c>
      <c r="E97" s="9">
        <v>16.97</v>
      </c>
      <c r="F97" s="8" t="s">
        <v>16</v>
      </c>
      <c r="G97" s="143">
        <f t="array" ref="G97">INDEX('[23]SENSUS MEI'!$G$9:$G$453,MATCH(1,('[23]SENSUS MEI'!$D$9:$D$453=$D97)*('[23]SENSUS MEI'!$D$9:$D$453=$D97),0))</f>
        <v>2111</v>
      </c>
      <c r="H97" s="11">
        <f t="array" ref="H97">INDEX('[23]SENSUS MEI'!$J$9:$J$453,MATCH(1,('[23]SENSUS MEI'!$D$9:$D$453=$D97)*('[23]SENSUS MEI'!$D$9:$D$453=$D97),0))</f>
        <v>46154</v>
      </c>
      <c r="I97" s="143">
        <f t="array" ref="I97">INDEX('[23]SENSUS MEI'!$K$9:$K$453,MATCH(1,('[23]SENSUS MEI'!$D$9:$D$453=$D97)*('[23]SENSUS MEI'!$D$9:$D$453=$D97),0))</f>
        <v>220</v>
      </c>
      <c r="J97" s="9">
        <f t="array" ref="J97">IFERROR(I97/G97*100,0)</f>
        <v>10.421601136901943</v>
      </c>
      <c r="K97" s="143">
        <f t="array" ref="K97">INDEX('[23]SENSUS MEI'!$M$9:$M$453,MATCH(1,('[23]SENSUS MEI'!$D$9:$D$453=$D97)*('[23]SENSUS MEI'!$D$9:$D$453=$D97),0))+INDEX('[23]SENSUS MEI'!$O$9:$O$453,MATCH(1,('[23]SENSUS MEI'!$D$9:$D$453=$D97)*('[23]SENSUS MEI'!$D$9:$D$453=$D97),0))</f>
        <v>113</v>
      </c>
      <c r="L97" s="9">
        <f t="shared" si="12"/>
        <v>51.363636363636367</v>
      </c>
      <c r="M97" s="8" t="str">
        <f t="shared" si="7"/>
        <v>Perlu Pengendalian</v>
      </c>
      <c r="P97" s="194">
        <f t="shared" si="8"/>
        <v>9.4994999999999994</v>
      </c>
      <c r="Q97" s="194">
        <f t="array" ref="Q97">$P97*0.8</f>
        <v>7.5995999999999997</v>
      </c>
      <c r="R97" s="194">
        <f t="shared" si="9"/>
        <v>5.6996999999999991</v>
      </c>
      <c r="S97" s="194">
        <f t="shared" si="10"/>
        <v>3.7997999999999998</v>
      </c>
      <c r="T97" s="194">
        <f t="shared" si="11"/>
        <v>1.8998999999999999</v>
      </c>
    </row>
    <row r="98" spans="1:20" outlineLevel="1" x14ac:dyDescent="0.15">
      <c r="A98" s="8" t="s">
        <v>628</v>
      </c>
      <c r="B98" s="8" t="s">
        <v>14</v>
      </c>
      <c r="C98" s="8" t="s">
        <v>79</v>
      </c>
      <c r="D98" s="8" t="s">
        <v>690</v>
      </c>
      <c r="E98" s="9">
        <v>16.16</v>
      </c>
      <c r="F98" s="8" t="s">
        <v>16</v>
      </c>
      <c r="G98" s="143">
        <f t="array" ref="G98">INDEX('[23]SENSUS MEI'!$G$9:$G$453,MATCH(1,('[23]SENSUS MEI'!$D$9:$D$453=$D98)*('[23]SENSUS MEI'!$D$9:$D$453=$D98),0))</f>
        <v>2299</v>
      </c>
      <c r="H98" s="11">
        <f t="array" ref="H98">INDEX('[23]SENSUS MEI'!$J$9:$J$453,MATCH(1,('[23]SENSUS MEI'!$D$9:$D$453=$D98)*('[23]SENSUS MEI'!$D$9:$D$453=$D98),0))</f>
        <v>46154</v>
      </c>
      <c r="I98" s="143">
        <f t="array" ref="I98">INDEX('[23]SENSUS MEI'!$K$9:$K$453,MATCH(1,('[23]SENSUS MEI'!$D$9:$D$453=$D98)*('[23]SENSUS MEI'!$D$9:$D$453=$D98),0))</f>
        <v>267</v>
      </c>
      <c r="J98" s="9">
        <f t="array" ref="J98">IFERROR(I98/G98*100,0)</f>
        <v>11.613745106568073</v>
      </c>
      <c r="K98" s="143">
        <f t="array" ref="K98">INDEX('[23]SENSUS MEI'!$M$9:$M$453,MATCH(1,('[23]SENSUS MEI'!$D$9:$D$453=$D98)*('[23]SENSUS MEI'!$D$9:$D$453=$D98),0))+INDEX('[23]SENSUS MEI'!$O$9:$O$453,MATCH(1,('[23]SENSUS MEI'!$D$9:$D$453=$D98)*('[23]SENSUS MEI'!$D$9:$D$453=$D98),0))</f>
        <v>132</v>
      </c>
      <c r="L98" s="9">
        <f t="shared" si="12"/>
        <v>49.438202247191008</v>
      </c>
      <c r="M98" s="8" t="str">
        <f t="shared" si="7"/>
        <v>Perlu Pengendalian</v>
      </c>
      <c r="P98" s="194">
        <f t="shared" si="8"/>
        <v>10.345499999999999</v>
      </c>
      <c r="Q98" s="194">
        <f t="array" ref="Q98">$P98*0.8</f>
        <v>8.2764000000000006</v>
      </c>
      <c r="R98" s="194">
        <f t="shared" si="9"/>
        <v>6.2072999999999992</v>
      </c>
      <c r="S98" s="194">
        <f t="shared" si="10"/>
        <v>4.1382000000000003</v>
      </c>
      <c r="T98" s="194">
        <f t="shared" si="11"/>
        <v>2.0691000000000002</v>
      </c>
    </row>
    <row r="99" spans="1:20" outlineLevel="1" x14ac:dyDescent="0.15">
      <c r="A99" s="8" t="s">
        <v>628</v>
      </c>
      <c r="B99" s="8" t="s">
        <v>14</v>
      </c>
      <c r="C99" s="8" t="s">
        <v>107</v>
      </c>
      <c r="D99" s="8" t="s">
        <v>691</v>
      </c>
      <c r="E99" s="9">
        <v>8.24</v>
      </c>
      <c r="F99" s="8" t="s">
        <v>16</v>
      </c>
      <c r="G99" s="143">
        <f t="array" ref="G99">INDEX('[23]SENSUS MEI'!$G$9:$G$453,MATCH(1,('[23]SENSUS MEI'!$D$9:$D$453=$D99)*('[23]SENSUS MEI'!$D$9:$D$453=$D99),0))</f>
        <v>1135</v>
      </c>
      <c r="H99" s="11">
        <f t="array" ref="H99">INDEX('[23]SENSUS MEI'!$J$9:$J$453,MATCH(1,('[23]SENSUS MEI'!$D$9:$D$453=$D99)*('[23]SENSUS MEI'!$D$9:$D$453=$D99),0))</f>
        <v>46154</v>
      </c>
      <c r="I99" s="143">
        <f t="array" ref="I99">INDEX('[23]SENSUS MEI'!$K$9:$K$453,MATCH(1,('[23]SENSUS MEI'!$D$9:$D$453=$D99)*('[23]SENSUS MEI'!$D$9:$D$453=$D99),0))</f>
        <v>120</v>
      </c>
      <c r="J99" s="9">
        <f t="array" ref="J99">IFERROR(I99/G99*100,0)</f>
        <v>10.572687224669604</v>
      </c>
      <c r="K99" s="143">
        <f t="array" ref="K99">INDEX('[23]SENSUS MEI'!$M$9:$M$453,MATCH(1,('[23]SENSUS MEI'!$D$9:$D$453=$D99)*('[23]SENSUS MEI'!$D$9:$D$453=$D99),0))+INDEX('[23]SENSUS MEI'!$O$9:$O$453,MATCH(1,('[23]SENSUS MEI'!$D$9:$D$453=$D99)*('[23]SENSUS MEI'!$D$9:$D$453=$D99),0))</f>
        <v>13</v>
      </c>
      <c r="L99" s="9">
        <f t="shared" si="12"/>
        <v>10.833333333333334</v>
      </c>
      <c r="M99" s="8" t="str">
        <f t="shared" si="7"/>
        <v>Perlu Pengendalian</v>
      </c>
      <c r="P99" s="194">
        <f t="shared" si="8"/>
        <v>5.1074999999999999</v>
      </c>
      <c r="Q99" s="194">
        <f t="array" ref="Q99">$P99*0.8</f>
        <v>4.0860000000000003</v>
      </c>
      <c r="R99" s="194">
        <f t="shared" si="9"/>
        <v>3.0644999999999998</v>
      </c>
      <c r="S99" s="194">
        <f t="shared" si="10"/>
        <v>2.0430000000000001</v>
      </c>
      <c r="T99" s="194">
        <f t="shared" si="11"/>
        <v>1.0215000000000001</v>
      </c>
    </row>
    <row r="100" spans="1:20" outlineLevel="1" x14ac:dyDescent="0.15">
      <c r="A100" s="8" t="s">
        <v>628</v>
      </c>
      <c r="B100" s="8" t="s">
        <v>14</v>
      </c>
      <c r="C100" s="8" t="s">
        <v>107</v>
      </c>
      <c r="D100" s="8" t="s">
        <v>692</v>
      </c>
      <c r="E100" s="9">
        <v>16.940000000000001</v>
      </c>
      <c r="F100" s="8" t="s">
        <v>16</v>
      </c>
      <c r="G100" s="143">
        <f t="array" ref="G100">INDEX('[23]SENSUS MEI'!$G$9:$G$453,MATCH(1,('[23]SENSUS MEI'!$D$9:$D$453=$D100)*('[23]SENSUS MEI'!$D$9:$D$453=$D100),0))</f>
        <v>2184</v>
      </c>
      <c r="H100" s="11">
        <f t="array" ref="H100">INDEX('[23]SENSUS MEI'!$J$9:$J$453,MATCH(1,('[23]SENSUS MEI'!$D$9:$D$453=$D100)*('[23]SENSUS MEI'!$D$9:$D$453=$D100),0))</f>
        <v>46154</v>
      </c>
      <c r="I100" s="143">
        <f t="array" ref="I100">INDEX('[23]SENSUS MEI'!$K$9:$K$453,MATCH(1,('[23]SENSUS MEI'!$D$9:$D$453=$D100)*('[23]SENSUS MEI'!$D$9:$D$453=$D100),0))</f>
        <v>210</v>
      </c>
      <c r="J100" s="9">
        <f t="array" ref="J100">IFERROR(I100/G100*100,0)</f>
        <v>9.6153846153846168</v>
      </c>
      <c r="K100" s="143">
        <f t="array" ref="K100">INDEX('[23]SENSUS MEI'!$M$9:$M$453,MATCH(1,('[23]SENSUS MEI'!$D$9:$D$453=$D100)*('[23]SENSUS MEI'!$D$9:$D$453=$D100),0))+INDEX('[23]SENSUS MEI'!$O$9:$O$453,MATCH(1,('[23]SENSUS MEI'!$D$9:$D$453=$D100)*('[23]SENSUS MEI'!$D$9:$D$453=$D100),0))</f>
        <v>43</v>
      </c>
      <c r="L100" s="9">
        <f t="shared" si="12"/>
        <v>20.476190476190474</v>
      </c>
      <c r="M100" s="8" t="str">
        <f t="shared" si="7"/>
        <v>Perlu Pengendalian</v>
      </c>
      <c r="P100" s="194">
        <f t="shared" si="8"/>
        <v>9.8279999999999994</v>
      </c>
      <c r="Q100" s="194">
        <f t="array" ref="Q100">$P100*0.8</f>
        <v>7.8624000000000001</v>
      </c>
      <c r="R100" s="194">
        <f t="shared" si="9"/>
        <v>5.8967999999999998</v>
      </c>
      <c r="S100" s="194">
        <f t="shared" si="10"/>
        <v>3.9312</v>
      </c>
      <c r="T100" s="194">
        <f t="shared" si="11"/>
        <v>1.9656</v>
      </c>
    </row>
    <row r="101" spans="1:20" outlineLevel="1" x14ac:dyDescent="0.15">
      <c r="A101" s="8" t="s">
        <v>628</v>
      </c>
      <c r="B101" s="8" t="s">
        <v>14</v>
      </c>
      <c r="C101" s="8" t="s">
        <v>107</v>
      </c>
      <c r="D101" s="8" t="s">
        <v>693</v>
      </c>
      <c r="E101" s="9">
        <v>8.6199999999999992</v>
      </c>
      <c r="F101" s="8" t="s">
        <v>16</v>
      </c>
      <c r="G101" s="143">
        <f t="array" ref="G101">INDEX('[23]SENSUS MEI'!$G$9:$G$453,MATCH(1,('[23]SENSUS MEI'!$D$9:$D$453=$D101)*('[23]SENSUS MEI'!$D$9:$D$453=$D101),0))</f>
        <v>1321</v>
      </c>
      <c r="H101" s="11">
        <f t="array" ref="H101">INDEX('[23]SENSUS MEI'!$J$9:$J$453,MATCH(1,('[23]SENSUS MEI'!$D$9:$D$453=$D101)*('[23]SENSUS MEI'!$D$9:$D$453=$D101),0))</f>
        <v>46154</v>
      </c>
      <c r="I101" s="143">
        <f t="array" ref="I101">INDEX('[23]SENSUS MEI'!$K$9:$K$453,MATCH(1,('[23]SENSUS MEI'!$D$9:$D$453=$D101)*('[23]SENSUS MEI'!$D$9:$D$453=$D101),0))</f>
        <v>40</v>
      </c>
      <c r="J101" s="9">
        <f t="array" ref="J101">IFERROR(I101/G101*100,0)</f>
        <v>3.0280090840272522</v>
      </c>
      <c r="K101" s="143">
        <f t="array" ref="K101">INDEX('[23]SENSUS MEI'!$M$9:$M$453,MATCH(1,('[23]SENSUS MEI'!$D$9:$D$453=$D101)*('[23]SENSUS MEI'!$D$9:$D$453=$D101),0))+INDEX('[23]SENSUS MEI'!$O$9:$O$453,MATCH(1,('[23]SENSUS MEI'!$D$9:$D$453=$D101)*('[23]SENSUS MEI'!$D$9:$D$453=$D101),0))</f>
        <v>6</v>
      </c>
      <c r="L101" s="9">
        <f t="shared" si="12"/>
        <v>15</v>
      </c>
      <c r="M101" s="8" t="str">
        <f t="shared" si="7"/>
        <v>Perlu Pengendalian</v>
      </c>
      <c r="P101" s="194">
        <f t="shared" si="8"/>
        <v>5.9444999999999997</v>
      </c>
      <c r="Q101" s="194">
        <f t="array" ref="Q101">$P101*0.8</f>
        <v>4.7556000000000003</v>
      </c>
      <c r="R101" s="194">
        <f t="shared" si="9"/>
        <v>3.5666999999999995</v>
      </c>
      <c r="S101" s="194">
        <f t="shared" si="10"/>
        <v>2.3778000000000001</v>
      </c>
      <c r="T101" s="194">
        <f t="shared" si="11"/>
        <v>1.1889000000000001</v>
      </c>
    </row>
    <row r="102" spans="1:20" outlineLevel="1" x14ac:dyDescent="0.15">
      <c r="A102" s="8" t="s">
        <v>628</v>
      </c>
      <c r="B102" s="8" t="s">
        <v>14</v>
      </c>
      <c r="C102" s="8" t="s">
        <v>107</v>
      </c>
      <c r="D102" s="8" t="s">
        <v>694</v>
      </c>
      <c r="E102" s="9">
        <v>21.61</v>
      </c>
      <c r="F102" s="8" t="s">
        <v>16</v>
      </c>
      <c r="G102" s="143">
        <f t="array" ref="G102">INDEX('[23]SENSUS MEI'!$G$9:$G$453,MATCH(1,('[23]SENSUS MEI'!$D$9:$D$453=$D102)*('[23]SENSUS MEI'!$D$9:$D$453=$D102),0))</f>
        <v>3126</v>
      </c>
      <c r="H102" s="11">
        <f t="array" ref="H102">INDEX('[23]SENSUS MEI'!$J$9:$J$453,MATCH(1,('[23]SENSUS MEI'!$D$9:$D$453=$D102)*('[23]SENSUS MEI'!$D$9:$D$453=$D102),0))</f>
        <v>46153</v>
      </c>
      <c r="I102" s="143">
        <f t="array" ref="I102">INDEX('[23]SENSUS MEI'!$K$9:$K$453,MATCH(1,('[23]SENSUS MEI'!$D$9:$D$453=$D102)*('[23]SENSUS MEI'!$D$9:$D$453=$D102),0))</f>
        <v>296</v>
      </c>
      <c r="J102" s="9">
        <f t="array" ref="J102">IFERROR(I102/G102*100,0)</f>
        <v>9.4689699296225207</v>
      </c>
      <c r="K102" s="143">
        <f t="array" ref="K102">INDEX('[23]SENSUS MEI'!$M$9:$M$453,MATCH(1,('[23]SENSUS MEI'!$D$9:$D$453=$D102)*('[23]SENSUS MEI'!$D$9:$D$453=$D102),0))+INDEX('[23]SENSUS MEI'!$O$9:$O$453,MATCH(1,('[23]SENSUS MEI'!$D$9:$D$453=$D102)*('[23]SENSUS MEI'!$D$9:$D$453=$D102),0))</f>
        <v>46</v>
      </c>
      <c r="L102" s="9">
        <f t="shared" si="12"/>
        <v>15.54054054054054</v>
      </c>
      <c r="M102" s="8" t="str">
        <f t="shared" si="7"/>
        <v>Perlu Pengendalian</v>
      </c>
      <c r="P102" s="194">
        <f t="shared" si="8"/>
        <v>14.067</v>
      </c>
      <c r="Q102" s="194">
        <f t="array" ref="Q102">$P102*0.8</f>
        <v>11.2536</v>
      </c>
      <c r="R102" s="194">
        <f t="shared" si="9"/>
        <v>8.440199999999999</v>
      </c>
      <c r="S102" s="194">
        <f t="shared" si="10"/>
        <v>5.6268000000000002</v>
      </c>
      <c r="T102" s="194">
        <f t="shared" si="11"/>
        <v>2.8134000000000001</v>
      </c>
    </row>
    <row r="103" spans="1:20" outlineLevel="1" x14ac:dyDescent="0.15">
      <c r="A103" s="8" t="s">
        <v>628</v>
      </c>
      <c r="B103" s="8" t="s">
        <v>14</v>
      </c>
      <c r="C103" s="8" t="s">
        <v>107</v>
      </c>
      <c r="D103" s="8" t="s">
        <v>695</v>
      </c>
      <c r="E103" s="9">
        <v>15.4</v>
      </c>
      <c r="F103" s="8" t="s">
        <v>16</v>
      </c>
      <c r="G103" s="143">
        <f t="array" ref="G103">INDEX('[23]SENSUS MEI'!$G$9:$G$453,MATCH(1,('[23]SENSUS MEI'!$D$9:$D$453=$D103)*('[23]SENSUS MEI'!$D$9:$D$453=$D103),0))</f>
        <v>2141</v>
      </c>
      <c r="H103" s="11">
        <f t="array" ref="H103">INDEX('[23]SENSUS MEI'!$J$9:$J$453,MATCH(1,('[23]SENSUS MEI'!$D$9:$D$453=$D103)*('[23]SENSUS MEI'!$D$9:$D$453=$D103),0))</f>
        <v>46154</v>
      </c>
      <c r="I103" s="143">
        <f t="array" ref="I103">INDEX('[23]SENSUS MEI'!$K$9:$K$453,MATCH(1,('[23]SENSUS MEI'!$D$9:$D$453=$D103)*('[23]SENSUS MEI'!$D$9:$D$453=$D103),0))</f>
        <v>259</v>
      </c>
      <c r="J103" s="9">
        <f t="array" ref="J103">IFERROR(I103/G103*100,0)</f>
        <v>12.097150864082204</v>
      </c>
      <c r="K103" s="143">
        <f t="array" ref="K103">INDEX('[23]SENSUS MEI'!$M$9:$M$453,MATCH(1,('[23]SENSUS MEI'!$D$9:$D$453=$D103)*('[23]SENSUS MEI'!$D$9:$D$453=$D103),0))+INDEX('[23]SENSUS MEI'!$O$9:$O$453,MATCH(1,('[23]SENSUS MEI'!$D$9:$D$453=$D103)*('[23]SENSUS MEI'!$D$9:$D$453=$D103),0))</f>
        <v>26</v>
      </c>
      <c r="L103" s="9">
        <f t="shared" si="12"/>
        <v>10.038610038610038</v>
      </c>
      <c r="M103" s="8" t="str">
        <f t="shared" si="7"/>
        <v>Perlu Pengendalian</v>
      </c>
      <c r="P103" s="194">
        <f t="shared" si="8"/>
        <v>9.6344999999999992</v>
      </c>
      <c r="Q103" s="194">
        <f t="array" ref="Q103">$P103*0.8</f>
        <v>7.7075999999999993</v>
      </c>
      <c r="R103" s="194">
        <f t="shared" si="9"/>
        <v>5.7806999999999995</v>
      </c>
      <c r="S103" s="194">
        <f t="shared" si="10"/>
        <v>3.8537999999999997</v>
      </c>
      <c r="T103" s="194">
        <f t="shared" si="11"/>
        <v>1.9268999999999998</v>
      </c>
    </row>
    <row r="104" spans="1:20" outlineLevel="1" x14ac:dyDescent="0.15">
      <c r="A104" s="8" t="s">
        <v>628</v>
      </c>
      <c r="B104" s="8" t="s">
        <v>14</v>
      </c>
      <c r="C104" s="8" t="s">
        <v>107</v>
      </c>
      <c r="D104" s="8" t="s">
        <v>696</v>
      </c>
      <c r="E104" s="9">
        <v>30.33</v>
      </c>
      <c r="F104" s="8" t="s">
        <v>16</v>
      </c>
      <c r="G104" s="143">
        <f t="array" ref="G104">INDEX('[23]SENSUS MEI'!$G$9:$G$453,MATCH(1,('[23]SENSUS MEI'!$D$9:$D$453=$D104)*('[23]SENSUS MEI'!$D$9:$D$453=$D104),0))</f>
        <v>4567</v>
      </c>
      <c r="H104" s="11">
        <f t="array" ref="H104">INDEX('[23]SENSUS MEI'!$J$9:$J$453,MATCH(1,('[23]SENSUS MEI'!$D$9:$D$453=$D104)*('[23]SENSUS MEI'!$D$9:$D$453=$D104),0))</f>
        <v>46153</v>
      </c>
      <c r="I104" s="143">
        <f t="array" ref="I104">INDEX('[23]SENSUS MEI'!$K$9:$K$453,MATCH(1,('[23]SENSUS MEI'!$D$9:$D$453=$D104)*('[23]SENSUS MEI'!$D$9:$D$453=$D104),0))</f>
        <v>407</v>
      </c>
      <c r="J104" s="9">
        <f t="array" ref="J104">IFERROR(I104/G104*100,0)</f>
        <v>8.9117582658200138</v>
      </c>
      <c r="K104" s="143">
        <f t="array" ref="K104">INDEX('[23]SENSUS MEI'!$M$9:$M$453,MATCH(1,('[23]SENSUS MEI'!$D$9:$D$453=$D104)*('[23]SENSUS MEI'!$D$9:$D$453=$D104),0))+INDEX('[23]SENSUS MEI'!$O$9:$O$453,MATCH(1,('[23]SENSUS MEI'!$D$9:$D$453=$D104)*('[23]SENSUS MEI'!$D$9:$D$453=$D104),0))</f>
        <v>44</v>
      </c>
      <c r="L104" s="9">
        <f t="shared" si="12"/>
        <v>10.810810810810811</v>
      </c>
      <c r="M104" s="8" t="str">
        <f t="shared" si="7"/>
        <v>Perlu Pengendalian</v>
      </c>
      <c r="P104" s="194">
        <f t="shared" si="8"/>
        <v>20.551500000000001</v>
      </c>
      <c r="Q104" s="194">
        <f t="array" ref="Q104">$P104*0.8</f>
        <v>16.441200000000002</v>
      </c>
      <c r="R104" s="194">
        <f t="shared" si="9"/>
        <v>12.3309</v>
      </c>
      <c r="S104" s="194">
        <f t="shared" si="10"/>
        <v>8.220600000000001</v>
      </c>
      <c r="T104" s="194">
        <f t="shared" si="11"/>
        <v>4.1103000000000005</v>
      </c>
    </row>
    <row r="105" spans="1:20" outlineLevel="1" x14ac:dyDescent="0.15">
      <c r="A105" s="8" t="s">
        <v>628</v>
      </c>
      <c r="B105" s="8" t="s">
        <v>14</v>
      </c>
      <c r="C105" s="8" t="s">
        <v>107</v>
      </c>
      <c r="D105" s="8" t="s">
        <v>697</v>
      </c>
      <c r="E105" s="9">
        <v>37.869999999999997</v>
      </c>
      <c r="F105" s="8" t="s">
        <v>469</v>
      </c>
      <c r="G105" s="143">
        <f t="array" ref="G105">INDEX('[23]SENSUS MEI'!$G$9:$G$453,MATCH(1,('[23]SENSUS MEI'!$D$9:$D$453=$D105)*('[23]SENSUS MEI'!$D$9:$D$453=$D105),0))</f>
        <v>5375</v>
      </c>
      <c r="H105" s="11">
        <f t="array" ref="H105">INDEX('[23]SENSUS MEI'!$J$9:$J$453,MATCH(1,('[23]SENSUS MEI'!$D$9:$D$453=$D105)*('[23]SENSUS MEI'!$D$9:$D$453=$D105),0))</f>
        <v>46150</v>
      </c>
      <c r="I105" s="143">
        <f t="array" ref="I105">INDEX('[23]SENSUS MEI'!$K$9:$K$453,MATCH(1,('[23]SENSUS MEI'!$D$9:$D$453=$D105)*('[23]SENSUS MEI'!$D$9:$D$453=$D105),0))</f>
        <v>422</v>
      </c>
      <c r="J105" s="9">
        <f t="array" ref="J105">IFERROR(I105/G105*100,0)</f>
        <v>7.8511627906976749</v>
      </c>
      <c r="K105" s="143">
        <f t="array" ref="K105">INDEX('[23]SENSUS MEI'!$M$9:$M$453,MATCH(1,('[23]SENSUS MEI'!$D$9:$D$453=$D105)*('[23]SENSUS MEI'!$D$9:$D$453=$D105),0))+INDEX('[23]SENSUS MEI'!$O$9:$O$453,MATCH(1,('[23]SENSUS MEI'!$D$9:$D$453=$D105)*('[23]SENSUS MEI'!$D$9:$D$453=$D105),0))</f>
        <v>51</v>
      </c>
      <c r="L105" s="9">
        <f t="shared" si="12"/>
        <v>12.085308056872037</v>
      </c>
      <c r="M105" s="8" t="str">
        <f t="shared" si="7"/>
        <v>Perlu Pengendalian</v>
      </c>
      <c r="P105" s="194">
        <f t="shared" si="8"/>
        <v>24.1875</v>
      </c>
      <c r="Q105" s="194">
        <f t="array" ref="Q105">$P105*0.8</f>
        <v>19.350000000000001</v>
      </c>
      <c r="R105" s="194">
        <f t="shared" si="9"/>
        <v>14.512499999999999</v>
      </c>
      <c r="S105" s="194">
        <f t="shared" si="10"/>
        <v>9.6750000000000007</v>
      </c>
      <c r="T105" s="194">
        <f t="shared" si="11"/>
        <v>4.8375000000000004</v>
      </c>
    </row>
    <row r="106" spans="1:20" outlineLevel="1" x14ac:dyDescent="0.15">
      <c r="A106" s="8" t="s">
        <v>628</v>
      </c>
      <c r="B106" s="8" t="s">
        <v>14</v>
      </c>
      <c r="C106" s="8" t="s">
        <v>107</v>
      </c>
      <c r="D106" s="8" t="s">
        <v>698</v>
      </c>
      <c r="E106" s="9">
        <v>52.36</v>
      </c>
      <c r="F106" s="8" t="s">
        <v>469</v>
      </c>
      <c r="G106" s="143">
        <f t="array" ref="G106">INDEX('[23]SENSUS MEI'!$G$9:$G$453,MATCH(1,('[23]SENSUS MEI'!$D$9:$D$453=$D106)*('[23]SENSUS MEI'!$D$9:$D$453=$D106),0))</f>
        <v>7520</v>
      </c>
      <c r="H106" s="11">
        <f t="array" ref="H106">INDEX('[23]SENSUS MEI'!$J$9:$J$453,MATCH(1,('[23]SENSUS MEI'!$D$9:$D$453=$D106)*('[23]SENSUS MEI'!$D$9:$D$453=$D106),0))</f>
        <v>46150</v>
      </c>
      <c r="I106" s="143">
        <f t="array" ref="I106">INDEX('[23]SENSUS MEI'!$K$9:$K$453,MATCH(1,('[23]SENSUS MEI'!$D$9:$D$453=$D106)*('[23]SENSUS MEI'!$D$9:$D$453=$D106),0))</f>
        <v>1155</v>
      </c>
      <c r="J106" s="9">
        <f t="array" ref="J106">IFERROR(I106/G106*100,0)</f>
        <v>15.35904255319149</v>
      </c>
      <c r="K106" s="143">
        <f t="array" ref="K106">INDEX('[23]SENSUS MEI'!$M$9:$M$453,MATCH(1,('[23]SENSUS MEI'!$D$9:$D$453=$D106)*('[23]SENSUS MEI'!$D$9:$D$453=$D106),0))+INDEX('[23]SENSUS MEI'!$O$9:$O$453,MATCH(1,('[23]SENSUS MEI'!$D$9:$D$453=$D106)*('[23]SENSUS MEI'!$D$9:$D$453=$D106),0))</f>
        <v>139</v>
      </c>
      <c r="L106" s="9">
        <f t="shared" si="12"/>
        <v>12.034632034632034</v>
      </c>
      <c r="M106" s="8" t="str">
        <f t="shared" si="7"/>
        <v>Perlu Pengendalian</v>
      </c>
      <c r="P106" s="194">
        <f t="shared" si="8"/>
        <v>33.840000000000003</v>
      </c>
      <c r="Q106" s="194">
        <f t="array" ref="Q106">$P106*0.8</f>
        <v>27.072000000000003</v>
      </c>
      <c r="R106" s="194">
        <f t="shared" si="9"/>
        <v>20.304000000000002</v>
      </c>
      <c r="S106" s="194">
        <f t="shared" si="10"/>
        <v>13.536000000000001</v>
      </c>
      <c r="T106" s="194">
        <f t="shared" si="11"/>
        <v>6.7680000000000007</v>
      </c>
    </row>
    <row r="107" spans="1:20" outlineLevel="1" x14ac:dyDescent="0.15">
      <c r="A107" s="8" t="s">
        <v>628</v>
      </c>
      <c r="B107" s="8" t="s">
        <v>14</v>
      </c>
      <c r="C107" s="8" t="s">
        <v>107</v>
      </c>
      <c r="D107" s="8" t="s">
        <v>699</v>
      </c>
      <c r="E107" s="9">
        <v>53.6</v>
      </c>
      <c r="F107" s="8" t="s">
        <v>469</v>
      </c>
      <c r="G107" s="143">
        <f t="array" ref="G107">INDEX('[23]SENSUS MEI'!$G$9:$G$453,MATCH(1,('[23]SENSUS MEI'!$D$9:$D$453=$D107)*('[23]SENSUS MEI'!$D$9:$D$453=$D107),0))</f>
        <v>7750</v>
      </c>
      <c r="H107" s="11">
        <f t="array" ref="H107">INDEX('[23]SENSUS MEI'!$J$9:$J$453,MATCH(1,('[23]SENSUS MEI'!$D$9:$D$453=$D107)*('[23]SENSUS MEI'!$D$9:$D$453=$D107),0))</f>
        <v>46151</v>
      </c>
      <c r="I107" s="143">
        <f t="array" ref="I107">INDEX('[23]SENSUS MEI'!$K$9:$K$453,MATCH(1,('[23]SENSUS MEI'!$D$9:$D$453=$D107)*('[23]SENSUS MEI'!$D$9:$D$453=$D107),0))</f>
        <v>856</v>
      </c>
      <c r="J107" s="9">
        <f t="array" ref="J107">IFERROR(I107/G107*100,0)</f>
        <v>11.04516129032258</v>
      </c>
      <c r="K107" s="143">
        <f t="array" ref="K107">INDEX('[23]SENSUS MEI'!$M$9:$M$453,MATCH(1,('[23]SENSUS MEI'!$D$9:$D$453=$D107)*('[23]SENSUS MEI'!$D$9:$D$453=$D107),0))+INDEX('[23]SENSUS MEI'!$O$9:$O$453,MATCH(1,('[23]SENSUS MEI'!$D$9:$D$453=$D107)*('[23]SENSUS MEI'!$D$9:$D$453=$D107),0))</f>
        <v>72</v>
      </c>
      <c r="L107" s="9">
        <f t="shared" si="12"/>
        <v>8.4112149532710276</v>
      </c>
      <c r="M107" s="8" t="str">
        <f t="shared" si="7"/>
        <v>Perlu Pengendalian</v>
      </c>
      <c r="P107" s="194">
        <f t="shared" si="8"/>
        <v>34.875</v>
      </c>
      <c r="Q107" s="194">
        <f t="array" ref="Q107">$P107*0.8</f>
        <v>27.900000000000002</v>
      </c>
      <c r="R107" s="194">
        <f t="shared" si="9"/>
        <v>20.925000000000001</v>
      </c>
      <c r="S107" s="194">
        <f t="shared" si="10"/>
        <v>13.950000000000001</v>
      </c>
      <c r="T107" s="194">
        <f t="shared" si="11"/>
        <v>6.9750000000000005</v>
      </c>
    </row>
    <row r="108" spans="1:20" outlineLevel="1" x14ac:dyDescent="0.15">
      <c r="A108" s="8" t="s">
        <v>628</v>
      </c>
      <c r="B108" s="8" t="s">
        <v>14</v>
      </c>
      <c r="C108" s="8" t="s">
        <v>107</v>
      </c>
      <c r="D108" s="8" t="s">
        <v>700</v>
      </c>
      <c r="E108" s="9">
        <v>42.12</v>
      </c>
      <c r="F108" s="8" t="s">
        <v>469</v>
      </c>
      <c r="G108" s="143">
        <f t="array" ref="G108">INDEX('[23]SENSUS MEI'!$G$9:$G$453,MATCH(1,('[23]SENSUS MEI'!$D$9:$D$453=$D108)*('[23]SENSUS MEI'!$D$9:$D$453=$D108),0))</f>
        <v>6012</v>
      </c>
      <c r="H108" s="11">
        <f t="array" ref="H108">INDEX('[23]SENSUS MEI'!$J$9:$J$453,MATCH(1,('[23]SENSUS MEI'!$D$9:$D$453=$D108)*('[23]SENSUS MEI'!$D$9:$D$453=$D108),0))</f>
        <v>46149</v>
      </c>
      <c r="I108" s="143">
        <f t="array" ref="I108">INDEX('[23]SENSUS MEI'!$K$9:$K$453,MATCH(1,('[23]SENSUS MEI'!$D$9:$D$453=$D108)*('[23]SENSUS MEI'!$D$9:$D$453=$D108),0))</f>
        <v>312</v>
      </c>
      <c r="J108" s="9">
        <f t="array" ref="J108">IFERROR(I108/G108*100,0)</f>
        <v>5.1896207584830334</v>
      </c>
      <c r="K108" s="143">
        <f t="array" ref="K108">INDEX('[23]SENSUS MEI'!$M$9:$M$453,MATCH(1,('[23]SENSUS MEI'!$D$9:$D$453=$D108)*('[23]SENSUS MEI'!$D$9:$D$453=$D108),0))+INDEX('[23]SENSUS MEI'!$O$9:$O$453,MATCH(1,('[23]SENSUS MEI'!$D$9:$D$453=$D108)*('[23]SENSUS MEI'!$D$9:$D$453=$D108),0))</f>
        <v>49</v>
      </c>
      <c r="L108" s="9">
        <f t="shared" si="12"/>
        <v>15.705128205128204</v>
      </c>
      <c r="M108" s="8" t="str">
        <f t="shared" si="7"/>
        <v>Perlu Pengendalian</v>
      </c>
      <c r="P108" s="194">
        <f t="shared" si="8"/>
        <v>27.053999999999998</v>
      </c>
      <c r="Q108" s="194">
        <f t="array" ref="Q108">$P108*0.8</f>
        <v>21.6432</v>
      </c>
      <c r="R108" s="194">
        <f t="shared" si="9"/>
        <v>16.232399999999998</v>
      </c>
      <c r="S108" s="194">
        <f t="shared" si="10"/>
        <v>10.8216</v>
      </c>
      <c r="T108" s="194">
        <f t="shared" si="11"/>
        <v>5.4108000000000001</v>
      </c>
    </row>
    <row r="109" spans="1:20" outlineLevel="1" x14ac:dyDescent="0.15">
      <c r="A109" s="8" t="s">
        <v>628</v>
      </c>
      <c r="B109" s="8" t="s">
        <v>14</v>
      </c>
      <c r="C109" s="8" t="s">
        <v>107</v>
      </c>
      <c r="D109" s="8" t="s">
        <v>701</v>
      </c>
      <c r="E109" s="9">
        <v>35.29</v>
      </c>
      <c r="F109" s="8" t="s">
        <v>469</v>
      </c>
      <c r="G109" s="143">
        <f t="array" ref="G109">INDEX('[23]SENSUS MEI'!$G$9:$G$453,MATCH(1,('[23]SENSUS MEI'!$D$9:$D$453=$D109)*('[23]SENSUS MEI'!$D$9:$D$453=$D109),0))</f>
        <v>5037</v>
      </c>
      <c r="H109" s="11">
        <f t="array" ref="H109">INDEX('[23]SENSUS MEI'!$J$9:$J$453,MATCH(1,('[23]SENSUS MEI'!$D$9:$D$453=$D109)*('[23]SENSUS MEI'!$D$9:$D$453=$D109),0))</f>
        <v>46149</v>
      </c>
      <c r="I109" s="143">
        <f t="array" ref="I109">INDEX('[23]SENSUS MEI'!$K$9:$K$453,MATCH(1,('[23]SENSUS MEI'!$D$9:$D$453=$D109)*('[23]SENSUS MEI'!$D$9:$D$453=$D109),0))</f>
        <v>523</v>
      </c>
      <c r="J109" s="9">
        <f t="array" ref="J109">IFERROR(I109/G109*100,0)</f>
        <v>10.383164582092515</v>
      </c>
      <c r="K109" s="143">
        <f t="array" ref="K109">INDEX('[23]SENSUS MEI'!$M$9:$M$453,MATCH(1,('[23]SENSUS MEI'!$D$9:$D$453=$D109)*('[23]SENSUS MEI'!$D$9:$D$453=$D109),0))+INDEX('[23]SENSUS MEI'!$O$9:$O$453,MATCH(1,('[23]SENSUS MEI'!$D$9:$D$453=$D109)*('[23]SENSUS MEI'!$D$9:$D$453=$D109),0))</f>
        <v>56</v>
      </c>
      <c r="L109" s="9">
        <f t="shared" si="12"/>
        <v>10.707456978967496</v>
      </c>
      <c r="M109" s="8" t="str">
        <f t="shared" si="7"/>
        <v>Perlu Pengendalian</v>
      </c>
      <c r="P109" s="194">
        <f t="shared" si="8"/>
        <v>22.666499999999999</v>
      </c>
      <c r="Q109" s="194">
        <f t="array" ref="Q109">$P109*0.8</f>
        <v>18.133199999999999</v>
      </c>
      <c r="R109" s="194">
        <f t="shared" si="9"/>
        <v>13.5999</v>
      </c>
      <c r="S109" s="194">
        <f t="shared" si="10"/>
        <v>9.0665999999999993</v>
      </c>
      <c r="T109" s="194">
        <f t="shared" si="11"/>
        <v>4.5332999999999997</v>
      </c>
    </row>
    <row r="110" spans="1:20" outlineLevel="1" x14ac:dyDescent="0.15">
      <c r="A110" s="8" t="s">
        <v>628</v>
      </c>
      <c r="B110" s="8" t="s">
        <v>14</v>
      </c>
      <c r="C110" s="8" t="s">
        <v>107</v>
      </c>
      <c r="D110" s="8" t="s">
        <v>702</v>
      </c>
      <c r="E110" s="9">
        <v>34.54</v>
      </c>
      <c r="F110" s="8" t="s">
        <v>469</v>
      </c>
      <c r="G110" s="143">
        <f t="array" ref="G110">INDEX('[23]SENSUS MEI'!$G$9:$G$453,MATCH(1,('[23]SENSUS MEI'!$D$9:$D$453=$D110)*('[23]SENSUS MEI'!$D$9:$D$453=$D110),0))</f>
        <v>4773</v>
      </c>
      <c r="H110" s="11">
        <f t="array" ref="H110">INDEX('[23]SENSUS MEI'!$J$9:$J$453,MATCH(1,('[23]SENSUS MEI'!$D$9:$D$453=$D110)*('[23]SENSUS MEI'!$D$9:$D$453=$D110),0))</f>
        <v>46149</v>
      </c>
      <c r="I110" s="143">
        <f t="array" ref="I110">INDEX('[23]SENSUS MEI'!$K$9:$K$453,MATCH(1,('[23]SENSUS MEI'!$D$9:$D$453=$D110)*('[23]SENSUS MEI'!$D$9:$D$453=$D110),0))</f>
        <v>524</v>
      </c>
      <c r="J110" s="9">
        <f t="array" ref="J110">IFERROR(I110/G110*100,0)</f>
        <v>10.978420280745862</v>
      </c>
      <c r="K110" s="143">
        <f t="array" ref="K110">INDEX('[23]SENSUS MEI'!$M$9:$M$453,MATCH(1,('[23]SENSUS MEI'!$D$9:$D$453=$D110)*('[23]SENSUS MEI'!$D$9:$D$453=$D110),0))+INDEX('[23]SENSUS MEI'!$O$9:$O$453,MATCH(1,('[23]SENSUS MEI'!$D$9:$D$453=$D110)*('[23]SENSUS MEI'!$D$9:$D$453=$D110),0))</f>
        <v>210</v>
      </c>
      <c r="L110" s="9">
        <f t="shared" si="12"/>
        <v>40.076335877862597</v>
      </c>
      <c r="M110" s="8" t="str">
        <f t="shared" si="7"/>
        <v>Perlu Pengendalian</v>
      </c>
      <c r="P110" s="194">
        <f t="shared" si="8"/>
        <v>21.4785</v>
      </c>
      <c r="Q110" s="194">
        <f t="array" ref="Q110">$P110*0.8</f>
        <v>17.1828</v>
      </c>
      <c r="R110" s="194">
        <f t="shared" si="9"/>
        <v>12.8871</v>
      </c>
      <c r="S110" s="194">
        <f t="shared" si="10"/>
        <v>8.5914000000000001</v>
      </c>
      <c r="T110" s="194">
        <f t="shared" si="11"/>
        <v>4.2957000000000001</v>
      </c>
    </row>
    <row r="111" spans="1:20" outlineLevel="1" x14ac:dyDescent="0.15">
      <c r="A111" s="8" t="s">
        <v>628</v>
      </c>
      <c r="B111" s="8" t="s">
        <v>14</v>
      </c>
      <c r="C111" s="8" t="s">
        <v>107</v>
      </c>
      <c r="D111" s="8" t="s">
        <v>703</v>
      </c>
      <c r="E111" s="9">
        <v>30.85</v>
      </c>
      <c r="F111" s="8" t="s">
        <v>16</v>
      </c>
      <c r="G111" s="143">
        <f t="array" ref="G111">INDEX('[23]SENSUS MEI'!$G$9:$G$453,MATCH(1,('[23]SENSUS MEI'!$D$9:$D$453=$D111)*('[23]SENSUS MEI'!$D$9:$D$453=$D111),0))</f>
        <v>4364</v>
      </c>
      <c r="H111" s="11">
        <f t="array" ref="H111">INDEX('[23]SENSUS MEI'!$J$9:$J$453,MATCH(1,('[23]SENSUS MEI'!$D$9:$D$453=$D111)*('[23]SENSUS MEI'!$D$9:$D$453=$D111),0))</f>
        <v>46151</v>
      </c>
      <c r="I111" s="143">
        <f t="array" ref="I111">INDEX('[23]SENSUS MEI'!$K$9:$K$453,MATCH(1,('[23]SENSUS MEI'!$D$9:$D$453=$D111)*('[23]SENSUS MEI'!$D$9:$D$453=$D111),0))</f>
        <v>411</v>
      </c>
      <c r="J111" s="9">
        <f t="array" ref="J111">IFERROR(I111/G111*100,0)</f>
        <v>9.4179651695692019</v>
      </c>
      <c r="K111" s="143">
        <f t="array" ref="K111">INDEX('[23]SENSUS MEI'!$M$9:$M$453,MATCH(1,('[23]SENSUS MEI'!$D$9:$D$453=$D111)*('[23]SENSUS MEI'!$D$9:$D$453=$D111),0))+INDEX('[23]SENSUS MEI'!$O$9:$O$453,MATCH(1,('[23]SENSUS MEI'!$D$9:$D$453=$D111)*('[23]SENSUS MEI'!$D$9:$D$453=$D111),0))</f>
        <v>235</v>
      </c>
      <c r="L111" s="9">
        <f t="shared" si="12"/>
        <v>57.177615571776151</v>
      </c>
      <c r="M111" s="8" t="str">
        <f t="shared" si="7"/>
        <v>Perlu Pengendalian</v>
      </c>
      <c r="P111" s="194">
        <f t="shared" si="8"/>
        <v>19.638000000000002</v>
      </c>
      <c r="Q111" s="194">
        <f t="array" ref="Q111">$P111*0.8</f>
        <v>15.710400000000002</v>
      </c>
      <c r="R111" s="194">
        <f t="shared" si="9"/>
        <v>11.7828</v>
      </c>
      <c r="S111" s="194">
        <f t="shared" si="10"/>
        <v>7.8552000000000008</v>
      </c>
      <c r="T111" s="194">
        <f t="shared" si="11"/>
        <v>3.9276000000000004</v>
      </c>
    </row>
    <row r="112" spans="1:20" outlineLevel="1" x14ac:dyDescent="0.15">
      <c r="A112" s="8" t="s">
        <v>628</v>
      </c>
      <c r="B112" s="8" t="s">
        <v>14</v>
      </c>
      <c r="C112" s="8" t="s">
        <v>107</v>
      </c>
      <c r="D112" s="8" t="s">
        <v>704</v>
      </c>
      <c r="E112" s="9">
        <v>39.01</v>
      </c>
      <c r="F112" s="8" t="s">
        <v>16</v>
      </c>
      <c r="G112" s="143">
        <f t="array" ref="G112">INDEX('[23]SENSUS MEI'!$G$9:$G$453,MATCH(1,('[23]SENSUS MEI'!$D$9:$D$453=$D112)*('[23]SENSUS MEI'!$D$9:$D$453=$D112),0))</f>
        <v>5502</v>
      </c>
      <c r="H112" s="11">
        <f t="array" ref="H112">INDEX('[23]SENSUS MEI'!$J$9:$J$453,MATCH(1,('[23]SENSUS MEI'!$D$9:$D$453=$D112)*('[23]SENSUS MEI'!$D$9:$D$453=$D112),0))</f>
        <v>46151</v>
      </c>
      <c r="I112" s="143">
        <f t="array" ref="I112">INDEX('[23]SENSUS MEI'!$K$9:$K$453,MATCH(1,('[23]SENSUS MEI'!$D$9:$D$453=$D112)*('[23]SENSUS MEI'!$D$9:$D$453=$D112),0))</f>
        <v>642</v>
      </c>
      <c r="J112" s="9">
        <f t="array" ref="J112">IFERROR(I112/G112*100,0)</f>
        <v>11.668484187568156</v>
      </c>
      <c r="K112" s="143">
        <f t="array" ref="K112">INDEX('[23]SENSUS MEI'!$M$9:$M$453,MATCH(1,('[23]SENSUS MEI'!$D$9:$D$453=$D112)*('[23]SENSUS MEI'!$D$9:$D$453=$D112),0))+INDEX('[23]SENSUS MEI'!$O$9:$O$453,MATCH(1,('[23]SENSUS MEI'!$D$9:$D$453=$D112)*('[23]SENSUS MEI'!$D$9:$D$453=$D112),0))</f>
        <v>138</v>
      </c>
      <c r="L112" s="9">
        <f t="shared" si="12"/>
        <v>21.495327102803738</v>
      </c>
      <c r="M112" s="8" t="str">
        <f t="shared" si="7"/>
        <v>Perlu Pengendalian</v>
      </c>
      <c r="P112" s="194">
        <f t="shared" si="8"/>
        <v>24.759</v>
      </c>
      <c r="Q112" s="194">
        <f t="array" ref="Q112">$P112*0.8</f>
        <v>19.807200000000002</v>
      </c>
      <c r="R112" s="194">
        <f t="shared" si="9"/>
        <v>14.855399999999999</v>
      </c>
      <c r="S112" s="194">
        <f t="shared" si="10"/>
        <v>9.9036000000000008</v>
      </c>
      <c r="T112" s="194">
        <f t="shared" si="11"/>
        <v>4.9518000000000004</v>
      </c>
    </row>
    <row r="113" spans="1:20" outlineLevel="1" x14ac:dyDescent="0.15">
      <c r="A113" s="8" t="s">
        <v>628</v>
      </c>
      <c r="B113" s="8" t="s">
        <v>14</v>
      </c>
      <c r="C113" s="8" t="s">
        <v>107</v>
      </c>
      <c r="D113" s="8" t="s">
        <v>705</v>
      </c>
      <c r="E113" s="9">
        <v>27.33</v>
      </c>
      <c r="F113" s="8" t="s">
        <v>469</v>
      </c>
      <c r="G113" s="143">
        <f t="array" ref="G113">INDEX('[23]SENSUS MEI'!$G$9:$G$453,MATCH(1,('[23]SENSUS MEI'!$D$9:$D$453=$D113)*('[23]SENSUS MEI'!$D$9:$D$453=$D113),0))</f>
        <v>3854</v>
      </c>
      <c r="H113" s="11">
        <f t="array" ref="H113">INDEX('[23]SENSUS MEI'!$J$9:$J$453,MATCH(1,('[23]SENSUS MEI'!$D$9:$D$453=$D113)*('[23]SENSUS MEI'!$D$9:$D$453=$D113),0))</f>
        <v>46150</v>
      </c>
      <c r="I113" s="143">
        <f t="array" ref="I113">INDEX('[23]SENSUS MEI'!$K$9:$K$453,MATCH(1,('[23]SENSUS MEI'!$D$9:$D$453=$D113)*('[23]SENSUS MEI'!$D$9:$D$453=$D113),0))</f>
        <v>123</v>
      </c>
      <c r="J113" s="9">
        <f t="array" ref="J113">IFERROR(I113/G113*100,0)</f>
        <v>3.1914893617021276</v>
      </c>
      <c r="K113" s="143">
        <f t="array" ref="K113">INDEX('[23]SENSUS MEI'!$M$9:$M$453,MATCH(1,('[23]SENSUS MEI'!$D$9:$D$453=$D113)*('[23]SENSUS MEI'!$D$9:$D$453=$D113),0))+INDEX('[23]SENSUS MEI'!$O$9:$O$453,MATCH(1,('[23]SENSUS MEI'!$D$9:$D$453=$D113)*('[23]SENSUS MEI'!$D$9:$D$453=$D113),0))</f>
        <v>71</v>
      </c>
      <c r="L113" s="9">
        <f t="shared" si="12"/>
        <v>57.72357723577236</v>
      </c>
      <c r="M113" s="8" t="str">
        <f t="shared" si="7"/>
        <v>Perlu Pengendalian</v>
      </c>
      <c r="P113" s="194">
        <f t="shared" si="8"/>
        <v>17.343</v>
      </c>
      <c r="Q113" s="194">
        <f t="array" ref="Q113">$P113*0.8</f>
        <v>13.874400000000001</v>
      </c>
      <c r="R113" s="194">
        <f t="shared" si="9"/>
        <v>10.405799999999999</v>
      </c>
      <c r="S113" s="194">
        <f t="shared" si="10"/>
        <v>6.9372000000000007</v>
      </c>
      <c r="T113" s="194">
        <f t="shared" si="11"/>
        <v>3.4686000000000003</v>
      </c>
    </row>
    <row r="114" spans="1:20" outlineLevel="1" x14ac:dyDescent="0.15">
      <c r="A114" s="8" t="s">
        <v>628</v>
      </c>
      <c r="B114" s="8" t="s">
        <v>14</v>
      </c>
      <c r="C114" s="8" t="s">
        <v>107</v>
      </c>
      <c r="D114" s="8" t="s">
        <v>371</v>
      </c>
      <c r="E114" s="9">
        <v>9.6300000000000008</v>
      </c>
      <c r="F114" s="8" t="s">
        <v>16</v>
      </c>
      <c r="G114" s="143">
        <f t="array" ref="G114">INDEX('[23]SENSUS MEI'!$G$9:$G$453,MATCH(1,('[23]SENSUS MEI'!$D$9:$D$453=$D114)*('[23]SENSUS MEI'!$D$9:$D$453=$D114),0))</f>
        <v>2298</v>
      </c>
      <c r="H114" s="11">
        <f t="array" ref="H114">INDEX('[23]SENSUS MEI'!$J$9:$J$453,MATCH(1,('[23]SENSUS MEI'!$D$9:$D$453=$D114)*('[23]SENSUS MEI'!$D$9:$D$453=$D114),0))</f>
        <v>46154</v>
      </c>
      <c r="I114" s="143">
        <f t="array" ref="I114">INDEX('[23]SENSUS MEI'!$K$9:$K$453,MATCH(1,('[23]SENSUS MEI'!$D$9:$D$453=$D114)*('[23]SENSUS MEI'!$D$9:$D$453=$D114),0))</f>
        <v>123</v>
      </c>
      <c r="J114" s="9">
        <f t="array" ref="J114">IFERROR(I114/G114*100,0)</f>
        <v>5.3524804177545686</v>
      </c>
      <c r="K114" s="143">
        <f t="array" ref="K114">INDEX('[23]SENSUS MEI'!$M$9:$M$453,MATCH(1,('[23]SENSUS MEI'!$D$9:$D$453=$D114)*('[23]SENSUS MEI'!$D$9:$D$453=$D114),0))+INDEX('[23]SENSUS MEI'!$O$9:$O$453,MATCH(1,('[23]SENSUS MEI'!$D$9:$D$453=$D114)*('[23]SENSUS MEI'!$D$9:$D$453=$D114),0))</f>
        <v>22</v>
      </c>
      <c r="L114" s="9">
        <f t="shared" si="12"/>
        <v>17.886178861788618</v>
      </c>
      <c r="M114" s="8" t="str">
        <f t="shared" si="7"/>
        <v>Perlu Pengendalian</v>
      </c>
      <c r="P114" s="194">
        <f t="shared" si="8"/>
        <v>10.340999999999999</v>
      </c>
      <c r="Q114" s="194">
        <f t="array" ref="Q114">$P114*0.8</f>
        <v>8.2728000000000002</v>
      </c>
      <c r="R114" s="194">
        <f t="shared" si="9"/>
        <v>6.2045999999999992</v>
      </c>
      <c r="S114" s="194">
        <f t="shared" si="10"/>
        <v>4.1364000000000001</v>
      </c>
      <c r="T114" s="194">
        <f t="shared" si="11"/>
        <v>2.0682</v>
      </c>
    </row>
    <row r="115" spans="1:20" outlineLevel="1" x14ac:dyDescent="0.15">
      <c r="A115" s="8" t="s">
        <v>628</v>
      </c>
      <c r="B115" s="8" t="s">
        <v>14</v>
      </c>
      <c r="C115" s="8" t="s">
        <v>107</v>
      </c>
      <c r="D115" s="8" t="s">
        <v>706</v>
      </c>
      <c r="E115" s="9">
        <v>12.5</v>
      </c>
      <c r="F115" s="8" t="s">
        <v>16</v>
      </c>
      <c r="G115" s="143">
        <f t="array" ref="G115">INDEX('[23]SENSUS MEI'!$G$9:$G$453,MATCH(1,('[23]SENSUS MEI'!$D$9:$D$453=$D115)*('[23]SENSUS MEI'!$D$9:$D$453=$D115),0))</f>
        <v>1765</v>
      </c>
      <c r="H115" s="11">
        <f t="array" ref="H115">INDEX('[23]SENSUS MEI'!$J$9:$J$453,MATCH(1,('[23]SENSUS MEI'!$D$9:$D$453=$D115)*('[23]SENSUS MEI'!$D$9:$D$453=$D115),0))</f>
        <v>46154</v>
      </c>
      <c r="I115" s="143">
        <f t="array" ref="I115">INDEX('[23]SENSUS MEI'!$K$9:$K$453,MATCH(1,('[23]SENSUS MEI'!$D$9:$D$453=$D115)*('[23]SENSUS MEI'!$D$9:$D$453=$D115),0))</f>
        <v>183</v>
      </c>
      <c r="J115" s="9">
        <f t="array" ref="J115">IFERROR(I115/G115*100,0)</f>
        <v>10.368271954674221</v>
      </c>
      <c r="K115" s="143">
        <f t="array" ref="K115">INDEX('[23]SENSUS MEI'!$M$9:$M$453,MATCH(1,('[23]SENSUS MEI'!$D$9:$D$453=$D115)*('[23]SENSUS MEI'!$D$9:$D$453=$D115),0))+INDEX('[23]SENSUS MEI'!$O$9:$O$453,MATCH(1,('[23]SENSUS MEI'!$D$9:$D$453=$D115)*('[23]SENSUS MEI'!$D$9:$D$453=$D115),0))</f>
        <v>40</v>
      </c>
      <c r="L115" s="9">
        <f t="shared" si="12"/>
        <v>21.857923497267759</v>
      </c>
      <c r="M115" s="8" t="str">
        <f t="shared" si="7"/>
        <v>Perlu Pengendalian</v>
      </c>
      <c r="P115" s="194">
        <f t="shared" si="8"/>
        <v>7.9424999999999999</v>
      </c>
      <c r="Q115" s="194">
        <f t="array" ref="Q115">$P115*0.8</f>
        <v>6.3540000000000001</v>
      </c>
      <c r="R115" s="194">
        <f t="shared" si="9"/>
        <v>4.7654999999999994</v>
      </c>
      <c r="S115" s="194">
        <f t="shared" si="10"/>
        <v>3.177</v>
      </c>
      <c r="T115" s="194">
        <f t="shared" si="11"/>
        <v>1.5885</v>
      </c>
    </row>
    <row r="116" spans="1:20" outlineLevel="1" x14ac:dyDescent="0.15">
      <c r="A116" s="8" t="s">
        <v>628</v>
      </c>
      <c r="B116" s="8" t="s">
        <v>14</v>
      </c>
      <c r="C116" s="8" t="s">
        <v>107</v>
      </c>
      <c r="D116" s="8" t="s">
        <v>707</v>
      </c>
      <c r="E116" s="9">
        <v>18.71</v>
      </c>
      <c r="F116" s="8" t="s">
        <v>16</v>
      </c>
      <c r="G116" s="143">
        <f t="array" ref="G116">INDEX('[23]SENSUS MEI'!$G$9:$G$453,MATCH(1,('[23]SENSUS MEI'!$D$9:$D$453=$D116)*('[23]SENSUS MEI'!$D$9:$D$453=$D116),0))</f>
        <v>2634</v>
      </c>
      <c r="H116" s="11">
        <f t="array" ref="H116">INDEX('[23]SENSUS MEI'!$J$9:$J$453,MATCH(1,('[23]SENSUS MEI'!$D$9:$D$453=$D116)*('[23]SENSUS MEI'!$D$9:$D$453=$D116),0))</f>
        <v>46154</v>
      </c>
      <c r="I116" s="143">
        <f t="array" ref="I116">INDEX('[23]SENSUS MEI'!$K$9:$K$453,MATCH(1,('[23]SENSUS MEI'!$D$9:$D$453=$D116)*('[23]SENSUS MEI'!$D$9:$D$453=$D116),0))</f>
        <v>259</v>
      </c>
      <c r="J116" s="9">
        <f t="array" ref="J116">IFERROR(I116/G116*100,0)</f>
        <v>9.832953682611997</v>
      </c>
      <c r="K116" s="143">
        <f t="array" ref="K116">INDEX('[23]SENSUS MEI'!$M$9:$M$453,MATCH(1,('[23]SENSUS MEI'!$D$9:$D$453=$D116)*('[23]SENSUS MEI'!$D$9:$D$453=$D116),0))+INDEX('[23]SENSUS MEI'!$O$9:$O$453,MATCH(1,('[23]SENSUS MEI'!$D$9:$D$453=$D116)*('[23]SENSUS MEI'!$D$9:$D$453=$D116),0))</f>
        <v>13</v>
      </c>
      <c r="L116" s="9">
        <f t="shared" si="12"/>
        <v>5.019305019305019</v>
      </c>
      <c r="M116" s="8" t="str">
        <f t="shared" si="7"/>
        <v>Perlu Pengendalian</v>
      </c>
      <c r="P116" s="194">
        <f t="shared" si="8"/>
        <v>11.853</v>
      </c>
      <c r="Q116" s="194">
        <f t="array" ref="Q116">$P116*0.8</f>
        <v>9.4824000000000002</v>
      </c>
      <c r="R116" s="194">
        <f t="shared" si="9"/>
        <v>7.1117999999999997</v>
      </c>
      <c r="S116" s="194">
        <f t="shared" si="10"/>
        <v>4.7412000000000001</v>
      </c>
      <c r="T116" s="194">
        <f t="shared" si="11"/>
        <v>2.3706</v>
      </c>
    </row>
    <row r="117" spans="1:20" outlineLevel="1" x14ac:dyDescent="0.15">
      <c r="A117" s="8" t="s">
        <v>628</v>
      </c>
      <c r="B117" s="8" t="s">
        <v>14</v>
      </c>
      <c r="C117" s="8" t="s">
        <v>107</v>
      </c>
      <c r="D117" s="8" t="s">
        <v>708</v>
      </c>
      <c r="E117" s="9">
        <v>47.01</v>
      </c>
      <c r="F117" s="8" t="s">
        <v>16</v>
      </c>
      <c r="G117" s="143">
        <f t="array" ref="G117">INDEX('[23]SENSUS MEI'!$G$9:$G$453,MATCH(1,('[23]SENSUS MEI'!$D$9:$D$453=$D117)*('[23]SENSUS MEI'!$D$9:$D$453=$D117),0))</f>
        <v>6798</v>
      </c>
      <c r="H117" s="11">
        <f t="array" ref="H117">INDEX('[23]SENSUS MEI'!$J$9:$J$453,MATCH(1,('[23]SENSUS MEI'!$D$9:$D$453=$D117)*('[23]SENSUS MEI'!$D$9:$D$453=$D117),0))</f>
        <v>46154</v>
      </c>
      <c r="I117" s="143">
        <f t="array" ref="I117">INDEX('[23]SENSUS MEI'!$K$9:$K$453,MATCH(1,('[23]SENSUS MEI'!$D$9:$D$453=$D117)*('[23]SENSUS MEI'!$D$9:$D$453=$D117),0))</f>
        <v>700</v>
      </c>
      <c r="J117" s="9">
        <f t="array" ref="J117">IFERROR(I117/G117*100,0)</f>
        <v>10.297146219476316</v>
      </c>
      <c r="K117" s="143">
        <f t="array" ref="K117">INDEX('[23]SENSUS MEI'!$M$9:$M$453,MATCH(1,('[23]SENSUS MEI'!$D$9:$D$453=$D117)*('[23]SENSUS MEI'!$D$9:$D$453=$D117),0))+INDEX('[23]SENSUS MEI'!$O$9:$O$453,MATCH(1,('[23]SENSUS MEI'!$D$9:$D$453=$D117)*('[23]SENSUS MEI'!$D$9:$D$453=$D117),0))</f>
        <v>107</v>
      </c>
      <c r="L117" s="9">
        <f t="shared" si="12"/>
        <v>15.285714285714286</v>
      </c>
      <c r="M117" s="8" t="str">
        <f t="shared" si="7"/>
        <v>Perlu Pengendalian</v>
      </c>
      <c r="P117" s="194">
        <f t="shared" si="8"/>
        <v>30.591000000000001</v>
      </c>
      <c r="Q117" s="194">
        <f t="array" ref="Q117">$P117*0.8</f>
        <v>24.472800000000003</v>
      </c>
      <c r="R117" s="194">
        <f t="shared" si="9"/>
        <v>18.354600000000001</v>
      </c>
      <c r="S117" s="194">
        <f t="shared" si="10"/>
        <v>12.236400000000001</v>
      </c>
      <c r="T117" s="194">
        <f t="shared" si="11"/>
        <v>6.1182000000000007</v>
      </c>
    </row>
    <row r="118" spans="1:20" outlineLevel="1" x14ac:dyDescent="0.15">
      <c r="A118" s="8" t="s">
        <v>628</v>
      </c>
      <c r="B118" s="8" t="s">
        <v>14</v>
      </c>
      <c r="C118" s="8" t="s">
        <v>107</v>
      </c>
      <c r="D118" s="8" t="s">
        <v>709</v>
      </c>
      <c r="E118" s="9">
        <v>50.89</v>
      </c>
      <c r="F118" s="8" t="s">
        <v>16</v>
      </c>
      <c r="G118" s="143">
        <f t="array" ref="G118">INDEX('[23]SENSUS MEI'!$G$9:$G$453,MATCH(1,('[23]SENSUS MEI'!$D$9:$D$453=$D118)*('[23]SENSUS MEI'!$D$9:$D$453=$D118),0))</f>
        <v>7170</v>
      </c>
      <c r="H118" s="11">
        <f t="array" ref="H118">INDEX('[23]SENSUS MEI'!$J$9:$J$453,MATCH(1,('[23]SENSUS MEI'!$D$9:$D$453=$D118)*('[23]SENSUS MEI'!$D$9:$D$453=$D118),0))</f>
        <v>46153</v>
      </c>
      <c r="I118" s="143">
        <f t="array" ref="I118">INDEX('[23]SENSUS MEI'!$K$9:$K$453,MATCH(1,('[23]SENSUS MEI'!$D$9:$D$453=$D118)*('[23]SENSUS MEI'!$D$9:$D$453=$D118),0))</f>
        <v>771</v>
      </c>
      <c r="J118" s="9">
        <f t="array" ref="J118">IFERROR(I118/G118*100,0)</f>
        <v>10.753138075313808</v>
      </c>
      <c r="K118" s="143">
        <f t="array" ref="K118">INDEX('[23]SENSUS MEI'!$M$9:$M$453,MATCH(1,('[23]SENSUS MEI'!$D$9:$D$453=$D118)*('[23]SENSUS MEI'!$D$9:$D$453=$D118),0))+INDEX('[23]SENSUS MEI'!$O$9:$O$453,MATCH(1,('[23]SENSUS MEI'!$D$9:$D$453=$D118)*('[23]SENSUS MEI'!$D$9:$D$453=$D118),0))</f>
        <v>77</v>
      </c>
      <c r="L118" s="9">
        <f t="shared" si="12"/>
        <v>9.9870298313878081</v>
      </c>
      <c r="M118" s="8" t="str">
        <f t="shared" si="7"/>
        <v>Perlu Pengendalian</v>
      </c>
      <c r="P118" s="194">
        <f t="shared" si="8"/>
        <v>32.265000000000001</v>
      </c>
      <c r="Q118" s="194">
        <f t="array" ref="Q118">$P118*0.8</f>
        <v>25.812000000000001</v>
      </c>
      <c r="R118" s="194">
        <f t="shared" si="9"/>
        <v>19.358999999999998</v>
      </c>
      <c r="S118" s="194">
        <f t="shared" si="10"/>
        <v>12.906000000000001</v>
      </c>
      <c r="T118" s="194">
        <f t="shared" si="11"/>
        <v>6.4530000000000003</v>
      </c>
    </row>
    <row r="119" spans="1:20" outlineLevel="1" x14ac:dyDescent="0.15">
      <c r="A119" s="8" t="s">
        <v>628</v>
      </c>
      <c r="B119" s="8" t="s">
        <v>14</v>
      </c>
      <c r="C119" s="8" t="s">
        <v>107</v>
      </c>
      <c r="D119" s="8" t="s">
        <v>710</v>
      </c>
      <c r="E119" s="9">
        <v>48</v>
      </c>
      <c r="F119" s="8" t="s">
        <v>16</v>
      </c>
      <c r="G119" s="143">
        <f t="array" ref="G119">INDEX('[23]SENSUS MEI'!$G$9:$G$453,MATCH(1,('[23]SENSUS MEI'!$D$9:$D$453=$D119)*('[23]SENSUS MEI'!$D$9:$D$453=$D119),0))</f>
        <v>7020</v>
      </c>
      <c r="H119" s="11">
        <f t="array" ref="H119">INDEX('[23]SENSUS MEI'!$J$9:$J$453,MATCH(1,('[23]SENSUS MEI'!$D$9:$D$453=$D119)*('[23]SENSUS MEI'!$D$9:$D$453=$D119),0))</f>
        <v>46151</v>
      </c>
      <c r="I119" s="143">
        <f t="array" ref="I119">INDEX('[23]SENSUS MEI'!$K$9:$K$453,MATCH(1,('[23]SENSUS MEI'!$D$9:$D$453=$D119)*('[23]SENSUS MEI'!$D$9:$D$453=$D119),0))</f>
        <v>572</v>
      </c>
      <c r="J119" s="9">
        <f t="array" ref="J119">IFERROR(I119/G119*100,0)</f>
        <v>8.1481481481481488</v>
      </c>
      <c r="K119" s="143">
        <f t="array" ref="K119">INDEX('[23]SENSUS MEI'!$M$9:$M$453,MATCH(1,('[23]SENSUS MEI'!$D$9:$D$453=$D119)*('[23]SENSUS MEI'!$D$9:$D$453=$D119),0))+INDEX('[23]SENSUS MEI'!$O$9:$O$453,MATCH(1,('[23]SENSUS MEI'!$D$9:$D$453=$D119)*('[23]SENSUS MEI'!$D$9:$D$453=$D119),0))</f>
        <v>116</v>
      </c>
      <c r="L119" s="9">
        <f t="shared" si="12"/>
        <v>20.27972027972028</v>
      </c>
      <c r="M119" s="8" t="str">
        <f t="shared" si="7"/>
        <v>Perlu Pengendalian</v>
      </c>
      <c r="P119" s="194">
        <f t="shared" si="8"/>
        <v>31.59</v>
      </c>
      <c r="Q119" s="194">
        <f t="array" ref="Q119">$P119*0.8</f>
        <v>25.272000000000002</v>
      </c>
      <c r="R119" s="194">
        <f t="shared" si="9"/>
        <v>18.954000000000001</v>
      </c>
      <c r="S119" s="194">
        <f t="shared" si="10"/>
        <v>12.636000000000001</v>
      </c>
      <c r="T119" s="194">
        <f t="shared" si="11"/>
        <v>6.3180000000000005</v>
      </c>
    </row>
    <row r="120" spans="1:20" outlineLevel="1" x14ac:dyDescent="0.15">
      <c r="A120" s="8" t="s">
        <v>628</v>
      </c>
      <c r="B120" s="8" t="s">
        <v>14</v>
      </c>
      <c r="C120" s="8" t="s">
        <v>107</v>
      </c>
      <c r="D120" s="8" t="s">
        <v>711</v>
      </c>
      <c r="E120" s="9">
        <v>45.86</v>
      </c>
      <c r="F120" s="8" t="s">
        <v>16</v>
      </c>
      <c r="G120" s="143">
        <f t="array" ref="G120">INDEX('[23]SENSUS MEI'!$G$9:$G$453,MATCH(1,('[23]SENSUS MEI'!$D$9:$D$453=$D120)*('[23]SENSUS MEI'!$D$9:$D$453=$D120),0))</f>
        <v>6381</v>
      </c>
      <c r="H120" s="11">
        <f t="array" ref="H120">INDEX('[23]SENSUS MEI'!$J$9:$J$453,MATCH(1,('[23]SENSUS MEI'!$D$9:$D$453=$D120)*('[23]SENSUS MEI'!$D$9:$D$453=$D120),0))</f>
        <v>46151</v>
      </c>
      <c r="I120" s="143">
        <f t="array" ref="I120">INDEX('[23]SENSUS MEI'!$K$9:$K$453,MATCH(1,('[23]SENSUS MEI'!$D$9:$D$453=$D120)*('[23]SENSUS MEI'!$D$9:$D$453=$D120),0))</f>
        <v>560</v>
      </c>
      <c r="J120" s="9">
        <f t="array" ref="J120">IFERROR(I120/G120*100,0)</f>
        <v>8.776053910045448</v>
      </c>
      <c r="K120" s="143">
        <f t="array" ref="K120">INDEX('[23]SENSUS MEI'!$M$9:$M$453,MATCH(1,('[23]SENSUS MEI'!$D$9:$D$453=$D120)*('[23]SENSUS MEI'!$D$9:$D$453=$D120),0))+INDEX('[23]SENSUS MEI'!$O$9:$O$453,MATCH(1,('[23]SENSUS MEI'!$D$9:$D$453=$D120)*('[23]SENSUS MEI'!$D$9:$D$453=$D120),0))</f>
        <v>71</v>
      </c>
      <c r="L120" s="9">
        <f t="shared" si="12"/>
        <v>12.678571428571427</v>
      </c>
      <c r="M120" s="8" t="str">
        <f t="shared" si="7"/>
        <v>Perlu Pengendalian</v>
      </c>
      <c r="P120" s="194">
        <f t="shared" si="8"/>
        <v>28.714500000000001</v>
      </c>
      <c r="Q120" s="194">
        <f t="array" ref="Q120">$P120*0.8</f>
        <v>22.971600000000002</v>
      </c>
      <c r="R120" s="194">
        <f t="shared" si="9"/>
        <v>17.2287</v>
      </c>
      <c r="S120" s="194">
        <f t="shared" si="10"/>
        <v>11.485800000000001</v>
      </c>
      <c r="T120" s="194">
        <f t="shared" si="11"/>
        <v>5.7429000000000006</v>
      </c>
    </row>
    <row r="121" spans="1:20" outlineLevel="1" x14ac:dyDescent="0.15">
      <c r="A121" s="8" t="s">
        <v>628</v>
      </c>
      <c r="B121" s="8" t="s">
        <v>14</v>
      </c>
      <c r="C121" s="8" t="s">
        <v>107</v>
      </c>
      <c r="D121" s="8" t="s">
        <v>375</v>
      </c>
      <c r="E121" s="9">
        <v>13.88</v>
      </c>
      <c r="F121" s="8" t="s">
        <v>16</v>
      </c>
      <c r="G121" s="143">
        <f t="array" ref="G121">INDEX('[23]SENSUS MEI'!$G$9:$G$453,MATCH(1,('[23]SENSUS MEI'!$D$9:$D$453=$D121)*('[23]SENSUS MEI'!$D$9:$D$453=$D121),0))</f>
        <v>1797</v>
      </c>
      <c r="H121" s="11">
        <f t="array" ref="H121">INDEX('[23]SENSUS MEI'!$J$9:$J$453,MATCH(1,('[23]SENSUS MEI'!$D$9:$D$453=$D121)*('[23]SENSUS MEI'!$D$9:$D$453=$D121),0))</f>
        <v>46153</v>
      </c>
      <c r="I121" s="143">
        <f t="array" ref="I121">INDEX('[23]SENSUS MEI'!$K$9:$K$453,MATCH(1,('[23]SENSUS MEI'!$D$9:$D$453=$D121)*('[23]SENSUS MEI'!$D$9:$D$453=$D121),0))</f>
        <v>126</v>
      </c>
      <c r="J121" s="9">
        <f t="array" ref="J121">IFERROR(I121/G121*100,0)</f>
        <v>7.0116861435726205</v>
      </c>
      <c r="K121" s="143">
        <f t="array" ref="K121">INDEX('[23]SENSUS MEI'!$M$9:$M$453,MATCH(1,('[23]SENSUS MEI'!$D$9:$D$453=$D121)*('[23]SENSUS MEI'!$D$9:$D$453=$D121),0))+INDEX('[23]SENSUS MEI'!$O$9:$O$453,MATCH(1,('[23]SENSUS MEI'!$D$9:$D$453=$D121)*('[23]SENSUS MEI'!$D$9:$D$453=$D121),0))</f>
        <v>20</v>
      </c>
      <c r="L121" s="9">
        <f t="shared" si="12"/>
        <v>15.873015873015872</v>
      </c>
      <c r="M121" s="8" t="str">
        <f t="shared" si="7"/>
        <v>Perlu Pengendalian</v>
      </c>
      <c r="P121" s="194">
        <f t="shared" si="8"/>
        <v>8.0864999999999991</v>
      </c>
      <c r="Q121" s="194">
        <f t="array" ref="Q121">$P121*0.8</f>
        <v>6.4691999999999998</v>
      </c>
      <c r="R121" s="194">
        <f t="shared" si="9"/>
        <v>4.8518999999999997</v>
      </c>
      <c r="S121" s="194">
        <f t="shared" si="10"/>
        <v>3.2345999999999999</v>
      </c>
      <c r="T121" s="194">
        <f t="shared" si="11"/>
        <v>1.6173</v>
      </c>
    </row>
    <row r="122" spans="1:20" outlineLevel="1" x14ac:dyDescent="0.15">
      <c r="A122" s="8" t="s">
        <v>628</v>
      </c>
      <c r="B122" s="8" t="s">
        <v>14</v>
      </c>
      <c r="C122" s="8" t="s">
        <v>107</v>
      </c>
      <c r="D122" s="8" t="s">
        <v>376</v>
      </c>
      <c r="E122" s="9">
        <v>12.03</v>
      </c>
      <c r="F122" s="8" t="s">
        <v>16</v>
      </c>
      <c r="G122" s="143">
        <f t="array" ref="G122">INDEX('[23]SENSUS MEI'!$G$9:$G$453,MATCH(1,('[23]SENSUS MEI'!$D$9:$D$453=$D122)*('[23]SENSUS MEI'!$D$9:$D$453=$D122),0))</f>
        <v>1764</v>
      </c>
      <c r="H122" s="11">
        <f t="array" ref="H122">INDEX('[23]SENSUS MEI'!$J$9:$J$453,MATCH(1,('[23]SENSUS MEI'!$D$9:$D$453=$D122)*('[23]SENSUS MEI'!$D$9:$D$453=$D122),0))</f>
        <v>46154</v>
      </c>
      <c r="I122" s="143">
        <f t="array" ref="I122">INDEX('[23]SENSUS MEI'!$K$9:$K$453,MATCH(1,('[23]SENSUS MEI'!$D$9:$D$453=$D122)*('[23]SENSUS MEI'!$D$9:$D$453=$D122),0))</f>
        <v>154</v>
      </c>
      <c r="J122" s="9">
        <f t="array" ref="J122">IFERROR(I122/G122*100,0)</f>
        <v>8.7301587301587293</v>
      </c>
      <c r="K122" s="143">
        <f t="array" ref="K122">INDEX('[23]SENSUS MEI'!$M$9:$M$453,MATCH(1,('[23]SENSUS MEI'!$D$9:$D$453=$D122)*('[23]SENSUS MEI'!$D$9:$D$453=$D122),0))+INDEX('[23]SENSUS MEI'!$O$9:$O$453,MATCH(1,('[23]SENSUS MEI'!$D$9:$D$453=$D122)*('[23]SENSUS MEI'!$D$9:$D$453=$D122),0))</f>
        <v>22</v>
      </c>
      <c r="L122" s="9">
        <f t="shared" si="12"/>
        <v>14.285714285714285</v>
      </c>
      <c r="M122" s="8" t="str">
        <f t="shared" si="7"/>
        <v>Perlu Pengendalian</v>
      </c>
      <c r="P122" s="194">
        <f t="shared" si="8"/>
        <v>7.9379999999999997</v>
      </c>
      <c r="Q122" s="194">
        <f t="array" ref="Q122">$P122*0.8</f>
        <v>6.3504000000000005</v>
      </c>
      <c r="R122" s="194">
        <f t="shared" si="9"/>
        <v>4.7627999999999995</v>
      </c>
      <c r="S122" s="194">
        <f t="shared" si="10"/>
        <v>3.1752000000000002</v>
      </c>
      <c r="T122" s="194">
        <f t="shared" si="11"/>
        <v>1.5876000000000001</v>
      </c>
    </row>
    <row r="123" spans="1:20" outlineLevel="1" x14ac:dyDescent="0.15">
      <c r="A123" s="8" t="s">
        <v>628</v>
      </c>
      <c r="B123" s="8" t="s">
        <v>14</v>
      </c>
      <c r="C123" s="8" t="s">
        <v>144</v>
      </c>
      <c r="D123" s="8" t="s">
        <v>712</v>
      </c>
      <c r="E123" s="9">
        <v>15.35</v>
      </c>
      <c r="F123" s="8" t="s">
        <v>16</v>
      </c>
      <c r="G123" s="143">
        <f t="array" ref="G123">INDEX('[23]SENSUS MEI'!$G$9:$G$453,MATCH(1,('[23]SENSUS MEI'!$D$9:$D$453=$D123)*('[23]SENSUS MEI'!$D$9:$D$453=$D123),0))</f>
        <v>1989</v>
      </c>
      <c r="H123" s="11">
        <f t="array" ref="H123">INDEX('[23]SENSUS MEI'!$J$9:$J$453,MATCH(1,('[23]SENSUS MEI'!$D$9:$D$453=$D123)*('[23]SENSUS MEI'!$D$9:$D$453=$D123),0))</f>
        <v>46153</v>
      </c>
      <c r="I123" s="143">
        <f t="array" ref="I123">INDEX('[23]SENSUS MEI'!$K$9:$K$453,MATCH(1,('[23]SENSUS MEI'!$D$9:$D$453=$D123)*('[23]SENSUS MEI'!$D$9:$D$453=$D123),0))</f>
        <v>200</v>
      </c>
      <c r="J123" s="9">
        <f t="array" ref="J123">IFERROR(I123/G123*100,0)</f>
        <v>10.055304172951232</v>
      </c>
      <c r="K123" s="143">
        <f t="array" ref="K123">INDEX('[23]SENSUS MEI'!$M$9:$M$453,MATCH(1,('[23]SENSUS MEI'!$D$9:$D$453=$D123)*('[23]SENSUS MEI'!$D$9:$D$453=$D123),0))+INDEX('[23]SENSUS MEI'!$O$9:$O$453,MATCH(1,('[23]SENSUS MEI'!$D$9:$D$453=$D123)*('[23]SENSUS MEI'!$D$9:$D$453=$D123),0))</f>
        <v>73</v>
      </c>
      <c r="L123" s="9">
        <f t="shared" si="12"/>
        <v>36.5</v>
      </c>
      <c r="M123" s="8" t="str">
        <f t="shared" si="7"/>
        <v>Perlu Pengendalian</v>
      </c>
      <c r="P123" s="194">
        <f t="shared" si="8"/>
        <v>8.9504999999999999</v>
      </c>
      <c r="Q123" s="194">
        <f t="array" ref="Q123">$P123*0.8</f>
        <v>7.1604000000000001</v>
      </c>
      <c r="R123" s="194">
        <f t="shared" si="9"/>
        <v>5.3702999999999994</v>
      </c>
      <c r="S123" s="194">
        <f t="shared" si="10"/>
        <v>3.5802</v>
      </c>
      <c r="T123" s="194">
        <f t="shared" si="11"/>
        <v>1.7901</v>
      </c>
    </row>
    <row r="124" spans="1:20" outlineLevel="1" x14ac:dyDescent="0.15">
      <c r="A124" s="8" t="s">
        <v>628</v>
      </c>
      <c r="B124" s="8" t="s">
        <v>14</v>
      </c>
      <c r="C124" s="8" t="s">
        <v>144</v>
      </c>
      <c r="D124" s="8" t="s">
        <v>713</v>
      </c>
      <c r="E124" s="9">
        <v>26.35</v>
      </c>
      <c r="F124" s="8" t="s">
        <v>16</v>
      </c>
      <c r="G124" s="143">
        <f t="array" ref="G124">INDEX('[23]SENSUS MEI'!$G$9:$G$453,MATCH(1,('[23]SENSUS MEI'!$D$9:$D$453=$D124)*('[23]SENSUS MEI'!$D$9:$D$453=$D124),0))</f>
        <v>3418</v>
      </c>
      <c r="H124" s="11">
        <f t="array" ref="H124">INDEX('[23]SENSUS MEI'!$J$9:$J$453,MATCH(1,('[23]SENSUS MEI'!$D$9:$D$453=$D124)*('[23]SENSUS MEI'!$D$9:$D$453=$D124),0))</f>
        <v>46153</v>
      </c>
      <c r="I124" s="143">
        <f t="array" ref="I124">INDEX('[23]SENSUS MEI'!$K$9:$K$453,MATCH(1,('[23]SENSUS MEI'!$D$9:$D$453=$D124)*('[23]SENSUS MEI'!$D$9:$D$453=$D124),0))</f>
        <v>317</v>
      </c>
      <c r="J124" s="9">
        <f t="array" ref="J124">IFERROR(I124/G124*100,0)</f>
        <v>9.2744294909303697</v>
      </c>
      <c r="K124" s="143">
        <f t="array" ref="K124">INDEX('[23]SENSUS MEI'!$M$9:$M$453,MATCH(1,('[23]SENSUS MEI'!$D$9:$D$453=$D124)*('[23]SENSUS MEI'!$D$9:$D$453=$D124),0))+INDEX('[23]SENSUS MEI'!$O$9:$O$453,MATCH(1,('[23]SENSUS MEI'!$D$9:$D$453=$D124)*('[23]SENSUS MEI'!$D$9:$D$453=$D124),0))</f>
        <v>57</v>
      </c>
      <c r="L124" s="9">
        <f t="shared" si="12"/>
        <v>17.981072555205046</v>
      </c>
      <c r="M124" s="8" t="str">
        <f t="shared" si="7"/>
        <v>Perlu Pengendalian</v>
      </c>
      <c r="P124" s="194">
        <f t="shared" si="8"/>
        <v>15.381</v>
      </c>
      <c r="Q124" s="194">
        <f t="array" ref="Q124">$P124*0.8</f>
        <v>12.3048</v>
      </c>
      <c r="R124" s="194">
        <f t="shared" si="9"/>
        <v>9.2286000000000001</v>
      </c>
      <c r="S124" s="194">
        <f t="shared" si="10"/>
        <v>6.1524000000000001</v>
      </c>
      <c r="T124" s="194">
        <f t="shared" si="11"/>
        <v>3.0762</v>
      </c>
    </row>
    <row r="125" spans="1:20" outlineLevel="1" x14ac:dyDescent="0.15">
      <c r="A125" s="8" t="s">
        <v>628</v>
      </c>
      <c r="B125" s="8" t="s">
        <v>14</v>
      </c>
      <c r="C125" s="8" t="s">
        <v>144</v>
      </c>
      <c r="D125" s="8" t="s">
        <v>714</v>
      </c>
      <c r="E125" s="9">
        <v>21.16</v>
      </c>
      <c r="F125" s="8" t="s">
        <v>16</v>
      </c>
      <c r="G125" s="143">
        <f t="array" ref="G125">INDEX('[23]SENSUS MEI'!$G$9:$G$453,MATCH(1,('[23]SENSUS MEI'!$D$9:$D$453=$D125)*('[23]SENSUS MEI'!$D$9:$D$453=$D125),0))</f>
        <v>3016</v>
      </c>
      <c r="H125" s="11">
        <f t="array" ref="H125">INDEX('[23]SENSUS MEI'!$J$9:$J$453,MATCH(1,('[23]SENSUS MEI'!$D$9:$D$453=$D125)*('[23]SENSUS MEI'!$D$9:$D$453=$D125),0))</f>
        <v>46154</v>
      </c>
      <c r="I125" s="143">
        <f t="array" ref="I125">INDEX('[23]SENSUS MEI'!$K$9:$K$453,MATCH(1,('[23]SENSUS MEI'!$D$9:$D$453=$D125)*('[23]SENSUS MEI'!$D$9:$D$453=$D125),0))</f>
        <v>308</v>
      </c>
      <c r="J125" s="9">
        <f t="array" ref="J125">IFERROR(I125/G125*100,0)</f>
        <v>10.212201591511937</v>
      </c>
      <c r="K125" s="143">
        <f t="array" ref="K125">INDEX('[23]SENSUS MEI'!$M$9:$M$453,MATCH(1,('[23]SENSUS MEI'!$D$9:$D$453=$D125)*('[23]SENSUS MEI'!$D$9:$D$453=$D125),0))+INDEX('[23]SENSUS MEI'!$O$9:$O$453,MATCH(1,('[23]SENSUS MEI'!$D$9:$D$453=$D125)*('[23]SENSUS MEI'!$D$9:$D$453=$D125),0))</f>
        <v>167</v>
      </c>
      <c r="L125" s="9">
        <f t="shared" si="12"/>
        <v>54.220779220779228</v>
      </c>
      <c r="M125" s="8" t="str">
        <f t="shared" si="7"/>
        <v>Perlu Pengendalian</v>
      </c>
      <c r="P125" s="194">
        <f t="shared" si="8"/>
        <v>13.571999999999999</v>
      </c>
      <c r="Q125" s="194">
        <f t="array" ref="Q125">$P125*0.8</f>
        <v>10.8576</v>
      </c>
      <c r="R125" s="194">
        <f t="shared" si="9"/>
        <v>8.1431999999999984</v>
      </c>
      <c r="S125" s="194">
        <f t="shared" si="10"/>
        <v>5.4287999999999998</v>
      </c>
      <c r="T125" s="194">
        <f t="shared" si="11"/>
        <v>2.7143999999999999</v>
      </c>
    </row>
    <row r="126" spans="1:20" outlineLevel="1" x14ac:dyDescent="0.15">
      <c r="A126" s="8" t="s">
        <v>628</v>
      </c>
      <c r="B126" s="8" t="s">
        <v>14</v>
      </c>
      <c r="C126" s="8" t="s">
        <v>144</v>
      </c>
      <c r="D126" s="8" t="s">
        <v>715</v>
      </c>
      <c r="E126" s="9">
        <v>10.87</v>
      </c>
      <c r="F126" s="8" t="s">
        <v>16</v>
      </c>
      <c r="G126" s="143">
        <f t="array" ref="G126">INDEX('[23]SENSUS MEI'!$G$9:$G$453,MATCH(1,('[23]SENSUS MEI'!$D$9:$D$453=$D126)*('[23]SENSUS MEI'!$D$9:$D$453=$D126),0))</f>
        <v>1633</v>
      </c>
      <c r="H126" s="11">
        <f t="array" ref="H126">INDEX('[23]SENSUS MEI'!$J$9:$J$453,MATCH(1,('[23]SENSUS MEI'!$D$9:$D$453=$D126)*('[23]SENSUS MEI'!$D$9:$D$453=$D126),0))</f>
        <v>46153</v>
      </c>
      <c r="I126" s="143">
        <f t="array" ref="I126">INDEX('[23]SENSUS MEI'!$K$9:$K$453,MATCH(1,('[23]SENSUS MEI'!$D$9:$D$453=$D126)*('[23]SENSUS MEI'!$D$9:$D$453=$D126),0))</f>
        <v>170</v>
      </c>
      <c r="J126" s="9">
        <f t="array" ref="J126">IFERROR(I126/G126*100,0)</f>
        <v>10.41028781383956</v>
      </c>
      <c r="K126" s="143">
        <f t="array" ref="K126">INDEX('[23]SENSUS MEI'!$M$9:$M$453,MATCH(1,('[23]SENSUS MEI'!$D$9:$D$453=$D126)*('[23]SENSUS MEI'!$D$9:$D$453=$D126),0))+INDEX('[23]SENSUS MEI'!$O$9:$O$453,MATCH(1,('[23]SENSUS MEI'!$D$9:$D$453=$D126)*('[23]SENSUS MEI'!$D$9:$D$453=$D126),0))</f>
        <v>76</v>
      </c>
      <c r="L126" s="9">
        <f t="shared" si="12"/>
        <v>44.705882352941181</v>
      </c>
      <c r="M126" s="8" t="str">
        <f t="shared" si="7"/>
        <v>Perlu Pengendalian</v>
      </c>
      <c r="P126" s="194">
        <f t="shared" si="8"/>
        <v>7.3484999999999996</v>
      </c>
      <c r="Q126" s="194">
        <f t="array" ref="Q126">$P126*0.8</f>
        <v>5.8788</v>
      </c>
      <c r="R126" s="194">
        <f t="shared" si="9"/>
        <v>4.4090999999999996</v>
      </c>
      <c r="S126" s="194">
        <f t="shared" si="10"/>
        <v>2.9394</v>
      </c>
      <c r="T126" s="194">
        <f t="shared" si="11"/>
        <v>1.4697</v>
      </c>
    </row>
    <row r="127" spans="1:20" outlineLevel="1" x14ac:dyDescent="0.15">
      <c r="A127" s="8" t="s">
        <v>628</v>
      </c>
      <c r="B127" s="8" t="s">
        <v>14</v>
      </c>
      <c r="C127" s="8" t="s">
        <v>144</v>
      </c>
      <c r="D127" s="8" t="s">
        <v>716</v>
      </c>
      <c r="E127" s="9">
        <v>42.68</v>
      </c>
      <c r="F127" s="8" t="s">
        <v>16</v>
      </c>
      <c r="G127" s="143">
        <f t="array" ref="G127">INDEX('[23]SENSUS MEI'!$G$9:$G$453,MATCH(1,('[23]SENSUS MEI'!$D$9:$D$453=$D127)*('[23]SENSUS MEI'!$D$9:$D$453=$D127),0))</f>
        <v>5977</v>
      </c>
      <c r="H127" s="11">
        <f t="array" ref="H127">INDEX('[23]SENSUS MEI'!$J$9:$J$453,MATCH(1,('[23]SENSUS MEI'!$D$9:$D$453=$D127)*('[23]SENSUS MEI'!$D$9:$D$453=$D127),0))</f>
        <v>46154</v>
      </c>
      <c r="I127" s="143">
        <f t="array" ref="I127">INDEX('[23]SENSUS MEI'!$K$9:$K$453,MATCH(1,('[23]SENSUS MEI'!$D$9:$D$453=$D127)*('[23]SENSUS MEI'!$D$9:$D$453=$D127),0))</f>
        <v>512</v>
      </c>
      <c r="J127" s="9">
        <f t="array" ref="J127">IFERROR(I127/G127*100,0)</f>
        <v>8.5661703195583065</v>
      </c>
      <c r="K127" s="143">
        <f t="array" ref="K127">INDEX('[23]SENSUS MEI'!$M$9:$M$453,MATCH(1,('[23]SENSUS MEI'!$D$9:$D$453=$D127)*('[23]SENSUS MEI'!$D$9:$D$453=$D127),0))+INDEX('[23]SENSUS MEI'!$O$9:$O$453,MATCH(1,('[23]SENSUS MEI'!$D$9:$D$453=$D127)*('[23]SENSUS MEI'!$D$9:$D$453=$D127),0))</f>
        <v>120</v>
      </c>
      <c r="L127" s="9">
        <f t="shared" si="12"/>
        <v>23.4375</v>
      </c>
      <c r="M127" s="8" t="str">
        <f t="shared" si="7"/>
        <v>Perlu Pengendalian</v>
      </c>
      <c r="P127" s="194">
        <f t="shared" si="8"/>
        <v>26.8965</v>
      </c>
      <c r="Q127" s="194">
        <f t="array" ref="Q127">$P127*0.8</f>
        <v>21.517200000000003</v>
      </c>
      <c r="R127" s="194">
        <f t="shared" si="9"/>
        <v>16.137899999999998</v>
      </c>
      <c r="S127" s="194">
        <f t="shared" si="10"/>
        <v>10.758600000000001</v>
      </c>
      <c r="T127" s="194">
        <f t="shared" si="11"/>
        <v>5.3793000000000006</v>
      </c>
    </row>
    <row r="128" spans="1:20" outlineLevel="1" x14ac:dyDescent="0.15">
      <c r="A128" s="8" t="s">
        <v>628</v>
      </c>
      <c r="B128" s="8" t="s">
        <v>14</v>
      </c>
      <c r="C128" s="8" t="s">
        <v>144</v>
      </c>
      <c r="D128" s="8" t="s">
        <v>717</v>
      </c>
      <c r="E128" s="9">
        <v>54.6</v>
      </c>
      <c r="F128" s="8" t="s">
        <v>16</v>
      </c>
      <c r="G128" s="143">
        <f t="array" ref="G128">INDEX('[23]SENSUS MEI'!$G$9:$G$453,MATCH(1,('[23]SENSUS MEI'!$D$9:$D$453=$D128)*('[23]SENSUS MEI'!$D$9:$D$453=$D128),0))</f>
        <v>7829</v>
      </c>
      <c r="H128" s="11">
        <f t="array" ref="H128">INDEX('[23]SENSUS MEI'!$J$9:$J$453,MATCH(1,('[23]SENSUS MEI'!$D$9:$D$453=$D128)*('[23]SENSUS MEI'!$D$9:$D$453=$D128),0))</f>
        <v>46151</v>
      </c>
      <c r="I128" s="143">
        <f t="array" ref="I128">INDEX('[23]SENSUS MEI'!$K$9:$K$453,MATCH(1,('[23]SENSUS MEI'!$D$9:$D$453=$D128)*('[23]SENSUS MEI'!$D$9:$D$453=$D128),0))</f>
        <v>514</v>
      </c>
      <c r="J128" s="9">
        <f t="array" ref="J128">IFERROR(I128/G128*100,0)</f>
        <v>6.5653340145612473</v>
      </c>
      <c r="K128" s="143">
        <f t="array" ref="K128">INDEX('[23]SENSUS MEI'!$M$9:$M$453,MATCH(1,('[23]SENSUS MEI'!$D$9:$D$453=$D128)*('[23]SENSUS MEI'!$D$9:$D$453=$D128),0))+INDEX('[23]SENSUS MEI'!$O$9:$O$453,MATCH(1,('[23]SENSUS MEI'!$D$9:$D$453=$D128)*('[23]SENSUS MEI'!$D$9:$D$453=$D128),0))</f>
        <v>213</v>
      </c>
      <c r="L128" s="9">
        <f t="shared" si="12"/>
        <v>41.439688715953309</v>
      </c>
      <c r="M128" s="8" t="str">
        <f t="shared" si="7"/>
        <v>Perlu Pengendalian</v>
      </c>
      <c r="P128" s="194">
        <f t="shared" si="8"/>
        <v>35.230499999999999</v>
      </c>
      <c r="Q128" s="194">
        <f t="array" ref="Q128">$P128*0.8</f>
        <v>28.1844</v>
      </c>
      <c r="R128" s="194">
        <f t="shared" si="9"/>
        <v>21.138299999999997</v>
      </c>
      <c r="S128" s="194">
        <f t="shared" si="10"/>
        <v>14.0922</v>
      </c>
      <c r="T128" s="194">
        <f t="shared" si="11"/>
        <v>7.0461</v>
      </c>
    </row>
    <row r="129" spans="1:20" outlineLevel="1" x14ac:dyDescent="0.15">
      <c r="A129" s="8" t="s">
        <v>628</v>
      </c>
      <c r="B129" s="8" t="s">
        <v>14</v>
      </c>
      <c r="C129" s="8" t="s">
        <v>144</v>
      </c>
      <c r="D129" s="8" t="s">
        <v>718</v>
      </c>
      <c r="E129" s="9">
        <v>46.37</v>
      </c>
      <c r="F129" s="8" t="s">
        <v>16</v>
      </c>
      <c r="G129" s="143">
        <f t="array" ref="G129">INDEX('[23]SENSUS MEI'!$G$9:$G$453,MATCH(1,('[23]SENSUS MEI'!$D$9:$D$453=$D129)*('[23]SENSUS MEI'!$D$9:$D$453=$D129),0))</f>
        <v>6691</v>
      </c>
      <c r="H129" s="11">
        <f t="array" ref="H129">INDEX('[23]SENSUS MEI'!$J$9:$J$453,MATCH(1,('[23]SENSUS MEI'!$D$9:$D$453=$D129)*('[23]SENSUS MEI'!$D$9:$D$453=$D129),0))</f>
        <v>46153</v>
      </c>
      <c r="I129" s="143">
        <f t="array" ref="I129">INDEX('[23]SENSUS MEI'!$K$9:$K$453,MATCH(1,('[23]SENSUS MEI'!$D$9:$D$453=$D129)*('[23]SENSUS MEI'!$D$9:$D$453=$D129),0))</f>
        <v>708</v>
      </c>
      <c r="J129" s="9">
        <f t="array" ref="J129">IFERROR(I129/G129*100,0)</f>
        <v>10.581377970408012</v>
      </c>
      <c r="K129" s="143">
        <f t="array" ref="K129">INDEX('[23]SENSUS MEI'!$M$9:$M$453,MATCH(1,('[23]SENSUS MEI'!$D$9:$D$453=$D129)*('[23]SENSUS MEI'!$D$9:$D$453=$D129),0))+INDEX('[23]SENSUS MEI'!$O$9:$O$453,MATCH(1,('[23]SENSUS MEI'!$D$9:$D$453=$D129)*('[23]SENSUS MEI'!$D$9:$D$453=$D129),0))</f>
        <v>126</v>
      </c>
      <c r="L129" s="9">
        <f t="shared" si="12"/>
        <v>17.796610169491526</v>
      </c>
      <c r="M129" s="8" t="str">
        <f t="shared" si="7"/>
        <v>Perlu Pengendalian</v>
      </c>
      <c r="P129" s="194">
        <f t="shared" si="8"/>
        <v>30.109500000000001</v>
      </c>
      <c r="Q129" s="194">
        <f t="array" ref="Q129">$P129*0.8</f>
        <v>24.087600000000002</v>
      </c>
      <c r="R129" s="194">
        <f t="shared" si="9"/>
        <v>18.0657</v>
      </c>
      <c r="S129" s="194">
        <f t="shared" si="10"/>
        <v>12.043800000000001</v>
      </c>
      <c r="T129" s="194">
        <f t="shared" si="11"/>
        <v>6.0219000000000005</v>
      </c>
    </row>
    <row r="130" spans="1:20" outlineLevel="1" x14ac:dyDescent="0.15">
      <c r="A130" s="8" t="s">
        <v>628</v>
      </c>
      <c r="B130" s="8" t="s">
        <v>14</v>
      </c>
      <c r="C130" s="8" t="s">
        <v>144</v>
      </c>
      <c r="D130" s="8" t="s">
        <v>719</v>
      </c>
      <c r="E130" s="9">
        <v>36.479999999999997</v>
      </c>
      <c r="F130" s="8" t="s">
        <v>16</v>
      </c>
      <c r="G130" s="143">
        <f t="array" ref="G130">INDEX('[23]SENSUS MEI'!$G$9:$G$453,MATCH(1,('[23]SENSUS MEI'!$D$9:$D$453=$D130)*('[23]SENSUS MEI'!$D$9:$D$453=$D130),0))</f>
        <v>5554</v>
      </c>
      <c r="H130" s="11">
        <f t="array" ref="H130">INDEX('[23]SENSUS MEI'!$J$9:$J$453,MATCH(1,('[23]SENSUS MEI'!$D$9:$D$453=$D130)*('[23]SENSUS MEI'!$D$9:$D$453=$D130),0))</f>
        <v>46154</v>
      </c>
      <c r="I130" s="143">
        <f t="array" ref="I130">INDEX('[23]SENSUS MEI'!$K$9:$K$453,MATCH(1,('[23]SENSUS MEI'!$D$9:$D$453=$D130)*('[23]SENSUS MEI'!$D$9:$D$453=$D130),0))</f>
        <v>565</v>
      </c>
      <c r="J130" s="9">
        <f t="array" ref="J130">IFERROR(I130/G130*100,0)</f>
        <v>10.172848397551313</v>
      </c>
      <c r="K130" s="143">
        <f t="array" ref="K130">INDEX('[23]SENSUS MEI'!$M$9:$M$453,MATCH(1,('[23]SENSUS MEI'!$D$9:$D$453=$D130)*('[23]SENSUS MEI'!$D$9:$D$453=$D130),0))+INDEX('[23]SENSUS MEI'!$O$9:$O$453,MATCH(1,('[23]SENSUS MEI'!$D$9:$D$453=$D130)*('[23]SENSUS MEI'!$D$9:$D$453=$D130),0))</f>
        <v>41</v>
      </c>
      <c r="L130" s="9">
        <f t="shared" si="12"/>
        <v>7.2566371681415927</v>
      </c>
      <c r="M130" s="8" t="str">
        <f t="shared" si="7"/>
        <v>Perlu Pengendalian</v>
      </c>
      <c r="P130" s="194">
        <f t="shared" si="8"/>
        <v>24.992999999999999</v>
      </c>
      <c r="Q130" s="194">
        <f t="array" ref="Q130">$P130*0.8</f>
        <v>19.994399999999999</v>
      </c>
      <c r="R130" s="194">
        <f t="shared" si="9"/>
        <v>14.995799999999999</v>
      </c>
      <c r="S130" s="194">
        <f t="shared" si="10"/>
        <v>9.9971999999999994</v>
      </c>
      <c r="T130" s="194">
        <f t="shared" si="11"/>
        <v>4.9985999999999997</v>
      </c>
    </row>
    <row r="131" spans="1:20" outlineLevel="1" x14ac:dyDescent="0.15">
      <c r="A131" s="8" t="s">
        <v>628</v>
      </c>
      <c r="B131" s="8" t="s">
        <v>14</v>
      </c>
      <c r="C131" s="8" t="s">
        <v>144</v>
      </c>
      <c r="D131" s="8" t="s">
        <v>720</v>
      </c>
      <c r="E131" s="9">
        <v>44.31</v>
      </c>
      <c r="F131" s="8" t="s">
        <v>16</v>
      </c>
      <c r="G131" s="143">
        <f t="array" ref="G131">INDEX('[23]SENSUS MEI'!$G$9:$G$453,MATCH(1,('[23]SENSUS MEI'!$D$9:$D$453=$D131)*('[23]SENSUS MEI'!$D$9:$D$453=$D131),0))</f>
        <v>5990</v>
      </c>
      <c r="H131" s="11">
        <f t="array" ref="H131">INDEX('[23]SENSUS MEI'!$J$9:$J$453,MATCH(1,('[23]SENSUS MEI'!$D$9:$D$453=$D131)*('[23]SENSUS MEI'!$D$9:$D$453=$D131),0))</f>
        <v>46149</v>
      </c>
      <c r="I131" s="143">
        <f t="array" ref="I131">INDEX('[23]SENSUS MEI'!$K$9:$K$453,MATCH(1,('[23]SENSUS MEI'!$D$9:$D$453=$D131)*('[23]SENSUS MEI'!$D$9:$D$453=$D131),0))</f>
        <v>921</v>
      </c>
      <c r="J131" s="9">
        <f t="array" ref="J131">IFERROR(I131/G131*100,0)</f>
        <v>15.375626043405678</v>
      </c>
      <c r="K131" s="143">
        <f t="array" ref="K131">INDEX('[23]SENSUS MEI'!$M$9:$M$453,MATCH(1,('[23]SENSUS MEI'!$D$9:$D$453=$D131)*('[23]SENSUS MEI'!$D$9:$D$453=$D131),0))+INDEX('[23]SENSUS MEI'!$O$9:$O$453,MATCH(1,('[23]SENSUS MEI'!$D$9:$D$453=$D131)*('[23]SENSUS MEI'!$D$9:$D$453=$D131),0))</f>
        <v>244</v>
      </c>
      <c r="L131" s="9">
        <f t="shared" si="12"/>
        <v>26.492942453854507</v>
      </c>
      <c r="M131" s="8" t="str">
        <f t="shared" si="7"/>
        <v>Perlu Pengendalian</v>
      </c>
      <c r="P131" s="194">
        <f t="shared" si="8"/>
        <v>26.954999999999998</v>
      </c>
      <c r="Q131" s="194">
        <f t="array" ref="Q131">$P131*0.8</f>
        <v>21.564</v>
      </c>
      <c r="R131" s="194">
        <f t="shared" si="9"/>
        <v>16.172999999999998</v>
      </c>
      <c r="S131" s="194">
        <f t="shared" si="10"/>
        <v>10.782</v>
      </c>
      <c r="T131" s="194">
        <f t="shared" si="11"/>
        <v>5.391</v>
      </c>
    </row>
    <row r="132" spans="1:20" outlineLevel="1" x14ac:dyDescent="0.15">
      <c r="A132" s="8" t="s">
        <v>628</v>
      </c>
      <c r="B132" s="8" t="s">
        <v>14</v>
      </c>
      <c r="C132" s="8" t="s">
        <v>144</v>
      </c>
      <c r="D132" s="8" t="s">
        <v>721</v>
      </c>
      <c r="E132" s="9">
        <v>46.52</v>
      </c>
      <c r="F132" s="8" t="s">
        <v>16</v>
      </c>
      <c r="G132" s="143">
        <f t="array" ref="G132">INDEX('[23]SENSUS MEI'!$G$9:$G$453,MATCH(1,('[23]SENSUS MEI'!$D$9:$D$453=$D132)*('[23]SENSUS MEI'!$D$9:$D$453=$D132),0))</f>
        <v>6497</v>
      </c>
      <c r="H132" s="11">
        <f t="array" ref="H132">INDEX('[23]SENSUS MEI'!$J$9:$J$453,MATCH(1,('[23]SENSUS MEI'!$D$9:$D$453=$D132)*('[23]SENSUS MEI'!$D$9:$D$453=$D132),0))</f>
        <v>46149</v>
      </c>
      <c r="I132" s="143">
        <f t="array" ref="I132">INDEX('[23]SENSUS MEI'!$K$9:$K$453,MATCH(1,('[23]SENSUS MEI'!$D$9:$D$453=$D132)*('[23]SENSUS MEI'!$D$9:$D$453=$D132),0))</f>
        <v>644</v>
      </c>
      <c r="J132" s="9">
        <f t="array" ref="J132">IFERROR(I132/G132*100,0)</f>
        <v>9.9122672002462675</v>
      </c>
      <c r="K132" s="143">
        <f t="array" ref="K132">INDEX('[23]SENSUS MEI'!$M$9:$M$453,MATCH(1,('[23]SENSUS MEI'!$D$9:$D$453=$D132)*('[23]SENSUS MEI'!$D$9:$D$453=$D132),0))+INDEX('[23]SENSUS MEI'!$O$9:$O$453,MATCH(1,('[23]SENSUS MEI'!$D$9:$D$453=$D132)*('[23]SENSUS MEI'!$D$9:$D$453=$D132),0))</f>
        <v>236</v>
      </c>
      <c r="L132" s="9">
        <f t="shared" si="12"/>
        <v>36.645962732919259</v>
      </c>
      <c r="M132" s="8" t="str">
        <f t="shared" si="7"/>
        <v>Perlu Pengendalian</v>
      </c>
      <c r="P132" s="194">
        <f t="shared" si="8"/>
        <v>29.236499999999999</v>
      </c>
      <c r="Q132" s="194">
        <f t="array" ref="Q132">$P132*0.8</f>
        <v>23.389200000000002</v>
      </c>
      <c r="R132" s="194">
        <f t="shared" si="9"/>
        <v>17.541899999999998</v>
      </c>
      <c r="S132" s="194">
        <f t="shared" si="10"/>
        <v>11.694600000000001</v>
      </c>
      <c r="T132" s="194">
        <f t="shared" si="11"/>
        <v>5.8473000000000006</v>
      </c>
    </row>
    <row r="133" spans="1:20" outlineLevel="1" x14ac:dyDescent="0.15">
      <c r="A133" s="8" t="s">
        <v>628</v>
      </c>
      <c r="B133" s="8" t="s">
        <v>14</v>
      </c>
      <c r="C133" s="8" t="s">
        <v>144</v>
      </c>
      <c r="D133" s="8" t="s">
        <v>722</v>
      </c>
      <c r="E133" s="9">
        <v>47.13</v>
      </c>
      <c r="F133" s="8" t="s">
        <v>16</v>
      </c>
      <c r="G133" s="143">
        <f t="array" ref="G133">INDEX('[23]SENSUS MEI'!$G$9:$G$453,MATCH(1,('[23]SENSUS MEI'!$D$9:$D$453=$D133)*('[23]SENSUS MEI'!$D$9:$D$453=$D133),0))</f>
        <v>7015</v>
      </c>
      <c r="H133" s="11">
        <f t="array" ref="H133">INDEX('[23]SENSUS MEI'!$J$9:$J$453,MATCH(1,('[23]SENSUS MEI'!$D$9:$D$453=$D133)*('[23]SENSUS MEI'!$D$9:$D$453=$D133),0))</f>
        <v>46149</v>
      </c>
      <c r="I133" s="143">
        <f t="array" ref="I133">INDEX('[23]SENSUS MEI'!$K$9:$K$453,MATCH(1,('[23]SENSUS MEI'!$D$9:$D$453=$D133)*('[23]SENSUS MEI'!$D$9:$D$453=$D133),0))</f>
        <v>671</v>
      </c>
      <c r="J133" s="9">
        <f t="array" ref="J133">IFERROR(I133/G133*100,0)</f>
        <v>9.5652173913043477</v>
      </c>
      <c r="K133" s="143">
        <f t="array" ref="K133">INDEX('[23]SENSUS MEI'!$M$9:$M$453,MATCH(1,('[23]SENSUS MEI'!$D$9:$D$453=$D133)*('[23]SENSUS MEI'!$D$9:$D$453=$D133),0))+INDEX('[23]SENSUS MEI'!$O$9:$O$453,MATCH(1,('[23]SENSUS MEI'!$D$9:$D$453=$D133)*('[23]SENSUS MEI'!$D$9:$D$453=$D133),0))</f>
        <v>146</v>
      </c>
      <c r="L133" s="9">
        <f t="shared" si="12"/>
        <v>21.758569299552907</v>
      </c>
      <c r="M133" s="8" t="str">
        <f t="shared" si="7"/>
        <v>Perlu Pengendalian</v>
      </c>
      <c r="P133" s="194">
        <f t="shared" si="8"/>
        <v>31.567499999999999</v>
      </c>
      <c r="Q133" s="194">
        <f t="array" ref="Q133">$P133*0.8</f>
        <v>25.254000000000001</v>
      </c>
      <c r="R133" s="194">
        <f t="shared" si="9"/>
        <v>18.9405</v>
      </c>
      <c r="S133" s="194">
        <f t="shared" si="10"/>
        <v>12.627000000000001</v>
      </c>
      <c r="T133" s="194">
        <f t="shared" si="11"/>
        <v>6.3135000000000003</v>
      </c>
    </row>
    <row r="134" spans="1:20" outlineLevel="1" x14ac:dyDescent="0.15">
      <c r="A134" s="8" t="s">
        <v>628</v>
      </c>
      <c r="B134" s="8" t="s">
        <v>14</v>
      </c>
      <c r="C134" s="8" t="s">
        <v>144</v>
      </c>
      <c r="D134" s="8" t="s">
        <v>723</v>
      </c>
      <c r="E134" s="9">
        <v>38.65</v>
      </c>
      <c r="F134" s="8" t="s">
        <v>469</v>
      </c>
      <c r="G134" s="143">
        <f t="array" ref="G134">INDEX('[23]SENSUS MEI'!$G$9:$G$453,MATCH(1,('[23]SENSUS MEI'!$D$9:$D$453=$D134)*('[23]SENSUS MEI'!$D$9:$D$453=$D134),0))</f>
        <v>5610</v>
      </c>
      <c r="H134" s="11">
        <f t="array" ref="H134">INDEX('[23]SENSUS MEI'!$J$9:$J$453,MATCH(1,('[23]SENSUS MEI'!$D$9:$D$453=$D134)*('[23]SENSUS MEI'!$D$9:$D$453=$D134),0))</f>
        <v>46150</v>
      </c>
      <c r="I134" s="143">
        <f t="array" ref="I134">INDEX('[23]SENSUS MEI'!$K$9:$K$453,MATCH(1,('[23]SENSUS MEI'!$D$9:$D$453=$D134)*('[23]SENSUS MEI'!$D$9:$D$453=$D134),0))</f>
        <v>358</v>
      </c>
      <c r="J134" s="9">
        <f t="array" ref="J134">IFERROR(I134/G134*100,0)</f>
        <v>6.3814616755793221</v>
      </c>
      <c r="K134" s="143">
        <f t="array" ref="K134">INDEX('[23]SENSUS MEI'!$M$9:$M$453,MATCH(1,('[23]SENSUS MEI'!$D$9:$D$453=$D134)*('[23]SENSUS MEI'!$D$9:$D$453=$D134),0))+INDEX('[23]SENSUS MEI'!$O$9:$O$453,MATCH(1,('[23]SENSUS MEI'!$D$9:$D$453=$D134)*('[23]SENSUS MEI'!$D$9:$D$453=$D134),0))</f>
        <v>254</v>
      </c>
      <c r="L134" s="9">
        <f t="shared" si="12"/>
        <v>70.949720670391059</v>
      </c>
      <c r="M134" s="8" t="str">
        <f t="shared" si="7"/>
        <v>Perlu Pengendalian</v>
      </c>
      <c r="P134" s="194">
        <f t="shared" si="8"/>
        <v>25.245000000000001</v>
      </c>
      <c r="Q134" s="194">
        <f t="array" ref="Q134">$P134*0.8</f>
        <v>20.196000000000002</v>
      </c>
      <c r="R134" s="194">
        <f t="shared" si="9"/>
        <v>15.147</v>
      </c>
      <c r="S134" s="194">
        <f t="shared" si="10"/>
        <v>10.098000000000001</v>
      </c>
      <c r="T134" s="194">
        <f t="shared" si="11"/>
        <v>5.0490000000000004</v>
      </c>
    </row>
    <row r="135" spans="1:20" outlineLevel="1" x14ac:dyDescent="0.15">
      <c r="A135" s="8" t="s">
        <v>628</v>
      </c>
      <c r="B135" s="8" t="s">
        <v>14</v>
      </c>
      <c r="C135" s="8" t="s">
        <v>144</v>
      </c>
      <c r="D135" s="8" t="s">
        <v>377</v>
      </c>
      <c r="E135" s="9">
        <v>26.66</v>
      </c>
      <c r="F135" s="8" t="s">
        <v>16</v>
      </c>
      <c r="G135" s="143">
        <f t="array" ref="G135">INDEX('[23]SENSUS MEI'!$G$9:$G$453,MATCH(1,('[23]SENSUS MEI'!$D$9:$D$453=$D135)*('[23]SENSUS MEI'!$D$9:$D$453=$D135),0))</f>
        <v>3341</v>
      </c>
      <c r="H135" s="11">
        <f t="array" ref="H135">INDEX('[23]SENSUS MEI'!$J$9:$J$453,MATCH(1,('[23]SENSUS MEI'!$D$9:$D$453=$D135)*('[23]SENSUS MEI'!$D$9:$D$453=$D135),0))</f>
        <v>46154</v>
      </c>
      <c r="I135" s="143">
        <f t="array" ref="I135">INDEX('[23]SENSUS MEI'!$K$9:$K$453,MATCH(1,('[23]SENSUS MEI'!$D$9:$D$453=$D135)*('[23]SENSUS MEI'!$D$9:$D$453=$D135),0))</f>
        <v>261</v>
      </c>
      <c r="J135" s="9">
        <f t="array" ref="J135">IFERROR(I135/G135*100,0)</f>
        <v>7.8120323256510025</v>
      </c>
      <c r="K135" s="143">
        <f t="array" ref="K135">INDEX('[23]SENSUS MEI'!$M$9:$M$453,MATCH(1,('[23]SENSUS MEI'!$D$9:$D$453=$D135)*('[23]SENSUS MEI'!$D$9:$D$453=$D135),0))+INDEX('[23]SENSUS MEI'!$O$9:$O$453,MATCH(1,('[23]SENSUS MEI'!$D$9:$D$453=$D135)*('[23]SENSUS MEI'!$D$9:$D$453=$D135),0))</f>
        <v>92</v>
      </c>
      <c r="L135" s="9">
        <f t="shared" si="12"/>
        <v>35.249042145593869</v>
      </c>
      <c r="M135" s="8" t="str">
        <f t="shared" ref="M135:M198" si="13">IF(L135&gt;2,"Perlu Pengendalian",IF(L135&gt;0,"Tidak Perlu Pengendalian","Belum Sensus"))</f>
        <v>Perlu Pengendalian</v>
      </c>
      <c r="P135" s="194">
        <f t="shared" ref="P135:P198" si="14">G135*4.5/1000</f>
        <v>15.0345</v>
      </c>
      <c r="Q135" s="194">
        <f t="array" ref="Q135">$P135*0.8</f>
        <v>12.0276</v>
      </c>
      <c r="R135" s="194">
        <f t="shared" ref="R135:R198" si="15">$P135*0.6</f>
        <v>9.0206999999999997</v>
      </c>
      <c r="S135" s="194">
        <f t="shared" ref="S135:S198" si="16">$P135*0.4</f>
        <v>6.0137999999999998</v>
      </c>
      <c r="T135" s="194">
        <f t="shared" ref="T135:T198" si="17">$P135*0.2</f>
        <v>3.0068999999999999</v>
      </c>
    </row>
    <row r="136" spans="1:20" outlineLevel="1" x14ac:dyDescent="0.15">
      <c r="A136" s="8" t="s">
        <v>628</v>
      </c>
      <c r="B136" s="8" t="s">
        <v>14</v>
      </c>
      <c r="C136" s="8" t="s">
        <v>144</v>
      </c>
      <c r="D136" s="8" t="s">
        <v>378</v>
      </c>
      <c r="E136" s="9">
        <v>23.04</v>
      </c>
      <c r="F136" s="8" t="s">
        <v>16</v>
      </c>
      <c r="G136" s="143">
        <f t="array" ref="G136">INDEX('[23]SENSUS MEI'!$G$9:$G$453,MATCH(1,('[23]SENSUS MEI'!$D$9:$D$453=$D136)*('[23]SENSUS MEI'!$D$9:$D$453=$D136),0))</f>
        <v>3215</v>
      </c>
      <c r="H136" s="11">
        <f t="array" ref="H136">INDEX('[23]SENSUS MEI'!$J$9:$J$453,MATCH(1,('[23]SENSUS MEI'!$D$9:$D$453=$D136)*('[23]SENSUS MEI'!$D$9:$D$453=$D136),0))</f>
        <v>46154</v>
      </c>
      <c r="I136" s="143">
        <f t="array" ref="I136">INDEX('[23]SENSUS MEI'!$K$9:$K$453,MATCH(1,('[23]SENSUS MEI'!$D$9:$D$453=$D136)*('[23]SENSUS MEI'!$D$9:$D$453=$D136),0))</f>
        <v>287</v>
      </c>
      <c r="J136" s="9">
        <f t="array" ref="J136">IFERROR(I136/G136*100,0)</f>
        <v>8.9269051321928465</v>
      </c>
      <c r="K136" s="143">
        <f t="array" ref="K136">INDEX('[23]SENSUS MEI'!$M$9:$M$453,MATCH(1,('[23]SENSUS MEI'!$D$9:$D$453=$D136)*('[23]SENSUS MEI'!$D$9:$D$453=$D136),0))+INDEX('[23]SENSUS MEI'!$O$9:$O$453,MATCH(1,('[23]SENSUS MEI'!$D$9:$D$453=$D136)*('[23]SENSUS MEI'!$D$9:$D$453=$D136),0))</f>
        <v>63</v>
      </c>
      <c r="L136" s="9">
        <f t="shared" si="12"/>
        <v>21.951219512195124</v>
      </c>
      <c r="M136" s="8" t="str">
        <f t="shared" si="13"/>
        <v>Perlu Pengendalian</v>
      </c>
      <c r="P136" s="194">
        <f t="shared" si="14"/>
        <v>14.467499999999999</v>
      </c>
      <c r="Q136" s="194">
        <f t="array" ref="Q136">$P136*0.8</f>
        <v>11.574</v>
      </c>
      <c r="R136" s="194">
        <f t="shared" si="15"/>
        <v>8.6804999999999986</v>
      </c>
      <c r="S136" s="194">
        <f t="shared" si="16"/>
        <v>5.7869999999999999</v>
      </c>
      <c r="T136" s="194">
        <f t="shared" si="17"/>
        <v>2.8935</v>
      </c>
    </row>
    <row r="137" spans="1:20" outlineLevel="1" x14ac:dyDescent="0.15">
      <c r="A137" s="8" t="s">
        <v>628</v>
      </c>
      <c r="B137" s="8" t="s">
        <v>14</v>
      </c>
      <c r="C137" s="8" t="s">
        <v>144</v>
      </c>
      <c r="D137" s="8" t="s">
        <v>724</v>
      </c>
      <c r="E137" s="9">
        <v>12.76</v>
      </c>
      <c r="F137" s="8" t="s">
        <v>16</v>
      </c>
      <c r="G137" s="143">
        <f t="array" ref="G137">INDEX('[23]SENSUS MEI'!$G$9:$G$453,MATCH(1,('[23]SENSUS MEI'!$D$9:$D$453=$D137)*('[23]SENSUS MEI'!$D$9:$D$453=$D137),0))</f>
        <v>993</v>
      </c>
      <c r="H137" s="11">
        <f t="array" ref="H137">INDEX('[23]SENSUS MEI'!$J$9:$J$453,MATCH(1,('[23]SENSUS MEI'!$D$9:$D$453=$D137)*('[23]SENSUS MEI'!$D$9:$D$453=$D137),0))</f>
        <v>46154</v>
      </c>
      <c r="I137" s="143">
        <f t="array" ref="I137">INDEX('[23]SENSUS MEI'!$K$9:$K$453,MATCH(1,('[23]SENSUS MEI'!$D$9:$D$453=$D137)*('[23]SENSUS MEI'!$D$9:$D$453=$D137),0))</f>
        <v>144</v>
      </c>
      <c r="J137" s="9">
        <f t="array" ref="J137">IFERROR(I137/G137*100,0)</f>
        <v>14.501510574018129</v>
      </c>
      <c r="K137" s="143">
        <f t="array" ref="K137">INDEX('[23]SENSUS MEI'!$M$9:$M$453,MATCH(1,('[23]SENSUS MEI'!$D$9:$D$453=$D137)*('[23]SENSUS MEI'!$D$9:$D$453=$D137),0))+INDEX('[23]SENSUS MEI'!$O$9:$O$453,MATCH(1,('[23]SENSUS MEI'!$D$9:$D$453=$D137)*('[23]SENSUS MEI'!$D$9:$D$453=$D137),0))</f>
        <v>56</v>
      </c>
      <c r="L137" s="9">
        <f t="shared" si="12"/>
        <v>38.888888888888893</v>
      </c>
      <c r="M137" s="8" t="str">
        <f t="shared" si="13"/>
        <v>Perlu Pengendalian</v>
      </c>
      <c r="P137" s="194">
        <f t="shared" si="14"/>
        <v>4.4684999999999997</v>
      </c>
      <c r="Q137" s="194">
        <f t="array" ref="Q137">$P137*0.8</f>
        <v>3.5747999999999998</v>
      </c>
      <c r="R137" s="194">
        <f t="shared" si="15"/>
        <v>2.6810999999999998</v>
      </c>
      <c r="S137" s="194">
        <f t="shared" si="16"/>
        <v>1.7873999999999999</v>
      </c>
      <c r="T137" s="194">
        <f t="shared" si="17"/>
        <v>0.89369999999999994</v>
      </c>
    </row>
    <row r="138" spans="1:20" outlineLevel="1" x14ac:dyDescent="0.15">
      <c r="A138" s="8" t="s">
        <v>628</v>
      </c>
      <c r="B138" s="8" t="s">
        <v>14</v>
      </c>
      <c r="C138" s="8" t="s">
        <v>144</v>
      </c>
      <c r="D138" s="8" t="s">
        <v>725</v>
      </c>
      <c r="E138" s="9">
        <v>29.27</v>
      </c>
      <c r="F138" s="8" t="s">
        <v>16</v>
      </c>
      <c r="G138" s="143">
        <f t="array" ref="G138">INDEX('[23]SENSUS MEI'!$G$9:$G$453,MATCH(1,('[23]SENSUS MEI'!$D$9:$D$453=$D138)*('[23]SENSUS MEI'!$D$9:$D$453=$D138),0))</f>
        <v>4015</v>
      </c>
      <c r="H138" s="11">
        <f t="array" ref="H138">INDEX('[23]SENSUS MEI'!$J$9:$J$453,MATCH(1,('[23]SENSUS MEI'!$D$9:$D$453=$D138)*('[23]SENSUS MEI'!$D$9:$D$453=$D138),0))</f>
        <v>46151</v>
      </c>
      <c r="I138" s="143">
        <f t="array" ref="I138">INDEX('[23]SENSUS MEI'!$K$9:$K$453,MATCH(1,('[23]SENSUS MEI'!$D$9:$D$453=$D138)*('[23]SENSUS MEI'!$D$9:$D$453=$D138),0))</f>
        <v>446</v>
      </c>
      <c r="J138" s="9">
        <f t="array" ref="J138">IFERROR(I138/G138*100,0)</f>
        <v>11.108343711083437</v>
      </c>
      <c r="K138" s="143">
        <f t="array" ref="K138">INDEX('[23]SENSUS MEI'!$M$9:$M$453,MATCH(1,('[23]SENSUS MEI'!$D$9:$D$453=$D138)*('[23]SENSUS MEI'!$D$9:$D$453=$D138),0))+INDEX('[23]SENSUS MEI'!$O$9:$O$453,MATCH(1,('[23]SENSUS MEI'!$D$9:$D$453=$D138)*('[23]SENSUS MEI'!$D$9:$D$453=$D138),0))</f>
        <v>238</v>
      </c>
      <c r="L138" s="9">
        <f t="shared" si="12"/>
        <v>53.36322869955157</v>
      </c>
      <c r="M138" s="8" t="str">
        <f t="shared" si="13"/>
        <v>Perlu Pengendalian</v>
      </c>
      <c r="P138" s="194">
        <f t="shared" si="14"/>
        <v>18.067499999999999</v>
      </c>
      <c r="Q138" s="194">
        <f t="array" ref="Q138">$P138*0.8</f>
        <v>14.454000000000001</v>
      </c>
      <c r="R138" s="194">
        <f t="shared" si="15"/>
        <v>10.840499999999999</v>
      </c>
      <c r="S138" s="194">
        <f t="shared" si="16"/>
        <v>7.2270000000000003</v>
      </c>
      <c r="T138" s="194">
        <f t="shared" si="17"/>
        <v>3.6135000000000002</v>
      </c>
    </row>
    <row r="139" spans="1:20" outlineLevel="1" x14ac:dyDescent="0.15">
      <c r="A139" s="8" t="s">
        <v>628</v>
      </c>
      <c r="B139" s="8" t="s">
        <v>14</v>
      </c>
      <c r="C139" s="8" t="s">
        <v>144</v>
      </c>
      <c r="D139" s="8" t="s">
        <v>726</v>
      </c>
      <c r="E139" s="9">
        <v>26.85</v>
      </c>
      <c r="F139" s="8" t="s">
        <v>16</v>
      </c>
      <c r="G139" s="143">
        <f t="array" ref="G139">INDEX('[23]SENSUS MEI'!$G$9:$G$453,MATCH(1,('[23]SENSUS MEI'!$D$9:$D$453=$D139)*('[23]SENSUS MEI'!$D$9:$D$453=$D139),0))</f>
        <v>4011</v>
      </c>
      <c r="H139" s="11">
        <f t="array" ref="H139">INDEX('[23]SENSUS MEI'!$J$9:$J$453,MATCH(1,('[23]SENSUS MEI'!$D$9:$D$453=$D139)*('[23]SENSUS MEI'!$D$9:$D$453=$D139),0))</f>
        <v>46151</v>
      </c>
      <c r="I139" s="143">
        <f t="array" ref="I139">INDEX('[23]SENSUS MEI'!$K$9:$K$453,MATCH(1,('[23]SENSUS MEI'!$D$9:$D$453=$D139)*('[23]SENSUS MEI'!$D$9:$D$453=$D139),0))</f>
        <v>405</v>
      </c>
      <c r="J139" s="9">
        <f t="array" ref="J139">IFERROR(I139/G139*100,0)</f>
        <v>10.097232610321615</v>
      </c>
      <c r="K139" s="143">
        <f t="array" ref="K139">INDEX('[23]SENSUS MEI'!$M$9:$M$453,MATCH(1,('[23]SENSUS MEI'!$D$9:$D$453=$D139)*('[23]SENSUS MEI'!$D$9:$D$453=$D139),0))+INDEX('[23]SENSUS MEI'!$O$9:$O$453,MATCH(1,('[23]SENSUS MEI'!$D$9:$D$453=$D139)*('[23]SENSUS MEI'!$D$9:$D$453=$D139),0))</f>
        <v>114</v>
      </c>
      <c r="L139" s="9">
        <f t="shared" si="12"/>
        <v>28.148148148148149</v>
      </c>
      <c r="M139" s="8" t="str">
        <f t="shared" si="13"/>
        <v>Perlu Pengendalian</v>
      </c>
      <c r="P139" s="194">
        <f t="shared" si="14"/>
        <v>18.049499999999998</v>
      </c>
      <c r="Q139" s="194">
        <f t="array" ref="Q139">$P139*0.8</f>
        <v>14.439599999999999</v>
      </c>
      <c r="R139" s="194">
        <f t="shared" si="15"/>
        <v>10.829699999999999</v>
      </c>
      <c r="S139" s="194">
        <f t="shared" si="16"/>
        <v>7.2197999999999993</v>
      </c>
      <c r="T139" s="194">
        <f t="shared" si="17"/>
        <v>3.6098999999999997</v>
      </c>
    </row>
    <row r="140" spans="1:20" outlineLevel="1" x14ac:dyDescent="0.15">
      <c r="A140" s="8" t="s">
        <v>628</v>
      </c>
      <c r="B140" s="8" t="s">
        <v>14</v>
      </c>
      <c r="C140" s="8" t="s">
        <v>144</v>
      </c>
      <c r="D140" s="8" t="s">
        <v>727</v>
      </c>
      <c r="E140" s="9">
        <v>23.94</v>
      </c>
      <c r="F140" s="8" t="s">
        <v>16</v>
      </c>
      <c r="G140" s="143">
        <f t="array" ref="G140">INDEX('[23]SENSUS MEI'!$G$9:$G$453,MATCH(1,('[23]SENSUS MEI'!$D$9:$D$453=$D140)*('[23]SENSUS MEI'!$D$9:$D$453=$D140),0))</f>
        <v>3632</v>
      </c>
      <c r="H140" s="11">
        <f t="array" ref="H140">INDEX('[23]SENSUS MEI'!$J$9:$J$453,MATCH(1,('[23]SENSUS MEI'!$D$9:$D$453=$D140)*('[23]SENSUS MEI'!$D$9:$D$453=$D140),0))</f>
        <v>46151</v>
      </c>
      <c r="I140" s="143">
        <f t="array" ref="I140">INDEX('[23]SENSUS MEI'!$K$9:$K$453,MATCH(1,('[23]SENSUS MEI'!$D$9:$D$453=$D140)*('[23]SENSUS MEI'!$D$9:$D$453=$D140),0))</f>
        <v>337</v>
      </c>
      <c r="J140" s="9">
        <f t="array" ref="J140">IFERROR(I140/G140*100,0)</f>
        <v>9.2786343612334807</v>
      </c>
      <c r="K140" s="143">
        <f t="array" ref="K140">INDEX('[23]SENSUS MEI'!$M$9:$M$453,MATCH(1,('[23]SENSUS MEI'!$D$9:$D$453=$D140)*('[23]SENSUS MEI'!$D$9:$D$453=$D140),0))+INDEX('[23]SENSUS MEI'!$O$9:$O$453,MATCH(1,('[23]SENSUS MEI'!$D$9:$D$453=$D140)*('[23]SENSUS MEI'!$D$9:$D$453=$D140),0))</f>
        <v>147</v>
      </c>
      <c r="L140" s="9">
        <f t="shared" si="12"/>
        <v>43.620178041543028</v>
      </c>
      <c r="M140" s="8" t="str">
        <f t="shared" si="13"/>
        <v>Perlu Pengendalian</v>
      </c>
      <c r="P140" s="194">
        <f t="shared" si="14"/>
        <v>16.344000000000001</v>
      </c>
      <c r="Q140" s="194">
        <f t="array" ref="Q140">$P140*0.8</f>
        <v>13.075200000000002</v>
      </c>
      <c r="R140" s="194">
        <f t="shared" si="15"/>
        <v>9.8064</v>
      </c>
      <c r="S140" s="194">
        <f t="shared" si="16"/>
        <v>6.5376000000000012</v>
      </c>
      <c r="T140" s="194">
        <f t="shared" si="17"/>
        <v>3.2688000000000006</v>
      </c>
    </row>
    <row r="141" spans="1:20" outlineLevel="1" x14ac:dyDescent="0.15">
      <c r="A141" s="8" t="s">
        <v>628</v>
      </c>
      <c r="B141" s="8" t="s">
        <v>14</v>
      </c>
      <c r="C141" s="8" t="s">
        <v>144</v>
      </c>
      <c r="D141" s="8" t="s">
        <v>728</v>
      </c>
      <c r="E141" s="9">
        <v>26.05</v>
      </c>
      <c r="F141" s="8" t="s">
        <v>16</v>
      </c>
      <c r="G141" s="143">
        <f t="array" ref="G141">INDEX('[23]SENSUS MEI'!$G$9:$G$453,MATCH(1,('[23]SENSUS MEI'!$D$9:$D$453=$D141)*('[23]SENSUS MEI'!$D$9:$D$453=$D141),0))</f>
        <v>4004</v>
      </c>
      <c r="H141" s="11">
        <f t="array" ref="H141">INDEX('[23]SENSUS MEI'!$J$9:$J$453,MATCH(1,('[23]SENSUS MEI'!$D$9:$D$453=$D141)*('[23]SENSUS MEI'!$D$9:$D$453=$D141),0))</f>
        <v>46151</v>
      </c>
      <c r="I141" s="143">
        <f t="array" ref="I141">INDEX('[23]SENSUS MEI'!$K$9:$K$453,MATCH(1,('[23]SENSUS MEI'!$D$9:$D$453=$D141)*('[23]SENSUS MEI'!$D$9:$D$453=$D141),0))</f>
        <v>343</v>
      </c>
      <c r="J141" s="9">
        <f t="array" ref="J141">IFERROR(I141/G141*100,0)</f>
        <v>8.5664335664335667</v>
      </c>
      <c r="K141" s="143">
        <f t="array" ref="K141">INDEX('[23]SENSUS MEI'!$M$9:$M$453,MATCH(1,('[23]SENSUS MEI'!$D$9:$D$453=$D141)*('[23]SENSUS MEI'!$D$9:$D$453=$D141),0))+INDEX('[23]SENSUS MEI'!$O$9:$O$453,MATCH(1,('[23]SENSUS MEI'!$D$9:$D$453=$D141)*('[23]SENSUS MEI'!$D$9:$D$453=$D141),0))</f>
        <v>156</v>
      </c>
      <c r="L141" s="9">
        <f t="shared" si="12"/>
        <v>45.481049562682216</v>
      </c>
      <c r="M141" s="8" t="str">
        <f t="shared" si="13"/>
        <v>Perlu Pengendalian</v>
      </c>
      <c r="P141" s="194">
        <f t="shared" si="14"/>
        <v>18.018000000000001</v>
      </c>
      <c r="Q141" s="194">
        <f t="array" ref="Q141">$P141*0.8</f>
        <v>14.414400000000001</v>
      </c>
      <c r="R141" s="194">
        <f t="shared" si="15"/>
        <v>10.8108</v>
      </c>
      <c r="S141" s="194">
        <f t="shared" si="16"/>
        <v>7.2072000000000003</v>
      </c>
      <c r="T141" s="194">
        <f t="shared" si="17"/>
        <v>3.6036000000000001</v>
      </c>
    </row>
    <row r="142" spans="1:20" outlineLevel="1" x14ac:dyDescent="0.15">
      <c r="A142" s="8" t="s">
        <v>628</v>
      </c>
      <c r="B142" s="8" t="s">
        <v>14</v>
      </c>
      <c r="C142" s="8" t="s">
        <v>144</v>
      </c>
      <c r="D142" s="8" t="s">
        <v>729</v>
      </c>
      <c r="E142" s="9">
        <v>46.89</v>
      </c>
      <c r="F142" s="8" t="s">
        <v>16</v>
      </c>
      <c r="G142" s="143">
        <f t="array" ref="G142">INDEX('[23]SENSUS MEI'!$G$9:$G$453,MATCH(1,('[23]SENSUS MEI'!$D$9:$D$453=$D142)*('[23]SENSUS MEI'!$D$9:$D$453=$D142),0))</f>
        <v>6648</v>
      </c>
      <c r="H142" s="11">
        <f t="array" ref="H142">INDEX('[23]SENSUS MEI'!$J$9:$J$453,MATCH(1,('[23]SENSUS MEI'!$D$9:$D$453=$D142)*('[23]SENSUS MEI'!$D$9:$D$453=$D142),0))</f>
        <v>46154</v>
      </c>
      <c r="I142" s="143">
        <f t="array" ref="I142">INDEX('[23]SENSUS MEI'!$K$9:$K$453,MATCH(1,('[23]SENSUS MEI'!$D$9:$D$453=$D142)*('[23]SENSUS MEI'!$D$9:$D$453=$D142),0))</f>
        <v>575</v>
      </c>
      <c r="J142" s="9">
        <f t="array" ref="J142">IFERROR(I142/G142*100,0)</f>
        <v>8.6492178098676291</v>
      </c>
      <c r="K142" s="143">
        <f t="array" ref="K142">INDEX('[23]SENSUS MEI'!$M$9:$M$453,MATCH(1,('[23]SENSUS MEI'!$D$9:$D$453=$D142)*('[23]SENSUS MEI'!$D$9:$D$453=$D142),0))+INDEX('[23]SENSUS MEI'!$O$9:$O$453,MATCH(1,('[23]SENSUS MEI'!$D$9:$D$453=$D142)*('[23]SENSUS MEI'!$D$9:$D$453=$D142),0))</f>
        <v>115</v>
      </c>
      <c r="L142" s="9">
        <f t="shared" si="12"/>
        <v>20</v>
      </c>
      <c r="M142" s="8" t="str">
        <f t="shared" si="13"/>
        <v>Perlu Pengendalian</v>
      </c>
      <c r="P142" s="194">
        <f t="shared" si="14"/>
        <v>29.916</v>
      </c>
      <c r="Q142" s="194">
        <f t="array" ref="Q142">$P142*0.8</f>
        <v>23.9328</v>
      </c>
      <c r="R142" s="194">
        <f t="shared" si="15"/>
        <v>17.9496</v>
      </c>
      <c r="S142" s="194">
        <f t="shared" si="16"/>
        <v>11.9664</v>
      </c>
      <c r="T142" s="194">
        <f t="shared" si="17"/>
        <v>5.9832000000000001</v>
      </c>
    </row>
    <row r="143" spans="1:20" outlineLevel="1" x14ac:dyDescent="0.15">
      <c r="A143" s="8" t="s">
        <v>628</v>
      </c>
      <c r="B143" s="8" t="s">
        <v>14</v>
      </c>
      <c r="C143" s="8" t="s">
        <v>144</v>
      </c>
      <c r="D143" s="8" t="s">
        <v>730</v>
      </c>
      <c r="E143" s="9">
        <v>18.82</v>
      </c>
      <c r="F143" s="8" t="s">
        <v>16</v>
      </c>
      <c r="G143" s="143">
        <f t="array" ref="G143">INDEX('[23]SENSUS MEI'!$G$9:$G$453,MATCH(1,('[23]SENSUS MEI'!$D$9:$D$453=$D143)*('[23]SENSUS MEI'!$D$9:$D$453=$D143),0))</f>
        <v>2646</v>
      </c>
      <c r="H143" s="11">
        <f t="array" ref="H143">INDEX('[23]SENSUS MEI'!$J$9:$J$453,MATCH(1,('[23]SENSUS MEI'!$D$9:$D$453=$D143)*('[23]SENSUS MEI'!$D$9:$D$453=$D143),0))</f>
        <v>46153</v>
      </c>
      <c r="I143" s="143">
        <f t="array" ref="I143">INDEX('[23]SENSUS MEI'!$K$9:$K$453,MATCH(1,('[23]SENSUS MEI'!$D$9:$D$453=$D143)*('[23]SENSUS MEI'!$D$9:$D$453=$D143),0))</f>
        <v>125</v>
      </c>
      <c r="J143" s="9">
        <f t="array" ref="J143">IFERROR(I143/G143*100,0)</f>
        <v>4.7241118669690101</v>
      </c>
      <c r="K143" s="143">
        <f t="array" ref="K143">INDEX('[23]SENSUS MEI'!$M$9:$M$453,MATCH(1,('[23]SENSUS MEI'!$D$9:$D$453=$D143)*('[23]SENSUS MEI'!$D$9:$D$453=$D143),0))+INDEX('[23]SENSUS MEI'!$O$9:$O$453,MATCH(1,('[23]SENSUS MEI'!$D$9:$D$453=$D143)*('[23]SENSUS MEI'!$D$9:$D$453=$D143),0))</f>
        <v>54</v>
      </c>
      <c r="L143" s="9">
        <f t="shared" si="12"/>
        <v>43.2</v>
      </c>
      <c r="M143" s="8" t="str">
        <f t="shared" si="13"/>
        <v>Perlu Pengendalian</v>
      </c>
      <c r="P143" s="194">
        <f t="shared" si="14"/>
        <v>11.907</v>
      </c>
      <c r="Q143" s="194">
        <f t="array" ref="Q143">$P143*0.8</f>
        <v>9.5256000000000007</v>
      </c>
      <c r="R143" s="194">
        <f t="shared" si="15"/>
        <v>7.1441999999999997</v>
      </c>
      <c r="S143" s="194">
        <f t="shared" si="16"/>
        <v>4.7628000000000004</v>
      </c>
      <c r="T143" s="194">
        <f t="shared" si="17"/>
        <v>2.3814000000000002</v>
      </c>
    </row>
    <row r="144" spans="1:20" outlineLevel="1" x14ac:dyDescent="0.15">
      <c r="A144" s="8" t="s">
        <v>628</v>
      </c>
      <c r="B144" s="8" t="s">
        <v>14</v>
      </c>
      <c r="C144" s="8" t="s">
        <v>144</v>
      </c>
      <c r="D144" s="8" t="s">
        <v>731</v>
      </c>
      <c r="E144" s="9">
        <v>48.53</v>
      </c>
      <c r="F144" s="8" t="s">
        <v>16</v>
      </c>
      <c r="G144" s="143">
        <f t="array" ref="G144">INDEX('[23]SENSUS MEI'!$G$9:$G$453,MATCH(1,('[23]SENSUS MEI'!$D$9:$D$453=$D144)*('[23]SENSUS MEI'!$D$9:$D$453=$D144),0))</f>
        <v>6646</v>
      </c>
      <c r="H144" s="11">
        <f t="array" ref="H144">INDEX('[23]SENSUS MEI'!$J$9:$J$453,MATCH(1,('[23]SENSUS MEI'!$D$9:$D$453=$D144)*('[23]SENSUS MEI'!$D$9:$D$453=$D144),0))</f>
        <v>46154</v>
      </c>
      <c r="I144" s="143">
        <f t="array" ref="I144">INDEX('[23]SENSUS MEI'!$K$9:$K$453,MATCH(1,('[23]SENSUS MEI'!$D$9:$D$453=$D144)*('[23]SENSUS MEI'!$D$9:$D$453=$D144),0))</f>
        <v>659</v>
      </c>
      <c r="J144" s="9">
        <f t="array" ref="J144">IFERROR(I144/G144*100,0)</f>
        <v>9.9157387902497742</v>
      </c>
      <c r="K144" s="143">
        <f t="array" ref="K144">INDEX('[23]SENSUS MEI'!$M$9:$M$453,MATCH(1,('[23]SENSUS MEI'!$D$9:$D$453=$D144)*('[23]SENSUS MEI'!$D$9:$D$453=$D144),0))+INDEX('[23]SENSUS MEI'!$O$9:$O$453,MATCH(1,('[23]SENSUS MEI'!$D$9:$D$453=$D144)*('[23]SENSUS MEI'!$D$9:$D$453=$D144),0))</f>
        <v>285</v>
      </c>
      <c r="L144" s="9">
        <f t="shared" si="12"/>
        <v>43.247344461305012</v>
      </c>
      <c r="M144" s="8" t="str">
        <f t="shared" si="13"/>
        <v>Perlu Pengendalian</v>
      </c>
      <c r="P144" s="194">
        <f t="shared" si="14"/>
        <v>29.907</v>
      </c>
      <c r="Q144" s="194">
        <f t="array" ref="Q144">$P144*0.8</f>
        <v>23.925600000000003</v>
      </c>
      <c r="R144" s="194">
        <f t="shared" si="15"/>
        <v>17.944199999999999</v>
      </c>
      <c r="S144" s="194">
        <f t="shared" si="16"/>
        <v>11.962800000000001</v>
      </c>
      <c r="T144" s="194">
        <f t="shared" si="17"/>
        <v>5.9814000000000007</v>
      </c>
    </row>
    <row r="145" spans="1:20" outlineLevel="1" x14ac:dyDescent="0.15">
      <c r="A145" s="8" t="s">
        <v>628</v>
      </c>
      <c r="B145" s="8" t="s">
        <v>14</v>
      </c>
      <c r="C145" s="8" t="s">
        <v>144</v>
      </c>
      <c r="D145" s="8" t="s">
        <v>732</v>
      </c>
      <c r="E145" s="9">
        <v>39.5</v>
      </c>
      <c r="F145" s="8" t="s">
        <v>469</v>
      </c>
      <c r="G145" s="143">
        <f t="array" ref="G145">INDEX('[23]SENSUS MEI'!$G$9:$G$453,MATCH(1,('[23]SENSUS MEI'!$D$9:$D$453=$D145)*('[23]SENSUS MEI'!$D$9:$D$453=$D145),0))</f>
        <v>5741</v>
      </c>
      <c r="H145" s="11">
        <f t="array" ref="H145">INDEX('[23]SENSUS MEI'!$J$9:$J$453,MATCH(1,('[23]SENSUS MEI'!$D$9:$D$453=$D145)*('[23]SENSUS MEI'!$D$9:$D$453=$D145),0))</f>
        <v>46150</v>
      </c>
      <c r="I145" s="143">
        <f t="array" ref="I145">INDEX('[23]SENSUS MEI'!$K$9:$K$453,MATCH(1,('[23]SENSUS MEI'!$D$9:$D$453=$D145)*('[23]SENSUS MEI'!$D$9:$D$453=$D145),0))</f>
        <v>565</v>
      </c>
      <c r="J145" s="9">
        <f t="array" ref="J145">IFERROR(I145/G145*100,0)</f>
        <v>9.8414910294373801</v>
      </c>
      <c r="K145" s="143">
        <f t="array" ref="K145">INDEX('[23]SENSUS MEI'!$M$9:$M$453,MATCH(1,('[23]SENSUS MEI'!$D$9:$D$453=$D145)*('[23]SENSUS MEI'!$D$9:$D$453=$D145),0))+INDEX('[23]SENSUS MEI'!$O$9:$O$453,MATCH(1,('[23]SENSUS MEI'!$D$9:$D$453=$D145)*('[23]SENSUS MEI'!$D$9:$D$453=$D145),0))</f>
        <v>180</v>
      </c>
      <c r="L145" s="9">
        <f t="shared" si="12"/>
        <v>31.858407079646017</v>
      </c>
      <c r="M145" s="8" t="str">
        <f t="shared" si="13"/>
        <v>Perlu Pengendalian</v>
      </c>
      <c r="P145" s="194">
        <f t="shared" si="14"/>
        <v>25.834499999999998</v>
      </c>
      <c r="Q145" s="194">
        <f t="array" ref="Q145">$P145*0.8</f>
        <v>20.6676</v>
      </c>
      <c r="R145" s="194">
        <f t="shared" si="15"/>
        <v>15.500699999999998</v>
      </c>
      <c r="S145" s="194">
        <f t="shared" si="16"/>
        <v>10.3338</v>
      </c>
      <c r="T145" s="194">
        <f t="shared" si="17"/>
        <v>5.1669</v>
      </c>
    </row>
    <row r="146" spans="1:20" outlineLevel="1" x14ac:dyDescent="0.15">
      <c r="A146" s="8" t="s">
        <v>628</v>
      </c>
      <c r="B146" s="8" t="s">
        <v>14</v>
      </c>
      <c r="C146" s="8" t="s">
        <v>144</v>
      </c>
      <c r="D146" s="8" t="s">
        <v>733</v>
      </c>
      <c r="E146" s="9">
        <v>30.98</v>
      </c>
      <c r="F146" s="8" t="s">
        <v>469</v>
      </c>
      <c r="G146" s="143">
        <f t="array" ref="G146">INDEX('[23]SENSUS MEI'!$G$9:$G$453,MATCH(1,('[23]SENSUS MEI'!$D$9:$D$453=$D146)*('[23]SENSUS MEI'!$D$9:$D$453=$D146),0))</f>
        <v>4474</v>
      </c>
      <c r="H146" s="11">
        <f t="array" ref="H146">INDEX('[23]SENSUS MEI'!$J$9:$J$453,MATCH(1,('[23]SENSUS MEI'!$D$9:$D$453=$D146)*('[23]SENSUS MEI'!$D$9:$D$453=$D146),0))</f>
        <v>46150</v>
      </c>
      <c r="I146" s="143">
        <f t="array" ref="I146">INDEX('[23]SENSUS MEI'!$K$9:$K$453,MATCH(1,('[23]SENSUS MEI'!$D$9:$D$453=$D146)*('[23]SENSUS MEI'!$D$9:$D$453=$D146),0))</f>
        <v>554</v>
      </c>
      <c r="J146" s="9">
        <f t="array" ref="J146">IFERROR(I146/G146*100,0)</f>
        <v>12.382655341975861</v>
      </c>
      <c r="K146" s="143">
        <f t="array" ref="K146">INDEX('[23]SENSUS MEI'!$M$9:$M$453,MATCH(1,('[23]SENSUS MEI'!$D$9:$D$453=$D146)*('[23]SENSUS MEI'!$D$9:$D$453=$D146),0))+INDEX('[23]SENSUS MEI'!$O$9:$O$453,MATCH(1,('[23]SENSUS MEI'!$D$9:$D$453=$D146)*('[23]SENSUS MEI'!$D$9:$D$453=$D146),0))</f>
        <v>92</v>
      </c>
      <c r="L146" s="9">
        <f t="shared" si="12"/>
        <v>16.60649819494585</v>
      </c>
      <c r="M146" s="8" t="str">
        <f t="shared" si="13"/>
        <v>Perlu Pengendalian</v>
      </c>
      <c r="P146" s="194">
        <f t="shared" si="14"/>
        <v>20.132999999999999</v>
      </c>
      <c r="Q146" s="194">
        <f t="array" ref="Q146">$P146*0.8</f>
        <v>16.106400000000001</v>
      </c>
      <c r="R146" s="194">
        <f t="shared" si="15"/>
        <v>12.079799999999999</v>
      </c>
      <c r="S146" s="194">
        <f t="shared" si="16"/>
        <v>8.0532000000000004</v>
      </c>
      <c r="T146" s="194">
        <f t="shared" si="17"/>
        <v>4.0266000000000002</v>
      </c>
    </row>
    <row r="147" spans="1:20" outlineLevel="1" x14ac:dyDescent="0.15">
      <c r="A147" s="8" t="s">
        <v>628</v>
      </c>
      <c r="B147" s="8" t="s">
        <v>14</v>
      </c>
      <c r="C147" s="8" t="s">
        <v>144</v>
      </c>
      <c r="D147" s="8" t="s">
        <v>734</v>
      </c>
      <c r="E147" s="9">
        <v>22.44</v>
      </c>
      <c r="F147" s="8" t="s">
        <v>469</v>
      </c>
      <c r="G147" s="143">
        <f t="array" ref="G147">INDEX('[23]SENSUS MEI'!$G$9:$G$453,MATCH(1,('[23]SENSUS MEI'!$D$9:$D$453=$D147)*('[23]SENSUS MEI'!$D$9:$D$453=$D147),0))</f>
        <v>2761</v>
      </c>
      <c r="H147" s="11">
        <f t="array" ref="H147">INDEX('[23]SENSUS MEI'!$J$9:$J$453,MATCH(1,('[23]SENSUS MEI'!$D$9:$D$453=$D147)*('[23]SENSUS MEI'!$D$9:$D$453=$D147),0))</f>
        <v>46149</v>
      </c>
      <c r="I147" s="143">
        <f t="array" ref="I147">INDEX('[23]SENSUS MEI'!$K$9:$K$453,MATCH(1,('[23]SENSUS MEI'!$D$9:$D$453=$D147)*('[23]SENSUS MEI'!$D$9:$D$453=$D147),0))</f>
        <v>265</v>
      </c>
      <c r="J147" s="9">
        <f t="array" ref="J147">IFERROR(I147/G147*100,0)</f>
        <v>9.597971749366172</v>
      </c>
      <c r="K147" s="143">
        <f t="array" ref="K147">INDEX('[23]SENSUS MEI'!$M$9:$M$453,MATCH(1,('[23]SENSUS MEI'!$D$9:$D$453=$D147)*('[23]SENSUS MEI'!$D$9:$D$453=$D147),0))+INDEX('[23]SENSUS MEI'!$O$9:$O$453,MATCH(1,('[23]SENSUS MEI'!$D$9:$D$453=$D147)*('[23]SENSUS MEI'!$D$9:$D$453=$D147),0))</f>
        <v>71</v>
      </c>
      <c r="L147" s="9">
        <f t="shared" si="12"/>
        <v>26.79245283018868</v>
      </c>
      <c r="M147" s="8" t="str">
        <f t="shared" si="13"/>
        <v>Perlu Pengendalian</v>
      </c>
      <c r="P147" s="194">
        <f t="shared" si="14"/>
        <v>12.4245</v>
      </c>
      <c r="Q147" s="194">
        <f t="array" ref="Q147">$P147*0.8</f>
        <v>9.9396000000000004</v>
      </c>
      <c r="R147" s="194">
        <f t="shared" si="15"/>
        <v>7.4546999999999999</v>
      </c>
      <c r="S147" s="194">
        <f t="shared" si="16"/>
        <v>4.9698000000000002</v>
      </c>
      <c r="T147" s="194">
        <f t="shared" si="17"/>
        <v>2.4849000000000001</v>
      </c>
    </row>
    <row r="148" spans="1:20" outlineLevel="1" x14ac:dyDescent="0.15">
      <c r="A148" s="8" t="s">
        <v>628</v>
      </c>
      <c r="B148" s="8" t="s">
        <v>14</v>
      </c>
      <c r="C148" s="8" t="s">
        <v>144</v>
      </c>
      <c r="D148" s="8" t="s">
        <v>735</v>
      </c>
      <c r="E148" s="9">
        <v>10.64</v>
      </c>
      <c r="F148" s="8" t="s">
        <v>469</v>
      </c>
      <c r="G148" s="143">
        <f t="array" ref="G148">INDEX('[23]SENSUS MEI'!$G$9:$G$453,MATCH(1,('[23]SENSUS MEI'!$D$9:$D$453=$D148)*('[23]SENSUS MEI'!$D$9:$D$453=$D148),0))</f>
        <v>1363</v>
      </c>
      <c r="H148" s="11">
        <f t="array" ref="H148">INDEX('[23]SENSUS MEI'!$J$9:$J$453,MATCH(1,('[23]SENSUS MEI'!$D$9:$D$453=$D148)*('[23]SENSUS MEI'!$D$9:$D$453=$D148),0))</f>
        <v>46150</v>
      </c>
      <c r="I148" s="143">
        <f t="array" ref="I148">INDEX('[23]SENSUS MEI'!$K$9:$K$453,MATCH(1,('[23]SENSUS MEI'!$D$9:$D$453=$D148)*('[23]SENSUS MEI'!$D$9:$D$453=$D148),0))</f>
        <v>118</v>
      </c>
      <c r="J148" s="9">
        <f t="array" ref="J148">IFERROR(I148/G148*100,0)</f>
        <v>8.6573734409391054</v>
      </c>
      <c r="K148" s="143">
        <f t="array" ref="K148">INDEX('[23]SENSUS MEI'!$M$9:$M$453,MATCH(1,('[23]SENSUS MEI'!$D$9:$D$453=$D148)*('[23]SENSUS MEI'!$D$9:$D$453=$D148),0))+INDEX('[23]SENSUS MEI'!$O$9:$O$453,MATCH(1,('[23]SENSUS MEI'!$D$9:$D$453=$D148)*('[23]SENSUS MEI'!$D$9:$D$453=$D148),0))</f>
        <v>25</v>
      </c>
      <c r="L148" s="9">
        <f t="shared" ref="L148:L211" si="18">IFERROR(K148/I148*100,0)</f>
        <v>21.1864406779661</v>
      </c>
      <c r="M148" s="8" t="str">
        <f t="shared" si="13"/>
        <v>Perlu Pengendalian</v>
      </c>
      <c r="P148" s="194">
        <f t="shared" si="14"/>
        <v>6.1334999999999997</v>
      </c>
      <c r="Q148" s="194">
        <f t="array" ref="Q148">$P148*0.8</f>
        <v>4.9068000000000005</v>
      </c>
      <c r="R148" s="194">
        <f t="shared" si="15"/>
        <v>3.6800999999999995</v>
      </c>
      <c r="S148" s="194">
        <f t="shared" si="16"/>
        <v>2.4534000000000002</v>
      </c>
      <c r="T148" s="194">
        <f t="shared" si="17"/>
        <v>1.2267000000000001</v>
      </c>
    </row>
    <row r="149" spans="1:20" outlineLevel="1" x14ac:dyDescent="0.15">
      <c r="A149" s="8" t="s">
        <v>628</v>
      </c>
      <c r="B149" s="8" t="s">
        <v>14</v>
      </c>
      <c r="C149" s="8" t="s">
        <v>144</v>
      </c>
      <c r="D149" s="8" t="s">
        <v>736</v>
      </c>
      <c r="E149" s="9">
        <v>1.68</v>
      </c>
      <c r="F149" s="8" t="s">
        <v>469</v>
      </c>
      <c r="G149" s="143">
        <f t="array" ref="G149">INDEX('[23]SENSUS MEI'!$G$9:$G$453,MATCH(1,('[23]SENSUS MEI'!$D$9:$D$453=$D149)*('[23]SENSUS MEI'!$D$9:$D$453=$D149),0))</f>
        <v>279</v>
      </c>
      <c r="H149" s="11">
        <f t="array" ref="H149">INDEX('[23]SENSUS MEI'!$J$9:$J$453,MATCH(1,('[23]SENSUS MEI'!$D$9:$D$453=$D149)*('[23]SENSUS MEI'!$D$9:$D$453=$D149),0))</f>
        <v>46150</v>
      </c>
      <c r="I149" s="143">
        <f t="array" ref="I149">INDEX('[23]SENSUS MEI'!$K$9:$K$453,MATCH(1,('[23]SENSUS MEI'!$D$9:$D$453=$D149)*('[23]SENSUS MEI'!$D$9:$D$453=$D149),0))</f>
        <v>30</v>
      </c>
      <c r="J149" s="9">
        <f t="array" ref="J149">IFERROR(I149/G149*100,0)</f>
        <v>10.75268817204301</v>
      </c>
      <c r="K149" s="143">
        <f t="array" ref="K149">INDEX('[23]SENSUS MEI'!$M$9:$M$453,MATCH(1,('[23]SENSUS MEI'!$D$9:$D$453=$D149)*('[23]SENSUS MEI'!$D$9:$D$453=$D149),0))+INDEX('[23]SENSUS MEI'!$O$9:$O$453,MATCH(1,('[23]SENSUS MEI'!$D$9:$D$453=$D149)*('[23]SENSUS MEI'!$D$9:$D$453=$D149),0))</f>
        <v>5</v>
      </c>
      <c r="L149" s="9">
        <f t="shared" si="18"/>
        <v>16.666666666666664</v>
      </c>
      <c r="M149" s="8" t="str">
        <f t="shared" si="13"/>
        <v>Perlu Pengendalian</v>
      </c>
      <c r="P149" s="194">
        <f t="shared" si="14"/>
        <v>1.2555000000000001</v>
      </c>
      <c r="Q149" s="194">
        <f t="array" ref="Q149">$P149*0.8</f>
        <v>1.0044000000000002</v>
      </c>
      <c r="R149" s="194">
        <f t="shared" si="15"/>
        <v>0.75329999999999997</v>
      </c>
      <c r="S149" s="194">
        <f t="shared" si="16"/>
        <v>0.50220000000000009</v>
      </c>
      <c r="T149" s="194">
        <f t="shared" si="17"/>
        <v>0.25110000000000005</v>
      </c>
    </row>
    <row r="150" spans="1:20" outlineLevel="1" x14ac:dyDescent="0.15">
      <c r="A150" s="8" t="s">
        <v>628</v>
      </c>
      <c r="B150" s="8" t="s">
        <v>14</v>
      </c>
      <c r="C150" s="8" t="s">
        <v>144</v>
      </c>
      <c r="D150" s="8" t="s">
        <v>503</v>
      </c>
      <c r="E150" s="9">
        <v>3.01</v>
      </c>
      <c r="F150" s="8" t="s">
        <v>16</v>
      </c>
      <c r="G150" s="143">
        <f t="array" ref="G150">INDEX('[23]SENSUS MEI'!$G$9:$G$453,MATCH(1,('[23]SENSUS MEI'!$D$9:$D$453=$D150)*('[23]SENSUS MEI'!$D$9:$D$453=$D150),0))</f>
        <v>706</v>
      </c>
      <c r="H150" s="11">
        <f t="array" ref="H150">INDEX('[23]SENSUS MEI'!$J$9:$J$453,MATCH(1,('[23]SENSUS MEI'!$D$9:$D$453=$D150)*('[23]SENSUS MEI'!$D$9:$D$453=$D150),0))</f>
        <v>46153</v>
      </c>
      <c r="I150" s="143">
        <f t="array" ref="I150">INDEX('[23]SENSUS MEI'!$K$9:$K$453,MATCH(1,('[23]SENSUS MEI'!$D$9:$D$453=$D150)*('[23]SENSUS MEI'!$D$9:$D$453=$D150),0))</f>
        <v>34</v>
      </c>
      <c r="J150" s="9">
        <f t="array" ref="J150">IFERROR(I150/G150*100,0)</f>
        <v>4.8158640226628888</v>
      </c>
      <c r="K150" s="143">
        <f t="array" ref="K150">INDEX('[23]SENSUS MEI'!$M$9:$M$453,MATCH(1,('[23]SENSUS MEI'!$D$9:$D$453=$D150)*('[23]SENSUS MEI'!$D$9:$D$453=$D150),0))+INDEX('[23]SENSUS MEI'!$O$9:$O$453,MATCH(1,('[23]SENSUS MEI'!$D$9:$D$453=$D150)*('[23]SENSUS MEI'!$D$9:$D$453=$D150),0))</f>
        <v>20</v>
      </c>
      <c r="L150" s="9">
        <f t="shared" si="18"/>
        <v>58.82352941176471</v>
      </c>
      <c r="M150" s="8" t="str">
        <f t="shared" si="13"/>
        <v>Perlu Pengendalian</v>
      </c>
      <c r="P150" s="194">
        <f t="shared" si="14"/>
        <v>3.177</v>
      </c>
      <c r="Q150" s="194">
        <f t="array" ref="Q150">$P150*0.8</f>
        <v>2.5416000000000003</v>
      </c>
      <c r="R150" s="194">
        <f t="shared" si="15"/>
        <v>1.9061999999999999</v>
      </c>
      <c r="S150" s="194">
        <f t="shared" si="16"/>
        <v>1.2708000000000002</v>
      </c>
      <c r="T150" s="194">
        <f t="shared" si="17"/>
        <v>0.63540000000000008</v>
      </c>
    </row>
    <row r="151" spans="1:20" outlineLevel="1" x14ac:dyDescent="0.15">
      <c r="A151" s="8" t="s">
        <v>628</v>
      </c>
      <c r="B151" s="8" t="s">
        <v>14</v>
      </c>
      <c r="C151" s="8" t="s">
        <v>144</v>
      </c>
      <c r="D151" s="8" t="s">
        <v>504</v>
      </c>
      <c r="E151" s="9">
        <v>3.39</v>
      </c>
      <c r="F151" s="8" t="s">
        <v>16</v>
      </c>
      <c r="G151" s="143">
        <f t="array" ref="G151">INDEX('[23]SENSUS MEI'!$G$9:$G$453,MATCH(1,('[23]SENSUS MEI'!$D$9:$D$453=$D151)*('[23]SENSUS MEI'!$D$9:$D$453=$D151),0))</f>
        <v>1050</v>
      </c>
      <c r="H151" s="11">
        <f t="array" ref="H151">INDEX('[23]SENSUS MEI'!$J$9:$J$453,MATCH(1,('[23]SENSUS MEI'!$D$9:$D$453=$D151)*('[23]SENSUS MEI'!$D$9:$D$453=$D151),0))</f>
        <v>46153</v>
      </c>
      <c r="I151" s="143">
        <f t="array" ref="I151">INDEX('[23]SENSUS MEI'!$K$9:$K$453,MATCH(1,('[23]SENSUS MEI'!$D$9:$D$453=$D151)*('[23]SENSUS MEI'!$D$9:$D$453=$D151),0))</f>
        <v>18</v>
      </c>
      <c r="J151" s="9">
        <f t="array" ref="J151">IFERROR(I151/G151*100,0)</f>
        <v>1.7142857142857144</v>
      </c>
      <c r="K151" s="143">
        <f t="array" ref="K151">INDEX('[23]SENSUS MEI'!$M$9:$M$453,MATCH(1,('[23]SENSUS MEI'!$D$9:$D$453=$D151)*('[23]SENSUS MEI'!$D$9:$D$453=$D151),0))+INDEX('[23]SENSUS MEI'!$O$9:$O$453,MATCH(1,('[23]SENSUS MEI'!$D$9:$D$453=$D151)*('[23]SENSUS MEI'!$D$9:$D$453=$D151),0))</f>
        <v>4</v>
      </c>
      <c r="L151" s="9">
        <f t="shared" si="18"/>
        <v>22.222222222222221</v>
      </c>
      <c r="M151" s="8" t="str">
        <f t="shared" si="13"/>
        <v>Perlu Pengendalian</v>
      </c>
      <c r="P151" s="194">
        <f t="shared" si="14"/>
        <v>4.7249999999999996</v>
      </c>
      <c r="Q151" s="194">
        <f t="array" ref="Q151">$P151*0.8</f>
        <v>3.78</v>
      </c>
      <c r="R151" s="194">
        <f t="shared" si="15"/>
        <v>2.8349999999999995</v>
      </c>
      <c r="S151" s="194">
        <f t="shared" si="16"/>
        <v>1.89</v>
      </c>
      <c r="T151" s="194">
        <f t="shared" si="17"/>
        <v>0.94499999999999995</v>
      </c>
    </row>
    <row r="152" spans="1:20" outlineLevel="1" x14ac:dyDescent="0.15">
      <c r="A152" s="8" t="s">
        <v>628</v>
      </c>
      <c r="B152" s="8" t="s">
        <v>14</v>
      </c>
      <c r="C152" s="8" t="s">
        <v>173</v>
      </c>
      <c r="D152" s="8" t="s">
        <v>737</v>
      </c>
      <c r="E152" s="9">
        <v>16.8</v>
      </c>
      <c r="F152" s="8" t="s">
        <v>16</v>
      </c>
      <c r="G152" s="143">
        <f t="array" ref="G152">INDEX('[23]SENSUS MEI'!$G$9:$G$453,MATCH(1,('[23]SENSUS MEI'!$D$9:$D$453=$D152)*('[23]SENSUS MEI'!$D$9:$D$453=$D152),0))</f>
        <v>2167</v>
      </c>
      <c r="H152" s="11">
        <f t="array" ref="H152">INDEX('[23]SENSUS MEI'!$J$9:$J$453,MATCH(1,('[23]SENSUS MEI'!$D$9:$D$453=$D152)*('[23]SENSUS MEI'!$D$9:$D$453=$D152),0))</f>
        <v>46149</v>
      </c>
      <c r="I152" s="143">
        <f t="array" ref="I152">INDEX('[23]SENSUS MEI'!$K$9:$K$453,MATCH(1,('[23]SENSUS MEI'!$D$9:$D$453=$D152)*('[23]SENSUS MEI'!$D$9:$D$453=$D152),0))</f>
        <v>247</v>
      </c>
      <c r="J152" s="9">
        <f t="array" ref="J152">IFERROR(I152/G152*100,0)</f>
        <v>11.398246423627134</v>
      </c>
      <c r="K152" s="143">
        <f t="array" ref="K152">INDEX('[23]SENSUS MEI'!$M$9:$M$453,MATCH(1,('[23]SENSUS MEI'!$D$9:$D$453=$D152)*('[23]SENSUS MEI'!$D$9:$D$453=$D152),0))+INDEX('[23]SENSUS MEI'!$O$9:$O$453,MATCH(1,('[23]SENSUS MEI'!$D$9:$D$453=$D152)*('[23]SENSUS MEI'!$D$9:$D$453=$D152),0))</f>
        <v>35</v>
      </c>
      <c r="L152" s="9">
        <f t="shared" si="18"/>
        <v>14.17004048582996</v>
      </c>
      <c r="M152" s="8" t="str">
        <f t="shared" si="13"/>
        <v>Perlu Pengendalian</v>
      </c>
      <c r="P152" s="194">
        <f t="shared" si="14"/>
        <v>9.7515000000000001</v>
      </c>
      <c r="Q152" s="194">
        <f t="array" ref="Q152">$P152*0.8</f>
        <v>7.8012000000000006</v>
      </c>
      <c r="R152" s="194">
        <f t="shared" si="15"/>
        <v>5.8509000000000002</v>
      </c>
      <c r="S152" s="194">
        <f t="shared" si="16"/>
        <v>3.9006000000000003</v>
      </c>
      <c r="T152" s="194">
        <f t="shared" si="17"/>
        <v>1.9503000000000001</v>
      </c>
    </row>
    <row r="153" spans="1:20" outlineLevel="1" x14ac:dyDescent="0.15">
      <c r="A153" s="8" t="s">
        <v>628</v>
      </c>
      <c r="B153" s="8" t="s">
        <v>14</v>
      </c>
      <c r="C153" s="8" t="s">
        <v>173</v>
      </c>
      <c r="D153" s="8" t="s">
        <v>738</v>
      </c>
      <c r="E153" s="9">
        <v>26.48</v>
      </c>
      <c r="F153" s="8" t="s">
        <v>16</v>
      </c>
      <c r="G153" s="143">
        <f t="array" ref="G153">INDEX('[23]SENSUS MEI'!$G$9:$G$453,MATCH(1,('[23]SENSUS MEI'!$D$9:$D$453=$D153)*('[23]SENSUS MEI'!$D$9:$D$453=$D153),0))</f>
        <v>3441</v>
      </c>
      <c r="H153" s="11">
        <f t="array" ref="H153">INDEX('[23]SENSUS MEI'!$J$9:$J$453,MATCH(1,('[23]SENSUS MEI'!$D$9:$D$453=$D153)*('[23]SENSUS MEI'!$D$9:$D$453=$D153),0))</f>
        <v>46149</v>
      </c>
      <c r="I153" s="143">
        <f t="array" ref="I153">INDEX('[23]SENSUS MEI'!$K$9:$K$453,MATCH(1,('[23]SENSUS MEI'!$D$9:$D$453=$D153)*('[23]SENSUS MEI'!$D$9:$D$453=$D153),0))</f>
        <v>501</v>
      </c>
      <c r="J153" s="9">
        <f t="array" ref="J153">IFERROR(I153/G153*100,0)</f>
        <v>14.559721011333915</v>
      </c>
      <c r="K153" s="143">
        <f t="array" ref="K153">INDEX('[23]SENSUS MEI'!$M$9:$M$453,MATCH(1,('[23]SENSUS MEI'!$D$9:$D$453=$D153)*('[23]SENSUS MEI'!$D$9:$D$453=$D153),0))+INDEX('[23]SENSUS MEI'!$O$9:$O$453,MATCH(1,('[23]SENSUS MEI'!$D$9:$D$453=$D153)*('[23]SENSUS MEI'!$D$9:$D$453=$D153),0))</f>
        <v>89</v>
      </c>
      <c r="L153" s="9">
        <f t="shared" si="18"/>
        <v>17.764471057884233</v>
      </c>
      <c r="M153" s="8" t="str">
        <f t="shared" si="13"/>
        <v>Perlu Pengendalian</v>
      </c>
      <c r="P153" s="194">
        <f t="shared" si="14"/>
        <v>15.484500000000001</v>
      </c>
      <c r="Q153" s="194">
        <f t="array" ref="Q153">$P153*0.8</f>
        <v>12.387600000000001</v>
      </c>
      <c r="R153" s="194">
        <f t="shared" si="15"/>
        <v>9.2906999999999993</v>
      </c>
      <c r="S153" s="194">
        <f t="shared" si="16"/>
        <v>6.1938000000000004</v>
      </c>
      <c r="T153" s="194">
        <f t="shared" si="17"/>
        <v>3.0969000000000002</v>
      </c>
    </row>
    <row r="154" spans="1:20" outlineLevel="1" x14ac:dyDescent="0.15">
      <c r="A154" s="8" t="s">
        <v>628</v>
      </c>
      <c r="B154" s="8" t="s">
        <v>14</v>
      </c>
      <c r="C154" s="8" t="s">
        <v>173</v>
      </c>
      <c r="D154" s="8" t="s">
        <v>739</v>
      </c>
      <c r="E154" s="9">
        <v>19.25</v>
      </c>
      <c r="F154" s="8" t="s">
        <v>16</v>
      </c>
      <c r="G154" s="143">
        <f t="array" ref="G154">INDEX('[23]SENSUS MEI'!$G$9:$G$453,MATCH(1,('[23]SENSUS MEI'!$D$9:$D$453=$D154)*('[23]SENSUS MEI'!$D$9:$D$453=$D154),0))</f>
        <v>2571</v>
      </c>
      <c r="H154" s="11">
        <f t="array" ref="H154">INDEX('[23]SENSUS MEI'!$J$9:$J$453,MATCH(1,('[23]SENSUS MEI'!$D$9:$D$453=$D154)*('[23]SENSUS MEI'!$D$9:$D$453=$D154),0))</f>
        <v>46149</v>
      </c>
      <c r="I154" s="143">
        <f t="array" ref="I154">INDEX('[23]SENSUS MEI'!$K$9:$K$453,MATCH(1,('[23]SENSUS MEI'!$D$9:$D$453=$D154)*('[23]SENSUS MEI'!$D$9:$D$453=$D154),0))</f>
        <v>323</v>
      </c>
      <c r="J154" s="9">
        <f t="array" ref="J154">IFERROR(I154/G154*100,0)</f>
        <v>12.563204978607544</v>
      </c>
      <c r="K154" s="143">
        <f t="array" ref="K154">INDEX('[23]SENSUS MEI'!$M$9:$M$453,MATCH(1,('[23]SENSUS MEI'!$D$9:$D$453=$D154)*('[23]SENSUS MEI'!$D$9:$D$453=$D154),0))+INDEX('[23]SENSUS MEI'!$O$9:$O$453,MATCH(1,('[23]SENSUS MEI'!$D$9:$D$453=$D154)*('[23]SENSUS MEI'!$D$9:$D$453=$D154),0))</f>
        <v>34</v>
      </c>
      <c r="L154" s="9">
        <f t="shared" si="18"/>
        <v>10.526315789473683</v>
      </c>
      <c r="M154" s="8" t="str">
        <f t="shared" si="13"/>
        <v>Perlu Pengendalian</v>
      </c>
      <c r="P154" s="194">
        <f t="shared" si="14"/>
        <v>11.5695</v>
      </c>
      <c r="Q154" s="194">
        <f t="array" ref="Q154">$P154*0.8</f>
        <v>9.2555999999999994</v>
      </c>
      <c r="R154" s="194">
        <f t="shared" si="15"/>
        <v>6.9417</v>
      </c>
      <c r="S154" s="194">
        <f t="shared" si="16"/>
        <v>4.6277999999999997</v>
      </c>
      <c r="T154" s="194">
        <f t="shared" si="17"/>
        <v>2.3138999999999998</v>
      </c>
    </row>
    <row r="155" spans="1:20" outlineLevel="1" x14ac:dyDescent="0.15">
      <c r="A155" s="8" t="s">
        <v>628</v>
      </c>
      <c r="B155" s="8" t="s">
        <v>14</v>
      </c>
      <c r="C155" s="8" t="s">
        <v>173</v>
      </c>
      <c r="D155" s="8" t="s">
        <v>740</v>
      </c>
      <c r="E155" s="9">
        <v>20.22</v>
      </c>
      <c r="F155" s="8" t="s">
        <v>16</v>
      </c>
      <c r="G155" s="143">
        <f t="array" ref="G155">INDEX('[23]SENSUS MEI'!$G$9:$G$453,MATCH(1,('[23]SENSUS MEI'!$D$9:$D$453=$D155)*('[23]SENSUS MEI'!$D$9:$D$453=$D155),0))</f>
        <v>1922</v>
      </c>
      <c r="H155" s="11">
        <f t="array" ref="H155">INDEX('[23]SENSUS MEI'!$J$9:$J$453,MATCH(1,('[23]SENSUS MEI'!$D$9:$D$453=$D155)*('[23]SENSUS MEI'!$D$9:$D$453=$D155),0))</f>
        <v>46150</v>
      </c>
      <c r="I155" s="143">
        <f t="array" ref="I155">INDEX('[23]SENSUS MEI'!$K$9:$K$453,MATCH(1,('[23]SENSUS MEI'!$D$9:$D$453=$D155)*('[23]SENSUS MEI'!$D$9:$D$453=$D155),0))</f>
        <v>281</v>
      </c>
      <c r="J155" s="9">
        <f t="array" ref="J155">IFERROR(I155/G155*100,0)</f>
        <v>14.620187304890738</v>
      </c>
      <c r="K155" s="143">
        <f t="array" ref="K155">INDEX('[23]SENSUS MEI'!$M$9:$M$453,MATCH(1,('[23]SENSUS MEI'!$D$9:$D$453=$D155)*('[23]SENSUS MEI'!$D$9:$D$453=$D155),0))+INDEX('[23]SENSUS MEI'!$O$9:$O$453,MATCH(1,('[23]SENSUS MEI'!$D$9:$D$453=$D155)*('[23]SENSUS MEI'!$D$9:$D$453=$D155),0))</f>
        <v>66</v>
      </c>
      <c r="L155" s="9">
        <f t="shared" si="18"/>
        <v>23.487544483985765</v>
      </c>
      <c r="M155" s="8" t="str">
        <f t="shared" si="13"/>
        <v>Perlu Pengendalian</v>
      </c>
      <c r="P155" s="194">
        <f t="shared" si="14"/>
        <v>8.6489999999999991</v>
      </c>
      <c r="Q155" s="194">
        <f t="array" ref="Q155">$P155*0.8</f>
        <v>6.9192</v>
      </c>
      <c r="R155" s="194">
        <f t="shared" si="15"/>
        <v>5.1893999999999991</v>
      </c>
      <c r="S155" s="194">
        <f t="shared" si="16"/>
        <v>3.4596</v>
      </c>
      <c r="T155" s="194">
        <f t="shared" si="17"/>
        <v>1.7298</v>
      </c>
    </row>
    <row r="156" spans="1:20" outlineLevel="1" x14ac:dyDescent="0.15">
      <c r="A156" s="8" t="s">
        <v>628</v>
      </c>
      <c r="B156" s="8" t="s">
        <v>14</v>
      </c>
      <c r="C156" s="8" t="s">
        <v>173</v>
      </c>
      <c r="D156" s="8" t="s">
        <v>741</v>
      </c>
      <c r="E156" s="9">
        <v>36.28</v>
      </c>
      <c r="F156" s="8" t="s">
        <v>16</v>
      </c>
      <c r="G156" s="143">
        <f t="array" ref="G156">INDEX('[23]SENSUS MEI'!$G$9:$G$453,MATCH(1,('[23]SENSUS MEI'!$D$9:$D$453=$D156)*('[23]SENSUS MEI'!$D$9:$D$453=$D156),0))</f>
        <v>4953</v>
      </c>
      <c r="H156" s="11">
        <f t="array" ref="H156">INDEX('[23]SENSUS MEI'!$J$9:$J$453,MATCH(1,('[23]SENSUS MEI'!$D$9:$D$453=$D156)*('[23]SENSUS MEI'!$D$9:$D$453=$D156),0))</f>
        <v>46153</v>
      </c>
      <c r="I156" s="143">
        <f t="array" ref="I156">INDEX('[23]SENSUS MEI'!$K$9:$K$453,MATCH(1,('[23]SENSUS MEI'!$D$9:$D$453=$D156)*('[23]SENSUS MEI'!$D$9:$D$453=$D156),0))</f>
        <v>555</v>
      </c>
      <c r="J156" s="9">
        <f t="array" ref="J156">IFERROR(I156/G156*100,0)</f>
        <v>11.205330102967897</v>
      </c>
      <c r="K156" s="143">
        <f t="array" ref="K156">INDEX('[23]SENSUS MEI'!$M$9:$M$453,MATCH(1,('[23]SENSUS MEI'!$D$9:$D$453=$D156)*('[23]SENSUS MEI'!$D$9:$D$453=$D156),0))+INDEX('[23]SENSUS MEI'!$O$9:$O$453,MATCH(1,('[23]SENSUS MEI'!$D$9:$D$453=$D156)*('[23]SENSUS MEI'!$D$9:$D$453=$D156),0))</f>
        <v>220</v>
      </c>
      <c r="L156" s="9">
        <f t="shared" si="18"/>
        <v>39.63963963963964</v>
      </c>
      <c r="M156" s="8" t="str">
        <f t="shared" si="13"/>
        <v>Perlu Pengendalian</v>
      </c>
      <c r="P156" s="194">
        <f t="shared" si="14"/>
        <v>22.288499999999999</v>
      </c>
      <c r="Q156" s="194">
        <f t="array" ref="Q156">$P156*0.8</f>
        <v>17.8308</v>
      </c>
      <c r="R156" s="194">
        <f t="shared" si="15"/>
        <v>13.373099999999999</v>
      </c>
      <c r="S156" s="194">
        <f t="shared" si="16"/>
        <v>8.9154</v>
      </c>
      <c r="T156" s="194">
        <f t="shared" si="17"/>
        <v>4.4577</v>
      </c>
    </row>
    <row r="157" spans="1:20" outlineLevel="1" x14ac:dyDescent="0.15">
      <c r="A157" s="8" t="s">
        <v>628</v>
      </c>
      <c r="B157" s="8" t="s">
        <v>14</v>
      </c>
      <c r="C157" s="8" t="s">
        <v>173</v>
      </c>
      <c r="D157" s="8" t="s">
        <v>742</v>
      </c>
      <c r="E157" s="9">
        <v>11.41</v>
      </c>
      <c r="F157" s="8" t="s">
        <v>16</v>
      </c>
      <c r="G157" s="143">
        <f t="array" ref="G157">INDEX('[23]SENSUS MEI'!$G$9:$G$453,MATCH(1,('[23]SENSUS MEI'!$D$9:$D$453=$D157)*('[23]SENSUS MEI'!$D$9:$D$453=$D157),0))</f>
        <v>1733</v>
      </c>
      <c r="H157" s="11">
        <f t="array" ref="H157">INDEX('[23]SENSUS MEI'!$J$9:$J$453,MATCH(1,('[23]SENSUS MEI'!$D$9:$D$453=$D157)*('[23]SENSUS MEI'!$D$9:$D$453=$D157),0))</f>
        <v>46153</v>
      </c>
      <c r="I157" s="143">
        <f t="array" ref="I157">INDEX('[23]SENSUS MEI'!$K$9:$K$453,MATCH(1,('[23]SENSUS MEI'!$D$9:$D$453=$D157)*('[23]SENSUS MEI'!$D$9:$D$453=$D157),0))</f>
        <v>156</v>
      </c>
      <c r="J157" s="9">
        <f t="array" ref="J157">IFERROR(I157/G157*100,0)</f>
        <v>9.0017311021350253</v>
      </c>
      <c r="K157" s="143">
        <f t="array" ref="K157">INDEX('[23]SENSUS MEI'!$M$9:$M$453,MATCH(1,('[23]SENSUS MEI'!$D$9:$D$453=$D157)*('[23]SENSUS MEI'!$D$9:$D$453=$D157),0))+INDEX('[23]SENSUS MEI'!$O$9:$O$453,MATCH(1,('[23]SENSUS MEI'!$D$9:$D$453=$D157)*('[23]SENSUS MEI'!$D$9:$D$453=$D157),0))</f>
        <v>10</v>
      </c>
      <c r="L157" s="9">
        <f t="shared" si="18"/>
        <v>6.4102564102564097</v>
      </c>
      <c r="M157" s="8" t="str">
        <f t="shared" si="13"/>
        <v>Perlu Pengendalian</v>
      </c>
      <c r="P157" s="194">
        <f t="shared" si="14"/>
        <v>7.7984999999999998</v>
      </c>
      <c r="Q157" s="194">
        <f t="array" ref="Q157">$P157*0.8</f>
        <v>6.2388000000000003</v>
      </c>
      <c r="R157" s="194">
        <f t="shared" si="15"/>
        <v>4.6791</v>
      </c>
      <c r="S157" s="194">
        <f t="shared" si="16"/>
        <v>3.1194000000000002</v>
      </c>
      <c r="T157" s="194">
        <f t="shared" si="17"/>
        <v>1.5597000000000001</v>
      </c>
    </row>
    <row r="158" spans="1:20" outlineLevel="1" x14ac:dyDescent="0.15">
      <c r="A158" s="8" t="s">
        <v>628</v>
      </c>
      <c r="B158" s="8" t="s">
        <v>14</v>
      </c>
      <c r="C158" s="8" t="s">
        <v>173</v>
      </c>
      <c r="D158" s="8" t="s">
        <v>743</v>
      </c>
      <c r="E158" s="9">
        <v>10.130000000000001</v>
      </c>
      <c r="F158" s="8" t="s">
        <v>16</v>
      </c>
      <c r="G158" s="143">
        <f t="array" ref="G158">INDEX('[23]SENSUS MEI'!$G$9:$G$453,MATCH(1,('[23]SENSUS MEI'!$D$9:$D$453=$D158)*('[23]SENSUS MEI'!$D$9:$D$453=$D158),0))</f>
        <v>1545</v>
      </c>
      <c r="H158" s="11">
        <f t="array" ref="H158">INDEX('[23]SENSUS MEI'!$J$9:$J$453,MATCH(1,('[23]SENSUS MEI'!$D$9:$D$453=$D158)*('[23]SENSUS MEI'!$D$9:$D$453=$D158),0))</f>
        <v>46150</v>
      </c>
      <c r="I158" s="143">
        <f t="array" ref="I158">INDEX('[23]SENSUS MEI'!$K$9:$K$453,MATCH(1,('[23]SENSUS MEI'!$D$9:$D$453=$D158)*('[23]SENSUS MEI'!$D$9:$D$453=$D158),0))</f>
        <v>148</v>
      </c>
      <c r="J158" s="9">
        <f t="array" ref="J158">IFERROR(I158/G158*100,0)</f>
        <v>9.5792880258899675</v>
      </c>
      <c r="K158" s="143">
        <f t="array" ref="K158">INDEX('[23]SENSUS MEI'!$M$9:$M$453,MATCH(1,('[23]SENSUS MEI'!$D$9:$D$453=$D158)*('[23]SENSUS MEI'!$D$9:$D$453=$D158),0))+INDEX('[23]SENSUS MEI'!$O$9:$O$453,MATCH(1,('[23]SENSUS MEI'!$D$9:$D$453=$D158)*('[23]SENSUS MEI'!$D$9:$D$453=$D158),0))</f>
        <v>10</v>
      </c>
      <c r="L158" s="9">
        <f t="shared" si="18"/>
        <v>6.756756756756757</v>
      </c>
      <c r="M158" s="8" t="str">
        <f t="shared" si="13"/>
        <v>Perlu Pengendalian</v>
      </c>
      <c r="P158" s="194">
        <f t="shared" si="14"/>
        <v>6.9524999999999997</v>
      </c>
      <c r="Q158" s="194">
        <f t="array" ref="Q158">$P158*0.8</f>
        <v>5.5620000000000003</v>
      </c>
      <c r="R158" s="194">
        <f t="shared" si="15"/>
        <v>4.1715</v>
      </c>
      <c r="S158" s="194">
        <f t="shared" si="16"/>
        <v>2.7810000000000001</v>
      </c>
      <c r="T158" s="194">
        <f t="shared" si="17"/>
        <v>1.3905000000000001</v>
      </c>
    </row>
    <row r="159" spans="1:20" outlineLevel="1" x14ac:dyDescent="0.15">
      <c r="A159" s="8" t="s">
        <v>628</v>
      </c>
      <c r="B159" s="8" t="s">
        <v>14</v>
      </c>
      <c r="C159" s="8" t="s">
        <v>173</v>
      </c>
      <c r="D159" s="8" t="s">
        <v>744</v>
      </c>
      <c r="E159" s="9">
        <v>4.25</v>
      </c>
      <c r="F159" s="8" t="s">
        <v>16</v>
      </c>
      <c r="G159" s="143">
        <f t="array" ref="G159">INDEX('[23]SENSUS MEI'!$G$9:$G$453,MATCH(1,('[23]SENSUS MEI'!$D$9:$D$453=$D159)*('[23]SENSUS MEI'!$D$9:$D$453=$D159),0))</f>
        <v>900</v>
      </c>
      <c r="H159" s="11">
        <f t="array" ref="H159">INDEX('[23]SENSUS MEI'!$J$9:$J$453,MATCH(1,('[23]SENSUS MEI'!$D$9:$D$453=$D159)*('[23]SENSUS MEI'!$D$9:$D$453=$D159),0))</f>
        <v>46149</v>
      </c>
      <c r="I159" s="143">
        <f t="array" ref="I159">INDEX('[23]SENSUS MEI'!$K$9:$K$453,MATCH(1,('[23]SENSUS MEI'!$D$9:$D$453=$D159)*('[23]SENSUS MEI'!$D$9:$D$453=$D159),0))</f>
        <v>35</v>
      </c>
      <c r="J159" s="9">
        <f t="array" ref="J159">IFERROR(I159/G159*100,0)</f>
        <v>3.8888888888888888</v>
      </c>
      <c r="K159" s="143">
        <f t="array" ref="K159">INDEX('[23]SENSUS MEI'!$M$9:$M$453,MATCH(1,('[23]SENSUS MEI'!$D$9:$D$453=$D159)*('[23]SENSUS MEI'!$D$9:$D$453=$D159),0))+INDEX('[23]SENSUS MEI'!$O$9:$O$453,MATCH(1,('[23]SENSUS MEI'!$D$9:$D$453=$D159)*('[23]SENSUS MEI'!$D$9:$D$453=$D159),0))</f>
        <v>7</v>
      </c>
      <c r="L159" s="9">
        <f t="shared" si="18"/>
        <v>20</v>
      </c>
      <c r="M159" s="8" t="str">
        <f t="shared" si="13"/>
        <v>Perlu Pengendalian</v>
      </c>
      <c r="P159" s="194">
        <f t="shared" si="14"/>
        <v>4.05</v>
      </c>
      <c r="Q159" s="194">
        <f t="array" ref="Q159">$P159*0.8</f>
        <v>3.24</v>
      </c>
      <c r="R159" s="194">
        <f t="shared" si="15"/>
        <v>2.4299999999999997</v>
      </c>
      <c r="S159" s="194">
        <f t="shared" si="16"/>
        <v>1.62</v>
      </c>
      <c r="T159" s="194">
        <f t="shared" si="17"/>
        <v>0.81</v>
      </c>
    </row>
    <row r="160" spans="1:20" outlineLevel="1" x14ac:dyDescent="0.15">
      <c r="A160" s="8" t="s">
        <v>628</v>
      </c>
      <c r="B160" s="8" t="s">
        <v>14</v>
      </c>
      <c r="C160" s="8" t="s">
        <v>173</v>
      </c>
      <c r="D160" s="8" t="s">
        <v>745</v>
      </c>
      <c r="E160" s="9">
        <v>7.29</v>
      </c>
      <c r="F160" s="8" t="s">
        <v>16</v>
      </c>
      <c r="G160" s="143">
        <f t="array" ref="G160">INDEX('[23]SENSUS MEI'!$G$9:$G$453,MATCH(1,('[23]SENSUS MEI'!$D$9:$D$453=$D160)*('[23]SENSUS MEI'!$D$9:$D$453=$D160),0))</f>
        <v>866</v>
      </c>
      <c r="H160" s="11">
        <f t="array" ref="H160">INDEX('[23]SENSUS MEI'!$J$9:$J$453,MATCH(1,('[23]SENSUS MEI'!$D$9:$D$453=$D160)*('[23]SENSUS MEI'!$D$9:$D$453=$D160),0))</f>
        <v>46150</v>
      </c>
      <c r="I160" s="143">
        <f t="array" ref="I160">INDEX('[23]SENSUS MEI'!$K$9:$K$453,MATCH(1,('[23]SENSUS MEI'!$D$9:$D$453=$D160)*('[23]SENSUS MEI'!$D$9:$D$453=$D160),0))</f>
        <v>52</v>
      </c>
      <c r="J160" s="9">
        <f t="array" ref="J160">IFERROR(I160/G160*100,0)</f>
        <v>6.0046189376443415</v>
      </c>
      <c r="K160" s="143">
        <f t="array" ref="K160">INDEX('[23]SENSUS MEI'!$M$9:$M$453,MATCH(1,('[23]SENSUS MEI'!$D$9:$D$453=$D160)*('[23]SENSUS MEI'!$D$9:$D$453=$D160),0))+INDEX('[23]SENSUS MEI'!$O$9:$O$453,MATCH(1,('[23]SENSUS MEI'!$D$9:$D$453=$D160)*('[23]SENSUS MEI'!$D$9:$D$453=$D160),0))</f>
        <v>3</v>
      </c>
      <c r="L160" s="9">
        <f t="shared" si="18"/>
        <v>5.7692307692307692</v>
      </c>
      <c r="M160" s="8" t="str">
        <f t="shared" si="13"/>
        <v>Perlu Pengendalian</v>
      </c>
      <c r="P160" s="194">
        <f t="shared" si="14"/>
        <v>3.8969999999999998</v>
      </c>
      <c r="Q160" s="194">
        <f t="array" ref="Q160">$P160*0.8</f>
        <v>3.1175999999999999</v>
      </c>
      <c r="R160" s="194">
        <f t="shared" si="15"/>
        <v>2.3381999999999996</v>
      </c>
      <c r="S160" s="194">
        <f t="shared" si="16"/>
        <v>1.5588</v>
      </c>
      <c r="T160" s="194">
        <f t="shared" si="17"/>
        <v>0.77939999999999998</v>
      </c>
    </row>
    <row r="161" spans="1:20" outlineLevel="1" x14ac:dyDescent="0.15">
      <c r="A161" s="8" t="s">
        <v>628</v>
      </c>
      <c r="B161" s="8" t="s">
        <v>14</v>
      </c>
      <c r="C161" s="8" t="s">
        <v>173</v>
      </c>
      <c r="D161" s="8" t="s">
        <v>506</v>
      </c>
      <c r="E161" s="9">
        <v>18.89</v>
      </c>
      <c r="F161" s="8" t="s">
        <v>16</v>
      </c>
      <c r="G161" s="143">
        <f t="array" ref="G161">INDEX('[23]SENSUS MEI'!$G$9:$G$453,MATCH(1,('[23]SENSUS MEI'!$D$9:$D$453=$D161)*('[23]SENSUS MEI'!$D$9:$D$453=$D161),0))</f>
        <v>2024</v>
      </c>
      <c r="H161" s="11">
        <f t="array" ref="H161">INDEX('[23]SENSUS MEI'!$J$9:$J$453,MATCH(1,('[23]SENSUS MEI'!$D$9:$D$453=$D161)*('[23]SENSUS MEI'!$D$9:$D$453=$D161),0))</f>
        <v>46149</v>
      </c>
      <c r="I161" s="143">
        <f t="array" ref="I161">INDEX('[23]SENSUS MEI'!$K$9:$K$453,MATCH(1,('[23]SENSUS MEI'!$D$9:$D$453=$D161)*('[23]SENSUS MEI'!$D$9:$D$453=$D161),0))</f>
        <v>221</v>
      </c>
      <c r="J161" s="9">
        <f t="array" ref="J161">IFERROR(I161/G161*100,0)</f>
        <v>10.918972332015811</v>
      </c>
      <c r="K161" s="143">
        <f t="array" ref="K161">INDEX('[23]SENSUS MEI'!$M$9:$M$453,MATCH(1,('[23]SENSUS MEI'!$D$9:$D$453=$D161)*('[23]SENSUS MEI'!$D$9:$D$453=$D161),0))+INDEX('[23]SENSUS MEI'!$O$9:$O$453,MATCH(1,('[23]SENSUS MEI'!$D$9:$D$453=$D161)*('[23]SENSUS MEI'!$D$9:$D$453=$D161),0))</f>
        <v>74</v>
      </c>
      <c r="L161" s="9">
        <f t="shared" si="18"/>
        <v>33.484162895927597</v>
      </c>
      <c r="M161" s="8" t="str">
        <f t="shared" si="13"/>
        <v>Perlu Pengendalian</v>
      </c>
      <c r="P161" s="194">
        <f t="shared" si="14"/>
        <v>9.1080000000000005</v>
      </c>
      <c r="Q161" s="194">
        <f t="array" ref="Q161">$P161*0.8</f>
        <v>7.2864000000000004</v>
      </c>
      <c r="R161" s="194">
        <f t="shared" si="15"/>
        <v>5.4648000000000003</v>
      </c>
      <c r="S161" s="194">
        <f t="shared" si="16"/>
        <v>3.6432000000000002</v>
      </c>
      <c r="T161" s="194">
        <f t="shared" si="17"/>
        <v>1.8216000000000001</v>
      </c>
    </row>
    <row r="162" spans="1:20" outlineLevel="1" x14ac:dyDescent="0.15">
      <c r="A162" s="8" t="s">
        <v>628</v>
      </c>
      <c r="B162" s="8" t="s">
        <v>14</v>
      </c>
      <c r="C162" s="8" t="s">
        <v>173</v>
      </c>
      <c r="D162" s="8" t="s">
        <v>522</v>
      </c>
      <c r="E162" s="9">
        <v>9.6300000000000008</v>
      </c>
      <c r="F162" s="8" t="s">
        <v>16</v>
      </c>
      <c r="G162" s="143">
        <f t="array" ref="G162">INDEX('[23]SENSUS MEI'!$G$9:$G$453,MATCH(1,('[23]SENSUS MEI'!$D$9:$D$453=$D162)*('[23]SENSUS MEI'!$D$9:$D$453=$D162),0))</f>
        <v>818</v>
      </c>
      <c r="H162" s="11">
        <f t="array" ref="H162">INDEX('[23]SENSUS MEI'!$J$9:$J$453,MATCH(1,('[23]SENSUS MEI'!$D$9:$D$453=$D162)*('[23]SENSUS MEI'!$D$9:$D$453=$D162),0))</f>
        <v>46149</v>
      </c>
      <c r="I162" s="143">
        <f t="array" ref="I162">INDEX('[23]SENSUS MEI'!$K$9:$K$453,MATCH(1,('[23]SENSUS MEI'!$D$9:$D$453=$D162)*('[23]SENSUS MEI'!$D$9:$D$453=$D162),0))</f>
        <v>111</v>
      </c>
      <c r="J162" s="9">
        <f t="array" ref="J162">IFERROR(I162/G162*100,0)</f>
        <v>13.569682151589241</v>
      </c>
      <c r="K162" s="143">
        <f t="array" ref="K162">INDEX('[23]SENSUS MEI'!$M$9:$M$453,MATCH(1,('[23]SENSUS MEI'!$D$9:$D$453=$D162)*('[23]SENSUS MEI'!$D$9:$D$453=$D162),0))+INDEX('[23]SENSUS MEI'!$O$9:$O$453,MATCH(1,('[23]SENSUS MEI'!$D$9:$D$453=$D162)*('[23]SENSUS MEI'!$D$9:$D$453=$D162),0))</f>
        <v>21</v>
      </c>
      <c r="L162" s="9">
        <f t="shared" si="18"/>
        <v>18.918918918918919</v>
      </c>
      <c r="M162" s="8" t="str">
        <f t="shared" si="13"/>
        <v>Perlu Pengendalian</v>
      </c>
      <c r="P162" s="194">
        <f t="shared" si="14"/>
        <v>3.681</v>
      </c>
      <c r="Q162" s="194">
        <f t="array" ref="Q162">$P162*0.8</f>
        <v>2.9448000000000003</v>
      </c>
      <c r="R162" s="194">
        <f t="shared" si="15"/>
        <v>2.2086000000000001</v>
      </c>
      <c r="S162" s="194">
        <f t="shared" si="16"/>
        <v>1.4724000000000002</v>
      </c>
      <c r="T162" s="194">
        <f t="shared" si="17"/>
        <v>0.73620000000000008</v>
      </c>
    </row>
    <row r="163" spans="1:20" outlineLevel="1" x14ac:dyDescent="0.15">
      <c r="A163" s="8" t="s">
        <v>628</v>
      </c>
      <c r="B163" s="8" t="s">
        <v>14</v>
      </c>
      <c r="C163" s="8" t="s">
        <v>173</v>
      </c>
      <c r="D163" s="8" t="s">
        <v>523</v>
      </c>
      <c r="E163" s="9">
        <v>16.03</v>
      </c>
      <c r="F163" s="8" t="s">
        <v>16</v>
      </c>
      <c r="G163" s="143">
        <f t="array" ref="G163">INDEX('[23]SENSUS MEI'!$G$9:$G$453,MATCH(1,('[23]SENSUS MEI'!$D$9:$D$453=$D163)*('[23]SENSUS MEI'!$D$9:$D$453=$D163),0))</f>
        <v>1606</v>
      </c>
      <c r="H163" s="11">
        <f t="array" ref="H163">INDEX('[23]SENSUS MEI'!$J$9:$J$453,MATCH(1,('[23]SENSUS MEI'!$D$9:$D$453=$D163)*('[23]SENSUS MEI'!$D$9:$D$453=$D163),0))</f>
        <v>46149</v>
      </c>
      <c r="I163" s="143">
        <f t="array" ref="I163">INDEX('[23]SENSUS MEI'!$K$9:$K$453,MATCH(1,('[23]SENSUS MEI'!$D$9:$D$453=$D163)*('[23]SENSUS MEI'!$D$9:$D$453=$D163),0))</f>
        <v>216</v>
      </c>
      <c r="J163" s="9">
        <f t="array" ref="J163">IFERROR(I163/G163*100,0)</f>
        <v>13.449564134495642</v>
      </c>
      <c r="K163" s="143">
        <f t="array" ref="K163">INDEX('[23]SENSUS MEI'!$M$9:$M$453,MATCH(1,('[23]SENSUS MEI'!$D$9:$D$453=$D163)*('[23]SENSUS MEI'!$D$9:$D$453=$D163),0))+INDEX('[23]SENSUS MEI'!$O$9:$O$453,MATCH(1,('[23]SENSUS MEI'!$D$9:$D$453=$D163)*('[23]SENSUS MEI'!$D$9:$D$453=$D163),0))</f>
        <v>34</v>
      </c>
      <c r="L163" s="9">
        <f t="shared" si="18"/>
        <v>15.74074074074074</v>
      </c>
      <c r="M163" s="8" t="str">
        <f t="shared" si="13"/>
        <v>Perlu Pengendalian</v>
      </c>
      <c r="P163" s="194">
        <f t="shared" si="14"/>
        <v>7.2270000000000003</v>
      </c>
      <c r="Q163" s="194">
        <f t="array" ref="Q163">$P163*0.8</f>
        <v>5.781600000000001</v>
      </c>
      <c r="R163" s="194">
        <f t="shared" si="15"/>
        <v>4.3361999999999998</v>
      </c>
      <c r="S163" s="194">
        <f t="shared" si="16"/>
        <v>2.8908000000000005</v>
      </c>
      <c r="T163" s="194">
        <f t="shared" si="17"/>
        <v>1.4454000000000002</v>
      </c>
    </row>
    <row r="164" spans="1:20" outlineLevel="1" x14ac:dyDescent="0.15">
      <c r="A164" s="8" t="s">
        <v>628</v>
      </c>
      <c r="B164" s="8" t="s">
        <v>14</v>
      </c>
      <c r="C164" s="8" t="s">
        <v>173</v>
      </c>
      <c r="D164" s="8" t="s">
        <v>746</v>
      </c>
      <c r="E164" s="9">
        <v>16.11</v>
      </c>
      <c r="F164" s="8" t="s">
        <v>16</v>
      </c>
      <c r="G164" s="143">
        <f t="array" ref="G164">INDEX('[23]SENSUS MEI'!$G$9:$G$453,MATCH(1,('[23]SENSUS MEI'!$D$9:$D$453=$D164)*('[23]SENSUS MEI'!$D$9:$D$453=$D164),0))</f>
        <v>2020</v>
      </c>
      <c r="H164" s="11">
        <f t="array" ref="H164">INDEX('[23]SENSUS MEI'!$J$9:$J$453,MATCH(1,('[23]SENSUS MEI'!$D$9:$D$453=$D164)*('[23]SENSUS MEI'!$D$9:$D$453=$D164),0))</f>
        <v>46150</v>
      </c>
      <c r="I164" s="143">
        <f t="array" ref="I164">INDEX('[23]SENSUS MEI'!$K$9:$K$453,MATCH(1,('[23]SENSUS MEI'!$D$9:$D$453=$D164)*('[23]SENSUS MEI'!$D$9:$D$453=$D164),0))</f>
        <v>235</v>
      </c>
      <c r="J164" s="9">
        <f t="array" ref="J164">IFERROR(I164/G164*100,0)</f>
        <v>11.633663366336634</v>
      </c>
      <c r="K164" s="143">
        <f t="array" ref="K164">INDEX('[23]SENSUS MEI'!$M$9:$M$453,MATCH(1,('[23]SENSUS MEI'!$D$9:$D$453=$D164)*('[23]SENSUS MEI'!$D$9:$D$453=$D164),0))+INDEX('[23]SENSUS MEI'!$O$9:$O$453,MATCH(1,('[23]SENSUS MEI'!$D$9:$D$453=$D164)*('[23]SENSUS MEI'!$D$9:$D$453=$D164),0))</f>
        <v>9</v>
      </c>
      <c r="L164" s="9">
        <f t="shared" si="18"/>
        <v>3.8297872340425529</v>
      </c>
      <c r="M164" s="8" t="str">
        <f t="shared" si="13"/>
        <v>Perlu Pengendalian</v>
      </c>
      <c r="P164" s="194">
        <f t="shared" si="14"/>
        <v>9.09</v>
      </c>
      <c r="Q164" s="194">
        <f t="array" ref="Q164">$P164*0.8</f>
        <v>7.2720000000000002</v>
      </c>
      <c r="R164" s="194">
        <f t="shared" si="15"/>
        <v>5.4539999999999997</v>
      </c>
      <c r="S164" s="194">
        <f t="shared" si="16"/>
        <v>3.6360000000000001</v>
      </c>
      <c r="T164" s="194">
        <f t="shared" si="17"/>
        <v>1.8180000000000001</v>
      </c>
    </row>
    <row r="165" spans="1:20" outlineLevel="1" x14ac:dyDescent="0.15">
      <c r="A165" s="8" t="s">
        <v>628</v>
      </c>
      <c r="B165" s="8" t="s">
        <v>14</v>
      </c>
      <c r="C165" s="8" t="s">
        <v>173</v>
      </c>
      <c r="D165" s="8" t="s">
        <v>747</v>
      </c>
      <c r="E165" s="9">
        <v>21.89</v>
      </c>
      <c r="F165" s="8" t="s">
        <v>16</v>
      </c>
      <c r="G165" s="143">
        <f t="array" ref="G165">INDEX('[23]SENSUS MEI'!$G$9:$G$453,MATCH(1,('[23]SENSUS MEI'!$D$9:$D$453=$D165)*('[23]SENSUS MEI'!$D$9:$D$453=$D165),0))</f>
        <v>2889</v>
      </c>
      <c r="H165" s="11">
        <f t="array" ref="H165">INDEX('[23]SENSUS MEI'!$J$9:$J$453,MATCH(1,('[23]SENSUS MEI'!$D$9:$D$453=$D165)*('[23]SENSUS MEI'!$D$9:$D$453=$D165),0))</f>
        <v>46150</v>
      </c>
      <c r="I165" s="143">
        <f t="array" ref="I165">INDEX('[23]SENSUS MEI'!$K$9:$K$453,MATCH(1,('[23]SENSUS MEI'!$D$9:$D$453=$D165)*('[23]SENSUS MEI'!$D$9:$D$453=$D165),0))</f>
        <v>308</v>
      </c>
      <c r="J165" s="9">
        <f t="array" ref="J165">IFERROR(I165/G165*100,0)</f>
        <v>10.661128418137764</v>
      </c>
      <c r="K165" s="143">
        <f t="array" ref="K165">INDEX('[23]SENSUS MEI'!$M$9:$M$453,MATCH(1,('[23]SENSUS MEI'!$D$9:$D$453=$D165)*('[23]SENSUS MEI'!$D$9:$D$453=$D165),0))+INDEX('[23]SENSUS MEI'!$O$9:$O$453,MATCH(1,('[23]SENSUS MEI'!$D$9:$D$453=$D165)*('[23]SENSUS MEI'!$D$9:$D$453=$D165),0))</f>
        <v>65</v>
      </c>
      <c r="L165" s="9">
        <f t="shared" si="18"/>
        <v>21.103896103896101</v>
      </c>
      <c r="M165" s="8" t="str">
        <f t="shared" si="13"/>
        <v>Perlu Pengendalian</v>
      </c>
      <c r="P165" s="194">
        <f t="shared" si="14"/>
        <v>13.000500000000001</v>
      </c>
      <c r="Q165" s="194">
        <f t="array" ref="Q165">$P165*0.8</f>
        <v>10.400400000000001</v>
      </c>
      <c r="R165" s="194">
        <f t="shared" si="15"/>
        <v>7.8003</v>
      </c>
      <c r="S165" s="194">
        <f t="shared" si="16"/>
        <v>5.2002000000000006</v>
      </c>
      <c r="T165" s="194">
        <f t="shared" si="17"/>
        <v>2.6001000000000003</v>
      </c>
    </row>
    <row r="166" spans="1:20" outlineLevel="1" x14ac:dyDescent="0.15">
      <c r="A166" s="8" t="s">
        <v>628</v>
      </c>
      <c r="B166" s="8" t="s">
        <v>14</v>
      </c>
      <c r="C166" s="8" t="s">
        <v>173</v>
      </c>
      <c r="D166" s="8" t="s">
        <v>748</v>
      </c>
      <c r="E166" s="9">
        <v>26.7</v>
      </c>
      <c r="F166" s="8" t="s">
        <v>16</v>
      </c>
      <c r="G166" s="143">
        <f t="array" ref="G166">INDEX('[23]SENSUS MEI'!$G$9:$G$453,MATCH(1,('[23]SENSUS MEI'!$D$9:$D$453=$D166)*('[23]SENSUS MEI'!$D$9:$D$453=$D166),0))</f>
        <v>3775</v>
      </c>
      <c r="H166" s="11">
        <f t="array" ref="H166">INDEX('[23]SENSUS MEI'!$J$9:$J$453,MATCH(1,('[23]SENSUS MEI'!$D$9:$D$453=$D166)*('[23]SENSUS MEI'!$D$9:$D$453=$D166),0))</f>
        <v>46154</v>
      </c>
      <c r="I166" s="143">
        <f t="array" ref="I166">INDEX('[23]SENSUS MEI'!$K$9:$K$453,MATCH(1,('[23]SENSUS MEI'!$D$9:$D$453=$D166)*('[23]SENSUS MEI'!$D$9:$D$453=$D166),0))</f>
        <v>334</v>
      </c>
      <c r="J166" s="9">
        <f t="array" ref="J166">IFERROR(I166/G166*100,0)</f>
        <v>8.8476821192052988</v>
      </c>
      <c r="K166" s="143">
        <f t="array" ref="K166">INDEX('[23]SENSUS MEI'!$M$9:$M$453,MATCH(1,('[23]SENSUS MEI'!$D$9:$D$453=$D166)*('[23]SENSUS MEI'!$D$9:$D$453=$D166),0))+INDEX('[23]SENSUS MEI'!$O$9:$O$453,MATCH(1,('[23]SENSUS MEI'!$D$9:$D$453=$D166)*('[23]SENSUS MEI'!$D$9:$D$453=$D166),0))</f>
        <v>112</v>
      </c>
      <c r="L166" s="9">
        <f t="shared" si="18"/>
        <v>33.532934131736525</v>
      </c>
      <c r="M166" s="8" t="str">
        <f t="shared" si="13"/>
        <v>Perlu Pengendalian</v>
      </c>
      <c r="P166" s="194">
        <f t="shared" si="14"/>
        <v>16.987500000000001</v>
      </c>
      <c r="Q166" s="194">
        <f t="array" ref="Q166">$P166*0.8</f>
        <v>13.590000000000002</v>
      </c>
      <c r="R166" s="194">
        <f t="shared" si="15"/>
        <v>10.192500000000001</v>
      </c>
      <c r="S166" s="194">
        <f t="shared" si="16"/>
        <v>6.7950000000000008</v>
      </c>
      <c r="T166" s="194">
        <f t="shared" si="17"/>
        <v>3.3975000000000004</v>
      </c>
    </row>
    <row r="167" spans="1:20" outlineLevel="1" x14ac:dyDescent="0.15">
      <c r="A167" s="8" t="s">
        <v>628</v>
      </c>
      <c r="B167" s="8" t="s">
        <v>14</v>
      </c>
      <c r="C167" s="8" t="s">
        <v>173</v>
      </c>
      <c r="D167" s="8" t="s">
        <v>749</v>
      </c>
      <c r="E167" s="9">
        <v>31.5</v>
      </c>
      <c r="F167" s="8" t="s">
        <v>16</v>
      </c>
      <c r="G167" s="143">
        <f t="array" ref="G167">INDEX('[23]SENSUS MEI'!$G$9:$G$453,MATCH(1,('[23]SENSUS MEI'!$D$9:$D$453=$D167)*('[23]SENSUS MEI'!$D$9:$D$453=$D167),0))</f>
        <v>4620</v>
      </c>
      <c r="H167" s="11">
        <f t="array" ref="H167">INDEX('[23]SENSUS MEI'!$J$9:$J$453,MATCH(1,('[23]SENSUS MEI'!$D$9:$D$453=$D167)*('[23]SENSUS MEI'!$D$9:$D$453=$D167),0))</f>
        <v>46154</v>
      </c>
      <c r="I167" s="143">
        <f t="array" ref="I167">INDEX('[23]SENSUS MEI'!$K$9:$K$453,MATCH(1,('[23]SENSUS MEI'!$D$9:$D$453=$D167)*('[23]SENSUS MEI'!$D$9:$D$453=$D167),0))</f>
        <v>357</v>
      </c>
      <c r="J167" s="9">
        <f t="array" ref="J167">IFERROR(I167/G167*100,0)</f>
        <v>7.7272727272727266</v>
      </c>
      <c r="K167" s="143">
        <f t="array" ref="K167">INDEX('[23]SENSUS MEI'!$M$9:$M$453,MATCH(1,('[23]SENSUS MEI'!$D$9:$D$453=$D167)*('[23]SENSUS MEI'!$D$9:$D$453=$D167),0))+INDEX('[23]SENSUS MEI'!$O$9:$O$453,MATCH(1,('[23]SENSUS MEI'!$D$9:$D$453=$D167)*('[23]SENSUS MEI'!$D$9:$D$453=$D167),0))</f>
        <v>109</v>
      </c>
      <c r="L167" s="9">
        <f t="shared" si="18"/>
        <v>30.532212885154063</v>
      </c>
      <c r="M167" s="8" t="str">
        <f t="shared" si="13"/>
        <v>Perlu Pengendalian</v>
      </c>
      <c r="P167" s="194">
        <f t="shared" si="14"/>
        <v>20.79</v>
      </c>
      <c r="Q167" s="194">
        <f t="array" ref="Q167">$P167*0.8</f>
        <v>16.632000000000001</v>
      </c>
      <c r="R167" s="194">
        <f t="shared" si="15"/>
        <v>12.473999999999998</v>
      </c>
      <c r="S167" s="194">
        <f t="shared" si="16"/>
        <v>8.3160000000000007</v>
      </c>
      <c r="T167" s="194">
        <f t="shared" si="17"/>
        <v>4.1580000000000004</v>
      </c>
    </row>
    <row r="168" spans="1:20" outlineLevel="1" x14ac:dyDescent="0.15">
      <c r="A168" s="8" t="s">
        <v>628</v>
      </c>
      <c r="B168" s="8" t="s">
        <v>14</v>
      </c>
      <c r="C168" s="8" t="s">
        <v>173</v>
      </c>
      <c r="D168" s="8" t="s">
        <v>750</v>
      </c>
      <c r="E168" s="9">
        <v>26.81</v>
      </c>
      <c r="F168" s="8" t="s">
        <v>16</v>
      </c>
      <c r="G168" s="143">
        <f t="array" ref="G168">INDEX('[23]SENSUS MEI'!$G$9:$G$453,MATCH(1,('[23]SENSUS MEI'!$D$9:$D$453=$D168)*('[23]SENSUS MEI'!$D$9:$D$453=$D168),0))</f>
        <v>3898</v>
      </c>
      <c r="H168" s="11">
        <f t="array" ref="H168">INDEX('[23]SENSUS MEI'!$J$9:$J$453,MATCH(1,('[23]SENSUS MEI'!$D$9:$D$453=$D168)*('[23]SENSUS MEI'!$D$9:$D$453=$D168),0))</f>
        <v>46154</v>
      </c>
      <c r="I168" s="143">
        <f t="array" ref="I168">INDEX('[23]SENSUS MEI'!$K$9:$K$453,MATCH(1,('[23]SENSUS MEI'!$D$9:$D$453=$D168)*('[23]SENSUS MEI'!$D$9:$D$453=$D168),0))</f>
        <v>443</v>
      </c>
      <c r="J168" s="9">
        <f t="array" ref="J168">IFERROR(I168/G168*100,0)</f>
        <v>11.364802462801435</v>
      </c>
      <c r="K168" s="143">
        <f t="array" ref="K168">INDEX('[23]SENSUS MEI'!$M$9:$M$453,MATCH(1,('[23]SENSUS MEI'!$D$9:$D$453=$D168)*('[23]SENSUS MEI'!$D$9:$D$453=$D168),0))+INDEX('[23]SENSUS MEI'!$O$9:$O$453,MATCH(1,('[23]SENSUS MEI'!$D$9:$D$453=$D168)*('[23]SENSUS MEI'!$D$9:$D$453=$D168),0))</f>
        <v>51</v>
      </c>
      <c r="L168" s="9">
        <f t="shared" si="18"/>
        <v>11.512415349887133</v>
      </c>
      <c r="M168" s="8" t="str">
        <f t="shared" si="13"/>
        <v>Perlu Pengendalian</v>
      </c>
      <c r="P168" s="194">
        <f t="shared" si="14"/>
        <v>17.541</v>
      </c>
      <c r="Q168" s="194">
        <f t="array" ref="Q168">$P168*0.8</f>
        <v>14.032800000000002</v>
      </c>
      <c r="R168" s="194">
        <f t="shared" si="15"/>
        <v>10.5246</v>
      </c>
      <c r="S168" s="194">
        <f t="shared" si="16"/>
        <v>7.0164000000000009</v>
      </c>
      <c r="T168" s="194">
        <f t="shared" si="17"/>
        <v>3.5082000000000004</v>
      </c>
    </row>
    <row r="169" spans="1:20" outlineLevel="1" x14ac:dyDescent="0.15">
      <c r="A169" s="8" t="s">
        <v>628</v>
      </c>
      <c r="B169" s="8" t="s">
        <v>14</v>
      </c>
      <c r="C169" s="8" t="s">
        <v>173</v>
      </c>
      <c r="D169" s="8" t="s">
        <v>751</v>
      </c>
      <c r="E169" s="9">
        <v>23.54</v>
      </c>
      <c r="F169" s="8" t="s">
        <v>16</v>
      </c>
      <c r="G169" s="143">
        <f t="array" ref="G169">INDEX('[23]SENSUS MEI'!$G$9:$G$453,MATCH(1,('[23]SENSUS MEI'!$D$9:$D$453=$D169)*('[23]SENSUS MEI'!$D$9:$D$453=$D169),0))</f>
        <v>3334</v>
      </c>
      <c r="H169" s="11">
        <f t="array" ref="H169">INDEX('[23]SENSUS MEI'!$J$9:$J$453,MATCH(1,('[23]SENSUS MEI'!$D$9:$D$453=$D169)*('[23]SENSUS MEI'!$D$9:$D$453=$D169),0))</f>
        <v>46150</v>
      </c>
      <c r="I169" s="143">
        <f t="array" ref="I169">INDEX('[23]SENSUS MEI'!$K$9:$K$453,MATCH(1,('[23]SENSUS MEI'!$D$9:$D$453=$D169)*('[23]SENSUS MEI'!$D$9:$D$453=$D169),0))</f>
        <v>370</v>
      </c>
      <c r="J169" s="9">
        <f t="array" ref="J169">IFERROR(I169/G169*100,0)</f>
        <v>11.097780443911217</v>
      </c>
      <c r="K169" s="143">
        <f t="array" ref="K169">INDEX('[23]SENSUS MEI'!$M$9:$M$453,MATCH(1,('[23]SENSUS MEI'!$D$9:$D$453=$D169)*('[23]SENSUS MEI'!$D$9:$D$453=$D169),0))+INDEX('[23]SENSUS MEI'!$O$9:$O$453,MATCH(1,('[23]SENSUS MEI'!$D$9:$D$453=$D169)*('[23]SENSUS MEI'!$D$9:$D$453=$D169),0))</f>
        <v>140</v>
      </c>
      <c r="L169" s="9">
        <f t="shared" si="18"/>
        <v>37.837837837837839</v>
      </c>
      <c r="M169" s="8" t="str">
        <f t="shared" si="13"/>
        <v>Perlu Pengendalian</v>
      </c>
      <c r="P169" s="194">
        <f t="shared" si="14"/>
        <v>15.003</v>
      </c>
      <c r="Q169" s="194">
        <f t="array" ref="Q169">$P169*0.8</f>
        <v>12.002400000000002</v>
      </c>
      <c r="R169" s="194">
        <f t="shared" si="15"/>
        <v>9.0017999999999994</v>
      </c>
      <c r="S169" s="194">
        <f t="shared" si="16"/>
        <v>6.0012000000000008</v>
      </c>
      <c r="T169" s="194">
        <f t="shared" si="17"/>
        <v>3.0006000000000004</v>
      </c>
    </row>
    <row r="170" spans="1:20" outlineLevel="1" x14ac:dyDescent="0.15">
      <c r="A170" s="8" t="s">
        <v>628</v>
      </c>
      <c r="B170" s="8" t="s">
        <v>14</v>
      </c>
      <c r="C170" s="8" t="s">
        <v>173</v>
      </c>
      <c r="D170" s="8" t="s">
        <v>752</v>
      </c>
      <c r="E170" s="9">
        <v>7.74</v>
      </c>
      <c r="F170" s="8" t="s">
        <v>16</v>
      </c>
      <c r="G170" s="143">
        <f t="array" ref="G170">INDEX('[23]SENSUS MEI'!$G$9:$G$453,MATCH(1,('[23]SENSUS MEI'!$D$9:$D$453=$D170)*('[23]SENSUS MEI'!$D$9:$D$453=$D170),0))</f>
        <v>1459</v>
      </c>
      <c r="H170" s="11">
        <f t="array" ref="H170">INDEX('[23]SENSUS MEI'!$J$9:$J$453,MATCH(1,('[23]SENSUS MEI'!$D$9:$D$453=$D170)*('[23]SENSUS MEI'!$D$9:$D$453=$D170),0))</f>
        <v>46150</v>
      </c>
      <c r="I170" s="143">
        <f t="array" ref="I170">INDEX('[23]SENSUS MEI'!$K$9:$K$453,MATCH(1,('[23]SENSUS MEI'!$D$9:$D$453=$D170)*('[23]SENSUS MEI'!$D$9:$D$453=$D170),0))</f>
        <v>115</v>
      </c>
      <c r="J170" s="9">
        <f t="array" ref="J170">IFERROR(I170/G170*100,0)</f>
        <v>7.8821110349554493</v>
      </c>
      <c r="K170" s="143">
        <f t="array" ref="K170">INDEX('[23]SENSUS MEI'!$M$9:$M$453,MATCH(1,('[23]SENSUS MEI'!$D$9:$D$453=$D170)*('[23]SENSUS MEI'!$D$9:$D$453=$D170),0))+INDEX('[23]SENSUS MEI'!$O$9:$O$453,MATCH(1,('[23]SENSUS MEI'!$D$9:$D$453=$D170)*('[23]SENSUS MEI'!$D$9:$D$453=$D170),0))</f>
        <v>11</v>
      </c>
      <c r="L170" s="9">
        <f t="shared" si="18"/>
        <v>9.5652173913043477</v>
      </c>
      <c r="M170" s="8" t="str">
        <f t="shared" si="13"/>
        <v>Perlu Pengendalian</v>
      </c>
      <c r="P170" s="194">
        <f t="shared" si="14"/>
        <v>6.5655000000000001</v>
      </c>
      <c r="Q170" s="194">
        <f t="array" ref="Q170">$P170*0.8</f>
        <v>5.2524000000000006</v>
      </c>
      <c r="R170" s="194">
        <f t="shared" si="15"/>
        <v>3.9392999999999998</v>
      </c>
      <c r="S170" s="194">
        <f t="shared" si="16"/>
        <v>2.6262000000000003</v>
      </c>
      <c r="T170" s="194">
        <f t="shared" si="17"/>
        <v>1.3131000000000002</v>
      </c>
    </row>
    <row r="171" spans="1:20" outlineLevel="1" x14ac:dyDescent="0.15">
      <c r="A171" s="8" t="s">
        <v>628</v>
      </c>
      <c r="B171" s="8" t="s">
        <v>14</v>
      </c>
      <c r="C171" s="8" t="s">
        <v>173</v>
      </c>
      <c r="D171" s="8" t="s">
        <v>753</v>
      </c>
      <c r="E171" s="9">
        <v>5.79</v>
      </c>
      <c r="F171" s="8" t="s">
        <v>16</v>
      </c>
      <c r="G171" s="143">
        <f t="array" ref="G171">INDEX('[23]SENSUS MEI'!$G$9:$G$453,MATCH(1,('[23]SENSUS MEI'!$D$9:$D$453=$D171)*('[23]SENSUS MEI'!$D$9:$D$453=$D171),0))</f>
        <v>1058</v>
      </c>
      <c r="H171" s="11">
        <f t="array" ref="H171">INDEX('[23]SENSUS MEI'!$J$9:$J$453,MATCH(1,('[23]SENSUS MEI'!$D$9:$D$453=$D171)*('[23]SENSUS MEI'!$D$9:$D$453=$D171),0))</f>
        <v>46150</v>
      </c>
      <c r="I171" s="143">
        <f t="array" ref="I171">INDEX('[23]SENSUS MEI'!$K$9:$K$453,MATCH(1,('[23]SENSUS MEI'!$D$9:$D$453=$D171)*('[23]SENSUS MEI'!$D$9:$D$453=$D171),0))</f>
        <v>84</v>
      </c>
      <c r="J171" s="9">
        <f t="array" ref="J171">IFERROR(I171/G171*100,0)</f>
        <v>7.9395085066162565</v>
      </c>
      <c r="K171" s="143">
        <f t="array" ref="K171">INDEX('[23]SENSUS MEI'!$M$9:$M$453,MATCH(1,('[23]SENSUS MEI'!$D$9:$D$453=$D171)*('[23]SENSUS MEI'!$D$9:$D$453=$D171),0))+INDEX('[23]SENSUS MEI'!$O$9:$O$453,MATCH(1,('[23]SENSUS MEI'!$D$9:$D$453=$D171)*('[23]SENSUS MEI'!$D$9:$D$453=$D171),0))</f>
        <v>0</v>
      </c>
      <c r="L171" s="9">
        <f t="shared" si="18"/>
        <v>0</v>
      </c>
      <c r="M171" s="8" t="str">
        <f t="shared" si="13"/>
        <v>Belum Sensus</v>
      </c>
      <c r="P171" s="194">
        <f t="shared" si="14"/>
        <v>4.7610000000000001</v>
      </c>
      <c r="Q171" s="194">
        <f t="array" ref="Q171">$P171*0.8</f>
        <v>3.8088000000000002</v>
      </c>
      <c r="R171" s="194">
        <f t="shared" si="15"/>
        <v>2.8565999999999998</v>
      </c>
      <c r="S171" s="194">
        <f t="shared" si="16"/>
        <v>1.9044000000000001</v>
      </c>
      <c r="T171" s="194">
        <f t="shared" si="17"/>
        <v>0.95220000000000005</v>
      </c>
    </row>
    <row r="172" spans="1:20" outlineLevel="1" x14ac:dyDescent="0.15">
      <c r="A172" s="8" t="s">
        <v>628</v>
      </c>
      <c r="B172" s="8" t="s">
        <v>14</v>
      </c>
      <c r="C172" s="8" t="s">
        <v>173</v>
      </c>
      <c r="D172" s="8" t="s">
        <v>754</v>
      </c>
      <c r="E172" s="9">
        <v>9.2200000000000006</v>
      </c>
      <c r="F172" s="8" t="s">
        <v>16</v>
      </c>
      <c r="G172" s="143">
        <f t="array" ref="G172">INDEX('[23]SENSUS MEI'!$G$9:$G$453,MATCH(1,('[23]SENSUS MEI'!$D$9:$D$453=$D172)*('[23]SENSUS MEI'!$D$9:$D$453=$D172),0))</f>
        <v>1860</v>
      </c>
      <c r="H172" s="11">
        <f t="array" ref="H172">INDEX('[23]SENSUS MEI'!$J$9:$J$453,MATCH(1,('[23]SENSUS MEI'!$D$9:$D$453=$D172)*('[23]SENSUS MEI'!$D$9:$D$453=$D172),0))</f>
        <v>46153</v>
      </c>
      <c r="I172" s="143">
        <f t="array" ref="I172">INDEX('[23]SENSUS MEI'!$K$9:$K$453,MATCH(1,('[23]SENSUS MEI'!$D$9:$D$453=$D172)*('[23]SENSUS MEI'!$D$9:$D$453=$D172),0))</f>
        <v>157</v>
      </c>
      <c r="J172" s="9">
        <f t="array" ref="J172">IFERROR(I172/G172*100,0)</f>
        <v>8.4408602150537639</v>
      </c>
      <c r="K172" s="143">
        <f t="array" ref="K172">INDEX('[23]SENSUS MEI'!$M$9:$M$453,MATCH(1,('[23]SENSUS MEI'!$D$9:$D$453=$D172)*('[23]SENSUS MEI'!$D$9:$D$453=$D172),0))+INDEX('[23]SENSUS MEI'!$O$9:$O$453,MATCH(1,('[23]SENSUS MEI'!$D$9:$D$453=$D172)*('[23]SENSUS MEI'!$D$9:$D$453=$D172),0))</f>
        <v>6</v>
      </c>
      <c r="L172" s="9">
        <f t="shared" si="18"/>
        <v>3.8216560509554141</v>
      </c>
      <c r="M172" s="8" t="str">
        <f t="shared" si="13"/>
        <v>Perlu Pengendalian</v>
      </c>
      <c r="P172" s="194">
        <f t="shared" si="14"/>
        <v>8.3699999999999992</v>
      </c>
      <c r="Q172" s="194">
        <f t="array" ref="Q172">$P172*0.8</f>
        <v>6.6959999999999997</v>
      </c>
      <c r="R172" s="194">
        <f t="shared" si="15"/>
        <v>5.0219999999999994</v>
      </c>
      <c r="S172" s="194">
        <f t="shared" si="16"/>
        <v>3.3479999999999999</v>
      </c>
      <c r="T172" s="194">
        <f t="shared" si="17"/>
        <v>1.6739999999999999</v>
      </c>
    </row>
    <row r="173" spans="1:20" outlineLevel="1" x14ac:dyDescent="0.15">
      <c r="A173" s="8" t="s">
        <v>628</v>
      </c>
      <c r="B173" s="8" t="s">
        <v>14</v>
      </c>
      <c r="C173" s="8" t="s">
        <v>173</v>
      </c>
      <c r="D173" s="8" t="s">
        <v>755</v>
      </c>
      <c r="E173" s="9">
        <v>21.49</v>
      </c>
      <c r="F173" s="8" t="s">
        <v>16</v>
      </c>
      <c r="G173" s="143">
        <f t="array" ref="G173">INDEX('[23]SENSUS MEI'!$G$9:$G$453,MATCH(1,('[23]SENSUS MEI'!$D$9:$D$453=$D173)*('[23]SENSUS MEI'!$D$9:$D$453=$D173),0))</f>
        <v>2582</v>
      </c>
      <c r="H173" s="11">
        <f t="array" ref="H173">INDEX('[23]SENSUS MEI'!$J$9:$J$453,MATCH(1,('[23]SENSUS MEI'!$D$9:$D$453=$D173)*('[23]SENSUS MEI'!$D$9:$D$453=$D173),0))</f>
        <v>46154</v>
      </c>
      <c r="I173" s="143">
        <f t="array" ref="I173">INDEX('[23]SENSUS MEI'!$K$9:$K$453,MATCH(1,('[23]SENSUS MEI'!$D$9:$D$453=$D173)*('[23]SENSUS MEI'!$D$9:$D$453=$D173),0))</f>
        <v>252</v>
      </c>
      <c r="J173" s="9">
        <f t="array" ref="J173">IFERROR(I173/G173*100,0)</f>
        <v>9.7598760650658409</v>
      </c>
      <c r="K173" s="143">
        <f t="array" ref="K173">INDEX('[23]SENSUS MEI'!$M$9:$M$453,MATCH(1,('[23]SENSUS MEI'!$D$9:$D$453=$D173)*('[23]SENSUS MEI'!$D$9:$D$453=$D173),0))+INDEX('[23]SENSUS MEI'!$O$9:$O$453,MATCH(1,('[23]SENSUS MEI'!$D$9:$D$453=$D173)*('[23]SENSUS MEI'!$D$9:$D$453=$D173),0))</f>
        <v>95</v>
      </c>
      <c r="L173" s="9">
        <f t="shared" si="18"/>
        <v>37.698412698412696</v>
      </c>
      <c r="M173" s="8" t="str">
        <f t="shared" si="13"/>
        <v>Perlu Pengendalian</v>
      </c>
      <c r="P173" s="194">
        <f t="shared" si="14"/>
        <v>11.619</v>
      </c>
      <c r="Q173" s="194">
        <f t="array" ref="Q173">$P173*0.8</f>
        <v>9.2951999999999995</v>
      </c>
      <c r="R173" s="194">
        <f t="shared" si="15"/>
        <v>6.9714</v>
      </c>
      <c r="S173" s="194">
        <f t="shared" si="16"/>
        <v>4.6475999999999997</v>
      </c>
      <c r="T173" s="194">
        <f t="shared" si="17"/>
        <v>2.3237999999999999</v>
      </c>
    </row>
    <row r="174" spans="1:20" outlineLevel="1" x14ac:dyDescent="0.15">
      <c r="A174" s="8" t="s">
        <v>628</v>
      </c>
      <c r="B174" s="8" t="s">
        <v>14</v>
      </c>
      <c r="C174" s="8" t="s">
        <v>173</v>
      </c>
      <c r="D174" s="8" t="s">
        <v>756</v>
      </c>
      <c r="E174" s="9">
        <v>20.059999999999999</v>
      </c>
      <c r="F174" s="8" t="s">
        <v>16</v>
      </c>
      <c r="G174" s="143">
        <f t="array" ref="G174">INDEX('[23]SENSUS MEI'!$G$9:$G$453,MATCH(1,('[23]SENSUS MEI'!$D$9:$D$453=$D174)*('[23]SENSUS MEI'!$D$9:$D$453=$D174),0))</f>
        <v>2502</v>
      </c>
      <c r="H174" s="11">
        <f t="array" ref="H174">INDEX('[23]SENSUS MEI'!$J$9:$J$453,MATCH(1,('[23]SENSUS MEI'!$D$9:$D$453=$D174)*('[23]SENSUS MEI'!$D$9:$D$453=$D174),0))</f>
        <v>46154</v>
      </c>
      <c r="I174" s="143">
        <f t="array" ref="I174">INDEX('[23]SENSUS MEI'!$K$9:$K$453,MATCH(1,('[23]SENSUS MEI'!$D$9:$D$453=$D174)*('[23]SENSUS MEI'!$D$9:$D$453=$D174),0))</f>
        <v>270</v>
      </c>
      <c r="J174" s="9">
        <f t="array" ref="J174">IFERROR(I174/G174*100,0)</f>
        <v>10.791366906474821</v>
      </c>
      <c r="K174" s="143">
        <f t="array" ref="K174">INDEX('[23]SENSUS MEI'!$M$9:$M$453,MATCH(1,('[23]SENSUS MEI'!$D$9:$D$453=$D174)*('[23]SENSUS MEI'!$D$9:$D$453=$D174),0))+INDEX('[23]SENSUS MEI'!$O$9:$O$453,MATCH(1,('[23]SENSUS MEI'!$D$9:$D$453=$D174)*('[23]SENSUS MEI'!$D$9:$D$453=$D174),0))</f>
        <v>79</v>
      </c>
      <c r="L174" s="9">
        <f t="shared" si="18"/>
        <v>29.259259259259256</v>
      </c>
      <c r="M174" s="8" t="str">
        <f t="shared" si="13"/>
        <v>Perlu Pengendalian</v>
      </c>
      <c r="P174" s="194">
        <f t="shared" si="14"/>
        <v>11.259</v>
      </c>
      <c r="Q174" s="194">
        <f t="array" ref="Q174">$P174*0.8</f>
        <v>9.007200000000001</v>
      </c>
      <c r="R174" s="194">
        <f t="shared" si="15"/>
        <v>6.7553999999999998</v>
      </c>
      <c r="S174" s="194">
        <f t="shared" si="16"/>
        <v>4.5036000000000005</v>
      </c>
      <c r="T174" s="194">
        <f t="shared" si="17"/>
        <v>2.2518000000000002</v>
      </c>
    </row>
    <row r="175" spans="1:20" outlineLevel="1" x14ac:dyDescent="0.15">
      <c r="A175" s="8" t="s">
        <v>628</v>
      </c>
      <c r="B175" s="8" t="s">
        <v>14</v>
      </c>
      <c r="C175" s="8" t="s">
        <v>173</v>
      </c>
      <c r="D175" s="8" t="s">
        <v>757</v>
      </c>
      <c r="E175" s="9">
        <v>20.45</v>
      </c>
      <c r="F175" s="8" t="s">
        <v>16</v>
      </c>
      <c r="G175" s="143">
        <f t="array" ref="G175">INDEX('[23]SENSUS MEI'!$G$9:$G$453,MATCH(1,('[23]SENSUS MEI'!$D$9:$D$453=$D175)*('[23]SENSUS MEI'!$D$9:$D$453=$D175),0))</f>
        <v>2176</v>
      </c>
      <c r="H175" s="11">
        <f t="array" ref="H175">INDEX('[23]SENSUS MEI'!$J$9:$J$453,MATCH(1,('[23]SENSUS MEI'!$D$9:$D$453=$D175)*('[23]SENSUS MEI'!$D$9:$D$453=$D175),0))</f>
        <v>46154</v>
      </c>
      <c r="I175" s="143">
        <f t="array" ref="I175">INDEX('[23]SENSUS MEI'!$K$9:$K$453,MATCH(1,('[23]SENSUS MEI'!$D$9:$D$453=$D175)*('[23]SENSUS MEI'!$D$9:$D$453=$D175),0))</f>
        <v>226</v>
      </c>
      <c r="J175" s="9">
        <f t="array" ref="J175">IFERROR(I175/G175*100,0)</f>
        <v>10.386029411764707</v>
      </c>
      <c r="K175" s="143">
        <f t="array" ref="K175">INDEX('[23]SENSUS MEI'!$M$9:$M$453,MATCH(1,('[23]SENSUS MEI'!$D$9:$D$453=$D175)*('[23]SENSUS MEI'!$D$9:$D$453=$D175),0))+INDEX('[23]SENSUS MEI'!$O$9:$O$453,MATCH(1,('[23]SENSUS MEI'!$D$9:$D$453=$D175)*('[23]SENSUS MEI'!$D$9:$D$453=$D175),0))</f>
        <v>82</v>
      </c>
      <c r="L175" s="9">
        <f t="shared" si="18"/>
        <v>36.283185840707965</v>
      </c>
      <c r="M175" s="8" t="str">
        <f t="shared" si="13"/>
        <v>Perlu Pengendalian</v>
      </c>
      <c r="P175" s="194">
        <f t="shared" si="14"/>
        <v>9.7919999999999998</v>
      </c>
      <c r="Q175" s="194">
        <f t="array" ref="Q175">$P175*0.8</f>
        <v>7.8336000000000006</v>
      </c>
      <c r="R175" s="194">
        <f t="shared" si="15"/>
        <v>5.8751999999999995</v>
      </c>
      <c r="S175" s="194">
        <f t="shared" si="16"/>
        <v>3.9168000000000003</v>
      </c>
      <c r="T175" s="194">
        <f t="shared" si="17"/>
        <v>1.9584000000000001</v>
      </c>
    </row>
    <row r="176" spans="1:20" outlineLevel="1" x14ac:dyDescent="0.15">
      <c r="A176" s="8" t="s">
        <v>628</v>
      </c>
      <c r="B176" s="8" t="s">
        <v>14</v>
      </c>
      <c r="C176" s="8" t="s">
        <v>173</v>
      </c>
      <c r="D176" s="8" t="s">
        <v>758</v>
      </c>
      <c r="E176" s="9">
        <v>20.7</v>
      </c>
      <c r="F176" s="8" t="s">
        <v>16</v>
      </c>
      <c r="G176" s="143">
        <f t="array" ref="G176">INDEX('[23]SENSUS MEI'!$G$9:$G$453,MATCH(1,('[23]SENSUS MEI'!$D$9:$D$453=$D176)*('[23]SENSUS MEI'!$D$9:$D$453=$D176),0))</f>
        <v>2268</v>
      </c>
      <c r="H176" s="11">
        <f t="array" ref="H176">INDEX('[23]SENSUS MEI'!$J$9:$J$453,MATCH(1,('[23]SENSUS MEI'!$D$9:$D$453=$D176)*('[23]SENSUS MEI'!$D$9:$D$453=$D176),0))</f>
        <v>46154</v>
      </c>
      <c r="I176" s="143">
        <f t="array" ref="I176">INDEX('[23]SENSUS MEI'!$K$9:$K$453,MATCH(1,('[23]SENSUS MEI'!$D$9:$D$453=$D176)*('[23]SENSUS MEI'!$D$9:$D$453=$D176),0))</f>
        <v>329</v>
      </c>
      <c r="J176" s="9">
        <f t="array" ref="J176">IFERROR(I176/G176*100,0)</f>
        <v>14.506172839506174</v>
      </c>
      <c r="K176" s="143">
        <f t="array" ref="K176">INDEX('[23]SENSUS MEI'!$M$9:$M$453,MATCH(1,('[23]SENSUS MEI'!$D$9:$D$453=$D176)*('[23]SENSUS MEI'!$D$9:$D$453=$D176),0))+INDEX('[23]SENSUS MEI'!$O$9:$O$453,MATCH(1,('[23]SENSUS MEI'!$D$9:$D$453=$D176)*('[23]SENSUS MEI'!$D$9:$D$453=$D176),0))</f>
        <v>105</v>
      </c>
      <c r="L176" s="9">
        <f t="shared" si="18"/>
        <v>31.914893617021278</v>
      </c>
      <c r="M176" s="8" t="str">
        <f t="shared" si="13"/>
        <v>Perlu Pengendalian</v>
      </c>
      <c r="P176" s="194">
        <f t="shared" si="14"/>
        <v>10.206</v>
      </c>
      <c r="Q176" s="194">
        <f t="array" ref="Q176">$P176*0.8</f>
        <v>8.1647999999999996</v>
      </c>
      <c r="R176" s="194">
        <f t="shared" si="15"/>
        <v>6.1235999999999997</v>
      </c>
      <c r="S176" s="194">
        <f t="shared" si="16"/>
        <v>4.0823999999999998</v>
      </c>
      <c r="T176" s="194">
        <f t="shared" si="17"/>
        <v>2.0411999999999999</v>
      </c>
    </row>
    <row r="177" spans="1:20" outlineLevel="1" x14ac:dyDescent="0.15">
      <c r="A177" s="8" t="s">
        <v>628</v>
      </c>
      <c r="B177" s="8" t="s">
        <v>14</v>
      </c>
      <c r="C177" s="8" t="s">
        <v>173</v>
      </c>
      <c r="D177" s="8" t="s">
        <v>759</v>
      </c>
      <c r="E177" s="9">
        <v>5.31</v>
      </c>
      <c r="F177" s="8" t="s">
        <v>16</v>
      </c>
      <c r="G177" s="143">
        <f t="array" ref="G177">INDEX('[23]SENSUS MEI'!$G$9:$G$453,MATCH(1,('[23]SENSUS MEI'!$D$9:$D$453=$D177)*('[23]SENSUS MEI'!$D$9:$D$453=$D177),0))</f>
        <v>806</v>
      </c>
      <c r="H177" s="11">
        <f t="array" ref="H177">INDEX('[23]SENSUS MEI'!$J$9:$J$453,MATCH(1,('[23]SENSUS MEI'!$D$9:$D$453=$D177)*('[23]SENSUS MEI'!$D$9:$D$453=$D177),0))</f>
        <v>46154</v>
      </c>
      <c r="I177" s="143">
        <f t="array" ref="I177">INDEX('[23]SENSUS MEI'!$K$9:$K$453,MATCH(1,('[23]SENSUS MEI'!$D$9:$D$453=$D177)*('[23]SENSUS MEI'!$D$9:$D$453=$D177),0))</f>
        <v>63</v>
      </c>
      <c r="J177" s="9">
        <f t="array" ref="J177">IFERROR(I177/G177*100,0)</f>
        <v>7.8163771712158807</v>
      </c>
      <c r="K177" s="143">
        <f t="array" ref="K177">INDEX('[23]SENSUS MEI'!$M$9:$M$453,MATCH(1,('[23]SENSUS MEI'!$D$9:$D$453=$D177)*('[23]SENSUS MEI'!$D$9:$D$453=$D177),0))+INDEX('[23]SENSUS MEI'!$O$9:$O$453,MATCH(1,('[23]SENSUS MEI'!$D$9:$D$453=$D177)*('[23]SENSUS MEI'!$D$9:$D$453=$D177),0))</f>
        <v>28</v>
      </c>
      <c r="L177" s="9">
        <f t="shared" si="18"/>
        <v>44.444444444444443</v>
      </c>
      <c r="M177" s="8" t="str">
        <f t="shared" si="13"/>
        <v>Perlu Pengendalian</v>
      </c>
      <c r="P177" s="194">
        <f t="shared" si="14"/>
        <v>3.6269999999999998</v>
      </c>
      <c r="Q177" s="194">
        <f t="array" ref="Q177">$P177*0.8</f>
        <v>2.9016000000000002</v>
      </c>
      <c r="R177" s="194">
        <f t="shared" si="15"/>
        <v>2.1761999999999997</v>
      </c>
      <c r="S177" s="194">
        <f t="shared" si="16"/>
        <v>1.4508000000000001</v>
      </c>
      <c r="T177" s="194">
        <f t="shared" si="17"/>
        <v>0.72540000000000004</v>
      </c>
    </row>
    <row r="178" spans="1:20" outlineLevel="1" x14ac:dyDescent="0.15">
      <c r="A178" s="8" t="s">
        <v>628</v>
      </c>
      <c r="B178" s="8" t="s">
        <v>14</v>
      </c>
      <c r="C178" s="8" t="s">
        <v>173</v>
      </c>
      <c r="D178" s="8" t="s">
        <v>760</v>
      </c>
      <c r="E178" s="9">
        <v>16.59</v>
      </c>
      <c r="F178" s="8" t="s">
        <v>16</v>
      </c>
      <c r="G178" s="143">
        <f t="array" ref="G178">INDEX('[23]SENSUS MEI'!$G$9:$G$453,MATCH(1,('[23]SENSUS MEI'!$D$9:$D$453=$D178)*('[23]SENSUS MEI'!$D$9:$D$453=$D178),0))</f>
        <v>2358</v>
      </c>
      <c r="H178" s="11">
        <f t="array" ref="H178">INDEX('[23]SENSUS MEI'!$J$9:$J$453,MATCH(1,('[23]SENSUS MEI'!$D$9:$D$453=$D178)*('[23]SENSUS MEI'!$D$9:$D$453=$D178),0))</f>
        <v>46154</v>
      </c>
      <c r="I178" s="143">
        <f t="array" ref="I178">INDEX('[23]SENSUS MEI'!$K$9:$K$453,MATCH(1,('[23]SENSUS MEI'!$D$9:$D$453=$D178)*('[23]SENSUS MEI'!$D$9:$D$453=$D178),0))</f>
        <v>114</v>
      </c>
      <c r="J178" s="9">
        <f t="array" ref="J178">IFERROR(I178/G178*100,0)</f>
        <v>4.8346055979643765</v>
      </c>
      <c r="K178" s="143">
        <f t="array" ref="K178">INDEX('[23]SENSUS MEI'!$M$9:$M$453,MATCH(1,('[23]SENSUS MEI'!$D$9:$D$453=$D178)*('[23]SENSUS MEI'!$D$9:$D$453=$D178),0))+INDEX('[23]SENSUS MEI'!$O$9:$O$453,MATCH(1,('[23]SENSUS MEI'!$D$9:$D$453=$D178)*('[23]SENSUS MEI'!$D$9:$D$453=$D178),0))</f>
        <v>60</v>
      </c>
      <c r="L178" s="9">
        <f t="shared" si="18"/>
        <v>52.631578947368418</v>
      </c>
      <c r="M178" s="8" t="str">
        <f t="shared" si="13"/>
        <v>Perlu Pengendalian</v>
      </c>
      <c r="P178" s="194">
        <f t="shared" si="14"/>
        <v>10.611000000000001</v>
      </c>
      <c r="Q178" s="194">
        <f t="array" ref="Q178">$P178*0.8</f>
        <v>8.4888000000000012</v>
      </c>
      <c r="R178" s="194">
        <f t="shared" si="15"/>
        <v>6.3666</v>
      </c>
      <c r="S178" s="194">
        <f t="shared" si="16"/>
        <v>4.2444000000000006</v>
      </c>
      <c r="T178" s="194">
        <f t="shared" si="17"/>
        <v>2.1222000000000003</v>
      </c>
    </row>
    <row r="179" spans="1:20" outlineLevel="1" x14ac:dyDescent="0.15">
      <c r="A179" s="8" t="s">
        <v>628</v>
      </c>
      <c r="B179" s="8" t="s">
        <v>14</v>
      </c>
      <c r="C179" s="8" t="s">
        <v>173</v>
      </c>
      <c r="D179" s="8" t="s">
        <v>761</v>
      </c>
      <c r="E179" s="9">
        <v>21.26</v>
      </c>
      <c r="F179" s="8" t="s">
        <v>16</v>
      </c>
      <c r="G179" s="143">
        <f t="array" ref="G179">INDEX('[23]SENSUS MEI'!$G$9:$G$453,MATCH(1,('[23]SENSUS MEI'!$D$9:$D$453=$D179)*('[23]SENSUS MEI'!$D$9:$D$453=$D179),0))</f>
        <v>2815</v>
      </c>
      <c r="H179" s="11">
        <f t="array" ref="H179">INDEX('[23]SENSUS MEI'!$J$9:$J$453,MATCH(1,('[23]SENSUS MEI'!$D$9:$D$453=$D179)*('[23]SENSUS MEI'!$D$9:$D$453=$D179),0))</f>
        <v>46154</v>
      </c>
      <c r="I179" s="143">
        <f t="array" ref="I179">INDEX('[23]SENSUS MEI'!$K$9:$K$453,MATCH(1,('[23]SENSUS MEI'!$D$9:$D$453=$D179)*('[23]SENSUS MEI'!$D$9:$D$453=$D179),0))</f>
        <v>25</v>
      </c>
      <c r="J179" s="9">
        <f t="array" ref="J179">IFERROR(I179/G179*100,0)</f>
        <v>0.88809946714031962</v>
      </c>
      <c r="K179" s="143">
        <f t="array" ref="K179">INDEX('[23]SENSUS MEI'!$M$9:$M$453,MATCH(1,('[23]SENSUS MEI'!$D$9:$D$453=$D179)*('[23]SENSUS MEI'!$D$9:$D$453=$D179),0))+INDEX('[23]SENSUS MEI'!$O$9:$O$453,MATCH(1,('[23]SENSUS MEI'!$D$9:$D$453=$D179)*('[23]SENSUS MEI'!$D$9:$D$453=$D179),0))</f>
        <v>3</v>
      </c>
      <c r="L179" s="9">
        <f t="shared" si="18"/>
        <v>12</v>
      </c>
      <c r="M179" s="8" t="str">
        <f t="shared" si="13"/>
        <v>Perlu Pengendalian</v>
      </c>
      <c r="P179" s="194">
        <f t="shared" si="14"/>
        <v>12.6675</v>
      </c>
      <c r="Q179" s="194">
        <f t="array" ref="Q179">$P179*0.8</f>
        <v>10.134</v>
      </c>
      <c r="R179" s="194">
        <f t="shared" si="15"/>
        <v>7.6005000000000003</v>
      </c>
      <c r="S179" s="194">
        <f t="shared" si="16"/>
        <v>5.0670000000000002</v>
      </c>
      <c r="T179" s="194">
        <f t="shared" si="17"/>
        <v>2.5335000000000001</v>
      </c>
    </row>
    <row r="180" spans="1:20" outlineLevel="1" x14ac:dyDescent="0.15">
      <c r="A180" s="8" t="s">
        <v>628</v>
      </c>
      <c r="B180" s="8" t="s">
        <v>14</v>
      </c>
      <c r="C180" s="8" t="s">
        <v>173</v>
      </c>
      <c r="D180" s="8" t="s">
        <v>762</v>
      </c>
      <c r="E180" s="9">
        <v>13.76</v>
      </c>
      <c r="F180" s="8" t="s">
        <v>16</v>
      </c>
      <c r="G180" s="143">
        <f t="array" ref="G180">INDEX('[23]SENSUS MEI'!$G$9:$G$453,MATCH(1,('[23]SENSUS MEI'!$D$9:$D$453=$D180)*('[23]SENSUS MEI'!$D$9:$D$453=$D180),0))</f>
        <v>2001</v>
      </c>
      <c r="H180" s="11">
        <f t="array" ref="H180">INDEX('[23]SENSUS MEI'!$J$9:$J$453,MATCH(1,('[23]SENSUS MEI'!$D$9:$D$453=$D180)*('[23]SENSUS MEI'!$D$9:$D$453=$D180),0))</f>
        <v>46154</v>
      </c>
      <c r="I180" s="143">
        <f t="array" ref="I180">INDEX('[23]SENSUS MEI'!$K$9:$K$453,MATCH(1,('[23]SENSUS MEI'!$D$9:$D$453=$D180)*('[23]SENSUS MEI'!$D$9:$D$453=$D180),0))</f>
        <v>52</v>
      </c>
      <c r="J180" s="9">
        <f t="array" ref="J180">IFERROR(I180/G180*100,0)</f>
        <v>2.5987006496751621</v>
      </c>
      <c r="K180" s="143">
        <f t="array" ref="K180">INDEX('[23]SENSUS MEI'!$M$9:$M$453,MATCH(1,('[23]SENSUS MEI'!$D$9:$D$453=$D180)*('[23]SENSUS MEI'!$D$9:$D$453=$D180),0))+INDEX('[23]SENSUS MEI'!$O$9:$O$453,MATCH(1,('[23]SENSUS MEI'!$D$9:$D$453=$D180)*('[23]SENSUS MEI'!$D$9:$D$453=$D180),0))</f>
        <v>7</v>
      </c>
      <c r="L180" s="9">
        <f t="shared" si="18"/>
        <v>13.461538461538462</v>
      </c>
      <c r="M180" s="8" t="str">
        <f t="shared" si="13"/>
        <v>Perlu Pengendalian</v>
      </c>
      <c r="P180" s="194">
        <f t="shared" si="14"/>
        <v>9.0045000000000002</v>
      </c>
      <c r="Q180" s="194">
        <f t="array" ref="Q180">$P180*0.8</f>
        <v>7.2036000000000007</v>
      </c>
      <c r="R180" s="194">
        <f t="shared" si="15"/>
        <v>5.4027000000000003</v>
      </c>
      <c r="S180" s="194">
        <f t="shared" si="16"/>
        <v>3.6018000000000003</v>
      </c>
      <c r="T180" s="194">
        <f t="shared" si="17"/>
        <v>1.8009000000000002</v>
      </c>
    </row>
    <row r="181" spans="1:20" outlineLevel="1" x14ac:dyDescent="0.15">
      <c r="A181" s="8" t="s">
        <v>628</v>
      </c>
      <c r="B181" s="8" t="s">
        <v>14</v>
      </c>
      <c r="C181" s="8" t="s">
        <v>173</v>
      </c>
      <c r="D181" s="8" t="s">
        <v>763</v>
      </c>
      <c r="E181" s="9">
        <v>8.07</v>
      </c>
      <c r="F181" s="8" t="s">
        <v>16</v>
      </c>
      <c r="G181" s="143">
        <f t="array" ref="G181">INDEX('[23]SENSUS MEI'!$G$9:$G$453,MATCH(1,('[23]SENSUS MEI'!$D$9:$D$453=$D181)*('[23]SENSUS MEI'!$D$9:$D$453=$D181),0))</f>
        <v>1821</v>
      </c>
      <c r="H181" s="11">
        <f t="array" ref="H181">INDEX('[23]SENSUS MEI'!$J$9:$J$453,MATCH(1,('[23]SENSUS MEI'!$D$9:$D$453=$D181)*('[23]SENSUS MEI'!$D$9:$D$453=$D181),0))</f>
        <v>46150</v>
      </c>
      <c r="I181" s="143">
        <f t="array" ref="I181">INDEX('[23]SENSUS MEI'!$K$9:$K$453,MATCH(1,('[23]SENSUS MEI'!$D$9:$D$453=$D181)*('[23]SENSUS MEI'!$D$9:$D$453=$D181),0))</f>
        <v>133</v>
      </c>
      <c r="J181" s="9">
        <f t="array" ref="J181">IFERROR(I181/G181*100,0)</f>
        <v>7.3036792970895119</v>
      </c>
      <c r="K181" s="143">
        <f t="array" ref="K181">INDEX('[23]SENSUS MEI'!$M$9:$M$453,MATCH(1,('[23]SENSUS MEI'!$D$9:$D$453=$D181)*('[23]SENSUS MEI'!$D$9:$D$453=$D181),0))+INDEX('[23]SENSUS MEI'!$O$9:$O$453,MATCH(1,('[23]SENSUS MEI'!$D$9:$D$453=$D181)*('[23]SENSUS MEI'!$D$9:$D$453=$D181),0))</f>
        <v>12</v>
      </c>
      <c r="L181" s="9">
        <f t="shared" si="18"/>
        <v>9.0225563909774422</v>
      </c>
      <c r="M181" s="8" t="str">
        <f t="shared" si="13"/>
        <v>Perlu Pengendalian</v>
      </c>
      <c r="P181" s="194">
        <f t="shared" si="14"/>
        <v>8.1944999999999997</v>
      </c>
      <c r="Q181" s="194">
        <f t="array" ref="Q181">$P181*0.8</f>
        <v>6.5556000000000001</v>
      </c>
      <c r="R181" s="194">
        <f t="shared" si="15"/>
        <v>4.9166999999999996</v>
      </c>
      <c r="S181" s="194">
        <f t="shared" si="16"/>
        <v>3.2778</v>
      </c>
      <c r="T181" s="194">
        <f t="shared" si="17"/>
        <v>1.6389</v>
      </c>
    </row>
    <row r="182" spans="1:20" outlineLevel="1" x14ac:dyDescent="0.15">
      <c r="A182" s="8" t="s">
        <v>628</v>
      </c>
      <c r="B182" s="8" t="s">
        <v>14</v>
      </c>
      <c r="C182" s="8" t="s">
        <v>173</v>
      </c>
      <c r="D182" s="8" t="s">
        <v>764</v>
      </c>
      <c r="E182" s="9">
        <v>15.2</v>
      </c>
      <c r="F182" s="8" t="s">
        <v>16</v>
      </c>
      <c r="G182" s="143">
        <f t="array" ref="G182">INDEX('[23]SENSUS MEI'!$G$9:$G$453,MATCH(1,('[23]SENSUS MEI'!$D$9:$D$453=$D182)*('[23]SENSUS MEI'!$D$9:$D$453=$D182),0))</f>
        <v>2462</v>
      </c>
      <c r="H182" s="11">
        <f t="array" ref="H182">INDEX('[23]SENSUS MEI'!$J$9:$J$453,MATCH(1,('[23]SENSUS MEI'!$D$9:$D$453=$D182)*('[23]SENSUS MEI'!$D$9:$D$453=$D182),0))</f>
        <v>46153</v>
      </c>
      <c r="I182" s="143">
        <f t="array" ref="I182">INDEX('[23]SENSUS MEI'!$K$9:$K$453,MATCH(1,('[23]SENSUS MEI'!$D$9:$D$453=$D182)*('[23]SENSUS MEI'!$D$9:$D$453=$D182),0))</f>
        <v>158</v>
      </c>
      <c r="J182" s="9">
        <f t="array" ref="J182">IFERROR(I182/G182*100,0)</f>
        <v>6.4175467099918766</v>
      </c>
      <c r="K182" s="143">
        <f t="array" ref="K182">INDEX('[23]SENSUS MEI'!$M$9:$M$453,MATCH(1,('[23]SENSUS MEI'!$D$9:$D$453=$D182)*('[23]SENSUS MEI'!$D$9:$D$453=$D182),0))+INDEX('[23]SENSUS MEI'!$O$9:$O$453,MATCH(1,('[23]SENSUS MEI'!$D$9:$D$453=$D182)*('[23]SENSUS MEI'!$D$9:$D$453=$D182),0))</f>
        <v>5</v>
      </c>
      <c r="L182" s="9">
        <f t="shared" si="18"/>
        <v>3.1645569620253164</v>
      </c>
      <c r="M182" s="8" t="str">
        <f t="shared" si="13"/>
        <v>Perlu Pengendalian</v>
      </c>
      <c r="P182" s="194">
        <f t="shared" si="14"/>
        <v>11.079000000000001</v>
      </c>
      <c r="Q182" s="194">
        <f t="array" ref="Q182">$P182*0.8</f>
        <v>8.8632000000000009</v>
      </c>
      <c r="R182" s="194">
        <f t="shared" si="15"/>
        <v>6.6474000000000002</v>
      </c>
      <c r="S182" s="194">
        <f t="shared" si="16"/>
        <v>4.4316000000000004</v>
      </c>
      <c r="T182" s="194">
        <f t="shared" si="17"/>
        <v>2.2158000000000002</v>
      </c>
    </row>
    <row r="183" spans="1:20" outlineLevel="1" x14ac:dyDescent="0.15">
      <c r="A183" s="8" t="s">
        <v>628</v>
      </c>
      <c r="B183" s="8" t="s">
        <v>14</v>
      </c>
      <c r="C183" s="8" t="s">
        <v>173</v>
      </c>
      <c r="D183" s="8" t="s">
        <v>765</v>
      </c>
      <c r="E183" s="9">
        <v>8.32</v>
      </c>
      <c r="F183" s="8" t="s">
        <v>16</v>
      </c>
      <c r="G183" s="143">
        <f t="array" ref="G183">INDEX('[23]SENSUS MEI'!$G$9:$G$453,MATCH(1,('[23]SENSUS MEI'!$D$9:$D$453=$D183)*('[23]SENSUS MEI'!$D$9:$D$453=$D183),0))</f>
        <v>1228</v>
      </c>
      <c r="H183" s="11">
        <f t="array" ref="H183">INDEX('[23]SENSUS MEI'!$J$9:$J$453,MATCH(1,('[23]SENSUS MEI'!$D$9:$D$453=$D183)*('[23]SENSUS MEI'!$D$9:$D$453=$D183),0))</f>
        <v>46153</v>
      </c>
      <c r="I183" s="143">
        <f t="array" ref="I183">INDEX('[23]SENSUS MEI'!$K$9:$K$453,MATCH(1,('[23]SENSUS MEI'!$D$9:$D$453=$D183)*('[23]SENSUS MEI'!$D$9:$D$453=$D183),0))</f>
        <v>46</v>
      </c>
      <c r="J183" s="9">
        <f t="array" ref="J183">IFERROR(I183/G183*100,0)</f>
        <v>3.7459283387622153</v>
      </c>
      <c r="K183" s="143">
        <f t="array" ref="K183">INDEX('[23]SENSUS MEI'!$M$9:$M$453,MATCH(1,('[23]SENSUS MEI'!$D$9:$D$453=$D183)*('[23]SENSUS MEI'!$D$9:$D$453=$D183),0))+INDEX('[23]SENSUS MEI'!$O$9:$O$453,MATCH(1,('[23]SENSUS MEI'!$D$9:$D$453=$D183)*('[23]SENSUS MEI'!$D$9:$D$453=$D183),0))</f>
        <v>8</v>
      </c>
      <c r="L183" s="9">
        <f t="shared" si="18"/>
        <v>17.391304347826086</v>
      </c>
      <c r="M183" s="8" t="str">
        <f t="shared" si="13"/>
        <v>Perlu Pengendalian</v>
      </c>
      <c r="P183" s="194">
        <f t="shared" si="14"/>
        <v>5.5259999999999998</v>
      </c>
      <c r="Q183" s="194">
        <f t="array" ref="Q183">$P183*0.8</f>
        <v>4.4207999999999998</v>
      </c>
      <c r="R183" s="194">
        <f t="shared" si="15"/>
        <v>3.3155999999999999</v>
      </c>
      <c r="S183" s="194">
        <f t="shared" si="16"/>
        <v>2.2103999999999999</v>
      </c>
      <c r="T183" s="194">
        <f t="shared" si="17"/>
        <v>1.1052</v>
      </c>
    </row>
    <row r="184" spans="1:20" outlineLevel="1" x14ac:dyDescent="0.15">
      <c r="A184" s="8" t="s">
        <v>628</v>
      </c>
      <c r="B184" s="8" t="s">
        <v>14</v>
      </c>
      <c r="C184" s="8" t="s">
        <v>173</v>
      </c>
      <c r="D184" s="8" t="s">
        <v>766</v>
      </c>
      <c r="E184" s="9">
        <v>2.69</v>
      </c>
      <c r="F184" s="8" t="s">
        <v>16</v>
      </c>
      <c r="G184" s="143">
        <f t="array" ref="G184">INDEX('[23]SENSUS MEI'!$G$9:$G$453,MATCH(1,('[23]SENSUS MEI'!$D$9:$D$453=$D184)*('[23]SENSUS MEI'!$D$9:$D$453=$D184),0))</f>
        <v>391</v>
      </c>
      <c r="H184" s="11">
        <f t="array" ref="H184">INDEX('[23]SENSUS MEI'!$J$9:$J$453,MATCH(1,('[23]SENSUS MEI'!$D$9:$D$453=$D184)*('[23]SENSUS MEI'!$D$9:$D$453=$D184),0))</f>
        <v>46150</v>
      </c>
      <c r="I184" s="143">
        <f t="array" ref="I184">INDEX('[23]SENSUS MEI'!$K$9:$K$453,MATCH(1,('[23]SENSUS MEI'!$D$9:$D$453=$D184)*('[23]SENSUS MEI'!$D$9:$D$453=$D184),0))</f>
        <v>53</v>
      </c>
      <c r="J184" s="9">
        <f t="array" ref="J184">IFERROR(I184/G184*100,0)</f>
        <v>13.554987212276215</v>
      </c>
      <c r="K184" s="143">
        <f t="array" ref="K184">INDEX('[23]SENSUS MEI'!$M$9:$M$453,MATCH(1,('[23]SENSUS MEI'!$D$9:$D$453=$D184)*('[23]SENSUS MEI'!$D$9:$D$453=$D184),0))+INDEX('[23]SENSUS MEI'!$O$9:$O$453,MATCH(1,('[23]SENSUS MEI'!$D$9:$D$453=$D184)*('[23]SENSUS MEI'!$D$9:$D$453=$D184),0))</f>
        <v>5</v>
      </c>
      <c r="L184" s="9">
        <f t="shared" si="18"/>
        <v>9.433962264150944</v>
      </c>
      <c r="M184" s="8" t="str">
        <f t="shared" si="13"/>
        <v>Perlu Pengendalian</v>
      </c>
      <c r="P184" s="194">
        <f t="shared" si="14"/>
        <v>1.7595000000000001</v>
      </c>
      <c r="Q184" s="194">
        <f t="array" ref="Q184">$P184*0.8</f>
        <v>1.4076000000000002</v>
      </c>
      <c r="R184" s="194">
        <f t="shared" si="15"/>
        <v>1.0557000000000001</v>
      </c>
      <c r="S184" s="194">
        <f t="shared" si="16"/>
        <v>0.70380000000000009</v>
      </c>
      <c r="T184" s="194">
        <f t="shared" si="17"/>
        <v>0.35190000000000005</v>
      </c>
    </row>
    <row r="185" spans="1:20" outlineLevel="1" x14ac:dyDescent="0.15">
      <c r="A185" s="8" t="s">
        <v>628</v>
      </c>
      <c r="B185" s="8" t="s">
        <v>14</v>
      </c>
      <c r="C185" s="8" t="s">
        <v>173</v>
      </c>
      <c r="D185" s="8" t="s">
        <v>767</v>
      </c>
      <c r="E185" s="9">
        <v>7.4</v>
      </c>
      <c r="F185" s="8" t="s">
        <v>16</v>
      </c>
      <c r="G185" s="143">
        <f t="array" ref="G185">INDEX('[23]SENSUS MEI'!$G$9:$G$453,MATCH(1,('[23]SENSUS MEI'!$D$9:$D$453=$D185)*('[23]SENSUS MEI'!$D$9:$D$453=$D185),0))</f>
        <v>997</v>
      </c>
      <c r="H185" s="11">
        <f t="array" ref="H185">INDEX('[23]SENSUS MEI'!$J$9:$J$453,MATCH(1,('[23]SENSUS MEI'!$D$9:$D$453=$D185)*('[23]SENSUS MEI'!$D$9:$D$453=$D185),0))</f>
        <v>46150</v>
      </c>
      <c r="I185" s="143">
        <f t="array" ref="I185">INDEX('[23]SENSUS MEI'!$K$9:$K$453,MATCH(1,('[23]SENSUS MEI'!$D$9:$D$453=$D185)*('[23]SENSUS MEI'!$D$9:$D$453=$D185),0))</f>
        <v>99</v>
      </c>
      <c r="J185" s="9">
        <f t="array" ref="J185">IFERROR(I185/G185*100,0)</f>
        <v>9.9297893681043128</v>
      </c>
      <c r="K185" s="143">
        <f t="array" ref="K185">INDEX('[23]SENSUS MEI'!$M$9:$M$453,MATCH(1,('[23]SENSUS MEI'!$D$9:$D$453=$D185)*('[23]SENSUS MEI'!$D$9:$D$453=$D185),0))+INDEX('[23]SENSUS MEI'!$O$9:$O$453,MATCH(1,('[23]SENSUS MEI'!$D$9:$D$453=$D185)*('[23]SENSUS MEI'!$D$9:$D$453=$D185),0))</f>
        <v>4</v>
      </c>
      <c r="L185" s="9">
        <f t="shared" si="18"/>
        <v>4.0404040404040407</v>
      </c>
      <c r="M185" s="8" t="str">
        <f t="shared" si="13"/>
        <v>Perlu Pengendalian</v>
      </c>
      <c r="P185" s="194">
        <f t="shared" si="14"/>
        <v>4.4865000000000004</v>
      </c>
      <c r="Q185" s="194">
        <f t="array" ref="Q185">$P185*0.8</f>
        <v>3.5892000000000004</v>
      </c>
      <c r="R185" s="194">
        <f t="shared" si="15"/>
        <v>2.6919</v>
      </c>
      <c r="S185" s="194">
        <f t="shared" si="16"/>
        <v>1.7946000000000002</v>
      </c>
      <c r="T185" s="194">
        <f t="shared" si="17"/>
        <v>0.8973000000000001</v>
      </c>
    </row>
    <row r="186" spans="1:20" outlineLevel="1" x14ac:dyDescent="0.15">
      <c r="A186" s="8" t="s">
        <v>628</v>
      </c>
      <c r="B186" s="8" t="s">
        <v>14</v>
      </c>
      <c r="C186" s="8" t="s">
        <v>173</v>
      </c>
      <c r="D186" s="8" t="s">
        <v>768</v>
      </c>
      <c r="E186" s="9">
        <v>10.09</v>
      </c>
      <c r="F186" s="8" t="s">
        <v>16</v>
      </c>
      <c r="G186" s="143">
        <f t="array" ref="G186">INDEX('[23]SENSUS MEI'!$G$9:$G$453,MATCH(1,('[23]SENSUS MEI'!$D$9:$D$453=$D186)*('[23]SENSUS MEI'!$D$9:$D$453=$D186),0))</f>
        <v>1280</v>
      </c>
      <c r="H186" s="11">
        <f t="array" ref="H186">INDEX('[23]SENSUS MEI'!$J$9:$J$453,MATCH(1,('[23]SENSUS MEI'!$D$9:$D$453=$D186)*('[23]SENSUS MEI'!$D$9:$D$453=$D186),0))</f>
        <v>46151</v>
      </c>
      <c r="I186" s="143">
        <f t="array" ref="I186">INDEX('[23]SENSUS MEI'!$K$9:$K$453,MATCH(1,('[23]SENSUS MEI'!$D$9:$D$453=$D186)*('[23]SENSUS MEI'!$D$9:$D$453=$D186),0))</f>
        <v>131</v>
      </c>
      <c r="J186" s="9">
        <f t="array" ref="J186">IFERROR(I186/G186*100,0)</f>
        <v>10.234375</v>
      </c>
      <c r="K186" s="143">
        <f t="array" ref="K186">INDEX('[23]SENSUS MEI'!$M$9:$M$453,MATCH(1,('[23]SENSUS MEI'!$D$9:$D$453=$D186)*('[23]SENSUS MEI'!$D$9:$D$453=$D186),0))+INDEX('[23]SENSUS MEI'!$O$9:$O$453,MATCH(1,('[23]SENSUS MEI'!$D$9:$D$453=$D186)*('[23]SENSUS MEI'!$D$9:$D$453=$D186),0))</f>
        <v>4</v>
      </c>
      <c r="L186" s="9">
        <f t="shared" si="18"/>
        <v>3.0534351145038165</v>
      </c>
      <c r="M186" s="8" t="str">
        <f t="shared" si="13"/>
        <v>Perlu Pengendalian</v>
      </c>
      <c r="P186" s="194">
        <f t="shared" si="14"/>
        <v>5.76</v>
      </c>
      <c r="Q186" s="194">
        <f t="array" ref="Q186">$P186*0.8</f>
        <v>4.6079999999999997</v>
      </c>
      <c r="R186" s="194">
        <f t="shared" si="15"/>
        <v>3.456</v>
      </c>
      <c r="S186" s="194">
        <f t="shared" si="16"/>
        <v>2.3039999999999998</v>
      </c>
      <c r="T186" s="194">
        <f t="shared" si="17"/>
        <v>1.1519999999999999</v>
      </c>
    </row>
    <row r="187" spans="1:20" outlineLevel="1" x14ac:dyDescent="0.15">
      <c r="A187" s="8" t="s">
        <v>628</v>
      </c>
      <c r="B187" s="8" t="s">
        <v>14</v>
      </c>
      <c r="C187" s="8" t="s">
        <v>173</v>
      </c>
      <c r="D187" s="8" t="s">
        <v>769</v>
      </c>
      <c r="E187" s="9">
        <v>12.5</v>
      </c>
      <c r="F187" s="8" t="s">
        <v>16</v>
      </c>
      <c r="G187" s="143">
        <f t="array" ref="G187">INDEX('[23]SENSUS MEI'!$G$9:$G$453,MATCH(1,('[23]SENSUS MEI'!$D$9:$D$453=$D187)*('[23]SENSUS MEI'!$D$9:$D$453=$D187),0))</f>
        <v>1745</v>
      </c>
      <c r="H187" s="11">
        <f t="array" ref="H187">INDEX('[23]SENSUS MEI'!$J$9:$J$453,MATCH(1,('[23]SENSUS MEI'!$D$9:$D$453=$D187)*('[23]SENSUS MEI'!$D$9:$D$453=$D187),0))</f>
        <v>46151</v>
      </c>
      <c r="I187" s="143">
        <f t="array" ref="I187">INDEX('[23]SENSUS MEI'!$K$9:$K$453,MATCH(1,('[23]SENSUS MEI'!$D$9:$D$453=$D187)*('[23]SENSUS MEI'!$D$9:$D$453=$D187),0))</f>
        <v>152</v>
      </c>
      <c r="J187" s="9">
        <f t="array" ref="J187">IFERROR(I187/G187*100,0)</f>
        <v>8.7106017191977081</v>
      </c>
      <c r="K187" s="143">
        <f t="array" ref="K187">INDEX('[23]SENSUS MEI'!$M$9:$M$453,MATCH(1,('[23]SENSUS MEI'!$D$9:$D$453=$D187)*('[23]SENSUS MEI'!$D$9:$D$453=$D187),0))+INDEX('[23]SENSUS MEI'!$O$9:$O$453,MATCH(1,('[23]SENSUS MEI'!$D$9:$D$453=$D187)*('[23]SENSUS MEI'!$D$9:$D$453=$D187),0))</f>
        <v>4</v>
      </c>
      <c r="L187" s="9">
        <f t="shared" si="18"/>
        <v>2.6315789473684208</v>
      </c>
      <c r="M187" s="8" t="str">
        <f t="shared" si="13"/>
        <v>Perlu Pengendalian</v>
      </c>
      <c r="P187" s="194">
        <f t="shared" si="14"/>
        <v>7.8525</v>
      </c>
      <c r="Q187" s="194">
        <f t="array" ref="Q187">$P187*0.8</f>
        <v>6.282</v>
      </c>
      <c r="R187" s="194">
        <f t="shared" si="15"/>
        <v>4.7115</v>
      </c>
      <c r="S187" s="194">
        <f t="shared" si="16"/>
        <v>3.141</v>
      </c>
      <c r="T187" s="194">
        <f t="shared" si="17"/>
        <v>1.5705</v>
      </c>
    </row>
    <row r="188" spans="1:20" outlineLevel="1" x14ac:dyDescent="0.15">
      <c r="A188" s="8" t="s">
        <v>628</v>
      </c>
      <c r="B188" s="8" t="s">
        <v>14</v>
      </c>
      <c r="C188" s="8" t="s">
        <v>173</v>
      </c>
      <c r="D188" s="8" t="s">
        <v>770</v>
      </c>
      <c r="E188" s="9">
        <v>13.4</v>
      </c>
      <c r="F188" s="8" t="s">
        <v>16</v>
      </c>
      <c r="G188" s="143">
        <f t="array" ref="G188">INDEX('[23]SENSUS MEI'!$G$9:$G$453,MATCH(1,('[23]SENSUS MEI'!$D$9:$D$453=$D188)*('[23]SENSUS MEI'!$D$9:$D$453=$D188),0))</f>
        <v>1911</v>
      </c>
      <c r="H188" s="11">
        <f t="array" ref="H188">INDEX('[23]SENSUS MEI'!$J$9:$J$453,MATCH(1,('[23]SENSUS MEI'!$D$9:$D$453=$D188)*('[23]SENSUS MEI'!$D$9:$D$453=$D188),0))</f>
        <v>46150</v>
      </c>
      <c r="I188" s="143">
        <f t="array" ref="I188">INDEX('[23]SENSUS MEI'!$K$9:$K$453,MATCH(1,('[23]SENSUS MEI'!$D$9:$D$453=$D188)*('[23]SENSUS MEI'!$D$9:$D$453=$D188),0))</f>
        <v>182</v>
      </c>
      <c r="J188" s="9">
        <f t="array" ref="J188">IFERROR(I188/G188*100,0)</f>
        <v>9.5238095238095237</v>
      </c>
      <c r="K188" s="143">
        <f t="array" ref="K188">INDEX('[23]SENSUS MEI'!$M$9:$M$453,MATCH(1,('[23]SENSUS MEI'!$D$9:$D$453=$D188)*('[23]SENSUS MEI'!$D$9:$D$453=$D188),0))+INDEX('[23]SENSUS MEI'!$O$9:$O$453,MATCH(1,('[23]SENSUS MEI'!$D$9:$D$453=$D188)*('[23]SENSUS MEI'!$D$9:$D$453=$D188),0))</f>
        <v>15</v>
      </c>
      <c r="L188" s="9">
        <f t="shared" si="18"/>
        <v>8.2417582417582409</v>
      </c>
      <c r="M188" s="8" t="str">
        <f t="shared" si="13"/>
        <v>Perlu Pengendalian</v>
      </c>
      <c r="P188" s="194">
        <f t="shared" si="14"/>
        <v>8.5995000000000008</v>
      </c>
      <c r="Q188" s="194">
        <f t="array" ref="Q188">$P188*0.8</f>
        <v>6.8796000000000008</v>
      </c>
      <c r="R188" s="194">
        <f t="shared" si="15"/>
        <v>5.1597</v>
      </c>
      <c r="S188" s="194">
        <f t="shared" si="16"/>
        <v>3.4398000000000004</v>
      </c>
      <c r="T188" s="194">
        <f t="shared" si="17"/>
        <v>1.7199000000000002</v>
      </c>
    </row>
    <row r="189" spans="1:20" outlineLevel="1" x14ac:dyDescent="0.15">
      <c r="A189" s="8" t="s">
        <v>628</v>
      </c>
      <c r="B189" s="8" t="s">
        <v>14</v>
      </c>
      <c r="C189" s="8" t="s">
        <v>173</v>
      </c>
      <c r="D189" s="8" t="s">
        <v>771</v>
      </c>
      <c r="E189" s="9">
        <v>7.33</v>
      </c>
      <c r="F189" s="8" t="s">
        <v>16</v>
      </c>
      <c r="G189" s="143">
        <f t="array" ref="G189">INDEX('[23]SENSUS MEI'!$G$9:$G$453,MATCH(1,('[23]SENSUS MEI'!$D$9:$D$453=$D189)*('[23]SENSUS MEI'!$D$9:$D$453=$D189),0))</f>
        <v>1048</v>
      </c>
      <c r="H189" s="11">
        <f t="array" ref="H189">INDEX('[23]SENSUS MEI'!$J$9:$J$453,MATCH(1,('[23]SENSUS MEI'!$D$9:$D$453=$D189)*('[23]SENSUS MEI'!$D$9:$D$453=$D189),0))</f>
        <v>46151</v>
      </c>
      <c r="I189" s="143">
        <f t="array" ref="I189">INDEX('[23]SENSUS MEI'!$K$9:$K$453,MATCH(1,('[23]SENSUS MEI'!$D$9:$D$453=$D189)*('[23]SENSUS MEI'!$D$9:$D$453=$D189),0))</f>
        <v>136</v>
      </c>
      <c r="J189" s="9">
        <f t="array" ref="J189">IFERROR(I189/G189*100,0)</f>
        <v>12.977099236641221</v>
      </c>
      <c r="K189" s="143">
        <f t="array" ref="K189">INDEX('[23]SENSUS MEI'!$M$9:$M$453,MATCH(1,('[23]SENSUS MEI'!$D$9:$D$453=$D189)*('[23]SENSUS MEI'!$D$9:$D$453=$D189),0))+INDEX('[23]SENSUS MEI'!$O$9:$O$453,MATCH(1,('[23]SENSUS MEI'!$D$9:$D$453=$D189)*('[23]SENSUS MEI'!$D$9:$D$453=$D189),0))</f>
        <v>3</v>
      </c>
      <c r="L189" s="9">
        <f t="shared" si="18"/>
        <v>2.2058823529411766</v>
      </c>
      <c r="M189" s="8" t="str">
        <f t="shared" si="13"/>
        <v>Perlu Pengendalian</v>
      </c>
      <c r="P189" s="194">
        <f t="shared" si="14"/>
        <v>4.7160000000000002</v>
      </c>
      <c r="Q189" s="194">
        <f t="array" ref="Q189">$P189*0.8</f>
        <v>3.7728000000000002</v>
      </c>
      <c r="R189" s="194">
        <f t="shared" si="15"/>
        <v>2.8296000000000001</v>
      </c>
      <c r="S189" s="194">
        <f t="shared" si="16"/>
        <v>1.8864000000000001</v>
      </c>
      <c r="T189" s="194">
        <f t="shared" si="17"/>
        <v>0.94320000000000004</v>
      </c>
    </row>
    <row r="190" spans="1:20" outlineLevel="1" x14ac:dyDescent="0.15">
      <c r="A190" s="8" t="s">
        <v>628</v>
      </c>
      <c r="B190" s="8" t="s">
        <v>47</v>
      </c>
      <c r="C190" s="8" t="s">
        <v>216</v>
      </c>
      <c r="D190" s="8" t="s">
        <v>772</v>
      </c>
      <c r="E190" s="9">
        <v>39.299999999999997</v>
      </c>
      <c r="F190" s="8" t="s">
        <v>16</v>
      </c>
      <c r="G190" s="143">
        <f t="array" ref="G190">INDEX('[23]SENSUS MEI'!$G$9:$G$453,MATCH(1,('[23]SENSUS MEI'!$D$9:$D$453=$D190)*('[23]SENSUS MEI'!$D$9:$D$453=$D190),0))</f>
        <v>5401</v>
      </c>
      <c r="H190" s="11">
        <f t="array" ref="H190">INDEX('[23]SENSUS MEI'!$J$9:$J$453,MATCH(1,('[23]SENSUS MEI'!$D$9:$D$453=$D190)*('[23]SENSUS MEI'!$D$9:$D$453=$D190),0))</f>
        <v>46149</v>
      </c>
      <c r="I190" s="143">
        <f t="array" ref="I190">INDEX('[23]SENSUS MEI'!$K$9:$K$453,MATCH(1,('[23]SENSUS MEI'!$D$9:$D$453=$D190)*('[23]SENSUS MEI'!$D$9:$D$453=$D190),0))</f>
        <v>606</v>
      </c>
      <c r="J190" s="9">
        <f t="array" ref="J190">IFERROR(I190/G190*100,0)</f>
        <v>11.220144417700425</v>
      </c>
      <c r="K190" s="143">
        <f t="array" ref="K190">INDEX('[23]SENSUS MEI'!$M$9:$M$453,MATCH(1,('[23]SENSUS MEI'!$D$9:$D$453=$D190)*('[23]SENSUS MEI'!$D$9:$D$453=$D190),0))+INDEX('[23]SENSUS MEI'!$O$9:$O$453,MATCH(1,('[23]SENSUS MEI'!$D$9:$D$453=$D190)*('[23]SENSUS MEI'!$D$9:$D$453=$D190),0))</f>
        <v>345</v>
      </c>
      <c r="L190" s="9">
        <f t="shared" si="18"/>
        <v>56.930693069306926</v>
      </c>
      <c r="M190" s="8" t="str">
        <f t="shared" si="13"/>
        <v>Perlu Pengendalian</v>
      </c>
      <c r="P190" s="194">
        <f t="shared" si="14"/>
        <v>24.304500000000001</v>
      </c>
      <c r="Q190" s="194">
        <f t="array" ref="Q190">$P190*0.8</f>
        <v>19.443600000000004</v>
      </c>
      <c r="R190" s="194">
        <f t="shared" si="15"/>
        <v>14.582699999999999</v>
      </c>
      <c r="S190" s="194">
        <f t="shared" si="16"/>
        <v>9.7218000000000018</v>
      </c>
      <c r="T190" s="194">
        <f t="shared" si="17"/>
        <v>4.8609000000000009</v>
      </c>
    </row>
    <row r="191" spans="1:20" outlineLevel="1" x14ac:dyDescent="0.15">
      <c r="A191" s="8" t="s">
        <v>628</v>
      </c>
      <c r="B191" s="8" t="s">
        <v>47</v>
      </c>
      <c r="C191" s="8" t="s">
        <v>216</v>
      </c>
      <c r="D191" s="8" t="s">
        <v>773</v>
      </c>
      <c r="E191" s="9">
        <v>35.299999999999997</v>
      </c>
      <c r="F191" s="8" t="s">
        <v>16</v>
      </c>
      <c r="G191" s="143">
        <f t="array" ref="G191">INDEX('[23]SENSUS MEI'!$G$9:$G$453,MATCH(1,('[23]SENSUS MEI'!$D$9:$D$453=$D191)*('[23]SENSUS MEI'!$D$9:$D$453=$D191),0))</f>
        <v>4726</v>
      </c>
      <c r="H191" s="11">
        <f t="array" ref="H191">INDEX('[23]SENSUS MEI'!$J$9:$J$453,MATCH(1,('[23]SENSUS MEI'!$D$9:$D$453=$D191)*('[23]SENSUS MEI'!$D$9:$D$453=$D191),0))</f>
        <v>46150</v>
      </c>
      <c r="I191" s="143">
        <f t="array" ref="I191">INDEX('[23]SENSUS MEI'!$K$9:$K$453,MATCH(1,('[23]SENSUS MEI'!$D$9:$D$453=$D191)*('[23]SENSUS MEI'!$D$9:$D$453=$D191),0))</f>
        <v>507</v>
      </c>
      <c r="J191" s="9">
        <f t="array" ref="J191">IFERROR(I191/G191*100,0)</f>
        <v>10.727888277613204</v>
      </c>
      <c r="K191" s="143">
        <f t="array" ref="K191">INDEX('[23]SENSUS MEI'!$M$9:$M$453,MATCH(1,('[23]SENSUS MEI'!$D$9:$D$453=$D191)*('[23]SENSUS MEI'!$D$9:$D$453=$D191),0))+INDEX('[23]SENSUS MEI'!$O$9:$O$453,MATCH(1,('[23]SENSUS MEI'!$D$9:$D$453=$D191)*('[23]SENSUS MEI'!$D$9:$D$453=$D191),0))</f>
        <v>175</v>
      </c>
      <c r="L191" s="9">
        <f t="shared" si="18"/>
        <v>34.516765285996051</v>
      </c>
      <c r="M191" s="8" t="str">
        <f t="shared" si="13"/>
        <v>Perlu Pengendalian</v>
      </c>
      <c r="P191" s="194">
        <f t="shared" si="14"/>
        <v>21.266999999999999</v>
      </c>
      <c r="Q191" s="194">
        <f t="array" ref="Q191">$P191*0.8</f>
        <v>17.0136</v>
      </c>
      <c r="R191" s="194">
        <f t="shared" si="15"/>
        <v>12.760199999999999</v>
      </c>
      <c r="S191" s="194">
        <f t="shared" si="16"/>
        <v>8.5068000000000001</v>
      </c>
      <c r="T191" s="194">
        <f t="shared" si="17"/>
        <v>4.2534000000000001</v>
      </c>
    </row>
    <row r="192" spans="1:20" outlineLevel="1" x14ac:dyDescent="0.15">
      <c r="A192" s="8" t="s">
        <v>628</v>
      </c>
      <c r="B192" s="8" t="s">
        <v>47</v>
      </c>
      <c r="C192" s="8" t="s">
        <v>216</v>
      </c>
      <c r="D192" s="8" t="s">
        <v>774</v>
      </c>
      <c r="E192" s="9">
        <v>46.41</v>
      </c>
      <c r="F192" s="8" t="s">
        <v>16</v>
      </c>
      <c r="G192" s="143">
        <f t="array" ref="G192">INDEX('[23]SENSUS MEI'!$G$9:$G$453,MATCH(1,('[23]SENSUS MEI'!$D$9:$D$453=$D192)*('[23]SENSUS MEI'!$D$9:$D$453=$D192),0))</f>
        <v>5905</v>
      </c>
      <c r="H192" s="11">
        <f t="array" ref="H192">INDEX('[23]SENSUS MEI'!$J$9:$J$453,MATCH(1,('[23]SENSUS MEI'!$D$9:$D$453=$D192)*('[23]SENSUS MEI'!$D$9:$D$453=$D192),0))</f>
        <v>46149</v>
      </c>
      <c r="I192" s="143">
        <f t="array" ref="I192">INDEX('[23]SENSUS MEI'!$K$9:$K$453,MATCH(1,('[23]SENSUS MEI'!$D$9:$D$453=$D192)*('[23]SENSUS MEI'!$D$9:$D$453=$D192),0))</f>
        <v>574</v>
      </c>
      <c r="J192" s="9">
        <f t="array" ref="J192">IFERROR(I192/G192*100,0)</f>
        <v>9.7205757832345476</v>
      </c>
      <c r="K192" s="143">
        <f t="array" ref="K192">INDEX('[23]SENSUS MEI'!$M$9:$M$453,MATCH(1,('[23]SENSUS MEI'!$D$9:$D$453=$D192)*('[23]SENSUS MEI'!$D$9:$D$453=$D192),0))+INDEX('[23]SENSUS MEI'!$O$9:$O$453,MATCH(1,('[23]SENSUS MEI'!$D$9:$D$453=$D192)*('[23]SENSUS MEI'!$D$9:$D$453=$D192),0))</f>
        <v>143</v>
      </c>
      <c r="L192" s="9">
        <f t="shared" si="18"/>
        <v>24.912891986062718</v>
      </c>
      <c r="M192" s="8" t="str">
        <f t="shared" si="13"/>
        <v>Perlu Pengendalian</v>
      </c>
      <c r="P192" s="194">
        <f t="shared" si="14"/>
        <v>26.572500000000002</v>
      </c>
      <c r="Q192" s="194">
        <f t="array" ref="Q192">$P192*0.8</f>
        <v>21.258000000000003</v>
      </c>
      <c r="R192" s="194">
        <f t="shared" si="15"/>
        <v>15.9435</v>
      </c>
      <c r="S192" s="194">
        <f t="shared" si="16"/>
        <v>10.629000000000001</v>
      </c>
      <c r="T192" s="194">
        <f t="shared" si="17"/>
        <v>5.3145000000000007</v>
      </c>
    </row>
    <row r="193" spans="1:20" outlineLevel="1" x14ac:dyDescent="0.15">
      <c r="A193" s="8" t="s">
        <v>628</v>
      </c>
      <c r="B193" s="8" t="s">
        <v>47</v>
      </c>
      <c r="C193" s="8" t="s">
        <v>216</v>
      </c>
      <c r="D193" s="8" t="s">
        <v>775</v>
      </c>
      <c r="E193" s="9">
        <v>33.01</v>
      </c>
      <c r="F193" s="8" t="s">
        <v>16</v>
      </c>
      <c r="G193" s="143">
        <f t="array" ref="G193">INDEX('[23]SENSUS MEI'!$G$9:$G$453,MATCH(1,('[23]SENSUS MEI'!$D$9:$D$453=$D193)*('[23]SENSUS MEI'!$D$9:$D$453=$D193),0))</f>
        <v>4766</v>
      </c>
      <c r="H193" s="11">
        <f t="array" ref="H193">INDEX('[23]SENSUS MEI'!$J$9:$J$453,MATCH(1,('[23]SENSUS MEI'!$D$9:$D$453=$D193)*('[23]SENSUS MEI'!$D$9:$D$453=$D193),0))</f>
        <v>46149</v>
      </c>
      <c r="I193" s="143">
        <f t="array" ref="I193">INDEX('[23]SENSUS MEI'!$K$9:$K$453,MATCH(1,('[23]SENSUS MEI'!$D$9:$D$453=$D193)*('[23]SENSUS MEI'!$D$9:$D$453=$D193),0))</f>
        <v>341</v>
      </c>
      <c r="J193" s="9">
        <f t="array" ref="J193">IFERROR(I193/G193*100,0)</f>
        <v>7.1548468317247167</v>
      </c>
      <c r="K193" s="143">
        <f t="array" ref="K193">INDEX('[23]SENSUS MEI'!$M$9:$M$453,MATCH(1,('[23]SENSUS MEI'!$D$9:$D$453=$D193)*('[23]SENSUS MEI'!$D$9:$D$453=$D193),0))+INDEX('[23]SENSUS MEI'!$O$9:$O$453,MATCH(1,('[23]SENSUS MEI'!$D$9:$D$453=$D193)*('[23]SENSUS MEI'!$D$9:$D$453=$D193),0))</f>
        <v>134</v>
      </c>
      <c r="L193" s="9">
        <f t="shared" si="18"/>
        <v>39.296187683284458</v>
      </c>
      <c r="M193" s="8" t="str">
        <f t="shared" si="13"/>
        <v>Perlu Pengendalian</v>
      </c>
      <c r="P193" s="194">
        <f t="shared" si="14"/>
        <v>21.446999999999999</v>
      </c>
      <c r="Q193" s="194">
        <f t="array" ref="Q193">$P193*0.8</f>
        <v>17.157599999999999</v>
      </c>
      <c r="R193" s="194">
        <f t="shared" si="15"/>
        <v>12.8682</v>
      </c>
      <c r="S193" s="194">
        <f t="shared" si="16"/>
        <v>8.5787999999999993</v>
      </c>
      <c r="T193" s="194">
        <f t="shared" si="17"/>
        <v>4.2893999999999997</v>
      </c>
    </row>
    <row r="194" spans="1:20" outlineLevel="1" x14ac:dyDescent="0.15">
      <c r="A194" s="8" t="s">
        <v>628</v>
      </c>
      <c r="B194" s="8" t="s">
        <v>47</v>
      </c>
      <c r="C194" s="8" t="s">
        <v>216</v>
      </c>
      <c r="D194" s="8" t="s">
        <v>776</v>
      </c>
      <c r="E194" s="9">
        <v>30.56</v>
      </c>
      <c r="F194" s="8" t="s">
        <v>16</v>
      </c>
      <c r="G194" s="143">
        <f t="array" ref="G194">INDEX('[23]SENSUS MEI'!$G$9:$G$453,MATCH(1,('[23]SENSUS MEI'!$D$9:$D$453=$D194)*('[23]SENSUS MEI'!$D$9:$D$453=$D194),0))</f>
        <v>4554</v>
      </c>
      <c r="H194" s="11">
        <f t="array" ref="H194">INDEX('[23]SENSUS MEI'!$J$9:$J$453,MATCH(1,('[23]SENSUS MEI'!$D$9:$D$453=$D194)*('[23]SENSUS MEI'!$D$9:$D$453=$D194),0))</f>
        <v>46155</v>
      </c>
      <c r="I194" s="143">
        <f t="array" ref="I194">INDEX('[23]SENSUS MEI'!$K$9:$K$453,MATCH(1,('[23]SENSUS MEI'!$D$9:$D$453=$D194)*('[23]SENSUS MEI'!$D$9:$D$453=$D194),0))</f>
        <v>183</v>
      </c>
      <c r="J194" s="9">
        <f t="array" ref="J194">IFERROR(I194/G194*100,0)</f>
        <v>4.0184453227931485</v>
      </c>
      <c r="K194" s="143">
        <f t="array" ref="K194">INDEX('[23]SENSUS MEI'!$M$9:$M$453,MATCH(1,('[23]SENSUS MEI'!$D$9:$D$453=$D194)*('[23]SENSUS MEI'!$D$9:$D$453=$D194),0))+INDEX('[23]SENSUS MEI'!$O$9:$O$453,MATCH(1,('[23]SENSUS MEI'!$D$9:$D$453=$D194)*('[23]SENSUS MEI'!$D$9:$D$453=$D194),0))</f>
        <v>141</v>
      </c>
      <c r="L194" s="9">
        <f t="shared" si="18"/>
        <v>77.049180327868854</v>
      </c>
      <c r="M194" s="8" t="str">
        <f t="shared" si="13"/>
        <v>Perlu Pengendalian</v>
      </c>
      <c r="P194" s="194">
        <f t="shared" si="14"/>
        <v>20.492999999999999</v>
      </c>
      <c r="Q194" s="194">
        <f t="array" ref="Q194">$P194*0.8</f>
        <v>16.394400000000001</v>
      </c>
      <c r="R194" s="194">
        <f t="shared" si="15"/>
        <v>12.295799999999998</v>
      </c>
      <c r="S194" s="194">
        <f t="shared" si="16"/>
        <v>8.1972000000000005</v>
      </c>
      <c r="T194" s="194">
        <f t="shared" si="17"/>
        <v>4.0986000000000002</v>
      </c>
    </row>
    <row r="195" spans="1:20" outlineLevel="1" x14ac:dyDescent="0.15">
      <c r="A195" s="8" t="s">
        <v>628</v>
      </c>
      <c r="B195" s="8" t="s">
        <v>47</v>
      </c>
      <c r="C195" s="8" t="s">
        <v>216</v>
      </c>
      <c r="D195" s="8" t="s">
        <v>777</v>
      </c>
      <c r="E195" s="9">
        <v>41.3</v>
      </c>
      <c r="F195" s="8" t="s">
        <v>132</v>
      </c>
      <c r="G195" s="143">
        <f t="array" ref="G195">INDEX('[23]SENSUS MEI'!$G$9:$G$453,MATCH(1,('[23]SENSUS MEI'!$D$9:$D$453=$D195)*('[23]SENSUS MEI'!$D$9:$D$453=$D195),0))</f>
        <v>5828</v>
      </c>
      <c r="H195" s="11">
        <f t="array" ref="H195">INDEX('[23]SENSUS MEI'!$J$9:$J$453,MATCH(1,('[23]SENSUS MEI'!$D$9:$D$453=$D195)*('[23]SENSUS MEI'!$D$9:$D$453=$D195),0))</f>
        <v>46153</v>
      </c>
      <c r="I195" s="143">
        <f t="array" ref="I195">INDEX('[23]SENSUS MEI'!$K$9:$K$453,MATCH(1,('[23]SENSUS MEI'!$D$9:$D$453=$D195)*('[23]SENSUS MEI'!$D$9:$D$453=$D195),0))</f>
        <v>67</v>
      </c>
      <c r="J195" s="9">
        <f t="array" ref="J195">IFERROR(I195/G195*100,0)</f>
        <v>1.1496225120109815</v>
      </c>
      <c r="K195" s="143">
        <f t="array" ref="K195">INDEX('[23]SENSUS MEI'!$M$9:$M$453,MATCH(1,('[23]SENSUS MEI'!$D$9:$D$453=$D195)*('[23]SENSUS MEI'!$D$9:$D$453=$D195),0))+INDEX('[23]SENSUS MEI'!$O$9:$O$453,MATCH(1,('[23]SENSUS MEI'!$D$9:$D$453=$D195)*('[23]SENSUS MEI'!$D$9:$D$453=$D195),0))</f>
        <v>63</v>
      </c>
      <c r="L195" s="9">
        <f t="shared" si="18"/>
        <v>94.029850746268664</v>
      </c>
      <c r="M195" s="8" t="str">
        <f t="shared" si="13"/>
        <v>Perlu Pengendalian</v>
      </c>
      <c r="P195" s="194">
        <f t="shared" si="14"/>
        <v>26.225999999999999</v>
      </c>
      <c r="Q195" s="194">
        <f t="array" ref="Q195">$P195*0.8</f>
        <v>20.980800000000002</v>
      </c>
      <c r="R195" s="194">
        <f t="shared" si="15"/>
        <v>15.735599999999998</v>
      </c>
      <c r="S195" s="194">
        <f t="shared" si="16"/>
        <v>10.490400000000001</v>
      </c>
      <c r="T195" s="194">
        <f t="shared" si="17"/>
        <v>5.2452000000000005</v>
      </c>
    </row>
    <row r="196" spans="1:20" outlineLevel="1" x14ac:dyDescent="0.15">
      <c r="A196" s="8" t="s">
        <v>628</v>
      </c>
      <c r="B196" s="8" t="s">
        <v>47</v>
      </c>
      <c r="C196" s="8" t="s">
        <v>216</v>
      </c>
      <c r="D196" s="8" t="s">
        <v>778</v>
      </c>
      <c r="E196" s="9">
        <v>40.36</v>
      </c>
      <c r="F196" s="8" t="s">
        <v>16</v>
      </c>
      <c r="G196" s="143">
        <f t="array" ref="G196">INDEX('[23]SENSUS MEI'!$G$9:$G$453,MATCH(1,('[23]SENSUS MEI'!$D$9:$D$453=$D196)*('[23]SENSUS MEI'!$D$9:$D$453=$D196),0))</f>
        <v>5188</v>
      </c>
      <c r="H196" s="11">
        <f t="array" ref="H196">INDEX('[23]SENSUS MEI'!$J$9:$J$453,MATCH(1,('[23]SENSUS MEI'!$D$9:$D$453=$D196)*('[23]SENSUS MEI'!$D$9:$D$453=$D196),0))</f>
        <v>46151</v>
      </c>
      <c r="I196" s="143">
        <f t="array" ref="I196">INDEX('[23]SENSUS MEI'!$K$9:$K$453,MATCH(1,('[23]SENSUS MEI'!$D$9:$D$453=$D196)*('[23]SENSUS MEI'!$D$9:$D$453=$D196),0))</f>
        <v>396</v>
      </c>
      <c r="J196" s="9">
        <f t="array" ref="J196">IFERROR(I196/G196*100,0)</f>
        <v>7.6329992289899771</v>
      </c>
      <c r="K196" s="143">
        <f t="array" ref="K196">INDEX('[23]SENSUS MEI'!$M$9:$M$453,MATCH(1,('[23]SENSUS MEI'!$D$9:$D$453=$D196)*('[23]SENSUS MEI'!$D$9:$D$453=$D196),0))+INDEX('[23]SENSUS MEI'!$O$9:$O$453,MATCH(1,('[23]SENSUS MEI'!$D$9:$D$453=$D196)*('[23]SENSUS MEI'!$D$9:$D$453=$D196),0))</f>
        <v>135</v>
      </c>
      <c r="L196" s="9">
        <f t="shared" si="18"/>
        <v>34.090909090909086</v>
      </c>
      <c r="M196" s="8" t="str">
        <f t="shared" si="13"/>
        <v>Perlu Pengendalian</v>
      </c>
      <c r="P196" s="194">
        <f t="shared" si="14"/>
        <v>23.346</v>
      </c>
      <c r="Q196" s="194">
        <f t="array" ref="Q196">$P196*0.8</f>
        <v>18.6768</v>
      </c>
      <c r="R196" s="194">
        <f t="shared" si="15"/>
        <v>14.0076</v>
      </c>
      <c r="S196" s="194">
        <f t="shared" si="16"/>
        <v>9.3384</v>
      </c>
      <c r="T196" s="194">
        <f t="shared" si="17"/>
        <v>4.6692</v>
      </c>
    </row>
    <row r="197" spans="1:20" outlineLevel="1" x14ac:dyDescent="0.15">
      <c r="A197" s="8" t="s">
        <v>628</v>
      </c>
      <c r="B197" s="8" t="s">
        <v>47</v>
      </c>
      <c r="C197" s="8" t="s">
        <v>216</v>
      </c>
      <c r="D197" s="8" t="s">
        <v>779</v>
      </c>
      <c r="E197" s="9">
        <v>34.4</v>
      </c>
      <c r="F197" s="8" t="s">
        <v>16</v>
      </c>
      <c r="G197" s="143">
        <f t="array" ref="G197">INDEX('[23]SENSUS MEI'!$G$9:$G$453,MATCH(1,('[23]SENSUS MEI'!$D$9:$D$453=$D197)*('[23]SENSUS MEI'!$D$9:$D$453=$D197),0))</f>
        <v>4805</v>
      </c>
      <c r="H197" s="11">
        <f t="array" ref="H197">INDEX('[23]SENSUS MEI'!$J$9:$J$453,MATCH(1,('[23]SENSUS MEI'!$D$9:$D$453=$D197)*('[23]SENSUS MEI'!$D$9:$D$453=$D197),0))</f>
        <v>46149</v>
      </c>
      <c r="I197" s="143">
        <f t="array" ref="I197">INDEX('[23]SENSUS MEI'!$K$9:$K$453,MATCH(1,('[23]SENSUS MEI'!$D$9:$D$453=$D197)*('[23]SENSUS MEI'!$D$9:$D$453=$D197),0))</f>
        <v>574</v>
      </c>
      <c r="J197" s="9">
        <f t="array" ref="J197">IFERROR(I197/G197*100,0)</f>
        <v>11.945889698231008</v>
      </c>
      <c r="K197" s="143">
        <f t="array" ref="K197">INDEX('[23]SENSUS MEI'!$M$9:$M$453,MATCH(1,('[23]SENSUS MEI'!$D$9:$D$453=$D197)*('[23]SENSUS MEI'!$D$9:$D$453=$D197),0))+INDEX('[23]SENSUS MEI'!$O$9:$O$453,MATCH(1,('[23]SENSUS MEI'!$D$9:$D$453=$D197)*('[23]SENSUS MEI'!$D$9:$D$453=$D197),0))</f>
        <v>143</v>
      </c>
      <c r="L197" s="9">
        <f t="shared" si="18"/>
        <v>24.912891986062718</v>
      </c>
      <c r="M197" s="8" t="str">
        <f t="shared" si="13"/>
        <v>Perlu Pengendalian</v>
      </c>
      <c r="P197" s="194">
        <f t="shared" si="14"/>
        <v>21.622499999999999</v>
      </c>
      <c r="Q197" s="194">
        <f t="array" ref="Q197">$P197*0.8</f>
        <v>17.297999999999998</v>
      </c>
      <c r="R197" s="194">
        <f t="shared" si="15"/>
        <v>12.9735</v>
      </c>
      <c r="S197" s="194">
        <f t="shared" si="16"/>
        <v>8.6489999999999991</v>
      </c>
      <c r="T197" s="194">
        <f t="shared" si="17"/>
        <v>4.3244999999999996</v>
      </c>
    </row>
    <row r="198" spans="1:20" outlineLevel="1" x14ac:dyDescent="0.15">
      <c r="A198" s="8" t="s">
        <v>628</v>
      </c>
      <c r="B198" s="8" t="s">
        <v>47</v>
      </c>
      <c r="C198" s="8" t="s">
        <v>216</v>
      </c>
      <c r="D198" s="8" t="s">
        <v>780</v>
      </c>
      <c r="E198" s="9">
        <v>39.54</v>
      </c>
      <c r="F198" s="8" t="s">
        <v>16</v>
      </c>
      <c r="G198" s="143">
        <f t="array" ref="G198">INDEX('[23]SENSUS MEI'!$G$9:$G$453,MATCH(1,('[23]SENSUS MEI'!$D$9:$D$453=$D198)*('[23]SENSUS MEI'!$D$9:$D$453=$D198),0))</f>
        <v>5244</v>
      </c>
      <c r="H198" s="11">
        <f t="array" ref="H198">INDEX('[23]SENSUS MEI'!$J$9:$J$453,MATCH(1,('[23]SENSUS MEI'!$D$9:$D$453=$D198)*('[23]SENSUS MEI'!$D$9:$D$453=$D198),0))</f>
        <v>46149</v>
      </c>
      <c r="I198" s="143">
        <f t="array" ref="I198">INDEX('[23]SENSUS MEI'!$K$9:$K$453,MATCH(1,('[23]SENSUS MEI'!$D$9:$D$453=$D198)*('[23]SENSUS MEI'!$D$9:$D$453=$D198),0))</f>
        <v>541</v>
      </c>
      <c r="J198" s="9">
        <f t="array" ref="J198">IFERROR(I198/G198*100,0)</f>
        <v>10.316552250190695</v>
      </c>
      <c r="K198" s="143">
        <f t="array" ref="K198">INDEX('[23]SENSUS MEI'!$M$9:$M$453,MATCH(1,('[23]SENSUS MEI'!$D$9:$D$453=$D198)*('[23]SENSUS MEI'!$D$9:$D$453=$D198),0))+INDEX('[23]SENSUS MEI'!$O$9:$O$453,MATCH(1,('[23]SENSUS MEI'!$D$9:$D$453=$D198)*('[23]SENSUS MEI'!$D$9:$D$453=$D198),0))</f>
        <v>70</v>
      </c>
      <c r="L198" s="9">
        <f t="shared" si="18"/>
        <v>12.939001848428836</v>
      </c>
      <c r="M198" s="8" t="str">
        <f t="shared" si="13"/>
        <v>Perlu Pengendalian</v>
      </c>
      <c r="P198" s="194">
        <f t="shared" si="14"/>
        <v>23.597999999999999</v>
      </c>
      <c r="Q198" s="194">
        <f t="array" ref="Q198">$P198*0.8</f>
        <v>18.878399999999999</v>
      </c>
      <c r="R198" s="194">
        <f t="shared" si="15"/>
        <v>14.158799999999999</v>
      </c>
      <c r="S198" s="194">
        <f t="shared" si="16"/>
        <v>9.4391999999999996</v>
      </c>
      <c r="T198" s="194">
        <f t="shared" si="17"/>
        <v>4.7195999999999998</v>
      </c>
    </row>
    <row r="199" spans="1:20" outlineLevel="1" x14ac:dyDescent="0.15">
      <c r="A199" s="8" t="s">
        <v>628</v>
      </c>
      <c r="B199" s="8" t="s">
        <v>47</v>
      </c>
      <c r="C199" s="8" t="s">
        <v>216</v>
      </c>
      <c r="D199" s="8" t="s">
        <v>781</v>
      </c>
      <c r="E199" s="9">
        <v>46.11</v>
      </c>
      <c r="F199" s="8" t="s">
        <v>16</v>
      </c>
      <c r="G199" s="143">
        <f t="array" ref="G199">INDEX('[23]SENSUS MEI'!$G$9:$G$453,MATCH(1,('[23]SENSUS MEI'!$D$9:$D$453=$D199)*('[23]SENSUS MEI'!$D$9:$D$453=$D199),0))</f>
        <v>5434</v>
      </c>
      <c r="H199" s="11">
        <f t="array" ref="H199">INDEX('[23]SENSUS MEI'!$J$9:$J$453,MATCH(1,('[23]SENSUS MEI'!$D$9:$D$453=$D199)*('[23]SENSUS MEI'!$D$9:$D$453=$D199),0))</f>
        <v>46150</v>
      </c>
      <c r="I199" s="143">
        <f t="array" ref="I199">INDEX('[23]SENSUS MEI'!$K$9:$K$453,MATCH(1,('[23]SENSUS MEI'!$D$9:$D$453=$D199)*('[23]SENSUS MEI'!$D$9:$D$453=$D199),0))</f>
        <v>669</v>
      </c>
      <c r="J199" s="9">
        <f t="array" ref="J199">IFERROR(I199/G199*100,0)</f>
        <v>12.311372837688628</v>
      </c>
      <c r="K199" s="143">
        <f t="array" ref="K199">INDEX('[23]SENSUS MEI'!$M$9:$M$453,MATCH(1,('[23]SENSUS MEI'!$D$9:$D$453=$D199)*('[23]SENSUS MEI'!$D$9:$D$453=$D199),0))+INDEX('[23]SENSUS MEI'!$O$9:$O$453,MATCH(1,('[23]SENSUS MEI'!$D$9:$D$453=$D199)*('[23]SENSUS MEI'!$D$9:$D$453=$D199),0))</f>
        <v>199</v>
      </c>
      <c r="L199" s="9">
        <f t="shared" si="18"/>
        <v>29.745889387144992</v>
      </c>
      <c r="M199" s="8" t="str">
        <f t="shared" ref="M199:M262" si="19">IF(L199&gt;2,"Perlu Pengendalian",IF(L199&gt;0,"Tidak Perlu Pengendalian","Belum Sensus"))</f>
        <v>Perlu Pengendalian</v>
      </c>
      <c r="P199" s="194">
        <f t="shared" ref="P199:P262" si="20">G199*4.5/1000</f>
        <v>24.452999999999999</v>
      </c>
      <c r="Q199" s="194">
        <f t="array" ref="Q199">$P199*0.8</f>
        <v>19.5624</v>
      </c>
      <c r="R199" s="194">
        <f t="shared" ref="R199:R262" si="21">$P199*0.6</f>
        <v>14.671799999999999</v>
      </c>
      <c r="S199" s="194">
        <f t="shared" ref="S199:S262" si="22">$P199*0.4</f>
        <v>9.7812000000000001</v>
      </c>
      <c r="T199" s="194">
        <f t="shared" ref="T199:T262" si="23">$P199*0.2</f>
        <v>4.8906000000000001</v>
      </c>
    </row>
    <row r="200" spans="1:20" outlineLevel="1" x14ac:dyDescent="0.15">
      <c r="A200" s="8" t="s">
        <v>628</v>
      </c>
      <c r="B200" s="8" t="s">
        <v>47</v>
      </c>
      <c r="C200" s="8" t="s">
        <v>216</v>
      </c>
      <c r="D200" s="8" t="s">
        <v>782</v>
      </c>
      <c r="E200" s="9">
        <v>35.909999999999997</v>
      </c>
      <c r="F200" s="8" t="s">
        <v>16</v>
      </c>
      <c r="G200" s="143">
        <f t="array" ref="G200">INDEX('[23]SENSUS MEI'!$G$9:$G$453,MATCH(1,('[23]SENSUS MEI'!$D$9:$D$453=$D200)*('[23]SENSUS MEI'!$D$9:$D$453=$D200),0))</f>
        <v>4156</v>
      </c>
      <c r="H200" s="11">
        <f t="array" ref="H200">INDEX('[23]SENSUS MEI'!$J$9:$J$453,MATCH(1,('[23]SENSUS MEI'!$D$9:$D$453=$D200)*('[23]SENSUS MEI'!$D$9:$D$453=$D200),0))</f>
        <v>46150</v>
      </c>
      <c r="I200" s="143">
        <f t="array" ref="I200">INDEX('[23]SENSUS MEI'!$K$9:$K$453,MATCH(1,('[23]SENSUS MEI'!$D$9:$D$453=$D200)*('[23]SENSUS MEI'!$D$9:$D$453=$D200),0))</f>
        <v>310</v>
      </c>
      <c r="J200" s="9">
        <f t="array" ref="J200">IFERROR(I200/G200*100,0)</f>
        <v>7.4590952839268532</v>
      </c>
      <c r="K200" s="143">
        <f t="array" ref="K200">INDEX('[23]SENSUS MEI'!$M$9:$M$453,MATCH(1,('[23]SENSUS MEI'!$D$9:$D$453=$D200)*('[23]SENSUS MEI'!$D$9:$D$453=$D200),0))+INDEX('[23]SENSUS MEI'!$O$9:$O$453,MATCH(1,('[23]SENSUS MEI'!$D$9:$D$453=$D200)*('[23]SENSUS MEI'!$D$9:$D$453=$D200),0))</f>
        <v>56</v>
      </c>
      <c r="L200" s="9">
        <f t="shared" si="18"/>
        <v>18.064516129032256</v>
      </c>
      <c r="M200" s="8" t="str">
        <f t="shared" si="19"/>
        <v>Perlu Pengendalian</v>
      </c>
      <c r="P200" s="194">
        <f t="shared" si="20"/>
        <v>18.702000000000002</v>
      </c>
      <c r="Q200" s="194">
        <f t="array" ref="Q200">$P200*0.8</f>
        <v>14.961600000000002</v>
      </c>
      <c r="R200" s="194">
        <f t="shared" si="21"/>
        <v>11.221200000000001</v>
      </c>
      <c r="S200" s="194">
        <f t="shared" si="22"/>
        <v>7.4808000000000012</v>
      </c>
      <c r="T200" s="194">
        <f t="shared" si="23"/>
        <v>3.7404000000000006</v>
      </c>
    </row>
    <row r="201" spans="1:20" outlineLevel="1" x14ac:dyDescent="0.15">
      <c r="A201" s="8" t="s">
        <v>628</v>
      </c>
      <c r="B201" s="8" t="s">
        <v>47</v>
      </c>
      <c r="C201" s="8" t="s">
        <v>216</v>
      </c>
      <c r="D201" s="8" t="s">
        <v>783</v>
      </c>
      <c r="E201" s="9">
        <v>50.7</v>
      </c>
      <c r="F201" s="8" t="s">
        <v>16</v>
      </c>
      <c r="G201" s="143">
        <f t="array" ref="G201">INDEX('[23]SENSUS MEI'!$G$9:$G$453,MATCH(1,('[23]SENSUS MEI'!$D$9:$D$453=$D201)*('[23]SENSUS MEI'!$D$9:$D$453=$D201),0))</f>
        <v>9116</v>
      </c>
      <c r="H201" s="11">
        <f t="array" ref="H201">INDEX('[23]SENSUS MEI'!$J$9:$J$453,MATCH(1,('[23]SENSUS MEI'!$D$9:$D$453=$D201)*('[23]SENSUS MEI'!$D$9:$D$453=$D201),0))</f>
        <v>46150</v>
      </c>
      <c r="I201" s="143">
        <f t="array" ref="I201">INDEX('[23]SENSUS MEI'!$K$9:$K$453,MATCH(1,('[23]SENSUS MEI'!$D$9:$D$453=$D201)*('[23]SENSUS MEI'!$D$9:$D$453=$D201),0))</f>
        <v>628</v>
      </c>
      <c r="J201" s="9">
        <f t="array" ref="J201">IFERROR(I201/G201*100,0)</f>
        <v>6.8889863975427819</v>
      </c>
      <c r="K201" s="143">
        <f t="array" ref="K201">INDEX('[23]SENSUS MEI'!$M$9:$M$453,MATCH(1,('[23]SENSUS MEI'!$D$9:$D$453=$D201)*('[23]SENSUS MEI'!$D$9:$D$453=$D201),0))+INDEX('[23]SENSUS MEI'!$O$9:$O$453,MATCH(1,('[23]SENSUS MEI'!$D$9:$D$453=$D201)*('[23]SENSUS MEI'!$D$9:$D$453=$D201),0))</f>
        <v>272</v>
      </c>
      <c r="L201" s="9">
        <f t="shared" si="18"/>
        <v>43.312101910828027</v>
      </c>
      <c r="M201" s="8" t="str">
        <f t="shared" si="19"/>
        <v>Perlu Pengendalian</v>
      </c>
      <c r="P201" s="194">
        <f t="shared" si="20"/>
        <v>41.021999999999998</v>
      </c>
      <c r="Q201" s="194">
        <f t="array" ref="Q201">$P201*0.8</f>
        <v>32.817599999999999</v>
      </c>
      <c r="R201" s="194">
        <f t="shared" si="21"/>
        <v>24.613199999999999</v>
      </c>
      <c r="S201" s="194">
        <f t="shared" si="22"/>
        <v>16.408799999999999</v>
      </c>
      <c r="T201" s="194">
        <f t="shared" si="23"/>
        <v>8.2043999999999997</v>
      </c>
    </row>
    <row r="202" spans="1:20" outlineLevel="1" x14ac:dyDescent="0.15">
      <c r="A202" s="8" t="s">
        <v>628</v>
      </c>
      <c r="B202" s="8" t="s">
        <v>47</v>
      </c>
      <c r="C202" s="8" t="s">
        <v>216</v>
      </c>
      <c r="D202" s="8" t="s">
        <v>784</v>
      </c>
      <c r="E202" s="9">
        <v>25.4</v>
      </c>
      <c r="F202" s="8" t="s">
        <v>16</v>
      </c>
      <c r="G202" s="143">
        <f t="array" ref="G202">INDEX('[23]SENSUS MEI'!$G$9:$G$453,MATCH(1,('[23]SENSUS MEI'!$D$9:$D$453=$D202)*('[23]SENSUS MEI'!$D$9:$D$453=$D202),0))</f>
        <v>3511</v>
      </c>
      <c r="H202" s="11">
        <f t="array" ref="H202">INDEX('[23]SENSUS MEI'!$J$9:$J$453,MATCH(1,('[23]SENSUS MEI'!$D$9:$D$453=$D202)*('[23]SENSUS MEI'!$D$9:$D$453=$D202),0))</f>
        <v>46157</v>
      </c>
      <c r="I202" s="143">
        <f t="array" ref="I202">INDEX('[23]SENSUS MEI'!$K$9:$K$453,MATCH(1,('[23]SENSUS MEI'!$D$9:$D$453=$D202)*('[23]SENSUS MEI'!$D$9:$D$453=$D202),0))</f>
        <v>146</v>
      </c>
      <c r="J202" s="9">
        <f t="array" ref="J202">IFERROR(I202/G202*100,0)</f>
        <v>4.1583594417544862</v>
      </c>
      <c r="K202" s="143">
        <f t="array" ref="K202">INDEX('[23]SENSUS MEI'!$M$9:$M$453,MATCH(1,('[23]SENSUS MEI'!$D$9:$D$453=$D202)*('[23]SENSUS MEI'!$D$9:$D$453=$D202),0))+INDEX('[23]SENSUS MEI'!$O$9:$O$453,MATCH(1,('[23]SENSUS MEI'!$D$9:$D$453=$D202)*('[23]SENSUS MEI'!$D$9:$D$453=$D202),0))</f>
        <v>33</v>
      </c>
      <c r="L202" s="9">
        <f t="shared" si="18"/>
        <v>22.602739726027394</v>
      </c>
      <c r="M202" s="8" t="str">
        <f t="shared" si="19"/>
        <v>Perlu Pengendalian</v>
      </c>
      <c r="P202" s="194">
        <f t="shared" si="20"/>
        <v>15.7995</v>
      </c>
      <c r="Q202" s="194">
        <f t="array" ref="Q202">$P202*0.8</f>
        <v>12.639600000000002</v>
      </c>
      <c r="R202" s="194">
        <f t="shared" si="21"/>
        <v>9.4796999999999993</v>
      </c>
      <c r="S202" s="194">
        <f t="shared" si="22"/>
        <v>6.3198000000000008</v>
      </c>
      <c r="T202" s="194">
        <f t="shared" si="23"/>
        <v>3.1599000000000004</v>
      </c>
    </row>
    <row r="203" spans="1:20" outlineLevel="1" x14ac:dyDescent="0.15">
      <c r="A203" s="8" t="s">
        <v>628</v>
      </c>
      <c r="B203" s="8" t="s">
        <v>47</v>
      </c>
      <c r="C203" s="8" t="s">
        <v>216</v>
      </c>
      <c r="D203" s="8" t="s">
        <v>785</v>
      </c>
      <c r="E203" s="9">
        <v>8.92</v>
      </c>
      <c r="F203" s="8" t="s">
        <v>16</v>
      </c>
      <c r="G203" s="143">
        <f t="array" ref="G203">INDEX('[23]SENSUS MEI'!$G$9:$G$453,MATCH(1,('[23]SENSUS MEI'!$D$9:$D$453=$D203)*('[23]SENSUS MEI'!$D$9:$D$453=$D203),0))</f>
        <v>1144</v>
      </c>
      <c r="H203" s="11">
        <f t="array" ref="H203">INDEX('[23]SENSUS MEI'!$J$9:$J$453,MATCH(1,('[23]SENSUS MEI'!$D$9:$D$453=$D203)*('[23]SENSUS MEI'!$D$9:$D$453=$D203),0))</f>
        <v>46157</v>
      </c>
      <c r="I203" s="143">
        <f t="array" ref="I203">INDEX('[23]SENSUS MEI'!$K$9:$K$453,MATCH(1,('[23]SENSUS MEI'!$D$9:$D$453=$D203)*('[23]SENSUS MEI'!$D$9:$D$453=$D203),0))</f>
        <v>109</v>
      </c>
      <c r="J203" s="9">
        <f t="array" ref="J203">IFERROR(I203/G203*100,0)</f>
        <v>9.5279720279720266</v>
      </c>
      <c r="K203" s="143">
        <f t="array" ref="K203">INDEX('[23]SENSUS MEI'!$M$9:$M$453,MATCH(1,('[23]SENSUS MEI'!$D$9:$D$453=$D203)*('[23]SENSUS MEI'!$D$9:$D$453=$D203),0))+INDEX('[23]SENSUS MEI'!$O$9:$O$453,MATCH(1,('[23]SENSUS MEI'!$D$9:$D$453=$D203)*('[23]SENSUS MEI'!$D$9:$D$453=$D203),0))</f>
        <v>11</v>
      </c>
      <c r="L203" s="9">
        <f t="shared" si="18"/>
        <v>10.091743119266056</v>
      </c>
      <c r="M203" s="8" t="str">
        <f t="shared" si="19"/>
        <v>Perlu Pengendalian</v>
      </c>
      <c r="P203" s="194">
        <f t="shared" si="20"/>
        <v>5.1479999999999997</v>
      </c>
      <c r="Q203" s="194">
        <f t="array" ref="Q203">$P203*0.8</f>
        <v>4.1184000000000003</v>
      </c>
      <c r="R203" s="194">
        <f t="shared" si="21"/>
        <v>3.0887999999999995</v>
      </c>
      <c r="S203" s="194">
        <f t="shared" si="22"/>
        <v>2.0592000000000001</v>
      </c>
      <c r="T203" s="194">
        <f t="shared" si="23"/>
        <v>1.0296000000000001</v>
      </c>
    </row>
    <row r="204" spans="1:20" outlineLevel="1" x14ac:dyDescent="0.15">
      <c r="A204" s="8" t="s">
        <v>628</v>
      </c>
      <c r="B204" s="8" t="s">
        <v>47</v>
      </c>
      <c r="C204" s="8" t="s">
        <v>216</v>
      </c>
      <c r="D204" s="8" t="s">
        <v>786</v>
      </c>
      <c r="E204" s="9">
        <v>9.35</v>
      </c>
      <c r="F204" s="8" t="s">
        <v>16</v>
      </c>
      <c r="G204" s="143">
        <f t="array" ref="G204">INDEX('[23]SENSUS MEI'!$G$9:$G$453,MATCH(1,('[23]SENSUS MEI'!$D$9:$D$453=$D204)*('[23]SENSUS MEI'!$D$9:$D$453=$D204),0))</f>
        <v>1178</v>
      </c>
      <c r="H204" s="11">
        <f t="array" ref="H204">INDEX('[23]SENSUS MEI'!$J$9:$J$453,MATCH(1,('[23]SENSUS MEI'!$D$9:$D$453=$D204)*('[23]SENSUS MEI'!$D$9:$D$453=$D204),0))</f>
        <v>46157</v>
      </c>
      <c r="I204" s="143">
        <f t="array" ref="I204">INDEX('[23]SENSUS MEI'!$K$9:$K$453,MATCH(1,('[23]SENSUS MEI'!$D$9:$D$453=$D204)*('[23]SENSUS MEI'!$D$9:$D$453=$D204),0))</f>
        <v>111</v>
      </c>
      <c r="J204" s="9">
        <f t="array" ref="J204">IFERROR(I204/G204*100,0)</f>
        <v>9.4227504244482176</v>
      </c>
      <c r="K204" s="143">
        <f t="array" ref="K204">INDEX('[23]SENSUS MEI'!$M$9:$M$453,MATCH(1,('[23]SENSUS MEI'!$D$9:$D$453=$D204)*('[23]SENSUS MEI'!$D$9:$D$453=$D204),0))+INDEX('[23]SENSUS MEI'!$O$9:$O$453,MATCH(1,('[23]SENSUS MEI'!$D$9:$D$453=$D204)*('[23]SENSUS MEI'!$D$9:$D$453=$D204),0))</f>
        <v>17</v>
      </c>
      <c r="L204" s="9">
        <f t="shared" si="18"/>
        <v>15.315315315315313</v>
      </c>
      <c r="M204" s="8" t="str">
        <f t="shared" si="19"/>
        <v>Perlu Pengendalian</v>
      </c>
      <c r="P204" s="194">
        <f t="shared" si="20"/>
        <v>5.3010000000000002</v>
      </c>
      <c r="Q204" s="194">
        <f t="array" ref="Q204">$P204*0.8</f>
        <v>4.2408000000000001</v>
      </c>
      <c r="R204" s="194">
        <f t="shared" si="21"/>
        <v>3.1806000000000001</v>
      </c>
      <c r="S204" s="194">
        <f t="shared" si="22"/>
        <v>2.1204000000000001</v>
      </c>
      <c r="T204" s="194">
        <f t="shared" si="23"/>
        <v>1.0602</v>
      </c>
    </row>
    <row r="205" spans="1:20" outlineLevel="1" x14ac:dyDescent="0.15">
      <c r="A205" s="8" t="s">
        <v>628</v>
      </c>
      <c r="B205" s="8" t="s">
        <v>47</v>
      </c>
      <c r="C205" s="8" t="s">
        <v>216</v>
      </c>
      <c r="D205" s="8" t="s">
        <v>787</v>
      </c>
      <c r="E205" s="9">
        <v>9.7899999999999991</v>
      </c>
      <c r="F205" s="8" t="s">
        <v>16</v>
      </c>
      <c r="G205" s="143">
        <f t="array" ref="G205">INDEX('[23]SENSUS MEI'!$G$9:$G$453,MATCH(1,('[23]SENSUS MEI'!$D$9:$D$453=$D205)*('[23]SENSUS MEI'!$D$9:$D$453=$D205),0))</f>
        <v>1325</v>
      </c>
      <c r="H205" s="11">
        <f t="array" ref="H205">INDEX('[23]SENSUS MEI'!$J$9:$J$453,MATCH(1,('[23]SENSUS MEI'!$D$9:$D$453=$D205)*('[23]SENSUS MEI'!$D$9:$D$453=$D205),0))</f>
        <v>46157</v>
      </c>
      <c r="I205" s="143">
        <f t="array" ref="I205">INDEX('[23]SENSUS MEI'!$K$9:$K$453,MATCH(1,('[23]SENSUS MEI'!$D$9:$D$453=$D205)*('[23]SENSUS MEI'!$D$9:$D$453=$D205),0))</f>
        <v>123</v>
      </c>
      <c r="J205" s="9">
        <f t="array" ref="J205">IFERROR(I205/G205*100,0)</f>
        <v>9.2830188679245271</v>
      </c>
      <c r="K205" s="143">
        <f t="array" ref="K205">INDEX('[23]SENSUS MEI'!$M$9:$M$453,MATCH(1,('[23]SENSUS MEI'!$D$9:$D$453=$D205)*('[23]SENSUS MEI'!$D$9:$D$453=$D205),0))+INDEX('[23]SENSUS MEI'!$O$9:$O$453,MATCH(1,('[23]SENSUS MEI'!$D$9:$D$453=$D205)*('[23]SENSUS MEI'!$D$9:$D$453=$D205),0))</f>
        <v>11</v>
      </c>
      <c r="L205" s="9">
        <f t="shared" si="18"/>
        <v>8.9430894308943092</v>
      </c>
      <c r="M205" s="8" t="str">
        <f t="shared" si="19"/>
        <v>Perlu Pengendalian</v>
      </c>
      <c r="P205" s="194">
        <f t="shared" si="20"/>
        <v>5.9625000000000004</v>
      </c>
      <c r="Q205" s="194">
        <f t="array" ref="Q205">$P205*0.8</f>
        <v>4.7700000000000005</v>
      </c>
      <c r="R205" s="194">
        <f t="shared" si="21"/>
        <v>3.5775000000000001</v>
      </c>
      <c r="S205" s="194">
        <f t="shared" si="22"/>
        <v>2.3850000000000002</v>
      </c>
      <c r="T205" s="194">
        <f t="shared" si="23"/>
        <v>1.1925000000000001</v>
      </c>
    </row>
    <row r="206" spans="1:20" outlineLevel="1" x14ac:dyDescent="0.15">
      <c r="A206" s="8" t="s">
        <v>628</v>
      </c>
      <c r="B206" s="8" t="s">
        <v>47</v>
      </c>
      <c r="C206" s="8" t="s">
        <v>216</v>
      </c>
      <c r="D206" s="8" t="s">
        <v>788</v>
      </c>
      <c r="E206" s="9">
        <v>10.46</v>
      </c>
      <c r="F206" s="8" t="s">
        <v>16</v>
      </c>
      <c r="G206" s="143">
        <f t="array" ref="G206">INDEX('[23]SENSUS MEI'!$G$9:$G$453,MATCH(1,('[23]SENSUS MEI'!$D$9:$D$453=$D206)*('[23]SENSUS MEI'!$D$9:$D$453=$D206),0))</f>
        <v>1472</v>
      </c>
      <c r="H206" s="11">
        <f t="array" ref="H206">INDEX('[23]SENSUS MEI'!$J$9:$J$453,MATCH(1,('[23]SENSUS MEI'!$D$9:$D$453=$D206)*('[23]SENSUS MEI'!$D$9:$D$453=$D206),0))</f>
        <v>46157</v>
      </c>
      <c r="I206" s="143">
        <f t="array" ref="I206">INDEX('[23]SENSUS MEI'!$K$9:$K$453,MATCH(1,('[23]SENSUS MEI'!$D$9:$D$453=$D206)*('[23]SENSUS MEI'!$D$9:$D$453=$D206),0))</f>
        <v>130</v>
      </c>
      <c r="J206" s="9">
        <f t="array" ref="J206">IFERROR(I206/G206*100,0)</f>
        <v>8.8315217391304355</v>
      </c>
      <c r="K206" s="143">
        <f t="array" ref="K206">INDEX('[23]SENSUS MEI'!$M$9:$M$453,MATCH(1,('[23]SENSUS MEI'!$D$9:$D$453=$D206)*('[23]SENSUS MEI'!$D$9:$D$453=$D206),0))+INDEX('[23]SENSUS MEI'!$O$9:$O$453,MATCH(1,('[23]SENSUS MEI'!$D$9:$D$453=$D206)*('[23]SENSUS MEI'!$D$9:$D$453=$D206),0))</f>
        <v>14</v>
      </c>
      <c r="L206" s="9">
        <f t="shared" si="18"/>
        <v>10.76923076923077</v>
      </c>
      <c r="M206" s="8" t="str">
        <f t="shared" si="19"/>
        <v>Perlu Pengendalian</v>
      </c>
      <c r="P206" s="194">
        <f t="shared" si="20"/>
        <v>6.6239999999999997</v>
      </c>
      <c r="Q206" s="194">
        <f t="array" ref="Q206">$P206*0.8</f>
        <v>5.2991999999999999</v>
      </c>
      <c r="R206" s="194">
        <f t="shared" si="21"/>
        <v>3.9743999999999997</v>
      </c>
      <c r="S206" s="194">
        <f t="shared" si="22"/>
        <v>2.6496</v>
      </c>
      <c r="T206" s="194">
        <f t="shared" si="23"/>
        <v>1.3248</v>
      </c>
    </row>
    <row r="207" spans="1:20" outlineLevel="1" x14ac:dyDescent="0.15">
      <c r="A207" s="8" t="s">
        <v>628</v>
      </c>
      <c r="B207" s="8" t="s">
        <v>47</v>
      </c>
      <c r="C207" s="8" t="s">
        <v>216</v>
      </c>
      <c r="D207" s="8" t="s">
        <v>789</v>
      </c>
      <c r="E207" s="9">
        <v>10.08</v>
      </c>
      <c r="F207" s="8" t="s">
        <v>16</v>
      </c>
      <c r="G207" s="143">
        <f t="array" ref="G207">INDEX('[23]SENSUS MEI'!$G$9:$G$453,MATCH(1,('[23]SENSUS MEI'!$D$9:$D$453=$D207)*('[23]SENSUS MEI'!$D$9:$D$453=$D207),0))</f>
        <v>754</v>
      </c>
      <c r="H207" s="11">
        <f t="array" ref="H207">INDEX('[23]SENSUS MEI'!$J$9:$J$453,MATCH(1,('[23]SENSUS MEI'!$D$9:$D$453=$D207)*('[23]SENSUS MEI'!$D$9:$D$453=$D207),0))</f>
        <v>46157</v>
      </c>
      <c r="I207" s="143">
        <f t="array" ref="I207">INDEX('[23]SENSUS MEI'!$K$9:$K$453,MATCH(1,('[23]SENSUS MEI'!$D$9:$D$453=$D207)*('[23]SENSUS MEI'!$D$9:$D$453=$D207),0))</f>
        <v>123</v>
      </c>
      <c r="J207" s="9">
        <f t="array" ref="J207">IFERROR(I207/G207*100,0)</f>
        <v>16.312997347480106</v>
      </c>
      <c r="K207" s="143">
        <f t="array" ref="K207">INDEX('[23]SENSUS MEI'!$M$9:$M$453,MATCH(1,('[23]SENSUS MEI'!$D$9:$D$453=$D207)*('[23]SENSUS MEI'!$D$9:$D$453=$D207),0))+INDEX('[23]SENSUS MEI'!$O$9:$O$453,MATCH(1,('[23]SENSUS MEI'!$D$9:$D$453=$D207)*('[23]SENSUS MEI'!$D$9:$D$453=$D207),0))</f>
        <v>23</v>
      </c>
      <c r="L207" s="9">
        <f t="shared" si="18"/>
        <v>18.699186991869919</v>
      </c>
      <c r="M207" s="8" t="str">
        <f t="shared" si="19"/>
        <v>Perlu Pengendalian</v>
      </c>
      <c r="P207" s="194">
        <f t="shared" si="20"/>
        <v>3.3929999999999998</v>
      </c>
      <c r="Q207" s="194">
        <f t="array" ref="Q207">$P207*0.8</f>
        <v>2.7143999999999999</v>
      </c>
      <c r="R207" s="194">
        <f t="shared" si="21"/>
        <v>2.0357999999999996</v>
      </c>
      <c r="S207" s="194">
        <f t="shared" si="22"/>
        <v>1.3572</v>
      </c>
      <c r="T207" s="194">
        <f t="shared" si="23"/>
        <v>0.67859999999999998</v>
      </c>
    </row>
    <row r="208" spans="1:20" outlineLevel="1" x14ac:dyDescent="0.15">
      <c r="A208" s="8" t="s">
        <v>628</v>
      </c>
      <c r="B208" s="8" t="s">
        <v>47</v>
      </c>
      <c r="C208" s="8" t="s">
        <v>216</v>
      </c>
      <c r="D208" s="8" t="s">
        <v>790</v>
      </c>
      <c r="E208" s="9">
        <v>4.09</v>
      </c>
      <c r="F208" s="8" t="s">
        <v>16</v>
      </c>
      <c r="G208" s="143">
        <f t="array" ref="G208">INDEX('[23]SENSUS MEI'!$G$9:$G$453,MATCH(1,('[23]SENSUS MEI'!$D$9:$D$453=$D208)*('[23]SENSUS MEI'!$D$9:$D$453=$D208),0))</f>
        <v>642</v>
      </c>
      <c r="H208" s="11">
        <f t="array" ref="H208">INDEX('[23]SENSUS MEI'!$J$9:$J$453,MATCH(1,('[23]SENSUS MEI'!$D$9:$D$453=$D208)*('[23]SENSUS MEI'!$D$9:$D$453=$D208),0))</f>
        <v>46157</v>
      </c>
      <c r="I208" s="143">
        <f t="array" ref="I208">INDEX('[23]SENSUS MEI'!$K$9:$K$453,MATCH(1,('[23]SENSUS MEI'!$D$9:$D$453=$D208)*('[23]SENSUS MEI'!$D$9:$D$453=$D208),0))</f>
        <v>31</v>
      </c>
      <c r="J208" s="9">
        <f t="array" ref="J208">IFERROR(I208/G208*100,0)</f>
        <v>4.8286604361370715</v>
      </c>
      <c r="K208" s="143">
        <f t="array" ref="K208">INDEX('[23]SENSUS MEI'!$M$9:$M$453,MATCH(1,('[23]SENSUS MEI'!$D$9:$D$453=$D208)*('[23]SENSUS MEI'!$D$9:$D$453=$D208),0))+INDEX('[23]SENSUS MEI'!$O$9:$O$453,MATCH(1,('[23]SENSUS MEI'!$D$9:$D$453=$D208)*('[23]SENSUS MEI'!$D$9:$D$453=$D208),0))</f>
        <v>5</v>
      </c>
      <c r="L208" s="9">
        <f t="shared" si="18"/>
        <v>16.129032258064516</v>
      </c>
      <c r="M208" s="8" t="str">
        <f t="shared" si="19"/>
        <v>Perlu Pengendalian</v>
      </c>
      <c r="P208" s="194">
        <f t="shared" si="20"/>
        <v>2.8889999999999998</v>
      </c>
      <c r="Q208" s="194">
        <f t="array" ref="Q208">$P208*0.8</f>
        <v>2.3111999999999999</v>
      </c>
      <c r="R208" s="194">
        <f t="shared" si="21"/>
        <v>1.7333999999999998</v>
      </c>
      <c r="S208" s="194">
        <f t="shared" si="22"/>
        <v>1.1556</v>
      </c>
      <c r="T208" s="194">
        <f t="shared" si="23"/>
        <v>0.57779999999999998</v>
      </c>
    </row>
    <row r="209" spans="1:20" outlineLevel="1" x14ac:dyDescent="0.15">
      <c r="A209" s="8" t="s">
        <v>628</v>
      </c>
      <c r="B209" s="8" t="s">
        <v>47</v>
      </c>
      <c r="C209" s="8" t="s">
        <v>216</v>
      </c>
      <c r="D209" s="8" t="s">
        <v>791</v>
      </c>
      <c r="E209" s="9">
        <v>35.47</v>
      </c>
      <c r="F209" s="8" t="s">
        <v>132</v>
      </c>
      <c r="G209" s="143">
        <f t="array" ref="G209">INDEX('[23]SENSUS MEI'!$G$9:$G$453,MATCH(1,('[23]SENSUS MEI'!$D$9:$D$453=$D209)*('[23]SENSUS MEI'!$D$9:$D$453=$D209),0))</f>
        <v>5067</v>
      </c>
      <c r="H209" s="11">
        <f t="array" ref="H209">INDEX('[23]SENSUS MEI'!$J$9:$J$453,MATCH(1,('[23]SENSUS MEI'!$D$9:$D$453=$D209)*('[23]SENSUS MEI'!$D$9:$D$453=$D209),0))</f>
        <v>46151</v>
      </c>
      <c r="I209" s="143">
        <f t="array" ref="I209">INDEX('[23]SENSUS MEI'!$K$9:$K$453,MATCH(1,('[23]SENSUS MEI'!$D$9:$D$453=$D209)*('[23]SENSUS MEI'!$D$9:$D$453=$D209),0))</f>
        <v>405</v>
      </c>
      <c r="J209" s="9">
        <f t="array" ref="J209">IFERROR(I209/G209*100,0)</f>
        <v>7.9928952042628776</v>
      </c>
      <c r="K209" s="143">
        <f t="array" ref="K209">INDEX('[23]SENSUS MEI'!$M$9:$M$453,MATCH(1,('[23]SENSUS MEI'!$D$9:$D$453=$D209)*('[23]SENSUS MEI'!$D$9:$D$453=$D209),0))+INDEX('[23]SENSUS MEI'!$O$9:$O$453,MATCH(1,('[23]SENSUS MEI'!$D$9:$D$453=$D209)*('[23]SENSUS MEI'!$D$9:$D$453=$D209),0))</f>
        <v>176</v>
      </c>
      <c r="L209" s="9">
        <f t="shared" si="18"/>
        <v>43.456790123456791</v>
      </c>
      <c r="M209" s="8" t="str">
        <f t="shared" si="19"/>
        <v>Perlu Pengendalian</v>
      </c>
      <c r="P209" s="194">
        <f t="shared" si="20"/>
        <v>22.801500000000001</v>
      </c>
      <c r="Q209" s="194">
        <f t="array" ref="Q209">$P209*0.8</f>
        <v>18.241200000000003</v>
      </c>
      <c r="R209" s="194">
        <f t="shared" si="21"/>
        <v>13.680899999999999</v>
      </c>
      <c r="S209" s="194">
        <f t="shared" si="22"/>
        <v>9.1206000000000014</v>
      </c>
      <c r="T209" s="194">
        <f t="shared" si="23"/>
        <v>4.5603000000000007</v>
      </c>
    </row>
    <row r="210" spans="1:20" outlineLevel="1" x14ac:dyDescent="0.15">
      <c r="A210" s="8" t="s">
        <v>628</v>
      </c>
      <c r="B210" s="8" t="s">
        <v>47</v>
      </c>
      <c r="C210" s="8" t="s">
        <v>216</v>
      </c>
      <c r="D210" s="8" t="s">
        <v>792</v>
      </c>
      <c r="E210" s="9">
        <v>37.68</v>
      </c>
      <c r="F210" s="8" t="s">
        <v>132</v>
      </c>
      <c r="G210" s="143">
        <f t="array" ref="G210">INDEX('[23]SENSUS MEI'!$G$9:$G$453,MATCH(1,('[23]SENSUS MEI'!$D$9:$D$453=$D210)*('[23]SENSUS MEI'!$D$9:$D$453=$D210),0))</f>
        <v>5315</v>
      </c>
      <c r="H210" s="11">
        <f t="array" ref="H210">INDEX('[23]SENSUS MEI'!$J$9:$J$453,MATCH(1,('[23]SENSUS MEI'!$D$9:$D$453=$D210)*('[23]SENSUS MEI'!$D$9:$D$453=$D210),0))</f>
        <v>46151</v>
      </c>
      <c r="I210" s="143">
        <f t="array" ref="I210">INDEX('[23]SENSUS MEI'!$K$9:$K$453,MATCH(1,('[23]SENSUS MEI'!$D$9:$D$453=$D210)*('[23]SENSUS MEI'!$D$9:$D$453=$D210),0))</f>
        <v>540</v>
      </c>
      <c r="J210" s="9">
        <f t="array" ref="J210">IFERROR(I210/G210*100,0)</f>
        <v>10.159924741298212</v>
      </c>
      <c r="K210" s="143">
        <f t="array" ref="K210">INDEX('[23]SENSUS MEI'!$M$9:$M$453,MATCH(1,('[23]SENSUS MEI'!$D$9:$D$453=$D210)*('[23]SENSUS MEI'!$D$9:$D$453=$D210),0))+INDEX('[23]SENSUS MEI'!$O$9:$O$453,MATCH(1,('[23]SENSUS MEI'!$D$9:$D$453=$D210)*('[23]SENSUS MEI'!$D$9:$D$453=$D210),0))</f>
        <v>157</v>
      </c>
      <c r="L210" s="9">
        <f t="shared" si="18"/>
        <v>29.074074074074076</v>
      </c>
      <c r="M210" s="8" t="str">
        <f t="shared" si="19"/>
        <v>Perlu Pengendalian</v>
      </c>
      <c r="P210" s="194">
        <f t="shared" si="20"/>
        <v>23.9175</v>
      </c>
      <c r="Q210" s="194">
        <f t="array" ref="Q210">$P210*0.8</f>
        <v>19.134</v>
      </c>
      <c r="R210" s="194">
        <f t="shared" si="21"/>
        <v>14.3505</v>
      </c>
      <c r="S210" s="194">
        <f t="shared" si="22"/>
        <v>9.5670000000000002</v>
      </c>
      <c r="T210" s="194">
        <f t="shared" si="23"/>
        <v>4.7835000000000001</v>
      </c>
    </row>
    <row r="211" spans="1:20" outlineLevel="1" x14ac:dyDescent="0.15">
      <c r="A211" s="8" t="s">
        <v>628</v>
      </c>
      <c r="B211" s="8" t="s">
        <v>47</v>
      </c>
      <c r="C211" s="8" t="s">
        <v>216</v>
      </c>
      <c r="D211" s="8" t="s">
        <v>793</v>
      </c>
      <c r="E211" s="9">
        <v>34.06</v>
      </c>
      <c r="F211" s="8" t="s">
        <v>132</v>
      </c>
      <c r="G211" s="143">
        <f t="array" ref="G211">INDEX('[23]SENSUS MEI'!$G$9:$G$453,MATCH(1,('[23]SENSUS MEI'!$D$9:$D$453=$D211)*('[23]SENSUS MEI'!$D$9:$D$453=$D211),0))</f>
        <v>4895</v>
      </c>
      <c r="H211" s="11">
        <f t="array" ref="H211">INDEX('[23]SENSUS MEI'!$J$9:$J$453,MATCH(1,('[23]SENSUS MEI'!$D$9:$D$453=$D211)*('[23]SENSUS MEI'!$D$9:$D$453=$D211),0))</f>
        <v>46154</v>
      </c>
      <c r="I211" s="143">
        <f t="array" ref="I211">INDEX('[23]SENSUS MEI'!$K$9:$K$453,MATCH(1,('[23]SENSUS MEI'!$D$9:$D$453=$D211)*('[23]SENSUS MEI'!$D$9:$D$453=$D211),0))</f>
        <v>499</v>
      </c>
      <c r="J211" s="9">
        <f t="array" ref="J211">IFERROR(I211/G211*100,0)</f>
        <v>10.194075587334014</v>
      </c>
      <c r="K211" s="143">
        <f t="array" ref="K211">INDEX('[23]SENSUS MEI'!$M$9:$M$453,MATCH(1,('[23]SENSUS MEI'!$D$9:$D$453=$D211)*('[23]SENSUS MEI'!$D$9:$D$453=$D211),0))+INDEX('[23]SENSUS MEI'!$O$9:$O$453,MATCH(1,('[23]SENSUS MEI'!$D$9:$D$453=$D211)*('[23]SENSUS MEI'!$D$9:$D$453=$D211),0))</f>
        <v>152</v>
      </c>
      <c r="L211" s="9">
        <f t="shared" si="18"/>
        <v>30.460921843687377</v>
      </c>
      <c r="M211" s="8" t="str">
        <f t="shared" si="19"/>
        <v>Perlu Pengendalian</v>
      </c>
      <c r="P211" s="194">
        <f t="shared" si="20"/>
        <v>22.0275</v>
      </c>
      <c r="Q211" s="194">
        <f t="array" ref="Q211">$P211*0.8</f>
        <v>17.622</v>
      </c>
      <c r="R211" s="194">
        <f t="shared" si="21"/>
        <v>13.2165</v>
      </c>
      <c r="S211" s="194">
        <f t="shared" si="22"/>
        <v>8.8109999999999999</v>
      </c>
      <c r="T211" s="194">
        <f t="shared" si="23"/>
        <v>4.4055</v>
      </c>
    </row>
    <row r="212" spans="1:20" outlineLevel="1" x14ac:dyDescent="0.15">
      <c r="A212" s="8" t="s">
        <v>628</v>
      </c>
      <c r="B212" s="8" t="s">
        <v>47</v>
      </c>
      <c r="C212" s="8" t="s">
        <v>216</v>
      </c>
      <c r="D212" s="8" t="s">
        <v>794</v>
      </c>
      <c r="E212" s="9">
        <v>36.85</v>
      </c>
      <c r="F212" s="8" t="s">
        <v>132</v>
      </c>
      <c r="G212" s="143">
        <f t="array" ref="G212">INDEX('[23]SENSUS MEI'!$G$9:$G$453,MATCH(1,('[23]SENSUS MEI'!$D$9:$D$453=$D212)*('[23]SENSUS MEI'!$D$9:$D$453=$D212),0))</f>
        <v>4335</v>
      </c>
      <c r="H212" s="11">
        <f t="array" ref="H212">INDEX('[23]SENSUS MEI'!$J$9:$J$453,MATCH(1,('[23]SENSUS MEI'!$D$9:$D$453=$D212)*('[23]SENSUS MEI'!$D$9:$D$453=$D212),0))</f>
        <v>46154</v>
      </c>
      <c r="I212" s="143">
        <f t="array" ref="I212">INDEX('[23]SENSUS MEI'!$K$9:$K$453,MATCH(1,('[23]SENSUS MEI'!$D$9:$D$453=$D212)*('[23]SENSUS MEI'!$D$9:$D$453=$D212),0))</f>
        <v>502</v>
      </c>
      <c r="J212" s="9">
        <f t="array" ref="J212">IFERROR(I212/G212*100,0)</f>
        <v>11.580161476355249</v>
      </c>
      <c r="K212" s="143">
        <f t="array" ref="K212">INDEX('[23]SENSUS MEI'!$M$9:$M$453,MATCH(1,('[23]SENSUS MEI'!$D$9:$D$453=$D212)*('[23]SENSUS MEI'!$D$9:$D$453=$D212),0))+INDEX('[23]SENSUS MEI'!$O$9:$O$453,MATCH(1,('[23]SENSUS MEI'!$D$9:$D$453=$D212)*('[23]SENSUS MEI'!$D$9:$D$453=$D212),0))</f>
        <v>55</v>
      </c>
      <c r="L212" s="9">
        <f t="shared" ref="L212:L275" si="24">IFERROR(K212/I212*100,0)</f>
        <v>10.95617529880478</v>
      </c>
      <c r="M212" s="8" t="str">
        <f t="shared" si="19"/>
        <v>Perlu Pengendalian</v>
      </c>
      <c r="P212" s="194">
        <f t="shared" si="20"/>
        <v>19.5075</v>
      </c>
      <c r="Q212" s="194">
        <f t="array" ref="Q212">$P212*0.8</f>
        <v>15.606000000000002</v>
      </c>
      <c r="R212" s="194">
        <f t="shared" si="21"/>
        <v>11.704499999999999</v>
      </c>
      <c r="S212" s="194">
        <f t="shared" si="22"/>
        <v>7.8030000000000008</v>
      </c>
      <c r="T212" s="194">
        <f t="shared" si="23"/>
        <v>3.9015000000000004</v>
      </c>
    </row>
    <row r="213" spans="1:20" outlineLevel="1" x14ac:dyDescent="0.15">
      <c r="A213" s="8" t="s">
        <v>628</v>
      </c>
      <c r="B213" s="8" t="s">
        <v>47</v>
      </c>
      <c r="C213" s="8" t="s">
        <v>216</v>
      </c>
      <c r="D213" s="8" t="s">
        <v>795</v>
      </c>
      <c r="E213" s="9">
        <v>34.31</v>
      </c>
      <c r="F213" s="8" t="s">
        <v>132</v>
      </c>
      <c r="G213" s="143">
        <f t="array" ref="G213">INDEX('[23]SENSUS MEI'!$G$9:$G$453,MATCH(1,('[23]SENSUS MEI'!$D$9:$D$453=$D213)*('[23]SENSUS MEI'!$D$9:$D$453=$D213),0))</f>
        <v>5020</v>
      </c>
      <c r="H213" s="11">
        <f t="array" ref="H213">INDEX('[23]SENSUS MEI'!$J$9:$J$453,MATCH(1,('[23]SENSUS MEI'!$D$9:$D$453=$D213)*('[23]SENSUS MEI'!$D$9:$D$453=$D213),0))</f>
        <v>46154</v>
      </c>
      <c r="I213" s="143">
        <f t="array" ref="I213">INDEX('[23]SENSUS MEI'!$K$9:$K$453,MATCH(1,('[23]SENSUS MEI'!$D$9:$D$453=$D213)*('[23]SENSUS MEI'!$D$9:$D$453=$D213),0))</f>
        <v>512</v>
      </c>
      <c r="J213" s="9">
        <f t="array" ref="J213">IFERROR(I213/G213*100,0)</f>
        <v>10.199203187250996</v>
      </c>
      <c r="K213" s="143">
        <f t="array" ref="K213">INDEX('[23]SENSUS MEI'!$M$9:$M$453,MATCH(1,('[23]SENSUS MEI'!$D$9:$D$453=$D213)*('[23]SENSUS MEI'!$D$9:$D$453=$D213),0))+INDEX('[23]SENSUS MEI'!$O$9:$O$453,MATCH(1,('[23]SENSUS MEI'!$D$9:$D$453=$D213)*('[23]SENSUS MEI'!$D$9:$D$453=$D213),0))</f>
        <v>141</v>
      </c>
      <c r="L213" s="9">
        <f t="shared" si="24"/>
        <v>27.5390625</v>
      </c>
      <c r="M213" s="8" t="str">
        <f t="shared" si="19"/>
        <v>Perlu Pengendalian</v>
      </c>
      <c r="P213" s="194">
        <f t="shared" si="20"/>
        <v>22.59</v>
      </c>
      <c r="Q213" s="194">
        <f t="array" ref="Q213">$P213*0.8</f>
        <v>18.071999999999999</v>
      </c>
      <c r="R213" s="194">
        <f t="shared" si="21"/>
        <v>13.554</v>
      </c>
      <c r="S213" s="194">
        <f t="shared" si="22"/>
        <v>9.0359999999999996</v>
      </c>
      <c r="T213" s="194">
        <f t="shared" si="23"/>
        <v>4.5179999999999998</v>
      </c>
    </row>
    <row r="214" spans="1:20" outlineLevel="1" x14ac:dyDescent="0.15">
      <c r="A214" s="8" t="s">
        <v>628</v>
      </c>
      <c r="B214" s="8" t="s">
        <v>47</v>
      </c>
      <c r="C214" s="8" t="s">
        <v>216</v>
      </c>
      <c r="D214" s="8" t="s">
        <v>796</v>
      </c>
      <c r="E214" s="9">
        <v>31.7</v>
      </c>
      <c r="F214" s="8" t="s">
        <v>132</v>
      </c>
      <c r="G214" s="143">
        <f t="array" ref="G214">INDEX('[23]SENSUS MEI'!$G$9:$G$453,MATCH(1,('[23]SENSUS MEI'!$D$9:$D$453=$D214)*('[23]SENSUS MEI'!$D$9:$D$453=$D214),0))</f>
        <v>4629</v>
      </c>
      <c r="H214" s="11">
        <f t="array" ref="H214">INDEX('[23]SENSUS MEI'!$J$9:$J$453,MATCH(1,('[23]SENSUS MEI'!$D$9:$D$453=$D214)*('[23]SENSUS MEI'!$D$9:$D$453=$D214),0))</f>
        <v>46153</v>
      </c>
      <c r="I214" s="143">
        <f t="array" ref="I214">INDEX('[23]SENSUS MEI'!$K$9:$K$453,MATCH(1,('[23]SENSUS MEI'!$D$9:$D$453=$D214)*('[23]SENSUS MEI'!$D$9:$D$453=$D214),0))</f>
        <v>444</v>
      </c>
      <c r="J214" s="9">
        <f t="array" ref="J214">IFERROR(I214/G214*100,0)</f>
        <v>9.5917044718081659</v>
      </c>
      <c r="K214" s="143">
        <f t="array" ref="K214">INDEX('[23]SENSUS MEI'!$M$9:$M$453,MATCH(1,('[23]SENSUS MEI'!$D$9:$D$453=$D214)*('[23]SENSUS MEI'!$D$9:$D$453=$D214),0))+INDEX('[23]SENSUS MEI'!$O$9:$O$453,MATCH(1,('[23]SENSUS MEI'!$D$9:$D$453=$D214)*('[23]SENSUS MEI'!$D$9:$D$453=$D214),0))</f>
        <v>148</v>
      </c>
      <c r="L214" s="9">
        <f t="shared" si="24"/>
        <v>33.333333333333329</v>
      </c>
      <c r="M214" s="8" t="str">
        <f t="shared" si="19"/>
        <v>Perlu Pengendalian</v>
      </c>
      <c r="P214" s="194">
        <f t="shared" si="20"/>
        <v>20.830500000000001</v>
      </c>
      <c r="Q214" s="194">
        <f t="array" ref="Q214">$P214*0.8</f>
        <v>16.664400000000001</v>
      </c>
      <c r="R214" s="194">
        <f t="shared" si="21"/>
        <v>12.4983</v>
      </c>
      <c r="S214" s="194">
        <f t="shared" si="22"/>
        <v>8.3322000000000003</v>
      </c>
      <c r="T214" s="194">
        <f t="shared" si="23"/>
        <v>4.1661000000000001</v>
      </c>
    </row>
    <row r="215" spans="1:20" outlineLevel="1" x14ac:dyDescent="0.15">
      <c r="A215" s="8" t="s">
        <v>628</v>
      </c>
      <c r="B215" s="8" t="s">
        <v>47</v>
      </c>
      <c r="C215" s="8" t="s">
        <v>216</v>
      </c>
      <c r="D215" s="8" t="s">
        <v>797</v>
      </c>
      <c r="E215" s="9">
        <v>24.96</v>
      </c>
      <c r="F215" s="8" t="s">
        <v>16</v>
      </c>
      <c r="G215" s="143">
        <f t="array" ref="G215">INDEX('[23]SENSUS MEI'!$G$9:$G$453,MATCH(1,('[23]SENSUS MEI'!$D$9:$D$453=$D215)*('[23]SENSUS MEI'!$D$9:$D$453=$D215),0))</f>
        <v>3637</v>
      </c>
      <c r="H215" s="11">
        <f t="array" ref="H215">INDEX('[23]SENSUS MEI'!$J$9:$J$453,MATCH(1,('[23]SENSUS MEI'!$D$9:$D$453=$D215)*('[23]SENSUS MEI'!$D$9:$D$453=$D215),0))</f>
        <v>46153</v>
      </c>
      <c r="I215" s="143">
        <f t="array" ref="I215">INDEX('[23]SENSUS MEI'!$K$9:$K$453,MATCH(1,('[23]SENSUS MEI'!$D$9:$D$453=$D215)*('[23]SENSUS MEI'!$D$9:$D$453=$D215),0))</f>
        <v>362</v>
      </c>
      <c r="J215" s="9">
        <f t="array" ref="J215">IFERROR(I215/G215*100,0)</f>
        <v>9.9532581798185316</v>
      </c>
      <c r="K215" s="143">
        <f t="array" ref="K215">INDEX('[23]SENSUS MEI'!$M$9:$M$453,MATCH(1,('[23]SENSUS MEI'!$D$9:$D$453=$D215)*('[23]SENSUS MEI'!$D$9:$D$453=$D215),0))+INDEX('[23]SENSUS MEI'!$O$9:$O$453,MATCH(1,('[23]SENSUS MEI'!$D$9:$D$453=$D215)*('[23]SENSUS MEI'!$D$9:$D$453=$D215),0))</f>
        <v>31</v>
      </c>
      <c r="L215" s="9">
        <f t="shared" si="24"/>
        <v>8.5635359116022105</v>
      </c>
      <c r="M215" s="8" t="str">
        <f t="shared" si="19"/>
        <v>Perlu Pengendalian</v>
      </c>
      <c r="P215" s="194">
        <f t="shared" si="20"/>
        <v>16.366499999999998</v>
      </c>
      <c r="Q215" s="194">
        <f t="array" ref="Q215">$P215*0.8</f>
        <v>13.0932</v>
      </c>
      <c r="R215" s="194">
        <f t="shared" si="21"/>
        <v>9.8198999999999987</v>
      </c>
      <c r="S215" s="194">
        <f t="shared" si="22"/>
        <v>6.5465999999999998</v>
      </c>
      <c r="T215" s="194">
        <f t="shared" si="23"/>
        <v>3.2732999999999999</v>
      </c>
    </row>
    <row r="216" spans="1:20" outlineLevel="1" x14ac:dyDescent="0.15">
      <c r="A216" s="8" t="s">
        <v>628</v>
      </c>
      <c r="B216" s="8" t="s">
        <v>47</v>
      </c>
      <c r="C216" s="8" t="s">
        <v>216</v>
      </c>
      <c r="D216" s="8" t="s">
        <v>798</v>
      </c>
      <c r="E216" s="9">
        <v>11.63</v>
      </c>
      <c r="F216" s="8" t="s">
        <v>16</v>
      </c>
      <c r="G216" s="143">
        <f t="array" ref="G216">INDEX('[23]SENSUS MEI'!$G$9:$G$453,MATCH(1,('[23]SENSUS MEI'!$D$9:$D$453=$D216)*('[23]SENSUS MEI'!$D$9:$D$453=$D216),0))</f>
        <v>1717</v>
      </c>
      <c r="H216" s="11">
        <f t="array" ref="H216">INDEX('[23]SENSUS MEI'!$J$9:$J$453,MATCH(1,('[23]SENSUS MEI'!$D$9:$D$453=$D216)*('[23]SENSUS MEI'!$D$9:$D$453=$D216),0))</f>
        <v>46153</v>
      </c>
      <c r="I216" s="143">
        <f t="array" ref="I216">INDEX('[23]SENSUS MEI'!$K$9:$K$453,MATCH(1,('[23]SENSUS MEI'!$D$9:$D$453=$D216)*('[23]SENSUS MEI'!$D$9:$D$453=$D216),0))</f>
        <v>135</v>
      </c>
      <c r="J216" s="9">
        <f t="array" ref="J216">IFERROR(I216/G216*100,0)</f>
        <v>7.8625509609784512</v>
      </c>
      <c r="K216" s="143">
        <f t="array" ref="K216">INDEX('[23]SENSUS MEI'!$M$9:$M$453,MATCH(1,('[23]SENSUS MEI'!$D$9:$D$453=$D216)*('[23]SENSUS MEI'!$D$9:$D$453=$D216),0))+INDEX('[23]SENSUS MEI'!$O$9:$O$453,MATCH(1,('[23]SENSUS MEI'!$D$9:$D$453=$D216)*('[23]SENSUS MEI'!$D$9:$D$453=$D216),0))</f>
        <v>18</v>
      </c>
      <c r="L216" s="9">
        <f t="shared" si="24"/>
        <v>13.333333333333334</v>
      </c>
      <c r="M216" s="8" t="str">
        <f t="shared" si="19"/>
        <v>Perlu Pengendalian</v>
      </c>
      <c r="P216" s="194">
        <f t="shared" si="20"/>
        <v>7.7264999999999997</v>
      </c>
      <c r="Q216" s="194">
        <f t="array" ref="Q216">$P216*0.8</f>
        <v>6.1812000000000005</v>
      </c>
      <c r="R216" s="194">
        <f t="shared" si="21"/>
        <v>4.6358999999999995</v>
      </c>
      <c r="S216" s="194">
        <f t="shared" si="22"/>
        <v>3.0906000000000002</v>
      </c>
      <c r="T216" s="194">
        <f t="shared" si="23"/>
        <v>1.5453000000000001</v>
      </c>
    </row>
    <row r="217" spans="1:20" outlineLevel="1" x14ac:dyDescent="0.15">
      <c r="A217" s="8" t="s">
        <v>628</v>
      </c>
      <c r="B217" s="8" t="s">
        <v>47</v>
      </c>
      <c r="C217" s="8" t="s">
        <v>216</v>
      </c>
      <c r="D217" s="8" t="s">
        <v>799</v>
      </c>
      <c r="E217" s="9">
        <v>9.6300000000000008</v>
      </c>
      <c r="F217" s="8" t="s">
        <v>16</v>
      </c>
      <c r="G217" s="143">
        <f t="array" ref="G217">INDEX('[23]SENSUS MEI'!$G$9:$G$453,MATCH(1,('[23]SENSUS MEI'!$D$9:$D$453=$D217)*('[23]SENSUS MEI'!$D$9:$D$453=$D217),0))</f>
        <v>1414</v>
      </c>
      <c r="H217" s="11">
        <f t="array" ref="H217">INDEX('[23]SENSUS MEI'!$J$9:$J$453,MATCH(1,('[23]SENSUS MEI'!$D$9:$D$453=$D217)*('[23]SENSUS MEI'!$D$9:$D$453=$D217),0))</f>
        <v>46153</v>
      </c>
      <c r="I217" s="143">
        <f t="array" ref="I217">INDEX('[23]SENSUS MEI'!$K$9:$K$453,MATCH(1,('[23]SENSUS MEI'!$D$9:$D$453=$D217)*('[23]SENSUS MEI'!$D$9:$D$453=$D217),0))</f>
        <v>132</v>
      </c>
      <c r="J217" s="9">
        <f t="array" ref="J217">IFERROR(I217/G217*100,0)</f>
        <v>9.3352192362093351</v>
      </c>
      <c r="K217" s="143">
        <f t="array" ref="K217">INDEX('[23]SENSUS MEI'!$M$9:$M$453,MATCH(1,('[23]SENSUS MEI'!$D$9:$D$453=$D217)*('[23]SENSUS MEI'!$D$9:$D$453=$D217),0))+INDEX('[23]SENSUS MEI'!$O$9:$O$453,MATCH(1,('[23]SENSUS MEI'!$D$9:$D$453=$D217)*('[23]SENSUS MEI'!$D$9:$D$453=$D217),0))</f>
        <v>20</v>
      </c>
      <c r="L217" s="9">
        <f t="shared" si="24"/>
        <v>15.151515151515152</v>
      </c>
      <c r="M217" s="8" t="str">
        <f t="shared" si="19"/>
        <v>Perlu Pengendalian</v>
      </c>
      <c r="P217" s="194">
        <f t="shared" si="20"/>
        <v>6.3630000000000004</v>
      </c>
      <c r="Q217" s="194">
        <f t="array" ref="Q217">$P217*0.8</f>
        <v>5.0904000000000007</v>
      </c>
      <c r="R217" s="194">
        <f t="shared" si="21"/>
        <v>3.8178000000000001</v>
      </c>
      <c r="S217" s="194">
        <f t="shared" si="22"/>
        <v>2.5452000000000004</v>
      </c>
      <c r="T217" s="194">
        <f t="shared" si="23"/>
        <v>1.2726000000000002</v>
      </c>
    </row>
    <row r="218" spans="1:20" outlineLevel="1" x14ac:dyDescent="0.15">
      <c r="A218" s="8" t="s">
        <v>628</v>
      </c>
      <c r="B218" s="8" t="s">
        <v>47</v>
      </c>
      <c r="C218" s="8" t="s">
        <v>216</v>
      </c>
      <c r="D218" s="8" t="s">
        <v>800</v>
      </c>
      <c r="E218" s="9">
        <v>2.02</v>
      </c>
      <c r="F218" s="8" t="s">
        <v>16</v>
      </c>
      <c r="G218" s="143">
        <f t="array" ref="G218">INDEX('[23]SENSUS MEI'!$G$9:$G$453,MATCH(1,('[23]SENSUS MEI'!$D$9:$D$453=$D218)*('[23]SENSUS MEI'!$D$9:$D$453=$D218),0))</f>
        <v>321</v>
      </c>
      <c r="H218" s="11">
        <f t="array" ref="H218">INDEX('[23]SENSUS MEI'!$J$9:$J$453,MATCH(1,('[23]SENSUS MEI'!$D$9:$D$453=$D218)*('[23]SENSUS MEI'!$D$9:$D$453=$D218),0))</f>
        <v>46153</v>
      </c>
      <c r="I218" s="143">
        <f t="array" ref="I218">INDEX('[23]SENSUS MEI'!$K$9:$K$453,MATCH(1,('[23]SENSUS MEI'!$D$9:$D$453=$D218)*('[23]SENSUS MEI'!$D$9:$D$453=$D218),0))</f>
        <v>43</v>
      </c>
      <c r="J218" s="9">
        <f t="array" ref="J218">IFERROR(I218/G218*100,0)</f>
        <v>13.395638629283487</v>
      </c>
      <c r="K218" s="143">
        <f t="array" ref="K218">INDEX('[23]SENSUS MEI'!$M$9:$M$453,MATCH(1,('[23]SENSUS MEI'!$D$9:$D$453=$D218)*('[23]SENSUS MEI'!$D$9:$D$453=$D218),0))+INDEX('[23]SENSUS MEI'!$O$9:$O$453,MATCH(1,('[23]SENSUS MEI'!$D$9:$D$453=$D218)*('[23]SENSUS MEI'!$D$9:$D$453=$D218),0))</f>
        <v>4</v>
      </c>
      <c r="L218" s="9">
        <f t="shared" si="24"/>
        <v>9.3023255813953494</v>
      </c>
      <c r="M218" s="8" t="str">
        <f t="shared" si="19"/>
        <v>Perlu Pengendalian</v>
      </c>
      <c r="P218" s="194">
        <f t="shared" si="20"/>
        <v>1.4444999999999999</v>
      </c>
      <c r="Q218" s="194">
        <f t="array" ref="Q218">$P218*0.8</f>
        <v>1.1556</v>
      </c>
      <c r="R218" s="194">
        <f t="shared" si="21"/>
        <v>0.86669999999999991</v>
      </c>
      <c r="S218" s="194">
        <f t="shared" si="22"/>
        <v>0.57779999999999998</v>
      </c>
      <c r="T218" s="194">
        <f t="shared" si="23"/>
        <v>0.28889999999999999</v>
      </c>
    </row>
    <row r="219" spans="1:20" outlineLevel="1" x14ac:dyDescent="0.15">
      <c r="A219" s="8" t="s">
        <v>628</v>
      </c>
      <c r="B219" s="8" t="s">
        <v>47</v>
      </c>
      <c r="C219" s="8" t="s">
        <v>216</v>
      </c>
      <c r="D219" s="8" t="s">
        <v>801</v>
      </c>
      <c r="E219" s="9">
        <v>27.54</v>
      </c>
      <c r="F219" s="8" t="s">
        <v>16</v>
      </c>
      <c r="G219" s="143">
        <f t="array" ref="G219">INDEX('[23]SENSUS MEI'!$G$9:$G$453,MATCH(1,('[23]SENSUS MEI'!$D$9:$D$453=$D219)*('[23]SENSUS MEI'!$D$9:$D$453=$D219),0))</f>
        <v>3527</v>
      </c>
      <c r="H219" s="11">
        <f t="array" ref="H219">INDEX('[23]SENSUS MEI'!$J$9:$J$453,MATCH(1,('[23]SENSUS MEI'!$D$9:$D$453=$D219)*('[23]SENSUS MEI'!$D$9:$D$453=$D219),0))</f>
        <v>46151</v>
      </c>
      <c r="I219" s="143">
        <f t="array" ref="I219">INDEX('[23]SENSUS MEI'!$K$9:$K$453,MATCH(1,('[23]SENSUS MEI'!$D$9:$D$453=$D219)*('[23]SENSUS MEI'!$D$9:$D$453=$D219),0))</f>
        <v>405</v>
      </c>
      <c r="J219" s="9">
        <f t="array" ref="J219">IFERROR(I219/G219*100,0)</f>
        <v>11.482846611851432</v>
      </c>
      <c r="K219" s="143">
        <f t="array" ref="K219">INDEX('[23]SENSUS MEI'!$M$9:$M$453,MATCH(1,('[23]SENSUS MEI'!$D$9:$D$453=$D219)*('[23]SENSUS MEI'!$D$9:$D$453=$D219),0))+INDEX('[23]SENSUS MEI'!$O$9:$O$453,MATCH(1,('[23]SENSUS MEI'!$D$9:$D$453=$D219)*('[23]SENSUS MEI'!$D$9:$D$453=$D219),0))</f>
        <v>176</v>
      </c>
      <c r="L219" s="9">
        <f t="shared" si="24"/>
        <v>43.456790123456791</v>
      </c>
      <c r="M219" s="8" t="str">
        <f t="shared" si="19"/>
        <v>Perlu Pengendalian</v>
      </c>
      <c r="P219" s="194">
        <f t="shared" si="20"/>
        <v>15.871499999999999</v>
      </c>
      <c r="Q219" s="194">
        <f t="array" ref="Q219">$P219*0.8</f>
        <v>12.6972</v>
      </c>
      <c r="R219" s="194">
        <f t="shared" si="21"/>
        <v>9.5228999999999999</v>
      </c>
      <c r="S219" s="194">
        <f t="shared" si="22"/>
        <v>6.3486000000000002</v>
      </c>
      <c r="T219" s="194">
        <f t="shared" si="23"/>
        <v>3.1743000000000001</v>
      </c>
    </row>
    <row r="220" spans="1:20" outlineLevel="1" x14ac:dyDescent="0.15">
      <c r="A220" s="8" t="s">
        <v>628</v>
      </c>
      <c r="B220" s="8" t="s">
        <v>47</v>
      </c>
      <c r="C220" s="8" t="s">
        <v>216</v>
      </c>
      <c r="D220" s="8" t="s">
        <v>802</v>
      </c>
      <c r="E220" s="9">
        <v>21.46</v>
      </c>
      <c r="F220" s="8" t="s">
        <v>16</v>
      </c>
      <c r="G220" s="143">
        <f t="array" ref="G220">INDEX('[23]SENSUS MEI'!$G$9:$G$453,MATCH(1,('[23]SENSUS MEI'!$D$9:$D$453=$D220)*('[23]SENSUS MEI'!$D$9:$D$453=$D220),0))</f>
        <v>3057</v>
      </c>
      <c r="H220" s="11">
        <f t="array" ref="H220">INDEX('[23]SENSUS MEI'!$J$9:$J$453,MATCH(1,('[23]SENSUS MEI'!$D$9:$D$453=$D220)*('[23]SENSUS MEI'!$D$9:$D$453=$D220),0))</f>
        <v>46151</v>
      </c>
      <c r="I220" s="143">
        <f t="array" ref="I220">INDEX('[23]SENSUS MEI'!$K$9:$K$453,MATCH(1,('[23]SENSUS MEI'!$D$9:$D$453=$D220)*('[23]SENSUS MEI'!$D$9:$D$453=$D220),0))</f>
        <v>315</v>
      </c>
      <c r="J220" s="9">
        <f t="array" ref="J220">IFERROR(I220/G220*100,0)</f>
        <v>10.304219823356231</v>
      </c>
      <c r="K220" s="143">
        <f t="array" ref="K220">INDEX('[23]SENSUS MEI'!$M$9:$M$453,MATCH(1,('[23]SENSUS MEI'!$D$9:$D$453=$D220)*('[23]SENSUS MEI'!$D$9:$D$453=$D220),0))+INDEX('[23]SENSUS MEI'!$O$9:$O$453,MATCH(1,('[23]SENSUS MEI'!$D$9:$D$453=$D220)*('[23]SENSUS MEI'!$D$9:$D$453=$D220),0))</f>
        <v>73</v>
      </c>
      <c r="L220" s="9">
        <f t="shared" si="24"/>
        <v>23.174603174603174</v>
      </c>
      <c r="M220" s="8" t="str">
        <f t="shared" si="19"/>
        <v>Perlu Pengendalian</v>
      </c>
      <c r="P220" s="194">
        <f t="shared" si="20"/>
        <v>13.756500000000001</v>
      </c>
      <c r="Q220" s="194">
        <f t="array" ref="Q220">$P220*0.8</f>
        <v>11.005200000000002</v>
      </c>
      <c r="R220" s="194">
        <f t="shared" si="21"/>
        <v>8.2538999999999998</v>
      </c>
      <c r="S220" s="194">
        <f t="shared" si="22"/>
        <v>5.502600000000001</v>
      </c>
      <c r="T220" s="194">
        <f t="shared" si="23"/>
        <v>2.7513000000000005</v>
      </c>
    </row>
    <row r="221" spans="1:20" outlineLevel="1" x14ac:dyDescent="0.15">
      <c r="A221" s="8" t="s">
        <v>628</v>
      </c>
      <c r="B221" s="8" t="s">
        <v>47</v>
      </c>
      <c r="C221" s="8" t="s">
        <v>216</v>
      </c>
      <c r="D221" s="8" t="s">
        <v>803</v>
      </c>
      <c r="E221" s="9">
        <v>14.51</v>
      </c>
      <c r="F221" s="8" t="s">
        <v>16</v>
      </c>
      <c r="G221" s="143">
        <f t="array" ref="G221">INDEX('[23]SENSUS MEI'!$G$9:$G$453,MATCH(1,('[23]SENSUS MEI'!$D$9:$D$453=$D221)*('[23]SENSUS MEI'!$D$9:$D$453=$D221),0))</f>
        <v>2127</v>
      </c>
      <c r="H221" s="11">
        <f t="array" ref="H221">INDEX('[23]SENSUS MEI'!$J$9:$J$453,MATCH(1,('[23]SENSUS MEI'!$D$9:$D$453=$D221)*('[23]SENSUS MEI'!$D$9:$D$453=$D221),0))</f>
        <v>46153</v>
      </c>
      <c r="I221" s="143">
        <f t="array" ref="I221">INDEX('[23]SENSUS MEI'!$K$9:$K$453,MATCH(1,('[23]SENSUS MEI'!$D$9:$D$453=$D221)*('[23]SENSUS MEI'!$D$9:$D$453=$D221),0))</f>
        <v>153</v>
      </c>
      <c r="J221" s="9">
        <f t="array" ref="J221">IFERROR(I221/G221*100,0)</f>
        <v>7.1932299012693939</v>
      </c>
      <c r="K221" s="143">
        <f t="array" ref="K221">INDEX('[23]SENSUS MEI'!$M$9:$M$453,MATCH(1,('[23]SENSUS MEI'!$D$9:$D$453=$D221)*('[23]SENSUS MEI'!$D$9:$D$453=$D221),0))+INDEX('[23]SENSUS MEI'!$O$9:$O$453,MATCH(1,('[23]SENSUS MEI'!$D$9:$D$453=$D221)*('[23]SENSUS MEI'!$D$9:$D$453=$D221),0))</f>
        <v>153</v>
      </c>
      <c r="L221" s="9">
        <f t="shared" si="24"/>
        <v>100</v>
      </c>
      <c r="M221" s="8" t="str">
        <f t="shared" si="19"/>
        <v>Perlu Pengendalian</v>
      </c>
      <c r="P221" s="194">
        <f t="shared" si="20"/>
        <v>9.5715000000000003</v>
      </c>
      <c r="Q221" s="194">
        <f t="array" ref="Q221">$P221*0.8</f>
        <v>7.6572000000000005</v>
      </c>
      <c r="R221" s="194">
        <f t="shared" si="21"/>
        <v>5.7428999999999997</v>
      </c>
      <c r="S221" s="194">
        <f t="shared" si="22"/>
        <v>3.8286000000000002</v>
      </c>
      <c r="T221" s="194">
        <f t="shared" si="23"/>
        <v>1.9143000000000001</v>
      </c>
    </row>
    <row r="222" spans="1:20" outlineLevel="1" x14ac:dyDescent="0.15">
      <c r="A222" s="8" t="s">
        <v>628</v>
      </c>
      <c r="B222" s="8" t="s">
        <v>47</v>
      </c>
      <c r="C222" s="8" t="s">
        <v>216</v>
      </c>
      <c r="D222" s="8" t="s">
        <v>804</v>
      </c>
      <c r="E222" s="9">
        <v>8.94</v>
      </c>
      <c r="F222" s="8" t="s">
        <v>16</v>
      </c>
      <c r="G222" s="143">
        <f t="array" ref="G222">INDEX('[23]SENSUS MEI'!$G$9:$G$453,MATCH(1,('[23]SENSUS MEI'!$D$9:$D$453=$D222)*('[23]SENSUS MEI'!$D$9:$D$453=$D222),0))</f>
        <v>1254</v>
      </c>
      <c r="H222" s="11">
        <f t="array" ref="H222">INDEX('[23]SENSUS MEI'!$J$9:$J$453,MATCH(1,('[23]SENSUS MEI'!$D$9:$D$453=$D222)*('[23]SENSUS MEI'!$D$9:$D$453=$D222),0))</f>
        <v>46153</v>
      </c>
      <c r="I222" s="143">
        <f t="array" ref="I222">INDEX('[23]SENSUS MEI'!$K$9:$K$453,MATCH(1,('[23]SENSUS MEI'!$D$9:$D$453=$D222)*('[23]SENSUS MEI'!$D$9:$D$453=$D222),0))</f>
        <v>75</v>
      </c>
      <c r="J222" s="9">
        <f t="array" ref="J222">IFERROR(I222/G222*100,0)</f>
        <v>5.9808612440191391</v>
      </c>
      <c r="K222" s="143">
        <f t="array" ref="K222">INDEX('[23]SENSUS MEI'!$M$9:$M$453,MATCH(1,('[23]SENSUS MEI'!$D$9:$D$453=$D222)*('[23]SENSUS MEI'!$D$9:$D$453=$D222),0))+INDEX('[23]SENSUS MEI'!$O$9:$O$453,MATCH(1,('[23]SENSUS MEI'!$D$9:$D$453=$D222)*('[23]SENSUS MEI'!$D$9:$D$453=$D222),0))</f>
        <v>30</v>
      </c>
      <c r="L222" s="9">
        <f t="shared" si="24"/>
        <v>40</v>
      </c>
      <c r="M222" s="8" t="str">
        <f t="shared" si="19"/>
        <v>Perlu Pengendalian</v>
      </c>
      <c r="P222" s="194">
        <f t="shared" si="20"/>
        <v>5.6429999999999998</v>
      </c>
      <c r="Q222" s="194">
        <f t="array" ref="Q222">$P222*0.8</f>
        <v>4.5144000000000002</v>
      </c>
      <c r="R222" s="194">
        <f t="shared" si="21"/>
        <v>3.3857999999999997</v>
      </c>
      <c r="S222" s="194">
        <f t="shared" si="22"/>
        <v>2.2572000000000001</v>
      </c>
      <c r="T222" s="194">
        <f t="shared" si="23"/>
        <v>1.1286</v>
      </c>
    </row>
    <row r="223" spans="1:20" outlineLevel="1" x14ac:dyDescent="0.15">
      <c r="A223" s="8" t="s">
        <v>628</v>
      </c>
      <c r="B223" s="8" t="s">
        <v>47</v>
      </c>
      <c r="C223" s="8" t="s">
        <v>216</v>
      </c>
      <c r="D223" s="8" t="s">
        <v>805</v>
      </c>
      <c r="E223" s="9">
        <v>2.59</v>
      </c>
      <c r="F223" s="8" t="s">
        <v>16</v>
      </c>
      <c r="G223" s="143">
        <f t="array" ref="G223">INDEX('[23]SENSUS MEI'!$G$9:$G$453,MATCH(1,('[23]SENSUS MEI'!$D$9:$D$453=$D223)*('[23]SENSUS MEI'!$D$9:$D$453=$D223),0))</f>
        <v>376</v>
      </c>
      <c r="H223" s="11">
        <f t="array" ref="H223">INDEX('[23]SENSUS MEI'!$J$9:$J$453,MATCH(1,('[23]SENSUS MEI'!$D$9:$D$453=$D223)*('[23]SENSUS MEI'!$D$9:$D$453=$D223),0))</f>
        <v>46153</v>
      </c>
      <c r="I223" s="143">
        <f t="array" ref="I223">INDEX('[23]SENSUS MEI'!$K$9:$K$453,MATCH(1,('[23]SENSUS MEI'!$D$9:$D$453=$D223)*('[23]SENSUS MEI'!$D$9:$D$453=$D223),0))</f>
        <v>45</v>
      </c>
      <c r="J223" s="9">
        <f t="array" ref="J223">IFERROR(I223/G223*100,0)</f>
        <v>11.968085106382979</v>
      </c>
      <c r="K223" s="143">
        <f t="array" ref="K223">INDEX('[23]SENSUS MEI'!$M$9:$M$453,MATCH(1,('[23]SENSUS MEI'!$D$9:$D$453=$D223)*('[23]SENSUS MEI'!$D$9:$D$453=$D223),0))+INDEX('[23]SENSUS MEI'!$O$9:$O$453,MATCH(1,('[23]SENSUS MEI'!$D$9:$D$453=$D223)*('[23]SENSUS MEI'!$D$9:$D$453=$D223),0))</f>
        <v>7</v>
      </c>
      <c r="L223" s="9">
        <f t="shared" si="24"/>
        <v>15.555555555555555</v>
      </c>
      <c r="M223" s="8" t="str">
        <f t="shared" si="19"/>
        <v>Perlu Pengendalian</v>
      </c>
      <c r="P223" s="194">
        <f t="shared" si="20"/>
        <v>1.6919999999999999</v>
      </c>
      <c r="Q223" s="194">
        <f t="array" ref="Q223">$P223*0.8</f>
        <v>1.3536000000000001</v>
      </c>
      <c r="R223" s="194">
        <f t="shared" si="21"/>
        <v>1.0151999999999999</v>
      </c>
      <c r="S223" s="194">
        <f t="shared" si="22"/>
        <v>0.67680000000000007</v>
      </c>
      <c r="T223" s="194">
        <f t="shared" si="23"/>
        <v>0.33840000000000003</v>
      </c>
    </row>
    <row r="224" spans="1:20" outlineLevel="1" x14ac:dyDescent="0.15">
      <c r="A224" s="8" t="s">
        <v>628</v>
      </c>
      <c r="B224" s="8" t="s">
        <v>47</v>
      </c>
      <c r="C224" s="8" t="s">
        <v>252</v>
      </c>
      <c r="D224" s="8" t="s">
        <v>806</v>
      </c>
      <c r="E224" s="9">
        <v>1.51</v>
      </c>
      <c r="F224" s="8" t="s">
        <v>469</v>
      </c>
      <c r="G224" s="143">
        <f t="array" ref="G224">INDEX('[23]SENSUS MEI'!$G$9:$G$453,MATCH(1,('[23]SENSUS MEI'!$D$9:$D$453=$D224)*('[23]SENSUS MEI'!$D$9:$D$453=$D224),0))</f>
        <v>227</v>
      </c>
      <c r="H224" s="11">
        <f t="array" ref="H224">INDEX('[23]SENSUS MEI'!$J$9:$J$453,MATCH(1,('[23]SENSUS MEI'!$D$9:$D$453=$D224)*('[23]SENSUS MEI'!$D$9:$D$453=$D224),0))</f>
        <v>46149</v>
      </c>
      <c r="I224" s="143">
        <f t="array" ref="I224">INDEX('[23]SENSUS MEI'!$K$9:$K$453,MATCH(1,('[23]SENSUS MEI'!$D$9:$D$453=$D224)*('[23]SENSUS MEI'!$D$9:$D$453=$D224),0))</f>
        <v>16</v>
      </c>
      <c r="J224" s="9">
        <f t="array" ref="J224">IFERROR(I224/G224*100,0)</f>
        <v>7.0484581497797363</v>
      </c>
      <c r="K224" s="143">
        <f t="array" ref="K224">INDEX('[23]SENSUS MEI'!$M$9:$M$453,MATCH(1,('[23]SENSUS MEI'!$D$9:$D$453=$D224)*('[23]SENSUS MEI'!$D$9:$D$453=$D224),0))+INDEX('[23]SENSUS MEI'!$O$9:$O$453,MATCH(1,('[23]SENSUS MEI'!$D$9:$D$453=$D224)*('[23]SENSUS MEI'!$D$9:$D$453=$D224),0))</f>
        <v>7</v>
      </c>
      <c r="L224" s="9">
        <f t="shared" si="24"/>
        <v>43.75</v>
      </c>
      <c r="M224" s="8" t="str">
        <f t="shared" si="19"/>
        <v>Perlu Pengendalian</v>
      </c>
      <c r="O224" s="3">
        <f t="array" ref="O224">INDEX('[23]SENSUS MEI'!$Q$237:$Q$267,MATCH(1,('[23]SENSUS MEI'!$D$237:$D$267=$D224)*('[23]SENSUS MEI'!$D$237:$D$267=$D224),0))</f>
        <v>7</v>
      </c>
      <c r="P224" s="194">
        <f t="shared" si="20"/>
        <v>1.0215000000000001</v>
      </c>
      <c r="Q224" s="194">
        <f t="array" ref="Q224">$P224*0.8</f>
        <v>0.81720000000000015</v>
      </c>
      <c r="R224" s="194">
        <f t="shared" si="21"/>
        <v>0.6129</v>
      </c>
      <c r="S224" s="194">
        <f t="shared" si="22"/>
        <v>0.40860000000000007</v>
      </c>
      <c r="T224" s="194">
        <f t="shared" si="23"/>
        <v>0.20430000000000004</v>
      </c>
    </row>
    <row r="225" spans="1:20" outlineLevel="1" x14ac:dyDescent="0.15">
      <c r="A225" s="8" t="s">
        <v>628</v>
      </c>
      <c r="B225" s="8" t="s">
        <v>47</v>
      </c>
      <c r="C225" s="8" t="s">
        <v>252</v>
      </c>
      <c r="D225" s="8" t="s">
        <v>807</v>
      </c>
      <c r="E225" s="9">
        <v>17.55</v>
      </c>
      <c r="F225" s="8" t="s">
        <v>469</v>
      </c>
      <c r="G225" s="143">
        <f t="array" ref="G225">INDEX('[23]SENSUS MEI'!$G$9:$G$453,MATCH(1,('[23]SENSUS MEI'!$D$9:$D$453=$D225)*('[23]SENSUS MEI'!$D$9:$D$453=$D225),0))</f>
        <v>2390</v>
      </c>
      <c r="H225" s="11">
        <f t="array" ref="H225">INDEX('[23]SENSUS MEI'!$J$9:$J$453,MATCH(1,('[23]SENSUS MEI'!$D$9:$D$453=$D225)*('[23]SENSUS MEI'!$D$9:$D$453=$D225),0))</f>
        <v>46149</v>
      </c>
      <c r="I225" s="143">
        <f t="array" ref="I225">INDEX('[23]SENSUS MEI'!$K$9:$K$453,MATCH(1,('[23]SENSUS MEI'!$D$9:$D$453=$D225)*('[23]SENSUS MEI'!$D$9:$D$453=$D225),0))</f>
        <v>222</v>
      </c>
      <c r="J225" s="9">
        <f t="array" ref="J225">IFERROR(I225/G225*100,0)</f>
        <v>9.2887029288702934</v>
      </c>
      <c r="K225" s="143">
        <f t="array" ref="K225">INDEX('[23]SENSUS MEI'!$M$9:$M$453,MATCH(1,('[23]SENSUS MEI'!$D$9:$D$453=$D225)*('[23]SENSUS MEI'!$D$9:$D$453=$D225),0))+INDEX('[23]SENSUS MEI'!$O$9:$O$453,MATCH(1,('[23]SENSUS MEI'!$D$9:$D$453=$D225)*('[23]SENSUS MEI'!$D$9:$D$453=$D225),0))</f>
        <v>77</v>
      </c>
      <c r="L225" s="9">
        <f t="shared" si="24"/>
        <v>34.684684684684683</v>
      </c>
      <c r="M225" s="8" t="str">
        <f t="shared" si="19"/>
        <v>Perlu Pengendalian</v>
      </c>
      <c r="O225" s="3">
        <f t="array" ref="O225">INDEX('[23]SENSUS MEI'!$Q$237:$Q$267,MATCH(1,('[23]SENSUS MEI'!$D$237:$D$267=$D225)*('[23]SENSUS MEI'!$D$237:$D$267=$D225),0))</f>
        <v>77</v>
      </c>
      <c r="P225" s="194">
        <f t="shared" si="20"/>
        <v>10.755000000000001</v>
      </c>
      <c r="Q225" s="194">
        <f t="array" ref="Q225">$P225*0.8</f>
        <v>8.604000000000001</v>
      </c>
      <c r="R225" s="194">
        <f t="shared" si="21"/>
        <v>6.4530000000000003</v>
      </c>
      <c r="S225" s="194">
        <f t="shared" si="22"/>
        <v>4.3020000000000005</v>
      </c>
      <c r="T225" s="194">
        <f t="shared" si="23"/>
        <v>2.1510000000000002</v>
      </c>
    </row>
    <row r="226" spans="1:20" outlineLevel="1" x14ac:dyDescent="0.15">
      <c r="A226" s="8" t="s">
        <v>628</v>
      </c>
      <c r="B226" s="8" t="s">
        <v>47</v>
      </c>
      <c r="C226" s="8" t="s">
        <v>252</v>
      </c>
      <c r="D226" s="8" t="s">
        <v>2047</v>
      </c>
      <c r="E226" s="9">
        <v>25.56</v>
      </c>
      <c r="F226" s="8" t="s">
        <v>469</v>
      </c>
      <c r="G226" s="143">
        <f t="array" ref="G226">INDEX('[23]SENSUS MEI'!$G$9:$G$453,MATCH(1,('[23]SENSUS MEI'!$D$9:$D$453=$D226)*('[23]SENSUS MEI'!$D$9:$D$453=$D226),0))</f>
        <v>3446</v>
      </c>
      <c r="H226" s="11">
        <f t="array" ref="H226">INDEX('[23]SENSUS MEI'!$J$9:$J$453,MATCH(1,('[23]SENSUS MEI'!$D$9:$D$453=$D226)*('[23]SENSUS MEI'!$D$9:$D$453=$D226),0))</f>
        <v>46149</v>
      </c>
      <c r="I226" s="143">
        <f t="array" ref="I226">INDEX('[23]SENSUS MEI'!$K$9:$K$453,MATCH(1,('[23]SENSUS MEI'!$D$9:$D$453=$D226)*('[23]SENSUS MEI'!$D$9:$D$453=$D226),0))</f>
        <v>289</v>
      </c>
      <c r="J226" s="9">
        <f t="array" ref="J226">IFERROR(I226/G226*100,0)</f>
        <v>8.3865351131746948</v>
      </c>
      <c r="K226" s="143">
        <f t="array" ref="K226">INDEX('[23]SENSUS MEI'!$M$9:$M$453,MATCH(1,('[23]SENSUS MEI'!$D$9:$D$453=$D226)*('[23]SENSUS MEI'!$D$9:$D$453=$D226),0))+INDEX('[23]SENSUS MEI'!$O$9:$O$453,MATCH(1,('[23]SENSUS MEI'!$D$9:$D$453=$D226)*('[23]SENSUS MEI'!$D$9:$D$453=$D226),0))</f>
        <v>266</v>
      </c>
      <c r="L226" s="9">
        <f t="shared" si="24"/>
        <v>92.041522491349482</v>
      </c>
      <c r="M226" s="8" t="str">
        <f t="shared" si="19"/>
        <v>Perlu Pengendalian</v>
      </c>
      <c r="O226" s="3">
        <f t="array" ref="O226">INDEX('[23]SENSUS MEI'!$Q$237:$Q$267,MATCH(1,('[23]SENSUS MEI'!$D$237:$D$267=$D226)*('[23]SENSUS MEI'!$D$237:$D$267=$D226),0))</f>
        <v>266</v>
      </c>
      <c r="P226" s="194">
        <f t="shared" si="20"/>
        <v>15.507</v>
      </c>
      <c r="Q226" s="194">
        <f t="array" ref="Q226">$P226*0.8</f>
        <v>12.4056</v>
      </c>
      <c r="R226" s="194">
        <f t="shared" si="21"/>
        <v>9.3041999999999998</v>
      </c>
      <c r="S226" s="194">
        <f t="shared" si="22"/>
        <v>6.2027999999999999</v>
      </c>
      <c r="T226" s="194">
        <f t="shared" si="23"/>
        <v>3.1013999999999999</v>
      </c>
    </row>
    <row r="227" spans="1:20" outlineLevel="1" x14ac:dyDescent="0.15">
      <c r="A227" s="8" t="s">
        <v>628</v>
      </c>
      <c r="B227" s="8" t="s">
        <v>47</v>
      </c>
      <c r="C227" s="8" t="s">
        <v>252</v>
      </c>
      <c r="D227" s="8" t="s">
        <v>809</v>
      </c>
      <c r="E227" s="9">
        <v>17.55</v>
      </c>
      <c r="F227" s="8" t="s">
        <v>469</v>
      </c>
      <c r="G227" s="143">
        <f t="array" ref="G227">INDEX('[23]SENSUS MEI'!$G$9:$G$453,MATCH(1,('[23]SENSUS MEI'!$D$9:$D$453=$D227)*('[23]SENSUS MEI'!$D$9:$D$453=$D227),0))</f>
        <v>2927</v>
      </c>
      <c r="H227" s="11">
        <f t="array" ref="H227">INDEX('[23]SENSUS MEI'!$J$9:$J$453,MATCH(1,('[23]SENSUS MEI'!$D$9:$D$453=$D227)*('[23]SENSUS MEI'!$D$9:$D$453=$D227),0))</f>
        <v>46151</v>
      </c>
      <c r="I227" s="143">
        <f t="array" ref="I227">INDEX('[23]SENSUS MEI'!$K$9:$K$453,MATCH(1,('[23]SENSUS MEI'!$D$9:$D$453=$D227)*('[23]SENSUS MEI'!$D$9:$D$453=$D227),0))</f>
        <v>242</v>
      </c>
      <c r="J227" s="9">
        <f t="array" ref="J227">IFERROR(I227/G227*100,0)</f>
        <v>8.2678510420225493</v>
      </c>
      <c r="K227" s="143">
        <f t="array" ref="K227">INDEX('[23]SENSUS MEI'!$M$9:$M$453,MATCH(1,('[23]SENSUS MEI'!$D$9:$D$453=$D227)*('[23]SENSUS MEI'!$D$9:$D$453=$D227),0))+INDEX('[23]SENSUS MEI'!$O$9:$O$453,MATCH(1,('[23]SENSUS MEI'!$D$9:$D$453=$D227)*('[23]SENSUS MEI'!$D$9:$D$453=$D227),0))</f>
        <v>114</v>
      </c>
      <c r="L227" s="9">
        <f t="shared" si="24"/>
        <v>47.107438016528924</v>
      </c>
      <c r="M227" s="8" t="str">
        <f t="shared" si="19"/>
        <v>Perlu Pengendalian</v>
      </c>
      <c r="O227" s="3">
        <f t="array" ref="O227">INDEX('[23]SENSUS MEI'!$Q$237:$Q$267,MATCH(1,('[23]SENSUS MEI'!$D$237:$D$267=$D227)*('[23]SENSUS MEI'!$D$237:$D$267=$D227),0))</f>
        <v>114</v>
      </c>
      <c r="P227" s="194">
        <f t="shared" si="20"/>
        <v>13.1715</v>
      </c>
      <c r="Q227" s="194">
        <f t="array" ref="Q227">$P227*0.8</f>
        <v>10.5372</v>
      </c>
      <c r="R227" s="194">
        <f t="shared" si="21"/>
        <v>7.9028999999999998</v>
      </c>
      <c r="S227" s="194">
        <f t="shared" si="22"/>
        <v>5.2686000000000002</v>
      </c>
      <c r="T227" s="194">
        <f t="shared" si="23"/>
        <v>2.6343000000000001</v>
      </c>
    </row>
    <row r="228" spans="1:20" outlineLevel="1" x14ac:dyDescent="0.15">
      <c r="A228" s="8" t="s">
        <v>628</v>
      </c>
      <c r="B228" s="8" t="s">
        <v>47</v>
      </c>
      <c r="C228" s="8" t="s">
        <v>252</v>
      </c>
      <c r="D228" s="8" t="s">
        <v>810</v>
      </c>
      <c r="E228" s="9">
        <v>10.67</v>
      </c>
      <c r="F228" s="8" t="s">
        <v>469</v>
      </c>
      <c r="G228" s="143">
        <f t="array" ref="G228">INDEX('[23]SENSUS MEI'!$G$9:$G$453,MATCH(1,('[23]SENSUS MEI'!$D$9:$D$453=$D228)*('[23]SENSUS MEI'!$D$9:$D$453=$D228),0))</f>
        <v>1651</v>
      </c>
      <c r="H228" s="11">
        <f t="array" ref="H228">INDEX('[23]SENSUS MEI'!$J$9:$J$453,MATCH(1,('[23]SENSUS MEI'!$D$9:$D$453=$D228)*('[23]SENSUS MEI'!$D$9:$D$453=$D228),0))</f>
        <v>46151</v>
      </c>
      <c r="I228" s="143">
        <f t="array" ref="I228">INDEX('[23]SENSUS MEI'!$K$9:$K$453,MATCH(1,('[23]SENSUS MEI'!$D$9:$D$453=$D228)*('[23]SENSUS MEI'!$D$9:$D$453=$D228),0))</f>
        <v>163</v>
      </c>
      <c r="J228" s="9">
        <f t="array" ref="J228">IFERROR(I228/G228*100,0)</f>
        <v>9.8728043609933369</v>
      </c>
      <c r="K228" s="143">
        <f t="array" ref="K228">INDEX('[23]SENSUS MEI'!$M$9:$M$453,MATCH(1,('[23]SENSUS MEI'!$D$9:$D$453=$D228)*('[23]SENSUS MEI'!$D$9:$D$453=$D228),0))+INDEX('[23]SENSUS MEI'!$O$9:$O$453,MATCH(1,('[23]SENSUS MEI'!$D$9:$D$453=$D228)*('[23]SENSUS MEI'!$D$9:$D$453=$D228),0))</f>
        <v>55</v>
      </c>
      <c r="L228" s="9">
        <f t="shared" si="24"/>
        <v>33.742331288343557</v>
      </c>
      <c r="M228" s="8" t="str">
        <f t="shared" si="19"/>
        <v>Perlu Pengendalian</v>
      </c>
      <c r="O228" s="3">
        <f t="array" ref="O228">INDEX('[23]SENSUS MEI'!$Q$237:$Q$267,MATCH(1,('[23]SENSUS MEI'!$D$237:$D$267=$D228)*('[23]SENSUS MEI'!$D$237:$D$267=$D228),0))</f>
        <v>55</v>
      </c>
      <c r="P228" s="194">
        <f t="shared" si="20"/>
        <v>7.4295</v>
      </c>
      <c r="Q228" s="194">
        <f t="array" ref="Q228">$P228*0.8</f>
        <v>5.9436</v>
      </c>
      <c r="R228" s="194">
        <f t="shared" si="21"/>
        <v>4.4577</v>
      </c>
      <c r="S228" s="194">
        <f t="shared" si="22"/>
        <v>2.9718</v>
      </c>
      <c r="T228" s="194">
        <f t="shared" si="23"/>
        <v>1.4859</v>
      </c>
    </row>
    <row r="229" spans="1:20" outlineLevel="1" x14ac:dyDescent="0.15">
      <c r="A229" s="8" t="s">
        <v>628</v>
      </c>
      <c r="B229" s="8" t="s">
        <v>47</v>
      </c>
      <c r="C229" s="8" t="s">
        <v>252</v>
      </c>
      <c r="D229" s="8" t="s">
        <v>811</v>
      </c>
      <c r="E229" s="9">
        <v>6.95</v>
      </c>
      <c r="F229" s="8" t="s">
        <v>469</v>
      </c>
      <c r="G229" s="143">
        <f t="array" ref="G229">INDEX('[23]SENSUS MEI'!$G$9:$G$453,MATCH(1,('[23]SENSUS MEI'!$D$9:$D$453=$D229)*('[23]SENSUS MEI'!$D$9:$D$453=$D229),0))</f>
        <v>980</v>
      </c>
      <c r="H229" s="11">
        <f t="array" ref="H229">INDEX('[23]SENSUS MEI'!$J$9:$J$453,MATCH(1,('[23]SENSUS MEI'!$D$9:$D$453=$D229)*('[23]SENSUS MEI'!$D$9:$D$453=$D229),0))</f>
        <v>46154</v>
      </c>
      <c r="I229" s="143">
        <f t="array" ref="I229">INDEX('[23]SENSUS MEI'!$K$9:$K$453,MATCH(1,('[23]SENSUS MEI'!$D$9:$D$453=$D229)*('[23]SENSUS MEI'!$D$9:$D$453=$D229),0))</f>
        <v>119</v>
      </c>
      <c r="J229" s="9">
        <f t="array" ref="J229">IFERROR(I229/G229*100,0)</f>
        <v>12.142857142857142</v>
      </c>
      <c r="K229" s="143">
        <f t="array" ref="K229">INDEX('[23]SENSUS MEI'!$M$9:$M$453,MATCH(1,('[23]SENSUS MEI'!$D$9:$D$453=$D229)*('[23]SENSUS MEI'!$D$9:$D$453=$D229),0))+INDEX('[23]SENSUS MEI'!$O$9:$O$453,MATCH(1,('[23]SENSUS MEI'!$D$9:$D$453=$D229)*('[23]SENSUS MEI'!$D$9:$D$453=$D229),0))</f>
        <v>21</v>
      </c>
      <c r="L229" s="9">
        <f t="shared" si="24"/>
        <v>17.647058823529413</v>
      </c>
      <c r="M229" s="8" t="str">
        <f t="shared" si="19"/>
        <v>Perlu Pengendalian</v>
      </c>
      <c r="O229" s="3">
        <f t="array" ref="O229">INDEX('[23]SENSUS MEI'!$Q$237:$Q$267,MATCH(1,('[23]SENSUS MEI'!$D$237:$D$267=$D229)*('[23]SENSUS MEI'!$D$237:$D$267=$D229),0))</f>
        <v>21</v>
      </c>
      <c r="P229" s="194">
        <f t="shared" si="20"/>
        <v>4.41</v>
      </c>
      <c r="Q229" s="194">
        <f t="array" ref="Q229">$P229*0.8</f>
        <v>3.5280000000000005</v>
      </c>
      <c r="R229" s="194">
        <f t="shared" si="21"/>
        <v>2.6459999999999999</v>
      </c>
      <c r="S229" s="194">
        <f t="shared" si="22"/>
        <v>1.7640000000000002</v>
      </c>
      <c r="T229" s="194">
        <f t="shared" si="23"/>
        <v>0.88200000000000012</v>
      </c>
    </row>
    <row r="230" spans="1:20" outlineLevel="1" x14ac:dyDescent="0.15">
      <c r="A230" s="8" t="s">
        <v>628</v>
      </c>
      <c r="B230" s="8" t="s">
        <v>47</v>
      </c>
      <c r="C230" s="8" t="s">
        <v>252</v>
      </c>
      <c r="D230" s="8" t="s">
        <v>812</v>
      </c>
      <c r="E230" s="9">
        <v>7.75</v>
      </c>
      <c r="F230" s="8" t="s">
        <v>469</v>
      </c>
      <c r="G230" s="143">
        <f t="array" ref="G230">INDEX('[23]SENSUS MEI'!$G$9:$G$453,MATCH(1,('[23]SENSUS MEI'!$D$9:$D$453=$D230)*('[23]SENSUS MEI'!$D$9:$D$453=$D230),0))</f>
        <v>877</v>
      </c>
      <c r="H230" s="11">
        <f t="array" ref="H230">INDEX('[23]SENSUS MEI'!$J$9:$J$453,MATCH(1,('[23]SENSUS MEI'!$D$9:$D$453=$D230)*('[23]SENSUS MEI'!$D$9:$D$453=$D230),0))</f>
        <v>46151</v>
      </c>
      <c r="I230" s="143">
        <f t="array" ref="I230">INDEX('[23]SENSUS MEI'!$K$9:$K$453,MATCH(1,('[23]SENSUS MEI'!$D$9:$D$453=$D230)*('[23]SENSUS MEI'!$D$9:$D$453=$D230),0))</f>
        <v>76</v>
      </c>
      <c r="J230" s="9">
        <f t="array" ref="J230">IFERROR(I230/G230*100,0)</f>
        <v>8.6659064994298749</v>
      </c>
      <c r="K230" s="143">
        <f t="array" ref="K230">INDEX('[23]SENSUS MEI'!$M$9:$M$453,MATCH(1,('[23]SENSUS MEI'!$D$9:$D$453=$D230)*('[23]SENSUS MEI'!$D$9:$D$453=$D230),0))+INDEX('[23]SENSUS MEI'!$O$9:$O$453,MATCH(1,('[23]SENSUS MEI'!$D$9:$D$453=$D230)*('[23]SENSUS MEI'!$D$9:$D$453=$D230),0))</f>
        <v>14</v>
      </c>
      <c r="L230" s="9">
        <f t="shared" si="24"/>
        <v>18.421052631578945</v>
      </c>
      <c r="M230" s="8" t="str">
        <f t="shared" si="19"/>
        <v>Perlu Pengendalian</v>
      </c>
      <c r="O230" s="3">
        <f t="array" ref="O230">INDEX('[23]SENSUS MEI'!$Q$237:$Q$267,MATCH(1,('[23]SENSUS MEI'!$D$237:$D$267=$D230)*('[23]SENSUS MEI'!$D$237:$D$267=$D230),0))</f>
        <v>14</v>
      </c>
      <c r="P230" s="194">
        <f t="shared" si="20"/>
        <v>3.9464999999999999</v>
      </c>
      <c r="Q230" s="194">
        <f t="array" ref="Q230">$P230*0.8</f>
        <v>3.1572</v>
      </c>
      <c r="R230" s="194">
        <f t="shared" si="21"/>
        <v>2.3678999999999997</v>
      </c>
      <c r="S230" s="194">
        <f t="shared" si="22"/>
        <v>1.5786</v>
      </c>
      <c r="T230" s="194">
        <f t="shared" si="23"/>
        <v>0.7893</v>
      </c>
    </row>
    <row r="231" spans="1:20" outlineLevel="1" x14ac:dyDescent="0.15">
      <c r="A231" s="8" t="s">
        <v>628</v>
      </c>
      <c r="B231" s="8" t="s">
        <v>47</v>
      </c>
      <c r="C231" s="8" t="s">
        <v>252</v>
      </c>
      <c r="D231" s="8" t="s">
        <v>813</v>
      </c>
      <c r="E231" s="9">
        <v>13.49</v>
      </c>
      <c r="F231" s="8" t="s">
        <v>469</v>
      </c>
      <c r="G231" s="143">
        <f t="array" ref="G231">INDEX('[23]SENSUS MEI'!$G$9:$G$453,MATCH(1,('[23]SENSUS MEI'!$D$9:$D$453=$D231)*('[23]SENSUS MEI'!$D$9:$D$453=$D231),0))</f>
        <v>1861</v>
      </c>
      <c r="H231" s="11">
        <f t="array" ref="H231">INDEX('[23]SENSUS MEI'!$J$9:$J$453,MATCH(1,('[23]SENSUS MEI'!$D$9:$D$453=$D231)*('[23]SENSUS MEI'!$D$9:$D$453=$D231),0))</f>
        <v>46151</v>
      </c>
      <c r="I231" s="143">
        <f t="array" ref="I231">INDEX('[23]SENSUS MEI'!$K$9:$K$453,MATCH(1,('[23]SENSUS MEI'!$D$9:$D$453=$D231)*('[23]SENSUS MEI'!$D$9:$D$453=$D231),0))</f>
        <v>197</v>
      </c>
      <c r="J231" s="9">
        <f t="array" ref="J231">IFERROR(I231/G231*100,0)</f>
        <v>10.585706609349813</v>
      </c>
      <c r="K231" s="143">
        <f t="array" ref="K231">INDEX('[23]SENSUS MEI'!$M$9:$M$453,MATCH(1,('[23]SENSUS MEI'!$D$9:$D$453=$D231)*('[23]SENSUS MEI'!$D$9:$D$453=$D231),0))+INDEX('[23]SENSUS MEI'!$O$9:$O$453,MATCH(1,('[23]SENSUS MEI'!$D$9:$D$453=$D231)*('[23]SENSUS MEI'!$D$9:$D$453=$D231),0))</f>
        <v>98</v>
      </c>
      <c r="L231" s="9">
        <f t="shared" si="24"/>
        <v>49.746192893401016</v>
      </c>
      <c r="M231" s="8" t="str">
        <f t="shared" si="19"/>
        <v>Perlu Pengendalian</v>
      </c>
      <c r="O231" s="3">
        <f t="array" ref="O231">INDEX('[23]SENSUS MEI'!$Q$237:$Q$267,MATCH(1,('[23]SENSUS MEI'!$D$237:$D$267=$D231)*('[23]SENSUS MEI'!$D$237:$D$267=$D231),0))</f>
        <v>98</v>
      </c>
      <c r="P231" s="194">
        <f t="shared" si="20"/>
        <v>8.3744999999999994</v>
      </c>
      <c r="Q231" s="194">
        <f t="array" ref="Q231">$P231*0.8</f>
        <v>6.6996000000000002</v>
      </c>
      <c r="R231" s="194">
        <f t="shared" si="21"/>
        <v>5.0246999999999993</v>
      </c>
      <c r="S231" s="194">
        <f t="shared" si="22"/>
        <v>3.3498000000000001</v>
      </c>
      <c r="T231" s="194">
        <f t="shared" si="23"/>
        <v>1.6749000000000001</v>
      </c>
    </row>
    <row r="232" spans="1:20" outlineLevel="1" x14ac:dyDescent="0.15">
      <c r="A232" s="8" t="s">
        <v>628</v>
      </c>
      <c r="B232" s="8" t="s">
        <v>47</v>
      </c>
      <c r="C232" s="8" t="s">
        <v>252</v>
      </c>
      <c r="D232" s="8" t="s">
        <v>814</v>
      </c>
      <c r="E232" s="9">
        <v>12.86</v>
      </c>
      <c r="F232" s="8" t="s">
        <v>469</v>
      </c>
      <c r="G232" s="143">
        <f t="array" ref="G232">INDEX('[23]SENSUS MEI'!$G$9:$G$453,MATCH(1,('[23]SENSUS MEI'!$D$9:$D$453=$D232)*('[23]SENSUS MEI'!$D$9:$D$453=$D232),0))</f>
        <v>1841</v>
      </c>
      <c r="H232" s="11">
        <f t="array" ref="H232">INDEX('[23]SENSUS MEI'!$J$9:$J$453,MATCH(1,('[23]SENSUS MEI'!$D$9:$D$453=$D232)*('[23]SENSUS MEI'!$D$9:$D$453=$D232),0))</f>
        <v>46151</v>
      </c>
      <c r="I232" s="143">
        <f t="array" ref="I232">INDEX('[23]SENSUS MEI'!$K$9:$K$453,MATCH(1,('[23]SENSUS MEI'!$D$9:$D$453=$D232)*('[23]SENSUS MEI'!$D$9:$D$453=$D232),0))</f>
        <v>165</v>
      </c>
      <c r="J232" s="9">
        <f t="array" ref="J232">IFERROR(I232/G232*100,0)</f>
        <v>8.9625203693644746</v>
      </c>
      <c r="K232" s="143">
        <f t="array" ref="K232">INDEX('[23]SENSUS MEI'!$M$9:$M$453,MATCH(1,('[23]SENSUS MEI'!$D$9:$D$453=$D232)*('[23]SENSUS MEI'!$D$9:$D$453=$D232),0))+INDEX('[23]SENSUS MEI'!$O$9:$O$453,MATCH(1,('[23]SENSUS MEI'!$D$9:$D$453=$D232)*('[23]SENSUS MEI'!$D$9:$D$453=$D232),0))</f>
        <v>89</v>
      </c>
      <c r="L232" s="9">
        <f t="shared" si="24"/>
        <v>53.939393939393945</v>
      </c>
      <c r="M232" s="8" t="str">
        <f t="shared" si="19"/>
        <v>Perlu Pengendalian</v>
      </c>
      <c r="O232" s="3">
        <f t="array" ref="O232">INDEX('[23]SENSUS MEI'!$Q$237:$Q$267,MATCH(1,('[23]SENSUS MEI'!$D$237:$D$267=$D232)*('[23]SENSUS MEI'!$D$237:$D$267=$D232),0))</f>
        <v>89</v>
      </c>
      <c r="P232" s="194">
        <f t="shared" si="20"/>
        <v>8.2844999999999995</v>
      </c>
      <c r="Q232" s="194">
        <f t="array" ref="Q232">$P232*0.8</f>
        <v>6.6276000000000002</v>
      </c>
      <c r="R232" s="194">
        <f t="shared" si="21"/>
        <v>4.9706999999999999</v>
      </c>
      <c r="S232" s="194">
        <f t="shared" si="22"/>
        <v>3.3138000000000001</v>
      </c>
      <c r="T232" s="194">
        <f t="shared" si="23"/>
        <v>1.6569</v>
      </c>
    </row>
    <row r="233" spans="1:20" outlineLevel="1" x14ac:dyDescent="0.15">
      <c r="A233" s="8" t="s">
        <v>628</v>
      </c>
      <c r="B233" s="8" t="s">
        <v>47</v>
      </c>
      <c r="C233" s="8" t="s">
        <v>252</v>
      </c>
      <c r="D233" s="8" t="s">
        <v>815</v>
      </c>
      <c r="E233" s="9">
        <v>13.26</v>
      </c>
      <c r="F233" s="8" t="s">
        <v>16</v>
      </c>
      <c r="G233" s="143">
        <f t="array" ref="G233">INDEX('[23]SENSUS MEI'!$G$9:$G$453,MATCH(1,('[23]SENSUS MEI'!$D$9:$D$453=$D233)*('[23]SENSUS MEI'!$D$9:$D$453=$D233),0))</f>
        <v>1510</v>
      </c>
      <c r="H233" s="11">
        <f t="array" ref="H233">INDEX('[23]SENSUS MEI'!$J$9:$J$453,MATCH(1,('[23]SENSUS MEI'!$D$9:$D$453=$D233)*('[23]SENSUS MEI'!$D$9:$D$453=$D233),0))</f>
        <v>46151</v>
      </c>
      <c r="I233" s="143">
        <f t="array" ref="I233">INDEX('[23]SENSUS MEI'!$K$9:$K$453,MATCH(1,('[23]SENSUS MEI'!$D$9:$D$453=$D233)*('[23]SENSUS MEI'!$D$9:$D$453=$D233),0))</f>
        <v>99</v>
      </c>
      <c r="J233" s="9">
        <f t="array" ref="J233">IFERROR(I233/G233*100,0)</f>
        <v>6.5562913907284761</v>
      </c>
      <c r="K233" s="143">
        <f t="array" ref="K233">INDEX('[23]SENSUS MEI'!$M$9:$M$453,MATCH(1,('[23]SENSUS MEI'!$D$9:$D$453=$D233)*('[23]SENSUS MEI'!$D$9:$D$453=$D233),0))+INDEX('[23]SENSUS MEI'!$O$9:$O$453,MATCH(1,('[23]SENSUS MEI'!$D$9:$D$453=$D233)*('[23]SENSUS MEI'!$D$9:$D$453=$D233),0))</f>
        <v>27</v>
      </c>
      <c r="L233" s="9">
        <f t="shared" si="24"/>
        <v>27.27272727272727</v>
      </c>
      <c r="M233" s="8" t="str">
        <f t="shared" si="19"/>
        <v>Perlu Pengendalian</v>
      </c>
      <c r="O233" s="3">
        <f t="array" ref="O233">INDEX('[23]SENSUS MEI'!$Q$237:$Q$267,MATCH(1,('[23]SENSUS MEI'!$D$237:$D$267=$D233)*('[23]SENSUS MEI'!$D$237:$D$267=$D233),0))</f>
        <v>27</v>
      </c>
      <c r="P233" s="194">
        <f t="shared" si="20"/>
        <v>6.7949999999999999</v>
      </c>
      <c r="Q233" s="194">
        <f t="array" ref="Q233">$P233*0.8</f>
        <v>5.4359999999999999</v>
      </c>
      <c r="R233" s="194">
        <f t="shared" si="21"/>
        <v>4.077</v>
      </c>
      <c r="S233" s="194">
        <f t="shared" si="22"/>
        <v>2.718</v>
      </c>
      <c r="T233" s="194">
        <f t="shared" si="23"/>
        <v>1.359</v>
      </c>
    </row>
    <row r="234" spans="1:20" outlineLevel="1" x14ac:dyDescent="0.15">
      <c r="A234" s="8" t="s">
        <v>628</v>
      </c>
      <c r="B234" s="8" t="s">
        <v>47</v>
      </c>
      <c r="C234" s="8" t="s">
        <v>252</v>
      </c>
      <c r="D234" s="8" t="s">
        <v>816</v>
      </c>
      <c r="E234" s="9">
        <v>24.16</v>
      </c>
      <c r="F234" s="8" t="s">
        <v>16</v>
      </c>
      <c r="G234" s="143">
        <f t="array" ref="G234">INDEX('[23]SENSUS MEI'!$G$9:$G$453,MATCH(1,('[23]SENSUS MEI'!$D$9:$D$453=$D234)*('[23]SENSUS MEI'!$D$9:$D$453=$D234),0))</f>
        <v>3481</v>
      </c>
      <c r="H234" s="11">
        <f t="array" ref="H234">INDEX('[23]SENSUS MEI'!$J$9:$J$453,MATCH(1,('[23]SENSUS MEI'!$D$9:$D$453=$D234)*('[23]SENSUS MEI'!$D$9:$D$453=$D234),0))</f>
        <v>46150</v>
      </c>
      <c r="I234" s="143">
        <f t="array" ref="I234">INDEX('[23]SENSUS MEI'!$K$9:$K$453,MATCH(1,('[23]SENSUS MEI'!$D$9:$D$453=$D234)*('[23]SENSUS MEI'!$D$9:$D$453=$D234),0))</f>
        <v>341</v>
      </c>
      <c r="J234" s="9">
        <f t="array" ref="J234">IFERROR(I234/G234*100,0)</f>
        <v>9.7960356219477163</v>
      </c>
      <c r="K234" s="143">
        <f t="array" ref="K234">INDEX('[23]SENSUS MEI'!$M$9:$M$453,MATCH(1,('[23]SENSUS MEI'!$D$9:$D$453=$D234)*('[23]SENSUS MEI'!$D$9:$D$453=$D234),0))+INDEX('[23]SENSUS MEI'!$O$9:$O$453,MATCH(1,('[23]SENSUS MEI'!$D$9:$D$453=$D234)*('[23]SENSUS MEI'!$D$9:$D$453=$D234),0))</f>
        <v>156</v>
      </c>
      <c r="L234" s="9">
        <f t="shared" si="24"/>
        <v>45.747800586510259</v>
      </c>
      <c r="M234" s="8" t="str">
        <f t="shared" si="19"/>
        <v>Perlu Pengendalian</v>
      </c>
      <c r="O234" s="3">
        <f t="array" ref="O234">INDEX('[23]SENSUS MEI'!$Q$237:$Q$267,MATCH(1,('[23]SENSUS MEI'!$D$237:$D$267=$D234)*('[23]SENSUS MEI'!$D$237:$D$267=$D234),0))</f>
        <v>156</v>
      </c>
      <c r="P234" s="194">
        <f t="shared" si="20"/>
        <v>15.6645</v>
      </c>
      <c r="Q234" s="194">
        <f t="array" ref="Q234">$P234*0.8</f>
        <v>12.531600000000001</v>
      </c>
      <c r="R234" s="194">
        <f t="shared" si="21"/>
        <v>9.3986999999999998</v>
      </c>
      <c r="S234" s="194">
        <f t="shared" si="22"/>
        <v>6.2658000000000005</v>
      </c>
      <c r="T234" s="194">
        <f t="shared" si="23"/>
        <v>3.1329000000000002</v>
      </c>
    </row>
    <row r="235" spans="1:20" outlineLevel="1" x14ac:dyDescent="0.15">
      <c r="A235" s="8" t="s">
        <v>628</v>
      </c>
      <c r="B235" s="8" t="s">
        <v>47</v>
      </c>
      <c r="C235" s="8" t="s">
        <v>252</v>
      </c>
      <c r="D235" s="8" t="s">
        <v>817</v>
      </c>
      <c r="E235" s="9">
        <v>34.700000000000003</v>
      </c>
      <c r="F235" s="8" t="s">
        <v>16</v>
      </c>
      <c r="G235" s="143">
        <f t="array" ref="G235">INDEX('[23]SENSUS MEI'!$G$9:$G$453,MATCH(1,('[23]SENSUS MEI'!$D$9:$D$453=$D235)*('[23]SENSUS MEI'!$D$9:$D$453=$D235),0))</f>
        <v>4992</v>
      </c>
      <c r="H235" s="11">
        <f t="array" ref="H235">INDEX('[23]SENSUS MEI'!$J$9:$J$453,MATCH(1,('[23]SENSUS MEI'!$D$9:$D$453=$D235)*('[23]SENSUS MEI'!$D$9:$D$453=$D235),0))</f>
        <v>46154</v>
      </c>
      <c r="I235" s="143">
        <f t="array" ref="I235">INDEX('[23]SENSUS MEI'!$K$9:$K$453,MATCH(1,('[23]SENSUS MEI'!$D$9:$D$453=$D235)*('[23]SENSUS MEI'!$D$9:$D$453=$D235),0))</f>
        <v>483</v>
      </c>
      <c r="J235" s="9">
        <f t="array" ref="J235">IFERROR(I235/G235*100,0)</f>
        <v>9.6754807692307701</v>
      </c>
      <c r="K235" s="143">
        <f t="array" ref="K235">INDEX('[23]SENSUS MEI'!$M$9:$M$453,MATCH(1,('[23]SENSUS MEI'!$D$9:$D$453=$D235)*('[23]SENSUS MEI'!$D$9:$D$453=$D235),0))+INDEX('[23]SENSUS MEI'!$O$9:$O$453,MATCH(1,('[23]SENSUS MEI'!$D$9:$D$453=$D235)*('[23]SENSUS MEI'!$D$9:$D$453=$D235),0))</f>
        <v>171</v>
      </c>
      <c r="L235" s="9">
        <f t="shared" si="24"/>
        <v>35.403726708074537</v>
      </c>
      <c r="M235" s="8" t="str">
        <f t="shared" si="19"/>
        <v>Perlu Pengendalian</v>
      </c>
      <c r="O235" s="3">
        <f t="array" ref="O235">INDEX('[23]SENSUS MEI'!$Q$237:$Q$267,MATCH(1,('[23]SENSUS MEI'!$D$237:$D$267=$D235)*('[23]SENSUS MEI'!$D$237:$D$267=$D235),0))</f>
        <v>171</v>
      </c>
      <c r="P235" s="194">
        <f t="shared" si="20"/>
        <v>22.463999999999999</v>
      </c>
      <c r="Q235" s="194">
        <f t="array" ref="Q235">$P235*0.8</f>
        <v>17.9712</v>
      </c>
      <c r="R235" s="194">
        <f t="shared" si="21"/>
        <v>13.478399999999999</v>
      </c>
      <c r="S235" s="194">
        <f t="shared" si="22"/>
        <v>8.9855999999999998</v>
      </c>
      <c r="T235" s="194">
        <f t="shared" si="23"/>
        <v>4.4927999999999999</v>
      </c>
    </row>
    <row r="236" spans="1:20" outlineLevel="1" x14ac:dyDescent="0.15">
      <c r="A236" s="8" t="s">
        <v>628</v>
      </c>
      <c r="B236" s="8" t="s">
        <v>47</v>
      </c>
      <c r="C236" s="8" t="s">
        <v>252</v>
      </c>
      <c r="D236" s="8" t="s">
        <v>818</v>
      </c>
      <c r="E236" s="9">
        <v>33.94</v>
      </c>
      <c r="F236" s="8" t="s">
        <v>16</v>
      </c>
      <c r="G236" s="143">
        <f t="array" ref="G236">INDEX('[23]SENSUS MEI'!$G$9:$G$453,MATCH(1,('[23]SENSUS MEI'!$D$9:$D$453=$D236)*('[23]SENSUS MEI'!$D$9:$D$453=$D236),0))</f>
        <v>4968</v>
      </c>
      <c r="H236" s="11">
        <f t="array" ref="H236">INDEX('[23]SENSUS MEI'!$J$9:$J$453,MATCH(1,('[23]SENSUS MEI'!$D$9:$D$453=$D236)*('[23]SENSUS MEI'!$D$9:$D$453=$D236),0))</f>
        <v>46154</v>
      </c>
      <c r="I236" s="143">
        <f t="array" ref="I236">INDEX('[23]SENSUS MEI'!$K$9:$K$453,MATCH(1,('[23]SENSUS MEI'!$D$9:$D$453=$D236)*('[23]SENSUS MEI'!$D$9:$D$453=$D236),0))</f>
        <v>373</v>
      </c>
      <c r="J236" s="9">
        <f t="array" ref="J236">IFERROR(I236/G236*100,0)</f>
        <v>7.5080515297906603</v>
      </c>
      <c r="K236" s="143">
        <f t="array" ref="K236">INDEX('[23]SENSUS MEI'!$M$9:$M$453,MATCH(1,('[23]SENSUS MEI'!$D$9:$D$453=$D236)*('[23]SENSUS MEI'!$D$9:$D$453=$D236),0))+INDEX('[23]SENSUS MEI'!$O$9:$O$453,MATCH(1,('[23]SENSUS MEI'!$D$9:$D$453=$D236)*('[23]SENSUS MEI'!$D$9:$D$453=$D236),0))</f>
        <v>130</v>
      </c>
      <c r="L236" s="9">
        <f t="shared" si="24"/>
        <v>34.852546916890084</v>
      </c>
      <c r="M236" s="8" t="str">
        <f t="shared" si="19"/>
        <v>Perlu Pengendalian</v>
      </c>
      <c r="O236" s="3">
        <f t="array" ref="O236">INDEX('[23]SENSUS MEI'!$Q$237:$Q$267,MATCH(1,('[23]SENSUS MEI'!$D$237:$D$267=$D236)*('[23]SENSUS MEI'!$D$237:$D$267=$D236),0))</f>
        <v>130</v>
      </c>
      <c r="P236" s="194">
        <f t="shared" si="20"/>
        <v>22.356000000000002</v>
      </c>
      <c r="Q236" s="194">
        <f t="array" ref="Q236">$P236*0.8</f>
        <v>17.884800000000002</v>
      </c>
      <c r="R236" s="194">
        <f t="shared" si="21"/>
        <v>13.413600000000001</v>
      </c>
      <c r="S236" s="194">
        <f t="shared" si="22"/>
        <v>8.942400000000001</v>
      </c>
      <c r="T236" s="194">
        <f t="shared" si="23"/>
        <v>4.4712000000000005</v>
      </c>
    </row>
    <row r="237" spans="1:20" outlineLevel="1" x14ac:dyDescent="0.15">
      <c r="A237" s="8" t="s">
        <v>628</v>
      </c>
      <c r="B237" s="8" t="s">
        <v>47</v>
      </c>
      <c r="C237" s="8" t="s">
        <v>252</v>
      </c>
      <c r="D237" s="8" t="s">
        <v>819</v>
      </c>
      <c r="E237" s="9">
        <v>35.42</v>
      </c>
      <c r="F237" s="8" t="s">
        <v>16</v>
      </c>
      <c r="G237" s="143">
        <f t="array" ref="G237">INDEX('[23]SENSUS MEI'!$G$9:$G$453,MATCH(1,('[23]SENSUS MEI'!$D$9:$D$453=$D237)*('[23]SENSUS MEI'!$D$9:$D$453=$D237),0))</f>
        <v>5305</v>
      </c>
      <c r="H237" s="11">
        <f t="array" ref="H237">INDEX('[23]SENSUS MEI'!$J$9:$J$453,MATCH(1,('[23]SENSUS MEI'!$D$9:$D$453=$D237)*('[23]SENSUS MEI'!$D$9:$D$453=$D237),0))</f>
        <v>46151</v>
      </c>
      <c r="I237" s="143">
        <f t="array" ref="I237">INDEX('[23]SENSUS MEI'!$K$9:$K$453,MATCH(1,('[23]SENSUS MEI'!$D$9:$D$453=$D237)*('[23]SENSUS MEI'!$D$9:$D$453=$D237),0))</f>
        <v>432</v>
      </c>
      <c r="J237" s="9">
        <f t="array" ref="J237">IFERROR(I237/G237*100,0)</f>
        <v>8.1432610744580582</v>
      </c>
      <c r="K237" s="143">
        <f t="array" ref="K237">INDEX('[23]SENSUS MEI'!$M$9:$M$453,MATCH(1,('[23]SENSUS MEI'!$D$9:$D$453=$D237)*('[23]SENSUS MEI'!$D$9:$D$453=$D237),0))+INDEX('[23]SENSUS MEI'!$O$9:$O$453,MATCH(1,('[23]SENSUS MEI'!$D$9:$D$453=$D237)*('[23]SENSUS MEI'!$D$9:$D$453=$D237),0))</f>
        <v>223</v>
      </c>
      <c r="L237" s="9">
        <f t="shared" si="24"/>
        <v>51.620370370370374</v>
      </c>
      <c r="M237" s="8" t="str">
        <f t="shared" si="19"/>
        <v>Perlu Pengendalian</v>
      </c>
      <c r="O237" s="3">
        <f t="array" ref="O237">INDEX('[23]SENSUS MEI'!$Q$237:$Q$267,MATCH(1,('[23]SENSUS MEI'!$D$237:$D$267=$D237)*('[23]SENSUS MEI'!$D$237:$D$267=$D237),0))</f>
        <v>223</v>
      </c>
      <c r="P237" s="194">
        <f t="shared" si="20"/>
        <v>23.872499999999999</v>
      </c>
      <c r="Q237" s="194">
        <f t="array" ref="Q237">$P237*0.8</f>
        <v>19.097999999999999</v>
      </c>
      <c r="R237" s="194">
        <f t="shared" si="21"/>
        <v>14.323499999999999</v>
      </c>
      <c r="S237" s="194">
        <f t="shared" si="22"/>
        <v>9.5489999999999995</v>
      </c>
      <c r="T237" s="194">
        <f t="shared" si="23"/>
        <v>4.7744999999999997</v>
      </c>
    </row>
    <row r="238" spans="1:20" outlineLevel="1" x14ac:dyDescent="0.15">
      <c r="A238" s="8" t="s">
        <v>628</v>
      </c>
      <c r="B238" s="8" t="s">
        <v>47</v>
      </c>
      <c r="C238" s="8" t="s">
        <v>252</v>
      </c>
      <c r="D238" s="8" t="s">
        <v>820</v>
      </c>
      <c r="E238" s="9">
        <v>39.5</v>
      </c>
      <c r="F238" s="8" t="s">
        <v>16</v>
      </c>
      <c r="G238" s="143">
        <f t="array" ref="G238">INDEX('[23]SENSUS MEI'!$G$9:$G$453,MATCH(1,('[23]SENSUS MEI'!$D$9:$D$453=$D238)*('[23]SENSUS MEI'!$D$9:$D$453=$D238),0))</f>
        <v>5743</v>
      </c>
      <c r="H238" s="11">
        <f t="array" ref="H238">INDEX('[23]SENSUS MEI'!$J$9:$J$453,MATCH(1,('[23]SENSUS MEI'!$D$9:$D$453=$D238)*('[23]SENSUS MEI'!$D$9:$D$453=$D238),0))</f>
        <v>46150</v>
      </c>
      <c r="I238" s="143">
        <f t="array" ref="I238">INDEX('[23]SENSUS MEI'!$K$9:$K$453,MATCH(1,('[23]SENSUS MEI'!$D$9:$D$453=$D238)*('[23]SENSUS MEI'!$D$9:$D$453=$D238),0))</f>
        <v>580</v>
      </c>
      <c r="J238" s="9">
        <f t="array" ref="J238">IFERROR(I238/G238*100,0)</f>
        <v>10.099251262406408</v>
      </c>
      <c r="K238" s="143">
        <f t="array" ref="K238">INDEX('[23]SENSUS MEI'!$M$9:$M$453,MATCH(1,('[23]SENSUS MEI'!$D$9:$D$453=$D238)*('[23]SENSUS MEI'!$D$9:$D$453=$D238),0))+INDEX('[23]SENSUS MEI'!$O$9:$O$453,MATCH(1,('[23]SENSUS MEI'!$D$9:$D$453=$D238)*('[23]SENSUS MEI'!$D$9:$D$453=$D238),0))</f>
        <v>143</v>
      </c>
      <c r="L238" s="9">
        <f t="shared" si="24"/>
        <v>24.655172413793103</v>
      </c>
      <c r="M238" s="8" t="str">
        <f t="shared" si="19"/>
        <v>Perlu Pengendalian</v>
      </c>
      <c r="O238" s="3">
        <f t="array" ref="O238">INDEX('[23]SENSUS MEI'!$Q$237:$Q$267,MATCH(1,('[23]SENSUS MEI'!$D$237:$D$267=$D238)*('[23]SENSUS MEI'!$D$237:$D$267=$D238),0))</f>
        <v>143</v>
      </c>
      <c r="P238" s="194">
        <f t="shared" si="20"/>
        <v>25.843499999999999</v>
      </c>
      <c r="Q238" s="194">
        <f t="array" ref="Q238">$P238*0.8</f>
        <v>20.674800000000001</v>
      </c>
      <c r="R238" s="194">
        <f t="shared" si="21"/>
        <v>15.506099999999998</v>
      </c>
      <c r="S238" s="194">
        <f t="shared" si="22"/>
        <v>10.337400000000001</v>
      </c>
      <c r="T238" s="194">
        <f t="shared" si="23"/>
        <v>5.1687000000000003</v>
      </c>
    </row>
    <row r="239" spans="1:20" outlineLevel="1" x14ac:dyDescent="0.15">
      <c r="A239" s="8" t="s">
        <v>628</v>
      </c>
      <c r="B239" s="8" t="s">
        <v>47</v>
      </c>
      <c r="C239" s="8" t="s">
        <v>252</v>
      </c>
      <c r="D239" s="8" t="s">
        <v>821</v>
      </c>
      <c r="E239" s="9">
        <v>47.24</v>
      </c>
      <c r="F239" s="8" t="s">
        <v>16</v>
      </c>
      <c r="G239" s="143">
        <f t="array" ref="G239">INDEX('[23]SENSUS MEI'!$G$9:$G$453,MATCH(1,('[23]SENSUS MEI'!$D$9:$D$453=$D239)*('[23]SENSUS MEI'!$D$9:$D$453=$D239),0))</f>
        <v>6795</v>
      </c>
      <c r="H239" s="11">
        <f t="array" ref="H239">INDEX('[23]SENSUS MEI'!$J$9:$J$453,MATCH(1,('[23]SENSUS MEI'!$D$9:$D$453=$D239)*('[23]SENSUS MEI'!$D$9:$D$453=$D239),0))</f>
        <v>46150</v>
      </c>
      <c r="I239" s="143">
        <f t="array" ref="I239">INDEX('[23]SENSUS MEI'!$K$9:$K$453,MATCH(1,('[23]SENSUS MEI'!$D$9:$D$453=$D239)*('[23]SENSUS MEI'!$D$9:$D$453=$D239),0))</f>
        <v>682</v>
      </c>
      <c r="J239" s="9">
        <f t="array" ref="J239">IFERROR(I239/G239*100,0)</f>
        <v>10.036791758646062</v>
      </c>
      <c r="K239" s="143">
        <f t="array" ref="K239">INDEX('[23]SENSUS MEI'!$M$9:$M$453,MATCH(1,('[23]SENSUS MEI'!$D$9:$D$453=$D239)*('[23]SENSUS MEI'!$D$9:$D$453=$D239),0))+INDEX('[23]SENSUS MEI'!$O$9:$O$453,MATCH(1,('[23]SENSUS MEI'!$D$9:$D$453=$D239)*('[23]SENSUS MEI'!$D$9:$D$453=$D239),0))</f>
        <v>109</v>
      </c>
      <c r="L239" s="9">
        <f t="shared" si="24"/>
        <v>15.982404692082111</v>
      </c>
      <c r="M239" s="8" t="str">
        <f t="shared" si="19"/>
        <v>Perlu Pengendalian</v>
      </c>
      <c r="O239" s="3">
        <f t="array" ref="O239">INDEX('[23]SENSUS MEI'!$Q$237:$Q$267,MATCH(1,('[23]SENSUS MEI'!$D$237:$D$267=$D239)*('[23]SENSUS MEI'!$D$237:$D$267=$D239),0))</f>
        <v>109</v>
      </c>
      <c r="P239" s="194">
        <f t="shared" si="20"/>
        <v>30.577500000000001</v>
      </c>
      <c r="Q239" s="194">
        <f t="array" ref="Q239">$P239*0.8</f>
        <v>24.462000000000003</v>
      </c>
      <c r="R239" s="194">
        <f t="shared" si="21"/>
        <v>18.346499999999999</v>
      </c>
      <c r="S239" s="194">
        <f t="shared" si="22"/>
        <v>12.231000000000002</v>
      </c>
      <c r="T239" s="194">
        <f t="shared" si="23"/>
        <v>6.1155000000000008</v>
      </c>
    </row>
    <row r="240" spans="1:20" outlineLevel="1" x14ac:dyDescent="0.15">
      <c r="A240" s="8" t="s">
        <v>628</v>
      </c>
      <c r="B240" s="8" t="s">
        <v>47</v>
      </c>
      <c r="C240" s="8" t="s">
        <v>252</v>
      </c>
      <c r="D240" s="8" t="s">
        <v>822</v>
      </c>
      <c r="E240" s="9">
        <v>46.99</v>
      </c>
      <c r="F240" s="8" t="s">
        <v>16</v>
      </c>
      <c r="G240" s="143">
        <f t="array" ref="G240">INDEX('[23]SENSUS MEI'!$G$9:$G$453,MATCH(1,('[23]SENSUS MEI'!$D$9:$D$453=$D240)*('[23]SENSUS MEI'!$D$9:$D$453=$D240),0))</f>
        <v>6388</v>
      </c>
      <c r="H240" s="11">
        <f t="array" ref="H240">INDEX('[23]SENSUS MEI'!$J$9:$J$453,MATCH(1,('[23]SENSUS MEI'!$D$9:$D$453=$D240)*('[23]SENSUS MEI'!$D$9:$D$453=$D240),0))</f>
        <v>46150</v>
      </c>
      <c r="I240" s="143">
        <f t="array" ref="I240">INDEX('[23]SENSUS MEI'!$K$9:$K$453,MATCH(1,('[23]SENSUS MEI'!$D$9:$D$453=$D240)*('[23]SENSUS MEI'!$D$9:$D$453=$D240),0))</f>
        <v>671</v>
      </c>
      <c r="J240" s="9">
        <f t="array" ref="J240">IFERROR(I240/G240*100,0)</f>
        <v>10.504070131496555</v>
      </c>
      <c r="K240" s="143">
        <f t="array" ref="K240">INDEX('[23]SENSUS MEI'!$M$9:$M$453,MATCH(1,('[23]SENSUS MEI'!$D$9:$D$453=$D240)*('[23]SENSUS MEI'!$D$9:$D$453=$D240),0))+INDEX('[23]SENSUS MEI'!$O$9:$O$453,MATCH(1,('[23]SENSUS MEI'!$D$9:$D$453=$D240)*('[23]SENSUS MEI'!$D$9:$D$453=$D240),0))</f>
        <v>413</v>
      </c>
      <c r="L240" s="9">
        <f t="shared" si="24"/>
        <v>61.549925484351711</v>
      </c>
      <c r="M240" s="8" t="str">
        <f t="shared" si="19"/>
        <v>Perlu Pengendalian</v>
      </c>
      <c r="O240" s="3">
        <f t="array" ref="O240">INDEX('[23]SENSUS MEI'!$Q$237:$Q$267,MATCH(1,('[23]SENSUS MEI'!$D$237:$D$267=$D240)*('[23]SENSUS MEI'!$D$237:$D$267=$D240),0))</f>
        <v>413</v>
      </c>
      <c r="P240" s="194">
        <f t="shared" si="20"/>
        <v>28.745999999999999</v>
      </c>
      <c r="Q240" s="194">
        <f t="array" ref="Q240">$P240*0.8</f>
        <v>22.9968</v>
      </c>
      <c r="R240" s="194">
        <f t="shared" si="21"/>
        <v>17.247599999999998</v>
      </c>
      <c r="S240" s="194">
        <f t="shared" si="22"/>
        <v>11.4984</v>
      </c>
      <c r="T240" s="194">
        <f t="shared" si="23"/>
        <v>5.7492000000000001</v>
      </c>
    </row>
    <row r="241" spans="1:20" outlineLevel="1" x14ac:dyDescent="0.15">
      <c r="A241" s="8" t="s">
        <v>628</v>
      </c>
      <c r="B241" s="8" t="s">
        <v>47</v>
      </c>
      <c r="C241" s="8" t="s">
        <v>252</v>
      </c>
      <c r="D241" s="8" t="s">
        <v>823</v>
      </c>
      <c r="E241" s="9">
        <v>43.2</v>
      </c>
      <c r="F241" s="8" t="s">
        <v>16</v>
      </c>
      <c r="G241" s="143">
        <f t="array" ref="G241">INDEX('[23]SENSUS MEI'!$G$9:$G$453,MATCH(1,('[23]SENSUS MEI'!$D$9:$D$453=$D241)*('[23]SENSUS MEI'!$D$9:$D$453=$D241),0))</f>
        <v>5375</v>
      </c>
      <c r="H241" s="11">
        <f t="array" ref="H241">INDEX('[23]SENSUS MEI'!$J$9:$J$453,MATCH(1,('[23]SENSUS MEI'!$D$9:$D$453=$D241)*('[23]SENSUS MEI'!$D$9:$D$453=$D241),0))</f>
        <v>46151</v>
      </c>
      <c r="I241" s="143">
        <f t="array" ref="I241">INDEX('[23]SENSUS MEI'!$K$9:$K$453,MATCH(1,('[23]SENSUS MEI'!$D$9:$D$453=$D241)*('[23]SENSUS MEI'!$D$9:$D$453=$D241),0))</f>
        <v>534</v>
      </c>
      <c r="J241" s="9">
        <f t="array" ref="J241">IFERROR(I241/G241*100,0)</f>
        <v>9.9348837209302321</v>
      </c>
      <c r="K241" s="143">
        <f t="array" ref="K241">INDEX('[23]SENSUS MEI'!$M$9:$M$453,MATCH(1,('[23]SENSUS MEI'!$D$9:$D$453=$D241)*('[23]SENSUS MEI'!$D$9:$D$453=$D241),0))+INDEX('[23]SENSUS MEI'!$O$9:$O$453,MATCH(1,('[23]SENSUS MEI'!$D$9:$D$453=$D241)*('[23]SENSUS MEI'!$D$9:$D$453=$D241),0))</f>
        <v>73</v>
      </c>
      <c r="L241" s="9">
        <f t="shared" si="24"/>
        <v>13.670411985018728</v>
      </c>
      <c r="M241" s="8" t="str">
        <f t="shared" si="19"/>
        <v>Perlu Pengendalian</v>
      </c>
      <c r="O241" s="3">
        <f t="array" ref="O241">INDEX('[23]SENSUS MEI'!$Q$237:$Q$267,MATCH(1,('[23]SENSUS MEI'!$D$237:$D$267=$D241)*('[23]SENSUS MEI'!$D$237:$D$267=$D241),0))</f>
        <v>73</v>
      </c>
      <c r="P241" s="194">
        <f t="shared" si="20"/>
        <v>24.1875</v>
      </c>
      <c r="Q241" s="194">
        <f t="array" ref="Q241">$P241*0.8</f>
        <v>19.350000000000001</v>
      </c>
      <c r="R241" s="194">
        <f t="shared" si="21"/>
        <v>14.512499999999999</v>
      </c>
      <c r="S241" s="194">
        <f t="shared" si="22"/>
        <v>9.6750000000000007</v>
      </c>
      <c r="T241" s="194">
        <f t="shared" si="23"/>
        <v>4.8375000000000004</v>
      </c>
    </row>
    <row r="242" spans="1:20" outlineLevel="1" x14ac:dyDescent="0.15">
      <c r="A242" s="8" t="s">
        <v>628</v>
      </c>
      <c r="B242" s="8" t="s">
        <v>47</v>
      </c>
      <c r="C242" s="8" t="s">
        <v>252</v>
      </c>
      <c r="D242" s="8" t="s">
        <v>824</v>
      </c>
      <c r="E242" s="9">
        <v>10.92</v>
      </c>
      <c r="F242" s="8" t="s">
        <v>16</v>
      </c>
      <c r="G242" s="143">
        <f t="array" ref="G242">INDEX('[23]SENSUS MEI'!$G$9:$G$453,MATCH(1,('[23]SENSUS MEI'!$D$9:$D$453=$D242)*('[23]SENSUS MEI'!$D$9:$D$453=$D242),0))</f>
        <v>1398</v>
      </c>
      <c r="H242" s="11">
        <f t="array" ref="H242">INDEX('[23]SENSUS MEI'!$J$9:$J$453,MATCH(1,('[23]SENSUS MEI'!$D$9:$D$453=$D242)*('[23]SENSUS MEI'!$D$9:$D$453=$D242),0))</f>
        <v>46151</v>
      </c>
      <c r="I242" s="143">
        <f t="array" ref="I242">INDEX('[23]SENSUS MEI'!$K$9:$K$453,MATCH(1,('[23]SENSUS MEI'!$D$9:$D$453=$D242)*('[23]SENSUS MEI'!$D$9:$D$453=$D242),0))</f>
        <v>66</v>
      </c>
      <c r="J242" s="9">
        <f t="array" ref="J242">IFERROR(I242/G242*100,0)</f>
        <v>4.7210300429184553</v>
      </c>
      <c r="K242" s="143">
        <f t="array" ref="K242">INDEX('[23]SENSUS MEI'!$M$9:$M$453,MATCH(1,('[23]SENSUS MEI'!$D$9:$D$453=$D242)*('[23]SENSUS MEI'!$D$9:$D$453=$D242),0))+INDEX('[23]SENSUS MEI'!$O$9:$O$453,MATCH(1,('[23]SENSUS MEI'!$D$9:$D$453=$D242)*('[23]SENSUS MEI'!$D$9:$D$453=$D242),0))</f>
        <v>66</v>
      </c>
      <c r="L242" s="9">
        <f t="shared" si="24"/>
        <v>100</v>
      </c>
      <c r="M242" s="8" t="str">
        <f t="shared" si="19"/>
        <v>Perlu Pengendalian</v>
      </c>
      <c r="O242" s="3">
        <f t="array" ref="O242">INDEX('[23]SENSUS MEI'!$Q$237:$Q$267,MATCH(1,('[23]SENSUS MEI'!$D$237:$D$267=$D242)*('[23]SENSUS MEI'!$D$237:$D$267=$D242),0))</f>
        <v>66</v>
      </c>
      <c r="P242" s="194">
        <f t="shared" si="20"/>
        <v>6.2910000000000004</v>
      </c>
      <c r="Q242" s="194">
        <f t="array" ref="Q242">$P242*0.8</f>
        <v>5.0328000000000008</v>
      </c>
      <c r="R242" s="194">
        <f t="shared" si="21"/>
        <v>3.7746</v>
      </c>
      <c r="S242" s="194">
        <f t="shared" si="22"/>
        <v>2.5164000000000004</v>
      </c>
      <c r="T242" s="194">
        <f t="shared" si="23"/>
        <v>1.2582000000000002</v>
      </c>
    </row>
    <row r="243" spans="1:20" outlineLevel="1" x14ac:dyDescent="0.15">
      <c r="A243" s="8" t="s">
        <v>628</v>
      </c>
      <c r="B243" s="8" t="s">
        <v>47</v>
      </c>
      <c r="C243" s="8" t="s">
        <v>252</v>
      </c>
      <c r="D243" s="8" t="s">
        <v>825</v>
      </c>
      <c r="E243" s="9">
        <v>12.71</v>
      </c>
      <c r="F243" s="8" t="s">
        <v>16</v>
      </c>
      <c r="G243" s="143">
        <f t="array" ref="G243">INDEX('[23]SENSUS MEI'!$G$9:$G$453,MATCH(1,('[23]SENSUS MEI'!$D$9:$D$453=$D243)*('[23]SENSUS MEI'!$D$9:$D$453=$D243),0))</f>
        <v>1970</v>
      </c>
      <c r="H243" s="11">
        <f t="array" ref="H243">INDEX('[23]SENSUS MEI'!$J$9:$J$453,MATCH(1,('[23]SENSUS MEI'!$D$9:$D$453=$D243)*('[23]SENSUS MEI'!$D$9:$D$453=$D243),0))</f>
        <v>46151</v>
      </c>
      <c r="I243" s="143">
        <f t="array" ref="I243">INDEX('[23]SENSUS MEI'!$K$9:$K$453,MATCH(1,('[23]SENSUS MEI'!$D$9:$D$453=$D243)*('[23]SENSUS MEI'!$D$9:$D$453=$D243),0))</f>
        <v>209</v>
      </c>
      <c r="J243" s="9">
        <f t="array" ref="J243">IFERROR(I243/G243*100,0)</f>
        <v>10.609137055837563</v>
      </c>
      <c r="K243" s="143">
        <f t="array" ref="K243">INDEX('[23]SENSUS MEI'!$M$9:$M$453,MATCH(1,('[23]SENSUS MEI'!$D$9:$D$453=$D243)*('[23]SENSUS MEI'!$D$9:$D$453=$D243),0))+INDEX('[23]SENSUS MEI'!$O$9:$O$453,MATCH(1,('[23]SENSUS MEI'!$D$9:$D$453=$D243)*('[23]SENSUS MEI'!$D$9:$D$453=$D243),0))</f>
        <v>115</v>
      </c>
      <c r="L243" s="9">
        <f t="shared" si="24"/>
        <v>55.023923444976077</v>
      </c>
      <c r="M243" s="8" t="str">
        <f t="shared" si="19"/>
        <v>Perlu Pengendalian</v>
      </c>
      <c r="O243" s="3">
        <f t="array" ref="O243">INDEX('[23]SENSUS MEI'!$Q$237:$Q$267,MATCH(1,('[23]SENSUS MEI'!$D$237:$D$267=$D243)*('[23]SENSUS MEI'!$D$237:$D$267=$D243),0))</f>
        <v>115</v>
      </c>
      <c r="P243" s="194">
        <f t="shared" si="20"/>
        <v>8.8650000000000002</v>
      </c>
      <c r="Q243" s="194">
        <f t="array" ref="Q243">$P243*0.8</f>
        <v>7.0920000000000005</v>
      </c>
      <c r="R243" s="194">
        <f t="shared" si="21"/>
        <v>5.319</v>
      </c>
      <c r="S243" s="194">
        <f t="shared" si="22"/>
        <v>3.5460000000000003</v>
      </c>
      <c r="T243" s="194">
        <f t="shared" si="23"/>
        <v>1.7730000000000001</v>
      </c>
    </row>
    <row r="244" spans="1:20" outlineLevel="1" x14ac:dyDescent="0.15">
      <c r="A244" s="8" t="s">
        <v>628</v>
      </c>
      <c r="B244" s="8" t="s">
        <v>47</v>
      </c>
      <c r="C244" s="8" t="s">
        <v>252</v>
      </c>
      <c r="D244" s="8" t="s">
        <v>826</v>
      </c>
      <c r="E244" s="9">
        <v>27.14</v>
      </c>
      <c r="F244" s="8" t="s">
        <v>16</v>
      </c>
      <c r="G244" s="143">
        <f t="array" ref="G244">INDEX('[23]SENSUS MEI'!$G$9:$G$453,MATCH(1,('[23]SENSUS MEI'!$D$9:$D$453=$D244)*('[23]SENSUS MEI'!$D$9:$D$453=$D244),0))</f>
        <v>3901</v>
      </c>
      <c r="H244" s="11">
        <f t="array" ref="H244">INDEX('[23]SENSUS MEI'!$J$9:$J$453,MATCH(1,('[23]SENSUS MEI'!$D$9:$D$453=$D244)*('[23]SENSUS MEI'!$D$9:$D$453=$D244),0))</f>
        <v>46150</v>
      </c>
      <c r="I244" s="143">
        <f t="array" ref="I244">INDEX('[23]SENSUS MEI'!$K$9:$K$453,MATCH(1,('[23]SENSUS MEI'!$D$9:$D$453=$D244)*('[23]SENSUS MEI'!$D$9:$D$453=$D244),0))</f>
        <v>314</v>
      </c>
      <c r="J244" s="9">
        <f t="array" ref="J244">IFERROR(I244/G244*100,0)</f>
        <v>8.0492181491925141</v>
      </c>
      <c r="K244" s="143">
        <f t="array" ref="K244">INDEX('[23]SENSUS MEI'!$M$9:$M$453,MATCH(1,('[23]SENSUS MEI'!$D$9:$D$453=$D244)*('[23]SENSUS MEI'!$D$9:$D$453=$D244),0))+INDEX('[23]SENSUS MEI'!$O$9:$O$453,MATCH(1,('[23]SENSUS MEI'!$D$9:$D$453=$D244)*('[23]SENSUS MEI'!$D$9:$D$453=$D244),0))</f>
        <v>202</v>
      </c>
      <c r="L244" s="9">
        <f t="shared" si="24"/>
        <v>64.331210191082803</v>
      </c>
      <c r="M244" s="8" t="str">
        <f t="shared" si="19"/>
        <v>Perlu Pengendalian</v>
      </c>
      <c r="O244" s="3">
        <f t="array" ref="O244">INDEX('[23]SENSUS MEI'!$Q$237:$Q$267,MATCH(1,('[23]SENSUS MEI'!$D$237:$D$267=$D244)*('[23]SENSUS MEI'!$D$237:$D$267=$D244),0))</f>
        <v>202</v>
      </c>
      <c r="P244" s="194">
        <f t="shared" si="20"/>
        <v>17.554500000000001</v>
      </c>
      <c r="Q244" s="194">
        <f t="array" ref="Q244">$P244*0.8</f>
        <v>14.043600000000001</v>
      </c>
      <c r="R244" s="194">
        <f t="shared" si="21"/>
        <v>10.5327</v>
      </c>
      <c r="S244" s="194">
        <f t="shared" si="22"/>
        <v>7.0218000000000007</v>
      </c>
      <c r="T244" s="194">
        <f t="shared" si="23"/>
        <v>3.5109000000000004</v>
      </c>
    </row>
    <row r="245" spans="1:20" outlineLevel="1" x14ac:dyDescent="0.15">
      <c r="A245" s="8" t="s">
        <v>628</v>
      </c>
      <c r="B245" s="8" t="s">
        <v>47</v>
      </c>
      <c r="C245" s="8" t="s">
        <v>252</v>
      </c>
      <c r="D245" s="8" t="s">
        <v>827</v>
      </c>
      <c r="E245" s="9">
        <v>41.33</v>
      </c>
      <c r="F245" s="8" t="s">
        <v>16</v>
      </c>
      <c r="G245" s="143">
        <f t="array" ref="G245">INDEX('[23]SENSUS MEI'!$G$9:$G$453,MATCH(1,('[23]SENSUS MEI'!$D$9:$D$453=$D245)*('[23]SENSUS MEI'!$D$9:$D$453=$D245),0))</f>
        <v>4910</v>
      </c>
      <c r="H245" s="11">
        <f t="array" ref="H245">INDEX('[23]SENSUS MEI'!$J$9:$J$453,MATCH(1,('[23]SENSUS MEI'!$D$9:$D$453=$D245)*('[23]SENSUS MEI'!$D$9:$D$453=$D245),0))</f>
        <v>46151</v>
      </c>
      <c r="I245" s="143">
        <f t="array" ref="I245">INDEX('[23]SENSUS MEI'!$K$9:$K$453,MATCH(1,('[23]SENSUS MEI'!$D$9:$D$453=$D245)*('[23]SENSUS MEI'!$D$9:$D$453=$D245),0))</f>
        <v>504</v>
      </c>
      <c r="J245" s="9">
        <f t="array" ref="J245">IFERROR(I245/G245*100,0)</f>
        <v>10.264765784114054</v>
      </c>
      <c r="K245" s="143">
        <f t="array" ref="K245">INDEX('[23]SENSUS MEI'!$M$9:$M$453,MATCH(1,('[23]SENSUS MEI'!$D$9:$D$453=$D245)*('[23]SENSUS MEI'!$D$9:$D$453=$D245),0))+INDEX('[23]SENSUS MEI'!$O$9:$O$453,MATCH(1,('[23]SENSUS MEI'!$D$9:$D$453=$D245)*('[23]SENSUS MEI'!$D$9:$D$453=$D245),0))</f>
        <v>116</v>
      </c>
      <c r="L245" s="9">
        <f t="shared" si="24"/>
        <v>23.015873015873016</v>
      </c>
      <c r="M245" s="8" t="str">
        <f t="shared" si="19"/>
        <v>Perlu Pengendalian</v>
      </c>
      <c r="O245" s="3">
        <f t="array" ref="O245">INDEX('[23]SENSUS MEI'!$Q$237:$Q$267,MATCH(1,('[23]SENSUS MEI'!$D$237:$D$267=$D245)*('[23]SENSUS MEI'!$D$237:$D$267=$D245),0))</f>
        <v>116</v>
      </c>
      <c r="P245" s="194">
        <f t="shared" si="20"/>
        <v>22.094999999999999</v>
      </c>
      <c r="Q245" s="194">
        <f t="array" ref="Q245">$P245*0.8</f>
        <v>17.675999999999998</v>
      </c>
      <c r="R245" s="194">
        <f t="shared" si="21"/>
        <v>13.257</v>
      </c>
      <c r="S245" s="194">
        <f t="shared" si="22"/>
        <v>8.8379999999999992</v>
      </c>
      <c r="T245" s="194">
        <f t="shared" si="23"/>
        <v>4.4189999999999996</v>
      </c>
    </row>
    <row r="246" spans="1:20" outlineLevel="1" x14ac:dyDescent="0.15">
      <c r="A246" s="8" t="s">
        <v>628</v>
      </c>
      <c r="B246" s="8" t="s">
        <v>47</v>
      </c>
      <c r="C246" s="8" t="s">
        <v>252</v>
      </c>
      <c r="D246" s="8" t="s">
        <v>828</v>
      </c>
      <c r="E246" s="9">
        <v>35.65</v>
      </c>
      <c r="F246" s="8" t="s">
        <v>16</v>
      </c>
      <c r="G246" s="143">
        <f t="array" ref="G246">INDEX('[23]SENSUS MEI'!$G$9:$G$453,MATCH(1,('[23]SENSUS MEI'!$D$9:$D$453=$D246)*('[23]SENSUS MEI'!$D$9:$D$453=$D246),0))</f>
        <v>4915</v>
      </c>
      <c r="H246" s="11">
        <f t="array" ref="H246">INDEX('[23]SENSUS MEI'!$J$9:$J$453,MATCH(1,('[23]SENSUS MEI'!$D$9:$D$453=$D246)*('[23]SENSUS MEI'!$D$9:$D$453=$D246),0))</f>
        <v>46150</v>
      </c>
      <c r="I246" s="143">
        <f t="array" ref="I246">INDEX('[23]SENSUS MEI'!$K$9:$K$453,MATCH(1,('[23]SENSUS MEI'!$D$9:$D$453=$D246)*('[23]SENSUS MEI'!$D$9:$D$453=$D246),0))</f>
        <v>345</v>
      </c>
      <c r="J246" s="9">
        <f t="array" ref="J246">IFERROR(I246/G246*100,0)</f>
        <v>7.0193285859613432</v>
      </c>
      <c r="K246" s="143">
        <f t="array" ref="K246">INDEX('[23]SENSUS MEI'!$M$9:$M$453,MATCH(1,('[23]SENSUS MEI'!$D$9:$D$453=$D246)*('[23]SENSUS MEI'!$D$9:$D$453=$D246),0))+INDEX('[23]SENSUS MEI'!$O$9:$O$453,MATCH(1,('[23]SENSUS MEI'!$D$9:$D$453=$D246)*('[23]SENSUS MEI'!$D$9:$D$453=$D246),0))</f>
        <v>136</v>
      </c>
      <c r="L246" s="9">
        <f t="shared" si="24"/>
        <v>39.420289855072468</v>
      </c>
      <c r="M246" s="8" t="str">
        <f t="shared" si="19"/>
        <v>Perlu Pengendalian</v>
      </c>
      <c r="O246" s="3">
        <f t="array" ref="O246">INDEX('[23]SENSUS MEI'!$Q$237:$Q$267,MATCH(1,('[23]SENSUS MEI'!$D$237:$D$267=$D246)*('[23]SENSUS MEI'!$D$237:$D$267=$D246),0))</f>
        <v>136</v>
      </c>
      <c r="P246" s="194">
        <f t="shared" si="20"/>
        <v>22.1175</v>
      </c>
      <c r="Q246" s="194">
        <f t="array" ref="Q246">$P246*0.8</f>
        <v>17.693999999999999</v>
      </c>
      <c r="R246" s="194">
        <f t="shared" si="21"/>
        <v>13.2705</v>
      </c>
      <c r="S246" s="194">
        <f t="shared" si="22"/>
        <v>8.8469999999999995</v>
      </c>
      <c r="T246" s="194">
        <f t="shared" si="23"/>
        <v>4.4234999999999998</v>
      </c>
    </row>
    <row r="247" spans="1:20" outlineLevel="1" x14ac:dyDescent="0.15">
      <c r="A247" s="8" t="s">
        <v>628</v>
      </c>
      <c r="B247" s="8" t="s">
        <v>47</v>
      </c>
      <c r="C247" s="8" t="s">
        <v>252</v>
      </c>
      <c r="D247" s="8" t="s">
        <v>829</v>
      </c>
      <c r="E247" s="9">
        <v>38.799999999999997</v>
      </c>
      <c r="F247" s="8" t="s">
        <v>16</v>
      </c>
      <c r="G247" s="143">
        <f t="array" ref="G247">INDEX('[23]SENSUS MEI'!$G$9:$G$453,MATCH(1,('[23]SENSUS MEI'!$D$9:$D$453=$D247)*('[23]SENSUS MEI'!$D$9:$D$453=$D247),0))</f>
        <v>5791</v>
      </c>
      <c r="H247" s="11">
        <f t="array" ref="H247">INDEX('[23]SENSUS MEI'!$J$9:$J$453,MATCH(1,('[23]SENSUS MEI'!$D$9:$D$453=$D247)*('[23]SENSUS MEI'!$D$9:$D$453=$D247),0))</f>
        <v>46154</v>
      </c>
      <c r="I247" s="143">
        <f t="array" ref="I247">INDEX('[23]SENSUS MEI'!$K$9:$K$453,MATCH(1,('[23]SENSUS MEI'!$D$9:$D$453=$D247)*('[23]SENSUS MEI'!$D$9:$D$453=$D247),0))</f>
        <v>783</v>
      </c>
      <c r="J247" s="9">
        <f t="array" ref="J247">IFERROR(I247/G247*100,0)</f>
        <v>13.520980832326025</v>
      </c>
      <c r="K247" s="143">
        <f t="array" ref="K247">INDEX('[23]SENSUS MEI'!$M$9:$M$453,MATCH(1,('[23]SENSUS MEI'!$D$9:$D$453=$D247)*('[23]SENSUS MEI'!$D$9:$D$453=$D247),0))+INDEX('[23]SENSUS MEI'!$O$9:$O$453,MATCH(1,('[23]SENSUS MEI'!$D$9:$D$453=$D247)*('[23]SENSUS MEI'!$D$9:$D$453=$D247),0))</f>
        <v>272</v>
      </c>
      <c r="L247" s="9">
        <f t="shared" si="24"/>
        <v>34.738186462324393</v>
      </c>
      <c r="M247" s="8" t="str">
        <f t="shared" si="19"/>
        <v>Perlu Pengendalian</v>
      </c>
      <c r="O247" s="3">
        <f t="array" ref="O247">INDEX('[23]SENSUS MEI'!$Q$237:$Q$267,MATCH(1,('[23]SENSUS MEI'!$D$237:$D$267=$D247)*('[23]SENSUS MEI'!$D$237:$D$267=$D247),0))</f>
        <v>272</v>
      </c>
      <c r="P247" s="194">
        <f t="shared" si="20"/>
        <v>26.0595</v>
      </c>
      <c r="Q247" s="194">
        <f t="array" ref="Q247">$P247*0.8</f>
        <v>20.8476</v>
      </c>
      <c r="R247" s="194">
        <f t="shared" si="21"/>
        <v>15.6357</v>
      </c>
      <c r="S247" s="194">
        <f t="shared" si="22"/>
        <v>10.4238</v>
      </c>
      <c r="T247" s="194">
        <f t="shared" si="23"/>
        <v>5.2119</v>
      </c>
    </row>
    <row r="248" spans="1:20" outlineLevel="1" x14ac:dyDescent="0.15">
      <c r="A248" s="8" t="s">
        <v>628</v>
      </c>
      <c r="B248" s="8" t="s">
        <v>47</v>
      </c>
      <c r="C248" s="8" t="s">
        <v>252</v>
      </c>
      <c r="D248" s="8" t="s">
        <v>830</v>
      </c>
      <c r="E248" s="9">
        <v>37.630000000000003</v>
      </c>
      <c r="F248" s="8" t="s">
        <v>16</v>
      </c>
      <c r="G248" s="143">
        <f t="array" ref="G248">INDEX('[23]SENSUS MEI'!$G$9:$G$453,MATCH(1,('[23]SENSUS MEI'!$D$9:$D$453=$D248)*('[23]SENSUS MEI'!$D$9:$D$453=$D248),0))</f>
        <v>5390</v>
      </c>
      <c r="H248" s="11">
        <f t="array" ref="H248">INDEX('[23]SENSUS MEI'!$J$9:$J$453,MATCH(1,('[23]SENSUS MEI'!$D$9:$D$453=$D248)*('[23]SENSUS MEI'!$D$9:$D$453=$D248),0))</f>
        <v>46153</v>
      </c>
      <c r="I248" s="143">
        <f t="array" ref="I248">INDEX('[23]SENSUS MEI'!$K$9:$K$453,MATCH(1,('[23]SENSUS MEI'!$D$9:$D$453=$D248)*('[23]SENSUS MEI'!$D$9:$D$453=$D248),0))</f>
        <v>552</v>
      </c>
      <c r="J248" s="9">
        <f t="array" ref="J248">IFERROR(I248/G248*100,0)</f>
        <v>10.241187384044528</v>
      </c>
      <c r="K248" s="143">
        <f t="array" ref="K248">INDEX('[23]SENSUS MEI'!$M$9:$M$453,MATCH(1,('[23]SENSUS MEI'!$D$9:$D$453=$D248)*('[23]SENSUS MEI'!$D$9:$D$453=$D248),0))+INDEX('[23]SENSUS MEI'!$O$9:$O$453,MATCH(1,('[23]SENSUS MEI'!$D$9:$D$453=$D248)*('[23]SENSUS MEI'!$D$9:$D$453=$D248),0))</f>
        <v>44</v>
      </c>
      <c r="L248" s="9">
        <f t="shared" si="24"/>
        <v>7.9710144927536222</v>
      </c>
      <c r="M248" s="8" t="str">
        <f t="shared" si="19"/>
        <v>Perlu Pengendalian</v>
      </c>
      <c r="O248" s="3">
        <f t="array" ref="O248">INDEX('[23]SENSUS MEI'!$Q$237:$Q$267,MATCH(1,('[23]SENSUS MEI'!$D$237:$D$267=$D248)*('[23]SENSUS MEI'!$D$237:$D$267=$D248),0))</f>
        <v>44</v>
      </c>
      <c r="P248" s="194">
        <f t="shared" si="20"/>
        <v>24.254999999999999</v>
      </c>
      <c r="Q248" s="194">
        <f t="array" ref="Q248">$P248*0.8</f>
        <v>19.404</v>
      </c>
      <c r="R248" s="194">
        <f t="shared" si="21"/>
        <v>14.552999999999999</v>
      </c>
      <c r="S248" s="194">
        <f t="shared" si="22"/>
        <v>9.702</v>
      </c>
      <c r="T248" s="194">
        <f t="shared" si="23"/>
        <v>4.851</v>
      </c>
    </row>
    <row r="249" spans="1:20" outlineLevel="1" x14ac:dyDescent="0.15">
      <c r="A249" s="8" t="s">
        <v>628</v>
      </c>
      <c r="B249" s="8" t="s">
        <v>47</v>
      </c>
      <c r="C249" s="8" t="s">
        <v>252</v>
      </c>
      <c r="D249" s="8" t="s">
        <v>831</v>
      </c>
      <c r="E249" s="9">
        <v>36.369999999999997</v>
      </c>
      <c r="F249" s="8" t="s">
        <v>16</v>
      </c>
      <c r="G249" s="143">
        <f t="array" ref="G249">INDEX('[23]SENSUS MEI'!$G$9:$G$453,MATCH(1,('[23]SENSUS MEI'!$D$9:$D$453=$D249)*('[23]SENSUS MEI'!$D$9:$D$453=$D249),0))</f>
        <v>5175</v>
      </c>
      <c r="H249" s="11">
        <f t="array" ref="H249">INDEX('[23]SENSUS MEI'!$J$9:$J$453,MATCH(1,('[23]SENSUS MEI'!$D$9:$D$453=$D249)*('[23]SENSUS MEI'!$D$9:$D$453=$D249),0))</f>
        <v>46154</v>
      </c>
      <c r="I249" s="143">
        <f t="array" ref="I249">INDEX('[23]SENSUS MEI'!$K$9:$K$453,MATCH(1,('[23]SENSUS MEI'!$D$9:$D$453=$D249)*('[23]SENSUS MEI'!$D$9:$D$453=$D249),0))</f>
        <v>306</v>
      </c>
      <c r="J249" s="9">
        <f t="array" ref="J249">IFERROR(I249/G249*100,0)</f>
        <v>5.9130434782608692</v>
      </c>
      <c r="K249" s="143">
        <f t="array" ref="K249">INDEX('[23]SENSUS MEI'!$M$9:$M$453,MATCH(1,('[23]SENSUS MEI'!$D$9:$D$453=$D249)*('[23]SENSUS MEI'!$D$9:$D$453=$D249),0))+INDEX('[23]SENSUS MEI'!$O$9:$O$453,MATCH(1,('[23]SENSUS MEI'!$D$9:$D$453=$D249)*('[23]SENSUS MEI'!$D$9:$D$453=$D249),0))</f>
        <v>87</v>
      </c>
      <c r="L249" s="9">
        <f t="shared" si="24"/>
        <v>28.431372549019606</v>
      </c>
      <c r="M249" s="8" t="str">
        <f t="shared" si="19"/>
        <v>Perlu Pengendalian</v>
      </c>
      <c r="O249" s="3">
        <f t="array" ref="O249">INDEX('[23]SENSUS MEI'!$Q$237:$Q$267,MATCH(1,('[23]SENSUS MEI'!$D$237:$D$267=$D249)*('[23]SENSUS MEI'!$D$237:$D$267=$D249),0))</f>
        <v>225</v>
      </c>
      <c r="P249" s="194">
        <f t="shared" si="20"/>
        <v>23.287500000000001</v>
      </c>
      <c r="Q249" s="194">
        <f t="array" ref="Q249">$P249*0.8</f>
        <v>18.630000000000003</v>
      </c>
      <c r="R249" s="194">
        <f t="shared" si="21"/>
        <v>13.9725</v>
      </c>
      <c r="S249" s="194">
        <f t="shared" si="22"/>
        <v>9.3150000000000013</v>
      </c>
      <c r="T249" s="194">
        <f t="shared" si="23"/>
        <v>4.6575000000000006</v>
      </c>
    </row>
    <row r="250" spans="1:20" outlineLevel="1" x14ac:dyDescent="0.15">
      <c r="A250" s="8" t="s">
        <v>628</v>
      </c>
      <c r="B250" s="8" t="s">
        <v>47</v>
      </c>
      <c r="C250" s="8" t="s">
        <v>252</v>
      </c>
      <c r="D250" s="8" t="s">
        <v>832</v>
      </c>
      <c r="E250" s="9">
        <v>35.880000000000003</v>
      </c>
      <c r="F250" s="8" t="s">
        <v>16</v>
      </c>
      <c r="G250" s="143">
        <f t="array" ref="G250">INDEX('[23]SENSUS MEI'!$G$9:$G$453,MATCH(1,('[23]SENSUS MEI'!$D$9:$D$453=$D250)*('[23]SENSUS MEI'!$D$9:$D$453=$D250),0))</f>
        <v>4603</v>
      </c>
      <c r="H250" s="11">
        <f t="array" ref="H250">INDEX('[23]SENSUS MEI'!$J$9:$J$453,MATCH(1,('[23]SENSUS MEI'!$D$9:$D$453=$D250)*('[23]SENSUS MEI'!$D$9:$D$453=$D250),0))</f>
        <v>46154</v>
      </c>
      <c r="I250" s="143">
        <f t="array" ref="I250">INDEX('[23]SENSUS MEI'!$K$9:$K$453,MATCH(1,('[23]SENSUS MEI'!$D$9:$D$453=$D250)*('[23]SENSUS MEI'!$D$9:$D$453=$D250),0))</f>
        <v>451</v>
      </c>
      <c r="J250" s="9">
        <f t="array" ref="J250">IFERROR(I250/G250*100,0)</f>
        <v>9.7979578535737559</v>
      </c>
      <c r="K250" s="143">
        <f t="array" ref="K250">INDEX('[23]SENSUS MEI'!$M$9:$M$453,MATCH(1,('[23]SENSUS MEI'!$D$9:$D$453=$D250)*('[23]SENSUS MEI'!$D$9:$D$453=$D250),0))+INDEX('[23]SENSUS MEI'!$O$9:$O$453,MATCH(1,('[23]SENSUS MEI'!$D$9:$D$453=$D250)*('[23]SENSUS MEI'!$D$9:$D$453=$D250),0))</f>
        <v>225</v>
      </c>
      <c r="L250" s="9">
        <f t="shared" si="24"/>
        <v>49.889135254988915</v>
      </c>
      <c r="M250" s="8" t="str">
        <f t="shared" si="19"/>
        <v>Perlu Pengendalian</v>
      </c>
      <c r="O250" s="3">
        <f t="array" ref="O250">INDEX('[23]SENSUS MEI'!$Q$237:$Q$267,MATCH(1,('[23]SENSUS MEI'!$D$237:$D$267=$D250)*('[23]SENSUS MEI'!$D$237:$D$267=$D250),0))</f>
        <v>225</v>
      </c>
      <c r="P250" s="194">
        <f t="shared" si="20"/>
        <v>20.7135</v>
      </c>
      <c r="Q250" s="194">
        <f t="array" ref="Q250">$P250*0.8</f>
        <v>16.570800000000002</v>
      </c>
      <c r="R250" s="194">
        <f t="shared" si="21"/>
        <v>12.428099999999999</v>
      </c>
      <c r="S250" s="194">
        <f t="shared" si="22"/>
        <v>8.285400000000001</v>
      </c>
      <c r="T250" s="194">
        <f t="shared" si="23"/>
        <v>4.1427000000000005</v>
      </c>
    </row>
    <row r="251" spans="1:20" outlineLevel="1" x14ac:dyDescent="0.15">
      <c r="A251" s="8" t="s">
        <v>628</v>
      </c>
      <c r="B251" s="8" t="s">
        <v>47</v>
      </c>
      <c r="C251" s="8" t="s">
        <v>252</v>
      </c>
      <c r="D251" s="8" t="s">
        <v>833</v>
      </c>
      <c r="E251" s="9">
        <v>42.12</v>
      </c>
      <c r="F251" s="8" t="s">
        <v>16</v>
      </c>
      <c r="G251" s="143">
        <f t="array" ref="G251">INDEX('[23]SENSUS MEI'!$G$9:$G$453,MATCH(1,('[23]SENSUS MEI'!$D$9:$D$453=$D251)*('[23]SENSUS MEI'!$D$9:$D$453=$D251),0))</f>
        <v>5832</v>
      </c>
      <c r="H251" s="11">
        <f t="array" ref="H251">INDEX('[23]SENSUS MEI'!$J$9:$J$453,MATCH(1,('[23]SENSUS MEI'!$D$9:$D$453=$D251)*('[23]SENSUS MEI'!$D$9:$D$453=$D251),0))</f>
        <v>46149</v>
      </c>
      <c r="I251" s="143">
        <f t="array" ref="I251">INDEX('[23]SENSUS MEI'!$K$9:$K$453,MATCH(1,('[23]SENSUS MEI'!$D$9:$D$453=$D251)*('[23]SENSUS MEI'!$D$9:$D$453=$D251),0))</f>
        <v>549</v>
      </c>
      <c r="J251" s="9">
        <f t="array" ref="J251">IFERROR(I251/G251*100,0)</f>
        <v>9.4135802469135808</v>
      </c>
      <c r="K251" s="143">
        <f t="array" ref="K251">INDEX('[23]SENSUS MEI'!$M$9:$M$453,MATCH(1,('[23]SENSUS MEI'!$D$9:$D$453=$D251)*('[23]SENSUS MEI'!$D$9:$D$453=$D251),0))+INDEX('[23]SENSUS MEI'!$O$9:$O$453,MATCH(1,('[23]SENSUS MEI'!$D$9:$D$453=$D251)*('[23]SENSUS MEI'!$D$9:$D$453=$D251),0))</f>
        <v>132</v>
      </c>
      <c r="L251" s="9">
        <f t="shared" si="24"/>
        <v>24.043715846994534</v>
      </c>
      <c r="M251" s="8" t="str">
        <f t="shared" si="19"/>
        <v>Perlu Pengendalian</v>
      </c>
      <c r="O251" s="3">
        <f t="array" ref="O251">INDEX('[23]SENSUS MEI'!$Q$237:$Q$267,MATCH(1,('[23]SENSUS MEI'!$D$237:$D$267=$D251)*('[23]SENSUS MEI'!$D$237:$D$267=$D251),0))</f>
        <v>132</v>
      </c>
      <c r="P251" s="194">
        <f t="shared" si="20"/>
        <v>26.244</v>
      </c>
      <c r="Q251" s="194">
        <f t="array" ref="Q251">$P251*0.8</f>
        <v>20.995200000000001</v>
      </c>
      <c r="R251" s="194">
        <f t="shared" si="21"/>
        <v>15.7464</v>
      </c>
      <c r="S251" s="194">
        <f t="shared" si="22"/>
        <v>10.4976</v>
      </c>
      <c r="T251" s="194">
        <f t="shared" si="23"/>
        <v>5.2488000000000001</v>
      </c>
    </row>
    <row r="252" spans="1:20" outlineLevel="1" x14ac:dyDescent="0.15">
      <c r="A252" s="8" t="s">
        <v>628</v>
      </c>
      <c r="B252" s="8" t="s">
        <v>47</v>
      </c>
      <c r="C252" s="8" t="s">
        <v>252</v>
      </c>
      <c r="D252" s="8" t="s">
        <v>834</v>
      </c>
      <c r="E252" s="9">
        <v>48.01</v>
      </c>
      <c r="F252" s="8" t="s">
        <v>16</v>
      </c>
      <c r="G252" s="143">
        <f t="array" ref="G252">INDEX('[23]SENSUS MEI'!$G$9:$G$453,MATCH(1,('[23]SENSUS MEI'!$D$9:$D$453=$D252)*('[23]SENSUS MEI'!$D$9:$D$453=$D252),0))</f>
        <v>6865</v>
      </c>
      <c r="H252" s="11">
        <f t="array" ref="H252">INDEX('[23]SENSUS MEI'!$J$9:$J$453,MATCH(1,('[23]SENSUS MEI'!$D$9:$D$453=$D252)*('[23]SENSUS MEI'!$D$9:$D$453=$D252),0))</f>
        <v>46149</v>
      </c>
      <c r="I252" s="143">
        <f t="array" ref="I252">INDEX('[23]SENSUS MEI'!$K$9:$K$453,MATCH(1,('[23]SENSUS MEI'!$D$9:$D$453=$D252)*('[23]SENSUS MEI'!$D$9:$D$453=$D252),0))</f>
        <v>718</v>
      </c>
      <c r="J252" s="9">
        <f t="array" ref="J252">IFERROR(I252/G252*100,0)</f>
        <v>10.458849235251275</v>
      </c>
      <c r="K252" s="143">
        <f t="array" ref="K252">INDEX('[23]SENSUS MEI'!$M$9:$M$453,MATCH(1,('[23]SENSUS MEI'!$D$9:$D$453=$D252)*('[23]SENSUS MEI'!$D$9:$D$453=$D252),0))+INDEX('[23]SENSUS MEI'!$O$9:$O$453,MATCH(1,('[23]SENSUS MEI'!$D$9:$D$453=$D252)*('[23]SENSUS MEI'!$D$9:$D$453=$D252),0))</f>
        <v>356</v>
      </c>
      <c r="L252" s="9">
        <f t="shared" si="24"/>
        <v>49.582172701949858</v>
      </c>
      <c r="M252" s="8" t="str">
        <f t="shared" si="19"/>
        <v>Perlu Pengendalian</v>
      </c>
      <c r="O252" s="3">
        <f t="array" ref="O252">INDEX('[23]SENSUS MEI'!$Q$237:$Q$267,MATCH(1,('[23]SENSUS MEI'!$D$237:$D$267=$D252)*('[23]SENSUS MEI'!$D$237:$D$267=$D252),0))</f>
        <v>356</v>
      </c>
      <c r="P252" s="194">
        <f t="shared" si="20"/>
        <v>30.892499999999998</v>
      </c>
      <c r="Q252" s="194">
        <f t="array" ref="Q252">$P252*0.8</f>
        <v>24.713999999999999</v>
      </c>
      <c r="R252" s="194">
        <f t="shared" si="21"/>
        <v>18.535499999999999</v>
      </c>
      <c r="S252" s="194">
        <f t="shared" si="22"/>
        <v>12.356999999999999</v>
      </c>
      <c r="T252" s="194">
        <f t="shared" si="23"/>
        <v>6.1784999999999997</v>
      </c>
    </row>
    <row r="253" spans="1:20" outlineLevel="1" x14ac:dyDescent="0.15">
      <c r="A253" s="8" t="s">
        <v>628</v>
      </c>
      <c r="B253" s="8" t="s">
        <v>47</v>
      </c>
      <c r="C253" s="8" t="s">
        <v>252</v>
      </c>
      <c r="D253" s="8" t="s">
        <v>835</v>
      </c>
      <c r="E253" s="9">
        <v>48.3</v>
      </c>
      <c r="F253" s="8" t="s">
        <v>16</v>
      </c>
      <c r="G253" s="143">
        <f t="array" ref="G253">INDEX('[23]SENSUS MEI'!$G$9:$G$453,MATCH(1,('[23]SENSUS MEI'!$D$9:$D$453=$D253)*('[23]SENSUS MEI'!$D$9:$D$453=$D253),0))</f>
        <v>6679</v>
      </c>
      <c r="H253" s="11">
        <f t="array" ref="H253">INDEX('[23]SENSUS MEI'!$J$9:$J$453,MATCH(1,('[23]SENSUS MEI'!$D$9:$D$453=$D253)*('[23]SENSUS MEI'!$D$9:$D$453=$D253),0))</f>
        <v>46149</v>
      </c>
      <c r="I253" s="143">
        <f t="array" ref="I253">INDEX('[23]SENSUS MEI'!$K$9:$K$453,MATCH(1,('[23]SENSUS MEI'!$D$9:$D$453=$D253)*('[23]SENSUS MEI'!$D$9:$D$453=$D253),0))</f>
        <v>696</v>
      </c>
      <c r="J253" s="9">
        <f t="array" ref="J253">IFERROR(I253/G253*100,0)</f>
        <v>10.420721664919897</v>
      </c>
      <c r="K253" s="143">
        <f t="array" ref="K253">INDEX('[23]SENSUS MEI'!$M$9:$M$453,MATCH(1,('[23]SENSUS MEI'!$D$9:$D$453=$D253)*('[23]SENSUS MEI'!$D$9:$D$453=$D253),0))+INDEX('[23]SENSUS MEI'!$O$9:$O$453,MATCH(1,('[23]SENSUS MEI'!$D$9:$D$453=$D253)*('[23]SENSUS MEI'!$D$9:$D$453=$D253),0))</f>
        <v>251</v>
      </c>
      <c r="L253" s="9">
        <f t="shared" si="24"/>
        <v>36.063218390804593</v>
      </c>
      <c r="M253" s="8" t="str">
        <f t="shared" si="19"/>
        <v>Perlu Pengendalian</v>
      </c>
      <c r="O253" s="3">
        <f t="array" ref="O253">INDEX('[23]SENSUS MEI'!$Q$237:$Q$267,MATCH(1,('[23]SENSUS MEI'!$D$237:$D$267=$D253)*('[23]SENSUS MEI'!$D$237:$D$267=$D253),0))</f>
        <v>251</v>
      </c>
      <c r="P253" s="194">
        <f t="shared" si="20"/>
        <v>30.055499999999999</v>
      </c>
      <c r="Q253" s="194">
        <f t="array" ref="Q253">$P253*0.8</f>
        <v>24.0444</v>
      </c>
      <c r="R253" s="194">
        <f t="shared" si="21"/>
        <v>18.033299999999997</v>
      </c>
      <c r="S253" s="194">
        <f t="shared" si="22"/>
        <v>12.0222</v>
      </c>
      <c r="T253" s="194">
        <f t="shared" si="23"/>
        <v>6.0110999999999999</v>
      </c>
    </row>
    <row r="254" spans="1:20" outlineLevel="1" x14ac:dyDescent="0.15">
      <c r="A254" s="8" t="s">
        <v>628</v>
      </c>
      <c r="B254" s="8" t="s">
        <v>47</v>
      </c>
      <c r="C254" s="8" t="s">
        <v>252</v>
      </c>
      <c r="D254" s="8" t="s">
        <v>808</v>
      </c>
      <c r="E254" s="9">
        <v>43.88</v>
      </c>
      <c r="F254" s="8" t="s">
        <v>16</v>
      </c>
      <c r="G254" s="143">
        <f t="array" ref="G254">INDEX('[23]SENSUS MEI'!$G$9:$G$453,MATCH(1,('[23]SENSUS MEI'!$D$9:$D$453=$D254)*('[23]SENSUS MEI'!$D$9:$D$453=$D254),0))</f>
        <v>6269</v>
      </c>
      <c r="H254" s="11">
        <f t="array" ref="H254">INDEX('[23]SENSUS MEI'!$J$9:$J$453,MATCH(1,('[23]SENSUS MEI'!$D$9:$D$453=$D254)*('[23]SENSUS MEI'!$D$9:$D$453=$D254),0))</f>
        <v>46149</v>
      </c>
      <c r="I254" s="143">
        <f t="array" ref="I254">INDEX('[23]SENSUS MEI'!$K$9:$K$453,MATCH(1,('[23]SENSUS MEI'!$D$9:$D$453=$D254)*('[23]SENSUS MEI'!$D$9:$D$453=$D254),0))</f>
        <v>311</v>
      </c>
      <c r="J254" s="9">
        <f t="array" ref="J254">IFERROR(I254/G254*100,0)</f>
        <v>4.9609188068272445</v>
      </c>
      <c r="K254" s="143">
        <f t="array" ref="K254">INDEX('[23]SENSUS MEI'!$M$9:$M$453,MATCH(1,('[23]SENSUS MEI'!$D$9:$D$453=$D254)*('[23]SENSUS MEI'!$D$9:$D$453=$D254),0))+INDEX('[23]SENSUS MEI'!$O$9:$O$453,MATCH(1,('[23]SENSUS MEI'!$D$9:$D$453=$D254)*('[23]SENSUS MEI'!$D$9:$D$453=$D254),0))</f>
        <v>263</v>
      </c>
      <c r="L254" s="9">
        <f t="shared" si="24"/>
        <v>84.565916398713824</v>
      </c>
      <c r="M254" s="8" t="str">
        <f t="shared" si="19"/>
        <v>Perlu Pengendalian</v>
      </c>
      <c r="O254" s="3">
        <f t="array" ref="O254">INDEX('[23]SENSUS MEI'!$Q$237:$Q$267,MATCH(1,('[23]SENSUS MEI'!$D$237:$D$267=$D254)*('[23]SENSUS MEI'!$D$237:$D$267=$D254),0))</f>
        <v>263</v>
      </c>
      <c r="P254" s="194">
        <f t="shared" si="20"/>
        <v>28.2105</v>
      </c>
      <c r="Q254" s="194">
        <f t="array" ref="Q254">$P254*0.8</f>
        <v>22.5684</v>
      </c>
      <c r="R254" s="194">
        <f t="shared" si="21"/>
        <v>16.926299999999998</v>
      </c>
      <c r="S254" s="194">
        <f t="shared" si="22"/>
        <v>11.2842</v>
      </c>
      <c r="T254" s="194">
        <f t="shared" si="23"/>
        <v>5.6421000000000001</v>
      </c>
    </row>
    <row r="255" spans="1:20" outlineLevel="1" x14ac:dyDescent="0.15">
      <c r="A255" s="8" t="s">
        <v>628</v>
      </c>
      <c r="B255" s="8" t="s">
        <v>47</v>
      </c>
      <c r="C255" s="8" t="s">
        <v>290</v>
      </c>
      <c r="D255" s="8" t="s">
        <v>836</v>
      </c>
      <c r="E255" s="9">
        <v>14.25</v>
      </c>
      <c r="F255" s="8" t="s">
        <v>469</v>
      </c>
      <c r="G255" s="143">
        <f t="array" ref="G255">INDEX('[23]SENSUS MEI'!$G$9:$G$453,MATCH(1,('[23]SENSUS MEI'!$D$9:$D$453=$D255)*('[23]SENSUS MEI'!$D$9:$D$453=$D255),0))</f>
        <v>1960</v>
      </c>
      <c r="H255" s="11">
        <f t="array" ref="H255">INDEX('[23]SENSUS MEI'!$J$9:$J$453,MATCH(1,('[23]SENSUS MEI'!$D$9:$D$453=$D255)*('[23]SENSUS MEI'!$D$9:$D$453=$D255),0))</f>
        <v>46153</v>
      </c>
      <c r="I255" s="143">
        <f t="array" ref="I255">INDEX('[23]SENSUS MEI'!$K$9:$K$453,MATCH(1,('[23]SENSUS MEI'!$D$9:$D$453=$D255)*('[23]SENSUS MEI'!$D$9:$D$453=$D255),0))</f>
        <v>200</v>
      </c>
      <c r="J255" s="9">
        <f t="array" ref="J255">IFERROR(I255/G255*100,0)</f>
        <v>10.204081632653061</v>
      </c>
      <c r="K255" s="143">
        <f t="array" ref="K255">INDEX('[23]SENSUS MEI'!$M$9:$M$453,MATCH(1,('[23]SENSUS MEI'!$D$9:$D$453=$D255)*('[23]SENSUS MEI'!$D$9:$D$453=$D255),0))+INDEX('[23]SENSUS MEI'!$O$9:$O$453,MATCH(1,('[23]SENSUS MEI'!$D$9:$D$453=$D255)*('[23]SENSUS MEI'!$D$9:$D$453=$D255),0))</f>
        <v>13</v>
      </c>
      <c r="L255" s="9">
        <f t="shared" si="24"/>
        <v>6.5</v>
      </c>
      <c r="M255" s="8" t="str">
        <f t="shared" si="19"/>
        <v>Perlu Pengendalian</v>
      </c>
      <c r="P255" s="194">
        <f t="shared" si="20"/>
        <v>8.82</v>
      </c>
      <c r="Q255" s="194">
        <f t="array" ref="Q255">$P255*0.8</f>
        <v>7.0560000000000009</v>
      </c>
      <c r="R255" s="194">
        <f t="shared" si="21"/>
        <v>5.2919999999999998</v>
      </c>
      <c r="S255" s="194">
        <f t="shared" si="22"/>
        <v>3.5280000000000005</v>
      </c>
      <c r="T255" s="194">
        <f t="shared" si="23"/>
        <v>1.7640000000000002</v>
      </c>
    </row>
    <row r="256" spans="1:20" outlineLevel="1" x14ac:dyDescent="0.15">
      <c r="A256" s="8" t="s">
        <v>628</v>
      </c>
      <c r="B256" s="8" t="s">
        <v>47</v>
      </c>
      <c r="C256" s="8" t="s">
        <v>290</v>
      </c>
      <c r="D256" s="8" t="s">
        <v>837</v>
      </c>
      <c r="E256" s="9">
        <v>19.829999999999998</v>
      </c>
      <c r="F256" s="8" t="s">
        <v>469</v>
      </c>
      <c r="G256" s="143">
        <f t="array" ref="G256">INDEX('[23]SENSUS MEI'!$G$9:$G$453,MATCH(1,('[23]SENSUS MEI'!$D$9:$D$453=$D256)*('[23]SENSUS MEI'!$D$9:$D$453=$D256),0))</f>
        <v>2662</v>
      </c>
      <c r="H256" s="11">
        <f t="array" ref="H256">INDEX('[23]SENSUS MEI'!$J$9:$J$453,MATCH(1,('[23]SENSUS MEI'!$D$9:$D$453=$D256)*('[23]SENSUS MEI'!$D$9:$D$453=$D256),0))</f>
        <v>46153</v>
      </c>
      <c r="I256" s="143">
        <f t="array" ref="I256">INDEX('[23]SENSUS MEI'!$K$9:$K$453,MATCH(1,('[23]SENSUS MEI'!$D$9:$D$453=$D256)*('[23]SENSUS MEI'!$D$9:$D$453=$D256),0))</f>
        <v>295</v>
      </c>
      <c r="J256" s="9">
        <f t="array" ref="J256">IFERROR(I256/G256*100,0)</f>
        <v>11.081893313298272</v>
      </c>
      <c r="K256" s="143">
        <f t="array" ref="K256">INDEX('[23]SENSUS MEI'!$M$9:$M$453,MATCH(1,('[23]SENSUS MEI'!$D$9:$D$453=$D256)*('[23]SENSUS MEI'!$D$9:$D$453=$D256),0))+INDEX('[23]SENSUS MEI'!$O$9:$O$453,MATCH(1,('[23]SENSUS MEI'!$D$9:$D$453=$D256)*('[23]SENSUS MEI'!$D$9:$D$453=$D256),0))</f>
        <v>76</v>
      </c>
      <c r="L256" s="9">
        <f t="shared" si="24"/>
        <v>25.762711864406779</v>
      </c>
      <c r="M256" s="8" t="str">
        <f t="shared" si="19"/>
        <v>Perlu Pengendalian</v>
      </c>
      <c r="P256" s="194">
        <f t="shared" si="20"/>
        <v>11.978999999999999</v>
      </c>
      <c r="Q256" s="194">
        <f t="array" ref="Q256">$P256*0.8</f>
        <v>9.5831999999999997</v>
      </c>
      <c r="R256" s="194">
        <f t="shared" si="21"/>
        <v>7.1873999999999993</v>
      </c>
      <c r="S256" s="194">
        <f t="shared" si="22"/>
        <v>4.7915999999999999</v>
      </c>
      <c r="T256" s="194">
        <f t="shared" si="23"/>
        <v>2.3957999999999999</v>
      </c>
    </row>
    <row r="257" spans="1:20" outlineLevel="1" x14ac:dyDescent="0.15">
      <c r="A257" s="8" t="s">
        <v>628</v>
      </c>
      <c r="B257" s="8" t="s">
        <v>47</v>
      </c>
      <c r="C257" s="8" t="s">
        <v>290</v>
      </c>
      <c r="D257" s="8" t="s">
        <v>838</v>
      </c>
      <c r="E257" s="9">
        <v>10.27</v>
      </c>
      <c r="F257" s="8" t="s">
        <v>469</v>
      </c>
      <c r="G257" s="143">
        <f t="array" ref="G257">INDEX('[23]SENSUS MEI'!$G$9:$G$453,MATCH(1,('[23]SENSUS MEI'!$D$9:$D$453=$D257)*('[23]SENSUS MEI'!$D$9:$D$453=$D257),0))</f>
        <v>1412</v>
      </c>
      <c r="H257" s="11">
        <f t="array" ref="H257">INDEX('[23]SENSUS MEI'!$J$9:$J$453,MATCH(1,('[23]SENSUS MEI'!$D$9:$D$453=$D257)*('[23]SENSUS MEI'!$D$9:$D$453=$D257),0))</f>
        <v>46153</v>
      </c>
      <c r="I257" s="143">
        <f t="array" ref="I257">INDEX('[23]SENSUS MEI'!$K$9:$K$453,MATCH(1,('[23]SENSUS MEI'!$D$9:$D$453=$D257)*('[23]SENSUS MEI'!$D$9:$D$453=$D257),0))</f>
        <v>153</v>
      </c>
      <c r="J257" s="9">
        <f t="array" ref="J257">IFERROR(I257/G257*100,0)</f>
        <v>10.835694050991501</v>
      </c>
      <c r="K257" s="143">
        <f t="array" ref="K257">INDEX('[23]SENSUS MEI'!$M$9:$M$453,MATCH(1,('[23]SENSUS MEI'!$D$9:$D$453=$D257)*('[23]SENSUS MEI'!$D$9:$D$453=$D257),0))+INDEX('[23]SENSUS MEI'!$O$9:$O$453,MATCH(1,('[23]SENSUS MEI'!$D$9:$D$453=$D257)*('[23]SENSUS MEI'!$D$9:$D$453=$D257),0))</f>
        <v>10</v>
      </c>
      <c r="L257" s="9">
        <f t="shared" si="24"/>
        <v>6.5359477124183014</v>
      </c>
      <c r="M257" s="8" t="str">
        <f t="shared" si="19"/>
        <v>Perlu Pengendalian</v>
      </c>
      <c r="P257" s="194">
        <f t="shared" si="20"/>
        <v>6.3540000000000001</v>
      </c>
      <c r="Q257" s="194">
        <f t="array" ref="Q257">$P257*0.8</f>
        <v>5.0832000000000006</v>
      </c>
      <c r="R257" s="194">
        <f t="shared" si="21"/>
        <v>3.8123999999999998</v>
      </c>
      <c r="S257" s="194">
        <f t="shared" si="22"/>
        <v>2.5416000000000003</v>
      </c>
      <c r="T257" s="194">
        <f t="shared" si="23"/>
        <v>1.2708000000000002</v>
      </c>
    </row>
    <row r="258" spans="1:20" outlineLevel="1" x14ac:dyDescent="0.15">
      <c r="A258" s="8" t="s">
        <v>628</v>
      </c>
      <c r="B258" s="8" t="s">
        <v>47</v>
      </c>
      <c r="C258" s="8" t="s">
        <v>290</v>
      </c>
      <c r="D258" s="8" t="s">
        <v>839</v>
      </c>
      <c r="E258" s="9">
        <v>9.2200000000000006</v>
      </c>
      <c r="F258" s="8" t="s">
        <v>469</v>
      </c>
      <c r="G258" s="143">
        <f t="array" ref="G258">INDEX('[23]SENSUS MEI'!$G$9:$G$453,MATCH(1,('[23]SENSUS MEI'!$D$9:$D$453=$D258)*('[23]SENSUS MEI'!$D$9:$D$453=$D258),0))</f>
        <v>1110</v>
      </c>
      <c r="H258" s="11">
        <f t="array" ref="H258">INDEX('[23]SENSUS MEI'!$J$9:$J$453,MATCH(1,('[23]SENSUS MEI'!$D$9:$D$453=$D258)*('[23]SENSUS MEI'!$D$9:$D$453=$D258),0))</f>
        <v>46153</v>
      </c>
      <c r="I258" s="143">
        <f t="array" ref="I258">INDEX('[23]SENSUS MEI'!$K$9:$K$453,MATCH(1,('[23]SENSUS MEI'!$D$9:$D$453=$D258)*('[23]SENSUS MEI'!$D$9:$D$453=$D258),0))</f>
        <v>129</v>
      </c>
      <c r="J258" s="9">
        <f t="array" ref="J258">IFERROR(I258/G258*100,0)</f>
        <v>11.621621621621623</v>
      </c>
      <c r="K258" s="143">
        <f t="array" ref="K258">INDEX('[23]SENSUS MEI'!$M$9:$M$453,MATCH(1,('[23]SENSUS MEI'!$D$9:$D$453=$D258)*('[23]SENSUS MEI'!$D$9:$D$453=$D258),0))+INDEX('[23]SENSUS MEI'!$O$9:$O$453,MATCH(1,('[23]SENSUS MEI'!$D$9:$D$453=$D258)*('[23]SENSUS MEI'!$D$9:$D$453=$D258),0))</f>
        <v>29</v>
      </c>
      <c r="L258" s="9">
        <f t="shared" si="24"/>
        <v>22.480620155038761</v>
      </c>
      <c r="M258" s="8" t="str">
        <f t="shared" si="19"/>
        <v>Perlu Pengendalian</v>
      </c>
      <c r="P258" s="194">
        <f t="shared" si="20"/>
        <v>4.9950000000000001</v>
      </c>
      <c r="Q258" s="194">
        <f t="array" ref="Q258">$P258*0.8</f>
        <v>3.9960000000000004</v>
      </c>
      <c r="R258" s="194">
        <f t="shared" si="21"/>
        <v>2.9969999999999999</v>
      </c>
      <c r="S258" s="194">
        <f t="shared" si="22"/>
        <v>1.9980000000000002</v>
      </c>
      <c r="T258" s="194">
        <f t="shared" si="23"/>
        <v>0.99900000000000011</v>
      </c>
    </row>
    <row r="259" spans="1:20" outlineLevel="1" x14ac:dyDescent="0.15">
      <c r="A259" s="8" t="s">
        <v>628</v>
      </c>
      <c r="B259" s="8" t="s">
        <v>47</v>
      </c>
      <c r="C259" s="8" t="s">
        <v>290</v>
      </c>
      <c r="D259" s="8" t="s">
        <v>840</v>
      </c>
      <c r="E259" s="9">
        <v>31.7</v>
      </c>
      <c r="F259" s="8" t="s">
        <v>16</v>
      </c>
      <c r="G259" s="143">
        <f t="array" ref="G259">INDEX('[23]SENSUS MEI'!$G$9:$G$453,MATCH(1,('[23]SENSUS MEI'!$D$9:$D$453=$D259)*('[23]SENSUS MEI'!$D$9:$D$453=$D259),0))</f>
        <v>4575</v>
      </c>
      <c r="H259" s="11">
        <f t="array" ref="H259">INDEX('[23]SENSUS MEI'!$J$9:$J$453,MATCH(1,('[23]SENSUS MEI'!$D$9:$D$453=$D259)*('[23]SENSUS MEI'!$D$9:$D$453=$D259),0))</f>
        <v>46153</v>
      </c>
      <c r="I259" s="143">
        <f t="array" ref="I259">INDEX('[23]SENSUS MEI'!$K$9:$K$453,MATCH(1,('[23]SENSUS MEI'!$D$9:$D$453=$D259)*('[23]SENSUS MEI'!$D$9:$D$453=$D259),0))</f>
        <v>431</v>
      </c>
      <c r="J259" s="9">
        <f t="array" ref="J259">IFERROR(I259/G259*100,0)</f>
        <v>9.4207650273224051</v>
      </c>
      <c r="K259" s="143">
        <f t="array" ref="K259">INDEX('[23]SENSUS MEI'!$M$9:$M$453,MATCH(1,('[23]SENSUS MEI'!$D$9:$D$453=$D259)*('[23]SENSUS MEI'!$D$9:$D$453=$D259),0))+INDEX('[23]SENSUS MEI'!$O$9:$O$453,MATCH(1,('[23]SENSUS MEI'!$D$9:$D$453=$D259)*('[23]SENSUS MEI'!$D$9:$D$453=$D259),0))</f>
        <v>97</v>
      </c>
      <c r="L259" s="9">
        <f t="shared" si="24"/>
        <v>22.505800464037122</v>
      </c>
      <c r="M259" s="8" t="str">
        <f t="shared" si="19"/>
        <v>Perlu Pengendalian</v>
      </c>
      <c r="P259" s="194">
        <f t="shared" si="20"/>
        <v>20.587499999999999</v>
      </c>
      <c r="Q259" s="194">
        <f t="array" ref="Q259">$P259*0.8</f>
        <v>16.47</v>
      </c>
      <c r="R259" s="194">
        <f t="shared" si="21"/>
        <v>12.352499999999999</v>
      </c>
      <c r="S259" s="194">
        <f t="shared" si="22"/>
        <v>8.2349999999999994</v>
      </c>
      <c r="T259" s="194">
        <f t="shared" si="23"/>
        <v>4.1174999999999997</v>
      </c>
    </row>
    <row r="260" spans="1:20" outlineLevel="1" x14ac:dyDescent="0.15">
      <c r="A260" s="8" t="s">
        <v>628</v>
      </c>
      <c r="B260" s="8" t="s">
        <v>47</v>
      </c>
      <c r="C260" s="8" t="s">
        <v>290</v>
      </c>
      <c r="D260" s="8" t="s">
        <v>841</v>
      </c>
      <c r="E260" s="9">
        <v>20.65</v>
      </c>
      <c r="F260" s="8" t="s">
        <v>469</v>
      </c>
      <c r="G260" s="143">
        <f t="array" ref="G260">INDEX('[23]SENSUS MEI'!$G$9:$G$453,MATCH(1,('[23]SENSUS MEI'!$D$9:$D$453=$D260)*('[23]SENSUS MEI'!$D$9:$D$453=$D260),0))</f>
        <v>2782</v>
      </c>
      <c r="H260" s="11">
        <f t="array" ref="H260">INDEX('[23]SENSUS MEI'!$J$9:$J$453,MATCH(1,('[23]SENSUS MEI'!$D$9:$D$453=$D260)*('[23]SENSUS MEI'!$D$9:$D$453=$D260),0))</f>
        <v>46153</v>
      </c>
      <c r="I260" s="143">
        <f t="array" ref="I260">INDEX('[23]SENSUS MEI'!$K$9:$K$453,MATCH(1,('[23]SENSUS MEI'!$D$9:$D$453=$D260)*('[23]SENSUS MEI'!$D$9:$D$453=$D260),0))</f>
        <v>277</v>
      </c>
      <c r="J260" s="9">
        <f t="array" ref="J260">IFERROR(I260/G260*100,0)</f>
        <v>9.9568655643422002</v>
      </c>
      <c r="K260" s="143">
        <f t="array" ref="K260">INDEX('[23]SENSUS MEI'!$M$9:$M$453,MATCH(1,('[23]SENSUS MEI'!$D$9:$D$453=$D260)*('[23]SENSUS MEI'!$D$9:$D$453=$D260),0))+INDEX('[23]SENSUS MEI'!$O$9:$O$453,MATCH(1,('[23]SENSUS MEI'!$D$9:$D$453=$D260)*('[23]SENSUS MEI'!$D$9:$D$453=$D260),0))</f>
        <v>57</v>
      </c>
      <c r="L260" s="9">
        <f t="shared" si="24"/>
        <v>20.577617328519857</v>
      </c>
      <c r="M260" s="8" t="str">
        <f t="shared" si="19"/>
        <v>Perlu Pengendalian</v>
      </c>
      <c r="P260" s="194">
        <f t="shared" si="20"/>
        <v>12.519</v>
      </c>
      <c r="Q260" s="194">
        <f t="array" ref="Q260">$P260*0.8</f>
        <v>10.0152</v>
      </c>
      <c r="R260" s="194">
        <f t="shared" si="21"/>
        <v>7.5114000000000001</v>
      </c>
      <c r="S260" s="194">
        <f t="shared" si="22"/>
        <v>5.0076000000000001</v>
      </c>
      <c r="T260" s="194">
        <f t="shared" si="23"/>
        <v>2.5038</v>
      </c>
    </row>
    <row r="261" spans="1:20" outlineLevel="1" x14ac:dyDescent="0.15">
      <c r="A261" s="8" t="s">
        <v>628</v>
      </c>
      <c r="B261" s="8" t="s">
        <v>47</v>
      </c>
      <c r="C261" s="8" t="s">
        <v>290</v>
      </c>
      <c r="D261" s="8" t="s">
        <v>842</v>
      </c>
      <c r="E261" s="9">
        <v>24.16</v>
      </c>
      <c r="F261" s="8" t="s">
        <v>16</v>
      </c>
      <c r="G261" s="143">
        <f t="array" ref="G261">INDEX('[23]SENSUS MEI'!$G$9:$G$453,MATCH(1,('[23]SENSUS MEI'!$D$9:$D$453=$D261)*('[23]SENSUS MEI'!$D$9:$D$453=$D261),0))</f>
        <v>3132</v>
      </c>
      <c r="H261" s="11">
        <f t="array" ref="H261">INDEX('[23]SENSUS MEI'!$J$9:$J$453,MATCH(1,('[23]SENSUS MEI'!$D$9:$D$453=$D261)*('[23]SENSUS MEI'!$D$9:$D$453=$D261),0))</f>
        <v>46154</v>
      </c>
      <c r="I261" s="143">
        <f t="array" ref="I261">INDEX('[23]SENSUS MEI'!$K$9:$K$453,MATCH(1,('[23]SENSUS MEI'!$D$9:$D$453=$D261)*('[23]SENSUS MEI'!$D$9:$D$453=$D261),0))</f>
        <v>203</v>
      </c>
      <c r="J261" s="9">
        <f t="array" ref="J261">IFERROR(I261/G261*100,0)</f>
        <v>6.481481481481481</v>
      </c>
      <c r="K261" s="143">
        <f t="array" ref="K261">INDEX('[23]SENSUS MEI'!$M$9:$M$453,MATCH(1,('[23]SENSUS MEI'!$D$9:$D$453=$D261)*('[23]SENSUS MEI'!$D$9:$D$453=$D261),0))+INDEX('[23]SENSUS MEI'!$O$9:$O$453,MATCH(1,('[23]SENSUS MEI'!$D$9:$D$453=$D261)*('[23]SENSUS MEI'!$D$9:$D$453=$D261),0))</f>
        <v>30</v>
      </c>
      <c r="L261" s="9">
        <f t="shared" si="24"/>
        <v>14.77832512315271</v>
      </c>
      <c r="M261" s="8" t="str">
        <f t="shared" si="19"/>
        <v>Perlu Pengendalian</v>
      </c>
      <c r="P261" s="194">
        <f t="shared" si="20"/>
        <v>14.093999999999999</v>
      </c>
      <c r="Q261" s="194">
        <f t="array" ref="Q261">$P261*0.8</f>
        <v>11.2752</v>
      </c>
      <c r="R261" s="194">
        <f t="shared" si="21"/>
        <v>8.4563999999999986</v>
      </c>
      <c r="S261" s="194">
        <f t="shared" si="22"/>
        <v>5.6375999999999999</v>
      </c>
      <c r="T261" s="194">
        <f t="shared" si="23"/>
        <v>2.8188</v>
      </c>
    </row>
    <row r="262" spans="1:20" outlineLevel="1" x14ac:dyDescent="0.15">
      <c r="A262" s="8" t="s">
        <v>628</v>
      </c>
      <c r="B262" s="8" t="s">
        <v>47</v>
      </c>
      <c r="C262" s="8" t="s">
        <v>290</v>
      </c>
      <c r="D262" s="8" t="s">
        <v>843</v>
      </c>
      <c r="E262" s="9">
        <v>17.760000000000002</v>
      </c>
      <c r="F262" s="8" t="s">
        <v>16</v>
      </c>
      <c r="G262" s="143">
        <f t="array" ref="G262">INDEX('[23]SENSUS MEI'!$G$9:$G$453,MATCH(1,('[23]SENSUS MEI'!$D$9:$D$453=$D262)*('[23]SENSUS MEI'!$D$9:$D$453=$D262),0))</f>
        <v>2570</v>
      </c>
      <c r="H262" s="11">
        <f t="array" ref="H262">INDEX('[23]SENSUS MEI'!$J$9:$J$453,MATCH(1,('[23]SENSUS MEI'!$D$9:$D$453=$D262)*('[23]SENSUS MEI'!$D$9:$D$453=$D262),0))</f>
        <v>46154</v>
      </c>
      <c r="I262" s="143">
        <f t="array" ref="I262">INDEX('[23]SENSUS MEI'!$K$9:$K$453,MATCH(1,('[23]SENSUS MEI'!$D$9:$D$453=$D262)*('[23]SENSUS MEI'!$D$9:$D$453=$D262),0))</f>
        <v>270</v>
      </c>
      <c r="J262" s="9">
        <f t="array" ref="J262">IFERROR(I262/G262*100,0)</f>
        <v>10.505836575875486</v>
      </c>
      <c r="K262" s="143">
        <f t="array" ref="K262">INDEX('[23]SENSUS MEI'!$M$9:$M$453,MATCH(1,('[23]SENSUS MEI'!$D$9:$D$453=$D262)*('[23]SENSUS MEI'!$D$9:$D$453=$D262),0))+INDEX('[23]SENSUS MEI'!$O$9:$O$453,MATCH(1,('[23]SENSUS MEI'!$D$9:$D$453=$D262)*('[23]SENSUS MEI'!$D$9:$D$453=$D262),0))</f>
        <v>70</v>
      </c>
      <c r="L262" s="9">
        <f t="shared" si="24"/>
        <v>25.925925925925924</v>
      </c>
      <c r="M262" s="8" t="str">
        <f t="shared" si="19"/>
        <v>Perlu Pengendalian</v>
      </c>
      <c r="P262" s="194">
        <f t="shared" si="20"/>
        <v>11.565</v>
      </c>
      <c r="Q262" s="194">
        <f t="array" ref="Q262">$P262*0.8</f>
        <v>9.2520000000000007</v>
      </c>
      <c r="R262" s="194">
        <f t="shared" si="21"/>
        <v>6.9389999999999992</v>
      </c>
      <c r="S262" s="194">
        <f t="shared" si="22"/>
        <v>4.6260000000000003</v>
      </c>
      <c r="T262" s="194">
        <f t="shared" si="23"/>
        <v>2.3130000000000002</v>
      </c>
    </row>
    <row r="263" spans="1:20" outlineLevel="1" x14ac:dyDescent="0.15">
      <c r="A263" s="8" t="s">
        <v>628</v>
      </c>
      <c r="B263" s="8" t="s">
        <v>47</v>
      </c>
      <c r="C263" s="8" t="s">
        <v>290</v>
      </c>
      <c r="D263" s="8" t="s">
        <v>844</v>
      </c>
      <c r="E263" s="9">
        <v>18.13</v>
      </c>
      <c r="F263" s="8" t="s">
        <v>16</v>
      </c>
      <c r="G263" s="143">
        <f t="array" ref="G263">INDEX('[23]SENSUS MEI'!$G$9:$G$453,MATCH(1,('[23]SENSUS MEI'!$D$9:$D$453=$D263)*('[23]SENSUS MEI'!$D$9:$D$453=$D263),0))</f>
        <v>2548</v>
      </c>
      <c r="H263" s="11">
        <f t="array" ref="H263">INDEX('[23]SENSUS MEI'!$J$9:$J$453,MATCH(1,('[23]SENSUS MEI'!$D$9:$D$453=$D263)*('[23]SENSUS MEI'!$D$9:$D$453=$D263),0))</f>
        <v>46154</v>
      </c>
      <c r="I263" s="143">
        <f t="array" ref="I263">INDEX('[23]SENSUS MEI'!$K$9:$K$453,MATCH(1,('[23]SENSUS MEI'!$D$9:$D$453=$D263)*('[23]SENSUS MEI'!$D$9:$D$453=$D263),0))</f>
        <v>259</v>
      </c>
      <c r="J263" s="9">
        <f t="array" ref="J263">IFERROR(I263/G263*100,0)</f>
        <v>10.164835164835164</v>
      </c>
      <c r="K263" s="143">
        <f t="array" ref="K263">INDEX('[23]SENSUS MEI'!$M$9:$M$453,MATCH(1,('[23]SENSUS MEI'!$D$9:$D$453=$D263)*('[23]SENSUS MEI'!$D$9:$D$453=$D263),0))+INDEX('[23]SENSUS MEI'!$O$9:$O$453,MATCH(1,('[23]SENSUS MEI'!$D$9:$D$453=$D263)*('[23]SENSUS MEI'!$D$9:$D$453=$D263),0))</f>
        <v>74</v>
      </c>
      <c r="L263" s="9">
        <f t="shared" si="24"/>
        <v>28.571428571428569</v>
      </c>
      <c r="M263" s="8" t="str">
        <f t="shared" ref="M263:M326" si="25">IF(L263&gt;2,"Perlu Pengendalian",IF(L263&gt;0,"Tidak Perlu Pengendalian","Belum Sensus"))</f>
        <v>Perlu Pengendalian</v>
      </c>
      <c r="P263" s="194">
        <f t="shared" ref="P263:P326" si="26">G263*4.5/1000</f>
        <v>11.465999999999999</v>
      </c>
      <c r="Q263" s="194">
        <f t="array" ref="Q263">$P263*0.8</f>
        <v>9.1728000000000005</v>
      </c>
      <c r="R263" s="194">
        <f t="shared" ref="R263:R326" si="27">$P263*0.6</f>
        <v>6.879599999999999</v>
      </c>
      <c r="S263" s="194">
        <f t="shared" ref="S263:S326" si="28">$P263*0.4</f>
        <v>4.5864000000000003</v>
      </c>
      <c r="T263" s="194">
        <f t="shared" ref="T263:T326" si="29">$P263*0.2</f>
        <v>2.2932000000000001</v>
      </c>
    </row>
    <row r="264" spans="1:20" outlineLevel="1" x14ac:dyDescent="0.15">
      <c r="A264" s="8" t="s">
        <v>628</v>
      </c>
      <c r="B264" s="8" t="s">
        <v>47</v>
      </c>
      <c r="C264" s="8" t="s">
        <v>290</v>
      </c>
      <c r="D264" s="8" t="s">
        <v>845</v>
      </c>
      <c r="E264" s="9">
        <v>17.79</v>
      </c>
      <c r="F264" s="8" t="s">
        <v>16</v>
      </c>
      <c r="G264" s="143">
        <f t="array" ref="G264">INDEX('[23]SENSUS MEI'!$G$9:$G$453,MATCH(1,('[23]SENSUS MEI'!$D$9:$D$453=$D264)*('[23]SENSUS MEI'!$D$9:$D$453=$D264),0))</f>
        <v>2530</v>
      </c>
      <c r="H264" s="11">
        <f t="array" ref="H264">INDEX('[23]SENSUS MEI'!$J$9:$J$453,MATCH(1,('[23]SENSUS MEI'!$D$9:$D$453=$D264)*('[23]SENSUS MEI'!$D$9:$D$453=$D264),0))</f>
        <v>46154</v>
      </c>
      <c r="I264" s="143">
        <f t="array" ref="I264">INDEX('[23]SENSUS MEI'!$K$9:$K$453,MATCH(1,('[23]SENSUS MEI'!$D$9:$D$453=$D264)*('[23]SENSUS MEI'!$D$9:$D$453=$D264),0))</f>
        <v>221</v>
      </c>
      <c r="J264" s="9">
        <f t="array" ref="J264">IFERROR(I264/G264*100,0)</f>
        <v>8.7351778656126484</v>
      </c>
      <c r="K264" s="143">
        <f t="array" ref="K264">INDEX('[23]SENSUS MEI'!$M$9:$M$453,MATCH(1,('[23]SENSUS MEI'!$D$9:$D$453=$D264)*('[23]SENSUS MEI'!$D$9:$D$453=$D264),0))+INDEX('[23]SENSUS MEI'!$O$9:$O$453,MATCH(1,('[23]SENSUS MEI'!$D$9:$D$453=$D264)*('[23]SENSUS MEI'!$D$9:$D$453=$D264),0))</f>
        <v>67</v>
      </c>
      <c r="L264" s="9">
        <f t="shared" si="24"/>
        <v>30.316742081447963</v>
      </c>
      <c r="M264" s="8" t="str">
        <f t="shared" si="25"/>
        <v>Perlu Pengendalian</v>
      </c>
      <c r="P264" s="194">
        <f t="shared" si="26"/>
        <v>11.385</v>
      </c>
      <c r="Q264" s="194">
        <f t="array" ref="Q264">$P264*0.8</f>
        <v>9.1080000000000005</v>
      </c>
      <c r="R264" s="194">
        <f t="shared" si="27"/>
        <v>6.8309999999999995</v>
      </c>
      <c r="S264" s="194">
        <f t="shared" si="28"/>
        <v>4.5540000000000003</v>
      </c>
      <c r="T264" s="194">
        <f t="shared" si="29"/>
        <v>2.2770000000000001</v>
      </c>
    </row>
    <row r="265" spans="1:20" outlineLevel="1" x14ac:dyDescent="0.15">
      <c r="A265" s="8" t="s">
        <v>628</v>
      </c>
      <c r="B265" s="8" t="s">
        <v>47</v>
      </c>
      <c r="C265" s="8" t="s">
        <v>290</v>
      </c>
      <c r="D265" s="8" t="s">
        <v>846</v>
      </c>
      <c r="E265" s="9">
        <v>34.93</v>
      </c>
      <c r="F265" s="8" t="s">
        <v>16</v>
      </c>
      <c r="G265" s="143">
        <f t="array" ref="G265">INDEX('[23]SENSUS MEI'!$G$9:$G$453,MATCH(1,('[23]SENSUS MEI'!$D$9:$D$453=$D265)*('[23]SENSUS MEI'!$D$9:$D$453=$D265),0))</f>
        <v>5040</v>
      </c>
      <c r="H265" s="11">
        <f t="array" ref="H265">INDEX('[23]SENSUS MEI'!$J$9:$J$453,MATCH(1,('[23]SENSUS MEI'!$D$9:$D$453=$D265)*('[23]SENSUS MEI'!$D$9:$D$453=$D265),0))</f>
        <v>46154</v>
      </c>
      <c r="I265" s="143">
        <f t="array" ref="I265">INDEX('[23]SENSUS MEI'!$K$9:$K$453,MATCH(1,('[23]SENSUS MEI'!$D$9:$D$453=$D265)*('[23]SENSUS MEI'!$D$9:$D$453=$D265),0))</f>
        <v>426</v>
      </c>
      <c r="J265" s="9">
        <f t="array" ref="J265">IFERROR(I265/G265*100,0)</f>
        <v>8.4523809523809526</v>
      </c>
      <c r="K265" s="143">
        <f t="array" ref="K265">INDEX('[23]SENSUS MEI'!$M$9:$M$453,MATCH(1,('[23]SENSUS MEI'!$D$9:$D$453=$D265)*('[23]SENSUS MEI'!$D$9:$D$453=$D265),0))+INDEX('[23]SENSUS MEI'!$O$9:$O$453,MATCH(1,('[23]SENSUS MEI'!$D$9:$D$453=$D265)*('[23]SENSUS MEI'!$D$9:$D$453=$D265),0))</f>
        <v>165</v>
      </c>
      <c r="L265" s="9">
        <f t="shared" si="24"/>
        <v>38.732394366197184</v>
      </c>
      <c r="M265" s="8" t="str">
        <f t="shared" si="25"/>
        <v>Perlu Pengendalian</v>
      </c>
      <c r="P265" s="194">
        <f t="shared" si="26"/>
        <v>22.68</v>
      </c>
      <c r="Q265" s="194">
        <f t="array" ref="Q265">$P265*0.8</f>
        <v>18.144000000000002</v>
      </c>
      <c r="R265" s="194">
        <f t="shared" si="27"/>
        <v>13.607999999999999</v>
      </c>
      <c r="S265" s="194">
        <f t="shared" si="28"/>
        <v>9.072000000000001</v>
      </c>
      <c r="T265" s="194">
        <f t="shared" si="29"/>
        <v>4.5360000000000005</v>
      </c>
    </row>
    <row r="266" spans="1:20" outlineLevel="1" x14ac:dyDescent="0.15">
      <c r="A266" s="8" t="s">
        <v>628</v>
      </c>
      <c r="B266" s="8" t="s">
        <v>47</v>
      </c>
      <c r="C266" s="8" t="s">
        <v>290</v>
      </c>
      <c r="D266" s="8" t="s">
        <v>847</v>
      </c>
      <c r="E266" s="9">
        <v>29.3</v>
      </c>
      <c r="F266" s="8" t="s">
        <v>132</v>
      </c>
      <c r="G266" s="143">
        <f t="array" ref="G266">INDEX('[23]SENSUS MEI'!$G$9:$G$453,MATCH(1,('[23]SENSUS MEI'!$D$9:$D$453=$D266)*('[23]SENSUS MEI'!$D$9:$D$453=$D266),0))</f>
        <v>4162</v>
      </c>
      <c r="H266" s="11">
        <f t="array" ref="H266">INDEX('[23]SENSUS MEI'!$J$9:$J$453,MATCH(1,('[23]SENSUS MEI'!$D$9:$D$453=$D266)*('[23]SENSUS MEI'!$D$9:$D$453=$D266),0))</f>
        <v>46154</v>
      </c>
      <c r="I266" s="143">
        <f t="array" ref="I266">INDEX('[23]SENSUS MEI'!$K$9:$K$453,MATCH(1,('[23]SENSUS MEI'!$D$9:$D$453=$D266)*('[23]SENSUS MEI'!$D$9:$D$453=$D266),0))</f>
        <v>445</v>
      </c>
      <c r="J266" s="9">
        <f t="array" ref="J266">IFERROR(I266/G266*100,0)</f>
        <v>10.691975012013454</v>
      </c>
      <c r="K266" s="143">
        <f t="array" ref="K266">INDEX('[23]SENSUS MEI'!$M$9:$M$453,MATCH(1,('[23]SENSUS MEI'!$D$9:$D$453=$D266)*('[23]SENSUS MEI'!$D$9:$D$453=$D266),0))+INDEX('[23]SENSUS MEI'!$O$9:$O$453,MATCH(1,('[23]SENSUS MEI'!$D$9:$D$453=$D266)*('[23]SENSUS MEI'!$D$9:$D$453=$D266),0))</f>
        <v>65</v>
      </c>
      <c r="L266" s="9">
        <f t="shared" si="24"/>
        <v>14.606741573033707</v>
      </c>
      <c r="M266" s="8" t="str">
        <f t="shared" si="25"/>
        <v>Perlu Pengendalian</v>
      </c>
      <c r="P266" s="194">
        <f t="shared" si="26"/>
        <v>18.728999999999999</v>
      </c>
      <c r="Q266" s="194">
        <f t="array" ref="Q266">$P266*0.8</f>
        <v>14.9832</v>
      </c>
      <c r="R266" s="194">
        <f t="shared" si="27"/>
        <v>11.237399999999999</v>
      </c>
      <c r="S266" s="194">
        <f t="shared" si="28"/>
        <v>7.4916</v>
      </c>
      <c r="T266" s="194">
        <f t="shared" si="29"/>
        <v>3.7458</v>
      </c>
    </row>
    <row r="267" spans="1:20" outlineLevel="1" x14ac:dyDescent="0.15">
      <c r="A267" s="8" t="s">
        <v>628</v>
      </c>
      <c r="B267" s="8" t="s">
        <v>47</v>
      </c>
      <c r="C267" s="8" t="s">
        <v>290</v>
      </c>
      <c r="D267" s="8" t="s">
        <v>848</v>
      </c>
      <c r="E267" s="9">
        <v>39.17</v>
      </c>
      <c r="F267" s="8" t="s">
        <v>132</v>
      </c>
      <c r="G267" s="143">
        <f t="array" ref="G267">INDEX('[23]SENSUS MEI'!$G$9:$G$453,MATCH(1,('[23]SENSUS MEI'!$D$9:$D$453=$D267)*('[23]SENSUS MEI'!$D$9:$D$453=$D267),0))</f>
        <v>5200</v>
      </c>
      <c r="H267" s="11">
        <f t="array" ref="H267">INDEX('[23]SENSUS MEI'!$J$9:$J$453,MATCH(1,('[23]SENSUS MEI'!$D$9:$D$453=$D267)*('[23]SENSUS MEI'!$D$9:$D$453=$D267),0))</f>
        <v>46154</v>
      </c>
      <c r="I267" s="143">
        <f t="array" ref="I267">INDEX('[23]SENSUS MEI'!$K$9:$K$453,MATCH(1,('[23]SENSUS MEI'!$D$9:$D$453=$D267)*('[23]SENSUS MEI'!$D$9:$D$453=$D267),0))</f>
        <v>114</v>
      </c>
      <c r="J267" s="9">
        <f t="array" ref="J267">IFERROR(I267/G267*100,0)</f>
        <v>2.1923076923076925</v>
      </c>
      <c r="K267" s="143">
        <f t="array" ref="K267">INDEX('[23]SENSUS MEI'!$M$9:$M$453,MATCH(1,('[23]SENSUS MEI'!$D$9:$D$453=$D267)*('[23]SENSUS MEI'!$D$9:$D$453=$D267),0))+INDEX('[23]SENSUS MEI'!$O$9:$O$453,MATCH(1,('[23]SENSUS MEI'!$D$9:$D$453=$D267)*('[23]SENSUS MEI'!$D$9:$D$453=$D267),0))</f>
        <v>28</v>
      </c>
      <c r="L267" s="9">
        <f t="shared" si="24"/>
        <v>24.561403508771928</v>
      </c>
      <c r="M267" s="8" t="str">
        <f t="shared" si="25"/>
        <v>Perlu Pengendalian</v>
      </c>
      <c r="P267" s="194">
        <f t="shared" si="26"/>
        <v>23.4</v>
      </c>
      <c r="Q267" s="194">
        <f t="array" ref="Q267">$P267*0.8</f>
        <v>18.72</v>
      </c>
      <c r="R267" s="194">
        <f t="shared" si="27"/>
        <v>14.04</v>
      </c>
      <c r="S267" s="194">
        <f t="shared" si="28"/>
        <v>9.36</v>
      </c>
      <c r="T267" s="194">
        <f t="shared" si="29"/>
        <v>4.68</v>
      </c>
    </row>
    <row r="268" spans="1:20" outlineLevel="1" x14ac:dyDescent="0.15">
      <c r="A268" s="8" t="s">
        <v>628</v>
      </c>
      <c r="B268" s="8" t="s">
        <v>47</v>
      </c>
      <c r="C268" s="8" t="s">
        <v>290</v>
      </c>
      <c r="D268" s="8" t="s">
        <v>849</v>
      </c>
      <c r="E268" s="9">
        <v>34.549999999999997</v>
      </c>
      <c r="F268" s="8" t="s">
        <v>132</v>
      </c>
      <c r="G268" s="143">
        <f t="array" ref="G268">INDEX('[23]SENSUS MEI'!$G$9:$G$453,MATCH(1,('[23]SENSUS MEI'!$D$9:$D$453=$D268)*('[23]SENSUS MEI'!$D$9:$D$453=$D268),0))</f>
        <v>4965</v>
      </c>
      <c r="H268" s="11">
        <f t="array" ref="H268">INDEX('[23]SENSUS MEI'!$J$9:$J$453,MATCH(1,('[23]SENSUS MEI'!$D$9:$D$453=$D268)*('[23]SENSUS MEI'!$D$9:$D$453=$D268),0))</f>
        <v>46154</v>
      </c>
      <c r="I268" s="143">
        <f t="array" ref="I268">INDEX('[23]SENSUS MEI'!$K$9:$K$453,MATCH(1,('[23]SENSUS MEI'!$D$9:$D$453=$D268)*('[23]SENSUS MEI'!$D$9:$D$453=$D268),0))</f>
        <v>512</v>
      </c>
      <c r="J268" s="9">
        <f t="array" ref="J268">IFERROR(I268/G268*100,0)</f>
        <v>10.312185297079557</v>
      </c>
      <c r="K268" s="143">
        <f t="array" ref="K268">INDEX('[23]SENSUS MEI'!$M$9:$M$453,MATCH(1,('[23]SENSUS MEI'!$D$9:$D$453=$D268)*('[23]SENSUS MEI'!$D$9:$D$453=$D268),0))+INDEX('[23]SENSUS MEI'!$O$9:$O$453,MATCH(1,('[23]SENSUS MEI'!$D$9:$D$453=$D268)*('[23]SENSUS MEI'!$D$9:$D$453=$D268),0))</f>
        <v>204</v>
      </c>
      <c r="L268" s="9">
        <f t="shared" si="24"/>
        <v>39.84375</v>
      </c>
      <c r="M268" s="8" t="str">
        <f t="shared" si="25"/>
        <v>Perlu Pengendalian</v>
      </c>
      <c r="P268" s="194">
        <f t="shared" si="26"/>
        <v>22.342500000000001</v>
      </c>
      <c r="Q268" s="194">
        <f t="array" ref="Q268">$P268*0.8</f>
        <v>17.874000000000002</v>
      </c>
      <c r="R268" s="194">
        <f t="shared" si="27"/>
        <v>13.4055</v>
      </c>
      <c r="S268" s="194">
        <f t="shared" si="28"/>
        <v>8.9370000000000012</v>
      </c>
      <c r="T268" s="194">
        <f t="shared" si="29"/>
        <v>4.4685000000000006</v>
      </c>
    </row>
    <row r="269" spans="1:20" outlineLevel="1" x14ac:dyDescent="0.15">
      <c r="A269" s="8" t="s">
        <v>628</v>
      </c>
      <c r="B269" s="8" t="s">
        <v>47</v>
      </c>
      <c r="C269" s="8" t="s">
        <v>290</v>
      </c>
      <c r="D269" s="8" t="s">
        <v>850</v>
      </c>
      <c r="E269" s="9">
        <v>35.96</v>
      </c>
      <c r="F269" s="8" t="s">
        <v>16</v>
      </c>
      <c r="G269" s="143">
        <f t="array" ref="G269">INDEX('[23]SENSUS MEI'!$G$9:$G$453,MATCH(1,('[23]SENSUS MEI'!$D$9:$D$453=$D269)*('[23]SENSUS MEI'!$D$9:$D$453=$D269),0))</f>
        <v>4891</v>
      </c>
      <c r="H269" s="11">
        <f t="array" ref="H269">INDEX('[23]SENSUS MEI'!$J$9:$J$453,MATCH(1,('[23]SENSUS MEI'!$D$9:$D$453=$D269)*('[23]SENSUS MEI'!$D$9:$D$453=$D269),0))</f>
        <v>46151</v>
      </c>
      <c r="I269" s="143">
        <f t="array" ref="I269">INDEX('[23]SENSUS MEI'!$K$9:$K$453,MATCH(1,('[23]SENSUS MEI'!$D$9:$D$453=$D269)*('[23]SENSUS MEI'!$D$9:$D$453=$D269),0))</f>
        <v>473</v>
      </c>
      <c r="J269" s="9">
        <f t="array" ref="J269">IFERROR(I269/G269*100,0)</f>
        <v>9.6708239623798811</v>
      </c>
      <c r="K269" s="143">
        <f t="array" ref="K269">INDEX('[23]SENSUS MEI'!$M$9:$M$453,MATCH(1,('[23]SENSUS MEI'!$D$9:$D$453=$D269)*('[23]SENSUS MEI'!$D$9:$D$453=$D269),0))+INDEX('[23]SENSUS MEI'!$O$9:$O$453,MATCH(1,('[23]SENSUS MEI'!$D$9:$D$453=$D269)*('[23]SENSUS MEI'!$D$9:$D$453=$D269),0))</f>
        <v>188</v>
      </c>
      <c r="L269" s="9">
        <f t="shared" si="24"/>
        <v>39.746300211416489</v>
      </c>
      <c r="M269" s="8" t="str">
        <f t="shared" si="25"/>
        <v>Perlu Pengendalian</v>
      </c>
      <c r="P269" s="194">
        <f t="shared" si="26"/>
        <v>22.009499999999999</v>
      </c>
      <c r="Q269" s="194">
        <f t="array" ref="Q269">$P269*0.8</f>
        <v>17.607600000000001</v>
      </c>
      <c r="R269" s="194">
        <f t="shared" si="27"/>
        <v>13.205699999999998</v>
      </c>
      <c r="S269" s="194">
        <f t="shared" si="28"/>
        <v>8.8038000000000007</v>
      </c>
      <c r="T269" s="194">
        <f t="shared" si="29"/>
        <v>4.4019000000000004</v>
      </c>
    </row>
    <row r="270" spans="1:20" outlineLevel="1" x14ac:dyDescent="0.15">
      <c r="A270" s="8" t="s">
        <v>628</v>
      </c>
      <c r="B270" s="8" t="s">
        <v>47</v>
      </c>
      <c r="C270" s="8" t="s">
        <v>290</v>
      </c>
      <c r="D270" s="8" t="s">
        <v>851</v>
      </c>
      <c r="E270" s="9">
        <v>26.77</v>
      </c>
      <c r="F270" s="8" t="s">
        <v>16</v>
      </c>
      <c r="G270" s="143">
        <f t="array" ref="G270">INDEX('[23]SENSUS MEI'!$G$9:$G$453,MATCH(1,('[23]SENSUS MEI'!$D$9:$D$453=$D270)*('[23]SENSUS MEI'!$D$9:$D$453=$D270),0))</f>
        <v>3792</v>
      </c>
      <c r="H270" s="11">
        <f t="array" ref="H270">INDEX('[23]SENSUS MEI'!$J$9:$J$453,MATCH(1,('[23]SENSUS MEI'!$D$9:$D$453=$D270)*('[23]SENSUS MEI'!$D$9:$D$453=$D270),0))</f>
        <v>46151</v>
      </c>
      <c r="I270" s="143">
        <f t="array" ref="I270">INDEX('[23]SENSUS MEI'!$K$9:$K$453,MATCH(1,('[23]SENSUS MEI'!$D$9:$D$453=$D270)*('[23]SENSUS MEI'!$D$9:$D$453=$D270),0))</f>
        <v>344</v>
      </c>
      <c r="J270" s="9">
        <f t="array" ref="J270">IFERROR(I270/G270*100,0)</f>
        <v>9.071729957805907</v>
      </c>
      <c r="K270" s="143">
        <f t="array" ref="K270">INDEX('[23]SENSUS MEI'!$M$9:$M$453,MATCH(1,('[23]SENSUS MEI'!$D$9:$D$453=$D270)*('[23]SENSUS MEI'!$D$9:$D$453=$D270),0))+INDEX('[23]SENSUS MEI'!$O$9:$O$453,MATCH(1,('[23]SENSUS MEI'!$D$9:$D$453=$D270)*('[23]SENSUS MEI'!$D$9:$D$453=$D270),0))</f>
        <v>112</v>
      </c>
      <c r="L270" s="9">
        <f t="shared" si="24"/>
        <v>32.558139534883722</v>
      </c>
      <c r="M270" s="8" t="str">
        <f t="shared" si="25"/>
        <v>Perlu Pengendalian</v>
      </c>
      <c r="P270" s="194">
        <f t="shared" si="26"/>
        <v>17.064</v>
      </c>
      <c r="Q270" s="194">
        <f t="array" ref="Q270">$P270*0.8</f>
        <v>13.651200000000001</v>
      </c>
      <c r="R270" s="194">
        <f t="shared" si="27"/>
        <v>10.2384</v>
      </c>
      <c r="S270" s="194">
        <f t="shared" si="28"/>
        <v>6.8256000000000006</v>
      </c>
      <c r="T270" s="194">
        <f t="shared" si="29"/>
        <v>3.4128000000000003</v>
      </c>
    </row>
    <row r="271" spans="1:20" outlineLevel="1" x14ac:dyDescent="0.15">
      <c r="A271" s="8" t="s">
        <v>628</v>
      </c>
      <c r="B271" s="8" t="s">
        <v>47</v>
      </c>
      <c r="C271" s="8" t="s">
        <v>290</v>
      </c>
      <c r="D271" s="8" t="s">
        <v>852</v>
      </c>
      <c r="E271" s="9">
        <v>25.16</v>
      </c>
      <c r="F271" s="8" t="s">
        <v>16</v>
      </c>
      <c r="G271" s="143">
        <f t="array" ref="G271">INDEX('[23]SENSUS MEI'!$G$9:$G$453,MATCH(1,('[23]SENSUS MEI'!$D$9:$D$453=$D271)*('[23]SENSUS MEI'!$D$9:$D$453=$D271),0))</f>
        <v>3370</v>
      </c>
      <c r="H271" s="11">
        <f t="array" ref="H271">INDEX('[23]SENSUS MEI'!$J$9:$J$453,MATCH(1,('[23]SENSUS MEI'!$D$9:$D$453=$D271)*('[23]SENSUS MEI'!$D$9:$D$453=$D271),0))</f>
        <v>46151</v>
      </c>
      <c r="I271" s="143">
        <f t="array" ref="I271">INDEX('[23]SENSUS MEI'!$K$9:$K$453,MATCH(1,('[23]SENSUS MEI'!$D$9:$D$453=$D271)*('[23]SENSUS MEI'!$D$9:$D$453=$D271),0))</f>
        <v>296</v>
      </c>
      <c r="J271" s="9">
        <f t="array" ref="J271">IFERROR(I271/G271*100,0)</f>
        <v>8.7833827893175087</v>
      </c>
      <c r="K271" s="143">
        <f t="array" ref="K271">INDEX('[23]SENSUS MEI'!$M$9:$M$453,MATCH(1,('[23]SENSUS MEI'!$D$9:$D$453=$D271)*('[23]SENSUS MEI'!$D$9:$D$453=$D271),0))+INDEX('[23]SENSUS MEI'!$O$9:$O$453,MATCH(1,('[23]SENSUS MEI'!$D$9:$D$453=$D271)*('[23]SENSUS MEI'!$D$9:$D$453=$D271),0))</f>
        <v>64</v>
      </c>
      <c r="L271" s="9">
        <f t="shared" si="24"/>
        <v>21.621621621621621</v>
      </c>
      <c r="M271" s="8" t="str">
        <f t="shared" si="25"/>
        <v>Perlu Pengendalian</v>
      </c>
      <c r="P271" s="194">
        <f t="shared" si="26"/>
        <v>15.164999999999999</v>
      </c>
      <c r="Q271" s="194">
        <f t="array" ref="Q271">$P271*0.8</f>
        <v>12.132</v>
      </c>
      <c r="R271" s="194">
        <f t="shared" si="27"/>
        <v>9.0989999999999984</v>
      </c>
      <c r="S271" s="194">
        <f t="shared" si="28"/>
        <v>6.0659999999999998</v>
      </c>
      <c r="T271" s="194">
        <f t="shared" si="29"/>
        <v>3.0329999999999999</v>
      </c>
    </row>
    <row r="272" spans="1:20" outlineLevel="1" x14ac:dyDescent="0.15">
      <c r="A272" s="8" t="s">
        <v>628</v>
      </c>
      <c r="B272" s="8" t="s">
        <v>47</v>
      </c>
      <c r="C272" s="8" t="s">
        <v>290</v>
      </c>
      <c r="D272" s="8" t="s">
        <v>853</v>
      </c>
      <c r="E272" s="9">
        <v>39.25</v>
      </c>
      <c r="F272" s="8" t="s">
        <v>469</v>
      </c>
      <c r="G272" s="143">
        <f t="array" ref="G272">INDEX('[23]SENSUS MEI'!$G$9:$G$453,MATCH(1,('[23]SENSUS MEI'!$D$9:$D$453=$D272)*('[23]SENSUS MEI'!$D$9:$D$453=$D272),0))</f>
        <v>5617</v>
      </c>
      <c r="H272" s="11">
        <f t="array" ref="H272">INDEX('[23]SENSUS MEI'!$J$9:$J$453,MATCH(1,('[23]SENSUS MEI'!$D$9:$D$453=$D272)*('[23]SENSUS MEI'!$D$9:$D$453=$D272),0))</f>
        <v>46150</v>
      </c>
      <c r="I272" s="143">
        <f t="array" ref="I272">INDEX('[23]SENSUS MEI'!$K$9:$K$453,MATCH(1,('[23]SENSUS MEI'!$D$9:$D$453=$D272)*('[23]SENSUS MEI'!$D$9:$D$453=$D272),0))</f>
        <v>561</v>
      </c>
      <c r="J272" s="9">
        <f t="array" ref="J272">IFERROR(I272/G272*100,0)</f>
        <v>9.9875378315826957</v>
      </c>
      <c r="K272" s="143">
        <f t="array" ref="K272">INDEX('[23]SENSUS MEI'!$M$9:$M$453,MATCH(1,('[23]SENSUS MEI'!$D$9:$D$453=$D272)*('[23]SENSUS MEI'!$D$9:$D$453=$D272),0))+INDEX('[23]SENSUS MEI'!$O$9:$O$453,MATCH(1,('[23]SENSUS MEI'!$D$9:$D$453=$D272)*('[23]SENSUS MEI'!$D$9:$D$453=$D272),0))</f>
        <v>298</v>
      </c>
      <c r="L272" s="9">
        <f t="shared" si="24"/>
        <v>53.11942959001783</v>
      </c>
      <c r="M272" s="8" t="str">
        <f t="shared" si="25"/>
        <v>Perlu Pengendalian</v>
      </c>
      <c r="P272" s="194">
        <f t="shared" si="26"/>
        <v>25.276499999999999</v>
      </c>
      <c r="Q272" s="194">
        <f t="array" ref="Q272">$P272*0.8</f>
        <v>20.2212</v>
      </c>
      <c r="R272" s="194">
        <f t="shared" si="27"/>
        <v>15.165899999999999</v>
      </c>
      <c r="S272" s="194">
        <f t="shared" si="28"/>
        <v>10.1106</v>
      </c>
      <c r="T272" s="194">
        <f t="shared" si="29"/>
        <v>5.0552999999999999</v>
      </c>
    </row>
    <row r="273" spans="1:20" outlineLevel="1" x14ac:dyDescent="0.15">
      <c r="A273" s="8" t="s">
        <v>628</v>
      </c>
      <c r="B273" s="8" t="s">
        <v>47</v>
      </c>
      <c r="C273" s="8" t="s">
        <v>290</v>
      </c>
      <c r="D273" s="8" t="s">
        <v>854</v>
      </c>
      <c r="E273" s="9">
        <v>38.07</v>
      </c>
      <c r="F273" s="8" t="s">
        <v>469</v>
      </c>
      <c r="G273" s="143">
        <f t="array" ref="G273">INDEX('[23]SENSUS MEI'!$G$9:$G$453,MATCH(1,('[23]SENSUS MEI'!$D$9:$D$453=$D273)*('[23]SENSUS MEI'!$D$9:$D$453=$D273),0))</f>
        <v>5212</v>
      </c>
      <c r="H273" s="11">
        <f t="array" ref="H273">INDEX('[23]SENSUS MEI'!$J$9:$J$453,MATCH(1,('[23]SENSUS MEI'!$D$9:$D$453=$D273)*('[23]SENSUS MEI'!$D$9:$D$453=$D273),0))</f>
        <v>46150</v>
      </c>
      <c r="I273" s="143">
        <f t="array" ref="I273">INDEX('[23]SENSUS MEI'!$K$9:$K$453,MATCH(1,('[23]SENSUS MEI'!$D$9:$D$453=$D273)*('[23]SENSUS MEI'!$D$9:$D$453=$D273),0))</f>
        <v>525</v>
      </c>
      <c r="J273" s="9">
        <f t="array" ref="J273">IFERROR(I273/G273*100,0)</f>
        <v>10.072908672294705</v>
      </c>
      <c r="K273" s="143">
        <f t="array" ref="K273">INDEX('[23]SENSUS MEI'!$M$9:$M$453,MATCH(1,('[23]SENSUS MEI'!$D$9:$D$453=$D273)*('[23]SENSUS MEI'!$D$9:$D$453=$D273),0))+INDEX('[23]SENSUS MEI'!$O$9:$O$453,MATCH(1,('[23]SENSUS MEI'!$D$9:$D$453=$D273)*('[23]SENSUS MEI'!$D$9:$D$453=$D273),0))</f>
        <v>154</v>
      </c>
      <c r="L273" s="9">
        <f t="shared" si="24"/>
        <v>29.333333333333332</v>
      </c>
      <c r="M273" s="8" t="str">
        <f t="shared" si="25"/>
        <v>Perlu Pengendalian</v>
      </c>
      <c r="P273" s="194">
        <f t="shared" si="26"/>
        <v>23.454000000000001</v>
      </c>
      <c r="Q273" s="194">
        <f t="array" ref="Q273">$P273*0.8</f>
        <v>18.763200000000001</v>
      </c>
      <c r="R273" s="194">
        <f t="shared" si="27"/>
        <v>14.0724</v>
      </c>
      <c r="S273" s="194">
        <f t="shared" si="28"/>
        <v>9.3816000000000006</v>
      </c>
      <c r="T273" s="194">
        <f t="shared" si="29"/>
        <v>4.6908000000000003</v>
      </c>
    </row>
    <row r="274" spans="1:20" outlineLevel="1" x14ac:dyDescent="0.15">
      <c r="A274" s="8" t="s">
        <v>628</v>
      </c>
      <c r="B274" s="8" t="s">
        <v>47</v>
      </c>
      <c r="C274" s="8" t="s">
        <v>290</v>
      </c>
      <c r="D274" s="8" t="s">
        <v>855</v>
      </c>
      <c r="E274" s="9">
        <v>40.97</v>
      </c>
      <c r="F274" s="8" t="s">
        <v>469</v>
      </c>
      <c r="G274" s="143">
        <f t="array" ref="G274">INDEX('[23]SENSUS MEI'!$G$9:$G$453,MATCH(1,('[23]SENSUS MEI'!$D$9:$D$453=$D274)*('[23]SENSUS MEI'!$D$9:$D$453=$D274),0))</f>
        <v>5258</v>
      </c>
      <c r="H274" s="11">
        <f t="array" ref="H274">INDEX('[23]SENSUS MEI'!$J$9:$J$453,MATCH(1,('[23]SENSUS MEI'!$D$9:$D$453=$D274)*('[23]SENSUS MEI'!$D$9:$D$453=$D274),0))</f>
        <v>46150</v>
      </c>
      <c r="I274" s="143">
        <f t="array" ref="I274">INDEX('[23]SENSUS MEI'!$K$9:$K$453,MATCH(1,('[23]SENSUS MEI'!$D$9:$D$453=$D274)*('[23]SENSUS MEI'!$D$9:$D$453=$D274),0))</f>
        <v>527</v>
      </c>
      <c r="J274" s="9">
        <f t="array" ref="J274">IFERROR(I274/G274*100,0)</f>
        <v>10.0228223659186</v>
      </c>
      <c r="K274" s="143">
        <f t="array" ref="K274">INDEX('[23]SENSUS MEI'!$M$9:$M$453,MATCH(1,('[23]SENSUS MEI'!$D$9:$D$453=$D274)*('[23]SENSUS MEI'!$D$9:$D$453=$D274),0))+INDEX('[23]SENSUS MEI'!$O$9:$O$453,MATCH(1,('[23]SENSUS MEI'!$D$9:$D$453=$D274)*('[23]SENSUS MEI'!$D$9:$D$453=$D274),0))</f>
        <v>72</v>
      </c>
      <c r="L274" s="9">
        <f t="shared" si="24"/>
        <v>13.662239089184061</v>
      </c>
      <c r="M274" s="8" t="str">
        <f t="shared" si="25"/>
        <v>Perlu Pengendalian</v>
      </c>
      <c r="P274" s="194">
        <f t="shared" si="26"/>
        <v>23.661000000000001</v>
      </c>
      <c r="Q274" s="194">
        <f t="array" ref="Q274">$P274*0.8</f>
        <v>18.928800000000003</v>
      </c>
      <c r="R274" s="194">
        <f t="shared" si="27"/>
        <v>14.1966</v>
      </c>
      <c r="S274" s="194">
        <f t="shared" si="28"/>
        <v>9.4644000000000013</v>
      </c>
      <c r="T274" s="194">
        <f t="shared" si="29"/>
        <v>4.7322000000000006</v>
      </c>
    </row>
    <row r="275" spans="1:20" outlineLevel="1" x14ac:dyDescent="0.15">
      <c r="A275" s="8" t="s">
        <v>628</v>
      </c>
      <c r="B275" s="8" t="s">
        <v>47</v>
      </c>
      <c r="C275" s="8" t="s">
        <v>290</v>
      </c>
      <c r="D275" s="8" t="s">
        <v>856</v>
      </c>
      <c r="E275" s="9">
        <v>32.630000000000003</v>
      </c>
      <c r="F275" s="8" t="s">
        <v>469</v>
      </c>
      <c r="G275" s="143">
        <f t="array" ref="G275">INDEX('[23]SENSUS MEI'!$G$9:$G$453,MATCH(1,('[23]SENSUS MEI'!$D$9:$D$453=$D275)*('[23]SENSUS MEI'!$D$9:$D$453=$D275),0))</f>
        <v>4142</v>
      </c>
      <c r="H275" s="11">
        <f t="array" ref="H275">INDEX('[23]SENSUS MEI'!$J$9:$J$453,MATCH(1,('[23]SENSUS MEI'!$D$9:$D$453=$D275)*('[23]SENSUS MEI'!$D$9:$D$453=$D275),0))</f>
        <v>46150</v>
      </c>
      <c r="I275" s="143">
        <f t="array" ref="I275">INDEX('[23]SENSUS MEI'!$K$9:$K$453,MATCH(1,('[23]SENSUS MEI'!$D$9:$D$453=$D275)*('[23]SENSUS MEI'!$D$9:$D$453=$D275),0))</f>
        <v>413</v>
      </c>
      <c r="J275" s="9">
        <f t="array" ref="J275">IFERROR(I275/G275*100,0)</f>
        <v>9.9710284886528253</v>
      </c>
      <c r="K275" s="143">
        <f t="array" ref="K275">INDEX('[23]SENSUS MEI'!$M$9:$M$453,MATCH(1,('[23]SENSUS MEI'!$D$9:$D$453=$D275)*('[23]SENSUS MEI'!$D$9:$D$453=$D275),0))+INDEX('[23]SENSUS MEI'!$O$9:$O$453,MATCH(1,('[23]SENSUS MEI'!$D$9:$D$453=$D275)*('[23]SENSUS MEI'!$D$9:$D$453=$D275),0))</f>
        <v>123</v>
      </c>
      <c r="L275" s="9">
        <f t="shared" si="24"/>
        <v>29.782082324455207</v>
      </c>
      <c r="M275" s="8" t="str">
        <f t="shared" si="25"/>
        <v>Perlu Pengendalian</v>
      </c>
      <c r="P275" s="194">
        <f t="shared" si="26"/>
        <v>18.638999999999999</v>
      </c>
      <c r="Q275" s="194">
        <f t="array" ref="Q275">$P275*0.8</f>
        <v>14.911200000000001</v>
      </c>
      <c r="R275" s="194">
        <f t="shared" si="27"/>
        <v>11.183399999999999</v>
      </c>
      <c r="S275" s="194">
        <f t="shared" si="28"/>
        <v>7.4556000000000004</v>
      </c>
      <c r="T275" s="194">
        <f t="shared" si="29"/>
        <v>3.7278000000000002</v>
      </c>
    </row>
    <row r="276" spans="1:20" outlineLevel="1" x14ac:dyDescent="0.15">
      <c r="A276" s="8" t="s">
        <v>628</v>
      </c>
      <c r="B276" s="8" t="s">
        <v>47</v>
      </c>
      <c r="C276" s="8" t="s">
        <v>290</v>
      </c>
      <c r="D276" s="8" t="s">
        <v>857</v>
      </c>
      <c r="E276" s="9">
        <v>22.7</v>
      </c>
      <c r="F276" s="8" t="s">
        <v>469</v>
      </c>
      <c r="G276" s="143">
        <f t="array" ref="G276">INDEX('[23]SENSUS MEI'!$G$9:$G$453,MATCH(1,('[23]SENSUS MEI'!$D$9:$D$453=$D276)*('[23]SENSUS MEI'!$D$9:$D$453=$D276),0))</f>
        <v>3231</v>
      </c>
      <c r="H276" s="11">
        <f t="array" ref="H276">INDEX('[23]SENSUS MEI'!$J$9:$J$453,MATCH(1,('[23]SENSUS MEI'!$D$9:$D$453=$D276)*('[23]SENSUS MEI'!$D$9:$D$453=$D276),0))</f>
        <v>46150</v>
      </c>
      <c r="I276" s="143">
        <f t="array" ref="I276">INDEX('[23]SENSUS MEI'!$K$9:$K$453,MATCH(1,('[23]SENSUS MEI'!$D$9:$D$453=$D276)*('[23]SENSUS MEI'!$D$9:$D$453=$D276),0))</f>
        <v>322</v>
      </c>
      <c r="J276" s="9">
        <f t="array" ref="J276">IFERROR(I276/G276*100,0)</f>
        <v>9.9659548127514714</v>
      </c>
      <c r="K276" s="143">
        <f t="array" ref="K276">INDEX('[23]SENSUS MEI'!$M$9:$M$453,MATCH(1,('[23]SENSUS MEI'!$D$9:$D$453=$D276)*('[23]SENSUS MEI'!$D$9:$D$453=$D276),0))+INDEX('[23]SENSUS MEI'!$O$9:$O$453,MATCH(1,('[23]SENSUS MEI'!$D$9:$D$453=$D276)*('[23]SENSUS MEI'!$D$9:$D$453=$D276),0))</f>
        <v>126</v>
      </c>
      <c r="L276" s="9">
        <f t="shared" ref="L276:L339" si="30">IFERROR(K276/I276*100,0)</f>
        <v>39.130434782608695</v>
      </c>
      <c r="M276" s="8" t="str">
        <f t="shared" si="25"/>
        <v>Perlu Pengendalian</v>
      </c>
      <c r="P276" s="194">
        <f t="shared" si="26"/>
        <v>14.5395</v>
      </c>
      <c r="Q276" s="194">
        <f t="array" ref="Q276">$P276*0.8</f>
        <v>11.631600000000001</v>
      </c>
      <c r="R276" s="194">
        <f t="shared" si="27"/>
        <v>8.7236999999999991</v>
      </c>
      <c r="S276" s="194">
        <f t="shared" si="28"/>
        <v>5.8158000000000003</v>
      </c>
      <c r="T276" s="194">
        <f t="shared" si="29"/>
        <v>2.9079000000000002</v>
      </c>
    </row>
    <row r="277" spans="1:20" outlineLevel="1" x14ac:dyDescent="0.15">
      <c r="A277" s="8" t="s">
        <v>628</v>
      </c>
      <c r="B277" s="8" t="s">
        <v>47</v>
      </c>
      <c r="C277" s="8" t="s">
        <v>290</v>
      </c>
      <c r="D277" s="8" t="s">
        <v>858</v>
      </c>
      <c r="E277" s="9">
        <v>25.67</v>
      </c>
      <c r="F277" s="8" t="s">
        <v>469</v>
      </c>
      <c r="G277" s="143">
        <f t="array" ref="G277">INDEX('[23]SENSUS MEI'!$G$9:$G$453,MATCH(1,('[23]SENSUS MEI'!$D$9:$D$453=$D277)*('[23]SENSUS MEI'!$D$9:$D$453=$D277),0))</f>
        <v>3558</v>
      </c>
      <c r="H277" s="11">
        <f t="array" ref="H277">INDEX('[23]SENSUS MEI'!$J$9:$J$453,MATCH(1,('[23]SENSUS MEI'!$D$9:$D$453=$D277)*('[23]SENSUS MEI'!$D$9:$D$453=$D277),0))</f>
        <v>46150</v>
      </c>
      <c r="I277" s="143">
        <f t="array" ref="I277">INDEX('[23]SENSUS MEI'!$K$9:$K$453,MATCH(1,('[23]SENSUS MEI'!$D$9:$D$453=$D277)*('[23]SENSUS MEI'!$D$9:$D$453=$D277),0))</f>
        <v>264</v>
      </c>
      <c r="J277" s="9">
        <f t="array" ref="J277">IFERROR(I277/G277*100,0)</f>
        <v>7.4198988195615518</v>
      </c>
      <c r="K277" s="143">
        <f t="array" ref="K277">INDEX('[23]SENSUS MEI'!$M$9:$M$453,MATCH(1,('[23]SENSUS MEI'!$D$9:$D$453=$D277)*('[23]SENSUS MEI'!$D$9:$D$453=$D277),0))+INDEX('[23]SENSUS MEI'!$O$9:$O$453,MATCH(1,('[23]SENSUS MEI'!$D$9:$D$453=$D277)*('[23]SENSUS MEI'!$D$9:$D$453=$D277),0))</f>
        <v>56</v>
      </c>
      <c r="L277" s="9">
        <f t="shared" si="30"/>
        <v>21.212121212121211</v>
      </c>
      <c r="M277" s="8" t="str">
        <f t="shared" si="25"/>
        <v>Perlu Pengendalian</v>
      </c>
      <c r="P277" s="194">
        <f t="shared" si="26"/>
        <v>16.010999999999999</v>
      </c>
      <c r="Q277" s="194">
        <f t="array" ref="Q277">$P277*0.8</f>
        <v>12.8088</v>
      </c>
      <c r="R277" s="194">
        <f t="shared" si="27"/>
        <v>9.6065999999999985</v>
      </c>
      <c r="S277" s="194">
        <f t="shared" si="28"/>
        <v>6.4043999999999999</v>
      </c>
      <c r="T277" s="194">
        <f t="shared" si="29"/>
        <v>3.2021999999999999</v>
      </c>
    </row>
    <row r="278" spans="1:20" outlineLevel="1" x14ac:dyDescent="0.15">
      <c r="A278" s="8" t="s">
        <v>628</v>
      </c>
      <c r="B278" s="8" t="s">
        <v>47</v>
      </c>
      <c r="C278" s="8" t="s">
        <v>290</v>
      </c>
      <c r="D278" s="8" t="s">
        <v>859</v>
      </c>
      <c r="E278" s="9">
        <v>37.03</v>
      </c>
      <c r="F278" s="8" t="s">
        <v>469</v>
      </c>
      <c r="G278" s="143">
        <f t="array" ref="G278">INDEX('[23]SENSUS MEI'!$G$9:$G$453,MATCH(1,('[23]SENSUS MEI'!$D$9:$D$453=$D278)*('[23]SENSUS MEI'!$D$9:$D$453=$D278),0))</f>
        <v>5280</v>
      </c>
      <c r="H278" s="11">
        <f t="array" ref="H278">INDEX('[23]SENSUS MEI'!$J$9:$J$453,MATCH(1,('[23]SENSUS MEI'!$D$9:$D$453=$D278)*('[23]SENSUS MEI'!$D$9:$D$453=$D278),0))</f>
        <v>46149</v>
      </c>
      <c r="I278" s="143">
        <f t="array" ref="I278">INDEX('[23]SENSUS MEI'!$K$9:$K$453,MATCH(1,('[23]SENSUS MEI'!$D$9:$D$453=$D278)*('[23]SENSUS MEI'!$D$9:$D$453=$D278),0))</f>
        <v>910</v>
      </c>
      <c r="J278" s="9">
        <f t="array" ref="J278">IFERROR(I278/G278*100,0)</f>
        <v>17.234848484848484</v>
      </c>
      <c r="K278" s="143">
        <f t="array" ref="K278">INDEX('[23]SENSUS MEI'!$M$9:$M$453,MATCH(1,('[23]SENSUS MEI'!$D$9:$D$453=$D278)*('[23]SENSUS MEI'!$D$9:$D$453=$D278),0))+INDEX('[23]SENSUS MEI'!$O$9:$O$453,MATCH(1,('[23]SENSUS MEI'!$D$9:$D$453=$D278)*('[23]SENSUS MEI'!$D$9:$D$453=$D278),0))</f>
        <v>133</v>
      </c>
      <c r="L278" s="9">
        <f t="shared" si="30"/>
        <v>14.615384615384617</v>
      </c>
      <c r="M278" s="8" t="str">
        <f t="shared" si="25"/>
        <v>Perlu Pengendalian</v>
      </c>
      <c r="P278" s="194">
        <f t="shared" si="26"/>
        <v>23.76</v>
      </c>
      <c r="Q278" s="194">
        <f t="array" ref="Q278">$P278*0.8</f>
        <v>19.008000000000003</v>
      </c>
      <c r="R278" s="194">
        <f t="shared" si="27"/>
        <v>14.256</v>
      </c>
      <c r="S278" s="194">
        <f t="shared" si="28"/>
        <v>9.5040000000000013</v>
      </c>
      <c r="T278" s="194">
        <f t="shared" si="29"/>
        <v>4.7520000000000007</v>
      </c>
    </row>
    <row r="279" spans="1:20" outlineLevel="1" x14ac:dyDescent="0.15">
      <c r="A279" s="8" t="s">
        <v>628</v>
      </c>
      <c r="B279" s="8" t="s">
        <v>47</v>
      </c>
      <c r="C279" s="8" t="s">
        <v>290</v>
      </c>
      <c r="D279" s="8" t="s">
        <v>860</v>
      </c>
      <c r="E279" s="9">
        <v>45.17</v>
      </c>
      <c r="F279" s="8" t="s">
        <v>469</v>
      </c>
      <c r="G279" s="143">
        <f t="array" ref="G279">INDEX('[23]SENSUS MEI'!$G$9:$G$453,MATCH(1,('[23]SENSUS MEI'!$D$9:$D$453=$D279)*('[23]SENSUS MEI'!$D$9:$D$453=$D279),0))</f>
        <v>6511</v>
      </c>
      <c r="H279" s="11">
        <f t="array" ref="H279">INDEX('[23]SENSUS MEI'!$J$9:$J$453,MATCH(1,('[23]SENSUS MEI'!$D$9:$D$453=$D279)*('[23]SENSUS MEI'!$D$9:$D$453=$D279),0))</f>
        <v>46149</v>
      </c>
      <c r="I279" s="143">
        <f t="array" ref="I279">INDEX('[23]SENSUS MEI'!$K$9:$K$453,MATCH(1,('[23]SENSUS MEI'!$D$9:$D$453=$D279)*('[23]SENSUS MEI'!$D$9:$D$453=$D279),0))</f>
        <v>349</v>
      </c>
      <c r="J279" s="9">
        <f t="array" ref="J279">IFERROR(I279/G279*100,0)</f>
        <v>5.3601597296882204</v>
      </c>
      <c r="K279" s="143">
        <f t="array" ref="K279">INDEX('[23]SENSUS MEI'!$M$9:$M$453,MATCH(1,('[23]SENSUS MEI'!$D$9:$D$453=$D279)*('[23]SENSUS MEI'!$D$9:$D$453=$D279),0))+INDEX('[23]SENSUS MEI'!$O$9:$O$453,MATCH(1,('[23]SENSUS MEI'!$D$9:$D$453=$D279)*('[23]SENSUS MEI'!$D$9:$D$453=$D279),0))</f>
        <v>218</v>
      </c>
      <c r="L279" s="9">
        <f t="shared" si="30"/>
        <v>62.464183381088823</v>
      </c>
      <c r="M279" s="8" t="str">
        <f t="shared" si="25"/>
        <v>Perlu Pengendalian</v>
      </c>
      <c r="P279" s="194">
        <f t="shared" si="26"/>
        <v>29.299499999999998</v>
      </c>
      <c r="Q279" s="194">
        <f t="array" ref="Q279">$P279*0.8</f>
        <v>23.439599999999999</v>
      </c>
      <c r="R279" s="194">
        <f t="shared" si="27"/>
        <v>17.579699999999999</v>
      </c>
      <c r="S279" s="194">
        <f t="shared" si="28"/>
        <v>11.719799999999999</v>
      </c>
      <c r="T279" s="194">
        <f t="shared" si="29"/>
        <v>5.8598999999999997</v>
      </c>
    </row>
    <row r="280" spans="1:20" outlineLevel="1" x14ac:dyDescent="0.15">
      <c r="A280" s="8" t="s">
        <v>628</v>
      </c>
      <c r="B280" s="8" t="s">
        <v>47</v>
      </c>
      <c r="C280" s="8" t="s">
        <v>290</v>
      </c>
      <c r="D280" s="8" t="s">
        <v>861</v>
      </c>
      <c r="E280" s="9">
        <v>38.18</v>
      </c>
      <c r="F280" s="8" t="s">
        <v>16</v>
      </c>
      <c r="G280" s="143">
        <f t="array" ref="G280">INDEX('[23]SENSUS MEI'!$G$9:$G$453,MATCH(1,('[23]SENSUS MEI'!$D$9:$D$453=$D280)*('[23]SENSUS MEI'!$D$9:$D$453=$D280),0))</f>
        <v>5640</v>
      </c>
      <c r="H280" s="11">
        <f t="array" ref="H280">INDEX('[23]SENSUS MEI'!$J$9:$J$453,MATCH(1,('[23]SENSUS MEI'!$D$9:$D$453=$D280)*('[23]SENSUS MEI'!$D$9:$D$453=$D280),0))</f>
        <v>46149</v>
      </c>
      <c r="I280" s="143">
        <f t="array" ref="I280">INDEX('[23]SENSUS MEI'!$K$9:$K$453,MATCH(1,('[23]SENSUS MEI'!$D$9:$D$453=$D280)*('[23]SENSUS MEI'!$D$9:$D$453=$D280),0))</f>
        <v>364</v>
      </c>
      <c r="J280" s="9">
        <f t="array" ref="J280">IFERROR(I280/G280*100,0)</f>
        <v>6.4539007092198579</v>
      </c>
      <c r="K280" s="143">
        <f t="array" ref="K280">INDEX('[23]SENSUS MEI'!$M$9:$M$453,MATCH(1,('[23]SENSUS MEI'!$D$9:$D$453=$D280)*('[23]SENSUS MEI'!$D$9:$D$453=$D280),0))+INDEX('[23]SENSUS MEI'!$O$9:$O$453,MATCH(1,('[23]SENSUS MEI'!$D$9:$D$453=$D280)*('[23]SENSUS MEI'!$D$9:$D$453=$D280),0))</f>
        <v>84</v>
      </c>
      <c r="L280" s="9">
        <f t="shared" si="30"/>
        <v>23.076923076923077</v>
      </c>
      <c r="M280" s="8" t="str">
        <f t="shared" si="25"/>
        <v>Perlu Pengendalian</v>
      </c>
      <c r="P280" s="194">
        <f t="shared" si="26"/>
        <v>25.38</v>
      </c>
      <c r="Q280" s="194">
        <f t="array" ref="Q280">$P280*0.8</f>
        <v>20.304000000000002</v>
      </c>
      <c r="R280" s="194">
        <f t="shared" si="27"/>
        <v>15.227999999999998</v>
      </c>
      <c r="S280" s="194">
        <f t="shared" si="28"/>
        <v>10.152000000000001</v>
      </c>
      <c r="T280" s="194">
        <f t="shared" si="29"/>
        <v>5.0760000000000005</v>
      </c>
    </row>
    <row r="281" spans="1:20" outlineLevel="1" x14ac:dyDescent="0.15">
      <c r="A281" s="8" t="s">
        <v>628</v>
      </c>
      <c r="B281" s="8" t="s">
        <v>47</v>
      </c>
      <c r="C281" s="8" t="s">
        <v>290</v>
      </c>
      <c r="D281" s="8" t="s">
        <v>862</v>
      </c>
      <c r="E281" s="9">
        <v>32.119999999999997</v>
      </c>
      <c r="F281" s="8" t="s">
        <v>16</v>
      </c>
      <c r="G281" s="143">
        <f t="array" ref="G281">INDEX('[23]SENSUS MEI'!$G$9:$G$453,MATCH(1,('[23]SENSUS MEI'!$D$9:$D$453=$D281)*('[23]SENSUS MEI'!$D$9:$D$453=$D281),0))</f>
        <v>4388</v>
      </c>
      <c r="H281" s="11">
        <f t="array" ref="H281">INDEX('[23]SENSUS MEI'!$J$9:$J$453,MATCH(1,('[23]SENSUS MEI'!$D$9:$D$453=$D281)*('[23]SENSUS MEI'!$D$9:$D$453=$D281),0))</f>
        <v>46149</v>
      </c>
      <c r="I281" s="143">
        <f t="array" ref="I281">INDEX('[23]SENSUS MEI'!$K$9:$K$453,MATCH(1,('[23]SENSUS MEI'!$D$9:$D$453=$D281)*('[23]SENSUS MEI'!$D$9:$D$453=$D281),0))</f>
        <v>395</v>
      </c>
      <c r="J281" s="9">
        <f t="array" ref="J281">IFERROR(I281/G281*100,0)</f>
        <v>9.0018231540565186</v>
      </c>
      <c r="K281" s="143">
        <f t="array" ref="K281">INDEX('[23]SENSUS MEI'!$M$9:$M$453,MATCH(1,('[23]SENSUS MEI'!$D$9:$D$453=$D281)*('[23]SENSUS MEI'!$D$9:$D$453=$D281),0))+INDEX('[23]SENSUS MEI'!$O$9:$O$453,MATCH(1,('[23]SENSUS MEI'!$D$9:$D$453=$D281)*('[23]SENSUS MEI'!$D$9:$D$453=$D281),0))</f>
        <v>77</v>
      </c>
      <c r="L281" s="9">
        <f t="shared" si="30"/>
        <v>19.49367088607595</v>
      </c>
      <c r="M281" s="8" t="str">
        <f t="shared" si="25"/>
        <v>Perlu Pengendalian</v>
      </c>
      <c r="P281" s="194">
        <f t="shared" si="26"/>
        <v>19.745999999999999</v>
      </c>
      <c r="Q281" s="194">
        <f t="array" ref="Q281">$P281*0.8</f>
        <v>15.796799999999999</v>
      </c>
      <c r="R281" s="194">
        <f t="shared" si="27"/>
        <v>11.847599999999998</v>
      </c>
      <c r="S281" s="194">
        <f t="shared" si="28"/>
        <v>7.8983999999999996</v>
      </c>
      <c r="T281" s="194">
        <f t="shared" si="29"/>
        <v>3.9491999999999998</v>
      </c>
    </row>
    <row r="282" spans="1:20" outlineLevel="1" x14ac:dyDescent="0.15">
      <c r="A282" s="8" t="s">
        <v>628</v>
      </c>
      <c r="B282" s="8" t="s">
        <v>47</v>
      </c>
      <c r="C282" s="8" t="s">
        <v>290</v>
      </c>
      <c r="D282" s="8" t="s">
        <v>863</v>
      </c>
      <c r="E282" s="9">
        <v>33.89</v>
      </c>
      <c r="F282" s="8" t="s">
        <v>16</v>
      </c>
      <c r="G282" s="143">
        <f t="array" ref="G282">INDEX('[23]SENSUS MEI'!$G$9:$G$453,MATCH(1,('[23]SENSUS MEI'!$D$9:$D$453=$D282)*('[23]SENSUS MEI'!$D$9:$D$453=$D282),0))</f>
        <v>4809</v>
      </c>
      <c r="H282" s="11">
        <f t="array" ref="H282">INDEX('[23]SENSUS MEI'!$J$9:$J$453,MATCH(1,('[23]SENSUS MEI'!$D$9:$D$453=$D282)*('[23]SENSUS MEI'!$D$9:$D$453=$D282),0))</f>
        <v>46149</v>
      </c>
      <c r="I282" s="143">
        <f t="array" ref="I282">INDEX('[23]SENSUS MEI'!$K$9:$K$453,MATCH(1,('[23]SENSUS MEI'!$D$9:$D$453=$D282)*('[23]SENSUS MEI'!$D$9:$D$453=$D282),0))</f>
        <v>400</v>
      </c>
      <c r="J282" s="9">
        <f t="array" ref="J282">IFERROR(I282/G282*100,0)</f>
        <v>8.3177375753794962</v>
      </c>
      <c r="K282" s="143">
        <f t="array" ref="K282">INDEX('[23]SENSUS MEI'!$M$9:$M$453,MATCH(1,('[23]SENSUS MEI'!$D$9:$D$453=$D282)*('[23]SENSUS MEI'!$D$9:$D$453=$D282),0))+INDEX('[23]SENSUS MEI'!$O$9:$O$453,MATCH(1,('[23]SENSUS MEI'!$D$9:$D$453=$D282)*('[23]SENSUS MEI'!$D$9:$D$453=$D282),0))</f>
        <v>177</v>
      </c>
      <c r="L282" s="9">
        <f t="shared" si="30"/>
        <v>44.25</v>
      </c>
      <c r="M282" s="8" t="str">
        <f t="shared" si="25"/>
        <v>Perlu Pengendalian</v>
      </c>
      <c r="P282" s="194">
        <f t="shared" si="26"/>
        <v>21.640499999999999</v>
      </c>
      <c r="Q282" s="194">
        <f t="array" ref="Q282">$P282*0.8</f>
        <v>17.3124</v>
      </c>
      <c r="R282" s="194">
        <f t="shared" si="27"/>
        <v>12.984299999999999</v>
      </c>
      <c r="S282" s="194">
        <f t="shared" si="28"/>
        <v>8.6562000000000001</v>
      </c>
      <c r="T282" s="194">
        <f t="shared" si="29"/>
        <v>4.3281000000000001</v>
      </c>
    </row>
    <row r="283" spans="1:20" outlineLevel="1" x14ac:dyDescent="0.15">
      <c r="A283" s="8" t="s">
        <v>628</v>
      </c>
      <c r="B283" s="8" t="s">
        <v>47</v>
      </c>
      <c r="C283" s="8" t="s">
        <v>290</v>
      </c>
      <c r="D283" s="8" t="s">
        <v>864</v>
      </c>
      <c r="E283" s="9">
        <v>37.78</v>
      </c>
      <c r="F283" s="8" t="s">
        <v>16</v>
      </c>
      <c r="G283" s="143">
        <f t="array" ref="G283">INDEX('[23]SENSUS MEI'!$G$9:$G$453,MATCH(1,('[23]SENSUS MEI'!$D$9:$D$453=$D283)*('[23]SENSUS MEI'!$D$9:$D$453=$D283),0))</f>
        <v>5397</v>
      </c>
      <c r="H283" s="11">
        <f t="array" ref="H283">INDEX('[23]SENSUS MEI'!$J$9:$J$453,MATCH(1,('[23]SENSUS MEI'!$D$9:$D$453=$D283)*('[23]SENSUS MEI'!$D$9:$D$453=$D283),0))</f>
        <v>46149</v>
      </c>
      <c r="I283" s="143">
        <f t="array" ref="I283">INDEX('[23]SENSUS MEI'!$K$9:$K$453,MATCH(1,('[23]SENSUS MEI'!$D$9:$D$453=$D283)*('[23]SENSUS MEI'!$D$9:$D$453=$D283),0))</f>
        <v>532</v>
      </c>
      <c r="J283" s="9">
        <f t="array" ref="J283">IFERROR(I283/G283*100,0)</f>
        <v>9.857328145265889</v>
      </c>
      <c r="K283" s="143">
        <f t="array" ref="K283">INDEX('[23]SENSUS MEI'!$M$9:$M$453,MATCH(1,('[23]SENSUS MEI'!$D$9:$D$453=$D283)*('[23]SENSUS MEI'!$D$9:$D$453=$D283),0))+INDEX('[23]SENSUS MEI'!$O$9:$O$453,MATCH(1,('[23]SENSUS MEI'!$D$9:$D$453=$D283)*('[23]SENSUS MEI'!$D$9:$D$453=$D283),0))</f>
        <v>178</v>
      </c>
      <c r="L283" s="9">
        <f t="shared" si="30"/>
        <v>33.458646616541351</v>
      </c>
      <c r="M283" s="8" t="str">
        <f t="shared" si="25"/>
        <v>Perlu Pengendalian</v>
      </c>
      <c r="P283" s="194">
        <f t="shared" si="26"/>
        <v>24.2865</v>
      </c>
      <c r="Q283" s="194">
        <f t="array" ref="Q283">$P283*0.8</f>
        <v>19.429200000000002</v>
      </c>
      <c r="R283" s="194">
        <f t="shared" si="27"/>
        <v>14.571899999999999</v>
      </c>
      <c r="S283" s="194">
        <f t="shared" si="28"/>
        <v>9.7146000000000008</v>
      </c>
      <c r="T283" s="194">
        <f t="shared" si="29"/>
        <v>4.8573000000000004</v>
      </c>
    </row>
    <row r="284" spans="1:20" outlineLevel="1" x14ac:dyDescent="0.15">
      <c r="A284" s="8" t="s">
        <v>628</v>
      </c>
      <c r="B284" s="8" t="s">
        <v>47</v>
      </c>
      <c r="C284" s="8" t="s">
        <v>290</v>
      </c>
      <c r="D284" s="8" t="s">
        <v>865</v>
      </c>
      <c r="E284" s="9">
        <v>37.58</v>
      </c>
      <c r="F284" s="8" t="s">
        <v>16</v>
      </c>
      <c r="G284" s="143">
        <f t="array" ref="G284">INDEX('[23]SENSUS MEI'!$G$9:$G$453,MATCH(1,('[23]SENSUS MEI'!$D$9:$D$453=$D284)*('[23]SENSUS MEI'!$D$9:$D$453=$D284),0))</f>
        <v>5399</v>
      </c>
      <c r="H284" s="11">
        <f t="array" ref="H284">INDEX('[23]SENSUS MEI'!$J$9:$J$453,MATCH(1,('[23]SENSUS MEI'!$D$9:$D$453=$D284)*('[23]SENSUS MEI'!$D$9:$D$453=$D284),0))</f>
        <v>46149</v>
      </c>
      <c r="I284" s="143">
        <f t="array" ref="I284">INDEX('[23]SENSUS MEI'!$K$9:$K$453,MATCH(1,('[23]SENSUS MEI'!$D$9:$D$453=$D284)*('[23]SENSUS MEI'!$D$9:$D$453=$D284),0))</f>
        <v>371</v>
      </c>
      <c r="J284" s="9">
        <f t="array" ref="J284">IFERROR(I284/G284*100,0)</f>
        <v>6.8716428968327472</v>
      </c>
      <c r="K284" s="143">
        <f t="array" ref="K284">INDEX('[23]SENSUS MEI'!$M$9:$M$453,MATCH(1,('[23]SENSUS MEI'!$D$9:$D$453=$D284)*('[23]SENSUS MEI'!$D$9:$D$453=$D284),0))+INDEX('[23]SENSUS MEI'!$O$9:$O$453,MATCH(1,('[23]SENSUS MEI'!$D$9:$D$453=$D284)*('[23]SENSUS MEI'!$D$9:$D$453=$D284),0))</f>
        <v>61</v>
      </c>
      <c r="L284" s="9">
        <f t="shared" si="30"/>
        <v>16.442048517520217</v>
      </c>
      <c r="M284" s="8" t="str">
        <f t="shared" si="25"/>
        <v>Perlu Pengendalian</v>
      </c>
      <c r="P284" s="194">
        <f t="shared" si="26"/>
        <v>24.295500000000001</v>
      </c>
      <c r="Q284" s="194">
        <f t="array" ref="Q284">$P284*0.8</f>
        <v>19.436400000000003</v>
      </c>
      <c r="R284" s="194">
        <f t="shared" si="27"/>
        <v>14.577299999999999</v>
      </c>
      <c r="S284" s="194">
        <f t="shared" si="28"/>
        <v>9.7182000000000013</v>
      </c>
      <c r="T284" s="194">
        <f t="shared" si="29"/>
        <v>4.8591000000000006</v>
      </c>
    </row>
    <row r="285" spans="1:20" outlineLevel="1" x14ac:dyDescent="0.15">
      <c r="A285" s="8" t="s">
        <v>628</v>
      </c>
      <c r="B285" s="8" t="s">
        <v>47</v>
      </c>
      <c r="C285" s="8" t="s">
        <v>323</v>
      </c>
      <c r="D285" s="8" t="s">
        <v>866</v>
      </c>
      <c r="E285" s="9">
        <v>8.6199999999999992</v>
      </c>
      <c r="F285" s="8" t="s">
        <v>469</v>
      </c>
      <c r="G285" s="143">
        <f t="array" ref="G285">INDEX('[23]SENSUS MEI'!$G$9:$G$453,MATCH(1,('[23]SENSUS MEI'!$D$9:$D$453=$D285)*('[23]SENSUS MEI'!$D$9:$D$453=$D285),0))</f>
        <v>1026</v>
      </c>
      <c r="H285" s="11">
        <f t="array" ref="H285">INDEX('[23]SENSUS MEI'!$J$9:$J$453,MATCH(1,('[23]SENSUS MEI'!$D$9:$D$453=$D285)*('[23]SENSUS MEI'!$D$9:$D$453=$D285),0))</f>
        <v>46155</v>
      </c>
      <c r="I285" s="143">
        <f t="array" ref="I285">INDEX('[23]SENSUS MEI'!$K$9:$K$453,MATCH(1,('[23]SENSUS MEI'!$D$9:$D$453=$D285)*('[23]SENSUS MEI'!$D$9:$D$453=$D285),0))</f>
        <v>118</v>
      </c>
      <c r="J285" s="9">
        <f t="array" ref="J285">IFERROR(I285/G285*100,0)</f>
        <v>11.500974658869396</v>
      </c>
      <c r="K285" s="143">
        <f t="array" ref="K285">INDEX('[23]SENSUS MEI'!$M$9:$M$453,MATCH(1,('[23]SENSUS MEI'!$D$9:$D$453=$D285)*('[23]SENSUS MEI'!$D$9:$D$453=$D285),0))+INDEX('[23]SENSUS MEI'!$O$9:$O$453,MATCH(1,('[23]SENSUS MEI'!$D$9:$D$453=$D285)*('[23]SENSUS MEI'!$D$9:$D$453=$D285),0))</f>
        <v>17</v>
      </c>
      <c r="L285" s="9">
        <f t="shared" si="30"/>
        <v>14.40677966101695</v>
      </c>
      <c r="M285" s="8" t="str">
        <f t="shared" si="25"/>
        <v>Perlu Pengendalian</v>
      </c>
      <c r="P285" s="194">
        <f t="shared" si="26"/>
        <v>4.617</v>
      </c>
      <c r="Q285" s="194">
        <f t="array" ref="Q285">$P285*0.8</f>
        <v>3.6936</v>
      </c>
      <c r="R285" s="194">
        <f t="shared" si="27"/>
        <v>2.7702</v>
      </c>
      <c r="S285" s="194">
        <f t="shared" si="28"/>
        <v>1.8468</v>
      </c>
      <c r="T285" s="194">
        <f t="shared" si="29"/>
        <v>0.9234</v>
      </c>
    </row>
    <row r="286" spans="1:20" outlineLevel="1" x14ac:dyDescent="0.15">
      <c r="A286" s="8" t="s">
        <v>628</v>
      </c>
      <c r="B286" s="8" t="s">
        <v>47</v>
      </c>
      <c r="C286" s="8" t="s">
        <v>323</v>
      </c>
      <c r="D286" s="8" t="s">
        <v>867</v>
      </c>
      <c r="E286" s="9">
        <v>9.17</v>
      </c>
      <c r="F286" s="8" t="s">
        <v>469</v>
      </c>
      <c r="G286" s="143">
        <f t="array" ref="G286">INDEX('[23]SENSUS MEI'!$G$9:$G$453,MATCH(1,('[23]SENSUS MEI'!$D$9:$D$453=$D286)*('[23]SENSUS MEI'!$D$9:$D$453=$D286),0))</f>
        <v>1547</v>
      </c>
      <c r="H286" s="11">
        <f t="array" ref="H286">INDEX('[23]SENSUS MEI'!$J$9:$J$453,MATCH(1,('[23]SENSUS MEI'!$D$9:$D$453=$D286)*('[23]SENSUS MEI'!$D$9:$D$453=$D286),0))</f>
        <v>46155</v>
      </c>
      <c r="I286" s="143">
        <f t="array" ref="I286">INDEX('[23]SENSUS MEI'!$K$9:$K$453,MATCH(1,('[23]SENSUS MEI'!$D$9:$D$453=$D286)*('[23]SENSUS MEI'!$D$9:$D$453=$D286),0))</f>
        <v>115</v>
      </c>
      <c r="J286" s="9">
        <f t="array" ref="J286">IFERROR(I286/G286*100,0)</f>
        <v>7.4337427278603752</v>
      </c>
      <c r="K286" s="143">
        <f t="array" ref="K286">INDEX('[23]SENSUS MEI'!$M$9:$M$453,MATCH(1,('[23]SENSUS MEI'!$D$9:$D$453=$D286)*('[23]SENSUS MEI'!$D$9:$D$453=$D286),0))+INDEX('[23]SENSUS MEI'!$O$9:$O$453,MATCH(1,('[23]SENSUS MEI'!$D$9:$D$453=$D286)*('[23]SENSUS MEI'!$D$9:$D$453=$D286),0))</f>
        <v>23</v>
      </c>
      <c r="L286" s="9">
        <f t="shared" si="30"/>
        <v>20</v>
      </c>
      <c r="M286" s="8" t="str">
        <f t="shared" si="25"/>
        <v>Perlu Pengendalian</v>
      </c>
      <c r="P286" s="194">
        <f t="shared" si="26"/>
        <v>6.9615</v>
      </c>
      <c r="Q286" s="194">
        <f t="array" ref="Q286">$P286*0.8</f>
        <v>5.5692000000000004</v>
      </c>
      <c r="R286" s="194">
        <f t="shared" si="27"/>
        <v>4.1768999999999998</v>
      </c>
      <c r="S286" s="194">
        <f t="shared" si="28"/>
        <v>2.7846000000000002</v>
      </c>
      <c r="T286" s="194">
        <f t="shared" si="29"/>
        <v>1.3923000000000001</v>
      </c>
    </row>
    <row r="287" spans="1:20" outlineLevel="1" x14ac:dyDescent="0.15">
      <c r="A287" s="8" t="s">
        <v>628</v>
      </c>
      <c r="B287" s="8" t="s">
        <v>47</v>
      </c>
      <c r="C287" s="8" t="s">
        <v>323</v>
      </c>
      <c r="D287" s="8" t="s">
        <v>868</v>
      </c>
      <c r="E287" s="9">
        <v>37.520000000000003</v>
      </c>
      <c r="F287" s="8" t="s">
        <v>469</v>
      </c>
      <c r="G287" s="143">
        <f t="array" ref="G287">INDEX('[23]SENSUS MEI'!$G$9:$G$453,MATCH(1,('[23]SENSUS MEI'!$D$9:$D$453=$D287)*('[23]SENSUS MEI'!$D$9:$D$453=$D287),0))</f>
        <v>5133</v>
      </c>
      <c r="H287" s="11">
        <f t="array" ref="H287">INDEX('[23]SENSUS MEI'!$J$9:$J$453,MATCH(1,('[23]SENSUS MEI'!$D$9:$D$453=$D287)*('[23]SENSUS MEI'!$D$9:$D$453=$D287),0))</f>
        <v>46149</v>
      </c>
      <c r="I287" s="143">
        <f t="array" ref="I287">INDEX('[23]SENSUS MEI'!$K$9:$K$453,MATCH(1,('[23]SENSUS MEI'!$D$9:$D$453=$D287)*('[23]SENSUS MEI'!$D$9:$D$453=$D287),0))</f>
        <v>503</v>
      </c>
      <c r="J287" s="9">
        <f t="array" ref="J287">IFERROR(I287/G287*100,0)</f>
        <v>9.7993376193259305</v>
      </c>
      <c r="K287" s="143">
        <f t="array" ref="K287">INDEX('[23]SENSUS MEI'!$M$9:$M$453,MATCH(1,('[23]SENSUS MEI'!$D$9:$D$453=$D287)*('[23]SENSUS MEI'!$D$9:$D$453=$D287),0))+INDEX('[23]SENSUS MEI'!$O$9:$O$453,MATCH(1,('[23]SENSUS MEI'!$D$9:$D$453=$D287)*('[23]SENSUS MEI'!$D$9:$D$453=$D287),0))</f>
        <v>357</v>
      </c>
      <c r="L287" s="9">
        <f t="shared" si="30"/>
        <v>70.974155069582494</v>
      </c>
      <c r="M287" s="8" t="str">
        <f t="shared" si="25"/>
        <v>Perlu Pengendalian</v>
      </c>
      <c r="P287" s="194">
        <f t="shared" si="26"/>
        <v>23.098500000000001</v>
      </c>
      <c r="Q287" s="194">
        <f t="array" ref="Q287">$P287*0.8</f>
        <v>18.478800000000003</v>
      </c>
      <c r="R287" s="194">
        <f t="shared" si="27"/>
        <v>13.8591</v>
      </c>
      <c r="S287" s="194">
        <f t="shared" si="28"/>
        <v>9.2394000000000016</v>
      </c>
      <c r="T287" s="194">
        <f t="shared" si="29"/>
        <v>4.6197000000000008</v>
      </c>
    </row>
    <row r="288" spans="1:20" outlineLevel="1" x14ac:dyDescent="0.15">
      <c r="A288" s="8" t="s">
        <v>628</v>
      </c>
      <c r="B288" s="8" t="s">
        <v>47</v>
      </c>
      <c r="C288" s="8" t="s">
        <v>323</v>
      </c>
      <c r="D288" s="8" t="s">
        <v>869</v>
      </c>
      <c r="E288" s="9">
        <v>35.32</v>
      </c>
      <c r="F288" s="8" t="s">
        <v>469</v>
      </c>
      <c r="G288" s="143">
        <f t="array" ref="G288">INDEX('[23]SENSUS MEI'!$G$9:$G$453,MATCH(1,('[23]SENSUS MEI'!$D$9:$D$453=$D288)*('[23]SENSUS MEI'!$D$9:$D$453=$D288),0))</f>
        <v>5023</v>
      </c>
      <c r="H288" s="11">
        <f t="array" ref="H288">INDEX('[23]SENSUS MEI'!$J$9:$J$453,MATCH(1,('[23]SENSUS MEI'!$D$9:$D$453=$D288)*('[23]SENSUS MEI'!$D$9:$D$453=$D288),0))</f>
        <v>46149</v>
      </c>
      <c r="I288" s="143">
        <f t="array" ref="I288">INDEX('[23]SENSUS MEI'!$K$9:$K$453,MATCH(1,('[23]SENSUS MEI'!$D$9:$D$453=$D288)*('[23]SENSUS MEI'!$D$9:$D$453=$D288),0))</f>
        <v>508</v>
      </c>
      <c r="J288" s="9">
        <f t="array" ref="J288">IFERROR(I288/G288*100,0)</f>
        <v>10.113478001194505</v>
      </c>
      <c r="K288" s="143">
        <f t="array" ref="K288">INDEX('[23]SENSUS MEI'!$M$9:$M$453,MATCH(1,('[23]SENSUS MEI'!$D$9:$D$453=$D288)*('[23]SENSUS MEI'!$D$9:$D$453=$D288),0))+INDEX('[23]SENSUS MEI'!$O$9:$O$453,MATCH(1,('[23]SENSUS MEI'!$D$9:$D$453=$D288)*('[23]SENSUS MEI'!$D$9:$D$453=$D288),0))</f>
        <v>252</v>
      </c>
      <c r="L288" s="9">
        <f t="shared" si="30"/>
        <v>49.606299212598429</v>
      </c>
      <c r="M288" s="8" t="str">
        <f t="shared" si="25"/>
        <v>Perlu Pengendalian</v>
      </c>
      <c r="P288" s="194">
        <f t="shared" si="26"/>
        <v>22.6035</v>
      </c>
      <c r="Q288" s="194">
        <f t="array" ref="Q288">$P288*0.8</f>
        <v>18.082800000000002</v>
      </c>
      <c r="R288" s="194">
        <f t="shared" si="27"/>
        <v>13.562099999999999</v>
      </c>
      <c r="S288" s="194">
        <f t="shared" si="28"/>
        <v>9.0414000000000012</v>
      </c>
      <c r="T288" s="194">
        <f t="shared" si="29"/>
        <v>4.5207000000000006</v>
      </c>
    </row>
    <row r="289" spans="1:20" outlineLevel="1" x14ac:dyDescent="0.15">
      <c r="A289" s="8" t="s">
        <v>628</v>
      </c>
      <c r="B289" s="8" t="s">
        <v>47</v>
      </c>
      <c r="C289" s="8" t="s">
        <v>323</v>
      </c>
      <c r="D289" s="8" t="s">
        <v>870</v>
      </c>
      <c r="E289" s="9">
        <v>40.71</v>
      </c>
      <c r="F289" s="8" t="s">
        <v>469</v>
      </c>
      <c r="G289" s="143">
        <f t="array" ref="G289">INDEX('[23]SENSUS MEI'!$G$9:$G$453,MATCH(1,('[23]SENSUS MEI'!$D$9:$D$453=$D289)*('[23]SENSUS MEI'!$D$9:$D$453=$D289),0))</f>
        <v>5582</v>
      </c>
      <c r="H289" s="11">
        <f t="array" ref="H289">INDEX('[23]SENSUS MEI'!$J$9:$J$453,MATCH(1,('[23]SENSUS MEI'!$D$9:$D$453=$D289)*('[23]SENSUS MEI'!$D$9:$D$453=$D289),0))</f>
        <v>46149</v>
      </c>
      <c r="I289" s="143">
        <f t="array" ref="I289">INDEX('[23]SENSUS MEI'!$K$9:$K$453,MATCH(1,('[23]SENSUS MEI'!$D$9:$D$453=$D289)*('[23]SENSUS MEI'!$D$9:$D$453=$D289),0))</f>
        <v>404</v>
      </c>
      <c r="J289" s="9">
        <f t="array" ref="J289">IFERROR(I289/G289*100,0)</f>
        <v>7.2375492654962379</v>
      </c>
      <c r="K289" s="143">
        <f t="array" ref="K289">INDEX('[23]SENSUS MEI'!$M$9:$M$453,MATCH(1,('[23]SENSUS MEI'!$D$9:$D$453=$D289)*('[23]SENSUS MEI'!$D$9:$D$453=$D289),0))+INDEX('[23]SENSUS MEI'!$O$9:$O$453,MATCH(1,('[23]SENSUS MEI'!$D$9:$D$453=$D289)*('[23]SENSUS MEI'!$D$9:$D$453=$D289),0))</f>
        <v>203</v>
      </c>
      <c r="L289" s="9">
        <f t="shared" si="30"/>
        <v>50.24752475247525</v>
      </c>
      <c r="M289" s="8" t="str">
        <f t="shared" si="25"/>
        <v>Perlu Pengendalian</v>
      </c>
      <c r="P289" s="194">
        <f t="shared" si="26"/>
        <v>25.119</v>
      </c>
      <c r="Q289" s="194">
        <f t="array" ref="Q289">$P289*0.8</f>
        <v>20.095200000000002</v>
      </c>
      <c r="R289" s="194">
        <f t="shared" si="27"/>
        <v>15.071399999999999</v>
      </c>
      <c r="S289" s="194">
        <f t="shared" si="28"/>
        <v>10.047600000000001</v>
      </c>
      <c r="T289" s="194">
        <f t="shared" si="29"/>
        <v>5.0238000000000005</v>
      </c>
    </row>
    <row r="290" spans="1:20" outlineLevel="1" x14ac:dyDescent="0.15">
      <c r="A290" s="8" t="s">
        <v>628</v>
      </c>
      <c r="B290" s="8" t="s">
        <v>47</v>
      </c>
      <c r="C290" s="8" t="s">
        <v>323</v>
      </c>
      <c r="D290" s="8" t="s">
        <v>871</v>
      </c>
      <c r="E290" s="9">
        <v>28.96</v>
      </c>
      <c r="F290" s="8" t="s">
        <v>469</v>
      </c>
      <c r="G290" s="143">
        <f t="array" ref="G290">INDEX('[23]SENSUS MEI'!$G$9:$G$453,MATCH(1,('[23]SENSUS MEI'!$D$9:$D$453=$D290)*('[23]SENSUS MEI'!$D$9:$D$453=$D290),0))</f>
        <v>4300</v>
      </c>
      <c r="H290" s="11">
        <f t="array" ref="H290">INDEX('[23]SENSUS MEI'!$J$9:$J$453,MATCH(1,('[23]SENSUS MEI'!$D$9:$D$453=$D290)*('[23]SENSUS MEI'!$D$9:$D$453=$D290),0))</f>
        <v>46150</v>
      </c>
      <c r="I290" s="143">
        <f t="array" ref="I290">INDEX('[23]SENSUS MEI'!$K$9:$K$453,MATCH(1,('[23]SENSUS MEI'!$D$9:$D$453=$D290)*('[23]SENSUS MEI'!$D$9:$D$453=$D290),0))</f>
        <v>413</v>
      </c>
      <c r="J290" s="9">
        <f t="array" ref="J290">IFERROR(I290/G290*100,0)</f>
        <v>9.604651162790697</v>
      </c>
      <c r="K290" s="143">
        <f t="array" ref="K290">INDEX('[23]SENSUS MEI'!$M$9:$M$453,MATCH(1,('[23]SENSUS MEI'!$D$9:$D$453=$D290)*('[23]SENSUS MEI'!$D$9:$D$453=$D290),0))+INDEX('[23]SENSUS MEI'!$O$9:$O$453,MATCH(1,('[23]SENSUS MEI'!$D$9:$D$453=$D290)*('[23]SENSUS MEI'!$D$9:$D$453=$D290),0))</f>
        <v>90</v>
      </c>
      <c r="L290" s="9">
        <f t="shared" si="30"/>
        <v>21.791767554479417</v>
      </c>
      <c r="M290" s="8" t="str">
        <f t="shared" si="25"/>
        <v>Perlu Pengendalian</v>
      </c>
      <c r="P290" s="194">
        <f t="shared" si="26"/>
        <v>19.350000000000001</v>
      </c>
      <c r="Q290" s="194">
        <f t="array" ref="Q290">$P290*0.8</f>
        <v>15.480000000000002</v>
      </c>
      <c r="R290" s="194">
        <f t="shared" si="27"/>
        <v>11.610000000000001</v>
      </c>
      <c r="S290" s="194">
        <f t="shared" si="28"/>
        <v>7.7400000000000011</v>
      </c>
      <c r="T290" s="194">
        <f t="shared" si="29"/>
        <v>3.8700000000000006</v>
      </c>
    </row>
    <row r="291" spans="1:20" outlineLevel="1" x14ac:dyDescent="0.15">
      <c r="A291" s="8" t="s">
        <v>628</v>
      </c>
      <c r="B291" s="8" t="s">
        <v>47</v>
      </c>
      <c r="C291" s="8" t="s">
        <v>323</v>
      </c>
      <c r="D291" s="8" t="s">
        <v>872</v>
      </c>
      <c r="E291" s="9">
        <v>22.95</v>
      </c>
      <c r="F291" s="8" t="s">
        <v>469</v>
      </c>
      <c r="G291" s="143">
        <f t="array" ref="G291">INDEX('[23]SENSUS MEI'!$G$9:$G$453,MATCH(1,('[23]SENSUS MEI'!$D$9:$D$453=$D291)*('[23]SENSUS MEI'!$D$9:$D$453=$D291),0))</f>
        <v>3332</v>
      </c>
      <c r="H291" s="11">
        <f t="array" ref="H291">INDEX('[23]SENSUS MEI'!$J$9:$J$453,MATCH(1,('[23]SENSUS MEI'!$D$9:$D$453=$D291)*('[23]SENSUS MEI'!$D$9:$D$453=$D291),0))</f>
        <v>46150</v>
      </c>
      <c r="I291" s="143">
        <f t="array" ref="I291">INDEX('[23]SENSUS MEI'!$K$9:$K$453,MATCH(1,('[23]SENSUS MEI'!$D$9:$D$453=$D291)*('[23]SENSUS MEI'!$D$9:$D$453=$D291),0))</f>
        <v>341</v>
      </c>
      <c r="J291" s="9">
        <f t="array" ref="J291">IFERROR(I291/G291*100,0)</f>
        <v>10.234093637454981</v>
      </c>
      <c r="K291" s="143">
        <f t="array" ref="K291">INDEX('[23]SENSUS MEI'!$M$9:$M$453,MATCH(1,('[23]SENSUS MEI'!$D$9:$D$453=$D291)*('[23]SENSUS MEI'!$D$9:$D$453=$D291),0))+INDEX('[23]SENSUS MEI'!$O$9:$O$453,MATCH(1,('[23]SENSUS MEI'!$D$9:$D$453=$D291)*('[23]SENSUS MEI'!$D$9:$D$453=$D291),0))</f>
        <v>77</v>
      </c>
      <c r="L291" s="9">
        <f t="shared" si="30"/>
        <v>22.58064516129032</v>
      </c>
      <c r="M291" s="8" t="str">
        <f t="shared" si="25"/>
        <v>Perlu Pengendalian</v>
      </c>
      <c r="P291" s="194">
        <f t="shared" si="26"/>
        <v>14.994</v>
      </c>
      <c r="Q291" s="194">
        <f t="array" ref="Q291">$P291*0.8</f>
        <v>11.995200000000001</v>
      </c>
      <c r="R291" s="194">
        <f t="shared" si="27"/>
        <v>8.9963999999999995</v>
      </c>
      <c r="S291" s="194">
        <f t="shared" si="28"/>
        <v>5.9976000000000003</v>
      </c>
      <c r="T291" s="194">
        <f t="shared" si="29"/>
        <v>2.9988000000000001</v>
      </c>
    </row>
    <row r="292" spans="1:20" outlineLevel="1" x14ac:dyDescent="0.15">
      <c r="A292" s="8" t="s">
        <v>628</v>
      </c>
      <c r="B292" s="8" t="s">
        <v>47</v>
      </c>
      <c r="C292" s="8" t="s">
        <v>323</v>
      </c>
      <c r="D292" s="8" t="s">
        <v>873</v>
      </c>
      <c r="E292" s="9">
        <v>19.41</v>
      </c>
      <c r="F292" s="8" t="s">
        <v>469</v>
      </c>
      <c r="G292" s="143">
        <f t="array" ref="G292">INDEX('[23]SENSUS MEI'!$G$9:$G$453,MATCH(1,('[23]SENSUS MEI'!$D$9:$D$453=$D292)*('[23]SENSUS MEI'!$D$9:$D$453=$D292),0))</f>
        <v>2493</v>
      </c>
      <c r="H292" s="11">
        <f t="array" ref="H292">INDEX('[23]SENSUS MEI'!$J$9:$J$453,MATCH(1,('[23]SENSUS MEI'!$D$9:$D$453=$D292)*('[23]SENSUS MEI'!$D$9:$D$453=$D292),0))</f>
        <v>46150</v>
      </c>
      <c r="I292" s="143">
        <f t="array" ref="I292">INDEX('[23]SENSUS MEI'!$K$9:$K$453,MATCH(1,('[23]SENSUS MEI'!$D$9:$D$453=$D292)*('[23]SENSUS MEI'!$D$9:$D$453=$D292),0))</f>
        <v>196</v>
      </c>
      <c r="J292" s="9">
        <f t="array" ref="J292">IFERROR(I292/G292*100,0)</f>
        <v>7.8620136381869239</v>
      </c>
      <c r="K292" s="143">
        <f t="array" ref="K292">INDEX('[23]SENSUS MEI'!$M$9:$M$453,MATCH(1,('[23]SENSUS MEI'!$D$9:$D$453=$D292)*('[23]SENSUS MEI'!$D$9:$D$453=$D292),0))+INDEX('[23]SENSUS MEI'!$O$9:$O$453,MATCH(1,('[23]SENSUS MEI'!$D$9:$D$453=$D292)*('[23]SENSUS MEI'!$D$9:$D$453=$D292),0))</f>
        <v>43</v>
      </c>
      <c r="L292" s="9">
        <f t="shared" si="30"/>
        <v>21.938775510204081</v>
      </c>
      <c r="M292" s="8" t="str">
        <f t="shared" si="25"/>
        <v>Perlu Pengendalian</v>
      </c>
      <c r="P292" s="194">
        <f t="shared" si="26"/>
        <v>11.218500000000001</v>
      </c>
      <c r="Q292" s="194">
        <f t="array" ref="Q292">$P292*0.8</f>
        <v>8.9748000000000001</v>
      </c>
      <c r="R292" s="194">
        <f t="shared" si="27"/>
        <v>6.7311000000000005</v>
      </c>
      <c r="S292" s="194">
        <f t="shared" si="28"/>
        <v>4.4874000000000001</v>
      </c>
      <c r="T292" s="194">
        <f t="shared" si="29"/>
        <v>2.2437</v>
      </c>
    </row>
    <row r="293" spans="1:20" outlineLevel="1" x14ac:dyDescent="0.15">
      <c r="A293" s="8" t="s">
        <v>628</v>
      </c>
      <c r="B293" s="8" t="s">
        <v>47</v>
      </c>
      <c r="C293" s="8" t="s">
        <v>323</v>
      </c>
      <c r="D293" s="8" t="s">
        <v>874</v>
      </c>
      <c r="E293" s="9">
        <v>14.79</v>
      </c>
      <c r="F293" s="8" t="s">
        <v>469</v>
      </c>
      <c r="G293" s="143">
        <f t="array" ref="G293">INDEX('[23]SENSUS MEI'!$G$9:$G$453,MATCH(1,('[23]SENSUS MEI'!$D$9:$D$453=$D293)*('[23]SENSUS MEI'!$D$9:$D$453=$D293),0))</f>
        <v>2008</v>
      </c>
      <c r="H293" s="11">
        <f t="array" ref="H293">INDEX('[23]SENSUS MEI'!$J$9:$J$453,MATCH(1,('[23]SENSUS MEI'!$D$9:$D$453=$D293)*('[23]SENSUS MEI'!$D$9:$D$453=$D293),0))</f>
        <v>46154</v>
      </c>
      <c r="I293" s="143">
        <f t="array" ref="I293">INDEX('[23]SENSUS MEI'!$K$9:$K$453,MATCH(1,('[23]SENSUS MEI'!$D$9:$D$453=$D293)*('[23]SENSUS MEI'!$D$9:$D$453=$D293),0))</f>
        <v>158</v>
      </c>
      <c r="J293" s="9">
        <f t="array" ref="J293">IFERROR(I293/G293*100,0)</f>
        <v>7.8685258964143427</v>
      </c>
      <c r="K293" s="143">
        <f t="array" ref="K293">INDEX('[23]SENSUS MEI'!$M$9:$M$453,MATCH(1,('[23]SENSUS MEI'!$D$9:$D$453=$D293)*('[23]SENSUS MEI'!$D$9:$D$453=$D293),0))+INDEX('[23]SENSUS MEI'!$O$9:$O$453,MATCH(1,('[23]SENSUS MEI'!$D$9:$D$453=$D293)*('[23]SENSUS MEI'!$D$9:$D$453=$D293),0))</f>
        <v>32</v>
      </c>
      <c r="L293" s="9">
        <f t="shared" si="30"/>
        <v>20.253164556962027</v>
      </c>
      <c r="M293" s="8" t="str">
        <f t="shared" si="25"/>
        <v>Perlu Pengendalian</v>
      </c>
      <c r="P293" s="194">
        <f t="shared" si="26"/>
        <v>9.0359999999999996</v>
      </c>
      <c r="Q293" s="194">
        <f t="array" ref="Q293">$P293*0.8</f>
        <v>7.2287999999999997</v>
      </c>
      <c r="R293" s="194">
        <f t="shared" si="27"/>
        <v>5.4215999999999998</v>
      </c>
      <c r="S293" s="194">
        <f t="shared" si="28"/>
        <v>3.6143999999999998</v>
      </c>
      <c r="T293" s="194">
        <f t="shared" si="29"/>
        <v>1.8071999999999999</v>
      </c>
    </row>
    <row r="294" spans="1:20" outlineLevel="1" x14ac:dyDescent="0.15">
      <c r="A294" s="8" t="s">
        <v>628</v>
      </c>
      <c r="B294" s="8" t="s">
        <v>47</v>
      </c>
      <c r="C294" s="8" t="s">
        <v>323</v>
      </c>
      <c r="D294" s="8" t="s">
        <v>875</v>
      </c>
      <c r="E294" s="9">
        <v>12.94</v>
      </c>
      <c r="F294" s="8" t="s">
        <v>469</v>
      </c>
      <c r="G294" s="143">
        <f t="array" ref="G294">INDEX('[23]SENSUS MEI'!$G$9:$G$453,MATCH(1,('[23]SENSUS MEI'!$D$9:$D$453=$D294)*('[23]SENSUS MEI'!$D$9:$D$453=$D294),0))</f>
        <v>1742</v>
      </c>
      <c r="H294" s="11">
        <f t="array" ref="H294">INDEX('[23]SENSUS MEI'!$J$9:$J$453,MATCH(1,('[23]SENSUS MEI'!$D$9:$D$453=$D294)*('[23]SENSUS MEI'!$D$9:$D$453=$D294),0))</f>
        <v>46154</v>
      </c>
      <c r="I294" s="143">
        <f t="array" ref="I294">INDEX('[23]SENSUS MEI'!$K$9:$K$453,MATCH(1,('[23]SENSUS MEI'!$D$9:$D$453=$D294)*('[23]SENSUS MEI'!$D$9:$D$453=$D294),0))</f>
        <v>63</v>
      </c>
      <c r="J294" s="9">
        <f t="array" ref="J294">IFERROR(I294/G294*100,0)</f>
        <v>3.6165327210103326</v>
      </c>
      <c r="K294" s="143">
        <f t="array" ref="K294">INDEX('[23]SENSUS MEI'!$M$9:$M$453,MATCH(1,('[23]SENSUS MEI'!$D$9:$D$453=$D294)*('[23]SENSUS MEI'!$D$9:$D$453=$D294),0))+INDEX('[23]SENSUS MEI'!$O$9:$O$453,MATCH(1,('[23]SENSUS MEI'!$D$9:$D$453=$D294)*('[23]SENSUS MEI'!$D$9:$D$453=$D294),0))</f>
        <v>15</v>
      </c>
      <c r="L294" s="9">
        <f t="shared" si="30"/>
        <v>23.809523809523807</v>
      </c>
      <c r="M294" s="8" t="str">
        <f t="shared" si="25"/>
        <v>Perlu Pengendalian</v>
      </c>
      <c r="P294" s="194">
        <f t="shared" si="26"/>
        <v>7.8390000000000004</v>
      </c>
      <c r="Q294" s="194">
        <f t="array" ref="Q294">$P294*0.8</f>
        <v>6.2712000000000003</v>
      </c>
      <c r="R294" s="194">
        <f t="shared" si="27"/>
        <v>4.7034000000000002</v>
      </c>
      <c r="S294" s="194">
        <f t="shared" si="28"/>
        <v>3.1356000000000002</v>
      </c>
      <c r="T294" s="194">
        <f t="shared" si="29"/>
        <v>1.5678000000000001</v>
      </c>
    </row>
    <row r="295" spans="1:20" outlineLevel="1" x14ac:dyDescent="0.15">
      <c r="A295" s="8" t="s">
        <v>628</v>
      </c>
      <c r="B295" s="8" t="s">
        <v>47</v>
      </c>
      <c r="C295" s="8" t="s">
        <v>323</v>
      </c>
      <c r="D295" s="8" t="s">
        <v>103</v>
      </c>
      <c r="E295" s="9">
        <v>48.66</v>
      </c>
      <c r="F295" s="8" t="s">
        <v>469</v>
      </c>
      <c r="G295" s="143">
        <f t="array" ref="G295">INDEX('[23]SENSUS MEI'!$G$9:$G$453,MATCH(1,('[23]SENSUS MEI'!$D$9:$D$453=$D295)*('[23]SENSUS MEI'!$D$9:$D$453=$D295),0))</f>
        <v>6934</v>
      </c>
      <c r="H295" s="11">
        <f t="array" ref="H295">INDEX('[23]SENSUS MEI'!$J$9:$J$453,MATCH(1,('[23]SENSUS MEI'!$D$9:$D$453=$D295)*('[23]SENSUS MEI'!$D$9:$D$453=$D295),0))</f>
        <v>46150</v>
      </c>
      <c r="I295" s="143">
        <f t="array" ref="I295">INDEX('[23]SENSUS MEI'!$K$9:$K$453,MATCH(1,('[23]SENSUS MEI'!$D$9:$D$453=$D295)*('[23]SENSUS MEI'!$D$9:$D$453=$D295),0))</f>
        <v>388</v>
      </c>
      <c r="J295" s="9">
        <f t="array" ref="J295">IFERROR(I295/G295*100,0)</f>
        <v>5.595615806172483</v>
      </c>
      <c r="K295" s="143">
        <f t="array" ref="K295">INDEX('[23]SENSUS MEI'!$M$9:$M$453,MATCH(1,('[23]SENSUS MEI'!$D$9:$D$453=$D295)*('[23]SENSUS MEI'!$D$9:$D$453=$D295),0))+INDEX('[23]SENSUS MEI'!$O$9:$O$453,MATCH(1,('[23]SENSUS MEI'!$D$9:$D$453=$D295)*('[23]SENSUS MEI'!$D$9:$D$453=$D295),0))</f>
        <v>145</v>
      </c>
      <c r="L295" s="9">
        <f t="shared" si="30"/>
        <v>37.371134020618555</v>
      </c>
      <c r="M295" s="8" t="str">
        <f t="shared" si="25"/>
        <v>Perlu Pengendalian</v>
      </c>
      <c r="P295" s="194">
        <f t="shared" si="26"/>
        <v>31.202999999999999</v>
      </c>
      <c r="Q295" s="194">
        <f t="array" ref="Q295">$P295*0.8</f>
        <v>24.962400000000002</v>
      </c>
      <c r="R295" s="194">
        <f t="shared" si="27"/>
        <v>18.721799999999998</v>
      </c>
      <c r="S295" s="194">
        <f t="shared" si="28"/>
        <v>12.481200000000001</v>
      </c>
      <c r="T295" s="194">
        <f t="shared" si="29"/>
        <v>6.2406000000000006</v>
      </c>
    </row>
    <row r="296" spans="1:20" outlineLevel="1" x14ac:dyDescent="0.15">
      <c r="A296" s="8" t="s">
        <v>628</v>
      </c>
      <c r="B296" s="8" t="s">
        <v>47</v>
      </c>
      <c r="C296" s="8" t="s">
        <v>323</v>
      </c>
      <c r="D296" s="8" t="s">
        <v>104</v>
      </c>
      <c r="E296" s="9">
        <v>39.299999999999997</v>
      </c>
      <c r="F296" s="8" t="s">
        <v>469</v>
      </c>
      <c r="G296" s="143">
        <f t="array" ref="G296">INDEX('[23]SENSUS MEI'!$G$9:$G$453,MATCH(1,('[23]SENSUS MEI'!$D$9:$D$453=$D296)*('[23]SENSUS MEI'!$D$9:$D$453=$D296),0))</f>
        <v>5822</v>
      </c>
      <c r="H296" s="11">
        <f t="array" ref="H296">INDEX('[23]SENSUS MEI'!$J$9:$J$453,MATCH(1,('[23]SENSUS MEI'!$D$9:$D$453=$D296)*('[23]SENSUS MEI'!$D$9:$D$453=$D296),0))</f>
        <v>46150</v>
      </c>
      <c r="I296" s="143">
        <f t="array" ref="I296">INDEX('[23]SENSUS MEI'!$K$9:$K$453,MATCH(1,('[23]SENSUS MEI'!$D$9:$D$453=$D296)*('[23]SENSUS MEI'!$D$9:$D$453=$D296),0))</f>
        <v>397</v>
      </c>
      <c r="J296" s="9">
        <f t="array" ref="J296">IFERROR(I296/G296*100,0)</f>
        <v>6.8189625558227416</v>
      </c>
      <c r="K296" s="143">
        <f t="array" ref="K296">INDEX('[23]SENSUS MEI'!$M$9:$M$453,MATCH(1,('[23]SENSUS MEI'!$D$9:$D$453=$D296)*('[23]SENSUS MEI'!$D$9:$D$453=$D296),0))+INDEX('[23]SENSUS MEI'!$O$9:$O$453,MATCH(1,('[23]SENSUS MEI'!$D$9:$D$453=$D296)*('[23]SENSUS MEI'!$D$9:$D$453=$D296),0))</f>
        <v>192</v>
      </c>
      <c r="L296" s="9">
        <f t="shared" si="30"/>
        <v>48.362720403022671</v>
      </c>
      <c r="M296" s="8" t="str">
        <f t="shared" si="25"/>
        <v>Perlu Pengendalian</v>
      </c>
      <c r="P296" s="194">
        <f t="shared" si="26"/>
        <v>26.199000000000002</v>
      </c>
      <c r="Q296" s="194">
        <f t="array" ref="Q296">$P296*0.8</f>
        <v>20.959200000000003</v>
      </c>
      <c r="R296" s="194">
        <f t="shared" si="27"/>
        <v>15.7194</v>
      </c>
      <c r="S296" s="194">
        <f t="shared" si="28"/>
        <v>10.479600000000001</v>
      </c>
      <c r="T296" s="194">
        <f t="shared" si="29"/>
        <v>5.2398000000000007</v>
      </c>
    </row>
    <row r="297" spans="1:20" outlineLevel="1" x14ac:dyDescent="0.15">
      <c r="A297" s="8" t="s">
        <v>628</v>
      </c>
      <c r="B297" s="8" t="s">
        <v>47</v>
      </c>
      <c r="C297" s="8" t="s">
        <v>323</v>
      </c>
      <c r="D297" s="8" t="s">
        <v>105</v>
      </c>
      <c r="E297" s="9">
        <v>40.659999999999997</v>
      </c>
      <c r="F297" s="8" t="s">
        <v>469</v>
      </c>
      <c r="G297" s="143">
        <f t="array" ref="G297">INDEX('[23]SENSUS MEI'!$G$9:$G$453,MATCH(1,('[23]SENSUS MEI'!$D$9:$D$453=$D297)*('[23]SENSUS MEI'!$D$9:$D$453=$D297),0))</f>
        <v>5290</v>
      </c>
      <c r="H297" s="11">
        <f t="array" ref="H297">INDEX('[23]SENSUS MEI'!$J$9:$J$453,MATCH(1,('[23]SENSUS MEI'!$D$9:$D$453=$D297)*('[23]SENSUS MEI'!$D$9:$D$453=$D297),0))</f>
        <v>46154</v>
      </c>
      <c r="I297" s="143">
        <f t="array" ref="I297">INDEX('[23]SENSUS MEI'!$K$9:$K$453,MATCH(1,('[23]SENSUS MEI'!$D$9:$D$453=$D297)*('[23]SENSUS MEI'!$D$9:$D$453=$D297),0))</f>
        <v>543</v>
      </c>
      <c r="J297" s="9">
        <f t="array" ref="J297">IFERROR(I297/G297*100,0)</f>
        <v>10.264650283553875</v>
      </c>
      <c r="K297" s="143">
        <f t="array" ref="K297">INDEX('[23]SENSUS MEI'!$M$9:$M$453,MATCH(1,('[23]SENSUS MEI'!$D$9:$D$453=$D297)*('[23]SENSUS MEI'!$D$9:$D$453=$D297),0))+INDEX('[23]SENSUS MEI'!$O$9:$O$453,MATCH(1,('[23]SENSUS MEI'!$D$9:$D$453=$D297)*('[23]SENSUS MEI'!$D$9:$D$453=$D297),0))</f>
        <v>89</v>
      </c>
      <c r="L297" s="9">
        <f t="shared" si="30"/>
        <v>16.390423572744016</v>
      </c>
      <c r="M297" s="8" t="str">
        <f t="shared" si="25"/>
        <v>Perlu Pengendalian</v>
      </c>
      <c r="P297" s="194">
        <f t="shared" si="26"/>
        <v>23.805</v>
      </c>
      <c r="Q297" s="194">
        <f t="array" ref="Q297">$P297*0.8</f>
        <v>19.044</v>
      </c>
      <c r="R297" s="194">
        <f t="shared" si="27"/>
        <v>14.282999999999999</v>
      </c>
      <c r="S297" s="194">
        <f t="shared" si="28"/>
        <v>9.5220000000000002</v>
      </c>
      <c r="T297" s="194">
        <f t="shared" si="29"/>
        <v>4.7610000000000001</v>
      </c>
    </row>
    <row r="298" spans="1:20" outlineLevel="1" x14ac:dyDescent="0.15">
      <c r="A298" s="8" t="s">
        <v>628</v>
      </c>
      <c r="B298" s="8" t="s">
        <v>47</v>
      </c>
      <c r="C298" s="8" t="s">
        <v>323</v>
      </c>
      <c r="D298" s="8" t="s">
        <v>106</v>
      </c>
      <c r="E298" s="9">
        <v>34.909999999999997</v>
      </c>
      <c r="F298" s="8" t="s">
        <v>469</v>
      </c>
      <c r="G298" s="143">
        <f t="array" ref="G298">INDEX('[23]SENSUS MEI'!$G$9:$G$453,MATCH(1,('[23]SENSUS MEI'!$D$9:$D$453=$D298)*('[23]SENSUS MEI'!$D$9:$D$453=$D298),0))</f>
        <v>4040</v>
      </c>
      <c r="H298" s="11">
        <f t="array" ref="H298">INDEX('[23]SENSUS MEI'!$J$9:$J$453,MATCH(1,('[23]SENSUS MEI'!$D$9:$D$453=$D298)*('[23]SENSUS MEI'!$D$9:$D$453=$D298),0))</f>
        <v>46154</v>
      </c>
      <c r="I298" s="143">
        <f t="array" ref="I298">INDEX('[23]SENSUS MEI'!$K$9:$K$453,MATCH(1,('[23]SENSUS MEI'!$D$9:$D$453=$D298)*('[23]SENSUS MEI'!$D$9:$D$453=$D298),0))</f>
        <v>388</v>
      </c>
      <c r="J298" s="9">
        <f t="array" ref="J298">IFERROR(I298/G298*100,0)</f>
        <v>9.6039603960396036</v>
      </c>
      <c r="K298" s="143">
        <f t="array" ref="K298">INDEX('[23]SENSUS MEI'!$M$9:$M$453,MATCH(1,('[23]SENSUS MEI'!$D$9:$D$453=$D298)*('[23]SENSUS MEI'!$D$9:$D$453=$D298),0))+INDEX('[23]SENSUS MEI'!$O$9:$O$453,MATCH(1,('[23]SENSUS MEI'!$D$9:$D$453=$D298)*('[23]SENSUS MEI'!$D$9:$D$453=$D298),0))</f>
        <v>82</v>
      </c>
      <c r="L298" s="9">
        <f t="shared" si="30"/>
        <v>21.134020618556701</v>
      </c>
      <c r="M298" s="8" t="str">
        <f t="shared" si="25"/>
        <v>Perlu Pengendalian</v>
      </c>
      <c r="P298" s="194">
        <f t="shared" si="26"/>
        <v>18.18</v>
      </c>
      <c r="Q298" s="194">
        <f t="array" ref="Q298">$P298*0.8</f>
        <v>14.544</v>
      </c>
      <c r="R298" s="194">
        <f t="shared" si="27"/>
        <v>10.907999999999999</v>
      </c>
      <c r="S298" s="194">
        <f t="shared" si="28"/>
        <v>7.2720000000000002</v>
      </c>
      <c r="T298" s="194">
        <f t="shared" si="29"/>
        <v>3.6360000000000001</v>
      </c>
    </row>
    <row r="299" spans="1:20" outlineLevel="1" x14ac:dyDescent="0.15">
      <c r="A299" s="8" t="s">
        <v>628</v>
      </c>
      <c r="B299" s="8" t="s">
        <v>47</v>
      </c>
      <c r="C299" s="8" t="s">
        <v>323</v>
      </c>
      <c r="D299" s="8" t="s">
        <v>335</v>
      </c>
      <c r="E299" s="9">
        <v>24.36</v>
      </c>
      <c r="F299" s="8" t="s">
        <v>469</v>
      </c>
      <c r="G299" s="143">
        <f t="array" ref="G299">INDEX('[23]SENSUS MEI'!$G$9:$G$453,MATCH(1,('[23]SENSUS MEI'!$D$9:$D$453=$D299)*('[23]SENSUS MEI'!$D$9:$D$453=$D299),0))</f>
        <v>2960</v>
      </c>
      <c r="H299" s="11">
        <f t="array" ref="H299">INDEX('[23]SENSUS MEI'!$J$9:$J$453,MATCH(1,('[23]SENSUS MEI'!$D$9:$D$453=$D299)*('[23]SENSUS MEI'!$D$9:$D$453=$D299),0))</f>
        <v>46154</v>
      </c>
      <c r="I299" s="143">
        <f t="array" ref="I299">INDEX('[23]SENSUS MEI'!$K$9:$K$453,MATCH(1,('[23]SENSUS MEI'!$D$9:$D$453=$D299)*('[23]SENSUS MEI'!$D$9:$D$453=$D299),0))</f>
        <v>158</v>
      </c>
      <c r="J299" s="9">
        <f t="array" ref="J299">IFERROR(I299/G299*100,0)</f>
        <v>5.3378378378378377</v>
      </c>
      <c r="K299" s="143">
        <f t="array" ref="K299">INDEX('[23]SENSUS MEI'!$M$9:$M$453,MATCH(1,('[23]SENSUS MEI'!$D$9:$D$453=$D299)*('[23]SENSUS MEI'!$D$9:$D$453=$D299),0))+INDEX('[23]SENSUS MEI'!$O$9:$O$453,MATCH(1,('[23]SENSUS MEI'!$D$9:$D$453=$D299)*('[23]SENSUS MEI'!$D$9:$D$453=$D299),0))</f>
        <v>32</v>
      </c>
      <c r="L299" s="9">
        <f t="shared" si="30"/>
        <v>20.253164556962027</v>
      </c>
      <c r="M299" s="8" t="str">
        <f t="shared" si="25"/>
        <v>Perlu Pengendalian</v>
      </c>
      <c r="P299" s="194">
        <f t="shared" si="26"/>
        <v>13.32</v>
      </c>
      <c r="Q299" s="194">
        <f t="array" ref="Q299">$P299*0.8</f>
        <v>10.656000000000001</v>
      </c>
      <c r="R299" s="194">
        <f t="shared" si="27"/>
        <v>7.992</v>
      </c>
      <c r="S299" s="194">
        <f t="shared" si="28"/>
        <v>5.3280000000000003</v>
      </c>
      <c r="T299" s="194">
        <f t="shared" si="29"/>
        <v>2.6640000000000001</v>
      </c>
    </row>
    <row r="300" spans="1:20" outlineLevel="1" x14ac:dyDescent="0.15">
      <c r="A300" s="8" t="s">
        <v>628</v>
      </c>
      <c r="B300" s="8" t="s">
        <v>47</v>
      </c>
      <c r="C300" s="8" t="s">
        <v>323</v>
      </c>
      <c r="D300" s="8" t="s">
        <v>336</v>
      </c>
      <c r="E300" s="9">
        <v>3.76</v>
      </c>
      <c r="F300" s="8" t="s">
        <v>469</v>
      </c>
      <c r="G300" s="143">
        <f t="array" ref="G300">INDEX('[23]SENSUS MEI'!$G$9:$G$453,MATCH(1,('[23]SENSUS MEI'!$D$9:$D$453=$D300)*('[23]SENSUS MEI'!$D$9:$D$453=$D300),0))</f>
        <v>685</v>
      </c>
      <c r="H300" s="11">
        <f t="array" ref="H300">INDEX('[23]SENSUS MEI'!$J$9:$J$453,MATCH(1,('[23]SENSUS MEI'!$D$9:$D$453=$D300)*('[23]SENSUS MEI'!$D$9:$D$453=$D300),0))</f>
        <v>46154</v>
      </c>
      <c r="I300" s="143">
        <f t="array" ref="I300">INDEX('[23]SENSUS MEI'!$K$9:$K$453,MATCH(1,('[23]SENSUS MEI'!$D$9:$D$453=$D300)*('[23]SENSUS MEI'!$D$9:$D$453=$D300),0))</f>
        <v>52</v>
      </c>
      <c r="J300" s="9">
        <f t="array" ref="J300">IFERROR(I300/G300*100,0)</f>
        <v>7.5912408759124084</v>
      </c>
      <c r="K300" s="143">
        <f t="array" ref="K300">INDEX('[23]SENSUS MEI'!$M$9:$M$453,MATCH(1,('[23]SENSUS MEI'!$D$9:$D$453=$D300)*('[23]SENSUS MEI'!$D$9:$D$453=$D300),0))+INDEX('[23]SENSUS MEI'!$O$9:$O$453,MATCH(1,('[23]SENSUS MEI'!$D$9:$D$453=$D300)*('[23]SENSUS MEI'!$D$9:$D$453=$D300),0))</f>
        <v>15</v>
      </c>
      <c r="L300" s="9">
        <f t="shared" si="30"/>
        <v>28.846153846153843</v>
      </c>
      <c r="M300" s="8" t="str">
        <f t="shared" si="25"/>
        <v>Perlu Pengendalian</v>
      </c>
      <c r="P300" s="194">
        <f t="shared" si="26"/>
        <v>3.0825</v>
      </c>
      <c r="Q300" s="194">
        <f t="array" ref="Q300">$P300*0.8</f>
        <v>2.4660000000000002</v>
      </c>
      <c r="R300" s="194">
        <f t="shared" si="27"/>
        <v>1.8494999999999999</v>
      </c>
      <c r="S300" s="194">
        <f t="shared" si="28"/>
        <v>1.2330000000000001</v>
      </c>
      <c r="T300" s="194">
        <f t="shared" si="29"/>
        <v>0.61650000000000005</v>
      </c>
    </row>
    <row r="301" spans="1:20" outlineLevel="1" x14ac:dyDescent="0.15">
      <c r="A301" s="8" t="s">
        <v>628</v>
      </c>
      <c r="B301" s="8" t="s">
        <v>47</v>
      </c>
      <c r="C301" s="8" t="s">
        <v>323</v>
      </c>
      <c r="D301" s="8" t="s">
        <v>342</v>
      </c>
      <c r="E301" s="9">
        <v>17.059999999999999</v>
      </c>
      <c r="F301" s="8" t="s">
        <v>469</v>
      </c>
      <c r="G301" s="143">
        <f t="array" ref="G301">INDEX('[23]SENSUS MEI'!$G$9:$G$453,MATCH(1,('[23]SENSUS MEI'!$D$9:$D$453=$D301)*('[23]SENSUS MEI'!$D$9:$D$453=$D301),0))</f>
        <v>2368</v>
      </c>
      <c r="H301" s="11">
        <f t="array" ref="H301">INDEX('[23]SENSUS MEI'!$J$9:$J$453,MATCH(1,('[23]SENSUS MEI'!$D$9:$D$453=$D301)*('[23]SENSUS MEI'!$D$9:$D$453=$D301),0))</f>
        <v>46151</v>
      </c>
      <c r="I301" s="143">
        <f t="array" ref="I301">INDEX('[23]SENSUS MEI'!$K$9:$K$453,MATCH(1,('[23]SENSUS MEI'!$D$9:$D$453=$D301)*('[23]SENSUS MEI'!$D$9:$D$453=$D301),0))</f>
        <v>230</v>
      </c>
      <c r="J301" s="9">
        <f t="array" ref="J301">IFERROR(I301/G301*100,0)</f>
        <v>9.7128378378378368</v>
      </c>
      <c r="K301" s="143">
        <f t="array" ref="K301">INDEX('[23]SENSUS MEI'!$M$9:$M$453,MATCH(1,('[23]SENSUS MEI'!$D$9:$D$453=$D301)*('[23]SENSUS MEI'!$D$9:$D$453=$D301),0))+INDEX('[23]SENSUS MEI'!$O$9:$O$453,MATCH(1,('[23]SENSUS MEI'!$D$9:$D$453=$D301)*('[23]SENSUS MEI'!$D$9:$D$453=$D301),0))</f>
        <v>20</v>
      </c>
      <c r="L301" s="9">
        <f t="shared" si="30"/>
        <v>8.695652173913043</v>
      </c>
      <c r="M301" s="8" t="str">
        <f t="shared" si="25"/>
        <v>Perlu Pengendalian</v>
      </c>
      <c r="P301" s="194">
        <f t="shared" si="26"/>
        <v>10.656000000000001</v>
      </c>
      <c r="Q301" s="194">
        <f t="array" ref="Q301">$P301*0.8</f>
        <v>8.5248000000000008</v>
      </c>
      <c r="R301" s="194">
        <f t="shared" si="27"/>
        <v>6.3936000000000002</v>
      </c>
      <c r="S301" s="194">
        <f t="shared" si="28"/>
        <v>4.2624000000000004</v>
      </c>
      <c r="T301" s="194">
        <f t="shared" si="29"/>
        <v>2.1312000000000002</v>
      </c>
    </row>
    <row r="302" spans="1:20" outlineLevel="1" x14ac:dyDescent="0.15">
      <c r="A302" s="8" t="s">
        <v>628</v>
      </c>
      <c r="B302" s="8" t="s">
        <v>47</v>
      </c>
      <c r="C302" s="8" t="s">
        <v>323</v>
      </c>
      <c r="D302" s="8" t="s">
        <v>343</v>
      </c>
      <c r="E302" s="9">
        <v>21.24</v>
      </c>
      <c r="F302" s="8" t="s">
        <v>469</v>
      </c>
      <c r="G302" s="143">
        <f t="array" ref="G302">INDEX('[23]SENSUS MEI'!$G$9:$G$453,MATCH(1,('[23]SENSUS MEI'!$D$9:$D$453=$D302)*('[23]SENSUS MEI'!$D$9:$D$453=$D302),0))</f>
        <v>2401</v>
      </c>
      <c r="H302" s="11">
        <f t="array" ref="H302">INDEX('[23]SENSUS MEI'!$J$9:$J$453,MATCH(1,('[23]SENSUS MEI'!$D$9:$D$453=$D302)*('[23]SENSUS MEI'!$D$9:$D$453=$D302),0))</f>
        <v>46158</v>
      </c>
      <c r="I302" s="143">
        <f t="array" ref="I302">INDEX('[23]SENSUS MEI'!$K$9:$K$453,MATCH(1,('[23]SENSUS MEI'!$D$9:$D$453=$D302)*('[23]SENSUS MEI'!$D$9:$D$453=$D302),0))</f>
        <v>235</v>
      </c>
      <c r="J302" s="9">
        <f t="array" ref="J302">IFERROR(I302/G302*100,0)</f>
        <v>9.7875885047896709</v>
      </c>
      <c r="K302" s="143">
        <f t="array" ref="K302">INDEX('[23]SENSUS MEI'!$M$9:$M$453,MATCH(1,('[23]SENSUS MEI'!$D$9:$D$453=$D302)*('[23]SENSUS MEI'!$D$9:$D$453=$D302),0))+INDEX('[23]SENSUS MEI'!$O$9:$O$453,MATCH(1,('[23]SENSUS MEI'!$D$9:$D$453=$D302)*('[23]SENSUS MEI'!$D$9:$D$453=$D302),0))</f>
        <v>32</v>
      </c>
      <c r="L302" s="9">
        <f t="shared" si="30"/>
        <v>13.617021276595745</v>
      </c>
      <c r="M302" s="8" t="str">
        <f t="shared" si="25"/>
        <v>Perlu Pengendalian</v>
      </c>
      <c r="P302" s="194">
        <f t="shared" si="26"/>
        <v>10.804500000000001</v>
      </c>
      <c r="Q302" s="194">
        <f t="array" ref="Q302">$P302*0.8</f>
        <v>8.6436000000000011</v>
      </c>
      <c r="R302" s="194">
        <f t="shared" si="27"/>
        <v>6.4827000000000004</v>
      </c>
      <c r="S302" s="194">
        <f t="shared" si="28"/>
        <v>4.3218000000000005</v>
      </c>
      <c r="T302" s="194">
        <f t="shared" si="29"/>
        <v>2.1609000000000003</v>
      </c>
    </row>
    <row r="303" spans="1:20" x14ac:dyDescent="0.15">
      <c r="A303" s="8" t="s">
        <v>628</v>
      </c>
      <c r="B303" s="8" t="s">
        <v>47</v>
      </c>
      <c r="C303" s="8" t="s">
        <v>323</v>
      </c>
      <c r="D303" s="8" t="s">
        <v>344</v>
      </c>
      <c r="E303" s="9">
        <v>25.51</v>
      </c>
      <c r="F303" s="8" t="s">
        <v>469</v>
      </c>
      <c r="G303" s="143">
        <f t="array" ref="G303">INDEX('[23]SENSUS MEI'!$G$9:$G$453,MATCH(1,('[23]SENSUS MEI'!$D$9:$D$453=$D303)*('[23]SENSUS MEI'!$D$9:$D$453=$D303),0))</f>
        <v>3180</v>
      </c>
      <c r="H303" s="11">
        <f t="array" ref="H303">INDEX('[23]SENSUS MEI'!$J$9:$J$453,MATCH(1,('[23]SENSUS MEI'!$D$9:$D$453=$D303)*('[23]SENSUS MEI'!$D$9:$D$453=$D303),0))</f>
        <v>46151</v>
      </c>
      <c r="I303" s="143">
        <f t="array" ref="I303">INDEX('[23]SENSUS MEI'!$K$9:$K$453,MATCH(1,('[23]SENSUS MEI'!$D$9:$D$453=$D303)*('[23]SENSUS MEI'!$D$9:$D$453=$D303),0))</f>
        <v>262</v>
      </c>
      <c r="J303" s="9">
        <f t="array" ref="J303">IFERROR(I303/G303*100,0)</f>
        <v>8.2389937106918243</v>
      </c>
      <c r="K303" s="143">
        <f t="array" ref="K303">INDEX('[23]SENSUS MEI'!$M$9:$M$453,MATCH(1,('[23]SENSUS MEI'!$D$9:$D$453=$D303)*('[23]SENSUS MEI'!$D$9:$D$453=$D303),0))+INDEX('[23]SENSUS MEI'!$O$9:$O$453,MATCH(1,('[23]SENSUS MEI'!$D$9:$D$453=$D303)*('[23]SENSUS MEI'!$D$9:$D$453=$D303),0))</f>
        <v>128</v>
      </c>
      <c r="L303" s="9">
        <f t="shared" si="30"/>
        <v>48.854961832061065</v>
      </c>
      <c r="M303" s="8" t="str">
        <f t="shared" si="25"/>
        <v>Perlu Pengendalian</v>
      </c>
      <c r="P303" s="194">
        <f t="shared" si="26"/>
        <v>14.31</v>
      </c>
      <c r="Q303" s="194">
        <f t="array" ref="Q303">$P303*0.8</f>
        <v>11.448</v>
      </c>
      <c r="R303" s="194">
        <f t="shared" si="27"/>
        <v>8.5860000000000003</v>
      </c>
      <c r="S303" s="194">
        <f t="shared" si="28"/>
        <v>5.7240000000000002</v>
      </c>
      <c r="T303" s="194">
        <f t="shared" si="29"/>
        <v>2.8620000000000001</v>
      </c>
    </row>
    <row r="304" spans="1:20" x14ac:dyDescent="0.15">
      <c r="A304" s="8" t="s">
        <v>628</v>
      </c>
      <c r="B304" s="8" t="s">
        <v>47</v>
      </c>
      <c r="C304" s="8" t="s">
        <v>323</v>
      </c>
      <c r="D304" s="8" t="s">
        <v>876</v>
      </c>
      <c r="E304" s="9">
        <v>39.17</v>
      </c>
      <c r="F304" s="8" t="s">
        <v>469</v>
      </c>
      <c r="G304" s="143">
        <f t="array" ref="G304">INDEX('[23]SENSUS MEI'!$G$9:$G$453,MATCH(1,('[23]SENSUS MEI'!$D$9:$D$453=$D304)*('[23]SENSUS MEI'!$D$9:$D$453=$D304),0))</f>
        <v>5413</v>
      </c>
      <c r="H304" s="11">
        <f t="array" ref="H304">INDEX('[23]SENSUS MEI'!$J$9:$J$453,MATCH(1,('[23]SENSUS MEI'!$D$9:$D$453=$D304)*('[23]SENSUS MEI'!$D$9:$D$453=$D304),0))</f>
        <v>46151</v>
      </c>
      <c r="I304" s="143">
        <f t="array" ref="I304">INDEX('[23]SENSUS MEI'!$K$9:$K$453,MATCH(1,('[23]SENSUS MEI'!$D$9:$D$453=$D304)*('[23]SENSUS MEI'!$D$9:$D$453=$D304),0))</f>
        <v>478</v>
      </c>
      <c r="J304" s="9">
        <f t="array" ref="J304">IFERROR(I304/G304*100,0)</f>
        <v>8.8305930168113811</v>
      </c>
      <c r="K304" s="143">
        <f t="array" ref="K304">INDEX('[23]SENSUS MEI'!$M$9:$M$453,MATCH(1,('[23]SENSUS MEI'!$D$9:$D$453=$D304)*('[23]SENSUS MEI'!$D$9:$D$453=$D304),0))+INDEX('[23]SENSUS MEI'!$O$9:$O$453,MATCH(1,('[23]SENSUS MEI'!$D$9:$D$453=$D304)*('[23]SENSUS MEI'!$D$9:$D$453=$D304),0))</f>
        <v>132</v>
      </c>
      <c r="L304" s="9">
        <f t="shared" si="30"/>
        <v>27.615062761506277</v>
      </c>
      <c r="M304" s="8" t="str">
        <f t="shared" si="25"/>
        <v>Perlu Pengendalian</v>
      </c>
      <c r="P304" s="194">
        <f t="shared" si="26"/>
        <v>24.358499999999999</v>
      </c>
      <c r="Q304" s="194">
        <f t="array" ref="Q304">$P304*0.8</f>
        <v>19.486800000000002</v>
      </c>
      <c r="R304" s="194">
        <f t="shared" si="27"/>
        <v>14.615099999999998</v>
      </c>
      <c r="S304" s="194">
        <f t="shared" si="28"/>
        <v>9.7434000000000012</v>
      </c>
      <c r="T304" s="194">
        <f t="shared" si="29"/>
        <v>4.8717000000000006</v>
      </c>
    </row>
    <row r="305" spans="1:20" x14ac:dyDescent="0.15">
      <c r="A305" s="8" t="s">
        <v>628</v>
      </c>
      <c r="B305" s="8" t="s">
        <v>47</v>
      </c>
      <c r="C305" s="8" t="s">
        <v>323</v>
      </c>
      <c r="D305" s="8" t="s">
        <v>877</v>
      </c>
      <c r="E305" s="9">
        <v>46.84</v>
      </c>
      <c r="F305" s="8" t="s">
        <v>469</v>
      </c>
      <c r="G305" s="143">
        <f t="array" ref="G305">INDEX('[23]SENSUS MEI'!$G$9:$G$453,MATCH(1,('[23]SENSUS MEI'!$D$9:$D$453=$D305)*('[23]SENSUS MEI'!$D$9:$D$453=$D305),0))</f>
        <v>5813</v>
      </c>
      <c r="H305" s="11">
        <f t="array" ref="H305">INDEX('[23]SENSUS MEI'!$J$9:$J$453,MATCH(1,('[23]SENSUS MEI'!$D$9:$D$453=$D305)*('[23]SENSUS MEI'!$D$9:$D$453=$D305),0))</f>
        <v>46151</v>
      </c>
      <c r="I305" s="143">
        <f t="array" ref="I305">INDEX('[23]SENSUS MEI'!$K$9:$K$453,MATCH(1,('[23]SENSUS MEI'!$D$9:$D$453=$D305)*('[23]SENSUS MEI'!$D$9:$D$453=$D305),0))</f>
        <v>475</v>
      </c>
      <c r="J305" s="9">
        <f t="array" ref="J305">IFERROR(I305/G305*100,0)</f>
        <v>8.1713400997763621</v>
      </c>
      <c r="K305" s="143">
        <f t="array" ref="K305">INDEX('[23]SENSUS MEI'!$M$9:$M$453,MATCH(1,('[23]SENSUS MEI'!$D$9:$D$453=$D305)*('[23]SENSUS MEI'!$D$9:$D$453=$D305),0))+INDEX('[23]SENSUS MEI'!$O$9:$O$453,MATCH(1,('[23]SENSUS MEI'!$D$9:$D$453=$D305)*('[23]SENSUS MEI'!$D$9:$D$453=$D305),0))</f>
        <v>114</v>
      </c>
      <c r="L305" s="9">
        <f t="shared" si="30"/>
        <v>24</v>
      </c>
      <c r="M305" s="8" t="str">
        <f t="shared" si="25"/>
        <v>Perlu Pengendalian</v>
      </c>
      <c r="P305" s="194">
        <f t="shared" si="26"/>
        <v>26.1585</v>
      </c>
      <c r="Q305" s="194">
        <f t="array" ref="Q305">$P305*0.8</f>
        <v>20.9268</v>
      </c>
      <c r="R305" s="194">
        <f t="shared" si="27"/>
        <v>15.6951</v>
      </c>
      <c r="S305" s="194">
        <f t="shared" si="28"/>
        <v>10.4634</v>
      </c>
      <c r="T305" s="194">
        <f t="shared" si="29"/>
        <v>5.2317</v>
      </c>
    </row>
    <row r="306" spans="1:20" x14ac:dyDescent="0.15">
      <c r="A306" s="8" t="s">
        <v>628</v>
      </c>
      <c r="B306" s="8" t="s">
        <v>47</v>
      </c>
      <c r="C306" s="8" t="s">
        <v>323</v>
      </c>
      <c r="D306" s="8" t="s">
        <v>878</v>
      </c>
      <c r="E306" s="9">
        <v>48</v>
      </c>
      <c r="F306" s="8" t="s">
        <v>469</v>
      </c>
      <c r="G306" s="143">
        <f t="array" ref="G306">INDEX('[23]SENSUS MEI'!$G$9:$G$453,MATCH(1,('[23]SENSUS MEI'!$D$9:$D$453=$D306)*('[23]SENSUS MEI'!$D$9:$D$453=$D306),0))</f>
        <v>6730</v>
      </c>
      <c r="H306" s="11">
        <f t="array" ref="H306">INDEX('[23]SENSUS MEI'!$J$9:$J$453,MATCH(1,('[23]SENSUS MEI'!$D$9:$D$453=$D306)*('[23]SENSUS MEI'!$D$9:$D$453=$D306),0))</f>
        <v>46153</v>
      </c>
      <c r="I306" s="143">
        <f t="array" ref="I306">INDEX('[23]SENSUS MEI'!$K$9:$K$453,MATCH(1,('[23]SENSUS MEI'!$D$9:$D$453=$D306)*('[23]SENSUS MEI'!$D$9:$D$453=$D306),0))</f>
        <v>495</v>
      </c>
      <c r="J306" s="9">
        <f t="array" ref="J306">IFERROR(I306/G306*100,0)</f>
        <v>7.3551263001485889</v>
      </c>
      <c r="K306" s="143">
        <f t="array" ref="K306">INDEX('[23]SENSUS MEI'!$M$9:$M$453,MATCH(1,('[23]SENSUS MEI'!$D$9:$D$453=$D306)*('[23]SENSUS MEI'!$D$9:$D$453=$D306),0))+INDEX('[23]SENSUS MEI'!$O$9:$O$453,MATCH(1,('[23]SENSUS MEI'!$D$9:$D$453=$D306)*('[23]SENSUS MEI'!$D$9:$D$453=$D306),0))</f>
        <v>143</v>
      </c>
      <c r="L306" s="9">
        <f t="shared" si="30"/>
        <v>28.888888888888886</v>
      </c>
      <c r="M306" s="8" t="str">
        <f t="shared" si="25"/>
        <v>Perlu Pengendalian</v>
      </c>
      <c r="P306" s="194">
        <f t="shared" si="26"/>
        <v>30.285</v>
      </c>
      <c r="Q306" s="194">
        <f t="array" ref="Q306">$P306*0.8</f>
        <v>24.228000000000002</v>
      </c>
      <c r="R306" s="194">
        <f t="shared" si="27"/>
        <v>18.170999999999999</v>
      </c>
      <c r="S306" s="194">
        <f t="shared" si="28"/>
        <v>12.114000000000001</v>
      </c>
      <c r="T306" s="194">
        <f t="shared" si="29"/>
        <v>6.0570000000000004</v>
      </c>
    </row>
    <row r="307" spans="1:20" x14ac:dyDescent="0.15">
      <c r="A307" s="8" t="s">
        <v>628</v>
      </c>
      <c r="B307" s="8" t="s">
        <v>47</v>
      </c>
      <c r="C307" s="8" t="s">
        <v>323</v>
      </c>
      <c r="D307" s="8" t="s">
        <v>879</v>
      </c>
      <c r="E307" s="9">
        <v>44.17</v>
      </c>
      <c r="F307" s="8" t="s">
        <v>469</v>
      </c>
      <c r="G307" s="143">
        <f t="array" ref="G307">INDEX('[23]SENSUS MEI'!$G$9:$G$453,MATCH(1,('[23]SENSUS MEI'!$D$9:$D$453=$D307)*('[23]SENSUS MEI'!$D$9:$D$453=$D307),0))</f>
        <v>6421</v>
      </c>
      <c r="H307" s="11">
        <f t="array" ref="H307">INDEX('[23]SENSUS MEI'!$J$9:$J$453,MATCH(1,('[23]SENSUS MEI'!$D$9:$D$453=$D307)*('[23]SENSUS MEI'!$D$9:$D$453=$D307),0))</f>
        <v>46153</v>
      </c>
      <c r="I307" s="143">
        <f t="array" ref="I307">INDEX('[23]SENSUS MEI'!$K$9:$K$453,MATCH(1,('[23]SENSUS MEI'!$D$9:$D$453=$D307)*('[23]SENSUS MEI'!$D$9:$D$453=$D307),0))</f>
        <v>615</v>
      </c>
      <c r="J307" s="9">
        <f t="array" ref="J307">IFERROR(I307/G307*100,0)</f>
        <v>9.5779473602242629</v>
      </c>
      <c r="K307" s="143">
        <f t="array" ref="K307">INDEX('[23]SENSUS MEI'!$M$9:$M$453,MATCH(1,('[23]SENSUS MEI'!$D$9:$D$453=$D307)*('[23]SENSUS MEI'!$D$9:$D$453=$D307),0))+INDEX('[23]SENSUS MEI'!$O$9:$O$453,MATCH(1,('[23]SENSUS MEI'!$D$9:$D$453=$D307)*('[23]SENSUS MEI'!$D$9:$D$453=$D307),0))</f>
        <v>49</v>
      </c>
      <c r="L307" s="9">
        <f t="shared" si="30"/>
        <v>7.9674796747967482</v>
      </c>
      <c r="M307" s="8" t="str">
        <f t="shared" si="25"/>
        <v>Perlu Pengendalian</v>
      </c>
      <c r="P307" s="194">
        <f t="shared" si="26"/>
        <v>28.894500000000001</v>
      </c>
      <c r="Q307" s="194">
        <f t="array" ref="Q307">$P307*0.8</f>
        <v>23.115600000000001</v>
      </c>
      <c r="R307" s="194">
        <f t="shared" si="27"/>
        <v>17.3367</v>
      </c>
      <c r="S307" s="194">
        <f t="shared" si="28"/>
        <v>11.5578</v>
      </c>
      <c r="T307" s="194">
        <f t="shared" si="29"/>
        <v>5.7789000000000001</v>
      </c>
    </row>
    <row r="308" spans="1:20" x14ac:dyDescent="0.15">
      <c r="A308" s="8" t="s">
        <v>628</v>
      </c>
      <c r="B308" s="8" t="s">
        <v>47</v>
      </c>
      <c r="C308" s="8" t="s">
        <v>323</v>
      </c>
      <c r="D308" s="8" t="s">
        <v>880</v>
      </c>
      <c r="E308" s="9">
        <v>24.55</v>
      </c>
      <c r="F308" s="8" t="s">
        <v>469</v>
      </c>
      <c r="G308" s="143">
        <f t="array" ref="G308">INDEX('[23]SENSUS MEI'!$G$9:$G$453,MATCH(1,('[23]SENSUS MEI'!$D$9:$D$453=$D308)*('[23]SENSUS MEI'!$D$9:$D$453=$D308),0))</f>
        <v>3553</v>
      </c>
      <c r="H308" s="11">
        <f t="array" ref="H308">INDEX('[23]SENSUS MEI'!$J$9:$J$453,MATCH(1,('[23]SENSUS MEI'!$D$9:$D$453=$D308)*('[23]SENSUS MEI'!$D$9:$D$453=$D308),0))</f>
        <v>46153</v>
      </c>
      <c r="I308" s="143">
        <f t="array" ref="I308">INDEX('[23]SENSUS MEI'!$K$9:$K$453,MATCH(1,('[23]SENSUS MEI'!$D$9:$D$453=$D308)*('[23]SENSUS MEI'!$D$9:$D$453=$D308),0))</f>
        <v>351</v>
      </c>
      <c r="J308" s="9">
        <f t="array" ref="J308">IFERROR(I308/G308*100,0)</f>
        <v>9.8789755136504365</v>
      </c>
      <c r="K308" s="143">
        <f t="array" ref="K308">INDEX('[23]SENSUS MEI'!$M$9:$M$453,MATCH(1,('[23]SENSUS MEI'!$D$9:$D$453=$D308)*('[23]SENSUS MEI'!$D$9:$D$453=$D308),0))+INDEX('[23]SENSUS MEI'!$O$9:$O$453,MATCH(1,('[23]SENSUS MEI'!$D$9:$D$453=$D308)*('[23]SENSUS MEI'!$D$9:$D$453=$D308),0))</f>
        <v>56</v>
      </c>
      <c r="L308" s="9">
        <f t="shared" si="30"/>
        <v>15.954415954415953</v>
      </c>
      <c r="M308" s="8" t="str">
        <f t="shared" si="25"/>
        <v>Perlu Pengendalian</v>
      </c>
      <c r="P308" s="194">
        <f t="shared" si="26"/>
        <v>15.9885</v>
      </c>
      <c r="Q308" s="194">
        <f t="array" ref="Q308">$P308*0.8</f>
        <v>12.790800000000001</v>
      </c>
      <c r="R308" s="194">
        <f t="shared" si="27"/>
        <v>9.5930999999999997</v>
      </c>
      <c r="S308" s="194">
        <f t="shared" si="28"/>
        <v>6.3954000000000004</v>
      </c>
      <c r="T308" s="194">
        <f t="shared" si="29"/>
        <v>3.1977000000000002</v>
      </c>
    </row>
    <row r="309" spans="1:20" x14ac:dyDescent="0.15">
      <c r="A309" s="8" t="s">
        <v>628</v>
      </c>
      <c r="B309" s="8" t="s">
        <v>47</v>
      </c>
      <c r="C309" s="8" t="s">
        <v>323</v>
      </c>
      <c r="D309" s="8" t="s">
        <v>881</v>
      </c>
      <c r="E309" s="9">
        <v>41.02</v>
      </c>
      <c r="F309" s="8" t="s">
        <v>469</v>
      </c>
      <c r="G309" s="143">
        <f t="array" ref="G309">INDEX('[23]SENSUS MEI'!$G$9:$G$453,MATCH(1,('[23]SENSUS MEI'!$D$9:$D$453=$D309)*('[23]SENSUS MEI'!$D$9:$D$453=$D309),0))</f>
        <v>5682</v>
      </c>
      <c r="H309" s="11">
        <f t="array" ref="H309">INDEX('[23]SENSUS MEI'!$J$9:$J$453,MATCH(1,('[23]SENSUS MEI'!$D$9:$D$453=$D309)*('[23]SENSUS MEI'!$D$9:$D$453=$D309),0))</f>
        <v>46153</v>
      </c>
      <c r="I309" s="143">
        <f t="array" ref="I309">INDEX('[23]SENSUS MEI'!$K$9:$K$453,MATCH(1,('[23]SENSUS MEI'!$D$9:$D$453=$D309)*('[23]SENSUS MEI'!$D$9:$D$453=$D309),0))</f>
        <v>571</v>
      </c>
      <c r="J309" s="9">
        <f t="array" ref="J309">IFERROR(I309/G309*100,0)</f>
        <v>10.049278423090461</v>
      </c>
      <c r="K309" s="143">
        <f t="array" ref="K309">INDEX('[23]SENSUS MEI'!$M$9:$M$453,MATCH(1,('[23]SENSUS MEI'!$D$9:$D$453=$D309)*('[23]SENSUS MEI'!$D$9:$D$453=$D309),0))+INDEX('[23]SENSUS MEI'!$O$9:$O$453,MATCH(1,('[23]SENSUS MEI'!$D$9:$D$453=$D309)*('[23]SENSUS MEI'!$D$9:$D$453=$D309),0))</f>
        <v>86</v>
      </c>
      <c r="L309" s="9">
        <f t="shared" si="30"/>
        <v>15.061295971978982</v>
      </c>
      <c r="M309" s="8" t="str">
        <f t="shared" si="25"/>
        <v>Perlu Pengendalian</v>
      </c>
      <c r="P309" s="194">
        <f t="shared" si="26"/>
        <v>25.568999999999999</v>
      </c>
      <c r="Q309" s="194">
        <f t="array" ref="Q309">$P309*0.8</f>
        <v>20.455200000000001</v>
      </c>
      <c r="R309" s="194">
        <f t="shared" si="27"/>
        <v>15.341399999999998</v>
      </c>
      <c r="S309" s="194">
        <f t="shared" si="28"/>
        <v>10.227600000000001</v>
      </c>
      <c r="T309" s="194">
        <f t="shared" si="29"/>
        <v>5.1138000000000003</v>
      </c>
    </row>
    <row r="310" spans="1:20" x14ac:dyDescent="0.15">
      <c r="A310" s="8" t="s">
        <v>628</v>
      </c>
      <c r="B310" s="8" t="s">
        <v>47</v>
      </c>
      <c r="C310" s="8" t="s">
        <v>323</v>
      </c>
      <c r="D310" s="8" t="s">
        <v>882</v>
      </c>
      <c r="E310" s="9">
        <v>21.32</v>
      </c>
      <c r="F310" s="8" t="s">
        <v>469</v>
      </c>
      <c r="G310" s="143">
        <f t="array" ref="G310">INDEX('[23]SENSUS MEI'!$G$9:$G$453,MATCH(1,('[23]SENSUS MEI'!$D$9:$D$453=$D310)*('[23]SENSUS MEI'!$D$9:$D$453=$D310),0))</f>
        <v>2835</v>
      </c>
      <c r="H310" s="11">
        <f t="array" ref="H310">INDEX('[23]SENSUS MEI'!$J$9:$J$453,MATCH(1,('[23]SENSUS MEI'!$D$9:$D$453=$D310)*('[23]SENSUS MEI'!$D$9:$D$453=$D310),0))</f>
        <v>46158</v>
      </c>
      <c r="I310" s="143">
        <f t="array" ref="I310">INDEX('[23]SENSUS MEI'!$K$9:$K$453,MATCH(1,('[23]SENSUS MEI'!$D$9:$D$453=$D310)*('[23]SENSUS MEI'!$D$9:$D$453=$D310),0))</f>
        <v>268</v>
      </c>
      <c r="J310" s="9">
        <f t="array" ref="J310">IFERROR(I310/G310*100,0)</f>
        <v>9.4532627865961203</v>
      </c>
      <c r="K310" s="143">
        <f t="array" ref="K310">INDEX('[23]SENSUS MEI'!$M$9:$M$453,MATCH(1,('[23]SENSUS MEI'!$D$9:$D$453=$D310)*('[23]SENSUS MEI'!$D$9:$D$453=$D310),0))+INDEX('[23]SENSUS MEI'!$O$9:$O$453,MATCH(1,('[23]SENSUS MEI'!$D$9:$D$453=$D310)*('[23]SENSUS MEI'!$D$9:$D$453=$D310),0))</f>
        <v>26</v>
      </c>
      <c r="L310" s="9">
        <f t="shared" si="30"/>
        <v>9.7014925373134329</v>
      </c>
      <c r="M310" s="8" t="str">
        <f t="shared" si="25"/>
        <v>Perlu Pengendalian</v>
      </c>
      <c r="P310" s="194">
        <f t="shared" si="26"/>
        <v>12.7575</v>
      </c>
      <c r="Q310" s="194">
        <f t="array" ref="Q310">$P310*0.8</f>
        <v>10.206000000000001</v>
      </c>
      <c r="R310" s="194">
        <f t="shared" si="27"/>
        <v>7.6544999999999996</v>
      </c>
      <c r="S310" s="194">
        <f t="shared" si="28"/>
        <v>5.1030000000000006</v>
      </c>
      <c r="T310" s="194">
        <f t="shared" si="29"/>
        <v>2.5515000000000003</v>
      </c>
    </row>
    <row r="311" spans="1:20" x14ac:dyDescent="0.15">
      <c r="A311" s="8" t="s">
        <v>628</v>
      </c>
      <c r="B311" s="8" t="s">
        <v>47</v>
      </c>
      <c r="C311" s="8" t="s">
        <v>323</v>
      </c>
      <c r="D311" s="8" t="s">
        <v>883</v>
      </c>
      <c r="E311" s="9">
        <v>16.579999999999998</v>
      </c>
      <c r="F311" s="8" t="s">
        <v>469</v>
      </c>
      <c r="G311" s="143">
        <f t="array" ref="G311">INDEX('[23]SENSUS MEI'!$G$9:$G$453,MATCH(1,('[23]SENSUS MEI'!$D$9:$D$453=$D311)*('[23]SENSUS MEI'!$D$9:$D$453=$D311),0))</f>
        <v>2100</v>
      </c>
      <c r="H311" s="11">
        <f t="array" ref="H311">INDEX('[23]SENSUS MEI'!$J$9:$J$453,MATCH(1,('[23]SENSUS MEI'!$D$9:$D$453=$D311)*('[23]SENSUS MEI'!$D$9:$D$453=$D311),0))</f>
        <v>46158</v>
      </c>
      <c r="I311" s="143">
        <f t="array" ref="I311">INDEX('[23]SENSUS MEI'!$K$9:$K$453,MATCH(1,('[23]SENSUS MEI'!$D$9:$D$453=$D311)*('[23]SENSUS MEI'!$D$9:$D$453=$D311),0))</f>
        <v>190</v>
      </c>
      <c r="J311" s="9">
        <f t="array" ref="J311">IFERROR(I311/G311*100,0)</f>
        <v>9.0476190476190474</v>
      </c>
      <c r="K311" s="143">
        <f t="array" ref="K311">INDEX('[23]SENSUS MEI'!$M$9:$M$453,MATCH(1,('[23]SENSUS MEI'!$D$9:$D$453=$D311)*('[23]SENSUS MEI'!$D$9:$D$453=$D311),0))+INDEX('[23]SENSUS MEI'!$O$9:$O$453,MATCH(1,('[23]SENSUS MEI'!$D$9:$D$453=$D311)*('[23]SENSUS MEI'!$D$9:$D$453=$D311),0))</f>
        <v>18</v>
      </c>
      <c r="L311" s="9">
        <f t="shared" si="30"/>
        <v>9.4736842105263168</v>
      </c>
      <c r="M311" s="8" t="str">
        <f t="shared" si="25"/>
        <v>Perlu Pengendalian</v>
      </c>
      <c r="P311" s="194">
        <f t="shared" si="26"/>
        <v>9.4499999999999993</v>
      </c>
      <c r="Q311" s="194">
        <f t="array" ref="Q311">$P311*0.8</f>
        <v>7.56</v>
      </c>
      <c r="R311" s="194">
        <f t="shared" si="27"/>
        <v>5.669999999999999</v>
      </c>
      <c r="S311" s="194">
        <f t="shared" si="28"/>
        <v>3.78</v>
      </c>
      <c r="T311" s="194">
        <f t="shared" si="29"/>
        <v>1.89</v>
      </c>
    </row>
    <row r="312" spans="1:20" x14ac:dyDescent="0.15">
      <c r="A312" s="8" t="s">
        <v>628</v>
      </c>
      <c r="B312" s="8" t="s">
        <v>47</v>
      </c>
      <c r="C312" s="8" t="s">
        <v>323</v>
      </c>
      <c r="D312" s="8" t="s">
        <v>884</v>
      </c>
      <c r="E312" s="9">
        <v>11.02</v>
      </c>
      <c r="F312" s="8" t="s">
        <v>469</v>
      </c>
      <c r="G312" s="143">
        <f t="array" ref="G312">INDEX('[23]SENSUS MEI'!$G$9:$G$453,MATCH(1,('[23]SENSUS MEI'!$D$9:$D$453=$D312)*('[23]SENSUS MEI'!$D$9:$D$453=$D312),0))</f>
        <v>1621</v>
      </c>
      <c r="H312" s="11">
        <f t="array" ref="H312">INDEX('[23]SENSUS MEI'!$J$9:$J$453,MATCH(1,('[23]SENSUS MEI'!$D$9:$D$453=$D312)*('[23]SENSUS MEI'!$D$9:$D$453=$D312),0))</f>
        <v>46156</v>
      </c>
      <c r="I312" s="143">
        <f t="array" ref="I312">INDEX('[23]SENSUS MEI'!$K$9:$K$453,MATCH(1,('[23]SENSUS MEI'!$D$9:$D$453=$D312)*('[23]SENSUS MEI'!$D$9:$D$453=$D312),0))</f>
        <v>86</v>
      </c>
      <c r="J312" s="9">
        <f t="array" ref="J312">IFERROR(I312/G312*100,0)</f>
        <v>5.305367057371992</v>
      </c>
      <c r="K312" s="143">
        <f t="array" ref="K312">INDEX('[23]SENSUS MEI'!$M$9:$M$453,MATCH(1,('[23]SENSUS MEI'!$D$9:$D$453=$D312)*('[23]SENSUS MEI'!$D$9:$D$453=$D312),0))+INDEX('[23]SENSUS MEI'!$O$9:$O$453,MATCH(1,('[23]SENSUS MEI'!$D$9:$D$453=$D312)*('[23]SENSUS MEI'!$D$9:$D$453=$D312),0))</f>
        <v>11</v>
      </c>
      <c r="L312" s="9">
        <f t="shared" si="30"/>
        <v>12.790697674418606</v>
      </c>
      <c r="M312" s="8" t="str">
        <f t="shared" si="25"/>
        <v>Perlu Pengendalian</v>
      </c>
      <c r="P312" s="194">
        <f t="shared" si="26"/>
        <v>7.2945000000000002</v>
      </c>
      <c r="Q312" s="194">
        <f t="array" ref="Q312">$P312*0.8</f>
        <v>5.8356000000000003</v>
      </c>
      <c r="R312" s="194">
        <f t="shared" si="27"/>
        <v>4.3766999999999996</v>
      </c>
      <c r="S312" s="194">
        <f t="shared" si="28"/>
        <v>2.9178000000000002</v>
      </c>
      <c r="T312" s="194">
        <f t="shared" si="29"/>
        <v>1.4589000000000001</v>
      </c>
    </row>
    <row r="313" spans="1:20" x14ac:dyDescent="0.15">
      <c r="A313" s="8" t="s">
        <v>628</v>
      </c>
      <c r="B313" s="8" t="s">
        <v>47</v>
      </c>
      <c r="C313" s="8" t="s">
        <v>323</v>
      </c>
      <c r="D313" s="8" t="s">
        <v>885</v>
      </c>
      <c r="E313" s="9">
        <v>5.98</v>
      </c>
      <c r="F313" s="8" t="s">
        <v>469</v>
      </c>
      <c r="G313" s="143">
        <f t="array" ref="G313">INDEX('[23]SENSUS MEI'!$G$9:$G$453,MATCH(1,('[23]SENSUS MEI'!$D$9:$D$453=$D313)*('[23]SENSUS MEI'!$D$9:$D$453=$D313),0))</f>
        <v>919</v>
      </c>
      <c r="H313" s="11">
        <f t="array" ref="H313">INDEX('[23]SENSUS MEI'!$J$9:$J$453,MATCH(1,('[23]SENSUS MEI'!$D$9:$D$453=$D313)*('[23]SENSUS MEI'!$D$9:$D$453=$D313),0))</f>
        <v>46155</v>
      </c>
      <c r="I313" s="143">
        <f t="array" ref="I313">INDEX('[23]SENSUS MEI'!$K$9:$K$453,MATCH(1,('[23]SENSUS MEI'!$D$9:$D$453=$D313)*('[23]SENSUS MEI'!$D$9:$D$453=$D313),0))</f>
        <v>62</v>
      </c>
      <c r="J313" s="9">
        <f t="array" ref="J313">IFERROR(I313/G313*100,0)</f>
        <v>6.7464635473340584</v>
      </c>
      <c r="K313" s="143">
        <f t="array" ref="K313">INDEX('[23]SENSUS MEI'!$M$9:$M$453,MATCH(1,('[23]SENSUS MEI'!$D$9:$D$453=$D313)*('[23]SENSUS MEI'!$D$9:$D$453=$D313),0))+INDEX('[23]SENSUS MEI'!$O$9:$O$453,MATCH(1,('[23]SENSUS MEI'!$D$9:$D$453=$D313)*('[23]SENSUS MEI'!$D$9:$D$453=$D313),0))</f>
        <v>5</v>
      </c>
      <c r="L313" s="9">
        <f t="shared" si="30"/>
        <v>8.064516129032258</v>
      </c>
      <c r="M313" s="8" t="str">
        <f t="shared" si="25"/>
        <v>Perlu Pengendalian</v>
      </c>
      <c r="P313" s="194">
        <f t="shared" si="26"/>
        <v>4.1355000000000004</v>
      </c>
      <c r="Q313" s="194">
        <f t="array" ref="Q313">$P313*0.8</f>
        <v>3.3084000000000007</v>
      </c>
      <c r="R313" s="194">
        <f t="shared" si="27"/>
        <v>2.4813000000000001</v>
      </c>
      <c r="S313" s="194">
        <f t="shared" si="28"/>
        <v>1.6542000000000003</v>
      </c>
      <c r="T313" s="194">
        <f t="shared" si="29"/>
        <v>0.82710000000000017</v>
      </c>
    </row>
    <row r="314" spans="1:20" x14ac:dyDescent="0.15">
      <c r="A314" s="8" t="s">
        <v>628</v>
      </c>
      <c r="B314" s="8" t="s">
        <v>47</v>
      </c>
      <c r="C314" s="8" t="s">
        <v>323</v>
      </c>
      <c r="D314" s="8" t="s">
        <v>346</v>
      </c>
      <c r="E314" s="9">
        <v>17.77</v>
      </c>
      <c r="F314" s="8" t="s">
        <v>16</v>
      </c>
      <c r="G314" s="143">
        <f t="array" ref="G314">INDEX('[23]SENSUS MEI'!$G$9:$G$453,MATCH(1,('[23]SENSUS MEI'!$D$9:$D$453=$D314)*('[23]SENSUS MEI'!$D$9:$D$453=$D314),0))</f>
        <v>2372</v>
      </c>
      <c r="H314" s="11">
        <f t="array" ref="H314">INDEX('[23]SENSUS MEI'!$J$9:$J$453,MATCH(1,('[23]SENSUS MEI'!$D$9:$D$453=$D314)*('[23]SENSUS MEI'!$D$9:$D$453=$D314),0))</f>
        <v>46154</v>
      </c>
      <c r="I314" s="143">
        <f t="array" ref="I314">INDEX('[23]SENSUS MEI'!$K$9:$K$453,MATCH(1,('[23]SENSUS MEI'!$D$9:$D$453=$D314)*('[23]SENSUS MEI'!$D$9:$D$453=$D314),0))</f>
        <v>319</v>
      </c>
      <c r="J314" s="9">
        <f t="array" ref="J314">IFERROR(I314/G314*100,0)</f>
        <v>13.448566610455313</v>
      </c>
      <c r="K314" s="143">
        <f t="array" ref="K314">INDEX('[23]SENSUS MEI'!$M$9:$M$453,MATCH(1,('[23]SENSUS MEI'!$D$9:$D$453=$D314)*('[23]SENSUS MEI'!$D$9:$D$453=$D314),0))+INDEX('[23]SENSUS MEI'!$O$9:$O$453,MATCH(1,('[23]SENSUS MEI'!$D$9:$D$453=$D314)*('[23]SENSUS MEI'!$D$9:$D$453=$D314),0))</f>
        <v>35</v>
      </c>
      <c r="L314" s="9">
        <f t="shared" si="30"/>
        <v>10.9717868338558</v>
      </c>
      <c r="M314" s="8" t="str">
        <f t="shared" si="25"/>
        <v>Perlu Pengendalian</v>
      </c>
      <c r="P314" s="194">
        <f t="shared" si="26"/>
        <v>10.673999999999999</v>
      </c>
      <c r="Q314" s="194">
        <f t="array" ref="Q314">$P314*0.8</f>
        <v>8.5391999999999992</v>
      </c>
      <c r="R314" s="194">
        <f t="shared" si="27"/>
        <v>6.4043999999999999</v>
      </c>
      <c r="S314" s="194">
        <f t="shared" si="28"/>
        <v>4.2695999999999996</v>
      </c>
      <c r="T314" s="194">
        <f t="shared" si="29"/>
        <v>2.1347999999999998</v>
      </c>
    </row>
    <row r="315" spans="1:20" x14ac:dyDescent="0.15">
      <c r="A315" s="8" t="s">
        <v>628</v>
      </c>
      <c r="B315" s="8" t="s">
        <v>47</v>
      </c>
      <c r="C315" s="8" t="s">
        <v>323</v>
      </c>
      <c r="D315" s="8" t="s">
        <v>347</v>
      </c>
      <c r="E315" s="9">
        <v>16.78</v>
      </c>
      <c r="F315" s="8" t="s">
        <v>16</v>
      </c>
      <c r="G315" s="143">
        <f t="array" ref="G315">INDEX('[23]SENSUS MEI'!$G$9:$G$453,MATCH(1,('[23]SENSUS MEI'!$D$9:$D$453=$D315)*('[23]SENSUS MEI'!$D$9:$D$453=$D315),0))</f>
        <v>1929</v>
      </c>
      <c r="H315" s="11">
        <f t="array" ref="H315">INDEX('[23]SENSUS MEI'!$J$9:$J$453,MATCH(1,('[23]SENSUS MEI'!$D$9:$D$453=$D315)*('[23]SENSUS MEI'!$D$9:$D$453=$D315),0))</f>
        <v>46154</v>
      </c>
      <c r="I315" s="143">
        <f t="array" ref="I315">INDEX('[23]SENSUS MEI'!$K$9:$K$453,MATCH(1,('[23]SENSUS MEI'!$D$9:$D$453=$D315)*('[23]SENSUS MEI'!$D$9:$D$453=$D315),0))</f>
        <v>256</v>
      </c>
      <c r="J315" s="9">
        <f t="array" ref="J315">IFERROR(I315/G315*100,0)</f>
        <v>13.271124935199586</v>
      </c>
      <c r="K315" s="143">
        <f t="array" ref="K315">INDEX('[23]SENSUS MEI'!$M$9:$M$453,MATCH(1,('[23]SENSUS MEI'!$D$9:$D$453=$D315)*('[23]SENSUS MEI'!$D$9:$D$453=$D315),0))+INDEX('[23]SENSUS MEI'!$O$9:$O$453,MATCH(1,('[23]SENSUS MEI'!$D$9:$D$453=$D315)*('[23]SENSUS MEI'!$D$9:$D$453=$D315),0))</f>
        <v>60</v>
      </c>
      <c r="L315" s="9">
        <f t="shared" si="30"/>
        <v>23.4375</v>
      </c>
      <c r="M315" s="8" t="str">
        <f t="shared" si="25"/>
        <v>Perlu Pengendalian</v>
      </c>
      <c r="P315" s="194">
        <f t="shared" si="26"/>
        <v>8.6805000000000003</v>
      </c>
      <c r="Q315" s="194">
        <f t="array" ref="Q315">$P315*0.8</f>
        <v>6.9444000000000008</v>
      </c>
      <c r="R315" s="194">
        <f t="shared" si="27"/>
        <v>5.2083000000000004</v>
      </c>
      <c r="S315" s="194">
        <f t="shared" si="28"/>
        <v>3.4722000000000004</v>
      </c>
      <c r="T315" s="194">
        <f t="shared" si="29"/>
        <v>1.7361000000000002</v>
      </c>
    </row>
    <row r="316" spans="1:20" x14ac:dyDescent="0.15">
      <c r="A316" s="8" t="s">
        <v>628</v>
      </c>
      <c r="B316" s="8" t="s">
        <v>47</v>
      </c>
      <c r="C316" s="8" t="s">
        <v>323</v>
      </c>
      <c r="D316" s="8" t="s">
        <v>348</v>
      </c>
      <c r="E316" s="9">
        <v>10.53</v>
      </c>
      <c r="F316" s="8" t="s">
        <v>16</v>
      </c>
      <c r="G316" s="143">
        <f t="array" ref="G316">INDEX('[23]SENSUS MEI'!$G$9:$G$453,MATCH(1,('[23]SENSUS MEI'!$D$9:$D$453=$D316)*('[23]SENSUS MEI'!$D$9:$D$453=$D316),0))</f>
        <v>1387</v>
      </c>
      <c r="H316" s="11">
        <f t="array" ref="H316">INDEX('[23]SENSUS MEI'!$J$9:$J$453,MATCH(1,('[23]SENSUS MEI'!$D$9:$D$453=$D316)*('[23]SENSUS MEI'!$D$9:$D$453=$D316),0))</f>
        <v>46155</v>
      </c>
      <c r="I316" s="143">
        <f t="array" ref="I316">INDEX('[23]SENSUS MEI'!$K$9:$K$453,MATCH(1,('[23]SENSUS MEI'!$D$9:$D$453=$D316)*('[23]SENSUS MEI'!$D$9:$D$453=$D316),0))</f>
        <v>81</v>
      </c>
      <c r="J316" s="9">
        <f t="array" ref="J316">IFERROR(I316/G316*100,0)</f>
        <v>5.8399423215573174</v>
      </c>
      <c r="K316" s="143">
        <f t="array" ref="K316">INDEX('[23]SENSUS MEI'!$M$9:$M$453,MATCH(1,('[23]SENSUS MEI'!$D$9:$D$453=$D316)*('[23]SENSUS MEI'!$D$9:$D$453=$D316),0))+INDEX('[23]SENSUS MEI'!$O$9:$O$453,MATCH(1,('[23]SENSUS MEI'!$D$9:$D$453=$D316)*('[23]SENSUS MEI'!$D$9:$D$453=$D316),0))</f>
        <v>32</v>
      </c>
      <c r="L316" s="9">
        <f t="shared" si="30"/>
        <v>39.506172839506171</v>
      </c>
      <c r="M316" s="8" t="str">
        <f t="shared" si="25"/>
        <v>Perlu Pengendalian</v>
      </c>
      <c r="P316" s="194">
        <f t="shared" si="26"/>
        <v>6.2415000000000003</v>
      </c>
      <c r="Q316" s="194">
        <f t="array" ref="Q316">$P316*0.8</f>
        <v>4.9932000000000007</v>
      </c>
      <c r="R316" s="194">
        <f t="shared" si="27"/>
        <v>3.7448999999999999</v>
      </c>
      <c r="S316" s="194">
        <f t="shared" si="28"/>
        <v>2.4966000000000004</v>
      </c>
      <c r="T316" s="194">
        <f t="shared" si="29"/>
        <v>1.2483000000000002</v>
      </c>
    </row>
    <row r="317" spans="1:20" x14ac:dyDescent="0.15">
      <c r="A317" s="8" t="s">
        <v>628</v>
      </c>
      <c r="B317" s="8" t="s">
        <v>47</v>
      </c>
      <c r="C317" s="8" t="s">
        <v>323</v>
      </c>
      <c r="D317" s="8" t="s">
        <v>349</v>
      </c>
      <c r="E317" s="9">
        <v>10.34</v>
      </c>
      <c r="F317" s="8" t="s">
        <v>16</v>
      </c>
      <c r="G317" s="143">
        <f t="array" ref="G317">INDEX('[23]SENSUS MEI'!$G$9:$G$453,MATCH(1,('[23]SENSUS MEI'!$D$9:$D$453=$D317)*('[23]SENSUS MEI'!$D$9:$D$453=$D317),0))</f>
        <v>1298</v>
      </c>
      <c r="H317" s="11">
        <f t="array" ref="H317">INDEX('[23]SENSUS MEI'!$J$9:$J$453,MATCH(1,('[23]SENSUS MEI'!$D$9:$D$453=$D317)*('[23]SENSUS MEI'!$D$9:$D$453=$D317),0))</f>
        <v>46155</v>
      </c>
      <c r="I317" s="143">
        <f t="array" ref="I317">INDEX('[23]SENSUS MEI'!$K$9:$K$453,MATCH(1,('[23]SENSUS MEI'!$D$9:$D$453=$D317)*('[23]SENSUS MEI'!$D$9:$D$453=$D317),0))</f>
        <v>102</v>
      </c>
      <c r="J317" s="9">
        <f t="array" ref="J317">IFERROR(I317/G317*100,0)</f>
        <v>7.8582434514637907</v>
      </c>
      <c r="K317" s="143">
        <f t="array" ref="K317">INDEX('[23]SENSUS MEI'!$M$9:$M$453,MATCH(1,('[23]SENSUS MEI'!$D$9:$D$453=$D317)*('[23]SENSUS MEI'!$D$9:$D$453=$D317),0))+INDEX('[23]SENSUS MEI'!$O$9:$O$453,MATCH(1,('[23]SENSUS MEI'!$D$9:$D$453=$D317)*('[23]SENSUS MEI'!$D$9:$D$453=$D317),0))</f>
        <v>21</v>
      </c>
      <c r="L317" s="9">
        <f t="shared" si="30"/>
        <v>20.588235294117645</v>
      </c>
      <c r="M317" s="8" t="str">
        <f t="shared" si="25"/>
        <v>Perlu Pengendalian</v>
      </c>
      <c r="P317" s="194">
        <f t="shared" si="26"/>
        <v>5.8410000000000002</v>
      </c>
      <c r="Q317" s="194">
        <f t="array" ref="Q317">$P317*0.8</f>
        <v>4.6728000000000005</v>
      </c>
      <c r="R317" s="194">
        <f t="shared" si="27"/>
        <v>3.5045999999999999</v>
      </c>
      <c r="S317" s="194">
        <f t="shared" si="28"/>
        <v>2.3364000000000003</v>
      </c>
      <c r="T317" s="194">
        <f t="shared" si="29"/>
        <v>1.1682000000000001</v>
      </c>
    </row>
    <row r="318" spans="1:20" x14ac:dyDescent="0.15">
      <c r="A318" s="8" t="s">
        <v>628</v>
      </c>
      <c r="B318" s="8" t="s">
        <v>47</v>
      </c>
      <c r="C318" s="8" t="s">
        <v>323</v>
      </c>
      <c r="D318" s="8" t="s">
        <v>350</v>
      </c>
      <c r="E318" s="9">
        <v>8.92</v>
      </c>
      <c r="F318" s="8" t="s">
        <v>469</v>
      </c>
      <c r="G318" s="143">
        <f t="array" ref="G318">INDEX('[23]SENSUS MEI'!$G$9:$G$453,MATCH(1,('[23]SENSUS MEI'!$D$9:$D$453=$D318)*('[23]SENSUS MEI'!$D$9:$D$453=$D318),0))</f>
        <v>1015</v>
      </c>
      <c r="H318" s="11">
        <f t="array" ref="H318">INDEX('[23]SENSUS MEI'!$J$9:$J$453,MATCH(1,('[23]SENSUS MEI'!$D$9:$D$453=$D318)*('[23]SENSUS MEI'!$D$9:$D$453=$D318),0))</f>
        <v>46155</v>
      </c>
      <c r="I318" s="143">
        <f t="array" ref="I318">INDEX('[23]SENSUS MEI'!$K$9:$K$453,MATCH(1,('[23]SENSUS MEI'!$D$9:$D$453=$D318)*('[23]SENSUS MEI'!$D$9:$D$453=$D318),0))</f>
        <v>102</v>
      </c>
      <c r="J318" s="9">
        <f t="array" ref="J318">IFERROR(I318/G318*100,0)</f>
        <v>10.049261083743842</v>
      </c>
      <c r="K318" s="143">
        <f t="array" ref="K318">INDEX('[23]SENSUS MEI'!$M$9:$M$453,MATCH(1,('[23]SENSUS MEI'!$D$9:$D$453=$D318)*('[23]SENSUS MEI'!$D$9:$D$453=$D318),0))+INDEX('[23]SENSUS MEI'!$O$9:$O$453,MATCH(1,('[23]SENSUS MEI'!$D$9:$D$453=$D318)*('[23]SENSUS MEI'!$D$9:$D$453=$D318),0))</f>
        <v>32</v>
      </c>
      <c r="L318" s="9">
        <f t="shared" si="30"/>
        <v>31.372549019607842</v>
      </c>
      <c r="M318" s="8" t="str">
        <f t="shared" si="25"/>
        <v>Perlu Pengendalian</v>
      </c>
      <c r="P318" s="194">
        <f t="shared" si="26"/>
        <v>4.5674999999999999</v>
      </c>
      <c r="Q318" s="194">
        <f t="array" ref="Q318">$P318*0.8</f>
        <v>3.6539999999999999</v>
      </c>
      <c r="R318" s="194">
        <f t="shared" si="27"/>
        <v>2.7404999999999999</v>
      </c>
      <c r="S318" s="194">
        <f t="shared" si="28"/>
        <v>1.827</v>
      </c>
      <c r="T318" s="194">
        <f t="shared" si="29"/>
        <v>0.91349999999999998</v>
      </c>
    </row>
    <row r="319" spans="1:20" x14ac:dyDescent="0.15">
      <c r="A319" s="8" t="s">
        <v>628</v>
      </c>
      <c r="B319" s="8" t="s">
        <v>47</v>
      </c>
      <c r="C319" s="8" t="s">
        <v>323</v>
      </c>
      <c r="D319" s="8" t="s">
        <v>351</v>
      </c>
      <c r="E319" s="9">
        <v>13.29</v>
      </c>
      <c r="F319" s="8" t="s">
        <v>469</v>
      </c>
      <c r="G319" s="143">
        <f t="array" ref="G319">INDEX('[23]SENSUS MEI'!$G$9:$G$453,MATCH(1,('[23]SENSUS MEI'!$D$9:$D$453=$D319)*('[23]SENSUS MEI'!$D$9:$D$453=$D319),0))</f>
        <v>1778</v>
      </c>
      <c r="H319" s="11">
        <f t="array" ref="H319">INDEX('[23]SENSUS MEI'!$J$9:$J$453,MATCH(1,('[23]SENSUS MEI'!$D$9:$D$453=$D319)*('[23]SENSUS MEI'!$D$9:$D$453=$D319),0))</f>
        <v>46157</v>
      </c>
      <c r="I319" s="143">
        <f t="array" ref="I319">INDEX('[23]SENSUS MEI'!$K$9:$K$453,MATCH(1,('[23]SENSUS MEI'!$D$9:$D$453=$D319)*('[23]SENSUS MEI'!$D$9:$D$453=$D319),0))</f>
        <v>177</v>
      </c>
      <c r="J319" s="9">
        <f t="array" ref="J319">IFERROR(I319/G319*100,0)</f>
        <v>9.9550056242969625</v>
      </c>
      <c r="K319" s="143">
        <f t="array" ref="K319">INDEX('[23]SENSUS MEI'!$M$9:$M$453,MATCH(1,('[23]SENSUS MEI'!$D$9:$D$453=$D319)*('[23]SENSUS MEI'!$D$9:$D$453=$D319),0))+INDEX('[23]SENSUS MEI'!$O$9:$O$453,MATCH(1,('[23]SENSUS MEI'!$D$9:$D$453=$D319)*('[23]SENSUS MEI'!$D$9:$D$453=$D319),0))</f>
        <v>9</v>
      </c>
      <c r="L319" s="9">
        <f t="shared" si="30"/>
        <v>5.0847457627118651</v>
      </c>
      <c r="M319" s="8" t="str">
        <f t="shared" si="25"/>
        <v>Perlu Pengendalian</v>
      </c>
      <c r="P319" s="194">
        <f t="shared" si="26"/>
        <v>8.0009999999999994</v>
      </c>
      <c r="Q319" s="194">
        <f t="array" ref="Q319">$P319*0.8</f>
        <v>6.4008000000000003</v>
      </c>
      <c r="R319" s="194">
        <f t="shared" si="27"/>
        <v>4.8005999999999993</v>
      </c>
      <c r="S319" s="194">
        <f t="shared" si="28"/>
        <v>3.2004000000000001</v>
      </c>
      <c r="T319" s="194">
        <f t="shared" si="29"/>
        <v>1.6002000000000001</v>
      </c>
    </row>
    <row r="320" spans="1:20" x14ac:dyDescent="0.15">
      <c r="A320" s="8" t="s">
        <v>628</v>
      </c>
      <c r="B320" s="8" t="s">
        <v>47</v>
      </c>
      <c r="C320" s="8" t="s">
        <v>323</v>
      </c>
      <c r="D320" s="8" t="s">
        <v>352</v>
      </c>
      <c r="E320" s="9">
        <v>10.41</v>
      </c>
      <c r="F320" s="8" t="s">
        <v>469</v>
      </c>
      <c r="G320" s="143">
        <f t="array" ref="G320">INDEX('[23]SENSUS MEI'!$G$9:$G$453,MATCH(1,('[23]SENSUS MEI'!$D$9:$D$453=$D320)*('[23]SENSUS MEI'!$D$9:$D$453=$D320),0))</f>
        <v>1433</v>
      </c>
      <c r="H320" s="11">
        <f t="array" ref="H320">INDEX('[23]SENSUS MEI'!$J$9:$J$453,MATCH(1,('[23]SENSUS MEI'!$D$9:$D$453=$D320)*('[23]SENSUS MEI'!$D$9:$D$453=$D320),0))</f>
        <v>46157</v>
      </c>
      <c r="I320" s="143">
        <f t="array" ref="I320">INDEX('[23]SENSUS MEI'!$K$9:$K$453,MATCH(1,('[23]SENSUS MEI'!$D$9:$D$453=$D320)*('[23]SENSUS MEI'!$D$9:$D$453=$D320),0))</f>
        <v>139</v>
      </c>
      <c r="J320" s="9">
        <f t="array" ref="J320">IFERROR(I320/G320*100,0)</f>
        <v>9.6999302163293795</v>
      </c>
      <c r="K320" s="143">
        <f t="array" ref="K320">INDEX('[23]SENSUS MEI'!$M$9:$M$453,MATCH(1,('[23]SENSUS MEI'!$D$9:$D$453=$D320)*('[23]SENSUS MEI'!$D$9:$D$453=$D320),0))+INDEX('[23]SENSUS MEI'!$O$9:$O$453,MATCH(1,('[23]SENSUS MEI'!$D$9:$D$453=$D320)*('[23]SENSUS MEI'!$D$9:$D$453=$D320),0))</f>
        <v>18</v>
      </c>
      <c r="L320" s="9">
        <f t="shared" si="30"/>
        <v>12.949640287769784</v>
      </c>
      <c r="M320" s="8" t="str">
        <f t="shared" si="25"/>
        <v>Perlu Pengendalian</v>
      </c>
      <c r="P320" s="194">
        <f t="shared" si="26"/>
        <v>6.4485000000000001</v>
      </c>
      <c r="Q320" s="194">
        <f t="array" ref="Q320">$P320*0.8</f>
        <v>5.1588000000000003</v>
      </c>
      <c r="R320" s="194">
        <f t="shared" si="27"/>
        <v>3.8691</v>
      </c>
      <c r="S320" s="194">
        <f t="shared" si="28"/>
        <v>2.5794000000000001</v>
      </c>
      <c r="T320" s="194">
        <f t="shared" si="29"/>
        <v>1.2897000000000001</v>
      </c>
    </row>
    <row r="321" spans="1:20" x14ac:dyDescent="0.15">
      <c r="A321" s="8" t="s">
        <v>628</v>
      </c>
      <c r="B321" s="8" t="s">
        <v>47</v>
      </c>
      <c r="C321" s="8" t="s">
        <v>323</v>
      </c>
      <c r="D321" s="8" t="s">
        <v>353</v>
      </c>
      <c r="E321" s="9">
        <v>8.31</v>
      </c>
      <c r="F321" s="8" t="s">
        <v>469</v>
      </c>
      <c r="G321" s="143">
        <f t="array" ref="G321">INDEX('[23]SENSUS MEI'!$G$9:$G$453,MATCH(1,('[23]SENSUS MEI'!$D$9:$D$453=$D321)*('[23]SENSUS MEI'!$D$9:$D$453=$D321),0))</f>
        <v>1139</v>
      </c>
      <c r="H321" s="11">
        <f t="array" ref="H321">INDEX('[23]SENSUS MEI'!$J$9:$J$453,MATCH(1,('[23]SENSUS MEI'!$D$9:$D$453=$D321)*('[23]SENSUS MEI'!$D$9:$D$453=$D321),0))</f>
        <v>46157</v>
      </c>
      <c r="I321" s="143">
        <f t="array" ref="I321">INDEX('[23]SENSUS MEI'!$K$9:$K$453,MATCH(1,('[23]SENSUS MEI'!$D$9:$D$453=$D321)*('[23]SENSUS MEI'!$D$9:$D$453=$D321),0))</f>
        <v>82</v>
      </c>
      <c r="J321" s="9">
        <f t="array" ref="J321">IFERROR(I321/G321*100,0)</f>
        <v>7.1992976294995614</v>
      </c>
      <c r="K321" s="143">
        <f t="array" ref="K321">INDEX('[23]SENSUS MEI'!$M$9:$M$453,MATCH(1,('[23]SENSUS MEI'!$D$9:$D$453=$D321)*('[23]SENSUS MEI'!$D$9:$D$453=$D321),0))+INDEX('[23]SENSUS MEI'!$O$9:$O$453,MATCH(1,('[23]SENSUS MEI'!$D$9:$D$453=$D321)*('[23]SENSUS MEI'!$D$9:$D$453=$D321),0))</f>
        <v>16</v>
      </c>
      <c r="L321" s="9">
        <f t="shared" si="30"/>
        <v>19.512195121951219</v>
      </c>
      <c r="M321" s="8" t="str">
        <f t="shared" si="25"/>
        <v>Perlu Pengendalian</v>
      </c>
      <c r="P321" s="194">
        <f t="shared" si="26"/>
        <v>5.1254999999999997</v>
      </c>
      <c r="Q321" s="194">
        <f t="array" ref="Q321">$P321*0.8</f>
        <v>4.1003999999999996</v>
      </c>
      <c r="R321" s="194">
        <f t="shared" si="27"/>
        <v>3.0752999999999999</v>
      </c>
      <c r="S321" s="194">
        <f t="shared" si="28"/>
        <v>2.0501999999999998</v>
      </c>
      <c r="T321" s="194">
        <f t="shared" si="29"/>
        <v>1.0250999999999999</v>
      </c>
    </row>
    <row r="322" spans="1:20" x14ac:dyDescent="0.15">
      <c r="A322" s="8" t="s">
        <v>628</v>
      </c>
      <c r="B322" s="8" t="s">
        <v>47</v>
      </c>
      <c r="C322" s="8" t="s">
        <v>323</v>
      </c>
      <c r="D322" s="8" t="s">
        <v>354</v>
      </c>
      <c r="E322" s="9">
        <v>5.13</v>
      </c>
      <c r="F322" s="8" t="s">
        <v>469</v>
      </c>
      <c r="G322" s="143">
        <f t="array" ref="G322">INDEX('[23]SENSUS MEI'!$G$9:$G$453,MATCH(1,('[23]SENSUS MEI'!$D$9:$D$453=$D322)*('[23]SENSUS MEI'!$D$9:$D$453=$D322),0))</f>
        <v>713</v>
      </c>
      <c r="H322" s="11">
        <f t="array" ref="H322">INDEX('[23]SENSUS MEI'!$J$9:$J$453,MATCH(1,('[23]SENSUS MEI'!$D$9:$D$453=$D322)*('[23]SENSUS MEI'!$D$9:$D$453=$D322),0))</f>
        <v>46157</v>
      </c>
      <c r="I322" s="143">
        <f t="array" ref="I322">INDEX('[23]SENSUS MEI'!$K$9:$K$453,MATCH(1,('[23]SENSUS MEI'!$D$9:$D$453=$D322)*('[23]SENSUS MEI'!$D$9:$D$453=$D322),0))</f>
        <v>73</v>
      </c>
      <c r="J322" s="9">
        <f t="array" ref="J322">IFERROR(I322/G322*100,0)</f>
        <v>10.238429172510518</v>
      </c>
      <c r="K322" s="143">
        <f t="array" ref="K322">INDEX('[23]SENSUS MEI'!$M$9:$M$453,MATCH(1,('[23]SENSUS MEI'!$D$9:$D$453=$D322)*('[23]SENSUS MEI'!$D$9:$D$453=$D322),0))+INDEX('[23]SENSUS MEI'!$O$9:$O$453,MATCH(1,('[23]SENSUS MEI'!$D$9:$D$453=$D322)*('[23]SENSUS MEI'!$D$9:$D$453=$D322),0))</f>
        <v>12</v>
      </c>
      <c r="L322" s="9">
        <f t="shared" si="30"/>
        <v>16.43835616438356</v>
      </c>
      <c r="M322" s="8" t="str">
        <f t="shared" si="25"/>
        <v>Perlu Pengendalian</v>
      </c>
      <c r="P322" s="194">
        <f t="shared" si="26"/>
        <v>3.2084999999999999</v>
      </c>
      <c r="Q322" s="194">
        <f t="array" ref="Q322">$P322*0.8</f>
        <v>2.5668000000000002</v>
      </c>
      <c r="R322" s="194">
        <f t="shared" si="27"/>
        <v>1.9250999999999998</v>
      </c>
      <c r="S322" s="194">
        <f t="shared" si="28"/>
        <v>1.2834000000000001</v>
      </c>
      <c r="T322" s="194">
        <f t="shared" si="29"/>
        <v>0.64170000000000005</v>
      </c>
    </row>
    <row r="323" spans="1:20" x14ac:dyDescent="0.15">
      <c r="A323" s="8" t="s">
        <v>628</v>
      </c>
      <c r="B323" s="8" t="s">
        <v>47</v>
      </c>
      <c r="C323" s="8" t="s">
        <v>323</v>
      </c>
      <c r="D323" s="8" t="s">
        <v>355</v>
      </c>
      <c r="E323" s="9">
        <v>4.8499999999999996</v>
      </c>
      <c r="F323" s="8" t="s">
        <v>469</v>
      </c>
      <c r="G323" s="143">
        <f t="array" ref="G323">INDEX('[23]SENSUS MEI'!$G$9:$G$453,MATCH(1,('[23]SENSUS MEI'!$D$9:$D$453=$D323)*('[23]SENSUS MEI'!$D$9:$D$453=$D323),0))</f>
        <v>669</v>
      </c>
      <c r="H323" s="11">
        <f t="array" ref="H323">INDEX('[23]SENSUS MEI'!$J$9:$J$453,MATCH(1,('[23]SENSUS MEI'!$D$9:$D$453=$D323)*('[23]SENSUS MEI'!$D$9:$D$453=$D323),0))</f>
        <v>46157</v>
      </c>
      <c r="I323" s="143">
        <f t="array" ref="I323">INDEX('[23]SENSUS MEI'!$K$9:$K$453,MATCH(1,('[23]SENSUS MEI'!$D$9:$D$453=$D323)*('[23]SENSUS MEI'!$D$9:$D$453=$D323),0))</f>
        <v>37</v>
      </c>
      <c r="J323" s="9">
        <f t="array" ref="J323">IFERROR(I323/G323*100,0)</f>
        <v>5.5306427503736915</v>
      </c>
      <c r="K323" s="143">
        <f t="array" ref="K323">INDEX('[23]SENSUS MEI'!$M$9:$M$453,MATCH(1,('[23]SENSUS MEI'!$D$9:$D$453=$D323)*('[23]SENSUS MEI'!$D$9:$D$453=$D323),0))+INDEX('[23]SENSUS MEI'!$O$9:$O$453,MATCH(1,('[23]SENSUS MEI'!$D$9:$D$453=$D323)*('[23]SENSUS MEI'!$D$9:$D$453=$D323),0))</f>
        <v>4</v>
      </c>
      <c r="L323" s="9">
        <f t="shared" si="30"/>
        <v>10.810810810810811</v>
      </c>
      <c r="M323" s="8" t="str">
        <f t="shared" si="25"/>
        <v>Perlu Pengendalian</v>
      </c>
      <c r="P323" s="194">
        <f t="shared" si="26"/>
        <v>3.0105</v>
      </c>
      <c r="Q323" s="194">
        <f t="array" ref="Q323">$P323*0.8</f>
        <v>2.4084000000000003</v>
      </c>
      <c r="R323" s="194">
        <f t="shared" si="27"/>
        <v>1.8062999999999998</v>
      </c>
      <c r="S323" s="194">
        <f t="shared" si="28"/>
        <v>1.2042000000000002</v>
      </c>
      <c r="T323" s="194">
        <f t="shared" si="29"/>
        <v>0.60210000000000008</v>
      </c>
    </row>
    <row r="324" spans="1:20" x14ac:dyDescent="0.15">
      <c r="A324" s="8" t="s">
        <v>628</v>
      </c>
      <c r="B324" s="8" t="s">
        <v>47</v>
      </c>
      <c r="C324" s="8" t="s">
        <v>345</v>
      </c>
      <c r="D324" s="8" t="s">
        <v>886</v>
      </c>
      <c r="E324" s="9">
        <v>16.95</v>
      </c>
      <c r="F324" s="8" t="s">
        <v>469</v>
      </c>
      <c r="G324" s="143">
        <f t="array" ref="G324">INDEX('[23]SENSUS MEI'!$G$9:$G$453,MATCH(1,('[23]SENSUS MEI'!$D$9:$D$453=$D324)*('[23]SENSUS MEI'!$D$9:$D$453=$D324),0))</f>
        <v>2439</v>
      </c>
      <c r="H324" s="11">
        <f t="array" ref="H324">INDEX('[23]SENSUS MEI'!$J$9:$J$453,MATCH(1,('[23]SENSUS MEI'!$D$9:$D$453=$D324)*('[23]SENSUS MEI'!$D$9:$D$453=$D324),0))</f>
        <v>46149</v>
      </c>
      <c r="I324" s="143">
        <f t="array" ref="I324">INDEX('[23]SENSUS MEI'!$K$9:$K$453,MATCH(1,('[23]SENSUS MEI'!$D$9:$D$453=$D324)*('[23]SENSUS MEI'!$D$9:$D$453=$D324),0))</f>
        <v>259</v>
      </c>
      <c r="J324" s="9">
        <f t="array" ref="J324">IFERROR(I324/G324*100,0)</f>
        <v>10.619106191061912</v>
      </c>
      <c r="K324" s="143">
        <f t="array" ref="K324">INDEX('[23]SENSUS MEI'!$M$9:$M$453,MATCH(1,('[23]SENSUS MEI'!$D$9:$D$453=$D324)*('[23]SENSUS MEI'!$D$9:$D$453=$D324),0))+INDEX('[23]SENSUS MEI'!$O$9:$O$453,MATCH(1,('[23]SENSUS MEI'!$D$9:$D$453=$D324)*('[23]SENSUS MEI'!$D$9:$D$453=$D324),0))</f>
        <v>51</v>
      </c>
      <c r="L324" s="9">
        <f t="shared" si="30"/>
        <v>19.691119691119692</v>
      </c>
      <c r="M324" s="8" t="str">
        <f t="shared" si="25"/>
        <v>Perlu Pengendalian</v>
      </c>
      <c r="P324" s="194">
        <f t="shared" si="26"/>
        <v>10.9755</v>
      </c>
      <c r="Q324" s="194">
        <f t="array" ref="Q324">$P324*0.8</f>
        <v>8.7804000000000002</v>
      </c>
      <c r="R324" s="194">
        <f t="shared" si="27"/>
        <v>6.5853000000000002</v>
      </c>
      <c r="S324" s="194">
        <f t="shared" si="28"/>
        <v>4.3902000000000001</v>
      </c>
      <c r="T324" s="194">
        <f t="shared" si="29"/>
        <v>2.1951000000000001</v>
      </c>
    </row>
    <row r="325" spans="1:20" x14ac:dyDescent="0.15">
      <c r="A325" s="8" t="s">
        <v>628</v>
      </c>
      <c r="B325" s="8" t="s">
        <v>47</v>
      </c>
      <c r="C325" s="8" t="s">
        <v>345</v>
      </c>
      <c r="D325" s="8" t="s">
        <v>80</v>
      </c>
      <c r="E325" s="9">
        <v>19.489999999999998</v>
      </c>
      <c r="F325" s="8" t="s">
        <v>469</v>
      </c>
      <c r="G325" s="143">
        <f t="array" ref="G325">INDEX('[23]SENSUS MEI'!$G$9:$G$453,MATCH(1,('[23]SENSUS MEI'!$D$9:$D$453=$D325)*('[23]SENSUS MEI'!$D$9:$D$453=$D325),0))</f>
        <v>2606</v>
      </c>
      <c r="H325" s="11">
        <f t="array" ref="H325">INDEX('[23]SENSUS MEI'!$J$9:$J$453,MATCH(1,('[23]SENSUS MEI'!$D$9:$D$453=$D325)*('[23]SENSUS MEI'!$D$9:$D$453=$D325),0))</f>
        <v>46149</v>
      </c>
      <c r="I325" s="143">
        <f t="array" ref="I325">INDEX('[23]SENSUS MEI'!$K$9:$K$453,MATCH(1,('[23]SENSUS MEI'!$D$9:$D$453=$D325)*('[23]SENSUS MEI'!$D$9:$D$453=$D325),0))</f>
        <v>251</v>
      </c>
      <c r="J325" s="9">
        <f t="array" ref="J325">IFERROR(I325/G325*100,0)</f>
        <v>9.6316193399846508</v>
      </c>
      <c r="K325" s="143">
        <f t="array" ref="K325">INDEX('[23]SENSUS MEI'!$M$9:$M$453,MATCH(1,('[23]SENSUS MEI'!$D$9:$D$453=$D325)*('[23]SENSUS MEI'!$D$9:$D$453=$D325),0))+INDEX('[23]SENSUS MEI'!$O$9:$O$453,MATCH(1,('[23]SENSUS MEI'!$D$9:$D$453=$D325)*('[23]SENSUS MEI'!$D$9:$D$453=$D325),0))</f>
        <v>33</v>
      </c>
      <c r="L325" s="9">
        <f t="shared" si="30"/>
        <v>13.147410358565736</v>
      </c>
      <c r="M325" s="8" t="str">
        <f t="shared" si="25"/>
        <v>Perlu Pengendalian</v>
      </c>
      <c r="P325" s="194">
        <f t="shared" si="26"/>
        <v>11.727</v>
      </c>
      <c r="Q325" s="194">
        <f t="array" ref="Q325">$P325*0.8</f>
        <v>9.3816000000000006</v>
      </c>
      <c r="R325" s="194">
        <f t="shared" si="27"/>
        <v>7.0362</v>
      </c>
      <c r="S325" s="194">
        <f t="shared" si="28"/>
        <v>4.6908000000000003</v>
      </c>
      <c r="T325" s="194">
        <f t="shared" si="29"/>
        <v>2.3454000000000002</v>
      </c>
    </row>
    <row r="326" spans="1:20" x14ac:dyDescent="0.15">
      <c r="A326" s="8" t="s">
        <v>628</v>
      </c>
      <c r="B326" s="8" t="s">
        <v>47</v>
      </c>
      <c r="C326" s="8" t="s">
        <v>345</v>
      </c>
      <c r="D326" s="8" t="s">
        <v>887</v>
      </c>
      <c r="E326" s="9">
        <v>21.89</v>
      </c>
      <c r="F326" s="8" t="s">
        <v>16</v>
      </c>
      <c r="G326" s="143">
        <f t="array" ref="G326">INDEX('[23]SENSUS MEI'!$G$9:$G$453,MATCH(1,('[23]SENSUS MEI'!$D$9:$D$453=$D326)*('[23]SENSUS MEI'!$D$9:$D$453=$D326),0))</f>
        <v>2957</v>
      </c>
      <c r="H326" s="11">
        <f t="array" ref="H326">INDEX('[23]SENSUS MEI'!$J$9:$J$453,MATCH(1,('[23]SENSUS MEI'!$D$9:$D$453=$D326)*('[23]SENSUS MEI'!$D$9:$D$453=$D326),0))</f>
        <v>46149</v>
      </c>
      <c r="I326" s="143">
        <f t="array" ref="I326">INDEX('[23]SENSUS MEI'!$K$9:$K$453,MATCH(1,('[23]SENSUS MEI'!$D$9:$D$453=$D326)*('[23]SENSUS MEI'!$D$9:$D$453=$D326),0))</f>
        <v>332</v>
      </c>
      <c r="J326" s="9">
        <f t="array" ref="J326">IFERROR(I326/G326*100,0)</f>
        <v>11.227595536016233</v>
      </c>
      <c r="K326" s="143">
        <f t="array" ref="K326">INDEX('[23]SENSUS MEI'!$M$9:$M$453,MATCH(1,('[23]SENSUS MEI'!$D$9:$D$453=$D326)*('[23]SENSUS MEI'!$D$9:$D$453=$D326),0))+INDEX('[23]SENSUS MEI'!$O$9:$O$453,MATCH(1,('[23]SENSUS MEI'!$D$9:$D$453=$D326)*('[23]SENSUS MEI'!$D$9:$D$453=$D326),0))</f>
        <v>78</v>
      </c>
      <c r="L326" s="9">
        <f t="shared" si="30"/>
        <v>23.493975903614459</v>
      </c>
      <c r="M326" s="8" t="str">
        <f t="shared" si="25"/>
        <v>Perlu Pengendalian</v>
      </c>
      <c r="P326" s="194">
        <f t="shared" si="26"/>
        <v>13.3065</v>
      </c>
      <c r="Q326" s="194">
        <f t="array" ref="Q326">$P326*0.8</f>
        <v>10.645200000000001</v>
      </c>
      <c r="R326" s="194">
        <f t="shared" si="27"/>
        <v>7.9838999999999993</v>
      </c>
      <c r="S326" s="194">
        <f t="shared" si="28"/>
        <v>5.3226000000000004</v>
      </c>
      <c r="T326" s="194">
        <f t="shared" si="29"/>
        <v>2.6613000000000002</v>
      </c>
    </row>
    <row r="327" spans="1:20" x14ac:dyDescent="0.15">
      <c r="A327" s="8" t="s">
        <v>628</v>
      </c>
      <c r="B327" s="8" t="s">
        <v>47</v>
      </c>
      <c r="C327" s="8" t="s">
        <v>345</v>
      </c>
      <c r="D327" s="8" t="s">
        <v>888</v>
      </c>
      <c r="E327" s="9">
        <v>26.16</v>
      </c>
      <c r="F327" s="8" t="s">
        <v>16</v>
      </c>
      <c r="G327" s="143">
        <f t="array" ref="G327">INDEX('[23]SENSUS MEI'!$G$9:$G$453,MATCH(1,('[23]SENSUS MEI'!$D$9:$D$453=$D327)*('[23]SENSUS MEI'!$D$9:$D$453=$D327),0))</f>
        <v>3248</v>
      </c>
      <c r="H327" s="11">
        <f t="array" ref="H327">INDEX('[23]SENSUS MEI'!$J$9:$J$453,MATCH(1,('[23]SENSUS MEI'!$D$9:$D$453=$D327)*('[23]SENSUS MEI'!$D$9:$D$453=$D327),0))</f>
        <v>46149</v>
      </c>
      <c r="I327" s="143">
        <f t="array" ref="I327">INDEX('[23]SENSUS MEI'!$K$9:$K$453,MATCH(1,('[23]SENSUS MEI'!$D$9:$D$453=$D327)*('[23]SENSUS MEI'!$D$9:$D$453=$D327),0))</f>
        <v>321</v>
      </c>
      <c r="J327" s="9">
        <f t="array" ref="J327">IFERROR(I327/G327*100,0)</f>
        <v>9.8830049261083737</v>
      </c>
      <c r="K327" s="143">
        <f t="array" ref="K327">INDEX('[23]SENSUS MEI'!$M$9:$M$453,MATCH(1,('[23]SENSUS MEI'!$D$9:$D$453=$D327)*('[23]SENSUS MEI'!$D$9:$D$453=$D327),0))+INDEX('[23]SENSUS MEI'!$O$9:$O$453,MATCH(1,('[23]SENSUS MEI'!$D$9:$D$453=$D327)*('[23]SENSUS MEI'!$D$9:$D$453=$D327),0))</f>
        <v>122</v>
      </c>
      <c r="L327" s="9">
        <f t="shared" si="30"/>
        <v>38.006230529595015</v>
      </c>
      <c r="M327" s="8" t="str">
        <f t="shared" ref="M327:M390" si="31">IF(L327&gt;2,"Perlu Pengendalian",IF(L327&gt;0,"Tidak Perlu Pengendalian","Belum Sensus"))</f>
        <v>Perlu Pengendalian</v>
      </c>
      <c r="P327" s="194">
        <f t="shared" ref="P327:P390" si="32">G327*4.5/1000</f>
        <v>14.616</v>
      </c>
      <c r="Q327" s="194">
        <f t="array" ref="Q327">$P327*0.8</f>
        <v>11.6928</v>
      </c>
      <c r="R327" s="194">
        <f t="shared" ref="R327:R390" si="33">$P327*0.6</f>
        <v>8.7695999999999987</v>
      </c>
      <c r="S327" s="194">
        <f t="shared" ref="S327:S390" si="34">$P327*0.4</f>
        <v>5.8464</v>
      </c>
      <c r="T327" s="194">
        <f t="shared" ref="T327:T390" si="35">$P327*0.2</f>
        <v>2.9232</v>
      </c>
    </row>
    <row r="328" spans="1:20" x14ac:dyDescent="0.15">
      <c r="A328" s="8" t="s">
        <v>628</v>
      </c>
      <c r="B328" s="8" t="s">
        <v>47</v>
      </c>
      <c r="C328" s="8" t="s">
        <v>345</v>
      </c>
      <c r="D328" s="8" t="s">
        <v>889</v>
      </c>
      <c r="E328" s="9">
        <v>29.8</v>
      </c>
      <c r="F328" s="8" t="s">
        <v>16</v>
      </c>
      <c r="G328" s="143">
        <f t="array" ref="G328">INDEX('[23]SENSUS MEI'!$G$9:$G$453,MATCH(1,('[23]SENSUS MEI'!$D$9:$D$453=$D328)*('[23]SENSUS MEI'!$D$9:$D$453=$D328),0))</f>
        <v>3667</v>
      </c>
      <c r="H328" s="11">
        <f t="array" ref="H328">INDEX('[23]SENSUS MEI'!$J$9:$J$453,MATCH(1,('[23]SENSUS MEI'!$D$9:$D$453=$D328)*('[23]SENSUS MEI'!$D$9:$D$453=$D328),0))</f>
        <v>46150</v>
      </c>
      <c r="I328" s="143">
        <f t="array" ref="I328">INDEX('[23]SENSUS MEI'!$K$9:$K$453,MATCH(1,('[23]SENSUS MEI'!$D$9:$D$453=$D328)*('[23]SENSUS MEI'!$D$9:$D$453=$D328),0))</f>
        <v>402</v>
      </c>
      <c r="J328" s="9">
        <f t="array" ref="J328">IFERROR(I328/G328*100,0)</f>
        <v>10.962639760021817</v>
      </c>
      <c r="K328" s="143">
        <f t="array" ref="K328">INDEX('[23]SENSUS MEI'!$M$9:$M$453,MATCH(1,('[23]SENSUS MEI'!$D$9:$D$453=$D328)*('[23]SENSUS MEI'!$D$9:$D$453=$D328),0))+INDEX('[23]SENSUS MEI'!$O$9:$O$453,MATCH(1,('[23]SENSUS MEI'!$D$9:$D$453=$D328)*('[23]SENSUS MEI'!$D$9:$D$453=$D328),0))</f>
        <v>121</v>
      </c>
      <c r="L328" s="9">
        <f t="shared" si="30"/>
        <v>30.099502487562191</v>
      </c>
      <c r="M328" s="8" t="str">
        <f t="shared" si="31"/>
        <v>Perlu Pengendalian</v>
      </c>
      <c r="P328" s="194">
        <f t="shared" si="32"/>
        <v>16.5015</v>
      </c>
      <c r="Q328" s="194">
        <f t="array" ref="Q328">$P328*0.8</f>
        <v>13.2012</v>
      </c>
      <c r="R328" s="194">
        <f t="shared" si="33"/>
        <v>9.9009</v>
      </c>
      <c r="S328" s="194">
        <f t="shared" si="34"/>
        <v>6.6006</v>
      </c>
      <c r="T328" s="194">
        <f t="shared" si="35"/>
        <v>3.3003</v>
      </c>
    </row>
    <row r="329" spans="1:20" x14ac:dyDescent="0.15">
      <c r="A329" s="8" t="s">
        <v>628</v>
      </c>
      <c r="B329" s="8" t="s">
        <v>47</v>
      </c>
      <c r="C329" s="8" t="s">
        <v>345</v>
      </c>
      <c r="D329" s="8" t="s">
        <v>890</v>
      </c>
      <c r="E329" s="9">
        <v>30.54</v>
      </c>
      <c r="F329" s="8" t="s">
        <v>16</v>
      </c>
      <c r="G329" s="143">
        <f t="array" ref="G329">INDEX('[23]SENSUS MEI'!$G$9:$G$453,MATCH(1,('[23]SENSUS MEI'!$D$9:$D$453=$D329)*('[23]SENSUS MEI'!$D$9:$D$453=$D329),0))</f>
        <v>4382</v>
      </c>
      <c r="H329" s="11">
        <f t="array" ref="H329">INDEX('[23]SENSUS MEI'!$J$9:$J$453,MATCH(1,('[23]SENSUS MEI'!$D$9:$D$453=$D329)*('[23]SENSUS MEI'!$D$9:$D$453=$D329),0))</f>
        <v>46150</v>
      </c>
      <c r="I329" s="143">
        <f t="array" ref="I329">INDEX('[23]SENSUS MEI'!$K$9:$K$453,MATCH(1,('[23]SENSUS MEI'!$D$9:$D$453=$D329)*('[23]SENSUS MEI'!$D$9:$D$453=$D329),0))</f>
        <v>438</v>
      </c>
      <c r="J329" s="9">
        <f t="array" ref="J329">IFERROR(I329/G329*100,0)</f>
        <v>9.9954358740301235</v>
      </c>
      <c r="K329" s="143">
        <f t="array" ref="K329">INDEX('[23]SENSUS MEI'!$M$9:$M$453,MATCH(1,('[23]SENSUS MEI'!$D$9:$D$453=$D329)*('[23]SENSUS MEI'!$D$9:$D$453=$D329),0))+INDEX('[23]SENSUS MEI'!$O$9:$O$453,MATCH(1,('[23]SENSUS MEI'!$D$9:$D$453=$D329)*('[23]SENSUS MEI'!$D$9:$D$453=$D329),0))</f>
        <v>72</v>
      </c>
      <c r="L329" s="9">
        <f t="shared" si="30"/>
        <v>16.43835616438356</v>
      </c>
      <c r="M329" s="8" t="str">
        <f t="shared" si="31"/>
        <v>Perlu Pengendalian</v>
      </c>
      <c r="P329" s="194">
        <f t="shared" si="32"/>
        <v>19.719000000000001</v>
      </c>
      <c r="Q329" s="194">
        <f t="array" ref="Q329">$P329*0.8</f>
        <v>15.775200000000002</v>
      </c>
      <c r="R329" s="194">
        <f t="shared" si="33"/>
        <v>11.8314</v>
      </c>
      <c r="S329" s="194">
        <f t="shared" si="34"/>
        <v>7.8876000000000008</v>
      </c>
      <c r="T329" s="194">
        <f t="shared" si="35"/>
        <v>3.9438000000000004</v>
      </c>
    </row>
    <row r="330" spans="1:20" x14ac:dyDescent="0.15">
      <c r="A330" s="8" t="s">
        <v>628</v>
      </c>
      <c r="B330" s="8" t="s">
        <v>47</v>
      </c>
      <c r="C330" s="8" t="s">
        <v>345</v>
      </c>
      <c r="D330" s="8" t="s">
        <v>84</v>
      </c>
      <c r="E330" s="9">
        <v>49.25</v>
      </c>
      <c r="F330" s="8" t="s">
        <v>16</v>
      </c>
      <c r="G330" s="143">
        <f t="array" ref="G330">INDEX('[23]SENSUS MEI'!$G$9:$G$453,MATCH(1,('[23]SENSUS MEI'!$D$9:$D$453=$D330)*('[23]SENSUS MEI'!$D$9:$D$453=$D330),0))</f>
        <v>7016</v>
      </c>
      <c r="H330" s="11">
        <f t="array" ref="H330">INDEX('[23]SENSUS MEI'!$J$9:$J$453,MATCH(1,('[23]SENSUS MEI'!$D$9:$D$453=$D330)*('[23]SENSUS MEI'!$D$9:$D$453=$D330),0))</f>
        <v>46151</v>
      </c>
      <c r="I330" s="143">
        <f t="array" ref="I330">INDEX('[23]SENSUS MEI'!$K$9:$K$453,MATCH(1,('[23]SENSUS MEI'!$D$9:$D$453=$D330)*('[23]SENSUS MEI'!$D$9:$D$453=$D330),0))</f>
        <v>436</v>
      </c>
      <c r="J330" s="9">
        <f t="array" ref="J330">IFERROR(I330/G330*100,0)</f>
        <v>6.214367160775371</v>
      </c>
      <c r="K330" s="143">
        <f t="array" ref="K330">INDEX('[23]SENSUS MEI'!$M$9:$M$453,MATCH(1,('[23]SENSUS MEI'!$D$9:$D$453=$D330)*('[23]SENSUS MEI'!$D$9:$D$453=$D330),0))+INDEX('[23]SENSUS MEI'!$O$9:$O$453,MATCH(1,('[23]SENSUS MEI'!$D$9:$D$453=$D330)*('[23]SENSUS MEI'!$D$9:$D$453=$D330),0))</f>
        <v>145</v>
      </c>
      <c r="L330" s="9">
        <f t="shared" si="30"/>
        <v>33.256880733944953</v>
      </c>
      <c r="M330" s="8" t="str">
        <f t="shared" si="31"/>
        <v>Perlu Pengendalian</v>
      </c>
      <c r="P330" s="194">
        <f t="shared" si="32"/>
        <v>31.571999999999999</v>
      </c>
      <c r="Q330" s="194">
        <f t="array" ref="Q330">$P330*0.8</f>
        <v>25.2576</v>
      </c>
      <c r="R330" s="194">
        <f t="shared" si="33"/>
        <v>18.943199999999997</v>
      </c>
      <c r="S330" s="194">
        <f t="shared" si="34"/>
        <v>12.6288</v>
      </c>
      <c r="T330" s="194">
        <f t="shared" si="35"/>
        <v>6.3144</v>
      </c>
    </row>
    <row r="331" spans="1:20" x14ac:dyDescent="0.15">
      <c r="A331" s="8" t="s">
        <v>628</v>
      </c>
      <c r="B331" s="8" t="s">
        <v>47</v>
      </c>
      <c r="C331" s="8" t="s">
        <v>345</v>
      </c>
      <c r="D331" s="8" t="s">
        <v>85</v>
      </c>
      <c r="E331" s="9">
        <v>43.27</v>
      </c>
      <c r="F331" s="8" t="s">
        <v>16</v>
      </c>
      <c r="G331" s="143">
        <f t="array" ref="G331">INDEX('[23]SENSUS MEI'!$G$9:$G$453,MATCH(1,('[23]SENSUS MEI'!$D$9:$D$453=$D331)*('[23]SENSUS MEI'!$D$9:$D$453=$D331),0))</f>
        <v>6094</v>
      </c>
      <c r="H331" s="11">
        <f t="array" ref="H331">INDEX('[23]SENSUS MEI'!$J$9:$J$453,MATCH(1,('[23]SENSUS MEI'!$D$9:$D$453=$D331)*('[23]SENSUS MEI'!$D$9:$D$453=$D331),0))</f>
        <v>46152</v>
      </c>
      <c r="I331" s="143">
        <f t="array" ref="I331">INDEX('[23]SENSUS MEI'!$K$9:$K$453,MATCH(1,('[23]SENSUS MEI'!$D$9:$D$453=$D331)*('[23]SENSUS MEI'!$D$9:$D$453=$D331),0))</f>
        <v>594</v>
      </c>
      <c r="J331" s="9">
        <f t="array" ref="J331">IFERROR(I331/G331*100,0)</f>
        <v>9.7472924187725631</v>
      </c>
      <c r="K331" s="143">
        <f t="array" ref="K331">INDEX('[23]SENSUS MEI'!$M$9:$M$453,MATCH(1,('[23]SENSUS MEI'!$D$9:$D$453=$D331)*('[23]SENSUS MEI'!$D$9:$D$453=$D331),0))+INDEX('[23]SENSUS MEI'!$O$9:$O$453,MATCH(1,('[23]SENSUS MEI'!$D$9:$D$453=$D331)*('[23]SENSUS MEI'!$D$9:$D$453=$D331),0))</f>
        <v>205</v>
      </c>
      <c r="L331" s="9">
        <f t="shared" si="30"/>
        <v>34.511784511784512</v>
      </c>
      <c r="M331" s="8" t="str">
        <f t="shared" si="31"/>
        <v>Perlu Pengendalian</v>
      </c>
      <c r="P331" s="194">
        <f t="shared" si="32"/>
        <v>27.422999999999998</v>
      </c>
      <c r="Q331" s="194">
        <f t="array" ref="Q331">$P331*0.8</f>
        <v>21.938400000000001</v>
      </c>
      <c r="R331" s="194">
        <f t="shared" si="33"/>
        <v>16.453799999999998</v>
      </c>
      <c r="S331" s="194">
        <f t="shared" si="34"/>
        <v>10.969200000000001</v>
      </c>
      <c r="T331" s="194">
        <f t="shared" si="35"/>
        <v>5.4846000000000004</v>
      </c>
    </row>
    <row r="332" spans="1:20" x14ac:dyDescent="0.15">
      <c r="A332" s="8" t="s">
        <v>628</v>
      </c>
      <c r="B332" s="8" t="s">
        <v>47</v>
      </c>
      <c r="C332" s="8" t="s">
        <v>345</v>
      </c>
      <c r="D332" s="8" t="s">
        <v>86</v>
      </c>
      <c r="E332" s="9">
        <v>33.26</v>
      </c>
      <c r="F332" s="8" t="s">
        <v>16</v>
      </c>
      <c r="G332" s="143">
        <f t="array" ref="G332">INDEX('[23]SENSUS MEI'!$G$9:$G$453,MATCH(1,('[23]SENSUS MEI'!$D$9:$D$453=$D332)*('[23]SENSUS MEI'!$D$9:$D$453=$D332),0))</f>
        <v>4779</v>
      </c>
      <c r="H332" s="11">
        <f t="array" ref="H332">INDEX('[23]SENSUS MEI'!$J$9:$J$453,MATCH(1,('[23]SENSUS MEI'!$D$9:$D$453=$D332)*('[23]SENSUS MEI'!$D$9:$D$453=$D332),0))</f>
        <v>46153</v>
      </c>
      <c r="I332" s="143">
        <f t="array" ref="I332">INDEX('[23]SENSUS MEI'!$K$9:$K$453,MATCH(1,('[23]SENSUS MEI'!$D$9:$D$453=$D332)*('[23]SENSUS MEI'!$D$9:$D$453=$D332),0))</f>
        <v>511</v>
      </c>
      <c r="J332" s="9">
        <f t="array" ref="J332">IFERROR(I332/G332*100,0)</f>
        <v>10.692613517472275</v>
      </c>
      <c r="K332" s="143">
        <f t="array" ref="K332">INDEX('[23]SENSUS MEI'!$M$9:$M$453,MATCH(1,('[23]SENSUS MEI'!$D$9:$D$453=$D332)*('[23]SENSUS MEI'!$D$9:$D$453=$D332),0))+INDEX('[23]SENSUS MEI'!$O$9:$O$453,MATCH(1,('[23]SENSUS MEI'!$D$9:$D$453=$D332)*('[23]SENSUS MEI'!$D$9:$D$453=$D332),0))</f>
        <v>27</v>
      </c>
      <c r="L332" s="9">
        <f t="shared" si="30"/>
        <v>5.283757338551859</v>
      </c>
      <c r="M332" s="8" t="str">
        <f t="shared" si="31"/>
        <v>Perlu Pengendalian</v>
      </c>
      <c r="P332" s="194">
        <f t="shared" si="32"/>
        <v>21.505500000000001</v>
      </c>
      <c r="Q332" s="194">
        <f t="array" ref="Q332">$P332*0.8</f>
        <v>17.204400000000003</v>
      </c>
      <c r="R332" s="194">
        <f t="shared" si="33"/>
        <v>12.9033</v>
      </c>
      <c r="S332" s="194">
        <f t="shared" si="34"/>
        <v>8.6022000000000016</v>
      </c>
      <c r="T332" s="194">
        <f t="shared" si="35"/>
        <v>4.3011000000000008</v>
      </c>
    </row>
    <row r="333" spans="1:20" x14ac:dyDescent="0.15">
      <c r="A333" s="8" t="s">
        <v>628</v>
      </c>
      <c r="B333" s="8" t="s">
        <v>47</v>
      </c>
      <c r="C333" s="8" t="s">
        <v>345</v>
      </c>
      <c r="D333" s="8" t="s">
        <v>87</v>
      </c>
      <c r="E333" s="9">
        <v>32.44</v>
      </c>
      <c r="F333" s="8" t="s">
        <v>16</v>
      </c>
      <c r="G333" s="143">
        <f t="array" ref="G333">INDEX('[23]SENSUS MEI'!$G$9:$G$453,MATCH(1,('[23]SENSUS MEI'!$D$9:$D$453=$D333)*('[23]SENSUS MEI'!$D$9:$D$453=$D333),0))</f>
        <v>4633</v>
      </c>
      <c r="H333" s="11">
        <f t="array" ref="H333">INDEX('[23]SENSUS MEI'!$J$9:$J$453,MATCH(1,('[23]SENSUS MEI'!$D$9:$D$453=$D333)*('[23]SENSUS MEI'!$D$9:$D$453=$D333),0))</f>
        <v>46153</v>
      </c>
      <c r="I333" s="143">
        <f t="array" ref="I333">INDEX('[23]SENSUS MEI'!$K$9:$K$453,MATCH(1,('[23]SENSUS MEI'!$D$9:$D$453=$D333)*('[23]SENSUS MEI'!$D$9:$D$453=$D333),0))</f>
        <v>506</v>
      </c>
      <c r="J333" s="9">
        <f t="array" ref="J333">IFERROR(I333/G333*100,0)</f>
        <v>10.921649039499243</v>
      </c>
      <c r="K333" s="143">
        <f t="array" ref="K333">INDEX('[23]SENSUS MEI'!$M$9:$M$453,MATCH(1,('[23]SENSUS MEI'!$D$9:$D$453=$D333)*('[23]SENSUS MEI'!$D$9:$D$453=$D333),0))+INDEX('[23]SENSUS MEI'!$O$9:$O$453,MATCH(1,('[23]SENSUS MEI'!$D$9:$D$453=$D333)*('[23]SENSUS MEI'!$D$9:$D$453=$D333),0))</f>
        <v>61</v>
      </c>
      <c r="L333" s="9">
        <f t="shared" si="30"/>
        <v>12.055335968379447</v>
      </c>
      <c r="M333" s="8" t="str">
        <f t="shared" si="31"/>
        <v>Perlu Pengendalian</v>
      </c>
      <c r="P333" s="194">
        <f t="shared" si="32"/>
        <v>20.848500000000001</v>
      </c>
      <c r="Q333" s="194">
        <f t="array" ref="Q333">$P333*0.8</f>
        <v>16.678800000000003</v>
      </c>
      <c r="R333" s="194">
        <f t="shared" si="33"/>
        <v>12.5091</v>
      </c>
      <c r="S333" s="194">
        <f t="shared" si="34"/>
        <v>8.3394000000000013</v>
      </c>
      <c r="T333" s="194">
        <f t="shared" si="35"/>
        <v>4.1697000000000006</v>
      </c>
    </row>
    <row r="334" spans="1:20" x14ac:dyDescent="0.15">
      <c r="A334" s="8" t="s">
        <v>628</v>
      </c>
      <c r="B334" s="8" t="s">
        <v>47</v>
      </c>
      <c r="C334" s="8" t="s">
        <v>345</v>
      </c>
      <c r="D334" s="8" t="s">
        <v>88</v>
      </c>
      <c r="E334" s="9">
        <v>62.29</v>
      </c>
      <c r="F334" s="8" t="s">
        <v>16</v>
      </c>
      <c r="G334" s="143">
        <f t="array" ref="G334">INDEX('[23]SENSUS MEI'!$G$9:$G$453,MATCH(1,('[23]SENSUS MEI'!$D$9:$D$453=$D334)*('[23]SENSUS MEI'!$D$9:$D$453=$D334),0))</f>
        <v>8649</v>
      </c>
      <c r="H334" s="11">
        <f t="array" ref="H334">INDEX('[23]SENSUS MEI'!$J$9:$J$453,MATCH(1,('[23]SENSUS MEI'!$D$9:$D$453=$D334)*('[23]SENSUS MEI'!$D$9:$D$453=$D334),0))</f>
        <v>46154</v>
      </c>
      <c r="I334" s="143">
        <f t="array" ref="I334">INDEX('[23]SENSUS MEI'!$K$9:$K$453,MATCH(1,('[23]SENSUS MEI'!$D$9:$D$453=$D334)*('[23]SENSUS MEI'!$D$9:$D$453=$D334),0))</f>
        <v>579</v>
      </c>
      <c r="J334" s="9">
        <f t="array" ref="J334">IFERROR(I334/G334*100,0)</f>
        <v>6.6944155393687126</v>
      </c>
      <c r="K334" s="143">
        <f t="array" ref="K334">INDEX('[23]SENSUS MEI'!$M$9:$M$453,MATCH(1,('[23]SENSUS MEI'!$D$9:$D$453=$D334)*('[23]SENSUS MEI'!$D$9:$D$453=$D334),0))+INDEX('[23]SENSUS MEI'!$O$9:$O$453,MATCH(1,('[23]SENSUS MEI'!$D$9:$D$453=$D334)*('[23]SENSUS MEI'!$D$9:$D$453=$D334),0))</f>
        <v>134</v>
      </c>
      <c r="L334" s="9">
        <f t="shared" si="30"/>
        <v>23.1433506044905</v>
      </c>
      <c r="M334" s="8" t="str">
        <f t="shared" si="31"/>
        <v>Perlu Pengendalian</v>
      </c>
      <c r="P334" s="194">
        <f t="shared" si="32"/>
        <v>38.920499999999997</v>
      </c>
      <c r="Q334" s="194">
        <f t="array" ref="Q334">$P334*0.8</f>
        <v>31.136399999999998</v>
      </c>
      <c r="R334" s="194">
        <f t="shared" si="33"/>
        <v>23.352299999999996</v>
      </c>
      <c r="S334" s="194">
        <f t="shared" si="34"/>
        <v>15.568199999999999</v>
      </c>
      <c r="T334" s="194">
        <f t="shared" si="35"/>
        <v>7.7840999999999996</v>
      </c>
    </row>
    <row r="335" spans="1:20" x14ac:dyDescent="0.15">
      <c r="A335" s="8" t="s">
        <v>628</v>
      </c>
      <c r="B335" s="8" t="s">
        <v>47</v>
      </c>
      <c r="C335" s="8" t="s">
        <v>345</v>
      </c>
      <c r="D335" s="8" t="s">
        <v>891</v>
      </c>
      <c r="E335" s="9">
        <v>56.31</v>
      </c>
      <c r="F335" s="8" t="s">
        <v>16</v>
      </c>
      <c r="G335" s="143">
        <f t="array" ref="G335">INDEX('[23]SENSUS MEI'!$G$9:$G$453,MATCH(1,('[23]SENSUS MEI'!$D$9:$D$453=$D335)*('[23]SENSUS MEI'!$D$9:$D$453=$D335),0))</f>
        <v>7784</v>
      </c>
      <c r="H335" s="11">
        <f t="array" ref="H335">INDEX('[23]SENSUS MEI'!$J$9:$J$453,MATCH(1,('[23]SENSUS MEI'!$D$9:$D$453=$D335)*('[23]SENSUS MEI'!$D$9:$D$453=$D335),0))</f>
        <v>46153</v>
      </c>
      <c r="I335" s="143">
        <f t="array" ref="I335">INDEX('[23]SENSUS MEI'!$K$9:$K$453,MATCH(1,('[23]SENSUS MEI'!$D$9:$D$453=$D335)*('[23]SENSUS MEI'!$D$9:$D$453=$D335),0))</f>
        <v>619</v>
      </c>
      <c r="J335" s="9">
        <f t="array" ref="J335">IFERROR(I335/G335*100,0)</f>
        <v>7.9522096608427546</v>
      </c>
      <c r="K335" s="143">
        <f t="array" ref="K335">INDEX('[23]SENSUS MEI'!$M$9:$M$453,MATCH(1,('[23]SENSUS MEI'!$D$9:$D$453=$D335)*('[23]SENSUS MEI'!$D$9:$D$453=$D335),0))+INDEX('[23]SENSUS MEI'!$O$9:$O$453,MATCH(1,('[23]SENSUS MEI'!$D$9:$D$453=$D335)*('[23]SENSUS MEI'!$D$9:$D$453=$D335),0))</f>
        <v>87</v>
      </c>
      <c r="L335" s="9">
        <f t="shared" si="30"/>
        <v>14.054927302100161</v>
      </c>
      <c r="M335" s="8" t="str">
        <f t="shared" si="31"/>
        <v>Perlu Pengendalian</v>
      </c>
      <c r="P335" s="194">
        <f t="shared" si="32"/>
        <v>35.027999999999999</v>
      </c>
      <c r="Q335" s="194">
        <f t="array" ref="Q335">$P335*0.8</f>
        <v>28.022400000000001</v>
      </c>
      <c r="R335" s="194">
        <f t="shared" si="33"/>
        <v>21.0168</v>
      </c>
      <c r="S335" s="194">
        <f t="shared" si="34"/>
        <v>14.011200000000001</v>
      </c>
      <c r="T335" s="194">
        <f t="shared" si="35"/>
        <v>7.0056000000000003</v>
      </c>
    </row>
    <row r="336" spans="1:20" x14ac:dyDescent="0.15">
      <c r="A336" s="8" t="s">
        <v>628</v>
      </c>
      <c r="B336" s="8" t="s">
        <v>47</v>
      </c>
      <c r="C336" s="8" t="s">
        <v>345</v>
      </c>
      <c r="D336" s="8" t="s">
        <v>93</v>
      </c>
      <c r="E336" s="9">
        <v>51.11</v>
      </c>
      <c r="F336" s="8" t="s">
        <v>469</v>
      </c>
      <c r="G336" s="143">
        <f t="array" ref="G336">INDEX('[23]SENSUS MEI'!$G$9:$G$453,MATCH(1,('[23]SENSUS MEI'!$D$9:$D$453=$D336)*('[23]SENSUS MEI'!$D$9:$D$453=$D336),0))</f>
        <v>7280</v>
      </c>
      <c r="H336" s="11">
        <f t="array" ref="H336">INDEX('[23]SENSUS MEI'!$J$9:$J$453,MATCH(1,('[23]SENSUS MEI'!$D$9:$D$453=$D336)*('[23]SENSUS MEI'!$D$9:$D$453=$D336),0))</f>
        <v>46149</v>
      </c>
      <c r="I336" s="143">
        <f t="array" ref="I336">INDEX('[23]SENSUS MEI'!$K$9:$K$453,MATCH(1,('[23]SENSUS MEI'!$D$9:$D$453=$D336)*('[23]SENSUS MEI'!$D$9:$D$453=$D336),0))</f>
        <v>748</v>
      </c>
      <c r="J336" s="9">
        <f t="array" ref="J336">IFERROR(I336/G336*100,0)</f>
        <v>10.274725274725274</v>
      </c>
      <c r="K336" s="143">
        <f t="array" ref="K336">INDEX('[23]SENSUS MEI'!$M$9:$M$453,MATCH(1,('[23]SENSUS MEI'!$D$9:$D$453=$D336)*('[23]SENSUS MEI'!$D$9:$D$453=$D336),0))+INDEX('[23]SENSUS MEI'!$O$9:$O$453,MATCH(1,('[23]SENSUS MEI'!$D$9:$D$453=$D336)*('[23]SENSUS MEI'!$D$9:$D$453=$D336),0))</f>
        <v>241</v>
      </c>
      <c r="L336" s="9">
        <f t="shared" si="30"/>
        <v>32.219251336898395</v>
      </c>
      <c r="M336" s="8" t="str">
        <f t="shared" si="31"/>
        <v>Perlu Pengendalian</v>
      </c>
      <c r="P336" s="194">
        <f t="shared" si="32"/>
        <v>32.76</v>
      </c>
      <c r="Q336" s="194">
        <f t="array" ref="Q336">$P336*0.8</f>
        <v>26.207999999999998</v>
      </c>
      <c r="R336" s="194">
        <f t="shared" si="33"/>
        <v>19.655999999999999</v>
      </c>
      <c r="S336" s="194">
        <f t="shared" si="34"/>
        <v>13.103999999999999</v>
      </c>
      <c r="T336" s="194">
        <f t="shared" si="35"/>
        <v>6.5519999999999996</v>
      </c>
    </row>
    <row r="337" spans="1:20" x14ac:dyDescent="0.15">
      <c r="A337" s="8" t="s">
        <v>628</v>
      </c>
      <c r="B337" s="8" t="s">
        <v>47</v>
      </c>
      <c r="C337" s="8" t="s">
        <v>345</v>
      </c>
      <c r="D337" s="8" t="s">
        <v>94</v>
      </c>
      <c r="E337" s="9">
        <v>26.9</v>
      </c>
      <c r="F337" s="8" t="s">
        <v>469</v>
      </c>
      <c r="G337" s="143">
        <f t="array" ref="G337">INDEX('[23]SENSUS MEI'!$G$9:$G$453,MATCH(1,('[23]SENSUS MEI'!$D$9:$D$453=$D337)*('[23]SENSUS MEI'!$D$9:$D$453=$D337),0))</f>
        <v>3733</v>
      </c>
      <c r="H337" s="11">
        <f t="array" ref="H337">INDEX('[23]SENSUS MEI'!$J$9:$J$453,MATCH(1,('[23]SENSUS MEI'!$D$9:$D$453=$D337)*('[23]SENSUS MEI'!$D$9:$D$453=$D337),0))</f>
        <v>46149</v>
      </c>
      <c r="I337" s="143">
        <f t="array" ref="I337">INDEX('[23]SENSUS MEI'!$K$9:$K$453,MATCH(1,('[23]SENSUS MEI'!$D$9:$D$453=$D337)*('[23]SENSUS MEI'!$D$9:$D$453=$D337),0))</f>
        <v>475</v>
      </c>
      <c r="J337" s="9">
        <f t="array" ref="J337">IFERROR(I337/G337*100,0)</f>
        <v>12.724350388427538</v>
      </c>
      <c r="K337" s="143">
        <f t="array" ref="K337">INDEX('[23]SENSUS MEI'!$M$9:$M$453,MATCH(1,('[23]SENSUS MEI'!$D$9:$D$453=$D337)*('[23]SENSUS MEI'!$D$9:$D$453=$D337),0))+INDEX('[23]SENSUS MEI'!$O$9:$O$453,MATCH(1,('[23]SENSUS MEI'!$D$9:$D$453=$D337)*('[23]SENSUS MEI'!$D$9:$D$453=$D337),0))</f>
        <v>68</v>
      </c>
      <c r="L337" s="9">
        <f t="shared" si="30"/>
        <v>14.315789473684209</v>
      </c>
      <c r="M337" s="8" t="str">
        <f t="shared" si="31"/>
        <v>Perlu Pengendalian</v>
      </c>
      <c r="P337" s="194">
        <f t="shared" si="32"/>
        <v>16.798500000000001</v>
      </c>
      <c r="Q337" s="194">
        <f t="array" ref="Q337">$P337*0.8</f>
        <v>13.438800000000001</v>
      </c>
      <c r="R337" s="194">
        <f t="shared" si="33"/>
        <v>10.0791</v>
      </c>
      <c r="S337" s="194">
        <f t="shared" si="34"/>
        <v>6.7194000000000003</v>
      </c>
      <c r="T337" s="194">
        <f t="shared" si="35"/>
        <v>3.3597000000000001</v>
      </c>
    </row>
    <row r="338" spans="1:20" x14ac:dyDescent="0.15">
      <c r="A338" s="8" t="s">
        <v>628</v>
      </c>
      <c r="B338" s="8" t="s">
        <v>47</v>
      </c>
      <c r="C338" s="8" t="s">
        <v>345</v>
      </c>
      <c r="D338" s="8" t="s">
        <v>95</v>
      </c>
      <c r="E338" s="9">
        <v>3.63</v>
      </c>
      <c r="F338" s="8" t="s">
        <v>16</v>
      </c>
      <c r="G338" s="143">
        <f t="array" ref="G338">INDEX('[23]SENSUS MEI'!$G$9:$G$453,MATCH(1,('[23]SENSUS MEI'!$D$9:$D$453=$D338)*('[23]SENSUS MEI'!$D$9:$D$453=$D338),0))</f>
        <v>407</v>
      </c>
      <c r="H338" s="11">
        <f t="array" ref="H338">INDEX('[23]SENSUS MEI'!$J$9:$J$453,MATCH(1,('[23]SENSUS MEI'!$D$9:$D$453=$D338)*('[23]SENSUS MEI'!$D$9:$D$453=$D338),0))</f>
        <v>46150</v>
      </c>
      <c r="I338" s="143">
        <f t="array" ref="I338">INDEX('[23]SENSUS MEI'!$K$9:$K$453,MATCH(1,('[23]SENSUS MEI'!$D$9:$D$453=$D338)*('[23]SENSUS MEI'!$D$9:$D$453=$D338),0))</f>
        <v>20</v>
      </c>
      <c r="J338" s="9">
        <f t="array" ref="J338">IFERROR(I338/G338*100,0)</f>
        <v>4.9140049140049138</v>
      </c>
      <c r="K338" s="143">
        <f t="array" ref="K338">INDEX('[23]SENSUS MEI'!$M$9:$M$453,MATCH(1,('[23]SENSUS MEI'!$D$9:$D$453=$D338)*('[23]SENSUS MEI'!$D$9:$D$453=$D338),0))+INDEX('[23]SENSUS MEI'!$O$9:$O$453,MATCH(1,('[23]SENSUS MEI'!$D$9:$D$453=$D338)*('[23]SENSUS MEI'!$D$9:$D$453=$D338),0))</f>
        <v>15</v>
      </c>
      <c r="L338" s="9">
        <f t="shared" si="30"/>
        <v>75</v>
      </c>
      <c r="M338" s="8" t="str">
        <f t="shared" si="31"/>
        <v>Perlu Pengendalian</v>
      </c>
      <c r="P338" s="194">
        <f t="shared" si="32"/>
        <v>1.8314999999999999</v>
      </c>
      <c r="Q338" s="194">
        <f t="array" ref="Q338">$P338*0.8</f>
        <v>1.4652000000000001</v>
      </c>
      <c r="R338" s="194">
        <f t="shared" si="33"/>
        <v>1.0989</v>
      </c>
      <c r="S338" s="194">
        <f t="shared" si="34"/>
        <v>0.73260000000000003</v>
      </c>
      <c r="T338" s="194">
        <f t="shared" si="35"/>
        <v>0.36630000000000001</v>
      </c>
    </row>
    <row r="339" spans="1:20" x14ac:dyDescent="0.15">
      <c r="A339" s="8" t="s">
        <v>628</v>
      </c>
      <c r="B339" s="8" t="s">
        <v>47</v>
      </c>
      <c r="C339" s="8" t="s">
        <v>345</v>
      </c>
      <c r="D339" s="8" t="s">
        <v>96</v>
      </c>
      <c r="E339" s="9">
        <v>5.67</v>
      </c>
      <c r="F339" s="8" t="s">
        <v>16</v>
      </c>
      <c r="G339" s="143">
        <f t="array" ref="G339">INDEX('[23]SENSUS MEI'!$G$9:$G$453,MATCH(1,('[23]SENSUS MEI'!$D$9:$D$453=$D339)*('[23]SENSUS MEI'!$D$9:$D$453=$D339),0))</f>
        <v>821</v>
      </c>
      <c r="H339" s="11">
        <f t="array" ref="H339">INDEX('[23]SENSUS MEI'!$J$9:$J$453,MATCH(1,('[23]SENSUS MEI'!$D$9:$D$453=$D339)*('[23]SENSUS MEI'!$D$9:$D$453=$D339),0))</f>
        <v>46150</v>
      </c>
      <c r="I339" s="143">
        <f t="array" ref="I339">INDEX('[23]SENSUS MEI'!$K$9:$K$453,MATCH(1,('[23]SENSUS MEI'!$D$9:$D$453=$D339)*('[23]SENSUS MEI'!$D$9:$D$453=$D339),0))</f>
        <v>522</v>
      </c>
      <c r="J339" s="9">
        <f t="array" ref="J339">IFERROR(I339/G339*100,0)</f>
        <v>63.580998781973207</v>
      </c>
      <c r="K339" s="143">
        <f t="array" ref="K339">INDEX('[23]SENSUS MEI'!$M$9:$M$453,MATCH(1,('[23]SENSUS MEI'!$D$9:$D$453=$D339)*('[23]SENSUS MEI'!$D$9:$D$453=$D339),0))+INDEX('[23]SENSUS MEI'!$O$9:$O$453,MATCH(1,('[23]SENSUS MEI'!$D$9:$D$453=$D339)*('[23]SENSUS MEI'!$D$9:$D$453=$D339),0))</f>
        <v>132</v>
      </c>
      <c r="L339" s="9">
        <f t="shared" si="30"/>
        <v>25.287356321839084</v>
      </c>
      <c r="M339" s="8" t="str">
        <f t="shared" si="31"/>
        <v>Perlu Pengendalian</v>
      </c>
      <c r="P339" s="194">
        <f t="shared" si="32"/>
        <v>3.6945000000000001</v>
      </c>
      <c r="Q339" s="194">
        <f t="array" ref="Q339">$P339*0.8</f>
        <v>2.9556000000000004</v>
      </c>
      <c r="R339" s="194">
        <f t="shared" si="33"/>
        <v>2.2166999999999999</v>
      </c>
      <c r="S339" s="194">
        <f t="shared" si="34"/>
        <v>1.4778000000000002</v>
      </c>
      <c r="T339" s="194">
        <f t="shared" si="35"/>
        <v>0.73890000000000011</v>
      </c>
    </row>
    <row r="340" spans="1:20" x14ac:dyDescent="0.15">
      <c r="A340" s="8" t="s">
        <v>628</v>
      </c>
      <c r="B340" s="8" t="s">
        <v>47</v>
      </c>
      <c r="C340" s="8" t="s">
        <v>345</v>
      </c>
      <c r="D340" s="8" t="s">
        <v>97</v>
      </c>
      <c r="E340" s="9">
        <v>3.15</v>
      </c>
      <c r="F340" s="8" t="s">
        <v>16</v>
      </c>
      <c r="G340" s="143">
        <f t="array" ref="G340">INDEX('[23]SENSUS MEI'!$G$9:$G$453,MATCH(1,('[23]SENSUS MEI'!$D$9:$D$453=$D340)*('[23]SENSUS MEI'!$D$9:$D$453=$D340),0))</f>
        <v>493</v>
      </c>
      <c r="H340" s="11">
        <f t="array" ref="H340">INDEX('[23]SENSUS MEI'!$J$9:$J$453,MATCH(1,('[23]SENSUS MEI'!$D$9:$D$453=$D340)*('[23]SENSUS MEI'!$D$9:$D$453=$D340),0))</f>
        <v>46150</v>
      </c>
      <c r="I340" s="143">
        <f t="array" ref="I340">INDEX('[23]SENSUS MEI'!$K$9:$K$453,MATCH(1,('[23]SENSUS MEI'!$D$9:$D$453=$D340)*('[23]SENSUS MEI'!$D$9:$D$453=$D340),0))</f>
        <v>10</v>
      </c>
      <c r="J340" s="9">
        <f t="array" ref="J340">IFERROR(I340/G340*100,0)</f>
        <v>2.028397565922921</v>
      </c>
      <c r="K340" s="143">
        <f t="array" ref="K340">INDEX('[23]SENSUS MEI'!$M$9:$M$453,MATCH(1,('[23]SENSUS MEI'!$D$9:$D$453=$D340)*('[23]SENSUS MEI'!$D$9:$D$453=$D340),0))+INDEX('[23]SENSUS MEI'!$O$9:$O$453,MATCH(1,('[23]SENSUS MEI'!$D$9:$D$453=$D340)*('[23]SENSUS MEI'!$D$9:$D$453=$D340),0))</f>
        <v>7</v>
      </c>
      <c r="L340" s="9">
        <f t="shared" ref="L340:L403" si="36">IFERROR(K340/I340*100,0)</f>
        <v>70</v>
      </c>
      <c r="M340" s="8" t="str">
        <f t="shared" si="31"/>
        <v>Perlu Pengendalian</v>
      </c>
      <c r="P340" s="194">
        <f t="shared" si="32"/>
        <v>2.2185000000000001</v>
      </c>
      <c r="Q340" s="194">
        <f t="array" ref="Q340">$P340*0.8</f>
        <v>1.7748000000000002</v>
      </c>
      <c r="R340" s="194">
        <f t="shared" si="33"/>
        <v>1.3310999999999999</v>
      </c>
      <c r="S340" s="194">
        <f t="shared" si="34"/>
        <v>0.88740000000000008</v>
      </c>
      <c r="T340" s="194">
        <f t="shared" si="35"/>
        <v>0.44370000000000004</v>
      </c>
    </row>
    <row r="341" spans="1:20" x14ac:dyDescent="0.15">
      <c r="A341" s="8" t="s">
        <v>628</v>
      </c>
      <c r="B341" s="8" t="s">
        <v>47</v>
      </c>
      <c r="C341" s="8" t="s">
        <v>345</v>
      </c>
      <c r="D341" s="8" t="s">
        <v>892</v>
      </c>
      <c r="E341" s="9">
        <v>39.79</v>
      </c>
      <c r="F341" s="8" t="s">
        <v>16</v>
      </c>
      <c r="G341" s="143">
        <f t="array" ref="G341">INDEX('[23]SENSUS MEI'!$G$9:$G$453,MATCH(1,('[23]SENSUS MEI'!$D$9:$D$453=$D341)*('[23]SENSUS MEI'!$D$9:$D$453=$D341),0))</f>
        <v>5904</v>
      </c>
      <c r="H341" s="11">
        <f t="array" ref="H341">INDEX('[23]SENSUS MEI'!$J$9:$J$453,MATCH(1,('[23]SENSUS MEI'!$D$9:$D$453=$D341)*('[23]SENSUS MEI'!$D$9:$D$453=$D341),0))</f>
        <v>46150</v>
      </c>
      <c r="I341" s="143">
        <f t="array" ref="I341">INDEX('[23]SENSUS MEI'!$K$9:$K$453,MATCH(1,('[23]SENSUS MEI'!$D$9:$D$453=$D341)*('[23]SENSUS MEI'!$D$9:$D$453=$D341),0))</f>
        <v>516</v>
      </c>
      <c r="J341" s="9">
        <f t="array" ref="J341">IFERROR(I341/G341*100,0)</f>
        <v>8.7398373983739841</v>
      </c>
      <c r="K341" s="143">
        <f t="array" ref="K341">INDEX('[23]SENSUS MEI'!$M$9:$M$453,MATCH(1,('[23]SENSUS MEI'!$D$9:$D$453=$D341)*('[23]SENSUS MEI'!$D$9:$D$453=$D341),0))+INDEX('[23]SENSUS MEI'!$O$9:$O$453,MATCH(1,('[23]SENSUS MEI'!$D$9:$D$453=$D341)*('[23]SENSUS MEI'!$D$9:$D$453=$D341),0))</f>
        <v>135</v>
      </c>
      <c r="L341" s="9">
        <f t="shared" si="36"/>
        <v>26.162790697674421</v>
      </c>
      <c r="M341" s="8" t="str">
        <f t="shared" si="31"/>
        <v>Perlu Pengendalian</v>
      </c>
      <c r="P341" s="194">
        <f t="shared" si="32"/>
        <v>26.568000000000001</v>
      </c>
      <c r="Q341" s="194">
        <f t="array" ref="Q341">$P341*0.8</f>
        <v>21.254400000000004</v>
      </c>
      <c r="R341" s="194">
        <f t="shared" si="33"/>
        <v>15.940799999999999</v>
      </c>
      <c r="S341" s="194">
        <f t="shared" si="34"/>
        <v>10.627200000000002</v>
      </c>
      <c r="T341" s="194">
        <f t="shared" si="35"/>
        <v>5.313600000000001</v>
      </c>
    </row>
    <row r="342" spans="1:20" x14ac:dyDescent="0.15">
      <c r="A342" s="8" t="s">
        <v>628</v>
      </c>
      <c r="B342" s="8" t="s">
        <v>47</v>
      </c>
      <c r="C342" s="8" t="s">
        <v>345</v>
      </c>
      <c r="D342" s="8" t="s">
        <v>893</v>
      </c>
      <c r="E342" s="9">
        <v>39.520000000000003</v>
      </c>
      <c r="F342" s="8" t="s">
        <v>16</v>
      </c>
      <c r="G342" s="143">
        <f t="array" ref="G342">INDEX('[23]SENSUS MEI'!$G$9:$G$453,MATCH(1,('[23]SENSUS MEI'!$D$9:$D$453=$D342)*('[23]SENSUS MEI'!$D$9:$D$453=$D342),0))</f>
        <v>5848</v>
      </c>
      <c r="H342" s="11">
        <f t="array" ref="H342">INDEX('[23]SENSUS MEI'!$J$9:$J$453,MATCH(1,('[23]SENSUS MEI'!$D$9:$D$453=$D342)*('[23]SENSUS MEI'!$D$9:$D$453=$D342),0))</f>
        <v>46150</v>
      </c>
      <c r="I342" s="143">
        <f t="array" ref="I342">INDEX('[23]SENSUS MEI'!$K$9:$K$453,MATCH(1,('[23]SENSUS MEI'!$D$9:$D$453=$D342)*('[23]SENSUS MEI'!$D$9:$D$453=$D342),0))</f>
        <v>587</v>
      </c>
      <c r="J342" s="9">
        <f t="array" ref="J342">IFERROR(I342/G342*100,0)</f>
        <v>10.037619699042407</v>
      </c>
      <c r="K342" s="143">
        <f t="array" ref="K342">INDEX('[23]SENSUS MEI'!$M$9:$M$453,MATCH(1,('[23]SENSUS MEI'!$D$9:$D$453=$D342)*('[23]SENSUS MEI'!$D$9:$D$453=$D342),0))+INDEX('[23]SENSUS MEI'!$O$9:$O$453,MATCH(1,('[23]SENSUS MEI'!$D$9:$D$453=$D342)*('[23]SENSUS MEI'!$D$9:$D$453=$D342),0))</f>
        <v>67</v>
      </c>
      <c r="L342" s="9">
        <f t="shared" si="36"/>
        <v>11.41396933560477</v>
      </c>
      <c r="M342" s="8" t="str">
        <f t="shared" si="31"/>
        <v>Perlu Pengendalian</v>
      </c>
      <c r="P342" s="194">
        <f t="shared" si="32"/>
        <v>26.315999999999999</v>
      </c>
      <c r="Q342" s="194">
        <f t="array" ref="Q342">$P342*0.8</f>
        <v>21.052800000000001</v>
      </c>
      <c r="R342" s="194">
        <f t="shared" si="33"/>
        <v>15.789599999999998</v>
      </c>
      <c r="S342" s="194">
        <f t="shared" si="34"/>
        <v>10.526400000000001</v>
      </c>
      <c r="T342" s="194">
        <f t="shared" si="35"/>
        <v>5.2632000000000003</v>
      </c>
    </row>
    <row r="343" spans="1:20" x14ac:dyDescent="0.15">
      <c r="A343" s="8" t="s">
        <v>628</v>
      </c>
      <c r="B343" s="8" t="s">
        <v>47</v>
      </c>
      <c r="C343" s="8" t="s">
        <v>345</v>
      </c>
      <c r="D343" s="8" t="s">
        <v>894</v>
      </c>
      <c r="E343" s="9">
        <v>60.46</v>
      </c>
      <c r="F343" s="8" t="s">
        <v>16</v>
      </c>
      <c r="G343" s="143">
        <f t="array" ref="G343">INDEX('[23]SENSUS MEI'!$G$9:$G$453,MATCH(1,('[23]SENSUS MEI'!$D$9:$D$453=$D343)*('[23]SENSUS MEI'!$D$9:$D$453=$D343),0))</f>
        <v>8817</v>
      </c>
      <c r="H343" s="11">
        <f t="array" ref="H343">INDEX('[23]SENSUS MEI'!$J$9:$J$453,MATCH(1,('[23]SENSUS MEI'!$D$9:$D$453=$D343)*('[23]SENSUS MEI'!$D$9:$D$453=$D343),0))</f>
        <v>46151</v>
      </c>
      <c r="I343" s="143">
        <f t="array" ref="I343">INDEX('[23]SENSUS MEI'!$K$9:$K$453,MATCH(1,('[23]SENSUS MEI'!$D$9:$D$453=$D343)*('[23]SENSUS MEI'!$D$9:$D$453=$D343),0))</f>
        <v>904</v>
      </c>
      <c r="J343" s="9">
        <f t="array" ref="J343">IFERROR(I343/G343*100,0)</f>
        <v>10.252920494499262</v>
      </c>
      <c r="K343" s="143">
        <f t="array" ref="K343">INDEX('[23]SENSUS MEI'!$M$9:$M$453,MATCH(1,('[23]SENSUS MEI'!$D$9:$D$453=$D343)*('[23]SENSUS MEI'!$D$9:$D$453=$D343),0))+INDEX('[23]SENSUS MEI'!$O$9:$O$453,MATCH(1,('[23]SENSUS MEI'!$D$9:$D$453=$D343)*('[23]SENSUS MEI'!$D$9:$D$453=$D343),0))</f>
        <v>138</v>
      </c>
      <c r="L343" s="9">
        <f t="shared" si="36"/>
        <v>15.265486725663715</v>
      </c>
      <c r="M343" s="8" t="str">
        <f t="shared" si="31"/>
        <v>Perlu Pengendalian</v>
      </c>
      <c r="P343" s="194">
        <f t="shared" si="32"/>
        <v>39.676499999999997</v>
      </c>
      <c r="Q343" s="194">
        <f t="array" ref="Q343">$P343*0.8</f>
        <v>31.741199999999999</v>
      </c>
      <c r="R343" s="194">
        <f t="shared" si="33"/>
        <v>23.805899999999998</v>
      </c>
      <c r="S343" s="194">
        <f t="shared" si="34"/>
        <v>15.8706</v>
      </c>
      <c r="T343" s="194">
        <f t="shared" si="35"/>
        <v>7.9352999999999998</v>
      </c>
    </row>
    <row r="344" spans="1:20" x14ac:dyDescent="0.15">
      <c r="A344" s="8" t="s">
        <v>628</v>
      </c>
      <c r="B344" s="8" t="s">
        <v>47</v>
      </c>
      <c r="C344" s="8" t="s">
        <v>345</v>
      </c>
      <c r="D344" s="8" t="s">
        <v>895</v>
      </c>
      <c r="E344" s="9">
        <v>45.45</v>
      </c>
      <c r="F344" s="8" t="s">
        <v>16</v>
      </c>
      <c r="G344" s="143">
        <f t="array" ref="G344">INDEX('[23]SENSUS MEI'!$G$9:$G$453,MATCH(1,('[23]SENSUS MEI'!$D$9:$D$453=$D344)*('[23]SENSUS MEI'!$D$9:$D$453=$D344),0))</f>
        <v>6763</v>
      </c>
      <c r="H344" s="11">
        <f t="array" ref="H344">INDEX('[23]SENSUS MEI'!$J$9:$J$453,MATCH(1,('[23]SENSUS MEI'!$D$9:$D$453=$D344)*('[23]SENSUS MEI'!$D$9:$D$453=$D344),0))</f>
        <v>46150</v>
      </c>
      <c r="I344" s="143">
        <f t="array" ref="I344">INDEX('[23]SENSUS MEI'!$K$9:$K$453,MATCH(1,('[23]SENSUS MEI'!$D$9:$D$453=$D344)*('[23]SENSUS MEI'!$D$9:$D$453=$D344),0))</f>
        <v>681</v>
      </c>
      <c r="J344" s="9">
        <f t="array" ref="J344">IFERROR(I344/G344*100,0)</f>
        <v>10.069495785893833</v>
      </c>
      <c r="K344" s="143">
        <f t="array" ref="K344">INDEX('[23]SENSUS MEI'!$M$9:$M$453,MATCH(1,('[23]SENSUS MEI'!$D$9:$D$453=$D344)*('[23]SENSUS MEI'!$D$9:$D$453=$D344),0))+INDEX('[23]SENSUS MEI'!$O$9:$O$453,MATCH(1,('[23]SENSUS MEI'!$D$9:$D$453=$D344)*('[23]SENSUS MEI'!$D$9:$D$453=$D344),0))</f>
        <v>206</v>
      </c>
      <c r="L344" s="9">
        <f t="shared" si="36"/>
        <v>30.249632892804701</v>
      </c>
      <c r="M344" s="8" t="str">
        <f t="shared" si="31"/>
        <v>Perlu Pengendalian</v>
      </c>
      <c r="P344" s="194">
        <f t="shared" si="32"/>
        <v>30.433499999999999</v>
      </c>
      <c r="Q344" s="194">
        <f t="array" ref="Q344">$P344*0.8</f>
        <v>24.346800000000002</v>
      </c>
      <c r="R344" s="194">
        <f t="shared" si="33"/>
        <v>18.260099999999998</v>
      </c>
      <c r="S344" s="194">
        <f t="shared" si="34"/>
        <v>12.173400000000001</v>
      </c>
      <c r="T344" s="194">
        <f t="shared" si="35"/>
        <v>6.0867000000000004</v>
      </c>
    </row>
    <row r="345" spans="1:20" x14ac:dyDescent="0.15">
      <c r="A345" s="8" t="s">
        <v>628</v>
      </c>
      <c r="B345" s="8" t="s">
        <v>47</v>
      </c>
      <c r="C345" s="8" t="s">
        <v>345</v>
      </c>
      <c r="D345" s="8" t="s">
        <v>896</v>
      </c>
      <c r="E345" s="9">
        <v>64.260000000000005</v>
      </c>
      <c r="F345" s="8" t="s">
        <v>16</v>
      </c>
      <c r="G345" s="143">
        <f t="array" ref="G345">INDEX('[23]SENSUS MEI'!$G$9:$G$453,MATCH(1,('[23]SENSUS MEI'!$D$9:$D$453=$D345)*('[23]SENSUS MEI'!$D$9:$D$453=$D345),0))</f>
        <v>9219</v>
      </c>
      <c r="H345" s="11">
        <f t="array" ref="H345">INDEX('[23]SENSUS MEI'!$J$9:$J$453,MATCH(1,('[23]SENSUS MEI'!$D$9:$D$453=$D345)*('[23]SENSUS MEI'!$D$9:$D$453=$D345),0))</f>
        <v>46151</v>
      </c>
      <c r="I345" s="143">
        <f t="array" ref="I345">INDEX('[23]SENSUS MEI'!$K$9:$K$453,MATCH(1,('[23]SENSUS MEI'!$D$9:$D$453=$D345)*('[23]SENSUS MEI'!$D$9:$D$453=$D345),0))</f>
        <v>479</v>
      </c>
      <c r="J345" s="9">
        <f t="array" ref="J345">IFERROR(I345/G345*100,0)</f>
        <v>5.1957913005748999</v>
      </c>
      <c r="K345" s="143">
        <f t="array" ref="K345">INDEX('[23]SENSUS MEI'!$M$9:$M$453,MATCH(1,('[23]SENSUS MEI'!$D$9:$D$453=$D345)*('[23]SENSUS MEI'!$D$9:$D$453=$D345),0))+INDEX('[23]SENSUS MEI'!$O$9:$O$453,MATCH(1,('[23]SENSUS MEI'!$D$9:$D$453=$D345)*('[23]SENSUS MEI'!$D$9:$D$453=$D345),0))</f>
        <v>181</v>
      </c>
      <c r="L345" s="9">
        <f t="shared" si="36"/>
        <v>37.78705636743215</v>
      </c>
      <c r="M345" s="8" t="str">
        <f t="shared" si="31"/>
        <v>Perlu Pengendalian</v>
      </c>
      <c r="P345" s="194">
        <f t="shared" si="32"/>
        <v>41.485500000000002</v>
      </c>
      <c r="Q345" s="194">
        <f t="array" ref="Q345">$P345*0.8</f>
        <v>33.188400000000001</v>
      </c>
      <c r="R345" s="194">
        <f t="shared" si="33"/>
        <v>24.891300000000001</v>
      </c>
      <c r="S345" s="194">
        <f t="shared" si="34"/>
        <v>16.594200000000001</v>
      </c>
      <c r="T345" s="194">
        <f t="shared" si="35"/>
        <v>8.2971000000000004</v>
      </c>
    </row>
    <row r="346" spans="1:20" x14ac:dyDescent="0.15">
      <c r="A346" s="8" t="s">
        <v>628</v>
      </c>
      <c r="B346" s="8" t="s">
        <v>47</v>
      </c>
      <c r="C346" s="8" t="s">
        <v>345</v>
      </c>
      <c r="D346" s="8" t="s">
        <v>897</v>
      </c>
      <c r="E346" s="9">
        <v>54.43</v>
      </c>
      <c r="F346" s="8" t="s">
        <v>16</v>
      </c>
      <c r="G346" s="143">
        <f t="array" ref="G346">INDEX('[23]SENSUS MEI'!$G$9:$G$453,MATCH(1,('[23]SENSUS MEI'!$D$9:$D$453=$D346)*('[23]SENSUS MEI'!$D$9:$D$453=$D346),0))</f>
        <v>7454</v>
      </c>
      <c r="H346" s="11">
        <f t="array" ref="H346">INDEX('[23]SENSUS MEI'!$J$9:$J$453,MATCH(1,('[23]SENSUS MEI'!$D$9:$D$453=$D346)*('[23]SENSUS MEI'!$D$9:$D$453=$D346),0))</f>
        <v>46150</v>
      </c>
      <c r="I346" s="143">
        <f t="array" ref="I346">INDEX('[23]SENSUS MEI'!$K$9:$K$453,MATCH(1,('[23]SENSUS MEI'!$D$9:$D$453=$D346)*('[23]SENSUS MEI'!$D$9:$D$453=$D346),0))</f>
        <v>587</v>
      </c>
      <c r="J346" s="9">
        <f t="array" ref="J346">IFERROR(I346/G346*100,0)</f>
        <v>7.8749664609605583</v>
      </c>
      <c r="K346" s="143">
        <f t="array" ref="K346">INDEX('[23]SENSUS MEI'!$M$9:$M$453,MATCH(1,('[23]SENSUS MEI'!$D$9:$D$453=$D346)*('[23]SENSUS MEI'!$D$9:$D$453=$D346),0))+INDEX('[23]SENSUS MEI'!$O$9:$O$453,MATCH(1,('[23]SENSUS MEI'!$D$9:$D$453=$D346)*('[23]SENSUS MEI'!$D$9:$D$453=$D346),0))</f>
        <v>67</v>
      </c>
      <c r="L346" s="9">
        <f t="shared" si="36"/>
        <v>11.41396933560477</v>
      </c>
      <c r="M346" s="8" t="str">
        <f t="shared" si="31"/>
        <v>Perlu Pengendalian</v>
      </c>
      <c r="P346" s="194">
        <f t="shared" si="32"/>
        <v>33.542999999999999</v>
      </c>
      <c r="Q346" s="194">
        <f t="array" ref="Q346">$P346*0.8</f>
        <v>26.834400000000002</v>
      </c>
      <c r="R346" s="194">
        <f t="shared" si="33"/>
        <v>20.125799999999998</v>
      </c>
      <c r="S346" s="194">
        <f t="shared" si="34"/>
        <v>13.417200000000001</v>
      </c>
      <c r="T346" s="194">
        <f t="shared" si="35"/>
        <v>6.7086000000000006</v>
      </c>
    </row>
    <row r="347" spans="1:20" x14ac:dyDescent="0.15">
      <c r="A347" s="8" t="s">
        <v>628</v>
      </c>
      <c r="B347" s="8" t="s">
        <v>47</v>
      </c>
      <c r="C347" s="8" t="s">
        <v>345</v>
      </c>
      <c r="D347" s="8" t="s">
        <v>898</v>
      </c>
      <c r="E347" s="9">
        <v>38.65</v>
      </c>
      <c r="F347" s="8" t="s">
        <v>16</v>
      </c>
      <c r="G347" s="143">
        <f t="array" ref="G347">INDEX('[23]SENSUS MEI'!$G$9:$G$453,MATCH(1,('[23]SENSUS MEI'!$D$9:$D$453=$D347)*('[23]SENSUS MEI'!$D$9:$D$453=$D347),0))</f>
        <v>6130</v>
      </c>
      <c r="H347" s="11">
        <f t="array" ref="H347">INDEX('[23]SENSUS MEI'!$J$9:$J$453,MATCH(1,('[23]SENSUS MEI'!$D$9:$D$453=$D347)*('[23]SENSUS MEI'!$D$9:$D$453=$D347),0))</f>
        <v>46151</v>
      </c>
      <c r="I347" s="143">
        <f t="array" ref="I347">INDEX('[23]SENSUS MEI'!$K$9:$K$453,MATCH(1,('[23]SENSUS MEI'!$D$9:$D$453=$D347)*('[23]SENSUS MEI'!$D$9:$D$453=$D347),0))</f>
        <v>397</v>
      </c>
      <c r="J347" s="9">
        <f t="array" ref="J347">IFERROR(I347/G347*100,0)</f>
        <v>6.4763458401305058</v>
      </c>
      <c r="K347" s="143">
        <f t="array" ref="K347">INDEX('[23]SENSUS MEI'!$M$9:$M$453,MATCH(1,('[23]SENSUS MEI'!$D$9:$D$453=$D347)*('[23]SENSUS MEI'!$D$9:$D$453=$D347),0))+INDEX('[23]SENSUS MEI'!$O$9:$O$453,MATCH(1,('[23]SENSUS MEI'!$D$9:$D$453=$D347)*('[23]SENSUS MEI'!$D$9:$D$453=$D347),0))</f>
        <v>87</v>
      </c>
      <c r="L347" s="9">
        <f t="shared" si="36"/>
        <v>21.914357682619649</v>
      </c>
      <c r="M347" s="8" t="str">
        <f t="shared" si="31"/>
        <v>Perlu Pengendalian</v>
      </c>
      <c r="P347" s="194">
        <f t="shared" si="32"/>
        <v>27.585000000000001</v>
      </c>
      <c r="Q347" s="194">
        <f t="array" ref="Q347">$P347*0.8</f>
        <v>22.068000000000001</v>
      </c>
      <c r="R347" s="194">
        <f t="shared" si="33"/>
        <v>16.550999999999998</v>
      </c>
      <c r="S347" s="194">
        <f t="shared" si="34"/>
        <v>11.034000000000001</v>
      </c>
      <c r="T347" s="194">
        <f t="shared" si="35"/>
        <v>5.5170000000000003</v>
      </c>
    </row>
    <row r="348" spans="1:20" x14ac:dyDescent="0.15">
      <c r="A348" s="8" t="s">
        <v>628</v>
      </c>
      <c r="B348" s="8" t="s">
        <v>47</v>
      </c>
      <c r="C348" s="8" t="s">
        <v>345</v>
      </c>
      <c r="D348" s="8" t="s">
        <v>899</v>
      </c>
      <c r="E348" s="9">
        <v>37.64</v>
      </c>
      <c r="F348" s="8" t="s">
        <v>16</v>
      </c>
      <c r="G348" s="143">
        <f t="array" ref="G348">INDEX('[23]SENSUS MEI'!$G$9:$G$453,MATCH(1,('[23]SENSUS MEI'!$D$9:$D$453=$D348)*('[23]SENSUS MEI'!$D$9:$D$453=$D348),0))</f>
        <v>5301</v>
      </c>
      <c r="H348" s="11">
        <f t="array" ref="H348">INDEX('[23]SENSUS MEI'!$J$9:$J$453,MATCH(1,('[23]SENSUS MEI'!$D$9:$D$453=$D348)*('[23]SENSUS MEI'!$D$9:$D$453=$D348),0))</f>
        <v>46151</v>
      </c>
      <c r="I348" s="143">
        <f t="array" ref="I348">INDEX('[23]SENSUS MEI'!$K$9:$K$453,MATCH(1,('[23]SENSUS MEI'!$D$9:$D$453=$D348)*('[23]SENSUS MEI'!$D$9:$D$453=$D348),0))</f>
        <v>408</v>
      </c>
      <c r="J348" s="9">
        <f t="array" ref="J348">IFERROR(I348/G348*100,0)</f>
        <v>7.6966610073571031</v>
      </c>
      <c r="K348" s="143">
        <f t="array" ref="K348">INDEX('[23]SENSUS MEI'!$M$9:$M$453,MATCH(1,('[23]SENSUS MEI'!$D$9:$D$453=$D348)*('[23]SENSUS MEI'!$D$9:$D$453=$D348),0))+INDEX('[23]SENSUS MEI'!$O$9:$O$453,MATCH(1,('[23]SENSUS MEI'!$D$9:$D$453=$D348)*('[23]SENSUS MEI'!$D$9:$D$453=$D348),0))</f>
        <v>72</v>
      </c>
      <c r="L348" s="9">
        <f t="shared" si="36"/>
        <v>17.647058823529413</v>
      </c>
      <c r="M348" s="8" t="str">
        <f t="shared" si="31"/>
        <v>Perlu Pengendalian</v>
      </c>
      <c r="P348" s="194">
        <f t="shared" si="32"/>
        <v>23.854500000000002</v>
      </c>
      <c r="Q348" s="194">
        <f t="array" ref="Q348">$P348*0.8</f>
        <v>19.083600000000001</v>
      </c>
      <c r="R348" s="194">
        <f t="shared" si="33"/>
        <v>14.312700000000001</v>
      </c>
      <c r="S348" s="194">
        <f t="shared" si="34"/>
        <v>9.5418000000000003</v>
      </c>
      <c r="T348" s="194">
        <f t="shared" si="35"/>
        <v>4.7709000000000001</v>
      </c>
    </row>
    <row r="349" spans="1:20" x14ac:dyDescent="0.15">
      <c r="A349" s="8" t="s">
        <v>628</v>
      </c>
      <c r="B349" s="8" t="s">
        <v>47</v>
      </c>
      <c r="C349" s="8" t="s">
        <v>380</v>
      </c>
      <c r="D349" s="8" t="s">
        <v>44</v>
      </c>
      <c r="E349" s="9">
        <v>1.9</v>
      </c>
      <c r="F349" s="8" t="s">
        <v>469</v>
      </c>
      <c r="G349" s="143">
        <f t="array" ref="G349">INDEX('[23]SENSUS MEI'!$G$9:$G$453,MATCH(1,('[23]SENSUS MEI'!$D$9:$D$453=$D349)*('[23]SENSUS MEI'!$D$9:$D$453=$D349),0))</f>
        <v>271</v>
      </c>
      <c r="H349" s="11">
        <f t="array" ref="H349">INDEX('[23]SENSUS MEI'!$J$9:$J$453,MATCH(1,('[23]SENSUS MEI'!$D$9:$D$453=$D349)*('[23]SENSUS MEI'!$D$9:$D$453=$D349),0))</f>
        <v>46150</v>
      </c>
      <c r="I349" s="143">
        <f t="array" ref="I349">INDEX('[23]SENSUS MEI'!$K$9:$K$453,MATCH(1,('[23]SENSUS MEI'!$D$9:$D$453=$D349)*('[23]SENSUS MEI'!$D$9:$D$453=$D349),0))</f>
        <v>33</v>
      </c>
      <c r="J349" s="9">
        <f t="array" ref="J349">IFERROR(I349/G349*100,0)</f>
        <v>12.177121771217712</v>
      </c>
      <c r="K349" s="143">
        <f t="array" ref="K349">INDEX('[23]SENSUS MEI'!$M$9:$M$453,MATCH(1,('[23]SENSUS MEI'!$D$9:$D$453=$D349)*('[23]SENSUS MEI'!$D$9:$D$453=$D349),0))+INDEX('[23]SENSUS MEI'!$O$9:$O$453,MATCH(1,('[23]SENSUS MEI'!$D$9:$D$453=$D349)*('[23]SENSUS MEI'!$D$9:$D$453=$D349),0))</f>
        <v>14</v>
      </c>
      <c r="L349" s="9">
        <f t="shared" si="36"/>
        <v>42.424242424242422</v>
      </c>
      <c r="M349" s="8" t="str">
        <f t="shared" si="31"/>
        <v>Perlu Pengendalian</v>
      </c>
      <c r="P349" s="194">
        <f t="shared" si="32"/>
        <v>1.2195</v>
      </c>
      <c r="Q349" s="194">
        <f t="array" ref="Q349">$P349*0.8</f>
        <v>0.97560000000000002</v>
      </c>
      <c r="R349" s="194">
        <f t="shared" si="33"/>
        <v>0.73170000000000002</v>
      </c>
      <c r="S349" s="194">
        <f t="shared" si="34"/>
        <v>0.48780000000000001</v>
      </c>
      <c r="T349" s="194">
        <f t="shared" si="35"/>
        <v>0.24390000000000001</v>
      </c>
    </row>
    <row r="350" spans="1:20" x14ac:dyDescent="0.15">
      <c r="A350" s="8" t="s">
        <v>628</v>
      </c>
      <c r="B350" s="8" t="s">
        <v>47</v>
      </c>
      <c r="C350" s="8" t="s">
        <v>380</v>
      </c>
      <c r="D350" s="8" t="s">
        <v>45</v>
      </c>
      <c r="E350" s="9">
        <v>6.09</v>
      </c>
      <c r="F350" s="8" t="s">
        <v>469</v>
      </c>
      <c r="G350" s="143">
        <f t="array" ref="G350">INDEX('[23]SENSUS MEI'!$G$9:$G$453,MATCH(1,('[23]SENSUS MEI'!$D$9:$D$453=$D350)*('[23]SENSUS MEI'!$D$9:$D$453=$D350),0))</f>
        <v>667</v>
      </c>
      <c r="H350" s="11">
        <f t="array" ref="H350">INDEX('[23]SENSUS MEI'!$J$9:$J$453,MATCH(1,('[23]SENSUS MEI'!$D$9:$D$453=$D350)*('[23]SENSUS MEI'!$D$9:$D$453=$D350),0))</f>
        <v>46150</v>
      </c>
      <c r="I350" s="143">
        <f t="array" ref="I350">INDEX('[23]SENSUS MEI'!$K$9:$K$453,MATCH(1,('[23]SENSUS MEI'!$D$9:$D$453=$D350)*('[23]SENSUS MEI'!$D$9:$D$453=$D350),0))</f>
        <v>69</v>
      </c>
      <c r="J350" s="9">
        <f t="array" ref="J350">IFERROR(I350/G350*100,0)</f>
        <v>10.344827586206897</v>
      </c>
      <c r="K350" s="143">
        <f t="array" ref="K350">INDEX('[23]SENSUS MEI'!$M$9:$M$453,MATCH(1,('[23]SENSUS MEI'!$D$9:$D$453=$D350)*('[23]SENSUS MEI'!$D$9:$D$453=$D350),0))+INDEX('[23]SENSUS MEI'!$O$9:$O$453,MATCH(1,('[23]SENSUS MEI'!$D$9:$D$453=$D350)*('[23]SENSUS MEI'!$D$9:$D$453=$D350),0))</f>
        <v>19</v>
      </c>
      <c r="L350" s="9">
        <f t="shared" si="36"/>
        <v>27.536231884057973</v>
      </c>
      <c r="M350" s="8" t="str">
        <f t="shared" si="31"/>
        <v>Perlu Pengendalian</v>
      </c>
      <c r="P350" s="194">
        <f t="shared" si="32"/>
        <v>3.0015000000000001</v>
      </c>
      <c r="Q350" s="194">
        <f t="array" ref="Q350">$P350*0.8</f>
        <v>2.4012000000000002</v>
      </c>
      <c r="R350" s="194">
        <f t="shared" si="33"/>
        <v>1.8008999999999999</v>
      </c>
      <c r="S350" s="194">
        <f t="shared" si="34"/>
        <v>1.2006000000000001</v>
      </c>
      <c r="T350" s="194">
        <f t="shared" si="35"/>
        <v>0.60030000000000006</v>
      </c>
    </row>
    <row r="351" spans="1:20" x14ac:dyDescent="0.15">
      <c r="A351" s="8" t="s">
        <v>628</v>
      </c>
      <c r="B351" s="8" t="s">
        <v>47</v>
      </c>
      <c r="C351" s="8" t="s">
        <v>380</v>
      </c>
      <c r="D351" s="8" t="s">
        <v>46</v>
      </c>
      <c r="E351" s="9">
        <v>9.68</v>
      </c>
      <c r="F351" s="8" t="s">
        <v>469</v>
      </c>
      <c r="G351" s="143">
        <f t="array" ref="G351">INDEX('[23]SENSUS MEI'!$G$9:$G$453,MATCH(1,('[23]SENSUS MEI'!$D$9:$D$453=$D351)*('[23]SENSUS MEI'!$D$9:$D$453=$D351),0))</f>
        <v>1097</v>
      </c>
      <c r="H351" s="11">
        <f t="array" ref="H351">INDEX('[23]SENSUS MEI'!$J$9:$J$453,MATCH(1,('[23]SENSUS MEI'!$D$9:$D$453=$D351)*('[23]SENSUS MEI'!$D$9:$D$453=$D351),0))</f>
        <v>46150</v>
      </c>
      <c r="I351" s="143">
        <f t="array" ref="I351">INDEX('[23]SENSUS MEI'!$K$9:$K$453,MATCH(1,('[23]SENSUS MEI'!$D$9:$D$453=$D351)*('[23]SENSUS MEI'!$D$9:$D$453=$D351),0))</f>
        <v>118</v>
      </c>
      <c r="J351" s="9">
        <f t="array" ref="J351">IFERROR(I351/G351*100,0)</f>
        <v>10.756608933454876</v>
      </c>
      <c r="K351" s="143">
        <f t="array" ref="K351">INDEX('[23]SENSUS MEI'!$M$9:$M$453,MATCH(1,('[23]SENSUS MEI'!$D$9:$D$453=$D351)*('[23]SENSUS MEI'!$D$9:$D$453=$D351),0))+INDEX('[23]SENSUS MEI'!$O$9:$O$453,MATCH(1,('[23]SENSUS MEI'!$D$9:$D$453=$D351)*('[23]SENSUS MEI'!$D$9:$D$453=$D351),0))</f>
        <v>50</v>
      </c>
      <c r="L351" s="9">
        <f t="shared" si="36"/>
        <v>42.372881355932201</v>
      </c>
      <c r="M351" s="8" t="str">
        <f t="shared" si="31"/>
        <v>Perlu Pengendalian</v>
      </c>
      <c r="P351" s="194">
        <f t="shared" si="32"/>
        <v>4.9364999999999997</v>
      </c>
      <c r="Q351" s="194">
        <f t="array" ref="Q351">$P351*0.8</f>
        <v>3.9491999999999998</v>
      </c>
      <c r="R351" s="194">
        <f t="shared" si="33"/>
        <v>2.9618999999999995</v>
      </c>
      <c r="S351" s="194">
        <f t="shared" si="34"/>
        <v>1.9745999999999999</v>
      </c>
      <c r="T351" s="194">
        <f t="shared" si="35"/>
        <v>0.98729999999999996</v>
      </c>
    </row>
    <row r="352" spans="1:20" x14ac:dyDescent="0.15">
      <c r="A352" s="8" t="s">
        <v>628</v>
      </c>
      <c r="B352" s="8" t="s">
        <v>47</v>
      </c>
      <c r="C352" s="8" t="s">
        <v>380</v>
      </c>
      <c r="D352" s="8" t="s">
        <v>900</v>
      </c>
      <c r="E352" s="9">
        <v>8.93</v>
      </c>
      <c r="F352" s="8" t="s">
        <v>469</v>
      </c>
      <c r="G352" s="143">
        <f t="array" ref="G352">INDEX('[23]SENSUS MEI'!$G$9:$G$453,MATCH(1,('[23]SENSUS MEI'!$D$9:$D$453=$D352)*('[23]SENSUS MEI'!$D$9:$D$453=$D352),0))</f>
        <v>965</v>
      </c>
      <c r="H352" s="11">
        <f t="array" ref="H352">INDEX('[23]SENSUS MEI'!$J$9:$J$453,MATCH(1,('[23]SENSUS MEI'!$D$9:$D$453=$D352)*('[23]SENSUS MEI'!$D$9:$D$453=$D352),0))</f>
        <v>46150</v>
      </c>
      <c r="I352" s="143">
        <f t="array" ref="I352">INDEX('[23]SENSUS MEI'!$K$9:$K$453,MATCH(1,('[23]SENSUS MEI'!$D$9:$D$453=$D352)*('[23]SENSUS MEI'!$D$9:$D$453=$D352),0))</f>
        <v>73</v>
      </c>
      <c r="J352" s="9">
        <f t="array" ref="J352">IFERROR(I352/G352*100,0)</f>
        <v>7.5647668393782386</v>
      </c>
      <c r="K352" s="143">
        <f t="array" ref="K352">INDEX('[23]SENSUS MEI'!$M$9:$M$453,MATCH(1,('[23]SENSUS MEI'!$D$9:$D$453=$D352)*('[23]SENSUS MEI'!$D$9:$D$453=$D352),0))+INDEX('[23]SENSUS MEI'!$O$9:$O$453,MATCH(1,('[23]SENSUS MEI'!$D$9:$D$453=$D352)*('[23]SENSUS MEI'!$D$9:$D$453=$D352),0))</f>
        <v>36</v>
      </c>
      <c r="L352" s="9">
        <f t="shared" si="36"/>
        <v>49.315068493150683</v>
      </c>
      <c r="M352" s="8" t="str">
        <f t="shared" si="31"/>
        <v>Perlu Pengendalian</v>
      </c>
      <c r="P352" s="194">
        <f t="shared" si="32"/>
        <v>4.3425000000000002</v>
      </c>
      <c r="Q352" s="194">
        <f t="array" ref="Q352">$P352*0.8</f>
        <v>3.4740000000000002</v>
      </c>
      <c r="R352" s="194">
        <f t="shared" si="33"/>
        <v>2.6055000000000001</v>
      </c>
      <c r="S352" s="194">
        <f t="shared" si="34"/>
        <v>1.7370000000000001</v>
      </c>
      <c r="T352" s="194">
        <f t="shared" si="35"/>
        <v>0.86850000000000005</v>
      </c>
    </row>
    <row r="353" spans="1:20" x14ac:dyDescent="0.15">
      <c r="A353" s="8" t="s">
        <v>628</v>
      </c>
      <c r="B353" s="8" t="s">
        <v>47</v>
      </c>
      <c r="C353" s="8" t="s">
        <v>380</v>
      </c>
      <c r="D353" s="8" t="s">
        <v>901</v>
      </c>
      <c r="E353" s="9">
        <v>9.08</v>
      </c>
      <c r="F353" s="8" t="s">
        <v>469</v>
      </c>
      <c r="G353" s="143">
        <f t="array" ref="G353">INDEX('[23]SENSUS MEI'!$G$9:$G$453,MATCH(1,('[23]SENSUS MEI'!$D$9:$D$453=$D353)*('[23]SENSUS MEI'!$D$9:$D$453=$D353),0))</f>
        <v>1144</v>
      </c>
      <c r="H353" s="11">
        <f t="array" ref="H353">INDEX('[23]SENSUS MEI'!$J$9:$J$453,MATCH(1,('[23]SENSUS MEI'!$D$9:$D$453=$D353)*('[23]SENSUS MEI'!$D$9:$D$453=$D353),0))</f>
        <v>46150</v>
      </c>
      <c r="I353" s="143">
        <f t="array" ref="I353">INDEX('[23]SENSUS MEI'!$K$9:$K$453,MATCH(1,('[23]SENSUS MEI'!$D$9:$D$453=$D353)*('[23]SENSUS MEI'!$D$9:$D$453=$D353),0))</f>
        <v>98</v>
      </c>
      <c r="J353" s="9">
        <f t="array" ref="J353">IFERROR(I353/G353*100,0)</f>
        <v>8.5664335664335667</v>
      </c>
      <c r="K353" s="143">
        <f t="array" ref="K353">INDEX('[23]SENSUS MEI'!$M$9:$M$453,MATCH(1,('[23]SENSUS MEI'!$D$9:$D$453=$D353)*('[23]SENSUS MEI'!$D$9:$D$453=$D353),0))+INDEX('[23]SENSUS MEI'!$O$9:$O$453,MATCH(1,('[23]SENSUS MEI'!$D$9:$D$453=$D353)*('[23]SENSUS MEI'!$D$9:$D$453=$D353),0))</f>
        <v>33</v>
      </c>
      <c r="L353" s="9">
        <f t="shared" si="36"/>
        <v>33.673469387755098</v>
      </c>
      <c r="M353" s="8" t="str">
        <f t="shared" si="31"/>
        <v>Perlu Pengendalian</v>
      </c>
      <c r="P353" s="194">
        <f t="shared" si="32"/>
        <v>5.1479999999999997</v>
      </c>
      <c r="Q353" s="194">
        <f t="array" ref="Q353">$P353*0.8</f>
        <v>4.1184000000000003</v>
      </c>
      <c r="R353" s="194">
        <f t="shared" si="33"/>
        <v>3.0887999999999995</v>
      </c>
      <c r="S353" s="194">
        <f t="shared" si="34"/>
        <v>2.0592000000000001</v>
      </c>
      <c r="T353" s="194">
        <f t="shared" si="35"/>
        <v>1.0296000000000001</v>
      </c>
    </row>
    <row r="354" spans="1:20" x14ac:dyDescent="0.15">
      <c r="A354" s="8" t="s">
        <v>628</v>
      </c>
      <c r="B354" s="8" t="s">
        <v>47</v>
      </c>
      <c r="C354" s="8" t="s">
        <v>380</v>
      </c>
      <c r="D354" s="8" t="s">
        <v>69</v>
      </c>
      <c r="E354" s="9">
        <v>12</v>
      </c>
      <c r="F354" s="8" t="s">
        <v>132</v>
      </c>
      <c r="G354" s="143">
        <f t="array" ref="G354">INDEX('[23]SENSUS MEI'!$G$9:$G$453,MATCH(1,('[23]SENSUS MEI'!$D$9:$D$453=$D354)*('[23]SENSUS MEI'!$D$9:$D$453=$D354),0))</f>
        <v>1778</v>
      </c>
      <c r="H354" s="11">
        <f t="array" ref="H354">INDEX('[23]SENSUS MEI'!$J$9:$J$453,MATCH(1,('[23]SENSUS MEI'!$D$9:$D$453=$D354)*('[23]SENSUS MEI'!$D$9:$D$453=$D354),0))</f>
        <v>46150</v>
      </c>
      <c r="I354" s="143">
        <f t="array" ref="I354">INDEX('[23]SENSUS MEI'!$K$9:$K$453,MATCH(1,('[23]SENSUS MEI'!$D$9:$D$453=$D354)*('[23]SENSUS MEI'!$D$9:$D$453=$D354),0))</f>
        <v>163</v>
      </c>
      <c r="J354" s="9">
        <f t="array" ref="J354">IFERROR(I354/G354*100,0)</f>
        <v>9.1676040494938125</v>
      </c>
      <c r="K354" s="143">
        <f t="array" ref="K354">INDEX('[23]SENSUS MEI'!$M$9:$M$453,MATCH(1,('[23]SENSUS MEI'!$D$9:$D$453=$D354)*('[23]SENSUS MEI'!$D$9:$D$453=$D354),0))+INDEX('[23]SENSUS MEI'!$O$9:$O$453,MATCH(1,('[23]SENSUS MEI'!$D$9:$D$453=$D354)*('[23]SENSUS MEI'!$D$9:$D$453=$D354),0))</f>
        <v>48</v>
      </c>
      <c r="L354" s="9">
        <f t="shared" si="36"/>
        <v>29.447852760736197</v>
      </c>
      <c r="M354" s="8" t="str">
        <f t="shared" si="31"/>
        <v>Perlu Pengendalian</v>
      </c>
      <c r="P354" s="194">
        <f t="shared" si="32"/>
        <v>8.0009999999999994</v>
      </c>
      <c r="Q354" s="194">
        <f t="array" ref="Q354">$P354*0.8</f>
        <v>6.4008000000000003</v>
      </c>
      <c r="R354" s="194">
        <f t="shared" si="33"/>
        <v>4.8005999999999993</v>
      </c>
      <c r="S354" s="194">
        <f t="shared" si="34"/>
        <v>3.2004000000000001</v>
      </c>
      <c r="T354" s="194">
        <f t="shared" si="35"/>
        <v>1.6002000000000001</v>
      </c>
    </row>
    <row r="355" spans="1:20" x14ac:dyDescent="0.15">
      <c r="A355" s="8" t="s">
        <v>628</v>
      </c>
      <c r="B355" s="8" t="s">
        <v>47</v>
      </c>
      <c r="C355" s="8" t="s">
        <v>380</v>
      </c>
      <c r="D355" s="8" t="s">
        <v>70</v>
      </c>
      <c r="E355" s="9">
        <v>28.03</v>
      </c>
      <c r="F355" s="8" t="s">
        <v>132</v>
      </c>
      <c r="G355" s="143">
        <f t="array" ref="G355">INDEX('[23]SENSUS MEI'!$G$9:$G$453,MATCH(1,('[23]SENSUS MEI'!$D$9:$D$453=$D355)*('[23]SENSUS MEI'!$D$9:$D$453=$D355),0))</f>
        <v>4163</v>
      </c>
      <c r="H355" s="11">
        <f t="array" ref="H355">INDEX('[23]SENSUS MEI'!$J$9:$J$453,MATCH(1,('[23]SENSUS MEI'!$D$9:$D$453=$D355)*('[23]SENSUS MEI'!$D$9:$D$453=$D355),0))</f>
        <v>46150</v>
      </c>
      <c r="I355" s="143">
        <f t="array" ref="I355">INDEX('[23]SENSUS MEI'!$K$9:$K$453,MATCH(1,('[23]SENSUS MEI'!$D$9:$D$453=$D355)*('[23]SENSUS MEI'!$D$9:$D$453=$D355),0))</f>
        <v>409</v>
      </c>
      <c r="J355" s="9">
        <f t="array" ref="J355">IFERROR(I355/G355*100,0)</f>
        <v>9.8246456882056208</v>
      </c>
      <c r="K355" s="143">
        <f t="array" ref="K355">INDEX('[23]SENSUS MEI'!$M$9:$M$453,MATCH(1,('[23]SENSUS MEI'!$D$9:$D$453=$D355)*('[23]SENSUS MEI'!$D$9:$D$453=$D355),0))+INDEX('[23]SENSUS MEI'!$O$9:$O$453,MATCH(1,('[23]SENSUS MEI'!$D$9:$D$453=$D355)*('[23]SENSUS MEI'!$D$9:$D$453=$D355),0))</f>
        <v>22</v>
      </c>
      <c r="L355" s="9">
        <f t="shared" si="36"/>
        <v>5.3789731051344738</v>
      </c>
      <c r="M355" s="8" t="str">
        <f t="shared" si="31"/>
        <v>Perlu Pengendalian</v>
      </c>
      <c r="P355" s="194">
        <f t="shared" si="32"/>
        <v>18.733499999999999</v>
      </c>
      <c r="Q355" s="194">
        <f t="array" ref="Q355">$P355*0.8</f>
        <v>14.986800000000001</v>
      </c>
      <c r="R355" s="194">
        <f t="shared" si="33"/>
        <v>11.2401</v>
      </c>
      <c r="S355" s="194">
        <f t="shared" si="34"/>
        <v>7.4934000000000003</v>
      </c>
      <c r="T355" s="194">
        <f t="shared" si="35"/>
        <v>3.7467000000000001</v>
      </c>
    </row>
    <row r="356" spans="1:20" x14ac:dyDescent="0.15">
      <c r="A356" s="8" t="s">
        <v>628</v>
      </c>
      <c r="B356" s="8" t="s">
        <v>47</v>
      </c>
      <c r="C356" s="8" t="s">
        <v>380</v>
      </c>
      <c r="D356" s="8" t="s">
        <v>71</v>
      </c>
      <c r="E356" s="9">
        <v>45.48</v>
      </c>
      <c r="F356" s="8" t="s">
        <v>132</v>
      </c>
      <c r="G356" s="143">
        <f t="array" ref="G356">INDEX('[23]SENSUS MEI'!$G$9:$G$453,MATCH(1,('[23]SENSUS MEI'!$D$9:$D$453=$D356)*('[23]SENSUS MEI'!$D$9:$D$453=$D356),0))</f>
        <v>6857</v>
      </c>
      <c r="H356" s="11">
        <f t="array" ref="H356">INDEX('[23]SENSUS MEI'!$J$9:$J$453,MATCH(1,('[23]SENSUS MEI'!$D$9:$D$453=$D356)*('[23]SENSUS MEI'!$D$9:$D$453=$D356),0))</f>
        <v>46149</v>
      </c>
      <c r="I356" s="143">
        <f t="array" ref="I356">INDEX('[23]SENSUS MEI'!$K$9:$K$453,MATCH(1,('[23]SENSUS MEI'!$D$9:$D$453=$D356)*('[23]SENSUS MEI'!$D$9:$D$453=$D356),0))</f>
        <v>402</v>
      </c>
      <c r="J356" s="9">
        <f t="array" ref="J356">IFERROR(I356/G356*100,0)</f>
        <v>5.8626221379612078</v>
      </c>
      <c r="K356" s="143">
        <f t="array" ref="K356">INDEX('[23]SENSUS MEI'!$M$9:$M$453,MATCH(1,('[23]SENSUS MEI'!$D$9:$D$453=$D356)*('[23]SENSUS MEI'!$D$9:$D$453=$D356),0))+INDEX('[23]SENSUS MEI'!$O$9:$O$453,MATCH(1,('[23]SENSUS MEI'!$D$9:$D$453=$D356)*('[23]SENSUS MEI'!$D$9:$D$453=$D356),0))</f>
        <v>48</v>
      </c>
      <c r="L356" s="9">
        <f t="shared" si="36"/>
        <v>11.940298507462686</v>
      </c>
      <c r="M356" s="8" t="str">
        <f t="shared" si="31"/>
        <v>Perlu Pengendalian</v>
      </c>
      <c r="P356" s="194">
        <f t="shared" si="32"/>
        <v>30.8565</v>
      </c>
      <c r="Q356" s="194">
        <f t="array" ref="Q356">$P356*0.8</f>
        <v>24.685200000000002</v>
      </c>
      <c r="R356" s="194">
        <f t="shared" si="33"/>
        <v>18.5139</v>
      </c>
      <c r="S356" s="194">
        <f t="shared" si="34"/>
        <v>12.342600000000001</v>
      </c>
      <c r="T356" s="194">
        <f t="shared" si="35"/>
        <v>6.1713000000000005</v>
      </c>
    </row>
    <row r="357" spans="1:20" x14ac:dyDescent="0.15">
      <c r="A357" s="8" t="s">
        <v>628</v>
      </c>
      <c r="B357" s="8" t="s">
        <v>47</v>
      </c>
      <c r="C357" s="8" t="s">
        <v>380</v>
      </c>
      <c r="D357" s="8" t="s">
        <v>81</v>
      </c>
      <c r="E357" s="9">
        <v>49.3</v>
      </c>
      <c r="F357" s="8" t="s">
        <v>132</v>
      </c>
      <c r="G357" s="143">
        <f t="array" ref="G357">INDEX('[23]SENSUS MEI'!$G$9:$G$453,MATCH(1,('[23]SENSUS MEI'!$D$9:$D$453=$D357)*('[23]SENSUS MEI'!$D$9:$D$453=$D357),0))</f>
        <v>7232</v>
      </c>
      <c r="H357" s="11">
        <f t="array" ref="H357">INDEX('[23]SENSUS MEI'!$J$9:$J$453,MATCH(1,('[23]SENSUS MEI'!$D$9:$D$453=$D357)*('[23]SENSUS MEI'!$D$9:$D$453=$D357),0))</f>
        <v>46150</v>
      </c>
      <c r="I357" s="143">
        <f t="array" ref="I357">INDEX('[23]SENSUS MEI'!$K$9:$K$453,MATCH(1,('[23]SENSUS MEI'!$D$9:$D$453=$D357)*('[23]SENSUS MEI'!$D$9:$D$453=$D357),0))</f>
        <v>342</v>
      </c>
      <c r="J357" s="9">
        <f t="array" ref="J357">IFERROR(I357/G357*100,0)</f>
        <v>4.7289823008849554</v>
      </c>
      <c r="K357" s="143">
        <f t="array" ref="K357">INDEX('[23]SENSUS MEI'!$M$9:$M$453,MATCH(1,('[23]SENSUS MEI'!$D$9:$D$453=$D357)*('[23]SENSUS MEI'!$D$9:$D$453=$D357),0))+INDEX('[23]SENSUS MEI'!$O$9:$O$453,MATCH(1,('[23]SENSUS MEI'!$D$9:$D$453=$D357)*('[23]SENSUS MEI'!$D$9:$D$453=$D357),0))</f>
        <v>76</v>
      </c>
      <c r="L357" s="9">
        <f t="shared" si="36"/>
        <v>22.222222222222221</v>
      </c>
      <c r="M357" s="8" t="str">
        <f t="shared" si="31"/>
        <v>Perlu Pengendalian</v>
      </c>
      <c r="P357" s="194">
        <f t="shared" si="32"/>
        <v>32.543999999999997</v>
      </c>
      <c r="Q357" s="194">
        <f t="array" ref="Q357">$P357*0.8</f>
        <v>26.0352</v>
      </c>
      <c r="R357" s="194">
        <f t="shared" si="33"/>
        <v>19.526399999999999</v>
      </c>
      <c r="S357" s="194">
        <f t="shared" si="34"/>
        <v>13.0176</v>
      </c>
      <c r="T357" s="194">
        <f t="shared" si="35"/>
        <v>6.5087999999999999</v>
      </c>
    </row>
    <row r="358" spans="1:20" x14ac:dyDescent="0.15">
      <c r="A358" s="8" t="s">
        <v>628</v>
      </c>
      <c r="B358" s="8" t="s">
        <v>47</v>
      </c>
      <c r="C358" s="8" t="s">
        <v>380</v>
      </c>
      <c r="D358" s="8" t="s">
        <v>82</v>
      </c>
      <c r="E358" s="9">
        <v>46.99</v>
      </c>
      <c r="F358" s="8" t="s">
        <v>16</v>
      </c>
      <c r="G358" s="143">
        <f t="array" ref="G358">INDEX('[23]SENSUS MEI'!$G$9:$G$453,MATCH(1,('[23]SENSUS MEI'!$D$9:$D$453=$D358)*('[23]SENSUS MEI'!$D$9:$D$453=$D358),0))</f>
        <v>6806</v>
      </c>
      <c r="H358" s="11">
        <f t="array" ref="H358">INDEX('[23]SENSUS MEI'!$J$9:$J$453,MATCH(1,('[23]SENSUS MEI'!$D$9:$D$453=$D358)*('[23]SENSUS MEI'!$D$9:$D$453=$D358),0))</f>
        <v>46149</v>
      </c>
      <c r="I358" s="143">
        <f t="array" ref="I358">INDEX('[23]SENSUS MEI'!$K$9:$K$453,MATCH(1,('[23]SENSUS MEI'!$D$9:$D$453=$D358)*('[23]SENSUS MEI'!$D$9:$D$453=$D358),0))</f>
        <v>321</v>
      </c>
      <c r="J358" s="9">
        <f t="array" ref="J358">IFERROR(I358/G358*100,0)</f>
        <v>4.7164266823391126</v>
      </c>
      <c r="K358" s="143">
        <f t="array" ref="K358">INDEX('[23]SENSUS MEI'!$M$9:$M$453,MATCH(1,('[23]SENSUS MEI'!$D$9:$D$453=$D358)*('[23]SENSUS MEI'!$D$9:$D$453=$D358),0))+INDEX('[23]SENSUS MEI'!$O$9:$O$453,MATCH(1,('[23]SENSUS MEI'!$D$9:$D$453=$D358)*('[23]SENSUS MEI'!$D$9:$D$453=$D358),0))</f>
        <v>140</v>
      </c>
      <c r="L358" s="9">
        <f t="shared" si="36"/>
        <v>43.613707165109034</v>
      </c>
      <c r="M358" s="8" t="str">
        <f t="shared" si="31"/>
        <v>Perlu Pengendalian</v>
      </c>
      <c r="P358" s="194">
        <f t="shared" si="32"/>
        <v>30.626999999999999</v>
      </c>
      <c r="Q358" s="194">
        <f t="array" ref="Q358">$P358*0.8</f>
        <v>24.5016</v>
      </c>
      <c r="R358" s="194">
        <f t="shared" si="33"/>
        <v>18.376199999999997</v>
      </c>
      <c r="S358" s="194">
        <f t="shared" si="34"/>
        <v>12.2508</v>
      </c>
      <c r="T358" s="194">
        <f t="shared" si="35"/>
        <v>6.1254</v>
      </c>
    </row>
    <row r="359" spans="1:20" x14ac:dyDescent="0.15">
      <c r="A359" s="8" t="s">
        <v>628</v>
      </c>
      <c r="B359" s="8" t="s">
        <v>47</v>
      </c>
      <c r="C359" s="8" t="s">
        <v>380</v>
      </c>
      <c r="D359" s="8" t="s">
        <v>902</v>
      </c>
      <c r="E359" s="9">
        <v>48.72</v>
      </c>
      <c r="F359" s="8" t="s">
        <v>469</v>
      </c>
      <c r="G359" s="143">
        <f t="array" ref="G359">INDEX('[23]SENSUS MEI'!$G$9:$G$453,MATCH(1,('[23]SENSUS MEI'!$D$9:$D$453=$D359)*('[23]SENSUS MEI'!$D$9:$D$453=$D359),0))</f>
        <v>6774</v>
      </c>
      <c r="H359" s="11">
        <f t="array" ref="H359">INDEX('[23]SENSUS MEI'!$J$9:$J$453,MATCH(1,('[23]SENSUS MEI'!$D$9:$D$453=$D359)*('[23]SENSUS MEI'!$D$9:$D$453=$D359),0))</f>
        <v>46149</v>
      </c>
      <c r="I359" s="143">
        <f t="array" ref="I359">INDEX('[23]SENSUS MEI'!$K$9:$K$453,MATCH(1,('[23]SENSUS MEI'!$D$9:$D$453=$D359)*('[23]SENSUS MEI'!$D$9:$D$453=$D359),0))</f>
        <v>704</v>
      </c>
      <c r="J359" s="9">
        <f t="array" ref="J359">IFERROR(I359/G359*100,0)</f>
        <v>10.392677886034839</v>
      </c>
      <c r="K359" s="143">
        <f t="array" ref="K359">INDEX('[23]SENSUS MEI'!$M$9:$M$453,MATCH(1,('[23]SENSUS MEI'!$D$9:$D$453=$D359)*('[23]SENSUS MEI'!$D$9:$D$453=$D359),0))+INDEX('[23]SENSUS MEI'!$O$9:$O$453,MATCH(1,('[23]SENSUS MEI'!$D$9:$D$453=$D359)*('[23]SENSUS MEI'!$D$9:$D$453=$D359),0))</f>
        <v>222</v>
      </c>
      <c r="L359" s="9">
        <f t="shared" si="36"/>
        <v>31.53409090909091</v>
      </c>
      <c r="M359" s="8" t="str">
        <f t="shared" si="31"/>
        <v>Perlu Pengendalian</v>
      </c>
      <c r="P359" s="194">
        <f t="shared" si="32"/>
        <v>30.483000000000001</v>
      </c>
      <c r="Q359" s="194">
        <f t="array" ref="Q359">$P359*0.8</f>
        <v>24.386400000000002</v>
      </c>
      <c r="R359" s="194">
        <f t="shared" si="33"/>
        <v>18.2898</v>
      </c>
      <c r="S359" s="194">
        <f t="shared" si="34"/>
        <v>12.193200000000001</v>
      </c>
      <c r="T359" s="194">
        <f t="shared" si="35"/>
        <v>6.0966000000000005</v>
      </c>
    </row>
    <row r="360" spans="1:20" x14ac:dyDescent="0.15">
      <c r="A360" s="8" t="s">
        <v>628</v>
      </c>
      <c r="B360" s="8" t="s">
        <v>47</v>
      </c>
      <c r="C360" s="8" t="s">
        <v>380</v>
      </c>
      <c r="D360" s="8" t="s">
        <v>903</v>
      </c>
      <c r="E360" s="9">
        <v>47.74</v>
      </c>
      <c r="F360" s="8" t="s">
        <v>469</v>
      </c>
      <c r="G360" s="143">
        <f t="array" ref="G360">INDEX('[23]SENSUS MEI'!$G$9:$G$453,MATCH(1,('[23]SENSUS MEI'!$D$9:$D$453=$D360)*('[23]SENSUS MEI'!$D$9:$D$453=$D360),0))</f>
        <v>6871</v>
      </c>
      <c r="H360" s="11">
        <f t="array" ref="H360">INDEX('[23]SENSUS MEI'!$J$9:$J$453,MATCH(1,('[23]SENSUS MEI'!$D$9:$D$453=$D360)*('[23]SENSUS MEI'!$D$9:$D$453=$D360),0))</f>
        <v>46149</v>
      </c>
      <c r="I360" s="143">
        <f t="array" ref="I360">INDEX('[23]SENSUS MEI'!$K$9:$K$453,MATCH(1,('[23]SENSUS MEI'!$D$9:$D$453=$D360)*('[23]SENSUS MEI'!$D$9:$D$453=$D360),0))</f>
        <v>665</v>
      </c>
      <c r="J360" s="9">
        <f t="array" ref="J360">IFERROR(I360/G360*100,0)</f>
        <v>9.6783583175665839</v>
      </c>
      <c r="K360" s="143">
        <f t="array" ref="K360">INDEX('[23]SENSUS MEI'!$M$9:$M$453,MATCH(1,('[23]SENSUS MEI'!$D$9:$D$453=$D360)*('[23]SENSUS MEI'!$D$9:$D$453=$D360),0))+INDEX('[23]SENSUS MEI'!$O$9:$O$453,MATCH(1,('[23]SENSUS MEI'!$D$9:$D$453=$D360)*('[23]SENSUS MEI'!$D$9:$D$453=$D360),0))</f>
        <v>86</v>
      </c>
      <c r="L360" s="9">
        <f t="shared" si="36"/>
        <v>12.93233082706767</v>
      </c>
      <c r="M360" s="8" t="str">
        <f t="shared" si="31"/>
        <v>Perlu Pengendalian</v>
      </c>
      <c r="P360" s="194">
        <f t="shared" si="32"/>
        <v>30.919499999999999</v>
      </c>
      <c r="Q360" s="194">
        <f t="array" ref="Q360">$P360*0.8</f>
        <v>24.735600000000002</v>
      </c>
      <c r="R360" s="194">
        <f t="shared" si="33"/>
        <v>18.5517</v>
      </c>
      <c r="S360" s="194">
        <f t="shared" si="34"/>
        <v>12.367800000000001</v>
      </c>
      <c r="T360" s="194">
        <f t="shared" si="35"/>
        <v>6.1839000000000004</v>
      </c>
    </row>
    <row r="361" spans="1:20" x14ac:dyDescent="0.15">
      <c r="A361" s="8" t="s">
        <v>628</v>
      </c>
      <c r="B361" s="8" t="s">
        <v>47</v>
      </c>
      <c r="C361" s="8" t="s">
        <v>380</v>
      </c>
      <c r="D361" s="8" t="s">
        <v>83</v>
      </c>
      <c r="E361" s="9">
        <v>47.5</v>
      </c>
      <c r="F361" s="8" t="s">
        <v>469</v>
      </c>
      <c r="G361" s="143">
        <f t="array" ref="G361">INDEX('[23]SENSUS MEI'!$G$9:$G$453,MATCH(1,('[23]SENSUS MEI'!$D$9:$D$453=$D361)*('[23]SENSUS MEI'!$D$9:$D$453=$D361),0))</f>
        <v>6725</v>
      </c>
      <c r="H361" s="11">
        <f t="array" ref="H361">INDEX('[23]SENSUS MEI'!$J$9:$J$453,MATCH(1,('[23]SENSUS MEI'!$D$9:$D$453=$D361)*('[23]SENSUS MEI'!$D$9:$D$453=$D361),0))</f>
        <v>46149</v>
      </c>
      <c r="I361" s="143">
        <f t="array" ref="I361">INDEX('[23]SENSUS MEI'!$K$9:$K$453,MATCH(1,('[23]SENSUS MEI'!$D$9:$D$453=$D361)*('[23]SENSUS MEI'!$D$9:$D$453=$D361),0))</f>
        <v>676</v>
      </c>
      <c r="J361" s="9">
        <f t="array" ref="J361">IFERROR(I361/G361*100,0)</f>
        <v>10.052044609665428</v>
      </c>
      <c r="K361" s="143">
        <f t="array" ref="K361">INDEX('[23]SENSUS MEI'!$M$9:$M$453,MATCH(1,('[23]SENSUS MEI'!$D$9:$D$453=$D361)*('[23]SENSUS MEI'!$D$9:$D$453=$D361),0))+INDEX('[23]SENSUS MEI'!$O$9:$O$453,MATCH(1,('[23]SENSUS MEI'!$D$9:$D$453=$D361)*('[23]SENSUS MEI'!$D$9:$D$453=$D361),0))</f>
        <v>276</v>
      </c>
      <c r="L361" s="9">
        <f t="shared" si="36"/>
        <v>40.828402366863905</v>
      </c>
      <c r="M361" s="8" t="str">
        <f t="shared" si="31"/>
        <v>Perlu Pengendalian</v>
      </c>
      <c r="P361" s="194">
        <f t="shared" si="32"/>
        <v>30.262499999999999</v>
      </c>
      <c r="Q361" s="194">
        <f t="array" ref="Q361">$P361*0.8</f>
        <v>24.21</v>
      </c>
      <c r="R361" s="194">
        <f t="shared" si="33"/>
        <v>18.157499999999999</v>
      </c>
      <c r="S361" s="194">
        <f t="shared" si="34"/>
        <v>12.105</v>
      </c>
      <c r="T361" s="194">
        <f t="shared" si="35"/>
        <v>6.0525000000000002</v>
      </c>
    </row>
    <row r="362" spans="1:20" x14ac:dyDescent="0.15">
      <c r="A362" s="8" t="s">
        <v>628</v>
      </c>
      <c r="B362" s="8" t="s">
        <v>47</v>
      </c>
      <c r="C362" s="8" t="s">
        <v>380</v>
      </c>
      <c r="D362" s="8" t="s">
        <v>92</v>
      </c>
      <c r="E362" s="9">
        <v>46.79</v>
      </c>
      <c r="F362" s="8" t="s">
        <v>469</v>
      </c>
      <c r="G362" s="143">
        <f t="array" ref="G362">INDEX('[23]SENSUS MEI'!$G$9:$G$453,MATCH(1,('[23]SENSUS MEI'!$D$9:$D$453=$D362)*('[23]SENSUS MEI'!$D$9:$D$453=$D362),0))</f>
        <v>6835</v>
      </c>
      <c r="H362" s="11">
        <f t="array" ref="H362">INDEX('[23]SENSUS MEI'!$J$9:$J$453,MATCH(1,('[23]SENSUS MEI'!$D$9:$D$453=$D362)*('[23]SENSUS MEI'!$D$9:$D$453=$D362),0))</f>
        <v>46150</v>
      </c>
      <c r="I362" s="143">
        <f t="array" ref="I362">INDEX('[23]SENSUS MEI'!$K$9:$K$453,MATCH(1,('[23]SENSUS MEI'!$D$9:$D$453=$D362)*('[23]SENSUS MEI'!$D$9:$D$453=$D362),0))</f>
        <v>699</v>
      </c>
      <c r="J362" s="9">
        <f t="array" ref="J362">IFERROR(I362/G362*100,0)</f>
        <v>10.226773957571323</v>
      </c>
      <c r="K362" s="143">
        <f t="array" ref="K362">INDEX('[23]SENSUS MEI'!$M$9:$M$453,MATCH(1,('[23]SENSUS MEI'!$D$9:$D$453=$D362)*('[23]SENSUS MEI'!$D$9:$D$453=$D362),0))+INDEX('[23]SENSUS MEI'!$O$9:$O$453,MATCH(1,('[23]SENSUS MEI'!$D$9:$D$453=$D362)*('[23]SENSUS MEI'!$D$9:$D$453=$D362),0))</f>
        <v>189</v>
      </c>
      <c r="L362" s="9">
        <f t="shared" si="36"/>
        <v>27.038626609442062</v>
      </c>
      <c r="M362" s="8" t="str">
        <f t="shared" si="31"/>
        <v>Perlu Pengendalian</v>
      </c>
      <c r="P362" s="194">
        <f t="shared" si="32"/>
        <v>30.7575</v>
      </c>
      <c r="Q362" s="194">
        <f t="array" ref="Q362">$P362*0.8</f>
        <v>24.606000000000002</v>
      </c>
      <c r="R362" s="194">
        <f t="shared" si="33"/>
        <v>18.454499999999999</v>
      </c>
      <c r="S362" s="194">
        <f t="shared" si="34"/>
        <v>12.303000000000001</v>
      </c>
      <c r="T362" s="194">
        <f t="shared" si="35"/>
        <v>6.1515000000000004</v>
      </c>
    </row>
    <row r="363" spans="1:20" x14ac:dyDescent="0.15">
      <c r="A363" s="8" t="s">
        <v>628</v>
      </c>
      <c r="B363" s="8" t="s">
        <v>47</v>
      </c>
      <c r="C363" s="8" t="s">
        <v>380</v>
      </c>
      <c r="D363" s="8" t="s">
        <v>904</v>
      </c>
      <c r="E363" s="9">
        <v>15.83</v>
      </c>
      <c r="F363" s="8" t="s">
        <v>16</v>
      </c>
      <c r="G363" s="143">
        <f t="array" ref="G363">INDEX('[23]SENSUS MEI'!$G$9:$G$453,MATCH(1,('[23]SENSUS MEI'!$D$9:$D$453=$D363)*('[23]SENSUS MEI'!$D$9:$D$453=$D363),0))</f>
        <v>2287</v>
      </c>
      <c r="H363" s="11">
        <f t="array" ref="H363">INDEX('[23]SENSUS MEI'!$J$9:$J$453,MATCH(1,('[23]SENSUS MEI'!$D$9:$D$453=$D363)*('[23]SENSUS MEI'!$D$9:$D$453=$D363),0))</f>
        <v>46150</v>
      </c>
      <c r="I363" s="143">
        <f t="array" ref="I363">INDEX('[23]SENSUS MEI'!$K$9:$K$453,MATCH(1,('[23]SENSUS MEI'!$D$9:$D$453=$D363)*('[23]SENSUS MEI'!$D$9:$D$453=$D363),0))</f>
        <v>163</v>
      </c>
      <c r="J363" s="9">
        <f t="array" ref="J363">IFERROR(I363/G363*100,0)</f>
        <v>7.1272409269785744</v>
      </c>
      <c r="K363" s="143">
        <f t="array" ref="K363">INDEX('[23]SENSUS MEI'!$M$9:$M$453,MATCH(1,('[23]SENSUS MEI'!$D$9:$D$453=$D363)*('[23]SENSUS MEI'!$D$9:$D$453=$D363),0))+INDEX('[23]SENSUS MEI'!$O$9:$O$453,MATCH(1,('[23]SENSUS MEI'!$D$9:$D$453=$D363)*('[23]SENSUS MEI'!$D$9:$D$453=$D363),0))</f>
        <v>81</v>
      </c>
      <c r="L363" s="9">
        <f t="shared" si="36"/>
        <v>49.693251533742334</v>
      </c>
      <c r="M363" s="8" t="str">
        <f t="shared" si="31"/>
        <v>Perlu Pengendalian</v>
      </c>
      <c r="P363" s="194">
        <f t="shared" si="32"/>
        <v>10.291499999999999</v>
      </c>
      <c r="Q363" s="194">
        <f t="array" ref="Q363">$P363*0.8</f>
        <v>8.2332000000000001</v>
      </c>
      <c r="R363" s="194">
        <f t="shared" si="33"/>
        <v>6.1748999999999992</v>
      </c>
      <c r="S363" s="194">
        <f t="shared" si="34"/>
        <v>4.1166</v>
      </c>
      <c r="T363" s="194">
        <f t="shared" si="35"/>
        <v>2.0583</v>
      </c>
    </row>
    <row r="364" spans="1:20" x14ac:dyDescent="0.15">
      <c r="A364" s="8" t="s">
        <v>628</v>
      </c>
      <c r="B364" s="8" t="s">
        <v>47</v>
      </c>
      <c r="C364" s="8" t="s">
        <v>380</v>
      </c>
      <c r="D364" s="8" t="s">
        <v>905</v>
      </c>
      <c r="E364" s="9">
        <v>16.23</v>
      </c>
      <c r="F364" s="8" t="s">
        <v>16</v>
      </c>
      <c r="G364" s="143">
        <f t="array" ref="G364">INDEX('[23]SENSUS MEI'!$G$9:$G$453,MATCH(1,('[23]SENSUS MEI'!$D$9:$D$453=$D364)*('[23]SENSUS MEI'!$D$9:$D$453=$D364),0))</f>
        <v>2362</v>
      </c>
      <c r="H364" s="11">
        <f t="array" ref="H364">INDEX('[23]SENSUS MEI'!$J$9:$J$453,MATCH(1,('[23]SENSUS MEI'!$D$9:$D$453=$D364)*('[23]SENSUS MEI'!$D$9:$D$453=$D364),0))</f>
        <v>46150</v>
      </c>
      <c r="I364" s="143">
        <f t="array" ref="I364">INDEX('[23]SENSUS MEI'!$K$9:$K$453,MATCH(1,('[23]SENSUS MEI'!$D$9:$D$453=$D364)*('[23]SENSUS MEI'!$D$9:$D$453=$D364),0))</f>
        <v>234</v>
      </c>
      <c r="J364" s="9">
        <f t="array" ref="J364">IFERROR(I364/G364*100,0)</f>
        <v>9.9068585944115171</v>
      </c>
      <c r="K364" s="143">
        <f t="array" ref="K364">INDEX('[23]SENSUS MEI'!$M$9:$M$453,MATCH(1,('[23]SENSUS MEI'!$D$9:$D$453=$D364)*('[23]SENSUS MEI'!$D$9:$D$453=$D364),0))+INDEX('[23]SENSUS MEI'!$O$9:$O$453,MATCH(1,('[23]SENSUS MEI'!$D$9:$D$453=$D364)*('[23]SENSUS MEI'!$D$9:$D$453=$D364),0))</f>
        <v>40</v>
      </c>
      <c r="L364" s="9">
        <f t="shared" si="36"/>
        <v>17.094017094017094</v>
      </c>
      <c r="M364" s="8" t="str">
        <f t="shared" si="31"/>
        <v>Perlu Pengendalian</v>
      </c>
      <c r="P364" s="194">
        <f t="shared" si="32"/>
        <v>10.629</v>
      </c>
      <c r="Q364" s="194">
        <f t="array" ref="Q364">$P364*0.8</f>
        <v>8.5031999999999996</v>
      </c>
      <c r="R364" s="194">
        <f t="shared" si="33"/>
        <v>6.3773999999999997</v>
      </c>
      <c r="S364" s="194">
        <f t="shared" si="34"/>
        <v>4.2515999999999998</v>
      </c>
      <c r="T364" s="194">
        <f t="shared" si="35"/>
        <v>2.1257999999999999</v>
      </c>
    </row>
    <row r="365" spans="1:20" x14ac:dyDescent="0.15">
      <c r="A365" s="8" t="s">
        <v>628</v>
      </c>
      <c r="B365" s="8" t="s">
        <v>47</v>
      </c>
      <c r="C365" s="8" t="s">
        <v>380</v>
      </c>
      <c r="D365" s="8" t="s">
        <v>906</v>
      </c>
      <c r="E365" s="9">
        <v>10.93</v>
      </c>
      <c r="F365" s="8" t="s">
        <v>16</v>
      </c>
      <c r="G365" s="143">
        <f t="array" ref="G365">INDEX('[23]SENSUS MEI'!$G$9:$G$453,MATCH(1,('[23]SENSUS MEI'!$D$9:$D$453=$D365)*('[23]SENSUS MEI'!$D$9:$D$453=$D365),0))</f>
        <v>1490</v>
      </c>
      <c r="H365" s="11">
        <f t="array" ref="H365">INDEX('[23]SENSUS MEI'!$J$9:$J$453,MATCH(1,('[23]SENSUS MEI'!$D$9:$D$453=$D365)*('[23]SENSUS MEI'!$D$9:$D$453=$D365),0))</f>
        <v>46150</v>
      </c>
      <c r="I365" s="143">
        <f t="array" ref="I365">INDEX('[23]SENSUS MEI'!$K$9:$K$453,MATCH(1,('[23]SENSUS MEI'!$D$9:$D$453=$D365)*('[23]SENSUS MEI'!$D$9:$D$453=$D365),0))</f>
        <v>158</v>
      </c>
      <c r="J365" s="9">
        <f t="array" ref="J365">IFERROR(I365/G365*100,0)</f>
        <v>10.604026845637584</v>
      </c>
      <c r="K365" s="143">
        <f t="array" ref="K365">INDEX('[23]SENSUS MEI'!$M$9:$M$453,MATCH(1,('[23]SENSUS MEI'!$D$9:$D$453=$D365)*('[23]SENSUS MEI'!$D$9:$D$453=$D365),0))+INDEX('[23]SENSUS MEI'!$O$9:$O$453,MATCH(1,('[23]SENSUS MEI'!$D$9:$D$453=$D365)*('[23]SENSUS MEI'!$D$9:$D$453=$D365),0))</f>
        <v>70</v>
      </c>
      <c r="L365" s="9">
        <f t="shared" si="36"/>
        <v>44.303797468354425</v>
      </c>
      <c r="M365" s="8" t="str">
        <f t="shared" si="31"/>
        <v>Perlu Pengendalian</v>
      </c>
      <c r="P365" s="194">
        <f t="shared" si="32"/>
        <v>6.7050000000000001</v>
      </c>
      <c r="Q365" s="194">
        <f t="array" ref="Q365">$P365*0.8</f>
        <v>5.3640000000000008</v>
      </c>
      <c r="R365" s="194">
        <f t="shared" si="33"/>
        <v>4.0229999999999997</v>
      </c>
      <c r="S365" s="194">
        <f t="shared" si="34"/>
        <v>2.6820000000000004</v>
      </c>
      <c r="T365" s="194">
        <f t="shared" si="35"/>
        <v>1.3410000000000002</v>
      </c>
    </row>
    <row r="366" spans="1:20" x14ac:dyDescent="0.15">
      <c r="A366" s="8" t="s">
        <v>628</v>
      </c>
      <c r="B366" s="8" t="s">
        <v>47</v>
      </c>
      <c r="C366" s="8" t="s">
        <v>380</v>
      </c>
      <c r="D366" s="8" t="s">
        <v>907</v>
      </c>
      <c r="E366" s="9">
        <v>7.52</v>
      </c>
      <c r="F366" s="8" t="s">
        <v>469</v>
      </c>
      <c r="G366" s="143">
        <f t="array" ref="G366">INDEX('[23]SENSUS MEI'!$G$9:$G$453,MATCH(1,('[23]SENSUS MEI'!$D$9:$D$453=$D366)*('[23]SENSUS MEI'!$D$9:$D$453=$D366),0))</f>
        <v>1050</v>
      </c>
      <c r="H366" s="11">
        <f t="array" ref="H366">INDEX('[23]SENSUS MEI'!$J$9:$J$453,MATCH(1,('[23]SENSUS MEI'!$D$9:$D$453=$D366)*('[23]SENSUS MEI'!$D$9:$D$453=$D366),0))</f>
        <v>46153</v>
      </c>
      <c r="I366" s="143">
        <f t="array" ref="I366">INDEX('[23]SENSUS MEI'!$K$9:$K$453,MATCH(1,('[23]SENSUS MEI'!$D$9:$D$453=$D366)*('[23]SENSUS MEI'!$D$9:$D$453=$D366),0))</f>
        <v>143</v>
      </c>
      <c r="J366" s="9">
        <f t="array" ref="J366">IFERROR(I366/G366*100,0)</f>
        <v>13.61904761904762</v>
      </c>
      <c r="K366" s="143">
        <f t="array" ref="K366">INDEX('[23]SENSUS MEI'!$M$9:$M$453,MATCH(1,('[23]SENSUS MEI'!$D$9:$D$453=$D366)*('[23]SENSUS MEI'!$D$9:$D$453=$D366),0))+INDEX('[23]SENSUS MEI'!$O$9:$O$453,MATCH(1,('[23]SENSUS MEI'!$D$9:$D$453=$D366)*('[23]SENSUS MEI'!$D$9:$D$453=$D366),0))</f>
        <v>17</v>
      </c>
      <c r="L366" s="9">
        <f t="shared" si="36"/>
        <v>11.888111888111888</v>
      </c>
      <c r="M366" s="8" t="str">
        <f t="shared" si="31"/>
        <v>Perlu Pengendalian</v>
      </c>
      <c r="P366" s="194">
        <f t="shared" si="32"/>
        <v>4.7249999999999996</v>
      </c>
      <c r="Q366" s="194">
        <f t="array" ref="Q366">$P366*0.8</f>
        <v>3.78</v>
      </c>
      <c r="R366" s="194">
        <f t="shared" si="33"/>
        <v>2.8349999999999995</v>
      </c>
      <c r="S366" s="194">
        <f t="shared" si="34"/>
        <v>1.89</v>
      </c>
      <c r="T366" s="194">
        <f t="shared" si="35"/>
        <v>0.94499999999999995</v>
      </c>
    </row>
    <row r="367" spans="1:20" x14ac:dyDescent="0.15">
      <c r="A367" s="8" t="s">
        <v>628</v>
      </c>
      <c r="B367" s="8" t="s">
        <v>47</v>
      </c>
      <c r="C367" s="8" t="s">
        <v>380</v>
      </c>
      <c r="D367" s="8" t="s">
        <v>908</v>
      </c>
      <c r="E367" s="9">
        <v>10</v>
      </c>
      <c r="F367" s="8" t="s">
        <v>469</v>
      </c>
      <c r="G367" s="143">
        <f t="array" ref="G367">INDEX('[23]SENSUS MEI'!$G$9:$G$453,MATCH(1,('[23]SENSUS MEI'!$D$9:$D$453=$D367)*('[23]SENSUS MEI'!$D$9:$D$453=$D367),0))</f>
        <v>1434</v>
      </c>
      <c r="H367" s="11">
        <f t="array" ref="H367">INDEX('[23]SENSUS MEI'!$J$9:$J$453,MATCH(1,('[23]SENSUS MEI'!$D$9:$D$453=$D367)*('[23]SENSUS MEI'!$D$9:$D$453=$D367),0))</f>
        <v>46151</v>
      </c>
      <c r="I367" s="143">
        <f t="array" ref="I367">INDEX('[23]SENSUS MEI'!$K$9:$K$453,MATCH(1,('[23]SENSUS MEI'!$D$9:$D$453=$D367)*('[23]SENSUS MEI'!$D$9:$D$453=$D367),0))</f>
        <v>149</v>
      </c>
      <c r="J367" s="9">
        <f t="array" ref="J367">IFERROR(I367/G367*100,0)</f>
        <v>10.390516039051603</v>
      </c>
      <c r="K367" s="143">
        <f t="array" ref="K367">INDEX('[23]SENSUS MEI'!$M$9:$M$453,MATCH(1,('[23]SENSUS MEI'!$D$9:$D$453=$D367)*('[23]SENSUS MEI'!$D$9:$D$453=$D367),0))+INDEX('[23]SENSUS MEI'!$O$9:$O$453,MATCH(1,('[23]SENSUS MEI'!$D$9:$D$453=$D367)*('[23]SENSUS MEI'!$D$9:$D$453=$D367),0))</f>
        <v>48</v>
      </c>
      <c r="L367" s="9">
        <f t="shared" si="36"/>
        <v>32.214765100671137</v>
      </c>
      <c r="M367" s="8" t="str">
        <f t="shared" si="31"/>
        <v>Perlu Pengendalian</v>
      </c>
      <c r="P367" s="194">
        <f t="shared" si="32"/>
        <v>6.4530000000000003</v>
      </c>
      <c r="Q367" s="194">
        <f t="array" ref="Q367">$P367*0.8</f>
        <v>5.1624000000000008</v>
      </c>
      <c r="R367" s="194">
        <f t="shared" si="33"/>
        <v>3.8717999999999999</v>
      </c>
      <c r="S367" s="194">
        <f t="shared" si="34"/>
        <v>2.5812000000000004</v>
      </c>
      <c r="T367" s="194">
        <f t="shared" si="35"/>
        <v>1.2906000000000002</v>
      </c>
    </row>
    <row r="368" spans="1:20" x14ac:dyDescent="0.15">
      <c r="A368" s="8" t="s">
        <v>628</v>
      </c>
      <c r="B368" s="8" t="s">
        <v>47</v>
      </c>
      <c r="C368" s="8" t="s">
        <v>380</v>
      </c>
      <c r="D368" s="8" t="s">
        <v>909</v>
      </c>
      <c r="E368" s="9">
        <v>0.84</v>
      </c>
      <c r="F368" s="8" t="s">
        <v>16</v>
      </c>
      <c r="G368" s="143">
        <f t="array" ref="G368">INDEX('[23]SENSUS MEI'!$G$9:$G$453,MATCH(1,('[23]SENSUS MEI'!$D$9:$D$453=$D368)*('[23]SENSUS MEI'!$D$9:$D$453=$D368),0))</f>
        <v>88</v>
      </c>
      <c r="H368" s="11">
        <f t="array" ref="H368">INDEX('[23]SENSUS MEI'!$J$9:$J$453,MATCH(1,('[23]SENSUS MEI'!$D$9:$D$453=$D368)*('[23]SENSUS MEI'!$D$9:$D$453=$D368),0))</f>
        <v>46151</v>
      </c>
      <c r="I368" s="143">
        <f t="array" ref="I368">INDEX('[23]SENSUS MEI'!$K$9:$K$453,MATCH(1,('[23]SENSUS MEI'!$D$9:$D$453=$D368)*('[23]SENSUS MEI'!$D$9:$D$453=$D368),0))</f>
        <v>13</v>
      </c>
      <c r="J368" s="9">
        <f t="array" ref="J368">IFERROR(I368/G368*100,0)</f>
        <v>14.772727272727273</v>
      </c>
      <c r="K368" s="143">
        <f t="array" ref="K368">INDEX('[23]SENSUS MEI'!$M$9:$M$453,MATCH(1,('[23]SENSUS MEI'!$D$9:$D$453=$D368)*('[23]SENSUS MEI'!$D$9:$D$453=$D368),0))+INDEX('[23]SENSUS MEI'!$O$9:$O$453,MATCH(1,('[23]SENSUS MEI'!$D$9:$D$453=$D368)*('[23]SENSUS MEI'!$D$9:$D$453=$D368),0))</f>
        <v>2</v>
      </c>
      <c r="L368" s="9">
        <f t="shared" si="36"/>
        <v>15.384615384615385</v>
      </c>
      <c r="M368" s="8" t="str">
        <f t="shared" si="31"/>
        <v>Perlu Pengendalian</v>
      </c>
      <c r="P368" s="194">
        <f t="shared" si="32"/>
        <v>0.39600000000000002</v>
      </c>
      <c r="Q368" s="194">
        <f t="array" ref="Q368">$P368*0.8</f>
        <v>0.31680000000000003</v>
      </c>
      <c r="R368" s="194">
        <f t="shared" si="33"/>
        <v>0.23760000000000001</v>
      </c>
      <c r="S368" s="194">
        <f t="shared" si="34"/>
        <v>0.15840000000000001</v>
      </c>
      <c r="T368" s="194">
        <f t="shared" si="35"/>
        <v>7.9200000000000007E-2</v>
      </c>
    </row>
    <row r="369" spans="1:20" x14ac:dyDescent="0.15">
      <c r="A369" s="8" t="s">
        <v>628</v>
      </c>
      <c r="B369" s="8" t="s">
        <v>47</v>
      </c>
      <c r="C369" s="8" t="s">
        <v>380</v>
      </c>
      <c r="D369" s="8" t="s">
        <v>910</v>
      </c>
      <c r="E369" s="9">
        <v>6.82</v>
      </c>
      <c r="F369" s="8" t="s">
        <v>16</v>
      </c>
      <c r="G369" s="143">
        <f t="array" ref="G369">INDEX('[23]SENSUS MEI'!$G$9:$G$453,MATCH(1,('[23]SENSUS MEI'!$D$9:$D$453=$D369)*('[23]SENSUS MEI'!$D$9:$D$453=$D369),0))</f>
        <v>891</v>
      </c>
      <c r="H369" s="11">
        <f t="array" ref="H369">INDEX('[23]SENSUS MEI'!$J$9:$J$453,MATCH(1,('[23]SENSUS MEI'!$D$9:$D$453=$D369)*('[23]SENSUS MEI'!$D$9:$D$453=$D369),0))</f>
        <v>46151</v>
      </c>
      <c r="I369" s="143">
        <f t="array" ref="I369">INDEX('[23]SENSUS MEI'!$K$9:$K$453,MATCH(1,('[23]SENSUS MEI'!$D$9:$D$453=$D369)*('[23]SENSUS MEI'!$D$9:$D$453=$D369),0))</f>
        <v>83</v>
      </c>
      <c r="J369" s="9">
        <f t="array" ref="J369">IFERROR(I369/G369*100,0)</f>
        <v>9.3153759820426494</v>
      </c>
      <c r="K369" s="143">
        <f t="array" ref="K369">INDEX('[23]SENSUS MEI'!$M$9:$M$453,MATCH(1,('[23]SENSUS MEI'!$D$9:$D$453=$D369)*('[23]SENSUS MEI'!$D$9:$D$453=$D369),0))+INDEX('[23]SENSUS MEI'!$O$9:$O$453,MATCH(1,('[23]SENSUS MEI'!$D$9:$D$453=$D369)*('[23]SENSUS MEI'!$D$9:$D$453=$D369),0))</f>
        <v>21</v>
      </c>
      <c r="L369" s="9">
        <f t="shared" si="36"/>
        <v>25.301204819277107</v>
      </c>
      <c r="M369" s="8" t="str">
        <f t="shared" si="31"/>
        <v>Perlu Pengendalian</v>
      </c>
      <c r="P369" s="194">
        <f t="shared" si="32"/>
        <v>4.0095000000000001</v>
      </c>
      <c r="Q369" s="194">
        <f t="array" ref="Q369">$P369*0.8</f>
        <v>3.2076000000000002</v>
      </c>
      <c r="R369" s="194">
        <f t="shared" si="33"/>
        <v>2.4056999999999999</v>
      </c>
      <c r="S369" s="194">
        <f t="shared" si="34"/>
        <v>1.6038000000000001</v>
      </c>
      <c r="T369" s="194">
        <f t="shared" si="35"/>
        <v>0.80190000000000006</v>
      </c>
    </row>
    <row r="370" spans="1:20" x14ac:dyDescent="0.15">
      <c r="A370" s="8" t="s">
        <v>628</v>
      </c>
      <c r="B370" s="8" t="s">
        <v>47</v>
      </c>
      <c r="C370" s="8" t="s">
        <v>380</v>
      </c>
      <c r="D370" s="8" t="s">
        <v>911</v>
      </c>
      <c r="E370" s="9">
        <v>9.5399999999999991</v>
      </c>
      <c r="F370" s="8" t="s">
        <v>16</v>
      </c>
      <c r="G370" s="143">
        <f t="array" ref="G370">INDEX('[23]SENSUS MEI'!$G$9:$G$453,MATCH(1,('[23]SENSUS MEI'!$D$9:$D$453=$D370)*('[23]SENSUS MEI'!$D$9:$D$453=$D370),0))</f>
        <v>1383</v>
      </c>
      <c r="H370" s="11">
        <f t="array" ref="H370">INDEX('[23]SENSUS MEI'!$J$9:$J$453,MATCH(1,('[23]SENSUS MEI'!$D$9:$D$453=$D370)*('[23]SENSUS MEI'!$D$9:$D$453=$D370),0))</f>
        <v>46151</v>
      </c>
      <c r="I370" s="143">
        <f t="array" ref="I370">INDEX('[23]SENSUS MEI'!$K$9:$K$453,MATCH(1,('[23]SENSUS MEI'!$D$9:$D$453=$D370)*('[23]SENSUS MEI'!$D$9:$D$453=$D370),0))</f>
        <v>137</v>
      </c>
      <c r="J370" s="9">
        <f t="array" ref="J370">IFERROR(I370/G370*100,0)</f>
        <v>9.9060014461315973</v>
      </c>
      <c r="K370" s="143">
        <f t="array" ref="K370">INDEX('[23]SENSUS MEI'!$M$9:$M$453,MATCH(1,('[23]SENSUS MEI'!$D$9:$D$453=$D370)*('[23]SENSUS MEI'!$D$9:$D$453=$D370),0))+INDEX('[23]SENSUS MEI'!$O$9:$O$453,MATCH(1,('[23]SENSUS MEI'!$D$9:$D$453=$D370)*('[23]SENSUS MEI'!$D$9:$D$453=$D370),0))</f>
        <v>36</v>
      </c>
      <c r="L370" s="9">
        <f t="shared" si="36"/>
        <v>26.277372262773724</v>
      </c>
      <c r="M370" s="8" t="str">
        <f t="shared" si="31"/>
        <v>Perlu Pengendalian</v>
      </c>
      <c r="P370" s="194">
        <f t="shared" si="32"/>
        <v>6.2234999999999996</v>
      </c>
      <c r="Q370" s="194">
        <f t="array" ref="Q370">$P370*0.8</f>
        <v>4.9787999999999997</v>
      </c>
      <c r="R370" s="194">
        <f t="shared" si="33"/>
        <v>3.7340999999999998</v>
      </c>
      <c r="S370" s="194">
        <f t="shared" si="34"/>
        <v>2.4893999999999998</v>
      </c>
      <c r="T370" s="194">
        <f t="shared" si="35"/>
        <v>1.2446999999999999</v>
      </c>
    </row>
    <row r="371" spans="1:20" x14ac:dyDescent="0.15">
      <c r="A371" s="8" t="s">
        <v>628</v>
      </c>
      <c r="B371" s="8" t="s">
        <v>47</v>
      </c>
      <c r="C371" s="8" t="s">
        <v>380</v>
      </c>
      <c r="D371" s="8" t="s">
        <v>912</v>
      </c>
      <c r="E371" s="9">
        <v>10.57</v>
      </c>
      <c r="F371" s="8" t="s">
        <v>16</v>
      </c>
      <c r="G371" s="143">
        <f t="array" ref="G371">INDEX('[23]SENSUS MEI'!$G$9:$G$453,MATCH(1,('[23]SENSUS MEI'!$D$9:$D$453=$D371)*('[23]SENSUS MEI'!$D$9:$D$453=$D371),0))</f>
        <v>1566</v>
      </c>
      <c r="H371" s="11">
        <f t="array" ref="H371">INDEX('[23]SENSUS MEI'!$J$9:$J$453,MATCH(1,('[23]SENSUS MEI'!$D$9:$D$453=$D371)*('[23]SENSUS MEI'!$D$9:$D$453=$D371),0))</f>
        <v>46151</v>
      </c>
      <c r="I371" s="143">
        <f t="array" ref="I371">INDEX('[23]SENSUS MEI'!$K$9:$K$453,MATCH(1,('[23]SENSUS MEI'!$D$9:$D$453=$D371)*('[23]SENSUS MEI'!$D$9:$D$453=$D371),0))</f>
        <v>166</v>
      </c>
      <c r="J371" s="9">
        <f t="array" ref="J371">IFERROR(I371/G371*100,0)</f>
        <v>10.600255427841635</v>
      </c>
      <c r="K371" s="143">
        <f t="array" ref="K371">INDEX('[23]SENSUS MEI'!$M$9:$M$453,MATCH(1,('[23]SENSUS MEI'!$D$9:$D$453=$D371)*('[23]SENSUS MEI'!$D$9:$D$453=$D371),0))+INDEX('[23]SENSUS MEI'!$O$9:$O$453,MATCH(1,('[23]SENSUS MEI'!$D$9:$D$453=$D371)*('[23]SENSUS MEI'!$D$9:$D$453=$D371),0))</f>
        <v>14</v>
      </c>
      <c r="L371" s="9">
        <f t="shared" si="36"/>
        <v>8.4337349397590362</v>
      </c>
      <c r="M371" s="8" t="str">
        <f t="shared" si="31"/>
        <v>Perlu Pengendalian</v>
      </c>
      <c r="P371" s="194">
        <f t="shared" si="32"/>
        <v>7.0469999999999997</v>
      </c>
      <c r="Q371" s="194">
        <f t="array" ref="Q371">$P371*0.8</f>
        <v>5.6375999999999999</v>
      </c>
      <c r="R371" s="194">
        <f t="shared" si="33"/>
        <v>4.2281999999999993</v>
      </c>
      <c r="S371" s="194">
        <f t="shared" si="34"/>
        <v>2.8188</v>
      </c>
      <c r="T371" s="194">
        <f t="shared" si="35"/>
        <v>1.4094</v>
      </c>
    </row>
    <row r="372" spans="1:20" x14ac:dyDescent="0.15">
      <c r="A372" s="8" t="s">
        <v>628</v>
      </c>
      <c r="B372" s="8" t="s">
        <v>47</v>
      </c>
      <c r="C372" s="8" t="s">
        <v>380</v>
      </c>
      <c r="D372" s="8" t="s">
        <v>913</v>
      </c>
      <c r="E372" s="9">
        <v>11.54</v>
      </c>
      <c r="F372" s="8" t="s">
        <v>16</v>
      </c>
      <c r="G372" s="143">
        <f t="array" ref="G372">INDEX('[23]SENSUS MEI'!$G$9:$G$453,MATCH(1,('[23]SENSUS MEI'!$D$9:$D$453=$D372)*('[23]SENSUS MEI'!$D$9:$D$453=$D372),0))</f>
        <v>1703</v>
      </c>
      <c r="H372" s="11">
        <f t="array" ref="H372">INDEX('[23]SENSUS MEI'!$J$9:$J$453,MATCH(1,('[23]SENSUS MEI'!$D$9:$D$453=$D372)*('[23]SENSUS MEI'!$D$9:$D$453=$D372),0))</f>
        <v>46151</v>
      </c>
      <c r="I372" s="143">
        <f t="array" ref="I372">INDEX('[23]SENSUS MEI'!$K$9:$K$453,MATCH(1,('[23]SENSUS MEI'!$D$9:$D$453=$D372)*('[23]SENSUS MEI'!$D$9:$D$453=$D372),0))</f>
        <v>150</v>
      </c>
      <c r="J372" s="9">
        <f t="array" ref="J372">IFERROR(I372/G372*100,0)</f>
        <v>8.8079859072225481</v>
      </c>
      <c r="K372" s="143">
        <f t="array" ref="K372">INDEX('[23]SENSUS MEI'!$M$9:$M$453,MATCH(1,('[23]SENSUS MEI'!$D$9:$D$453=$D372)*('[23]SENSUS MEI'!$D$9:$D$453=$D372),0))+INDEX('[23]SENSUS MEI'!$O$9:$O$453,MATCH(1,('[23]SENSUS MEI'!$D$9:$D$453=$D372)*('[23]SENSUS MEI'!$D$9:$D$453=$D372),0))</f>
        <v>64</v>
      </c>
      <c r="L372" s="9">
        <f t="shared" si="36"/>
        <v>42.666666666666671</v>
      </c>
      <c r="M372" s="8" t="str">
        <f t="shared" si="31"/>
        <v>Perlu Pengendalian</v>
      </c>
      <c r="P372" s="194">
        <f t="shared" si="32"/>
        <v>7.6635</v>
      </c>
      <c r="Q372" s="194">
        <f t="array" ref="Q372">$P372*0.8</f>
        <v>6.1308000000000007</v>
      </c>
      <c r="R372" s="194">
        <f t="shared" si="33"/>
        <v>4.5980999999999996</v>
      </c>
      <c r="S372" s="194">
        <f t="shared" si="34"/>
        <v>3.0654000000000003</v>
      </c>
      <c r="T372" s="194">
        <f t="shared" si="35"/>
        <v>1.5327000000000002</v>
      </c>
    </row>
    <row r="373" spans="1:20" x14ac:dyDescent="0.15">
      <c r="A373" s="8" t="s">
        <v>628</v>
      </c>
      <c r="B373" s="8" t="s">
        <v>47</v>
      </c>
      <c r="C373" s="8" t="s">
        <v>380</v>
      </c>
      <c r="D373" s="8" t="s">
        <v>914</v>
      </c>
      <c r="E373" s="9">
        <v>10.94</v>
      </c>
      <c r="F373" s="8" t="s">
        <v>16</v>
      </c>
      <c r="G373" s="143">
        <f t="array" ref="G373">INDEX('[23]SENSUS MEI'!$G$9:$G$453,MATCH(1,('[23]SENSUS MEI'!$D$9:$D$453=$D373)*('[23]SENSUS MEI'!$D$9:$D$453=$D373),0))</f>
        <v>1688</v>
      </c>
      <c r="H373" s="11">
        <f t="array" ref="H373">INDEX('[23]SENSUS MEI'!$J$9:$J$453,MATCH(1,('[23]SENSUS MEI'!$D$9:$D$453=$D373)*('[23]SENSUS MEI'!$D$9:$D$453=$D373),0))</f>
        <v>46151</v>
      </c>
      <c r="I373" s="143">
        <f t="array" ref="I373">INDEX('[23]SENSUS MEI'!$K$9:$K$453,MATCH(1,('[23]SENSUS MEI'!$D$9:$D$453=$D373)*('[23]SENSUS MEI'!$D$9:$D$453=$D373),0))</f>
        <v>131</v>
      </c>
      <c r="J373" s="9">
        <f t="array" ref="J373">IFERROR(I373/G373*100,0)</f>
        <v>7.7606635071090047</v>
      </c>
      <c r="K373" s="143">
        <f t="array" ref="K373">INDEX('[23]SENSUS MEI'!$M$9:$M$453,MATCH(1,('[23]SENSUS MEI'!$D$9:$D$453=$D373)*('[23]SENSUS MEI'!$D$9:$D$453=$D373),0))+INDEX('[23]SENSUS MEI'!$O$9:$O$453,MATCH(1,('[23]SENSUS MEI'!$D$9:$D$453=$D373)*('[23]SENSUS MEI'!$D$9:$D$453=$D373),0))</f>
        <v>34</v>
      </c>
      <c r="L373" s="9">
        <f t="shared" si="36"/>
        <v>25.954198473282442</v>
      </c>
      <c r="M373" s="8" t="str">
        <f t="shared" si="31"/>
        <v>Perlu Pengendalian</v>
      </c>
      <c r="P373" s="194">
        <f t="shared" si="32"/>
        <v>7.5960000000000001</v>
      </c>
      <c r="Q373" s="194">
        <f t="array" ref="Q373">$P373*0.8</f>
        <v>6.0768000000000004</v>
      </c>
      <c r="R373" s="194">
        <f t="shared" si="33"/>
        <v>4.5575999999999999</v>
      </c>
      <c r="S373" s="194">
        <f t="shared" si="34"/>
        <v>3.0384000000000002</v>
      </c>
      <c r="T373" s="194">
        <f t="shared" si="35"/>
        <v>1.5192000000000001</v>
      </c>
    </row>
    <row r="374" spans="1:20" x14ac:dyDescent="0.15">
      <c r="A374" s="8" t="s">
        <v>628</v>
      </c>
      <c r="B374" s="8" t="s">
        <v>47</v>
      </c>
      <c r="C374" s="8" t="s">
        <v>380</v>
      </c>
      <c r="D374" s="8" t="s">
        <v>915</v>
      </c>
      <c r="E374" s="9">
        <v>10.11</v>
      </c>
      <c r="F374" s="8" t="s">
        <v>16</v>
      </c>
      <c r="G374" s="143">
        <f t="array" ref="G374">INDEX('[23]SENSUS MEI'!$G$9:$G$453,MATCH(1,('[23]SENSUS MEI'!$D$9:$D$453=$D374)*('[23]SENSUS MEI'!$D$9:$D$453=$D374),0))</f>
        <v>1264</v>
      </c>
      <c r="H374" s="11">
        <f t="array" ref="H374">INDEX('[23]SENSUS MEI'!$J$9:$J$453,MATCH(1,('[23]SENSUS MEI'!$D$9:$D$453=$D374)*('[23]SENSUS MEI'!$D$9:$D$453=$D374),0))</f>
        <v>46151</v>
      </c>
      <c r="I374" s="143">
        <f t="array" ref="I374">INDEX('[23]SENSUS MEI'!$K$9:$K$453,MATCH(1,('[23]SENSUS MEI'!$D$9:$D$453=$D374)*('[23]SENSUS MEI'!$D$9:$D$453=$D374),0))</f>
        <v>142</v>
      </c>
      <c r="J374" s="9">
        <f t="array" ref="J374">IFERROR(I374/G374*100,0)</f>
        <v>11.234177215189874</v>
      </c>
      <c r="K374" s="143">
        <f t="array" ref="K374">INDEX('[23]SENSUS MEI'!$M$9:$M$453,MATCH(1,('[23]SENSUS MEI'!$D$9:$D$453=$D374)*('[23]SENSUS MEI'!$D$9:$D$453=$D374),0))+INDEX('[23]SENSUS MEI'!$O$9:$O$453,MATCH(1,('[23]SENSUS MEI'!$D$9:$D$453=$D374)*('[23]SENSUS MEI'!$D$9:$D$453=$D374),0))</f>
        <v>67</v>
      </c>
      <c r="L374" s="9">
        <f t="shared" si="36"/>
        <v>47.183098591549296</v>
      </c>
      <c r="M374" s="8" t="str">
        <f t="shared" si="31"/>
        <v>Perlu Pengendalian</v>
      </c>
      <c r="P374" s="194">
        <f t="shared" si="32"/>
        <v>5.6879999999999997</v>
      </c>
      <c r="Q374" s="194">
        <f t="array" ref="Q374">$P374*0.8</f>
        <v>4.5503999999999998</v>
      </c>
      <c r="R374" s="194">
        <f t="shared" si="33"/>
        <v>3.4127999999999998</v>
      </c>
      <c r="S374" s="194">
        <f t="shared" si="34"/>
        <v>2.2751999999999999</v>
      </c>
      <c r="T374" s="194">
        <f t="shared" si="35"/>
        <v>1.1375999999999999</v>
      </c>
    </row>
    <row r="375" spans="1:20" x14ac:dyDescent="0.15">
      <c r="A375" s="8" t="s">
        <v>628</v>
      </c>
      <c r="B375" s="8" t="s">
        <v>47</v>
      </c>
      <c r="C375" s="8" t="s">
        <v>380</v>
      </c>
      <c r="D375" s="8" t="s">
        <v>916</v>
      </c>
      <c r="E375" s="9">
        <v>11.59</v>
      </c>
      <c r="F375" s="8" t="s">
        <v>16</v>
      </c>
      <c r="G375" s="143">
        <f t="array" ref="G375">INDEX('[23]SENSUS MEI'!$G$9:$G$453,MATCH(1,('[23]SENSUS MEI'!$D$9:$D$453=$D375)*('[23]SENSUS MEI'!$D$9:$D$453=$D375),0))</f>
        <v>1627</v>
      </c>
      <c r="H375" s="11">
        <f t="array" ref="H375">INDEX('[23]SENSUS MEI'!$J$9:$J$453,MATCH(1,('[23]SENSUS MEI'!$D$9:$D$453=$D375)*('[23]SENSUS MEI'!$D$9:$D$453=$D375),0))</f>
        <v>46151</v>
      </c>
      <c r="I375" s="143">
        <f t="array" ref="I375">INDEX('[23]SENSUS MEI'!$K$9:$K$453,MATCH(1,('[23]SENSUS MEI'!$D$9:$D$453=$D375)*('[23]SENSUS MEI'!$D$9:$D$453=$D375),0))</f>
        <v>33</v>
      </c>
      <c r="J375" s="9">
        <f t="array" ref="J375">IFERROR(I375/G375*100,0)</f>
        <v>2.0282728948985862</v>
      </c>
      <c r="K375" s="143">
        <f t="array" ref="K375">INDEX('[23]SENSUS MEI'!$M$9:$M$453,MATCH(1,('[23]SENSUS MEI'!$D$9:$D$453=$D375)*('[23]SENSUS MEI'!$D$9:$D$453=$D375),0))+INDEX('[23]SENSUS MEI'!$O$9:$O$453,MATCH(1,('[23]SENSUS MEI'!$D$9:$D$453=$D375)*('[23]SENSUS MEI'!$D$9:$D$453=$D375),0))</f>
        <v>7</v>
      </c>
      <c r="L375" s="9">
        <f t="shared" si="36"/>
        <v>21.212121212121211</v>
      </c>
      <c r="M375" s="8" t="str">
        <f t="shared" si="31"/>
        <v>Perlu Pengendalian</v>
      </c>
      <c r="P375" s="194">
        <f t="shared" si="32"/>
        <v>7.3215000000000003</v>
      </c>
      <c r="Q375" s="194">
        <f t="array" ref="Q375">$P375*0.8</f>
        <v>5.8572000000000006</v>
      </c>
      <c r="R375" s="194">
        <f t="shared" si="33"/>
        <v>4.3929</v>
      </c>
      <c r="S375" s="194">
        <f t="shared" si="34"/>
        <v>2.9286000000000003</v>
      </c>
      <c r="T375" s="194">
        <f t="shared" si="35"/>
        <v>1.4643000000000002</v>
      </c>
    </row>
    <row r="376" spans="1:20" x14ac:dyDescent="0.15">
      <c r="A376" s="8" t="s">
        <v>628</v>
      </c>
      <c r="B376" s="8" t="s">
        <v>47</v>
      </c>
      <c r="C376" s="8" t="s">
        <v>380</v>
      </c>
      <c r="D376" s="8" t="s">
        <v>917</v>
      </c>
      <c r="E376" s="9">
        <v>14.96</v>
      </c>
      <c r="F376" s="8" t="s">
        <v>469</v>
      </c>
      <c r="G376" s="143">
        <f t="array" ref="G376">INDEX('[23]SENSUS MEI'!$G$9:$G$453,MATCH(1,('[23]SENSUS MEI'!$D$9:$D$453=$D376)*('[23]SENSUS MEI'!$D$9:$D$453=$D376),0))</f>
        <v>2106</v>
      </c>
      <c r="H376" s="11">
        <f t="array" ref="H376">INDEX('[23]SENSUS MEI'!$J$9:$J$453,MATCH(1,('[23]SENSUS MEI'!$D$9:$D$453=$D376)*('[23]SENSUS MEI'!$D$9:$D$453=$D376),0))</f>
        <v>46150</v>
      </c>
      <c r="I376" s="143">
        <f t="array" ref="I376">INDEX('[23]SENSUS MEI'!$K$9:$K$453,MATCH(1,('[23]SENSUS MEI'!$D$9:$D$453=$D376)*('[23]SENSUS MEI'!$D$9:$D$453=$D376),0))</f>
        <v>210</v>
      </c>
      <c r="J376" s="9">
        <f t="array" ref="J376">IFERROR(I376/G376*100,0)</f>
        <v>9.9715099715099722</v>
      </c>
      <c r="K376" s="143">
        <f t="array" ref="K376">INDEX('[23]SENSUS MEI'!$M$9:$M$453,MATCH(1,('[23]SENSUS MEI'!$D$9:$D$453=$D376)*('[23]SENSUS MEI'!$D$9:$D$453=$D376),0))+INDEX('[23]SENSUS MEI'!$O$9:$O$453,MATCH(1,('[23]SENSUS MEI'!$D$9:$D$453=$D376)*('[23]SENSUS MEI'!$D$9:$D$453=$D376),0))</f>
        <v>29</v>
      </c>
      <c r="L376" s="9">
        <f t="shared" si="36"/>
        <v>13.80952380952381</v>
      </c>
      <c r="M376" s="8" t="str">
        <f t="shared" si="31"/>
        <v>Perlu Pengendalian</v>
      </c>
      <c r="P376" s="194">
        <f t="shared" si="32"/>
        <v>9.4770000000000003</v>
      </c>
      <c r="Q376" s="194">
        <f t="array" ref="Q376">$P376*0.8</f>
        <v>7.5816000000000008</v>
      </c>
      <c r="R376" s="194">
        <f t="shared" si="33"/>
        <v>5.6862000000000004</v>
      </c>
      <c r="S376" s="194">
        <f t="shared" si="34"/>
        <v>3.7908000000000004</v>
      </c>
      <c r="T376" s="194">
        <f t="shared" si="35"/>
        <v>1.8954000000000002</v>
      </c>
    </row>
    <row r="377" spans="1:20" x14ac:dyDescent="0.15">
      <c r="A377" s="8" t="s">
        <v>628</v>
      </c>
      <c r="B377" s="8" t="s">
        <v>47</v>
      </c>
      <c r="C377" s="8" t="s">
        <v>380</v>
      </c>
      <c r="D377" s="8" t="s">
        <v>918</v>
      </c>
      <c r="E377" s="9">
        <v>25.24</v>
      </c>
      <c r="F377" s="8" t="s">
        <v>16</v>
      </c>
      <c r="G377" s="143">
        <f t="array" ref="G377">INDEX('[23]SENSUS MEI'!$G$9:$G$453,MATCH(1,('[23]SENSUS MEI'!$D$9:$D$453=$D377)*('[23]SENSUS MEI'!$D$9:$D$453=$D377),0))</f>
        <v>3396</v>
      </c>
      <c r="H377" s="11">
        <f t="array" ref="H377">INDEX('[23]SENSUS MEI'!$J$9:$J$453,MATCH(1,('[23]SENSUS MEI'!$D$9:$D$453=$D377)*('[23]SENSUS MEI'!$D$9:$D$453=$D377),0))</f>
        <v>46150</v>
      </c>
      <c r="I377" s="143">
        <f t="array" ref="I377">INDEX('[23]SENSUS MEI'!$K$9:$K$453,MATCH(1,('[23]SENSUS MEI'!$D$9:$D$453=$D377)*('[23]SENSUS MEI'!$D$9:$D$453=$D377),0))</f>
        <v>372</v>
      </c>
      <c r="J377" s="9">
        <f t="array" ref="J377">IFERROR(I377/G377*100,0)</f>
        <v>10.954063604240282</v>
      </c>
      <c r="K377" s="143">
        <f t="array" ref="K377">INDEX('[23]SENSUS MEI'!$M$9:$M$453,MATCH(1,('[23]SENSUS MEI'!$D$9:$D$453=$D377)*('[23]SENSUS MEI'!$D$9:$D$453=$D377),0))+INDEX('[23]SENSUS MEI'!$O$9:$O$453,MATCH(1,('[23]SENSUS MEI'!$D$9:$D$453=$D377)*('[23]SENSUS MEI'!$D$9:$D$453=$D377),0))</f>
        <v>151</v>
      </c>
      <c r="L377" s="9">
        <f t="shared" si="36"/>
        <v>40.591397849462361</v>
      </c>
      <c r="M377" s="8" t="str">
        <f t="shared" si="31"/>
        <v>Perlu Pengendalian</v>
      </c>
      <c r="P377" s="194">
        <f t="shared" si="32"/>
        <v>15.282</v>
      </c>
      <c r="Q377" s="194">
        <f t="array" ref="Q377">$P377*0.8</f>
        <v>12.2256</v>
      </c>
      <c r="R377" s="194">
        <f t="shared" si="33"/>
        <v>9.1692</v>
      </c>
      <c r="S377" s="194">
        <f t="shared" si="34"/>
        <v>6.1128</v>
      </c>
      <c r="T377" s="194">
        <f t="shared" si="35"/>
        <v>3.0564</v>
      </c>
    </row>
    <row r="378" spans="1:20" x14ac:dyDescent="0.15">
      <c r="A378" s="8" t="s">
        <v>628</v>
      </c>
      <c r="B378" s="8" t="s">
        <v>47</v>
      </c>
      <c r="C378" s="8" t="s">
        <v>380</v>
      </c>
      <c r="D378" s="8" t="s">
        <v>919</v>
      </c>
      <c r="E378" s="9">
        <v>31.97</v>
      </c>
      <c r="F378" s="8" t="s">
        <v>16</v>
      </c>
      <c r="G378" s="143">
        <f t="array" ref="G378">INDEX('[23]SENSUS MEI'!$G$9:$G$453,MATCH(1,('[23]SENSUS MEI'!$D$9:$D$453=$D378)*('[23]SENSUS MEI'!$D$9:$D$453=$D378),0))</f>
        <v>4076</v>
      </c>
      <c r="H378" s="11">
        <f t="array" ref="H378">INDEX('[23]SENSUS MEI'!$J$9:$J$453,MATCH(1,('[23]SENSUS MEI'!$D$9:$D$453=$D378)*('[23]SENSUS MEI'!$D$9:$D$453=$D378),0))</f>
        <v>46150</v>
      </c>
      <c r="I378" s="143">
        <f t="array" ref="I378">INDEX('[23]SENSUS MEI'!$K$9:$K$453,MATCH(1,('[23]SENSUS MEI'!$D$9:$D$453=$D378)*('[23]SENSUS MEI'!$D$9:$D$453=$D378),0))</f>
        <v>487</v>
      </c>
      <c r="J378" s="9">
        <f t="array" ref="J378">IFERROR(I378/G378*100,0)</f>
        <v>11.947988223748773</v>
      </c>
      <c r="K378" s="143">
        <f t="array" ref="K378">INDEX('[23]SENSUS MEI'!$M$9:$M$453,MATCH(1,('[23]SENSUS MEI'!$D$9:$D$453=$D378)*('[23]SENSUS MEI'!$D$9:$D$453=$D378),0))+INDEX('[23]SENSUS MEI'!$O$9:$O$453,MATCH(1,('[23]SENSUS MEI'!$D$9:$D$453=$D378)*('[23]SENSUS MEI'!$D$9:$D$453=$D378),0))</f>
        <v>279</v>
      </c>
      <c r="L378" s="9">
        <f t="shared" si="36"/>
        <v>57.289527720739223</v>
      </c>
      <c r="M378" s="8" t="str">
        <f t="shared" si="31"/>
        <v>Perlu Pengendalian</v>
      </c>
      <c r="P378" s="194">
        <f t="shared" si="32"/>
        <v>18.341999999999999</v>
      </c>
      <c r="Q378" s="194">
        <f t="array" ref="Q378">$P378*0.8</f>
        <v>14.6736</v>
      </c>
      <c r="R378" s="194">
        <f t="shared" si="33"/>
        <v>11.005199999999999</v>
      </c>
      <c r="S378" s="194">
        <f t="shared" si="34"/>
        <v>7.3368000000000002</v>
      </c>
      <c r="T378" s="194">
        <f t="shared" si="35"/>
        <v>3.6684000000000001</v>
      </c>
    </row>
    <row r="379" spans="1:20" x14ac:dyDescent="0.15">
      <c r="A379" s="8" t="s">
        <v>628</v>
      </c>
      <c r="B379" s="8" t="s">
        <v>47</v>
      </c>
      <c r="C379" s="8" t="s">
        <v>380</v>
      </c>
      <c r="D379" s="8" t="s">
        <v>920</v>
      </c>
      <c r="E379" s="9">
        <v>41.28</v>
      </c>
      <c r="F379" s="8" t="s">
        <v>16</v>
      </c>
      <c r="G379" s="143">
        <f t="array" ref="G379">INDEX('[23]SENSUS MEI'!$G$9:$G$453,MATCH(1,('[23]SENSUS MEI'!$D$9:$D$453=$D379)*('[23]SENSUS MEI'!$D$9:$D$453=$D379),0))</f>
        <v>5585</v>
      </c>
      <c r="H379" s="11">
        <f t="array" ref="H379">INDEX('[23]SENSUS MEI'!$J$9:$J$453,MATCH(1,('[23]SENSUS MEI'!$D$9:$D$453=$D379)*('[23]SENSUS MEI'!$D$9:$D$453=$D379),0))</f>
        <v>46150</v>
      </c>
      <c r="I379" s="143">
        <f t="array" ref="I379">INDEX('[23]SENSUS MEI'!$K$9:$K$453,MATCH(1,('[23]SENSUS MEI'!$D$9:$D$453=$D379)*('[23]SENSUS MEI'!$D$9:$D$453=$D379),0))</f>
        <v>583</v>
      </c>
      <c r="J379" s="9">
        <f t="array" ref="J379">IFERROR(I379/G379*100,0)</f>
        <v>10.438675022381378</v>
      </c>
      <c r="K379" s="143">
        <f t="array" ref="K379">INDEX('[23]SENSUS MEI'!$M$9:$M$453,MATCH(1,('[23]SENSUS MEI'!$D$9:$D$453=$D379)*('[23]SENSUS MEI'!$D$9:$D$453=$D379),0))+INDEX('[23]SENSUS MEI'!$O$9:$O$453,MATCH(1,('[23]SENSUS MEI'!$D$9:$D$453=$D379)*('[23]SENSUS MEI'!$D$9:$D$453=$D379),0))</f>
        <v>275</v>
      </c>
      <c r="L379" s="9">
        <f t="shared" si="36"/>
        <v>47.169811320754718</v>
      </c>
      <c r="M379" s="8" t="str">
        <f t="shared" si="31"/>
        <v>Perlu Pengendalian</v>
      </c>
      <c r="P379" s="194">
        <f t="shared" si="32"/>
        <v>25.1325</v>
      </c>
      <c r="Q379" s="194">
        <f t="array" ref="Q379">$P379*0.8</f>
        <v>20.106000000000002</v>
      </c>
      <c r="R379" s="194">
        <f t="shared" si="33"/>
        <v>15.079499999999999</v>
      </c>
      <c r="S379" s="194">
        <f t="shared" si="34"/>
        <v>10.053000000000001</v>
      </c>
      <c r="T379" s="194">
        <f t="shared" si="35"/>
        <v>5.0265000000000004</v>
      </c>
    </row>
    <row r="380" spans="1:20" x14ac:dyDescent="0.15">
      <c r="A380" s="8" t="s">
        <v>628</v>
      </c>
      <c r="B380" s="8" t="s">
        <v>47</v>
      </c>
      <c r="C380" s="8" t="s">
        <v>380</v>
      </c>
      <c r="D380" s="8" t="s">
        <v>324</v>
      </c>
      <c r="E380" s="9">
        <v>41.21</v>
      </c>
      <c r="F380" s="8" t="s">
        <v>16</v>
      </c>
      <c r="G380" s="143">
        <f t="array" ref="G380">INDEX('[23]SENSUS MEI'!$G$9:$G$453,MATCH(1,('[23]SENSUS MEI'!$D$9:$D$453=$D380)*('[23]SENSUS MEI'!$D$9:$D$453=$D380),0))</f>
        <v>5278</v>
      </c>
      <c r="H380" s="11">
        <f t="array" ref="H380">INDEX('[23]SENSUS MEI'!$J$9:$J$453,MATCH(1,('[23]SENSUS MEI'!$D$9:$D$453=$D380)*('[23]SENSUS MEI'!$D$9:$D$453=$D380),0))</f>
        <v>46151</v>
      </c>
      <c r="I380" s="143">
        <f t="array" ref="I380">INDEX('[23]SENSUS MEI'!$K$9:$K$453,MATCH(1,('[23]SENSUS MEI'!$D$9:$D$453=$D380)*('[23]SENSUS MEI'!$D$9:$D$453=$D380),0))</f>
        <v>499</v>
      </c>
      <c r="J380" s="9">
        <f t="array" ref="J380">IFERROR(I380/G380*100,0)</f>
        <v>9.4543387646835928</v>
      </c>
      <c r="K380" s="143">
        <f t="array" ref="K380">INDEX('[23]SENSUS MEI'!$M$9:$M$453,MATCH(1,('[23]SENSUS MEI'!$D$9:$D$453=$D380)*('[23]SENSUS MEI'!$D$9:$D$453=$D380),0))+INDEX('[23]SENSUS MEI'!$O$9:$O$453,MATCH(1,('[23]SENSUS MEI'!$D$9:$D$453=$D380)*('[23]SENSUS MEI'!$D$9:$D$453=$D380),0))</f>
        <v>220</v>
      </c>
      <c r="L380" s="9">
        <f t="shared" si="36"/>
        <v>44.08817635270541</v>
      </c>
      <c r="M380" s="8" t="str">
        <f t="shared" si="31"/>
        <v>Perlu Pengendalian</v>
      </c>
      <c r="P380" s="194">
        <f t="shared" si="32"/>
        <v>23.751000000000001</v>
      </c>
      <c r="Q380" s="194">
        <f t="array" ref="Q380">$P380*0.8</f>
        <v>19.000800000000002</v>
      </c>
      <c r="R380" s="194">
        <f t="shared" si="33"/>
        <v>14.2506</v>
      </c>
      <c r="S380" s="194">
        <f t="shared" si="34"/>
        <v>9.5004000000000008</v>
      </c>
      <c r="T380" s="194">
        <f t="shared" si="35"/>
        <v>4.7502000000000004</v>
      </c>
    </row>
    <row r="381" spans="1:20" x14ac:dyDescent="0.15">
      <c r="A381" s="8" t="s">
        <v>628</v>
      </c>
      <c r="B381" s="8" t="s">
        <v>47</v>
      </c>
      <c r="C381" s="8" t="s">
        <v>380</v>
      </c>
      <c r="D381" s="8" t="s">
        <v>326</v>
      </c>
      <c r="E381" s="9">
        <v>14.33</v>
      </c>
      <c r="F381" s="8" t="s">
        <v>469</v>
      </c>
      <c r="G381" s="143">
        <f t="array" ref="G381">INDEX('[23]SENSUS MEI'!$G$9:$G$453,MATCH(1,('[23]SENSUS MEI'!$D$9:$D$453=$D381)*('[23]SENSUS MEI'!$D$9:$D$453=$D381),0))</f>
        <v>1675</v>
      </c>
      <c r="H381" s="11">
        <f t="array" ref="H381">INDEX('[23]SENSUS MEI'!$J$9:$J$453,MATCH(1,('[23]SENSUS MEI'!$D$9:$D$453=$D381)*('[23]SENSUS MEI'!$D$9:$D$453=$D381),0))</f>
        <v>46151</v>
      </c>
      <c r="I381" s="143">
        <f t="array" ref="I381">INDEX('[23]SENSUS MEI'!$K$9:$K$453,MATCH(1,('[23]SENSUS MEI'!$D$9:$D$453=$D381)*('[23]SENSUS MEI'!$D$9:$D$453=$D381),0))</f>
        <v>177</v>
      </c>
      <c r="J381" s="9">
        <f t="array" ref="J381">IFERROR(I381/G381*100,0)</f>
        <v>10.567164179104479</v>
      </c>
      <c r="K381" s="143">
        <f t="array" ref="K381">INDEX('[23]SENSUS MEI'!$M$9:$M$453,MATCH(1,('[23]SENSUS MEI'!$D$9:$D$453=$D381)*('[23]SENSUS MEI'!$D$9:$D$453=$D381),0))+INDEX('[23]SENSUS MEI'!$O$9:$O$453,MATCH(1,('[23]SENSUS MEI'!$D$9:$D$453=$D381)*('[23]SENSUS MEI'!$D$9:$D$453=$D381),0))</f>
        <v>30</v>
      </c>
      <c r="L381" s="9">
        <f t="shared" si="36"/>
        <v>16.949152542372879</v>
      </c>
      <c r="M381" s="8" t="str">
        <f t="shared" si="31"/>
        <v>Perlu Pengendalian</v>
      </c>
      <c r="P381" s="194">
        <f t="shared" si="32"/>
        <v>7.5374999999999996</v>
      </c>
      <c r="Q381" s="194">
        <f t="array" ref="Q381">$P381*0.8</f>
        <v>6.03</v>
      </c>
      <c r="R381" s="194">
        <f t="shared" si="33"/>
        <v>4.5225</v>
      </c>
      <c r="S381" s="194">
        <f t="shared" si="34"/>
        <v>3.0150000000000001</v>
      </c>
      <c r="T381" s="194">
        <f t="shared" si="35"/>
        <v>1.5075000000000001</v>
      </c>
    </row>
    <row r="382" spans="1:20" x14ac:dyDescent="0.15">
      <c r="A382" s="8" t="s">
        <v>628</v>
      </c>
      <c r="B382" s="8" t="s">
        <v>47</v>
      </c>
      <c r="C382" s="8" t="s">
        <v>380</v>
      </c>
      <c r="D382" s="8" t="s">
        <v>327</v>
      </c>
      <c r="E382" s="9">
        <v>9.51</v>
      </c>
      <c r="F382" s="8" t="s">
        <v>469</v>
      </c>
      <c r="G382" s="143">
        <f t="array" ref="G382">INDEX('[23]SENSUS MEI'!$G$9:$G$453,MATCH(1,('[23]SENSUS MEI'!$D$9:$D$453=$D382)*('[23]SENSUS MEI'!$D$9:$D$453=$D382),0))</f>
        <v>1267</v>
      </c>
      <c r="H382" s="11">
        <f t="array" ref="H382">INDEX('[23]SENSUS MEI'!$J$9:$J$453,MATCH(1,('[23]SENSUS MEI'!$D$9:$D$453=$D382)*('[23]SENSUS MEI'!$D$9:$D$453=$D382),0))</f>
        <v>46151</v>
      </c>
      <c r="I382" s="143">
        <f t="array" ref="I382">INDEX('[23]SENSUS MEI'!$K$9:$K$453,MATCH(1,('[23]SENSUS MEI'!$D$9:$D$453=$D382)*('[23]SENSUS MEI'!$D$9:$D$453=$D382),0))</f>
        <v>70</v>
      </c>
      <c r="J382" s="9">
        <f t="array" ref="J382">IFERROR(I382/G382*100,0)</f>
        <v>5.5248618784530388</v>
      </c>
      <c r="K382" s="143">
        <f t="array" ref="K382">INDEX('[23]SENSUS MEI'!$M$9:$M$453,MATCH(1,('[23]SENSUS MEI'!$D$9:$D$453=$D382)*('[23]SENSUS MEI'!$D$9:$D$453=$D382),0))+INDEX('[23]SENSUS MEI'!$O$9:$O$453,MATCH(1,('[23]SENSUS MEI'!$D$9:$D$453=$D382)*('[23]SENSUS MEI'!$D$9:$D$453=$D382),0))</f>
        <v>8</v>
      </c>
      <c r="L382" s="9">
        <f t="shared" si="36"/>
        <v>11.428571428571429</v>
      </c>
      <c r="M382" s="8" t="str">
        <f t="shared" si="31"/>
        <v>Perlu Pengendalian</v>
      </c>
      <c r="P382" s="194">
        <f t="shared" si="32"/>
        <v>5.7015000000000002</v>
      </c>
      <c r="Q382" s="194">
        <f t="array" ref="Q382">$P382*0.8</f>
        <v>4.5612000000000004</v>
      </c>
      <c r="R382" s="194">
        <f t="shared" si="33"/>
        <v>3.4209000000000001</v>
      </c>
      <c r="S382" s="194">
        <f t="shared" si="34"/>
        <v>2.2806000000000002</v>
      </c>
      <c r="T382" s="194">
        <f t="shared" si="35"/>
        <v>1.1403000000000001</v>
      </c>
    </row>
    <row r="383" spans="1:20" x14ac:dyDescent="0.15">
      <c r="A383" s="8" t="s">
        <v>628</v>
      </c>
      <c r="B383" s="8" t="s">
        <v>47</v>
      </c>
      <c r="C383" s="8" t="s">
        <v>380</v>
      </c>
      <c r="D383" s="8" t="s">
        <v>328</v>
      </c>
      <c r="E383" s="9">
        <v>14.51</v>
      </c>
      <c r="F383" s="8" t="s">
        <v>16</v>
      </c>
      <c r="G383" s="143">
        <f t="array" ref="G383">INDEX('[23]SENSUS MEI'!$G$9:$G$453,MATCH(1,('[23]SENSUS MEI'!$D$9:$D$453=$D383)*('[23]SENSUS MEI'!$D$9:$D$453=$D383),0))</f>
        <v>2008</v>
      </c>
      <c r="H383" s="11">
        <f t="array" ref="H383">INDEX('[23]SENSUS MEI'!$J$9:$J$453,MATCH(1,('[23]SENSUS MEI'!$D$9:$D$453=$D383)*('[23]SENSUS MEI'!$D$9:$D$453=$D383),0))</f>
        <v>46151</v>
      </c>
      <c r="I383" s="143">
        <f t="array" ref="I383">INDEX('[23]SENSUS MEI'!$K$9:$K$453,MATCH(1,('[23]SENSUS MEI'!$D$9:$D$453=$D383)*('[23]SENSUS MEI'!$D$9:$D$453=$D383),0))</f>
        <v>194</v>
      </c>
      <c r="J383" s="9">
        <f t="array" ref="J383">IFERROR(I383/G383*100,0)</f>
        <v>9.6613545816733062</v>
      </c>
      <c r="K383" s="143">
        <f t="array" ref="K383">INDEX('[23]SENSUS MEI'!$M$9:$M$453,MATCH(1,('[23]SENSUS MEI'!$D$9:$D$453=$D383)*('[23]SENSUS MEI'!$D$9:$D$453=$D383),0))+INDEX('[23]SENSUS MEI'!$O$9:$O$453,MATCH(1,('[23]SENSUS MEI'!$D$9:$D$453=$D383)*('[23]SENSUS MEI'!$D$9:$D$453=$D383),0))</f>
        <v>71</v>
      </c>
      <c r="L383" s="9">
        <f t="shared" si="36"/>
        <v>36.597938144329895</v>
      </c>
      <c r="M383" s="8" t="str">
        <f t="shared" si="31"/>
        <v>Perlu Pengendalian</v>
      </c>
      <c r="P383" s="194">
        <f t="shared" si="32"/>
        <v>9.0359999999999996</v>
      </c>
      <c r="Q383" s="194">
        <f t="array" ref="Q383">$P383*0.8</f>
        <v>7.2287999999999997</v>
      </c>
      <c r="R383" s="194">
        <f t="shared" si="33"/>
        <v>5.4215999999999998</v>
      </c>
      <c r="S383" s="194">
        <f t="shared" si="34"/>
        <v>3.6143999999999998</v>
      </c>
      <c r="T383" s="194">
        <f t="shared" si="35"/>
        <v>1.8071999999999999</v>
      </c>
    </row>
    <row r="384" spans="1:20" x14ac:dyDescent="0.15">
      <c r="A384" s="8" t="s">
        <v>628</v>
      </c>
      <c r="B384" s="8" t="s">
        <v>47</v>
      </c>
      <c r="C384" s="8" t="s">
        <v>380</v>
      </c>
      <c r="D384" s="8" t="s">
        <v>329</v>
      </c>
      <c r="E384" s="9">
        <v>13.94</v>
      </c>
      <c r="F384" s="8" t="s">
        <v>16</v>
      </c>
      <c r="G384" s="143">
        <f t="array" ref="G384">INDEX('[23]SENSUS MEI'!$G$9:$G$453,MATCH(1,('[23]SENSUS MEI'!$D$9:$D$453=$D384)*('[23]SENSUS MEI'!$D$9:$D$453=$D384),0))</f>
        <v>1885</v>
      </c>
      <c r="H384" s="11">
        <f t="array" ref="H384">INDEX('[23]SENSUS MEI'!$J$9:$J$453,MATCH(1,('[23]SENSUS MEI'!$D$9:$D$453=$D384)*('[23]SENSUS MEI'!$D$9:$D$453=$D384),0))</f>
        <v>46151</v>
      </c>
      <c r="I384" s="143">
        <f t="array" ref="I384">INDEX('[23]SENSUS MEI'!$K$9:$K$453,MATCH(1,('[23]SENSUS MEI'!$D$9:$D$453=$D384)*('[23]SENSUS MEI'!$D$9:$D$453=$D384),0))</f>
        <v>183</v>
      </c>
      <c r="J384" s="9">
        <f t="array" ref="J384">IFERROR(I384/G384*100,0)</f>
        <v>9.7082228116710869</v>
      </c>
      <c r="K384" s="143">
        <f t="array" ref="K384">INDEX('[23]SENSUS MEI'!$M$9:$M$453,MATCH(1,('[23]SENSUS MEI'!$D$9:$D$453=$D384)*('[23]SENSUS MEI'!$D$9:$D$453=$D384),0))+INDEX('[23]SENSUS MEI'!$O$9:$O$453,MATCH(1,('[23]SENSUS MEI'!$D$9:$D$453=$D384)*('[23]SENSUS MEI'!$D$9:$D$453=$D384),0))</f>
        <v>59</v>
      </c>
      <c r="L384" s="9">
        <f t="shared" si="36"/>
        <v>32.240437158469945</v>
      </c>
      <c r="M384" s="8" t="str">
        <f t="shared" si="31"/>
        <v>Perlu Pengendalian</v>
      </c>
      <c r="P384" s="194">
        <f t="shared" si="32"/>
        <v>8.4824999999999999</v>
      </c>
      <c r="Q384" s="194">
        <f t="array" ref="Q384">$P384*0.8</f>
        <v>6.7860000000000005</v>
      </c>
      <c r="R384" s="194">
        <f t="shared" si="33"/>
        <v>5.0895000000000001</v>
      </c>
      <c r="S384" s="194">
        <f t="shared" si="34"/>
        <v>3.3930000000000002</v>
      </c>
      <c r="T384" s="194">
        <f t="shared" si="35"/>
        <v>1.6965000000000001</v>
      </c>
    </row>
    <row r="385" spans="1:20" x14ac:dyDescent="0.15">
      <c r="A385" s="8" t="s">
        <v>628</v>
      </c>
      <c r="B385" s="8" t="s">
        <v>47</v>
      </c>
      <c r="C385" s="8" t="s">
        <v>380</v>
      </c>
      <c r="D385" s="8" t="s">
        <v>330</v>
      </c>
      <c r="E385" s="9">
        <v>13.22</v>
      </c>
      <c r="F385" s="8" t="s">
        <v>469</v>
      </c>
      <c r="G385" s="143">
        <f t="array" ref="G385">INDEX('[23]SENSUS MEI'!$G$9:$G$453,MATCH(1,('[23]SENSUS MEI'!$D$9:$D$453=$D385)*('[23]SENSUS MEI'!$D$9:$D$453=$D385),0))</f>
        <v>1713</v>
      </c>
      <c r="H385" s="11">
        <f t="array" ref="H385">INDEX('[23]SENSUS MEI'!$J$9:$J$453,MATCH(1,('[23]SENSUS MEI'!$D$9:$D$453=$D385)*('[23]SENSUS MEI'!$D$9:$D$453=$D385),0))</f>
        <v>46151</v>
      </c>
      <c r="I385" s="143">
        <f t="array" ref="I385">INDEX('[23]SENSUS MEI'!$K$9:$K$453,MATCH(1,('[23]SENSUS MEI'!$D$9:$D$453=$D385)*('[23]SENSUS MEI'!$D$9:$D$453=$D385),0))</f>
        <v>191</v>
      </c>
      <c r="J385" s="9">
        <f t="array" ref="J385">IFERROR(I385/G385*100,0)</f>
        <v>11.150029188558085</v>
      </c>
      <c r="K385" s="143">
        <f t="array" ref="K385">INDEX('[23]SENSUS MEI'!$M$9:$M$453,MATCH(1,('[23]SENSUS MEI'!$D$9:$D$453=$D385)*('[23]SENSUS MEI'!$D$9:$D$453=$D385),0))+INDEX('[23]SENSUS MEI'!$O$9:$O$453,MATCH(1,('[23]SENSUS MEI'!$D$9:$D$453=$D385)*('[23]SENSUS MEI'!$D$9:$D$453=$D385),0))</f>
        <v>34</v>
      </c>
      <c r="L385" s="9">
        <f t="shared" si="36"/>
        <v>17.801047120418847</v>
      </c>
      <c r="M385" s="8" t="str">
        <f t="shared" si="31"/>
        <v>Perlu Pengendalian</v>
      </c>
      <c r="P385" s="194">
        <f t="shared" si="32"/>
        <v>7.7084999999999999</v>
      </c>
      <c r="Q385" s="194">
        <f t="array" ref="Q385">$P385*0.8</f>
        <v>6.1668000000000003</v>
      </c>
      <c r="R385" s="194">
        <f t="shared" si="33"/>
        <v>4.6250999999999998</v>
      </c>
      <c r="S385" s="194">
        <f t="shared" si="34"/>
        <v>3.0834000000000001</v>
      </c>
      <c r="T385" s="194">
        <f t="shared" si="35"/>
        <v>1.5417000000000001</v>
      </c>
    </row>
    <row r="386" spans="1:20" x14ac:dyDescent="0.15">
      <c r="A386" s="8" t="s">
        <v>628</v>
      </c>
      <c r="B386" s="8" t="s">
        <v>47</v>
      </c>
      <c r="C386" s="8" t="s">
        <v>380</v>
      </c>
      <c r="D386" s="8" t="s">
        <v>331</v>
      </c>
      <c r="E386" s="9">
        <v>9.86</v>
      </c>
      <c r="F386" s="8" t="s">
        <v>469</v>
      </c>
      <c r="G386" s="143">
        <f t="array" ref="G386">INDEX('[23]SENSUS MEI'!$G$9:$G$453,MATCH(1,('[23]SENSUS MEI'!$D$9:$D$453=$D386)*('[23]SENSUS MEI'!$D$9:$D$453=$D386),0))</f>
        <v>1413</v>
      </c>
      <c r="H386" s="11">
        <f t="array" ref="H386">INDEX('[23]SENSUS MEI'!$J$9:$J$453,MATCH(1,('[23]SENSUS MEI'!$D$9:$D$453=$D386)*('[23]SENSUS MEI'!$D$9:$D$453=$D386),0))</f>
        <v>46151</v>
      </c>
      <c r="I386" s="143">
        <f t="array" ref="I386">INDEX('[23]SENSUS MEI'!$K$9:$K$453,MATCH(1,('[23]SENSUS MEI'!$D$9:$D$453=$D386)*('[23]SENSUS MEI'!$D$9:$D$453=$D386),0))</f>
        <v>144</v>
      </c>
      <c r="J386" s="9">
        <f t="array" ref="J386">IFERROR(I386/G386*100,0)</f>
        <v>10.191082802547772</v>
      </c>
      <c r="K386" s="143">
        <f t="array" ref="K386">INDEX('[23]SENSUS MEI'!$M$9:$M$453,MATCH(1,('[23]SENSUS MEI'!$D$9:$D$453=$D386)*('[23]SENSUS MEI'!$D$9:$D$453=$D386),0))+INDEX('[23]SENSUS MEI'!$O$9:$O$453,MATCH(1,('[23]SENSUS MEI'!$D$9:$D$453=$D386)*('[23]SENSUS MEI'!$D$9:$D$453=$D386),0))</f>
        <v>31</v>
      </c>
      <c r="L386" s="9">
        <f t="shared" si="36"/>
        <v>21.527777777777779</v>
      </c>
      <c r="M386" s="8" t="str">
        <f t="shared" si="31"/>
        <v>Perlu Pengendalian</v>
      </c>
      <c r="P386" s="194">
        <f t="shared" si="32"/>
        <v>6.3585000000000003</v>
      </c>
      <c r="Q386" s="194">
        <f t="array" ref="Q386">$P386*0.8</f>
        <v>5.0868000000000002</v>
      </c>
      <c r="R386" s="194">
        <f t="shared" si="33"/>
        <v>3.8151000000000002</v>
      </c>
      <c r="S386" s="194">
        <f t="shared" si="34"/>
        <v>2.5434000000000001</v>
      </c>
      <c r="T386" s="194">
        <f t="shared" si="35"/>
        <v>1.2717000000000001</v>
      </c>
    </row>
    <row r="387" spans="1:20" x14ac:dyDescent="0.15">
      <c r="A387" s="8" t="s">
        <v>628</v>
      </c>
      <c r="B387" s="8" t="s">
        <v>47</v>
      </c>
      <c r="C387" s="8" t="s">
        <v>380</v>
      </c>
      <c r="D387" s="8" t="s">
        <v>332</v>
      </c>
      <c r="E387" s="9">
        <v>14.02</v>
      </c>
      <c r="F387" s="8" t="s">
        <v>469</v>
      </c>
      <c r="G387" s="143">
        <f t="array" ref="G387">INDEX('[23]SENSUS MEI'!$G$9:$G$453,MATCH(1,('[23]SENSUS MEI'!$D$9:$D$453=$D387)*('[23]SENSUS MEI'!$D$9:$D$453=$D387),0))</f>
        <v>1875</v>
      </c>
      <c r="H387" s="11">
        <f t="array" ref="H387">INDEX('[23]SENSUS MEI'!$J$9:$J$453,MATCH(1,('[23]SENSUS MEI'!$D$9:$D$453=$D387)*('[23]SENSUS MEI'!$D$9:$D$453=$D387),0))</f>
        <v>46151</v>
      </c>
      <c r="I387" s="143">
        <f t="array" ref="I387">INDEX('[23]SENSUS MEI'!$K$9:$K$453,MATCH(1,('[23]SENSUS MEI'!$D$9:$D$453=$D387)*('[23]SENSUS MEI'!$D$9:$D$453=$D387),0))</f>
        <v>197</v>
      </c>
      <c r="J387" s="9">
        <f t="array" ref="J387">IFERROR(I387/G387*100,0)</f>
        <v>10.506666666666668</v>
      </c>
      <c r="K387" s="143">
        <f t="array" ref="K387">INDEX('[23]SENSUS MEI'!$M$9:$M$453,MATCH(1,('[23]SENSUS MEI'!$D$9:$D$453=$D387)*('[23]SENSUS MEI'!$D$9:$D$453=$D387),0))+INDEX('[23]SENSUS MEI'!$O$9:$O$453,MATCH(1,('[23]SENSUS MEI'!$D$9:$D$453=$D387)*('[23]SENSUS MEI'!$D$9:$D$453=$D387),0))</f>
        <v>53</v>
      </c>
      <c r="L387" s="9">
        <f t="shared" si="36"/>
        <v>26.903553299492383</v>
      </c>
      <c r="M387" s="8" t="str">
        <f t="shared" si="31"/>
        <v>Perlu Pengendalian</v>
      </c>
      <c r="P387" s="194">
        <f t="shared" si="32"/>
        <v>8.4375</v>
      </c>
      <c r="Q387" s="194">
        <f t="array" ref="Q387">$P387*0.8</f>
        <v>6.75</v>
      </c>
      <c r="R387" s="194">
        <f t="shared" si="33"/>
        <v>5.0625</v>
      </c>
      <c r="S387" s="194">
        <f t="shared" si="34"/>
        <v>3.375</v>
      </c>
      <c r="T387" s="194">
        <f t="shared" si="35"/>
        <v>1.6875</v>
      </c>
    </row>
    <row r="388" spans="1:20" x14ac:dyDescent="0.15">
      <c r="A388" s="8" t="s">
        <v>628</v>
      </c>
      <c r="B388" s="8" t="s">
        <v>47</v>
      </c>
      <c r="C388" s="8" t="s">
        <v>380</v>
      </c>
      <c r="D388" s="8" t="s">
        <v>333</v>
      </c>
      <c r="E388" s="9">
        <v>13.35</v>
      </c>
      <c r="F388" s="8" t="s">
        <v>16</v>
      </c>
      <c r="G388" s="143">
        <f t="array" ref="G388">INDEX('[23]SENSUS MEI'!$G$9:$G$453,MATCH(1,('[23]SENSUS MEI'!$D$9:$D$453=$D388)*('[23]SENSUS MEI'!$D$9:$D$453=$D388),0))</f>
        <v>1638</v>
      </c>
      <c r="H388" s="11">
        <f t="array" ref="H388">INDEX('[23]SENSUS MEI'!$J$9:$J$453,MATCH(1,('[23]SENSUS MEI'!$D$9:$D$453=$D388)*('[23]SENSUS MEI'!$D$9:$D$453=$D388),0))</f>
        <v>46151</v>
      </c>
      <c r="I388" s="143">
        <f t="array" ref="I388">INDEX('[23]SENSUS MEI'!$K$9:$K$453,MATCH(1,('[23]SENSUS MEI'!$D$9:$D$453=$D388)*('[23]SENSUS MEI'!$D$9:$D$453=$D388),0))</f>
        <v>113</v>
      </c>
      <c r="J388" s="9">
        <f t="array" ref="J388">IFERROR(I388/G388*100,0)</f>
        <v>6.898656898656899</v>
      </c>
      <c r="K388" s="143">
        <f t="array" ref="K388">INDEX('[23]SENSUS MEI'!$M$9:$M$453,MATCH(1,('[23]SENSUS MEI'!$D$9:$D$453=$D388)*('[23]SENSUS MEI'!$D$9:$D$453=$D388),0))+INDEX('[23]SENSUS MEI'!$O$9:$O$453,MATCH(1,('[23]SENSUS MEI'!$D$9:$D$453=$D388)*('[23]SENSUS MEI'!$D$9:$D$453=$D388),0))</f>
        <v>29</v>
      </c>
      <c r="L388" s="9">
        <f t="shared" si="36"/>
        <v>25.663716814159294</v>
      </c>
      <c r="M388" s="8" t="str">
        <f t="shared" si="31"/>
        <v>Perlu Pengendalian</v>
      </c>
      <c r="P388" s="194">
        <f t="shared" si="32"/>
        <v>7.3710000000000004</v>
      </c>
      <c r="Q388" s="194">
        <f t="array" ref="Q388">$P388*0.8</f>
        <v>5.8968000000000007</v>
      </c>
      <c r="R388" s="194">
        <f t="shared" si="33"/>
        <v>4.4226000000000001</v>
      </c>
      <c r="S388" s="194">
        <f t="shared" si="34"/>
        <v>2.9484000000000004</v>
      </c>
      <c r="T388" s="194">
        <f t="shared" si="35"/>
        <v>1.4742000000000002</v>
      </c>
    </row>
    <row r="389" spans="1:20" x14ac:dyDescent="0.15">
      <c r="A389" s="8" t="s">
        <v>628</v>
      </c>
      <c r="B389" s="8" t="s">
        <v>47</v>
      </c>
      <c r="C389" s="8" t="s">
        <v>380</v>
      </c>
      <c r="D389" s="8" t="s">
        <v>334</v>
      </c>
      <c r="E389" s="9">
        <v>20.72</v>
      </c>
      <c r="F389" s="8" t="s">
        <v>469</v>
      </c>
      <c r="G389" s="143">
        <f t="array" ref="G389">INDEX('[23]SENSUS MEI'!$G$9:$G$453,MATCH(1,('[23]SENSUS MEI'!$D$9:$D$453=$D389)*('[23]SENSUS MEI'!$D$9:$D$453=$D389),0))</f>
        <v>2586</v>
      </c>
      <c r="H389" s="11">
        <f t="array" ref="H389">INDEX('[23]SENSUS MEI'!$J$9:$J$453,MATCH(1,('[23]SENSUS MEI'!$D$9:$D$453=$D389)*('[23]SENSUS MEI'!$D$9:$D$453=$D389),0))</f>
        <v>46153</v>
      </c>
      <c r="I389" s="143">
        <f t="array" ref="I389">INDEX('[23]SENSUS MEI'!$K$9:$K$453,MATCH(1,('[23]SENSUS MEI'!$D$9:$D$453=$D389)*('[23]SENSUS MEI'!$D$9:$D$453=$D389),0))</f>
        <v>155</v>
      </c>
      <c r="J389" s="9">
        <f t="array" ref="J389">IFERROR(I389/G389*100,0)</f>
        <v>5.9938128383604026</v>
      </c>
      <c r="K389" s="143">
        <f t="array" ref="K389">INDEX('[23]SENSUS MEI'!$M$9:$M$453,MATCH(1,('[23]SENSUS MEI'!$D$9:$D$453=$D389)*('[23]SENSUS MEI'!$D$9:$D$453=$D389),0))+INDEX('[23]SENSUS MEI'!$O$9:$O$453,MATCH(1,('[23]SENSUS MEI'!$D$9:$D$453=$D389)*('[23]SENSUS MEI'!$D$9:$D$453=$D389),0))</f>
        <v>49</v>
      </c>
      <c r="L389" s="9">
        <f t="shared" si="36"/>
        <v>31.612903225806448</v>
      </c>
      <c r="M389" s="8" t="str">
        <f t="shared" si="31"/>
        <v>Perlu Pengendalian</v>
      </c>
      <c r="P389" s="194">
        <f t="shared" si="32"/>
        <v>11.637</v>
      </c>
      <c r="Q389" s="194">
        <f t="array" ref="Q389">$P389*0.8</f>
        <v>9.3096000000000014</v>
      </c>
      <c r="R389" s="194">
        <f t="shared" si="33"/>
        <v>6.9821999999999997</v>
      </c>
      <c r="S389" s="194">
        <f t="shared" si="34"/>
        <v>4.6548000000000007</v>
      </c>
      <c r="T389" s="194">
        <f t="shared" si="35"/>
        <v>2.3274000000000004</v>
      </c>
    </row>
    <row r="390" spans="1:20" x14ac:dyDescent="0.15">
      <c r="A390" s="8" t="s">
        <v>628</v>
      </c>
      <c r="B390" s="8" t="s">
        <v>47</v>
      </c>
      <c r="C390" s="8" t="s">
        <v>380</v>
      </c>
      <c r="D390" s="8" t="s">
        <v>921</v>
      </c>
      <c r="E390" s="9">
        <v>4.97</v>
      </c>
      <c r="F390" s="8" t="s">
        <v>469</v>
      </c>
      <c r="G390" s="143">
        <f t="array" ref="G390">INDEX('[23]SENSUS MEI'!$G$9:$G$453,MATCH(1,('[23]SENSUS MEI'!$D$9:$D$453=$D390)*('[23]SENSUS MEI'!$D$9:$D$453=$D390),0))</f>
        <v>292</v>
      </c>
      <c r="H390" s="11">
        <f t="array" ref="H390">INDEX('[23]SENSUS MEI'!$J$9:$J$453,MATCH(1,('[23]SENSUS MEI'!$D$9:$D$453=$D390)*('[23]SENSUS MEI'!$D$9:$D$453=$D390),0))</f>
        <v>46151</v>
      </c>
      <c r="I390" s="143">
        <f t="array" ref="I390">INDEX('[23]SENSUS MEI'!$K$9:$K$453,MATCH(1,('[23]SENSUS MEI'!$D$9:$D$453=$D390)*('[23]SENSUS MEI'!$D$9:$D$453=$D390),0))</f>
        <v>6</v>
      </c>
      <c r="J390" s="9">
        <f t="array" ref="J390">IFERROR(I390/G390*100,0)</f>
        <v>2.054794520547945</v>
      </c>
      <c r="K390" s="143">
        <f t="array" ref="K390">INDEX('[23]SENSUS MEI'!$M$9:$M$453,MATCH(1,('[23]SENSUS MEI'!$D$9:$D$453=$D390)*('[23]SENSUS MEI'!$D$9:$D$453=$D390),0))+INDEX('[23]SENSUS MEI'!$O$9:$O$453,MATCH(1,('[23]SENSUS MEI'!$D$9:$D$453=$D390)*('[23]SENSUS MEI'!$D$9:$D$453=$D390),0))</f>
        <v>3</v>
      </c>
      <c r="L390" s="9">
        <f t="shared" si="36"/>
        <v>50</v>
      </c>
      <c r="M390" s="8" t="str">
        <f t="shared" si="31"/>
        <v>Perlu Pengendalian</v>
      </c>
      <c r="P390" s="194">
        <f t="shared" si="32"/>
        <v>1.3140000000000001</v>
      </c>
      <c r="Q390" s="194">
        <f t="array" ref="Q390">$P390*0.8</f>
        <v>1.0512000000000001</v>
      </c>
      <c r="R390" s="194">
        <f t="shared" si="33"/>
        <v>0.78839999999999999</v>
      </c>
      <c r="S390" s="194">
        <f t="shared" si="34"/>
        <v>0.52560000000000007</v>
      </c>
      <c r="T390" s="194">
        <f t="shared" si="35"/>
        <v>0.26280000000000003</v>
      </c>
    </row>
    <row r="391" spans="1:20" x14ac:dyDescent="0.15">
      <c r="A391" s="8" t="s">
        <v>628</v>
      </c>
      <c r="B391" s="8" t="s">
        <v>47</v>
      </c>
      <c r="C391" s="8" t="s">
        <v>380</v>
      </c>
      <c r="D391" s="8" t="s">
        <v>922</v>
      </c>
      <c r="E391" s="9">
        <v>7.01</v>
      </c>
      <c r="F391" s="8" t="s">
        <v>469</v>
      </c>
      <c r="G391" s="143">
        <f t="array" ref="G391">INDEX('[23]SENSUS MEI'!$G$9:$G$453,MATCH(1,('[23]SENSUS MEI'!$D$9:$D$453=$D391)*('[23]SENSUS MEI'!$D$9:$D$453=$D391),0))</f>
        <v>793</v>
      </c>
      <c r="H391" s="11">
        <f t="array" ref="H391">INDEX('[23]SENSUS MEI'!$J$9:$J$453,MATCH(1,('[23]SENSUS MEI'!$D$9:$D$453=$D391)*('[23]SENSUS MEI'!$D$9:$D$453=$D391),0))</f>
        <v>46151</v>
      </c>
      <c r="I391" s="143">
        <f t="array" ref="I391">INDEX('[23]SENSUS MEI'!$K$9:$K$453,MATCH(1,('[23]SENSUS MEI'!$D$9:$D$453=$D391)*('[23]SENSUS MEI'!$D$9:$D$453=$D391),0))</f>
        <v>106</v>
      </c>
      <c r="J391" s="9">
        <f t="array" ref="J391">IFERROR(I391/G391*100,0)</f>
        <v>13.366960907944513</v>
      </c>
      <c r="K391" s="143">
        <f t="array" ref="K391">INDEX('[23]SENSUS MEI'!$M$9:$M$453,MATCH(1,('[23]SENSUS MEI'!$D$9:$D$453=$D391)*('[23]SENSUS MEI'!$D$9:$D$453=$D391),0))+INDEX('[23]SENSUS MEI'!$O$9:$O$453,MATCH(1,('[23]SENSUS MEI'!$D$9:$D$453=$D391)*('[23]SENSUS MEI'!$D$9:$D$453=$D391),0))</f>
        <v>4</v>
      </c>
      <c r="L391" s="9">
        <f t="shared" si="36"/>
        <v>3.7735849056603774</v>
      </c>
      <c r="M391" s="8" t="str">
        <f t="shared" ref="M391:M435" si="37">IF(L391&gt;2,"Perlu Pengendalian",IF(L391&gt;0,"Tidak Perlu Pengendalian","Belum Sensus"))</f>
        <v>Perlu Pengendalian</v>
      </c>
      <c r="P391" s="194">
        <f t="shared" ref="P391:P435" si="38">G391*4.5/1000</f>
        <v>3.5684999999999998</v>
      </c>
      <c r="Q391" s="194">
        <f t="array" ref="Q391">$P391*0.8</f>
        <v>2.8548</v>
      </c>
      <c r="R391" s="194">
        <f t="shared" ref="R391:R435" si="39">$P391*0.6</f>
        <v>2.1410999999999998</v>
      </c>
      <c r="S391" s="194">
        <f t="shared" ref="S391:S435" si="40">$P391*0.4</f>
        <v>1.4274</v>
      </c>
      <c r="T391" s="194">
        <f t="shared" ref="T391:T435" si="41">$P391*0.2</f>
        <v>0.7137</v>
      </c>
    </row>
    <row r="392" spans="1:20" x14ac:dyDescent="0.15">
      <c r="A392" s="8" t="s">
        <v>628</v>
      </c>
      <c r="B392" s="8" t="s">
        <v>47</v>
      </c>
      <c r="C392" s="8" t="s">
        <v>380</v>
      </c>
      <c r="D392" s="8" t="s">
        <v>923</v>
      </c>
      <c r="E392" s="9">
        <v>1.59</v>
      </c>
      <c r="F392" s="8" t="s">
        <v>469</v>
      </c>
      <c r="G392" s="143">
        <f t="array" ref="G392">INDEX('[23]SENSUS MEI'!$G$9:$G$453,MATCH(1,('[23]SENSUS MEI'!$D$9:$D$453=$D392)*('[23]SENSUS MEI'!$D$9:$D$453=$D392),0))</f>
        <v>212</v>
      </c>
      <c r="H392" s="11">
        <f t="array" ref="H392">INDEX('[23]SENSUS MEI'!$J$9:$J$453,MATCH(1,('[23]SENSUS MEI'!$D$9:$D$453=$D392)*('[23]SENSUS MEI'!$D$9:$D$453=$D392),0))</f>
        <v>46151</v>
      </c>
      <c r="I392" s="143">
        <f t="array" ref="I392">INDEX('[23]SENSUS MEI'!$K$9:$K$453,MATCH(1,('[23]SENSUS MEI'!$D$9:$D$453=$D392)*('[23]SENSUS MEI'!$D$9:$D$453=$D392),0))</f>
        <v>25</v>
      </c>
      <c r="J392" s="9">
        <f t="array" ref="J392">IFERROR(I392/G392*100,0)</f>
        <v>11.79245283018868</v>
      </c>
      <c r="K392" s="143">
        <f t="array" ref="K392">INDEX('[23]SENSUS MEI'!$M$9:$M$453,MATCH(1,('[23]SENSUS MEI'!$D$9:$D$453=$D392)*('[23]SENSUS MEI'!$D$9:$D$453=$D392),0))+INDEX('[23]SENSUS MEI'!$O$9:$O$453,MATCH(1,('[23]SENSUS MEI'!$D$9:$D$453=$D392)*('[23]SENSUS MEI'!$D$9:$D$453=$D392),0))</f>
        <v>1</v>
      </c>
      <c r="L392" s="9">
        <f t="shared" si="36"/>
        <v>4</v>
      </c>
      <c r="M392" s="8" t="str">
        <f t="shared" si="37"/>
        <v>Perlu Pengendalian</v>
      </c>
      <c r="P392" s="194">
        <f t="shared" si="38"/>
        <v>0.95399999999999996</v>
      </c>
      <c r="Q392" s="194">
        <f t="array" ref="Q392">$P392*0.8</f>
        <v>0.76319999999999999</v>
      </c>
      <c r="R392" s="194">
        <f t="shared" si="39"/>
        <v>0.57239999999999991</v>
      </c>
      <c r="S392" s="194">
        <f t="shared" si="40"/>
        <v>0.38159999999999999</v>
      </c>
      <c r="T392" s="194">
        <f t="shared" si="41"/>
        <v>0.1908</v>
      </c>
    </row>
    <row r="393" spans="1:20" x14ac:dyDescent="0.15">
      <c r="A393" s="8" t="s">
        <v>628</v>
      </c>
      <c r="B393" s="8" t="s">
        <v>47</v>
      </c>
      <c r="C393" s="8" t="s">
        <v>380</v>
      </c>
      <c r="D393" s="8" t="s">
        <v>924</v>
      </c>
      <c r="E393" s="9">
        <v>4</v>
      </c>
      <c r="F393" s="8" t="s">
        <v>469</v>
      </c>
      <c r="G393" s="143">
        <f t="array" ref="G393">INDEX('[23]SENSUS MEI'!$G$9:$G$453,MATCH(1,('[23]SENSUS MEI'!$D$9:$D$453=$D393)*('[23]SENSUS MEI'!$D$9:$D$453=$D393),0))</f>
        <v>340</v>
      </c>
      <c r="H393" s="11">
        <f t="array" ref="H393">INDEX('[23]SENSUS MEI'!$J$9:$J$453,MATCH(1,('[23]SENSUS MEI'!$D$9:$D$453=$D393)*('[23]SENSUS MEI'!$D$9:$D$453=$D393),0))</f>
        <v>46153</v>
      </c>
      <c r="I393" s="143">
        <f t="array" ref="I393">INDEX('[23]SENSUS MEI'!$K$9:$K$453,MATCH(1,('[23]SENSUS MEI'!$D$9:$D$453=$D393)*('[23]SENSUS MEI'!$D$9:$D$453=$D393),0))</f>
        <v>37</v>
      </c>
      <c r="J393" s="9">
        <f t="array" ref="J393">IFERROR(I393/G393*100,0)</f>
        <v>10.882352941176471</v>
      </c>
      <c r="K393" s="143">
        <f t="array" ref="K393">INDEX('[23]SENSUS MEI'!$M$9:$M$453,MATCH(1,('[23]SENSUS MEI'!$D$9:$D$453=$D393)*('[23]SENSUS MEI'!$D$9:$D$453=$D393),0))+INDEX('[23]SENSUS MEI'!$O$9:$O$453,MATCH(1,('[23]SENSUS MEI'!$D$9:$D$453=$D393)*('[23]SENSUS MEI'!$D$9:$D$453=$D393),0))</f>
        <v>2</v>
      </c>
      <c r="L393" s="9">
        <f t="shared" si="36"/>
        <v>5.4054054054054053</v>
      </c>
      <c r="M393" s="8" t="str">
        <f t="shared" si="37"/>
        <v>Perlu Pengendalian</v>
      </c>
      <c r="P393" s="194">
        <f t="shared" si="38"/>
        <v>1.53</v>
      </c>
      <c r="Q393" s="194">
        <f t="array" ref="Q393">$P393*0.8</f>
        <v>1.2240000000000002</v>
      </c>
      <c r="R393" s="194">
        <f t="shared" si="39"/>
        <v>0.91799999999999993</v>
      </c>
      <c r="S393" s="194">
        <f t="shared" si="40"/>
        <v>0.6120000000000001</v>
      </c>
      <c r="T393" s="194">
        <f t="shared" si="41"/>
        <v>0.30600000000000005</v>
      </c>
    </row>
    <row r="394" spans="1:20" x14ac:dyDescent="0.15">
      <c r="A394" s="8" t="s">
        <v>628</v>
      </c>
      <c r="B394" s="8" t="s">
        <v>47</v>
      </c>
      <c r="C394" s="8" t="s">
        <v>380</v>
      </c>
      <c r="D394" s="8" t="s">
        <v>337</v>
      </c>
      <c r="E394" s="9">
        <v>5.73</v>
      </c>
      <c r="F394" s="8" t="s">
        <v>469</v>
      </c>
      <c r="G394" s="143">
        <f t="array" ref="G394">INDEX('[23]SENSUS MEI'!$G$9:$G$453,MATCH(1,('[23]SENSUS MEI'!$D$9:$D$453=$D394)*('[23]SENSUS MEI'!$D$9:$D$453=$D394),0))</f>
        <v>800</v>
      </c>
      <c r="H394" s="11">
        <f t="array" ref="H394">INDEX('[23]SENSUS MEI'!$J$9:$J$453,MATCH(1,('[23]SENSUS MEI'!$D$9:$D$453=$D394)*('[23]SENSUS MEI'!$D$9:$D$453=$D394),0))</f>
        <v>46153</v>
      </c>
      <c r="I394" s="143">
        <f t="array" ref="I394">INDEX('[23]SENSUS MEI'!$K$9:$K$453,MATCH(1,('[23]SENSUS MEI'!$D$9:$D$453=$D394)*('[23]SENSUS MEI'!$D$9:$D$453=$D394),0))</f>
        <v>77</v>
      </c>
      <c r="J394" s="9">
        <f t="array" ref="J394">IFERROR(I394/G394*100,0)</f>
        <v>9.625</v>
      </c>
      <c r="K394" s="143">
        <f t="array" ref="K394">INDEX('[23]SENSUS MEI'!$M$9:$M$453,MATCH(1,('[23]SENSUS MEI'!$D$9:$D$453=$D394)*('[23]SENSUS MEI'!$D$9:$D$453=$D394),0))+INDEX('[23]SENSUS MEI'!$O$9:$O$453,MATCH(1,('[23]SENSUS MEI'!$D$9:$D$453=$D394)*('[23]SENSUS MEI'!$D$9:$D$453=$D394),0))</f>
        <v>10</v>
      </c>
      <c r="L394" s="9">
        <f t="shared" si="36"/>
        <v>12.987012987012985</v>
      </c>
      <c r="M394" s="8" t="str">
        <f t="shared" si="37"/>
        <v>Perlu Pengendalian</v>
      </c>
      <c r="P394" s="194">
        <f t="shared" si="38"/>
        <v>3.6</v>
      </c>
      <c r="Q394" s="194">
        <f t="array" ref="Q394">$P394*0.8</f>
        <v>2.8800000000000003</v>
      </c>
      <c r="R394" s="194">
        <f t="shared" si="39"/>
        <v>2.16</v>
      </c>
      <c r="S394" s="194">
        <f t="shared" si="40"/>
        <v>1.4400000000000002</v>
      </c>
      <c r="T394" s="194">
        <f t="shared" si="41"/>
        <v>0.72000000000000008</v>
      </c>
    </row>
    <row r="395" spans="1:20" x14ac:dyDescent="0.15">
      <c r="A395" s="8" t="s">
        <v>628</v>
      </c>
      <c r="B395" s="8" t="s">
        <v>47</v>
      </c>
      <c r="C395" s="8" t="s">
        <v>380</v>
      </c>
      <c r="D395" s="8" t="s">
        <v>338</v>
      </c>
      <c r="E395" s="9">
        <v>2.64</v>
      </c>
      <c r="F395" s="8" t="s">
        <v>469</v>
      </c>
      <c r="G395" s="143">
        <f t="array" ref="G395">INDEX('[23]SENSUS MEI'!$G$9:$G$453,MATCH(1,('[23]SENSUS MEI'!$D$9:$D$453=$D395)*('[23]SENSUS MEI'!$D$9:$D$453=$D395),0))</f>
        <v>367</v>
      </c>
      <c r="H395" s="11">
        <f t="array" ref="H395">INDEX('[23]SENSUS MEI'!$J$9:$J$453,MATCH(1,('[23]SENSUS MEI'!$D$9:$D$453=$D395)*('[23]SENSUS MEI'!$D$9:$D$453=$D395),0))</f>
        <v>46153</v>
      </c>
      <c r="I395" s="143">
        <f t="array" ref="I395">INDEX('[23]SENSUS MEI'!$K$9:$K$453,MATCH(1,('[23]SENSUS MEI'!$D$9:$D$453=$D395)*('[23]SENSUS MEI'!$D$9:$D$453=$D395),0))</f>
        <v>30</v>
      </c>
      <c r="J395" s="9">
        <f t="array" ref="J395">IFERROR(I395/G395*100,0)</f>
        <v>8.1743869209809272</v>
      </c>
      <c r="K395" s="143">
        <f t="array" ref="K395">INDEX('[23]SENSUS MEI'!$M$9:$M$453,MATCH(1,('[23]SENSUS MEI'!$D$9:$D$453=$D395)*('[23]SENSUS MEI'!$D$9:$D$453=$D395),0))+INDEX('[23]SENSUS MEI'!$O$9:$O$453,MATCH(1,('[23]SENSUS MEI'!$D$9:$D$453=$D395)*('[23]SENSUS MEI'!$D$9:$D$453=$D395),0))</f>
        <v>3</v>
      </c>
      <c r="L395" s="9">
        <f t="shared" si="36"/>
        <v>10</v>
      </c>
      <c r="M395" s="8" t="str">
        <f t="shared" si="37"/>
        <v>Perlu Pengendalian</v>
      </c>
      <c r="P395" s="194">
        <f t="shared" si="38"/>
        <v>1.6515</v>
      </c>
      <c r="Q395" s="194">
        <f t="array" ref="Q395">$P395*0.8</f>
        <v>1.3212000000000002</v>
      </c>
      <c r="R395" s="194">
        <f t="shared" si="39"/>
        <v>0.99089999999999989</v>
      </c>
      <c r="S395" s="194">
        <f t="shared" si="40"/>
        <v>0.66060000000000008</v>
      </c>
      <c r="T395" s="194">
        <f t="shared" si="41"/>
        <v>0.33030000000000004</v>
      </c>
    </row>
    <row r="396" spans="1:20" x14ac:dyDescent="0.15">
      <c r="A396" s="8" t="s">
        <v>628</v>
      </c>
      <c r="B396" s="8" t="s">
        <v>47</v>
      </c>
      <c r="C396" s="8" t="s">
        <v>380</v>
      </c>
      <c r="D396" s="8" t="s">
        <v>339</v>
      </c>
      <c r="E396" s="9">
        <v>3.84</v>
      </c>
      <c r="F396" s="8" t="s">
        <v>469</v>
      </c>
      <c r="G396" s="143">
        <f t="array" ref="G396">INDEX('[23]SENSUS MEI'!$G$9:$G$453,MATCH(1,('[23]SENSUS MEI'!$D$9:$D$453=$D396)*('[23]SENSUS MEI'!$D$9:$D$453=$D396),0))</f>
        <v>482</v>
      </c>
      <c r="H396" s="11">
        <f t="array" ref="H396">INDEX('[23]SENSUS MEI'!$J$9:$J$453,MATCH(1,('[23]SENSUS MEI'!$D$9:$D$453=$D396)*('[23]SENSUS MEI'!$D$9:$D$453=$D396),0))</f>
        <v>46153</v>
      </c>
      <c r="I396" s="143">
        <f t="array" ref="I396">INDEX('[23]SENSUS MEI'!$K$9:$K$453,MATCH(1,('[23]SENSUS MEI'!$D$9:$D$453=$D396)*('[23]SENSUS MEI'!$D$9:$D$453=$D396),0))</f>
        <v>28</v>
      </c>
      <c r="J396" s="9">
        <f t="array" ref="J396">IFERROR(I396/G396*100,0)</f>
        <v>5.809128630705394</v>
      </c>
      <c r="K396" s="143">
        <f t="array" ref="K396">INDEX('[23]SENSUS MEI'!$M$9:$M$453,MATCH(1,('[23]SENSUS MEI'!$D$9:$D$453=$D396)*('[23]SENSUS MEI'!$D$9:$D$453=$D396),0))+INDEX('[23]SENSUS MEI'!$O$9:$O$453,MATCH(1,('[23]SENSUS MEI'!$D$9:$D$453=$D396)*('[23]SENSUS MEI'!$D$9:$D$453=$D396),0))</f>
        <v>7</v>
      </c>
      <c r="L396" s="9">
        <f t="shared" si="36"/>
        <v>25</v>
      </c>
      <c r="M396" s="8" t="str">
        <f t="shared" si="37"/>
        <v>Perlu Pengendalian</v>
      </c>
      <c r="P396" s="194">
        <f t="shared" si="38"/>
        <v>2.169</v>
      </c>
      <c r="Q396" s="194">
        <f t="array" ref="Q396">$P396*0.8</f>
        <v>1.7352000000000001</v>
      </c>
      <c r="R396" s="194">
        <f t="shared" si="39"/>
        <v>1.3013999999999999</v>
      </c>
      <c r="S396" s="194">
        <f t="shared" si="40"/>
        <v>0.86760000000000004</v>
      </c>
      <c r="T396" s="194">
        <f t="shared" si="41"/>
        <v>0.43380000000000002</v>
      </c>
    </row>
    <row r="397" spans="1:20" x14ac:dyDescent="0.15">
      <c r="A397" s="8" t="s">
        <v>628</v>
      </c>
      <c r="B397" s="8" t="s">
        <v>47</v>
      </c>
      <c r="C397" s="8" t="s">
        <v>380</v>
      </c>
      <c r="D397" s="8" t="s">
        <v>341</v>
      </c>
      <c r="E397" s="9">
        <v>14.83</v>
      </c>
      <c r="F397" s="8" t="s">
        <v>469</v>
      </c>
      <c r="G397" s="143">
        <f t="array" ref="G397">INDEX('[23]SENSUS MEI'!$G$9:$G$453,MATCH(1,('[23]SENSUS MEI'!$D$9:$D$453=$D397)*('[23]SENSUS MEI'!$D$9:$D$453=$D397),0))</f>
        <v>2008</v>
      </c>
      <c r="H397" s="11">
        <f t="array" ref="H397">INDEX('[23]SENSUS MEI'!$J$9:$J$453,MATCH(1,('[23]SENSUS MEI'!$D$9:$D$453=$D397)*('[23]SENSUS MEI'!$D$9:$D$453=$D397),0))</f>
        <v>46153</v>
      </c>
      <c r="I397" s="143">
        <f t="array" ref="I397">INDEX('[23]SENSUS MEI'!$K$9:$K$453,MATCH(1,('[23]SENSUS MEI'!$D$9:$D$453=$D397)*('[23]SENSUS MEI'!$D$9:$D$453=$D397),0))</f>
        <v>59</v>
      </c>
      <c r="J397" s="9">
        <f t="array" ref="J397">IFERROR(I397/G397*100,0)</f>
        <v>2.9382470119521913</v>
      </c>
      <c r="K397" s="143">
        <f t="array" ref="K397">INDEX('[23]SENSUS MEI'!$M$9:$M$453,MATCH(1,('[23]SENSUS MEI'!$D$9:$D$453=$D397)*('[23]SENSUS MEI'!$D$9:$D$453=$D397),0))+INDEX('[23]SENSUS MEI'!$O$9:$O$453,MATCH(1,('[23]SENSUS MEI'!$D$9:$D$453=$D397)*('[23]SENSUS MEI'!$D$9:$D$453=$D397),0))</f>
        <v>33</v>
      </c>
      <c r="L397" s="9">
        <f t="shared" si="36"/>
        <v>55.932203389830505</v>
      </c>
      <c r="M397" s="8" t="str">
        <f t="shared" si="37"/>
        <v>Perlu Pengendalian</v>
      </c>
      <c r="P397" s="194">
        <f t="shared" si="38"/>
        <v>9.0359999999999996</v>
      </c>
      <c r="Q397" s="194">
        <f t="array" ref="Q397">$P397*0.8</f>
        <v>7.2287999999999997</v>
      </c>
      <c r="R397" s="194">
        <f t="shared" si="39"/>
        <v>5.4215999999999998</v>
      </c>
      <c r="S397" s="194">
        <f t="shared" si="40"/>
        <v>3.6143999999999998</v>
      </c>
      <c r="T397" s="194">
        <f t="shared" si="41"/>
        <v>1.8071999999999999</v>
      </c>
    </row>
    <row r="398" spans="1:20" x14ac:dyDescent="0.15">
      <c r="A398" s="8" t="s">
        <v>628</v>
      </c>
      <c r="B398" s="8" t="s">
        <v>47</v>
      </c>
      <c r="C398" s="8" t="s">
        <v>380</v>
      </c>
      <c r="D398" s="8" t="s">
        <v>925</v>
      </c>
      <c r="E398" s="9">
        <v>13.58</v>
      </c>
      <c r="F398" s="8" t="s">
        <v>469</v>
      </c>
      <c r="G398" s="143">
        <f t="array" ref="G398">INDEX('[23]SENSUS MEI'!$G$9:$G$453,MATCH(1,('[23]SENSUS MEI'!$D$9:$D$453=$D398)*('[23]SENSUS MEI'!$D$9:$D$453=$D398),0))</f>
        <v>1861</v>
      </c>
      <c r="H398" s="11">
        <f t="array" ref="H398">INDEX('[23]SENSUS MEI'!$J$9:$J$453,MATCH(1,('[23]SENSUS MEI'!$D$9:$D$453=$D398)*('[23]SENSUS MEI'!$D$9:$D$453=$D398),0))</f>
        <v>46153</v>
      </c>
      <c r="I398" s="143">
        <f t="array" ref="I398">INDEX('[23]SENSUS MEI'!$K$9:$K$453,MATCH(1,('[23]SENSUS MEI'!$D$9:$D$453=$D398)*('[23]SENSUS MEI'!$D$9:$D$453=$D398),0))</f>
        <v>128</v>
      </c>
      <c r="J398" s="9">
        <f t="array" ref="J398">IFERROR(I398/G398*100,0)</f>
        <v>6.878022568511553</v>
      </c>
      <c r="K398" s="143">
        <f t="array" ref="K398">INDEX('[23]SENSUS MEI'!$M$9:$M$453,MATCH(1,('[23]SENSUS MEI'!$D$9:$D$453=$D398)*('[23]SENSUS MEI'!$D$9:$D$453=$D398),0))+INDEX('[23]SENSUS MEI'!$O$9:$O$453,MATCH(1,('[23]SENSUS MEI'!$D$9:$D$453=$D398)*('[23]SENSUS MEI'!$D$9:$D$453=$D398),0))</f>
        <v>62</v>
      </c>
      <c r="L398" s="9">
        <f t="shared" si="36"/>
        <v>48.4375</v>
      </c>
      <c r="M398" s="8" t="str">
        <f t="shared" si="37"/>
        <v>Perlu Pengendalian</v>
      </c>
      <c r="P398" s="194">
        <f t="shared" si="38"/>
        <v>8.3744999999999994</v>
      </c>
      <c r="Q398" s="194">
        <f t="array" ref="Q398">$P398*0.8</f>
        <v>6.6996000000000002</v>
      </c>
      <c r="R398" s="194">
        <f t="shared" si="39"/>
        <v>5.0246999999999993</v>
      </c>
      <c r="S398" s="194">
        <f t="shared" si="40"/>
        <v>3.3498000000000001</v>
      </c>
      <c r="T398" s="194">
        <f t="shared" si="41"/>
        <v>1.6749000000000001</v>
      </c>
    </row>
    <row r="399" spans="1:20" x14ac:dyDescent="0.15">
      <c r="A399" s="8" t="s">
        <v>628</v>
      </c>
      <c r="B399" s="8" t="s">
        <v>47</v>
      </c>
      <c r="C399" s="8" t="s">
        <v>380</v>
      </c>
      <c r="D399" s="8" t="s">
        <v>926</v>
      </c>
      <c r="E399" s="9">
        <v>11.56</v>
      </c>
      <c r="F399" s="8" t="s">
        <v>469</v>
      </c>
      <c r="G399" s="143">
        <f t="array" ref="G399">INDEX('[23]SENSUS MEI'!$G$9:$G$453,MATCH(1,('[23]SENSUS MEI'!$D$9:$D$453=$D399)*('[23]SENSUS MEI'!$D$9:$D$453=$D399),0))</f>
        <v>1380</v>
      </c>
      <c r="H399" s="11">
        <f t="array" ref="H399">INDEX('[23]SENSUS MEI'!$J$9:$J$453,MATCH(1,('[23]SENSUS MEI'!$D$9:$D$453=$D399)*('[23]SENSUS MEI'!$D$9:$D$453=$D399),0))</f>
        <v>46153</v>
      </c>
      <c r="I399" s="143">
        <f t="array" ref="I399">INDEX('[23]SENSUS MEI'!$K$9:$K$453,MATCH(1,('[23]SENSUS MEI'!$D$9:$D$453=$D399)*('[23]SENSUS MEI'!$D$9:$D$453=$D399),0))</f>
        <v>122</v>
      </c>
      <c r="J399" s="9">
        <f t="array" ref="J399">IFERROR(I399/G399*100,0)</f>
        <v>8.8405797101449277</v>
      </c>
      <c r="K399" s="143">
        <f t="array" ref="K399">INDEX('[23]SENSUS MEI'!$M$9:$M$453,MATCH(1,('[23]SENSUS MEI'!$D$9:$D$453=$D399)*('[23]SENSUS MEI'!$D$9:$D$453=$D399),0))+INDEX('[23]SENSUS MEI'!$O$9:$O$453,MATCH(1,('[23]SENSUS MEI'!$D$9:$D$453=$D399)*('[23]SENSUS MEI'!$D$9:$D$453=$D399),0))</f>
        <v>41</v>
      </c>
      <c r="L399" s="9">
        <f t="shared" si="36"/>
        <v>33.606557377049178</v>
      </c>
      <c r="M399" s="8" t="str">
        <f t="shared" si="37"/>
        <v>Perlu Pengendalian</v>
      </c>
      <c r="P399" s="194">
        <f t="shared" si="38"/>
        <v>6.21</v>
      </c>
      <c r="Q399" s="194">
        <f t="array" ref="Q399">$P399*0.8</f>
        <v>4.968</v>
      </c>
      <c r="R399" s="194">
        <f t="shared" si="39"/>
        <v>3.726</v>
      </c>
      <c r="S399" s="194">
        <f t="shared" si="40"/>
        <v>2.484</v>
      </c>
      <c r="T399" s="194">
        <f t="shared" si="41"/>
        <v>1.242</v>
      </c>
    </row>
    <row r="400" spans="1:20" x14ac:dyDescent="0.15">
      <c r="A400" s="8" t="s">
        <v>628</v>
      </c>
      <c r="B400" s="8" t="s">
        <v>47</v>
      </c>
      <c r="C400" s="8" t="s">
        <v>380</v>
      </c>
      <c r="D400" s="8" t="s">
        <v>927</v>
      </c>
      <c r="E400" s="9">
        <v>7.1</v>
      </c>
      <c r="F400" s="8" t="s">
        <v>469</v>
      </c>
      <c r="G400" s="143">
        <f t="array" ref="G400">INDEX('[23]SENSUS MEI'!$G$9:$G$453,MATCH(1,('[23]SENSUS MEI'!$D$9:$D$453=$D400)*('[23]SENSUS MEI'!$D$9:$D$453=$D400),0))</f>
        <v>729</v>
      </c>
      <c r="H400" s="11">
        <f t="array" ref="H400">INDEX('[23]SENSUS MEI'!$J$9:$J$453,MATCH(1,('[23]SENSUS MEI'!$D$9:$D$453=$D400)*('[23]SENSUS MEI'!$D$9:$D$453=$D400),0))</f>
        <v>46153</v>
      </c>
      <c r="I400" s="143">
        <f t="array" ref="I400">INDEX('[23]SENSUS MEI'!$K$9:$K$453,MATCH(1,('[23]SENSUS MEI'!$D$9:$D$453=$D400)*('[23]SENSUS MEI'!$D$9:$D$453=$D400),0))</f>
        <v>116</v>
      </c>
      <c r="J400" s="9">
        <f t="array" ref="J400">IFERROR(I400/G400*100,0)</f>
        <v>15.912208504801098</v>
      </c>
      <c r="K400" s="143">
        <f t="array" ref="K400">INDEX('[23]SENSUS MEI'!$M$9:$M$453,MATCH(1,('[23]SENSUS MEI'!$D$9:$D$453=$D400)*('[23]SENSUS MEI'!$D$9:$D$453=$D400),0))+INDEX('[23]SENSUS MEI'!$O$9:$O$453,MATCH(1,('[23]SENSUS MEI'!$D$9:$D$453=$D400)*('[23]SENSUS MEI'!$D$9:$D$453=$D400),0))</f>
        <v>38</v>
      </c>
      <c r="L400" s="9">
        <f t="shared" si="36"/>
        <v>32.758620689655174</v>
      </c>
      <c r="M400" s="8" t="str">
        <f t="shared" si="37"/>
        <v>Perlu Pengendalian</v>
      </c>
      <c r="P400" s="194">
        <f t="shared" si="38"/>
        <v>3.2805</v>
      </c>
      <c r="Q400" s="194">
        <f t="array" ref="Q400">$P400*0.8</f>
        <v>2.6244000000000001</v>
      </c>
      <c r="R400" s="194">
        <f t="shared" si="39"/>
        <v>1.9682999999999999</v>
      </c>
      <c r="S400" s="194">
        <f t="shared" si="40"/>
        <v>1.3122</v>
      </c>
      <c r="T400" s="194">
        <f t="shared" si="41"/>
        <v>0.65610000000000002</v>
      </c>
    </row>
    <row r="401" spans="1:20" x14ac:dyDescent="0.15">
      <c r="A401" s="8" t="s">
        <v>628</v>
      </c>
      <c r="B401" s="8" t="s">
        <v>47</v>
      </c>
      <c r="C401" s="8" t="s">
        <v>416</v>
      </c>
      <c r="D401" s="8" t="s">
        <v>78</v>
      </c>
      <c r="E401" s="9">
        <v>4.74</v>
      </c>
      <c r="F401" s="8" t="s">
        <v>469</v>
      </c>
      <c r="G401" s="143">
        <f t="array" ref="G401">INDEX('[23]SENSUS MEI'!$G$9:$G$453,MATCH(1,('[23]SENSUS MEI'!$D$9:$D$453=$D401)*('[23]SENSUS MEI'!$D$9:$D$453=$D401),0))</f>
        <v>719</v>
      </c>
      <c r="H401" s="11">
        <f t="array" ref="H401">INDEX('[23]SENSUS MEI'!$J$9:$J$453,MATCH(1,('[23]SENSUS MEI'!$D$9:$D$453=$D401)*('[23]SENSUS MEI'!$D$9:$D$453=$D401),0))</f>
        <v>46149</v>
      </c>
      <c r="I401" s="143">
        <f t="array" ref="I401">INDEX('[23]SENSUS MEI'!$K$9:$K$453,MATCH(1,('[23]SENSUS MEI'!$D$9:$D$453=$D401)*('[23]SENSUS MEI'!$D$9:$D$453=$D401),0))</f>
        <v>179</v>
      </c>
      <c r="J401" s="9">
        <f t="array" ref="J401">IFERROR(I401/G401*100,0)</f>
        <v>24.895688456189152</v>
      </c>
      <c r="K401" s="143">
        <f t="array" ref="K401">INDEX('[23]SENSUS MEI'!$M$9:$M$453,MATCH(1,('[23]SENSUS MEI'!$D$9:$D$453=$D401)*('[23]SENSUS MEI'!$D$9:$D$453=$D401),0))+INDEX('[23]SENSUS MEI'!$O$9:$O$453,MATCH(1,('[23]SENSUS MEI'!$D$9:$D$453=$D401)*('[23]SENSUS MEI'!$D$9:$D$453=$D401),0))</f>
        <v>169</v>
      </c>
      <c r="L401" s="9">
        <f t="shared" si="36"/>
        <v>94.413407821229043</v>
      </c>
      <c r="M401" s="8" t="str">
        <f t="shared" si="37"/>
        <v>Perlu Pengendalian</v>
      </c>
      <c r="P401" s="194">
        <f t="shared" si="38"/>
        <v>3.2355</v>
      </c>
      <c r="Q401" s="194">
        <f t="array" ref="Q401">$P401*0.8</f>
        <v>2.5884</v>
      </c>
      <c r="R401" s="194">
        <f t="shared" si="39"/>
        <v>1.9413</v>
      </c>
      <c r="S401" s="194">
        <f t="shared" si="40"/>
        <v>1.2942</v>
      </c>
      <c r="T401" s="194">
        <f t="shared" si="41"/>
        <v>0.64710000000000001</v>
      </c>
    </row>
    <row r="402" spans="1:20" x14ac:dyDescent="0.15">
      <c r="A402" s="8" t="s">
        <v>628</v>
      </c>
      <c r="B402" s="8" t="s">
        <v>47</v>
      </c>
      <c r="C402" s="8" t="s">
        <v>416</v>
      </c>
      <c r="D402" s="8" t="s">
        <v>89</v>
      </c>
      <c r="E402" s="9">
        <v>38.93</v>
      </c>
      <c r="F402" s="8" t="s">
        <v>469</v>
      </c>
      <c r="G402" s="143">
        <f t="array" ref="G402">INDEX('[23]SENSUS MEI'!$G$9:$G$453,MATCH(1,('[23]SENSUS MEI'!$D$9:$D$453=$D402)*('[23]SENSUS MEI'!$D$9:$D$453=$D402),0))</f>
        <v>5791</v>
      </c>
      <c r="H402" s="11">
        <f t="array" ref="H402">INDEX('[23]SENSUS MEI'!$J$9:$J$453,MATCH(1,('[23]SENSUS MEI'!$D$9:$D$453=$D402)*('[23]SENSUS MEI'!$D$9:$D$453=$D402),0))</f>
        <v>46149</v>
      </c>
      <c r="I402" s="143">
        <f t="array" ref="I402">INDEX('[23]SENSUS MEI'!$K$9:$K$453,MATCH(1,('[23]SENSUS MEI'!$D$9:$D$453=$D402)*('[23]SENSUS MEI'!$D$9:$D$453=$D402),0))</f>
        <v>265</v>
      </c>
      <c r="J402" s="9">
        <f t="array" ref="J402">IFERROR(I402/G402*100,0)</f>
        <v>4.576066309791055</v>
      </c>
      <c r="K402" s="143">
        <f t="array" ref="K402">INDEX('[23]SENSUS MEI'!$M$9:$M$453,MATCH(1,('[23]SENSUS MEI'!$D$9:$D$453=$D402)*('[23]SENSUS MEI'!$D$9:$D$453=$D402),0))+INDEX('[23]SENSUS MEI'!$O$9:$O$453,MATCH(1,('[23]SENSUS MEI'!$D$9:$D$453=$D402)*('[23]SENSUS MEI'!$D$9:$D$453=$D402),0))</f>
        <v>99</v>
      </c>
      <c r="L402" s="9">
        <f t="shared" si="36"/>
        <v>37.35849056603773</v>
      </c>
      <c r="M402" s="8" t="str">
        <f t="shared" si="37"/>
        <v>Perlu Pengendalian</v>
      </c>
      <c r="P402" s="194">
        <f t="shared" si="38"/>
        <v>26.0595</v>
      </c>
      <c r="Q402" s="194">
        <f t="array" ref="Q402">$P402*0.8</f>
        <v>20.8476</v>
      </c>
      <c r="R402" s="194">
        <f t="shared" si="39"/>
        <v>15.6357</v>
      </c>
      <c r="S402" s="194">
        <f t="shared" si="40"/>
        <v>10.4238</v>
      </c>
      <c r="T402" s="194">
        <f t="shared" si="41"/>
        <v>5.2119</v>
      </c>
    </row>
    <row r="403" spans="1:20" x14ac:dyDescent="0.15">
      <c r="A403" s="8" t="s">
        <v>628</v>
      </c>
      <c r="B403" s="8" t="s">
        <v>47</v>
      </c>
      <c r="C403" s="8" t="s">
        <v>416</v>
      </c>
      <c r="D403" s="8" t="s">
        <v>90</v>
      </c>
      <c r="E403" s="9">
        <v>47.15</v>
      </c>
      <c r="F403" s="8" t="s">
        <v>469</v>
      </c>
      <c r="G403" s="143">
        <f t="array" ref="G403">INDEX('[23]SENSUS MEI'!$G$9:$G$453,MATCH(1,('[23]SENSUS MEI'!$D$9:$D$453=$D403)*('[23]SENSUS MEI'!$D$9:$D$453=$D403),0))</f>
        <v>6681</v>
      </c>
      <c r="H403" s="11">
        <f t="array" ref="H403">INDEX('[23]SENSUS MEI'!$J$9:$J$453,MATCH(1,('[23]SENSUS MEI'!$D$9:$D$453=$D403)*('[23]SENSUS MEI'!$D$9:$D$453=$D403),0))</f>
        <v>46149</v>
      </c>
      <c r="I403" s="143">
        <f t="array" ref="I403">INDEX('[23]SENSUS MEI'!$K$9:$K$453,MATCH(1,('[23]SENSUS MEI'!$D$9:$D$453=$D403)*('[23]SENSUS MEI'!$D$9:$D$453=$D403),0))</f>
        <v>730</v>
      </c>
      <c r="J403" s="9">
        <f t="array" ref="J403">IFERROR(I403/G403*100,0)</f>
        <v>10.926508007783266</v>
      </c>
      <c r="K403" s="143">
        <f t="array" ref="K403">INDEX('[23]SENSUS MEI'!$M$9:$M$453,MATCH(1,('[23]SENSUS MEI'!$D$9:$D$453=$D403)*('[23]SENSUS MEI'!$D$9:$D$453=$D403),0))+INDEX('[23]SENSUS MEI'!$O$9:$O$453,MATCH(1,('[23]SENSUS MEI'!$D$9:$D$453=$D403)*('[23]SENSUS MEI'!$D$9:$D$453=$D403),0))</f>
        <v>306</v>
      </c>
      <c r="L403" s="9">
        <f t="shared" si="36"/>
        <v>41.917808219178085</v>
      </c>
      <c r="M403" s="8" t="str">
        <f t="shared" si="37"/>
        <v>Perlu Pengendalian</v>
      </c>
      <c r="P403" s="194">
        <f t="shared" si="38"/>
        <v>30.064499999999999</v>
      </c>
      <c r="Q403" s="194">
        <f t="array" ref="Q403">$P403*0.8</f>
        <v>24.051600000000001</v>
      </c>
      <c r="R403" s="194">
        <f t="shared" si="39"/>
        <v>18.038699999999999</v>
      </c>
      <c r="S403" s="194">
        <f t="shared" si="40"/>
        <v>12.0258</v>
      </c>
      <c r="T403" s="194">
        <f t="shared" si="41"/>
        <v>6.0129000000000001</v>
      </c>
    </row>
    <row r="404" spans="1:20" x14ac:dyDescent="0.15">
      <c r="A404" s="8" t="s">
        <v>628</v>
      </c>
      <c r="B404" s="8" t="s">
        <v>47</v>
      </c>
      <c r="C404" s="8" t="s">
        <v>416</v>
      </c>
      <c r="D404" s="8" t="s">
        <v>928</v>
      </c>
      <c r="E404" s="9">
        <v>46.78</v>
      </c>
      <c r="F404" s="8" t="s">
        <v>469</v>
      </c>
      <c r="G404" s="143">
        <f t="array" ref="G404">INDEX('[23]SENSUS MEI'!$G$9:$G$453,MATCH(1,('[23]SENSUS MEI'!$D$9:$D$453=$D404)*('[23]SENSUS MEI'!$D$9:$D$453=$D404),0))</f>
        <v>6706</v>
      </c>
      <c r="H404" s="11">
        <f t="array" ref="H404">INDEX('[23]SENSUS MEI'!$J$9:$J$453,MATCH(1,('[23]SENSUS MEI'!$D$9:$D$453=$D404)*('[23]SENSUS MEI'!$D$9:$D$453=$D404),0))</f>
        <v>46149</v>
      </c>
      <c r="I404" s="143">
        <f t="array" ref="I404">INDEX('[23]SENSUS MEI'!$K$9:$K$453,MATCH(1,('[23]SENSUS MEI'!$D$9:$D$453=$D404)*('[23]SENSUS MEI'!$D$9:$D$453=$D404),0))</f>
        <v>337</v>
      </c>
      <c r="J404" s="9">
        <f t="array" ref="J404">IFERROR(I404/G404*100,0)</f>
        <v>5.025350432448553</v>
      </c>
      <c r="K404" s="143">
        <f t="array" ref="K404">INDEX('[23]SENSUS MEI'!$M$9:$M$453,MATCH(1,('[23]SENSUS MEI'!$D$9:$D$453=$D404)*('[23]SENSUS MEI'!$D$9:$D$453=$D404),0))+INDEX('[23]SENSUS MEI'!$O$9:$O$453,MATCH(1,('[23]SENSUS MEI'!$D$9:$D$453=$D404)*('[23]SENSUS MEI'!$D$9:$D$453=$D404),0))</f>
        <v>36</v>
      </c>
      <c r="L404" s="9">
        <f t="shared" ref="L404:L435" si="42">IFERROR(K404/I404*100,0)</f>
        <v>10.682492581602373</v>
      </c>
      <c r="M404" s="8" t="str">
        <f t="shared" si="37"/>
        <v>Perlu Pengendalian</v>
      </c>
      <c r="P404" s="194">
        <f t="shared" si="38"/>
        <v>30.177</v>
      </c>
      <c r="Q404" s="194">
        <f t="array" ref="Q404">$P404*0.8</f>
        <v>24.1416</v>
      </c>
      <c r="R404" s="194">
        <f t="shared" si="39"/>
        <v>18.106199999999998</v>
      </c>
      <c r="S404" s="194">
        <f t="shared" si="40"/>
        <v>12.0708</v>
      </c>
      <c r="T404" s="194">
        <f t="shared" si="41"/>
        <v>6.0354000000000001</v>
      </c>
    </row>
    <row r="405" spans="1:20" x14ac:dyDescent="0.15">
      <c r="A405" s="8" t="s">
        <v>628</v>
      </c>
      <c r="B405" s="8" t="s">
        <v>47</v>
      </c>
      <c r="C405" s="8" t="s">
        <v>416</v>
      </c>
      <c r="D405" s="8" t="s">
        <v>91</v>
      </c>
      <c r="E405" s="9">
        <v>47.71</v>
      </c>
      <c r="F405" s="8" t="s">
        <v>469</v>
      </c>
      <c r="G405" s="143">
        <f t="array" ref="G405">INDEX('[23]SENSUS MEI'!$G$9:$G$453,MATCH(1,('[23]SENSUS MEI'!$D$9:$D$453=$D405)*('[23]SENSUS MEI'!$D$9:$D$453=$D405),0))</f>
        <v>6839</v>
      </c>
      <c r="H405" s="11">
        <f t="array" ref="H405">INDEX('[23]SENSUS MEI'!$J$9:$J$453,MATCH(1,('[23]SENSUS MEI'!$D$9:$D$453=$D405)*('[23]SENSUS MEI'!$D$9:$D$453=$D405),0))</f>
        <v>46149</v>
      </c>
      <c r="I405" s="143">
        <f t="array" ref="I405">INDEX('[23]SENSUS MEI'!$K$9:$K$453,MATCH(1,('[23]SENSUS MEI'!$D$9:$D$453=$D405)*('[23]SENSUS MEI'!$D$9:$D$453=$D405),0))</f>
        <v>709</v>
      </c>
      <c r="J405" s="9">
        <f t="array" ref="J405">IFERROR(I405/G405*100,0)</f>
        <v>10.367012721158064</v>
      </c>
      <c r="K405" s="143">
        <f t="array" ref="K405">INDEX('[23]SENSUS MEI'!$M$9:$M$453,MATCH(1,('[23]SENSUS MEI'!$D$9:$D$453=$D405)*('[23]SENSUS MEI'!$D$9:$D$453=$D405),0))+INDEX('[23]SENSUS MEI'!$O$9:$O$453,MATCH(1,('[23]SENSUS MEI'!$D$9:$D$453=$D405)*('[23]SENSUS MEI'!$D$9:$D$453=$D405),0))</f>
        <v>404</v>
      </c>
      <c r="L405" s="9">
        <f t="shared" si="42"/>
        <v>56.981664315937941</v>
      </c>
      <c r="M405" s="8" t="str">
        <f t="shared" si="37"/>
        <v>Perlu Pengendalian</v>
      </c>
      <c r="P405" s="194">
        <f t="shared" si="38"/>
        <v>30.775500000000001</v>
      </c>
      <c r="Q405" s="194">
        <f t="array" ref="Q405">$P405*0.8</f>
        <v>24.620400000000004</v>
      </c>
      <c r="R405" s="194">
        <f t="shared" si="39"/>
        <v>18.465299999999999</v>
      </c>
      <c r="S405" s="194">
        <f t="shared" si="40"/>
        <v>12.310200000000002</v>
      </c>
      <c r="T405" s="194">
        <f t="shared" si="41"/>
        <v>6.1551000000000009</v>
      </c>
    </row>
    <row r="406" spans="1:20" x14ac:dyDescent="0.15">
      <c r="A406" s="8" t="s">
        <v>628</v>
      </c>
      <c r="B406" s="8" t="s">
        <v>47</v>
      </c>
      <c r="C406" s="8" t="s">
        <v>416</v>
      </c>
      <c r="D406" s="8" t="s">
        <v>151</v>
      </c>
      <c r="E406" s="9">
        <v>29.14</v>
      </c>
      <c r="F406" s="8" t="s">
        <v>469</v>
      </c>
      <c r="G406" s="143">
        <f t="array" ref="G406">INDEX('[23]SENSUS MEI'!$G$9:$G$453,MATCH(1,('[23]SENSUS MEI'!$D$9:$D$453=$D406)*('[23]SENSUS MEI'!$D$9:$D$453=$D406),0))</f>
        <v>3783</v>
      </c>
      <c r="H406" s="11">
        <f t="array" ref="H406">INDEX('[23]SENSUS MEI'!$J$9:$J$453,MATCH(1,('[23]SENSUS MEI'!$D$9:$D$453=$D406)*('[23]SENSUS MEI'!$D$9:$D$453=$D406),0))</f>
        <v>46149</v>
      </c>
      <c r="I406" s="143">
        <f t="array" ref="I406">INDEX('[23]SENSUS MEI'!$K$9:$K$453,MATCH(1,('[23]SENSUS MEI'!$D$9:$D$453=$D406)*('[23]SENSUS MEI'!$D$9:$D$453=$D406),0))</f>
        <v>222</v>
      </c>
      <c r="J406" s="9">
        <f t="array" ref="J406">IFERROR(I406/G406*100,0)</f>
        <v>5.8683584456780329</v>
      </c>
      <c r="K406" s="143">
        <f t="array" ref="K406">INDEX('[23]SENSUS MEI'!$M$9:$M$453,MATCH(1,('[23]SENSUS MEI'!$D$9:$D$453=$D406)*('[23]SENSUS MEI'!$D$9:$D$453=$D406),0))+INDEX('[23]SENSUS MEI'!$O$9:$O$453,MATCH(1,('[23]SENSUS MEI'!$D$9:$D$453=$D406)*('[23]SENSUS MEI'!$D$9:$D$453=$D406),0))</f>
        <v>114</v>
      </c>
      <c r="L406" s="9">
        <f t="shared" si="42"/>
        <v>51.351351351351347</v>
      </c>
      <c r="M406" s="8" t="str">
        <f t="shared" si="37"/>
        <v>Perlu Pengendalian</v>
      </c>
      <c r="P406" s="194">
        <f t="shared" si="38"/>
        <v>17.023499999999999</v>
      </c>
      <c r="Q406" s="194">
        <f t="array" ref="Q406">$P406*0.8</f>
        <v>13.6188</v>
      </c>
      <c r="R406" s="194">
        <f t="shared" si="39"/>
        <v>10.214099999999998</v>
      </c>
      <c r="S406" s="194">
        <f t="shared" si="40"/>
        <v>6.8094000000000001</v>
      </c>
      <c r="T406" s="194">
        <f t="shared" si="41"/>
        <v>3.4047000000000001</v>
      </c>
    </row>
    <row r="407" spans="1:20" x14ac:dyDescent="0.15">
      <c r="A407" s="8" t="s">
        <v>628</v>
      </c>
      <c r="B407" s="8" t="s">
        <v>47</v>
      </c>
      <c r="C407" s="8" t="s">
        <v>416</v>
      </c>
      <c r="D407" s="8" t="s">
        <v>98</v>
      </c>
      <c r="E407" s="9">
        <v>39.520000000000003</v>
      </c>
      <c r="F407" s="8" t="s">
        <v>469</v>
      </c>
      <c r="G407" s="143">
        <f t="array" ref="G407">INDEX('[23]SENSUS MEI'!$G$9:$G$453,MATCH(1,('[23]SENSUS MEI'!$D$9:$D$453=$D407)*('[23]SENSUS MEI'!$D$9:$D$453=$D407),0))</f>
        <v>5456</v>
      </c>
      <c r="H407" s="11">
        <f t="array" ref="H407">INDEX('[23]SENSUS MEI'!$J$9:$J$453,MATCH(1,('[23]SENSUS MEI'!$D$9:$D$453=$D407)*('[23]SENSUS MEI'!$D$9:$D$453=$D407),0))</f>
        <v>46149</v>
      </c>
      <c r="I407" s="143">
        <f t="array" ref="I407">INDEX('[23]SENSUS MEI'!$K$9:$K$453,MATCH(1,('[23]SENSUS MEI'!$D$9:$D$453=$D407)*('[23]SENSUS MEI'!$D$9:$D$453=$D407),0))</f>
        <v>289</v>
      </c>
      <c r="J407" s="9">
        <f t="array" ref="J407">IFERROR(I407/G407*100,0)</f>
        <v>5.2969208211143695</v>
      </c>
      <c r="K407" s="143">
        <f t="array" ref="K407">INDEX('[23]SENSUS MEI'!$M$9:$M$453,MATCH(1,('[23]SENSUS MEI'!$D$9:$D$453=$D407)*('[23]SENSUS MEI'!$D$9:$D$453=$D407),0))+INDEX('[23]SENSUS MEI'!$O$9:$O$453,MATCH(1,('[23]SENSUS MEI'!$D$9:$D$453=$D407)*('[23]SENSUS MEI'!$D$9:$D$453=$D407),0))</f>
        <v>133</v>
      </c>
      <c r="L407" s="9">
        <f t="shared" si="42"/>
        <v>46.020761245674741</v>
      </c>
      <c r="M407" s="8" t="str">
        <f t="shared" si="37"/>
        <v>Perlu Pengendalian</v>
      </c>
      <c r="P407" s="194">
        <f t="shared" si="38"/>
        <v>24.552</v>
      </c>
      <c r="Q407" s="194">
        <f t="array" ref="Q407">$P407*0.8</f>
        <v>19.6416</v>
      </c>
      <c r="R407" s="194">
        <f t="shared" si="39"/>
        <v>14.731199999999999</v>
      </c>
      <c r="S407" s="194">
        <f t="shared" si="40"/>
        <v>9.8208000000000002</v>
      </c>
      <c r="T407" s="194">
        <f t="shared" si="41"/>
        <v>4.9104000000000001</v>
      </c>
    </row>
    <row r="408" spans="1:20" x14ac:dyDescent="0.15">
      <c r="A408" s="8" t="s">
        <v>628</v>
      </c>
      <c r="B408" s="8" t="s">
        <v>47</v>
      </c>
      <c r="C408" s="8" t="s">
        <v>416</v>
      </c>
      <c r="D408" s="8" t="s">
        <v>99</v>
      </c>
      <c r="E408" s="9">
        <v>47.44</v>
      </c>
      <c r="F408" s="8" t="s">
        <v>469</v>
      </c>
      <c r="G408" s="143">
        <f t="array" ref="G408">INDEX('[23]SENSUS MEI'!$G$9:$G$453,MATCH(1,('[23]SENSUS MEI'!$D$9:$D$453=$D408)*('[23]SENSUS MEI'!$D$9:$D$453=$D408),0))</f>
        <v>6295</v>
      </c>
      <c r="H408" s="11">
        <f t="array" ref="H408">INDEX('[23]SENSUS MEI'!$J$9:$J$453,MATCH(1,('[23]SENSUS MEI'!$D$9:$D$453=$D408)*('[23]SENSUS MEI'!$D$9:$D$453=$D408),0))</f>
        <v>46149</v>
      </c>
      <c r="I408" s="143">
        <f t="array" ref="I408">INDEX('[23]SENSUS MEI'!$K$9:$K$453,MATCH(1,('[23]SENSUS MEI'!$D$9:$D$453=$D408)*('[23]SENSUS MEI'!$D$9:$D$453=$D408),0))</f>
        <v>621</v>
      </c>
      <c r="J408" s="9">
        <f t="array" ref="J408">IFERROR(I408/G408*100,0)</f>
        <v>9.8649722001588565</v>
      </c>
      <c r="K408" s="143">
        <f t="array" ref="K408">INDEX('[23]SENSUS MEI'!$M$9:$M$453,MATCH(1,('[23]SENSUS MEI'!$D$9:$D$453=$D408)*('[23]SENSUS MEI'!$D$9:$D$453=$D408),0))+INDEX('[23]SENSUS MEI'!$O$9:$O$453,MATCH(1,('[23]SENSUS MEI'!$D$9:$D$453=$D408)*('[23]SENSUS MEI'!$D$9:$D$453=$D408),0))</f>
        <v>247</v>
      </c>
      <c r="L408" s="9">
        <f t="shared" si="42"/>
        <v>39.774557165861509</v>
      </c>
      <c r="M408" s="8" t="str">
        <f t="shared" si="37"/>
        <v>Perlu Pengendalian</v>
      </c>
      <c r="P408" s="194">
        <f t="shared" si="38"/>
        <v>28.327500000000001</v>
      </c>
      <c r="Q408" s="194">
        <f t="array" ref="Q408">$P408*0.8</f>
        <v>22.662000000000003</v>
      </c>
      <c r="R408" s="194">
        <f t="shared" si="39"/>
        <v>16.996500000000001</v>
      </c>
      <c r="S408" s="194">
        <f t="shared" si="40"/>
        <v>11.331000000000001</v>
      </c>
      <c r="T408" s="194">
        <f t="shared" si="41"/>
        <v>5.6655000000000006</v>
      </c>
    </row>
    <row r="409" spans="1:20" x14ac:dyDescent="0.15">
      <c r="A409" s="8" t="s">
        <v>628</v>
      </c>
      <c r="B409" s="8" t="s">
        <v>47</v>
      </c>
      <c r="C409" s="8" t="s">
        <v>416</v>
      </c>
      <c r="D409" s="8" t="s">
        <v>100</v>
      </c>
      <c r="E409" s="9">
        <v>37.5</v>
      </c>
      <c r="F409" s="8" t="s">
        <v>469</v>
      </c>
      <c r="G409" s="143">
        <f t="array" ref="G409">INDEX('[23]SENSUS MEI'!$G$9:$G$453,MATCH(1,('[23]SENSUS MEI'!$D$9:$D$453=$D409)*('[23]SENSUS MEI'!$D$9:$D$453=$D409),0))</f>
        <v>5376</v>
      </c>
      <c r="H409" s="11">
        <f t="array" ref="H409">INDEX('[23]SENSUS MEI'!$J$9:$J$453,MATCH(1,('[23]SENSUS MEI'!$D$9:$D$453=$D409)*('[23]SENSUS MEI'!$D$9:$D$453=$D409),0))</f>
        <v>46150</v>
      </c>
      <c r="I409" s="143">
        <f t="array" ref="I409">INDEX('[23]SENSUS MEI'!$K$9:$K$453,MATCH(1,('[23]SENSUS MEI'!$D$9:$D$453=$D409)*('[23]SENSUS MEI'!$D$9:$D$453=$D409),0))</f>
        <v>562</v>
      </c>
      <c r="J409" s="9">
        <f t="array" ref="J409">IFERROR(I409/G409*100,0)</f>
        <v>10.453869047619047</v>
      </c>
      <c r="K409" s="143">
        <f t="array" ref="K409">INDEX('[23]SENSUS MEI'!$M$9:$M$453,MATCH(1,('[23]SENSUS MEI'!$D$9:$D$453=$D409)*('[23]SENSUS MEI'!$D$9:$D$453=$D409),0))+INDEX('[23]SENSUS MEI'!$O$9:$O$453,MATCH(1,('[23]SENSUS MEI'!$D$9:$D$453=$D409)*('[23]SENSUS MEI'!$D$9:$D$453=$D409),0))</f>
        <v>294</v>
      </c>
      <c r="L409" s="9">
        <f t="shared" si="42"/>
        <v>52.313167259786475</v>
      </c>
      <c r="M409" s="8" t="str">
        <f t="shared" si="37"/>
        <v>Perlu Pengendalian</v>
      </c>
      <c r="P409" s="194">
        <f t="shared" si="38"/>
        <v>24.192</v>
      </c>
      <c r="Q409" s="194">
        <f t="array" ref="Q409">$P409*0.8</f>
        <v>19.3536</v>
      </c>
      <c r="R409" s="194">
        <f t="shared" si="39"/>
        <v>14.5152</v>
      </c>
      <c r="S409" s="194">
        <f t="shared" si="40"/>
        <v>9.6768000000000001</v>
      </c>
      <c r="T409" s="194">
        <f t="shared" si="41"/>
        <v>4.8384</v>
      </c>
    </row>
    <row r="410" spans="1:20" x14ac:dyDescent="0.15">
      <c r="A410" s="8" t="s">
        <v>628</v>
      </c>
      <c r="B410" s="8" t="s">
        <v>47</v>
      </c>
      <c r="C410" s="8" t="s">
        <v>416</v>
      </c>
      <c r="D410" s="8" t="s">
        <v>101</v>
      </c>
      <c r="E410" s="9">
        <v>48.31</v>
      </c>
      <c r="F410" s="8" t="s">
        <v>469</v>
      </c>
      <c r="G410" s="143">
        <f t="array" ref="G410">INDEX('[23]SENSUS MEI'!$G$9:$G$453,MATCH(1,('[23]SENSUS MEI'!$D$9:$D$453=$D410)*('[23]SENSUS MEI'!$D$9:$D$453=$D410),0))</f>
        <v>7135</v>
      </c>
      <c r="H410" s="11">
        <f t="array" ref="H410">INDEX('[23]SENSUS MEI'!$J$9:$J$453,MATCH(1,('[23]SENSUS MEI'!$D$9:$D$453=$D410)*('[23]SENSUS MEI'!$D$9:$D$453=$D410),0))</f>
        <v>46150</v>
      </c>
      <c r="I410" s="143">
        <f t="array" ref="I410">INDEX('[23]SENSUS MEI'!$K$9:$K$453,MATCH(1,('[23]SENSUS MEI'!$D$9:$D$453=$D410)*('[23]SENSUS MEI'!$D$9:$D$453=$D410),0))</f>
        <v>712</v>
      </c>
      <c r="J410" s="9">
        <f t="array" ref="J410">IFERROR(I410/G410*100,0)</f>
        <v>9.9789768745620187</v>
      </c>
      <c r="K410" s="143">
        <f t="array" ref="K410">INDEX('[23]SENSUS MEI'!$M$9:$M$453,MATCH(1,('[23]SENSUS MEI'!$D$9:$D$453=$D410)*('[23]SENSUS MEI'!$D$9:$D$453=$D410),0))+INDEX('[23]SENSUS MEI'!$O$9:$O$453,MATCH(1,('[23]SENSUS MEI'!$D$9:$D$453=$D410)*('[23]SENSUS MEI'!$D$9:$D$453=$D410),0))</f>
        <v>193</v>
      </c>
      <c r="L410" s="9">
        <f t="shared" si="42"/>
        <v>27.106741573033709</v>
      </c>
      <c r="M410" s="8" t="str">
        <f t="shared" si="37"/>
        <v>Perlu Pengendalian</v>
      </c>
      <c r="P410" s="194">
        <f t="shared" si="38"/>
        <v>32.107500000000002</v>
      </c>
      <c r="Q410" s="194">
        <f t="array" ref="Q410">$P410*0.8</f>
        <v>25.686000000000003</v>
      </c>
      <c r="R410" s="194">
        <f t="shared" si="39"/>
        <v>19.264500000000002</v>
      </c>
      <c r="S410" s="194">
        <f t="shared" si="40"/>
        <v>12.843000000000002</v>
      </c>
      <c r="T410" s="194">
        <f t="shared" si="41"/>
        <v>6.4215000000000009</v>
      </c>
    </row>
    <row r="411" spans="1:20" x14ac:dyDescent="0.15">
      <c r="A411" s="8" t="s">
        <v>628</v>
      </c>
      <c r="B411" s="8" t="s">
        <v>47</v>
      </c>
      <c r="C411" s="8" t="s">
        <v>416</v>
      </c>
      <c r="D411" s="8" t="s">
        <v>102</v>
      </c>
      <c r="E411" s="9">
        <v>45.36</v>
      </c>
      <c r="F411" s="8" t="s">
        <v>469</v>
      </c>
      <c r="G411" s="143">
        <f t="array" ref="G411">INDEX('[23]SENSUS MEI'!$G$9:$G$453,MATCH(1,('[23]SENSUS MEI'!$D$9:$D$453=$D411)*('[23]SENSUS MEI'!$D$9:$D$453=$D411),0))</f>
        <v>6172</v>
      </c>
      <c r="H411" s="11">
        <f t="array" ref="H411">INDEX('[23]SENSUS MEI'!$J$9:$J$453,MATCH(1,('[23]SENSUS MEI'!$D$9:$D$453=$D411)*('[23]SENSUS MEI'!$D$9:$D$453=$D411),0))</f>
        <v>46150</v>
      </c>
      <c r="I411" s="143">
        <f t="array" ref="I411">INDEX('[23]SENSUS MEI'!$K$9:$K$453,MATCH(1,('[23]SENSUS MEI'!$D$9:$D$453=$D411)*('[23]SENSUS MEI'!$D$9:$D$453=$D411),0))</f>
        <v>639</v>
      </c>
      <c r="J411" s="9">
        <f t="array" ref="J411">IFERROR(I411/G411*100,0)</f>
        <v>10.353208036292935</v>
      </c>
      <c r="K411" s="143">
        <f t="array" ref="K411">INDEX('[23]SENSUS MEI'!$M$9:$M$453,MATCH(1,('[23]SENSUS MEI'!$D$9:$D$453=$D411)*('[23]SENSUS MEI'!$D$9:$D$453=$D411),0))+INDEX('[23]SENSUS MEI'!$O$9:$O$453,MATCH(1,('[23]SENSUS MEI'!$D$9:$D$453=$D411)*('[23]SENSUS MEI'!$D$9:$D$453=$D411),0))</f>
        <v>231</v>
      </c>
      <c r="L411" s="9">
        <f t="shared" si="42"/>
        <v>36.15023474178404</v>
      </c>
      <c r="M411" s="8" t="str">
        <f t="shared" si="37"/>
        <v>Perlu Pengendalian</v>
      </c>
      <c r="P411" s="194">
        <f t="shared" si="38"/>
        <v>27.774000000000001</v>
      </c>
      <c r="Q411" s="194">
        <f t="array" ref="Q411">$P411*0.8</f>
        <v>22.219200000000001</v>
      </c>
      <c r="R411" s="194">
        <f t="shared" si="39"/>
        <v>16.664400000000001</v>
      </c>
      <c r="S411" s="194">
        <f t="shared" si="40"/>
        <v>11.1096</v>
      </c>
      <c r="T411" s="194">
        <f t="shared" si="41"/>
        <v>5.5548000000000002</v>
      </c>
    </row>
    <row r="412" spans="1:20" x14ac:dyDescent="0.15">
      <c r="A412" s="8" t="s">
        <v>628</v>
      </c>
      <c r="B412" s="8" t="s">
        <v>47</v>
      </c>
      <c r="C412" s="8" t="s">
        <v>416</v>
      </c>
      <c r="D412" s="8" t="s">
        <v>158</v>
      </c>
      <c r="E412" s="9">
        <v>1.52</v>
      </c>
      <c r="F412" s="8" t="s">
        <v>469</v>
      </c>
      <c r="G412" s="143">
        <f t="array" ref="G412">INDEX('[23]SENSUS MEI'!$G$9:$G$453,MATCH(1,('[23]SENSUS MEI'!$D$9:$D$453=$D412)*('[23]SENSUS MEI'!$D$9:$D$453=$D412),0))</f>
        <v>170</v>
      </c>
      <c r="H412" s="11">
        <f t="array" ref="H412">INDEX('[23]SENSUS MEI'!$J$9:$J$453,MATCH(1,('[23]SENSUS MEI'!$D$9:$D$453=$D412)*('[23]SENSUS MEI'!$D$9:$D$453=$D412),0))</f>
        <v>46150</v>
      </c>
      <c r="I412" s="143">
        <f t="array" ref="I412">INDEX('[23]SENSUS MEI'!$K$9:$K$453,MATCH(1,('[23]SENSUS MEI'!$D$9:$D$453=$D412)*('[23]SENSUS MEI'!$D$9:$D$453=$D412),0))</f>
        <v>40</v>
      </c>
      <c r="J412" s="9">
        <f t="array" ref="J412">IFERROR(I412/G412*100,0)</f>
        <v>23.52941176470588</v>
      </c>
      <c r="K412" s="143">
        <f t="array" ref="K412">INDEX('[23]SENSUS MEI'!$M$9:$M$453,MATCH(1,('[23]SENSUS MEI'!$D$9:$D$453=$D412)*('[23]SENSUS MEI'!$D$9:$D$453=$D412),0))+INDEX('[23]SENSUS MEI'!$O$9:$O$453,MATCH(1,('[23]SENSUS MEI'!$D$9:$D$453=$D412)*('[23]SENSUS MEI'!$D$9:$D$453=$D412),0))</f>
        <v>8</v>
      </c>
      <c r="L412" s="9">
        <f t="shared" si="42"/>
        <v>20</v>
      </c>
      <c r="M412" s="8" t="str">
        <f t="shared" si="37"/>
        <v>Perlu Pengendalian</v>
      </c>
      <c r="P412" s="194">
        <f t="shared" si="38"/>
        <v>0.76500000000000001</v>
      </c>
      <c r="Q412" s="194">
        <f t="array" ref="Q412">$P412*0.8</f>
        <v>0.6120000000000001</v>
      </c>
      <c r="R412" s="194">
        <f t="shared" si="39"/>
        <v>0.45899999999999996</v>
      </c>
      <c r="S412" s="194">
        <f t="shared" si="40"/>
        <v>0.30600000000000005</v>
      </c>
      <c r="T412" s="194">
        <f t="shared" si="41"/>
        <v>0.15300000000000002</v>
      </c>
    </row>
    <row r="413" spans="1:20" x14ac:dyDescent="0.15">
      <c r="A413" s="8" t="s">
        <v>628</v>
      </c>
      <c r="B413" s="8" t="s">
        <v>47</v>
      </c>
      <c r="C413" s="8" t="s">
        <v>416</v>
      </c>
      <c r="D413" s="8" t="s">
        <v>108</v>
      </c>
      <c r="E413" s="9">
        <v>11.26</v>
      </c>
      <c r="F413" s="8" t="s">
        <v>469</v>
      </c>
      <c r="G413" s="143">
        <f t="array" ref="G413">INDEX('[23]SENSUS MEI'!$G$9:$G$453,MATCH(1,('[23]SENSUS MEI'!$D$9:$D$453=$D413)*('[23]SENSUS MEI'!$D$9:$D$453=$D413),0))</f>
        <v>1554</v>
      </c>
      <c r="H413" s="11">
        <f t="array" ref="H413">INDEX('[23]SENSUS MEI'!$J$9:$J$453,MATCH(1,('[23]SENSUS MEI'!$D$9:$D$453=$D413)*('[23]SENSUS MEI'!$D$9:$D$453=$D413),0))</f>
        <v>46150</v>
      </c>
      <c r="I413" s="143">
        <f t="array" ref="I413">INDEX('[23]SENSUS MEI'!$K$9:$K$453,MATCH(1,('[23]SENSUS MEI'!$D$9:$D$453=$D413)*('[23]SENSUS MEI'!$D$9:$D$453=$D413),0))</f>
        <v>161</v>
      </c>
      <c r="J413" s="9">
        <f t="array" ref="J413">IFERROR(I413/G413*100,0)</f>
        <v>10.36036036036036</v>
      </c>
      <c r="K413" s="143">
        <f t="array" ref="K413">INDEX('[23]SENSUS MEI'!$M$9:$M$453,MATCH(1,('[23]SENSUS MEI'!$D$9:$D$453=$D413)*('[23]SENSUS MEI'!$D$9:$D$453=$D413),0))+INDEX('[23]SENSUS MEI'!$O$9:$O$453,MATCH(1,('[23]SENSUS MEI'!$D$9:$D$453=$D413)*('[23]SENSUS MEI'!$D$9:$D$453=$D413),0))</f>
        <v>27</v>
      </c>
      <c r="L413" s="9">
        <f t="shared" si="42"/>
        <v>16.770186335403729</v>
      </c>
      <c r="M413" s="8" t="str">
        <f t="shared" si="37"/>
        <v>Perlu Pengendalian</v>
      </c>
      <c r="P413" s="194">
        <f t="shared" si="38"/>
        <v>6.9930000000000003</v>
      </c>
      <c r="Q413" s="194">
        <f t="array" ref="Q413">$P413*0.8</f>
        <v>5.5944000000000003</v>
      </c>
      <c r="R413" s="194">
        <f t="shared" si="39"/>
        <v>4.1958000000000002</v>
      </c>
      <c r="S413" s="194">
        <f t="shared" si="40"/>
        <v>2.7972000000000001</v>
      </c>
      <c r="T413" s="194">
        <f t="shared" si="41"/>
        <v>1.3986000000000001</v>
      </c>
    </row>
    <row r="414" spans="1:20" x14ac:dyDescent="0.15">
      <c r="A414" s="8" t="s">
        <v>628</v>
      </c>
      <c r="B414" s="8" t="s">
        <v>47</v>
      </c>
      <c r="C414" s="8" t="s">
        <v>416</v>
      </c>
      <c r="D414" s="8" t="s">
        <v>109</v>
      </c>
      <c r="E414" s="9">
        <v>15.41</v>
      </c>
      <c r="F414" s="8" t="s">
        <v>469</v>
      </c>
      <c r="G414" s="143">
        <f t="array" ref="G414">INDEX('[23]SENSUS MEI'!$G$9:$G$453,MATCH(1,('[23]SENSUS MEI'!$D$9:$D$453=$D414)*('[23]SENSUS MEI'!$D$9:$D$453=$D414),0))</f>
        <v>1871</v>
      </c>
      <c r="H414" s="11">
        <f t="array" ref="H414">INDEX('[23]SENSUS MEI'!$J$9:$J$453,MATCH(1,('[23]SENSUS MEI'!$D$9:$D$453=$D414)*('[23]SENSUS MEI'!$D$9:$D$453=$D414),0))</f>
        <v>46150</v>
      </c>
      <c r="I414" s="143">
        <f t="array" ref="I414">INDEX('[23]SENSUS MEI'!$K$9:$K$453,MATCH(1,('[23]SENSUS MEI'!$D$9:$D$453=$D414)*('[23]SENSUS MEI'!$D$9:$D$453=$D414),0))</f>
        <v>361</v>
      </c>
      <c r="J414" s="9">
        <f t="array" ref="J414">IFERROR(I414/G414*100,0)</f>
        <v>19.294494922501336</v>
      </c>
      <c r="K414" s="143">
        <f t="array" ref="K414">INDEX('[23]SENSUS MEI'!$M$9:$M$453,MATCH(1,('[23]SENSUS MEI'!$D$9:$D$453=$D414)*('[23]SENSUS MEI'!$D$9:$D$453=$D414),0))+INDEX('[23]SENSUS MEI'!$O$9:$O$453,MATCH(1,('[23]SENSUS MEI'!$D$9:$D$453=$D414)*('[23]SENSUS MEI'!$D$9:$D$453=$D414),0))</f>
        <v>55</v>
      </c>
      <c r="L414" s="9">
        <f t="shared" si="42"/>
        <v>15.235457063711911</v>
      </c>
      <c r="M414" s="8" t="str">
        <f t="shared" si="37"/>
        <v>Perlu Pengendalian</v>
      </c>
      <c r="P414" s="194">
        <f t="shared" si="38"/>
        <v>8.4194999999999993</v>
      </c>
      <c r="Q414" s="194">
        <f t="array" ref="Q414">$P414*0.8</f>
        <v>6.7355999999999998</v>
      </c>
      <c r="R414" s="194">
        <f t="shared" si="39"/>
        <v>5.0516999999999994</v>
      </c>
      <c r="S414" s="194">
        <f t="shared" si="40"/>
        <v>3.3677999999999999</v>
      </c>
      <c r="T414" s="194">
        <f t="shared" si="41"/>
        <v>1.6839</v>
      </c>
    </row>
    <row r="415" spans="1:20" x14ac:dyDescent="0.15">
      <c r="A415" s="8" t="s">
        <v>628</v>
      </c>
      <c r="B415" s="8" t="s">
        <v>47</v>
      </c>
      <c r="C415" s="8" t="s">
        <v>416</v>
      </c>
      <c r="D415" s="8" t="s">
        <v>110</v>
      </c>
      <c r="E415" s="9">
        <v>17.27</v>
      </c>
      <c r="F415" s="8" t="s">
        <v>469</v>
      </c>
      <c r="G415" s="143">
        <f t="array" ref="G415">INDEX('[23]SENSUS MEI'!$G$9:$G$453,MATCH(1,('[23]SENSUS MEI'!$D$9:$D$453=$D415)*('[23]SENSUS MEI'!$D$9:$D$453=$D415),0))</f>
        <v>2446</v>
      </c>
      <c r="H415" s="11">
        <f t="array" ref="H415">INDEX('[23]SENSUS MEI'!$J$9:$J$453,MATCH(1,('[23]SENSUS MEI'!$D$9:$D$453=$D415)*('[23]SENSUS MEI'!$D$9:$D$453=$D415),0))</f>
        <v>46150</v>
      </c>
      <c r="I415" s="143">
        <f t="array" ref="I415">INDEX('[23]SENSUS MEI'!$K$9:$K$453,MATCH(1,('[23]SENSUS MEI'!$D$9:$D$453=$D415)*('[23]SENSUS MEI'!$D$9:$D$453=$D415),0))</f>
        <v>258</v>
      </c>
      <c r="J415" s="9">
        <f t="array" ref="J415">IFERROR(I415/G415*100,0)</f>
        <v>10.54783319705642</v>
      </c>
      <c r="K415" s="143">
        <f t="array" ref="K415">INDEX('[23]SENSUS MEI'!$M$9:$M$453,MATCH(1,('[23]SENSUS MEI'!$D$9:$D$453=$D415)*('[23]SENSUS MEI'!$D$9:$D$453=$D415),0))+INDEX('[23]SENSUS MEI'!$O$9:$O$453,MATCH(1,('[23]SENSUS MEI'!$D$9:$D$453=$D415)*('[23]SENSUS MEI'!$D$9:$D$453=$D415),0))</f>
        <v>85</v>
      </c>
      <c r="L415" s="9">
        <f t="shared" si="42"/>
        <v>32.945736434108525</v>
      </c>
      <c r="M415" s="8" t="str">
        <f t="shared" si="37"/>
        <v>Perlu Pengendalian</v>
      </c>
      <c r="P415" s="194">
        <f t="shared" si="38"/>
        <v>11.007</v>
      </c>
      <c r="Q415" s="194">
        <f t="array" ref="Q415">$P415*0.8</f>
        <v>8.8056000000000001</v>
      </c>
      <c r="R415" s="194">
        <f t="shared" si="39"/>
        <v>6.6041999999999996</v>
      </c>
      <c r="S415" s="194">
        <f t="shared" si="40"/>
        <v>4.4028</v>
      </c>
      <c r="T415" s="194">
        <f t="shared" si="41"/>
        <v>2.2014</v>
      </c>
    </row>
    <row r="416" spans="1:20" x14ac:dyDescent="0.15">
      <c r="A416" s="8" t="s">
        <v>628</v>
      </c>
      <c r="B416" s="8" t="s">
        <v>47</v>
      </c>
      <c r="C416" s="8" t="s">
        <v>416</v>
      </c>
      <c r="D416" s="8" t="s">
        <v>111</v>
      </c>
      <c r="E416" s="9">
        <v>32.119999999999997</v>
      </c>
      <c r="F416" s="8" t="s">
        <v>469</v>
      </c>
      <c r="G416" s="143">
        <f t="array" ref="G416">INDEX('[23]SENSUS MEI'!$G$9:$G$453,MATCH(1,('[23]SENSUS MEI'!$D$9:$D$453=$D416)*('[23]SENSUS MEI'!$D$9:$D$453=$D416),0))</f>
        <v>4714</v>
      </c>
      <c r="H416" s="11">
        <f t="array" ref="H416">INDEX('[23]SENSUS MEI'!$J$9:$J$453,MATCH(1,('[23]SENSUS MEI'!$D$9:$D$453=$D416)*('[23]SENSUS MEI'!$D$9:$D$453=$D416),0))</f>
        <v>46150</v>
      </c>
      <c r="I416" s="143">
        <f t="array" ref="I416">INDEX('[23]SENSUS MEI'!$K$9:$K$453,MATCH(1,('[23]SENSUS MEI'!$D$9:$D$453=$D416)*('[23]SENSUS MEI'!$D$9:$D$453=$D416),0))</f>
        <v>678</v>
      </c>
      <c r="J416" s="9">
        <f t="array" ref="J416">IFERROR(I416/G416*100,0)</f>
        <v>14.382689859991515</v>
      </c>
      <c r="K416" s="143">
        <f t="array" ref="K416">INDEX('[23]SENSUS MEI'!$M$9:$M$453,MATCH(1,('[23]SENSUS MEI'!$D$9:$D$453=$D416)*('[23]SENSUS MEI'!$D$9:$D$453=$D416),0))+INDEX('[23]SENSUS MEI'!$O$9:$O$453,MATCH(1,('[23]SENSUS MEI'!$D$9:$D$453=$D416)*('[23]SENSUS MEI'!$D$9:$D$453=$D416),0))</f>
        <v>96</v>
      </c>
      <c r="L416" s="9">
        <f t="shared" si="42"/>
        <v>14.159292035398231</v>
      </c>
      <c r="M416" s="8" t="str">
        <f t="shared" si="37"/>
        <v>Perlu Pengendalian</v>
      </c>
      <c r="P416" s="194">
        <f t="shared" si="38"/>
        <v>21.213000000000001</v>
      </c>
      <c r="Q416" s="194">
        <f t="array" ref="Q416">$P416*0.8</f>
        <v>16.970400000000001</v>
      </c>
      <c r="R416" s="194">
        <f t="shared" si="39"/>
        <v>12.7278</v>
      </c>
      <c r="S416" s="194">
        <f t="shared" si="40"/>
        <v>8.4852000000000007</v>
      </c>
      <c r="T416" s="194">
        <f t="shared" si="41"/>
        <v>4.2426000000000004</v>
      </c>
    </row>
    <row r="417" spans="1:20" x14ac:dyDescent="0.15">
      <c r="A417" s="8" t="s">
        <v>628</v>
      </c>
      <c r="B417" s="8" t="s">
        <v>47</v>
      </c>
      <c r="C417" s="8" t="s">
        <v>416</v>
      </c>
      <c r="D417" s="8" t="s">
        <v>112</v>
      </c>
      <c r="E417" s="9">
        <v>32.67</v>
      </c>
      <c r="F417" s="8" t="s">
        <v>469</v>
      </c>
      <c r="G417" s="143">
        <f t="array" ref="G417">INDEX('[23]SENSUS MEI'!$G$9:$G$453,MATCH(1,('[23]SENSUS MEI'!$D$9:$D$453=$D417)*('[23]SENSUS MEI'!$D$9:$D$453=$D417),0))</f>
        <v>4519</v>
      </c>
      <c r="H417" s="11">
        <f t="array" ref="H417">INDEX('[23]SENSUS MEI'!$J$9:$J$453,MATCH(1,('[23]SENSUS MEI'!$D$9:$D$453=$D417)*('[23]SENSUS MEI'!$D$9:$D$453=$D417),0))</f>
        <v>46151</v>
      </c>
      <c r="I417" s="143">
        <f t="array" ref="I417">INDEX('[23]SENSUS MEI'!$K$9:$K$453,MATCH(1,('[23]SENSUS MEI'!$D$9:$D$453=$D417)*('[23]SENSUS MEI'!$D$9:$D$453=$D417),0))</f>
        <v>441</v>
      </c>
      <c r="J417" s="9">
        <f t="array" ref="J417">IFERROR(I417/G417*100,0)</f>
        <v>9.7587961938481964</v>
      </c>
      <c r="K417" s="143">
        <f t="array" ref="K417">INDEX('[23]SENSUS MEI'!$M$9:$M$453,MATCH(1,('[23]SENSUS MEI'!$D$9:$D$453=$D417)*('[23]SENSUS MEI'!$D$9:$D$453=$D417),0))+INDEX('[23]SENSUS MEI'!$O$9:$O$453,MATCH(1,('[23]SENSUS MEI'!$D$9:$D$453=$D417)*('[23]SENSUS MEI'!$D$9:$D$453=$D417),0))</f>
        <v>122</v>
      </c>
      <c r="L417" s="9">
        <f t="shared" si="42"/>
        <v>27.66439909297052</v>
      </c>
      <c r="M417" s="8" t="str">
        <f t="shared" si="37"/>
        <v>Perlu Pengendalian</v>
      </c>
      <c r="P417" s="194">
        <f t="shared" si="38"/>
        <v>20.3355</v>
      </c>
      <c r="Q417" s="194">
        <f t="array" ref="Q417">$P417*0.8</f>
        <v>16.2684</v>
      </c>
      <c r="R417" s="194">
        <f t="shared" si="39"/>
        <v>12.2013</v>
      </c>
      <c r="S417" s="194">
        <f t="shared" si="40"/>
        <v>8.1341999999999999</v>
      </c>
      <c r="T417" s="194">
        <f t="shared" si="41"/>
        <v>4.0670999999999999</v>
      </c>
    </row>
    <row r="418" spans="1:20" x14ac:dyDescent="0.15">
      <c r="A418" s="8" t="s">
        <v>628</v>
      </c>
      <c r="B418" s="8" t="s">
        <v>47</v>
      </c>
      <c r="C418" s="8" t="s">
        <v>416</v>
      </c>
      <c r="D418" s="8" t="s">
        <v>113</v>
      </c>
      <c r="E418" s="9">
        <v>18.510000000000002</v>
      </c>
      <c r="F418" s="8" t="s">
        <v>469</v>
      </c>
      <c r="G418" s="143">
        <f t="array" ref="G418">INDEX('[23]SENSUS MEI'!$G$9:$G$453,MATCH(1,('[23]SENSUS MEI'!$D$9:$D$453=$D418)*('[23]SENSUS MEI'!$D$9:$D$453=$D418),0))</f>
        <v>2365</v>
      </c>
      <c r="H418" s="11">
        <f t="array" ref="H418">INDEX('[23]SENSUS MEI'!$J$9:$J$453,MATCH(1,('[23]SENSUS MEI'!$D$9:$D$453=$D418)*('[23]SENSUS MEI'!$D$9:$D$453=$D418),0))</f>
        <v>46151</v>
      </c>
      <c r="I418" s="143">
        <f t="array" ref="I418">INDEX('[23]SENSUS MEI'!$K$9:$K$453,MATCH(1,('[23]SENSUS MEI'!$D$9:$D$453=$D418)*('[23]SENSUS MEI'!$D$9:$D$453=$D418),0))</f>
        <v>226</v>
      </c>
      <c r="J418" s="9">
        <f t="array" ref="J418">IFERROR(I418/G418*100,0)</f>
        <v>9.5560253699788582</v>
      </c>
      <c r="K418" s="143">
        <f t="array" ref="K418">INDEX('[23]SENSUS MEI'!$M$9:$M$453,MATCH(1,('[23]SENSUS MEI'!$D$9:$D$453=$D418)*('[23]SENSUS MEI'!$D$9:$D$453=$D418),0))+INDEX('[23]SENSUS MEI'!$O$9:$O$453,MATCH(1,('[23]SENSUS MEI'!$D$9:$D$453=$D418)*('[23]SENSUS MEI'!$D$9:$D$453=$D418),0))</f>
        <v>91</v>
      </c>
      <c r="L418" s="9">
        <f t="shared" si="42"/>
        <v>40.26548672566372</v>
      </c>
      <c r="M418" s="8" t="str">
        <f t="shared" si="37"/>
        <v>Perlu Pengendalian</v>
      </c>
      <c r="P418" s="194">
        <f t="shared" si="38"/>
        <v>10.6425</v>
      </c>
      <c r="Q418" s="194">
        <f t="array" ref="Q418">$P418*0.8</f>
        <v>8.5140000000000011</v>
      </c>
      <c r="R418" s="194">
        <f t="shared" si="39"/>
        <v>6.3854999999999995</v>
      </c>
      <c r="S418" s="194">
        <f t="shared" si="40"/>
        <v>4.2570000000000006</v>
      </c>
      <c r="T418" s="194">
        <f t="shared" si="41"/>
        <v>2.1285000000000003</v>
      </c>
    </row>
    <row r="419" spans="1:20" x14ac:dyDescent="0.15">
      <c r="A419" s="8" t="s">
        <v>628</v>
      </c>
      <c r="B419" s="8" t="s">
        <v>47</v>
      </c>
      <c r="C419" s="8" t="s">
        <v>416</v>
      </c>
      <c r="D419" s="8" t="s">
        <v>114</v>
      </c>
      <c r="E419" s="9">
        <v>20.11</v>
      </c>
      <c r="F419" s="8" t="s">
        <v>469</v>
      </c>
      <c r="G419" s="143">
        <f t="array" ref="G419">INDEX('[23]SENSUS MEI'!$G$9:$G$453,MATCH(1,('[23]SENSUS MEI'!$D$9:$D$453=$D419)*('[23]SENSUS MEI'!$D$9:$D$453=$D419),0))</f>
        <v>2694</v>
      </c>
      <c r="H419" s="11">
        <f t="array" ref="H419">INDEX('[23]SENSUS MEI'!$J$9:$J$453,MATCH(1,('[23]SENSUS MEI'!$D$9:$D$453=$D419)*('[23]SENSUS MEI'!$D$9:$D$453=$D419),0))</f>
        <v>46151</v>
      </c>
      <c r="I419" s="143">
        <f t="array" ref="I419">INDEX('[23]SENSUS MEI'!$K$9:$K$453,MATCH(1,('[23]SENSUS MEI'!$D$9:$D$453=$D419)*('[23]SENSUS MEI'!$D$9:$D$453=$D419),0))</f>
        <v>284</v>
      </c>
      <c r="J419" s="9">
        <f t="array" ref="J419">IFERROR(I419/G419*100,0)</f>
        <v>10.541945063103192</v>
      </c>
      <c r="K419" s="143">
        <f t="array" ref="K419">INDEX('[23]SENSUS MEI'!$M$9:$M$453,MATCH(1,('[23]SENSUS MEI'!$D$9:$D$453=$D419)*('[23]SENSUS MEI'!$D$9:$D$453=$D419),0))+INDEX('[23]SENSUS MEI'!$O$9:$O$453,MATCH(1,('[23]SENSUS MEI'!$D$9:$D$453=$D419)*('[23]SENSUS MEI'!$D$9:$D$453=$D419),0))</f>
        <v>80</v>
      </c>
      <c r="L419" s="9">
        <f t="shared" si="42"/>
        <v>28.169014084507044</v>
      </c>
      <c r="M419" s="8" t="str">
        <f t="shared" si="37"/>
        <v>Perlu Pengendalian</v>
      </c>
      <c r="P419" s="194">
        <f t="shared" si="38"/>
        <v>12.122999999999999</v>
      </c>
      <c r="Q419" s="194">
        <f t="array" ref="Q419">$P419*0.8</f>
        <v>9.6983999999999995</v>
      </c>
      <c r="R419" s="194">
        <f t="shared" si="39"/>
        <v>7.2737999999999996</v>
      </c>
      <c r="S419" s="194">
        <f t="shared" si="40"/>
        <v>4.8491999999999997</v>
      </c>
      <c r="T419" s="194">
        <f t="shared" si="41"/>
        <v>2.4245999999999999</v>
      </c>
    </row>
    <row r="420" spans="1:20" x14ac:dyDescent="0.15">
      <c r="A420" s="8" t="s">
        <v>628</v>
      </c>
      <c r="B420" s="8" t="s">
        <v>47</v>
      </c>
      <c r="C420" s="8" t="s">
        <v>416</v>
      </c>
      <c r="D420" s="8" t="s">
        <v>115</v>
      </c>
      <c r="E420" s="9">
        <v>32.4</v>
      </c>
      <c r="F420" s="8" t="s">
        <v>469</v>
      </c>
      <c r="G420" s="143">
        <f t="array" ref="G420">INDEX('[23]SENSUS MEI'!$G$9:$G$453,MATCH(1,('[23]SENSUS MEI'!$D$9:$D$453=$D420)*('[23]SENSUS MEI'!$D$9:$D$453=$D420),0))</f>
        <v>4087</v>
      </c>
      <c r="H420" s="11">
        <f t="array" ref="H420">INDEX('[23]SENSUS MEI'!$J$9:$J$453,MATCH(1,('[23]SENSUS MEI'!$D$9:$D$453=$D420)*('[23]SENSUS MEI'!$D$9:$D$453=$D420),0))</f>
        <v>46151</v>
      </c>
      <c r="I420" s="143">
        <f t="array" ref="I420">INDEX('[23]SENSUS MEI'!$K$9:$K$453,MATCH(1,('[23]SENSUS MEI'!$D$9:$D$453=$D420)*('[23]SENSUS MEI'!$D$9:$D$453=$D420),0))</f>
        <v>357</v>
      </c>
      <c r="J420" s="9">
        <f t="array" ref="J420">IFERROR(I420/G420*100,0)</f>
        <v>8.735013457303646</v>
      </c>
      <c r="K420" s="143">
        <f t="array" ref="K420">INDEX('[23]SENSUS MEI'!$M$9:$M$453,MATCH(1,('[23]SENSUS MEI'!$D$9:$D$453=$D420)*('[23]SENSUS MEI'!$D$9:$D$453=$D420),0))+INDEX('[23]SENSUS MEI'!$O$9:$O$453,MATCH(1,('[23]SENSUS MEI'!$D$9:$D$453=$D420)*('[23]SENSUS MEI'!$D$9:$D$453=$D420),0))</f>
        <v>62</v>
      </c>
      <c r="L420" s="9">
        <f t="shared" si="42"/>
        <v>17.366946778711483</v>
      </c>
      <c r="M420" s="8" t="str">
        <f t="shared" si="37"/>
        <v>Perlu Pengendalian</v>
      </c>
      <c r="P420" s="194">
        <f t="shared" si="38"/>
        <v>18.391500000000001</v>
      </c>
      <c r="Q420" s="194">
        <f t="array" ref="Q420">$P420*0.8</f>
        <v>14.713200000000001</v>
      </c>
      <c r="R420" s="194">
        <f t="shared" si="39"/>
        <v>11.0349</v>
      </c>
      <c r="S420" s="194">
        <f t="shared" si="40"/>
        <v>7.3566000000000003</v>
      </c>
      <c r="T420" s="194">
        <f t="shared" si="41"/>
        <v>3.6783000000000001</v>
      </c>
    </row>
    <row r="421" spans="1:20" x14ac:dyDescent="0.15">
      <c r="A421" s="8" t="s">
        <v>628</v>
      </c>
      <c r="B421" s="8" t="s">
        <v>47</v>
      </c>
      <c r="C421" s="8" t="s">
        <v>416</v>
      </c>
      <c r="D421" s="8" t="s">
        <v>116</v>
      </c>
      <c r="E421" s="9">
        <v>31.32</v>
      </c>
      <c r="F421" s="8" t="s">
        <v>469</v>
      </c>
      <c r="G421" s="143">
        <f t="array" ref="G421">INDEX('[23]SENSUS MEI'!$G$9:$G$453,MATCH(1,('[23]SENSUS MEI'!$D$9:$D$453=$D421)*('[23]SENSUS MEI'!$D$9:$D$453=$D421),0))</f>
        <v>3927</v>
      </c>
      <c r="H421" s="11">
        <f t="array" ref="H421">INDEX('[23]SENSUS MEI'!$J$9:$J$453,MATCH(1,('[23]SENSUS MEI'!$D$9:$D$453=$D421)*('[23]SENSUS MEI'!$D$9:$D$453=$D421),0))</f>
        <v>46151</v>
      </c>
      <c r="I421" s="143">
        <f t="array" ref="I421">INDEX('[23]SENSUS MEI'!$K$9:$K$453,MATCH(1,('[23]SENSUS MEI'!$D$9:$D$453=$D421)*('[23]SENSUS MEI'!$D$9:$D$453=$D421),0))</f>
        <v>382</v>
      </c>
      <c r="J421" s="9">
        <f t="array" ref="J421">IFERROR(I421/G421*100,0)</f>
        <v>9.7275273745861988</v>
      </c>
      <c r="K421" s="143">
        <f t="array" ref="K421">INDEX('[23]SENSUS MEI'!$M$9:$M$453,MATCH(1,('[23]SENSUS MEI'!$D$9:$D$453=$D421)*('[23]SENSUS MEI'!$D$9:$D$453=$D421),0))+INDEX('[23]SENSUS MEI'!$O$9:$O$453,MATCH(1,('[23]SENSUS MEI'!$D$9:$D$453=$D421)*('[23]SENSUS MEI'!$D$9:$D$453=$D421),0))</f>
        <v>208</v>
      </c>
      <c r="L421" s="9">
        <f t="shared" si="42"/>
        <v>54.450261780104711</v>
      </c>
      <c r="M421" s="8" t="str">
        <f t="shared" si="37"/>
        <v>Perlu Pengendalian</v>
      </c>
      <c r="P421" s="194">
        <f t="shared" si="38"/>
        <v>17.671500000000002</v>
      </c>
      <c r="Q421" s="194">
        <f t="array" ref="Q421">$P421*0.8</f>
        <v>14.137200000000002</v>
      </c>
      <c r="R421" s="194">
        <f t="shared" si="39"/>
        <v>10.6029</v>
      </c>
      <c r="S421" s="194">
        <f t="shared" si="40"/>
        <v>7.0686000000000009</v>
      </c>
      <c r="T421" s="194">
        <f t="shared" si="41"/>
        <v>3.5343000000000004</v>
      </c>
    </row>
    <row r="422" spans="1:20" x14ac:dyDescent="0.15">
      <c r="A422" s="8" t="s">
        <v>628</v>
      </c>
      <c r="B422" s="8" t="s">
        <v>47</v>
      </c>
      <c r="C422" s="8" t="s">
        <v>416</v>
      </c>
      <c r="D422" s="8" t="s">
        <v>117</v>
      </c>
      <c r="E422" s="9">
        <v>34.53</v>
      </c>
      <c r="F422" s="8" t="s">
        <v>469</v>
      </c>
      <c r="G422" s="143">
        <f t="array" ref="G422">INDEX('[23]SENSUS MEI'!$G$9:$G$453,MATCH(1,('[23]SENSUS MEI'!$D$9:$D$453=$D422)*('[23]SENSUS MEI'!$D$9:$D$453=$D422),0))</f>
        <v>4326</v>
      </c>
      <c r="H422" s="11">
        <f t="array" ref="H422">INDEX('[23]SENSUS MEI'!$J$9:$J$453,MATCH(1,('[23]SENSUS MEI'!$D$9:$D$453=$D422)*('[23]SENSUS MEI'!$D$9:$D$453=$D422),0))</f>
        <v>46151</v>
      </c>
      <c r="I422" s="143">
        <f t="array" ref="I422">INDEX('[23]SENSUS MEI'!$K$9:$K$453,MATCH(1,('[23]SENSUS MEI'!$D$9:$D$453=$D422)*('[23]SENSUS MEI'!$D$9:$D$453=$D422),0))</f>
        <v>450</v>
      </c>
      <c r="J422" s="9">
        <f t="array" ref="J422">IFERROR(I422/G422*100,0)</f>
        <v>10.402219140083217</v>
      </c>
      <c r="K422" s="143">
        <f t="array" ref="K422">INDEX('[23]SENSUS MEI'!$M$9:$M$453,MATCH(1,('[23]SENSUS MEI'!$D$9:$D$453=$D422)*('[23]SENSUS MEI'!$D$9:$D$453=$D422),0))+INDEX('[23]SENSUS MEI'!$O$9:$O$453,MATCH(1,('[23]SENSUS MEI'!$D$9:$D$453=$D422)*('[23]SENSUS MEI'!$D$9:$D$453=$D422),0))</f>
        <v>137</v>
      </c>
      <c r="L422" s="9">
        <f t="shared" si="42"/>
        <v>30.444444444444446</v>
      </c>
      <c r="M422" s="8" t="str">
        <f t="shared" si="37"/>
        <v>Perlu Pengendalian</v>
      </c>
      <c r="P422" s="194">
        <f t="shared" si="38"/>
        <v>19.466999999999999</v>
      </c>
      <c r="Q422" s="194">
        <f t="array" ref="Q422">$P422*0.8</f>
        <v>15.573599999999999</v>
      </c>
      <c r="R422" s="194">
        <f t="shared" si="39"/>
        <v>11.680199999999999</v>
      </c>
      <c r="S422" s="194">
        <f t="shared" si="40"/>
        <v>7.7867999999999995</v>
      </c>
      <c r="T422" s="194">
        <f t="shared" si="41"/>
        <v>3.8933999999999997</v>
      </c>
    </row>
    <row r="423" spans="1:20" x14ac:dyDescent="0.15">
      <c r="A423" s="8" t="s">
        <v>628</v>
      </c>
      <c r="B423" s="8" t="s">
        <v>47</v>
      </c>
      <c r="C423" s="8" t="s">
        <v>416</v>
      </c>
      <c r="D423" s="8" t="s">
        <v>118</v>
      </c>
      <c r="E423" s="9">
        <v>44.2</v>
      </c>
      <c r="F423" s="8" t="s">
        <v>469</v>
      </c>
      <c r="G423" s="143">
        <f t="array" ref="G423">INDEX('[23]SENSUS MEI'!$G$9:$G$453,MATCH(1,('[23]SENSUS MEI'!$D$9:$D$453=$D423)*('[23]SENSUS MEI'!$D$9:$D$453=$D423),0))</f>
        <v>5800</v>
      </c>
      <c r="H423" s="11">
        <f t="array" ref="H423">INDEX('[23]SENSUS MEI'!$J$9:$J$453,MATCH(1,('[23]SENSUS MEI'!$D$9:$D$453=$D423)*('[23]SENSUS MEI'!$D$9:$D$453=$D423),0))</f>
        <v>46151</v>
      </c>
      <c r="I423" s="143">
        <f t="array" ref="I423">INDEX('[23]SENSUS MEI'!$K$9:$K$453,MATCH(1,('[23]SENSUS MEI'!$D$9:$D$453=$D423)*('[23]SENSUS MEI'!$D$9:$D$453=$D423),0))</f>
        <v>552</v>
      </c>
      <c r="J423" s="9">
        <f t="array" ref="J423">IFERROR(I423/G423*100,0)</f>
        <v>9.5172413793103434</v>
      </c>
      <c r="K423" s="143">
        <f t="array" ref="K423">INDEX('[23]SENSUS MEI'!$M$9:$M$453,MATCH(1,('[23]SENSUS MEI'!$D$9:$D$453=$D423)*('[23]SENSUS MEI'!$D$9:$D$453=$D423),0))+INDEX('[23]SENSUS MEI'!$O$9:$O$453,MATCH(1,('[23]SENSUS MEI'!$D$9:$D$453=$D423)*('[23]SENSUS MEI'!$D$9:$D$453=$D423),0))</f>
        <v>128</v>
      </c>
      <c r="L423" s="9">
        <f t="shared" si="42"/>
        <v>23.188405797101449</v>
      </c>
      <c r="M423" s="8" t="str">
        <f t="shared" si="37"/>
        <v>Perlu Pengendalian</v>
      </c>
      <c r="P423" s="194">
        <f t="shared" si="38"/>
        <v>26.1</v>
      </c>
      <c r="Q423" s="194">
        <f t="array" ref="Q423">$P423*0.8</f>
        <v>20.880000000000003</v>
      </c>
      <c r="R423" s="194">
        <f t="shared" si="39"/>
        <v>15.66</v>
      </c>
      <c r="S423" s="194">
        <f t="shared" si="40"/>
        <v>10.440000000000001</v>
      </c>
      <c r="T423" s="194">
        <f t="shared" si="41"/>
        <v>5.2200000000000006</v>
      </c>
    </row>
    <row r="424" spans="1:20" x14ac:dyDescent="0.15">
      <c r="A424" s="8" t="s">
        <v>628</v>
      </c>
      <c r="B424" s="8" t="s">
        <v>47</v>
      </c>
      <c r="C424" s="8" t="s">
        <v>416</v>
      </c>
      <c r="D424" s="8" t="s">
        <v>929</v>
      </c>
      <c r="E424" s="9">
        <v>10.5</v>
      </c>
      <c r="F424" s="8" t="s">
        <v>469</v>
      </c>
      <c r="G424" s="143">
        <f t="array" ref="G424">INDEX('[23]SENSUS MEI'!$G$9:$G$453,MATCH(1,('[23]SENSUS MEI'!$D$9:$D$453=$D424)*('[23]SENSUS MEI'!$D$9:$D$453=$D424),0))</f>
        <v>1311</v>
      </c>
      <c r="H424" s="11">
        <f t="array" ref="H424">INDEX('[23]SENSUS MEI'!$J$9:$J$453,MATCH(1,('[23]SENSUS MEI'!$D$9:$D$453=$D424)*('[23]SENSUS MEI'!$D$9:$D$453=$D424),0))</f>
        <v>46151</v>
      </c>
      <c r="I424" s="143">
        <f t="array" ref="I424">INDEX('[23]SENSUS MEI'!$K$9:$K$453,MATCH(1,('[23]SENSUS MEI'!$D$9:$D$453=$D424)*('[23]SENSUS MEI'!$D$9:$D$453=$D424),0))</f>
        <v>128</v>
      </c>
      <c r="J424" s="9">
        <f t="array" ref="J424">IFERROR(I424/G424*100,0)</f>
        <v>9.7635392829900844</v>
      </c>
      <c r="K424" s="143">
        <f t="array" ref="K424">INDEX('[23]SENSUS MEI'!$M$9:$M$453,MATCH(1,('[23]SENSUS MEI'!$D$9:$D$453=$D424)*('[23]SENSUS MEI'!$D$9:$D$453=$D424),0))+INDEX('[23]SENSUS MEI'!$O$9:$O$453,MATCH(1,('[23]SENSUS MEI'!$D$9:$D$453=$D424)*('[23]SENSUS MEI'!$D$9:$D$453=$D424),0))</f>
        <v>53</v>
      </c>
      <c r="L424" s="9">
        <f t="shared" si="42"/>
        <v>41.40625</v>
      </c>
      <c r="M424" s="8" t="str">
        <f t="shared" si="37"/>
        <v>Perlu Pengendalian</v>
      </c>
      <c r="P424" s="194">
        <f t="shared" si="38"/>
        <v>5.8994999999999997</v>
      </c>
      <c r="Q424" s="194">
        <f t="array" ref="Q424">$P424*0.8</f>
        <v>4.7195999999999998</v>
      </c>
      <c r="R424" s="194">
        <f t="shared" si="39"/>
        <v>3.5396999999999998</v>
      </c>
      <c r="S424" s="194">
        <f t="shared" si="40"/>
        <v>2.3597999999999999</v>
      </c>
      <c r="T424" s="194">
        <f t="shared" si="41"/>
        <v>1.1798999999999999</v>
      </c>
    </row>
    <row r="425" spans="1:20" x14ac:dyDescent="0.15">
      <c r="A425" s="8" t="s">
        <v>628</v>
      </c>
      <c r="B425" s="8" t="s">
        <v>47</v>
      </c>
      <c r="C425" s="8" t="s">
        <v>416</v>
      </c>
      <c r="D425" s="8" t="s">
        <v>930</v>
      </c>
      <c r="E425" s="9">
        <v>6.22</v>
      </c>
      <c r="F425" s="8" t="s">
        <v>469</v>
      </c>
      <c r="G425" s="143">
        <f t="array" ref="G425">INDEX('[23]SENSUS MEI'!$G$9:$G$453,MATCH(1,('[23]SENSUS MEI'!$D$9:$D$453=$D425)*('[23]SENSUS MEI'!$D$9:$D$453=$D425),0))</f>
        <v>812</v>
      </c>
      <c r="H425" s="11">
        <f t="array" ref="H425">INDEX('[23]SENSUS MEI'!$J$9:$J$453,MATCH(1,('[23]SENSUS MEI'!$D$9:$D$453=$D425)*('[23]SENSUS MEI'!$D$9:$D$453=$D425),0))</f>
        <v>46151</v>
      </c>
      <c r="I425" s="143">
        <f t="array" ref="I425">INDEX('[23]SENSUS MEI'!$K$9:$K$453,MATCH(1,('[23]SENSUS MEI'!$D$9:$D$453=$D425)*('[23]SENSUS MEI'!$D$9:$D$453=$D425),0))</f>
        <v>84</v>
      </c>
      <c r="J425" s="9">
        <f t="array" ref="J425">IFERROR(I425/G425*100,0)</f>
        <v>10.344827586206897</v>
      </c>
      <c r="K425" s="143">
        <f t="array" ref="K425">INDEX('[23]SENSUS MEI'!$M$9:$M$453,MATCH(1,('[23]SENSUS MEI'!$D$9:$D$453=$D425)*('[23]SENSUS MEI'!$D$9:$D$453=$D425),0))+INDEX('[23]SENSUS MEI'!$O$9:$O$453,MATCH(1,('[23]SENSUS MEI'!$D$9:$D$453=$D425)*('[23]SENSUS MEI'!$D$9:$D$453=$D425),0))</f>
        <v>32</v>
      </c>
      <c r="L425" s="9">
        <f t="shared" si="42"/>
        <v>38.095238095238095</v>
      </c>
      <c r="M425" s="8" t="str">
        <f t="shared" si="37"/>
        <v>Perlu Pengendalian</v>
      </c>
      <c r="P425" s="194">
        <f t="shared" si="38"/>
        <v>3.6539999999999999</v>
      </c>
      <c r="Q425" s="194">
        <f t="array" ref="Q425">$P425*0.8</f>
        <v>2.9232</v>
      </c>
      <c r="R425" s="194">
        <f t="shared" si="39"/>
        <v>2.1923999999999997</v>
      </c>
      <c r="S425" s="194">
        <f t="shared" si="40"/>
        <v>1.4616</v>
      </c>
      <c r="T425" s="194">
        <f t="shared" si="41"/>
        <v>0.73080000000000001</v>
      </c>
    </row>
    <row r="426" spans="1:20" x14ac:dyDescent="0.15">
      <c r="A426" s="8" t="s">
        <v>628</v>
      </c>
      <c r="B426" s="8" t="s">
        <v>47</v>
      </c>
      <c r="C426" s="8" t="s">
        <v>416</v>
      </c>
      <c r="D426" s="8" t="s">
        <v>931</v>
      </c>
      <c r="E426" s="9">
        <v>5.79</v>
      </c>
      <c r="F426" s="8" t="s">
        <v>469</v>
      </c>
      <c r="G426" s="143">
        <f t="array" ref="G426">INDEX('[23]SENSUS MEI'!$G$9:$G$453,MATCH(1,('[23]SENSUS MEI'!$D$9:$D$453=$D426)*('[23]SENSUS MEI'!$D$9:$D$453=$D426),0))</f>
        <v>659</v>
      </c>
      <c r="H426" s="11">
        <f t="array" ref="H426">INDEX('[23]SENSUS MEI'!$J$9:$J$453,MATCH(1,('[23]SENSUS MEI'!$D$9:$D$453=$D426)*('[23]SENSUS MEI'!$D$9:$D$453=$D426),0))</f>
        <v>46151</v>
      </c>
      <c r="I426" s="143">
        <f t="array" ref="I426">INDEX('[23]SENSUS MEI'!$K$9:$K$453,MATCH(1,('[23]SENSUS MEI'!$D$9:$D$453=$D426)*('[23]SENSUS MEI'!$D$9:$D$453=$D426),0))</f>
        <v>80</v>
      </c>
      <c r="J426" s="9">
        <f t="array" ref="J426">IFERROR(I426/G426*100,0)</f>
        <v>12.139605462822459</v>
      </c>
      <c r="K426" s="143">
        <f t="array" ref="K426">INDEX('[23]SENSUS MEI'!$M$9:$M$453,MATCH(1,('[23]SENSUS MEI'!$D$9:$D$453=$D426)*('[23]SENSUS MEI'!$D$9:$D$453=$D426),0))+INDEX('[23]SENSUS MEI'!$O$9:$O$453,MATCH(1,('[23]SENSUS MEI'!$D$9:$D$453=$D426)*('[23]SENSUS MEI'!$D$9:$D$453=$D426),0))</f>
        <v>32</v>
      </c>
      <c r="L426" s="9">
        <f t="shared" si="42"/>
        <v>40</v>
      </c>
      <c r="M426" s="8" t="str">
        <f t="shared" si="37"/>
        <v>Perlu Pengendalian</v>
      </c>
      <c r="P426" s="194">
        <f t="shared" si="38"/>
        <v>2.9655</v>
      </c>
      <c r="Q426" s="194">
        <f t="array" ref="Q426">$P426*0.8</f>
        <v>2.3724000000000003</v>
      </c>
      <c r="R426" s="194">
        <f t="shared" si="39"/>
        <v>1.7792999999999999</v>
      </c>
      <c r="S426" s="194">
        <f t="shared" si="40"/>
        <v>1.1862000000000001</v>
      </c>
      <c r="T426" s="194">
        <f t="shared" si="41"/>
        <v>0.59310000000000007</v>
      </c>
    </row>
    <row r="427" spans="1:20" x14ac:dyDescent="0.15">
      <c r="A427" s="8" t="s">
        <v>628</v>
      </c>
      <c r="B427" s="8" t="s">
        <v>47</v>
      </c>
      <c r="C427" s="8" t="s">
        <v>416</v>
      </c>
      <c r="D427" s="8" t="s">
        <v>932</v>
      </c>
      <c r="E427" s="9">
        <v>1.43</v>
      </c>
      <c r="F427" s="8" t="s">
        <v>469</v>
      </c>
      <c r="G427" s="143">
        <f t="array" ref="G427">INDEX('[23]SENSUS MEI'!$G$9:$G$453,MATCH(1,('[23]SENSUS MEI'!$D$9:$D$453=$D427)*('[23]SENSUS MEI'!$D$9:$D$453=$D427),0))</f>
        <v>112</v>
      </c>
      <c r="H427" s="11">
        <f t="array" ref="H427">INDEX('[23]SENSUS MEI'!$J$9:$J$453,MATCH(1,('[23]SENSUS MEI'!$D$9:$D$453=$D427)*('[23]SENSUS MEI'!$D$9:$D$453=$D427),0))</f>
        <v>46151</v>
      </c>
      <c r="I427" s="143">
        <f t="array" ref="I427">INDEX('[23]SENSUS MEI'!$K$9:$K$453,MATCH(1,('[23]SENSUS MEI'!$D$9:$D$453=$D427)*('[23]SENSUS MEI'!$D$9:$D$453=$D427),0))</f>
        <v>13</v>
      </c>
      <c r="J427" s="9">
        <f t="array" ref="J427">IFERROR(I427/G427*100,0)</f>
        <v>11.607142857142858</v>
      </c>
      <c r="K427" s="143">
        <f t="array" ref="K427">INDEX('[23]SENSUS MEI'!$M$9:$M$453,MATCH(1,('[23]SENSUS MEI'!$D$9:$D$453=$D427)*('[23]SENSUS MEI'!$D$9:$D$453=$D427),0))+INDEX('[23]SENSUS MEI'!$O$9:$O$453,MATCH(1,('[23]SENSUS MEI'!$D$9:$D$453=$D427)*('[23]SENSUS MEI'!$D$9:$D$453=$D427),0))</f>
        <v>8</v>
      </c>
      <c r="L427" s="9">
        <f t="shared" si="42"/>
        <v>61.53846153846154</v>
      </c>
      <c r="M427" s="8" t="str">
        <f t="shared" si="37"/>
        <v>Perlu Pengendalian</v>
      </c>
      <c r="P427" s="194">
        <f t="shared" si="38"/>
        <v>0.504</v>
      </c>
      <c r="Q427" s="194">
        <f t="array" ref="Q427">$P427*0.8</f>
        <v>0.4032</v>
      </c>
      <c r="R427" s="194">
        <f t="shared" si="39"/>
        <v>0.3024</v>
      </c>
      <c r="S427" s="194">
        <f t="shared" si="40"/>
        <v>0.2016</v>
      </c>
      <c r="T427" s="194">
        <f t="shared" si="41"/>
        <v>0.1008</v>
      </c>
    </row>
    <row r="428" spans="1:20" x14ac:dyDescent="0.15">
      <c r="A428" s="8" t="s">
        <v>628</v>
      </c>
      <c r="B428" s="8" t="s">
        <v>47</v>
      </c>
      <c r="C428" s="8" t="s">
        <v>416</v>
      </c>
      <c r="D428" s="8" t="s">
        <v>126</v>
      </c>
      <c r="E428" s="9">
        <v>3.32</v>
      </c>
      <c r="F428" s="8" t="s">
        <v>469</v>
      </c>
      <c r="G428" s="143">
        <f t="array" ref="G428">INDEX('[23]SENSUS MEI'!$G$9:$G$453,MATCH(1,('[23]SENSUS MEI'!$D$9:$D$453=$D428)*('[23]SENSUS MEI'!$D$9:$D$453=$D428),0))</f>
        <v>469</v>
      </c>
      <c r="H428" s="11">
        <f t="array" ref="H428">INDEX('[23]SENSUS MEI'!$J$9:$J$453,MATCH(1,('[23]SENSUS MEI'!$D$9:$D$453=$D428)*('[23]SENSUS MEI'!$D$9:$D$453=$D428),0))</f>
        <v>46151</v>
      </c>
      <c r="I428" s="143">
        <f t="array" ref="I428">INDEX('[23]SENSUS MEI'!$K$9:$K$453,MATCH(1,('[23]SENSUS MEI'!$D$9:$D$453=$D428)*('[23]SENSUS MEI'!$D$9:$D$453=$D428),0))</f>
        <v>27</v>
      </c>
      <c r="J428" s="9">
        <f t="array" ref="J428">IFERROR(I428/G428*100,0)</f>
        <v>5.7569296375266523</v>
      </c>
      <c r="K428" s="143">
        <f t="array" ref="K428">INDEX('[23]SENSUS MEI'!$M$9:$M$453,MATCH(1,('[23]SENSUS MEI'!$D$9:$D$453=$D428)*('[23]SENSUS MEI'!$D$9:$D$453=$D428),0))+INDEX('[23]SENSUS MEI'!$O$9:$O$453,MATCH(1,('[23]SENSUS MEI'!$D$9:$D$453=$D428)*('[23]SENSUS MEI'!$D$9:$D$453=$D428),0))</f>
        <v>11</v>
      </c>
      <c r="L428" s="9">
        <f t="shared" si="42"/>
        <v>40.74074074074074</v>
      </c>
      <c r="M428" s="8" t="str">
        <f t="shared" si="37"/>
        <v>Perlu Pengendalian</v>
      </c>
      <c r="P428" s="194">
        <f t="shared" si="38"/>
        <v>2.1105</v>
      </c>
      <c r="Q428" s="194">
        <f t="array" ref="Q428">$P428*0.8</f>
        <v>1.6884000000000001</v>
      </c>
      <c r="R428" s="194">
        <f t="shared" si="39"/>
        <v>1.2663</v>
      </c>
      <c r="S428" s="194">
        <f t="shared" si="40"/>
        <v>0.84420000000000006</v>
      </c>
      <c r="T428" s="194">
        <f t="shared" si="41"/>
        <v>0.42210000000000003</v>
      </c>
    </row>
    <row r="429" spans="1:20" x14ac:dyDescent="0.15">
      <c r="A429" s="8" t="s">
        <v>628</v>
      </c>
      <c r="B429" s="8" t="s">
        <v>47</v>
      </c>
      <c r="C429" s="8" t="s">
        <v>416</v>
      </c>
      <c r="D429" s="8" t="s">
        <v>127</v>
      </c>
      <c r="E429" s="9">
        <v>4.5999999999999996</v>
      </c>
      <c r="F429" s="8" t="s">
        <v>469</v>
      </c>
      <c r="G429" s="143">
        <f t="array" ref="G429">INDEX('[23]SENSUS MEI'!$G$9:$G$453,MATCH(1,('[23]SENSUS MEI'!$D$9:$D$453=$D429)*('[23]SENSUS MEI'!$D$9:$D$453=$D429),0))</f>
        <v>601</v>
      </c>
      <c r="H429" s="11">
        <f t="array" ref="H429">INDEX('[23]SENSUS MEI'!$J$9:$J$453,MATCH(1,('[23]SENSUS MEI'!$D$9:$D$453=$D429)*('[23]SENSUS MEI'!$D$9:$D$453=$D429),0))</f>
        <v>46151</v>
      </c>
      <c r="I429" s="143">
        <f t="array" ref="I429">INDEX('[23]SENSUS MEI'!$K$9:$K$453,MATCH(1,('[23]SENSUS MEI'!$D$9:$D$453=$D429)*('[23]SENSUS MEI'!$D$9:$D$453=$D429),0))</f>
        <v>60</v>
      </c>
      <c r="J429" s="9">
        <f t="array" ref="J429">IFERROR(I429/G429*100,0)</f>
        <v>9.9833610648918469</v>
      </c>
      <c r="K429" s="143">
        <f t="array" ref="K429">INDEX('[23]SENSUS MEI'!$M$9:$M$453,MATCH(1,('[23]SENSUS MEI'!$D$9:$D$453=$D429)*('[23]SENSUS MEI'!$D$9:$D$453=$D429),0))+INDEX('[23]SENSUS MEI'!$O$9:$O$453,MATCH(1,('[23]SENSUS MEI'!$D$9:$D$453=$D429)*('[23]SENSUS MEI'!$D$9:$D$453=$D429),0))</f>
        <v>15</v>
      </c>
      <c r="L429" s="9">
        <f t="shared" si="42"/>
        <v>25</v>
      </c>
      <c r="M429" s="8" t="str">
        <f t="shared" si="37"/>
        <v>Perlu Pengendalian</v>
      </c>
      <c r="P429" s="194">
        <f t="shared" si="38"/>
        <v>2.7044999999999999</v>
      </c>
      <c r="Q429" s="194">
        <f t="array" ref="Q429">$P429*0.8</f>
        <v>2.1636000000000002</v>
      </c>
      <c r="R429" s="194">
        <f t="shared" si="39"/>
        <v>1.6226999999999998</v>
      </c>
      <c r="S429" s="194">
        <f t="shared" si="40"/>
        <v>1.0818000000000001</v>
      </c>
      <c r="T429" s="194">
        <f t="shared" si="41"/>
        <v>0.54090000000000005</v>
      </c>
    </row>
    <row r="430" spans="1:20" x14ac:dyDescent="0.15">
      <c r="A430" s="8" t="s">
        <v>628</v>
      </c>
      <c r="B430" s="8" t="s">
        <v>47</v>
      </c>
      <c r="C430" s="8" t="s">
        <v>416</v>
      </c>
      <c r="D430" s="8" t="s">
        <v>128</v>
      </c>
      <c r="E430" s="9">
        <v>10.27</v>
      </c>
      <c r="F430" s="8" t="s">
        <v>469</v>
      </c>
      <c r="G430" s="143">
        <f t="array" ref="G430">INDEX('[23]SENSUS MEI'!$G$9:$G$453,MATCH(1,('[23]SENSUS MEI'!$D$9:$D$453=$D430)*('[23]SENSUS MEI'!$D$9:$D$453=$D430),0))</f>
        <v>1570</v>
      </c>
      <c r="H430" s="11">
        <f t="array" ref="H430">INDEX('[23]SENSUS MEI'!$J$9:$J$453,MATCH(1,('[23]SENSUS MEI'!$D$9:$D$453=$D430)*('[23]SENSUS MEI'!$D$9:$D$453=$D430),0))</f>
        <v>46151</v>
      </c>
      <c r="I430" s="143">
        <f t="array" ref="I430">INDEX('[23]SENSUS MEI'!$K$9:$K$453,MATCH(1,('[23]SENSUS MEI'!$D$9:$D$453=$D430)*('[23]SENSUS MEI'!$D$9:$D$453=$D430),0))</f>
        <v>156</v>
      </c>
      <c r="J430" s="9">
        <f t="array" ref="J430">IFERROR(I430/G430*100,0)</f>
        <v>9.9363057324840778</v>
      </c>
      <c r="K430" s="143">
        <f t="array" ref="K430">INDEX('[23]SENSUS MEI'!$M$9:$M$453,MATCH(1,('[23]SENSUS MEI'!$D$9:$D$453=$D430)*('[23]SENSUS MEI'!$D$9:$D$453=$D430),0))+INDEX('[23]SENSUS MEI'!$O$9:$O$453,MATCH(1,('[23]SENSUS MEI'!$D$9:$D$453=$D430)*('[23]SENSUS MEI'!$D$9:$D$453=$D430),0))</f>
        <v>23</v>
      </c>
      <c r="L430" s="9">
        <f t="shared" si="42"/>
        <v>14.743589743589745</v>
      </c>
      <c r="M430" s="8" t="str">
        <f t="shared" si="37"/>
        <v>Perlu Pengendalian</v>
      </c>
      <c r="P430" s="194">
        <f t="shared" si="38"/>
        <v>7.0650000000000004</v>
      </c>
      <c r="Q430" s="194">
        <f t="array" ref="Q430">$P430*0.8</f>
        <v>5.652000000000001</v>
      </c>
      <c r="R430" s="194">
        <f t="shared" si="39"/>
        <v>4.2389999999999999</v>
      </c>
      <c r="S430" s="194">
        <f t="shared" si="40"/>
        <v>2.8260000000000005</v>
      </c>
      <c r="T430" s="194">
        <f t="shared" si="41"/>
        <v>1.4130000000000003</v>
      </c>
    </row>
    <row r="431" spans="1:20" x14ac:dyDescent="0.15">
      <c r="A431" s="8" t="s">
        <v>628</v>
      </c>
      <c r="B431" s="8" t="s">
        <v>47</v>
      </c>
      <c r="C431" s="8" t="s">
        <v>416</v>
      </c>
      <c r="D431" s="8" t="s">
        <v>129</v>
      </c>
      <c r="E431" s="9">
        <v>15.99</v>
      </c>
      <c r="F431" s="8" t="s">
        <v>469</v>
      </c>
      <c r="G431" s="143">
        <f t="array" ref="G431">INDEX('[23]SENSUS MEI'!$G$9:$G$453,MATCH(1,('[23]SENSUS MEI'!$D$9:$D$453=$D431)*('[23]SENSUS MEI'!$D$9:$D$453=$D431),0))</f>
        <v>2209</v>
      </c>
      <c r="H431" s="11">
        <f t="array" ref="H431">INDEX('[23]SENSUS MEI'!$J$9:$J$453,MATCH(1,('[23]SENSUS MEI'!$D$9:$D$453=$D431)*('[23]SENSUS MEI'!$D$9:$D$453=$D431),0))</f>
        <v>46151</v>
      </c>
      <c r="I431" s="143">
        <f t="array" ref="I431">INDEX('[23]SENSUS MEI'!$K$9:$K$453,MATCH(1,('[23]SENSUS MEI'!$D$9:$D$453=$D431)*('[23]SENSUS MEI'!$D$9:$D$453=$D431),0))</f>
        <v>240</v>
      </c>
      <c r="J431" s="9">
        <f t="array" ref="J431">IFERROR(I431/G431*100,0)</f>
        <v>10.86464463558171</v>
      </c>
      <c r="K431" s="143">
        <f t="array" ref="K431">INDEX('[23]SENSUS MEI'!$M$9:$M$453,MATCH(1,('[23]SENSUS MEI'!$D$9:$D$453=$D431)*('[23]SENSUS MEI'!$D$9:$D$453=$D431),0))+INDEX('[23]SENSUS MEI'!$O$9:$O$453,MATCH(1,('[23]SENSUS MEI'!$D$9:$D$453=$D431)*('[23]SENSUS MEI'!$D$9:$D$453=$D431),0))</f>
        <v>41</v>
      </c>
      <c r="L431" s="9">
        <f t="shared" si="42"/>
        <v>17.083333333333332</v>
      </c>
      <c r="M431" s="8" t="str">
        <f t="shared" si="37"/>
        <v>Perlu Pengendalian</v>
      </c>
      <c r="P431" s="194">
        <f t="shared" si="38"/>
        <v>9.9405000000000001</v>
      </c>
      <c r="Q431" s="194">
        <f t="array" ref="Q431">$P431*0.8</f>
        <v>7.9524000000000008</v>
      </c>
      <c r="R431" s="194">
        <f t="shared" si="39"/>
        <v>5.9642999999999997</v>
      </c>
      <c r="S431" s="194">
        <f t="shared" si="40"/>
        <v>3.9762000000000004</v>
      </c>
      <c r="T431" s="194">
        <f t="shared" si="41"/>
        <v>1.9881000000000002</v>
      </c>
    </row>
    <row r="432" spans="1:20" x14ac:dyDescent="0.15">
      <c r="A432" s="8" t="s">
        <v>628</v>
      </c>
      <c r="B432" s="8" t="s">
        <v>47</v>
      </c>
      <c r="C432" s="8" t="s">
        <v>416</v>
      </c>
      <c r="D432" s="8" t="s">
        <v>130</v>
      </c>
      <c r="E432" s="9">
        <v>33.450000000000003</v>
      </c>
      <c r="F432" s="8" t="s">
        <v>469</v>
      </c>
      <c r="G432" s="143">
        <f t="array" ref="G432">INDEX('[23]SENSUS MEI'!$G$9:$G$453,MATCH(1,('[23]SENSUS MEI'!$D$9:$D$453=$D432)*('[23]SENSUS MEI'!$D$9:$D$453=$D432),0))</f>
        <v>3877</v>
      </c>
      <c r="H432" s="11">
        <f t="array" ref="H432">INDEX('[23]SENSUS MEI'!$J$9:$J$453,MATCH(1,('[23]SENSUS MEI'!$D$9:$D$453=$D432)*('[23]SENSUS MEI'!$D$9:$D$453=$D432),0))</f>
        <v>46153</v>
      </c>
      <c r="I432" s="143">
        <f t="array" ref="I432">INDEX('[23]SENSUS MEI'!$K$9:$K$453,MATCH(1,('[23]SENSUS MEI'!$D$9:$D$453=$D432)*('[23]SENSUS MEI'!$D$9:$D$453=$D432),0))</f>
        <v>404</v>
      </c>
      <c r="J432" s="9">
        <f t="array" ref="J432">IFERROR(I432/G432*100,0)</f>
        <v>10.420428166107815</v>
      </c>
      <c r="K432" s="143">
        <f t="array" ref="K432">INDEX('[23]SENSUS MEI'!$M$9:$M$453,MATCH(1,('[23]SENSUS MEI'!$D$9:$D$453=$D432)*('[23]SENSUS MEI'!$D$9:$D$453=$D432),0))+INDEX('[23]SENSUS MEI'!$O$9:$O$453,MATCH(1,('[23]SENSUS MEI'!$D$9:$D$453=$D432)*('[23]SENSUS MEI'!$D$9:$D$453=$D432),0))</f>
        <v>53</v>
      </c>
      <c r="L432" s="9">
        <f t="shared" si="42"/>
        <v>13.118811881188119</v>
      </c>
      <c r="M432" s="8" t="str">
        <f t="shared" si="37"/>
        <v>Perlu Pengendalian</v>
      </c>
      <c r="P432" s="194">
        <f t="shared" si="38"/>
        <v>17.4465</v>
      </c>
      <c r="Q432" s="194">
        <f t="array" ref="Q432">$P432*0.8</f>
        <v>13.9572</v>
      </c>
      <c r="R432" s="194">
        <f t="shared" si="39"/>
        <v>10.4679</v>
      </c>
      <c r="S432" s="194">
        <f t="shared" si="40"/>
        <v>6.9786000000000001</v>
      </c>
      <c r="T432" s="194">
        <f t="shared" si="41"/>
        <v>3.4893000000000001</v>
      </c>
    </row>
    <row r="433" spans="1:20" x14ac:dyDescent="0.15">
      <c r="A433" s="8" t="s">
        <v>628</v>
      </c>
      <c r="B433" s="8" t="s">
        <v>47</v>
      </c>
      <c r="C433" s="8" t="s">
        <v>416</v>
      </c>
      <c r="D433" s="8" t="s">
        <v>357</v>
      </c>
      <c r="E433" s="9">
        <v>42.71</v>
      </c>
      <c r="F433" s="8" t="s">
        <v>469</v>
      </c>
      <c r="G433" s="143">
        <f t="array" ref="G433">INDEX('[23]SENSUS MEI'!$G$9:$G$453,MATCH(1,('[23]SENSUS MEI'!$D$9:$D$453=$D433)*('[23]SENSUS MEI'!$D$9:$D$453=$D433),0))</f>
        <v>4850</v>
      </c>
      <c r="H433" s="11">
        <f t="array" ref="H433">INDEX('[23]SENSUS MEI'!$J$9:$J$453,MATCH(1,('[23]SENSUS MEI'!$D$9:$D$453=$D433)*('[23]SENSUS MEI'!$D$9:$D$453=$D433),0))</f>
        <v>46153</v>
      </c>
      <c r="I433" s="143">
        <f t="array" ref="I433">INDEX('[23]SENSUS MEI'!$K$9:$K$453,MATCH(1,('[23]SENSUS MEI'!$D$9:$D$453=$D433)*('[23]SENSUS MEI'!$D$9:$D$453=$D433),0))</f>
        <v>577</v>
      </c>
      <c r="J433" s="9">
        <f t="array" ref="J433">IFERROR(I433/G433*100,0)</f>
        <v>11.896907216494846</v>
      </c>
      <c r="K433" s="143">
        <f t="array" ref="K433">INDEX('[23]SENSUS MEI'!$M$9:$M$453,MATCH(1,('[23]SENSUS MEI'!$D$9:$D$453=$D433)*('[23]SENSUS MEI'!$D$9:$D$453=$D433),0))+INDEX('[23]SENSUS MEI'!$O$9:$O$453,MATCH(1,('[23]SENSUS MEI'!$D$9:$D$453=$D433)*('[23]SENSUS MEI'!$D$9:$D$453=$D433),0))</f>
        <v>118</v>
      </c>
      <c r="L433" s="9">
        <f t="shared" si="42"/>
        <v>20.450606585788559</v>
      </c>
      <c r="M433" s="8" t="str">
        <f t="shared" si="37"/>
        <v>Perlu Pengendalian</v>
      </c>
      <c r="P433" s="194">
        <f t="shared" si="38"/>
        <v>21.824999999999999</v>
      </c>
      <c r="Q433" s="194">
        <f t="array" ref="Q433">$P433*0.8</f>
        <v>17.46</v>
      </c>
      <c r="R433" s="194">
        <f t="shared" si="39"/>
        <v>13.094999999999999</v>
      </c>
      <c r="S433" s="194">
        <f t="shared" si="40"/>
        <v>8.73</v>
      </c>
      <c r="T433" s="194">
        <f t="shared" si="41"/>
        <v>4.3650000000000002</v>
      </c>
    </row>
    <row r="434" spans="1:20" x14ac:dyDescent="0.15">
      <c r="A434" s="8" t="s">
        <v>628</v>
      </c>
      <c r="B434" s="8" t="s">
        <v>47</v>
      </c>
      <c r="C434" s="8" t="s">
        <v>416</v>
      </c>
      <c r="D434" s="8" t="s">
        <v>358</v>
      </c>
      <c r="E434" s="9">
        <v>11.78</v>
      </c>
      <c r="F434" s="8" t="s">
        <v>469</v>
      </c>
      <c r="G434" s="143">
        <f t="array" ref="G434">INDEX('[23]SENSUS MEI'!$G$9:$G$453,MATCH(1,('[23]SENSUS MEI'!$D$9:$D$453=$D434)*('[23]SENSUS MEI'!$D$9:$D$453=$D434),0))</f>
        <v>1559</v>
      </c>
      <c r="H434" s="11">
        <f t="array" ref="H434">INDEX('[23]SENSUS MEI'!$J$9:$J$453,MATCH(1,('[23]SENSUS MEI'!$D$9:$D$453=$D434)*('[23]SENSUS MEI'!$D$9:$D$453=$D434),0))</f>
        <v>46153</v>
      </c>
      <c r="I434" s="143">
        <f t="array" ref="I434">INDEX('[23]SENSUS MEI'!$K$9:$K$453,MATCH(1,('[23]SENSUS MEI'!$D$9:$D$453=$D434)*('[23]SENSUS MEI'!$D$9:$D$453=$D434),0))</f>
        <v>146</v>
      </c>
      <c r="J434" s="9">
        <f t="array" ref="J434">IFERROR(I434/G434*100,0)</f>
        <v>9.3649775497113534</v>
      </c>
      <c r="K434" s="143">
        <f t="array" ref="K434">INDEX('[23]SENSUS MEI'!$M$9:$M$453,MATCH(1,('[23]SENSUS MEI'!$D$9:$D$453=$D434)*('[23]SENSUS MEI'!$D$9:$D$453=$D434),0))+INDEX('[23]SENSUS MEI'!$O$9:$O$453,MATCH(1,('[23]SENSUS MEI'!$D$9:$D$453=$D434)*('[23]SENSUS MEI'!$D$9:$D$453=$D434),0))</f>
        <v>47</v>
      </c>
      <c r="L434" s="9">
        <f t="shared" si="42"/>
        <v>32.19178082191781</v>
      </c>
      <c r="M434" s="8" t="str">
        <f t="shared" si="37"/>
        <v>Perlu Pengendalian</v>
      </c>
      <c r="P434" s="194">
        <f t="shared" si="38"/>
        <v>7.0155000000000003</v>
      </c>
      <c r="Q434" s="194">
        <f t="array" ref="Q434">$P434*0.8</f>
        <v>5.6124000000000009</v>
      </c>
      <c r="R434" s="194">
        <f t="shared" si="39"/>
        <v>4.2092999999999998</v>
      </c>
      <c r="S434" s="194">
        <f t="shared" si="40"/>
        <v>2.8062000000000005</v>
      </c>
      <c r="T434" s="194">
        <f t="shared" si="41"/>
        <v>1.4031000000000002</v>
      </c>
    </row>
    <row r="435" spans="1:20" x14ac:dyDescent="0.15">
      <c r="A435" s="8" t="s">
        <v>628</v>
      </c>
      <c r="B435" s="8" t="s">
        <v>47</v>
      </c>
      <c r="C435" s="8" t="s">
        <v>416</v>
      </c>
      <c r="D435" s="8" t="s">
        <v>359</v>
      </c>
      <c r="E435" s="9">
        <v>11.37</v>
      </c>
      <c r="F435" s="8" t="s">
        <v>469</v>
      </c>
      <c r="G435" s="143">
        <f t="array" ref="G435">INDEX('[23]SENSUS MEI'!$G$9:$G$453,MATCH(1,('[23]SENSUS MEI'!$D$9:$D$453=$D435)*('[23]SENSUS MEI'!$D$9:$D$453=$D435),0))</f>
        <v>1122</v>
      </c>
      <c r="H435" s="11">
        <f t="array" ref="H435">INDEX('[23]SENSUS MEI'!$J$9:$J$453,MATCH(1,('[23]SENSUS MEI'!$D$9:$D$453=$D435)*('[23]SENSUS MEI'!$D$9:$D$453=$D435),0))</f>
        <v>46153</v>
      </c>
      <c r="I435" s="143">
        <f t="array" ref="I435">INDEX('[23]SENSUS MEI'!$K$9:$K$453,MATCH(1,('[23]SENSUS MEI'!$D$9:$D$453=$D435)*('[23]SENSUS MEI'!$D$9:$D$453=$D435),0))</f>
        <v>86</v>
      </c>
      <c r="J435" s="9">
        <f t="array" ref="J435">IFERROR(I435/G435*100,0)</f>
        <v>7.66488413547237</v>
      </c>
      <c r="K435" s="143">
        <f t="array" ref="K435">INDEX('[23]SENSUS MEI'!$M$9:$M$453,MATCH(1,('[23]SENSUS MEI'!$D$9:$D$453=$D435)*('[23]SENSUS MEI'!$D$9:$D$453=$D435),0))+INDEX('[23]SENSUS MEI'!$O$9:$O$453,MATCH(1,('[23]SENSUS MEI'!$D$9:$D$453=$D435)*('[23]SENSUS MEI'!$D$9:$D$453=$D435),0))</f>
        <v>26</v>
      </c>
      <c r="L435" s="9">
        <f t="shared" si="42"/>
        <v>30.232558139534881</v>
      </c>
      <c r="M435" s="8" t="str">
        <f t="shared" si="37"/>
        <v>Perlu Pengendalian</v>
      </c>
      <c r="P435" s="194">
        <f t="shared" si="38"/>
        <v>5.0490000000000004</v>
      </c>
      <c r="Q435" s="194">
        <f t="array" ref="Q435">$P435*0.8</f>
        <v>4.0392000000000001</v>
      </c>
      <c r="R435" s="194">
        <f t="shared" si="39"/>
        <v>3.0294000000000003</v>
      </c>
      <c r="S435" s="194">
        <f t="shared" si="40"/>
        <v>2.0196000000000001</v>
      </c>
      <c r="T435" s="194">
        <f t="shared" si="41"/>
        <v>1.0098</v>
      </c>
    </row>
    <row r="436" spans="1:20" hidden="1" outlineLevel="1" x14ac:dyDescent="0.15">
      <c r="A436" s="8"/>
      <c r="B436" s="8"/>
      <c r="C436" s="8"/>
      <c r="D436" s="8"/>
      <c r="E436" s="9"/>
      <c r="F436" s="8"/>
      <c r="G436" s="10"/>
      <c r="H436" s="11"/>
      <c r="I436" s="8"/>
      <c r="J436" s="9"/>
      <c r="K436" s="8"/>
      <c r="L436" s="9"/>
      <c r="M436" s="8"/>
    </row>
    <row r="437" spans="1:20" hidden="1" outlineLevel="1" x14ac:dyDescent="0.15">
      <c r="A437" s="8"/>
      <c r="B437" s="8"/>
      <c r="C437" s="8"/>
      <c r="D437" s="8"/>
      <c r="E437" s="9"/>
      <c r="F437" s="8"/>
      <c r="G437" s="10"/>
      <c r="H437" s="11"/>
      <c r="I437" s="8"/>
      <c r="J437" s="9"/>
      <c r="K437" s="8"/>
      <c r="L437" s="9"/>
      <c r="M437" s="8"/>
    </row>
    <row r="438" spans="1:20" hidden="1" outlineLevel="1" x14ac:dyDescent="0.15">
      <c r="A438" s="8"/>
      <c r="B438" s="8"/>
      <c r="C438" s="8"/>
      <c r="D438" s="8"/>
      <c r="E438" s="9"/>
      <c r="F438" s="8"/>
      <c r="G438" s="10"/>
      <c r="H438" s="11"/>
      <c r="I438" s="8"/>
      <c r="J438" s="9"/>
      <c r="K438" s="8"/>
      <c r="L438" s="9"/>
      <c r="M438" s="8"/>
    </row>
    <row r="439" spans="1:20" hidden="1" outlineLevel="1" x14ac:dyDescent="0.15">
      <c r="A439" s="8"/>
      <c r="B439" s="8"/>
      <c r="C439" s="8"/>
      <c r="D439" s="8"/>
      <c r="E439" s="9"/>
      <c r="F439" s="8"/>
      <c r="G439" s="10"/>
      <c r="H439" s="11"/>
      <c r="I439" s="8"/>
      <c r="J439" s="9"/>
      <c r="K439" s="8"/>
      <c r="L439" s="9"/>
      <c r="M439" s="8"/>
    </row>
    <row r="440" spans="1:20" hidden="1" outlineLevel="1" x14ac:dyDescent="0.15">
      <c r="A440" s="8"/>
      <c r="B440" s="8"/>
      <c r="C440" s="8"/>
      <c r="D440" s="8"/>
      <c r="E440" s="9"/>
      <c r="F440" s="8"/>
      <c r="G440" s="10"/>
      <c r="H440" s="11"/>
      <c r="I440" s="8"/>
      <c r="J440" s="9"/>
      <c r="K440" s="8"/>
      <c r="L440" s="9"/>
      <c r="M440" s="8"/>
    </row>
    <row r="441" spans="1:20" hidden="1" outlineLevel="1" x14ac:dyDescent="0.15">
      <c r="A441" s="8"/>
      <c r="B441" s="8"/>
      <c r="C441" s="8"/>
      <c r="D441" s="8"/>
      <c r="E441" s="9"/>
      <c r="F441" s="8"/>
      <c r="G441" s="10"/>
      <c r="H441" s="11"/>
      <c r="I441" s="8"/>
      <c r="J441" s="9"/>
      <c r="K441" s="8"/>
      <c r="L441" s="9"/>
      <c r="M441" s="8"/>
    </row>
    <row r="442" spans="1:20" hidden="1" outlineLevel="1" x14ac:dyDescent="0.15">
      <c r="A442" s="8"/>
      <c r="B442" s="8"/>
      <c r="C442" s="8"/>
      <c r="D442" s="8"/>
      <c r="E442" s="9"/>
      <c r="F442" s="8"/>
      <c r="G442" s="10"/>
      <c r="H442" s="11"/>
      <c r="I442" s="8"/>
      <c r="J442" s="9"/>
      <c r="K442" s="8"/>
      <c r="L442" s="9"/>
      <c r="M442" s="8"/>
    </row>
    <row r="443" spans="1:20" hidden="1" outlineLevel="1" x14ac:dyDescent="0.15">
      <c r="A443" s="8"/>
      <c r="B443" s="8"/>
      <c r="C443" s="8"/>
      <c r="D443" s="8"/>
      <c r="E443" s="9"/>
      <c r="F443" s="8"/>
      <c r="G443" s="10"/>
      <c r="H443" s="11"/>
      <c r="I443" s="8"/>
      <c r="J443" s="9"/>
      <c r="K443" s="8"/>
      <c r="L443" s="9"/>
      <c r="M443" s="8"/>
    </row>
    <row r="444" spans="1:20" hidden="1" outlineLevel="1" x14ac:dyDescent="0.15">
      <c r="A444" s="8"/>
      <c r="B444" s="8"/>
      <c r="C444" s="8"/>
      <c r="D444" s="8"/>
      <c r="E444" s="9"/>
      <c r="F444" s="8"/>
      <c r="G444" s="10"/>
      <c r="H444" s="11"/>
      <c r="I444" s="8"/>
      <c r="J444" s="9"/>
      <c r="K444" s="8"/>
      <c r="L444" s="9"/>
      <c r="M444" s="8"/>
    </row>
    <row r="445" spans="1:20" hidden="1" outlineLevel="1" x14ac:dyDescent="0.15">
      <c r="A445" s="8"/>
      <c r="B445" s="8"/>
      <c r="C445" s="8"/>
      <c r="D445" s="8"/>
      <c r="E445" s="9"/>
      <c r="F445" s="8"/>
      <c r="G445" s="10"/>
      <c r="H445" s="11"/>
      <c r="I445" s="8"/>
      <c r="J445" s="9"/>
      <c r="K445" s="8"/>
      <c r="L445" s="9"/>
      <c r="M445" s="8"/>
    </row>
    <row r="446" spans="1:20" hidden="1" outlineLevel="1" x14ac:dyDescent="0.15">
      <c r="A446" s="8"/>
      <c r="B446" s="8"/>
      <c r="C446" s="8"/>
      <c r="D446" s="8"/>
      <c r="E446" s="9"/>
      <c r="F446" s="8"/>
      <c r="G446" s="10"/>
      <c r="H446" s="11"/>
      <c r="I446" s="8"/>
      <c r="J446" s="9"/>
      <c r="K446" s="8"/>
      <c r="L446" s="9"/>
      <c r="M446" s="8"/>
    </row>
    <row r="447" spans="1:20" hidden="1" outlineLevel="1" x14ac:dyDescent="0.15">
      <c r="A447" s="8"/>
      <c r="B447" s="8"/>
      <c r="C447" s="8"/>
      <c r="D447" s="8"/>
      <c r="E447" s="9"/>
      <c r="F447" s="8"/>
      <c r="G447" s="10"/>
      <c r="H447" s="11"/>
      <c r="I447" s="8"/>
      <c r="J447" s="9"/>
      <c r="K447" s="8"/>
      <c r="L447" s="9"/>
      <c r="M447" s="8"/>
    </row>
    <row r="448" spans="1:20" hidden="1" outlineLevel="1" x14ac:dyDescent="0.15">
      <c r="A448" s="8"/>
      <c r="B448" s="8"/>
      <c r="C448" s="8"/>
      <c r="D448" s="8"/>
      <c r="E448" s="9"/>
      <c r="F448" s="8"/>
      <c r="G448" s="10"/>
      <c r="H448" s="11"/>
      <c r="I448" s="8"/>
      <c r="J448" s="9"/>
      <c r="K448" s="8"/>
      <c r="L448" s="9"/>
      <c r="M448" s="8"/>
    </row>
    <row r="449" spans="1:13" hidden="1" outlineLevel="1" x14ac:dyDescent="0.15">
      <c r="A449" s="8"/>
      <c r="B449" s="8"/>
      <c r="C449" s="8"/>
      <c r="D449" s="8"/>
      <c r="E449" s="9"/>
      <c r="F449" s="8"/>
      <c r="G449" s="10"/>
      <c r="H449" s="11"/>
      <c r="I449" s="8"/>
      <c r="J449" s="9"/>
      <c r="K449" s="8"/>
      <c r="L449" s="9"/>
      <c r="M449" s="8"/>
    </row>
    <row r="450" spans="1:13" hidden="1" outlineLevel="1" x14ac:dyDescent="0.15">
      <c r="A450" s="8"/>
      <c r="B450" s="8"/>
      <c r="C450" s="8"/>
      <c r="D450" s="8"/>
      <c r="E450" s="9"/>
      <c r="F450" s="8"/>
      <c r="G450" s="10"/>
      <c r="H450" s="11"/>
      <c r="I450" s="8"/>
      <c r="J450" s="9"/>
      <c r="K450" s="8"/>
      <c r="L450" s="9"/>
      <c r="M450" s="8"/>
    </row>
    <row r="451" spans="1:13" hidden="1" outlineLevel="1" x14ac:dyDescent="0.15">
      <c r="A451" s="8"/>
      <c r="B451" s="8"/>
      <c r="C451" s="8"/>
      <c r="D451" s="8"/>
      <c r="E451" s="9"/>
      <c r="F451" s="8"/>
      <c r="G451" s="10"/>
      <c r="H451" s="11"/>
      <c r="I451" s="8"/>
      <c r="J451" s="9"/>
      <c r="K451" s="8"/>
      <c r="L451" s="9"/>
      <c r="M451" s="8"/>
    </row>
    <row r="452" spans="1:13" hidden="1" outlineLevel="1" x14ac:dyDescent="0.15">
      <c r="A452" s="8"/>
      <c r="B452" s="8"/>
      <c r="C452" s="8"/>
      <c r="D452" s="8"/>
      <c r="E452" s="9"/>
      <c r="F452" s="8"/>
      <c r="G452" s="10"/>
      <c r="H452" s="11"/>
      <c r="I452" s="8"/>
      <c r="J452" s="9"/>
      <c r="K452" s="8"/>
      <c r="L452" s="9"/>
      <c r="M452" s="8"/>
    </row>
    <row r="453" spans="1:13" hidden="1" outlineLevel="1" x14ac:dyDescent="0.15">
      <c r="A453" s="8"/>
      <c r="B453" s="8"/>
      <c r="C453" s="8"/>
      <c r="D453" s="8"/>
      <c r="E453" s="9"/>
      <c r="F453" s="8"/>
      <c r="G453" s="10"/>
      <c r="H453" s="11"/>
      <c r="I453" s="8"/>
      <c r="J453" s="9"/>
      <c r="K453" s="8"/>
      <c r="L453" s="9"/>
      <c r="M453" s="8"/>
    </row>
    <row r="454" spans="1:13" hidden="1" outlineLevel="1" x14ac:dyDescent="0.15">
      <c r="A454" s="8"/>
      <c r="B454" s="8"/>
      <c r="C454" s="8"/>
      <c r="D454" s="8"/>
      <c r="E454" s="9"/>
      <c r="F454" s="8"/>
      <c r="G454" s="10"/>
      <c r="H454" s="11"/>
      <c r="I454" s="8"/>
      <c r="J454" s="9"/>
      <c r="K454" s="8"/>
      <c r="L454" s="9"/>
      <c r="M454" s="8"/>
    </row>
    <row r="455" spans="1:13" hidden="1" outlineLevel="1" x14ac:dyDescent="0.15">
      <c r="A455" s="8"/>
      <c r="B455" s="8"/>
      <c r="C455" s="8"/>
      <c r="D455" s="8"/>
      <c r="E455" s="9"/>
      <c r="F455" s="8"/>
      <c r="G455" s="10"/>
      <c r="H455" s="11"/>
      <c r="I455" s="8"/>
      <c r="J455" s="9"/>
      <c r="K455" s="8"/>
      <c r="L455" s="9"/>
      <c r="M455" s="8"/>
    </row>
    <row r="456" spans="1:13" hidden="1" outlineLevel="1" x14ac:dyDescent="0.15">
      <c r="A456" s="8"/>
      <c r="B456" s="8"/>
      <c r="C456" s="8"/>
      <c r="D456" s="8"/>
      <c r="E456" s="9"/>
      <c r="F456" s="8"/>
      <c r="G456" s="10"/>
      <c r="H456" s="11"/>
      <c r="I456" s="8"/>
      <c r="J456" s="9"/>
      <c r="K456" s="8"/>
      <c r="L456" s="9"/>
      <c r="M456" s="8"/>
    </row>
    <row r="457" spans="1:13" hidden="1" outlineLevel="1" x14ac:dyDescent="0.15">
      <c r="A457" s="8"/>
      <c r="B457" s="8"/>
      <c r="C457" s="8"/>
      <c r="D457" s="8"/>
      <c r="E457" s="9"/>
      <c r="F457" s="8"/>
      <c r="G457" s="10"/>
      <c r="H457" s="11"/>
      <c r="I457" s="8"/>
      <c r="J457" s="9"/>
      <c r="K457" s="8"/>
      <c r="L457" s="9"/>
      <c r="M457" s="8"/>
    </row>
    <row r="458" spans="1:13" hidden="1" outlineLevel="1" x14ac:dyDescent="0.15">
      <c r="A458" s="8"/>
      <c r="B458" s="8"/>
      <c r="C458" s="8"/>
      <c r="D458" s="8"/>
      <c r="E458" s="9"/>
      <c r="F458" s="8"/>
      <c r="G458" s="10"/>
      <c r="H458" s="11"/>
      <c r="I458" s="8"/>
      <c r="J458" s="9"/>
      <c r="K458" s="8"/>
      <c r="L458" s="9"/>
      <c r="M458" s="8"/>
    </row>
    <row r="459" spans="1:13" hidden="1" outlineLevel="1" x14ac:dyDescent="0.15">
      <c r="A459" s="8"/>
      <c r="B459" s="8"/>
      <c r="C459" s="8"/>
      <c r="D459" s="8"/>
      <c r="E459" s="9"/>
      <c r="F459" s="8"/>
      <c r="G459" s="10"/>
      <c r="H459" s="11"/>
      <c r="I459" s="8"/>
      <c r="J459" s="9"/>
      <c r="K459" s="8"/>
      <c r="L459" s="9"/>
      <c r="M459" s="8"/>
    </row>
    <row r="460" spans="1:13" hidden="1" outlineLevel="1" x14ac:dyDescent="0.15">
      <c r="A460" s="8"/>
      <c r="B460" s="8"/>
      <c r="C460" s="8"/>
      <c r="D460" s="8"/>
      <c r="E460" s="9"/>
      <c r="F460" s="8"/>
      <c r="G460" s="10"/>
      <c r="H460" s="11"/>
      <c r="I460" s="8"/>
      <c r="J460" s="9"/>
      <c r="K460" s="8"/>
      <c r="L460" s="9"/>
      <c r="M460" s="8"/>
    </row>
    <row r="461" spans="1:13" hidden="1" outlineLevel="1" x14ac:dyDescent="0.15">
      <c r="A461" s="8"/>
      <c r="B461" s="8"/>
      <c r="C461" s="8"/>
      <c r="D461" s="8"/>
      <c r="E461" s="9"/>
      <c r="F461" s="8"/>
      <c r="G461" s="10"/>
      <c r="H461" s="11"/>
      <c r="I461" s="8"/>
      <c r="J461" s="9"/>
      <c r="K461" s="8"/>
      <c r="L461" s="9"/>
      <c r="M461" s="8"/>
    </row>
    <row r="462" spans="1:13" hidden="1" outlineLevel="1" x14ac:dyDescent="0.15">
      <c r="A462" s="8"/>
      <c r="B462" s="8"/>
      <c r="C462" s="8"/>
      <c r="D462" s="8"/>
      <c r="E462" s="9"/>
      <c r="F462" s="8"/>
      <c r="G462" s="10"/>
      <c r="H462" s="11"/>
      <c r="I462" s="8"/>
      <c r="J462" s="9"/>
      <c r="K462" s="8"/>
      <c r="L462" s="9"/>
      <c r="M462" s="8"/>
    </row>
    <row r="463" spans="1:13" hidden="1" outlineLevel="1" x14ac:dyDescent="0.15">
      <c r="A463" s="8"/>
      <c r="B463" s="8"/>
      <c r="C463" s="8"/>
      <c r="D463" s="8"/>
      <c r="E463" s="9"/>
      <c r="F463" s="8"/>
      <c r="G463" s="10"/>
      <c r="H463" s="11"/>
      <c r="I463" s="8"/>
      <c r="J463" s="9"/>
      <c r="K463" s="8"/>
      <c r="L463" s="9"/>
      <c r="M463" s="8"/>
    </row>
    <row r="464" spans="1:13" hidden="1" outlineLevel="1" x14ac:dyDescent="0.15">
      <c r="A464" s="8"/>
      <c r="B464" s="8"/>
      <c r="C464" s="8"/>
      <c r="D464" s="8"/>
      <c r="E464" s="9"/>
      <c r="F464" s="8"/>
      <c r="G464" s="10"/>
      <c r="H464" s="11"/>
      <c r="I464" s="8"/>
      <c r="J464" s="9"/>
      <c r="K464" s="8"/>
      <c r="L464" s="9"/>
      <c r="M464" s="8"/>
    </row>
    <row r="465" spans="1:13" hidden="1" outlineLevel="1" x14ac:dyDescent="0.15">
      <c r="A465" s="8"/>
      <c r="B465" s="8"/>
      <c r="C465" s="8"/>
      <c r="D465" s="8"/>
      <c r="E465" s="9"/>
      <c r="F465" s="8"/>
      <c r="G465" s="10"/>
      <c r="H465" s="11"/>
      <c r="I465" s="8"/>
      <c r="J465" s="9"/>
      <c r="K465" s="8"/>
      <c r="L465" s="9"/>
      <c r="M465" s="8"/>
    </row>
    <row r="466" spans="1:13" hidden="1" outlineLevel="1" x14ac:dyDescent="0.15">
      <c r="A466" s="8"/>
      <c r="B466" s="8"/>
      <c r="C466" s="8"/>
      <c r="D466" s="8"/>
      <c r="E466" s="9"/>
      <c r="F466" s="8"/>
      <c r="G466" s="10"/>
      <c r="H466" s="11"/>
      <c r="I466" s="8"/>
      <c r="J466" s="9"/>
      <c r="K466" s="8"/>
      <c r="L466" s="9"/>
      <c r="M466" s="8"/>
    </row>
    <row r="467" spans="1:13" hidden="1" outlineLevel="1" x14ac:dyDescent="0.15">
      <c r="A467" s="8"/>
      <c r="B467" s="8"/>
      <c r="C467" s="8"/>
      <c r="D467" s="8"/>
      <c r="E467" s="9"/>
      <c r="F467" s="8"/>
      <c r="G467" s="10"/>
      <c r="H467" s="11"/>
      <c r="I467" s="8"/>
      <c r="J467" s="9"/>
      <c r="K467" s="8"/>
      <c r="L467" s="9"/>
      <c r="M467" s="8"/>
    </row>
    <row r="468" spans="1:13" hidden="1" outlineLevel="1" x14ac:dyDescent="0.15">
      <c r="A468" s="8"/>
      <c r="B468" s="8"/>
      <c r="C468" s="8"/>
      <c r="D468" s="8"/>
      <c r="E468" s="9"/>
      <c r="F468" s="8"/>
      <c r="G468" s="10"/>
      <c r="H468" s="11"/>
      <c r="I468" s="8"/>
      <c r="J468" s="9"/>
      <c r="K468" s="8"/>
      <c r="L468" s="9"/>
      <c r="M468" s="8"/>
    </row>
    <row r="469" spans="1:13" hidden="1" outlineLevel="1" x14ac:dyDescent="0.15">
      <c r="A469" s="8"/>
      <c r="B469" s="8"/>
      <c r="C469" s="8"/>
      <c r="D469" s="8"/>
      <c r="E469" s="9"/>
      <c r="F469" s="8"/>
      <c r="G469" s="10"/>
      <c r="H469" s="11"/>
      <c r="I469" s="8"/>
      <c r="J469" s="9"/>
      <c r="K469" s="8"/>
      <c r="L469" s="9"/>
      <c r="M469" s="8"/>
    </row>
    <row r="470" spans="1:13" hidden="1" outlineLevel="1" x14ac:dyDescent="0.15">
      <c r="A470" s="8"/>
      <c r="B470" s="8"/>
      <c r="C470" s="8"/>
      <c r="D470" s="8"/>
      <c r="E470" s="9"/>
      <c r="F470" s="8"/>
      <c r="G470" s="10"/>
      <c r="H470" s="11"/>
      <c r="I470" s="8"/>
      <c r="J470" s="9"/>
      <c r="K470" s="8"/>
      <c r="L470" s="9"/>
      <c r="M470" s="8"/>
    </row>
    <row r="471" spans="1:13" hidden="1" outlineLevel="1" x14ac:dyDescent="0.15">
      <c r="A471" s="8"/>
      <c r="B471" s="8"/>
      <c r="C471" s="8"/>
      <c r="D471" s="8"/>
      <c r="E471" s="9"/>
      <c r="F471" s="8"/>
      <c r="G471" s="10"/>
      <c r="H471" s="11"/>
      <c r="I471" s="8"/>
      <c r="J471" s="9"/>
      <c r="K471" s="8"/>
      <c r="L471" s="9"/>
      <c r="M471" s="8"/>
    </row>
    <row r="472" spans="1:13" hidden="1" outlineLevel="1" x14ac:dyDescent="0.15">
      <c r="A472" s="8"/>
      <c r="B472" s="8"/>
      <c r="C472" s="8"/>
      <c r="D472" s="8"/>
      <c r="E472" s="9"/>
      <c r="F472" s="8"/>
      <c r="G472" s="10"/>
      <c r="H472" s="11"/>
      <c r="I472" s="8"/>
      <c r="J472" s="9"/>
      <c r="K472" s="8"/>
      <c r="L472" s="9"/>
      <c r="M472" s="8"/>
    </row>
    <row r="473" spans="1:13" hidden="1" outlineLevel="1" x14ac:dyDescent="0.15">
      <c r="A473" s="8"/>
      <c r="B473" s="8"/>
      <c r="C473" s="8"/>
      <c r="D473" s="8"/>
      <c r="E473" s="9"/>
      <c r="F473" s="8"/>
      <c r="G473" s="10"/>
      <c r="H473" s="11"/>
      <c r="I473" s="8"/>
      <c r="J473" s="9"/>
      <c r="K473" s="8"/>
      <c r="L473" s="9"/>
      <c r="M473" s="8"/>
    </row>
    <row r="474" spans="1:13" hidden="1" outlineLevel="1" x14ac:dyDescent="0.15">
      <c r="A474" s="8"/>
      <c r="B474" s="8"/>
      <c r="C474" s="8"/>
      <c r="D474" s="8"/>
      <c r="E474" s="9"/>
      <c r="F474" s="8"/>
      <c r="G474" s="10"/>
      <c r="H474" s="11"/>
      <c r="I474" s="8"/>
      <c r="J474" s="9"/>
      <c r="K474" s="8"/>
      <c r="L474" s="9"/>
      <c r="M474" s="8"/>
    </row>
    <row r="475" spans="1:13" hidden="1" outlineLevel="1" x14ac:dyDescent="0.15">
      <c r="A475" s="8"/>
      <c r="B475" s="8"/>
      <c r="C475" s="8"/>
      <c r="D475" s="8"/>
      <c r="E475" s="9"/>
      <c r="F475" s="8"/>
      <c r="G475" s="10"/>
      <c r="H475" s="11"/>
      <c r="I475" s="8"/>
      <c r="J475" s="9"/>
      <c r="K475" s="8"/>
      <c r="L475" s="9"/>
      <c r="M475" s="8"/>
    </row>
    <row r="476" spans="1:13" hidden="1" outlineLevel="1" x14ac:dyDescent="0.15">
      <c r="A476" s="8"/>
      <c r="B476" s="8"/>
      <c r="C476" s="8"/>
      <c r="D476" s="8"/>
      <c r="E476" s="9"/>
      <c r="F476" s="8"/>
      <c r="G476" s="10"/>
      <c r="H476" s="11"/>
      <c r="I476" s="8"/>
      <c r="J476" s="9"/>
      <c r="K476" s="8"/>
      <c r="L476" s="9"/>
      <c r="M476" s="8"/>
    </row>
    <row r="477" spans="1:13" hidden="1" outlineLevel="1" x14ac:dyDescent="0.15">
      <c r="A477" s="8"/>
      <c r="B477" s="8"/>
      <c r="C477" s="8"/>
      <c r="D477" s="8"/>
      <c r="E477" s="9"/>
      <c r="F477" s="8"/>
      <c r="G477" s="10"/>
      <c r="H477" s="11"/>
      <c r="I477" s="8"/>
      <c r="J477" s="9"/>
      <c r="K477" s="8"/>
      <c r="L477" s="9"/>
      <c r="M477" s="8"/>
    </row>
    <row r="478" spans="1:13" hidden="1" outlineLevel="1" x14ac:dyDescent="0.15">
      <c r="A478" s="8"/>
      <c r="B478" s="8"/>
      <c r="C478" s="8"/>
      <c r="D478" s="8"/>
      <c r="E478" s="9"/>
      <c r="F478" s="8"/>
      <c r="G478" s="10"/>
      <c r="H478" s="11"/>
      <c r="I478" s="8"/>
      <c r="J478" s="9"/>
      <c r="K478" s="8"/>
      <c r="L478" s="9"/>
      <c r="M478" s="8"/>
    </row>
    <row r="479" spans="1:13" hidden="1" outlineLevel="1" x14ac:dyDescent="0.15">
      <c r="A479" s="8"/>
      <c r="B479" s="8"/>
      <c r="C479" s="8"/>
      <c r="D479" s="8"/>
      <c r="E479" s="9"/>
      <c r="F479" s="8"/>
      <c r="G479" s="10"/>
      <c r="H479" s="11"/>
      <c r="I479" s="8"/>
      <c r="J479" s="9"/>
      <c r="K479" s="8"/>
      <c r="L479" s="9"/>
      <c r="M479" s="8"/>
    </row>
    <row r="480" spans="1:13" hidden="1" outlineLevel="1" x14ac:dyDescent="0.15">
      <c r="A480" s="8"/>
      <c r="B480" s="8"/>
      <c r="C480" s="8"/>
      <c r="D480" s="8"/>
      <c r="E480" s="9"/>
      <c r="F480" s="8"/>
      <c r="G480" s="10"/>
      <c r="H480" s="11"/>
      <c r="I480" s="8"/>
      <c r="J480" s="9"/>
      <c r="K480" s="8"/>
      <c r="L480" s="9"/>
      <c r="M480" s="8"/>
    </row>
    <row r="481" spans="1:13" hidden="1" outlineLevel="1" x14ac:dyDescent="0.15">
      <c r="A481" s="8"/>
      <c r="B481" s="8"/>
      <c r="C481" s="8"/>
      <c r="D481" s="8"/>
      <c r="E481" s="9"/>
      <c r="F481" s="8"/>
      <c r="G481" s="10"/>
      <c r="H481" s="11"/>
      <c r="I481" s="8"/>
      <c r="J481" s="9"/>
      <c r="K481" s="8"/>
      <c r="L481" s="9"/>
      <c r="M481" s="8"/>
    </row>
    <row r="482" spans="1:13" hidden="1" outlineLevel="1" x14ac:dyDescent="0.15">
      <c r="A482" s="8"/>
      <c r="B482" s="8"/>
      <c r="C482" s="8"/>
      <c r="D482" s="8"/>
      <c r="E482" s="9"/>
      <c r="F482" s="8"/>
      <c r="G482" s="10"/>
      <c r="H482" s="11"/>
      <c r="I482" s="8"/>
      <c r="J482" s="9"/>
      <c r="K482" s="8"/>
      <c r="L482" s="9"/>
      <c r="M482" s="8"/>
    </row>
    <row r="483" spans="1:13" hidden="1" outlineLevel="1" x14ac:dyDescent="0.15">
      <c r="A483" s="8"/>
      <c r="B483" s="8"/>
      <c r="C483" s="8"/>
      <c r="D483" s="8"/>
      <c r="E483" s="9"/>
      <c r="F483" s="8"/>
      <c r="G483" s="10"/>
      <c r="H483" s="11"/>
      <c r="I483" s="8"/>
      <c r="J483" s="9"/>
      <c r="K483" s="8"/>
      <c r="L483" s="9"/>
      <c r="M483" s="8"/>
    </row>
    <row r="484" spans="1:13" hidden="1" outlineLevel="1" x14ac:dyDescent="0.15">
      <c r="A484" s="8"/>
      <c r="B484" s="8"/>
      <c r="C484" s="8"/>
      <c r="D484" s="8"/>
      <c r="E484" s="9"/>
      <c r="F484" s="8"/>
      <c r="G484" s="10"/>
      <c r="H484" s="11"/>
      <c r="I484" s="8"/>
      <c r="J484" s="9"/>
      <c r="K484" s="8"/>
      <c r="L484" s="9"/>
      <c r="M484" s="8"/>
    </row>
    <row r="485" spans="1:13" hidden="1" outlineLevel="1" x14ac:dyDescent="0.15">
      <c r="A485" s="8"/>
      <c r="B485" s="8"/>
      <c r="C485" s="8"/>
      <c r="D485" s="8"/>
      <c r="E485" s="9"/>
      <c r="F485" s="8"/>
      <c r="G485" s="10"/>
      <c r="H485" s="11"/>
      <c r="I485" s="8"/>
      <c r="J485" s="9"/>
      <c r="K485" s="8"/>
      <c r="L485" s="9"/>
      <c r="M485" s="8"/>
    </row>
    <row r="486" spans="1:13" hidden="1" outlineLevel="1" x14ac:dyDescent="0.15">
      <c r="A486" s="8"/>
      <c r="B486" s="8"/>
      <c r="C486" s="8"/>
      <c r="D486" s="8"/>
      <c r="E486" s="9"/>
      <c r="F486" s="8"/>
      <c r="G486" s="10"/>
      <c r="H486" s="11"/>
      <c r="I486" s="8"/>
      <c r="J486" s="9"/>
      <c r="K486" s="8"/>
      <c r="L486" s="9"/>
      <c r="M486" s="8"/>
    </row>
    <row r="487" spans="1:13" hidden="1" outlineLevel="1" x14ac:dyDescent="0.15">
      <c r="A487" s="8"/>
      <c r="B487" s="8"/>
      <c r="C487" s="8"/>
      <c r="D487" s="8"/>
      <c r="E487" s="9"/>
      <c r="F487" s="8"/>
      <c r="G487" s="10"/>
      <c r="H487" s="11"/>
      <c r="I487" s="8"/>
      <c r="J487" s="9"/>
      <c r="K487" s="8"/>
      <c r="L487" s="9"/>
      <c r="M487" s="8"/>
    </row>
    <row r="488" spans="1:13" hidden="1" outlineLevel="1" x14ac:dyDescent="0.15">
      <c r="A488" s="8"/>
      <c r="B488" s="8"/>
      <c r="C488" s="8"/>
      <c r="D488" s="8"/>
      <c r="E488" s="9"/>
      <c r="F488" s="8"/>
      <c r="G488" s="10"/>
      <c r="H488" s="11"/>
      <c r="I488" s="8"/>
      <c r="J488" s="9"/>
      <c r="K488" s="8"/>
      <c r="L488" s="9"/>
      <c r="M488" s="8"/>
    </row>
    <row r="489" spans="1:13" hidden="1" outlineLevel="1" x14ac:dyDescent="0.15">
      <c r="A489" s="8"/>
      <c r="B489" s="8"/>
      <c r="C489" s="8"/>
      <c r="D489" s="8"/>
      <c r="E489" s="9"/>
      <c r="F489" s="8"/>
      <c r="G489" s="10"/>
      <c r="H489" s="11"/>
      <c r="I489" s="8"/>
      <c r="J489" s="9"/>
      <c r="K489" s="8"/>
      <c r="L489" s="9"/>
      <c r="M489" s="8"/>
    </row>
    <row r="490" spans="1:13" hidden="1" outlineLevel="1" x14ac:dyDescent="0.15">
      <c r="A490" s="8"/>
      <c r="B490" s="8"/>
      <c r="C490" s="8"/>
      <c r="D490" s="8"/>
      <c r="E490" s="9"/>
      <c r="F490" s="8"/>
      <c r="G490" s="10"/>
      <c r="H490" s="11"/>
      <c r="I490" s="8"/>
      <c r="J490" s="9"/>
      <c r="K490" s="8"/>
      <c r="L490" s="9"/>
      <c r="M490" s="8"/>
    </row>
    <row r="491" spans="1:13" hidden="1" outlineLevel="1" x14ac:dyDescent="0.15">
      <c r="A491" s="8"/>
      <c r="B491" s="8"/>
      <c r="C491" s="8"/>
      <c r="D491" s="8"/>
      <c r="E491" s="9"/>
      <c r="F491" s="8"/>
      <c r="G491" s="10"/>
      <c r="H491" s="11"/>
      <c r="I491" s="8"/>
      <c r="J491" s="9"/>
      <c r="K491" s="8"/>
      <c r="L491" s="9"/>
      <c r="M491" s="8"/>
    </row>
    <row r="492" spans="1:13" hidden="1" outlineLevel="1" x14ac:dyDescent="0.15">
      <c r="A492" s="8"/>
      <c r="B492" s="8"/>
      <c r="C492" s="8"/>
      <c r="D492" s="8"/>
      <c r="E492" s="9"/>
      <c r="F492" s="8"/>
      <c r="G492" s="10"/>
      <c r="H492" s="11"/>
      <c r="I492" s="8"/>
      <c r="J492" s="9"/>
      <c r="K492" s="8"/>
      <c r="L492" s="9"/>
      <c r="M492" s="8"/>
    </row>
    <row r="493" spans="1:13" hidden="1" outlineLevel="1" x14ac:dyDescent="0.15">
      <c r="A493" s="8"/>
      <c r="B493" s="8"/>
      <c r="C493" s="8"/>
      <c r="D493" s="8"/>
      <c r="E493" s="9"/>
      <c r="F493" s="8"/>
      <c r="G493" s="10"/>
      <c r="H493" s="11"/>
      <c r="I493" s="8"/>
      <c r="J493" s="9"/>
      <c r="K493" s="8"/>
      <c r="L493" s="9"/>
      <c r="M493" s="8"/>
    </row>
    <row r="494" spans="1:13" hidden="1" outlineLevel="1" x14ac:dyDescent="0.15">
      <c r="A494" s="8"/>
      <c r="B494" s="8"/>
      <c r="C494" s="8"/>
      <c r="D494" s="8"/>
      <c r="E494" s="9"/>
      <c r="F494" s="8"/>
      <c r="G494" s="10"/>
      <c r="H494" s="11"/>
      <c r="I494" s="8"/>
      <c r="J494" s="9"/>
      <c r="K494" s="8"/>
      <c r="L494" s="9"/>
      <c r="M494" s="8"/>
    </row>
    <row r="495" spans="1:13" hidden="1" outlineLevel="1" x14ac:dyDescent="0.15">
      <c r="A495" s="8"/>
      <c r="B495" s="8"/>
      <c r="C495" s="8"/>
      <c r="D495" s="8"/>
      <c r="E495" s="9"/>
      <c r="F495" s="8"/>
      <c r="G495" s="10"/>
      <c r="H495" s="11"/>
      <c r="I495" s="8"/>
      <c r="J495" s="9"/>
      <c r="K495" s="8"/>
      <c r="L495" s="9"/>
      <c r="M495" s="8"/>
    </row>
    <row r="496" spans="1:13" hidden="1" outlineLevel="1" x14ac:dyDescent="0.15">
      <c r="A496" s="8"/>
      <c r="B496" s="8"/>
      <c r="C496" s="8"/>
      <c r="D496" s="8"/>
      <c r="E496" s="9"/>
      <c r="F496" s="8"/>
      <c r="G496" s="10"/>
      <c r="H496" s="11"/>
      <c r="I496" s="8"/>
      <c r="J496" s="9"/>
      <c r="K496" s="8"/>
      <c r="L496" s="9"/>
      <c r="M496" s="8"/>
    </row>
    <row r="497" spans="1:13" hidden="1" outlineLevel="1" x14ac:dyDescent="0.15">
      <c r="A497" s="8"/>
      <c r="B497" s="8"/>
      <c r="C497" s="8"/>
      <c r="D497" s="8"/>
      <c r="E497" s="9"/>
      <c r="F497" s="8"/>
      <c r="G497" s="10"/>
      <c r="H497" s="11"/>
      <c r="I497" s="8"/>
      <c r="J497" s="9"/>
      <c r="K497" s="8"/>
      <c r="L497" s="9"/>
      <c r="M497" s="8"/>
    </row>
    <row r="498" spans="1:13" hidden="1" outlineLevel="1" x14ac:dyDescent="0.15">
      <c r="A498" s="8"/>
      <c r="B498" s="8"/>
      <c r="C498" s="8"/>
      <c r="D498" s="8"/>
      <c r="E498" s="9"/>
      <c r="F498" s="8"/>
      <c r="G498" s="10"/>
      <c r="H498" s="11"/>
      <c r="I498" s="8"/>
      <c r="J498" s="9"/>
      <c r="K498" s="8"/>
      <c r="L498" s="9"/>
      <c r="M498" s="8"/>
    </row>
    <row r="499" spans="1:13" hidden="1" outlineLevel="1" x14ac:dyDescent="0.15">
      <c r="A499" s="8"/>
      <c r="B499" s="8"/>
      <c r="C499" s="8"/>
      <c r="D499" s="8"/>
      <c r="E499" s="9"/>
      <c r="F499" s="8"/>
      <c r="G499" s="10"/>
      <c r="H499" s="11"/>
      <c r="I499" s="8"/>
      <c r="J499" s="9"/>
      <c r="K499" s="8"/>
      <c r="L499" s="9"/>
      <c r="M499" s="8"/>
    </row>
    <row r="500" spans="1:13" hidden="1" outlineLevel="1" x14ac:dyDescent="0.15">
      <c r="A500" s="8"/>
      <c r="B500" s="8"/>
      <c r="C500" s="8"/>
      <c r="D500" s="8"/>
      <c r="E500" s="9"/>
      <c r="F500" s="8"/>
      <c r="G500" s="10"/>
      <c r="H500" s="11"/>
      <c r="I500" s="8"/>
      <c r="J500" s="9"/>
      <c r="K500" s="8"/>
      <c r="L500" s="9"/>
      <c r="M500" s="8"/>
    </row>
    <row r="501" spans="1:13" hidden="1" outlineLevel="1" x14ac:dyDescent="0.15">
      <c r="A501" s="8"/>
      <c r="B501" s="8"/>
      <c r="C501" s="8"/>
      <c r="D501" s="8"/>
      <c r="E501" s="9"/>
      <c r="F501" s="8"/>
      <c r="G501" s="10"/>
      <c r="H501" s="11"/>
      <c r="I501" s="8"/>
      <c r="J501" s="9"/>
      <c r="K501" s="8"/>
      <c r="L501" s="9"/>
      <c r="M501" s="8"/>
    </row>
    <row r="502" spans="1:13" hidden="1" outlineLevel="1" x14ac:dyDescent="0.15">
      <c r="A502" s="8"/>
      <c r="B502" s="8"/>
      <c r="C502" s="8"/>
      <c r="D502" s="8"/>
      <c r="E502" s="9"/>
      <c r="F502" s="8"/>
      <c r="G502" s="10"/>
      <c r="H502" s="11"/>
      <c r="I502" s="8"/>
      <c r="J502" s="9"/>
      <c r="K502" s="8"/>
      <c r="L502" s="9"/>
      <c r="M502" s="8"/>
    </row>
    <row r="503" spans="1:13" hidden="1" outlineLevel="1" x14ac:dyDescent="0.15">
      <c r="A503" s="8"/>
      <c r="B503" s="8"/>
      <c r="C503" s="8"/>
      <c r="D503" s="8"/>
      <c r="E503" s="9"/>
      <c r="F503" s="8"/>
      <c r="G503" s="10"/>
      <c r="H503" s="11"/>
      <c r="I503" s="8"/>
      <c r="J503" s="9"/>
      <c r="K503" s="8"/>
      <c r="L503" s="9"/>
      <c r="M503" s="8"/>
    </row>
    <row r="504" spans="1:13" hidden="1" outlineLevel="1" x14ac:dyDescent="0.15">
      <c r="A504" s="8"/>
      <c r="B504" s="8"/>
      <c r="C504" s="8"/>
      <c r="D504" s="8"/>
      <c r="E504" s="9"/>
      <c r="F504" s="8"/>
      <c r="G504" s="10"/>
      <c r="H504" s="11"/>
      <c r="I504" s="8"/>
      <c r="J504" s="9"/>
      <c r="K504" s="8"/>
      <c r="L504" s="9"/>
      <c r="M504" s="8"/>
    </row>
    <row r="505" spans="1:13" hidden="1" outlineLevel="1" x14ac:dyDescent="0.15">
      <c r="A505" s="8"/>
      <c r="B505" s="8"/>
      <c r="C505" s="8"/>
      <c r="D505" s="8"/>
      <c r="E505" s="9"/>
      <c r="F505" s="8"/>
      <c r="G505" s="10"/>
      <c r="H505" s="11"/>
      <c r="I505" s="8"/>
      <c r="J505" s="9"/>
      <c r="K505" s="8"/>
      <c r="L505" s="9"/>
      <c r="M505" s="8"/>
    </row>
    <row r="506" spans="1:13" hidden="1" outlineLevel="1" x14ac:dyDescent="0.15">
      <c r="A506" s="8"/>
      <c r="B506" s="8"/>
      <c r="C506" s="8"/>
      <c r="D506" s="8"/>
      <c r="E506" s="9"/>
      <c r="F506" s="8"/>
      <c r="G506" s="10"/>
      <c r="H506" s="11"/>
      <c r="I506" s="8"/>
      <c r="J506" s="9"/>
      <c r="K506" s="8"/>
      <c r="L506" s="9"/>
      <c r="M506" s="8"/>
    </row>
    <row r="507" spans="1:13" hidden="1" outlineLevel="1" x14ac:dyDescent="0.15">
      <c r="A507" s="8"/>
      <c r="B507" s="8"/>
      <c r="C507" s="8"/>
      <c r="D507" s="8"/>
      <c r="E507" s="9"/>
      <c r="F507" s="8"/>
      <c r="G507" s="10"/>
      <c r="H507" s="11"/>
      <c r="I507" s="8"/>
      <c r="J507" s="9"/>
      <c r="K507" s="8"/>
      <c r="L507" s="9"/>
      <c r="M507" s="8"/>
    </row>
    <row r="508" spans="1:13" hidden="1" outlineLevel="1" x14ac:dyDescent="0.15">
      <c r="A508" s="8"/>
      <c r="B508" s="8"/>
      <c r="C508" s="8"/>
      <c r="D508" s="8"/>
      <c r="E508" s="9"/>
      <c r="F508" s="8"/>
      <c r="G508" s="10"/>
      <c r="H508" s="11"/>
      <c r="I508" s="8"/>
      <c r="J508" s="9"/>
      <c r="K508" s="8"/>
      <c r="L508" s="9"/>
      <c r="M508" s="8"/>
    </row>
    <row r="509" spans="1:13" hidden="1" outlineLevel="1" x14ac:dyDescent="0.15">
      <c r="A509" s="8"/>
      <c r="B509" s="8"/>
      <c r="C509" s="8"/>
      <c r="D509" s="8"/>
      <c r="E509" s="9"/>
      <c r="F509" s="8"/>
      <c r="G509" s="10"/>
      <c r="H509" s="11"/>
      <c r="I509" s="8"/>
      <c r="J509" s="9"/>
      <c r="K509" s="8"/>
      <c r="L509" s="9"/>
      <c r="M509" s="8"/>
    </row>
    <row r="510" spans="1:13" hidden="1" outlineLevel="1" x14ac:dyDescent="0.15">
      <c r="A510" s="8"/>
      <c r="B510" s="8"/>
      <c r="C510" s="8"/>
      <c r="D510" s="8"/>
      <c r="E510" s="9"/>
      <c r="F510" s="8"/>
      <c r="G510" s="10"/>
      <c r="H510" s="11"/>
      <c r="I510" s="8"/>
      <c r="J510" s="9"/>
      <c r="K510" s="8"/>
      <c r="L510" s="9"/>
      <c r="M510" s="8"/>
    </row>
    <row r="511" spans="1:13" hidden="1" outlineLevel="1" x14ac:dyDescent="0.15">
      <c r="A511" s="8"/>
      <c r="B511" s="8"/>
      <c r="C511" s="8"/>
      <c r="D511" s="8"/>
      <c r="E511" s="9"/>
      <c r="F511" s="8"/>
      <c r="G511" s="10"/>
      <c r="H511" s="11"/>
      <c r="I511" s="8"/>
      <c r="J511" s="9"/>
      <c r="K511" s="8"/>
      <c r="L511" s="9"/>
      <c r="M511" s="8"/>
    </row>
    <row r="512" spans="1:13" hidden="1" outlineLevel="1" x14ac:dyDescent="0.15">
      <c r="A512" s="8"/>
      <c r="B512" s="8"/>
      <c r="C512" s="8"/>
      <c r="D512" s="8"/>
      <c r="E512" s="9"/>
      <c r="F512" s="8"/>
      <c r="G512" s="10"/>
      <c r="H512" s="11"/>
      <c r="I512" s="8"/>
      <c r="J512" s="9"/>
      <c r="K512" s="8"/>
      <c r="L512" s="9"/>
      <c r="M512" s="8"/>
    </row>
    <row r="513" spans="1:13" hidden="1" outlineLevel="1" x14ac:dyDescent="0.15">
      <c r="A513" s="8"/>
      <c r="B513" s="8"/>
      <c r="C513" s="8"/>
      <c r="D513" s="8"/>
      <c r="E513" s="9"/>
      <c r="F513" s="8"/>
      <c r="G513" s="10"/>
      <c r="H513" s="11"/>
      <c r="I513" s="8"/>
      <c r="J513" s="9"/>
      <c r="K513" s="8"/>
      <c r="L513" s="9"/>
      <c r="M513" s="8"/>
    </row>
    <row r="514" spans="1:13" hidden="1" outlineLevel="1" x14ac:dyDescent="0.15">
      <c r="A514" s="8"/>
      <c r="B514" s="8"/>
      <c r="C514" s="8"/>
      <c r="D514" s="8"/>
      <c r="E514" s="9"/>
      <c r="F514" s="8"/>
      <c r="G514" s="10"/>
      <c r="H514" s="11"/>
      <c r="I514" s="8"/>
      <c r="J514" s="9"/>
      <c r="K514" s="8"/>
      <c r="L514" s="9"/>
      <c r="M514" s="8"/>
    </row>
    <row r="515" spans="1:13" hidden="1" outlineLevel="1" x14ac:dyDescent="0.15">
      <c r="A515" s="8"/>
      <c r="B515" s="8"/>
      <c r="C515" s="8"/>
      <c r="D515" s="8"/>
      <c r="E515" s="9"/>
      <c r="F515" s="8"/>
      <c r="G515" s="10"/>
      <c r="H515" s="11"/>
      <c r="I515" s="8"/>
      <c r="J515" s="9"/>
      <c r="K515" s="8"/>
      <c r="L515" s="9"/>
      <c r="M515" s="8"/>
    </row>
    <row r="516" spans="1:13" hidden="1" outlineLevel="1" x14ac:dyDescent="0.15">
      <c r="A516" s="8"/>
      <c r="B516" s="8"/>
      <c r="C516" s="8"/>
      <c r="D516" s="8"/>
      <c r="E516" s="9"/>
      <c r="F516" s="8"/>
      <c r="G516" s="10"/>
      <c r="H516" s="11"/>
      <c r="I516" s="8"/>
      <c r="J516" s="9"/>
      <c r="K516" s="8"/>
      <c r="L516" s="9"/>
      <c r="M516" s="8"/>
    </row>
    <row r="517" spans="1:13" hidden="1" outlineLevel="1" x14ac:dyDescent="0.15">
      <c r="A517" s="8"/>
      <c r="B517" s="8"/>
      <c r="C517" s="8"/>
      <c r="D517" s="8"/>
      <c r="E517" s="9"/>
      <c r="F517" s="8"/>
      <c r="G517" s="10"/>
      <c r="H517" s="11"/>
      <c r="I517" s="8"/>
      <c r="J517" s="9"/>
      <c r="K517" s="8"/>
      <c r="L517" s="9"/>
      <c r="M517" s="8"/>
    </row>
    <row r="518" spans="1:13" hidden="1" outlineLevel="1" x14ac:dyDescent="0.15">
      <c r="A518" s="8"/>
      <c r="B518" s="8"/>
      <c r="C518" s="8"/>
      <c r="D518" s="8"/>
      <c r="E518" s="9"/>
      <c r="F518" s="8"/>
      <c r="G518" s="10"/>
      <c r="H518" s="11"/>
      <c r="I518" s="8"/>
      <c r="J518" s="9"/>
      <c r="K518" s="8"/>
      <c r="L518" s="9"/>
      <c r="M518" s="8"/>
    </row>
    <row r="519" spans="1:13" hidden="1" outlineLevel="1" x14ac:dyDescent="0.15">
      <c r="A519" s="8"/>
      <c r="B519" s="8"/>
      <c r="C519" s="8"/>
      <c r="D519" s="8"/>
      <c r="E519" s="8"/>
      <c r="F519" s="8"/>
      <c r="G519" s="10"/>
      <c r="H519" s="11"/>
      <c r="I519" s="8"/>
      <c r="J519" s="9"/>
      <c r="K519" s="8"/>
      <c r="L519" s="9"/>
      <c r="M519" s="8"/>
    </row>
    <row r="520" spans="1:13" hidden="1" outlineLevel="1" x14ac:dyDescent="0.15">
      <c r="A520" s="8"/>
      <c r="B520" s="8"/>
      <c r="C520" s="8"/>
      <c r="D520" s="8"/>
      <c r="E520" s="8"/>
      <c r="F520" s="8"/>
      <c r="G520" s="10"/>
      <c r="H520" s="11"/>
      <c r="I520" s="8"/>
      <c r="J520" s="9"/>
      <c r="K520" s="8"/>
      <c r="L520" s="9"/>
      <c r="M520" s="8"/>
    </row>
    <row r="521" spans="1:13" hidden="1" outlineLevel="1" x14ac:dyDescent="0.15">
      <c r="A521" s="8"/>
      <c r="B521" s="8"/>
      <c r="C521" s="8"/>
      <c r="D521" s="8"/>
      <c r="E521" s="8"/>
      <c r="F521" s="8"/>
      <c r="G521" s="10"/>
      <c r="H521" s="11"/>
      <c r="I521" s="8"/>
      <c r="J521" s="9"/>
      <c r="K521" s="8"/>
      <c r="L521" s="9"/>
      <c r="M521" s="8"/>
    </row>
    <row r="522" spans="1:13" hidden="1" outlineLevel="1" x14ac:dyDescent="0.15">
      <c r="A522" s="8"/>
      <c r="B522" s="8"/>
      <c r="C522" s="8"/>
      <c r="D522" s="8"/>
      <c r="E522" s="8"/>
      <c r="F522" s="8"/>
      <c r="G522" s="10"/>
      <c r="H522" s="11"/>
      <c r="I522" s="8"/>
      <c r="J522" s="9"/>
      <c r="K522" s="8"/>
      <c r="L522" s="9"/>
      <c r="M522" s="8"/>
    </row>
    <row r="523" spans="1:13" hidden="1" outlineLevel="1" x14ac:dyDescent="0.15">
      <c r="A523" s="8"/>
      <c r="B523" s="8"/>
      <c r="C523" s="8"/>
      <c r="D523" s="8"/>
      <c r="E523" s="8"/>
      <c r="F523" s="8"/>
      <c r="G523" s="10"/>
      <c r="H523" s="11"/>
      <c r="I523" s="8"/>
      <c r="J523" s="9"/>
      <c r="K523" s="8"/>
      <c r="L523" s="9"/>
      <c r="M523" s="8"/>
    </row>
    <row r="524" spans="1:13" hidden="1" outlineLevel="1" x14ac:dyDescent="0.15">
      <c r="A524" s="8"/>
      <c r="B524" s="8"/>
      <c r="C524" s="8"/>
      <c r="D524" s="8"/>
      <c r="E524" s="8"/>
      <c r="F524" s="8"/>
      <c r="G524" s="10"/>
      <c r="H524" s="11"/>
      <c r="I524" s="8"/>
      <c r="J524" s="9"/>
      <c r="K524" s="8"/>
      <c r="L524" s="9"/>
      <c r="M524" s="8"/>
    </row>
    <row r="525" spans="1:13" hidden="1" outlineLevel="1" x14ac:dyDescent="0.15">
      <c r="A525" s="8"/>
      <c r="B525" s="8"/>
      <c r="C525" s="8"/>
      <c r="D525" s="8"/>
      <c r="E525" s="8"/>
      <c r="F525" s="8"/>
      <c r="G525" s="10"/>
      <c r="H525" s="11"/>
      <c r="I525" s="8"/>
      <c r="J525" s="9"/>
      <c r="K525" s="8"/>
      <c r="L525" s="9"/>
      <c r="M525" s="8"/>
    </row>
    <row r="526" spans="1:13" hidden="1" outlineLevel="1" x14ac:dyDescent="0.15">
      <c r="A526" s="8"/>
      <c r="B526" s="8"/>
      <c r="C526" s="8"/>
      <c r="D526" s="8"/>
      <c r="E526" s="8"/>
      <c r="F526" s="8"/>
      <c r="G526" s="10"/>
      <c r="H526" s="11"/>
      <c r="I526" s="8"/>
      <c r="J526" s="9"/>
      <c r="K526" s="8"/>
      <c r="L526" s="9"/>
      <c r="M526" s="8"/>
    </row>
    <row r="527" spans="1:13" hidden="1" outlineLevel="1" x14ac:dyDescent="0.15">
      <c r="A527" s="8"/>
      <c r="B527" s="8"/>
      <c r="C527" s="8"/>
      <c r="D527" s="8"/>
      <c r="E527" s="8"/>
      <c r="F527" s="8"/>
      <c r="G527" s="10"/>
      <c r="H527" s="11"/>
      <c r="I527" s="8"/>
      <c r="J527" s="9"/>
      <c r="K527" s="8"/>
      <c r="L527" s="9"/>
      <c r="M527" s="8"/>
    </row>
    <row r="528" spans="1:13" hidden="1" outlineLevel="1" x14ac:dyDescent="0.15">
      <c r="A528" s="8"/>
      <c r="B528" s="8"/>
      <c r="C528" s="8"/>
      <c r="D528" s="8"/>
      <c r="E528" s="8"/>
      <c r="F528" s="8"/>
      <c r="G528" s="10"/>
      <c r="H528" s="11"/>
      <c r="I528" s="8"/>
      <c r="J528" s="9"/>
      <c r="K528" s="8"/>
      <c r="L528" s="9"/>
      <c r="M528" s="8"/>
    </row>
    <row r="529" spans="1:13" hidden="1" outlineLevel="1" x14ac:dyDescent="0.15">
      <c r="A529" s="8"/>
      <c r="B529" s="8"/>
      <c r="C529" s="8"/>
      <c r="D529" s="8"/>
      <c r="E529" s="8"/>
      <c r="F529" s="8"/>
      <c r="G529" s="10"/>
      <c r="H529" s="11"/>
      <c r="I529" s="8"/>
      <c r="J529" s="9"/>
      <c r="K529" s="8"/>
      <c r="L529" s="9"/>
      <c r="M529" s="8"/>
    </row>
    <row r="530" spans="1:13" hidden="1" outlineLevel="1" x14ac:dyDescent="0.15">
      <c r="A530" s="8"/>
      <c r="B530" s="8"/>
      <c r="C530" s="8"/>
      <c r="D530" s="8"/>
      <c r="E530" s="8"/>
      <c r="F530" s="8"/>
      <c r="G530" s="10"/>
      <c r="H530" s="11"/>
      <c r="I530" s="8"/>
      <c r="J530" s="9"/>
      <c r="K530" s="8"/>
      <c r="L530" s="9"/>
      <c r="M530" s="8"/>
    </row>
    <row r="531" spans="1:13" hidden="1" outlineLevel="1" x14ac:dyDescent="0.15">
      <c r="A531" s="8"/>
      <c r="B531" s="8"/>
      <c r="C531" s="8"/>
      <c r="D531" s="8"/>
      <c r="E531" s="8"/>
      <c r="F531" s="8"/>
      <c r="G531" s="10"/>
      <c r="H531" s="11"/>
      <c r="I531" s="8"/>
      <c r="J531" s="9"/>
      <c r="K531" s="8"/>
      <c r="L531" s="9"/>
      <c r="M531" s="8"/>
    </row>
    <row r="532" spans="1:13" hidden="1" outlineLevel="1" x14ac:dyDescent="0.15">
      <c r="A532" s="8"/>
      <c r="B532" s="8"/>
      <c r="C532" s="8"/>
      <c r="D532" s="8"/>
      <c r="E532" s="8"/>
      <c r="F532" s="8"/>
      <c r="G532" s="10"/>
      <c r="H532" s="11"/>
      <c r="I532" s="8"/>
      <c r="J532" s="9"/>
      <c r="K532" s="8"/>
      <c r="L532" s="9"/>
      <c r="M532" s="8"/>
    </row>
    <row r="533" spans="1:13" hidden="1" outlineLevel="1" x14ac:dyDescent="0.15">
      <c r="A533" s="8"/>
      <c r="B533" s="8"/>
      <c r="C533" s="8"/>
      <c r="D533" s="8"/>
      <c r="E533" s="8"/>
      <c r="F533" s="8"/>
      <c r="G533" s="10"/>
      <c r="H533" s="11"/>
      <c r="I533" s="8"/>
      <c r="J533" s="9"/>
      <c r="K533" s="8"/>
      <c r="L533" s="9"/>
      <c r="M533" s="8"/>
    </row>
    <row r="534" spans="1:13" hidden="1" outlineLevel="1" x14ac:dyDescent="0.15">
      <c r="A534" s="8"/>
      <c r="B534" s="8"/>
      <c r="C534" s="8"/>
      <c r="D534" s="8"/>
      <c r="E534" s="8"/>
      <c r="F534" s="8"/>
      <c r="G534" s="10"/>
      <c r="H534" s="11"/>
      <c r="I534" s="8"/>
      <c r="J534" s="9"/>
      <c r="K534" s="8"/>
      <c r="L534" s="9"/>
      <c r="M534" s="8"/>
    </row>
    <row r="535" spans="1:13" hidden="1" outlineLevel="1" x14ac:dyDescent="0.15">
      <c r="A535" s="8"/>
      <c r="B535" s="8"/>
      <c r="C535" s="8"/>
      <c r="D535" s="8"/>
      <c r="E535" s="8"/>
      <c r="F535" s="8"/>
      <c r="G535" s="10"/>
      <c r="H535" s="11"/>
      <c r="I535" s="8"/>
      <c r="J535" s="9"/>
      <c r="K535" s="8"/>
      <c r="L535" s="9"/>
      <c r="M535" s="8"/>
    </row>
    <row r="536" spans="1:13" hidden="1" outlineLevel="1" x14ac:dyDescent="0.15">
      <c r="A536" s="8"/>
      <c r="B536" s="8"/>
      <c r="C536" s="8"/>
      <c r="D536" s="8"/>
      <c r="E536" s="8"/>
      <c r="F536" s="8"/>
      <c r="G536" s="10"/>
      <c r="H536" s="11"/>
      <c r="I536" s="8"/>
      <c r="J536" s="9"/>
      <c r="K536" s="8"/>
      <c r="L536" s="9"/>
      <c r="M536" s="8"/>
    </row>
    <row r="537" spans="1:13" hidden="1" outlineLevel="1" x14ac:dyDescent="0.15">
      <c r="A537" s="8"/>
      <c r="B537" s="8"/>
      <c r="C537" s="8"/>
      <c r="D537" s="8"/>
      <c r="E537" s="8"/>
      <c r="F537" s="8"/>
      <c r="G537" s="10"/>
      <c r="H537" s="11"/>
      <c r="I537" s="8"/>
      <c r="J537" s="9"/>
      <c r="K537" s="8"/>
      <c r="L537" s="9"/>
      <c r="M537" s="8"/>
    </row>
    <row r="538" spans="1:13" hidden="1" outlineLevel="1" x14ac:dyDescent="0.15">
      <c r="A538" s="8"/>
      <c r="B538" s="8"/>
      <c r="C538" s="8"/>
      <c r="D538" s="8"/>
      <c r="E538" s="8"/>
      <c r="F538" s="8"/>
      <c r="G538" s="10"/>
      <c r="H538" s="11"/>
      <c r="I538" s="8"/>
      <c r="J538" s="9"/>
      <c r="K538" s="8"/>
      <c r="L538" s="9"/>
      <c r="M538" s="8"/>
    </row>
    <row r="539" spans="1:13" hidden="1" outlineLevel="1" x14ac:dyDescent="0.15">
      <c r="A539" s="8"/>
      <c r="B539" s="8"/>
      <c r="C539" s="8"/>
      <c r="D539" s="8"/>
      <c r="E539" s="8"/>
      <c r="F539" s="8"/>
      <c r="G539" s="10"/>
      <c r="H539" s="11"/>
      <c r="I539" s="8"/>
      <c r="J539" s="9"/>
      <c r="K539" s="8"/>
      <c r="L539" s="9"/>
      <c r="M539" s="8"/>
    </row>
    <row r="540" spans="1:13" hidden="1" outlineLevel="1" x14ac:dyDescent="0.15">
      <c r="A540" s="8"/>
      <c r="B540" s="8"/>
      <c r="C540" s="8"/>
      <c r="D540" s="8"/>
      <c r="E540" s="8"/>
      <c r="F540" s="8"/>
      <c r="G540" s="10"/>
      <c r="H540" s="11"/>
      <c r="I540" s="8"/>
      <c r="J540" s="9"/>
      <c r="K540" s="8"/>
      <c r="L540" s="9"/>
      <c r="M540" s="8"/>
    </row>
    <row r="541" spans="1:13" hidden="1" outlineLevel="1" x14ac:dyDescent="0.15">
      <c r="A541" s="8"/>
      <c r="B541" s="8"/>
      <c r="C541" s="8"/>
      <c r="D541" s="8"/>
      <c r="E541" s="8"/>
      <c r="F541" s="8"/>
      <c r="G541" s="10"/>
      <c r="H541" s="11"/>
      <c r="I541" s="8"/>
      <c r="J541" s="9"/>
      <c r="K541" s="8"/>
      <c r="L541" s="9"/>
      <c r="M541" s="8"/>
    </row>
    <row r="542" spans="1:13" hidden="1" outlineLevel="1" x14ac:dyDescent="0.15">
      <c r="A542" s="8"/>
      <c r="B542" s="8"/>
      <c r="C542" s="8"/>
      <c r="D542" s="8"/>
      <c r="E542" s="8"/>
      <c r="F542" s="8"/>
      <c r="G542" s="10"/>
      <c r="H542" s="11"/>
      <c r="I542" s="8"/>
      <c r="J542" s="9"/>
      <c r="K542" s="8"/>
      <c r="L542" s="9"/>
      <c r="M542" s="8"/>
    </row>
    <row r="543" spans="1:13" hidden="1" outlineLevel="1" x14ac:dyDescent="0.15">
      <c r="A543" s="8"/>
      <c r="B543" s="8"/>
      <c r="C543" s="8"/>
      <c r="D543" s="8"/>
      <c r="E543" s="8"/>
      <c r="F543" s="8"/>
      <c r="G543" s="10"/>
      <c r="H543" s="11"/>
      <c r="I543" s="8"/>
      <c r="J543" s="9"/>
      <c r="K543" s="8"/>
      <c r="L543" s="9"/>
      <c r="M543" s="8"/>
    </row>
    <row r="544" spans="1:13" hidden="1" outlineLevel="1" x14ac:dyDescent="0.15">
      <c r="A544" s="8"/>
      <c r="B544" s="8"/>
      <c r="C544" s="8"/>
      <c r="D544" s="8"/>
      <c r="E544" s="8"/>
      <c r="F544" s="8"/>
      <c r="G544" s="10"/>
      <c r="H544" s="11"/>
      <c r="I544" s="8"/>
      <c r="J544" s="9"/>
      <c r="K544" s="8"/>
      <c r="L544" s="9"/>
      <c r="M544" s="8"/>
    </row>
    <row r="545" spans="1:13" hidden="1" outlineLevel="1" x14ac:dyDescent="0.15">
      <c r="A545" s="8"/>
      <c r="B545" s="8"/>
      <c r="C545" s="8"/>
      <c r="D545" s="8"/>
      <c r="E545" s="8"/>
      <c r="F545" s="8"/>
      <c r="G545" s="10"/>
      <c r="H545" s="11"/>
      <c r="I545" s="8"/>
      <c r="J545" s="9"/>
      <c r="K545" s="8"/>
      <c r="L545" s="9"/>
      <c r="M545" s="8"/>
    </row>
    <row r="546" spans="1:13" hidden="1" outlineLevel="1" x14ac:dyDescent="0.15">
      <c r="A546" s="8"/>
      <c r="B546" s="8"/>
      <c r="C546" s="8"/>
      <c r="D546" s="8"/>
      <c r="E546" s="8"/>
      <c r="F546" s="8"/>
      <c r="G546" s="10"/>
      <c r="H546" s="11"/>
      <c r="I546" s="8"/>
      <c r="J546" s="9"/>
      <c r="K546" s="8"/>
      <c r="L546" s="9"/>
      <c r="M546" s="8"/>
    </row>
    <row r="547" spans="1:13" hidden="1" outlineLevel="1" x14ac:dyDescent="0.15">
      <c r="A547" s="8"/>
      <c r="B547" s="8"/>
      <c r="C547" s="8"/>
      <c r="D547" s="8"/>
      <c r="E547" s="8"/>
      <c r="F547" s="8"/>
      <c r="G547" s="10"/>
      <c r="H547" s="11"/>
      <c r="I547" s="8"/>
      <c r="J547" s="9"/>
      <c r="K547" s="8"/>
      <c r="L547" s="9"/>
      <c r="M547" s="8"/>
    </row>
    <row r="548" spans="1:13" hidden="1" outlineLevel="1" x14ac:dyDescent="0.15">
      <c r="A548" s="8"/>
      <c r="B548" s="8"/>
      <c r="C548" s="8"/>
      <c r="D548" s="8"/>
      <c r="E548" s="8"/>
      <c r="F548" s="8"/>
      <c r="G548" s="10"/>
      <c r="H548" s="11"/>
      <c r="I548" s="8"/>
      <c r="J548" s="9"/>
      <c r="K548" s="8"/>
      <c r="L548" s="9"/>
      <c r="M548" s="8"/>
    </row>
    <row r="549" spans="1:13" hidden="1" outlineLevel="1" x14ac:dyDescent="0.15">
      <c r="A549" s="8"/>
      <c r="B549" s="8"/>
      <c r="C549" s="8"/>
      <c r="D549" s="8"/>
      <c r="E549" s="8"/>
      <c r="F549" s="8"/>
      <c r="G549" s="10"/>
      <c r="H549" s="11"/>
      <c r="I549" s="8"/>
      <c r="J549" s="9"/>
      <c r="K549" s="8"/>
      <c r="L549" s="9"/>
      <c r="M549" s="8"/>
    </row>
    <row r="550" spans="1:13" hidden="1" outlineLevel="1" x14ac:dyDescent="0.15">
      <c r="A550" s="8"/>
      <c r="B550" s="8"/>
      <c r="C550" s="8"/>
      <c r="D550" s="8"/>
      <c r="E550" s="8"/>
      <c r="F550" s="8"/>
      <c r="G550" s="10"/>
      <c r="H550" s="11"/>
      <c r="I550" s="8"/>
      <c r="J550" s="9"/>
      <c r="K550" s="8"/>
      <c r="L550" s="9"/>
      <c r="M550" s="8"/>
    </row>
    <row r="551" spans="1:13" hidden="1" outlineLevel="1" x14ac:dyDescent="0.15">
      <c r="A551" s="8"/>
      <c r="B551" s="8"/>
      <c r="C551" s="8"/>
      <c r="D551" s="8"/>
      <c r="E551" s="8"/>
      <c r="F551" s="8"/>
      <c r="G551" s="10"/>
      <c r="H551" s="11"/>
      <c r="I551" s="8"/>
      <c r="J551" s="9"/>
      <c r="K551" s="8"/>
      <c r="L551" s="9"/>
      <c r="M551" s="8"/>
    </row>
    <row r="552" spans="1:13" hidden="1" outlineLevel="1" x14ac:dyDescent="0.15">
      <c r="A552" s="8"/>
      <c r="B552" s="8"/>
      <c r="C552" s="8"/>
      <c r="D552" s="8"/>
      <c r="E552" s="8"/>
      <c r="F552" s="8"/>
      <c r="G552" s="10"/>
      <c r="H552" s="11"/>
      <c r="I552" s="8"/>
      <c r="J552" s="9"/>
      <c r="K552" s="8"/>
      <c r="L552" s="9"/>
      <c r="M552" s="8"/>
    </row>
    <row r="553" spans="1:13" hidden="1" outlineLevel="1" x14ac:dyDescent="0.15">
      <c r="A553" s="8"/>
      <c r="B553" s="8"/>
      <c r="C553" s="8"/>
      <c r="D553" s="8"/>
      <c r="E553" s="8"/>
      <c r="F553" s="8"/>
      <c r="G553" s="10"/>
      <c r="H553" s="11"/>
      <c r="I553" s="8"/>
      <c r="J553" s="9"/>
      <c r="K553" s="8"/>
      <c r="L553" s="9"/>
      <c r="M553" s="8"/>
    </row>
    <row r="554" spans="1:13" hidden="1" outlineLevel="1" x14ac:dyDescent="0.15">
      <c r="A554" s="8"/>
      <c r="B554" s="8"/>
      <c r="C554" s="8"/>
      <c r="D554" s="8"/>
      <c r="E554" s="8"/>
      <c r="F554" s="8"/>
      <c r="G554" s="10"/>
      <c r="H554" s="11"/>
      <c r="I554" s="8"/>
      <c r="J554" s="9"/>
      <c r="K554" s="8"/>
      <c r="L554" s="9"/>
      <c r="M554" s="8"/>
    </row>
    <row r="555" spans="1:13" hidden="1" outlineLevel="1" x14ac:dyDescent="0.15">
      <c r="A555" s="8"/>
      <c r="B555" s="8"/>
      <c r="C555" s="8"/>
      <c r="D555" s="8"/>
      <c r="E555" s="8"/>
      <c r="F555" s="8"/>
      <c r="G555" s="10"/>
      <c r="H555" s="11"/>
      <c r="I555" s="8"/>
      <c r="J555" s="9"/>
      <c r="K555" s="8"/>
      <c r="L555" s="9"/>
      <c r="M555" s="8"/>
    </row>
    <row r="556" spans="1:13" hidden="1" outlineLevel="1" x14ac:dyDescent="0.15">
      <c r="A556" s="8"/>
      <c r="B556" s="8"/>
      <c r="C556" s="8"/>
      <c r="D556" s="8"/>
      <c r="E556" s="8"/>
      <c r="F556" s="8"/>
      <c r="G556" s="10"/>
      <c r="H556" s="11"/>
      <c r="I556" s="8"/>
      <c r="J556" s="9"/>
      <c r="K556" s="8"/>
      <c r="L556" s="9"/>
      <c r="M556" s="8"/>
    </row>
    <row r="557" spans="1:13" hidden="1" outlineLevel="1" x14ac:dyDescent="0.15">
      <c r="A557" s="8"/>
      <c r="B557" s="8"/>
      <c r="C557" s="8"/>
      <c r="D557" s="8"/>
      <c r="E557" s="8"/>
      <c r="F557" s="8"/>
      <c r="G557" s="10"/>
      <c r="H557" s="11"/>
      <c r="I557" s="8"/>
      <c r="J557" s="9"/>
      <c r="K557" s="8"/>
      <c r="L557" s="9"/>
      <c r="M557" s="8"/>
    </row>
    <row r="558" spans="1:13" hidden="1" outlineLevel="1" x14ac:dyDescent="0.15">
      <c r="A558" s="8"/>
      <c r="B558" s="8"/>
      <c r="C558" s="8"/>
      <c r="D558" s="8"/>
      <c r="E558" s="8"/>
      <c r="F558" s="8"/>
      <c r="G558" s="10"/>
      <c r="H558" s="11"/>
      <c r="I558" s="8"/>
      <c r="J558" s="9"/>
      <c r="K558" s="8"/>
      <c r="L558" s="9"/>
      <c r="M558" s="8"/>
    </row>
    <row r="559" spans="1:13" hidden="1" outlineLevel="1" x14ac:dyDescent="0.15">
      <c r="A559" s="8"/>
      <c r="B559" s="8"/>
      <c r="C559" s="8"/>
      <c r="D559" s="8"/>
      <c r="E559" s="8"/>
      <c r="F559" s="8"/>
      <c r="G559" s="10"/>
      <c r="H559" s="11"/>
      <c r="I559" s="8"/>
      <c r="J559" s="9"/>
      <c r="K559" s="8"/>
      <c r="L559" s="9"/>
      <c r="M559" s="8"/>
    </row>
    <row r="560" spans="1:13" hidden="1" outlineLevel="1" x14ac:dyDescent="0.15">
      <c r="A560" s="8"/>
      <c r="B560" s="8"/>
      <c r="C560" s="8"/>
      <c r="D560" s="8"/>
      <c r="E560" s="8"/>
      <c r="F560" s="8"/>
      <c r="G560" s="10"/>
      <c r="H560" s="11"/>
      <c r="I560" s="8"/>
      <c r="J560" s="9"/>
      <c r="K560" s="8"/>
      <c r="L560" s="9"/>
      <c r="M560" s="8"/>
    </row>
    <row r="561" spans="1:13" hidden="1" outlineLevel="1" x14ac:dyDescent="0.15">
      <c r="A561" s="8"/>
      <c r="B561" s="8"/>
      <c r="C561" s="8"/>
      <c r="D561" s="8"/>
      <c r="E561" s="8"/>
      <c r="F561" s="8"/>
      <c r="G561" s="10"/>
      <c r="H561" s="11"/>
      <c r="I561" s="8"/>
      <c r="J561" s="9"/>
      <c r="K561" s="8"/>
      <c r="L561" s="9"/>
      <c r="M561" s="8"/>
    </row>
    <row r="562" spans="1:13" hidden="1" outlineLevel="1" x14ac:dyDescent="0.15">
      <c r="A562" s="8"/>
      <c r="B562" s="8"/>
      <c r="C562" s="8"/>
      <c r="D562" s="8"/>
      <c r="E562" s="8"/>
      <c r="F562" s="8"/>
      <c r="G562" s="10"/>
      <c r="H562" s="11"/>
      <c r="I562" s="8"/>
      <c r="J562" s="9"/>
      <c r="K562" s="8"/>
      <c r="L562" s="9"/>
      <c r="M562" s="8"/>
    </row>
    <row r="563" spans="1:13" hidden="1" outlineLevel="1" x14ac:dyDescent="0.15">
      <c r="A563" s="8"/>
      <c r="B563" s="8"/>
      <c r="C563" s="8"/>
      <c r="D563" s="8"/>
      <c r="E563" s="8"/>
      <c r="F563" s="8"/>
      <c r="G563" s="10"/>
      <c r="H563" s="11"/>
      <c r="I563" s="8"/>
      <c r="J563" s="9"/>
      <c r="K563" s="8"/>
      <c r="L563" s="9"/>
      <c r="M563" s="8"/>
    </row>
    <row r="564" spans="1:13" hidden="1" outlineLevel="1" x14ac:dyDescent="0.15">
      <c r="A564" s="8"/>
      <c r="B564" s="8"/>
      <c r="C564" s="8"/>
      <c r="D564" s="8"/>
      <c r="E564" s="8"/>
      <c r="F564" s="8"/>
      <c r="G564" s="10"/>
      <c r="H564" s="11"/>
      <c r="I564" s="8"/>
      <c r="J564" s="9"/>
      <c r="K564" s="8"/>
      <c r="L564" s="9"/>
      <c r="M564" s="8"/>
    </row>
    <row r="565" spans="1:13" hidden="1" outlineLevel="1" x14ac:dyDescent="0.15">
      <c r="A565" s="8"/>
      <c r="B565" s="8"/>
      <c r="C565" s="8"/>
      <c r="D565" s="8"/>
      <c r="E565" s="8"/>
      <c r="F565" s="8"/>
      <c r="G565" s="10"/>
      <c r="H565" s="11"/>
      <c r="I565" s="8"/>
      <c r="J565" s="9"/>
      <c r="K565" s="8"/>
      <c r="L565" s="9"/>
      <c r="M565" s="8"/>
    </row>
    <row r="566" spans="1:13" hidden="1" outlineLevel="1" x14ac:dyDescent="0.15">
      <c r="A566" s="8"/>
      <c r="B566" s="8"/>
      <c r="C566" s="8"/>
      <c r="D566" s="8"/>
      <c r="E566" s="8"/>
      <c r="F566" s="8"/>
      <c r="G566" s="10"/>
      <c r="H566" s="11"/>
      <c r="I566" s="8"/>
      <c r="J566" s="9"/>
      <c r="K566" s="8"/>
      <c r="L566" s="9"/>
      <c r="M566" s="8"/>
    </row>
    <row r="567" spans="1:13" hidden="1" outlineLevel="1" x14ac:dyDescent="0.15">
      <c r="A567" s="8"/>
      <c r="B567" s="8"/>
      <c r="C567" s="8"/>
      <c r="D567" s="8"/>
      <c r="E567" s="8"/>
      <c r="F567" s="8"/>
      <c r="G567" s="10"/>
      <c r="H567" s="11"/>
      <c r="I567" s="8"/>
      <c r="J567" s="9"/>
      <c r="K567" s="8"/>
      <c r="L567" s="9"/>
      <c r="M567" s="8"/>
    </row>
    <row r="568" spans="1:13" hidden="1" outlineLevel="1" x14ac:dyDescent="0.15">
      <c r="A568" s="8"/>
      <c r="B568" s="8"/>
      <c r="C568" s="8"/>
      <c r="D568" s="8"/>
      <c r="E568" s="8"/>
      <c r="F568" s="8"/>
      <c r="G568" s="10"/>
      <c r="H568" s="11"/>
      <c r="I568" s="8"/>
      <c r="J568" s="9"/>
      <c r="K568" s="8"/>
      <c r="L568" s="9"/>
      <c r="M568" s="8"/>
    </row>
    <row r="569" spans="1:13" hidden="1" outlineLevel="1" x14ac:dyDescent="0.15">
      <c r="A569" s="8"/>
      <c r="B569" s="8"/>
      <c r="C569" s="8"/>
      <c r="D569" s="8"/>
      <c r="E569" s="8"/>
      <c r="F569" s="8"/>
      <c r="G569" s="10"/>
      <c r="H569" s="11"/>
      <c r="I569" s="8"/>
      <c r="J569" s="9"/>
      <c r="K569" s="8"/>
      <c r="L569" s="9"/>
      <c r="M569" s="8"/>
    </row>
    <row r="570" spans="1:13" hidden="1" outlineLevel="1" x14ac:dyDescent="0.15">
      <c r="A570" s="8"/>
      <c r="B570" s="8"/>
      <c r="C570" s="8"/>
      <c r="D570" s="8"/>
      <c r="E570" s="8"/>
      <c r="F570" s="8"/>
      <c r="G570" s="10"/>
      <c r="H570" s="11"/>
      <c r="I570" s="8"/>
      <c r="J570" s="9"/>
      <c r="K570" s="8"/>
      <c r="L570" s="9"/>
      <c r="M570" s="8"/>
    </row>
    <row r="571" spans="1:13" hidden="1" outlineLevel="1" x14ac:dyDescent="0.15">
      <c r="A571" s="8"/>
      <c r="B571" s="8"/>
      <c r="C571" s="8"/>
      <c r="D571" s="8"/>
      <c r="E571" s="8"/>
      <c r="F571" s="8"/>
      <c r="G571" s="10"/>
      <c r="H571" s="11"/>
      <c r="I571" s="8"/>
      <c r="J571" s="9"/>
      <c r="K571" s="8"/>
      <c r="L571" s="9"/>
      <c r="M571" s="8"/>
    </row>
    <row r="572" spans="1:13" hidden="1" outlineLevel="1" x14ac:dyDescent="0.15">
      <c r="A572" s="8"/>
      <c r="B572" s="8"/>
      <c r="C572" s="8"/>
      <c r="D572" s="8"/>
      <c r="E572" s="8"/>
      <c r="F572" s="8"/>
      <c r="G572" s="10"/>
      <c r="H572" s="11"/>
      <c r="I572" s="8"/>
      <c r="J572" s="9"/>
      <c r="K572" s="8"/>
      <c r="L572" s="9"/>
      <c r="M572" s="8"/>
    </row>
    <row r="573" spans="1:13" hidden="1" outlineLevel="1" x14ac:dyDescent="0.15">
      <c r="A573" s="8"/>
      <c r="B573" s="8"/>
      <c r="C573" s="8"/>
      <c r="D573" s="8"/>
      <c r="E573" s="8"/>
      <c r="F573" s="8"/>
      <c r="G573" s="10"/>
      <c r="H573" s="11"/>
      <c r="I573" s="8"/>
      <c r="J573" s="9"/>
      <c r="K573" s="8"/>
      <c r="L573" s="9"/>
      <c r="M573" s="8"/>
    </row>
    <row r="574" spans="1:13" hidden="1" outlineLevel="1" x14ac:dyDescent="0.15">
      <c r="A574" s="8"/>
      <c r="B574" s="8"/>
      <c r="C574" s="8"/>
      <c r="D574" s="8"/>
      <c r="E574" s="8"/>
      <c r="F574" s="8"/>
      <c r="G574" s="10"/>
      <c r="H574" s="11"/>
      <c r="I574" s="8"/>
      <c r="J574" s="9"/>
      <c r="K574" s="8"/>
      <c r="L574" s="9"/>
      <c r="M574" s="8"/>
    </row>
    <row r="575" spans="1:13" hidden="1" outlineLevel="1" x14ac:dyDescent="0.15">
      <c r="A575" s="8"/>
      <c r="B575" s="8"/>
      <c r="C575" s="8"/>
      <c r="D575" s="8"/>
      <c r="E575" s="8"/>
      <c r="F575" s="8"/>
      <c r="G575" s="10"/>
      <c r="H575" s="11"/>
      <c r="I575" s="8"/>
      <c r="J575" s="9"/>
      <c r="K575" s="8"/>
      <c r="L575" s="9"/>
      <c r="M575" s="8"/>
    </row>
    <row r="576" spans="1:13" hidden="1" outlineLevel="1" x14ac:dyDescent="0.15">
      <c r="A576" s="8"/>
      <c r="B576" s="8"/>
      <c r="C576" s="8"/>
      <c r="D576" s="8"/>
      <c r="E576" s="8"/>
      <c r="F576" s="8"/>
      <c r="G576" s="10"/>
      <c r="H576" s="11"/>
      <c r="I576" s="8"/>
      <c r="J576" s="9"/>
      <c r="K576" s="8"/>
      <c r="L576" s="9"/>
      <c r="M576" s="8"/>
    </row>
    <row r="577" spans="1:20" hidden="1" outlineLevel="1" x14ac:dyDescent="0.15">
      <c r="A577" s="8"/>
      <c r="B577" s="8"/>
      <c r="C577" s="8"/>
      <c r="D577" s="8"/>
      <c r="E577" s="8"/>
      <c r="F577" s="8"/>
      <c r="G577" s="10"/>
      <c r="H577" s="11"/>
      <c r="I577" s="8"/>
      <c r="J577" s="9"/>
      <c r="K577" s="8"/>
      <c r="L577" s="9"/>
      <c r="M577" s="8"/>
    </row>
    <row r="578" spans="1:20" hidden="1" outlineLevel="1" x14ac:dyDescent="0.15">
      <c r="A578" s="8"/>
      <c r="B578" s="8"/>
      <c r="C578" s="8"/>
      <c r="D578" s="8"/>
      <c r="E578" s="8"/>
      <c r="F578" s="8"/>
      <c r="G578" s="10"/>
      <c r="H578" s="11"/>
      <c r="I578" s="8"/>
      <c r="J578" s="9"/>
      <c r="K578" s="8"/>
      <c r="L578" s="9"/>
      <c r="M578" s="8"/>
    </row>
    <row r="579" spans="1:20" hidden="1" outlineLevel="1" x14ac:dyDescent="0.15">
      <c r="A579" s="8"/>
      <c r="B579" s="8"/>
      <c r="C579" s="8"/>
      <c r="D579" s="8"/>
      <c r="E579" s="8"/>
      <c r="F579" s="8"/>
      <c r="G579" s="10"/>
      <c r="H579" s="11"/>
      <c r="I579" s="8"/>
      <c r="J579" s="9"/>
      <c r="K579" s="8"/>
      <c r="L579" s="9"/>
      <c r="M579" s="8"/>
    </row>
    <row r="580" spans="1:20" hidden="1" outlineLevel="1" x14ac:dyDescent="0.15">
      <c r="A580" s="8"/>
      <c r="B580" s="8"/>
      <c r="C580" s="8"/>
      <c r="D580" s="8"/>
      <c r="E580" s="8"/>
      <c r="F580" s="8"/>
      <c r="G580" s="10"/>
      <c r="H580" s="11"/>
      <c r="I580" s="8"/>
      <c r="J580" s="9"/>
      <c r="K580" s="8"/>
      <c r="L580" s="9"/>
      <c r="M580" s="8"/>
    </row>
    <row r="581" spans="1:20" hidden="1" outlineLevel="1" x14ac:dyDescent="0.15">
      <c r="A581" s="8"/>
      <c r="B581" s="8"/>
      <c r="C581" s="8"/>
      <c r="D581" s="8"/>
      <c r="E581" s="8"/>
      <c r="F581" s="8"/>
      <c r="G581" s="10"/>
      <c r="H581" s="11"/>
      <c r="I581" s="8"/>
      <c r="J581" s="9"/>
      <c r="K581" s="8"/>
      <c r="L581" s="9"/>
      <c r="M581" s="8"/>
    </row>
    <row r="582" spans="1:20" hidden="1" outlineLevel="1" x14ac:dyDescent="0.15">
      <c r="A582" s="8"/>
      <c r="B582" s="8"/>
      <c r="C582" s="8"/>
      <c r="D582" s="8"/>
      <c r="E582" s="8"/>
      <c r="F582" s="8"/>
      <c r="G582" s="10"/>
      <c r="H582" s="11"/>
      <c r="I582" s="8"/>
      <c r="J582" s="9"/>
      <c r="K582" s="8"/>
      <c r="L582" s="9"/>
      <c r="M582" s="8"/>
    </row>
    <row r="583" spans="1:20" collapsed="1" x14ac:dyDescent="0.15">
      <c r="A583" s="12" t="s">
        <v>628</v>
      </c>
      <c r="B583" s="12" t="s">
        <v>14</v>
      </c>
      <c r="C583" s="12" t="s">
        <v>14</v>
      </c>
      <c r="D583" s="12">
        <f>COUNTIFS($C$6:$C$582,$C583)</f>
        <v>31</v>
      </c>
      <c r="E583" s="13">
        <f>SUMIFS($E$6:$E$582,$C$6:$C$582,$C583)</f>
        <v>840.6400000000001</v>
      </c>
      <c r="F583" s="14"/>
      <c r="G583" s="15">
        <f>SUMIFS($G$6:$G$582,$C$6:$C$582,$C583)</f>
        <v>120777</v>
      </c>
      <c r="H583" s="16"/>
      <c r="I583" s="16">
        <f>SUMIFS($I$6:$I$582,$C$6:$C$582,$C583)</f>
        <v>11414</v>
      </c>
      <c r="J583" s="17">
        <f t="array" ref="J583">IFERROR(I583/G583*100,0)</f>
        <v>9.4504748420643008</v>
      </c>
      <c r="K583" s="16">
        <f>SUMIFS($K$6:$K$582,$C$6:$C$582,$C583)</f>
        <v>2055</v>
      </c>
      <c r="L583" s="9">
        <f t="shared" ref="L583:L613" si="43">IFERROR(K583/I583*100,0)</f>
        <v>18.004205361836341</v>
      </c>
      <c r="M583" s="8" t="str">
        <f t="shared" ref="M583:M613" si="44">IF(L583&gt;2,"Perlu Pengendalian",IF(L583&gt;0,"Tidak Perlu Pengendalian","Belum Sensus"))</f>
        <v>Perlu Pengendalian</v>
      </c>
      <c r="P583" s="197">
        <f>SUM(P6:P435)</f>
        <v>6690.2760000000071</v>
      </c>
      <c r="Q583" s="197">
        <f t="shared" ref="Q583:T583" si="45">SUM(Q6:Q435)</f>
        <v>5352.2207999999955</v>
      </c>
      <c r="R583" s="197">
        <f t="shared" si="45"/>
        <v>4014.1655999999957</v>
      </c>
      <c r="S583" s="197">
        <f t="shared" si="45"/>
        <v>2676.1103999999978</v>
      </c>
      <c r="T583" s="197">
        <f t="shared" si="45"/>
        <v>1338.0551999999989</v>
      </c>
    </row>
    <row r="584" spans="1:20" x14ac:dyDescent="0.15">
      <c r="A584" s="12" t="s">
        <v>628</v>
      </c>
      <c r="B584" s="12" t="s">
        <v>14</v>
      </c>
      <c r="C584" s="12" t="s">
        <v>47</v>
      </c>
      <c r="D584" s="12">
        <f t="shared" ref="D584:D595" si="46">COUNTIFS($C$6:$C$582,$C584)</f>
        <v>31</v>
      </c>
      <c r="E584" s="13">
        <f t="shared" ref="E584:E595" si="47">SUMIFS($E$6:$E$582,$C$6:$C$582,$C584)</f>
        <v>804.25</v>
      </c>
      <c r="F584" s="14"/>
      <c r="G584" s="15">
        <f t="shared" ref="G584:G600" si="48">SUMIFS($G$6:$G$582,$C$6:$C$582,$C584)</f>
        <v>115016</v>
      </c>
      <c r="H584" s="18"/>
      <c r="I584" s="16">
        <f t="shared" ref="I584:I600" si="49">SUMIFS($I$6:$I$582,$C$6:$C$582,$C584)</f>
        <v>8967</v>
      </c>
      <c r="J584" s="17">
        <f t="array" ref="J584">IFERROR(I584/G584*100,0)</f>
        <v>7.7963066008207553</v>
      </c>
      <c r="K584" s="16">
        <f t="shared" ref="K584:K600" si="50">SUMIFS($K$6:$K$582,$C$6:$C$582,$C584)</f>
        <v>2751</v>
      </c>
      <c r="L584" s="9">
        <f t="shared" si="43"/>
        <v>30.679156908665107</v>
      </c>
      <c r="M584" s="8" t="str">
        <f t="shared" si="44"/>
        <v>Perlu Pengendalian</v>
      </c>
    </row>
    <row r="585" spans="1:20" x14ac:dyDescent="0.15">
      <c r="A585" s="12" t="s">
        <v>628</v>
      </c>
      <c r="B585" s="12" t="s">
        <v>14</v>
      </c>
      <c r="C585" s="12" t="s">
        <v>79</v>
      </c>
      <c r="D585" s="12">
        <f t="shared" si="46"/>
        <v>31</v>
      </c>
      <c r="E585" s="13">
        <f t="shared" si="47"/>
        <v>678.84</v>
      </c>
      <c r="F585" s="14"/>
      <c r="G585" s="15">
        <f t="shared" si="48"/>
        <v>96145</v>
      </c>
      <c r="H585" s="18"/>
      <c r="I585" s="16">
        <f t="shared" si="49"/>
        <v>9697</v>
      </c>
      <c r="J585" s="17">
        <f t="array" ref="J585">IFERROR(I585/G585*100,0)</f>
        <v>10.085807894326278</v>
      </c>
      <c r="K585" s="16">
        <f t="shared" si="50"/>
        <v>1981</v>
      </c>
      <c r="L585" s="9">
        <f t="shared" si="43"/>
        <v>20.428998659379189</v>
      </c>
      <c r="M585" s="8" t="str">
        <f t="shared" si="44"/>
        <v>Perlu Pengendalian</v>
      </c>
      <c r="Q585" s="198">
        <f>SUM(P583:T583)</f>
        <v>20070.827999999994</v>
      </c>
    </row>
    <row r="586" spans="1:20" x14ac:dyDescent="0.15">
      <c r="A586" s="12" t="s">
        <v>628</v>
      </c>
      <c r="B586" s="12" t="s">
        <v>14</v>
      </c>
      <c r="C586" s="12" t="s">
        <v>107</v>
      </c>
      <c r="D586" s="12">
        <f t="shared" si="46"/>
        <v>24</v>
      </c>
      <c r="E586" s="13">
        <f t="shared" si="47"/>
        <v>712.62</v>
      </c>
      <c r="F586" s="14"/>
      <c r="G586" s="15">
        <f t="shared" si="48"/>
        <v>102288</v>
      </c>
      <c r="H586" s="18"/>
      <c r="I586" s="16">
        <f t="shared" si="49"/>
        <v>9748</v>
      </c>
      <c r="J586" s="17">
        <f t="array" ref="J586">IFERROR(I586/G586*100,0)</f>
        <v>9.5299546378851865</v>
      </c>
      <c r="K586" s="16">
        <f t="shared" si="50"/>
        <v>1687</v>
      </c>
      <c r="L586" s="9">
        <f t="shared" si="43"/>
        <v>17.306114074681986</v>
      </c>
      <c r="M586" s="8" t="str">
        <f t="shared" si="44"/>
        <v>Perlu Pengendalian</v>
      </c>
      <c r="Q586" s="193">
        <f>Q585/E613</f>
        <v>1.8831702007881399</v>
      </c>
    </row>
    <row r="587" spans="1:20" x14ac:dyDescent="0.15">
      <c r="A587" s="12" t="s">
        <v>628</v>
      </c>
      <c r="B587" s="12" t="s">
        <v>14</v>
      </c>
      <c r="C587" s="12" t="s">
        <v>144</v>
      </c>
      <c r="D587" s="12">
        <f t="shared" si="46"/>
        <v>29</v>
      </c>
      <c r="E587" s="13">
        <f t="shared" si="47"/>
        <v>824.92</v>
      </c>
      <c r="F587" s="14"/>
      <c r="G587" s="15">
        <f t="shared" si="48"/>
        <v>116744</v>
      </c>
      <c r="H587" s="18"/>
      <c r="I587" s="16">
        <f t="shared" si="49"/>
        <v>11054</v>
      </c>
      <c r="J587" s="17">
        <f t="array" ref="J587">IFERROR(I587/G587*100,0)</f>
        <v>9.4685808264236275</v>
      </c>
      <c r="K587" s="16">
        <f t="shared" si="50"/>
        <v>3470</v>
      </c>
      <c r="L587" s="9">
        <f t="shared" si="43"/>
        <v>31.391351546951331</v>
      </c>
      <c r="M587" s="8" t="str">
        <f t="shared" si="44"/>
        <v>Perlu Pengendalian</v>
      </c>
    </row>
    <row r="588" spans="1:20" x14ac:dyDescent="0.15">
      <c r="A588" s="12" t="s">
        <v>628</v>
      </c>
      <c r="B588" s="12" t="s">
        <v>14</v>
      </c>
      <c r="C588" s="12" t="s">
        <v>173</v>
      </c>
      <c r="D588" s="12">
        <f t="shared" si="46"/>
        <v>38</v>
      </c>
      <c r="E588" s="13">
        <f t="shared" si="47"/>
        <v>590.58000000000015</v>
      </c>
      <c r="F588" s="14"/>
      <c r="G588" s="15">
        <f t="shared" si="48"/>
        <v>79850</v>
      </c>
      <c r="H588" s="18"/>
      <c r="I588" s="16">
        <f t="shared" si="49"/>
        <v>7670</v>
      </c>
      <c r="J588" s="17">
        <f t="array" ref="J588">IFERROR(I588/G588*100,0)</f>
        <v>9.6055103318722601</v>
      </c>
      <c r="K588" s="16">
        <f t="shared" si="50"/>
        <v>1625</v>
      </c>
      <c r="L588" s="9">
        <f t="shared" si="43"/>
        <v>21.1864406779661</v>
      </c>
      <c r="M588" s="8" t="str">
        <f t="shared" si="44"/>
        <v>Perlu Pengendalian</v>
      </c>
    </row>
    <row r="589" spans="1:20" x14ac:dyDescent="0.15">
      <c r="A589" s="12" t="s">
        <v>628</v>
      </c>
      <c r="B589" s="12" t="s">
        <v>47</v>
      </c>
      <c r="C589" s="12" t="s">
        <v>216</v>
      </c>
      <c r="D589" s="12">
        <f t="shared" si="46"/>
        <v>34</v>
      </c>
      <c r="E589" s="13">
        <f t="shared" si="47"/>
        <v>884.34000000000026</v>
      </c>
      <c r="F589" s="14"/>
      <c r="G589" s="15">
        <f t="shared" si="48"/>
        <v>121840</v>
      </c>
      <c r="H589" s="18"/>
      <c r="I589" s="16">
        <f t="shared" si="49"/>
        <v>10736</v>
      </c>
      <c r="J589" s="17">
        <f t="array" ref="J589">IFERROR(I589/G589*100,0)</f>
        <v>8.8115561391989488</v>
      </c>
      <c r="K589" s="16">
        <f t="shared" si="50"/>
        <v>3331</v>
      </c>
      <c r="L589" s="9">
        <f t="shared" si="43"/>
        <v>31.02645305514158</v>
      </c>
      <c r="M589" s="8" t="str">
        <f t="shared" si="44"/>
        <v>Perlu Pengendalian</v>
      </c>
    </row>
    <row r="590" spans="1:20" x14ac:dyDescent="0.15">
      <c r="A590" s="12" t="s">
        <v>628</v>
      </c>
      <c r="B590" s="12" t="s">
        <v>47</v>
      </c>
      <c r="C590" s="12" t="s">
        <v>252</v>
      </c>
      <c r="D590" s="12">
        <f t="shared" si="46"/>
        <v>31</v>
      </c>
      <c r="E590" s="13">
        <f t="shared" si="47"/>
        <v>891.03999999999985</v>
      </c>
      <c r="F590" s="14"/>
      <c r="G590" s="15">
        <f t="shared" si="48"/>
        <v>124455</v>
      </c>
      <c r="H590" s="18"/>
      <c r="I590" s="16">
        <f t="shared" si="49"/>
        <v>11488</v>
      </c>
      <c r="J590" s="17">
        <f t="array" ref="J590">IFERROR(I590/G590*100,0)</f>
        <v>9.2306456148808813</v>
      </c>
      <c r="K590" s="16">
        <f t="shared" si="50"/>
        <v>4451</v>
      </c>
      <c r="L590" s="9">
        <f t="shared" si="43"/>
        <v>38.744777158774376</v>
      </c>
      <c r="M590" s="8" t="str">
        <f t="shared" si="44"/>
        <v>Perlu Pengendalian</v>
      </c>
    </row>
    <row r="591" spans="1:20" x14ac:dyDescent="0.15">
      <c r="A591" s="12" t="s">
        <v>628</v>
      </c>
      <c r="B591" s="12" t="s">
        <v>47</v>
      </c>
      <c r="C591" s="12" t="s">
        <v>290</v>
      </c>
      <c r="D591" s="12">
        <f t="shared" si="46"/>
        <v>30</v>
      </c>
      <c r="E591" s="13">
        <f t="shared" si="47"/>
        <v>870.63999999999987</v>
      </c>
      <c r="F591" s="14"/>
      <c r="G591" s="15">
        <f t="shared" si="48"/>
        <v>121143</v>
      </c>
      <c r="H591" s="18"/>
      <c r="I591" s="16">
        <f t="shared" si="49"/>
        <v>10981</v>
      </c>
      <c r="J591" s="17">
        <f t="array" ref="J591">IFERROR(I591/G591*100,0)</f>
        <v>9.0644940277193076</v>
      </c>
      <c r="K591" s="16">
        <f t="shared" si="50"/>
        <v>3106</v>
      </c>
      <c r="L591" s="9">
        <f t="shared" si="43"/>
        <v>28.28521992532556</v>
      </c>
      <c r="M591" s="8" t="str">
        <f t="shared" si="44"/>
        <v>Perlu Pengendalian</v>
      </c>
    </row>
    <row r="592" spans="1:20" x14ac:dyDescent="0.15">
      <c r="A592" s="12" t="s">
        <v>628</v>
      </c>
      <c r="B592" s="12" t="s">
        <v>47</v>
      </c>
      <c r="C592" s="12" t="s">
        <v>323</v>
      </c>
      <c r="D592" s="12">
        <f t="shared" si="46"/>
        <v>39</v>
      </c>
      <c r="E592" s="13">
        <f t="shared" si="47"/>
        <v>890.82999999999981</v>
      </c>
      <c r="F592" s="14"/>
      <c r="G592" s="15">
        <f t="shared" si="48"/>
        <v>120686</v>
      </c>
      <c r="H592" s="18"/>
      <c r="I592" s="16">
        <f t="shared" si="49"/>
        <v>10431</v>
      </c>
      <c r="J592" s="17">
        <f t="array" ref="J592">IFERROR(I592/G592*100,0)</f>
        <v>8.6430903335929603</v>
      </c>
      <c r="K592" s="16">
        <f t="shared" si="50"/>
        <v>2723</v>
      </c>
      <c r="L592" s="9">
        <f t="shared" si="43"/>
        <v>26.104879685552678</v>
      </c>
      <c r="M592" s="8" t="str">
        <f t="shared" si="44"/>
        <v>Perlu Pengendalian</v>
      </c>
    </row>
    <row r="593" spans="1:13" x14ac:dyDescent="0.15">
      <c r="A593" s="12" t="s">
        <v>628</v>
      </c>
      <c r="B593" s="12" t="s">
        <v>47</v>
      </c>
      <c r="C593" s="12" t="s">
        <v>345</v>
      </c>
      <c r="D593" s="12">
        <f t="shared" si="46"/>
        <v>25</v>
      </c>
      <c r="E593" s="13">
        <f t="shared" si="47"/>
        <v>892.31</v>
      </c>
      <c r="F593" s="14"/>
      <c r="G593" s="15">
        <f t="shared" si="48"/>
        <v>126424</v>
      </c>
      <c r="H593" s="18"/>
      <c r="I593" s="16">
        <f t="shared" si="49"/>
        <v>11582</v>
      </c>
      <c r="J593" s="17">
        <f t="array" ref="J593">IFERROR(I593/G593*100,0)</f>
        <v>9.1612352085047135</v>
      </c>
      <c r="K593" s="16">
        <f t="shared" si="50"/>
        <v>2552</v>
      </c>
      <c r="L593" s="9">
        <f t="shared" si="43"/>
        <v>22.034190986012778</v>
      </c>
      <c r="M593" s="8" t="str">
        <f t="shared" si="44"/>
        <v>Perlu Pengendalian</v>
      </c>
    </row>
    <row r="594" spans="1:13" x14ac:dyDescent="0.15">
      <c r="A594" s="12" t="s">
        <v>628</v>
      </c>
      <c r="B594" s="12" t="s">
        <v>47</v>
      </c>
      <c r="C594" s="12" t="s">
        <v>380</v>
      </c>
      <c r="D594" s="12">
        <f t="shared" si="46"/>
        <v>52</v>
      </c>
      <c r="E594" s="13">
        <f t="shared" si="47"/>
        <v>895.66000000000054</v>
      </c>
      <c r="F594" s="14"/>
      <c r="G594" s="15">
        <f t="shared" si="48"/>
        <v>122783</v>
      </c>
      <c r="H594" s="18"/>
      <c r="I594" s="16">
        <f t="shared" si="49"/>
        <v>10783</v>
      </c>
      <c r="J594" s="17">
        <f t="array" ref="J594">IFERROR(I594/G594*100,0)</f>
        <v>8.7821603967976021</v>
      </c>
      <c r="K594" s="16">
        <f t="shared" si="50"/>
        <v>3282</v>
      </c>
      <c r="L594" s="9">
        <f t="shared" si="43"/>
        <v>30.436798664564591</v>
      </c>
      <c r="M594" s="8" t="str">
        <f t="shared" si="44"/>
        <v>Perlu Pengendalian</v>
      </c>
    </row>
    <row r="595" spans="1:13" x14ac:dyDescent="0.15">
      <c r="A595" s="19" t="s">
        <v>628</v>
      </c>
      <c r="B595" s="19" t="s">
        <v>47</v>
      </c>
      <c r="C595" s="19" t="s">
        <v>416</v>
      </c>
      <c r="D595" s="19">
        <f t="shared" si="46"/>
        <v>35</v>
      </c>
      <c r="E595" s="20">
        <f t="shared" si="47"/>
        <v>881.33</v>
      </c>
      <c r="F595" s="21"/>
      <c r="G595" s="22">
        <f t="shared" si="48"/>
        <v>118577</v>
      </c>
      <c r="H595" s="19"/>
      <c r="I595" s="22">
        <f t="shared" si="49"/>
        <v>11456</v>
      </c>
      <c r="J595" s="23">
        <f t="array" ref="J595">IFERROR(I595/G595*100,0)</f>
        <v>9.6612327854474316</v>
      </c>
      <c r="K595" s="22">
        <f t="shared" si="50"/>
        <v>3784</v>
      </c>
      <c r="L595" s="9">
        <f t="shared" si="43"/>
        <v>33.030726256983236</v>
      </c>
      <c r="M595" s="8" t="str">
        <f t="shared" si="44"/>
        <v>Perlu Pengendalian</v>
      </c>
    </row>
    <row r="596" spans="1:13" hidden="1" outlineLevel="1" x14ac:dyDescent="0.15">
      <c r="A596" s="12"/>
      <c r="B596" s="12"/>
      <c r="C596" s="12"/>
      <c r="D596" s="12"/>
      <c r="E596" s="13"/>
      <c r="F596" s="14"/>
      <c r="G596" s="15">
        <f t="shared" si="48"/>
        <v>0</v>
      </c>
      <c r="H596" s="18"/>
      <c r="I596" s="16">
        <f t="shared" si="49"/>
        <v>0</v>
      </c>
      <c r="J596" s="17">
        <f t="array" ref="J596">IFERROR(I596/G596*100,0)</f>
        <v>0</v>
      </c>
      <c r="K596" s="16">
        <f t="shared" si="50"/>
        <v>0</v>
      </c>
      <c r="L596" s="9">
        <f t="shared" si="43"/>
        <v>0</v>
      </c>
      <c r="M596" s="8" t="str">
        <f t="shared" si="44"/>
        <v>Belum Sensus</v>
      </c>
    </row>
    <row r="597" spans="1:13" hidden="1" outlineLevel="1" x14ac:dyDescent="0.15">
      <c r="A597" s="12"/>
      <c r="B597" s="12"/>
      <c r="C597" s="12"/>
      <c r="D597" s="12"/>
      <c r="E597" s="13"/>
      <c r="F597" s="14"/>
      <c r="G597" s="15">
        <f t="shared" si="48"/>
        <v>0</v>
      </c>
      <c r="H597" s="18"/>
      <c r="I597" s="16">
        <f t="shared" si="49"/>
        <v>0</v>
      </c>
      <c r="J597" s="17">
        <f t="array" ref="J597">IFERROR(I597/G597*100,0)</f>
        <v>0</v>
      </c>
      <c r="K597" s="16">
        <f t="shared" si="50"/>
        <v>0</v>
      </c>
      <c r="L597" s="9">
        <f t="shared" si="43"/>
        <v>0</v>
      </c>
      <c r="M597" s="8" t="str">
        <f t="shared" si="44"/>
        <v>Belum Sensus</v>
      </c>
    </row>
    <row r="598" spans="1:13" hidden="1" outlineLevel="1" x14ac:dyDescent="0.15">
      <c r="A598" s="19"/>
      <c r="B598" s="19"/>
      <c r="C598" s="19"/>
      <c r="D598" s="19"/>
      <c r="E598" s="20"/>
      <c r="F598" s="21"/>
      <c r="G598" s="22">
        <f t="shared" si="48"/>
        <v>0</v>
      </c>
      <c r="H598" s="19"/>
      <c r="I598" s="22">
        <f t="shared" si="49"/>
        <v>0</v>
      </c>
      <c r="J598" s="23">
        <f t="array" ref="J598">IFERROR(I598/G598*100,0)</f>
        <v>0</v>
      </c>
      <c r="K598" s="22">
        <f t="shared" si="50"/>
        <v>0</v>
      </c>
      <c r="L598" s="9">
        <f t="shared" si="43"/>
        <v>0</v>
      </c>
      <c r="M598" s="8" t="str">
        <f t="shared" si="44"/>
        <v>Belum Sensus</v>
      </c>
    </row>
    <row r="599" spans="1:13" hidden="1" outlineLevel="1" x14ac:dyDescent="0.15">
      <c r="A599" s="12"/>
      <c r="B599" s="12"/>
      <c r="C599" s="12"/>
      <c r="D599" s="12"/>
      <c r="E599" s="13"/>
      <c r="F599" s="14"/>
      <c r="G599" s="15">
        <f t="shared" si="48"/>
        <v>0</v>
      </c>
      <c r="H599" s="18"/>
      <c r="I599" s="16">
        <f t="shared" si="49"/>
        <v>0</v>
      </c>
      <c r="J599" s="17">
        <f t="array" ref="J599">IFERROR(I599/G599*100,0)</f>
        <v>0</v>
      </c>
      <c r="K599" s="16">
        <f t="shared" si="50"/>
        <v>0</v>
      </c>
      <c r="L599" s="9">
        <f t="shared" si="43"/>
        <v>0</v>
      </c>
      <c r="M599" s="8" t="str">
        <f t="shared" si="44"/>
        <v>Belum Sensus</v>
      </c>
    </row>
    <row r="600" spans="1:13" hidden="1" outlineLevel="1" x14ac:dyDescent="0.15">
      <c r="A600" s="19"/>
      <c r="B600" s="19"/>
      <c r="C600" s="19"/>
      <c r="D600" s="19"/>
      <c r="E600" s="20"/>
      <c r="F600" s="21"/>
      <c r="G600" s="22">
        <f t="shared" si="48"/>
        <v>0</v>
      </c>
      <c r="H600" s="19"/>
      <c r="I600" s="22">
        <f t="shared" si="49"/>
        <v>0</v>
      </c>
      <c r="J600" s="23">
        <f t="array" ref="J600">IFERROR(I600/G600*100,0)</f>
        <v>0</v>
      </c>
      <c r="K600" s="22">
        <f t="shared" si="50"/>
        <v>0</v>
      </c>
      <c r="L600" s="9">
        <f t="shared" si="43"/>
        <v>0</v>
      </c>
      <c r="M600" s="8" t="str">
        <f t="shared" si="44"/>
        <v>Belum Sensus</v>
      </c>
    </row>
    <row r="601" spans="1:13" collapsed="1" x14ac:dyDescent="0.15">
      <c r="A601" s="12" t="s">
        <v>628</v>
      </c>
      <c r="B601" s="24" t="s">
        <v>610</v>
      </c>
      <c r="C601" s="25" t="s">
        <v>610</v>
      </c>
      <c r="D601" s="26">
        <f>SUM(D583:D585)</f>
        <v>93</v>
      </c>
      <c r="E601" s="27">
        <f>SUM(E583:E585)</f>
        <v>2323.73</v>
      </c>
      <c r="F601" s="28"/>
      <c r="G601" s="29">
        <f>SUM(G583:G585)</f>
        <v>331938</v>
      </c>
      <c r="H601" s="30"/>
      <c r="I601" s="16">
        <f>SUM(I583:I585)</f>
        <v>30078</v>
      </c>
      <c r="J601" s="17">
        <f t="array" ref="J601">IFERROR(I601/G601*100,0)</f>
        <v>9.0613307304376107</v>
      </c>
      <c r="K601" s="16">
        <f>SUM(K583:K585)</f>
        <v>6787</v>
      </c>
      <c r="L601" s="9">
        <f t="shared" si="43"/>
        <v>22.564665203803443</v>
      </c>
      <c r="M601" s="8" t="str">
        <f t="shared" si="44"/>
        <v>Perlu Pengendalian</v>
      </c>
    </row>
    <row r="602" spans="1:13" x14ac:dyDescent="0.15">
      <c r="A602" s="12" t="s">
        <v>628</v>
      </c>
      <c r="B602" s="24" t="s">
        <v>611</v>
      </c>
      <c r="C602" s="25" t="s">
        <v>611</v>
      </c>
      <c r="D602" s="12">
        <f>SUM(D586:D588)</f>
        <v>91</v>
      </c>
      <c r="E602" s="27">
        <f>SUM(E586:E588)</f>
        <v>2128.12</v>
      </c>
      <c r="F602" s="28"/>
      <c r="G602" s="29">
        <f>SUM(G586:G588)</f>
        <v>298882</v>
      </c>
      <c r="H602" s="18"/>
      <c r="I602" s="16">
        <f>SUM(I586:I588)</f>
        <v>28472</v>
      </c>
      <c r="J602" s="17">
        <f t="array" ref="J602">IFERROR(I602/G602*100,0)</f>
        <v>9.5261675176156491</v>
      </c>
      <c r="K602" s="16">
        <f>SUM(K586:K588)</f>
        <v>6782</v>
      </c>
      <c r="L602" s="9">
        <f t="shared" si="43"/>
        <v>23.819893228434953</v>
      </c>
      <c r="M602" s="8" t="str">
        <f t="shared" si="44"/>
        <v>Perlu Pengendalian</v>
      </c>
    </row>
    <row r="603" spans="1:13" x14ac:dyDescent="0.15">
      <c r="A603" s="12" t="s">
        <v>628</v>
      </c>
      <c r="B603" s="24" t="s">
        <v>612</v>
      </c>
      <c r="C603" s="25" t="s">
        <v>612</v>
      </c>
      <c r="D603" s="12">
        <f>SUM(D589:D591)</f>
        <v>95</v>
      </c>
      <c r="E603" s="27">
        <f>SUM(E589:E591)</f>
        <v>2646.02</v>
      </c>
      <c r="F603" s="28"/>
      <c r="G603" s="29">
        <f>SUM(G589:G591)</f>
        <v>367438</v>
      </c>
      <c r="H603" s="18"/>
      <c r="I603" s="16">
        <f>SUM(I589:I591)</f>
        <v>33205</v>
      </c>
      <c r="J603" s="17">
        <f t="array" ref="J603">IFERROR(I603/G603*100,0)</f>
        <v>9.0368987421007088</v>
      </c>
      <c r="K603" s="16">
        <f>SUM(K589:K591)</f>
        <v>10888</v>
      </c>
      <c r="L603" s="9">
        <f t="shared" si="43"/>
        <v>32.790242433368469</v>
      </c>
      <c r="M603" s="8" t="str">
        <f t="shared" si="44"/>
        <v>Perlu Pengendalian</v>
      </c>
    </row>
    <row r="604" spans="1:13" x14ac:dyDescent="0.15">
      <c r="A604" s="12" t="s">
        <v>628</v>
      </c>
      <c r="B604" s="24" t="s">
        <v>613</v>
      </c>
      <c r="C604" s="25" t="s">
        <v>613</v>
      </c>
      <c r="D604" s="12">
        <f>SUM(D592:D593)</f>
        <v>64</v>
      </c>
      <c r="E604" s="27">
        <f>SUM(E592:E593)</f>
        <v>1783.1399999999999</v>
      </c>
      <c r="F604" s="28"/>
      <c r="G604" s="29">
        <f>SUM(G592:G593)</f>
        <v>247110</v>
      </c>
      <c r="H604" s="18"/>
      <c r="I604" s="16">
        <f>SUM(I592:I593)</f>
        <v>22013</v>
      </c>
      <c r="J604" s="17">
        <f t="array" ref="J604">IFERROR(I604/G604*100,0)</f>
        <v>8.9081785439682726</v>
      </c>
      <c r="K604" s="16">
        <f>SUM(K592:K593)</f>
        <v>5275</v>
      </c>
      <c r="L604" s="9">
        <f t="shared" si="43"/>
        <v>23.963112706128197</v>
      </c>
      <c r="M604" s="8" t="str">
        <f t="shared" si="44"/>
        <v>Perlu Pengendalian</v>
      </c>
    </row>
    <row r="605" spans="1:13" x14ac:dyDescent="0.15">
      <c r="A605" s="12" t="s">
        <v>628</v>
      </c>
      <c r="B605" s="24" t="s">
        <v>614</v>
      </c>
      <c r="C605" s="25" t="s">
        <v>614</v>
      </c>
      <c r="D605" s="12">
        <f>SUM(D594:D595)</f>
        <v>87</v>
      </c>
      <c r="E605" s="27">
        <f>SUM(E594:E595)</f>
        <v>1776.9900000000007</v>
      </c>
      <c r="F605" s="28"/>
      <c r="G605" s="29">
        <f>SUM(G594:G595)</f>
        <v>241360</v>
      </c>
      <c r="H605" s="18"/>
      <c r="I605" s="16">
        <f>SUM(I594:I595)</f>
        <v>22239</v>
      </c>
      <c r="J605" s="17">
        <f t="array" ref="J605">IFERROR(I605/G605*100,0)</f>
        <v>9.2140371229698363</v>
      </c>
      <c r="K605" s="16">
        <f>SUM(K594:K595)</f>
        <v>7066</v>
      </c>
      <c r="L605" s="9">
        <f t="shared" si="43"/>
        <v>31.77301137641081</v>
      </c>
      <c r="M605" s="8" t="str">
        <f t="shared" si="44"/>
        <v>Perlu Pengendalian</v>
      </c>
    </row>
    <row r="606" spans="1:13" hidden="1" outlineLevel="1" x14ac:dyDescent="0.15">
      <c r="A606" s="12"/>
      <c r="B606" s="24"/>
      <c r="C606" s="25"/>
      <c r="D606" s="12"/>
      <c r="E606" s="27"/>
      <c r="F606" s="28"/>
      <c r="G606" s="29"/>
      <c r="H606" s="18"/>
      <c r="I606" s="16"/>
      <c r="J606" s="17"/>
      <c r="K606" s="16"/>
      <c r="L606" s="9"/>
      <c r="M606" s="8"/>
    </row>
    <row r="607" spans="1:13" hidden="1" outlineLevel="1" x14ac:dyDescent="0.15">
      <c r="A607" s="12"/>
      <c r="B607" s="24"/>
      <c r="C607" s="25"/>
      <c r="D607" s="12"/>
      <c r="E607" s="27"/>
      <c r="F607" s="28"/>
      <c r="G607" s="29"/>
      <c r="H607" s="18"/>
      <c r="I607" s="16"/>
      <c r="J607" s="17"/>
      <c r="K607" s="16"/>
      <c r="L607" s="9"/>
      <c r="M607" s="8"/>
    </row>
    <row r="608" spans="1:13" hidden="1" outlineLevel="1" x14ac:dyDescent="0.15">
      <c r="A608" s="12"/>
      <c r="B608" s="24"/>
      <c r="C608" s="25"/>
      <c r="D608" s="12"/>
      <c r="E608" s="27"/>
      <c r="F608" s="28"/>
      <c r="G608" s="29"/>
      <c r="H608" s="18"/>
      <c r="I608" s="16"/>
      <c r="J608" s="17"/>
      <c r="K608" s="16"/>
      <c r="L608" s="9"/>
      <c r="M608" s="8"/>
    </row>
    <row r="609" spans="1:13" collapsed="1" x14ac:dyDescent="0.15">
      <c r="A609" s="31" t="s">
        <v>628</v>
      </c>
      <c r="B609" s="32" t="s">
        <v>14</v>
      </c>
      <c r="C609" s="31" t="s">
        <v>14</v>
      </c>
      <c r="D609" s="149">
        <f>SUM(D601:D602)</f>
        <v>184</v>
      </c>
      <c r="E609" s="33">
        <f>SUM(E601:F602)</f>
        <v>4451.8500000000004</v>
      </c>
      <c r="F609" s="34"/>
      <c r="G609" s="35">
        <f>SUM(G601:H602)</f>
        <v>630820</v>
      </c>
      <c r="H609" s="16"/>
      <c r="I609" s="16">
        <f>SUM(I601:I602)</f>
        <v>58550</v>
      </c>
      <c r="J609" s="17">
        <f t="array" ref="J609">IFERROR(I609/G609*100,0)</f>
        <v>9.2815700199740014</v>
      </c>
      <c r="K609" s="16">
        <f>SUM(K601:K602)</f>
        <v>13569</v>
      </c>
      <c r="L609" s="9">
        <f t="shared" si="43"/>
        <v>23.175064047822374</v>
      </c>
      <c r="M609" s="8" t="str">
        <f t="shared" si="44"/>
        <v>Perlu Pengendalian</v>
      </c>
    </row>
    <row r="610" spans="1:13" x14ac:dyDescent="0.15">
      <c r="A610" s="31" t="s">
        <v>628</v>
      </c>
      <c r="B610" s="32" t="s">
        <v>47</v>
      </c>
      <c r="C610" s="31" t="s">
        <v>47</v>
      </c>
      <c r="D610" s="31">
        <f>SUM(D603:D605)</f>
        <v>246</v>
      </c>
      <c r="E610" s="33">
        <f>SUM(E603:F605)</f>
        <v>6206.1500000000005</v>
      </c>
      <c r="F610" s="34"/>
      <c r="G610" s="35">
        <f>SUM(G603:H605)</f>
        <v>855908</v>
      </c>
      <c r="H610" s="16"/>
      <c r="I610" s="16">
        <f>SUM(I603:I608)</f>
        <v>77457</v>
      </c>
      <c r="J610" s="17">
        <f t="array" ref="J610">IFERROR(I610/G610*100,0)</f>
        <v>9.0496875832449284</v>
      </c>
      <c r="K610" s="16">
        <f>SUM(K603:K608)</f>
        <v>23229</v>
      </c>
      <c r="L610" s="9">
        <f t="shared" si="43"/>
        <v>29.989542584918084</v>
      </c>
      <c r="M610" s="8" t="str">
        <f t="shared" si="44"/>
        <v>Perlu Pengendalian</v>
      </c>
    </row>
    <row r="611" spans="1:13" hidden="1" outlineLevel="1" x14ac:dyDescent="0.15">
      <c r="A611" s="31"/>
      <c r="B611" s="32"/>
      <c r="C611" s="31"/>
      <c r="D611" s="31"/>
      <c r="E611" s="33"/>
      <c r="F611" s="34"/>
      <c r="G611" s="35"/>
      <c r="H611" s="16"/>
      <c r="I611" s="16"/>
      <c r="J611" s="17"/>
      <c r="K611" s="16"/>
      <c r="L611" s="9"/>
      <c r="M611" s="8"/>
    </row>
    <row r="612" spans="1:13" hidden="1" outlineLevel="1" x14ac:dyDescent="0.15">
      <c r="A612" s="31"/>
      <c r="B612" s="32"/>
      <c r="C612" s="31"/>
      <c r="D612" s="31"/>
      <c r="E612" s="33"/>
      <c r="F612" s="34"/>
      <c r="G612" s="35"/>
      <c r="H612" s="16"/>
      <c r="I612" s="16"/>
      <c r="J612" s="17"/>
      <c r="K612" s="16"/>
      <c r="L612" s="9"/>
      <c r="M612" s="8"/>
    </row>
    <row r="613" spans="1:13" collapsed="1" x14ac:dyDescent="0.15">
      <c r="A613" s="31" t="s">
        <v>628</v>
      </c>
      <c r="B613" s="36"/>
      <c r="C613" s="37"/>
      <c r="D613" s="31">
        <f>SUM(D609:D612)</f>
        <v>430</v>
      </c>
      <c r="E613" s="38">
        <f>SUM(E609:F612)</f>
        <v>10658</v>
      </c>
      <c r="F613" s="39"/>
      <c r="G613" s="35">
        <f>SUM(G609:H612)</f>
        <v>1486728</v>
      </c>
      <c r="H613" s="40"/>
      <c r="I613" s="16">
        <f>SUM(I609:I610)</f>
        <v>136007</v>
      </c>
      <c r="J613" s="17">
        <f t="array" ref="J613">IFERROR(I613/G613*100,0)</f>
        <v>9.1480755054051581</v>
      </c>
      <c r="K613" s="16">
        <f>SUM(K609:K610)</f>
        <v>36798</v>
      </c>
      <c r="L613" s="9">
        <f t="shared" si="43"/>
        <v>27.055960354981728</v>
      </c>
      <c r="M613" s="8" t="str">
        <f t="shared" si="44"/>
        <v>Perlu Pengendalian</v>
      </c>
    </row>
    <row r="615" spans="1:13" x14ac:dyDescent="0.15">
      <c r="G615" s="195">
        <f>G613/E613</f>
        <v>139.49408894726966</v>
      </c>
    </row>
    <row r="621" spans="1:13" x14ac:dyDescent="0.15">
      <c r="A621" s="41"/>
    </row>
    <row r="631" spans="7:7" x14ac:dyDescent="0.15">
      <c r="G631" s="42"/>
    </row>
  </sheetData>
  <autoFilter ref="A5:M435" xr:uid="{765A3F52-B8AC-4193-B4B8-94C71E38BB56}"/>
  <mergeCells count="13">
    <mergeCell ref="M3:M4"/>
    <mergeCell ref="G3:G4"/>
    <mergeCell ref="H3:H4"/>
    <mergeCell ref="I3:I4"/>
    <mergeCell ref="J3:J4"/>
    <mergeCell ref="K3:K4"/>
    <mergeCell ref="L3:L4"/>
    <mergeCell ref="F3:F4"/>
    <mergeCell ref="A3:A4"/>
    <mergeCell ref="B3:B4"/>
    <mergeCell ref="C3:C4"/>
    <mergeCell ref="D3:D4"/>
    <mergeCell ref="E3:E4"/>
  </mergeCells>
  <conditionalFormatting sqref="L6:L613">
    <cfRule type="cellIs" dxfId="414" priority="1" operator="equal">
      <formula>"-"</formula>
    </cfRule>
    <cfRule type="cellIs" dxfId="413" priority="2" operator="greaterThan">
      <formula>5</formula>
    </cfRule>
    <cfRule type="cellIs" dxfId="412" priority="3" operator="between">
      <formula>2</formula>
      <formula>5</formula>
    </cfRule>
    <cfRule type="cellIs" dxfId="411" priority="4" operator="lessThan">
      <formula>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282C4-115D-4F65-8444-68A2D47F9F9B}">
  <sheetPr filterMode="1">
    <tabColor rgb="FF92D050"/>
  </sheetPr>
  <dimension ref="A1:AB631"/>
  <sheetViews>
    <sheetView zoomScale="55" zoomScaleNormal="55" workbookViewId="0">
      <pane xSplit="1" ySplit="5" topLeftCell="B6" activePane="bottomRight" state="frozen"/>
      <selection activeCell="V294" sqref="V158:V294"/>
      <selection pane="topRight" activeCell="V294" sqref="V158:V294"/>
      <selection pane="bottomLeft" activeCell="V294" sqref="V158:V294"/>
      <selection pane="bottomRight" activeCell="A2" sqref="A2"/>
    </sheetView>
  </sheetViews>
  <sheetFormatPr baseColWidth="10" defaultColWidth="8.6640625" defaultRowHeight="14" outlineLevelRow="1" outlineLevelCol="1" x14ac:dyDescent="0.15"/>
  <cols>
    <col min="1" max="1" width="12.5" style="3" customWidth="1"/>
    <col min="2" max="2" width="9.83203125" style="3" bestFit="1" customWidth="1" outlineLevel="1"/>
    <col min="3" max="3" width="16.33203125" style="3" customWidth="1"/>
    <col min="4" max="4" width="10.33203125" style="3" customWidth="1"/>
    <col min="5" max="5" width="10.6640625" style="3" customWidth="1"/>
    <col min="6" max="6" width="18.33203125" style="3" customWidth="1" outlineLevel="1"/>
    <col min="7" max="13" width="15.83203125" style="3" customWidth="1"/>
    <col min="14" max="14" width="13.5" style="2" customWidth="1"/>
    <col min="15" max="15" width="14.1640625" style="2" customWidth="1"/>
    <col min="16" max="16" width="17.1640625" style="2" customWidth="1"/>
    <col min="17" max="17" width="21.5" style="2" customWidth="1"/>
    <col min="18" max="18" width="11.1640625" style="3" customWidth="1"/>
    <col min="19" max="19" width="26.6640625" style="3" bestFit="1" customWidth="1"/>
    <col min="20" max="21" width="26.6640625" style="3" customWidth="1"/>
    <col min="22" max="22" width="11.83203125" style="3" customWidth="1"/>
    <col min="23" max="23" width="11.5" style="3" customWidth="1"/>
    <col min="24" max="24" width="19.1640625" style="3" customWidth="1"/>
    <col min="25" max="25" width="8.6640625" style="3"/>
    <col min="26" max="26" width="16.6640625" style="3" bestFit="1" customWidth="1"/>
    <col min="27" max="27" width="24.1640625" style="3" customWidth="1"/>
    <col min="28" max="28" width="16.6640625" style="3" customWidth="1"/>
    <col min="29" max="16384" width="8.6640625" style="3"/>
  </cols>
  <sheetData>
    <row r="1" spans="1:28" x14ac:dyDescent="0.15">
      <c r="H1" s="277" t="s">
        <v>2286</v>
      </c>
      <c r="I1" s="277"/>
      <c r="J1" s="277"/>
      <c r="K1" s="277"/>
      <c r="L1" s="277"/>
      <c r="M1" s="277"/>
    </row>
    <row r="2" spans="1:28" ht="16" x14ac:dyDescent="0.2">
      <c r="A2" s="1" t="s">
        <v>2293</v>
      </c>
      <c r="B2" s="2"/>
      <c r="C2" s="2"/>
      <c r="D2" s="2"/>
      <c r="E2" s="2"/>
      <c r="F2" s="2"/>
      <c r="G2" s="2"/>
      <c r="H2" s="278" t="s">
        <v>2097</v>
      </c>
      <c r="I2" s="278"/>
      <c r="J2" s="278"/>
      <c r="K2" s="278"/>
      <c r="L2" s="278"/>
      <c r="M2" s="278"/>
      <c r="N2" s="279" t="s">
        <v>938</v>
      </c>
      <c r="O2" s="280"/>
      <c r="P2" s="280"/>
      <c r="Q2" s="280"/>
      <c r="R2" s="280"/>
      <c r="S2" s="280"/>
      <c r="T2" s="280"/>
      <c r="U2" s="281"/>
      <c r="V2" s="282" t="s">
        <v>1742</v>
      </c>
      <c r="W2" s="283"/>
      <c r="X2" s="283"/>
      <c r="Y2" s="283"/>
      <c r="Z2" s="283"/>
      <c r="AA2" s="283"/>
      <c r="AB2" s="283"/>
    </row>
    <row r="3" spans="1:28" ht="13.75" customHeight="1" x14ac:dyDescent="0.15">
      <c r="A3" s="276" t="s">
        <v>1</v>
      </c>
      <c r="B3" s="276" t="s">
        <v>2</v>
      </c>
      <c r="C3" s="276" t="s">
        <v>3</v>
      </c>
      <c r="D3" s="276" t="s">
        <v>4</v>
      </c>
      <c r="E3" s="276" t="s">
        <v>5</v>
      </c>
      <c r="F3" s="276" t="s">
        <v>6</v>
      </c>
      <c r="G3" s="284" t="s">
        <v>7</v>
      </c>
      <c r="H3" s="275" t="s">
        <v>8</v>
      </c>
      <c r="I3" s="275" t="s">
        <v>2091</v>
      </c>
      <c r="J3" s="275" t="s">
        <v>626</v>
      </c>
      <c r="K3" s="275" t="s">
        <v>627</v>
      </c>
      <c r="L3" s="275" t="s">
        <v>10</v>
      </c>
      <c r="M3" s="276" t="s">
        <v>11</v>
      </c>
      <c r="N3" s="271" t="s">
        <v>8</v>
      </c>
      <c r="O3" s="271" t="s">
        <v>9</v>
      </c>
      <c r="P3" s="271" t="s">
        <v>626</v>
      </c>
      <c r="Q3" s="271" t="s">
        <v>627</v>
      </c>
      <c r="R3" s="271" t="s">
        <v>10</v>
      </c>
      <c r="S3" s="273" t="s">
        <v>11</v>
      </c>
      <c r="T3" s="271" t="s">
        <v>2096</v>
      </c>
      <c r="U3" s="271" t="s">
        <v>10</v>
      </c>
      <c r="V3" s="271" t="s">
        <v>8</v>
      </c>
      <c r="W3" s="271" t="s">
        <v>1743</v>
      </c>
      <c r="X3" s="271" t="s">
        <v>1744</v>
      </c>
      <c r="Y3" s="271" t="s">
        <v>10</v>
      </c>
      <c r="Z3" s="273" t="s">
        <v>11</v>
      </c>
      <c r="AA3" s="275" t="s">
        <v>2096</v>
      </c>
      <c r="AB3" s="275" t="s">
        <v>10</v>
      </c>
    </row>
    <row r="4" spans="1:28" x14ac:dyDescent="0.15">
      <c r="A4" s="276"/>
      <c r="B4" s="276"/>
      <c r="C4" s="276"/>
      <c r="D4" s="276"/>
      <c r="E4" s="276"/>
      <c r="F4" s="276"/>
      <c r="G4" s="284"/>
      <c r="H4" s="275"/>
      <c r="I4" s="275"/>
      <c r="J4" s="275"/>
      <c r="K4" s="275"/>
      <c r="L4" s="275"/>
      <c r="M4" s="276"/>
      <c r="N4" s="272"/>
      <c r="O4" s="272"/>
      <c r="P4" s="272"/>
      <c r="Q4" s="272"/>
      <c r="R4" s="272"/>
      <c r="S4" s="274"/>
      <c r="T4" s="272"/>
      <c r="U4" s="272"/>
      <c r="V4" s="272"/>
      <c r="W4" s="272"/>
      <c r="X4" s="272"/>
      <c r="Y4" s="272"/>
      <c r="Z4" s="274"/>
      <c r="AA4" s="275"/>
      <c r="AB4" s="275"/>
    </row>
    <row r="5" spans="1:28" ht="10.5" customHeight="1" x14ac:dyDescent="0.15">
      <c r="A5" s="4"/>
      <c r="B5" s="4"/>
      <c r="C5" s="4"/>
      <c r="D5" s="4"/>
      <c r="E5" s="4"/>
      <c r="F5" s="4"/>
      <c r="G5" s="5"/>
      <c r="H5" s="5"/>
      <c r="I5" s="5"/>
      <c r="J5" s="5"/>
      <c r="K5" s="5"/>
      <c r="L5" s="5"/>
      <c r="M5" s="5"/>
      <c r="N5" s="6"/>
      <c r="O5" s="6"/>
      <c r="P5" s="6"/>
      <c r="Q5" s="6"/>
      <c r="R5" s="6"/>
      <c r="S5" s="7"/>
      <c r="T5" s="7"/>
      <c r="U5" s="7"/>
      <c r="V5" s="6"/>
      <c r="W5" s="6"/>
      <c r="X5" s="6"/>
      <c r="Y5" s="6"/>
      <c r="Z5" s="7"/>
      <c r="AA5" s="7"/>
      <c r="AB5" s="7"/>
    </row>
    <row r="6" spans="1:28" outlineLevel="1" x14ac:dyDescent="0.15">
      <c r="A6" s="8" t="s">
        <v>628</v>
      </c>
      <c r="B6" s="8" t="s">
        <v>14</v>
      </c>
      <c r="C6" s="8" t="s">
        <v>14</v>
      </c>
      <c r="D6" s="8" t="s">
        <v>629</v>
      </c>
      <c r="E6" s="9">
        <v>19.8</v>
      </c>
      <c r="F6" s="8" t="s">
        <v>16</v>
      </c>
      <c r="G6" s="143">
        <f t="array" ref="G6">INDEX('[23]SENSUS MEI'!$G$9:$G$453,MATCH(1,('[23]SENSUS MEI'!$D$9:$D$453=$D6)*('[23]SENSUS MEI'!$D$9:$D$453=$D6),0))</f>
        <v>2655</v>
      </c>
      <c r="H6" s="132">
        <f t="shared" ref="H6:I21" si="0">IF(N6&gt;0,N6,V6)</f>
        <v>46237</v>
      </c>
      <c r="I6" s="140">
        <f t="shared" si="0"/>
        <v>56</v>
      </c>
      <c r="J6" s="9">
        <f t="shared" ref="J6:J69" si="1">IF(P6&gt;0,P6," ")</f>
        <v>2.1092278719397362</v>
      </c>
      <c r="K6" s="140">
        <f t="shared" ref="K6:K69" si="2">IF(Q6&gt;0,Q6,X6)</f>
        <v>8</v>
      </c>
      <c r="L6" s="206">
        <f t="shared" ref="L6:L69" si="3">IFERROR(K6/I6*100,0)</f>
        <v>14.285714285714285</v>
      </c>
      <c r="M6" s="8" t="str">
        <f t="array" ref="M6">IF(L6&gt;5,"Perlu Sensus",IF(AND(L6&gt;=0,I6&gt;0),"Tetap Deteksi","Belum Deteksi"))</f>
        <v>Perlu Sensus</v>
      </c>
      <c r="N6" s="132">
        <v>46237</v>
      </c>
      <c r="O6" s="203">
        <v>56</v>
      </c>
      <c r="P6" s="9">
        <f t="array" ref="P6">IFERROR(O6/G6*100,0)</f>
        <v>2.1092278719397362</v>
      </c>
      <c r="Q6" s="203">
        <v>8</v>
      </c>
      <c r="R6" s="9">
        <f t="shared" ref="R6:R69" si="4">IFERROR(Q6/O6*100,0)</f>
        <v>14.285714285714285</v>
      </c>
      <c r="S6" s="8" t="str">
        <f t="array" ref="S6">IF(R6&gt;5,"Perlu Sensus",IF(AND(R6&gt;=0,O6&gt;0),"Tetap Deteksi","Belum Deteksi"))</f>
        <v>Perlu Sensus</v>
      </c>
      <c r="T6" s="203">
        <v>17</v>
      </c>
      <c r="U6" s="9">
        <f>IFERROR(T6/O6*100,0)</f>
        <v>30.357142857142854</v>
      </c>
      <c r="V6" s="132">
        <v>46238</v>
      </c>
      <c r="W6" s="203">
        <v>189</v>
      </c>
      <c r="X6" s="203">
        <v>32</v>
      </c>
      <c r="Y6" s="9">
        <f t="shared" ref="Y6:Y69" si="5">IFERROR(X6/W6*100,0)</f>
        <v>16.93121693121693</v>
      </c>
      <c r="Z6" s="8" t="str">
        <f t="array" ref="Z6">IF(Y6&gt;5,"Perlu Sensus",IF(AND(Y6&gt;0,,O6&gt;0),"Tetap Deteksi","Belum Deteksi"))</f>
        <v>Perlu Sensus</v>
      </c>
      <c r="AA6" s="203">
        <v>55</v>
      </c>
      <c r="AB6" s="9">
        <f>IFERROR(AA6/W6*100,0)</f>
        <v>29.100529100529098</v>
      </c>
    </row>
    <row r="7" spans="1:28" outlineLevel="1" x14ac:dyDescent="0.15">
      <c r="A7" s="8" t="s">
        <v>628</v>
      </c>
      <c r="B7" s="8" t="s">
        <v>14</v>
      </c>
      <c r="C7" s="8" t="s">
        <v>14</v>
      </c>
      <c r="D7" s="8" t="s">
        <v>630</v>
      </c>
      <c r="E7" s="9">
        <v>5.32</v>
      </c>
      <c r="F7" s="8" t="s">
        <v>16</v>
      </c>
      <c r="G7" s="143">
        <f t="array" ref="G7">INDEX('[23]SENSUS MEI'!$G$9:$G$453,MATCH(1,('[23]SENSUS MEI'!$D$9:$D$453=$D7)*('[23]SENSUS MEI'!$D$9:$D$453=$D7),0))</f>
        <v>669</v>
      </c>
      <c r="H7" s="132">
        <f t="shared" si="0"/>
        <v>46237</v>
      </c>
      <c r="I7" s="140">
        <f t="shared" si="0"/>
        <v>54</v>
      </c>
      <c r="J7" s="9">
        <f t="shared" si="1"/>
        <v>8.071748878923767</v>
      </c>
      <c r="K7" s="140">
        <f t="shared" si="2"/>
        <v>8</v>
      </c>
      <c r="L7" s="206">
        <f t="shared" si="3"/>
        <v>14.814814814814813</v>
      </c>
      <c r="M7" s="8" t="str">
        <f t="array" ref="M7">IF(L7&gt;5,"Perlu Sensus",IF(AND(L7&gt;=0,I7&gt;0),"Tetap Deteksi","Belum Deteksi"))</f>
        <v>Perlu Sensus</v>
      </c>
      <c r="N7" s="132">
        <v>46237</v>
      </c>
      <c r="O7" s="203">
        <v>54</v>
      </c>
      <c r="P7" s="9">
        <f t="array" ref="P7">IFERROR(O7/G7*100,0)</f>
        <v>8.071748878923767</v>
      </c>
      <c r="Q7" s="203">
        <v>8</v>
      </c>
      <c r="R7" s="9">
        <f t="shared" si="4"/>
        <v>14.814814814814813</v>
      </c>
      <c r="S7" s="8" t="str">
        <f t="array" ref="S7">IF(R7&gt;5,"Perlu Sensus",IF(AND(R7&gt;=0,O7&gt;0),"Tetap Deteksi","Belum Deteksi"))</f>
        <v>Perlu Sensus</v>
      </c>
      <c r="T7" s="203">
        <v>17</v>
      </c>
      <c r="U7" s="9">
        <f t="shared" ref="U7:U70" si="6">IFERROR(T7/O7*100,0)</f>
        <v>31.481481481481481</v>
      </c>
      <c r="V7" s="132">
        <v>46238</v>
      </c>
      <c r="W7" s="203">
        <v>164</v>
      </c>
      <c r="X7" s="203">
        <v>26</v>
      </c>
      <c r="Y7" s="9">
        <f t="shared" si="5"/>
        <v>15.853658536585366</v>
      </c>
      <c r="Z7" s="8" t="str">
        <f t="array" ref="Z7">IF(Y7&gt;5,"Perlu Sensus",IF(AND(Y7&gt;0,,O7&gt;0),"Tetap Deteksi","Belum Deteksi"))</f>
        <v>Perlu Sensus</v>
      </c>
      <c r="AA7" s="203">
        <v>21</v>
      </c>
      <c r="AB7" s="9">
        <f t="shared" ref="AB7:AB70" si="7">IFERROR(AA7/W7*100,0)</f>
        <v>12.804878048780488</v>
      </c>
    </row>
    <row r="8" spans="1:28" outlineLevel="1" x14ac:dyDescent="0.15">
      <c r="A8" s="8" t="s">
        <v>628</v>
      </c>
      <c r="B8" s="8" t="s">
        <v>14</v>
      </c>
      <c r="C8" s="8" t="s">
        <v>14</v>
      </c>
      <c r="D8" s="8" t="s">
        <v>631</v>
      </c>
      <c r="E8" s="9">
        <v>3.16</v>
      </c>
      <c r="F8" s="8" t="s">
        <v>16</v>
      </c>
      <c r="G8" s="143">
        <f t="array" ref="G8">INDEX('[23]SENSUS MEI'!$G$9:$G$453,MATCH(1,('[23]SENSUS MEI'!$D$9:$D$453=$D8)*('[23]SENSUS MEI'!$D$9:$D$453=$D8),0))</f>
        <v>519</v>
      </c>
      <c r="H8" s="132">
        <f t="shared" si="0"/>
        <v>46237</v>
      </c>
      <c r="I8" s="140">
        <f t="shared" si="0"/>
        <v>54</v>
      </c>
      <c r="J8" s="9">
        <f t="shared" si="1"/>
        <v>10.404624277456648</v>
      </c>
      <c r="K8" s="140">
        <f t="shared" si="2"/>
        <v>6</v>
      </c>
      <c r="L8" s="206">
        <f t="shared" si="3"/>
        <v>11.111111111111111</v>
      </c>
      <c r="M8" s="8" t="str">
        <f t="array" ref="M8">IF(L8&gt;5,"Perlu Sensus",IF(AND(L8&gt;=0,I8&gt;0),"Tetap Deteksi","Belum Deteksi"))</f>
        <v>Perlu Sensus</v>
      </c>
      <c r="N8" s="132">
        <v>46237</v>
      </c>
      <c r="O8" s="203">
        <v>54</v>
      </c>
      <c r="P8" s="9">
        <f t="array" ref="P8">IFERROR(O8/G8*100,0)</f>
        <v>10.404624277456648</v>
      </c>
      <c r="Q8" s="203">
        <v>6</v>
      </c>
      <c r="R8" s="9">
        <f t="shared" si="4"/>
        <v>11.111111111111111</v>
      </c>
      <c r="S8" s="8" t="str">
        <f t="array" ref="S8">IF(R8&gt;5,"Perlu Sensus",IF(AND(R8&gt;=0,O8&gt;0),"Tetap Deteksi","Belum Deteksi"))</f>
        <v>Perlu Sensus</v>
      </c>
      <c r="T8" s="203">
        <v>16</v>
      </c>
      <c r="U8" s="9">
        <f t="shared" si="6"/>
        <v>29.629629629629626</v>
      </c>
      <c r="V8" s="132">
        <v>46238</v>
      </c>
      <c r="W8" s="203">
        <v>190</v>
      </c>
      <c r="X8" s="203">
        <v>33</v>
      </c>
      <c r="Y8" s="9">
        <f t="shared" si="5"/>
        <v>17.368421052631579</v>
      </c>
      <c r="Z8" s="8" t="str">
        <f t="array" ref="Z8">IF(Y8&gt;5,"Perlu Sensus",IF(AND(Y8&gt;0,,O8&gt;0),"Tetap Deteksi","Belum Deteksi"))</f>
        <v>Perlu Sensus</v>
      </c>
      <c r="AA8" s="203">
        <v>50</v>
      </c>
      <c r="AB8" s="9">
        <f t="shared" si="7"/>
        <v>26.315789473684209</v>
      </c>
    </row>
    <row r="9" spans="1:28" outlineLevel="1" x14ac:dyDescent="0.15">
      <c r="A9" s="8" t="s">
        <v>628</v>
      </c>
      <c r="B9" s="8" t="s">
        <v>14</v>
      </c>
      <c r="C9" s="8" t="s">
        <v>14</v>
      </c>
      <c r="D9" s="8" t="s">
        <v>632</v>
      </c>
      <c r="E9" s="9">
        <v>29.56</v>
      </c>
      <c r="F9" s="8" t="s">
        <v>16</v>
      </c>
      <c r="G9" s="143">
        <f t="array" ref="G9">INDEX('[23]SENSUS MEI'!$G$9:$G$453,MATCH(1,('[23]SENSUS MEI'!$D$9:$D$453=$D9)*('[23]SENSUS MEI'!$D$9:$D$453=$D9),0))</f>
        <v>3810</v>
      </c>
      <c r="H9" s="132">
        <f t="shared" si="0"/>
        <v>46238</v>
      </c>
      <c r="I9" s="140">
        <f t="shared" si="0"/>
        <v>112</v>
      </c>
      <c r="J9" s="9">
        <f t="shared" si="1"/>
        <v>2.9396325459317585</v>
      </c>
      <c r="K9" s="140">
        <f t="shared" si="2"/>
        <v>6</v>
      </c>
      <c r="L9" s="206">
        <f t="shared" si="3"/>
        <v>5.3571428571428568</v>
      </c>
      <c r="M9" s="8" t="str">
        <f t="array" ref="M9">IF(L9&gt;5,"Perlu Sensus",IF(AND(L9&gt;=0,I9&gt;0),"Tetap Deteksi","Belum Deteksi"))</f>
        <v>Perlu Sensus</v>
      </c>
      <c r="N9" s="132">
        <v>46238</v>
      </c>
      <c r="O9" s="203">
        <v>112</v>
      </c>
      <c r="P9" s="9">
        <f t="array" ref="P9">IFERROR(O9/G9*100,0)</f>
        <v>2.9396325459317585</v>
      </c>
      <c r="Q9" s="203">
        <v>6</v>
      </c>
      <c r="R9" s="9">
        <f t="shared" si="4"/>
        <v>5.3571428571428568</v>
      </c>
      <c r="S9" s="8" t="str">
        <f t="array" ref="S9">IF(R9&gt;5,"Perlu Sensus",IF(AND(R9&gt;=0,O9&gt;0),"Tetap Deteksi","Belum Deteksi"))</f>
        <v>Perlu Sensus</v>
      </c>
      <c r="T9" s="203">
        <v>6</v>
      </c>
      <c r="U9" s="9">
        <f t="shared" si="6"/>
        <v>5.3571428571428568</v>
      </c>
      <c r="V9" s="132">
        <v>46239</v>
      </c>
      <c r="W9" s="203">
        <v>221</v>
      </c>
      <c r="X9" s="203">
        <v>17</v>
      </c>
      <c r="Y9" s="9">
        <f t="shared" si="5"/>
        <v>7.6923076923076925</v>
      </c>
      <c r="Z9" s="8" t="str">
        <f t="array" ref="Z9">IF(Y9&gt;5,"Perlu Sensus",IF(AND(Y9&gt;0,,O9&gt;0),"Tetap Deteksi","Belum Deteksi"))</f>
        <v>Perlu Sensus</v>
      </c>
      <c r="AA9" s="203">
        <v>25</v>
      </c>
      <c r="AB9" s="9">
        <f t="shared" si="7"/>
        <v>11.312217194570136</v>
      </c>
    </row>
    <row r="10" spans="1:28" outlineLevel="1" x14ac:dyDescent="0.15">
      <c r="A10" s="8" t="s">
        <v>628</v>
      </c>
      <c r="B10" s="8" t="s">
        <v>14</v>
      </c>
      <c r="C10" s="8" t="s">
        <v>14</v>
      </c>
      <c r="D10" s="8" t="s">
        <v>633</v>
      </c>
      <c r="E10" s="9">
        <v>19.59</v>
      </c>
      <c r="F10" s="8" t="s">
        <v>16</v>
      </c>
      <c r="G10" s="143">
        <f t="array" ref="G10">INDEX('[23]SENSUS MEI'!$G$9:$G$453,MATCH(1,('[23]SENSUS MEI'!$D$9:$D$453=$D10)*('[23]SENSUS MEI'!$D$9:$D$453=$D10),0))</f>
        <v>2776</v>
      </c>
      <c r="H10" s="132">
        <f t="shared" si="0"/>
        <v>46238</v>
      </c>
      <c r="I10" s="140">
        <f t="shared" si="0"/>
        <v>104</v>
      </c>
      <c r="J10" s="9">
        <f t="shared" si="1"/>
        <v>3.7463976945244957</v>
      </c>
      <c r="K10" s="140">
        <f t="shared" si="2"/>
        <v>6</v>
      </c>
      <c r="L10" s="206">
        <f t="shared" si="3"/>
        <v>5.7692307692307692</v>
      </c>
      <c r="M10" s="8" t="str">
        <f t="array" ref="M10">IF(L10&gt;5,"Perlu Sensus",IF(AND(L10&gt;=0,I10&gt;0),"Tetap Deteksi","Belum Deteksi"))</f>
        <v>Perlu Sensus</v>
      </c>
      <c r="N10" s="132">
        <v>46238</v>
      </c>
      <c r="O10" s="203">
        <v>104</v>
      </c>
      <c r="P10" s="9">
        <f t="array" ref="P10">IFERROR(O10/G10*100,0)</f>
        <v>3.7463976945244957</v>
      </c>
      <c r="Q10" s="203">
        <v>6</v>
      </c>
      <c r="R10" s="9">
        <f t="shared" si="4"/>
        <v>5.7692307692307692</v>
      </c>
      <c r="S10" s="8" t="str">
        <f t="array" ref="S10">IF(R10&gt;5,"Perlu Sensus",IF(AND(R10&gt;=0,O10&gt;0),"Tetap Deteksi","Belum Deteksi"))</f>
        <v>Perlu Sensus</v>
      </c>
      <c r="T10" s="203">
        <v>14</v>
      </c>
      <c r="U10" s="9">
        <f t="shared" si="6"/>
        <v>13.461538461538462</v>
      </c>
      <c r="V10" s="132">
        <v>46247</v>
      </c>
      <c r="W10" s="203">
        <v>60</v>
      </c>
      <c r="X10" s="203">
        <v>9</v>
      </c>
      <c r="Y10" s="9">
        <f t="shared" si="5"/>
        <v>15</v>
      </c>
      <c r="Z10" s="8" t="str">
        <f t="array" ref="Z10">IF(Y10&gt;5,"Perlu Sensus",IF(AND(Y10&gt;0,,O10&gt;0),"Tetap Deteksi","Belum Deteksi"))</f>
        <v>Perlu Sensus</v>
      </c>
      <c r="AA10" s="203">
        <v>15</v>
      </c>
      <c r="AB10" s="9">
        <f t="shared" si="7"/>
        <v>25</v>
      </c>
    </row>
    <row r="11" spans="1:28" outlineLevel="1" x14ac:dyDescent="0.15">
      <c r="A11" s="8" t="s">
        <v>628</v>
      </c>
      <c r="B11" s="8" t="s">
        <v>14</v>
      </c>
      <c r="C11" s="8" t="s">
        <v>14</v>
      </c>
      <c r="D11" s="8" t="s">
        <v>634</v>
      </c>
      <c r="E11" s="9">
        <v>38.78</v>
      </c>
      <c r="F11" s="8" t="s">
        <v>16</v>
      </c>
      <c r="G11" s="143">
        <f t="array" ref="G11">INDEX('[23]SENSUS MEI'!$G$9:$G$453,MATCH(1,('[23]SENSUS MEI'!$D$9:$D$453=$D11)*('[23]SENSUS MEI'!$D$9:$D$453=$D11),0))</f>
        <v>5607</v>
      </c>
      <c r="H11" s="132">
        <f t="shared" si="0"/>
        <v>46239</v>
      </c>
      <c r="I11" s="140">
        <f t="shared" si="0"/>
        <v>109</v>
      </c>
      <c r="J11" s="9">
        <f t="shared" si="1"/>
        <v>1.9439985732120562</v>
      </c>
      <c r="K11" s="140">
        <f t="shared" si="2"/>
        <v>7</v>
      </c>
      <c r="L11" s="206">
        <f t="shared" si="3"/>
        <v>6.4220183486238538</v>
      </c>
      <c r="M11" s="8" t="str">
        <f t="array" ref="M11">IF(L11&gt;5,"Perlu Sensus",IF(AND(L11&gt;=0,I11&gt;0),"Tetap Deteksi","Belum Deteksi"))</f>
        <v>Perlu Sensus</v>
      </c>
      <c r="N11" s="132">
        <v>46239</v>
      </c>
      <c r="O11" s="203">
        <v>109</v>
      </c>
      <c r="P11" s="9">
        <f t="array" ref="P11">IFERROR(O11/G11*100,0)</f>
        <v>1.9439985732120562</v>
      </c>
      <c r="Q11" s="203">
        <v>7</v>
      </c>
      <c r="R11" s="9">
        <f t="shared" si="4"/>
        <v>6.4220183486238538</v>
      </c>
      <c r="S11" s="8" t="str">
        <f t="array" ref="S11">IF(R11&gt;5,"Perlu Sensus",IF(AND(R11&gt;=0,O11&gt;0),"Tetap Deteksi","Belum Deteksi"))</f>
        <v>Perlu Sensus</v>
      </c>
      <c r="T11" s="203">
        <v>10</v>
      </c>
      <c r="U11" s="9">
        <f t="shared" si="6"/>
        <v>9.1743119266055047</v>
      </c>
      <c r="V11" s="132">
        <v>46240</v>
      </c>
      <c r="W11" s="203">
        <v>158</v>
      </c>
      <c r="X11" s="203">
        <v>15</v>
      </c>
      <c r="Y11" s="9">
        <f t="shared" si="5"/>
        <v>9.4936708860759502</v>
      </c>
      <c r="Z11" s="8" t="str">
        <f t="array" ref="Z11">IF(Y11&gt;5,"Perlu Sensus",IF(AND(Y11&gt;0,,O11&gt;0),"Tetap Deteksi","Belum Deteksi"))</f>
        <v>Perlu Sensus</v>
      </c>
      <c r="AA11" s="203">
        <v>19</v>
      </c>
      <c r="AB11" s="9">
        <f t="shared" si="7"/>
        <v>12.025316455696203</v>
      </c>
    </row>
    <row r="12" spans="1:28" outlineLevel="1" x14ac:dyDescent="0.15">
      <c r="A12" s="8" t="s">
        <v>628</v>
      </c>
      <c r="B12" s="8" t="s">
        <v>14</v>
      </c>
      <c r="C12" s="8" t="s">
        <v>14</v>
      </c>
      <c r="D12" s="8" t="s">
        <v>635</v>
      </c>
      <c r="E12" s="9">
        <v>45.86</v>
      </c>
      <c r="F12" s="8" t="s">
        <v>16</v>
      </c>
      <c r="G12" s="143">
        <f t="array" ref="G12">INDEX('[23]SENSUS MEI'!$G$9:$G$453,MATCH(1,('[23]SENSUS MEI'!$D$9:$D$453=$D12)*('[23]SENSUS MEI'!$D$9:$D$453=$D12),0))</f>
        <v>6177</v>
      </c>
      <c r="H12" s="132">
        <f t="shared" si="0"/>
        <v>46239</v>
      </c>
      <c r="I12" s="140">
        <f t="shared" si="0"/>
        <v>102</v>
      </c>
      <c r="J12" s="9">
        <f t="shared" si="1"/>
        <v>1.6512870325400681</v>
      </c>
      <c r="K12" s="140">
        <f t="shared" si="2"/>
        <v>5</v>
      </c>
      <c r="L12" s="206">
        <f t="shared" si="3"/>
        <v>4.9019607843137258</v>
      </c>
      <c r="M12" s="8" t="str">
        <f t="array" ref="M12">IF(L12&gt;5,"Perlu Sensus",IF(AND(L12&gt;=0,I12&gt;0),"Tetap Deteksi","Belum Deteksi"))</f>
        <v>Tetap Deteksi</v>
      </c>
      <c r="N12" s="132">
        <v>46239</v>
      </c>
      <c r="O12" s="203">
        <v>102</v>
      </c>
      <c r="P12" s="9">
        <f t="array" ref="P12">IFERROR(O12/G12*100,0)</f>
        <v>1.6512870325400681</v>
      </c>
      <c r="Q12" s="203">
        <v>5</v>
      </c>
      <c r="R12" s="9">
        <f t="shared" si="4"/>
        <v>4.9019607843137258</v>
      </c>
      <c r="S12" s="8" t="str">
        <f t="array" ref="S12">IF(R12&gt;5,"Perlu Sensus",IF(AND(R12&gt;=0,O12&gt;0),"Tetap Deteksi","Belum Deteksi"))</f>
        <v>Tetap Deteksi</v>
      </c>
      <c r="T12" s="203">
        <v>8</v>
      </c>
      <c r="U12" s="9">
        <f t="shared" si="6"/>
        <v>7.8431372549019605</v>
      </c>
      <c r="V12" s="132">
        <v>46240</v>
      </c>
      <c r="W12" s="203">
        <v>149</v>
      </c>
      <c r="X12" s="203">
        <v>13</v>
      </c>
      <c r="Y12" s="9">
        <f t="shared" si="5"/>
        <v>8.724832214765101</v>
      </c>
      <c r="Z12" s="8" t="str">
        <f t="array" ref="Z12">IF(Y12&gt;5,"Perlu Sensus",IF(AND(Y12&gt;0,,O12&gt;0),"Tetap Deteksi","Belum Deteksi"))</f>
        <v>Perlu Sensus</v>
      </c>
      <c r="AA12" s="203">
        <v>28</v>
      </c>
      <c r="AB12" s="9">
        <f t="shared" si="7"/>
        <v>18.791946308724832</v>
      </c>
    </row>
    <row r="13" spans="1:28" outlineLevel="1" x14ac:dyDescent="0.15">
      <c r="A13" s="8" t="s">
        <v>628</v>
      </c>
      <c r="B13" s="8" t="s">
        <v>14</v>
      </c>
      <c r="C13" s="8" t="s">
        <v>14</v>
      </c>
      <c r="D13" s="8" t="s">
        <v>15</v>
      </c>
      <c r="E13" s="9">
        <v>44.8</v>
      </c>
      <c r="F13" s="8" t="s">
        <v>16</v>
      </c>
      <c r="G13" s="143">
        <f t="array" ref="G13">INDEX('[23]SENSUS MEI'!$G$9:$G$453,MATCH(1,('[23]SENSUS MEI'!$D$9:$D$453=$D13)*('[23]SENSUS MEI'!$D$9:$D$453=$D13),0))</f>
        <v>6611</v>
      </c>
      <c r="H13" s="132">
        <f t="shared" si="0"/>
        <v>46239</v>
      </c>
      <c r="I13" s="140">
        <f t="shared" si="0"/>
        <v>119</v>
      </c>
      <c r="J13" s="9">
        <f t="shared" si="1"/>
        <v>1.8000302526092877</v>
      </c>
      <c r="K13" s="140">
        <f t="shared" si="2"/>
        <v>7</v>
      </c>
      <c r="L13" s="206">
        <f t="shared" si="3"/>
        <v>5.8823529411764701</v>
      </c>
      <c r="M13" s="8" t="str">
        <f t="array" ref="M13">IF(L13&gt;5,"Perlu Sensus",IF(AND(L13&gt;=0,I13&gt;0),"Tetap Deteksi","Belum Deteksi"))</f>
        <v>Perlu Sensus</v>
      </c>
      <c r="N13" s="132">
        <v>46239</v>
      </c>
      <c r="O13" s="203">
        <v>119</v>
      </c>
      <c r="P13" s="9">
        <f t="array" ref="P13">IFERROR(O13/G13*100,0)</f>
        <v>1.8000302526092877</v>
      </c>
      <c r="Q13" s="203">
        <v>7</v>
      </c>
      <c r="R13" s="9">
        <f t="shared" si="4"/>
        <v>5.8823529411764701</v>
      </c>
      <c r="S13" s="8" t="str">
        <f t="array" ref="S13">IF(R13&gt;5,"Perlu Sensus",IF(AND(R13&gt;=0,O13&gt;0),"Tetap Deteksi","Belum Deteksi"))</f>
        <v>Perlu Sensus</v>
      </c>
      <c r="T13" s="203">
        <v>7</v>
      </c>
      <c r="U13" s="9">
        <f t="shared" si="6"/>
        <v>5.8823529411764701</v>
      </c>
      <c r="V13" s="132">
        <v>46240</v>
      </c>
      <c r="W13" s="203">
        <v>188</v>
      </c>
      <c r="X13" s="203">
        <v>22</v>
      </c>
      <c r="Y13" s="9">
        <f t="shared" si="5"/>
        <v>11.702127659574469</v>
      </c>
      <c r="Z13" s="8" t="str">
        <f t="array" ref="Z13">IF(Y13&gt;5,"Perlu Sensus",IF(AND(Y13&gt;0,,O13&gt;0),"Tetap Deteksi","Belum Deteksi"))</f>
        <v>Perlu Sensus</v>
      </c>
      <c r="AA13" s="203">
        <v>20</v>
      </c>
      <c r="AB13" s="9">
        <f t="shared" si="7"/>
        <v>10.638297872340425</v>
      </c>
    </row>
    <row r="14" spans="1:28" outlineLevel="1" x14ac:dyDescent="0.15">
      <c r="A14" s="8" t="s">
        <v>628</v>
      </c>
      <c r="B14" s="8" t="s">
        <v>14</v>
      </c>
      <c r="C14" s="8" t="s">
        <v>14</v>
      </c>
      <c r="D14" s="8" t="s">
        <v>17</v>
      </c>
      <c r="E14" s="9">
        <v>42.64</v>
      </c>
      <c r="F14" s="8" t="s">
        <v>16</v>
      </c>
      <c r="G14" s="143">
        <f t="array" ref="G14">INDEX('[23]SENSUS MEI'!$G$9:$G$453,MATCH(1,('[23]SENSUS MEI'!$D$9:$D$453=$D14)*('[23]SENSUS MEI'!$D$9:$D$453=$D14),0))</f>
        <v>5898</v>
      </c>
      <c r="H14" s="132">
        <f t="shared" si="0"/>
        <v>46249</v>
      </c>
      <c r="I14" s="140">
        <f t="shared" si="0"/>
        <v>54</v>
      </c>
      <c r="J14" s="9">
        <f t="shared" si="1"/>
        <v>0.91556459816887081</v>
      </c>
      <c r="K14" s="140">
        <f t="shared" si="2"/>
        <v>6</v>
      </c>
      <c r="L14" s="206">
        <f t="shared" si="3"/>
        <v>11.111111111111111</v>
      </c>
      <c r="M14" s="8" t="str">
        <f t="array" ref="M14">IF(L14&gt;5,"Perlu Sensus",IF(AND(L14&gt;=0,I14&gt;0),"Tetap Deteksi","Belum Deteksi"))</f>
        <v>Perlu Sensus</v>
      </c>
      <c r="N14" s="132">
        <v>46249</v>
      </c>
      <c r="O14" s="203">
        <v>54</v>
      </c>
      <c r="P14" s="9">
        <f t="array" ref="P14">IFERROR(O14/G14*100,0)</f>
        <v>0.91556459816887081</v>
      </c>
      <c r="Q14" s="203">
        <v>6</v>
      </c>
      <c r="R14" s="9">
        <f t="shared" si="4"/>
        <v>11.111111111111111</v>
      </c>
      <c r="S14" s="8" t="str">
        <f t="array" ref="S14">IF(R14&gt;5,"Perlu Sensus",IF(AND(R14&gt;=0,O14&gt;0),"Tetap Deteksi","Belum Deteksi"))</f>
        <v>Perlu Sensus</v>
      </c>
      <c r="T14" s="203">
        <v>14</v>
      </c>
      <c r="U14" s="9">
        <f t="shared" si="6"/>
        <v>25.925925925925924</v>
      </c>
      <c r="V14" s="132">
        <v>46250</v>
      </c>
      <c r="W14" s="203">
        <v>155</v>
      </c>
      <c r="X14" s="203">
        <v>18</v>
      </c>
      <c r="Y14" s="9">
        <f t="shared" si="5"/>
        <v>11.612903225806452</v>
      </c>
      <c r="Z14" s="8" t="str">
        <f t="array" ref="Z14">IF(Y14&gt;5,"Perlu Sensus",IF(AND(Y14&gt;0,,O14&gt;0),"Tetap Deteksi","Belum Deteksi"))</f>
        <v>Perlu Sensus</v>
      </c>
      <c r="AA14" s="203">
        <v>17</v>
      </c>
      <c r="AB14" s="9">
        <f t="shared" si="7"/>
        <v>10.967741935483872</v>
      </c>
    </row>
    <row r="15" spans="1:28" outlineLevel="1" x14ac:dyDescent="0.15">
      <c r="A15" s="8" t="s">
        <v>628</v>
      </c>
      <c r="B15" s="8" t="s">
        <v>14</v>
      </c>
      <c r="C15" s="8" t="s">
        <v>14</v>
      </c>
      <c r="D15" s="8" t="s">
        <v>18</v>
      </c>
      <c r="E15" s="9">
        <v>55.17</v>
      </c>
      <c r="F15" s="8" t="s">
        <v>16</v>
      </c>
      <c r="G15" s="143">
        <f t="array" ref="G15">INDEX('[23]SENSUS MEI'!$G$9:$G$453,MATCH(1,('[23]SENSUS MEI'!$D$9:$D$453=$D15)*('[23]SENSUS MEI'!$D$9:$D$453=$D15),0))</f>
        <v>6728</v>
      </c>
      <c r="H15" s="132">
        <f t="shared" si="0"/>
        <v>46249</v>
      </c>
      <c r="I15" s="140">
        <f t="shared" si="0"/>
        <v>56</v>
      </c>
      <c r="J15" s="9">
        <f t="shared" si="1"/>
        <v>0.83234244946492275</v>
      </c>
      <c r="K15" s="140">
        <f t="shared" si="2"/>
        <v>12</v>
      </c>
      <c r="L15" s="206">
        <f t="shared" si="3"/>
        <v>21.428571428571427</v>
      </c>
      <c r="M15" s="8" t="str">
        <f t="array" ref="M15">IF(L15&gt;5,"Perlu Sensus",IF(AND(L15&gt;=0,I15&gt;0),"Tetap Deteksi","Belum Deteksi"))</f>
        <v>Perlu Sensus</v>
      </c>
      <c r="N15" s="132">
        <v>46249</v>
      </c>
      <c r="O15" s="203">
        <v>56</v>
      </c>
      <c r="P15" s="9">
        <f t="array" ref="P15">IFERROR(O15/G15*100,0)</f>
        <v>0.83234244946492275</v>
      </c>
      <c r="Q15" s="203">
        <v>12</v>
      </c>
      <c r="R15" s="9">
        <f t="shared" si="4"/>
        <v>21.428571428571427</v>
      </c>
      <c r="S15" s="8" t="str">
        <f t="array" ref="S15">IF(R15&gt;5,"Perlu Sensus",IF(AND(R15&gt;=0,O15&gt;0),"Tetap Deteksi","Belum Deteksi"))</f>
        <v>Perlu Sensus</v>
      </c>
      <c r="T15" s="203">
        <v>20</v>
      </c>
      <c r="U15" s="9">
        <f t="shared" si="6"/>
        <v>35.714285714285715</v>
      </c>
      <c r="V15" s="132">
        <v>46250</v>
      </c>
      <c r="W15" s="203">
        <v>209</v>
      </c>
      <c r="X15" s="203">
        <v>26</v>
      </c>
      <c r="Y15" s="9">
        <f t="shared" si="5"/>
        <v>12.440191387559809</v>
      </c>
      <c r="Z15" s="8" t="str">
        <f t="array" ref="Z15">IF(Y15&gt;5,"Perlu Sensus",IF(AND(Y15&gt;0,,O15&gt;0),"Tetap Deteksi","Belum Deteksi"))</f>
        <v>Perlu Sensus</v>
      </c>
      <c r="AA15" s="203">
        <v>55</v>
      </c>
      <c r="AB15" s="9">
        <f t="shared" si="7"/>
        <v>26.315789473684209</v>
      </c>
    </row>
    <row r="16" spans="1:28" outlineLevel="1" x14ac:dyDescent="0.15">
      <c r="A16" s="8" t="s">
        <v>628</v>
      </c>
      <c r="B16" s="8" t="s">
        <v>14</v>
      </c>
      <c r="C16" s="8" t="s">
        <v>14</v>
      </c>
      <c r="D16" s="8" t="s">
        <v>19</v>
      </c>
      <c r="E16" s="9">
        <v>42.96</v>
      </c>
      <c r="F16" s="8" t="s">
        <v>16</v>
      </c>
      <c r="G16" s="143">
        <f t="array" ref="G16">INDEX('[23]SENSUS MEI'!$G$9:$G$453,MATCH(1,('[23]SENSUS MEI'!$D$9:$D$453=$D16)*('[23]SENSUS MEI'!$D$9:$D$453=$D16),0))</f>
        <v>6522</v>
      </c>
      <c r="H16" s="132">
        <f t="shared" si="0"/>
        <v>46248</v>
      </c>
      <c r="I16" s="140">
        <f t="shared" si="0"/>
        <v>58</v>
      </c>
      <c r="J16" s="9">
        <f t="shared" si="1"/>
        <v>0.88929776142287653</v>
      </c>
      <c r="K16" s="140">
        <f t="shared" si="2"/>
        <v>11</v>
      </c>
      <c r="L16" s="206">
        <f t="shared" si="3"/>
        <v>18.96551724137931</v>
      </c>
      <c r="M16" s="8" t="str">
        <f t="array" ref="M16">IF(L16&gt;5,"Perlu Sensus",IF(AND(L16&gt;=0,I16&gt;0),"Tetap Deteksi","Belum Deteksi"))</f>
        <v>Perlu Sensus</v>
      </c>
      <c r="N16" s="132">
        <v>46248</v>
      </c>
      <c r="O16" s="203">
        <v>58</v>
      </c>
      <c r="P16" s="9">
        <f t="array" ref="P16">IFERROR(O16/G16*100,0)</f>
        <v>0.88929776142287653</v>
      </c>
      <c r="Q16" s="203">
        <v>11</v>
      </c>
      <c r="R16" s="9">
        <f t="shared" si="4"/>
        <v>18.96551724137931</v>
      </c>
      <c r="S16" s="8" t="str">
        <f t="array" ref="S16">IF(R16&gt;5,"Perlu Sensus",IF(AND(R16&gt;=0,O16&gt;0),"Tetap Deteksi","Belum Deteksi"))</f>
        <v>Perlu Sensus</v>
      </c>
      <c r="T16" s="203">
        <v>27</v>
      </c>
      <c r="U16" s="9">
        <f t="shared" si="6"/>
        <v>46.551724137931032</v>
      </c>
      <c r="V16" s="132">
        <v>46249</v>
      </c>
      <c r="W16" s="203">
        <v>169</v>
      </c>
      <c r="X16" s="203">
        <v>28</v>
      </c>
      <c r="Y16" s="9">
        <f t="shared" si="5"/>
        <v>16.568047337278109</v>
      </c>
      <c r="Z16" s="8" t="str">
        <f t="array" ref="Z16">IF(Y16&gt;5,"Perlu Sensus",IF(AND(Y16&gt;0,,O16&gt;0),"Tetap Deteksi","Belum Deteksi"))</f>
        <v>Perlu Sensus</v>
      </c>
      <c r="AA16" s="203">
        <v>45</v>
      </c>
      <c r="AB16" s="9">
        <f t="shared" si="7"/>
        <v>26.627218934911244</v>
      </c>
    </row>
    <row r="17" spans="1:28" outlineLevel="1" x14ac:dyDescent="0.15">
      <c r="A17" s="8" t="s">
        <v>628</v>
      </c>
      <c r="B17" s="8" t="s">
        <v>14</v>
      </c>
      <c r="C17" s="8" t="s">
        <v>14</v>
      </c>
      <c r="D17" s="8" t="s">
        <v>20</v>
      </c>
      <c r="E17" s="9">
        <v>54.63</v>
      </c>
      <c r="F17" s="8" t="s">
        <v>16</v>
      </c>
      <c r="G17" s="143">
        <f t="array" ref="G17">INDEX('[23]SENSUS MEI'!$G$9:$G$453,MATCH(1,('[23]SENSUS MEI'!$D$9:$D$453=$D17)*('[23]SENSUS MEI'!$D$9:$D$453=$D17),0))</f>
        <v>7989</v>
      </c>
      <c r="H17" s="132">
        <f t="shared" si="0"/>
        <v>46248</v>
      </c>
      <c r="I17" s="140">
        <f t="shared" si="0"/>
        <v>56</v>
      </c>
      <c r="J17" s="9">
        <f t="shared" si="1"/>
        <v>0.70096382525973211</v>
      </c>
      <c r="K17" s="140">
        <f t="shared" si="2"/>
        <v>8</v>
      </c>
      <c r="L17" s="206">
        <f t="shared" si="3"/>
        <v>14.285714285714285</v>
      </c>
      <c r="M17" s="8" t="str">
        <f t="array" ref="M17">IF(L17&gt;5,"Perlu Sensus",IF(AND(L17&gt;=0,I17&gt;0),"Tetap Deteksi","Belum Deteksi"))</f>
        <v>Perlu Sensus</v>
      </c>
      <c r="N17" s="132">
        <v>46248</v>
      </c>
      <c r="O17" s="203">
        <v>56</v>
      </c>
      <c r="P17" s="9">
        <f t="array" ref="P17">IFERROR(O17/G17*100,0)</f>
        <v>0.70096382525973211</v>
      </c>
      <c r="Q17" s="203">
        <v>8</v>
      </c>
      <c r="R17" s="9">
        <f t="shared" si="4"/>
        <v>14.285714285714285</v>
      </c>
      <c r="S17" s="8" t="str">
        <f t="array" ref="S17">IF(R17&gt;5,"Perlu Sensus",IF(AND(R17&gt;=0,O17&gt;0),"Tetap Deteksi","Belum Deteksi"))</f>
        <v>Perlu Sensus</v>
      </c>
      <c r="T17" s="203">
        <v>34</v>
      </c>
      <c r="U17" s="9">
        <f t="shared" si="6"/>
        <v>60.714285714285708</v>
      </c>
      <c r="V17" s="132">
        <v>46249</v>
      </c>
      <c r="W17" s="203">
        <v>179</v>
      </c>
      <c r="X17" s="203">
        <v>32</v>
      </c>
      <c r="Y17" s="9">
        <f t="shared" si="5"/>
        <v>17.877094972067038</v>
      </c>
      <c r="Z17" s="8" t="str">
        <f t="array" ref="Z17">IF(Y17&gt;5,"Perlu Sensus",IF(AND(Y17&gt;0,,O17&gt;0),"Tetap Deteksi","Belum Deteksi"))</f>
        <v>Perlu Sensus</v>
      </c>
      <c r="AA17" s="203">
        <v>50</v>
      </c>
      <c r="AB17" s="9">
        <f t="shared" si="7"/>
        <v>27.932960893854748</v>
      </c>
    </row>
    <row r="18" spans="1:28" outlineLevel="1" x14ac:dyDescent="0.15">
      <c r="A18" s="8" t="s">
        <v>628</v>
      </c>
      <c r="B18" s="8" t="s">
        <v>14</v>
      </c>
      <c r="C18" s="8" t="s">
        <v>14</v>
      </c>
      <c r="D18" s="8" t="s">
        <v>23</v>
      </c>
      <c r="E18" s="9">
        <v>28.88</v>
      </c>
      <c r="F18" s="8" t="s">
        <v>16</v>
      </c>
      <c r="G18" s="143">
        <f t="array" ref="G18">INDEX('[23]SENSUS MEI'!$G$9:$G$453,MATCH(1,('[23]SENSUS MEI'!$D$9:$D$453=$D18)*('[23]SENSUS MEI'!$D$9:$D$453=$D18),0))</f>
        <v>4415</v>
      </c>
      <c r="H18" s="132">
        <f t="shared" si="0"/>
        <v>46246</v>
      </c>
      <c r="I18" s="140">
        <f t="shared" si="0"/>
        <v>60</v>
      </c>
      <c r="J18" s="9">
        <f t="shared" si="1"/>
        <v>1.3590033975084939</v>
      </c>
      <c r="K18" s="140">
        <f t="shared" si="2"/>
        <v>8</v>
      </c>
      <c r="L18" s="206">
        <f t="shared" si="3"/>
        <v>13.333333333333334</v>
      </c>
      <c r="M18" s="8" t="str">
        <f t="array" ref="M18">IF(L18&gt;5,"Perlu Sensus",IF(AND(L18&gt;=0,I18&gt;0),"Tetap Deteksi","Belum Deteksi"))</f>
        <v>Perlu Sensus</v>
      </c>
      <c r="N18" s="132">
        <v>46246</v>
      </c>
      <c r="O18" s="203">
        <v>60</v>
      </c>
      <c r="P18" s="9">
        <f t="array" ref="P18">IFERROR(O18/G18*100,0)</f>
        <v>1.3590033975084939</v>
      </c>
      <c r="Q18" s="203">
        <v>8</v>
      </c>
      <c r="R18" s="9">
        <f t="shared" si="4"/>
        <v>13.333333333333334</v>
      </c>
      <c r="S18" s="8" t="str">
        <f t="array" ref="S18">IF(R18&gt;5,"Perlu Sensus",IF(AND(R18&gt;=0,O18&gt;0),"Tetap Deteksi","Belum Deteksi"))</f>
        <v>Perlu Sensus</v>
      </c>
      <c r="T18" s="203">
        <v>12</v>
      </c>
      <c r="U18" s="9">
        <f t="shared" si="6"/>
        <v>20</v>
      </c>
      <c r="V18" s="132">
        <v>46247</v>
      </c>
      <c r="W18" s="203">
        <v>148</v>
      </c>
      <c r="X18" s="203">
        <v>14</v>
      </c>
      <c r="Y18" s="9">
        <f t="shared" si="5"/>
        <v>9.4594594594594597</v>
      </c>
      <c r="Z18" s="8" t="str">
        <f t="array" ref="Z18">IF(Y18&gt;5,"Perlu Sensus",IF(AND(Y18&gt;0,,O18&gt;0),"Tetap Deteksi","Belum Deteksi"))</f>
        <v>Perlu Sensus</v>
      </c>
      <c r="AA18" s="203">
        <v>90</v>
      </c>
      <c r="AB18" s="9">
        <f t="shared" si="7"/>
        <v>60.810810810810814</v>
      </c>
    </row>
    <row r="19" spans="1:28" outlineLevel="1" x14ac:dyDescent="0.15">
      <c r="A19" s="8" t="s">
        <v>628</v>
      </c>
      <c r="B19" s="8" t="s">
        <v>14</v>
      </c>
      <c r="C19" s="8" t="s">
        <v>14</v>
      </c>
      <c r="D19" s="8" t="s">
        <v>636</v>
      </c>
      <c r="E19" s="9">
        <v>6.42</v>
      </c>
      <c r="F19" s="8" t="s">
        <v>469</v>
      </c>
      <c r="G19" s="143">
        <f t="array" ref="G19">INDEX('[23]SENSUS MEI'!$G$9:$G$453,MATCH(1,('[23]SENSUS MEI'!$D$9:$D$453=$D19)*('[23]SENSUS MEI'!$D$9:$D$453=$D19),0))</f>
        <v>857</v>
      </c>
      <c r="H19" s="132">
        <f t="shared" si="0"/>
        <v>46245</v>
      </c>
      <c r="I19" s="140">
        <f t="shared" si="0"/>
        <v>57</v>
      </c>
      <c r="J19" s="9">
        <f t="shared" si="1"/>
        <v>6.6511085180863478</v>
      </c>
      <c r="K19" s="140">
        <f t="shared" si="2"/>
        <v>8</v>
      </c>
      <c r="L19" s="206">
        <f t="shared" si="3"/>
        <v>14.035087719298245</v>
      </c>
      <c r="M19" s="8" t="str">
        <f t="array" ref="M19">IF(L19&gt;5,"Perlu Sensus",IF(AND(L19&gt;=0,I19&gt;0),"Tetap Deteksi","Belum Deteksi"))</f>
        <v>Perlu Sensus</v>
      </c>
      <c r="N19" s="132">
        <v>46245</v>
      </c>
      <c r="O19" s="203">
        <v>57</v>
      </c>
      <c r="P19" s="9">
        <f t="array" ref="P19">IFERROR(O19/G19*100,0)</f>
        <v>6.6511085180863478</v>
      </c>
      <c r="Q19" s="203">
        <v>8</v>
      </c>
      <c r="R19" s="9">
        <f t="shared" si="4"/>
        <v>14.035087719298245</v>
      </c>
      <c r="S19" s="8" t="str">
        <f t="array" ref="S19">IF(R19&gt;5,"Perlu Sensus",IF(AND(R19&gt;=0,O19&gt;0),"Tetap Deteksi","Belum Deteksi"))</f>
        <v>Perlu Sensus</v>
      </c>
      <c r="T19" s="203">
        <v>27</v>
      </c>
      <c r="U19" s="9">
        <f t="shared" si="6"/>
        <v>47.368421052631575</v>
      </c>
      <c r="V19" s="132">
        <v>46246</v>
      </c>
      <c r="W19" s="203">
        <v>147</v>
      </c>
      <c r="X19" s="203">
        <v>38</v>
      </c>
      <c r="Y19" s="9">
        <f t="shared" si="5"/>
        <v>25.850340136054424</v>
      </c>
      <c r="Z19" s="8" t="str">
        <f t="array" ref="Z19">IF(Y19&gt;5,"Perlu Sensus",IF(AND(Y19&gt;0,,O19&gt;0),"Tetap Deteksi","Belum Deteksi"))</f>
        <v>Perlu Sensus</v>
      </c>
      <c r="AA19" s="203">
        <v>26</v>
      </c>
      <c r="AB19" s="9">
        <f t="shared" si="7"/>
        <v>17.687074829931973</v>
      </c>
    </row>
    <row r="20" spans="1:28" outlineLevel="1" x14ac:dyDescent="0.15">
      <c r="A20" s="8" t="s">
        <v>628</v>
      </c>
      <c r="B20" s="8" t="s">
        <v>14</v>
      </c>
      <c r="C20" s="8" t="s">
        <v>14</v>
      </c>
      <c r="D20" s="8" t="s">
        <v>637</v>
      </c>
      <c r="E20" s="9">
        <v>32.89</v>
      </c>
      <c r="F20" s="8" t="s">
        <v>469</v>
      </c>
      <c r="G20" s="143">
        <f t="array" ref="G20">INDEX('[23]SENSUS MEI'!$G$9:$G$453,MATCH(1,('[23]SENSUS MEI'!$D$9:$D$453=$D20)*('[23]SENSUS MEI'!$D$9:$D$453=$D20),0))</f>
        <v>4956</v>
      </c>
      <c r="H20" s="132">
        <f t="shared" si="0"/>
        <v>46245</v>
      </c>
      <c r="I20" s="140">
        <f t="shared" si="0"/>
        <v>59</v>
      </c>
      <c r="J20" s="9">
        <f t="shared" si="1"/>
        <v>1.1904761904761905</v>
      </c>
      <c r="K20" s="140">
        <f t="shared" si="2"/>
        <v>10</v>
      </c>
      <c r="L20" s="206">
        <f t="shared" si="3"/>
        <v>16.949152542372879</v>
      </c>
      <c r="M20" s="8" t="str">
        <f t="array" ref="M20">IF(L20&gt;5,"Perlu Sensus",IF(AND(L20&gt;=0,I20&gt;0),"Tetap Deteksi","Belum Deteksi"))</f>
        <v>Perlu Sensus</v>
      </c>
      <c r="N20" s="132">
        <v>46245</v>
      </c>
      <c r="O20" s="203">
        <v>59</v>
      </c>
      <c r="P20" s="9">
        <f t="array" ref="P20">IFERROR(O20/G20*100,0)</f>
        <v>1.1904761904761905</v>
      </c>
      <c r="Q20" s="203">
        <v>10</v>
      </c>
      <c r="R20" s="9">
        <f t="shared" si="4"/>
        <v>16.949152542372879</v>
      </c>
      <c r="S20" s="8" t="str">
        <f t="array" ref="S20">IF(R20&gt;5,"Perlu Sensus",IF(AND(R20&gt;=0,O20&gt;0),"Tetap Deteksi","Belum Deteksi"))</f>
        <v>Perlu Sensus</v>
      </c>
      <c r="T20" s="203">
        <v>24</v>
      </c>
      <c r="U20" s="9">
        <f t="shared" si="6"/>
        <v>40.677966101694921</v>
      </c>
      <c r="V20" s="132">
        <v>46246</v>
      </c>
      <c r="W20" s="203">
        <v>182</v>
      </c>
      <c r="X20" s="203">
        <v>36</v>
      </c>
      <c r="Y20" s="9">
        <f t="shared" si="5"/>
        <v>19.780219780219781</v>
      </c>
      <c r="Z20" s="8" t="str">
        <f t="array" ref="Z20">IF(Y20&gt;5,"Perlu Sensus",IF(AND(Y20&gt;0,,O20&gt;0),"Tetap Deteksi","Belum Deteksi"))</f>
        <v>Perlu Sensus</v>
      </c>
      <c r="AA20" s="203">
        <v>73</v>
      </c>
      <c r="AB20" s="9">
        <f t="shared" si="7"/>
        <v>40.109890109890109</v>
      </c>
    </row>
    <row r="21" spans="1:28" outlineLevel="1" x14ac:dyDescent="0.15">
      <c r="A21" s="8" t="s">
        <v>628</v>
      </c>
      <c r="B21" s="8" t="s">
        <v>14</v>
      </c>
      <c r="C21" s="8" t="s">
        <v>14</v>
      </c>
      <c r="D21" s="8" t="s">
        <v>638</v>
      </c>
      <c r="E21" s="9">
        <v>30.03</v>
      </c>
      <c r="F21" s="8" t="s">
        <v>469</v>
      </c>
      <c r="G21" s="143">
        <f t="array" ref="G21">INDEX('[23]SENSUS MEI'!$G$9:$G$453,MATCH(1,('[23]SENSUS MEI'!$D$9:$D$453=$D21)*('[23]SENSUS MEI'!$D$9:$D$453=$D21),0))</f>
        <v>4600</v>
      </c>
      <c r="H21" s="132">
        <f t="shared" si="0"/>
        <v>46246</v>
      </c>
      <c r="I21" s="140">
        <f t="shared" si="0"/>
        <v>56</v>
      </c>
      <c r="J21" s="9">
        <f t="shared" si="1"/>
        <v>1.2173913043478262</v>
      </c>
      <c r="K21" s="140">
        <f t="shared" si="2"/>
        <v>7</v>
      </c>
      <c r="L21" s="206">
        <f t="shared" si="3"/>
        <v>12.5</v>
      </c>
      <c r="M21" s="8" t="str">
        <f t="array" ref="M21">IF(L21&gt;5,"Perlu Sensus",IF(AND(L21&gt;=0,I21&gt;0),"Tetap Deteksi","Belum Deteksi"))</f>
        <v>Perlu Sensus</v>
      </c>
      <c r="N21" s="132">
        <v>46246</v>
      </c>
      <c r="O21" s="203">
        <v>56</v>
      </c>
      <c r="P21" s="9">
        <f t="array" ref="P21">IFERROR(O21/G21*100,0)</f>
        <v>1.2173913043478262</v>
      </c>
      <c r="Q21" s="203">
        <v>7</v>
      </c>
      <c r="R21" s="9">
        <f t="shared" si="4"/>
        <v>12.5</v>
      </c>
      <c r="S21" s="8" t="str">
        <f t="array" ref="S21">IF(R21&gt;5,"Perlu Sensus",IF(AND(R21&gt;=0,O21&gt;0),"Tetap Deteksi","Belum Deteksi"))</f>
        <v>Perlu Sensus</v>
      </c>
      <c r="T21" s="203">
        <v>23</v>
      </c>
      <c r="U21" s="9">
        <f t="shared" si="6"/>
        <v>41.071428571428569</v>
      </c>
      <c r="V21" s="132">
        <v>46247</v>
      </c>
      <c r="W21" s="203">
        <v>171</v>
      </c>
      <c r="X21" s="203">
        <v>37</v>
      </c>
      <c r="Y21" s="9">
        <f t="shared" si="5"/>
        <v>21.637426900584796</v>
      </c>
      <c r="Z21" s="8" t="str">
        <f t="array" ref="Z21">IF(Y21&gt;5,"Perlu Sensus",IF(AND(Y21&gt;0,,O21&gt;0),"Tetap Deteksi","Belum Deteksi"))</f>
        <v>Perlu Sensus</v>
      </c>
      <c r="AA21" s="203">
        <v>63</v>
      </c>
      <c r="AB21" s="9">
        <f t="shared" si="7"/>
        <v>36.84210526315789</v>
      </c>
    </row>
    <row r="22" spans="1:28" outlineLevel="1" x14ac:dyDescent="0.15">
      <c r="A22" s="8" t="s">
        <v>628</v>
      </c>
      <c r="B22" s="8" t="s">
        <v>14</v>
      </c>
      <c r="C22" s="8" t="s">
        <v>14</v>
      </c>
      <c r="D22" s="8" t="s">
        <v>29</v>
      </c>
      <c r="E22" s="9">
        <v>31.48</v>
      </c>
      <c r="F22" s="8" t="s">
        <v>469</v>
      </c>
      <c r="G22" s="143">
        <f t="array" ref="G22">INDEX('[23]SENSUS MEI'!$G$9:$G$453,MATCH(1,('[23]SENSUS MEI'!$D$9:$D$453=$D22)*('[23]SENSUS MEI'!$D$9:$D$453=$D22),0))</f>
        <v>4801</v>
      </c>
      <c r="H22" s="132">
        <f t="shared" ref="H22:I85" si="8">IF(N22&gt;0,N22,V22)</f>
        <v>46246</v>
      </c>
      <c r="I22" s="140">
        <f t="shared" si="8"/>
        <v>58</v>
      </c>
      <c r="J22" s="9">
        <f t="shared" si="1"/>
        <v>1.2080816496563216</v>
      </c>
      <c r="K22" s="140">
        <f t="shared" si="2"/>
        <v>8</v>
      </c>
      <c r="L22" s="206">
        <f t="shared" si="3"/>
        <v>13.793103448275861</v>
      </c>
      <c r="M22" s="8" t="str">
        <f t="array" ref="M22">IF(L22&gt;5,"Perlu Sensus",IF(AND(L22&gt;=0,I22&gt;0),"Tetap Deteksi","Belum Deteksi"))</f>
        <v>Perlu Sensus</v>
      </c>
      <c r="N22" s="132">
        <v>46246</v>
      </c>
      <c r="O22" s="203">
        <v>58</v>
      </c>
      <c r="P22" s="9">
        <f t="array" ref="P22">IFERROR(O22/G22*100,0)</f>
        <v>1.2080816496563216</v>
      </c>
      <c r="Q22" s="203">
        <v>8</v>
      </c>
      <c r="R22" s="9">
        <f t="shared" si="4"/>
        <v>13.793103448275861</v>
      </c>
      <c r="S22" s="8" t="str">
        <f t="array" ref="S22">IF(R22&gt;5,"Perlu Sensus",IF(AND(R22&gt;=0,O22&gt;0),"Tetap Deteksi","Belum Deteksi"))</f>
        <v>Perlu Sensus</v>
      </c>
      <c r="T22" s="203">
        <v>29</v>
      </c>
      <c r="U22" s="9">
        <f t="shared" si="6"/>
        <v>50</v>
      </c>
      <c r="V22" s="132">
        <v>46235</v>
      </c>
      <c r="W22" s="203">
        <v>125</v>
      </c>
      <c r="X22" s="203">
        <v>20</v>
      </c>
      <c r="Y22" s="9">
        <f t="shared" si="5"/>
        <v>16</v>
      </c>
      <c r="Z22" s="8" t="str">
        <f t="array" ref="Z22">IF(Y22&gt;5,"Perlu Sensus",IF(AND(Y22&gt;0,,O22&gt;0),"Tetap Deteksi","Belum Deteksi"))</f>
        <v>Perlu Sensus</v>
      </c>
      <c r="AA22" s="203">
        <v>69</v>
      </c>
      <c r="AB22" s="9">
        <f t="shared" si="7"/>
        <v>55.2</v>
      </c>
    </row>
    <row r="23" spans="1:28" outlineLevel="1" x14ac:dyDescent="0.15">
      <c r="A23" s="8" t="s">
        <v>628</v>
      </c>
      <c r="B23" s="8" t="s">
        <v>14</v>
      </c>
      <c r="C23" s="8" t="s">
        <v>14</v>
      </c>
      <c r="D23" s="8" t="s">
        <v>30</v>
      </c>
      <c r="E23" s="9">
        <v>22.46</v>
      </c>
      <c r="F23" s="8" t="s">
        <v>469</v>
      </c>
      <c r="G23" s="143">
        <f t="array" ref="G23">INDEX('[23]SENSUS MEI'!$G$9:$G$453,MATCH(1,('[23]SENSUS MEI'!$D$9:$D$453=$D23)*('[23]SENSUS MEI'!$D$9:$D$453=$D23),0))</f>
        <v>3451</v>
      </c>
      <c r="H23" s="132">
        <f t="shared" si="8"/>
        <v>46248</v>
      </c>
      <c r="I23" s="140">
        <f t="shared" si="8"/>
        <v>58</v>
      </c>
      <c r="J23" s="9">
        <f t="shared" si="1"/>
        <v>1.680672268907563</v>
      </c>
      <c r="K23" s="140">
        <f t="shared" si="2"/>
        <v>11</v>
      </c>
      <c r="L23" s="206">
        <f t="shared" si="3"/>
        <v>18.96551724137931</v>
      </c>
      <c r="M23" s="8" t="str">
        <f t="array" ref="M23">IF(L23&gt;5,"Perlu Sensus",IF(AND(L23&gt;=0,I23&gt;0),"Tetap Deteksi","Belum Deteksi"))</f>
        <v>Perlu Sensus</v>
      </c>
      <c r="N23" s="132">
        <v>46248</v>
      </c>
      <c r="O23" s="203">
        <v>58</v>
      </c>
      <c r="P23" s="9">
        <f t="array" ref="P23">IFERROR(O23/G23*100,0)</f>
        <v>1.680672268907563</v>
      </c>
      <c r="Q23" s="203">
        <v>11</v>
      </c>
      <c r="R23" s="9">
        <f t="shared" si="4"/>
        <v>18.96551724137931</v>
      </c>
      <c r="S23" s="8" t="str">
        <f t="array" ref="S23">IF(R23&gt;5,"Perlu Sensus",IF(AND(R23&gt;=0,O23&gt;0),"Tetap Deteksi","Belum Deteksi"))</f>
        <v>Perlu Sensus</v>
      </c>
      <c r="T23" s="203">
        <v>13</v>
      </c>
      <c r="U23" s="9">
        <f t="shared" si="6"/>
        <v>22.413793103448278</v>
      </c>
      <c r="V23" s="132">
        <v>46249</v>
      </c>
      <c r="W23" s="203">
        <v>122</v>
      </c>
      <c r="X23" s="203">
        <v>22</v>
      </c>
      <c r="Y23" s="9">
        <f t="shared" si="5"/>
        <v>18.032786885245901</v>
      </c>
      <c r="Z23" s="8" t="str">
        <f t="array" ref="Z23">IF(Y23&gt;5,"Perlu Sensus",IF(AND(Y23&gt;0,,O23&gt;0),"Tetap Deteksi","Belum Deteksi"))</f>
        <v>Perlu Sensus</v>
      </c>
      <c r="AA23" s="203">
        <v>54</v>
      </c>
      <c r="AB23" s="9">
        <f t="shared" si="7"/>
        <v>44.26229508196721</v>
      </c>
    </row>
    <row r="24" spans="1:28" outlineLevel="1" x14ac:dyDescent="0.15">
      <c r="A24" s="8" t="s">
        <v>628</v>
      </c>
      <c r="B24" s="8" t="s">
        <v>14</v>
      </c>
      <c r="C24" s="8" t="s">
        <v>14</v>
      </c>
      <c r="D24" s="8" t="s">
        <v>31</v>
      </c>
      <c r="E24" s="9">
        <v>25.74</v>
      </c>
      <c r="F24" s="8" t="s">
        <v>469</v>
      </c>
      <c r="G24" s="143">
        <f t="array" ref="G24">INDEX('[23]SENSUS MEI'!$G$9:$G$453,MATCH(1,('[23]SENSUS MEI'!$D$9:$D$453=$D24)*('[23]SENSUS MEI'!$D$9:$D$453=$D24),0))</f>
        <v>3937</v>
      </c>
      <c r="H24" s="132">
        <f t="shared" si="8"/>
        <v>46248</v>
      </c>
      <c r="I24" s="140">
        <f t="shared" si="8"/>
        <v>99</v>
      </c>
      <c r="J24" s="9">
        <f t="shared" si="1"/>
        <v>2.5146050292100584</v>
      </c>
      <c r="K24" s="140">
        <f t="shared" si="2"/>
        <v>3</v>
      </c>
      <c r="L24" s="206">
        <f t="shared" si="3"/>
        <v>3.0303030303030303</v>
      </c>
      <c r="M24" s="8" t="str">
        <f t="array" ref="M24">IF(L24&gt;5,"Perlu Sensus",IF(AND(L24&gt;=0,I24&gt;0),"Tetap Deteksi","Belum Deteksi"))</f>
        <v>Tetap Deteksi</v>
      </c>
      <c r="N24" s="132">
        <v>46248</v>
      </c>
      <c r="O24" s="203">
        <v>99</v>
      </c>
      <c r="P24" s="9">
        <f t="array" ref="P24">IFERROR(O24/G24*100,0)</f>
        <v>2.5146050292100584</v>
      </c>
      <c r="Q24" s="203">
        <v>3</v>
      </c>
      <c r="R24" s="9">
        <f t="shared" si="4"/>
        <v>3.0303030303030303</v>
      </c>
      <c r="S24" s="8" t="str">
        <f t="array" ref="S24">IF(R24&gt;5,"Perlu Sensus",IF(AND(R24&gt;=0,O24&gt;0),"Tetap Deteksi","Belum Deteksi"))</f>
        <v>Tetap Deteksi</v>
      </c>
      <c r="T24" s="203">
        <v>54</v>
      </c>
      <c r="U24" s="9">
        <f t="shared" si="6"/>
        <v>54.54545454545454</v>
      </c>
      <c r="V24" s="132">
        <v>46249</v>
      </c>
      <c r="W24" s="203">
        <v>242</v>
      </c>
      <c r="X24" s="203">
        <v>37</v>
      </c>
      <c r="Y24" s="9">
        <f t="shared" si="5"/>
        <v>15.289256198347106</v>
      </c>
      <c r="Z24" s="8" t="str">
        <f t="array" ref="Z24">IF(Y24&gt;5,"Perlu Sensus",IF(AND(Y24&gt;0,,O24&gt;0),"Tetap Deteksi","Belum Deteksi"))</f>
        <v>Perlu Sensus</v>
      </c>
      <c r="AA24" s="203">
        <v>28</v>
      </c>
      <c r="AB24" s="9">
        <f t="shared" si="7"/>
        <v>11.570247933884298</v>
      </c>
    </row>
    <row r="25" spans="1:28" outlineLevel="1" x14ac:dyDescent="0.15">
      <c r="A25" s="8" t="s">
        <v>628</v>
      </c>
      <c r="B25" s="8" t="s">
        <v>14</v>
      </c>
      <c r="C25" s="8" t="s">
        <v>14</v>
      </c>
      <c r="D25" s="8" t="s">
        <v>32</v>
      </c>
      <c r="E25" s="9">
        <v>23.52</v>
      </c>
      <c r="F25" s="8" t="s">
        <v>469</v>
      </c>
      <c r="G25" s="143">
        <f t="array" ref="G25">INDEX('[23]SENSUS MEI'!$G$9:$G$453,MATCH(1,('[23]SENSUS MEI'!$D$9:$D$453=$D25)*('[23]SENSUS MEI'!$D$9:$D$453=$D25),0))</f>
        <v>3549</v>
      </c>
      <c r="H25" s="132">
        <f t="shared" si="8"/>
        <v>46248</v>
      </c>
      <c r="I25" s="140">
        <f t="shared" si="8"/>
        <v>56</v>
      </c>
      <c r="J25" s="9">
        <f t="shared" si="1"/>
        <v>1.5779092702169626</v>
      </c>
      <c r="K25" s="140">
        <f t="shared" si="2"/>
        <v>9</v>
      </c>
      <c r="L25" s="206">
        <f t="shared" si="3"/>
        <v>16.071428571428573</v>
      </c>
      <c r="M25" s="8" t="str">
        <f t="array" ref="M25">IF(L25&gt;5,"Perlu Sensus",IF(AND(L25&gt;=0,I25&gt;0),"Tetap Deteksi","Belum Deteksi"))</f>
        <v>Perlu Sensus</v>
      </c>
      <c r="N25" s="132">
        <v>46248</v>
      </c>
      <c r="O25" s="203">
        <v>56</v>
      </c>
      <c r="P25" s="9">
        <f t="array" ref="P25">IFERROR(O25/G25*100,0)</f>
        <v>1.5779092702169626</v>
      </c>
      <c r="Q25" s="203">
        <v>9</v>
      </c>
      <c r="R25" s="9">
        <f t="shared" si="4"/>
        <v>16.071428571428573</v>
      </c>
      <c r="S25" s="8" t="str">
        <f t="array" ref="S25">IF(R25&gt;5,"Perlu Sensus",IF(AND(R25&gt;=0,O25&gt;0),"Tetap Deteksi","Belum Deteksi"))</f>
        <v>Perlu Sensus</v>
      </c>
      <c r="T25" s="203">
        <v>21</v>
      </c>
      <c r="U25" s="9">
        <f t="shared" si="6"/>
        <v>37.5</v>
      </c>
      <c r="V25" s="132">
        <v>46248</v>
      </c>
      <c r="W25" s="203">
        <v>62</v>
      </c>
      <c r="X25" s="203">
        <v>8</v>
      </c>
      <c r="Y25" s="9">
        <f t="shared" si="5"/>
        <v>12.903225806451612</v>
      </c>
      <c r="Z25" s="8" t="str">
        <f t="array" ref="Z25">IF(Y25&gt;5,"Perlu Sensus",IF(AND(Y25&gt;0,,O25&gt;0),"Tetap Deteksi","Belum Deteksi"))</f>
        <v>Perlu Sensus</v>
      </c>
      <c r="AA25" s="203">
        <v>12</v>
      </c>
      <c r="AB25" s="9">
        <f t="shared" si="7"/>
        <v>19.35483870967742</v>
      </c>
    </row>
    <row r="26" spans="1:28" outlineLevel="1" x14ac:dyDescent="0.15">
      <c r="A26" s="8" t="s">
        <v>628</v>
      </c>
      <c r="B26" s="8" t="s">
        <v>14</v>
      </c>
      <c r="C26" s="8" t="s">
        <v>14</v>
      </c>
      <c r="D26" s="8" t="s">
        <v>33</v>
      </c>
      <c r="E26" s="9">
        <v>19.559999999999999</v>
      </c>
      <c r="F26" s="8" t="s">
        <v>16</v>
      </c>
      <c r="G26" s="143">
        <f t="array" ref="G26">INDEX('[23]SENSUS MEI'!$G$9:$G$453,MATCH(1,('[23]SENSUS MEI'!$D$9:$D$453=$D26)*('[23]SENSUS MEI'!$D$9:$D$453=$D26),0))</f>
        <v>2961</v>
      </c>
      <c r="H26" s="132">
        <f t="shared" si="8"/>
        <v>46248</v>
      </c>
      <c r="I26" s="140">
        <f t="shared" si="8"/>
        <v>108</v>
      </c>
      <c r="J26" s="9">
        <f t="shared" si="1"/>
        <v>3.6474164133738598</v>
      </c>
      <c r="K26" s="140">
        <f t="shared" si="2"/>
        <v>15</v>
      </c>
      <c r="L26" s="206">
        <f t="shared" si="3"/>
        <v>13.888888888888889</v>
      </c>
      <c r="M26" s="8" t="str">
        <f t="array" ref="M26">IF(L26&gt;5,"Perlu Sensus",IF(AND(L26&gt;=0,I26&gt;0),"Tetap Deteksi","Belum Deteksi"))</f>
        <v>Perlu Sensus</v>
      </c>
      <c r="N26" s="132">
        <v>46248</v>
      </c>
      <c r="O26" s="203">
        <v>108</v>
      </c>
      <c r="P26" s="9">
        <f t="array" ref="P26">IFERROR(O26/G26*100,0)</f>
        <v>3.6474164133738598</v>
      </c>
      <c r="Q26" s="203">
        <v>15</v>
      </c>
      <c r="R26" s="9">
        <f t="shared" si="4"/>
        <v>13.888888888888889</v>
      </c>
      <c r="S26" s="8" t="str">
        <f t="array" ref="S26">IF(R26&gt;5,"Perlu Sensus",IF(AND(R26&gt;=0,O26&gt;0),"Tetap Deteksi","Belum Deteksi"))</f>
        <v>Perlu Sensus</v>
      </c>
      <c r="T26" s="203">
        <v>38</v>
      </c>
      <c r="U26" s="9">
        <f t="shared" si="6"/>
        <v>35.185185185185183</v>
      </c>
      <c r="V26" s="132">
        <v>46249</v>
      </c>
      <c r="W26" s="203">
        <v>203</v>
      </c>
      <c r="X26" s="203">
        <v>48</v>
      </c>
      <c r="Y26" s="9">
        <f t="shared" si="5"/>
        <v>23.645320197044335</v>
      </c>
      <c r="Z26" s="8" t="str">
        <f t="array" ref="Z26">IF(Y26&gt;5,"Perlu Sensus",IF(AND(Y26&gt;0,,O26&gt;0),"Tetap Deteksi","Belum Deteksi"))</f>
        <v>Perlu Sensus</v>
      </c>
      <c r="AA26" s="203">
        <v>81</v>
      </c>
      <c r="AB26" s="9">
        <f t="shared" si="7"/>
        <v>39.901477832512313</v>
      </c>
    </row>
    <row r="27" spans="1:28" outlineLevel="1" x14ac:dyDescent="0.15">
      <c r="A27" s="8" t="s">
        <v>628</v>
      </c>
      <c r="B27" s="8" t="s">
        <v>14</v>
      </c>
      <c r="C27" s="8" t="s">
        <v>14</v>
      </c>
      <c r="D27" s="8" t="s">
        <v>34</v>
      </c>
      <c r="E27" s="9">
        <v>19.57</v>
      </c>
      <c r="F27" s="8" t="s">
        <v>16</v>
      </c>
      <c r="G27" s="143">
        <f t="array" ref="G27">INDEX('[23]SENSUS MEI'!$G$9:$G$453,MATCH(1,('[23]SENSUS MEI'!$D$9:$D$453=$D27)*('[23]SENSUS MEI'!$D$9:$D$453=$D27),0))</f>
        <v>3023</v>
      </c>
      <c r="H27" s="132">
        <f t="shared" si="8"/>
        <v>46247</v>
      </c>
      <c r="I27" s="140">
        <f t="shared" si="8"/>
        <v>219</v>
      </c>
      <c r="J27" s="9">
        <f t="shared" si="1"/>
        <v>7.2444591465431696</v>
      </c>
      <c r="K27" s="140">
        <f t="shared" si="2"/>
        <v>22</v>
      </c>
      <c r="L27" s="206">
        <f t="shared" si="3"/>
        <v>10.045662100456621</v>
      </c>
      <c r="M27" s="8" t="str">
        <f t="array" ref="M27">IF(L27&gt;5,"Perlu Sensus",IF(AND(L27&gt;=0,I27&gt;0),"Tetap Deteksi","Belum Deteksi"))</f>
        <v>Perlu Sensus</v>
      </c>
      <c r="N27" s="132">
        <v>46247</v>
      </c>
      <c r="O27" s="203">
        <v>219</v>
      </c>
      <c r="P27" s="9">
        <f t="array" ref="P27">IFERROR(O27/G27*100,0)</f>
        <v>7.2444591465431696</v>
      </c>
      <c r="Q27" s="203">
        <v>22</v>
      </c>
      <c r="R27" s="9">
        <f t="shared" si="4"/>
        <v>10.045662100456621</v>
      </c>
      <c r="S27" s="8" t="str">
        <f t="array" ref="S27">IF(R27&gt;5,"Perlu Sensus",IF(AND(R27&gt;=0,O27&gt;0),"Tetap Deteksi","Belum Deteksi"))</f>
        <v>Perlu Sensus</v>
      </c>
      <c r="T27" s="203">
        <v>109</v>
      </c>
      <c r="U27" s="9">
        <f t="shared" si="6"/>
        <v>49.771689497716892</v>
      </c>
      <c r="V27" s="132">
        <v>46248</v>
      </c>
      <c r="W27" s="203">
        <v>216</v>
      </c>
      <c r="X27" s="203">
        <v>26</v>
      </c>
      <c r="Y27" s="9">
        <f t="shared" si="5"/>
        <v>12.037037037037036</v>
      </c>
      <c r="Z27" s="8" t="str">
        <f t="array" ref="Z27">IF(Y27&gt;5,"Perlu Sensus",IF(AND(Y27&gt;0,,O27&gt;0),"Tetap Deteksi","Belum Deteksi"))</f>
        <v>Perlu Sensus</v>
      </c>
      <c r="AA27" s="203">
        <v>26</v>
      </c>
      <c r="AB27" s="9">
        <f t="shared" si="7"/>
        <v>12.037037037037036</v>
      </c>
    </row>
    <row r="28" spans="1:28" outlineLevel="1" x14ac:dyDescent="0.15">
      <c r="A28" s="8" t="s">
        <v>628</v>
      </c>
      <c r="B28" s="8" t="s">
        <v>14</v>
      </c>
      <c r="C28" s="8" t="s">
        <v>14</v>
      </c>
      <c r="D28" s="8" t="s">
        <v>35</v>
      </c>
      <c r="E28" s="9">
        <v>15.75</v>
      </c>
      <c r="F28" s="8" t="s">
        <v>16</v>
      </c>
      <c r="G28" s="143">
        <f t="array" ref="G28">INDEX('[23]SENSUS MEI'!$G$9:$G$453,MATCH(1,('[23]SENSUS MEI'!$D$9:$D$453=$D28)*('[23]SENSUS MEI'!$D$9:$D$453=$D28),0))</f>
        <v>2329</v>
      </c>
      <c r="H28" s="132">
        <f t="shared" si="8"/>
        <v>46247</v>
      </c>
      <c r="I28" s="140">
        <f t="shared" si="8"/>
        <v>122</v>
      </c>
      <c r="J28" s="9">
        <f t="shared" si="1"/>
        <v>5.2382996994418205</v>
      </c>
      <c r="K28" s="140">
        <f t="shared" si="2"/>
        <v>19</v>
      </c>
      <c r="L28" s="206">
        <f t="shared" si="3"/>
        <v>15.573770491803279</v>
      </c>
      <c r="M28" s="8" t="str">
        <f t="array" ref="M28">IF(L28&gt;5,"Perlu Sensus",IF(AND(L28&gt;=0,I28&gt;0),"Tetap Deteksi","Belum Deteksi"))</f>
        <v>Perlu Sensus</v>
      </c>
      <c r="N28" s="132">
        <v>46247</v>
      </c>
      <c r="O28" s="203">
        <v>122</v>
      </c>
      <c r="P28" s="9">
        <f t="array" ref="P28">IFERROR(O28/G28*100,0)</f>
        <v>5.2382996994418205</v>
      </c>
      <c r="Q28" s="203">
        <v>19</v>
      </c>
      <c r="R28" s="9">
        <f t="shared" si="4"/>
        <v>15.573770491803279</v>
      </c>
      <c r="S28" s="8" t="str">
        <f t="array" ref="S28">IF(R28&gt;5,"Perlu Sensus",IF(AND(R28&gt;=0,O28&gt;0),"Tetap Deteksi","Belum Deteksi"))</f>
        <v>Perlu Sensus</v>
      </c>
      <c r="T28" s="203">
        <v>14</v>
      </c>
      <c r="U28" s="9">
        <f t="shared" si="6"/>
        <v>11.475409836065573</v>
      </c>
      <c r="V28" s="132">
        <v>46248</v>
      </c>
      <c r="W28" s="203">
        <v>189</v>
      </c>
      <c r="X28" s="203">
        <v>21</v>
      </c>
      <c r="Y28" s="9">
        <f t="shared" si="5"/>
        <v>11.111111111111111</v>
      </c>
      <c r="Z28" s="8" t="str">
        <f t="array" ref="Z28">IF(Y28&gt;5,"Perlu Sensus",IF(AND(Y28&gt;0,,O28&gt;0),"Tetap Deteksi","Belum Deteksi"))</f>
        <v>Perlu Sensus</v>
      </c>
      <c r="AA28" s="203">
        <v>34</v>
      </c>
      <c r="AB28" s="9">
        <f t="shared" si="7"/>
        <v>17.989417989417987</v>
      </c>
    </row>
    <row r="29" spans="1:28" outlineLevel="1" x14ac:dyDescent="0.15">
      <c r="A29" s="8" t="s">
        <v>628</v>
      </c>
      <c r="B29" s="8" t="s">
        <v>14</v>
      </c>
      <c r="C29" s="8" t="s">
        <v>14</v>
      </c>
      <c r="D29" s="8" t="s">
        <v>36</v>
      </c>
      <c r="E29" s="9">
        <v>10.039999999999999</v>
      </c>
      <c r="F29" s="8" t="s">
        <v>469</v>
      </c>
      <c r="G29" s="143">
        <f t="array" ref="G29">INDEX('[23]SENSUS MEI'!$G$9:$G$453,MATCH(1,('[23]SENSUS MEI'!$D$9:$D$453=$D29)*('[23]SENSUS MEI'!$D$9:$D$453=$D29),0))</f>
        <v>1520</v>
      </c>
      <c r="H29" s="132">
        <f t="shared" si="8"/>
        <v>46248</v>
      </c>
      <c r="I29" s="140">
        <f t="shared" si="8"/>
        <v>118</v>
      </c>
      <c r="J29" s="9">
        <f t="shared" si="1"/>
        <v>7.7631578947368425</v>
      </c>
      <c r="K29" s="140">
        <f t="shared" si="2"/>
        <v>21</v>
      </c>
      <c r="L29" s="206">
        <f t="shared" si="3"/>
        <v>17.796610169491526</v>
      </c>
      <c r="M29" s="8" t="str">
        <f t="array" ref="M29">IF(L29&gt;5,"Perlu Sensus",IF(AND(L29&gt;=0,I29&gt;0),"Tetap Deteksi","Belum Deteksi"))</f>
        <v>Perlu Sensus</v>
      </c>
      <c r="N29" s="132">
        <v>46248</v>
      </c>
      <c r="O29" s="203">
        <v>118</v>
      </c>
      <c r="P29" s="9">
        <f t="array" ref="P29">IFERROR(O29/G29*100,0)</f>
        <v>7.7631578947368425</v>
      </c>
      <c r="Q29" s="203">
        <v>21</v>
      </c>
      <c r="R29" s="9">
        <f t="shared" si="4"/>
        <v>17.796610169491526</v>
      </c>
      <c r="S29" s="8" t="str">
        <f t="array" ref="S29">IF(R29&gt;5,"Perlu Sensus",IF(AND(R29&gt;=0,O29&gt;0),"Tetap Deteksi","Belum Deteksi"))</f>
        <v>Perlu Sensus</v>
      </c>
      <c r="T29" s="203">
        <v>35</v>
      </c>
      <c r="U29" s="9">
        <f t="shared" si="6"/>
        <v>29.66101694915254</v>
      </c>
      <c r="V29" s="132">
        <v>46249</v>
      </c>
      <c r="W29" s="203">
        <v>192</v>
      </c>
      <c r="X29" s="203">
        <v>50</v>
      </c>
      <c r="Y29" s="9">
        <f t="shared" si="5"/>
        <v>26.041666666666668</v>
      </c>
      <c r="Z29" s="8" t="str">
        <f t="array" ref="Z29">IF(Y29&gt;5,"Perlu Sensus",IF(AND(Y29&gt;0,,O29&gt;0),"Tetap Deteksi","Belum Deteksi"))</f>
        <v>Perlu Sensus</v>
      </c>
      <c r="AA29" s="203">
        <v>32</v>
      </c>
      <c r="AB29" s="9">
        <f t="shared" si="7"/>
        <v>16.666666666666664</v>
      </c>
    </row>
    <row r="30" spans="1:28" outlineLevel="1" x14ac:dyDescent="0.15">
      <c r="A30" s="8" t="s">
        <v>628</v>
      </c>
      <c r="B30" s="8" t="s">
        <v>14</v>
      </c>
      <c r="C30" s="8" t="s">
        <v>14</v>
      </c>
      <c r="D30" s="8" t="s">
        <v>37</v>
      </c>
      <c r="E30" s="9">
        <v>4.49</v>
      </c>
      <c r="F30" s="8" t="s">
        <v>469</v>
      </c>
      <c r="G30" s="143">
        <f t="array" ref="G30">INDEX('[23]SENSUS MEI'!$G$9:$G$453,MATCH(1,('[23]SENSUS MEI'!$D$9:$D$453=$D30)*('[23]SENSUS MEI'!$D$9:$D$453=$D30),0))</f>
        <v>629</v>
      </c>
      <c r="H30" s="132">
        <f t="shared" si="8"/>
        <v>46248</v>
      </c>
      <c r="I30" s="140">
        <f t="shared" si="8"/>
        <v>116</v>
      </c>
      <c r="J30" s="9">
        <f t="shared" si="1"/>
        <v>18.441971383147855</v>
      </c>
      <c r="K30" s="140">
        <f t="shared" si="2"/>
        <v>16</v>
      </c>
      <c r="L30" s="206">
        <f t="shared" si="3"/>
        <v>13.793103448275861</v>
      </c>
      <c r="M30" s="8" t="str">
        <f t="array" ref="M30">IF(L30&gt;5,"Perlu Sensus",IF(AND(L30&gt;=0,I30&gt;0),"Tetap Deteksi","Belum Deteksi"))</f>
        <v>Perlu Sensus</v>
      </c>
      <c r="N30" s="132">
        <v>46248</v>
      </c>
      <c r="O30" s="203">
        <v>116</v>
      </c>
      <c r="P30" s="9">
        <f t="array" ref="P30">IFERROR(O30/G30*100,0)</f>
        <v>18.441971383147855</v>
      </c>
      <c r="Q30" s="203">
        <v>16</v>
      </c>
      <c r="R30" s="9">
        <f t="shared" si="4"/>
        <v>13.793103448275861</v>
      </c>
      <c r="S30" s="8" t="str">
        <f t="array" ref="S30">IF(R30&gt;5,"Perlu Sensus",IF(AND(R30&gt;=0,O30&gt;0),"Tetap Deteksi","Belum Deteksi"))</f>
        <v>Perlu Sensus</v>
      </c>
      <c r="T30" s="203">
        <v>23</v>
      </c>
      <c r="U30" s="9">
        <f t="shared" si="6"/>
        <v>19.827586206896552</v>
      </c>
      <c r="V30" s="132">
        <v>46249</v>
      </c>
      <c r="W30" s="203">
        <v>158</v>
      </c>
      <c r="X30" s="203">
        <v>35</v>
      </c>
      <c r="Y30" s="9">
        <f t="shared" si="5"/>
        <v>22.151898734177212</v>
      </c>
      <c r="Z30" s="8" t="str">
        <f t="array" ref="Z30">IF(Y30&gt;5,"Perlu Sensus",IF(AND(Y30&gt;0,,O30&gt;0),"Tetap Deteksi","Belum Deteksi"))</f>
        <v>Perlu Sensus</v>
      </c>
      <c r="AA30" s="203">
        <v>29</v>
      </c>
      <c r="AB30" s="9">
        <f t="shared" si="7"/>
        <v>18.354430379746837</v>
      </c>
    </row>
    <row r="31" spans="1:28" outlineLevel="1" x14ac:dyDescent="0.15">
      <c r="A31" s="8" t="s">
        <v>628</v>
      </c>
      <c r="B31" s="8" t="s">
        <v>14</v>
      </c>
      <c r="C31" s="8" t="s">
        <v>14</v>
      </c>
      <c r="D31" s="8" t="s">
        <v>38</v>
      </c>
      <c r="E31" s="9">
        <v>6.38</v>
      </c>
      <c r="F31" s="8" t="s">
        <v>469</v>
      </c>
      <c r="G31" s="143">
        <f t="array" ref="G31">INDEX('[23]SENSUS MEI'!$G$9:$G$453,MATCH(1,('[23]SENSUS MEI'!$D$9:$D$453=$D31)*('[23]SENSUS MEI'!$D$9:$D$453=$D31),0))</f>
        <v>856</v>
      </c>
      <c r="H31" s="132">
        <f t="shared" si="8"/>
        <v>46249</v>
      </c>
      <c r="I31" s="140">
        <f t="shared" si="8"/>
        <v>119</v>
      </c>
      <c r="J31" s="9">
        <f t="shared" si="1"/>
        <v>13.901869158878505</v>
      </c>
      <c r="K31" s="140">
        <f t="shared" si="2"/>
        <v>19</v>
      </c>
      <c r="L31" s="206">
        <f t="shared" si="3"/>
        <v>15.966386554621847</v>
      </c>
      <c r="M31" s="8" t="str">
        <f t="array" ref="M31">IF(L31&gt;5,"Perlu Sensus",IF(AND(L31&gt;=0,I31&gt;0),"Tetap Deteksi","Belum Deteksi"))</f>
        <v>Perlu Sensus</v>
      </c>
      <c r="N31" s="132">
        <v>46249</v>
      </c>
      <c r="O31" s="203">
        <v>119</v>
      </c>
      <c r="P31" s="9">
        <f t="array" ref="P31">IFERROR(O31/G31*100,0)</f>
        <v>13.901869158878505</v>
      </c>
      <c r="Q31" s="203">
        <v>19</v>
      </c>
      <c r="R31" s="9">
        <f t="shared" si="4"/>
        <v>15.966386554621847</v>
      </c>
      <c r="S31" s="8" t="str">
        <f t="array" ref="S31">IF(R31&gt;5,"Perlu Sensus",IF(AND(R31&gt;=0,O31&gt;0),"Tetap Deteksi","Belum Deteksi"))</f>
        <v>Perlu Sensus</v>
      </c>
      <c r="T31" s="203">
        <v>14</v>
      </c>
      <c r="U31" s="9">
        <f t="shared" si="6"/>
        <v>11.76470588235294</v>
      </c>
      <c r="V31" s="132">
        <v>46250</v>
      </c>
      <c r="W31" s="203">
        <v>177</v>
      </c>
      <c r="X31" s="203">
        <v>32</v>
      </c>
      <c r="Y31" s="9">
        <f t="shared" si="5"/>
        <v>18.07909604519774</v>
      </c>
      <c r="Z31" s="8" t="str">
        <f t="array" ref="Z31">IF(Y31&gt;5,"Perlu Sensus",IF(AND(Y31&gt;0,,O31&gt;0),"Tetap Deteksi","Belum Deteksi"))</f>
        <v>Perlu Sensus</v>
      </c>
      <c r="AA31" s="203">
        <v>20</v>
      </c>
      <c r="AB31" s="9">
        <f t="shared" si="7"/>
        <v>11.299435028248588</v>
      </c>
    </row>
    <row r="32" spans="1:28" outlineLevel="1" x14ac:dyDescent="0.15">
      <c r="A32" s="8" t="s">
        <v>628</v>
      </c>
      <c r="B32" s="8" t="s">
        <v>14</v>
      </c>
      <c r="C32" s="8" t="s">
        <v>14</v>
      </c>
      <c r="D32" s="8" t="s">
        <v>39</v>
      </c>
      <c r="E32" s="9">
        <v>6.14</v>
      </c>
      <c r="F32" s="8" t="s">
        <v>469</v>
      </c>
      <c r="G32" s="143">
        <f t="array" ref="G32">INDEX('[23]SENSUS MEI'!$G$9:$G$453,MATCH(1,('[23]SENSUS MEI'!$D$9:$D$453=$D32)*('[23]SENSUS MEI'!$D$9:$D$453=$D32),0))</f>
        <v>788</v>
      </c>
      <c r="H32" s="132">
        <f t="shared" si="8"/>
        <v>46249</v>
      </c>
      <c r="I32" s="140">
        <f t="shared" si="8"/>
        <v>121</v>
      </c>
      <c r="J32" s="9">
        <f t="shared" si="1"/>
        <v>15.355329949238577</v>
      </c>
      <c r="K32" s="140">
        <f t="shared" si="2"/>
        <v>23</v>
      </c>
      <c r="L32" s="206">
        <f t="shared" si="3"/>
        <v>19.008264462809919</v>
      </c>
      <c r="M32" s="8" t="str">
        <f t="array" ref="M32">IF(L32&gt;5,"Perlu Sensus",IF(AND(L32&gt;=0,I32&gt;0),"Tetap Deteksi","Belum Deteksi"))</f>
        <v>Perlu Sensus</v>
      </c>
      <c r="N32" s="132">
        <v>46249</v>
      </c>
      <c r="O32" s="203">
        <v>121</v>
      </c>
      <c r="P32" s="9">
        <f t="array" ref="P32">IFERROR(O32/G32*100,0)</f>
        <v>15.355329949238577</v>
      </c>
      <c r="Q32" s="203">
        <v>23</v>
      </c>
      <c r="R32" s="9">
        <f t="shared" si="4"/>
        <v>19.008264462809919</v>
      </c>
      <c r="S32" s="8" t="str">
        <f t="array" ref="S32">IF(R32&gt;5,"Perlu Sensus",IF(AND(R32&gt;=0,O32&gt;0),"Tetap Deteksi","Belum Deteksi"))</f>
        <v>Perlu Sensus</v>
      </c>
      <c r="T32" s="203">
        <v>39</v>
      </c>
      <c r="U32" s="9">
        <f t="shared" si="6"/>
        <v>32.231404958677686</v>
      </c>
      <c r="V32" s="132">
        <v>46250</v>
      </c>
      <c r="W32" s="203">
        <v>191</v>
      </c>
      <c r="X32" s="203">
        <v>55</v>
      </c>
      <c r="Y32" s="9">
        <f t="shared" si="5"/>
        <v>28.795811518324609</v>
      </c>
      <c r="Z32" s="8" t="str">
        <f t="array" ref="Z32">IF(Y32&gt;5,"Perlu Sensus",IF(AND(Y32&gt;0,,O32&gt;0),"Tetap Deteksi","Belum Deteksi"))</f>
        <v>Perlu Sensus</v>
      </c>
      <c r="AA32" s="203">
        <v>31</v>
      </c>
      <c r="AB32" s="9">
        <f t="shared" si="7"/>
        <v>16.230366492146597</v>
      </c>
    </row>
    <row r="33" spans="1:28" outlineLevel="1" x14ac:dyDescent="0.15">
      <c r="A33" s="8" t="s">
        <v>628</v>
      </c>
      <c r="B33" s="8" t="s">
        <v>14</v>
      </c>
      <c r="C33" s="8" t="s">
        <v>14</v>
      </c>
      <c r="D33" s="8" t="s">
        <v>166</v>
      </c>
      <c r="E33" s="9">
        <v>12.69</v>
      </c>
      <c r="F33" s="8" t="s">
        <v>16</v>
      </c>
      <c r="G33" s="143">
        <f t="array" ref="G33">INDEX('[23]SENSUS MEI'!$G$9:$G$453,MATCH(1,('[23]SENSUS MEI'!$D$9:$D$453=$D33)*('[23]SENSUS MEI'!$D$9:$D$453=$D33),0))</f>
        <v>2246</v>
      </c>
      <c r="H33" s="132">
        <f t="shared" si="8"/>
        <v>46237</v>
      </c>
      <c r="I33" s="140">
        <f t="shared" si="8"/>
        <v>102</v>
      </c>
      <c r="J33" s="9">
        <f t="shared" si="1"/>
        <v>4.5414069456812109</v>
      </c>
      <c r="K33" s="140">
        <f t="shared" si="2"/>
        <v>20</v>
      </c>
      <c r="L33" s="206">
        <f t="shared" si="3"/>
        <v>19.607843137254903</v>
      </c>
      <c r="M33" s="8" t="str">
        <f t="array" ref="M33">IF(L33&gt;5,"Perlu Sensus",IF(AND(L33&gt;=0,I33&gt;0),"Tetap Deteksi","Belum Deteksi"))</f>
        <v>Perlu Sensus</v>
      </c>
      <c r="N33" s="132">
        <v>46237</v>
      </c>
      <c r="O33" s="203">
        <v>102</v>
      </c>
      <c r="P33" s="9">
        <f t="array" ref="P33">IFERROR(O33/G33*100,0)</f>
        <v>4.5414069456812109</v>
      </c>
      <c r="Q33" s="203">
        <v>20</v>
      </c>
      <c r="R33" s="9">
        <f t="shared" si="4"/>
        <v>19.607843137254903</v>
      </c>
      <c r="S33" s="8" t="str">
        <f t="array" ref="S33">IF(R33&gt;5,"Perlu Sensus",IF(AND(R33&gt;=0,O33&gt;0),"Tetap Deteksi","Belum Deteksi"))</f>
        <v>Perlu Sensus</v>
      </c>
      <c r="T33" s="203">
        <v>23</v>
      </c>
      <c r="U33" s="9">
        <f t="shared" si="6"/>
        <v>22.549019607843139</v>
      </c>
      <c r="V33" s="132">
        <v>46238</v>
      </c>
      <c r="W33" s="203">
        <v>231</v>
      </c>
      <c r="X33" s="203">
        <v>53</v>
      </c>
      <c r="Y33" s="9">
        <f t="shared" si="5"/>
        <v>22.943722943722943</v>
      </c>
      <c r="Z33" s="8" t="str">
        <f t="array" ref="Z33">IF(Y33&gt;5,"Perlu Sensus",IF(AND(Y33&gt;0,,O33&gt;0),"Tetap Deteksi","Belum Deteksi"))</f>
        <v>Perlu Sensus</v>
      </c>
      <c r="AA33" s="203">
        <v>35</v>
      </c>
      <c r="AB33" s="9">
        <f t="shared" si="7"/>
        <v>15.151515151515152</v>
      </c>
    </row>
    <row r="34" spans="1:28" outlineLevel="1" x14ac:dyDescent="0.15">
      <c r="A34" s="8" t="s">
        <v>628</v>
      </c>
      <c r="B34" s="8" t="s">
        <v>14</v>
      </c>
      <c r="C34" s="8" t="s">
        <v>14</v>
      </c>
      <c r="D34" s="8" t="s">
        <v>24</v>
      </c>
      <c r="E34" s="9">
        <v>46.16</v>
      </c>
      <c r="F34" s="8" t="s">
        <v>16</v>
      </c>
      <c r="G34" s="143">
        <f t="array" ref="G34">INDEX('[23]SENSUS MEI'!$G$9:$G$453,MATCH(1,('[23]SENSUS MEI'!$D$9:$D$453=$D34)*('[23]SENSUS MEI'!$D$9:$D$453=$D34),0))</f>
        <v>6397</v>
      </c>
      <c r="H34" s="132">
        <f t="shared" si="8"/>
        <v>46246</v>
      </c>
      <c r="I34" s="140">
        <f t="shared" si="8"/>
        <v>185</v>
      </c>
      <c r="J34" s="9">
        <f t="shared" si="1"/>
        <v>2.8919806159137096</v>
      </c>
      <c r="K34" s="140">
        <f t="shared" si="2"/>
        <v>12</v>
      </c>
      <c r="L34" s="206">
        <f t="shared" si="3"/>
        <v>6.4864864864864868</v>
      </c>
      <c r="M34" s="8" t="str">
        <f t="array" ref="M34">IF(L34&gt;5,"Perlu Sensus",IF(AND(L34&gt;=0,I34&gt;0),"Tetap Deteksi","Belum Deteksi"))</f>
        <v>Perlu Sensus</v>
      </c>
      <c r="N34" s="132">
        <v>46246</v>
      </c>
      <c r="O34" s="203">
        <v>185</v>
      </c>
      <c r="P34" s="9">
        <f t="array" ref="P34">IFERROR(O34/G34*100,0)</f>
        <v>2.8919806159137096</v>
      </c>
      <c r="Q34" s="203">
        <v>12</v>
      </c>
      <c r="R34" s="9">
        <f t="shared" si="4"/>
        <v>6.4864864864864868</v>
      </c>
      <c r="S34" s="8" t="str">
        <f t="array" ref="S34">IF(R34&gt;5,"Perlu Sensus",IF(AND(R34&gt;=0,O34&gt;0),"Tetap Deteksi","Belum Deteksi"))</f>
        <v>Perlu Sensus</v>
      </c>
      <c r="T34" s="203">
        <v>39</v>
      </c>
      <c r="U34" s="9">
        <f t="shared" si="6"/>
        <v>21.081081081081081</v>
      </c>
      <c r="V34" s="132">
        <v>46238</v>
      </c>
      <c r="W34" s="203">
        <v>92</v>
      </c>
      <c r="X34" s="203">
        <v>14</v>
      </c>
      <c r="Y34" s="9">
        <f t="shared" si="5"/>
        <v>15.217391304347828</v>
      </c>
      <c r="Z34" s="8" t="str">
        <f t="array" ref="Z34">IF(Y34&gt;5,"Perlu Sensus",IF(AND(Y34&gt;0,,O34&gt;0),"Tetap Deteksi","Belum Deteksi"))</f>
        <v>Perlu Sensus</v>
      </c>
      <c r="AA34" s="203">
        <v>25</v>
      </c>
      <c r="AB34" s="9">
        <f t="shared" si="7"/>
        <v>27.173913043478258</v>
      </c>
    </row>
    <row r="35" spans="1:28" outlineLevel="1" x14ac:dyDescent="0.15">
      <c r="A35" s="8" t="s">
        <v>628</v>
      </c>
      <c r="B35" s="8" t="s">
        <v>14</v>
      </c>
      <c r="C35" s="8" t="s">
        <v>14</v>
      </c>
      <c r="D35" s="8" t="s">
        <v>25</v>
      </c>
      <c r="E35" s="9">
        <v>49.6</v>
      </c>
      <c r="F35" s="8" t="s">
        <v>16</v>
      </c>
      <c r="G35" s="143">
        <f t="array" ref="G35">INDEX('[23]SENSUS MEI'!$G$9:$G$453,MATCH(1,('[23]SENSUS MEI'!$D$9:$D$453=$D35)*('[23]SENSUS MEI'!$D$9:$D$453=$D35),0))</f>
        <v>6650</v>
      </c>
      <c r="H35" s="132">
        <f t="shared" si="8"/>
        <v>46247</v>
      </c>
      <c r="I35" s="140">
        <f t="shared" si="8"/>
        <v>60</v>
      </c>
      <c r="J35" s="9">
        <f t="shared" si="1"/>
        <v>0.90225563909774442</v>
      </c>
      <c r="K35" s="140">
        <f t="shared" si="2"/>
        <v>5</v>
      </c>
      <c r="L35" s="206">
        <f t="shared" si="3"/>
        <v>8.3333333333333321</v>
      </c>
      <c r="M35" s="8" t="str">
        <f t="array" ref="M35">IF(L35&gt;5,"Perlu Sensus",IF(AND(L35&gt;=0,I35&gt;0),"Tetap Deteksi","Belum Deteksi"))</f>
        <v>Perlu Sensus</v>
      </c>
      <c r="N35" s="132">
        <v>46247</v>
      </c>
      <c r="O35" s="203">
        <v>60</v>
      </c>
      <c r="P35" s="9">
        <f t="array" ref="P35">IFERROR(O35/G35*100,0)</f>
        <v>0.90225563909774442</v>
      </c>
      <c r="Q35" s="203">
        <v>5</v>
      </c>
      <c r="R35" s="9">
        <f t="shared" si="4"/>
        <v>8.3333333333333321</v>
      </c>
      <c r="S35" s="8" t="str">
        <f t="array" ref="S35">IF(R35&gt;5,"Perlu Sensus",IF(AND(R35&gt;=0,O35&gt;0),"Tetap Deteksi","Belum Deteksi"))</f>
        <v>Perlu Sensus</v>
      </c>
      <c r="T35" s="203">
        <v>27</v>
      </c>
      <c r="U35" s="9">
        <f t="shared" si="6"/>
        <v>45</v>
      </c>
      <c r="V35" s="132">
        <v>46248</v>
      </c>
      <c r="W35" s="203">
        <v>202</v>
      </c>
      <c r="X35" s="203">
        <v>20</v>
      </c>
      <c r="Y35" s="9">
        <f t="shared" si="5"/>
        <v>9.9009900990099009</v>
      </c>
      <c r="Z35" s="8" t="str">
        <f t="array" ref="Z35">IF(Y35&gt;5,"Perlu Sensus",IF(AND(Y35&gt;0,,O35&gt;0),"Tetap Deteksi","Belum Deteksi"))</f>
        <v>Perlu Sensus</v>
      </c>
      <c r="AA35" s="203">
        <v>24</v>
      </c>
      <c r="AB35" s="9">
        <f t="shared" si="7"/>
        <v>11.881188118811881</v>
      </c>
    </row>
    <row r="36" spans="1:28" hidden="1" outlineLevel="1" x14ac:dyDescent="0.15">
      <c r="A36" s="8" t="s">
        <v>628</v>
      </c>
      <c r="B36" s="8" t="s">
        <v>14</v>
      </c>
      <c r="C36" s="8" t="s">
        <v>14</v>
      </c>
      <c r="D36" s="8" t="s">
        <v>26</v>
      </c>
      <c r="E36" s="9">
        <v>46.57</v>
      </c>
      <c r="F36" s="8" t="s">
        <v>16</v>
      </c>
      <c r="G36" s="143">
        <f t="array" ref="G36">INDEX('[23]SENSUS MEI'!$G$9:$G$453,MATCH(1,('[23]SENSUS MEI'!$D$9:$D$453=$D36)*('[23]SENSUS MEI'!$D$9:$D$453=$D36),0))</f>
        <v>6851</v>
      </c>
      <c r="H36" s="132" t="str">
        <f t="shared" si="8"/>
        <v>6.13 Aug 26</v>
      </c>
      <c r="I36" s="140">
        <f t="shared" si="8"/>
        <v>174</v>
      </c>
      <c r="J36" s="9">
        <f t="shared" si="1"/>
        <v>2.5397752152970368</v>
      </c>
      <c r="K36" s="140">
        <f t="shared" si="2"/>
        <v>15</v>
      </c>
      <c r="L36" s="206">
        <f t="shared" si="3"/>
        <v>8.6206896551724146</v>
      </c>
      <c r="M36" s="8" t="str">
        <f t="array" ref="M36">IF(L36&gt;5,"Perlu Sensus",IF(AND(L36&gt;=0,I36&gt;0),"Tetap Deteksi","Belum Deteksi"))</f>
        <v>Perlu Sensus</v>
      </c>
      <c r="N36" s="132" t="s">
        <v>2287</v>
      </c>
      <c r="O36" s="203">
        <v>174</v>
      </c>
      <c r="P36" s="9">
        <f t="array" ref="P36">IFERROR(O36/G36*100,0)</f>
        <v>2.5397752152970368</v>
      </c>
      <c r="Q36" s="203">
        <v>15</v>
      </c>
      <c r="R36" s="9">
        <f t="shared" si="4"/>
        <v>8.6206896551724146</v>
      </c>
      <c r="S36" s="8" t="str">
        <f t="array" ref="S36">IF(R36&gt;5,"Perlu Sensus",IF(AND(R36&gt;=0,O36&gt;0),"Tetap Deteksi","Belum Deteksi"))</f>
        <v>Perlu Sensus</v>
      </c>
      <c r="T36" s="203">
        <v>55</v>
      </c>
      <c r="U36" s="9">
        <f t="shared" si="6"/>
        <v>31.609195402298852</v>
      </c>
      <c r="V36" s="132">
        <v>46241</v>
      </c>
      <c r="W36" s="203">
        <v>258</v>
      </c>
      <c r="X36" s="203">
        <v>33</v>
      </c>
      <c r="Y36" s="9">
        <f t="shared" si="5"/>
        <v>12.790697674418606</v>
      </c>
      <c r="Z36" s="8" t="str">
        <f t="array" ref="Z36">IF(Y36&gt;5,"Perlu Sensus",IF(AND(Y36&gt;0,,O36&gt;0),"Tetap Deteksi","Belum Deteksi"))</f>
        <v>Perlu Sensus</v>
      </c>
      <c r="AA36" s="203">
        <v>60</v>
      </c>
      <c r="AB36" s="9">
        <f t="shared" si="7"/>
        <v>23.255813953488371</v>
      </c>
    </row>
    <row r="37" spans="1:28" outlineLevel="1" x14ac:dyDescent="0.15">
      <c r="A37" s="8" t="s">
        <v>628</v>
      </c>
      <c r="B37" s="8" t="s">
        <v>14</v>
      </c>
      <c r="C37" s="8" t="s">
        <v>47</v>
      </c>
      <c r="D37" s="8" t="s">
        <v>639</v>
      </c>
      <c r="E37" s="9">
        <v>5.72</v>
      </c>
      <c r="F37" s="8" t="s">
        <v>16</v>
      </c>
      <c r="G37" s="143">
        <f t="array" ref="G37">INDEX('[23]SENSUS MEI'!$G$9:$G$453,MATCH(1,('[23]SENSUS MEI'!$D$9:$D$453=$D37)*('[23]SENSUS MEI'!$D$9:$D$453=$D37),0))</f>
        <v>961</v>
      </c>
      <c r="H37" s="132">
        <f t="shared" si="8"/>
        <v>46237</v>
      </c>
      <c r="I37" s="140">
        <f t="shared" si="8"/>
        <v>108</v>
      </c>
      <c r="J37" s="9">
        <f t="shared" si="1"/>
        <v>11.238293444328825</v>
      </c>
      <c r="K37" s="140">
        <f t="shared" si="2"/>
        <v>7</v>
      </c>
      <c r="L37" s="206">
        <f t="shared" si="3"/>
        <v>6.481481481481481</v>
      </c>
      <c r="M37" s="8" t="str">
        <f t="array" ref="M37">IF(L37&gt;5,"Perlu Sensus",IF(AND(L37&gt;=0,I37&gt;0),"Tetap Deteksi","Belum Deteksi"))</f>
        <v>Perlu Sensus</v>
      </c>
      <c r="N37" s="132">
        <v>46237</v>
      </c>
      <c r="O37" s="203">
        <v>108</v>
      </c>
      <c r="P37" s="9">
        <f t="array" ref="P37">IFERROR(O37/G37*100,0)</f>
        <v>11.238293444328825</v>
      </c>
      <c r="Q37" s="203">
        <v>7</v>
      </c>
      <c r="R37" s="9">
        <f t="shared" si="4"/>
        <v>6.481481481481481</v>
      </c>
      <c r="S37" s="8" t="str">
        <f t="array" ref="S37">IF(R37&gt;5,"Perlu Sensus",IF(AND(R37&gt;=0,O37&gt;0),"Tetap Deteksi","Belum Deteksi"))</f>
        <v>Perlu Sensus</v>
      </c>
      <c r="T37" s="203">
        <v>26</v>
      </c>
      <c r="U37" s="9">
        <f t="shared" si="6"/>
        <v>24.074074074074073</v>
      </c>
      <c r="V37" s="132">
        <v>46238</v>
      </c>
      <c r="W37" s="203">
        <v>216</v>
      </c>
      <c r="X37" s="203">
        <v>36</v>
      </c>
      <c r="Y37" s="9">
        <f t="shared" si="5"/>
        <v>16.666666666666664</v>
      </c>
      <c r="Z37" s="8" t="str">
        <f t="array" ref="Z37">IF(Y37&gt;5,"Perlu Sensus",IF(AND(Y37&gt;0,,O37&gt;0),"Tetap Deteksi","Belum Deteksi"))</f>
        <v>Perlu Sensus</v>
      </c>
      <c r="AA37" s="203">
        <v>60</v>
      </c>
      <c r="AB37" s="9">
        <f t="shared" si="7"/>
        <v>27.777777777777779</v>
      </c>
    </row>
    <row r="38" spans="1:28" outlineLevel="1" x14ac:dyDescent="0.15">
      <c r="A38" s="8" t="s">
        <v>628</v>
      </c>
      <c r="B38" s="8" t="s">
        <v>14</v>
      </c>
      <c r="C38" s="8" t="s">
        <v>47</v>
      </c>
      <c r="D38" s="8" t="s">
        <v>640</v>
      </c>
      <c r="E38" s="9">
        <v>9.09</v>
      </c>
      <c r="F38" s="8" t="s">
        <v>16</v>
      </c>
      <c r="G38" s="143">
        <f t="array" ref="G38">INDEX('[23]SENSUS MEI'!$G$9:$G$453,MATCH(1,('[23]SENSUS MEI'!$D$9:$D$453=$D38)*('[23]SENSUS MEI'!$D$9:$D$453=$D38),0))</f>
        <v>1180</v>
      </c>
      <c r="H38" s="132">
        <f t="shared" si="8"/>
        <v>46237</v>
      </c>
      <c r="I38" s="140">
        <f t="shared" si="8"/>
        <v>124</v>
      </c>
      <c r="J38" s="9">
        <f t="shared" si="1"/>
        <v>10.508474576271185</v>
      </c>
      <c r="K38" s="140">
        <f t="shared" si="2"/>
        <v>7</v>
      </c>
      <c r="L38" s="206">
        <f t="shared" si="3"/>
        <v>5.6451612903225801</v>
      </c>
      <c r="M38" s="8" t="str">
        <f t="array" ref="M38">IF(L38&gt;5,"Perlu Sensus",IF(AND(L38&gt;=0,I38&gt;0),"Tetap Deteksi","Belum Deteksi"))</f>
        <v>Perlu Sensus</v>
      </c>
      <c r="N38" s="132">
        <v>46237</v>
      </c>
      <c r="O38" s="203">
        <v>124</v>
      </c>
      <c r="P38" s="9">
        <f t="array" ref="P38">IFERROR(O38/G38*100,0)</f>
        <v>10.508474576271185</v>
      </c>
      <c r="Q38" s="203">
        <v>7</v>
      </c>
      <c r="R38" s="9">
        <f t="shared" si="4"/>
        <v>5.6451612903225801</v>
      </c>
      <c r="S38" s="8" t="str">
        <f t="array" ref="S38">IF(R38&gt;5,"Perlu Sensus",IF(AND(R38&gt;=0,O38&gt;0),"Tetap Deteksi","Belum Deteksi"))</f>
        <v>Perlu Sensus</v>
      </c>
      <c r="T38" s="203">
        <v>33</v>
      </c>
      <c r="U38" s="9">
        <f t="shared" si="6"/>
        <v>26.612903225806448</v>
      </c>
      <c r="V38" s="132">
        <v>46238</v>
      </c>
      <c r="W38" s="203">
        <v>232</v>
      </c>
      <c r="X38" s="203">
        <v>38</v>
      </c>
      <c r="Y38" s="9">
        <f t="shared" si="5"/>
        <v>16.379310344827587</v>
      </c>
      <c r="Z38" s="8" t="str">
        <f t="array" ref="Z38">IF(Y38&gt;5,"Perlu Sensus",IF(AND(Y38&gt;0,,O38&gt;0),"Tetap Deteksi","Belum Deteksi"))</f>
        <v>Perlu Sensus</v>
      </c>
      <c r="AA38" s="203">
        <v>62</v>
      </c>
      <c r="AB38" s="9">
        <f t="shared" si="7"/>
        <v>26.72413793103448</v>
      </c>
    </row>
    <row r="39" spans="1:28" outlineLevel="1" x14ac:dyDescent="0.15">
      <c r="A39" s="8" t="s">
        <v>628</v>
      </c>
      <c r="B39" s="8" t="s">
        <v>14</v>
      </c>
      <c r="C39" s="8" t="s">
        <v>47</v>
      </c>
      <c r="D39" s="8" t="s">
        <v>641</v>
      </c>
      <c r="E39" s="9">
        <v>8.8699999999999992</v>
      </c>
      <c r="F39" s="8" t="s">
        <v>16</v>
      </c>
      <c r="G39" s="143">
        <f t="array" ref="G39">INDEX('[23]SENSUS MEI'!$G$9:$G$453,MATCH(1,('[23]SENSUS MEI'!$D$9:$D$453=$D39)*('[23]SENSUS MEI'!$D$9:$D$453=$D39),0))</f>
        <v>1181</v>
      </c>
      <c r="H39" s="132">
        <f t="shared" si="8"/>
        <v>46237</v>
      </c>
      <c r="I39" s="140">
        <f t="shared" si="8"/>
        <v>110</v>
      </c>
      <c r="J39" s="9">
        <f t="shared" si="1"/>
        <v>9.3141405588484343</v>
      </c>
      <c r="K39" s="140">
        <f t="shared" si="2"/>
        <v>10</v>
      </c>
      <c r="L39" s="206">
        <f t="shared" si="3"/>
        <v>9.0909090909090917</v>
      </c>
      <c r="M39" s="8" t="str">
        <f t="array" ref="M39">IF(L39&gt;5,"Perlu Sensus",IF(AND(L39&gt;=0,I39&gt;0),"Tetap Deteksi","Belum Deteksi"))</f>
        <v>Perlu Sensus</v>
      </c>
      <c r="N39" s="132">
        <v>46237</v>
      </c>
      <c r="O39" s="203">
        <v>110</v>
      </c>
      <c r="P39" s="9">
        <f t="array" ref="P39">IFERROR(O39/G39*100,0)</f>
        <v>9.3141405588484343</v>
      </c>
      <c r="Q39" s="203">
        <v>10</v>
      </c>
      <c r="R39" s="9">
        <f t="shared" si="4"/>
        <v>9.0909090909090917</v>
      </c>
      <c r="S39" s="8" t="str">
        <f t="array" ref="S39">IF(R39&gt;5,"Perlu Sensus",IF(AND(R39&gt;=0,O39&gt;0),"Tetap Deteksi","Belum Deteksi"))</f>
        <v>Perlu Sensus</v>
      </c>
      <c r="T39" s="203">
        <v>32</v>
      </c>
      <c r="U39" s="9">
        <f t="shared" si="6"/>
        <v>29.09090909090909</v>
      </c>
      <c r="V39" s="132">
        <v>46238</v>
      </c>
      <c r="W39" s="203">
        <v>220</v>
      </c>
      <c r="X39" s="203">
        <v>25</v>
      </c>
      <c r="Y39" s="9">
        <f t="shared" si="5"/>
        <v>11.363636363636363</v>
      </c>
      <c r="Z39" s="8" t="str">
        <f t="array" ref="Z39">IF(Y39&gt;5,"Perlu Sensus",IF(AND(Y39&gt;0,,O39&gt;0),"Tetap Deteksi","Belum Deteksi"))</f>
        <v>Perlu Sensus</v>
      </c>
      <c r="AA39" s="203">
        <v>49</v>
      </c>
      <c r="AB39" s="9">
        <f t="shared" si="7"/>
        <v>22.272727272727273</v>
      </c>
    </row>
    <row r="40" spans="1:28" outlineLevel="1" x14ac:dyDescent="0.15">
      <c r="A40" s="8" t="s">
        <v>628</v>
      </c>
      <c r="B40" s="8" t="s">
        <v>14</v>
      </c>
      <c r="C40" s="8" t="s">
        <v>47</v>
      </c>
      <c r="D40" s="8" t="s">
        <v>642</v>
      </c>
      <c r="E40" s="9">
        <v>6.17</v>
      </c>
      <c r="F40" s="8" t="s">
        <v>16</v>
      </c>
      <c r="G40" s="143">
        <f t="array" ref="G40">INDEX('[23]SENSUS MEI'!$G$9:$G$453,MATCH(1,('[23]SENSUS MEI'!$D$9:$D$453=$D40)*('[23]SENSUS MEI'!$D$9:$D$453=$D40),0))</f>
        <v>843</v>
      </c>
      <c r="H40" s="132">
        <f t="shared" si="8"/>
        <v>46238</v>
      </c>
      <c r="I40" s="140">
        <f t="shared" si="8"/>
        <v>126</v>
      </c>
      <c r="J40" s="9">
        <f t="shared" si="1"/>
        <v>14.946619217081849</v>
      </c>
      <c r="K40" s="140">
        <f t="shared" si="2"/>
        <v>10</v>
      </c>
      <c r="L40" s="206">
        <f t="shared" si="3"/>
        <v>7.9365079365079358</v>
      </c>
      <c r="M40" s="8" t="str">
        <f t="array" ref="M40">IF(L40&gt;5,"Perlu Sensus",IF(AND(L40&gt;=0,I40&gt;0),"Tetap Deteksi","Belum Deteksi"))</f>
        <v>Perlu Sensus</v>
      </c>
      <c r="N40" s="132">
        <v>46238</v>
      </c>
      <c r="O40" s="203">
        <v>126</v>
      </c>
      <c r="P40" s="9">
        <f t="array" ref="P40">IFERROR(O40/G40*100,0)</f>
        <v>14.946619217081849</v>
      </c>
      <c r="Q40" s="203">
        <v>10</v>
      </c>
      <c r="R40" s="9">
        <f t="shared" si="4"/>
        <v>7.9365079365079358</v>
      </c>
      <c r="S40" s="8" t="str">
        <f t="array" ref="S40">IF(R40&gt;5,"Perlu Sensus",IF(AND(R40&gt;=0,O40&gt;0),"Tetap Deteksi","Belum Deteksi"))</f>
        <v>Perlu Sensus</v>
      </c>
      <c r="T40" s="203">
        <v>61</v>
      </c>
      <c r="U40" s="9">
        <f t="shared" si="6"/>
        <v>48.412698412698411</v>
      </c>
      <c r="V40" s="132">
        <v>46239</v>
      </c>
      <c r="W40" s="203">
        <v>226</v>
      </c>
      <c r="X40" s="203">
        <v>29</v>
      </c>
      <c r="Y40" s="9">
        <f t="shared" si="5"/>
        <v>12.831858407079647</v>
      </c>
      <c r="Z40" s="8" t="str">
        <f t="array" ref="Z40">IF(Y40&gt;5,"Perlu Sensus",IF(AND(Y40&gt;0,,O40&gt;0),"Tetap Deteksi","Belum Deteksi"))</f>
        <v>Perlu Sensus</v>
      </c>
      <c r="AA40" s="203">
        <v>51</v>
      </c>
      <c r="AB40" s="9">
        <f t="shared" si="7"/>
        <v>22.566371681415927</v>
      </c>
    </row>
    <row r="41" spans="1:28" outlineLevel="1" x14ac:dyDescent="0.15">
      <c r="A41" s="8" t="s">
        <v>628</v>
      </c>
      <c r="B41" s="8" t="s">
        <v>14</v>
      </c>
      <c r="C41" s="8" t="s">
        <v>47</v>
      </c>
      <c r="D41" s="8" t="s">
        <v>27</v>
      </c>
      <c r="E41" s="9">
        <v>32.64</v>
      </c>
      <c r="F41" s="8" t="s">
        <v>16</v>
      </c>
      <c r="G41" s="143">
        <f t="array" ref="G41">INDEX('[23]SENSUS MEI'!$G$9:$G$453,MATCH(1,('[23]SENSUS MEI'!$D$9:$D$453=$D41)*('[23]SENSUS MEI'!$D$9:$D$453=$D41),0))</f>
        <v>4956</v>
      </c>
      <c r="H41" s="132">
        <f t="shared" si="8"/>
        <v>46239</v>
      </c>
      <c r="I41" s="140">
        <f t="shared" si="8"/>
        <v>102</v>
      </c>
      <c r="J41" s="9">
        <f t="shared" si="1"/>
        <v>2.0581113801452786</v>
      </c>
      <c r="K41" s="140">
        <f t="shared" si="2"/>
        <v>4</v>
      </c>
      <c r="L41" s="206">
        <f t="shared" si="3"/>
        <v>3.9215686274509802</v>
      </c>
      <c r="M41" s="8" t="str">
        <f t="array" ref="M41">IF(L41&gt;5,"Perlu Sensus",IF(AND(L41&gt;=0,I41&gt;0),"Tetap Deteksi","Belum Deteksi"))</f>
        <v>Tetap Deteksi</v>
      </c>
      <c r="N41" s="132">
        <v>46239</v>
      </c>
      <c r="O41" s="203">
        <v>102</v>
      </c>
      <c r="P41" s="9">
        <f t="array" ref="P41">IFERROR(O41/G41*100,0)</f>
        <v>2.0581113801452786</v>
      </c>
      <c r="Q41" s="203">
        <v>4</v>
      </c>
      <c r="R41" s="9">
        <f t="shared" si="4"/>
        <v>3.9215686274509802</v>
      </c>
      <c r="S41" s="8" t="str">
        <f t="array" ref="S41">IF(R41&gt;5,"Perlu Sensus",IF(AND(R41&gt;=0,O41&gt;0),"Tetap Deteksi","Belum Deteksi"))</f>
        <v>Tetap Deteksi</v>
      </c>
      <c r="T41" s="203">
        <v>17</v>
      </c>
      <c r="U41" s="9">
        <f t="shared" si="6"/>
        <v>16.666666666666664</v>
      </c>
      <c r="V41" s="132">
        <v>46240</v>
      </c>
      <c r="W41" s="203">
        <v>204</v>
      </c>
      <c r="X41" s="203">
        <v>22</v>
      </c>
      <c r="Y41" s="9">
        <f t="shared" si="5"/>
        <v>10.784313725490197</v>
      </c>
      <c r="Z41" s="8" t="str">
        <f t="array" ref="Z41">IF(Y41&gt;5,"Perlu Sensus",IF(AND(Y41&gt;0,,O41&gt;0),"Tetap Deteksi","Belum Deteksi"))</f>
        <v>Perlu Sensus</v>
      </c>
      <c r="AA41" s="203">
        <v>46</v>
      </c>
      <c r="AB41" s="9">
        <f t="shared" si="7"/>
        <v>22.549019607843139</v>
      </c>
    </row>
    <row r="42" spans="1:28" outlineLevel="1" x14ac:dyDescent="0.15">
      <c r="A42" s="8" t="s">
        <v>628</v>
      </c>
      <c r="B42" s="8" t="s">
        <v>14</v>
      </c>
      <c r="C42" s="8" t="s">
        <v>47</v>
      </c>
      <c r="D42" s="8" t="s">
        <v>28</v>
      </c>
      <c r="E42" s="9">
        <v>41.09</v>
      </c>
      <c r="F42" s="8" t="s">
        <v>16</v>
      </c>
      <c r="G42" s="143">
        <f t="array" ref="G42">INDEX('[23]SENSUS MEI'!$G$9:$G$453,MATCH(1,('[23]SENSUS MEI'!$D$9:$D$453=$D42)*('[23]SENSUS MEI'!$D$9:$D$453=$D42),0))</f>
        <v>6299</v>
      </c>
      <c r="H42" s="132">
        <f t="shared" si="8"/>
        <v>46239</v>
      </c>
      <c r="I42" s="140">
        <f t="shared" si="8"/>
        <v>117</v>
      </c>
      <c r="J42" s="9">
        <f t="shared" si="1"/>
        <v>1.8574376885219877</v>
      </c>
      <c r="K42" s="140">
        <f t="shared" si="2"/>
        <v>5</v>
      </c>
      <c r="L42" s="206">
        <f t="shared" si="3"/>
        <v>4.2735042735042734</v>
      </c>
      <c r="M42" s="8" t="str">
        <f t="array" ref="M42">IF(L42&gt;5,"Perlu Sensus",IF(AND(L42&gt;=0,I42&gt;0),"Tetap Deteksi","Belum Deteksi"))</f>
        <v>Tetap Deteksi</v>
      </c>
      <c r="N42" s="132">
        <v>46239</v>
      </c>
      <c r="O42" s="203">
        <v>117</v>
      </c>
      <c r="P42" s="9">
        <f t="array" ref="P42">IFERROR(O42/G42*100,0)</f>
        <v>1.8574376885219877</v>
      </c>
      <c r="Q42" s="203">
        <v>5</v>
      </c>
      <c r="R42" s="9">
        <f t="shared" si="4"/>
        <v>4.2735042735042734</v>
      </c>
      <c r="S42" s="8" t="str">
        <f t="array" ref="S42">IF(R42&gt;5,"Perlu Sensus",IF(AND(R42&gt;=0,O42&gt;0),"Tetap Deteksi","Belum Deteksi"))</f>
        <v>Tetap Deteksi</v>
      </c>
      <c r="T42" s="203">
        <v>38</v>
      </c>
      <c r="U42" s="9">
        <f t="shared" si="6"/>
        <v>32.478632478632477</v>
      </c>
      <c r="V42" s="132">
        <v>46240</v>
      </c>
      <c r="W42" s="203">
        <v>234</v>
      </c>
      <c r="X42" s="203">
        <v>8</v>
      </c>
      <c r="Y42" s="9">
        <f t="shared" si="5"/>
        <v>3.4188034188034191</v>
      </c>
      <c r="Z42" s="8" t="str">
        <f t="array" ref="Z42">IF(Y42&gt;5,"Perlu Sensus",IF(AND(Y42&gt;0,,O42&gt;0),"Tetap Deteksi","Belum Deteksi"))</f>
        <v>Belum Deteksi</v>
      </c>
      <c r="AA42" s="203">
        <v>32</v>
      </c>
      <c r="AB42" s="9">
        <f t="shared" si="7"/>
        <v>13.675213675213676</v>
      </c>
    </row>
    <row r="43" spans="1:28" outlineLevel="1" x14ac:dyDescent="0.15">
      <c r="A43" s="8" t="s">
        <v>628</v>
      </c>
      <c r="B43" s="8" t="s">
        <v>14</v>
      </c>
      <c r="C43" s="8" t="s">
        <v>47</v>
      </c>
      <c r="D43" s="8" t="s">
        <v>643</v>
      </c>
      <c r="E43" s="9">
        <v>35.71</v>
      </c>
      <c r="F43" s="8" t="s">
        <v>16</v>
      </c>
      <c r="G43" s="143">
        <f t="array" ref="G43">INDEX('[23]SENSUS MEI'!$G$9:$G$453,MATCH(1,('[23]SENSUS MEI'!$D$9:$D$453=$D43)*('[23]SENSUS MEI'!$D$9:$D$453=$D43),0))</f>
        <v>5282</v>
      </c>
      <c r="H43" s="132">
        <f t="shared" si="8"/>
        <v>46240</v>
      </c>
      <c r="I43" s="140">
        <f t="shared" si="8"/>
        <v>106</v>
      </c>
      <c r="J43" s="9">
        <f t="shared" si="1"/>
        <v>2.0068156001514579</v>
      </c>
      <c r="K43" s="140">
        <f t="shared" si="2"/>
        <v>7</v>
      </c>
      <c r="L43" s="206">
        <f t="shared" si="3"/>
        <v>6.6037735849056602</v>
      </c>
      <c r="M43" s="8" t="str">
        <f t="array" ref="M43">IF(L43&gt;5,"Perlu Sensus",IF(AND(L43&gt;=0,I43&gt;0),"Tetap Deteksi","Belum Deteksi"))</f>
        <v>Perlu Sensus</v>
      </c>
      <c r="N43" s="132">
        <v>46240</v>
      </c>
      <c r="O43" s="203">
        <v>106</v>
      </c>
      <c r="P43" s="9">
        <f t="array" ref="P43">IFERROR(O43/G43*100,0)</f>
        <v>2.0068156001514579</v>
      </c>
      <c r="Q43" s="203">
        <v>7</v>
      </c>
      <c r="R43" s="9">
        <f t="shared" si="4"/>
        <v>6.6037735849056602</v>
      </c>
      <c r="S43" s="8" t="str">
        <f t="array" ref="S43">IF(R43&gt;5,"Perlu Sensus",IF(AND(R43&gt;=0,O43&gt;0),"Tetap Deteksi","Belum Deteksi"))</f>
        <v>Perlu Sensus</v>
      </c>
      <c r="T43" s="203">
        <v>31</v>
      </c>
      <c r="U43" s="9">
        <f t="shared" si="6"/>
        <v>29.245283018867923</v>
      </c>
      <c r="V43" s="132">
        <v>46241</v>
      </c>
      <c r="W43" s="203">
        <v>216</v>
      </c>
      <c r="X43" s="203">
        <v>10</v>
      </c>
      <c r="Y43" s="9">
        <f t="shared" si="5"/>
        <v>4.6296296296296298</v>
      </c>
      <c r="Z43" s="8" t="str">
        <f t="array" ref="Z43">IF(Y43&gt;5,"Perlu Sensus",IF(AND(Y43&gt;0,,O43&gt;0),"Tetap Deteksi","Belum Deteksi"))</f>
        <v>Belum Deteksi</v>
      </c>
      <c r="AA43" s="203">
        <v>32</v>
      </c>
      <c r="AB43" s="9">
        <f t="shared" si="7"/>
        <v>14.814814814814813</v>
      </c>
    </row>
    <row r="44" spans="1:28" outlineLevel="1" x14ac:dyDescent="0.15">
      <c r="A44" s="8" t="s">
        <v>628</v>
      </c>
      <c r="B44" s="8" t="s">
        <v>14</v>
      </c>
      <c r="C44" s="8" t="s">
        <v>47</v>
      </c>
      <c r="D44" s="8" t="s">
        <v>644</v>
      </c>
      <c r="E44" s="9">
        <v>30.73</v>
      </c>
      <c r="F44" s="8" t="s">
        <v>16</v>
      </c>
      <c r="G44" s="143">
        <f t="array" ref="G44">INDEX('[23]SENSUS MEI'!$G$9:$G$453,MATCH(1,('[23]SENSUS MEI'!$D$9:$D$453=$D44)*('[23]SENSUS MEI'!$D$9:$D$453=$D44),0))</f>
        <v>4578</v>
      </c>
      <c r="H44" s="132">
        <f t="shared" si="8"/>
        <v>46240</v>
      </c>
      <c r="I44" s="140">
        <f t="shared" si="8"/>
        <v>108</v>
      </c>
      <c r="J44" s="9">
        <f t="shared" si="1"/>
        <v>2.3591087811271296</v>
      </c>
      <c r="K44" s="140">
        <f t="shared" si="2"/>
        <v>7</v>
      </c>
      <c r="L44" s="206">
        <f t="shared" si="3"/>
        <v>6.481481481481481</v>
      </c>
      <c r="M44" s="8" t="str">
        <f t="array" ref="M44">IF(L44&gt;5,"Perlu Sensus",IF(AND(L44&gt;=0,I44&gt;0),"Tetap Deteksi","Belum Deteksi"))</f>
        <v>Perlu Sensus</v>
      </c>
      <c r="N44" s="132">
        <v>46240</v>
      </c>
      <c r="O44" s="203">
        <v>108</v>
      </c>
      <c r="P44" s="9">
        <f t="array" ref="P44">IFERROR(O44/G44*100,0)</f>
        <v>2.3591087811271296</v>
      </c>
      <c r="Q44" s="203">
        <v>7</v>
      </c>
      <c r="R44" s="9">
        <f t="shared" si="4"/>
        <v>6.481481481481481</v>
      </c>
      <c r="S44" s="8" t="str">
        <f t="array" ref="S44">IF(R44&gt;5,"Perlu Sensus",IF(AND(R44&gt;=0,O44&gt;0),"Tetap Deteksi","Belum Deteksi"))</f>
        <v>Perlu Sensus</v>
      </c>
      <c r="T44" s="203">
        <v>20</v>
      </c>
      <c r="U44" s="9">
        <f t="shared" si="6"/>
        <v>18.518518518518519</v>
      </c>
      <c r="V44" s="132">
        <v>46241</v>
      </c>
      <c r="W44" s="203">
        <v>180</v>
      </c>
      <c r="X44" s="203">
        <v>11</v>
      </c>
      <c r="Y44" s="9">
        <f t="shared" si="5"/>
        <v>6.1111111111111107</v>
      </c>
      <c r="Z44" s="8" t="str">
        <f t="array" ref="Z44">IF(Y44&gt;5,"Perlu Sensus",IF(AND(Y44&gt;0,,O44&gt;0),"Tetap Deteksi","Belum Deteksi"))</f>
        <v>Perlu Sensus</v>
      </c>
      <c r="AA44" s="203">
        <v>33</v>
      </c>
      <c r="AB44" s="9">
        <f t="shared" si="7"/>
        <v>18.333333333333332</v>
      </c>
    </row>
    <row r="45" spans="1:28" outlineLevel="1" x14ac:dyDescent="0.15">
      <c r="A45" s="8" t="s">
        <v>628</v>
      </c>
      <c r="B45" s="8" t="s">
        <v>14</v>
      </c>
      <c r="C45" s="8" t="s">
        <v>47</v>
      </c>
      <c r="D45" s="8" t="s">
        <v>645</v>
      </c>
      <c r="E45" s="9">
        <v>27.55</v>
      </c>
      <c r="F45" s="8" t="s">
        <v>16</v>
      </c>
      <c r="G45" s="143">
        <f t="array" ref="G45">INDEX('[23]SENSUS MEI'!$G$9:$G$453,MATCH(1,('[23]SENSUS MEI'!$D$9:$D$453=$D45)*('[23]SENSUS MEI'!$D$9:$D$453=$D45),0))</f>
        <v>4025</v>
      </c>
      <c r="H45" s="132">
        <f t="shared" si="8"/>
        <v>46241</v>
      </c>
      <c r="I45" s="140">
        <f t="shared" si="8"/>
        <v>98</v>
      </c>
      <c r="J45" s="9">
        <f t="shared" si="1"/>
        <v>2.4347826086956523</v>
      </c>
      <c r="K45" s="140">
        <f t="shared" si="2"/>
        <v>10</v>
      </c>
      <c r="L45" s="206">
        <f t="shared" si="3"/>
        <v>10.204081632653061</v>
      </c>
      <c r="M45" s="8" t="str">
        <f t="array" ref="M45">IF(L45&gt;5,"Perlu Sensus",IF(AND(L45&gt;=0,I45&gt;0),"Tetap Deteksi","Belum Deteksi"))</f>
        <v>Perlu Sensus</v>
      </c>
      <c r="N45" s="132">
        <v>46241</v>
      </c>
      <c r="O45" s="203">
        <v>98</v>
      </c>
      <c r="P45" s="9">
        <f t="array" ref="P45">IFERROR(O45/G45*100,0)</f>
        <v>2.4347826086956523</v>
      </c>
      <c r="Q45" s="203">
        <v>10</v>
      </c>
      <c r="R45" s="9">
        <f t="shared" si="4"/>
        <v>10.204081632653061</v>
      </c>
      <c r="S45" s="8" t="str">
        <f t="array" ref="S45">IF(R45&gt;5,"Perlu Sensus",IF(AND(R45&gt;=0,O45&gt;0),"Tetap Deteksi","Belum Deteksi"))</f>
        <v>Perlu Sensus</v>
      </c>
      <c r="T45" s="203">
        <v>18</v>
      </c>
      <c r="U45" s="9">
        <f t="shared" si="6"/>
        <v>18.367346938775512</v>
      </c>
      <c r="V45" s="132">
        <v>46242</v>
      </c>
      <c r="W45" s="203">
        <v>196</v>
      </c>
      <c r="X45" s="203">
        <v>20</v>
      </c>
      <c r="Y45" s="9">
        <f t="shared" si="5"/>
        <v>10.204081632653061</v>
      </c>
      <c r="Z45" s="8" t="str">
        <f t="array" ref="Z45">IF(Y45&gt;5,"Perlu Sensus",IF(AND(Y45&gt;0,,O45&gt;0),"Tetap Deteksi","Belum Deteksi"))</f>
        <v>Perlu Sensus</v>
      </c>
      <c r="AA45" s="203">
        <v>44</v>
      </c>
      <c r="AB45" s="9">
        <f t="shared" si="7"/>
        <v>22.448979591836736</v>
      </c>
    </row>
    <row r="46" spans="1:28" outlineLevel="1" x14ac:dyDescent="0.15">
      <c r="A46" s="8" t="s">
        <v>628</v>
      </c>
      <c r="B46" s="8" t="s">
        <v>14</v>
      </c>
      <c r="C46" s="8" t="s">
        <v>47</v>
      </c>
      <c r="D46" s="8" t="s">
        <v>646</v>
      </c>
      <c r="E46" s="9">
        <v>27.04</v>
      </c>
      <c r="F46" s="8" t="s">
        <v>16</v>
      </c>
      <c r="G46" s="143">
        <f t="array" ref="G46">INDEX('[23]SENSUS MEI'!$G$9:$G$453,MATCH(1,('[23]SENSUS MEI'!$D$9:$D$453=$D46)*('[23]SENSUS MEI'!$D$9:$D$453=$D46),0))</f>
        <v>4017</v>
      </c>
      <c r="H46" s="132">
        <f t="shared" si="8"/>
        <v>46241</v>
      </c>
      <c r="I46" s="140">
        <f t="shared" si="8"/>
        <v>109</v>
      </c>
      <c r="J46" s="9">
        <f t="shared" si="1"/>
        <v>2.7134677620114513</v>
      </c>
      <c r="K46" s="140">
        <f t="shared" si="2"/>
        <v>5</v>
      </c>
      <c r="L46" s="206">
        <f t="shared" si="3"/>
        <v>4.5871559633027523</v>
      </c>
      <c r="M46" s="8" t="str">
        <f t="array" ref="M46">IF(L46&gt;5,"Perlu Sensus",IF(AND(L46&gt;=0,I46&gt;0),"Tetap Deteksi","Belum Deteksi"))</f>
        <v>Tetap Deteksi</v>
      </c>
      <c r="N46" s="132">
        <v>46241</v>
      </c>
      <c r="O46" s="203">
        <v>109</v>
      </c>
      <c r="P46" s="9">
        <f t="array" ref="P46">IFERROR(O46/G46*100,0)</f>
        <v>2.7134677620114513</v>
      </c>
      <c r="Q46" s="203">
        <v>5</v>
      </c>
      <c r="R46" s="9">
        <f t="shared" si="4"/>
        <v>4.5871559633027523</v>
      </c>
      <c r="S46" s="8" t="str">
        <f t="array" ref="S46">IF(R46&gt;5,"Perlu Sensus",IF(AND(R46&gt;=0,O46&gt;0),"Tetap Deteksi","Belum Deteksi"))</f>
        <v>Tetap Deteksi</v>
      </c>
      <c r="T46" s="203">
        <v>18</v>
      </c>
      <c r="U46" s="9">
        <f t="shared" si="6"/>
        <v>16.513761467889911</v>
      </c>
      <c r="V46" s="132">
        <v>46242</v>
      </c>
      <c r="W46" s="203">
        <v>218</v>
      </c>
      <c r="X46" s="203">
        <v>32</v>
      </c>
      <c r="Y46" s="9">
        <f t="shared" si="5"/>
        <v>14.678899082568808</v>
      </c>
      <c r="Z46" s="8" t="str">
        <f t="array" ref="Z46">IF(Y46&gt;5,"Perlu Sensus",IF(AND(Y46&gt;0,,O46&gt;0),"Tetap Deteksi","Belum Deteksi"))</f>
        <v>Perlu Sensus</v>
      </c>
      <c r="AA46" s="203">
        <v>58</v>
      </c>
      <c r="AB46" s="9">
        <f t="shared" si="7"/>
        <v>26.605504587155966</v>
      </c>
    </row>
    <row r="47" spans="1:28" outlineLevel="1" x14ac:dyDescent="0.15">
      <c r="A47" s="8" t="s">
        <v>628</v>
      </c>
      <c r="B47" s="8" t="s">
        <v>14</v>
      </c>
      <c r="C47" s="8" t="s">
        <v>47</v>
      </c>
      <c r="D47" s="8" t="s">
        <v>647</v>
      </c>
      <c r="E47" s="9">
        <v>30.51</v>
      </c>
      <c r="F47" s="8" t="s">
        <v>16</v>
      </c>
      <c r="G47" s="143">
        <f t="array" ref="G47">INDEX('[23]SENSUS MEI'!$G$9:$G$453,MATCH(1,('[23]SENSUS MEI'!$D$9:$D$453=$D47)*('[23]SENSUS MEI'!$D$9:$D$453=$D47),0))</f>
        <v>4510</v>
      </c>
      <c r="H47" s="132">
        <f t="shared" si="8"/>
        <v>46242</v>
      </c>
      <c r="I47" s="140">
        <f t="shared" si="8"/>
        <v>102</v>
      </c>
      <c r="J47" s="9">
        <f t="shared" si="1"/>
        <v>2.2616407982261642</v>
      </c>
      <c r="K47" s="140">
        <f t="shared" si="2"/>
        <v>5</v>
      </c>
      <c r="L47" s="206">
        <f t="shared" si="3"/>
        <v>4.9019607843137258</v>
      </c>
      <c r="M47" s="8" t="str">
        <f t="array" ref="M47">IF(L47&gt;5,"Perlu Sensus",IF(AND(L47&gt;=0,I47&gt;0),"Tetap Deteksi","Belum Deteksi"))</f>
        <v>Tetap Deteksi</v>
      </c>
      <c r="N47" s="132">
        <v>46242</v>
      </c>
      <c r="O47" s="203">
        <v>102</v>
      </c>
      <c r="P47" s="9">
        <f t="array" ref="P47">IFERROR(O47/G47*100,0)</f>
        <v>2.2616407982261642</v>
      </c>
      <c r="Q47" s="203">
        <v>5</v>
      </c>
      <c r="R47" s="9">
        <f t="shared" si="4"/>
        <v>4.9019607843137258</v>
      </c>
      <c r="S47" s="8" t="str">
        <f t="array" ref="S47">IF(R47&gt;5,"Perlu Sensus",IF(AND(R47&gt;=0,O47&gt;0),"Tetap Deteksi","Belum Deteksi"))</f>
        <v>Tetap Deteksi</v>
      </c>
      <c r="T47" s="203">
        <v>12</v>
      </c>
      <c r="U47" s="9">
        <f t="shared" si="6"/>
        <v>11.76470588235294</v>
      </c>
      <c r="V47" s="132">
        <v>46244</v>
      </c>
      <c r="W47" s="203">
        <v>204</v>
      </c>
      <c r="X47" s="203">
        <v>10</v>
      </c>
      <c r="Y47" s="9">
        <f t="shared" si="5"/>
        <v>4.9019607843137258</v>
      </c>
      <c r="Z47" s="8" t="str">
        <f t="array" ref="Z47">IF(Y47&gt;5,"Perlu Sensus",IF(AND(Y47&gt;0,,O47&gt;0),"Tetap Deteksi","Belum Deteksi"))</f>
        <v>Belum Deteksi</v>
      </c>
      <c r="AA47" s="203">
        <v>35</v>
      </c>
      <c r="AB47" s="9">
        <f t="shared" si="7"/>
        <v>17.156862745098039</v>
      </c>
    </row>
    <row r="48" spans="1:28" outlineLevel="1" x14ac:dyDescent="0.15">
      <c r="A48" s="8" t="s">
        <v>628</v>
      </c>
      <c r="B48" s="8" t="s">
        <v>14</v>
      </c>
      <c r="C48" s="8" t="s">
        <v>47</v>
      </c>
      <c r="D48" s="8" t="s">
        <v>648</v>
      </c>
      <c r="E48" s="9">
        <v>22.17</v>
      </c>
      <c r="F48" s="8" t="s">
        <v>16</v>
      </c>
      <c r="G48" s="143">
        <f t="array" ref="G48">INDEX('[23]SENSUS MEI'!$G$9:$G$453,MATCH(1,('[23]SENSUS MEI'!$D$9:$D$453=$D48)*('[23]SENSUS MEI'!$D$9:$D$453=$D48),0))</f>
        <v>3225</v>
      </c>
      <c r="H48" s="132">
        <f t="shared" si="8"/>
        <v>46242</v>
      </c>
      <c r="I48" s="140">
        <f t="shared" si="8"/>
        <v>110</v>
      </c>
      <c r="J48" s="9">
        <f t="shared" si="1"/>
        <v>3.4108527131782944</v>
      </c>
      <c r="K48" s="140">
        <f t="shared" si="2"/>
        <v>5</v>
      </c>
      <c r="L48" s="206">
        <f t="shared" si="3"/>
        <v>4.5454545454545459</v>
      </c>
      <c r="M48" s="8" t="str">
        <f t="array" ref="M48">IF(L48&gt;5,"Perlu Sensus",IF(AND(L48&gt;=0,I48&gt;0),"Tetap Deteksi","Belum Deteksi"))</f>
        <v>Tetap Deteksi</v>
      </c>
      <c r="N48" s="132">
        <v>46242</v>
      </c>
      <c r="O48" s="203">
        <v>110</v>
      </c>
      <c r="P48" s="9">
        <f t="array" ref="P48">IFERROR(O48/G48*100,0)</f>
        <v>3.4108527131782944</v>
      </c>
      <c r="Q48" s="203">
        <v>5</v>
      </c>
      <c r="R48" s="9">
        <f t="shared" si="4"/>
        <v>4.5454545454545459</v>
      </c>
      <c r="S48" s="8" t="str">
        <f t="array" ref="S48">IF(R48&gt;5,"Perlu Sensus",IF(AND(R48&gt;=0,O48&gt;0),"Tetap Deteksi","Belum Deteksi"))</f>
        <v>Tetap Deteksi</v>
      </c>
      <c r="T48" s="203">
        <v>13</v>
      </c>
      <c r="U48" s="9">
        <f t="shared" si="6"/>
        <v>11.818181818181818</v>
      </c>
      <c r="V48" s="132">
        <v>46244</v>
      </c>
      <c r="W48" s="203">
        <v>226</v>
      </c>
      <c r="X48" s="203">
        <v>10</v>
      </c>
      <c r="Y48" s="9">
        <f t="shared" si="5"/>
        <v>4.4247787610619467</v>
      </c>
      <c r="Z48" s="8" t="str">
        <f t="array" ref="Z48">IF(Y48&gt;5,"Perlu Sensus",IF(AND(Y48&gt;0,,O48&gt;0),"Tetap Deteksi","Belum Deteksi"))</f>
        <v>Belum Deteksi</v>
      </c>
      <c r="AA48" s="203">
        <v>38</v>
      </c>
      <c r="AB48" s="9">
        <f t="shared" si="7"/>
        <v>16.814159292035399</v>
      </c>
    </row>
    <row r="49" spans="1:28" outlineLevel="1" x14ac:dyDescent="0.15">
      <c r="A49" s="8" t="s">
        <v>628</v>
      </c>
      <c r="B49" s="8" t="s">
        <v>14</v>
      </c>
      <c r="C49" s="8" t="s">
        <v>47</v>
      </c>
      <c r="D49" s="8" t="s">
        <v>649</v>
      </c>
      <c r="E49" s="9">
        <v>8.67</v>
      </c>
      <c r="F49" s="8" t="s">
        <v>16</v>
      </c>
      <c r="G49" s="143">
        <f t="array" ref="G49">INDEX('[23]SENSUS MEI'!$G$9:$G$453,MATCH(1,('[23]SENSUS MEI'!$D$9:$D$453=$D49)*('[23]SENSUS MEI'!$D$9:$D$453=$D49),0))</f>
        <v>1385</v>
      </c>
      <c r="H49" s="132">
        <f t="shared" si="8"/>
        <v>46244</v>
      </c>
      <c r="I49" s="140">
        <f t="shared" si="8"/>
        <v>114</v>
      </c>
      <c r="J49" s="9">
        <f t="shared" si="1"/>
        <v>8.231046931407942</v>
      </c>
      <c r="K49" s="140">
        <f t="shared" si="2"/>
        <v>4</v>
      </c>
      <c r="L49" s="206">
        <f t="shared" si="3"/>
        <v>3.5087719298245612</v>
      </c>
      <c r="M49" s="8" t="str">
        <f t="array" ref="M49">IF(L49&gt;5,"Perlu Sensus",IF(AND(L49&gt;=0,I49&gt;0),"Tetap Deteksi","Belum Deteksi"))</f>
        <v>Tetap Deteksi</v>
      </c>
      <c r="N49" s="132">
        <v>46244</v>
      </c>
      <c r="O49" s="203">
        <v>114</v>
      </c>
      <c r="P49" s="9">
        <f t="array" ref="P49">IFERROR(O49/G49*100,0)</f>
        <v>8.231046931407942</v>
      </c>
      <c r="Q49" s="203">
        <v>4</v>
      </c>
      <c r="R49" s="9">
        <f t="shared" si="4"/>
        <v>3.5087719298245612</v>
      </c>
      <c r="S49" s="8" t="str">
        <f t="array" ref="S49">IF(R49&gt;5,"Perlu Sensus",IF(AND(R49&gt;=0,O49&gt;0),"Tetap Deteksi","Belum Deteksi"))</f>
        <v>Tetap Deteksi</v>
      </c>
      <c r="T49" s="203">
        <v>33</v>
      </c>
      <c r="U49" s="9">
        <f t="shared" si="6"/>
        <v>28.947368421052634</v>
      </c>
      <c r="V49" s="132">
        <v>46245</v>
      </c>
      <c r="W49" s="203">
        <v>212</v>
      </c>
      <c r="X49" s="203">
        <v>17</v>
      </c>
      <c r="Y49" s="9">
        <f t="shared" si="5"/>
        <v>8.0188679245283012</v>
      </c>
      <c r="Z49" s="8" t="str">
        <f t="array" ref="Z49">IF(Y49&gt;5,"Perlu Sensus",IF(AND(Y49&gt;0,,O49&gt;0),"Tetap Deteksi","Belum Deteksi"))</f>
        <v>Perlu Sensus</v>
      </c>
      <c r="AA49" s="203">
        <v>39</v>
      </c>
      <c r="AB49" s="9">
        <f t="shared" si="7"/>
        <v>18.39622641509434</v>
      </c>
    </row>
    <row r="50" spans="1:28" outlineLevel="1" x14ac:dyDescent="0.15">
      <c r="A50" s="8" t="s">
        <v>628</v>
      </c>
      <c r="B50" s="8" t="s">
        <v>14</v>
      </c>
      <c r="C50" s="8" t="s">
        <v>47</v>
      </c>
      <c r="D50" s="8" t="s">
        <v>650</v>
      </c>
      <c r="E50" s="9">
        <v>27.87</v>
      </c>
      <c r="F50" s="8" t="s">
        <v>16</v>
      </c>
      <c r="G50" s="143">
        <f t="array" ref="G50">INDEX('[23]SENSUS MEI'!$G$9:$G$453,MATCH(1,('[23]SENSUS MEI'!$D$9:$D$453=$D50)*('[23]SENSUS MEI'!$D$9:$D$453=$D50),0))</f>
        <v>4292</v>
      </c>
      <c r="H50" s="132">
        <f t="shared" si="8"/>
        <v>46244</v>
      </c>
      <c r="I50" s="140">
        <f t="shared" si="8"/>
        <v>122</v>
      </c>
      <c r="J50" s="9">
        <f t="shared" si="1"/>
        <v>2.8424976700838771</v>
      </c>
      <c r="K50" s="140">
        <f t="shared" si="2"/>
        <v>7</v>
      </c>
      <c r="L50" s="206">
        <f t="shared" si="3"/>
        <v>5.7377049180327866</v>
      </c>
      <c r="M50" s="8" t="str">
        <f t="array" ref="M50">IF(L50&gt;5,"Perlu Sensus",IF(AND(L50&gt;=0,I50&gt;0),"Tetap Deteksi","Belum Deteksi"))</f>
        <v>Perlu Sensus</v>
      </c>
      <c r="N50" s="132">
        <v>46244</v>
      </c>
      <c r="O50" s="203">
        <v>122</v>
      </c>
      <c r="P50" s="9">
        <f t="array" ref="P50">IFERROR(O50/G50*100,0)</f>
        <v>2.8424976700838771</v>
      </c>
      <c r="Q50" s="203">
        <v>7</v>
      </c>
      <c r="R50" s="9">
        <f t="shared" si="4"/>
        <v>5.7377049180327866</v>
      </c>
      <c r="S50" s="8" t="str">
        <f t="array" ref="S50">IF(R50&gt;5,"Perlu Sensus",IF(AND(R50&gt;=0,O50&gt;0),"Tetap Deteksi","Belum Deteksi"))</f>
        <v>Perlu Sensus</v>
      </c>
      <c r="T50" s="203">
        <v>20</v>
      </c>
      <c r="U50" s="9">
        <f t="shared" si="6"/>
        <v>16.393442622950818</v>
      </c>
      <c r="V50" s="132">
        <v>46245</v>
      </c>
      <c r="W50" s="203">
        <v>244</v>
      </c>
      <c r="X50" s="203">
        <v>13</v>
      </c>
      <c r="Y50" s="9">
        <f t="shared" si="5"/>
        <v>5.3278688524590159</v>
      </c>
      <c r="Z50" s="8" t="str">
        <f t="array" ref="Z50">IF(Y50&gt;5,"Perlu Sensus",IF(AND(Y50&gt;0,,O50&gt;0),"Tetap Deteksi","Belum Deteksi"))</f>
        <v>Perlu Sensus</v>
      </c>
      <c r="AA50" s="203">
        <v>35</v>
      </c>
      <c r="AB50" s="9">
        <f t="shared" si="7"/>
        <v>14.344262295081966</v>
      </c>
    </row>
    <row r="51" spans="1:28" outlineLevel="1" x14ac:dyDescent="0.15">
      <c r="A51" s="8" t="s">
        <v>628</v>
      </c>
      <c r="B51" s="8" t="s">
        <v>14</v>
      </c>
      <c r="C51" s="8" t="s">
        <v>47</v>
      </c>
      <c r="D51" s="8" t="s">
        <v>651</v>
      </c>
      <c r="E51" s="9">
        <v>29.67</v>
      </c>
      <c r="F51" s="8" t="s">
        <v>16</v>
      </c>
      <c r="G51" s="143">
        <f t="array" ref="G51">INDEX('[23]SENSUS MEI'!$G$9:$G$453,MATCH(1,('[23]SENSUS MEI'!$D$9:$D$453=$D51)*('[23]SENSUS MEI'!$D$9:$D$453=$D51),0))</f>
        <v>4609</v>
      </c>
      <c r="H51" s="132">
        <f t="shared" si="8"/>
        <v>46245</v>
      </c>
      <c r="I51" s="140">
        <f t="shared" si="8"/>
        <v>118</v>
      </c>
      <c r="J51" s="9">
        <f t="shared" si="1"/>
        <v>2.5602082881319159</v>
      </c>
      <c r="K51" s="140">
        <f t="shared" si="2"/>
        <v>9</v>
      </c>
      <c r="L51" s="206">
        <f t="shared" si="3"/>
        <v>7.6271186440677967</v>
      </c>
      <c r="M51" s="8" t="str">
        <f t="array" ref="M51">IF(L51&gt;5,"Perlu Sensus",IF(AND(L51&gt;=0,I51&gt;0),"Tetap Deteksi","Belum Deteksi"))</f>
        <v>Perlu Sensus</v>
      </c>
      <c r="N51" s="132">
        <v>46245</v>
      </c>
      <c r="O51" s="203">
        <v>118</v>
      </c>
      <c r="P51" s="9">
        <f t="array" ref="P51">IFERROR(O51/G51*100,0)</f>
        <v>2.5602082881319159</v>
      </c>
      <c r="Q51" s="203">
        <v>9</v>
      </c>
      <c r="R51" s="9">
        <f t="shared" si="4"/>
        <v>7.6271186440677967</v>
      </c>
      <c r="S51" s="8" t="str">
        <f t="array" ref="S51">IF(R51&gt;5,"Perlu Sensus",IF(AND(R51&gt;=0,O51&gt;0),"Tetap Deteksi","Belum Deteksi"))</f>
        <v>Perlu Sensus</v>
      </c>
      <c r="T51" s="203">
        <v>18</v>
      </c>
      <c r="U51" s="9">
        <f t="shared" si="6"/>
        <v>15.254237288135593</v>
      </c>
      <c r="V51" s="132">
        <v>46246</v>
      </c>
      <c r="W51" s="203">
        <v>236</v>
      </c>
      <c r="X51" s="203">
        <v>16</v>
      </c>
      <c r="Y51" s="9">
        <f t="shared" si="5"/>
        <v>6.7796610169491522</v>
      </c>
      <c r="Z51" s="8" t="str">
        <f t="array" ref="Z51">IF(Y51&gt;5,"Perlu Sensus",IF(AND(Y51&gt;0,,O51&gt;0),"Tetap Deteksi","Belum Deteksi"))</f>
        <v>Perlu Sensus</v>
      </c>
      <c r="AA51" s="203">
        <v>39</v>
      </c>
      <c r="AB51" s="9">
        <f t="shared" si="7"/>
        <v>16.525423728813561</v>
      </c>
    </row>
    <row r="52" spans="1:28" outlineLevel="1" x14ac:dyDescent="0.15">
      <c r="A52" s="8" t="s">
        <v>628</v>
      </c>
      <c r="B52" s="8" t="s">
        <v>14</v>
      </c>
      <c r="C52" s="8" t="s">
        <v>47</v>
      </c>
      <c r="D52" s="8" t="s">
        <v>652</v>
      </c>
      <c r="E52" s="9">
        <v>39.340000000000003</v>
      </c>
      <c r="F52" s="8" t="s">
        <v>16</v>
      </c>
      <c r="G52" s="143">
        <f t="array" ref="G52">INDEX('[23]SENSUS MEI'!$G$9:$G$453,MATCH(1,('[23]SENSUS MEI'!$D$9:$D$453=$D52)*('[23]SENSUS MEI'!$D$9:$D$453=$D52),0))</f>
        <v>5934</v>
      </c>
      <c r="H52" s="132">
        <f t="shared" si="8"/>
        <v>46245</v>
      </c>
      <c r="I52" s="140">
        <f t="shared" si="8"/>
        <v>120</v>
      </c>
      <c r="J52" s="9">
        <f t="shared" si="1"/>
        <v>2.0222446916076846</v>
      </c>
      <c r="K52" s="140">
        <f t="shared" si="2"/>
        <v>8</v>
      </c>
      <c r="L52" s="206">
        <f t="shared" si="3"/>
        <v>6.666666666666667</v>
      </c>
      <c r="M52" s="8" t="str">
        <f t="array" ref="M52">IF(L52&gt;5,"Perlu Sensus",IF(AND(L52&gt;=0,I52&gt;0),"Tetap Deteksi","Belum Deteksi"))</f>
        <v>Perlu Sensus</v>
      </c>
      <c r="N52" s="132">
        <v>46245</v>
      </c>
      <c r="O52" s="203">
        <v>120</v>
      </c>
      <c r="P52" s="9">
        <f t="array" ref="P52">IFERROR(O52/G52*100,0)</f>
        <v>2.0222446916076846</v>
      </c>
      <c r="Q52" s="203">
        <v>8</v>
      </c>
      <c r="R52" s="9">
        <f t="shared" si="4"/>
        <v>6.666666666666667</v>
      </c>
      <c r="S52" s="8" t="str">
        <f t="array" ref="S52">IF(R52&gt;5,"Perlu Sensus",IF(AND(R52&gt;=0,O52&gt;0),"Tetap Deteksi","Belum Deteksi"))</f>
        <v>Perlu Sensus</v>
      </c>
      <c r="T52" s="203">
        <v>31</v>
      </c>
      <c r="U52" s="9">
        <f t="shared" si="6"/>
        <v>25.833333333333336</v>
      </c>
      <c r="V52" s="132">
        <v>46246</v>
      </c>
      <c r="W52" s="203">
        <v>240</v>
      </c>
      <c r="X52" s="203">
        <v>18</v>
      </c>
      <c r="Y52" s="9">
        <f t="shared" si="5"/>
        <v>7.5</v>
      </c>
      <c r="Z52" s="8" t="str">
        <f t="array" ref="Z52">IF(Y52&gt;5,"Perlu Sensus",IF(AND(Y52&gt;0,,O52&gt;0),"Tetap Deteksi","Belum Deteksi"))</f>
        <v>Perlu Sensus</v>
      </c>
      <c r="AA52" s="203">
        <v>44</v>
      </c>
      <c r="AB52" s="9">
        <f t="shared" si="7"/>
        <v>18.333333333333332</v>
      </c>
    </row>
    <row r="53" spans="1:28" outlineLevel="1" x14ac:dyDescent="0.15">
      <c r="A53" s="8" t="s">
        <v>628</v>
      </c>
      <c r="B53" s="8" t="s">
        <v>14</v>
      </c>
      <c r="C53" s="8" t="s">
        <v>47</v>
      </c>
      <c r="D53" s="8" t="s">
        <v>653</v>
      </c>
      <c r="E53" s="9">
        <v>42.19</v>
      </c>
      <c r="F53" s="8" t="s">
        <v>16</v>
      </c>
      <c r="G53" s="143">
        <f t="array" ref="G53">INDEX('[23]SENSUS MEI'!$G$9:$G$453,MATCH(1,('[23]SENSUS MEI'!$D$9:$D$453=$D53)*('[23]SENSUS MEI'!$D$9:$D$453=$D53),0))</f>
        <v>5698</v>
      </c>
      <c r="H53" s="132">
        <f t="shared" si="8"/>
        <v>46246</v>
      </c>
      <c r="I53" s="140">
        <f t="shared" si="8"/>
        <v>122</v>
      </c>
      <c r="J53" s="9">
        <f t="shared" si="1"/>
        <v>2.1411021411021411</v>
      </c>
      <c r="K53" s="140">
        <f t="shared" si="2"/>
        <v>12</v>
      </c>
      <c r="L53" s="206">
        <f t="shared" si="3"/>
        <v>9.8360655737704921</v>
      </c>
      <c r="M53" s="8" t="str">
        <f t="array" ref="M53">IF(L53&gt;5,"Perlu Sensus",IF(AND(L53&gt;=0,I53&gt;0),"Tetap Deteksi","Belum Deteksi"))</f>
        <v>Perlu Sensus</v>
      </c>
      <c r="N53" s="132">
        <v>46246</v>
      </c>
      <c r="O53" s="203">
        <v>122</v>
      </c>
      <c r="P53" s="9">
        <f t="array" ref="P53">IFERROR(O53/G53*100,0)</f>
        <v>2.1411021411021411</v>
      </c>
      <c r="Q53" s="203">
        <v>12</v>
      </c>
      <c r="R53" s="9">
        <f t="shared" si="4"/>
        <v>9.8360655737704921</v>
      </c>
      <c r="S53" s="8" t="str">
        <f t="array" ref="S53">IF(R53&gt;5,"Perlu Sensus",IF(AND(R53&gt;=0,O53&gt;0),"Tetap Deteksi","Belum Deteksi"))</f>
        <v>Perlu Sensus</v>
      </c>
      <c r="T53" s="203">
        <v>20</v>
      </c>
      <c r="U53" s="9">
        <f t="shared" si="6"/>
        <v>16.393442622950818</v>
      </c>
      <c r="V53" s="132">
        <v>46247</v>
      </c>
      <c r="W53" s="203">
        <v>244</v>
      </c>
      <c r="X53" s="203">
        <v>30</v>
      </c>
      <c r="Y53" s="9">
        <f t="shared" si="5"/>
        <v>12.295081967213115</v>
      </c>
      <c r="Z53" s="8" t="str">
        <f t="array" ref="Z53">IF(Y53&gt;5,"Perlu Sensus",IF(AND(Y53&gt;0,,O53&gt;0),"Tetap Deteksi","Belum Deteksi"))</f>
        <v>Perlu Sensus</v>
      </c>
      <c r="AA53" s="203">
        <v>55</v>
      </c>
      <c r="AB53" s="9">
        <f t="shared" si="7"/>
        <v>22.540983606557376</v>
      </c>
    </row>
    <row r="54" spans="1:28" outlineLevel="1" x14ac:dyDescent="0.15">
      <c r="A54" s="8" t="s">
        <v>628</v>
      </c>
      <c r="B54" s="8" t="s">
        <v>14</v>
      </c>
      <c r="C54" s="8" t="s">
        <v>47</v>
      </c>
      <c r="D54" s="8" t="s">
        <v>654</v>
      </c>
      <c r="E54" s="9">
        <v>42.58</v>
      </c>
      <c r="F54" s="8" t="s">
        <v>16</v>
      </c>
      <c r="G54" s="143">
        <f t="array" ref="G54">INDEX('[23]SENSUS MEI'!$G$9:$G$453,MATCH(1,('[23]SENSUS MEI'!$D$9:$D$453=$D54)*('[23]SENSUS MEI'!$D$9:$D$453=$D54),0))</f>
        <v>5060</v>
      </c>
      <c r="H54" s="132">
        <f t="shared" si="8"/>
        <v>46247</v>
      </c>
      <c r="I54" s="140">
        <f t="shared" si="8"/>
        <v>118</v>
      </c>
      <c r="J54" s="9">
        <f t="shared" si="1"/>
        <v>2.3320158102766797</v>
      </c>
      <c r="K54" s="140">
        <f t="shared" si="2"/>
        <v>10</v>
      </c>
      <c r="L54" s="206">
        <f t="shared" si="3"/>
        <v>8.4745762711864394</v>
      </c>
      <c r="M54" s="8" t="str">
        <f t="array" ref="M54">IF(L54&gt;5,"Perlu Sensus",IF(AND(L54&gt;=0,I54&gt;0),"Tetap Deteksi","Belum Deteksi"))</f>
        <v>Perlu Sensus</v>
      </c>
      <c r="N54" s="132">
        <v>46247</v>
      </c>
      <c r="O54" s="203">
        <v>118</v>
      </c>
      <c r="P54" s="9">
        <f t="array" ref="P54">IFERROR(O54/G54*100,0)</f>
        <v>2.3320158102766797</v>
      </c>
      <c r="Q54" s="203">
        <v>10</v>
      </c>
      <c r="R54" s="9">
        <f t="shared" si="4"/>
        <v>8.4745762711864394</v>
      </c>
      <c r="S54" s="8" t="str">
        <f t="array" ref="S54">IF(R54&gt;5,"Perlu Sensus",IF(AND(R54&gt;=0,O54&gt;0),"Tetap Deteksi","Belum Deteksi"))</f>
        <v>Perlu Sensus</v>
      </c>
      <c r="T54" s="203">
        <v>23</v>
      </c>
      <c r="U54" s="9">
        <f t="shared" si="6"/>
        <v>19.491525423728813</v>
      </c>
      <c r="V54" s="132">
        <v>46248</v>
      </c>
      <c r="W54" s="203">
        <v>236</v>
      </c>
      <c r="X54" s="203">
        <v>22</v>
      </c>
      <c r="Y54" s="9">
        <f t="shared" si="5"/>
        <v>9.3220338983050848</v>
      </c>
      <c r="Z54" s="8" t="str">
        <f t="array" ref="Z54">IF(Y54&gt;5,"Perlu Sensus",IF(AND(Y54&gt;0,,O54&gt;0),"Tetap Deteksi","Belum Deteksi"))</f>
        <v>Perlu Sensus</v>
      </c>
      <c r="AA54" s="203">
        <v>43</v>
      </c>
      <c r="AB54" s="9">
        <f t="shared" si="7"/>
        <v>18.220338983050848</v>
      </c>
    </row>
    <row r="55" spans="1:28" outlineLevel="1" x14ac:dyDescent="0.15">
      <c r="A55" s="8" t="s">
        <v>628</v>
      </c>
      <c r="B55" s="8" t="s">
        <v>14</v>
      </c>
      <c r="C55" s="8" t="s">
        <v>47</v>
      </c>
      <c r="D55" s="8" t="s">
        <v>655</v>
      </c>
      <c r="E55" s="9">
        <v>33.72</v>
      </c>
      <c r="F55" s="8" t="s">
        <v>16</v>
      </c>
      <c r="G55" s="143">
        <f t="array" ref="G55">INDEX('[23]SENSUS MEI'!$G$9:$G$453,MATCH(1,('[23]SENSUS MEI'!$D$9:$D$453=$D55)*('[23]SENSUS MEI'!$D$9:$D$453=$D55),0))</f>
        <v>4625</v>
      </c>
      <c r="H55" s="132">
        <f t="shared" si="8"/>
        <v>46247</v>
      </c>
      <c r="I55" s="140">
        <f t="shared" si="8"/>
        <v>119</v>
      </c>
      <c r="J55" s="9">
        <f t="shared" si="1"/>
        <v>2.5729729729729733</v>
      </c>
      <c r="K55" s="140">
        <f t="shared" si="2"/>
        <v>4</v>
      </c>
      <c r="L55" s="206">
        <f t="shared" si="3"/>
        <v>3.3613445378151261</v>
      </c>
      <c r="M55" s="8" t="str">
        <f t="array" ref="M55">IF(L55&gt;5,"Perlu Sensus",IF(AND(L55&gt;=0,I55&gt;0),"Tetap Deteksi","Belum Deteksi"))</f>
        <v>Tetap Deteksi</v>
      </c>
      <c r="N55" s="132">
        <v>46247</v>
      </c>
      <c r="O55" s="203">
        <v>119</v>
      </c>
      <c r="P55" s="9">
        <f t="array" ref="P55">IFERROR(O55/G55*100,0)</f>
        <v>2.5729729729729733</v>
      </c>
      <c r="Q55" s="203">
        <v>4</v>
      </c>
      <c r="R55" s="9">
        <f t="shared" si="4"/>
        <v>3.3613445378151261</v>
      </c>
      <c r="S55" s="8" t="str">
        <f t="array" ref="S55">IF(R55&gt;5,"Perlu Sensus",IF(AND(R55&gt;=0,O55&gt;0),"Tetap Deteksi","Belum Deteksi"))</f>
        <v>Tetap Deteksi</v>
      </c>
      <c r="T55" s="203">
        <v>26</v>
      </c>
      <c r="U55" s="9">
        <f t="shared" si="6"/>
        <v>21.84873949579832</v>
      </c>
      <c r="V55" s="132">
        <v>46248</v>
      </c>
      <c r="W55" s="203">
        <v>238</v>
      </c>
      <c r="X55" s="203">
        <v>11</v>
      </c>
      <c r="Y55" s="9">
        <f t="shared" si="5"/>
        <v>4.6218487394957988</v>
      </c>
      <c r="Z55" s="8" t="str">
        <f t="array" ref="Z55">IF(Y55&gt;5,"Perlu Sensus",IF(AND(Y55&gt;0,,O55&gt;0),"Tetap Deteksi","Belum Deteksi"))</f>
        <v>Belum Deteksi</v>
      </c>
      <c r="AA55" s="203">
        <v>33</v>
      </c>
      <c r="AB55" s="9">
        <f t="shared" si="7"/>
        <v>13.865546218487395</v>
      </c>
    </row>
    <row r="56" spans="1:28" outlineLevel="1" x14ac:dyDescent="0.15">
      <c r="A56" s="8" t="s">
        <v>628</v>
      </c>
      <c r="B56" s="8" t="s">
        <v>14</v>
      </c>
      <c r="C56" s="8" t="s">
        <v>47</v>
      </c>
      <c r="D56" s="8" t="s">
        <v>143</v>
      </c>
      <c r="E56" s="9">
        <v>10.4</v>
      </c>
      <c r="F56" s="8" t="s">
        <v>16</v>
      </c>
      <c r="G56" s="143">
        <f t="array" ref="G56">INDEX('[23]SENSUS MEI'!$G$9:$G$453,MATCH(1,('[23]SENSUS MEI'!$D$9:$D$453=$D56)*('[23]SENSUS MEI'!$D$9:$D$453=$D56),0))</f>
        <v>1530</v>
      </c>
      <c r="H56" s="132">
        <f t="shared" si="8"/>
        <v>46238</v>
      </c>
      <c r="I56" s="140">
        <f t="shared" si="8"/>
        <v>115</v>
      </c>
      <c r="J56" s="9">
        <f t="shared" si="1"/>
        <v>7.5163398692810457</v>
      </c>
      <c r="K56" s="140">
        <f t="shared" si="2"/>
        <v>9</v>
      </c>
      <c r="L56" s="206">
        <f t="shared" si="3"/>
        <v>7.8260869565217401</v>
      </c>
      <c r="M56" s="8" t="str">
        <f t="array" ref="M56">IF(L56&gt;5,"Perlu Sensus",IF(AND(L56&gt;=0,I56&gt;0),"Tetap Deteksi","Belum Deteksi"))</f>
        <v>Perlu Sensus</v>
      </c>
      <c r="N56" s="132">
        <v>46238</v>
      </c>
      <c r="O56" s="203">
        <v>115</v>
      </c>
      <c r="P56" s="9">
        <f t="array" ref="P56">IFERROR(O56/G56*100,0)</f>
        <v>7.5163398692810457</v>
      </c>
      <c r="Q56" s="203">
        <v>9</v>
      </c>
      <c r="R56" s="9">
        <f t="shared" si="4"/>
        <v>7.8260869565217401</v>
      </c>
      <c r="S56" s="8" t="str">
        <f t="array" ref="S56">IF(R56&gt;5,"Perlu Sensus",IF(AND(R56&gt;=0,O56&gt;0),"Tetap Deteksi","Belum Deteksi"))</f>
        <v>Perlu Sensus</v>
      </c>
      <c r="T56" s="203">
        <v>23</v>
      </c>
      <c r="U56" s="9">
        <f t="shared" si="6"/>
        <v>20</v>
      </c>
      <c r="V56" s="132">
        <v>46239</v>
      </c>
      <c r="W56" s="203">
        <v>230</v>
      </c>
      <c r="X56" s="203">
        <v>16</v>
      </c>
      <c r="Y56" s="9">
        <f t="shared" si="5"/>
        <v>6.9565217391304346</v>
      </c>
      <c r="Z56" s="8" t="str">
        <f t="array" ref="Z56">IF(Y56&gt;5,"Perlu Sensus",IF(AND(Y56&gt;0,,O56&gt;0),"Tetap Deteksi","Belum Deteksi"))</f>
        <v>Perlu Sensus</v>
      </c>
      <c r="AA56" s="203">
        <v>39</v>
      </c>
      <c r="AB56" s="9">
        <f t="shared" si="7"/>
        <v>16.956521739130434</v>
      </c>
    </row>
    <row r="57" spans="1:28" outlineLevel="1" x14ac:dyDescent="0.15">
      <c r="A57" s="8" t="s">
        <v>628</v>
      </c>
      <c r="B57" s="8" t="s">
        <v>14</v>
      </c>
      <c r="C57" s="8" t="s">
        <v>47</v>
      </c>
      <c r="D57" s="8" t="s">
        <v>368</v>
      </c>
      <c r="E57" s="9">
        <v>16.61</v>
      </c>
      <c r="F57" s="8" t="s">
        <v>16</v>
      </c>
      <c r="G57" s="143">
        <f t="array" ref="G57">INDEX('[23]SENSUS MEI'!$G$9:$G$453,MATCH(1,('[23]SENSUS MEI'!$D$9:$D$453=$D57)*('[23]SENSUS MEI'!$D$9:$D$453=$D57),0))</f>
        <v>2264</v>
      </c>
      <c r="H57" s="132">
        <f t="shared" si="8"/>
        <v>46238</v>
      </c>
      <c r="I57" s="140">
        <f t="shared" si="8"/>
        <v>117</v>
      </c>
      <c r="J57" s="9">
        <f t="shared" si="1"/>
        <v>5.1678445229681982</v>
      </c>
      <c r="K57" s="140">
        <f t="shared" si="2"/>
        <v>11</v>
      </c>
      <c r="L57" s="206">
        <f t="shared" si="3"/>
        <v>9.4017094017094021</v>
      </c>
      <c r="M57" s="8" t="str">
        <f t="array" ref="M57">IF(L57&gt;5,"Perlu Sensus",IF(AND(L57&gt;=0,I57&gt;0),"Tetap Deteksi","Belum Deteksi"))</f>
        <v>Perlu Sensus</v>
      </c>
      <c r="N57" s="132">
        <v>46238</v>
      </c>
      <c r="O57" s="203">
        <v>117</v>
      </c>
      <c r="P57" s="9">
        <f t="array" ref="P57">IFERROR(O57/G57*100,0)</f>
        <v>5.1678445229681982</v>
      </c>
      <c r="Q57" s="203">
        <v>11</v>
      </c>
      <c r="R57" s="9">
        <f t="shared" si="4"/>
        <v>9.4017094017094021</v>
      </c>
      <c r="S57" s="8" t="str">
        <f t="array" ref="S57">IF(R57&gt;5,"Perlu Sensus",IF(AND(R57&gt;=0,O57&gt;0),"Tetap Deteksi","Belum Deteksi"))</f>
        <v>Perlu Sensus</v>
      </c>
      <c r="T57" s="203">
        <v>24</v>
      </c>
      <c r="U57" s="9">
        <f t="shared" si="6"/>
        <v>20.512820512820511</v>
      </c>
      <c r="V57" s="132">
        <v>46239</v>
      </c>
      <c r="W57" s="203">
        <v>234</v>
      </c>
      <c r="X57" s="203">
        <v>14</v>
      </c>
      <c r="Y57" s="9">
        <f t="shared" si="5"/>
        <v>5.982905982905983</v>
      </c>
      <c r="Z57" s="8" t="str">
        <f t="array" ref="Z57">IF(Y57&gt;5,"Perlu Sensus",IF(AND(Y57&gt;0,,O57&gt;0),"Tetap Deteksi","Belum Deteksi"))</f>
        <v>Perlu Sensus</v>
      </c>
      <c r="AA57" s="203">
        <v>47</v>
      </c>
      <c r="AB57" s="9">
        <f t="shared" si="7"/>
        <v>20.085470085470085</v>
      </c>
    </row>
    <row r="58" spans="1:28" outlineLevel="1" x14ac:dyDescent="0.15">
      <c r="A58" s="8" t="s">
        <v>628</v>
      </c>
      <c r="B58" s="8" t="s">
        <v>14</v>
      </c>
      <c r="C58" s="8" t="s">
        <v>47</v>
      </c>
      <c r="D58" s="8" t="s">
        <v>369</v>
      </c>
      <c r="E58" s="9">
        <v>13.13</v>
      </c>
      <c r="F58" s="8" t="s">
        <v>16</v>
      </c>
      <c r="G58" s="143">
        <f t="array" ref="G58">INDEX('[23]SENSUS MEI'!$G$9:$G$453,MATCH(1,('[23]SENSUS MEI'!$D$9:$D$453=$D58)*('[23]SENSUS MEI'!$D$9:$D$453=$D58),0))</f>
        <v>1761</v>
      </c>
      <c r="H58" s="132">
        <f t="shared" si="8"/>
        <v>46238</v>
      </c>
      <c r="I58" s="140">
        <f t="shared" si="8"/>
        <v>116</v>
      </c>
      <c r="J58" s="9">
        <f t="shared" si="1"/>
        <v>6.587166382737081</v>
      </c>
      <c r="K58" s="140">
        <f t="shared" si="2"/>
        <v>10</v>
      </c>
      <c r="L58" s="206">
        <f t="shared" si="3"/>
        <v>8.6206896551724146</v>
      </c>
      <c r="M58" s="8" t="str">
        <f t="array" ref="M58">IF(L58&gt;5,"Perlu Sensus",IF(AND(L58&gt;=0,I58&gt;0),"Tetap Deteksi","Belum Deteksi"))</f>
        <v>Perlu Sensus</v>
      </c>
      <c r="N58" s="132">
        <v>46238</v>
      </c>
      <c r="O58" s="203">
        <v>116</v>
      </c>
      <c r="P58" s="9">
        <f t="array" ref="P58">IFERROR(O58/G58*100,0)</f>
        <v>6.587166382737081</v>
      </c>
      <c r="Q58" s="203">
        <v>10</v>
      </c>
      <c r="R58" s="9">
        <f t="shared" si="4"/>
        <v>8.6206896551724146</v>
      </c>
      <c r="S58" s="8" t="str">
        <f t="array" ref="S58">IF(R58&gt;5,"Perlu Sensus",IF(AND(R58&gt;=0,O58&gt;0),"Tetap Deteksi","Belum Deteksi"))</f>
        <v>Perlu Sensus</v>
      </c>
      <c r="T58" s="203">
        <v>19</v>
      </c>
      <c r="U58" s="9">
        <f t="shared" si="6"/>
        <v>16.379310344827587</v>
      </c>
      <c r="V58" s="132">
        <v>46239</v>
      </c>
      <c r="W58" s="203">
        <v>232</v>
      </c>
      <c r="X58" s="203">
        <v>21</v>
      </c>
      <c r="Y58" s="9">
        <f t="shared" si="5"/>
        <v>9.0517241379310338</v>
      </c>
      <c r="Z58" s="8" t="str">
        <f t="array" ref="Z58">IF(Y58&gt;5,"Perlu Sensus",IF(AND(Y58&gt;0,,O58&gt;0),"Tetap Deteksi","Belum Deteksi"))</f>
        <v>Perlu Sensus</v>
      </c>
      <c r="AA58" s="203">
        <v>43</v>
      </c>
      <c r="AB58" s="9">
        <f t="shared" si="7"/>
        <v>18.53448275862069</v>
      </c>
    </row>
    <row r="59" spans="1:28" outlineLevel="1" x14ac:dyDescent="0.15">
      <c r="A59" s="8" t="s">
        <v>628</v>
      </c>
      <c r="B59" s="8" t="s">
        <v>14</v>
      </c>
      <c r="C59" s="8" t="s">
        <v>47</v>
      </c>
      <c r="D59" s="8" t="s">
        <v>656</v>
      </c>
      <c r="E59" s="9">
        <v>14.01</v>
      </c>
      <c r="F59" s="8" t="s">
        <v>16</v>
      </c>
      <c r="G59" s="143">
        <f t="array" ref="G59">INDEX('[23]SENSUS MEI'!$G$9:$G$453,MATCH(1,('[23]SENSUS MEI'!$D$9:$D$453=$D59)*('[23]SENSUS MEI'!$D$9:$D$453=$D59),0))</f>
        <v>2216</v>
      </c>
      <c r="H59" s="132">
        <f t="shared" si="8"/>
        <v>46238</v>
      </c>
      <c r="I59" s="140">
        <f t="shared" si="8"/>
        <v>102</v>
      </c>
      <c r="J59" s="9">
        <f t="shared" si="1"/>
        <v>4.6028880866425999</v>
      </c>
      <c r="K59" s="140">
        <f t="shared" si="2"/>
        <v>8</v>
      </c>
      <c r="L59" s="206">
        <f t="shared" si="3"/>
        <v>7.8431372549019605</v>
      </c>
      <c r="M59" s="8" t="str">
        <f t="array" ref="M59">IF(L59&gt;5,"Perlu Sensus",IF(AND(L59&gt;=0,I59&gt;0),"Tetap Deteksi","Belum Deteksi"))</f>
        <v>Perlu Sensus</v>
      </c>
      <c r="N59" s="132">
        <v>46238</v>
      </c>
      <c r="O59" s="203">
        <v>102</v>
      </c>
      <c r="P59" s="9">
        <f t="array" ref="P59">IFERROR(O59/G59*100,0)</f>
        <v>4.6028880866425999</v>
      </c>
      <c r="Q59" s="203">
        <v>8</v>
      </c>
      <c r="R59" s="9">
        <f t="shared" si="4"/>
        <v>7.8431372549019605</v>
      </c>
      <c r="S59" s="8" t="str">
        <f t="array" ref="S59">IF(R59&gt;5,"Perlu Sensus",IF(AND(R59&gt;=0,O59&gt;0),"Tetap Deteksi","Belum Deteksi"))</f>
        <v>Perlu Sensus</v>
      </c>
      <c r="T59" s="203">
        <v>21</v>
      </c>
      <c r="U59" s="9">
        <f t="shared" si="6"/>
        <v>20.588235294117645</v>
      </c>
      <c r="V59" s="132">
        <v>46239</v>
      </c>
      <c r="W59" s="203">
        <v>204</v>
      </c>
      <c r="X59" s="203">
        <v>13</v>
      </c>
      <c r="Y59" s="9">
        <f t="shared" si="5"/>
        <v>6.3725490196078427</v>
      </c>
      <c r="Z59" s="8" t="str">
        <f t="array" ref="Z59">IF(Y59&gt;5,"Perlu Sensus",IF(AND(Y59&gt;0,,O59&gt;0),"Tetap Deteksi","Belum Deteksi"))</f>
        <v>Perlu Sensus</v>
      </c>
      <c r="AA59" s="203">
        <v>34</v>
      </c>
      <c r="AB59" s="9">
        <f t="shared" si="7"/>
        <v>16.666666666666664</v>
      </c>
    </row>
    <row r="60" spans="1:28" outlineLevel="1" x14ac:dyDescent="0.15">
      <c r="A60" s="8" t="s">
        <v>628</v>
      </c>
      <c r="B60" s="8" t="s">
        <v>14</v>
      </c>
      <c r="C60" s="8" t="s">
        <v>47</v>
      </c>
      <c r="D60" s="8" t="s">
        <v>657</v>
      </c>
      <c r="E60" s="9">
        <v>50.41</v>
      </c>
      <c r="F60" s="8" t="s">
        <v>16</v>
      </c>
      <c r="G60" s="143">
        <f t="array" ref="G60">INDEX('[23]SENSUS MEI'!$G$9:$G$453,MATCH(1,('[23]SENSUS MEI'!$D$9:$D$453=$D60)*('[23]SENSUS MEI'!$D$9:$D$453=$D60),0))</f>
        <v>6734</v>
      </c>
      <c r="H60" s="132">
        <f t="shared" si="8"/>
        <v>46242</v>
      </c>
      <c r="I60" s="140">
        <f t="shared" si="8"/>
        <v>168</v>
      </c>
      <c r="J60" s="9">
        <f t="shared" si="1"/>
        <v>2.4948024948024949</v>
      </c>
      <c r="K60" s="140">
        <f t="shared" si="2"/>
        <v>16</v>
      </c>
      <c r="L60" s="206">
        <f t="shared" si="3"/>
        <v>9.5238095238095237</v>
      </c>
      <c r="M60" s="8" t="str">
        <f t="array" ref="M60">IF(L60&gt;5,"Perlu Sensus",IF(AND(L60&gt;=0,I60&gt;0),"Tetap Deteksi","Belum Deteksi"))</f>
        <v>Perlu Sensus</v>
      </c>
      <c r="N60" s="132">
        <v>46242</v>
      </c>
      <c r="O60" s="203">
        <v>168</v>
      </c>
      <c r="P60" s="9">
        <f t="array" ref="P60">IFERROR(O60/G60*100,0)</f>
        <v>2.4948024948024949</v>
      </c>
      <c r="Q60" s="203">
        <v>16</v>
      </c>
      <c r="R60" s="9">
        <f t="shared" si="4"/>
        <v>9.5238095238095237</v>
      </c>
      <c r="S60" s="8" t="str">
        <f t="array" ref="S60">IF(R60&gt;5,"Perlu Sensus",IF(AND(R60&gt;=0,O60&gt;0),"Tetap Deteksi","Belum Deteksi"))</f>
        <v>Perlu Sensus</v>
      </c>
      <c r="T60" s="203">
        <v>45</v>
      </c>
      <c r="U60" s="9">
        <f t="shared" si="6"/>
        <v>26.785714285714285</v>
      </c>
      <c r="V60" s="132">
        <v>46244</v>
      </c>
      <c r="W60" s="203">
        <v>336</v>
      </c>
      <c r="X60" s="203">
        <v>16</v>
      </c>
      <c r="Y60" s="9">
        <f t="shared" si="5"/>
        <v>4.7619047619047619</v>
      </c>
      <c r="Z60" s="8" t="str">
        <f t="array" ref="Z60">IF(Y60&gt;5,"Perlu Sensus",IF(AND(Y60&gt;0,,O60&gt;0),"Tetap Deteksi","Belum Deteksi"))</f>
        <v>Belum Deteksi</v>
      </c>
      <c r="AA60" s="203">
        <v>57</v>
      </c>
      <c r="AB60" s="9">
        <f t="shared" si="7"/>
        <v>16.964285714285715</v>
      </c>
    </row>
    <row r="61" spans="1:28" outlineLevel="1" x14ac:dyDescent="0.15">
      <c r="A61" s="8" t="s">
        <v>628</v>
      </c>
      <c r="B61" s="8" t="s">
        <v>14</v>
      </c>
      <c r="C61" s="8" t="s">
        <v>47</v>
      </c>
      <c r="D61" s="8" t="s">
        <v>658</v>
      </c>
      <c r="E61" s="9">
        <v>14.08</v>
      </c>
      <c r="F61" s="8" t="s">
        <v>469</v>
      </c>
      <c r="G61" s="143">
        <f t="array" ref="G61">INDEX('[23]SENSUS MEI'!$G$9:$G$453,MATCH(1,('[23]SENSUS MEI'!$D$9:$D$453=$D61)*('[23]SENSUS MEI'!$D$9:$D$453=$D61),0))</f>
        <v>2091</v>
      </c>
      <c r="H61" s="132">
        <f t="shared" si="8"/>
        <v>46247</v>
      </c>
      <c r="I61" s="140">
        <f t="shared" si="8"/>
        <v>103</v>
      </c>
      <c r="J61" s="9">
        <f t="shared" si="1"/>
        <v>4.925872788139646</v>
      </c>
      <c r="K61" s="140">
        <f t="shared" si="2"/>
        <v>8</v>
      </c>
      <c r="L61" s="206">
        <f t="shared" si="3"/>
        <v>7.7669902912621351</v>
      </c>
      <c r="M61" s="8" t="str">
        <f t="array" ref="M61">IF(L61&gt;5,"Perlu Sensus",IF(AND(L61&gt;=0,I61&gt;0),"Tetap Deteksi","Belum Deteksi"))</f>
        <v>Perlu Sensus</v>
      </c>
      <c r="N61" s="132">
        <v>46247</v>
      </c>
      <c r="O61" s="203">
        <v>103</v>
      </c>
      <c r="P61" s="9">
        <f t="array" ref="P61">IFERROR(O61/G61*100,0)</f>
        <v>4.925872788139646</v>
      </c>
      <c r="Q61" s="203">
        <v>8</v>
      </c>
      <c r="R61" s="9">
        <f t="shared" si="4"/>
        <v>7.7669902912621351</v>
      </c>
      <c r="S61" s="8" t="str">
        <f t="array" ref="S61">IF(R61&gt;5,"Perlu Sensus",IF(AND(R61&gt;=0,O61&gt;0),"Tetap Deteksi","Belum Deteksi"))</f>
        <v>Perlu Sensus</v>
      </c>
      <c r="T61" s="203">
        <v>30</v>
      </c>
      <c r="U61" s="9">
        <f t="shared" si="6"/>
        <v>29.126213592233007</v>
      </c>
      <c r="V61" s="132">
        <v>46248</v>
      </c>
      <c r="W61" s="203">
        <v>206</v>
      </c>
      <c r="X61" s="203">
        <v>24</v>
      </c>
      <c r="Y61" s="9">
        <f t="shared" si="5"/>
        <v>11.650485436893204</v>
      </c>
      <c r="Z61" s="8" t="str">
        <f t="array" ref="Z61">IF(Y61&gt;5,"Perlu Sensus",IF(AND(Y61&gt;0,,O61&gt;0),"Tetap Deteksi","Belum Deteksi"))</f>
        <v>Perlu Sensus</v>
      </c>
      <c r="AA61" s="203">
        <v>48</v>
      </c>
      <c r="AB61" s="9">
        <f t="shared" si="7"/>
        <v>23.300970873786408</v>
      </c>
    </row>
    <row r="62" spans="1:28" outlineLevel="1" x14ac:dyDescent="0.15">
      <c r="A62" s="8" t="s">
        <v>628</v>
      </c>
      <c r="B62" s="8" t="s">
        <v>14</v>
      </c>
      <c r="C62" s="8" t="s">
        <v>47</v>
      </c>
      <c r="D62" s="8" t="s">
        <v>659</v>
      </c>
      <c r="E62" s="9">
        <v>34.630000000000003</v>
      </c>
      <c r="F62" s="8" t="s">
        <v>469</v>
      </c>
      <c r="G62" s="143">
        <f t="array" ref="G62">INDEX('[23]SENSUS MEI'!$G$9:$G$453,MATCH(1,('[23]SENSUS MEI'!$D$9:$D$453=$D62)*('[23]SENSUS MEI'!$D$9:$D$453=$D62),0))</f>
        <v>4790</v>
      </c>
      <c r="H62" s="132">
        <f t="shared" si="8"/>
        <v>46248</v>
      </c>
      <c r="I62" s="140">
        <f t="shared" si="8"/>
        <v>108</v>
      </c>
      <c r="J62" s="9">
        <f t="shared" si="1"/>
        <v>2.2546972860125263</v>
      </c>
      <c r="K62" s="140">
        <f t="shared" si="2"/>
        <v>6</v>
      </c>
      <c r="L62" s="206">
        <f t="shared" si="3"/>
        <v>5.5555555555555554</v>
      </c>
      <c r="M62" s="8" t="str">
        <f t="array" ref="M62">IF(L62&gt;5,"Perlu Sensus",IF(AND(L62&gt;=0,I62&gt;0),"Tetap Deteksi","Belum Deteksi"))</f>
        <v>Perlu Sensus</v>
      </c>
      <c r="N62" s="132">
        <v>46248</v>
      </c>
      <c r="O62" s="203">
        <v>108</v>
      </c>
      <c r="P62" s="9">
        <f t="array" ref="P62">IFERROR(O62/G62*100,0)</f>
        <v>2.2546972860125263</v>
      </c>
      <c r="Q62" s="203">
        <v>6</v>
      </c>
      <c r="R62" s="9">
        <f t="shared" si="4"/>
        <v>5.5555555555555554</v>
      </c>
      <c r="S62" s="8" t="str">
        <f t="array" ref="S62">IF(R62&gt;5,"Perlu Sensus",IF(AND(R62&gt;=0,O62&gt;0),"Tetap Deteksi","Belum Deteksi"))</f>
        <v>Perlu Sensus</v>
      </c>
      <c r="T62" s="203">
        <v>33</v>
      </c>
      <c r="U62" s="9">
        <f t="shared" si="6"/>
        <v>30.555555555555557</v>
      </c>
      <c r="V62" s="132">
        <v>46249</v>
      </c>
      <c r="W62" s="203">
        <v>216</v>
      </c>
      <c r="X62" s="203">
        <v>28</v>
      </c>
      <c r="Y62" s="9">
        <f t="shared" si="5"/>
        <v>12.962962962962962</v>
      </c>
      <c r="Z62" s="8" t="str">
        <f t="array" ref="Z62">IF(Y62&gt;5,"Perlu Sensus",IF(AND(Y62&gt;0,,O62&gt;0),"Tetap Deteksi","Belum Deteksi"))</f>
        <v>Perlu Sensus</v>
      </c>
      <c r="AA62" s="203">
        <v>48</v>
      </c>
      <c r="AB62" s="9">
        <f t="shared" si="7"/>
        <v>22.222222222222221</v>
      </c>
    </row>
    <row r="63" spans="1:28" outlineLevel="1" x14ac:dyDescent="0.15">
      <c r="A63" s="8" t="s">
        <v>628</v>
      </c>
      <c r="B63" s="8" t="s">
        <v>14</v>
      </c>
      <c r="C63" s="8" t="s">
        <v>47</v>
      </c>
      <c r="D63" s="8" t="s">
        <v>660</v>
      </c>
      <c r="E63" s="9">
        <v>29.97</v>
      </c>
      <c r="F63" s="8" t="s">
        <v>469</v>
      </c>
      <c r="G63" s="143">
        <f t="array" ref="G63">INDEX('[23]SENSUS MEI'!$G$9:$G$453,MATCH(1,('[23]SENSUS MEI'!$D$9:$D$453=$D63)*('[23]SENSUS MEI'!$D$9:$D$453=$D63),0))</f>
        <v>4370</v>
      </c>
      <c r="H63" s="132">
        <f t="shared" si="8"/>
        <v>46248</v>
      </c>
      <c r="I63" s="140">
        <f t="shared" si="8"/>
        <v>105</v>
      </c>
      <c r="J63" s="9">
        <f t="shared" si="1"/>
        <v>2.402745995423341</v>
      </c>
      <c r="K63" s="140">
        <f t="shared" si="2"/>
        <v>5</v>
      </c>
      <c r="L63" s="206">
        <f t="shared" si="3"/>
        <v>4.7619047619047619</v>
      </c>
      <c r="M63" s="8" t="str">
        <f t="array" ref="M63">IF(L63&gt;5,"Perlu Sensus",IF(AND(L63&gt;=0,I63&gt;0),"Tetap Deteksi","Belum Deteksi"))</f>
        <v>Tetap Deteksi</v>
      </c>
      <c r="N63" s="132">
        <v>46248</v>
      </c>
      <c r="O63" s="203">
        <v>105</v>
      </c>
      <c r="P63" s="9">
        <f t="array" ref="P63">IFERROR(O63/G63*100,0)</f>
        <v>2.402745995423341</v>
      </c>
      <c r="Q63" s="203">
        <v>5</v>
      </c>
      <c r="R63" s="9">
        <f t="shared" si="4"/>
        <v>4.7619047619047619</v>
      </c>
      <c r="S63" s="8" t="str">
        <f t="array" ref="S63">IF(R63&gt;5,"Perlu Sensus",IF(AND(R63&gt;=0,O63&gt;0),"Tetap Deteksi","Belum Deteksi"))</f>
        <v>Tetap Deteksi</v>
      </c>
      <c r="T63" s="203">
        <v>34</v>
      </c>
      <c r="U63" s="9">
        <f t="shared" si="6"/>
        <v>32.38095238095238</v>
      </c>
      <c r="V63" s="132">
        <v>46249</v>
      </c>
      <c r="W63" s="203">
        <v>210</v>
      </c>
      <c r="X63" s="203">
        <v>25</v>
      </c>
      <c r="Y63" s="9">
        <f t="shared" si="5"/>
        <v>11.904761904761903</v>
      </c>
      <c r="Z63" s="8" t="str">
        <f t="array" ref="Z63">IF(Y63&gt;5,"Perlu Sensus",IF(AND(Y63&gt;0,,O63&gt;0),"Tetap Deteksi","Belum Deteksi"))</f>
        <v>Perlu Sensus</v>
      </c>
      <c r="AA63" s="203">
        <v>47</v>
      </c>
      <c r="AB63" s="9">
        <f t="shared" si="7"/>
        <v>22.380952380952383</v>
      </c>
    </row>
    <row r="64" spans="1:28" outlineLevel="1" x14ac:dyDescent="0.15">
      <c r="A64" s="8" t="s">
        <v>628</v>
      </c>
      <c r="B64" s="8" t="s">
        <v>14</v>
      </c>
      <c r="C64" s="8" t="s">
        <v>47</v>
      </c>
      <c r="D64" s="8" t="s">
        <v>661</v>
      </c>
      <c r="E64" s="9">
        <v>59.76</v>
      </c>
      <c r="F64" s="8" t="s">
        <v>469</v>
      </c>
      <c r="G64" s="143">
        <f t="array" ref="G64">INDEX('[23]SENSUS MEI'!$G$9:$G$453,MATCH(1,('[23]SENSUS MEI'!$D$9:$D$453=$D64)*('[23]SENSUS MEI'!$D$9:$D$453=$D64),0))</f>
        <v>8325</v>
      </c>
      <c r="H64" s="132">
        <f t="shared" si="8"/>
        <v>46248</v>
      </c>
      <c r="I64" s="140">
        <f t="shared" si="8"/>
        <v>121</v>
      </c>
      <c r="J64" s="9">
        <f t="shared" si="1"/>
        <v>1.4534534534534536</v>
      </c>
      <c r="K64" s="140">
        <f t="shared" si="2"/>
        <v>5</v>
      </c>
      <c r="L64" s="206">
        <f t="shared" si="3"/>
        <v>4.1322314049586781</v>
      </c>
      <c r="M64" s="8" t="str">
        <f t="array" ref="M64">IF(L64&gt;5,"Perlu Sensus",IF(AND(L64&gt;=0,I64&gt;0),"Tetap Deteksi","Belum Deteksi"))</f>
        <v>Tetap Deteksi</v>
      </c>
      <c r="N64" s="132">
        <v>46248</v>
      </c>
      <c r="O64" s="203">
        <v>121</v>
      </c>
      <c r="P64" s="9">
        <f t="array" ref="P64">IFERROR(O64/G64*100,0)</f>
        <v>1.4534534534534536</v>
      </c>
      <c r="Q64" s="203">
        <v>5</v>
      </c>
      <c r="R64" s="9">
        <f t="shared" si="4"/>
        <v>4.1322314049586781</v>
      </c>
      <c r="S64" s="8" t="str">
        <f t="array" ref="S64">IF(R64&gt;5,"Perlu Sensus",IF(AND(R64&gt;=0,O64&gt;0),"Tetap Deteksi","Belum Deteksi"))</f>
        <v>Tetap Deteksi</v>
      </c>
      <c r="T64" s="203">
        <v>43</v>
      </c>
      <c r="U64" s="9">
        <f t="shared" si="6"/>
        <v>35.537190082644628</v>
      </c>
      <c r="V64" s="132">
        <v>46249</v>
      </c>
      <c r="W64" s="203">
        <v>242</v>
      </c>
      <c r="X64" s="203">
        <v>12</v>
      </c>
      <c r="Y64" s="9">
        <f t="shared" si="5"/>
        <v>4.9586776859504136</v>
      </c>
      <c r="Z64" s="8" t="str">
        <f t="array" ref="Z64">IF(Y64&gt;5,"Perlu Sensus",IF(AND(Y64&gt;0,,O64&gt;0),"Tetap Deteksi","Belum Deteksi"))</f>
        <v>Belum Deteksi</v>
      </c>
      <c r="AA64" s="203">
        <v>59</v>
      </c>
      <c r="AB64" s="9">
        <f t="shared" si="7"/>
        <v>24.380165289256198</v>
      </c>
    </row>
    <row r="65" spans="1:28" outlineLevel="1" x14ac:dyDescent="0.15">
      <c r="A65" s="8" t="s">
        <v>628</v>
      </c>
      <c r="B65" s="8" t="s">
        <v>14</v>
      </c>
      <c r="C65" s="8" t="s">
        <v>47</v>
      </c>
      <c r="D65" s="8" t="s">
        <v>662</v>
      </c>
      <c r="E65" s="9">
        <v>7.06</v>
      </c>
      <c r="F65" s="8" t="s">
        <v>469</v>
      </c>
      <c r="G65" s="143">
        <f t="array" ref="G65">INDEX('[23]SENSUS MEI'!$G$9:$G$453,MATCH(1,('[23]SENSUS MEI'!$D$9:$D$453=$D65)*('[23]SENSUS MEI'!$D$9:$D$453=$D65),0))</f>
        <v>972</v>
      </c>
      <c r="H65" s="132">
        <f t="shared" si="8"/>
        <v>46249</v>
      </c>
      <c r="I65" s="140">
        <f t="shared" si="8"/>
        <v>126</v>
      </c>
      <c r="J65" s="9">
        <f t="shared" si="1"/>
        <v>12.962962962962962</v>
      </c>
      <c r="K65" s="140">
        <f t="shared" si="2"/>
        <v>8</v>
      </c>
      <c r="L65" s="206">
        <f t="shared" si="3"/>
        <v>6.3492063492063489</v>
      </c>
      <c r="M65" s="8" t="str">
        <f t="array" ref="M65">IF(L65&gt;5,"Perlu Sensus",IF(AND(L65&gt;=0,I65&gt;0),"Tetap Deteksi","Belum Deteksi"))</f>
        <v>Perlu Sensus</v>
      </c>
      <c r="N65" s="132">
        <v>46249</v>
      </c>
      <c r="O65" s="203">
        <v>126</v>
      </c>
      <c r="P65" s="9">
        <f t="array" ref="P65">IFERROR(O65/G65*100,0)</f>
        <v>12.962962962962962</v>
      </c>
      <c r="Q65" s="203">
        <v>8</v>
      </c>
      <c r="R65" s="9">
        <f t="shared" si="4"/>
        <v>6.3492063492063489</v>
      </c>
      <c r="S65" s="8" t="str">
        <f t="array" ref="S65">IF(R65&gt;5,"Perlu Sensus",IF(AND(R65&gt;=0,O65&gt;0),"Tetap Deteksi","Belum Deteksi"))</f>
        <v>Perlu Sensus</v>
      </c>
      <c r="T65" s="203">
        <v>46</v>
      </c>
      <c r="U65" s="9">
        <f t="shared" si="6"/>
        <v>36.507936507936506</v>
      </c>
      <c r="V65" s="132">
        <v>46249</v>
      </c>
      <c r="W65" s="203">
        <v>252</v>
      </c>
      <c r="X65" s="203">
        <v>14</v>
      </c>
      <c r="Y65" s="9">
        <f t="shared" si="5"/>
        <v>5.5555555555555554</v>
      </c>
      <c r="Z65" s="8" t="str">
        <f t="array" ref="Z65">IF(Y65&gt;5,"Perlu Sensus",IF(AND(Y65&gt;0,,O65&gt;0),"Tetap Deteksi","Belum Deteksi"))</f>
        <v>Perlu Sensus</v>
      </c>
      <c r="AA65" s="203">
        <v>71</v>
      </c>
      <c r="AB65" s="9">
        <f t="shared" si="7"/>
        <v>28.174603174603174</v>
      </c>
    </row>
    <row r="66" spans="1:28" outlineLevel="1" x14ac:dyDescent="0.15">
      <c r="A66" s="8" t="s">
        <v>628</v>
      </c>
      <c r="B66" s="8" t="s">
        <v>14</v>
      </c>
      <c r="C66" s="8" t="s">
        <v>47</v>
      </c>
      <c r="D66" s="8" t="s">
        <v>663</v>
      </c>
      <c r="E66" s="9">
        <v>21.83</v>
      </c>
      <c r="F66" s="8" t="s">
        <v>469</v>
      </c>
      <c r="G66" s="143">
        <f t="array" ref="G66">INDEX('[23]SENSUS MEI'!$G$9:$G$453,MATCH(1,('[23]SENSUS MEI'!$D$9:$D$453=$D66)*('[23]SENSUS MEI'!$D$9:$D$453=$D66),0))</f>
        <v>2953</v>
      </c>
      <c r="H66" s="132">
        <f t="shared" si="8"/>
        <v>46249</v>
      </c>
      <c r="I66" s="140">
        <f t="shared" si="8"/>
        <v>113</v>
      </c>
      <c r="J66" s="9">
        <f t="shared" si="1"/>
        <v>3.8266169996613613</v>
      </c>
      <c r="K66" s="140">
        <f t="shared" si="2"/>
        <v>5</v>
      </c>
      <c r="L66" s="206">
        <f t="shared" si="3"/>
        <v>4.4247787610619467</v>
      </c>
      <c r="M66" s="8" t="str">
        <f t="array" ref="M66">IF(L66&gt;5,"Perlu Sensus",IF(AND(L66&gt;=0,I66&gt;0),"Tetap Deteksi","Belum Deteksi"))</f>
        <v>Tetap Deteksi</v>
      </c>
      <c r="N66" s="132">
        <v>46249</v>
      </c>
      <c r="O66" s="203">
        <v>113</v>
      </c>
      <c r="P66" s="9">
        <f t="array" ref="P66">IFERROR(O66/G66*100,0)</f>
        <v>3.8266169996613613</v>
      </c>
      <c r="Q66" s="203">
        <v>5</v>
      </c>
      <c r="R66" s="9">
        <f t="shared" si="4"/>
        <v>4.4247787610619467</v>
      </c>
      <c r="S66" s="8" t="str">
        <f t="array" ref="S66">IF(R66&gt;5,"Perlu Sensus",IF(AND(R66&gt;=0,O66&gt;0),"Tetap Deteksi","Belum Deteksi"))</f>
        <v>Tetap Deteksi</v>
      </c>
      <c r="T66" s="203">
        <v>36</v>
      </c>
      <c r="U66" s="9">
        <f t="shared" si="6"/>
        <v>31.858407079646017</v>
      </c>
      <c r="V66" s="132">
        <v>46249</v>
      </c>
      <c r="W66" s="203">
        <v>226</v>
      </c>
      <c r="X66" s="203">
        <v>19</v>
      </c>
      <c r="Y66" s="9">
        <f t="shared" si="5"/>
        <v>8.4070796460176993</v>
      </c>
      <c r="Z66" s="8" t="str">
        <f t="array" ref="Z66">IF(Y66&gt;5,"Perlu Sensus",IF(AND(Y66&gt;0,,O66&gt;0),"Tetap Deteksi","Belum Deteksi"))</f>
        <v>Perlu Sensus</v>
      </c>
      <c r="AA66" s="203">
        <v>61</v>
      </c>
      <c r="AB66" s="9">
        <f t="shared" si="7"/>
        <v>26.991150442477874</v>
      </c>
    </row>
    <row r="67" spans="1:28" outlineLevel="1" x14ac:dyDescent="0.15">
      <c r="A67" s="8" t="s">
        <v>628</v>
      </c>
      <c r="B67" s="8" t="s">
        <v>14</v>
      </c>
      <c r="C67" s="8" t="s">
        <v>47</v>
      </c>
      <c r="D67" s="8" t="s">
        <v>664</v>
      </c>
      <c r="E67" s="9">
        <v>31.03</v>
      </c>
      <c r="F67" s="8" t="s">
        <v>469</v>
      </c>
      <c r="G67" s="143">
        <f t="array" ref="G67">INDEX('[23]SENSUS MEI'!$G$9:$G$453,MATCH(1,('[23]SENSUS MEI'!$D$9:$D$453=$D67)*('[23]SENSUS MEI'!$D$9:$D$453=$D67),0))</f>
        <v>4350</v>
      </c>
      <c r="H67" s="132">
        <f t="shared" si="8"/>
        <v>46249</v>
      </c>
      <c r="I67" s="140">
        <f t="shared" si="8"/>
        <v>110</v>
      </c>
      <c r="J67" s="9">
        <f t="shared" si="1"/>
        <v>2.5287356321839081</v>
      </c>
      <c r="K67" s="140">
        <f t="shared" si="2"/>
        <v>4</v>
      </c>
      <c r="L67" s="206">
        <f t="shared" si="3"/>
        <v>3.6363636363636362</v>
      </c>
      <c r="M67" s="8" t="str">
        <f t="array" ref="M67">IF(L67&gt;5,"Perlu Sensus",IF(AND(L67&gt;=0,I67&gt;0),"Tetap Deteksi","Belum Deteksi"))</f>
        <v>Tetap Deteksi</v>
      </c>
      <c r="N67" s="132">
        <v>46249</v>
      </c>
      <c r="O67" s="203">
        <v>110</v>
      </c>
      <c r="P67" s="9">
        <f t="array" ref="P67">IFERROR(O67/G67*100,0)</f>
        <v>2.5287356321839081</v>
      </c>
      <c r="Q67" s="203">
        <v>4</v>
      </c>
      <c r="R67" s="9">
        <f t="shared" si="4"/>
        <v>3.6363636363636362</v>
      </c>
      <c r="S67" s="8" t="str">
        <f t="array" ref="S67">IF(R67&gt;5,"Perlu Sensus",IF(AND(R67&gt;=0,O67&gt;0),"Tetap Deteksi","Belum Deteksi"))</f>
        <v>Tetap Deteksi</v>
      </c>
      <c r="T67" s="203">
        <v>22</v>
      </c>
      <c r="U67" s="9">
        <f t="shared" si="6"/>
        <v>20</v>
      </c>
      <c r="V67" s="132">
        <v>46249</v>
      </c>
      <c r="W67" s="203">
        <v>220</v>
      </c>
      <c r="X67" s="203">
        <v>8</v>
      </c>
      <c r="Y67" s="9">
        <f t="shared" si="5"/>
        <v>3.6363636363636362</v>
      </c>
      <c r="Z67" s="8" t="str">
        <f t="array" ref="Z67">IF(Y67&gt;5,"Perlu Sensus",IF(AND(Y67&gt;0,,O67&gt;0),"Tetap Deteksi","Belum Deteksi"))</f>
        <v>Belum Deteksi</v>
      </c>
      <c r="AA67" s="203">
        <v>52</v>
      </c>
      <c r="AB67" s="9">
        <f t="shared" si="7"/>
        <v>23.636363636363637</v>
      </c>
    </row>
    <row r="68" spans="1:28" outlineLevel="1" x14ac:dyDescent="0.15">
      <c r="A68" s="8" t="s">
        <v>628</v>
      </c>
      <c r="B68" s="8" t="s">
        <v>14</v>
      </c>
      <c r="C68" s="8" t="s">
        <v>79</v>
      </c>
      <c r="D68" s="8" t="s">
        <v>665</v>
      </c>
      <c r="E68" s="9">
        <v>2.2000000000000002</v>
      </c>
      <c r="F68" s="8" t="s">
        <v>16</v>
      </c>
      <c r="G68" s="143">
        <f t="array" ref="G68">INDEX('[23]SENSUS MEI'!$G$9:$G$453,MATCH(1,('[23]SENSUS MEI'!$D$9:$D$453=$D68)*('[23]SENSUS MEI'!$D$9:$D$453=$D68),0))</f>
        <v>343</v>
      </c>
      <c r="H68" s="132">
        <f t="shared" si="8"/>
        <v>46246</v>
      </c>
      <c r="I68" s="140">
        <f t="shared" si="8"/>
        <v>102</v>
      </c>
      <c r="J68" s="9">
        <f t="shared" si="1"/>
        <v>29.737609329446062</v>
      </c>
      <c r="K68" s="140">
        <f t="shared" si="2"/>
        <v>9</v>
      </c>
      <c r="L68" s="206">
        <f t="shared" si="3"/>
        <v>8.8235294117647065</v>
      </c>
      <c r="M68" s="8" t="str">
        <f t="array" ref="M68">IF(L68&gt;5,"Perlu Sensus",IF(AND(L68&gt;=0,I68&gt;0),"Tetap Deteksi","Belum Deteksi"))</f>
        <v>Perlu Sensus</v>
      </c>
      <c r="N68" s="132">
        <v>46246</v>
      </c>
      <c r="O68" s="203">
        <v>102</v>
      </c>
      <c r="P68" s="9">
        <f t="array" ref="P68">IFERROR(O68/G68*100,0)</f>
        <v>29.737609329446062</v>
      </c>
      <c r="Q68" s="203">
        <v>9</v>
      </c>
      <c r="R68" s="9">
        <f t="shared" si="4"/>
        <v>8.8235294117647065</v>
      </c>
      <c r="S68" s="8" t="str">
        <f t="array" ref="S68">IF(R68&gt;5,"Perlu Sensus",IF(AND(R68&gt;=0,O68&gt;0),"Tetap Deteksi","Belum Deteksi"))</f>
        <v>Perlu Sensus</v>
      </c>
      <c r="T68" s="203">
        <v>27</v>
      </c>
      <c r="U68" s="9">
        <f t="shared" si="6"/>
        <v>26.47058823529412</v>
      </c>
      <c r="V68" s="132">
        <v>46247</v>
      </c>
      <c r="W68" s="203">
        <v>206</v>
      </c>
      <c r="X68" s="203">
        <v>22</v>
      </c>
      <c r="Y68" s="9">
        <f t="shared" si="5"/>
        <v>10.679611650485436</v>
      </c>
      <c r="Z68" s="8" t="str">
        <f t="array" ref="Z68">IF(Y68&gt;5,"Perlu Sensus",IF(AND(Y68&gt;0,,O68&gt;0),"Tetap Deteksi","Belum Deteksi"))</f>
        <v>Perlu Sensus</v>
      </c>
      <c r="AA68" s="203">
        <v>65</v>
      </c>
      <c r="AB68" s="9">
        <f t="shared" si="7"/>
        <v>31.55339805825243</v>
      </c>
    </row>
    <row r="69" spans="1:28" outlineLevel="1" x14ac:dyDescent="0.15">
      <c r="A69" s="8" t="s">
        <v>628</v>
      </c>
      <c r="B69" s="8" t="s">
        <v>14</v>
      </c>
      <c r="C69" s="8" t="s">
        <v>79</v>
      </c>
      <c r="D69" s="8" t="s">
        <v>666</v>
      </c>
      <c r="E69" s="9">
        <v>15.78</v>
      </c>
      <c r="F69" s="8" t="s">
        <v>16</v>
      </c>
      <c r="G69" s="143">
        <f t="array" ref="G69">INDEX('[23]SENSUS MEI'!$G$9:$G$453,MATCH(1,('[23]SENSUS MEI'!$D$9:$D$453=$D69)*('[23]SENSUS MEI'!$D$9:$D$453=$D69),0))</f>
        <v>2521</v>
      </c>
      <c r="H69" s="132">
        <f t="shared" si="8"/>
        <v>46246</v>
      </c>
      <c r="I69" s="140">
        <f t="shared" si="8"/>
        <v>98</v>
      </c>
      <c r="J69" s="9">
        <f t="shared" si="1"/>
        <v>3.8873462911543042</v>
      </c>
      <c r="K69" s="140">
        <f t="shared" si="2"/>
        <v>11</v>
      </c>
      <c r="L69" s="206">
        <f t="shared" si="3"/>
        <v>11.224489795918368</v>
      </c>
      <c r="M69" s="8" t="str">
        <f t="array" ref="M69">IF(L69&gt;5,"Perlu Sensus",IF(AND(L69&gt;=0,I69&gt;0),"Tetap Deteksi","Belum Deteksi"))</f>
        <v>Perlu Sensus</v>
      </c>
      <c r="N69" s="132">
        <v>46246</v>
      </c>
      <c r="O69" s="203">
        <v>98</v>
      </c>
      <c r="P69" s="9">
        <f t="array" ref="P69">IFERROR(O69/G69*100,0)</f>
        <v>3.8873462911543042</v>
      </c>
      <c r="Q69" s="203">
        <v>11</v>
      </c>
      <c r="R69" s="9">
        <f t="shared" si="4"/>
        <v>11.224489795918368</v>
      </c>
      <c r="S69" s="8" t="str">
        <f t="array" ref="S69">IF(R69&gt;5,"Perlu Sensus",IF(AND(R69&gt;=0,O69&gt;0),"Tetap Deteksi","Belum Deteksi"))</f>
        <v>Perlu Sensus</v>
      </c>
      <c r="T69" s="203">
        <v>33</v>
      </c>
      <c r="U69" s="9">
        <f t="shared" si="6"/>
        <v>33.673469387755098</v>
      </c>
      <c r="V69" s="132">
        <v>46247</v>
      </c>
      <c r="W69" s="203">
        <v>294</v>
      </c>
      <c r="X69" s="203">
        <v>30</v>
      </c>
      <c r="Y69" s="9">
        <f t="shared" si="5"/>
        <v>10.204081632653061</v>
      </c>
      <c r="Z69" s="8" t="str">
        <f t="array" ref="Z69">IF(Y69&gt;5,"Perlu Sensus",IF(AND(Y69&gt;0,,O69&gt;0),"Tetap Deteksi","Belum Deteksi"))</f>
        <v>Perlu Sensus</v>
      </c>
      <c r="AA69" s="203">
        <v>89</v>
      </c>
      <c r="AB69" s="9">
        <f t="shared" si="7"/>
        <v>30.272108843537417</v>
      </c>
    </row>
    <row r="70" spans="1:28" outlineLevel="1" x14ac:dyDescent="0.15">
      <c r="A70" s="8" t="s">
        <v>628</v>
      </c>
      <c r="B70" s="8" t="s">
        <v>14</v>
      </c>
      <c r="C70" s="8" t="s">
        <v>79</v>
      </c>
      <c r="D70" s="8" t="s">
        <v>667</v>
      </c>
      <c r="E70" s="9">
        <v>26.62</v>
      </c>
      <c r="F70" s="8" t="s">
        <v>16</v>
      </c>
      <c r="G70" s="143">
        <f t="array" ref="G70">INDEX('[23]SENSUS MEI'!$G$9:$G$453,MATCH(1,('[23]SENSUS MEI'!$D$9:$D$453=$D70)*('[23]SENSUS MEI'!$D$9:$D$453=$D70),0))</f>
        <v>3942</v>
      </c>
      <c r="H70" s="132">
        <f t="shared" si="8"/>
        <v>46246</v>
      </c>
      <c r="I70" s="140">
        <f t="shared" si="8"/>
        <v>106</v>
      </c>
      <c r="J70" s="9">
        <f t="shared" ref="J70:J133" si="9">IF(P70&gt;0,P70," ")</f>
        <v>2.6889903602232366</v>
      </c>
      <c r="K70" s="140">
        <f t="shared" ref="K70:K133" si="10">IF(Q70&gt;0,Q70,X70)</f>
        <v>13</v>
      </c>
      <c r="L70" s="206">
        <f t="shared" ref="L70:L133" si="11">IFERROR(K70/I70*100,0)</f>
        <v>12.264150943396226</v>
      </c>
      <c r="M70" s="8" t="str">
        <f t="array" ref="M70">IF(L70&gt;5,"Perlu Sensus",IF(AND(L70&gt;=0,I70&gt;0),"Tetap Deteksi","Belum Deteksi"))</f>
        <v>Perlu Sensus</v>
      </c>
      <c r="N70" s="132">
        <v>46246</v>
      </c>
      <c r="O70" s="203">
        <v>106</v>
      </c>
      <c r="P70" s="9">
        <f t="array" ref="P70">IFERROR(O70/G70*100,0)</f>
        <v>2.6889903602232366</v>
      </c>
      <c r="Q70" s="203">
        <v>13</v>
      </c>
      <c r="R70" s="9">
        <f t="shared" ref="R70:R133" si="12">IFERROR(Q70/O70*100,0)</f>
        <v>12.264150943396226</v>
      </c>
      <c r="S70" s="8" t="str">
        <f t="array" ref="S70">IF(R70&gt;5,"Perlu Sensus",IF(AND(R70&gt;=0,O70&gt;0),"Tetap Deteksi","Belum Deteksi"))</f>
        <v>Perlu Sensus</v>
      </c>
      <c r="T70" s="203">
        <v>30</v>
      </c>
      <c r="U70" s="9">
        <f t="shared" si="6"/>
        <v>28.30188679245283</v>
      </c>
      <c r="V70" s="132">
        <v>46247</v>
      </c>
      <c r="W70" s="203">
        <v>218</v>
      </c>
      <c r="X70" s="203">
        <v>17</v>
      </c>
      <c r="Y70" s="9">
        <f t="shared" ref="Y70:Y133" si="13">IFERROR(X70/W70*100,0)</f>
        <v>7.7981651376146797</v>
      </c>
      <c r="Z70" s="8" t="str">
        <f t="array" ref="Z70">IF(Y70&gt;5,"Perlu Sensus",IF(AND(Y70&gt;0,,O70&gt;0),"Tetap Deteksi","Belum Deteksi"))</f>
        <v>Perlu Sensus</v>
      </c>
      <c r="AA70" s="203">
        <v>52</v>
      </c>
      <c r="AB70" s="9">
        <f t="shared" si="7"/>
        <v>23.853211009174313</v>
      </c>
    </row>
    <row r="71" spans="1:28" outlineLevel="1" x14ac:dyDescent="0.15">
      <c r="A71" s="8" t="s">
        <v>628</v>
      </c>
      <c r="B71" s="8" t="s">
        <v>14</v>
      </c>
      <c r="C71" s="8" t="s">
        <v>79</v>
      </c>
      <c r="D71" s="8" t="s">
        <v>668</v>
      </c>
      <c r="E71" s="9">
        <v>31.09</v>
      </c>
      <c r="F71" s="8" t="s">
        <v>16</v>
      </c>
      <c r="G71" s="143">
        <f t="array" ref="G71">INDEX('[23]SENSUS MEI'!$G$9:$G$453,MATCH(1,('[23]SENSUS MEI'!$D$9:$D$453=$D71)*('[23]SENSUS MEI'!$D$9:$D$453=$D71),0))</f>
        <v>4305</v>
      </c>
      <c r="H71" s="132">
        <f t="shared" si="8"/>
        <v>46246</v>
      </c>
      <c r="I71" s="140">
        <f t="shared" si="8"/>
        <v>118</v>
      </c>
      <c r="J71" s="9">
        <f t="shared" si="9"/>
        <v>2.7409988385598143</v>
      </c>
      <c r="K71" s="140">
        <f t="shared" si="10"/>
        <v>9</v>
      </c>
      <c r="L71" s="206">
        <f t="shared" si="11"/>
        <v>7.6271186440677967</v>
      </c>
      <c r="M71" s="8" t="str">
        <f t="array" ref="M71">IF(L71&gt;5,"Perlu Sensus",IF(AND(L71&gt;=0,I71&gt;0),"Tetap Deteksi","Belum Deteksi"))</f>
        <v>Perlu Sensus</v>
      </c>
      <c r="N71" s="132">
        <v>46246</v>
      </c>
      <c r="O71" s="203">
        <v>118</v>
      </c>
      <c r="P71" s="9">
        <f t="array" ref="P71">IFERROR(O71/G71*100,0)</f>
        <v>2.7409988385598143</v>
      </c>
      <c r="Q71" s="203">
        <v>9</v>
      </c>
      <c r="R71" s="9">
        <f t="shared" si="12"/>
        <v>7.6271186440677967</v>
      </c>
      <c r="S71" s="8" t="str">
        <f t="array" ref="S71">IF(R71&gt;5,"Perlu Sensus",IF(AND(R71&gt;=0,O71&gt;0),"Tetap Deteksi","Belum Deteksi"))</f>
        <v>Perlu Sensus</v>
      </c>
      <c r="T71" s="203">
        <v>38</v>
      </c>
      <c r="U71" s="9">
        <f t="shared" ref="U71:U134" si="14">IFERROR(T71/O71*100,0)</f>
        <v>32.20338983050847</v>
      </c>
      <c r="V71" s="132">
        <v>46247</v>
      </c>
      <c r="W71" s="203">
        <v>254</v>
      </c>
      <c r="X71" s="203">
        <v>26</v>
      </c>
      <c r="Y71" s="9">
        <f t="shared" si="13"/>
        <v>10.236220472440944</v>
      </c>
      <c r="Z71" s="8" t="str">
        <f t="array" ref="Z71">IF(Y71&gt;5,"Perlu Sensus",IF(AND(Y71&gt;0,,O71&gt;0),"Tetap Deteksi","Belum Deteksi"))</f>
        <v>Perlu Sensus</v>
      </c>
      <c r="AA71" s="203">
        <v>78</v>
      </c>
      <c r="AB71" s="9">
        <f t="shared" ref="AB71:AB134" si="15">IFERROR(AA71/W71*100,0)</f>
        <v>30.708661417322837</v>
      </c>
    </row>
    <row r="72" spans="1:28" outlineLevel="1" x14ac:dyDescent="0.15">
      <c r="A72" s="8" t="s">
        <v>628</v>
      </c>
      <c r="B72" s="8" t="s">
        <v>14</v>
      </c>
      <c r="C72" s="8" t="s">
        <v>79</v>
      </c>
      <c r="D72" s="8" t="s">
        <v>669</v>
      </c>
      <c r="E72" s="9">
        <v>22.91</v>
      </c>
      <c r="F72" s="8" t="s">
        <v>16</v>
      </c>
      <c r="G72" s="143">
        <f t="array" ref="G72">INDEX('[23]SENSUS MEI'!$G$9:$G$453,MATCH(1,('[23]SENSUS MEI'!$D$9:$D$453=$D72)*('[23]SENSUS MEI'!$D$9:$D$453=$D72),0))</f>
        <v>3241</v>
      </c>
      <c r="H72" s="132">
        <f t="shared" si="8"/>
        <v>46247</v>
      </c>
      <c r="I72" s="140">
        <f t="shared" si="8"/>
        <v>95</v>
      </c>
      <c r="J72" s="9">
        <f t="shared" si="9"/>
        <v>2.9311940759024995</v>
      </c>
      <c r="K72" s="140">
        <f t="shared" si="10"/>
        <v>8</v>
      </c>
      <c r="L72" s="206">
        <f t="shared" si="11"/>
        <v>8.4210526315789469</v>
      </c>
      <c r="M72" s="8" t="str">
        <f t="array" ref="M72">IF(L72&gt;5,"Perlu Sensus",IF(AND(L72&gt;=0,I72&gt;0),"Tetap Deteksi","Belum Deteksi"))</f>
        <v>Perlu Sensus</v>
      </c>
      <c r="N72" s="132">
        <v>46247</v>
      </c>
      <c r="O72" s="203">
        <v>95</v>
      </c>
      <c r="P72" s="9">
        <f t="array" ref="P72">IFERROR(O72/G72*100,0)</f>
        <v>2.9311940759024995</v>
      </c>
      <c r="Q72" s="203">
        <v>8</v>
      </c>
      <c r="R72" s="9">
        <f t="shared" si="12"/>
        <v>8.4210526315789469</v>
      </c>
      <c r="S72" s="8" t="str">
        <f t="array" ref="S72">IF(R72&gt;5,"Perlu Sensus",IF(AND(R72&gt;=0,O72&gt;0),"Tetap Deteksi","Belum Deteksi"))</f>
        <v>Perlu Sensus</v>
      </c>
      <c r="T72" s="203">
        <v>36</v>
      </c>
      <c r="U72" s="9">
        <f t="shared" si="14"/>
        <v>37.894736842105267</v>
      </c>
      <c r="V72" s="132">
        <v>46248</v>
      </c>
      <c r="W72" s="203">
        <v>285</v>
      </c>
      <c r="X72" s="203">
        <v>37</v>
      </c>
      <c r="Y72" s="9">
        <f t="shared" si="13"/>
        <v>12.982456140350877</v>
      </c>
      <c r="Z72" s="8" t="str">
        <f t="array" ref="Z72">IF(Y72&gt;5,"Perlu Sensus",IF(AND(Y72&gt;0,,O72&gt;0),"Tetap Deteksi","Belum Deteksi"))</f>
        <v>Perlu Sensus</v>
      </c>
      <c r="AA72" s="203">
        <v>110</v>
      </c>
      <c r="AB72" s="9">
        <f t="shared" si="15"/>
        <v>38.596491228070171</v>
      </c>
    </row>
    <row r="73" spans="1:28" outlineLevel="1" x14ac:dyDescent="0.15">
      <c r="A73" s="8" t="s">
        <v>628</v>
      </c>
      <c r="B73" s="8" t="s">
        <v>14</v>
      </c>
      <c r="C73" s="8" t="s">
        <v>79</v>
      </c>
      <c r="D73" s="8" t="s">
        <v>670</v>
      </c>
      <c r="E73" s="9">
        <v>22.72</v>
      </c>
      <c r="F73" s="8" t="s">
        <v>16</v>
      </c>
      <c r="G73" s="143">
        <f t="array" ref="G73">INDEX('[23]SENSUS MEI'!$G$9:$G$453,MATCH(1,('[23]SENSUS MEI'!$D$9:$D$453=$D73)*('[23]SENSUS MEI'!$D$9:$D$453=$D73),0))</f>
        <v>3205</v>
      </c>
      <c r="H73" s="132">
        <f t="shared" si="8"/>
        <v>46247</v>
      </c>
      <c r="I73" s="140">
        <f t="shared" si="8"/>
        <v>87</v>
      </c>
      <c r="J73" s="9">
        <f t="shared" si="9"/>
        <v>2.7145085803432134</v>
      </c>
      <c r="K73" s="140">
        <f t="shared" si="10"/>
        <v>17</v>
      </c>
      <c r="L73" s="206">
        <f t="shared" si="11"/>
        <v>19.540229885057471</v>
      </c>
      <c r="M73" s="8" t="str">
        <f t="array" ref="M73">IF(L73&gt;5,"Perlu Sensus",IF(AND(L73&gt;=0,I73&gt;0),"Tetap Deteksi","Belum Deteksi"))</f>
        <v>Perlu Sensus</v>
      </c>
      <c r="N73" s="132">
        <v>46247</v>
      </c>
      <c r="O73" s="203">
        <v>87</v>
      </c>
      <c r="P73" s="9">
        <f t="array" ref="P73">IFERROR(O73/G73*100,0)</f>
        <v>2.7145085803432134</v>
      </c>
      <c r="Q73" s="203">
        <v>17</v>
      </c>
      <c r="R73" s="9">
        <f t="shared" si="12"/>
        <v>19.540229885057471</v>
      </c>
      <c r="S73" s="8" t="str">
        <f t="array" ref="S73">IF(R73&gt;5,"Perlu Sensus",IF(AND(R73&gt;=0,O73&gt;0),"Tetap Deteksi","Belum Deteksi"))</f>
        <v>Perlu Sensus</v>
      </c>
      <c r="T73" s="203">
        <v>36</v>
      </c>
      <c r="U73" s="9">
        <f t="shared" si="14"/>
        <v>41.379310344827587</v>
      </c>
      <c r="V73" s="132">
        <v>46248</v>
      </c>
      <c r="W73" s="203">
        <v>261</v>
      </c>
      <c r="X73" s="203">
        <v>29</v>
      </c>
      <c r="Y73" s="9">
        <f t="shared" si="13"/>
        <v>11.111111111111111</v>
      </c>
      <c r="Z73" s="8" t="str">
        <f t="array" ref="Z73">IF(Y73&gt;5,"Perlu Sensus",IF(AND(Y73&gt;0,,O73&gt;0),"Tetap Deteksi","Belum Deteksi"))</f>
        <v>Perlu Sensus</v>
      </c>
      <c r="AA73" s="203">
        <v>88</v>
      </c>
      <c r="AB73" s="9">
        <f t="shared" si="15"/>
        <v>33.716475095785441</v>
      </c>
    </row>
    <row r="74" spans="1:28" outlineLevel="1" x14ac:dyDescent="0.15">
      <c r="A74" s="8" t="s">
        <v>628</v>
      </c>
      <c r="B74" s="8" t="s">
        <v>14</v>
      </c>
      <c r="C74" s="8" t="s">
        <v>79</v>
      </c>
      <c r="D74" s="8" t="s">
        <v>671</v>
      </c>
      <c r="E74" s="9">
        <v>27.1</v>
      </c>
      <c r="F74" s="8" t="s">
        <v>16</v>
      </c>
      <c r="G74" s="143">
        <f t="array" ref="G74">INDEX('[23]SENSUS MEI'!$G$9:$G$453,MATCH(1,('[23]SENSUS MEI'!$D$9:$D$453=$D74)*('[23]SENSUS MEI'!$D$9:$D$453=$D74),0))</f>
        <v>3922</v>
      </c>
      <c r="H74" s="132">
        <f t="shared" si="8"/>
        <v>46247</v>
      </c>
      <c r="I74" s="140">
        <f t="shared" si="8"/>
        <v>109</v>
      </c>
      <c r="J74" s="9">
        <f t="shared" si="9"/>
        <v>2.779194288628251</v>
      </c>
      <c r="K74" s="140">
        <f t="shared" si="10"/>
        <v>7</v>
      </c>
      <c r="L74" s="206">
        <f t="shared" si="11"/>
        <v>6.4220183486238538</v>
      </c>
      <c r="M74" s="8" t="str">
        <f t="array" ref="M74">IF(L74&gt;5,"Perlu Sensus",IF(AND(L74&gt;=0,I74&gt;0),"Tetap Deteksi","Belum Deteksi"))</f>
        <v>Perlu Sensus</v>
      </c>
      <c r="N74" s="132">
        <v>46247</v>
      </c>
      <c r="O74" s="203">
        <v>109</v>
      </c>
      <c r="P74" s="9">
        <f t="array" ref="P74">IFERROR(O74/G74*100,0)</f>
        <v>2.779194288628251</v>
      </c>
      <c r="Q74" s="203">
        <v>7</v>
      </c>
      <c r="R74" s="9">
        <f t="shared" si="12"/>
        <v>6.4220183486238538</v>
      </c>
      <c r="S74" s="8" t="str">
        <f t="array" ref="S74">IF(R74&gt;5,"Perlu Sensus",IF(AND(R74&gt;=0,O74&gt;0),"Tetap Deteksi","Belum Deteksi"))</f>
        <v>Perlu Sensus</v>
      </c>
      <c r="T74" s="203">
        <v>64</v>
      </c>
      <c r="U74" s="9">
        <f t="shared" si="14"/>
        <v>58.715596330275233</v>
      </c>
      <c r="V74" s="132">
        <v>46248</v>
      </c>
      <c r="W74" s="203">
        <v>227</v>
      </c>
      <c r="X74" s="203">
        <v>41</v>
      </c>
      <c r="Y74" s="9">
        <f t="shared" si="13"/>
        <v>18.06167400881057</v>
      </c>
      <c r="Z74" s="8" t="str">
        <f t="array" ref="Z74">IF(Y74&gt;5,"Perlu Sensus",IF(AND(Y74&gt;0,,O74&gt;0),"Tetap Deteksi","Belum Deteksi"))</f>
        <v>Perlu Sensus</v>
      </c>
      <c r="AA74" s="203">
        <v>123</v>
      </c>
      <c r="AB74" s="9">
        <f t="shared" si="15"/>
        <v>54.185022026431717</v>
      </c>
    </row>
    <row r="75" spans="1:28" outlineLevel="1" x14ac:dyDescent="0.15">
      <c r="A75" s="8" t="s">
        <v>628</v>
      </c>
      <c r="B75" s="8" t="s">
        <v>14</v>
      </c>
      <c r="C75" s="8" t="s">
        <v>79</v>
      </c>
      <c r="D75" s="8" t="s">
        <v>21</v>
      </c>
      <c r="E75" s="9">
        <v>46.2</v>
      </c>
      <c r="F75" s="8" t="s">
        <v>16</v>
      </c>
      <c r="G75" s="143">
        <f t="array" ref="G75">INDEX('[23]SENSUS MEI'!$G$9:$G$453,MATCH(1,('[23]SENSUS MEI'!$D$9:$D$453=$D75)*('[23]SENSUS MEI'!$D$9:$D$453=$D75),0))</f>
        <v>6972</v>
      </c>
      <c r="H75" s="132">
        <f t="shared" si="8"/>
        <v>46247</v>
      </c>
      <c r="I75" s="140">
        <f t="shared" si="8"/>
        <v>213</v>
      </c>
      <c r="J75" s="9">
        <f t="shared" si="9"/>
        <v>3.0550774526678142</v>
      </c>
      <c r="K75" s="140">
        <f t="shared" si="10"/>
        <v>18</v>
      </c>
      <c r="L75" s="206">
        <f t="shared" si="11"/>
        <v>8.4507042253521121</v>
      </c>
      <c r="M75" s="8" t="str">
        <f t="array" ref="M75">IF(L75&gt;5,"Perlu Sensus",IF(AND(L75&gt;=0,I75&gt;0),"Tetap Deteksi","Belum Deteksi"))</f>
        <v>Perlu Sensus</v>
      </c>
      <c r="N75" s="132">
        <v>46247</v>
      </c>
      <c r="O75" s="203">
        <v>213</v>
      </c>
      <c r="P75" s="9">
        <f t="array" ref="P75">IFERROR(O75/G75*100,0)</f>
        <v>3.0550774526678142</v>
      </c>
      <c r="Q75" s="203">
        <v>18</v>
      </c>
      <c r="R75" s="9">
        <f t="shared" si="12"/>
        <v>8.4507042253521121</v>
      </c>
      <c r="S75" s="8" t="str">
        <f t="array" ref="S75">IF(R75&gt;5,"Perlu Sensus",IF(AND(R75&gt;=0,O75&gt;0),"Tetap Deteksi","Belum Deteksi"))</f>
        <v>Perlu Sensus</v>
      </c>
      <c r="T75" s="203">
        <v>140</v>
      </c>
      <c r="U75" s="9">
        <f t="shared" si="14"/>
        <v>65.727699530516432</v>
      </c>
      <c r="V75" s="132">
        <v>46248</v>
      </c>
      <c r="W75" s="203">
        <v>339</v>
      </c>
      <c r="X75" s="203">
        <v>44</v>
      </c>
      <c r="Y75" s="9">
        <f t="shared" si="13"/>
        <v>12.979351032448378</v>
      </c>
      <c r="Z75" s="8" t="str">
        <f t="array" ref="Z75">IF(Y75&gt;5,"Perlu Sensus",IF(AND(Y75&gt;0,,O75&gt;0),"Tetap Deteksi","Belum Deteksi"))</f>
        <v>Perlu Sensus</v>
      </c>
      <c r="AA75" s="203">
        <v>133</v>
      </c>
      <c r="AB75" s="9">
        <f t="shared" si="15"/>
        <v>39.233038348082594</v>
      </c>
    </row>
    <row r="76" spans="1:28" outlineLevel="1" x14ac:dyDescent="0.15">
      <c r="A76" s="8" t="s">
        <v>628</v>
      </c>
      <c r="B76" s="8" t="s">
        <v>14</v>
      </c>
      <c r="C76" s="8" t="s">
        <v>79</v>
      </c>
      <c r="D76" s="8" t="s">
        <v>22</v>
      </c>
      <c r="E76" s="9">
        <v>47.9</v>
      </c>
      <c r="F76" s="8" t="s">
        <v>16</v>
      </c>
      <c r="G76" s="143">
        <f t="array" ref="G76">INDEX('[23]SENSUS MEI'!$G$9:$G$453,MATCH(1,('[23]SENSUS MEI'!$D$9:$D$453=$D76)*('[23]SENSUS MEI'!$D$9:$D$453=$D76),0))</f>
        <v>7178</v>
      </c>
      <c r="H76" s="132">
        <f t="shared" si="8"/>
        <v>46248</v>
      </c>
      <c r="I76" s="140">
        <f t="shared" si="8"/>
        <v>222</v>
      </c>
      <c r="J76" s="9">
        <f t="shared" si="9"/>
        <v>3.0927835051546393</v>
      </c>
      <c r="K76" s="140">
        <f t="shared" si="10"/>
        <v>15</v>
      </c>
      <c r="L76" s="206">
        <f t="shared" si="11"/>
        <v>6.756756756756757</v>
      </c>
      <c r="M76" s="8" t="str">
        <f t="array" ref="M76">IF(L76&gt;5,"Perlu Sensus",IF(AND(L76&gt;=0,I76&gt;0),"Tetap Deteksi","Belum Deteksi"))</f>
        <v>Perlu Sensus</v>
      </c>
      <c r="N76" s="132">
        <v>46248</v>
      </c>
      <c r="O76" s="203">
        <v>222</v>
      </c>
      <c r="P76" s="9">
        <f t="array" ref="P76">IFERROR(O76/G76*100,0)</f>
        <v>3.0927835051546393</v>
      </c>
      <c r="Q76" s="203">
        <v>15</v>
      </c>
      <c r="R76" s="9">
        <f t="shared" si="12"/>
        <v>6.756756756756757</v>
      </c>
      <c r="S76" s="8" t="str">
        <f t="array" ref="S76">IF(R76&gt;5,"Perlu Sensus",IF(AND(R76&gt;=0,O76&gt;0),"Tetap Deteksi","Belum Deteksi"))</f>
        <v>Perlu Sensus</v>
      </c>
      <c r="T76" s="203">
        <v>176</v>
      </c>
      <c r="U76" s="9">
        <f t="shared" si="14"/>
        <v>79.27927927927928</v>
      </c>
      <c r="V76" s="132">
        <v>46249</v>
      </c>
      <c r="W76" s="203">
        <v>166</v>
      </c>
      <c r="X76" s="203">
        <v>38</v>
      </c>
      <c r="Y76" s="9">
        <f t="shared" si="13"/>
        <v>22.891566265060241</v>
      </c>
      <c r="Z76" s="8" t="str">
        <f t="array" ref="Z76">IF(Y76&gt;5,"Perlu Sensus",IF(AND(Y76&gt;0,,O76&gt;0),"Tetap Deteksi","Belum Deteksi"))</f>
        <v>Perlu Sensus</v>
      </c>
      <c r="AA76" s="203">
        <v>113</v>
      </c>
      <c r="AB76" s="9">
        <f t="shared" si="15"/>
        <v>68.07228915662651</v>
      </c>
    </row>
    <row r="77" spans="1:28" outlineLevel="1" x14ac:dyDescent="0.15">
      <c r="A77" s="8" t="s">
        <v>628</v>
      </c>
      <c r="B77" s="8" t="s">
        <v>14</v>
      </c>
      <c r="C77" s="8" t="s">
        <v>79</v>
      </c>
      <c r="D77" s="8" t="s">
        <v>672</v>
      </c>
      <c r="E77" s="9">
        <v>20.92</v>
      </c>
      <c r="F77" s="8" t="s">
        <v>16</v>
      </c>
      <c r="G77" s="143">
        <f t="array" ref="G77">INDEX('[23]SENSUS MEI'!$G$9:$G$453,MATCH(1,('[23]SENSUS MEI'!$D$9:$D$453=$D77)*('[23]SENSUS MEI'!$D$9:$D$453=$D77),0))</f>
        <v>3212</v>
      </c>
      <c r="H77" s="132">
        <f t="shared" si="8"/>
        <v>46248</v>
      </c>
      <c r="I77" s="140">
        <f t="shared" si="8"/>
        <v>118</v>
      </c>
      <c r="J77" s="9">
        <f t="shared" si="9"/>
        <v>3.6737235367372354</v>
      </c>
      <c r="K77" s="140">
        <f t="shared" si="10"/>
        <v>12</v>
      </c>
      <c r="L77" s="206">
        <f t="shared" si="11"/>
        <v>10.16949152542373</v>
      </c>
      <c r="M77" s="8" t="str">
        <f t="array" ref="M77">IF(L77&gt;5,"Perlu Sensus",IF(AND(L77&gt;=0,I77&gt;0),"Tetap Deteksi","Belum Deteksi"))</f>
        <v>Perlu Sensus</v>
      </c>
      <c r="N77" s="132">
        <v>46248</v>
      </c>
      <c r="O77" s="203">
        <v>118</v>
      </c>
      <c r="P77" s="9">
        <f t="array" ref="P77">IFERROR(O77/G77*100,0)</f>
        <v>3.6737235367372354</v>
      </c>
      <c r="Q77" s="203">
        <v>12</v>
      </c>
      <c r="R77" s="9">
        <f t="shared" si="12"/>
        <v>10.16949152542373</v>
      </c>
      <c r="S77" s="8" t="str">
        <f t="array" ref="S77">IF(R77&gt;5,"Perlu Sensus",IF(AND(R77&gt;=0,O77&gt;0),"Tetap Deteksi","Belum Deteksi"))</f>
        <v>Perlu Sensus</v>
      </c>
      <c r="T77" s="203">
        <v>49</v>
      </c>
      <c r="U77" s="9">
        <f t="shared" si="14"/>
        <v>41.525423728813557</v>
      </c>
      <c r="V77" s="132">
        <v>46249</v>
      </c>
      <c r="W77" s="203">
        <v>254</v>
      </c>
      <c r="X77" s="203">
        <v>32</v>
      </c>
      <c r="Y77" s="9">
        <f t="shared" si="13"/>
        <v>12.598425196850393</v>
      </c>
      <c r="Z77" s="8" t="str">
        <f t="array" ref="Z77">IF(Y77&gt;5,"Perlu Sensus",IF(AND(Y77&gt;0,,O77&gt;0),"Tetap Deteksi","Belum Deteksi"))</f>
        <v>Perlu Sensus</v>
      </c>
      <c r="AA77" s="203">
        <v>95</v>
      </c>
      <c r="AB77" s="9">
        <f t="shared" si="15"/>
        <v>37.401574803149607</v>
      </c>
    </row>
    <row r="78" spans="1:28" outlineLevel="1" x14ac:dyDescent="0.15">
      <c r="A78" s="8" t="s">
        <v>628</v>
      </c>
      <c r="B78" s="8" t="s">
        <v>14</v>
      </c>
      <c r="C78" s="8" t="s">
        <v>79</v>
      </c>
      <c r="D78" s="8" t="s">
        <v>673</v>
      </c>
      <c r="E78" s="9">
        <v>12.8</v>
      </c>
      <c r="F78" s="8" t="s">
        <v>16</v>
      </c>
      <c r="G78" s="143">
        <f t="array" ref="G78">INDEX('[23]SENSUS MEI'!$G$9:$G$453,MATCH(1,('[23]SENSUS MEI'!$D$9:$D$453=$D78)*('[23]SENSUS MEI'!$D$9:$D$453=$D78),0))</f>
        <v>1613</v>
      </c>
      <c r="H78" s="132">
        <f t="shared" si="8"/>
        <v>46248</v>
      </c>
      <c r="I78" s="140">
        <f t="shared" si="8"/>
        <v>77</v>
      </c>
      <c r="J78" s="9">
        <f t="shared" si="9"/>
        <v>4.7737135771853696</v>
      </c>
      <c r="K78" s="140">
        <f t="shared" si="10"/>
        <v>4</v>
      </c>
      <c r="L78" s="206">
        <f t="shared" si="11"/>
        <v>5.1948051948051948</v>
      </c>
      <c r="M78" s="8" t="str">
        <f t="array" ref="M78">IF(L78&gt;5,"Perlu Sensus",IF(AND(L78&gt;=0,I78&gt;0),"Tetap Deteksi","Belum Deteksi"))</f>
        <v>Perlu Sensus</v>
      </c>
      <c r="N78" s="132">
        <v>46248</v>
      </c>
      <c r="O78" s="203">
        <v>77</v>
      </c>
      <c r="P78" s="9">
        <f t="array" ref="P78">IFERROR(O78/G78*100,0)</f>
        <v>4.7737135771853696</v>
      </c>
      <c r="Q78" s="203">
        <v>4</v>
      </c>
      <c r="R78" s="9">
        <f t="shared" si="12"/>
        <v>5.1948051948051948</v>
      </c>
      <c r="S78" s="8" t="str">
        <f t="array" ref="S78">IF(R78&gt;5,"Perlu Sensus",IF(AND(R78&gt;=0,O78&gt;0),"Tetap Deteksi","Belum Deteksi"))</f>
        <v>Perlu Sensus</v>
      </c>
      <c r="T78" s="203">
        <v>41</v>
      </c>
      <c r="U78" s="9">
        <f t="shared" si="14"/>
        <v>53.246753246753244</v>
      </c>
      <c r="V78" s="132">
        <v>46249</v>
      </c>
      <c r="W78" s="203">
        <v>231</v>
      </c>
      <c r="X78" s="203">
        <v>31</v>
      </c>
      <c r="Y78" s="9">
        <f t="shared" si="13"/>
        <v>13.419913419913421</v>
      </c>
      <c r="Z78" s="8" t="str">
        <f t="array" ref="Z78">IF(Y78&gt;5,"Perlu Sensus",IF(AND(Y78&gt;0,,O78&gt;0),"Tetap Deteksi","Belum Deteksi"))</f>
        <v>Perlu Sensus</v>
      </c>
      <c r="AA78" s="203">
        <v>93</v>
      </c>
      <c r="AB78" s="9">
        <f t="shared" si="15"/>
        <v>40.259740259740262</v>
      </c>
    </row>
    <row r="79" spans="1:28" outlineLevel="1" x14ac:dyDescent="0.15">
      <c r="A79" s="8" t="s">
        <v>628</v>
      </c>
      <c r="B79" s="8" t="s">
        <v>14</v>
      </c>
      <c r="C79" s="8" t="s">
        <v>79</v>
      </c>
      <c r="D79" s="8" t="s">
        <v>674</v>
      </c>
      <c r="E79" s="9">
        <v>35.06</v>
      </c>
      <c r="F79" s="8" t="s">
        <v>16</v>
      </c>
      <c r="G79" s="143">
        <f t="array" ref="G79">INDEX('[23]SENSUS MEI'!$G$9:$G$453,MATCH(1,('[23]SENSUS MEI'!$D$9:$D$453=$D79)*('[23]SENSUS MEI'!$D$9:$D$453=$D79),0))</f>
        <v>4615</v>
      </c>
      <c r="H79" s="132">
        <f t="shared" si="8"/>
        <v>46248</v>
      </c>
      <c r="I79" s="140">
        <f t="shared" si="8"/>
        <v>112</v>
      </c>
      <c r="J79" s="9">
        <f t="shared" si="9"/>
        <v>2.4268689057421451</v>
      </c>
      <c r="K79" s="140">
        <f t="shared" si="10"/>
        <v>6</v>
      </c>
      <c r="L79" s="206">
        <f t="shared" si="11"/>
        <v>5.3571428571428568</v>
      </c>
      <c r="M79" s="8" t="str">
        <f t="array" ref="M79">IF(L79&gt;5,"Perlu Sensus",IF(AND(L79&gt;=0,I79&gt;0),"Tetap Deteksi","Belum Deteksi"))</f>
        <v>Perlu Sensus</v>
      </c>
      <c r="N79" s="132">
        <v>46248</v>
      </c>
      <c r="O79" s="203">
        <v>112</v>
      </c>
      <c r="P79" s="9">
        <f t="array" ref="P79">IFERROR(O79/G79*100,0)</f>
        <v>2.4268689057421451</v>
      </c>
      <c r="Q79" s="203">
        <v>6</v>
      </c>
      <c r="R79" s="9">
        <f t="shared" si="12"/>
        <v>5.3571428571428568</v>
      </c>
      <c r="S79" s="8" t="str">
        <f t="array" ref="S79">IF(R79&gt;5,"Perlu Sensus",IF(AND(R79&gt;=0,O79&gt;0),"Tetap Deteksi","Belum Deteksi"))</f>
        <v>Perlu Sensus</v>
      </c>
      <c r="T79" s="203">
        <v>63</v>
      </c>
      <c r="U79" s="9">
        <f t="shared" si="14"/>
        <v>56.25</v>
      </c>
      <c r="V79" s="132">
        <v>46238</v>
      </c>
      <c r="W79" s="203">
        <v>236</v>
      </c>
      <c r="X79" s="203">
        <v>34</v>
      </c>
      <c r="Y79" s="9">
        <f t="shared" si="13"/>
        <v>14.40677966101695</v>
      </c>
      <c r="Z79" s="8" t="str">
        <f t="array" ref="Z79">IF(Y79&gt;5,"Perlu Sensus",IF(AND(Y79&gt;0,,O79&gt;0),"Tetap Deteksi","Belum Deteksi"))</f>
        <v>Perlu Sensus</v>
      </c>
      <c r="AA79" s="203">
        <v>103</v>
      </c>
      <c r="AB79" s="9">
        <f t="shared" si="15"/>
        <v>43.644067796610173</v>
      </c>
    </row>
    <row r="80" spans="1:28" outlineLevel="1" x14ac:dyDescent="0.15">
      <c r="A80" s="8" t="s">
        <v>628</v>
      </c>
      <c r="B80" s="8" t="s">
        <v>14</v>
      </c>
      <c r="C80" s="8" t="s">
        <v>79</v>
      </c>
      <c r="D80" s="8" t="s">
        <v>675</v>
      </c>
      <c r="E80" s="9">
        <v>22.89</v>
      </c>
      <c r="F80" s="8" t="s">
        <v>16</v>
      </c>
      <c r="G80" s="143">
        <f t="array" ref="G80">INDEX('[23]SENSUS MEI'!$G$9:$G$453,MATCH(1,('[23]SENSUS MEI'!$D$9:$D$453=$D80)*('[23]SENSUS MEI'!$D$9:$D$453=$D80),0))</f>
        <v>3458</v>
      </c>
      <c r="H80" s="132">
        <f t="shared" si="8"/>
        <v>46248</v>
      </c>
      <c r="I80" s="140">
        <f t="shared" si="8"/>
        <v>106</v>
      </c>
      <c r="J80" s="9">
        <f t="shared" si="9"/>
        <v>3.065355696934644</v>
      </c>
      <c r="K80" s="140">
        <f t="shared" si="10"/>
        <v>13</v>
      </c>
      <c r="L80" s="206">
        <f t="shared" si="11"/>
        <v>12.264150943396226</v>
      </c>
      <c r="M80" s="8" t="str">
        <f t="array" ref="M80">IF(L80&gt;5,"Perlu Sensus",IF(AND(L80&gt;=0,I80&gt;0),"Tetap Deteksi","Belum Deteksi"))</f>
        <v>Perlu Sensus</v>
      </c>
      <c r="N80" s="132">
        <v>46248</v>
      </c>
      <c r="O80" s="203">
        <v>106</v>
      </c>
      <c r="P80" s="9">
        <f t="array" ref="P80">IFERROR(O80/G80*100,0)</f>
        <v>3.065355696934644</v>
      </c>
      <c r="Q80" s="203">
        <v>13</v>
      </c>
      <c r="R80" s="9">
        <f t="shared" si="12"/>
        <v>12.264150943396226</v>
      </c>
      <c r="S80" s="8" t="str">
        <f t="array" ref="S80">IF(R80&gt;5,"Perlu Sensus",IF(AND(R80&gt;=0,O80&gt;0),"Tetap Deteksi","Belum Deteksi"))</f>
        <v>Perlu Sensus</v>
      </c>
      <c r="T80" s="203">
        <v>31</v>
      </c>
      <c r="U80" s="9">
        <f t="shared" si="14"/>
        <v>29.245283018867923</v>
      </c>
      <c r="V80" s="132">
        <v>46238</v>
      </c>
      <c r="W80" s="203">
        <v>318</v>
      </c>
      <c r="X80" s="203">
        <v>31</v>
      </c>
      <c r="Y80" s="9">
        <f t="shared" si="13"/>
        <v>9.7484276729559749</v>
      </c>
      <c r="Z80" s="8" t="str">
        <f t="array" ref="Z80">IF(Y80&gt;5,"Perlu Sensus",IF(AND(Y80&gt;0,,O80&gt;0),"Tetap Deteksi","Belum Deteksi"))</f>
        <v>Perlu Sensus</v>
      </c>
      <c r="AA80" s="203">
        <v>93</v>
      </c>
      <c r="AB80" s="9">
        <f t="shared" si="15"/>
        <v>29.245283018867923</v>
      </c>
    </row>
    <row r="81" spans="1:28" outlineLevel="1" x14ac:dyDescent="0.15">
      <c r="A81" s="8" t="s">
        <v>628</v>
      </c>
      <c r="B81" s="8" t="s">
        <v>14</v>
      </c>
      <c r="C81" s="8" t="s">
        <v>79</v>
      </c>
      <c r="D81" s="8" t="s">
        <v>676</v>
      </c>
      <c r="E81" s="9">
        <v>23.49</v>
      </c>
      <c r="F81" s="8" t="s">
        <v>16</v>
      </c>
      <c r="G81" s="143">
        <f t="array" ref="G81">INDEX('[23]SENSUS MEI'!$G$9:$G$453,MATCH(1,('[23]SENSUS MEI'!$D$9:$D$453=$D81)*('[23]SENSUS MEI'!$D$9:$D$453=$D81),0))</f>
        <v>3398</v>
      </c>
      <c r="H81" s="132">
        <f t="shared" si="8"/>
        <v>46248</v>
      </c>
      <c r="I81" s="140">
        <f t="shared" si="8"/>
        <v>122</v>
      </c>
      <c r="J81" s="9">
        <f t="shared" si="9"/>
        <v>3.5903472630959388</v>
      </c>
      <c r="K81" s="140">
        <f t="shared" si="10"/>
        <v>10</v>
      </c>
      <c r="L81" s="206">
        <f t="shared" si="11"/>
        <v>8.1967213114754092</v>
      </c>
      <c r="M81" s="8" t="str">
        <f t="array" ref="M81">IF(L81&gt;5,"Perlu Sensus",IF(AND(L81&gt;=0,I81&gt;0),"Tetap Deteksi","Belum Deteksi"))</f>
        <v>Perlu Sensus</v>
      </c>
      <c r="N81" s="132">
        <v>46248</v>
      </c>
      <c r="O81" s="203">
        <v>122</v>
      </c>
      <c r="P81" s="9">
        <f t="array" ref="P81">IFERROR(O81/G81*100,0)</f>
        <v>3.5903472630959388</v>
      </c>
      <c r="Q81" s="203">
        <v>10</v>
      </c>
      <c r="R81" s="9">
        <f t="shared" si="12"/>
        <v>8.1967213114754092</v>
      </c>
      <c r="S81" s="8" t="str">
        <f t="array" ref="S81">IF(R81&gt;5,"Perlu Sensus",IF(AND(R81&gt;=0,O81&gt;0),"Tetap Deteksi","Belum Deteksi"))</f>
        <v>Perlu Sensus</v>
      </c>
      <c r="T81" s="203">
        <v>38</v>
      </c>
      <c r="U81" s="9">
        <f t="shared" si="14"/>
        <v>31.147540983606557</v>
      </c>
      <c r="V81" s="132">
        <v>46238</v>
      </c>
      <c r="W81" s="203">
        <v>366</v>
      </c>
      <c r="X81" s="203">
        <v>35</v>
      </c>
      <c r="Y81" s="9">
        <f t="shared" si="13"/>
        <v>9.5628415300546443</v>
      </c>
      <c r="Z81" s="8" t="str">
        <f t="array" ref="Z81">IF(Y81&gt;5,"Perlu Sensus",IF(AND(Y81&gt;0,,O81&gt;0),"Tetap Deteksi","Belum Deteksi"))</f>
        <v>Perlu Sensus</v>
      </c>
      <c r="AA81" s="203">
        <v>104</v>
      </c>
      <c r="AB81" s="9">
        <f t="shared" si="15"/>
        <v>28.415300546448087</v>
      </c>
    </row>
    <row r="82" spans="1:28" outlineLevel="1" x14ac:dyDescent="0.15">
      <c r="A82" s="8" t="s">
        <v>628</v>
      </c>
      <c r="B82" s="8" t="s">
        <v>14</v>
      </c>
      <c r="C82" s="8" t="s">
        <v>79</v>
      </c>
      <c r="D82" s="8" t="s">
        <v>677</v>
      </c>
      <c r="E82" s="9">
        <v>24.83</v>
      </c>
      <c r="F82" s="8" t="s">
        <v>16</v>
      </c>
      <c r="G82" s="143">
        <f t="array" ref="G82">INDEX('[23]SENSUS MEI'!$G$9:$G$453,MATCH(1,('[23]SENSUS MEI'!$D$9:$D$453=$D82)*('[23]SENSUS MEI'!$D$9:$D$453=$D82),0))</f>
        <v>3497</v>
      </c>
      <c r="H82" s="132">
        <f t="shared" si="8"/>
        <v>46249</v>
      </c>
      <c r="I82" s="140">
        <f t="shared" si="8"/>
        <v>105</v>
      </c>
      <c r="J82" s="9">
        <f t="shared" si="9"/>
        <v>3.0025736345438947</v>
      </c>
      <c r="K82" s="140">
        <f t="shared" si="10"/>
        <v>20</v>
      </c>
      <c r="L82" s="206">
        <f t="shared" si="11"/>
        <v>19.047619047619047</v>
      </c>
      <c r="M82" s="8" t="str">
        <f t="array" ref="M82">IF(L82&gt;5,"Perlu Sensus",IF(AND(L82&gt;=0,I82&gt;0),"Tetap Deteksi","Belum Deteksi"))</f>
        <v>Perlu Sensus</v>
      </c>
      <c r="N82" s="132">
        <v>46249</v>
      </c>
      <c r="O82" s="203">
        <v>105</v>
      </c>
      <c r="P82" s="9">
        <f t="array" ref="P82">IFERROR(O82/G82*100,0)</f>
        <v>3.0025736345438947</v>
      </c>
      <c r="Q82" s="203">
        <v>20</v>
      </c>
      <c r="R82" s="9">
        <f t="shared" si="12"/>
        <v>19.047619047619047</v>
      </c>
      <c r="S82" s="8" t="str">
        <f t="array" ref="S82">IF(R82&gt;5,"Perlu Sensus",IF(AND(R82&gt;=0,O82&gt;0),"Tetap Deteksi","Belum Deteksi"))</f>
        <v>Perlu Sensus</v>
      </c>
      <c r="T82" s="203">
        <v>81</v>
      </c>
      <c r="U82" s="9">
        <f t="shared" si="14"/>
        <v>77.142857142857153</v>
      </c>
      <c r="V82" s="132">
        <v>46238</v>
      </c>
      <c r="W82" s="203">
        <v>315</v>
      </c>
      <c r="X82" s="203">
        <v>48</v>
      </c>
      <c r="Y82" s="9">
        <f t="shared" si="13"/>
        <v>15.238095238095239</v>
      </c>
      <c r="Z82" s="8" t="str">
        <f t="array" ref="Z82">IF(Y82&gt;5,"Perlu Sensus",IF(AND(Y82&gt;0,,O82&gt;0),"Tetap Deteksi","Belum Deteksi"))</f>
        <v>Perlu Sensus</v>
      </c>
      <c r="AA82" s="203">
        <v>143</v>
      </c>
      <c r="AB82" s="9">
        <f t="shared" si="15"/>
        <v>45.396825396825399</v>
      </c>
    </row>
    <row r="83" spans="1:28" outlineLevel="1" x14ac:dyDescent="0.15">
      <c r="A83" s="8" t="s">
        <v>628</v>
      </c>
      <c r="B83" s="8" t="s">
        <v>14</v>
      </c>
      <c r="C83" s="8" t="s">
        <v>79</v>
      </c>
      <c r="D83" s="8" t="s">
        <v>678</v>
      </c>
      <c r="E83" s="9">
        <v>8.0399999999999991</v>
      </c>
      <c r="F83" s="8" t="s">
        <v>16</v>
      </c>
      <c r="G83" s="143">
        <f t="array" ref="G83">INDEX('[23]SENSUS MEI'!$G$9:$G$453,MATCH(1,('[23]SENSUS MEI'!$D$9:$D$453=$D83)*('[23]SENSUS MEI'!$D$9:$D$453=$D83),0))</f>
        <v>898</v>
      </c>
      <c r="H83" s="132">
        <f t="shared" si="8"/>
        <v>46249</v>
      </c>
      <c r="I83" s="140">
        <f t="shared" si="8"/>
        <v>70</v>
      </c>
      <c r="J83" s="9">
        <f t="shared" si="9"/>
        <v>7.7951002227171493</v>
      </c>
      <c r="K83" s="140">
        <f t="shared" si="10"/>
        <v>7</v>
      </c>
      <c r="L83" s="206">
        <f t="shared" si="11"/>
        <v>10</v>
      </c>
      <c r="M83" s="8" t="str">
        <f t="array" ref="M83">IF(L83&gt;5,"Perlu Sensus",IF(AND(L83&gt;=0,I83&gt;0),"Tetap Deteksi","Belum Deteksi"))</f>
        <v>Perlu Sensus</v>
      </c>
      <c r="N83" s="132">
        <v>46249</v>
      </c>
      <c r="O83" s="203">
        <v>70</v>
      </c>
      <c r="P83" s="9">
        <f t="array" ref="P83">IFERROR(O83/G83*100,0)</f>
        <v>7.7951002227171493</v>
      </c>
      <c r="Q83" s="203">
        <v>7</v>
      </c>
      <c r="R83" s="9">
        <f t="shared" si="12"/>
        <v>10</v>
      </c>
      <c r="S83" s="8" t="str">
        <f t="array" ref="S83">IF(R83&gt;5,"Perlu Sensus",IF(AND(R83&gt;=0,O83&gt;0),"Tetap Deteksi","Belum Deteksi"))</f>
        <v>Perlu Sensus</v>
      </c>
      <c r="T83" s="203">
        <v>56</v>
      </c>
      <c r="U83" s="9">
        <f t="shared" si="14"/>
        <v>80</v>
      </c>
      <c r="V83" s="132">
        <v>46239</v>
      </c>
      <c r="W83" s="203">
        <v>210</v>
      </c>
      <c r="X83" s="203">
        <v>39</v>
      </c>
      <c r="Y83" s="9">
        <f t="shared" si="13"/>
        <v>18.571428571428573</v>
      </c>
      <c r="Z83" s="8" t="str">
        <f t="array" ref="Z83">IF(Y83&gt;5,"Perlu Sensus",IF(AND(Y83&gt;0,,O83&gt;0),"Tetap Deteksi","Belum Deteksi"))</f>
        <v>Perlu Sensus</v>
      </c>
      <c r="AA83" s="203">
        <v>118</v>
      </c>
      <c r="AB83" s="9">
        <f t="shared" si="15"/>
        <v>56.19047619047619</v>
      </c>
    </row>
    <row r="84" spans="1:28" outlineLevel="1" x14ac:dyDescent="0.15">
      <c r="A84" s="8" t="s">
        <v>628</v>
      </c>
      <c r="B84" s="8" t="s">
        <v>14</v>
      </c>
      <c r="C84" s="8" t="s">
        <v>79</v>
      </c>
      <c r="D84" s="8" t="s">
        <v>679</v>
      </c>
      <c r="E84" s="9">
        <v>32.42</v>
      </c>
      <c r="F84" s="8" t="s">
        <v>16</v>
      </c>
      <c r="G84" s="143">
        <f t="array" ref="G84">INDEX('[23]SENSUS MEI'!$G$9:$G$453,MATCH(1,('[23]SENSUS MEI'!$D$9:$D$453=$D84)*('[23]SENSUS MEI'!$D$9:$D$453=$D84),0))</f>
        <v>4386</v>
      </c>
      <c r="H84" s="132">
        <f t="shared" si="8"/>
        <v>46249</v>
      </c>
      <c r="I84" s="140">
        <f t="shared" si="8"/>
        <v>150</v>
      </c>
      <c r="J84" s="9">
        <f t="shared" si="9"/>
        <v>3.4199726402188784</v>
      </c>
      <c r="K84" s="140">
        <f t="shared" si="10"/>
        <v>18</v>
      </c>
      <c r="L84" s="206">
        <f t="shared" si="11"/>
        <v>12</v>
      </c>
      <c r="M84" s="8" t="str">
        <f t="array" ref="M84">IF(L84&gt;5,"Perlu Sensus",IF(AND(L84&gt;=0,I84&gt;0),"Tetap Deteksi","Belum Deteksi"))</f>
        <v>Perlu Sensus</v>
      </c>
      <c r="N84" s="132">
        <v>46249</v>
      </c>
      <c r="O84" s="203">
        <v>150</v>
      </c>
      <c r="P84" s="9">
        <f t="array" ref="P84">IFERROR(O84/G84*100,0)</f>
        <v>3.4199726402188784</v>
      </c>
      <c r="Q84" s="203">
        <v>18</v>
      </c>
      <c r="R84" s="9">
        <f t="shared" si="12"/>
        <v>12</v>
      </c>
      <c r="S84" s="8" t="str">
        <f t="array" ref="S84">IF(R84&gt;5,"Perlu Sensus",IF(AND(R84&gt;=0,O84&gt;0),"Tetap Deteksi","Belum Deteksi"))</f>
        <v>Perlu Sensus</v>
      </c>
      <c r="T84" s="203">
        <v>66</v>
      </c>
      <c r="U84" s="9">
        <f t="shared" si="14"/>
        <v>44</v>
      </c>
      <c r="V84" s="132">
        <v>46239</v>
      </c>
      <c r="W84" s="203">
        <v>150</v>
      </c>
      <c r="X84" s="203">
        <v>22</v>
      </c>
      <c r="Y84" s="9">
        <f t="shared" si="13"/>
        <v>14.666666666666666</v>
      </c>
      <c r="Z84" s="8" t="str">
        <f t="array" ref="Z84">IF(Y84&gt;5,"Perlu Sensus",IF(AND(Y84&gt;0,,O84&gt;0),"Tetap Deteksi","Belum Deteksi"))</f>
        <v>Perlu Sensus</v>
      </c>
      <c r="AA84" s="203">
        <v>68</v>
      </c>
      <c r="AB84" s="9">
        <f t="shared" si="15"/>
        <v>45.333333333333329</v>
      </c>
    </row>
    <row r="85" spans="1:28" outlineLevel="1" x14ac:dyDescent="0.15">
      <c r="A85" s="8" t="s">
        <v>628</v>
      </c>
      <c r="B85" s="8" t="s">
        <v>14</v>
      </c>
      <c r="C85" s="8" t="s">
        <v>79</v>
      </c>
      <c r="D85" s="8" t="s">
        <v>680</v>
      </c>
      <c r="E85" s="9">
        <v>32.43</v>
      </c>
      <c r="F85" s="8" t="s">
        <v>16</v>
      </c>
      <c r="G85" s="143">
        <f t="array" ref="G85">INDEX('[23]SENSUS MEI'!$G$9:$G$453,MATCH(1,('[23]SENSUS MEI'!$D$9:$D$453=$D85)*('[23]SENSUS MEI'!$D$9:$D$453=$D85),0))</f>
        <v>4014</v>
      </c>
      <c r="H85" s="132">
        <f t="shared" si="8"/>
        <v>46249</v>
      </c>
      <c r="I85" s="140">
        <f t="shared" si="8"/>
        <v>343</v>
      </c>
      <c r="J85" s="9">
        <f t="shared" si="9"/>
        <v>8.545092177379173</v>
      </c>
      <c r="K85" s="140">
        <f t="shared" si="10"/>
        <v>24</v>
      </c>
      <c r="L85" s="206">
        <f t="shared" si="11"/>
        <v>6.9970845481049562</v>
      </c>
      <c r="M85" s="8" t="str">
        <f t="array" ref="M85">IF(L85&gt;5,"Perlu Sensus",IF(AND(L85&gt;=0,I85&gt;0),"Tetap Deteksi","Belum Deteksi"))</f>
        <v>Perlu Sensus</v>
      </c>
      <c r="N85" s="132">
        <v>46249</v>
      </c>
      <c r="O85" s="203">
        <v>343</v>
      </c>
      <c r="P85" s="9">
        <f t="array" ref="P85">IFERROR(O85/G85*100,0)</f>
        <v>8.545092177379173</v>
      </c>
      <c r="Q85" s="203">
        <v>24</v>
      </c>
      <c r="R85" s="9">
        <f t="shared" si="12"/>
        <v>6.9970845481049562</v>
      </c>
      <c r="S85" s="8" t="str">
        <f t="array" ref="S85">IF(R85&gt;5,"Perlu Sensus",IF(AND(R85&gt;=0,O85&gt;0),"Tetap Deteksi","Belum Deteksi"))</f>
        <v>Perlu Sensus</v>
      </c>
      <c r="T85" s="203">
        <v>152</v>
      </c>
      <c r="U85" s="9">
        <f t="shared" si="14"/>
        <v>44.314868804664727</v>
      </c>
      <c r="V85" s="132">
        <v>46239</v>
      </c>
      <c r="W85" s="203">
        <v>229</v>
      </c>
      <c r="X85" s="203">
        <v>26</v>
      </c>
      <c r="Y85" s="9">
        <f t="shared" si="13"/>
        <v>11.353711790393014</v>
      </c>
      <c r="Z85" s="8" t="str">
        <f t="array" ref="Z85">IF(Y85&gt;5,"Perlu Sensus",IF(AND(Y85&gt;0,,O85&gt;0),"Tetap Deteksi","Belum Deteksi"))</f>
        <v>Perlu Sensus</v>
      </c>
      <c r="AA85" s="203">
        <v>81</v>
      </c>
      <c r="AB85" s="9">
        <f t="shared" si="15"/>
        <v>35.37117903930131</v>
      </c>
    </row>
    <row r="86" spans="1:28" outlineLevel="1" x14ac:dyDescent="0.15">
      <c r="A86" s="8" t="s">
        <v>628</v>
      </c>
      <c r="B86" s="8" t="s">
        <v>14</v>
      </c>
      <c r="C86" s="8" t="s">
        <v>79</v>
      </c>
      <c r="D86" s="8" t="s">
        <v>681</v>
      </c>
      <c r="E86" s="9">
        <v>22.56</v>
      </c>
      <c r="F86" s="8" t="s">
        <v>16</v>
      </c>
      <c r="G86" s="143">
        <f t="array" ref="G86">INDEX('[23]SENSUS MEI'!$G$9:$G$453,MATCH(1,('[23]SENSUS MEI'!$D$9:$D$453=$D86)*('[23]SENSUS MEI'!$D$9:$D$453=$D86),0))</f>
        <v>2851</v>
      </c>
      <c r="H86" s="132">
        <f t="shared" ref="H86:I149" si="16">IF(N86&gt;0,N86,V86)</f>
        <v>46249</v>
      </c>
      <c r="I86" s="140">
        <f t="shared" si="16"/>
        <v>80</v>
      </c>
      <c r="J86" s="9">
        <f t="shared" si="9"/>
        <v>2.8060329708874079</v>
      </c>
      <c r="K86" s="140">
        <f t="shared" si="10"/>
        <v>19</v>
      </c>
      <c r="L86" s="206">
        <f t="shared" si="11"/>
        <v>23.75</v>
      </c>
      <c r="M86" s="8" t="str">
        <f t="array" ref="M86">IF(L86&gt;5,"Perlu Sensus",IF(AND(L86&gt;=0,I86&gt;0),"Tetap Deteksi","Belum Deteksi"))</f>
        <v>Perlu Sensus</v>
      </c>
      <c r="N86" s="132">
        <v>46249</v>
      </c>
      <c r="O86" s="203">
        <v>80</v>
      </c>
      <c r="P86" s="9">
        <f t="array" ref="P86">IFERROR(O86/G86*100,0)</f>
        <v>2.8060329708874079</v>
      </c>
      <c r="Q86" s="203">
        <v>19</v>
      </c>
      <c r="R86" s="9">
        <f t="shared" si="12"/>
        <v>23.75</v>
      </c>
      <c r="S86" s="8" t="str">
        <f t="array" ref="S86">IF(R86&gt;5,"Perlu Sensus",IF(AND(R86&gt;=0,O86&gt;0),"Tetap Deteksi","Belum Deteksi"))</f>
        <v>Perlu Sensus</v>
      </c>
      <c r="T86" s="203">
        <v>31</v>
      </c>
      <c r="U86" s="9">
        <f t="shared" si="14"/>
        <v>38.75</v>
      </c>
      <c r="V86" s="132">
        <v>46239</v>
      </c>
      <c r="W86" s="203">
        <v>240</v>
      </c>
      <c r="X86" s="203">
        <v>21</v>
      </c>
      <c r="Y86" s="9">
        <f t="shared" si="13"/>
        <v>8.75</v>
      </c>
      <c r="Z86" s="8" t="str">
        <f t="array" ref="Z86">IF(Y86&gt;5,"Perlu Sensus",IF(AND(Y86&gt;0,,O86&gt;0),"Tetap Deteksi","Belum Deteksi"))</f>
        <v>Perlu Sensus</v>
      </c>
      <c r="AA86" s="203">
        <v>73</v>
      </c>
      <c r="AB86" s="9">
        <f t="shared" si="15"/>
        <v>30.416666666666664</v>
      </c>
    </row>
    <row r="87" spans="1:28" outlineLevel="1" x14ac:dyDescent="0.15">
      <c r="A87" s="8" t="s">
        <v>628</v>
      </c>
      <c r="B87" s="8" t="s">
        <v>14</v>
      </c>
      <c r="C87" s="8" t="s">
        <v>79</v>
      </c>
      <c r="D87" s="8" t="s">
        <v>682</v>
      </c>
      <c r="E87" s="9">
        <v>19.54</v>
      </c>
      <c r="F87" s="8" t="s">
        <v>16</v>
      </c>
      <c r="G87" s="143">
        <f t="array" ref="G87">INDEX('[23]SENSUS MEI'!$G$9:$G$453,MATCH(1,('[23]SENSUS MEI'!$D$9:$D$453=$D87)*('[23]SENSUS MEI'!$D$9:$D$453=$D87),0))</f>
        <v>2354</v>
      </c>
      <c r="H87" s="132">
        <f t="shared" si="16"/>
        <v>46249</v>
      </c>
      <c r="I87" s="140">
        <f t="shared" si="16"/>
        <v>98</v>
      </c>
      <c r="J87" s="9">
        <f t="shared" si="9"/>
        <v>4.1631265930331356</v>
      </c>
      <c r="K87" s="140">
        <f t="shared" si="10"/>
        <v>10</v>
      </c>
      <c r="L87" s="206">
        <f t="shared" si="11"/>
        <v>10.204081632653061</v>
      </c>
      <c r="M87" s="8" t="str">
        <f t="array" ref="M87">IF(L87&gt;5,"Perlu Sensus",IF(AND(L87&gt;=0,I87&gt;0),"Tetap Deteksi","Belum Deteksi"))</f>
        <v>Perlu Sensus</v>
      </c>
      <c r="N87" s="132">
        <v>46249</v>
      </c>
      <c r="O87" s="203">
        <v>98</v>
      </c>
      <c r="P87" s="9">
        <f t="array" ref="P87">IFERROR(O87/G87*100,0)</f>
        <v>4.1631265930331356</v>
      </c>
      <c r="Q87" s="203">
        <v>10</v>
      </c>
      <c r="R87" s="9">
        <f t="shared" si="12"/>
        <v>10.204081632653061</v>
      </c>
      <c r="S87" s="8" t="str">
        <f t="array" ref="S87">IF(R87&gt;5,"Perlu Sensus",IF(AND(R87&gt;=0,O87&gt;0),"Tetap Deteksi","Belum Deteksi"))</f>
        <v>Perlu Sensus</v>
      </c>
      <c r="T87" s="203">
        <v>29</v>
      </c>
      <c r="U87" s="9">
        <f t="shared" si="14"/>
        <v>29.591836734693878</v>
      </c>
      <c r="V87" s="132">
        <v>46240</v>
      </c>
      <c r="W87" s="203">
        <v>294</v>
      </c>
      <c r="X87" s="203">
        <v>22</v>
      </c>
      <c r="Y87" s="9">
        <f t="shared" si="13"/>
        <v>7.4829931972789119</v>
      </c>
      <c r="Z87" s="8" t="str">
        <f t="array" ref="Z87">IF(Y87&gt;5,"Perlu Sensus",IF(AND(Y87&gt;0,,O87&gt;0),"Tetap Deteksi","Belum Deteksi"))</f>
        <v>Perlu Sensus</v>
      </c>
      <c r="AA87" s="203">
        <v>77</v>
      </c>
      <c r="AB87" s="9">
        <f t="shared" si="15"/>
        <v>26.190476190476193</v>
      </c>
    </row>
    <row r="88" spans="1:28" outlineLevel="1" x14ac:dyDescent="0.15">
      <c r="A88" s="8" t="s">
        <v>628</v>
      </c>
      <c r="B88" s="8" t="s">
        <v>14</v>
      </c>
      <c r="C88" s="8" t="s">
        <v>79</v>
      </c>
      <c r="D88" s="8" t="s">
        <v>683</v>
      </c>
      <c r="E88" s="9">
        <v>23.55</v>
      </c>
      <c r="F88" s="8" t="s">
        <v>16</v>
      </c>
      <c r="G88" s="143">
        <f t="array" ref="G88">INDEX('[23]SENSUS MEI'!$G$9:$G$453,MATCH(1,('[23]SENSUS MEI'!$D$9:$D$453=$D88)*('[23]SENSUS MEI'!$D$9:$D$453=$D88),0))</f>
        <v>3231</v>
      </c>
      <c r="H88" s="132">
        <f t="shared" si="16"/>
        <v>46247</v>
      </c>
      <c r="I88" s="140">
        <f t="shared" si="16"/>
        <v>64</v>
      </c>
      <c r="J88" s="9">
        <f t="shared" si="9"/>
        <v>1.9808108944599194</v>
      </c>
      <c r="K88" s="140">
        <f t="shared" si="10"/>
        <v>9</v>
      </c>
      <c r="L88" s="206">
        <f t="shared" si="11"/>
        <v>14.0625</v>
      </c>
      <c r="M88" s="8" t="str">
        <f t="array" ref="M88">IF(L88&gt;5,"Perlu Sensus",IF(AND(L88&gt;=0,I88&gt;0),"Tetap Deteksi","Belum Deteksi"))</f>
        <v>Perlu Sensus</v>
      </c>
      <c r="N88" s="132">
        <v>46247</v>
      </c>
      <c r="O88" s="203">
        <v>64</v>
      </c>
      <c r="P88" s="9">
        <f t="array" ref="P88">IFERROR(O88/G88*100,0)</f>
        <v>1.9808108944599194</v>
      </c>
      <c r="Q88" s="203">
        <v>9</v>
      </c>
      <c r="R88" s="9">
        <f t="shared" si="12"/>
        <v>14.0625</v>
      </c>
      <c r="S88" s="8" t="str">
        <f t="array" ref="S88">IF(R88&gt;5,"Perlu Sensus",IF(AND(R88&gt;=0,O88&gt;0),"Tetap Deteksi","Belum Deteksi"))</f>
        <v>Perlu Sensus</v>
      </c>
      <c r="T88" s="203">
        <v>21</v>
      </c>
      <c r="U88" s="9">
        <f t="shared" si="14"/>
        <v>32.8125</v>
      </c>
      <c r="V88" s="132">
        <v>46240</v>
      </c>
      <c r="W88" s="203">
        <v>192</v>
      </c>
      <c r="X88" s="203">
        <v>18</v>
      </c>
      <c r="Y88" s="9">
        <f t="shared" si="13"/>
        <v>9.375</v>
      </c>
      <c r="Z88" s="8" t="str">
        <f t="array" ref="Z88">IF(Y88&gt;5,"Perlu Sensus",IF(AND(Y88&gt;0,,O88&gt;0),"Tetap Deteksi","Belum Deteksi"))</f>
        <v>Perlu Sensus</v>
      </c>
      <c r="AA88" s="203">
        <v>53</v>
      </c>
      <c r="AB88" s="9">
        <f t="shared" si="15"/>
        <v>27.604166666666668</v>
      </c>
    </row>
    <row r="89" spans="1:28" outlineLevel="1" x14ac:dyDescent="0.15">
      <c r="A89" s="8" t="s">
        <v>628</v>
      </c>
      <c r="B89" s="8" t="s">
        <v>14</v>
      </c>
      <c r="C89" s="8" t="s">
        <v>79</v>
      </c>
      <c r="D89" s="8" t="s">
        <v>684</v>
      </c>
      <c r="E89" s="9">
        <v>24.37</v>
      </c>
      <c r="F89" s="8" t="s">
        <v>16</v>
      </c>
      <c r="G89" s="143">
        <f t="array" ref="G89">INDEX('[23]SENSUS MEI'!$G$9:$G$453,MATCH(1,('[23]SENSUS MEI'!$D$9:$D$453=$D89)*('[23]SENSUS MEI'!$D$9:$D$453=$D89),0))</f>
        <v>3635</v>
      </c>
      <c r="H89" s="132">
        <f t="shared" si="16"/>
        <v>46247</v>
      </c>
      <c r="I89" s="140">
        <f t="shared" si="16"/>
        <v>64</v>
      </c>
      <c r="J89" s="9">
        <f t="shared" si="9"/>
        <v>1.7606602475928472</v>
      </c>
      <c r="K89" s="140">
        <f t="shared" si="10"/>
        <v>13</v>
      </c>
      <c r="L89" s="206">
        <f t="shared" si="11"/>
        <v>20.3125</v>
      </c>
      <c r="M89" s="8" t="str">
        <f t="array" ref="M89">IF(L89&gt;5,"Perlu Sensus",IF(AND(L89&gt;=0,I89&gt;0),"Tetap Deteksi","Belum Deteksi"))</f>
        <v>Perlu Sensus</v>
      </c>
      <c r="N89" s="132">
        <v>46247</v>
      </c>
      <c r="O89" s="203">
        <v>64</v>
      </c>
      <c r="P89" s="9">
        <f t="array" ref="P89">IFERROR(O89/G89*100,0)</f>
        <v>1.7606602475928472</v>
      </c>
      <c r="Q89" s="203">
        <v>13</v>
      </c>
      <c r="R89" s="9">
        <f t="shared" si="12"/>
        <v>20.3125</v>
      </c>
      <c r="S89" s="8" t="str">
        <f t="array" ref="S89">IF(R89&gt;5,"Perlu Sensus",IF(AND(R89&gt;=0,O89&gt;0),"Tetap Deteksi","Belum Deteksi"))</f>
        <v>Perlu Sensus</v>
      </c>
      <c r="T89" s="203">
        <v>27</v>
      </c>
      <c r="U89" s="9">
        <f t="shared" si="14"/>
        <v>42.1875</v>
      </c>
      <c r="V89" s="132">
        <v>46241</v>
      </c>
      <c r="W89" s="203">
        <v>202</v>
      </c>
      <c r="X89" s="203">
        <v>22</v>
      </c>
      <c r="Y89" s="9">
        <f t="shared" si="13"/>
        <v>10.891089108910892</v>
      </c>
      <c r="Z89" s="8" t="str">
        <f t="array" ref="Z89">IF(Y89&gt;5,"Perlu Sensus",IF(AND(Y89&gt;0,,O89&gt;0),"Tetap Deteksi","Belum Deteksi"))</f>
        <v>Perlu Sensus</v>
      </c>
      <c r="AA89" s="203">
        <v>65</v>
      </c>
      <c r="AB89" s="9">
        <f t="shared" si="15"/>
        <v>32.178217821782177</v>
      </c>
    </row>
    <row r="90" spans="1:28" outlineLevel="1" x14ac:dyDescent="0.15">
      <c r="A90" s="8" t="s">
        <v>628</v>
      </c>
      <c r="B90" s="8" t="s">
        <v>14</v>
      </c>
      <c r="C90" s="8" t="s">
        <v>79</v>
      </c>
      <c r="D90" s="8" t="s">
        <v>685</v>
      </c>
      <c r="E90" s="9">
        <v>20.100000000000001</v>
      </c>
      <c r="F90" s="8" t="s">
        <v>16</v>
      </c>
      <c r="G90" s="143">
        <f t="array" ref="G90">INDEX('[23]SENSUS MEI'!$G$9:$G$453,MATCH(1,('[23]SENSUS MEI'!$D$9:$D$453=$D90)*('[23]SENSUS MEI'!$D$9:$D$453=$D90),0))</f>
        <v>3049</v>
      </c>
      <c r="H90" s="132">
        <f t="shared" si="16"/>
        <v>46247</v>
      </c>
      <c r="I90" s="140">
        <f t="shared" si="16"/>
        <v>64</v>
      </c>
      <c r="J90" s="9">
        <f t="shared" si="9"/>
        <v>2.0990488684814692</v>
      </c>
      <c r="K90" s="140">
        <f t="shared" si="10"/>
        <v>10</v>
      </c>
      <c r="L90" s="206">
        <f t="shared" si="11"/>
        <v>15.625</v>
      </c>
      <c r="M90" s="8" t="str">
        <f t="array" ref="M90">IF(L90&gt;5,"Perlu Sensus",IF(AND(L90&gt;=0,I90&gt;0),"Tetap Deteksi","Belum Deteksi"))</f>
        <v>Perlu Sensus</v>
      </c>
      <c r="N90" s="132">
        <v>46247</v>
      </c>
      <c r="O90" s="203">
        <v>64</v>
      </c>
      <c r="P90" s="9">
        <f t="array" ref="P90">IFERROR(O90/G90*100,0)</f>
        <v>2.0990488684814692</v>
      </c>
      <c r="Q90" s="203">
        <v>10</v>
      </c>
      <c r="R90" s="9">
        <f t="shared" si="12"/>
        <v>15.625</v>
      </c>
      <c r="S90" s="8" t="str">
        <f t="array" ref="S90">IF(R90&gt;5,"Perlu Sensus",IF(AND(R90&gt;=0,O90&gt;0),"Tetap Deteksi","Belum Deteksi"))</f>
        <v>Perlu Sensus</v>
      </c>
      <c r="T90" s="203">
        <v>21</v>
      </c>
      <c r="U90" s="9">
        <f t="shared" si="14"/>
        <v>32.8125</v>
      </c>
      <c r="V90" s="132">
        <v>46241</v>
      </c>
      <c r="W90" s="203">
        <v>182</v>
      </c>
      <c r="X90" s="203">
        <v>19</v>
      </c>
      <c r="Y90" s="9">
        <f t="shared" si="13"/>
        <v>10.43956043956044</v>
      </c>
      <c r="Z90" s="8" t="str">
        <f t="array" ref="Z90">IF(Y90&gt;5,"Perlu Sensus",IF(AND(Y90&gt;0,,O90&gt;0),"Tetap Deteksi","Belum Deteksi"))</f>
        <v>Perlu Sensus</v>
      </c>
      <c r="AA90" s="203">
        <v>60</v>
      </c>
      <c r="AB90" s="9">
        <f t="shared" si="15"/>
        <v>32.967032967032964</v>
      </c>
    </row>
    <row r="91" spans="1:28" hidden="1" outlineLevel="1" x14ac:dyDescent="0.15">
      <c r="A91" s="8" t="s">
        <v>628</v>
      </c>
      <c r="B91" s="8" t="s">
        <v>14</v>
      </c>
      <c r="C91" s="8" t="s">
        <v>79</v>
      </c>
      <c r="D91" s="8" t="s">
        <v>686</v>
      </c>
      <c r="E91" s="9">
        <v>20.85</v>
      </c>
      <c r="F91" s="8" t="s">
        <v>16</v>
      </c>
      <c r="G91" s="143">
        <f t="array" ref="G91">INDEX('[23]SENSUS MEI'!$G$9:$G$453,MATCH(1,('[23]SENSUS MEI'!$D$9:$D$453=$D91)*('[23]SENSUS MEI'!$D$9:$D$453=$D91),0))</f>
        <v>3198</v>
      </c>
      <c r="H91" s="132" t="str">
        <f t="shared" si="16"/>
        <v>13.14 Aug 26</v>
      </c>
      <c r="I91" s="140">
        <f t="shared" si="16"/>
        <v>180</v>
      </c>
      <c r="J91" s="9">
        <f t="shared" si="9"/>
        <v>5.6285178236397746</v>
      </c>
      <c r="K91" s="140">
        <f t="shared" si="10"/>
        <v>32</v>
      </c>
      <c r="L91" s="206">
        <f t="shared" si="11"/>
        <v>17.777777777777779</v>
      </c>
      <c r="M91" s="8" t="str">
        <f t="array" ref="M91">IF(L91&gt;5,"Perlu Sensus",IF(AND(L91&gt;=0,I91&gt;0),"Tetap Deteksi","Belum Deteksi"))</f>
        <v>Perlu Sensus</v>
      </c>
      <c r="N91" s="132" t="s">
        <v>2288</v>
      </c>
      <c r="O91" s="203">
        <v>180</v>
      </c>
      <c r="P91" s="9">
        <f t="array" ref="P91">IFERROR(O91/G91*100,0)</f>
        <v>5.6285178236397746</v>
      </c>
      <c r="Q91" s="203">
        <v>32</v>
      </c>
      <c r="R91" s="9">
        <f t="shared" si="12"/>
        <v>17.777777777777779</v>
      </c>
      <c r="S91" s="8" t="str">
        <f t="array" ref="S91">IF(R91&gt;5,"Perlu Sensus",IF(AND(R91&gt;=0,O91&gt;0),"Tetap Deteksi","Belum Deteksi"))</f>
        <v>Perlu Sensus</v>
      </c>
      <c r="T91" s="203">
        <v>69</v>
      </c>
      <c r="U91" s="9">
        <f t="shared" si="14"/>
        <v>38.333333333333336</v>
      </c>
      <c r="V91" s="132">
        <v>46239</v>
      </c>
      <c r="W91" s="203">
        <v>240</v>
      </c>
      <c r="X91" s="203">
        <v>22</v>
      </c>
      <c r="Y91" s="9">
        <f t="shared" si="13"/>
        <v>9.1666666666666661</v>
      </c>
      <c r="Z91" s="8" t="str">
        <f t="array" ref="Z91">IF(Y91&gt;5,"Perlu Sensus",IF(AND(Y91&gt;0,,O91&gt;0),"Tetap Deteksi","Belum Deteksi"))</f>
        <v>Perlu Sensus</v>
      </c>
      <c r="AA91" s="203">
        <v>62</v>
      </c>
      <c r="AB91" s="9">
        <f t="shared" si="15"/>
        <v>25.833333333333336</v>
      </c>
    </row>
    <row r="92" spans="1:28" outlineLevel="1" x14ac:dyDescent="0.15">
      <c r="A92" s="8" t="s">
        <v>628</v>
      </c>
      <c r="B92" s="8" t="s">
        <v>14</v>
      </c>
      <c r="C92" s="8" t="s">
        <v>79</v>
      </c>
      <c r="D92" s="8" t="s">
        <v>379</v>
      </c>
      <c r="E92" s="9">
        <v>5.03</v>
      </c>
      <c r="F92" s="8" t="s">
        <v>16</v>
      </c>
      <c r="G92" s="143">
        <f t="array" ref="G92">INDEX('[23]SENSUS MEI'!$G$9:$G$453,MATCH(1,('[23]SENSUS MEI'!$D$9:$D$453=$D92)*('[23]SENSUS MEI'!$D$9:$D$453=$D92),0))</f>
        <v>805</v>
      </c>
      <c r="H92" s="132">
        <f t="shared" si="16"/>
        <v>46238</v>
      </c>
      <c r="I92" s="140">
        <f t="shared" si="16"/>
        <v>89</v>
      </c>
      <c r="J92" s="9">
        <f t="shared" si="9"/>
        <v>11.055900621118013</v>
      </c>
      <c r="K92" s="140">
        <f t="shared" si="10"/>
        <v>17</v>
      </c>
      <c r="L92" s="206">
        <f t="shared" si="11"/>
        <v>19.101123595505616</v>
      </c>
      <c r="M92" s="8" t="str">
        <f t="array" ref="M92">IF(L92&gt;5,"Perlu Sensus",IF(AND(L92&gt;=0,I92&gt;0),"Tetap Deteksi","Belum Deteksi"))</f>
        <v>Perlu Sensus</v>
      </c>
      <c r="N92" s="132">
        <v>46238</v>
      </c>
      <c r="O92" s="203">
        <v>89</v>
      </c>
      <c r="P92" s="9">
        <f t="array" ref="P92">IFERROR(O92/G92*100,0)</f>
        <v>11.055900621118013</v>
      </c>
      <c r="Q92" s="203">
        <v>17</v>
      </c>
      <c r="R92" s="9">
        <f t="shared" si="12"/>
        <v>19.101123595505616</v>
      </c>
      <c r="S92" s="8" t="str">
        <f t="array" ref="S92">IF(R92&gt;5,"Perlu Sensus",IF(AND(R92&gt;=0,O92&gt;0),"Tetap Deteksi","Belum Deteksi"))</f>
        <v>Perlu Sensus</v>
      </c>
      <c r="T92" s="203">
        <v>34</v>
      </c>
      <c r="U92" s="9">
        <f t="shared" si="14"/>
        <v>38.202247191011232</v>
      </c>
      <c r="V92" s="132">
        <v>46239</v>
      </c>
      <c r="W92" s="203">
        <v>267</v>
      </c>
      <c r="X92" s="203">
        <v>28</v>
      </c>
      <c r="Y92" s="9">
        <f t="shared" si="13"/>
        <v>10.486891385767791</v>
      </c>
      <c r="Z92" s="8" t="str">
        <f t="array" ref="Z92">IF(Y92&gt;5,"Perlu Sensus",IF(AND(Y92&gt;0,,O92&gt;0),"Tetap Deteksi","Belum Deteksi"))</f>
        <v>Perlu Sensus</v>
      </c>
      <c r="AA92" s="203">
        <v>82</v>
      </c>
      <c r="AB92" s="9">
        <f t="shared" si="15"/>
        <v>30.711610486891384</v>
      </c>
    </row>
    <row r="93" spans="1:28" outlineLevel="1" x14ac:dyDescent="0.15">
      <c r="A93" s="8" t="s">
        <v>628</v>
      </c>
      <c r="B93" s="8" t="s">
        <v>14</v>
      </c>
      <c r="C93" s="8" t="s">
        <v>79</v>
      </c>
      <c r="D93" s="8" t="s">
        <v>494</v>
      </c>
      <c r="E93" s="9">
        <v>25.41</v>
      </c>
      <c r="F93" s="8" t="s">
        <v>16</v>
      </c>
      <c r="G93" s="143">
        <f t="array" ref="G93">INDEX('[23]SENSUS MEI'!$G$9:$G$453,MATCH(1,('[23]SENSUS MEI'!$D$9:$D$453=$D93)*('[23]SENSUS MEI'!$D$9:$D$453=$D93),0))</f>
        <v>3953</v>
      </c>
      <c r="H93" s="132">
        <f t="shared" si="16"/>
        <v>46238</v>
      </c>
      <c r="I93" s="140">
        <f t="shared" si="16"/>
        <v>95</v>
      </c>
      <c r="J93" s="9">
        <f t="shared" si="9"/>
        <v>2.4032380470528714</v>
      </c>
      <c r="K93" s="140">
        <f t="shared" si="10"/>
        <v>14</v>
      </c>
      <c r="L93" s="206">
        <f t="shared" si="11"/>
        <v>14.736842105263156</v>
      </c>
      <c r="M93" s="8" t="str">
        <f t="array" ref="M93">IF(L93&gt;5,"Perlu Sensus",IF(AND(L93&gt;=0,I93&gt;0),"Tetap Deteksi","Belum Deteksi"))</f>
        <v>Perlu Sensus</v>
      </c>
      <c r="N93" s="132">
        <v>46238</v>
      </c>
      <c r="O93" s="203">
        <v>95</v>
      </c>
      <c r="P93" s="9">
        <f t="array" ref="P93">IFERROR(O93/G93*100,0)</f>
        <v>2.4032380470528714</v>
      </c>
      <c r="Q93" s="203">
        <v>14</v>
      </c>
      <c r="R93" s="9">
        <f t="shared" si="12"/>
        <v>14.736842105263156</v>
      </c>
      <c r="S93" s="8" t="str">
        <f t="array" ref="S93">IF(R93&gt;5,"Perlu Sensus",IF(AND(R93&gt;=0,O93&gt;0),"Tetap Deteksi","Belum Deteksi"))</f>
        <v>Perlu Sensus</v>
      </c>
      <c r="T93" s="203">
        <v>41</v>
      </c>
      <c r="U93" s="9">
        <f t="shared" si="14"/>
        <v>43.15789473684211</v>
      </c>
      <c r="V93" s="132">
        <v>46239</v>
      </c>
      <c r="W93" s="203">
        <v>285</v>
      </c>
      <c r="X93" s="203">
        <v>23</v>
      </c>
      <c r="Y93" s="9">
        <f t="shared" si="13"/>
        <v>8.0701754385964914</v>
      </c>
      <c r="Z93" s="8" t="str">
        <f t="array" ref="Z93">IF(Y93&gt;5,"Perlu Sensus",IF(AND(Y93&gt;0,,O93&gt;0),"Tetap Deteksi","Belum Deteksi"))</f>
        <v>Perlu Sensus</v>
      </c>
      <c r="AA93" s="203">
        <v>73</v>
      </c>
      <c r="AB93" s="9">
        <f t="shared" si="15"/>
        <v>25.614035087719301</v>
      </c>
    </row>
    <row r="94" spans="1:28" outlineLevel="1" x14ac:dyDescent="0.15">
      <c r="A94" s="8" t="s">
        <v>628</v>
      </c>
      <c r="B94" s="8" t="s">
        <v>14</v>
      </c>
      <c r="C94" s="8" t="s">
        <v>79</v>
      </c>
      <c r="D94" s="8" t="s">
        <v>495</v>
      </c>
      <c r="E94" s="9">
        <v>10.6</v>
      </c>
      <c r="F94" s="8" t="s">
        <v>16</v>
      </c>
      <c r="G94" s="143">
        <f t="array" ref="G94">INDEX('[23]SENSUS MEI'!$G$9:$G$453,MATCH(1,('[23]SENSUS MEI'!$D$9:$D$453=$D94)*('[23]SENSUS MEI'!$D$9:$D$453=$D94),0))</f>
        <v>1048</v>
      </c>
      <c r="H94" s="132">
        <f t="shared" si="16"/>
        <v>46238</v>
      </c>
      <c r="I94" s="140">
        <f t="shared" si="16"/>
        <v>103</v>
      </c>
      <c r="J94" s="9">
        <f t="shared" si="9"/>
        <v>9.8282442748091601</v>
      </c>
      <c r="K94" s="140">
        <f t="shared" si="10"/>
        <v>18</v>
      </c>
      <c r="L94" s="206">
        <f t="shared" si="11"/>
        <v>17.475728155339805</v>
      </c>
      <c r="M94" s="8" t="str">
        <f t="array" ref="M94">IF(L94&gt;5,"Perlu Sensus",IF(AND(L94&gt;=0,I94&gt;0),"Tetap Deteksi","Belum Deteksi"))</f>
        <v>Perlu Sensus</v>
      </c>
      <c r="N94" s="132">
        <v>46238</v>
      </c>
      <c r="O94" s="203">
        <v>103</v>
      </c>
      <c r="P94" s="9">
        <f t="array" ref="P94">IFERROR(O94/G94*100,0)</f>
        <v>9.8282442748091601</v>
      </c>
      <c r="Q94" s="203">
        <v>18</v>
      </c>
      <c r="R94" s="9">
        <f t="shared" si="12"/>
        <v>17.475728155339805</v>
      </c>
      <c r="S94" s="8" t="str">
        <f t="array" ref="S94">IF(R94&gt;5,"Perlu Sensus",IF(AND(R94&gt;=0,O94&gt;0),"Tetap Deteksi","Belum Deteksi"))</f>
        <v>Perlu Sensus</v>
      </c>
      <c r="T94" s="203">
        <v>40</v>
      </c>
      <c r="U94" s="9">
        <f t="shared" si="14"/>
        <v>38.834951456310677</v>
      </c>
      <c r="V94" s="132">
        <v>46239</v>
      </c>
      <c r="W94" s="203">
        <v>309</v>
      </c>
      <c r="X94" s="203">
        <v>24</v>
      </c>
      <c r="Y94" s="9">
        <f t="shared" si="13"/>
        <v>7.7669902912621351</v>
      </c>
      <c r="Z94" s="8" t="str">
        <f t="array" ref="Z94">IF(Y94&gt;5,"Perlu Sensus",IF(AND(Y94&gt;0,,O94&gt;0),"Tetap Deteksi","Belum Deteksi"))</f>
        <v>Perlu Sensus</v>
      </c>
      <c r="AA94" s="203">
        <v>80</v>
      </c>
      <c r="AB94" s="9">
        <f t="shared" si="15"/>
        <v>25.889967637540451</v>
      </c>
    </row>
    <row r="95" spans="1:28" outlineLevel="1" x14ac:dyDescent="0.15">
      <c r="A95" s="8" t="s">
        <v>628</v>
      </c>
      <c r="B95" s="8" t="s">
        <v>14</v>
      </c>
      <c r="C95" s="8" t="s">
        <v>79</v>
      </c>
      <c r="D95" s="8" t="s">
        <v>687</v>
      </c>
      <c r="E95" s="9">
        <v>11.03</v>
      </c>
      <c r="F95" s="8" t="s">
        <v>16</v>
      </c>
      <c r="G95" s="143">
        <f t="array" ref="G95">INDEX('[23]SENSUS MEI'!$G$9:$G$453,MATCH(1,('[23]SENSUS MEI'!$D$9:$D$453=$D95)*('[23]SENSUS MEI'!$D$9:$D$453=$D95),0))</f>
        <v>1676</v>
      </c>
      <c r="H95" s="132">
        <f t="shared" si="16"/>
        <v>46239</v>
      </c>
      <c r="I95" s="140">
        <f t="shared" si="16"/>
        <v>123</v>
      </c>
      <c r="J95" s="9">
        <f t="shared" si="9"/>
        <v>7.3389021479713605</v>
      </c>
      <c r="K95" s="140">
        <f t="shared" si="10"/>
        <v>20</v>
      </c>
      <c r="L95" s="206">
        <f t="shared" si="11"/>
        <v>16.260162601626014</v>
      </c>
      <c r="M95" s="8" t="str">
        <f t="array" ref="M95">IF(L95&gt;5,"Perlu Sensus",IF(AND(L95&gt;=0,I95&gt;0),"Tetap Deteksi","Belum Deteksi"))</f>
        <v>Perlu Sensus</v>
      </c>
      <c r="N95" s="132">
        <v>46239</v>
      </c>
      <c r="O95" s="203">
        <v>123</v>
      </c>
      <c r="P95" s="9">
        <f t="array" ref="P95">IFERROR(O95/G95*100,0)</f>
        <v>7.3389021479713605</v>
      </c>
      <c r="Q95" s="203">
        <v>20</v>
      </c>
      <c r="R95" s="9">
        <f t="shared" si="12"/>
        <v>16.260162601626014</v>
      </c>
      <c r="S95" s="8" t="str">
        <f t="array" ref="S95">IF(R95&gt;5,"Perlu Sensus",IF(AND(R95&gt;=0,O95&gt;0),"Tetap Deteksi","Belum Deteksi"))</f>
        <v>Perlu Sensus</v>
      </c>
      <c r="T95" s="203">
        <v>31</v>
      </c>
      <c r="U95" s="9">
        <f t="shared" si="14"/>
        <v>25.203252032520325</v>
      </c>
      <c r="V95" s="132">
        <v>46240</v>
      </c>
      <c r="W95" s="203">
        <v>369</v>
      </c>
      <c r="X95" s="203">
        <v>22</v>
      </c>
      <c r="Y95" s="9">
        <f t="shared" si="13"/>
        <v>5.9620596205962055</v>
      </c>
      <c r="Z95" s="8" t="str">
        <f t="array" ref="Z95">IF(Y95&gt;5,"Perlu Sensus",IF(AND(Y95&gt;0,,O95&gt;0),"Tetap Deteksi","Belum Deteksi"))</f>
        <v>Perlu Sensus</v>
      </c>
      <c r="AA95" s="203">
        <v>74</v>
      </c>
      <c r="AB95" s="9">
        <f t="shared" si="15"/>
        <v>20.054200542005422</v>
      </c>
    </row>
    <row r="96" spans="1:28" outlineLevel="1" x14ac:dyDescent="0.15">
      <c r="A96" s="8" t="s">
        <v>628</v>
      </c>
      <c r="B96" s="8" t="s">
        <v>14</v>
      </c>
      <c r="C96" s="8" t="s">
        <v>79</v>
      </c>
      <c r="D96" s="8" t="s">
        <v>688</v>
      </c>
      <c r="E96" s="9">
        <v>7.27</v>
      </c>
      <c r="F96" s="8" t="s">
        <v>16</v>
      </c>
      <c r="G96" s="143">
        <f t="array" ref="G96">INDEX('[23]SENSUS MEI'!$G$9:$G$453,MATCH(1,('[23]SENSUS MEI'!$D$9:$D$453=$D96)*('[23]SENSUS MEI'!$D$9:$D$453=$D96),0))</f>
        <v>1215</v>
      </c>
      <c r="H96" s="132">
        <f t="shared" si="16"/>
        <v>46239</v>
      </c>
      <c r="I96" s="140">
        <f t="shared" si="16"/>
        <v>118</v>
      </c>
      <c r="J96" s="9">
        <f t="shared" si="9"/>
        <v>9.7119341563786001</v>
      </c>
      <c r="K96" s="140">
        <f t="shared" si="10"/>
        <v>22</v>
      </c>
      <c r="L96" s="206">
        <f t="shared" si="11"/>
        <v>18.64406779661017</v>
      </c>
      <c r="M96" s="8" t="str">
        <f t="array" ref="M96">IF(L96&gt;5,"Perlu Sensus",IF(AND(L96&gt;=0,I96&gt;0),"Tetap Deteksi","Belum Deteksi"))</f>
        <v>Perlu Sensus</v>
      </c>
      <c r="N96" s="132">
        <v>46239</v>
      </c>
      <c r="O96" s="203">
        <v>118</v>
      </c>
      <c r="P96" s="9">
        <f t="array" ref="P96">IFERROR(O96/G96*100,0)</f>
        <v>9.7119341563786001</v>
      </c>
      <c r="Q96" s="203">
        <v>22</v>
      </c>
      <c r="R96" s="9">
        <f t="shared" si="12"/>
        <v>18.64406779661017</v>
      </c>
      <c r="S96" s="8" t="str">
        <f t="array" ref="S96">IF(R96&gt;5,"Perlu Sensus",IF(AND(R96&gt;=0,O96&gt;0),"Tetap Deteksi","Belum Deteksi"))</f>
        <v>Perlu Sensus</v>
      </c>
      <c r="T96" s="203">
        <v>37</v>
      </c>
      <c r="U96" s="9">
        <f t="shared" si="14"/>
        <v>31.35593220338983</v>
      </c>
      <c r="V96" s="132">
        <v>46240</v>
      </c>
      <c r="W96" s="203">
        <v>354</v>
      </c>
      <c r="X96" s="203">
        <v>21</v>
      </c>
      <c r="Y96" s="9">
        <f t="shared" si="13"/>
        <v>5.9322033898305087</v>
      </c>
      <c r="Z96" s="8" t="str">
        <f t="array" ref="Z96">IF(Y96&gt;5,"Perlu Sensus",IF(AND(Y96&gt;0,,O96&gt;0),"Tetap Deteksi","Belum Deteksi"))</f>
        <v>Perlu Sensus</v>
      </c>
      <c r="AA96" s="203">
        <v>91</v>
      </c>
      <c r="AB96" s="9">
        <f t="shared" si="15"/>
        <v>25.70621468926554</v>
      </c>
    </row>
    <row r="97" spans="1:28" outlineLevel="1" x14ac:dyDescent="0.15">
      <c r="A97" s="8" t="s">
        <v>628</v>
      </c>
      <c r="B97" s="8" t="s">
        <v>14</v>
      </c>
      <c r="C97" s="8" t="s">
        <v>79</v>
      </c>
      <c r="D97" s="8" t="s">
        <v>689</v>
      </c>
      <c r="E97" s="9">
        <v>16.97</v>
      </c>
      <c r="F97" s="8" t="s">
        <v>16</v>
      </c>
      <c r="G97" s="143">
        <f t="array" ref="G97">INDEX('[23]SENSUS MEI'!$G$9:$G$453,MATCH(1,('[23]SENSUS MEI'!$D$9:$D$453=$D97)*('[23]SENSUS MEI'!$D$9:$D$453=$D97),0))</f>
        <v>2111</v>
      </c>
      <c r="H97" s="132">
        <f t="shared" si="16"/>
        <v>46241</v>
      </c>
      <c r="I97" s="140">
        <f t="shared" si="16"/>
        <v>116</v>
      </c>
      <c r="J97" s="9">
        <f t="shared" si="9"/>
        <v>5.4950260540028424</v>
      </c>
      <c r="K97" s="140">
        <f t="shared" si="10"/>
        <v>16</v>
      </c>
      <c r="L97" s="206">
        <f t="shared" si="11"/>
        <v>13.793103448275861</v>
      </c>
      <c r="M97" s="8" t="str">
        <f t="array" ref="M97">IF(L97&gt;5,"Perlu Sensus",IF(AND(L97&gt;=0,I97&gt;0),"Tetap Deteksi","Belum Deteksi"))</f>
        <v>Perlu Sensus</v>
      </c>
      <c r="N97" s="132">
        <v>46241</v>
      </c>
      <c r="O97" s="203">
        <v>116</v>
      </c>
      <c r="P97" s="9">
        <f t="array" ref="P97">IFERROR(O97/G97*100,0)</f>
        <v>5.4950260540028424</v>
      </c>
      <c r="Q97" s="203">
        <v>16</v>
      </c>
      <c r="R97" s="9">
        <f t="shared" si="12"/>
        <v>13.793103448275861</v>
      </c>
      <c r="S97" s="8" t="str">
        <f t="array" ref="S97">IF(R97&gt;5,"Perlu Sensus",IF(AND(R97&gt;=0,O97&gt;0),"Tetap Deteksi","Belum Deteksi"))</f>
        <v>Perlu Sensus</v>
      </c>
      <c r="T97" s="203">
        <v>35</v>
      </c>
      <c r="U97" s="9">
        <f t="shared" si="14"/>
        <v>30.172413793103448</v>
      </c>
      <c r="V97" s="132">
        <v>46242</v>
      </c>
      <c r="W97" s="203">
        <v>348</v>
      </c>
      <c r="X97" s="203">
        <v>21</v>
      </c>
      <c r="Y97" s="9">
        <f t="shared" si="13"/>
        <v>6.0344827586206895</v>
      </c>
      <c r="Z97" s="8" t="str">
        <f t="array" ref="Z97">IF(Y97&gt;5,"Perlu Sensus",IF(AND(Y97&gt;0,,O97&gt;0),"Tetap Deteksi","Belum Deteksi"))</f>
        <v>Perlu Sensus</v>
      </c>
      <c r="AA97" s="203">
        <v>84</v>
      </c>
      <c r="AB97" s="9">
        <f t="shared" si="15"/>
        <v>24.137931034482758</v>
      </c>
    </row>
    <row r="98" spans="1:28" outlineLevel="1" x14ac:dyDescent="0.15">
      <c r="A98" s="8" t="s">
        <v>628</v>
      </c>
      <c r="B98" s="8" t="s">
        <v>14</v>
      </c>
      <c r="C98" s="8" t="s">
        <v>79</v>
      </c>
      <c r="D98" s="8" t="s">
        <v>690</v>
      </c>
      <c r="E98" s="9">
        <v>16.16</v>
      </c>
      <c r="F98" s="8" t="s">
        <v>16</v>
      </c>
      <c r="G98" s="143">
        <f t="array" ref="G98">INDEX('[23]SENSUS MEI'!$G$9:$G$453,MATCH(1,('[23]SENSUS MEI'!$D$9:$D$453=$D98)*('[23]SENSUS MEI'!$D$9:$D$453=$D98),0))</f>
        <v>2299</v>
      </c>
      <c r="H98" s="132">
        <f t="shared" si="16"/>
        <v>46241</v>
      </c>
      <c r="I98" s="140">
        <f t="shared" si="16"/>
        <v>120</v>
      </c>
      <c r="J98" s="9">
        <f t="shared" si="9"/>
        <v>5.2196607220530664</v>
      </c>
      <c r="K98" s="140">
        <f t="shared" si="10"/>
        <v>17</v>
      </c>
      <c r="L98" s="206">
        <f t="shared" si="11"/>
        <v>14.166666666666666</v>
      </c>
      <c r="M98" s="8" t="str">
        <f t="array" ref="M98">IF(L98&gt;5,"Perlu Sensus",IF(AND(L98&gt;=0,I98&gt;0),"Tetap Deteksi","Belum Deteksi"))</f>
        <v>Perlu Sensus</v>
      </c>
      <c r="N98" s="132">
        <v>46241</v>
      </c>
      <c r="O98" s="203">
        <v>120</v>
      </c>
      <c r="P98" s="9">
        <f t="array" ref="P98">IFERROR(O98/G98*100,0)</f>
        <v>5.2196607220530664</v>
      </c>
      <c r="Q98" s="203">
        <v>17</v>
      </c>
      <c r="R98" s="9">
        <f t="shared" si="12"/>
        <v>14.166666666666666</v>
      </c>
      <c r="S98" s="8" t="str">
        <f t="array" ref="S98">IF(R98&gt;5,"Perlu Sensus",IF(AND(R98&gt;=0,O98&gt;0),"Tetap Deteksi","Belum Deteksi"))</f>
        <v>Perlu Sensus</v>
      </c>
      <c r="T98" s="203">
        <v>28</v>
      </c>
      <c r="U98" s="9">
        <f t="shared" si="14"/>
        <v>23.333333333333332</v>
      </c>
      <c r="V98" s="132">
        <v>46242</v>
      </c>
      <c r="W98" s="203">
        <v>360</v>
      </c>
      <c r="X98" s="203">
        <v>18</v>
      </c>
      <c r="Y98" s="9">
        <f t="shared" si="13"/>
        <v>5</v>
      </c>
      <c r="Z98" s="8" t="str">
        <f t="array" ref="Z98">IF(Y98&gt;5,"Perlu Sensus",IF(AND(Y98&gt;0,,O98&gt;0),"Tetap Deteksi","Belum Deteksi"))</f>
        <v>Belum Deteksi</v>
      </c>
      <c r="AA98" s="203">
        <v>64</v>
      </c>
      <c r="AB98" s="9">
        <f t="shared" si="15"/>
        <v>17.777777777777779</v>
      </c>
    </row>
    <row r="99" spans="1:28" outlineLevel="1" x14ac:dyDescent="0.15">
      <c r="A99" s="8" t="s">
        <v>628</v>
      </c>
      <c r="B99" s="8" t="s">
        <v>14</v>
      </c>
      <c r="C99" s="8" t="s">
        <v>107</v>
      </c>
      <c r="D99" s="8" t="s">
        <v>691</v>
      </c>
      <c r="E99" s="9">
        <v>8.24</v>
      </c>
      <c r="F99" s="8" t="s">
        <v>16</v>
      </c>
      <c r="G99" s="143">
        <f t="array" ref="G99">INDEX('[23]SENSUS MEI'!$G$9:$G$453,MATCH(1,('[23]SENSUS MEI'!$D$9:$D$453=$D99)*('[23]SENSUS MEI'!$D$9:$D$453=$D99),0))</f>
        <v>1135</v>
      </c>
      <c r="H99" s="132">
        <f t="shared" si="16"/>
        <v>46236</v>
      </c>
      <c r="I99" s="140">
        <f t="shared" si="16"/>
        <v>126</v>
      </c>
      <c r="J99" s="9">
        <f t="shared" si="9"/>
        <v>11.101321585903083</v>
      </c>
      <c r="K99" s="140">
        <f t="shared" si="10"/>
        <v>7</v>
      </c>
      <c r="L99" s="206">
        <f t="shared" si="11"/>
        <v>5.5555555555555554</v>
      </c>
      <c r="M99" s="8" t="str">
        <f t="array" ref="M99">IF(L99&gt;5,"Perlu Sensus",IF(AND(L99&gt;=0,I99&gt;0),"Tetap Deteksi","Belum Deteksi"))</f>
        <v>Perlu Sensus</v>
      </c>
      <c r="N99" s="132">
        <v>46236</v>
      </c>
      <c r="O99" s="203">
        <v>126</v>
      </c>
      <c r="P99" s="9">
        <f t="array" ref="P99">IFERROR(O99/G99*100,0)</f>
        <v>11.101321585903083</v>
      </c>
      <c r="Q99" s="203">
        <v>7</v>
      </c>
      <c r="R99" s="9">
        <f t="shared" si="12"/>
        <v>5.5555555555555554</v>
      </c>
      <c r="S99" s="8" t="str">
        <f t="array" ref="S99">IF(R99&gt;5,"Perlu Sensus",IF(AND(R99&gt;=0,O99&gt;0),"Tetap Deteksi","Belum Deteksi"))</f>
        <v>Perlu Sensus</v>
      </c>
      <c r="T99" s="203">
        <v>40</v>
      </c>
      <c r="U99" s="9">
        <f t="shared" si="14"/>
        <v>31.746031746031743</v>
      </c>
      <c r="V99" s="132">
        <v>46238</v>
      </c>
      <c r="W99" s="203">
        <v>252</v>
      </c>
      <c r="X99" s="203">
        <v>18</v>
      </c>
      <c r="Y99" s="9">
        <f t="shared" si="13"/>
        <v>7.1428571428571423</v>
      </c>
      <c r="Z99" s="8" t="str">
        <f t="array" ref="Z99">IF(Y99&gt;5,"Perlu Sensus",IF(AND(Y99&gt;0,,O99&gt;0),"Tetap Deteksi","Belum Deteksi"))</f>
        <v>Perlu Sensus</v>
      </c>
      <c r="AA99" s="203">
        <v>70</v>
      </c>
      <c r="AB99" s="9">
        <f t="shared" si="15"/>
        <v>27.777777777777779</v>
      </c>
    </row>
    <row r="100" spans="1:28" outlineLevel="1" x14ac:dyDescent="0.15">
      <c r="A100" s="8" t="s">
        <v>628</v>
      </c>
      <c r="B100" s="8" t="s">
        <v>14</v>
      </c>
      <c r="C100" s="8" t="s">
        <v>107</v>
      </c>
      <c r="D100" s="8" t="s">
        <v>692</v>
      </c>
      <c r="E100" s="9">
        <v>16.940000000000001</v>
      </c>
      <c r="F100" s="8" t="s">
        <v>16</v>
      </c>
      <c r="G100" s="143">
        <f t="array" ref="G100">INDEX('[23]SENSUS MEI'!$G$9:$G$453,MATCH(1,('[23]SENSUS MEI'!$D$9:$D$453=$D100)*('[23]SENSUS MEI'!$D$9:$D$453=$D100),0))</f>
        <v>2184</v>
      </c>
      <c r="H100" s="132">
        <f t="shared" si="16"/>
        <v>46236</v>
      </c>
      <c r="I100" s="140">
        <f t="shared" si="16"/>
        <v>104</v>
      </c>
      <c r="J100" s="9">
        <f t="shared" si="9"/>
        <v>4.7619047619047619</v>
      </c>
      <c r="K100" s="140">
        <f t="shared" si="10"/>
        <v>5</v>
      </c>
      <c r="L100" s="206">
        <f t="shared" si="11"/>
        <v>4.8076923076923084</v>
      </c>
      <c r="M100" s="8" t="str">
        <f t="array" ref="M100">IF(L100&gt;5,"Perlu Sensus",IF(AND(L100&gt;=0,I100&gt;0),"Tetap Deteksi","Belum Deteksi"))</f>
        <v>Tetap Deteksi</v>
      </c>
      <c r="N100" s="132">
        <v>46236</v>
      </c>
      <c r="O100" s="203">
        <v>104</v>
      </c>
      <c r="P100" s="9">
        <f t="array" ref="P100">IFERROR(O100/G100*100,0)</f>
        <v>4.7619047619047619</v>
      </c>
      <c r="Q100" s="203">
        <v>5</v>
      </c>
      <c r="R100" s="9">
        <f t="shared" si="12"/>
        <v>4.8076923076923084</v>
      </c>
      <c r="S100" s="8" t="str">
        <f t="array" ref="S100">IF(R100&gt;5,"Perlu Sensus",IF(AND(R100&gt;=0,O100&gt;0),"Tetap Deteksi","Belum Deteksi"))</f>
        <v>Tetap Deteksi</v>
      </c>
      <c r="T100" s="203">
        <v>35</v>
      </c>
      <c r="U100" s="9">
        <f t="shared" si="14"/>
        <v>33.653846153846153</v>
      </c>
      <c r="V100" s="132">
        <v>46238</v>
      </c>
      <c r="W100" s="203">
        <v>208</v>
      </c>
      <c r="X100" s="203">
        <v>15</v>
      </c>
      <c r="Y100" s="9">
        <f t="shared" si="13"/>
        <v>7.2115384615384608</v>
      </c>
      <c r="Z100" s="8" t="str">
        <f t="array" ref="Z100">IF(Y100&gt;5,"Perlu Sensus",IF(AND(Y100&gt;0,,O100&gt;0),"Tetap Deteksi","Belum Deteksi"))</f>
        <v>Perlu Sensus</v>
      </c>
      <c r="AA100" s="203">
        <v>61</v>
      </c>
      <c r="AB100" s="9">
        <f t="shared" si="15"/>
        <v>29.326923076923077</v>
      </c>
    </row>
    <row r="101" spans="1:28" outlineLevel="1" x14ac:dyDescent="0.15">
      <c r="A101" s="8" t="s">
        <v>628</v>
      </c>
      <c r="B101" s="8" t="s">
        <v>14</v>
      </c>
      <c r="C101" s="8" t="s">
        <v>107</v>
      </c>
      <c r="D101" s="8" t="s">
        <v>693</v>
      </c>
      <c r="E101" s="9">
        <v>8.6199999999999992</v>
      </c>
      <c r="F101" s="8" t="s">
        <v>16</v>
      </c>
      <c r="G101" s="143">
        <f t="array" ref="G101">INDEX('[23]SENSUS MEI'!$G$9:$G$453,MATCH(1,('[23]SENSUS MEI'!$D$9:$D$453=$D101)*('[23]SENSUS MEI'!$D$9:$D$453=$D101),0))</f>
        <v>1321</v>
      </c>
      <c r="H101" s="132">
        <f t="shared" si="16"/>
        <v>46236</v>
      </c>
      <c r="I101" s="140">
        <f t="shared" si="16"/>
        <v>108</v>
      </c>
      <c r="J101" s="9">
        <f t="shared" si="9"/>
        <v>8.1756245268735803</v>
      </c>
      <c r="K101" s="140">
        <f t="shared" si="10"/>
        <v>6</v>
      </c>
      <c r="L101" s="206">
        <f t="shared" si="11"/>
        <v>5.5555555555555554</v>
      </c>
      <c r="M101" s="8" t="str">
        <f t="array" ref="M101">IF(L101&gt;5,"Perlu Sensus",IF(AND(L101&gt;=0,I101&gt;0),"Tetap Deteksi","Belum Deteksi"))</f>
        <v>Perlu Sensus</v>
      </c>
      <c r="N101" s="132">
        <v>46236</v>
      </c>
      <c r="O101" s="203">
        <v>108</v>
      </c>
      <c r="P101" s="9">
        <f t="array" ref="P101">IFERROR(O101/G101*100,0)</f>
        <v>8.1756245268735803</v>
      </c>
      <c r="Q101" s="203">
        <v>6</v>
      </c>
      <c r="R101" s="9">
        <f t="shared" si="12"/>
        <v>5.5555555555555554</v>
      </c>
      <c r="S101" s="8" t="str">
        <f t="array" ref="S101">IF(R101&gt;5,"Perlu Sensus",IF(AND(R101&gt;=0,O101&gt;0),"Tetap Deteksi","Belum Deteksi"))</f>
        <v>Perlu Sensus</v>
      </c>
      <c r="T101" s="203">
        <v>36</v>
      </c>
      <c r="U101" s="9">
        <f t="shared" si="14"/>
        <v>33.333333333333329</v>
      </c>
      <c r="V101" s="132">
        <v>46238</v>
      </c>
      <c r="W101" s="203">
        <v>216</v>
      </c>
      <c r="X101" s="203">
        <v>18</v>
      </c>
      <c r="Y101" s="9">
        <f t="shared" si="13"/>
        <v>8.3333333333333321</v>
      </c>
      <c r="Z101" s="8" t="str">
        <f t="array" ref="Z101">IF(Y101&gt;5,"Perlu Sensus",IF(AND(Y101&gt;0,,O101&gt;0),"Tetap Deteksi","Belum Deteksi"))</f>
        <v>Perlu Sensus</v>
      </c>
      <c r="AA101" s="203">
        <v>72</v>
      </c>
      <c r="AB101" s="9">
        <f t="shared" si="15"/>
        <v>33.333333333333329</v>
      </c>
    </row>
    <row r="102" spans="1:28" outlineLevel="1" x14ac:dyDescent="0.15">
      <c r="A102" s="8" t="s">
        <v>628</v>
      </c>
      <c r="B102" s="8" t="s">
        <v>14</v>
      </c>
      <c r="C102" s="8" t="s">
        <v>107</v>
      </c>
      <c r="D102" s="8" t="s">
        <v>694</v>
      </c>
      <c r="E102" s="9">
        <v>21.61</v>
      </c>
      <c r="F102" s="8" t="s">
        <v>16</v>
      </c>
      <c r="G102" s="143">
        <f t="array" ref="G102">INDEX('[23]SENSUS MEI'!$G$9:$G$453,MATCH(1,('[23]SENSUS MEI'!$D$9:$D$453=$D102)*('[23]SENSUS MEI'!$D$9:$D$453=$D102),0))</f>
        <v>3126</v>
      </c>
      <c r="H102" s="132">
        <f t="shared" si="16"/>
        <v>46238</v>
      </c>
      <c r="I102" s="140">
        <f t="shared" si="16"/>
        <v>113</v>
      </c>
      <c r="J102" s="9">
        <f t="shared" si="9"/>
        <v>3.6148432501599483</v>
      </c>
      <c r="K102" s="140">
        <f t="shared" si="10"/>
        <v>8</v>
      </c>
      <c r="L102" s="206">
        <f t="shared" si="11"/>
        <v>7.0796460176991154</v>
      </c>
      <c r="M102" s="8" t="str">
        <f t="array" ref="M102">IF(L102&gt;5,"Perlu Sensus",IF(AND(L102&gt;=0,I102&gt;0),"Tetap Deteksi","Belum Deteksi"))</f>
        <v>Perlu Sensus</v>
      </c>
      <c r="N102" s="132">
        <v>46238</v>
      </c>
      <c r="O102" s="203">
        <v>113</v>
      </c>
      <c r="P102" s="9">
        <f t="array" ref="P102">IFERROR(O102/G102*100,0)</f>
        <v>3.6148432501599483</v>
      </c>
      <c r="Q102" s="203">
        <v>8</v>
      </c>
      <c r="R102" s="9">
        <f t="shared" si="12"/>
        <v>7.0796460176991154</v>
      </c>
      <c r="S102" s="8" t="str">
        <f t="array" ref="S102">IF(R102&gt;5,"Perlu Sensus",IF(AND(R102&gt;=0,O102&gt;0),"Tetap Deteksi","Belum Deteksi"))</f>
        <v>Perlu Sensus</v>
      </c>
      <c r="T102" s="203">
        <v>43</v>
      </c>
      <c r="U102" s="9">
        <f t="shared" si="14"/>
        <v>38.053097345132741</v>
      </c>
      <c r="V102" s="132">
        <v>46239</v>
      </c>
      <c r="W102" s="203">
        <v>226</v>
      </c>
      <c r="X102" s="203">
        <v>17</v>
      </c>
      <c r="Y102" s="9">
        <f t="shared" si="13"/>
        <v>7.5221238938053103</v>
      </c>
      <c r="Z102" s="8" t="str">
        <f t="array" ref="Z102">IF(Y102&gt;5,"Perlu Sensus",IF(AND(Y102&gt;0,,O102&gt;0),"Tetap Deteksi","Belum Deteksi"))</f>
        <v>Perlu Sensus</v>
      </c>
      <c r="AA102" s="203">
        <v>66</v>
      </c>
      <c r="AB102" s="9">
        <f t="shared" si="15"/>
        <v>29.20353982300885</v>
      </c>
    </row>
    <row r="103" spans="1:28" outlineLevel="1" x14ac:dyDescent="0.15">
      <c r="A103" s="8" t="s">
        <v>628</v>
      </c>
      <c r="B103" s="8" t="s">
        <v>14</v>
      </c>
      <c r="C103" s="8" t="s">
        <v>107</v>
      </c>
      <c r="D103" s="8" t="s">
        <v>695</v>
      </c>
      <c r="E103" s="9">
        <v>15.4</v>
      </c>
      <c r="F103" s="8" t="s">
        <v>16</v>
      </c>
      <c r="G103" s="143">
        <f t="array" ref="G103">INDEX('[23]SENSUS MEI'!$G$9:$G$453,MATCH(1,('[23]SENSUS MEI'!$D$9:$D$453=$D103)*('[23]SENSUS MEI'!$D$9:$D$453=$D103),0))</f>
        <v>2141</v>
      </c>
      <c r="H103" s="132">
        <f t="shared" si="16"/>
        <v>46238</v>
      </c>
      <c r="I103" s="140">
        <f t="shared" si="16"/>
        <v>122</v>
      </c>
      <c r="J103" s="9">
        <f t="shared" si="9"/>
        <v>5.6982718355908455</v>
      </c>
      <c r="K103" s="140">
        <f t="shared" si="10"/>
        <v>9</v>
      </c>
      <c r="L103" s="206">
        <f t="shared" si="11"/>
        <v>7.3770491803278686</v>
      </c>
      <c r="M103" s="8" t="str">
        <f t="array" ref="M103">IF(L103&gt;5,"Perlu Sensus",IF(AND(L103&gt;=0,I103&gt;0),"Tetap Deteksi","Belum Deteksi"))</f>
        <v>Perlu Sensus</v>
      </c>
      <c r="N103" s="132">
        <v>46238</v>
      </c>
      <c r="O103" s="203">
        <v>122</v>
      </c>
      <c r="P103" s="9">
        <f t="array" ref="P103">IFERROR(O103/G103*100,0)</f>
        <v>5.6982718355908455</v>
      </c>
      <c r="Q103" s="203">
        <v>9</v>
      </c>
      <c r="R103" s="9">
        <f t="shared" si="12"/>
        <v>7.3770491803278686</v>
      </c>
      <c r="S103" s="8" t="str">
        <f t="array" ref="S103">IF(R103&gt;5,"Perlu Sensus",IF(AND(R103&gt;=0,O103&gt;0),"Tetap Deteksi","Belum Deteksi"))</f>
        <v>Perlu Sensus</v>
      </c>
      <c r="T103" s="203">
        <v>31</v>
      </c>
      <c r="U103" s="9">
        <f t="shared" si="14"/>
        <v>25.409836065573771</v>
      </c>
      <c r="V103" s="132">
        <v>46239</v>
      </c>
      <c r="W103" s="203">
        <v>244</v>
      </c>
      <c r="X103" s="203">
        <v>16</v>
      </c>
      <c r="Y103" s="9">
        <f t="shared" si="13"/>
        <v>6.557377049180328</v>
      </c>
      <c r="Z103" s="8" t="str">
        <f t="array" ref="Z103">IF(Y103&gt;5,"Perlu Sensus",IF(AND(Y103&gt;0,,O103&gt;0),"Tetap Deteksi","Belum Deteksi"))</f>
        <v>Perlu Sensus</v>
      </c>
      <c r="AA103" s="203">
        <v>62</v>
      </c>
      <c r="AB103" s="9">
        <f t="shared" si="15"/>
        <v>25.409836065573771</v>
      </c>
    </row>
    <row r="104" spans="1:28" outlineLevel="1" x14ac:dyDescent="0.15">
      <c r="A104" s="8" t="s">
        <v>628</v>
      </c>
      <c r="B104" s="8" t="s">
        <v>14</v>
      </c>
      <c r="C104" s="8" t="s">
        <v>107</v>
      </c>
      <c r="D104" s="8" t="s">
        <v>696</v>
      </c>
      <c r="E104" s="9">
        <v>30.33</v>
      </c>
      <c r="F104" s="8" t="s">
        <v>16</v>
      </c>
      <c r="G104" s="143">
        <f t="array" ref="G104">INDEX('[23]SENSUS MEI'!$G$9:$G$453,MATCH(1,('[23]SENSUS MEI'!$D$9:$D$453=$D104)*('[23]SENSUS MEI'!$D$9:$D$453=$D104),0))</f>
        <v>4567</v>
      </c>
      <c r="H104" s="132">
        <f t="shared" si="16"/>
        <v>46238</v>
      </c>
      <c r="I104" s="140">
        <f t="shared" si="16"/>
        <v>125</v>
      </c>
      <c r="J104" s="9">
        <f t="shared" si="9"/>
        <v>2.7370264944164657</v>
      </c>
      <c r="K104" s="140">
        <f t="shared" si="10"/>
        <v>6</v>
      </c>
      <c r="L104" s="206">
        <f t="shared" si="11"/>
        <v>4.8</v>
      </c>
      <c r="M104" s="8" t="str">
        <f t="array" ref="M104">IF(L104&gt;5,"Perlu Sensus",IF(AND(L104&gt;=0,I104&gt;0),"Tetap Deteksi","Belum Deteksi"))</f>
        <v>Tetap Deteksi</v>
      </c>
      <c r="N104" s="132">
        <v>46238</v>
      </c>
      <c r="O104" s="203">
        <v>125</v>
      </c>
      <c r="P104" s="9">
        <f t="array" ref="P104">IFERROR(O104/G104*100,0)</f>
        <v>2.7370264944164657</v>
      </c>
      <c r="Q104" s="203">
        <v>6</v>
      </c>
      <c r="R104" s="9">
        <f t="shared" si="12"/>
        <v>4.8</v>
      </c>
      <c r="S104" s="8" t="str">
        <f t="array" ref="S104">IF(R104&gt;5,"Perlu Sensus",IF(AND(R104&gt;=0,O104&gt;0),"Tetap Deteksi","Belum Deteksi"))</f>
        <v>Tetap Deteksi</v>
      </c>
      <c r="T104" s="203">
        <v>25</v>
      </c>
      <c r="U104" s="9">
        <f t="shared" si="14"/>
        <v>20</v>
      </c>
      <c r="V104" s="132">
        <v>46239</v>
      </c>
      <c r="W104" s="203">
        <v>250</v>
      </c>
      <c r="X104" s="203">
        <v>12</v>
      </c>
      <c r="Y104" s="9">
        <f t="shared" si="13"/>
        <v>4.8</v>
      </c>
      <c r="Z104" s="8" t="str">
        <f t="array" ref="Z104">IF(Y104&gt;5,"Perlu Sensus",IF(AND(Y104&gt;0,,O104&gt;0),"Tetap Deteksi","Belum Deteksi"))</f>
        <v>Belum Deteksi</v>
      </c>
      <c r="AA104" s="203">
        <v>49</v>
      </c>
      <c r="AB104" s="9">
        <f t="shared" si="15"/>
        <v>19.600000000000001</v>
      </c>
    </row>
    <row r="105" spans="1:28" outlineLevel="1" x14ac:dyDescent="0.15">
      <c r="A105" s="8" t="s">
        <v>628</v>
      </c>
      <c r="B105" s="8" t="s">
        <v>14</v>
      </c>
      <c r="C105" s="8" t="s">
        <v>107</v>
      </c>
      <c r="D105" s="8" t="s">
        <v>697</v>
      </c>
      <c r="E105" s="9">
        <v>37.869999999999997</v>
      </c>
      <c r="F105" s="8" t="s">
        <v>469</v>
      </c>
      <c r="G105" s="143">
        <f t="array" ref="G105">INDEX('[23]SENSUS MEI'!$G$9:$G$453,MATCH(1,('[23]SENSUS MEI'!$D$9:$D$453=$D105)*('[23]SENSUS MEI'!$D$9:$D$453=$D105),0))</f>
        <v>5375</v>
      </c>
      <c r="H105" s="132">
        <f t="shared" si="16"/>
        <v>46248</v>
      </c>
      <c r="I105" s="140">
        <f t="shared" si="16"/>
        <v>101</v>
      </c>
      <c r="J105" s="9">
        <f t="shared" si="9"/>
        <v>1.8790697674418606</v>
      </c>
      <c r="K105" s="140">
        <f t="shared" si="10"/>
        <v>5</v>
      </c>
      <c r="L105" s="206">
        <f t="shared" si="11"/>
        <v>4.9504950495049505</v>
      </c>
      <c r="M105" s="8" t="str">
        <f t="array" ref="M105">IF(L105&gt;5,"Perlu Sensus",IF(AND(L105&gt;=0,I105&gt;0),"Tetap Deteksi","Belum Deteksi"))</f>
        <v>Tetap Deteksi</v>
      </c>
      <c r="N105" s="132">
        <v>46248</v>
      </c>
      <c r="O105" s="203">
        <v>101</v>
      </c>
      <c r="P105" s="9">
        <f t="array" ref="P105">IFERROR(O105/G105*100,0)</f>
        <v>1.8790697674418606</v>
      </c>
      <c r="Q105" s="203">
        <v>5</v>
      </c>
      <c r="R105" s="9">
        <f t="shared" si="12"/>
        <v>4.9504950495049505</v>
      </c>
      <c r="S105" s="8" t="str">
        <f t="array" ref="S105">IF(R105&gt;5,"Perlu Sensus",IF(AND(R105&gt;=0,O105&gt;0),"Tetap Deteksi","Belum Deteksi"))</f>
        <v>Tetap Deteksi</v>
      </c>
      <c r="T105" s="203">
        <v>33</v>
      </c>
      <c r="U105" s="9">
        <f t="shared" si="14"/>
        <v>32.673267326732677</v>
      </c>
      <c r="V105" s="132">
        <v>46249</v>
      </c>
      <c r="W105" s="203">
        <v>202</v>
      </c>
      <c r="X105" s="203">
        <v>17</v>
      </c>
      <c r="Y105" s="9">
        <f t="shared" si="13"/>
        <v>8.4158415841584162</v>
      </c>
      <c r="Z105" s="8" t="str">
        <f t="array" ref="Z105">IF(Y105&gt;5,"Perlu Sensus",IF(AND(Y105&gt;0,,O105&gt;0),"Tetap Deteksi","Belum Deteksi"))</f>
        <v>Perlu Sensus</v>
      </c>
      <c r="AA105" s="203">
        <v>66</v>
      </c>
      <c r="AB105" s="9">
        <f t="shared" si="15"/>
        <v>32.673267326732677</v>
      </c>
    </row>
    <row r="106" spans="1:28" outlineLevel="1" x14ac:dyDescent="0.15">
      <c r="A106" s="8" t="s">
        <v>628</v>
      </c>
      <c r="B106" s="8" t="s">
        <v>14</v>
      </c>
      <c r="C106" s="8" t="s">
        <v>107</v>
      </c>
      <c r="D106" s="8" t="s">
        <v>698</v>
      </c>
      <c r="E106" s="9">
        <v>52.36</v>
      </c>
      <c r="F106" s="8" t="s">
        <v>469</v>
      </c>
      <c r="G106" s="143">
        <f t="array" ref="G106">INDEX('[23]SENSUS MEI'!$G$9:$G$453,MATCH(1,('[23]SENSUS MEI'!$D$9:$D$453=$D106)*('[23]SENSUS MEI'!$D$9:$D$453=$D106),0))</f>
        <v>7520</v>
      </c>
      <c r="H106" s="132">
        <f t="shared" si="16"/>
        <v>46248</v>
      </c>
      <c r="I106" s="140">
        <f t="shared" si="16"/>
        <v>104</v>
      </c>
      <c r="J106" s="9">
        <f t="shared" si="9"/>
        <v>1.3829787234042552</v>
      </c>
      <c r="K106" s="140">
        <f t="shared" si="10"/>
        <v>5</v>
      </c>
      <c r="L106" s="206">
        <f t="shared" si="11"/>
        <v>4.8076923076923084</v>
      </c>
      <c r="M106" s="8" t="str">
        <f t="array" ref="M106">IF(L106&gt;5,"Perlu Sensus",IF(AND(L106&gt;=0,I106&gt;0),"Tetap Deteksi","Belum Deteksi"))</f>
        <v>Tetap Deteksi</v>
      </c>
      <c r="N106" s="132">
        <v>46248</v>
      </c>
      <c r="O106" s="203">
        <v>104</v>
      </c>
      <c r="P106" s="9">
        <f t="array" ref="P106">IFERROR(O106/G106*100,0)</f>
        <v>1.3829787234042552</v>
      </c>
      <c r="Q106" s="203">
        <v>5</v>
      </c>
      <c r="R106" s="9">
        <f t="shared" si="12"/>
        <v>4.8076923076923084</v>
      </c>
      <c r="S106" s="8" t="str">
        <f t="array" ref="S106">IF(R106&gt;5,"Perlu Sensus",IF(AND(R106&gt;=0,O106&gt;0),"Tetap Deteksi","Belum Deteksi"))</f>
        <v>Tetap Deteksi</v>
      </c>
      <c r="T106" s="203">
        <v>98</v>
      </c>
      <c r="U106" s="9">
        <f t="shared" si="14"/>
        <v>94.230769230769226</v>
      </c>
      <c r="V106" s="132">
        <v>46249</v>
      </c>
      <c r="W106" s="203">
        <v>208</v>
      </c>
      <c r="X106" s="203">
        <v>23</v>
      </c>
      <c r="Y106" s="9">
        <f t="shared" si="13"/>
        <v>11.057692307692307</v>
      </c>
      <c r="Z106" s="8" t="str">
        <f t="array" ref="Z106">IF(Y106&gt;5,"Perlu Sensus",IF(AND(Y106&gt;0,,O106&gt;0),"Tetap Deteksi","Belum Deteksi"))</f>
        <v>Perlu Sensus</v>
      </c>
      <c r="AA106" s="203">
        <v>96</v>
      </c>
      <c r="AB106" s="9">
        <f t="shared" si="15"/>
        <v>46.153846153846153</v>
      </c>
    </row>
    <row r="107" spans="1:28" outlineLevel="1" x14ac:dyDescent="0.15">
      <c r="A107" s="8" t="s">
        <v>628</v>
      </c>
      <c r="B107" s="8" t="s">
        <v>14</v>
      </c>
      <c r="C107" s="8" t="s">
        <v>107</v>
      </c>
      <c r="D107" s="8" t="s">
        <v>699</v>
      </c>
      <c r="E107" s="9">
        <v>53.6</v>
      </c>
      <c r="F107" s="8" t="s">
        <v>469</v>
      </c>
      <c r="G107" s="143">
        <f t="array" ref="G107">INDEX('[23]SENSUS MEI'!$G$9:$G$453,MATCH(1,('[23]SENSUS MEI'!$D$9:$D$453=$D107)*('[23]SENSUS MEI'!$D$9:$D$453=$D107),0))</f>
        <v>7750</v>
      </c>
      <c r="H107" s="132">
        <f t="shared" si="16"/>
        <v>46248</v>
      </c>
      <c r="I107" s="140">
        <f t="shared" si="16"/>
        <v>112</v>
      </c>
      <c r="J107" s="9">
        <f t="shared" si="9"/>
        <v>1.4451612903225806</v>
      </c>
      <c r="K107" s="140">
        <f t="shared" si="10"/>
        <v>9</v>
      </c>
      <c r="L107" s="206">
        <f t="shared" si="11"/>
        <v>8.0357142857142865</v>
      </c>
      <c r="M107" s="8" t="str">
        <f t="array" ref="M107">IF(L107&gt;5,"Perlu Sensus",IF(AND(L107&gt;=0,I107&gt;0),"Tetap Deteksi","Belum Deteksi"))</f>
        <v>Perlu Sensus</v>
      </c>
      <c r="N107" s="132">
        <v>46248</v>
      </c>
      <c r="O107" s="203">
        <v>112</v>
      </c>
      <c r="P107" s="9">
        <f t="array" ref="P107">IFERROR(O107/G107*100,0)</f>
        <v>1.4451612903225806</v>
      </c>
      <c r="Q107" s="203">
        <v>9</v>
      </c>
      <c r="R107" s="9">
        <f t="shared" si="12"/>
        <v>8.0357142857142865</v>
      </c>
      <c r="S107" s="8" t="str">
        <f t="array" ref="S107">IF(R107&gt;5,"Perlu Sensus",IF(AND(R107&gt;=0,O107&gt;0),"Tetap Deteksi","Belum Deteksi"))</f>
        <v>Perlu Sensus</v>
      </c>
      <c r="T107" s="203">
        <v>42</v>
      </c>
      <c r="U107" s="9">
        <f t="shared" si="14"/>
        <v>37.5</v>
      </c>
      <c r="V107" s="132">
        <v>46249</v>
      </c>
      <c r="W107" s="203">
        <v>224</v>
      </c>
      <c r="X107" s="203">
        <v>21</v>
      </c>
      <c r="Y107" s="9">
        <f t="shared" si="13"/>
        <v>9.375</v>
      </c>
      <c r="Z107" s="8" t="str">
        <f t="array" ref="Z107">IF(Y107&gt;5,"Perlu Sensus",IF(AND(Y107&gt;0,,O107&gt;0),"Tetap Deteksi","Belum Deteksi"))</f>
        <v>Perlu Sensus</v>
      </c>
      <c r="AA107" s="203">
        <v>84</v>
      </c>
      <c r="AB107" s="9">
        <f t="shared" si="15"/>
        <v>37.5</v>
      </c>
    </row>
    <row r="108" spans="1:28" outlineLevel="1" x14ac:dyDescent="0.15">
      <c r="A108" s="8" t="s">
        <v>628</v>
      </c>
      <c r="B108" s="8" t="s">
        <v>14</v>
      </c>
      <c r="C108" s="8" t="s">
        <v>107</v>
      </c>
      <c r="D108" s="8" t="s">
        <v>700</v>
      </c>
      <c r="E108" s="9">
        <v>42.12</v>
      </c>
      <c r="F108" s="8" t="s">
        <v>469</v>
      </c>
      <c r="G108" s="143">
        <f t="array" ref="G108">INDEX('[23]SENSUS MEI'!$G$9:$G$453,MATCH(1,('[23]SENSUS MEI'!$D$9:$D$453=$D108)*('[23]SENSUS MEI'!$D$9:$D$453=$D108),0))</f>
        <v>6012</v>
      </c>
      <c r="H108" s="132">
        <f t="shared" si="16"/>
        <v>46245</v>
      </c>
      <c r="I108" s="140">
        <f t="shared" si="16"/>
        <v>123</v>
      </c>
      <c r="J108" s="9">
        <f t="shared" si="9"/>
        <v>2.0459081836327346</v>
      </c>
      <c r="K108" s="140">
        <f t="shared" si="10"/>
        <v>6</v>
      </c>
      <c r="L108" s="206">
        <f t="shared" si="11"/>
        <v>4.8780487804878048</v>
      </c>
      <c r="M108" s="8" t="str">
        <f t="array" ref="M108">IF(L108&gt;5,"Perlu Sensus",IF(AND(L108&gt;=0,I108&gt;0),"Tetap Deteksi","Belum Deteksi"))</f>
        <v>Tetap Deteksi</v>
      </c>
      <c r="N108" s="132">
        <v>46245</v>
      </c>
      <c r="O108" s="203">
        <v>123</v>
      </c>
      <c r="P108" s="9">
        <f t="array" ref="P108">IFERROR(O108/G108*100,0)</f>
        <v>2.0459081836327346</v>
      </c>
      <c r="Q108" s="203">
        <v>6</v>
      </c>
      <c r="R108" s="9">
        <f t="shared" si="12"/>
        <v>4.8780487804878048</v>
      </c>
      <c r="S108" s="8" t="str">
        <f t="array" ref="S108">IF(R108&gt;5,"Perlu Sensus",IF(AND(R108&gt;=0,O108&gt;0),"Tetap Deteksi","Belum Deteksi"))</f>
        <v>Tetap Deteksi</v>
      </c>
      <c r="T108" s="203">
        <v>39</v>
      </c>
      <c r="U108" s="9">
        <f t="shared" si="14"/>
        <v>31.707317073170731</v>
      </c>
      <c r="V108" s="132">
        <v>46246</v>
      </c>
      <c r="W108" s="203">
        <v>246</v>
      </c>
      <c r="X108" s="203">
        <v>20</v>
      </c>
      <c r="Y108" s="9">
        <f t="shared" si="13"/>
        <v>8.1300813008130071</v>
      </c>
      <c r="Z108" s="8" t="str">
        <f t="array" ref="Z108">IF(Y108&gt;5,"Perlu Sensus",IF(AND(Y108&gt;0,,O108&gt;0),"Tetap Deteksi","Belum Deteksi"))</f>
        <v>Perlu Sensus</v>
      </c>
      <c r="AA108" s="203">
        <v>78</v>
      </c>
      <c r="AB108" s="9">
        <f t="shared" si="15"/>
        <v>31.707317073170731</v>
      </c>
    </row>
    <row r="109" spans="1:28" outlineLevel="1" x14ac:dyDescent="0.15">
      <c r="A109" s="8" t="s">
        <v>628</v>
      </c>
      <c r="B109" s="8" t="s">
        <v>14</v>
      </c>
      <c r="C109" s="8" t="s">
        <v>107</v>
      </c>
      <c r="D109" s="8" t="s">
        <v>701</v>
      </c>
      <c r="E109" s="9">
        <v>35.29</v>
      </c>
      <c r="F109" s="8" t="s">
        <v>469</v>
      </c>
      <c r="G109" s="143">
        <f t="array" ref="G109">INDEX('[23]SENSUS MEI'!$G$9:$G$453,MATCH(1,('[23]SENSUS MEI'!$D$9:$D$453=$D109)*('[23]SENSUS MEI'!$D$9:$D$453=$D109),0))</f>
        <v>5037</v>
      </c>
      <c r="H109" s="132">
        <f t="shared" si="16"/>
        <v>46245</v>
      </c>
      <c r="I109" s="140">
        <f t="shared" si="16"/>
        <v>122</v>
      </c>
      <c r="J109" s="9">
        <f t="shared" si="9"/>
        <v>2.4220766329164185</v>
      </c>
      <c r="K109" s="140">
        <f t="shared" si="10"/>
        <v>4</v>
      </c>
      <c r="L109" s="206">
        <f t="shared" si="11"/>
        <v>3.278688524590164</v>
      </c>
      <c r="M109" s="8" t="str">
        <f t="array" ref="M109">IF(L109&gt;5,"Perlu Sensus",IF(AND(L109&gt;=0,I109&gt;0),"Tetap Deteksi","Belum Deteksi"))</f>
        <v>Tetap Deteksi</v>
      </c>
      <c r="N109" s="132">
        <v>46245</v>
      </c>
      <c r="O109" s="203">
        <v>122</v>
      </c>
      <c r="P109" s="9">
        <f t="array" ref="P109">IFERROR(O109/G109*100,0)</f>
        <v>2.4220766329164185</v>
      </c>
      <c r="Q109" s="203">
        <v>4</v>
      </c>
      <c r="R109" s="9">
        <f t="shared" si="12"/>
        <v>3.278688524590164</v>
      </c>
      <c r="S109" s="8" t="str">
        <f t="array" ref="S109">IF(R109&gt;5,"Perlu Sensus",IF(AND(R109&gt;=0,O109&gt;0),"Tetap Deteksi","Belum Deteksi"))</f>
        <v>Tetap Deteksi</v>
      </c>
      <c r="T109" s="203">
        <v>36</v>
      </c>
      <c r="U109" s="9">
        <f t="shared" si="14"/>
        <v>29.508196721311474</v>
      </c>
      <c r="V109" s="132">
        <v>46246</v>
      </c>
      <c r="W109" s="203">
        <v>244</v>
      </c>
      <c r="X109" s="203">
        <v>18</v>
      </c>
      <c r="Y109" s="9">
        <f t="shared" si="13"/>
        <v>7.3770491803278686</v>
      </c>
      <c r="Z109" s="8" t="str">
        <f t="array" ref="Z109">IF(Y109&gt;5,"Perlu Sensus",IF(AND(Y109&gt;0,,O109&gt;0),"Tetap Deteksi","Belum Deteksi"))</f>
        <v>Perlu Sensus</v>
      </c>
      <c r="AA109" s="203">
        <v>72</v>
      </c>
      <c r="AB109" s="9">
        <f t="shared" si="15"/>
        <v>29.508196721311474</v>
      </c>
    </row>
    <row r="110" spans="1:28" outlineLevel="1" x14ac:dyDescent="0.15">
      <c r="A110" s="8" t="s">
        <v>628</v>
      </c>
      <c r="B110" s="8" t="s">
        <v>14</v>
      </c>
      <c r="C110" s="8" t="s">
        <v>107</v>
      </c>
      <c r="D110" s="8" t="s">
        <v>702</v>
      </c>
      <c r="E110" s="9">
        <v>34.54</v>
      </c>
      <c r="F110" s="8" t="s">
        <v>469</v>
      </c>
      <c r="G110" s="143">
        <f t="array" ref="G110">INDEX('[23]SENSUS MEI'!$G$9:$G$453,MATCH(1,('[23]SENSUS MEI'!$D$9:$D$453=$D110)*('[23]SENSUS MEI'!$D$9:$D$453=$D110),0))</f>
        <v>4773</v>
      </c>
      <c r="H110" s="132">
        <f t="shared" si="16"/>
        <v>46245</v>
      </c>
      <c r="I110" s="140">
        <f t="shared" si="16"/>
        <v>118</v>
      </c>
      <c r="J110" s="9">
        <f t="shared" si="9"/>
        <v>2.4722396815420074</v>
      </c>
      <c r="K110" s="140">
        <f t="shared" si="10"/>
        <v>5</v>
      </c>
      <c r="L110" s="206">
        <f t="shared" si="11"/>
        <v>4.2372881355932197</v>
      </c>
      <c r="M110" s="8" t="str">
        <f t="array" ref="M110">IF(L110&gt;5,"Perlu Sensus",IF(AND(L110&gt;=0,I110&gt;0),"Tetap Deteksi","Belum Deteksi"))</f>
        <v>Tetap Deteksi</v>
      </c>
      <c r="N110" s="132">
        <v>46245</v>
      </c>
      <c r="O110" s="203">
        <v>118</v>
      </c>
      <c r="P110" s="9">
        <f t="array" ref="P110">IFERROR(O110/G110*100,0)</f>
        <v>2.4722396815420074</v>
      </c>
      <c r="Q110" s="203">
        <v>5</v>
      </c>
      <c r="R110" s="9">
        <f t="shared" si="12"/>
        <v>4.2372881355932197</v>
      </c>
      <c r="S110" s="8" t="str">
        <f t="array" ref="S110">IF(R110&gt;5,"Perlu Sensus",IF(AND(R110&gt;=0,O110&gt;0),"Tetap Deteksi","Belum Deteksi"))</f>
        <v>Tetap Deteksi</v>
      </c>
      <c r="T110" s="203">
        <v>38</v>
      </c>
      <c r="U110" s="9">
        <f t="shared" si="14"/>
        <v>32.20338983050847</v>
      </c>
      <c r="V110" s="132">
        <v>46246</v>
      </c>
      <c r="W110" s="203">
        <v>236</v>
      </c>
      <c r="X110" s="203">
        <v>19</v>
      </c>
      <c r="Y110" s="9">
        <f t="shared" si="13"/>
        <v>8.0508474576271176</v>
      </c>
      <c r="Z110" s="8" t="str">
        <f t="array" ref="Z110">IF(Y110&gt;5,"Perlu Sensus",IF(AND(Y110&gt;0,,O110&gt;0),"Tetap Deteksi","Belum Deteksi"))</f>
        <v>Perlu Sensus</v>
      </c>
      <c r="AA110" s="203">
        <v>76</v>
      </c>
      <c r="AB110" s="9">
        <f t="shared" si="15"/>
        <v>32.20338983050847</v>
      </c>
    </row>
    <row r="111" spans="1:28" outlineLevel="1" x14ac:dyDescent="0.15">
      <c r="A111" s="8" t="s">
        <v>628</v>
      </c>
      <c r="B111" s="8" t="s">
        <v>14</v>
      </c>
      <c r="C111" s="8" t="s">
        <v>107</v>
      </c>
      <c r="D111" s="8" t="s">
        <v>703</v>
      </c>
      <c r="E111" s="9">
        <v>30.85</v>
      </c>
      <c r="F111" s="8" t="s">
        <v>16</v>
      </c>
      <c r="G111" s="143">
        <f t="array" ref="G111">INDEX('[23]SENSUS MEI'!$G$9:$G$453,MATCH(1,('[23]SENSUS MEI'!$D$9:$D$453=$D111)*('[23]SENSUS MEI'!$D$9:$D$453=$D111),0))</f>
        <v>4364</v>
      </c>
      <c r="H111" s="132">
        <f t="shared" si="16"/>
        <v>46247</v>
      </c>
      <c r="I111" s="140">
        <f t="shared" si="16"/>
        <v>51</v>
      </c>
      <c r="J111" s="9">
        <f t="shared" si="9"/>
        <v>1.1686526122823098</v>
      </c>
      <c r="K111" s="140">
        <f t="shared" si="10"/>
        <v>5</v>
      </c>
      <c r="L111" s="206">
        <f t="shared" si="11"/>
        <v>9.8039215686274517</v>
      </c>
      <c r="M111" s="8" t="str">
        <f t="array" ref="M111">IF(L111&gt;5,"Perlu Sensus",IF(AND(L111&gt;=0,I111&gt;0),"Tetap Deteksi","Belum Deteksi"))</f>
        <v>Perlu Sensus</v>
      </c>
      <c r="N111" s="132">
        <v>46247</v>
      </c>
      <c r="O111" s="203">
        <v>51</v>
      </c>
      <c r="P111" s="9">
        <f t="array" ref="P111">IFERROR(O111/G111*100,0)</f>
        <v>1.1686526122823098</v>
      </c>
      <c r="Q111" s="203">
        <v>5</v>
      </c>
      <c r="R111" s="9">
        <f t="shared" si="12"/>
        <v>9.8039215686274517</v>
      </c>
      <c r="S111" s="8" t="str">
        <f t="array" ref="S111">IF(R111&gt;5,"Perlu Sensus",IF(AND(R111&gt;=0,O111&gt;0),"Tetap Deteksi","Belum Deteksi"))</f>
        <v>Perlu Sensus</v>
      </c>
      <c r="T111" s="203">
        <v>36</v>
      </c>
      <c r="U111" s="9">
        <f t="shared" si="14"/>
        <v>70.588235294117652</v>
      </c>
      <c r="V111" s="132">
        <v>46235</v>
      </c>
      <c r="W111" s="203">
        <v>60</v>
      </c>
      <c r="X111" s="203">
        <v>10</v>
      </c>
      <c r="Y111" s="9">
        <f t="shared" si="13"/>
        <v>16.666666666666664</v>
      </c>
      <c r="Z111" s="8" t="str">
        <f t="array" ref="Z111">IF(Y111&gt;5,"Perlu Sensus",IF(AND(Y111&gt;0,,O111&gt;0),"Tetap Deteksi","Belum Deteksi"))</f>
        <v>Perlu Sensus</v>
      </c>
      <c r="AA111" s="203">
        <v>32</v>
      </c>
      <c r="AB111" s="9">
        <f t="shared" si="15"/>
        <v>53.333333333333336</v>
      </c>
    </row>
    <row r="112" spans="1:28" outlineLevel="1" x14ac:dyDescent="0.15">
      <c r="A112" s="8" t="s">
        <v>628</v>
      </c>
      <c r="B112" s="8" t="s">
        <v>14</v>
      </c>
      <c r="C112" s="8" t="s">
        <v>107</v>
      </c>
      <c r="D112" s="8" t="s">
        <v>704</v>
      </c>
      <c r="E112" s="9">
        <v>39.01</v>
      </c>
      <c r="F112" s="8" t="s">
        <v>16</v>
      </c>
      <c r="G112" s="143">
        <f t="array" ref="G112">INDEX('[23]SENSUS MEI'!$G$9:$G$453,MATCH(1,('[23]SENSUS MEI'!$D$9:$D$453=$D112)*('[23]SENSUS MEI'!$D$9:$D$453=$D112),0))</f>
        <v>5502</v>
      </c>
      <c r="H112" s="132">
        <f t="shared" si="16"/>
        <v>46247</v>
      </c>
      <c r="I112" s="140">
        <f t="shared" si="16"/>
        <v>60</v>
      </c>
      <c r="J112" s="9">
        <f t="shared" si="9"/>
        <v>1.0905125408942202</v>
      </c>
      <c r="K112" s="140">
        <f t="shared" si="10"/>
        <v>3</v>
      </c>
      <c r="L112" s="206">
        <f t="shared" si="11"/>
        <v>5</v>
      </c>
      <c r="M112" s="8" t="str">
        <f t="array" ref="M112">IF(L112&gt;5,"Perlu Sensus",IF(AND(L112&gt;=0,I112&gt;0),"Tetap Deteksi","Belum Deteksi"))</f>
        <v>Tetap Deteksi</v>
      </c>
      <c r="N112" s="132">
        <v>46247</v>
      </c>
      <c r="O112" s="203">
        <v>60</v>
      </c>
      <c r="P112" s="9">
        <f t="array" ref="P112">IFERROR(O112/G112*100,0)</f>
        <v>1.0905125408942202</v>
      </c>
      <c r="Q112" s="203">
        <v>3</v>
      </c>
      <c r="R112" s="9">
        <f t="shared" si="12"/>
        <v>5</v>
      </c>
      <c r="S112" s="8" t="str">
        <f t="array" ref="S112">IF(R112&gt;5,"Perlu Sensus",IF(AND(R112&gt;=0,O112&gt;0),"Tetap Deteksi","Belum Deteksi"))</f>
        <v>Tetap Deteksi</v>
      </c>
      <c r="T112" s="203">
        <v>30</v>
      </c>
      <c r="U112" s="9">
        <f t="shared" si="14"/>
        <v>50</v>
      </c>
      <c r="V112" s="132">
        <v>46248</v>
      </c>
      <c r="W112" s="203">
        <v>120</v>
      </c>
      <c r="X112" s="203">
        <v>16</v>
      </c>
      <c r="Y112" s="9">
        <f t="shared" si="13"/>
        <v>13.333333333333334</v>
      </c>
      <c r="Z112" s="8" t="str">
        <f t="array" ref="Z112">IF(Y112&gt;5,"Perlu Sensus",IF(AND(Y112&gt;0,,O112&gt;0),"Tetap Deteksi","Belum Deteksi"))</f>
        <v>Perlu Sensus</v>
      </c>
      <c r="AA112" s="203">
        <v>63</v>
      </c>
      <c r="AB112" s="9">
        <f t="shared" si="15"/>
        <v>52.5</v>
      </c>
    </row>
    <row r="113" spans="1:28" outlineLevel="1" x14ac:dyDescent="0.15">
      <c r="A113" s="8" t="s">
        <v>628</v>
      </c>
      <c r="B113" s="8" t="s">
        <v>14</v>
      </c>
      <c r="C113" s="8" t="s">
        <v>107</v>
      </c>
      <c r="D113" s="8" t="s">
        <v>705</v>
      </c>
      <c r="E113" s="9">
        <v>27.33</v>
      </c>
      <c r="F113" s="8" t="s">
        <v>469</v>
      </c>
      <c r="G113" s="143">
        <f t="array" ref="G113">INDEX('[23]SENSUS MEI'!$G$9:$G$453,MATCH(1,('[23]SENSUS MEI'!$D$9:$D$453=$D113)*('[23]SENSUS MEI'!$D$9:$D$453=$D113),0))</f>
        <v>3854</v>
      </c>
      <c r="H113" s="132">
        <f t="shared" si="16"/>
        <v>46247</v>
      </c>
      <c r="I113" s="140">
        <f t="shared" si="16"/>
        <v>54</v>
      </c>
      <c r="J113" s="9">
        <f t="shared" si="9"/>
        <v>1.4011416709911779</v>
      </c>
      <c r="K113" s="140">
        <f t="shared" si="10"/>
        <v>3</v>
      </c>
      <c r="L113" s="206">
        <f t="shared" si="11"/>
        <v>5.5555555555555554</v>
      </c>
      <c r="M113" s="8" t="str">
        <f t="array" ref="M113">IF(L113&gt;5,"Perlu Sensus",IF(AND(L113&gt;=0,I113&gt;0),"Tetap Deteksi","Belum Deteksi"))</f>
        <v>Perlu Sensus</v>
      </c>
      <c r="N113" s="132">
        <v>46247</v>
      </c>
      <c r="O113" s="203">
        <v>54</v>
      </c>
      <c r="P113" s="9">
        <f t="array" ref="P113">IFERROR(O113/G113*100,0)</f>
        <v>1.4011416709911779</v>
      </c>
      <c r="Q113" s="203">
        <v>3</v>
      </c>
      <c r="R113" s="9">
        <f t="shared" si="12"/>
        <v>5.5555555555555554</v>
      </c>
      <c r="S113" s="8" t="str">
        <f t="array" ref="S113">IF(R113&gt;5,"Perlu Sensus",IF(AND(R113&gt;=0,O113&gt;0),"Tetap Deteksi","Belum Deteksi"))</f>
        <v>Perlu Sensus</v>
      </c>
      <c r="T113" s="203">
        <v>31</v>
      </c>
      <c r="U113" s="9">
        <f t="shared" si="14"/>
        <v>57.407407407407405</v>
      </c>
      <c r="V113" s="132">
        <v>46248</v>
      </c>
      <c r="W113" s="203">
        <v>108</v>
      </c>
      <c r="X113" s="203">
        <v>16</v>
      </c>
      <c r="Y113" s="9">
        <f t="shared" si="13"/>
        <v>14.814814814814813</v>
      </c>
      <c r="Z113" s="8" t="str">
        <f t="array" ref="Z113">IF(Y113&gt;5,"Perlu Sensus",IF(AND(Y113&gt;0,,O113&gt;0),"Tetap Deteksi","Belum Deteksi"))</f>
        <v>Perlu Sensus</v>
      </c>
      <c r="AA113" s="203">
        <v>62</v>
      </c>
      <c r="AB113" s="9">
        <f t="shared" si="15"/>
        <v>57.407407407407405</v>
      </c>
    </row>
    <row r="114" spans="1:28" outlineLevel="1" x14ac:dyDescent="0.15">
      <c r="A114" s="8" t="s">
        <v>628</v>
      </c>
      <c r="B114" s="8" t="s">
        <v>14</v>
      </c>
      <c r="C114" s="8" t="s">
        <v>107</v>
      </c>
      <c r="D114" s="8" t="s">
        <v>371</v>
      </c>
      <c r="E114" s="9">
        <v>9.6300000000000008</v>
      </c>
      <c r="F114" s="8" t="s">
        <v>16</v>
      </c>
      <c r="G114" s="143">
        <f t="array" ref="G114">INDEX('[23]SENSUS MEI'!$G$9:$G$453,MATCH(1,('[23]SENSUS MEI'!$D$9:$D$453=$D114)*('[23]SENSUS MEI'!$D$9:$D$453=$D114),0))</f>
        <v>2298</v>
      </c>
      <c r="H114" s="132">
        <f t="shared" si="16"/>
        <v>46235</v>
      </c>
      <c r="I114" s="140">
        <f t="shared" si="16"/>
        <v>85</v>
      </c>
      <c r="J114" s="9">
        <f t="shared" si="9"/>
        <v>3.698868581375109</v>
      </c>
      <c r="K114" s="140">
        <f t="shared" si="10"/>
        <v>7</v>
      </c>
      <c r="L114" s="206">
        <f t="shared" si="11"/>
        <v>8.235294117647058</v>
      </c>
      <c r="M114" s="8" t="str">
        <f t="array" ref="M114">IF(L114&gt;5,"Perlu Sensus",IF(AND(L114&gt;=0,I114&gt;0),"Tetap Deteksi","Belum Deteksi"))</f>
        <v>Perlu Sensus</v>
      </c>
      <c r="N114" s="132">
        <v>46235</v>
      </c>
      <c r="O114" s="203">
        <v>85</v>
      </c>
      <c r="P114" s="9">
        <f t="array" ref="P114">IFERROR(O114/G114*100,0)</f>
        <v>3.698868581375109</v>
      </c>
      <c r="Q114" s="203">
        <v>7</v>
      </c>
      <c r="R114" s="9">
        <f t="shared" si="12"/>
        <v>8.235294117647058</v>
      </c>
      <c r="S114" s="8" t="str">
        <f t="array" ref="S114">IF(R114&gt;5,"Perlu Sensus",IF(AND(R114&gt;=0,O114&gt;0),"Tetap Deteksi","Belum Deteksi"))</f>
        <v>Perlu Sensus</v>
      </c>
      <c r="T114" s="203">
        <v>42</v>
      </c>
      <c r="U114" s="9">
        <f t="shared" si="14"/>
        <v>49.411764705882355</v>
      </c>
      <c r="V114" s="132">
        <v>46236</v>
      </c>
      <c r="W114" s="203">
        <v>170</v>
      </c>
      <c r="X114" s="203">
        <v>21</v>
      </c>
      <c r="Y114" s="9">
        <f t="shared" si="13"/>
        <v>12.352941176470589</v>
      </c>
      <c r="Z114" s="8" t="str">
        <f t="array" ref="Z114">IF(Y114&gt;5,"Perlu Sensus",IF(AND(Y114&gt;0,,O114&gt;0),"Tetap Deteksi","Belum Deteksi"))</f>
        <v>Perlu Sensus</v>
      </c>
      <c r="AA114" s="203">
        <v>84</v>
      </c>
      <c r="AB114" s="9">
        <f t="shared" si="15"/>
        <v>49.411764705882355</v>
      </c>
    </row>
    <row r="115" spans="1:28" outlineLevel="1" x14ac:dyDescent="0.15">
      <c r="A115" s="8" t="s">
        <v>628</v>
      </c>
      <c r="B115" s="8" t="s">
        <v>14</v>
      </c>
      <c r="C115" s="8" t="s">
        <v>107</v>
      </c>
      <c r="D115" s="8" t="s">
        <v>706</v>
      </c>
      <c r="E115" s="9">
        <v>12.5</v>
      </c>
      <c r="F115" s="8" t="s">
        <v>16</v>
      </c>
      <c r="G115" s="143">
        <f t="array" ref="G115">INDEX('[23]SENSUS MEI'!$G$9:$G$453,MATCH(1,('[23]SENSUS MEI'!$D$9:$D$453=$D115)*('[23]SENSUS MEI'!$D$9:$D$453=$D115),0))</f>
        <v>1765</v>
      </c>
      <c r="H115" s="132">
        <f t="shared" si="16"/>
        <v>46240</v>
      </c>
      <c r="I115" s="140">
        <f t="shared" si="16"/>
        <v>65</v>
      </c>
      <c r="J115" s="9">
        <f t="shared" si="9"/>
        <v>3.6827195467422094</v>
      </c>
      <c r="K115" s="140">
        <f t="shared" si="10"/>
        <v>6</v>
      </c>
      <c r="L115" s="206">
        <f t="shared" si="11"/>
        <v>9.2307692307692317</v>
      </c>
      <c r="M115" s="8" t="str">
        <f t="array" ref="M115">IF(L115&gt;5,"Perlu Sensus",IF(AND(L115&gt;=0,I115&gt;0),"Tetap Deteksi","Belum Deteksi"))</f>
        <v>Perlu Sensus</v>
      </c>
      <c r="N115" s="132">
        <v>46240</v>
      </c>
      <c r="O115" s="203">
        <v>65</v>
      </c>
      <c r="P115" s="9">
        <f t="array" ref="P115">IFERROR(O115/G115*100,0)</f>
        <v>3.6827195467422094</v>
      </c>
      <c r="Q115" s="203">
        <v>6</v>
      </c>
      <c r="R115" s="9">
        <f t="shared" si="12"/>
        <v>9.2307692307692317</v>
      </c>
      <c r="S115" s="8" t="str">
        <f t="array" ref="S115">IF(R115&gt;5,"Perlu Sensus",IF(AND(R115&gt;=0,O115&gt;0),"Tetap Deteksi","Belum Deteksi"))</f>
        <v>Perlu Sensus</v>
      </c>
      <c r="T115" s="203">
        <v>48</v>
      </c>
      <c r="U115" s="9">
        <f t="shared" si="14"/>
        <v>73.846153846153854</v>
      </c>
      <c r="V115" s="132">
        <v>46241</v>
      </c>
      <c r="W115" s="203">
        <v>130</v>
      </c>
      <c r="X115" s="203">
        <v>19</v>
      </c>
      <c r="Y115" s="9">
        <f t="shared" si="13"/>
        <v>14.615384615384617</v>
      </c>
      <c r="Z115" s="8" t="str">
        <f t="array" ref="Z115">IF(Y115&gt;5,"Perlu Sensus",IF(AND(Y115&gt;0,,O115&gt;0),"Tetap Deteksi","Belum Deteksi"))</f>
        <v>Perlu Sensus</v>
      </c>
      <c r="AA115" s="203">
        <v>76</v>
      </c>
      <c r="AB115" s="9">
        <f t="shared" si="15"/>
        <v>58.461538461538467</v>
      </c>
    </row>
    <row r="116" spans="1:28" outlineLevel="1" x14ac:dyDescent="0.15">
      <c r="A116" s="8" t="s">
        <v>628</v>
      </c>
      <c r="B116" s="8" t="s">
        <v>14</v>
      </c>
      <c r="C116" s="8" t="s">
        <v>107</v>
      </c>
      <c r="D116" s="8" t="s">
        <v>707</v>
      </c>
      <c r="E116" s="9">
        <v>18.71</v>
      </c>
      <c r="F116" s="8" t="s">
        <v>16</v>
      </c>
      <c r="G116" s="143">
        <f t="array" ref="G116">INDEX('[23]SENSUS MEI'!$G$9:$G$453,MATCH(1,('[23]SENSUS MEI'!$D$9:$D$453=$D116)*('[23]SENSUS MEI'!$D$9:$D$453=$D116),0))</f>
        <v>2634</v>
      </c>
      <c r="H116" s="132">
        <f t="shared" si="16"/>
        <v>46240</v>
      </c>
      <c r="I116" s="140">
        <f t="shared" si="16"/>
        <v>73</v>
      </c>
      <c r="J116" s="9">
        <f t="shared" si="9"/>
        <v>2.7714502657555049</v>
      </c>
      <c r="K116" s="140">
        <f t="shared" si="10"/>
        <v>8</v>
      </c>
      <c r="L116" s="206">
        <f t="shared" si="11"/>
        <v>10.95890410958904</v>
      </c>
      <c r="M116" s="8" t="str">
        <f t="array" ref="M116">IF(L116&gt;5,"Perlu Sensus",IF(AND(L116&gt;=0,I116&gt;0),"Tetap Deteksi","Belum Deteksi"))</f>
        <v>Perlu Sensus</v>
      </c>
      <c r="N116" s="132">
        <v>46240</v>
      </c>
      <c r="O116" s="203">
        <v>73</v>
      </c>
      <c r="P116" s="9">
        <f t="array" ref="P116">IFERROR(O116/G116*100,0)</f>
        <v>2.7714502657555049</v>
      </c>
      <c r="Q116" s="203">
        <v>8</v>
      </c>
      <c r="R116" s="9">
        <f t="shared" si="12"/>
        <v>10.95890410958904</v>
      </c>
      <c r="S116" s="8" t="str">
        <f t="array" ref="S116">IF(R116&gt;5,"Perlu Sensus",IF(AND(R116&gt;=0,O116&gt;0),"Tetap Deteksi","Belum Deteksi"))</f>
        <v>Perlu Sensus</v>
      </c>
      <c r="T116" s="203">
        <v>52</v>
      </c>
      <c r="U116" s="9">
        <f t="shared" si="14"/>
        <v>71.232876712328761</v>
      </c>
      <c r="V116" s="132">
        <v>46241</v>
      </c>
      <c r="W116" s="203">
        <v>146</v>
      </c>
      <c r="X116" s="203">
        <v>21</v>
      </c>
      <c r="Y116" s="9">
        <f t="shared" si="13"/>
        <v>14.383561643835616</v>
      </c>
      <c r="Z116" s="8" t="str">
        <f t="array" ref="Z116">IF(Y116&gt;5,"Perlu Sensus",IF(AND(Y116&gt;0,,O116&gt;0),"Tetap Deteksi","Belum Deteksi"))</f>
        <v>Perlu Sensus</v>
      </c>
      <c r="AA116" s="203">
        <v>84</v>
      </c>
      <c r="AB116" s="9">
        <f t="shared" si="15"/>
        <v>57.534246575342465</v>
      </c>
    </row>
    <row r="117" spans="1:28" outlineLevel="1" x14ac:dyDescent="0.15">
      <c r="A117" s="8" t="s">
        <v>628</v>
      </c>
      <c r="B117" s="8" t="s">
        <v>14</v>
      </c>
      <c r="C117" s="8" t="s">
        <v>107</v>
      </c>
      <c r="D117" s="8" t="s">
        <v>708</v>
      </c>
      <c r="E117" s="9">
        <v>47.01</v>
      </c>
      <c r="F117" s="8" t="s">
        <v>16</v>
      </c>
      <c r="G117" s="143">
        <f t="array" ref="G117">INDEX('[23]SENSUS MEI'!$G$9:$G$453,MATCH(1,('[23]SENSUS MEI'!$D$9:$D$453=$D117)*('[23]SENSUS MEI'!$D$9:$D$453=$D117),0))</f>
        <v>6798</v>
      </c>
      <c r="H117" s="132">
        <f t="shared" si="16"/>
        <v>46241</v>
      </c>
      <c r="I117" s="140">
        <f t="shared" si="16"/>
        <v>112</v>
      </c>
      <c r="J117" s="9">
        <f t="shared" si="9"/>
        <v>1.6475433951162106</v>
      </c>
      <c r="K117" s="140">
        <f t="shared" si="10"/>
        <v>9</v>
      </c>
      <c r="L117" s="206">
        <f t="shared" si="11"/>
        <v>8.0357142857142865</v>
      </c>
      <c r="M117" s="8" t="str">
        <f t="array" ref="M117">IF(L117&gt;5,"Perlu Sensus",IF(AND(L117&gt;=0,I117&gt;0),"Tetap Deteksi","Belum Deteksi"))</f>
        <v>Perlu Sensus</v>
      </c>
      <c r="N117" s="132">
        <v>46241</v>
      </c>
      <c r="O117" s="203">
        <v>112</v>
      </c>
      <c r="P117" s="9">
        <f t="array" ref="P117">IFERROR(O117/G117*100,0)</f>
        <v>1.6475433951162106</v>
      </c>
      <c r="Q117" s="203">
        <v>9</v>
      </c>
      <c r="R117" s="9">
        <f t="shared" si="12"/>
        <v>8.0357142857142865</v>
      </c>
      <c r="S117" s="8" t="str">
        <f t="array" ref="S117">IF(R117&gt;5,"Perlu Sensus",IF(AND(R117&gt;=0,O117&gt;0),"Tetap Deteksi","Belum Deteksi"))</f>
        <v>Perlu Sensus</v>
      </c>
      <c r="T117" s="203">
        <v>56</v>
      </c>
      <c r="U117" s="9">
        <f t="shared" si="14"/>
        <v>50</v>
      </c>
      <c r="V117" s="132">
        <v>46242</v>
      </c>
      <c r="W117" s="203">
        <v>224</v>
      </c>
      <c r="X117" s="203">
        <v>21</v>
      </c>
      <c r="Y117" s="9">
        <f t="shared" si="13"/>
        <v>9.375</v>
      </c>
      <c r="Z117" s="8" t="str">
        <f t="array" ref="Z117">IF(Y117&gt;5,"Perlu Sensus",IF(AND(Y117&gt;0,,O117&gt;0),"Tetap Deteksi","Belum Deteksi"))</f>
        <v>Perlu Sensus</v>
      </c>
      <c r="AA117" s="203">
        <v>82</v>
      </c>
      <c r="AB117" s="9">
        <f t="shared" si="15"/>
        <v>36.607142857142854</v>
      </c>
    </row>
    <row r="118" spans="1:28" outlineLevel="1" x14ac:dyDescent="0.15">
      <c r="A118" s="8" t="s">
        <v>628</v>
      </c>
      <c r="B118" s="8" t="s">
        <v>14</v>
      </c>
      <c r="C118" s="8" t="s">
        <v>107</v>
      </c>
      <c r="D118" s="8" t="s">
        <v>709</v>
      </c>
      <c r="E118" s="9">
        <v>50.89</v>
      </c>
      <c r="F118" s="8" t="s">
        <v>16</v>
      </c>
      <c r="G118" s="143">
        <f t="array" ref="G118">INDEX('[23]SENSUS MEI'!$G$9:$G$453,MATCH(1,('[23]SENSUS MEI'!$D$9:$D$453=$D118)*('[23]SENSUS MEI'!$D$9:$D$453=$D118),0))</f>
        <v>7170</v>
      </c>
      <c r="H118" s="132">
        <f t="shared" si="16"/>
        <v>46241</v>
      </c>
      <c r="I118" s="140">
        <f t="shared" si="16"/>
        <v>118</v>
      </c>
      <c r="J118" s="9">
        <f t="shared" si="9"/>
        <v>1.6457461645746165</v>
      </c>
      <c r="K118" s="140">
        <f t="shared" si="10"/>
        <v>7</v>
      </c>
      <c r="L118" s="206">
        <f t="shared" si="11"/>
        <v>5.9322033898305087</v>
      </c>
      <c r="M118" s="8" t="str">
        <f t="array" ref="M118">IF(L118&gt;5,"Perlu Sensus",IF(AND(L118&gt;=0,I118&gt;0),"Tetap Deteksi","Belum Deteksi"))</f>
        <v>Perlu Sensus</v>
      </c>
      <c r="N118" s="132">
        <v>46241</v>
      </c>
      <c r="O118" s="203">
        <v>118</v>
      </c>
      <c r="P118" s="9">
        <f t="array" ref="P118">IFERROR(O118/G118*100,0)</f>
        <v>1.6457461645746165</v>
      </c>
      <c r="Q118" s="203">
        <v>7</v>
      </c>
      <c r="R118" s="9">
        <f t="shared" si="12"/>
        <v>5.9322033898305087</v>
      </c>
      <c r="S118" s="8" t="str">
        <f t="array" ref="S118">IF(R118&gt;5,"Perlu Sensus",IF(AND(R118&gt;=0,O118&gt;0),"Tetap Deteksi","Belum Deteksi"))</f>
        <v>Perlu Sensus</v>
      </c>
      <c r="T118" s="203">
        <v>38</v>
      </c>
      <c r="U118" s="9">
        <f t="shared" si="14"/>
        <v>32.20338983050847</v>
      </c>
      <c r="V118" s="132">
        <v>46242</v>
      </c>
      <c r="W118" s="203">
        <v>236</v>
      </c>
      <c r="X118" s="203">
        <v>19</v>
      </c>
      <c r="Y118" s="9">
        <f t="shared" si="13"/>
        <v>8.0508474576271176</v>
      </c>
      <c r="Z118" s="8" t="str">
        <f t="array" ref="Z118">IF(Y118&gt;5,"Perlu Sensus",IF(AND(Y118&gt;0,,O118&gt;0),"Tetap Deteksi","Belum Deteksi"))</f>
        <v>Perlu Sensus</v>
      </c>
      <c r="AA118" s="203">
        <v>71</v>
      </c>
      <c r="AB118" s="9">
        <f t="shared" si="15"/>
        <v>30.084745762711862</v>
      </c>
    </row>
    <row r="119" spans="1:28" outlineLevel="1" x14ac:dyDescent="0.15">
      <c r="A119" s="8" t="s">
        <v>628</v>
      </c>
      <c r="B119" s="8" t="s">
        <v>14</v>
      </c>
      <c r="C119" s="8" t="s">
        <v>107</v>
      </c>
      <c r="D119" s="8" t="s">
        <v>710</v>
      </c>
      <c r="E119" s="9">
        <v>48</v>
      </c>
      <c r="F119" s="8" t="s">
        <v>16</v>
      </c>
      <c r="G119" s="143">
        <f t="array" ref="G119">INDEX('[23]SENSUS MEI'!$G$9:$G$453,MATCH(1,('[23]SENSUS MEI'!$D$9:$D$453=$D119)*('[23]SENSUS MEI'!$D$9:$D$453=$D119),0))</f>
        <v>7020</v>
      </c>
      <c r="H119" s="132">
        <f t="shared" si="16"/>
        <v>46249</v>
      </c>
      <c r="I119" s="140">
        <f t="shared" si="16"/>
        <v>104</v>
      </c>
      <c r="J119" s="9">
        <f t="shared" si="9"/>
        <v>1.4814814814814816</v>
      </c>
      <c r="K119" s="140">
        <f t="shared" si="10"/>
        <v>9</v>
      </c>
      <c r="L119" s="206">
        <f t="shared" si="11"/>
        <v>8.6538461538461533</v>
      </c>
      <c r="M119" s="8" t="str">
        <f t="array" ref="M119">IF(L119&gt;5,"Perlu Sensus",IF(AND(L119&gt;=0,I119&gt;0),"Tetap Deteksi","Belum Deteksi"))</f>
        <v>Perlu Sensus</v>
      </c>
      <c r="N119" s="132">
        <v>46249</v>
      </c>
      <c r="O119" s="203">
        <v>104</v>
      </c>
      <c r="P119" s="9">
        <f t="array" ref="P119">IFERROR(O119/G119*100,0)</f>
        <v>1.4814814814814816</v>
      </c>
      <c r="Q119" s="203">
        <v>9</v>
      </c>
      <c r="R119" s="9">
        <f t="shared" si="12"/>
        <v>8.6538461538461533</v>
      </c>
      <c r="S119" s="8" t="str">
        <f t="array" ref="S119">IF(R119&gt;5,"Perlu Sensus",IF(AND(R119&gt;=0,O119&gt;0),"Tetap Deteksi","Belum Deteksi"))</f>
        <v>Perlu Sensus</v>
      </c>
      <c r="T119" s="203">
        <v>46</v>
      </c>
      <c r="U119" s="9">
        <f t="shared" si="14"/>
        <v>44.230769230769226</v>
      </c>
      <c r="V119" s="132" t="s">
        <v>2289</v>
      </c>
      <c r="W119" s="203">
        <v>211</v>
      </c>
      <c r="X119" s="203">
        <v>8</v>
      </c>
      <c r="Y119" s="9">
        <f t="shared" si="13"/>
        <v>3.7914691943127963</v>
      </c>
      <c r="Z119" s="8" t="str">
        <f t="array" ref="Z119">IF(Y119&gt;5,"Perlu Sensus",IF(AND(Y119&gt;0,,O119&gt;0),"Tetap Deteksi","Belum Deteksi"))</f>
        <v>Belum Deteksi</v>
      </c>
      <c r="AA119" s="203">
        <v>44</v>
      </c>
      <c r="AB119" s="9">
        <f t="shared" si="15"/>
        <v>20.85308056872038</v>
      </c>
    </row>
    <row r="120" spans="1:28" outlineLevel="1" x14ac:dyDescent="0.15">
      <c r="A120" s="8" t="s">
        <v>628</v>
      </c>
      <c r="B120" s="8" t="s">
        <v>14</v>
      </c>
      <c r="C120" s="8" t="s">
        <v>107</v>
      </c>
      <c r="D120" s="8" t="s">
        <v>711</v>
      </c>
      <c r="E120" s="9">
        <v>45.86</v>
      </c>
      <c r="F120" s="8" t="s">
        <v>16</v>
      </c>
      <c r="G120" s="143">
        <f t="array" ref="G120">INDEX('[23]SENSUS MEI'!$G$9:$G$453,MATCH(1,('[23]SENSUS MEI'!$D$9:$D$453=$D120)*('[23]SENSUS MEI'!$D$9:$D$453=$D120),0))</f>
        <v>6381</v>
      </c>
      <c r="H120" s="132">
        <f t="shared" si="16"/>
        <v>46249</v>
      </c>
      <c r="I120" s="140">
        <f t="shared" si="16"/>
        <v>126</v>
      </c>
      <c r="J120" s="9">
        <f t="shared" si="9"/>
        <v>1.9746121297602257</v>
      </c>
      <c r="K120" s="140">
        <f t="shared" si="10"/>
        <v>11</v>
      </c>
      <c r="L120" s="206">
        <f t="shared" si="11"/>
        <v>8.7301587301587293</v>
      </c>
      <c r="M120" s="8" t="str">
        <f t="array" ref="M120">IF(L120&gt;5,"Perlu Sensus",IF(AND(L120&gt;=0,I120&gt;0),"Tetap Deteksi","Belum Deteksi"))</f>
        <v>Perlu Sensus</v>
      </c>
      <c r="N120" s="132">
        <v>46249</v>
      </c>
      <c r="O120" s="203">
        <v>126</v>
      </c>
      <c r="P120" s="9">
        <f t="array" ref="P120">IFERROR(O120/G120*100,0)</f>
        <v>1.9746121297602257</v>
      </c>
      <c r="Q120" s="203">
        <v>11</v>
      </c>
      <c r="R120" s="9">
        <f t="shared" si="12"/>
        <v>8.7301587301587293</v>
      </c>
      <c r="S120" s="8" t="str">
        <f t="array" ref="S120">IF(R120&gt;5,"Perlu Sensus",IF(AND(R120&gt;=0,O120&gt;0),"Tetap Deteksi","Belum Deteksi"))</f>
        <v>Perlu Sensus</v>
      </c>
      <c r="T120" s="203">
        <v>41</v>
      </c>
      <c r="U120" s="9">
        <f t="shared" si="14"/>
        <v>32.539682539682538</v>
      </c>
      <c r="V120" s="132">
        <v>46241</v>
      </c>
      <c r="W120" s="203">
        <v>252</v>
      </c>
      <c r="X120" s="203">
        <v>9</v>
      </c>
      <c r="Y120" s="9">
        <f t="shared" si="13"/>
        <v>3.5714285714285712</v>
      </c>
      <c r="Z120" s="8" t="str">
        <f t="array" ref="Z120">IF(Y120&gt;5,"Perlu Sensus",IF(AND(Y120&gt;0,,O120&gt;0),"Tetap Deteksi","Belum Deteksi"))</f>
        <v>Belum Deteksi</v>
      </c>
      <c r="AA120" s="203">
        <v>34</v>
      </c>
      <c r="AB120" s="9">
        <f t="shared" si="15"/>
        <v>13.492063492063492</v>
      </c>
    </row>
    <row r="121" spans="1:28" outlineLevel="1" x14ac:dyDescent="0.15">
      <c r="A121" s="8" t="s">
        <v>628</v>
      </c>
      <c r="B121" s="8" t="s">
        <v>14</v>
      </c>
      <c r="C121" s="8" t="s">
        <v>107</v>
      </c>
      <c r="D121" s="8" t="s">
        <v>375</v>
      </c>
      <c r="E121" s="9">
        <v>13.88</v>
      </c>
      <c r="F121" s="8" t="s">
        <v>16</v>
      </c>
      <c r="G121" s="143">
        <f t="array" ref="G121">INDEX('[23]SENSUS MEI'!$G$9:$G$453,MATCH(1,('[23]SENSUS MEI'!$D$9:$D$453=$D121)*('[23]SENSUS MEI'!$D$9:$D$453=$D121),0))</f>
        <v>1797</v>
      </c>
      <c r="H121" s="132">
        <f t="shared" si="16"/>
        <v>46235</v>
      </c>
      <c r="I121" s="140">
        <f t="shared" si="16"/>
        <v>123</v>
      </c>
      <c r="J121" s="9">
        <f t="shared" si="9"/>
        <v>6.8447412353923207</v>
      </c>
      <c r="K121" s="140">
        <f t="shared" si="10"/>
        <v>14</v>
      </c>
      <c r="L121" s="206">
        <f t="shared" si="11"/>
        <v>11.38211382113821</v>
      </c>
      <c r="M121" s="8" t="str">
        <f t="array" ref="M121">IF(L121&gt;5,"Perlu Sensus",IF(AND(L121&gt;=0,I121&gt;0),"Tetap Deteksi","Belum Deteksi"))</f>
        <v>Perlu Sensus</v>
      </c>
      <c r="N121" s="132">
        <v>46235</v>
      </c>
      <c r="O121" s="203">
        <v>123</v>
      </c>
      <c r="P121" s="9">
        <f t="array" ref="P121">IFERROR(O121/G121*100,0)</f>
        <v>6.8447412353923207</v>
      </c>
      <c r="Q121" s="203">
        <v>14</v>
      </c>
      <c r="R121" s="9">
        <f t="shared" si="12"/>
        <v>11.38211382113821</v>
      </c>
      <c r="S121" s="8" t="str">
        <f t="array" ref="S121">IF(R121&gt;5,"Perlu Sensus",IF(AND(R121&gt;=0,O121&gt;0),"Tetap Deteksi","Belum Deteksi"))</f>
        <v>Perlu Sensus</v>
      </c>
      <c r="T121" s="203">
        <v>48</v>
      </c>
      <c r="U121" s="9">
        <f t="shared" si="14"/>
        <v>39.024390243902438</v>
      </c>
      <c r="V121" s="132">
        <v>46236</v>
      </c>
      <c r="W121" s="203">
        <v>246</v>
      </c>
      <c r="X121" s="203">
        <v>15</v>
      </c>
      <c r="Y121" s="9">
        <f t="shared" si="13"/>
        <v>6.0975609756097562</v>
      </c>
      <c r="Z121" s="8" t="str">
        <f t="array" ref="Z121">IF(Y121&gt;5,"Perlu Sensus",IF(AND(Y121&gt;0,,O121&gt;0),"Tetap Deteksi","Belum Deteksi"))</f>
        <v>Perlu Sensus</v>
      </c>
      <c r="AA121" s="203">
        <v>61</v>
      </c>
      <c r="AB121" s="9">
        <f t="shared" si="15"/>
        <v>24.796747967479675</v>
      </c>
    </row>
    <row r="122" spans="1:28" outlineLevel="1" x14ac:dyDescent="0.15">
      <c r="A122" s="8" t="s">
        <v>628</v>
      </c>
      <c r="B122" s="8" t="s">
        <v>14</v>
      </c>
      <c r="C122" s="8" t="s">
        <v>107</v>
      </c>
      <c r="D122" s="8" t="s">
        <v>376</v>
      </c>
      <c r="E122" s="9">
        <v>12.03</v>
      </c>
      <c r="F122" s="8" t="s">
        <v>16</v>
      </c>
      <c r="G122" s="143">
        <f t="array" ref="G122">INDEX('[23]SENSUS MEI'!$G$9:$G$453,MATCH(1,('[23]SENSUS MEI'!$D$9:$D$453=$D122)*('[23]SENSUS MEI'!$D$9:$D$453=$D122),0))</f>
        <v>1764</v>
      </c>
      <c r="H122" s="132">
        <f t="shared" si="16"/>
        <v>46235</v>
      </c>
      <c r="I122" s="140">
        <f t="shared" si="16"/>
        <v>125</v>
      </c>
      <c r="J122" s="9">
        <f t="shared" si="9"/>
        <v>7.0861678004535147</v>
      </c>
      <c r="K122" s="140">
        <f t="shared" si="10"/>
        <v>10</v>
      </c>
      <c r="L122" s="206">
        <f t="shared" si="11"/>
        <v>8</v>
      </c>
      <c r="M122" s="8" t="str">
        <f t="array" ref="M122">IF(L122&gt;5,"Perlu Sensus",IF(AND(L122&gt;=0,I122&gt;0),"Tetap Deteksi","Belum Deteksi"))</f>
        <v>Perlu Sensus</v>
      </c>
      <c r="N122" s="132">
        <v>46235</v>
      </c>
      <c r="O122" s="203">
        <v>125</v>
      </c>
      <c r="P122" s="9">
        <f t="array" ref="P122">IFERROR(O122/G122*100,0)</f>
        <v>7.0861678004535147</v>
      </c>
      <c r="Q122" s="203">
        <v>10</v>
      </c>
      <c r="R122" s="9">
        <f t="shared" si="12"/>
        <v>8</v>
      </c>
      <c r="S122" s="8" t="str">
        <f t="array" ref="S122">IF(R122&gt;5,"Perlu Sensus",IF(AND(R122&gt;=0,O122&gt;0),"Tetap Deteksi","Belum Deteksi"))</f>
        <v>Perlu Sensus</v>
      </c>
      <c r="T122" s="203">
        <v>39</v>
      </c>
      <c r="U122" s="9">
        <f t="shared" si="14"/>
        <v>31.2</v>
      </c>
      <c r="V122" s="132">
        <v>46236</v>
      </c>
      <c r="W122" s="203">
        <v>250</v>
      </c>
      <c r="X122" s="203">
        <v>11</v>
      </c>
      <c r="Y122" s="9">
        <f t="shared" si="13"/>
        <v>4.3999999999999995</v>
      </c>
      <c r="Z122" s="8" t="str">
        <f t="array" ref="Z122">IF(Y122&gt;5,"Perlu Sensus",IF(AND(Y122&gt;0,,O122&gt;0),"Tetap Deteksi","Belum Deteksi"))</f>
        <v>Belum Deteksi</v>
      </c>
      <c r="AA122" s="203">
        <v>45</v>
      </c>
      <c r="AB122" s="9">
        <f t="shared" si="15"/>
        <v>18</v>
      </c>
    </row>
    <row r="123" spans="1:28" outlineLevel="1" x14ac:dyDescent="0.15">
      <c r="A123" s="8" t="s">
        <v>628</v>
      </c>
      <c r="B123" s="8" t="s">
        <v>14</v>
      </c>
      <c r="C123" s="8" t="s">
        <v>144</v>
      </c>
      <c r="D123" s="8" t="s">
        <v>712</v>
      </c>
      <c r="E123" s="9">
        <v>15.35</v>
      </c>
      <c r="F123" s="8" t="s">
        <v>16</v>
      </c>
      <c r="G123" s="143">
        <f t="array" ref="G123">INDEX('[23]SENSUS MEI'!$G$9:$G$453,MATCH(1,('[23]SENSUS MEI'!$D$9:$D$453=$D123)*('[23]SENSUS MEI'!$D$9:$D$453=$D123),0))</f>
        <v>1989</v>
      </c>
      <c r="H123" s="132">
        <f t="shared" si="16"/>
        <v>46247</v>
      </c>
      <c r="I123" s="140">
        <f t="shared" si="16"/>
        <v>206</v>
      </c>
      <c r="J123" s="9">
        <f t="shared" si="9"/>
        <v>10.356963298139769</v>
      </c>
      <c r="K123" s="140">
        <f t="shared" si="10"/>
        <v>14</v>
      </c>
      <c r="L123" s="206">
        <f t="shared" si="11"/>
        <v>6.7961165048543686</v>
      </c>
      <c r="M123" s="8" t="str">
        <f t="array" ref="M123">IF(L123&gt;5,"Perlu Sensus",IF(AND(L123&gt;=0,I123&gt;0),"Tetap Deteksi","Belum Deteksi"))</f>
        <v>Perlu Sensus</v>
      </c>
      <c r="N123" s="132">
        <v>46247</v>
      </c>
      <c r="O123" s="203">
        <v>206</v>
      </c>
      <c r="P123" s="9">
        <f t="array" ref="P123">IFERROR(O123/G123*100,0)</f>
        <v>10.356963298139769</v>
      </c>
      <c r="Q123" s="203">
        <v>14</v>
      </c>
      <c r="R123" s="9">
        <f t="shared" si="12"/>
        <v>6.7961165048543686</v>
      </c>
      <c r="S123" s="8" t="str">
        <f t="array" ref="S123">IF(R123&gt;5,"Perlu Sensus",IF(AND(R123&gt;=0,O123&gt;0),"Tetap Deteksi","Belum Deteksi"))</f>
        <v>Perlu Sensus</v>
      </c>
      <c r="T123" s="203">
        <v>39</v>
      </c>
      <c r="U123" s="9">
        <f t="shared" si="14"/>
        <v>18.932038834951456</v>
      </c>
      <c r="V123" s="132">
        <v>46248</v>
      </c>
      <c r="W123" s="203">
        <v>212</v>
      </c>
      <c r="X123" s="203">
        <v>18</v>
      </c>
      <c r="Y123" s="9">
        <f t="shared" si="13"/>
        <v>8.4905660377358494</v>
      </c>
      <c r="Z123" s="8" t="str">
        <f t="array" ref="Z123">IF(Y123&gt;5,"Perlu Sensus",IF(AND(Y123&gt;0,,O123&gt;0),"Tetap Deteksi","Belum Deteksi"))</f>
        <v>Perlu Sensus</v>
      </c>
      <c r="AA123" s="203">
        <v>54</v>
      </c>
      <c r="AB123" s="9">
        <f t="shared" si="15"/>
        <v>25.471698113207548</v>
      </c>
    </row>
    <row r="124" spans="1:28" outlineLevel="1" x14ac:dyDescent="0.15">
      <c r="A124" s="8" t="s">
        <v>628</v>
      </c>
      <c r="B124" s="8" t="s">
        <v>14</v>
      </c>
      <c r="C124" s="8" t="s">
        <v>144</v>
      </c>
      <c r="D124" s="8" t="s">
        <v>713</v>
      </c>
      <c r="E124" s="9">
        <v>26.35</v>
      </c>
      <c r="F124" s="8" t="s">
        <v>16</v>
      </c>
      <c r="G124" s="143">
        <f t="array" ref="G124">INDEX('[23]SENSUS MEI'!$G$9:$G$453,MATCH(1,('[23]SENSUS MEI'!$D$9:$D$453=$D124)*('[23]SENSUS MEI'!$D$9:$D$453=$D124),0))</f>
        <v>3418</v>
      </c>
      <c r="H124" s="132">
        <f t="shared" si="16"/>
        <v>46247</v>
      </c>
      <c r="I124" s="140">
        <f t="shared" si="16"/>
        <v>224</v>
      </c>
      <c r="J124" s="9">
        <f t="shared" si="9"/>
        <v>6.5535400819192517</v>
      </c>
      <c r="K124" s="140">
        <f t="shared" si="10"/>
        <v>18</v>
      </c>
      <c r="L124" s="206">
        <f t="shared" si="11"/>
        <v>8.0357142857142865</v>
      </c>
      <c r="M124" s="8" t="str">
        <f t="array" ref="M124">IF(L124&gt;5,"Perlu Sensus",IF(AND(L124&gt;=0,I124&gt;0),"Tetap Deteksi","Belum Deteksi"))</f>
        <v>Perlu Sensus</v>
      </c>
      <c r="N124" s="132">
        <v>46247</v>
      </c>
      <c r="O124" s="203">
        <v>224</v>
      </c>
      <c r="P124" s="9">
        <f t="array" ref="P124">IFERROR(O124/G124*100,0)</f>
        <v>6.5535400819192517</v>
      </c>
      <c r="Q124" s="203">
        <v>18</v>
      </c>
      <c r="R124" s="9">
        <f t="shared" si="12"/>
        <v>8.0357142857142865</v>
      </c>
      <c r="S124" s="8" t="str">
        <f t="array" ref="S124">IF(R124&gt;5,"Perlu Sensus",IF(AND(R124&gt;=0,O124&gt;0),"Tetap Deteksi","Belum Deteksi"))</f>
        <v>Perlu Sensus</v>
      </c>
      <c r="T124" s="203">
        <v>36</v>
      </c>
      <c r="U124" s="9">
        <f t="shared" si="14"/>
        <v>16.071428571428573</v>
      </c>
      <c r="V124" s="132">
        <v>46248</v>
      </c>
      <c r="W124" s="203">
        <v>248</v>
      </c>
      <c r="X124" s="203">
        <v>26</v>
      </c>
      <c r="Y124" s="9">
        <f t="shared" si="13"/>
        <v>10.483870967741936</v>
      </c>
      <c r="Z124" s="8" t="str">
        <f t="array" ref="Z124">IF(Y124&gt;5,"Perlu Sensus",IF(AND(Y124&gt;0,,O124&gt;0),"Tetap Deteksi","Belum Deteksi"))</f>
        <v>Perlu Sensus</v>
      </c>
      <c r="AA124" s="203">
        <v>77</v>
      </c>
      <c r="AB124" s="9">
        <f t="shared" si="15"/>
        <v>31.048387096774192</v>
      </c>
    </row>
    <row r="125" spans="1:28" outlineLevel="1" x14ac:dyDescent="0.15">
      <c r="A125" s="8" t="s">
        <v>628</v>
      </c>
      <c r="B125" s="8" t="s">
        <v>14</v>
      </c>
      <c r="C125" s="8" t="s">
        <v>144</v>
      </c>
      <c r="D125" s="8" t="s">
        <v>714</v>
      </c>
      <c r="E125" s="9">
        <v>21.16</v>
      </c>
      <c r="F125" s="8" t="s">
        <v>16</v>
      </c>
      <c r="G125" s="143">
        <f t="array" ref="G125">INDEX('[23]SENSUS MEI'!$G$9:$G$453,MATCH(1,('[23]SENSUS MEI'!$D$9:$D$453=$D125)*('[23]SENSUS MEI'!$D$9:$D$453=$D125),0))</f>
        <v>3016</v>
      </c>
      <c r="H125" s="132">
        <f t="shared" si="16"/>
        <v>46247</v>
      </c>
      <c r="I125" s="140">
        <f t="shared" si="16"/>
        <v>56</v>
      </c>
      <c r="J125" s="9">
        <f t="shared" si="9"/>
        <v>1.8567639257294428</v>
      </c>
      <c r="K125" s="140">
        <f t="shared" si="10"/>
        <v>27</v>
      </c>
      <c r="L125" s="206">
        <f t="shared" si="11"/>
        <v>48.214285714285715</v>
      </c>
      <c r="M125" s="8" t="str">
        <f t="array" ref="M125">IF(L125&gt;5,"Perlu Sensus",IF(AND(L125&gt;=0,I125&gt;0),"Tetap Deteksi","Belum Deteksi"))</f>
        <v>Perlu Sensus</v>
      </c>
      <c r="N125" s="132">
        <v>46247</v>
      </c>
      <c r="O125" s="203">
        <v>56</v>
      </c>
      <c r="P125" s="9">
        <f t="array" ref="P125">IFERROR(O125/G125*100,0)</f>
        <v>1.8567639257294428</v>
      </c>
      <c r="Q125" s="203">
        <v>27</v>
      </c>
      <c r="R125" s="9">
        <f t="shared" si="12"/>
        <v>48.214285714285715</v>
      </c>
      <c r="S125" s="8" t="str">
        <f t="array" ref="S125">IF(R125&gt;5,"Perlu Sensus",IF(AND(R125&gt;=0,O125&gt;0),"Tetap Deteksi","Belum Deteksi"))</f>
        <v>Perlu Sensus</v>
      </c>
      <c r="T125" s="203">
        <v>46</v>
      </c>
      <c r="U125" s="9">
        <f t="shared" si="14"/>
        <v>82.142857142857139</v>
      </c>
      <c r="V125" s="132">
        <v>46248</v>
      </c>
      <c r="W125" s="203">
        <v>112</v>
      </c>
      <c r="X125" s="203">
        <v>15</v>
      </c>
      <c r="Y125" s="9">
        <f t="shared" si="13"/>
        <v>13.392857142857142</v>
      </c>
      <c r="Z125" s="8" t="str">
        <f t="array" ref="Z125">IF(Y125&gt;5,"Perlu Sensus",IF(AND(Y125&gt;0,,O125&gt;0),"Tetap Deteksi","Belum Deteksi"))</f>
        <v>Perlu Sensus</v>
      </c>
      <c r="AA125" s="203">
        <v>43</v>
      </c>
      <c r="AB125" s="9">
        <f t="shared" si="15"/>
        <v>38.392857142857146</v>
      </c>
    </row>
    <row r="126" spans="1:28" outlineLevel="1" x14ac:dyDescent="0.15">
      <c r="A126" s="8" t="s">
        <v>628</v>
      </c>
      <c r="B126" s="8" t="s">
        <v>14</v>
      </c>
      <c r="C126" s="8" t="s">
        <v>144</v>
      </c>
      <c r="D126" s="8" t="s">
        <v>715</v>
      </c>
      <c r="E126" s="9">
        <v>10.87</v>
      </c>
      <c r="F126" s="8" t="s">
        <v>16</v>
      </c>
      <c r="G126" s="143">
        <f t="array" ref="G126">INDEX('[23]SENSUS MEI'!$G$9:$G$453,MATCH(1,('[23]SENSUS MEI'!$D$9:$D$453=$D126)*('[23]SENSUS MEI'!$D$9:$D$453=$D126),0))</f>
        <v>1633</v>
      </c>
      <c r="H126" s="132">
        <f t="shared" si="16"/>
        <v>46247</v>
      </c>
      <c r="I126" s="140">
        <f t="shared" si="16"/>
        <v>40</v>
      </c>
      <c r="J126" s="9">
        <f t="shared" si="9"/>
        <v>2.4494794856093081</v>
      </c>
      <c r="K126" s="140">
        <f t="shared" si="10"/>
        <v>4</v>
      </c>
      <c r="L126" s="206">
        <f t="shared" si="11"/>
        <v>10</v>
      </c>
      <c r="M126" s="8" t="str">
        <f t="array" ref="M126">IF(L126&gt;5,"Perlu Sensus",IF(AND(L126&gt;=0,I126&gt;0),"Tetap Deteksi","Belum Deteksi"))</f>
        <v>Perlu Sensus</v>
      </c>
      <c r="N126" s="132">
        <v>46247</v>
      </c>
      <c r="O126" s="203">
        <v>40</v>
      </c>
      <c r="P126" s="9">
        <f t="array" ref="P126">IFERROR(O126/G126*100,0)</f>
        <v>2.4494794856093081</v>
      </c>
      <c r="Q126" s="203">
        <v>4</v>
      </c>
      <c r="R126" s="9">
        <f t="shared" si="12"/>
        <v>10</v>
      </c>
      <c r="S126" s="8" t="str">
        <f t="array" ref="S126">IF(R126&gt;5,"Perlu Sensus",IF(AND(R126&gt;=0,O126&gt;0),"Tetap Deteksi","Belum Deteksi"))</f>
        <v>Perlu Sensus</v>
      </c>
      <c r="T126" s="203">
        <v>29</v>
      </c>
      <c r="U126" s="9">
        <f t="shared" si="14"/>
        <v>72.5</v>
      </c>
      <c r="V126" s="132">
        <v>46248</v>
      </c>
      <c r="W126" s="203">
        <v>80</v>
      </c>
      <c r="X126" s="203">
        <v>9</v>
      </c>
      <c r="Y126" s="9">
        <f t="shared" si="13"/>
        <v>11.25</v>
      </c>
      <c r="Z126" s="8" t="str">
        <f t="array" ref="Z126">IF(Y126&gt;5,"Perlu Sensus",IF(AND(Y126&gt;0,,O126&gt;0),"Tetap Deteksi","Belum Deteksi"))</f>
        <v>Perlu Sensus</v>
      </c>
      <c r="AA126" s="203">
        <v>22</v>
      </c>
      <c r="AB126" s="9">
        <f t="shared" si="15"/>
        <v>27.500000000000004</v>
      </c>
    </row>
    <row r="127" spans="1:28" outlineLevel="1" x14ac:dyDescent="0.15">
      <c r="A127" s="8" t="s">
        <v>628</v>
      </c>
      <c r="B127" s="8" t="s">
        <v>14</v>
      </c>
      <c r="C127" s="8" t="s">
        <v>144</v>
      </c>
      <c r="D127" s="8" t="s">
        <v>716</v>
      </c>
      <c r="E127" s="9">
        <v>42.68</v>
      </c>
      <c r="F127" s="8" t="s">
        <v>16</v>
      </c>
      <c r="G127" s="143">
        <f t="array" ref="G127">INDEX('[23]SENSUS MEI'!$G$9:$G$453,MATCH(1,('[23]SENSUS MEI'!$D$9:$D$453=$D127)*('[23]SENSUS MEI'!$D$9:$D$453=$D127),0))</f>
        <v>5977</v>
      </c>
      <c r="H127" s="132">
        <f t="shared" si="16"/>
        <v>46241</v>
      </c>
      <c r="I127" s="140">
        <f t="shared" si="16"/>
        <v>106</v>
      </c>
      <c r="J127" s="9">
        <f t="shared" si="9"/>
        <v>1.7734649489710559</v>
      </c>
      <c r="K127" s="140">
        <f t="shared" si="10"/>
        <v>7</v>
      </c>
      <c r="L127" s="206">
        <f t="shared" si="11"/>
        <v>6.6037735849056602</v>
      </c>
      <c r="M127" s="8" t="str">
        <f t="array" ref="M127">IF(L127&gt;5,"Perlu Sensus",IF(AND(L127&gt;=0,I127&gt;0),"Tetap Deteksi","Belum Deteksi"))</f>
        <v>Perlu Sensus</v>
      </c>
      <c r="N127" s="132">
        <v>46241</v>
      </c>
      <c r="O127" s="203">
        <v>106</v>
      </c>
      <c r="P127" s="9">
        <f t="array" ref="P127">IFERROR(O127/G127*100,0)</f>
        <v>1.7734649489710559</v>
      </c>
      <c r="Q127" s="203">
        <v>7</v>
      </c>
      <c r="R127" s="9">
        <f t="shared" si="12"/>
        <v>6.6037735849056602</v>
      </c>
      <c r="S127" s="8" t="str">
        <f t="array" ref="S127">IF(R127&gt;5,"Perlu Sensus",IF(AND(R127&gt;=0,O127&gt;0),"Tetap Deteksi","Belum Deteksi"))</f>
        <v>Perlu Sensus</v>
      </c>
      <c r="T127" s="203">
        <v>96</v>
      </c>
      <c r="U127" s="9">
        <f t="shared" si="14"/>
        <v>90.566037735849065</v>
      </c>
      <c r="V127" s="132">
        <v>46242</v>
      </c>
      <c r="W127" s="203">
        <v>212</v>
      </c>
      <c r="X127" s="203">
        <v>20</v>
      </c>
      <c r="Y127" s="9">
        <f t="shared" si="13"/>
        <v>9.433962264150944</v>
      </c>
      <c r="Z127" s="8" t="str">
        <f t="array" ref="Z127">IF(Y127&gt;5,"Perlu Sensus",IF(AND(Y127&gt;0,,O127&gt;0),"Tetap Deteksi","Belum Deteksi"))</f>
        <v>Perlu Sensus</v>
      </c>
      <c r="AA127" s="203">
        <v>53</v>
      </c>
      <c r="AB127" s="9">
        <f t="shared" si="15"/>
        <v>25</v>
      </c>
    </row>
    <row r="128" spans="1:28" outlineLevel="1" x14ac:dyDescent="0.15">
      <c r="A128" s="8" t="s">
        <v>628</v>
      </c>
      <c r="B128" s="8" t="s">
        <v>14</v>
      </c>
      <c r="C128" s="8" t="s">
        <v>144</v>
      </c>
      <c r="D128" s="8" t="s">
        <v>717</v>
      </c>
      <c r="E128" s="9">
        <v>54.6</v>
      </c>
      <c r="F128" s="8" t="s">
        <v>16</v>
      </c>
      <c r="G128" s="143">
        <f t="array" ref="G128">INDEX('[23]SENSUS MEI'!$G$9:$G$453,MATCH(1,('[23]SENSUS MEI'!$D$9:$D$453=$D128)*('[23]SENSUS MEI'!$D$9:$D$453=$D128),0))</f>
        <v>7829</v>
      </c>
      <c r="H128" s="132">
        <f t="shared" si="16"/>
        <v>46241</v>
      </c>
      <c r="I128" s="140">
        <f t="shared" si="16"/>
        <v>64</v>
      </c>
      <c r="J128" s="9">
        <f t="shared" si="9"/>
        <v>0.81747349597649765</v>
      </c>
      <c r="K128" s="140">
        <f t="shared" si="10"/>
        <v>12</v>
      </c>
      <c r="L128" s="206">
        <f t="shared" si="11"/>
        <v>18.75</v>
      </c>
      <c r="M128" s="8" t="str">
        <f t="array" ref="M128">IF(L128&gt;5,"Perlu Sensus",IF(AND(L128&gt;=0,I128&gt;0),"Tetap Deteksi","Belum Deteksi"))</f>
        <v>Perlu Sensus</v>
      </c>
      <c r="N128" s="132">
        <v>46241</v>
      </c>
      <c r="O128" s="203">
        <v>64</v>
      </c>
      <c r="P128" s="9">
        <f t="array" ref="P128">IFERROR(O128/G128*100,0)</f>
        <v>0.81747349597649765</v>
      </c>
      <c r="Q128" s="203">
        <v>12</v>
      </c>
      <c r="R128" s="9">
        <f t="shared" si="12"/>
        <v>18.75</v>
      </c>
      <c r="S128" s="8" t="str">
        <f t="array" ref="S128">IF(R128&gt;5,"Perlu Sensus",IF(AND(R128&gt;=0,O128&gt;0),"Tetap Deteksi","Belum Deteksi"))</f>
        <v>Perlu Sensus</v>
      </c>
      <c r="T128" s="203">
        <v>54</v>
      </c>
      <c r="U128" s="9">
        <f t="shared" si="14"/>
        <v>84.375</v>
      </c>
      <c r="V128" s="132">
        <v>46242</v>
      </c>
      <c r="W128" s="203">
        <v>128</v>
      </c>
      <c r="X128" s="203">
        <v>12</v>
      </c>
      <c r="Y128" s="9">
        <f t="shared" si="13"/>
        <v>9.375</v>
      </c>
      <c r="Z128" s="8" t="str">
        <f t="array" ref="Z128">IF(Y128&gt;5,"Perlu Sensus",IF(AND(Y128&gt;0,,O128&gt;0),"Tetap Deteksi","Belum Deteksi"))</f>
        <v>Perlu Sensus</v>
      </c>
      <c r="AA128" s="203">
        <v>34</v>
      </c>
      <c r="AB128" s="9">
        <f t="shared" si="15"/>
        <v>26.5625</v>
      </c>
    </row>
    <row r="129" spans="1:28" outlineLevel="1" x14ac:dyDescent="0.15">
      <c r="A129" s="8" t="s">
        <v>628</v>
      </c>
      <c r="B129" s="8" t="s">
        <v>14</v>
      </c>
      <c r="C129" s="8" t="s">
        <v>144</v>
      </c>
      <c r="D129" s="8" t="s">
        <v>718</v>
      </c>
      <c r="E129" s="9">
        <v>46.37</v>
      </c>
      <c r="F129" s="8" t="s">
        <v>16</v>
      </c>
      <c r="G129" s="143">
        <f t="array" ref="G129">INDEX('[23]SENSUS MEI'!$G$9:$G$453,MATCH(1,('[23]SENSUS MEI'!$D$9:$D$453=$D129)*('[23]SENSUS MEI'!$D$9:$D$453=$D129),0))</f>
        <v>6691</v>
      </c>
      <c r="H129" s="132">
        <f t="shared" si="16"/>
        <v>46242</v>
      </c>
      <c r="I129" s="140">
        <f t="shared" si="16"/>
        <v>112</v>
      </c>
      <c r="J129" s="9">
        <f t="shared" si="9"/>
        <v>1.673890300403527</v>
      </c>
      <c r="K129" s="140">
        <f t="shared" si="10"/>
        <v>14</v>
      </c>
      <c r="L129" s="206">
        <f t="shared" si="11"/>
        <v>12.5</v>
      </c>
      <c r="M129" s="8" t="str">
        <f t="array" ref="M129">IF(L129&gt;5,"Perlu Sensus",IF(AND(L129&gt;=0,I129&gt;0),"Tetap Deteksi","Belum Deteksi"))</f>
        <v>Perlu Sensus</v>
      </c>
      <c r="N129" s="132">
        <v>46242</v>
      </c>
      <c r="O129" s="203">
        <v>112</v>
      </c>
      <c r="P129" s="9">
        <f t="array" ref="P129">IFERROR(O129/G129*100,0)</f>
        <v>1.673890300403527</v>
      </c>
      <c r="Q129" s="203">
        <v>14</v>
      </c>
      <c r="R129" s="9">
        <f t="shared" si="12"/>
        <v>12.5</v>
      </c>
      <c r="S129" s="8" t="str">
        <f t="array" ref="S129">IF(R129&gt;5,"Perlu Sensus",IF(AND(R129&gt;=0,O129&gt;0),"Tetap Deteksi","Belum Deteksi"))</f>
        <v>Perlu Sensus</v>
      </c>
      <c r="T129" s="203">
        <v>82</v>
      </c>
      <c r="U129" s="9">
        <f t="shared" si="14"/>
        <v>73.214285714285708</v>
      </c>
      <c r="V129" s="132">
        <v>46242</v>
      </c>
      <c r="W129" s="203">
        <v>224</v>
      </c>
      <c r="X129" s="203">
        <v>21</v>
      </c>
      <c r="Y129" s="9">
        <f t="shared" si="13"/>
        <v>9.375</v>
      </c>
      <c r="Z129" s="8" t="str">
        <f t="array" ref="Z129">IF(Y129&gt;5,"Perlu Sensus",IF(AND(Y129&gt;0,,O129&gt;0),"Tetap Deteksi","Belum Deteksi"))</f>
        <v>Perlu Sensus</v>
      </c>
      <c r="AA129" s="203">
        <v>61</v>
      </c>
      <c r="AB129" s="9">
        <f t="shared" si="15"/>
        <v>27.232142857142854</v>
      </c>
    </row>
    <row r="130" spans="1:28" outlineLevel="1" x14ac:dyDescent="0.15">
      <c r="A130" s="8" t="s">
        <v>628</v>
      </c>
      <c r="B130" s="8" t="s">
        <v>14</v>
      </c>
      <c r="C130" s="8" t="s">
        <v>144</v>
      </c>
      <c r="D130" s="8" t="s">
        <v>719</v>
      </c>
      <c r="E130" s="9">
        <v>36.479999999999997</v>
      </c>
      <c r="F130" s="8" t="s">
        <v>16</v>
      </c>
      <c r="G130" s="143">
        <f t="array" ref="G130">INDEX('[23]SENSUS MEI'!$G$9:$G$453,MATCH(1,('[23]SENSUS MEI'!$D$9:$D$453=$D130)*('[23]SENSUS MEI'!$D$9:$D$453=$D130),0))</f>
        <v>5554</v>
      </c>
      <c r="H130" s="132">
        <f t="shared" si="16"/>
        <v>46242</v>
      </c>
      <c r="I130" s="140">
        <f t="shared" si="16"/>
        <v>58</v>
      </c>
      <c r="J130" s="9">
        <f t="shared" si="9"/>
        <v>1.0442924018725244</v>
      </c>
      <c r="K130" s="140">
        <f t="shared" si="10"/>
        <v>6</v>
      </c>
      <c r="L130" s="206">
        <f t="shared" si="11"/>
        <v>10.344827586206897</v>
      </c>
      <c r="M130" s="8" t="str">
        <f t="array" ref="M130">IF(L130&gt;5,"Perlu Sensus",IF(AND(L130&gt;=0,I130&gt;0),"Tetap Deteksi","Belum Deteksi"))</f>
        <v>Perlu Sensus</v>
      </c>
      <c r="N130" s="132">
        <v>46242</v>
      </c>
      <c r="O130" s="203">
        <v>58</v>
      </c>
      <c r="P130" s="9">
        <f t="array" ref="P130">IFERROR(O130/G130*100,0)</f>
        <v>1.0442924018725244</v>
      </c>
      <c r="Q130" s="203">
        <v>6</v>
      </c>
      <c r="R130" s="9">
        <f t="shared" si="12"/>
        <v>10.344827586206897</v>
      </c>
      <c r="S130" s="8" t="str">
        <f t="array" ref="S130">IF(R130&gt;5,"Perlu Sensus",IF(AND(R130&gt;=0,O130&gt;0),"Tetap Deteksi","Belum Deteksi"))</f>
        <v>Perlu Sensus</v>
      </c>
      <c r="T130" s="203">
        <v>33</v>
      </c>
      <c r="U130" s="9">
        <f t="shared" si="14"/>
        <v>56.896551724137936</v>
      </c>
      <c r="V130" s="132">
        <v>46242</v>
      </c>
      <c r="W130" s="203">
        <v>116</v>
      </c>
      <c r="X130" s="203">
        <v>18</v>
      </c>
      <c r="Y130" s="9">
        <f t="shared" si="13"/>
        <v>15.517241379310345</v>
      </c>
      <c r="Z130" s="8" t="str">
        <f t="array" ref="Z130">IF(Y130&gt;5,"Perlu Sensus",IF(AND(Y130&gt;0,,O130&gt;0),"Tetap Deteksi","Belum Deteksi"))</f>
        <v>Perlu Sensus</v>
      </c>
      <c r="AA130" s="203">
        <v>51</v>
      </c>
      <c r="AB130" s="9">
        <f t="shared" si="15"/>
        <v>43.96551724137931</v>
      </c>
    </row>
    <row r="131" spans="1:28" hidden="1" outlineLevel="1" x14ac:dyDescent="0.15">
      <c r="A131" s="8" t="s">
        <v>628</v>
      </c>
      <c r="B131" s="8" t="s">
        <v>14</v>
      </c>
      <c r="C131" s="8" t="s">
        <v>144</v>
      </c>
      <c r="D131" s="8" t="s">
        <v>720</v>
      </c>
      <c r="E131" s="9">
        <v>44.31</v>
      </c>
      <c r="F131" s="8" t="s">
        <v>16</v>
      </c>
      <c r="G131" s="143">
        <f t="array" ref="G131">INDEX('[23]SENSUS MEI'!$G$9:$G$453,MATCH(1,('[23]SENSUS MEI'!$D$9:$D$453=$D131)*('[23]SENSUS MEI'!$D$9:$D$453=$D131),0))</f>
        <v>5990</v>
      </c>
      <c r="H131" s="132" t="str">
        <f t="shared" si="16"/>
        <v>13.14 Aug 26</v>
      </c>
      <c r="I131" s="140">
        <f t="shared" si="16"/>
        <v>209</v>
      </c>
      <c r="J131" s="9">
        <f t="shared" si="9"/>
        <v>3.4891485809682807</v>
      </c>
      <c r="K131" s="140">
        <f t="shared" si="10"/>
        <v>11</v>
      </c>
      <c r="L131" s="206">
        <f t="shared" si="11"/>
        <v>5.2631578947368416</v>
      </c>
      <c r="M131" s="8" t="str">
        <f t="array" ref="M131">IF(L131&gt;5,"Perlu Sensus",IF(AND(L131&gt;=0,I131&gt;0),"Tetap Deteksi","Belum Deteksi"))</f>
        <v>Perlu Sensus</v>
      </c>
      <c r="N131" s="132" t="s">
        <v>2288</v>
      </c>
      <c r="O131" s="203">
        <v>209</v>
      </c>
      <c r="P131" s="9">
        <f t="array" ref="P131">IFERROR(O131/G131*100,0)</f>
        <v>3.4891485809682807</v>
      </c>
      <c r="Q131" s="203">
        <v>11</v>
      </c>
      <c r="R131" s="9">
        <f t="shared" si="12"/>
        <v>5.2631578947368416</v>
      </c>
      <c r="S131" s="8" t="str">
        <f t="array" ref="S131">IF(R131&gt;5,"Perlu Sensus",IF(AND(R131&gt;=0,O131&gt;0),"Tetap Deteksi","Belum Deteksi"))</f>
        <v>Perlu Sensus</v>
      </c>
      <c r="T131" s="203">
        <v>172</v>
      </c>
      <c r="U131" s="9">
        <f t="shared" si="14"/>
        <v>82.296650717703344</v>
      </c>
      <c r="V131" s="132" t="s">
        <v>2289</v>
      </c>
      <c r="W131" s="203">
        <v>127</v>
      </c>
      <c r="X131" s="203">
        <v>14</v>
      </c>
      <c r="Y131" s="9">
        <f t="shared" si="13"/>
        <v>11.023622047244094</v>
      </c>
      <c r="Z131" s="8" t="str">
        <f t="array" ref="Z131">IF(Y131&gt;5,"Perlu Sensus",IF(AND(Y131&gt;0,,O131&gt;0),"Tetap Deteksi","Belum Deteksi"))</f>
        <v>Perlu Sensus</v>
      </c>
      <c r="AA131" s="203">
        <v>32</v>
      </c>
      <c r="AB131" s="9">
        <f t="shared" si="15"/>
        <v>25.196850393700785</v>
      </c>
    </row>
    <row r="132" spans="1:28" outlineLevel="1" x14ac:dyDescent="0.15">
      <c r="A132" s="8" t="s">
        <v>628</v>
      </c>
      <c r="B132" s="8" t="s">
        <v>14</v>
      </c>
      <c r="C132" s="8" t="s">
        <v>144</v>
      </c>
      <c r="D132" s="8" t="s">
        <v>721</v>
      </c>
      <c r="E132" s="9">
        <v>46.52</v>
      </c>
      <c r="F132" s="8" t="s">
        <v>16</v>
      </c>
      <c r="G132" s="143">
        <f t="array" ref="G132">INDEX('[23]SENSUS MEI'!$G$9:$G$453,MATCH(1,('[23]SENSUS MEI'!$D$9:$D$453=$D132)*('[23]SENSUS MEI'!$D$9:$D$453=$D132),0))</f>
        <v>6497</v>
      </c>
      <c r="H132" s="132">
        <f t="shared" si="16"/>
        <v>46249</v>
      </c>
      <c r="I132" s="140">
        <f t="shared" si="16"/>
        <v>219</v>
      </c>
      <c r="J132" s="9">
        <f t="shared" si="9"/>
        <v>3.3707865168539324</v>
      </c>
      <c r="K132" s="140">
        <f t="shared" si="10"/>
        <v>11</v>
      </c>
      <c r="L132" s="206">
        <f t="shared" si="11"/>
        <v>5.0228310502283104</v>
      </c>
      <c r="M132" s="8" t="str">
        <f t="array" ref="M132">IF(L132&gt;5,"Perlu Sensus",IF(AND(L132&gt;=0,I132&gt;0),"Tetap Deteksi","Belum Deteksi"))</f>
        <v>Perlu Sensus</v>
      </c>
      <c r="N132" s="132">
        <v>46249</v>
      </c>
      <c r="O132" s="203">
        <v>219</v>
      </c>
      <c r="P132" s="9">
        <f t="array" ref="P132">IFERROR(O132/G132*100,0)</f>
        <v>3.3707865168539324</v>
      </c>
      <c r="Q132" s="203">
        <v>11</v>
      </c>
      <c r="R132" s="9">
        <f t="shared" si="12"/>
        <v>5.0228310502283104</v>
      </c>
      <c r="S132" s="8" t="str">
        <f t="array" ref="S132">IF(R132&gt;5,"Perlu Sensus",IF(AND(R132&gt;=0,O132&gt;0),"Tetap Deteksi","Belum Deteksi"))</f>
        <v>Perlu Sensus</v>
      </c>
      <c r="T132" s="203">
        <v>121</v>
      </c>
      <c r="U132" s="9">
        <f t="shared" si="14"/>
        <v>55.25114155251142</v>
      </c>
      <c r="V132" s="132">
        <v>46248</v>
      </c>
      <c r="W132" s="203">
        <v>57</v>
      </c>
      <c r="X132" s="203">
        <v>3</v>
      </c>
      <c r="Y132" s="9">
        <f t="shared" si="13"/>
        <v>5.2631578947368416</v>
      </c>
      <c r="Z132" s="8" t="str">
        <f t="array" ref="Z132">IF(Y132&gt;5,"Perlu Sensus",IF(AND(Y132&gt;0,,O132&gt;0),"Tetap Deteksi","Belum Deteksi"))</f>
        <v>Perlu Sensus</v>
      </c>
      <c r="AA132" s="203">
        <v>57</v>
      </c>
      <c r="AB132" s="9">
        <f t="shared" si="15"/>
        <v>100</v>
      </c>
    </row>
    <row r="133" spans="1:28" outlineLevel="1" x14ac:dyDescent="0.15">
      <c r="A133" s="8" t="s">
        <v>628</v>
      </c>
      <c r="B133" s="8" t="s">
        <v>14</v>
      </c>
      <c r="C133" s="8" t="s">
        <v>144</v>
      </c>
      <c r="D133" s="8" t="s">
        <v>722</v>
      </c>
      <c r="E133" s="9">
        <v>47.13</v>
      </c>
      <c r="F133" s="8" t="s">
        <v>16</v>
      </c>
      <c r="G133" s="143">
        <f t="array" ref="G133">INDEX('[23]SENSUS MEI'!$G$9:$G$453,MATCH(1,('[23]SENSUS MEI'!$D$9:$D$453=$D133)*('[23]SENSUS MEI'!$D$9:$D$453=$D133),0))</f>
        <v>7015</v>
      </c>
      <c r="H133" s="132">
        <f t="shared" si="16"/>
        <v>46248</v>
      </c>
      <c r="I133" s="140">
        <f t="shared" si="16"/>
        <v>340</v>
      </c>
      <c r="J133" s="9">
        <f t="shared" si="9"/>
        <v>4.8467569493941554</v>
      </c>
      <c r="K133" s="140">
        <f t="shared" si="10"/>
        <v>19</v>
      </c>
      <c r="L133" s="206">
        <f t="shared" si="11"/>
        <v>5.5882352941176476</v>
      </c>
      <c r="M133" s="8" t="str">
        <f t="array" ref="M133">IF(L133&gt;5,"Perlu Sensus",IF(AND(L133&gt;=0,I133&gt;0),"Tetap Deteksi","Belum Deteksi"))</f>
        <v>Perlu Sensus</v>
      </c>
      <c r="N133" s="132">
        <v>46248</v>
      </c>
      <c r="O133" s="203">
        <v>340</v>
      </c>
      <c r="P133" s="9">
        <f t="array" ref="P133">IFERROR(O133/G133*100,0)</f>
        <v>4.8467569493941554</v>
      </c>
      <c r="Q133" s="203">
        <v>19</v>
      </c>
      <c r="R133" s="9">
        <f t="shared" si="12"/>
        <v>5.5882352941176476</v>
      </c>
      <c r="S133" s="8" t="str">
        <f t="array" ref="S133">IF(R133&gt;5,"Perlu Sensus",IF(AND(R133&gt;=0,O133&gt;0),"Tetap Deteksi","Belum Deteksi"))</f>
        <v>Perlu Sensus</v>
      </c>
      <c r="T133" s="203">
        <v>134</v>
      </c>
      <c r="U133" s="9">
        <f t="shared" si="14"/>
        <v>39.411764705882355</v>
      </c>
      <c r="V133" s="132">
        <v>46249</v>
      </c>
      <c r="W133" s="203">
        <v>180</v>
      </c>
      <c r="X133" s="203">
        <v>15</v>
      </c>
      <c r="Y133" s="9">
        <f t="shared" si="13"/>
        <v>8.3333333333333321</v>
      </c>
      <c r="Z133" s="8" t="str">
        <f t="array" ref="Z133">IF(Y133&gt;5,"Perlu Sensus",IF(AND(Y133&gt;0,,O133&gt;0),"Tetap Deteksi","Belum Deteksi"))</f>
        <v>Perlu Sensus</v>
      </c>
      <c r="AA133" s="203">
        <v>49</v>
      </c>
      <c r="AB133" s="9">
        <f t="shared" si="15"/>
        <v>27.222222222222221</v>
      </c>
    </row>
    <row r="134" spans="1:28" outlineLevel="1" x14ac:dyDescent="0.15">
      <c r="A134" s="8" t="s">
        <v>628</v>
      </c>
      <c r="B134" s="8" t="s">
        <v>14</v>
      </c>
      <c r="C134" s="8" t="s">
        <v>144</v>
      </c>
      <c r="D134" s="8" t="s">
        <v>723</v>
      </c>
      <c r="E134" s="9">
        <v>38.65</v>
      </c>
      <c r="F134" s="8" t="s">
        <v>469</v>
      </c>
      <c r="G134" s="143">
        <f t="array" ref="G134">INDEX('[23]SENSUS MEI'!$G$9:$G$453,MATCH(1,('[23]SENSUS MEI'!$D$9:$D$453=$D134)*('[23]SENSUS MEI'!$D$9:$D$453=$D134),0))</f>
        <v>5610</v>
      </c>
      <c r="H134" s="132">
        <f t="shared" si="16"/>
        <v>46248</v>
      </c>
      <c r="I134" s="140">
        <f t="shared" si="16"/>
        <v>112</v>
      </c>
      <c r="J134" s="9">
        <f t="shared" ref="J134:J197" si="17">IF(P134&gt;0,P134," ")</f>
        <v>1.9964349376114083</v>
      </c>
      <c r="K134" s="140">
        <f t="shared" ref="K134:K197" si="18">IF(Q134&gt;0,Q134,X134)</f>
        <v>6</v>
      </c>
      <c r="L134" s="206">
        <f t="shared" ref="L134:L197" si="19">IFERROR(K134/I134*100,0)</f>
        <v>5.3571428571428568</v>
      </c>
      <c r="M134" s="8" t="str">
        <f t="array" ref="M134">IF(L134&gt;5,"Perlu Sensus",IF(AND(L134&gt;=0,I134&gt;0),"Tetap Deteksi","Belum Deteksi"))</f>
        <v>Perlu Sensus</v>
      </c>
      <c r="N134" s="132">
        <v>46248</v>
      </c>
      <c r="O134" s="203">
        <v>112</v>
      </c>
      <c r="P134" s="9">
        <f t="array" ref="P134">IFERROR(O134/G134*100,0)</f>
        <v>1.9964349376114083</v>
      </c>
      <c r="Q134" s="203">
        <v>6</v>
      </c>
      <c r="R134" s="9">
        <f t="shared" ref="R134:R197" si="20">IFERROR(Q134/O134*100,0)</f>
        <v>5.3571428571428568</v>
      </c>
      <c r="S134" s="8" t="str">
        <f t="array" ref="S134">IF(R134&gt;5,"Perlu Sensus",IF(AND(R134&gt;=0,O134&gt;0),"Tetap Deteksi","Belum Deteksi"))</f>
        <v>Perlu Sensus</v>
      </c>
      <c r="T134" s="203">
        <v>70</v>
      </c>
      <c r="U134" s="9">
        <f t="shared" si="14"/>
        <v>62.5</v>
      </c>
      <c r="V134" s="132">
        <v>46249</v>
      </c>
      <c r="W134" s="203">
        <v>224</v>
      </c>
      <c r="X134" s="203">
        <v>19</v>
      </c>
      <c r="Y134" s="9">
        <f t="shared" ref="Y134:Y197" si="21">IFERROR(X134/W134*100,0)</f>
        <v>8.4821428571428577</v>
      </c>
      <c r="Z134" s="8" t="str">
        <f t="array" ref="Z134">IF(Y134&gt;5,"Perlu Sensus",IF(AND(Y134&gt;0,,O134&gt;0),"Tetap Deteksi","Belum Deteksi"))</f>
        <v>Perlu Sensus</v>
      </c>
      <c r="AA134" s="203">
        <v>51</v>
      </c>
      <c r="AB134" s="9">
        <f t="shared" si="15"/>
        <v>22.767857142857142</v>
      </c>
    </row>
    <row r="135" spans="1:28" outlineLevel="1" x14ac:dyDescent="0.15">
      <c r="A135" s="8" t="s">
        <v>628</v>
      </c>
      <c r="B135" s="8" t="s">
        <v>14</v>
      </c>
      <c r="C135" s="8" t="s">
        <v>144</v>
      </c>
      <c r="D135" s="8" t="s">
        <v>377</v>
      </c>
      <c r="E135" s="9">
        <v>26.66</v>
      </c>
      <c r="F135" s="8" t="s">
        <v>16</v>
      </c>
      <c r="G135" s="143">
        <f t="array" ref="G135">INDEX('[23]SENSUS MEI'!$G$9:$G$453,MATCH(1,('[23]SENSUS MEI'!$D$9:$D$453=$D135)*('[23]SENSUS MEI'!$D$9:$D$453=$D135),0))</f>
        <v>3341</v>
      </c>
      <c r="H135" s="132">
        <f t="shared" si="16"/>
        <v>46247</v>
      </c>
      <c r="I135" s="140">
        <f t="shared" si="16"/>
        <v>102</v>
      </c>
      <c r="J135" s="9">
        <f t="shared" si="17"/>
        <v>3.0529781502544147</v>
      </c>
      <c r="K135" s="140">
        <f t="shared" si="18"/>
        <v>3</v>
      </c>
      <c r="L135" s="206">
        <f t="shared" si="19"/>
        <v>2.9411764705882351</v>
      </c>
      <c r="M135" s="8" t="str">
        <f t="array" ref="M135">IF(L135&gt;5,"Perlu Sensus",IF(AND(L135&gt;=0,I135&gt;0),"Tetap Deteksi","Belum Deteksi"))</f>
        <v>Tetap Deteksi</v>
      </c>
      <c r="N135" s="132">
        <v>46247</v>
      </c>
      <c r="O135" s="203">
        <v>102</v>
      </c>
      <c r="P135" s="9">
        <f t="array" ref="P135">IFERROR(O135/G135*100,0)</f>
        <v>3.0529781502544147</v>
      </c>
      <c r="Q135" s="203">
        <v>3</v>
      </c>
      <c r="R135" s="9">
        <f t="shared" si="20"/>
        <v>2.9411764705882351</v>
      </c>
      <c r="S135" s="8" t="str">
        <f t="array" ref="S135">IF(R135&gt;5,"Perlu Sensus",IF(AND(R135&gt;=0,O135&gt;0),"Tetap Deteksi","Belum Deteksi"))</f>
        <v>Tetap Deteksi</v>
      </c>
      <c r="T135" s="203">
        <v>44</v>
      </c>
      <c r="U135" s="9">
        <f t="shared" ref="U135:U198" si="22">IFERROR(T135/O135*100,0)</f>
        <v>43.137254901960787</v>
      </c>
      <c r="V135" s="132">
        <v>46248</v>
      </c>
      <c r="W135" s="203">
        <v>204</v>
      </c>
      <c r="X135" s="203">
        <v>19</v>
      </c>
      <c r="Y135" s="9">
        <f t="shared" si="21"/>
        <v>9.3137254901960791</v>
      </c>
      <c r="Z135" s="8" t="str">
        <f t="array" ref="Z135">IF(Y135&gt;5,"Perlu Sensus",IF(AND(Y135&gt;0,,O135&gt;0),"Tetap Deteksi","Belum Deteksi"))</f>
        <v>Perlu Sensus</v>
      </c>
      <c r="AA135" s="203">
        <v>56</v>
      </c>
      <c r="AB135" s="9">
        <f t="shared" ref="AB135:AB198" si="23">IFERROR(AA135/W135*100,0)</f>
        <v>27.450980392156865</v>
      </c>
    </row>
    <row r="136" spans="1:28" outlineLevel="1" x14ac:dyDescent="0.15">
      <c r="A136" s="8" t="s">
        <v>628</v>
      </c>
      <c r="B136" s="8" t="s">
        <v>14</v>
      </c>
      <c r="C136" s="8" t="s">
        <v>144</v>
      </c>
      <c r="D136" s="8" t="s">
        <v>378</v>
      </c>
      <c r="E136" s="9">
        <v>23.04</v>
      </c>
      <c r="F136" s="8" t="s">
        <v>16</v>
      </c>
      <c r="G136" s="143">
        <f t="array" ref="G136">INDEX('[23]SENSUS MEI'!$G$9:$G$453,MATCH(1,('[23]SENSUS MEI'!$D$9:$D$453=$D136)*('[23]SENSUS MEI'!$D$9:$D$453=$D136),0))</f>
        <v>3215</v>
      </c>
      <c r="H136" s="132">
        <f t="shared" si="16"/>
        <v>46247</v>
      </c>
      <c r="I136" s="140">
        <f t="shared" si="16"/>
        <v>73</v>
      </c>
      <c r="J136" s="9">
        <f t="shared" si="17"/>
        <v>2.2706065318818038</v>
      </c>
      <c r="K136" s="140">
        <f t="shared" si="18"/>
        <v>8</v>
      </c>
      <c r="L136" s="206">
        <f t="shared" si="19"/>
        <v>10.95890410958904</v>
      </c>
      <c r="M136" s="8" t="str">
        <f t="array" ref="M136">IF(L136&gt;5,"Perlu Sensus",IF(AND(L136&gt;=0,I136&gt;0),"Tetap Deteksi","Belum Deteksi"))</f>
        <v>Perlu Sensus</v>
      </c>
      <c r="N136" s="132">
        <v>46247</v>
      </c>
      <c r="O136" s="203">
        <v>73</v>
      </c>
      <c r="P136" s="9">
        <f t="array" ref="P136">IFERROR(O136/G136*100,0)</f>
        <v>2.2706065318818038</v>
      </c>
      <c r="Q136" s="203">
        <v>8</v>
      </c>
      <c r="R136" s="9">
        <f t="shared" si="20"/>
        <v>10.95890410958904</v>
      </c>
      <c r="S136" s="8" t="str">
        <f t="array" ref="S136">IF(R136&gt;5,"Perlu Sensus",IF(AND(R136&gt;=0,O136&gt;0),"Tetap Deteksi","Belum Deteksi"))</f>
        <v>Perlu Sensus</v>
      </c>
      <c r="T136" s="203">
        <v>23</v>
      </c>
      <c r="U136" s="9">
        <f t="shared" si="22"/>
        <v>31.506849315068493</v>
      </c>
      <c r="V136" s="132">
        <v>46248</v>
      </c>
      <c r="W136" s="203">
        <v>146</v>
      </c>
      <c r="X136" s="203">
        <v>16</v>
      </c>
      <c r="Y136" s="9">
        <f t="shared" si="21"/>
        <v>10.95890410958904</v>
      </c>
      <c r="Z136" s="8" t="str">
        <f t="array" ref="Z136">IF(Y136&gt;5,"Perlu Sensus",IF(AND(Y136&gt;0,,O136&gt;0),"Tetap Deteksi","Belum Deteksi"))</f>
        <v>Perlu Sensus</v>
      </c>
      <c r="AA136" s="203">
        <v>44</v>
      </c>
      <c r="AB136" s="9">
        <f t="shared" si="23"/>
        <v>30.136986301369863</v>
      </c>
    </row>
    <row r="137" spans="1:28" outlineLevel="1" x14ac:dyDescent="0.15">
      <c r="A137" s="8" t="s">
        <v>628</v>
      </c>
      <c r="B137" s="8" t="s">
        <v>14</v>
      </c>
      <c r="C137" s="8" t="s">
        <v>144</v>
      </c>
      <c r="D137" s="8" t="s">
        <v>724</v>
      </c>
      <c r="E137" s="9">
        <v>12.76</v>
      </c>
      <c r="F137" s="8" t="s">
        <v>16</v>
      </c>
      <c r="G137" s="143">
        <f t="array" ref="G137">INDEX('[23]SENSUS MEI'!$G$9:$G$453,MATCH(1,('[23]SENSUS MEI'!$D$9:$D$453=$D137)*('[23]SENSUS MEI'!$D$9:$D$453=$D137),0))</f>
        <v>993</v>
      </c>
      <c r="H137" s="132">
        <f t="shared" si="16"/>
        <v>46247</v>
      </c>
      <c r="I137" s="140">
        <f t="shared" si="16"/>
        <v>40</v>
      </c>
      <c r="J137" s="9">
        <f t="shared" si="17"/>
        <v>4.0281973816717018</v>
      </c>
      <c r="K137" s="140">
        <f t="shared" si="18"/>
        <v>7</v>
      </c>
      <c r="L137" s="206">
        <f t="shared" si="19"/>
        <v>17.5</v>
      </c>
      <c r="M137" s="8" t="str">
        <f t="array" ref="M137">IF(L137&gt;5,"Perlu Sensus",IF(AND(L137&gt;=0,I137&gt;0),"Tetap Deteksi","Belum Deteksi"))</f>
        <v>Perlu Sensus</v>
      </c>
      <c r="N137" s="132">
        <v>46247</v>
      </c>
      <c r="O137" s="203">
        <v>40</v>
      </c>
      <c r="P137" s="9">
        <f t="array" ref="P137">IFERROR(O137/G137*100,0)</f>
        <v>4.0281973816717018</v>
      </c>
      <c r="Q137" s="203">
        <v>7</v>
      </c>
      <c r="R137" s="9">
        <f t="shared" si="20"/>
        <v>17.5</v>
      </c>
      <c r="S137" s="8" t="str">
        <f t="array" ref="S137">IF(R137&gt;5,"Perlu Sensus",IF(AND(R137&gt;=0,O137&gt;0),"Tetap Deteksi","Belum Deteksi"))</f>
        <v>Perlu Sensus</v>
      </c>
      <c r="T137" s="203">
        <v>33</v>
      </c>
      <c r="U137" s="9">
        <f t="shared" si="22"/>
        <v>82.5</v>
      </c>
      <c r="V137" s="132">
        <v>46248</v>
      </c>
      <c r="W137" s="203">
        <v>80</v>
      </c>
      <c r="X137" s="203">
        <v>8</v>
      </c>
      <c r="Y137" s="9">
        <f t="shared" si="21"/>
        <v>10</v>
      </c>
      <c r="Z137" s="8" t="str">
        <f t="array" ref="Z137">IF(Y137&gt;5,"Perlu Sensus",IF(AND(Y137&gt;0,,O137&gt;0),"Tetap Deteksi","Belum Deteksi"))</f>
        <v>Perlu Sensus</v>
      </c>
      <c r="AA137" s="203">
        <v>25</v>
      </c>
      <c r="AB137" s="9">
        <f t="shared" si="23"/>
        <v>31.25</v>
      </c>
    </row>
    <row r="138" spans="1:28" outlineLevel="1" x14ac:dyDescent="0.15">
      <c r="A138" s="8" t="s">
        <v>628</v>
      </c>
      <c r="B138" s="8" t="s">
        <v>14</v>
      </c>
      <c r="C138" s="8" t="s">
        <v>144</v>
      </c>
      <c r="D138" s="8" t="s">
        <v>725</v>
      </c>
      <c r="E138" s="9">
        <v>29.27</v>
      </c>
      <c r="F138" s="8" t="s">
        <v>16</v>
      </c>
      <c r="G138" s="143">
        <f t="array" ref="G138">INDEX('[23]SENSUS MEI'!$G$9:$G$453,MATCH(1,('[23]SENSUS MEI'!$D$9:$D$453=$D138)*('[23]SENSUS MEI'!$D$9:$D$453=$D138),0))</f>
        <v>4015</v>
      </c>
      <c r="H138" s="132">
        <f t="shared" si="16"/>
        <v>46240</v>
      </c>
      <c r="I138" s="140">
        <f t="shared" si="16"/>
        <v>84</v>
      </c>
      <c r="J138" s="9">
        <f t="shared" si="17"/>
        <v>2.0921544209215441</v>
      </c>
      <c r="K138" s="140">
        <f t="shared" si="18"/>
        <v>15</v>
      </c>
      <c r="L138" s="206">
        <f t="shared" si="19"/>
        <v>17.857142857142858</v>
      </c>
      <c r="M138" s="8" t="str">
        <f t="array" ref="M138">IF(L138&gt;5,"Perlu Sensus",IF(AND(L138&gt;=0,I138&gt;0),"Tetap Deteksi","Belum Deteksi"))</f>
        <v>Perlu Sensus</v>
      </c>
      <c r="N138" s="132">
        <v>46240</v>
      </c>
      <c r="O138" s="203">
        <v>84</v>
      </c>
      <c r="P138" s="9">
        <f t="array" ref="P138">IFERROR(O138/G138*100,0)</f>
        <v>2.0921544209215441</v>
      </c>
      <c r="Q138" s="203">
        <v>15</v>
      </c>
      <c r="R138" s="9">
        <f t="shared" si="20"/>
        <v>17.857142857142858</v>
      </c>
      <c r="S138" s="8" t="str">
        <f t="array" ref="S138">IF(R138&gt;5,"Perlu Sensus",IF(AND(R138&gt;=0,O138&gt;0),"Tetap Deteksi","Belum Deteksi"))</f>
        <v>Perlu Sensus</v>
      </c>
      <c r="T138" s="203">
        <v>24</v>
      </c>
      <c r="U138" s="9">
        <f t="shared" si="22"/>
        <v>28.571428571428569</v>
      </c>
      <c r="V138" s="132">
        <v>46241</v>
      </c>
      <c r="W138" s="203">
        <v>168</v>
      </c>
      <c r="X138" s="203">
        <v>15</v>
      </c>
      <c r="Y138" s="9">
        <f t="shared" si="21"/>
        <v>8.9285714285714288</v>
      </c>
      <c r="Z138" s="8" t="str">
        <f t="array" ref="Z138">IF(Y138&gt;5,"Perlu Sensus",IF(AND(Y138&gt;0,,O138&gt;0),"Tetap Deteksi","Belum Deteksi"))</f>
        <v>Perlu Sensus</v>
      </c>
      <c r="AA138" s="203">
        <v>45</v>
      </c>
      <c r="AB138" s="9">
        <f t="shared" si="23"/>
        <v>26.785714285714285</v>
      </c>
    </row>
    <row r="139" spans="1:28" outlineLevel="1" x14ac:dyDescent="0.15">
      <c r="A139" s="8" t="s">
        <v>628</v>
      </c>
      <c r="B139" s="8" t="s">
        <v>14</v>
      </c>
      <c r="C139" s="8" t="s">
        <v>144</v>
      </c>
      <c r="D139" s="8" t="s">
        <v>726</v>
      </c>
      <c r="E139" s="9">
        <v>26.85</v>
      </c>
      <c r="F139" s="8" t="s">
        <v>16</v>
      </c>
      <c r="G139" s="143">
        <f t="array" ref="G139">INDEX('[23]SENSUS MEI'!$G$9:$G$453,MATCH(1,('[23]SENSUS MEI'!$D$9:$D$453=$D139)*('[23]SENSUS MEI'!$D$9:$D$453=$D139),0))</f>
        <v>4011</v>
      </c>
      <c r="H139" s="132">
        <f t="shared" si="16"/>
        <v>46240</v>
      </c>
      <c r="I139" s="140">
        <f t="shared" si="16"/>
        <v>87</v>
      </c>
      <c r="J139" s="9">
        <f t="shared" si="17"/>
        <v>2.169035153328347</v>
      </c>
      <c r="K139" s="140">
        <f t="shared" si="18"/>
        <v>11</v>
      </c>
      <c r="L139" s="206">
        <f t="shared" si="19"/>
        <v>12.643678160919542</v>
      </c>
      <c r="M139" s="8" t="str">
        <f t="array" ref="M139">IF(L139&gt;5,"Perlu Sensus",IF(AND(L139&gt;=0,I139&gt;0),"Tetap Deteksi","Belum Deteksi"))</f>
        <v>Perlu Sensus</v>
      </c>
      <c r="N139" s="132">
        <v>46240</v>
      </c>
      <c r="O139" s="203">
        <v>87</v>
      </c>
      <c r="P139" s="9">
        <f t="array" ref="P139">IFERROR(O139/G139*100,0)</f>
        <v>2.169035153328347</v>
      </c>
      <c r="Q139" s="203">
        <v>11</v>
      </c>
      <c r="R139" s="9">
        <f t="shared" si="20"/>
        <v>12.643678160919542</v>
      </c>
      <c r="S139" s="8" t="str">
        <f t="array" ref="S139">IF(R139&gt;5,"Perlu Sensus",IF(AND(R139&gt;=0,O139&gt;0),"Tetap Deteksi","Belum Deteksi"))</f>
        <v>Perlu Sensus</v>
      </c>
      <c r="T139" s="203">
        <v>26</v>
      </c>
      <c r="U139" s="9">
        <f t="shared" si="22"/>
        <v>29.885057471264371</v>
      </c>
      <c r="V139" s="132">
        <v>46241</v>
      </c>
      <c r="W139" s="203">
        <v>174</v>
      </c>
      <c r="X139" s="203">
        <v>18</v>
      </c>
      <c r="Y139" s="9">
        <f t="shared" si="21"/>
        <v>10.344827586206897</v>
      </c>
      <c r="Z139" s="8" t="str">
        <f t="array" ref="Z139">IF(Y139&gt;5,"Perlu Sensus",IF(AND(Y139&gt;0,,O139&gt;0),"Tetap Deteksi","Belum Deteksi"))</f>
        <v>Perlu Sensus</v>
      </c>
      <c r="AA139" s="203">
        <v>53</v>
      </c>
      <c r="AB139" s="9">
        <f>IFERROR(AA139/W139*100,0)</f>
        <v>30.459770114942529</v>
      </c>
    </row>
    <row r="140" spans="1:28" outlineLevel="1" x14ac:dyDescent="0.15">
      <c r="A140" s="8" t="s">
        <v>628</v>
      </c>
      <c r="B140" s="8" t="s">
        <v>14</v>
      </c>
      <c r="C140" s="8" t="s">
        <v>144</v>
      </c>
      <c r="D140" s="8" t="s">
        <v>727</v>
      </c>
      <c r="E140" s="9">
        <v>23.94</v>
      </c>
      <c r="F140" s="8" t="s">
        <v>16</v>
      </c>
      <c r="G140" s="143">
        <f t="array" ref="G140">INDEX('[23]SENSUS MEI'!$G$9:$G$453,MATCH(1,('[23]SENSUS MEI'!$D$9:$D$453=$D140)*('[23]SENSUS MEI'!$D$9:$D$453=$D140),0))</f>
        <v>3632</v>
      </c>
      <c r="H140" s="132">
        <f t="shared" si="16"/>
        <v>46240</v>
      </c>
      <c r="I140" s="140">
        <f t="shared" si="16"/>
        <v>113</v>
      </c>
      <c r="J140" s="9">
        <f t="shared" si="17"/>
        <v>3.1112334801762112</v>
      </c>
      <c r="K140" s="140">
        <f t="shared" si="18"/>
        <v>17</v>
      </c>
      <c r="L140" s="206">
        <f t="shared" si="19"/>
        <v>15.044247787610621</v>
      </c>
      <c r="M140" s="8" t="str">
        <f t="array" ref="M140">IF(L140&gt;5,"Perlu Sensus",IF(AND(L140&gt;=0,I140&gt;0),"Tetap Deteksi","Belum Deteksi"))</f>
        <v>Perlu Sensus</v>
      </c>
      <c r="N140" s="132">
        <v>46240</v>
      </c>
      <c r="O140" s="203">
        <v>113</v>
      </c>
      <c r="P140" s="9">
        <f t="array" ref="P140">IFERROR(O140/G140*100,0)</f>
        <v>3.1112334801762112</v>
      </c>
      <c r="Q140" s="203">
        <v>17</v>
      </c>
      <c r="R140" s="9">
        <f t="shared" si="20"/>
        <v>15.044247787610621</v>
      </c>
      <c r="S140" s="8" t="str">
        <f t="array" ref="S140">IF(R140&gt;5,"Perlu Sensus",IF(AND(R140&gt;=0,O140&gt;0),"Tetap Deteksi","Belum Deteksi"))</f>
        <v>Perlu Sensus</v>
      </c>
      <c r="T140" s="203">
        <v>23</v>
      </c>
      <c r="U140" s="9">
        <f t="shared" si="22"/>
        <v>20.353982300884958</v>
      </c>
      <c r="V140" s="132">
        <v>46241</v>
      </c>
      <c r="W140" s="203">
        <v>226</v>
      </c>
      <c r="X140" s="203">
        <v>20</v>
      </c>
      <c r="Y140" s="9">
        <f t="shared" si="21"/>
        <v>8.8495575221238933</v>
      </c>
      <c r="Z140" s="8" t="str">
        <f t="array" ref="Z140">IF(Y140&gt;5,"Perlu Sensus",IF(AND(Y140&gt;0,,O140&gt;0),"Tetap Deteksi","Belum Deteksi"))</f>
        <v>Perlu Sensus</v>
      </c>
      <c r="AA140" s="203">
        <v>58</v>
      </c>
      <c r="AB140" s="9">
        <f>IFERROR(AA140/W140*100,0)</f>
        <v>25.663716814159294</v>
      </c>
    </row>
    <row r="141" spans="1:28" outlineLevel="1" x14ac:dyDescent="0.15">
      <c r="A141" s="8" t="s">
        <v>628</v>
      </c>
      <c r="B141" s="8" t="s">
        <v>14</v>
      </c>
      <c r="C141" s="8" t="s">
        <v>144</v>
      </c>
      <c r="D141" s="8" t="s">
        <v>728</v>
      </c>
      <c r="E141" s="9">
        <v>26.05</v>
      </c>
      <c r="F141" s="8" t="s">
        <v>16</v>
      </c>
      <c r="G141" s="143">
        <f t="array" ref="G141">INDEX('[23]SENSUS MEI'!$G$9:$G$453,MATCH(1,('[23]SENSUS MEI'!$D$9:$D$453=$D141)*('[23]SENSUS MEI'!$D$9:$D$453=$D141),0))</f>
        <v>4004</v>
      </c>
      <c r="H141" s="132">
        <f t="shared" si="16"/>
        <v>46239</v>
      </c>
      <c r="I141" s="140">
        <f t="shared" si="16"/>
        <v>78</v>
      </c>
      <c r="J141" s="9">
        <f t="shared" si="17"/>
        <v>1.948051948051948</v>
      </c>
      <c r="K141" s="140">
        <f t="shared" si="18"/>
        <v>5</v>
      </c>
      <c r="L141" s="206">
        <f t="shared" si="19"/>
        <v>6.4102564102564097</v>
      </c>
      <c r="M141" s="8" t="str">
        <f t="array" ref="M141">IF(L141&gt;5,"Perlu Sensus",IF(AND(L141&gt;=0,I141&gt;0),"Tetap Deteksi","Belum Deteksi"))</f>
        <v>Perlu Sensus</v>
      </c>
      <c r="N141" s="132">
        <v>46239</v>
      </c>
      <c r="O141" s="203">
        <v>78</v>
      </c>
      <c r="P141" s="9">
        <f t="array" ref="P141">IFERROR(O141/G141*100,0)</f>
        <v>1.948051948051948</v>
      </c>
      <c r="Q141" s="203">
        <v>5</v>
      </c>
      <c r="R141" s="9">
        <f t="shared" si="20"/>
        <v>6.4102564102564097</v>
      </c>
      <c r="S141" s="8" t="str">
        <f t="array" ref="S141">IF(R141&gt;5,"Perlu Sensus",IF(AND(R141&gt;=0,O141&gt;0),"Tetap Deteksi","Belum Deteksi"))</f>
        <v>Perlu Sensus</v>
      </c>
      <c r="T141" s="203">
        <v>24</v>
      </c>
      <c r="U141" s="9">
        <f t="shared" si="22"/>
        <v>30.76923076923077</v>
      </c>
      <c r="V141" s="132">
        <v>46240</v>
      </c>
      <c r="W141" s="203">
        <v>156</v>
      </c>
      <c r="X141" s="203">
        <v>13</v>
      </c>
      <c r="Y141" s="9">
        <f t="shared" si="21"/>
        <v>8.3333333333333321</v>
      </c>
      <c r="Z141" s="8" t="str">
        <f t="array" ref="Z141">IF(Y141&gt;5,"Perlu Sensus",IF(AND(Y141&gt;0,,O141&gt;0),"Tetap Deteksi","Belum Deteksi"))</f>
        <v>Perlu Sensus</v>
      </c>
      <c r="AA141" s="203">
        <v>38</v>
      </c>
      <c r="AB141" s="9">
        <f t="shared" si="23"/>
        <v>24.358974358974358</v>
      </c>
    </row>
    <row r="142" spans="1:28" outlineLevel="1" x14ac:dyDescent="0.15">
      <c r="A142" s="8" t="s">
        <v>628</v>
      </c>
      <c r="B142" s="8" t="s">
        <v>14</v>
      </c>
      <c r="C142" s="8" t="s">
        <v>144</v>
      </c>
      <c r="D142" s="8" t="s">
        <v>729</v>
      </c>
      <c r="E142" s="9">
        <v>46.89</v>
      </c>
      <c r="F142" s="8" t="s">
        <v>16</v>
      </c>
      <c r="G142" s="143">
        <f t="array" ref="G142">INDEX('[23]SENSUS MEI'!$G$9:$G$453,MATCH(1,('[23]SENSUS MEI'!$D$9:$D$453=$D142)*('[23]SENSUS MEI'!$D$9:$D$453=$D142),0))</f>
        <v>6648</v>
      </c>
      <c r="H142" s="132">
        <f t="shared" si="16"/>
        <v>46239</v>
      </c>
      <c r="I142" s="140">
        <f t="shared" si="16"/>
        <v>78</v>
      </c>
      <c r="J142" s="9">
        <f t="shared" si="17"/>
        <v>1.1732851985559567</v>
      </c>
      <c r="K142" s="140">
        <f t="shared" si="18"/>
        <v>6</v>
      </c>
      <c r="L142" s="206">
        <f t="shared" si="19"/>
        <v>7.6923076923076925</v>
      </c>
      <c r="M142" s="8" t="str">
        <f t="array" ref="M142">IF(L142&gt;5,"Perlu Sensus",IF(AND(L142&gt;=0,I142&gt;0),"Tetap Deteksi","Belum Deteksi"))</f>
        <v>Perlu Sensus</v>
      </c>
      <c r="N142" s="132">
        <v>46239</v>
      </c>
      <c r="O142" s="203">
        <v>78</v>
      </c>
      <c r="P142" s="9">
        <f t="array" ref="P142">IFERROR(O142/G142*100,0)</f>
        <v>1.1732851985559567</v>
      </c>
      <c r="Q142" s="203">
        <v>6</v>
      </c>
      <c r="R142" s="9">
        <f t="shared" si="20"/>
        <v>7.6923076923076925</v>
      </c>
      <c r="S142" s="8" t="str">
        <f t="array" ref="S142">IF(R142&gt;5,"Perlu Sensus",IF(AND(R142&gt;=0,O142&gt;0),"Tetap Deteksi","Belum Deteksi"))</f>
        <v>Perlu Sensus</v>
      </c>
      <c r="T142" s="203">
        <v>31</v>
      </c>
      <c r="U142" s="9">
        <f t="shared" si="22"/>
        <v>39.743589743589745</v>
      </c>
      <c r="V142" s="132">
        <v>46240</v>
      </c>
      <c r="W142" s="203">
        <v>156</v>
      </c>
      <c r="X142" s="203">
        <v>17</v>
      </c>
      <c r="Y142" s="9">
        <f t="shared" si="21"/>
        <v>10.897435897435898</v>
      </c>
      <c r="Z142" s="8" t="str">
        <f t="array" ref="Z142">IF(Y142&gt;5,"Perlu Sensus",IF(AND(Y142&gt;0,,O142&gt;0),"Tetap Deteksi","Belum Deteksi"))</f>
        <v>Perlu Sensus</v>
      </c>
      <c r="AA142" s="203">
        <v>48</v>
      </c>
      <c r="AB142" s="9">
        <f t="shared" si="23"/>
        <v>30.76923076923077</v>
      </c>
    </row>
    <row r="143" spans="1:28" outlineLevel="1" x14ac:dyDescent="0.15">
      <c r="A143" s="8" t="s">
        <v>628</v>
      </c>
      <c r="B143" s="8" t="s">
        <v>14</v>
      </c>
      <c r="C143" s="8" t="s">
        <v>144</v>
      </c>
      <c r="D143" s="8" t="s">
        <v>730</v>
      </c>
      <c r="E143" s="9">
        <v>18.82</v>
      </c>
      <c r="F143" s="8" t="s">
        <v>16</v>
      </c>
      <c r="G143" s="143">
        <f t="array" ref="G143">INDEX('[23]SENSUS MEI'!$G$9:$G$453,MATCH(1,('[23]SENSUS MEI'!$D$9:$D$453=$D143)*('[23]SENSUS MEI'!$D$9:$D$453=$D143),0))</f>
        <v>2646</v>
      </c>
      <c r="H143" s="132">
        <f t="shared" si="16"/>
        <v>46239</v>
      </c>
      <c r="I143" s="140">
        <f t="shared" si="16"/>
        <v>114</v>
      </c>
      <c r="J143" s="9">
        <f t="shared" si="17"/>
        <v>4.308390022675737</v>
      </c>
      <c r="K143" s="140">
        <f t="shared" si="18"/>
        <v>8</v>
      </c>
      <c r="L143" s="206">
        <f t="shared" si="19"/>
        <v>7.0175438596491224</v>
      </c>
      <c r="M143" s="8" t="str">
        <f t="array" ref="M143">IF(L143&gt;5,"Perlu Sensus",IF(AND(L143&gt;=0,I143&gt;0),"Tetap Deteksi","Belum Deteksi"))</f>
        <v>Perlu Sensus</v>
      </c>
      <c r="N143" s="132">
        <v>46239</v>
      </c>
      <c r="O143" s="203">
        <v>114</v>
      </c>
      <c r="P143" s="9">
        <f t="array" ref="P143">IFERROR(O143/G143*100,0)</f>
        <v>4.308390022675737</v>
      </c>
      <c r="Q143" s="203">
        <v>8</v>
      </c>
      <c r="R143" s="9">
        <f t="shared" si="20"/>
        <v>7.0175438596491224</v>
      </c>
      <c r="S143" s="8" t="str">
        <f t="array" ref="S143">IF(R143&gt;5,"Perlu Sensus",IF(AND(R143&gt;=0,O143&gt;0),"Tetap Deteksi","Belum Deteksi"))</f>
        <v>Perlu Sensus</v>
      </c>
      <c r="T143" s="203">
        <v>30</v>
      </c>
      <c r="U143" s="9">
        <f t="shared" si="22"/>
        <v>26.315789473684209</v>
      </c>
      <c r="V143" s="132">
        <v>46240</v>
      </c>
      <c r="W143" s="203">
        <v>228</v>
      </c>
      <c r="X143" s="203">
        <v>22</v>
      </c>
      <c r="Y143" s="9">
        <f t="shared" si="21"/>
        <v>9.6491228070175428</v>
      </c>
      <c r="Z143" s="8" t="str">
        <f t="array" ref="Z143">IF(Y143&gt;5,"Perlu Sensus",IF(AND(Y143&gt;0,,O143&gt;0),"Tetap Deteksi","Belum Deteksi"))</f>
        <v>Perlu Sensus</v>
      </c>
      <c r="AA143" s="203">
        <v>61</v>
      </c>
      <c r="AB143" s="9">
        <f t="shared" si="23"/>
        <v>26.754385964912281</v>
      </c>
    </row>
    <row r="144" spans="1:28" outlineLevel="1" x14ac:dyDescent="0.15">
      <c r="A144" s="8" t="s">
        <v>628</v>
      </c>
      <c r="B144" s="8" t="s">
        <v>14</v>
      </c>
      <c r="C144" s="8" t="s">
        <v>144</v>
      </c>
      <c r="D144" s="8" t="s">
        <v>731</v>
      </c>
      <c r="E144" s="9">
        <v>48.53</v>
      </c>
      <c r="F144" s="8" t="s">
        <v>16</v>
      </c>
      <c r="G144" s="143">
        <f t="array" ref="G144">INDEX('[23]SENSUS MEI'!$G$9:$G$453,MATCH(1,('[23]SENSUS MEI'!$D$9:$D$453=$D144)*('[23]SENSUS MEI'!$D$9:$D$453=$D144),0))</f>
        <v>6646</v>
      </c>
      <c r="H144" s="132">
        <f t="shared" si="16"/>
        <v>46238</v>
      </c>
      <c r="I144" s="140">
        <f t="shared" si="16"/>
        <v>116</v>
      </c>
      <c r="J144" s="9">
        <f t="shared" si="17"/>
        <v>1.7454107733975326</v>
      </c>
      <c r="K144" s="140">
        <f t="shared" si="18"/>
        <v>11</v>
      </c>
      <c r="L144" s="206">
        <f t="shared" si="19"/>
        <v>9.4827586206896548</v>
      </c>
      <c r="M144" s="8" t="str">
        <f t="array" ref="M144">IF(L144&gt;5,"Perlu Sensus",IF(AND(L144&gt;=0,I144&gt;0),"Tetap Deteksi","Belum Deteksi"))</f>
        <v>Perlu Sensus</v>
      </c>
      <c r="N144" s="132">
        <v>46238</v>
      </c>
      <c r="O144" s="203">
        <v>116</v>
      </c>
      <c r="P144" s="9">
        <f t="array" ref="P144">IFERROR(O144/G144*100,0)</f>
        <v>1.7454107733975326</v>
      </c>
      <c r="Q144" s="203">
        <v>11</v>
      </c>
      <c r="R144" s="9">
        <f t="shared" si="20"/>
        <v>9.4827586206896548</v>
      </c>
      <c r="S144" s="8" t="str">
        <f t="array" ref="S144">IF(R144&gt;5,"Perlu Sensus",IF(AND(R144&gt;=0,O144&gt;0),"Tetap Deteksi","Belum Deteksi"))</f>
        <v>Perlu Sensus</v>
      </c>
      <c r="T144" s="203">
        <v>42</v>
      </c>
      <c r="U144" s="9">
        <f t="shared" si="22"/>
        <v>36.206896551724135</v>
      </c>
      <c r="V144" s="132">
        <v>46239</v>
      </c>
      <c r="W144" s="203">
        <v>232</v>
      </c>
      <c r="X144" s="203">
        <v>25</v>
      </c>
      <c r="Y144" s="9">
        <f t="shared" si="21"/>
        <v>10.775862068965516</v>
      </c>
      <c r="Z144" s="8" t="str">
        <f t="array" ref="Z144">IF(Y144&gt;5,"Perlu Sensus",IF(AND(Y144&gt;0,,O144&gt;0),"Tetap Deteksi","Belum Deteksi"))</f>
        <v>Perlu Sensus</v>
      </c>
      <c r="AA144" s="203">
        <v>67</v>
      </c>
      <c r="AB144" s="9">
        <f t="shared" si="23"/>
        <v>28.879310344827587</v>
      </c>
    </row>
    <row r="145" spans="1:28" outlineLevel="1" x14ac:dyDescent="0.15">
      <c r="A145" s="8" t="s">
        <v>628</v>
      </c>
      <c r="B145" s="8" t="s">
        <v>14</v>
      </c>
      <c r="C145" s="8" t="s">
        <v>144</v>
      </c>
      <c r="D145" s="8" t="s">
        <v>732</v>
      </c>
      <c r="E145" s="9">
        <v>39.5</v>
      </c>
      <c r="F145" s="8" t="s">
        <v>469</v>
      </c>
      <c r="G145" s="143">
        <f t="array" ref="G145">INDEX('[23]SENSUS MEI'!$G$9:$G$453,MATCH(1,('[23]SENSUS MEI'!$D$9:$D$453=$D145)*('[23]SENSUS MEI'!$D$9:$D$453=$D145),0))</f>
        <v>5741</v>
      </c>
      <c r="H145" s="132">
        <f t="shared" si="16"/>
        <v>46238</v>
      </c>
      <c r="I145" s="140">
        <f t="shared" si="16"/>
        <v>86</v>
      </c>
      <c r="J145" s="9">
        <f t="shared" si="17"/>
        <v>1.4979968646577251</v>
      </c>
      <c r="K145" s="140">
        <f t="shared" si="18"/>
        <v>4</v>
      </c>
      <c r="L145" s="206">
        <f t="shared" si="19"/>
        <v>4.6511627906976747</v>
      </c>
      <c r="M145" s="8" t="str">
        <f t="array" ref="M145">IF(L145&gt;5,"Perlu Sensus",IF(AND(L145&gt;=0,I145&gt;0),"Tetap Deteksi","Belum Deteksi"))</f>
        <v>Tetap Deteksi</v>
      </c>
      <c r="N145" s="132">
        <v>46238</v>
      </c>
      <c r="O145" s="203">
        <v>86</v>
      </c>
      <c r="P145" s="9">
        <f t="array" ref="P145">IFERROR(O145/G145*100,0)</f>
        <v>1.4979968646577251</v>
      </c>
      <c r="Q145" s="203">
        <v>4</v>
      </c>
      <c r="R145" s="9">
        <f t="shared" si="20"/>
        <v>4.6511627906976747</v>
      </c>
      <c r="S145" s="8" t="str">
        <f t="array" ref="S145">IF(R145&gt;5,"Perlu Sensus",IF(AND(R145&gt;=0,O145&gt;0),"Tetap Deteksi","Belum Deteksi"))</f>
        <v>Tetap Deteksi</v>
      </c>
      <c r="T145" s="203">
        <v>32</v>
      </c>
      <c r="U145" s="9">
        <f t="shared" si="22"/>
        <v>37.209302325581397</v>
      </c>
      <c r="V145" s="132">
        <v>46239</v>
      </c>
      <c r="W145" s="203">
        <v>172</v>
      </c>
      <c r="X145" s="203">
        <v>24</v>
      </c>
      <c r="Y145" s="9">
        <f t="shared" si="21"/>
        <v>13.953488372093023</v>
      </c>
      <c r="Z145" s="8" t="str">
        <f t="array" ref="Z145">IF(Y145&gt;5,"Perlu Sensus",IF(AND(Y145&gt;0,,O145&gt;0),"Tetap Deteksi","Belum Deteksi"))</f>
        <v>Perlu Sensus</v>
      </c>
      <c r="AA145" s="203">
        <v>64</v>
      </c>
      <c r="AB145" s="9">
        <f t="shared" si="23"/>
        <v>37.209302325581397</v>
      </c>
    </row>
    <row r="146" spans="1:28" outlineLevel="1" x14ac:dyDescent="0.15">
      <c r="A146" s="8" t="s">
        <v>628</v>
      </c>
      <c r="B146" s="8" t="s">
        <v>14</v>
      </c>
      <c r="C146" s="8" t="s">
        <v>144</v>
      </c>
      <c r="D146" s="8" t="s">
        <v>733</v>
      </c>
      <c r="E146" s="9">
        <v>30.98</v>
      </c>
      <c r="F146" s="8" t="s">
        <v>469</v>
      </c>
      <c r="G146" s="143">
        <f t="array" ref="G146">INDEX('[23]SENSUS MEI'!$G$9:$G$453,MATCH(1,('[23]SENSUS MEI'!$D$9:$D$453=$D146)*('[23]SENSUS MEI'!$D$9:$D$453=$D146),0))</f>
        <v>4474</v>
      </c>
      <c r="H146" s="132">
        <f t="shared" si="16"/>
        <v>46235</v>
      </c>
      <c r="I146" s="140">
        <f t="shared" si="16"/>
        <v>44</v>
      </c>
      <c r="J146" s="9">
        <f t="shared" si="17"/>
        <v>0.9834599910594547</v>
      </c>
      <c r="K146" s="140">
        <f t="shared" si="18"/>
        <v>3</v>
      </c>
      <c r="L146" s="206">
        <f t="shared" si="19"/>
        <v>6.8181818181818175</v>
      </c>
      <c r="M146" s="8" t="str">
        <f t="array" ref="M146">IF(L146&gt;5,"Perlu Sensus",IF(AND(L146&gt;=0,I146&gt;0),"Tetap Deteksi","Belum Deteksi"))</f>
        <v>Perlu Sensus</v>
      </c>
      <c r="N146" s="132">
        <v>46235</v>
      </c>
      <c r="O146" s="203">
        <v>44</v>
      </c>
      <c r="P146" s="9">
        <f t="array" ref="P146">IFERROR(O146/G146*100,0)</f>
        <v>0.9834599910594547</v>
      </c>
      <c r="Q146" s="203">
        <v>3</v>
      </c>
      <c r="R146" s="9">
        <f t="shared" si="20"/>
        <v>6.8181818181818175</v>
      </c>
      <c r="S146" s="8" t="str">
        <f t="array" ref="S146">IF(R146&gt;5,"Perlu Sensus",IF(AND(R146&gt;=0,O146&gt;0),"Tetap Deteksi","Belum Deteksi"))</f>
        <v>Perlu Sensus</v>
      </c>
      <c r="T146" s="203">
        <v>18</v>
      </c>
      <c r="U146" s="9">
        <f t="shared" si="22"/>
        <v>40.909090909090914</v>
      </c>
      <c r="V146" s="132">
        <v>46236</v>
      </c>
      <c r="W146" s="203">
        <v>88</v>
      </c>
      <c r="X146" s="203">
        <v>9</v>
      </c>
      <c r="Y146" s="9">
        <f t="shared" si="21"/>
        <v>10.227272727272728</v>
      </c>
      <c r="Z146" s="8" t="str">
        <f t="array" ref="Z146">IF(Y146&gt;5,"Perlu Sensus",IF(AND(Y146&gt;0,,O146&gt;0),"Tetap Deteksi","Belum Deteksi"))</f>
        <v>Perlu Sensus</v>
      </c>
      <c r="AA146" s="203">
        <v>31</v>
      </c>
      <c r="AB146" s="9">
        <f t="shared" si="23"/>
        <v>35.227272727272727</v>
      </c>
    </row>
    <row r="147" spans="1:28" outlineLevel="1" x14ac:dyDescent="0.15">
      <c r="A147" s="8" t="s">
        <v>628</v>
      </c>
      <c r="B147" s="8" t="s">
        <v>14</v>
      </c>
      <c r="C147" s="8" t="s">
        <v>144</v>
      </c>
      <c r="D147" s="8" t="s">
        <v>734</v>
      </c>
      <c r="E147" s="9">
        <v>22.44</v>
      </c>
      <c r="F147" s="8" t="s">
        <v>469</v>
      </c>
      <c r="G147" s="143">
        <f t="array" ref="G147">INDEX('[23]SENSUS MEI'!$G$9:$G$453,MATCH(1,('[23]SENSUS MEI'!$D$9:$D$453=$D147)*('[23]SENSUS MEI'!$D$9:$D$453=$D147),0))</f>
        <v>2761</v>
      </c>
      <c r="H147" s="132">
        <f t="shared" si="16"/>
        <v>46235</v>
      </c>
      <c r="I147" s="140">
        <f t="shared" si="16"/>
        <v>82</v>
      </c>
      <c r="J147" s="9">
        <f t="shared" si="17"/>
        <v>2.9699384281057588</v>
      </c>
      <c r="K147" s="140">
        <f t="shared" si="18"/>
        <v>7</v>
      </c>
      <c r="L147" s="206">
        <f t="shared" si="19"/>
        <v>8.536585365853659</v>
      </c>
      <c r="M147" s="8" t="str">
        <f t="array" ref="M147">IF(L147&gt;5,"Perlu Sensus",IF(AND(L147&gt;=0,I147&gt;0),"Tetap Deteksi","Belum Deteksi"))</f>
        <v>Perlu Sensus</v>
      </c>
      <c r="N147" s="132">
        <v>46235</v>
      </c>
      <c r="O147" s="203">
        <v>82</v>
      </c>
      <c r="P147" s="9">
        <f t="array" ref="P147">IFERROR(O147/G147*100,0)</f>
        <v>2.9699384281057588</v>
      </c>
      <c r="Q147" s="203">
        <v>7</v>
      </c>
      <c r="R147" s="9">
        <f t="shared" si="20"/>
        <v>8.536585365853659</v>
      </c>
      <c r="S147" s="8" t="str">
        <f t="array" ref="S147">IF(R147&gt;5,"Perlu Sensus",IF(AND(R147&gt;=0,O147&gt;0),"Tetap Deteksi","Belum Deteksi"))</f>
        <v>Perlu Sensus</v>
      </c>
      <c r="T147" s="203">
        <v>24</v>
      </c>
      <c r="U147" s="9">
        <f t="shared" si="22"/>
        <v>29.268292682926827</v>
      </c>
      <c r="V147" s="132">
        <v>46236</v>
      </c>
      <c r="W147" s="203">
        <v>164</v>
      </c>
      <c r="X147" s="203">
        <v>15</v>
      </c>
      <c r="Y147" s="9">
        <f t="shared" si="21"/>
        <v>9.1463414634146343</v>
      </c>
      <c r="Z147" s="8" t="str">
        <f t="array" ref="Z147">IF(Y147&gt;5,"Perlu Sensus",IF(AND(Y147&gt;0,,O147&gt;0),"Tetap Deteksi","Belum Deteksi"))</f>
        <v>Perlu Sensus</v>
      </c>
      <c r="AA147" s="203">
        <v>42</v>
      </c>
      <c r="AB147" s="9">
        <f t="shared" si="23"/>
        <v>25.609756097560975</v>
      </c>
    </row>
    <row r="148" spans="1:28" outlineLevel="1" x14ac:dyDescent="0.15">
      <c r="A148" s="8" t="s">
        <v>628</v>
      </c>
      <c r="B148" s="8" t="s">
        <v>14</v>
      </c>
      <c r="C148" s="8" t="s">
        <v>144</v>
      </c>
      <c r="D148" s="8" t="s">
        <v>735</v>
      </c>
      <c r="E148" s="9">
        <v>10.64</v>
      </c>
      <c r="F148" s="8" t="s">
        <v>469</v>
      </c>
      <c r="G148" s="143">
        <f t="array" ref="G148">INDEX('[23]SENSUS MEI'!$G$9:$G$453,MATCH(1,('[23]SENSUS MEI'!$D$9:$D$453=$D148)*('[23]SENSUS MEI'!$D$9:$D$453=$D148),0))</f>
        <v>1363</v>
      </c>
      <c r="H148" s="132">
        <f t="shared" si="16"/>
        <v>46235</v>
      </c>
      <c r="I148" s="140">
        <f t="shared" si="16"/>
        <v>111</v>
      </c>
      <c r="J148" s="9">
        <f t="shared" si="17"/>
        <v>8.1438004402054283</v>
      </c>
      <c r="K148" s="140">
        <f t="shared" si="18"/>
        <v>8</v>
      </c>
      <c r="L148" s="206">
        <f t="shared" si="19"/>
        <v>7.2072072072072073</v>
      </c>
      <c r="M148" s="8" t="str">
        <f t="array" ref="M148">IF(L148&gt;5,"Perlu Sensus",IF(AND(L148&gt;=0,I148&gt;0),"Tetap Deteksi","Belum Deteksi"))</f>
        <v>Perlu Sensus</v>
      </c>
      <c r="N148" s="132">
        <v>46235</v>
      </c>
      <c r="O148" s="203">
        <v>111</v>
      </c>
      <c r="P148" s="9">
        <f t="array" ref="P148">IFERROR(O148/G148*100,0)</f>
        <v>8.1438004402054283</v>
      </c>
      <c r="Q148" s="203">
        <v>8</v>
      </c>
      <c r="R148" s="9">
        <f t="shared" si="20"/>
        <v>7.2072072072072073</v>
      </c>
      <c r="S148" s="8" t="str">
        <f t="array" ref="S148">IF(R148&gt;5,"Perlu Sensus",IF(AND(R148&gt;=0,O148&gt;0),"Tetap Deteksi","Belum Deteksi"))</f>
        <v>Perlu Sensus</v>
      </c>
      <c r="T148" s="203">
        <v>29</v>
      </c>
      <c r="U148" s="9">
        <f t="shared" si="22"/>
        <v>26.126126126126124</v>
      </c>
      <c r="V148" s="132">
        <v>46236</v>
      </c>
      <c r="W148" s="203">
        <v>222</v>
      </c>
      <c r="X148" s="203">
        <v>18</v>
      </c>
      <c r="Y148" s="9">
        <f t="shared" si="21"/>
        <v>8.1081081081081088</v>
      </c>
      <c r="Z148" s="8" t="str">
        <f t="array" ref="Z148">IF(Y148&gt;5,"Perlu Sensus",IF(AND(Y148&gt;0,,O148&gt;0),"Tetap Deteksi","Belum Deteksi"))</f>
        <v>Perlu Sensus</v>
      </c>
      <c r="AA148" s="203">
        <v>51</v>
      </c>
      <c r="AB148" s="9">
        <f t="shared" si="23"/>
        <v>22.972972972972975</v>
      </c>
    </row>
    <row r="149" spans="1:28" outlineLevel="1" x14ac:dyDescent="0.15">
      <c r="A149" s="8" t="s">
        <v>628</v>
      </c>
      <c r="B149" s="8" t="s">
        <v>14</v>
      </c>
      <c r="C149" s="8" t="s">
        <v>144</v>
      </c>
      <c r="D149" s="8" t="s">
        <v>736</v>
      </c>
      <c r="E149" s="9">
        <v>1.68</v>
      </c>
      <c r="F149" s="8" t="s">
        <v>469</v>
      </c>
      <c r="G149" s="143">
        <f t="array" ref="G149">INDEX('[23]SENSUS MEI'!$G$9:$G$453,MATCH(1,('[23]SENSUS MEI'!$D$9:$D$453=$D149)*('[23]SENSUS MEI'!$D$9:$D$453=$D149),0))</f>
        <v>279</v>
      </c>
      <c r="H149" s="132">
        <f t="shared" si="16"/>
        <v>46236</v>
      </c>
      <c r="I149" s="140">
        <f t="shared" si="16"/>
        <v>63</v>
      </c>
      <c r="J149" s="9">
        <f t="shared" si="17"/>
        <v>22.58064516129032</v>
      </c>
      <c r="K149" s="140">
        <f t="shared" si="18"/>
        <v>6</v>
      </c>
      <c r="L149" s="206">
        <f t="shared" si="19"/>
        <v>9.5238095238095237</v>
      </c>
      <c r="M149" s="8" t="str">
        <f t="array" ref="M149">IF(L149&gt;5,"Perlu Sensus",IF(AND(L149&gt;=0,I149&gt;0),"Tetap Deteksi","Belum Deteksi"))</f>
        <v>Perlu Sensus</v>
      </c>
      <c r="N149" s="132">
        <v>46236</v>
      </c>
      <c r="O149" s="203">
        <v>63</v>
      </c>
      <c r="P149" s="9">
        <f t="array" ref="P149">IFERROR(O149/G149*100,0)</f>
        <v>22.58064516129032</v>
      </c>
      <c r="Q149" s="203">
        <v>6</v>
      </c>
      <c r="R149" s="9">
        <f t="shared" si="20"/>
        <v>9.5238095238095237</v>
      </c>
      <c r="S149" s="8" t="str">
        <f t="array" ref="S149">IF(R149&gt;5,"Perlu Sensus",IF(AND(R149&gt;=0,O149&gt;0),"Tetap Deteksi","Belum Deteksi"))</f>
        <v>Perlu Sensus</v>
      </c>
      <c r="T149" s="203">
        <v>25</v>
      </c>
      <c r="U149" s="9">
        <f t="shared" si="22"/>
        <v>39.682539682539684</v>
      </c>
      <c r="V149" s="132">
        <v>46237</v>
      </c>
      <c r="W149" s="203">
        <v>126</v>
      </c>
      <c r="X149" s="203">
        <v>13</v>
      </c>
      <c r="Y149" s="9">
        <f t="shared" si="21"/>
        <v>10.317460317460316</v>
      </c>
      <c r="Z149" s="8" t="str">
        <f t="array" ref="Z149">IF(Y149&gt;5,"Perlu Sensus",IF(AND(Y149&gt;0,,O149&gt;0),"Tetap Deteksi","Belum Deteksi"))</f>
        <v>Perlu Sensus</v>
      </c>
      <c r="AA149" s="203">
        <v>38</v>
      </c>
      <c r="AB149" s="9">
        <f t="shared" si="23"/>
        <v>30.158730158730158</v>
      </c>
    </row>
    <row r="150" spans="1:28" outlineLevel="1" x14ac:dyDescent="0.15">
      <c r="A150" s="8" t="s">
        <v>628</v>
      </c>
      <c r="B150" s="8" t="s">
        <v>14</v>
      </c>
      <c r="C150" s="8" t="s">
        <v>144</v>
      </c>
      <c r="D150" s="8" t="s">
        <v>503</v>
      </c>
      <c r="E150" s="9">
        <v>3.01</v>
      </c>
      <c r="F150" s="8" t="s">
        <v>16</v>
      </c>
      <c r="G150" s="143">
        <f t="array" ref="G150">INDEX('[23]SENSUS MEI'!$G$9:$G$453,MATCH(1,('[23]SENSUS MEI'!$D$9:$D$453=$D150)*('[23]SENSUS MEI'!$D$9:$D$453=$D150),0))</f>
        <v>706</v>
      </c>
      <c r="H150" s="132">
        <f t="shared" ref="H150:I213" si="24">IF(N150&gt;0,N150,V150)</f>
        <v>46236</v>
      </c>
      <c r="I150" s="140">
        <f t="shared" si="24"/>
        <v>65</v>
      </c>
      <c r="J150" s="9">
        <f t="shared" si="17"/>
        <v>9.2067988668555234</v>
      </c>
      <c r="K150" s="140">
        <f t="shared" si="18"/>
        <v>7</v>
      </c>
      <c r="L150" s="206">
        <f t="shared" si="19"/>
        <v>10.76923076923077</v>
      </c>
      <c r="M150" s="8" t="str">
        <f t="array" ref="M150">IF(L150&gt;5,"Perlu Sensus",IF(AND(L150&gt;=0,I150&gt;0),"Tetap Deteksi","Belum Deteksi"))</f>
        <v>Perlu Sensus</v>
      </c>
      <c r="N150" s="132">
        <v>46236</v>
      </c>
      <c r="O150" s="203">
        <v>65</v>
      </c>
      <c r="P150" s="9">
        <f t="array" ref="P150">IFERROR(O150/G150*100,0)</f>
        <v>9.2067988668555234</v>
      </c>
      <c r="Q150" s="203">
        <v>7</v>
      </c>
      <c r="R150" s="9">
        <f t="shared" si="20"/>
        <v>10.76923076923077</v>
      </c>
      <c r="S150" s="8" t="str">
        <f t="array" ref="S150">IF(R150&gt;5,"Perlu Sensus",IF(AND(R150&gt;=0,O150&gt;0),"Tetap Deteksi","Belum Deteksi"))</f>
        <v>Perlu Sensus</v>
      </c>
      <c r="T150" s="203">
        <v>26</v>
      </c>
      <c r="U150" s="9">
        <f t="shared" si="22"/>
        <v>40</v>
      </c>
      <c r="V150" s="132">
        <v>46237</v>
      </c>
      <c r="W150" s="203">
        <v>130</v>
      </c>
      <c r="X150" s="203">
        <v>11</v>
      </c>
      <c r="Y150" s="9">
        <f t="shared" si="21"/>
        <v>8.4615384615384617</v>
      </c>
      <c r="Z150" s="8" t="str">
        <f t="array" ref="Z150">IF(Y150&gt;5,"Perlu Sensus",IF(AND(Y150&gt;0,,O150&gt;0),"Tetap Deteksi","Belum Deteksi"))</f>
        <v>Perlu Sensus</v>
      </c>
      <c r="AA150" s="203">
        <v>28</v>
      </c>
      <c r="AB150" s="9">
        <f t="shared" si="23"/>
        <v>21.53846153846154</v>
      </c>
    </row>
    <row r="151" spans="1:28" outlineLevel="1" x14ac:dyDescent="0.15">
      <c r="A151" s="8" t="s">
        <v>628</v>
      </c>
      <c r="B151" s="8" t="s">
        <v>14</v>
      </c>
      <c r="C151" s="8" t="s">
        <v>144</v>
      </c>
      <c r="D151" s="8" t="s">
        <v>504</v>
      </c>
      <c r="E151" s="9">
        <v>3.39</v>
      </c>
      <c r="F151" s="8" t="s">
        <v>16</v>
      </c>
      <c r="G151" s="143">
        <f t="array" ref="G151">INDEX('[23]SENSUS MEI'!$G$9:$G$453,MATCH(1,('[23]SENSUS MEI'!$D$9:$D$453=$D151)*('[23]SENSUS MEI'!$D$9:$D$453=$D151),0))</f>
        <v>1050</v>
      </c>
      <c r="H151" s="132">
        <f t="shared" si="24"/>
        <v>46236</v>
      </c>
      <c r="I151" s="140">
        <f t="shared" si="24"/>
        <v>63</v>
      </c>
      <c r="J151" s="9">
        <f t="shared" si="17"/>
        <v>6</v>
      </c>
      <c r="K151" s="140">
        <f t="shared" si="18"/>
        <v>5</v>
      </c>
      <c r="L151" s="206">
        <f t="shared" si="19"/>
        <v>7.9365079365079358</v>
      </c>
      <c r="M151" s="8" t="str">
        <f t="array" ref="M151">IF(L151&gt;5,"Perlu Sensus",IF(AND(L151&gt;=0,I151&gt;0),"Tetap Deteksi","Belum Deteksi"))</f>
        <v>Perlu Sensus</v>
      </c>
      <c r="N151" s="132">
        <v>46236</v>
      </c>
      <c r="O151" s="203">
        <v>63</v>
      </c>
      <c r="P151" s="9">
        <f t="array" ref="P151">IFERROR(O151/G151*100,0)</f>
        <v>6</v>
      </c>
      <c r="Q151" s="203">
        <v>5</v>
      </c>
      <c r="R151" s="9">
        <f t="shared" si="20"/>
        <v>7.9365079365079358</v>
      </c>
      <c r="S151" s="8" t="str">
        <f t="array" ref="S151">IF(R151&gt;5,"Perlu Sensus",IF(AND(R151&gt;=0,O151&gt;0),"Tetap Deteksi","Belum Deteksi"))</f>
        <v>Perlu Sensus</v>
      </c>
      <c r="T151" s="203">
        <v>27</v>
      </c>
      <c r="U151" s="9">
        <f t="shared" si="22"/>
        <v>42.857142857142854</v>
      </c>
      <c r="V151" s="132">
        <v>46237</v>
      </c>
      <c r="W151" s="203">
        <v>126</v>
      </c>
      <c r="X151" s="203">
        <v>10</v>
      </c>
      <c r="Y151" s="9">
        <f t="shared" si="21"/>
        <v>7.9365079365079358</v>
      </c>
      <c r="Z151" s="8" t="str">
        <f t="array" ref="Z151">IF(Y151&gt;5,"Perlu Sensus",IF(AND(Y151&gt;0,,O151&gt;0),"Tetap Deteksi","Belum Deteksi"))</f>
        <v>Perlu Sensus</v>
      </c>
      <c r="AA151" s="203">
        <v>30</v>
      </c>
      <c r="AB151" s="9">
        <f t="shared" si="23"/>
        <v>23.809523809523807</v>
      </c>
    </row>
    <row r="152" spans="1:28" outlineLevel="1" x14ac:dyDescent="0.15">
      <c r="A152" s="8" t="s">
        <v>628</v>
      </c>
      <c r="B152" s="8" t="s">
        <v>14</v>
      </c>
      <c r="C152" s="8" t="s">
        <v>173</v>
      </c>
      <c r="D152" s="8" t="s">
        <v>737</v>
      </c>
      <c r="E152" s="9">
        <v>16.8</v>
      </c>
      <c r="F152" s="8" t="s">
        <v>16</v>
      </c>
      <c r="G152" s="143">
        <f t="array" ref="G152">INDEX('[23]SENSUS MEI'!$G$9:$G$453,MATCH(1,('[23]SENSUS MEI'!$D$9:$D$453=$D152)*('[23]SENSUS MEI'!$D$9:$D$453=$D152),0))</f>
        <v>2167</v>
      </c>
      <c r="H152" s="132">
        <f t="shared" si="24"/>
        <v>46240</v>
      </c>
      <c r="I152" s="140">
        <f t="shared" si="24"/>
        <v>121</v>
      </c>
      <c r="J152" s="9">
        <f t="shared" si="17"/>
        <v>5.5837563451776653</v>
      </c>
      <c r="K152" s="140">
        <f t="shared" si="18"/>
        <v>5</v>
      </c>
      <c r="L152" s="206">
        <f t="shared" si="19"/>
        <v>4.1322314049586781</v>
      </c>
      <c r="M152" s="8" t="str">
        <f t="array" ref="M152">IF(L152&gt;5,"Perlu Sensus",IF(AND(L152&gt;=0,I152&gt;0),"Tetap Deteksi","Belum Deteksi"))</f>
        <v>Tetap Deteksi</v>
      </c>
      <c r="N152" s="132">
        <v>46240</v>
      </c>
      <c r="O152" s="203">
        <v>121</v>
      </c>
      <c r="P152" s="9">
        <f t="array" ref="P152">IFERROR(O152/G152*100,0)</f>
        <v>5.5837563451776653</v>
      </c>
      <c r="Q152" s="203">
        <v>5</v>
      </c>
      <c r="R152" s="9">
        <f t="shared" si="20"/>
        <v>4.1322314049586781</v>
      </c>
      <c r="S152" s="8" t="str">
        <f t="array" ref="S152">IF(R152&gt;5,"Perlu Sensus",IF(AND(R152&gt;=0,O152&gt;0),"Tetap Deteksi","Belum Deteksi"))</f>
        <v>Tetap Deteksi</v>
      </c>
      <c r="T152" s="203">
        <v>8</v>
      </c>
      <c r="U152" s="9">
        <f t="shared" si="22"/>
        <v>6.6115702479338845</v>
      </c>
      <c r="V152" s="132">
        <v>46241</v>
      </c>
      <c r="W152" s="203">
        <v>81</v>
      </c>
      <c r="X152" s="203">
        <v>4</v>
      </c>
      <c r="Y152" s="9">
        <f t="shared" si="21"/>
        <v>4.9382716049382713</v>
      </c>
      <c r="Z152" s="8" t="str">
        <f t="array" ref="Z152">IF(Y152&gt;5,"Perlu Sensus",IF(AND(Y152&gt;0,,O152&gt;0),"Tetap Deteksi","Belum Deteksi"))</f>
        <v>Belum Deteksi</v>
      </c>
      <c r="AA152" s="203">
        <v>15</v>
      </c>
      <c r="AB152" s="9">
        <f t="shared" si="23"/>
        <v>18.518518518518519</v>
      </c>
    </row>
    <row r="153" spans="1:28" outlineLevel="1" x14ac:dyDescent="0.15">
      <c r="A153" s="8" t="s">
        <v>628</v>
      </c>
      <c r="B153" s="8" t="s">
        <v>14</v>
      </c>
      <c r="C153" s="8" t="s">
        <v>173</v>
      </c>
      <c r="D153" s="8" t="s">
        <v>738</v>
      </c>
      <c r="E153" s="9">
        <v>26.48</v>
      </c>
      <c r="F153" s="8" t="s">
        <v>16</v>
      </c>
      <c r="G153" s="143">
        <f t="array" ref="G153">INDEX('[23]SENSUS MEI'!$G$9:$G$453,MATCH(1,('[23]SENSUS MEI'!$D$9:$D$453=$D153)*('[23]SENSUS MEI'!$D$9:$D$453=$D153),0))</f>
        <v>3441</v>
      </c>
      <c r="H153" s="132">
        <f t="shared" si="24"/>
        <v>46240</v>
      </c>
      <c r="I153" s="140">
        <f t="shared" si="24"/>
        <v>118</v>
      </c>
      <c r="J153" s="9">
        <f t="shared" si="17"/>
        <v>3.4292356873002037</v>
      </c>
      <c r="K153" s="140">
        <f t="shared" si="18"/>
        <v>3</v>
      </c>
      <c r="L153" s="206">
        <f t="shared" si="19"/>
        <v>2.5423728813559325</v>
      </c>
      <c r="M153" s="8" t="str">
        <f t="array" ref="M153">IF(L153&gt;5,"Perlu Sensus",IF(AND(L153&gt;=0,I153&gt;0),"Tetap Deteksi","Belum Deteksi"))</f>
        <v>Tetap Deteksi</v>
      </c>
      <c r="N153" s="132">
        <v>46240</v>
      </c>
      <c r="O153" s="203">
        <v>118</v>
      </c>
      <c r="P153" s="9">
        <f t="array" ref="P153">IFERROR(O153/G153*100,0)</f>
        <v>3.4292356873002037</v>
      </c>
      <c r="Q153" s="203">
        <v>3</v>
      </c>
      <c r="R153" s="9">
        <f t="shared" si="20"/>
        <v>2.5423728813559325</v>
      </c>
      <c r="S153" s="8" t="str">
        <f t="array" ref="S153">IF(R153&gt;5,"Perlu Sensus",IF(AND(R153&gt;=0,O153&gt;0),"Tetap Deteksi","Belum Deteksi"))</f>
        <v>Tetap Deteksi</v>
      </c>
      <c r="T153" s="203">
        <v>17</v>
      </c>
      <c r="U153" s="9">
        <f t="shared" si="22"/>
        <v>14.40677966101695</v>
      </c>
      <c r="V153" s="132">
        <v>46241</v>
      </c>
      <c r="W153" s="203">
        <v>88</v>
      </c>
      <c r="X153" s="203">
        <v>4</v>
      </c>
      <c r="Y153" s="9">
        <f t="shared" si="21"/>
        <v>4.5454545454545459</v>
      </c>
      <c r="Z153" s="8" t="str">
        <f t="array" ref="Z153">IF(Y153&gt;5,"Perlu Sensus",IF(AND(Y153&gt;0,,O153&gt;0),"Tetap Deteksi","Belum Deteksi"))</f>
        <v>Belum Deteksi</v>
      </c>
      <c r="AA153" s="203">
        <v>13</v>
      </c>
      <c r="AB153" s="9">
        <f t="shared" si="23"/>
        <v>14.772727272727273</v>
      </c>
    </row>
    <row r="154" spans="1:28" outlineLevel="1" x14ac:dyDescent="0.15">
      <c r="A154" s="8" t="s">
        <v>628</v>
      </c>
      <c r="B154" s="8" t="s">
        <v>14</v>
      </c>
      <c r="C154" s="8" t="s">
        <v>173</v>
      </c>
      <c r="D154" s="8" t="s">
        <v>739</v>
      </c>
      <c r="E154" s="9">
        <v>19.25</v>
      </c>
      <c r="F154" s="8" t="s">
        <v>16</v>
      </c>
      <c r="G154" s="143">
        <f t="array" ref="G154">INDEX('[23]SENSUS MEI'!$G$9:$G$453,MATCH(1,('[23]SENSUS MEI'!$D$9:$D$453=$D154)*('[23]SENSUS MEI'!$D$9:$D$453=$D154),0))</f>
        <v>2571</v>
      </c>
      <c r="H154" s="132">
        <f t="shared" si="24"/>
        <v>46241</v>
      </c>
      <c r="I154" s="140">
        <f t="shared" si="24"/>
        <v>108</v>
      </c>
      <c r="J154" s="9">
        <f t="shared" si="17"/>
        <v>4.2007001166861144</v>
      </c>
      <c r="K154" s="140">
        <f t="shared" si="18"/>
        <v>6</v>
      </c>
      <c r="L154" s="206">
        <f t="shared" si="19"/>
        <v>5.5555555555555554</v>
      </c>
      <c r="M154" s="8" t="str">
        <f t="array" ref="M154">IF(L154&gt;5,"Perlu Sensus",IF(AND(L154&gt;=0,I154&gt;0),"Tetap Deteksi","Belum Deteksi"))</f>
        <v>Perlu Sensus</v>
      </c>
      <c r="N154" s="132">
        <v>46241</v>
      </c>
      <c r="O154" s="203">
        <v>108</v>
      </c>
      <c r="P154" s="9">
        <f t="array" ref="P154">IFERROR(O154/G154*100,0)</f>
        <v>4.2007001166861144</v>
      </c>
      <c r="Q154" s="203">
        <v>6</v>
      </c>
      <c r="R154" s="9">
        <f t="shared" si="20"/>
        <v>5.5555555555555554</v>
      </c>
      <c r="S154" s="8" t="str">
        <f t="array" ref="S154">IF(R154&gt;5,"Perlu Sensus",IF(AND(R154&gt;=0,O154&gt;0),"Tetap Deteksi","Belum Deteksi"))</f>
        <v>Perlu Sensus</v>
      </c>
      <c r="T154" s="203">
        <v>16</v>
      </c>
      <c r="U154" s="9">
        <f t="shared" si="22"/>
        <v>14.814814814814813</v>
      </c>
      <c r="V154" s="132">
        <v>46242</v>
      </c>
      <c r="W154" s="203">
        <v>78</v>
      </c>
      <c r="X154" s="203">
        <v>3</v>
      </c>
      <c r="Y154" s="9">
        <f t="shared" si="21"/>
        <v>3.8461538461538463</v>
      </c>
      <c r="Z154" s="8" t="str">
        <f t="array" ref="Z154">IF(Y154&gt;5,"Perlu Sensus",IF(AND(Y154&gt;0,,O154&gt;0),"Tetap Deteksi","Belum Deteksi"))</f>
        <v>Belum Deteksi</v>
      </c>
      <c r="AA154" s="203">
        <v>18</v>
      </c>
      <c r="AB154" s="9">
        <f t="shared" si="23"/>
        <v>23.076923076923077</v>
      </c>
    </row>
    <row r="155" spans="1:28" outlineLevel="1" x14ac:dyDescent="0.15">
      <c r="A155" s="8" t="s">
        <v>628</v>
      </c>
      <c r="B155" s="8" t="s">
        <v>14</v>
      </c>
      <c r="C155" s="8" t="s">
        <v>173</v>
      </c>
      <c r="D155" s="8" t="s">
        <v>740</v>
      </c>
      <c r="E155" s="9">
        <v>20.22</v>
      </c>
      <c r="F155" s="8" t="s">
        <v>16</v>
      </c>
      <c r="G155" s="143">
        <f t="array" ref="G155">INDEX('[23]SENSUS MEI'!$G$9:$G$453,MATCH(1,('[23]SENSUS MEI'!$D$9:$D$453=$D155)*('[23]SENSUS MEI'!$D$9:$D$453=$D155),0))</f>
        <v>1922</v>
      </c>
      <c r="H155" s="132">
        <f t="shared" si="24"/>
        <v>46241</v>
      </c>
      <c r="I155" s="140">
        <f t="shared" si="24"/>
        <v>116</v>
      </c>
      <c r="J155" s="9">
        <f t="shared" si="17"/>
        <v>6.0353798126951093</v>
      </c>
      <c r="K155" s="140">
        <f t="shared" si="18"/>
        <v>4</v>
      </c>
      <c r="L155" s="206">
        <f t="shared" si="19"/>
        <v>3.4482758620689653</v>
      </c>
      <c r="M155" s="8" t="str">
        <f t="array" ref="M155">IF(L155&gt;5,"Perlu Sensus",IF(AND(L155&gt;=0,I155&gt;0),"Tetap Deteksi","Belum Deteksi"))</f>
        <v>Tetap Deteksi</v>
      </c>
      <c r="N155" s="132">
        <v>46241</v>
      </c>
      <c r="O155" s="203">
        <v>116</v>
      </c>
      <c r="P155" s="9">
        <f t="array" ref="P155">IFERROR(O155/G155*100,0)</f>
        <v>6.0353798126951093</v>
      </c>
      <c r="Q155" s="203">
        <v>4</v>
      </c>
      <c r="R155" s="9">
        <f t="shared" si="20"/>
        <v>3.4482758620689653</v>
      </c>
      <c r="S155" s="8" t="str">
        <f t="array" ref="S155">IF(R155&gt;5,"Perlu Sensus",IF(AND(R155&gt;=0,O155&gt;0),"Tetap Deteksi","Belum Deteksi"))</f>
        <v>Tetap Deteksi</v>
      </c>
      <c r="T155" s="203">
        <v>13</v>
      </c>
      <c r="U155" s="9">
        <f t="shared" si="22"/>
        <v>11.206896551724139</v>
      </c>
      <c r="V155" s="132">
        <v>46242</v>
      </c>
      <c r="W155" s="203">
        <v>66</v>
      </c>
      <c r="X155" s="203">
        <v>4</v>
      </c>
      <c r="Y155" s="9">
        <f t="shared" si="21"/>
        <v>6.0606060606060606</v>
      </c>
      <c r="Z155" s="8" t="str">
        <f t="array" ref="Z155">IF(Y155&gt;5,"Perlu Sensus",IF(AND(Y155&gt;0,,O155&gt;0),"Tetap Deteksi","Belum Deteksi"))</f>
        <v>Perlu Sensus</v>
      </c>
      <c r="AA155" s="203">
        <v>15</v>
      </c>
      <c r="AB155" s="9">
        <f t="shared" si="23"/>
        <v>22.727272727272727</v>
      </c>
    </row>
    <row r="156" spans="1:28" outlineLevel="1" x14ac:dyDescent="0.15">
      <c r="A156" s="8" t="s">
        <v>628</v>
      </c>
      <c r="B156" s="8" t="s">
        <v>14</v>
      </c>
      <c r="C156" s="8" t="s">
        <v>173</v>
      </c>
      <c r="D156" s="8" t="s">
        <v>741</v>
      </c>
      <c r="E156" s="9">
        <v>36.28</v>
      </c>
      <c r="F156" s="8" t="s">
        <v>16</v>
      </c>
      <c r="G156" s="143">
        <f t="array" ref="G156">INDEX('[23]SENSUS MEI'!$G$9:$G$453,MATCH(1,('[23]SENSUS MEI'!$D$9:$D$453=$D156)*('[23]SENSUS MEI'!$D$9:$D$453=$D156),0))</f>
        <v>4953</v>
      </c>
      <c r="H156" s="132">
        <f t="shared" si="24"/>
        <v>46249</v>
      </c>
      <c r="I156" s="140">
        <f t="shared" si="24"/>
        <v>120</v>
      </c>
      <c r="J156" s="9">
        <f t="shared" si="17"/>
        <v>2.4227740763173835</v>
      </c>
      <c r="K156" s="140">
        <f t="shared" si="18"/>
        <v>5</v>
      </c>
      <c r="L156" s="206">
        <f t="shared" si="19"/>
        <v>4.1666666666666661</v>
      </c>
      <c r="M156" s="8" t="str">
        <f t="array" ref="M156">IF(L156&gt;5,"Perlu Sensus",IF(AND(L156&gt;=0,I156&gt;0),"Tetap Deteksi","Belum Deteksi"))</f>
        <v>Tetap Deteksi</v>
      </c>
      <c r="N156" s="132">
        <v>46249</v>
      </c>
      <c r="O156" s="203">
        <v>120</v>
      </c>
      <c r="P156" s="9">
        <f t="array" ref="P156">IFERROR(O156/G156*100,0)</f>
        <v>2.4227740763173835</v>
      </c>
      <c r="Q156" s="203">
        <v>5</v>
      </c>
      <c r="R156" s="9">
        <f t="shared" si="20"/>
        <v>4.1666666666666661</v>
      </c>
      <c r="S156" s="8" t="str">
        <f t="array" ref="S156">IF(R156&gt;5,"Perlu Sensus",IF(AND(R156&gt;=0,O156&gt;0),"Tetap Deteksi","Belum Deteksi"))</f>
        <v>Tetap Deteksi</v>
      </c>
      <c r="T156" s="203">
        <v>20</v>
      </c>
      <c r="U156" s="9">
        <f t="shared" si="22"/>
        <v>16.666666666666664</v>
      </c>
      <c r="V156" s="132">
        <v>46244</v>
      </c>
      <c r="W156" s="203">
        <v>80</v>
      </c>
      <c r="X156" s="203">
        <v>5</v>
      </c>
      <c r="Y156" s="9">
        <f t="shared" si="21"/>
        <v>6.25</v>
      </c>
      <c r="Z156" s="8" t="str">
        <f t="array" ref="Z156">IF(Y156&gt;5,"Perlu Sensus",IF(AND(Y156&gt;0,,O156&gt;0),"Tetap Deteksi","Belum Deteksi"))</f>
        <v>Perlu Sensus</v>
      </c>
      <c r="AA156" s="203">
        <v>26</v>
      </c>
      <c r="AB156" s="9">
        <f t="shared" si="23"/>
        <v>32.5</v>
      </c>
    </row>
    <row r="157" spans="1:28" outlineLevel="1" x14ac:dyDescent="0.15">
      <c r="A157" s="8" t="s">
        <v>628</v>
      </c>
      <c r="B157" s="8" t="s">
        <v>14</v>
      </c>
      <c r="C157" s="8" t="s">
        <v>173</v>
      </c>
      <c r="D157" s="8" t="s">
        <v>742</v>
      </c>
      <c r="E157" s="9">
        <v>11.41</v>
      </c>
      <c r="F157" s="8" t="s">
        <v>16</v>
      </c>
      <c r="G157" s="143">
        <f t="array" ref="G157">INDEX('[23]SENSUS MEI'!$G$9:$G$453,MATCH(1,('[23]SENSUS MEI'!$D$9:$D$453=$D157)*('[23]SENSUS MEI'!$D$9:$D$453=$D157),0))</f>
        <v>1733</v>
      </c>
      <c r="H157" s="132">
        <f t="shared" si="24"/>
        <v>46249</v>
      </c>
      <c r="I157" s="140">
        <f t="shared" si="24"/>
        <v>108</v>
      </c>
      <c r="J157" s="9">
        <f t="shared" si="17"/>
        <v>6.231967686093479</v>
      </c>
      <c r="K157" s="140">
        <f t="shared" si="18"/>
        <v>7</v>
      </c>
      <c r="L157" s="206">
        <f t="shared" si="19"/>
        <v>6.481481481481481</v>
      </c>
      <c r="M157" s="8" t="str">
        <f t="array" ref="M157">IF(L157&gt;5,"Perlu Sensus",IF(AND(L157&gt;=0,I157&gt;0),"Tetap Deteksi","Belum Deteksi"))</f>
        <v>Perlu Sensus</v>
      </c>
      <c r="N157" s="132">
        <v>46249</v>
      </c>
      <c r="O157" s="203">
        <v>108</v>
      </c>
      <c r="P157" s="9">
        <f t="array" ref="P157">IFERROR(O157/G157*100,0)</f>
        <v>6.231967686093479</v>
      </c>
      <c r="Q157" s="203">
        <v>7</v>
      </c>
      <c r="R157" s="9">
        <f t="shared" si="20"/>
        <v>6.481481481481481</v>
      </c>
      <c r="S157" s="8" t="str">
        <f t="array" ref="S157">IF(R157&gt;5,"Perlu Sensus",IF(AND(R157&gt;=0,O157&gt;0),"Tetap Deteksi","Belum Deteksi"))</f>
        <v>Perlu Sensus</v>
      </c>
      <c r="T157" s="203">
        <v>27</v>
      </c>
      <c r="U157" s="9">
        <f t="shared" si="22"/>
        <v>25</v>
      </c>
      <c r="V157" s="132">
        <v>46244</v>
      </c>
      <c r="W157" s="203">
        <v>78</v>
      </c>
      <c r="X157" s="203">
        <v>7</v>
      </c>
      <c r="Y157" s="9">
        <f t="shared" si="21"/>
        <v>8.9743589743589745</v>
      </c>
      <c r="Z157" s="8" t="str">
        <f t="array" ref="Z157">IF(Y157&gt;5,"Perlu Sensus",IF(AND(Y157&gt;0,,O157&gt;0),"Tetap Deteksi","Belum Deteksi"))</f>
        <v>Perlu Sensus</v>
      </c>
      <c r="AA157" s="203">
        <v>21</v>
      </c>
      <c r="AB157" s="9">
        <f t="shared" si="23"/>
        <v>26.923076923076923</v>
      </c>
    </row>
    <row r="158" spans="1:28" outlineLevel="1" x14ac:dyDescent="0.15">
      <c r="A158" s="8" t="s">
        <v>628</v>
      </c>
      <c r="B158" s="8" t="s">
        <v>14</v>
      </c>
      <c r="C158" s="8" t="s">
        <v>173</v>
      </c>
      <c r="D158" s="8" t="s">
        <v>743</v>
      </c>
      <c r="E158" s="9">
        <v>10.130000000000001</v>
      </c>
      <c r="F158" s="8" t="s">
        <v>16</v>
      </c>
      <c r="G158" s="143">
        <f t="array" ref="G158">INDEX('[23]SENSUS MEI'!$G$9:$G$453,MATCH(1,('[23]SENSUS MEI'!$D$9:$D$453=$D158)*('[23]SENSUS MEI'!$D$9:$D$453=$D158),0))</f>
        <v>1545</v>
      </c>
      <c r="H158" s="132">
        <f t="shared" si="24"/>
        <v>46235</v>
      </c>
      <c r="I158" s="140">
        <f t="shared" si="24"/>
        <v>94</v>
      </c>
      <c r="J158" s="9">
        <f t="shared" si="17"/>
        <v>6.0841423948220061</v>
      </c>
      <c r="K158" s="140">
        <f t="shared" si="18"/>
        <v>9</v>
      </c>
      <c r="L158" s="206">
        <f t="shared" si="19"/>
        <v>9.5744680851063837</v>
      </c>
      <c r="M158" s="8" t="str">
        <f t="array" ref="M158">IF(L158&gt;5,"Perlu Sensus",IF(AND(L158&gt;=0,I158&gt;0),"Tetap Deteksi","Belum Deteksi"))</f>
        <v>Perlu Sensus</v>
      </c>
      <c r="N158" s="132">
        <v>46235</v>
      </c>
      <c r="O158" s="203">
        <v>94</v>
      </c>
      <c r="P158" s="9">
        <f t="array" ref="P158">IFERROR(O158/G158*100,0)</f>
        <v>6.0841423948220061</v>
      </c>
      <c r="Q158" s="203">
        <v>9</v>
      </c>
      <c r="R158" s="9">
        <f t="shared" si="20"/>
        <v>9.5744680851063837</v>
      </c>
      <c r="S158" s="8" t="str">
        <f t="array" ref="S158">IF(R158&gt;5,"Perlu Sensus",IF(AND(R158&gt;=0,O158&gt;0),"Tetap Deteksi","Belum Deteksi"))</f>
        <v>Perlu Sensus</v>
      </c>
      <c r="T158" s="203">
        <v>9</v>
      </c>
      <c r="U158" s="9">
        <f t="shared" si="22"/>
        <v>9.5744680851063837</v>
      </c>
      <c r="V158" s="132">
        <v>46236</v>
      </c>
      <c r="W158" s="203">
        <v>74</v>
      </c>
      <c r="X158" s="203">
        <v>10</v>
      </c>
      <c r="Y158" s="9">
        <f t="shared" si="21"/>
        <v>13.513513513513514</v>
      </c>
      <c r="Z158" s="8" t="str">
        <f t="array" ref="Z158">IF(Y158&gt;5,"Perlu Sensus",IF(AND(Y158&gt;0,,O158&gt;0),"Tetap Deteksi","Belum Deteksi"))</f>
        <v>Perlu Sensus</v>
      </c>
      <c r="AA158" s="203">
        <v>21</v>
      </c>
      <c r="AB158" s="9">
        <f t="shared" si="23"/>
        <v>28.378378378378379</v>
      </c>
    </row>
    <row r="159" spans="1:28" outlineLevel="1" x14ac:dyDescent="0.15">
      <c r="A159" s="8" t="s">
        <v>628</v>
      </c>
      <c r="B159" s="8" t="s">
        <v>14</v>
      </c>
      <c r="C159" s="8" t="s">
        <v>173</v>
      </c>
      <c r="D159" s="8" t="s">
        <v>744</v>
      </c>
      <c r="E159" s="9">
        <v>4.25</v>
      </c>
      <c r="F159" s="8" t="s">
        <v>16</v>
      </c>
      <c r="G159" s="143">
        <f t="array" ref="G159">INDEX('[23]SENSUS MEI'!$G$9:$G$453,MATCH(1,('[23]SENSUS MEI'!$D$9:$D$453=$D159)*('[23]SENSUS MEI'!$D$9:$D$453=$D159),0))</f>
        <v>900</v>
      </c>
      <c r="H159" s="132">
        <f t="shared" si="24"/>
        <v>46235</v>
      </c>
      <c r="I159" s="140">
        <f t="shared" si="24"/>
        <v>83</v>
      </c>
      <c r="J159" s="9">
        <f t="shared" si="17"/>
        <v>9.2222222222222214</v>
      </c>
      <c r="K159" s="140">
        <f t="shared" si="18"/>
        <v>7</v>
      </c>
      <c r="L159" s="206">
        <f t="shared" si="19"/>
        <v>8.4337349397590362</v>
      </c>
      <c r="M159" s="8" t="str">
        <f t="array" ref="M159">IF(L159&gt;5,"Perlu Sensus",IF(AND(L159&gt;=0,I159&gt;0),"Tetap Deteksi","Belum Deteksi"))</f>
        <v>Perlu Sensus</v>
      </c>
      <c r="N159" s="132">
        <v>46235</v>
      </c>
      <c r="O159" s="203">
        <v>83</v>
      </c>
      <c r="P159" s="9">
        <f t="array" ref="P159">IFERROR(O159/G159*100,0)</f>
        <v>9.2222222222222214</v>
      </c>
      <c r="Q159" s="203">
        <v>7</v>
      </c>
      <c r="R159" s="9">
        <f t="shared" si="20"/>
        <v>8.4337349397590362</v>
      </c>
      <c r="S159" s="8" t="str">
        <f t="array" ref="S159">IF(R159&gt;5,"Perlu Sensus",IF(AND(R159&gt;=0,O159&gt;0),"Tetap Deteksi","Belum Deteksi"))</f>
        <v>Perlu Sensus</v>
      </c>
      <c r="T159" s="203">
        <v>17</v>
      </c>
      <c r="U159" s="9">
        <f t="shared" si="22"/>
        <v>20.481927710843372</v>
      </c>
      <c r="V159" s="132">
        <v>46236</v>
      </c>
      <c r="W159" s="203">
        <v>83</v>
      </c>
      <c r="X159" s="203">
        <v>8</v>
      </c>
      <c r="Y159" s="9">
        <f t="shared" si="21"/>
        <v>9.6385542168674707</v>
      </c>
      <c r="Z159" s="8" t="str">
        <f t="array" ref="Z159">IF(Y159&gt;5,"Perlu Sensus",IF(AND(Y159&gt;0,,O159&gt;0),"Tetap Deteksi","Belum Deteksi"))</f>
        <v>Perlu Sensus</v>
      </c>
      <c r="AA159" s="203">
        <v>34</v>
      </c>
      <c r="AB159" s="9">
        <f t="shared" si="23"/>
        <v>40.963855421686745</v>
      </c>
    </row>
    <row r="160" spans="1:28" outlineLevel="1" x14ac:dyDescent="0.15">
      <c r="A160" s="8" t="s">
        <v>628</v>
      </c>
      <c r="B160" s="8" t="s">
        <v>14</v>
      </c>
      <c r="C160" s="8" t="s">
        <v>173</v>
      </c>
      <c r="D160" s="8" t="s">
        <v>745</v>
      </c>
      <c r="E160" s="9">
        <v>7.29</v>
      </c>
      <c r="F160" s="8" t="s">
        <v>16</v>
      </c>
      <c r="G160" s="143">
        <f t="array" ref="G160">INDEX('[23]SENSUS MEI'!$G$9:$G$453,MATCH(1,('[23]SENSUS MEI'!$D$9:$D$453=$D160)*('[23]SENSUS MEI'!$D$9:$D$453=$D160),0))</f>
        <v>866</v>
      </c>
      <c r="H160" s="132">
        <f t="shared" si="24"/>
        <v>46247</v>
      </c>
      <c r="I160" s="140">
        <f t="shared" si="24"/>
        <v>68</v>
      </c>
      <c r="J160" s="9">
        <f t="shared" si="17"/>
        <v>7.8521939953810627</v>
      </c>
      <c r="K160" s="140">
        <f t="shared" si="18"/>
        <v>5</v>
      </c>
      <c r="L160" s="206">
        <f t="shared" si="19"/>
        <v>7.3529411764705888</v>
      </c>
      <c r="M160" s="8" t="str">
        <f t="array" ref="M160">IF(L160&gt;5,"Perlu Sensus",IF(AND(L160&gt;=0,I160&gt;0),"Tetap Deteksi","Belum Deteksi"))</f>
        <v>Perlu Sensus</v>
      </c>
      <c r="N160" s="132">
        <v>46247</v>
      </c>
      <c r="O160" s="203">
        <v>68</v>
      </c>
      <c r="P160" s="9">
        <f t="array" ref="P160">IFERROR(O160/G160*100,0)</f>
        <v>7.8521939953810627</v>
      </c>
      <c r="Q160" s="203">
        <v>5</v>
      </c>
      <c r="R160" s="9">
        <f t="shared" si="20"/>
        <v>7.3529411764705888</v>
      </c>
      <c r="S160" s="8" t="str">
        <f t="array" ref="S160">IF(R160&gt;5,"Perlu Sensus",IF(AND(R160&gt;=0,O160&gt;0),"Tetap Deteksi","Belum Deteksi"))</f>
        <v>Perlu Sensus</v>
      </c>
      <c r="T160" s="203">
        <v>9</v>
      </c>
      <c r="U160" s="9">
        <f t="shared" si="22"/>
        <v>13.23529411764706</v>
      </c>
      <c r="V160" s="132">
        <v>46248</v>
      </c>
      <c r="W160" s="203">
        <v>68</v>
      </c>
      <c r="X160" s="203">
        <v>5</v>
      </c>
      <c r="Y160" s="9">
        <f t="shared" si="21"/>
        <v>7.3529411764705888</v>
      </c>
      <c r="Z160" s="8" t="str">
        <f t="array" ref="Z160">IF(Y160&gt;5,"Perlu Sensus",IF(AND(Y160&gt;0,,O160&gt;0),"Tetap Deteksi","Belum Deteksi"))</f>
        <v>Perlu Sensus</v>
      </c>
      <c r="AA160" s="203">
        <v>19</v>
      </c>
      <c r="AB160" s="9">
        <f t="shared" si="23"/>
        <v>27.941176470588236</v>
      </c>
    </row>
    <row r="161" spans="1:28" outlineLevel="1" x14ac:dyDescent="0.15">
      <c r="A161" s="8" t="s">
        <v>628</v>
      </c>
      <c r="B161" s="8" t="s">
        <v>14</v>
      </c>
      <c r="C161" s="8" t="s">
        <v>173</v>
      </c>
      <c r="D161" s="8" t="s">
        <v>506</v>
      </c>
      <c r="E161" s="9">
        <v>18.89</v>
      </c>
      <c r="F161" s="8" t="s">
        <v>16</v>
      </c>
      <c r="G161" s="143">
        <f t="array" ref="G161">INDEX('[23]SENSUS MEI'!$G$9:$G$453,MATCH(1,('[23]SENSUS MEI'!$D$9:$D$453=$D161)*('[23]SENSUS MEI'!$D$9:$D$453=$D161),0))</f>
        <v>2024</v>
      </c>
      <c r="H161" s="132">
        <f t="shared" si="24"/>
        <v>46247</v>
      </c>
      <c r="I161" s="140">
        <f t="shared" si="24"/>
        <v>82</v>
      </c>
      <c r="J161" s="9">
        <f t="shared" si="17"/>
        <v>4.0513833992094863</v>
      </c>
      <c r="K161" s="140">
        <f t="shared" si="18"/>
        <v>4</v>
      </c>
      <c r="L161" s="206">
        <f t="shared" si="19"/>
        <v>4.8780487804878048</v>
      </c>
      <c r="M161" s="8" t="str">
        <f t="array" ref="M161">IF(L161&gt;5,"Perlu Sensus",IF(AND(L161&gt;=0,I161&gt;0),"Tetap Deteksi","Belum Deteksi"))</f>
        <v>Tetap Deteksi</v>
      </c>
      <c r="N161" s="132">
        <v>46247</v>
      </c>
      <c r="O161" s="203">
        <v>82</v>
      </c>
      <c r="P161" s="9">
        <f t="array" ref="P161">IFERROR(O161/G161*100,0)</f>
        <v>4.0513833992094863</v>
      </c>
      <c r="Q161" s="203">
        <v>4</v>
      </c>
      <c r="R161" s="9">
        <f t="shared" si="20"/>
        <v>4.8780487804878048</v>
      </c>
      <c r="S161" s="8" t="str">
        <f t="array" ref="S161">IF(R161&gt;5,"Perlu Sensus",IF(AND(R161&gt;=0,O161&gt;0),"Tetap Deteksi","Belum Deteksi"))</f>
        <v>Tetap Deteksi</v>
      </c>
      <c r="T161" s="203">
        <v>4</v>
      </c>
      <c r="U161" s="9">
        <f t="shared" si="22"/>
        <v>4.8780487804878048</v>
      </c>
      <c r="V161" s="132">
        <v>46248</v>
      </c>
      <c r="W161" s="203">
        <v>92</v>
      </c>
      <c r="X161" s="203">
        <v>8</v>
      </c>
      <c r="Y161" s="9">
        <f t="shared" si="21"/>
        <v>8.695652173913043</v>
      </c>
      <c r="Z161" s="8" t="str">
        <f t="array" ref="Z161">IF(Y161&gt;5,"Perlu Sensus",IF(AND(Y161&gt;0,,O161&gt;0),"Tetap Deteksi","Belum Deteksi"))</f>
        <v>Perlu Sensus</v>
      </c>
      <c r="AA161" s="203">
        <v>9</v>
      </c>
      <c r="AB161" s="9">
        <f t="shared" si="23"/>
        <v>9.7826086956521738</v>
      </c>
    </row>
    <row r="162" spans="1:28" outlineLevel="1" x14ac:dyDescent="0.15">
      <c r="A162" s="8" t="s">
        <v>628</v>
      </c>
      <c r="B162" s="8" t="s">
        <v>14</v>
      </c>
      <c r="C162" s="8" t="s">
        <v>173</v>
      </c>
      <c r="D162" s="8" t="s">
        <v>522</v>
      </c>
      <c r="E162" s="9">
        <v>9.6300000000000008</v>
      </c>
      <c r="F162" s="8" t="s">
        <v>16</v>
      </c>
      <c r="G162" s="143">
        <f t="array" ref="G162">INDEX('[23]SENSUS MEI'!$G$9:$G$453,MATCH(1,('[23]SENSUS MEI'!$D$9:$D$453=$D162)*('[23]SENSUS MEI'!$D$9:$D$453=$D162),0))</f>
        <v>818</v>
      </c>
      <c r="H162" s="132">
        <f t="shared" si="24"/>
        <v>46247</v>
      </c>
      <c r="I162" s="140">
        <f t="shared" si="24"/>
        <v>94</v>
      </c>
      <c r="J162" s="9">
        <f t="shared" si="17"/>
        <v>11.491442542787286</v>
      </c>
      <c r="K162" s="140">
        <f t="shared" si="18"/>
        <v>3</v>
      </c>
      <c r="L162" s="206">
        <f t="shared" si="19"/>
        <v>3.1914893617021276</v>
      </c>
      <c r="M162" s="8" t="str">
        <f t="array" ref="M162">IF(L162&gt;5,"Perlu Sensus",IF(AND(L162&gt;=0,I162&gt;0),"Tetap Deteksi","Belum Deteksi"))</f>
        <v>Tetap Deteksi</v>
      </c>
      <c r="N162" s="132">
        <v>46247</v>
      </c>
      <c r="O162" s="203">
        <v>94</v>
      </c>
      <c r="P162" s="9">
        <f t="array" ref="P162">IFERROR(O162/G162*100,0)</f>
        <v>11.491442542787286</v>
      </c>
      <c r="Q162" s="203">
        <v>3</v>
      </c>
      <c r="R162" s="9">
        <f t="shared" si="20"/>
        <v>3.1914893617021276</v>
      </c>
      <c r="S162" s="8" t="str">
        <f t="array" ref="S162">IF(R162&gt;5,"Perlu Sensus",IF(AND(R162&gt;=0,O162&gt;0),"Tetap Deteksi","Belum Deteksi"))</f>
        <v>Tetap Deteksi</v>
      </c>
      <c r="T162" s="203">
        <v>3</v>
      </c>
      <c r="U162" s="9">
        <f t="shared" si="22"/>
        <v>3.1914893617021276</v>
      </c>
      <c r="V162" s="132">
        <v>46248</v>
      </c>
      <c r="W162" s="203">
        <v>104</v>
      </c>
      <c r="X162" s="203">
        <v>4</v>
      </c>
      <c r="Y162" s="9">
        <f t="shared" si="21"/>
        <v>3.8461538461538463</v>
      </c>
      <c r="Z162" s="8" t="str">
        <f t="array" ref="Z162">IF(Y162&gt;5,"Perlu Sensus",IF(AND(Y162&gt;0,,O162&gt;0),"Tetap Deteksi","Belum Deteksi"))</f>
        <v>Belum Deteksi</v>
      </c>
      <c r="AA162" s="203">
        <v>5</v>
      </c>
      <c r="AB162" s="9">
        <f t="shared" si="23"/>
        <v>4.8076923076923084</v>
      </c>
    </row>
    <row r="163" spans="1:28" outlineLevel="1" x14ac:dyDescent="0.15">
      <c r="A163" s="8" t="s">
        <v>628</v>
      </c>
      <c r="B163" s="8" t="s">
        <v>14</v>
      </c>
      <c r="C163" s="8" t="s">
        <v>173</v>
      </c>
      <c r="D163" s="8" t="s">
        <v>523</v>
      </c>
      <c r="E163" s="9">
        <v>16.03</v>
      </c>
      <c r="F163" s="8" t="s">
        <v>16</v>
      </c>
      <c r="G163" s="143">
        <f t="array" ref="G163">INDEX('[23]SENSUS MEI'!$G$9:$G$453,MATCH(1,('[23]SENSUS MEI'!$D$9:$D$453=$D163)*('[23]SENSUS MEI'!$D$9:$D$453=$D163),0))</f>
        <v>1606</v>
      </c>
      <c r="H163" s="132">
        <f t="shared" si="24"/>
        <v>46247</v>
      </c>
      <c r="I163" s="140">
        <f t="shared" si="24"/>
        <v>72</v>
      </c>
      <c r="J163" s="9">
        <f t="shared" si="17"/>
        <v>4.4831880448318806</v>
      </c>
      <c r="K163" s="140">
        <f t="shared" si="18"/>
        <v>8</v>
      </c>
      <c r="L163" s="206">
        <f t="shared" si="19"/>
        <v>11.111111111111111</v>
      </c>
      <c r="M163" s="8" t="str">
        <f t="array" ref="M163">IF(L163&gt;5,"Perlu Sensus",IF(AND(L163&gt;=0,I163&gt;0),"Tetap Deteksi","Belum Deteksi"))</f>
        <v>Perlu Sensus</v>
      </c>
      <c r="N163" s="132">
        <v>46247</v>
      </c>
      <c r="O163" s="203">
        <v>72</v>
      </c>
      <c r="P163" s="9">
        <f t="array" ref="P163">IFERROR(O163/G163*100,0)</f>
        <v>4.4831880448318806</v>
      </c>
      <c r="Q163" s="203">
        <v>8</v>
      </c>
      <c r="R163" s="9">
        <f t="shared" si="20"/>
        <v>11.111111111111111</v>
      </c>
      <c r="S163" s="8" t="str">
        <f t="array" ref="S163">IF(R163&gt;5,"Perlu Sensus",IF(AND(R163&gt;=0,O163&gt;0),"Tetap Deteksi","Belum Deteksi"))</f>
        <v>Perlu Sensus</v>
      </c>
      <c r="T163" s="203">
        <v>8</v>
      </c>
      <c r="U163" s="9">
        <f t="shared" si="22"/>
        <v>11.111111111111111</v>
      </c>
      <c r="V163" s="132">
        <v>46248</v>
      </c>
      <c r="W163" s="203">
        <v>112</v>
      </c>
      <c r="X163" s="203">
        <v>9</v>
      </c>
      <c r="Y163" s="9">
        <f t="shared" si="21"/>
        <v>8.0357142857142865</v>
      </c>
      <c r="Z163" s="8" t="str">
        <f t="array" ref="Z163">IF(Y163&gt;5,"Perlu Sensus",IF(AND(Y163&gt;0,,O163&gt;0),"Tetap Deteksi","Belum Deteksi"))</f>
        <v>Perlu Sensus</v>
      </c>
      <c r="AA163" s="203">
        <v>24</v>
      </c>
      <c r="AB163" s="9">
        <f t="shared" si="23"/>
        <v>21.428571428571427</v>
      </c>
    </row>
    <row r="164" spans="1:28" outlineLevel="1" x14ac:dyDescent="0.15">
      <c r="A164" s="8" t="s">
        <v>628</v>
      </c>
      <c r="B164" s="8" t="s">
        <v>14</v>
      </c>
      <c r="C164" s="8" t="s">
        <v>173</v>
      </c>
      <c r="D164" s="8" t="s">
        <v>746</v>
      </c>
      <c r="E164" s="9">
        <v>16.11</v>
      </c>
      <c r="F164" s="8" t="s">
        <v>16</v>
      </c>
      <c r="G164" s="143">
        <f t="array" ref="G164">INDEX('[23]SENSUS MEI'!$G$9:$G$453,MATCH(1,('[23]SENSUS MEI'!$D$9:$D$453=$D164)*('[23]SENSUS MEI'!$D$9:$D$453=$D164),0))</f>
        <v>2020</v>
      </c>
      <c r="H164" s="132">
        <f t="shared" si="24"/>
        <v>46241</v>
      </c>
      <c r="I164" s="140">
        <f t="shared" si="24"/>
        <v>90</v>
      </c>
      <c r="J164" s="9">
        <f t="shared" si="17"/>
        <v>4.455445544554455</v>
      </c>
      <c r="K164" s="140">
        <f t="shared" si="18"/>
        <v>4</v>
      </c>
      <c r="L164" s="206">
        <f t="shared" si="19"/>
        <v>4.4444444444444446</v>
      </c>
      <c r="M164" s="8" t="str">
        <f t="array" ref="M164">IF(L164&gt;5,"Perlu Sensus",IF(AND(L164&gt;=0,I164&gt;0),"Tetap Deteksi","Belum Deteksi"))</f>
        <v>Tetap Deteksi</v>
      </c>
      <c r="N164" s="132">
        <v>46241</v>
      </c>
      <c r="O164" s="203">
        <v>90</v>
      </c>
      <c r="P164" s="9">
        <f t="array" ref="P164">IFERROR(O164/G164*100,0)</f>
        <v>4.455445544554455</v>
      </c>
      <c r="Q164" s="203">
        <v>4</v>
      </c>
      <c r="R164" s="9">
        <f t="shared" si="20"/>
        <v>4.4444444444444446</v>
      </c>
      <c r="S164" s="8" t="str">
        <f t="array" ref="S164">IF(R164&gt;5,"Perlu Sensus",IF(AND(R164&gt;=0,O164&gt;0),"Tetap Deteksi","Belum Deteksi"))</f>
        <v>Tetap Deteksi</v>
      </c>
      <c r="T164" s="203">
        <v>14</v>
      </c>
      <c r="U164" s="9">
        <f t="shared" si="22"/>
        <v>15.555555555555555</v>
      </c>
      <c r="V164" s="132">
        <v>46242</v>
      </c>
      <c r="W164" s="203">
        <v>101</v>
      </c>
      <c r="X164" s="203">
        <v>5</v>
      </c>
      <c r="Y164" s="9">
        <f t="shared" si="21"/>
        <v>4.9504950495049505</v>
      </c>
      <c r="Z164" s="8" t="str">
        <f t="array" ref="Z164">IF(Y164&gt;5,"Perlu Sensus",IF(AND(Y164&gt;0,,O164&gt;0),"Tetap Deteksi","Belum Deteksi"))</f>
        <v>Belum Deteksi</v>
      </c>
      <c r="AA164" s="203">
        <v>30</v>
      </c>
      <c r="AB164" s="9">
        <f t="shared" si="23"/>
        <v>29.702970297029701</v>
      </c>
    </row>
    <row r="165" spans="1:28" outlineLevel="1" x14ac:dyDescent="0.15">
      <c r="A165" s="8" t="s">
        <v>628</v>
      </c>
      <c r="B165" s="8" t="s">
        <v>14</v>
      </c>
      <c r="C165" s="8" t="s">
        <v>173</v>
      </c>
      <c r="D165" s="8" t="s">
        <v>747</v>
      </c>
      <c r="E165" s="9">
        <v>21.89</v>
      </c>
      <c r="F165" s="8" t="s">
        <v>16</v>
      </c>
      <c r="G165" s="143">
        <f t="array" ref="G165">INDEX('[23]SENSUS MEI'!$G$9:$G$453,MATCH(1,('[23]SENSUS MEI'!$D$9:$D$453=$D165)*('[23]SENSUS MEI'!$D$9:$D$453=$D165),0))</f>
        <v>2889</v>
      </c>
      <c r="H165" s="132">
        <f t="shared" si="24"/>
        <v>46241</v>
      </c>
      <c r="I165" s="140">
        <f t="shared" si="24"/>
        <v>116</v>
      </c>
      <c r="J165" s="9">
        <f t="shared" si="17"/>
        <v>4.0152301834544826</v>
      </c>
      <c r="K165" s="140">
        <f t="shared" si="18"/>
        <v>4</v>
      </c>
      <c r="L165" s="206">
        <f t="shared" si="19"/>
        <v>3.4482758620689653</v>
      </c>
      <c r="M165" s="8" t="str">
        <f t="array" ref="M165">IF(L165&gt;5,"Perlu Sensus",IF(AND(L165&gt;=0,I165&gt;0),"Tetap Deteksi","Belum Deteksi"))</f>
        <v>Tetap Deteksi</v>
      </c>
      <c r="N165" s="132">
        <v>46241</v>
      </c>
      <c r="O165" s="203">
        <v>116</v>
      </c>
      <c r="P165" s="9">
        <f t="array" ref="P165">IFERROR(O165/G165*100,0)</f>
        <v>4.0152301834544826</v>
      </c>
      <c r="Q165" s="203">
        <v>4</v>
      </c>
      <c r="R165" s="9">
        <f t="shared" si="20"/>
        <v>3.4482758620689653</v>
      </c>
      <c r="S165" s="8" t="str">
        <f t="array" ref="S165">IF(R165&gt;5,"Perlu Sensus",IF(AND(R165&gt;=0,O165&gt;0),"Tetap Deteksi","Belum Deteksi"))</f>
        <v>Tetap Deteksi</v>
      </c>
      <c r="T165" s="203">
        <v>14</v>
      </c>
      <c r="U165" s="9">
        <f t="shared" si="22"/>
        <v>12.068965517241379</v>
      </c>
      <c r="V165" s="132">
        <v>46242</v>
      </c>
      <c r="W165" s="203">
        <v>125</v>
      </c>
      <c r="X165" s="203">
        <v>6</v>
      </c>
      <c r="Y165" s="9">
        <f t="shared" si="21"/>
        <v>4.8</v>
      </c>
      <c r="Z165" s="8" t="str">
        <f t="array" ref="Z165">IF(Y165&gt;5,"Perlu Sensus",IF(AND(Y165&gt;0,,O165&gt;0),"Tetap Deteksi","Belum Deteksi"))</f>
        <v>Belum Deteksi</v>
      </c>
      <c r="AA165" s="203">
        <v>31</v>
      </c>
      <c r="AB165" s="9">
        <f t="shared" si="23"/>
        <v>24.8</v>
      </c>
    </row>
    <row r="166" spans="1:28" outlineLevel="1" x14ac:dyDescent="0.15">
      <c r="A166" s="8" t="s">
        <v>628</v>
      </c>
      <c r="B166" s="8" t="s">
        <v>14</v>
      </c>
      <c r="C166" s="8" t="s">
        <v>173</v>
      </c>
      <c r="D166" s="8" t="s">
        <v>748</v>
      </c>
      <c r="E166" s="9">
        <v>26.7</v>
      </c>
      <c r="F166" s="8" t="s">
        <v>16</v>
      </c>
      <c r="G166" s="143">
        <f t="array" ref="G166">INDEX('[23]SENSUS MEI'!$G$9:$G$453,MATCH(1,('[23]SENSUS MEI'!$D$9:$D$453=$D166)*('[23]SENSUS MEI'!$D$9:$D$453=$D166),0))</f>
        <v>3775</v>
      </c>
      <c r="H166" s="132">
        <f t="shared" si="24"/>
        <v>46242</v>
      </c>
      <c r="I166" s="140">
        <f t="shared" si="24"/>
        <v>67</v>
      </c>
      <c r="J166" s="9">
        <f t="shared" si="17"/>
        <v>1.7748344370860929</v>
      </c>
      <c r="K166" s="140">
        <f t="shared" si="18"/>
        <v>7</v>
      </c>
      <c r="L166" s="206">
        <f t="shared" si="19"/>
        <v>10.44776119402985</v>
      </c>
      <c r="M166" s="8" t="str">
        <f t="array" ref="M166">IF(L166&gt;5,"Perlu Sensus",IF(AND(L166&gt;=0,I166&gt;0),"Tetap Deteksi","Belum Deteksi"))</f>
        <v>Perlu Sensus</v>
      </c>
      <c r="N166" s="132">
        <v>46242</v>
      </c>
      <c r="O166" s="203">
        <v>67</v>
      </c>
      <c r="P166" s="9">
        <f t="array" ref="P166">IFERROR(O166/G166*100,0)</f>
        <v>1.7748344370860929</v>
      </c>
      <c r="Q166" s="203">
        <v>7</v>
      </c>
      <c r="R166" s="9">
        <f t="shared" si="20"/>
        <v>10.44776119402985</v>
      </c>
      <c r="S166" s="8" t="str">
        <f t="array" ref="S166">IF(R166&gt;5,"Perlu Sensus",IF(AND(R166&gt;=0,O166&gt;0),"Tetap Deteksi","Belum Deteksi"))</f>
        <v>Perlu Sensus</v>
      </c>
      <c r="T166" s="203">
        <v>7</v>
      </c>
      <c r="U166" s="9">
        <f t="shared" si="22"/>
        <v>10.44776119402985</v>
      </c>
      <c r="V166" s="132">
        <v>46244</v>
      </c>
      <c r="W166" s="203">
        <v>177</v>
      </c>
      <c r="X166" s="203">
        <v>12</v>
      </c>
      <c r="Y166" s="9">
        <f t="shared" si="21"/>
        <v>6.7796610169491522</v>
      </c>
      <c r="Z166" s="8" t="str">
        <f t="array" ref="Z166">IF(Y166&gt;5,"Perlu Sensus",IF(AND(Y166&gt;0,,O166&gt;0),"Tetap Deteksi","Belum Deteksi"))</f>
        <v>Perlu Sensus</v>
      </c>
      <c r="AA166" s="203">
        <v>27</v>
      </c>
      <c r="AB166" s="9">
        <f t="shared" si="23"/>
        <v>15.254237288135593</v>
      </c>
    </row>
    <row r="167" spans="1:28" outlineLevel="1" x14ac:dyDescent="0.15">
      <c r="A167" s="8" t="s">
        <v>628</v>
      </c>
      <c r="B167" s="8" t="s">
        <v>14</v>
      </c>
      <c r="C167" s="8" t="s">
        <v>173</v>
      </c>
      <c r="D167" s="8" t="s">
        <v>749</v>
      </c>
      <c r="E167" s="9">
        <v>31.5</v>
      </c>
      <c r="F167" s="8" t="s">
        <v>16</v>
      </c>
      <c r="G167" s="143">
        <f t="array" ref="G167">INDEX('[23]SENSUS MEI'!$G$9:$G$453,MATCH(1,('[23]SENSUS MEI'!$D$9:$D$453=$D167)*('[23]SENSUS MEI'!$D$9:$D$453=$D167),0))</f>
        <v>4620</v>
      </c>
      <c r="H167" s="132">
        <f t="shared" si="24"/>
        <v>46242</v>
      </c>
      <c r="I167" s="140">
        <f t="shared" si="24"/>
        <v>111</v>
      </c>
      <c r="J167" s="9">
        <f t="shared" si="17"/>
        <v>2.4025974025974026</v>
      </c>
      <c r="K167" s="140">
        <f t="shared" si="18"/>
        <v>5</v>
      </c>
      <c r="L167" s="206">
        <f t="shared" si="19"/>
        <v>4.5045045045045047</v>
      </c>
      <c r="M167" s="8" t="str">
        <f t="array" ref="M167">IF(L167&gt;5,"Perlu Sensus",IF(AND(L167&gt;=0,I167&gt;0),"Tetap Deteksi","Belum Deteksi"))</f>
        <v>Tetap Deteksi</v>
      </c>
      <c r="N167" s="132">
        <v>46242</v>
      </c>
      <c r="O167" s="203">
        <v>111</v>
      </c>
      <c r="P167" s="9">
        <f t="array" ref="P167">IFERROR(O167/G167*100,0)</f>
        <v>2.4025974025974026</v>
      </c>
      <c r="Q167" s="203">
        <v>5</v>
      </c>
      <c r="R167" s="9">
        <f t="shared" si="20"/>
        <v>4.5045045045045047</v>
      </c>
      <c r="S167" s="8" t="str">
        <f t="array" ref="S167">IF(R167&gt;5,"Perlu Sensus",IF(AND(R167&gt;=0,O167&gt;0),"Tetap Deteksi","Belum Deteksi"))</f>
        <v>Tetap Deteksi</v>
      </c>
      <c r="T167" s="203">
        <v>5</v>
      </c>
      <c r="U167" s="9">
        <f t="shared" si="22"/>
        <v>4.5045045045045047</v>
      </c>
      <c r="V167" s="132">
        <v>46244</v>
      </c>
      <c r="W167" s="203">
        <v>111</v>
      </c>
      <c r="X167" s="203">
        <v>4</v>
      </c>
      <c r="Y167" s="9">
        <f t="shared" si="21"/>
        <v>3.6036036036036037</v>
      </c>
      <c r="Z167" s="8" t="str">
        <f t="array" ref="Z167">IF(Y167&gt;5,"Perlu Sensus",IF(AND(Y167&gt;0,,O167&gt;0),"Tetap Deteksi","Belum Deteksi"))</f>
        <v>Belum Deteksi</v>
      </c>
      <c r="AA167" s="203">
        <v>6</v>
      </c>
      <c r="AB167" s="9">
        <f t="shared" si="23"/>
        <v>5.4054054054054053</v>
      </c>
    </row>
    <row r="168" spans="1:28" hidden="1" outlineLevel="1" x14ac:dyDescent="0.15">
      <c r="A168" s="8" t="s">
        <v>628</v>
      </c>
      <c r="B168" s="8" t="s">
        <v>14</v>
      </c>
      <c r="C168" s="8" t="s">
        <v>173</v>
      </c>
      <c r="D168" s="8" t="s">
        <v>750</v>
      </c>
      <c r="E168" s="9">
        <v>26.81</v>
      </c>
      <c r="F168" s="8" t="s">
        <v>16</v>
      </c>
      <c r="G168" s="143">
        <f t="array" ref="G168">INDEX('[23]SENSUS MEI'!$G$9:$G$453,MATCH(1,('[23]SENSUS MEI'!$D$9:$D$453=$D168)*('[23]SENSUS MEI'!$D$9:$D$453=$D168),0))</f>
        <v>3898</v>
      </c>
      <c r="H168" s="132" t="str">
        <f t="shared" si="24"/>
        <v>13.14 Aug 26</v>
      </c>
      <c r="I168" s="140">
        <f t="shared" si="24"/>
        <v>116</v>
      </c>
      <c r="J168" s="9">
        <f t="shared" si="17"/>
        <v>2.9758850692662904</v>
      </c>
      <c r="K168" s="140">
        <f t="shared" si="18"/>
        <v>5</v>
      </c>
      <c r="L168" s="206">
        <f t="shared" si="19"/>
        <v>4.3103448275862073</v>
      </c>
      <c r="M168" s="8" t="str">
        <f t="array" ref="M168">IF(L168&gt;5,"Perlu Sensus",IF(AND(L168&gt;=0,I168&gt;0),"Tetap Deteksi","Belum Deteksi"))</f>
        <v>Tetap Deteksi</v>
      </c>
      <c r="N168" s="132" t="s">
        <v>2288</v>
      </c>
      <c r="O168" s="203">
        <v>116</v>
      </c>
      <c r="P168" s="9">
        <f t="array" ref="P168">IFERROR(O168/G168*100,0)</f>
        <v>2.9758850692662904</v>
      </c>
      <c r="Q168" s="203">
        <v>5</v>
      </c>
      <c r="R168" s="9">
        <f t="shared" si="20"/>
        <v>4.3103448275862073</v>
      </c>
      <c r="S168" s="8" t="str">
        <f t="array" ref="S168">IF(R168&gt;5,"Perlu Sensus",IF(AND(R168&gt;=0,O168&gt;0),"Tetap Deteksi","Belum Deteksi"))</f>
        <v>Tetap Deteksi</v>
      </c>
      <c r="T168" s="203">
        <v>10</v>
      </c>
      <c r="U168" s="9">
        <f t="shared" si="22"/>
        <v>8.6206896551724146</v>
      </c>
      <c r="V168" s="132">
        <v>46244</v>
      </c>
      <c r="W168" s="203">
        <v>116</v>
      </c>
      <c r="X168" s="203">
        <v>8</v>
      </c>
      <c r="Y168" s="9">
        <f t="shared" si="21"/>
        <v>6.8965517241379306</v>
      </c>
      <c r="Z168" s="8" t="str">
        <f t="array" ref="Z168">IF(Y168&gt;5,"Perlu Sensus",IF(AND(Y168&gt;0,,O168&gt;0),"Tetap Deteksi","Belum Deteksi"))</f>
        <v>Perlu Sensus</v>
      </c>
      <c r="AA168" s="203">
        <v>18</v>
      </c>
      <c r="AB168" s="9">
        <f t="shared" si="23"/>
        <v>15.517241379310345</v>
      </c>
    </row>
    <row r="169" spans="1:28" outlineLevel="1" x14ac:dyDescent="0.15">
      <c r="A169" s="8" t="s">
        <v>628</v>
      </c>
      <c r="B169" s="8" t="s">
        <v>14</v>
      </c>
      <c r="C169" s="8" t="s">
        <v>173</v>
      </c>
      <c r="D169" s="8" t="s">
        <v>751</v>
      </c>
      <c r="E169" s="9">
        <v>23.54</v>
      </c>
      <c r="F169" s="8" t="s">
        <v>16</v>
      </c>
      <c r="G169" s="143">
        <f t="array" ref="G169">INDEX('[23]SENSUS MEI'!$G$9:$G$453,MATCH(1,('[23]SENSUS MEI'!$D$9:$D$453=$D169)*('[23]SENSUS MEI'!$D$9:$D$453=$D169),0))</f>
        <v>3334</v>
      </c>
      <c r="H169" s="132">
        <f t="shared" si="24"/>
        <v>46249</v>
      </c>
      <c r="I169" s="140">
        <f t="shared" si="24"/>
        <v>113</v>
      </c>
      <c r="J169" s="9">
        <f t="shared" si="17"/>
        <v>3.3893221355728858</v>
      </c>
      <c r="K169" s="140">
        <f t="shared" si="18"/>
        <v>4</v>
      </c>
      <c r="L169" s="206">
        <f t="shared" si="19"/>
        <v>3.5398230088495577</v>
      </c>
      <c r="M169" s="8" t="str">
        <f t="array" ref="M169">IF(L169&gt;5,"Perlu Sensus",IF(AND(L169&gt;=0,I169&gt;0),"Tetap Deteksi","Belum Deteksi"))</f>
        <v>Tetap Deteksi</v>
      </c>
      <c r="N169" s="132">
        <v>46249</v>
      </c>
      <c r="O169" s="203">
        <v>113</v>
      </c>
      <c r="P169" s="9">
        <f t="array" ref="P169">IFERROR(O169/G169*100,0)</f>
        <v>3.3893221355728858</v>
      </c>
      <c r="Q169" s="203">
        <v>4</v>
      </c>
      <c r="R169" s="9">
        <f t="shared" si="20"/>
        <v>3.5398230088495577</v>
      </c>
      <c r="S169" s="8" t="str">
        <f t="array" ref="S169">IF(R169&gt;5,"Perlu Sensus",IF(AND(R169&gt;=0,O169&gt;0),"Tetap Deteksi","Belum Deteksi"))</f>
        <v>Tetap Deteksi</v>
      </c>
      <c r="T169" s="203">
        <v>21</v>
      </c>
      <c r="U169" s="9">
        <f t="shared" si="22"/>
        <v>18.584070796460178</v>
      </c>
      <c r="V169" s="132">
        <v>46250</v>
      </c>
      <c r="W169" s="203">
        <v>113</v>
      </c>
      <c r="X169" s="203">
        <v>9</v>
      </c>
      <c r="Y169" s="9">
        <f t="shared" si="21"/>
        <v>7.9646017699115044</v>
      </c>
      <c r="Z169" s="8" t="str">
        <f t="array" ref="Z169">IF(Y169&gt;5,"Perlu Sensus",IF(AND(Y169&gt;0,,O169&gt;0),"Tetap Deteksi","Belum Deteksi"))</f>
        <v>Perlu Sensus</v>
      </c>
      <c r="AA169" s="203">
        <v>21</v>
      </c>
      <c r="AB169" s="9">
        <f t="shared" si="23"/>
        <v>18.584070796460178</v>
      </c>
    </row>
    <row r="170" spans="1:28" outlineLevel="1" x14ac:dyDescent="0.15">
      <c r="A170" s="8" t="s">
        <v>628</v>
      </c>
      <c r="B170" s="8" t="s">
        <v>14</v>
      </c>
      <c r="C170" s="8" t="s">
        <v>173</v>
      </c>
      <c r="D170" s="8" t="s">
        <v>752</v>
      </c>
      <c r="E170" s="9">
        <v>7.74</v>
      </c>
      <c r="F170" s="8" t="s">
        <v>16</v>
      </c>
      <c r="G170" s="143">
        <f t="array" ref="G170">INDEX('[23]SENSUS MEI'!$G$9:$G$453,MATCH(1,('[23]SENSUS MEI'!$D$9:$D$453=$D170)*('[23]SENSUS MEI'!$D$9:$D$453=$D170),0))</f>
        <v>1459</v>
      </c>
      <c r="H170" s="132">
        <f t="shared" si="24"/>
        <v>46248</v>
      </c>
      <c r="I170" s="140">
        <f t="shared" si="24"/>
        <v>89</v>
      </c>
      <c r="J170" s="9">
        <f t="shared" si="17"/>
        <v>6.1000685400959567</v>
      </c>
      <c r="K170" s="140">
        <f t="shared" si="18"/>
        <v>4</v>
      </c>
      <c r="L170" s="206">
        <f t="shared" si="19"/>
        <v>4.4943820224719104</v>
      </c>
      <c r="M170" s="8" t="str">
        <f t="array" ref="M170">IF(L170&gt;5,"Perlu Sensus",IF(AND(L170&gt;=0,I170&gt;0),"Tetap Deteksi","Belum Deteksi"))</f>
        <v>Tetap Deteksi</v>
      </c>
      <c r="N170" s="132">
        <v>46248</v>
      </c>
      <c r="O170" s="203">
        <v>89</v>
      </c>
      <c r="P170" s="9">
        <f t="array" ref="P170">IFERROR(O170/G170*100,0)</f>
        <v>6.1000685400959567</v>
      </c>
      <c r="Q170" s="203">
        <v>4</v>
      </c>
      <c r="R170" s="9">
        <f t="shared" si="20"/>
        <v>4.4943820224719104</v>
      </c>
      <c r="S170" s="8" t="str">
        <f t="array" ref="S170">IF(R170&gt;5,"Perlu Sensus",IF(AND(R170&gt;=0,O170&gt;0),"Tetap Deteksi","Belum Deteksi"))</f>
        <v>Tetap Deteksi</v>
      </c>
      <c r="T170" s="203">
        <v>8</v>
      </c>
      <c r="U170" s="9">
        <f t="shared" si="22"/>
        <v>8.9887640449438209</v>
      </c>
      <c r="V170" s="132">
        <v>46249</v>
      </c>
      <c r="W170" s="203">
        <v>94</v>
      </c>
      <c r="X170" s="203">
        <v>9</v>
      </c>
      <c r="Y170" s="9">
        <f t="shared" si="21"/>
        <v>9.5744680851063837</v>
      </c>
      <c r="Z170" s="8" t="str">
        <f t="array" ref="Z170">IF(Y170&gt;5,"Perlu Sensus",IF(AND(Y170&gt;0,,O170&gt;0),"Tetap Deteksi","Belum Deteksi"))</f>
        <v>Perlu Sensus</v>
      </c>
      <c r="AA170" s="203">
        <v>19</v>
      </c>
      <c r="AB170" s="9">
        <f t="shared" si="23"/>
        <v>20.212765957446805</v>
      </c>
    </row>
    <row r="171" spans="1:28" outlineLevel="1" x14ac:dyDescent="0.15">
      <c r="A171" s="8" t="s">
        <v>628</v>
      </c>
      <c r="B171" s="8" t="s">
        <v>14</v>
      </c>
      <c r="C171" s="8" t="s">
        <v>173</v>
      </c>
      <c r="D171" s="8" t="s">
        <v>753</v>
      </c>
      <c r="E171" s="9">
        <v>5.79</v>
      </c>
      <c r="F171" s="8" t="s">
        <v>16</v>
      </c>
      <c r="G171" s="143">
        <f t="array" ref="G171">INDEX('[23]SENSUS MEI'!$G$9:$G$453,MATCH(1,('[23]SENSUS MEI'!$D$9:$D$453=$D171)*('[23]SENSUS MEI'!$D$9:$D$453=$D171),0))</f>
        <v>1058</v>
      </c>
      <c r="H171" s="132">
        <f t="shared" si="24"/>
        <v>46248</v>
      </c>
      <c r="I171" s="140">
        <f t="shared" si="24"/>
        <v>84</v>
      </c>
      <c r="J171" s="9">
        <f t="shared" si="17"/>
        <v>7.9395085066162565</v>
      </c>
      <c r="K171" s="140">
        <f t="shared" si="18"/>
        <v>3</v>
      </c>
      <c r="L171" s="206">
        <f t="shared" si="19"/>
        <v>3.5714285714285712</v>
      </c>
      <c r="M171" s="8" t="str">
        <f t="array" ref="M171">IF(L171&gt;5,"Perlu Sensus",IF(AND(L171&gt;=0,I171&gt;0),"Tetap Deteksi","Belum Deteksi"))</f>
        <v>Tetap Deteksi</v>
      </c>
      <c r="N171" s="132">
        <v>46248</v>
      </c>
      <c r="O171" s="203">
        <v>84</v>
      </c>
      <c r="P171" s="9">
        <f t="array" ref="P171">IFERROR(O171/G171*100,0)</f>
        <v>7.9395085066162565</v>
      </c>
      <c r="Q171" s="203">
        <v>3</v>
      </c>
      <c r="R171" s="9">
        <f t="shared" si="20"/>
        <v>3.5714285714285712</v>
      </c>
      <c r="S171" s="8" t="str">
        <f t="array" ref="S171">IF(R171&gt;5,"Perlu Sensus",IF(AND(R171&gt;=0,O171&gt;0),"Tetap Deteksi","Belum Deteksi"))</f>
        <v>Tetap Deteksi</v>
      </c>
      <c r="T171" s="203">
        <v>10</v>
      </c>
      <c r="U171" s="9">
        <f t="shared" si="22"/>
        <v>11.904761904761903</v>
      </c>
      <c r="V171" s="132">
        <v>46249</v>
      </c>
      <c r="W171" s="203">
        <v>94</v>
      </c>
      <c r="X171" s="203">
        <v>7</v>
      </c>
      <c r="Y171" s="9">
        <f t="shared" si="21"/>
        <v>7.4468085106382977</v>
      </c>
      <c r="Z171" s="8" t="str">
        <f t="array" ref="Z171">IF(Y171&gt;5,"Perlu Sensus",IF(AND(Y171&gt;0,,O171&gt;0),"Tetap Deteksi","Belum Deteksi"))</f>
        <v>Perlu Sensus</v>
      </c>
      <c r="AA171" s="203">
        <v>15</v>
      </c>
      <c r="AB171" s="9">
        <f t="shared" si="23"/>
        <v>15.957446808510639</v>
      </c>
    </row>
    <row r="172" spans="1:28" outlineLevel="1" x14ac:dyDescent="0.15">
      <c r="A172" s="8" t="s">
        <v>628</v>
      </c>
      <c r="B172" s="8" t="s">
        <v>14</v>
      </c>
      <c r="C172" s="8" t="s">
        <v>173</v>
      </c>
      <c r="D172" s="8" t="s">
        <v>754</v>
      </c>
      <c r="E172" s="9">
        <v>9.2200000000000006</v>
      </c>
      <c r="F172" s="8" t="s">
        <v>16</v>
      </c>
      <c r="G172" s="143">
        <f t="array" ref="G172">INDEX('[23]SENSUS MEI'!$G$9:$G$453,MATCH(1,('[23]SENSUS MEI'!$D$9:$D$453=$D172)*('[23]SENSUS MEI'!$D$9:$D$453=$D172),0))</f>
        <v>1860</v>
      </c>
      <c r="H172" s="132">
        <f t="shared" si="24"/>
        <v>46247</v>
      </c>
      <c r="I172" s="140">
        <f t="shared" si="24"/>
        <v>89</v>
      </c>
      <c r="J172" s="9">
        <f t="shared" si="17"/>
        <v>4.78494623655914</v>
      </c>
      <c r="K172" s="140">
        <f t="shared" si="18"/>
        <v>4</v>
      </c>
      <c r="L172" s="206">
        <f t="shared" si="19"/>
        <v>4.4943820224719104</v>
      </c>
      <c r="M172" s="8" t="str">
        <f t="array" ref="M172">IF(L172&gt;5,"Perlu Sensus",IF(AND(L172&gt;=0,I172&gt;0),"Tetap Deteksi","Belum Deteksi"))</f>
        <v>Tetap Deteksi</v>
      </c>
      <c r="N172" s="132">
        <v>46247</v>
      </c>
      <c r="O172" s="203">
        <v>89</v>
      </c>
      <c r="P172" s="9">
        <f t="array" ref="P172">IFERROR(O172/G172*100,0)</f>
        <v>4.78494623655914</v>
      </c>
      <c r="Q172" s="203">
        <v>4</v>
      </c>
      <c r="R172" s="9">
        <f t="shared" si="20"/>
        <v>4.4943820224719104</v>
      </c>
      <c r="S172" s="8" t="str">
        <f t="array" ref="S172">IF(R172&gt;5,"Perlu Sensus",IF(AND(R172&gt;=0,O172&gt;0),"Tetap Deteksi","Belum Deteksi"))</f>
        <v>Tetap Deteksi</v>
      </c>
      <c r="T172" s="203">
        <v>15</v>
      </c>
      <c r="U172" s="9">
        <f t="shared" si="22"/>
        <v>16.853932584269664</v>
      </c>
      <c r="V172" s="132">
        <v>46248</v>
      </c>
      <c r="W172" s="203">
        <v>99</v>
      </c>
      <c r="X172" s="203">
        <v>8</v>
      </c>
      <c r="Y172" s="9">
        <f t="shared" si="21"/>
        <v>8.0808080808080813</v>
      </c>
      <c r="Z172" s="8" t="str">
        <f t="array" ref="Z172">IF(Y172&gt;5,"Perlu Sensus",IF(AND(Y172&gt;0,,O172&gt;0),"Tetap Deteksi","Belum Deteksi"))</f>
        <v>Perlu Sensus</v>
      </c>
      <c r="AA172" s="203">
        <v>19</v>
      </c>
      <c r="AB172" s="9">
        <f t="shared" si="23"/>
        <v>19.19191919191919</v>
      </c>
    </row>
    <row r="173" spans="1:28" outlineLevel="1" x14ac:dyDescent="0.15">
      <c r="A173" s="8" t="s">
        <v>628</v>
      </c>
      <c r="B173" s="8" t="s">
        <v>14</v>
      </c>
      <c r="C173" s="8" t="s">
        <v>173</v>
      </c>
      <c r="D173" s="8" t="s">
        <v>755</v>
      </c>
      <c r="E173" s="9">
        <v>21.49</v>
      </c>
      <c r="F173" s="8" t="s">
        <v>16</v>
      </c>
      <c r="G173" s="143">
        <f t="array" ref="G173">INDEX('[23]SENSUS MEI'!$G$9:$G$453,MATCH(1,('[23]SENSUS MEI'!$D$9:$D$453=$D173)*('[23]SENSUS MEI'!$D$9:$D$453=$D173),0))</f>
        <v>2582</v>
      </c>
      <c r="H173" s="132">
        <f t="shared" si="24"/>
        <v>46247</v>
      </c>
      <c r="I173" s="140">
        <f t="shared" si="24"/>
        <v>104</v>
      </c>
      <c r="J173" s="9">
        <f t="shared" si="17"/>
        <v>4.0278853601859028</v>
      </c>
      <c r="K173" s="140">
        <f t="shared" si="18"/>
        <v>4</v>
      </c>
      <c r="L173" s="206">
        <f t="shared" si="19"/>
        <v>3.8461538461538463</v>
      </c>
      <c r="M173" s="8" t="str">
        <f t="array" ref="M173">IF(L173&gt;5,"Perlu Sensus",IF(AND(L173&gt;=0,I173&gt;0),"Tetap Deteksi","Belum Deteksi"))</f>
        <v>Tetap Deteksi</v>
      </c>
      <c r="N173" s="132">
        <v>46247</v>
      </c>
      <c r="O173" s="203">
        <v>104</v>
      </c>
      <c r="P173" s="9">
        <f t="array" ref="P173">IFERROR(O173/G173*100,0)</f>
        <v>4.0278853601859028</v>
      </c>
      <c r="Q173" s="203">
        <v>4</v>
      </c>
      <c r="R173" s="9">
        <f t="shared" si="20"/>
        <v>3.8461538461538463</v>
      </c>
      <c r="S173" s="8" t="str">
        <f t="array" ref="S173">IF(R173&gt;5,"Perlu Sensus",IF(AND(R173&gt;=0,O173&gt;0),"Tetap Deteksi","Belum Deteksi"))</f>
        <v>Tetap Deteksi</v>
      </c>
      <c r="T173" s="203">
        <v>11</v>
      </c>
      <c r="U173" s="9">
        <f t="shared" si="22"/>
        <v>10.576923076923077</v>
      </c>
      <c r="V173" s="132">
        <v>46248</v>
      </c>
      <c r="W173" s="203">
        <v>108</v>
      </c>
      <c r="X173" s="203">
        <v>6</v>
      </c>
      <c r="Y173" s="9">
        <f t="shared" si="21"/>
        <v>5.5555555555555554</v>
      </c>
      <c r="Z173" s="8" t="str">
        <f t="array" ref="Z173">IF(Y173&gt;5,"Perlu Sensus",IF(AND(Y173&gt;0,,O173&gt;0),"Tetap Deteksi","Belum Deteksi"))</f>
        <v>Perlu Sensus</v>
      </c>
      <c r="AA173" s="203">
        <v>22</v>
      </c>
      <c r="AB173" s="9">
        <f t="shared" si="23"/>
        <v>20.37037037037037</v>
      </c>
    </row>
    <row r="174" spans="1:28" outlineLevel="1" x14ac:dyDescent="0.15">
      <c r="A174" s="8" t="s">
        <v>628</v>
      </c>
      <c r="B174" s="8" t="s">
        <v>14</v>
      </c>
      <c r="C174" s="8" t="s">
        <v>173</v>
      </c>
      <c r="D174" s="8" t="s">
        <v>756</v>
      </c>
      <c r="E174" s="9">
        <v>20.059999999999999</v>
      </c>
      <c r="F174" s="8" t="s">
        <v>16</v>
      </c>
      <c r="G174" s="143">
        <f t="array" ref="G174">INDEX('[23]SENSUS MEI'!$G$9:$G$453,MATCH(1,('[23]SENSUS MEI'!$D$9:$D$453=$D174)*('[23]SENSUS MEI'!$D$9:$D$453=$D174),0))</f>
        <v>2502</v>
      </c>
      <c r="H174" s="132">
        <f t="shared" si="24"/>
        <v>46247</v>
      </c>
      <c r="I174" s="140">
        <f t="shared" si="24"/>
        <v>92</v>
      </c>
      <c r="J174" s="9">
        <f t="shared" si="17"/>
        <v>3.6770583533173458</v>
      </c>
      <c r="K174" s="140">
        <f t="shared" si="18"/>
        <v>5</v>
      </c>
      <c r="L174" s="206">
        <f t="shared" si="19"/>
        <v>5.4347826086956523</v>
      </c>
      <c r="M174" s="8" t="str">
        <f t="array" ref="M174">IF(L174&gt;5,"Perlu Sensus",IF(AND(L174&gt;=0,I174&gt;0),"Tetap Deteksi","Belum Deteksi"))</f>
        <v>Perlu Sensus</v>
      </c>
      <c r="N174" s="132">
        <v>46247</v>
      </c>
      <c r="O174" s="203">
        <v>92</v>
      </c>
      <c r="P174" s="9">
        <f t="array" ref="P174">IFERROR(O174/G174*100,0)</f>
        <v>3.6770583533173458</v>
      </c>
      <c r="Q174" s="203">
        <v>5</v>
      </c>
      <c r="R174" s="9">
        <f t="shared" si="20"/>
        <v>5.4347826086956523</v>
      </c>
      <c r="S174" s="8" t="str">
        <f t="array" ref="S174">IF(R174&gt;5,"Perlu Sensus",IF(AND(R174&gt;=0,O174&gt;0),"Tetap Deteksi","Belum Deteksi"))</f>
        <v>Perlu Sensus</v>
      </c>
      <c r="T174" s="203">
        <v>7</v>
      </c>
      <c r="U174" s="9">
        <f t="shared" si="22"/>
        <v>7.608695652173914</v>
      </c>
      <c r="V174" s="132">
        <v>46248</v>
      </c>
      <c r="W174" s="203">
        <v>102</v>
      </c>
      <c r="X174" s="203">
        <v>8</v>
      </c>
      <c r="Y174" s="9">
        <f t="shared" si="21"/>
        <v>7.8431372549019605</v>
      </c>
      <c r="Z174" s="8" t="str">
        <f t="array" ref="Z174">IF(Y174&gt;5,"Perlu Sensus",IF(AND(Y174&gt;0,,O174&gt;0),"Tetap Deteksi","Belum Deteksi"))</f>
        <v>Perlu Sensus</v>
      </c>
      <c r="AA174" s="203">
        <v>18</v>
      </c>
      <c r="AB174" s="9">
        <f t="shared" si="23"/>
        <v>17.647058823529413</v>
      </c>
    </row>
    <row r="175" spans="1:28" outlineLevel="1" x14ac:dyDescent="0.15">
      <c r="A175" s="8" t="s">
        <v>628</v>
      </c>
      <c r="B175" s="8" t="s">
        <v>14</v>
      </c>
      <c r="C175" s="8" t="s">
        <v>173</v>
      </c>
      <c r="D175" s="8" t="s">
        <v>757</v>
      </c>
      <c r="E175" s="9">
        <v>20.45</v>
      </c>
      <c r="F175" s="8" t="s">
        <v>16</v>
      </c>
      <c r="G175" s="143">
        <f t="array" ref="G175">INDEX('[23]SENSUS MEI'!$G$9:$G$453,MATCH(1,('[23]SENSUS MEI'!$D$9:$D$453=$D175)*('[23]SENSUS MEI'!$D$9:$D$453=$D175),0))</f>
        <v>2176</v>
      </c>
      <c r="H175" s="132">
        <f t="shared" si="24"/>
        <v>46240</v>
      </c>
      <c r="I175" s="140">
        <f t="shared" si="24"/>
        <v>86</v>
      </c>
      <c r="J175" s="9">
        <f t="shared" si="17"/>
        <v>3.9522058823529411</v>
      </c>
      <c r="K175" s="140">
        <f t="shared" si="18"/>
        <v>7</v>
      </c>
      <c r="L175" s="206">
        <f t="shared" si="19"/>
        <v>8.1395348837209305</v>
      </c>
      <c r="M175" s="8" t="str">
        <f t="array" ref="M175">IF(L175&gt;5,"Perlu Sensus",IF(AND(L175&gt;=0,I175&gt;0),"Tetap Deteksi","Belum Deteksi"))</f>
        <v>Perlu Sensus</v>
      </c>
      <c r="N175" s="132">
        <v>46240</v>
      </c>
      <c r="O175" s="203">
        <v>86</v>
      </c>
      <c r="P175" s="9">
        <f t="array" ref="P175">IFERROR(O175/G175*100,0)</f>
        <v>3.9522058823529411</v>
      </c>
      <c r="Q175" s="203">
        <v>7</v>
      </c>
      <c r="R175" s="9">
        <f t="shared" si="20"/>
        <v>8.1395348837209305</v>
      </c>
      <c r="S175" s="8" t="str">
        <f t="array" ref="S175">IF(R175&gt;5,"Perlu Sensus",IF(AND(R175&gt;=0,O175&gt;0),"Tetap Deteksi","Belum Deteksi"))</f>
        <v>Perlu Sensus</v>
      </c>
      <c r="T175" s="203">
        <v>15</v>
      </c>
      <c r="U175" s="9">
        <f t="shared" si="22"/>
        <v>17.441860465116278</v>
      </c>
      <c r="V175" s="132">
        <v>46241</v>
      </c>
      <c r="W175" s="203">
        <v>106</v>
      </c>
      <c r="X175" s="203">
        <v>9</v>
      </c>
      <c r="Y175" s="9">
        <f t="shared" si="21"/>
        <v>8.4905660377358494</v>
      </c>
      <c r="Z175" s="8" t="str">
        <f t="array" ref="Z175">IF(Y175&gt;5,"Perlu Sensus",IF(AND(Y175&gt;0,,O175&gt;0),"Tetap Deteksi","Belum Deteksi"))</f>
        <v>Perlu Sensus</v>
      </c>
      <c r="AA175" s="203">
        <v>34</v>
      </c>
      <c r="AB175" s="9">
        <f t="shared" si="23"/>
        <v>32.075471698113205</v>
      </c>
    </row>
    <row r="176" spans="1:28" outlineLevel="1" x14ac:dyDescent="0.15">
      <c r="A176" s="8" t="s">
        <v>628</v>
      </c>
      <c r="B176" s="8" t="s">
        <v>14</v>
      </c>
      <c r="C176" s="8" t="s">
        <v>173</v>
      </c>
      <c r="D176" s="8" t="s">
        <v>758</v>
      </c>
      <c r="E176" s="9">
        <v>20.7</v>
      </c>
      <c r="F176" s="8" t="s">
        <v>16</v>
      </c>
      <c r="G176" s="143">
        <f t="array" ref="G176">INDEX('[23]SENSUS MEI'!$G$9:$G$453,MATCH(1,('[23]SENSUS MEI'!$D$9:$D$453=$D176)*('[23]SENSUS MEI'!$D$9:$D$453=$D176),0))</f>
        <v>2268</v>
      </c>
      <c r="H176" s="132">
        <f t="shared" si="24"/>
        <v>46240</v>
      </c>
      <c r="I176" s="140">
        <f t="shared" si="24"/>
        <v>99</v>
      </c>
      <c r="J176" s="9">
        <f t="shared" si="17"/>
        <v>4.3650793650793647</v>
      </c>
      <c r="K176" s="140">
        <f t="shared" si="18"/>
        <v>5</v>
      </c>
      <c r="L176" s="206">
        <f t="shared" si="19"/>
        <v>5.0505050505050502</v>
      </c>
      <c r="M176" s="8" t="str">
        <f t="array" ref="M176">IF(L176&gt;5,"Perlu Sensus",IF(AND(L176&gt;=0,I176&gt;0),"Tetap Deteksi","Belum Deteksi"))</f>
        <v>Perlu Sensus</v>
      </c>
      <c r="N176" s="132">
        <v>46240</v>
      </c>
      <c r="O176" s="203">
        <v>99</v>
      </c>
      <c r="P176" s="9">
        <f t="array" ref="P176">IFERROR(O176/G176*100,0)</f>
        <v>4.3650793650793647</v>
      </c>
      <c r="Q176" s="203">
        <v>5</v>
      </c>
      <c r="R176" s="9">
        <f t="shared" si="20"/>
        <v>5.0505050505050502</v>
      </c>
      <c r="S176" s="8" t="str">
        <f t="array" ref="S176">IF(R176&gt;5,"Perlu Sensus",IF(AND(R176&gt;=0,O176&gt;0),"Tetap Deteksi","Belum Deteksi"))</f>
        <v>Perlu Sensus</v>
      </c>
      <c r="T176" s="203">
        <v>8</v>
      </c>
      <c r="U176" s="9">
        <f t="shared" si="22"/>
        <v>8.0808080808080813</v>
      </c>
      <c r="V176" s="132">
        <v>46241</v>
      </c>
      <c r="W176" s="203">
        <v>179</v>
      </c>
      <c r="X176" s="203">
        <v>14</v>
      </c>
      <c r="Y176" s="9">
        <f t="shared" si="21"/>
        <v>7.8212290502793298</v>
      </c>
      <c r="Z176" s="8" t="str">
        <f t="array" ref="Z176">IF(Y176&gt;5,"Perlu Sensus",IF(AND(Y176&gt;0,,O176&gt;0),"Tetap Deteksi","Belum Deteksi"))</f>
        <v>Perlu Sensus</v>
      </c>
      <c r="AA176" s="203">
        <v>34</v>
      </c>
      <c r="AB176" s="9">
        <f t="shared" si="23"/>
        <v>18.994413407821227</v>
      </c>
    </row>
    <row r="177" spans="1:28" outlineLevel="1" x14ac:dyDescent="0.15">
      <c r="A177" s="8" t="s">
        <v>628</v>
      </c>
      <c r="B177" s="8" t="s">
        <v>14</v>
      </c>
      <c r="C177" s="8" t="s">
        <v>173</v>
      </c>
      <c r="D177" s="8" t="s">
        <v>759</v>
      </c>
      <c r="E177" s="9">
        <v>5.31</v>
      </c>
      <c r="F177" s="8" t="s">
        <v>16</v>
      </c>
      <c r="G177" s="143">
        <f t="array" ref="G177">INDEX('[23]SENSUS MEI'!$G$9:$G$453,MATCH(1,('[23]SENSUS MEI'!$D$9:$D$453=$D177)*('[23]SENSUS MEI'!$D$9:$D$453=$D177),0))</f>
        <v>806</v>
      </c>
      <c r="H177" s="132">
        <f t="shared" si="24"/>
        <v>46240</v>
      </c>
      <c r="I177" s="140">
        <f t="shared" si="24"/>
        <v>107</v>
      </c>
      <c r="J177" s="9">
        <f t="shared" si="17"/>
        <v>13.275434243176178</v>
      </c>
      <c r="K177" s="140">
        <f t="shared" si="18"/>
        <v>7</v>
      </c>
      <c r="L177" s="206">
        <f t="shared" si="19"/>
        <v>6.5420560747663545</v>
      </c>
      <c r="M177" s="8" t="str">
        <f t="array" ref="M177">IF(L177&gt;5,"Perlu Sensus",IF(AND(L177&gt;=0,I177&gt;0),"Tetap Deteksi","Belum Deteksi"))</f>
        <v>Perlu Sensus</v>
      </c>
      <c r="N177" s="132">
        <v>46240</v>
      </c>
      <c r="O177" s="203">
        <v>107</v>
      </c>
      <c r="P177" s="9">
        <f t="array" ref="P177">IFERROR(O177/G177*100,0)</f>
        <v>13.275434243176178</v>
      </c>
      <c r="Q177" s="203">
        <v>7</v>
      </c>
      <c r="R177" s="9">
        <f t="shared" si="20"/>
        <v>6.5420560747663545</v>
      </c>
      <c r="S177" s="8" t="str">
        <f t="array" ref="S177">IF(R177&gt;5,"Perlu Sensus",IF(AND(R177&gt;=0,O177&gt;0),"Tetap Deteksi","Belum Deteksi"))</f>
        <v>Perlu Sensus</v>
      </c>
      <c r="T177" s="203">
        <v>14</v>
      </c>
      <c r="U177" s="9">
        <f t="shared" si="22"/>
        <v>13.084112149532709</v>
      </c>
      <c r="V177" s="132">
        <v>46241</v>
      </c>
      <c r="W177" s="203">
        <v>194</v>
      </c>
      <c r="X177" s="203">
        <v>13</v>
      </c>
      <c r="Y177" s="9">
        <f t="shared" si="21"/>
        <v>6.7010309278350517</v>
      </c>
      <c r="Z177" s="8" t="str">
        <f t="array" ref="Z177">IF(Y177&gt;5,"Perlu Sensus",IF(AND(Y177&gt;0,,O177&gt;0),"Tetap Deteksi","Belum Deteksi"))</f>
        <v>Perlu Sensus</v>
      </c>
      <c r="AA177" s="203">
        <v>47</v>
      </c>
      <c r="AB177" s="9">
        <f t="shared" si="23"/>
        <v>24.226804123711339</v>
      </c>
    </row>
    <row r="178" spans="1:28" outlineLevel="1" x14ac:dyDescent="0.15">
      <c r="A178" s="8" t="s">
        <v>628</v>
      </c>
      <c r="B178" s="8" t="s">
        <v>14</v>
      </c>
      <c r="C178" s="8" t="s">
        <v>173</v>
      </c>
      <c r="D178" s="8" t="s">
        <v>760</v>
      </c>
      <c r="E178" s="9">
        <v>16.59</v>
      </c>
      <c r="F178" s="8" t="s">
        <v>16</v>
      </c>
      <c r="G178" s="143">
        <f t="array" ref="G178">INDEX('[23]SENSUS MEI'!$G$9:$G$453,MATCH(1,('[23]SENSUS MEI'!$D$9:$D$453=$D178)*('[23]SENSUS MEI'!$D$9:$D$453=$D178),0))</f>
        <v>2358</v>
      </c>
      <c r="H178" s="132">
        <f t="shared" si="24"/>
        <v>46239</v>
      </c>
      <c r="I178" s="140">
        <f t="shared" si="24"/>
        <v>65</v>
      </c>
      <c r="J178" s="9">
        <f t="shared" si="17"/>
        <v>2.75657336726039</v>
      </c>
      <c r="K178" s="140">
        <f t="shared" si="18"/>
        <v>3</v>
      </c>
      <c r="L178" s="206">
        <f t="shared" si="19"/>
        <v>4.6153846153846159</v>
      </c>
      <c r="M178" s="8" t="str">
        <f t="array" ref="M178">IF(L178&gt;5,"Perlu Sensus",IF(AND(L178&gt;=0,I178&gt;0),"Tetap Deteksi","Belum Deteksi"))</f>
        <v>Tetap Deteksi</v>
      </c>
      <c r="N178" s="132">
        <v>46239</v>
      </c>
      <c r="O178" s="203">
        <v>65</v>
      </c>
      <c r="P178" s="9">
        <f t="array" ref="P178">IFERROR(O178/G178*100,0)</f>
        <v>2.75657336726039</v>
      </c>
      <c r="Q178" s="203">
        <v>3</v>
      </c>
      <c r="R178" s="9">
        <f t="shared" si="20"/>
        <v>4.6153846153846159</v>
      </c>
      <c r="S178" s="8" t="str">
        <f t="array" ref="S178">IF(R178&gt;5,"Perlu Sensus",IF(AND(R178&gt;=0,O178&gt;0),"Tetap Deteksi","Belum Deteksi"))</f>
        <v>Tetap Deteksi</v>
      </c>
      <c r="T178" s="203">
        <v>3</v>
      </c>
      <c r="U178" s="9">
        <f t="shared" si="22"/>
        <v>4.6153846153846159</v>
      </c>
      <c r="V178" s="132">
        <v>46240</v>
      </c>
      <c r="W178" s="203">
        <v>135</v>
      </c>
      <c r="X178" s="203">
        <v>6</v>
      </c>
      <c r="Y178" s="9">
        <f t="shared" si="21"/>
        <v>4.4444444444444446</v>
      </c>
      <c r="Z178" s="8" t="str">
        <f t="array" ref="Z178">IF(Y178&gt;5,"Perlu Sensus",IF(AND(Y178&gt;0,,O178&gt;0),"Tetap Deteksi","Belum Deteksi"))</f>
        <v>Belum Deteksi</v>
      </c>
      <c r="AA178" s="203">
        <v>10</v>
      </c>
      <c r="AB178" s="9">
        <f t="shared" si="23"/>
        <v>7.4074074074074066</v>
      </c>
    </row>
    <row r="179" spans="1:28" outlineLevel="1" x14ac:dyDescent="0.15">
      <c r="A179" s="8" t="s">
        <v>628</v>
      </c>
      <c r="B179" s="8" t="s">
        <v>14</v>
      </c>
      <c r="C179" s="8" t="s">
        <v>173</v>
      </c>
      <c r="D179" s="8" t="s">
        <v>761</v>
      </c>
      <c r="E179" s="9">
        <v>21.26</v>
      </c>
      <c r="F179" s="8" t="s">
        <v>16</v>
      </c>
      <c r="G179" s="143">
        <f t="array" ref="G179">INDEX('[23]SENSUS MEI'!$G$9:$G$453,MATCH(1,('[23]SENSUS MEI'!$D$9:$D$453=$D179)*('[23]SENSUS MEI'!$D$9:$D$453=$D179),0))</f>
        <v>2815</v>
      </c>
      <c r="H179" s="132">
        <f t="shared" si="24"/>
        <v>46239</v>
      </c>
      <c r="I179" s="140">
        <f t="shared" si="24"/>
        <v>64</v>
      </c>
      <c r="J179" s="9">
        <f t="shared" si="17"/>
        <v>2.2735346358792183</v>
      </c>
      <c r="K179" s="140">
        <f t="shared" si="18"/>
        <v>5</v>
      </c>
      <c r="L179" s="206">
        <f t="shared" si="19"/>
        <v>7.8125</v>
      </c>
      <c r="M179" s="8" t="str">
        <f t="array" ref="M179">IF(L179&gt;5,"Perlu Sensus",IF(AND(L179&gt;=0,I179&gt;0),"Tetap Deteksi","Belum Deteksi"))</f>
        <v>Perlu Sensus</v>
      </c>
      <c r="N179" s="132">
        <v>46239</v>
      </c>
      <c r="O179" s="203">
        <v>64</v>
      </c>
      <c r="P179" s="9">
        <f t="array" ref="P179">IFERROR(O179/G179*100,0)</f>
        <v>2.2735346358792183</v>
      </c>
      <c r="Q179" s="203">
        <v>5</v>
      </c>
      <c r="R179" s="9">
        <f t="shared" si="20"/>
        <v>7.8125</v>
      </c>
      <c r="S179" s="8" t="str">
        <f t="array" ref="S179">IF(R179&gt;5,"Perlu Sensus",IF(AND(R179&gt;=0,O179&gt;0),"Tetap Deteksi","Belum Deteksi"))</f>
        <v>Perlu Sensus</v>
      </c>
      <c r="T179" s="203">
        <v>5</v>
      </c>
      <c r="U179" s="9">
        <f t="shared" si="22"/>
        <v>7.8125</v>
      </c>
      <c r="V179" s="132">
        <v>46240</v>
      </c>
      <c r="W179" s="203">
        <v>164</v>
      </c>
      <c r="X179" s="203">
        <v>13</v>
      </c>
      <c r="Y179" s="9">
        <f t="shared" si="21"/>
        <v>7.9268292682926829</v>
      </c>
      <c r="Z179" s="8" t="str">
        <f t="array" ref="Z179">IF(Y179&gt;5,"Perlu Sensus",IF(AND(Y179&gt;0,,O179&gt;0),"Tetap Deteksi","Belum Deteksi"))</f>
        <v>Perlu Sensus</v>
      </c>
      <c r="AA179" s="203">
        <v>26</v>
      </c>
      <c r="AB179" s="9">
        <f t="shared" si="23"/>
        <v>15.853658536585366</v>
      </c>
    </row>
    <row r="180" spans="1:28" outlineLevel="1" x14ac:dyDescent="0.15">
      <c r="A180" s="8" t="s">
        <v>628</v>
      </c>
      <c r="B180" s="8" t="s">
        <v>14</v>
      </c>
      <c r="C180" s="8" t="s">
        <v>173</v>
      </c>
      <c r="D180" s="8" t="s">
        <v>762</v>
      </c>
      <c r="E180" s="9">
        <v>13.76</v>
      </c>
      <c r="F180" s="8" t="s">
        <v>16</v>
      </c>
      <c r="G180" s="143">
        <f t="array" ref="G180">INDEX('[23]SENSUS MEI'!$G$9:$G$453,MATCH(1,('[23]SENSUS MEI'!$D$9:$D$453=$D180)*('[23]SENSUS MEI'!$D$9:$D$453=$D180),0))</f>
        <v>2001</v>
      </c>
      <c r="H180" s="132">
        <f t="shared" si="24"/>
        <v>46239</v>
      </c>
      <c r="I180" s="140">
        <f t="shared" si="24"/>
        <v>62</v>
      </c>
      <c r="J180" s="9">
        <f t="shared" si="17"/>
        <v>3.0984507746126937</v>
      </c>
      <c r="K180" s="140">
        <f t="shared" si="18"/>
        <v>6</v>
      </c>
      <c r="L180" s="206">
        <f t="shared" si="19"/>
        <v>9.67741935483871</v>
      </c>
      <c r="M180" s="8" t="str">
        <f t="array" ref="M180">IF(L180&gt;5,"Perlu Sensus",IF(AND(L180&gt;=0,I180&gt;0),"Tetap Deteksi","Belum Deteksi"))</f>
        <v>Perlu Sensus</v>
      </c>
      <c r="N180" s="132">
        <v>46239</v>
      </c>
      <c r="O180" s="203">
        <v>62</v>
      </c>
      <c r="P180" s="9">
        <f t="array" ref="P180">IFERROR(O180/G180*100,0)</f>
        <v>3.0984507746126937</v>
      </c>
      <c r="Q180" s="203">
        <v>6</v>
      </c>
      <c r="R180" s="9">
        <f t="shared" si="20"/>
        <v>9.67741935483871</v>
      </c>
      <c r="S180" s="8" t="str">
        <f t="array" ref="S180">IF(R180&gt;5,"Perlu Sensus",IF(AND(R180&gt;=0,O180&gt;0),"Tetap Deteksi","Belum Deteksi"))</f>
        <v>Perlu Sensus</v>
      </c>
      <c r="T180" s="203">
        <v>12</v>
      </c>
      <c r="U180" s="9">
        <f t="shared" si="22"/>
        <v>19.35483870967742</v>
      </c>
      <c r="V180" s="132">
        <v>46240</v>
      </c>
      <c r="W180" s="203">
        <v>172</v>
      </c>
      <c r="X180" s="203">
        <v>15</v>
      </c>
      <c r="Y180" s="9">
        <f t="shared" si="21"/>
        <v>8.720930232558139</v>
      </c>
      <c r="Z180" s="8" t="str">
        <f t="array" ref="Z180">IF(Y180&gt;5,"Perlu Sensus",IF(AND(Y180&gt;0,,O180&gt;0),"Tetap Deteksi","Belum Deteksi"))</f>
        <v>Perlu Sensus</v>
      </c>
      <c r="AA180" s="203">
        <v>33</v>
      </c>
      <c r="AB180" s="9">
        <f t="shared" si="23"/>
        <v>19.186046511627907</v>
      </c>
    </row>
    <row r="181" spans="1:28" outlineLevel="1" x14ac:dyDescent="0.15">
      <c r="A181" s="8" t="s">
        <v>628</v>
      </c>
      <c r="B181" s="8" t="s">
        <v>14</v>
      </c>
      <c r="C181" s="8" t="s">
        <v>173</v>
      </c>
      <c r="D181" s="8" t="s">
        <v>763</v>
      </c>
      <c r="E181" s="9">
        <v>8.07</v>
      </c>
      <c r="F181" s="8" t="s">
        <v>16</v>
      </c>
      <c r="G181" s="143">
        <f t="array" ref="G181">INDEX('[23]SENSUS MEI'!$G$9:$G$453,MATCH(1,('[23]SENSUS MEI'!$D$9:$D$453=$D181)*('[23]SENSUS MEI'!$D$9:$D$453=$D181),0))</f>
        <v>1821</v>
      </c>
      <c r="H181" s="132">
        <f t="shared" si="24"/>
        <v>46242</v>
      </c>
      <c r="I181" s="140">
        <f t="shared" si="24"/>
        <v>62</v>
      </c>
      <c r="J181" s="9">
        <f t="shared" si="17"/>
        <v>3.4047226798462384</v>
      </c>
      <c r="K181" s="140">
        <f t="shared" si="18"/>
        <v>5</v>
      </c>
      <c r="L181" s="206">
        <f t="shared" si="19"/>
        <v>8.064516129032258</v>
      </c>
      <c r="M181" s="8" t="str">
        <f t="array" ref="M181">IF(L181&gt;5,"Perlu Sensus",IF(AND(L181&gt;=0,I181&gt;0),"Tetap Deteksi","Belum Deteksi"))</f>
        <v>Perlu Sensus</v>
      </c>
      <c r="N181" s="132">
        <v>46242</v>
      </c>
      <c r="O181" s="203">
        <v>62</v>
      </c>
      <c r="P181" s="9">
        <f t="array" ref="P181">IFERROR(O181/G181*100,0)</f>
        <v>3.4047226798462384</v>
      </c>
      <c r="Q181" s="203">
        <v>5</v>
      </c>
      <c r="R181" s="9">
        <f t="shared" si="20"/>
        <v>8.064516129032258</v>
      </c>
      <c r="S181" s="8" t="str">
        <f t="array" ref="S181">IF(R181&gt;5,"Perlu Sensus",IF(AND(R181&gt;=0,O181&gt;0),"Tetap Deteksi","Belum Deteksi"))</f>
        <v>Perlu Sensus</v>
      </c>
      <c r="T181" s="203">
        <v>10</v>
      </c>
      <c r="U181" s="9">
        <f t="shared" si="22"/>
        <v>16.129032258064516</v>
      </c>
      <c r="V181" s="132">
        <v>46243</v>
      </c>
      <c r="W181" s="203">
        <v>162</v>
      </c>
      <c r="X181" s="203">
        <v>13</v>
      </c>
      <c r="Y181" s="9">
        <f t="shared" si="21"/>
        <v>8.0246913580246915</v>
      </c>
      <c r="Z181" s="8" t="str">
        <f t="array" ref="Z181">IF(Y181&gt;5,"Perlu Sensus",IF(AND(Y181&gt;0,,O181&gt;0),"Tetap Deteksi","Belum Deteksi"))</f>
        <v>Perlu Sensus</v>
      </c>
      <c r="AA181" s="203">
        <v>26</v>
      </c>
      <c r="AB181" s="9">
        <f t="shared" si="23"/>
        <v>16.049382716049383</v>
      </c>
    </row>
    <row r="182" spans="1:28" outlineLevel="1" x14ac:dyDescent="0.15">
      <c r="A182" s="8" t="s">
        <v>628</v>
      </c>
      <c r="B182" s="8" t="s">
        <v>14</v>
      </c>
      <c r="C182" s="8" t="s">
        <v>173</v>
      </c>
      <c r="D182" s="8" t="s">
        <v>764</v>
      </c>
      <c r="E182" s="9">
        <v>15.2</v>
      </c>
      <c r="F182" s="8" t="s">
        <v>16</v>
      </c>
      <c r="G182" s="143">
        <f t="array" ref="G182">INDEX('[23]SENSUS MEI'!$G$9:$G$453,MATCH(1,('[23]SENSUS MEI'!$D$9:$D$453=$D182)*('[23]SENSUS MEI'!$D$9:$D$453=$D182),0))</f>
        <v>2462</v>
      </c>
      <c r="H182" s="132">
        <f t="shared" si="24"/>
        <v>46242</v>
      </c>
      <c r="I182" s="140">
        <f t="shared" si="24"/>
        <v>93</v>
      </c>
      <c r="J182" s="9">
        <f t="shared" si="17"/>
        <v>3.7774167343623071</v>
      </c>
      <c r="K182" s="140">
        <f t="shared" si="18"/>
        <v>6</v>
      </c>
      <c r="L182" s="206">
        <f t="shared" si="19"/>
        <v>6.4516129032258061</v>
      </c>
      <c r="M182" s="8" t="str">
        <f t="array" ref="M182">IF(L182&gt;5,"Perlu Sensus",IF(AND(L182&gt;=0,I182&gt;0),"Tetap Deteksi","Belum Deteksi"))</f>
        <v>Perlu Sensus</v>
      </c>
      <c r="N182" s="132">
        <v>46242</v>
      </c>
      <c r="O182" s="203">
        <v>93</v>
      </c>
      <c r="P182" s="9">
        <f t="array" ref="P182">IFERROR(O182/G182*100,0)</f>
        <v>3.7774167343623071</v>
      </c>
      <c r="Q182" s="203">
        <v>6</v>
      </c>
      <c r="R182" s="9">
        <f t="shared" si="20"/>
        <v>6.4516129032258061</v>
      </c>
      <c r="S182" s="8" t="str">
        <f t="array" ref="S182">IF(R182&gt;5,"Perlu Sensus",IF(AND(R182&gt;=0,O182&gt;0),"Tetap Deteksi","Belum Deteksi"))</f>
        <v>Perlu Sensus</v>
      </c>
      <c r="T182" s="203">
        <v>13</v>
      </c>
      <c r="U182" s="9">
        <f t="shared" si="22"/>
        <v>13.978494623655912</v>
      </c>
      <c r="V182" s="132">
        <v>46248</v>
      </c>
      <c r="W182" s="203">
        <v>156</v>
      </c>
      <c r="X182" s="203">
        <v>8</v>
      </c>
      <c r="Y182" s="9">
        <f t="shared" si="21"/>
        <v>5.1282051282051277</v>
      </c>
      <c r="Z182" s="8" t="str">
        <f t="array" ref="Z182">IF(Y182&gt;5,"Perlu Sensus",IF(AND(Y182&gt;0,,O182&gt;0),"Tetap Deteksi","Belum Deteksi"))</f>
        <v>Perlu Sensus</v>
      </c>
      <c r="AA182" s="203">
        <v>47</v>
      </c>
      <c r="AB182" s="9">
        <f t="shared" si="23"/>
        <v>30.128205128205128</v>
      </c>
    </row>
    <row r="183" spans="1:28" outlineLevel="1" x14ac:dyDescent="0.15">
      <c r="A183" s="8" t="s">
        <v>628</v>
      </c>
      <c r="B183" s="8" t="s">
        <v>14</v>
      </c>
      <c r="C183" s="8" t="s">
        <v>173</v>
      </c>
      <c r="D183" s="8" t="s">
        <v>765</v>
      </c>
      <c r="E183" s="9">
        <v>8.32</v>
      </c>
      <c r="F183" s="8" t="s">
        <v>16</v>
      </c>
      <c r="G183" s="143">
        <f t="array" ref="G183">INDEX('[23]SENSUS MEI'!$G$9:$G$453,MATCH(1,('[23]SENSUS MEI'!$D$9:$D$453=$D183)*('[23]SENSUS MEI'!$D$9:$D$453=$D183),0))</f>
        <v>1228</v>
      </c>
      <c r="H183" s="132">
        <f t="shared" si="24"/>
        <v>46242</v>
      </c>
      <c r="I183" s="140">
        <f t="shared" si="24"/>
        <v>88</v>
      </c>
      <c r="J183" s="9">
        <f t="shared" si="17"/>
        <v>7.1661237785016292</v>
      </c>
      <c r="K183" s="140">
        <f t="shared" si="18"/>
        <v>7</v>
      </c>
      <c r="L183" s="206">
        <f t="shared" si="19"/>
        <v>7.9545454545454541</v>
      </c>
      <c r="M183" s="8" t="str">
        <f t="array" ref="M183">IF(L183&gt;5,"Perlu Sensus",IF(AND(L183&gt;=0,I183&gt;0),"Tetap Deteksi","Belum Deteksi"))</f>
        <v>Perlu Sensus</v>
      </c>
      <c r="N183" s="132">
        <v>46242</v>
      </c>
      <c r="O183" s="203">
        <v>88</v>
      </c>
      <c r="P183" s="9">
        <f t="array" ref="P183">IFERROR(O183/G183*100,0)</f>
        <v>7.1661237785016292</v>
      </c>
      <c r="Q183" s="203">
        <v>7</v>
      </c>
      <c r="R183" s="9">
        <f t="shared" si="20"/>
        <v>7.9545454545454541</v>
      </c>
      <c r="S183" s="8" t="str">
        <f t="array" ref="S183">IF(R183&gt;5,"Perlu Sensus",IF(AND(R183&gt;=0,O183&gt;0),"Tetap Deteksi","Belum Deteksi"))</f>
        <v>Perlu Sensus</v>
      </c>
      <c r="T183" s="203">
        <v>7</v>
      </c>
      <c r="U183" s="9">
        <f t="shared" si="22"/>
        <v>7.9545454545454541</v>
      </c>
      <c r="V183" s="132">
        <v>46244</v>
      </c>
      <c r="W183" s="203">
        <v>88</v>
      </c>
      <c r="X183" s="203">
        <v>7</v>
      </c>
      <c r="Y183" s="9">
        <f t="shared" si="21"/>
        <v>7.9545454545454541</v>
      </c>
      <c r="Z183" s="8" t="str">
        <f t="array" ref="Z183">IF(Y183&gt;5,"Perlu Sensus",IF(AND(Y183&gt;0,,O183&gt;0),"Tetap Deteksi","Belum Deteksi"))</f>
        <v>Perlu Sensus</v>
      </c>
      <c r="AA183" s="203">
        <v>18</v>
      </c>
      <c r="AB183" s="9">
        <f t="shared" si="23"/>
        <v>20.454545454545457</v>
      </c>
    </row>
    <row r="184" spans="1:28" outlineLevel="1" x14ac:dyDescent="0.15">
      <c r="A184" s="8" t="s">
        <v>628</v>
      </c>
      <c r="B184" s="8" t="s">
        <v>14</v>
      </c>
      <c r="C184" s="8" t="s">
        <v>173</v>
      </c>
      <c r="D184" s="8" t="s">
        <v>766</v>
      </c>
      <c r="E184" s="9">
        <v>2.69</v>
      </c>
      <c r="F184" s="8" t="s">
        <v>16</v>
      </c>
      <c r="G184" s="143">
        <f t="array" ref="G184">INDEX('[23]SENSUS MEI'!$G$9:$G$453,MATCH(1,('[23]SENSUS MEI'!$D$9:$D$453=$D184)*('[23]SENSUS MEI'!$D$9:$D$453=$D184),0))</f>
        <v>391</v>
      </c>
      <c r="H184" s="132">
        <f t="shared" si="24"/>
        <v>46242</v>
      </c>
      <c r="I184" s="140">
        <f t="shared" si="24"/>
        <v>112</v>
      </c>
      <c r="J184" s="9">
        <f t="shared" si="17"/>
        <v>28.644501278772378</v>
      </c>
      <c r="K184" s="140">
        <f t="shared" si="18"/>
        <v>8</v>
      </c>
      <c r="L184" s="206">
        <f t="shared" si="19"/>
        <v>7.1428571428571423</v>
      </c>
      <c r="M184" s="8" t="str">
        <f t="array" ref="M184">IF(L184&gt;5,"Perlu Sensus",IF(AND(L184&gt;=0,I184&gt;0),"Tetap Deteksi","Belum Deteksi"))</f>
        <v>Perlu Sensus</v>
      </c>
      <c r="N184" s="132">
        <v>46242</v>
      </c>
      <c r="O184" s="203">
        <v>112</v>
      </c>
      <c r="P184" s="9">
        <f t="array" ref="P184">IFERROR(O184/G184*100,0)</f>
        <v>28.644501278772378</v>
      </c>
      <c r="Q184" s="203">
        <v>8</v>
      </c>
      <c r="R184" s="9">
        <f t="shared" si="20"/>
        <v>7.1428571428571423</v>
      </c>
      <c r="S184" s="8" t="str">
        <f t="array" ref="S184">IF(R184&gt;5,"Perlu Sensus",IF(AND(R184&gt;=0,O184&gt;0),"Tetap Deteksi","Belum Deteksi"))</f>
        <v>Perlu Sensus</v>
      </c>
      <c r="T184" s="203">
        <v>11</v>
      </c>
      <c r="U184" s="9">
        <f t="shared" si="22"/>
        <v>9.8214285714285712</v>
      </c>
      <c r="V184" s="132">
        <v>46244</v>
      </c>
      <c r="W184" s="203">
        <v>112</v>
      </c>
      <c r="X184" s="203">
        <v>8</v>
      </c>
      <c r="Y184" s="9">
        <f t="shared" si="21"/>
        <v>7.1428571428571423</v>
      </c>
      <c r="Z184" s="8" t="str">
        <f t="array" ref="Z184">IF(Y184&gt;5,"Perlu Sensus",IF(AND(Y184&gt;0,,O184&gt;0),"Tetap Deteksi","Belum Deteksi"))</f>
        <v>Perlu Sensus</v>
      </c>
      <c r="AA184" s="203">
        <v>24</v>
      </c>
      <c r="AB184" s="9">
        <f t="shared" si="23"/>
        <v>21.428571428571427</v>
      </c>
    </row>
    <row r="185" spans="1:28" outlineLevel="1" x14ac:dyDescent="0.15">
      <c r="A185" s="8" t="s">
        <v>628</v>
      </c>
      <c r="B185" s="8" t="s">
        <v>14</v>
      </c>
      <c r="C185" s="8" t="s">
        <v>173</v>
      </c>
      <c r="D185" s="8" t="s">
        <v>767</v>
      </c>
      <c r="E185" s="9">
        <v>7.4</v>
      </c>
      <c r="F185" s="8" t="s">
        <v>16</v>
      </c>
      <c r="G185" s="143">
        <f t="array" ref="G185">INDEX('[23]SENSUS MEI'!$G$9:$G$453,MATCH(1,('[23]SENSUS MEI'!$D$9:$D$453=$D185)*('[23]SENSUS MEI'!$D$9:$D$453=$D185),0))</f>
        <v>997</v>
      </c>
      <c r="H185" s="132">
        <f t="shared" si="24"/>
        <v>46242</v>
      </c>
      <c r="I185" s="140">
        <f t="shared" si="24"/>
        <v>107</v>
      </c>
      <c r="J185" s="9">
        <f t="shared" si="17"/>
        <v>10.732196589769307</v>
      </c>
      <c r="K185" s="140">
        <f t="shared" si="18"/>
        <v>6</v>
      </c>
      <c r="L185" s="206">
        <f t="shared" si="19"/>
        <v>5.6074766355140184</v>
      </c>
      <c r="M185" s="8" t="str">
        <f t="array" ref="M185">IF(L185&gt;5,"Perlu Sensus",IF(AND(L185&gt;=0,I185&gt;0),"Tetap Deteksi","Belum Deteksi"))</f>
        <v>Perlu Sensus</v>
      </c>
      <c r="N185" s="132">
        <v>46242</v>
      </c>
      <c r="O185" s="203">
        <v>107</v>
      </c>
      <c r="P185" s="9">
        <f t="array" ref="P185">IFERROR(O185/G185*100,0)</f>
        <v>10.732196589769307</v>
      </c>
      <c r="Q185" s="203">
        <v>6</v>
      </c>
      <c r="R185" s="9">
        <f t="shared" si="20"/>
        <v>5.6074766355140184</v>
      </c>
      <c r="S185" s="8" t="str">
        <f t="array" ref="S185">IF(R185&gt;5,"Perlu Sensus",IF(AND(R185&gt;=0,O185&gt;0),"Tetap Deteksi","Belum Deteksi"))</f>
        <v>Perlu Sensus</v>
      </c>
      <c r="T185" s="203">
        <v>21</v>
      </c>
      <c r="U185" s="9">
        <f t="shared" si="22"/>
        <v>19.626168224299064</v>
      </c>
      <c r="V185" s="132">
        <v>46244</v>
      </c>
      <c r="W185" s="203">
        <v>107</v>
      </c>
      <c r="X185" s="203">
        <v>9</v>
      </c>
      <c r="Y185" s="9">
        <f t="shared" si="21"/>
        <v>8.4112149532710276</v>
      </c>
      <c r="Z185" s="8" t="str">
        <f t="array" ref="Z185">IF(Y185&gt;5,"Perlu Sensus",IF(AND(Y185&gt;0,,O185&gt;0),"Tetap Deteksi","Belum Deteksi"))</f>
        <v>Perlu Sensus</v>
      </c>
      <c r="AA185" s="203">
        <v>40</v>
      </c>
      <c r="AB185" s="9">
        <f t="shared" si="23"/>
        <v>37.383177570093459</v>
      </c>
    </row>
    <row r="186" spans="1:28" outlineLevel="1" x14ac:dyDescent="0.15">
      <c r="A186" s="8" t="s">
        <v>628</v>
      </c>
      <c r="B186" s="8" t="s">
        <v>14</v>
      </c>
      <c r="C186" s="8" t="s">
        <v>173</v>
      </c>
      <c r="D186" s="8" t="s">
        <v>768</v>
      </c>
      <c r="E186" s="9">
        <v>10.09</v>
      </c>
      <c r="F186" s="8" t="s">
        <v>16</v>
      </c>
      <c r="G186" s="143">
        <f t="array" ref="G186">INDEX('[23]SENSUS MEI'!$G$9:$G$453,MATCH(1,('[23]SENSUS MEI'!$D$9:$D$453=$D186)*('[23]SENSUS MEI'!$D$9:$D$453=$D186),0))</f>
        <v>1280</v>
      </c>
      <c r="H186" s="132">
        <f t="shared" si="24"/>
        <v>46248</v>
      </c>
      <c r="I186" s="140">
        <f t="shared" si="24"/>
        <v>96</v>
      </c>
      <c r="J186" s="9">
        <f t="shared" si="17"/>
        <v>7.5</v>
      </c>
      <c r="K186" s="140">
        <f t="shared" si="18"/>
        <v>7</v>
      </c>
      <c r="L186" s="206">
        <f t="shared" si="19"/>
        <v>7.291666666666667</v>
      </c>
      <c r="M186" s="8" t="str">
        <f t="array" ref="M186">IF(L186&gt;5,"Perlu Sensus",IF(AND(L186&gt;=0,I186&gt;0),"Tetap Deteksi","Belum Deteksi"))</f>
        <v>Perlu Sensus</v>
      </c>
      <c r="N186" s="132">
        <v>46248</v>
      </c>
      <c r="O186" s="203">
        <v>96</v>
      </c>
      <c r="P186" s="9">
        <f t="array" ref="P186">IFERROR(O186/G186*100,0)</f>
        <v>7.5</v>
      </c>
      <c r="Q186" s="203">
        <v>7</v>
      </c>
      <c r="R186" s="9">
        <f t="shared" si="20"/>
        <v>7.291666666666667</v>
      </c>
      <c r="S186" s="8" t="str">
        <f t="array" ref="S186">IF(R186&gt;5,"Perlu Sensus",IF(AND(R186&gt;=0,O186&gt;0),"Tetap Deteksi","Belum Deteksi"))</f>
        <v>Perlu Sensus</v>
      </c>
      <c r="T186" s="203">
        <v>46</v>
      </c>
      <c r="U186" s="9">
        <f t="shared" si="22"/>
        <v>47.916666666666671</v>
      </c>
      <c r="V186" s="132">
        <v>46249</v>
      </c>
      <c r="W186" s="203">
        <v>96</v>
      </c>
      <c r="X186" s="203">
        <v>7</v>
      </c>
      <c r="Y186" s="9">
        <f t="shared" si="21"/>
        <v>7.291666666666667</v>
      </c>
      <c r="Z186" s="8" t="str">
        <f t="array" ref="Z186">IF(Y186&gt;5,"Perlu Sensus",IF(AND(Y186&gt;0,,O186&gt;0),"Tetap Deteksi","Belum Deteksi"))</f>
        <v>Perlu Sensus</v>
      </c>
      <c r="AA186" s="203">
        <v>46</v>
      </c>
      <c r="AB186" s="9">
        <f t="shared" si="23"/>
        <v>47.916666666666671</v>
      </c>
    </row>
    <row r="187" spans="1:28" outlineLevel="1" x14ac:dyDescent="0.15">
      <c r="A187" s="8" t="s">
        <v>628</v>
      </c>
      <c r="B187" s="8" t="s">
        <v>14</v>
      </c>
      <c r="C187" s="8" t="s">
        <v>173</v>
      </c>
      <c r="D187" s="8" t="s">
        <v>769</v>
      </c>
      <c r="E187" s="9">
        <v>12.5</v>
      </c>
      <c r="F187" s="8" t="s">
        <v>16</v>
      </c>
      <c r="G187" s="143">
        <f t="array" ref="G187">INDEX('[23]SENSUS MEI'!$G$9:$G$453,MATCH(1,('[23]SENSUS MEI'!$D$9:$D$453=$D187)*('[23]SENSUS MEI'!$D$9:$D$453=$D187),0))</f>
        <v>1745</v>
      </c>
      <c r="H187" s="132">
        <f t="shared" si="24"/>
        <v>46248</v>
      </c>
      <c r="I187" s="140">
        <f t="shared" si="24"/>
        <v>54</v>
      </c>
      <c r="J187" s="9">
        <f t="shared" si="17"/>
        <v>3.0945558739255015</v>
      </c>
      <c r="K187" s="140">
        <f t="shared" si="18"/>
        <v>6</v>
      </c>
      <c r="L187" s="206">
        <f t="shared" si="19"/>
        <v>11.111111111111111</v>
      </c>
      <c r="M187" s="8" t="str">
        <f t="array" ref="M187">IF(L187&gt;5,"Perlu Sensus",IF(AND(L187&gt;=0,I187&gt;0),"Tetap Deteksi","Belum Deteksi"))</f>
        <v>Perlu Sensus</v>
      </c>
      <c r="N187" s="132">
        <v>46248</v>
      </c>
      <c r="O187" s="203">
        <v>54</v>
      </c>
      <c r="P187" s="9">
        <f t="array" ref="P187">IFERROR(O187/G187*100,0)</f>
        <v>3.0945558739255015</v>
      </c>
      <c r="Q187" s="203">
        <v>6</v>
      </c>
      <c r="R187" s="9">
        <f t="shared" si="20"/>
        <v>11.111111111111111</v>
      </c>
      <c r="S187" s="8" t="str">
        <f t="array" ref="S187">IF(R187&gt;5,"Perlu Sensus",IF(AND(R187&gt;=0,O187&gt;0),"Tetap Deteksi","Belum Deteksi"))</f>
        <v>Perlu Sensus</v>
      </c>
      <c r="T187" s="203">
        <v>26</v>
      </c>
      <c r="U187" s="9">
        <f t="shared" si="22"/>
        <v>48.148148148148145</v>
      </c>
      <c r="V187" s="132">
        <v>46249</v>
      </c>
      <c r="W187" s="203">
        <v>104</v>
      </c>
      <c r="X187" s="203">
        <v>12</v>
      </c>
      <c r="Y187" s="9">
        <f t="shared" si="21"/>
        <v>11.538461538461538</v>
      </c>
      <c r="Z187" s="8" t="str">
        <f t="array" ref="Z187">IF(Y187&gt;5,"Perlu Sensus",IF(AND(Y187&gt;0,,O187&gt;0),"Tetap Deteksi","Belum Deteksi"))</f>
        <v>Perlu Sensus</v>
      </c>
      <c r="AA187" s="203">
        <v>50</v>
      </c>
      <c r="AB187" s="9">
        <f t="shared" si="23"/>
        <v>48.07692307692308</v>
      </c>
    </row>
    <row r="188" spans="1:28" outlineLevel="1" x14ac:dyDescent="0.15">
      <c r="A188" s="8" t="s">
        <v>628</v>
      </c>
      <c r="B188" s="8" t="s">
        <v>14</v>
      </c>
      <c r="C188" s="8" t="s">
        <v>173</v>
      </c>
      <c r="D188" s="8" t="s">
        <v>770</v>
      </c>
      <c r="E188" s="9">
        <v>13.4</v>
      </c>
      <c r="F188" s="8" t="s">
        <v>16</v>
      </c>
      <c r="G188" s="143">
        <f t="array" ref="G188">INDEX('[23]SENSUS MEI'!$G$9:$G$453,MATCH(1,('[23]SENSUS MEI'!$D$9:$D$453=$D188)*('[23]SENSUS MEI'!$D$9:$D$453=$D188),0))</f>
        <v>1911</v>
      </c>
      <c r="H188" s="132">
        <f t="shared" si="24"/>
        <v>46248</v>
      </c>
      <c r="I188" s="140">
        <f t="shared" si="24"/>
        <v>56</v>
      </c>
      <c r="J188" s="9">
        <f t="shared" si="17"/>
        <v>2.9304029304029302</v>
      </c>
      <c r="K188" s="140">
        <f t="shared" si="18"/>
        <v>7</v>
      </c>
      <c r="L188" s="206">
        <f t="shared" si="19"/>
        <v>12.5</v>
      </c>
      <c r="M188" s="8" t="str">
        <f t="array" ref="M188">IF(L188&gt;5,"Perlu Sensus",IF(AND(L188&gt;=0,I188&gt;0),"Tetap Deteksi","Belum Deteksi"))</f>
        <v>Perlu Sensus</v>
      </c>
      <c r="N188" s="132">
        <v>46248</v>
      </c>
      <c r="O188" s="203">
        <v>56</v>
      </c>
      <c r="P188" s="9">
        <f t="array" ref="P188">IFERROR(O188/G188*100,0)</f>
        <v>2.9304029304029302</v>
      </c>
      <c r="Q188" s="203">
        <v>7</v>
      </c>
      <c r="R188" s="9">
        <f t="shared" si="20"/>
        <v>12.5</v>
      </c>
      <c r="S188" s="8" t="str">
        <f t="array" ref="S188">IF(R188&gt;5,"Perlu Sensus",IF(AND(R188&gt;=0,O188&gt;0),"Tetap Deteksi","Belum Deteksi"))</f>
        <v>Perlu Sensus</v>
      </c>
      <c r="T188" s="203">
        <v>33</v>
      </c>
      <c r="U188" s="9">
        <f t="shared" si="22"/>
        <v>58.928571428571431</v>
      </c>
      <c r="V188" s="132">
        <v>46249</v>
      </c>
      <c r="W188" s="203">
        <v>117</v>
      </c>
      <c r="X188" s="203">
        <v>13</v>
      </c>
      <c r="Y188" s="9">
        <f t="shared" si="21"/>
        <v>11.111111111111111</v>
      </c>
      <c r="Z188" s="8" t="str">
        <f t="array" ref="Z188">IF(Y188&gt;5,"Perlu Sensus",IF(AND(Y188&gt;0,,O188&gt;0),"Tetap Deteksi","Belum Deteksi"))</f>
        <v>Perlu Sensus</v>
      </c>
      <c r="AA188" s="203">
        <v>68</v>
      </c>
      <c r="AB188" s="9">
        <f t="shared" si="23"/>
        <v>58.119658119658126</v>
      </c>
    </row>
    <row r="189" spans="1:28" outlineLevel="1" x14ac:dyDescent="0.15">
      <c r="A189" s="8" t="s">
        <v>628</v>
      </c>
      <c r="B189" s="8" t="s">
        <v>14</v>
      </c>
      <c r="C189" s="8" t="s">
        <v>173</v>
      </c>
      <c r="D189" s="8" t="s">
        <v>771</v>
      </c>
      <c r="E189" s="9">
        <v>7.33</v>
      </c>
      <c r="F189" s="8" t="s">
        <v>16</v>
      </c>
      <c r="G189" s="143">
        <f t="array" ref="G189">INDEX('[23]SENSUS MEI'!$G$9:$G$453,MATCH(1,('[23]SENSUS MEI'!$D$9:$D$453=$D189)*('[23]SENSUS MEI'!$D$9:$D$453=$D189),0))</f>
        <v>1048</v>
      </c>
      <c r="H189" s="132">
        <f t="shared" si="24"/>
        <v>46248</v>
      </c>
      <c r="I189" s="140">
        <f t="shared" si="24"/>
        <v>54</v>
      </c>
      <c r="J189" s="9">
        <f t="shared" si="17"/>
        <v>5.1526717557251906</v>
      </c>
      <c r="K189" s="140">
        <f t="shared" si="18"/>
        <v>5</v>
      </c>
      <c r="L189" s="206">
        <f t="shared" si="19"/>
        <v>9.2592592592592595</v>
      </c>
      <c r="M189" s="8" t="str">
        <f t="array" ref="M189">IF(L189&gt;5,"Perlu Sensus",IF(AND(L189&gt;=0,I189&gt;0),"Tetap Deteksi","Belum Deteksi"))</f>
        <v>Perlu Sensus</v>
      </c>
      <c r="N189" s="132">
        <v>46248</v>
      </c>
      <c r="O189" s="203">
        <v>54</v>
      </c>
      <c r="P189" s="9">
        <f t="array" ref="P189">IFERROR(O189/G189*100,0)</f>
        <v>5.1526717557251906</v>
      </c>
      <c r="Q189" s="203">
        <v>5</v>
      </c>
      <c r="R189" s="9">
        <f t="shared" si="20"/>
        <v>9.2592592592592595</v>
      </c>
      <c r="S189" s="8" t="str">
        <f t="array" ref="S189">IF(R189&gt;5,"Perlu Sensus",IF(AND(R189&gt;=0,O189&gt;0),"Tetap Deteksi","Belum Deteksi"))</f>
        <v>Perlu Sensus</v>
      </c>
      <c r="T189" s="203">
        <v>22</v>
      </c>
      <c r="U189" s="9">
        <f t="shared" si="22"/>
        <v>40.74074074074074</v>
      </c>
      <c r="V189" s="132">
        <v>46249</v>
      </c>
      <c r="W189" s="203">
        <v>144</v>
      </c>
      <c r="X189" s="203">
        <v>13</v>
      </c>
      <c r="Y189" s="9">
        <f t="shared" si="21"/>
        <v>9.0277777777777768</v>
      </c>
      <c r="Z189" s="8" t="str">
        <f t="array" ref="Z189">IF(Y189&gt;5,"Perlu Sensus",IF(AND(Y189&gt;0,,O189&gt;0),"Tetap Deteksi","Belum Deteksi"))</f>
        <v>Perlu Sensus</v>
      </c>
      <c r="AA189" s="203">
        <v>58</v>
      </c>
      <c r="AB189" s="9">
        <f t="shared" si="23"/>
        <v>40.277777777777779</v>
      </c>
    </row>
    <row r="190" spans="1:28" hidden="1" outlineLevel="1" x14ac:dyDescent="0.15">
      <c r="A190" s="8" t="s">
        <v>628</v>
      </c>
      <c r="B190" s="8" t="s">
        <v>47</v>
      </c>
      <c r="C190" s="8" t="s">
        <v>216</v>
      </c>
      <c r="D190" s="8" t="s">
        <v>772</v>
      </c>
      <c r="E190" s="9">
        <v>39.299999999999997</v>
      </c>
      <c r="F190" s="8" t="s">
        <v>16</v>
      </c>
      <c r="G190" s="143">
        <f t="array" ref="G190">INDEX('[23]SENSUS MEI'!$G$9:$G$453,MATCH(1,('[23]SENSUS MEI'!$D$9:$D$453=$D190)*('[23]SENSUS MEI'!$D$9:$D$453=$D190),0))</f>
        <v>5401</v>
      </c>
      <c r="H190" s="132">
        <f t="shared" si="24"/>
        <v>0</v>
      </c>
      <c r="I190" s="140">
        <f t="shared" si="24"/>
        <v>0</v>
      </c>
      <c r="J190" s="9" t="str">
        <f t="shared" si="17"/>
        <v xml:space="preserve"> </v>
      </c>
      <c r="K190" s="140">
        <f t="shared" si="18"/>
        <v>0</v>
      </c>
      <c r="L190" s="206">
        <f t="shared" si="19"/>
        <v>0</v>
      </c>
      <c r="M190" s="8" t="str">
        <f t="array" ref="M190">IF(L190&gt;5,"Perlu Sensus",IF(AND(L190&gt;=0,I190&gt;0),"Tetap Deteksi","Belum Deteksi"))</f>
        <v>Belum Deteksi</v>
      </c>
      <c r="N190" s="11"/>
      <c r="O190" s="143"/>
      <c r="P190" s="9">
        <f t="array" ref="P190">IFERROR(O190/G190*100,0)</f>
        <v>0</v>
      </c>
      <c r="Q190" s="143"/>
      <c r="R190" s="9">
        <f t="shared" si="20"/>
        <v>0</v>
      </c>
      <c r="S190" s="8" t="str">
        <f t="array" ref="S190">IF(R190&gt;5,"Perlu Sensus",IF(AND(R190&gt;=0,O190&gt;0),"Tetap Deteksi","Belum Deteksi"))</f>
        <v>Belum Deteksi</v>
      </c>
      <c r="T190" s="143"/>
      <c r="U190" s="9">
        <f t="shared" si="22"/>
        <v>0</v>
      </c>
      <c r="V190" s="11"/>
      <c r="W190" s="143"/>
      <c r="X190" s="143"/>
      <c r="Y190" s="9">
        <f t="shared" si="21"/>
        <v>0</v>
      </c>
      <c r="Z190" s="8" t="str">
        <f t="array" ref="Z190">IF(Y190&gt;5,"Perlu Sensus",IF(AND(Y190&gt;0,,O190&gt;0),"Tetap Deteksi","Belum Deteksi"))</f>
        <v>Belum Deteksi</v>
      </c>
      <c r="AA190" s="143"/>
      <c r="AB190" s="9">
        <f t="shared" si="23"/>
        <v>0</v>
      </c>
    </row>
    <row r="191" spans="1:28" hidden="1" outlineLevel="1" x14ac:dyDescent="0.15">
      <c r="A191" s="8" t="s">
        <v>628</v>
      </c>
      <c r="B191" s="8" t="s">
        <v>47</v>
      </c>
      <c r="C191" s="8" t="s">
        <v>216</v>
      </c>
      <c r="D191" s="8" t="s">
        <v>773</v>
      </c>
      <c r="E191" s="9">
        <v>35.299999999999997</v>
      </c>
      <c r="F191" s="8" t="s">
        <v>16</v>
      </c>
      <c r="G191" s="143">
        <f t="array" ref="G191">INDEX('[23]SENSUS MEI'!$G$9:$G$453,MATCH(1,('[23]SENSUS MEI'!$D$9:$D$453=$D191)*('[23]SENSUS MEI'!$D$9:$D$453=$D191),0))</f>
        <v>4726</v>
      </c>
      <c r="H191" s="132">
        <f t="shared" si="24"/>
        <v>0</v>
      </c>
      <c r="I191" s="140">
        <f t="shared" si="24"/>
        <v>0</v>
      </c>
      <c r="J191" s="9" t="str">
        <f t="shared" si="17"/>
        <v xml:space="preserve"> </v>
      </c>
      <c r="K191" s="140">
        <f t="shared" si="18"/>
        <v>0</v>
      </c>
      <c r="L191" s="206">
        <f t="shared" si="19"/>
        <v>0</v>
      </c>
      <c r="M191" s="8" t="str">
        <f t="array" ref="M191">IF(L191&gt;5,"Perlu Sensus",IF(AND(L191&gt;=0,I191&gt;0),"Tetap Deteksi","Belum Deteksi"))</f>
        <v>Belum Deteksi</v>
      </c>
      <c r="N191" s="11"/>
      <c r="O191" s="143"/>
      <c r="P191" s="9">
        <f t="array" ref="P191">IFERROR(O191/G191*100,0)</f>
        <v>0</v>
      </c>
      <c r="Q191" s="143"/>
      <c r="R191" s="9">
        <f t="shared" si="20"/>
        <v>0</v>
      </c>
      <c r="S191" s="8" t="str">
        <f t="array" ref="S191">IF(R191&gt;5,"Perlu Sensus",IF(AND(R191&gt;=0,O191&gt;0),"Tetap Deteksi","Belum Deteksi"))</f>
        <v>Belum Deteksi</v>
      </c>
      <c r="T191" s="143"/>
      <c r="U191" s="9">
        <f t="shared" si="22"/>
        <v>0</v>
      </c>
      <c r="V191" s="11"/>
      <c r="W191" s="143"/>
      <c r="X191" s="143"/>
      <c r="Y191" s="9">
        <f t="shared" si="21"/>
        <v>0</v>
      </c>
      <c r="Z191" s="8" t="str">
        <f t="array" ref="Z191">IF(Y191&gt;5,"Perlu Sensus",IF(AND(Y191&gt;0,,O191&gt;0),"Tetap Deteksi","Belum Deteksi"))</f>
        <v>Belum Deteksi</v>
      </c>
      <c r="AA191" s="143"/>
      <c r="AB191" s="9">
        <f t="shared" si="23"/>
        <v>0</v>
      </c>
    </row>
    <row r="192" spans="1:28" hidden="1" outlineLevel="1" x14ac:dyDescent="0.15">
      <c r="A192" s="8" t="s">
        <v>628</v>
      </c>
      <c r="B192" s="8" t="s">
        <v>47</v>
      </c>
      <c r="C192" s="8" t="s">
        <v>216</v>
      </c>
      <c r="D192" s="8" t="s">
        <v>774</v>
      </c>
      <c r="E192" s="9">
        <v>46.41</v>
      </c>
      <c r="F192" s="8" t="s">
        <v>16</v>
      </c>
      <c r="G192" s="143">
        <f t="array" ref="G192">INDEX('[23]SENSUS MEI'!$G$9:$G$453,MATCH(1,('[23]SENSUS MEI'!$D$9:$D$453=$D192)*('[23]SENSUS MEI'!$D$9:$D$453=$D192),0))</f>
        <v>5905</v>
      </c>
      <c r="H192" s="132">
        <f t="shared" si="24"/>
        <v>0</v>
      </c>
      <c r="I192" s="140">
        <f t="shared" si="24"/>
        <v>0</v>
      </c>
      <c r="J192" s="9" t="str">
        <f t="shared" si="17"/>
        <v xml:space="preserve"> </v>
      </c>
      <c r="K192" s="140">
        <f t="shared" si="18"/>
        <v>0</v>
      </c>
      <c r="L192" s="206">
        <f t="shared" si="19"/>
        <v>0</v>
      </c>
      <c r="M192" s="8" t="str">
        <f t="array" ref="M192">IF(L192&gt;5,"Perlu Sensus",IF(AND(L192&gt;=0,I192&gt;0),"Tetap Deteksi","Belum Deteksi"))</f>
        <v>Belum Deteksi</v>
      </c>
      <c r="N192" s="11"/>
      <c r="O192" s="143"/>
      <c r="P192" s="9">
        <f t="array" ref="P192">IFERROR(O192/G192*100,0)</f>
        <v>0</v>
      </c>
      <c r="Q192" s="143"/>
      <c r="R192" s="9">
        <f t="shared" si="20"/>
        <v>0</v>
      </c>
      <c r="S192" s="8" t="str">
        <f t="array" ref="S192">IF(R192&gt;5,"Perlu Sensus",IF(AND(R192&gt;=0,O192&gt;0),"Tetap Deteksi","Belum Deteksi"))</f>
        <v>Belum Deteksi</v>
      </c>
      <c r="T192" s="143"/>
      <c r="U192" s="9">
        <f t="shared" si="22"/>
        <v>0</v>
      </c>
      <c r="V192" s="11"/>
      <c r="W192" s="143"/>
      <c r="X192" s="143"/>
      <c r="Y192" s="9">
        <f t="shared" si="21"/>
        <v>0</v>
      </c>
      <c r="Z192" s="8" t="str">
        <f t="array" ref="Z192">IF(Y192&gt;5,"Perlu Sensus",IF(AND(Y192&gt;0,,O192&gt;0),"Tetap Deteksi","Belum Deteksi"))</f>
        <v>Belum Deteksi</v>
      </c>
      <c r="AA192" s="143"/>
      <c r="AB192" s="9">
        <f t="shared" si="23"/>
        <v>0</v>
      </c>
    </row>
    <row r="193" spans="1:28" hidden="1" outlineLevel="1" x14ac:dyDescent="0.15">
      <c r="A193" s="8" t="s">
        <v>628</v>
      </c>
      <c r="B193" s="8" t="s">
        <v>47</v>
      </c>
      <c r="C193" s="8" t="s">
        <v>216</v>
      </c>
      <c r="D193" s="8" t="s">
        <v>775</v>
      </c>
      <c r="E193" s="9">
        <v>33.01</v>
      </c>
      <c r="F193" s="8" t="s">
        <v>16</v>
      </c>
      <c r="G193" s="143">
        <f t="array" ref="G193">INDEX('[23]SENSUS MEI'!$G$9:$G$453,MATCH(1,('[23]SENSUS MEI'!$D$9:$D$453=$D193)*('[23]SENSUS MEI'!$D$9:$D$453=$D193),0))</f>
        <v>4766</v>
      </c>
      <c r="H193" s="132">
        <f t="shared" si="24"/>
        <v>0</v>
      </c>
      <c r="I193" s="140">
        <f t="shared" si="24"/>
        <v>0</v>
      </c>
      <c r="J193" s="9" t="str">
        <f t="shared" si="17"/>
        <v xml:space="preserve"> </v>
      </c>
      <c r="K193" s="140">
        <f t="shared" si="18"/>
        <v>0</v>
      </c>
      <c r="L193" s="206">
        <f t="shared" si="19"/>
        <v>0</v>
      </c>
      <c r="M193" s="8" t="str">
        <f t="array" ref="M193">IF(L193&gt;5,"Perlu Sensus",IF(AND(L193&gt;=0,I193&gt;0),"Tetap Deteksi","Belum Deteksi"))</f>
        <v>Belum Deteksi</v>
      </c>
      <c r="N193" s="11"/>
      <c r="O193" s="143"/>
      <c r="P193" s="9">
        <f t="array" ref="P193">IFERROR(O193/G193*100,0)</f>
        <v>0</v>
      </c>
      <c r="Q193" s="143"/>
      <c r="R193" s="9">
        <f t="shared" si="20"/>
        <v>0</v>
      </c>
      <c r="S193" s="8" t="str">
        <f t="array" ref="S193">IF(R193&gt;5,"Perlu Sensus",IF(AND(R193&gt;=0,O193&gt;0),"Tetap Deteksi","Belum Deteksi"))</f>
        <v>Belum Deteksi</v>
      </c>
      <c r="T193" s="143"/>
      <c r="U193" s="9">
        <f t="shared" si="22"/>
        <v>0</v>
      </c>
      <c r="V193" s="11"/>
      <c r="W193" s="143"/>
      <c r="X193" s="143"/>
      <c r="Y193" s="9">
        <f t="shared" si="21"/>
        <v>0</v>
      </c>
      <c r="Z193" s="8" t="str">
        <f t="array" ref="Z193">IF(Y193&gt;5,"Perlu Sensus",IF(AND(Y193&gt;0,,O193&gt;0),"Tetap Deteksi","Belum Deteksi"))</f>
        <v>Belum Deteksi</v>
      </c>
      <c r="AA193" s="143"/>
      <c r="AB193" s="9">
        <f t="shared" si="23"/>
        <v>0</v>
      </c>
    </row>
    <row r="194" spans="1:28" hidden="1" outlineLevel="1" x14ac:dyDescent="0.15">
      <c r="A194" s="8" t="s">
        <v>628</v>
      </c>
      <c r="B194" s="8" t="s">
        <v>47</v>
      </c>
      <c r="C194" s="8" t="s">
        <v>216</v>
      </c>
      <c r="D194" s="8" t="s">
        <v>776</v>
      </c>
      <c r="E194" s="9">
        <v>30.56</v>
      </c>
      <c r="F194" s="8" t="s">
        <v>16</v>
      </c>
      <c r="G194" s="143">
        <f t="array" ref="G194">INDEX('[23]SENSUS MEI'!$G$9:$G$453,MATCH(1,('[23]SENSUS MEI'!$D$9:$D$453=$D194)*('[23]SENSUS MEI'!$D$9:$D$453=$D194),0))</f>
        <v>4554</v>
      </c>
      <c r="H194" s="132">
        <f t="shared" si="24"/>
        <v>0</v>
      </c>
      <c r="I194" s="140">
        <f t="shared" si="24"/>
        <v>0</v>
      </c>
      <c r="J194" s="9" t="str">
        <f t="shared" si="17"/>
        <v xml:space="preserve"> </v>
      </c>
      <c r="K194" s="140">
        <f t="shared" si="18"/>
        <v>0</v>
      </c>
      <c r="L194" s="206">
        <f t="shared" si="19"/>
        <v>0</v>
      </c>
      <c r="M194" s="8" t="str">
        <f t="array" ref="M194">IF(L194&gt;5,"Perlu Sensus",IF(AND(L194&gt;=0,I194&gt;0),"Tetap Deteksi","Belum Deteksi"))</f>
        <v>Belum Deteksi</v>
      </c>
      <c r="N194" s="11"/>
      <c r="O194" s="143"/>
      <c r="P194" s="9">
        <f t="array" ref="P194">IFERROR(O194/G194*100,0)</f>
        <v>0</v>
      </c>
      <c r="Q194" s="143"/>
      <c r="R194" s="9">
        <f t="shared" si="20"/>
        <v>0</v>
      </c>
      <c r="S194" s="8" t="str">
        <f t="array" ref="S194">IF(R194&gt;5,"Perlu Sensus",IF(AND(R194&gt;=0,O194&gt;0),"Tetap Deteksi","Belum Deteksi"))</f>
        <v>Belum Deteksi</v>
      </c>
      <c r="T194" s="143"/>
      <c r="U194" s="9">
        <f t="shared" si="22"/>
        <v>0</v>
      </c>
      <c r="V194" s="11"/>
      <c r="W194" s="143"/>
      <c r="X194" s="143"/>
      <c r="Y194" s="9">
        <f t="shared" si="21"/>
        <v>0</v>
      </c>
      <c r="Z194" s="8" t="str">
        <f t="array" ref="Z194">IF(Y194&gt;5,"Perlu Sensus",IF(AND(Y194&gt;0,,O194&gt;0),"Tetap Deteksi","Belum Deteksi"))</f>
        <v>Belum Deteksi</v>
      </c>
      <c r="AA194" s="143"/>
      <c r="AB194" s="9">
        <f t="shared" si="23"/>
        <v>0</v>
      </c>
    </row>
    <row r="195" spans="1:28" outlineLevel="1" x14ac:dyDescent="0.15">
      <c r="A195" s="8" t="s">
        <v>628</v>
      </c>
      <c r="B195" s="8" t="s">
        <v>47</v>
      </c>
      <c r="C195" s="8" t="s">
        <v>216</v>
      </c>
      <c r="D195" s="8" t="s">
        <v>777</v>
      </c>
      <c r="E195" s="9">
        <v>41.3</v>
      </c>
      <c r="F195" s="8" t="s">
        <v>132</v>
      </c>
      <c r="G195" s="143">
        <f t="array" ref="G195">INDEX('[23]SENSUS MEI'!$G$9:$G$453,MATCH(1,('[23]SENSUS MEI'!$D$9:$D$453=$D195)*('[23]SENSUS MEI'!$D$9:$D$453=$D195),0))</f>
        <v>5828</v>
      </c>
      <c r="H195" s="132">
        <f t="shared" si="24"/>
        <v>46249</v>
      </c>
      <c r="I195" s="140">
        <f t="shared" si="24"/>
        <v>179</v>
      </c>
      <c r="J195" s="9">
        <f t="shared" si="17"/>
        <v>3.0713795470144132</v>
      </c>
      <c r="K195" s="140">
        <f t="shared" si="18"/>
        <v>13</v>
      </c>
      <c r="L195" s="206">
        <f t="shared" si="19"/>
        <v>7.2625698324022352</v>
      </c>
      <c r="M195" s="8" t="str">
        <f t="array" ref="M195">IF(L195&gt;5,"Perlu Sensus",IF(AND(L195&gt;=0,I195&gt;0),"Tetap Deteksi","Belum Deteksi"))</f>
        <v>Perlu Sensus</v>
      </c>
      <c r="N195" s="11">
        <v>46249</v>
      </c>
      <c r="O195" s="143">
        <v>179</v>
      </c>
      <c r="P195" s="9">
        <f t="array" ref="P195">IFERROR(O195/G195*100,0)</f>
        <v>3.0713795470144132</v>
      </c>
      <c r="Q195" s="143">
        <v>13</v>
      </c>
      <c r="R195" s="9">
        <f t="shared" si="20"/>
        <v>7.2625698324022352</v>
      </c>
      <c r="S195" s="8" t="str">
        <f t="array" ref="S195">IF(R195&gt;5,"Perlu Sensus",IF(AND(R195&gt;=0,O195&gt;0),"Tetap Deteksi","Belum Deteksi"))</f>
        <v>Perlu Sensus</v>
      </c>
      <c r="T195" s="143">
        <v>35</v>
      </c>
      <c r="U195" s="9">
        <f t="shared" si="22"/>
        <v>19.553072625698324</v>
      </c>
      <c r="V195" s="11"/>
      <c r="W195" s="143"/>
      <c r="X195" s="143"/>
      <c r="Y195" s="9">
        <f t="shared" si="21"/>
        <v>0</v>
      </c>
      <c r="Z195" s="8" t="str">
        <f t="array" ref="Z195">IF(Y195&gt;5,"Perlu Sensus",IF(AND(Y195&gt;0,,O195&gt;0),"Tetap Deteksi","Belum Deteksi"))</f>
        <v>Belum Deteksi</v>
      </c>
      <c r="AA195" s="143"/>
      <c r="AB195" s="9">
        <f t="shared" si="23"/>
        <v>0</v>
      </c>
    </row>
    <row r="196" spans="1:28" hidden="1" outlineLevel="1" x14ac:dyDescent="0.15">
      <c r="A196" s="8" t="s">
        <v>628</v>
      </c>
      <c r="B196" s="8" t="s">
        <v>47</v>
      </c>
      <c r="C196" s="8" t="s">
        <v>216</v>
      </c>
      <c r="D196" s="8" t="s">
        <v>778</v>
      </c>
      <c r="E196" s="9">
        <v>40.36</v>
      </c>
      <c r="F196" s="8" t="s">
        <v>16</v>
      </c>
      <c r="G196" s="143">
        <f t="array" ref="G196">INDEX('[23]SENSUS MEI'!$G$9:$G$453,MATCH(1,('[23]SENSUS MEI'!$D$9:$D$453=$D196)*('[23]SENSUS MEI'!$D$9:$D$453=$D196),0))</f>
        <v>5188</v>
      </c>
      <c r="H196" s="132">
        <f t="shared" si="24"/>
        <v>0</v>
      </c>
      <c r="I196" s="140">
        <f t="shared" si="24"/>
        <v>0</v>
      </c>
      <c r="J196" s="9" t="str">
        <f t="shared" si="17"/>
        <v xml:space="preserve"> </v>
      </c>
      <c r="K196" s="140">
        <f t="shared" si="18"/>
        <v>0</v>
      </c>
      <c r="L196" s="206">
        <f t="shared" si="19"/>
        <v>0</v>
      </c>
      <c r="M196" s="8" t="str">
        <f t="array" ref="M196">IF(L196&gt;5,"Perlu Sensus",IF(AND(L196&gt;=0,I196&gt;0),"Tetap Deteksi","Belum Deteksi"))</f>
        <v>Belum Deteksi</v>
      </c>
      <c r="N196" s="11"/>
      <c r="O196" s="143"/>
      <c r="P196" s="9">
        <f t="array" ref="P196">IFERROR(O196/G196*100,0)</f>
        <v>0</v>
      </c>
      <c r="Q196" s="143"/>
      <c r="R196" s="9">
        <f t="shared" si="20"/>
        <v>0</v>
      </c>
      <c r="S196" s="8" t="str">
        <f t="array" ref="S196">IF(R196&gt;5,"Perlu Sensus",IF(AND(R196&gt;=0,O196&gt;0),"Tetap Deteksi","Belum Deteksi"))</f>
        <v>Belum Deteksi</v>
      </c>
      <c r="T196" s="143"/>
      <c r="U196" s="9">
        <f t="shared" si="22"/>
        <v>0</v>
      </c>
      <c r="V196" s="11"/>
      <c r="W196" s="143"/>
      <c r="X196" s="143"/>
      <c r="Y196" s="9">
        <f t="shared" si="21"/>
        <v>0</v>
      </c>
      <c r="Z196" s="8" t="str">
        <f t="array" ref="Z196">IF(Y196&gt;5,"Perlu Sensus",IF(AND(Y196&gt;0,,O196&gt;0),"Tetap Deteksi","Belum Deteksi"))</f>
        <v>Belum Deteksi</v>
      </c>
      <c r="AA196" s="143"/>
      <c r="AB196" s="9">
        <f t="shared" si="23"/>
        <v>0</v>
      </c>
    </row>
    <row r="197" spans="1:28" hidden="1" outlineLevel="1" x14ac:dyDescent="0.15">
      <c r="A197" s="8" t="s">
        <v>628</v>
      </c>
      <c r="B197" s="8" t="s">
        <v>47</v>
      </c>
      <c r="C197" s="8" t="s">
        <v>216</v>
      </c>
      <c r="D197" s="8" t="s">
        <v>779</v>
      </c>
      <c r="E197" s="9">
        <v>34.4</v>
      </c>
      <c r="F197" s="8" t="s">
        <v>16</v>
      </c>
      <c r="G197" s="143">
        <f t="array" ref="G197">INDEX('[23]SENSUS MEI'!$G$9:$G$453,MATCH(1,('[23]SENSUS MEI'!$D$9:$D$453=$D197)*('[23]SENSUS MEI'!$D$9:$D$453=$D197),0))</f>
        <v>4805</v>
      </c>
      <c r="H197" s="132">
        <f t="shared" si="24"/>
        <v>0</v>
      </c>
      <c r="I197" s="140">
        <f t="shared" si="24"/>
        <v>0</v>
      </c>
      <c r="J197" s="9" t="str">
        <f t="shared" si="17"/>
        <v xml:space="preserve"> </v>
      </c>
      <c r="K197" s="140">
        <f t="shared" si="18"/>
        <v>0</v>
      </c>
      <c r="L197" s="206">
        <f t="shared" si="19"/>
        <v>0</v>
      </c>
      <c r="M197" s="8" t="str">
        <f t="array" ref="M197">IF(L197&gt;5,"Perlu Sensus",IF(AND(L197&gt;=0,I197&gt;0),"Tetap Deteksi","Belum Deteksi"))</f>
        <v>Belum Deteksi</v>
      </c>
      <c r="N197" s="11"/>
      <c r="O197" s="143"/>
      <c r="P197" s="9">
        <f t="array" ref="P197">IFERROR(O197/G197*100,0)</f>
        <v>0</v>
      </c>
      <c r="Q197" s="143"/>
      <c r="R197" s="9">
        <f t="shared" si="20"/>
        <v>0</v>
      </c>
      <c r="S197" s="8" t="str">
        <f t="array" ref="S197">IF(R197&gt;5,"Perlu Sensus",IF(AND(R197&gt;=0,O197&gt;0),"Tetap Deteksi","Belum Deteksi"))</f>
        <v>Belum Deteksi</v>
      </c>
      <c r="T197" s="143"/>
      <c r="U197" s="9">
        <f t="shared" si="22"/>
        <v>0</v>
      </c>
      <c r="V197" s="11"/>
      <c r="W197" s="143"/>
      <c r="X197" s="143"/>
      <c r="Y197" s="9">
        <f t="shared" si="21"/>
        <v>0</v>
      </c>
      <c r="Z197" s="8" t="str">
        <f t="array" ref="Z197">IF(Y197&gt;5,"Perlu Sensus",IF(AND(Y197&gt;0,,O197&gt;0),"Tetap Deteksi","Belum Deteksi"))</f>
        <v>Belum Deteksi</v>
      </c>
      <c r="AA197" s="143"/>
      <c r="AB197" s="9">
        <f t="shared" si="23"/>
        <v>0</v>
      </c>
    </row>
    <row r="198" spans="1:28" hidden="1" outlineLevel="1" x14ac:dyDescent="0.15">
      <c r="A198" s="8" t="s">
        <v>628</v>
      </c>
      <c r="B198" s="8" t="s">
        <v>47</v>
      </c>
      <c r="C198" s="8" t="s">
        <v>216</v>
      </c>
      <c r="D198" s="8" t="s">
        <v>780</v>
      </c>
      <c r="E198" s="9">
        <v>39.54</v>
      </c>
      <c r="F198" s="8" t="s">
        <v>16</v>
      </c>
      <c r="G198" s="143">
        <f t="array" ref="G198">INDEX('[23]SENSUS MEI'!$G$9:$G$453,MATCH(1,('[23]SENSUS MEI'!$D$9:$D$453=$D198)*('[23]SENSUS MEI'!$D$9:$D$453=$D198),0))</f>
        <v>5244</v>
      </c>
      <c r="H198" s="132">
        <f t="shared" si="24"/>
        <v>0</v>
      </c>
      <c r="I198" s="140">
        <f t="shared" si="24"/>
        <v>0</v>
      </c>
      <c r="J198" s="9" t="str">
        <f t="shared" ref="J198:J261" si="25">IF(P198&gt;0,P198," ")</f>
        <v xml:space="preserve"> </v>
      </c>
      <c r="K198" s="140">
        <f t="shared" ref="K198:K261" si="26">IF(Q198&gt;0,Q198,X198)</f>
        <v>0</v>
      </c>
      <c r="L198" s="206">
        <f t="shared" ref="L198:L261" si="27">IFERROR(K198/I198*100,0)</f>
        <v>0</v>
      </c>
      <c r="M198" s="8" t="str">
        <f t="array" ref="M198">IF(L198&gt;5,"Perlu Sensus",IF(AND(L198&gt;=0,I198&gt;0),"Tetap Deteksi","Belum Deteksi"))</f>
        <v>Belum Deteksi</v>
      </c>
      <c r="N198" s="11"/>
      <c r="O198" s="143"/>
      <c r="P198" s="9">
        <f t="array" ref="P198">IFERROR(O198/G198*100,0)</f>
        <v>0</v>
      </c>
      <c r="Q198" s="143"/>
      <c r="R198" s="9">
        <f t="shared" ref="R198:R261" si="28">IFERROR(Q198/O198*100,0)</f>
        <v>0</v>
      </c>
      <c r="S198" s="8" t="str">
        <f t="array" ref="S198">IF(R198&gt;5,"Perlu Sensus",IF(AND(R198&gt;=0,O198&gt;0),"Tetap Deteksi","Belum Deteksi"))</f>
        <v>Belum Deteksi</v>
      </c>
      <c r="T198" s="143"/>
      <c r="U198" s="9">
        <f t="shared" si="22"/>
        <v>0</v>
      </c>
      <c r="V198" s="11"/>
      <c r="W198" s="143"/>
      <c r="X198" s="143"/>
      <c r="Y198" s="9">
        <f t="shared" ref="Y198:Y261" si="29">IFERROR(X198/W198*100,0)</f>
        <v>0</v>
      </c>
      <c r="Z198" s="8" t="str">
        <f t="array" ref="Z198">IF(Y198&gt;5,"Perlu Sensus",IF(AND(Y198&gt;0,,O198&gt;0),"Tetap Deteksi","Belum Deteksi"))</f>
        <v>Belum Deteksi</v>
      </c>
      <c r="AA198" s="143"/>
      <c r="AB198" s="9">
        <f t="shared" si="23"/>
        <v>0</v>
      </c>
    </row>
    <row r="199" spans="1:28" hidden="1" outlineLevel="1" x14ac:dyDescent="0.15">
      <c r="A199" s="8" t="s">
        <v>628</v>
      </c>
      <c r="B199" s="8" t="s">
        <v>47</v>
      </c>
      <c r="C199" s="8" t="s">
        <v>216</v>
      </c>
      <c r="D199" s="8" t="s">
        <v>781</v>
      </c>
      <c r="E199" s="9">
        <v>46.11</v>
      </c>
      <c r="F199" s="8" t="s">
        <v>16</v>
      </c>
      <c r="G199" s="143">
        <f t="array" ref="G199">INDEX('[23]SENSUS MEI'!$G$9:$G$453,MATCH(1,('[23]SENSUS MEI'!$D$9:$D$453=$D199)*('[23]SENSUS MEI'!$D$9:$D$453=$D199),0))</f>
        <v>5434</v>
      </c>
      <c r="H199" s="132">
        <f t="shared" si="24"/>
        <v>0</v>
      </c>
      <c r="I199" s="140">
        <f t="shared" si="24"/>
        <v>0</v>
      </c>
      <c r="J199" s="9" t="str">
        <f t="shared" si="25"/>
        <v xml:space="preserve"> </v>
      </c>
      <c r="K199" s="140">
        <f t="shared" si="26"/>
        <v>0</v>
      </c>
      <c r="L199" s="206">
        <f t="shared" si="27"/>
        <v>0</v>
      </c>
      <c r="M199" s="8" t="str">
        <f t="array" ref="M199">IF(L199&gt;5,"Perlu Sensus",IF(AND(L199&gt;=0,I199&gt;0),"Tetap Deteksi","Belum Deteksi"))</f>
        <v>Belum Deteksi</v>
      </c>
      <c r="N199" s="11"/>
      <c r="O199" s="143"/>
      <c r="P199" s="9">
        <f t="array" ref="P199">IFERROR(O199/G199*100,0)</f>
        <v>0</v>
      </c>
      <c r="Q199" s="143"/>
      <c r="R199" s="9">
        <f t="shared" si="28"/>
        <v>0</v>
      </c>
      <c r="S199" s="8" t="str">
        <f t="array" ref="S199">IF(R199&gt;5,"Perlu Sensus",IF(AND(R199&gt;=0,O199&gt;0),"Tetap Deteksi","Belum Deteksi"))</f>
        <v>Belum Deteksi</v>
      </c>
      <c r="T199" s="143"/>
      <c r="U199" s="9">
        <f t="shared" ref="U199:U262" si="30">IFERROR(T199/O199*100,0)</f>
        <v>0</v>
      </c>
      <c r="V199" s="11"/>
      <c r="W199" s="143"/>
      <c r="X199" s="143"/>
      <c r="Y199" s="9">
        <f t="shared" si="29"/>
        <v>0</v>
      </c>
      <c r="Z199" s="8" t="str">
        <f t="array" ref="Z199">IF(Y199&gt;5,"Perlu Sensus",IF(AND(Y199&gt;0,,O199&gt;0),"Tetap Deteksi","Belum Deteksi"))</f>
        <v>Belum Deteksi</v>
      </c>
      <c r="AA199" s="143"/>
      <c r="AB199" s="9">
        <f t="shared" ref="AB199:AB262" si="31">IFERROR(AA199/W199*100,0)</f>
        <v>0</v>
      </c>
    </row>
    <row r="200" spans="1:28" hidden="1" outlineLevel="1" x14ac:dyDescent="0.15">
      <c r="A200" s="8" t="s">
        <v>628</v>
      </c>
      <c r="B200" s="8" t="s">
        <v>47</v>
      </c>
      <c r="C200" s="8" t="s">
        <v>216</v>
      </c>
      <c r="D200" s="8" t="s">
        <v>782</v>
      </c>
      <c r="E200" s="9">
        <v>35.909999999999997</v>
      </c>
      <c r="F200" s="8" t="s">
        <v>16</v>
      </c>
      <c r="G200" s="143">
        <f t="array" ref="G200">INDEX('[23]SENSUS MEI'!$G$9:$G$453,MATCH(1,('[23]SENSUS MEI'!$D$9:$D$453=$D200)*('[23]SENSUS MEI'!$D$9:$D$453=$D200),0))</f>
        <v>4156</v>
      </c>
      <c r="H200" s="132">
        <f t="shared" si="24"/>
        <v>0</v>
      </c>
      <c r="I200" s="140">
        <f t="shared" si="24"/>
        <v>0</v>
      </c>
      <c r="J200" s="9" t="str">
        <f t="shared" si="25"/>
        <v xml:space="preserve"> </v>
      </c>
      <c r="K200" s="140">
        <f t="shared" si="26"/>
        <v>0</v>
      </c>
      <c r="L200" s="206">
        <f t="shared" si="27"/>
        <v>0</v>
      </c>
      <c r="M200" s="8" t="str">
        <f t="array" ref="M200">IF(L200&gt;5,"Perlu Sensus",IF(AND(L200&gt;=0,I200&gt;0),"Tetap Deteksi","Belum Deteksi"))</f>
        <v>Belum Deteksi</v>
      </c>
      <c r="N200" s="11"/>
      <c r="O200" s="143"/>
      <c r="P200" s="9">
        <f t="array" ref="P200">IFERROR(O200/G200*100,0)</f>
        <v>0</v>
      </c>
      <c r="Q200" s="143"/>
      <c r="R200" s="9">
        <f t="shared" si="28"/>
        <v>0</v>
      </c>
      <c r="S200" s="8" t="str">
        <f t="array" ref="S200">IF(R200&gt;5,"Perlu Sensus",IF(AND(R200&gt;=0,O200&gt;0),"Tetap Deteksi","Belum Deteksi"))</f>
        <v>Belum Deteksi</v>
      </c>
      <c r="T200" s="143"/>
      <c r="U200" s="9">
        <f t="shared" si="30"/>
        <v>0</v>
      </c>
      <c r="V200" s="11"/>
      <c r="W200" s="143"/>
      <c r="X200" s="143"/>
      <c r="Y200" s="9">
        <f t="shared" si="29"/>
        <v>0</v>
      </c>
      <c r="Z200" s="8" t="str">
        <f t="array" ref="Z200">IF(Y200&gt;5,"Perlu Sensus",IF(AND(Y200&gt;0,,O200&gt;0),"Tetap Deteksi","Belum Deteksi"))</f>
        <v>Belum Deteksi</v>
      </c>
      <c r="AA200" s="143"/>
      <c r="AB200" s="9">
        <f t="shared" si="31"/>
        <v>0</v>
      </c>
    </row>
    <row r="201" spans="1:28" hidden="1" outlineLevel="1" x14ac:dyDescent="0.15">
      <c r="A201" s="8" t="s">
        <v>628</v>
      </c>
      <c r="B201" s="8" t="s">
        <v>47</v>
      </c>
      <c r="C201" s="8" t="s">
        <v>216</v>
      </c>
      <c r="D201" s="8" t="s">
        <v>783</v>
      </c>
      <c r="E201" s="9">
        <v>50.7</v>
      </c>
      <c r="F201" s="8" t="s">
        <v>16</v>
      </c>
      <c r="G201" s="143">
        <f t="array" ref="G201">INDEX('[23]SENSUS MEI'!$G$9:$G$453,MATCH(1,('[23]SENSUS MEI'!$D$9:$D$453=$D201)*('[23]SENSUS MEI'!$D$9:$D$453=$D201),0))</f>
        <v>9116</v>
      </c>
      <c r="H201" s="132">
        <f t="shared" si="24"/>
        <v>0</v>
      </c>
      <c r="I201" s="140">
        <f t="shared" si="24"/>
        <v>0</v>
      </c>
      <c r="J201" s="9" t="str">
        <f t="shared" si="25"/>
        <v xml:space="preserve"> </v>
      </c>
      <c r="K201" s="140">
        <f t="shared" si="26"/>
        <v>0</v>
      </c>
      <c r="L201" s="206">
        <f t="shared" si="27"/>
        <v>0</v>
      </c>
      <c r="M201" s="8" t="str">
        <f t="array" ref="M201">IF(L201&gt;5,"Perlu Sensus",IF(AND(L201&gt;=0,I201&gt;0),"Tetap Deteksi","Belum Deteksi"))</f>
        <v>Belum Deteksi</v>
      </c>
      <c r="N201" s="11"/>
      <c r="O201" s="143"/>
      <c r="P201" s="9">
        <f t="array" ref="P201">IFERROR(O201/G201*100,0)</f>
        <v>0</v>
      </c>
      <c r="Q201" s="143"/>
      <c r="R201" s="9">
        <f t="shared" si="28"/>
        <v>0</v>
      </c>
      <c r="S201" s="8" t="str">
        <f t="array" ref="S201">IF(R201&gt;5,"Perlu Sensus",IF(AND(R201&gt;=0,O201&gt;0),"Tetap Deteksi","Belum Deteksi"))</f>
        <v>Belum Deteksi</v>
      </c>
      <c r="T201" s="143"/>
      <c r="U201" s="9">
        <f t="shared" si="30"/>
        <v>0</v>
      </c>
      <c r="V201" s="11"/>
      <c r="W201" s="143"/>
      <c r="X201" s="143"/>
      <c r="Y201" s="9">
        <f t="shared" si="29"/>
        <v>0</v>
      </c>
      <c r="Z201" s="8" t="str">
        <f t="array" ref="Z201">IF(Y201&gt;5,"Perlu Sensus",IF(AND(Y201&gt;0,,O201&gt;0),"Tetap Deteksi","Belum Deteksi"))</f>
        <v>Belum Deteksi</v>
      </c>
      <c r="AA201" s="143"/>
      <c r="AB201" s="9">
        <f t="shared" si="31"/>
        <v>0</v>
      </c>
    </row>
    <row r="202" spans="1:28" hidden="1" outlineLevel="1" x14ac:dyDescent="0.15">
      <c r="A202" s="8" t="s">
        <v>628</v>
      </c>
      <c r="B202" s="8" t="s">
        <v>47</v>
      </c>
      <c r="C202" s="8" t="s">
        <v>216</v>
      </c>
      <c r="D202" s="8" t="s">
        <v>784</v>
      </c>
      <c r="E202" s="9">
        <v>25.4</v>
      </c>
      <c r="F202" s="8" t="s">
        <v>16</v>
      </c>
      <c r="G202" s="143">
        <f t="array" ref="G202">INDEX('[23]SENSUS MEI'!$G$9:$G$453,MATCH(1,('[23]SENSUS MEI'!$D$9:$D$453=$D202)*('[23]SENSUS MEI'!$D$9:$D$453=$D202),0))</f>
        <v>3511</v>
      </c>
      <c r="H202" s="132">
        <f t="shared" si="24"/>
        <v>0</v>
      </c>
      <c r="I202" s="140">
        <f t="shared" si="24"/>
        <v>0</v>
      </c>
      <c r="J202" s="9" t="str">
        <f t="shared" si="25"/>
        <v xml:space="preserve"> </v>
      </c>
      <c r="K202" s="140">
        <f t="shared" si="26"/>
        <v>0</v>
      </c>
      <c r="L202" s="206">
        <f t="shared" si="27"/>
        <v>0</v>
      </c>
      <c r="M202" s="8" t="str">
        <f t="array" ref="M202">IF(L202&gt;5,"Perlu Sensus",IF(AND(L202&gt;=0,I202&gt;0),"Tetap Deteksi","Belum Deteksi"))</f>
        <v>Belum Deteksi</v>
      </c>
      <c r="N202" s="11"/>
      <c r="O202" s="143"/>
      <c r="P202" s="9">
        <f t="array" ref="P202">IFERROR(O202/G202*100,0)</f>
        <v>0</v>
      </c>
      <c r="Q202" s="143"/>
      <c r="R202" s="9">
        <f t="shared" si="28"/>
        <v>0</v>
      </c>
      <c r="S202" s="8" t="str">
        <f t="array" ref="S202">IF(R202&gt;5,"Perlu Sensus",IF(AND(R202&gt;=0,O202&gt;0),"Tetap Deteksi","Belum Deteksi"))</f>
        <v>Belum Deteksi</v>
      </c>
      <c r="T202" s="143"/>
      <c r="U202" s="9">
        <f t="shared" si="30"/>
        <v>0</v>
      </c>
      <c r="V202" s="11"/>
      <c r="W202" s="143"/>
      <c r="X202" s="143"/>
      <c r="Y202" s="9">
        <f t="shared" si="29"/>
        <v>0</v>
      </c>
      <c r="Z202" s="8" t="str">
        <f t="array" ref="Z202">IF(Y202&gt;5,"Perlu Sensus",IF(AND(Y202&gt;0,,O202&gt;0),"Tetap Deteksi","Belum Deteksi"))</f>
        <v>Belum Deteksi</v>
      </c>
      <c r="AA202" s="143"/>
      <c r="AB202" s="9">
        <f t="shared" si="31"/>
        <v>0</v>
      </c>
    </row>
    <row r="203" spans="1:28" outlineLevel="1" x14ac:dyDescent="0.15">
      <c r="A203" s="8" t="s">
        <v>628</v>
      </c>
      <c r="B203" s="8" t="s">
        <v>47</v>
      </c>
      <c r="C203" s="8" t="s">
        <v>216</v>
      </c>
      <c r="D203" s="8" t="s">
        <v>785</v>
      </c>
      <c r="E203" s="9">
        <v>8.92</v>
      </c>
      <c r="F203" s="8" t="s">
        <v>16</v>
      </c>
      <c r="G203" s="143">
        <f t="array" ref="G203">INDEX('[23]SENSUS MEI'!$G$9:$G$453,MATCH(1,('[23]SENSUS MEI'!$D$9:$D$453=$D203)*('[23]SENSUS MEI'!$D$9:$D$453=$D203),0))</f>
        <v>1144</v>
      </c>
      <c r="H203" s="132">
        <f t="shared" si="24"/>
        <v>46247</v>
      </c>
      <c r="I203" s="140">
        <f t="shared" si="24"/>
        <v>59</v>
      </c>
      <c r="J203" s="9">
        <f t="shared" si="25"/>
        <v>5.1573426573426575</v>
      </c>
      <c r="K203" s="140">
        <f t="shared" si="26"/>
        <v>3</v>
      </c>
      <c r="L203" s="206">
        <f t="shared" si="27"/>
        <v>5.0847457627118651</v>
      </c>
      <c r="M203" s="8" t="str">
        <f t="array" ref="M203">IF(L203&gt;5,"Perlu Sensus",IF(AND(L203&gt;=0,I203&gt;0),"Tetap Deteksi","Belum Deteksi"))</f>
        <v>Perlu Sensus</v>
      </c>
      <c r="N203" s="11">
        <v>46247</v>
      </c>
      <c r="O203" s="143">
        <v>59</v>
      </c>
      <c r="P203" s="9">
        <f t="array" ref="P203">IFERROR(O203/G203*100,0)</f>
        <v>5.1573426573426575</v>
      </c>
      <c r="Q203" s="143">
        <v>3</v>
      </c>
      <c r="R203" s="9">
        <f t="shared" si="28"/>
        <v>5.0847457627118651</v>
      </c>
      <c r="S203" s="8" t="str">
        <f t="array" ref="S203">IF(R203&gt;5,"Perlu Sensus",IF(AND(R203&gt;=0,O203&gt;0),"Tetap Deteksi","Belum Deteksi"))</f>
        <v>Perlu Sensus</v>
      </c>
      <c r="T203" s="143">
        <v>0</v>
      </c>
      <c r="U203" s="9">
        <f t="shared" si="30"/>
        <v>0</v>
      </c>
      <c r="V203" s="11"/>
      <c r="W203" s="143"/>
      <c r="X203" s="143"/>
      <c r="Y203" s="9">
        <f t="shared" si="29"/>
        <v>0</v>
      </c>
      <c r="Z203" s="8" t="str">
        <f t="array" ref="Z203">IF(Y203&gt;5,"Perlu Sensus",IF(AND(Y203&gt;0,,O203&gt;0),"Tetap Deteksi","Belum Deteksi"))</f>
        <v>Belum Deteksi</v>
      </c>
      <c r="AA203" s="143"/>
      <c r="AB203" s="9">
        <f t="shared" si="31"/>
        <v>0</v>
      </c>
    </row>
    <row r="204" spans="1:28" hidden="1" outlineLevel="1" x14ac:dyDescent="0.15">
      <c r="A204" s="8" t="s">
        <v>628</v>
      </c>
      <c r="B204" s="8" t="s">
        <v>47</v>
      </c>
      <c r="C204" s="8" t="s">
        <v>216</v>
      </c>
      <c r="D204" s="8" t="s">
        <v>786</v>
      </c>
      <c r="E204" s="9">
        <v>9.35</v>
      </c>
      <c r="F204" s="8" t="s">
        <v>16</v>
      </c>
      <c r="G204" s="143">
        <f t="array" ref="G204">INDEX('[23]SENSUS MEI'!$G$9:$G$453,MATCH(1,('[23]SENSUS MEI'!$D$9:$D$453=$D204)*('[23]SENSUS MEI'!$D$9:$D$453=$D204),0))</f>
        <v>1178</v>
      </c>
      <c r="H204" s="132">
        <f t="shared" si="24"/>
        <v>0</v>
      </c>
      <c r="I204" s="140">
        <f t="shared" si="24"/>
        <v>0</v>
      </c>
      <c r="J204" s="9" t="str">
        <f t="shared" si="25"/>
        <v xml:space="preserve"> </v>
      </c>
      <c r="K204" s="140">
        <f t="shared" si="26"/>
        <v>0</v>
      </c>
      <c r="L204" s="206">
        <f t="shared" si="27"/>
        <v>0</v>
      </c>
      <c r="M204" s="8" t="str">
        <f t="array" ref="M204">IF(L204&gt;5,"Perlu Sensus",IF(AND(L204&gt;=0,I204&gt;0),"Tetap Deteksi","Belum Deteksi"))</f>
        <v>Belum Deteksi</v>
      </c>
      <c r="N204" s="11"/>
      <c r="O204" s="143"/>
      <c r="P204" s="9">
        <f t="array" ref="P204">IFERROR(O204/G204*100,0)</f>
        <v>0</v>
      </c>
      <c r="Q204" s="143"/>
      <c r="R204" s="9">
        <f t="shared" si="28"/>
        <v>0</v>
      </c>
      <c r="S204" s="8" t="str">
        <f t="array" ref="S204">IF(R204&gt;5,"Perlu Sensus",IF(AND(R204&gt;=0,O204&gt;0),"Tetap Deteksi","Belum Deteksi"))</f>
        <v>Belum Deteksi</v>
      </c>
      <c r="T204" s="143"/>
      <c r="U204" s="9">
        <f t="shared" si="30"/>
        <v>0</v>
      </c>
      <c r="V204" s="11"/>
      <c r="W204" s="143"/>
      <c r="X204" s="143"/>
      <c r="Y204" s="9">
        <f t="shared" si="29"/>
        <v>0</v>
      </c>
      <c r="Z204" s="8" t="str">
        <f t="array" ref="Z204">IF(Y204&gt;5,"Perlu Sensus",IF(AND(Y204&gt;0,,O204&gt;0),"Tetap Deteksi","Belum Deteksi"))</f>
        <v>Belum Deteksi</v>
      </c>
      <c r="AA204" s="143"/>
      <c r="AB204" s="9">
        <f t="shared" si="31"/>
        <v>0</v>
      </c>
    </row>
    <row r="205" spans="1:28" outlineLevel="1" x14ac:dyDescent="0.15">
      <c r="A205" s="8" t="s">
        <v>628</v>
      </c>
      <c r="B205" s="8" t="s">
        <v>47</v>
      </c>
      <c r="C205" s="8" t="s">
        <v>216</v>
      </c>
      <c r="D205" s="8" t="s">
        <v>787</v>
      </c>
      <c r="E205" s="9">
        <v>9.7899999999999991</v>
      </c>
      <c r="F205" s="8" t="s">
        <v>16</v>
      </c>
      <c r="G205" s="143">
        <f t="array" ref="G205">INDEX('[23]SENSUS MEI'!$G$9:$G$453,MATCH(1,('[23]SENSUS MEI'!$D$9:$D$453=$D205)*('[23]SENSUS MEI'!$D$9:$D$453=$D205),0))</f>
        <v>1325</v>
      </c>
      <c r="H205" s="132">
        <f t="shared" si="24"/>
        <v>46247</v>
      </c>
      <c r="I205" s="140">
        <f t="shared" si="24"/>
        <v>53</v>
      </c>
      <c r="J205" s="9">
        <f t="shared" si="25"/>
        <v>4</v>
      </c>
      <c r="K205" s="140">
        <f t="shared" si="26"/>
        <v>5</v>
      </c>
      <c r="L205" s="206">
        <f t="shared" si="27"/>
        <v>9.433962264150944</v>
      </c>
      <c r="M205" s="8" t="str">
        <f t="array" ref="M205">IF(L205&gt;5,"Perlu Sensus",IF(AND(L205&gt;=0,I205&gt;0),"Tetap Deteksi","Belum Deteksi"))</f>
        <v>Perlu Sensus</v>
      </c>
      <c r="N205" s="11">
        <v>46247</v>
      </c>
      <c r="O205" s="143">
        <v>53</v>
      </c>
      <c r="P205" s="9">
        <f t="array" ref="P205">IFERROR(O205/G205*100,0)</f>
        <v>4</v>
      </c>
      <c r="Q205" s="143">
        <v>5</v>
      </c>
      <c r="R205" s="9">
        <f t="shared" si="28"/>
        <v>9.433962264150944</v>
      </c>
      <c r="S205" s="8" t="str">
        <f t="array" ref="S205">IF(R205&gt;5,"Perlu Sensus",IF(AND(R205&gt;=0,O205&gt;0),"Tetap Deteksi","Belum Deteksi"))</f>
        <v>Perlu Sensus</v>
      </c>
      <c r="T205" s="143">
        <v>0</v>
      </c>
      <c r="U205" s="9">
        <f t="shared" si="30"/>
        <v>0</v>
      </c>
      <c r="V205" s="11"/>
      <c r="W205" s="143"/>
      <c r="X205" s="143"/>
      <c r="Y205" s="9">
        <f t="shared" si="29"/>
        <v>0</v>
      </c>
      <c r="Z205" s="8" t="str">
        <f t="array" ref="Z205">IF(Y205&gt;5,"Perlu Sensus",IF(AND(Y205&gt;0,,O205&gt;0),"Tetap Deteksi","Belum Deteksi"))</f>
        <v>Belum Deteksi</v>
      </c>
      <c r="AA205" s="143"/>
      <c r="AB205" s="9">
        <f t="shared" si="31"/>
        <v>0</v>
      </c>
    </row>
    <row r="206" spans="1:28" outlineLevel="1" x14ac:dyDescent="0.15">
      <c r="A206" s="8" t="s">
        <v>628</v>
      </c>
      <c r="B206" s="8" t="s">
        <v>47</v>
      </c>
      <c r="C206" s="8" t="s">
        <v>216</v>
      </c>
      <c r="D206" s="8" t="s">
        <v>788</v>
      </c>
      <c r="E206" s="9">
        <v>10.46</v>
      </c>
      <c r="F206" s="8" t="s">
        <v>16</v>
      </c>
      <c r="G206" s="143">
        <f t="array" ref="G206">INDEX('[23]SENSUS MEI'!$G$9:$G$453,MATCH(1,('[23]SENSUS MEI'!$D$9:$D$453=$D206)*('[23]SENSUS MEI'!$D$9:$D$453=$D206),0))</f>
        <v>1472</v>
      </c>
      <c r="H206" s="132">
        <f t="shared" si="24"/>
        <v>46247</v>
      </c>
      <c r="I206" s="140">
        <f t="shared" si="24"/>
        <v>54</v>
      </c>
      <c r="J206" s="9">
        <f t="shared" si="25"/>
        <v>3.6684782608695654</v>
      </c>
      <c r="K206" s="140">
        <f t="shared" si="26"/>
        <v>4</v>
      </c>
      <c r="L206" s="206">
        <f t="shared" si="27"/>
        <v>7.4074074074074066</v>
      </c>
      <c r="M206" s="8" t="str">
        <f t="array" ref="M206">IF(L206&gt;5,"Perlu Sensus",IF(AND(L206&gt;=0,I206&gt;0),"Tetap Deteksi","Belum Deteksi"))</f>
        <v>Perlu Sensus</v>
      </c>
      <c r="N206" s="11">
        <v>46247</v>
      </c>
      <c r="O206" s="143">
        <v>54</v>
      </c>
      <c r="P206" s="9">
        <f t="array" ref="P206">IFERROR(O206/G206*100,0)</f>
        <v>3.6684782608695654</v>
      </c>
      <c r="Q206" s="143">
        <v>4</v>
      </c>
      <c r="R206" s="9">
        <f t="shared" si="28"/>
        <v>7.4074074074074066</v>
      </c>
      <c r="S206" s="8" t="str">
        <f t="array" ref="S206">IF(R206&gt;5,"Perlu Sensus",IF(AND(R206&gt;=0,O206&gt;0),"Tetap Deteksi","Belum Deteksi"))</f>
        <v>Perlu Sensus</v>
      </c>
      <c r="T206" s="143">
        <v>0</v>
      </c>
      <c r="U206" s="9">
        <f t="shared" si="30"/>
        <v>0</v>
      </c>
      <c r="V206" s="11"/>
      <c r="W206" s="143"/>
      <c r="X206" s="143"/>
      <c r="Y206" s="9">
        <f t="shared" si="29"/>
        <v>0</v>
      </c>
      <c r="Z206" s="8" t="str">
        <f t="array" ref="Z206">IF(Y206&gt;5,"Perlu Sensus",IF(AND(Y206&gt;0,,O206&gt;0),"Tetap Deteksi","Belum Deteksi"))</f>
        <v>Belum Deteksi</v>
      </c>
      <c r="AA206" s="143"/>
      <c r="AB206" s="9">
        <f t="shared" si="31"/>
        <v>0</v>
      </c>
    </row>
    <row r="207" spans="1:28" hidden="1" outlineLevel="1" x14ac:dyDescent="0.15">
      <c r="A207" s="8" t="s">
        <v>628</v>
      </c>
      <c r="B207" s="8" t="s">
        <v>47</v>
      </c>
      <c r="C207" s="8" t="s">
        <v>216</v>
      </c>
      <c r="D207" s="8" t="s">
        <v>789</v>
      </c>
      <c r="E207" s="9">
        <v>10.08</v>
      </c>
      <c r="F207" s="8" t="s">
        <v>16</v>
      </c>
      <c r="G207" s="143">
        <f t="array" ref="G207">INDEX('[23]SENSUS MEI'!$G$9:$G$453,MATCH(1,('[23]SENSUS MEI'!$D$9:$D$453=$D207)*('[23]SENSUS MEI'!$D$9:$D$453=$D207),0))</f>
        <v>754</v>
      </c>
      <c r="H207" s="132">
        <f t="shared" si="24"/>
        <v>0</v>
      </c>
      <c r="I207" s="140">
        <f t="shared" si="24"/>
        <v>0</v>
      </c>
      <c r="J207" s="9" t="str">
        <f t="shared" si="25"/>
        <v xml:space="preserve"> </v>
      </c>
      <c r="K207" s="140">
        <f t="shared" si="26"/>
        <v>0</v>
      </c>
      <c r="L207" s="206">
        <f t="shared" si="27"/>
        <v>0</v>
      </c>
      <c r="M207" s="8" t="str">
        <f t="array" ref="M207">IF(L207&gt;5,"Perlu Sensus",IF(AND(L207&gt;=0,I207&gt;0),"Tetap Deteksi","Belum Deteksi"))</f>
        <v>Belum Deteksi</v>
      </c>
      <c r="N207" s="11"/>
      <c r="O207" s="143"/>
      <c r="P207" s="9">
        <f t="array" ref="P207">IFERROR(O207/G207*100,0)</f>
        <v>0</v>
      </c>
      <c r="Q207" s="143"/>
      <c r="R207" s="9">
        <f t="shared" si="28"/>
        <v>0</v>
      </c>
      <c r="S207" s="8" t="str">
        <f t="array" ref="S207">IF(R207&gt;5,"Perlu Sensus",IF(AND(R207&gt;=0,O207&gt;0),"Tetap Deteksi","Belum Deteksi"))</f>
        <v>Belum Deteksi</v>
      </c>
      <c r="T207" s="143"/>
      <c r="U207" s="9">
        <f t="shared" si="30"/>
        <v>0</v>
      </c>
      <c r="V207" s="11"/>
      <c r="W207" s="143"/>
      <c r="X207" s="143"/>
      <c r="Y207" s="9">
        <f t="shared" si="29"/>
        <v>0</v>
      </c>
      <c r="Z207" s="8" t="str">
        <f t="array" ref="Z207">IF(Y207&gt;5,"Perlu Sensus",IF(AND(Y207&gt;0,,O207&gt;0),"Tetap Deteksi","Belum Deteksi"))</f>
        <v>Belum Deteksi</v>
      </c>
      <c r="AA207" s="143"/>
      <c r="AB207" s="9">
        <f t="shared" si="31"/>
        <v>0</v>
      </c>
    </row>
    <row r="208" spans="1:28" hidden="1" outlineLevel="1" x14ac:dyDescent="0.15">
      <c r="A208" s="8" t="s">
        <v>628</v>
      </c>
      <c r="B208" s="8" t="s">
        <v>47</v>
      </c>
      <c r="C208" s="8" t="s">
        <v>216</v>
      </c>
      <c r="D208" s="8" t="s">
        <v>790</v>
      </c>
      <c r="E208" s="9">
        <v>4.09</v>
      </c>
      <c r="F208" s="8" t="s">
        <v>16</v>
      </c>
      <c r="G208" s="143">
        <f t="array" ref="G208">INDEX('[23]SENSUS MEI'!$G$9:$G$453,MATCH(1,('[23]SENSUS MEI'!$D$9:$D$453=$D208)*('[23]SENSUS MEI'!$D$9:$D$453=$D208),0))</f>
        <v>642</v>
      </c>
      <c r="H208" s="132">
        <f t="shared" si="24"/>
        <v>0</v>
      </c>
      <c r="I208" s="140">
        <f t="shared" si="24"/>
        <v>0</v>
      </c>
      <c r="J208" s="9" t="str">
        <f t="shared" si="25"/>
        <v xml:space="preserve"> </v>
      </c>
      <c r="K208" s="140">
        <f t="shared" si="26"/>
        <v>0</v>
      </c>
      <c r="L208" s="206">
        <f t="shared" si="27"/>
        <v>0</v>
      </c>
      <c r="M208" s="8" t="str">
        <f t="array" ref="M208">IF(L208&gt;5,"Perlu Sensus",IF(AND(L208&gt;=0,I208&gt;0),"Tetap Deteksi","Belum Deteksi"))</f>
        <v>Belum Deteksi</v>
      </c>
      <c r="N208" s="11"/>
      <c r="O208" s="143"/>
      <c r="P208" s="9">
        <f t="array" ref="P208">IFERROR(O208/G208*100,0)</f>
        <v>0</v>
      </c>
      <c r="Q208" s="143"/>
      <c r="R208" s="9">
        <f t="shared" si="28"/>
        <v>0</v>
      </c>
      <c r="S208" s="8" t="str">
        <f t="array" ref="S208">IF(R208&gt;5,"Perlu Sensus",IF(AND(R208&gt;=0,O208&gt;0),"Tetap Deteksi","Belum Deteksi"))</f>
        <v>Belum Deteksi</v>
      </c>
      <c r="T208" s="143"/>
      <c r="U208" s="9">
        <f t="shared" si="30"/>
        <v>0</v>
      </c>
      <c r="V208" s="11"/>
      <c r="W208" s="143"/>
      <c r="X208" s="143"/>
      <c r="Y208" s="9">
        <f t="shared" si="29"/>
        <v>0</v>
      </c>
      <c r="Z208" s="8" t="str">
        <f t="array" ref="Z208">IF(Y208&gt;5,"Perlu Sensus",IF(AND(Y208&gt;0,,O208&gt;0),"Tetap Deteksi","Belum Deteksi"))</f>
        <v>Belum Deteksi</v>
      </c>
      <c r="AA208" s="143"/>
      <c r="AB208" s="9">
        <f t="shared" si="31"/>
        <v>0</v>
      </c>
    </row>
    <row r="209" spans="1:28" outlineLevel="1" x14ac:dyDescent="0.15">
      <c r="A209" s="8" t="s">
        <v>628</v>
      </c>
      <c r="B209" s="8" t="s">
        <v>47</v>
      </c>
      <c r="C209" s="8" t="s">
        <v>216</v>
      </c>
      <c r="D209" s="8" t="s">
        <v>791</v>
      </c>
      <c r="E209" s="9">
        <v>35.47</v>
      </c>
      <c r="F209" s="8" t="s">
        <v>132</v>
      </c>
      <c r="G209" s="143">
        <f t="array" ref="G209">INDEX('[23]SENSUS MEI'!$G$9:$G$453,MATCH(1,('[23]SENSUS MEI'!$D$9:$D$453=$D209)*('[23]SENSUS MEI'!$D$9:$D$453=$D209),0))</f>
        <v>5067</v>
      </c>
      <c r="H209" s="132">
        <f t="shared" si="24"/>
        <v>46248</v>
      </c>
      <c r="I209" s="140">
        <f t="shared" si="24"/>
        <v>54</v>
      </c>
      <c r="J209" s="9">
        <f t="shared" si="25"/>
        <v>1.0657193605683837</v>
      </c>
      <c r="K209" s="140">
        <f t="shared" si="26"/>
        <v>4</v>
      </c>
      <c r="L209" s="206">
        <f t="shared" si="27"/>
        <v>7.4074074074074066</v>
      </c>
      <c r="M209" s="8" t="str">
        <f t="array" ref="M209">IF(L209&gt;5,"Perlu Sensus",IF(AND(L209&gt;=0,I209&gt;0),"Tetap Deteksi","Belum Deteksi"))</f>
        <v>Perlu Sensus</v>
      </c>
      <c r="N209" s="11">
        <v>46248</v>
      </c>
      <c r="O209" s="143">
        <v>54</v>
      </c>
      <c r="P209" s="9">
        <f t="array" ref="P209">IFERROR(O209/G209*100,0)</f>
        <v>1.0657193605683837</v>
      </c>
      <c r="Q209" s="143">
        <v>4</v>
      </c>
      <c r="R209" s="9">
        <f t="shared" si="28"/>
        <v>7.4074074074074066</v>
      </c>
      <c r="S209" s="8" t="str">
        <f t="array" ref="S209">IF(R209&gt;5,"Perlu Sensus",IF(AND(R209&gt;=0,O209&gt;0),"Tetap Deteksi","Belum Deteksi"))</f>
        <v>Perlu Sensus</v>
      </c>
      <c r="T209" s="143">
        <v>12</v>
      </c>
      <c r="U209" s="9">
        <f t="shared" si="30"/>
        <v>22.222222222222221</v>
      </c>
      <c r="V209" s="11"/>
      <c r="W209" s="143"/>
      <c r="X209" s="143"/>
      <c r="Y209" s="9">
        <f t="shared" si="29"/>
        <v>0</v>
      </c>
      <c r="Z209" s="8" t="str">
        <f t="array" ref="Z209">IF(Y209&gt;5,"Perlu Sensus",IF(AND(Y209&gt;0,,O209&gt;0),"Tetap Deteksi","Belum Deteksi"))</f>
        <v>Belum Deteksi</v>
      </c>
      <c r="AA209" s="143"/>
      <c r="AB209" s="9">
        <f t="shared" si="31"/>
        <v>0</v>
      </c>
    </row>
    <row r="210" spans="1:28" hidden="1" outlineLevel="1" x14ac:dyDescent="0.15">
      <c r="A210" s="8" t="s">
        <v>628</v>
      </c>
      <c r="B210" s="8" t="s">
        <v>47</v>
      </c>
      <c r="C210" s="8" t="s">
        <v>216</v>
      </c>
      <c r="D210" s="8" t="s">
        <v>792</v>
      </c>
      <c r="E210" s="9">
        <v>37.68</v>
      </c>
      <c r="F210" s="8" t="s">
        <v>132</v>
      </c>
      <c r="G210" s="143">
        <f t="array" ref="G210">INDEX('[23]SENSUS MEI'!$G$9:$G$453,MATCH(1,('[23]SENSUS MEI'!$D$9:$D$453=$D210)*('[23]SENSUS MEI'!$D$9:$D$453=$D210),0))</f>
        <v>5315</v>
      </c>
      <c r="H210" s="132">
        <f t="shared" si="24"/>
        <v>0</v>
      </c>
      <c r="I210" s="140">
        <f t="shared" si="24"/>
        <v>0</v>
      </c>
      <c r="J210" s="9" t="str">
        <f t="shared" si="25"/>
        <v xml:space="preserve"> </v>
      </c>
      <c r="K210" s="140">
        <f t="shared" si="26"/>
        <v>0</v>
      </c>
      <c r="L210" s="206">
        <f t="shared" si="27"/>
        <v>0</v>
      </c>
      <c r="M210" s="8" t="str">
        <f t="array" ref="M210">IF(L210&gt;5,"Perlu Sensus",IF(AND(L210&gt;=0,I210&gt;0),"Tetap Deteksi","Belum Deteksi"))</f>
        <v>Belum Deteksi</v>
      </c>
      <c r="N210" s="11"/>
      <c r="O210" s="143"/>
      <c r="P210" s="9">
        <f t="array" ref="P210">IFERROR(O210/G210*100,0)</f>
        <v>0</v>
      </c>
      <c r="Q210" s="143"/>
      <c r="R210" s="9">
        <f t="shared" si="28"/>
        <v>0</v>
      </c>
      <c r="S210" s="8" t="str">
        <f t="array" ref="S210">IF(R210&gt;5,"Perlu Sensus",IF(AND(R210&gt;=0,O210&gt;0),"Tetap Deteksi","Belum Deteksi"))</f>
        <v>Belum Deteksi</v>
      </c>
      <c r="T210" s="143"/>
      <c r="U210" s="9">
        <f t="shared" si="30"/>
        <v>0</v>
      </c>
      <c r="V210" s="11"/>
      <c r="W210" s="143"/>
      <c r="X210" s="143"/>
      <c r="Y210" s="9">
        <f t="shared" si="29"/>
        <v>0</v>
      </c>
      <c r="Z210" s="8" t="str">
        <f t="array" ref="Z210">IF(Y210&gt;5,"Perlu Sensus",IF(AND(Y210&gt;0,,O210&gt;0),"Tetap Deteksi","Belum Deteksi"))</f>
        <v>Belum Deteksi</v>
      </c>
      <c r="AA210" s="143"/>
      <c r="AB210" s="9">
        <f t="shared" si="31"/>
        <v>0</v>
      </c>
    </row>
    <row r="211" spans="1:28" hidden="1" outlineLevel="1" x14ac:dyDescent="0.15">
      <c r="A211" s="8" t="s">
        <v>628</v>
      </c>
      <c r="B211" s="8" t="s">
        <v>47</v>
      </c>
      <c r="C211" s="8" t="s">
        <v>216</v>
      </c>
      <c r="D211" s="8" t="s">
        <v>793</v>
      </c>
      <c r="E211" s="9">
        <v>34.06</v>
      </c>
      <c r="F211" s="8" t="s">
        <v>132</v>
      </c>
      <c r="G211" s="143">
        <f t="array" ref="G211">INDEX('[23]SENSUS MEI'!$G$9:$G$453,MATCH(1,('[23]SENSUS MEI'!$D$9:$D$453=$D211)*('[23]SENSUS MEI'!$D$9:$D$453=$D211),0))</f>
        <v>4895</v>
      </c>
      <c r="H211" s="132">
        <f t="shared" si="24"/>
        <v>0</v>
      </c>
      <c r="I211" s="140">
        <f t="shared" si="24"/>
        <v>0</v>
      </c>
      <c r="J211" s="9" t="str">
        <f t="shared" si="25"/>
        <v xml:space="preserve"> </v>
      </c>
      <c r="K211" s="140">
        <f t="shared" si="26"/>
        <v>0</v>
      </c>
      <c r="L211" s="206">
        <f t="shared" si="27"/>
        <v>0</v>
      </c>
      <c r="M211" s="8" t="str">
        <f t="array" ref="M211">IF(L211&gt;5,"Perlu Sensus",IF(AND(L211&gt;=0,I211&gt;0),"Tetap Deteksi","Belum Deteksi"))</f>
        <v>Belum Deteksi</v>
      </c>
      <c r="N211" s="11"/>
      <c r="O211" s="143"/>
      <c r="P211" s="9">
        <f t="array" ref="P211">IFERROR(O211/G211*100,0)</f>
        <v>0</v>
      </c>
      <c r="Q211" s="143"/>
      <c r="R211" s="9">
        <f t="shared" si="28"/>
        <v>0</v>
      </c>
      <c r="S211" s="8" t="str">
        <f t="array" ref="S211">IF(R211&gt;5,"Perlu Sensus",IF(AND(R211&gt;=0,O211&gt;0),"Tetap Deteksi","Belum Deteksi"))</f>
        <v>Belum Deteksi</v>
      </c>
      <c r="T211" s="143"/>
      <c r="U211" s="9">
        <f t="shared" si="30"/>
        <v>0</v>
      </c>
      <c r="V211" s="11"/>
      <c r="W211" s="143"/>
      <c r="X211" s="143"/>
      <c r="Y211" s="9">
        <f t="shared" si="29"/>
        <v>0</v>
      </c>
      <c r="Z211" s="8" t="str">
        <f t="array" ref="Z211">IF(Y211&gt;5,"Perlu Sensus",IF(AND(Y211&gt;0,,O211&gt;0),"Tetap Deteksi","Belum Deteksi"))</f>
        <v>Belum Deteksi</v>
      </c>
      <c r="AA211" s="143"/>
      <c r="AB211" s="9">
        <f t="shared" si="31"/>
        <v>0</v>
      </c>
    </row>
    <row r="212" spans="1:28" hidden="1" outlineLevel="1" x14ac:dyDescent="0.15">
      <c r="A212" s="8" t="s">
        <v>628</v>
      </c>
      <c r="B212" s="8" t="s">
        <v>47</v>
      </c>
      <c r="C212" s="8" t="s">
        <v>216</v>
      </c>
      <c r="D212" s="8" t="s">
        <v>794</v>
      </c>
      <c r="E212" s="9">
        <v>36.85</v>
      </c>
      <c r="F212" s="8" t="s">
        <v>132</v>
      </c>
      <c r="G212" s="143">
        <f t="array" ref="G212">INDEX('[23]SENSUS MEI'!$G$9:$G$453,MATCH(1,('[23]SENSUS MEI'!$D$9:$D$453=$D212)*('[23]SENSUS MEI'!$D$9:$D$453=$D212),0))</f>
        <v>4335</v>
      </c>
      <c r="H212" s="132">
        <f t="shared" si="24"/>
        <v>0</v>
      </c>
      <c r="I212" s="140">
        <f t="shared" si="24"/>
        <v>0</v>
      </c>
      <c r="J212" s="9" t="str">
        <f t="shared" si="25"/>
        <v xml:space="preserve"> </v>
      </c>
      <c r="K212" s="140">
        <f t="shared" si="26"/>
        <v>0</v>
      </c>
      <c r="L212" s="206">
        <f t="shared" si="27"/>
        <v>0</v>
      </c>
      <c r="M212" s="8" t="str">
        <f t="array" ref="M212">IF(L212&gt;5,"Perlu Sensus",IF(AND(L212&gt;=0,I212&gt;0),"Tetap Deteksi","Belum Deteksi"))</f>
        <v>Belum Deteksi</v>
      </c>
      <c r="N212" s="11"/>
      <c r="O212" s="143"/>
      <c r="P212" s="9">
        <f t="array" ref="P212">IFERROR(O212/G212*100,0)</f>
        <v>0</v>
      </c>
      <c r="Q212" s="143"/>
      <c r="R212" s="9">
        <f t="shared" si="28"/>
        <v>0</v>
      </c>
      <c r="S212" s="8" t="str">
        <f t="array" ref="S212">IF(R212&gt;5,"Perlu Sensus",IF(AND(R212&gt;=0,O212&gt;0),"Tetap Deteksi","Belum Deteksi"))</f>
        <v>Belum Deteksi</v>
      </c>
      <c r="T212" s="143"/>
      <c r="U212" s="9">
        <f t="shared" si="30"/>
        <v>0</v>
      </c>
      <c r="V212" s="11"/>
      <c r="W212" s="143"/>
      <c r="X212" s="143"/>
      <c r="Y212" s="9">
        <f t="shared" si="29"/>
        <v>0</v>
      </c>
      <c r="Z212" s="8" t="str">
        <f t="array" ref="Z212">IF(Y212&gt;5,"Perlu Sensus",IF(AND(Y212&gt;0,,O212&gt;0),"Tetap Deteksi","Belum Deteksi"))</f>
        <v>Belum Deteksi</v>
      </c>
      <c r="AA212" s="143"/>
      <c r="AB212" s="9">
        <f t="shared" si="31"/>
        <v>0</v>
      </c>
    </row>
    <row r="213" spans="1:28" hidden="1" outlineLevel="1" x14ac:dyDescent="0.15">
      <c r="A213" s="8" t="s">
        <v>628</v>
      </c>
      <c r="B213" s="8" t="s">
        <v>47</v>
      </c>
      <c r="C213" s="8" t="s">
        <v>216</v>
      </c>
      <c r="D213" s="8" t="s">
        <v>795</v>
      </c>
      <c r="E213" s="9">
        <v>34.31</v>
      </c>
      <c r="F213" s="8" t="s">
        <v>132</v>
      </c>
      <c r="G213" s="143">
        <f t="array" ref="G213">INDEX('[23]SENSUS MEI'!$G$9:$G$453,MATCH(1,('[23]SENSUS MEI'!$D$9:$D$453=$D213)*('[23]SENSUS MEI'!$D$9:$D$453=$D213),0))</f>
        <v>5020</v>
      </c>
      <c r="H213" s="132">
        <f t="shared" si="24"/>
        <v>0</v>
      </c>
      <c r="I213" s="140">
        <f t="shared" si="24"/>
        <v>0</v>
      </c>
      <c r="J213" s="9" t="str">
        <f t="shared" si="25"/>
        <v xml:space="preserve"> </v>
      </c>
      <c r="K213" s="140">
        <f t="shared" si="26"/>
        <v>0</v>
      </c>
      <c r="L213" s="206">
        <f t="shared" si="27"/>
        <v>0</v>
      </c>
      <c r="M213" s="8" t="str">
        <f t="array" ref="M213">IF(L213&gt;5,"Perlu Sensus",IF(AND(L213&gt;=0,I213&gt;0),"Tetap Deteksi","Belum Deteksi"))</f>
        <v>Belum Deteksi</v>
      </c>
      <c r="N213" s="11"/>
      <c r="O213" s="143"/>
      <c r="P213" s="9">
        <f t="array" ref="P213">IFERROR(O213/G213*100,0)</f>
        <v>0</v>
      </c>
      <c r="Q213" s="143"/>
      <c r="R213" s="9">
        <f t="shared" si="28"/>
        <v>0</v>
      </c>
      <c r="S213" s="8" t="str">
        <f t="array" ref="S213">IF(R213&gt;5,"Perlu Sensus",IF(AND(R213&gt;=0,O213&gt;0),"Tetap Deteksi","Belum Deteksi"))</f>
        <v>Belum Deteksi</v>
      </c>
      <c r="T213" s="143"/>
      <c r="U213" s="9">
        <f t="shared" si="30"/>
        <v>0</v>
      </c>
      <c r="V213" s="11"/>
      <c r="W213" s="143"/>
      <c r="X213" s="143"/>
      <c r="Y213" s="9">
        <f t="shared" si="29"/>
        <v>0</v>
      </c>
      <c r="Z213" s="8" t="str">
        <f t="array" ref="Z213">IF(Y213&gt;5,"Perlu Sensus",IF(AND(Y213&gt;0,,O213&gt;0),"Tetap Deteksi","Belum Deteksi"))</f>
        <v>Belum Deteksi</v>
      </c>
      <c r="AA213" s="143"/>
      <c r="AB213" s="9">
        <f t="shared" si="31"/>
        <v>0</v>
      </c>
    </row>
    <row r="214" spans="1:28" hidden="1" outlineLevel="1" x14ac:dyDescent="0.15">
      <c r="A214" s="8" t="s">
        <v>628</v>
      </c>
      <c r="B214" s="8" t="s">
        <v>47</v>
      </c>
      <c r="C214" s="8" t="s">
        <v>216</v>
      </c>
      <c r="D214" s="8" t="s">
        <v>796</v>
      </c>
      <c r="E214" s="9">
        <v>31.7</v>
      </c>
      <c r="F214" s="8" t="s">
        <v>132</v>
      </c>
      <c r="G214" s="143">
        <f t="array" ref="G214">INDEX('[23]SENSUS MEI'!$G$9:$G$453,MATCH(1,('[23]SENSUS MEI'!$D$9:$D$453=$D214)*('[23]SENSUS MEI'!$D$9:$D$453=$D214),0))</f>
        <v>4629</v>
      </c>
      <c r="H214" s="132">
        <f t="shared" ref="H214:I277" si="32">IF(N214&gt;0,N214,V214)</f>
        <v>0</v>
      </c>
      <c r="I214" s="140">
        <f t="shared" si="32"/>
        <v>0</v>
      </c>
      <c r="J214" s="9" t="str">
        <f t="shared" si="25"/>
        <v xml:space="preserve"> </v>
      </c>
      <c r="K214" s="140">
        <f t="shared" si="26"/>
        <v>0</v>
      </c>
      <c r="L214" s="206">
        <f t="shared" si="27"/>
        <v>0</v>
      </c>
      <c r="M214" s="8" t="str">
        <f t="array" ref="M214">IF(L214&gt;5,"Perlu Sensus",IF(AND(L214&gt;=0,I214&gt;0),"Tetap Deteksi","Belum Deteksi"))</f>
        <v>Belum Deteksi</v>
      </c>
      <c r="N214" s="11"/>
      <c r="O214" s="143"/>
      <c r="P214" s="9">
        <f t="array" ref="P214">IFERROR(O214/G214*100,0)</f>
        <v>0</v>
      </c>
      <c r="Q214" s="143"/>
      <c r="R214" s="9">
        <f t="shared" si="28"/>
        <v>0</v>
      </c>
      <c r="S214" s="8" t="str">
        <f t="array" ref="S214">IF(R214&gt;5,"Perlu Sensus",IF(AND(R214&gt;=0,O214&gt;0),"Tetap Deteksi","Belum Deteksi"))</f>
        <v>Belum Deteksi</v>
      </c>
      <c r="T214" s="143"/>
      <c r="U214" s="9">
        <f t="shared" si="30"/>
        <v>0</v>
      </c>
      <c r="V214" s="11"/>
      <c r="W214" s="143"/>
      <c r="X214" s="143"/>
      <c r="Y214" s="9">
        <f t="shared" si="29"/>
        <v>0</v>
      </c>
      <c r="Z214" s="8" t="str">
        <f t="array" ref="Z214">IF(Y214&gt;5,"Perlu Sensus",IF(AND(Y214&gt;0,,O214&gt;0),"Tetap Deteksi","Belum Deteksi"))</f>
        <v>Belum Deteksi</v>
      </c>
      <c r="AA214" s="143"/>
      <c r="AB214" s="9">
        <f t="shared" si="31"/>
        <v>0</v>
      </c>
    </row>
    <row r="215" spans="1:28" hidden="1" outlineLevel="1" x14ac:dyDescent="0.15">
      <c r="A215" s="8" t="s">
        <v>628</v>
      </c>
      <c r="B215" s="8" t="s">
        <v>47</v>
      </c>
      <c r="C215" s="8" t="s">
        <v>216</v>
      </c>
      <c r="D215" s="8" t="s">
        <v>797</v>
      </c>
      <c r="E215" s="9">
        <v>24.96</v>
      </c>
      <c r="F215" s="8" t="s">
        <v>16</v>
      </c>
      <c r="G215" s="143">
        <f t="array" ref="G215">INDEX('[23]SENSUS MEI'!$G$9:$G$453,MATCH(1,('[23]SENSUS MEI'!$D$9:$D$453=$D215)*('[23]SENSUS MEI'!$D$9:$D$453=$D215),0))</f>
        <v>3637</v>
      </c>
      <c r="H215" s="132">
        <f t="shared" si="32"/>
        <v>0</v>
      </c>
      <c r="I215" s="140">
        <f t="shared" si="32"/>
        <v>0</v>
      </c>
      <c r="J215" s="9" t="str">
        <f t="shared" si="25"/>
        <v xml:space="preserve"> </v>
      </c>
      <c r="K215" s="140">
        <f t="shared" si="26"/>
        <v>0</v>
      </c>
      <c r="L215" s="206">
        <f t="shared" si="27"/>
        <v>0</v>
      </c>
      <c r="M215" s="8" t="str">
        <f t="array" ref="M215">IF(L215&gt;5,"Perlu Sensus",IF(AND(L215&gt;=0,I215&gt;0),"Tetap Deteksi","Belum Deteksi"))</f>
        <v>Belum Deteksi</v>
      </c>
      <c r="N215" s="11"/>
      <c r="O215" s="143"/>
      <c r="P215" s="9">
        <f t="array" ref="P215">IFERROR(O215/G215*100,0)</f>
        <v>0</v>
      </c>
      <c r="Q215" s="143"/>
      <c r="R215" s="9">
        <f t="shared" si="28"/>
        <v>0</v>
      </c>
      <c r="S215" s="8" t="str">
        <f t="array" ref="S215">IF(R215&gt;5,"Perlu Sensus",IF(AND(R215&gt;=0,O215&gt;0),"Tetap Deteksi","Belum Deteksi"))</f>
        <v>Belum Deteksi</v>
      </c>
      <c r="T215" s="143"/>
      <c r="U215" s="9">
        <f t="shared" si="30"/>
        <v>0</v>
      </c>
      <c r="V215" s="11"/>
      <c r="W215" s="143"/>
      <c r="X215" s="143"/>
      <c r="Y215" s="9">
        <f t="shared" si="29"/>
        <v>0</v>
      </c>
      <c r="Z215" s="8" t="str">
        <f t="array" ref="Z215">IF(Y215&gt;5,"Perlu Sensus",IF(AND(Y215&gt;0,,O215&gt;0),"Tetap Deteksi","Belum Deteksi"))</f>
        <v>Belum Deteksi</v>
      </c>
      <c r="AA215" s="143"/>
      <c r="AB215" s="9">
        <f t="shared" si="31"/>
        <v>0</v>
      </c>
    </row>
    <row r="216" spans="1:28" hidden="1" outlineLevel="1" x14ac:dyDescent="0.15">
      <c r="A216" s="8" t="s">
        <v>628</v>
      </c>
      <c r="B216" s="8" t="s">
        <v>47</v>
      </c>
      <c r="C216" s="8" t="s">
        <v>216</v>
      </c>
      <c r="D216" s="8" t="s">
        <v>798</v>
      </c>
      <c r="E216" s="9">
        <v>11.63</v>
      </c>
      <c r="F216" s="8" t="s">
        <v>16</v>
      </c>
      <c r="G216" s="143">
        <f t="array" ref="G216">INDEX('[23]SENSUS MEI'!$G$9:$G$453,MATCH(1,('[23]SENSUS MEI'!$D$9:$D$453=$D216)*('[23]SENSUS MEI'!$D$9:$D$453=$D216),0))</f>
        <v>1717</v>
      </c>
      <c r="H216" s="132">
        <f t="shared" si="32"/>
        <v>0</v>
      </c>
      <c r="I216" s="140">
        <f t="shared" si="32"/>
        <v>0</v>
      </c>
      <c r="J216" s="9" t="str">
        <f t="shared" si="25"/>
        <v xml:space="preserve"> </v>
      </c>
      <c r="K216" s="140">
        <f t="shared" si="26"/>
        <v>0</v>
      </c>
      <c r="L216" s="206">
        <f t="shared" si="27"/>
        <v>0</v>
      </c>
      <c r="M216" s="8" t="str">
        <f t="array" ref="M216">IF(L216&gt;5,"Perlu Sensus",IF(AND(L216&gt;=0,I216&gt;0),"Tetap Deteksi","Belum Deteksi"))</f>
        <v>Belum Deteksi</v>
      </c>
      <c r="N216" s="11"/>
      <c r="O216" s="143"/>
      <c r="P216" s="9">
        <f t="array" ref="P216">IFERROR(O216/G216*100,0)</f>
        <v>0</v>
      </c>
      <c r="Q216" s="143"/>
      <c r="R216" s="9">
        <f t="shared" si="28"/>
        <v>0</v>
      </c>
      <c r="S216" s="8" t="str">
        <f t="array" ref="S216">IF(R216&gt;5,"Perlu Sensus",IF(AND(R216&gt;=0,O216&gt;0),"Tetap Deteksi","Belum Deteksi"))</f>
        <v>Belum Deteksi</v>
      </c>
      <c r="T216" s="143"/>
      <c r="U216" s="9">
        <f t="shared" si="30"/>
        <v>0</v>
      </c>
      <c r="V216" s="11"/>
      <c r="W216" s="143"/>
      <c r="X216" s="143"/>
      <c r="Y216" s="9">
        <f t="shared" si="29"/>
        <v>0</v>
      </c>
      <c r="Z216" s="8" t="str">
        <f t="array" ref="Z216">IF(Y216&gt;5,"Perlu Sensus",IF(AND(Y216&gt;0,,O216&gt;0),"Tetap Deteksi","Belum Deteksi"))</f>
        <v>Belum Deteksi</v>
      </c>
      <c r="AA216" s="143"/>
      <c r="AB216" s="9">
        <f t="shared" si="31"/>
        <v>0</v>
      </c>
    </row>
    <row r="217" spans="1:28" hidden="1" outlineLevel="1" x14ac:dyDescent="0.15">
      <c r="A217" s="8" t="s">
        <v>628</v>
      </c>
      <c r="B217" s="8" t="s">
        <v>47</v>
      </c>
      <c r="C217" s="8" t="s">
        <v>216</v>
      </c>
      <c r="D217" s="8" t="s">
        <v>799</v>
      </c>
      <c r="E217" s="9">
        <v>9.6300000000000008</v>
      </c>
      <c r="F217" s="8" t="s">
        <v>16</v>
      </c>
      <c r="G217" s="143">
        <f t="array" ref="G217">INDEX('[23]SENSUS MEI'!$G$9:$G$453,MATCH(1,('[23]SENSUS MEI'!$D$9:$D$453=$D217)*('[23]SENSUS MEI'!$D$9:$D$453=$D217),0))</f>
        <v>1414</v>
      </c>
      <c r="H217" s="132">
        <f t="shared" si="32"/>
        <v>0</v>
      </c>
      <c r="I217" s="140">
        <f t="shared" si="32"/>
        <v>0</v>
      </c>
      <c r="J217" s="9" t="str">
        <f t="shared" si="25"/>
        <v xml:space="preserve"> </v>
      </c>
      <c r="K217" s="140">
        <f t="shared" si="26"/>
        <v>0</v>
      </c>
      <c r="L217" s="206">
        <f t="shared" si="27"/>
        <v>0</v>
      </c>
      <c r="M217" s="8" t="str">
        <f t="array" ref="M217">IF(L217&gt;5,"Perlu Sensus",IF(AND(L217&gt;=0,I217&gt;0),"Tetap Deteksi","Belum Deteksi"))</f>
        <v>Belum Deteksi</v>
      </c>
      <c r="N217" s="11"/>
      <c r="O217" s="143"/>
      <c r="P217" s="9">
        <f t="array" ref="P217">IFERROR(O217/G217*100,0)</f>
        <v>0</v>
      </c>
      <c r="Q217" s="143"/>
      <c r="R217" s="9">
        <f t="shared" si="28"/>
        <v>0</v>
      </c>
      <c r="S217" s="8" t="str">
        <f t="array" ref="S217">IF(R217&gt;5,"Perlu Sensus",IF(AND(R217&gt;=0,O217&gt;0),"Tetap Deteksi","Belum Deteksi"))</f>
        <v>Belum Deteksi</v>
      </c>
      <c r="T217" s="143"/>
      <c r="U217" s="9">
        <f t="shared" si="30"/>
        <v>0</v>
      </c>
      <c r="V217" s="11"/>
      <c r="W217" s="143"/>
      <c r="X217" s="143"/>
      <c r="Y217" s="9">
        <f t="shared" si="29"/>
        <v>0</v>
      </c>
      <c r="Z217" s="8" t="str">
        <f t="array" ref="Z217">IF(Y217&gt;5,"Perlu Sensus",IF(AND(Y217&gt;0,,O217&gt;0),"Tetap Deteksi","Belum Deteksi"))</f>
        <v>Belum Deteksi</v>
      </c>
      <c r="AA217" s="143"/>
      <c r="AB217" s="9">
        <f t="shared" si="31"/>
        <v>0</v>
      </c>
    </row>
    <row r="218" spans="1:28" hidden="1" outlineLevel="1" x14ac:dyDescent="0.15">
      <c r="A218" s="8" t="s">
        <v>628</v>
      </c>
      <c r="B218" s="8" t="s">
        <v>47</v>
      </c>
      <c r="C218" s="8" t="s">
        <v>216</v>
      </c>
      <c r="D218" s="8" t="s">
        <v>800</v>
      </c>
      <c r="E218" s="9">
        <v>2.02</v>
      </c>
      <c r="F218" s="8" t="s">
        <v>16</v>
      </c>
      <c r="G218" s="143">
        <f t="array" ref="G218">INDEX('[23]SENSUS MEI'!$G$9:$G$453,MATCH(1,('[23]SENSUS MEI'!$D$9:$D$453=$D218)*('[23]SENSUS MEI'!$D$9:$D$453=$D218),0))</f>
        <v>321</v>
      </c>
      <c r="H218" s="132">
        <f t="shared" si="32"/>
        <v>0</v>
      </c>
      <c r="I218" s="140">
        <f t="shared" si="32"/>
        <v>0</v>
      </c>
      <c r="J218" s="9" t="str">
        <f t="shared" si="25"/>
        <v xml:space="preserve"> </v>
      </c>
      <c r="K218" s="140">
        <f t="shared" si="26"/>
        <v>0</v>
      </c>
      <c r="L218" s="206">
        <f t="shared" si="27"/>
        <v>0</v>
      </c>
      <c r="M218" s="8" t="str">
        <f t="array" ref="M218">IF(L218&gt;5,"Perlu Sensus",IF(AND(L218&gt;=0,I218&gt;0),"Tetap Deteksi","Belum Deteksi"))</f>
        <v>Belum Deteksi</v>
      </c>
      <c r="N218" s="11"/>
      <c r="O218" s="143"/>
      <c r="P218" s="9">
        <f t="array" ref="P218">IFERROR(O218/G218*100,0)</f>
        <v>0</v>
      </c>
      <c r="Q218" s="143"/>
      <c r="R218" s="9">
        <f t="shared" si="28"/>
        <v>0</v>
      </c>
      <c r="S218" s="8" t="str">
        <f t="array" ref="S218">IF(R218&gt;5,"Perlu Sensus",IF(AND(R218&gt;=0,O218&gt;0),"Tetap Deteksi","Belum Deteksi"))</f>
        <v>Belum Deteksi</v>
      </c>
      <c r="T218" s="143"/>
      <c r="U218" s="9">
        <f t="shared" si="30"/>
        <v>0</v>
      </c>
      <c r="V218" s="11"/>
      <c r="W218" s="143"/>
      <c r="X218" s="143"/>
      <c r="Y218" s="9">
        <f t="shared" si="29"/>
        <v>0</v>
      </c>
      <c r="Z218" s="8" t="str">
        <f t="array" ref="Z218">IF(Y218&gt;5,"Perlu Sensus",IF(AND(Y218&gt;0,,O218&gt;0),"Tetap Deteksi","Belum Deteksi"))</f>
        <v>Belum Deteksi</v>
      </c>
      <c r="AA218" s="143"/>
      <c r="AB218" s="9">
        <f t="shared" si="31"/>
        <v>0</v>
      </c>
    </row>
    <row r="219" spans="1:28" outlineLevel="1" x14ac:dyDescent="0.15">
      <c r="A219" s="8" t="s">
        <v>628</v>
      </c>
      <c r="B219" s="8" t="s">
        <v>47</v>
      </c>
      <c r="C219" s="8" t="s">
        <v>216</v>
      </c>
      <c r="D219" s="8" t="s">
        <v>801</v>
      </c>
      <c r="E219" s="9">
        <v>27.54</v>
      </c>
      <c r="F219" s="8" t="s">
        <v>16</v>
      </c>
      <c r="G219" s="143">
        <f t="array" ref="G219">INDEX('[23]SENSUS MEI'!$G$9:$G$453,MATCH(1,('[23]SENSUS MEI'!$D$9:$D$453=$D219)*('[23]SENSUS MEI'!$D$9:$D$453=$D219),0))</f>
        <v>3527</v>
      </c>
      <c r="H219" s="132">
        <f t="shared" si="32"/>
        <v>46249</v>
      </c>
      <c r="I219" s="140">
        <f t="shared" si="32"/>
        <v>56</v>
      </c>
      <c r="J219" s="9">
        <f t="shared" si="25"/>
        <v>1.587751630280692</v>
      </c>
      <c r="K219" s="140">
        <f t="shared" si="26"/>
        <v>2</v>
      </c>
      <c r="L219" s="206">
        <f t="shared" si="27"/>
        <v>3.5714285714285712</v>
      </c>
      <c r="M219" s="8" t="str">
        <f t="array" ref="M219">IF(L219&gt;5,"Perlu Sensus",IF(AND(L219&gt;=0,I219&gt;0),"Tetap Deteksi","Belum Deteksi"))</f>
        <v>Tetap Deteksi</v>
      </c>
      <c r="N219" s="11">
        <v>46249</v>
      </c>
      <c r="O219" s="143">
        <v>56</v>
      </c>
      <c r="P219" s="9">
        <f t="array" ref="P219">IFERROR(O219/G219*100,0)</f>
        <v>1.587751630280692</v>
      </c>
      <c r="Q219" s="143">
        <v>2</v>
      </c>
      <c r="R219" s="9">
        <f t="shared" si="28"/>
        <v>3.5714285714285712</v>
      </c>
      <c r="S219" s="8" t="str">
        <f t="array" ref="S219">IF(R219&gt;5,"Perlu Sensus",IF(AND(R219&gt;=0,O219&gt;0),"Tetap Deteksi","Belum Deteksi"))</f>
        <v>Tetap Deteksi</v>
      </c>
      <c r="T219" s="143">
        <v>6</v>
      </c>
      <c r="U219" s="9">
        <f t="shared" si="30"/>
        <v>10.714285714285714</v>
      </c>
      <c r="V219" s="11"/>
      <c r="W219" s="143"/>
      <c r="X219" s="143"/>
      <c r="Y219" s="9">
        <f t="shared" si="29"/>
        <v>0</v>
      </c>
      <c r="Z219" s="8" t="str">
        <f t="array" ref="Z219">IF(Y219&gt;5,"Perlu Sensus",IF(AND(Y219&gt;0,,O219&gt;0),"Tetap Deteksi","Belum Deteksi"))</f>
        <v>Belum Deteksi</v>
      </c>
      <c r="AA219" s="143"/>
      <c r="AB219" s="9">
        <f t="shared" si="31"/>
        <v>0</v>
      </c>
    </row>
    <row r="220" spans="1:28" hidden="1" outlineLevel="1" x14ac:dyDescent="0.15">
      <c r="A220" s="8" t="s">
        <v>628</v>
      </c>
      <c r="B220" s="8" t="s">
        <v>47</v>
      </c>
      <c r="C220" s="8" t="s">
        <v>216</v>
      </c>
      <c r="D220" s="8" t="s">
        <v>802</v>
      </c>
      <c r="E220" s="9">
        <v>21.46</v>
      </c>
      <c r="F220" s="8" t="s">
        <v>16</v>
      </c>
      <c r="G220" s="143">
        <f t="array" ref="G220">INDEX('[23]SENSUS MEI'!$G$9:$G$453,MATCH(1,('[23]SENSUS MEI'!$D$9:$D$453=$D220)*('[23]SENSUS MEI'!$D$9:$D$453=$D220),0))</f>
        <v>3057</v>
      </c>
      <c r="H220" s="132">
        <f t="shared" si="32"/>
        <v>0</v>
      </c>
      <c r="I220" s="140">
        <f t="shared" si="32"/>
        <v>0</v>
      </c>
      <c r="J220" s="9" t="str">
        <f t="shared" si="25"/>
        <v xml:space="preserve"> </v>
      </c>
      <c r="K220" s="140">
        <f t="shared" si="26"/>
        <v>0</v>
      </c>
      <c r="L220" s="206">
        <f t="shared" si="27"/>
        <v>0</v>
      </c>
      <c r="M220" s="8" t="str">
        <f t="array" ref="M220">IF(L220&gt;5,"Perlu Sensus",IF(AND(L220&gt;=0,I220&gt;0),"Tetap Deteksi","Belum Deteksi"))</f>
        <v>Belum Deteksi</v>
      </c>
      <c r="N220" s="11"/>
      <c r="O220" s="143"/>
      <c r="P220" s="9">
        <f t="array" ref="P220">IFERROR(O220/G220*100,0)</f>
        <v>0</v>
      </c>
      <c r="Q220" s="143"/>
      <c r="R220" s="9">
        <f t="shared" si="28"/>
        <v>0</v>
      </c>
      <c r="S220" s="8" t="str">
        <f t="array" ref="S220">IF(R220&gt;5,"Perlu Sensus",IF(AND(R220&gt;=0,O220&gt;0),"Tetap Deteksi","Belum Deteksi"))</f>
        <v>Belum Deteksi</v>
      </c>
      <c r="T220" s="143"/>
      <c r="U220" s="9">
        <f t="shared" si="30"/>
        <v>0</v>
      </c>
      <c r="V220" s="11"/>
      <c r="W220" s="143"/>
      <c r="X220" s="143"/>
      <c r="Y220" s="9">
        <f t="shared" si="29"/>
        <v>0</v>
      </c>
      <c r="Z220" s="8" t="str">
        <f t="array" ref="Z220">IF(Y220&gt;5,"Perlu Sensus",IF(AND(Y220&gt;0,,O220&gt;0),"Tetap Deteksi","Belum Deteksi"))</f>
        <v>Belum Deteksi</v>
      </c>
      <c r="AA220" s="143"/>
      <c r="AB220" s="9">
        <f t="shared" si="31"/>
        <v>0</v>
      </c>
    </row>
    <row r="221" spans="1:28" outlineLevel="1" x14ac:dyDescent="0.15">
      <c r="A221" s="8" t="s">
        <v>628</v>
      </c>
      <c r="B221" s="8" t="s">
        <v>47</v>
      </c>
      <c r="C221" s="8" t="s">
        <v>216</v>
      </c>
      <c r="D221" s="8" t="s">
        <v>803</v>
      </c>
      <c r="E221" s="9">
        <v>14.51</v>
      </c>
      <c r="F221" s="8" t="s">
        <v>16</v>
      </c>
      <c r="G221" s="143">
        <f t="array" ref="G221">INDEX('[23]SENSUS MEI'!$G$9:$G$453,MATCH(1,('[23]SENSUS MEI'!$D$9:$D$453=$D221)*('[23]SENSUS MEI'!$D$9:$D$453=$D221),0))</f>
        <v>2127</v>
      </c>
      <c r="H221" s="132">
        <f t="shared" si="32"/>
        <v>46248</v>
      </c>
      <c r="I221" s="140">
        <f t="shared" si="32"/>
        <v>56</v>
      </c>
      <c r="J221" s="9">
        <f t="shared" si="25"/>
        <v>2.6328161730136341</v>
      </c>
      <c r="K221" s="140">
        <f t="shared" si="26"/>
        <v>3</v>
      </c>
      <c r="L221" s="206">
        <f t="shared" si="27"/>
        <v>5.3571428571428568</v>
      </c>
      <c r="M221" s="8" t="str">
        <f t="array" ref="M221">IF(L221&gt;5,"Perlu Sensus",IF(AND(L221&gt;=0,I221&gt;0),"Tetap Deteksi","Belum Deteksi"))</f>
        <v>Perlu Sensus</v>
      </c>
      <c r="N221" s="11">
        <v>46248</v>
      </c>
      <c r="O221" s="143">
        <v>56</v>
      </c>
      <c r="P221" s="9">
        <f t="array" ref="P221">IFERROR(O221/G221*100,0)</f>
        <v>2.6328161730136341</v>
      </c>
      <c r="Q221" s="143">
        <v>3</v>
      </c>
      <c r="R221" s="9">
        <f t="shared" si="28"/>
        <v>5.3571428571428568</v>
      </c>
      <c r="S221" s="8" t="str">
        <f t="array" ref="S221">IF(R221&gt;5,"Perlu Sensus",IF(AND(R221&gt;=0,O221&gt;0),"Tetap Deteksi","Belum Deteksi"))</f>
        <v>Perlu Sensus</v>
      </c>
      <c r="T221" s="143">
        <v>3</v>
      </c>
      <c r="U221" s="9">
        <f t="shared" si="30"/>
        <v>5.3571428571428568</v>
      </c>
      <c r="V221" s="11"/>
      <c r="W221" s="143"/>
      <c r="X221" s="143"/>
      <c r="Y221" s="9">
        <f t="shared" si="29"/>
        <v>0</v>
      </c>
      <c r="Z221" s="8" t="str">
        <f t="array" ref="Z221">IF(Y221&gt;5,"Perlu Sensus",IF(AND(Y221&gt;0,,O221&gt;0),"Tetap Deteksi","Belum Deteksi"))</f>
        <v>Belum Deteksi</v>
      </c>
      <c r="AA221" s="143"/>
      <c r="AB221" s="9">
        <f t="shared" si="31"/>
        <v>0</v>
      </c>
    </row>
    <row r="222" spans="1:28" hidden="1" outlineLevel="1" x14ac:dyDescent="0.15">
      <c r="A222" s="8" t="s">
        <v>628</v>
      </c>
      <c r="B222" s="8" t="s">
        <v>47</v>
      </c>
      <c r="C222" s="8" t="s">
        <v>216</v>
      </c>
      <c r="D222" s="8" t="s">
        <v>804</v>
      </c>
      <c r="E222" s="9">
        <v>8.94</v>
      </c>
      <c r="F222" s="8" t="s">
        <v>16</v>
      </c>
      <c r="G222" s="143">
        <f t="array" ref="G222">INDEX('[23]SENSUS MEI'!$G$9:$G$453,MATCH(1,('[23]SENSUS MEI'!$D$9:$D$453=$D222)*('[23]SENSUS MEI'!$D$9:$D$453=$D222),0))</f>
        <v>1254</v>
      </c>
      <c r="H222" s="132">
        <f t="shared" si="32"/>
        <v>0</v>
      </c>
      <c r="I222" s="140">
        <f t="shared" si="32"/>
        <v>0</v>
      </c>
      <c r="J222" s="9" t="str">
        <f t="shared" si="25"/>
        <v xml:space="preserve"> </v>
      </c>
      <c r="K222" s="140">
        <f t="shared" si="26"/>
        <v>0</v>
      </c>
      <c r="L222" s="206">
        <f t="shared" si="27"/>
        <v>0</v>
      </c>
      <c r="M222" s="8" t="str">
        <f t="array" ref="M222">IF(L222&gt;5,"Perlu Sensus",IF(AND(L222&gt;=0,I222&gt;0),"Tetap Deteksi","Belum Deteksi"))</f>
        <v>Belum Deteksi</v>
      </c>
      <c r="N222" s="11"/>
      <c r="O222" s="143"/>
      <c r="P222" s="9">
        <f t="array" ref="P222">IFERROR(O222/G222*100,0)</f>
        <v>0</v>
      </c>
      <c r="Q222" s="143"/>
      <c r="R222" s="9">
        <f t="shared" si="28"/>
        <v>0</v>
      </c>
      <c r="S222" s="8" t="str">
        <f t="array" ref="S222">IF(R222&gt;5,"Perlu Sensus",IF(AND(R222&gt;=0,O222&gt;0),"Tetap Deteksi","Belum Deteksi"))</f>
        <v>Belum Deteksi</v>
      </c>
      <c r="T222" s="143"/>
      <c r="U222" s="9">
        <f t="shared" si="30"/>
        <v>0</v>
      </c>
      <c r="V222" s="11"/>
      <c r="W222" s="143"/>
      <c r="X222" s="143"/>
      <c r="Y222" s="9">
        <f t="shared" si="29"/>
        <v>0</v>
      </c>
      <c r="Z222" s="8" t="str">
        <f t="array" ref="Z222">IF(Y222&gt;5,"Perlu Sensus",IF(AND(Y222&gt;0,,O222&gt;0),"Tetap Deteksi","Belum Deteksi"))</f>
        <v>Belum Deteksi</v>
      </c>
      <c r="AA222" s="143"/>
      <c r="AB222" s="9">
        <f t="shared" si="31"/>
        <v>0</v>
      </c>
    </row>
    <row r="223" spans="1:28" hidden="1" outlineLevel="1" x14ac:dyDescent="0.15">
      <c r="A223" s="8" t="s">
        <v>628</v>
      </c>
      <c r="B223" s="8" t="s">
        <v>47</v>
      </c>
      <c r="C223" s="8" t="s">
        <v>216</v>
      </c>
      <c r="D223" s="8" t="s">
        <v>805</v>
      </c>
      <c r="E223" s="9">
        <v>2.59</v>
      </c>
      <c r="F223" s="8" t="s">
        <v>16</v>
      </c>
      <c r="G223" s="143">
        <f t="array" ref="G223">INDEX('[23]SENSUS MEI'!$G$9:$G$453,MATCH(1,('[23]SENSUS MEI'!$D$9:$D$453=$D223)*('[23]SENSUS MEI'!$D$9:$D$453=$D223),0))</f>
        <v>376</v>
      </c>
      <c r="H223" s="132">
        <f t="shared" si="32"/>
        <v>0</v>
      </c>
      <c r="I223" s="140">
        <f t="shared" si="32"/>
        <v>0</v>
      </c>
      <c r="J223" s="9" t="str">
        <f t="shared" si="25"/>
        <v xml:space="preserve"> </v>
      </c>
      <c r="K223" s="140">
        <f t="shared" si="26"/>
        <v>0</v>
      </c>
      <c r="L223" s="206">
        <f t="shared" si="27"/>
        <v>0</v>
      </c>
      <c r="M223" s="8" t="str">
        <f t="array" ref="M223">IF(L223&gt;5,"Perlu Sensus",IF(AND(L223&gt;=0,I223&gt;0),"Tetap Deteksi","Belum Deteksi"))</f>
        <v>Belum Deteksi</v>
      </c>
      <c r="N223" s="11"/>
      <c r="O223" s="143"/>
      <c r="P223" s="9">
        <f t="array" ref="P223">IFERROR(O223/G223*100,0)</f>
        <v>0</v>
      </c>
      <c r="Q223" s="143"/>
      <c r="R223" s="9">
        <f t="shared" si="28"/>
        <v>0</v>
      </c>
      <c r="S223" s="8" t="str">
        <f t="array" ref="S223">IF(R223&gt;5,"Perlu Sensus",IF(AND(R223&gt;=0,O223&gt;0),"Tetap Deteksi","Belum Deteksi"))</f>
        <v>Belum Deteksi</v>
      </c>
      <c r="T223" s="143"/>
      <c r="U223" s="9">
        <f t="shared" si="30"/>
        <v>0</v>
      </c>
      <c r="V223" s="11"/>
      <c r="W223" s="143"/>
      <c r="X223" s="143"/>
      <c r="Y223" s="9">
        <f t="shared" si="29"/>
        <v>0</v>
      </c>
      <c r="Z223" s="8" t="str">
        <f t="array" ref="Z223">IF(Y223&gt;5,"Perlu Sensus",IF(AND(Y223&gt;0,,O223&gt;0),"Tetap Deteksi","Belum Deteksi"))</f>
        <v>Belum Deteksi</v>
      </c>
      <c r="AA223" s="143"/>
      <c r="AB223" s="9">
        <f t="shared" si="31"/>
        <v>0</v>
      </c>
    </row>
    <row r="224" spans="1:28" hidden="1" outlineLevel="1" x14ac:dyDescent="0.15">
      <c r="A224" s="8" t="s">
        <v>628</v>
      </c>
      <c r="B224" s="8" t="s">
        <v>47</v>
      </c>
      <c r="C224" s="8" t="s">
        <v>252</v>
      </c>
      <c r="D224" s="8" t="s">
        <v>806</v>
      </c>
      <c r="E224" s="9">
        <v>1.51</v>
      </c>
      <c r="F224" s="8" t="s">
        <v>469</v>
      </c>
      <c r="G224" s="143">
        <f t="array" ref="G224">INDEX('[23]SENSUS MEI'!$G$9:$G$453,MATCH(1,('[23]SENSUS MEI'!$D$9:$D$453=$D224)*('[23]SENSUS MEI'!$D$9:$D$453=$D224),0))</f>
        <v>227</v>
      </c>
      <c r="H224" s="132">
        <f t="shared" si="32"/>
        <v>0</v>
      </c>
      <c r="I224" s="140">
        <f t="shared" si="32"/>
        <v>0</v>
      </c>
      <c r="J224" s="9" t="str">
        <f t="shared" si="25"/>
        <v xml:space="preserve"> </v>
      </c>
      <c r="K224" s="140">
        <f t="shared" si="26"/>
        <v>0</v>
      </c>
      <c r="L224" s="206">
        <f t="shared" si="27"/>
        <v>0</v>
      </c>
      <c r="M224" s="8" t="str">
        <f t="array" ref="M224">IF(L224&gt;5,"Perlu Sensus",IF(AND(L224&gt;=0,I224&gt;0),"Tetap Deteksi","Belum Deteksi"))</f>
        <v>Belum Deteksi</v>
      </c>
      <c r="N224" s="11"/>
      <c r="O224" s="143"/>
      <c r="P224" s="9">
        <f t="array" ref="P224">IFERROR(O224/G224*100,0)</f>
        <v>0</v>
      </c>
      <c r="Q224" s="143"/>
      <c r="R224" s="9">
        <f t="shared" si="28"/>
        <v>0</v>
      </c>
      <c r="S224" s="8" t="str">
        <f t="array" ref="S224">IF(R224&gt;5,"Perlu Sensus",IF(AND(R224&gt;=0,O224&gt;0),"Tetap Deteksi","Belum Deteksi"))</f>
        <v>Belum Deteksi</v>
      </c>
      <c r="T224" s="143"/>
      <c r="U224" s="9">
        <f t="shared" si="30"/>
        <v>0</v>
      </c>
      <c r="V224" s="11"/>
      <c r="W224" s="143"/>
      <c r="X224" s="143"/>
      <c r="Y224" s="9">
        <f t="shared" si="29"/>
        <v>0</v>
      </c>
      <c r="Z224" s="8" t="str">
        <f t="array" ref="Z224">IF(Y224&gt;5,"Perlu Sensus",IF(AND(Y224&gt;0,,O224&gt;0),"Tetap Deteksi","Belum Deteksi"))</f>
        <v>Belum Deteksi</v>
      </c>
      <c r="AA224" s="143"/>
      <c r="AB224" s="9">
        <f t="shared" si="31"/>
        <v>0</v>
      </c>
    </row>
    <row r="225" spans="1:28" hidden="1" outlineLevel="1" x14ac:dyDescent="0.15">
      <c r="A225" s="8" t="s">
        <v>628</v>
      </c>
      <c r="B225" s="8" t="s">
        <v>47</v>
      </c>
      <c r="C225" s="8" t="s">
        <v>252</v>
      </c>
      <c r="D225" s="8" t="s">
        <v>807</v>
      </c>
      <c r="E225" s="9">
        <v>17.55</v>
      </c>
      <c r="F225" s="8" t="s">
        <v>469</v>
      </c>
      <c r="G225" s="143">
        <f t="array" ref="G225">INDEX('[23]SENSUS MEI'!$G$9:$G$453,MATCH(1,('[23]SENSUS MEI'!$D$9:$D$453=$D225)*('[23]SENSUS MEI'!$D$9:$D$453=$D225),0))</f>
        <v>2390</v>
      </c>
      <c r="H225" s="132">
        <f t="shared" si="32"/>
        <v>0</v>
      </c>
      <c r="I225" s="140">
        <f t="shared" si="32"/>
        <v>0</v>
      </c>
      <c r="J225" s="9" t="str">
        <f t="shared" si="25"/>
        <v xml:space="preserve"> </v>
      </c>
      <c r="K225" s="140">
        <f t="shared" si="26"/>
        <v>0</v>
      </c>
      <c r="L225" s="206">
        <f t="shared" si="27"/>
        <v>0</v>
      </c>
      <c r="M225" s="8" t="str">
        <f t="array" ref="M225">IF(L225&gt;5,"Perlu Sensus",IF(AND(L225&gt;=0,I225&gt;0),"Tetap Deteksi","Belum Deteksi"))</f>
        <v>Belum Deteksi</v>
      </c>
      <c r="N225" s="11"/>
      <c r="O225" s="143"/>
      <c r="P225" s="9">
        <f t="array" ref="P225">IFERROR(O225/G225*100,0)</f>
        <v>0</v>
      </c>
      <c r="Q225" s="143"/>
      <c r="R225" s="9">
        <f t="shared" si="28"/>
        <v>0</v>
      </c>
      <c r="S225" s="8" t="str">
        <f t="array" ref="S225">IF(R225&gt;5,"Perlu Sensus",IF(AND(R225&gt;=0,O225&gt;0),"Tetap Deteksi","Belum Deteksi"))</f>
        <v>Belum Deteksi</v>
      </c>
      <c r="T225" s="143"/>
      <c r="U225" s="9">
        <f t="shared" si="30"/>
        <v>0</v>
      </c>
      <c r="V225" s="11"/>
      <c r="W225" s="143"/>
      <c r="X225" s="143"/>
      <c r="Y225" s="9">
        <f t="shared" si="29"/>
        <v>0</v>
      </c>
      <c r="Z225" s="8" t="str">
        <f t="array" ref="Z225">IF(Y225&gt;5,"Perlu Sensus",IF(AND(Y225&gt;0,,O225&gt;0),"Tetap Deteksi","Belum Deteksi"))</f>
        <v>Belum Deteksi</v>
      </c>
      <c r="AA225" s="143"/>
      <c r="AB225" s="9">
        <f t="shared" si="31"/>
        <v>0</v>
      </c>
    </row>
    <row r="226" spans="1:28" hidden="1" outlineLevel="1" x14ac:dyDescent="0.15">
      <c r="A226" s="8" t="s">
        <v>628</v>
      </c>
      <c r="B226" s="8" t="s">
        <v>47</v>
      </c>
      <c r="C226" s="8" t="s">
        <v>252</v>
      </c>
      <c r="D226" s="8" t="s">
        <v>2047</v>
      </c>
      <c r="E226" s="9">
        <v>25.56</v>
      </c>
      <c r="F226" s="8" t="s">
        <v>469</v>
      </c>
      <c r="G226" s="143">
        <f t="array" ref="G226">INDEX('[23]SENSUS MEI'!$G$9:$G$453,MATCH(1,('[23]SENSUS MEI'!$D$9:$D$453=$D226)*('[23]SENSUS MEI'!$D$9:$D$453=$D226),0))</f>
        <v>3446</v>
      </c>
      <c r="H226" s="132">
        <f t="shared" si="32"/>
        <v>0</v>
      </c>
      <c r="I226" s="140">
        <f t="shared" si="32"/>
        <v>0</v>
      </c>
      <c r="J226" s="9" t="str">
        <f t="shared" si="25"/>
        <v xml:space="preserve"> </v>
      </c>
      <c r="K226" s="140">
        <f t="shared" si="26"/>
        <v>0</v>
      </c>
      <c r="L226" s="206">
        <f t="shared" si="27"/>
        <v>0</v>
      </c>
      <c r="M226" s="8" t="str">
        <f t="array" ref="M226">IF(L226&gt;5,"Perlu Sensus",IF(AND(L226&gt;=0,I226&gt;0),"Tetap Deteksi","Belum Deteksi"))</f>
        <v>Belum Deteksi</v>
      </c>
      <c r="N226" s="11"/>
      <c r="O226" s="143"/>
      <c r="P226" s="9">
        <f t="array" ref="P226">IFERROR(O226/G226*100,0)</f>
        <v>0</v>
      </c>
      <c r="Q226" s="143"/>
      <c r="R226" s="9">
        <f t="shared" si="28"/>
        <v>0</v>
      </c>
      <c r="S226" s="8" t="str">
        <f t="array" ref="S226">IF(R226&gt;5,"Perlu Sensus",IF(AND(R226&gt;=0,O226&gt;0),"Tetap Deteksi","Belum Deteksi"))</f>
        <v>Belum Deteksi</v>
      </c>
      <c r="T226" s="143"/>
      <c r="U226" s="9">
        <f t="shared" si="30"/>
        <v>0</v>
      </c>
      <c r="V226" s="11"/>
      <c r="W226" s="143"/>
      <c r="X226" s="143"/>
      <c r="Y226" s="9">
        <f t="shared" si="29"/>
        <v>0</v>
      </c>
      <c r="Z226" s="8" t="str">
        <f t="array" ref="Z226">IF(Y226&gt;5,"Perlu Sensus",IF(AND(Y226&gt;0,,O226&gt;0),"Tetap Deteksi","Belum Deteksi"))</f>
        <v>Belum Deteksi</v>
      </c>
      <c r="AA226" s="143"/>
      <c r="AB226" s="9">
        <f t="shared" si="31"/>
        <v>0</v>
      </c>
    </row>
    <row r="227" spans="1:28" hidden="1" outlineLevel="1" x14ac:dyDescent="0.15">
      <c r="A227" s="8" t="s">
        <v>628</v>
      </c>
      <c r="B227" s="8" t="s">
        <v>47</v>
      </c>
      <c r="C227" s="8" t="s">
        <v>252</v>
      </c>
      <c r="D227" s="8" t="s">
        <v>809</v>
      </c>
      <c r="E227" s="9">
        <v>17.55</v>
      </c>
      <c r="F227" s="8" t="s">
        <v>469</v>
      </c>
      <c r="G227" s="143">
        <f t="array" ref="G227">INDEX('[23]SENSUS MEI'!$G$9:$G$453,MATCH(1,('[23]SENSUS MEI'!$D$9:$D$453=$D227)*('[23]SENSUS MEI'!$D$9:$D$453=$D227),0))</f>
        <v>2927</v>
      </c>
      <c r="H227" s="132">
        <f t="shared" si="32"/>
        <v>0</v>
      </c>
      <c r="I227" s="140">
        <f t="shared" si="32"/>
        <v>0</v>
      </c>
      <c r="J227" s="9" t="str">
        <f t="shared" si="25"/>
        <v xml:space="preserve"> </v>
      </c>
      <c r="K227" s="140">
        <f t="shared" si="26"/>
        <v>0</v>
      </c>
      <c r="L227" s="206">
        <f t="shared" si="27"/>
        <v>0</v>
      </c>
      <c r="M227" s="8" t="str">
        <f t="array" ref="M227">IF(L227&gt;5,"Perlu Sensus",IF(AND(L227&gt;=0,I227&gt;0),"Tetap Deteksi","Belum Deteksi"))</f>
        <v>Belum Deteksi</v>
      </c>
      <c r="N227" s="11"/>
      <c r="O227" s="143"/>
      <c r="P227" s="9">
        <f t="array" ref="P227">IFERROR(O227/G227*100,0)</f>
        <v>0</v>
      </c>
      <c r="Q227" s="143"/>
      <c r="R227" s="9">
        <f t="shared" si="28"/>
        <v>0</v>
      </c>
      <c r="S227" s="8" t="str">
        <f t="array" ref="S227">IF(R227&gt;5,"Perlu Sensus",IF(AND(R227&gt;=0,O227&gt;0),"Tetap Deteksi","Belum Deteksi"))</f>
        <v>Belum Deteksi</v>
      </c>
      <c r="T227" s="143"/>
      <c r="U227" s="9">
        <f t="shared" si="30"/>
        <v>0</v>
      </c>
      <c r="V227" s="11"/>
      <c r="W227" s="143"/>
      <c r="X227" s="143"/>
      <c r="Y227" s="9">
        <f t="shared" si="29"/>
        <v>0</v>
      </c>
      <c r="Z227" s="8" t="str">
        <f t="array" ref="Z227">IF(Y227&gt;5,"Perlu Sensus",IF(AND(Y227&gt;0,,O227&gt;0),"Tetap Deteksi","Belum Deteksi"))</f>
        <v>Belum Deteksi</v>
      </c>
      <c r="AA227" s="143"/>
      <c r="AB227" s="9">
        <f t="shared" si="31"/>
        <v>0</v>
      </c>
    </row>
    <row r="228" spans="1:28" hidden="1" outlineLevel="1" x14ac:dyDescent="0.15">
      <c r="A228" s="8" t="s">
        <v>628</v>
      </c>
      <c r="B228" s="8" t="s">
        <v>47</v>
      </c>
      <c r="C228" s="8" t="s">
        <v>252</v>
      </c>
      <c r="D228" s="8" t="s">
        <v>810</v>
      </c>
      <c r="E228" s="9">
        <v>10.67</v>
      </c>
      <c r="F228" s="8" t="s">
        <v>469</v>
      </c>
      <c r="G228" s="143">
        <f t="array" ref="G228">INDEX('[23]SENSUS MEI'!$G$9:$G$453,MATCH(1,('[23]SENSUS MEI'!$D$9:$D$453=$D228)*('[23]SENSUS MEI'!$D$9:$D$453=$D228),0))</f>
        <v>1651</v>
      </c>
      <c r="H228" s="132">
        <f t="shared" si="32"/>
        <v>0</v>
      </c>
      <c r="I228" s="140">
        <f t="shared" si="32"/>
        <v>0</v>
      </c>
      <c r="J228" s="9" t="str">
        <f t="shared" si="25"/>
        <v xml:space="preserve"> </v>
      </c>
      <c r="K228" s="140">
        <f t="shared" si="26"/>
        <v>0</v>
      </c>
      <c r="L228" s="206">
        <f t="shared" si="27"/>
        <v>0</v>
      </c>
      <c r="M228" s="8" t="str">
        <f t="array" ref="M228">IF(L228&gt;5,"Perlu Sensus",IF(AND(L228&gt;=0,I228&gt;0),"Tetap Deteksi","Belum Deteksi"))</f>
        <v>Belum Deteksi</v>
      </c>
      <c r="N228" s="11"/>
      <c r="O228" s="143"/>
      <c r="P228" s="9">
        <f t="array" ref="P228">IFERROR(O228/G228*100,0)</f>
        <v>0</v>
      </c>
      <c r="Q228" s="143"/>
      <c r="R228" s="9">
        <f t="shared" si="28"/>
        <v>0</v>
      </c>
      <c r="S228" s="8" t="str">
        <f t="array" ref="S228">IF(R228&gt;5,"Perlu Sensus",IF(AND(R228&gt;=0,O228&gt;0),"Tetap Deteksi","Belum Deteksi"))</f>
        <v>Belum Deteksi</v>
      </c>
      <c r="T228" s="143"/>
      <c r="U228" s="9">
        <f t="shared" si="30"/>
        <v>0</v>
      </c>
      <c r="V228" s="11"/>
      <c r="W228" s="143"/>
      <c r="X228" s="143"/>
      <c r="Y228" s="9">
        <f t="shared" si="29"/>
        <v>0</v>
      </c>
      <c r="Z228" s="8" t="str">
        <f t="array" ref="Z228">IF(Y228&gt;5,"Perlu Sensus",IF(AND(Y228&gt;0,,O228&gt;0),"Tetap Deteksi","Belum Deteksi"))</f>
        <v>Belum Deteksi</v>
      </c>
      <c r="AA228" s="143"/>
      <c r="AB228" s="9">
        <f t="shared" si="31"/>
        <v>0</v>
      </c>
    </row>
    <row r="229" spans="1:28" hidden="1" outlineLevel="1" x14ac:dyDescent="0.15">
      <c r="A229" s="8" t="s">
        <v>628</v>
      </c>
      <c r="B229" s="8" t="s">
        <v>47</v>
      </c>
      <c r="C229" s="8" t="s">
        <v>252</v>
      </c>
      <c r="D229" s="8" t="s">
        <v>811</v>
      </c>
      <c r="E229" s="9">
        <v>6.95</v>
      </c>
      <c r="F229" s="8" t="s">
        <v>469</v>
      </c>
      <c r="G229" s="143">
        <f t="array" ref="G229">INDEX('[23]SENSUS MEI'!$G$9:$G$453,MATCH(1,('[23]SENSUS MEI'!$D$9:$D$453=$D229)*('[23]SENSUS MEI'!$D$9:$D$453=$D229),0))</f>
        <v>980</v>
      </c>
      <c r="H229" s="132">
        <f t="shared" si="32"/>
        <v>0</v>
      </c>
      <c r="I229" s="140">
        <f t="shared" si="32"/>
        <v>0</v>
      </c>
      <c r="J229" s="9" t="str">
        <f t="shared" si="25"/>
        <v xml:space="preserve"> </v>
      </c>
      <c r="K229" s="140">
        <f t="shared" si="26"/>
        <v>0</v>
      </c>
      <c r="L229" s="206">
        <f t="shared" si="27"/>
        <v>0</v>
      </c>
      <c r="M229" s="8" t="str">
        <f t="array" ref="M229">IF(L229&gt;5,"Perlu Sensus",IF(AND(L229&gt;=0,I229&gt;0),"Tetap Deteksi","Belum Deteksi"))</f>
        <v>Belum Deteksi</v>
      </c>
      <c r="N229" s="11"/>
      <c r="O229" s="143"/>
      <c r="P229" s="9">
        <f t="array" ref="P229">IFERROR(O229/G229*100,0)</f>
        <v>0</v>
      </c>
      <c r="Q229" s="143"/>
      <c r="R229" s="9">
        <f t="shared" si="28"/>
        <v>0</v>
      </c>
      <c r="S229" s="8" t="str">
        <f t="array" ref="S229">IF(R229&gt;5,"Perlu Sensus",IF(AND(R229&gt;=0,O229&gt;0),"Tetap Deteksi","Belum Deteksi"))</f>
        <v>Belum Deteksi</v>
      </c>
      <c r="T229" s="143"/>
      <c r="U229" s="9">
        <f t="shared" si="30"/>
        <v>0</v>
      </c>
      <c r="V229" s="11"/>
      <c r="W229" s="143"/>
      <c r="X229" s="143"/>
      <c r="Y229" s="9">
        <f t="shared" si="29"/>
        <v>0</v>
      </c>
      <c r="Z229" s="8" t="str">
        <f t="array" ref="Z229">IF(Y229&gt;5,"Perlu Sensus",IF(AND(Y229&gt;0,,O229&gt;0),"Tetap Deteksi","Belum Deteksi"))</f>
        <v>Belum Deteksi</v>
      </c>
      <c r="AA229" s="143"/>
      <c r="AB229" s="9">
        <f t="shared" si="31"/>
        <v>0</v>
      </c>
    </row>
    <row r="230" spans="1:28" hidden="1" outlineLevel="1" x14ac:dyDescent="0.15">
      <c r="A230" s="8" t="s">
        <v>628</v>
      </c>
      <c r="B230" s="8" t="s">
        <v>47</v>
      </c>
      <c r="C230" s="8" t="s">
        <v>252</v>
      </c>
      <c r="D230" s="8" t="s">
        <v>812</v>
      </c>
      <c r="E230" s="9">
        <v>7.75</v>
      </c>
      <c r="F230" s="8" t="s">
        <v>469</v>
      </c>
      <c r="G230" s="143">
        <f t="array" ref="G230">INDEX('[23]SENSUS MEI'!$G$9:$G$453,MATCH(1,('[23]SENSUS MEI'!$D$9:$D$453=$D230)*('[23]SENSUS MEI'!$D$9:$D$453=$D230),0))</f>
        <v>877</v>
      </c>
      <c r="H230" s="132">
        <f t="shared" si="32"/>
        <v>0</v>
      </c>
      <c r="I230" s="140">
        <f t="shared" si="32"/>
        <v>0</v>
      </c>
      <c r="J230" s="9" t="str">
        <f t="shared" si="25"/>
        <v xml:space="preserve"> </v>
      </c>
      <c r="K230" s="140">
        <f t="shared" si="26"/>
        <v>0</v>
      </c>
      <c r="L230" s="206">
        <f t="shared" si="27"/>
        <v>0</v>
      </c>
      <c r="M230" s="8" t="str">
        <f t="array" ref="M230">IF(L230&gt;5,"Perlu Sensus",IF(AND(L230&gt;=0,I230&gt;0),"Tetap Deteksi","Belum Deteksi"))</f>
        <v>Belum Deteksi</v>
      </c>
      <c r="N230" s="11"/>
      <c r="O230" s="143"/>
      <c r="P230" s="9">
        <f t="array" ref="P230">IFERROR(O230/G230*100,0)</f>
        <v>0</v>
      </c>
      <c r="Q230" s="143"/>
      <c r="R230" s="9">
        <f t="shared" si="28"/>
        <v>0</v>
      </c>
      <c r="S230" s="8" t="str">
        <f t="array" ref="S230">IF(R230&gt;5,"Perlu Sensus",IF(AND(R230&gt;=0,O230&gt;0),"Tetap Deteksi","Belum Deteksi"))</f>
        <v>Belum Deteksi</v>
      </c>
      <c r="T230" s="143"/>
      <c r="U230" s="9">
        <f t="shared" si="30"/>
        <v>0</v>
      </c>
      <c r="V230" s="11"/>
      <c r="W230" s="143"/>
      <c r="X230" s="143"/>
      <c r="Y230" s="9">
        <f t="shared" si="29"/>
        <v>0</v>
      </c>
      <c r="Z230" s="8" t="str">
        <f t="array" ref="Z230">IF(Y230&gt;5,"Perlu Sensus",IF(AND(Y230&gt;0,,O230&gt;0),"Tetap Deteksi","Belum Deteksi"))</f>
        <v>Belum Deteksi</v>
      </c>
      <c r="AA230" s="143"/>
      <c r="AB230" s="9">
        <f t="shared" si="31"/>
        <v>0</v>
      </c>
    </row>
    <row r="231" spans="1:28" hidden="1" outlineLevel="1" x14ac:dyDescent="0.15">
      <c r="A231" s="8" t="s">
        <v>628</v>
      </c>
      <c r="B231" s="8" t="s">
        <v>47</v>
      </c>
      <c r="C231" s="8" t="s">
        <v>252</v>
      </c>
      <c r="D231" s="8" t="s">
        <v>813</v>
      </c>
      <c r="E231" s="9">
        <v>13.49</v>
      </c>
      <c r="F231" s="8" t="s">
        <v>469</v>
      </c>
      <c r="G231" s="143">
        <f t="array" ref="G231">INDEX('[23]SENSUS MEI'!$G$9:$G$453,MATCH(1,('[23]SENSUS MEI'!$D$9:$D$453=$D231)*('[23]SENSUS MEI'!$D$9:$D$453=$D231),0))</f>
        <v>1861</v>
      </c>
      <c r="H231" s="132">
        <f t="shared" si="32"/>
        <v>0</v>
      </c>
      <c r="I231" s="140">
        <f t="shared" si="32"/>
        <v>0</v>
      </c>
      <c r="J231" s="9" t="str">
        <f t="shared" si="25"/>
        <v xml:space="preserve"> </v>
      </c>
      <c r="K231" s="140">
        <f t="shared" si="26"/>
        <v>0</v>
      </c>
      <c r="L231" s="206">
        <f t="shared" si="27"/>
        <v>0</v>
      </c>
      <c r="M231" s="8" t="str">
        <f t="array" ref="M231">IF(L231&gt;5,"Perlu Sensus",IF(AND(L231&gt;=0,I231&gt;0),"Tetap Deteksi","Belum Deteksi"))</f>
        <v>Belum Deteksi</v>
      </c>
      <c r="N231" s="11"/>
      <c r="O231" s="143"/>
      <c r="P231" s="9">
        <f t="array" ref="P231">IFERROR(O231/G231*100,0)</f>
        <v>0</v>
      </c>
      <c r="Q231" s="143"/>
      <c r="R231" s="9">
        <f t="shared" si="28"/>
        <v>0</v>
      </c>
      <c r="S231" s="8" t="str">
        <f t="array" ref="S231">IF(R231&gt;5,"Perlu Sensus",IF(AND(R231&gt;=0,O231&gt;0),"Tetap Deteksi","Belum Deteksi"))</f>
        <v>Belum Deteksi</v>
      </c>
      <c r="T231" s="143"/>
      <c r="U231" s="9">
        <f t="shared" si="30"/>
        <v>0</v>
      </c>
      <c r="V231" s="11"/>
      <c r="W231" s="143"/>
      <c r="X231" s="143"/>
      <c r="Y231" s="9">
        <f t="shared" si="29"/>
        <v>0</v>
      </c>
      <c r="Z231" s="8" t="str">
        <f t="array" ref="Z231">IF(Y231&gt;5,"Perlu Sensus",IF(AND(Y231&gt;0,,O231&gt;0),"Tetap Deteksi","Belum Deteksi"))</f>
        <v>Belum Deteksi</v>
      </c>
      <c r="AA231" s="143"/>
      <c r="AB231" s="9">
        <f t="shared" si="31"/>
        <v>0</v>
      </c>
    </row>
    <row r="232" spans="1:28" outlineLevel="1" x14ac:dyDescent="0.15">
      <c r="A232" s="8" t="s">
        <v>628</v>
      </c>
      <c r="B232" s="8" t="s">
        <v>47</v>
      </c>
      <c r="C232" s="8" t="s">
        <v>252</v>
      </c>
      <c r="D232" s="8" t="s">
        <v>814</v>
      </c>
      <c r="E232" s="9">
        <v>12.86</v>
      </c>
      <c r="F232" s="8" t="s">
        <v>469</v>
      </c>
      <c r="G232" s="143">
        <f t="array" ref="G232">INDEX('[23]SENSUS MEI'!$G$9:$G$453,MATCH(1,('[23]SENSUS MEI'!$D$9:$D$453=$D232)*('[23]SENSUS MEI'!$D$9:$D$453=$D232),0))</f>
        <v>1841</v>
      </c>
      <c r="H232" s="132">
        <f t="shared" si="32"/>
        <v>46248</v>
      </c>
      <c r="I232" s="140">
        <f t="shared" si="32"/>
        <v>51</v>
      </c>
      <c r="J232" s="9">
        <f t="shared" si="25"/>
        <v>2.7702335687126562</v>
      </c>
      <c r="K232" s="140">
        <f t="shared" si="26"/>
        <v>7</v>
      </c>
      <c r="L232" s="206">
        <f t="shared" si="27"/>
        <v>13.725490196078432</v>
      </c>
      <c r="M232" s="8" t="str">
        <f t="array" ref="M232">IF(L232&gt;5,"Perlu Sensus",IF(AND(L232&gt;=0,I232&gt;0),"Tetap Deteksi","Belum Deteksi"))</f>
        <v>Perlu Sensus</v>
      </c>
      <c r="N232" s="11">
        <v>46248</v>
      </c>
      <c r="O232" s="143">
        <v>51</v>
      </c>
      <c r="P232" s="9">
        <f t="array" ref="P232">IFERROR(O232/G232*100,0)</f>
        <v>2.7702335687126562</v>
      </c>
      <c r="Q232" s="143">
        <v>7</v>
      </c>
      <c r="R232" s="9">
        <f t="shared" si="28"/>
        <v>13.725490196078432</v>
      </c>
      <c r="S232" s="8" t="str">
        <f t="array" ref="S232">IF(R232&gt;5,"Perlu Sensus",IF(AND(R232&gt;=0,O232&gt;0),"Tetap Deteksi","Belum Deteksi"))</f>
        <v>Perlu Sensus</v>
      </c>
      <c r="T232" s="143">
        <v>8</v>
      </c>
      <c r="U232" s="9">
        <f t="shared" si="30"/>
        <v>15.686274509803921</v>
      </c>
      <c r="V232" s="11"/>
      <c r="W232" s="143"/>
      <c r="X232" s="143"/>
      <c r="Y232" s="9">
        <f t="shared" si="29"/>
        <v>0</v>
      </c>
      <c r="Z232" s="8" t="str">
        <f t="array" ref="Z232">IF(Y232&gt;5,"Perlu Sensus",IF(AND(Y232&gt;0,,O232&gt;0),"Tetap Deteksi","Belum Deteksi"))</f>
        <v>Belum Deteksi</v>
      </c>
      <c r="AA232" s="143"/>
      <c r="AB232" s="9">
        <f t="shared" si="31"/>
        <v>0</v>
      </c>
    </row>
    <row r="233" spans="1:28" outlineLevel="1" x14ac:dyDescent="0.15">
      <c r="A233" s="8" t="s">
        <v>628</v>
      </c>
      <c r="B233" s="8" t="s">
        <v>47</v>
      </c>
      <c r="C233" s="8" t="s">
        <v>252</v>
      </c>
      <c r="D233" s="8" t="s">
        <v>815</v>
      </c>
      <c r="E233" s="9">
        <v>13.26</v>
      </c>
      <c r="F233" s="8" t="s">
        <v>16</v>
      </c>
      <c r="G233" s="143">
        <f t="array" ref="G233">INDEX('[23]SENSUS MEI'!$G$9:$G$453,MATCH(1,('[23]SENSUS MEI'!$D$9:$D$453=$D233)*('[23]SENSUS MEI'!$D$9:$D$453=$D233),0))</f>
        <v>1510</v>
      </c>
      <c r="H233" s="132">
        <f t="shared" si="32"/>
        <v>46235</v>
      </c>
      <c r="I233" s="140">
        <f t="shared" si="32"/>
        <v>102</v>
      </c>
      <c r="J233" s="9">
        <f t="shared" si="25"/>
        <v>6.7549668874172184</v>
      </c>
      <c r="K233" s="140">
        <f t="shared" si="26"/>
        <v>11</v>
      </c>
      <c r="L233" s="206">
        <f t="shared" si="27"/>
        <v>10.784313725490197</v>
      </c>
      <c r="M233" s="8" t="str">
        <f t="array" ref="M233">IF(L233&gt;5,"Perlu Sensus",IF(AND(L233&gt;=0,I233&gt;0),"Tetap Deteksi","Belum Deteksi"))</f>
        <v>Perlu Sensus</v>
      </c>
      <c r="N233" s="11">
        <v>46235</v>
      </c>
      <c r="O233" s="143">
        <v>102</v>
      </c>
      <c r="P233" s="9">
        <f t="array" ref="P233">IFERROR(O233/G233*100,0)</f>
        <v>6.7549668874172184</v>
      </c>
      <c r="Q233" s="143">
        <v>11</v>
      </c>
      <c r="R233" s="9">
        <f t="shared" si="28"/>
        <v>10.784313725490197</v>
      </c>
      <c r="S233" s="8" t="str">
        <f t="array" ref="S233">IF(R233&gt;5,"Perlu Sensus",IF(AND(R233&gt;=0,O233&gt;0),"Tetap Deteksi","Belum Deteksi"))</f>
        <v>Perlu Sensus</v>
      </c>
      <c r="T233" s="143">
        <v>83</v>
      </c>
      <c r="U233" s="9">
        <f t="shared" si="30"/>
        <v>81.372549019607845</v>
      </c>
      <c r="V233" s="11"/>
      <c r="W233" s="143"/>
      <c r="X233" s="143"/>
      <c r="Y233" s="9">
        <f t="shared" si="29"/>
        <v>0</v>
      </c>
      <c r="Z233" s="8" t="str">
        <f t="array" ref="Z233">IF(Y233&gt;5,"Perlu Sensus",IF(AND(Y233&gt;0,,O233&gt;0),"Tetap Deteksi","Belum Deteksi"))</f>
        <v>Belum Deteksi</v>
      </c>
      <c r="AA233" s="143"/>
      <c r="AB233" s="9">
        <f t="shared" si="31"/>
        <v>0</v>
      </c>
    </row>
    <row r="234" spans="1:28" hidden="1" outlineLevel="1" x14ac:dyDescent="0.15">
      <c r="A234" s="8" t="s">
        <v>628</v>
      </c>
      <c r="B234" s="8" t="s">
        <v>47</v>
      </c>
      <c r="C234" s="8" t="s">
        <v>252</v>
      </c>
      <c r="D234" s="8" t="s">
        <v>816</v>
      </c>
      <c r="E234" s="9">
        <v>24.16</v>
      </c>
      <c r="F234" s="8" t="s">
        <v>16</v>
      </c>
      <c r="G234" s="143">
        <f t="array" ref="G234">INDEX('[23]SENSUS MEI'!$G$9:$G$453,MATCH(1,('[23]SENSUS MEI'!$D$9:$D$453=$D234)*('[23]SENSUS MEI'!$D$9:$D$453=$D234),0))</f>
        <v>3481</v>
      </c>
      <c r="H234" s="132">
        <f t="shared" si="32"/>
        <v>0</v>
      </c>
      <c r="I234" s="140">
        <f t="shared" si="32"/>
        <v>0</v>
      </c>
      <c r="J234" s="9" t="str">
        <f t="shared" si="25"/>
        <v xml:space="preserve"> </v>
      </c>
      <c r="K234" s="140">
        <f t="shared" si="26"/>
        <v>0</v>
      </c>
      <c r="L234" s="206">
        <f t="shared" si="27"/>
        <v>0</v>
      </c>
      <c r="M234" s="8" t="str">
        <f t="array" ref="M234">IF(L234&gt;5,"Perlu Sensus",IF(AND(L234&gt;=0,I234&gt;0),"Tetap Deteksi","Belum Deteksi"))</f>
        <v>Belum Deteksi</v>
      </c>
      <c r="N234" s="11"/>
      <c r="O234" s="143"/>
      <c r="P234" s="9">
        <f t="array" ref="P234">IFERROR(O234/G234*100,0)</f>
        <v>0</v>
      </c>
      <c r="Q234" s="143"/>
      <c r="R234" s="9">
        <f t="shared" si="28"/>
        <v>0</v>
      </c>
      <c r="S234" s="8" t="str">
        <f t="array" ref="S234">IF(R234&gt;5,"Perlu Sensus",IF(AND(R234&gt;=0,O234&gt;0),"Tetap Deteksi","Belum Deteksi"))</f>
        <v>Belum Deteksi</v>
      </c>
      <c r="T234" s="143"/>
      <c r="U234" s="9">
        <f t="shared" si="30"/>
        <v>0</v>
      </c>
      <c r="V234" s="11"/>
      <c r="W234" s="143"/>
      <c r="X234" s="143"/>
      <c r="Y234" s="9">
        <f t="shared" si="29"/>
        <v>0</v>
      </c>
      <c r="Z234" s="8" t="str">
        <f t="array" ref="Z234">IF(Y234&gt;5,"Perlu Sensus",IF(AND(Y234&gt;0,,O234&gt;0),"Tetap Deteksi","Belum Deteksi"))</f>
        <v>Belum Deteksi</v>
      </c>
      <c r="AA234" s="143"/>
      <c r="AB234" s="9">
        <f t="shared" si="31"/>
        <v>0</v>
      </c>
    </row>
    <row r="235" spans="1:28" hidden="1" outlineLevel="1" x14ac:dyDescent="0.15">
      <c r="A235" s="8" t="s">
        <v>628</v>
      </c>
      <c r="B235" s="8" t="s">
        <v>47</v>
      </c>
      <c r="C235" s="8" t="s">
        <v>252</v>
      </c>
      <c r="D235" s="8" t="s">
        <v>817</v>
      </c>
      <c r="E235" s="9">
        <v>34.700000000000003</v>
      </c>
      <c r="F235" s="8" t="s">
        <v>16</v>
      </c>
      <c r="G235" s="143">
        <f t="array" ref="G235">INDEX('[23]SENSUS MEI'!$G$9:$G$453,MATCH(1,('[23]SENSUS MEI'!$D$9:$D$453=$D235)*('[23]SENSUS MEI'!$D$9:$D$453=$D235),0))</f>
        <v>4992</v>
      </c>
      <c r="H235" s="132">
        <f t="shared" si="32"/>
        <v>0</v>
      </c>
      <c r="I235" s="140">
        <f t="shared" si="32"/>
        <v>0</v>
      </c>
      <c r="J235" s="9" t="str">
        <f t="shared" si="25"/>
        <v xml:space="preserve"> </v>
      </c>
      <c r="K235" s="140">
        <f t="shared" si="26"/>
        <v>0</v>
      </c>
      <c r="L235" s="206">
        <f t="shared" si="27"/>
        <v>0</v>
      </c>
      <c r="M235" s="8" t="str">
        <f t="array" ref="M235">IF(L235&gt;5,"Perlu Sensus",IF(AND(L235&gt;=0,I235&gt;0),"Tetap Deteksi","Belum Deteksi"))</f>
        <v>Belum Deteksi</v>
      </c>
      <c r="N235" s="11"/>
      <c r="O235" s="143"/>
      <c r="P235" s="9">
        <f t="array" ref="P235">IFERROR(O235/G235*100,0)</f>
        <v>0</v>
      </c>
      <c r="Q235" s="143"/>
      <c r="R235" s="9">
        <f t="shared" si="28"/>
        <v>0</v>
      </c>
      <c r="S235" s="8" t="str">
        <f t="array" ref="S235">IF(R235&gt;5,"Perlu Sensus",IF(AND(R235&gt;=0,O235&gt;0),"Tetap Deteksi","Belum Deteksi"))</f>
        <v>Belum Deteksi</v>
      </c>
      <c r="T235" s="143"/>
      <c r="U235" s="9">
        <f t="shared" si="30"/>
        <v>0</v>
      </c>
      <c r="V235" s="11"/>
      <c r="W235" s="143"/>
      <c r="X235" s="143"/>
      <c r="Y235" s="9">
        <f t="shared" si="29"/>
        <v>0</v>
      </c>
      <c r="Z235" s="8" t="str">
        <f t="array" ref="Z235">IF(Y235&gt;5,"Perlu Sensus",IF(AND(Y235&gt;0,,O235&gt;0),"Tetap Deteksi","Belum Deteksi"))</f>
        <v>Belum Deteksi</v>
      </c>
      <c r="AA235" s="143"/>
      <c r="AB235" s="9">
        <f t="shared" si="31"/>
        <v>0</v>
      </c>
    </row>
    <row r="236" spans="1:28" outlineLevel="1" x14ac:dyDescent="0.15">
      <c r="A236" s="8" t="s">
        <v>628</v>
      </c>
      <c r="B236" s="8" t="s">
        <v>47</v>
      </c>
      <c r="C236" s="8" t="s">
        <v>252</v>
      </c>
      <c r="D236" s="8" t="s">
        <v>818</v>
      </c>
      <c r="E236" s="9">
        <v>33.94</v>
      </c>
      <c r="F236" s="8" t="s">
        <v>16</v>
      </c>
      <c r="G236" s="143">
        <f t="array" ref="G236">INDEX('[23]SENSUS MEI'!$G$9:$G$453,MATCH(1,('[23]SENSUS MEI'!$D$9:$D$453=$D236)*('[23]SENSUS MEI'!$D$9:$D$453=$D236),0))</f>
        <v>4968</v>
      </c>
      <c r="H236" s="132">
        <f t="shared" si="32"/>
        <v>46235</v>
      </c>
      <c r="I236" s="140">
        <f t="shared" si="32"/>
        <v>217</v>
      </c>
      <c r="J236" s="9">
        <f t="shared" si="25"/>
        <v>4.3679549114331726</v>
      </c>
      <c r="K236" s="140">
        <f t="shared" si="26"/>
        <v>29</v>
      </c>
      <c r="L236" s="206">
        <f t="shared" si="27"/>
        <v>13.364055299539171</v>
      </c>
      <c r="M236" s="8" t="str">
        <f t="array" ref="M236">IF(L236&gt;5,"Perlu Sensus",IF(AND(L236&gt;=0,I236&gt;0),"Tetap Deteksi","Belum Deteksi"))</f>
        <v>Perlu Sensus</v>
      </c>
      <c r="N236" s="11">
        <v>46235</v>
      </c>
      <c r="O236" s="143">
        <v>217</v>
      </c>
      <c r="P236" s="9">
        <f t="array" ref="P236">IFERROR(O236/G236*100,0)</f>
        <v>4.3679549114331726</v>
      </c>
      <c r="Q236" s="143">
        <v>29</v>
      </c>
      <c r="R236" s="9">
        <f t="shared" si="28"/>
        <v>13.364055299539171</v>
      </c>
      <c r="S236" s="8" t="str">
        <f t="array" ref="S236">IF(R236&gt;5,"Perlu Sensus",IF(AND(R236&gt;=0,O236&gt;0),"Tetap Deteksi","Belum Deteksi"))</f>
        <v>Perlu Sensus</v>
      </c>
      <c r="T236" s="143">
        <v>156</v>
      </c>
      <c r="U236" s="9">
        <f t="shared" si="30"/>
        <v>71.889400921658989</v>
      </c>
      <c r="V236" s="11"/>
      <c r="W236" s="143"/>
      <c r="X236" s="143"/>
      <c r="Y236" s="9">
        <f t="shared" si="29"/>
        <v>0</v>
      </c>
      <c r="Z236" s="8" t="str">
        <f t="array" ref="Z236">IF(Y236&gt;5,"Perlu Sensus",IF(AND(Y236&gt;0,,O236&gt;0),"Tetap Deteksi","Belum Deteksi"))</f>
        <v>Belum Deteksi</v>
      </c>
      <c r="AA236" s="143"/>
      <c r="AB236" s="9">
        <f t="shared" si="31"/>
        <v>0</v>
      </c>
    </row>
    <row r="237" spans="1:28" hidden="1" outlineLevel="1" x14ac:dyDescent="0.15">
      <c r="A237" s="8" t="s">
        <v>628</v>
      </c>
      <c r="B237" s="8" t="s">
        <v>47</v>
      </c>
      <c r="C237" s="8" t="s">
        <v>252</v>
      </c>
      <c r="D237" s="8" t="s">
        <v>819</v>
      </c>
      <c r="E237" s="9">
        <v>35.42</v>
      </c>
      <c r="F237" s="8" t="s">
        <v>16</v>
      </c>
      <c r="G237" s="143">
        <f t="array" ref="G237">INDEX('[23]SENSUS MEI'!$G$9:$G$453,MATCH(1,('[23]SENSUS MEI'!$D$9:$D$453=$D237)*('[23]SENSUS MEI'!$D$9:$D$453=$D237),0))</f>
        <v>5305</v>
      </c>
      <c r="H237" s="132">
        <f t="shared" si="32"/>
        <v>0</v>
      </c>
      <c r="I237" s="140">
        <f t="shared" si="32"/>
        <v>0</v>
      </c>
      <c r="J237" s="9" t="str">
        <f t="shared" si="25"/>
        <v xml:space="preserve"> </v>
      </c>
      <c r="K237" s="140">
        <f t="shared" si="26"/>
        <v>0</v>
      </c>
      <c r="L237" s="206">
        <f t="shared" si="27"/>
        <v>0</v>
      </c>
      <c r="M237" s="8" t="str">
        <f t="array" ref="M237">IF(L237&gt;5,"Perlu Sensus",IF(AND(L237&gt;=0,I237&gt;0),"Tetap Deteksi","Belum Deteksi"))</f>
        <v>Belum Deteksi</v>
      </c>
      <c r="N237" s="11"/>
      <c r="O237" s="143"/>
      <c r="P237" s="9">
        <f t="array" ref="P237">IFERROR(O237/G237*100,0)</f>
        <v>0</v>
      </c>
      <c r="Q237" s="143"/>
      <c r="R237" s="9">
        <f t="shared" si="28"/>
        <v>0</v>
      </c>
      <c r="S237" s="8" t="str">
        <f t="array" ref="S237">IF(R237&gt;5,"Perlu Sensus",IF(AND(R237&gt;=0,O237&gt;0),"Tetap Deteksi","Belum Deteksi"))</f>
        <v>Belum Deteksi</v>
      </c>
      <c r="T237" s="143"/>
      <c r="U237" s="9">
        <f t="shared" si="30"/>
        <v>0</v>
      </c>
      <c r="V237" s="11"/>
      <c r="W237" s="143"/>
      <c r="X237" s="143"/>
      <c r="Y237" s="9">
        <f t="shared" si="29"/>
        <v>0</v>
      </c>
      <c r="Z237" s="8" t="str">
        <f t="array" ref="Z237">IF(Y237&gt;5,"Perlu Sensus",IF(AND(Y237&gt;0,,O237&gt;0),"Tetap Deteksi","Belum Deteksi"))</f>
        <v>Belum Deteksi</v>
      </c>
      <c r="AA237" s="143"/>
      <c r="AB237" s="9">
        <f t="shared" si="31"/>
        <v>0</v>
      </c>
    </row>
    <row r="238" spans="1:28" hidden="1" outlineLevel="1" x14ac:dyDescent="0.15">
      <c r="A238" s="8" t="s">
        <v>628</v>
      </c>
      <c r="B238" s="8" t="s">
        <v>47</v>
      </c>
      <c r="C238" s="8" t="s">
        <v>252</v>
      </c>
      <c r="D238" s="8" t="s">
        <v>820</v>
      </c>
      <c r="E238" s="9">
        <v>39.5</v>
      </c>
      <c r="F238" s="8" t="s">
        <v>16</v>
      </c>
      <c r="G238" s="143">
        <f t="array" ref="G238">INDEX('[23]SENSUS MEI'!$G$9:$G$453,MATCH(1,('[23]SENSUS MEI'!$D$9:$D$453=$D238)*('[23]SENSUS MEI'!$D$9:$D$453=$D238),0))</f>
        <v>5743</v>
      </c>
      <c r="H238" s="132">
        <f t="shared" si="32"/>
        <v>0</v>
      </c>
      <c r="I238" s="140">
        <f t="shared" si="32"/>
        <v>0</v>
      </c>
      <c r="J238" s="9" t="str">
        <f t="shared" si="25"/>
        <v xml:space="preserve"> </v>
      </c>
      <c r="K238" s="140">
        <f t="shared" si="26"/>
        <v>0</v>
      </c>
      <c r="L238" s="206">
        <f t="shared" si="27"/>
        <v>0</v>
      </c>
      <c r="M238" s="8" t="str">
        <f t="array" ref="M238">IF(L238&gt;5,"Perlu Sensus",IF(AND(L238&gt;=0,I238&gt;0),"Tetap Deteksi","Belum Deteksi"))</f>
        <v>Belum Deteksi</v>
      </c>
      <c r="N238" s="11"/>
      <c r="O238" s="143"/>
      <c r="P238" s="9">
        <f t="array" ref="P238">IFERROR(O238/G238*100,0)</f>
        <v>0</v>
      </c>
      <c r="Q238" s="143"/>
      <c r="R238" s="9">
        <f t="shared" si="28"/>
        <v>0</v>
      </c>
      <c r="S238" s="8" t="str">
        <f t="array" ref="S238">IF(R238&gt;5,"Perlu Sensus",IF(AND(R238&gt;=0,O238&gt;0),"Tetap Deteksi","Belum Deteksi"))</f>
        <v>Belum Deteksi</v>
      </c>
      <c r="T238" s="143"/>
      <c r="U238" s="9">
        <f t="shared" si="30"/>
        <v>0</v>
      </c>
      <c r="V238" s="11"/>
      <c r="W238" s="143"/>
      <c r="X238" s="143"/>
      <c r="Y238" s="9">
        <f t="shared" si="29"/>
        <v>0</v>
      </c>
      <c r="Z238" s="8" t="str">
        <f t="array" ref="Z238">IF(Y238&gt;5,"Perlu Sensus",IF(AND(Y238&gt;0,,O238&gt;0),"Tetap Deteksi","Belum Deteksi"))</f>
        <v>Belum Deteksi</v>
      </c>
      <c r="AA238" s="143"/>
      <c r="AB238" s="9">
        <f t="shared" si="31"/>
        <v>0</v>
      </c>
    </row>
    <row r="239" spans="1:28" outlineLevel="1" x14ac:dyDescent="0.15">
      <c r="A239" s="8" t="s">
        <v>628</v>
      </c>
      <c r="B239" s="8" t="s">
        <v>47</v>
      </c>
      <c r="C239" s="8" t="s">
        <v>252</v>
      </c>
      <c r="D239" s="8" t="s">
        <v>821</v>
      </c>
      <c r="E239" s="9">
        <v>47.24</v>
      </c>
      <c r="F239" s="8" t="s">
        <v>16</v>
      </c>
      <c r="G239" s="143">
        <f t="array" ref="G239">INDEX('[23]SENSUS MEI'!$G$9:$G$453,MATCH(1,('[23]SENSUS MEI'!$D$9:$D$453=$D239)*('[23]SENSUS MEI'!$D$9:$D$453=$D239),0))</f>
        <v>6795</v>
      </c>
      <c r="H239" s="132">
        <f t="shared" si="32"/>
        <v>46247</v>
      </c>
      <c r="I239" s="140">
        <f t="shared" si="32"/>
        <v>350</v>
      </c>
      <c r="J239" s="9">
        <f t="shared" si="25"/>
        <v>5.1508462104488597</v>
      </c>
      <c r="K239" s="140">
        <f t="shared" si="26"/>
        <v>24</v>
      </c>
      <c r="L239" s="206">
        <f t="shared" si="27"/>
        <v>6.8571428571428577</v>
      </c>
      <c r="M239" s="8" t="str">
        <f t="array" ref="M239">IF(L239&gt;5,"Perlu Sensus",IF(AND(L239&gt;=0,I239&gt;0),"Tetap Deteksi","Belum Deteksi"))</f>
        <v>Perlu Sensus</v>
      </c>
      <c r="N239" s="11">
        <v>46247</v>
      </c>
      <c r="O239" s="143">
        <v>350</v>
      </c>
      <c r="P239" s="9">
        <f t="array" ref="P239">IFERROR(O239/G239*100,0)</f>
        <v>5.1508462104488597</v>
      </c>
      <c r="Q239" s="143">
        <v>24</v>
      </c>
      <c r="R239" s="9">
        <f t="shared" si="28"/>
        <v>6.8571428571428577</v>
      </c>
      <c r="S239" s="8" t="str">
        <f t="array" ref="S239">IF(R239&gt;5,"Perlu Sensus",IF(AND(R239&gt;=0,O239&gt;0),"Tetap Deteksi","Belum Deteksi"))</f>
        <v>Perlu Sensus</v>
      </c>
      <c r="T239" s="143">
        <v>231</v>
      </c>
      <c r="U239" s="9">
        <f t="shared" si="30"/>
        <v>66</v>
      </c>
      <c r="V239" s="11"/>
      <c r="W239" s="143"/>
      <c r="X239" s="143"/>
      <c r="Y239" s="9">
        <f t="shared" si="29"/>
        <v>0</v>
      </c>
      <c r="Z239" s="8" t="str">
        <f t="array" ref="Z239">IF(Y239&gt;5,"Perlu Sensus",IF(AND(Y239&gt;0,,O239&gt;0),"Tetap Deteksi","Belum Deteksi"))</f>
        <v>Belum Deteksi</v>
      </c>
      <c r="AA239" s="143"/>
      <c r="AB239" s="9">
        <f t="shared" si="31"/>
        <v>0</v>
      </c>
    </row>
    <row r="240" spans="1:28" outlineLevel="1" x14ac:dyDescent="0.15">
      <c r="A240" s="8" t="s">
        <v>628</v>
      </c>
      <c r="B240" s="8" t="s">
        <v>47</v>
      </c>
      <c r="C240" s="8" t="s">
        <v>252</v>
      </c>
      <c r="D240" s="8" t="s">
        <v>822</v>
      </c>
      <c r="E240" s="9">
        <v>46.99</v>
      </c>
      <c r="F240" s="8" t="s">
        <v>16</v>
      </c>
      <c r="G240" s="143">
        <f t="array" ref="G240">INDEX('[23]SENSUS MEI'!$G$9:$G$453,MATCH(1,('[23]SENSUS MEI'!$D$9:$D$453=$D240)*('[23]SENSUS MEI'!$D$9:$D$453=$D240),0))</f>
        <v>6388</v>
      </c>
      <c r="H240" s="132">
        <f t="shared" si="32"/>
        <v>46248</v>
      </c>
      <c r="I240" s="140">
        <f t="shared" si="32"/>
        <v>613</v>
      </c>
      <c r="J240" s="9">
        <f t="shared" si="25"/>
        <v>9.5961177207263617</v>
      </c>
      <c r="K240" s="140">
        <f t="shared" si="26"/>
        <v>50</v>
      </c>
      <c r="L240" s="206">
        <f t="shared" si="27"/>
        <v>8.1566068515497552</v>
      </c>
      <c r="M240" s="8" t="str">
        <f t="array" ref="M240">IF(L240&gt;5,"Perlu Sensus",IF(AND(L240&gt;=0,I240&gt;0),"Tetap Deteksi","Belum Deteksi"))</f>
        <v>Perlu Sensus</v>
      </c>
      <c r="N240" s="11">
        <v>46248</v>
      </c>
      <c r="O240" s="143">
        <v>613</v>
      </c>
      <c r="P240" s="9">
        <f t="array" ref="P240">IFERROR(O240/G240*100,0)</f>
        <v>9.5961177207263617</v>
      </c>
      <c r="Q240" s="143">
        <v>50</v>
      </c>
      <c r="R240" s="9">
        <f t="shared" si="28"/>
        <v>8.1566068515497552</v>
      </c>
      <c r="S240" s="8" t="str">
        <f t="array" ref="S240">IF(R240&gt;5,"Perlu Sensus",IF(AND(R240&gt;=0,O240&gt;0),"Tetap Deteksi","Belum Deteksi"))</f>
        <v>Perlu Sensus</v>
      </c>
      <c r="T240" s="143">
        <v>416</v>
      </c>
      <c r="U240" s="9">
        <f t="shared" si="30"/>
        <v>67.862969004893969</v>
      </c>
      <c r="V240" s="11">
        <v>46248</v>
      </c>
      <c r="W240" s="143">
        <v>186</v>
      </c>
      <c r="X240" s="143">
        <v>28</v>
      </c>
      <c r="Y240" s="9">
        <f t="shared" si="29"/>
        <v>15.053763440860216</v>
      </c>
      <c r="Z240" s="8" t="str">
        <f t="array" ref="Z240">IF(Y240&gt;5,"Perlu Sensus",IF(AND(Y240&gt;0,,O240&gt;0),"Tetap Deteksi","Belum Deteksi"))</f>
        <v>Perlu Sensus</v>
      </c>
      <c r="AA240" s="143">
        <v>77</v>
      </c>
      <c r="AB240" s="9">
        <f t="shared" si="31"/>
        <v>41.397849462365592</v>
      </c>
    </row>
    <row r="241" spans="1:28" outlineLevel="1" x14ac:dyDescent="0.15">
      <c r="A241" s="8" t="s">
        <v>628</v>
      </c>
      <c r="B241" s="8" t="s">
        <v>47</v>
      </c>
      <c r="C241" s="8" t="s">
        <v>252</v>
      </c>
      <c r="D241" s="8" t="s">
        <v>823</v>
      </c>
      <c r="E241" s="9">
        <v>43.2</v>
      </c>
      <c r="F241" s="8" t="s">
        <v>16</v>
      </c>
      <c r="G241" s="143">
        <f t="array" ref="G241">INDEX('[23]SENSUS MEI'!$G$9:$G$453,MATCH(1,('[23]SENSUS MEI'!$D$9:$D$453=$D241)*('[23]SENSUS MEI'!$D$9:$D$453=$D241),0))</f>
        <v>5375</v>
      </c>
      <c r="H241" s="132">
        <f t="shared" si="32"/>
        <v>46249</v>
      </c>
      <c r="I241" s="140">
        <f t="shared" si="32"/>
        <v>317</v>
      </c>
      <c r="J241" s="9">
        <f t="shared" si="25"/>
        <v>5.8976744186046508</v>
      </c>
      <c r="K241" s="140">
        <f t="shared" si="26"/>
        <v>23</v>
      </c>
      <c r="L241" s="206">
        <f t="shared" si="27"/>
        <v>7.2555205047318623</v>
      </c>
      <c r="M241" s="8" t="str">
        <f t="array" ref="M241">IF(L241&gt;5,"Perlu Sensus",IF(AND(L241&gt;=0,I241&gt;0),"Tetap Deteksi","Belum Deteksi"))</f>
        <v>Perlu Sensus</v>
      </c>
      <c r="N241" s="11">
        <v>46249</v>
      </c>
      <c r="O241" s="143">
        <v>317</v>
      </c>
      <c r="P241" s="9">
        <f t="array" ref="P241">IFERROR(O241/G241*100,0)</f>
        <v>5.8976744186046508</v>
      </c>
      <c r="Q241" s="143">
        <v>23</v>
      </c>
      <c r="R241" s="9">
        <f t="shared" si="28"/>
        <v>7.2555205047318623</v>
      </c>
      <c r="S241" s="8" t="str">
        <f t="array" ref="S241">IF(R241&gt;5,"Perlu Sensus",IF(AND(R241&gt;=0,O241&gt;0),"Tetap Deteksi","Belum Deteksi"))</f>
        <v>Perlu Sensus</v>
      </c>
      <c r="T241" s="143">
        <v>124</v>
      </c>
      <c r="U241" s="9">
        <f t="shared" si="30"/>
        <v>39.116719242902207</v>
      </c>
      <c r="V241" s="11">
        <v>46248</v>
      </c>
      <c r="W241" s="143">
        <v>85</v>
      </c>
      <c r="X241" s="143">
        <v>9</v>
      </c>
      <c r="Y241" s="9">
        <f t="shared" si="29"/>
        <v>10.588235294117647</v>
      </c>
      <c r="Z241" s="8" t="str">
        <f t="array" ref="Z241">IF(Y241&gt;5,"Perlu Sensus",IF(AND(Y241&gt;0,,O241&gt;0),"Tetap Deteksi","Belum Deteksi"))</f>
        <v>Perlu Sensus</v>
      </c>
      <c r="AA241" s="143">
        <v>24</v>
      </c>
      <c r="AB241" s="9">
        <f t="shared" si="31"/>
        <v>28.235294117647058</v>
      </c>
    </row>
    <row r="242" spans="1:28" hidden="1" outlineLevel="1" x14ac:dyDescent="0.15">
      <c r="A242" s="8" t="s">
        <v>628</v>
      </c>
      <c r="B242" s="8" t="s">
        <v>47</v>
      </c>
      <c r="C242" s="8" t="s">
        <v>252</v>
      </c>
      <c r="D242" s="8" t="s">
        <v>824</v>
      </c>
      <c r="E242" s="9">
        <v>10.92</v>
      </c>
      <c r="F242" s="8" t="s">
        <v>16</v>
      </c>
      <c r="G242" s="143">
        <f t="array" ref="G242">INDEX('[23]SENSUS MEI'!$G$9:$G$453,MATCH(1,('[23]SENSUS MEI'!$D$9:$D$453=$D242)*('[23]SENSUS MEI'!$D$9:$D$453=$D242),0))</f>
        <v>1398</v>
      </c>
      <c r="H242" s="132">
        <f t="shared" si="32"/>
        <v>0</v>
      </c>
      <c r="I242" s="140">
        <f t="shared" si="32"/>
        <v>0</v>
      </c>
      <c r="J242" s="9" t="str">
        <f t="shared" si="25"/>
        <v xml:space="preserve"> </v>
      </c>
      <c r="K242" s="140">
        <f t="shared" si="26"/>
        <v>0</v>
      </c>
      <c r="L242" s="206">
        <f t="shared" si="27"/>
        <v>0</v>
      </c>
      <c r="M242" s="8" t="str">
        <f t="array" ref="M242">IF(L242&gt;5,"Perlu Sensus",IF(AND(L242&gt;=0,I242&gt;0),"Tetap Deteksi","Belum Deteksi"))</f>
        <v>Belum Deteksi</v>
      </c>
      <c r="N242" s="11"/>
      <c r="O242" s="143"/>
      <c r="P242" s="9">
        <f t="array" ref="P242">IFERROR(O242/G242*100,0)</f>
        <v>0</v>
      </c>
      <c r="Q242" s="143"/>
      <c r="R242" s="9">
        <f t="shared" si="28"/>
        <v>0</v>
      </c>
      <c r="S242" s="8" t="str">
        <f t="array" ref="S242">IF(R242&gt;5,"Perlu Sensus",IF(AND(R242&gt;=0,O242&gt;0),"Tetap Deteksi","Belum Deteksi"))</f>
        <v>Belum Deteksi</v>
      </c>
      <c r="T242" s="143"/>
      <c r="U242" s="9">
        <f t="shared" si="30"/>
        <v>0</v>
      </c>
      <c r="V242" s="11"/>
      <c r="W242" s="143"/>
      <c r="X242" s="143"/>
      <c r="Y242" s="9">
        <f t="shared" si="29"/>
        <v>0</v>
      </c>
      <c r="Z242" s="8" t="str">
        <f t="array" ref="Z242">IF(Y242&gt;5,"Perlu Sensus",IF(AND(Y242&gt;0,,O242&gt;0),"Tetap Deteksi","Belum Deteksi"))</f>
        <v>Belum Deteksi</v>
      </c>
      <c r="AA242" s="143"/>
      <c r="AB242" s="9">
        <f t="shared" si="31"/>
        <v>0</v>
      </c>
    </row>
    <row r="243" spans="1:28" hidden="1" outlineLevel="1" x14ac:dyDescent="0.15">
      <c r="A243" s="8" t="s">
        <v>628</v>
      </c>
      <c r="B243" s="8" t="s">
        <v>47</v>
      </c>
      <c r="C243" s="8" t="s">
        <v>252</v>
      </c>
      <c r="D243" s="8" t="s">
        <v>825</v>
      </c>
      <c r="E243" s="9">
        <v>12.71</v>
      </c>
      <c r="F243" s="8" t="s">
        <v>16</v>
      </c>
      <c r="G243" s="143">
        <f t="array" ref="G243">INDEX('[23]SENSUS MEI'!$G$9:$G$453,MATCH(1,('[23]SENSUS MEI'!$D$9:$D$453=$D243)*('[23]SENSUS MEI'!$D$9:$D$453=$D243),0))</f>
        <v>1970</v>
      </c>
      <c r="H243" s="132">
        <f t="shared" si="32"/>
        <v>0</v>
      </c>
      <c r="I243" s="140">
        <f t="shared" si="32"/>
        <v>0</v>
      </c>
      <c r="J243" s="9" t="str">
        <f t="shared" si="25"/>
        <v xml:space="preserve"> </v>
      </c>
      <c r="K243" s="140">
        <f t="shared" si="26"/>
        <v>0</v>
      </c>
      <c r="L243" s="206">
        <f t="shared" si="27"/>
        <v>0</v>
      </c>
      <c r="M243" s="8" t="str">
        <f t="array" ref="M243">IF(L243&gt;5,"Perlu Sensus",IF(AND(L243&gt;=0,I243&gt;0),"Tetap Deteksi","Belum Deteksi"))</f>
        <v>Belum Deteksi</v>
      </c>
      <c r="N243" s="11"/>
      <c r="O243" s="143"/>
      <c r="P243" s="9">
        <f t="array" ref="P243">IFERROR(O243/G243*100,0)</f>
        <v>0</v>
      </c>
      <c r="Q243" s="143"/>
      <c r="R243" s="9">
        <f t="shared" si="28"/>
        <v>0</v>
      </c>
      <c r="S243" s="8" t="str">
        <f t="array" ref="S243">IF(R243&gt;5,"Perlu Sensus",IF(AND(R243&gt;=0,O243&gt;0),"Tetap Deteksi","Belum Deteksi"))</f>
        <v>Belum Deteksi</v>
      </c>
      <c r="T243" s="143"/>
      <c r="U243" s="9">
        <f t="shared" si="30"/>
        <v>0</v>
      </c>
      <c r="V243" s="11"/>
      <c r="W243" s="143"/>
      <c r="X243" s="143"/>
      <c r="Y243" s="9">
        <f t="shared" si="29"/>
        <v>0</v>
      </c>
      <c r="Z243" s="8" t="str">
        <f t="array" ref="Z243">IF(Y243&gt;5,"Perlu Sensus",IF(AND(Y243&gt;0,,O243&gt;0),"Tetap Deteksi","Belum Deteksi"))</f>
        <v>Belum Deteksi</v>
      </c>
      <c r="AA243" s="143"/>
      <c r="AB243" s="9">
        <f t="shared" si="31"/>
        <v>0</v>
      </c>
    </row>
    <row r="244" spans="1:28" hidden="1" outlineLevel="1" x14ac:dyDescent="0.15">
      <c r="A244" s="8" t="s">
        <v>628</v>
      </c>
      <c r="B244" s="8" t="s">
        <v>47</v>
      </c>
      <c r="C244" s="8" t="s">
        <v>252</v>
      </c>
      <c r="D244" s="8" t="s">
        <v>826</v>
      </c>
      <c r="E244" s="9">
        <v>27.14</v>
      </c>
      <c r="F244" s="8" t="s">
        <v>16</v>
      </c>
      <c r="G244" s="143">
        <f t="array" ref="G244">INDEX('[23]SENSUS MEI'!$G$9:$G$453,MATCH(1,('[23]SENSUS MEI'!$D$9:$D$453=$D244)*('[23]SENSUS MEI'!$D$9:$D$453=$D244),0))</f>
        <v>3901</v>
      </c>
      <c r="H244" s="132">
        <f t="shared" si="32"/>
        <v>0</v>
      </c>
      <c r="I244" s="140">
        <f t="shared" si="32"/>
        <v>0</v>
      </c>
      <c r="J244" s="9" t="str">
        <f t="shared" si="25"/>
        <v xml:space="preserve"> </v>
      </c>
      <c r="K244" s="140">
        <f t="shared" si="26"/>
        <v>0</v>
      </c>
      <c r="L244" s="206">
        <f t="shared" si="27"/>
        <v>0</v>
      </c>
      <c r="M244" s="8" t="str">
        <f t="array" ref="M244">IF(L244&gt;5,"Perlu Sensus",IF(AND(L244&gt;=0,I244&gt;0),"Tetap Deteksi","Belum Deteksi"))</f>
        <v>Belum Deteksi</v>
      </c>
      <c r="N244" s="11"/>
      <c r="O244" s="143"/>
      <c r="P244" s="9">
        <f t="array" ref="P244">IFERROR(O244/G244*100,0)</f>
        <v>0</v>
      </c>
      <c r="Q244" s="143"/>
      <c r="R244" s="9">
        <f t="shared" si="28"/>
        <v>0</v>
      </c>
      <c r="S244" s="8" t="str">
        <f t="array" ref="S244">IF(R244&gt;5,"Perlu Sensus",IF(AND(R244&gt;=0,O244&gt;0),"Tetap Deteksi","Belum Deteksi"))</f>
        <v>Belum Deteksi</v>
      </c>
      <c r="T244" s="143"/>
      <c r="U244" s="9">
        <f t="shared" si="30"/>
        <v>0</v>
      </c>
      <c r="V244" s="11"/>
      <c r="W244" s="143"/>
      <c r="X244" s="143"/>
      <c r="Y244" s="9">
        <f t="shared" si="29"/>
        <v>0</v>
      </c>
      <c r="Z244" s="8" t="str">
        <f t="array" ref="Z244">IF(Y244&gt;5,"Perlu Sensus",IF(AND(Y244&gt;0,,O244&gt;0),"Tetap Deteksi","Belum Deteksi"))</f>
        <v>Belum Deteksi</v>
      </c>
      <c r="AA244" s="143"/>
      <c r="AB244" s="9">
        <f t="shared" si="31"/>
        <v>0</v>
      </c>
    </row>
    <row r="245" spans="1:28" hidden="1" outlineLevel="1" x14ac:dyDescent="0.15">
      <c r="A245" s="8" t="s">
        <v>628</v>
      </c>
      <c r="B245" s="8" t="s">
        <v>47</v>
      </c>
      <c r="C245" s="8" t="s">
        <v>252</v>
      </c>
      <c r="D245" s="8" t="s">
        <v>827</v>
      </c>
      <c r="E245" s="9">
        <v>41.33</v>
      </c>
      <c r="F245" s="8" t="s">
        <v>16</v>
      </c>
      <c r="G245" s="143">
        <f t="array" ref="G245">INDEX('[23]SENSUS MEI'!$G$9:$G$453,MATCH(1,('[23]SENSUS MEI'!$D$9:$D$453=$D245)*('[23]SENSUS MEI'!$D$9:$D$453=$D245),0))</f>
        <v>4910</v>
      </c>
      <c r="H245" s="132">
        <f t="shared" si="32"/>
        <v>0</v>
      </c>
      <c r="I245" s="140">
        <f t="shared" si="32"/>
        <v>0</v>
      </c>
      <c r="J245" s="9" t="str">
        <f t="shared" si="25"/>
        <v xml:space="preserve"> </v>
      </c>
      <c r="K245" s="140">
        <f t="shared" si="26"/>
        <v>0</v>
      </c>
      <c r="L245" s="206">
        <f t="shared" si="27"/>
        <v>0</v>
      </c>
      <c r="M245" s="8" t="str">
        <f t="array" ref="M245">IF(L245&gt;5,"Perlu Sensus",IF(AND(L245&gt;=0,I245&gt;0),"Tetap Deteksi","Belum Deteksi"))</f>
        <v>Belum Deteksi</v>
      </c>
      <c r="N245" s="11"/>
      <c r="O245" s="143"/>
      <c r="P245" s="9">
        <f t="array" ref="P245">IFERROR(O245/G245*100,0)</f>
        <v>0</v>
      </c>
      <c r="Q245" s="143"/>
      <c r="R245" s="9">
        <f t="shared" si="28"/>
        <v>0</v>
      </c>
      <c r="S245" s="8" t="str">
        <f t="array" ref="S245">IF(R245&gt;5,"Perlu Sensus",IF(AND(R245&gt;=0,O245&gt;0),"Tetap Deteksi","Belum Deteksi"))</f>
        <v>Belum Deteksi</v>
      </c>
      <c r="T245" s="143"/>
      <c r="U245" s="9">
        <f t="shared" si="30"/>
        <v>0</v>
      </c>
      <c r="V245" s="11"/>
      <c r="W245" s="143"/>
      <c r="X245" s="143"/>
      <c r="Y245" s="9">
        <f t="shared" si="29"/>
        <v>0</v>
      </c>
      <c r="Z245" s="8" t="str">
        <f t="array" ref="Z245">IF(Y245&gt;5,"Perlu Sensus",IF(AND(Y245&gt;0,,O245&gt;0),"Tetap Deteksi","Belum Deteksi"))</f>
        <v>Belum Deteksi</v>
      </c>
      <c r="AA245" s="143"/>
      <c r="AB245" s="9">
        <f t="shared" si="31"/>
        <v>0</v>
      </c>
    </row>
    <row r="246" spans="1:28" hidden="1" outlineLevel="1" x14ac:dyDescent="0.15">
      <c r="A246" s="8" t="s">
        <v>628</v>
      </c>
      <c r="B246" s="8" t="s">
        <v>47</v>
      </c>
      <c r="C246" s="8" t="s">
        <v>252</v>
      </c>
      <c r="D246" s="8" t="s">
        <v>828</v>
      </c>
      <c r="E246" s="9">
        <v>35.65</v>
      </c>
      <c r="F246" s="8" t="s">
        <v>16</v>
      </c>
      <c r="G246" s="143">
        <f t="array" ref="G246">INDEX('[23]SENSUS MEI'!$G$9:$G$453,MATCH(1,('[23]SENSUS MEI'!$D$9:$D$453=$D246)*('[23]SENSUS MEI'!$D$9:$D$453=$D246),0))</f>
        <v>4915</v>
      </c>
      <c r="H246" s="132">
        <f t="shared" si="32"/>
        <v>0</v>
      </c>
      <c r="I246" s="140">
        <f t="shared" si="32"/>
        <v>0</v>
      </c>
      <c r="J246" s="9" t="str">
        <f t="shared" si="25"/>
        <v xml:space="preserve"> </v>
      </c>
      <c r="K246" s="140">
        <f t="shared" si="26"/>
        <v>0</v>
      </c>
      <c r="L246" s="206">
        <f t="shared" si="27"/>
        <v>0</v>
      </c>
      <c r="M246" s="8" t="str">
        <f t="array" ref="M246">IF(L246&gt;5,"Perlu Sensus",IF(AND(L246&gt;=0,I246&gt;0),"Tetap Deteksi","Belum Deteksi"))</f>
        <v>Belum Deteksi</v>
      </c>
      <c r="N246" s="11"/>
      <c r="O246" s="143"/>
      <c r="P246" s="9">
        <f t="array" ref="P246">IFERROR(O246/G246*100,0)</f>
        <v>0</v>
      </c>
      <c r="Q246" s="143"/>
      <c r="R246" s="9">
        <f t="shared" si="28"/>
        <v>0</v>
      </c>
      <c r="S246" s="8" t="str">
        <f t="array" ref="S246">IF(R246&gt;5,"Perlu Sensus",IF(AND(R246&gt;=0,O246&gt;0),"Tetap Deteksi","Belum Deteksi"))</f>
        <v>Belum Deteksi</v>
      </c>
      <c r="T246" s="143"/>
      <c r="U246" s="9">
        <f t="shared" si="30"/>
        <v>0</v>
      </c>
      <c r="V246" s="11"/>
      <c r="W246" s="143"/>
      <c r="X246" s="143"/>
      <c r="Y246" s="9">
        <f t="shared" si="29"/>
        <v>0</v>
      </c>
      <c r="Z246" s="8" t="str">
        <f t="array" ref="Z246">IF(Y246&gt;5,"Perlu Sensus",IF(AND(Y246&gt;0,,O246&gt;0),"Tetap Deteksi","Belum Deteksi"))</f>
        <v>Belum Deteksi</v>
      </c>
      <c r="AA246" s="143"/>
      <c r="AB246" s="9">
        <f t="shared" si="31"/>
        <v>0</v>
      </c>
    </row>
    <row r="247" spans="1:28" hidden="1" outlineLevel="1" x14ac:dyDescent="0.15">
      <c r="A247" s="8" t="s">
        <v>628</v>
      </c>
      <c r="B247" s="8" t="s">
        <v>47</v>
      </c>
      <c r="C247" s="8" t="s">
        <v>252</v>
      </c>
      <c r="D247" s="8" t="s">
        <v>829</v>
      </c>
      <c r="E247" s="9">
        <v>38.799999999999997</v>
      </c>
      <c r="F247" s="8" t="s">
        <v>16</v>
      </c>
      <c r="G247" s="143">
        <f t="array" ref="G247">INDEX('[23]SENSUS MEI'!$G$9:$G$453,MATCH(1,('[23]SENSUS MEI'!$D$9:$D$453=$D247)*('[23]SENSUS MEI'!$D$9:$D$453=$D247),0))</f>
        <v>5791</v>
      </c>
      <c r="H247" s="132">
        <f t="shared" si="32"/>
        <v>0</v>
      </c>
      <c r="I247" s="140">
        <f t="shared" si="32"/>
        <v>0</v>
      </c>
      <c r="J247" s="9" t="str">
        <f t="shared" si="25"/>
        <v xml:space="preserve"> </v>
      </c>
      <c r="K247" s="140">
        <f t="shared" si="26"/>
        <v>0</v>
      </c>
      <c r="L247" s="206">
        <f t="shared" si="27"/>
        <v>0</v>
      </c>
      <c r="M247" s="8" t="str">
        <f t="array" ref="M247">IF(L247&gt;5,"Perlu Sensus",IF(AND(L247&gt;=0,I247&gt;0),"Tetap Deteksi","Belum Deteksi"))</f>
        <v>Belum Deteksi</v>
      </c>
      <c r="N247" s="11"/>
      <c r="O247" s="143"/>
      <c r="P247" s="9">
        <f t="array" ref="P247">IFERROR(O247/G247*100,0)</f>
        <v>0</v>
      </c>
      <c r="Q247" s="143"/>
      <c r="R247" s="9">
        <f t="shared" si="28"/>
        <v>0</v>
      </c>
      <c r="S247" s="8" t="str">
        <f t="array" ref="S247">IF(R247&gt;5,"Perlu Sensus",IF(AND(R247&gt;=0,O247&gt;0),"Tetap Deteksi","Belum Deteksi"))</f>
        <v>Belum Deteksi</v>
      </c>
      <c r="T247" s="143"/>
      <c r="U247" s="9">
        <f t="shared" si="30"/>
        <v>0</v>
      </c>
      <c r="V247" s="11"/>
      <c r="W247" s="143"/>
      <c r="X247" s="143"/>
      <c r="Y247" s="9">
        <f t="shared" si="29"/>
        <v>0</v>
      </c>
      <c r="Z247" s="8" t="str">
        <f t="array" ref="Z247">IF(Y247&gt;5,"Perlu Sensus",IF(AND(Y247&gt;0,,O247&gt;0),"Tetap Deteksi","Belum Deteksi"))</f>
        <v>Belum Deteksi</v>
      </c>
      <c r="AA247" s="143"/>
      <c r="AB247" s="9">
        <f t="shared" si="31"/>
        <v>0</v>
      </c>
    </row>
    <row r="248" spans="1:28" hidden="1" outlineLevel="1" x14ac:dyDescent="0.15">
      <c r="A248" s="8" t="s">
        <v>628</v>
      </c>
      <c r="B248" s="8" t="s">
        <v>47</v>
      </c>
      <c r="C248" s="8" t="s">
        <v>252</v>
      </c>
      <c r="D248" s="8" t="s">
        <v>830</v>
      </c>
      <c r="E248" s="9">
        <v>37.630000000000003</v>
      </c>
      <c r="F248" s="8" t="s">
        <v>16</v>
      </c>
      <c r="G248" s="143">
        <f t="array" ref="G248">INDEX('[23]SENSUS MEI'!$G$9:$G$453,MATCH(1,('[23]SENSUS MEI'!$D$9:$D$453=$D248)*('[23]SENSUS MEI'!$D$9:$D$453=$D248),0))</f>
        <v>5390</v>
      </c>
      <c r="H248" s="132">
        <f t="shared" si="32"/>
        <v>0</v>
      </c>
      <c r="I248" s="140">
        <f t="shared" si="32"/>
        <v>0</v>
      </c>
      <c r="J248" s="9" t="str">
        <f t="shared" si="25"/>
        <v xml:space="preserve"> </v>
      </c>
      <c r="K248" s="140">
        <f t="shared" si="26"/>
        <v>0</v>
      </c>
      <c r="L248" s="206">
        <f t="shared" si="27"/>
        <v>0</v>
      </c>
      <c r="M248" s="8" t="str">
        <f t="array" ref="M248">IF(L248&gt;5,"Perlu Sensus",IF(AND(L248&gt;=0,I248&gt;0),"Tetap Deteksi","Belum Deteksi"))</f>
        <v>Belum Deteksi</v>
      </c>
      <c r="N248" s="11"/>
      <c r="O248" s="143"/>
      <c r="P248" s="9">
        <f t="array" ref="P248">IFERROR(O248/G248*100,0)</f>
        <v>0</v>
      </c>
      <c r="Q248" s="143"/>
      <c r="R248" s="9">
        <f t="shared" si="28"/>
        <v>0</v>
      </c>
      <c r="S248" s="8" t="str">
        <f t="array" ref="S248">IF(R248&gt;5,"Perlu Sensus",IF(AND(R248&gt;=0,O248&gt;0),"Tetap Deteksi","Belum Deteksi"))</f>
        <v>Belum Deteksi</v>
      </c>
      <c r="T248" s="143"/>
      <c r="U248" s="9">
        <f t="shared" si="30"/>
        <v>0</v>
      </c>
      <c r="V248" s="11"/>
      <c r="W248" s="143"/>
      <c r="X248" s="143"/>
      <c r="Y248" s="9">
        <f t="shared" si="29"/>
        <v>0</v>
      </c>
      <c r="Z248" s="8" t="str">
        <f t="array" ref="Z248">IF(Y248&gt;5,"Perlu Sensus",IF(AND(Y248&gt;0,,O248&gt;0),"Tetap Deteksi","Belum Deteksi"))</f>
        <v>Belum Deteksi</v>
      </c>
      <c r="AA248" s="143"/>
      <c r="AB248" s="9">
        <f t="shared" si="31"/>
        <v>0</v>
      </c>
    </row>
    <row r="249" spans="1:28" hidden="1" outlineLevel="1" x14ac:dyDescent="0.15">
      <c r="A249" s="8" t="s">
        <v>628</v>
      </c>
      <c r="B249" s="8" t="s">
        <v>47</v>
      </c>
      <c r="C249" s="8" t="s">
        <v>252</v>
      </c>
      <c r="D249" s="8" t="s">
        <v>831</v>
      </c>
      <c r="E249" s="9">
        <v>36.369999999999997</v>
      </c>
      <c r="F249" s="8" t="s">
        <v>16</v>
      </c>
      <c r="G249" s="143">
        <f t="array" ref="G249">INDEX('[23]SENSUS MEI'!$G$9:$G$453,MATCH(1,('[23]SENSUS MEI'!$D$9:$D$453=$D249)*('[23]SENSUS MEI'!$D$9:$D$453=$D249),0))</f>
        <v>5175</v>
      </c>
      <c r="H249" s="132">
        <f t="shared" si="32"/>
        <v>0</v>
      </c>
      <c r="I249" s="140">
        <f t="shared" si="32"/>
        <v>0</v>
      </c>
      <c r="J249" s="9" t="str">
        <f t="shared" si="25"/>
        <v xml:space="preserve"> </v>
      </c>
      <c r="K249" s="140">
        <f t="shared" si="26"/>
        <v>0</v>
      </c>
      <c r="L249" s="206">
        <f t="shared" si="27"/>
        <v>0</v>
      </c>
      <c r="M249" s="8" t="str">
        <f t="array" ref="M249">IF(L249&gt;5,"Perlu Sensus",IF(AND(L249&gt;=0,I249&gt;0),"Tetap Deteksi","Belum Deteksi"))</f>
        <v>Belum Deteksi</v>
      </c>
      <c r="N249" s="11"/>
      <c r="O249" s="143"/>
      <c r="P249" s="9">
        <f t="array" ref="P249">IFERROR(O249/G249*100,0)</f>
        <v>0</v>
      </c>
      <c r="Q249" s="143"/>
      <c r="R249" s="9">
        <f t="shared" si="28"/>
        <v>0</v>
      </c>
      <c r="S249" s="8" t="str">
        <f t="array" ref="S249">IF(R249&gt;5,"Perlu Sensus",IF(AND(R249&gt;=0,O249&gt;0),"Tetap Deteksi","Belum Deteksi"))</f>
        <v>Belum Deteksi</v>
      </c>
      <c r="T249" s="143"/>
      <c r="U249" s="9">
        <f t="shared" si="30"/>
        <v>0</v>
      </c>
      <c r="V249" s="11"/>
      <c r="W249" s="143"/>
      <c r="X249" s="143"/>
      <c r="Y249" s="9">
        <f t="shared" si="29"/>
        <v>0</v>
      </c>
      <c r="Z249" s="8" t="str">
        <f t="array" ref="Z249">IF(Y249&gt;5,"Perlu Sensus",IF(AND(Y249&gt;0,,O249&gt;0),"Tetap Deteksi","Belum Deteksi"))</f>
        <v>Belum Deteksi</v>
      </c>
      <c r="AA249" s="143"/>
      <c r="AB249" s="9">
        <f t="shared" si="31"/>
        <v>0</v>
      </c>
    </row>
    <row r="250" spans="1:28" outlineLevel="1" x14ac:dyDescent="0.15">
      <c r="A250" s="8" t="s">
        <v>628</v>
      </c>
      <c r="B250" s="8" t="s">
        <v>47</v>
      </c>
      <c r="C250" s="8" t="s">
        <v>252</v>
      </c>
      <c r="D250" s="8" t="s">
        <v>832</v>
      </c>
      <c r="E250" s="9">
        <v>35.880000000000003</v>
      </c>
      <c r="F250" s="8" t="s">
        <v>16</v>
      </c>
      <c r="G250" s="143">
        <f t="array" ref="G250">INDEX('[23]SENSUS MEI'!$G$9:$G$453,MATCH(1,('[23]SENSUS MEI'!$D$9:$D$453=$D250)*('[23]SENSUS MEI'!$D$9:$D$453=$D250),0))</f>
        <v>4603</v>
      </c>
      <c r="H250" s="132">
        <f t="shared" si="32"/>
        <v>46249</v>
      </c>
      <c r="I250" s="140">
        <f t="shared" si="32"/>
        <v>213</v>
      </c>
      <c r="J250" s="9">
        <f t="shared" si="25"/>
        <v>4.6274169020204221</v>
      </c>
      <c r="K250" s="140">
        <f t="shared" si="26"/>
        <v>57</v>
      </c>
      <c r="L250" s="206">
        <f t="shared" si="27"/>
        <v>26.760563380281688</v>
      </c>
      <c r="M250" s="8" t="str">
        <f t="array" ref="M250">IF(L250&gt;5,"Perlu Sensus",IF(AND(L250&gt;=0,I250&gt;0),"Tetap Deteksi","Belum Deteksi"))</f>
        <v>Perlu Sensus</v>
      </c>
      <c r="N250" s="11">
        <v>46249</v>
      </c>
      <c r="O250" s="143">
        <v>213</v>
      </c>
      <c r="P250" s="9">
        <f t="array" ref="P250">IFERROR(O250/G250*100,0)</f>
        <v>4.6274169020204221</v>
      </c>
      <c r="Q250" s="143">
        <v>57</v>
      </c>
      <c r="R250" s="9">
        <f t="shared" si="28"/>
        <v>26.760563380281688</v>
      </c>
      <c r="S250" s="8" t="str">
        <f t="array" ref="S250">IF(R250&gt;5,"Perlu Sensus",IF(AND(R250&gt;=0,O250&gt;0),"Tetap Deteksi","Belum Deteksi"))</f>
        <v>Perlu Sensus</v>
      </c>
      <c r="T250" s="143">
        <v>88</v>
      </c>
      <c r="U250" s="9">
        <f t="shared" si="30"/>
        <v>41.314553990610328</v>
      </c>
      <c r="V250" s="11"/>
      <c r="W250" s="143"/>
      <c r="X250" s="143"/>
      <c r="Y250" s="9">
        <f t="shared" si="29"/>
        <v>0</v>
      </c>
      <c r="Z250" s="8" t="str">
        <f t="array" ref="Z250">IF(Y250&gt;5,"Perlu Sensus",IF(AND(Y250&gt;0,,O250&gt;0),"Tetap Deteksi","Belum Deteksi"))</f>
        <v>Belum Deteksi</v>
      </c>
      <c r="AA250" s="143"/>
      <c r="AB250" s="9">
        <f t="shared" si="31"/>
        <v>0</v>
      </c>
    </row>
    <row r="251" spans="1:28" hidden="1" outlineLevel="1" x14ac:dyDescent="0.15">
      <c r="A251" s="8" t="s">
        <v>628</v>
      </c>
      <c r="B251" s="8" t="s">
        <v>47</v>
      </c>
      <c r="C251" s="8" t="s">
        <v>252</v>
      </c>
      <c r="D251" s="8" t="s">
        <v>833</v>
      </c>
      <c r="E251" s="9">
        <v>42.12</v>
      </c>
      <c r="F251" s="8" t="s">
        <v>16</v>
      </c>
      <c r="G251" s="143">
        <f t="array" ref="G251">INDEX('[23]SENSUS MEI'!$G$9:$G$453,MATCH(1,('[23]SENSUS MEI'!$D$9:$D$453=$D251)*('[23]SENSUS MEI'!$D$9:$D$453=$D251),0))</f>
        <v>5832</v>
      </c>
      <c r="H251" s="132">
        <f t="shared" si="32"/>
        <v>0</v>
      </c>
      <c r="I251" s="140">
        <f t="shared" si="32"/>
        <v>0</v>
      </c>
      <c r="J251" s="9" t="str">
        <f t="shared" si="25"/>
        <v xml:space="preserve"> </v>
      </c>
      <c r="K251" s="140">
        <f t="shared" si="26"/>
        <v>0</v>
      </c>
      <c r="L251" s="206">
        <f t="shared" si="27"/>
        <v>0</v>
      </c>
      <c r="M251" s="8" t="str">
        <f t="array" ref="M251">IF(L251&gt;5,"Perlu Sensus",IF(AND(L251&gt;=0,I251&gt;0),"Tetap Deteksi","Belum Deteksi"))</f>
        <v>Belum Deteksi</v>
      </c>
      <c r="N251" s="11"/>
      <c r="O251" s="143"/>
      <c r="P251" s="9">
        <f t="array" ref="P251">IFERROR(O251/G251*100,0)</f>
        <v>0</v>
      </c>
      <c r="Q251" s="143"/>
      <c r="R251" s="9">
        <f t="shared" si="28"/>
        <v>0</v>
      </c>
      <c r="S251" s="8" t="str">
        <f t="array" ref="S251">IF(R251&gt;5,"Perlu Sensus",IF(AND(R251&gt;=0,O251&gt;0),"Tetap Deteksi","Belum Deteksi"))</f>
        <v>Belum Deteksi</v>
      </c>
      <c r="T251" s="143"/>
      <c r="U251" s="9">
        <f t="shared" si="30"/>
        <v>0</v>
      </c>
      <c r="V251" s="11"/>
      <c r="W251" s="143"/>
      <c r="X251" s="143"/>
      <c r="Y251" s="9">
        <f t="shared" si="29"/>
        <v>0</v>
      </c>
      <c r="Z251" s="8" t="str">
        <f t="array" ref="Z251">IF(Y251&gt;5,"Perlu Sensus",IF(AND(Y251&gt;0,,O251&gt;0),"Tetap Deteksi","Belum Deteksi"))</f>
        <v>Belum Deteksi</v>
      </c>
      <c r="AA251" s="143"/>
      <c r="AB251" s="9">
        <f t="shared" si="31"/>
        <v>0</v>
      </c>
    </row>
    <row r="252" spans="1:28" outlineLevel="1" x14ac:dyDescent="0.15">
      <c r="A252" s="8" t="s">
        <v>628</v>
      </c>
      <c r="B252" s="8" t="s">
        <v>47</v>
      </c>
      <c r="C252" s="8" t="s">
        <v>252</v>
      </c>
      <c r="D252" s="8" t="s">
        <v>834</v>
      </c>
      <c r="E252" s="9">
        <v>48.01</v>
      </c>
      <c r="F252" s="8" t="s">
        <v>16</v>
      </c>
      <c r="G252" s="143">
        <f t="array" ref="G252">INDEX('[23]SENSUS MEI'!$G$9:$G$453,MATCH(1,('[23]SENSUS MEI'!$D$9:$D$453=$D252)*('[23]SENSUS MEI'!$D$9:$D$453=$D252),0))</f>
        <v>6865</v>
      </c>
      <c r="H252" s="132">
        <f t="shared" si="32"/>
        <v>46249</v>
      </c>
      <c r="I252" s="140">
        <f t="shared" si="32"/>
        <v>193</v>
      </c>
      <c r="J252" s="9">
        <f t="shared" si="25"/>
        <v>2.811361981063365</v>
      </c>
      <c r="K252" s="140">
        <f t="shared" si="26"/>
        <v>15</v>
      </c>
      <c r="L252" s="206">
        <f t="shared" si="27"/>
        <v>7.7720207253886011</v>
      </c>
      <c r="M252" s="8" t="str">
        <f t="array" ref="M252">IF(L252&gt;5,"Perlu Sensus",IF(AND(L252&gt;=0,I252&gt;0),"Tetap Deteksi","Belum Deteksi"))</f>
        <v>Perlu Sensus</v>
      </c>
      <c r="N252" s="11">
        <v>46249</v>
      </c>
      <c r="O252" s="143">
        <v>193</v>
      </c>
      <c r="P252" s="9">
        <f t="array" ref="P252">IFERROR(O252/G252*100,0)</f>
        <v>2.811361981063365</v>
      </c>
      <c r="Q252" s="143">
        <v>15</v>
      </c>
      <c r="R252" s="9">
        <f t="shared" si="28"/>
        <v>7.7720207253886011</v>
      </c>
      <c r="S252" s="8" t="str">
        <f t="array" ref="S252">IF(R252&gt;5,"Perlu Sensus",IF(AND(R252&gt;=0,O252&gt;0),"Tetap Deteksi","Belum Deteksi"))</f>
        <v>Perlu Sensus</v>
      </c>
      <c r="T252" s="143">
        <v>129</v>
      </c>
      <c r="U252" s="9">
        <f t="shared" si="30"/>
        <v>66.839378238341979</v>
      </c>
      <c r="V252" s="11">
        <v>46249</v>
      </c>
      <c r="W252" s="143">
        <v>178</v>
      </c>
      <c r="X252" s="143">
        <v>16</v>
      </c>
      <c r="Y252" s="9">
        <f t="shared" si="29"/>
        <v>8.9887640449438209</v>
      </c>
      <c r="Z252" s="8" t="str">
        <f t="array" ref="Z252">IF(Y252&gt;5,"Perlu Sensus",IF(AND(Y252&gt;0,,O252&gt;0),"Tetap Deteksi","Belum Deteksi"))</f>
        <v>Perlu Sensus</v>
      </c>
      <c r="AA252" s="143">
        <v>33</v>
      </c>
      <c r="AB252" s="9">
        <f t="shared" si="31"/>
        <v>18.539325842696631</v>
      </c>
    </row>
    <row r="253" spans="1:28" hidden="1" outlineLevel="1" x14ac:dyDescent="0.15">
      <c r="A253" s="8" t="s">
        <v>628</v>
      </c>
      <c r="B253" s="8" t="s">
        <v>47</v>
      </c>
      <c r="C253" s="8" t="s">
        <v>252</v>
      </c>
      <c r="D253" s="8" t="s">
        <v>835</v>
      </c>
      <c r="E253" s="9">
        <v>48.3</v>
      </c>
      <c r="F253" s="8" t="s">
        <v>16</v>
      </c>
      <c r="G253" s="143">
        <f t="array" ref="G253">INDEX('[23]SENSUS MEI'!$G$9:$G$453,MATCH(1,('[23]SENSUS MEI'!$D$9:$D$453=$D253)*('[23]SENSUS MEI'!$D$9:$D$453=$D253),0))</f>
        <v>6679</v>
      </c>
      <c r="H253" s="132">
        <f t="shared" si="32"/>
        <v>0</v>
      </c>
      <c r="I253" s="140">
        <f t="shared" si="32"/>
        <v>0</v>
      </c>
      <c r="J253" s="9" t="str">
        <f t="shared" si="25"/>
        <v xml:space="preserve"> </v>
      </c>
      <c r="K253" s="140">
        <f t="shared" si="26"/>
        <v>0</v>
      </c>
      <c r="L253" s="206">
        <f t="shared" si="27"/>
        <v>0</v>
      </c>
      <c r="M253" s="8" t="str">
        <f t="array" ref="M253">IF(L253&gt;5,"Perlu Sensus",IF(AND(L253&gt;=0,I253&gt;0),"Tetap Deteksi","Belum Deteksi"))</f>
        <v>Belum Deteksi</v>
      </c>
      <c r="N253" s="11"/>
      <c r="O253" s="143"/>
      <c r="P253" s="9">
        <f t="array" ref="P253">IFERROR(O253/G253*100,0)</f>
        <v>0</v>
      </c>
      <c r="Q253" s="143"/>
      <c r="R253" s="9">
        <f t="shared" si="28"/>
        <v>0</v>
      </c>
      <c r="S253" s="8" t="str">
        <f t="array" ref="S253">IF(R253&gt;5,"Perlu Sensus",IF(AND(R253&gt;=0,O253&gt;0),"Tetap Deteksi","Belum Deteksi"))</f>
        <v>Belum Deteksi</v>
      </c>
      <c r="T253" s="143"/>
      <c r="U253" s="9">
        <f t="shared" si="30"/>
        <v>0</v>
      </c>
      <c r="V253" s="11"/>
      <c r="W253" s="143"/>
      <c r="X253" s="143"/>
      <c r="Y253" s="9">
        <f t="shared" si="29"/>
        <v>0</v>
      </c>
      <c r="Z253" s="8" t="str">
        <f t="array" ref="Z253">IF(Y253&gt;5,"Perlu Sensus",IF(AND(Y253&gt;0,,O253&gt;0),"Tetap Deteksi","Belum Deteksi"))</f>
        <v>Belum Deteksi</v>
      </c>
      <c r="AA253" s="143"/>
      <c r="AB253" s="9">
        <f t="shared" si="31"/>
        <v>0</v>
      </c>
    </row>
    <row r="254" spans="1:28" hidden="1" outlineLevel="1" x14ac:dyDescent="0.15">
      <c r="A254" s="8" t="s">
        <v>628</v>
      </c>
      <c r="B254" s="8" t="s">
        <v>47</v>
      </c>
      <c r="C254" s="8" t="s">
        <v>252</v>
      </c>
      <c r="D254" s="8" t="s">
        <v>808</v>
      </c>
      <c r="E254" s="9">
        <v>43.88</v>
      </c>
      <c r="F254" s="8" t="s">
        <v>16</v>
      </c>
      <c r="G254" s="143">
        <f t="array" ref="G254">INDEX('[23]SENSUS MEI'!$G$9:$G$453,MATCH(1,('[23]SENSUS MEI'!$D$9:$D$453=$D254)*('[23]SENSUS MEI'!$D$9:$D$453=$D254),0))</f>
        <v>6269</v>
      </c>
      <c r="H254" s="132">
        <f t="shared" si="32"/>
        <v>0</v>
      </c>
      <c r="I254" s="140">
        <f t="shared" si="32"/>
        <v>0</v>
      </c>
      <c r="J254" s="9" t="str">
        <f t="shared" si="25"/>
        <v xml:space="preserve"> </v>
      </c>
      <c r="K254" s="140">
        <f t="shared" si="26"/>
        <v>0</v>
      </c>
      <c r="L254" s="206">
        <f t="shared" si="27"/>
        <v>0</v>
      </c>
      <c r="M254" s="8" t="str">
        <f t="array" ref="M254">IF(L254&gt;5,"Perlu Sensus",IF(AND(L254&gt;=0,I254&gt;0),"Tetap Deteksi","Belum Deteksi"))</f>
        <v>Belum Deteksi</v>
      </c>
      <c r="N254" s="11"/>
      <c r="O254" s="143"/>
      <c r="P254" s="9">
        <f t="array" ref="P254">IFERROR(O254/G254*100,0)</f>
        <v>0</v>
      </c>
      <c r="Q254" s="143"/>
      <c r="R254" s="9">
        <f t="shared" si="28"/>
        <v>0</v>
      </c>
      <c r="S254" s="8" t="str">
        <f t="array" ref="S254">IF(R254&gt;5,"Perlu Sensus",IF(AND(R254&gt;=0,O254&gt;0),"Tetap Deteksi","Belum Deteksi"))</f>
        <v>Belum Deteksi</v>
      </c>
      <c r="T254" s="143"/>
      <c r="U254" s="9">
        <f t="shared" si="30"/>
        <v>0</v>
      </c>
      <c r="V254" s="11"/>
      <c r="W254" s="143"/>
      <c r="X254" s="143"/>
      <c r="Y254" s="9">
        <f t="shared" si="29"/>
        <v>0</v>
      </c>
      <c r="Z254" s="8" t="str">
        <f t="array" ref="Z254">IF(Y254&gt;5,"Perlu Sensus",IF(AND(Y254&gt;0,,O254&gt;0),"Tetap Deteksi","Belum Deteksi"))</f>
        <v>Belum Deteksi</v>
      </c>
      <c r="AA254" s="143"/>
      <c r="AB254" s="9">
        <f t="shared" si="31"/>
        <v>0</v>
      </c>
    </row>
    <row r="255" spans="1:28" hidden="1" outlineLevel="1" x14ac:dyDescent="0.15">
      <c r="A255" s="8" t="s">
        <v>628</v>
      </c>
      <c r="B255" s="8" t="s">
        <v>47</v>
      </c>
      <c r="C255" s="8" t="s">
        <v>290</v>
      </c>
      <c r="D255" s="8" t="s">
        <v>836</v>
      </c>
      <c r="E255" s="9">
        <v>14.25</v>
      </c>
      <c r="F255" s="8" t="s">
        <v>469</v>
      </c>
      <c r="G255" s="143">
        <f t="array" ref="G255">INDEX('[23]SENSUS MEI'!$G$9:$G$453,MATCH(1,('[23]SENSUS MEI'!$D$9:$D$453=$D255)*('[23]SENSUS MEI'!$D$9:$D$453=$D255),0))</f>
        <v>1960</v>
      </c>
      <c r="H255" s="132">
        <f t="shared" si="32"/>
        <v>0</v>
      </c>
      <c r="I255" s="140">
        <f t="shared" si="32"/>
        <v>0</v>
      </c>
      <c r="J255" s="9" t="str">
        <f t="shared" si="25"/>
        <v xml:space="preserve"> </v>
      </c>
      <c r="K255" s="140">
        <f t="shared" si="26"/>
        <v>0</v>
      </c>
      <c r="L255" s="206">
        <f t="shared" si="27"/>
        <v>0</v>
      </c>
      <c r="M255" s="8" t="str">
        <f t="array" ref="M255">IF(L255&gt;5,"Perlu Sensus",IF(AND(L255&gt;=0,I255&gt;0),"Tetap Deteksi","Belum Deteksi"))</f>
        <v>Belum Deteksi</v>
      </c>
      <c r="N255" s="11"/>
      <c r="O255" s="143"/>
      <c r="P255" s="9">
        <f t="array" ref="P255">IFERROR(O255/G255*100,0)</f>
        <v>0</v>
      </c>
      <c r="Q255" s="143"/>
      <c r="R255" s="9">
        <f t="shared" si="28"/>
        <v>0</v>
      </c>
      <c r="S255" s="8" t="str">
        <f t="array" ref="S255">IF(R255&gt;5,"Perlu Sensus",IF(AND(R255&gt;=0,O255&gt;0),"Tetap Deteksi","Belum Deteksi"))</f>
        <v>Belum Deteksi</v>
      </c>
      <c r="T255" s="143"/>
      <c r="U255" s="9">
        <f t="shared" si="30"/>
        <v>0</v>
      </c>
      <c r="V255" s="11"/>
      <c r="W255" s="143"/>
      <c r="X255" s="143"/>
      <c r="Y255" s="9">
        <f t="shared" si="29"/>
        <v>0</v>
      </c>
      <c r="Z255" s="8" t="str">
        <f t="array" ref="Z255">IF(Y255&gt;5,"Perlu Sensus",IF(AND(Y255&gt;0,,O255&gt;0),"Tetap Deteksi","Belum Deteksi"))</f>
        <v>Belum Deteksi</v>
      </c>
      <c r="AA255" s="143"/>
      <c r="AB255" s="9">
        <f t="shared" si="31"/>
        <v>0</v>
      </c>
    </row>
    <row r="256" spans="1:28" hidden="1" outlineLevel="1" x14ac:dyDescent="0.15">
      <c r="A256" s="8" t="s">
        <v>628</v>
      </c>
      <c r="B256" s="8" t="s">
        <v>47</v>
      </c>
      <c r="C256" s="8" t="s">
        <v>290</v>
      </c>
      <c r="D256" s="8" t="s">
        <v>837</v>
      </c>
      <c r="E256" s="9">
        <v>19.829999999999998</v>
      </c>
      <c r="F256" s="8" t="s">
        <v>469</v>
      </c>
      <c r="G256" s="143">
        <f t="array" ref="G256">INDEX('[23]SENSUS MEI'!$G$9:$G$453,MATCH(1,('[23]SENSUS MEI'!$D$9:$D$453=$D256)*('[23]SENSUS MEI'!$D$9:$D$453=$D256),0))</f>
        <v>2662</v>
      </c>
      <c r="H256" s="132">
        <f t="shared" si="32"/>
        <v>0</v>
      </c>
      <c r="I256" s="140">
        <f t="shared" si="32"/>
        <v>0</v>
      </c>
      <c r="J256" s="9" t="str">
        <f t="shared" si="25"/>
        <v xml:space="preserve"> </v>
      </c>
      <c r="K256" s="140">
        <f t="shared" si="26"/>
        <v>0</v>
      </c>
      <c r="L256" s="206">
        <f t="shared" si="27"/>
        <v>0</v>
      </c>
      <c r="M256" s="8" t="str">
        <f t="array" ref="M256">IF(L256&gt;5,"Perlu Sensus",IF(AND(L256&gt;=0,I256&gt;0),"Tetap Deteksi","Belum Deteksi"))</f>
        <v>Belum Deteksi</v>
      </c>
      <c r="N256" s="11"/>
      <c r="O256" s="143"/>
      <c r="P256" s="9">
        <f t="array" ref="P256">IFERROR(O256/G256*100,0)</f>
        <v>0</v>
      </c>
      <c r="Q256" s="143"/>
      <c r="R256" s="9">
        <f t="shared" si="28"/>
        <v>0</v>
      </c>
      <c r="S256" s="8" t="str">
        <f t="array" ref="S256">IF(R256&gt;5,"Perlu Sensus",IF(AND(R256&gt;=0,O256&gt;0),"Tetap Deteksi","Belum Deteksi"))</f>
        <v>Belum Deteksi</v>
      </c>
      <c r="T256" s="143"/>
      <c r="U256" s="9">
        <f t="shared" si="30"/>
        <v>0</v>
      </c>
      <c r="V256" s="11"/>
      <c r="W256" s="143"/>
      <c r="X256" s="143"/>
      <c r="Y256" s="9">
        <f t="shared" si="29"/>
        <v>0</v>
      </c>
      <c r="Z256" s="8" t="str">
        <f t="array" ref="Z256">IF(Y256&gt;5,"Perlu Sensus",IF(AND(Y256&gt;0,,O256&gt;0),"Tetap Deteksi","Belum Deteksi"))</f>
        <v>Belum Deteksi</v>
      </c>
      <c r="AA256" s="143"/>
      <c r="AB256" s="9">
        <f t="shared" si="31"/>
        <v>0</v>
      </c>
    </row>
    <row r="257" spans="1:28" hidden="1" outlineLevel="1" x14ac:dyDescent="0.15">
      <c r="A257" s="8" t="s">
        <v>628</v>
      </c>
      <c r="B257" s="8" t="s">
        <v>47</v>
      </c>
      <c r="C257" s="8" t="s">
        <v>290</v>
      </c>
      <c r="D257" s="8" t="s">
        <v>838</v>
      </c>
      <c r="E257" s="9">
        <v>10.27</v>
      </c>
      <c r="F257" s="8" t="s">
        <v>469</v>
      </c>
      <c r="G257" s="143">
        <f t="array" ref="G257">INDEX('[23]SENSUS MEI'!$G$9:$G$453,MATCH(1,('[23]SENSUS MEI'!$D$9:$D$453=$D257)*('[23]SENSUS MEI'!$D$9:$D$453=$D257),0))</f>
        <v>1412</v>
      </c>
      <c r="H257" s="132">
        <f t="shared" si="32"/>
        <v>0</v>
      </c>
      <c r="I257" s="140">
        <f t="shared" si="32"/>
        <v>0</v>
      </c>
      <c r="J257" s="9" t="str">
        <f t="shared" si="25"/>
        <v xml:space="preserve"> </v>
      </c>
      <c r="K257" s="140">
        <f t="shared" si="26"/>
        <v>0</v>
      </c>
      <c r="L257" s="206">
        <f t="shared" si="27"/>
        <v>0</v>
      </c>
      <c r="M257" s="8" t="str">
        <f t="array" ref="M257">IF(L257&gt;5,"Perlu Sensus",IF(AND(L257&gt;=0,I257&gt;0),"Tetap Deteksi","Belum Deteksi"))</f>
        <v>Belum Deteksi</v>
      </c>
      <c r="N257" s="11"/>
      <c r="O257" s="143"/>
      <c r="P257" s="9">
        <f t="array" ref="P257">IFERROR(O257/G257*100,0)</f>
        <v>0</v>
      </c>
      <c r="Q257" s="143"/>
      <c r="R257" s="9">
        <f t="shared" si="28"/>
        <v>0</v>
      </c>
      <c r="S257" s="8" t="str">
        <f t="array" ref="S257">IF(R257&gt;5,"Perlu Sensus",IF(AND(R257&gt;=0,O257&gt;0),"Tetap Deteksi","Belum Deteksi"))</f>
        <v>Belum Deteksi</v>
      </c>
      <c r="T257" s="143"/>
      <c r="U257" s="9">
        <f t="shared" si="30"/>
        <v>0</v>
      </c>
      <c r="V257" s="11"/>
      <c r="W257" s="143"/>
      <c r="X257" s="143"/>
      <c r="Y257" s="9">
        <f t="shared" si="29"/>
        <v>0</v>
      </c>
      <c r="Z257" s="8" t="str">
        <f t="array" ref="Z257">IF(Y257&gt;5,"Perlu Sensus",IF(AND(Y257&gt;0,,O257&gt;0),"Tetap Deteksi","Belum Deteksi"))</f>
        <v>Belum Deteksi</v>
      </c>
      <c r="AA257" s="143"/>
      <c r="AB257" s="9">
        <f t="shared" si="31"/>
        <v>0</v>
      </c>
    </row>
    <row r="258" spans="1:28" hidden="1" outlineLevel="1" x14ac:dyDescent="0.15">
      <c r="A258" s="8" t="s">
        <v>628</v>
      </c>
      <c r="B258" s="8" t="s">
        <v>47</v>
      </c>
      <c r="C258" s="8" t="s">
        <v>290</v>
      </c>
      <c r="D258" s="8" t="s">
        <v>839</v>
      </c>
      <c r="E258" s="9">
        <v>9.2200000000000006</v>
      </c>
      <c r="F258" s="8" t="s">
        <v>469</v>
      </c>
      <c r="G258" s="143">
        <f t="array" ref="G258">INDEX('[23]SENSUS MEI'!$G$9:$G$453,MATCH(1,('[23]SENSUS MEI'!$D$9:$D$453=$D258)*('[23]SENSUS MEI'!$D$9:$D$453=$D258),0))</f>
        <v>1110</v>
      </c>
      <c r="H258" s="132">
        <f t="shared" si="32"/>
        <v>0</v>
      </c>
      <c r="I258" s="140">
        <f t="shared" si="32"/>
        <v>0</v>
      </c>
      <c r="J258" s="9" t="str">
        <f t="shared" si="25"/>
        <v xml:space="preserve"> </v>
      </c>
      <c r="K258" s="140">
        <f t="shared" si="26"/>
        <v>0</v>
      </c>
      <c r="L258" s="206">
        <f t="shared" si="27"/>
        <v>0</v>
      </c>
      <c r="M258" s="8" t="str">
        <f t="array" ref="M258">IF(L258&gt;5,"Perlu Sensus",IF(AND(L258&gt;=0,I258&gt;0),"Tetap Deteksi","Belum Deteksi"))</f>
        <v>Belum Deteksi</v>
      </c>
      <c r="N258" s="11"/>
      <c r="O258" s="143"/>
      <c r="P258" s="9">
        <f t="array" ref="P258">IFERROR(O258/G258*100,0)</f>
        <v>0</v>
      </c>
      <c r="Q258" s="143"/>
      <c r="R258" s="9">
        <f t="shared" si="28"/>
        <v>0</v>
      </c>
      <c r="S258" s="8" t="str">
        <f t="array" ref="S258">IF(R258&gt;5,"Perlu Sensus",IF(AND(R258&gt;=0,O258&gt;0),"Tetap Deteksi","Belum Deteksi"))</f>
        <v>Belum Deteksi</v>
      </c>
      <c r="T258" s="143"/>
      <c r="U258" s="9">
        <f t="shared" si="30"/>
        <v>0</v>
      </c>
      <c r="V258" s="11"/>
      <c r="W258" s="143"/>
      <c r="X258" s="143"/>
      <c r="Y258" s="9">
        <f t="shared" si="29"/>
        <v>0</v>
      </c>
      <c r="Z258" s="8" t="str">
        <f t="array" ref="Z258">IF(Y258&gt;5,"Perlu Sensus",IF(AND(Y258&gt;0,,O258&gt;0),"Tetap Deteksi","Belum Deteksi"))</f>
        <v>Belum Deteksi</v>
      </c>
      <c r="AA258" s="143"/>
      <c r="AB258" s="9">
        <f t="shared" si="31"/>
        <v>0</v>
      </c>
    </row>
    <row r="259" spans="1:28" hidden="1" outlineLevel="1" x14ac:dyDescent="0.15">
      <c r="A259" s="8" t="s">
        <v>628</v>
      </c>
      <c r="B259" s="8" t="s">
        <v>47</v>
      </c>
      <c r="C259" s="8" t="s">
        <v>290</v>
      </c>
      <c r="D259" s="8" t="s">
        <v>840</v>
      </c>
      <c r="E259" s="9">
        <v>31.7</v>
      </c>
      <c r="F259" s="8" t="s">
        <v>16</v>
      </c>
      <c r="G259" s="143">
        <f t="array" ref="G259">INDEX('[23]SENSUS MEI'!$G$9:$G$453,MATCH(1,('[23]SENSUS MEI'!$D$9:$D$453=$D259)*('[23]SENSUS MEI'!$D$9:$D$453=$D259),0))</f>
        <v>4575</v>
      </c>
      <c r="H259" s="132">
        <f t="shared" si="32"/>
        <v>0</v>
      </c>
      <c r="I259" s="140">
        <f t="shared" si="32"/>
        <v>0</v>
      </c>
      <c r="J259" s="9" t="str">
        <f t="shared" si="25"/>
        <v xml:space="preserve"> </v>
      </c>
      <c r="K259" s="140">
        <f t="shared" si="26"/>
        <v>0</v>
      </c>
      <c r="L259" s="206">
        <f t="shared" si="27"/>
        <v>0</v>
      </c>
      <c r="M259" s="8" t="str">
        <f t="array" ref="M259">IF(L259&gt;5,"Perlu Sensus",IF(AND(L259&gt;=0,I259&gt;0),"Tetap Deteksi","Belum Deteksi"))</f>
        <v>Belum Deteksi</v>
      </c>
      <c r="N259" s="11"/>
      <c r="O259" s="143"/>
      <c r="P259" s="9">
        <f t="array" ref="P259">IFERROR(O259/G259*100,0)</f>
        <v>0</v>
      </c>
      <c r="Q259" s="143"/>
      <c r="R259" s="9">
        <f t="shared" si="28"/>
        <v>0</v>
      </c>
      <c r="S259" s="8" t="str">
        <f t="array" ref="S259">IF(R259&gt;5,"Perlu Sensus",IF(AND(R259&gt;=0,O259&gt;0),"Tetap Deteksi","Belum Deteksi"))</f>
        <v>Belum Deteksi</v>
      </c>
      <c r="T259" s="143"/>
      <c r="U259" s="9">
        <f t="shared" si="30"/>
        <v>0</v>
      </c>
      <c r="V259" s="11"/>
      <c r="W259" s="143"/>
      <c r="X259" s="143"/>
      <c r="Y259" s="9">
        <f t="shared" si="29"/>
        <v>0</v>
      </c>
      <c r="Z259" s="8" t="str">
        <f t="array" ref="Z259">IF(Y259&gt;5,"Perlu Sensus",IF(AND(Y259&gt;0,,O259&gt;0),"Tetap Deteksi","Belum Deteksi"))</f>
        <v>Belum Deteksi</v>
      </c>
      <c r="AA259" s="143"/>
      <c r="AB259" s="9">
        <f t="shared" si="31"/>
        <v>0</v>
      </c>
    </row>
    <row r="260" spans="1:28" hidden="1" outlineLevel="1" x14ac:dyDescent="0.15">
      <c r="A260" s="8" t="s">
        <v>628</v>
      </c>
      <c r="B260" s="8" t="s">
        <v>47</v>
      </c>
      <c r="C260" s="8" t="s">
        <v>290</v>
      </c>
      <c r="D260" s="8" t="s">
        <v>841</v>
      </c>
      <c r="E260" s="9">
        <v>20.65</v>
      </c>
      <c r="F260" s="8" t="s">
        <v>469</v>
      </c>
      <c r="G260" s="143">
        <f t="array" ref="G260">INDEX('[23]SENSUS MEI'!$G$9:$G$453,MATCH(1,('[23]SENSUS MEI'!$D$9:$D$453=$D260)*('[23]SENSUS MEI'!$D$9:$D$453=$D260),0))</f>
        <v>2782</v>
      </c>
      <c r="H260" s="132">
        <f t="shared" si="32"/>
        <v>0</v>
      </c>
      <c r="I260" s="140">
        <f t="shared" si="32"/>
        <v>0</v>
      </c>
      <c r="J260" s="9" t="str">
        <f t="shared" si="25"/>
        <v xml:space="preserve"> </v>
      </c>
      <c r="K260" s="140">
        <f t="shared" si="26"/>
        <v>0</v>
      </c>
      <c r="L260" s="206">
        <f t="shared" si="27"/>
        <v>0</v>
      </c>
      <c r="M260" s="8" t="str">
        <f t="array" ref="M260">IF(L260&gt;5,"Perlu Sensus",IF(AND(L260&gt;=0,I260&gt;0),"Tetap Deteksi","Belum Deteksi"))</f>
        <v>Belum Deteksi</v>
      </c>
      <c r="N260" s="11"/>
      <c r="O260" s="143"/>
      <c r="P260" s="9">
        <f t="array" ref="P260">IFERROR(O260/G260*100,0)</f>
        <v>0</v>
      </c>
      <c r="Q260" s="143"/>
      <c r="R260" s="9">
        <f t="shared" si="28"/>
        <v>0</v>
      </c>
      <c r="S260" s="8" t="str">
        <f t="array" ref="S260">IF(R260&gt;5,"Perlu Sensus",IF(AND(R260&gt;=0,O260&gt;0),"Tetap Deteksi","Belum Deteksi"))</f>
        <v>Belum Deteksi</v>
      </c>
      <c r="T260" s="143"/>
      <c r="U260" s="9">
        <f t="shared" si="30"/>
        <v>0</v>
      </c>
      <c r="V260" s="11"/>
      <c r="W260" s="143"/>
      <c r="X260" s="143"/>
      <c r="Y260" s="9">
        <f t="shared" si="29"/>
        <v>0</v>
      </c>
      <c r="Z260" s="8" t="str">
        <f t="array" ref="Z260">IF(Y260&gt;5,"Perlu Sensus",IF(AND(Y260&gt;0,,O260&gt;0),"Tetap Deteksi","Belum Deteksi"))</f>
        <v>Belum Deteksi</v>
      </c>
      <c r="AA260" s="143"/>
      <c r="AB260" s="9">
        <f t="shared" si="31"/>
        <v>0</v>
      </c>
    </row>
    <row r="261" spans="1:28" hidden="1" outlineLevel="1" x14ac:dyDescent="0.15">
      <c r="A261" s="8" t="s">
        <v>628</v>
      </c>
      <c r="B261" s="8" t="s">
        <v>47</v>
      </c>
      <c r="C261" s="8" t="s">
        <v>290</v>
      </c>
      <c r="D261" s="8" t="s">
        <v>842</v>
      </c>
      <c r="E261" s="9">
        <v>24.16</v>
      </c>
      <c r="F261" s="8" t="s">
        <v>16</v>
      </c>
      <c r="G261" s="143">
        <f t="array" ref="G261">INDEX('[23]SENSUS MEI'!$G$9:$G$453,MATCH(1,('[23]SENSUS MEI'!$D$9:$D$453=$D261)*('[23]SENSUS MEI'!$D$9:$D$453=$D261),0))</f>
        <v>3132</v>
      </c>
      <c r="H261" s="132">
        <f t="shared" si="32"/>
        <v>0</v>
      </c>
      <c r="I261" s="140">
        <f t="shared" si="32"/>
        <v>0</v>
      </c>
      <c r="J261" s="9" t="str">
        <f t="shared" si="25"/>
        <v xml:space="preserve"> </v>
      </c>
      <c r="K261" s="140">
        <f t="shared" si="26"/>
        <v>0</v>
      </c>
      <c r="L261" s="206">
        <f t="shared" si="27"/>
        <v>0</v>
      </c>
      <c r="M261" s="8" t="str">
        <f t="array" ref="M261">IF(L261&gt;5,"Perlu Sensus",IF(AND(L261&gt;=0,I261&gt;0),"Tetap Deteksi","Belum Deteksi"))</f>
        <v>Belum Deteksi</v>
      </c>
      <c r="N261" s="11"/>
      <c r="O261" s="143"/>
      <c r="P261" s="9">
        <f t="array" ref="P261">IFERROR(O261/G261*100,0)</f>
        <v>0</v>
      </c>
      <c r="Q261" s="143"/>
      <c r="R261" s="9">
        <f t="shared" si="28"/>
        <v>0</v>
      </c>
      <c r="S261" s="8" t="str">
        <f t="array" ref="S261">IF(R261&gt;5,"Perlu Sensus",IF(AND(R261&gt;=0,O261&gt;0),"Tetap Deteksi","Belum Deteksi"))</f>
        <v>Belum Deteksi</v>
      </c>
      <c r="T261" s="143"/>
      <c r="U261" s="9">
        <f t="shared" si="30"/>
        <v>0</v>
      </c>
      <c r="V261" s="11"/>
      <c r="W261" s="143"/>
      <c r="X261" s="143"/>
      <c r="Y261" s="9">
        <f t="shared" si="29"/>
        <v>0</v>
      </c>
      <c r="Z261" s="8" t="str">
        <f t="array" ref="Z261">IF(Y261&gt;5,"Perlu Sensus",IF(AND(Y261&gt;0,,O261&gt;0),"Tetap Deteksi","Belum Deteksi"))</f>
        <v>Belum Deteksi</v>
      </c>
      <c r="AA261" s="143"/>
      <c r="AB261" s="9">
        <f t="shared" si="31"/>
        <v>0</v>
      </c>
    </row>
    <row r="262" spans="1:28" hidden="1" outlineLevel="1" x14ac:dyDescent="0.15">
      <c r="A262" s="8" t="s">
        <v>628</v>
      </c>
      <c r="B262" s="8" t="s">
        <v>47</v>
      </c>
      <c r="C262" s="8" t="s">
        <v>290</v>
      </c>
      <c r="D262" s="8" t="s">
        <v>843</v>
      </c>
      <c r="E262" s="9">
        <v>17.760000000000002</v>
      </c>
      <c r="F262" s="8" t="s">
        <v>16</v>
      </c>
      <c r="G262" s="143">
        <f t="array" ref="G262">INDEX('[23]SENSUS MEI'!$G$9:$G$453,MATCH(1,('[23]SENSUS MEI'!$D$9:$D$453=$D262)*('[23]SENSUS MEI'!$D$9:$D$453=$D262),0))</f>
        <v>2570</v>
      </c>
      <c r="H262" s="132">
        <f t="shared" si="32"/>
        <v>0</v>
      </c>
      <c r="I262" s="140">
        <f t="shared" si="32"/>
        <v>0</v>
      </c>
      <c r="J262" s="9" t="str">
        <f t="shared" ref="J262:J299" si="33">IF(P262&gt;0,P262," ")</f>
        <v xml:space="preserve"> </v>
      </c>
      <c r="K262" s="140">
        <f t="shared" ref="K262:K299" si="34">IF(Q262&gt;0,Q262,X262)</f>
        <v>0</v>
      </c>
      <c r="L262" s="206">
        <f t="shared" ref="L262:L299" si="35">IFERROR(K262/I262*100,0)</f>
        <v>0</v>
      </c>
      <c r="M262" s="8" t="str">
        <f t="array" ref="M262">IF(L262&gt;5,"Perlu Sensus",IF(AND(L262&gt;=0,I262&gt;0),"Tetap Deteksi","Belum Deteksi"))</f>
        <v>Belum Deteksi</v>
      </c>
      <c r="N262" s="11"/>
      <c r="O262" s="143"/>
      <c r="P262" s="9">
        <f t="array" ref="P262">IFERROR(O262/G262*100,0)</f>
        <v>0</v>
      </c>
      <c r="Q262" s="143"/>
      <c r="R262" s="9">
        <f t="shared" ref="R262:R325" si="36">IFERROR(Q262/O262*100,0)</f>
        <v>0</v>
      </c>
      <c r="S262" s="8" t="str">
        <f t="array" ref="S262">IF(R262&gt;5,"Perlu Sensus",IF(AND(R262&gt;=0,O262&gt;0),"Tetap Deteksi","Belum Deteksi"))</f>
        <v>Belum Deteksi</v>
      </c>
      <c r="T262" s="143"/>
      <c r="U262" s="9">
        <f t="shared" si="30"/>
        <v>0</v>
      </c>
      <c r="V262" s="11"/>
      <c r="W262" s="143"/>
      <c r="X262" s="143"/>
      <c r="Y262" s="9">
        <f t="shared" ref="Y262:Y325" si="37">IFERROR(X262/W262*100,0)</f>
        <v>0</v>
      </c>
      <c r="Z262" s="8" t="str">
        <f t="array" ref="Z262">IF(Y262&gt;5,"Perlu Sensus",IF(AND(Y262&gt;0,,O262&gt;0),"Tetap Deteksi","Belum Deteksi"))</f>
        <v>Belum Deteksi</v>
      </c>
      <c r="AA262" s="143"/>
      <c r="AB262" s="9">
        <f t="shared" si="31"/>
        <v>0</v>
      </c>
    </row>
    <row r="263" spans="1:28" hidden="1" outlineLevel="1" x14ac:dyDescent="0.15">
      <c r="A263" s="8" t="s">
        <v>628</v>
      </c>
      <c r="B263" s="8" t="s">
        <v>47</v>
      </c>
      <c r="C263" s="8" t="s">
        <v>290</v>
      </c>
      <c r="D263" s="8" t="s">
        <v>844</v>
      </c>
      <c r="E263" s="9">
        <v>18.13</v>
      </c>
      <c r="F263" s="8" t="s">
        <v>16</v>
      </c>
      <c r="G263" s="143">
        <f t="array" ref="G263">INDEX('[23]SENSUS MEI'!$G$9:$G$453,MATCH(1,('[23]SENSUS MEI'!$D$9:$D$453=$D263)*('[23]SENSUS MEI'!$D$9:$D$453=$D263),0))</f>
        <v>2548</v>
      </c>
      <c r="H263" s="132">
        <f t="shared" si="32"/>
        <v>0</v>
      </c>
      <c r="I263" s="140">
        <f t="shared" si="32"/>
        <v>0</v>
      </c>
      <c r="J263" s="9" t="str">
        <f t="shared" si="33"/>
        <v xml:space="preserve"> </v>
      </c>
      <c r="K263" s="140">
        <f t="shared" si="34"/>
        <v>0</v>
      </c>
      <c r="L263" s="206">
        <f t="shared" si="35"/>
        <v>0</v>
      </c>
      <c r="M263" s="8" t="str">
        <f t="array" ref="M263">IF(L263&gt;5,"Perlu Sensus",IF(AND(L263&gt;=0,I263&gt;0),"Tetap Deteksi","Belum Deteksi"))</f>
        <v>Belum Deteksi</v>
      </c>
      <c r="N263" s="11"/>
      <c r="O263" s="143"/>
      <c r="P263" s="9">
        <f t="array" ref="P263">IFERROR(O263/G263*100,0)</f>
        <v>0</v>
      </c>
      <c r="Q263" s="143"/>
      <c r="R263" s="9">
        <f t="shared" si="36"/>
        <v>0</v>
      </c>
      <c r="S263" s="8" t="str">
        <f t="array" ref="S263">IF(R263&gt;5,"Perlu Sensus",IF(AND(R263&gt;=0,O263&gt;0),"Tetap Deteksi","Belum Deteksi"))</f>
        <v>Belum Deteksi</v>
      </c>
      <c r="T263" s="143"/>
      <c r="U263" s="9">
        <f t="shared" ref="U263:U326" si="38">IFERROR(T263/O263*100,0)</f>
        <v>0</v>
      </c>
      <c r="V263" s="11"/>
      <c r="W263" s="143"/>
      <c r="X263" s="143"/>
      <c r="Y263" s="9">
        <f t="shared" si="37"/>
        <v>0</v>
      </c>
      <c r="Z263" s="8" t="str">
        <f t="array" ref="Z263">IF(Y263&gt;5,"Perlu Sensus",IF(AND(Y263&gt;0,,O263&gt;0),"Tetap Deteksi","Belum Deteksi"))</f>
        <v>Belum Deteksi</v>
      </c>
      <c r="AA263" s="143"/>
      <c r="AB263" s="9">
        <f t="shared" ref="AB263:AB326" si="39">IFERROR(AA263/W263*100,0)</f>
        <v>0</v>
      </c>
    </row>
    <row r="264" spans="1:28" hidden="1" outlineLevel="1" x14ac:dyDescent="0.15">
      <c r="A264" s="8" t="s">
        <v>628</v>
      </c>
      <c r="B264" s="8" t="s">
        <v>47</v>
      </c>
      <c r="C264" s="8" t="s">
        <v>290</v>
      </c>
      <c r="D264" s="8" t="s">
        <v>845</v>
      </c>
      <c r="E264" s="9">
        <v>17.79</v>
      </c>
      <c r="F264" s="8" t="s">
        <v>16</v>
      </c>
      <c r="G264" s="143">
        <f t="array" ref="G264">INDEX('[23]SENSUS MEI'!$G$9:$G$453,MATCH(1,('[23]SENSUS MEI'!$D$9:$D$453=$D264)*('[23]SENSUS MEI'!$D$9:$D$453=$D264),0))</f>
        <v>2530</v>
      </c>
      <c r="H264" s="132">
        <f t="shared" si="32"/>
        <v>0</v>
      </c>
      <c r="I264" s="140">
        <f t="shared" si="32"/>
        <v>0</v>
      </c>
      <c r="J264" s="9" t="str">
        <f t="shared" si="33"/>
        <v xml:space="preserve"> </v>
      </c>
      <c r="K264" s="140">
        <f t="shared" si="34"/>
        <v>0</v>
      </c>
      <c r="L264" s="206">
        <f t="shared" si="35"/>
        <v>0</v>
      </c>
      <c r="M264" s="8" t="str">
        <f t="array" ref="M264">IF(L264&gt;5,"Perlu Sensus",IF(AND(L264&gt;=0,I264&gt;0),"Tetap Deteksi","Belum Deteksi"))</f>
        <v>Belum Deteksi</v>
      </c>
      <c r="N264" s="11"/>
      <c r="O264" s="143"/>
      <c r="P264" s="9">
        <f t="array" ref="P264">IFERROR(O264/G264*100,0)</f>
        <v>0</v>
      </c>
      <c r="Q264" s="143"/>
      <c r="R264" s="9">
        <f t="shared" si="36"/>
        <v>0</v>
      </c>
      <c r="S264" s="8" t="str">
        <f t="array" ref="S264">IF(R264&gt;5,"Perlu Sensus",IF(AND(R264&gt;=0,O264&gt;0),"Tetap Deteksi","Belum Deteksi"))</f>
        <v>Belum Deteksi</v>
      </c>
      <c r="T264" s="143"/>
      <c r="U264" s="9">
        <f t="shared" si="38"/>
        <v>0</v>
      </c>
      <c r="V264" s="11"/>
      <c r="W264" s="143"/>
      <c r="X264" s="143"/>
      <c r="Y264" s="9">
        <f t="shared" si="37"/>
        <v>0</v>
      </c>
      <c r="Z264" s="8" t="str">
        <f t="array" ref="Z264">IF(Y264&gt;5,"Perlu Sensus",IF(AND(Y264&gt;0,,O264&gt;0),"Tetap Deteksi","Belum Deteksi"))</f>
        <v>Belum Deteksi</v>
      </c>
      <c r="AA264" s="143"/>
      <c r="AB264" s="9">
        <f t="shared" si="39"/>
        <v>0</v>
      </c>
    </row>
    <row r="265" spans="1:28" hidden="1" outlineLevel="1" x14ac:dyDescent="0.15">
      <c r="A265" s="8" t="s">
        <v>628</v>
      </c>
      <c r="B265" s="8" t="s">
        <v>47</v>
      </c>
      <c r="C265" s="8" t="s">
        <v>290</v>
      </c>
      <c r="D265" s="8" t="s">
        <v>846</v>
      </c>
      <c r="E265" s="9">
        <v>34.93</v>
      </c>
      <c r="F265" s="8" t="s">
        <v>16</v>
      </c>
      <c r="G265" s="143">
        <f t="array" ref="G265">INDEX('[23]SENSUS MEI'!$G$9:$G$453,MATCH(1,('[23]SENSUS MEI'!$D$9:$D$453=$D265)*('[23]SENSUS MEI'!$D$9:$D$453=$D265),0))</f>
        <v>5040</v>
      </c>
      <c r="H265" s="132">
        <f t="shared" si="32"/>
        <v>0</v>
      </c>
      <c r="I265" s="140">
        <f t="shared" si="32"/>
        <v>0</v>
      </c>
      <c r="J265" s="9" t="str">
        <f t="shared" si="33"/>
        <v xml:space="preserve"> </v>
      </c>
      <c r="K265" s="140">
        <f t="shared" si="34"/>
        <v>0</v>
      </c>
      <c r="L265" s="206">
        <f t="shared" si="35"/>
        <v>0</v>
      </c>
      <c r="M265" s="8" t="str">
        <f t="array" ref="M265">IF(L265&gt;5,"Perlu Sensus",IF(AND(L265&gt;=0,I265&gt;0),"Tetap Deteksi","Belum Deteksi"))</f>
        <v>Belum Deteksi</v>
      </c>
      <c r="N265" s="11"/>
      <c r="O265" s="143"/>
      <c r="P265" s="9">
        <f t="array" ref="P265">IFERROR(O265/G265*100,0)</f>
        <v>0</v>
      </c>
      <c r="Q265" s="143"/>
      <c r="R265" s="9">
        <f t="shared" si="36"/>
        <v>0</v>
      </c>
      <c r="S265" s="8" t="str">
        <f t="array" ref="S265">IF(R265&gt;5,"Perlu Sensus",IF(AND(R265&gt;=0,O265&gt;0),"Tetap Deteksi","Belum Deteksi"))</f>
        <v>Belum Deteksi</v>
      </c>
      <c r="T265" s="143"/>
      <c r="U265" s="9">
        <f t="shared" si="38"/>
        <v>0</v>
      </c>
      <c r="V265" s="11"/>
      <c r="W265" s="143"/>
      <c r="X265" s="143"/>
      <c r="Y265" s="9">
        <f t="shared" si="37"/>
        <v>0</v>
      </c>
      <c r="Z265" s="8" t="str">
        <f t="array" ref="Z265">IF(Y265&gt;5,"Perlu Sensus",IF(AND(Y265&gt;0,,O265&gt;0),"Tetap Deteksi","Belum Deteksi"))</f>
        <v>Belum Deteksi</v>
      </c>
      <c r="AA265" s="143"/>
      <c r="AB265" s="9">
        <f t="shared" si="39"/>
        <v>0</v>
      </c>
    </row>
    <row r="266" spans="1:28" hidden="1" outlineLevel="1" x14ac:dyDescent="0.15">
      <c r="A266" s="8" t="s">
        <v>628</v>
      </c>
      <c r="B266" s="8" t="s">
        <v>47</v>
      </c>
      <c r="C266" s="8" t="s">
        <v>290</v>
      </c>
      <c r="D266" s="8" t="s">
        <v>847</v>
      </c>
      <c r="E266" s="9">
        <v>29.3</v>
      </c>
      <c r="F266" s="8" t="s">
        <v>132</v>
      </c>
      <c r="G266" s="143">
        <f t="array" ref="G266">INDEX('[23]SENSUS MEI'!$G$9:$G$453,MATCH(1,('[23]SENSUS MEI'!$D$9:$D$453=$D266)*('[23]SENSUS MEI'!$D$9:$D$453=$D266),0))</f>
        <v>4162</v>
      </c>
      <c r="H266" s="132">
        <f t="shared" si="32"/>
        <v>0</v>
      </c>
      <c r="I266" s="140">
        <f t="shared" si="32"/>
        <v>0</v>
      </c>
      <c r="J266" s="9" t="str">
        <f t="shared" si="33"/>
        <v xml:space="preserve"> </v>
      </c>
      <c r="K266" s="140">
        <f t="shared" si="34"/>
        <v>0</v>
      </c>
      <c r="L266" s="206">
        <f t="shared" si="35"/>
        <v>0</v>
      </c>
      <c r="M266" s="8" t="str">
        <f t="array" ref="M266">IF(L266&gt;5,"Perlu Sensus",IF(AND(L266&gt;=0,I266&gt;0),"Tetap Deteksi","Belum Deteksi"))</f>
        <v>Belum Deteksi</v>
      </c>
      <c r="N266" s="11"/>
      <c r="O266" s="143"/>
      <c r="P266" s="9">
        <f t="array" ref="P266">IFERROR(O266/G266*100,0)</f>
        <v>0</v>
      </c>
      <c r="Q266" s="143"/>
      <c r="R266" s="9">
        <f t="shared" si="36"/>
        <v>0</v>
      </c>
      <c r="S266" s="8" t="str">
        <f t="array" ref="S266">IF(R266&gt;5,"Perlu Sensus",IF(AND(R266&gt;=0,O266&gt;0),"Tetap Deteksi","Belum Deteksi"))</f>
        <v>Belum Deteksi</v>
      </c>
      <c r="T266" s="143"/>
      <c r="U266" s="9">
        <f t="shared" si="38"/>
        <v>0</v>
      </c>
      <c r="V266" s="11"/>
      <c r="W266" s="143"/>
      <c r="X266" s="143"/>
      <c r="Y266" s="9">
        <f t="shared" si="37"/>
        <v>0</v>
      </c>
      <c r="Z266" s="8" t="str">
        <f t="array" ref="Z266">IF(Y266&gt;5,"Perlu Sensus",IF(AND(Y266&gt;0,,O266&gt;0),"Tetap Deteksi","Belum Deteksi"))</f>
        <v>Belum Deteksi</v>
      </c>
      <c r="AA266" s="143"/>
      <c r="AB266" s="9">
        <f t="shared" si="39"/>
        <v>0</v>
      </c>
    </row>
    <row r="267" spans="1:28" hidden="1" outlineLevel="1" x14ac:dyDescent="0.15">
      <c r="A267" s="8" t="s">
        <v>628</v>
      </c>
      <c r="B267" s="8" t="s">
        <v>47</v>
      </c>
      <c r="C267" s="8" t="s">
        <v>290</v>
      </c>
      <c r="D267" s="8" t="s">
        <v>848</v>
      </c>
      <c r="E267" s="9">
        <v>39.17</v>
      </c>
      <c r="F267" s="8" t="s">
        <v>132</v>
      </c>
      <c r="G267" s="143">
        <f t="array" ref="G267">INDEX('[23]SENSUS MEI'!$G$9:$G$453,MATCH(1,('[23]SENSUS MEI'!$D$9:$D$453=$D267)*('[23]SENSUS MEI'!$D$9:$D$453=$D267),0))</f>
        <v>5200</v>
      </c>
      <c r="H267" s="132">
        <f t="shared" si="32"/>
        <v>0</v>
      </c>
      <c r="I267" s="140">
        <f t="shared" si="32"/>
        <v>0</v>
      </c>
      <c r="J267" s="9" t="str">
        <f t="shared" si="33"/>
        <v xml:space="preserve"> </v>
      </c>
      <c r="K267" s="140">
        <f t="shared" si="34"/>
        <v>0</v>
      </c>
      <c r="L267" s="206">
        <f t="shared" si="35"/>
        <v>0</v>
      </c>
      <c r="M267" s="8" t="str">
        <f t="array" ref="M267">IF(L267&gt;5,"Perlu Sensus",IF(AND(L267&gt;=0,I267&gt;0),"Tetap Deteksi","Belum Deteksi"))</f>
        <v>Belum Deteksi</v>
      </c>
      <c r="N267" s="11"/>
      <c r="O267" s="143"/>
      <c r="P267" s="9">
        <f t="array" ref="P267">IFERROR(O267/G267*100,0)</f>
        <v>0</v>
      </c>
      <c r="Q267" s="143"/>
      <c r="R267" s="9">
        <f t="shared" si="36"/>
        <v>0</v>
      </c>
      <c r="S267" s="8" t="str">
        <f t="array" ref="S267">IF(R267&gt;5,"Perlu Sensus",IF(AND(R267&gt;=0,O267&gt;0),"Tetap Deteksi","Belum Deteksi"))</f>
        <v>Belum Deteksi</v>
      </c>
      <c r="T267" s="143"/>
      <c r="U267" s="9">
        <f t="shared" si="38"/>
        <v>0</v>
      </c>
      <c r="V267" s="11"/>
      <c r="W267" s="143"/>
      <c r="X267" s="143"/>
      <c r="Y267" s="9">
        <f t="shared" si="37"/>
        <v>0</v>
      </c>
      <c r="Z267" s="8" t="str">
        <f t="array" ref="Z267">IF(Y267&gt;5,"Perlu Sensus",IF(AND(Y267&gt;0,,O267&gt;0),"Tetap Deteksi","Belum Deteksi"))</f>
        <v>Belum Deteksi</v>
      </c>
      <c r="AA267" s="143"/>
      <c r="AB267" s="9">
        <f t="shared" si="39"/>
        <v>0</v>
      </c>
    </row>
    <row r="268" spans="1:28" hidden="1" outlineLevel="1" x14ac:dyDescent="0.15">
      <c r="A268" s="8" t="s">
        <v>628</v>
      </c>
      <c r="B268" s="8" t="s">
        <v>47</v>
      </c>
      <c r="C268" s="8" t="s">
        <v>290</v>
      </c>
      <c r="D268" s="8" t="s">
        <v>849</v>
      </c>
      <c r="E268" s="9">
        <v>34.549999999999997</v>
      </c>
      <c r="F268" s="8" t="s">
        <v>132</v>
      </c>
      <c r="G268" s="143">
        <f t="array" ref="G268">INDEX('[23]SENSUS MEI'!$G$9:$G$453,MATCH(1,('[23]SENSUS MEI'!$D$9:$D$453=$D268)*('[23]SENSUS MEI'!$D$9:$D$453=$D268),0))</f>
        <v>4965</v>
      </c>
      <c r="H268" s="132">
        <f t="shared" si="32"/>
        <v>0</v>
      </c>
      <c r="I268" s="140">
        <f t="shared" si="32"/>
        <v>0</v>
      </c>
      <c r="J268" s="9" t="str">
        <f t="shared" si="33"/>
        <v xml:space="preserve"> </v>
      </c>
      <c r="K268" s="140">
        <f t="shared" si="34"/>
        <v>0</v>
      </c>
      <c r="L268" s="206">
        <f t="shared" si="35"/>
        <v>0</v>
      </c>
      <c r="M268" s="8" t="str">
        <f t="array" ref="M268">IF(L268&gt;5,"Perlu Sensus",IF(AND(L268&gt;=0,I268&gt;0),"Tetap Deteksi","Belum Deteksi"))</f>
        <v>Belum Deteksi</v>
      </c>
      <c r="N268" s="11"/>
      <c r="O268" s="143"/>
      <c r="P268" s="9">
        <f t="array" ref="P268">IFERROR(O268/G268*100,0)</f>
        <v>0</v>
      </c>
      <c r="Q268" s="143"/>
      <c r="R268" s="9">
        <f t="shared" si="36"/>
        <v>0</v>
      </c>
      <c r="S268" s="8" t="str">
        <f t="array" ref="S268">IF(R268&gt;5,"Perlu Sensus",IF(AND(R268&gt;=0,O268&gt;0),"Tetap Deteksi","Belum Deteksi"))</f>
        <v>Belum Deteksi</v>
      </c>
      <c r="T268" s="143"/>
      <c r="U268" s="9">
        <f t="shared" si="38"/>
        <v>0</v>
      </c>
      <c r="V268" s="11"/>
      <c r="W268" s="143"/>
      <c r="X268" s="143"/>
      <c r="Y268" s="9">
        <f t="shared" si="37"/>
        <v>0</v>
      </c>
      <c r="Z268" s="8" t="str">
        <f t="array" ref="Z268">IF(Y268&gt;5,"Perlu Sensus",IF(AND(Y268&gt;0,,O268&gt;0),"Tetap Deteksi","Belum Deteksi"))</f>
        <v>Belum Deteksi</v>
      </c>
      <c r="AA268" s="143"/>
      <c r="AB268" s="9">
        <f t="shared" si="39"/>
        <v>0</v>
      </c>
    </row>
    <row r="269" spans="1:28" hidden="1" outlineLevel="1" x14ac:dyDescent="0.15">
      <c r="A269" s="8" t="s">
        <v>628</v>
      </c>
      <c r="B269" s="8" t="s">
        <v>47</v>
      </c>
      <c r="C269" s="8" t="s">
        <v>290</v>
      </c>
      <c r="D269" s="8" t="s">
        <v>850</v>
      </c>
      <c r="E269" s="9">
        <v>35.96</v>
      </c>
      <c r="F269" s="8" t="s">
        <v>16</v>
      </c>
      <c r="G269" s="143">
        <f t="array" ref="G269">INDEX('[23]SENSUS MEI'!$G$9:$G$453,MATCH(1,('[23]SENSUS MEI'!$D$9:$D$453=$D269)*('[23]SENSUS MEI'!$D$9:$D$453=$D269),0))</f>
        <v>4891</v>
      </c>
      <c r="H269" s="132">
        <f t="shared" si="32"/>
        <v>0</v>
      </c>
      <c r="I269" s="140">
        <f t="shared" si="32"/>
        <v>0</v>
      </c>
      <c r="J269" s="9" t="str">
        <f t="shared" si="33"/>
        <v xml:space="preserve"> </v>
      </c>
      <c r="K269" s="140">
        <f t="shared" si="34"/>
        <v>0</v>
      </c>
      <c r="L269" s="206">
        <f t="shared" si="35"/>
        <v>0</v>
      </c>
      <c r="M269" s="8" t="str">
        <f t="array" ref="M269">IF(L269&gt;5,"Perlu Sensus",IF(AND(L269&gt;=0,I269&gt;0),"Tetap Deteksi","Belum Deteksi"))</f>
        <v>Belum Deteksi</v>
      </c>
      <c r="N269" s="11"/>
      <c r="O269" s="143"/>
      <c r="P269" s="9">
        <f t="array" ref="P269">IFERROR(O269/G269*100,0)</f>
        <v>0</v>
      </c>
      <c r="Q269" s="143"/>
      <c r="R269" s="9">
        <f t="shared" si="36"/>
        <v>0</v>
      </c>
      <c r="S269" s="8" t="str">
        <f t="array" ref="S269">IF(R269&gt;5,"Perlu Sensus",IF(AND(R269&gt;=0,O269&gt;0),"Tetap Deteksi","Belum Deteksi"))</f>
        <v>Belum Deteksi</v>
      </c>
      <c r="T269" s="143"/>
      <c r="U269" s="9">
        <f t="shared" si="38"/>
        <v>0</v>
      </c>
      <c r="V269" s="11"/>
      <c r="W269" s="143"/>
      <c r="X269" s="143"/>
      <c r="Y269" s="9">
        <f t="shared" si="37"/>
        <v>0</v>
      </c>
      <c r="Z269" s="8" t="str">
        <f t="array" ref="Z269">IF(Y269&gt;5,"Perlu Sensus",IF(AND(Y269&gt;0,,O269&gt;0),"Tetap Deteksi","Belum Deteksi"))</f>
        <v>Belum Deteksi</v>
      </c>
      <c r="AA269" s="143"/>
      <c r="AB269" s="9">
        <f t="shared" si="39"/>
        <v>0</v>
      </c>
    </row>
    <row r="270" spans="1:28" hidden="1" outlineLevel="1" x14ac:dyDescent="0.15">
      <c r="A270" s="8" t="s">
        <v>628</v>
      </c>
      <c r="B270" s="8" t="s">
        <v>47</v>
      </c>
      <c r="C270" s="8" t="s">
        <v>290</v>
      </c>
      <c r="D270" s="8" t="s">
        <v>851</v>
      </c>
      <c r="E270" s="9">
        <v>26.77</v>
      </c>
      <c r="F270" s="8" t="s">
        <v>16</v>
      </c>
      <c r="G270" s="143">
        <f t="array" ref="G270">INDEX('[23]SENSUS MEI'!$G$9:$G$453,MATCH(1,('[23]SENSUS MEI'!$D$9:$D$453=$D270)*('[23]SENSUS MEI'!$D$9:$D$453=$D270),0))</f>
        <v>3792</v>
      </c>
      <c r="H270" s="132">
        <f t="shared" si="32"/>
        <v>0</v>
      </c>
      <c r="I270" s="140">
        <f t="shared" si="32"/>
        <v>0</v>
      </c>
      <c r="J270" s="9" t="str">
        <f t="shared" si="33"/>
        <v xml:space="preserve"> </v>
      </c>
      <c r="K270" s="140">
        <f t="shared" si="34"/>
        <v>0</v>
      </c>
      <c r="L270" s="206">
        <f t="shared" si="35"/>
        <v>0</v>
      </c>
      <c r="M270" s="8" t="str">
        <f t="array" ref="M270">IF(L270&gt;5,"Perlu Sensus",IF(AND(L270&gt;=0,I270&gt;0),"Tetap Deteksi","Belum Deteksi"))</f>
        <v>Belum Deteksi</v>
      </c>
      <c r="N270" s="11"/>
      <c r="O270" s="143"/>
      <c r="P270" s="9">
        <f t="array" ref="P270">IFERROR(O270/G270*100,0)</f>
        <v>0</v>
      </c>
      <c r="Q270" s="143"/>
      <c r="R270" s="9">
        <f t="shared" si="36"/>
        <v>0</v>
      </c>
      <c r="S270" s="8" t="str">
        <f t="array" ref="S270">IF(R270&gt;5,"Perlu Sensus",IF(AND(R270&gt;=0,O270&gt;0),"Tetap Deteksi","Belum Deteksi"))</f>
        <v>Belum Deteksi</v>
      </c>
      <c r="T270" s="143"/>
      <c r="U270" s="9">
        <f t="shared" si="38"/>
        <v>0</v>
      </c>
      <c r="V270" s="11"/>
      <c r="W270" s="143"/>
      <c r="X270" s="143"/>
      <c r="Y270" s="9">
        <f t="shared" si="37"/>
        <v>0</v>
      </c>
      <c r="Z270" s="8" t="str">
        <f t="array" ref="Z270">IF(Y270&gt;5,"Perlu Sensus",IF(AND(Y270&gt;0,,O270&gt;0),"Tetap Deteksi","Belum Deteksi"))</f>
        <v>Belum Deteksi</v>
      </c>
      <c r="AA270" s="143"/>
      <c r="AB270" s="9">
        <f t="shared" si="39"/>
        <v>0</v>
      </c>
    </row>
    <row r="271" spans="1:28" hidden="1" outlineLevel="1" x14ac:dyDescent="0.15">
      <c r="A271" s="8" t="s">
        <v>628</v>
      </c>
      <c r="B271" s="8" t="s">
        <v>47</v>
      </c>
      <c r="C271" s="8" t="s">
        <v>290</v>
      </c>
      <c r="D271" s="8" t="s">
        <v>852</v>
      </c>
      <c r="E271" s="9">
        <v>25.16</v>
      </c>
      <c r="F271" s="8" t="s">
        <v>16</v>
      </c>
      <c r="G271" s="143">
        <f t="array" ref="G271">INDEX('[23]SENSUS MEI'!$G$9:$G$453,MATCH(1,('[23]SENSUS MEI'!$D$9:$D$453=$D271)*('[23]SENSUS MEI'!$D$9:$D$453=$D271),0))</f>
        <v>3370</v>
      </c>
      <c r="H271" s="132">
        <f t="shared" si="32"/>
        <v>0</v>
      </c>
      <c r="I271" s="140">
        <f t="shared" si="32"/>
        <v>0</v>
      </c>
      <c r="J271" s="9" t="str">
        <f t="shared" si="33"/>
        <v xml:space="preserve"> </v>
      </c>
      <c r="K271" s="140">
        <f t="shared" si="34"/>
        <v>0</v>
      </c>
      <c r="L271" s="206">
        <f t="shared" si="35"/>
        <v>0</v>
      </c>
      <c r="M271" s="8" t="str">
        <f t="array" ref="M271">IF(L271&gt;5,"Perlu Sensus",IF(AND(L271&gt;=0,I271&gt;0),"Tetap Deteksi","Belum Deteksi"))</f>
        <v>Belum Deteksi</v>
      </c>
      <c r="N271" s="11"/>
      <c r="O271" s="143"/>
      <c r="P271" s="9">
        <f t="array" ref="P271">IFERROR(O271/G271*100,0)</f>
        <v>0</v>
      </c>
      <c r="Q271" s="143"/>
      <c r="R271" s="9">
        <f t="shared" si="36"/>
        <v>0</v>
      </c>
      <c r="S271" s="8" t="str">
        <f t="array" ref="S271">IF(R271&gt;5,"Perlu Sensus",IF(AND(R271&gt;=0,O271&gt;0),"Tetap Deteksi","Belum Deteksi"))</f>
        <v>Belum Deteksi</v>
      </c>
      <c r="T271" s="143"/>
      <c r="U271" s="9">
        <f t="shared" si="38"/>
        <v>0</v>
      </c>
      <c r="V271" s="11"/>
      <c r="W271" s="143"/>
      <c r="X271" s="143"/>
      <c r="Y271" s="9">
        <f t="shared" si="37"/>
        <v>0</v>
      </c>
      <c r="Z271" s="8" t="str">
        <f t="array" ref="Z271">IF(Y271&gt;5,"Perlu Sensus",IF(AND(Y271&gt;0,,O271&gt;0),"Tetap Deteksi","Belum Deteksi"))</f>
        <v>Belum Deteksi</v>
      </c>
      <c r="AA271" s="143"/>
      <c r="AB271" s="9">
        <f t="shared" si="39"/>
        <v>0</v>
      </c>
    </row>
    <row r="272" spans="1:28" hidden="1" outlineLevel="1" x14ac:dyDescent="0.15">
      <c r="A272" s="8" t="s">
        <v>628</v>
      </c>
      <c r="B272" s="8" t="s">
        <v>47</v>
      </c>
      <c r="C272" s="8" t="s">
        <v>290</v>
      </c>
      <c r="D272" s="8" t="s">
        <v>853</v>
      </c>
      <c r="E272" s="9">
        <v>39.25</v>
      </c>
      <c r="F272" s="8" t="s">
        <v>469</v>
      </c>
      <c r="G272" s="143">
        <f t="array" ref="G272">INDEX('[23]SENSUS MEI'!$G$9:$G$453,MATCH(1,('[23]SENSUS MEI'!$D$9:$D$453=$D272)*('[23]SENSUS MEI'!$D$9:$D$453=$D272),0))</f>
        <v>5617</v>
      </c>
      <c r="H272" s="132">
        <f t="shared" si="32"/>
        <v>0</v>
      </c>
      <c r="I272" s="140">
        <f t="shared" si="32"/>
        <v>0</v>
      </c>
      <c r="J272" s="9" t="str">
        <f t="shared" si="33"/>
        <v xml:space="preserve"> </v>
      </c>
      <c r="K272" s="140">
        <f t="shared" si="34"/>
        <v>0</v>
      </c>
      <c r="L272" s="206">
        <f t="shared" si="35"/>
        <v>0</v>
      </c>
      <c r="M272" s="8" t="str">
        <f t="array" ref="M272">IF(L272&gt;5,"Perlu Sensus",IF(AND(L272&gt;=0,I272&gt;0),"Tetap Deteksi","Belum Deteksi"))</f>
        <v>Belum Deteksi</v>
      </c>
      <c r="N272" s="11"/>
      <c r="O272" s="143"/>
      <c r="P272" s="9">
        <f t="array" ref="P272">IFERROR(O272/G272*100,0)</f>
        <v>0</v>
      </c>
      <c r="Q272" s="143"/>
      <c r="R272" s="9">
        <f t="shared" si="36"/>
        <v>0</v>
      </c>
      <c r="S272" s="8" t="str">
        <f t="array" ref="S272">IF(R272&gt;5,"Perlu Sensus",IF(AND(R272&gt;=0,O272&gt;0),"Tetap Deteksi","Belum Deteksi"))</f>
        <v>Belum Deteksi</v>
      </c>
      <c r="T272" s="143"/>
      <c r="U272" s="9">
        <f t="shared" si="38"/>
        <v>0</v>
      </c>
      <c r="V272" s="11"/>
      <c r="W272" s="143"/>
      <c r="X272" s="143"/>
      <c r="Y272" s="9">
        <f t="shared" si="37"/>
        <v>0</v>
      </c>
      <c r="Z272" s="8" t="str">
        <f t="array" ref="Z272">IF(Y272&gt;5,"Perlu Sensus",IF(AND(Y272&gt;0,,O272&gt;0),"Tetap Deteksi","Belum Deteksi"))</f>
        <v>Belum Deteksi</v>
      </c>
      <c r="AA272" s="143"/>
      <c r="AB272" s="9">
        <f t="shared" si="39"/>
        <v>0</v>
      </c>
    </row>
    <row r="273" spans="1:28" hidden="1" outlineLevel="1" x14ac:dyDescent="0.15">
      <c r="A273" s="8" t="s">
        <v>628</v>
      </c>
      <c r="B273" s="8" t="s">
        <v>47</v>
      </c>
      <c r="C273" s="8" t="s">
        <v>290</v>
      </c>
      <c r="D273" s="8" t="s">
        <v>854</v>
      </c>
      <c r="E273" s="9">
        <v>38.07</v>
      </c>
      <c r="F273" s="8" t="s">
        <v>469</v>
      </c>
      <c r="G273" s="143">
        <f t="array" ref="G273">INDEX('[23]SENSUS MEI'!$G$9:$G$453,MATCH(1,('[23]SENSUS MEI'!$D$9:$D$453=$D273)*('[23]SENSUS MEI'!$D$9:$D$453=$D273),0))</f>
        <v>5212</v>
      </c>
      <c r="H273" s="132">
        <f t="shared" si="32"/>
        <v>0</v>
      </c>
      <c r="I273" s="140">
        <f t="shared" si="32"/>
        <v>0</v>
      </c>
      <c r="J273" s="9" t="str">
        <f t="shared" si="33"/>
        <v xml:space="preserve"> </v>
      </c>
      <c r="K273" s="140">
        <f t="shared" si="34"/>
        <v>0</v>
      </c>
      <c r="L273" s="206">
        <f t="shared" si="35"/>
        <v>0</v>
      </c>
      <c r="M273" s="8" t="str">
        <f t="array" ref="M273">IF(L273&gt;5,"Perlu Sensus",IF(AND(L273&gt;=0,I273&gt;0),"Tetap Deteksi","Belum Deteksi"))</f>
        <v>Belum Deteksi</v>
      </c>
      <c r="N273" s="11"/>
      <c r="O273" s="143"/>
      <c r="P273" s="9">
        <f t="array" ref="P273">IFERROR(O273/G273*100,0)</f>
        <v>0</v>
      </c>
      <c r="Q273" s="143"/>
      <c r="R273" s="9">
        <f t="shared" si="36"/>
        <v>0</v>
      </c>
      <c r="S273" s="8" t="str">
        <f t="array" ref="S273">IF(R273&gt;5,"Perlu Sensus",IF(AND(R273&gt;=0,O273&gt;0),"Tetap Deteksi","Belum Deteksi"))</f>
        <v>Belum Deteksi</v>
      </c>
      <c r="T273" s="143"/>
      <c r="U273" s="9">
        <f t="shared" si="38"/>
        <v>0</v>
      </c>
      <c r="V273" s="11"/>
      <c r="W273" s="143"/>
      <c r="X273" s="143"/>
      <c r="Y273" s="9">
        <f t="shared" si="37"/>
        <v>0</v>
      </c>
      <c r="Z273" s="8" t="str">
        <f t="array" ref="Z273">IF(Y273&gt;5,"Perlu Sensus",IF(AND(Y273&gt;0,,O273&gt;0),"Tetap Deteksi","Belum Deteksi"))</f>
        <v>Belum Deteksi</v>
      </c>
      <c r="AA273" s="143"/>
      <c r="AB273" s="9">
        <f t="shared" si="39"/>
        <v>0</v>
      </c>
    </row>
    <row r="274" spans="1:28" hidden="1" outlineLevel="1" x14ac:dyDescent="0.15">
      <c r="A274" s="8" t="s">
        <v>628</v>
      </c>
      <c r="B274" s="8" t="s">
        <v>47</v>
      </c>
      <c r="C274" s="8" t="s">
        <v>290</v>
      </c>
      <c r="D274" s="8" t="s">
        <v>855</v>
      </c>
      <c r="E274" s="9">
        <v>40.97</v>
      </c>
      <c r="F274" s="8" t="s">
        <v>469</v>
      </c>
      <c r="G274" s="143">
        <f t="array" ref="G274">INDEX('[23]SENSUS MEI'!$G$9:$G$453,MATCH(1,('[23]SENSUS MEI'!$D$9:$D$453=$D274)*('[23]SENSUS MEI'!$D$9:$D$453=$D274),0))</f>
        <v>5258</v>
      </c>
      <c r="H274" s="132">
        <f t="shared" si="32"/>
        <v>0</v>
      </c>
      <c r="I274" s="140">
        <f t="shared" si="32"/>
        <v>0</v>
      </c>
      <c r="J274" s="9" t="str">
        <f t="shared" si="33"/>
        <v xml:space="preserve"> </v>
      </c>
      <c r="K274" s="140">
        <f t="shared" si="34"/>
        <v>0</v>
      </c>
      <c r="L274" s="206">
        <f t="shared" si="35"/>
        <v>0</v>
      </c>
      <c r="M274" s="8" t="str">
        <f t="array" ref="M274">IF(L274&gt;5,"Perlu Sensus",IF(AND(L274&gt;=0,I274&gt;0),"Tetap Deteksi","Belum Deteksi"))</f>
        <v>Belum Deteksi</v>
      </c>
      <c r="N274" s="11"/>
      <c r="O274" s="143"/>
      <c r="P274" s="9">
        <f t="array" ref="P274">IFERROR(O274/G274*100,0)</f>
        <v>0</v>
      </c>
      <c r="Q274" s="143"/>
      <c r="R274" s="9">
        <f t="shared" si="36"/>
        <v>0</v>
      </c>
      <c r="S274" s="8" t="str">
        <f t="array" ref="S274">IF(R274&gt;5,"Perlu Sensus",IF(AND(R274&gt;=0,O274&gt;0),"Tetap Deteksi","Belum Deteksi"))</f>
        <v>Belum Deteksi</v>
      </c>
      <c r="T274" s="143"/>
      <c r="U274" s="9">
        <f t="shared" si="38"/>
        <v>0</v>
      </c>
      <c r="V274" s="11"/>
      <c r="W274" s="143"/>
      <c r="X274" s="143"/>
      <c r="Y274" s="9">
        <f t="shared" si="37"/>
        <v>0</v>
      </c>
      <c r="Z274" s="8" t="str">
        <f t="array" ref="Z274">IF(Y274&gt;5,"Perlu Sensus",IF(AND(Y274&gt;0,,O274&gt;0),"Tetap Deteksi","Belum Deteksi"))</f>
        <v>Belum Deteksi</v>
      </c>
      <c r="AA274" s="143"/>
      <c r="AB274" s="9">
        <f t="shared" si="39"/>
        <v>0</v>
      </c>
    </row>
    <row r="275" spans="1:28" hidden="1" outlineLevel="1" x14ac:dyDescent="0.15">
      <c r="A275" s="8" t="s">
        <v>628</v>
      </c>
      <c r="B275" s="8" t="s">
        <v>47</v>
      </c>
      <c r="C275" s="8" t="s">
        <v>290</v>
      </c>
      <c r="D275" s="8" t="s">
        <v>856</v>
      </c>
      <c r="E275" s="9">
        <v>32.630000000000003</v>
      </c>
      <c r="F275" s="8" t="s">
        <v>469</v>
      </c>
      <c r="G275" s="143">
        <f t="array" ref="G275">INDEX('[23]SENSUS MEI'!$G$9:$G$453,MATCH(1,('[23]SENSUS MEI'!$D$9:$D$453=$D275)*('[23]SENSUS MEI'!$D$9:$D$453=$D275),0))</f>
        <v>4142</v>
      </c>
      <c r="H275" s="132">
        <f t="shared" si="32"/>
        <v>0</v>
      </c>
      <c r="I275" s="140">
        <f t="shared" si="32"/>
        <v>0</v>
      </c>
      <c r="J275" s="9" t="str">
        <f t="shared" si="33"/>
        <v xml:space="preserve"> </v>
      </c>
      <c r="K275" s="140">
        <f t="shared" si="34"/>
        <v>0</v>
      </c>
      <c r="L275" s="206">
        <f t="shared" si="35"/>
        <v>0</v>
      </c>
      <c r="M275" s="8" t="str">
        <f t="array" ref="M275">IF(L275&gt;5,"Perlu Sensus",IF(AND(L275&gt;=0,I275&gt;0),"Tetap Deteksi","Belum Deteksi"))</f>
        <v>Belum Deteksi</v>
      </c>
      <c r="N275" s="11"/>
      <c r="O275" s="143"/>
      <c r="P275" s="9">
        <f t="array" ref="P275">IFERROR(O275/G275*100,0)</f>
        <v>0</v>
      </c>
      <c r="Q275" s="143"/>
      <c r="R275" s="9">
        <f t="shared" si="36"/>
        <v>0</v>
      </c>
      <c r="S275" s="8" t="str">
        <f t="array" ref="S275">IF(R275&gt;5,"Perlu Sensus",IF(AND(R275&gt;=0,O275&gt;0),"Tetap Deteksi","Belum Deteksi"))</f>
        <v>Belum Deteksi</v>
      </c>
      <c r="T275" s="143"/>
      <c r="U275" s="9">
        <f t="shared" si="38"/>
        <v>0</v>
      </c>
      <c r="V275" s="11"/>
      <c r="W275" s="143"/>
      <c r="X275" s="143"/>
      <c r="Y275" s="9">
        <f t="shared" si="37"/>
        <v>0</v>
      </c>
      <c r="Z275" s="8" t="str">
        <f t="array" ref="Z275">IF(Y275&gt;5,"Perlu Sensus",IF(AND(Y275&gt;0,,O275&gt;0),"Tetap Deteksi","Belum Deteksi"))</f>
        <v>Belum Deteksi</v>
      </c>
      <c r="AA275" s="143"/>
      <c r="AB275" s="9">
        <f t="shared" si="39"/>
        <v>0</v>
      </c>
    </row>
    <row r="276" spans="1:28" hidden="1" outlineLevel="1" x14ac:dyDescent="0.15">
      <c r="A276" s="8" t="s">
        <v>628</v>
      </c>
      <c r="B276" s="8" t="s">
        <v>47</v>
      </c>
      <c r="C276" s="8" t="s">
        <v>290</v>
      </c>
      <c r="D276" s="8" t="s">
        <v>857</v>
      </c>
      <c r="E276" s="9">
        <v>22.7</v>
      </c>
      <c r="F276" s="8" t="s">
        <v>469</v>
      </c>
      <c r="G276" s="143">
        <f t="array" ref="G276">INDEX('[23]SENSUS MEI'!$G$9:$G$453,MATCH(1,('[23]SENSUS MEI'!$D$9:$D$453=$D276)*('[23]SENSUS MEI'!$D$9:$D$453=$D276),0))</f>
        <v>3231</v>
      </c>
      <c r="H276" s="132">
        <f t="shared" si="32"/>
        <v>0</v>
      </c>
      <c r="I276" s="140">
        <f t="shared" si="32"/>
        <v>0</v>
      </c>
      <c r="J276" s="9" t="str">
        <f t="shared" si="33"/>
        <v xml:space="preserve"> </v>
      </c>
      <c r="K276" s="140">
        <f t="shared" si="34"/>
        <v>0</v>
      </c>
      <c r="L276" s="206">
        <f t="shared" si="35"/>
        <v>0</v>
      </c>
      <c r="M276" s="8" t="str">
        <f t="array" ref="M276">IF(L276&gt;5,"Perlu Sensus",IF(AND(L276&gt;=0,I276&gt;0),"Tetap Deteksi","Belum Deteksi"))</f>
        <v>Belum Deteksi</v>
      </c>
      <c r="N276" s="11"/>
      <c r="O276" s="143"/>
      <c r="P276" s="9">
        <f t="array" ref="P276">IFERROR(O276/G276*100,0)</f>
        <v>0</v>
      </c>
      <c r="Q276" s="143"/>
      <c r="R276" s="9">
        <f t="shared" si="36"/>
        <v>0</v>
      </c>
      <c r="S276" s="8" t="str">
        <f t="array" ref="S276">IF(R276&gt;5,"Perlu Sensus",IF(AND(R276&gt;=0,O276&gt;0),"Tetap Deteksi","Belum Deteksi"))</f>
        <v>Belum Deteksi</v>
      </c>
      <c r="T276" s="143"/>
      <c r="U276" s="9">
        <f t="shared" si="38"/>
        <v>0</v>
      </c>
      <c r="V276" s="11"/>
      <c r="W276" s="143"/>
      <c r="X276" s="143"/>
      <c r="Y276" s="9">
        <f t="shared" si="37"/>
        <v>0</v>
      </c>
      <c r="Z276" s="8" t="str">
        <f t="array" ref="Z276">IF(Y276&gt;5,"Perlu Sensus",IF(AND(Y276&gt;0,,O276&gt;0),"Tetap Deteksi","Belum Deteksi"))</f>
        <v>Belum Deteksi</v>
      </c>
      <c r="AA276" s="143"/>
      <c r="AB276" s="9">
        <f t="shared" si="39"/>
        <v>0</v>
      </c>
    </row>
    <row r="277" spans="1:28" hidden="1" outlineLevel="1" x14ac:dyDescent="0.15">
      <c r="A277" s="8" t="s">
        <v>628</v>
      </c>
      <c r="B277" s="8" t="s">
        <v>47</v>
      </c>
      <c r="C277" s="8" t="s">
        <v>290</v>
      </c>
      <c r="D277" s="8" t="s">
        <v>858</v>
      </c>
      <c r="E277" s="9">
        <v>25.67</v>
      </c>
      <c r="F277" s="8" t="s">
        <v>469</v>
      </c>
      <c r="G277" s="143">
        <f t="array" ref="G277">INDEX('[23]SENSUS MEI'!$G$9:$G$453,MATCH(1,('[23]SENSUS MEI'!$D$9:$D$453=$D277)*('[23]SENSUS MEI'!$D$9:$D$453=$D277),0))</f>
        <v>3558</v>
      </c>
      <c r="H277" s="132">
        <f t="shared" si="32"/>
        <v>0</v>
      </c>
      <c r="I277" s="140">
        <f t="shared" si="32"/>
        <v>0</v>
      </c>
      <c r="J277" s="9" t="str">
        <f t="shared" si="33"/>
        <v xml:space="preserve"> </v>
      </c>
      <c r="K277" s="140">
        <f t="shared" si="34"/>
        <v>0</v>
      </c>
      <c r="L277" s="206">
        <f t="shared" si="35"/>
        <v>0</v>
      </c>
      <c r="M277" s="8" t="str">
        <f t="array" ref="M277">IF(L277&gt;5,"Perlu Sensus",IF(AND(L277&gt;=0,I277&gt;0),"Tetap Deteksi","Belum Deteksi"))</f>
        <v>Belum Deteksi</v>
      </c>
      <c r="N277" s="11"/>
      <c r="O277" s="143"/>
      <c r="P277" s="9">
        <f t="array" ref="P277">IFERROR(O277/G277*100,0)</f>
        <v>0</v>
      </c>
      <c r="Q277" s="143"/>
      <c r="R277" s="9">
        <f t="shared" si="36"/>
        <v>0</v>
      </c>
      <c r="S277" s="8" t="str">
        <f t="array" ref="S277">IF(R277&gt;5,"Perlu Sensus",IF(AND(R277&gt;=0,O277&gt;0),"Tetap Deteksi","Belum Deteksi"))</f>
        <v>Belum Deteksi</v>
      </c>
      <c r="T277" s="143"/>
      <c r="U277" s="9">
        <f t="shared" si="38"/>
        <v>0</v>
      </c>
      <c r="V277" s="11"/>
      <c r="W277" s="143"/>
      <c r="X277" s="143"/>
      <c r="Y277" s="9">
        <f t="shared" si="37"/>
        <v>0</v>
      </c>
      <c r="Z277" s="8" t="str">
        <f t="array" ref="Z277">IF(Y277&gt;5,"Perlu Sensus",IF(AND(Y277&gt;0,,O277&gt;0),"Tetap Deteksi","Belum Deteksi"))</f>
        <v>Belum Deteksi</v>
      </c>
      <c r="AA277" s="143"/>
      <c r="AB277" s="9">
        <f t="shared" si="39"/>
        <v>0</v>
      </c>
    </row>
    <row r="278" spans="1:28" hidden="1" outlineLevel="1" x14ac:dyDescent="0.15">
      <c r="A278" s="8" t="s">
        <v>628</v>
      </c>
      <c r="B278" s="8" t="s">
        <v>47</v>
      </c>
      <c r="C278" s="8" t="s">
        <v>290</v>
      </c>
      <c r="D278" s="8" t="s">
        <v>859</v>
      </c>
      <c r="E278" s="9">
        <v>37.03</v>
      </c>
      <c r="F278" s="8" t="s">
        <v>469</v>
      </c>
      <c r="G278" s="143">
        <f t="array" ref="G278">INDEX('[23]SENSUS MEI'!$G$9:$G$453,MATCH(1,('[23]SENSUS MEI'!$D$9:$D$453=$D278)*('[23]SENSUS MEI'!$D$9:$D$453=$D278),0))</f>
        <v>5280</v>
      </c>
      <c r="H278" s="132">
        <f t="shared" ref="H278:I299" si="40">IF(N278&gt;0,N278,V278)</f>
        <v>0</v>
      </c>
      <c r="I278" s="140">
        <f t="shared" si="40"/>
        <v>0</v>
      </c>
      <c r="J278" s="9" t="str">
        <f t="shared" si="33"/>
        <v xml:space="preserve"> </v>
      </c>
      <c r="K278" s="140">
        <f t="shared" si="34"/>
        <v>0</v>
      </c>
      <c r="L278" s="206">
        <f t="shared" si="35"/>
        <v>0</v>
      </c>
      <c r="M278" s="8" t="str">
        <f t="array" ref="M278">IF(L278&gt;5,"Perlu Sensus",IF(AND(L278&gt;=0,I278&gt;0),"Tetap Deteksi","Belum Deteksi"))</f>
        <v>Belum Deteksi</v>
      </c>
      <c r="N278" s="11"/>
      <c r="O278" s="143"/>
      <c r="P278" s="9">
        <f t="array" ref="P278">IFERROR(O278/G278*100,0)</f>
        <v>0</v>
      </c>
      <c r="Q278" s="143"/>
      <c r="R278" s="9">
        <f t="shared" si="36"/>
        <v>0</v>
      </c>
      <c r="S278" s="8" t="str">
        <f t="array" ref="S278">IF(R278&gt;5,"Perlu Sensus",IF(AND(R278&gt;=0,O278&gt;0),"Tetap Deteksi","Belum Deteksi"))</f>
        <v>Belum Deteksi</v>
      </c>
      <c r="T278" s="143"/>
      <c r="U278" s="9">
        <f t="shared" si="38"/>
        <v>0</v>
      </c>
      <c r="V278" s="11"/>
      <c r="W278" s="143"/>
      <c r="X278" s="143"/>
      <c r="Y278" s="9">
        <f t="shared" si="37"/>
        <v>0</v>
      </c>
      <c r="Z278" s="8" t="str">
        <f t="array" ref="Z278">IF(Y278&gt;5,"Perlu Sensus",IF(AND(Y278&gt;0,,O278&gt;0),"Tetap Deteksi","Belum Deteksi"))</f>
        <v>Belum Deteksi</v>
      </c>
      <c r="AA278" s="143"/>
      <c r="AB278" s="9">
        <f t="shared" si="39"/>
        <v>0</v>
      </c>
    </row>
    <row r="279" spans="1:28" hidden="1" outlineLevel="1" x14ac:dyDescent="0.15">
      <c r="A279" s="8" t="s">
        <v>628</v>
      </c>
      <c r="B279" s="8" t="s">
        <v>47</v>
      </c>
      <c r="C279" s="8" t="s">
        <v>290</v>
      </c>
      <c r="D279" s="8" t="s">
        <v>860</v>
      </c>
      <c r="E279" s="9">
        <v>45.17</v>
      </c>
      <c r="F279" s="8" t="s">
        <v>469</v>
      </c>
      <c r="G279" s="143">
        <f t="array" ref="G279">INDEX('[23]SENSUS MEI'!$G$9:$G$453,MATCH(1,('[23]SENSUS MEI'!$D$9:$D$453=$D279)*('[23]SENSUS MEI'!$D$9:$D$453=$D279),0))</f>
        <v>6511</v>
      </c>
      <c r="H279" s="132">
        <f t="shared" si="40"/>
        <v>0</v>
      </c>
      <c r="I279" s="140">
        <f t="shared" si="40"/>
        <v>0</v>
      </c>
      <c r="J279" s="9" t="str">
        <f t="shared" si="33"/>
        <v xml:space="preserve"> </v>
      </c>
      <c r="K279" s="140">
        <f t="shared" si="34"/>
        <v>0</v>
      </c>
      <c r="L279" s="206">
        <f t="shared" si="35"/>
        <v>0</v>
      </c>
      <c r="M279" s="8" t="str">
        <f t="array" ref="M279">IF(L279&gt;5,"Perlu Sensus",IF(AND(L279&gt;=0,I279&gt;0),"Tetap Deteksi","Belum Deteksi"))</f>
        <v>Belum Deteksi</v>
      </c>
      <c r="N279" s="11"/>
      <c r="O279" s="143"/>
      <c r="P279" s="9">
        <f t="array" ref="P279">IFERROR(O279/G279*100,0)</f>
        <v>0</v>
      </c>
      <c r="Q279" s="143"/>
      <c r="R279" s="9">
        <f t="shared" si="36"/>
        <v>0</v>
      </c>
      <c r="S279" s="8" t="str">
        <f t="array" ref="S279">IF(R279&gt;5,"Perlu Sensus",IF(AND(R279&gt;=0,O279&gt;0),"Tetap Deteksi","Belum Deteksi"))</f>
        <v>Belum Deteksi</v>
      </c>
      <c r="T279" s="143"/>
      <c r="U279" s="9">
        <f t="shared" si="38"/>
        <v>0</v>
      </c>
      <c r="V279" s="11"/>
      <c r="W279" s="143"/>
      <c r="X279" s="143"/>
      <c r="Y279" s="9">
        <f t="shared" si="37"/>
        <v>0</v>
      </c>
      <c r="Z279" s="8" t="str">
        <f t="array" ref="Z279">IF(Y279&gt;5,"Perlu Sensus",IF(AND(Y279&gt;0,,O279&gt;0),"Tetap Deteksi","Belum Deteksi"))</f>
        <v>Belum Deteksi</v>
      </c>
      <c r="AA279" s="143"/>
      <c r="AB279" s="9">
        <f t="shared" si="39"/>
        <v>0</v>
      </c>
    </row>
    <row r="280" spans="1:28" hidden="1" outlineLevel="1" x14ac:dyDescent="0.15">
      <c r="A280" s="8" t="s">
        <v>628</v>
      </c>
      <c r="B280" s="8" t="s">
        <v>47</v>
      </c>
      <c r="C280" s="8" t="s">
        <v>290</v>
      </c>
      <c r="D280" s="8" t="s">
        <v>861</v>
      </c>
      <c r="E280" s="9">
        <v>38.18</v>
      </c>
      <c r="F280" s="8" t="s">
        <v>16</v>
      </c>
      <c r="G280" s="143">
        <f t="array" ref="G280">INDEX('[23]SENSUS MEI'!$G$9:$G$453,MATCH(1,('[23]SENSUS MEI'!$D$9:$D$453=$D280)*('[23]SENSUS MEI'!$D$9:$D$453=$D280),0))</f>
        <v>5640</v>
      </c>
      <c r="H280" s="132">
        <f t="shared" si="40"/>
        <v>0</v>
      </c>
      <c r="I280" s="140">
        <f t="shared" si="40"/>
        <v>0</v>
      </c>
      <c r="J280" s="9" t="str">
        <f t="shared" si="33"/>
        <v xml:space="preserve"> </v>
      </c>
      <c r="K280" s="140">
        <f t="shared" si="34"/>
        <v>0</v>
      </c>
      <c r="L280" s="206">
        <f t="shared" si="35"/>
        <v>0</v>
      </c>
      <c r="M280" s="8" t="str">
        <f t="array" ref="M280">IF(L280&gt;5,"Perlu Sensus",IF(AND(L280&gt;=0,I280&gt;0),"Tetap Deteksi","Belum Deteksi"))</f>
        <v>Belum Deteksi</v>
      </c>
      <c r="N280" s="11"/>
      <c r="O280" s="143"/>
      <c r="P280" s="9">
        <f t="array" ref="P280">IFERROR(O280/G280*100,0)</f>
        <v>0</v>
      </c>
      <c r="Q280" s="143"/>
      <c r="R280" s="9">
        <f t="shared" si="36"/>
        <v>0</v>
      </c>
      <c r="S280" s="8" t="str">
        <f t="array" ref="S280">IF(R280&gt;5,"Perlu Sensus",IF(AND(R280&gt;=0,O280&gt;0),"Tetap Deteksi","Belum Deteksi"))</f>
        <v>Belum Deteksi</v>
      </c>
      <c r="T280" s="143"/>
      <c r="U280" s="9">
        <f t="shared" si="38"/>
        <v>0</v>
      </c>
      <c r="V280" s="11"/>
      <c r="W280" s="143"/>
      <c r="X280" s="143"/>
      <c r="Y280" s="9">
        <f t="shared" si="37"/>
        <v>0</v>
      </c>
      <c r="Z280" s="8" t="str">
        <f t="array" ref="Z280">IF(Y280&gt;5,"Perlu Sensus",IF(AND(Y280&gt;0,,O280&gt;0),"Tetap Deteksi","Belum Deteksi"))</f>
        <v>Belum Deteksi</v>
      </c>
      <c r="AA280" s="143"/>
      <c r="AB280" s="9">
        <f t="shared" si="39"/>
        <v>0</v>
      </c>
    </row>
    <row r="281" spans="1:28" hidden="1" outlineLevel="1" x14ac:dyDescent="0.15">
      <c r="A281" s="8" t="s">
        <v>628</v>
      </c>
      <c r="B281" s="8" t="s">
        <v>47</v>
      </c>
      <c r="C281" s="8" t="s">
        <v>290</v>
      </c>
      <c r="D281" s="8" t="s">
        <v>862</v>
      </c>
      <c r="E281" s="9">
        <v>32.119999999999997</v>
      </c>
      <c r="F281" s="8" t="s">
        <v>16</v>
      </c>
      <c r="G281" s="143">
        <f t="array" ref="G281">INDEX('[23]SENSUS MEI'!$G$9:$G$453,MATCH(1,('[23]SENSUS MEI'!$D$9:$D$453=$D281)*('[23]SENSUS MEI'!$D$9:$D$453=$D281),0))</f>
        <v>4388</v>
      </c>
      <c r="H281" s="132">
        <f t="shared" si="40"/>
        <v>0</v>
      </c>
      <c r="I281" s="140">
        <f t="shared" si="40"/>
        <v>0</v>
      </c>
      <c r="J281" s="9" t="str">
        <f t="shared" si="33"/>
        <v xml:space="preserve"> </v>
      </c>
      <c r="K281" s="140">
        <f t="shared" si="34"/>
        <v>0</v>
      </c>
      <c r="L281" s="206">
        <f t="shared" si="35"/>
        <v>0</v>
      </c>
      <c r="M281" s="8" t="str">
        <f t="array" ref="M281">IF(L281&gt;5,"Perlu Sensus",IF(AND(L281&gt;=0,I281&gt;0),"Tetap Deteksi","Belum Deteksi"))</f>
        <v>Belum Deteksi</v>
      </c>
      <c r="N281" s="11"/>
      <c r="O281" s="143"/>
      <c r="P281" s="9">
        <f t="array" ref="P281">IFERROR(O281/G281*100,0)</f>
        <v>0</v>
      </c>
      <c r="Q281" s="143"/>
      <c r="R281" s="9">
        <f t="shared" si="36"/>
        <v>0</v>
      </c>
      <c r="S281" s="8" t="str">
        <f t="array" ref="S281">IF(R281&gt;5,"Perlu Sensus",IF(AND(R281&gt;=0,O281&gt;0),"Tetap Deteksi","Belum Deteksi"))</f>
        <v>Belum Deteksi</v>
      </c>
      <c r="T281" s="143"/>
      <c r="U281" s="9">
        <f t="shared" si="38"/>
        <v>0</v>
      </c>
      <c r="V281" s="11"/>
      <c r="W281" s="143"/>
      <c r="X281" s="143"/>
      <c r="Y281" s="9">
        <f t="shared" si="37"/>
        <v>0</v>
      </c>
      <c r="Z281" s="8" t="str">
        <f t="array" ref="Z281">IF(Y281&gt;5,"Perlu Sensus",IF(AND(Y281&gt;0,,O281&gt;0),"Tetap Deteksi","Belum Deteksi"))</f>
        <v>Belum Deteksi</v>
      </c>
      <c r="AA281" s="143"/>
      <c r="AB281" s="9">
        <f t="shared" si="39"/>
        <v>0</v>
      </c>
    </row>
    <row r="282" spans="1:28" hidden="1" outlineLevel="1" x14ac:dyDescent="0.15">
      <c r="A282" s="8" t="s">
        <v>628</v>
      </c>
      <c r="B282" s="8" t="s">
        <v>47</v>
      </c>
      <c r="C282" s="8" t="s">
        <v>290</v>
      </c>
      <c r="D282" s="8" t="s">
        <v>863</v>
      </c>
      <c r="E282" s="9">
        <v>33.89</v>
      </c>
      <c r="F282" s="8" t="s">
        <v>16</v>
      </c>
      <c r="G282" s="143">
        <f t="array" ref="G282">INDEX('[23]SENSUS MEI'!$G$9:$G$453,MATCH(1,('[23]SENSUS MEI'!$D$9:$D$453=$D282)*('[23]SENSUS MEI'!$D$9:$D$453=$D282),0))</f>
        <v>4809</v>
      </c>
      <c r="H282" s="132">
        <f t="shared" si="40"/>
        <v>0</v>
      </c>
      <c r="I282" s="140">
        <f t="shared" si="40"/>
        <v>0</v>
      </c>
      <c r="J282" s="9" t="str">
        <f t="shared" si="33"/>
        <v xml:space="preserve"> </v>
      </c>
      <c r="K282" s="140">
        <f t="shared" si="34"/>
        <v>0</v>
      </c>
      <c r="L282" s="206">
        <f t="shared" si="35"/>
        <v>0</v>
      </c>
      <c r="M282" s="8" t="str">
        <f t="array" ref="M282">IF(L282&gt;5,"Perlu Sensus",IF(AND(L282&gt;=0,I282&gt;0),"Tetap Deteksi","Belum Deteksi"))</f>
        <v>Belum Deteksi</v>
      </c>
      <c r="N282" s="11"/>
      <c r="O282" s="143"/>
      <c r="P282" s="9">
        <f t="array" ref="P282">IFERROR(O282/G282*100,0)</f>
        <v>0</v>
      </c>
      <c r="Q282" s="143"/>
      <c r="R282" s="9">
        <f t="shared" si="36"/>
        <v>0</v>
      </c>
      <c r="S282" s="8" t="str">
        <f t="array" ref="S282">IF(R282&gt;5,"Perlu Sensus",IF(AND(R282&gt;=0,O282&gt;0),"Tetap Deteksi","Belum Deteksi"))</f>
        <v>Belum Deteksi</v>
      </c>
      <c r="T282" s="143"/>
      <c r="U282" s="9">
        <f t="shared" si="38"/>
        <v>0</v>
      </c>
      <c r="V282" s="11"/>
      <c r="W282" s="143"/>
      <c r="X282" s="143"/>
      <c r="Y282" s="9">
        <f t="shared" si="37"/>
        <v>0</v>
      </c>
      <c r="Z282" s="8" t="str">
        <f t="array" ref="Z282">IF(Y282&gt;5,"Perlu Sensus",IF(AND(Y282&gt;0,,O282&gt;0),"Tetap Deteksi","Belum Deteksi"))</f>
        <v>Belum Deteksi</v>
      </c>
      <c r="AA282" s="143"/>
      <c r="AB282" s="9">
        <f t="shared" si="39"/>
        <v>0</v>
      </c>
    </row>
    <row r="283" spans="1:28" hidden="1" outlineLevel="1" x14ac:dyDescent="0.15">
      <c r="A283" s="8" t="s">
        <v>628</v>
      </c>
      <c r="B283" s="8" t="s">
        <v>47</v>
      </c>
      <c r="C283" s="8" t="s">
        <v>290</v>
      </c>
      <c r="D283" s="8" t="s">
        <v>864</v>
      </c>
      <c r="E283" s="9">
        <v>37.78</v>
      </c>
      <c r="F283" s="8" t="s">
        <v>16</v>
      </c>
      <c r="G283" s="143">
        <f t="array" ref="G283">INDEX('[23]SENSUS MEI'!$G$9:$G$453,MATCH(1,('[23]SENSUS MEI'!$D$9:$D$453=$D283)*('[23]SENSUS MEI'!$D$9:$D$453=$D283),0))</f>
        <v>5397</v>
      </c>
      <c r="H283" s="132">
        <f t="shared" si="40"/>
        <v>0</v>
      </c>
      <c r="I283" s="140">
        <f t="shared" si="40"/>
        <v>0</v>
      </c>
      <c r="J283" s="9" t="str">
        <f t="shared" si="33"/>
        <v xml:space="preserve"> </v>
      </c>
      <c r="K283" s="140">
        <f t="shared" si="34"/>
        <v>0</v>
      </c>
      <c r="L283" s="206">
        <f t="shared" si="35"/>
        <v>0</v>
      </c>
      <c r="M283" s="8" t="str">
        <f t="array" ref="M283">IF(L283&gt;5,"Perlu Sensus",IF(AND(L283&gt;=0,I283&gt;0),"Tetap Deteksi","Belum Deteksi"))</f>
        <v>Belum Deteksi</v>
      </c>
      <c r="N283" s="11"/>
      <c r="O283" s="143"/>
      <c r="P283" s="9">
        <f t="array" ref="P283">IFERROR(O283/G283*100,0)</f>
        <v>0</v>
      </c>
      <c r="Q283" s="143"/>
      <c r="R283" s="9">
        <f t="shared" si="36"/>
        <v>0</v>
      </c>
      <c r="S283" s="8" t="str">
        <f t="array" ref="S283">IF(R283&gt;5,"Perlu Sensus",IF(AND(R283&gt;=0,O283&gt;0),"Tetap Deteksi","Belum Deteksi"))</f>
        <v>Belum Deteksi</v>
      </c>
      <c r="T283" s="143"/>
      <c r="U283" s="9">
        <f t="shared" si="38"/>
        <v>0</v>
      </c>
      <c r="V283" s="11"/>
      <c r="W283" s="143"/>
      <c r="X283" s="143"/>
      <c r="Y283" s="9">
        <f t="shared" si="37"/>
        <v>0</v>
      </c>
      <c r="Z283" s="8" t="str">
        <f t="array" ref="Z283">IF(Y283&gt;5,"Perlu Sensus",IF(AND(Y283&gt;0,,O283&gt;0),"Tetap Deteksi","Belum Deteksi"))</f>
        <v>Belum Deteksi</v>
      </c>
      <c r="AA283" s="143"/>
      <c r="AB283" s="9">
        <f t="shared" si="39"/>
        <v>0</v>
      </c>
    </row>
    <row r="284" spans="1:28" hidden="1" outlineLevel="1" x14ac:dyDescent="0.15">
      <c r="A284" s="8" t="s">
        <v>628</v>
      </c>
      <c r="B284" s="8" t="s">
        <v>47</v>
      </c>
      <c r="C284" s="8" t="s">
        <v>290</v>
      </c>
      <c r="D284" s="8" t="s">
        <v>865</v>
      </c>
      <c r="E284" s="9">
        <v>37.58</v>
      </c>
      <c r="F284" s="8" t="s">
        <v>16</v>
      </c>
      <c r="G284" s="143">
        <f t="array" ref="G284">INDEX('[23]SENSUS MEI'!$G$9:$G$453,MATCH(1,('[23]SENSUS MEI'!$D$9:$D$453=$D284)*('[23]SENSUS MEI'!$D$9:$D$453=$D284),0))</f>
        <v>5399</v>
      </c>
      <c r="H284" s="132">
        <f t="shared" si="40"/>
        <v>0</v>
      </c>
      <c r="I284" s="140">
        <f t="shared" si="40"/>
        <v>0</v>
      </c>
      <c r="J284" s="9" t="str">
        <f t="shared" si="33"/>
        <v xml:space="preserve"> </v>
      </c>
      <c r="K284" s="140">
        <f t="shared" si="34"/>
        <v>0</v>
      </c>
      <c r="L284" s="206">
        <f t="shared" si="35"/>
        <v>0</v>
      </c>
      <c r="M284" s="8" t="str">
        <f t="array" ref="M284">IF(L284&gt;5,"Perlu Sensus",IF(AND(L284&gt;=0,I284&gt;0),"Tetap Deteksi","Belum Deteksi"))</f>
        <v>Belum Deteksi</v>
      </c>
      <c r="N284" s="11"/>
      <c r="O284" s="143"/>
      <c r="P284" s="9">
        <f t="array" ref="P284">IFERROR(O284/G284*100,0)</f>
        <v>0</v>
      </c>
      <c r="Q284" s="143"/>
      <c r="R284" s="9">
        <f t="shared" si="36"/>
        <v>0</v>
      </c>
      <c r="S284" s="8" t="str">
        <f t="array" ref="S284">IF(R284&gt;5,"Perlu Sensus",IF(AND(R284&gt;=0,O284&gt;0),"Tetap Deteksi","Belum Deteksi"))</f>
        <v>Belum Deteksi</v>
      </c>
      <c r="T284" s="143"/>
      <c r="U284" s="9">
        <f t="shared" si="38"/>
        <v>0</v>
      </c>
      <c r="V284" s="11"/>
      <c r="W284" s="143"/>
      <c r="X284" s="143"/>
      <c r="Y284" s="9">
        <f t="shared" si="37"/>
        <v>0</v>
      </c>
      <c r="Z284" s="8" t="str">
        <f t="array" ref="Z284">IF(Y284&gt;5,"Perlu Sensus",IF(AND(Y284&gt;0,,O284&gt;0),"Tetap Deteksi","Belum Deteksi"))</f>
        <v>Belum Deteksi</v>
      </c>
      <c r="AA284" s="143"/>
      <c r="AB284" s="9">
        <f t="shared" si="39"/>
        <v>0</v>
      </c>
    </row>
    <row r="285" spans="1:28" hidden="1" outlineLevel="1" x14ac:dyDescent="0.15">
      <c r="A285" s="8" t="s">
        <v>628</v>
      </c>
      <c r="B285" s="8" t="s">
        <v>47</v>
      </c>
      <c r="C285" s="8" t="s">
        <v>323</v>
      </c>
      <c r="D285" s="8" t="s">
        <v>866</v>
      </c>
      <c r="E285" s="9">
        <v>8.6199999999999992</v>
      </c>
      <c r="F285" s="8" t="s">
        <v>469</v>
      </c>
      <c r="G285" s="143">
        <f t="array" ref="G285">INDEX('[23]SENSUS MEI'!$G$9:$G$453,MATCH(1,('[23]SENSUS MEI'!$D$9:$D$453=$D285)*('[23]SENSUS MEI'!$D$9:$D$453=$D285),0))</f>
        <v>1026</v>
      </c>
      <c r="H285" s="132">
        <f t="shared" si="40"/>
        <v>0</v>
      </c>
      <c r="I285" s="140">
        <f t="shared" si="40"/>
        <v>0</v>
      </c>
      <c r="J285" s="9" t="str">
        <f t="shared" si="33"/>
        <v xml:space="preserve"> </v>
      </c>
      <c r="K285" s="140">
        <f t="shared" si="34"/>
        <v>0</v>
      </c>
      <c r="L285" s="206">
        <f t="shared" si="35"/>
        <v>0</v>
      </c>
      <c r="M285" s="8" t="str">
        <f t="array" ref="M285">IF(L285&gt;5,"Perlu Sensus",IF(AND(L285&gt;=0,I285&gt;0),"Tetap Deteksi","Belum Deteksi"))</f>
        <v>Belum Deteksi</v>
      </c>
      <c r="N285" s="11"/>
      <c r="O285" s="143"/>
      <c r="P285" s="9">
        <f t="array" ref="P285">IFERROR(O285/G285*100,0)</f>
        <v>0</v>
      </c>
      <c r="Q285" s="143"/>
      <c r="R285" s="9">
        <f t="shared" si="36"/>
        <v>0</v>
      </c>
      <c r="S285" s="8" t="str">
        <f t="array" ref="S285">IF(R285&gt;5,"Perlu Sensus",IF(AND(R285&gt;=0,O285&gt;0),"Tetap Deteksi","Belum Deteksi"))</f>
        <v>Belum Deteksi</v>
      </c>
      <c r="T285" s="143"/>
      <c r="U285" s="9">
        <f t="shared" si="38"/>
        <v>0</v>
      </c>
      <c r="V285" s="11"/>
      <c r="W285" s="143"/>
      <c r="X285" s="143"/>
      <c r="Y285" s="9">
        <f t="shared" si="37"/>
        <v>0</v>
      </c>
      <c r="Z285" s="8" t="str">
        <f t="array" ref="Z285">IF(Y285&gt;5,"Perlu Sensus",IF(AND(Y285&gt;0,,O285&gt;0),"Tetap Deteksi","Belum Deteksi"))</f>
        <v>Belum Deteksi</v>
      </c>
      <c r="AA285" s="143"/>
      <c r="AB285" s="9">
        <f t="shared" si="39"/>
        <v>0</v>
      </c>
    </row>
    <row r="286" spans="1:28" hidden="1" outlineLevel="1" x14ac:dyDescent="0.15">
      <c r="A286" s="8" t="s">
        <v>628</v>
      </c>
      <c r="B286" s="8" t="s">
        <v>47</v>
      </c>
      <c r="C286" s="8" t="s">
        <v>323</v>
      </c>
      <c r="D286" s="8" t="s">
        <v>867</v>
      </c>
      <c r="E286" s="9">
        <v>9.17</v>
      </c>
      <c r="F286" s="8" t="s">
        <v>469</v>
      </c>
      <c r="G286" s="143">
        <f t="array" ref="G286">INDEX('[23]SENSUS MEI'!$G$9:$G$453,MATCH(1,('[23]SENSUS MEI'!$D$9:$D$453=$D286)*('[23]SENSUS MEI'!$D$9:$D$453=$D286),0))</f>
        <v>1547</v>
      </c>
      <c r="H286" s="132">
        <f t="shared" si="40"/>
        <v>0</v>
      </c>
      <c r="I286" s="140">
        <f t="shared" si="40"/>
        <v>0</v>
      </c>
      <c r="J286" s="9" t="str">
        <f t="shared" si="33"/>
        <v xml:space="preserve"> </v>
      </c>
      <c r="K286" s="140">
        <f t="shared" si="34"/>
        <v>0</v>
      </c>
      <c r="L286" s="206">
        <f t="shared" si="35"/>
        <v>0</v>
      </c>
      <c r="M286" s="8" t="str">
        <f t="array" ref="M286">IF(L286&gt;5,"Perlu Sensus",IF(AND(L286&gt;=0,I286&gt;0),"Tetap Deteksi","Belum Deteksi"))</f>
        <v>Belum Deteksi</v>
      </c>
      <c r="N286" s="11"/>
      <c r="O286" s="143"/>
      <c r="P286" s="9">
        <f t="array" ref="P286">IFERROR(O286/G286*100,0)</f>
        <v>0</v>
      </c>
      <c r="Q286" s="143"/>
      <c r="R286" s="9">
        <f t="shared" si="36"/>
        <v>0</v>
      </c>
      <c r="S286" s="8" t="str">
        <f t="array" ref="S286">IF(R286&gt;5,"Perlu Sensus",IF(AND(R286&gt;=0,O286&gt;0),"Tetap Deteksi","Belum Deteksi"))</f>
        <v>Belum Deteksi</v>
      </c>
      <c r="T286" s="143"/>
      <c r="U286" s="9">
        <f t="shared" si="38"/>
        <v>0</v>
      </c>
      <c r="V286" s="11"/>
      <c r="W286" s="143"/>
      <c r="X286" s="143"/>
      <c r="Y286" s="9">
        <f t="shared" si="37"/>
        <v>0</v>
      </c>
      <c r="Z286" s="8" t="str">
        <f t="array" ref="Z286">IF(Y286&gt;5,"Perlu Sensus",IF(AND(Y286&gt;0,,O286&gt;0),"Tetap Deteksi","Belum Deteksi"))</f>
        <v>Belum Deteksi</v>
      </c>
      <c r="AA286" s="143"/>
      <c r="AB286" s="9">
        <f t="shared" si="39"/>
        <v>0</v>
      </c>
    </row>
    <row r="287" spans="1:28" hidden="1" outlineLevel="1" x14ac:dyDescent="0.15">
      <c r="A287" s="8" t="s">
        <v>628</v>
      </c>
      <c r="B287" s="8" t="s">
        <v>47</v>
      </c>
      <c r="C287" s="8" t="s">
        <v>323</v>
      </c>
      <c r="D287" s="8" t="s">
        <v>868</v>
      </c>
      <c r="E287" s="9">
        <v>37.520000000000003</v>
      </c>
      <c r="F287" s="8" t="s">
        <v>469</v>
      </c>
      <c r="G287" s="143">
        <f t="array" ref="G287">INDEX('[23]SENSUS MEI'!$G$9:$G$453,MATCH(1,('[23]SENSUS MEI'!$D$9:$D$453=$D287)*('[23]SENSUS MEI'!$D$9:$D$453=$D287),0))</f>
        <v>5133</v>
      </c>
      <c r="H287" s="132">
        <f t="shared" si="40"/>
        <v>0</v>
      </c>
      <c r="I287" s="140">
        <f t="shared" si="40"/>
        <v>0</v>
      </c>
      <c r="J287" s="9" t="str">
        <f t="shared" si="33"/>
        <v xml:space="preserve"> </v>
      </c>
      <c r="K287" s="140">
        <f t="shared" si="34"/>
        <v>0</v>
      </c>
      <c r="L287" s="206">
        <f t="shared" si="35"/>
        <v>0</v>
      </c>
      <c r="M287" s="8" t="str">
        <f t="array" ref="M287">IF(L287&gt;5,"Perlu Sensus",IF(AND(L287&gt;=0,I287&gt;0),"Tetap Deteksi","Belum Deteksi"))</f>
        <v>Belum Deteksi</v>
      </c>
      <c r="N287" s="11"/>
      <c r="O287" s="143"/>
      <c r="P287" s="9">
        <f t="array" ref="P287">IFERROR(O287/G287*100,0)</f>
        <v>0</v>
      </c>
      <c r="Q287" s="143"/>
      <c r="R287" s="9">
        <f t="shared" si="36"/>
        <v>0</v>
      </c>
      <c r="S287" s="8" t="str">
        <f t="array" ref="S287">IF(R287&gt;5,"Perlu Sensus",IF(AND(R287&gt;=0,O287&gt;0),"Tetap Deteksi","Belum Deteksi"))</f>
        <v>Belum Deteksi</v>
      </c>
      <c r="T287" s="143"/>
      <c r="U287" s="9">
        <f t="shared" si="38"/>
        <v>0</v>
      </c>
      <c r="V287" s="11"/>
      <c r="W287" s="143"/>
      <c r="X287" s="143"/>
      <c r="Y287" s="9">
        <f t="shared" si="37"/>
        <v>0</v>
      </c>
      <c r="Z287" s="8" t="str">
        <f t="array" ref="Z287">IF(Y287&gt;5,"Perlu Sensus",IF(AND(Y287&gt;0,,O287&gt;0),"Tetap Deteksi","Belum Deteksi"))</f>
        <v>Belum Deteksi</v>
      </c>
      <c r="AA287" s="143"/>
      <c r="AB287" s="9">
        <f t="shared" si="39"/>
        <v>0</v>
      </c>
    </row>
    <row r="288" spans="1:28" hidden="1" outlineLevel="1" x14ac:dyDescent="0.15">
      <c r="A288" s="8" t="s">
        <v>628</v>
      </c>
      <c r="B288" s="8" t="s">
        <v>47</v>
      </c>
      <c r="C288" s="8" t="s">
        <v>323</v>
      </c>
      <c r="D288" s="8" t="s">
        <v>869</v>
      </c>
      <c r="E288" s="9">
        <v>35.32</v>
      </c>
      <c r="F288" s="8" t="s">
        <v>469</v>
      </c>
      <c r="G288" s="143">
        <f t="array" ref="G288">INDEX('[23]SENSUS MEI'!$G$9:$G$453,MATCH(1,('[23]SENSUS MEI'!$D$9:$D$453=$D288)*('[23]SENSUS MEI'!$D$9:$D$453=$D288),0))</f>
        <v>5023</v>
      </c>
      <c r="H288" s="132">
        <f t="shared" si="40"/>
        <v>0</v>
      </c>
      <c r="I288" s="140">
        <f t="shared" si="40"/>
        <v>0</v>
      </c>
      <c r="J288" s="9" t="str">
        <f t="shared" si="33"/>
        <v xml:space="preserve"> </v>
      </c>
      <c r="K288" s="140">
        <f t="shared" si="34"/>
        <v>0</v>
      </c>
      <c r="L288" s="206">
        <f t="shared" si="35"/>
        <v>0</v>
      </c>
      <c r="M288" s="8" t="str">
        <f t="array" ref="M288">IF(L288&gt;5,"Perlu Sensus",IF(AND(L288&gt;=0,I288&gt;0),"Tetap Deteksi","Belum Deteksi"))</f>
        <v>Belum Deteksi</v>
      </c>
      <c r="N288" s="11"/>
      <c r="O288" s="143"/>
      <c r="P288" s="9">
        <f t="array" ref="P288">IFERROR(O288/G288*100,0)</f>
        <v>0</v>
      </c>
      <c r="Q288" s="143"/>
      <c r="R288" s="9">
        <f t="shared" si="36"/>
        <v>0</v>
      </c>
      <c r="S288" s="8" t="str">
        <f t="array" ref="S288">IF(R288&gt;5,"Perlu Sensus",IF(AND(R288&gt;=0,O288&gt;0),"Tetap Deteksi","Belum Deteksi"))</f>
        <v>Belum Deteksi</v>
      </c>
      <c r="T288" s="143"/>
      <c r="U288" s="9">
        <f t="shared" si="38"/>
        <v>0</v>
      </c>
      <c r="V288" s="11"/>
      <c r="W288" s="143"/>
      <c r="X288" s="143"/>
      <c r="Y288" s="9">
        <f t="shared" si="37"/>
        <v>0</v>
      </c>
      <c r="Z288" s="8" t="str">
        <f t="array" ref="Z288">IF(Y288&gt;5,"Perlu Sensus",IF(AND(Y288&gt;0,,O288&gt;0),"Tetap Deteksi","Belum Deteksi"))</f>
        <v>Belum Deteksi</v>
      </c>
      <c r="AA288" s="143"/>
      <c r="AB288" s="9">
        <f t="shared" si="39"/>
        <v>0</v>
      </c>
    </row>
    <row r="289" spans="1:28" hidden="1" outlineLevel="1" x14ac:dyDescent="0.15">
      <c r="A289" s="8" t="s">
        <v>628</v>
      </c>
      <c r="B289" s="8" t="s">
        <v>47</v>
      </c>
      <c r="C289" s="8" t="s">
        <v>323</v>
      </c>
      <c r="D289" s="8" t="s">
        <v>870</v>
      </c>
      <c r="E289" s="9">
        <v>40.71</v>
      </c>
      <c r="F289" s="8" t="s">
        <v>469</v>
      </c>
      <c r="G289" s="143">
        <f t="array" ref="G289">INDEX('[23]SENSUS MEI'!$G$9:$G$453,MATCH(1,('[23]SENSUS MEI'!$D$9:$D$453=$D289)*('[23]SENSUS MEI'!$D$9:$D$453=$D289),0))</f>
        <v>5582</v>
      </c>
      <c r="H289" s="132">
        <f t="shared" si="40"/>
        <v>0</v>
      </c>
      <c r="I289" s="140">
        <f t="shared" si="40"/>
        <v>0</v>
      </c>
      <c r="J289" s="9" t="str">
        <f t="shared" si="33"/>
        <v xml:space="preserve"> </v>
      </c>
      <c r="K289" s="140">
        <f t="shared" si="34"/>
        <v>0</v>
      </c>
      <c r="L289" s="206">
        <f t="shared" si="35"/>
        <v>0</v>
      </c>
      <c r="M289" s="8" t="str">
        <f t="array" ref="M289">IF(L289&gt;5,"Perlu Sensus",IF(AND(L289&gt;=0,I289&gt;0),"Tetap Deteksi","Belum Deteksi"))</f>
        <v>Belum Deteksi</v>
      </c>
      <c r="N289" s="11"/>
      <c r="O289" s="143"/>
      <c r="P289" s="9">
        <f t="array" ref="P289">IFERROR(O289/G289*100,0)</f>
        <v>0</v>
      </c>
      <c r="Q289" s="143"/>
      <c r="R289" s="9">
        <f t="shared" si="36"/>
        <v>0</v>
      </c>
      <c r="S289" s="8" t="str">
        <f t="array" ref="S289">IF(R289&gt;5,"Perlu Sensus",IF(AND(R289&gt;=0,O289&gt;0),"Tetap Deteksi","Belum Deteksi"))</f>
        <v>Belum Deteksi</v>
      </c>
      <c r="T289" s="143"/>
      <c r="U289" s="9">
        <f t="shared" si="38"/>
        <v>0</v>
      </c>
      <c r="V289" s="11"/>
      <c r="W289" s="143"/>
      <c r="X289" s="143"/>
      <c r="Y289" s="9">
        <f t="shared" si="37"/>
        <v>0</v>
      </c>
      <c r="Z289" s="8" t="str">
        <f t="array" ref="Z289">IF(Y289&gt;5,"Perlu Sensus",IF(AND(Y289&gt;0,,O289&gt;0),"Tetap Deteksi","Belum Deteksi"))</f>
        <v>Belum Deteksi</v>
      </c>
      <c r="AA289" s="143"/>
      <c r="AB289" s="9">
        <f t="shared" si="39"/>
        <v>0</v>
      </c>
    </row>
    <row r="290" spans="1:28" hidden="1" outlineLevel="1" x14ac:dyDescent="0.15">
      <c r="A290" s="8" t="s">
        <v>628</v>
      </c>
      <c r="B290" s="8" t="s">
        <v>47</v>
      </c>
      <c r="C290" s="8" t="s">
        <v>323</v>
      </c>
      <c r="D290" s="8" t="s">
        <v>871</v>
      </c>
      <c r="E290" s="9">
        <v>28.96</v>
      </c>
      <c r="F290" s="8" t="s">
        <v>469</v>
      </c>
      <c r="G290" s="143">
        <f t="array" ref="G290">INDEX('[23]SENSUS MEI'!$G$9:$G$453,MATCH(1,('[23]SENSUS MEI'!$D$9:$D$453=$D290)*('[23]SENSUS MEI'!$D$9:$D$453=$D290),0))</f>
        <v>4300</v>
      </c>
      <c r="H290" s="132">
        <f t="shared" si="40"/>
        <v>0</v>
      </c>
      <c r="I290" s="140">
        <f t="shared" si="40"/>
        <v>0</v>
      </c>
      <c r="J290" s="9" t="str">
        <f t="shared" si="33"/>
        <v xml:space="preserve"> </v>
      </c>
      <c r="K290" s="140">
        <f t="shared" si="34"/>
        <v>0</v>
      </c>
      <c r="L290" s="206">
        <f t="shared" si="35"/>
        <v>0</v>
      </c>
      <c r="M290" s="8" t="str">
        <f t="array" ref="M290">IF(L290&gt;5,"Perlu Sensus",IF(AND(L290&gt;=0,I290&gt;0),"Tetap Deteksi","Belum Deteksi"))</f>
        <v>Belum Deteksi</v>
      </c>
      <c r="N290" s="11"/>
      <c r="O290" s="143"/>
      <c r="P290" s="9">
        <f t="array" ref="P290">IFERROR(O290/G290*100,0)</f>
        <v>0</v>
      </c>
      <c r="Q290" s="143"/>
      <c r="R290" s="9">
        <f t="shared" si="36"/>
        <v>0</v>
      </c>
      <c r="S290" s="8" t="str">
        <f t="array" ref="S290">IF(R290&gt;5,"Perlu Sensus",IF(AND(R290&gt;=0,O290&gt;0),"Tetap Deteksi","Belum Deteksi"))</f>
        <v>Belum Deteksi</v>
      </c>
      <c r="T290" s="143"/>
      <c r="U290" s="9">
        <f t="shared" si="38"/>
        <v>0</v>
      </c>
      <c r="V290" s="11"/>
      <c r="W290" s="143"/>
      <c r="X290" s="143"/>
      <c r="Y290" s="9">
        <f t="shared" si="37"/>
        <v>0</v>
      </c>
      <c r="Z290" s="8" t="str">
        <f t="array" ref="Z290">IF(Y290&gt;5,"Perlu Sensus",IF(AND(Y290&gt;0,,O290&gt;0),"Tetap Deteksi","Belum Deteksi"))</f>
        <v>Belum Deteksi</v>
      </c>
      <c r="AA290" s="143"/>
      <c r="AB290" s="9">
        <f t="shared" si="39"/>
        <v>0</v>
      </c>
    </row>
    <row r="291" spans="1:28" hidden="1" outlineLevel="1" x14ac:dyDescent="0.15">
      <c r="A291" s="8" t="s">
        <v>628</v>
      </c>
      <c r="B291" s="8" t="s">
        <v>47</v>
      </c>
      <c r="C291" s="8" t="s">
        <v>323</v>
      </c>
      <c r="D291" s="8" t="s">
        <v>872</v>
      </c>
      <c r="E291" s="9">
        <v>22.95</v>
      </c>
      <c r="F291" s="8" t="s">
        <v>469</v>
      </c>
      <c r="G291" s="143">
        <f t="array" ref="G291">INDEX('[23]SENSUS MEI'!$G$9:$G$453,MATCH(1,('[23]SENSUS MEI'!$D$9:$D$453=$D291)*('[23]SENSUS MEI'!$D$9:$D$453=$D291),0))</f>
        <v>3332</v>
      </c>
      <c r="H291" s="132">
        <f t="shared" si="40"/>
        <v>0</v>
      </c>
      <c r="I291" s="140">
        <f t="shared" si="40"/>
        <v>0</v>
      </c>
      <c r="J291" s="9" t="str">
        <f t="shared" si="33"/>
        <v xml:space="preserve"> </v>
      </c>
      <c r="K291" s="140">
        <f t="shared" si="34"/>
        <v>0</v>
      </c>
      <c r="L291" s="206">
        <f t="shared" si="35"/>
        <v>0</v>
      </c>
      <c r="M291" s="8" t="str">
        <f t="array" ref="M291">IF(L291&gt;5,"Perlu Sensus",IF(AND(L291&gt;=0,I291&gt;0),"Tetap Deteksi","Belum Deteksi"))</f>
        <v>Belum Deteksi</v>
      </c>
      <c r="N291" s="11"/>
      <c r="O291" s="143"/>
      <c r="P291" s="9">
        <f t="array" ref="P291">IFERROR(O291/G291*100,0)</f>
        <v>0</v>
      </c>
      <c r="Q291" s="143"/>
      <c r="R291" s="9">
        <f t="shared" si="36"/>
        <v>0</v>
      </c>
      <c r="S291" s="8" t="str">
        <f t="array" ref="S291">IF(R291&gt;5,"Perlu Sensus",IF(AND(R291&gt;=0,O291&gt;0),"Tetap Deteksi","Belum Deteksi"))</f>
        <v>Belum Deteksi</v>
      </c>
      <c r="T291" s="143"/>
      <c r="U291" s="9">
        <f t="shared" si="38"/>
        <v>0</v>
      </c>
      <c r="V291" s="11"/>
      <c r="W291" s="143"/>
      <c r="X291" s="143"/>
      <c r="Y291" s="9">
        <f t="shared" si="37"/>
        <v>0</v>
      </c>
      <c r="Z291" s="8" t="str">
        <f t="array" ref="Z291">IF(Y291&gt;5,"Perlu Sensus",IF(AND(Y291&gt;0,,O291&gt;0),"Tetap Deteksi","Belum Deteksi"))</f>
        <v>Belum Deteksi</v>
      </c>
      <c r="AA291" s="143"/>
      <c r="AB291" s="9">
        <f t="shared" si="39"/>
        <v>0</v>
      </c>
    </row>
    <row r="292" spans="1:28" outlineLevel="1" x14ac:dyDescent="0.15">
      <c r="A292" s="8" t="s">
        <v>628</v>
      </c>
      <c r="B292" s="8" t="s">
        <v>47</v>
      </c>
      <c r="C292" s="8" t="s">
        <v>323</v>
      </c>
      <c r="D292" s="8" t="s">
        <v>873</v>
      </c>
      <c r="E292" s="9">
        <v>19.41</v>
      </c>
      <c r="F292" s="8" t="s">
        <v>469</v>
      </c>
      <c r="G292" s="143">
        <f t="array" ref="G292">INDEX('[23]SENSUS MEI'!$G$9:$G$453,MATCH(1,('[23]SENSUS MEI'!$D$9:$D$453=$D292)*('[23]SENSUS MEI'!$D$9:$D$453=$D292),0))</f>
        <v>2493</v>
      </c>
      <c r="H292" s="132">
        <f t="shared" si="40"/>
        <v>46249</v>
      </c>
      <c r="I292" s="140">
        <f t="shared" si="40"/>
        <v>65</v>
      </c>
      <c r="J292" s="9">
        <f t="shared" si="33"/>
        <v>2.6073004412354592</v>
      </c>
      <c r="K292" s="140">
        <f t="shared" si="34"/>
        <v>7</v>
      </c>
      <c r="L292" s="206">
        <f t="shared" si="35"/>
        <v>10.76923076923077</v>
      </c>
      <c r="M292" s="8" t="str">
        <f t="array" ref="M292">IF(L292&gt;5,"Perlu Sensus",IF(AND(L292&gt;=0,I292&gt;0),"Tetap Deteksi","Belum Deteksi"))</f>
        <v>Perlu Sensus</v>
      </c>
      <c r="N292" s="11">
        <v>46249</v>
      </c>
      <c r="O292" s="143">
        <v>65</v>
      </c>
      <c r="P292" s="9">
        <f t="array" ref="P292">IFERROR(O292/G292*100,0)</f>
        <v>2.6073004412354592</v>
      </c>
      <c r="Q292" s="143">
        <v>7</v>
      </c>
      <c r="R292" s="9">
        <f t="shared" si="36"/>
        <v>10.76923076923077</v>
      </c>
      <c r="S292" s="8" t="str">
        <f t="array" ref="S292">IF(R292&gt;5,"Perlu Sensus",IF(AND(R292&gt;=0,O292&gt;0),"Tetap Deteksi","Belum Deteksi"))</f>
        <v>Perlu Sensus</v>
      </c>
      <c r="T292" s="143">
        <v>29</v>
      </c>
      <c r="U292" s="9">
        <f t="shared" si="38"/>
        <v>44.61538461538462</v>
      </c>
      <c r="V292" s="11"/>
      <c r="W292" s="143"/>
      <c r="X292" s="143"/>
      <c r="Y292" s="9">
        <f t="shared" si="37"/>
        <v>0</v>
      </c>
      <c r="Z292" s="8" t="str">
        <f t="array" ref="Z292">IF(Y292&gt;5,"Perlu Sensus",IF(AND(Y292&gt;0,,O292&gt;0),"Tetap Deteksi","Belum Deteksi"))</f>
        <v>Belum Deteksi</v>
      </c>
      <c r="AA292" s="143"/>
      <c r="AB292" s="9">
        <f t="shared" si="39"/>
        <v>0</v>
      </c>
    </row>
    <row r="293" spans="1:28" outlineLevel="1" x14ac:dyDescent="0.15">
      <c r="A293" s="8" t="s">
        <v>628</v>
      </c>
      <c r="B293" s="8" t="s">
        <v>47</v>
      </c>
      <c r="C293" s="8" t="s">
        <v>323</v>
      </c>
      <c r="D293" s="8" t="s">
        <v>874</v>
      </c>
      <c r="E293" s="9">
        <v>14.79</v>
      </c>
      <c r="F293" s="8" t="s">
        <v>469</v>
      </c>
      <c r="G293" s="143">
        <f t="array" ref="G293">INDEX('[23]SENSUS MEI'!$G$9:$G$453,MATCH(1,('[23]SENSUS MEI'!$D$9:$D$453=$D293)*('[23]SENSUS MEI'!$D$9:$D$453=$D293),0))</f>
        <v>2008</v>
      </c>
      <c r="H293" s="132">
        <f t="shared" si="40"/>
        <v>46249</v>
      </c>
      <c r="I293" s="140">
        <f t="shared" si="40"/>
        <v>97</v>
      </c>
      <c r="J293" s="9" t="str">
        <f t="shared" si="33"/>
        <v xml:space="preserve"> </v>
      </c>
      <c r="K293" s="140">
        <f t="shared" si="34"/>
        <v>8</v>
      </c>
      <c r="L293" s="206">
        <f t="shared" si="35"/>
        <v>8.2474226804123703</v>
      </c>
      <c r="M293" s="8" t="str">
        <f t="array" ref="M293">IF(L293&gt;5,"Perlu Sensus",IF(AND(L293&gt;=0,I293&gt;0),"Tetap Deteksi","Belum Deteksi"))</f>
        <v>Perlu Sensus</v>
      </c>
      <c r="N293" s="11">
        <v>46249</v>
      </c>
      <c r="O293" s="143"/>
      <c r="P293" s="9">
        <f t="array" ref="P293">IFERROR(O293/G293*100,0)</f>
        <v>0</v>
      </c>
      <c r="Q293" s="143"/>
      <c r="R293" s="9">
        <f t="shared" si="36"/>
        <v>0</v>
      </c>
      <c r="S293" s="8" t="str">
        <f t="array" ref="S293">IF(R293&gt;5,"Perlu Sensus",IF(AND(R293&gt;=0,O293&gt;0),"Tetap Deteksi","Belum Deteksi"))</f>
        <v>Belum Deteksi</v>
      </c>
      <c r="T293" s="143"/>
      <c r="U293" s="9">
        <f t="shared" si="38"/>
        <v>0</v>
      </c>
      <c r="V293" s="11">
        <v>46249</v>
      </c>
      <c r="W293" s="143">
        <v>97</v>
      </c>
      <c r="X293" s="143">
        <v>8</v>
      </c>
      <c r="Y293" s="9">
        <f t="shared" si="37"/>
        <v>8.2474226804123703</v>
      </c>
      <c r="Z293" s="8" t="str">
        <f t="array" ref="Z293">IF(Y293&gt;5,"Perlu Sensus",IF(AND(Y293&gt;0,,O293&gt;0),"Tetap Deteksi","Belum Deteksi"))</f>
        <v>Perlu Sensus</v>
      </c>
      <c r="AA293" s="143">
        <v>9</v>
      </c>
      <c r="AB293" s="9">
        <f t="shared" si="39"/>
        <v>9.2783505154639183</v>
      </c>
    </row>
    <row r="294" spans="1:28" outlineLevel="1" x14ac:dyDescent="0.15">
      <c r="A294" s="8" t="s">
        <v>628</v>
      </c>
      <c r="B294" s="8" t="s">
        <v>47</v>
      </c>
      <c r="C294" s="8" t="s">
        <v>323</v>
      </c>
      <c r="D294" s="8" t="s">
        <v>875</v>
      </c>
      <c r="E294" s="9">
        <v>12.94</v>
      </c>
      <c r="F294" s="8" t="s">
        <v>469</v>
      </c>
      <c r="G294" s="143">
        <f t="array" ref="G294">INDEX('[23]SENSUS MEI'!$G$9:$G$453,MATCH(1,('[23]SENSUS MEI'!$D$9:$D$453=$D294)*('[23]SENSUS MEI'!$D$9:$D$453=$D294),0))</f>
        <v>1742</v>
      </c>
      <c r="H294" s="132">
        <f t="shared" si="40"/>
        <v>46238</v>
      </c>
      <c r="I294" s="140">
        <f t="shared" si="40"/>
        <v>139</v>
      </c>
      <c r="J294" s="9">
        <f t="shared" si="33"/>
        <v>7.979334098737084</v>
      </c>
      <c r="K294" s="140">
        <f t="shared" si="34"/>
        <v>22</v>
      </c>
      <c r="L294" s="206">
        <f t="shared" si="35"/>
        <v>15.827338129496402</v>
      </c>
      <c r="M294" s="8" t="str">
        <f t="array" ref="M294">IF(L294&gt;5,"Perlu Sensus",IF(AND(L294&gt;=0,I294&gt;0),"Tetap Deteksi","Belum Deteksi"))</f>
        <v>Perlu Sensus</v>
      </c>
      <c r="N294" s="11">
        <v>46238</v>
      </c>
      <c r="O294" s="143">
        <v>139</v>
      </c>
      <c r="P294" s="9">
        <f t="array" ref="P294">IFERROR(O294/G294*100,0)</f>
        <v>7.979334098737084</v>
      </c>
      <c r="Q294" s="143">
        <v>22</v>
      </c>
      <c r="R294" s="9">
        <f t="shared" si="36"/>
        <v>15.827338129496402</v>
      </c>
      <c r="S294" s="8" t="str">
        <f t="array" ref="S294">IF(R294&gt;5,"Perlu Sensus",IF(AND(R294&gt;=0,O294&gt;0),"Tetap Deteksi","Belum Deteksi"))</f>
        <v>Perlu Sensus</v>
      </c>
      <c r="T294" s="143">
        <v>78</v>
      </c>
      <c r="U294" s="9">
        <f t="shared" si="38"/>
        <v>56.115107913669057</v>
      </c>
      <c r="V294" s="11"/>
      <c r="W294" s="143"/>
      <c r="X294" s="143"/>
      <c r="Y294" s="9">
        <f t="shared" si="37"/>
        <v>0</v>
      </c>
      <c r="Z294" s="8" t="str">
        <f t="array" ref="Z294">IF(Y294&gt;5,"Perlu Sensus",IF(AND(Y294&gt;0,,O294&gt;0),"Tetap Deteksi","Belum Deteksi"))</f>
        <v>Belum Deteksi</v>
      </c>
      <c r="AA294" s="143"/>
      <c r="AB294" s="9">
        <f t="shared" si="39"/>
        <v>0</v>
      </c>
    </row>
    <row r="295" spans="1:28" outlineLevel="1" x14ac:dyDescent="0.15">
      <c r="A295" s="8" t="s">
        <v>628</v>
      </c>
      <c r="B295" s="8" t="s">
        <v>47</v>
      </c>
      <c r="C295" s="8" t="s">
        <v>323</v>
      </c>
      <c r="D295" s="8" t="s">
        <v>103</v>
      </c>
      <c r="E295" s="9">
        <v>48.66</v>
      </c>
      <c r="F295" s="8" t="s">
        <v>469</v>
      </c>
      <c r="G295" s="143">
        <f t="array" ref="G295">INDEX('[23]SENSUS MEI'!$G$9:$G$453,MATCH(1,('[23]SENSUS MEI'!$D$9:$D$453=$D295)*('[23]SENSUS MEI'!$D$9:$D$453=$D295),0))</f>
        <v>6934</v>
      </c>
      <c r="H295" s="132">
        <f t="shared" si="40"/>
        <v>46239</v>
      </c>
      <c r="I295" s="140">
        <f t="shared" si="40"/>
        <v>142</v>
      </c>
      <c r="J295" s="9">
        <f t="shared" si="33"/>
        <v>2.0478800115373521</v>
      </c>
      <c r="K295" s="140">
        <f t="shared" si="34"/>
        <v>28</v>
      </c>
      <c r="L295" s="206">
        <f t="shared" si="35"/>
        <v>19.718309859154928</v>
      </c>
      <c r="M295" s="8" t="str">
        <f t="array" ref="M295">IF(L295&gt;5,"Perlu Sensus",IF(AND(L295&gt;=0,I295&gt;0),"Tetap Deteksi","Belum Deteksi"))</f>
        <v>Perlu Sensus</v>
      </c>
      <c r="N295" s="11">
        <v>46239</v>
      </c>
      <c r="O295" s="143">
        <v>142</v>
      </c>
      <c r="P295" s="9">
        <f t="array" ref="P295">IFERROR(O295/G295*100,0)</f>
        <v>2.0478800115373521</v>
      </c>
      <c r="Q295" s="143">
        <v>28</v>
      </c>
      <c r="R295" s="9">
        <f t="shared" si="36"/>
        <v>19.718309859154928</v>
      </c>
      <c r="S295" s="8" t="str">
        <f t="array" ref="S295">IF(R295&gt;5,"Perlu Sensus",IF(AND(R295&gt;=0,O295&gt;0),"Tetap Deteksi","Belum Deteksi"))</f>
        <v>Perlu Sensus</v>
      </c>
      <c r="T295" s="143">
        <v>97</v>
      </c>
      <c r="U295" s="9">
        <f t="shared" si="38"/>
        <v>68.309859154929569</v>
      </c>
      <c r="V295" s="11">
        <v>46239</v>
      </c>
      <c r="W295" s="143">
        <v>53</v>
      </c>
      <c r="X295" s="143">
        <v>5</v>
      </c>
      <c r="Y295" s="9">
        <f t="shared" si="37"/>
        <v>9.433962264150944</v>
      </c>
      <c r="Z295" s="8" t="str">
        <f t="array" ref="Z295">IF(Y295&gt;5,"Perlu Sensus",IF(AND(Y295&gt;0,,O295&gt;0),"Tetap Deteksi","Belum Deteksi"))</f>
        <v>Perlu Sensus</v>
      </c>
      <c r="AA295" s="143">
        <v>8</v>
      </c>
      <c r="AB295" s="9">
        <f t="shared" si="39"/>
        <v>15.09433962264151</v>
      </c>
    </row>
    <row r="296" spans="1:28" outlineLevel="1" x14ac:dyDescent="0.15">
      <c r="A296" s="8" t="s">
        <v>628</v>
      </c>
      <c r="B296" s="8" t="s">
        <v>47</v>
      </c>
      <c r="C296" s="8" t="s">
        <v>323</v>
      </c>
      <c r="D296" s="8" t="s">
        <v>104</v>
      </c>
      <c r="E296" s="9">
        <v>39.299999999999997</v>
      </c>
      <c r="F296" s="8" t="s">
        <v>469</v>
      </c>
      <c r="G296" s="143">
        <f t="array" ref="G296">INDEX('[23]SENSUS MEI'!$G$9:$G$453,MATCH(1,('[23]SENSUS MEI'!$D$9:$D$453=$D296)*('[23]SENSUS MEI'!$D$9:$D$453=$D296),0))</f>
        <v>5822</v>
      </c>
      <c r="H296" s="132">
        <f t="shared" si="40"/>
        <v>46240</v>
      </c>
      <c r="I296" s="140">
        <f t="shared" si="40"/>
        <v>185</v>
      </c>
      <c r="J296" s="9">
        <f t="shared" si="33"/>
        <v>3.1776021985571967</v>
      </c>
      <c r="K296" s="140">
        <f t="shared" si="34"/>
        <v>36</v>
      </c>
      <c r="L296" s="206">
        <f t="shared" si="35"/>
        <v>19.45945945945946</v>
      </c>
      <c r="M296" s="8" t="str">
        <f t="array" ref="M296">IF(L296&gt;5,"Perlu Sensus",IF(AND(L296&gt;=0,I296&gt;0),"Tetap Deteksi","Belum Deteksi"))</f>
        <v>Perlu Sensus</v>
      </c>
      <c r="N296" s="11">
        <v>46240</v>
      </c>
      <c r="O296" s="143">
        <v>185</v>
      </c>
      <c r="P296" s="9">
        <f t="array" ref="P296">IFERROR(O296/G296*100,0)</f>
        <v>3.1776021985571967</v>
      </c>
      <c r="Q296" s="143">
        <v>36</v>
      </c>
      <c r="R296" s="9">
        <f t="shared" si="36"/>
        <v>19.45945945945946</v>
      </c>
      <c r="S296" s="8" t="str">
        <f t="array" ref="S296">IF(R296&gt;5,"Perlu Sensus",IF(AND(R296&gt;=0,O296&gt;0),"Tetap Deteksi","Belum Deteksi"))</f>
        <v>Perlu Sensus</v>
      </c>
      <c r="T296" s="143">
        <v>112</v>
      </c>
      <c r="U296" s="9">
        <f t="shared" si="38"/>
        <v>60.540540540540547</v>
      </c>
      <c r="V296" s="11"/>
      <c r="W296" s="143"/>
      <c r="X296" s="143"/>
      <c r="Y296" s="9">
        <f t="shared" si="37"/>
        <v>0</v>
      </c>
      <c r="Z296" s="8" t="str">
        <f t="array" ref="Z296">IF(Y296&gt;5,"Perlu Sensus",IF(AND(Y296&gt;0,,O296&gt;0),"Tetap Deteksi","Belum Deteksi"))</f>
        <v>Belum Deteksi</v>
      </c>
      <c r="AA296" s="143"/>
      <c r="AB296" s="9">
        <f t="shared" si="39"/>
        <v>0</v>
      </c>
    </row>
    <row r="297" spans="1:28" outlineLevel="1" x14ac:dyDescent="0.15">
      <c r="A297" s="8" t="s">
        <v>628</v>
      </c>
      <c r="B297" s="8" t="s">
        <v>47</v>
      </c>
      <c r="C297" s="8" t="s">
        <v>323</v>
      </c>
      <c r="D297" s="8" t="s">
        <v>105</v>
      </c>
      <c r="E297" s="9">
        <v>40.659999999999997</v>
      </c>
      <c r="F297" s="8" t="s">
        <v>469</v>
      </c>
      <c r="G297" s="143">
        <f t="array" ref="G297">INDEX('[23]SENSUS MEI'!$G$9:$G$453,MATCH(1,('[23]SENSUS MEI'!$D$9:$D$453=$D297)*('[23]SENSUS MEI'!$D$9:$D$453=$D297),0))</f>
        <v>5290</v>
      </c>
      <c r="H297" s="132">
        <f t="shared" si="40"/>
        <v>46240</v>
      </c>
      <c r="I297" s="140">
        <f t="shared" si="40"/>
        <v>56</v>
      </c>
      <c r="J297" s="9">
        <f t="shared" si="33"/>
        <v>1.0586011342155011</v>
      </c>
      <c r="K297" s="140">
        <f t="shared" si="34"/>
        <v>11</v>
      </c>
      <c r="L297" s="206">
        <f t="shared" si="35"/>
        <v>19.642857142857142</v>
      </c>
      <c r="M297" s="8" t="str">
        <f t="array" ref="M297">IF(L297&gt;5,"Perlu Sensus",IF(AND(L297&gt;=0,I297&gt;0),"Tetap Deteksi","Belum Deteksi"))</f>
        <v>Perlu Sensus</v>
      </c>
      <c r="N297" s="11">
        <v>46240</v>
      </c>
      <c r="O297" s="143">
        <v>56</v>
      </c>
      <c r="P297" s="9">
        <f t="array" ref="P297">IFERROR(O297/G297*100,0)</f>
        <v>1.0586011342155011</v>
      </c>
      <c r="Q297" s="143">
        <v>11</v>
      </c>
      <c r="R297" s="9">
        <f t="shared" si="36"/>
        <v>19.642857142857142</v>
      </c>
      <c r="S297" s="8" t="str">
        <f t="array" ref="S297">IF(R297&gt;5,"Perlu Sensus",IF(AND(R297&gt;=0,O297&gt;0),"Tetap Deteksi","Belum Deteksi"))</f>
        <v>Perlu Sensus</v>
      </c>
      <c r="T297" s="143">
        <v>42</v>
      </c>
      <c r="U297" s="9">
        <f t="shared" si="38"/>
        <v>75</v>
      </c>
      <c r="V297" s="11"/>
      <c r="W297" s="143"/>
      <c r="X297" s="143"/>
      <c r="Y297" s="9">
        <f t="shared" si="37"/>
        <v>0</v>
      </c>
      <c r="Z297" s="8" t="str">
        <f t="array" ref="Z297">IF(Y297&gt;5,"Perlu Sensus",IF(AND(Y297&gt;0,,O297&gt;0),"Tetap Deteksi","Belum Deteksi"))</f>
        <v>Belum Deteksi</v>
      </c>
      <c r="AA297" s="143"/>
      <c r="AB297" s="9">
        <f t="shared" si="39"/>
        <v>0</v>
      </c>
    </row>
    <row r="298" spans="1:28" outlineLevel="1" x14ac:dyDescent="0.15">
      <c r="A298" s="8" t="s">
        <v>628</v>
      </c>
      <c r="B298" s="8" t="s">
        <v>47</v>
      </c>
      <c r="C298" s="8" t="s">
        <v>323</v>
      </c>
      <c r="D298" s="8" t="s">
        <v>106</v>
      </c>
      <c r="E298" s="9">
        <v>34.909999999999997</v>
      </c>
      <c r="F298" s="8" t="s">
        <v>469</v>
      </c>
      <c r="G298" s="143">
        <f t="array" ref="G298">INDEX('[23]SENSUS MEI'!$G$9:$G$453,MATCH(1,('[23]SENSUS MEI'!$D$9:$D$453=$D298)*('[23]SENSUS MEI'!$D$9:$D$453=$D298),0))</f>
        <v>4040</v>
      </c>
      <c r="H298" s="132">
        <f t="shared" si="40"/>
        <v>46240</v>
      </c>
      <c r="I298" s="140">
        <f t="shared" si="40"/>
        <v>58</v>
      </c>
      <c r="J298" s="9">
        <f t="shared" si="33"/>
        <v>1.4356435643564358</v>
      </c>
      <c r="K298" s="140">
        <f t="shared" si="34"/>
        <v>9</v>
      </c>
      <c r="L298" s="206">
        <f t="shared" si="35"/>
        <v>15.517241379310345</v>
      </c>
      <c r="M298" s="8" t="str">
        <f t="array" ref="M298">IF(L298&gt;5,"Perlu Sensus",IF(AND(L298&gt;=0,I298&gt;0),"Tetap Deteksi","Belum Deteksi"))</f>
        <v>Perlu Sensus</v>
      </c>
      <c r="N298" s="11">
        <v>46240</v>
      </c>
      <c r="O298" s="143">
        <v>58</v>
      </c>
      <c r="P298" s="9">
        <f t="array" ref="P298">IFERROR(O298/G298*100,0)</f>
        <v>1.4356435643564358</v>
      </c>
      <c r="Q298" s="143">
        <v>9</v>
      </c>
      <c r="R298" s="9">
        <f t="shared" si="36"/>
        <v>15.517241379310345</v>
      </c>
      <c r="S298" s="8" t="str">
        <f t="array" ref="S298">IF(R298&gt;5,"Perlu Sensus",IF(AND(R298&gt;=0,O298&gt;0),"Tetap Deteksi","Belum Deteksi"))</f>
        <v>Perlu Sensus</v>
      </c>
      <c r="T298" s="143">
        <v>45</v>
      </c>
      <c r="U298" s="9">
        <f t="shared" si="38"/>
        <v>77.58620689655173</v>
      </c>
      <c r="V298" s="11"/>
      <c r="W298" s="143"/>
      <c r="X298" s="143"/>
      <c r="Y298" s="9">
        <f t="shared" si="37"/>
        <v>0</v>
      </c>
      <c r="Z298" s="8" t="str">
        <f t="array" ref="Z298">IF(Y298&gt;5,"Perlu Sensus",IF(AND(Y298&gt;0,,O298&gt;0),"Tetap Deteksi","Belum Deteksi"))</f>
        <v>Belum Deteksi</v>
      </c>
      <c r="AA298" s="143"/>
      <c r="AB298" s="9">
        <f t="shared" si="39"/>
        <v>0</v>
      </c>
    </row>
    <row r="299" spans="1:28" hidden="1" outlineLevel="1" x14ac:dyDescent="0.15">
      <c r="A299" s="8" t="s">
        <v>628</v>
      </c>
      <c r="B299" s="8" t="s">
        <v>47</v>
      </c>
      <c r="C299" s="8" t="s">
        <v>323</v>
      </c>
      <c r="D299" s="8" t="s">
        <v>335</v>
      </c>
      <c r="E299" s="9">
        <v>24.36</v>
      </c>
      <c r="F299" s="8" t="s">
        <v>469</v>
      </c>
      <c r="G299" s="143">
        <f t="array" ref="G299">INDEX('[23]SENSUS MEI'!$G$9:$G$453,MATCH(1,('[23]SENSUS MEI'!$D$9:$D$453=$D299)*('[23]SENSUS MEI'!$D$9:$D$453=$D299),0))</f>
        <v>2960</v>
      </c>
      <c r="H299" s="132">
        <f t="shared" si="40"/>
        <v>0</v>
      </c>
      <c r="I299" s="140">
        <f t="shared" si="40"/>
        <v>0</v>
      </c>
      <c r="J299" s="9" t="str">
        <f t="shared" si="33"/>
        <v xml:space="preserve"> </v>
      </c>
      <c r="K299" s="140">
        <f t="shared" si="34"/>
        <v>0</v>
      </c>
      <c r="L299" s="206">
        <f t="shared" si="35"/>
        <v>0</v>
      </c>
      <c r="M299" s="8" t="str">
        <f t="array" ref="M299">IF(L299&gt;5,"Perlu Sensus",IF(AND(L299&gt;=0,I299&gt;0),"Tetap Deteksi","Belum Deteksi"))</f>
        <v>Belum Deteksi</v>
      </c>
      <c r="N299" s="11"/>
      <c r="O299" s="143"/>
      <c r="P299" s="9">
        <f t="array" ref="P299">IFERROR(O299/G299*100,0)</f>
        <v>0</v>
      </c>
      <c r="Q299" s="143"/>
      <c r="R299" s="9">
        <f t="shared" si="36"/>
        <v>0</v>
      </c>
      <c r="S299" s="8" t="str">
        <f t="array" ref="S299">IF(R299&gt;5,"Perlu Sensus",IF(AND(R299&gt;=0,O299&gt;0),"Tetap Deteksi","Belum Deteksi"))</f>
        <v>Belum Deteksi</v>
      </c>
      <c r="T299" s="143"/>
      <c r="U299" s="9">
        <f t="shared" si="38"/>
        <v>0</v>
      </c>
      <c r="V299" s="11"/>
      <c r="W299" s="143"/>
      <c r="X299" s="143"/>
      <c r="Y299" s="9">
        <f t="shared" si="37"/>
        <v>0</v>
      </c>
      <c r="Z299" s="8" t="str">
        <f t="array" ref="Z299">IF(Y299&gt;5,"Perlu Sensus",IF(AND(Y299&gt;0,,O299&gt;0),"Tetap Deteksi","Belum Deteksi"))</f>
        <v>Belum Deteksi</v>
      </c>
      <c r="AA299" s="143"/>
      <c r="AB299" s="9">
        <f t="shared" si="39"/>
        <v>0</v>
      </c>
    </row>
    <row r="300" spans="1:28" hidden="1" outlineLevel="1" x14ac:dyDescent="0.15">
      <c r="A300" s="8" t="s">
        <v>628</v>
      </c>
      <c r="B300" s="8" t="s">
        <v>47</v>
      </c>
      <c r="C300" s="8" t="s">
        <v>323</v>
      </c>
      <c r="D300" s="8" t="s">
        <v>336</v>
      </c>
      <c r="E300" s="9">
        <v>3.76</v>
      </c>
      <c r="F300" s="8" t="s">
        <v>469</v>
      </c>
      <c r="G300" s="143">
        <f t="array" ref="G300">INDEX('[23]SENSUS MEI'!$G$9:$G$453,MATCH(1,('[23]SENSUS MEI'!$D$9:$D$453=$D300)*('[23]SENSUS MEI'!$D$9:$D$453=$D300),0))</f>
        <v>685</v>
      </c>
      <c r="H300" s="132">
        <f t="shared" ref="H300:H363" si="41">IF(N300&gt;0,N300,V300)</f>
        <v>0</v>
      </c>
      <c r="I300" s="140">
        <f t="shared" ref="I300:I363" si="42">IF(O300&gt;0,O300,W300)</f>
        <v>0</v>
      </c>
      <c r="J300" s="9" t="str">
        <f t="shared" ref="J300:J363" si="43">IF(P300&gt;0,P300," ")</f>
        <v xml:space="preserve"> </v>
      </c>
      <c r="K300" s="140">
        <f t="shared" ref="K300:K363" si="44">IF(Q300&gt;0,Q300,X300)</f>
        <v>0</v>
      </c>
      <c r="L300" s="206">
        <f t="shared" ref="L300:L363" si="45">IFERROR(K300/I300*100,0)</f>
        <v>0</v>
      </c>
      <c r="M300" s="8" t="str">
        <f t="array" ref="M300">IF(L300&gt;5,"Perlu Sensus",IF(AND(L300&gt;=0,I300&gt;0),"Tetap Deteksi","Belum Deteksi"))</f>
        <v>Belum Deteksi</v>
      </c>
      <c r="N300" s="11"/>
      <c r="O300" s="143"/>
      <c r="P300" s="9">
        <f t="array" ref="P300">IFERROR(O300/G300*100,0)</f>
        <v>0</v>
      </c>
      <c r="Q300" s="143"/>
      <c r="R300" s="9">
        <f t="shared" si="36"/>
        <v>0</v>
      </c>
      <c r="S300" s="8" t="str">
        <f t="array" ref="S300">IF(R300&gt;5,"Perlu Sensus",IF(AND(R300&gt;=0,O300&gt;0),"Tetap Deteksi","Belum Deteksi"))</f>
        <v>Belum Deteksi</v>
      </c>
      <c r="T300" s="143"/>
      <c r="U300" s="9">
        <f t="shared" si="38"/>
        <v>0</v>
      </c>
      <c r="V300" s="11"/>
      <c r="W300" s="143"/>
      <c r="X300" s="143"/>
      <c r="Y300" s="9">
        <f t="shared" si="37"/>
        <v>0</v>
      </c>
      <c r="Z300" s="8" t="str">
        <f t="array" ref="Z300">IF(Y300&gt;5,"Perlu Sensus",IF(AND(Y300&gt;0,,O300&gt;0),"Tetap Deteksi","Belum Deteksi"))</f>
        <v>Belum Deteksi</v>
      </c>
      <c r="AA300" s="143"/>
      <c r="AB300" s="9">
        <f t="shared" si="39"/>
        <v>0</v>
      </c>
    </row>
    <row r="301" spans="1:28" hidden="1" outlineLevel="1" x14ac:dyDescent="0.15">
      <c r="A301" s="8" t="s">
        <v>628</v>
      </c>
      <c r="B301" s="8" t="s">
        <v>47</v>
      </c>
      <c r="C301" s="8" t="s">
        <v>323</v>
      </c>
      <c r="D301" s="8" t="s">
        <v>342</v>
      </c>
      <c r="E301" s="9">
        <v>17.059999999999999</v>
      </c>
      <c r="F301" s="8" t="s">
        <v>469</v>
      </c>
      <c r="G301" s="143">
        <f t="array" ref="G301">INDEX('[23]SENSUS MEI'!$G$9:$G$453,MATCH(1,('[23]SENSUS MEI'!$D$9:$D$453=$D301)*('[23]SENSUS MEI'!$D$9:$D$453=$D301),0))</f>
        <v>2368</v>
      </c>
      <c r="H301" s="132">
        <f t="shared" si="41"/>
        <v>0</v>
      </c>
      <c r="I301" s="140">
        <f t="shared" si="42"/>
        <v>0</v>
      </c>
      <c r="J301" s="9" t="str">
        <f t="shared" si="43"/>
        <v xml:space="preserve"> </v>
      </c>
      <c r="K301" s="140">
        <f t="shared" si="44"/>
        <v>0</v>
      </c>
      <c r="L301" s="206">
        <f t="shared" si="45"/>
        <v>0</v>
      </c>
      <c r="M301" s="8" t="str">
        <f t="array" ref="M301">IF(L301&gt;5,"Perlu Sensus",IF(AND(L301&gt;=0,I301&gt;0),"Tetap Deteksi","Belum Deteksi"))</f>
        <v>Belum Deteksi</v>
      </c>
      <c r="N301" s="11"/>
      <c r="O301" s="143"/>
      <c r="P301" s="9">
        <f t="array" ref="P301">IFERROR(O301/G301*100,0)</f>
        <v>0</v>
      </c>
      <c r="Q301" s="143"/>
      <c r="R301" s="9">
        <f t="shared" si="36"/>
        <v>0</v>
      </c>
      <c r="S301" s="8" t="str">
        <f t="array" ref="S301">IF(R301&gt;5,"Perlu Sensus",IF(AND(R301&gt;=0,O301&gt;0),"Tetap Deteksi","Belum Deteksi"))</f>
        <v>Belum Deteksi</v>
      </c>
      <c r="T301" s="143"/>
      <c r="U301" s="9">
        <f t="shared" si="38"/>
        <v>0</v>
      </c>
      <c r="V301" s="11"/>
      <c r="W301" s="143"/>
      <c r="X301" s="143"/>
      <c r="Y301" s="9">
        <f t="shared" si="37"/>
        <v>0</v>
      </c>
      <c r="Z301" s="8" t="str">
        <f t="array" ref="Z301">IF(Y301&gt;5,"Perlu Sensus",IF(AND(Y301&gt;0,,O301&gt;0),"Tetap Deteksi","Belum Deteksi"))</f>
        <v>Belum Deteksi</v>
      </c>
      <c r="AA301" s="143"/>
      <c r="AB301" s="9">
        <f t="shared" si="39"/>
        <v>0</v>
      </c>
    </row>
    <row r="302" spans="1:28" hidden="1" outlineLevel="1" x14ac:dyDescent="0.15">
      <c r="A302" s="8" t="s">
        <v>628</v>
      </c>
      <c r="B302" s="8" t="s">
        <v>47</v>
      </c>
      <c r="C302" s="8" t="s">
        <v>323</v>
      </c>
      <c r="D302" s="8" t="s">
        <v>343</v>
      </c>
      <c r="E302" s="9">
        <v>21.24</v>
      </c>
      <c r="F302" s="8" t="s">
        <v>469</v>
      </c>
      <c r="G302" s="143">
        <f t="array" ref="G302">INDEX('[23]SENSUS MEI'!$G$9:$G$453,MATCH(1,('[23]SENSUS MEI'!$D$9:$D$453=$D302)*('[23]SENSUS MEI'!$D$9:$D$453=$D302),0))</f>
        <v>2401</v>
      </c>
      <c r="H302" s="132">
        <f t="shared" si="41"/>
        <v>0</v>
      </c>
      <c r="I302" s="140">
        <f t="shared" si="42"/>
        <v>0</v>
      </c>
      <c r="J302" s="9" t="str">
        <f t="shared" si="43"/>
        <v xml:space="preserve"> </v>
      </c>
      <c r="K302" s="140">
        <f t="shared" si="44"/>
        <v>0</v>
      </c>
      <c r="L302" s="206">
        <f t="shared" si="45"/>
        <v>0</v>
      </c>
      <c r="M302" s="8" t="str">
        <f t="array" ref="M302">IF(L302&gt;5,"Perlu Sensus",IF(AND(L302&gt;=0,I302&gt;0),"Tetap Deteksi","Belum Deteksi"))</f>
        <v>Belum Deteksi</v>
      </c>
      <c r="N302" s="11"/>
      <c r="O302" s="143"/>
      <c r="P302" s="9">
        <f t="array" ref="P302">IFERROR(O302/G302*100,0)</f>
        <v>0</v>
      </c>
      <c r="Q302" s="143"/>
      <c r="R302" s="9">
        <f t="shared" si="36"/>
        <v>0</v>
      </c>
      <c r="S302" s="8" t="str">
        <f t="array" ref="S302">IF(R302&gt;5,"Perlu Sensus",IF(AND(R302&gt;=0,O302&gt;0),"Tetap Deteksi","Belum Deteksi"))</f>
        <v>Belum Deteksi</v>
      </c>
      <c r="T302" s="143"/>
      <c r="U302" s="9">
        <f t="shared" si="38"/>
        <v>0</v>
      </c>
      <c r="V302" s="11"/>
      <c r="W302" s="143"/>
      <c r="X302" s="143"/>
      <c r="Y302" s="9">
        <f t="shared" si="37"/>
        <v>0</v>
      </c>
      <c r="Z302" s="8" t="str">
        <f t="array" ref="Z302">IF(Y302&gt;5,"Perlu Sensus",IF(AND(Y302&gt;0,,O302&gt;0),"Tetap Deteksi","Belum Deteksi"))</f>
        <v>Belum Deteksi</v>
      </c>
      <c r="AA302" s="143"/>
      <c r="AB302" s="9">
        <f t="shared" si="39"/>
        <v>0</v>
      </c>
    </row>
    <row r="303" spans="1:28" hidden="1" x14ac:dyDescent="0.15">
      <c r="A303" s="8" t="s">
        <v>628</v>
      </c>
      <c r="B303" s="8" t="s">
        <v>47</v>
      </c>
      <c r="C303" s="8" t="s">
        <v>323</v>
      </c>
      <c r="D303" s="8" t="s">
        <v>344</v>
      </c>
      <c r="E303" s="9">
        <v>25.51</v>
      </c>
      <c r="F303" s="8" t="s">
        <v>469</v>
      </c>
      <c r="G303" s="143">
        <f t="array" ref="G303">INDEX('[23]SENSUS MEI'!$G$9:$G$453,MATCH(1,('[23]SENSUS MEI'!$D$9:$D$453=$D303)*('[23]SENSUS MEI'!$D$9:$D$453=$D303),0))</f>
        <v>3180</v>
      </c>
      <c r="H303" s="132">
        <f t="shared" si="41"/>
        <v>0</v>
      </c>
      <c r="I303" s="140">
        <f t="shared" si="42"/>
        <v>0</v>
      </c>
      <c r="J303" s="9" t="str">
        <f t="shared" si="43"/>
        <v xml:space="preserve"> </v>
      </c>
      <c r="K303" s="140">
        <f t="shared" si="44"/>
        <v>0</v>
      </c>
      <c r="L303" s="206">
        <f t="shared" si="45"/>
        <v>0</v>
      </c>
      <c r="M303" s="8" t="str">
        <f t="array" ref="M303">IF(L303&gt;5,"Perlu Sensus",IF(AND(L303&gt;=0,I303&gt;0),"Tetap Deteksi","Belum Deteksi"))</f>
        <v>Belum Deteksi</v>
      </c>
      <c r="N303" s="11"/>
      <c r="O303" s="143"/>
      <c r="P303" s="9">
        <f t="array" ref="P303">IFERROR(O303/G303*100,0)</f>
        <v>0</v>
      </c>
      <c r="Q303" s="143"/>
      <c r="R303" s="9">
        <f t="shared" si="36"/>
        <v>0</v>
      </c>
      <c r="S303" s="8" t="str">
        <f t="array" ref="S303">IF(R303&gt;5,"Perlu Sensus",IF(AND(R303&gt;=0,O303&gt;0),"Tetap Deteksi","Belum Deteksi"))</f>
        <v>Belum Deteksi</v>
      </c>
      <c r="T303" s="143"/>
      <c r="U303" s="9">
        <f t="shared" si="38"/>
        <v>0</v>
      </c>
      <c r="V303" s="11"/>
      <c r="W303" s="143"/>
      <c r="X303" s="143"/>
      <c r="Y303" s="9">
        <f t="shared" si="37"/>
        <v>0</v>
      </c>
      <c r="Z303" s="8" t="str">
        <f t="array" ref="Z303">IF(Y303&gt;5,"Perlu Sensus",IF(AND(Y303&gt;0,,O303&gt;0),"Tetap Deteksi","Belum Deteksi"))</f>
        <v>Belum Deteksi</v>
      </c>
      <c r="AA303" s="143"/>
      <c r="AB303" s="9">
        <f t="shared" si="39"/>
        <v>0</v>
      </c>
    </row>
    <row r="304" spans="1:28" hidden="1" x14ac:dyDescent="0.15">
      <c r="A304" s="8" t="s">
        <v>628</v>
      </c>
      <c r="B304" s="8" t="s">
        <v>47</v>
      </c>
      <c r="C304" s="8" t="s">
        <v>323</v>
      </c>
      <c r="D304" s="8" t="s">
        <v>876</v>
      </c>
      <c r="E304" s="9">
        <v>39.17</v>
      </c>
      <c r="F304" s="8" t="s">
        <v>469</v>
      </c>
      <c r="G304" s="143">
        <f t="array" ref="G304">INDEX('[23]SENSUS MEI'!$G$9:$G$453,MATCH(1,('[23]SENSUS MEI'!$D$9:$D$453=$D304)*('[23]SENSUS MEI'!$D$9:$D$453=$D304),0))</f>
        <v>5413</v>
      </c>
      <c r="H304" s="132">
        <f t="shared" si="41"/>
        <v>0</v>
      </c>
      <c r="I304" s="140">
        <f t="shared" si="42"/>
        <v>0</v>
      </c>
      <c r="J304" s="9" t="str">
        <f t="shared" si="43"/>
        <v xml:space="preserve"> </v>
      </c>
      <c r="K304" s="140">
        <f t="shared" si="44"/>
        <v>0</v>
      </c>
      <c r="L304" s="206">
        <f t="shared" si="45"/>
        <v>0</v>
      </c>
      <c r="M304" s="8" t="str">
        <f t="array" ref="M304">IF(L304&gt;5,"Perlu Sensus",IF(AND(L304&gt;=0,I304&gt;0),"Tetap Deteksi","Belum Deteksi"))</f>
        <v>Belum Deteksi</v>
      </c>
      <c r="N304" s="11"/>
      <c r="O304" s="143"/>
      <c r="P304" s="9">
        <f t="array" ref="P304">IFERROR(O304/G304*100,0)</f>
        <v>0</v>
      </c>
      <c r="Q304" s="143"/>
      <c r="R304" s="9">
        <f t="shared" si="36"/>
        <v>0</v>
      </c>
      <c r="S304" s="8" t="str">
        <f t="array" ref="S304">IF(R304&gt;5,"Perlu Sensus",IF(AND(R304&gt;=0,O304&gt;0),"Tetap Deteksi","Belum Deteksi"))</f>
        <v>Belum Deteksi</v>
      </c>
      <c r="T304" s="143"/>
      <c r="U304" s="9">
        <f t="shared" si="38"/>
        <v>0</v>
      </c>
      <c r="V304" s="11"/>
      <c r="W304" s="143"/>
      <c r="X304" s="143"/>
      <c r="Y304" s="9">
        <f t="shared" si="37"/>
        <v>0</v>
      </c>
      <c r="Z304" s="8" t="str">
        <f t="array" ref="Z304">IF(Y304&gt;5,"Perlu Sensus",IF(AND(Y304&gt;0,,O304&gt;0),"Tetap Deteksi","Belum Deteksi"))</f>
        <v>Belum Deteksi</v>
      </c>
      <c r="AA304" s="143"/>
      <c r="AB304" s="9">
        <f t="shared" si="39"/>
        <v>0</v>
      </c>
    </row>
    <row r="305" spans="1:28" hidden="1" x14ac:dyDescent="0.15">
      <c r="A305" s="8" t="s">
        <v>628</v>
      </c>
      <c r="B305" s="8" t="s">
        <v>47</v>
      </c>
      <c r="C305" s="8" t="s">
        <v>323</v>
      </c>
      <c r="D305" s="8" t="s">
        <v>877</v>
      </c>
      <c r="E305" s="9">
        <v>46.84</v>
      </c>
      <c r="F305" s="8" t="s">
        <v>469</v>
      </c>
      <c r="G305" s="143">
        <f t="array" ref="G305">INDEX('[23]SENSUS MEI'!$G$9:$G$453,MATCH(1,('[23]SENSUS MEI'!$D$9:$D$453=$D305)*('[23]SENSUS MEI'!$D$9:$D$453=$D305),0))</f>
        <v>5813</v>
      </c>
      <c r="H305" s="132">
        <f t="shared" si="41"/>
        <v>0</v>
      </c>
      <c r="I305" s="140">
        <f t="shared" si="42"/>
        <v>0</v>
      </c>
      <c r="J305" s="9" t="str">
        <f t="shared" si="43"/>
        <v xml:space="preserve"> </v>
      </c>
      <c r="K305" s="140">
        <f t="shared" si="44"/>
        <v>0</v>
      </c>
      <c r="L305" s="206">
        <f t="shared" si="45"/>
        <v>0</v>
      </c>
      <c r="M305" s="8" t="str">
        <f t="array" ref="M305">IF(L305&gt;5,"Perlu Sensus",IF(AND(L305&gt;=0,I305&gt;0),"Tetap Deteksi","Belum Deteksi"))</f>
        <v>Belum Deteksi</v>
      </c>
      <c r="N305" s="11"/>
      <c r="O305" s="143"/>
      <c r="P305" s="9">
        <f t="array" ref="P305">IFERROR(O305/G305*100,0)</f>
        <v>0</v>
      </c>
      <c r="Q305" s="143"/>
      <c r="R305" s="9">
        <f t="shared" si="36"/>
        <v>0</v>
      </c>
      <c r="S305" s="8" t="str">
        <f t="array" ref="S305">IF(R305&gt;5,"Perlu Sensus",IF(AND(R305&gt;=0,O305&gt;0),"Tetap Deteksi","Belum Deteksi"))</f>
        <v>Belum Deteksi</v>
      </c>
      <c r="T305" s="143"/>
      <c r="U305" s="9">
        <f t="shared" si="38"/>
        <v>0</v>
      </c>
      <c r="V305" s="11"/>
      <c r="W305" s="143"/>
      <c r="X305" s="143"/>
      <c r="Y305" s="9">
        <f t="shared" si="37"/>
        <v>0</v>
      </c>
      <c r="Z305" s="8" t="str">
        <f t="array" ref="Z305">IF(Y305&gt;5,"Perlu Sensus",IF(AND(Y305&gt;0,,O305&gt;0),"Tetap Deteksi","Belum Deteksi"))</f>
        <v>Belum Deteksi</v>
      </c>
      <c r="AA305" s="143"/>
      <c r="AB305" s="9">
        <f t="shared" si="39"/>
        <v>0</v>
      </c>
    </row>
    <row r="306" spans="1:28" hidden="1" x14ac:dyDescent="0.15">
      <c r="A306" s="8" t="s">
        <v>628</v>
      </c>
      <c r="B306" s="8" t="s">
        <v>47</v>
      </c>
      <c r="C306" s="8" t="s">
        <v>323</v>
      </c>
      <c r="D306" s="8" t="s">
        <v>878</v>
      </c>
      <c r="E306" s="9">
        <v>48</v>
      </c>
      <c r="F306" s="8" t="s">
        <v>469</v>
      </c>
      <c r="G306" s="143">
        <f t="array" ref="G306">INDEX('[23]SENSUS MEI'!$G$9:$G$453,MATCH(1,('[23]SENSUS MEI'!$D$9:$D$453=$D306)*('[23]SENSUS MEI'!$D$9:$D$453=$D306),0))</f>
        <v>6730</v>
      </c>
      <c r="H306" s="132">
        <f t="shared" si="41"/>
        <v>0</v>
      </c>
      <c r="I306" s="140">
        <f t="shared" si="42"/>
        <v>0</v>
      </c>
      <c r="J306" s="9" t="str">
        <f t="shared" si="43"/>
        <v xml:space="preserve"> </v>
      </c>
      <c r="K306" s="140">
        <f t="shared" si="44"/>
        <v>0</v>
      </c>
      <c r="L306" s="206">
        <f t="shared" si="45"/>
        <v>0</v>
      </c>
      <c r="M306" s="8" t="str">
        <f t="array" ref="M306">IF(L306&gt;5,"Perlu Sensus",IF(AND(L306&gt;=0,I306&gt;0),"Tetap Deteksi","Belum Deteksi"))</f>
        <v>Belum Deteksi</v>
      </c>
      <c r="N306" s="11"/>
      <c r="O306" s="143"/>
      <c r="P306" s="9">
        <f t="array" ref="P306">IFERROR(O306/G306*100,0)</f>
        <v>0</v>
      </c>
      <c r="Q306" s="143"/>
      <c r="R306" s="9">
        <f t="shared" si="36"/>
        <v>0</v>
      </c>
      <c r="S306" s="8" t="str">
        <f t="array" ref="S306">IF(R306&gt;5,"Perlu Sensus",IF(AND(R306&gt;=0,O306&gt;0),"Tetap Deteksi","Belum Deteksi"))</f>
        <v>Belum Deteksi</v>
      </c>
      <c r="T306" s="143"/>
      <c r="U306" s="9">
        <f t="shared" si="38"/>
        <v>0</v>
      </c>
      <c r="V306" s="11"/>
      <c r="W306" s="143"/>
      <c r="X306" s="143"/>
      <c r="Y306" s="9">
        <f t="shared" si="37"/>
        <v>0</v>
      </c>
      <c r="Z306" s="8" t="str">
        <f t="array" ref="Z306">IF(Y306&gt;5,"Perlu Sensus",IF(AND(Y306&gt;0,,O306&gt;0),"Tetap Deteksi","Belum Deteksi"))</f>
        <v>Belum Deteksi</v>
      </c>
      <c r="AA306" s="143"/>
      <c r="AB306" s="9">
        <f t="shared" si="39"/>
        <v>0</v>
      </c>
    </row>
    <row r="307" spans="1:28" hidden="1" x14ac:dyDescent="0.15">
      <c r="A307" s="8" t="s">
        <v>628</v>
      </c>
      <c r="B307" s="8" t="s">
        <v>47</v>
      </c>
      <c r="C307" s="8" t="s">
        <v>323</v>
      </c>
      <c r="D307" s="8" t="s">
        <v>879</v>
      </c>
      <c r="E307" s="9">
        <v>44.17</v>
      </c>
      <c r="F307" s="8" t="s">
        <v>469</v>
      </c>
      <c r="G307" s="143">
        <f t="array" ref="G307">INDEX('[23]SENSUS MEI'!$G$9:$G$453,MATCH(1,('[23]SENSUS MEI'!$D$9:$D$453=$D307)*('[23]SENSUS MEI'!$D$9:$D$453=$D307),0))</f>
        <v>6421</v>
      </c>
      <c r="H307" s="132">
        <f t="shared" si="41"/>
        <v>0</v>
      </c>
      <c r="I307" s="140">
        <f t="shared" si="42"/>
        <v>0</v>
      </c>
      <c r="J307" s="9" t="str">
        <f t="shared" si="43"/>
        <v xml:space="preserve"> </v>
      </c>
      <c r="K307" s="140">
        <f t="shared" si="44"/>
        <v>0</v>
      </c>
      <c r="L307" s="206">
        <f t="shared" si="45"/>
        <v>0</v>
      </c>
      <c r="M307" s="8" t="str">
        <f t="array" ref="M307">IF(L307&gt;5,"Perlu Sensus",IF(AND(L307&gt;=0,I307&gt;0),"Tetap Deteksi","Belum Deteksi"))</f>
        <v>Belum Deteksi</v>
      </c>
      <c r="N307" s="11"/>
      <c r="O307" s="143"/>
      <c r="P307" s="9">
        <f t="array" ref="P307">IFERROR(O307/G307*100,0)</f>
        <v>0</v>
      </c>
      <c r="Q307" s="143"/>
      <c r="R307" s="9">
        <f t="shared" si="36"/>
        <v>0</v>
      </c>
      <c r="S307" s="8" t="str">
        <f t="array" ref="S307">IF(R307&gt;5,"Perlu Sensus",IF(AND(R307&gt;=0,O307&gt;0),"Tetap Deteksi","Belum Deteksi"))</f>
        <v>Belum Deteksi</v>
      </c>
      <c r="T307" s="143"/>
      <c r="U307" s="9">
        <f t="shared" si="38"/>
        <v>0</v>
      </c>
      <c r="V307" s="11"/>
      <c r="W307" s="143"/>
      <c r="X307" s="143"/>
      <c r="Y307" s="9">
        <f t="shared" si="37"/>
        <v>0</v>
      </c>
      <c r="Z307" s="8" t="str">
        <f t="array" ref="Z307">IF(Y307&gt;5,"Perlu Sensus",IF(AND(Y307&gt;0,,O307&gt;0),"Tetap Deteksi","Belum Deteksi"))</f>
        <v>Belum Deteksi</v>
      </c>
      <c r="AA307" s="143"/>
      <c r="AB307" s="9">
        <f t="shared" si="39"/>
        <v>0</v>
      </c>
    </row>
    <row r="308" spans="1:28" hidden="1" x14ac:dyDescent="0.15">
      <c r="A308" s="8" t="s">
        <v>628</v>
      </c>
      <c r="B308" s="8" t="s">
        <v>47</v>
      </c>
      <c r="C308" s="8" t="s">
        <v>323</v>
      </c>
      <c r="D308" s="8" t="s">
        <v>880</v>
      </c>
      <c r="E308" s="9">
        <v>24.55</v>
      </c>
      <c r="F308" s="8" t="s">
        <v>469</v>
      </c>
      <c r="G308" s="143">
        <f t="array" ref="G308">INDEX('[23]SENSUS MEI'!$G$9:$G$453,MATCH(1,('[23]SENSUS MEI'!$D$9:$D$453=$D308)*('[23]SENSUS MEI'!$D$9:$D$453=$D308),0))</f>
        <v>3553</v>
      </c>
      <c r="H308" s="132">
        <f t="shared" si="41"/>
        <v>0</v>
      </c>
      <c r="I308" s="140">
        <f t="shared" si="42"/>
        <v>0</v>
      </c>
      <c r="J308" s="9" t="str">
        <f t="shared" si="43"/>
        <v xml:space="preserve"> </v>
      </c>
      <c r="K308" s="140">
        <f t="shared" si="44"/>
        <v>0</v>
      </c>
      <c r="L308" s="206">
        <f t="shared" si="45"/>
        <v>0</v>
      </c>
      <c r="M308" s="8" t="str">
        <f t="array" ref="M308">IF(L308&gt;5,"Perlu Sensus",IF(AND(L308&gt;=0,I308&gt;0),"Tetap Deteksi","Belum Deteksi"))</f>
        <v>Belum Deteksi</v>
      </c>
      <c r="N308" s="11"/>
      <c r="O308" s="143"/>
      <c r="P308" s="9">
        <f t="array" ref="P308">IFERROR(O308/G308*100,0)</f>
        <v>0</v>
      </c>
      <c r="Q308" s="143"/>
      <c r="R308" s="9">
        <f t="shared" si="36"/>
        <v>0</v>
      </c>
      <c r="S308" s="8" t="str">
        <f t="array" ref="S308">IF(R308&gt;5,"Perlu Sensus",IF(AND(R308&gt;=0,O308&gt;0),"Tetap Deteksi","Belum Deteksi"))</f>
        <v>Belum Deteksi</v>
      </c>
      <c r="T308" s="143"/>
      <c r="U308" s="9">
        <f t="shared" si="38"/>
        <v>0</v>
      </c>
      <c r="V308" s="11"/>
      <c r="W308" s="143"/>
      <c r="X308" s="143"/>
      <c r="Y308" s="9">
        <f t="shared" si="37"/>
        <v>0</v>
      </c>
      <c r="Z308" s="8" t="str">
        <f t="array" ref="Z308">IF(Y308&gt;5,"Perlu Sensus",IF(AND(Y308&gt;0,,O308&gt;0),"Tetap Deteksi","Belum Deteksi"))</f>
        <v>Belum Deteksi</v>
      </c>
      <c r="AA308" s="143"/>
      <c r="AB308" s="9">
        <f t="shared" si="39"/>
        <v>0</v>
      </c>
    </row>
    <row r="309" spans="1:28" x14ac:dyDescent="0.15">
      <c r="A309" s="8" t="s">
        <v>628</v>
      </c>
      <c r="B309" s="8" t="s">
        <v>47</v>
      </c>
      <c r="C309" s="8" t="s">
        <v>323</v>
      </c>
      <c r="D309" s="8" t="s">
        <v>881</v>
      </c>
      <c r="E309" s="9">
        <v>41.02</v>
      </c>
      <c r="F309" s="8" t="s">
        <v>469</v>
      </c>
      <c r="G309" s="143">
        <f t="array" ref="G309">INDEX('[23]SENSUS MEI'!$G$9:$G$453,MATCH(1,('[23]SENSUS MEI'!$D$9:$D$453=$D309)*('[23]SENSUS MEI'!$D$9:$D$453=$D309),0))</f>
        <v>5682</v>
      </c>
      <c r="H309" s="132">
        <f t="shared" si="41"/>
        <v>46248</v>
      </c>
      <c r="I309" s="140">
        <f t="shared" si="42"/>
        <v>118</v>
      </c>
      <c r="J309" s="9">
        <f t="shared" si="43"/>
        <v>2.0767335445265753</v>
      </c>
      <c r="K309" s="140">
        <f t="shared" si="44"/>
        <v>18</v>
      </c>
      <c r="L309" s="206">
        <f t="shared" si="45"/>
        <v>15.254237288135593</v>
      </c>
      <c r="M309" s="8" t="str">
        <f t="array" ref="M309">IF(L309&gt;5,"Perlu Sensus",IF(AND(L309&gt;=0,I309&gt;0),"Tetap Deteksi","Belum Deteksi"))</f>
        <v>Perlu Sensus</v>
      </c>
      <c r="N309" s="11">
        <v>46248</v>
      </c>
      <c r="O309" s="143">
        <v>118</v>
      </c>
      <c r="P309" s="9">
        <f t="array" ref="P309">IFERROR(O309/G309*100,0)</f>
        <v>2.0767335445265753</v>
      </c>
      <c r="Q309" s="143">
        <v>18</v>
      </c>
      <c r="R309" s="9">
        <f t="shared" si="36"/>
        <v>15.254237288135593</v>
      </c>
      <c r="S309" s="8" t="str">
        <f t="array" ref="S309">IF(R309&gt;5,"Perlu Sensus",IF(AND(R309&gt;=0,O309&gt;0),"Tetap Deteksi","Belum Deteksi"))</f>
        <v>Perlu Sensus</v>
      </c>
      <c r="T309" s="143">
        <v>30</v>
      </c>
      <c r="U309" s="9">
        <f t="shared" si="38"/>
        <v>25.423728813559322</v>
      </c>
      <c r="V309" s="11" t="s">
        <v>2290</v>
      </c>
      <c r="W309" s="143">
        <v>66</v>
      </c>
      <c r="X309" s="143">
        <v>9</v>
      </c>
      <c r="Y309" s="9">
        <f t="shared" si="37"/>
        <v>13.636363636363635</v>
      </c>
      <c r="Z309" s="8" t="str">
        <f t="array" ref="Z309">IF(Y309&gt;5,"Perlu Sensus",IF(AND(Y309&gt;0,,O309&gt;0),"Tetap Deteksi","Belum Deteksi"))</f>
        <v>Perlu Sensus</v>
      </c>
      <c r="AA309" s="143">
        <v>12</v>
      </c>
      <c r="AB309" s="9">
        <f t="shared" si="39"/>
        <v>18.181818181818183</v>
      </c>
    </row>
    <row r="310" spans="1:28" hidden="1" x14ac:dyDescent="0.15">
      <c r="A310" s="8" t="s">
        <v>628</v>
      </c>
      <c r="B310" s="8" t="s">
        <v>47</v>
      </c>
      <c r="C310" s="8" t="s">
        <v>323</v>
      </c>
      <c r="D310" s="8" t="s">
        <v>882</v>
      </c>
      <c r="E310" s="9">
        <v>21.32</v>
      </c>
      <c r="F310" s="8" t="s">
        <v>469</v>
      </c>
      <c r="G310" s="143">
        <f t="array" ref="G310">INDEX('[23]SENSUS MEI'!$G$9:$G$453,MATCH(1,('[23]SENSUS MEI'!$D$9:$D$453=$D310)*('[23]SENSUS MEI'!$D$9:$D$453=$D310),0))</f>
        <v>2835</v>
      </c>
      <c r="H310" s="132">
        <f t="shared" si="41"/>
        <v>0</v>
      </c>
      <c r="I310" s="140">
        <f t="shared" si="42"/>
        <v>0</v>
      </c>
      <c r="J310" s="9" t="str">
        <f t="shared" si="43"/>
        <v xml:space="preserve"> </v>
      </c>
      <c r="K310" s="140">
        <f t="shared" si="44"/>
        <v>0</v>
      </c>
      <c r="L310" s="206">
        <f t="shared" si="45"/>
        <v>0</v>
      </c>
      <c r="M310" s="8" t="str">
        <f t="array" ref="M310">IF(L310&gt;5,"Perlu Sensus",IF(AND(L310&gt;=0,I310&gt;0),"Tetap Deteksi","Belum Deteksi"))</f>
        <v>Belum Deteksi</v>
      </c>
      <c r="N310" s="11"/>
      <c r="O310" s="143"/>
      <c r="P310" s="9">
        <f t="array" ref="P310">IFERROR(O310/G310*100,0)</f>
        <v>0</v>
      </c>
      <c r="Q310" s="143"/>
      <c r="R310" s="9">
        <f t="shared" si="36"/>
        <v>0</v>
      </c>
      <c r="S310" s="8" t="str">
        <f t="array" ref="S310">IF(R310&gt;5,"Perlu Sensus",IF(AND(R310&gt;=0,O310&gt;0),"Tetap Deteksi","Belum Deteksi"))</f>
        <v>Belum Deteksi</v>
      </c>
      <c r="T310" s="143"/>
      <c r="U310" s="9">
        <f t="shared" si="38"/>
        <v>0</v>
      </c>
      <c r="V310" s="11"/>
      <c r="W310" s="143"/>
      <c r="X310" s="143"/>
      <c r="Y310" s="9">
        <f t="shared" si="37"/>
        <v>0</v>
      </c>
      <c r="Z310" s="8" t="str">
        <f t="array" ref="Z310">IF(Y310&gt;5,"Perlu Sensus",IF(AND(Y310&gt;0,,O310&gt;0),"Tetap Deteksi","Belum Deteksi"))</f>
        <v>Belum Deteksi</v>
      </c>
      <c r="AA310" s="143"/>
      <c r="AB310" s="9">
        <f t="shared" si="39"/>
        <v>0</v>
      </c>
    </row>
    <row r="311" spans="1:28" x14ac:dyDescent="0.15">
      <c r="A311" s="8" t="s">
        <v>628</v>
      </c>
      <c r="B311" s="8" t="s">
        <v>47</v>
      </c>
      <c r="C311" s="8" t="s">
        <v>323</v>
      </c>
      <c r="D311" s="8" t="s">
        <v>883</v>
      </c>
      <c r="E311" s="9">
        <v>16.579999999999998</v>
      </c>
      <c r="F311" s="8" t="s">
        <v>469</v>
      </c>
      <c r="G311" s="143">
        <f t="array" ref="G311">INDEX('[23]SENSUS MEI'!$G$9:$G$453,MATCH(1,('[23]SENSUS MEI'!$D$9:$D$453=$D311)*('[23]SENSUS MEI'!$D$9:$D$453=$D311),0))</f>
        <v>2100</v>
      </c>
      <c r="H311" s="132">
        <f t="shared" si="41"/>
        <v>46248</v>
      </c>
      <c r="I311" s="140">
        <f t="shared" si="42"/>
        <v>61</v>
      </c>
      <c r="J311" s="9">
        <f t="shared" si="43"/>
        <v>2.9047619047619047</v>
      </c>
      <c r="K311" s="140">
        <f t="shared" si="44"/>
        <v>9</v>
      </c>
      <c r="L311" s="206">
        <f t="shared" si="45"/>
        <v>14.754098360655737</v>
      </c>
      <c r="M311" s="8" t="str">
        <f t="array" ref="M311">IF(L311&gt;5,"Perlu Sensus",IF(AND(L311&gt;=0,I311&gt;0),"Tetap Deteksi","Belum Deteksi"))</f>
        <v>Perlu Sensus</v>
      </c>
      <c r="N311" s="11">
        <v>46248</v>
      </c>
      <c r="O311" s="143">
        <v>61</v>
      </c>
      <c r="P311" s="9">
        <f t="array" ref="P311">IFERROR(O311/G311*100,0)</f>
        <v>2.9047619047619047</v>
      </c>
      <c r="Q311" s="143">
        <v>9</v>
      </c>
      <c r="R311" s="9">
        <f t="shared" si="36"/>
        <v>14.754098360655737</v>
      </c>
      <c r="S311" s="8" t="str">
        <f t="array" ref="S311">IF(R311&gt;5,"Perlu Sensus",IF(AND(R311&gt;=0,O311&gt;0),"Tetap Deteksi","Belum Deteksi"))</f>
        <v>Perlu Sensus</v>
      </c>
      <c r="T311" s="143">
        <v>31</v>
      </c>
      <c r="U311" s="9">
        <f t="shared" si="38"/>
        <v>50.819672131147541</v>
      </c>
      <c r="V311" s="11"/>
      <c r="W311" s="143"/>
      <c r="X311" s="143"/>
      <c r="Y311" s="9">
        <f t="shared" si="37"/>
        <v>0</v>
      </c>
      <c r="Z311" s="8" t="str">
        <f t="array" ref="Z311">IF(Y311&gt;5,"Perlu Sensus",IF(AND(Y311&gt;0,,O311&gt;0),"Tetap Deteksi","Belum Deteksi"))</f>
        <v>Belum Deteksi</v>
      </c>
      <c r="AA311" s="143"/>
      <c r="AB311" s="9">
        <f t="shared" si="39"/>
        <v>0</v>
      </c>
    </row>
    <row r="312" spans="1:28" x14ac:dyDescent="0.15">
      <c r="A312" s="8" t="s">
        <v>628</v>
      </c>
      <c r="B312" s="8" t="s">
        <v>47</v>
      </c>
      <c r="C312" s="8" t="s">
        <v>323</v>
      </c>
      <c r="D312" s="8" t="s">
        <v>884</v>
      </c>
      <c r="E312" s="9">
        <v>11.02</v>
      </c>
      <c r="F312" s="8" t="s">
        <v>469</v>
      </c>
      <c r="G312" s="143">
        <f t="array" ref="G312">INDEX('[23]SENSUS MEI'!$G$9:$G$453,MATCH(1,('[23]SENSUS MEI'!$D$9:$D$453=$D312)*('[23]SENSUS MEI'!$D$9:$D$453=$D312),0))</f>
        <v>1621</v>
      </c>
      <c r="H312" s="132">
        <f t="shared" si="41"/>
        <v>46247</v>
      </c>
      <c r="I312" s="140">
        <f t="shared" si="42"/>
        <v>58</v>
      </c>
      <c r="J312" s="9">
        <f t="shared" si="43"/>
        <v>3.5780382479950648</v>
      </c>
      <c r="K312" s="140">
        <f t="shared" si="44"/>
        <v>7</v>
      </c>
      <c r="L312" s="206">
        <f t="shared" si="45"/>
        <v>12.068965517241379</v>
      </c>
      <c r="M312" s="8" t="str">
        <f t="array" ref="M312">IF(L312&gt;5,"Perlu Sensus",IF(AND(L312&gt;=0,I312&gt;0),"Tetap Deteksi","Belum Deteksi"))</f>
        <v>Perlu Sensus</v>
      </c>
      <c r="N312" s="11">
        <v>46247</v>
      </c>
      <c r="O312" s="143">
        <v>58</v>
      </c>
      <c r="P312" s="9">
        <f t="array" ref="P312">IFERROR(O312/G312*100,0)</f>
        <v>3.5780382479950648</v>
      </c>
      <c r="Q312" s="143">
        <v>7</v>
      </c>
      <c r="R312" s="9">
        <f t="shared" si="36"/>
        <v>12.068965517241379</v>
      </c>
      <c r="S312" s="8" t="str">
        <f t="array" ref="S312">IF(R312&gt;5,"Perlu Sensus",IF(AND(R312&gt;=0,O312&gt;0),"Tetap Deteksi","Belum Deteksi"))</f>
        <v>Perlu Sensus</v>
      </c>
      <c r="T312" s="143">
        <v>45</v>
      </c>
      <c r="U312" s="9">
        <f t="shared" si="38"/>
        <v>77.58620689655173</v>
      </c>
      <c r="V312" s="11"/>
      <c r="W312" s="143"/>
      <c r="X312" s="143"/>
      <c r="Y312" s="9">
        <f t="shared" si="37"/>
        <v>0</v>
      </c>
      <c r="Z312" s="8" t="str">
        <f t="array" ref="Z312">IF(Y312&gt;5,"Perlu Sensus",IF(AND(Y312&gt;0,,O312&gt;0),"Tetap Deteksi","Belum Deteksi"))</f>
        <v>Belum Deteksi</v>
      </c>
      <c r="AA312" s="143"/>
      <c r="AB312" s="9">
        <f t="shared" si="39"/>
        <v>0</v>
      </c>
    </row>
    <row r="313" spans="1:28" hidden="1" x14ac:dyDescent="0.15">
      <c r="A313" s="8" t="s">
        <v>628</v>
      </c>
      <c r="B313" s="8" t="s">
        <v>47</v>
      </c>
      <c r="C313" s="8" t="s">
        <v>323</v>
      </c>
      <c r="D313" s="8" t="s">
        <v>885</v>
      </c>
      <c r="E313" s="9">
        <v>5.98</v>
      </c>
      <c r="F313" s="8" t="s">
        <v>469</v>
      </c>
      <c r="G313" s="143">
        <f t="array" ref="G313">INDEX('[23]SENSUS MEI'!$G$9:$G$453,MATCH(1,('[23]SENSUS MEI'!$D$9:$D$453=$D313)*('[23]SENSUS MEI'!$D$9:$D$453=$D313),0))</f>
        <v>919</v>
      </c>
      <c r="H313" s="132">
        <f t="shared" si="41"/>
        <v>0</v>
      </c>
      <c r="I313" s="140">
        <f t="shared" si="42"/>
        <v>0</v>
      </c>
      <c r="J313" s="9" t="str">
        <f t="shared" si="43"/>
        <v xml:space="preserve"> </v>
      </c>
      <c r="K313" s="140">
        <f t="shared" si="44"/>
        <v>0</v>
      </c>
      <c r="L313" s="206">
        <f t="shared" si="45"/>
        <v>0</v>
      </c>
      <c r="M313" s="8" t="str">
        <f t="array" ref="M313">IF(L313&gt;5,"Perlu Sensus",IF(AND(L313&gt;=0,I313&gt;0),"Tetap Deteksi","Belum Deteksi"))</f>
        <v>Belum Deteksi</v>
      </c>
      <c r="N313" s="11"/>
      <c r="O313" s="143"/>
      <c r="P313" s="9">
        <f t="array" ref="P313">IFERROR(O313/G313*100,0)</f>
        <v>0</v>
      </c>
      <c r="Q313" s="143"/>
      <c r="R313" s="9">
        <f t="shared" si="36"/>
        <v>0</v>
      </c>
      <c r="S313" s="8" t="str">
        <f t="array" ref="S313">IF(R313&gt;5,"Perlu Sensus",IF(AND(R313&gt;=0,O313&gt;0),"Tetap Deteksi","Belum Deteksi"))</f>
        <v>Belum Deteksi</v>
      </c>
      <c r="T313" s="143"/>
      <c r="U313" s="9">
        <f t="shared" si="38"/>
        <v>0</v>
      </c>
      <c r="V313" s="11"/>
      <c r="W313" s="143"/>
      <c r="X313" s="143"/>
      <c r="Y313" s="9">
        <f t="shared" si="37"/>
        <v>0</v>
      </c>
      <c r="Z313" s="8" t="str">
        <f t="array" ref="Z313">IF(Y313&gt;5,"Perlu Sensus",IF(AND(Y313&gt;0,,O313&gt;0),"Tetap Deteksi","Belum Deteksi"))</f>
        <v>Belum Deteksi</v>
      </c>
      <c r="AA313" s="143"/>
      <c r="AB313" s="9">
        <f t="shared" si="39"/>
        <v>0</v>
      </c>
    </row>
    <row r="314" spans="1:28" hidden="1" x14ac:dyDescent="0.15">
      <c r="A314" s="8" t="s">
        <v>628</v>
      </c>
      <c r="B314" s="8" t="s">
        <v>47</v>
      </c>
      <c r="C314" s="8" t="s">
        <v>323</v>
      </c>
      <c r="D314" s="8" t="s">
        <v>346</v>
      </c>
      <c r="E314" s="9">
        <v>17.77</v>
      </c>
      <c r="F314" s="8" t="s">
        <v>16</v>
      </c>
      <c r="G314" s="143">
        <f t="array" ref="G314">INDEX('[23]SENSUS MEI'!$G$9:$G$453,MATCH(1,('[23]SENSUS MEI'!$D$9:$D$453=$D314)*('[23]SENSUS MEI'!$D$9:$D$453=$D314),0))</f>
        <v>2372</v>
      </c>
      <c r="H314" s="132">
        <f t="shared" si="41"/>
        <v>0</v>
      </c>
      <c r="I314" s="140">
        <f t="shared" si="42"/>
        <v>0</v>
      </c>
      <c r="J314" s="9" t="str">
        <f t="shared" si="43"/>
        <v xml:space="preserve"> </v>
      </c>
      <c r="K314" s="140">
        <f t="shared" si="44"/>
        <v>0</v>
      </c>
      <c r="L314" s="206">
        <f t="shared" si="45"/>
        <v>0</v>
      </c>
      <c r="M314" s="8" t="str">
        <f t="array" ref="M314">IF(L314&gt;5,"Perlu Sensus",IF(AND(L314&gt;=0,I314&gt;0),"Tetap Deteksi","Belum Deteksi"))</f>
        <v>Belum Deteksi</v>
      </c>
      <c r="N314" s="11"/>
      <c r="O314" s="143"/>
      <c r="P314" s="9">
        <f t="array" ref="P314">IFERROR(O314/G314*100,0)</f>
        <v>0</v>
      </c>
      <c r="Q314" s="143"/>
      <c r="R314" s="9">
        <f t="shared" si="36"/>
        <v>0</v>
      </c>
      <c r="S314" s="8" t="str">
        <f t="array" ref="S314">IF(R314&gt;5,"Perlu Sensus",IF(AND(R314&gt;=0,O314&gt;0),"Tetap Deteksi","Belum Deteksi"))</f>
        <v>Belum Deteksi</v>
      </c>
      <c r="T314" s="143"/>
      <c r="U314" s="9">
        <f t="shared" si="38"/>
        <v>0</v>
      </c>
      <c r="V314" s="11"/>
      <c r="W314" s="143"/>
      <c r="X314" s="143"/>
      <c r="Y314" s="9">
        <f t="shared" si="37"/>
        <v>0</v>
      </c>
      <c r="Z314" s="8" t="str">
        <f t="array" ref="Z314">IF(Y314&gt;5,"Perlu Sensus",IF(AND(Y314&gt;0,,O314&gt;0),"Tetap Deteksi","Belum Deteksi"))</f>
        <v>Belum Deteksi</v>
      </c>
      <c r="AA314" s="143"/>
      <c r="AB314" s="9">
        <f t="shared" si="39"/>
        <v>0</v>
      </c>
    </row>
    <row r="315" spans="1:28" hidden="1" x14ac:dyDescent="0.15">
      <c r="A315" s="8" t="s">
        <v>628</v>
      </c>
      <c r="B315" s="8" t="s">
        <v>47</v>
      </c>
      <c r="C315" s="8" t="s">
        <v>323</v>
      </c>
      <c r="D315" s="8" t="s">
        <v>347</v>
      </c>
      <c r="E315" s="9">
        <v>16.78</v>
      </c>
      <c r="F315" s="8" t="s">
        <v>16</v>
      </c>
      <c r="G315" s="143">
        <f t="array" ref="G315">INDEX('[23]SENSUS MEI'!$G$9:$G$453,MATCH(1,('[23]SENSUS MEI'!$D$9:$D$453=$D315)*('[23]SENSUS MEI'!$D$9:$D$453=$D315),0))</f>
        <v>1929</v>
      </c>
      <c r="H315" s="132">
        <f t="shared" si="41"/>
        <v>0</v>
      </c>
      <c r="I315" s="140">
        <f t="shared" si="42"/>
        <v>0</v>
      </c>
      <c r="J315" s="9" t="str">
        <f t="shared" si="43"/>
        <v xml:space="preserve"> </v>
      </c>
      <c r="K315" s="140">
        <f t="shared" si="44"/>
        <v>0</v>
      </c>
      <c r="L315" s="206">
        <f t="shared" si="45"/>
        <v>0</v>
      </c>
      <c r="M315" s="8" t="str">
        <f t="array" ref="M315">IF(L315&gt;5,"Perlu Sensus",IF(AND(L315&gt;=0,I315&gt;0),"Tetap Deteksi","Belum Deteksi"))</f>
        <v>Belum Deteksi</v>
      </c>
      <c r="N315" s="11"/>
      <c r="O315" s="143"/>
      <c r="P315" s="9">
        <f t="array" ref="P315">IFERROR(O315/G315*100,0)</f>
        <v>0</v>
      </c>
      <c r="Q315" s="143"/>
      <c r="R315" s="9">
        <f t="shared" si="36"/>
        <v>0</v>
      </c>
      <c r="S315" s="8" t="str">
        <f t="array" ref="S315">IF(R315&gt;5,"Perlu Sensus",IF(AND(R315&gt;=0,O315&gt;0),"Tetap Deteksi","Belum Deteksi"))</f>
        <v>Belum Deteksi</v>
      </c>
      <c r="T315" s="143"/>
      <c r="U315" s="9">
        <f t="shared" si="38"/>
        <v>0</v>
      </c>
      <c r="V315" s="11"/>
      <c r="W315" s="143"/>
      <c r="X315" s="143"/>
      <c r="Y315" s="9">
        <f t="shared" si="37"/>
        <v>0</v>
      </c>
      <c r="Z315" s="8" t="str">
        <f t="array" ref="Z315">IF(Y315&gt;5,"Perlu Sensus",IF(AND(Y315&gt;0,,O315&gt;0),"Tetap Deteksi","Belum Deteksi"))</f>
        <v>Belum Deteksi</v>
      </c>
      <c r="AA315" s="143"/>
      <c r="AB315" s="9">
        <f t="shared" si="39"/>
        <v>0</v>
      </c>
    </row>
    <row r="316" spans="1:28" hidden="1" x14ac:dyDescent="0.15">
      <c r="A316" s="8" t="s">
        <v>628</v>
      </c>
      <c r="B316" s="8" t="s">
        <v>47</v>
      </c>
      <c r="C316" s="8" t="s">
        <v>323</v>
      </c>
      <c r="D316" s="8" t="s">
        <v>348</v>
      </c>
      <c r="E316" s="9">
        <v>10.53</v>
      </c>
      <c r="F316" s="8" t="s">
        <v>16</v>
      </c>
      <c r="G316" s="143">
        <f t="array" ref="G316">INDEX('[23]SENSUS MEI'!$G$9:$G$453,MATCH(1,('[23]SENSUS MEI'!$D$9:$D$453=$D316)*('[23]SENSUS MEI'!$D$9:$D$453=$D316),0))</f>
        <v>1387</v>
      </c>
      <c r="H316" s="132">
        <f t="shared" si="41"/>
        <v>0</v>
      </c>
      <c r="I316" s="140">
        <f t="shared" si="42"/>
        <v>0</v>
      </c>
      <c r="J316" s="9" t="str">
        <f t="shared" si="43"/>
        <v xml:space="preserve"> </v>
      </c>
      <c r="K316" s="140">
        <f t="shared" si="44"/>
        <v>0</v>
      </c>
      <c r="L316" s="206">
        <f t="shared" si="45"/>
        <v>0</v>
      </c>
      <c r="M316" s="8" t="str">
        <f t="array" ref="M316">IF(L316&gt;5,"Perlu Sensus",IF(AND(L316&gt;=0,I316&gt;0),"Tetap Deteksi","Belum Deteksi"))</f>
        <v>Belum Deteksi</v>
      </c>
      <c r="N316" s="11"/>
      <c r="O316" s="143"/>
      <c r="P316" s="9">
        <f t="array" ref="P316">IFERROR(O316/G316*100,0)</f>
        <v>0</v>
      </c>
      <c r="Q316" s="143"/>
      <c r="R316" s="9">
        <f t="shared" si="36"/>
        <v>0</v>
      </c>
      <c r="S316" s="8" t="str">
        <f t="array" ref="S316">IF(R316&gt;5,"Perlu Sensus",IF(AND(R316&gt;=0,O316&gt;0),"Tetap Deteksi","Belum Deteksi"))</f>
        <v>Belum Deteksi</v>
      </c>
      <c r="T316" s="143"/>
      <c r="U316" s="9">
        <f t="shared" si="38"/>
        <v>0</v>
      </c>
      <c r="V316" s="11"/>
      <c r="W316" s="143"/>
      <c r="X316" s="143"/>
      <c r="Y316" s="9">
        <f t="shared" si="37"/>
        <v>0</v>
      </c>
      <c r="Z316" s="8" t="str">
        <f t="array" ref="Z316">IF(Y316&gt;5,"Perlu Sensus",IF(AND(Y316&gt;0,,O316&gt;0),"Tetap Deteksi","Belum Deteksi"))</f>
        <v>Belum Deteksi</v>
      </c>
      <c r="AA316" s="143"/>
      <c r="AB316" s="9">
        <f t="shared" si="39"/>
        <v>0</v>
      </c>
    </row>
    <row r="317" spans="1:28" hidden="1" x14ac:dyDescent="0.15">
      <c r="A317" s="8" t="s">
        <v>628</v>
      </c>
      <c r="B317" s="8" t="s">
        <v>47</v>
      </c>
      <c r="C317" s="8" t="s">
        <v>323</v>
      </c>
      <c r="D317" s="8" t="s">
        <v>349</v>
      </c>
      <c r="E317" s="9">
        <v>10.34</v>
      </c>
      <c r="F317" s="8" t="s">
        <v>16</v>
      </c>
      <c r="G317" s="143">
        <f t="array" ref="G317">INDEX('[23]SENSUS MEI'!$G$9:$G$453,MATCH(1,('[23]SENSUS MEI'!$D$9:$D$453=$D317)*('[23]SENSUS MEI'!$D$9:$D$453=$D317),0))</f>
        <v>1298</v>
      </c>
      <c r="H317" s="132">
        <f t="shared" si="41"/>
        <v>0</v>
      </c>
      <c r="I317" s="140">
        <f t="shared" si="42"/>
        <v>0</v>
      </c>
      <c r="J317" s="9" t="str">
        <f t="shared" si="43"/>
        <v xml:space="preserve"> </v>
      </c>
      <c r="K317" s="140">
        <f t="shared" si="44"/>
        <v>0</v>
      </c>
      <c r="L317" s="206">
        <f t="shared" si="45"/>
        <v>0</v>
      </c>
      <c r="M317" s="8" t="str">
        <f t="array" ref="M317">IF(L317&gt;5,"Perlu Sensus",IF(AND(L317&gt;=0,I317&gt;0),"Tetap Deteksi","Belum Deteksi"))</f>
        <v>Belum Deteksi</v>
      </c>
      <c r="N317" s="11"/>
      <c r="O317" s="143"/>
      <c r="P317" s="9">
        <f t="array" ref="P317">IFERROR(O317/G317*100,0)</f>
        <v>0</v>
      </c>
      <c r="Q317" s="143"/>
      <c r="R317" s="9">
        <f t="shared" si="36"/>
        <v>0</v>
      </c>
      <c r="S317" s="8" t="str">
        <f t="array" ref="S317">IF(R317&gt;5,"Perlu Sensus",IF(AND(R317&gt;=0,O317&gt;0),"Tetap Deteksi","Belum Deteksi"))</f>
        <v>Belum Deteksi</v>
      </c>
      <c r="T317" s="143"/>
      <c r="U317" s="9">
        <f t="shared" si="38"/>
        <v>0</v>
      </c>
      <c r="V317" s="11"/>
      <c r="W317" s="143"/>
      <c r="X317" s="143"/>
      <c r="Y317" s="9">
        <f t="shared" si="37"/>
        <v>0</v>
      </c>
      <c r="Z317" s="8" t="str">
        <f t="array" ref="Z317">IF(Y317&gt;5,"Perlu Sensus",IF(AND(Y317&gt;0,,O317&gt;0),"Tetap Deteksi","Belum Deteksi"))</f>
        <v>Belum Deteksi</v>
      </c>
      <c r="AA317" s="143"/>
      <c r="AB317" s="9">
        <f t="shared" si="39"/>
        <v>0</v>
      </c>
    </row>
    <row r="318" spans="1:28" hidden="1" x14ac:dyDescent="0.15">
      <c r="A318" s="8" t="s">
        <v>628</v>
      </c>
      <c r="B318" s="8" t="s">
        <v>47</v>
      </c>
      <c r="C318" s="8" t="s">
        <v>323</v>
      </c>
      <c r="D318" s="8" t="s">
        <v>350</v>
      </c>
      <c r="E318" s="9">
        <v>8.92</v>
      </c>
      <c r="F318" s="8" t="s">
        <v>469</v>
      </c>
      <c r="G318" s="143">
        <f t="array" ref="G318">INDEX('[23]SENSUS MEI'!$G$9:$G$453,MATCH(1,('[23]SENSUS MEI'!$D$9:$D$453=$D318)*('[23]SENSUS MEI'!$D$9:$D$453=$D318),0))</f>
        <v>1015</v>
      </c>
      <c r="H318" s="132">
        <f t="shared" si="41"/>
        <v>0</v>
      </c>
      <c r="I318" s="140">
        <f t="shared" si="42"/>
        <v>0</v>
      </c>
      <c r="J318" s="9" t="str">
        <f t="shared" si="43"/>
        <v xml:space="preserve"> </v>
      </c>
      <c r="K318" s="140">
        <f t="shared" si="44"/>
        <v>0</v>
      </c>
      <c r="L318" s="206">
        <f t="shared" si="45"/>
        <v>0</v>
      </c>
      <c r="M318" s="8" t="str">
        <f t="array" ref="M318">IF(L318&gt;5,"Perlu Sensus",IF(AND(L318&gt;=0,I318&gt;0),"Tetap Deteksi","Belum Deteksi"))</f>
        <v>Belum Deteksi</v>
      </c>
      <c r="N318" s="11"/>
      <c r="O318" s="143"/>
      <c r="P318" s="9">
        <f t="array" ref="P318">IFERROR(O318/G318*100,0)</f>
        <v>0</v>
      </c>
      <c r="Q318" s="143"/>
      <c r="R318" s="9">
        <f t="shared" si="36"/>
        <v>0</v>
      </c>
      <c r="S318" s="8" t="str">
        <f t="array" ref="S318">IF(R318&gt;5,"Perlu Sensus",IF(AND(R318&gt;=0,O318&gt;0),"Tetap Deteksi","Belum Deteksi"))</f>
        <v>Belum Deteksi</v>
      </c>
      <c r="T318" s="143"/>
      <c r="U318" s="9">
        <f t="shared" si="38"/>
        <v>0</v>
      </c>
      <c r="V318" s="11"/>
      <c r="W318" s="143"/>
      <c r="X318" s="143"/>
      <c r="Y318" s="9">
        <f t="shared" si="37"/>
        <v>0</v>
      </c>
      <c r="Z318" s="8" t="str">
        <f t="array" ref="Z318">IF(Y318&gt;5,"Perlu Sensus",IF(AND(Y318&gt;0,,O318&gt;0),"Tetap Deteksi","Belum Deteksi"))</f>
        <v>Belum Deteksi</v>
      </c>
      <c r="AA318" s="143"/>
      <c r="AB318" s="9">
        <f t="shared" si="39"/>
        <v>0</v>
      </c>
    </row>
    <row r="319" spans="1:28" hidden="1" x14ac:dyDescent="0.15">
      <c r="A319" s="8" t="s">
        <v>628</v>
      </c>
      <c r="B319" s="8" t="s">
        <v>47</v>
      </c>
      <c r="C319" s="8" t="s">
        <v>323</v>
      </c>
      <c r="D319" s="8" t="s">
        <v>351</v>
      </c>
      <c r="E319" s="9">
        <v>13.29</v>
      </c>
      <c r="F319" s="8" t="s">
        <v>469</v>
      </c>
      <c r="G319" s="143">
        <f t="array" ref="G319">INDEX('[23]SENSUS MEI'!$G$9:$G$453,MATCH(1,('[23]SENSUS MEI'!$D$9:$D$453=$D319)*('[23]SENSUS MEI'!$D$9:$D$453=$D319),0))</f>
        <v>1778</v>
      </c>
      <c r="H319" s="132">
        <f t="shared" si="41"/>
        <v>0</v>
      </c>
      <c r="I319" s="140">
        <f t="shared" si="42"/>
        <v>0</v>
      </c>
      <c r="J319" s="9" t="str">
        <f t="shared" si="43"/>
        <v xml:space="preserve"> </v>
      </c>
      <c r="K319" s="140">
        <f t="shared" si="44"/>
        <v>0</v>
      </c>
      <c r="L319" s="206">
        <f t="shared" si="45"/>
        <v>0</v>
      </c>
      <c r="M319" s="8" t="str">
        <f t="array" ref="M319">IF(L319&gt;5,"Perlu Sensus",IF(AND(L319&gt;=0,I319&gt;0),"Tetap Deteksi","Belum Deteksi"))</f>
        <v>Belum Deteksi</v>
      </c>
      <c r="N319" s="11"/>
      <c r="O319" s="143"/>
      <c r="P319" s="9">
        <f t="array" ref="P319">IFERROR(O319/G319*100,0)</f>
        <v>0</v>
      </c>
      <c r="Q319" s="143"/>
      <c r="R319" s="9">
        <f t="shared" si="36"/>
        <v>0</v>
      </c>
      <c r="S319" s="8" t="str">
        <f t="array" ref="S319">IF(R319&gt;5,"Perlu Sensus",IF(AND(R319&gt;=0,O319&gt;0),"Tetap Deteksi","Belum Deteksi"))</f>
        <v>Belum Deteksi</v>
      </c>
      <c r="T319" s="143"/>
      <c r="U319" s="9">
        <f t="shared" si="38"/>
        <v>0</v>
      </c>
      <c r="V319" s="11"/>
      <c r="W319" s="143"/>
      <c r="X319" s="143"/>
      <c r="Y319" s="9">
        <f t="shared" si="37"/>
        <v>0</v>
      </c>
      <c r="Z319" s="8" t="str">
        <f t="array" ref="Z319">IF(Y319&gt;5,"Perlu Sensus",IF(AND(Y319&gt;0,,O319&gt;0),"Tetap Deteksi","Belum Deteksi"))</f>
        <v>Belum Deteksi</v>
      </c>
      <c r="AA319" s="143"/>
      <c r="AB319" s="9">
        <f t="shared" si="39"/>
        <v>0</v>
      </c>
    </row>
    <row r="320" spans="1:28" hidden="1" x14ac:dyDescent="0.15">
      <c r="A320" s="8" t="s">
        <v>628</v>
      </c>
      <c r="B320" s="8" t="s">
        <v>47</v>
      </c>
      <c r="C320" s="8" t="s">
        <v>323</v>
      </c>
      <c r="D320" s="8" t="s">
        <v>352</v>
      </c>
      <c r="E320" s="9">
        <v>10.41</v>
      </c>
      <c r="F320" s="8" t="s">
        <v>469</v>
      </c>
      <c r="G320" s="143">
        <f t="array" ref="G320">INDEX('[23]SENSUS MEI'!$G$9:$G$453,MATCH(1,('[23]SENSUS MEI'!$D$9:$D$453=$D320)*('[23]SENSUS MEI'!$D$9:$D$453=$D320),0))</f>
        <v>1433</v>
      </c>
      <c r="H320" s="132">
        <f t="shared" si="41"/>
        <v>0</v>
      </c>
      <c r="I320" s="140">
        <f t="shared" si="42"/>
        <v>0</v>
      </c>
      <c r="J320" s="9" t="str">
        <f t="shared" si="43"/>
        <v xml:space="preserve"> </v>
      </c>
      <c r="K320" s="140">
        <f t="shared" si="44"/>
        <v>0</v>
      </c>
      <c r="L320" s="206">
        <f t="shared" si="45"/>
        <v>0</v>
      </c>
      <c r="M320" s="8" t="str">
        <f t="array" ref="M320">IF(L320&gt;5,"Perlu Sensus",IF(AND(L320&gt;=0,I320&gt;0),"Tetap Deteksi","Belum Deteksi"))</f>
        <v>Belum Deteksi</v>
      </c>
      <c r="N320" s="11"/>
      <c r="O320" s="143"/>
      <c r="P320" s="9">
        <f t="array" ref="P320">IFERROR(O320/G320*100,0)</f>
        <v>0</v>
      </c>
      <c r="Q320" s="143"/>
      <c r="R320" s="9">
        <f t="shared" si="36"/>
        <v>0</v>
      </c>
      <c r="S320" s="8" t="str">
        <f t="array" ref="S320">IF(R320&gt;5,"Perlu Sensus",IF(AND(R320&gt;=0,O320&gt;0),"Tetap Deteksi","Belum Deteksi"))</f>
        <v>Belum Deteksi</v>
      </c>
      <c r="T320" s="143"/>
      <c r="U320" s="9">
        <f t="shared" si="38"/>
        <v>0</v>
      </c>
      <c r="V320" s="11"/>
      <c r="W320" s="143"/>
      <c r="X320" s="143"/>
      <c r="Y320" s="9">
        <f t="shared" si="37"/>
        <v>0</v>
      </c>
      <c r="Z320" s="8" t="str">
        <f t="array" ref="Z320">IF(Y320&gt;5,"Perlu Sensus",IF(AND(Y320&gt;0,,O320&gt;0),"Tetap Deteksi","Belum Deteksi"))</f>
        <v>Belum Deteksi</v>
      </c>
      <c r="AA320" s="143"/>
      <c r="AB320" s="9">
        <f t="shared" si="39"/>
        <v>0</v>
      </c>
    </row>
    <row r="321" spans="1:28" hidden="1" x14ac:dyDescent="0.15">
      <c r="A321" s="8" t="s">
        <v>628</v>
      </c>
      <c r="B321" s="8" t="s">
        <v>47</v>
      </c>
      <c r="C321" s="8" t="s">
        <v>323</v>
      </c>
      <c r="D321" s="8" t="s">
        <v>353</v>
      </c>
      <c r="E321" s="9">
        <v>8.31</v>
      </c>
      <c r="F321" s="8" t="s">
        <v>469</v>
      </c>
      <c r="G321" s="143">
        <f t="array" ref="G321">INDEX('[23]SENSUS MEI'!$G$9:$G$453,MATCH(1,('[23]SENSUS MEI'!$D$9:$D$453=$D321)*('[23]SENSUS MEI'!$D$9:$D$453=$D321),0))</f>
        <v>1139</v>
      </c>
      <c r="H321" s="132">
        <f t="shared" si="41"/>
        <v>0</v>
      </c>
      <c r="I321" s="140">
        <f t="shared" si="42"/>
        <v>0</v>
      </c>
      <c r="J321" s="9" t="str">
        <f t="shared" si="43"/>
        <v xml:space="preserve"> </v>
      </c>
      <c r="K321" s="140">
        <f t="shared" si="44"/>
        <v>0</v>
      </c>
      <c r="L321" s="206">
        <f t="shared" si="45"/>
        <v>0</v>
      </c>
      <c r="M321" s="8" t="str">
        <f t="array" ref="M321">IF(L321&gt;5,"Perlu Sensus",IF(AND(L321&gt;=0,I321&gt;0),"Tetap Deteksi","Belum Deteksi"))</f>
        <v>Belum Deteksi</v>
      </c>
      <c r="N321" s="11"/>
      <c r="O321" s="143"/>
      <c r="P321" s="9">
        <f t="array" ref="P321">IFERROR(O321/G321*100,0)</f>
        <v>0</v>
      </c>
      <c r="Q321" s="143"/>
      <c r="R321" s="9">
        <f t="shared" si="36"/>
        <v>0</v>
      </c>
      <c r="S321" s="8" t="str">
        <f t="array" ref="S321">IF(R321&gt;5,"Perlu Sensus",IF(AND(R321&gt;=0,O321&gt;0),"Tetap Deteksi","Belum Deteksi"))</f>
        <v>Belum Deteksi</v>
      </c>
      <c r="T321" s="143"/>
      <c r="U321" s="9">
        <f t="shared" si="38"/>
        <v>0</v>
      </c>
      <c r="V321" s="11"/>
      <c r="W321" s="143"/>
      <c r="X321" s="143"/>
      <c r="Y321" s="9">
        <f t="shared" si="37"/>
        <v>0</v>
      </c>
      <c r="Z321" s="8" t="str">
        <f t="array" ref="Z321">IF(Y321&gt;5,"Perlu Sensus",IF(AND(Y321&gt;0,,O321&gt;0),"Tetap Deteksi","Belum Deteksi"))</f>
        <v>Belum Deteksi</v>
      </c>
      <c r="AA321" s="143"/>
      <c r="AB321" s="9">
        <f t="shared" si="39"/>
        <v>0</v>
      </c>
    </row>
    <row r="322" spans="1:28" hidden="1" x14ac:dyDescent="0.15">
      <c r="A322" s="8" t="s">
        <v>628</v>
      </c>
      <c r="B322" s="8" t="s">
        <v>47</v>
      </c>
      <c r="C322" s="8" t="s">
        <v>323</v>
      </c>
      <c r="D322" s="8" t="s">
        <v>354</v>
      </c>
      <c r="E322" s="9">
        <v>5.13</v>
      </c>
      <c r="F322" s="8" t="s">
        <v>469</v>
      </c>
      <c r="G322" s="143">
        <f t="array" ref="G322">INDEX('[23]SENSUS MEI'!$G$9:$G$453,MATCH(1,('[23]SENSUS MEI'!$D$9:$D$453=$D322)*('[23]SENSUS MEI'!$D$9:$D$453=$D322),0))</f>
        <v>713</v>
      </c>
      <c r="H322" s="132">
        <f t="shared" si="41"/>
        <v>0</v>
      </c>
      <c r="I322" s="140">
        <f t="shared" si="42"/>
        <v>0</v>
      </c>
      <c r="J322" s="9" t="str">
        <f t="shared" si="43"/>
        <v xml:space="preserve"> </v>
      </c>
      <c r="K322" s="140">
        <f t="shared" si="44"/>
        <v>0</v>
      </c>
      <c r="L322" s="206">
        <f t="shared" si="45"/>
        <v>0</v>
      </c>
      <c r="M322" s="8" t="str">
        <f t="array" ref="M322">IF(L322&gt;5,"Perlu Sensus",IF(AND(L322&gt;=0,I322&gt;0),"Tetap Deteksi","Belum Deteksi"))</f>
        <v>Belum Deteksi</v>
      </c>
      <c r="N322" s="11"/>
      <c r="O322" s="143"/>
      <c r="P322" s="9">
        <f t="array" ref="P322">IFERROR(O322/G322*100,0)</f>
        <v>0</v>
      </c>
      <c r="Q322" s="143"/>
      <c r="R322" s="9">
        <f t="shared" si="36"/>
        <v>0</v>
      </c>
      <c r="S322" s="8" t="str">
        <f t="array" ref="S322">IF(R322&gt;5,"Perlu Sensus",IF(AND(R322&gt;=0,O322&gt;0),"Tetap Deteksi","Belum Deteksi"))</f>
        <v>Belum Deteksi</v>
      </c>
      <c r="T322" s="143"/>
      <c r="U322" s="9">
        <f t="shared" si="38"/>
        <v>0</v>
      </c>
      <c r="V322" s="11"/>
      <c r="W322" s="143"/>
      <c r="X322" s="143"/>
      <c r="Y322" s="9">
        <f t="shared" si="37"/>
        <v>0</v>
      </c>
      <c r="Z322" s="8" t="str">
        <f t="array" ref="Z322">IF(Y322&gt;5,"Perlu Sensus",IF(AND(Y322&gt;0,,O322&gt;0),"Tetap Deteksi","Belum Deteksi"))</f>
        <v>Belum Deteksi</v>
      </c>
      <c r="AA322" s="143"/>
      <c r="AB322" s="9">
        <f t="shared" si="39"/>
        <v>0</v>
      </c>
    </row>
    <row r="323" spans="1:28" hidden="1" x14ac:dyDescent="0.15">
      <c r="A323" s="8" t="s">
        <v>628</v>
      </c>
      <c r="B323" s="8" t="s">
        <v>47</v>
      </c>
      <c r="C323" s="8" t="s">
        <v>323</v>
      </c>
      <c r="D323" s="8" t="s">
        <v>355</v>
      </c>
      <c r="E323" s="9">
        <v>4.8499999999999996</v>
      </c>
      <c r="F323" s="8" t="s">
        <v>469</v>
      </c>
      <c r="G323" s="143">
        <f t="array" ref="G323">INDEX('[23]SENSUS MEI'!$G$9:$G$453,MATCH(1,('[23]SENSUS MEI'!$D$9:$D$453=$D323)*('[23]SENSUS MEI'!$D$9:$D$453=$D323),0))</f>
        <v>669</v>
      </c>
      <c r="H323" s="132">
        <f t="shared" si="41"/>
        <v>0</v>
      </c>
      <c r="I323" s="140">
        <f t="shared" si="42"/>
        <v>0</v>
      </c>
      <c r="J323" s="9" t="str">
        <f t="shared" si="43"/>
        <v xml:space="preserve"> </v>
      </c>
      <c r="K323" s="140">
        <f t="shared" si="44"/>
        <v>0</v>
      </c>
      <c r="L323" s="206">
        <f t="shared" si="45"/>
        <v>0</v>
      </c>
      <c r="M323" s="8" t="str">
        <f t="array" ref="M323">IF(L323&gt;5,"Perlu Sensus",IF(AND(L323&gt;=0,I323&gt;0),"Tetap Deteksi","Belum Deteksi"))</f>
        <v>Belum Deteksi</v>
      </c>
      <c r="N323" s="11"/>
      <c r="O323" s="143"/>
      <c r="P323" s="9">
        <f t="array" ref="P323">IFERROR(O323/G323*100,0)</f>
        <v>0</v>
      </c>
      <c r="Q323" s="143"/>
      <c r="R323" s="9">
        <f t="shared" si="36"/>
        <v>0</v>
      </c>
      <c r="S323" s="8" t="str">
        <f t="array" ref="S323">IF(R323&gt;5,"Perlu Sensus",IF(AND(R323&gt;=0,O323&gt;0),"Tetap Deteksi","Belum Deteksi"))</f>
        <v>Belum Deteksi</v>
      </c>
      <c r="T323" s="143"/>
      <c r="U323" s="9">
        <f t="shared" si="38"/>
        <v>0</v>
      </c>
      <c r="V323" s="11"/>
      <c r="W323" s="143"/>
      <c r="X323" s="143"/>
      <c r="Y323" s="9">
        <f t="shared" si="37"/>
        <v>0</v>
      </c>
      <c r="Z323" s="8" t="str">
        <f t="array" ref="Z323">IF(Y323&gt;5,"Perlu Sensus",IF(AND(Y323&gt;0,,O323&gt;0),"Tetap Deteksi","Belum Deteksi"))</f>
        <v>Belum Deteksi</v>
      </c>
      <c r="AA323" s="143"/>
      <c r="AB323" s="9">
        <f t="shared" si="39"/>
        <v>0</v>
      </c>
    </row>
    <row r="324" spans="1:28" x14ac:dyDescent="0.15">
      <c r="A324" s="8" t="s">
        <v>628</v>
      </c>
      <c r="B324" s="8" t="s">
        <v>47</v>
      </c>
      <c r="C324" s="8" t="s">
        <v>345</v>
      </c>
      <c r="D324" s="8" t="s">
        <v>886</v>
      </c>
      <c r="E324" s="9">
        <v>16.95</v>
      </c>
      <c r="F324" s="8" t="s">
        <v>469</v>
      </c>
      <c r="G324" s="143">
        <f t="array" ref="G324">INDEX('[23]SENSUS MEI'!$G$9:$G$453,MATCH(1,('[23]SENSUS MEI'!$D$9:$D$453=$D324)*('[23]SENSUS MEI'!$D$9:$D$453=$D324),0))</f>
        <v>2439</v>
      </c>
      <c r="H324" s="132">
        <f t="shared" si="41"/>
        <v>46247</v>
      </c>
      <c r="I324" s="140">
        <f t="shared" si="42"/>
        <v>53</v>
      </c>
      <c r="J324" s="9">
        <f t="shared" si="43"/>
        <v>2.173021730217302</v>
      </c>
      <c r="K324" s="140">
        <f t="shared" si="44"/>
        <v>6</v>
      </c>
      <c r="L324" s="206">
        <f t="shared" si="45"/>
        <v>11.320754716981133</v>
      </c>
      <c r="M324" s="8" t="str">
        <f t="array" ref="M324">IF(L324&gt;5,"Perlu Sensus",IF(AND(L324&gt;=0,I324&gt;0),"Tetap Deteksi","Belum Deteksi"))</f>
        <v>Perlu Sensus</v>
      </c>
      <c r="N324" s="11">
        <v>46247</v>
      </c>
      <c r="O324" s="143">
        <v>53</v>
      </c>
      <c r="P324" s="9">
        <f t="array" ref="P324">IFERROR(O324/G324*100,0)</f>
        <v>2.173021730217302</v>
      </c>
      <c r="Q324" s="143">
        <v>6</v>
      </c>
      <c r="R324" s="9">
        <f t="shared" si="36"/>
        <v>11.320754716981133</v>
      </c>
      <c r="S324" s="8" t="str">
        <f t="array" ref="S324">IF(R324&gt;5,"Perlu Sensus",IF(AND(R324&gt;=0,O324&gt;0),"Tetap Deteksi","Belum Deteksi"))</f>
        <v>Perlu Sensus</v>
      </c>
      <c r="T324" s="143">
        <v>41</v>
      </c>
      <c r="U324" s="9">
        <f t="shared" si="38"/>
        <v>77.358490566037744</v>
      </c>
      <c r="V324" s="11"/>
      <c r="W324" s="143"/>
      <c r="X324" s="143"/>
      <c r="Y324" s="9">
        <f t="shared" si="37"/>
        <v>0</v>
      </c>
      <c r="Z324" s="8" t="str">
        <f t="array" ref="Z324">IF(Y324&gt;5,"Perlu Sensus",IF(AND(Y324&gt;0,,O324&gt;0),"Tetap Deteksi","Belum Deteksi"))</f>
        <v>Belum Deteksi</v>
      </c>
      <c r="AA324" s="143"/>
      <c r="AB324" s="9">
        <f t="shared" si="39"/>
        <v>0</v>
      </c>
    </row>
    <row r="325" spans="1:28" x14ac:dyDescent="0.15">
      <c r="A325" s="8" t="s">
        <v>628</v>
      </c>
      <c r="B325" s="8" t="s">
        <v>47</v>
      </c>
      <c r="C325" s="8" t="s">
        <v>345</v>
      </c>
      <c r="D325" s="8" t="s">
        <v>80</v>
      </c>
      <c r="E325" s="9">
        <v>19.489999999999998</v>
      </c>
      <c r="F325" s="8" t="s">
        <v>469</v>
      </c>
      <c r="G325" s="143">
        <f t="array" ref="G325">INDEX('[23]SENSUS MEI'!$G$9:$G$453,MATCH(1,('[23]SENSUS MEI'!$D$9:$D$453=$D325)*('[23]SENSUS MEI'!$D$9:$D$453=$D325),0))</f>
        <v>2606</v>
      </c>
      <c r="H325" s="132">
        <f t="shared" si="41"/>
        <v>46247</v>
      </c>
      <c r="I325" s="140">
        <f t="shared" si="42"/>
        <v>213</v>
      </c>
      <c r="J325" s="9">
        <f t="shared" si="43"/>
        <v>8.1734458940905608</v>
      </c>
      <c r="K325" s="140">
        <f t="shared" si="44"/>
        <v>19</v>
      </c>
      <c r="L325" s="206">
        <f t="shared" si="45"/>
        <v>8.92018779342723</v>
      </c>
      <c r="M325" s="8" t="str">
        <f t="array" ref="M325">IF(L325&gt;5,"Perlu Sensus",IF(AND(L325&gt;=0,I325&gt;0),"Tetap Deteksi","Belum Deteksi"))</f>
        <v>Perlu Sensus</v>
      </c>
      <c r="N325" s="11">
        <v>46247</v>
      </c>
      <c r="O325" s="143">
        <v>213</v>
      </c>
      <c r="P325" s="9">
        <f t="array" ref="P325">IFERROR(O325/G325*100,0)</f>
        <v>8.1734458940905608</v>
      </c>
      <c r="Q325" s="143">
        <v>19</v>
      </c>
      <c r="R325" s="9">
        <f t="shared" si="36"/>
        <v>8.92018779342723</v>
      </c>
      <c r="S325" s="8" t="str">
        <f t="array" ref="S325">IF(R325&gt;5,"Perlu Sensus",IF(AND(R325&gt;=0,O325&gt;0),"Tetap Deteksi","Belum Deteksi"))</f>
        <v>Perlu Sensus</v>
      </c>
      <c r="T325" s="143">
        <v>58</v>
      </c>
      <c r="U325" s="9">
        <f t="shared" si="38"/>
        <v>27.230046948356808</v>
      </c>
      <c r="V325" s="11"/>
      <c r="W325" s="143"/>
      <c r="X325" s="143"/>
      <c r="Y325" s="9">
        <f t="shared" si="37"/>
        <v>0</v>
      </c>
      <c r="Z325" s="8" t="str">
        <f t="array" ref="Z325">IF(Y325&gt;5,"Perlu Sensus",IF(AND(Y325&gt;0,,O325&gt;0),"Tetap Deteksi","Belum Deteksi"))</f>
        <v>Belum Deteksi</v>
      </c>
      <c r="AA325" s="143"/>
      <c r="AB325" s="9">
        <f t="shared" si="39"/>
        <v>0</v>
      </c>
    </row>
    <row r="326" spans="1:28" hidden="1" x14ac:dyDescent="0.15">
      <c r="A326" s="8" t="s">
        <v>628</v>
      </c>
      <c r="B326" s="8" t="s">
        <v>47</v>
      </c>
      <c r="C326" s="8" t="s">
        <v>345</v>
      </c>
      <c r="D326" s="8" t="s">
        <v>887</v>
      </c>
      <c r="E326" s="9">
        <v>21.89</v>
      </c>
      <c r="F326" s="8" t="s">
        <v>16</v>
      </c>
      <c r="G326" s="143">
        <f t="array" ref="G326">INDEX('[23]SENSUS MEI'!$G$9:$G$453,MATCH(1,('[23]SENSUS MEI'!$D$9:$D$453=$D326)*('[23]SENSUS MEI'!$D$9:$D$453=$D326),0))</f>
        <v>2957</v>
      </c>
      <c r="H326" s="132">
        <f t="shared" si="41"/>
        <v>0</v>
      </c>
      <c r="I326" s="140">
        <f t="shared" si="42"/>
        <v>0</v>
      </c>
      <c r="J326" s="9" t="str">
        <f t="shared" si="43"/>
        <v xml:space="preserve"> </v>
      </c>
      <c r="K326" s="140">
        <f t="shared" si="44"/>
        <v>0</v>
      </c>
      <c r="L326" s="206">
        <f t="shared" si="45"/>
        <v>0</v>
      </c>
      <c r="M326" s="8" t="str">
        <f t="array" ref="M326">IF(L326&gt;5,"Perlu Sensus",IF(AND(L326&gt;=0,I326&gt;0),"Tetap Deteksi","Belum Deteksi"))</f>
        <v>Belum Deteksi</v>
      </c>
      <c r="N326" s="11"/>
      <c r="O326" s="143"/>
      <c r="P326" s="9">
        <f t="array" ref="P326">IFERROR(O326/G326*100,0)</f>
        <v>0</v>
      </c>
      <c r="Q326" s="143"/>
      <c r="R326" s="9">
        <f t="shared" ref="R326:R389" si="46">IFERROR(Q326/O326*100,0)</f>
        <v>0</v>
      </c>
      <c r="S326" s="8" t="str">
        <f t="array" ref="S326">IF(R326&gt;5,"Perlu Sensus",IF(AND(R326&gt;=0,O326&gt;0),"Tetap Deteksi","Belum Deteksi"))</f>
        <v>Belum Deteksi</v>
      </c>
      <c r="T326" s="143"/>
      <c r="U326" s="9">
        <f t="shared" si="38"/>
        <v>0</v>
      </c>
      <c r="V326" s="11"/>
      <c r="W326" s="143"/>
      <c r="X326" s="143"/>
      <c r="Y326" s="9">
        <f t="shared" ref="Y326:Y389" si="47">IFERROR(X326/W326*100,0)</f>
        <v>0</v>
      </c>
      <c r="Z326" s="8" t="str">
        <f t="array" ref="Z326">IF(Y326&gt;5,"Perlu Sensus",IF(AND(Y326&gt;0,,O326&gt;0),"Tetap Deteksi","Belum Deteksi"))</f>
        <v>Belum Deteksi</v>
      </c>
      <c r="AA326" s="143"/>
      <c r="AB326" s="9">
        <f t="shared" si="39"/>
        <v>0</v>
      </c>
    </row>
    <row r="327" spans="1:28" hidden="1" x14ac:dyDescent="0.15">
      <c r="A327" s="8" t="s">
        <v>628</v>
      </c>
      <c r="B327" s="8" t="s">
        <v>47</v>
      </c>
      <c r="C327" s="8" t="s">
        <v>345</v>
      </c>
      <c r="D327" s="8" t="s">
        <v>888</v>
      </c>
      <c r="E327" s="9">
        <v>26.16</v>
      </c>
      <c r="F327" s="8" t="s">
        <v>16</v>
      </c>
      <c r="G327" s="143">
        <f t="array" ref="G327">INDEX('[23]SENSUS MEI'!$G$9:$G$453,MATCH(1,('[23]SENSUS MEI'!$D$9:$D$453=$D327)*('[23]SENSUS MEI'!$D$9:$D$453=$D327),0))</f>
        <v>3248</v>
      </c>
      <c r="H327" s="132">
        <f t="shared" si="41"/>
        <v>0</v>
      </c>
      <c r="I327" s="140">
        <f t="shared" si="42"/>
        <v>0</v>
      </c>
      <c r="J327" s="9" t="str">
        <f t="shared" si="43"/>
        <v xml:space="preserve"> </v>
      </c>
      <c r="K327" s="140">
        <f t="shared" si="44"/>
        <v>0</v>
      </c>
      <c r="L327" s="206">
        <f t="shared" si="45"/>
        <v>0</v>
      </c>
      <c r="M327" s="8" t="str">
        <f t="array" ref="M327">IF(L327&gt;5,"Perlu Sensus",IF(AND(L327&gt;=0,I327&gt;0),"Tetap Deteksi","Belum Deteksi"))</f>
        <v>Belum Deteksi</v>
      </c>
      <c r="N327" s="11"/>
      <c r="O327" s="143"/>
      <c r="P327" s="9">
        <f t="array" ref="P327">IFERROR(O327/G327*100,0)</f>
        <v>0</v>
      </c>
      <c r="Q327" s="143"/>
      <c r="R327" s="9">
        <f t="shared" si="46"/>
        <v>0</v>
      </c>
      <c r="S327" s="8" t="str">
        <f t="array" ref="S327">IF(R327&gt;5,"Perlu Sensus",IF(AND(R327&gt;=0,O327&gt;0),"Tetap Deteksi","Belum Deteksi"))</f>
        <v>Belum Deteksi</v>
      </c>
      <c r="T327" s="143"/>
      <c r="U327" s="9">
        <f t="shared" ref="U327:U390" si="48">IFERROR(T327/O327*100,0)</f>
        <v>0</v>
      </c>
      <c r="V327" s="11"/>
      <c r="W327" s="143"/>
      <c r="X327" s="143"/>
      <c r="Y327" s="9">
        <f t="shared" si="47"/>
        <v>0</v>
      </c>
      <c r="Z327" s="8" t="str">
        <f t="array" ref="Z327">IF(Y327&gt;5,"Perlu Sensus",IF(AND(Y327&gt;0,,O327&gt;0),"Tetap Deteksi","Belum Deteksi"))</f>
        <v>Belum Deteksi</v>
      </c>
      <c r="AA327" s="143"/>
      <c r="AB327" s="9">
        <f t="shared" ref="AB327:AB390" si="49">IFERROR(AA327/W327*100,0)</f>
        <v>0</v>
      </c>
    </row>
    <row r="328" spans="1:28" x14ac:dyDescent="0.15">
      <c r="A328" s="8" t="s">
        <v>628</v>
      </c>
      <c r="B328" s="8" t="s">
        <v>47</v>
      </c>
      <c r="C328" s="8" t="s">
        <v>345</v>
      </c>
      <c r="D328" s="8" t="s">
        <v>889</v>
      </c>
      <c r="E328" s="9">
        <v>29.8</v>
      </c>
      <c r="F328" s="8" t="s">
        <v>16</v>
      </c>
      <c r="G328" s="143">
        <f t="array" ref="G328">INDEX('[23]SENSUS MEI'!$G$9:$G$453,MATCH(1,('[23]SENSUS MEI'!$D$9:$D$453=$D328)*('[23]SENSUS MEI'!$D$9:$D$453=$D328),0))</f>
        <v>3667</v>
      </c>
      <c r="H328" s="132">
        <f t="shared" si="41"/>
        <v>46237</v>
      </c>
      <c r="I328" s="140">
        <f t="shared" si="42"/>
        <v>112</v>
      </c>
      <c r="J328" s="9">
        <f t="shared" si="43"/>
        <v>3.054267793836924</v>
      </c>
      <c r="K328" s="140">
        <f t="shared" si="44"/>
        <v>6</v>
      </c>
      <c r="L328" s="206">
        <f t="shared" si="45"/>
        <v>5.3571428571428568</v>
      </c>
      <c r="M328" s="8" t="str">
        <f t="array" ref="M328">IF(L328&gt;5,"Perlu Sensus",IF(AND(L328&gt;=0,I328&gt;0),"Tetap Deteksi","Belum Deteksi"))</f>
        <v>Perlu Sensus</v>
      </c>
      <c r="N328" s="11">
        <v>46237</v>
      </c>
      <c r="O328" s="143">
        <v>112</v>
      </c>
      <c r="P328" s="9">
        <f t="array" ref="P328">IFERROR(O328/G328*100,0)</f>
        <v>3.054267793836924</v>
      </c>
      <c r="Q328" s="143">
        <v>6</v>
      </c>
      <c r="R328" s="9">
        <f t="shared" si="46"/>
        <v>5.3571428571428568</v>
      </c>
      <c r="S328" s="8" t="str">
        <f t="array" ref="S328">IF(R328&gt;5,"Perlu Sensus",IF(AND(R328&gt;=0,O328&gt;0),"Tetap Deteksi","Belum Deteksi"))</f>
        <v>Perlu Sensus</v>
      </c>
      <c r="T328" s="143">
        <v>43</v>
      </c>
      <c r="U328" s="9">
        <f t="shared" si="48"/>
        <v>38.392857142857146</v>
      </c>
      <c r="V328" s="11"/>
      <c r="W328" s="143"/>
      <c r="X328" s="143"/>
      <c r="Y328" s="9">
        <f t="shared" si="47"/>
        <v>0</v>
      </c>
      <c r="Z328" s="8" t="str">
        <f t="array" ref="Z328">IF(Y328&gt;5,"Perlu Sensus",IF(AND(Y328&gt;0,,O328&gt;0),"Tetap Deteksi","Belum Deteksi"))</f>
        <v>Belum Deteksi</v>
      </c>
      <c r="AA328" s="143"/>
      <c r="AB328" s="9">
        <f t="shared" si="49"/>
        <v>0</v>
      </c>
    </row>
    <row r="329" spans="1:28" hidden="1" x14ac:dyDescent="0.15">
      <c r="A329" s="8" t="s">
        <v>628</v>
      </c>
      <c r="B329" s="8" t="s">
        <v>47</v>
      </c>
      <c r="C329" s="8" t="s">
        <v>345</v>
      </c>
      <c r="D329" s="8" t="s">
        <v>890</v>
      </c>
      <c r="E329" s="9">
        <v>30.54</v>
      </c>
      <c r="F329" s="8" t="s">
        <v>16</v>
      </c>
      <c r="G329" s="143">
        <f t="array" ref="G329">INDEX('[23]SENSUS MEI'!$G$9:$G$453,MATCH(1,('[23]SENSUS MEI'!$D$9:$D$453=$D329)*('[23]SENSUS MEI'!$D$9:$D$453=$D329),0))</f>
        <v>4382</v>
      </c>
      <c r="H329" s="132">
        <f t="shared" si="41"/>
        <v>0</v>
      </c>
      <c r="I329" s="140">
        <f t="shared" si="42"/>
        <v>0</v>
      </c>
      <c r="J329" s="9" t="str">
        <f t="shared" si="43"/>
        <v xml:space="preserve"> </v>
      </c>
      <c r="K329" s="140">
        <f t="shared" si="44"/>
        <v>0</v>
      </c>
      <c r="L329" s="206">
        <f t="shared" si="45"/>
        <v>0</v>
      </c>
      <c r="M329" s="8" t="str">
        <f t="array" ref="M329">IF(L329&gt;5,"Perlu Sensus",IF(AND(L329&gt;=0,I329&gt;0),"Tetap Deteksi","Belum Deteksi"))</f>
        <v>Belum Deteksi</v>
      </c>
      <c r="N329" s="11"/>
      <c r="O329" s="143"/>
      <c r="P329" s="9">
        <f t="array" ref="P329">IFERROR(O329/G329*100,0)</f>
        <v>0</v>
      </c>
      <c r="Q329" s="143"/>
      <c r="R329" s="9">
        <f t="shared" si="46"/>
        <v>0</v>
      </c>
      <c r="S329" s="8" t="str">
        <f t="array" ref="S329">IF(R329&gt;5,"Perlu Sensus",IF(AND(R329&gt;=0,O329&gt;0),"Tetap Deteksi","Belum Deteksi"))</f>
        <v>Belum Deteksi</v>
      </c>
      <c r="T329" s="143"/>
      <c r="U329" s="9">
        <f t="shared" si="48"/>
        <v>0</v>
      </c>
      <c r="V329" s="11"/>
      <c r="W329" s="143"/>
      <c r="X329" s="143"/>
      <c r="Y329" s="9">
        <f t="shared" si="47"/>
        <v>0</v>
      </c>
      <c r="Z329" s="8" t="str">
        <f t="array" ref="Z329">IF(Y329&gt;5,"Perlu Sensus",IF(AND(Y329&gt;0,,O329&gt;0),"Tetap Deteksi","Belum Deteksi"))</f>
        <v>Belum Deteksi</v>
      </c>
      <c r="AA329" s="143"/>
      <c r="AB329" s="9">
        <f t="shared" si="49"/>
        <v>0</v>
      </c>
    </row>
    <row r="330" spans="1:28" hidden="1" x14ac:dyDescent="0.15">
      <c r="A330" s="8" t="s">
        <v>628</v>
      </c>
      <c r="B330" s="8" t="s">
        <v>47</v>
      </c>
      <c r="C330" s="8" t="s">
        <v>345</v>
      </c>
      <c r="D330" s="8" t="s">
        <v>84</v>
      </c>
      <c r="E330" s="9">
        <v>49.25</v>
      </c>
      <c r="F330" s="8" t="s">
        <v>16</v>
      </c>
      <c r="G330" s="143">
        <f t="array" ref="G330">INDEX('[23]SENSUS MEI'!$G$9:$G$453,MATCH(1,('[23]SENSUS MEI'!$D$9:$D$453=$D330)*('[23]SENSUS MEI'!$D$9:$D$453=$D330),0))</f>
        <v>7016</v>
      </c>
      <c r="H330" s="132">
        <f t="shared" si="41"/>
        <v>0</v>
      </c>
      <c r="I330" s="140">
        <f t="shared" si="42"/>
        <v>0</v>
      </c>
      <c r="J330" s="9" t="str">
        <f t="shared" si="43"/>
        <v xml:space="preserve"> </v>
      </c>
      <c r="K330" s="140">
        <f t="shared" si="44"/>
        <v>0</v>
      </c>
      <c r="L330" s="206">
        <f t="shared" si="45"/>
        <v>0</v>
      </c>
      <c r="M330" s="8" t="str">
        <f t="array" ref="M330">IF(L330&gt;5,"Perlu Sensus",IF(AND(L330&gt;=0,I330&gt;0),"Tetap Deteksi","Belum Deteksi"))</f>
        <v>Belum Deteksi</v>
      </c>
      <c r="N330" s="11"/>
      <c r="O330" s="143"/>
      <c r="P330" s="9">
        <f t="array" ref="P330">IFERROR(O330/G330*100,0)</f>
        <v>0</v>
      </c>
      <c r="Q330" s="143"/>
      <c r="R330" s="9">
        <f t="shared" si="46"/>
        <v>0</v>
      </c>
      <c r="S330" s="8" t="str">
        <f t="array" ref="S330">IF(R330&gt;5,"Perlu Sensus",IF(AND(R330&gt;=0,O330&gt;0),"Tetap Deteksi","Belum Deteksi"))</f>
        <v>Belum Deteksi</v>
      </c>
      <c r="T330" s="143"/>
      <c r="U330" s="9">
        <f t="shared" si="48"/>
        <v>0</v>
      </c>
      <c r="V330" s="11"/>
      <c r="W330" s="143"/>
      <c r="X330" s="143"/>
      <c r="Y330" s="9">
        <f t="shared" si="47"/>
        <v>0</v>
      </c>
      <c r="Z330" s="8" t="str">
        <f t="array" ref="Z330">IF(Y330&gt;5,"Perlu Sensus",IF(AND(Y330&gt;0,,O330&gt;0),"Tetap Deteksi","Belum Deteksi"))</f>
        <v>Belum Deteksi</v>
      </c>
      <c r="AA330" s="143"/>
      <c r="AB330" s="9">
        <f t="shared" si="49"/>
        <v>0</v>
      </c>
    </row>
    <row r="331" spans="1:28" hidden="1" x14ac:dyDescent="0.15">
      <c r="A331" s="8" t="s">
        <v>628</v>
      </c>
      <c r="B331" s="8" t="s">
        <v>47</v>
      </c>
      <c r="C331" s="8" t="s">
        <v>345</v>
      </c>
      <c r="D331" s="8" t="s">
        <v>85</v>
      </c>
      <c r="E331" s="9">
        <v>43.27</v>
      </c>
      <c r="F331" s="8" t="s">
        <v>16</v>
      </c>
      <c r="G331" s="143">
        <f t="array" ref="G331">INDEX('[23]SENSUS MEI'!$G$9:$G$453,MATCH(1,('[23]SENSUS MEI'!$D$9:$D$453=$D331)*('[23]SENSUS MEI'!$D$9:$D$453=$D331),0))</f>
        <v>6094</v>
      </c>
      <c r="H331" s="132">
        <f t="shared" si="41"/>
        <v>0</v>
      </c>
      <c r="I331" s="140">
        <f t="shared" si="42"/>
        <v>0</v>
      </c>
      <c r="J331" s="9" t="str">
        <f t="shared" si="43"/>
        <v xml:space="preserve"> </v>
      </c>
      <c r="K331" s="140">
        <f t="shared" si="44"/>
        <v>0</v>
      </c>
      <c r="L331" s="206">
        <f t="shared" si="45"/>
        <v>0</v>
      </c>
      <c r="M331" s="8" t="str">
        <f t="array" ref="M331">IF(L331&gt;5,"Perlu Sensus",IF(AND(L331&gt;=0,I331&gt;0),"Tetap Deteksi","Belum Deteksi"))</f>
        <v>Belum Deteksi</v>
      </c>
      <c r="N331" s="11"/>
      <c r="O331" s="143"/>
      <c r="P331" s="9">
        <f t="array" ref="P331">IFERROR(O331/G331*100,0)</f>
        <v>0</v>
      </c>
      <c r="Q331" s="143"/>
      <c r="R331" s="9">
        <f t="shared" si="46"/>
        <v>0</v>
      </c>
      <c r="S331" s="8" t="str">
        <f t="array" ref="S331">IF(R331&gt;5,"Perlu Sensus",IF(AND(R331&gt;=0,O331&gt;0),"Tetap Deteksi","Belum Deteksi"))</f>
        <v>Belum Deteksi</v>
      </c>
      <c r="T331" s="143"/>
      <c r="U331" s="9">
        <f t="shared" si="48"/>
        <v>0</v>
      </c>
      <c r="V331" s="11"/>
      <c r="W331" s="143"/>
      <c r="X331" s="143"/>
      <c r="Y331" s="9">
        <f t="shared" si="47"/>
        <v>0</v>
      </c>
      <c r="Z331" s="8" t="str">
        <f t="array" ref="Z331">IF(Y331&gt;5,"Perlu Sensus",IF(AND(Y331&gt;0,,O331&gt;0),"Tetap Deteksi","Belum Deteksi"))</f>
        <v>Belum Deteksi</v>
      </c>
      <c r="AA331" s="143"/>
      <c r="AB331" s="9">
        <f t="shared" si="49"/>
        <v>0</v>
      </c>
    </row>
    <row r="332" spans="1:28" x14ac:dyDescent="0.15">
      <c r="A332" s="8" t="s">
        <v>628</v>
      </c>
      <c r="B332" s="8" t="s">
        <v>47</v>
      </c>
      <c r="C332" s="8" t="s">
        <v>345</v>
      </c>
      <c r="D332" s="8" t="s">
        <v>86</v>
      </c>
      <c r="E332" s="9">
        <v>33.26</v>
      </c>
      <c r="F332" s="8" t="s">
        <v>16</v>
      </c>
      <c r="G332" s="143">
        <f t="array" ref="G332">INDEX('[23]SENSUS MEI'!$G$9:$G$453,MATCH(1,('[23]SENSUS MEI'!$D$9:$D$453=$D332)*('[23]SENSUS MEI'!$D$9:$D$453=$D332),0))</f>
        <v>4779</v>
      </c>
      <c r="H332" s="132">
        <f t="shared" si="41"/>
        <v>46239</v>
      </c>
      <c r="I332" s="140">
        <f t="shared" si="42"/>
        <v>50</v>
      </c>
      <c r="J332" s="9" t="str">
        <f t="shared" si="43"/>
        <v xml:space="preserve"> </v>
      </c>
      <c r="K332" s="140">
        <f t="shared" si="44"/>
        <v>6</v>
      </c>
      <c r="L332" s="206">
        <f t="shared" si="45"/>
        <v>12</v>
      </c>
      <c r="M332" s="8" t="str">
        <f t="array" ref="M332">IF(L332&gt;5,"Perlu Sensus",IF(AND(L332&gt;=0,I332&gt;0),"Tetap Deteksi","Belum Deteksi"))</f>
        <v>Perlu Sensus</v>
      </c>
      <c r="N332" s="11"/>
      <c r="O332" s="143"/>
      <c r="P332" s="9">
        <f t="array" ref="P332">IFERROR(O332/G332*100,0)</f>
        <v>0</v>
      </c>
      <c r="Q332" s="143"/>
      <c r="R332" s="9">
        <f t="shared" si="46"/>
        <v>0</v>
      </c>
      <c r="S332" s="8" t="str">
        <f t="array" ref="S332">IF(R332&gt;5,"Perlu Sensus",IF(AND(R332&gt;=0,O332&gt;0),"Tetap Deteksi","Belum Deteksi"))</f>
        <v>Belum Deteksi</v>
      </c>
      <c r="T332" s="143"/>
      <c r="U332" s="9">
        <f t="shared" si="48"/>
        <v>0</v>
      </c>
      <c r="V332" s="11">
        <v>46239</v>
      </c>
      <c r="W332" s="143">
        <v>50</v>
      </c>
      <c r="X332" s="143">
        <v>6</v>
      </c>
      <c r="Y332" s="9">
        <f t="shared" si="47"/>
        <v>12</v>
      </c>
      <c r="Z332" s="8" t="str">
        <f t="array" ref="Z332">IF(Y332&gt;5,"Perlu Sensus",IF(AND(Y332&gt;0,,O332&gt;0),"Tetap Deteksi","Belum Deteksi"))</f>
        <v>Perlu Sensus</v>
      </c>
      <c r="AA332" s="143">
        <v>4</v>
      </c>
      <c r="AB332" s="9">
        <f t="shared" si="49"/>
        <v>8</v>
      </c>
    </row>
    <row r="333" spans="1:28" hidden="1" x14ac:dyDescent="0.15">
      <c r="A333" s="8" t="s">
        <v>628</v>
      </c>
      <c r="B333" s="8" t="s">
        <v>47</v>
      </c>
      <c r="C333" s="8" t="s">
        <v>345</v>
      </c>
      <c r="D333" s="8" t="s">
        <v>87</v>
      </c>
      <c r="E333" s="9">
        <v>32.44</v>
      </c>
      <c r="F333" s="8" t="s">
        <v>16</v>
      </c>
      <c r="G333" s="143">
        <f t="array" ref="G333">INDEX('[23]SENSUS MEI'!$G$9:$G$453,MATCH(1,('[23]SENSUS MEI'!$D$9:$D$453=$D333)*('[23]SENSUS MEI'!$D$9:$D$453=$D333),0))</f>
        <v>4633</v>
      </c>
      <c r="H333" s="132">
        <f t="shared" si="41"/>
        <v>0</v>
      </c>
      <c r="I333" s="140">
        <f t="shared" si="42"/>
        <v>0</v>
      </c>
      <c r="J333" s="9" t="str">
        <f t="shared" si="43"/>
        <v xml:space="preserve"> </v>
      </c>
      <c r="K333" s="140">
        <f t="shared" si="44"/>
        <v>0</v>
      </c>
      <c r="L333" s="206">
        <f t="shared" si="45"/>
        <v>0</v>
      </c>
      <c r="M333" s="8" t="str">
        <f t="array" ref="M333">IF(L333&gt;5,"Perlu Sensus",IF(AND(L333&gt;=0,I333&gt;0),"Tetap Deteksi","Belum Deteksi"))</f>
        <v>Belum Deteksi</v>
      </c>
      <c r="N333" s="11"/>
      <c r="O333" s="143"/>
      <c r="P333" s="9">
        <f t="array" ref="P333">IFERROR(O333/G333*100,0)</f>
        <v>0</v>
      </c>
      <c r="Q333" s="143"/>
      <c r="R333" s="9">
        <f t="shared" si="46"/>
        <v>0</v>
      </c>
      <c r="S333" s="8" t="str">
        <f t="array" ref="S333">IF(R333&gt;5,"Perlu Sensus",IF(AND(R333&gt;=0,O333&gt;0),"Tetap Deteksi","Belum Deteksi"))</f>
        <v>Belum Deteksi</v>
      </c>
      <c r="T333" s="143"/>
      <c r="U333" s="9">
        <f t="shared" si="48"/>
        <v>0</v>
      </c>
      <c r="V333" s="11"/>
      <c r="W333" s="143"/>
      <c r="X333" s="143"/>
      <c r="Y333" s="9">
        <f t="shared" si="47"/>
        <v>0</v>
      </c>
      <c r="Z333" s="8" t="str">
        <f t="array" ref="Z333">IF(Y333&gt;5,"Perlu Sensus",IF(AND(Y333&gt;0,,O333&gt;0),"Tetap Deteksi","Belum Deteksi"))</f>
        <v>Belum Deteksi</v>
      </c>
      <c r="AA333" s="143"/>
      <c r="AB333" s="9">
        <f t="shared" si="49"/>
        <v>0</v>
      </c>
    </row>
    <row r="334" spans="1:28" x14ac:dyDescent="0.15">
      <c r="A334" s="8" t="s">
        <v>628</v>
      </c>
      <c r="B334" s="8" t="s">
        <v>47</v>
      </c>
      <c r="C334" s="8" t="s">
        <v>345</v>
      </c>
      <c r="D334" s="8" t="s">
        <v>88</v>
      </c>
      <c r="E334" s="9">
        <v>62.29</v>
      </c>
      <c r="F334" s="8" t="s">
        <v>16</v>
      </c>
      <c r="G334" s="143">
        <f t="array" ref="G334">INDEX('[23]SENSUS MEI'!$G$9:$G$453,MATCH(1,('[23]SENSUS MEI'!$D$9:$D$453=$D334)*('[23]SENSUS MEI'!$D$9:$D$453=$D334),0))</f>
        <v>8649</v>
      </c>
      <c r="H334" s="132">
        <f t="shared" si="41"/>
        <v>46249</v>
      </c>
      <c r="I334" s="140">
        <f t="shared" si="42"/>
        <v>104</v>
      </c>
      <c r="J334" s="9">
        <f t="shared" si="43"/>
        <v>1.2024511504220141</v>
      </c>
      <c r="K334" s="140">
        <f t="shared" si="44"/>
        <v>8</v>
      </c>
      <c r="L334" s="206">
        <f t="shared" si="45"/>
        <v>7.6923076923076925</v>
      </c>
      <c r="M334" s="8" t="str">
        <f t="array" ref="M334">IF(L334&gt;5,"Perlu Sensus",IF(AND(L334&gt;=0,I334&gt;0),"Tetap Deteksi","Belum Deteksi"))</f>
        <v>Perlu Sensus</v>
      </c>
      <c r="N334" s="11">
        <v>46249</v>
      </c>
      <c r="O334" s="143">
        <v>104</v>
      </c>
      <c r="P334" s="9">
        <f t="array" ref="P334">IFERROR(O334/G334*100,0)</f>
        <v>1.2024511504220141</v>
      </c>
      <c r="Q334" s="143">
        <v>8</v>
      </c>
      <c r="R334" s="9">
        <f t="shared" si="46"/>
        <v>7.6923076923076925</v>
      </c>
      <c r="S334" s="8" t="str">
        <f t="array" ref="S334">IF(R334&gt;5,"Perlu Sensus",IF(AND(R334&gt;=0,O334&gt;0),"Tetap Deteksi","Belum Deteksi"))</f>
        <v>Perlu Sensus</v>
      </c>
      <c r="T334" s="143">
        <v>12</v>
      </c>
      <c r="U334" s="9">
        <f t="shared" si="48"/>
        <v>11.538461538461538</v>
      </c>
      <c r="V334" s="11"/>
      <c r="W334" s="143"/>
      <c r="X334" s="143"/>
      <c r="Y334" s="9">
        <f t="shared" si="47"/>
        <v>0</v>
      </c>
      <c r="Z334" s="8" t="str">
        <f t="array" ref="Z334">IF(Y334&gt;5,"Perlu Sensus",IF(AND(Y334&gt;0,,O334&gt;0),"Tetap Deteksi","Belum Deteksi"))</f>
        <v>Belum Deteksi</v>
      </c>
      <c r="AA334" s="143"/>
      <c r="AB334" s="9">
        <f t="shared" si="49"/>
        <v>0</v>
      </c>
    </row>
    <row r="335" spans="1:28" hidden="1" x14ac:dyDescent="0.15">
      <c r="A335" s="8" t="s">
        <v>628</v>
      </c>
      <c r="B335" s="8" t="s">
        <v>47</v>
      </c>
      <c r="C335" s="8" t="s">
        <v>345</v>
      </c>
      <c r="D335" s="8" t="s">
        <v>891</v>
      </c>
      <c r="E335" s="9">
        <v>56.31</v>
      </c>
      <c r="F335" s="8" t="s">
        <v>16</v>
      </c>
      <c r="G335" s="143">
        <f t="array" ref="G335">INDEX('[23]SENSUS MEI'!$G$9:$G$453,MATCH(1,('[23]SENSUS MEI'!$D$9:$D$453=$D335)*('[23]SENSUS MEI'!$D$9:$D$453=$D335),0))</f>
        <v>7784</v>
      </c>
      <c r="H335" s="132">
        <f t="shared" si="41"/>
        <v>0</v>
      </c>
      <c r="I335" s="140">
        <f t="shared" si="42"/>
        <v>0</v>
      </c>
      <c r="J335" s="9" t="str">
        <f t="shared" si="43"/>
        <v xml:space="preserve"> </v>
      </c>
      <c r="K335" s="140">
        <f t="shared" si="44"/>
        <v>0</v>
      </c>
      <c r="L335" s="206">
        <f t="shared" si="45"/>
        <v>0</v>
      </c>
      <c r="M335" s="8" t="str">
        <f t="array" ref="M335">IF(L335&gt;5,"Perlu Sensus",IF(AND(L335&gt;=0,I335&gt;0),"Tetap Deteksi","Belum Deteksi"))</f>
        <v>Belum Deteksi</v>
      </c>
      <c r="N335" s="11"/>
      <c r="O335" s="143"/>
      <c r="P335" s="9">
        <f t="array" ref="P335">IFERROR(O335/G335*100,0)</f>
        <v>0</v>
      </c>
      <c r="Q335" s="143"/>
      <c r="R335" s="9">
        <f t="shared" si="46"/>
        <v>0</v>
      </c>
      <c r="S335" s="8" t="str">
        <f t="array" ref="S335">IF(R335&gt;5,"Perlu Sensus",IF(AND(R335&gt;=0,O335&gt;0),"Tetap Deteksi","Belum Deteksi"))</f>
        <v>Belum Deteksi</v>
      </c>
      <c r="T335" s="143"/>
      <c r="U335" s="9">
        <f t="shared" si="48"/>
        <v>0</v>
      </c>
      <c r="V335" s="11"/>
      <c r="W335" s="143"/>
      <c r="X335" s="143"/>
      <c r="Y335" s="9">
        <f t="shared" si="47"/>
        <v>0</v>
      </c>
      <c r="Z335" s="8" t="str">
        <f t="array" ref="Z335">IF(Y335&gt;5,"Perlu Sensus",IF(AND(Y335&gt;0,,O335&gt;0),"Tetap Deteksi","Belum Deteksi"))</f>
        <v>Belum Deteksi</v>
      </c>
      <c r="AA335" s="143"/>
      <c r="AB335" s="9">
        <f t="shared" si="49"/>
        <v>0</v>
      </c>
    </row>
    <row r="336" spans="1:28" hidden="1" x14ac:dyDescent="0.15">
      <c r="A336" s="8" t="s">
        <v>628</v>
      </c>
      <c r="B336" s="8" t="s">
        <v>47</v>
      </c>
      <c r="C336" s="8" t="s">
        <v>345</v>
      </c>
      <c r="D336" s="8" t="s">
        <v>93</v>
      </c>
      <c r="E336" s="9">
        <v>51.11</v>
      </c>
      <c r="F336" s="8" t="s">
        <v>469</v>
      </c>
      <c r="G336" s="143">
        <f t="array" ref="G336">INDEX('[23]SENSUS MEI'!$G$9:$G$453,MATCH(1,('[23]SENSUS MEI'!$D$9:$D$453=$D336)*('[23]SENSUS MEI'!$D$9:$D$453=$D336),0))</f>
        <v>7280</v>
      </c>
      <c r="H336" s="132">
        <f t="shared" si="41"/>
        <v>0</v>
      </c>
      <c r="I336" s="140">
        <f t="shared" si="42"/>
        <v>0</v>
      </c>
      <c r="J336" s="9" t="str">
        <f t="shared" si="43"/>
        <v xml:space="preserve"> </v>
      </c>
      <c r="K336" s="140">
        <f t="shared" si="44"/>
        <v>0</v>
      </c>
      <c r="L336" s="206">
        <f t="shared" si="45"/>
        <v>0</v>
      </c>
      <c r="M336" s="8" t="str">
        <f t="array" ref="M336">IF(L336&gt;5,"Perlu Sensus",IF(AND(L336&gt;=0,I336&gt;0),"Tetap Deteksi","Belum Deteksi"))</f>
        <v>Belum Deteksi</v>
      </c>
      <c r="N336" s="11"/>
      <c r="O336" s="143"/>
      <c r="P336" s="9">
        <f t="array" ref="P336">IFERROR(O336/G336*100,0)</f>
        <v>0</v>
      </c>
      <c r="Q336" s="143"/>
      <c r="R336" s="9">
        <f t="shared" si="46"/>
        <v>0</v>
      </c>
      <c r="S336" s="8" t="str">
        <f t="array" ref="S336">IF(R336&gt;5,"Perlu Sensus",IF(AND(R336&gt;=0,O336&gt;0),"Tetap Deteksi","Belum Deteksi"))</f>
        <v>Belum Deteksi</v>
      </c>
      <c r="T336" s="143"/>
      <c r="U336" s="9">
        <f t="shared" si="48"/>
        <v>0</v>
      </c>
      <c r="V336" s="11"/>
      <c r="W336" s="143"/>
      <c r="X336" s="143"/>
      <c r="Y336" s="9">
        <f t="shared" si="47"/>
        <v>0</v>
      </c>
      <c r="Z336" s="8" t="str">
        <f t="array" ref="Z336">IF(Y336&gt;5,"Perlu Sensus",IF(AND(Y336&gt;0,,O336&gt;0),"Tetap Deteksi","Belum Deteksi"))</f>
        <v>Belum Deteksi</v>
      </c>
      <c r="AA336" s="143"/>
      <c r="AB336" s="9">
        <f t="shared" si="49"/>
        <v>0</v>
      </c>
    </row>
    <row r="337" spans="1:28" hidden="1" x14ac:dyDescent="0.15">
      <c r="A337" s="8" t="s">
        <v>628</v>
      </c>
      <c r="B337" s="8" t="s">
        <v>47</v>
      </c>
      <c r="C337" s="8" t="s">
        <v>345</v>
      </c>
      <c r="D337" s="8" t="s">
        <v>94</v>
      </c>
      <c r="E337" s="9">
        <v>26.9</v>
      </c>
      <c r="F337" s="8" t="s">
        <v>469</v>
      </c>
      <c r="G337" s="143">
        <f t="array" ref="G337">INDEX('[23]SENSUS MEI'!$G$9:$G$453,MATCH(1,('[23]SENSUS MEI'!$D$9:$D$453=$D337)*('[23]SENSUS MEI'!$D$9:$D$453=$D337),0))</f>
        <v>3733</v>
      </c>
      <c r="H337" s="132">
        <f t="shared" si="41"/>
        <v>0</v>
      </c>
      <c r="I337" s="140">
        <f t="shared" si="42"/>
        <v>0</v>
      </c>
      <c r="J337" s="9" t="str">
        <f t="shared" si="43"/>
        <v xml:space="preserve"> </v>
      </c>
      <c r="K337" s="140">
        <f t="shared" si="44"/>
        <v>0</v>
      </c>
      <c r="L337" s="206">
        <f t="shared" si="45"/>
        <v>0</v>
      </c>
      <c r="M337" s="8" t="str">
        <f t="array" ref="M337">IF(L337&gt;5,"Perlu Sensus",IF(AND(L337&gt;=0,I337&gt;0),"Tetap Deteksi","Belum Deteksi"))</f>
        <v>Belum Deteksi</v>
      </c>
      <c r="N337" s="11"/>
      <c r="O337" s="143"/>
      <c r="P337" s="9">
        <f t="array" ref="P337">IFERROR(O337/G337*100,0)</f>
        <v>0</v>
      </c>
      <c r="Q337" s="143"/>
      <c r="R337" s="9">
        <f t="shared" si="46"/>
        <v>0</v>
      </c>
      <c r="S337" s="8" t="str">
        <f t="array" ref="S337">IF(R337&gt;5,"Perlu Sensus",IF(AND(R337&gt;=0,O337&gt;0),"Tetap Deteksi","Belum Deteksi"))</f>
        <v>Belum Deteksi</v>
      </c>
      <c r="T337" s="143"/>
      <c r="U337" s="9">
        <f t="shared" si="48"/>
        <v>0</v>
      </c>
      <c r="V337" s="11"/>
      <c r="W337" s="143"/>
      <c r="X337" s="143"/>
      <c r="Y337" s="9">
        <f t="shared" si="47"/>
        <v>0</v>
      </c>
      <c r="Z337" s="8" t="str">
        <f t="array" ref="Z337">IF(Y337&gt;5,"Perlu Sensus",IF(AND(Y337&gt;0,,O337&gt;0),"Tetap Deteksi","Belum Deteksi"))</f>
        <v>Belum Deteksi</v>
      </c>
      <c r="AA337" s="143"/>
      <c r="AB337" s="9">
        <f t="shared" si="49"/>
        <v>0</v>
      </c>
    </row>
    <row r="338" spans="1:28" x14ac:dyDescent="0.15">
      <c r="A338" s="8" t="s">
        <v>628</v>
      </c>
      <c r="B338" s="8" t="s">
        <v>47</v>
      </c>
      <c r="C338" s="8" t="s">
        <v>345</v>
      </c>
      <c r="D338" s="8" t="s">
        <v>95</v>
      </c>
      <c r="E338" s="9">
        <v>3.63</v>
      </c>
      <c r="F338" s="8" t="s">
        <v>16</v>
      </c>
      <c r="G338" s="143">
        <f t="array" ref="G338">INDEX('[23]SENSUS MEI'!$G$9:$G$453,MATCH(1,('[23]SENSUS MEI'!$D$9:$D$453=$D338)*('[23]SENSUS MEI'!$D$9:$D$453=$D338),0))</f>
        <v>407</v>
      </c>
      <c r="H338" s="132">
        <f t="shared" si="41"/>
        <v>46249</v>
      </c>
      <c r="I338" s="140">
        <f t="shared" si="42"/>
        <v>105</v>
      </c>
      <c r="J338" s="9">
        <f t="shared" si="43"/>
        <v>25.798525798525802</v>
      </c>
      <c r="K338" s="140">
        <f t="shared" si="44"/>
        <v>4</v>
      </c>
      <c r="L338" s="206">
        <f t="shared" si="45"/>
        <v>3.8095238095238098</v>
      </c>
      <c r="M338" s="8" t="str">
        <f t="array" ref="M338">IF(L338&gt;5,"Perlu Sensus",IF(AND(L338&gt;=0,I338&gt;0),"Tetap Deteksi","Belum Deteksi"))</f>
        <v>Tetap Deteksi</v>
      </c>
      <c r="N338" s="11">
        <v>46249</v>
      </c>
      <c r="O338" s="143">
        <v>105</v>
      </c>
      <c r="P338" s="9">
        <f t="array" ref="P338">IFERROR(O338/G338*100,0)</f>
        <v>25.798525798525802</v>
      </c>
      <c r="Q338" s="143">
        <v>4</v>
      </c>
      <c r="R338" s="9">
        <f t="shared" si="46"/>
        <v>3.8095238095238098</v>
      </c>
      <c r="S338" s="8" t="str">
        <f t="array" ref="S338">IF(R338&gt;5,"Perlu Sensus",IF(AND(R338&gt;=0,O338&gt;0),"Tetap Deteksi","Belum Deteksi"))</f>
        <v>Tetap Deteksi</v>
      </c>
      <c r="T338" s="143">
        <v>15</v>
      </c>
      <c r="U338" s="9">
        <f t="shared" si="48"/>
        <v>14.285714285714285</v>
      </c>
      <c r="V338" s="11"/>
      <c r="W338" s="143"/>
      <c r="X338" s="143"/>
      <c r="Y338" s="9">
        <f t="shared" si="47"/>
        <v>0</v>
      </c>
      <c r="Z338" s="8" t="str">
        <f t="array" ref="Z338">IF(Y338&gt;5,"Perlu Sensus",IF(AND(Y338&gt;0,,O338&gt;0),"Tetap Deteksi","Belum Deteksi"))</f>
        <v>Belum Deteksi</v>
      </c>
      <c r="AA338" s="143"/>
      <c r="AB338" s="9">
        <f t="shared" si="49"/>
        <v>0</v>
      </c>
    </row>
    <row r="339" spans="1:28" x14ac:dyDescent="0.15">
      <c r="A339" s="8" t="s">
        <v>628</v>
      </c>
      <c r="B339" s="8" t="s">
        <v>47</v>
      </c>
      <c r="C339" s="8" t="s">
        <v>345</v>
      </c>
      <c r="D339" s="8" t="s">
        <v>96</v>
      </c>
      <c r="E339" s="9">
        <v>5.67</v>
      </c>
      <c r="F339" s="8" t="s">
        <v>16</v>
      </c>
      <c r="G339" s="143">
        <f t="array" ref="G339">INDEX('[23]SENSUS MEI'!$G$9:$G$453,MATCH(1,('[23]SENSUS MEI'!$D$9:$D$453=$D339)*('[23]SENSUS MEI'!$D$9:$D$453=$D339),0))</f>
        <v>821</v>
      </c>
      <c r="H339" s="132">
        <f t="shared" si="41"/>
        <v>46238</v>
      </c>
      <c r="I339" s="140">
        <f t="shared" si="42"/>
        <v>50</v>
      </c>
      <c r="J339" s="9" t="str">
        <f t="shared" si="43"/>
        <v xml:space="preserve"> </v>
      </c>
      <c r="K339" s="140">
        <f t="shared" si="44"/>
        <v>2</v>
      </c>
      <c r="L339" s="206">
        <f t="shared" si="45"/>
        <v>4</v>
      </c>
      <c r="M339" s="8" t="str">
        <f t="array" ref="M339">IF(L339&gt;5,"Perlu Sensus",IF(AND(L339&gt;=0,I339&gt;0),"Tetap Deteksi","Belum Deteksi"))</f>
        <v>Tetap Deteksi</v>
      </c>
      <c r="N339" s="11"/>
      <c r="O339" s="143"/>
      <c r="P339" s="9">
        <f t="array" ref="P339">IFERROR(O339/G339*100,0)</f>
        <v>0</v>
      </c>
      <c r="Q339" s="143"/>
      <c r="R339" s="9">
        <f t="shared" si="46"/>
        <v>0</v>
      </c>
      <c r="S339" s="8" t="str">
        <f t="array" ref="S339">IF(R339&gt;5,"Perlu Sensus",IF(AND(R339&gt;=0,O339&gt;0),"Tetap Deteksi","Belum Deteksi"))</f>
        <v>Belum Deteksi</v>
      </c>
      <c r="T339" s="143"/>
      <c r="U339" s="9">
        <f t="shared" si="48"/>
        <v>0</v>
      </c>
      <c r="V339" s="11">
        <v>46238</v>
      </c>
      <c r="W339" s="143">
        <v>50</v>
      </c>
      <c r="X339" s="143">
        <v>2</v>
      </c>
      <c r="Y339" s="9">
        <f t="shared" si="47"/>
        <v>4</v>
      </c>
      <c r="Z339" s="8" t="str">
        <f t="array" ref="Z339">IF(Y339&gt;5,"Perlu Sensus",IF(AND(Y339&gt;0,,O339&gt;0),"Tetap Deteksi","Belum Deteksi"))</f>
        <v>Belum Deteksi</v>
      </c>
      <c r="AA339" s="143">
        <v>4</v>
      </c>
      <c r="AB339" s="9">
        <f t="shared" si="49"/>
        <v>8</v>
      </c>
    </row>
    <row r="340" spans="1:28" hidden="1" x14ac:dyDescent="0.15">
      <c r="A340" s="8" t="s">
        <v>628</v>
      </c>
      <c r="B340" s="8" t="s">
        <v>47</v>
      </c>
      <c r="C340" s="8" t="s">
        <v>345</v>
      </c>
      <c r="D340" s="8" t="s">
        <v>97</v>
      </c>
      <c r="E340" s="9">
        <v>3.15</v>
      </c>
      <c r="F340" s="8" t="s">
        <v>16</v>
      </c>
      <c r="G340" s="143">
        <f t="array" ref="G340">INDEX('[23]SENSUS MEI'!$G$9:$G$453,MATCH(1,('[23]SENSUS MEI'!$D$9:$D$453=$D340)*('[23]SENSUS MEI'!$D$9:$D$453=$D340),0))</f>
        <v>493</v>
      </c>
      <c r="H340" s="132">
        <f t="shared" si="41"/>
        <v>0</v>
      </c>
      <c r="I340" s="140">
        <f t="shared" si="42"/>
        <v>0</v>
      </c>
      <c r="J340" s="9" t="str">
        <f t="shared" si="43"/>
        <v xml:space="preserve"> </v>
      </c>
      <c r="K340" s="140">
        <f t="shared" si="44"/>
        <v>0</v>
      </c>
      <c r="L340" s="206">
        <f t="shared" si="45"/>
        <v>0</v>
      </c>
      <c r="M340" s="8" t="str">
        <f t="array" ref="M340">IF(L340&gt;5,"Perlu Sensus",IF(AND(L340&gt;=0,I340&gt;0),"Tetap Deteksi","Belum Deteksi"))</f>
        <v>Belum Deteksi</v>
      </c>
      <c r="N340" s="11"/>
      <c r="O340" s="143"/>
      <c r="P340" s="9">
        <f t="array" ref="P340">IFERROR(O340/G340*100,0)</f>
        <v>0</v>
      </c>
      <c r="Q340" s="143"/>
      <c r="R340" s="9">
        <f t="shared" si="46"/>
        <v>0</v>
      </c>
      <c r="S340" s="8" t="str">
        <f t="array" ref="S340">IF(R340&gt;5,"Perlu Sensus",IF(AND(R340&gt;=0,O340&gt;0),"Tetap Deteksi","Belum Deteksi"))</f>
        <v>Belum Deteksi</v>
      </c>
      <c r="T340" s="143"/>
      <c r="U340" s="9">
        <f t="shared" si="48"/>
        <v>0</v>
      </c>
      <c r="V340" s="11"/>
      <c r="W340" s="143"/>
      <c r="X340" s="143"/>
      <c r="Y340" s="9">
        <f t="shared" si="47"/>
        <v>0</v>
      </c>
      <c r="Z340" s="8" t="str">
        <f t="array" ref="Z340">IF(Y340&gt;5,"Perlu Sensus",IF(AND(Y340&gt;0,,O340&gt;0),"Tetap Deteksi","Belum Deteksi"))</f>
        <v>Belum Deteksi</v>
      </c>
      <c r="AA340" s="143"/>
      <c r="AB340" s="9">
        <f t="shared" si="49"/>
        <v>0</v>
      </c>
    </row>
    <row r="341" spans="1:28" x14ac:dyDescent="0.15">
      <c r="A341" s="8" t="s">
        <v>628</v>
      </c>
      <c r="B341" s="8" t="s">
        <v>47</v>
      </c>
      <c r="C341" s="8" t="s">
        <v>345</v>
      </c>
      <c r="D341" s="8" t="s">
        <v>892</v>
      </c>
      <c r="E341" s="9">
        <v>39.79</v>
      </c>
      <c r="F341" s="8" t="s">
        <v>16</v>
      </c>
      <c r="G341" s="143">
        <f t="array" ref="G341">INDEX('[23]SENSUS MEI'!$G$9:$G$453,MATCH(1,('[23]SENSUS MEI'!$D$9:$D$453=$D341)*('[23]SENSUS MEI'!$D$9:$D$453=$D341),0))</f>
        <v>5904</v>
      </c>
      <c r="H341" s="132">
        <f t="shared" si="41"/>
        <v>46248</v>
      </c>
      <c r="I341" s="140">
        <f t="shared" si="42"/>
        <v>224</v>
      </c>
      <c r="J341" s="9">
        <f t="shared" si="43"/>
        <v>3.7940379403794036</v>
      </c>
      <c r="K341" s="140">
        <f t="shared" si="44"/>
        <v>18</v>
      </c>
      <c r="L341" s="206">
        <f t="shared" si="45"/>
        <v>8.0357142857142865</v>
      </c>
      <c r="M341" s="8" t="str">
        <f t="array" ref="M341">IF(L341&gt;5,"Perlu Sensus",IF(AND(L341&gt;=0,I341&gt;0),"Tetap Deteksi","Belum Deteksi"))</f>
        <v>Perlu Sensus</v>
      </c>
      <c r="N341" s="11">
        <v>46248</v>
      </c>
      <c r="O341" s="143">
        <v>224</v>
      </c>
      <c r="P341" s="9">
        <f t="array" ref="P341">IFERROR(O341/G341*100,0)</f>
        <v>3.7940379403794036</v>
      </c>
      <c r="Q341" s="143">
        <v>18</v>
      </c>
      <c r="R341" s="9">
        <f t="shared" si="46"/>
        <v>8.0357142857142865</v>
      </c>
      <c r="S341" s="8" t="str">
        <f t="array" ref="S341">IF(R341&gt;5,"Perlu Sensus",IF(AND(R341&gt;=0,O341&gt;0),"Tetap Deteksi","Belum Deteksi"))</f>
        <v>Perlu Sensus</v>
      </c>
      <c r="T341" s="143">
        <v>29</v>
      </c>
      <c r="U341" s="9">
        <f t="shared" si="48"/>
        <v>12.946428571428573</v>
      </c>
      <c r="V341" s="11"/>
      <c r="W341" s="143"/>
      <c r="X341" s="143"/>
      <c r="Y341" s="9">
        <f t="shared" si="47"/>
        <v>0</v>
      </c>
      <c r="Z341" s="8" t="str">
        <f t="array" ref="Z341">IF(Y341&gt;5,"Perlu Sensus",IF(AND(Y341&gt;0,,O341&gt;0),"Tetap Deteksi","Belum Deteksi"))</f>
        <v>Belum Deteksi</v>
      </c>
      <c r="AA341" s="143"/>
      <c r="AB341" s="9">
        <f t="shared" si="49"/>
        <v>0</v>
      </c>
    </row>
    <row r="342" spans="1:28" x14ac:dyDescent="0.15">
      <c r="A342" s="8" t="s">
        <v>628</v>
      </c>
      <c r="B342" s="8" t="s">
        <v>47</v>
      </c>
      <c r="C342" s="8" t="s">
        <v>345</v>
      </c>
      <c r="D342" s="8" t="s">
        <v>893</v>
      </c>
      <c r="E342" s="9">
        <v>39.520000000000003</v>
      </c>
      <c r="F342" s="8" t="s">
        <v>16</v>
      </c>
      <c r="G342" s="143">
        <f t="array" ref="G342">INDEX('[23]SENSUS MEI'!$G$9:$G$453,MATCH(1,('[23]SENSUS MEI'!$D$9:$D$453=$D342)*('[23]SENSUS MEI'!$D$9:$D$453=$D342),0))</f>
        <v>5848</v>
      </c>
      <c r="H342" s="132">
        <f t="shared" si="41"/>
        <v>46249</v>
      </c>
      <c r="I342" s="140">
        <f t="shared" si="42"/>
        <v>112</v>
      </c>
      <c r="J342" s="9">
        <f t="shared" si="43"/>
        <v>1.9151846785225719</v>
      </c>
      <c r="K342" s="140">
        <f t="shared" si="44"/>
        <v>9</v>
      </c>
      <c r="L342" s="206">
        <f t="shared" si="45"/>
        <v>8.0357142857142865</v>
      </c>
      <c r="M342" s="8" t="str">
        <f t="array" ref="M342">IF(L342&gt;5,"Perlu Sensus",IF(AND(L342&gt;=0,I342&gt;0),"Tetap Deteksi","Belum Deteksi"))</f>
        <v>Perlu Sensus</v>
      </c>
      <c r="N342" s="11">
        <v>46249</v>
      </c>
      <c r="O342" s="143">
        <v>112</v>
      </c>
      <c r="P342" s="9">
        <f t="array" ref="P342">IFERROR(O342/G342*100,0)</f>
        <v>1.9151846785225719</v>
      </c>
      <c r="Q342" s="143">
        <v>9</v>
      </c>
      <c r="R342" s="9">
        <f t="shared" si="46"/>
        <v>8.0357142857142865</v>
      </c>
      <c r="S342" s="8" t="str">
        <f t="array" ref="S342">IF(R342&gt;5,"Perlu Sensus",IF(AND(R342&gt;=0,O342&gt;0),"Tetap Deteksi","Belum Deteksi"))</f>
        <v>Perlu Sensus</v>
      </c>
      <c r="T342" s="143">
        <v>22</v>
      </c>
      <c r="U342" s="9">
        <f t="shared" si="48"/>
        <v>19.642857142857142</v>
      </c>
      <c r="V342" s="11"/>
      <c r="W342" s="143"/>
      <c r="X342" s="143"/>
      <c r="Y342" s="9">
        <f t="shared" si="47"/>
        <v>0</v>
      </c>
      <c r="Z342" s="8" t="str">
        <f t="array" ref="Z342">IF(Y342&gt;5,"Perlu Sensus",IF(AND(Y342&gt;0,,O342&gt;0),"Tetap Deteksi","Belum Deteksi"))</f>
        <v>Belum Deteksi</v>
      </c>
      <c r="AA342" s="143"/>
      <c r="AB342" s="9">
        <f t="shared" si="49"/>
        <v>0</v>
      </c>
    </row>
    <row r="343" spans="1:28" hidden="1" x14ac:dyDescent="0.15">
      <c r="A343" s="8" t="s">
        <v>628</v>
      </c>
      <c r="B343" s="8" t="s">
        <v>47</v>
      </c>
      <c r="C343" s="8" t="s">
        <v>345</v>
      </c>
      <c r="D343" s="8" t="s">
        <v>894</v>
      </c>
      <c r="E343" s="9">
        <v>60.46</v>
      </c>
      <c r="F343" s="8" t="s">
        <v>16</v>
      </c>
      <c r="G343" s="143">
        <f t="array" ref="G343">INDEX('[23]SENSUS MEI'!$G$9:$G$453,MATCH(1,('[23]SENSUS MEI'!$D$9:$D$453=$D343)*('[23]SENSUS MEI'!$D$9:$D$453=$D343),0))</f>
        <v>8817</v>
      </c>
      <c r="H343" s="132">
        <f t="shared" si="41"/>
        <v>0</v>
      </c>
      <c r="I343" s="140">
        <f t="shared" si="42"/>
        <v>0</v>
      </c>
      <c r="J343" s="9" t="str">
        <f t="shared" si="43"/>
        <v xml:space="preserve"> </v>
      </c>
      <c r="K343" s="140">
        <f t="shared" si="44"/>
        <v>0</v>
      </c>
      <c r="L343" s="206">
        <f t="shared" si="45"/>
        <v>0</v>
      </c>
      <c r="M343" s="8" t="str">
        <f t="array" ref="M343">IF(L343&gt;5,"Perlu Sensus",IF(AND(L343&gt;=0,I343&gt;0),"Tetap Deteksi","Belum Deteksi"))</f>
        <v>Belum Deteksi</v>
      </c>
      <c r="N343" s="11"/>
      <c r="O343" s="143"/>
      <c r="P343" s="9">
        <f t="array" ref="P343">IFERROR(O343/G343*100,0)</f>
        <v>0</v>
      </c>
      <c r="Q343" s="143"/>
      <c r="R343" s="9">
        <f t="shared" si="46"/>
        <v>0</v>
      </c>
      <c r="S343" s="8" t="str">
        <f t="array" ref="S343">IF(R343&gt;5,"Perlu Sensus",IF(AND(R343&gt;=0,O343&gt;0),"Tetap Deteksi","Belum Deteksi"))</f>
        <v>Belum Deteksi</v>
      </c>
      <c r="T343" s="143"/>
      <c r="U343" s="9">
        <f t="shared" si="48"/>
        <v>0</v>
      </c>
      <c r="V343" s="11"/>
      <c r="W343" s="143"/>
      <c r="X343" s="143"/>
      <c r="Y343" s="9">
        <f t="shared" si="47"/>
        <v>0</v>
      </c>
      <c r="Z343" s="8" t="str">
        <f t="array" ref="Z343">IF(Y343&gt;5,"Perlu Sensus",IF(AND(Y343&gt;0,,O343&gt;0),"Tetap Deteksi","Belum Deteksi"))</f>
        <v>Belum Deteksi</v>
      </c>
      <c r="AA343" s="143"/>
      <c r="AB343" s="9">
        <f t="shared" si="49"/>
        <v>0</v>
      </c>
    </row>
    <row r="344" spans="1:28" hidden="1" x14ac:dyDescent="0.15">
      <c r="A344" s="8" t="s">
        <v>628</v>
      </c>
      <c r="B344" s="8" t="s">
        <v>47</v>
      </c>
      <c r="C344" s="8" t="s">
        <v>345</v>
      </c>
      <c r="D344" s="8" t="s">
        <v>895</v>
      </c>
      <c r="E344" s="9">
        <v>45.45</v>
      </c>
      <c r="F344" s="8" t="s">
        <v>16</v>
      </c>
      <c r="G344" s="143">
        <f t="array" ref="G344">INDEX('[23]SENSUS MEI'!$G$9:$G$453,MATCH(1,('[23]SENSUS MEI'!$D$9:$D$453=$D344)*('[23]SENSUS MEI'!$D$9:$D$453=$D344),0))</f>
        <v>6763</v>
      </c>
      <c r="H344" s="132">
        <f t="shared" si="41"/>
        <v>0</v>
      </c>
      <c r="I344" s="140">
        <f t="shared" si="42"/>
        <v>0</v>
      </c>
      <c r="J344" s="9" t="str">
        <f t="shared" si="43"/>
        <v xml:space="preserve"> </v>
      </c>
      <c r="K344" s="140">
        <f t="shared" si="44"/>
        <v>0</v>
      </c>
      <c r="L344" s="206">
        <f t="shared" si="45"/>
        <v>0</v>
      </c>
      <c r="M344" s="8" t="str">
        <f t="array" ref="M344">IF(L344&gt;5,"Perlu Sensus",IF(AND(L344&gt;=0,I344&gt;0),"Tetap Deteksi","Belum Deteksi"))</f>
        <v>Belum Deteksi</v>
      </c>
      <c r="N344" s="11"/>
      <c r="O344" s="143"/>
      <c r="P344" s="9">
        <f t="array" ref="P344">IFERROR(O344/G344*100,0)</f>
        <v>0</v>
      </c>
      <c r="Q344" s="143"/>
      <c r="R344" s="9">
        <f t="shared" si="46"/>
        <v>0</v>
      </c>
      <c r="S344" s="8" t="str">
        <f t="array" ref="S344">IF(R344&gt;5,"Perlu Sensus",IF(AND(R344&gt;=0,O344&gt;0),"Tetap Deteksi","Belum Deteksi"))</f>
        <v>Belum Deteksi</v>
      </c>
      <c r="T344" s="143"/>
      <c r="U344" s="9">
        <f t="shared" si="48"/>
        <v>0</v>
      </c>
      <c r="V344" s="11"/>
      <c r="W344" s="143"/>
      <c r="X344" s="143"/>
      <c r="Y344" s="9">
        <f t="shared" si="47"/>
        <v>0</v>
      </c>
      <c r="Z344" s="8" t="str">
        <f t="array" ref="Z344">IF(Y344&gt;5,"Perlu Sensus",IF(AND(Y344&gt;0,,O344&gt;0),"Tetap Deteksi","Belum Deteksi"))</f>
        <v>Belum Deteksi</v>
      </c>
      <c r="AA344" s="143"/>
      <c r="AB344" s="9">
        <f t="shared" si="49"/>
        <v>0</v>
      </c>
    </row>
    <row r="345" spans="1:28" hidden="1" x14ac:dyDescent="0.15">
      <c r="A345" s="8" t="s">
        <v>628</v>
      </c>
      <c r="B345" s="8" t="s">
        <v>47</v>
      </c>
      <c r="C345" s="8" t="s">
        <v>345</v>
      </c>
      <c r="D345" s="8" t="s">
        <v>896</v>
      </c>
      <c r="E345" s="9">
        <v>64.260000000000005</v>
      </c>
      <c r="F345" s="8" t="s">
        <v>16</v>
      </c>
      <c r="G345" s="143">
        <f t="array" ref="G345">INDEX('[23]SENSUS MEI'!$G$9:$G$453,MATCH(1,('[23]SENSUS MEI'!$D$9:$D$453=$D345)*('[23]SENSUS MEI'!$D$9:$D$453=$D345),0))</f>
        <v>9219</v>
      </c>
      <c r="H345" s="132">
        <f t="shared" si="41"/>
        <v>0</v>
      </c>
      <c r="I345" s="140">
        <f t="shared" si="42"/>
        <v>0</v>
      </c>
      <c r="J345" s="9" t="str">
        <f t="shared" si="43"/>
        <v xml:space="preserve"> </v>
      </c>
      <c r="K345" s="140">
        <f t="shared" si="44"/>
        <v>0</v>
      </c>
      <c r="L345" s="206">
        <f t="shared" si="45"/>
        <v>0</v>
      </c>
      <c r="M345" s="8" t="str">
        <f t="array" ref="M345">IF(L345&gt;5,"Perlu Sensus",IF(AND(L345&gt;=0,I345&gt;0),"Tetap Deteksi","Belum Deteksi"))</f>
        <v>Belum Deteksi</v>
      </c>
      <c r="N345" s="11"/>
      <c r="O345" s="143"/>
      <c r="P345" s="9">
        <f t="array" ref="P345">IFERROR(O345/G345*100,0)</f>
        <v>0</v>
      </c>
      <c r="Q345" s="143"/>
      <c r="R345" s="9">
        <f t="shared" si="46"/>
        <v>0</v>
      </c>
      <c r="S345" s="8" t="str">
        <f t="array" ref="S345">IF(R345&gt;5,"Perlu Sensus",IF(AND(R345&gt;=0,O345&gt;0),"Tetap Deteksi","Belum Deteksi"))</f>
        <v>Belum Deteksi</v>
      </c>
      <c r="T345" s="143"/>
      <c r="U345" s="9">
        <f t="shared" si="48"/>
        <v>0</v>
      </c>
      <c r="V345" s="11"/>
      <c r="W345" s="143"/>
      <c r="X345" s="143"/>
      <c r="Y345" s="9">
        <f t="shared" si="47"/>
        <v>0</v>
      </c>
      <c r="Z345" s="8" t="str">
        <f t="array" ref="Z345">IF(Y345&gt;5,"Perlu Sensus",IF(AND(Y345&gt;0,,O345&gt;0),"Tetap Deteksi","Belum Deteksi"))</f>
        <v>Belum Deteksi</v>
      </c>
      <c r="AA345" s="143"/>
      <c r="AB345" s="9">
        <f t="shared" si="49"/>
        <v>0</v>
      </c>
    </row>
    <row r="346" spans="1:28" hidden="1" x14ac:dyDescent="0.15">
      <c r="A346" s="8" t="s">
        <v>628</v>
      </c>
      <c r="B346" s="8" t="s">
        <v>47</v>
      </c>
      <c r="C346" s="8" t="s">
        <v>345</v>
      </c>
      <c r="D346" s="8" t="s">
        <v>897</v>
      </c>
      <c r="E346" s="9">
        <v>54.43</v>
      </c>
      <c r="F346" s="8" t="s">
        <v>16</v>
      </c>
      <c r="G346" s="143">
        <f t="array" ref="G346">INDEX('[23]SENSUS MEI'!$G$9:$G$453,MATCH(1,('[23]SENSUS MEI'!$D$9:$D$453=$D346)*('[23]SENSUS MEI'!$D$9:$D$453=$D346),0))</f>
        <v>7454</v>
      </c>
      <c r="H346" s="132">
        <f t="shared" si="41"/>
        <v>0</v>
      </c>
      <c r="I346" s="140">
        <f t="shared" si="42"/>
        <v>0</v>
      </c>
      <c r="J346" s="9" t="str">
        <f t="shared" si="43"/>
        <v xml:space="preserve"> </v>
      </c>
      <c r="K346" s="140">
        <f t="shared" si="44"/>
        <v>0</v>
      </c>
      <c r="L346" s="206">
        <f t="shared" si="45"/>
        <v>0</v>
      </c>
      <c r="M346" s="8" t="str">
        <f t="array" ref="M346">IF(L346&gt;5,"Perlu Sensus",IF(AND(L346&gt;=0,I346&gt;0),"Tetap Deteksi","Belum Deteksi"))</f>
        <v>Belum Deteksi</v>
      </c>
      <c r="N346" s="11"/>
      <c r="O346" s="143"/>
      <c r="P346" s="9">
        <f t="array" ref="P346">IFERROR(O346/G346*100,0)</f>
        <v>0</v>
      </c>
      <c r="Q346" s="143"/>
      <c r="R346" s="9">
        <f t="shared" si="46"/>
        <v>0</v>
      </c>
      <c r="S346" s="8" t="str">
        <f t="array" ref="S346">IF(R346&gt;5,"Perlu Sensus",IF(AND(R346&gt;=0,O346&gt;0),"Tetap Deteksi","Belum Deteksi"))</f>
        <v>Belum Deteksi</v>
      </c>
      <c r="T346" s="143"/>
      <c r="U346" s="9">
        <f t="shared" si="48"/>
        <v>0</v>
      </c>
      <c r="V346" s="11"/>
      <c r="W346" s="143"/>
      <c r="X346" s="143"/>
      <c r="Y346" s="9">
        <f t="shared" si="47"/>
        <v>0</v>
      </c>
      <c r="Z346" s="8" t="str">
        <f t="array" ref="Z346">IF(Y346&gt;5,"Perlu Sensus",IF(AND(Y346&gt;0,,O346&gt;0),"Tetap Deteksi","Belum Deteksi"))</f>
        <v>Belum Deteksi</v>
      </c>
      <c r="AA346" s="143"/>
      <c r="AB346" s="9">
        <f t="shared" si="49"/>
        <v>0</v>
      </c>
    </row>
    <row r="347" spans="1:28" hidden="1" x14ac:dyDescent="0.15">
      <c r="A347" s="8" t="s">
        <v>628</v>
      </c>
      <c r="B347" s="8" t="s">
        <v>47</v>
      </c>
      <c r="C347" s="8" t="s">
        <v>345</v>
      </c>
      <c r="D347" s="8" t="s">
        <v>898</v>
      </c>
      <c r="E347" s="9">
        <v>38.65</v>
      </c>
      <c r="F347" s="8" t="s">
        <v>16</v>
      </c>
      <c r="G347" s="143">
        <f t="array" ref="G347">INDEX('[23]SENSUS MEI'!$G$9:$G$453,MATCH(1,('[23]SENSUS MEI'!$D$9:$D$453=$D347)*('[23]SENSUS MEI'!$D$9:$D$453=$D347),0))</f>
        <v>6130</v>
      </c>
      <c r="H347" s="132">
        <f t="shared" si="41"/>
        <v>0</v>
      </c>
      <c r="I347" s="140">
        <f t="shared" si="42"/>
        <v>0</v>
      </c>
      <c r="J347" s="9" t="str">
        <f t="shared" si="43"/>
        <v xml:space="preserve"> </v>
      </c>
      <c r="K347" s="140">
        <f t="shared" si="44"/>
        <v>0</v>
      </c>
      <c r="L347" s="206">
        <f t="shared" si="45"/>
        <v>0</v>
      </c>
      <c r="M347" s="8" t="str">
        <f t="array" ref="M347">IF(L347&gt;5,"Perlu Sensus",IF(AND(L347&gt;=0,I347&gt;0),"Tetap Deteksi","Belum Deteksi"))</f>
        <v>Belum Deteksi</v>
      </c>
      <c r="N347" s="11"/>
      <c r="O347" s="143"/>
      <c r="P347" s="9">
        <f t="array" ref="P347">IFERROR(O347/G347*100,0)</f>
        <v>0</v>
      </c>
      <c r="Q347" s="143"/>
      <c r="R347" s="9">
        <f t="shared" si="46"/>
        <v>0</v>
      </c>
      <c r="S347" s="8" t="str">
        <f t="array" ref="S347">IF(R347&gt;5,"Perlu Sensus",IF(AND(R347&gt;=0,O347&gt;0),"Tetap Deteksi","Belum Deteksi"))</f>
        <v>Belum Deteksi</v>
      </c>
      <c r="T347" s="143"/>
      <c r="U347" s="9">
        <f t="shared" si="48"/>
        <v>0</v>
      </c>
      <c r="V347" s="11"/>
      <c r="W347" s="143"/>
      <c r="X347" s="143"/>
      <c r="Y347" s="9">
        <f t="shared" si="47"/>
        <v>0</v>
      </c>
      <c r="Z347" s="8" t="str">
        <f t="array" ref="Z347">IF(Y347&gt;5,"Perlu Sensus",IF(AND(Y347&gt;0,,O347&gt;0),"Tetap Deteksi","Belum Deteksi"))</f>
        <v>Belum Deteksi</v>
      </c>
      <c r="AA347" s="143"/>
      <c r="AB347" s="9">
        <f t="shared" si="49"/>
        <v>0</v>
      </c>
    </row>
    <row r="348" spans="1:28" hidden="1" x14ac:dyDescent="0.15">
      <c r="A348" s="8" t="s">
        <v>628</v>
      </c>
      <c r="B348" s="8" t="s">
        <v>47</v>
      </c>
      <c r="C348" s="8" t="s">
        <v>345</v>
      </c>
      <c r="D348" s="8" t="s">
        <v>899</v>
      </c>
      <c r="E348" s="9">
        <v>37.64</v>
      </c>
      <c r="F348" s="8" t="s">
        <v>16</v>
      </c>
      <c r="G348" s="143">
        <f t="array" ref="G348">INDEX('[23]SENSUS MEI'!$G$9:$G$453,MATCH(1,('[23]SENSUS MEI'!$D$9:$D$453=$D348)*('[23]SENSUS MEI'!$D$9:$D$453=$D348),0))</f>
        <v>5301</v>
      </c>
      <c r="H348" s="132">
        <f t="shared" si="41"/>
        <v>0</v>
      </c>
      <c r="I348" s="140">
        <f t="shared" si="42"/>
        <v>0</v>
      </c>
      <c r="J348" s="9" t="str">
        <f t="shared" si="43"/>
        <v xml:space="preserve"> </v>
      </c>
      <c r="K348" s="140">
        <f t="shared" si="44"/>
        <v>0</v>
      </c>
      <c r="L348" s="206">
        <f t="shared" si="45"/>
        <v>0</v>
      </c>
      <c r="M348" s="8" t="str">
        <f t="array" ref="M348">IF(L348&gt;5,"Perlu Sensus",IF(AND(L348&gt;=0,I348&gt;0),"Tetap Deteksi","Belum Deteksi"))</f>
        <v>Belum Deteksi</v>
      </c>
      <c r="N348" s="11"/>
      <c r="O348" s="143"/>
      <c r="P348" s="9">
        <f t="array" ref="P348">IFERROR(O348/G348*100,0)</f>
        <v>0</v>
      </c>
      <c r="Q348" s="143"/>
      <c r="R348" s="9">
        <f t="shared" si="46"/>
        <v>0</v>
      </c>
      <c r="S348" s="8" t="str">
        <f t="array" ref="S348">IF(R348&gt;5,"Perlu Sensus",IF(AND(R348&gt;=0,O348&gt;0),"Tetap Deteksi","Belum Deteksi"))</f>
        <v>Belum Deteksi</v>
      </c>
      <c r="T348" s="143"/>
      <c r="U348" s="9">
        <f t="shared" si="48"/>
        <v>0</v>
      </c>
      <c r="V348" s="11"/>
      <c r="W348" s="143"/>
      <c r="X348" s="143"/>
      <c r="Y348" s="9">
        <f t="shared" si="47"/>
        <v>0</v>
      </c>
      <c r="Z348" s="8" t="str">
        <f t="array" ref="Z348">IF(Y348&gt;5,"Perlu Sensus",IF(AND(Y348&gt;0,,O348&gt;0),"Tetap Deteksi","Belum Deteksi"))</f>
        <v>Belum Deteksi</v>
      </c>
      <c r="AA348" s="143"/>
      <c r="AB348" s="9">
        <f t="shared" si="49"/>
        <v>0</v>
      </c>
    </row>
    <row r="349" spans="1:28" hidden="1" x14ac:dyDescent="0.15">
      <c r="A349" s="8" t="s">
        <v>628</v>
      </c>
      <c r="B349" s="8" t="s">
        <v>47</v>
      </c>
      <c r="C349" s="8" t="s">
        <v>380</v>
      </c>
      <c r="D349" s="8" t="s">
        <v>44</v>
      </c>
      <c r="E349" s="9">
        <v>1.9</v>
      </c>
      <c r="F349" s="8" t="s">
        <v>469</v>
      </c>
      <c r="G349" s="143">
        <f t="array" ref="G349">INDEX('[23]SENSUS MEI'!$G$9:$G$453,MATCH(1,('[23]SENSUS MEI'!$D$9:$D$453=$D349)*('[23]SENSUS MEI'!$D$9:$D$453=$D349),0))</f>
        <v>271</v>
      </c>
      <c r="H349" s="132">
        <f t="shared" si="41"/>
        <v>0</v>
      </c>
      <c r="I349" s="140">
        <f t="shared" si="42"/>
        <v>0</v>
      </c>
      <c r="J349" s="9" t="str">
        <f t="shared" si="43"/>
        <v xml:space="preserve"> </v>
      </c>
      <c r="K349" s="140">
        <f t="shared" si="44"/>
        <v>0</v>
      </c>
      <c r="L349" s="206">
        <f t="shared" si="45"/>
        <v>0</v>
      </c>
      <c r="M349" s="8" t="str">
        <f t="array" ref="M349">IF(L349&gt;5,"Perlu Sensus",IF(AND(L349&gt;=0,I349&gt;0),"Tetap Deteksi","Belum Deteksi"))</f>
        <v>Belum Deteksi</v>
      </c>
      <c r="N349" s="11"/>
      <c r="O349" s="143"/>
      <c r="P349" s="9">
        <f t="array" ref="P349">IFERROR(O349/G349*100,0)</f>
        <v>0</v>
      </c>
      <c r="Q349" s="143"/>
      <c r="R349" s="9">
        <f t="shared" si="46"/>
        <v>0</v>
      </c>
      <c r="S349" s="8" t="str">
        <f t="array" ref="S349">IF(R349&gt;5,"Perlu Sensus",IF(AND(R349&gt;=0,O349&gt;0),"Tetap Deteksi","Belum Deteksi"))</f>
        <v>Belum Deteksi</v>
      </c>
      <c r="T349" s="143"/>
      <c r="U349" s="9">
        <f t="shared" si="48"/>
        <v>0</v>
      </c>
      <c r="V349" s="11"/>
      <c r="W349" s="143"/>
      <c r="X349" s="143"/>
      <c r="Y349" s="9">
        <f t="shared" si="47"/>
        <v>0</v>
      </c>
      <c r="Z349" s="8" t="str">
        <f t="array" ref="Z349">IF(Y349&gt;5,"Perlu Sensus",IF(AND(Y349&gt;0,,O349&gt;0),"Tetap Deteksi","Belum Deteksi"))</f>
        <v>Belum Deteksi</v>
      </c>
      <c r="AA349" s="143"/>
      <c r="AB349" s="9">
        <f t="shared" si="49"/>
        <v>0</v>
      </c>
    </row>
    <row r="350" spans="1:28" hidden="1" x14ac:dyDescent="0.15">
      <c r="A350" s="8" t="s">
        <v>628</v>
      </c>
      <c r="B350" s="8" t="s">
        <v>47</v>
      </c>
      <c r="C350" s="8" t="s">
        <v>380</v>
      </c>
      <c r="D350" s="8" t="s">
        <v>45</v>
      </c>
      <c r="E350" s="9">
        <v>6.09</v>
      </c>
      <c r="F350" s="8" t="s">
        <v>469</v>
      </c>
      <c r="G350" s="143">
        <f t="array" ref="G350">INDEX('[23]SENSUS MEI'!$G$9:$G$453,MATCH(1,('[23]SENSUS MEI'!$D$9:$D$453=$D350)*('[23]SENSUS MEI'!$D$9:$D$453=$D350),0))</f>
        <v>667</v>
      </c>
      <c r="H350" s="132">
        <f t="shared" si="41"/>
        <v>0</v>
      </c>
      <c r="I350" s="140">
        <f t="shared" si="42"/>
        <v>0</v>
      </c>
      <c r="J350" s="9" t="str">
        <f t="shared" si="43"/>
        <v xml:space="preserve"> </v>
      </c>
      <c r="K350" s="140">
        <f t="shared" si="44"/>
        <v>0</v>
      </c>
      <c r="L350" s="206">
        <f t="shared" si="45"/>
        <v>0</v>
      </c>
      <c r="M350" s="8" t="str">
        <f t="array" ref="M350">IF(L350&gt;5,"Perlu Sensus",IF(AND(L350&gt;=0,I350&gt;0),"Tetap Deteksi","Belum Deteksi"))</f>
        <v>Belum Deteksi</v>
      </c>
      <c r="N350" s="11"/>
      <c r="O350" s="143"/>
      <c r="P350" s="9">
        <f t="array" ref="P350">IFERROR(O350/G350*100,0)</f>
        <v>0</v>
      </c>
      <c r="Q350" s="143"/>
      <c r="R350" s="9">
        <f t="shared" si="46"/>
        <v>0</v>
      </c>
      <c r="S350" s="8" t="str">
        <f t="array" ref="S350">IF(R350&gt;5,"Perlu Sensus",IF(AND(R350&gt;=0,O350&gt;0),"Tetap Deteksi","Belum Deteksi"))</f>
        <v>Belum Deteksi</v>
      </c>
      <c r="T350" s="143"/>
      <c r="U350" s="9">
        <f t="shared" si="48"/>
        <v>0</v>
      </c>
      <c r="V350" s="11"/>
      <c r="W350" s="143"/>
      <c r="X350" s="143"/>
      <c r="Y350" s="9">
        <f t="shared" si="47"/>
        <v>0</v>
      </c>
      <c r="Z350" s="8" t="str">
        <f t="array" ref="Z350">IF(Y350&gt;5,"Perlu Sensus",IF(AND(Y350&gt;0,,O350&gt;0),"Tetap Deteksi","Belum Deteksi"))</f>
        <v>Belum Deteksi</v>
      </c>
      <c r="AA350" s="143"/>
      <c r="AB350" s="9">
        <f t="shared" si="49"/>
        <v>0</v>
      </c>
    </row>
    <row r="351" spans="1:28" hidden="1" x14ac:dyDescent="0.15">
      <c r="A351" s="8" t="s">
        <v>628</v>
      </c>
      <c r="B351" s="8" t="s">
        <v>47</v>
      </c>
      <c r="C351" s="8" t="s">
        <v>380</v>
      </c>
      <c r="D351" s="8" t="s">
        <v>46</v>
      </c>
      <c r="E351" s="9">
        <v>9.68</v>
      </c>
      <c r="F351" s="8" t="s">
        <v>469</v>
      </c>
      <c r="G351" s="143">
        <f t="array" ref="G351">INDEX('[23]SENSUS MEI'!$G$9:$G$453,MATCH(1,('[23]SENSUS MEI'!$D$9:$D$453=$D351)*('[23]SENSUS MEI'!$D$9:$D$453=$D351),0))</f>
        <v>1097</v>
      </c>
      <c r="H351" s="132">
        <f t="shared" si="41"/>
        <v>0</v>
      </c>
      <c r="I351" s="140">
        <f t="shared" si="42"/>
        <v>0</v>
      </c>
      <c r="J351" s="9" t="str">
        <f t="shared" si="43"/>
        <v xml:space="preserve"> </v>
      </c>
      <c r="K351" s="140">
        <f t="shared" si="44"/>
        <v>0</v>
      </c>
      <c r="L351" s="206">
        <f t="shared" si="45"/>
        <v>0</v>
      </c>
      <c r="M351" s="8" t="str">
        <f t="array" ref="M351">IF(L351&gt;5,"Perlu Sensus",IF(AND(L351&gt;=0,I351&gt;0),"Tetap Deteksi","Belum Deteksi"))</f>
        <v>Belum Deteksi</v>
      </c>
      <c r="N351" s="11"/>
      <c r="O351" s="143"/>
      <c r="P351" s="9">
        <f t="array" ref="P351">IFERROR(O351/G351*100,0)</f>
        <v>0</v>
      </c>
      <c r="Q351" s="143"/>
      <c r="R351" s="9">
        <f t="shared" si="46"/>
        <v>0</v>
      </c>
      <c r="S351" s="8" t="str">
        <f t="array" ref="S351">IF(R351&gt;5,"Perlu Sensus",IF(AND(R351&gt;=0,O351&gt;0),"Tetap Deteksi","Belum Deteksi"))</f>
        <v>Belum Deteksi</v>
      </c>
      <c r="T351" s="143"/>
      <c r="U351" s="9">
        <f t="shared" si="48"/>
        <v>0</v>
      </c>
      <c r="V351" s="11"/>
      <c r="W351" s="143"/>
      <c r="X351" s="143"/>
      <c r="Y351" s="9">
        <f t="shared" si="47"/>
        <v>0</v>
      </c>
      <c r="Z351" s="8" t="str">
        <f t="array" ref="Z351">IF(Y351&gt;5,"Perlu Sensus",IF(AND(Y351&gt;0,,O351&gt;0),"Tetap Deteksi","Belum Deteksi"))</f>
        <v>Belum Deteksi</v>
      </c>
      <c r="AA351" s="143"/>
      <c r="AB351" s="9">
        <f t="shared" si="49"/>
        <v>0</v>
      </c>
    </row>
    <row r="352" spans="1:28" hidden="1" x14ac:dyDescent="0.15">
      <c r="A352" s="8" t="s">
        <v>628</v>
      </c>
      <c r="B352" s="8" t="s">
        <v>47</v>
      </c>
      <c r="C352" s="8" t="s">
        <v>380</v>
      </c>
      <c r="D352" s="8" t="s">
        <v>900</v>
      </c>
      <c r="E352" s="9">
        <v>8.93</v>
      </c>
      <c r="F352" s="8" t="s">
        <v>469</v>
      </c>
      <c r="G352" s="143">
        <f t="array" ref="G352">INDEX('[23]SENSUS MEI'!$G$9:$G$453,MATCH(1,('[23]SENSUS MEI'!$D$9:$D$453=$D352)*('[23]SENSUS MEI'!$D$9:$D$453=$D352),0))</f>
        <v>965</v>
      </c>
      <c r="H352" s="132">
        <f t="shared" si="41"/>
        <v>0</v>
      </c>
      <c r="I352" s="140">
        <f t="shared" si="42"/>
        <v>0</v>
      </c>
      <c r="J352" s="9" t="str">
        <f t="shared" si="43"/>
        <v xml:space="preserve"> </v>
      </c>
      <c r="K352" s="140">
        <f t="shared" si="44"/>
        <v>0</v>
      </c>
      <c r="L352" s="206">
        <f t="shared" si="45"/>
        <v>0</v>
      </c>
      <c r="M352" s="8" t="str">
        <f t="array" ref="M352">IF(L352&gt;5,"Perlu Sensus",IF(AND(L352&gt;=0,I352&gt;0),"Tetap Deteksi","Belum Deteksi"))</f>
        <v>Belum Deteksi</v>
      </c>
      <c r="N352" s="11"/>
      <c r="O352" s="143"/>
      <c r="P352" s="9">
        <f t="array" ref="P352">IFERROR(O352/G352*100,0)</f>
        <v>0</v>
      </c>
      <c r="Q352" s="143"/>
      <c r="R352" s="9">
        <f t="shared" si="46"/>
        <v>0</v>
      </c>
      <c r="S352" s="8" t="str">
        <f t="array" ref="S352">IF(R352&gt;5,"Perlu Sensus",IF(AND(R352&gt;=0,O352&gt;0),"Tetap Deteksi","Belum Deteksi"))</f>
        <v>Belum Deteksi</v>
      </c>
      <c r="T352" s="143"/>
      <c r="U352" s="9">
        <f t="shared" si="48"/>
        <v>0</v>
      </c>
      <c r="V352" s="11"/>
      <c r="W352" s="143"/>
      <c r="X352" s="143"/>
      <c r="Y352" s="9">
        <f t="shared" si="47"/>
        <v>0</v>
      </c>
      <c r="Z352" s="8" t="str">
        <f t="array" ref="Z352">IF(Y352&gt;5,"Perlu Sensus",IF(AND(Y352&gt;0,,O352&gt;0),"Tetap Deteksi","Belum Deteksi"))</f>
        <v>Belum Deteksi</v>
      </c>
      <c r="AA352" s="143"/>
      <c r="AB352" s="9">
        <f t="shared" si="49"/>
        <v>0</v>
      </c>
    </row>
    <row r="353" spans="1:28" hidden="1" x14ac:dyDescent="0.15">
      <c r="A353" s="8" t="s">
        <v>628</v>
      </c>
      <c r="B353" s="8" t="s">
        <v>47</v>
      </c>
      <c r="C353" s="8" t="s">
        <v>380</v>
      </c>
      <c r="D353" s="8" t="s">
        <v>901</v>
      </c>
      <c r="E353" s="9">
        <v>9.08</v>
      </c>
      <c r="F353" s="8" t="s">
        <v>469</v>
      </c>
      <c r="G353" s="143">
        <f t="array" ref="G353">INDEX('[23]SENSUS MEI'!$G$9:$G$453,MATCH(1,('[23]SENSUS MEI'!$D$9:$D$453=$D353)*('[23]SENSUS MEI'!$D$9:$D$453=$D353),0))</f>
        <v>1144</v>
      </c>
      <c r="H353" s="132">
        <f t="shared" si="41"/>
        <v>0</v>
      </c>
      <c r="I353" s="140">
        <f t="shared" si="42"/>
        <v>0</v>
      </c>
      <c r="J353" s="9" t="str">
        <f t="shared" si="43"/>
        <v xml:space="preserve"> </v>
      </c>
      <c r="K353" s="140">
        <f t="shared" si="44"/>
        <v>0</v>
      </c>
      <c r="L353" s="206">
        <f t="shared" si="45"/>
        <v>0</v>
      </c>
      <c r="M353" s="8" t="str">
        <f t="array" ref="M353">IF(L353&gt;5,"Perlu Sensus",IF(AND(L353&gt;=0,I353&gt;0),"Tetap Deteksi","Belum Deteksi"))</f>
        <v>Belum Deteksi</v>
      </c>
      <c r="N353" s="11"/>
      <c r="O353" s="143"/>
      <c r="P353" s="9">
        <f t="array" ref="P353">IFERROR(O353/G353*100,0)</f>
        <v>0</v>
      </c>
      <c r="Q353" s="143"/>
      <c r="R353" s="9">
        <f t="shared" si="46"/>
        <v>0</v>
      </c>
      <c r="S353" s="8" t="str">
        <f t="array" ref="S353">IF(R353&gt;5,"Perlu Sensus",IF(AND(R353&gt;=0,O353&gt;0),"Tetap Deteksi","Belum Deteksi"))</f>
        <v>Belum Deteksi</v>
      </c>
      <c r="T353" s="143"/>
      <c r="U353" s="9">
        <f t="shared" si="48"/>
        <v>0</v>
      </c>
      <c r="V353" s="11"/>
      <c r="W353" s="143"/>
      <c r="X353" s="143"/>
      <c r="Y353" s="9">
        <f t="shared" si="47"/>
        <v>0</v>
      </c>
      <c r="Z353" s="8" t="str">
        <f t="array" ref="Z353">IF(Y353&gt;5,"Perlu Sensus",IF(AND(Y353&gt;0,,O353&gt;0),"Tetap Deteksi","Belum Deteksi"))</f>
        <v>Belum Deteksi</v>
      </c>
      <c r="AA353" s="143"/>
      <c r="AB353" s="9">
        <f t="shared" si="49"/>
        <v>0</v>
      </c>
    </row>
    <row r="354" spans="1:28" hidden="1" x14ac:dyDescent="0.15">
      <c r="A354" s="8" t="s">
        <v>628</v>
      </c>
      <c r="B354" s="8" t="s">
        <v>47</v>
      </c>
      <c r="C354" s="8" t="s">
        <v>380</v>
      </c>
      <c r="D354" s="8" t="s">
        <v>69</v>
      </c>
      <c r="E354" s="9">
        <v>12</v>
      </c>
      <c r="F354" s="8" t="s">
        <v>132</v>
      </c>
      <c r="G354" s="143">
        <f t="array" ref="G354">INDEX('[23]SENSUS MEI'!$G$9:$G$453,MATCH(1,('[23]SENSUS MEI'!$D$9:$D$453=$D354)*('[23]SENSUS MEI'!$D$9:$D$453=$D354),0))</f>
        <v>1778</v>
      </c>
      <c r="H354" s="132">
        <f t="shared" si="41"/>
        <v>0</v>
      </c>
      <c r="I354" s="140">
        <f t="shared" si="42"/>
        <v>0</v>
      </c>
      <c r="J354" s="9" t="str">
        <f t="shared" si="43"/>
        <v xml:space="preserve"> </v>
      </c>
      <c r="K354" s="140">
        <f t="shared" si="44"/>
        <v>0</v>
      </c>
      <c r="L354" s="206">
        <f t="shared" si="45"/>
        <v>0</v>
      </c>
      <c r="M354" s="8" t="str">
        <f t="array" ref="M354">IF(L354&gt;5,"Perlu Sensus",IF(AND(L354&gt;=0,I354&gt;0),"Tetap Deteksi","Belum Deteksi"))</f>
        <v>Belum Deteksi</v>
      </c>
      <c r="N354" s="11"/>
      <c r="O354" s="143"/>
      <c r="P354" s="9">
        <f t="array" ref="P354">IFERROR(O354/G354*100,0)</f>
        <v>0</v>
      </c>
      <c r="Q354" s="143"/>
      <c r="R354" s="9">
        <f t="shared" si="46"/>
        <v>0</v>
      </c>
      <c r="S354" s="8" t="str">
        <f t="array" ref="S354">IF(R354&gt;5,"Perlu Sensus",IF(AND(R354&gt;=0,O354&gt;0),"Tetap Deteksi","Belum Deteksi"))</f>
        <v>Belum Deteksi</v>
      </c>
      <c r="T354" s="143"/>
      <c r="U354" s="9">
        <f t="shared" si="48"/>
        <v>0</v>
      </c>
      <c r="V354" s="11"/>
      <c r="W354" s="143"/>
      <c r="X354" s="143"/>
      <c r="Y354" s="9">
        <f t="shared" si="47"/>
        <v>0</v>
      </c>
      <c r="Z354" s="8" t="str">
        <f t="array" ref="Z354">IF(Y354&gt;5,"Perlu Sensus",IF(AND(Y354&gt;0,,O354&gt;0),"Tetap Deteksi","Belum Deteksi"))</f>
        <v>Belum Deteksi</v>
      </c>
      <c r="AA354" s="143"/>
      <c r="AB354" s="9">
        <f t="shared" si="49"/>
        <v>0</v>
      </c>
    </row>
    <row r="355" spans="1:28" hidden="1" x14ac:dyDescent="0.15">
      <c r="A355" s="8" t="s">
        <v>628</v>
      </c>
      <c r="B355" s="8" t="s">
        <v>47</v>
      </c>
      <c r="C355" s="8" t="s">
        <v>380</v>
      </c>
      <c r="D355" s="8" t="s">
        <v>70</v>
      </c>
      <c r="E355" s="9">
        <v>28.03</v>
      </c>
      <c r="F355" s="8" t="s">
        <v>132</v>
      </c>
      <c r="G355" s="143">
        <f t="array" ref="G355">INDEX('[23]SENSUS MEI'!$G$9:$G$453,MATCH(1,('[23]SENSUS MEI'!$D$9:$D$453=$D355)*('[23]SENSUS MEI'!$D$9:$D$453=$D355),0))</f>
        <v>4163</v>
      </c>
      <c r="H355" s="132">
        <f t="shared" si="41"/>
        <v>0</v>
      </c>
      <c r="I355" s="140">
        <f t="shared" si="42"/>
        <v>0</v>
      </c>
      <c r="J355" s="9" t="str">
        <f t="shared" si="43"/>
        <v xml:space="preserve"> </v>
      </c>
      <c r="K355" s="140">
        <f t="shared" si="44"/>
        <v>0</v>
      </c>
      <c r="L355" s="206">
        <f t="shared" si="45"/>
        <v>0</v>
      </c>
      <c r="M355" s="8" t="str">
        <f t="array" ref="M355">IF(L355&gt;5,"Perlu Sensus",IF(AND(L355&gt;=0,I355&gt;0),"Tetap Deteksi","Belum Deteksi"))</f>
        <v>Belum Deteksi</v>
      </c>
      <c r="N355" s="11"/>
      <c r="O355" s="143"/>
      <c r="P355" s="9">
        <f t="array" ref="P355">IFERROR(O355/G355*100,0)</f>
        <v>0</v>
      </c>
      <c r="Q355" s="143"/>
      <c r="R355" s="9">
        <f t="shared" si="46"/>
        <v>0</v>
      </c>
      <c r="S355" s="8" t="str">
        <f t="array" ref="S355">IF(R355&gt;5,"Perlu Sensus",IF(AND(R355&gt;=0,O355&gt;0),"Tetap Deteksi","Belum Deteksi"))</f>
        <v>Belum Deteksi</v>
      </c>
      <c r="T355" s="143"/>
      <c r="U355" s="9">
        <f t="shared" si="48"/>
        <v>0</v>
      </c>
      <c r="V355" s="11"/>
      <c r="W355" s="143"/>
      <c r="X355" s="143"/>
      <c r="Y355" s="9">
        <f t="shared" si="47"/>
        <v>0</v>
      </c>
      <c r="Z355" s="8" t="str">
        <f t="array" ref="Z355">IF(Y355&gt;5,"Perlu Sensus",IF(AND(Y355&gt;0,,O355&gt;0),"Tetap Deteksi","Belum Deteksi"))</f>
        <v>Belum Deteksi</v>
      </c>
      <c r="AA355" s="143"/>
      <c r="AB355" s="9">
        <f t="shared" si="49"/>
        <v>0</v>
      </c>
    </row>
    <row r="356" spans="1:28" hidden="1" x14ac:dyDescent="0.15">
      <c r="A356" s="8" t="s">
        <v>628</v>
      </c>
      <c r="B356" s="8" t="s">
        <v>47</v>
      </c>
      <c r="C356" s="8" t="s">
        <v>380</v>
      </c>
      <c r="D356" s="8" t="s">
        <v>71</v>
      </c>
      <c r="E356" s="9">
        <v>45.48</v>
      </c>
      <c r="F356" s="8" t="s">
        <v>132</v>
      </c>
      <c r="G356" s="143">
        <f t="array" ref="G356">INDEX('[23]SENSUS MEI'!$G$9:$G$453,MATCH(1,('[23]SENSUS MEI'!$D$9:$D$453=$D356)*('[23]SENSUS MEI'!$D$9:$D$453=$D356),0))</f>
        <v>6857</v>
      </c>
      <c r="H356" s="132">
        <f t="shared" si="41"/>
        <v>0</v>
      </c>
      <c r="I356" s="140">
        <f t="shared" si="42"/>
        <v>0</v>
      </c>
      <c r="J356" s="9" t="str">
        <f t="shared" si="43"/>
        <v xml:space="preserve"> </v>
      </c>
      <c r="K356" s="140">
        <f t="shared" si="44"/>
        <v>0</v>
      </c>
      <c r="L356" s="206">
        <f t="shared" si="45"/>
        <v>0</v>
      </c>
      <c r="M356" s="8" t="str">
        <f t="array" ref="M356">IF(L356&gt;5,"Perlu Sensus",IF(AND(L356&gt;=0,I356&gt;0),"Tetap Deteksi","Belum Deteksi"))</f>
        <v>Belum Deteksi</v>
      </c>
      <c r="N356" s="11"/>
      <c r="O356" s="143"/>
      <c r="P356" s="9">
        <f t="array" ref="P356">IFERROR(O356/G356*100,0)</f>
        <v>0</v>
      </c>
      <c r="Q356" s="143"/>
      <c r="R356" s="9">
        <f t="shared" si="46"/>
        <v>0</v>
      </c>
      <c r="S356" s="8" t="str">
        <f t="array" ref="S356">IF(R356&gt;5,"Perlu Sensus",IF(AND(R356&gt;=0,O356&gt;0),"Tetap Deteksi","Belum Deteksi"))</f>
        <v>Belum Deteksi</v>
      </c>
      <c r="T356" s="143"/>
      <c r="U356" s="9">
        <f t="shared" si="48"/>
        <v>0</v>
      </c>
      <c r="V356" s="11"/>
      <c r="W356" s="143"/>
      <c r="X356" s="143"/>
      <c r="Y356" s="9">
        <f t="shared" si="47"/>
        <v>0</v>
      </c>
      <c r="Z356" s="8" t="str">
        <f t="array" ref="Z356">IF(Y356&gt;5,"Perlu Sensus",IF(AND(Y356&gt;0,,O356&gt;0),"Tetap Deteksi","Belum Deteksi"))</f>
        <v>Belum Deteksi</v>
      </c>
      <c r="AA356" s="143"/>
      <c r="AB356" s="9">
        <f t="shared" si="49"/>
        <v>0</v>
      </c>
    </row>
    <row r="357" spans="1:28" hidden="1" x14ac:dyDescent="0.15">
      <c r="A357" s="8" t="s">
        <v>628</v>
      </c>
      <c r="B357" s="8" t="s">
        <v>47</v>
      </c>
      <c r="C357" s="8" t="s">
        <v>380</v>
      </c>
      <c r="D357" s="8" t="s">
        <v>81</v>
      </c>
      <c r="E357" s="9">
        <v>49.3</v>
      </c>
      <c r="F357" s="8" t="s">
        <v>132</v>
      </c>
      <c r="G357" s="143">
        <f t="array" ref="G357">INDEX('[23]SENSUS MEI'!$G$9:$G$453,MATCH(1,('[23]SENSUS MEI'!$D$9:$D$453=$D357)*('[23]SENSUS MEI'!$D$9:$D$453=$D357),0))</f>
        <v>7232</v>
      </c>
      <c r="H357" s="132">
        <f t="shared" si="41"/>
        <v>0</v>
      </c>
      <c r="I357" s="140">
        <f t="shared" si="42"/>
        <v>0</v>
      </c>
      <c r="J357" s="9" t="str">
        <f t="shared" si="43"/>
        <v xml:space="preserve"> </v>
      </c>
      <c r="K357" s="140">
        <f t="shared" si="44"/>
        <v>0</v>
      </c>
      <c r="L357" s="206">
        <f t="shared" si="45"/>
        <v>0</v>
      </c>
      <c r="M357" s="8" t="str">
        <f t="array" ref="M357">IF(L357&gt;5,"Perlu Sensus",IF(AND(L357&gt;=0,I357&gt;0),"Tetap Deteksi","Belum Deteksi"))</f>
        <v>Belum Deteksi</v>
      </c>
      <c r="N357" s="11"/>
      <c r="O357" s="143"/>
      <c r="P357" s="9">
        <f t="array" ref="P357">IFERROR(O357/G357*100,0)</f>
        <v>0</v>
      </c>
      <c r="Q357" s="143"/>
      <c r="R357" s="9">
        <f t="shared" si="46"/>
        <v>0</v>
      </c>
      <c r="S357" s="8" t="str">
        <f t="array" ref="S357">IF(R357&gt;5,"Perlu Sensus",IF(AND(R357&gt;=0,O357&gt;0),"Tetap Deteksi","Belum Deteksi"))</f>
        <v>Belum Deteksi</v>
      </c>
      <c r="T357" s="143"/>
      <c r="U357" s="9">
        <f t="shared" si="48"/>
        <v>0</v>
      </c>
      <c r="V357" s="11"/>
      <c r="W357" s="143"/>
      <c r="X357" s="143"/>
      <c r="Y357" s="9">
        <f t="shared" si="47"/>
        <v>0</v>
      </c>
      <c r="Z357" s="8" t="str">
        <f t="array" ref="Z357">IF(Y357&gt;5,"Perlu Sensus",IF(AND(Y357&gt;0,,O357&gt;0),"Tetap Deteksi","Belum Deteksi"))</f>
        <v>Belum Deteksi</v>
      </c>
      <c r="AA357" s="143"/>
      <c r="AB357" s="9">
        <f t="shared" si="49"/>
        <v>0</v>
      </c>
    </row>
    <row r="358" spans="1:28" hidden="1" x14ac:dyDescent="0.15">
      <c r="A358" s="8" t="s">
        <v>628</v>
      </c>
      <c r="B358" s="8" t="s">
        <v>47</v>
      </c>
      <c r="C358" s="8" t="s">
        <v>380</v>
      </c>
      <c r="D358" s="8" t="s">
        <v>82</v>
      </c>
      <c r="E358" s="9">
        <v>46.99</v>
      </c>
      <c r="F358" s="8" t="s">
        <v>16</v>
      </c>
      <c r="G358" s="143">
        <f t="array" ref="G358">INDEX('[23]SENSUS MEI'!$G$9:$G$453,MATCH(1,('[23]SENSUS MEI'!$D$9:$D$453=$D358)*('[23]SENSUS MEI'!$D$9:$D$453=$D358),0))</f>
        <v>6806</v>
      </c>
      <c r="H358" s="132">
        <f t="shared" si="41"/>
        <v>0</v>
      </c>
      <c r="I358" s="140">
        <f t="shared" si="42"/>
        <v>0</v>
      </c>
      <c r="J358" s="9" t="str">
        <f t="shared" si="43"/>
        <v xml:space="preserve"> </v>
      </c>
      <c r="K358" s="140">
        <f t="shared" si="44"/>
        <v>0</v>
      </c>
      <c r="L358" s="206">
        <f t="shared" si="45"/>
        <v>0</v>
      </c>
      <c r="M358" s="8" t="str">
        <f t="array" ref="M358">IF(L358&gt;5,"Perlu Sensus",IF(AND(L358&gt;=0,I358&gt;0),"Tetap Deteksi","Belum Deteksi"))</f>
        <v>Belum Deteksi</v>
      </c>
      <c r="N358" s="11"/>
      <c r="O358" s="143"/>
      <c r="P358" s="9">
        <f t="array" ref="P358">IFERROR(O358/G358*100,0)</f>
        <v>0</v>
      </c>
      <c r="Q358" s="143"/>
      <c r="R358" s="9">
        <f t="shared" si="46"/>
        <v>0</v>
      </c>
      <c r="S358" s="8" t="str">
        <f t="array" ref="S358">IF(R358&gt;5,"Perlu Sensus",IF(AND(R358&gt;=0,O358&gt;0),"Tetap Deteksi","Belum Deteksi"))</f>
        <v>Belum Deteksi</v>
      </c>
      <c r="T358" s="143"/>
      <c r="U358" s="9">
        <f t="shared" si="48"/>
        <v>0</v>
      </c>
      <c r="V358" s="11"/>
      <c r="W358" s="143"/>
      <c r="X358" s="143"/>
      <c r="Y358" s="9">
        <f t="shared" si="47"/>
        <v>0</v>
      </c>
      <c r="Z358" s="8" t="str">
        <f t="array" ref="Z358">IF(Y358&gt;5,"Perlu Sensus",IF(AND(Y358&gt;0,,O358&gt;0),"Tetap Deteksi","Belum Deteksi"))</f>
        <v>Belum Deteksi</v>
      </c>
      <c r="AA358" s="143"/>
      <c r="AB358" s="9">
        <f t="shared" si="49"/>
        <v>0</v>
      </c>
    </row>
    <row r="359" spans="1:28" x14ac:dyDescent="0.15">
      <c r="A359" s="8" t="s">
        <v>628</v>
      </c>
      <c r="B359" s="8" t="s">
        <v>47</v>
      </c>
      <c r="C359" s="8" t="s">
        <v>380</v>
      </c>
      <c r="D359" s="8" t="s">
        <v>902</v>
      </c>
      <c r="E359" s="9">
        <v>48.72</v>
      </c>
      <c r="F359" s="8" t="s">
        <v>469</v>
      </c>
      <c r="G359" s="143">
        <f t="array" ref="G359">INDEX('[23]SENSUS MEI'!$G$9:$G$453,MATCH(1,('[23]SENSUS MEI'!$D$9:$D$453=$D359)*('[23]SENSUS MEI'!$D$9:$D$453=$D359),0))</f>
        <v>6774</v>
      </c>
      <c r="H359" s="132">
        <f t="shared" si="41"/>
        <v>46242</v>
      </c>
      <c r="I359" s="140">
        <f t="shared" si="42"/>
        <v>200</v>
      </c>
      <c r="J359" s="9" t="str">
        <f t="shared" si="43"/>
        <v xml:space="preserve"> </v>
      </c>
      <c r="K359" s="140">
        <f t="shared" si="44"/>
        <v>10</v>
      </c>
      <c r="L359" s="206">
        <f t="shared" si="45"/>
        <v>5</v>
      </c>
      <c r="M359" s="8" t="str">
        <f t="array" ref="M359">IF(L359&gt;5,"Perlu Sensus",IF(AND(L359&gt;=0,I359&gt;0),"Tetap Deteksi","Belum Deteksi"))</f>
        <v>Tetap Deteksi</v>
      </c>
      <c r="N359" s="11"/>
      <c r="O359" s="143"/>
      <c r="P359" s="9">
        <f t="array" ref="P359">IFERROR(O359/G359*100,0)</f>
        <v>0</v>
      </c>
      <c r="Q359" s="143"/>
      <c r="R359" s="9">
        <f t="shared" si="46"/>
        <v>0</v>
      </c>
      <c r="S359" s="8" t="str">
        <f t="array" ref="S359">IF(R359&gt;5,"Perlu Sensus",IF(AND(R359&gt;=0,O359&gt;0),"Tetap Deteksi","Belum Deteksi"))</f>
        <v>Belum Deteksi</v>
      </c>
      <c r="T359" s="143"/>
      <c r="U359" s="9">
        <f t="shared" si="48"/>
        <v>0</v>
      </c>
      <c r="V359" s="11">
        <v>46242</v>
      </c>
      <c r="W359" s="143">
        <v>200</v>
      </c>
      <c r="X359" s="143">
        <v>10</v>
      </c>
      <c r="Y359" s="9">
        <f t="shared" si="47"/>
        <v>5</v>
      </c>
      <c r="Z359" s="8" t="str">
        <f t="array" ref="Z359">IF(Y359&gt;5,"Perlu Sensus",IF(AND(Y359&gt;0,,O359&gt;0),"Tetap Deteksi","Belum Deteksi"))</f>
        <v>Belum Deteksi</v>
      </c>
      <c r="AA359" s="143">
        <v>4</v>
      </c>
      <c r="AB359" s="9">
        <f t="shared" si="49"/>
        <v>2</v>
      </c>
    </row>
    <row r="360" spans="1:28" x14ac:dyDescent="0.15">
      <c r="A360" s="8" t="s">
        <v>628</v>
      </c>
      <c r="B360" s="8" t="s">
        <v>47</v>
      </c>
      <c r="C360" s="8" t="s">
        <v>380</v>
      </c>
      <c r="D360" s="8" t="s">
        <v>903</v>
      </c>
      <c r="E360" s="9">
        <v>47.74</v>
      </c>
      <c r="F360" s="8" t="s">
        <v>469</v>
      </c>
      <c r="G360" s="143">
        <f t="array" ref="G360">INDEX('[23]SENSUS MEI'!$G$9:$G$453,MATCH(1,('[23]SENSUS MEI'!$D$9:$D$453=$D360)*('[23]SENSUS MEI'!$D$9:$D$453=$D360),0))</f>
        <v>6871</v>
      </c>
      <c r="H360" s="132">
        <f t="shared" si="41"/>
        <v>46244</v>
      </c>
      <c r="I360" s="140">
        <f t="shared" si="42"/>
        <v>100</v>
      </c>
      <c r="J360" s="9" t="str">
        <f t="shared" si="43"/>
        <v xml:space="preserve"> </v>
      </c>
      <c r="K360" s="140">
        <f t="shared" si="44"/>
        <v>5</v>
      </c>
      <c r="L360" s="206">
        <f t="shared" si="45"/>
        <v>5</v>
      </c>
      <c r="M360" s="8" t="str">
        <f t="array" ref="M360">IF(L360&gt;5,"Perlu Sensus",IF(AND(L360&gt;=0,I360&gt;0),"Tetap Deteksi","Belum Deteksi"))</f>
        <v>Tetap Deteksi</v>
      </c>
      <c r="N360" s="11"/>
      <c r="O360" s="143"/>
      <c r="P360" s="9">
        <f t="array" ref="P360">IFERROR(O360/G360*100,0)</f>
        <v>0</v>
      </c>
      <c r="Q360" s="143"/>
      <c r="R360" s="9">
        <f t="shared" si="46"/>
        <v>0</v>
      </c>
      <c r="S360" s="8" t="str">
        <f t="array" ref="S360">IF(R360&gt;5,"Perlu Sensus",IF(AND(R360&gt;=0,O360&gt;0),"Tetap Deteksi","Belum Deteksi"))</f>
        <v>Belum Deteksi</v>
      </c>
      <c r="T360" s="143"/>
      <c r="U360" s="9">
        <f t="shared" si="48"/>
        <v>0</v>
      </c>
      <c r="V360" s="11">
        <v>46244</v>
      </c>
      <c r="W360" s="143">
        <v>100</v>
      </c>
      <c r="X360" s="143">
        <v>5</v>
      </c>
      <c r="Y360" s="9">
        <f t="shared" si="47"/>
        <v>5</v>
      </c>
      <c r="Z360" s="8" t="str">
        <f t="array" ref="Z360">IF(Y360&gt;5,"Perlu Sensus",IF(AND(Y360&gt;0,,O360&gt;0),"Tetap Deteksi","Belum Deteksi"))</f>
        <v>Belum Deteksi</v>
      </c>
      <c r="AA360" s="143">
        <v>2</v>
      </c>
      <c r="AB360" s="9">
        <f t="shared" si="49"/>
        <v>2</v>
      </c>
    </row>
    <row r="361" spans="1:28" hidden="1" x14ac:dyDescent="0.15">
      <c r="A361" s="8" t="s">
        <v>628</v>
      </c>
      <c r="B361" s="8" t="s">
        <v>47</v>
      </c>
      <c r="C361" s="8" t="s">
        <v>380</v>
      </c>
      <c r="D361" s="8" t="s">
        <v>83</v>
      </c>
      <c r="E361" s="9">
        <v>47.5</v>
      </c>
      <c r="F361" s="8" t="s">
        <v>469</v>
      </c>
      <c r="G361" s="143">
        <f t="array" ref="G361">INDEX('[23]SENSUS MEI'!$G$9:$G$453,MATCH(1,('[23]SENSUS MEI'!$D$9:$D$453=$D361)*('[23]SENSUS MEI'!$D$9:$D$453=$D361),0))</f>
        <v>6725</v>
      </c>
      <c r="H361" s="132">
        <f t="shared" si="41"/>
        <v>0</v>
      </c>
      <c r="I361" s="140">
        <f t="shared" si="42"/>
        <v>0</v>
      </c>
      <c r="J361" s="9" t="str">
        <f t="shared" si="43"/>
        <v xml:space="preserve"> </v>
      </c>
      <c r="K361" s="140">
        <f t="shared" si="44"/>
        <v>0</v>
      </c>
      <c r="L361" s="206">
        <f t="shared" si="45"/>
        <v>0</v>
      </c>
      <c r="M361" s="8" t="str">
        <f t="array" ref="M361">IF(L361&gt;5,"Perlu Sensus",IF(AND(L361&gt;=0,I361&gt;0),"Tetap Deteksi","Belum Deteksi"))</f>
        <v>Belum Deteksi</v>
      </c>
      <c r="N361" s="11"/>
      <c r="O361" s="143"/>
      <c r="P361" s="9">
        <f t="array" ref="P361">IFERROR(O361/G361*100,0)</f>
        <v>0</v>
      </c>
      <c r="Q361" s="143"/>
      <c r="R361" s="9">
        <f t="shared" si="46"/>
        <v>0</v>
      </c>
      <c r="S361" s="8" t="str">
        <f t="array" ref="S361">IF(R361&gt;5,"Perlu Sensus",IF(AND(R361&gt;=0,O361&gt;0),"Tetap Deteksi","Belum Deteksi"))</f>
        <v>Belum Deteksi</v>
      </c>
      <c r="T361" s="143"/>
      <c r="U361" s="9">
        <f t="shared" si="48"/>
        <v>0</v>
      </c>
      <c r="V361" s="11"/>
      <c r="W361" s="143"/>
      <c r="X361" s="143"/>
      <c r="Y361" s="9">
        <f t="shared" si="47"/>
        <v>0</v>
      </c>
      <c r="Z361" s="8" t="str">
        <f t="array" ref="Z361">IF(Y361&gt;5,"Perlu Sensus",IF(AND(Y361&gt;0,,O361&gt;0),"Tetap Deteksi","Belum Deteksi"))</f>
        <v>Belum Deteksi</v>
      </c>
      <c r="AA361" s="143"/>
      <c r="AB361" s="9">
        <f t="shared" si="49"/>
        <v>0</v>
      </c>
    </row>
    <row r="362" spans="1:28" x14ac:dyDescent="0.15">
      <c r="A362" s="8" t="s">
        <v>628</v>
      </c>
      <c r="B362" s="8" t="s">
        <v>47</v>
      </c>
      <c r="C362" s="8" t="s">
        <v>380</v>
      </c>
      <c r="D362" s="8" t="s">
        <v>92</v>
      </c>
      <c r="E362" s="9">
        <v>46.79</v>
      </c>
      <c r="F362" s="8" t="s">
        <v>469</v>
      </c>
      <c r="G362" s="143">
        <f t="array" ref="G362">INDEX('[23]SENSUS MEI'!$G$9:$G$453,MATCH(1,('[23]SENSUS MEI'!$D$9:$D$453=$D362)*('[23]SENSUS MEI'!$D$9:$D$453=$D362),0))</f>
        <v>6835</v>
      </c>
      <c r="H362" s="132">
        <f t="shared" si="41"/>
        <v>46235</v>
      </c>
      <c r="I362" s="140">
        <f t="shared" si="42"/>
        <v>112</v>
      </c>
      <c r="J362" s="9">
        <f t="shared" si="43"/>
        <v>1.6386247256766642</v>
      </c>
      <c r="K362" s="140">
        <f t="shared" si="44"/>
        <v>10</v>
      </c>
      <c r="L362" s="206">
        <f t="shared" si="45"/>
        <v>8.9285714285714288</v>
      </c>
      <c r="M362" s="8" t="str">
        <f t="array" ref="M362">IF(L362&gt;5,"Perlu Sensus",IF(AND(L362&gt;=0,I362&gt;0),"Tetap Deteksi","Belum Deteksi"))</f>
        <v>Perlu Sensus</v>
      </c>
      <c r="N362" s="11">
        <v>46235</v>
      </c>
      <c r="O362" s="143">
        <v>112</v>
      </c>
      <c r="P362" s="9">
        <f t="array" ref="P362">IFERROR(O362/G362*100,0)</f>
        <v>1.6386247256766642</v>
      </c>
      <c r="Q362" s="143">
        <v>10</v>
      </c>
      <c r="R362" s="9">
        <f t="shared" si="46"/>
        <v>8.9285714285714288</v>
      </c>
      <c r="S362" s="8" t="str">
        <f t="array" ref="S362">IF(R362&gt;5,"Perlu Sensus",IF(AND(R362&gt;=0,O362&gt;0),"Tetap Deteksi","Belum Deteksi"))</f>
        <v>Perlu Sensus</v>
      </c>
      <c r="T362" s="143">
        <v>11</v>
      </c>
      <c r="U362" s="9">
        <f t="shared" si="48"/>
        <v>9.8214285714285712</v>
      </c>
      <c r="V362" s="11">
        <v>46247</v>
      </c>
      <c r="W362" s="143">
        <v>56</v>
      </c>
      <c r="X362" s="143">
        <v>3</v>
      </c>
      <c r="Y362" s="9">
        <f t="shared" si="47"/>
        <v>5.3571428571428568</v>
      </c>
      <c r="Z362" s="8" t="str">
        <f t="array" ref="Z362">IF(Y362&gt;5,"Perlu Sensus",IF(AND(Y362&gt;0,,O362&gt;0),"Tetap Deteksi","Belum Deteksi"))</f>
        <v>Perlu Sensus</v>
      </c>
      <c r="AA362" s="143">
        <v>5</v>
      </c>
      <c r="AB362" s="9">
        <f t="shared" si="49"/>
        <v>8.9285714285714288</v>
      </c>
    </row>
    <row r="363" spans="1:28" hidden="1" x14ac:dyDescent="0.15">
      <c r="A363" s="8" t="s">
        <v>628</v>
      </c>
      <c r="B363" s="8" t="s">
        <v>47</v>
      </c>
      <c r="C363" s="8" t="s">
        <v>380</v>
      </c>
      <c r="D363" s="8" t="s">
        <v>904</v>
      </c>
      <c r="E363" s="9">
        <v>15.83</v>
      </c>
      <c r="F363" s="8" t="s">
        <v>16</v>
      </c>
      <c r="G363" s="143">
        <f t="array" ref="G363">INDEX('[23]SENSUS MEI'!$G$9:$G$453,MATCH(1,('[23]SENSUS MEI'!$D$9:$D$453=$D363)*('[23]SENSUS MEI'!$D$9:$D$453=$D363),0))</f>
        <v>2287</v>
      </c>
      <c r="H363" s="132">
        <f t="shared" si="41"/>
        <v>0</v>
      </c>
      <c r="I363" s="140">
        <f t="shared" si="42"/>
        <v>0</v>
      </c>
      <c r="J363" s="9" t="str">
        <f t="shared" si="43"/>
        <v xml:space="preserve"> </v>
      </c>
      <c r="K363" s="140">
        <f t="shared" si="44"/>
        <v>0</v>
      </c>
      <c r="L363" s="206">
        <f t="shared" si="45"/>
        <v>0</v>
      </c>
      <c r="M363" s="8" t="str">
        <f t="array" ref="M363">IF(L363&gt;5,"Perlu Sensus",IF(AND(L363&gt;=0,I363&gt;0),"Tetap Deteksi","Belum Deteksi"))</f>
        <v>Belum Deteksi</v>
      </c>
      <c r="N363" s="11"/>
      <c r="O363" s="143"/>
      <c r="P363" s="9">
        <f t="array" ref="P363">IFERROR(O363/G363*100,0)</f>
        <v>0</v>
      </c>
      <c r="Q363" s="143"/>
      <c r="R363" s="9">
        <f t="shared" si="46"/>
        <v>0</v>
      </c>
      <c r="S363" s="8" t="str">
        <f t="array" ref="S363">IF(R363&gt;5,"Perlu Sensus",IF(AND(R363&gt;=0,O363&gt;0),"Tetap Deteksi","Belum Deteksi"))</f>
        <v>Belum Deteksi</v>
      </c>
      <c r="T363" s="143"/>
      <c r="U363" s="9">
        <f t="shared" si="48"/>
        <v>0</v>
      </c>
      <c r="V363" s="11"/>
      <c r="W363" s="143"/>
      <c r="X363" s="143"/>
      <c r="Y363" s="9">
        <f t="shared" si="47"/>
        <v>0</v>
      </c>
      <c r="Z363" s="8" t="str">
        <f t="array" ref="Z363">IF(Y363&gt;5,"Perlu Sensus",IF(AND(Y363&gt;0,,O363&gt;0),"Tetap Deteksi","Belum Deteksi"))</f>
        <v>Belum Deteksi</v>
      </c>
      <c r="AA363" s="143"/>
      <c r="AB363" s="9">
        <f t="shared" si="49"/>
        <v>0</v>
      </c>
    </row>
    <row r="364" spans="1:28" hidden="1" x14ac:dyDescent="0.15">
      <c r="A364" s="8" t="s">
        <v>628</v>
      </c>
      <c r="B364" s="8" t="s">
        <v>47</v>
      </c>
      <c r="C364" s="8" t="s">
        <v>380</v>
      </c>
      <c r="D364" s="8" t="s">
        <v>905</v>
      </c>
      <c r="E364" s="9">
        <v>16.23</v>
      </c>
      <c r="F364" s="8" t="s">
        <v>16</v>
      </c>
      <c r="G364" s="143">
        <f t="array" ref="G364">INDEX('[23]SENSUS MEI'!$G$9:$G$453,MATCH(1,('[23]SENSUS MEI'!$D$9:$D$453=$D364)*('[23]SENSUS MEI'!$D$9:$D$453=$D364),0))</f>
        <v>2362</v>
      </c>
      <c r="H364" s="132">
        <f t="shared" ref="H364:H427" si="50">IF(N364&gt;0,N364,V364)</f>
        <v>0</v>
      </c>
      <c r="I364" s="140">
        <f t="shared" ref="I364:I427" si="51">IF(O364&gt;0,O364,W364)</f>
        <v>0</v>
      </c>
      <c r="J364" s="9" t="str">
        <f t="shared" ref="J364:J427" si="52">IF(P364&gt;0,P364," ")</f>
        <v xml:space="preserve"> </v>
      </c>
      <c r="K364" s="140">
        <f t="shared" ref="K364:K427" si="53">IF(Q364&gt;0,Q364,X364)</f>
        <v>0</v>
      </c>
      <c r="L364" s="206">
        <f t="shared" ref="L364:L427" si="54">IFERROR(K364/I364*100,0)</f>
        <v>0</v>
      </c>
      <c r="M364" s="8" t="str">
        <f t="array" ref="M364">IF(L364&gt;5,"Perlu Sensus",IF(AND(L364&gt;=0,I364&gt;0),"Tetap Deteksi","Belum Deteksi"))</f>
        <v>Belum Deteksi</v>
      </c>
      <c r="N364" s="11"/>
      <c r="O364" s="143"/>
      <c r="P364" s="9">
        <f t="array" ref="P364">IFERROR(O364/G364*100,0)</f>
        <v>0</v>
      </c>
      <c r="Q364" s="143"/>
      <c r="R364" s="9">
        <f t="shared" si="46"/>
        <v>0</v>
      </c>
      <c r="S364" s="8" t="str">
        <f t="array" ref="S364">IF(R364&gt;5,"Perlu Sensus",IF(AND(R364&gt;=0,O364&gt;0),"Tetap Deteksi","Belum Deteksi"))</f>
        <v>Belum Deteksi</v>
      </c>
      <c r="T364" s="143"/>
      <c r="U364" s="9">
        <f t="shared" si="48"/>
        <v>0</v>
      </c>
      <c r="V364" s="11"/>
      <c r="W364" s="143"/>
      <c r="X364" s="143"/>
      <c r="Y364" s="9">
        <f t="shared" si="47"/>
        <v>0</v>
      </c>
      <c r="Z364" s="8" t="str">
        <f t="array" ref="Z364">IF(Y364&gt;5,"Perlu Sensus",IF(AND(Y364&gt;0,,O364&gt;0),"Tetap Deteksi","Belum Deteksi"))</f>
        <v>Belum Deteksi</v>
      </c>
      <c r="AA364" s="143"/>
      <c r="AB364" s="9">
        <f t="shared" si="49"/>
        <v>0</v>
      </c>
    </row>
    <row r="365" spans="1:28" hidden="1" x14ac:dyDescent="0.15">
      <c r="A365" s="8" t="s">
        <v>628</v>
      </c>
      <c r="B365" s="8" t="s">
        <v>47</v>
      </c>
      <c r="C365" s="8" t="s">
        <v>380</v>
      </c>
      <c r="D365" s="8" t="s">
        <v>906</v>
      </c>
      <c r="E365" s="9">
        <v>10.93</v>
      </c>
      <c r="F365" s="8" t="s">
        <v>16</v>
      </c>
      <c r="G365" s="143">
        <f t="array" ref="G365">INDEX('[23]SENSUS MEI'!$G$9:$G$453,MATCH(1,('[23]SENSUS MEI'!$D$9:$D$453=$D365)*('[23]SENSUS MEI'!$D$9:$D$453=$D365),0))</f>
        <v>1490</v>
      </c>
      <c r="H365" s="132">
        <f t="shared" si="50"/>
        <v>0</v>
      </c>
      <c r="I365" s="140">
        <f t="shared" si="51"/>
        <v>0</v>
      </c>
      <c r="J365" s="9" t="str">
        <f t="shared" si="52"/>
        <v xml:space="preserve"> </v>
      </c>
      <c r="K365" s="140">
        <f t="shared" si="53"/>
        <v>0</v>
      </c>
      <c r="L365" s="206">
        <f t="shared" si="54"/>
        <v>0</v>
      </c>
      <c r="M365" s="8" t="str">
        <f t="array" ref="M365">IF(L365&gt;5,"Perlu Sensus",IF(AND(L365&gt;=0,I365&gt;0),"Tetap Deteksi","Belum Deteksi"))</f>
        <v>Belum Deteksi</v>
      </c>
      <c r="N365" s="11"/>
      <c r="O365" s="143"/>
      <c r="P365" s="9">
        <f t="array" ref="P365">IFERROR(O365/G365*100,0)</f>
        <v>0</v>
      </c>
      <c r="Q365" s="143"/>
      <c r="R365" s="9">
        <f t="shared" si="46"/>
        <v>0</v>
      </c>
      <c r="S365" s="8" t="str">
        <f t="array" ref="S365">IF(R365&gt;5,"Perlu Sensus",IF(AND(R365&gt;=0,O365&gt;0),"Tetap Deteksi","Belum Deteksi"))</f>
        <v>Belum Deteksi</v>
      </c>
      <c r="T365" s="143"/>
      <c r="U365" s="9">
        <f t="shared" si="48"/>
        <v>0</v>
      </c>
      <c r="V365" s="11"/>
      <c r="W365" s="143"/>
      <c r="X365" s="143"/>
      <c r="Y365" s="9">
        <f t="shared" si="47"/>
        <v>0</v>
      </c>
      <c r="Z365" s="8" t="str">
        <f t="array" ref="Z365">IF(Y365&gt;5,"Perlu Sensus",IF(AND(Y365&gt;0,,O365&gt;0),"Tetap Deteksi","Belum Deteksi"))</f>
        <v>Belum Deteksi</v>
      </c>
      <c r="AA365" s="143"/>
      <c r="AB365" s="9">
        <f t="shared" si="49"/>
        <v>0</v>
      </c>
    </row>
    <row r="366" spans="1:28" hidden="1" x14ac:dyDescent="0.15">
      <c r="A366" s="8" t="s">
        <v>628</v>
      </c>
      <c r="B366" s="8" t="s">
        <v>47</v>
      </c>
      <c r="C366" s="8" t="s">
        <v>380</v>
      </c>
      <c r="D366" s="8" t="s">
        <v>907</v>
      </c>
      <c r="E366" s="9">
        <v>7.52</v>
      </c>
      <c r="F366" s="8" t="s">
        <v>469</v>
      </c>
      <c r="G366" s="143">
        <f t="array" ref="G366">INDEX('[23]SENSUS MEI'!$G$9:$G$453,MATCH(1,('[23]SENSUS MEI'!$D$9:$D$453=$D366)*('[23]SENSUS MEI'!$D$9:$D$453=$D366),0))</f>
        <v>1050</v>
      </c>
      <c r="H366" s="132">
        <f t="shared" si="50"/>
        <v>0</v>
      </c>
      <c r="I366" s="140">
        <f t="shared" si="51"/>
        <v>0</v>
      </c>
      <c r="J366" s="9" t="str">
        <f t="shared" si="52"/>
        <v xml:space="preserve"> </v>
      </c>
      <c r="K366" s="140">
        <f t="shared" si="53"/>
        <v>0</v>
      </c>
      <c r="L366" s="206">
        <f t="shared" si="54"/>
        <v>0</v>
      </c>
      <c r="M366" s="8" t="str">
        <f t="array" ref="M366">IF(L366&gt;5,"Perlu Sensus",IF(AND(L366&gt;=0,I366&gt;0),"Tetap Deteksi","Belum Deteksi"))</f>
        <v>Belum Deteksi</v>
      </c>
      <c r="N366" s="11"/>
      <c r="O366" s="143"/>
      <c r="P366" s="9">
        <f t="array" ref="P366">IFERROR(O366/G366*100,0)</f>
        <v>0</v>
      </c>
      <c r="Q366" s="143"/>
      <c r="R366" s="9">
        <f t="shared" si="46"/>
        <v>0</v>
      </c>
      <c r="S366" s="8" t="str">
        <f t="array" ref="S366">IF(R366&gt;5,"Perlu Sensus",IF(AND(R366&gt;=0,O366&gt;0),"Tetap Deteksi","Belum Deteksi"))</f>
        <v>Belum Deteksi</v>
      </c>
      <c r="T366" s="143"/>
      <c r="U366" s="9">
        <f t="shared" si="48"/>
        <v>0</v>
      </c>
      <c r="V366" s="11"/>
      <c r="W366" s="143"/>
      <c r="X366" s="143"/>
      <c r="Y366" s="9">
        <f t="shared" si="47"/>
        <v>0</v>
      </c>
      <c r="Z366" s="8" t="str">
        <f t="array" ref="Z366">IF(Y366&gt;5,"Perlu Sensus",IF(AND(Y366&gt;0,,O366&gt;0),"Tetap Deteksi","Belum Deteksi"))</f>
        <v>Belum Deteksi</v>
      </c>
      <c r="AA366" s="143"/>
      <c r="AB366" s="9">
        <f t="shared" si="49"/>
        <v>0</v>
      </c>
    </row>
    <row r="367" spans="1:28" hidden="1" x14ac:dyDescent="0.15">
      <c r="A367" s="8" t="s">
        <v>628</v>
      </c>
      <c r="B367" s="8" t="s">
        <v>47</v>
      </c>
      <c r="C367" s="8" t="s">
        <v>380</v>
      </c>
      <c r="D367" s="8" t="s">
        <v>908</v>
      </c>
      <c r="E367" s="9">
        <v>10</v>
      </c>
      <c r="F367" s="8" t="s">
        <v>469</v>
      </c>
      <c r="G367" s="143">
        <f t="array" ref="G367">INDEX('[23]SENSUS MEI'!$G$9:$G$453,MATCH(1,('[23]SENSUS MEI'!$D$9:$D$453=$D367)*('[23]SENSUS MEI'!$D$9:$D$453=$D367),0))</f>
        <v>1434</v>
      </c>
      <c r="H367" s="132">
        <f t="shared" si="50"/>
        <v>0</v>
      </c>
      <c r="I367" s="140">
        <f t="shared" si="51"/>
        <v>0</v>
      </c>
      <c r="J367" s="9" t="str">
        <f t="shared" si="52"/>
        <v xml:space="preserve"> </v>
      </c>
      <c r="K367" s="140">
        <f t="shared" si="53"/>
        <v>0</v>
      </c>
      <c r="L367" s="206">
        <f t="shared" si="54"/>
        <v>0</v>
      </c>
      <c r="M367" s="8" t="str">
        <f t="array" ref="M367">IF(L367&gt;5,"Perlu Sensus",IF(AND(L367&gt;=0,I367&gt;0),"Tetap Deteksi","Belum Deteksi"))</f>
        <v>Belum Deteksi</v>
      </c>
      <c r="N367" s="11"/>
      <c r="O367" s="143"/>
      <c r="P367" s="9">
        <f t="array" ref="P367">IFERROR(O367/G367*100,0)</f>
        <v>0</v>
      </c>
      <c r="Q367" s="143"/>
      <c r="R367" s="9">
        <f t="shared" si="46"/>
        <v>0</v>
      </c>
      <c r="S367" s="8" t="str">
        <f t="array" ref="S367">IF(R367&gt;5,"Perlu Sensus",IF(AND(R367&gt;=0,O367&gt;0),"Tetap Deteksi","Belum Deteksi"))</f>
        <v>Belum Deteksi</v>
      </c>
      <c r="T367" s="143"/>
      <c r="U367" s="9">
        <f t="shared" si="48"/>
        <v>0</v>
      </c>
      <c r="V367" s="11"/>
      <c r="W367" s="143"/>
      <c r="X367" s="143"/>
      <c r="Y367" s="9">
        <f t="shared" si="47"/>
        <v>0</v>
      </c>
      <c r="Z367" s="8" t="str">
        <f t="array" ref="Z367">IF(Y367&gt;5,"Perlu Sensus",IF(AND(Y367&gt;0,,O367&gt;0),"Tetap Deteksi","Belum Deteksi"))</f>
        <v>Belum Deteksi</v>
      </c>
      <c r="AA367" s="143"/>
      <c r="AB367" s="9">
        <f t="shared" si="49"/>
        <v>0</v>
      </c>
    </row>
    <row r="368" spans="1:28" hidden="1" x14ac:dyDescent="0.15">
      <c r="A368" s="8" t="s">
        <v>628</v>
      </c>
      <c r="B368" s="8" t="s">
        <v>47</v>
      </c>
      <c r="C368" s="8" t="s">
        <v>380</v>
      </c>
      <c r="D368" s="8" t="s">
        <v>909</v>
      </c>
      <c r="E368" s="9">
        <v>0.84</v>
      </c>
      <c r="F368" s="8" t="s">
        <v>16</v>
      </c>
      <c r="G368" s="143">
        <f t="array" ref="G368">INDEX('[23]SENSUS MEI'!$G$9:$G$453,MATCH(1,('[23]SENSUS MEI'!$D$9:$D$453=$D368)*('[23]SENSUS MEI'!$D$9:$D$453=$D368),0))</f>
        <v>88</v>
      </c>
      <c r="H368" s="132">
        <f t="shared" si="50"/>
        <v>0</v>
      </c>
      <c r="I368" s="140">
        <f t="shared" si="51"/>
        <v>0</v>
      </c>
      <c r="J368" s="9" t="str">
        <f t="shared" si="52"/>
        <v xml:space="preserve"> </v>
      </c>
      <c r="K368" s="140">
        <f t="shared" si="53"/>
        <v>0</v>
      </c>
      <c r="L368" s="206">
        <f t="shared" si="54"/>
        <v>0</v>
      </c>
      <c r="M368" s="8" t="str">
        <f t="array" ref="M368">IF(L368&gt;5,"Perlu Sensus",IF(AND(L368&gt;=0,I368&gt;0),"Tetap Deteksi","Belum Deteksi"))</f>
        <v>Belum Deteksi</v>
      </c>
      <c r="N368" s="11"/>
      <c r="O368" s="143"/>
      <c r="P368" s="9">
        <f t="array" ref="P368">IFERROR(O368/G368*100,0)</f>
        <v>0</v>
      </c>
      <c r="Q368" s="143"/>
      <c r="R368" s="9">
        <f t="shared" si="46"/>
        <v>0</v>
      </c>
      <c r="S368" s="8" t="str">
        <f t="array" ref="S368">IF(R368&gt;5,"Perlu Sensus",IF(AND(R368&gt;=0,O368&gt;0),"Tetap Deteksi","Belum Deteksi"))</f>
        <v>Belum Deteksi</v>
      </c>
      <c r="T368" s="143"/>
      <c r="U368" s="9">
        <f t="shared" si="48"/>
        <v>0</v>
      </c>
      <c r="V368" s="11"/>
      <c r="W368" s="143"/>
      <c r="X368" s="143"/>
      <c r="Y368" s="9">
        <f t="shared" si="47"/>
        <v>0</v>
      </c>
      <c r="Z368" s="8" t="str">
        <f t="array" ref="Z368">IF(Y368&gt;5,"Perlu Sensus",IF(AND(Y368&gt;0,,O368&gt;0),"Tetap Deteksi","Belum Deteksi"))</f>
        <v>Belum Deteksi</v>
      </c>
      <c r="AA368" s="143"/>
      <c r="AB368" s="9">
        <f t="shared" si="49"/>
        <v>0</v>
      </c>
    </row>
    <row r="369" spans="1:28" hidden="1" x14ac:dyDescent="0.15">
      <c r="A369" s="8" t="s">
        <v>628</v>
      </c>
      <c r="B369" s="8" t="s">
        <v>47</v>
      </c>
      <c r="C369" s="8" t="s">
        <v>380</v>
      </c>
      <c r="D369" s="8" t="s">
        <v>910</v>
      </c>
      <c r="E369" s="9">
        <v>6.82</v>
      </c>
      <c r="F369" s="8" t="s">
        <v>16</v>
      </c>
      <c r="G369" s="143">
        <f t="array" ref="G369">INDEX('[23]SENSUS MEI'!$G$9:$G$453,MATCH(1,('[23]SENSUS MEI'!$D$9:$D$453=$D369)*('[23]SENSUS MEI'!$D$9:$D$453=$D369),0))</f>
        <v>891</v>
      </c>
      <c r="H369" s="132">
        <f t="shared" si="50"/>
        <v>0</v>
      </c>
      <c r="I369" s="140">
        <f t="shared" si="51"/>
        <v>0</v>
      </c>
      <c r="J369" s="9" t="str">
        <f t="shared" si="52"/>
        <v xml:space="preserve"> </v>
      </c>
      <c r="K369" s="140">
        <f t="shared" si="53"/>
        <v>0</v>
      </c>
      <c r="L369" s="206">
        <f t="shared" si="54"/>
        <v>0</v>
      </c>
      <c r="M369" s="8" t="str">
        <f t="array" ref="M369">IF(L369&gt;5,"Perlu Sensus",IF(AND(L369&gt;=0,I369&gt;0),"Tetap Deteksi","Belum Deteksi"))</f>
        <v>Belum Deteksi</v>
      </c>
      <c r="N369" s="11"/>
      <c r="O369" s="143"/>
      <c r="P369" s="9">
        <f t="array" ref="P369">IFERROR(O369/G369*100,0)</f>
        <v>0</v>
      </c>
      <c r="Q369" s="143"/>
      <c r="R369" s="9">
        <f t="shared" si="46"/>
        <v>0</v>
      </c>
      <c r="S369" s="8" t="str">
        <f t="array" ref="S369">IF(R369&gt;5,"Perlu Sensus",IF(AND(R369&gt;=0,O369&gt;0),"Tetap Deteksi","Belum Deteksi"))</f>
        <v>Belum Deteksi</v>
      </c>
      <c r="T369" s="143"/>
      <c r="U369" s="9">
        <f t="shared" si="48"/>
        <v>0</v>
      </c>
      <c r="V369" s="11"/>
      <c r="W369" s="143"/>
      <c r="X369" s="143"/>
      <c r="Y369" s="9">
        <f t="shared" si="47"/>
        <v>0</v>
      </c>
      <c r="Z369" s="8" t="str">
        <f t="array" ref="Z369">IF(Y369&gt;5,"Perlu Sensus",IF(AND(Y369&gt;0,,O369&gt;0),"Tetap Deteksi","Belum Deteksi"))</f>
        <v>Belum Deteksi</v>
      </c>
      <c r="AA369" s="143"/>
      <c r="AB369" s="9">
        <f t="shared" si="49"/>
        <v>0</v>
      </c>
    </row>
    <row r="370" spans="1:28" hidden="1" x14ac:dyDescent="0.15">
      <c r="A370" s="8" t="s">
        <v>628</v>
      </c>
      <c r="B370" s="8" t="s">
        <v>47</v>
      </c>
      <c r="C370" s="8" t="s">
        <v>380</v>
      </c>
      <c r="D370" s="8" t="s">
        <v>911</v>
      </c>
      <c r="E370" s="9">
        <v>9.5399999999999991</v>
      </c>
      <c r="F370" s="8" t="s">
        <v>16</v>
      </c>
      <c r="G370" s="143">
        <f t="array" ref="G370">INDEX('[23]SENSUS MEI'!$G$9:$G$453,MATCH(1,('[23]SENSUS MEI'!$D$9:$D$453=$D370)*('[23]SENSUS MEI'!$D$9:$D$453=$D370),0))</f>
        <v>1383</v>
      </c>
      <c r="H370" s="132">
        <f t="shared" si="50"/>
        <v>0</v>
      </c>
      <c r="I370" s="140">
        <f t="shared" si="51"/>
        <v>0</v>
      </c>
      <c r="J370" s="9" t="str">
        <f t="shared" si="52"/>
        <v xml:space="preserve"> </v>
      </c>
      <c r="K370" s="140">
        <f t="shared" si="53"/>
        <v>0</v>
      </c>
      <c r="L370" s="206">
        <f t="shared" si="54"/>
        <v>0</v>
      </c>
      <c r="M370" s="8" t="str">
        <f t="array" ref="M370">IF(L370&gt;5,"Perlu Sensus",IF(AND(L370&gt;=0,I370&gt;0),"Tetap Deteksi","Belum Deteksi"))</f>
        <v>Belum Deteksi</v>
      </c>
      <c r="N370" s="11"/>
      <c r="O370" s="143"/>
      <c r="P370" s="9">
        <f t="array" ref="P370">IFERROR(O370/G370*100,0)</f>
        <v>0</v>
      </c>
      <c r="Q370" s="143"/>
      <c r="R370" s="9">
        <f t="shared" si="46"/>
        <v>0</v>
      </c>
      <c r="S370" s="8" t="str">
        <f t="array" ref="S370">IF(R370&gt;5,"Perlu Sensus",IF(AND(R370&gt;=0,O370&gt;0),"Tetap Deteksi","Belum Deteksi"))</f>
        <v>Belum Deteksi</v>
      </c>
      <c r="T370" s="143"/>
      <c r="U370" s="9">
        <f t="shared" si="48"/>
        <v>0</v>
      </c>
      <c r="V370" s="11"/>
      <c r="W370" s="143"/>
      <c r="X370" s="143"/>
      <c r="Y370" s="9">
        <f t="shared" si="47"/>
        <v>0</v>
      </c>
      <c r="Z370" s="8" t="str">
        <f t="array" ref="Z370">IF(Y370&gt;5,"Perlu Sensus",IF(AND(Y370&gt;0,,O370&gt;0),"Tetap Deteksi","Belum Deteksi"))</f>
        <v>Belum Deteksi</v>
      </c>
      <c r="AA370" s="143"/>
      <c r="AB370" s="9">
        <f t="shared" si="49"/>
        <v>0</v>
      </c>
    </row>
    <row r="371" spans="1:28" hidden="1" x14ac:dyDescent="0.15">
      <c r="A371" s="8" t="s">
        <v>628</v>
      </c>
      <c r="B371" s="8" t="s">
        <v>47</v>
      </c>
      <c r="C371" s="8" t="s">
        <v>380</v>
      </c>
      <c r="D371" s="8" t="s">
        <v>912</v>
      </c>
      <c r="E371" s="9">
        <v>10.57</v>
      </c>
      <c r="F371" s="8" t="s">
        <v>16</v>
      </c>
      <c r="G371" s="143">
        <f t="array" ref="G371">INDEX('[23]SENSUS MEI'!$G$9:$G$453,MATCH(1,('[23]SENSUS MEI'!$D$9:$D$453=$D371)*('[23]SENSUS MEI'!$D$9:$D$453=$D371),0))</f>
        <v>1566</v>
      </c>
      <c r="H371" s="132">
        <f t="shared" si="50"/>
        <v>0</v>
      </c>
      <c r="I371" s="140">
        <f t="shared" si="51"/>
        <v>0</v>
      </c>
      <c r="J371" s="9" t="str">
        <f t="shared" si="52"/>
        <v xml:space="preserve"> </v>
      </c>
      <c r="K371" s="140">
        <f t="shared" si="53"/>
        <v>0</v>
      </c>
      <c r="L371" s="206">
        <f t="shared" si="54"/>
        <v>0</v>
      </c>
      <c r="M371" s="8" t="str">
        <f t="array" ref="M371">IF(L371&gt;5,"Perlu Sensus",IF(AND(L371&gt;=0,I371&gt;0),"Tetap Deteksi","Belum Deteksi"))</f>
        <v>Belum Deteksi</v>
      </c>
      <c r="N371" s="11"/>
      <c r="O371" s="143"/>
      <c r="P371" s="9">
        <f t="array" ref="P371">IFERROR(O371/G371*100,0)</f>
        <v>0</v>
      </c>
      <c r="Q371" s="143"/>
      <c r="R371" s="9">
        <f t="shared" si="46"/>
        <v>0</v>
      </c>
      <c r="S371" s="8" t="str">
        <f t="array" ref="S371">IF(R371&gt;5,"Perlu Sensus",IF(AND(R371&gt;=0,O371&gt;0),"Tetap Deteksi","Belum Deteksi"))</f>
        <v>Belum Deteksi</v>
      </c>
      <c r="T371" s="143"/>
      <c r="U371" s="9">
        <f t="shared" si="48"/>
        <v>0</v>
      </c>
      <c r="V371" s="11"/>
      <c r="W371" s="143"/>
      <c r="X371" s="143"/>
      <c r="Y371" s="9">
        <f t="shared" si="47"/>
        <v>0</v>
      </c>
      <c r="Z371" s="8" t="str">
        <f t="array" ref="Z371">IF(Y371&gt;5,"Perlu Sensus",IF(AND(Y371&gt;0,,O371&gt;0),"Tetap Deteksi","Belum Deteksi"))</f>
        <v>Belum Deteksi</v>
      </c>
      <c r="AA371" s="143"/>
      <c r="AB371" s="9">
        <f t="shared" si="49"/>
        <v>0</v>
      </c>
    </row>
    <row r="372" spans="1:28" hidden="1" x14ac:dyDescent="0.15">
      <c r="A372" s="8" t="s">
        <v>628</v>
      </c>
      <c r="B372" s="8" t="s">
        <v>47</v>
      </c>
      <c r="C372" s="8" t="s">
        <v>380</v>
      </c>
      <c r="D372" s="8" t="s">
        <v>913</v>
      </c>
      <c r="E372" s="9">
        <v>11.54</v>
      </c>
      <c r="F372" s="8" t="s">
        <v>16</v>
      </c>
      <c r="G372" s="143">
        <f t="array" ref="G372">INDEX('[23]SENSUS MEI'!$G$9:$G$453,MATCH(1,('[23]SENSUS MEI'!$D$9:$D$453=$D372)*('[23]SENSUS MEI'!$D$9:$D$453=$D372),0))</f>
        <v>1703</v>
      </c>
      <c r="H372" s="132">
        <f t="shared" si="50"/>
        <v>0</v>
      </c>
      <c r="I372" s="140">
        <f t="shared" si="51"/>
        <v>0</v>
      </c>
      <c r="J372" s="9" t="str">
        <f t="shared" si="52"/>
        <v xml:space="preserve"> </v>
      </c>
      <c r="K372" s="140">
        <f t="shared" si="53"/>
        <v>0</v>
      </c>
      <c r="L372" s="206">
        <f t="shared" si="54"/>
        <v>0</v>
      </c>
      <c r="M372" s="8" t="str">
        <f t="array" ref="M372">IF(L372&gt;5,"Perlu Sensus",IF(AND(L372&gt;=0,I372&gt;0),"Tetap Deteksi","Belum Deteksi"))</f>
        <v>Belum Deteksi</v>
      </c>
      <c r="N372" s="11"/>
      <c r="O372" s="143"/>
      <c r="P372" s="9">
        <f t="array" ref="P372">IFERROR(O372/G372*100,0)</f>
        <v>0</v>
      </c>
      <c r="Q372" s="143"/>
      <c r="R372" s="9">
        <f t="shared" si="46"/>
        <v>0</v>
      </c>
      <c r="S372" s="8" t="str">
        <f t="array" ref="S372">IF(R372&gt;5,"Perlu Sensus",IF(AND(R372&gt;=0,O372&gt;0),"Tetap Deteksi","Belum Deteksi"))</f>
        <v>Belum Deteksi</v>
      </c>
      <c r="T372" s="143"/>
      <c r="U372" s="9">
        <f t="shared" si="48"/>
        <v>0</v>
      </c>
      <c r="V372" s="11"/>
      <c r="W372" s="143"/>
      <c r="X372" s="143"/>
      <c r="Y372" s="9">
        <f t="shared" si="47"/>
        <v>0</v>
      </c>
      <c r="Z372" s="8" t="str">
        <f t="array" ref="Z372">IF(Y372&gt;5,"Perlu Sensus",IF(AND(Y372&gt;0,,O372&gt;0),"Tetap Deteksi","Belum Deteksi"))</f>
        <v>Belum Deteksi</v>
      </c>
      <c r="AA372" s="143"/>
      <c r="AB372" s="9">
        <f t="shared" si="49"/>
        <v>0</v>
      </c>
    </row>
    <row r="373" spans="1:28" x14ac:dyDescent="0.15">
      <c r="A373" s="8" t="s">
        <v>628</v>
      </c>
      <c r="B373" s="8" t="s">
        <v>47</v>
      </c>
      <c r="C373" s="8" t="s">
        <v>380</v>
      </c>
      <c r="D373" s="8" t="s">
        <v>914</v>
      </c>
      <c r="E373" s="9">
        <v>10.94</v>
      </c>
      <c r="F373" s="8" t="s">
        <v>16</v>
      </c>
      <c r="G373" s="143">
        <f t="array" ref="G373">INDEX('[23]SENSUS MEI'!$G$9:$G$453,MATCH(1,('[23]SENSUS MEI'!$D$9:$D$453=$D373)*('[23]SENSUS MEI'!$D$9:$D$453=$D373),0))</f>
        <v>1688</v>
      </c>
      <c r="H373" s="132">
        <f t="shared" si="50"/>
        <v>46237</v>
      </c>
      <c r="I373" s="140">
        <f t="shared" si="51"/>
        <v>25</v>
      </c>
      <c r="J373" s="9" t="str">
        <f t="shared" si="52"/>
        <v xml:space="preserve"> </v>
      </c>
      <c r="K373" s="140">
        <f t="shared" si="53"/>
        <v>3</v>
      </c>
      <c r="L373" s="206">
        <f t="shared" si="54"/>
        <v>12</v>
      </c>
      <c r="M373" s="8" t="str">
        <f t="array" ref="M373">IF(L373&gt;5,"Perlu Sensus",IF(AND(L373&gt;=0,I373&gt;0),"Tetap Deteksi","Belum Deteksi"))</f>
        <v>Perlu Sensus</v>
      </c>
      <c r="N373" s="11"/>
      <c r="O373" s="143"/>
      <c r="P373" s="9">
        <f t="array" ref="P373">IFERROR(O373/G373*100,0)</f>
        <v>0</v>
      </c>
      <c r="Q373" s="143"/>
      <c r="R373" s="9">
        <f t="shared" si="46"/>
        <v>0</v>
      </c>
      <c r="S373" s="8" t="str">
        <f t="array" ref="S373">IF(R373&gt;5,"Perlu Sensus",IF(AND(R373&gt;=0,O373&gt;0),"Tetap Deteksi","Belum Deteksi"))</f>
        <v>Belum Deteksi</v>
      </c>
      <c r="T373" s="143"/>
      <c r="U373" s="9">
        <f t="shared" si="48"/>
        <v>0</v>
      </c>
      <c r="V373" s="11">
        <v>46237</v>
      </c>
      <c r="W373" s="143">
        <v>25</v>
      </c>
      <c r="X373" s="143">
        <v>3</v>
      </c>
      <c r="Y373" s="9">
        <f t="shared" si="47"/>
        <v>12</v>
      </c>
      <c r="Z373" s="8" t="str">
        <f t="array" ref="Z373">IF(Y373&gt;5,"Perlu Sensus",IF(AND(Y373&gt;0,,O373&gt;0),"Tetap Deteksi","Belum Deteksi"))</f>
        <v>Perlu Sensus</v>
      </c>
      <c r="AA373" s="143">
        <v>5</v>
      </c>
      <c r="AB373" s="9">
        <f t="shared" si="49"/>
        <v>20</v>
      </c>
    </row>
    <row r="374" spans="1:28" hidden="1" x14ac:dyDescent="0.15">
      <c r="A374" s="8" t="s">
        <v>628</v>
      </c>
      <c r="B374" s="8" t="s">
        <v>47</v>
      </c>
      <c r="C374" s="8" t="s">
        <v>380</v>
      </c>
      <c r="D374" s="8" t="s">
        <v>915</v>
      </c>
      <c r="E374" s="9">
        <v>10.11</v>
      </c>
      <c r="F374" s="8" t="s">
        <v>16</v>
      </c>
      <c r="G374" s="143">
        <f t="array" ref="G374">INDEX('[23]SENSUS MEI'!$G$9:$G$453,MATCH(1,('[23]SENSUS MEI'!$D$9:$D$453=$D374)*('[23]SENSUS MEI'!$D$9:$D$453=$D374),0))</f>
        <v>1264</v>
      </c>
      <c r="H374" s="132">
        <f t="shared" si="50"/>
        <v>0</v>
      </c>
      <c r="I374" s="140">
        <f t="shared" si="51"/>
        <v>0</v>
      </c>
      <c r="J374" s="9" t="str">
        <f t="shared" si="52"/>
        <v xml:space="preserve"> </v>
      </c>
      <c r="K374" s="140">
        <f t="shared" si="53"/>
        <v>0</v>
      </c>
      <c r="L374" s="206">
        <f t="shared" si="54"/>
        <v>0</v>
      </c>
      <c r="M374" s="8" t="str">
        <f t="array" ref="M374">IF(L374&gt;5,"Perlu Sensus",IF(AND(L374&gt;=0,I374&gt;0),"Tetap Deteksi","Belum Deteksi"))</f>
        <v>Belum Deteksi</v>
      </c>
      <c r="N374" s="11"/>
      <c r="O374" s="143"/>
      <c r="P374" s="9">
        <f t="array" ref="P374">IFERROR(O374/G374*100,0)</f>
        <v>0</v>
      </c>
      <c r="Q374" s="143"/>
      <c r="R374" s="9">
        <f t="shared" si="46"/>
        <v>0</v>
      </c>
      <c r="S374" s="8" t="str">
        <f t="array" ref="S374">IF(R374&gt;5,"Perlu Sensus",IF(AND(R374&gt;=0,O374&gt;0),"Tetap Deteksi","Belum Deteksi"))</f>
        <v>Belum Deteksi</v>
      </c>
      <c r="T374" s="143"/>
      <c r="U374" s="9">
        <f t="shared" si="48"/>
        <v>0</v>
      </c>
      <c r="V374" s="11"/>
      <c r="W374" s="143"/>
      <c r="X374" s="143"/>
      <c r="Y374" s="9">
        <f t="shared" si="47"/>
        <v>0</v>
      </c>
      <c r="Z374" s="8" t="str">
        <f t="array" ref="Z374">IF(Y374&gt;5,"Perlu Sensus",IF(AND(Y374&gt;0,,O374&gt;0),"Tetap Deteksi","Belum Deteksi"))</f>
        <v>Belum Deteksi</v>
      </c>
      <c r="AA374" s="143"/>
      <c r="AB374" s="9">
        <f t="shared" si="49"/>
        <v>0</v>
      </c>
    </row>
    <row r="375" spans="1:28" hidden="1" x14ac:dyDescent="0.15">
      <c r="A375" s="8" t="s">
        <v>628</v>
      </c>
      <c r="B375" s="8" t="s">
        <v>47</v>
      </c>
      <c r="C375" s="8" t="s">
        <v>380</v>
      </c>
      <c r="D375" s="8" t="s">
        <v>916</v>
      </c>
      <c r="E375" s="9">
        <v>11.59</v>
      </c>
      <c r="F375" s="8" t="s">
        <v>16</v>
      </c>
      <c r="G375" s="143">
        <f t="array" ref="G375">INDEX('[23]SENSUS MEI'!$G$9:$G$453,MATCH(1,('[23]SENSUS MEI'!$D$9:$D$453=$D375)*('[23]SENSUS MEI'!$D$9:$D$453=$D375),0))</f>
        <v>1627</v>
      </c>
      <c r="H375" s="132">
        <f t="shared" si="50"/>
        <v>0</v>
      </c>
      <c r="I375" s="140">
        <f t="shared" si="51"/>
        <v>0</v>
      </c>
      <c r="J375" s="9" t="str">
        <f t="shared" si="52"/>
        <v xml:space="preserve"> </v>
      </c>
      <c r="K375" s="140">
        <f t="shared" si="53"/>
        <v>0</v>
      </c>
      <c r="L375" s="206">
        <f t="shared" si="54"/>
        <v>0</v>
      </c>
      <c r="M375" s="8" t="str">
        <f t="array" ref="M375">IF(L375&gt;5,"Perlu Sensus",IF(AND(L375&gt;=0,I375&gt;0),"Tetap Deteksi","Belum Deteksi"))</f>
        <v>Belum Deteksi</v>
      </c>
      <c r="N375" s="11"/>
      <c r="O375" s="143"/>
      <c r="P375" s="9">
        <f t="array" ref="P375">IFERROR(O375/G375*100,0)</f>
        <v>0</v>
      </c>
      <c r="Q375" s="143"/>
      <c r="R375" s="9">
        <f t="shared" si="46"/>
        <v>0</v>
      </c>
      <c r="S375" s="8" t="str">
        <f t="array" ref="S375">IF(R375&gt;5,"Perlu Sensus",IF(AND(R375&gt;=0,O375&gt;0),"Tetap Deteksi","Belum Deteksi"))</f>
        <v>Belum Deteksi</v>
      </c>
      <c r="T375" s="143"/>
      <c r="U375" s="9">
        <f t="shared" si="48"/>
        <v>0</v>
      </c>
      <c r="V375" s="11"/>
      <c r="W375" s="143"/>
      <c r="X375" s="143"/>
      <c r="Y375" s="9">
        <f t="shared" si="47"/>
        <v>0</v>
      </c>
      <c r="Z375" s="8" t="str">
        <f t="array" ref="Z375">IF(Y375&gt;5,"Perlu Sensus",IF(AND(Y375&gt;0,,O375&gt;0),"Tetap Deteksi","Belum Deteksi"))</f>
        <v>Belum Deteksi</v>
      </c>
      <c r="AA375" s="143"/>
      <c r="AB375" s="9">
        <f t="shared" si="49"/>
        <v>0</v>
      </c>
    </row>
    <row r="376" spans="1:28" x14ac:dyDescent="0.15">
      <c r="A376" s="8" t="s">
        <v>628</v>
      </c>
      <c r="B376" s="8" t="s">
        <v>47</v>
      </c>
      <c r="C376" s="8" t="s">
        <v>380</v>
      </c>
      <c r="D376" s="8" t="s">
        <v>917</v>
      </c>
      <c r="E376" s="9">
        <v>14.96</v>
      </c>
      <c r="F376" s="8" t="s">
        <v>469</v>
      </c>
      <c r="G376" s="143">
        <f t="array" ref="G376">INDEX('[23]SENSUS MEI'!$G$9:$G$453,MATCH(1,('[23]SENSUS MEI'!$D$9:$D$453=$D376)*('[23]SENSUS MEI'!$D$9:$D$453=$D376),0))</f>
        <v>2106</v>
      </c>
      <c r="H376" s="132">
        <f t="shared" si="50"/>
        <v>46249</v>
      </c>
      <c r="I376" s="140">
        <f t="shared" si="51"/>
        <v>70</v>
      </c>
      <c r="J376" s="9">
        <f t="shared" si="52"/>
        <v>3.3238366571699909</v>
      </c>
      <c r="K376" s="140">
        <f t="shared" si="53"/>
        <v>9</v>
      </c>
      <c r="L376" s="206">
        <f t="shared" si="54"/>
        <v>12.857142857142856</v>
      </c>
      <c r="M376" s="8" t="str">
        <f t="array" ref="M376">IF(L376&gt;5,"Perlu Sensus",IF(AND(L376&gt;=0,I376&gt;0),"Tetap Deteksi","Belum Deteksi"))</f>
        <v>Perlu Sensus</v>
      </c>
      <c r="N376" s="11">
        <v>46249</v>
      </c>
      <c r="O376" s="143">
        <v>70</v>
      </c>
      <c r="P376" s="9">
        <f t="array" ref="P376">IFERROR(O376/G376*100,0)</f>
        <v>3.3238366571699909</v>
      </c>
      <c r="Q376" s="143">
        <v>9</v>
      </c>
      <c r="R376" s="9">
        <f t="shared" si="46"/>
        <v>12.857142857142856</v>
      </c>
      <c r="S376" s="8" t="str">
        <f t="array" ref="S376">IF(R376&gt;5,"Perlu Sensus",IF(AND(R376&gt;=0,O376&gt;0),"Tetap Deteksi","Belum Deteksi"))</f>
        <v>Perlu Sensus</v>
      </c>
      <c r="T376" s="143">
        <v>6</v>
      </c>
      <c r="U376" s="9">
        <f t="shared" si="48"/>
        <v>8.5714285714285712</v>
      </c>
      <c r="V376" s="11"/>
      <c r="W376" s="143"/>
      <c r="X376" s="143"/>
      <c r="Y376" s="9">
        <f t="shared" si="47"/>
        <v>0</v>
      </c>
      <c r="Z376" s="8" t="str">
        <f t="array" ref="Z376">IF(Y376&gt;5,"Perlu Sensus",IF(AND(Y376&gt;0,,O376&gt;0),"Tetap Deteksi","Belum Deteksi"))</f>
        <v>Belum Deteksi</v>
      </c>
      <c r="AA376" s="143"/>
      <c r="AB376" s="9">
        <f t="shared" si="49"/>
        <v>0</v>
      </c>
    </row>
    <row r="377" spans="1:28" x14ac:dyDescent="0.15">
      <c r="A377" s="8" t="s">
        <v>628</v>
      </c>
      <c r="B377" s="8" t="s">
        <v>47</v>
      </c>
      <c r="C377" s="8" t="s">
        <v>380</v>
      </c>
      <c r="D377" s="8" t="s">
        <v>918</v>
      </c>
      <c r="E377" s="9">
        <v>25.24</v>
      </c>
      <c r="F377" s="8" t="s">
        <v>16</v>
      </c>
      <c r="G377" s="143">
        <f t="array" ref="G377">INDEX('[23]SENSUS MEI'!$G$9:$G$453,MATCH(1,('[23]SENSUS MEI'!$D$9:$D$453=$D377)*('[23]SENSUS MEI'!$D$9:$D$453=$D377),0))</f>
        <v>3396</v>
      </c>
      <c r="H377" s="132">
        <f t="shared" si="50"/>
        <v>46237</v>
      </c>
      <c r="I377" s="140">
        <f t="shared" si="51"/>
        <v>40</v>
      </c>
      <c r="J377" s="9" t="str">
        <f t="shared" si="52"/>
        <v xml:space="preserve"> </v>
      </c>
      <c r="K377" s="140">
        <f t="shared" si="53"/>
        <v>4</v>
      </c>
      <c r="L377" s="206">
        <f t="shared" si="54"/>
        <v>10</v>
      </c>
      <c r="M377" s="8" t="str">
        <f t="array" ref="M377">IF(L377&gt;5,"Perlu Sensus",IF(AND(L377&gt;=0,I377&gt;0),"Tetap Deteksi","Belum Deteksi"))</f>
        <v>Perlu Sensus</v>
      </c>
      <c r="N377" s="11"/>
      <c r="O377" s="143"/>
      <c r="P377" s="9">
        <f t="array" ref="P377">IFERROR(O377/G377*100,0)</f>
        <v>0</v>
      </c>
      <c r="Q377" s="143"/>
      <c r="R377" s="9">
        <f t="shared" si="46"/>
        <v>0</v>
      </c>
      <c r="S377" s="8" t="str">
        <f t="array" ref="S377">IF(R377&gt;5,"Perlu Sensus",IF(AND(R377&gt;=0,O377&gt;0),"Tetap Deteksi","Belum Deteksi"))</f>
        <v>Belum Deteksi</v>
      </c>
      <c r="T377" s="143"/>
      <c r="U377" s="9">
        <f t="shared" si="48"/>
        <v>0</v>
      </c>
      <c r="V377" s="11">
        <v>46237</v>
      </c>
      <c r="W377" s="143">
        <v>40</v>
      </c>
      <c r="X377" s="143">
        <v>4</v>
      </c>
      <c r="Y377" s="9">
        <f t="shared" si="47"/>
        <v>10</v>
      </c>
      <c r="Z377" s="8" t="str">
        <f t="array" ref="Z377">IF(Y377&gt;5,"Perlu Sensus",IF(AND(Y377&gt;0,,O377&gt;0),"Tetap Deteksi","Belum Deteksi"))</f>
        <v>Perlu Sensus</v>
      </c>
      <c r="AA377" s="143">
        <v>7</v>
      </c>
      <c r="AB377" s="9">
        <f t="shared" si="49"/>
        <v>17.5</v>
      </c>
    </row>
    <row r="378" spans="1:28" x14ac:dyDescent="0.15">
      <c r="A378" s="8" t="s">
        <v>628</v>
      </c>
      <c r="B378" s="8" t="s">
        <v>47</v>
      </c>
      <c r="C378" s="8" t="s">
        <v>380</v>
      </c>
      <c r="D378" s="8" t="s">
        <v>919</v>
      </c>
      <c r="E378" s="9">
        <v>31.97</v>
      </c>
      <c r="F378" s="8" t="s">
        <v>16</v>
      </c>
      <c r="G378" s="143">
        <f t="array" ref="G378">INDEX('[23]SENSUS MEI'!$G$9:$G$453,MATCH(1,('[23]SENSUS MEI'!$D$9:$D$453=$D378)*('[23]SENSUS MEI'!$D$9:$D$453=$D378),0))</f>
        <v>4076</v>
      </c>
      <c r="H378" s="132">
        <f t="shared" si="50"/>
        <v>46249</v>
      </c>
      <c r="I378" s="140">
        <f t="shared" si="51"/>
        <v>45</v>
      </c>
      <c r="J378" s="9" t="str">
        <f t="shared" si="52"/>
        <v xml:space="preserve"> </v>
      </c>
      <c r="K378" s="140">
        <f t="shared" si="53"/>
        <v>0</v>
      </c>
      <c r="L378" s="206">
        <f t="shared" si="54"/>
        <v>0</v>
      </c>
      <c r="M378" s="8" t="str">
        <f t="array" ref="M378">IF(L378&gt;5,"Perlu Sensus",IF(AND(L378&gt;=0,I378&gt;0),"Tetap Deteksi","Belum Deteksi"))</f>
        <v>Tetap Deteksi</v>
      </c>
      <c r="N378" s="11">
        <v>46249</v>
      </c>
      <c r="O378" s="143"/>
      <c r="P378" s="9">
        <f t="array" ref="P378">IFERROR(O378/G378*100,0)</f>
        <v>0</v>
      </c>
      <c r="Q378" s="143"/>
      <c r="R378" s="9">
        <f t="shared" si="46"/>
        <v>0</v>
      </c>
      <c r="S378" s="8" t="str">
        <f t="array" ref="S378">IF(R378&gt;5,"Perlu Sensus",IF(AND(R378&gt;=0,O378&gt;0),"Tetap Deteksi","Belum Deteksi"))</f>
        <v>Belum Deteksi</v>
      </c>
      <c r="T378" s="143"/>
      <c r="U378" s="9">
        <f t="shared" si="48"/>
        <v>0</v>
      </c>
      <c r="V378" s="11">
        <v>46249</v>
      </c>
      <c r="W378" s="143">
        <v>45</v>
      </c>
      <c r="X378" s="143">
        <v>0</v>
      </c>
      <c r="Y378" s="9">
        <f t="shared" si="47"/>
        <v>0</v>
      </c>
      <c r="Z378" s="8" t="str">
        <f t="array" ref="Z378">IF(Y378&gt;5,"Perlu Sensus",IF(AND(Y378&gt;0,,O378&gt;0),"Tetap Deteksi","Belum Deteksi"))</f>
        <v>Belum Deteksi</v>
      </c>
      <c r="AA378" s="143">
        <v>5</v>
      </c>
      <c r="AB378" s="9">
        <f t="shared" si="49"/>
        <v>11.111111111111111</v>
      </c>
    </row>
    <row r="379" spans="1:28" hidden="1" x14ac:dyDescent="0.15">
      <c r="A379" s="8" t="s">
        <v>628</v>
      </c>
      <c r="B379" s="8" t="s">
        <v>47</v>
      </c>
      <c r="C379" s="8" t="s">
        <v>380</v>
      </c>
      <c r="D379" s="8" t="s">
        <v>920</v>
      </c>
      <c r="E379" s="9">
        <v>41.28</v>
      </c>
      <c r="F379" s="8" t="s">
        <v>16</v>
      </c>
      <c r="G379" s="143">
        <f t="array" ref="G379">INDEX('[23]SENSUS MEI'!$G$9:$G$453,MATCH(1,('[23]SENSUS MEI'!$D$9:$D$453=$D379)*('[23]SENSUS MEI'!$D$9:$D$453=$D379),0))</f>
        <v>5585</v>
      </c>
      <c r="H379" s="132">
        <f t="shared" si="50"/>
        <v>0</v>
      </c>
      <c r="I379" s="140">
        <f t="shared" si="51"/>
        <v>0</v>
      </c>
      <c r="J379" s="9" t="str">
        <f t="shared" si="52"/>
        <v xml:space="preserve"> </v>
      </c>
      <c r="K379" s="140">
        <f t="shared" si="53"/>
        <v>0</v>
      </c>
      <c r="L379" s="206">
        <f t="shared" si="54"/>
        <v>0</v>
      </c>
      <c r="M379" s="8" t="str">
        <f t="array" ref="M379">IF(L379&gt;5,"Perlu Sensus",IF(AND(L379&gt;=0,I379&gt;0),"Tetap Deteksi","Belum Deteksi"))</f>
        <v>Belum Deteksi</v>
      </c>
      <c r="N379" s="11"/>
      <c r="O379" s="143"/>
      <c r="P379" s="9">
        <f t="array" ref="P379">IFERROR(O379/G379*100,0)</f>
        <v>0</v>
      </c>
      <c r="Q379" s="143"/>
      <c r="R379" s="9">
        <f t="shared" si="46"/>
        <v>0</v>
      </c>
      <c r="S379" s="8" t="str">
        <f t="array" ref="S379">IF(R379&gt;5,"Perlu Sensus",IF(AND(R379&gt;=0,O379&gt;0),"Tetap Deteksi","Belum Deteksi"))</f>
        <v>Belum Deteksi</v>
      </c>
      <c r="T379" s="143"/>
      <c r="U379" s="9">
        <f t="shared" si="48"/>
        <v>0</v>
      </c>
      <c r="V379" s="11"/>
      <c r="W379" s="143"/>
      <c r="X379" s="143"/>
      <c r="Y379" s="9">
        <f t="shared" si="47"/>
        <v>0</v>
      </c>
      <c r="Z379" s="8" t="str">
        <f t="array" ref="Z379">IF(Y379&gt;5,"Perlu Sensus",IF(AND(Y379&gt;0,,O379&gt;0),"Tetap Deteksi","Belum Deteksi"))</f>
        <v>Belum Deteksi</v>
      </c>
      <c r="AA379" s="143"/>
      <c r="AB379" s="9">
        <f t="shared" si="49"/>
        <v>0</v>
      </c>
    </row>
    <row r="380" spans="1:28" hidden="1" x14ac:dyDescent="0.15">
      <c r="A380" s="8" t="s">
        <v>628</v>
      </c>
      <c r="B380" s="8" t="s">
        <v>47</v>
      </c>
      <c r="C380" s="8" t="s">
        <v>380</v>
      </c>
      <c r="D380" s="8" t="s">
        <v>324</v>
      </c>
      <c r="E380" s="9">
        <v>41.21</v>
      </c>
      <c r="F380" s="8" t="s">
        <v>16</v>
      </c>
      <c r="G380" s="143">
        <f t="array" ref="G380">INDEX('[23]SENSUS MEI'!$G$9:$G$453,MATCH(1,('[23]SENSUS MEI'!$D$9:$D$453=$D380)*('[23]SENSUS MEI'!$D$9:$D$453=$D380),0))</f>
        <v>5278</v>
      </c>
      <c r="H380" s="132">
        <f t="shared" si="50"/>
        <v>0</v>
      </c>
      <c r="I380" s="140">
        <f t="shared" si="51"/>
        <v>0</v>
      </c>
      <c r="J380" s="9" t="str">
        <f t="shared" si="52"/>
        <v xml:space="preserve"> </v>
      </c>
      <c r="K380" s="140">
        <f t="shared" si="53"/>
        <v>0</v>
      </c>
      <c r="L380" s="206">
        <f t="shared" si="54"/>
        <v>0</v>
      </c>
      <c r="M380" s="8" t="str">
        <f t="array" ref="M380">IF(L380&gt;5,"Perlu Sensus",IF(AND(L380&gt;=0,I380&gt;0),"Tetap Deteksi","Belum Deteksi"))</f>
        <v>Belum Deteksi</v>
      </c>
      <c r="N380" s="11"/>
      <c r="O380" s="143"/>
      <c r="P380" s="9">
        <f t="array" ref="P380">IFERROR(O380/G380*100,0)</f>
        <v>0</v>
      </c>
      <c r="Q380" s="143"/>
      <c r="R380" s="9">
        <f t="shared" si="46"/>
        <v>0</v>
      </c>
      <c r="S380" s="8" t="str">
        <f t="array" ref="S380">IF(R380&gt;5,"Perlu Sensus",IF(AND(R380&gt;=0,O380&gt;0),"Tetap Deteksi","Belum Deteksi"))</f>
        <v>Belum Deteksi</v>
      </c>
      <c r="T380" s="143"/>
      <c r="U380" s="9">
        <f t="shared" si="48"/>
        <v>0</v>
      </c>
      <c r="V380" s="11"/>
      <c r="W380" s="143"/>
      <c r="X380" s="143"/>
      <c r="Y380" s="9">
        <f t="shared" si="47"/>
        <v>0</v>
      </c>
      <c r="Z380" s="8" t="str">
        <f t="array" ref="Z380">IF(Y380&gt;5,"Perlu Sensus",IF(AND(Y380&gt;0,,O380&gt;0),"Tetap Deteksi","Belum Deteksi"))</f>
        <v>Belum Deteksi</v>
      </c>
      <c r="AA380" s="143"/>
      <c r="AB380" s="9">
        <f t="shared" si="49"/>
        <v>0</v>
      </c>
    </row>
    <row r="381" spans="1:28" hidden="1" x14ac:dyDescent="0.15">
      <c r="A381" s="8" t="s">
        <v>628</v>
      </c>
      <c r="B381" s="8" t="s">
        <v>47</v>
      </c>
      <c r="C381" s="8" t="s">
        <v>380</v>
      </c>
      <c r="D381" s="8" t="s">
        <v>326</v>
      </c>
      <c r="E381" s="9">
        <v>14.33</v>
      </c>
      <c r="F381" s="8" t="s">
        <v>469</v>
      </c>
      <c r="G381" s="143">
        <f t="array" ref="G381">INDEX('[23]SENSUS MEI'!$G$9:$G$453,MATCH(1,('[23]SENSUS MEI'!$D$9:$D$453=$D381)*('[23]SENSUS MEI'!$D$9:$D$453=$D381),0))</f>
        <v>1675</v>
      </c>
      <c r="H381" s="132">
        <f t="shared" si="50"/>
        <v>0</v>
      </c>
      <c r="I381" s="140">
        <f t="shared" si="51"/>
        <v>0</v>
      </c>
      <c r="J381" s="9" t="str">
        <f t="shared" si="52"/>
        <v xml:space="preserve"> </v>
      </c>
      <c r="K381" s="140">
        <f t="shared" si="53"/>
        <v>0</v>
      </c>
      <c r="L381" s="206">
        <f t="shared" si="54"/>
        <v>0</v>
      </c>
      <c r="M381" s="8" t="str">
        <f t="array" ref="M381">IF(L381&gt;5,"Perlu Sensus",IF(AND(L381&gt;=0,I381&gt;0),"Tetap Deteksi","Belum Deteksi"))</f>
        <v>Belum Deteksi</v>
      </c>
      <c r="N381" s="11"/>
      <c r="O381" s="143"/>
      <c r="P381" s="9">
        <f t="array" ref="P381">IFERROR(O381/G381*100,0)</f>
        <v>0</v>
      </c>
      <c r="Q381" s="143"/>
      <c r="R381" s="9">
        <f t="shared" si="46"/>
        <v>0</v>
      </c>
      <c r="S381" s="8" t="str">
        <f t="array" ref="S381">IF(R381&gt;5,"Perlu Sensus",IF(AND(R381&gt;=0,O381&gt;0),"Tetap Deteksi","Belum Deteksi"))</f>
        <v>Belum Deteksi</v>
      </c>
      <c r="T381" s="143"/>
      <c r="U381" s="9">
        <f t="shared" si="48"/>
        <v>0</v>
      </c>
      <c r="V381" s="11"/>
      <c r="W381" s="143"/>
      <c r="X381" s="143"/>
      <c r="Y381" s="9">
        <f t="shared" si="47"/>
        <v>0</v>
      </c>
      <c r="Z381" s="8" t="str">
        <f t="array" ref="Z381">IF(Y381&gt;5,"Perlu Sensus",IF(AND(Y381&gt;0,,O381&gt;0),"Tetap Deteksi","Belum Deteksi"))</f>
        <v>Belum Deteksi</v>
      </c>
      <c r="AA381" s="143"/>
      <c r="AB381" s="9">
        <f t="shared" si="49"/>
        <v>0</v>
      </c>
    </row>
    <row r="382" spans="1:28" hidden="1" x14ac:dyDescent="0.15">
      <c r="A382" s="8" t="s">
        <v>628</v>
      </c>
      <c r="B382" s="8" t="s">
        <v>47</v>
      </c>
      <c r="C382" s="8" t="s">
        <v>380</v>
      </c>
      <c r="D382" s="8" t="s">
        <v>327</v>
      </c>
      <c r="E382" s="9">
        <v>9.51</v>
      </c>
      <c r="F382" s="8" t="s">
        <v>469</v>
      </c>
      <c r="G382" s="143">
        <f t="array" ref="G382">INDEX('[23]SENSUS MEI'!$G$9:$G$453,MATCH(1,('[23]SENSUS MEI'!$D$9:$D$453=$D382)*('[23]SENSUS MEI'!$D$9:$D$453=$D382),0))</f>
        <v>1267</v>
      </c>
      <c r="H382" s="132">
        <f t="shared" si="50"/>
        <v>0</v>
      </c>
      <c r="I382" s="140">
        <f t="shared" si="51"/>
        <v>0</v>
      </c>
      <c r="J382" s="9" t="str">
        <f t="shared" si="52"/>
        <v xml:space="preserve"> </v>
      </c>
      <c r="K382" s="140">
        <f t="shared" si="53"/>
        <v>0</v>
      </c>
      <c r="L382" s="206">
        <f t="shared" si="54"/>
        <v>0</v>
      </c>
      <c r="M382" s="8" t="str">
        <f t="array" ref="M382">IF(L382&gt;5,"Perlu Sensus",IF(AND(L382&gt;=0,I382&gt;0),"Tetap Deteksi","Belum Deteksi"))</f>
        <v>Belum Deteksi</v>
      </c>
      <c r="N382" s="11"/>
      <c r="O382" s="143"/>
      <c r="P382" s="9">
        <f t="array" ref="P382">IFERROR(O382/G382*100,0)</f>
        <v>0</v>
      </c>
      <c r="Q382" s="143"/>
      <c r="R382" s="9">
        <f t="shared" si="46"/>
        <v>0</v>
      </c>
      <c r="S382" s="8" t="str">
        <f t="array" ref="S382">IF(R382&gt;5,"Perlu Sensus",IF(AND(R382&gt;=0,O382&gt;0),"Tetap Deteksi","Belum Deteksi"))</f>
        <v>Belum Deteksi</v>
      </c>
      <c r="T382" s="143"/>
      <c r="U382" s="9">
        <f t="shared" si="48"/>
        <v>0</v>
      </c>
      <c r="V382" s="11"/>
      <c r="W382" s="143"/>
      <c r="X382" s="143"/>
      <c r="Y382" s="9">
        <f t="shared" si="47"/>
        <v>0</v>
      </c>
      <c r="Z382" s="8" t="str">
        <f t="array" ref="Z382">IF(Y382&gt;5,"Perlu Sensus",IF(AND(Y382&gt;0,,O382&gt;0),"Tetap Deteksi","Belum Deteksi"))</f>
        <v>Belum Deteksi</v>
      </c>
      <c r="AA382" s="143"/>
      <c r="AB382" s="9">
        <f t="shared" si="49"/>
        <v>0</v>
      </c>
    </row>
    <row r="383" spans="1:28" x14ac:dyDescent="0.15">
      <c r="A383" s="8" t="s">
        <v>628</v>
      </c>
      <c r="B383" s="8" t="s">
        <v>47</v>
      </c>
      <c r="C383" s="8" t="s">
        <v>380</v>
      </c>
      <c r="D383" s="8" t="s">
        <v>328</v>
      </c>
      <c r="E383" s="9">
        <v>14.51</v>
      </c>
      <c r="F383" s="8" t="s">
        <v>16</v>
      </c>
      <c r="G383" s="143">
        <f t="array" ref="G383">INDEX('[23]SENSUS MEI'!$G$9:$G$453,MATCH(1,('[23]SENSUS MEI'!$D$9:$D$453=$D383)*('[23]SENSUS MEI'!$D$9:$D$453=$D383),0))</f>
        <v>2008</v>
      </c>
      <c r="H383" s="132">
        <f t="shared" si="50"/>
        <v>46249</v>
      </c>
      <c r="I383" s="140">
        <f t="shared" si="51"/>
        <v>50</v>
      </c>
      <c r="J383" s="9" t="str">
        <f t="shared" si="52"/>
        <v xml:space="preserve"> </v>
      </c>
      <c r="K383" s="140">
        <f t="shared" si="53"/>
        <v>2</v>
      </c>
      <c r="L383" s="206">
        <f t="shared" si="54"/>
        <v>4</v>
      </c>
      <c r="M383" s="8" t="str">
        <f t="array" ref="M383">IF(L383&gt;5,"Perlu Sensus",IF(AND(L383&gt;=0,I383&gt;0),"Tetap Deteksi","Belum Deteksi"))</f>
        <v>Tetap Deteksi</v>
      </c>
      <c r="N383" s="11"/>
      <c r="O383" s="143"/>
      <c r="P383" s="9">
        <f t="array" ref="P383">IFERROR(O383/G383*100,0)</f>
        <v>0</v>
      </c>
      <c r="Q383" s="143"/>
      <c r="R383" s="9">
        <f t="shared" si="46"/>
        <v>0</v>
      </c>
      <c r="S383" s="8" t="str">
        <f t="array" ref="S383">IF(R383&gt;5,"Perlu Sensus",IF(AND(R383&gt;=0,O383&gt;0),"Tetap Deteksi","Belum Deteksi"))</f>
        <v>Belum Deteksi</v>
      </c>
      <c r="T383" s="143"/>
      <c r="U383" s="9">
        <f t="shared" si="48"/>
        <v>0</v>
      </c>
      <c r="V383" s="11">
        <v>46249</v>
      </c>
      <c r="W383" s="143">
        <v>50</v>
      </c>
      <c r="X383" s="143">
        <v>2</v>
      </c>
      <c r="Y383" s="9">
        <f t="shared" si="47"/>
        <v>4</v>
      </c>
      <c r="Z383" s="8" t="str">
        <f t="array" ref="Z383">IF(Y383&gt;5,"Perlu Sensus",IF(AND(Y383&gt;0,,O383&gt;0),"Tetap Deteksi","Belum Deteksi"))</f>
        <v>Belum Deteksi</v>
      </c>
      <c r="AA383" s="143">
        <v>4</v>
      </c>
      <c r="AB383" s="9">
        <f t="shared" si="49"/>
        <v>8</v>
      </c>
    </row>
    <row r="384" spans="1:28" hidden="1" x14ac:dyDescent="0.15">
      <c r="A384" s="8" t="s">
        <v>628</v>
      </c>
      <c r="B384" s="8" t="s">
        <v>47</v>
      </c>
      <c r="C384" s="8" t="s">
        <v>380</v>
      </c>
      <c r="D384" s="8" t="s">
        <v>329</v>
      </c>
      <c r="E384" s="9">
        <v>13.94</v>
      </c>
      <c r="F384" s="8" t="s">
        <v>16</v>
      </c>
      <c r="G384" s="143">
        <f t="array" ref="G384">INDEX('[23]SENSUS MEI'!$G$9:$G$453,MATCH(1,('[23]SENSUS MEI'!$D$9:$D$453=$D384)*('[23]SENSUS MEI'!$D$9:$D$453=$D384),0))</f>
        <v>1885</v>
      </c>
      <c r="H384" s="132">
        <f t="shared" si="50"/>
        <v>0</v>
      </c>
      <c r="I384" s="140">
        <f t="shared" si="51"/>
        <v>0</v>
      </c>
      <c r="J384" s="9" t="str">
        <f t="shared" si="52"/>
        <v xml:space="preserve"> </v>
      </c>
      <c r="K384" s="140">
        <f t="shared" si="53"/>
        <v>0</v>
      </c>
      <c r="L384" s="206">
        <f t="shared" si="54"/>
        <v>0</v>
      </c>
      <c r="M384" s="8" t="str">
        <f t="array" ref="M384">IF(L384&gt;5,"Perlu Sensus",IF(AND(L384&gt;=0,I384&gt;0),"Tetap Deteksi","Belum Deteksi"))</f>
        <v>Belum Deteksi</v>
      </c>
      <c r="N384" s="11"/>
      <c r="O384" s="143"/>
      <c r="P384" s="9">
        <f t="array" ref="P384">IFERROR(O384/G384*100,0)</f>
        <v>0</v>
      </c>
      <c r="Q384" s="143"/>
      <c r="R384" s="9">
        <f t="shared" si="46"/>
        <v>0</v>
      </c>
      <c r="S384" s="8" t="str">
        <f t="array" ref="S384">IF(R384&gt;5,"Perlu Sensus",IF(AND(R384&gt;=0,O384&gt;0),"Tetap Deteksi","Belum Deteksi"))</f>
        <v>Belum Deteksi</v>
      </c>
      <c r="T384" s="143"/>
      <c r="U384" s="9">
        <f t="shared" si="48"/>
        <v>0</v>
      </c>
      <c r="V384" s="11"/>
      <c r="W384" s="143"/>
      <c r="X384" s="143"/>
      <c r="Y384" s="9">
        <f t="shared" si="47"/>
        <v>0</v>
      </c>
      <c r="Z384" s="8" t="str">
        <f t="array" ref="Z384">IF(Y384&gt;5,"Perlu Sensus",IF(AND(Y384&gt;0,,O384&gt;0),"Tetap Deteksi","Belum Deteksi"))</f>
        <v>Belum Deteksi</v>
      </c>
      <c r="AA384" s="143"/>
      <c r="AB384" s="9">
        <f t="shared" si="49"/>
        <v>0</v>
      </c>
    </row>
    <row r="385" spans="1:28" hidden="1" x14ac:dyDescent="0.15">
      <c r="A385" s="8" t="s">
        <v>628</v>
      </c>
      <c r="B385" s="8" t="s">
        <v>47</v>
      </c>
      <c r="C385" s="8" t="s">
        <v>380</v>
      </c>
      <c r="D385" s="8" t="s">
        <v>330</v>
      </c>
      <c r="E385" s="9">
        <v>13.22</v>
      </c>
      <c r="F385" s="8" t="s">
        <v>469</v>
      </c>
      <c r="G385" s="143">
        <f t="array" ref="G385">INDEX('[23]SENSUS MEI'!$G$9:$G$453,MATCH(1,('[23]SENSUS MEI'!$D$9:$D$453=$D385)*('[23]SENSUS MEI'!$D$9:$D$453=$D385),0))</f>
        <v>1713</v>
      </c>
      <c r="H385" s="132">
        <f t="shared" si="50"/>
        <v>0</v>
      </c>
      <c r="I385" s="140">
        <f t="shared" si="51"/>
        <v>0</v>
      </c>
      <c r="J385" s="9" t="str">
        <f t="shared" si="52"/>
        <v xml:space="preserve"> </v>
      </c>
      <c r="K385" s="140">
        <f t="shared" si="53"/>
        <v>0</v>
      </c>
      <c r="L385" s="206">
        <f t="shared" si="54"/>
        <v>0</v>
      </c>
      <c r="M385" s="8" t="str">
        <f t="array" ref="M385">IF(L385&gt;5,"Perlu Sensus",IF(AND(L385&gt;=0,I385&gt;0),"Tetap Deteksi","Belum Deteksi"))</f>
        <v>Belum Deteksi</v>
      </c>
      <c r="N385" s="11"/>
      <c r="O385" s="143"/>
      <c r="P385" s="9">
        <f t="array" ref="P385">IFERROR(O385/G385*100,0)</f>
        <v>0</v>
      </c>
      <c r="Q385" s="143"/>
      <c r="R385" s="9">
        <f t="shared" si="46"/>
        <v>0</v>
      </c>
      <c r="S385" s="8" t="str">
        <f t="array" ref="S385">IF(R385&gt;5,"Perlu Sensus",IF(AND(R385&gt;=0,O385&gt;0),"Tetap Deteksi","Belum Deteksi"))</f>
        <v>Belum Deteksi</v>
      </c>
      <c r="T385" s="143"/>
      <c r="U385" s="9">
        <f t="shared" si="48"/>
        <v>0</v>
      </c>
      <c r="V385" s="11"/>
      <c r="W385" s="143"/>
      <c r="X385" s="143"/>
      <c r="Y385" s="9">
        <f t="shared" si="47"/>
        <v>0</v>
      </c>
      <c r="Z385" s="8" t="str">
        <f t="array" ref="Z385">IF(Y385&gt;5,"Perlu Sensus",IF(AND(Y385&gt;0,,O385&gt;0),"Tetap Deteksi","Belum Deteksi"))</f>
        <v>Belum Deteksi</v>
      </c>
      <c r="AA385" s="143"/>
      <c r="AB385" s="9">
        <f t="shared" si="49"/>
        <v>0</v>
      </c>
    </row>
    <row r="386" spans="1:28" hidden="1" x14ac:dyDescent="0.15">
      <c r="A386" s="8" t="s">
        <v>628</v>
      </c>
      <c r="B386" s="8" t="s">
        <v>47</v>
      </c>
      <c r="C386" s="8" t="s">
        <v>380</v>
      </c>
      <c r="D386" s="8" t="s">
        <v>331</v>
      </c>
      <c r="E386" s="9">
        <v>9.86</v>
      </c>
      <c r="F386" s="8" t="s">
        <v>469</v>
      </c>
      <c r="G386" s="143">
        <f t="array" ref="G386">INDEX('[23]SENSUS MEI'!$G$9:$G$453,MATCH(1,('[23]SENSUS MEI'!$D$9:$D$453=$D386)*('[23]SENSUS MEI'!$D$9:$D$453=$D386),0))</f>
        <v>1413</v>
      </c>
      <c r="H386" s="132">
        <f t="shared" si="50"/>
        <v>0</v>
      </c>
      <c r="I386" s="140">
        <f t="shared" si="51"/>
        <v>0</v>
      </c>
      <c r="J386" s="9" t="str">
        <f t="shared" si="52"/>
        <v xml:space="preserve"> </v>
      </c>
      <c r="K386" s="140">
        <f t="shared" si="53"/>
        <v>0</v>
      </c>
      <c r="L386" s="206">
        <f t="shared" si="54"/>
        <v>0</v>
      </c>
      <c r="M386" s="8" t="str">
        <f t="array" ref="M386">IF(L386&gt;5,"Perlu Sensus",IF(AND(L386&gt;=0,I386&gt;0),"Tetap Deteksi","Belum Deteksi"))</f>
        <v>Belum Deteksi</v>
      </c>
      <c r="N386" s="11"/>
      <c r="O386" s="143"/>
      <c r="P386" s="9">
        <f t="array" ref="P386">IFERROR(O386/G386*100,0)</f>
        <v>0</v>
      </c>
      <c r="Q386" s="143"/>
      <c r="R386" s="9">
        <f t="shared" si="46"/>
        <v>0</v>
      </c>
      <c r="S386" s="8" t="str">
        <f t="array" ref="S386">IF(R386&gt;5,"Perlu Sensus",IF(AND(R386&gt;=0,O386&gt;0),"Tetap Deteksi","Belum Deteksi"))</f>
        <v>Belum Deteksi</v>
      </c>
      <c r="T386" s="143"/>
      <c r="U386" s="9">
        <f t="shared" si="48"/>
        <v>0</v>
      </c>
      <c r="V386" s="11"/>
      <c r="W386" s="143"/>
      <c r="X386" s="143"/>
      <c r="Y386" s="9">
        <f t="shared" si="47"/>
        <v>0</v>
      </c>
      <c r="Z386" s="8" t="str">
        <f t="array" ref="Z386">IF(Y386&gt;5,"Perlu Sensus",IF(AND(Y386&gt;0,,O386&gt;0),"Tetap Deteksi","Belum Deteksi"))</f>
        <v>Belum Deteksi</v>
      </c>
      <c r="AA386" s="143"/>
      <c r="AB386" s="9">
        <f t="shared" si="49"/>
        <v>0</v>
      </c>
    </row>
    <row r="387" spans="1:28" hidden="1" x14ac:dyDescent="0.15">
      <c r="A387" s="8" t="s">
        <v>628</v>
      </c>
      <c r="B387" s="8" t="s">
        <v>47</v>
      </c>
      <c r="C387" s="8" t="s">
        <v>380</v>
      </c>
      <c r="D387" s="8" t="s">
        <v>332</v>
      </c>
      <c r="E387" s="9">
        <v>14.02</v>
      </c>
      <c r="F387" s="8" t="s">
        <v>469</v>
      </c>
      <c r="G387" s="143">
        <f t="array" ref="G387">INDEX('[23]SENSUS MEI'!$G$9:$G$453,MATCH(1,('[23]SENSUS MEI'!$D$9:$D$453=$D387)*('[23]SENSUS MEI'!$D$9:$D$453=$D387),0))</f>
        <v>1875</v>
      </c>
      <c r="H387" s="132">
        <f t="shared" si="50"/>
        <v>0</v>
      </c>
      <c r="I387" s="140">
        <f t="shared" si="51"/>
        <v>0</v>
      </c>
      <c r="J387" s="9" t="str">
        <f t="shared" si="52"/>
        <v xml:space="preserve"> </v>
      </c>
      <c r="K387" s="140">
        <f t="shared" si="53"/>
        <v>0</v>
      </c>
      <c r="L387" s="206">
        <f t="shared" si="54"/>
        <v>0</v>
      </c>
      <c r="M387" s="8" t="str">
        <f t="array" ref="M387">IF(L387&gt;5,"Perlu Sensus",IF(AND(L387&gt;=0,I387&gt;0),"Tetap Deteksi","Belum Deteksi"))</f>
        <v>Belum Deteksi</v>
      </c>
      <c r="N387" s="11"/>
      <c r="O387" s="143"/>
      <c r="P387" s="9">
        <f t="array" ref="P387">IFERROR(O387/G387*100,0)</f>
        <v>0</v>
      </c>
      <c r="Q387" s="143"/>
      <c r="R387" s="9">
        <f t="shared" si="46"/>
        <v>0</v>
      </c>
      <c r="S387" s="8" t="str">
        <f t="array" ref="S387">IF(R387&gt;5,"Perlu Sensus",IF(AND(R387&gt;=0,O387&gt;0),"Tetap Deteksi","Belum Deteksi"))</f>
        <v>Belum Deteksi</v>
      </c>
      <c r="T387" s="143"/>
      <c r="U387" s="9">
        <f t="shared" si="48"/>
        <v>0</v>
      </c>
      <c r="V387" s="11"/>
      <c r="W387" s="143"/>
      <c r="X387" s="143"/>
      <c r="Y387" s="9">
        <f t="shared" si="47"/>
        <v>0</v>
      </c>
      <c r="Z387" s="8" t="str">
        <f t="array" ref="Z387">IF(Y387&gt;5,"Perlu Sensus",IF(AND(Y387&gt;0,,O387&gt;0),"Tetap Deteksi","Belum Deteksi"))</f>
        <v>Belum Deteksi</v>
      </c>
      <c r="AA387" s="143"/>
      <c r="AB387" s="9">
        <f t="shared" si="49"/>
        <v>0</v>
      </c>
    </row>
    <row r="388" spans="1:28" hidden="1" x14ac:dyDescent="0.15">
      <c r="A388" s="8" t="s">
        <v>628</v>
      </c>
      <c r="B388" s="8" t="s">
        <v>47</v>
      </c>
      <c r="C388" s="8" t="s">
        <v>380</v>
      </c>
      <c r="D388" s="8" t="s">
        <v>333</v>
      </c>
      <c r="E388" s="9">
        <v>13.35</v>
      </c>
      <c r="F388" s="8" t="s">
        <v>16</v>
      </c>
      <c r="G388" s="143">
        <f t="array" ref="G388">INDEX('[23]SENSUS MEI'!$G$9:$G$453,MATCH(1,('[23]SENSUS MEI'!$D$9:$D$453=$D388)*('[23]SENSUS MEI'!$D$9:$D$453=$D388),0))</f>
        <v>1638</v>
      </c>
      <c r="H388" s="132">
        <f t="shared" si="50"/>
        <v>0</v>
      </c>
      <c r="I388" s="140">
        <f t="shared" si="51"/>
        <v>0</v>
      </c>
      <c r="J388" s="9" t="str">
        <f t="shared" si="52"/>
        <v xml:space="preserve"> </v>
      </c>
      <c r="K388" s="140">
        <f t="shared" si="53"/>
        <v>0</v>
      </c>
      <c r="L388" s="206">
        <f t="shared" si="54"/>
        <v>0</v>
      </c>
      <c r="M388" s="8" t="str">
        <f t="array" ref="M388">IF(L388&gt;5,"Perlu Sensus",IF(AND(L388&gt;=0,I388&gt;0),"Tetap Deteksi","Belum Deteksi"))</f>
        <v>Belum Deteksi</v>
      </c>
      <c r="N388" s="11"/>
      <c r="O388" s="143"/>
      <c r="P388" s="9">
        <f t="array" ref="P388">IFERROR(O388/G388*100,0)</f>
        <v>0</v>
      </c>
      <c r="Q388" s="143"/>
      <c r="R388" s="9">
        <f t="shared" si="46"/>
        <v>0</v>
      </c>
      <c r="S388" s="8" t="str">
        <f t="array" ref="S388">IF(R388&gt;5,"Perlu Sensus",IF(AND(R388&gt;=0,O388&gt;0),"Tetap Deteksi","Belum Deteksi"))</f>
        <v>Belum Deteksi</v>
      </c>
      <c r="T388" s="143"/>
      <c r="U388" s="9">
        <f t="shared" si="48"/>
        <v>0</v>
      </c>
      <c r="V388" s="11"/>
      <c r="W388" s="143"/>
      <c r="X388" s="143"/>
      <c r="Y388" s="9">
        <f t="shared" si="47"/>
        <v>0</v>
      </c>
      <c r="Z388" s="8" t="str">
        <f t="array" ref="Z388">IF(Y388&gt;5,"Perlu Sensus",IF(AND(Y388&gt;0,,O388&gt;0),"Tetap Deteksi","Belum Deteksi"))</f>
        <v>Belum Deteksi</v>
      </c>
      <c r="AA388" s="143"/>
      <c r="AB388" s="9">
        <f t="shared" si="49"/>
        <v>0</v>
      </c>
    </row>
    <row r="389" spans="1:28" hidden="1" x14ac:dyDescent="0.15">
      <c r="A389" s="8" t="s">
        <v>628</v>
      </c>
      <c r="B389" s="8" t="s">
        <v>47</v>
      </c>
      <c r="C389" s="8" t="s">
        <v>380</v>
      </c>
      <c r="D389" s="8" t="s">
        <v>334</v>
      </c>
      <c r="E389" s="9">
        <v>20.72</v>
      </c>
      <c r="F389" s="8" t="s">
        <v>469</v>
      </c>
      <c r="G389" s="143">
        <f t="array" ref="G389">INDEX('[23]SENSUS MEI'!$G$9:$G$453,MATCH(1,('[23]SENSUS MEI'!$D$9:$D$453=$D389)*('[23]SENSUS MEI'!$D$9:$D$453=$D389),0))</f>
        <v>2586</v>
      </c>
      <c r="H389" s="132">
        <f t="shared" si="50"/>
        <v>0</v>
      </c>
      <c r="I389" s="140">
        <f t="shared" si="51"/>
        <v>0</v>
      </c>
      <c r="J389" s="9" t="str">
        <f t="shared" si="52"/>
        <v xml:space="preserve"> </v>
      </c>
      <c r="K389" s="140">
        <f t="shared" si="53"/>
        <v>0</v>
      </c>
      <c r="L389" s="206">
        <f t="shared" si="54"/>
        <v>0</v>
      </c>
      <c r="M389" s="8" t="str">
        <f t="array" ref="M389">IF(L389&gt;5,"Perlu Sensus",IF(AND(L389&gt;=0,I389&gt;0),"Tetap Deteksi","Belum Deteksi"))</f>
        <v>Belum Deteksi</v>
      </c>
      <c r="N389" s="11"/>
      <c r="O389" s="143"/>
      <c r="P389" s="9">
        <f t="array" ref="P389">IFERROR(O389/G389*100,0)</f>
        <v>0</v>
      </c>
      <c r="Q389" s="143"/>
      <c r="R389" s="9">
        <f t="shared" si="46"/>
        <v>0</v>
      </c>
      <c r="S389" s="8" t="str">
        <f t="array" ref="S389">IF(R389&gt;5,"Perlu Sensus",IF(AND(R389&gt;=0,O389&gt;0),"Tetap Deteksi","Belum Deteksi"))</f>
        <v>Belum Deteksi</v>
      </c>
      <c r="T389" s="143"/>
      <c r="U389" s="9">
        <f t="shared" si="48"/>
        <v>0</v>
      </c>
      <c r="V389" s="11"/>
      <c r="W389" s="143"/>
      <c r="X389" s="143"/>
      <c r="Y389" s="9">
        <f t="shared" si="47"/>
        <v>0</v>
      </c>
      <c r="Z389" s="8" t="str">
        <f t="array" ref="Z389">IF(Y389&gt;5,"Perlu Sensus",IF(AND(Y389&gt;0,,O389&gt;0),"Tetap Deteksi","Belum Deteksi"))</f>
        <v>Belum Deteksi</v>
      </c>
      <c r="AA389" s="143"/>
      <c r="AB389" s="9">
        <f t="shared" si="49"/>
        <v>0</v>
      </c>
    </row>
    <row r="390" spans="1:28" hidden="1" x14ac:dyDescent="0.15">
      <c r="A390" s="8" t="s">
        <v>628</v>
      </c>
      <c r="B390" s="8" t="s">
        <v>47</v>
      </c>
      <c r="C390" s="8" t="s">
        <v>380</v>
      </c>
      <c r="D390" s="8" t="s">
        <v>921</v>
      </c>
      <c r="E390" s="9">
        <v>4.97</v>
      </c>
      <c r="F390" s="8" t="s">
        <v>469</v>
      </c>
      <c r="G390" s="143">
        <f t="array" ref="G390">INDEX('[23]SENSUS MEI'!$G$9:$G$453,MATCH(1,('[23]SENSUS MEI'!$D$9:$D$453=$D390)*('[23]SENSUS MEI'!$D$9:$D$453=$D390),0))</f>
        <v>292</v>
      </c>
      <c r="H390" s="132">
        <f t="shared" si="50"/>
        <v>0</v>
      </c>
      <c r="I390" s="140">
        <f t="shared" si="51"/>
        <v>0</v>
      </c>
      <c r="J390" s="9" t="str">
        <f t="shared" si="52"/>
        <v xml:space="preserve"> </v>
      </c>
      <c r="K390" s="140">
        <f t="shared" si="53"/>
        <v>0</v>
      </c>
      <c r="L390" s="206">
        <f t="shared" si="54"/>
        <v>0</v>
      </c>
      <c r="M390" s="8" t="str">
        <f t="array" ref="M390">IF(L390&gt;5,"Perlu Sensus",IF(AND(L390&gt;=0,I390&gt;0),"Tetap Deteksi","Belum Deteksi"))</f>
        <v>Belum Deteksi</v>
      </c>
      <c r="N390" s="11"/>
      <c r="O390" s="143"/>
      <c r="P390" s="9">
        <f t="array" ref="P390">IFERROR(O390/G390*100,0)</f>
        <v>0</v>
      </c>
      <c r="Q390" s="143"/>
      <c r="R390" s="9">
        <f t="shared" ref="R390:R435" si="55">IFERROR(Q390/O390*100,0)</f>
        <v>0</v>
      </c>
      <c r="S390" s="8" t="str">
        <f t="array" ref="S390">IF(R390&gt;5,"Perlu Sensus",IF(AND(R390&gt;=0,O390&gt;0),"Tetap Deteksi","Belum Deteksi"))</f>
        <v>Belum Deteksi</v>
      </c>
      <c r="T390" s="143"/>
      <c r="U390" s="9">
        <f t="shared" si="48"/>
        <v>0</v>
      </c>
      <c r="V390" s="11"/>
      <c r="W390" s="143"/>
      <c r="X390" s="143"/>
      <c r="Y390" s="9">
        <f t="shared" ref="Y390:Y435" si="56">IFERROR(X390/W390*100,0)</f>
        <v>0</v>
      </c>
      <c r="Z390" s="8" t="str">
        <f t="array" ref="Z390">IF(Y390&gt;5,"Perlu Sensus",IF(AND(Y390&gt;0,,O390&gt;0),"Tetap Deteksi","Belum Deteksi"))</f>
        <v>Belum Deteksi</v>
      </c>
      <c r="AA390" s="143"/>
      <c r="AB390" s="9">
        <f t="shared" si="49"/>
        <v>0</v>
      </c>
    </row>
    <row r="391" spans="1:28" hidden="1" x14ac:dyDescent="0.15">
      <c r="A391" s="8" t="s">
        <v>628</v>
      </c>
      <c r="B391" s="8" t="s">
        <v>47</v>
      </c>
      <c r="C391" s="8" t="s">
        <v>380</v>
      </c>
      <c r="D391" s="8" t="s">
        <v>922</v>
      </c>
      <c r="E391" s="9">
        <v>7.01</v>
      </c>
      <c r="F391" s="8" t="s">
        <v>469</v>
      </c>
      <c r="G391" s="143">
        <f t="array" ref="G391">INDEX('[23]SENSUS MEI'!$G$9:$G$453,MATCH(1,('[23]SENSUS MEI'!$D$9:$D$453=$D391)*('[23]SENSUS MEI'!$D$9:$D$453=$D391),0))</f>
        <v>793</v>
      </c>
      <c r="H391" s="132">
        <f t="shared" si="50"/>
        <v>0</v>
      </c>
      <c r="I391" s="140">
        <f t="shared" si="51"/>
        <v>0</v>
      </c>
      <c r="J391" s="9" t="str">
        <f t="shared" si="52"/>
        <v xml:space="preserve"> </v>
      </c>
      <c r="K391" s="140">
        <f t="shared" si="53"/>
        <v>0</v>
      </c>
      <c r="L391" s="206">
        <f t="shared" si="54"/>
        <v>0</v>
      </c>
      <c r="M391" s="8" t="str">
        <f t="array" ref="M391">IF(L391&gt;5,"Perlu Sensus",IF(AND(L391&gt;=0,I391&gt;0),"Tetap Deteksi","Belum Deteksi"))</f>
        <v>Belum Deteksi</v>
      </c>
      <c r="N391" s="11"/>
      <c r="O391" s="143"/>
      <c r="P391" s="9">
        <f t="array" ref="P391">IFERROR(O391/G391*100,0)</f>
        <v>0</v>
      </c>
      <c r="Q391" s="143"/>
      <c r="R391" s="9">
        <f t="shared" si="55"/>
        <v>0</v>
      </c>
      <c r="S391" s="8" t="str">
        <f t="array" ref="S391">IF(R391&gt;5,"Perlu Sensus",IF(AND(R391&gt;=0,O391&gt;0),"Tetap Deteksi","Belum Deteksi"))</f>
        <v>Belum Deteksi</v>
      </c>
      <c r="T391" s="143"/>
      <c r="U391" s="9">
        <f t="shared" ref="U391:U435" si="57">IFERROR(T391/O391*100,0)</f>
        <v>0</v>
      </c>
      <c r="V391" s="11"/>
      <c r="W391" s="143"/>
      <c r="X391" s="143"/>
      <c r="Y391" s="9">
        <f t="shared" si="56"/>
        <v>0</v>
      </c>
      <c r="Z391" s="8" t="str">
        <f t="array" ref="Z391">IF(Y391&gt;5,"Perlu Sensus",IF(AND(Y391&gt;0,,O391&gt;0),"Tetap Deteksi","Belum Deteksi"))</f>
        <v>Belum Deteksi</v>
      </c>
      <c r="AA391" s="143"/>
      <c r="AB391" s="9">
        <f t="shared" ref="AB391:AB435" si="58">IFERROR(AA391/W391*100,0)</f>
        <v>0</v>
      </c>
    </row>
    <row r="392" spans="1:28" hidden="1" x14ac:dyDescent="0.15">
      <c r="A392" s="8" t="s">
        <v>628</v>
      </c>
      <c r="B392" s="8" t="s">
        <v>47</v>
      </c>
      <c r="C392" s="8" t="s">
        <v>380</v>
      </c>
      <c r="D392" s="8" t="s">
        <v>923</v>
      </c>
      <c r="E392" s="9">
        <v>1.59</v>
      </c>
      <c r="F392" s="8" t="s">
        <v>469</v>
      </c>
      <c r="G392" s="143">
        <f t="array" ref="G392">INDEX('[23]SENSUS MEI'!$G$9:$G$453,MATCH(1,('[23]SENSUS MEI'!$D$9:$D$453=$D392)*('[23]SENSUS MEI'!$D$9:$D$453=$D392),0))</f>
        <v>212</v>
      </c>
      <c r="H392" s="132">
        <f t="shared" si="50"/>
        <v>0</v>
      </c>
      <c r="I392" s="140">
        <f t="shared" si="51"/>
        <v>0</v>
      </c>
      <c r="J392" s="9" t="str">
        <f t="shared" si="52"/>
        <v xml:space="preserve"> </v>
      </c>
      <c r="K392" s="140">
        <f t="shared" si="53"/>
        <v>0</v>
      </c>
      <c r="L392" s="206">
        <f t="shared" si="54"/>
        <v>0</v>
      </c>
      <c r="M392" s="8" t="str">
        <f t="array" ref="M392">IF(L392&gt;5,"Perlu Sensus",IF(AND(L392&gt;=0,I392&gt;0),"Tetap Deteksi","Belum Deteksi"))</f>
        <v>Belum Deteksi</v>
      </c>
      <c r="N392" s="11"/>
      <c r="O392" s="143"/>
      <c r="P392" s="9">
        <f t="array" ref="P392">IFERROR(O392/G392*100,0)</f>
        <v>0</v>
      </c>
      <c r="Q392" s="143"/>
      <c r="R392" s="9">
        <f t="shared" si="55"/>
        <v>0</v>
      </c>
      <c r="S392" s="8" t="str">
        <f t="array" ref="S392">IF(R392&gt;5,"Perlu Sensus",IF(AND(R392&gt;=0,O392&gt;0),"Tetap Deteksi","Belum Deteksi"))</f>
        <v>Belum Deteksi</v>
      </c>
      <c r="T392" s="143"/>
      <c r="U392" s="9">
        <f t="shared" si="57"/>
        <v>0</v>
      </c>
      <c r="V392" s="11"/>
      <c r="W392" s="143"/>
      <c r="X392" s="143"/>
      <c r="Y392" s="9">
        <f t="shared" si="56"/>
        <v>0</v>
      </c>
      <c r="Z392" s="8" t="str">
        <f t="array" ref="Z392">IF(Y392&gt;5,"Perlu Sensus",IF(AND(Y392&gt;0,,O392&gt;0),"Tetap Deteksi","Belum Deteksi"))</f>
        <v>Belum Deteksi</v>
      </c>
      <c r="AA392" s="143"/>
      <c r="AB392" s="9">
        <f t="shared" si="58"/>
        <v>0</v>
      </c>
    </row>
    <row r="393" spans="1:28" hidden="1" x14ac:dyDescent="0.15">
      <c r="A393" s="8" t="s">
        <v>628</v>
      </c>
      <c r="B393" s="8" t="s">
        <v>47</v>
      </c>
      <c r="C393" s="8" t="s">
        <v>380</v>
      </c>
      <c r="D393" s="8" t="s">
        <v>924</v>
      </c>
      <c r="E393" s="9">
        <v>4</v>
      </c>
      <c r="F393" s="8" t="s">
        <v>469</v>
      </c>
      <c r="G393" s="143">
        <f t="array" ref="G393">INDEX('[23]SENSUS MEI'!$G$9:$G$453,MATCH(1,('[23]SENSUS MEI'!$D$9:$D$453=$D393)*('[23]SENSUS MEI'!$D$9:$D$453=$D393),0))</f>
        <v>340</v>
      </c>
      <c r="H393" s="132">
        <f t="shared" si="50"/>
        <v>0</v>
      </c>
      <c r="I393" s="140">
        <f t="shared" si="51"/>
        <v>0</v>
      </c>
      <c r="J393" s="9" t="str">
        <f t="shared" si="52"/>
        <v xml:space="preserve"> </v>
      </c>
      <c r="K393" s="140">
        <f t="shared" si="53"/>
        <v>0</v>
      </c>
      <c r="L393" s="206">
        <f t="shared" si="54"/>
        <v>0</v>
      </c>
      <c r="M393" s="8" t="str">
        <f t="array" ref="M393">IF(L393&gt;5,"Perlu Sensus",IF(AND(L393&gt;=0,I393&gt;0),"Tetap Deteksi","Belum Deteksi"))</f>
        <v>Belum Deteksi</v>
      </c>
      <c r="N393" s="11"/>
      <c r="O393" s="143"/>
      <c r="P393" s="9">
        <f t="array" ref="P393">IFERROR(O393/G393*100,0)</f>
        <v>0</v>
      </c>
      <c r="Q393" s="143"/>
      <c r="R393" s="9">
        <f t="shared" si="55"/>
        <v>0</v>
      </c>
      <c r="S393" s="8" t="str">
        <f t="array" ref="S393">IF(R393&gt;5,"Perlu Sensus",IF(AND(R393&gt;=0,O393&gt;0),"Tetap Deteksi","Belum Deteksi"))</f>
        <v>Belum Deteksi</v>
      </c>
      <c r="T393" s="143"/>
      <c r="U393" s="9">
        <f t="shared" si="57"/>
        <v>0</v>
      </c>
      <c r="V393" s="11"/>
      <c r="W393" s="143"/>
      <c r="X393" s="143"/>
      <c r="Y393" s="9">
        <f t="shared" si="56"/>
        <v>0</v>
      </c>
      <c r="Z393" s="8" t="str">
        <f t="array" ref="Z393">IF(Y393&gt;5,"Perlu Sensus",IF(AND(Y393&gt;0,,O393&gt;0),"Tetap Deteksi","Belum Deteksi"))</f>
        <v>Belum Deteksi</v>
      </c>
      <c r="AA393" s="143"/>
      <c r="AB393" s="9">
        <f t="shared" si="58"/>
        <v>0</v>
      </c>
    </row>
    <row r="394" spans="1:28" hidden="1" x14ac:dyDescent="0.15">
      <c r="A394" s="8" t="s">
        <v>628</v>
      </c>
      <c r="B394" s="8" t="s">
        <v>47</v>
      </c>
      <c r="C394" s="8" t="s">
        <v>380</v>
      </c>
      <c r="D394" s="8" t="s">
        <v>337</v>
      </c>
      <c r="E394" s="9">
        <v>5.73</v>
      </c>
      <c r="F394" s="8" t="s">
        <v>469</v>
      </c>
      <c r="G394" s="143">
        <f t="array" ref="G394">INDEX('[23]SENSUS MEI'!$G$9:$G$453,MATCH(1,('[23]SENSUS MEI'!$D$9:$D$453=$D394)*('[23]SENSUS MEI'!$D$9:$D$453=$D394),0))</f>
        <v>800</v>
      </c>
      <c r="H394" s="132">
        <f t="shared" si="50"/>
        <v>0</v>
      </c>
      <c r="I394" s="140">
        <f t="shared" si="51"/>
        <v>0</v>
      </c>
      <c r="J394" s="9" t="str">
        <f t="shared" si="52"/>
        <v xml:space="preserve"> </v>
      </c>
      <c r="K394" s="140">
        <f t="shared" si="53"/>
        <v>0</v>
      </c>
      <c r="L394" s="206">
        <f t="shared" si="54"/>
        <v>0</v>
      </c>
      <c r="M394" s="8" t="str">
        <f t="array" ref="M394">IF(L394&gt;5,"Perlu Sensus",IF(AND(L394&gt;=0,I394&gt;0),"Tetap Deteksi","Belum Deteksi"))</f>
        <v>Belum Deteksi</v>
      </c>
      <c r="N394" s="11"/>
      <c r="O394" s="143"/>
      <c r="P394" s="9">
        <f t="array" ref="P394">IFERROR(O394/G394*100,0)</f>
        <v>0</v>
      </c>
      <c r="Q394" s="143"/>
      <c r="R394" s="9">
        <f t="shared" si="55"/>
        <v>0</v>
      </c>
      <c r="S394" s="8" t="str">
        <f t="array" ref="S394">IF(R394&gt;5,"Perlu Sensus",IF(AND(R394&gt;=0,O394&gt;0),"Tetap Deteksi","Belum Deteksi"))</f>
        <v>Belum Deteksi</v>
      </c>
      <c r="T394" s="143"/>
      <c r="U394" s="9">
        <f t="shared" si="57"/>
        <v>0</v>
      </c>
      <c r="V394" s="11"/>
      <c r="W394" s="143"/>
      <c r="X394" s="143"/>
      <c r="Y394" s="9">
        <f t="shared" si="56"/>
        <v>0</v>
      </c>
      <c r="Z394" s="8" t="str">
        <f t="array" ref="Z394">IF(Y394&gt;5,"Perlu Sensus",IF(AND(Y394&gt;0,,O394&gt;0),"Tetap Deteksi","Belum Deteksi"))</f>
        <v>Belum Deteksi</v>
      </c>
      <c r="AA394" s="143"/>
      <c r="AB394" s="9">
        <f t="shared" si="58"/>
        <v>0</v>
      </c>
    </row>
    <row r="395" spans="1:28" hidden="1" x14ac:dyDescent="0.15">
      <c r="A395" s="8" t="s">
        <v>628</v>
      </c>
      <c r="B395" s="8" t="s">
        <v>47</v>
      </c>
      <c r="C395" s="8" t="s">
        <v>380</v>
      </c>
      <c r="D395" s="8" t="s">
        <v>338</v>
      </c>
      <c r="E395" s="9">
        <v>2.64</v>
      </c>
      <c r="F395" s="8" t="s">
        <v>469</v>
      </c>
      <c r="G395" s="143">
        <f t="array" ref="G395">INDEX('[23]SENSUS MEI'!$G$9:$G$453,MATCH(1,('[23]SENSUS MEI'!$D$9:$D$453=$D395)*('[23]SENSUS MEI'!$D$9:$D$453=$D395),0))</f>
        <v>367</v>
      </c>
      <c r="H395" s="132">
        <f t="shared" si="50"/>
        <v>0</v>
      </c>
      <c r="I395" s="140">
        <f t="shared" si="51"/>
        <v>0</v>
      </c>
      <c r="J395" s="9" t="str">
        <f t="shared" si="52"/>
        <v xml:space="preserve"> </v>
      </c>
      <c r="K395" s="140">
        <f t="shared" si="53"/>
        <v>0</v>
      </c>
      <c r="L395" s="206">
        <f t="shared" si="54"/>
        <v>0</v>
      </c>
      <c r="M395" s="8" t="str">
        <f t="array" ref="M395">IF(L395&gt;5,"Perlu Sensus",IF(AND(L395&gt;=0,I395&gt;0),"Tetap Deteksi","Belum Deteksi"))</f>
        <v>Belum Deteksi</v>
      </c>
      <c r="N395" s="11"/>
      <c r="O395" s="143"/>
      <c r="P395" s="9">
        <f t="array" ref="P395">IFERROR(O395/G395*100,0)</f>
        <v>0</v>
      </c>
      <c r="Q395" s="143"/>
      <c r="R395" s="9">
        <f t="shared" si="55"/>
        <v>0</v>
      </c>
      <c r="S395" s="8" t="str">
        <f t="array" ref="S395">IF(R395&gt;5,"Perlu Sensus",IF(AND(R395&gt;=0,O395&gt;0),"Tetap Deteksi","Belum Deteksi"))</f>
        <v>Belum Deteksi</v>
      </c>
      <c r="T395" s="143"/>
      <c r="U395" s="9">
        <f t="shared" si="57"/>
        <v>0</v>
      </c>
      <c r="V395" s="11"/>
      <c r="W395" s="143"/>
      <c r="X395" s="143"/>
      <c r="Y395" s="9">
        <f t="shared" si="56"/>
        <v>0</v>
      </c>
      <c r="Z395" s="8" t="str">
        <f t="array" ref="Z395">IF(Y395&gt;5,"Perlu Sensus",IF(AND(Y395&gt;0,,O395&gt;0),"Tetap Deteksi","Belum Deteksi"))</f>
        <v>Belum Deteksi</v>
      </c>
      <c r="AA395" s="143"/>
      <c r="AB395" s="9">
        <f t="shared" si="58"/>
        <v>0</v>
      </c>
    </row>
    <row r="396" spans="1:28" hidden="1" x14ac:dyDescent="0.15">
      <c r="A396" s="8" t="s">
        <v>628</v>
      </c>
      <c r="B396" s="8" t="s">
        <v>47</v>
      </c>
      <c r="C396" s="8" t="s">
        <v>380</v>
      </c>
      <c r="D396" s="8" t="s">
        <v>339</v>
      </c>
      <c r="E396" s="9">
        <v>3.84</v>
      </c>
      <c r="F396" s="8" t="s">
        <v>469</v>
      </c>
      <c r="G396" s="143">
        <f t="array" ref="G396">INDEX('[23]SENSUS MEI'!$G$9:$G$453,MATCH(1,('[23]SENSUS MEI'!$D$9:$D$453=$D396)*('[23]SENSUS MEI'!$D$9:$D$453=$D396),0))</f>
        <v>482</v>
      </c>
      <c r="H396" s="132">
        <f t="shared" si="50"/>
        <v>0</v>
      </c>
      <c r="I396" s="140">
        <f t="shared" si="51"/>
        <v>0</v>
      </c>
      <c r="J396" s="9" t="str">
        <f t="shared" si="52"/>
        <v xml:space="preserve"> </v>
      </c>
      <c r="K396" s="140">
        <f t="shared" si="53"/>
        <v>0</v>
      </c>
      <c r="L396" s="206">
        <f t="shared" si="54"/>
        <v>0</v>
      </c>
      <c r="M396" s="8" t="str">
        <f t="array" ref="M396">IF(L396&gt;5,"Perlu Sensus",IF(AND(L396&gt;=0,I396&gt;0),"Tetap Deteksi","Belum Deteksi"))</f>
        <v>Belum Deteksi</v>
      </c>
      <c r="N396" s="11"/>
      <c r="O396" s="143"/>
      <c r="P396" s="9">
        <f t="array" ref="P396">IFERROR(O396/G396*100,0)</f>
        <v>0</v>
      </c>
      <c r="Q396" s="143"/>
      <c r="R396" s="9">
        <f t="shared" si="55"/>
        <v>0</v>
      </c>
      <c r="S396" s="8" t="str">
        <f t="array" ref="S396">IF(R396&gt;5,"Perlu Sensus",IF(AND(R396&gt;=0,O396&gt;0),"Tetap Deteksi","Belum Deteksi"))</f>
        <v>Belum Deteksi</v>
      </c>
      <c r="T396" s="143"/>
      <c r="U396" s="9">
        <f t="shared" si="57"/>
        <v>0</v>
      </c>
      <c r="V396" s="11"/>
      <c r="W396" s="143"/>
      <c r="X396" s="143"/>
      <c r="Y396" s="9">
        <f t="shared" si="56"/>
        <v>0</v>
      </c>
      <c r="Z396" s="8" t="str">
        <f t="array" ref="Z396">IF(Y396&gt;5,"Perlu Sensus",IF(AND(Y396&gt;0,,O396&gt;0),"Tetap Deteksi","Belum Deteksi"))</f>
        <v>Belum Deteksi</v>
      </c>
      <c r="AA396" s="143"/>
      <c r="AB396" s="9">
        <f t="shared" si="58"/>
        <v>0</v>
      </c>
    </row>
    <row r="397" spans="1:28" hidden="1" x14ac:dyDescent="0.15">
      <c r="A397" s="8" t="s">
        <v>628</v>
      </c>
      <c r="B397" s="8" t="s">
        <v>47</v>
      </c>
      <c r="C397" s="8" t="s">
        <v>380</v>
      </c>
      <c r="D397" s="8" t="s">
        <v>341</v>
      </c>
      <c r="E397" s="9">
        <v>14.83</v>
      </c>
      <c r="F397" s="8" t="s">
        <v>469</v>
      </c>
      <c r="G397" s="143">
        <f t="array" ref="G397">INDEX('[23]SENSUS MEI'!$G$9:$G$453,MATCH(1,('[23]SENSUS MEI'!$D$9:$D$453=$D397)*('[23]SENSUS MEI'!$D$9:$D$453=$D397),0))</f>
        <v>2008</v>
      </c>
      <c r="H397" s="132">
        <f t="shared" si="50"/>
        <v>0</v>
      </c>
      <c r="I397" s="140">
        <f t="shared" si="51"/>
        <v>0</v>
      </c>
      <c r="J397" s="9" t="str">
        <f t="shared" si="52"/>
        <v xml:space="preserve"> </v>
      </c>
      <c r="K397" s="140">
        <f t="shared" si="53"/>
        <v>0</v>
      </c>
      <c r="L397" s="206">
        <f t="shared" si="54"/>
        <v>0</v>
      </c>
      <c r="M397" s="8" t="str">
        <f t="array" ref="M397">IF(L397&gt;5,"Perlu Sensus",IF(AND(L397&gt;=0,I397&gt;0),"Tetap Deteksi","Belum Deteksi"))</f>
        <v>Belum Deteksi</v>
      </c>
      <c r="N397" s="11"/>
      <c r="O397" s="143"/>
      <c r="P397" s="9">
        <f t="array" ref="P397">IFERROR(O397/G397*100,0)</f>
        <v>0</v>
      </c>
      <c r="Q397" s="143"/>
      <c r="R397" s="9">
        <f t="shared" si="55"/>
        <v>0</v>
      </c>
      <c r="S397" s="8" t="str">
        <f t="array" ref="S397">IF(R397&gt;5,"Perlu Sensus",IF(AND(R397&gt;=0,O397&gt;0),"Tetap Deteksi","Belum Deteksi"))</f>
        <v>Belum Deteksi</v>
      </c>
      <c r="T397" s="143"/>
      <c r="U397" s="9">
        <f t="shared" si="57"/>
        <v>0</v>
      </c>
      <c r="V397" s="11"/>
      <c r="W397" s="143"/>
      <c r="X397" s="143"/>
      <c r="Y397" s="9">
        <f t="shared" si="56"/>
        <v>0</v>
      </c>
      <c r="Z397" s="8" t="str">
        <f t="array" ref="Z397">IF(Y397&gt;5,"Perlu Sensus",IF(AND(Y397&gt;0,,O397&gt;0),"Tetap Deteksi","Belum Deteksi"))</f>
        <v>Belum Deteksi</v>
      </c>
      <c r="AA397" s="143"/>
      <c r="AB397" s="9">
        <f t="shared" si="58"/>
        <v>0</v>
      </c>
    </row>
    <row r="398" spans="1:28" hidden="1" x14ac:dyDescent="0.15">
      <c r="A398" s="8" t="s">
        <v>628</v>
      </c>
      <c r="B398" s="8" t="s">
        <v>47</v>
      </c>
      <c r="C398" s="8" t="s">
        <v>380</v>
      </c>
      <c r="D398" s="8" t="s">
        <v>925</v>
      </c>
      <c r="E398" s="9">
        <v>13.58</v>
      </c>
      <c r="F398" s="8" t="s">
        <v>469</v>
      </c>
      <c r="G398" s="143">
        <f t="array" ref="G398">INDEX('[23]SENSUS MEI'!$G$9:$G$453,MATCH(1,('[23]SENSUS MEI'!$D$9:$D$453=$D398)*('[23]SENSUS MEI'!$D$9:$D$453=$D398),0))</f>
        <v>1861</v>
      </c>
      <c r="H398" s="132">
        <f t="shared" si="50"/>
        <v>0</v>
      </c>
      <c r="I398" s="140">
        <f t="shared" si="51"/>
        <v>0</v>
      </c>
      <c r="J398" s="9" t="str">
        <f t="shared" si="52"/>
        <v xml:space="preserve"> </v>
      </c>
      <c r="K398" s="140">
        <f t="shared" si="53"/>
        <v>0</v>
      </c>
      <c r="L398" s="206">
        <f t="shared" si="54"/>
        <v>0</v>
      </c>
      <c r="M398" s="8" t="str">
        <f t="array" ref="M398">IF(L398&gt;5,"Perlu Sensus",IF(AND(L398&gt;=0,I398&gt;0),"Tetap Deteksi","Belum Deteksi"))</f>
        <v>Belum Deteksi</v>
      </c>
      <c r="N398" s="11"/>
      <c r="O398" s="143"/>
      <c r="P398" s="9">
        <f t="array" ref="P398">IFERROR(O398/G398*100,0)</f>
        <v>0</v>
      </c>
      <c r="Q398" s="143"/>
      <c r="R398" s="9">
        <f t="shared" si="55"/>
        <v>0</v>
      </c>
      <c r="S398" s="8" t="str">
        <f t="array" ref="S398">IF(R398&gt;5,"Perlu Sensus",IF(AND(R398&gt;=0,O398&gt;0),"Tetap Deteksi","Belum Deteksi"))</f>
        <v>Belum Deteksi</v>
      </c>
      <c r="T398" s="143"/>
      <c r="U398" s="9">
        <f t="shared" si="57"/>
        <v>0</v>
      </c>
      <c r="V398" s="11"/>
      <c r="W398" s="143"/>
      <c r="X398" s="143"/>
      <c r="Y398" s="9">
        <f t="shared" si="56"/>
        <v>0</v>
      </c>
      <c r="Z398" s="8" t="str">
        <f t="array" ref="Z398">IF(Y398&gt;5,"Perlu Sensus",IF(AND(Y398&gt;0,,O398&gt;0),"Tetap Deteksi","Belum Deteksi"))</f>
        <v>Belum Deteksi</v>
      </c>
      <c r="AA398" s="143"/>
      <c r="AB398" s="9">
        <f t="shared" si="58"/>
        <v>0</v>
      </c>
    </row>
    <row r="399" spans="1:28" hidden="1" x14ac:dyDescent="0.15">
      <c r="A399" s="8" t="s">
        <v>628</v>
      </c>
      <c r="B399" s="8" t="s">
        <v>47</v>
      </c>
      <c r="C399" s="8" t="s">
        <v>380</v>
      </c>
      <c r="D399" s="8" t="s">
        <v>926</v>
      </c>
      <c r="E399" s="9">
        <v>11.56</v>
      </c>
      <c r="F399" s="8" t="s">
        <v>469</v>
      </c>
      <c r="G399" s="143">
        <f t="array" ref="G399">INDEX('[23]SENSUS MEI'!$G$9:$G$453,MATCH(1,('[23]SENSUS MEI'!$D$9:$D$453=$D399)*('[23]SENSUS MEI'!$D$9:$D$453=$D399),0))</f>
        <v>1380</v>
      </c>
      <c r="H399" s="132">
        <f t="shared" si="50"/>
        <v>0</v>
      </c>
      <c r="I399" s="140">
        <f t="shared" si="51"/>
        <v>0</v>
      </c>
      <c r="J399" s="9" t="str">
        <f t="shared" si="52"/>
        <v xml:space="preserve"> </v>
      </c>
      <c r="K399" s="140">
        <f t="shared" si="53"/>
        <v>0</v>
      </c>
      <c r="L399" s="206">
        <f t="shared" si="54"/>
        <v>0</v>
      </c>
      <c r="M399" s="8" t="str">
        <f t="array" ref="M399">IF(L399&gt;5,"Perlu Sensus",IF(AND(L399&gt;=0,I399&gt;0),"Tetap Deteksi","Belum Deteksi"))</f>
        <v>Belum Deteksi</v>
      </c>
      <c r="N399" s="11"/>
      <c r="O399" s="143"/>
      <c r="P399" s="9">
        <f t="array" ref="P399">IFERROR(O399/G399*100,0)</f>
        <v>0</v>
      </c>
      <c r="Q399" s="143"/>
      <c r="R399" s="9">
        <f t="shared" si="55"/>
        <v>0</v>
      </c>
      <c r="S399" s="8" t="str">
        <f t="array" ref="S399">IF(R399&gt;5,"Perlu Sensus",IF(AND(R399&gt;=0,O399&gt;0),"Tetap Deteksi","Belum Deteksi"))</f>
        <v>Belum Deteksi</v>
      </c>
      <c r="T399" s="143"/>
      <c r="U399" s="9">
        <f t="shared" si="57"/>
        <v>0</v>
      </c>
      <c r="V399" s="11"/>
      <c r="W399" s="143"/>
      <c r="X399" s="143"/>
      <c r="Y399" s="9">
        <f t="shared" si="56"/>
        <v>0</v>
      </c>
      <c r="Z399" s="8" t="str">
        <f t="array" ref="Z399">IF(Y399&gt;5,"Perlu Sensus",IF(AND(Y399&gt;0,,O399&gt;0),"Tetap Deteksi","Belum Deteksi"))</f>
        <v>Belum Deteksi</v>
      </c>
      <c r="AA399" s="143"/>
      <c r="AB399" s="9">
        <f t="shared" si="58"/>
        <v>0</v>
      </c>
    </row>
    <row r="400" spans="1:28" hidden="1" x14ac:dyDescent="0.15">
      <c r="A400" s="8" t="s">
        <v>628</v>
      </c>
      <c r="B400" s="8" t="s">
        <v>47</v>
      </c>
      <c r="C400" s="8" t="s">
        <v>380</v>
      </c>
      <c r="D400" s="8" t="s">
        <v>927</v>
      </c>
      <c r="E400" s="9">
        <v>7.1</v>
      </c>
      <c r="F400" s="8" t="s">
        <v>469</v>
      </c>
      <c r="G400" s="143">
        <f t="array" ref="G400">INDEX('[23]SENSUS MEI'!$G$9:$G$453,MATCH(1,('[23]SENSUS MEI'!$D$9:$D$453=$D400)*('[23]SENSUS MEI'!$D$9:$D$453=$D400),0))</f>
        <v>729</v>
      </c>
      <c r="H400" s="132">
        <f t="shared" si="50"/>
        <v>0</v>
      </c>
      <c r="I400" s="140">
        <f t="shared" si="51"/>
        <v>0</v>
      </c>
      <c r="J400" s="9" t="str">
        <f t="shared" si="52"/>
        <v xml:space="preserve"> </v>
      </c>
      <c r="K400" s="140">
        <f t="shared" si="53"/>
        <v>0</v>
      </c>
      <c r="L400" s="206">
        <f t="shared" si="54"/>
        <v>0</v>
      </c>
      <c r="M400" s="8" t="str">
        <f t="array" ref="M400">IF(L400&gt;5,"Perlu Sensus",IF(AND(L400&gt;=0,I400&gt;0),"Tetap Deteksi","Belum Deteksi"))</f>
        <v>Belum Deteksi</v>
      </c>
      <c r="N400" s="11"/>
      <c r="O400" s="143"/>
      <c r="P400" s="9">
        <f t="array" ref="P400">IFERROR(O400/G400*100,0)</f>
        <v>0</v>
      </c>
      <c r="Q400" s="143"/>
      <c r="R400" s="9">
        <f t="shared" si="55"/>
        <v>0</v>
      </c>
      <c r="S400" s="8" t="str">
        <f t="array" ref="S400">IF(R400&gt;5,"Perlu Sensus",IF(AND(R400&gt;=0,O400&gt;0),"Tetap Deteksi","Belum Deteksi"))</f>
        <v>Belum Deteksi</v>
      </c>
      <c r="T400" s="143"/>
      <c r="U400" s="9">
        <f t="shared" si="57"/>
        <v>0</v>
      </c>
      <c r="V400" s="11"/>
      <c r="W400" s="143"/>
      <c r="X400" s="143"/>
      <c r="Y400" s="9">
        <f t="shared" si="56"/>
        <v>0</v>
      </c>
      <c r="Z400" s="8" t="str">
        <f t="array" ref="Z400">IF(Y400&gt;5,"Perlu Sensus",IF(AND(Y400&gt;0,,O400&gt;0),"Tetap Deteksi","Belum Deteksi"))</f>
        <v>Belum Deteksi</v>
      </c>
      <c r="AA400" s="143"/>
      <c r="AB400" s="9">
        <f t="shared" si="58"/>
        <v>0</v>
      </c>
    </row>
    <row r="401" spans="1:28" hidden="1" x14ac:dyDescent="0.15">
      <c r="A401" s="8" t="s">
        <v>628</v>
      </c>
      <c r="B401" s="8" t="s">
        <v>47</v>
      </c>
      <c r="C401" s="8" t="s">
        <v>416</v>
      </c>
      <c r="D401" s="8" t="s">
        <v>78</v>
      </c>
      <c r="E401" s="9">
        <v>4.74</v>
      </c>
      <c r="F401" s="8" t="s">
        <v>469</v>
      </c>
      <c r="G401" s="143">
        <f t="array" ref="G401">INDEX('[23]SENSUS MEI'!$G$9:$G$453,MATCH(1,('[23]SENSUS MEI'!$D$9:$D$453=$D401)*('[23]SENSUS MEI'!$D$9:$D$453=$D401),0))</f>
        <v>719</v>
      </c>
      <c r="H401" s="132">
        <f t="shared" si="50"/>
        <v>0</v>
      </c>
      <c r="I401" s="140">
        <f t="shared" si="51"/>
        <v>0</v>
      </c>
      <c r="J401" s="9" t="str">
        <f t="shared" si="52"/>
        <v xml:space="preserve"> </v>
      </c>
      <c r="K401" s="140">
        <f t="shared" si="53"/>
        <v>0</v>
      </c>
      <c r="L401" s="206">
        <f t="shared" si="54"/>
        <v>0</v>
      </c>
      <c r="M401" s="8" t="str">
        <f t="array" ref="M401">IF(L401&gt;5,"Perlu Sensus",IF(AND(L401&gt;=0,I401&gt;0),"Tetap Deteksi","Belum Deteksi"))</f>
        <v>Belum Deteksi</v>
      </c>
      <c r="N401" s="11"/>
      <c r="O401" s="143"/>
      <c r="P401" s="9">
        <f t="array" ref="P401">IFERROR(O401/G401*100,0)</f>
        <v>0</v>
      </c>
      <c r="Q401" s="143"/>
      <c r="R401" s="9">
        <f t="shared" si="55"/>
        <v>0</v>
      </c>
      <c r="S401" s="8" t="str">
        <f t="array" ref="S401">IF(R401&gt;5,"Perlu Sensus",IF(AND(R401&gt;=0,O401&gt;0),"Tetap Deteksi","Belum Deteksi"))</f>
        <v>Belum Deteksi</v>
      </c>
      <c r="T401" s="143"/>
      <c r="U401" s="9">
        <f t="shared" si="57"/>
        <v>0</v>
      </c>
      <c r="V401" s="11"/>
      <c r="W401" s="143"/>
      <c r="X401" s="143"/>
      <c r="Y401" s="9">
        <f t="shared" si="56"/>
        <v>0</v>
      </c>
      <c r="Z401" s="8" t="str">
        <f t="array" ref="Z401">IF(Y401&gt;5,"Perlu Sensus",IF(AND(Y401&gt;0,,O401&gt;0),"Tetap Deteksi","Belum Deteksi"))</f>
        <v>Belum Deteksi</v>
      </c>
      <c r="AA401" s="143"/>
      <c r="AB401" s="9">
        <f t="shared" si="58"/>
        <v>0</v>
      </c>
    </row>
    <row r="402" spans="1:28" hidden="1" x14ac:dyDescent="0.15">
      <c r="A402" s="8" t="s">
        <v>628</v>
      </c>
      <c r="B402" s="8" t="s">
        <v>47</v>
      </c>
      <c r="C402" s="8" t="s">
        <v>416</v>
      </c>
      <c r="D402" s="8" t="s">
        <v>89</v>
      </c>
      <c r="E402" s="9">
        <v>38.93</v>
      </c>
      <c r="F402" s="8" t="s">
        <v>469</v>
      </c>
      <c r="G402" s="143">
        <f t="array" ref="G402">INDEX('[23]SENSUS MEI'!$G$9:$G$453,MATCH(1,('[23]SENSUS MEI'!$D$9:$D$453=$D402)*('[23]SENSUS MEI'!$D$9:$D$453=$D402),0))</f>
        <v>5791</v>
      </c>
      <c r="H402" s="132">
        <f t="shared" si="50"/>
        <v>0</v>
      </c>
      <c r="I402" s="140">
        <f t="shared" si="51"/>
        <v>0</v>
      </c>
      <c r="J402" s="9" t="str">
        <f t="shared" si="52"/>
        <v xml:space="preserve"> </v>
      </c>
      <c r="K402" s="140">
        <f t="shared" si="53"/>
        <v>0</v>
      </c>
      <c r="L402" s="206">
        <f t="shared" si="54"/>
        <v>0</v>
      </c>
      <c r="M402" s="8" t="str">
        <f t="array" ref="M402">IF(L402&gt;5,"Perlu Sensus",IF(AND(L402&gt;=0,I402&gt;0),"Tetap Deteksi","Belum Deteksi"))</f>
        <v>Belum Deteksi</v>
      </c>
      <c r="N402" s="11"/>
      <c r="O402" s="143"/>
      <c r="P402" s="9">
        <f t="array" ref="P402">IFERROR(O402/G402*100,0)</f>
        <v>0</v>
      </c>
      <c r="Q402" s="143"/>
      <c r="R402" s="9">
        <f t="shared" si="55"/>
        <v>0</v>
      </c>
      <c r="S402" s="8" t="str">
        <f t="array" ref="S402">IF(R402&gt;5,"Perlu Sensus",IF(AND(R402&gt;=0,O402&gt;0),"Tetap Deteksi","Belum Deteksi"))</f>
        <v>Belum Deteksi</v>
      </c>
      <c r="T402" s="143"/>
      <c r="U402" s="9">
        <f t="shared" si="57"/>
        <v>0</v>
      </c>
      <c r="V402" s="11"/>
      <c r="W402" s="143"/>
      <c r="X402" s="143"/>
      <c r="Y402" s="9">
        <f t="shared" si="56"/>
        <v>0</v>
      </c>
      <c r="Z402" s="8" t="str">
        <f t="array" ref="Z402">IF(Y402&gt;5,"Perlu Sensus",IF(AND(Y402&gt;0,,O402&gt;0),"Tetap Deteksi","Belum Deteksi"))</f>
        <v>Belum Deteksi</v>
      </c>
      <c r="AA402" s="143"/>
      <c r="AB402" s="9">
        <f t="shared" si="58"/>
        <v>0</v>
      </c>
    </row>
    <row r="403" spans="1:28" x14ac:dyDescent="0.15">
      <c r="A403" s="8" t="s">
        <v>628</v>
      </c>
      <c r="B403" s="8" t="s">
        <v>47</v>
      </c>
      <c r="C403" s="8" t="s">
        <v>416</v>
      </c>
      <c r="D403" s="8" t="s">
        <v>90</v>
      </c>
      <c r="E403" s="9">
        <v>47.15</v>
      </c>
      <c r="F403" s="8" t="s">
        <v>469</v>
      </c>
      <c r="G403" s="143">
        <f t="array" ref="G403">INDEX('[23]SENSUS MEI'!$G$9:$G$453,MATCH(1,('[23]SENSUS MEI'!$D$9:$D$453=$D403)*('[23]SENSUS MEI'!$D$9:$D$453=$D403),0))</f>
        <v>6681</v>
      </c>
      <c r="H403" s="132">
        <f t="shared" si="50"/>
        <v>46247</v>
      </c>
      <c r="I403" s="140">
        <f t="shared" si="51"/>
        <v>84</v>
      </c>
      <c r="J403" s="9">
        <f t="shared" si="52"/>
        <v>1.2572968118545127</v>
      </c>
      <c r="K403" s="140">
        <f t="shared" si="53"/>
        <v>8</v>
      </c>
      <c r="L403" s="206">
        <f t="shared" si="54"/>
        <v>9.5238095238095237</v>
      </c>
      <c r="M403" s="8" t="str">
        <f t="array" ref="M403">IF(L403&gt;5,"Perlu Sensus",IF(AND(L403&gt;=0,I403&gt;0),"Tetap Deteksi","Belum Deteksi"))</f>
        <v>Perlu Sensus</v>
      </c>
      <c r="N403" s="11">
        <v>46247</v>
      </c>
      <c r="O403" s="143">
        <v>84</v>
      </c>
      <c r="P403" s="9">
        <f t="array" ref="P403">IFERROR(O403/G403*100,0)</f>
        <v>1.2572968118545127</v>
      </c>
      <c r="Q403" s="143">
        <v>8</v>
      </c>
      <c r="R403" s="9">
        <f t="shared" si="55"/>
        <v>9.5238095238095237</v>
      </c>
      <c r="S403" s="8" t="str">
        <f t="array" ref="S403">IF(R403&gt;5,"Perlu Sensus",IF(AND(R403&gt;=0,O403&gt;0),"Tetap Deteksi","Belum Deteksi"))</f>
        <v>Perlu Sensus</v>
      </c>
      <c r="T403" s="143">
        <v>0</v>
      </c>
      <c r="U403" s="9">
        <f t="shared" si="57"/>
        <v>0</v>
      </c>
      <c r="V403" s="11"/>
      <c r="W403" s="143"/>
      <c r="X403" s="143"/>
      <c r="Y403" s="9">
        <f t="shared" si="56"/>
        <v>0</v>
      </c>
      <c r="Z403" s="8" t="str">
        <f t="array" ref="Z403">IF(Y403&gt;5,"Perlu Sensus",IF(AND(Y403&gt;0,,O403&gt;0),"Tetap Deteksi","Belum Deteksi"))</f>
        <v>Belum Deteksi</v>
      </c>
      <c r="AA403" s="143"/>
      <c r="AB403" s="9">
        <f t="shared" si="58"/>
        <v>0</v>
      </c>
    </row>
    <row r="404" spans="1:28" hidden="1" x14ac:dyDescent="0.15">
      <c r="A404" s="8" t="s">
        <v>628</v>
      </c>
      <c r="B404" s="8" t="s">
        <v>47</v>
      </c>
      <c r="C404" s="8" t="s">
        <v>416</v>
      </c>
      <c r="D404" s="8" t="s">
        <v>928</v>
      </c>
      <c r="E404" s="9">
        <v>46.78</v>
      </c>
      <c r="F404" s="8" t="s">
        <v>469</v>
      </c>
      <c r="G404" s="143">
        <f t="array" ref="G404">INDEX('[23]SENSUS MEI'!$G$9:$G$453,MATCH(1,('[23]SENSUS MEI'!$D$9:$D$453=$D404)*('[23]SENSUS MEI'!$D$9:$D$453=$D404),0))</f>
        <v>6706</v>
      </c>
      <c r="H404" s="132">
        <f t="shared" si="50"/>
        <v>0</v>
      </c>
      <c r="I404" s="140">
        <f t="shared" si="51"/>
        <v>0</v>
      </c>
      <c r="J404" s="9" t="str">
        <f t="shared" si="52"/>
        <v xml:space="preserve"> </v>
      </c>
      <c r="K404" s="140">
        <f t="shared" si="53"/>
        <v>0</v>
      </c>
      <c r="L404" s="206">
        <f t="shared" si="54"/>
        <v>0</v>
      </c>
      <c r="M404" s="8" t="str">
        <f t="array" ref="M404">IF(L404&gt;5,"Perlu Sensus",IF(AND(L404&gt;=0,I404&gt;0),"Tetap Deteksi","Belum Deteksi"))</f>
        <v>Belum Deteksi</v>
      </c>
      <c r="N404" s="11"/>
      <c r="O404" s="143"/>
      <c r="P404" s="9">
        <f t="array" ref="P404">IFERROR(O404/G404*100,0)</f>
        <v>0</v>
      </c>
      <c r="Q404" s="143"/>
      <c r="R404" s="9">
        <f t="shared" si="55"/>
        <v>0</v>
      </c>
      <c r="S404" s="8" t="str">
        <f t="array" ref="S404">IF(R404&gt;5,"Perlu Sensus",IF(AND(R404&gt;=0,O404&gt;0),"Tetap Deteksi","Belum Deteksi"))</f>
        <v>Belum Deteksi</v>
      </c>
      <c r="T404" s="143"/>
      <c r="U404" s="9">
        <f t="shared" si="57"/>
        <v>0</v>
      </c>
      <c r="V404" s="11"/>
      <c r="W404" s="143"/>
      <c r="X404" s="143"/>
      <c r="Y404" s="9">
        <f t="shared" si="56"/>
        <v>0</v>
      </c>
      <c r="Z404" s="8" t="str">
        <f t="array" ref="Z404">IF(Y404&gt;5,"Perlu Sensus",IF(AND(Y404&gt;0,,O404&gt;0),"Tetap Deteksi","Belum Deteksi"))</f>
        <v>Belum Deteksi</v>
      </c>
      <c r="AA404" s="143"/>
      <c r="AB404" s="9">
        <f t="shared" si="58"/>
        <v>0</v>
      </c>
    </row>
    <row r="405" spans="1:28" x14ac:dyDescent="0.15">
      <c r="A405" s="8" t="s">
        <v>628</v>
      </c>
      <c r="B405" s="8" t="s">
        <v>47</v>
      </c>
      <c r="C405" s="8" t="s">
        <v>416</v>
      </c>
      <c r="D405" s="8" t="s">
        <v>91</v>
      </c>
      <c r="E405" s="9">
        <v>47.71</v>
      </c>
      <c r="F405" s="8" t="s">
        <v>469</v>
      </c>
      <c r="G405" s="143">
        <f t="array" ref="G405">INDEX('[23]SENSUS MEI'!$G$9:$G$453,MATCH(1,('[23]SENSUS MEI'!$D$9:$D$453=$D405)*('[23]SENSUS MEI'!$D$9:$D$453=$D405),0))</f>
        <v>6839</v>
      </c>
      <c r="H405" s="132">
        <f t="shared" si="50"/>
        <v>46248</v>
      </c>
      <c r="I405" s="140">
        <f t="shared" si="51"/>
        <v>189</v>
      </c>
      <c r="J405" s="9">
        <f t="shared" si="52"/>
        <v>2.7635619242579326</v>
      </c>
      <c r="K405" s="140">
        <f t="shared" si="53"/>
        <v>23</v>
      </c>
      <c r="L405" s="206">
        <f t="shared" si="54"/>
        <v>12.169312169312169</v>
      </c>
      <c r="M405" s="8" t="str">
        <f t="array" ref="M405">IF(L405&gt;5,"Perlu Sensus",IF(AND(L405&gt;=0,I405&gt;0),"Tetap Deteksi","Belum Deteksi"))</f>
        <v>Perlu Sensus</v>
      </c>
      <c r="N405" s="11">
        <v>46248</v>
      </c>
      <c r="O405" s="143">
        <v>189</v>
      </c>
      <c r="P405" s="9">
        <f t="array" ref="P405">IFERROR(O405/G405*100,0)</f>
        <v>2.7635619242579326</v>
      </c>
      <c r="Q405" s="143">
        <v>23</v>
      </c>
      <c r="R405" s="9">
        <f t="shared" si="55"/>
        <v>12.169312169312169</v>
      </c>
      <c r="S405" s="8" t="str">
        <f t="array" ref="S405">IF(R405&gt;5,"Perlu Sensus",IF(AND(R405&gt;=0,O405&gt;0),"Tetap Deteksi","Belum Deteksi"))</f>
        <v>Perlu Sensus</v>
      </c>
      <c r="T405" s="143">
        <v>87</v>
      </c>
      <c r="U405" s="9">
        <f t="shared" si="57"/>
        <v>46.031746031746032</v>
      </c>
      <c r="V405" s="11"/>
      <c r="W405" s="143"/>
      <c r="X405" s="143"/>
      <c r="Y405" s="9">
        <f t="shared" si="56"/>
        <v>0</v>
      </c>
      <c r="Z405" s="8" t="str">
        <f t="array" ref="Z405">IF(Y405&gt;5,"Perlu Sensus",IF(AND(Y405&gt;0,,O405&gt;0),"Tetap Deteksi","Belum Deteksi"))</f>
        <v>Belum Deteksi</v>
      </c>
      <c r="AA405" s="143"/>
      <c r="AB405" s="9">
        <f t="shared" si="58"/>
        <v>0</v>
      </c>
    </row>
    <row r="406" spans="1:28" x14ac:dyDescent="0.15">
      <c r="A406" s="8" t="s">
        <v>628</v>
      </c>
      <c r="B406" s="8" t="s">
        <v>47</v>
      </c>
      <c r="C406" s="8" t="s">
        <v>416</v>
      </c>
      <c r="D406" s="8" t="s">
        <v>151</v>
      </c>
      <c r="E406" s="9">
        <v>29.14</v>
      </c>
      <c r="F406" s="8" t="s">
        <v>469</v>
      </c>
      <c r="G406" s="143">
        <f t="array" ref="G406">INDEX('[23]SENSUS MEI'!$G$9:$G$453,MATCH(1,('[23]SENSUS MEI'!$D$9:$D$453=$D406)*('[23]SENSUS MEI'!$D$9:$D$453=$D406),0))</f>
        <v>3783</v>
      </c>
      <c r="H406" s="132">
        <f t="shared" si="50"/>
        <v>46245</v>
      </c>
      <c r="I406" s="140">
        <f t="shared" si="51"/>
        <v>154</v>
      </c>
      <c r="J406" s="9">
        <f t="shared" si="52"/>
        <v>4.0708432461009778</v>
      </c>
      <c r="K406" s="140">
        <f t="shared" si="53"/>
        <v>7</v>
      </c>
      <c r="L406" s="206">
        <f t="shared" si="54"/>
        <v>4.5454545454545459</v>
      </c>
      <c r="M406" s="8" t="str">
        <f t="array" ref="M406">IF(L406&gt;5,"Perlu Sensus",IF(AND(L406&gt;=0,I406&gt;0),"Tetap Deteksi","Belum Deteksi"))</f>
        <v>Tetap Deteksi</v>
      </c>
      <c r="N406" s="11">
        <v>46245</v>
      </c>
      <c r="O406" s="143">
        <v>154</v>
      </c>
      <c r="P406" s="9">
        <f t="array" ref="P406">IFERROR(O406/G406*100,0)</f>
        <v>4.0708432461009778</v>
      </c>
      <c r="Q406" s="143">
        <v>7</v>
      </c>
      <c r="R406" s="9">
        <f t="shared" si="55"/>
        <v>4.5454545454545459</v>
      </c>
      <c r="S406" s="8" t="str">
        <f t="array" ref="S406">IF(R406&gt;5,"Perlu Sensus",IF(AND(R406&gt;=0,O406&gt;0),"Tetap Deteksi","Belum Deteksi"))</f>
        <v>Tetap Deteksi</v>
      </c>
      <c r="T406" s="143">
        <v>46</v>
      </c>
      <c r="U406" s="9">
        <f t="shared" si="57"/>
        <v>29.870129870129869</v>
      </c>
      <c r="V406" s="11"/>
      <c r="W406" s="143"/>
      <c r="X406" s="143"/>
      <c r="Y406" s="9">
        <f t="shared" si="56"/>
        <v>0</v>
      </c>
      <c r="Z406" s="8" t="str">
        <f t="array" ref="Z406">IF(Y406&gt;5,"Perlu Sensus",IF(AND(Y406&gt;0,,O406&gt;0),"Tetap Deteksi","Belum Deteksi"))</f>
        <v>Belum Deteksi</v>
      </c>
      <c r="AA406" s="143"/>
      <c r="AB406" s="9">
        <f t="shared" si="58"/>
        <v>0</v>
      </c>
    </row>
    <row r="407" spans="1:28" x14ac:dyDescent="0.15">
      <c r="A407" s="8" t="s">
        <v>628</v>
      </c>
      <c r="B407" s="8" t="s">
        <v>47</v>
      </c>
      <c r="C407" s="8" t="s">
        <v>416</v>
      </c>
      <c r="D407" s="8" t="s">
        <v>98</v>
      </c>
      <c r="E407" s="9">
        <v>39.520000000000003</v>
      </c>
      <c r="F407" s="8" t="s">
        <v>469</v>
      </c>
      <c r="G407" s="143">
        <f t="array" ref="G407">INDEX('[23]SENSUS MEI'!$G$9:$G$453,MATCH(1,('[23]SENSUS MEI'!$D$9:$D$453=$D407)*('[23]SENSUS MEI'!$D$9:$D$453=$D407),0))</f>
        <v>5456</v>
      </c>
      <c r="H407" s="132">
        <f t="shared" si="50"/>
        <v>46246</v>
      </c>
      <c r="I407" s="140">
        <f t="shared" si="51"/>
        <v>191</v>
      </c>
      <c r="J407" s="9">
        <f t="shared" si="52"/>
        <v>3.5007331378299118</v>
      </c>
      <c r="K407" s="140">
        <f t="shared" si="53"/>
        <v>3</v>
      </c>
      <c r="L407" s="206">
        <f t="shared" si="54"/>
        <v>1.5706806282722512</v>
      </c>
      <c r="M407" s="8" t="str">
        <f t="array" ref="M407">IF(L407&gt;5,"Perlu Sensus",IF(AND(L407&gt;=0,I407&gt;0),"Tetap Deteksi","Belum Deteksi"))</f>
        <v>Tetap Deteksi</v>
      </c>
      <c r="N407" s="11">
        <v>46246</v>
      </c>
      <c r="O407" s="143">
        <v>191</v>
      </c>
      <c r="P407" s="9">
        <f t="array" ref="P407">IFERROR(O407/G407*100,0)</f>
        <v>3.5007331378299118</v>
      </c>
      <c r="Q407" s="143">
        <v>3</v>
      </c>
      <c r="R407" s="9">
        <f t="shared" si="55"/>
        <v>1.5706806282722512</v>
      </c>
      <c r="S407" s="8" t="str">
        <f t="array" ref="S407">IF(R407&gt;5,"Perlu Sensus",IF(AND(R407&gt;=0,O407&gt;0),"Tetap Deteksi","Belum Deteksi"))</f>
        <v>Tetap Deteksi</v>
      </c>
      <c r="T407" s="143">
        <v>32</v>
      </c>
      <c r="U407" s="9">
        <f t="shared" si="57"/>
        <v>16.753926701570681</v>
      </c>
      <c r="V407" s="11"/>
      <c r="W407" s="143"/>
      <c r="X407" s="143"/>
      <c r="Y407" s="9">
        <f t="shared" si="56"/>
        <v>0</v>
      </c>
      <c r="Z407" s="8" t="str">
        <f t="array" ref="Z407">IF(Y407&gt;5,"Perlu Sensus",IF(AND(Y407&gt;0,,O407&gt;0),"Tetap Deteksi","Belum Deteksi"))</f>
        <v>Belum Deteksi</v>
      </c>
      <c r="AA407" s="143"/>
      <c r="AB407" s="9">
        <f t="shared" si="58"/>
        <v>0</v>
      </c>
    </row>
    <row r="408" spans="1:28" x14ac:dyDescent="0.15">
      <c r="A408" s="8" t="s">
        <v>628</v>
      </c>
      <c r="B408" s="8" t="s">
        <v>47</v>
      </c>
      <c r="C408" s="8" t="s">
        <v>416</v>
      </c>
      <c r="D408" s="8" t="s">
        <v>99</v>
      </c>
      <c r="E408" s="9">
        <v>47.44</v>
      </c>
      <c r="F408" s="8" t="s">
        <v>469</v>
      </c>
      <c r="G408" s="143">
        <f t="array" ref="G408">INDEX('[23]SENSUS MEI'!$G$9:$G$453,MATCH(1,('[23]SENSUS MEI'!$D$9:$D$453=$D408)*('[23]SENSUS MEI'!$D$9:$D$453=$D408),0))</f>
        <v>6295</v>
      </c>
      <c r="H408" s="132">
        <f t="shared" si="50"/>
        <v>46238</v>
      </c>
      <c r="I408" s="140">
        <f t="shared" si="51"/>
        <v>110</v>
      </c>
      <c r="J408" s="9">
        <f t="shared" si="52"/>
        <v>1.7474185861795075</v>
      </c>
      <c r="K408" s="140">
        <f t="shared" si="53"/>
        <v>10</v>
      </c>
      <c r="L408" s="206">
        <f t="shared" si="54"/>
        <v>9.0909090909090917</v>
      </c>
      <c r="M408" s="8" t="str">
        <f t="array" ref="M408">IF(L408&gt;5,"Perlu Sensus",IF(AND(L408&gt;=0,I408&gt;0),"Tetap Deteksi","Belum Deteksi"))</f>
        <v>Perlu Sensus</v>
      </c>
      <c r="N408" s="11">
        <v>46238</v>
      </c>
      <c r="O408" s="143">
        <v>110</v>
      </c>
      <c r="P408" s="9">
        <f t="array" ref="P408">IFERROR(O408/G408*100,0)</f>
        <v>1.7474185861795075</v>
      </c>
      <c r="Q408" s="143">
        <v>10</v>
      </c>
      <c r="R408" s="9">
        <f t="shared" si="55"/>
        <v>9.0909090909090917</v>
      </c>
      <c r="S408" s="8" t="str">
        <f t="array" ref="S408">IF(R408&gt;5,"Perlu Sensus",IF(AND(R408&gt;=0,O408&gt;0),"Tetap Deteksi","Belum Deteksi"))</f>
        <v>Perlu Sensus</v>
      </c>
      <c r="T408" s="143">
        <v>78</v>
      </c>
      <c r="U408" s="9">
        <f t="shared" si="57"/>
        <v>70.909090909090907</v>
      </c>
      <c r="V408" s="11"/>
      <c r="W408" s="143"/>
      <c r="X408" s="143"/>
      <c r="Y408" s="9">
        <f t="shared" si="56"/>
        <v>0</v>
      </c>
      <c r="Z408" s="8" t="str">
        <f t="array" ref="Z408">IF(Y408&gt;5,"Perlu Sensus",IF(AND(Y408&gt;0,,O408&gt;0),"Tetap Deteksi","Belum Deteksi"))</f>
        <v>Belum Deteksi</v>
      </c>
      <c r="AA408" s="143"/>
      <c r="AB408" s="9">
        <f t="shared" si="58"/>
        <v>0</v>
      </c>
    </row>
    <row r="409" spans="1:28" hidden="1" x14ac:dyDescent="0.15">
      <c r="A409" s="8" t="s">
        <v>628</v>
      </c>
      <c r="B409" s="8" t="s">
        <v>47</v>
      </c>
      <c r="C409" s="8" t="s">
        <v>416</v>
      </c>
      <c r="D409" s="8" t="s">
        <v>100</v>
      </c>
      <c r="E409" s="9">
        <v>37.5</v>
      </c>
      <c r="F409" s="8" t="s">
        <v>469</v>
      </c>
      <c r="G409" s="143">
        <f t="array" ref="G409">INDEX('[23]SENSUS MEI'!$G$9:$G$453,MATCH(1,('[23]SENSUS MEI'!$D$9:$D$453=$D409)*('[23]SENSUS MEI'!$D$9:$D$453=$D409),0))</f>
        <v>5376</v>
      </c>
      <c r="H409" s="132">
        <f t="shared" si="50"/>
        <v>0</v>
      </c>
      <c r="I409" s="140">
        <f t="shared" si="51"/>
        <v>0</v>
      </c>
      <c r="J409" s="9" t="str">
        <f t="shared" si="52"/>
        <v xml:space="preserve"> </v>
      </c>
      <c r="K409" s="140">
        <f t="shared" si="53"/>
        <v>0</v>
      </c>
      <c r="L409" s="206">
        <f t="shared" si="54"/>
        <v>0</v>
      </c>
      <c r="M409" s="8" t="str">
        <f t="array" ref="M409">IF(L409&gt;5,"Perlu Sensus",IF(AND(L409&gt;=0,I409&gt;0),"Tetap Deteksi","Belum Deteksi"))</f>
        <v>Belum Deteksi</v>
      </c>
      <c r="N409" s="11"/>
      <c r="O409" s="143"/>
      <c r="P409" s="9">
        <f t="array" ref="P409">IFERROR(O409/G409*100,0)</f>
        <v>0</v>
      </c>
      <c r="Q409" s="143"/>
      <c r="R409" s="9">
        <f t="shared" si="55"/>
        <v>0</v>
      </c>
      <c r="S409" s="8" t="str">
        <f t="array" ref="S409">IF(R409&gt;5,"Perlu Sensus",IF(AND(R409&gt;=0,O409&gt;0),"Tetap Deteksi","Belum Deteksi"))</f>
        <v>Belum Deteksi</v>
      </c>
      <c r="T409" s="143"/>
      <c r="U409" s="9">
        <f t="shared" si="57"/>
        <v>0</v>
      </c>
      <c r="V409" s="11"/>
      <c r="W409" s="143"/>
      <c r="X409" s="143"/>
      <c r="Y409" s="9">
        <f t="shared" si="56"/>
        <v>0</v>
      </c>
      <c r="Z409" s="8" t="str">
        <f t="array" ref="Z409">IF(Y409&gt;5,"Perlu Sensus",IF(AND(Y409&gt;0,,O409&gt;0),"Tetap Deteksi","Belum Deteksi"))</f>
        <v>Belum Deteksi</v>
      </c>
      <c r="AA409" s="143"/>
      <c r="AB409" s="9">
        <f t="shared" si="58"/>
        <v>0</v>
      </c>
    </row>
    <row r="410" spans="1:28" hidden="1" x14ac:dyDescent="0.15">
      <c r="A410" s="8" t="s">
        <v>628</v>
      </c>
      <c r="B410" s="8" t="s">
        <v>47</v>
      </c>
      <c r="C410" s="8" t="s">
        <v>416</v>
      </c>
      <c r="D410" s="8" t="s">
        <v>101</v>
      </c>
      <c r="E410" s="9">
        <v>48.31</v>
      </c>
      <c r="F410" s="8" t="s">
        <v>469</v>
      </c>
      <c r="G410" s="143">
        <f t="array" ref="G410">INDEX('[23]SENSUS MEI'!$G$9:$G$453,MATCH(1,('[23]SENSUS MEI'!$D$9:$D$453=$D410)*('[23]SENSUS MEI'!$D$9:$D$453=$D410),0))</f>
        <v>7135</v>
      </c>
      <c r="H410" s="132">
        <f t="shared" si="50"/>
        <v>0</v>
      </c>
      <c r="I410" s="140">
        <f t="shared" si="51"/>
        <v>0</v>
      </c>
      <c r="J410" s="9" t="str">
        <f t="shared" si="52"/>
        <v xml:space="preserve"> </v>
      </c>
      <c r="K410" s="140">
        <f t="shared" si="53"/>
        <v>0</v>
      </c>
      <c r="L410" s="206">
        <f t="shared" si="54"/>
        <v>0</v>
      </c>
      <c r="M410" s="8" t="str">
        <f t="array" ref="M410">IF(L410&gt;5,"Perlu Sensus",IF(AND(L410&gt;=0,I410&gt;0),"Tetap Deteksi","Belum Deteksi"))</f>
        <v>Belum Deteksi</v>
      </c>
      <c r="N410" s="11"/>
      <c r="O410" s="143"/>
      <c r="P410" s="9">
        <f t="array" ref="P410">IFERROR(O410/G410*100,0)</f>
        <v>0</v>
      </c>
      <c r="Q410" s="143"/>
      <c r="R410" s="9">
        <f t="shared" si="55"/>
        <v>0</v>
      </c>
      <c r="S410" s="8" t="str">
        <f t="array" ref="S410">IF(R410&gt;5,"Perlu Sensus",IF(AND(R410&gt;=0,O410&gt;0),"Tetap Deteksi","Belum Deteksi"))</f>
        <v>Belum Deteksi</v>
      </c>
      <c r="T410" s="143"/>
      <c r="U410" s="9">
        <f t="shared" si="57"/>
        <v>0</v>
      </c>
      <c r="V410" s="11"/>
      <c r="W410" s="143"/>
      <c r="X410" s="143"/>
      <c r="Y410" s="9">
        <f t="shared" si="56"/>
        <v>0</v>
      </c>
      <c r="Z410" s="8" t="str">
        <f t="array" ref="Z410">IF(Y410&gt;5,"Perlu Sensus",IF(AND(Y410&gt;0,,O410&gt;0),"Tetap Deteksi","Belum Deteksi"))</f>
        <v>Belum Deteksi</v>
      </c>
      <c r="AA410" s="143"/>
      <c r="AB410" s="9">
        <f t="shared" si="58"/>
        <v>0</v>
      </c>
    </row>
    <row r="411" spans="1:28" hidden="1" x14ac:dyDescent="0.15">
      <c r="A411" s="8" t="s">
        <v>628</v>
      </c>
      <c r="B411" s="8" t="s">
        <v>47</v>
      </c>
      <c r="C411" s="8" t="s">
        <v>416</v>
      </c>
      <c r="D411" s="8" t="s">
        <v>102</v>
      </c>
      <c r="E411" s="9">
        <v>45.36</v>
      </c>
      <c r="F411" s="8" t="s">
        <v>469</v>
      </c>
      <c r="G411" s="143">
        <f t="array" ref="G411">INDEX('[23]SENSUS MEI'!$G$9:$G$453,MATCH(1,('[23]SENSUS MEI'!$D$9:$D$453=$D411)*('[23]SENSUS MEI'!$D$9:$D$453=$D411),0))</f>
        <v>6172</v>
      </c>
      <c r="H411" s="132">
        <f t="shared" si="50"/>
        <v>0</v>
      </c>
      <c r="I411" s="140">
        <f t="shared" si="51"/>
        <v>0</v>
      </c>
      <c r="J411" s="9" t="str">
        <f t="shared" si="52"/>
        <v xml:space="preserve"> </v>
      </c>
      <c r="K411" s="140">
        <f t="shared" si="53"/>
        <v>0</v>
      </c>
      <c r="L411" s="206">
        <f t="shared" si="54"/>
        <v>0</v>
      </c>
      <c r="M411" s="8" t="str">
        <f t="array" ref="M411">IF(L411&gt;5,"Perlu Sensus",IF(AND(L411&gt;=0,I411&gt;0),"Tetap Deteksi","Belum Deteksi"))</f>
        <v>Belum Deteksi</v>
      </c>
      <c r="N411" s="11"/>
      <c r="O411" s="143"/>
      <c r="P411" s="9">
        <f t="array" ref="P411">IFERROR(O411/G411*100,0)</f>
        <v>0</v>
      </c>
      <c r="Q411" s="143"/>
      <c r="R411" s="9">
        <f t="shared" si="55"/>
        <v>0</v>
      </c>
      <c r="S411" s="8" t="str">
        <f t="array" ref="S411">IF(R411&gt;5,"Perlu Sensus",IF(AND(R411&gt;=0,O411&gt;0),"Tetap Deteksi","Belum Deteksi"))</f>
        <v>Belum Deteksi</v>
      </c>
      <c r="T411" s="143"/>
      <c r="U411" s="9">
        <f t="shared" si="57"/>
        <v>0</v>
      </c>
      <c r="V411" s="11"/>
      <c r="W411" s="143"/>
      <c r="X411" s="143"/>
      <c r="Y411" s="9">
        <f t="shared" si="56"/>
        <v>0</v>
      </c>
      <c r="Z411" s="8" t="str">
        <f t="array" ref="Z411">IF(Y411&gt;5,"Perlu Sensus",IF(AND(Y411&gt;0,,O411&gt;0),"Tetap Deteksi","Belum Deteksi"))</f>
        <v>Belum Deteksi</v>
      </c>
      <c r="AA411" s="143"/>
      <c r="AB411" s="9">
        <f t="shared" si="58"/>
        <v>0</v>
      </c>
    </row>
    <row r="412" spans="1:28" hidden="1" x14ac:dyDescent="0.15">
      <c r="A412" s="8" t="s">
        <v>628</v>
      </c>
      <c r="B412" s="8" t="s">
        <v>47</v>
      </c>
      <c r="C412" s="8" t="s">
        <v>416</v>
      </c>
      <c r="D412" s="8" t="s">
        <v>158</v>
      </c>
      <c r="E412" s="9">
        <v>1.52</v>
      </c>
      <c r="F412" s="8" t="s">
        <v>469</v>
      </c>
      <c r="G412" s="143">
        <f t="array" ref="G412">INDEX('[23]SENSUS MEI'!$G$9:$G$453,MATCH(1,('[23]SENSUS MEI'!$D$9:$D$453=$D412)*('[23]SENSUS MEI'!$D$9:$D$453=$D412),0))</f>
        <v>170</v>
      </c>
      <c r="H412" s="132">
        <f t="shared" si="50"/>
        <v>0</v>
      </c>
      <c r="I412" s="140">
        <f t="shared" si="51"/>
        <v>0</v>
      </c>
      <c r="J412" s="9" t="str">
        <f t="shared" si="52"/>
        <v xml:space="preserve"> </v>
      </c>
      <c r="K412" s="140">
        <f t="shared" si="53"/>
        <v>0</v>
      </c>
      <c r="L412" s="206">
        <f t="shared" si="54"/>
        <v>0</v>
      </c>
      <c r="M412" s="8" t="str">
        <f t="array" ref="M412">IF(L412&gt;5,"Perlu Sensus",IF(AND(L412&gt;=0,I412&gt;0),"Tetap Deteksi","Belum Deteksi"))</f>
        <v>Belum Deteksi</v>
      </c>
      <c r="N412" s="11"/>
      <c r="O412" s="143"/>
      <c r="P412" s="9">
        <f t="array" ref="P412">IFERROR(O412/G412*100,0)</f>
        <v>0</v>
      </c>
      <c r="Q412" s="143"/>
      <c r="R412" s="9">
        <f t="shared" si="55"/>
        <v>0</v>
      </c>
      <c r="S412" s="8" t="str">
        <f t="array" ref="S412">IF(R412&gt;5,"Perlu Sensus",IF(AND(R412&gt;=0,O412&gt;0),"Tetap Deteksi","Belum Deteksi"))</f>
        <v>Belum Deteksi</v>
      </c>
      <c r="T412" s="143"/>
      <c r="U412" s="9">
        <f t="shared" si="57"/>
        <v>0</v>
      </c>
      <c r="V412" s="11"/>
      <c r="W412" s="143"/>
      <c r="X412" s="143"/>
      <c r="Y412" s="9">
        <f t="shared" si="56"/>
        <v>0</v>
      </c>
      <c r="Z412" s="8" t="str">
        <f t="array" ref="Z412">IF(Y412&gt;5,"Perlu Sensus",IF(AND(Y412&gt;0,,O412&gt;0),"Tetap Deteksi","Belum Deteksi"))</f>
        <v>Belum Deteksi</v>
      </c>
      <c r="AA412" s="143"/>
      <c r="AB412" s="9">
        <f t="shared" si="58"/>
        <v>0</v>
      </c>
    </row>
    <row r="413" spans="1:28" x14ac:dyDescent="0.15">
      <c r="A413" s="8" t="s">
        <v>628</v>
      </c>
      <c r="B413" s="8" t="s">
        <v>47</v>
      </c>
      <c r="C413" s="8" t="s">
        <v>416</v>
      </c>
      <c r="D413" s="8" t="s">
        <v>108</v>
      </c>
      <c r="E413" s="9">
        <v>11.26</v>
      </c>
      <c r="F413" s="8" t="s">
        <v>469</v>
      </c>
      <c r="G413" s="143">
        <f t="array" ref="G413">INDEX('[23]SENSUS MEI'!$G$9:$G$453,MATCH(1,('[23]SENSUS MEI'!$D$9:$D$453=$D413)*('[23]SENSUS MEI'!$D$9:$D$453=$D413),0))</f>
        <v>1554</v>
      </c>
      <c r="H413" s="132">
        <f t="shared" si="50"/>
        <v>46239</v>
      </c>
      <c r="I413" s="140">
        <f t="shared" si="51"/>
        <v>116</v>
      </c>
      <c r="J413" s="9">
        <f t="shared" si="52"/>
        <v>7.4646074646074645</v>
      </c>
      <c r="K413" s="140">
        <f t="shared" si="53"/>
        <v>8</v>
      </c>
      <c r="L413" s="206">
        <f t="shared" si="54"/>
        <v>6.8965517241379306</v>
      </c>
      <c r="M413" s="8" t="str">
        <f t="array" ref="M413">IF(L413&gt;5,"Perlu Sensus",IF(AND(L413&gt;=0,I413&gt;0),"Tetap Deteksi","Belum Deteksi"))</f>
        <v>Perlu Sensus</v>
      </c>
      <c r="N413" s="11">
        <v>46239</v>
      </c>
      <c r="O413" s="143">
        <v>116</v>
      </c>
      <c r="P413" s="9">
        <f t="array" ref="P413">IFERROR(O413/G413*100,0)</f>
        <v>7.4646074646074645</v>
      </c>
      <c r="Q413" s="143">
        <v>8</v>
      </c>
      <c r="R413" s="9">
        <f t="shared" si="55"/>
        <v>6.8965517241379306</v>
      </c>
      <c r="S413" s="8" t="str">
        <f t="array" ref="S413">IF(R413&gt;5,"Perlu Sensus",IF(AND(R413&gt;=0,O413&gt;0),"Tetap Deteksi","Belum Deteksi"))</f>
        <v>Perlu Sensus</v>
      </c>
      <c r="T413" s="143">
        <v>28</v>
      </c>
      <c r="U413" s="9">
        <f t="shared" si="57"/>
        <v>24.137931034482758</v>
      </c>
      <c r="V413" s="11"/>
      <c r="W413" s="143"/>
      <c r="X413" s="143"/>
      <c r="Y413" s="9">
        <f t="shared" si="56"/>
        <v>0</v>
      </c>
      <c r="Z413" s="8" t="str">
        <f t="array" ref="Z413">IF(Y413&gt;5,"Perlu Sensus",IF(AND(Y413&gt;0,,O413&gt;0),"Tetap Deteksi","Belum Deteksi"))</f>
        <v>Belum Deteksi</v>
      </c>
      <c r="AA413" s="143"/>
      <c r="AB413" s="9">
        <f t="shared" si="58"/>
        <v>0</v>
      </c>
    </row>
    <row r="414" spans="1:28" hidden="1" x14ac:dyDescent="0.15">
      <c r="A414" s="8" t="s">
        <v>628</v>
      </c>
      <c r="B414" s="8" t="s">
        <v>47</v>
      </c>
      <c r="C414" s="8" t="s">
        <v>416</v>
      </c>
      <c r="D414" s="8" t="s">
        <v>109</v>
      </c>
      <c r="E414" s="9">
        <v>15.41</v>
      </c>
      <c r="F414" s="8" t="s">
        <v>469</v>
      </c>
      <c r="G414" s="143">
        <f t="array" ref="G414">INDEX('[23]SENSUS MEI'!$G$9:$G$453,MATCH(1,('[23]SENSUS MEI'!$D$9:$D$453=$D414)*('[23]SENSUS MEI'!$D$9:$D$453=$D414),0))</f>
        <v>1871</v>
      </c>
      <c r="H414" s="132">
        <f t="shared" si="50"/>
        <v>0</v>
      </c>
      <c r="I414" s="140">
        <f t="shared" si="51"/>
        <v>0</v>
      </c>
      <c r="J414" s="9" t="str">
        <f t="shared" si="52"/>
        <v xml:space="preserve"> </v>
      </c>
      <c r="K414" s="140">
        <f t="shared" si="53"/>
        <v>0</v>
      </c>
      <c r="L414" s="206">
        <f t="shared" si="54"/>
        <v>0</v>
      </c>
      <c r="M414" s="8" t="str">
        <f t="array" ref="M414">IF(L414&gt;5,"Perlu Sensus",IF(AND(L414&gt;=0,I414&gt;0),"Tetap Deteksi","Belum Deteksi"))</f>
        <v>Belum Deteksi</v>
      </c>
      <c r="N414" s="11"/>
      <c r="O414" s="143"/>
      <c r="P414" s="9">
        <f t="array" ref="P414">IFERROR(O414/G414*100,0)</f>
        <v>0</v>
      </c>
      <c r="Q414" s="143"/>
      <c r="R414" s="9">
        <f t="shared" si="55"/>
        <v>0</v>
      </c>
      <c r="S414" s="8" t="str">
        <f t="array" ref="S414">IF(R414&gt;5,"Perlu Sensus",IF(AND(R414&gt;=0,O414&gt;0),"Tetap Deteksi","Belum Deteksi"))</f>
        <v>Belum Deteksi</v>
      </c>
      <c r="T414" s="143"/>
      <c r="U414" s="9">
        <f t="shared" si="57"/>
        <v>0</v>
      </c>
      <c r="V414" s="11"/>
      <c r="W414" s="143"/>
      <c r="X414" s="143"/>
      <c r="Y414" s="9">
        <f t="shared" si="56"/>
        <v>0</v>
      </c>
      <c r="Z414" s="8" t="str">
        <f t="array" ref="Z414">IF(Y414&gt;5,"Perlu Sensus",IF(AND(Y414&gt;0,,O414&gt;0),"Tetap Deteksi","Belum Deteksi"))</f>
        <v>Belum Deteksi</v>
      </c>
      <c r="AA414" s="143"/>
      <c r="AB414" s="9">
        <f t="shared" si="58"/>
        <v>0</v>
      </c>
    </row>
    <row r="415" spans="1:28" hidden="1" x14ac:dyDescent="0.15">
      <c r="A415" s="8" t="s">
        <v>628</v>
      </c>
      <c r="B415" s="8" t="s">
        <v>47</v>
      </c>
      <c r="C415" s="8" t="s">
        <v>416</v>
      </c>
      <c r="D415" s="8" t="s">
        <v>110</v>
      </c>
      <c r="E415" s="9">
        <v>17.27</v>
      </c>
      <c r="F415" s="8" t="s">
        <v>469</v>
      </c>
      <c r="G415" s="143">
        <f t="array" ref="G415">INDEX('[23]SENSUS MEI'!$G$9:$G$453,MATCH(1,('[23]SENSUS MEI'!$D$9:$D$453=$D415)*('[23]SENSUS MEI'!$D$9:$D$453=$D415),0))</f>
        <v>2446</v>
      </c>
      <c r="H415" s="132">
        <f t="shared" si="50"/>
        <v>0</v>
      </c>
      <c r="I415" s="140">
        <f t="shared" si="51"/>
        <v>0</v>
      </c>
      <c r="J415" s="9" t="str">
        <f t="shared" si="52"/>
        <v xml:space="preserve"> </v>
      </c>
      <c r="K415" s="140">
        <f t="shared" si="53"/>
        <v>0</v>
      </c>
      <c r="L415" s="206">
        <f t="shared" si="54"/>
        <v>0</v>
      </c>
      <c r="M415" s="8" t="str">
        <f t="array" ref="M415">IF(L415&gt;5,"Perlu Sensus",IF(AND(L415&gt;=0,I415&gt;0),"Tetap Deteksi","Belum Deteksi"))</f>
        <v>Belum Deteksi</v>
      </c>
      <c r="N415" s="11"/>
      <c r="O415" s="143"/>
      <c r="P415" s="9">
        <f t="array" ref="P415">IFERROR(O415/G415*100,0)</f>
        <v>0</v>
      </c>
      <c r="Q415" s="143"/>
      <c r="R415" s="9">
        <f t="shared" si="55"/>
        <v>0</v>
      </c>
      <c r="S415" s="8" t="str">
        <f t="array" ref="S415">IF(R415&gt;5,"Perlu Sensus",IF(AND(R415&gt;=0,O415&gt;0),"Tetap Deteksi","Belum Deteksi"))</f>
        <v>Belum Deteksi</v>
      </c>
      <c r="T415" s="143"/>
      <c r="U415" s="9">
        <f t="shared" si="57"/>
        <v>0</v>
      </c>
      <c r="V415" s="11"/>
      <c r="W415" s="143"/>
      <c r="X415" s="143"/>
      <c r="Y415" s="9">
        <f t="shared" si="56"/>
        <v>0</v>
      </c>
      <c r="Z415" s="8" t="str">
        <f t="array" ref="Z415">IF(Y415&gt;5,"Perlu Sensus",IF(AND(Y415&gt;0,,O415&gt;0),"Tetap Deteksi","Belum Deteksi"))</f>
        <v>Belum Deteksi</v>
      </c>
      <c r="AA415" s="143"/>
      <c r="AB415" s="9">
        <f t="shared" si="58"/>
        <v>0</v>
      </c>
    </row>
    <row r="416" spans="1:28" hidden="1" x14ac:dyDescent="0.15">
      <c r="A416" s="8" t="s">
        <v>628</v>
      </c>
      <c r="B416" s="8" t="s">
        <v>47</v>
      </c>
      <c r="C416" s="8" t="s">
        <v>416</v>
      </c>
      <c r="D416" s="8" t="s">
        <v>111</v>
      </c>
      <c r="E416" s="9">
        <v>32.119999999999997</v>
      </c>
      <c r="F416" s="8" t="s">
        <v>469</v>
      </c>
      <c r="G416" s="143">
        <f t="array" ref="G416">INDEX('[23]SENSUS MEI'!$G$9:$G$453,MATCH(1,('[23]SENSUS MEI'!$D$9:$D$453=$D416)*('[23]SENSUS MEI'!$D$9:$D$453=$D416),0))</f>
        <v>4714</v>
      </c>
      <c r="H416" s="132">
        <f t="shared" si="50"/>
        <v>0</v>
      </c>
      <c r="I416" s="140">
        <f t="shared" si="51"/>
        <v>0</v>
      </c>
      <c r="J416" s="9" t="str">
        <f t="shared" si="52"/>
        <v xml:space="preserve"> </v>
      </c>
      <c r="K416" s="140">
        <f t="shared" si="53"/>
        <v>0</v>
      </c>
      <c r="L416" s="206">
        <f t="shared" si="54"/>
        <v>0</v>
      </c>
      <c r="M416" s="8" t="str">
        <f t="array" ref="M416">IF(L416&gt;5,"Perlu Sensus",IF(AND(L416&gt;=0,I416&gt;0),"Tetap Deteksi","Belum Deteksi"))</f>
        <v>Belum Deteksi</v>
      </c>
      <c r="N416" s="11"/>
      <c r="O416" s="143"/>
      <c r="P416" s="9">
        <f t="array" ref="P416">IFERROR(O416/G416*100,0)</f>
        <v>0</v>
      </c>
      <c r="Q416" s="143"/>
      <c r="R416" s="9">
        <f t="shared" si="55"/>
        <v>0</v>
      </c>
      <c r="S416" s="8" t="str">
        <f t="array" ref="S416">IF(R416&gt;5,"Perlu Sensus",IF(AND(R416&gt;=0,O416&gt;0),"Tetap Deteksi","Belum Deteksi"))</f>
        <v>Belum Deteksi</v>
      </c>
      <c r="T416" s="143"/>
      <c r="U416" s="9">
        <f t="shared" si="57"/>
        <v>0</v>
      </c>
      <c r="V416" s="11"/>
      <c r="W416" s="143"/>
      <c r="X416" s="143"/>
      <c r="Y416" s="9">
        <f t="shared" si="56"/>
        <v>0</v>
      </c>
      <c r="Z416" s="8" t="str">
        <f t="array" ref="Z416">IF(Y416&gt;5,"Perlu Sensus",IF(AND(Y416&gt;0,,O416&gt;0),"Tetap Deteksi","Belum Deteksi"))</f>
        <v>Belum Deteksi</v>
      </c>
      <c r="AA416" s="143"/>
      <c r="AB416" s="9">
        <f t="shared" si="58"/>
        <v>0</v>
      </c>
    </row>
    <row r="417" spans="1:28" x14ac:dyDescent="0.15">
      <c r="A417" s="8" t="s">
        <v>628</v>
      </c>
      <c r="B417" s="8" t="s">
        <v>47</v>
      </c>
      <c r="C417" s="8" t="s">
        <v>416</v>
      </c>
      <c r="D417" s="8" t="s">
        <v>112</v>
      </c>
      <c r="E417" s="9">
        <v>32.67</v>
      </c>
      <c r="F417" s="8" t="s">
        <v>469</v>
      </c>
      <c r="G417" s="143">
        <f t="array" ref="G417">INDEX('[23]SENSUS MEI'!$G$9:$G$453,MATCH(1,('[23]SENSUS MEI'!$D$9:$D$453=$D417)*('[23]SENSUS MEI'!$D$9:$D$453=$D417),0))</f>
        <v>4519</v>
      </c>
      <c r="H417" s="132">
        <f t="shared" si="50"/>
        <v>46239</v>
      </c>
      <c r="I417" s="140">
        <f t="shared" si="51"/>
        <v>122</v>
      </c>
      <c r="J417" s="9">
        <f t="shared" si="52"/>
        <v>2.6997123257357822</v>
      </c>
      <c r="K417" s="140">
        <f t="shared" si="53"/>
        <v>19</v>
      </c>
      <c r="L417" s="206">
        <f t="shared" si="54"/>
        <v>15.573770491803279</v>
      </c>
      <c r="M417" s="8" t="str">
        <f t="array" ref="M417">IF(L417&gt;5,"Perlu Sensus",IF(AND(L417&gt;=0,I417&gt;0),"Tetap Deteksi","Belum Deteksi"))</f>
        <v>Perlu Sensus</v>
      </c>
      <c r="N417" s="11">
        <v>46239</v>
      </c>
      <c r="O417" s="143">
        <v>122</v>
      </c>
      <c r="P417" s="9">
        <f t="array" ref="P417">IFERROR(O417/G417*100,0)</f>
        <v>2.6997123257357822</v>
      </c>
      <c r="Q417" s="143">
        <v>19</v>
      </c>
      <c r="R417" s="9">
        <f t="shared" si="55"/>
        <v>15.573770491803279</v>
      </c>
      <c r="S417" s="8" t="str">
        <f t="array" ref="S417">IF(R417&gt;5,"Perlu Sensus",IF(AND(R417&gt;=0,O417&gt;0),"Tetap Deteksi","Belum Deteksi"))</f>
        <v>Perlu Sensus</v>
      </c>
      <c r="T417" s="143">
        <v>70</v>
      </c>
      <c r="U417" s="9">
        <f t="shared" si="57"/>
        <v>57.377049180327866</v>
      </c>
      <c r="V417" s="11"/>
      <c r="W417" s="143"/>
      <c r="X417" s="143"/>
      <c r="Y417" s="9">
        <f t="shared" si="56"/>
        <v>0</v>
      </c>
      <c r="Z417" s="8" t="str">
        <f t="array" ref="Z417">IF(Y417&gt;5,"Perlu Sensus",IF(AND(Y417&gt;0,,O417&gt;0),"Tetap Deteksi","Belum Deteksi"))</f>
        <v>Belum Deteksi</v>
      </c>
      <c r="AA417" s="143"/>
      <c r="AB417" s="9">
        <f t="shared" si="58"/>
        <v>0</v>
      </c>
    </row>
    <row r="418" spans="1:28" x14ac:dyDescent="0.15">
      <c r="A418" s="8" t="s">
        <v>628</v>
      </c>
      <c r="B418" s="8" t="s">
        <v>47</v>
      </c>
      <c r="C418" s="8" t="s">
        <v>416</v>
      </c>
      <c r="D418" s="8" t="s">
        <v>113</v>
      </c>
      <c r="E418" s="9">
        <v>18.510000000000002</v>
      </c>
      <c r="F418" s="8" t="s">
        <v>469</v>
      </c>
      <c r="G418" s="143">
        <f t="array" ref="G418">INDEX('[23]SENSUS MEI'!$G$9:$G$453,MATCH(1,('[23]SENSUS MEI'!$D$9:$D$453=$D418)*('[23]SENSUS MEI'!$D$9:$D$453=$D418),0))</f>
        <v>2365</v>
      </c>
      <c r="H418" s="132">
        <f t="shared" si="50"/>
        <v>46246</v>
      </c>
      <c r="I418" s="140">
        <f t="shared" si="51"/>
        <v>47</v>
      </c>
      <c r="J418" s="9">
        <f t="shared" si="52"/>
        <v>1.9873150105708246</v>
      </c>
      <c r="K418" s="140">
        <f t="shared" si="53"/>
        <v>1</v>
      </c>
      <c r="L418" s="206">
        <f t="shared" si="54"/>
        <v>2.1276595744680851</v>
      </c>
      <c r="M418" s="8" t="str">
        <f t="array" ref="M418">IF(L418&gt;5,"Perlu Sensus",IF(AND(L418&gt;=0,I418&gt;0),"Tetap Deteksi","Belum Deteksi"))</f>
        <v>Tetap Deteksi</v>
      </c>
      <c r="N418" s="11">
        <v>46246</v>
      </c>
      <c r="O418" s="143">
        <v>47</v>
      </c>
      <c r="P418" s="9">
        <f t="array" ref="P418">IFERROR(O418/G418*100,0)</f>
        <v>1.9873150105708246</v>
      </c>
      <c r="Q418" s="143">
        <v>1</v>
      </c>
      <c r="R418" s="9">
        <f t="shared" si="55"/>
        <v>2.1276595744680851</v>
      </c>
      <c r="S418" s="8" t="str">
        <f t="array" ref="S418">IF(R418&gt;5,"Perlu Sensus",IF(AND(R418&gt;=0,O418&gt;0),"Tetap Deteksi","Belum Deteksi"))</f>
        <v>Tetap Deteksi</v>
      </c>
      <c r="T418" s="143">
        <v>15</v>
      </c>
      <c r="U418" s="9">
        <f t="shared" si="57"/>
        <v>31.914893617021278</v>
      </c>
      <c r="V418" s="11"/>
      <c r="W418" s="143"/>
      <c r="X418" s="143"/>
      <c r="Y418" s="9">
        <f t="shared" si="56"/>
        <v>0</v>
      </c>
      <c r="Z418" s="8" t="str">
        <f t="array" ref="Z418">IF(Y418&gt;5,"Perlu Sensus",IF(AND(Y418&gt;0,,O418&gt;0),"Tetap Deteksi","Belum Deteksi"))</f>
        <v>Belum Deteksi</v>
      </c>
      <c r="AA418" s="143"/>
      <c r="AB418" s="9">
        <f t="shared" si="58"/>
        <v>0</v>
      </c>
    </row>
    <row r="419" spans="1:28" x14ac:dyDescent="0.15">
      <c r="A419" s="8" t="s">
        <v>628</v>
      </c>
      <c r="B419" s="8" t="s">
        <v>47</v>
      </c>
      <c r="C419" s="8" t="s">
        <v>416</v>
      </c>
      <c r="D419" s="8" t="s">
        <v>114</v>
      </c>
      <c r="E419" s="9">
        <v>20.11</v>
      </c>
      <c r="F419" s="8" t="s">
        <v>469</v>
      </c>
      <c r="G419" s="143">
        <f t="array" ref="G419">INDEX('[23]SENSUS MEI'!$G$9:$G$453,MATCH(1,('[23]SENSUS MEI'!$D$9:$D$453=$D419)*('[23]SENSUS MEI'!$D$9:$D$453=$D419),0))</f>
        <v>2694</v>
      </c>
      <c r="H419" s="132">
        <f t="shared" si="50"/>
        <v>46245</v>
      </c>
      <c r="I419" s="140">
        <f t="shared" si="51"/>
        <v>41</v>
      </c>
      <c r="J419" s="9">
        <f t="shared" si="52"/>
        <v>1.5219005196733482</v>
      </c>
      <c r="K419" s="140">
        <f t="shared" si="53"/>
        <v>1</v>
      </c>
      <c r="L419" s="206">
        <f t="shared" si="54"/>
        <v>2.4390243902439024</v>
      </c>
      <c r="M419" s="8" t="str">
        <f t="array" ref="M419">IF(L419&gt;5,"Perlu Sensus",IF(AND(L419&gt;=0,I419&gt;0),"Tetap Deteksi","Belum Deteksi"))</f>
        <v>Tetap Deteksi</v>
      </c>
      <c r="N419" s="11">
        <v>46245</v>
      </c>
      <c r="O419" s="143">
        <v>41</v>
      </c>
      <c r="P419" s="9">
        <f t="array" ref="P419">IFERROR(O419/G419*100,0)</f>
        <v>1.5219005196733482</v>
      </c>
      <c r="Q419" s="143">
        <v>1</v>
      </c>
      <c r="R419" s="9">
        <f t="shared" si="55"/>
        <v>2.4390243902439024</v>
      </c>
      <c r="S419" s="8" t="str">
        <f t="array" ref="S419">IF(R419&gt;5,"Perlu Sensus",IF(AND(R419&gt;=0,O419&gt;0),"Tetap Deteksi","Belum Deteksi"))</f>
        <v>Tetap Deteksi</v>
      </c>
      <c r="T419" s="143">
        <v>13</v>
      </c>
      <c r="U419" s="9">
        <f t="shared" si="57"/>
        <v>31.707317073170731</v>
      </c>
      <c r="V419" s="11"/>
      <c r="W419" s="143"/>
      <c r="X419" s="143"/>
      <c r="Y419" s="9">
        <f t="shared" si="56"/>
        <v>0</v>
      </c>
      <c r="Z419" s="8" t="str">
        <f t="array" ref="Z419">IF(Y419&gt;5,"Perlu Sensus",IF(AND(Y419&gt;0,,O419&gt;0),"Tetap Deteksi","Belum Deteksi"))</f>
        <v>Belum Deteksi</v>
      </c>
      <c r="AA419" s="143"/>
      <c r="AB419" s="9">
        <f t="shared" si="58"/>
        <v>0</v>
      </c>
    </row>
    <row r="420" spans="1:28" x14ac:dyDescent="0.15">
      <c r="A420" s="8" t="s">
        <v>628</v>
      </c>
      <c r="B420" s="8" t="s">
        <v>47</v>
      </c>
      <c r="C420" s="8" t="s">
        <v>416</v>
      </c>
      <c r="D420" s="8" t="s">
        <v>115</v>
      </c>
      <c r="E420" s="9">
        <v>32.4</v>
      </c>
      <c r="F420" s="8" t="s">
        <v>469</v>
      </c>
      <c r="G420" s="143">
        <f t="array" ref="G420">INDEX('[23]SENSUS MEI'!$G$9:$G$453,MATCH(1,('[23]SENSUS MEI'!$D$9:$D$453=$D420)*('[23]SENSUS MEI'!$D$9:$D$453=$D420),0))</f>
        <v>4087</v>
      </c>
      <c r="H420" s="132">
        <f t="shared" si="50"/>
        <v>46246</v>
      </c>
      <c r="I420" s="140">
        <f t="shared" si="51"/>
        <v>110</v>
      </c>
      <c r="J420" s="9">
        <f t="shared" si="52"/>
        <v>2.6914607291411796</v>
      </c>
      <c r="K420" s="140">
        <f t="shared" si="53"/>
        <v>2</v>
      </c>
      <c r="L420" s="206">
        <f t="shared" si="54"/>
        <v>1.8181818181818181</v>
      </c>
      <c r="M420" s="8" t="str">
        <f t="array" ref="M420">IF(L420&gt;5,"Perlu Sensus",IF(AND(L420&gt;=0,I420&gt;0),"Tetap Deteksi","Belum Deteksi"))</f>
        <v>Tetap Deteksi</v>
      </c>
      <c r="N420" s="11">
        <v>46246</v>
      </c>
      <c r="O420" s="143">
        <v>110</v>
      </c>
      <c r="P420" s="9">
        <f t="array" ref="P420">IFERROR(O420/G420*100,0)</f>
        <v>2.6914607291411796</v>
      </c>
      <c r="Q420" s="143">
        <v>2</v>
      </c>
      <c r="R420" s="9">
        <f t="shared" si="55"/>
        <v>1.8181818181818181</v>
      </c>
      <c r="S420" s="8" t="str">
        <f t="array" ref="S420">IF(R420&gt;5,"Perlu Sensus",IF(AND(R420&gt;=0,O420&gt;0),"Tetap Deteksi","Belum Deteksi"))</f>
        <v>Tetap Deteksi</v>
      </c>
      <c r="T420" s="143">
        <v>94</v>
      </c>
      <c r="U420" s="9">
        <f t="shared" si="57"/>
        <v>85.454545454545453</v>
      </c>
      <c r="V420" s="11"/>
      <c r="W420" s="143"/>
      <c r="X420" s="143"/>
      <c r="Y420" s="9">
        <f t="shared" si="56"/>
        <v>0</v>
      </c>
      <c r="Z420" s="8" t="str">
        <f t="array" ref="Z420">IF(Y420&gt;5,"Perlu Sensus",IF(AND(Y420&gt;0,,O420&gt;0),"Tetap Deteksi","Belum Deteksi"))</f>
        <v>Belum Deteksi</v>
      </c>
      <c r="AA420" s="143"/>
      <c r="AB420" s="9">
        <f t="shared" si="58"/>
        <v>0</v>
      </c>
    </row>
    <row r="421" spans="1:28" x14ac:dyDescent="0.15">
      <c r="A421" s="8" t="s">
        <v>628</v>
      </c>
      <c r="B421" s="8" t="s">
        <v>47</v>
      </c>
      <c r="C421" s="8" t="s">
        <v>416</v>
      </c>
      <c r="D421" s="8" t="s">
        <v>116</v>
      </c>
      <c r="E421" s="9">
        <v>31.32</v>
      </c>
      <c r="F421" s="8" t="s">
        <v>469</v>
      </c>
      <c r="G421" s="143">
        <f t="array" ref="G421">INDEX('[23]SENSUS MEI'!$G$9:$G$453,MATCH(1,('[23]SENSUS MEI'!$D$9:$D$453=$D421)*('[23]SENSUS MEI'!$D$9:$D$453=$D421),0))</f>
        <v>3927</v>
      </c>
      <c r="H421" s="132">
        <f t="shared" si="50"/>
        <v>46245</v>
      </c>
      <c r="I421" s="140">
        <f t="shared" si="51"/>
        <v>94</v>
      </c>
      <c r="J421" s="9">
        <f t="shared" si="52"/>
        <v>2.3936847466259228</v>
      </c>
      <c r="K421" s="140">
        <f t="shared" si="53"/>
        <v>15</v>
      </c>
      <c r="L421" s="206">
        <f t="shared" si="54"/>
        <v>15.957446808510639</v>
      </c>
      <c r="M421" s="8" t="str">
        <f t="array" ref="M421">IF(L421&gt;5,"Perlu Sensus",IF(AND(L421&gt;=0,I421&gt;0),"Tetap Deteksi","Belum Deteksi"))</f>
        <v>Perlu Sensus</v>
      </c>
      <c r="N421" s="11">
        <v>46245</v>
      </c>
      <c r="O421" s="143">
        <v>94</v>
      </c>
      <c r="P421" s="9">
        <f t="array" ref="P421">IFERROR(O421/G421*100,0)</f>
        <v>2.3936847466259228</v>
      </c>
      <c r="Q421" s="143">
        <v>15</v>
      </c>
      <c r="R421" s="9">
        <f t="shared" si="55"/>
        <v>15.957446808510639</v>
      </c>
      <c r="S421" s="8" t="str">
        <f t="array" ref="S421">IF(R421&gt;5,"Perlu Sensus",IF(AND(R421&gt;=0,O421&gt;0),"Tetap Deteksi","Belum Deteksi"))</f>
        <v>Perlu Sensus</v>
      </c>
      <c r="T421" s="143">
        <v>96</v>
      </c>
      <c r="U421" s="9">
        <f t="shared" si="57"/>
        <v>102.12765957446808</v>
      </c>
      <c r="V421" s="11"/>
      <c r="W421" s="143"/>
      <c r="X421" s="143"/>
      <c r="Y421" s="9">
        <f t="shared" si="56"/>
        <v>0</v>
      </c>
      <c r="Z421" s="8" t="str">
        <f t="array" ref="Z421">IF(Y421&gt;5,"Perlu Sensus",IF(AND(Y421&gt;0,,O421&gt;0),"Tetap Deteksi","Belum Deteksi"))</f>
        <v>Belum Deteksi</v>
      </c>
      <c r="AA421" s="143"/>
      <c r="AB421" s="9">
        <f t="shared" si="58"/>
        <v>0</v>
      </c>
    </row>
    <row r="422" spans="1:28" x14ac:dyDescent="0.15">
      <c r="A422" s="8" t="s">
        <v>628</v>
      </c>
      <c r="B422" s="8" t="s">
        <v>47</v>
      </c>
      <c r="C422" s="8" t="s">
        <v>416</v>
      </c>
      <c r="D422" s="8" t="s">
        <v>117</v>
      </c>
      <c r="E422" s="9">
        <v>34.53</v>
      </c>
      <c r="F422" s="8" t="s">
        <v>469</v>
      </c>
      <c r="G422" s="143">
        <f t="array" ref="G422">INDEX('[23]SENSUS MEI'!$G$9:$G$453,MATCH(1,('[23]SENSUS MEI'!$D$9:$D$453=$D422)*('[23]SENSUS MEI'!$D$9:$D$453=$D422),0))</f>
        <v>4326</v>
      </c>
      <c r="H422" s="132">
        <f t="shared" si="50"/>
        <v>46246</v>
      </c>
      <c r="I422" s="140">
        <f t="shared" si="51"/>
        <v>106</v>
      </c>
      <c r="J422" s="9">
        <f t="shared" si="52"/>
        <v>2.4503005085529357</v>
      </c>
      <c r="K422" s="140">
        <f t="shared" si="53"/>
        <v>3</v>
      </c>
      <c r="L422" s="206">
        <f t="shared" si="54"/>
        <v>2.8301886792452833</v>
      </c>
      <c r="M422" s="8" t="str">
        <f t="array" ref="M422">IF(L422&gt;5,"Perlu Sensus",IF(AND(L422&gt;=0,I422&gt;0),"Tetap Deteksi","Belum Deteksi"))</f>
        <v>Tetap Deteksi</v>
      </c>
      <c r="N422" s="11">
        <v>46246</v>
      </c>
      <c r="O422" s="143">
        <v>106</v>
      </c>
      <c r="P422" s="9">
        <f t="array" ref="P422">IFERROR(O422/G422*100,0)</f>
        <v>2.4503005085529357</v>
      </c>
      <c r="Q422" s="143">
        <v>3</v>
      </c>
      <c r="R422" s="9">
        <f t="shared" si="55"/>
        <v>2.8301886792452833</v>
      </c>
      <c r="S422" s="8" t="str">
        <f t="array" ref="S422">IF(R422&gt;5,"Perlu Sensus",IF(AND(R422&gt;=0,O422&gt;0),"Tetap Deteksi","Belum Deteksi"))</f>
        <v>Tetap Deteksi</v>
      </c>
      <c r="T422" s="143">
        <v>42</v>
      </c>
      <c r="U422" s="9">
        <f t="shared" si="57"/>
        <v>39.622641509433961</v>
      </c>
      <c r="V422" s="11"/>
      <c r="W422" s="143"/>
      <c r="X422" s="143"/>
      <c r="Y422" s="9">
        <f t="shared" si="56"/>
        <v>0</v>
      </c>
      <c r="Z422" s="8" t="str">
        <f t="array" ref="Z422">IF(Y422&gt;5,"Perlu Sensus",IF(AND(Y422&gt;0,,O422&gt;0),"Tetap Deteksi","Belum Deteksi"))</f>
        <v>Belum Deteksi</v>
      </c>
      <c r="AA422" s="143"/>
      <c r="AB422" s="9">
        <f t="shared" si="58"/>
        <v>0</v>
      </c>
    </row>
    <row r="423" spans="1:28" hidden="1" x14ac:dyDescent="0.15">
      <c r="A423" s="8" t="s">
        <v>628</v>
      </c>
      <c r="B423" s="8" t="s">
        <v>47</v>
      </c>
      <c r="C423" s="8" t="s">
        <v>416</v>
      </c>
      <c r="D423" s="8" t="s">
        <v>118</v>
      </c>
      <c r="E423" s="9">
        <v>44.2</v>
      </c>
      <c r="F423" s="8" t="s">
        <v>469</v>
      </c>
      <c r="G423" s="143">
        <f t="array" ref="G423">INDEX('[23]SENSUS MEI'!$G$9:$G$453,MATCH(1,('[23]SENSUS MEI'!$D$9:$D$453=$D423)*('[23]SENSUS MEI'!$D$9:$D$453=$D423),0))</f>
        <v>5800</v>
      </c>
      <c r="H423" s="132">
        <f t="shared" si="50"/>
        <v>0</v>
      </c>
      <c r="I423" s="140">
        <f t="shared" si="51"/>
        <v>0</v>
      </c>
      <c r="J423" s="9" t="str">
        <f t="shared" si="52"/>
        <v xml:space="preserve"> </v>
      </c>
      <c r="K423" s="140">
        <f t="shared" si="53"/>
        <v>0</v>
      </c>
      <c r="L423" s="206">
        <f t="shared" si="54"/>
        <v>0</v>
      </c>
      <c r="M423" s="8" t="str">
        <f t="array" ref="M423">IF(L423&gt;5,"Perlu Sensus",IF(AND(L423&gt;=0,I423&gt;0),"Tetap Deteksi","Belum Deteksi"))</f>
        <v>Belum Deteksi</v>
      </c>
      <c r="N423" s="11"/>
      <c r="O423" s="143"/>
      <c r="P423" s="9">
        <f t="array" ref="P423">IFERROR(O423/G423*100,0)</f>
        <v>0</v>
      </c>
      <c r="Q423" s="143"/>
      <c r="R423" s="9">
        <f t="shared" si="55"/>
        <v>0</v>
      </c>
      <c r="S423" s="8" t="str">
        <f t="array" ref="S423">IF(R423&gt;5,"Perlu Sensus",IF(AND(R423&gt;=0,O423&gt;0),"Tetap Deteksi","Belum Deteksi"))</f>
        <v>Belum Deteksi</v>
      </c>
      <c r="T423" s="143"/>
      <c r="U423" s="9">
        <f t="shared" si="57"/>
        <v>0</v>
      </c>
      <c r="V423" s="11"/>
      <c r="W423" s="143"/>
      <c r="X423" s="143"/>
      <c r="Y423" s="9">
        <f t="shared" si="56"/>
        <v>0</v>
      </c>
      <c r="Z423" s="8" t="str">
        <f t="array" ref="Z423">IF(Y423&gt;5,"Perlu Sensus",IF(AND(Y423&gt;0,,O423&gt;0),"Tetap Deteksi","Belum Deteksi"))</f>
        <v>Belum Deteksi</v>
      </c>
      <c r="AA423" s="143"/>
      <c r="AB423" s="9">
        <f t="shared" si="58"/>
        <v>0</v>
      </c>
    </row>
    <row r="424" spans="1:28" hidden="1" x14ac:dyDescent="0.15">
      <c r="A424" s="8" t="s">
        <v>628</v>
      </c>
      <c r="B424" s="8" t="s">
        <v>47</v>
      </c>
      <c r="C424" s="8" t="s">
        <v>416</v>
      </c>
      <c r="D424" s="8" t="s">
        <v>929</v>
      </c>
      <c r="E424" s="9">
        <v>10.5</v>
      </c>
      <c r="F424" s="8" t="s">
        <v>469</v>
      </c>
      <c r="G424" s="143">
        <f t="array" ref="G424">INDEX('[23]SENSUS MEI'!$G$9:$G$453,MATCH(1,('[23]SENSUS MEI'!$D$9:$D$453=$D424)*('[23]SENSUS MEI'!$D$9:$D$453=$D424),0))</f>
        <v>1311</v>
      </c>
      <c r="H424" s="132">
        <f t="shared" si="50"/>
        <v>0</v>
      </c>
      <c r="I424" s="140">
        <f t="shared" si="51"/>
        <v>0</v>
      </c>
      <c r="J424" s="9" t="str">
        <f t="shared" si="52"/>
        <v xml:space="preserve"> </v>
      </c>
      <c r="K424" s="140">
        <f t="shared" si="53"/>
        <v>0</v>
      </c>
      <c r="L424" s="206">
        <f t="shared" si="54"/>
        <v>0</v>
      </c>
      <c r="M424" s="8" t="str">
        <f t="array" ref="M424">IF(L424&gt;5,"Perlu Sensus",IF(AND(L424&gt;=0,I424&gt;0),"Tetap Deteksi","Belum Deteksi"))</f>
        <v>Belum Deteksi</v>
      </c>
      <c r="N424" s="11"/>
      <c r="O424" s="143"/>
      <c r="P424" s="9">
        <f t="array" ref="P424">IFERROR(O424/G424*100,0)</f>
        <v>0</v>
      </c>
      <c r="Q424" s="143"/>
      <c r="R424" s="9">
        <f t="shared" si="55"/>
        <v>0</v>
      </c>
      <c r="S424" s="8" t="str">
        <f t="array" ref="S424">IF(R424&gt;5,"Perlu Sensus",IF(AND(R424&gt;=0,O424&gt;0),"Tetap Deteksi","Belum Deteksi"))</f>
        <v>Belum Deteksi</v>
      </c>
      <c r="T424" s="143"/>
      <c r="U424" s="9">
        <f t="shared" si="57"/>
        <v>0</v>
      </c>
      <c r="V424" s="11"/>
      <c r="W424" s="143"/>
      <c r="X424" s="143"/>
      <c r="Y424" s="9">
        <f t="shared" si="56"/>
        <v>0</v>
      </c>
      <c r="Z424" s="8" t="str">
        <f t="array" ref="Z424">IF(Y424&gt;5,"Perlu Sensus",IF(AND(Y424&gt;0,,O424&gt;0),"Tetap Deteksi","Belum Deteksi"))</f>
        <v>Belum Deteksi</v>
      </c>
      <c r="AA424" s="143"/>
      <c r="AB424" s="9">
        <f t="shared" si="58"/>
        <v>0</v>
      </c>
    </row>
    <row r="425" spans="1:28" hidden="1" x14ac:dyDescent="0.15">
      <c r="A425" s="8" t="s">
        <v>628</v>
      </c>
      <c r="B425" s="8" t="s">
        <v>47</v>
      </c>
      <c r="C425" s="8" t="s">
        <v>416</v>
      </c>
      <c r="D425" s="8" t="s">
        <v>930</v>
      </c>
      <c r="E425" s="9">
        <v>6.22</v>
      </c>
      <c r="F425" s="8" t="s">
        <v>469</v>
      </c>
      <c r="G425" s="143">
        <f t="array" ref="G425">INDEX('[23]SENSUS MEI'!$G$9:$G$453,MATCH(1,('[23]SENSUS MEI'!$D$9:$D$453=$D425)*('[23]SENSUS MEI'!$D$9:$D$453=$D425),0))</f>
        <v>812</v>
      </c>
      <c r="H425" s="132">
        <f t="shared" si="50"/>
        <v>0</v>
      </c>
      <c r="I425" s="140">
        <f t="shared" si="51"/>
        <v>0</v>
      </c>
      <c r="J425" s="9" t="str">
        <f t="shared" si="52"/>
        <v xml:space="preserve"> </v>
      </c>
      <c r="K425" s="140">
        <f t="shared" si="53"/>
        <v>0</v>
      </c>
      <c r="L425" s="206">
        <f t="shared" si="54"/>
        <v>0</v>
      </c>
      <c r="M425" s="8" t="str">
        <f t="array" ref="M425">IF(L425&gt;5,"Perlu Sensus",IF(AND(L425&gt;=0,I425&gt;0),"Tetap Deteksi","Belum Deteksi"))</f>
        <v>Belum Deteksi</v>
      </c>
      <c r="N425" s="11"/>
      <c r="O425" s="143"/>
      <c r="P425" s="9">
        <f t="array" ref="P425">IFERROR(O425/G425*100,0)</f>
        <v>0</v>
      </c>
      <c r="Q425" s="143"/>
      <c r="R425" s="9">
        <f t="shared" si="55"/>
        <v>0</v>
      </c>
      <c r="S425" s="8" t="str">
        <f t="array" ref="S425">IF(R425&gt;5,"Perlu Sensus",IF(AND(R425&gt;=0,O425&gt;0),"Tetap Deteksi","Belum Deteksi"))</f>
        <v>Belum Deteksi</v>
      </c>
      <c r="T425" s="143"/>
      <c r="U425" s="9">
        <f t="shared" si="57"/>
        <v>0</v>
      </c>
      <c r="V425" s="11"/>
      <c r="W425" s="143"/>
      <c r="X425" s="143"/>
      <c r="Y425" s="9">
        <f t="shared" si="56"/>
        <v>0</v>
      </c>
      <c r="Z425" s="8" t="str">
        <f t="array" ref="Z425">IF(Y425&gt;5,"Perlu Sensus",IF(AND(Y425&gt;0,,O425&gt;0),"Tetap Deteksi","Belum Deteksi"))</f>
        <v>Belum Deteksi</v>
      </c>
      <c r="AA425" s="143"/>
      <c r="AB425" s="9">
        <f t="shared" si="58"/>
        <v>0</v>
      </c>
    </row>
    <row r="426" spans="1:28" hidden="1" x14ac:dyDescent="0.15">
      <c r="A426" s="8" t="s">
        <v>628</v>
      </c>
      <c r="B426" s="8" t="s">
        <v>47</v>
      </c>
      <c r="C426" s="8" t="s">
        <v>416</v>
      </c>
      <c r="D426" s="8" t="s">
        <v>931</v>
      </c>
      <c r="E426" s="9">
        <v>5.79</v>
      </c>
      <c r="F426" s="8" t="s">
        <v>469</v>
      </c>
      <c r="G426" s="143">
        <f t="array" ref="G426">INDEX('[23]SENSUS MEI'!$G$9:$G$453,MATCH(1,('[23]SENSUS MEI'!$D$9:$D$453=$D426)*('[23]SENSUS MEI'!$D$9:$D$453=$D426),0))</f>
        <v>659</v>
      </c>
      <c r="H426" s="132">
        <f t="shared" si="50"/>
        <v>0</v>
      </c>
      <c r="I426" s="140">
        <f t="shared" si="51"/>
        <v>0</v>
      </c>
      <c r="J426" s="9" t="str">
        <f t="shared" si="52"/>
        <v xml:space="preserve"> </v>
      </c>
      <c r="K426" s="140">
        <f t="shared" si="53"/>
        <v>0</v>
      </c>
      <c r="L426" s="206">
        <f t="shared" si="54"/>
        <v>0</v>
      </c>
      <c r="M426" s="8" t="str">
        <f t="array" ref="M426">IF(L426&gt;5,"Perlu Sensus",IF(AND(L426&gt;=0,I426&gt;0),"Tetap Deteksi","Belum Deteksi"))</f>
        <v>Belum Deteksi</v>
      </c>
      <c r="N426" s="11"/>
      <c r="O426" s="143"/>
      <c r="P426" s="9">
        <f t="array" ref="P426">IFERROR(O426/G426*100,0)</f>
        <v>0</v>
      </c>
      <c r="Q426" s="143"/>
      <c r="R426" s="9">
        <f t="shared" si="55"/>
        <v>0</v>
      </c>
      <c r="S426" s="8" t="str">
        <f t="array" ref="S426">IF(R426&gt;5,"Perlu Sensus",IF(AND(R426&gt;=0,O426&gt;0),"Tetap Deteksi","Belum Deteksi"))</f>
        <v>Belum Deteksi</v>
      </c>
      <c r="T426" s="143"/>
      <c r="U426" s="9">
        <f t="shared" si="57"/>
        <v>0</v>
      </c>
      <c r="V426" s="11"/>
      <c r="W426" s="143"/>
      <c r="X426" s="143"/>
      <c r="Y426" s="9">
        <f t="shared" si="56"/>
        <v>0</v>
      </c>
      <c r="Z426" s="8" t="str">
        <f t="array" ref="Z426">IF(Y426&gt;5,"Perlu Sensus",IF(AND(Y426&gt;0,,O426&gt;0),"Tetap Deteksi","Belum Deteksi"))</f>
        <v>Belum Deteksi</v>
      </c>
      <c r="AA426" s="143"/>
      <c r="AB426" s="9">
        <f t="shared" si="58"/>
        <v>0</v>
      </c>
    </row>
    <row r="427" spans="1:28" hidden="1" x14ac:dyDescent="0.15">
      <c r="A427" s="8" t="s">
        <v>628</v>
      </c>
      <c r="B427" s="8" t="s">
        <v>47</v>
      </c>
      <c r="C427" s="8" t="s">
        <v>416</v>
      </c>
      <c r="D427" s="8" t="s">
        <v>932</v>
      </c>
      <c r="E427" s="9">
        <v>1.43</v>
      </c>
      <c r="F427" s="8" t="s">
        <v>469</v>
      </c>
      <c r="G427" s="143">
        <f t="array" ref="G427">INDEX('[23]SENSUS MEI'!$G$9:$G$453,MATCH(1,('[23]SENSUS MEI'!$D$9:$D$453=$D427)*('[23]SENSUS MEI'!$D$9:$D$453=$D427),0))</f>
        <v>112</v>
      </c>
      <c r="H427" s="132">
        <f t="shared" si="50"/>
        <v>0</v>
      </c>
      <c r="I427" s="140">
        <f t="shared" si="51"/>
        <v>0</v>
      </c>
      <c r="J427" s="9" t="str">
        <f t="shared" si="52"/>
        <v xml:space="preserve"> </v>
      </c>
      <c r="K427" s="140">
        <f t="shared" si="53"/>
        <v>0</v>
      </c>
      <c r="L427" s="206">
        <f t="shared" si="54"/>
        <v>0</v>
      </c>
      <c r="M427" s="8" t="str">
        <f t="array" ref="M427">IF(L427&gt;5,"Perlu Sensus",IF(AND(L427&gt;=0,I427&gt;0),"Tetap Deteksi","Belum Deteksi"))</f>
        <v>Belum Deteksi</v>
      </c>
      <c r="N427" s="11"/>
      <c r="O427" s="143"/>
      <c r="P427" s="9">
        <f t="array" ref="P427">IFERROR(O427/G427*100,0)</f>
        <v>0</v>
      </c>
      <c r="Q427" s="143"/>
      <c r="R427" s="9">
        <f t="shared" si="55"/>
        <v>0</v>
      </c>
      <c r="S427" s="8" t="str">
        <f t="array" ref="S427">IF(R427&gt;5,"Perlu Sensus",IF(AND(R427&gt;=0,O427&gt;0),"Tetap Deteksi","Belum Deteksi"))</f>
        <v>Belum Deteksi</v>
      </c>
      <c r="T427" s="143"/>
      <c r="U427" s="9">
        <f t="shared" si="57"/>
        <v>0</v>
      </c>
      <c r="V427" s="11"/>
      <c r="W427" s="143"/>
      <c r="X427" s="143"/>
      <c r="Y427" s="9">
        <f t="shared" si="56"/>
        <v>0</v>
      </c>
      <c r="Z427" s="8" t="str">
        <f t="array" ref="Z427">IF(Y427&gt;5,"Perlu Sensus",IF(AND(Y427&gt;0,,O427&gt;0),"Tetap Deteksi","Belum Deteksi"))</f>
        <v>Belum Deteksi</v>
      </c>
      <c r="AA427" s="143"/>
      <c r="AB427" s="9">
        <f t="shared" si="58"/>
        <v>0</v>
      </c>
    </row>
    <row r="428" spans="1:28" hidden="1" x14ac:dyDescent="0.15">
      <c r="A428" s="8" t="s">
        <v>628</v>
      </c>
      <c r="B428" s="8" t="s">
        <v>47</v>
      </c>
      <c r="C428" s="8" t="s">
        <v>416</v>
      </c>
      <c r="D428" s="8" t="s">
        <v>126</v>
      </c>
      <c r="E428" s="9">
        <v>3.32</v>
      </c>
      <c r="F428" s="8" t="s">
        <v>469</v>
      </c>
      <c r="G428" s="143">
        <f t="array" ref="G428">INDEX('[23]SENSUS MEI'!$G$9:$G$453,MATCH(1,('[23]SENSUS MEI'!$D$9:$D$453=$D428)*('[23]SENSUS MEI'!$D$9:$D$453=$D428),0))</f>
        <v>469</v>
      </c>
      <c r="H428" s="132">
        <f t="shared" ref="H428:H435" si="59">IF(N428&gt;0,N428,V428)</f>
        <v>0</v>
      </c>
      <c r="I428" s="140">
        <f t="shared" ref="I428:I435" si="60">IF(O428&gt;0,O428,W428)</f>
        <v>0</v>
      </c>
      <c r="J428" s="9" t="str">
        <f t="shared" ref="J428:J435" si="61">IF(P428&gt;0,P428," ")</f>
        <v xml:space="preserve"> </v>
      </c>
      <c r="K428" s="140">
        <f t="shared" ref="K428:K435" si="62">IF(Q428&gt;0,Q428,X428)</f>
        <v>0</v>
      </c>
      <c r="L428" s="206">
        <f t="shared" ref="L428:L435" si="63">IFERROR(K428/I428*100,0)</f>
        <v>0</v>
      </c>
      <c r="M428" s="8" t="str">
        <f t="array" ref="M428">IF(L428&gt;5,"Perlu Sensus",IF(AND(L428&gt;=0,I428&gt;0),"Tetap Deteksi","Belum Deteksi"))</f>
        <v>Belum Deteksi</v>
      </c>
      <c r="N428" s="11"/>
      <c r="O428" s="143"/>
      <c r="P428" s="9">
        <f t="array" ref="P428">IFERROR(O428/G428*100,0)</f>
        <v>0</v>
      </c>
      <c r="Q428" s="143"/>
      <c r="R428" s="9">
        <f t="shared" si="55"/>
        <v>0</v>
      </c>
      <c r="S428" s="8" t="str">
        <f t="array" ref="S428">IF(R428&gt;5,"Perlu Sensus",IF(AND(R428&gt;=0,O428&gt;0),"Tetap Deteksi","Belum Deteksi"))</f>
        <v>Belum Deteksi</v>
      </c>
      <c r="T428" s="143"/>
      <c r="U428" s="9">
        <f t="shared" si="57"/>
        <v>0</v>
      </c>
      <c r="V428" s="11"/>
      <c r="W428" s="143"/>
      <c r="X428" s="143"/>
      <c r="Y428" s="9">
        <f t="shared" si="56"/>
        <v>0</v>
      </c>
      <c r="Z428" s="8" t="str">
        <f t="array" ref="Z428">IF(Y428&gt;5,"Perlu Sensus",IF(AND(Y428&gt;0,,O428&gt;0),"Tetap Deteksi","Belum Deteksi"))</f>
        <v>Belum Deteksi</v>
      </c>
      <c r="AA428" s="143"/>
      <c r="AB428" s="9">
        <f t="shared" si="58"/>
        <v>0</v>
      </c>
    </row>
    <row r="429" spans="1:28" hidden="1" x14ac:dyDescent="0.15">
      <c r="A429" s="8" t="s">
        <v>628</v>
      </c>
      <c r="B429" s="8" t="s">
        <v>47</v>
      </c>
      <c r="C429" s="8" t="s">
        <v>416</v>
      </c>
      <c r="D429" s="8" t="s">
        <v>127</v>
      </c>
      <c r="E429" s="9">
        <v>4.5999999999999996</v>
      </c>
      <c r="F429" s="8" t="s">
        <v>469</v>
      </c>
      <c r="G429" s="143">
        <f t="array" ref="G429">INDEX('[23]SENSUS MEI'!$G$9:$G$453,MATCH(1,('[23]SENSUS MEI'!$D$9:$D$453=$D429)*('[23]SENSUS MEI'!$D$9:$D$453=$D429),0))</f>
        <v>601</v>
      </c>
      <c r="H429" s="132">
        <f t="shared" si="59"/>
        <v>0</v>
      </c>
      <c r="I429" s="140">
        <f t="shared" si="60"/>
        <v>0</v>
      </c>
      <c r="J429" s="9" t="str">
        <f t="shared" si="61"/>
        <v xml:space="preserve"> </v>
      </c>
      <c r="K429" s="140">
        <f t="shared" si="62"/>
        <v>0</v>
      </c>
      <c r="L429" s="206">
        <f t="shared" si="63"/>
        <v>0</v>
      </c>
      <c r="M429" s="8" t="str">
        <f t="array" ref="M429">IF(L429&gt;5,"Perlu Sensus",IF(AND(L429&gt;=0,I429&gt;0),"Tetap Deteksi","Belum Deteksi"))</f>
        <v>Belum Deteksi</v>
      </c>
      <c r="N429" s="11"/>
      <c r="O429" s="143"/>
      <c r="P429" s="9">
        <f t="array" ref="P429">IFERROR(O429/G429*100,0)</f>
        <v>0</v>
      </c>
      <c r="Q429" s="143"/>
      <c r="R429" s="9">
        <f t="shared" si="55"/>
        <v>0</v>
      </c>
      <c r="S429" s="8" t="str">
        <f t="array" ref="S429">IF(R429&gt;5,"Perlu Sensus",IF(AND(R429&gt;=0,O429&gt;0),"Tetap Deteksi","Belum Deteksi"))</f>
        <v>Belum Deteksi</v>
      </c>
      <c r="T429" s="143"/>
      <c r="U429" s="9">
        <f t="shared" si="57"/>
        <v>0</v>
      </c>
      <c r="V429" s="11"/>
      <c r="W429" s="143"/>
      <c r="X429" s="143"/>
      <c r="Y429" s="9">
        <f t="shared" si="56"/>
        <v>0</v>
      </c>
      <c r="Z429" s="8" t="str">
        <f t="array" ref="Z429">IF(Y429&gt;5,"Perlu Sensus",IF(AND(Y429&gt;0,,O429&gt;0),"Tetap Deteksi","Belum Deteksi"))</f>
        <v>Belum Deteksi</v>
      </c>
      <c r="AA429" s="143"/>
      <c r="AB429" s="9">
        <f t="shared" si="58"/>
        <v>0</v>
      </c>
    </row>
    <row r="430" spans="1:28" hidden="1" x14ac:dyDescent="0.15">
      <c r="A430" s="8" t="s">
        <v>628</v>
      </c>
      <c r="B430" s="8" t="s">
        <v>47</v>
      </c>
      <c r="C430" s="8" t="s">
        <v>416</v>
      </c>
      <c r="D430" s="8" t="s">
        <v>128</v>
      </c>
      <c r="E430" s="9">
        <v>10.27</v>
      </c>
      <c r="F430" s="8" t="s">
        <v>469</v>
      </c>
      <c r="G430" s="143">
        <f t="array" ref="G430">INDEX('[23]SENSUS MEI'!$G$9:$G$453,MATCH(1,('[23]SENSUS MEI'!$D$9:$D$453=$D430)*('[23]SENSUS MEI'!$D$9:$D$453=$D430),0))</f>
        <v>1570</v>
      </c>
      <c r="H430" s="132">
        <f t="shared" si="59"/>
        <v>0</v>
      </c>
      <c r="I430" s="140">
        <f t="shared" si="60"/>
        <v>0</v>
      </c>
      <c r="J430" s="9" t="str">
        <f t="shared" si="61"/>
        <v xml:space="preserve"> </v>
      </c>
      <c r="K430" s="140">
        <f t="shared" si="62"/>
        <v>0</v>
      </c>
      <c r="L430" s="206">
        <f t="shared" si="63"/>
        <v>0</v>
      </c>
      <c r="M430" s="8" t="str">
        <f t="array" ref="M430">IF(L430&gt;5,"Perlu Sensus",IF(AND(L430&gt;=0,I430&gt;0),"Tetap Deteksi","Belum Deteksi"))</f>
        <v>Belum Deteksi</v>
      </c>
      <c r="N430" s="11"/>
      <c r="O430" s="143"/>
      <c r="P430" s="9">
        <f t="array" ref="P430">IFERROR(O430/G430*100,0)</f>
        <v>0</v>
      </c>
      <c r="Q430" s="143"/>
      <c r="R430" s="9">
        <f t="shared" si="55"/>
        <v>0</v>
      </c>
      <c r="S430" s="8" t="str">
        <f t="array" ref="S430">IF(R430&gt;5,"Perlu Sensus",IF(AND(R430&gt;=0,O430&gt;0),"Tetap Deteksi","Belum Deteksi"))</f>
        <v>Belum Deteksi</v>
      </c>
      <c r="T430" s="143"/>
      <c r="U430" s="9">
        <f t="shared" si="57"/>
        <v>0</v>
      </c>
      <c r="V430" s="11"/>
      <c r="W430" s="143"/>
      <c r="X430" s="143"/>
      <c r="Y430" s="9">
        <f t="shared" si="56"/>
        <v>0</v>
      </c>
      <c r="Z430" s="8" t="str">
        <f t="array" ref="Z430">IF(Y430&gt;5,"Perlu Sensus",IF(AND(Y430&gt;0,,O430&gt;0),"Tetap Deteksi","Belum Deteksi"))</f>
        <v>Belum Deteksi</v>
      </c>
      <c r="AA430" s="143"/>
      <c r="AB430" s="9">
        <f t="shared" si="58"/>
        <v>0</v>
      </c>
    </row>
    <row r="431" spans="1:28" hidden="1" x14ac:dyDescent="0.15">
      <c r="A431" s="8" t="s">
        <v>628</v>
      </c>
      <c r="B431" s="8" t="s">
        <v>47</v>
      </c>
      <c r="C431" s="8" t="s">
        <v>416</v>
      </c>
      <c r="D431" s="8" t="s">
        <v>129</v>
      </c>
      <c r="E431" s="9">
        <v>15.99</v>
      </c>
      <c r="F431" s="8" t="s">
        <v>469</v>
      </c>
      <c r="G431" s="143">
        <f t="array" ref="G431">INDEX('[23]SENSUS MEI'!$G$9:$G$453,MATCH(1,('[23]SENSUS MEI'!$D$9:$D$453=$D431)*('[23]SENSUS MEI'!$D$9:$D$453=$D431),0))</f>
        <v>2209</v>
      </c>
      <c r="H431" s="132">
        <f t="shared" si="59"/>
        <v>0</v>
      </c>
      <c r="I431" s="140">
        <f t="shared" si="60"/>
        <v>0</v>
      </c>
      <c r="J431" s="9" t="str">
        <f t="shared" si="61"/>
        <v xml:space="preserve"> </v>
      </c>
      <c r="K431" s="140">
        <f t="shared" si="62"/>
        <v>0</v>
      </c>
      <c r="L431" s="206">
        <f t="shared" si="63"/>
        <v>0</v>
      </c>
      <c r="M431" s="8" t="str">
        <f t="array" ref="M431">IF(L431&gt;5,"Perlu Sensus",IF(AND(L431&gt;=0,I431&gt;0),"Tetap Deteksi","Belum Deteksi"))</f>
        <v>Belum Deteksi</v>
      </c>
      <c r="N431" s="11"/>
      <c r="O431" s="143"/>
      <c r="P431" s="9">
        <f t="array" ref="P431">IFERROR(O431/G431*100,0)</f>
        <v>0</v>
      </c>
      <c r="Q431" s="143"/>
      <c r="R431" s="9">
        <f t="shared" si="55"/>
        <v>0</v>
      </c>
      <c r="S431" s="8" t="str">
        <f t="array" ref="S431">IF(R431&gt;5,"Perlu Sensus",IF(AND(R431&gt;=0,O431&gt;0),"Tetap Deteksi","Belum Deteksi"))</f>
        <v>Belum Deteksi</v>
      </c>
      <c r="T431" s="143"/>
      <c r="U431" s="9">
        <f t="shared" si="57"/>
        <v>0</v>
      </c>
      <c r="V431" s="11"/>
      <c r="W431" s="143"/>
      <c r="X431" s="143"/>
      <c r="Y431" s="9">
        <f t="shared" si="56"/>
        <v>0</v>
      </c>
      <c r="Z431" s="8" t="str">
        <f t="array" ref="Z431">IF(Y431&gt;5,"Perlu Sensus",IF(AND(Y431&gt;0,,O431&gt;0),"Tetap Deteksi","Belum Deteksi"))</f>
        <v>Belum Deteksi</v>
      </c>
      <c r="AA431" s="143"/>
      <c r="AB431" s="9">
        <f t="shared" si="58"/>
        <v>0</v>
      </c>
    </row>
    <row r="432" spans="1:28" hidden="1" x14ac:dyDescent="0.15">
      <c r="A432" s="8" t="s">
        <v>628</v>
      </c>
      <c r="B432" s="8" t="s">
        <v>47</v>
      </c>
      <c r="C432" s="8" t="s">
        <v>416</v>
      </c>
      <c r="D432" s="8" t="s">
        <v>130</v>
      </c>
      <c r="E432" s="9">
        <v>33.450000000000003</v>
      </c>
      <c r="F432" s="8" t="s">
        <v>469</v>
      </c>
      <c r="G432" s="143">
        <f t="array" ref="G432">INDEX('[23]SENSUS MEI'!$G$9:$G$453,MATCH(1,('[23]SENSUS MEI'!$D$9:$D$453=$D432)*('[23]SENSUS MEI'!$D$9:$D$453=$D432),0))</f>
        <v>3877</v>
      </c>
      <c r="H432" s="132">
        <f t="shared" si="59"/>
        <v>0</v>
      </c>
      <c r="I432" s="140">
        <f t="shared" si="60"/>
        <v>0</v>
      </c>
      <c r="J432" s="9" t="str">
        <f t="shared" si="61"/>
        <v xml:space="preserve"> </v>
      </c>
      <c r="K432" s="140">
        <f t="shared" si="62"/>
        <v>0</v>
      </c>
      <c r="L432" s="206">
        <f t="shared" si="63"/>
        <v>0</v>
      </c>
      <c r="M432" s="8" t="str">
        <f t="array" ref="M432">IF(L432&gt;5,"Perlu Sensus",IF(AND(L432&gt;=0,I432&gt;0),"Tetap Deteksi","Belum Deteksi"))</f>
        <v>Belum Deteksi</v>
      </c>
      <c r="N432" s="11"/>
      <c r="O432" s="143"/>
      <c r="P432" s="9">
        <f t="array" ref="P432">IFERROR(O432/G432*100,0)</f>
        <v>0</v>
      </c>
      <c r="Q432" s="143"/>
      <c r="R432" s="9">
        <f t="shared" si="55"/>
        <v>0</v>
      </c>
      <c r="S432" s="8" t="str">
        <f t="array" ref="S432">IF(R432&gt;5,"Perlu Sensus",IF(AND(R432&gt;=0,O432&gt;0),"Tetap Deteksi","Belum Deteksi"))</f>
        <v>Belum Deteksi</v>
      </c>
      <c r="T432" s="143"/>
      <c r="U432" s="9">
        <f t="shared" si="57"/>
        <v>0</v>
      </c>
      <c r="V432" s="11"/>
      <c r="W432" s="143"/>
      <c r="X432" s="143"/>
      <c r="Y432" s="9">
        <f t="shared" si="56"/>
        <v>0</v>
      </c>
      <c r="Z432" s="8" t="str">
        <f t="array" ref="Z432">IF(Y432&gt;5,"Perlu Sensus",IF(AND(Y432&gt;0,,O432&gt;0),"Tetap Deteksi","Belum Deteksi"))</f>
        <v>Belum Deteksi</v>
      </c>
      <c r="AA432" s="143"/>
      <c r="AB432" s="9">
        <f t="shared" si="58"/>
        <v>0</v>
      </c>
    </row>
    <row r="433" spans="1:28" hidden="1" x14ac:dyDescent="0.15">
      <c r="A433" s="8" t="s">
        <v>628</v>
      </c>
      <c r="B433" s="8" t="s">
        <v>47</v>
      </c>
      <c r="C433" s="8" t="s">
        <v>416</v>
      </c>
      <c r="D433" s="8" t="s">
        <v>357</v>
      </c>
      <c r="E433" s="9">
        <v>42.71</v>
      </c>
      <c r="F433" s="8" t="s">
        <v>469</v>
      </c>
      <c r="G433" s="143">
        <f t="array" ref="G433">INDEX('[23]SENSUS MEI'!$G$9:$G$453,MATCH(1,('[23]SENSUS MEI'!$D$9:$D$453=$D433)*('[23]SENSUS MEI'!$D$9:$D$453=$D433),0))</f>
        <v>4850</v>
      </c>
      <c r="H433" s="132">
        <f t="shared" si="59"/>
        <v>0</v>
      </c>
      <c r="I433" s="140">
        <f t="shared" si="60"/>
        <v>0</v>
      </c>
      <c r="J433" s="9" t="str">
        <f t="shared" si="61"/>
        <v xml:space="preserve"> </v>
      </c>
      <c r="K433" s="140">
        <f t="shared" si="62"/>
        <v>0</v>
      </c>
      <c r="L433" s="206">
        <f t="shared" si="63"/>
        <v>0</v>
      </c>
      <c r="M433" s="8" t="str">
        <f t="array" ref="M433">IF(L433&gt;5,"Perlu Sensus",IF(AND(L433&gt;=0,I433&gt;0),"Tetap Deteksi","Belum Deteksi"))</f>
        <v>Belum Deteksi</v>
      </c>
      <c r="N433" s="11"/>
      <c r="O433" s="143"/>
      <c r="P433" s="9">
        <f t="array" ref="P433">IFERROR(O433/G433*100,0)</f>
        <v>0</v>
      </c>
      <c r="Q433" s="143"/>
      <c r="R433" s="9">
        <f t="shared" si="55"/>
        <v>0</v>
      </c>
      <c r="S433" s="8" t="str">
        <f t="array" ref="S433">IF(R433&gt;5,"Perlu Sensus",IF(AND(R433&gt;=0,O433&gt;0),"Tetap Deteksi","Belum Deteksi"))</f>
        <v>Belum Deteksi</v>
      </c>
      <c r="T433" s="143"/>
      <c r="U433" s="9">
        <f t="shared" si="57"/>
        <v>0</v>
      </c>
      <c r="V433" s="11"/>
      <c r="W433" s="143"/>
      <c r="X433" s="143"/>
      <c r="Y433" s="9">
        <f t="shared" si="56"/>
        <v>0</v>
      </c>
      <c r="Z433" s="8" t="str">
        <f t="array" ref="Z433">IF(Y433&gt;5,"Perlu Sensus",IF(AND(Y433&gt;0,,O433&gt;0),"Tetap Deteksi","Belum Deteksi"))</f>
        <v>Belum Deteksi</v>
      </c>
      <c r="AA433" s="143"/>
      <c r="AB433" s="9">
        <f t="shared" si="58"/>
        <v>0</v>
      </c>
    </row>
    <row r="434" spans="1:28" hidden="1" x14ac:dyDescent="0.15">
      <c r="A434" s="8" t="s">
        <v>628</v>
      </c>
      <c r="B434" s="8" t="s">
        <v>47</v>
      </c>
      <c r="C434" s="8" t="s">
        <v>416</v>
      </c>
      <c r="D434" s="8" t="s">
        <v>358</v>
      </c>
      <c r="E434" s="9">
        <v>11.78</v>
      </c>
      <c r="F434" s="8" t="s">
        <v>469</v>
      </c>
      <c r="G434" s="143">
        <f t="array" ref="G434">INDEX('[23]SENSUS MEI'!$G$9:$G$453,MATCH(1,('[23]SENSUS MEI'!$D$9:$D$453=$D434)*('[23]SENSUS MEI'!$D$9:$D$453=$D434),0))</f>
        <v>1559</v>
      </c>
      <c r="H434" s="132">
        <f t="shared" si="59"/>
        <v>0</v>
      </c>
      <c r="I434" s="140">
        <f t="shared" si="60"/>
        <v>0</v>
      </c>
      <c r="J434" s="9" t="str">
        <f t="shared" si="61"/>
        <v xml:space="preserve"> </v>
      </c>
      <c r="K434" s="140">
        <f t="shared" si="62"/>
        <v>0</v>
      </c>
      <c r="L434" s="206">
        <f t="shared" si="63"/>
        <v>0</v>
      </c>
      <c r="M434" s="8" t="str">
        <f t="array" ref="M434">IF(L434&gt;5,"Perlu Sensus",IF(AND(L434&gt;=0,I434&gt;0),"Tetap Deteksi","Belum Deteksi"))</f>
        <v>Belum Deteksi</v>
      </c>
      <c r="N434" s="11"/>
      <c r="O434" s="143"/>
      <c r="P434" s="9">
        <f t="array" ref="P434">IFERROR(O434/G434*100,0)</f>
        <v>0</v>
      </c>
      <c r="Q434" s="143"/>
      <c r="R434" s="9">
        <f t="shared" si="55"/>
        <v>0</v>
      </c>
      <c r="S434" s="8" t="str">
        <f t="array" ref="S434">IF(R434&gt;5,"Perlu Sensus",IF(AND(R434&gt;=0,O434&gt;0),"Tetap Deteksi","Belum Deteksi"))</f>
        <v>Belum Deteksi</v>
      </c>
      <c r="T434" s="143"/>
      <c r="U434" s="9">
        <f t="shared" si="57"/>
        <v>0</v>
      </c>
      <c r="V434" s="11"/>
      <c r="W434" s="143"/>
      <c r="X434" s="143"/>
      <c r="Y434" s="9">
        <f t="shared" si="56"/>
        <v>0</v>
      </c>
      <c r="Z434" s="8" t="str">
        <f t="array" ref="Z434">IF(Y434&gt;5,"Perlu Sensus",IF(AND(Y434&gt;0,,O434&gt;0),"Tetap Deteksi","Belum Deteksi"))</f>
        <v>Belum Deteksi</v>
      </c>
      <c r="AA434" s="143"/>
      <c r="AB434" s="9">
        <f t="shared" si="58"/>
        <v>0</v>
      </c>
    </row>
    <row r="435" spans="1:28" hidden="1" x14ac:dyDescent="0.15">
      <c r="A435" s="8" t="s">
        <v>628</v>
      </c>
      <c r="B435" s="8" t="s">
        <v>47</v>
      </c>
      <c r="C435" s="8" t="s">
        <v>416</v>
      </c>
      <c r="D435" s="8" t="s">
        <v>359</v>
      </c>
      <c r="E435" s="9">
        <v>11.37</v>
      </c>
      <c r="F435" s="8" t="s">
        <v>469</v>
      </c>
      <c r="G435" s="143">
        <f t="array" ref="G435">INDEX('[23]SENSUS MEI'!$G$9:$G$453,MATCH(1,('[23]SENSUS MEI'!$D$9:$D$453=$D435)*('[23]SENSUS MEI'!$D$9:$D$453=$D435),0))</f>
        <v>1122</v>
      </c>
      <c r="H435" s="132">
        <f t="shared" si="59"/>
        <v>0</v>
      </c>
      <c r="I435" s="140">
        <f t="shared" si="60"/>
        <v>0</v>
      </c>
      <c r="J435" s="9" t="str">
        <f t="shared" si="61"/>
        <v xml:space="preserve"> </v>
      </c>
      <c r="K435" s="140">
        <f t="shared" si="62"/>
        <v>0</v>
      </c>
      <c r="L435" s="206">
        <f t="shared" si="63"/>
        <v>0</v>
      </c>
      <c r="M435" s="8" t="str">
        <f t="array" ref="M435">IF(L435&gt;5,"Perlu Sensus",IF(AND(L435&gt;=0,I435&gt;0),"Tetap Deteksi","Belum Deteksi"))</f>
        <v>Belum Deteksi</v>
      </c>
      <c r="N435" s="11"/>
      <c r="O435" s="143"/>
      <c r="P435" s="9">
        <f t="array" ref="P435">IFERROR(O435/G435*100,0)</f>
        <v>0</v>
      </c>
      <c r="Q435" s="143"/>
      <c r="R435" s="9">
        <f t="shared" si="55"/>
        <v>0</v>
      </c>
      <c r="S435" s="8" t="str">
        <f t="array" ref="S435">IF(R435&gt;5,"Perlu Sensus",IF(AND(R435&gt;=0,O435&gt;0),"Tetap Deteksi","Belum Deteksi"))</f>
        <v>Belum Deteksi</v>
      </c>
      <c r="T435" s="143"/>
      <c r="U435" s="9">
        <f t="shared" si="57"/>
        <v>0</v>
      </c>
      <c r="V435" s="11"/>
      <c r="W435" s="143"/>
      <c r="X435" s="143"/>
      <c r="Y435" s="9">
        <f t="shared" si="56"/>
        <v>0</v>
      </c>
      <c r="Z435" s="8" t="str">
        <f t="array" ref="Z435">IF(Y435&gt;5,"Perlu Sensus",IF(AND(Y435&gt;0,,O435&gt;0),"Tetap Deteksi","Belum Deteksi"))</f>
        <v>Belum Deteksi</v>
      </c>
      <c r="AA435" s="143"/>
      <c r="AB435" s="9">
        <f t="shared" si="58"/>
        <v>0</v>
      </c>
    </row>
    <row r="436" spans="1:28" x14ac:dyDescent="0.15">
      <c r="A436" s="8"/>
      <c r="B436" s="8"/>
      <c r="C436" s="8"/>
      <c r="D436" s="8"/>
      <c r="E436" s="9"/>
      <c r="F436" s="8"/>
      <c r="G436" s="10"/>
      <c r="H436" s="10"/>
      <c r="I436" s="10"/>
      <c r="J436" s="10"/>
      <c r="K436" s="10"/>
      <c r="L436" s="10"/>
      <c r="M436" s="10"/>
      <c r="N436" s="11"/>
      <c r="O436" s="8"/>
      <c r="P436" s="9"/>
      <c r="Q436" s="8"/>
      <c r="R436" s="9"/>
      <c r="S436" s="8"/>
      <c r="T436" s="8"/>
      <c r="U436" s="8"/>
      <c r="V436" s="11"/>
      <c r="W436" s="8"/>
      <c r="X436" s="8"/>
      <c r="Y436" s="9"/>
      <c r="Z436" s="8"/>
    </row>
    <row r="437" spans="1:28" x14ac:dyDescent="0.15">
      <c r="A437" s="8"/>
      <c r="B437" s="8"/>
      <c r="C437" s="8"/>
      <c r="D437" s="8"/>
      <c r="E437" s="9"/>
      <c r="F437" s="8"/>
      <c r="G437" s="10"/>
      <c r="H437" s="10"/>
      <c r="I437" s="10"/>
      <c r="J437" s="10"/>
      <c r="K437" s="10"/>
      <c r="L437" s="10"/>
      <c r="M437" s="10"/>
      <c r="N437" s="11"/>
      <c r="O437" s="8"/>
      <c r="P437" s="9"/>
      <c r="Q437" s="8"/>
      <c r="R437" s="9"/>
      <c r="S437" s="8"/>
      <c r="T437" s="8"/>
      <c r="U437" s="8"/>
      <c r="V437" s="11"/>
      <c r="W437" s="8"/>
      <c r="X437" s="8"/>
      <c r="Y437" s="9"/>
      <c r="Z437" s="8"/>
    </row>
    <row r="438" spans="1:28" x14ac:dyDescent="0.15">
      <c r="A438" s="8"/>
      <c r="B438" s="8"/>
      <c r="C438" s="8"/>
      <c r="D438" s="8"/>
      <c r="E438" s="9"/>
      <c r="F438" s="8"/>
      <c r="G438" s="10"/>
      <c r="H438" s="10"/>
      <c r="I438" s="10"/>
      <c r="J438" s="10"/>
      <c r="K438" s="10"/>
      <c r="L438" s="10"/>
      <c r="M438" s="10"/>
      <c r="N438" s="11"/>
      <c r="O438" s="8"/>
      <c r="P438" s="9"/>
      <c r="Q438" s="8"/>
      <c r="R438" s="9"/>
      <c r="S438" s="8"/>
      <c r="T438" s="8"/>
      <c r="U438" s="8"/>
      <c r="V438" s="11"/>
      <c r="W438" s="8"/>
      <c r="X438" s="8"/>
      <c r="Y438" s="9"/>
      <c r="Z438" s="8"/>
    </row>
    <row r="439" spans="1:28" x14ac:dyDescent="0.15">
      <c r="A439" s="8"/>
      <c r="B439" s="8"/>
      <c r="C439" s="8"/>
      <c r="D439" s="8"/>
      <c r="E439" s="9"/>
      <c r="F439" s="8"/>
      <c r="G439" s="10"/>
      <c r="H439" s="10"/>
      <c r="I439" s="10"/>
      <c r="J439" s="10"/>
      <c r="K439" s="10"/>
      <c r="L439" s="10"/>
      <c r="M439" s="10"/>
      <c r="N439" s="11"/>
      <c r="O439" s="8"/>
      <c r="P439" s="9"/>
      <c r="Q439" s="8"/>
      <c r="R439" s="9"/>
      <c r="S439" s="8"/>
      <c r="T439" s="8"/>
      <c r="U439" s="8"/>
      <c r="V439" s="11"/>
      <c r="W439" s="8"/>
      <c r="X439" s="8"/>
      <c r="Y439" s="9"/>
      <c r="Z439" s="8"/>
    </row>
    <row r="440" spans="1:28" x14ac:dyDescent="0.15">
      <c r="A440" s="8"/>
      <c r="B440" s="8"/>
      <c r="C440" s="8"/>
      <c r="D440" s="8"/>
      <c r="E440" s="9"/>
      <c r="F440" s="8"/>
      <c r="G440" s="10"/>
      <c r="H440" s="10"/>
      <c r="I440" s="10"/>
      <c r="J440" s="10"/>
      <c r="K440" s="10"/>
      <c r="L440" s="10"/>
      <c r="M440" s="10"/>
      <c r="N440" s="11"/>
      <c r="O440" s="8"/>
      <c r="P440" s="9"/>
      <c r="Q440" s="8"/>
      <c r="R440" s="9"/>
      <c r="S440" s="8"/>
      <c r="T440" s="8"/>
      <c r="U440" s="8"/>
      <c r="V440" s="11"/>
      <c r="W440" s="8"/>
      <c r="X440" s="8"/>
      <c r="Y440" s="9"/>
      <c r="Z440" s="8"/>
    </row>
    <row r="441" spans="1:28" x14ac:dyDescent="0.15">
      <c r="A441" s="8"/>
      <c r="B441" s="8"/>
      <c r="C441" s="8"/>
      <c r="D441" s="8"/>
      <c r="E441" s="9"/>
      <c r="F441" s="8"/>
      <c r="G441" s="10"/>
      <c r="H441" s="10"/>
      <c r="I441" s="10"/>
      <c r="J441" s="10"/>
      <c r="K441" s="10"/>
      <c r="L441" s="10"/>
      <c r="M441" s="10"/>
      <c r="N441" s="11"/>
      <c r="O441" s="8"/>
      <c r="P441" s="9"/>
      <c r="Q441" s="8"/>
      <c r="R441" s="9"/>
      <c r="S441" s="8"/>
      <c r="T441" s="8"/>
      <c r="U441" s="8"/>
      <c r="V441" s="11"/>
      <c r="W441" s="8"/>
      <c r="X441" s="8"/>
      <c r="Y441" s="9"/>
      <c r="Z441" s="8"/>
    </row>
    <row r="442" spans="1:28" x14ac:dyDescent="0.15">
      <c r="A442" s="8"/>
      <c r="B442" s="8"/>
      <c r="C442" s="8"/>
      <c r="D442" s="8"/>
      <c r="E442" s="9"/>
      <c r="F442" s="8"/>
      <c r="G442" s="10"/>
      <c r="H442" s="10"/>
      <c r="I442" s="10"/>
      <c r="J442" s="10"/>
      <c r="K442" s="10"/>
      <c r="L442" s="10"/>
      <c r="M442" s="10"/>
      <c r="N442" s="11"/>
      <c r="O442" s="8"/>
      <c r="P442" s="9"/>
      <c r="Q442" s="8"/>
      <c r="R442" s="9"/>
      <c r="S442" s="8"/>
      <c r="T442" s="8"/>
      <c r="U442" s="8"/>
      <c r="V442" s="11"/>
      <c r="W442" s="8"/>
      <c r="X442" s="8"/>
      <c r="Y442" s="9"/>
      <c r="Z442" s="8"/>
    </row>
    <row r="443" spans="1:28" x14ac:dyDescent="0.15">
      <c r="A443" s="8"/>
      <c r="B443" s="8"/>
      <c r="C443" s="8"/>
      <c r="D443" s="8"/>
      <c r="E443" s="9"/>
      <c r="F443" s="8"/>
      <c r="G443" s="10"/>
      <c r="H443" s="10"/>
      <c r="I443" s="10"/>
      <c r="J443" s="10"/>
      <c r="K443" s="10"/>
      <c r="L443" s="10"/>
      <c r="M443" s="10"/>
      <c r="N443" s="11"/>
      <c r="O443" s="8"/>
      <c r="P443" s="9"/>
      <c r="Q443" s="8"/>
      <c r="R443" s="9"/>
      <c r="S443" s="8"/>
      <c r="T443" s="8"/>
      <c r="U443" s="8"/>
      <c r="V443" s="11"/>
      <c r="W443" s="8"/>
      <c r="X443" s="8"/>
      <c r="Y443" s="9"/>
      <c r="Z443" s="8"/>
    </row>
    <row r="444" spans="1:28" x14ac:dyDescent="0.15">
      <c r="A444" s="8"/>
      <c r="B444" s="8"/>
      <c r="C444" s="8"/>
      <c r="D444" s="8"/>
      <c r="E444" s="9"/>
      <c r="F444" s="8"/>
      <c r="G444" s="10"/>
      <c r="H444" s="10"/>
      <c r="I444" s="10"/>
      <c r="J444" s="10"/>
      <c r="K444" s="10"/>
      <c r="L444" s="10"/>
      <c r="M444" s="10"/>
      <c r="N444" s="11"/>
      <c r="O444" s="8"/>
      <c r="P444" s="9"/>
      <c r="Q444" s="8"/>
      <c r="R444" s="9"/>
      <c r="S444" s="8"/>
      <c r="T444" s="8"/>
      <c r="U444" s="8"/>
      <c r="V444" s="11"/>
      <c r="W444" s="8"/>
      <c r="X444" s="8"/>
      <c r="Y444" s="9"/>
      <c r="Z444" s="8"/>
    </row>
    <row r="445" spans="1:28" x14ac:dyDescent="0.15">
      <c r="A445" s="8"/>
      <c r="B445" s="8"/>
      <c r="C445" s="8"/>
      <c r="D445" s="8"/>
      <c r="E445" s="9"/>
      <c r="F445" s="8"/>
      <c r="G445" s="10"/>
      <c r="H445" s="10"/>
      <c r="I445" s="10"/>
      <c r="J445" s="10"/>
      <c r="K445" s="10"/>
      <c r="L445" s="10"/>
      <c r="M445" s="10"/>
      <c r="N445" s="11"/>
      <c r="O445" s="8"/>
      <c r="P445" s="9"/>
      <c r="Q445" s="8"/>
      <c r="R445" s="9"/>
      <c r="S445" s="8"/>
      <c r="T445" s="8"/>
      <c r="U445" s="8"/>
      <c r="V445" s="11"/>
      <c r="W445" s="8"/>
      <c r="X445" s="8"/>
      <c r="Y445" s="9"/>
      <c r="Z445" s="8"/>
    </row>
    <row r="446" spans="1:28" x14ac:dyDescent="0.15">
      <c r="A446" s="8"/>
      <c r="B446" s="8"/>
      <c r="C446" s="8"/>
      <c r="D446" s="8"/>
      <c r="E446" s="9"/>
      <c r="F446" s="8"/>
      <c r="G446" s="10"/>
      <c r="H446" s="10"/>
      <c r="I446" s="10"/>
      <c r="J446" s="10"/>
      <c r="K446" s="10"/>
      <c r="L446" s="10"/>
      <c r="M446" s="10"/>
      <c r="N446" s="11"/>
      <c r="O446" s="8"/>
      <c r="P446" s="9"/>
      <c r="Q446" s="8"/>
      <c r="R446" s="9"/>
      <c r="S446" s="8"/>
      <c r="T446" s="8"/>
      <c r="U446" s="8"/>
      <c r="V446" s="11"/>
      <c r="W446" s="8"/>
      <c r="X446" s="8"/>
      <c r="Y446" s="9"/>
      <c r="Z446" s="8"/>
    </row>
    <row r="447" spans="1:28" x14ac:dyDescent="0.15">
      <c r="A447" s="8"/>
      <c r="B447" s="8"/>
      <c r="C447" s="8"/>
      <c r="D447" s="8"/>
      <c r="E447" s="9"/>
      <c r="F447" s="8"/>
      <c r="G447" s="10"/>
      <c r="H447" s="10"/>
      <c r="I447" s="10"/>
      <c r="J447" s="10"/>
      <c r="K447" s="10"/>
      <c r="L447" s="10"/>
      <c r="M447" s="10"/>
      <c r="N447" s="11"/>
      <c r="O447" s="8"/>
      <c r="P447" s="9"/>
      <c r="Q447" s="8"/>
      <c r="R447" s="9"/>
      <c r="S447" s="8"/>
      <c r="T447" s="8"/>
      <c r="U447" s="8"/>
      <c r="V447" s="11"/>
      <c r="W447" s="8"/>
      <c r="X447" s="8"/>
      <c r="Y447" s="9"/>
      <c r="Z447" s="8"/>
    </row>
    <row r="448" spans="1:28" x14ac:dyDescent="0.15">
      <c r="A448" s="8"/>
      <c r="B448" s="8"/>
      <c r="C448" s="8"/>
      <c r="D448" s="8"/>
      <c r="E448" s="9"/>
      <c r="F448" s="8"/>
      <c r="G448" s="10"/>
      <c r="H448" s="10"/>
      <c r="I448" s="10"/>
      <c r="J448" s="10"/>
      <c r="K448" s="10"/>
      <c r="L448" s="10"/>
      <c r="M448" s="10"/>
      <c r="N448" s="11"/>
      <c r="O448" s="8"/>
      <c r="P448" s="9"/>
      <c r="Q448" s="8"/>
      <c r="R448" s="9"/>
      <c r="S448" s="8"/>
      <c r="T448" s="8"/>
      <c r="U448" s="8"/>
      <c r="V448" s="11"/>
      <c r="W448" s="8"/>
      <c r="X448" s="8"/>
      <c r="Y448" s="9"/>
      <c r="Z448" s="8"/>
    </row>
    <row r="449" spans="1:26" x14ac:dyDescent="0.15">
      <c r="A449" s="8"/>
      <c r="B449" s="8"/>
      <c r="C449" s="8"/>
      <c r="D449" s="8"/>
      <c r="E449" s="9"/>
      <c r="F449" s="8"/>
      <c r="G449" s="10"/>
      <c r="H449" s="10"/>
      <c r="I449" s="10"/>
      <c r="J449" s="10"/>
      <c r="K449" s="10"/>
      <c r="L449" s="10"/>
      <c r="M449" s="10"/>
      <c r="N449" s="11"/>
      <c r="O449" s="8"/>
      <c r="P449" s="9"/>
      <c r="Q449" s="8"/>
      <c r="R449" s="9"/>
      <c r="S449" s="8"/>
      <c r="T449" s="8"/>
      <c r="U449" s="8"/>
      <c r="V449" s="11"/>
      <c r="W449" s="8"/>
      <c r="X449" s="8"/>
      <c r="Y449" s="9"/>
      <c r="Z449" s="8"/>
    </row>
    <row r="450" spans="1:26" x14ac:dyDescent="0.15">
      <c r="A450" s="8"/>
      <c r="B450" s="8"/>
      <c r="C450" s="8"/>
      <c r="D450" s="8"/>
      <c r="E450" s="9"/>
      <c r="F450" s="8"/>
      <c r="G450" s="10"/>
      <c r="H450" s="10"/>
      <c r="I450" s="10"/>
      <c r="J450" s="10"/>
      <c r="K450" s="10"/>
      <c r="L450" s="10"/>
      <c r="M450" s="10"/>
      <c r="N450" s="11"/>
      <c r="O450" s="8"/>
      <c r="P450" s="9"/>
      <c r="Q450" s="8"/>
      <c r="R450" s="9"/>
      <c r="S450" s="8"/>
      <c r="T450" s="8"/>
      <c r="U450" s="8"/>
      <c r="V450" s="11"/>
      <c r="W450" s="8"/>
      <c r="X450" s="8"/>
      <c r="Y450" s="9"/>
      <c r="Z450" s="8"/>
    </row>
    <row r="451" spans="1:26" x14ac:dyDescent="0.15">
      <c r="A451" s="8"/>
      <c r="B451" s="8"/>
      <c r="C451" s="8"/>
      <c r="D451" s="8"/>
      <c r="E451" s="9"/>
      <c r="F451" s="8"/>
      <c r="G451" s="10"/>
      <c r="H451" s="10"/>
      <c r="I451" s="10"/>
      <c r="J451" s="10"/>
      <c r="K451" s="10"/>
      <c r="L451" s="10"/>
      <c r="M451" s="10"/>
      <c r="N451" s="11"/>
      <c r="O451" s="8"/>
      <c r="P451" s="9"/>
      <c r="Q451" s="8"/>
      <c r="R451" s="9"/>
      <c r="S451" s="8"/>
      <c r="T451" s="8"/>
      <c r="U451" s="8"/>
      <c r="V451" s="11"/>
      <c r="W451" s="8"/>
      <c r="X451" s="8"/>
      <c r="Y451" s="9"/>
      <c r="Z451" s="8"/>
    </row>
    <row r="452" spans="1:26" x14ac:dyDescent="0.15">
      <c r="A452" s="8"/>
      <c r="B452" s="8"/>
      <c r="C452" s="8"/>
      <c r="D452" s="8"/>
      <c r="E452" s="9"/>
      <c r="F452" s="8"/>
      <c r="G452" s="10"/>
      <c r="H452" s="10"/>
      <c r="I452" s="10"/>
      <c r="J452" s="10"/>
      <c r="K452" s="10"/>
      <c r="L452" s="10"/>
      <c r="M452" s="10"/>
      <c r="N452" s="11"/>
      <c r="O452" s="8"/>
      <c r="P452" s="9"/>
      <c r="Q452" s="8"/>
      <c r="R452" s="9"/>
      <c r="S452" s="8"/>
      <c r="T452" s="8"/>
      <c r="U452" s="8"/>
      <c r="V452" s="11"/>
      <c r="W452" s="8"/>
      <c r="X452" s="8"/>
      <c r="Y452" s="9"/>
      <c r="Z452" s="8"/>
    </row>
    <row r="453" spans="1:26" x14ac:dyDescent="0.15">
      <c r="A453" s="8"/>
      <c r="B453" s="8"/>
      <c r="C453" s="8"/>
      <c r="D453" s="8"/>
      <c r="E453" s="9"/>
      <c r="F453" s="8"/>
      <c r="G453" s="10"/>
      <c r="H453" s="10"/>
      <c r="I453" s="10"/>
      <c r="J453" s="10"/>
      <c r="K453" s="10"/>
      <c r="L453" s="10"/>
      <c r="M453" s="10"/>
      <c r="N453" s="11"/>
      <c r="O453" s="8"/>
      <c r="P453" s="9"/>
      <c r="Q453" s="8"/>
      <c r="R453" s="9"/>
      <c r="S453" s="8"/>
      <c r="T453" s="8"/>
      <c r="U453" s="8"/>
      <c r="V453" s="11"/>
      <c r="W453" s="8"/>
      <c r="X453" s="8"/>
      <c r="Y453" s="9"/>
      <c r="Z453" s="8"/>
    </row>
    <row r="454" spans="1:26" x14ac:dyDescent="0.15">
      <c r="A454" s="8"/>
      <c r="B454" s="8"/>
      <c r="C454" s="8"/>
      <c r="D454" s="8"/>
      <c r="E454" s="9"/>
      <c r="F454" s="8"/>
      <c r="G454" s="10"/>
      <c r="H454" s="10"/>
      <c r="I454" s="10"/>
      <c r="J454" s="10"/>
      <c r="K454" s="10"/>
      <c r="L454" s="10"/>
      <c r="M454" s="10"/>
      <c r="N454" s="11"/>
      <c r="O454" s="8"/>
      <c r="P454" s="9"/>
      <c r="Q454" s="8"/>
      <c r="R454" s="9"/>
      <c r="S454" s="8"/>
      <c r="T454" s="8"/>
      <c r="U454" s="8"/>
      <c r="V454" s="11"/>
      <c r="W454" s="8"/>
      <c r="X454" s="8"/>
      <c r="Y454" s="9"/>
      <c r="Z454" s="8"/>
    </row>
    <row r="455" spans="1:26" x14ac:dyDescent="0.15">
      <c r="A455" s="8"/>
      <c r="B455" s="8"/>
      <c r="C455" s="8"/>
      <c r="D455" s="8"/>
      <c r="E455" s="9"/>
      <c r="F455" s="8"/>
      <c r="G455" s="10"/>
      <c r="H455" s="10"/>
      <c r="I455" s="10"/>
      <c r="J455" s="10"/>
      <c r="K455" s="10"/>
      <c r="L455" s="10"/>
      <c r="M455" s="10"/>
      <c r="N455" s="11"/>
      <c r="O455" s="8"/>
      <c r="P455" s="9"/>
      <c r="Q455" s="8"/>
      <c r="R455" s="9"/>
      <c r="S455" s="8"/>
      <c r="T455" s="8"/>
      <c r="U455" s="8"/>
      <c r="V455" s="11"/>
      <c r="W455" s="8"/>
      <c r="X455" s="8"/>
      <c r="Y455" s="9"/>
      <c r="Z455" s="8"/>
    </row>
    <row r="456" spans="1:26" x14ac:dyDescent="0.15">
      <c r="A456" s="8"/>
      <c r="B456" s="8"/>
      <c r="C456" s="8"/>
      <c r="D456" s="8"/>
      <c r="E456" s="9"/>
      <c r="F456" s="8"/>
      <c r="G456" s="10"/>
      <c r="H456" s="10"/>
      <c r="I456" s="10"/>
      <c r="J456" s="10"/>
      <c r="K456" s="10"/>
      <c r="L456" s="10"/>
      <c r="M456" s="10"/>
      <c r="N456" s="11"/>
      <c r="O456" s="8"/>
      <c r="P456" s="9"/>
      <c r="Q456" s="8"/>
      <c r="R456" s="9"/>
      <c r="S456" s="8"/>
      <c r="T456" s="8"/>
      <c r="U456" s="8"/>
      <c r="V456" s="11"/>
      <c r="W456" s="8"/>
      <c r="X456" s="8"/>
      <c r="Y456" s="9"/>
      <c r="Z456" s="8"/>
    </row>
    <row r="457" spans="1:26" x14ac:dyDescent="0.15">
      <c r="A457" s="8"/>
      <c r="B457" s="8"/>
      <c r="C457" s="8"/>
      <c r="D457" s="8"/>
      <c r="E457" s="9"/>
      <c r="F457" s="8"/>
      <c r="G457" s="10"/>
      <c r="H457" s="10"/>
      <c r="I457" s="10"/>
      <c r="J457" s="10"/>
      <c r="K457" s="10"/>
      <c r="L457" s="10"/>
      <c r="M457" s="10"/>
      <c r="N457" s="11"/>
      <c r="O457" s="8"/>
      <c r="P457" s="9"/>
      <c r="Q457" s="8"/>
      <c r="R457" s="9"/>
      <c r="S457" s="8"/>
      <c r="T457" s="8"/>
      <c r="U457" s="8"/>
      <c r="V457" s="11"/>
      <c r="W457" s="8"/>
      <c r="X457" s="8"/>
      <c r="Y457" s="9"/>
      <c r="Z457" s="8"/>
    </row>
    <row r="458" spans="1:26" x14ac:dyDescent="0.15">
      <c r="A458" s="8"/>
      <c r="B458" s="8"/>
      <c r="C458" s="8"/>
      <c r="D458" s="8"/>
      <c r="E458" s="9"/>
      <c r="F458" s="8"/>
      <c r="G458" s="10"/>
      <c r="H458" s="10"/>
      <c r="I458" s="10"/>
      <c r="J458" s="10"/>
      <c r="K458" s="10"/>
      <c r="L458" s="10"/>
      <c r="M458" s="10"/>
      <c r="N458" s="11"/>
      <c r="O458" s="8"/>
      <c r="P458" s="9"/>
      <c r="Q458" s="8"/>
      <c r="R458" s="9"/>
      <c r="S458" s="8"/>
      <c r="T458" s="8"/>
      <c r="U458" s="8"/>
      <c r="V458" s="11"/>
      <c r="W458" s="8"/>
      <c r="X458" s="8"/>
      <c r="Y458" s="9"/>
      <c r="Z458" s="8"/>
    </row>
    <row r="459" spans="1:26" x14ac:dyDescent="0.15">
      <c r="A459" s="8"/>
      <c r="B459" s="8"/>
      <c r="C459" s="8"/>
      <c r="D459" s="8"/>
      <c r="E459" s="9"/>
      <c r="F459" s="8"/>
      <c r="G459" s="10"/>
      <c r="H459" s="10"/>
      <c r="I459" s="10"/>
      <c r="J459" s="10"/>
      <c r="K459" s="10"/>
      <c r="L459" s="10"/>
      <c r="M459" s="10"/>
      <c r="N459" s="11"/>
      <c r="O459" s="8"/>
      <c r="P459" s="9"/>
      <c r="Q459" s="8"/>
      <c r="R459" s="9"/>
      <c r="S459" s="8"/>
      <c r="T459" s="8"/>
      <c r="U459" s="8"/>
      <c r="V459" s="11"/>
      <c r="W459" s="8"/>
      <c r="X459" s="8"/>
      <c r="Y459" s="9"/>
      <c r="Z459" s="8"/>
    </row>
    <row r="460" spans="1:26" x14ac:dyDescent="0.15">
      <c r="A460" s="8"/>
      <c r="B460" s="8"/>
      <c r="C460" s="8"/>
      <c r="D460" s="8"/>
      <c r="E460" s="9"/>
      <c r="F460" s="8"/>
      <c r="G460" s="10"/>
      <c r="H460" s="10"/>
      <c r="I460" s="10"/>
      <c r="J460" s="10"/>
      <c r="K460" s="10"/>
      <c r="L460" s="10"/>
      <c r="M460" s="10"/>
      <c r="N460" s="11"/>
      <c r="O460" s="8"/>
      <c r="P460" s="9"/>
      <c r="Q460" s="8"/>
      <c r="R460" s="9"/>
      <c r="S460" s="8"/>
      <c r="T460" s="8"/>
      <c r="U460" s="8"/>
      <c r="V460" s="11"/>
      <c r="W460" s="8"/>
      <c r="X460" s="8"/>
      <c r="Y460" s="9"/>
      <c r="Z460" s="8"/>
    </row>
    <row r="461" spans="1:26" x14ac:dyDescent="0.15">
      <c r="A461" s="8"/>
      <c r="B461" s="8"/>
      <c r="C461" s="8"/>
      <c r="D461" s="8"/>
      <c r="E461" s="9"/>
      <c r="F461" s="8"/>
      <c r="G461" s="10"/>
      <c r="H461" s="10"/>
      <c r="I461" s="10"/>
      <c r="J461" s="10"/>
      <c r="K461" s="10"/>
      <c r="L461" s="10"/>
      <c r="M461" s="10"/>
      <c r="N461" s="11"/>
      <c r="O461" s="8"/>
      <c r="P461" s="9"/>
      <c r="Q461" s="8"/>
      <c r="R461" s="9"/>
      <c r="S461" s="8"/>
      <c r="T461" s="8"/>
      <c r="U461" s="8"/>
      <c r="V461" s="11"/>
      <c r="W461" s="8"/>
      <c r="X461" s="8"/>
      <c r="Y461" s="9"/>
      <c r="Z461" s="8"/>
    </row>
    <row r="462" spans="1:26" x14ac:dyDescent="0.15">
      <c r="A462" s="8"/>
      <c r="B462" s="8"/>
      <c r="C462" s="8"/>
      <c r="D462" s="8"/>
      <c r="E462" s="9"/>
      <c r="F462" s="8"/>
      <c r="G462" s="10"/>
      <c r="H462" s="10"/>
      <c r="I462" s="10"/>
      <c r="J462" s="10"/>
      <c r="K462" s="10"/>
      <c r="L462" s="10"/>
      <c r="M462" s="10"/>
      <c r="N462" s="11"/>
      <c r="O462" s="8"/>
      <c r="P462" s="9"/>
      <c r="Q462" s="8"/>
      <c r="R462" s="9"/>
      <c r="S462" s="8"/>
      <c r="T462" s="8"/>
      <c r="U462" s="8"/>
      <c r="V462" s="11"/>
      <c r="W462" s="8"/>
      <c r="X462" s="8"/>
      <c r="Y462" s="9"/>
      <c r="Z462" s="8"/>
    </row>
    <row r="463" spans="1:26" x14ac:dyDescent="0.15">
      <c r="A463" s="8"/>
      <c r="B463" s="8"/>
      <c r="C463" s="8"/>
      <c r="D463" s="8"/>
      <c r="E463" s="9"/>
      <c r="F463" s="8"/>
      <c r="G463" s="10"/>
      <c r="H463" s="10"/>
      <c r="I463" s="10"/>
      <c r="J463" s="10"/>
      <c r="K463" s="10"/>
      <c r="L463" s="10"/>
      <c r="M463" s="10"/>
      <c r="N463" s="11"/>
      <c r="O463" s="8"/>
      <c r="P463" s="9"/>
      <c r="Q463" s="8"/>
      <c r="R463" s="9"/>
      <c r="S463" s="8"/>
      <c r="T463" s="8"/>
      <c r="U463" s="8"/>
      <c r="V463" s="11"/>
      <c r="W463" s="8"/>
      <c r="X463" s="8"/>
      <c r="Y463" s="9"/>
      <c r="Z463" s="8"/>
    </row>
    <row r="464" spans="1:26" x14ac:dyDescent="0.15">
      <c r="A464" s="8"/>
      <c r="B464" s="8"/>
      <c r="C464" s="8"/>
      <c r="D464" s="8"/>
      <c r="E464" s="9"/>
      <c r="F464" s="8"/>
      <c r="G464" s="10"/>
      <c r="H464" s="10"/>
      <c r="I464" s="10"/>
      <c r="J464" s="10"/>
      <c r="K464" s="10"/>
      <c r="L464" s="10"/>
      <c r="M464" s="10"/>
      <c r="N464" s="11"/>
      <c r="O464" s="8"/>
      <c r="P464" s="9"/>
      <c r="Q464" s="8"/>
      <c r="R464" s="9"/>
      <c r="S464" s="8"/>
      <c r="T464" s="8"/>
      <c r="U464" s="8"/>
      <c r="V464" s="11"/>
      <c r="W464" s="8"/>
      <c r="X464" s="8"/>
      <c r="Y464" s="9"/>
      <c r="Z464" s="8"/>
    </row>
    <row r="465" spans="1:26" x14ac:dyDescent="0.15">
      <c r="A465" s="8"/>
      <c r="B465" s="8"/>
      <c r="C465" s="8"/>
      <c r="D465" s="8"/>
      <c r="E465" s="9"/>
      <c r="F465" s="8"/>
      <c r="G465" s="10"/>
      <c r="H465" s="10"/>
      <c r="I465" s="10"/>
      <c r="J465" s="10"/>
      <c r="K465" s="10"/>
      <c r="L465" s="10"/>
      <c r="M465" s="10"/>
      <c r="N465" s="11"/>
      <c r="O465" s="8"/>
      <c r="P465" s="9"/>
      <c r="Q465" s="8"/>
      <c r="R465" s="9"/>
      <c r="S465" s="8"/>
      <c r="T465" s="8"/>
      <c r="U465" s="8"/>
      <c r="V465" s="11"/>
      <c r="W465" s="8"/>
      <c r="X465" s="8"/>
      <c r="Y465" s="9"/>
      <c r="Z465" s="8"/>
    </row>
    <row r="466" spans="1:26" x14ac:dyDescent="0.15">
      <c r="A466" s="8"/>
      <c r="B466" s="8"/>
      <c r="C466" s="8"/>
      <c r="D466" s="8"/>
      <c r="E466" s="9"/>
      <c r="F466" s="8"/>
      <c r="G466" s="10"/>
      <c r="H466" s="10"/>
      <c r="I466" s="10"/>
      <c r="J466" s="10"/>
      <c r="K466" s="10"/>
      <c r="L466" s="10"/>
      <c r="M466" s="10"/>
      <c r="N466" s="11"/>
      <c r="O466" s="8"/>
      <c r="P466" s="9"/>
      <c r="Q466" s="8"/>
      <c r="R466" s="9"/>
      <c r="S466" s="8"/>
      <c r="T466" s="8"/>
      <c r="U466" s="8"/>
      <c r="V466" s="11"/>
      <c r="W466" s="8"/>
      <c r="X466" s="8"/>
      <c r="Y466" s="9"/>
      <c r="Z466" s="8"/>
    </row>
    <row r="467" spans="1:26" x14ac:dyDescent="0.15">
      <c r="A467" s="8"/>
      <c r="B467" s="8"/>
      <c r="C467" s="8"/>
      <c r="D467" s="8"/>
      <c r="E467" s="9"/>
      <c r="F467" s="8"/>
      <c r="G467" s="10"/>
      <c r="H467" s="10"/>
      <c r="I467" s="10"/>
      <c r="J467" s="10"/>
      <c r="K467" s="10"/>
      <c r="L467" s="10"/>
      <c r="M467" s="10"/>
      <c r="N467" s="11"/>
      <c r="O467" s="8"/>
      <c r="P467" s="9"/>
      <c r="Q467" s="8"/>
      <c r="R467" s="9"/>
      <c r="S467" s="8"/>
      <c r="T467" s="8"/>
      <c r="U467" s="8"/>
      <c r="V467" s="11"/>
      <c r="W467" s="8"/>
      <c r="X467" s="8"/>
      <c r="Y467" s="9"/>
      <c r="Z467" s="8"/>
    </row>
    <row r="468" spans="1:26" x14ac:dyDescent="0.15">
      <c r="A468" s="8"/>
      <c r="B468" s="8"/>
      <c r="C468" s="8"/>
      <c r="D468" s="8"/>
      <c r="E468" s="9"/>
      <c r="F468" s="8"/>
      <c r="G468" s="10"/>
      <c r="H468" s="10"/>
      <c r="I468" s="10"/>
      <c r="J468" s="10"/>
      <c r="K468" s="10"/>
      <c r="L468" s="10"/>
      <c r="M468" s="10"/>
      <c r="N468" s="11"/>
      <c r="O468" s="8"/>
      <c r="P468" s="9"/>
      <c r="Q468" s="8"/>
      <c r="R468" s="9"/>
      <c r="S468" s="8"/>
      <c r="T468" s="8"/>
      <c r="U468" s="8"/>
      <c r="V468" s="11"/>
      <c r="W468" s="8"/>
      <c r="X468" s="8"/>
      <c r="Y468" s="9"/>
      <c r="Z468" s="8"/>
    </row>
    <row r="469" spans="1:26" x14ac:dyDescent="0.15">
      <c r="A469" s="8"/>
      <c r="B469" s="8"/>
      <c r="C469" s="8"/>
      <c r="D469" s="8"/>
      <c r="E469" s="9"/>
      <c r="F469" s="8"/>
      <c r="G469" s="10"/>
      <c r="H469" s="10"/>
      <c r="I469" s="10"/>
      <c r="J469" s="10"/>
      <c r="K469" s="10"/>
      <c r="L469" s="10"/>
      <c r="M469" s="10"/>
      <c r="N469" s="11"/>
      <c r="O469" s="8"/>
      <c r="P469" s="9"/>
      <c r="Q469" s="8"/>
      <c r="R469" s="9"/>
      <c r="S469" s="8"/>
      <c r="T469" s="8"/>
      <c r="U469" s="8"/>
      <c r="V469" s="11"/>
      <c r="W469" s="8"/>
      <c r="X469" s="8"/>
      <c r="Y469" s="9"/>
      <c r="Z469" s="8"/>
    </row>
    <row r="470" spans="1:26" x14ac:dyDescent="0.15">
      <c r="A470" s="8"/>
      <c r="B470" s="8"/>
      <c r="C470" s="8"/>
      <c r="D470" s="8"/>
      <c r="E470" s="9"/>
      <c r="F470" s="8"/>
      <c r="G470" s="10"/>
      <c r="H470" s="10"/>
      <c r="I470" s="10"/>
      <c r="J470" s="10"/>
      <c r="K470" s="10"/>
      <c r="L470" s="10"/>
      <c r="M470" s="10"/>
      <c r="N470" s="11"/>
      <c r="O470" s="8"/>
      <c r="P470" s="9"/>
      <c r="Q470" s="8"/>
      <c r="R470" s="9"/>
      <c r="S470" s="8"/>
      <c r="T470" s="8"/>
      <c r="U470" s="8"/>
      <c r="V470" s="11"/>
      <c r="W470" s="8"/>
      <c r="X470" s="8"/>
      <c r="Y470" s="9"/>
      <c r="Z470" s="8"/>
    </row>
    <row r="471" spans="1:26" x14ac:dyDescent="0.15">
      <c r="A471" s="8"/>
      <c r="B471" s="8"/>
      <c r="C471" s="8"/>
      <c r="D471" s="8"/>
      <c r="E471" s="9"/>
      <c r="F471" s="8"/>
      <c r="G471" s="10"/>
      <c r="H471" s="10"/>
      <c r="I471" s="10"/>
      <c r="J471" s="10"/>
      <c r="K471" s="10"/>
      <c r="L471" s="10"/>
      <c r="M471" s="10"/>
      <c r="N471" s="11"/>
      <c r="O471" s="8"/>
      <c r="P471" s="9"/>
      <c r="Q471" s="8"/>
      <c r="R471" s="9"/>
      <c r="S471" s="8"/>
      <c r="T471" s="8"/>
      <c r="U471" s="8"/>
      <c r="V471" s="11"/>
      <c r="W471" s="8"/>
      <c r="X471" s="8"/>
      <c r="Y471" s="9"/>
      <c r="Z471" s="8"/>
    </row>
    <row r="472" spans="1:26" x14ac:dyDescent="0.15">
      <c r="A472" s="8"/>
      <c r="B472" s="8"/>
      <c r="C472" s="8"/>
      <c r="D472" s="8"/>
      <c r="E472" s="9"/>
      <c r="F472" s="8"/>
      <c r="G472" s="10"/>
      <c r="H472" s="10"/>
      <c r="I472" s="10"/>
      <c r="J472" s="10"/>
      <c r="K472" s="10"/>
      <c r="L472" s="10"/>
      <c r="M472" s="10"/>
      <c r="N472" s="11"/>
      <c r="O472" s="8"/>
      <c r="P472" s="9"/>
      <c r="Q472" s="8"/>
      <c r="R472" s="9"/>
      <c r="S472" s="8"/>
      <c r="T472" s="8"/>
      <c r="U472" s="8"/>
      <c r="V472" s="11"/>
      <c r="W472" s="8"/>
      <c r="X472" s="8"/>
      <c r="Y472" s="9"/>
      <c r="Z472" s="8"/>
    </row>
    <row r="473" spans="1:26" x14ac:dyDescent="0.15">
      <c r="A473" s="8"/>
      <c r="B473" s="8"/>
      <c r="C473" s="8"/>
      <c r="D473" s="8"/>
      <c r="E473" s="9"/>
      <c r="F473" s="8"/>
      <c r="G473" s="10"/>
      <c r="H473" s="10"/>
      <c r="I473" s="10"/>
      <c r="J473" s="10"/>
      <c r="K473" s="10"/>
      <c r="L473" s="10"/>
      <c r="M473" s="10"/>
      <c r="N473" s="11"/>
      <c r="O473" s="8"/>
      <c r="P473" s="9"/>
      <c r="Q473" s="8"/>
      <c r="R473" s="9"/>
      <c r="S473" s="8"/>
      <c r="T473" s="8"/>
      <c r="U473" s="8"/>
      <c r="V473" s="11"/>
      <c r="W473" s="8"/>
      <c r="X473" s="8"/>
      <c r="Y473" s="9"/>
      <c r="Z473" s="8"/>
    </row>
    <row r="474" spans="1:26" x14ac:dyDescent="0.15">
      <c r="A474" s="8"/>
      <c r="B474" s="8"/>
      <c r="C474" s="8"/>
      <c r="D474" s="8"/>
      <c r="E474" s="9"/>
      <c r="F474" s="8"/>
      <c r="G474" s="10"/>
      <c r="H474" s="10"/>
      <c r="I474" s="10"/>
      <c r="J474" s="10"/>
      <c r="K474" s="10"/>
      <c r="L474" s="10"/>
      <c r="M474" s="10"/>
      <c r="N474" s="11"/>
      <c r="O474" s="8"/>
      <c r="P474" s="9"/>
      <c r="Q474" s="8"/>
      <c r="R474" s="9"/>
      <c r="S474" s="8"/>
      <c r="T474" s="8"/>
      <c r="U474" s="8"/>
      <c r="V474" s="11"/>
      <c r="W474" s="8"/>
      <c r="X474" s="8"/>
      <c r="Y474" s="9"/>
      <c r="Z474" s="8"/>
    </row>
    <row r="475" spans="1:26" x14ac:dyDescent="0.15">
      <c r="A475" s="8"/>
      <c r="B475" s="8"/>
      <c r="C475" s="8"/>
      <c r="D475" s="8"/>
      <c r="E475" s="9"/>
      <c r="F475" s="8"/>
      <c r="G475" s="10"/>
      <c r="H475" s="10"/>
      <c r="I475" s="10"/>
      <c r="J475" s="10"/>
      <c r="K475" s="10"/>
      <c r="L475" s="10"/>
      <c r="M475" s="10"/>
      <c r="N475" s="11"/>
      <c r="O475" s="8"/>
      <c r="P475" s="9"/>
      <c r="Q475" s="8"/>
      <c r="R475" s="9"/>
      <c r="S475" s="8"/>
      <c r="T475" s="8"/>
      <c r="U475" s="8"/>
      <c r="V475" s="11"/>
      <c r="W475" s="8"/>
      <c r="X475" s="8"/>
      <c r="Y475" s="9"/>
      <c r="Z475" s="8"/>
    </row>
    <row r="476" spans="1:26" x14ac:dyDescent="0.15">
      <c r="A476" s="8"/>
      <c r="B476" s="8"/>
      <c r="C476" s="8"/>
      <c r="D476" s="8"/>
      <c r="E476" s="9"/>
      <c r="F476" s="8"/>
      <c r="G476" s="10"/>
      <c r="H476" s="10"/>
      <c r="I476" s="10"/>
      <c r="J476" s="10"/>
      <c r="K476" s="10"/>
      <c r="L476" s="10"/>
      <c r="M476" s="10"/>
      <c r="N476" s="11"/>
      <c r="O476" s="8"/>
      <c r="P476" s="9"/>
      <c r="Q476" s="8"/>
      <c r="R476" s="9"/>
      <c r="S476" s="8"/>
      <c r="T476" s="8"/>
      <c r="U476" s="8"/>
      <c r="V476" s="11"/>
      <c r="W476" s="8"/>
      <c r="X476" s="8"/>
      <c r="Y476" s="9"/>
      <c r="Z476" s="8"/>
    </row>
    <row r="477" spans="1:26" x14ac:dyDescent="0.15">
      <c r="A477" s="8"/>
      <c r="B477" s="8"/>
      <c r="C477" s="8"/>
      <c r="D477" s="8"/>
      <c r="E477" s="9"/>
      <c r="F477" s="8"/>
      <c r="G477" s="10"/>
      <c r="H477" s="10"/>
      <c r="I477" s="10"/>
      <c r="J477" s="10"/>
      <c r="K477" s="10"/>
      <c r="L477" s="10"/>
      <c r="M477" s="10"/>
      <c r="N477" s="11"/>
      <c r="O477" s="8"/>
      <c r="P477" s="9"/>
      <c r="Q477" s="8"/>
      <c r="R477" s="9"/>
      <c r="S477" s="8"/>
      <c r="T477" s="8"/>
      <c r="U477" s="8"/>
      <c r="V477" s="11"/>
      <c r="W477" s="8"/>
      <c r="X477" s="8"/>
      <c r="Y477" s="9"/>
      <c r="Z477" s="8"/>
    </row>
    <row r="478" spans="1:26" x14ac:dyDescent="0.15">
      <c r="A478" s="8"/>
      <c r="B478" s="8"/>
      <c r="C478" s="8"/>
      <c r="D478" s="8"/>
      <c r="E478" s="9"/>
      <c r="F478" s="8"/>
      <c r="G478" s="10"/>
      <c r="H478" s="10"/>
      <c r="I478" s="10"/>
      <c r="J478" s="10"/>
      <c r="K478" s="10"/>
      <c r="L478" s="10"/>
      <c r="M478" s="10"/>
      <c r="N478" s="11"/>
      <c r="O478" s="8"/>
      <c r="P478" s="9"/>
      <c r="Q478" s="8"/>
      <c r="R478" s="9"/>
      <c r="S478" s="8"/>
      <c r="T478" s="8"/>
      <c r="U478" s="8"/>
      <c r="V478" s="11"/>
      <c r="W478" s="8"/>
      <c r="X478" s="8"/>
      <c r="Y478" s="9"/>
      <c r="Z478" s="8"/>
    </row>
    <row r="479" spans="1:26" x14ac:dyDescent="0.15">
      <c r="A479" s="8"/>
      <c r="B479" s="8"/>
      <c r="C479" s="8"/>
      <c r="D479" s="8"/>
      <c r="E479" s="9"/>
      <c r="F479" s="8"/>
      <c r="G479" s="10"/>
      <c r="H479" s="10"/>
      <c r="I479" s="10"/>
      <c r="J479" s="10"/>
      <c r="K479" s="10"/>
      <c r="L479" s="10"/>
      <c r="M479" s="10"/>
      <c r="N479" s="11"/>
      <c r="O479" s="8"/>
      <c r="P479" s="9"/>
      <c r="Q479" s="8"/>
      <c r="R479" s="9"/>
      <c r="S479" s="8"/>
      <c r="T479" s="8"/>
      <c r="U479" s="8"/>
      <c r="V479" s="11"/>
      <c r="W479" s="8"/>
      <c r="X479" s="8"/>
      <c r="Y479" s="9"/>
      <c r="Z479" s="8"/>
    </row>
    <row r="480" spans="1:26" x14ac:dyDescent="0.15">
      <c r="A480" s="8"/>
      <c r="B480" s="8"/>
      <c r="C480" s="8"/>
      <c r="D480" s="8"/>
      <c r="E480" s="9"/>
      <c r="F480" s="8"/>
      <c r="G480" s="10"/>
      <c r="H480" s="10"/>
      <c r="I480" s="10"/>
      <c r="J480" s="10"/>
      <c r="K480" s="10"/>
      <c r="L480" s="10"/>
      <c r="M480" s="10"/>
      <c r="N480" s="11"/>
      <c r="O480" s="8"/>
      <c r="P480" s="9"/>
      <c r="Q480" s="8"/>
      <c r="R480" s="9"/>
      <c r="S480" s="8"/>
      <c r="T480" s="8"/>
      <c r="U480" s="8"/>
      <c r="V480" s="11"/>
      <c r="W480" s="8"/>
      <c r="X480" s="8"/>
      <c r="Y480" s="9"/>
      <c r="Z480" s="8"/>
    </row>
    <row r="481" spans="1:26" x14ac:dyDescent="0.15">
      <c r="A481" s="8"/>
      <c r="B481" s="8"/>
      <c r="C481" s="8"/>
      <c r="D481" s="8"/>
      <c r="E481" s="9"/>
      <c r="F481" s="8"/>
      <c r="G481" s="10"/>
      <c r="H481" s="10"/>
      <c r="I481" s="10"/>
      <c r="J481" s="10"/>
      <c r="K481" s="10"/>
      <c r="L481" s="10"/>
      <c r="M481" s="10"/>
      <c r="N481" s="11"/>
      <c r="O481" s="8"/>
      <c r="P481" s="9"/>
      <c r="Q481" s="8"/>
      <c r="R481" s="9"/>
      <c r="S481" s="8"/>
      <c r="T481" s="8"/>
      <c r="U481" s="8"/>
      <c r="V481" s="11"/>
      <c r="W481" s="8"/>
      <c r="X481" s="8"/>
      <c r="Y481" s="9"/>
      <c r="Z481" s="8"/>
    </row>
    <row r="482" spans="1:26" x14ac:dyDescent="0.15">
      <c r="A482" s="8"/>
      <c r="B482" s="8"/>
      <c r="C482" s="8"/>
      <c r="D482" s="8"/>
      <c r="E482" s="9"/>
      <c r="F482" s="8"/>
      <c r="G482" s="10"/>
      <c r="H482" s="10"/>
      <c r="I482" s="10"/>
      <c r="J482" s="10"/>
      <c r="K482" s="10"/>
      <c r="L482" s="10"/>
      <c r="M482" s="10"/>
      <c r="N482" s="11"/>
      <c r="O482" s="8"/>
      <c r="P482" s="9"/>
      <c r="Q482" s="8"/>
      <c r="R482" s="9"/>
      <c r="S482" s="8"/>
      <c r="T482" s="8"/>
      <c r="U482" s="8"/>
      <c r="V482" s="11"/>
      <c r="W482" s="8"/>
      <c r="X482" s="8"/>
      <c r="Y482" s="9"/>
      <c r="Z482" s="8"/>
    </row>
    <row r="483" spans="1:26" x14ac:dyDescent="0.15">
      <c r="A483" s="8"/>
      <c r="B483" s="8"/>
      <c r="C483" s="8"/>
      <c r="D483" s="8"/>
      <c r="E483" s="9"/>
      <c r="F483" s="8"/>
      <c r="G483" s="10"/>
      <c r="H483" s="10"/>
      <c r="I483" s="10"/>
      <c r="J483" s="10"/>
      <c r="K483" s="10"/>
      <c r="L483" s="10"/>
      <c r="M483" s="10"/>
      <c r="N483" s="11"/>
      <c r="O483" s="8"/>
      <c r="P483" s="9"/>
      <c r="Q483" s="8"/>
      <c r="R483" s="9"/>
      <c r="S483" s="8"/>
      <c r="T483" s="8"/>
      <c r="U483" s="8"/>
      <c r="V483" s="11"/>
      <c r="W483" s="8"/>
      <c r="X483" s="8"/>
      <c r="Y483" s="9"/>
      <c r="Z483" s="8"/>
    </row>
    <row r="484" spans="1:26" x14ac:dyDescent="0.15">
      <c r="A484" s="8"/>
      <c r="B484" s="8"/>
      <c r="C484" s="8"/>
      <c r="D484" s="8"/>
      <c r="E484" s="9"/>
      <c r="F484" s="8"/>
      <c r="G484" s="10"/>
      <c r="H484" s="10"/>
      <c r="I484" s="10"/>
      <c r="J484" s="10"/>
      <c r="K484" s="10"/>
      <c r="L484" s="10"/>
      <c r="M484" s="10"/>
      <c r="N484" s="11"/>
      <c r="O484" s="8"/>
      <c r="P484" s="9"/>
      <c r="Q484" s="8"/>
      <c r="R484" s="9"/>
      <c r="S484" s="8"/>
      <c r="T484" s="8"/>
      <c r="U484" s="8"/>
      <c r="V484" s="11"/>
      <c r="W484" s="8"/>
      <c r="X484" s="8"/>
      <c r="Y484" s="9"/>
      <c r="Z484" s="8"/>
    </row>
    <row r="485" spans="1:26" x14ac:dyDescent="0.15">
      <c r="A485" s="8"/>
      <c r="B485" s="8"/>
      <c r="C485" s="8"/>
      <c r="D485" s="8"/>
      <c r="E485" s="9"/>
      <c r="F485" s="8"/>
      <c r="G485" s="10"/>
      <c r="H485" s="10"/>
      <c r="I485" s="10"/>
      <c r="J485" s="10"/>
      <c r="K485" s="10"/>
      <c r="L485" s="10"/>
      <c r="M485" s="10"/>
      <c r="N485" s="11"/>
      <c r="O485" s="8"/>
      <c r="P485" s="9"/>
      <c r="Q485" s="8"/>
      <c r="R485" s="9"/>
      <c r="S485" s="8"/>
      <c r="T485" s="8"/>
      <c r="U485" s="8"/>
      <c r="V485" s="11"/>
      <c r="W485" s="8"/>
      <c r="X485" s="8"/>
      <c r="Y485" s="9"/>
      <c r="Z485" s="8"/>
    </row>
    <row r="486" spans="1:26" x14ac:dyDescent="0.15">
      <c r="A486" s="8"/>
      <c r="B486" s="8"/>
      <c r="C486" s="8"/>
      <c r="D486" s="8"/>
      <c r="E486" s="9"/>
      <c r="F486" s="8"/>
      <c r="G486" s="10"/>
      <c r="H486" s="10"/>
      <c r="I486" s="10"/>
      <c r="J486" s="10"/>
      <c r="K486" s="10"/>
      <c r="L486" s="10"/>
      <c r="M486" s="10"/>
      <c r="N486" s="11"/>
      <c r="O486" s="8"/>
      <c r="P486" s="9"/>
      <c r="Q486" s="8"/>
      <c r="R486" s="9"/>
      <c r="S486" s="8"/>
      <c r="T486" s="8"/>
      <c r="U486" s="8"/>
      <c r="V486" s="11"/>
      <c r="W486" s="8"/>
      <c r="X486" s="8"/>
      <c r="Y486" s="9"/>
      <c r="Z486" s="8"/>
    </row>
    <row r="487" spans="1:26" x14ac:dyDescent="0.15">
      <c r="A487" s="8"/>
      <c r="B487" s="8"/>
      <c r="C487" s="8"/>
      <c r="D487" s="8"/>
      <c r="E487" s="9"/>
      <c r="F487" s="8"/>
      <c r="G487" s="10"/>
      <c r="H487" s="10"/>
      <c r="I487" s="10"/>
      <c r="J487" s="10"/>
      <c r="K487" s="10"/>
      <c r="L487" s="10"/>
      <c r="M487" s="10"/>
      <c r="N487" s="11"/>
      <c r="O487" s="8"/>
      <c r="P487" s="9"/>
      <c r="Q487" s="8"/>
      <c r="R487" s="9"/>
      <c r="S487" s="8"/>
      <c r="T487" s="8"/>
      <c r="U487" s="8"/>
      <c r="V487" s="11"/>
      <c r="W487" s="8"/>
      <c r="X487" s="8"/>
      <c r="Y487" s="9"/>
      <c r="Z487" s="8"/>
    </row>
    <row r="488" spans="1:26" x14ac:dyDescent="0.15">
      <c r="A488" s="8"/>
      <c r="B488" s="8"/>
      <c r="C488" s="8"/>
      <c r="D488" s="8"/>
      <c r="E488" s="9"/>
      <c r="F488" s="8"/>
      <c r="G488" s="10"/>
      <c r="H488" s="10"/>
      <c r="I488" s="10"/>
      <c r="J488" s="10"/>
      <c r="K488" s="10"/>
      <c r="L488" s="10"/>
      <c r="M488" s="10"/>
      <c r="N488" s="11"/>
      <c r="O488" s="8"/>
      <c r="P488" s="9"/>
      <c r="Q488" s="8"/>
      <c r="R488" s="9"/>
      <c r="S488" s="8"/>
      <c r="T488" s="8"/>
      <c r="U488" s="8"/>
      <c r="V488" s="11"/>
      <c r="W488" s="8"/>
      <c r="X488" s="8"/>
      <c r="Y488" s="9"/>
      <c r="Z488" s="8"/>
    </row>
    <row r="489" spans="1:26" x14ac:dyDescent="0.15">
      <c r="A489" s="8"/>
      <c r="B489" s="8"/>
      <c r="C489" s="8"/>
      <c r="D489" s="8"/>
      <c r="E489" s="9"/>
      <c r="F489" s="8"/>
      <c r="G489" s="10"/>
      <c r="H489" s="10"/>
      <c r="I489" s="10"/>
      <c r="J489" s="10"/>
      <c r="K489" s="10"/>
      <c r="L489" s="10"/>
      <c r="M489" s="10"/>
      <c r="N489" s="11"/>
      <c r="O489" s="8"/>
      <c r="P489" s="9"/>
      <c r="Q489" s="8"/>
      <c r="R489" s="9"/>
      <c r="S489" s="8"/>
      <c r="T489" s="8"/>
      <c r="U489" s="8"/>
      <c r="V489" s="11"/>
      <c r="W489" s="8"/>
      <c r="X489" s="8"/>
      <c r="Y489" s="9"/>
      <c r="Z489" s="8"/>
    </row>
    <row r="490" spans="1:26" x14ac:dyDescent="0.15">
      <c r="A490" s="8"/>
      <c r="B490" s="8"/>
      <c r="C490" s="8"/>
      <c r="D490" s="8"/>
      <c r="E490" s="9"/>
      <c r="F490" s="8"/>
      <c r="G490" s="10"/>
      <c r="H490" s="10"/>
      <c r="I490" s="10"/>
      <c r="J490" s="10"/>
      <c r="K490" s="10"/>
      <c r="L490" s="10"/>
      <c r="M490" s="10"/>
      <c r="N490" s="11"/>
      <c r="O490" s="8"/>
      <c r="P490" s="9"/>
      <c r="Q490" s="8"/>
      <c r="R490" s="9"/>
      <c r="S490" s="8"/>
      <c r="T490" s="8"/>
      <c r="U490" s="8"/>
      <c r="V490" s="11"/>
      <c r="W490" s="8"/>
      <c r="X490" s="8"/>
      <c r="Y490" s="9"/>
      <c r="Z490" s="8"/>
    </row>
    <row r="491" spans="1:26" x14ac:dyDescent="0.15">
      <c r="A491" s="8"/>
      <c r="B491" s="8"/>
      <c r="C491" s="8"/>
      <c r="D491" s="8"/>
      <c r="E491" s="9"/>
      <c r="F491" s="8"/>
      <c r="G491" s="10"/>
      <c r="H491" s="10"/>
      <c r="I491" s="10"/>
      <c r="J491" s="10"/>
      <c r="K491" s="10"/>
      <c r="L491" s="10"/>
      <c r="M491" s="10"/>
      <c r="N491" s="11"/>
      <c r="O491" s="8"/>
      <c r="P491" s="9"/>
      <c r="Q491" s="8"/>
      <c r="R491" s="9"/>
      <c r="S491" s="8"/>
      <c r="T491" s="8"/>
      <c r="U491" s="8"/>
      <c r="V491" s="11"/>
      <c r="W491" s="8"/>
      <c r="X491" s="8"/>
      <c r="Y491" s="9"/>
      <c r="Z491" s="8"/>
    </row>
    <row r="492" spans="1:26" x14ac:dyDescent="0.15">
      <c r="A492" s="8"/>
      <c r="B492" s="8"/>
      <c r="C492" s="8"/>
      <c r="D492" s="8"/>
      <c r="E492" s="9"/>
      <c r="F492" s="8"/>
      <c r="G492" s="10"/>
      <c r="H492" s="10"/>
      <c r="I492" s="10"/>
      <c r="J492" s="10"/>
      <c r="K492" s="10"/>
      <c r="L492" s="10"/>
      <c r="M492" s="10"/>
      <c r="N492" s="11"/>
      <c r="O492" s="8"/>
      <c r="P492" s="9"/>
      <c r="Q492" s="8"/>
      <c r="R492" s="9"/>
      <c r="S492" s="8"/>
      <c r="T492" s="8"/>
      <c r="U492" s="8"/>
      <c r="V492" s="11"/>
      <c r="W492" s="8"/>
      <c r="X492" s="8"/>
      <c r="Y492" s="9"/>
      <c r="Z492" s="8"/>
    </row>
    <row r="493" spans="1:26" x14ac:dyDescent="0.15">
      <c r="A493" s="8"/>
      <c r="B493" s="8"/>
      <c r="C493" s="8"/>
      <c r="D493" s="8"/>
      <c r="E493" s="9"/>
      <c r="F493" s="8"/>
      <c r="G493" s="10"/>
      <c r="H493" s="10"/>
      <c r="I493" s="10"/>
      <c r="J493" s="10"/>
      <c r="K493" s="10"/>
      <c r="L493" s="10"/>
      <c r="M493" s="10"/>
      <c r="N493" s="11"/>
      <c r="O493" s="8"/>
      <c r="P493" s="9"/>
      <c r="Q493" s="8"/>
      <c r="R493" s="9"/>
      <c r="S493" s="8"/>
      <c r="T493" s="8"/>
      <c r="U493" s="8"/>
      <c r="V493" s="11"/>
      <c r="W493" s="8"/>
      <c r="X493" s="8"/>
      <c r="Y493" s="9"/>
      <c r="Z493" s="8"/>
    </row>
    <row r="494" spans="1:26" x14ac:dyDescent="0.15">
      <c r="A494" s="8"/>
      <c r="B494" s="8"/>
      <c r="C494" s="8"/>
      <c r="D494" s="8"/>
      <c r="E494" s="9"/>
      <c r="F494" s="8"/>
      <c r="G494" s="10"/>
      <c r="H494" s="10"/>
      <c r="I494" s="10"/>
      <c r="J494" s="10"/>
      <c r="K494" s="10"/>
      <c r="L494" s="10"/>
      <c r="M494" s="10"/>
      <c r="N494" s="11"/>
      <c r="O494" s="8"/>
      <c r="P494" s="9"/>
      <c r="Q494" s="8"/>
      <c r="R494" s="9"/>
      <c r="S494" s="8"/>
      <c r="T494" s="8"/>
      <c r="U494" s="8"/>
      <c r="V494" s="11"/>
      <c r="W494" s="8"/>
      <c r="X494" s="8"/>
      <c r="Y494" s="9"/>
      <c r="Z494" s="8"/>
    </row>
    <row r="495" spans="1:26" x14ac:dyDescent="0.15">
      <c r="A495" s="8"/>
      <c r="B495" s="8"/>
      <c r="C495" s="8"/>
      <c r="D495" s="8"/>
      <c r="E495" s="9"/>
      <c r="F495" s="8"/>
      <c r="G495" s="10"/>
      <c r="H495" s="10"/>
      <c r="I495" s="10"/>
      <c r="J495" s="10"/>
      <c r="K495" s="10"/>
      <c r="L495" s="10"/>
      <c r="M495" s="10"/>
      <c r="N495" s="11"/>
      <c r="O495" s="8"/>
      <c r="P495" s="9"/>
      <c r="Q495" s="8"/>
      <c r="R495" s="9"/>
      <c r="S495" s="8"/>
      <c r="T495" s="8"/>
      <c r="U495" s="8"/>
      <c r="V495" s="11"/>
      <c r="W495" s="8"/>
      <c r="X495" s="8"/>
      <c r="Y495" s="9"/>
      <c r="Z495" s="8"/>
    </row>
    <row r="496" spans="1:26" x14ac:dyDescent="0.15">
      <c r="A496" s="8"/>
      <c r="B496" s="8"/>
      <c r="C496" s="8"/>
      <c r="D496" s="8"/>
      <c r="E496" s="9"/>
      <c r="F496" s="8"/>
      <c r="G496" s="10"/>
      <c r="H496" s="10"/>
      <c r="I496" s="10"/>
      <c r="J496" s="10"/>
      <c r="K496" s="10"/>
      <c r="L496" s="10"/>
      <c r="M496" s="10"/>
      <c r="N496" s="11"/>
      <c r="O496" s="8"/>
      <c r="P496" s="9"/>
      <c r="Q496" s="8"/>
      <c r="R496" s="9"/>
      <c r="S496" s="8"/>
      <c r="T496" s="8"/>
      <c r="U496" s="8"/>
      <c r="V496" s="11"/>
      <c r="W496" s="8"/>
      <c r="X496" s="8"/>
      <c r="Y496" s="9"/>
      <c r="Z496" s="8"/>
    </row>
    <row r="497" spans="1:26" x14ac:dyDescent="0.15">
      <c r="A497" s="8"/>
      <c r="B497" s="8"/>
      <c r="C497" s="8"/>
      <c r="D497" s="8"/>
      <c r="E497" s="9"/>
      <c r="F497" s="8"/>
      <c r="G497" s="10"/>
      <c r="H497" s="10"/>
      <c r="I497" s="10"/>
      <c r="J497" s="10"/>
      <c r="K497" s="10"/>
      <c r="L497" s="10"/>
      <c r="M497" s="10"/>
      <c r="N497" s="11"/>
      <c r="O497" s="8"/>
      <c r="P497" s="9"/>
      <c r="Q497" s="8"/>
      <c r="R497" s="9"/>
      <c r="S497" s="8"/>
      <c r="T497" s="8"/>
      <c r="U497" s="8"/>
      <c r="V497" s="11"/>
      <c r="W497" s="8"/>
      <c r="X497" s="8"/>
      <c r="Y497" s="9"/>
      <c r="Z497" s="8"/>
    </row>
    <row r="498" spans="1:26" x14ac:dyDescent="0.15">
      <c r="A498" s="8"/>
      <c r="B498" s="8"/>
      <c r="C498" s="8"/>
      <c r="D498" s="8"/>
      <c r="E498" s="9"/>
      <c r="F498" s="8"/>
      <c r="G498" s="10"/>
      <c r="H498" s="10"/>
      <c r="I498" s="10"/>
      <c r="J498" s="10"/>
      <c r="K498" s="10"/>
      <c r="L498" s="10"/>
      <c r="M498" s="10"/>
      <c r="N498" s="11"/>
      <c r="O498" s="8"/>
      <c r="P498" s="9"/>
      <c r="Q498" s="8"/>
      <c r="R498" s="9"/>
      <c r="S498" s="8"/>
      <c r="T498" s="8"/>
      <c r="U498" s="8"/>
      <c r="V498" s="11"/>
      <c r="W498" s="8"/>
      <c r="X498" s="8"/>
      <c r="Y498" s="9"/>
      <c r="Z498" s="8"/>
    </row>
    <row r="499" spans="1:26" x14ac:dyDescent="0.15">
      <c r="A499" s="8"/>
      <c r="B499" s="8"/>
      <c r="C499" s="8"/>
      <c r="D499" s="8"/>
      <c r="E499" s="9"/>
      <c r="F499" s="8"/>
      <c r="G499" s="10"/>
      <c r="H499" s="10"/>
      <c r="I499" s="10"/>
      <c r="J499" s="10"/>
      <c r="K499" s="10"/>
      <c r="L499" s="10"/>
      <c r="M499" s="10"/>
      <c r="N499" s="11"/>
      <c r="O499" s="8"/>
      <c r="P499" s="9"/>
      <c r="Q499" s="8"/>
      <c r="R499" s="9"/>
      <c r="S499" s="8"/>
      <c r="T499" s="8"/>
      <c r="U499" s="8"/>
      <c r="V499" s="11"/>
      <c r="W499" s="8"/>
      <c r="X499" s="8"/>
      <c r="Y499" s="9"/>
      <c r="Z499" s="8"/>
    </row>
    <row r="500" spans="1:26" x14ac:dyDescent="0.15">
      <c r="A500" s="8"/>
      <c r="B500" s="8"/>
      <c r="C500" s="8"/>
      <c r="D500" s="8"/>
      <c r="E500" s="9"/>
      <c r="F500" s="8"/>
      <c r="G500" s="10"/>
      <c r="H500" s="10"/>
      <c r="I500" s="10"/>
      <c r="J500" s="10"/>
      <c r="K500" s="10"/>
      <c r="L500" s="10"/>
      <c r="M500" s="10"/>
      <c r="N500" s="11"/>
      <c r="O500" s="8"/>
      <c r="P500" s="9"/>
      <c r="Q500" s="8"/>
      <c r="R500" s="9"/>
      <c r="S500" s="8"/>
      <c r="T500" s="8"/>
      <c r="U500" s="8"/>
      <c r="V500" s="11"/>
      <c r="W500" s="8"/>
      <c r="X500" s="8"/>
      <c r="Y500" s="9"/>
      <c r="Z500" s="8"/>
    </row>
    <row r="501" spans="1:26" x14ac:dyDescent="0.15">
      <c r="A501" s="8"/>
      <c r="B501" s="8"/>
      <c r="C501" s="8"/>
      <c r="D501" s="8"/>
      <c r="E501" s="9"/>
      <c r="F501" s="8"/>
      <c r="G501" s="10"/>
      <c r="H501" s="10"/>
      <c r="I501" s="10"/>
      <c r="J501" s="10"/>
      <c r="K501" s="10"/>
      <c r="L501" s="10"/>
      <c r="M501" s="10"/>
      <c r="N501" s="11"/>
      <c r="O501" s="8"/>
      <c r="P501" s="9"/>
      <c r="Q501" s="8"/>
      <c r="R501" s="9"/>
      <c r="S501" s="8"/>
      <c r="T501" s="8"/>
      <c r="U501" s="8"/>
      <c r="V501" s="11"/>
      <c r="W501" s="8"/>
      <c r="X501" s="8"/>
      <c r="Y501" s="9"/>
      <c r="Z501" s="8"/>
    </row>
    <row r="502" spans="1:26" x14ac:dyDescent="0.15">
      <c r="A502" s="8"/>
      <c r="B502" s="8"/>
      <c r="C502" s="8"/>
      <c r="D502" s="8"/>
      <c r="E502" s="9"/>
      <c r="F502" s="8"/>
      <c r="G502" s="10"/>
      <c r="H502" s="10"/>
      <c r="I502" s="10"/>
      <c r="J502" s="10"/>
      <c r="K502" s="10"/>
      <c r="L502" s="10"/>
      <c r="M502" s="10"/>
      <c r="N502" s="11"/>
      <c r="O502" s="8"/>
      <c r="P502" s="9"/>
      <c r="Q502" s="8"/>
      <c r="R502" s="9"/>
      <c r="S502" s="8"/>
      <c r="T502" s="8"/>
      <c r="U502" s="8"/>
      <c r="V502" s="11"/>
      <c r="W502" s="8"/>
      <c r="X502" s="8"/>
      <c r="Y502" s="9"/>
      <c r="Z502" s="8"/>
    </row>
    <row r="503" spans="1:26" x14ac:dyDescent="0.15">
      <c r="A503" s="8"/>
      <c r="B503" s="8"/>
      <c r="C503" s="8"/>
      <c r="D503" s="8"/>
      <c r="E503" s="9"/>
      <c r="F503" s="8"/>
      <c r="G503" s="10"/>
      <c r="H503" s="10"/>
      <c r="I503" s="10"/>
      <c r="J503" s="10"/>
      <c r="K503" s="10"/>
      <c r="L503" s="10"/>
      <c r="M503" s="10"/>
      <c r="N503" s="11"/>
      <c r="O503" s="8"/>
      <c r="P503" s="9"/>
      <c r="Q503" s="8"/>
      <c r="R503" s="9"/>
      <c r="S503" s="8"/>
      <c r="T503" s="8"/>
      <c r="U503" s="8"/>
      <c r="V503" s="11"/>
      <c r="W503" s="8"/>
      <c r="X503" s="8"/>
      <c r="Y503" s="9"/>
      <c r="Z503" s="8"/>
    </row>
    <row r="504" spans="1:26" x14ac:dyDescent="0.15">
      <c r="A504" s="8"/>
      <c r="B504" s="8"/>
      <c r="C504" s="8"/>
      <c r="D504" s="8"/>
      <c r="E504" s="9"/>
      <c r="F504" s="8"/>
      <c r="G504" s="10"/>
      <c r="H504" s="10"/>
      <c r="I504" s="10"/>
      <c r="J504" s="10"/>
      <c r="K504" s="10"/>
      <c r="L504" s="10"/>
      <c r="M504" s="10"/>
      <c r="N504" s="11"/>
      <c r="O504" s="8"/>
      <c r="P504" s="9"/>
      <c r="Q504" s="8"/>
      <c r="R504" s="9"/>
      <c r="S504" s="8"/>
      <c r="T504" s="8"/>
      <c r="U504" s="8"/>
      <c r="V504" s="11"/>
      <c r="W504" s="8"/>
      <c r="X504" s="8"/>
      <c r="Y504" s="9"/>
      <c r="Z504" s="8"/>
    </row>
    <row r="505" spans="1:26" x14ac:dyDescent="0.15">
      <c r="A505" s="8"/>
      <c r="B505" s="8"/>
      <c r="C505" s="8"/>
      <c r="D505" s="8"/>
      <c r="E505" s="9"/>
      <c r="F505" s="8"/>
      <c r="G505" s="10"/>
      <c r="H505" s="10"/>
      <c r="I505" s="10"/>
      <c r="J505" s="10"/>
      <c r="K505" s="10"/>
      <c r="L505" s="10"/>
      <c r="M505" s="10"/>
      <c r="N505" s="11"/>
      <c r="O505" s="8"/>
      <c r="P505" s="9"/>
      <c r="Q505" s="8"/>
      <c r="R505" s="9"/>
      <c r="S505" s="8"/>
      <c r="T505" s="8"/>
      <c r="U505" s="8"/>
      <c r="V505" s="11"/>
      <c r="W505" s="8"/>
      <c r="X505" s="8"/>
      <c r="Y505" s="9"/>
      <c r="Z505" s="8"/>
    </row>
    <row r="506" spans="1:26" x14ac:dyDescent="0.15">
      <c r="A506" s="8"/>
      <c r="B506" s="8"/>
      <c r="C506" s="8"/>
      <c r="D506" s="8"/>
      <c r="E506" s="9"/>
      <c r="F506" s="8"/>
      <c r="G506" s="10"/>
      <c r="H506" s="10"/>
      <c r="I506" s="10"/>
      <c r="J506" s="10"/>
      <c r="K506" s="10"/>
      <c r="L506" s="10"/>
      <c r="M506" s="10"/>
      <c r="N506" s="11"/>
      <c r="O506" s="8"/>
      <c r="P506" s="9"/>
      <c r="Q506" s="8"/>
      <c r="R506" s="9"/>
      <c r="S506" s="8"/>
      <c r="T506" s="8"/>
      <c r="U506" s="8"/>
      <c r="V506" s="11"/>
      <c r="W506" s="8"/>
      <c r="X506" s="8"/>
      <c r="Y506" s="9"/>
      <c r="Z506" s="8"/>
    </row>
    <row r="507" spans="1:26" x14ac:dyDescent="0.15">
      <c r="A507" s="8"/>
      <c r="B507" s="8"/>
      <c r="C507" s="8"/>
      <c r="D507" s="8"/>
      <c r="E507" s="9"/>
      <c r="F507" s="8"/>
      <c r="G507" s="10"/>
      <c r="H507" s="10"/>
      <c r="I507" s="10"/>
      <c r="J507" s="10"/>
      <c r="K507" s="10"/>
      <c r="L507" s="10"/>
      <c r="M507" s="10"/>
      <c r="N507" s="11"/>
      <c r="O507" s="8"/>
      <c r="P507" s="9"/>
      <c r="Q507" s="8"/>
      <c r="R507" s="9"/>
      <c r="S507" s="8"/>
      <c r="T507" s="8"/>
      <c r="U507" s="8"/>
      <c r="V507" s="11"/>
      <c r="W507" s="8"/>
      <c r="X507" s="8"/>
      <c r="Y507" s="9"/>
      <c r="Z507" s="8"/>
    </row>
    <row r="508" spans="1:26" x14ac:dyDescent="0.15">
      <c r="A508" s="8"/>
      <c r="B508" s="8"/>
      <c r="C508" s="8"/>
      <c r="D508" s="8"/>
      <c r="E508" s="9"/>
      <c r="F508" s="8"/>
      <c r="G508" s="10"/>
      <c r="H508" s="10"/>
      <c r="I508" s="10"/>
      <c r="J508" s="10"/>
      <c r="K508" s="10"/>
      <c r="L508" s="10"/>
      <c r="M508" s="10"/>
      <c r="N508" s="11"/>
      <c r="O508" s="8"/>
      <c r="P508" s="9"/>
      <c r="Q508" s="8"/>
      <c r="R508" s="9"/>
      <c r="S508" s="8"/>
      <c r="T508" s="8"/>
      <c r="U508" s="8"/>
      <c r="V508" s="11"/>
      <c r="W508" s="8"/>
      <c r="X508" s="8"/>
      <c r="Y508" s="9"/>
      <c r="Z508" s="8"/>
    </row>
    <row r="509" spans="1:26" x14ac:dyDescent="0.15">
      <c r="A509" s="8"/>
      <c r="B509" s="8"/>
      <c r="C509" s="8"/>
      <c r="D509" s="8"/>
      <c r="E509" s="9"/>
      <c r="F509" s="8"/>
      <c r="G509" s="10"/>
      <c r="H509" s="10"/>
      <c r="I509" s="10"/>
      <c r="J509" s="10"/>
      <c r="K509" s="10"/>
      <c r="L509" s="10"/>
      <c r="M509" s="10"/>
      <c r="N509" s="11"/>
      <c r="O509" s="8"/>
      <c r="P509" s="9"/>
      <c r="Q509" s="8"/>
      <c r="R509" s="9"/>
      <c r="S509" s="8"/>
      <c r="T509" s="8"/>
      <c r="U509" s="8"/>
      <c r="V509" s="11"/>
      <c r="W509" s="8"/>
      <c r="X509" s="8"/>
      <c r="Y509" s="9"/>
      <c r="Z509" s="8"/>
    </row>
    <row r="510" spans="1:26" x14ac:dyDescent="0.15">
      <c r="A510" s="8"/>
      <c r="B510" s="8"/>
      <c r="C510" s="8"/>
      <c r="D510" s="8"/>
      <c r="E510" s="9"/>
      <c r="F510" s="8"/>
      <c r="G510" s="10"/>
      <c r="H510" s="10"/>
      <c r="I510" s="10"/>
      <c r="J510" s="10"/>
      <c r="K510" s="10"/>
      <c r="L510" s="10"/>
      <c r="M510" s="10"/>
      <c r="N510" s="11"/>
      <c r="O510" s="8"/>
      <c r="P510" s="9"/>
      <c r="Q510" s="8"/>
      <c r="R510" s="9"/>
      <c r="S510" s="8"/>
      <c r="T510" s="8"/>
      <c r="U510" s="8"/>
      <c r="V510" s="11"/>
      <c r="W510" s="8"/>
      <c r="X510" s="8"/>
      <c r="Y510" s="9"/>
      <c r="Z510" s="8"/>
    </row>
    <row r="511" spans="1:26" x14ac:dyDescent="0.15">
      <c r="A511" s="8"/>
      <c r="B511" s="8"/>
      <c r="C511" s="8"/>
      <c r="D511" s="8"/>
      <c r="E511" s="9"/>
      <c r="F511" s="8"/>
      <c r="G511" s="10"/>
      <c r="H511" s="10"/>
      <c r="I511" s="10"/>
      <c r="J511" s="10"/>
      <c r="K511" s="10"/>
      <c r="L511" s="10"/>
      <c r="M511" s="10"/>
      <c r="N511" s="11"/>
      <c r="O511" s="8"/>
      <c r="P511" s="9"/>
      <c r="Q511" s="8"/>
      <c r="R511" s="9"/>
      <c r="S511" s="8"/>
      <c r="T511" s="8"/>
      <c r="U511" s="8"/>
      <c r="V511" s="11"/>
      <c r="W511" s="8"/>
      <c r="X511" s="8"/>
      <c r="Y511" s="9"/>
      <c r="Z511" s="8"/>
    </row>
    <row r="512" spans="1:26" x14ac:dyDescent="0.15">
      <c r="A512" s="8"/>
      <c r="B512" s="8"/>
      <c r="C512" s="8"/>
      <c r="D512" s="8"/>
      <c r="E512" s="9"/>
      <c r="F512" s="8"/>
      <c r="G512" s="10"/>
      <c r="H512" s="10"/>
      <c r="I512" s="10"/>
      <c r="J512" s="10"/>
      <c r="K512" s="10"/>
      <c r="L512" s="10"/>
      <c r="M512" s="10"/>
      <c r="N512" s="11"/>
      <c r="O512" s="8"/>
      <c r="P512" s="9"/>
      <c r="Q512" s="8"/>
      <c r="R512" s="9"/>
      <c r="S512" s="8"/>
      <c r="T512" s="8"/>
      <c r="U512" s="8"/>
      <c r="V512" s="11"/>
      <c r="W512" s="8"/>
      <c r="X512" s="8"/>
      <c r="Y512" s="9"/>
      <c r="Z512" s="8"/>
    </row>
    <row r="513" spans="1:26" x14ac:dyDescent="0.15">
      <c r="A513" s="8"/>
      <c r="B513" s="8"/>
      <c r="C513" s="8"/>
      <c r="D513" s="8"/>
      <c r="E513" s="9"/>
      <c r="F513" s="8"/>
      <c r="G513" s="10"/>
      <c r="H513" s="10"/>
      <c r="I513" s="10"/>
      <c r="J513" s="10"/>
      <c r="K513" s="10"/>
      <c r="L513" s="10"/>
      <c r="M513" s="10"/>
      <c r="N513" s="11"/>
      <c r="O513" s="8"/>
      <c r="P513" s="9"/>
      <c r="Q513" s="8"/>
      <c r="R513" s="9"/>
      <c r="S513" s="8"/>
      <c r="T513" s="8"/>
      <c r="U513" s="8"/>
      <c r="V513" s="11"/>
      <c r="W513" s="8"/>
      <c r="X513" s="8"/>
      <c r="Y513" s="9"/>
      <c r="Z513" s="8"/>
    </row>
    <row r="514" spans="1:26" x14ac:dyDescent="0.15">
      <c r="A514" s="8"/>
      <c r="B514" s="8"/>
      <c r="C514" s="8"/>
      <c r="D514" s="8"/>
      <c r="E514" s="9"/>
      <c r="F514" s="8"/>
      <c r="G514" s="10"/>
      <c r="H514" s="10"/>
      <c r="I514" s="10"/>
      <c r="J514" s="10"/>
      <c r="K514" s="10"/>
      <c r="L514" s="10"/>
      <c r="M514" s="10"/>
      <c r="N514" s="11"/>
      <c r="O514" s="8"/>
      <c r="P514" s="9"/>
      <c r="Q514" s="8"/>
      <c r="R514" s="9"/>
      <c r="S514" s="8"/>
      <c r="T514" s="8"/>
      <c r="U514" s="8"/>
      <c r="V514" s="11"/>
      <c r="W514" s="8"/>
      <c r="X514" s="8"/>
      <c r="Y514" s="9"/>
      <c r="Z514" s="8"/>
    </row>
    <row r="515" spans="1:26" x14ac:dyDescent="0.15">
      <c r="A515" s="8"/>
      <c r="B515" s="8"/>
      <c r="C515" s="8"/>
      <c r="D515" s="8"/>
      <c r="E515" s="9"/>
      <c r="F515" s="8"/>
      <c r="G515" s="10"/>
      <c r="H515" s="10"/>
      <c r="I515" s="10"/>
      <c r="J515" s="10"/>
      <c r="K515" s="10"/>
      <c r="L515" s="10"/>
      <c r="M515" s="10"/>
      <c r="N515" s="11"/>
      <c r="O515" s="8"/>
      <c r="P515" s="9"/>
      <c r="Q515" s="8"/>
      <c r="R515" s="9"/>
      <c r="S515" s="8"/>
      <c r="T515" s="8"/>
      <c r="U515" s="8"/>
      <c r="V515" s="11"/>
      <c r="W515" s="8"/>
      <c r="X515" s="8"/>
      <c r="Y515" s="9"/>
      <c r="Z515" s="8"/>
    </row>
    <row r="516" spans="1:26" x14ac:dyDescent="0.15">
      <c r="A516" s="8"/>
      <c r="B516" s="8"/>
      <c r="C516" s="8"/>
      <c r="D516" s="8"/>
      <c r="E516" s="9"/>
      <c r="F516" s="8"/>
      <c r="G516" s="10"/>
      <c r="H516" s="10"/>
      <c r="I516" s="10"/>
      <c r="J516" s="10"/>
      <c r="K516" s="10"/>
      <c r="L516" s="10"/>
      <c r="M516" s="10"/>
      <c r="N516" s="11"/>
      <c r="O516" s="8"/>
      <c r="P516" s="9"/>
      <c r="Q516" s="8"/>
      <c r="R516" s="9"/>
      <c r="S516" s="8"/>
      <c r="T516" s="8"/>
      <c r="U516" s="8"/>
      <c r="V516" s="11"/>
      <c r="W516" s="8"/>
      <c r="X516" s="8"/>
      <c r="Y516" s="9"/>
      <c r="Z516" s="8"/>
    </row>
    <row r="517" spans="1:26" x14ac:dyDescent="0.15">
      <c r="A517" s="8"/>
      <c r="B517" s="8"/>
      <c r="C517" s="8"/>
      <c r="D517" s="8"/>
      <c r="E517" s="9"/>
      <c r="F517" s="8"/>
      <c r="G517" s="10"/>
      <c r="H517" s="10"/>
      <c r="I517" s="10"/>
      <c r="J517" s="10"/>
      <c r="K517" s="10"/>
      <c r="L517" s="10"/>
      <c r="M517" s="10"/>
      <c r="N517" s="11"/>
      <c r="O517" s="8"/>
      <c r="P517" s="9"/>
      <c r="Q517" s="8"/>
      <c r="R517" s="9"/>
      <c r="S517" s="8"/>
      <c r="T517" s="8"/>
      <c r="U517" s="8"/>
      <c r="V517" s="11"/>
      <c r="W517" s="8"/>
      <c r="X517" s="8"/>
      <c r="Y517" s="9"/>
      <c r="Z517" s="8"/>
    </row>
    <row r="518" spans="1:26" x14ac:dyDescent="0.15">
      <c r="A518" s="8"/>
      <c r="B518" s="8"/>
      <c r="C518" s="8"/>
      <c r="D518" s="8"/>
      <c r="E518" s="9"/>
      <c r="F518" s="8"/>
      <c r="G518" s="10"/>
      <c r="H518" s="10"/>
      <c r="I518" s="10"/>
      <c r="J518" s="10"/>
      <c r="K518" s="10"/>
      <c r="L518" s="10"/>
      <c r="M518" s="10"/>
      <c r="N518" s="11"/>
      <c r="O518" s="8"/>
      <c r="P518" s="9"/>
      <c r="Q518" s="8"/>
      <c r="R518" s="9"/>
      <c r="S518" s="8"/>
      <c r="T518" s="8"/>
      <c r="U518" s="8"/>
      <c r="V518" s="11"/>
      <c r="W518" s="8"/>
      <c r="X518" s="8"/>
      <c r="Y518" s="9"/>
      <c r="Z518" s="8"/>
    </row>
    <row r="519" spans="1:26" x14ac:dyDescent="0.15">
      <c r="A519" s="8"/>
      <c r="B519" s="8"/>
      <c r="C519" s="8"/>
      <c r="D519" s="8"/>
      <c r="E519" s="8"/>
      <c r="F519" s="8"/>
      <c r="G519" s="10"/>
      <c r="H519" s="10"/>
      <c r="I519" s="10"/>
      <c r="J519" s="10"/>
      <c r="K519" s="10"/>
      <c r="L519" s="10"/>
      <c r="M519" s="10"/>
      <c r="N519" s="11"/>
      <c r="O519" s="8"/>
      <c r="P519" s="9"/>
      <c r="Q519" s="8"/>
      <c r="R519" s="9"/>
      <c r="S519" s="8"/>
      <c r="T519" s="8"/>
      <c r="U519" s="8"/>
      <c r="V519" s="11"/>
      <c r="W519" s="8"/>
      <c r="X519" s="8"/>
      <c r="Y519" s="9"/>
      <c r="Z519" s="8"/>
    </row>
    <row r="520" spans="1:26" x14ac:dyDescent="0.15">
      <c r="A520" s="8"/>
      <c r="B520" s="8"/>
      <c r="C520" s="8"/>
      <c r="D520" s="8"/>
      <c r="E520" s="8"/>
      <c r="F520" s="8"/>
      <c r="G520" s="10"/>
      <c r="H520" s="10"/>
      <c r="I520" s="10"/>
      <c r="J520" s="10"/>
      <c r="K520" s="10"/>
      <c r="L520" s="10"/>
      <c r="M520" s="10"/>
      <c r="N520" s="11"/>
      <c r="O520" s="8"/>
      <c r="P520" s="9"/>
      <c r="Q520" s="8"/>
      <c r="R520" s="9"/>
      <c r="S520" s="8"/>
      <c r="T520" s="8"/>
      <c r="U520" s="8"/>
      <c r="V520" s="11"/>
      <c r="W520" s="8"/>
      <c r="X520" s="8"/>
      <c r="Y520" s="9"/>
      <c r="Z520" s="8"/>
    </row>
    <row r="521" spans="1:26" x14ac:dyDescent="0.15">
      <c r="A521" s="8"/>
      <c r="B521" s="8"/>
      <c r="C521" s="8"/>
      <c r="D521" s="8"/>
      <c r="E521" s="8"/>
      <c r="F521" s="8"/>
      <c r="G521" s="10"/>
      <c r="H521" s="10"/>
      <c r="I521" s="10"/>
      <c r="J521" s="10"/>
      <c r="K521" s="10"/>
      <c r="L521" s="10"/>
      <c r="M521" s="10"/>
      <c r="N521" s="11"/>
      <c r="O521" s="8"/>
      <c r="P521" s="9"/>
      <c r="Q521" s="8"/>
      <c r="R521" s="9"/>
      <c r="S521" s="8"/>
      <c r="T521" s="8"/>
      <c r="U521" s="8"/>
      <c r="V521" s="11"/>
      <c r="W521" s="8"/>
      <c r="X521" s="8"/>
      <c r="Y521" s="9"/>
      <c r="Z521" s="8"/>
    </row>
    <row r="522" spans="1:26" x14ac:dyDescent="0.15">
      <c r="A522" s="8"/>
      <c r="B522" s="8"/>
      <c r="C522" s="8"/>
      <c r="D522" s="8"/>
      <c r="E522" s="8"/>
      <c r="F522" s="8"/>
      <c r="G522" s="10"/>
      <c r="H522" s="10"/>
      <c r="I522" s="10"/>
      <c r="J522" s="10"/>
      <c r="K522" s="10"/>
      <c r="L522" s="10"/>
      <c r="M522" s="10"/>
      <c r="N522" s="11"/>
      <c r="O522" s="8"/>
      <c r="P522" s="9"/>
      <c r="Q522" s="8"/>
      <c r="R522" s="9"/>
      <c r="S522" s="8"/>
      <c r="T522" s="8"/>
      <c r="U522" s="8"/>
      <c r="V522" s="11"/>
      <c r="W522" s="8"/>
      <c r="X522" s="8"/>
      <c r="Y522" s="9"/>
      <c r="Z522" s="8"/>
    </row>
    <row r="523" spans="1:26" x14ac:dyDescent="0.15">
      <c r="A523" s="8"/>
      <c r="B523" s="8"/>
      <c r="C523" s="8"/>
      <c r="D523" s="8"/>
      <c r="E523" s="8"/>
      <c r="F523" s="8"/>
      <c r="G523" s="10"/>
      <c r="H523" s="10"/>
      <c r="I523" s="10"/>
      <c r="J523" s="10"/>
      <c r="K523" s="10"/>
      <c r="L523" s="10"/>
      <c r="M523" s="10"/>
      <c r="N523" s="11"/>
      <c r="O523" s="8"/>
      <c r="P523" s="9"/>
      <c r="Q523" s="8"/>
      <c r="R523" s="9"/>
      <c r="S523" s="8"/>
      <c r="T523" s="8"/>
      <c r="U523" s="8"/>
      <c r="V523" s="11"/>
      <c r="W523" s="8"/>
      <c r="X523" s="8"/>
      <c r="Y523" s="9"/>
      <c r="Z523" s="8"/>
    </row>
    <row r="524" spans="1:26" x14ac:dyDescent="0.15">
      <c r="A524" s="8"/>
      <c r="B524" s="8"/>
      <c r="C524" s="8"/>
      <c r="D524" s="8"/>
      <c r="E524" s="8"/>
      <c r="F524" s="8"/>
      <c r="G524" s="10"/>
      <c r="H524" s="10"/>
      <c r="I524" s="10"/>
      <c r="J524" s="10"/>
      <c r="K524" s="10"/>
      <c r="L524" s="10"/>
      <c r="M524" s="10"/>
      <c r="N524" s="11"/>
      <c r="O524" s="8"/>
      <c r="P524" s="9"/>
      <c r="Q524" s="8"/>
      <c r="R524" s="9"/>
      <c r="S524" s="8"/>
      <c r="T524" s="8"/>
      <c r="U524" s="8"/>
      <c r="V524" s="11"/>
      <c r="W524" s="8"/>
      <c r="X524" s="8"/>
      <c r="Y524" s="9"/>
      <c r="Z524" s="8"/>
    </row>
    <row r="525" spans="1:26" x14ac:dyDescent="0.15">
      <c r="A525" s="8"/>
      <c r="B525" s="8"/>
      <c r="C525" s="8"/>
      <c r="D525" s="8"/>
      <c r="E525" s="8"/>
      <c r="F525" s="8"/>
      <c r="G525" s="10"/>
      <c r="H525" s="10"/>
      <c r="I525" s="10"/>
      <c r="J525" s="10"/>
      <c r="K525" s="10"/>
      <c r="L525" s="10"/>
      <c r="M525" s="10"/>
      <c r="N525" s="11"/>
      <c r="O525" s="8"/>
      <c r="P525" s="9"/>
      <c r="Q525" s="8"/>
      <c r="R525" s="9"/>
      <c r="S525" s="8"/>
      <c r="T525" s="8"/>
      <c r="U525" s="8"/>
      <c r="V525" s="11"/>
      <c r="W525" s="8"/>
      <c r="X525" s="8"/>
      <c r="Y525" s="9"/>
      <c r="Z525" s="8"/>
    </row>
    <row r="526" spans="1:26" x14ac:dyDescent="0.15">
      <c r="A526" s="8"/>
      <c r="B526" s="8"/>
      <c r="C526" s="8"/>
      <c r="D526" s="8"/>
      <c r="E526" s="8"/>
      <c r="F526" s="8"/>
      <c r="G526" s="10"/>
      <c r="H526" s="10"/>
      <c r="I526" s="10"/>
      <c r="J526" s="10"/>
      <c r="K526" s="10"/>
      <c r="L526" s="10"/>
      <c r="M526" s="10"/>
      <c r="N526" s="11"/>
      <c r="O526" s="8"/>
      <c r="P526" s="9"/>
      <c r="Q526" s="8"/>
      <c r="R526" s="9"/>
      <c r="S526" s="8"/>
      <c r="T526" s="8"/>
      <c r="U526" s="8"/>
      <c r="V526" s="11"/>
      <c r="W526" s="8"/>
      <c r="X526" s="8"/>
      <c r="Y526" s="9"/>
      <c r="Z526" s="8"/>
    </row>
    <row r="527" spans="1:26" x14ac:dyDescent="0.15">
      <c r="A527" s="8"/>
      <c r="B527" s="8"/>
      <c r="C527" s="8"/>
      <c r="D527" s="8"/>
      <c r="E527" s="8"/>
      <c r="F527" s="8"/>
      <c r="G527" s="10"/>
      <c r="H527" s="10"/>
      <c r="I527" s="10"/>
      <c r="J527" s="10"/>
      <c r="K527" s="10"/>
      <c r="L527" s="10"/>
      <c r="M527" s="10"/>
      <c r="N527" s="11"/>
      <c r="O527" s="8"/>
      <c r="P527" s="9"/>
      <c r="Q527" s="8"/>
      <c r="R527" s="9"/>
      <c r="S527" s="8"/>
      <c r="T527" s="8"/>
      <c r="U527" s="8"/>
      <c r="V527" s="11"/>
      <c r="W527" s="8"/>
      <c r="X527" s="8"/>
      <c r="Y527" s="9"/>
      <c r="Z527" s="8"/>
    </row>
    <row r="528" spans="1:26" x14ac:dyDescent="0.15">
      <c r="A528" s="8"/>
      <c r="B528" s="8"/>
      <c r="C528" s="8"/>
      <c r="D528" s="8"/>
      <c r="E528" s="8"/>
      <c r="F528" s="8"/>
      <c r="G528" s="10"/>
      <c r="H528" s="10"/>
      <c r="I528" s="10"/>
      <c r="J528" s="10"/>
      <c r="K528" s="10"/>
      <c r="L528" s="10"/>
      <c r="M528" s="10"/>
      <c r="N528" s="11"/>
      <c r="O528" s="8"/>
      <c r="P528" s="9"/>
      <c r="Q528" s="8"/>
      <c r="R528" s="9"/>
      <c r="S528" s="8"/>
      <c r="T528" s="8"/>
      <c r="U528" s="8"/>
      <c r="V528" s="11"/>
      <c r="W528" s="8"/>
      <c r="X528" s="8"/>
      <c r="Y528" s="9"/>
      <c r="Z528" s="8"/>
    </row>
    <row r="529" spans="1:26" x14ac:dyDescent="0.15">
      <c r="A529" s="8"/>
      <c r="B529" s="8"/>
      <c r="C529" s="8"/>
      <c r="D529" s="8"/>
      <c r="E529" s="8"/>
      <c r="F529" s="8"/>
      <c r="G529" s="10"/>
      <c r="H529" s="10"/>
      <c r="I529" s="10"/>
      <c r="J529" s="10"/>
      <c r="K529" s="10"/>
      <c r="L529" s="10"/>
      <c r="M529" s="10"/>
      <c r="N529" s="11"/>
      <c r="O529" s="8"/>
      <c r="P529" s="9"/>
      <c r="Q529" s="8"/>
      <c r="R529" s="9"/>
      <c r="S529" s="8"/>
      <c r="T529" s="8"/>
      <c r="U529" s="8"/>
      <c r="V529" s="11"/>
      <c r="W529" s="8"/>
      <c r="X529" s="8"/>
      <c r="Y529" s="9"/>
      <c r="Z529" s="8"/>
    </row>
    <row r="530" spans="1:26" x14ac:dyDescent="0.15">
      <c r="A530" s="8"/>
      <c r="B530" s="8"/>
      <c r="C530" s="8"/>
      <c r="D530" s="8"/>
      <c r="E530" s="8"/>
      <c r="F530" s="8"/>
      <c r="G530" s="10"/>
      <c r="H530" s="10"/>
      <c r="I530" s="10"/>
      <c r="J530" s="10"/>
      <c r="K530" s="10"/>
      <c r="L530" s="10"/>
      <c r="M530" s="10"/>
      <c r="N530" s="11"/>
      <c r="O530" s="8"/>
      <c r="P530" s="9"/>
      <c r="Q530" s="8"/>
      <c r="R530" s="9"/>
      <c r="S530" s="8"/>
      <c r="T530" s="8"/>
      <c r="U530" s="8"/>
      <c r="V530" s="11"/>
      <c r="W530" s="8"/>
      <c r="X530" s="8"/>
      <c r="Y530" s="9"/>
      <c r="Z530" s="8"/>
    </row>
    <row r="531" spans="1:26" x14ac:dyDescent="0.15">
      <c r="A531" s="8"/>
      <c r="B531" s="8"/>
      <c r="C531" s="8"/>
      <c r="D531" s="8"/>
      <c r="E531" s="8"/>
      <c r="F531" s="8"/>
      <c r="G531" s="10"/>
      <c r="H531" s="10"/>
      <c r="I531" s="10"/>
      <c r="J531" s="10"/>
      <c r="K531" s="10"/>
      <c r="L531" s="10"/>
      <c r="M531" s="10"/>
      <c r="N531" s="11"/>
      <c r="O531" s="8"/>
      <c r="P531" s="9"/>
      <c r="Q531" s="8"/>
      <c r="R531" s="9"/>
      <c r="S531" s="8"/>
      <c r="T531" s="8"/>
      <c r="U531" s="8"/>
      <c r="V531" s="11"/>
      <c r="W531" s="8"/>
      <c r="X531" s="8"/>
      <c r="Y531" s="9"/>
      <c r="Z531" s="8"/>
    </row>
    <row r="532" spans="1:26" x14ac:dyDescent="0.15">
      <c r="A532" s="8"/>
      <c r="B532" s="8"/>
      <c r="C532" s="8"/>
      <c r="D532" s="8"/>
      <c r="E532" s="8"/>
      <c r="F532" s="8"/>
      <c r="G532" s="10"/>
      <c r="H532" s="10"/>
      <c r="I532" s="10"/>
      <c r="J532" s="10"/>
      <c r="K532" s="10"/>
      <c r="L532" s="10"/>
      <c r="M532" s="10"/>
      <c r="N532" s="11"/>
      <c r="O532" s="8"/>
      <c r="P532" s="9"/>
      <c r="Q532" s="8"/>
      <c r="R532" s="9"/>
      <c r="S532" s="8"/>
      <c r="T532" s="8"/>
      <c r="U532" s="8"/>
      <c r="V532" s="11"/>
      <c r="W532" s="8"/>
      <c r="X532" s="8"/>
      <c r="Y532" s="9"/>
      <c r="Z532" s="8"/>
    </row>
    <row r="533" spans="1:26" x14ac:dyDescent="0.15">
      <c r="A533" s="8"/>
      <c r="B533" s="8"/>
      <c r="C533" s="8"/>
      <c r="D533" s="8"/>
      <c r="E533" s="8"/>
      <c r="F533" s="8"/>
      <c r="G533" s="10"/>
      <c r="H533" s="10"/>
      <c r="I533" s="10"/>
      <c r="J533" s="10"/>
      <c r="K533" s="10"/>
      <c r="L533" s="10"/>
      <c r="M533" s="10"/>
      <c r="N533" s="11"/>
      <c r="O533" s="8"/>
      <c r="P533" s="9"/>
      <c r="Q533" s="8"/>
      <c r="R533" s="9"/>
      <c r="S533" s="8"/>
      <c r="T533" s="8"/>
      <c r="U533" s="8"/>
      <c r="V533" s="11"/>
      <c r="W533" s="8"/>
      <c r="X533" s="8"/>
      <c r="Y533" s="9"/>
      <c r="Z533" s="8"/>
    </row>
    <row r="534" spans="1:26" x14ac:dyDescent="0.15">
      <c r="A534" s="8"/>
      <c r="B534" s="8"/>
      <c r="C534" s="8"/>
      <c r="D534" s="8"/>
      <c r="E534" s="8"/>
      <c r="F534" s="8"/>
      <c r="G534" s="10"/>
      <c r="H534" s="10"/>
      <c r="I534" s="10"/>
      <c r="J534" s="10"/>
      <c r="K534" s="10"/>
      <c r="L534" s="10"/>
      <c r="M534" s="10"/>
      <c r="N534" s="11"/>
      <c r="O534" s="8"/>
      <c r="P534" s="9"/>
      <c r="Q534" s="8"/>
      <c r="R534" s="9"/>
      <c r="S534" s="8"/>
      <c r="T534" s="8"/>
      <c r="U534" s="8"/>
      <c r="V534" s="11"/>
      <c r="W534" s="8"/>
      <c r="X534" s="8"/>
      <c r="Y534" s="9"/>
      <c r="Z534" s="8"/>
    </row>
    <row r="535" spans="1:26" x14ac:dyDescent="0.15">
      <c r="A535" s="8"/>
      <c r="B535" s="8"/>
      <c r="C535" s="8"/>
      <c r="D535" s="8"/>
      <c r="E535" s="8"/>
      <c r="F535" s="8"/>
      <c r="G535" s="10"/>
      <c r="H535" s="10"/>
      <c r="I535" s="10"/>
      <c r="J535" s="10"/>
      <c r="K535" s="10"/>
      <c r="L535" s="10"/>
      <c r="M535" s="10"/>
      <c r="N535" s="11"/>
      <c r="O535" s="8"/>
      <c r="P535" s="9"/>
      <c r="Q535" s="8"/>
      <c r="R535" s="9"/>
      <c r="S535" s="8"/>
      <c r="T535" s="8"/>
      <c r="U535" s="8"/>
      <c r="V535" s="11"/>
      <c r="W535" s="8"/>
      <c r="X535" s="8"/>
      <c r="Y535" s="9"/>
      <c r="Z535" s="8"/>
    </row>
    <row r="536" spans="1:26" x14ac:dyDescent="0.15">
      <c r="A536" s="8"/>
      <c r="B536" s="8"/>
      <c r="C536" s="8"/>
      <c r="D536" s="8"/>
      <c r="E536" s="8"/>
      <c r="F536" s="8"/>
      <c r="G536" s="10"/>
      <c r="H536" s="10"/>
      <c r="I536" s="10"/>
      <c r="J536" s="10"/>
      <c r="K536" s="10"/>
      <c r="L536" s="10"/>
      <c r="M536" s="10"/>
      <c r="N536" s="11"/>
      <c r="O536" s="8"/>
      <c r="P536" s="9"/>
      <c r="Q536" s="8"/>
      <c r="R536" s="9"/>
      <c r="S536" s="8"/>
      <c r="T536" s="8"/>
      <c r="U536" s="8"/>
      <c r="V536" s="11"/>
      <c r="W536" s="8"/>
      <c r="X536" s="8"/>
      <c r="Y536" s="9"/>
      <c r="Z536" s="8"/>
    </row>
    <row r="537" spans="1:26" x14ac:dyDescent="0.15">
      <c r="A537" s="8"/>
      <c r="B537" s="8"/>
      <c r="C537" s="8"/>
      <c r="D537" s="8"/>
      <c r="E537" s="8"/>
      <c r="F537" s="8"/>
      <c r="G537" s="10"/>
      <c r="H537" s="10"/>
      <c r="I537" s="10"/>
      <c r="J537" s="10"/>
      <c r="K537" s="10"/>
      <c r="L537" s="10"/>
      <c r="M537" s="10"/>
      <c r="N537" s="11"/>
      <c r="O537" s="8"/>
      <c r="P537" s="9"/>
      <c r="Q537" s="8"/>
      <c r="R537" s="9"/>
      <c r="S537" s="8"/>
      <c r="T537" s="8"/>
      <c r="U537" s="8"/>
      <c r="V537" s="11"/>
      <c r="W537" s="8"/>
      <c r="X537" s="8"/>
      <c r="Y537" s="9"/>
      <c r="Z537" s="8"/>
    </row>
    <row r="538" spans="1:26" x14ac:dyDescent="0.15">
      <c r="A538" s="8"/>
      <c r="B538" s="8"/>
      <c r="C538" s="8"/>
      <c r="D538" s="8"/>
      <c r="E538" s="8"/>
      <c r="F538" s="8"/>
      <c r="G538" s="10"/>
      <c r="H538" s="10"/>
      <c r="I538" s="10"/>
      <c r="J538" s="10"/>
      <c r="K538" s="10"/>
      <c r="L538" s="10"/>
      <c r="M538" s="10"/>
      <c r="N538" s="11"/>
      <c r="O538" s="8"/>
      <c r="P538" s="9"/>
      <c r="Q538" s="8"/>
      <c r="R538" s="9"/>
      <c r="S538" s="8"/>
      <c r="T538" s="8"/>
      <c r="U538" s="8"/>
      <c r="V538" s="11"/>
      <c r="W538" s="8"/>
      <c r="X538" s="8"/>
      <c r="Y538" s="9"/>
      <c r="Z538" s="8"/>
    </row>
    <row r="539" spans="1:26" x14ac:dyDescent="0.15">
      <c r="A539" s="8"/>
      <c r="B539" s="8"/>
      <c r="C539" s="8"/>
      <c r="D539" s="8"/>
      <c r="E539" s="8"/>
      <c r="F539" s="8"/>
      <c r="G539" s="10"/>
      <c r="H539" s="10"/>
      <c r="I539" s="10"/>
      <c r="J539" s="10"/>
      <c r="K539" s="10"/>
      <c r="L539" s="10"/>
      <c r="M539" s="10"/>
      <c r="N539" s="11"/>
      <c r="O539" s="8"/>
      <c r="P539" s="9"/>
      <c r="Q539" s="8"/>
      <c r="R539" s="9"/>
      <c r="S539" s="8"/>
      <c r="T539" s="8"/>
      <c r="U539" s="8"/>
      <c r="V539" s="11"/>
      <c r="W539" s="8"/>
      <c r="X539" s="8"/>
      <c r="Y539" s="9"/>
      <c r="Z539" s="8"/>
    </row>
    <row r="540" spans="1:26" x14ac:dyDescent="0.15">
      <c r="A540" s="8"/>
      <c r="B540" s="8"/>
      <c r="C540" s="8"/>
      <c r="D540" s="8"/>
      <c r="E540" s="8"/>
      <c r="F540" s="8"/>
      <c r="G540" s="10"/>
      <c r="H540" s="10"/>
      <c r="I540" s="10"/>
      <c r="J540" s="10"/>
      <c r="K540" s="10"/>
      <c r="L540" s="10"/>
      <c r="M540" s="10"/>
      <c r="N540" s="11"/>
      <c r="O540" s="8"/>
      <c r="P540" s="9"/>
      <c r="Q540" s="8"/>
      <c r="R540" s="9"/>
      <c r="S540" s="8"/>
      <c r="T540" s="8"/>
      <c r="U540" s="8"/>
      <c r="V540" s="11"/>
      <c r="W540" s="8"/>
      <c r="X540" s="8"/>
      <c r="Y540" s="9"/>
      <c r="Z540" s="8"/>
    </row>
    <row r="541" spans="1:26" x14ac:dyDescent="0.15">
      <c r="A541" s="8"/>
      <c r="B541" s="8"/>
      <c r="C541" s="8"/>
      <c r="D541" s="8"/>
      <c r="E541" s="8"/>
      <c r="F541" s="8"/>
      <c r="G541" s="10"/>
      <c r="H541" s="10"/>
      <c r="I541" s="10"/>
      <c r="J541" s="10"/>
      <c r="K541" s="10"/>
      <c r="L541" s="10"/>
      <c r="M541" s="10"/>
      <c r="N541" s="11"/>
      <c r="O541" s="8"/>
      <c r="P541" s="9"/>
      <c r="Q541" s="8"/>
      <c r="R541" s="9"/>
      <c r="S541" s="8"/>
      <c r="T541" s="8"/>
      <c r="U541" s="8"/>
      <c r="V541" s="11"/>
      <c r="W541" s="8"/>
      <c r="X541" s="8"/>
      <c r="Y541" s="9"/>
      <c r="Z541" s="8"/>
    </row>
    <row r="542" spans="1:26" x14ac:dyDescent="0.15">
      <c r="A542" s="8"/>
      <c r="B542" s="8"/>
      <c r="C542" s="8"/>
      <c r="D542" s="8"/>
      <c r="E542" s="8"/>
      <c r="F542" s="8"/>
      <c r="G542" s="10"/>
      <c r="H542" s="10"/>
      <c r="I542" s="10"/>
      <c r="J542" s="10"/>
      <c r="K542" s="10"/>
      <c r="L542" s="10"/>
      <c r="M542" s="10"/>
      <c r="N542" s="11"/>
      <c r="O542" s="8"/>
      <c r="P542" s="9"/>
      <c r="Q542" s="8"/>
      <c r="R542" s="9"/>
      <c r="S542" s="8"/>
      <c r="T542" s="8"/>
      <c r="U542" s="8"/>
      <c r="V542" s="11"/>
      <c r="W542" s="8"/>
      <c r="X542" s="8"/>
      <c r="Y542" s="9"/>
      <c r="Z542" s="8"/>
    </row>
    <row r="543" spans="1:26" x14ac:dyDescent="0.15">
      <c r="A543" s="8"/>
      <c r="B543" s="8"/>
      <c r="C543" s="8"/>
      <c r="D543" s="8"/>
      <c r="E543" s="8"/>
      <c r="F543" s="8"/>
      <c r="G543" s="10"/>
      <c r="H543" s="10"/>
      <c r="I543" s="10"/>
      <c r="J543" s="10"/>
      <c r="K543" s="10"/>
      <c r="L543" s="10"/>
      <c r="M543" s="10"/>
      <c r="N543" s="11"/>
      <c r="O543" s="8"/>
      <c r="P543" s="9"/>
      <c r="Q543" s="8"/>
      <c r="R543" s="9"/>
      <c r="S543" s="8"/>
      <c r="T543" s="8"/>
      <c r="U543" s="8"/>
      <c r="V543" s="11"/>
      <c r="W543" s="8"/>
      <c r="X543" s="8"/>
      <c r="Y543" s="9"/>
      <c r="Z543" s="8"/>
    </row>
    <row r="544" spans="1:26" x14ac:dyDescent="0.15">
      <c r="A544" s="8"/>
      <c r="B544" s="8"/>
      <c r="C544" s="8"/>
      <c r="D544" s="8"/>
      <c r="E544" s="8"/>
      <c r="F544" s="8"/>
      <c r="G544" s="10"/>
      <c r="H544" s="10"/>
      <c r="I544" s="10"/>
      <c r="J544" s="10"/>
      <c r="K544" s="10"/>
      <c r="L544" s="10"/>
      <c r="M544" s="10"/>
      <c r="N544" s="11"/>
      <c r="O544" s="8"/>
      <c r="P544" s="9"/>
      <c r="Q544" s="8"/>
      <c r="R544" s="9"/>
      <c r="S544" s="8"/>
      <c r="T544" s="8"/>
      <c r="U544" s="8"/>
      <c r="V544" s="11"/>
      <c r="W544" s="8"/>
      <c r="X544" s="8"/>
      <c r="Y544" s="9"/>
      <c r="Z544" s="8"/>
    </row>
    <row r="545" spans="1:26" x14ac:dyDescent="0.15">
      <c r="A545" s="8"/>
      <c r="B545" s="8"/>
      <c r="C545" s="8"/>
      <c r="D545" s="8"/>
      <c r="E545" s="8"/>
      <c r="F545" s="8"/>
      <c r="G545" s="10"/>
      <c r="H545" s="10"/>
      <c r="I545" s="10"/>
      <c r="J545" s="10"/>
      <c r="K545" s="10"/>
      <c r="L545" s="10"/>
      <c r="M545" s="10"/>
      <c r="N545" s="11"/>
      <c r="O545" s="8"/>
      <c r="P545" s="9"/>
      <c r="Q545" s="8"/>
      <c r="R545" s="9"/>
      <c r="S545" s="8"/>
      <c r="T545" s="8"/>
      <c r="U545" s="8"/>
      <c r="V545" s="11"/>
      <c r="W545" s="8"/>
      <c r="X545" s="8"/>
      <c r="Y545" s="9"/>
      <c r="Z545" s="8"/>
    </row>
    <row r="546" spans="1:26" x14ac:dyDescent="0.15">
      <c r="A546" s="8"/>
      <c r="B546" s="8"/>
      <c r="C546" s="8"/>
      <c r="D546" s="8"/>
      <c r="E546" s="8"/>
      <c r="F546" s="8"/>
      <c r="G546" s="10"/>
      <c r="H546" s="10"/>
      <c r="I546" s="10"/>
      <c r="J546" s="10"/>
      <c r="K546" s="10"/>
      <c r="L546" s="10"/>
      <c r="M546" s="10"/>
      <c r="N546" s="11"/>
      <c r="O546" s="8"/>
      <c r="P546" s="9"/>
      <c r="Q546" s="8"/>
      <c r="R546" s="9"/>
      <c r="S546" s="8"/>
      <c r="T546" s="8"/>
      <c r="U546" s="8"/>
      <c r="V546" s="11"/>
      <c r="W546" s="8"/>
      <c r="X546" s="8"/>
      <c r="Y546" s="9"/>
      <c r="Z546" s="8"/>
    </row>
    <row r="547" spans="1:26" x14ac:dyDescent="0.15">
      <c r="A547" s="8"/>
      <c r="B547" s="8"/>
      <c r="C547" s="8"/>
      <c r="D547" s="8"/>
      <c r="E547" s="8"/>
      <c r="F547" s="8"/>
      <c r="G547" s="10"/>
      <c r="H547" s="10"/>
      <c r="I547" s="10"/>
      <c r="J547" s="10"/>
      <c r="K547" s="10"/>
      <c r="L547" s="10"/>
      <c r="M547" s="10"/>
      <c r="N547" s="11"/>
      <c r="O547" s="8"/>
      <c r="P547" s="9"/>
      <c r="Q547" s="8"/>
      <c r="R547" s="9"/>
      <c r="S547" s="8"/>
      <c r="T547" s="8"/>
      <c r="U547" s="8"/>
      <c r="V547" s="11"/>
      <c r="W547" s="8"/>
      <c r="X547" s="8"/>
      <c r="Y547" s="9"/>
      <c r="Z547" s="8"/>
    </row>
    <row r="548" spans="1:26" x14ac:dyDescent="0.15">
      <c r="A548" s="8"/>
      <c r="B548" s="8"/>
      <c r="C548" s="8"/>
      <c r="D548" s="8"/>
      <c r="E548" s="8"/>
      <c r="F548" s="8"/>
      <c r="G548" s="10"/>
      <c r="H548" s="10"/>
      <c r="I548" s="10"/>
      <c r="J548" s="10"/>
      <c r="K548" s="10"/>
      <c r="L548" s="10"/>
      <c r="M548" s="10"/>
      <c r="N548" s="11"/>
      <c r="O548" s="8"/>
      <c r="P548" s="9"/>
      <c r="Q548" s="8"/>
      <c r="R548" s="9"/>
      <c r="S548" s="8"/>
      <c r="T548" s="8"/>
      <c r="U548" s="8"/>
      <c r="V548" s="11"/>
      <c r="W548" s="8"/>
      <c r="X548" s="8"/>
      <c r="Y548" s="9"/>
      <c r="Z548" s="8"/>
    </row>
    <row r="549" spans="1:26" x14ac:dyDescent="0.15">
      <c r="A549" s="8"/>
      <c r="B549" s="8"/>
      <c r="C549" s="8"/>
      <c r="D549" s="8"/>
      <c r="E549" s="8"/>
      <c r="F549" s="8"/>
      <c r="G549" s="10"/>
      <c r="H549" s="10"/>
      <c r="I549" s="10"/>
      <c r="J549" s="10"/>
      <c r="K549" s="10"/>
      <c r="L549" s="10"/>
      <c r="M549" s="10"/>
      <c r="N549" s="11"/>
      <c r="O549" s="8"/>
      <c r="P549" s="9"/>
      <c r="Q549" s="8"/>
      <c r="R549" s="9"/>
      <c r="S549" s="8"/>
      <c r="T549" s="8"/>
      <c r="U549" s="8"/>
      <c r="V549" s="11"/>
      <c r="W549" s="8"/>
      <c r="X549" s="8"/>
      <c r="Y549" s="9"/>
      <c r="Z549" s="8"/>
    </row>
    <row r="550" spans="1:26" x14ac:dyDescent="0.15">
      <c r="A550" s="8"/>
      <c r="B550" s="8"/>
      <c r="C550" s="8"/>
      <c r="D550" s="8"/>
      <c r="E550" s="8"/>
      <c r="F550" s="8"/>
      <c r="G550" s="10"/>
      <c r="H550" s="10"/>
      <c r="I550" s="10"/>
      <c r="J550" s="10"/>
      <c r="K550" s="10"/>
      <c r="L550" s="10"/>
      <c r="M550" s="10"/>
      <c r="N550" s="11"/>
      <c r="O550" s="8"/>
      <c r="P550" s="9"/>
      <c r="Q550" s="8"/>
      <c r="R550" s="9"/>
      <c r="S550" s="8"/>
      <c r="T550" s="8"/>
      <c r="U550" s="8"/>
      <c r="V550" s="11"/>
      <c r="W550" s="8"/>
      <c r="X550" s="8"/>
      <c r="Y550" s="9"/>
      <c r="Z550" s="8"/>
    </row>
    <row r="551" spans="1:26" x14ac:dyDescent="0.15">
      <c r="A551" s="8"/>
      <c r="B551" s="8"/>
      <c r="C551" s="8"/>
      <c r="D551" s="8"/>
      <c r="E551" s="8"/>
      <c r="F551" s="8"/>
      <c r="G551" s="10"/>
      <c r="H551" s="10"/>
      <c r="I551" s="10"/>
      <c r="J551" s="10"/>
      <c r="K551" s="10"/>
      <c r="L551" s="10"/>
      <c r="M551" s="10"/>
      <c r="N551" s="11"/>
      <c r="O551" s="8"/>
      <c r="P551" s="9"/>
      <c r="Q551" s="8"/>
      <c r="R551" s="9"/>
      <c r="S551" s="8"/>
      <c r="T551" s="8"/>
      <c r="U551" s="8"/>
      <c r="V551" s="11"/>
      <c r="W551" s="8"/>
      <c r="X551" s="8"/>
      <c r="Y551" s="9"/>
      <c r="Z551" s="8"/>
    </row>
    <row r="552" spans="1:26" x14ac:dyDescent="0.15">
      <c r="A552" s="8"/>
      <c r="B552" s="8"/>
      <c r="C552" s="8"/>
      <c r="D552" s="8"/>
      <c r="E552" s="8"/>
      <c r="F552" s="8"/>
      <c r="G552" s="10"/>
      <c r="H552" s="10"/>
      <c r="I552" s="10"/>
      <c r="J552" s="10"/>
      <c r="K552" s="10"/>
      <c r="L552" s="10"/>
      <c r="M552" s="10"/>
      <c r="N552" s="11"/>
      <c r="O552" s="8"/>
      <c r="P552" s="9"/>
      <c r="Q552" s="8"/>
      <c r="R552" s="9"/>
      <c r="S552" s="8"/>
      <c r="T552" s="8"/>
      <c r="U552" s="8"/>
      <c r="V552" s="11"/>
      <c r="W552" s="8"/>
      <c r="X552" s="8"/>
      <c r="Y552" s="9"/>
      <c r="Z552" s="8"/>
    </row>
    <row r="553" spans="1:26" x14ac:dyDescent="0.15">
      <c r="A553" s="8"/>
      <c r="B553" s="8"/>
      <c r="C553" s="8"/>
      <c r="D553" s="8"/>
      <c r="E553" s="8"/>
      <c r="F553" s="8"/>
      <c r="G553" s="10"/>
      <c r="H553" s="10"/>
      <c r="I553" s="10"/>
      <c r="J553" s="10"/>
      <c r="K553" s="10"/>
      <c r="L553" s="10"/>
      <c r="M553" s="10"/>
      <c r="N553" s="11"/>
      <c r="O553" s="8"/>
      <c r="P553" s="9"/>
      <c r="Q553" s="8"/>
      <c r="R553" s="9"/>
      <c r="S553" s="8"/>
      <c r="T553" s="8"/>
      <c r="U553" s="8"/>
      <c r="V553" s="11"/>
      <c r="W553" s="8"/>
      <c r="X553" s="8"/>
      <c r="Y553" s="9"/>
      <c r="Z553" s="8"/>
    </row>
    <row r="554" spans="1:26" x14ac:dyDescent="0.15">
      <c r="A554" s="8"/>
      <c r="B554" s="8"/>
      <c r="C554" s="8"/>
      <c r="D554" s="8"/>
      <c r="E554" s="8"/>
      <c r="F554" s="8"/>
      <c r="G554" s="10"/>
      <c r="H554" s="10"/>
      <c r="I554" s="10"/>
      <c r="J554" s="10"/>
      <c r="K554" s="10"/>
      <c r="L554" s="10"/>
      <c r="M554" s="10"/>
      <c r="N554" s="11"/>
      <c r="O554" s="8"/>
      <c r="P554" s="9"/>
      <c r="Q554" s="8"/>
      <c r="R554" s="9"/>
      <c r="S554" s="8"/>
      <c r="T554" s="8"/>
      <c r="U554" s="8"/>
      <c r="V554" s="11"/>
      <c r="W554" s="8"/>
      <c r="X554" s="8"/>
      <c r="Y554" s="9"/>
      <c r="Z554" s="8"/>
    </row>
    <row r="555" spans="1:26" x14ac:dyDescent="0.15">
      <c r="A555" s="8"/>
      <c r="B555" s="8"/>
      <c r="C555" s="8"/>
      <c r="D555" s="8"/>
      <c r="E555" s="8"/>
      <c r="F555" s="8"/>
      <c r="G555" s="10"/>
      <c r="H555" s="10"/>
      <c r="I555" s="10"/>
      <c r="J555" s="10"/>
      <c r="K555" s="10"/>
      <c r="L555" s="10"/>
      <c r="M555" s="10"/>
      <c r="N555" s="11"/>
      <c r="O555" s="8"/>
      <c r="P555" s="9"/>
      <c r="Q555" s="8"/>
      <c r="R555" s="9"/>
      <c r="S555" s="8"/>
      <c r="T555" s="8"/>
      <c r="U555" s="8"/>
      <c r="V555" s="11"/>
      <c r="W555" s="8"/>
      <c r="X555" s="8"/>
      <c r="Y555" s="9"/>
      <c r="Z555" s="8"/>
    </row>
    <row r="556" spans="1:26" x14ac:dyDescent="0.15">
      <c r="A556" s="8"/>
      <c r="B556" s="8"/>
      <c r="C556" s="8"/>
      <c r="D556" s="8"/>
      <c r="E556" s="8"/>
      <c r="F556" s="8"/>
      <c r="G556" s="10"/>
      <c r="H556" s="10"/>
      <c r="I556" s="10"/>
      <c r="J556" s="10"/>
      <c r="K556" s="10"/>
      <c r="L556" s="10"/>
      <c r="M556" s="10"/>
      <c r="N556" s="11"/>
      <c r="O556" s="8"/>
      <c r="P556" s="9"/>
      <c r="Q556" s="8"/>
      <c r="R556" s="9"/>
      <c r="S556" s="8"/>
      <c r="T556" s="8"/>
      <c r="U556" s="8"/>
      <c r="V556" s="11"/>
      <c r="W556" s="8"/>
      <c r="X556" s="8"/>
      <c r="Y556" s="9"/>
      <c r="Z556" s="8"/>
    </row>
    <row r="557" spans="1:26" x14ac:dyDescent="0.15">
      <c r="A557" s="8"/>
      <c r="B557" s="8"/>
      <c r="C557" s="8"/>
      <c r="D557" s="8"/>
      <c r="E557" s="8"/>
      <c r="F557" s="8"/>
      <c r="G557" s="10"/>
      <c r="H557" s="10"/>
      <c r="I557" s="10"/>
      <c r="J557" s="10"/>
      <c r="K557" s="10"/>
      <c r="L557" s="10"/>
      <c r="M557" s="10"/>
      <c r="N557" s="11"/>
      <c r="O557" s="8"/>
      <c r="P557" s="9"/>
      <c r="Q557" s="8"/>
      <c r="R557" s="9"/>
      <c r="S557" s="8"/>
      <c r="T557" s="8"/>
      <c r="U557" s="8"/>
      <c r="V557" s="11"/>
      <c r="W557" s="8"/>
      <c r="X557" s="8"/>
      <c r="Y557" s="9"/>
      <c r="Z557" s="8"/>
    </row>
    <row r="558" spans="1:26" x14ac:dyDescent="0.15">
      <c r="A558" s="8"/>
      <c r="B558" s="8"/>
      <c r="C558" s="8"/>
      <c r="D558" s="8"/>
      <c r="E558" s="8"/>
      <c r="F558" s="8"/>
      <c r="G558" s="10"/>
      <c r="H558" s="10"/>
      <c r="I558" s="10"/>
      <c r="J558" s="10"/>
      <c r="K558" s="10"/>
      <c r="L558" s="10"/>
      <c r="M558" s="10"/>
      <c r="N558" s="11"/>
      <c r="O558" s="8"/>
      <c r="P558" s="9"/>
      <c r="Q558" s="8"/>
      <c r="R558" s="9"/>
      <c r="S558" s="8"/>
      <c r="T558" s="8"/>
      <c r="U558" s="8"/>
      <c r="V558" s="11"/>
      <c r="W558" s="8"/>
      <c r="X558" s="8"/>
      <c r="Y558" s="9"/>
      <c r="Z558" s="8"/>
    </row>
    <row r="559" spans="1:26" x14ac:dyDescent="0.15">
      <c r="A559" s="8"/>
      <c r="B559" s="8"/>
      <c r="C559" s="8"/>
      <c r="D559" s="8"/>
      <c r="E559" s="8"/>
      <c r="F559" s="8"/>
      <c r="G559" s="10"/>
      <c r="H559" s="10"/>
      <c r="I559" s="10"/>
      <c r="J559" s="10"/>
      <c r="K559" s="10"/>
      <c r="L559" s="10"/>
      <c r="M559" s="10"/>
      <c r="N559" s="11"/>
      <c r="O559" s="8"/>
      <c r="P559" s="9"/>
      <c r="Q559" s="8"/>
      <c r="R559" s="9"/>
      <c r="S559" s="8"/>
      <c r="T559" s="8"/>
      <c r="U559" s="8"/>
      <c r="V559" s="11"/>
      <c r="W559" s="8"/>
      <c r="X559" s="8"/>
      <c r="Y559" s="9"/>
      <c r="Z559" s="8"/>
    </row>
    <row r="560" spans="1:26" x14ac:dyDescent="0.15">
      <c r="A560" s="8"/>
      <c r="B560" s="8"/>
      <c r="C560" s="8"/>
      <c r="D560" s="8"/>
      <c r="E560" s="8"/>
      <c r="F560" s="8"/>
      <c r="G560" s="10"/>
      <c r="H560" s="10"/>
      <c r="I560" s="10"/>
      <c r="J560" s="10"/>
      <c r="K560" s="10"/>
      <c r="L560" s="10"/>
      <c r="M560" s="10"/>
      <c r="N560" s="11"/>
      <c r="O560" s="8"/>
      <c r="P560" s="9"/>
      <c r="Q560" s="8"/>
      <c r="R560" s="9"/>
      <c r="S560" s="8"/>
      <c r="T560" s="8"/>
      <c r="U560" s="8"/>
      <c r="V560" s="11"/>
      <c r="W560" s="8"/>
      <c r="X560" s="8"/>
      <c r="Y560" s="9"/>
      <c r="Z560" s="8"/>
    </row>
    <row r="561" spans="1:26" x14ac:dyDescent="0.15">
      <c r="A561" s="8"/>
      <c r="B561" s="8"/>
      <c r="C561" s="8"/>
      <c r="D561" s="8"/>
      <c r="E561" s="8"/>
      <c r="F561" s="8"/>
      <c r="G561" s="10"/>
      <c r="H561" s="10"/>
      <c r="I561" s="10"/>
      <c r="J561" s="10"/>
      <c r="K561" s="10"/>
      <c r="L561" s="10"/>
      <c r="M561" s="10"/>
      <c r="N561" s="11"/>
      <c r="O561" s="8"/>
      <c r="P561" s="9"/>
      <c r="Q561" s="8"/>
      <c r="R561" s="9"/>
      <c r="S561" s="8"/>
      <c r="T561" s="8"/>
      <c r="U561" s="8"/>
      <c r="V561" s="11"/>
      <c r="W561" s="8"/>
      <c r="X561" s="8"/>
      <c r="Y561" s="9"/>
      <c r="Z561" s="8"/>
    </row>
    <row r="562" spans="1:26" x14ac:dyDescent="0.15">
      <c r="A562" s="8"/>
      <c r="B562" s="8"/>
      <c r="C562" s="8"/>
      <c r="D562" s="8"/>
      <c r="E562" s="8"/>
      <c r="F562" s="8"/>
      <c r="G562" s="10"/>
      <c r="H562" s="10"/>
      <c r="I562" s="10"/>
      <c r="J562" s="10"/>
      <c r="K562" s="10"/>
      <c r="L562" s="10"/>
      <c r="M562" s="10"/>
      <c r="N562" s="11"/>
      <c r="O562" s="8"/>
      <c r="P562" s="9"/>
      <c r="Q562" s="8"/>
      <c r="R562" s="9"/>
      <c r="S562" s="8"/>
      <c r="T562" s="8"/>
      <c r="U562" s="8"/>
      <c r="V562" s="11"/>
      <c r="W562" s="8"/>
      <c r="X562" s="8"/>
      <c r="Y562" s="9"/>
      <c r="Z562" s="8"/>
    </row>
    <row r="563" spans="1:26" x14ac:dyDescent="0.15">
      <c r="A563" s="8"/>
      <c r="B563" s="8"/>
      <c r="C563" s="8"/>
      <c r="D563" s="8"/>
      <c r="E563" s="8"/>
      <c r="F563" s="8"/>
      <c r="G563" s="10"/>
      <c r="H563" s="10"/>
      <c r="I563" s="10"/>
      <c r="J563" s="10"/>
      <c r="K563" s="10"/>
      <c r="L563" s="10"/>
      <c r="M563" s="10"/>
      <c r="N563" s="11"/>
      <c r="O563" s="8"/>
      <c r="P563" s="9"/>
      <c r="Q563" s="8"/>
      <c r="R563" s="9"/>
      <c r="S563" s="8"/>
      <c r="T563" s="8"/>
      <c r="U563" s="8"/>
      <c r="V563" s="11"/>
      <c r="W563" s="8"/>
      <c r="X563" s="8"/>
      <c r="Y563" s="9"/>
      <c r="Z563" s="8"/>
    </row>
    <row r="564" spans="1:26" x14ac:dyDescent="0.15">
      <c r="A564" s="8"/>
      <c r="B564" s="8"/>
      <c r="C564" s="8"/>
      <c r="D564" s="8"/>
      <c r="E564" s="8"/>
      <c r="F564" s="8"/>
      <c r="G564" s="10"/>
      <c r="H564" s="10"/>
      <c r="I564" s="10"/>
      <c r="J564" s="10"/>
      <c r="K564" s="10"/>
      <c r="L564" s="10"/>
      <c r="M564" s="10"/>
      <c r="N564" s="11"/>
      <c r="O564" s="8"/>
      <c r="P564" s="9"/>
      <c r="Q564" s="8"/>
      <c r="R564" s="9"/>
      <c r="S564" s="8"/>
      <c r="T564" s="8"/>
      <c r="U564" s="8"/>
      <c r="V564" s="11"/>
      <c r="W564" s="8"/>
      <c r="X564" s="8"/>
      <c r="Y564" s="9"/>
      <c r="Z564" s="8"/>
    </row>
    <row r="565" spans="1:26" x14ac:dyDescent="0.15">
      <c r="A565" s="8"/>
      <c r="B565" s="8"/>
      <c r="C565" s="8"/>
      <c r="D565" s="8"/>
      <c r="E565" s="8"/>
      <c r="F565" s="8"/>
      <c r="G565" s="10"/>
      <c r="H565" s="10"/>
      <c r="I565" s="10"/>
      <c r="J565" s="10"/>
      <c r="K565" s="10"/>
      <c r="L565" s="10"/>
      <c r="M565" s="10"/>
      <c r="N565" s="11"/>
      <c r="O565" s="8"/>
      <c r="P565" s="9"/>
      <c r="Q565" s="8"/>
      <c r="R565" s="9"/>
      <c r="S565" s="8"/>
      <c r="T565" s="8"/>
      <c r="U565" s="8"/>
      <c r="V565" s="11"/>
      <c r="W565" s="8"/>
      <c r="X565" s="8"/>
      <c r="Y565" s="9"/>
      <c r="Z565" s="8"/>
    </row>
    <row r="566" spans="1:26" x14ac:dyDescent="0.15">
      <c r="A566" s="8"/>
      <c r="B566" s="8"/>
      <c r="C566" s="8"/>
      <c r="D566" s="8"/>
      <c r="E566" s="8"/>
      <c r="F566" s="8"/>
      <c r="G566" s="10"/>
      <c r="H566" s="10"/>
      <c r="I566" s="10"/>
      <c r="J566" s="10"/>
      <c r="K566" s="10"/>
      <c r="L566" s="10"/>
      <c r="M566" s="10"/>
      <c r="N566" s="11"/>
      <c r="O566" s="8"/>
      <c r="P566" s="9"/>
      <c r="Q566" s="8"/>
      <c r="R566" s="9"/>
      <c r="S566" s="8"/>
      <c r="T566" s="8"/>
      <c r="U566" s="8"/>
      <c r="V566" s="11"/>
      <c r="W566" s="8"/>
      <c r="X566" s="8"/>
      <c r="Y566" s="9"/>
      <c r="Z566" s="8"/>
    </row>
    <row r="567" spans="1:26" x14ac:dyDescent="0.15">
      <c r="A567" s="8"/>
      <c r="B567" s="8"/>
      <c r="C567" s="8"/>
      <c r="D567" s="8"/>
      <c r="E567" s="8"/>
      <c r="F567" s="8"/>
      <c r="G567" s="10"/>
      <c r="H567" s="10"/>
      <c r="I567" s="10"/>
      <c r="J567" s="10"/>
      <c r="K567" s="10"/>
      <c r="L567" s="10"/>
      <c r="M567" s="10"/>
      <c r="N567" s="11"/>
      <c r="O567" s="8"/>
      <c r="P567" s="9"/>
      <c r="Q567" s="8"/>
      <c r="R567" s="9"/>
      <c r="S567" s="8"/>
      <c r="T567" s="8"/>
      <c r="U567" s="8"/>
      <c r="V567" s="11"/>
      <c r="W567" s="8"/>
      <c r="X567" s="8"/>
      <c r="Y567" s="9"/>
      <c r="Z567" s="8"/>
    </row>
    <row r="568" spans="1:26" x14ac:dyDescent="0.15">
      <c r="A568" s="8"/>
      <c r="B568" s="8"/>
      <c r="C568" s="8"/>
      <c r="D568" s="8"/>
      <c r="E568" s="8"/>
      <c r="F568" s="8"/>
      <c r="G568" s="10"/>
      <c r="H568" s="10"/>
      <c r="I568" s="10"/>
      <c r="J568" s="10"/>
      <c r="K568" s="10"/>
      <c r="L568" s="10"/>
      <c r="M568" s="10"/>
      <c r="N568" s="11"/>
      <c r="O568" s="8"/>
      <c r="P568" s="9"/>
      <c r="Q568" s="8"/>
      <c r="R568" s="9"/>
      <c r="S568" s="8"/>
      <c r="T568" s="8"/>
      <c r="U568" s="8"/>
      <c r="V568" s="11"/>
      <c r="W568" s="8"/>
      <c r="X568" s="8"/>
      <c r="Y568" s="9"/>
      <c r="Z568" s="8"/>
    </row>
    <row r="569" spans="1:26" x14ac:dyDescent="0.15">
      <c r="A569" s="8"/>
      <c r="B569" s="8"/>
      <c r="C569" s="8"/>
      <c r="D569" s="8"/>
      <c r="E569" s="8"/>
      <c r="F569" s="8"/>
      <c r="G569" s="10"/>
      <c r="H569" s="10"/>
      <c r="I569" s="10"/>
      <c r="J569" s="10"/>
      <c r="K569" s="10"/>
      <c r="L569" s="10"/>
      <c r="M569" s="10"/>
      <c r="N569" s="11"/>
      <c r="O569" s="8"/>
      <c r="P569" s="9"/>
      <c r="Q569" s="8"/>
      <c r="R569" s="9"/>
      <c r="S569" s="8"/>
      <c r="T569" s="8"/>
      <c r="U569" s="8"/>
      <c r="V569" s="11"/>
      <c r="W569" s="8"/>
      <c r="X569" s="8"/>
      <c r="Y569" s="9"/>
      <c r="Z569" s="8"/>
    </row>
    <row r="570" spans="1:26" x14ac:dyDescent="0.15">
      <c r="A570" s="8"/>
      <c r="B570" s="8"/>
      <c r="C570" s="8"/>
      <c r="D570" s="8"/>
      <c r="E570" s="8"/>
      <c r="F570" s="8"/>
      <c r="G570" s="10"/>
      <c r="H570" s="10"/>
      <c r="I570" s="10"/>
      <c r="J570" s="10"/>
      <c r="K570" s="10"/>
      <c r="L570" s="10"/>
      <c r="M570" s="10"/>
      <c r="N570" s="11"/>
      <c r="O570" s="8"/>
      <c r="P570" s="9"/>
      <c r="Q570" s="8"/>
      <c r="R570" s="9"/>
      <c r="S570" s="8"/>
      <c r="T570" s="8"/>
      <c r="U570" s="8"/>
      <c r="V570" s="11"/>
      <c r="W570" s="8"/>
      <c r="X570" s="8"/>
      <c r="Y570" s="9"/>
      <c r="Z570" s="8"/>
    </row>
    <row r="571" spans="1:26" x14ac:dyDescent="0.15">
      <c r="A571" s="8"/>
      <c r="B571" s="8"/>
      <c r="C571" s="8"/>
      <c r="D571" s="8"/>
      <c r="E571" s="8"/>
      <c r="F571" s="8"/>
      <c r="G571" s="10"/>
      <c r="H571" s="10"/>
      <c r="I571" s="10"/>
      <c r="J571" s="10"/>
      <c r="K571" s="10"/>
      <c r="L571" s="10"/>
      <c r="M571" s="10"/>
      <c r="N571" s="11"/>
      <c r="O571" s="8"/>
      <c r="P571" s="9"/>
      <c r="Q571" s="8"/>
      <c r="R571" s="9"/>
      <c r="S571" s="8"/>
      <c r="T571" s="8"/>
      <c r="U571" s="8"/>
      <c r="V571" s="11"/>
      <c r="W571" s="8"/>
      <c r="X571" s="8"/>
      <c r="Y571" s="9"/>
      <c r="Z571" s="8"/>
    </row>
    <row r="572" spans="1:26" x14ac:dyDescent="0.15">
      <c r="A572" s="8"/>
      <c r="B572" s="8"/>
      <c r="C572" s="8"/>
      <c r="D572" s="8"/>
      <c r="E572" s="8"/>
      <c r="F572" s="8"/>
      <c r="G572" s="10"/>
      <c r="H572" s="10"/>
      <c r="I572" s="10"/>
      <c r="J572" s="10"/>
      <c r="K572" s="10"/>
      <c r="L572" s="10"/>
      <c r="M572" s="10"/>
      <c r="N572" s="11"/>
      <c r="O572" s="8"/>
      <c r="P572" s="9"/>
      <c r="Q572" s="8"/>
      <c r="R572" s="9"/>
      <c r="S572" s="8"/>
      <c r="T572" s="8"/>
      <c r="U572" s="8"/>
      <c r="V572" s="11"/>
      <c r="W572" s="8"/>
      <c r="X572" s="8"/>
      <c r="Y572" s="9"/>
      <c r="Z572" s="8"/>
    </row>
    <row r="573" spans="1:26" x14ac:dyDescent="0.15">
      <c r="A573" s="8"/>
      <c r="B573" s="8"/>
      <c r="C573" s="8"/>
      <c r="D573" s="8"/>
      <c r="E573" s="8"/>
      <c r="F573" s="8"/>
      <c r="G573" s="10"/>
      <c r="H573" s="10"/>
      <c r="I573" s="10"/>
      <c r="J573" s="10"/>
      <c r="K573" s="10"/>
      <c r="L573" s="10"/>
      <c r="M573" s="10"/>
      <c r="N573" s="11"/>
      <c r="O573" s="8"/>
      <c r="P573" s="9"/>
      <c r="Q573" s="8"/>
      <c r="R573" s="9"/>
      <c r="S573" s="8"/>
      <c r="T573" s="8"/>
      <c r="U573" s="8"/>
      <c r="V573" s="11"/>
      <c r="W573" s="8"/>
      <c r="X573" s="8"/>
      <c r="Y573" s="9"/>
      <c r="Z573" s="8"/>
    </row>
    <row r="574" spans="1:26" x14ac:dyDescent="0.15">
      <c r="A574" s="8"/>
      <c r="B574" s="8"/>
      <c r="C574" s="8"/>
      <c r="D574" s="8"/>
      <c r="E574" s="8"/>
      <c r="F574" s="8"/>
      <c r="G574" s="10"/>
      <c r="H574" s="10"/>
      <c r="I574" s="10"/>
      <c r="J574" s="10"/>
      <c r="K574" s="10"/>
      <c r="L574" s="10"/>
      <c r="M574" s="10"/>
      <c r="N574" s="11"/>
      <c r="O574" s="8"/>
      <c r="P574" s="9"/>
      <c r="Q574" s="8"/>
      <c r="R574" s="9"/>
      <c r="S574" s="8"/>
      <c r="T574" s="8"/>
      <c r="U574" s="8"/>
      <c r="V574" s="11"/>
      <c r="W574" s="8"/>
      <c r="X574" s="8"/>
      <c r="Y574" s="9"/>
      <c r="Z574" s="8"/>
    </row>
    <row r="575" spans="1:26" x14ac:dyDescent="0.15">
      <c r="A575" s="8"/>
      <c r="B575" s="8"/>
      <c r="C575" s="8"/>
      <c r="D575" s="8"/>
      <c r="E575" s="8"/>
      <c r="F575" s="8"/>
      <c r="G575" s="10"/>
      <c r="H575" s="10"/>
      <c r="I575" s="10"/>
      <c r="J575" s="10"/>
      <c r="K575" s="10"/>
      <c r="L575" s="10"/>
      <c r="M575" s="10"/>
      <c r="N575" s="11"/>
      <c r="O575" s="8"/>
      <c r="P575" s="9"/>
      <c r="Q575" s="8"/>
      <c r="R575" s="9"/>
      <c r="S575" s="8"/>
      <c r="T575" s="8"/>
      <c r="U575" s="8"/>
      <c r="V575" s="11"/>
      <c r="W575" s="8"/>
      <c r="X575" s="8"/>
      <c r="Y575" s="9"/>
      <c r="Z575" s="8"/>
    </row>
    <row r="576" spans="1:26" x14ac:dyDescent="0.15">
      <c r="A576" s="8"/>
      <c r="B576" s="8"/>
      <c r="C576" s="8"/>
      <c r="D576" s="8"/>
      <c r="E576" s="8"/>
      <c r="F576" s="8"/>
      <c r="G576" s="10"/>
      <c r="H576" s="10"/>
      <c r="I576" s="10"/>
      <c r="J576" s="10"/>
      <c r="K576" s="10"/>
      <c r="L576" s="10"/>
      <c r="M576" s="10"/>
      <c r="N576" s="11"/>
      <c r="O576" s="8"/>
      <c r="P576" s="9"/>
      <c r="Q576" s="8"/>
      <c r="R576" s="9"/>
      <c r="S576" s="8"/>
      <c r="T576" s="8"/>
      <c r="U576" s="8"/>
      <c r="V576" s="11"/>
      <c r="W576" s="8"/>
      <c r="X576" s="8"/>
      <c r="Y576" s="9"/>
      <c r="Z576" s="8"/>
    </row>
    <row r="577" spans="1:26" x14ac:dyDescent="0.15">
      <c r="A577" s="8"/>
      <c r="B577" s="8"/>
      <c r="C577" s="8"/>
      <c r="D577" s="8"/>
      <c r="E577" s="8"/>
      <c r="F577" s="8"/>
      <c r="G577" s="10"/>
      <c r="H577" s="10"/>
      <c r="I577" s="10"/>
      <c r="J577" s="10"/>
      <c r="K577" s="10"/>
      <c r="L577" s="10"/>
      <c r="M577" s="10"/>
      <c r="N577" s="11"/>
      <c r="O577" s="8"/>
      <c r="P577" s="9"/>
      <c r="Q577" s="8"/>
      <c r="R577" s="9"/>
      <c r="S577" s="8"/>
      <c r="T577" s="8"/>
      <c r="U577" s="8"/>
      <c r="V577" s="11"/>
      <c r="W577" s="8"/>
      <c r="X577" s="8"/>
      <c r="Y577" s="9"/>
      <c r="Z577" s="8"/>
    </row>
    <row r="578" spans="1:26" x14ac:dyDescent="0.15">
      <c r="A578" s="8"/>
      <c r="B578" s="8"/>
      <c r="C578" s="8"/>
      <c r="D578" s="8"/>
      <c r="E578" s="8"/>
      <c r="F578" s="8"/>
      <c r="G578" s="10"/>
      <c r="H578" s="10"/>
      <c r="I578" s="10"/>
      <c r="J578" s="10"/>
      <c r="K578" s="10"/>
      <c r="L578" s="10"/>
      <c r="M578" s="10"/>
      <c r="N578" s="11"/>
      <c r="O578" s="8"/>
      <c r="P578" s="9"/>
      <c r="Q578" s="8"/>
      <c r="R578" s="9"/>
      <c r="S578" s="8"/>
      <c r="T578" s="8"/>
      <c r="U578" s="8"/>
      <c r="V578" s="11"/>
      <c r="W578" s="8"/>
      <c r="X578" s="8"/>
      <c r="Y578" s="9"/>
      <c r="Z578" s="8"/>
    </row>
    <row r="579" spans="1:26" outlineLevel="1" x14ac:dyDescent="0.15">
      <c r="A579" s="8"/>
      <c r="B579" s="8"/>
      <c r="C579" s="8"/>
      <c r="D579" s="8"/>
      <c r="E579" s="8"/>
      <c r="F579" s="8"/>
      <c r="G579" s="10"/>
      <c r="H579" s="10"/>
      <c r="I579" s="10"/>
      <c r="J579" s="10"/>
      <c r="K579" s="10"/>
      <c r="L579" s="10"/>
      <c r="M579" s="10"/>
      <c r="N579" s="11"/>
      <c r="O579" s="8"/>
      <c r="P579" s="9"/>
      <c r="Q579" s="8"/>
      <c r="R579" s="9"/>
      <c r="S579" s="8"/>
      <c r="T579" s="8"/>
      <c r="U579" s="8"/>
      <c r="V579" s="11"/>
      <c r="W579" s="8"/>
      <c r="X579" s="8"/>
      <c r="Y579" s="9"/>
      <c r="Z579" s="8"/>
    </row>
    <row r="580" spans="1:26" outlineLevel="1" x14ac:dyDescent="0.15">
      <c r="A580" s="8"/>
      <c r="B580" s="8"/>
      <c r="C580" s="8"/>
      <c r="D580" s="8"/>
      <c r="E580" s="8"/>
      <c r="F580" s="8"/>
      <c r="G580" s="10"/>
      <c r="H580" s="10"/>
      <c r="I580" s="10"/>
      <c r="J580" s="10"/>
      <c r="K580" s="10"/>
      <c r="L580" s="10"/>
      <c r="M580" s="10"/>
      <c r="N580" s="11"/>
      <c r="O580" s="8"/>
      <c r="P580" s="9"/>
      <c r="Q580" s="8"/>
      <c r="R580" s="9"/>
      <c r="S580" s="8"/>
      <c r="T580" s="8"/>
      <c r="U580" s="8"/>
      <c r="V580" s="11"/>
      <c r="W580" s="8"/>
      <c r="X580" s="8"/>
      <c r="Y580" s="9"/>
      <c r="Z580" s="8"/>
    </row>
    <row r="581" spans="1:26" outlineLevel="1" x14ac:dyDescent="0.15">
      <c r="A581" s="8"/>
      <c r="B581" s="8"/>
      <c r="C581" s="8"/>
      <c r="D581" s="8"/>
      <c r="E581" s="8"/>
      <c r="F581" s="8"/>
      <c r="G581" s="10"/>
      <c r="H581" s="10"/>
      <c r="I581" s="10"/>
      <c r="J581" s="10"/>
      <c r="K581" s="10"/>
      <c r="L581" s="10"/>
      <c r="M581" s="10"/>
      <c r="N581" s="11"/>
      <c r="O581" s="8"/>
      <c r="P581" s="9"/>
      <c r="Q581" s="8"/>
      <c r="R581" s="9"/>
      <c r="S581" s="8"/>
      <c r="T581" s="8"/>
      <c r="U581" s="8"/>
      <c r="V581" s="11"/>
      <c r="W581" s="8"/>
      <c r="X581" s="8"/>
      <c r="Y581" s="9"/>
      <c r="Z581" s="8"/>
    </row>
    <row r="582" spans="1:26" outlineLevel="1" x14ac:dyDescent="0.15">
      <c r="A582" s="8"/>
      <c r="B582" s="8"/>
      <c r="C582" s="8"/>
      <c r="D582" s="8"/>
      <c r="E582" s="8"/>
      <c r="F582" s="8"/>
      <c r="G582" s="10"/>
      <c r="H582" s="10"/>
      <c r="I582" s="10"/>
      <c r="J582" s="10"/>
      <c r="K582" s="10"/>
      <c r="L582" s="10"/>
      <c r="M582" s="10"/>
      <c r="N582" s="11"/>
      <c r="O582" s="8"/>
      <c r="P582" s="9"/>
      <c r="Q582" s="8"/>
      <c r="R582" s="9"/>
      <c r="S582" s="8"/>
      <c r="T582" s="8"/>
      <c r="U582" s="8"/>
      <c r="V582" s="11"/>
      <c r="W582" s="8"/>
      <c r="X582" s="8"/>
      <c r="Y582" s="9"/>
      <c r="Z582" s="8"/>
    </row>
    <row r="583" spans="1:26" outlineLevel="1" x14ac:dyDescent="0.15">
      <c r="A583" s="8"/>
      <c r="B583" s="8"/>
      <c r="C583" s="8"/>
      <c r="D583" s="8"/>
      <c r="E583" s="8"/>
      <c r="F583" s="8"/>
      <c r="G583" s="10"/>
      <c r="H583" s="10"/>
      <c r="I583" s="10"/>
      <c r="J583" s="10"/>
      <c r="K583" s="10"/>
      <c r="L583" s="10"/>
      <c r="M583" s="10"/>
      <c r="N583" s="11"/>
      <c r="O583" s="8"/>
      <c r="P583" s="9"/>
      <c r="Q583" s="8"/>
      <c r="R583" s="9"/>
      <c r="S583" s="8"/>
      <c r="T583" s="8"/>
      <c r="U583" s="8"/>
      <c r="V583" s="11"/>
      <c r="W583" s="8"/>
      <c r="X583" s="8"/>
      <c r="Y583" s="9"/>
      <c r="Z583" s="8"/>
    </row>
    <row r="584" spans="1:26" outlineLevel="1" x14ac:dyDescent="0.15">
      <c r="A584" s="8"/>
      <c r="B584" s="8"/>
      <c r="C584" s="8"/>
      <c r="D584" s="8"/>
      <c r="E584" s="8"/>
      <c r="F584" s="8"/>
      <c r="G584" s="10"/>
      <c r="H584" s="10"/>
      <c r="I584" s="10"/>
      <c r="J584" s="10"/>
      <c r="K584" s="10"/>
      <c r="L584" s="10"/>
      <c r="M584" s="10"/>
      <c r="N584" s="11"/>
      <c r="O584" s="8"/>
      <c r="P584" s="9"/>
      <c r="Q584" s="8"/>
      <c r="R584" s="9"/>
      <c r="S584" s="8"/>
      <c r="T584" s="8"/>
      <c r="U584" s="8"/>
      <c r="V584" s="11"/>
      <c r="W584" s="8"/>
      <c r="X584" s="8"/>
      <c r="Y584" s="9"/>
      <c r="Z584" s="8"/>
    </row>
    <row r="585" spans="1:26" outlineLevel="1" x14ac:dyDescent="0.15">
      <c r="A585" s="8"/>
      <c r="B585" s="8"/>
      <c r="C585" s="8"/>
      <c r="D585" s="8"/>
      <c r="E585" s="8"/>
      <c r="F585" s="8"/>
      <c r="G585" s="10"/>
      <c r="H585" s="10"/>
      <c r="I585" s="10"/>
      <c r="J585" s="10"/>
      <c r="K585" s="10"/>
      <c r="L585" s="10"/>
      <c r="M585" s="10"/>
      <c r="N585" s="11"/>
      <c r="O585" s="8"/>
      <c r="P585" s="9"/>
      <c r="Q585" s="8"/>
      <c r="R585" s="9"/>
      <c r="S585" s="8"/>
      <c r="T585" s="8"/>
      <c r="U585" s="8"/>
      <c r="V585" s="11"/>
      <c r="W585" s="8"/>
      <c r="X585" s="8"/>
      <c r="Y585" s="9"/>
      <c r="Z585" s="8"/>
    </row>
    <row r="586" spans="1:26" outlineLevel="1" x14ac:dyDescent="0.15">
      <c r="A586" s="8"/>
      <c r="B586" s="8"/>
      <c r="C586" s="8"/>
      <c r="D586" s="8"/>
      <c r="E586" s="8"/>
      <c r="F586" s="8"/>
      <c r="G586" s="10"/>
      <c r="H586" s="10"/>
      <c r="I586" s="10"/>
      <c r="J586" s="10"/>
      <c r="K586" s="10"/>
      <c r="L586" s="10"/>
      <c r="M586" s="10"/>
      <c r="N586" s="11"/>
      <c r="O586" s="8"/>
      <c r="P586" s="9"/>
      <c r="Q586" s="8"/>
      <c r="R586" s="9"/>
      <c r="S586" s="8"/>
      <c r="T586" s="8"/>
      <c r="U586" s="8"/>
      <c r="V586" s="11"/>
      <c r="W586" s="8"/>
      <c r="X586" s="8"/>
      <c r="Y586" s="9"/>
      <c r="Z586" s="8"/>
    </row>
    <row r="587" spans="1:26" outlineLevel="1" x14ac:dyDescent="0.15">
      <c r="A587" s="8"/>
      <c r="B587" s="8"/>
      <c r="C587" s="8"/>
      <c r="D587" s="8"/>
      <c r="E587" s="8"/>
      <c r="F587" s="8"/>
      <c r="G587" s="10"/>
      <c r="H587" s="10"/>
      <c r="I587" s="10"/>
      <c r="J587" s="10"/>
      <c r="K587" s="10"/>
      <c r="L587" s="10"/>
      <c r="M587" s="10"/>
      <c r="N587" s="11"/>
      <c r="O587" s="8"/>
      <c r="P587" s="9"/>
      <c r="Q587" s="8"/>
      <c r="R587" s="9"/>
      <c r="S587" s="8"/>
      <c r="T587" s="8"/>
      <c r="U587" s="8"/>
      <c r="V587" s="11"/>
      <c r="W587" s="8"/>
      <c r="X587" s="8"/>
      <c r="Y587" s="9"/>
      <c r="Z587" s="8"/>
    </row>
    <row r="588" spans="1:26" x14ac:dyDescent="0.15">
      <c r="A588" s="8"/>
      <c r="B588" s="8"/>
      <c r="C588" s="8"/>
      <c r="D588" s="8"/>
      <c r="E588" s="8"/>
      <c r="F588" s="8"/>
      <c r="G588" s="10"/>
      <c r="H588" s="10"/>
      <c r="I588" s="10"/>
      <c r="J588" s="10"/>
      <c r="K588" s="10"/>
      <c r="L588" s="10"/>
      <c r="M588" s="10"/>
      <c r="N588" s="11"/>
      <c r="O588" s="8"/>
      <c r="P588" s="9"/>
      <c r="Q588" s="8"/>
      <c r="R588" s="9"/>
      <c r="S588" s="8"/>
      <c r="T588" s="8"/>
      <c r="U588" s="8"/>
      <c r="V588" s="11"/>
      <c r="W588" s="8"/>
      <c r="X588" s="8"/>
      <c r="Y588" s="9"/>
      <c r="Z588" s="8"/>
    </row>
    <row r="589" spans="1:26" x14ac:dyDescent="0.15">
      <c r="A589" s="8"/>
      <c r="B589" s="8"/>
      <c r="C589" s="8"/>
      <c r="D589" s="8"/>
      <c r="E589" s="8"/>
      <c r="F589" s="8"/>
      <c r="G589" s="10"/>
      <c r="H589" s="10"/>
      <c r="I589" s="10"/>
      <c r="J589" s="10"/>
      <c r="K589" s="10"/>
      <c r="L589" s="10"/>
      <c r="M589" s="10"/>
      <c r="N589" s="11"/>
      <c r="O589" s="8"/>
      <c r="P589" s="9"/>
      <c r="Q589" s="8"/>
      <c r="R589" s="9"/>
      <c r="S589" s="8"/>
      <c r="T589" s="8"/>
      <c r="U589" s="8"/>
      <c r="V589" s="11"/>
      <c r="W589" s="8"/>
      <c r="X589" s="8"/>
      <c r="Y589" s="9"/>
      <c r="Z589" s="8"/>
    </row>
    <row r="590" spans="1:26" x14ac:dyDescent="0.15">
      <c r="A590" s="8"/>
      <c r="B590" s="8"/>
      <c r="C590" s="8"/>
      <c r="D590" s="8"/>
      <c r="E590" s="8"/>
      <c r="F590" s="8"/>
      <c r="G590" s="10"/>
      <c r="H590" s="10"/>
      <c r="I590" s="10"/>
      <c r="J590" s="10"/>
      <c r="K590" s="10"/>
      <c r="L590" s="10"/>
      <c r="M590" s="10"/>
      <c r="N590" s="11"/>
      <c r="O590" s="8"/>
      <c r="P590" s="9"/>
      <c r="Q590" s="8"/>
      <c r="R590" s="9"/>
      <c r="S590" s="8"/>
      <c r="T590" s="8"/>
      <c r="U590" s="8"/>
      <c r="V590" s="11"/>
      <c r="W590" s="8"/>
      <c r="X590" s="8"/>
      <c r="Y590" s="9"/>
      <c r="Z590" s="8"/>
    </row>
    <row r="591" spans="1:26" x14ac:dyDescent="0.15">
      <c r="A591" s="8"/>
      <c r="B591" s="8"/>
      <c r="C591" s="8"/>
      <c r="D591" s="8"/>
      <c r="E591" s="8"/>
      <c r="F591" s="8"/>
      <c r="G591" s="10"/>
      <c r="H591" s="10"/>
      <c r="I591" s="10"/>
      <c r="J591" s="10"/>
      <c r="K591" s="10"/>
      <c r="L591" s="10"/>
      <c r="M591" s="10"/>
      <c r="N591" s="11"/>
      <c r="O591" s="8"/>
      <c r="P591" s="9"/>
      <c r="Q591" s="8"/>
      <c r="R591" s="9"/>
      <c r="S591" s="8"/>
      <c r="T591" s="8"/>
      <c r="U591" s="8"/>
      <c r="V591" s="11"/>
      <c r="W591" s="8"/>
      <c r="X591" s="8"/>
      <c r="Y591" s="9"/>
      <c r="Z591" s="8"/>
    </row>
    <row r="592" spans="1:26" x14ac:dyDescent="0.15">
      <c r="A592" s="8"/>
      <c r="B592" s="8"/>
      <c r="C592" s="8"/>
      <c r="D592" s="8"/>
      <c r="E592" s="8"/>
      <c r="F592" s="8"/>
      <c r="G592" s="10"/>
      <c r="H592" s="10"/>
      <c r="I592" s="10"/>
      <c r="J592" s="10"/>
      <c r="K592" s="10"/>
      <c r="L592" s="10"/>
      <c r="M592" s="10"/>
      <c r="N592" s="11"/>
      <c r="O592" s="8"/>
      <c r="P592" s="9"/>
      <c r="Q592" s="8"/>
      <c r="R592" s="9"/>
      <c r="S592" s="8"/>
      <c r="T592" s="8"/>
      <c r="U592" s="8"/>
      <c r="V592" s="11"/>
      <c r="W592" s="8"/>
      <c r="X592" s="8"/>
      <c r="Y592" s="9"/>
      <c r="Z592" s="8"/>
    </row>
    <row r="593" spans="1:26" x14ac:dyDescent="0.15">
      <c r="A593" s="8"/>
      <c r="B593" s="8"/>
      <c r="C593" s="8"/>
      <c r="D593" s="8"/>
      <c r="E593" s="8"/>
      <c r="F593" s="8"/>
      <c r="G593" s="10"/>
      <c r="H593" s="10"/>
      <c r="I593" s="10"/>
      <c r="J593" s="10"/>
      <c r="K593" s="10"/>
      <c r="L593" s="10"/>
      <c r="M593" s="10"/>
      <c r="N593" s="11"/>
      <c r="O593" s="8"/>
      <c r="P593" s="9"/>
      <c r="Q593" s="8"/>
      <c r="R593" s="9"/>
      <c r="S593" s="8"/>
      <c r="T593" s="8"/>
      <c r="U593" s="8"/>
      <c r="V593" s="11"/>
      <c r="W593" s="8"/>
      <c r="X593" s="8"/>
      <c r="Y593" s="9"/>
      <c r="Z593" s="8"/>
    </row>
    <row r="594" spans="1:26" x14ac:dyDescent="0.15">
      <c r="A594" s="8"/>
      <c r="B594" s="8"/>
      <c r="C594" s="8"/>
      <c r="D594" s="8"/>
      <c r="E594" s="8"/>
      <c r="F594" s="8"/>
      <c r="G594" s="10"/>
      <c r="H594" s="10"/>
      <c r="I594" s="10"/>
      <c r="J594" s="10"/>
      <c r="K594" s="10"/>
      <c r="L594" s="10"/>
      <c r="M594" s="10"/>
      <c r="N594" s="11"/>
      <c r="O594" s="8"/>
      <c r="P594" s="9"/>
      <c r="Q594" s="8"/>
      <c r="R594" s="9"/>
      <c r="S594" s="8"/>
      <c r="T594" s="8"/>
      <c r="U594" s="8"/>
      <c r="V594" s="11"/>
      <c r="W594" s="8"/>
      <c r="X594" s="8"/>
      <c r="Y594" s="9"/>
      <c r="Z594" s="8"/>
    </row>
    <row r="595" spans="1:26" x14ac:dyDescent="0.15">
      <c r="A595" s="8"/>
      <c r="B595" s="8"/>
      <c r="C595" s="8"/>
      <c r="D595" s="8"/>
      <c r="E595" s="8"/>
      <c r="F595" s="8"/>
      <c r="G595" s="10"/>
      <c r="H595" s="10"/>
      <c r="I595" s="10"/>
      <c r="J595" s="10"/>
      <c r="K595" s="10"/>
      <c r="L595" s="10"/>
      <c r="M595" s="10"/>
      <c r="N595" s="11"/>
      <c r="O595" s="8"/>
      <c r="P595" s="9"/>
      <c r="Q595" s="8"/>
      <c r="R595" s="9"/>
      <c r="S595" s="8"/>
      <c r="T595" s="8"/>
      <c r="U595" s="8"/>
      <c r="V595" s="11"/>
      <c r="W595" s="8"/>
      <c r="X595" s="8"/>
      <c r="Y595" s="9"/>
      <c r="Z595" s="8"/>
    </row>
    <row r="596" spans="1:26" x14ac:dyDescent="0.15">
      <c r="A596" s="8"/>
      <c r="B596" s="8"/>
      <c r="C596" s="8"/>
      <c r="D596" s="8"/>
      <c r="E596" s="8"/>
      <c r="F596" s="8"/>
      <c r="G596" s="10"/>
      <c r="H596" s="10"/>
      <c r="I596" s="10"/>
      <c r="J596" s="10"/>
      <c r="K596" s="10"/>
      <c r="L596" s="10"/>
      <c r="M596" s="10"/>
      <c r="N596" s="11"/>
      <c r="O596" s="8"/>
      <c r="P596" s="9"/>
      <c r="Q596" s="8"/>
      <c r="R596" s="9"/>
      <c r="S596" s="8"/>
      <c r="T596" s="8"/>
      <c r="U596" s="8"/>
      <c r="V596" s="11"/>
      <c r="W596" s="8"/>
      <c r="X596" s="8"/>
      <c r="Y596" s="9"/>
      <c r="Z596" s="8"/>
    </row>
    <row r="597" spans="1:26" outlineLevel="1" x14ac:dyDescent="0.15">
      <c r="A597" s="8"/>
      <c r="B597" s="8"/>
      <c r="C597" s="8"/>
      <c r="D597" s="8"/>
      <c r="E597" s="8"/>
      <c r="F597" s="8"/>
      <c r="G597" s="10"/>
      <c r="H597" s="10"/>
      <c r="I597" s="10"/>
      <c r="J597" s="10"/>
      <c r="K597" s="10"/>
      <c r="L597" s="10"/>
      <c r="M597" s="10"/>
      <c r="N597" s="11"/>
      <c r="O597" s="8"/>
      <c r="P597" s="9"/>
      <c r="Q597" s="8"/>
      <c r="R597" s="9"/>
      <c r="S597" s="8"/>
      <c r="T597" s="8"/>
      <c r="U597" s="8"/>
      <c r="V597" s="11"/>
      <c r="W597" s="8"/>
      <c r="X597" s="8"/>
      <c r="Y597" s="9"/>
      <c r="Z597" s="8"/>
    </row>
    <row r="598" spans="1:26" outlineLevel="1" x14ac:dyDescent="0.15">
      <c r="A598" s="8"/>
      <c r="B598" s="8"/>
      <c r="C598" s="8"/>
      <c r="D598" s="8"/>
      <c r="E598" s="8"/>
      <c r="F598" s="8"/>
      <c r="G598" s="10"/>
      <c r="H598" s="10"/>
      <c r="I598" s="10"/>
      <c r="J598" s="10"/>
      <c r="K598" s="10"/>
      <c r="L598" s="10"/>
      <c r="M598" s="10"/>
      <c r="N598" s="11"/>
      <c r="O598" s="8"/>
      <c r="P598" s="9"/>
      <c r="Q598" s="8"/>
      <c r="R598" s="9"/>
      <c r="S598" s="8"/>
      <c r="T598" s="8"/>
      <c r="U598" s="8"/>
      <c r="V598" s="11"/>
      <c r="W598" s="8"/>
      <c r="X598" s="8"/>
      <c r="Y598" s="9"/>
      <c r="Z598" s="8"/>
    </row>
    <row r="599" spans="1:26" outlineLevel="1" x14ac:dyDescent="0.15">
      <c r="A599" s="8"/>
      <c r="B599" s="8"/>
      <c r="C599" s="8"/>
      <c r="D599" s="8"/>
      <c r="E599" s="8"/>
      <c r="F599" s="8"/>
      <c r="G599" s="10"/>
      <c r="H599" s="10"/>
      <c r="I599" s="10"/>
      <c r="J599" s="10"/>
      <c r="K599" s="10"/>
      <c r="L599" s="10"/>
      <c r="M599" s="10"/>
      <c r="N599" s="11"/>
      <c r="O599" s="8"/>
      <c r="P599" s="9"/>
      <c r="Q599" s="8"/>
      <c r="R599" s="9"/>
      <c r="S599" s="8"/>
      <c r="T599" s="8"/>
      <c r="U599" s="8"/>
      <c r="V599" s="11"/>
      <c r="W599" s="8"/>
      <c r="X599" s="8"/>
      <c r="Y599" s="9"/>
      <c r="Z599" s="8"/>
    </row>
    <row r="600" spans="1:26" outlineLevel="1" x14ac:dyDescent="0.15">
      <c r="A600" s="8"/>
      <c r="B600" s="8"/>
      <c r="C600" s="8"/>
      <c r="D600" s="8"/>
      <c r="E600" s="8"/>
      <c r="F600" s="8"/>
      <c r="G600" s="10"/>
      <c r="H600" s="10"/>
      <c r="I600" s="10"/>
      <c r="J600" s="10"/>
      <c r="K600" s="10"/>
      <c r="L600" s="10"/>
      <c r="M600" s="10"/>
      <c r="N600" s="11"/>
      <c r="O600" s="8"/>
      <c r="P600" s="9"/>
      <c r="Q600" s="8"/>
      <c r="R600" s="9"/>
      <c r="S600" s="8"/>
      <c r="T600" s="8"/>
      <c r="U600" s="8"/>
      <c r="V600" s="11"/>
      <c r="W600" s="8"/>
      <c r="X600" s="8"/>
      <c r="Y600" s="9"/>
      <c r="Z600" s="8"/>
    </row>
    <row r="601" spans="1:26" x14ac:dyDescent="0.15">
      <c r="A601" s="8"/>
      <c r="B601" s="8"/>
      <c r="C601" s="8"/>
      <c r="D601" s="8"/>
      <c r="E601" s="8"/>
      <c r="F601" s="8"/>
      <c r="G601" s="10"/>
      <c r="H601" s="10"/>
      <c r="I601" s="10"/>
      <c r="J601" s="10"/>
      <c r="K601" s="10"/>
      <c r="L601" s="10"/>
      <c r="M601" s="10"/>
      <c r="N601" s="11"/>
      <c r="O601" s="8"/>
      <c r="P601" s="9"/>
      <c r="Q601" s="8"/>
      <c r="R601" s="9"/>
      <c r="S601" s="8"/>
      <c r="T601" s="8"/>
      <c r="U601" s="8"/>
      <c r="V601" s="11"/>
      <c r="W601" s="8"/>
      <c r="X601" s="8"/>
      <c r="Y601" s="9"/>
      <c r="Z601" s="8"/>
    </row>
    <row r="602" spans="1:26" x14ac:dyDescent="0.15">
      <c r="A602" s="8"/>
      <c r="B602" s="8"/>
      <c r="C602" s="8"/>
      <c r="D602" s="8"/>
      <c r="E602" s="8"/>
      <c r="F602" s="8"/>
      <c r="G602" s="10"/>
      <c r="H602" s="10"/>
      <c r="I602" s="10"/>
      <c r="J602" s="10"/>
      <c r="K602" s="10"/>
      <c r="L602" s="10"/>
      <c r="M602" s="10"/>
      <c r="N602" s="11"/>
      <c r="O602" s="8"/>
      <c r="P602" s="9"/>
      <c r="Q602" s="8"/>
      <c r="R602" s="9"/>
      <c r="S602" s="8"/>
      <c r="T602" s="8"/>
      <c r="U602" s="8"/>
      <c r="V602" s="11"/>
      <c r="W602" s="8"/>
      <c r="X602" s="8"/>
      <c r="Y602" s="9"/>
      <c r="Z602" s="8"/>
    </row>
    <row r="603" spans="1:26" x14ac:dyDescent="0.15">
      <c r="A603" s="8"/>
      <c r="B603" s="8"/>
      <c r="C603" s="8"/>
      <c r="D603" s="8"/>
      <c r="E603" s="8"/>
      <c r="F603" s="8"/>
      <c r="G603" s="10"/>
      <c r="H603" s="10"/>
      <c r="I603" s="10"/>
      <c r="J603" s="10"/>
      <c r="K603" s="10"/>
      <c r="L603" s="10"/>
      <c r="M603" s="10"/>
      <c r="N603" s="11"/>
      <c r="O603" s="8"/>
      <c r="P603" s="9"/>
      <c r="Q603" s="8"/>
      <c r="R603" s="9"/>
      <c r="S603" s="8"/>
      <c r="T603" s="8"/>
      <c r="U603" s="8"/>
      <c r="V603" s="11"/>
      <c r="W603" s="8"/>
      <c r="X603" s="8"/>
      <c r="Y603" s="9"/>
      <c r="Z603" s="8"/>
    </row>
    <row r="604" spans="1:26" x14ac:dyDescent="0.15">
      <c r="A604" s="8"/>
      <c r="B604" s="8"/>
      <c r="C604" s="8"/>
      <c r="D604" s="8"/>
      <c r="E604" s="8"/>
      <c r="F604" s="8"/>
      <c r="G604" s="10"/>
      <c r="H604" s="10"/>
      <c r="I604" s="10"/>
      <c r="J604" s="10"/>
      <c r="K604" s="10"/>
      <c r="L604" s="10"/>
      <c r="M604" s="10"/>
      <c r="N604" s="11"/>
      <c r="O604" s="8"/>
      <c r="P604" s="9"/>
      <c r="Q604" s="8"/>
      <c r="R604" s="9"/>
      <c r="S604" s="8"/>
      <c r="T604" s="8"/>
      <c r="U604" s="8"/>
      <c r="V604" s="11"/>
      <c r="W604" s="8"/>
      <c r="X604" s="8"/>
      <c r="Y604" s="9"/>
      <c r="Z604" s="8"/>
    </row>
    <row r="605" spans="1:26" outlineLevel="1" x14ac:dyDescent="0.15">
      <c r="A605" s="8"/>
      <c r="B605" s="8"/>
      <c r="C605" s="8"/>
      <c r="D605" s="8"/>
      <c r="E605" s="8"/>
      <c r="F605" s="8"/>
      <c r="G605" s="10"/>
      <c r="H605" s="10"/>
      <c r="I605" s="10"/>
      <c r="J605" s="10"/>
      <c r="K605" s="10"/>
      <c r="L605" s="10"/>
      <c r="M605" s="10"/>
      <c r="N605" s="11"/>
      <c r="O605" s="8"/>
      <c r="P605" s="9"/>
      <c r="Q605" s="8"/>
      <c r="R605" s="9"/>
      <c r="S605" s="8"/>
      <c r="T605" s="8"/>
      <c r="U605" s="8"/>
      <c r="V605" s="11"/>
      <c r="W605" s="8"/>
      <c r="X605" s="8"/>
      <c r="Y605" s="9"/>
      <c r="Z605" s="8"/>
    </row>
    <row r="606" spans="1:26" outlineLevel="1" x14ac:dyDescent="0.15">
      <c r="A606" s="8"/>
      <c r="B606" s="8"/>
      <c r="C606" s="8"/>
      <c r="D606" s="8"/>
      <c r="E606" s="8"/>
      <c r="F606" s="8"/>
      <c r="G606" s="10"/>
      <c r="H606" s="10"/>
      <c r="I606" s="10"/>
      <c r="J606" s="10"/>
      <c r="K606" s="10"/>
      <c r="L606" s="10"/>
      <c r="M606" s="10"/>
      <c r="N606" s="11"/>
      <c r="O606" s="8"/>
      <c r="P606" s="9"/>
      <c r="Q606" s="8"/>
      <c r="R606" s="9"/>
      <c r="S606" s="8"/>
      <c r="T606" s="8"/>
      <c r="U606" s="8"/>
      <c r="V606" s="11"/>
      <c r="W606" s="8"/>
      <c r="X606" s="8"/>
      <c r="Y606" s="9"/>
      <c r="Z606" s="8"/>
    </row>
    <row r="607" spans="1:26" x14ac:dyDescent="0.15">
      <c r="A607" s="8"/>
      <c r="B607" s="8"/>
      <c r="C607" s="8"/>
      <c r="D607" s="8"/>
      <c r="E607" s="8"/>
      <c r="F607" s="8"/>
      <c r="G607" s="10"/>
      <c r="H607" s="10"/>
      <c r="I607" s="10"/>
      <c r="J607" s="10"/>
      <c r="K607" s="10"/>
      <c r="L607" s="10"/>
      <c r="M607" s="10"/>
      <c r="N607" s="11"/>
      <c r="O607" s="8"/>
      <c r="P607" s="9"/>
      <c r="Q607" s="8"/>
      <c r="R607" s="9"/>
      <c r="S607" s="8"/>
      <c r="T607" s="8"/>
      <c r="U607" s="8"/>
      <c r="V607" s="11"/>
      <c r="W607" s="8"/>
      <c r="X607" s="8"/>
      <c r="Y607" s="9"/>
      <c r="Z607" s="8"/>
    </row>
    <row r="608" spans="1:26" x14ac:dyDescent="0.15">
      <c r="A608" s="8"/>
      <c r="B608" s="8"/>
      <c r="C608" s="8"/>
      <c r="D608" s="8"/>
      <c r="E608" s="8"/>
      <c r="F608" s="8"/>
      <c r="G608" s="10"/>
      <c r="H608" s="10"/>
      <c r="I608" s="10"/>
      <c r="J608" s="10"/>
      <c r="K608" s="10"/>
      <c r="L608" s="10"/>
      <c r="M608" s="10"/>
      <c r="N608" s="11"/>
      <c r="O608" s="8"/>
      <c r="P608" s="9"/>
      <c r="Q608" s="8"/>
      <c r="R608" s="9"/>
      <c r="S608" s="8"/>
      <c r="T608" s="8"/>
      <c r="U608" s="8"/>
      <c r="V608" s="11"/>
      <c r="W608" s="8"/>
      <c r="X608" s="8"/>
      <c r="Y608" s="9"/>
      <c r="Z608" s="8"/>
    </row>
    <row r="609" spans="1:26" x14ac:dyDescent="0.15">
      <c r="A609" s="8"/>
      <c r="B609" s="8"/>
      <c r="C609" s="8"/>
      <c r="D609" s="8"/>
      <c r="E609" s="8"/>
      <c r="F609" s="8"/>
      <c r="G609" s="10"/>
      <c r="H609" s="10"/>
      <c r="I609" s="10"/>
      <c r="J609" s="10"/>
      <c r="K609" s="10"/>
      <c r="L609" s="10"/>
      <c r="M609" s="10"/>
      <c r="N609" s="11"/>
      <c r="O609" s="8"/>
      <c r="P609" s="9"/>
      <c r="Q609" s="8"/>
      <c r="R609" s="9"/>
      <c r="S609" s="8"/>
      <c r="T609" s="8"/>
      <c r="U609" s="8"/>
      <c r="V609" s="11"/>
      <c r="W609" s="8"/>
      <c r="X609" s="8"/>
      <c r="Y609" s="9"/>
      <c r="Z609" s="8"/>
    </row>
    <row r="621" spans="1:26" x14ac:dyDescent="0.15">
      <c r="A621" s="41"/>
    </row>
    <row r="631" spans="7:13" x14ac:dyDescent="0.15">
      <c r="G631" s="42"/>
      <c r="H631" s="42"/>
      <c r="I631" s="42"/>
      <c r="J631" s="42"/>
      <c r="K631" s="42"/>
      <c r="L631" s="42"/>
      <c r="M631" s="42"/>
    </row>
  </sheetData>
  <autoFilter ref="A5:AB435" xr:uid="{9CF282C4-115D-4F65-8444-68A2D47F9F9B}">
    <filterColumn colId="7">
      <filters>
        <dateGroupItem year="2026" dateTimeGrouping="year"/>
      </filters>
    </filterColumn>
  </autoFilter>
  <mergeCells count="32">
    <mergeCell ref="H1:M1"/>
    <mergeCell ref="H2:M2"/>
    <mergeCell ref="N2:U2"/>
    <mergeCell ref="A3:A4"/>
    <mergeCell ref="B3:B4"/>
    <mergeCell ref="C3:C4"/>
    <mergeCell ref="D3:D4"/>
    <mergeCell ref="E3:E4"/>
    <mergeCell ref="F3:F4"/>
    <mergeCell ref="R3:R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S3:S4"/>
    <mergeCell ref="T3:T4"/>
    <mergeCell ref="U3:U4"/>
    <mergeCell ref="V3:V4"/>
    <mergeCell ref="W3:W4"/>
    <mergeCell ref="Y3:Y4"/>
    <mergeCell ref="Z3:Z4"/>
    <mergeCell ref="AA3:AA4"/>
    <mergeCell ref="AB3:AB4"/>
    <mergeCell ref="V2:AB2"/>
    <mergeCell ref="X3:X4"/>
  </mergeCells>
  <conditionalFormatting sqref="L6:L435">
    <cfRule type="cellIs" dxfId="410" priority="5" operator="equal">
      <formula>"-"</formula>
    </cfRule>
    <cfRule type="cellIs" dxfId="409" priority="6" operator="greaterThan">
      <formula>5</formula>
    </cfRule>
    <cfRule type="cellIs" dxfId="408" priority="7" operator="between">
      <formula>2</formula>
      <formula>5</formula>
    </cfRule>
    <cfRule type="cellIs" dxfId="407" priority="8" operator="lessThan">
      <formula>2</formula>
    </cfRule>
  </conditionalFormatting>
  <conditionalFormatting sqref="R6:R609">
    <cfRule type="cellIs" dxfId="406" priority="17" operator="equal">
      <formula>"-"</formula>
    </cfRule>
    <cfRule type="cellIs" dxfId="405" priority="18" operator="greaterThan">
      <formula>5</formula>
    </cfRule>
    <cfRule type="cellIs" dxfId="404" priority="19" operator="between">
      <formula>2</formula>
      <formula>5</formula>
    </cfRule>
    <cfRule type="cellIs" dxfId="403" priority="20" operator="lessThan">
      <formula>2</formula>
    </cfRule>
  </conditionalFormatting>
  <conditionalFormatting sqref="U6:U435">
    <cfRule type="cellIs" dxfId="402" priority="9" operator="equal">
      <formula>"-"</formula>
    </cfRule>
    <cfRule type="cellIs" dxfId="401" priority="10" operator="greaterThan">
      <formula>5</formula>
    </cfRule>
    <cfRule type="cellIs" dxfId="400" priority="11" operator="between">
      <formula>2</formula>
      <formula>5</formula>
    </cfRule>
    <cfRule type="cellIs" dxfId="399" priority="12" operator="lessThan">
      <formula>2</formula>
    </cfRule>
  </conditionalFormatting>
  <conditionalFormatting sqref="Y6:Y609">
    <cfRule type="cellIs" dxfId="398" priority="13" operator="equal">
      <formula>"-"</formula>
    </cfRule>
    <cfRule type="cellIs" dxfId="397" priority="14" operator="greaterThan">
      <formula>5</formula>
    </cfRule>
    <cfRule type="cellIs" dxfId="396" priority="15" operator="between">
      <formula>2</formula>
      <formula>5</formula>
    </cfRule>
    <cfRule type="cellIs" dxfId="395" priority="16" operator="lessThan">
      <formula>2</formula>
    </cfRule>
  </conditionalFormatting>
  <conditionalFormatting sqref="AB6:AB435">
    <cfRule type="cellIs" dxfId="394" priority="1" operator="equal">
      <formula>"-"</formula>
    </cfRule>
    <cfRule type="cellIs" dxfId="393" priority="2" operator="greaterThan">
      <formula>5</formula>
    </cfRule>
    <cfRule type="cellIs" dxfId="392" priority="3" operator="between">
      <formula>2</formula>
      <formula>5</formula>
    </cfRule>
    <cfRule type="cellIs" dxfId="391" priority="4" operator="lessThan">
      <formula>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5D4E0-FE08-42DC-B56F-16E583595F81}">
  <sheetPr>
    <tabColor rgb="FF92D050"/>
  </sheetPr>
  <dimension ref="A2:O631"/>
  <sheetViews>
    <sheetView zoomScale="70" zoomScaleNormal="70" workbookViewId="0">
      <pane xSplit="1" ySplit="5" topLeftCell="B6" activePane="bottomRight" state="frozen"/>
      <selection activeCell="I17" sqref="I17"/>
      <selection pane="topRight" activeCell="I17" sqref="I17"/>
      <selection pane="bottomLeft" activeCell="I17" sqref="I17"/>
      <selection pane="bottomRight" activeCell="I17" sqref="I17"/>
    </sheetView>
  </sheetViews>
  <sheetFormatPr baseColWidth="10" defaultColWidth="8.6640625" defaultRowHeight="14" outlineLevelRow="1" outlineLevelCol="1" x14ac:dyDescent="0.15"/>
  <cols>
    <col min="1" max="1" width="12.5" style="3" customWidth="1"/>
    <col min="2" max="2" width="9.83203125" style="3" bestFit="1" customWidth="1" outlineLevel="1"/>
    <col min="3" max="3" width="16.33203125" style="3" customWidth="1"/>
    <col min="4" max="4" width="10.33203125" style="3" customWidth="1"/>
    <col min="5" max="5" width="10.6640625" style="3" customWidth="1"/>
    <col min="6" max="6" width="18.33203125" style="3" customWidth="1" outlineLevel="1"/>
    <col min="7" max="7" width="15.83203125" style="3" customWidth="1"/>
    <col min="8" max="8" width="13.5" style="2" customWidth="1"/>
    <col min="9" max="9" width="14.1640625" style="2" customWidth="1"/>
    <col min="10" max="10" width="17.1640625" style="2" customWidth="1"/>
    <col min="11" max="11" width="21.5" style="2" customWidth="1"/>
    <col min="12" max="12" width="11.1640625" style="3" customWidth="1"/>
    <col min="13" max="13" width="26.6640625" style="3" bestFit="1" customWidth="1"/>
    <col min="14" max="14" width="21.5" style="2" customWidth="1"/>
    <col min="15" max="15" width="11.1640625" style="3" customWidth="1"/>
    <col min="16" max="16384" width="8.6640625" style="3"/>
  </cols>
  <sheetData>
    <row r="2" spans="1:15" ht="16" x14ac:dyDescent="0.2">
      <c r="A2" s="1" t="s">
        <v>0</v>
      </c>
      <c r="B2" s="2"/>
      <c r="C2" s="2"/>
      <c r="D2" s="2"/>
      <c r="E2" s="2"/>
      <c r="F2" s="2"/>
      <c r="G2" s="2"/>
    </row>
    <row r="3" spans="1:15" x14ac:dyDescent="0.15">
      <c r="A3" s="276" t="s">
        <v>1</v>
      </c>
      <c r="B3" s="276" t="s">
        <v>2</v>
      </c>
      <c r="C3" s="276" t="s">
        <v>3</v>
      </c>
      <c r="D3" s="276" t="s">
        <v>4</v>
      </c>
      <c r="E3" s="276" t="s">
        <v>5</v>
      </c>
      <c r="F3" s="276" t="s">
        <v>6</v>
      </c>
      <c r="G3" s="284" t="s">
        <v>7</v>
      </c>
      <c r="H3" s="275" t="s">
        <v>8</v>
      </c>
      <c r="I3" s="275" t="s">
        <v>9</v>
      </c>
      <c r="J3" s="275" t="s">
        <v>626</v>
      </c>
      <c r="K3" s="275" t="s">
        <v>627</v>
      </c>
      <c r="L3" s="275" t="s">
        <v>10</v>
      </c>
      <c r="M3" s="276" t="s">
        <v>11</v>
      </c>
      <c r="N3" s="275" t="s">
        <v>2096</v>
      </c>
      <c r="O3" s="275" t="s">
        <v>10</v>
      </c>
    </row>
    <row r="4" spans="1:15" x14ac:dyDescent="0.15">
      <c r="A4" s="276"/>
      <c r="B4" s="276"/>
      <c r="C4" s="276"/>
      <c r="D4" s="276"/>
      <c r="E4" s="276"/>
      <c r="F4" s="276"/>
      <c r="G4" s="284"/>
      <c r="H4" s="275"/>
      <c r="I4" s="275"/>
      <c r="J4" s="275"/>
      <c r="K4" s="275"/>
      <c r="L4" s="275"/>
      <c r="M4" s="276"/>
      <c r="N4" s="275"/>
      <c r="O4" s="275"/>
    </row>
    <row r="5" spans="1:15" ht="10.5" customHeight="1" x14ac:dyDescent="0.15">
      <c r="A5" s="4"/>
      <c r="B5" s="4"/>
      <c r="C5" s="4"/>
      <c r="D5" s="4"/>
      <c r="E5" s="4"/>
      <c r="F5" s="4"/>
      <c r="G5" s="5"/>
      <c r="H5" s="6"/>
      <c r="I5" s="6"/>
      <c r="J5" s="6"/>
      <c r="K5" s="6"/>
      <c r="L5" s="6"/>
      <c r="M5" s="7"/>
      <c r="N5" s="6"/>
      <c r="O5" s="6"/>
    </row>
    <row r="6" spans="1:15" outlineLevel="1" x14ac:dyDescent="0.15">
      <c r="A6" s="8" t="s">
        <v>1043</v>
      </c>
      <c r="B6" s="8">
        <v>1</v>
      </c>
      <c r="C6" s="8">
        <v>1</v>
      </c>
      <c r="D6" s="8" t="s">
        <v>1470</v>
      </c>
      <c r="E6" s="9">
        <v>38.840000000000003</v>
      </c>
      <c r="F6" s="8" t="s">
        <v>469</v>
      </c>
      <c r="G6" s="10">
        <v>5153</v>
      </c>
      <c r="H6" s="11"/>
      <c r="I6" s="143"/>
      <c r="J6" s="9">
        <f t="array" ref="J6">IFERROR(I6/G6*100,0)</f>
        <v>0</v>
      </c>
      <c r="K6" s="143"/>
      <c r="L6" s="9">
        <f t="shared" ref="L6" si="0">IFERROR(K6/I6*100,0)</f>
        <v>0</v>
      </c>
      <c r="M6" s="8" t="str">
        <f t="array" ref="M6">IF(L6&gt;5,"Perlu Pengendalian",IF(AND(L6&gt;=0,I6&gt;0),"Tidak Perlu Pengendalian","Belum Sensus"))</f>
        <v>Belum Sensus</v>
      </c>
      <c r="N6" s="143"/>
      <c r="O6" s="9">
        <f t="array" ref="O6">IFERROR(N6/I6*100,0)</f>
        <v>0</v>
      </c>
    </row>
    <row r="7" spans="1:15" outlineLevel="1" x14ac:dyDescent="0.15">
      <c r="A7" s="8" t="s">
        <v>1043</v>
      </c>
      <c r="B7" s="8">
        <v>1</v>
      </c>
      <c r="C7" s="8">
        <v>1</v>
      </c>
      <c r="D7" s="8" t="s">
        <v>1471</v>
      </c>
      <c r="E7" s="179">
        <v>31.949999999999996</v>
      </c>
      <c r="F7" s="8" t="s">
        <v>469</v>
      </c>
      <c r="G7" s="10">
        <v>3133</v>
      </c>
      <c r="H7" s="11"/>
      <c r="I7" s="143"/>
      <c r="J7" s="9">
        <f t="array" ref="J7">IFERROR(I7/G7*100,0)</f>
        <v>0</v>
      </c>
      <c r="K7" s="143"/>
      <c r="L7" s="9">
        <f t="shared" ref="L7:L70" si="1">IFERROR(K7/I7*100,0)</f>
        <v>0</v>
      </c>
      <c r="M7" s="8" t="str">
        <f t="array" ref="M7">IF(L7&gt;5,"Perlu Pengendalian",IF(AND(L7&gt;=0,I7&gt;0),"Tidak Perlu Pengendalian","Belum Sensus"))</f>
        <v>Belum Sensus</v>
      </c>
      <c r="N7" s="143"/>
      <c r="O7" s="9">
        <f t="array" ref="O7">IFERROR(N7/I7*100,0)</f>
        <v>0</v>
      </c>
    </row>
    <row r="8" spans="1:15" outlineLevel="1" x14ac:dyDescent="0.15">
      <c r="A8" s="8" t="s">
        <v>1043</v>
      </c>
      <c r="B8" s="8">
        <v>1</v>
      </c>
      <c r="C8" s="8">
        <v>1</v>
      </c>
      <c r="D8" s="8" t="s">
        <v>1472</v>
      </c>
      <c r="E8" s="9">
        <v>25.01</v>
      </c>
      <c r="F8" s="8" t="s">
        <v>469</v>
      </c>
      <c r="G8" s="10">
        <v>3603</v>
      </c>
      <c r="H8" s="11"/>
      <c r="I8" s="143"/>
      <c r="J8" s="9">
        <f t="array" ref="J8">IFERROR(I8/G8*100,0)</f>
        <v>0</v>
      </c>
      <c r="K8" s="143"/>
      <c r="L8" s="9">
        <f t="shared" si="1"/>
        <v>0</v>
      </c>
      <c r="M8" s="8" t="str">
        <f t="array" ref="M8">IF(L8&gt;5,"Perlu Pengendalian",IF(AND(L8&gt;=0,I8&gt;0),"Tidak Perlu Pengendalian","Belum Sensus"))</f>
        <v>Belum Sensus</v>
      </c>
      <c r="N8" s="143"/>
      <c r="O8" s="9">
        <f t="array" ref="O8">IFERROR(N8/I8*100,0)</f>
        <v>0</v>
      </c>
    </row>
    <row r="9" spans="1:15" outlineLevel="1" x14ac:dyDescent="0.15">
      <c r="A9" s="8" t="s">
        <v>1043</v>
      </c>
      <c r="B9" s="8">
        <v>1</v>
      </c>
      <c r="C9" s="8">
        <v>1</v>
      </c>
      <c r="D9" s="8" t="s">
        <v>1473</v>
      </c>
      <c r="E9" s="9">
        <v>24.330000000000002</v>
      </c>
      <c r="F9" s="8" t="s">
        <v>469</v>
      </c>
      <c r="G9" s="10">
        <v>3268</v>
      </c>
      <c r="H9" s="11"/>
      <c r="I9" s="143"/>
      <c r="J9" s="9">
        <f t="array" ref="J9">IFERROR(I9/G9*100,0)</f>
        <v>0</v>
      </c>
      <c r="K9" s="143"/>
      <c r="L9" s="9">
        <f t="shared" si="1"/>
        <v>0</v>
      </c>
      <c r="M9" s="8" t="str">
        <f t="array" ref="M9">IF(L9&gt;5,"Perlu Pengendalian",IF(AND(L9&gt;=0,I9&gt;0),"Tidak Perlu Pengendalian","Belum Sensus"))</f>
        <v>Belum Sensus</v>
      </c>
      <c r="N9" s="143"/>
      <c r="O9" s="9">
        <f t="array" ref="O9">IFERROR(N9/I9*100,0)</f>
        <v>0</v>
      </c>
    </row>
    <row r="10" spans="1:15" outlineLevel="1" x14ac:dyDescent="0.15">
      <c r="A10" s="8" t="s">
        <v>1043</v>
      </c>
      <c r="B10" s="8">
        <v>1</v>
      </c>
      <c r="C10" s="8">
        <v>1</v>
      </c>
      <c r="D10" s="8" t="s">
        <v>1474</v>
      </c>
      <c r="E10" s="9">
        <v>35.15</v>
      </c>
      <c r="F10" s="8" t="s">
        <v>469</v>
      </c>
      <c r="G10" s="10">
        <v>3531</v>
      </c>
      <c r="H10" s="11"/>
      <c r="I10" s="143"/>
      <c r="J10" s="9">
        <f t="array" ref="J10">IFERROR(I10/G10*100,0)</f>
        <v>0</v>
      </c>
      <c r="K10" s="143"/>
      <c r="L10" s="9">
        <f t="shared" si="1"/>
        <v>0</v>
      </c>
      <c r="M10" s="8" t="str">
        <f t="array" ref="M10">IF(L10&gt;5,"Perlu Pengendalian",IF(AND(L10&gt;=0,I10&gt;0),"Tidak Perlu Pengendalian","Belum Sensus"))</f>
        <v>Belum Sensus</v>
      </c>
      <c r="N10" s="143"/>
      <c r="O10" s="9">
        <f t="array" ref="O10">IFERROR(N10/I10*100,0)</f>
        <v>0</v>
      </c>
    </row>
    <row r="11" spans="1:15" outlineLevel="1" x14ac:dyDescent="0.15">
      <c r="A11" s="8" t="s">
        <v>1043</v>
      </c>
      <c r="B11" s="8">
        <v>1</v>
      </c>
      <c r="C11" s="8">
        <v>1</v>
      </c>
      <c r="D11" s="8" t="s">
        <v>1475</v>
      </c>
      <c r="E11" s="9">
        <v>33.14</v>
      </c>
      <c r="F11" s="8" t="s">
        <v>469</v>
      </c>
      <c r="G11" s="10">
        <v>3515</v>
      </c>
      <c r="H11" s="11"/>
      <c r="I11" s="143"/>
      <c r="J11" s="9">
        <f t="array" ref="J11">IFERROR(I11/G11*100,0)</f>
        <v>0</v>
      </c>
      <c r="K11" s="143"/>
      <c r="L11" s="9">
        <f t="shared" si="1"/>
        <v>0</v>
      </c>
      <c r="M11" s="8" t="str">
        <f t="array" ref="M11">IF(L11&gt;5,"Perlu Pengendalian",IF(AND(L11&gt;=0,I11&gt;0),"Tidak Perlu Pengendalian","Belum Sensus"))</f>
        <v>Belum Sensus</v>
      </c>
      <c r="N11" s="143"/>
      <c r="O11" s="9">
        <f t="array" ref="O11">IFERROR(N11/I11*100,0)</f>
        <v>0</v>
      </c>
    </row>
    <row r="12" spans="1:15" outlineLevel="1" x14ac:dyDescent="0.15">
      <c r="A12" s="8" t="s">
        <v>1043</v>
      </c>
      <c r="B12" s="8">
        <v>1</v>
      </c>
      <c r="C12" s="8">
        <v>1</v>
      </c>
      <c r="D12" s="8" t="s">
        <v>1476</v>
      </c>
      <c r="E12" s="9">
        <v>36.089999999999996</v>
      </c>
      <c r="F12" s="8" t="s">
        <v>469</v>
      </c>
      <c r="G12" s="10">
        <v>5133</v>
      </c>
      <c r="H12" s="11"/>
      <c r="I12" s="143"/>
      <c r="J12" s="9">
        <f t="array" ref="J12">IFERROR(I12/G12*100,0)</f>
        <v>0</v>
      </c>
      <c r="K12" s="143"/>
      <c r="L12" s="9">
        <f t="shared" si="1"/>
        <v>0</v>
      </c>
      <c r="M12" s="8" t="str">
        <f t="array" ref="M12">IF(L12&gt;5,"Perlu Pengendalian",IF(AND(L12&gt;=0,I12&gt;0),"Tidak Perlu Pengendalian","Belum Sensus"))</f>
        <v>Belum Sensus</v>
      </c>
      <c r="N12" s="143"/>
      <c r="O12" s="9">
        <f t="array" ref="O12">IFERROR(N12/I12*100,0)</f>
        <v>0</v>
      </c>
    </row>
    <row r="13" spans="1:15" outlineLevel="1" x14ac:dyDescent="0.15">
      <c r="A13" s="8" t="s">
        <v>1043</v>
      </c>
      <c r="B13" s="8">
        <v>1</v>
      </c>
      <c r="C13" s="8">
        <v>1</v>
      </c>
      <c r="D13" s="8" t="s">
        <v>1477</v>
      </c>
      <c r="E13" s="9">
        <v>25.69</v>
      </c>
      <c r="F13" s="8" t="s">
        <v>469</v>
      </c>
      <c r="G13" s="10">
        <v>3560</v>
      </c>
      <c r="H13" s="11"/>
      <c r="I13" s="143"/>
      <c r="J13" s="9">
        <f t="array" ref="J13">IFERROR(I13/G13*100,0)</f>
        <v>0</v>
      </c>
      <c r="K13" s="143"/>
      <c r="L13" s="9">
        <f t="shared" si="1"/>
        <v>0</v>
      </c>
      <c r="M13" s="8" t="str">
        <f t="array" ref="M13">IF(L13&gt;5,"Perlu Pengendalian",IF(AND(L13&gt;=0,I13&gt;0),"Tidak Perlu Pengendalian","Belum Sensus"))</f>
        <v>Belum Sensus</v>
      </c>
      <c r="N13" s="143"/>
      <c r="O13" s="9">
        <f t="array" ref="O13">IFERROR(N13/I13*100,0)</f>
        <v>0</v>
      </c>
    </row>
    <row r="14" spans="1:15" outlineLevel="1" x14ac:dyDescent="0.15">
      <c r="A14" s="8" t="s">
        <v>1043</v>
      </c>
      <c r="B14" s="8">
        <v>1</v>
      </c>
      <c r="C14" s="8">
        <v>1</v>
      </c>
      <c r="D14" s="8" t="s">
        <v>1478</v>
      </c>
      <c r="E14" s="9">
        <v>25.31</v>
      </c>
      <c r="F14" s="8" t="s">
        <v>469</v>
      </c>
      <c r="G14" s="10">
        <v>3498</v>
      </c>
      <c r="H14" s="11"/>
      <c r="I14" s="143"/>
      <c r="J14" s="9">
        <f t="array" ref="J14">IFERROR(I14/G14*100,0)</f>
        <v>0</v>
      </c>
      <c r="K14" s="143"/>
      <c r="L14" s="9">
        <f t="shared" si="1"/>
        <v>0</v>
      </c>
      <c r="M14" s="8" t="str">
        <f t="array" ref="M14">IF(L14&gt;5,"Perlu Pengendalian",IF(AND(L14&gt;=0,I14&gt;0),"Tidak Perlu Pengendalian","Belum Sensus"))</f>
        <v>Belum Sensus</v>
      </c>
      <c r="N14" s="143"/>
      <c r="O14" s="9">
        <f t="array" ref="O14">IFERROR(N14/I14*100,0)</f>
        <v>0</v>
      </c>
    </row>
    <row r="15" spans="1:15" outlineLevel="1" x14ac:dyDescent="0.15">
      <c r="A15" s="8" t="s">
        <v>1043</v>
      </c>
      <c r="B15" s="8">
        <v>1</v>
      </c>
      <c r="C15" s="8">
        <v>1</v>
      </c>
      <c r="D15" s="8" t="s">
        <v>1479</v>
      </c>
      <c r="E15" s="9">
        <v>35.729999999999997</v>
      </c>
      <c r="F15" s="8" t="s">
        <v>469</v>
      </c>
      <c r="G15" s="10">
        <v>4598</v>
      </c>
      <c r="H15" s="11"/>
      <c r="I15" s="143"/>
      <c r="J15" s="9">
        <f t="array" ref="J15">IFERROR(I15/G15*100,0)</f>
        <v>0</v>
      </c>
      <c r="K15" s="143"/>
      <c r="L15" s="9">
        <f t="shared" si="1"/>
        <v>0</v>
      </c>
      <c r="M15" s="8" t="str">
        <f t="array" ref="M15">IF(L15&gt;5,"Perlu Pengendalian",IF(AND(L15&gt;=0,I15&gt;0),"Tidak Perlu Pengendalian","Belum Sensus"))</f>
        <v>Belum Sensus</v>
      </c>
      <c r="N15" s="143"/>
      <c r="O15" s="9">
        <f t="array" ref="O15">IFERROR(N15/I15*100,0)</f>
        <v>0</v>
      </c>
    </row>
    <row r="16" spans="1:15" outlineLevel="1" x14ac:dyDescent="0.15">
      <c r="A16" s="8" t="s">
        <v>1043</v>
      </c>
      <c r="B16" s="8">
        <v>1</v>
      </c>
      <c r="C16" s="8">
        <v>1</v>
      </c>
      <c r="D16" s="8" t="s">
        <v>1480</v>
      </c>
      <c r="E16" s="9">
        <v>37.360000000000007</v>
      </c>
      <c r="F16" s="8" t="s">
        <v>469</v>
      </c>
      <c r="G16" s="10">
        <v>4188</v>
      </c>
      <c r="H16" s="11"/>
      <c r="I16" s="143"/>
      <c r="J16" s="9">
        <f t="array" ref="J16">IFERROR(I16/G16*100,0)</f>
        <v>0</v>
      </c>
      <c r="K16" s="143"/>
      <c r="L16" s="9">
        <f t="shared" si="1"/>
        <v>0</v>
      </c>
      <c r="M16" s="8" t="str">
        <f t="array" ref="M16">IF(L16&gt;5,"Perlu Pengendalian",IF(AND(L16&gt;=0,I16&gt;0),"Tidak Perlu Pengendalian","Belum Sensus"))</f>
        <v>Belum Sensus</v>
      </c>
      <c r="N16" s="143"/>
      <c r="O16" s="9">
        <f t="array" ref="O16">IFERROR(N16/I16*100,0)</f>
        <v>0</v>
      </c>
    </row>
    <row r="17" spans="1:15" outlineLevel="1" x14ac:dyDescent="0.15">
      <c r="A17" s="8" t="s">
        <v>1043</v>
      </c>
      <c r="B17" s="8">
        <v>1</v>
      </c>
      <c r="C17" s="8">
        <v>1</v>
      </c>
      <c r="D17" s="8" t="s">
        <v>1481</v>
      </c>
      <c r="E17" s="9">
        <v>25.160000000000004</v>
      </c>
      <c r="F17" s="8" t="s">
        <v>469</v>
      </c>
      <c r="G17" s="10">
        <v>3174</v>
      </c>
      <c r="H17" s="11"/>
      <c r="I17" s="143"/>
      <c r="J17" s="9">
        <f t="array" ref="J17">IFERROR(I17/G17*100,0)</f>
        <v>0</v>
      </c>
      <c r="K17" s="143"/>
      <c r="L17" s="9">
        <f t="shared" si="1"/>
        <v>0</v>
      </c>
      <c r="M17" s="8" t="str">
        <f t="array" ref="M17">IF(L17&gt;5,"Perlu Pengendalian",IF(AND(L17&gt;=0,I17&gt;0),"Tidak Perlu Pengendalian","Belum Sensus"))</f>
        <v>Belum Sensus</v>
      </c>
      <c r="N17" s="143"/>
      <c r="O17" s="9">
        <f t="array" ref="O17">IFERROR(N17/I17*100,0)</f>
        <v>0</v>
      </c>
    </row>
    <row r="18" spans="1:15" outlineLevel="1" x14ac:dyDescent="0.15">
      <c r="A18" s="8" t="s">
        <v>1043</v>
      </c>
      <c r="B18" s="8">
        <v>1</v>
      </c>
      <c r="C18" s="8">
        <v>1</v>
      </c>
      <c r="D18" s="8" t="s">
        <v>1482</v>
      </c>
      <c r="E18" s="9">
        <v>38.800000000000004</v>
      </c>
      <c r="F18" s="8" t="s">
        <v>469</v>
      </c>
      <c r="G18" s="10">
        <v>4963</v>
      </c>
      <c r="H18" s="11"/>
      <c r="I18" s="143"/>
      <c r="J18" s="9">
        <f t="array" ref="J18">IFERROR(I18/G18*100,0)</f>
        <v>0</v>
      </c>
      <c r="K18" s="143"/>
      <c r="L18" s="9">
        <f t="shared" si="1"/>
        <v>0</v>
      </c>
      <c r="M18" s="8" t="str">
        <f t="array" ref="M18">IF(L18&gt;5,"Perlu Pengendalian",IF(AND(L18&gt;=0,I18&gt;0),"Tidak Perlu Pengendalian","Belum Sensus"))</f>
        <v>Belum Sensus</v>
      </c>
      <c r="N18" s="143"/>
      <c r="O18" s="9">
        <f t="array" ref="O18">IFERROR(N18/I18*100,0)</f>
        <v>0</v>
      </c>
    </row>
    <row r="19" spans="1:15" outlineLevel="1" x14ac:dyDescent="0.15">
      <c r="A19" s="8" t="s">
        <v>1043</v>
      </c>
      <c r="B19" s="8">
        <v>1</v>
      </c>
      <c r="C19" s="8">
        <v>1</v>
      </c>
      <c r="D19" s="8" t="s">
        <v>1483</v>
      </c>
      <c r="E19" s="179">
        <v>28.92</v>
      </c>
      <c r="F19" s="8" t="s">
        <v>469</v>
      </c>
      <c r="G19" s="10">
        <v>2965</v>
      </c>
      <c r="H19" s="11"/>
      <c r="I19" s="143"/>
      <c r="J19" s="9">
        <f t="array" ref="J19">IFERROR(I19/G19*100,0)</f>
        <v>0</v>
      </c>
      <c r="K19" s="143"/>
      <c r="L19" s="9">
        <f t="shared" si="1"/>
        <v>0</v>
      </c>
      <c r="M19" s="8" t="str">
        <f t="array" ref="M19">IF(L19&gt;5,"Perlu Pengendalian",IF(AND(L19&gt;=0,I19&gt;0),"Tidak Perlu Pengendalian","Belum Sensus"))</f>
        <v>Belum Sensus</v>
      </c>
      <c r="N19" s="143"/>
      <c r="O19" s="9">
        <f t="array" ref="O19">IFERROR(N19/I19*100,0)</f>
        <v>0</v>
      </c>
    </row>
    <row r="20" spans="1:15" outlineLevel="1" x14ac:dyDescent="0.15">
      <c r="A20" s="8" t="s">
        <v>1043</v>
      </c>
      <c r="B20" s="8">
        <v>1</v>
      </c>
      <c r="C20" s="8">
        <v>1</v>
      </c>
      <c r="D20" s="8" t="s">
        <v>1484</v>
      </c>
      <c r="E20" s="180">
        <v>36.229999999999997</v>
      </c>
      <c r="F20" s="8" t="s">
        <v>469</v>
      </c>
      <c r="G20" s="10">
        <v>4587</v>
      </c>
      <c r="H20" s="11"/>
      <c r="I20" s="143"/>
      <c r="J20" s="9">
        <f t="array" ref="J20">IFERROR(I20/G20*100,0)</f>
        <v>0</v>
      </c>
      <c r="K20" s="143"/>
      <c r="L20" s="9">
        <f t="shared" si="1"/>
        <v>0</v>
      </c>
      <c r="M20" s="8" t="str">
        <f t="array" ref="M20">IF(L20&gt;5,"Perlu Pengendalian",IF(AND(L20&gt;=0,I20&gt;0),"Tidak Perlu Pengendalian","Belum Sensus"))</f>
        <v>Belum Sensus</v>
      </c>
      <c r="N20" s="143"/>
      <c r="O20" s="9">
        <f t="array" ref="O20">IFERROR(N20/I20*100,0)</f>
        <v>0</v>
      </c>
    </row>
    <row r="21" spans="1:15" outlineLevel="1" x14ac:dyDescent="0.15">
      <c r="A21" s="8" t="s">
        <v>1043</v>
      </c>
      <c r="B21" s="8">
        <v>1</v>
      </c>
      <c r="C21" s="8">
        <v>1</v>
      </c>
      <c r="D21" s="8" t="s">
        <v>1485</v>
      </c>
      <c r="E21" s="9">
        <v>34.03</v>
      </c>
      <c r="F21" s="8" t="s">
        <v>469</v>
      </c>
      <c r="G21" s="10">
        <v>4597</v>
      </c>
      <c r="H21" s="11"/>
      <c r="I21" s="143"/>
      <c r="J21" s="9">
        <f t="array" ref="J21">IFERROR(I21/G21*100,0)</f>
        <v>0</v>
      </c>
      <c r="K21" s="143"/>
      <c r="L21" s="9">
        <f t="shared" si="1"/>
        <v>0</v>
      </c>
      <c r="M21" s="8" t="str">
        <f t="array" ref="M21">IF(L21&gt;5,"Perlu Pengendalian",IF(AND(L21&gt;=0,I21&gt;0),"Tidak Perlu Pengendalian","Belum Sensus"))</f>
        <v>Belum Sensus</v>
      </c>
      <c r="N21" s="143"/>
      <c r="O21" s="9">
        <f t="array" ref="O21">IFERROR(N21/I21*100,0)</f>
        <v>0</v>
      </c>
    </row>
    <row r="22" spans="1:15" outlineLevel="1" x14ac:dyDescent="0.15">
      <c r="A22" s="8" t="s">
        <v>1043</v>
      </c>
      <c r="B22" s="8">
        <v>1</v>
      </c>
      <c r="C22" s="8">
        <v>1</v>
      </c>
      <c r="D22" s="8" t="s">
        <v>1486</v>
      </c>
      <c r="E22" s="179">
        <v>44.44</v>
      </c>
      <c r="F22" s="8" t="s">
        <v>469</v>
      </c>
      <c r="G22" s="10">
        <v>5892</v>
      </c>
      <c r="H22" s="11"/>
      <c r="I22" s="143"/>
      <c r="J22" s="9">
        <f t="array" ref="J22">IFERROR(I22/G22*100,0)</f>
        <v>0</v>
      </c>
      <c r="K22" s="143"/>
      <c r="L22" s="9">
        <f t="shared" si="1"/>
        <v>0</v>
      </c>
      <c r="M22" s="8" t="str">
        <f t="array" ref="M22">IF(L22&gt;5,"Perlu Pengendalian",IF(AND(L22&gt;=0,I22&gt;0),"Tidak Perlu Pengendalian","Belum Sensus"))</f>
        <v>Belum Sensus</v>
      </c>
      <c r="N22" s="143"/>
      <c r="O22" s="9">
        <f t="array" ref="O22">IFERROR(N22/I22*100,0)</f>
        <v>0</v>
      </c>
    </row>
    <row r="23" spans="1:15" outlineLevel="1" x14ac:dyDescent="0.15">
      <c r="A23" s="8" t="s">
        <v>1043</v>
      </c>
      <c r="B23" s="8">
        <v>1</v>
      </c>
      <c r="C23" s="8">
        <v>2</v>
      </c>
      <c r="D23" s="8" t="s">
        <v>1487</v>
      </c>
      <c r="E23" s="179">
        <v>24.63</v>
      </c>
      <c r="F23" s="8" t="s">
        <v>469</v>
      </c>
      <c r="G23" s="10">
        <v>3504</v>
      </c>
      <c r="H23" s="11"/>
      <c r="I23" s="143"/>
      <c r="J23" s="9">
        <f t="array" ref="J23">IFERROR(I23/G23*100,0)</f>
        <v>0</v>
      </c>
      <c r="K23" s="143"/>
      <c r="L23" s="9">
        <f t="shared" si="1"/>
        <v>0</v>
      </c>
      <c r="M23" s="8" t="str">
        <f t="array" ref="M23">IF(L23&gt;5,"Perlu Pengendalian",IF(AND(L23&gt;=0,I23&gt;0),"Tidak Perlu Pengendalian","Belum Sensus"))</f>
        <v>Belum Sensus</v>
      </c>
      <c r="N23" s="143"/>
      <c r="O23" s="9">
        <f t="array" ref="O23">IFERROR(N23/I23*100,0)</f>
        <v>0</v>
      </c>
    </row>
    <row r="24" spans="1:15" outlineLevel="1" x14ac:dyDescent="0.15">
      <c r="A24" s="8" t="s">
        <v>1043</v>
      </c>
      <c r="B24" s="8">
        <v>1</v>
      </c>
      <c r="C24" s="8">
        <v>2</v>
      </c>
      <c r="D24" s="8" t="s">
        <v>1488</v>
      </c>
      <c r="E24" s="9">
        <v>21.79</v>
      </c>
      <c r="F24" s="8" t="s">
        <v>469</v>
      </c>
      <c r="G24" s="10">
        <v>2818</v>
      </c>
      <c r="H24" s="11"/>
      <c r="I24" s="143"/>
      <c r="J24" s="9">
        <f t="array" ref="J24">IFERROR(I24/G24*100,0)</f>
        <v>0</v>
      </c>
      <c r="K24" s="143"/>
      <c r="L24" s="9">
        <f t="shared" si="1"/>
        <v>0</v>
      </c>
      <c r="M24" s="8" t="str">
        <f t="array" ref="M24">IF(L24&gt;5,"Perlu Pengendalian",IF(AND(L24&gt;=0,I24&gt;0),"Tidak Perlu Pengendalian","Belum Sensus"))</f>
        <v>Belum Sensus</v>
      </c>
      <c r="N24" s="143"/>
      <c r="O24" s="9">
        <f t="array" ref="O24">IFERROR(N24/I24*100,0)</f>
        <v>0</v>
      </c>
    </row>
    <row r="25" spans="1:15" outlineLevel="1" x14ac:dyDescent="0.15">
      <c r="A25" s="8" t="s">
        <v>1043</v>
      </c>
      <c r="B25" s="8">
        <v>1</v>
      </c>
      <c r="C25" s="8">
        <v>2</v>
      </c>
      <c r="D25" s="8" t="s">
        <v>1489</v>
      </c>
      <c r="E25" s="179">
        <v>25.15</v>
      </c>
      <c r="F25" s="8" t="s">
        <v>469</v>
      </c>
      <c r="G25" s="10">
        <v>3014</v>
      </c>
      <c r="H25" s="11"/>
      <c r="I25" s="143"/>
      <c r="J25" s="9">
        <f t="array" ref="J25">IFERROR(I25/G25*100,0)</f>
        <v>0</v>
      </c>
      <c r="K25" s="143"/>
      <c r="L25" s="9">
        <f t="shared" si="1"/>
        <v>0</v>
      </c>
      <c r="M25" s="8" t="str">
        <f t="array" ref="M25">IF(L25&gt;5,"Perlu Pengendalian",IF(AND(L25&gt;=0,I25&gt;0),"Tidak Perlu Pengendalian","Belum Sensus"))</f>
        <v>Belum Sensus</v>
      </c>
      <c r="N25" s="143"/>
      <c r="O25" s="9">
        <f t="array" ref="O25">IFERROR(N25/I25*100,0)</f>
        <v>0</v>
      </c>
    </row>
    <row r="26" spans="1:15" outlineLevel="1" x14ac:dyDescent="0.15">
      <c r="A26" s="8" t="s">
        <v>1043</v>
      </c>
      <c r="B26" s="8">
        <v>1</v>
      </c>
      <c r="C26" s="8">
        <v>2</v>
      </c>
      <c r="D26" s="8" t="s">
        <v>1490</v>
      </c>
      <c r="E26" s="179">
        <v>22.389999999999997</v>
      </c>
      <c r="F26" s="8" t="s">
        <v>469</v>
      </c>
      <c r="G26" s="10">
        <v>2599</v>
      </c>
      <c r="H26" s="11"/>
      <c r="I26" s="143"/>
      <c r="J26" s="9">
        <f t="array" ref="J26">IFERROR(I26/G26*100,0)</f>
        <v>0</v>
      </c>
      <c r="K26" s="143"/>
      <c r="L26" s="9">
        <f t="shared" si="1"/>
        <v>0</v>
      </c>
      <c r="M26" s="8" t="str">
        <f t="array" ref="M26">IF(L26&gt;5,"Perlu Pengendalian",IF(AND(L26&gt;=0,I26&gt;0),"Tidak Perlu Pengendalian","Belum Sensus"))</f>
        <v>Belum Sensus</v>
      </c>
      <c r="N26" s="143"/>
      <c r="O26" s="9">
        <f t="array" ref="O26">IFERROR(N26/I26*100,0)</f>
        <v>0</v>
      </c>
    </row>
    <row r="27" spans="1:15" outlineLevel="1" x14ac:dyDescent="0.15">
      <c r="A27" s="8" t="s">
        <v>1043</v>
      </c>
      <c r="B27" s="8">
        <v>1</v>
      </c>
      <c r="C27" s="8">
        <v>2</v>
      </c>
      <c r="D27" s="8" t="s">
        <v>1491</v>
      </c>
      <c r="E27" s="179">
        <v>25.18</v>
      </c>
      <c r="F27" s="8" t="s">
        <v>469</v>
      </c>
      <c r="G27" s="10">
        <v>2976</v>
      </c>
      <c r="H27" s="11"/>
      <c r="I27" s="143"/>
      <c r="J27" s="9">
        <f t="array" ref="J27">IFERROR(I27/G27*100,0)</f>
        <v>0</v>
      </c>
      <c r="K27" s="143"/>
      <c r="L27" s="9">
        <f t="shared" si="1"/>
        <v>0</v>
      </c>
      <c r="M27" s="8" t="str">
        <f t="array" ref="M27">IF(L27&gt;5,"Perlu Pengendalian",IF(AND(L27&gt;=0,I27&gt;0),"Tidak Perlu Pengendalian","Belum Sensus"))</f>
        <v>Belum Sensus</v>
      </c>
      <c r="N27" s="143"/>
      <c r="O27" s="9">
        <f t="array" ref="O27">IFERROR(N27/I27*100,0)</f>
        <v>0</v>
      </c>
    </row>
    <row r="28" spans="1:15" outlineLevel="1" x14ac:dyDescent="0.15">
      <c r="A28" s="8" t="s">
        <v>1043</v>
      </c>
      <c r="B28" s="8">
        <v>1</v>
      </c>
      <c r="C28" s="8">
        <v>2</v>
      </c>
      <c r="D28" s="8" t="s">
        <v>1492</v>
      </c>
      <c r="E28" s="180">
        <v>23.97</v>
      </c>
      <c r="F28" s="8" t="s">
        <v>469</v>
      </c>
      <c r="G28" s="10">
        <v>3187</v>
      </c>
      <c r="H28" s="11"/>
      <c r="I28" s="143"/>
      <c r="J28" s="9">
        <f t="array" ref="J28">IFERROR(I28/G28*100,0)</f>
        <v>0</v>
      </c>
      <c r="K28" s="143"/>
      <c r="L28" s="9">
        <f t="shared" si="1"/>
        <v>0</v>
      </c>
      <c r="M28" s="8" t="str">
        <f t="array" ref="M28">IF(L28&gt;5,"Perlu Pengendalian",IF(AND(L28&gt;=0,I28&gt;0),"Tidak Perlu Pengendalian","Belum Sensus"))</f>
        <v>Belum Sensus</v>
      </c>
      <c r="N28" s="143"/>
      <c r="O28" s="9">
        <f t="array" ref="O28">IFERROR(N28/I28*100,0)</f>
        <v>0</v>
      </c>
    </row>
    <row r="29" spans="1:15" outlineLevel="1" x14ac:dyDescent="0.15">
      <c r="A29" s="8" t="s">
        <v>1043</v>
      </c>
      <c r="B29" s="8">
        <v>1</v>
      </c>
      <c r="C29" s="8">
        <v>2</v>
      </c>
      <c r="D29" s="8" t="s">
        <v>1493</v>
      </c>
      <c r="E29" s="180">
        <v>21.75</v>
      </c>
      <c r="F29" s="8" t="s">
        <v>469</v>
      </c>
      <c r="G29" s="10">
        <v>2484</v>
      </c>
      <c r="H29" s="11"/>
      <c r="I29" s="143"/>
      <c r="J29" s="9">
        <f t="array" ref="J29">IFERROR(I29/G29*100,0)</f>
        <v>0</v>
      </c>
      <c r="K29" s="143"/>
      <c r="L29" s="9">
        <f t="shared" si="1"/>
        <v>0</v>
      </c>
      <c r="M29" s="8" t="str">
        <f t="array" ref="M29">IF(L29&gt;5,"Perlu Pengendalian",IF(AND(L29&gt;=0,I29&gt;0),"Tidak Perlu Pengendalian","Belum Sensus"))</f>
        <v>Belum Sensus</v>
      </c>
      <c r="N29" s="143"/>
      <c r="O29" s="9">
        <f t="array" ref="O29">IFERROR(N29/I29*100,0)</f>
        <v>0</v>
      </c>
    </row>
    <row r="30" spans="1:15" outlineLevel="1" x14ac:dyDescent="0.15">
      <c r="A30" s="8" t="s">
        <v>1043</v>
      </c>
      <c r="B30" s="8">
        <v>1</v>
      </c>
      <c r="C30" s="8">
        <v>2</v>
      </c>
      <c r="D30" s="8" t="s">
        <v>1494</v>
      </c>
      <c r="E30" s="9">
        <v>25.49</v>
      </c>
      <c r="F30" s="8" t="s">
        <v>469</v>
      </c>
      <c r="G30" s="10">
        <v>3336</v>
      </c>
      <c r="H30" s="11"/>
      <c r="I30" s="143"/>
      <c r="J30" s="9">
        <f t="array" ref="J30">IFERROR(I30/G30*100,0)</f>
        <v>0</v>
      </c>
      <c r="K30" s="143"/>
      <c r="L30" s="9">
        <f t="shared" si="1"/>
        <v>0</v>
      </c>
      <c r="M30" s="8" t="str">
        <f t="array" ref="M30">IF(L30&gt;5,"Perlu Pengendalian",IF(AND(L30&gt;=0,I30&gt;0),"Tidak Perlu Pengendalian","Belum Sensus"))</f>
        <v>Belum Sensus</v>
      </c>
      <c r="N30" s="143"/>
      <c r="O30" s="9">
        <f t="array" ref="O30">IFERROR(N30/I30*100,0)</f>
        <v>0</v>
      </c>
    </row>
    <row r="31" spans="1:15" outlineLevel="1" x14ac:dyDescent="0.15">
      <c r="A31" s="8" t="s">
        <v>1043</v>
      </c>
      <c r="B31" s="8">
        <v>1</v>
      </c>
      <c r="C31" s="8">
        <v>2</v>
      </c>
      <c r="D31" s="8" t="s">
        <v>1495</v>
      </c>
      <c r="E31" s="180">
        <v>24.1</v>
      </c>
      <c r="F31" s="8" t="s">
        <v>469</v>
      </c>
      <c r="G31" s="10">
        <v>3060</v>
      </c>
      <c r="H31" s="11"/>
      <c r="I31" s="143"/>
      <c r="J31" s="9">
        <f t="array" ref="J31">IFERROR(I31/G31*100,0)</f>
        <v>0</v>
      </c>
      <c r="K31" s="143"/>
      <c r="L31" s="9">
        <f t="shared" si="1"/>
        <v>0</v>
      </c>
      <c r="M31" s="8" t="str">
        <f t="array" ref="M31">IF(L31&gt;5,"Perlu Pengendalian",IF(AND(L31&gt;=0,I31&gt;0),"Tidak Perlu Pengendalian","Belum Sensus"))</f>
        <v>Belum Sensus</v>
      </c>
      <c r="N31" s="143"/>
      <c r="O31" s="9">
        <f t="array" ref="O31">IFERROR(N31/I31*100,0)</f>
        <v>0</v>
      </c>
    </row>
    <row r="32" spans="1:15" outlineLevel="1" x14ac:dyDescent="0.15">
      <c r="A32" s="8" t="s">
        <v>1043</v>
      </c>
      <c r="B32" s="8">
        <v>1</v>
      </c>
      <c r="C32" s="8">
        <v>2</v>
      </c>
      <c r="D32" s="8" t="s">
        <v>1496</v>
      </c>
      <c r="E32" s="9">
        <v>24.57</v>
      </c>
      <c r="F32" s="8" t="s">
        <v>469</v>
      </c>
      <c r="G32" s="10">
        <v>3015</v>
      </c>
      <c r="H32" s="11"/>
      <c r="I32" s="143"/>
      <c r="J32" s="9">
        <f t="array" ref="J32">IFERROR(I32/G32*100,0)</f>
        <v>0</v>
      </c>
      <c r="K32" s="143"/>
      <c r="L32" s="9">
        <f t="shared" si="1"/>
        <v>0</v>
      </c>
      <c r="M32" s="8" t="str">
        <f t="array" ref="M32">IF(L32&gt;5,"Perlu Pengendalian",IF(AND(L32&gt;=0,I32&gt;0),"Tidak Perlu Pengendalian","Belum Sensus"))</f>
        <v>Belum Sensus</v>
      </c>
      <c r="N32" s="143"/>
      <c r="O32" s="9">
        <f t="array" ref="O32">IFERROR(N32/I32*100,0)</f>
        <v>0</v>
      </c>
    </row>
    <row r="33" spans="1:15" outlineLevel="1" x14ac:dyDescent="0.15">
      <c r="A33" s="8" t="s">
        <v>1043</v>
      </c>
      <c r="B33" s="8">
        <v>1</v>
      </c>
      <c r="C33" s="8">
        <v>2</v>
      </c>
      <c r="D33" s="8" t="s">
        <v>1497</v>
      </c>
      <c r="E33" s="9">
        <v>22.77</v>
      </c>
      <c r="F33" s="8" t="s">
        <v>469</v>
      </c>
      <c r="G33" s="10">
        <v>3133</v>
      </c>
      <c r="H33" s="11"/>
      <c r="I33" s="143"/>
      <c r="J33" s="9">
        <f t="array" ref="J33">IFERROR(I33/G33*100,0)</f>
        <v>0</v>
      </c>
      <c r="K33" s="143"/>
      <c r="L33" s="9">
        <f t="shared" si="1"/>
        <v>0</v>
      </c>
      <c r="M33" s="8" t="str">
        <f t="array" ref="M33">IF(L33&gt;5,"Perlu Pengendalian",IF(AND(L33&gt;=0,I33&gt;0),"Tidak Perlu Pengendalian","Belum Sensus"))</f>
        <v>Belum Sensus</v>
      </c>
      <c r="N33" s="143"/>
      <c r="O33" s="9">
        <f t="array" ref="O33">IFERROR(N33/I33*100,0)</f>
        <v>0</v>
      </c>
    </row>
    <row r="34" spans="1:15" outlineLevel="1" x14ac:dyDescent="0.15">
      <c r="A34" s="8" t="s">
        <v>1043</v>
      </c>
      <c r="B34" s="8">
        <v>1</v>
      </c>
      <c r="C34" s="8">
        <v>2</v>
      </c>
      <c r="D34" s="8" t="s">
        <v>1498</v>
      </c>
      <c r="E34" s="9">
        <v>25.22</v>
      </c>
      <c r="F34" s="8" t="s">
        <v>469</v>
      </c>
      <c r="G34" s="10">
        <v>3439</v>
      </c>
      <c r="H34" s="11"/>
      <c r="I34" s="143"/>
      <c r="J34" s="9">
        <f t="array" ref="J34">IFERROR(I34/G34*100,0)</f>
        <v>0</v>
      </c>
      <c r="K34" s="143"/>
      <c r="L34" s="9">
        <f t="shared" si="1"/>
        <v>0</v>
      </c>
      <c r="M34" s="8" t="str">
        <f t="array" ref="M34">IF(L34&gt;5,"Perlu Pengendalian",IF(AND(L34&gt;=0,I34&gt;0),"Tidak Perlu Pengendalian","Belum Sensus"))</f>
        <v>Belum Sensus</v>
      </c>
      <c r="N34" s="143"/>
      <c r="O34" s="9">
        <f t="array" ref="O34">IFERROR(N34/I34*100,0)</f>
        <v>0</v>
      </c>
    </row>
    <row r="35" spans="1:15" outlineLevel="1" x14ac:dyDescent="0.15">
      <c r="A35" s="8" t="s">
        <v>1043</v>
      </c>
      <c r="B35" s="8">
        <v>1</v>
      </c>
      <c r="C35" s="8">
        <v>2</v>
      </c>
      <c r="D35" s="8" t="s">
        <v>1499</v>
      </c>
      <c r="E35" s="9">
        <v>26.12</v>
      </c>
      <c r="F35" s="8" t="s">
        <v>469</v>
      </c>
      <c r="G35" s="10">
        <v>3727</v>
      </c>
      <c r="H35" s="11"/>
      <c r="I35" s="143"/>
      <c r="J35" s="9">
        <f t="array" ref="J35">IFERROR(I35/G35*100,0)</f>
        <v>0</v>
      </c>
      <c r="K35" s="143"/>
      <c r="L35" s="9">
        <f t="shared" si="1"/>
        <v>0</v>
      </c>
      <c r="M35" s="8" t="str">
        <f t="array" ref="M35">IF(L35&gt;5,"Perlu Pengendalian",IF(AND(L35&gt;=0,I35&gt;0),"Tidak Perlu Pengendalian","Belum Sensus"))</f>
        <v>Belum Sensus</v>
      </c>
      <c r="N35" s="143"/>
      <c r="O35" s="9">
        <f t="array" ref="O35">IFERROR(N35/I35*100,0)</f>
        <v>0</v>
      </c>
    </row>
    <row r="36" spans="1:15" outlineLevel="1" x14ac:dyDescent="0.15">
      <c r="A36" s="8" t="s">
        <v>1043</v>
      </c>
      <c r="B36" s="8">
        <v>1</v>
      </c>
      <c r="C36" s="8">
        <v>2</v>
      </c>
      <c r="D36" s="8" t="s">
        <v>1500</v>
      </c>
      <c r="E36" s="9">
        <v>25.61</v>
      </c>
      <c r="F36" s="8" t="s">
        <v>469</v>
      </c>
      <c r="G36" s="10">
        <v>3586</v>
      </c>
      <c r="H36" s="11"/>
      <c r="I36" s="143"/>
      <c r="J36" s="9">
        <f t="array" ref="J36">IFERROR(I36/G36*100,0)</f>
        <v>0</v>
      </c>
      <c r="K36" s="143"/>
      <c r="L36" s="9">
        <f t="shared" si="1"/>
        <v>0</v>
      </c>
      <c r="M36" s="8" t="str">
        <f t="array" ref="M36">IF(L36&gt;5,"Perlu Pengendalian",IF(AND(L36&gt;=0,I36&gt;0),"Tidak Perlu Pengendalian","Belum Sensus"))</f>
        <v>Belum Sensus</v>
      </c>
      <c r="N36" s="143"/>
      <c r="O36" s="9">
        <f t="array" ref="O36">IFERROR(N36/I36*100,0)</f>
        <v>0</v>
      </c>
    </row>
    <row r="37" spans="1:15" outlineLevel="1" x14ac:dyDescent="0.15">
      <c r="A37" s="8" t="s">
        <v>1043</v>
      </c>
      <c r="B37" s="8">
        <v>1</v>
      </c>
      <c r="C37" s="8">
        <v>2</v>
      </c>
      <c r="D37" s="8" t="s">
        <v>1501</v>
      </c>
      <c r="E37" s="179">
        <v>26.88</v>
      </c>
      <c r="F37" s="8" t="s">
        <v>469</v>
      </c>
      <c r="G37" s="10">
        <v>3811</v>
      </c>
      <c r="H37" s="11"/>
      <c r="I37" s="143"/>
      <c r="J37" s="9">
        <f t="array" ref="J37">IFERROR(I37/G37*100,0)</f>
        <v>0</v>
      </c>
      <c r="K37" s="143"/>
      <c r="L37" s="9">
        <f t="shared" si="1"/>
        <v>0</v>
      </c>
      <c r="M37" s="8" t="str">
        <f t="array" ref="M37">IF(L37&gt;5,"Perlu Pengendalian",IF(AND(L37&gt;=0,I37&gt;0),"Tidak Perlu Pengendalian","Belum Sensus"))</f>
        <v>Belum Sensus</v>
      </c>
      <c r="N37" s="143"/>
      <c r="O37" s="9">
        <f t="array" ref="O37">IFERROR(N37/I37*100,0)</f>
        <v>0</v>
      </c>
    </row>
    <row r="38" spans="1:15" outlineLevel="1" x14ac:dyDescent="0.15">
      <c r="A38" s="8" t="s">
        <v>1043</v>
      </c>
      <c r="B38" s="8">
        <v>1</v>
      </c>
      <c r="C38" s="8">
        <v>2</v>
      </c>
      <c r="D38" s="8" t="s">
        <v>1502</v>
      </c>
      <c r="E38" s="179">
        <v>32.21</v>
      </c>
      <c r="F38" s="8" t="s">
        <v>469</v>
      </c>
      <c r="G38" s="10">
        <v>4540</v>
      </c>
      <c r="H38" s="11"/>
      <c r="I38" s="143"/>
      <c r="J38" s="9">
        <f t="array" ref="J38">IFERROR(I38/G38*100,0)</f>
        <v>0</v>
      </c>
      <c r="K38" s="143"/>
      <c r="L38" s="9">
        <f t="shared" si="1"/>
        <v>0</v>
      </c>
      <c r="M38" s="8" t="str">
        <f t="array" ref="M38">IF(L38&gt;5,"Perlu Pengendalian",IF(AND(L38&gt;=0,I38&gt;0),"Tidak Perlu Pengendalian","Belum Sensus"))</f>
        <v>Belum Sensus</v>
      </c>
      <c r="N38" s="143"/>
      <c r="O38" s="9">
        <f t="array" ref="O38">IFERROR(N38/I38*100,0)</f>
        <v>0</v>
      </c>
    </row>
    <row r="39" spans="1:15" outlineLevel="1" x14ac:dyDescent="0.15">
      <c r="A39" s="8" t="s">
        <v>1043</v>
      </c>
      <c r="B39" s="8">
        <v>1</v>
      </c>
      <c r="C39" s="8">
        <v>2</v>
      </c>
      <c r="D39" s="8" t="s">
        <v>1503</v>
      </c>
      <c r="E39" s="9">
        <v>25.54</v>
      </c>
      <c r="F39" s="8" t="s">
        <v>469</v>
      </c>
      <c r="G39" s="10">
        <v>3333</v>
      </c>
      <c r="H39" s="11"/>
      <c r="I39" s="143"/>
      <c r="J39" s="9">
        <f t="array" ref="J39">IFERROR(I39/G39*100,0)</f>
        <v>0</v>
      </c>
      <c r="K39" s="143"/>
      <c r="L39" s="9">
        <f t="shared" si="1"/>
        <v>0</v>
      </c>
      <c r="M39" s="8" t="str">
        <f t="array" ref="M39">IF(L39&gt;5,"Perlu Pengendalian",IF(AND(L39&gt;=0,I39&gt;0),"Tidak Perlu Pengendalian","Belum Sensus"))</f>
        <v>Belum Sensus</v>
      </c>
      <c r="N39" s="143"/>
      <c r="O39" s="9">
        <f t="array" ref="O39">IFERROR(N39/I39*100,0)</f>
        <v>0</v>
      </c>
    </row>
    <row r="40" spans="1:15" outlineLevel="1" x14ac:dyDescent="0.15">
      <c r="A40" s="8" t="s">
        <v>1043</v>
      </c>
      <c r="B40" s="8">
        <v>1</v>
      </c>
      <c r="C40" s="8">
        <v>2</v>
      </c>
      <c r="D40" s="8" t="s">
        <v>1504</v>
      </c>
      <c r="E40" s="9">
        <v>24.97</v>
      </c>
      <c r="F40" s="8" t="s">
        <v>469</v>
      </c>
      <c r="G40" s="10">
        <v>3459</v>
      </c>
      <c r="H40" s="11"/>
      <c r="I40" s="143"/>
      <c r="J40" s="9">
        <f t="array" ref="J40">IFERROR(I40/G40*100,0)</f>
        <v>0</v>
      </c>
      <c r="K40" s="143"/>
      <c r="L40" s="9">
        <f t="shared" si="1"/>
        <v>0</v>
      </c>
      <c r="M40" s="8" t="str">
        <f t="array" ref="M40">IF(L40&gt;5,"Perlu Pengendalian",IF(AND(L40&gt;=0,I40&gt;0),"Tidak Perlu Pengendalian","Belum Sensus"))</f>
        <v>Belum Sensus</v>
      </c>
      <c r="N40" s="143"/>
      <c r="O40" s="9">
        <f t="array" ref="O40">IFERROR(N40/I40*100,0)</f>
        <v>0</v>
      </c>
    </row>
    <row r="41" spans="1:15" outlineLevel="1" x14ac:dyDescent="0.15">
      <c r="A41" s="8" t="s">
        <v>1043</v>
      </c>
      <c r="B41" s="8">
        <v>1</v>
      </c>
      <c r="C41" s="8">
        <v>2</v>
      </c>
      <c r="D41" s="8" t="s">
        <v>1505</v>
      </c>
      <c r="E41" s="9">
        <v>26.2</v>
      </c>
      <c r="F41" s="8" t="s">
        <v>469</v>
      </c>
      <c r="G41" s="10">
        <v>3601</v>
      </c>
      <c r="H41" s="11"/>
      <c r="I41" s="143"/>
      <c r="J41" s="9">
        <f t="array" ref="J41">IFERROR(I41/G41*100,0)</f>
        <v>0</v>
      </c>
      <c r="K41" s="143"/>
      <c r="L41" s="9">
        <f t="shared" si="1"/>
        <v>0</v>
      </c>
      <c r="M41" s="8" t="str">
        <f t="array" ref="M41">IF(L41&gt;5,"Perlu Pengendalian",IF(AND(L41&gt;=0,I41&gt;0),"Tidak Perlu Pengendalian","Belum Sensus"))</f>
        <v>Belum Sensus</v>
      </c>
      <c r="N41" s="143"/>
      <c r="O41" s="9">
        <f t="array" ref="O41">IFERROR(N41/I41*100,0)</f>
        <v>0</v>
      </c>
    </row>
    <row r="42" spans="1:15" outlineLevel="1" x14ac:dyDescent="0.15">
      <c r="A42" s="8" t="s">
        <v>1043</v>
      </c>
      <c r="B42" s="8">
        <v>1</v>
      </c>
      <c r="C42" s="8">
        <v>2</v>
      </c>
      <c r="D42" s="8" t="s">
        <v>1506</v>
      </c>
      <c r="E42" s="9">
        <v>25.2</v>
      </c>
      <c r="F42" s="8" t="s">
        <v>469</v>
      </c>
      <c r="G42" s="10">
        <v>3534</v>
      </c>
      <c r="H42" s="11"/>
      <c r="I42" s="143"/>
      <c r="J42" s="9">
        <f t="array" ref="J42">IFERROR(I42/G42*100,0)</f>
        <v>0</v>
      </c>
      <c r="K42" s="143"/>
      <c r="L42" s="9">
        <f t="shared" si="1"/>
        <v>0</v>
      </c>
      <c r="M42" s="8" t="str">
        <f t="array" ref="M42">IF(L42&gt;5,"Perlu Pengendalian",IF(AND(L42&gt;=0,I42&gt;0),"Tidak Perlu Pengendalian","Belum Sensus"))</f>
        <v>Belum Sensus</v>
      </c>
      <c r="N42" s="143"/>
      <c r="O42" s="9">
        <f t="array" ref="O42">IFERROR(N42/I42*100,0)</f>
        <v>0</v>
      </c>
    </row>
    <row r="43" spans="1:15" outlineLevel="1" x14ac:dyDescent="0.15">
      <c r="A43" s="8" t="s">
        <v>1043</v>
      </c>
      <c r="B43" s="8">
        <v>1</v>
      </c>
      <c r="C43" s="8">
        <v>2</v>
      </c>
      <c r="D43" s="8" t="s">
        <v>1507</v>
      </c>
      <c r="E43" s="179">
        <v>26.59</v>
      </c>
      <c r="F43" s="8" t="s">
        <v>469</v>
      </c>
      <c r="G43" s="10">
        <v>3685</v>
      </c>
      <c r="H43" s="11"/>
      <c r="I43" s="143"/>
      <c r="J43" s="9">
        <f t="array" ref="J43">IFERROR(I43/G43*100,0)</f>
        <v>0</v>
      </c>
      <c r="K43" s="143"/>
      <c r="L43" s="9">
        <f t="shared" si="1"/>
        <v>0</v>
      </c>
      <c r="M43" s="8" t="str">
        <f t="array" ref="M43">IF(L43&gt;5,"Perlu Pengendalian",IF(AND(L43&gt;=0,I43&gt;0),"Tidak Perlu Pengendalian","Belum Sensus"))</f>
        <v>Belum Sensus</v>
      </c>
      <c r="N43" s="143"/>
      <c r="O43" s="9">
        <f t="array" ref="O43">IFERROR(N43/I43*100,0)</f>
        <v>0</v>
      </c>
    </row>
    <row r="44" spans="1:15" outlineLevel="1" x14ac:dyDescent="0.15">
      <c r="A44" s="8" t="s">
        <v>1043</v>
      </c>
      <c r="B44" s="8">
        <v>1</v>
      </c>
      <c r="C44" s="8">
        <v>2</v>
      </c>
      <c r="D44" s="8" t="s">
        <v>1508</v>
      </c>
      <c r="E44" s="9">
        <v>25.47</v>
      </c>
      <c r="F44" s="8" t="s">
        <v>469</v>
      </c>
      <c r="G44" s="10">
        <v>3647</v>
      </c>
      <c r="H44" s="11"/>
      <c r="I44" s="143"/>
      <c r="J44" s="9">
        <f t="array" ref="J44">IFERROR(I44/G44*100,0)</f>
        <v>0</v>
      </c>
      <c r="K44" s="143"/>
      <c r="L44" s="9">
        <f t="shared" si="1"/>
        <v>0</v>
      </c>
      <c r="M44" s="8" t="str">
        <f t="array" ref="M44">IF(L44&gt;5,"Perlu Pengendalian",IF(AND(L44&gt;=0,I44&gt;0),"Tidak Perlu Pengendalian","Belum Sensus"))</f>
        <v>Belum Sensus</v>
      </c>
      <c r="N44" s="143"/>
      <c r="O44" s="9">
        <f t="array" ref="O44">IFERROR(N44/I44*100,0)</f>
        <v>0</v>
      </c>
    </row>
    <row r="45" spans="1:15" outlineLevel="1" x14ac:dyDescent="0.15">
      <c r="A45" s="8" t="s">
        <v>1043</v>
      </c>
      <c r="B45" s="8">
        <v>1</v>
      </c>
      <c r="C45" s="8">
        <v>2</v>
      </c>
      <c r="D45" s="8" t="s">
        <v>1509</v>
      </c>
      <c r="E45" s="9">
        <v>26.7</v>
      </c>
      <c r="F45" s="8" t="s">
        <v>469</v>
      </c>
      <c r="G45" s="10">
        <v>3683</v>
      </c>
      <c r="H45" s="11"/>
      <c r="I45" s="143"/>
      <c r="J45" s="9">
        <f t="array" ref="J45">IFERROR(I45/G45*100,0)</f>
        <v>0</v>
      </c>
      <c r="K45" s="143"/>
      <c r="L45" s="9">
        <f t="shared" si="1"/>
        <v>0</v>
      </c>
      <c r="M45" s="8" t="str">
        <f t="array" ref="M45">IF(L45&gt;5,"Perlu Pengendalian",IF(AND(L45&gt;=0,I45&gt;0),"Tidak Perlu Pengendalian","Belum Sensus"))</f>
        <v>Belum Sensus</v>
      </c>
      <c r="N45" s="143"/>
      <c r="O45" s="9">
        <f t="array" ref="O45">IFERROR(N45/I45*100,0)</f>
        <v>0</v>
      </c>
    </row>
    <row r="46" spans="1:15" outlineLevel="1" x14ac:dyDescent="0.15">
      <c r="A46" s="8" t="s">
        <v>1043</v>
      </c>
      <c r="B46" s="8">
        <v>1</v>
      </c>
      <c r="C46" s="8">
        <v>2</v>
      </c>
      <c r="D46" s="8" t="s">
        <v>1510</v>
      </c>
      <c r="E46" s="9">
        <v>25.86</v>
      </c>
      <c r="F46" s="8" t="s">
        <v>469</v>
      </c>
      <c r="G46" s="10">
        <v>3445</v>
      </c>
      <c r="H46" s="11"/>
      <c r="I46" s="143"/>
      <c r="J46" s="9">
        <f t="array" ref="J46">IFERROR(I46/G46*100,0)</f>
        <v>0</v>
      </c>
      <c r="K46" s="143"/>
      <c r="L46" s="9">
        <f t="shared" si="1"/>
        <v>0</v>
      </c>
      <c r="M46" s="8" t="str">
        <f t="array" ref="M46">IF(L46&gt;5,"Perlu Pengendalian",IF(AND(L46&gt;=0,I46&gt;0),"Tidak Perlu Pengendalian","Belum Sensus"))</f>
        <v>Belum Sensus</v>
      </c>
      <c r="N46" s="143"/>
      <c r="O46" s="9">
        <f t="array" ref="O46">IFERROR(N46/I46*100,0)</f>
        <v>0</v>
      </c>
    </row>
    <row r="47" spans="1:15" outlineLevel="1" x14ac:dyDescent="0.15">
      <c r="A47" s="8" t="s">
        <v>1043</v>
      </c>
      <c r="B47" s="8">
        <v>1</v>
      </c>
      <c r="C47" s="8">
        <v>2</v>
      </c>
      <c r="D47" s="8" t="s">
        <v>1511</v>
      </c>
      <c r="E47" s="9">
        <v>25.08</v>
      </c>
      <c r="F47" s="8" t="s">
        <v>469</v>
      </c>
      <c r="G47" s="10">
        <v>3241</v>
      </c>
      <c r="H47" s="11"/>
      <c r="I47" s="143"/>
      <c r="J47" s="9">
        <f t="array" ref="J47">IFERROR(I47/G47*100,0)</f>
        <v>0</v>
      </c>
      <c r="K47" s="143"/>
      <c r="L47" s="9">
        <f t="shared" si="1"/>
        <v>0</v>
      </c>
      <c r="M47" s="8" t="str">
        <f t="array" ref="M47">IF(L47&gt;5,"Perlu Pengendalian",IF(AND(L47&gt;=0,I47&gt;0),"Tidak Perlu Pengendalian","Belum Sensus"))</f>
        <v>Belum Sensus</v>
      </c>
      <c r="N47" s="143"/>
      <c r="O47" s="9">
        <f t="array" ref="O47">IFERROR(N47/I47*100,0)</f>
        <v>0</v>
      </c>
    </row>
    <row r="48" spans="1:15" outlineLevel="1" x14ac:dyDescent="0.15">
      <c r="A48" s="8" t="s">
        <v>1043</v>
      </c>
      <c r="B48" s="8">
        <v>1</v>
      </c>
      <c r="C48" s="8">
        <v>2</v>
      </c>
      <c r="D48" s="8" t="s">
        <v>1512</v>
      </c>
      <c r="E48" s="9">
        <v>43.14</v>
      </c>
      <c r="F48" s="8" t="s">
        <v>469</v>
      </c>
      <c r="G48" s="10">
        <v>5393</v>
      </c>
      <c r="H48" s="11"/>
      <c r="I48" s="143"/>
      <c r="J48" s="9">
        <f t="array" ref="J48">IFERROR(I48/G48*100,0)</f>
        <v>0</v>
      </c>
      <c r="K48" s="143"/>
      <c r="L48" s="9">
        <f t="shared" si="1"/>
        <v>0</v>
      </c>
      <c r="M48" s="8" t="str">
        <f t="array" ref="M48">IF(L48&gt;5,"Perlu Pengendalian",IF(AND(L48&gt;=0,I48&gt;0),"Tidak Perlu Pengendalian","Belum Sensus"))</f>
        <v>Belum Sensus</v>
      </c>
      <c r="N48" s="143"/>
      <c r="O48" s="9">
        <f t="array" ref="O48">IFERROR(N48/I48*100,0)</f>
        <v>0</v>
      </c>
    </row>
    <row r="49" spans="1:15" outlineLevel="1" x14ac:dyDescent="0.15">
      <c r="A49" s="8" t="s">
        <v>1043</v>
      </c>
      <c r="B49" s="8">
        <v>1</v>
      </c>
      <c r="C49" s="8">
        <v>2</v>
      </c>
      <c r="D49" s="8" t="s">
        <v>1513</v>
      </c>
      <c r="E49" s="9">
        <v>24.98</v>
      </c>
      <c r="F49" s="8" t="s">
        <v>469</v>
      </c>
      <c r="G49" s="10">
        <v>3087</v>
      </c>
      <c r="H49" s="11"/>
      <c r="I49" s="143"/>
      <c r="J49" s="9">
        <f t="array" ref="J49">IFERROR(I49/G49*100,0)</f>
        <v>0</v>
      </c>
      <c r="K49" s="143"/>
      <c r="L49" s="9">
        <f t="shared" si="1"/>
        <v>0</v>
      </c>
      <c r="M49" s="8" t="str">
        <f t="array" ref="M49">IF(L49&gt;5,"Perlu Pengendalian",IF(AND(L49&gt;=0,I49&gt;0),"Tidak Perlu Pengendalian","Belum Sensus"))</f>
        <v>Belum Sensus</v>
      </c>
      <c r="N49" s="143"/>
      <c r="O49" s="9">
        <f t="array" ref="O49">IFERROR(N49/I49*100,0)</f>
        <v>0</v>
      </c>
    </row>
    <row r="50" spans="1:15" outlineLevel="1" x14ac:dyDescent="0.15">
      <c r="A50" s="8" t="s">
        <v>1043</v>
      </c>
      <c r="B50" s="8">
        <v>1</v>
      </c>
      <c r="C50" s="8">
        <v>2</v>
      </c>
      <c r="D50" s="8" t="s">
        <v>1514</v>
      </c>
      <c r="E50" s="179">
        <v>25.23</v>
      </c>
      <c r="F50" s="8" t="s">
        <v>469</v>
      </c>
      <c r="G50" s="10">
        <v>3460</v>
      </c>
      <c r="H50" s="11"/>
      <c r="I50" s="143"/>
      <c r="J50" s="9">
        <f t="array" ref="J50">IFERROR(I50/G50*100,0)</f>
        <v>0</v>
      </c>
      <c r="K50" s="143"/>
      <c r="L50" s="9">
        <f t="shared" si="1"/>
        <v>0</v>
      </c>
      <c r="M50" s="8" t="str">
        <f t="array" ref="M50">IF(L50&gt;5,"Perlu Pengendalian",IF(AND(L50&gt;=0,I50&gt;0),"Tidak Perlu Pengendalian","Belum Sensus"))</f>
        <v>Belum Sensus</v>
      </c>
      <c r="N50" s="143"/>
      <c r="O50" s="9">
        <f t="array" ref="O50">IFERROR(N50/I50*100,0)</f>
        <v>0</v>
      </c>
    </row>
    <row r="51" spans="1:15" outlineLevel="1" x14ac:dyDescent="0.15">
      <c r="A51" s="8" t="s">
        <v>1043</v>
      </c>
      <c r="B51" s="8">
        <v>1</v>
      </c>
      <c r="C51" s="8">
        <v>2</v>
      </c>
      <c r="D51" s="8" t="s">
        <v>1515</v>
      </c>
      <c r="E51" s="9">
        <v>25.549999999999997</v>
      </c>
      <c r="F51" s="8" t="s">
        <v>469</v>
      </c>
      <c r="G51" s="10">
        <v>3373</v>
      </c>
      <c r="H51" s="11"/>
      <c r="I51" s="143"/>
      <c r="J51" s="9">
        <f t="array" ref="J51">IFERROR(I51/G51*100,0)</f>
        <v>0</v>
      </c>
      <c r="K51" s="143"/>
      <c r="L51" s="9">
        <f t="shared" si="1"/>
        <v>0</v>
      </c>
      <c r="M51" s="8" t="str">
        <f t="array" ref="M51">IF(L51&gt;5,"Perlu Pengendalian",IF(AND(L51&gt;=0,I51&gt;0),"Tidak Perlu Pengendalian","Belum Sensus"))</f>
        <v>Belum Sensus</v>
      </c>
      <c r="N51" s="143"/>
      <c r="O51" s="9">
        <f t="array" ref="O51">IFERROR(N51/I51*100,0)</f>
        <v>0</v>
      </c>
    </row>
    <row r="52" spans="1:15" outlineLevel="1" x14ac:dyDescent="0.15">
      <c r="A52" s="8" t="s">
        <v>1043</v>
      </c>
      <c r="B52" s="8">
        <v>1</v>
      </c>
      <c r="C52" s="8">
        <v>2</v>
      </c>
      <c r="D52" s="8" t="s">
        <v>1516</v>
      </c>
      <c r="E52" s="9">
        <v>24.11</v>
      </c>
      <c r="F52" s="8" t="s">
        <v>469</v>
      </c>
      <c r="G52" s="10">
        <v>3095</v>
      </c>
      <c r="H52" s="11"/>
      <c r="I52" s="143"/>
      <c r="J52" s="9">
        <f t="array" ref="J52">IFERROR(I52/G52*100,0)</f>
        <v>0</v>
      </c>
      <c r="K52" s="143"/>
      <c r="L52" s="9">
        <f t="shared" si="1"/>
        <v>0</v>
      </c>
      <c r="M52" s="8" t="str">
        <f t="array" ref="M52">IF(L52&gt;5,"Perlu Pengendalian",IF(AND(L52&gt;=0,I52&gt;0),"Tidak Perlu Pengendalian","Belum Sensus"))</f>
        <v>Belum Sensus</v>
      </c>
      <c r="N52" s="143"/>
      <c r="O52" s="9">
        <f t="array" ref="O52">IFERROR(N52/I52*100,0)</f>
        <v>0</v>
      </c>
    </row>
    <row r="53" spans="1:15" outlineLevel="1" x14ac:dyDescent="0.15">
      <c r="A53" s="8" t="s">
        <v>1043</v>
      </c>
      <c r="B53" s="8">
        <v>1</v>
      </c>
      <c r="C53" s="8">
        <v>3</v>
      </c>
      <c r="D53" s="8" t="s">
        <v>1517</v>
      </c>
      <c r="E53" s="180">
        <v>21.96</v>
      </c>
      <c r="F53" s="8" t="s">
        <v>469</v>
      </c>
      <c r="G53" s="10">
        <v>3181</v>
      </c>
      <c r="H53" s="11"/>
      <c r="I53" s="143"/>
      <c r="J53" s="9">
        <f t="array" ref="J53">IFERROR(I53/G53*100,0)</f>
        <v>0</v>
      </c>
      <c r="K53" s="143"/>
      <c r="L53" s="9">
        <f t="shared" si="1"/>
        <v>0</v>
      </c>
      <c r="M53" s="8" t="str">
        <f t="array" ref="M53">IF(L53&gt;5,"Perlu Pengendalian",IF(AND(L53&gt;=0,I53&gt;0),"Tidak Perlu Pengendalian","Belum Sensus"))</f>
        <v>Belum Sensus</v>
      </c>
      <c r="N53" s="143"/>
      <c r="O53" s="9">
        <f t="array" ref="O53">IFERROR(N53/I53*100,0)</f>
        <v>0</v>
      </c>
    </row>
    <row r="54" spans="1:15" outlineLevel="1" x14ac:dyDescent="0.15">
      <c r="A54" s="8" t="s">
        <v>1043</v>
      </c>
      <c r="B54" s="8">
        <v>1</v>
      </c>
      <c r="C54" s="8">
        <v>3</v>
      </c>
      <c r="D54" s="8" t="s">
        <v>1518</v>
      </c>
      <c r="E54" s="9">
        <v>25.4</v>
      </c>
      <c r="F54" s="8" t="s">
        <v>469</v>
      </c>
      <c r="G54" s="10">
        <v>3446</v>
      </c>
      <c r="H54" s="11"/>
      <c r="I54" s="143"/>
      <c r="J54" s="9">
        <f t="array" ref="J54">IFERROR(I54/G54*100,0)</f>
        <v>0</v>
      </c>
      <c r="K54" s="143"/>
      <c r="L54" s="9">
        <f t="shared" si="1"/>
        <v>0</v>
      </c>
      <c r="M54" s="8" t="str">
        <f t="array" ref="M54">IF(L54&gt;5,"Perlu Pengendalian",IF(AND(L54&gt;=0,I54&gt;0),"Tidak Perlu Pengendalian","Belum Sensus"))</f>
        <v>Belum Sensus</v>
      </c>
      <c r="N54" s="143"/>
      <c r="O54" s="9">
        <f t="array" ref="O54">IFERROR(N54/I54*100,0)</f>
        <v>0</v>
      </c>
    </row>
    <row r="55" spans="1:15" outlineLevel="1" x14ac:dyDescent="0.15">
      <c r="A55" s="8" t="s">
        <v>1043</v>
      </c>
      <c r="B55" s="8">
        <v>1</v>
      </c>
      <c r="C55" s="8">
        <v>3</v>
      </c>
      <c r="D55" s="8" t="s">
        <v>1519</v>
      </c>
      <c r="E55" s="9">
        <v>32.730000000000004</v>
      </c>
      <c r="F55" s="8" t="s">
        <v>469</v>
      </c>
      <c r="G55" s="10">
        <v>4121</v>
      </c>
      <c r="H55" s="11"/>
      <c r="I55" s="143"/>
      <c r="J55" s="9">
        <f t="array" ref="J55">IFERROR(I55/G55*100,0)</f>
        <v>0</v>
      </c>
      <c r="K55" s="143"/>
      <c r="L55" s="9">
        <f t="shared" si="1"/>
        <v>0</v>
      </c>
      <c r="M55" s="8" t="str">
        <f t="array" ref="M55">IF(L55&gt;5,"Perlu Pengendalian",IF(AND(L55&gt;=0,I55&gt;0),"Tidak Perlu Pengendalian","Belum Sensus"))</f>
        <v>Belum Sensus</v>
      </c>
      <c r="N55" s="143"/>
      <c r="O55" s="9">
        <f t="array" ref="O55">IFERROR(N55/I55*100,0)</f>
        <v>0</v>
      </c>
    </row>
    <row r="56" spans="1:15" outlineLevel="1" x14ac:dyDescent="0.15">
      <c r="A56" s="8" t="s">
        <v>1043</v>
      </c>
      <c r="B56" s="8">
        <v>1</v>
      </c>
      <c r="C56" s="8">
        <v>3</v>
      </c>
      <c r="D56" s="8" t="s">
        <v>1520</v>
      </c>
      <c r="E56" s="9">
        <v>38.43</v>
      </c>
      <c r="F56" s="8" t="s">
        <v>469</v>
      </c>
      <c r="G56" s="10">
        <v>4653</v>
      </c>
      <c r="H56" s="11"/>
      <c r="I56" s="143"/>
      <c r="J56" s="9">
        <f t="array" ref="J56">IFERROR(I56/G56*100,0)</f>
        <v>0</v>
      </c>
      <c r="K56" s="143"/>
      <c r="L56" s="9">
        <f t="shared" si="1"/>
        <v>0</v>
      </c>
      <c r="M56" s="8" t="str">
        <f t="array" ref="M56">IF(L56&gt;5,"Perlu Pengendalian",IF(AND(L56&gt;=0,I56&gt;0),"Tidak Perlu Pengendalian","Belum Sensus"))</f>
        <v>Belum Sensus</v>
      </c>
      <c r="N56" s="143"/>
      <c r="O56" s="9">
        <f t="array" ref="O56">IFERROR(N56/I56*100,0)</f>
        <v>0</v>
      </c>
    </row>
    <row r="57" spans="1:15" outlineLevel="1" x14ac:dyDescent="0.15">
      <c r="A57" s="8" t="s">
        <v>1043</v>
      </c>
      <c r="B57" s="8">
        <v>1</v>
      </c>
      <c r="C57" s="8">
        <v>3</v>
      </c>
      <c r="D57" s="8" t="s">
        <v>1521</v>
      </c>
      <c r="E57" s="179">
        <v>25.6</v>
      </c>
      <c r="F57" s="8" t="s">
        <v>469</v>
      </c>
      <c r="G57" s="10">
        <v>3435</v>
      </c>
      <c r="H57" s="11"/>
      <c r="I57" s="143"/>
      <c r="J57" s="9">
        <f t="array" ref="J57">IFERROR(I57/G57*100,0)</f>
        <v>0</v>
      </c>
      <c r="K57" s="143"/>
      <c r="L57" s="9">
        <f t="shared" si="1"/>
        <v>0</v>
      </c>
      <c r="M57" s="8" t="str">
        <f t="array" ref="M57">IF(L57&gt;5,"Perlu Pengendalian",IF(AND(L57&gt;=0,I57&gt;0),"Tidak Perlu Pengendalian","Belum Sensus"))</f>
        <v>Belum Sensus</v>
      </c>
      <c r="N57" s="143"/>
      <c r="O57" s="9">
        <f t="array" ref="O57">IFERROR(N57/I57*100,0)</f>
        <v>0</v>
      </c>
    </row>
    <row r="58" spans="1:15" outlineLevel="1" x14ac:dyDescent="0.15">
      <c r="A58" s="8" t="s">
        <v>1043</v>
      </c>
      <c r="B58" s="8">
        <v>1</v>
      </c>
      <c r="C58" s="8">
        <v>3</v>
      </c>
      <c r="D58" s="8" t="s">
        <v>1522</v>
      </c>
      <c r="E58" s="9">
        <v>25.83</v>
      </c>
      <c r="F58" s="8" t="s">
        <v>469</v>
      </c>
      <c r="G58" s="10">
        <v>3259</v>
      </c>
      <c r="H58" s="11"/>
      <c r="I58" s="143"/>
      <c r="J58" s="9">
        <f t="array" ref="J58">IFERROR(I58/G58*100,0)</f>
        <v>0</v>
      </c>
      <c r="K58" s="143"/>
      <c r="L58" s="9">
        <f t="shared" si="1"/>
        <v>0</v>
      </c>
      <c r="M58" s="8" t="str">
        <f t="array" ref="M58">IF(L58&gt;5,"Perlu Pengendalian",IF(AND(L58&gt;=0,I58&gt;0),"Tidak Perlu Pengendalian","Belum Sensus"))</f>
        <v>Belum Sensus</v>
      </c>
      <c r="N58" s="143"/>
      <c r="O58" s="9">
        <f t="array" ref="O58">IFERROR(N58/I58*100,0)</f>
        <v>0</v>
      </c>
    </row>
    <row r="59" spans="1:15" outlineLevel="1" x14ac:dyDescent="0.15">
      <c r="A59" s="8" t="s">
        <v>1043</v>
      </c>
      <c r="B59" s="8">
        <v>1</v>
      </c>
      <c r="C59" s="8">
        <v>3</v>
      </c>
      <c r="D59" s="8" t="s">
        <v>1523</v>
      </c>
      <c r="E59" s="9">
        <v>26.55</v>
      </c>
      <c r="F59" s="8" t="s">
        <v>469</v>
      </c>
      <c r="G59" s="10">
        <v>3430</v>
      </c>
      <c r="H59" s="11"/>
      <c r="I59" s="143"/>
      <c r="J59" s="9">
        <f t="array" ref="J59">IFERROR(I59/G59*100,0)</f>
        <v>0</v>
      </c>
      <c r="K59" s="143"/>
      <c r="L59" s="9">
        <f t="shared" si="1"/>
        <v>0</v>
      </c>
      <c r="M59" s="8" t="str">
        <f t="array" ref="M59">IF(L59&gt;5,"Perlu Pengendalian",IF(AND(L59&gt;=0,I59&gt;0),"Tidak Perlu Pengendalian","Belum Sensus"))</f>
        <v>Belum Sensus</v>
      </c>
      <c r="N59" s="143"/>
      <c r="O59" s="9">
        <f t="array" ref="O59">IFERROR(N59/I59*100,0)</f>
        <v>0</v>
      </c>
    </row>
    <row r="60" spans="1:15" outlineLevel="1" x14ac:dyDescent="0.15">
      <c r="A60" s="8" t="s">
        <v>1043</v>
      </c>
      <c r="B60" s="8">
        <v>1</v>
      </c>
      <c r="C60" s="8">
        <v>3</v>
      </c>
      <c r="D60" s="8" t="s">
        <v>1524</v>
      </c>
      <c r="E60" s="9">
        <v>26.31</v>
      </c>
      <c r="F60" s="8" t="s">
        <v>469</v>
      </c>
      <c r="G60" s="10">
        <v>3534</v>
      </c>
      <c r="H60" s="11"/>
      <c r="I60" s="143"/>
      <c r="J60" s="9">
        <f t="array" ref="J60">IFERROR(I60/G60*100,0)</f>
        <v>0</v>
      </c>
      <c r="K60" s="143"/>
      <c r="L60" s="9">
        <f t="shared" si="1"/>
        <v>0</v>
      </c>
      <c r="M60" s="8" t="str">
        <f t="array" ref="M60">IF(L60&gt;5,"Perlu Pengendalian",IF(AND(L60&gt;=0,I60&gt;0),"Tidak Perlu Pengendalian","Belum Sensus"))</f>
        <v>Belum Sensus</v>
      </c>
      <c r="N60" s="143"/>
      <c r="O60" s="9">
        <f t="array" ref="O60">IFERROR(N60/I60*100,0)</f>
        <v>0</v>
      </c>
    </row>
    <row r="61" spans="1:15" outlineLevel="1" x14ac:dyDescent="0.15">
      <c r="A61" s="8" t="s">
        <v>1043</v>
      </c>
      <c r="B61" s="8">
        <v>1</v>
      </c>
      <c r="C61" s="8">
        <v>3</v>
      </c>
      <c r="D61" s="8" t="s">
        <v>1525</v>
      </c>
      <c r="E61" s="9">
        <v>25.01</v>
      </c>
      <c r="F61" s="8" t="s">
        <v>469</v>
      </c>
      <c r="G61" s="10">
        <v>3364</v>
      </c>
      <c r="H61" s="11"/>
      <c r="I61" s="143"/>
      <c r="J61" s="9">
        <f t="array" ref="J61">IFERROR(I61/G61*100,0)</f>
        <v>0</v>
      </c>
      <c r="K61" s="143"/>
      <c r="L61" s="9">
        <f t="shared" si="1"/>
        <v>0</v>
      </c>
      <c r="M61" s="8" t="str">
        <f t="array" ref="M61">IF(L61&gt;5,"Perlu Pengendalian",IF(AND(L61&gt;=0,I61&gt;0),"Tidak Perlu Pengendalian","Belum Sensus"))</f>
        <v>Belum Sensus</v>
      </c>
      <c r="N61" s="143"/>
      <c r="O61" s="9">
        <f t="array" ref="O61">IFERROR(N61/I61*100,0)</f>
        <v>0</v>
      </c>
    </row>
    <row r="62" spans="1:15" outlineLevel="1" x14ac:dyDescent="0.15">
      <c r="A62" s="8" t="s">
        <v>1043</v>
      </c>
      <c r="B62" s="8">
        <v>1</v>
      </c>
      <c r="C62" s="8">
        <v>3</v>
      </c>
      <c r="D62" s="8" t="s">
        <v>1526</v>
      </c>
      <c r="E62" s="179">
        <v>24.07</v>
      </c>
      <c r="F62" s="8" t="s">
        <v>469</v>
      </c>
      <c r="G62" s="10">
        <v>3142</v>
      </c>
      <c r="H62" s="11"/>
      <c r="I62" s="143"/>
      <c r="J62" s="9">
        <f t="array" ref="J62">IFERROR(I62/G62*100,0)</f>
        <v>0</v>
      </c>
      <c r="K62" s="143"/>
      <c r="L62" s="9">
        <f t="shared" si="1"/>
        <v>0</v>
      </c>
      <c r="M62" s="8" t="str">
        <f t="array" ref="M62">IF(L62&gt;5,"Perlu Pengendalian",IF(AND(L62&gt;=0,I62&gt;0),"Tidak Perlu Pengendalian","Belum Sensus"))</f>
        <v>Belum Sensus</v>
      </c>
      <c r="N62" s="143"/>
      <c r="O62" s="9">
        <f t="array" ref="O62">IFERROR(N62/I62*100,0)</f>
        <v>0</v>
      </c>
    </row>
    <row r="63" spans="1:15" outlineLevel="1" x14ac:dyDescent="0.15">
      <c r="A63" s="8" t="s">
        <v>1043</v>
      </c>
      <c r="B63" s="8">
        <v>1</v>
      </c>
      <c r="C63" s="8">
        <v>3</v>
      </c>
      <c r="D63" s="8" t="s">
        <v>1527</v>
      </c>
      <c r="E63" s="179">
        <v>36.309999999999995</v>
      </c>
      <c r="F63" s="8" t="s">
        <v>469</v>
      </c>
      <c r="G63" s="10">
        <v>4720</v>
      </c>
      <c r="H63" s="11"/>
      <c r="I63" s="143"/>
      <c r="J63" s="9">
        <f t="array" ref="J63">IFERROR(I63/G63*100,0)</f>
        <v>0</v>
      </c>
      <c r="K63" s="143"/>
      <c r="L63" s="9">
        <f t="shared" si="1"/>
        <v>0</v>
      </c>
      <c r="M63" s="8" t="str">
        <f t="array" ref="M63">IF(L63&gt;5,"Perlu Pengendalian",IF(AND(L63&gt;=0,I63&gt;0),"Tidak Perlu Pengendalian","Belum Sensus"))</f>
        <v>Belum Sensus</v>
      </c>
      <c r="N63" s="143"/>
      <c r="O63" s="9">
        <f t="array" ref="O63">IFERROR(N63/I63*100,0)</f>
        <v>0</v>
      </c>
    </row>
    <row r="64" spans="1:15" outlineLevel="1" x14ac:dyDescent="0.15">
      <c r="A64" s="8" t="s">
        <v>1043</v>
      </c>
      <c r="B64" s="8">
        <v>1</v>
      </c>
      <c r="C64" s="8">
        <v>3</v>
      </c>
      <c r="D64" s="8" t="s">
        <v>1528</v>
      </c>
      <c r="E64" s="9">
        <v>31.91</v>
      </c>
      <c r="F64" s="8" t="s">
        <v>469</v>
      </c>
      <c r="G64" s="10">
        <v>4514</v>
      </c>
      <c r="H64" s="11"/>
      <c r="I64" s="143"/>
      <c r="J64" s="9">
        <f t="array" ref="J64">IFERROR(I64/G64*100,0)</f>
        <v>0</v>
      </c>
      <c r="K64" s="143"/>
      <c r="L64" s="9">
        <f t="shared" si="1"/>
        <v>0</v>
      </c>
      <c r="M64" s="8" t="str">
        <f t="array" ref="M64">IF(L64&gt;5,"Perlu Pengendalian",IF(AND(L64&gt;=0,I64&gt;0),"Tidak Perlu Pengendalian","Belum Sensus"))</f>
        <v>Belum Sensus</v>
      </c>
      <c r="N64" s="143"/>
      <c r="O64" s="9">
        <f t="array" ref="O64">IFERROR(N64/I64*100,0)</f>
        <v>0</v>
      </c>
    </row>
    <row r="65" spans="1:15" outlineLevel="1" x14ac:dyDescent="0.15">
      <c r="A65" s="8" t="s">
        <v>1043</v>
      </c>
      <c r="B65" s="8">
        <v>1</v>
      </c>
      <c r="C65" s="8">
        <v>3</v>
      </c>
      <c r="D65" s="8" t="s">
        <v>1529</v>
      </c>
      <c r="E65" s="179">
        <v>30.810000000000002</v>
      </c>
      <c r="F65" s="8" t="s">
        <v>469</v>
      </c>
      <c r="G65" s="10">
        <v>4205</v>
      </c>
      <c r="H65" s="11"/>
      <c r="I65" s="143"/>
      <c r="J65" s="9">
        <f t="array" ref="J65">IFERROR(I65/G65*100,0)</f>
        <v>0</v>
      </c>
      <c r="K65" s="143"/>
      <c r="L65" s="9">
        <f t="shared" si="1"/>
        <v>0</v>
      </c>
      <c r="M65" s="8" t="str">
        <f t="array" ref="M65">IF(L65&gt;5,"Perlu Pengendalian",IF(AND(L65&gt;=0,I65&gt;0),"Tidak Perlu Pengendalian","Belum Sensus"))</f>
        <v>Belum Sensus</v>
      </c>
      <c r="N65" s="143"/>
      <c r="O65" s="9">
        <f t="array" ref="O65">IFERROR(N65/I65*100,0)</f>
        <v>0</v>
      </c>
    </row>
    <row r="66" spans="1:15" outlineLevel="1" x14ac:dyDescent="0.15">
      <c r="A66" s="8" t="s">
        <v>1043</v>
      </c>
      <c r="B66" s="8">
        <v>1</v>
      </c>
      <c r="C66" s="8">
        <v>3</v>
      </c>
      <c r="D66" s="8" t="s">
        <v>1530</v>
      </c>
      <c r="E66" s="9">
        <v>29.86</v>
      </c>
      <c r="F66" s="8" t="s">
        <v>469</v>
      </c>
      <c r="G66" s="10">
        <v>3380</v>
      </c>
      <c r="H66" s="11"/>
      <c r="I66" s="143"/>
      <c r="J66" s="9">
        <f t="array" ref="J66">IFERROR(I66/G66*100,0)</f>
        <v>0</v>
      </c>
      <c r="K66" s="143"/>
      <c r="L66" s="9">
        <f t="shared" si="1"/>
        <v>0</v>
      </c>
      <c r="M66" s="8" t="str">
        <f t="array" ref="M66">IF(L66&gt;5,"Perlu Pengendalian",IF(AND(L66&gt;=0,I66&gt;0),"Tidak Perlu Pengendalian","Belum Sensus"))</f>
        <v>Belum Sensus</v>
      </c>
      <c r="N66" s="143"/>
      <c r="O66" s="9">
        <f t="array" ref="O66">IFERROR(N66/I66*100,0)</f>
        <v>0</v>
      </c>
    </row>
    <row r="67" spans="1:15" outlineLevel="1" x14ac:dyDescent="0.15">
      <c r="A67" s="8" t="s">
        <v>1043</v>
      </c>
      <c r="B67" s="8">
        <v>1</v>
      </c>
      <c r="C67" s="8">
        <v>3</v>
      </c>
      <c r="D67" s="8" t="s">
        <v>1531</v>
      </c>
      <c r="E67" s="179">
        <v>37.21</v>
      </c>
      <c r="F67" s="8" t="s">
        <v>469</v>
      </c>
      <c r="G67" s="10">
        <v>4545</v>
      </c>
      <c r="H67" s="11"/>
      <c r="I67" s="143"/>
      <c r="J67" s="9">
        <f t="array" ref="J67">IFERROR(I67/G67*100,0)</f>
        <v>0</v>
      </c>
      <c r="K67" s="143"/>
      <c r="L67" s="9">
        <f t="shared" si="1"/>
        <v>0</v>
      </c>
      <c r="M67" s="8" t="str">
        <f t="array" ref="M67">IF(L67&gt;5,"Perlu Pengendalian",IF(AND(L67&gt;=0,I67&gt;0),"Tidak Perlu Pengendalian","Belum Sensus"))</f>
        <v>Belum Sensus</v>
      </c>
      <c r="N67" s="143"/>
      <c r="O67" s="9">
        <f t="array" ref="O67">IFERROR(N67/I67*100,0)</f>
        <v>0</v>
      </c>
    </row>
    <row r="68" spans="1:15" outlineLevel="1" x14ac:dyDescent="0.15">
      <c r="A68" s="8" t="s">
        <v>1043</v>
      </c>
      <c r="B68" s="8">
        <v>1</v>
      </c>
      <c r="C68" s="8">
        <v>3</v>
      </c>
      <c r="D68" s="8" t="s">
        <v>1532</v>
      </c>
      <c r="E68" s="179">
        <v>37.69</v>
      </c>
      <c r="F68" s="8" t="s">
        <v>469</v>
      </c>
      <c r="G68" s="10">
        <v>4826</v>
      </c>
      <c r="H68" s="11"/>
      <c r="I68" s="143"/>
      <c r="J68" s="9">
        <f t="array" ref="J68">IFERROR(I68/G68*100,0)</f>
        <v>0</v>
      </c>
      <c r="K68" s="143"/>
      <c r="L68" s="9">
        <f t="shared" si="1"/>
        <v>0</v>
      </c>
      <c r="M68" s="8" t="str">
        <f t="array" ref="M68">IF(L68&gt;5,"Perlu Pengendalian",IF(AND(L68&gt;=0,I68&gt;0),"Tidak Perlu Pengendalian","Belum Sensus"))</f>
        <v>Belum Sensus</v>
      </c>
      <c r="N68" s="143"/>
      <c r="O68" s="9">
        <f t="array" ref="O68">IFERROR(N68/I68*100,0)</f>
        <v>0</v>
      </c>
    </row>
    <row r="69" spans="1:15" outlineLevel="1" x14ac:dyDescent="0.15">
      <c r="A69" s="8" t="s">
        <v>1043</v>
      </c>
      <c r="B69" s="8">
        <v>1</v>
      </c>
      <c r="C69" s="8">
        <v>3</v>
      </c>
      <c r="D69" s="8" t="s">
        <v>1533</v>
      </c>
      <c r="E69" s="179">
        <v>38.579999999999991</v>
      </c>
      <c r="F69" s="8" t="s">
        <v>469</v>
      </c>
      <c r="G69" s="10">
        <v>5032</v>
      </c>
      <c r="H69" s="11"/>
      <c r="I69" s="143"/>
      <c r="J69" s="9">
        <f t="array" ref="J69">IFERROR(I69/G69*100,0)</f>
        <v>0</v>
      </c>
      <c r="K69" s="143"/>
      <c r="L69" s="9">
        <f t="shared" si="1"/>
        <v>0</v>
      </c>
      <c r="M69" s="8" t="str">
        <f t="array" ref="M69">IF(L69&gt;5,"Perlu Pengendalian",IF(AND(L69&gt;=0,I69&gt;0),"Tidak Perlu Pengendalian","Belum Sensus"))</f>
        <v>Belum Sensus</v>
      </c>
      <c r="N69" s="143"/>
      <c r="O69" s="9">
        <f t="array" ref="O69">IFERROR(N69/I69*100,0)</f>
        <v>0</v>
      </c>
    </row>
    <row r="70" spans="1:15" outlineLevel="1" x14ac:dyDescent="0.15">
      <c r="A70" s="8" t="s">
        <v>1043</v>
      </c>
      <c r="B70" s="8">
        <v>1</v>
      </c>
      <c r="C70" s="8">
        <v>3</v>
      </c>
      <c r="D70" s="8" t="s">
        <v>1534</v>
      </c>
      <c r="E70" s="9">
        <v>35.200000000000003</v>
      </c>
      <c r="F70" s="8" t="s">
        <v>469</v>
      </c>
      <c r="G70" s="10">
        <v>5159</v>
      </c>
      <c r="H70" s="11"/>
      <c r="I70" s="143"/>
      <c r="J70" s="9">
        <f t="array" ref="J70">IFERROR(I70/G70*100,0)</f>
        <v>0</v>
      </c>
      <c r="K70" s="143"/>
      <c r="L70" s="9">
        <f t="shared" si="1"/>
        <v>0</v>
      </c>
      <c r="M70" s="8" t="str">
        <f t="array" ref="M70">IF(L70&gt;5,"Perlu Pengendalian",IF(AND(L70&gt;=0,I70&gt;0),"Tidak Perlu Pengendalian","Belum Sensus"))</f>
        <v>Belum Sensus</v>
      </c>
      <c r="N70" s="143"/>
      <c r="O70" s="9">
        <f t="array" ref="O70">IFERROR(N70/I70*100,0)</f>
        <v>0</v>
      </c>
    </row>
    <row r="71" spans="1:15" outlineLevel="1" x14ac:dyDescent="0.15">
      <c r="A71" s="8" t="s">
        <v>1043</v>
      </c>
      <c r="B71" s="8">
        <v>1</v>
      </c>
      <c r="C71" s="8">
        <v>3</v>
      </c>
      <c r="D71" s="8" t="s">
        <v>1535</v>
      </c>
      <c r="E71" s="179">
        <v>35.110000000000007</v>
      </c>
      <c r="F71" s="8" t="s">
        <v>469</v>
      </c>
      <c r="G71" s="10">
        <v>4032</v>
      </c>
      <c r="H71" s="11"/>
      <c r="I71" s="143"/>
      <c r="J71" s="9">
        <f t="array" ref="J71">IFERROR(I71/G71*100,0)</f>
        <v>0</v>
      </c>
      <c r="K71" s="143"/>
      <c r="L71" s="9">
        <f t="shared" ref="L71:L134" si="2">IFERROR(K71/I71*100,0)</f>
        <v>0</v>
      </c>
      <c r="M71" s="8" t="str">
        <f t="array" ref="M71">IF(L71&gt;5,"Perlu Pengendalian",IF(AND(L71&gt;=0,I71&gt;0),"Tidak Perlu Pengendalian","Belum Sensus"))</f>
        <v>Belum Sensus</v>
      </c>
      <c r="N71" s="143"/>
      <c r="O71" s="9">
        <f t="array" ref="O71">IFERROR(N71/I71*100,0)</f>
        <v>0</v>
      </c>
    </row>
    <row r="72" spans="1:15" outlineLevel="1" x14ac:dyDescent="0.15">
      <c r="A72" s="8" t="s">
        <v>1043</v>
      </c>
      <c r="B72" s="8">
        <v>1</v>
      </c>
      <c r="C72" s="8">
        <v>3</v>
      </c>
      <c r="D72" s="8" t="s">
        <v>1536</v>
      </c>
      <c r="E72" s="9">
        <v>49.86</v>
      </c>
      <c r="F72" s="8" t="s">
        <v>469</v>
      </c>
      <c r="G72" s="10">
        <v>6434</v>
      </c>
      <c r="H72" s="11"/>
      <c r="I72" s="143"/>
      <c r="J72" s="9">
        <f t="array" ref="J72">IFERROR(I72/G72*100,0)</f>
        <v>0</v>
      </c>
      <c r="K72" s="143"/>
      <c r="L72" s="9">
        <f t="shared" si="2"/>
        <v>0</v>
      </c>
      <c r="M72" s="8" t="str">
        <f t="array" ref="M72">IF(L72&gt;5,"Perlu Pengendalian",IF(AND(L72&gt;=0,I72&gt;0),"Tidak Perlu Pengendalian","Belum Sensus"))</f>
        <v>Belum Sensus</v>
      </c>
      <c r="N72" s="143"/>
      <c r="O72" s="9">
        <f t="array" ref="O72">IFERROR(N72/I72*100,0)</f>
        <v>0</v>
      </c>
    </row>
    <row r="73" spans="1:15" outlineLevel="1" x14ac:dyDescent="0.15">
      <c r="A73" s="8" t="s">
        <v>1043</v>
      </c>
      <c r="B73" s="8">
        <v>1</v>
      </c>
      <c r="C73" s="8">
        <v>3</v>
      </c>
      <c r="D73" s="8" t="s">
        <v>1537</v>
      </c>
      <c r="E73" s="179">
        <v>35.979999999999997</v>
      </c>
      <c r="F73" s="8" t="s">
        <v>469</v>
      </c>
      <c r="G73" s="10">
        <v>4691</v>
      </c>
      <c r="H73" s="11"/>
      <c r="I73" s="143"/>
      <c r="J73" s="9">
        <f t="array" ref="J73">IFERROR(I73/G73*100,0)</f>
        <v>0</v>
      </c>
      <c r="K73" s="143"/>
      <c r="L73" s="9">
        <f t="shared" si="2"/>
        <v>0</v>
      </c>
      <c r="M73" s="8" t="str">
        <f t="array" ref="M73">IF(L73&gt;5,"Perlu Pengendalian",IF(AND(L73&gt;=0,I73&gt;0),"Tidak Perlu Pengendalian","Belum Sensus"))</f>
        <v>Belum Sensus</v>
      </c>
      <c r="N73" s="143"/>
      <c r="O73" s="9">
        <f t="array" ref="O73">IFERROR(N73/I73*100,0)</f>
        <v>0</v>
      </c>
    </row>
    <row r="74" spans="1:15" outlineLevel="1" x14ac:dyDescent="0.15">
      <c r="A74" s="8" t="s">
        <v>1043</v>
      </c>
      <c r="B74" s="8">
        <v>1</v>
      </c>
      <c r="C74" s="8">
        <v>4</v>
      </c>
      <c r="D74" s="8" t="s">
        <v>1538</v>
      </c>
      <c r="E74" s="9">
        <v>31.7</v>
      </c>
      <c r="F74" s="8" t="s">
        <v>469</v>
      </c>
      <c r="G74" s="10">
        <v>3126</v>
      </c>
      <c r="H74" s="11"/>
      <c r="I74" s="143"/>
      <c r="J74" s="9">
        <f t="array" ref="J74">IFERROR(I74/G74*100,0)</f>
        <v>0</v>
      </c>
      <c r="K74" s="143"/>
      <c r="L74" s="9">
        <f t="shared" si="2"/>
        <v>0</v>
      </c>
      <c r="M74" s="8" t="str">
        <f t="array" ref="M74">IF(L74&gt;5,"Perlu Pengendalian",IF(AND(L74&gt;=0,I74&gt;0),"Tidak Perlu Pengendalian","Belum Sensus"))</f>
        <v>Belum Sensus</v>
      </c>
      <c r="N74" s="143"/>
      <c r="O74" s="9">
        <f t="array" ref="O74">IFERROR(N74/I74*100,0)</f>
        <v>0</v>
      </c>
    </row>
    <row r="75" spans="1:15" outlineLevel="1" x14ac:dyDescent="0.15">
      <c r="A75" s="8" t="s">
        <v>1043</v>
      </c>
      <c r="B75" s="8">
        <v>1</v>
      </c>
      <c r="C75" s="8">
        <v>4</v>
      </c>
      <c r="D75" s="8" t="s">
        <v>1539</v>
      </c>
      <c r="E75" s="179">
        <v>30.439999999999998</v>
      </c>
      <c r="F75" s="8" t="s">
        <v>469</v>
      </c>
      <c r="G75" s="10">
        <v>3216</v>
      </c>
      <c r="H75" s="11"/>
      <c r="I75" s="143"/>
      <c r="J75" s="9">
        <f t="array" ref="J75">IFERROR(I75/G75*100,0)</f>
        <v>0</v>
      </c>
      <c r="K75" s="143"/>
      <c r="L75" s="9">
        <f t="shared" si="2"/>
        <v>0</v>
      </c>
      <c r="M75" s="8" t="str">
        <f t="array" ref="M75">IF(L75&gt;5,"Perlu Pengendalian",IF(AND(L75&gt;=0,I75&gt;0),"Tidak Perlu Pengendalian","Belum Sensus"))</f>
        <v>Belum Sensus</v>
      </c>
      <c r="N75" s="143"/>
      <c r="O75" s="9">
        <f t="array" ref="O75">IFERROR(N75/I75*100,0)</f>
        <v>0</v>
      </c>
    </row>
    <row r="76" spans="1:15" outlineLevel="1" x14ac:dyDescent="0.15">
      <c r="A76" s="8" t="s">
        <v>1043</v>
      </c>
      <c r="B76" s="8">
        <v>1</v>
      </c>
      <c r="C76" s="8">
        <v>4</v>
      </c>
      <c r="D76" s="8" t="s">
        <v>1540</v>
      </c>
      <c r="E76" s="179">
        <v>31.110000000000003</v>
      </c>
      <c r="F76" s="8" t="s">
        <v>469</v>
      </c>
      <c r="G76" s="10">
        <v>3818</v>
      </c>
      <c r="H76" s="11"/>
      <c r="I76" s="143"/>
      <c r="J76" s="9">
        <f t="array" ref="J76">IFERROR(I76/G76*100,0)</f>
        <v>0</v>
      </c>
      <c r="K76" s="143"/>
      <c r="L76" s="9">
        <f t="shared" si="2"/>
        <v>0</v>
      </c>
      <c r="M76" s="8" t="str">
        <f t="array" ref="M76">IF(L76&gt;5,"Perlu Pengendalian",IF(AND(L76&gt;=0,I76&gt;0),"Tidak Perlu Pengendalian","Belum Sensus"))</f>
        <v>Belum Sensus</v>
      </c>
      <c r="N76" s="143"/>
      <c r="O76" s="9">
        <f t="array" ref="O76">IFERROR(N76/I76*100,0)</f>
        <v>0</v>
      </c>
    </row>
    <row r="77" spans="1:15" outlineLevel="1" x14ac:dyDescent="0.15">
      <c r="A77" s="8" t="s">
        <v>1043</v>
      </c>
      <c r="B77" s="8">
        <v>1</v>
      </c>
      <c r="C77" s="8">
        <v>4</v>
      </c>
      <c r="D77" s="8" t="s">
        <v>1541</v>
      </c>
      <c r="E77" s="180">
        <v>34.68</v>
      </c>
      <c r="F77" s="8" t="s">
        <v>469</v>
      </c>
      <c r="G77" s="10">
        <v>3781</v>
      </c>
      <c r="H77" s="11"/>
      <c r="I77" s="143"/>
      <c r="J77" s="9">
        <f t="array" ref="J77">IFERROR(I77/G77*100,0)</f>
        <v>0</v>
      </c>
      <c r="K77" s="143"/>
      <c r="L77" s="9">
        <f t="shared" si="2"/>
        <v>0</v>
      </c>
      <c r="M77" s="8" t="str">
        <f t="array" ref="M77">IF(L77&gt;5,"Perlu Pengendalian",IF(AND(L77&gt;=0,I77&gt;0),"Tidak Perlu Pengendalian","Belum Sensus"))</f>
        <v>Belum Sensus</v>
      </c>
      <c r="N77" s="143"/>
      <c r="O77" s="9">
        <f t="array" ref="O77">IFERROR(N77/I77*100,0)</f>
        <v>0</v>
      </c>
    </row>
    <row r="78" spans="1:15" outlineLevel="1" x14ac:dyDescent="0.15">
      <c r="A78" s="8" t="s">
        <v>1043</v>
      </c>
      <c r="B78" s="8">
        <v>1</v>
      </c>
      <c r="C78" s="8">
        <v>4</v>
      </c>
      <c r="D78" s="8" t="s">
        <v>1542</v>
      </c>
      <c r="E78" s="179">
        <v>27.73</v>
      </c>
      <c r="F78" s="8" t="s">
        <v>469</v>
      </c>
      <c r="G78" s="10">
        <v>2082</v>
      </c>
      <c r="H78" s="11"/>
      <c r="I78" s="143"/>
      <c r="J78" s="9">
        <f t="array" ref="J78">IFERROR(I78/G78*100,0)</f>
        <v>0</v>
      </c>
      <c r="K78" s="143"/>
      <c r="L78" s="9">
        <f t="shared" si="2"/>
        <v>0</v>
      </c>
      <c r="M78" s="8" t="str">
        <f t="array" ref="M78">IF(L78&gt;5,"Perlu Pengendalian",IF(AND(L78&gt;=0,I78&gt;0),"Tidak Perlu Pengendalian","Belum Sensus"))</f>
        <v>Belum Sensus</v>
      </c>
      <c r="N78" s="143"/>
      <c r="O78" s="9">
        <f t="array" ref="O78">IFERROR(N78/I78*100,0)</f>
        <v>0</v>
      </c>
    </row>
    <row r="79" spans="1:15" outlineLevel="1" x14ac:dyDescent="0.15">
      <c r="A79" s="8" t="s">
        <v>1043</v>
      </c>
      <c r="B79" s="8">
        <v>1</v>
      </c>
      <c r="C79" s="8">
        <v>4</v>
      </c>
      <c r="D79" s="8" t="s">
        <v>1543</v>
      </c>
      <c r="E79" s="9">
        <v>25.169999999999998</v>
      </c>
      <c r="F79" s="8" t="s">
        <v>469</v>
      </c>
      <c r="G79" s="10">
        <v>2618</v>
      </c>
      <c r="H79" s="11"/>
      <c r="I79" s="143"/>
      <c r="J79" s="9">
        <f t="array" ref="J79">IFERROR(I79/G79*100,0)</f>
        <v>0</v>
      </c>
      <c r="K79" s="143"/>
      <c r="L79" s="9">
        <f t="shared" si="2"/>
        <v>0</v>
      </c>
      <c r="M79" s="8" t="str">
        <f t="array" ref="M79">IF(L79&gt;5,"Perlu Pengendalian",IF(AND(L79&gt;=0,I79&gt;0),"Tidak Perlu Pengendalian","Belum Sensus"))</f>
        <v>Belum Sensus</v>
      </c>
      <c r="N79" s="143"/>
      <c r="O79" s="9">
        <f t="array" ref="O79">IFERROR(N79/I79*100,0)</f>
        <v>0</v>
      </c>
    </row>
    <row r="80" spans="1:15" outlineLevel="1" x14ac:dyDescent="0.15">
      <c r="A80" s="8" t="s">
        <v>1043</v>
      </c>
      <c r="B80" s="8">
        <v>1</v>
      </c>
      <c r="C80" s="8">
        <v>4</v>
      </c>
      <c r="D80" s="8" t="s">
        <v>1544</v>
      </c>
      <c r="E80" s="9">
        <v>44.63</v>
      </c>
      <c r="F80" s="8" t="s">
        <v>469</v>
      </c>
      <c r="G80" s="10">
        <v>4424</v>
      </c>
      <c r="H80" s="11"/>
      <c r="I80" s="143"/>
      <c r="J80" s="9">
        <f t="array" ref="J80">IFERROR(I80/G80*100,0)</f>
        <v>0</v>
      </c>
      <c r="K80" s="143"/>
      <c r="L80" s="9">
        <f t="shared" si="2"/>
        <v>0</v>
      </c>
      <c r="M80" s="8" t="str">
        <f t="array" ref="M80">IF(L80&gt;5,"Perlu Pengendalian",IF(AND(L80&gt;=0,I80&gt;0),"Tidak Perlu Pengendalian","Belum Sensus"))</f>
        <v>Belum Sensus</v>
      </c>
      <c r="N80" s="143"/>
      <c r="O80" s="9">
        <f t="array" ref="O80">IFERROR(N80/I80*100,0)</f>
        <v>0</v>
      </c>
    </row>
    <row r="81" spans="1:15" outlineLevel="1" x14ac:dyDescent="0.15">
      <c r="A81" s="8" t="s">
        <v>1043</v>
      </c>
      <c r="B81" s="8">
        <v>1</v>
      </c>
      <c r="C81" s="8">
        <v>4</v>
      </c>
      <c r="D81" s="8" t="s">
        <v>1545</v>
      </c>
      <c r="E81" s="179">
        <v>35.840000000000003</v>
      </c>
      <c r="F81" s="8" t="s">
        <v>469</v>
      </c>
      <c r="G81" s="10">
        <v>4005</v>
      </c>
      <c r="H81" s="11"/>
      <c r="I81" s="143"/>
      <c r="J81" s="9">
        <f t="array" ref="J81">IFERROR(I81/G81*100,0)</f>
        <v>0</v>
      </c>
      <c r="K81" s="143"/>
      <c r="L81" s="9">
        <f t="shared" si="2"/>
        <v>0</v>
      </c>
      <c r="M81" s="8" t="str">
        <f t="array" ref="M81">IF(L81&gt;5,"Perlu Pengendalian",IF(AND(L81&gt;=0,I81&gt;0),"Tidak Perlu Pengendalian","Belum Sensus"))</f>
        <v>Belum Sensus</v>
      </c>
      <c r="N81" s="143"/>
      <c r="O81" s="9">
        <f t="array" ref="O81">IFERROR(N81/I81*100,0)</f>
        <v>0</v>
      </c>
    </row>
    <row r="82" spans="1:15" outlineLevel="1" x14ac:dyDescent="0.15">
      <c r="A82" s="8" t="s">
        <v>1043</v>
      </c>
      <c r="B82" s="8">
        <v>1</v>
      </c>
      <c r="C82" s="8">
        <v>4</v>
      </c>
      <c r="D82" s="8" t="s">
        <v>1546</v>
      </c>
      <c r="E82" s="9">
        <v>32.989999999999995</v>
      </c>
      <c r="F82" s="8" t="s">
        <v>469</v>
      </c>
      <c r="G82" s="10">
        <v>3222</v>
      </c>
      <c r="H82" s="11"/>
      <c r="I82" s="143"/>
      <c r="J82" s="9">
        <f t="array" ref="J82">IFERROR(I82/G82*100,0)</f>
        <v>0</v>
      </c>
      <c r="K82" s="143"/>
      <c r="L82" s="9">
        <f t="shared" si="2"/>
        <v>0</v>
      </c>
      <c r="M82" s="8" t="str">
        <f t="array" ref="M82">IF(L82&gt;5,"Perlu Pengendalian",IF(AND(L82&gt;=0,I82&gt;0),"Tidak Perlu Pengendalian","Belum Sensus"))</f>
        <v>Belum Sensus</v>
      </c>
      <c r="N82" s="143"/>
      <c r="O82" s="9">
        <f t="array" ref="O82">IFERROR(N82/I82*100,0)</f>
        <v>0</v>
      </c>
    </row>
    <row r="83" spans="1:15" outlineLevel="1" x14ac:dyDescent="0.15">
      <c r="A83" s="8" t="s">
        <v>1043</v>
      </c>
      <c r="B83" s="8">
        <v>1</v>
      </c>
      <c r="C83" s="8">
        <v>4</v>
      </c>
      <c r="D83" s="8" t="s">
        <v>1547</v>
      </c>
      <c r="E83" s="179">
        <v>40.629999999999995</v>
      </c>
      <c r="F83" s="8" t="s">
        <v>469</v>
      </c>
      <c r="G83" s="10">
        <v>3798</v>
      </c>
      <c r="H83" s="11"/>
      <c r="I83" s="143"/>
      <c r="J83" s="9">
        <f t="array" ref="J83">IFERROR(I83/G83*100,0)</f>
        <v>0</v>
      </c>
      <c r="K83" s="143"/>
      <c r="L83" s="9">
        <f t="shared" si="2"/>
        <v>0</v>
      </c>
      <c r="M83" s="8" t="str">
        <f t="array" ref="M83">IF(L83&gt;5,"Perlu Pengendalian",IF(AND(L83&gt;=0,I83&gt;0),"Tidak Perlu Pengendalian","Belum Sensus"))</f>
        <v>Belum Sensus</v>
      </c>
      <c r="N83" s="143"/>
      <c r="O83" s="9">
        <f t="array" ref="O83">IFERROR(N83/I83*100,0)</f>
        <v>0</v>
      </c>
    </row>
    <row r="84" spans="1:15" outlineLevel="1" x14ac:dyDescent="0.15">
      <c r="A84" s="8" t="s">
        <v>1043</v>
      </c>
      <c r="B84" s="8">
        <v>1</v>
      </c>
      <c r="C84" s="8">
        <v>4</v>
      </c>
      <c r="D84" s="8" t="s">
        <v>1548</v>
      </c>
      <c r="E84" s="180">
        <v>31.13</v>
      </c>
      <c r="F84" s="8" t="s">
        <v>469</v>
      </c>
      <c r="G84" s="10">
        <v>3843</v>
      </c>
      <c r="H84" s="11"/>
      <c r="I84" s="143"/>
      <c r="J84" s="9">
        <f t="array" ref="J84">IFERROR(I84/G84*100,0)</f>
        <v>0</v>
      </c>
      <c r="K84" s="143"/>
      <c r="L84" s="9">
        <f t="shared" si="2"/>
        <v>0</v>
      </c>
      <c r="M84" s="8" t="str">
        <f t="array" ref="M84">IF(L84&gt;5,"Perlu Pengendalian",IF(AND(L84&gt;=0,I84&gt;0),"Tidak Perlu Pengendalian","Belum Sensus"))</f>
        <v>Belum Sensus</v>
      </c>
      <c r="N84" s="143"/>
      <c r="O84" s="9">
        <f t="array" ref="O84">IFERROR(N84/I84*100,0)</f>
        <v>0</v>
      </c>
    </row>
    <row r="85" spans="1:15" outlineLevel="1" x14ac:dyDescent="0.15">
      <c r="A85" s="8" t="s">
        <v>1043</v>
      </c>
      <c r="B85" s="8">
        <v>1</v>
      </c>
      <c r="C85" s="8">
        <v>4</v>
      </c>
      <c r="D85" s="8" t="s">
        <v>1549</v>
      </c>
      <c r="E85" s="9">
        <v>27.83</v>
      </c>
      <c r="F85" s="8" t="s">
        <v>469</v>
      </c>
      <c r="G85" s="10">
        <v>3466</v>
      </c>
      <c r="H85" s="11"/>
      <c r="I85" s="143"/>
      <c r="J85" s="9">
        <f t="array" ref="J85">IFERROR(I85/G85*100,0)</f>
        <v>0</v>
      </c>
      <c r="K85" s="143"/>
      <c r="L85" s="9">
        <f t="shared" si="2"/>
        <v>0</v>
      </c>
      <c r="M85" s="8" t="str">
        <f t="array" ref="M85">IF(L85&gt;5,"Perlu Pengendalian",IF(AND(L85&gt;=0,I85&gt;0),"Tidak Perlu Pengendalian","Belum Sensus"))</f>
        <v>Belum Sensus</v>
      </c>
      <c r="N85" s="143"/>
      <c r="O85" s="9">
        <f t="array" ref="O85">IFERROR(N85/I85*100,0)</f>
        <v>0</v>
      </c>
    </row>
    <row r="86" spans="1:15" outlineLevel="1" x14ac:dyDescent="0.15">
      <c r="A86" s="8" t="s">
        <v>1043</v>
      </c>
      <c r="B86" s="8">
        <v>1</v>
      </c>
      <c r="C86" s="8">
        <v>4</v>
      </c>
      <c r="D86" s="8" t="s">
        <v>1550</v>
      </c>
      <c r="E86" s="9">
        <v>32.21</v>
      </c>
      <c r="F86" s="8" t="s">
        <v>469</v>
      </c>
      <c r="G86" s="10">
        <v>3908</v>
      </c>
      <c r="H86" s="11"/>
      <c r="I86" s="143"/>
      <c r="J86" s="9">
        <f t="array" ref="J86">IFERROR(I86/G86*100,0)</f>
        <v>0</v>
      </c>
      <c r="K86" s="143"/>
      <c r="L86" s="9">
        <f t="shared" si="2"/>
        <v>0</v>
      </c>
      <c r="M86" s="8" t="str">
        <f t="array" ref="M86">IF(L86&gt;5,"Perlu Pengendalian",IF(AND(L86&gt;=0,I86&gt;0),"Tidak Perlu Pengendalian","Belum Sensus"))</f>
        <v>Belum Sensus</v>
      </c>
      <c r="N86" s="143"/>
      <c r="O86" s="9">
        <f t="array" ref="O86">IFERROR(N86/I86*100,0)</f>
        <v>0</v>
      </c>
    </row>
    <row r="87" spans="1:15" outlineLevel="1" x14ac:dyDescent="0.15">
      <c r="A87" s="8" t="s">
        <v>1043</v>
      </c>
      <c r="B87" s="8">
        <v>1</v>
      </c>
      <c r="C87" s="8">
        <v>4</v>
      </c>
      <c r="D87" s="8" t="s">
        <v>1551</v>
      </c>
      <c r="E87" s="9">
        <v>35.86</v>
      </c>
      <c r="F87" s="8" t="s">
        <v>469</v>
      </c>
      <c r="G87" s="10">
        <v>4113</v>
      </c>
      <c r="H87" s="11"/>
      <c r="I87" s="143"/>
      <c r="J87" s="9">
        <f t="array" ref="J87">IFERROR(I87/G87*100,0)</f>
        <v>0</v>
      </c>
      <c r="K87" s="143"/>
      <c r="L87" s="9">
        <f t="shared" si="2"/>
        <v>0</v>
      </c>
      <c r="M87" s="8" t="str">
        <f t="array" ref="M87">IF(L87&gt;5,"Perlu Pengendalian",IF(AND(L87&gt;=0,I87&gt;0),"Tidak Perlu Pengendalian","Belum Sensus"))</f>
        <v>Belum Sensus</v>
      </c>
      <c r="N87" s="143"/>
      <c r="O87" s="9">
        <f t="array" ref="O87">IFERROR(N87/I87*100,0)</f>
        <v>0</v>
      </c>
    </row>
    <row r="88" spans="1:15" outlineLevel="1" x14ac:dyDescent="0.15">
      <c r="A88" s="8" t="s">
        <v>1043</v>
      </c>
      <c r="B88" s="8">
        <v>1</v>
      </c>
      <c r="C88" s="8">
        <v>4</v>
      </c>
      <c r="D88" s="8" t="s">
        <v>1552</v>
      </c>
      <c r="E88" s="9">
        <v>23.43</v>
      </c>
      <c r="F88" s="8" t="s">
        <v>469</v>
      </c>
      <c r="G88" s="10">
        <v>2546</v>
      </c>
      <c r="H88" s="11"/>
      <c r="I88" s="143"/>
      <c r="J88" s="9">
        <f t="array" ref="J88">IFERROR(I88/G88*100,0)</f>
        <v>0</v>
      </c>
      <c r="K88" s="143"/>
      <c r="L88" s="9">
        <f t="shared" si="2"/>
        <v>0</v>
      </c>
      <c r="M88" s="8" t="str">
        <f t="array" ref="M88">IF(L88&gt;5,"Perlu Pengendalian",IF(AND(L88&gt;=0,I88&gt;0),"Tidak Perlu Pengendalian","Belum Sensus"))</f>
        <v>Belum Sensus</v>
      </c>
      <c r="N88" s="143"/>
      <c r="O88" s="9">
        <f t="array" ref="O88">IFERROR(N88/I88*100,0)</f>
        <v>0</v>
      </c>
    </row>
    <row r="89" spans="1:15" outlineLevel="1" x14ac:dyDescent="0.15">
      <c r="A89" s="8" t="s">
        <v>1043</v>
      </c>
      <c r="B89" s="8">
        <v>1</v>
      </c>
      <c r="C89" s="8">
        <v>4</v>
      </c>
      <c r="D89" s="8" t="s">
        <v>1553</v>
      </c>
      <c r="E89" s="9">
        <v>40.15</v>
      </c>
      <c r="F89" s="8" t="s">
        <v>469</v>
      </c>
      <c r="G89" s="10">
        <v>4179</v>
      </c>
      <c r="H89" s="11"/>
      <c r="I89" s="143"/>
      <c r="J89" s="9">
        <f t="array" ref="J89">IFERROR(I89/G89*100,0)</f>
        <v>0</v>
      </c>
      <c r="K89" s="143"/>
      <c r="L89" s="9">
        <f t="shared" si="2"/>
        <v>0</v>
      </c>
      <c r="M89" s="8" t="str">
        <f t="array" ref="M89">IF(L89&gt;5,"Perlu Pengendalian",IF(AND(L89&gt;=0,I89&gt;0),"Tidak Perlu Pengendalian","Belum Sensus"))</f>
        <v>Belum Sensus</v>
      </c>
      <c r="N89" s="143"/>
      <c r="O89" s="9">
        <f t="array" ref="O89">IFERROR(N89/I89*100,0)</f>
        <v>0</v>
      </c>
    </row>
    <row r="90" spans="1:15" outlineLevel="1" x14ac:dyDescent="0.15">
      <c r="A90" s="8" t="s">
        <v>1043</v>
      </c>
      <c r="B90" s="8">
        <v>1</v>
      </c>
      <c r="C90" s="8">
        <v>4</v>
      </c>
      <c r="D90" s="8" t="s">
        <v>1554</v>
      </c>
      <c r="E90" s="9">
        <v>25.120000000000005</v>
      </c>
      <c r="F90" s="8" t="s">
        <v>469</v>
      </c>
      <c r="G90" s="10">
        <v>2310</v>
      </c>
      <c r="H90" s="11"/>
      <c r="I90" s="143"/>
      <c r="J90" s="9">
        <f t="array" ref="J90">IFERROR(I90/G90*100,0)</f>
        <v>0</v>
      </c>
      <c r="K90" s="143"/>
      <c r="L90" s="9">
        <f t="shared" si="2"/>
        <v>0</v>
      </c>
      <c r="M90" s="8" t="str">
        <f t="array" ref="M90">IF(L90&gt;5,"Perlu Pengendalian",IF(AND(L90&gt;=0,I90&gt;0),"Tidak Perlu Pengendalian","Belum Sensus"))</f>
        <v>Belum Sensus</v>
      </c>
      <c r="N90" s="143"/>
      <c r="O90" s="9">
        <f t="array" ref="O90">IFERROR(N90/I90*100,0)</f>
        <v>0</v>
      </c>
    </row>
    <row r="91" spans="1:15" outlineLevel="1" x14ac:dyDescent="0.15">
      <c r="A91" s="8" t="s">
        <v>1043</v>
      </c>
      <c r="B91" s="8">
        <v>1</v>
      </c>
      <c r="C91" s="8">
        <v>5</v>
      </c>
      <c r="D91" s="8" t="s">
        <v>1555</v>
      </c>
      <c r="E91" s="9">
        <v>40.130000000000003</v>
      </c>
      <c r="F91" s="8" t="s">
        <v>469</v>
      </c>
      <c r="G91" s="10">
        <v>3795</v>
      </c>
      <c r="H91" s="11"/>
      <c r="I91" s="143"/>
      <c r="J91" s="9">
        <f t="array" ref="J91">IFERROR(I91/G91*100,0)</f>
        <v>0</v>
      </c>
      <c r="K91" s="143"/>
      <c r="L91" s="9">
        <f t="shared" si="2"/>
        <v>0</v>
      </c>
      <c r="M91" s="8" t="str">
        <f t="array" ref="M91">IF(L91&gt;5,"Perlu Pengendalian",IF(AND(L91&gt;=0,I91&gt;0),"Tidak Perlu Pengendalian","Belum Sensus"))</f>
        <v>Belum Sensus</v>
      </c>
      <c r="N91" s="143"/>
      <c r="O91" s="9">
        <f t="array" ref="O91">IFERROR(N91/I91*100,0)</f>
        <v>0</v>
      </c>
    </row>
    <row r="92" spans="1:15" outlineLevel="1" x14ac:dyDescent="0.15">
      <c r="A92" s="8" t="s">
        <v>1043</v>
      </c>
      <c r="B92" s="8">
        <v>1</v>
      </c>
      <c r="C92" s="8">
        <v>5</v>
      </c>
      <c r="D92" s="8" t="s">
        <v>1556</v>
      </c>
      <c r="E92" s="9">
        <v>31.189999999999998</v>
      </c>
      <c r="F92" s="8" t="s">
        <v>469</v>
      </c>
      <c r="G92" s="10">
        <v>1999</v>
      </c>
      <c r="H92" s="11"/>
      <c r="I92" s="143"/>
      <c r="J92" s="9">
        <f t="array" ref="J92">IFERROR(I92/G92*100,0)</f>
        <v>0</v>
      </c>
      <c r="K92" s="143"/>
      <c r="L92" s="9">
        <f t="shared" si="2"/>
        <v>0</v>
      </c>
      <c r="M92" s="8" t="str">
        <f t="array" ref="M92">IF(L92&gt;5,"Perlu Pengendalian",IF(AND(L92&gt;=0,I92&gt;0),"Tidak Perlu Pengendalian","Belum Sensus"))</f>
        <v>Belum Sensus</v>
      </c>
      <c r="N92" s="143"/>
      <c r="O92" s="9">
        <f t="array" ref="O92">IFERROR(N92/I92*100,0)</f>
        <v>0</v>
      </c>
    </row>
    <row r="93" spans="1:15" outlineLevel="1" x14ac:dyDescent="0.15">
      <c r="A93" s="8" t="s">
        <v>1043</v>
      </c>
      <c r="B93" s="8">
        <v>1</v>
      </c>
      <c r="C93" s="8">
        <v>5</v>
      </c>
      <c r="D93" s="8" t="s">
        <v>1557</v>
      </c>
      <c r="E93" s="9">
        <v>36.08</v>
      </c>
      <c r="F93" s="8" t="s">
        <v>469</v>
      </c>
      <c r="G93" s="10">
        <v>3932</v>
      </c>
      <c r="H93" s="11"/>
      <c r="I93" s="143"/>
      <c r="J93" s="9">
        <f t="array" ref="J93">IFERROR(I93/G93*100,0)</f>
        <v>0</v>
      </c>
      <c r="K93" s="143"/>
      <c r="L93" s="9">
        <f t="shared" si="2"/>
        <v>0</v>
      </c>
      <c r="M93" s="8" t="str">
        <f t="array" ref="M93">IF(L93&gt;5,"Perlu Pengendalian",IF(AND(L93&gt;=0,I93&gt;0),"Tidak Perlu Pengendalian","Belum Sensus"))</f>
        <v>Belum Sensus</v>
      </c>
      <c r="N93" s="143"/>
      <c r="O93" s="9">
        <f t="array" ref="O93">IFERROR(N93/I93*100,0)</f>
        <v>0</v>
      </c>
    </row>
    <row r="94" spans="1:15" outlineLevel="1" x14ac:dyDescent="0.15">
      <c r="A94" s="8" t="s">
        <v>1043</v>
      </c>
      <c r="B94" s="8">
        <v>1</v>
      </c>
      <c r="C94" s="8">
        <v>5</v>
      </c>
      <c r="D94" s="8" t="s">
        <v>1558</v>
      </c>
      <c r="E94" s="9">
        <v>32.839999999999996</v>
      </c>
      <c r="F94" s="8" t="s">
        <v>469</v>
      </c>
      <c r="G94" s="10">
        <v>3578</v>
      </c>
      <c r="H94" s="11"/>
      <c r="I94" s="143"/>
      <c r="J94" s="9">
        <f t="array" ref="J94">IFERROR(I94/G94*100,0)</f>
        <v>0</v>
      </c>
      <c r="K94" s="143"/>
      <c r="L94" s="9">
        <f t="shared" si="2"/>
        <v>0</v>
      </c>
      <c r="M94" s="8" t="str">
        <f t="array" ref="M94">IF(L94&gt;5,"Perlu Pengendalian",IF(AND(L94&gt;=0,I94&gt;0),"Tidak Perlu Pengendalian","Belum Sensus"))</f>
        <v>Belum Sensus</v>
      </c>
      <c r="N94" s="143"/>
      <c r="O94" s="9">
        <f t="array" ref="O94">IFERROR(N94/I94*100,0)</f>
        <v>0</v>
      </c>
    </row>
    <row r="95" spans="1:15" outlineLevel="1" x14ac:dyDescent="0.15">
      <c r="A95" s="8" t="s">
        <v>1043</v>
      </c>
      <c r="B95" s="8">
        <v>1</v>
      </c>
      <c r="C95" s="8">
        <v>5</v>
      </c>
      <c r="D95" s="8" t="s">
        <v>1559</v>
      </c>
      <c r="E95" s="180">
        <v>40.57</v>
      </c>
      <c r="F95" s="8" t="s">
        <v>469</v>
      </c>
      <c r="G95" s="10">
        <v>4759</v>
      </c>
      <c r="H95" s="11"/>
      <c r="I95" s="143"/>
      <c r="J95" s="9">
        <f t="array" ref="J95">IFERROR(I95/G95*100,0)</f>
        <v>0</v>
      </c>
      <c r="K95" s="143"/>
      <c r="L95" s="9">
        <f t="shared" si="2"/>
        <v>0</v>
      </c>
      <c r="M95" s="8" t="str">
        <f t="array" ref="M95">IF(L95&gt;5,"Perlu Pengendalian",IF(AND(L95&gt;=0,I95&gt;0),"Tidak Perlu Pengendalian","Belum Sensus"))</f>
        <v>Belum Sensus</v>
      </c>
      <c r="N95" s="143"/>
      <c r="O95" s="9">
        <f t="array" ref="O95">IFERROR(N95/I95*100,0)</f>
        <v>0</v>
      </c>
    </row>
    <row r="96" spans="1:15" outlineLevel="1" x14ac:dyDescent="0.15">
      <c r="A96" s="8" t="s">
        <v>1043</v>
      </c>
      <c r="B96" s="8">
        <v>1</v>
      </c>
      <c r="C96" s="8">
        <v>5</v>
      </c>
      <c r="D96" s="8" t="s">
        <v>1560</v>
      </c>
      <c r="E96" s="9">
        <v>26.689999999999998</v>
      </c>
      <c r="F96" s="8" t="s">
        <v>469</v>
      </c>
      <c r="G96" s="10">
        <v>2403</v>
      </c>
      <c r="H96" s="11"/>
      <c r="I96" s="143"/>
      <c r="J96" s="9">
        <f t="array" ref="J96">IFERROR(I96/G96*100,0)</f>
        <v>0</v>
      </c>
      <c r="K96" s="143"/>
      <c r="L96" s="9">
        <f t="shared" si="2"/>
        <v>0</v>
      </c>
      <c r="M96" s="8" t="str">
        <f t="array" ref="M96">IF(L96&gt;5,"Perlu Pengendalian",IF(AND(L96&gt;=0,I96&gt;0),"Tidak Perlu Pengendalian","Belum Sensus"))</f>
        <v>Belum Sensus</v>
      </c>
      <c r="N96" s="143"/>
      <c r="O96" s="9">
        <f t="array" ref="O96">IFERROR(N96/I96*100,0)</f>
        <v>0</v>
      </c>
    </row>
    <row r="97" spans="1:15" outlineLevel="1" x14ac:dyDescent="0.15">
      <c r="A97" s="8" t="s">
        <v>1043</v>
      </c>
      <c r="B97" s="8">
        <v>1</v>
      </c>
      <c r="C97" s="8">
        <v>5</v>
      </c>
      <c r="D97" s="8" t="s">
        <v>1561</v>
      </c>
      <c r="E97" s="9">
        <v>39.419999999999995</v>
      </c>
      <c r="F97" s="8" t="s">
        <v>469</v>
      </c>
      <c r="G97" s="10">
        <v>3949</v>
      </c>
      <c r="H97" s="11"/>
      <c r="I97" s="143"/>
      <c r="J97" s="9">
        <f t="array" ref="J97">IFERROR(I97/G97*100,0)</f>
        <v>0</v>
      </c>
      <c r="K97" s="143"/>
      <c r="L97" s="9">
        <f t="shared" si="2"/>
        <v>0</v>
      </c>
      <c r="M97" s="8" t="str">
        <f t="array" ref="M97">IF(L97&gt;5,"Perlu Pengendalian",IF(AND(L97&gt;=0,I97&gt;0),"Tidak Perlu Pengendalian","Belum Sensus"))</f>
        <v>Belum Sensus</v>
      </c>
      <c r="N97" s="143"/>
      <c r="O97" s="9">
        <f t="array" ref="O97">IFERROR(N97/I97*100,0)</f>
        <v>0</v>
      </c>
    </row>
    <row r="98" spans="1:15" outlineLevel="1" x14ac:dyDescent="0.15">
      <c r="A98" s="8" t="s">
        <v>1043</v>
      </c>
      <c r="B98" s="8">
        <v>1</v>
      </c>
      <c r="C98" s="8">
        <v>5</v>
      </c>
      <c r="D98" s="8" t="s">
        <v>1562</v>
      </c>
      <c r="E98" s="9">
        <v>36.409999999999997</v>
      </c>
      <c r="F98" s="8" t="s">
        <v>469</v>
      </c>
      <c r="G98" s="10">
        <v>4768</v>
      </c>
      <c r="H98" s="11"/>
      <c r="I98" s="143"/>
      <c r="J98" s="9">
        <f t="array" ref="J98">IFERROR(I98/G98*100,0)</f>
        <v>0</v>
      </c>
      <c r="K98" s="143"/>
      <c r="L98" s="9">
        <f t="shared" si="2"/>
        <v>0</v>
      </c>
      <c r="M98" s="8" t="str">
        <f t="array" ref="M98">IF(L98&gt;5,"Perlu Pengendalian",IF(AND(L98&gt;=0,I98&gt;0),"Tidak Perlu Pengendalian","Belum Sensus"))</f>
        <v>Belum Sensus</v>
      </c>
      <c r="N98" s="143"/>
      <c r="O98" s="9">
        <f t="array" ref="O98">IFERROR(N98/I98*100,0)</f>
        <v>0</v>
      </c>
    </row>
    <row r="99" spans="1:15" outlineLevel="1" x14ac:dyDescent="0.15">
      <c r="A99" s="8" t="s">
        <v>1043</v>
      </c>
      <c r="B99" s="8">
        <v>1</v>
      </c>
      <c r="C99" s="8">
        <v>5</v>
      </c>
      <c r="D99" s="8" t="s">
        <v>1563</v>
      </c>
      <c r="E99" s="9">
        <v>40.380000000000003</v>
      </c>
      <c r="F99" s="8" t="s">
        <v>469</v>
      </c>
      <c r="G99" s="10">
        <v>5005</v>
      </c>
      <c r="H99" s="11"/>
      <c r="I99" s="143"/>
      <c r="J99" s="9">
        <f t="array" ref="J99">IFERROR(I99/G99*100,0)</f>
        <v>0</v>
      </c>
      <c r="K99" s="143"/>
      <c r="L99" s="9">
        <f t="shared" si="2"/>
        <v>0</v>
      </c>
      <c r="M99" s="8" t="str">
        <f t="array" ref="M99">IF(L99&gt;5,"Perlu Pengendalian",IF(AND(L99&gt;=0,I99&gt;0),"Tidak Perlu Pengendalian","Belum Sensus"))</f>
        <v>Belum Sensus</v>
      </c>
      <c r="N99" s="143"/>
      <c r="O99" s="9">
        <f t="array" ref="O99">IFERROR(N99/I99*100,0)</f>
        <v>0</v>
      </c>
    </row>
    <row r="100" spans="1:15" outlineLevel="1" x14ac:dyDescent="0.15">
      <c r="A100" s="8" t="s">
        <v>1043</v>
      </c>
      <c r="B100" s="8">
        <v>1</v>
      </c>
      <c r="C100" s="8">
        <v>5</v>
      </c>
      <c r="D100" s="8" t="s">
        <v>1564</v>
      </c>
      <c r="E100" s="9">
        <v>38.1</v>
      </c>
      <c r="F100" s="8" t="s">
        <v>469</v>
      </c>
      <c r="G100" s="10">
        <v>4539</v>
      </c>
      <c r="H100" s="11"/>
      <c r="I100" s="143"/>
      <c r="J100" s="9">
        <f t="array" ref="J100">IFERROR(I100/G100*100,0)</f>
        <v>0</v>
      </c>
      <c r="K100" s="143"/>
      <c r="L100" s="9">
        <f t="shared" si="2"/>
        <v>0</v>
      </c>
      <c r="M100" s="8" t="str">
        <f t="array" ref="M100">IF(L100&gt;5,"Perlu Pengendalian",IF(AND(L100&gt;=0,I100&gt;0),"Tidak Perlu Pengendalian","Belum Sensus"))</f>
        <v>Belum Sensus</v>
      </c>
      <c r="N100" s="143"/>
      <c r="O100" s="9">
        <f t="array" ref="O100">IFERROR(N100/I100*100,0)</f>
        <v>0</v>
      </c>
    </row>
    <row r="101" spans="1:15" outlineLevel="1" x14ac:dyDescent="0.15">
      <c r="A101" s="8" t="s">
        <v>1043</v>
      </c>
      <c r="B101" s="8">
        <v>1</v>
      </c>
      <c r="C101" s="8">
        <v>5</v>
      </c>
      <c r="D101" s="8" t="s">
        <v>1565</v>
      </c>
      <c r="E101" s="9">
        <v>23.65</v>
      </c>
      <c r="F101" s="8" t="s">
        <v>469</v>
      </c>
      <c r="G101" s="10">
        <v>2446</v>
      </c>
      <c r="H101" s="11"/>
      <c r="I101" s="143"/>
      <c r="J101" s="9">
        <f t="array" ref="J101">IFERROR(I101/G101*100,0)</f>
        <v>0</v>
      </c>
      <c r="K101" s="143"/>
      <c r="L101" s="9">
        <f t="shared" si="2"/>
        <v>0</v>
      </c>
      <c r="M101" s="8" t="str">
        <f t="array" ref="M101">IF(L101&gt;5,"Perlu Pengendalian",IF(AND(L101&gt;=0,I101&gt;0),"Tidak Perlu Pengendalian","Belum Sensus"))</f>
        <v>Belum Sensus</v>
      </c>
      <c r="N101" s="143"/>
      <c r="O101" s="9">
        <f t="array" ref="O101">IFERROR(N101/I101*100,0)</f>
        <v>0</v>
      </c>
    </row>
    <row r="102" spans="1:15" outlineLevel="1" x14ac:dyDescent="0.15">
      <c r="A102" s="8" t="s">
        <v>1043</v>
      </c>
      <c r="B102" s="8">
        <v>1</v>
      </c>
      <c r="C102" s="8">
        <v>5</v>
      </c>
      <c r="D102" s="8" t="s">
        <v>1566</v>
      </c>
      <c r="E102" s="179">
        <v>42.51</v>
      </c>
      <c r="F102" s="8" t="s">
        <v>469</v>
      </c>
      <c r="G102" s="10">
        <v>4633</v>
      </c>
      <c r="H102" s="11"/>
      <c r="I102" s="143"/>
      <c r="J102" s="9">
        <f t="array" ref="J102">IFERROR(I102/G102*100,0)</f>
        <v>0</v>
      </c>
      <c r="K102" s="143"/>
      <c r="L102" s="9">
        <f t="shared" si="2"/>
        <v>0</v>
      </c>
      <c r="M102" s="8" t="str">
        <f t="array" ref="M102">IF(L102&gt;5,"Perlu Pengendalian",IF(AND(L102&gt;=0,I102&gt;0),"Tidak Perlu Pengendalian","Belum Sensus"))</f>
        <v>Belum Sensus</v>
      </c>
      <c r="N102" s="143"/>
      <c r="O102" s="9">
        <f t="array" ref="O102">IFERROR(N102/I102*100,0)</f>
        <v>0</v>
      </c>
    </row>
    <row r="103" spans="1:15" outlineLevel="1" x14ac:dyDescent="0.15">
      <c r="A103" s="8" t="s">
        <v>1043</v>
      </c>
      <c r="B103" s="8">
        <v>1</v>
      </c>
      <c r="C103" s="8">
        <v>5</v>
      </c>
      <c r="D103" s="8" t="s">
        <v>1567</v>
      </c>
      <c r="E103" s="9">
        <v>25.17</v>
      </c>
      <c r="F103" s="8" t="s">
        <v>469</v>
      </c>
      <c r="G103" s="10">
        <v>3111</v>
      </c>
      <c r="H103" s="11"/>
      <c r="I103" s="143"/>
      <c r="J103" s="9">
        <f t="array" ref="J103">IFERROR(I103/G103*100,0)</f>
        <v>0</v>
      </c>
      <c r="K103" s="143"/>
      <c r="L103" s="9">
        <f t="shared" si="2"/>
        <v>0</v>
      </c>
      <c r="M103" s="8" t="str">
        <f t="array" ref="M103">IF(L103&gt;5,"Perlu Pengendalian",IF(AND(L103&gt;=0,I103&gt;0),"Tidak Perlu Pengendalian","Belum Sensus"))</f>
        <v>Belum Sensus</v>
      </c>
      <c r="N103" s="143"/>
      <c r="O103" s="9">
        <f t="array" ref="O103">IFERROR(N103/I103*100,0)</f>
        <v>0</v>
      </c>
    </row>
    <row r="104" spans="1:15" outlineLevel="1" x14ac:dyDescent="0.15">
      <c r="A104" s="8" t="s">
        <v>1043</v>
      </c>
      <c r="B104" s="8">
        <v>1</v>
      </c>
      <c r="C104" s="8">
        <v>5</v>
      </c>
      <c r="D104" s="8" t="s">
        <v>1568</v>
      </c>
      <c r="E104" s="9">
        <v>27.44</v>
      </c>
      <c r="F104" s="8" t="s">
        <v>469</v>
      </c>
      <c r="G104" s="10">
        <v>3556</v>
      </c>
      <c r="H104" s="11"/>
      <c r="I104" s="143"/>
      <c r="J104" s="9">
        <f t="array" ref="J104">IFERROR(I104/G104*100,0)</f>
        <v>0</v>
      </c>
      <c r="K104" s="143"/>
      <c r="L104" s="9">
        <f t="shared" si="2"/>
        <v>0</v>
      </c>
      <c r="M104" s="8" t="str">
        <f t="array" ref="M104">IF(L104&gt;5,"Perlu Pengendalian",IF(AND(L104&gt;=0,I104&gt;0),"Tidak Perlu Pengendalian","Belum Sensus"))</f>
        <v>Belum Sensus</v>
      </c>
      <c r="N104" s="143"/>
      <c r="O104" s="9">
        <f t="array" ref="O104">IFERROR(N104/I104*100,0)</f>
        <v>0</v>
      </c>
    </row>
    <row r="105" spans="1:15" outlineLevel="1" x14ac:dyDescent="0.15">
      <c r="A105" s="8" t="s">
        <v>1043</v>
      </c>
      <c r="B105" s="8">
        <v>1</v>
      </c>
      <c r="C105" s="8">
        <v>5</v>
      </c>
      <c r="D105" s="8" t="s">
        <v>1569</v>
      </c>
      <c r="E105" s="9">
        <v>28.229999999999997</v>
      </c>
      <c r="F105" s="8" t="s">
        <v>469</v>
      </c>
      <c r="G105" s="10">
        <v>3327</v>
      </c>
      <c r="H105" s="11"/>
      <c r="I105" s="143"/>
      <c r="J105" s="9">
        <f t="array" ref="J105">IFERROR(I105/G105*100,0)</f>
        <v>0</v>
      </c>
      <c r="K105" s="143"/>
      <c r="L105" s="9">
        <f t="shared" si="2"/>
        <v>0</v>
      </c>
      <c r="M105" s="8" t="str">
        <f t="array" ref="M105">IF(L105&gt;5,"Perlu Pengendalian",IF(AND(L105&gt;=0,I105&gt;0),"Tidak Perlu Pengendalian","Belum Sensus"))</f>
        <v>Belum Sensus</v>
      </c>
      <c r="N105" s="143"/>
      <c r="O105" s="9">
        <f t="array" ref="O105">IFERROR(N105/I105*100,0)</f>
        <v>0</v>
      </c>
    </row>
    <row r="106" spans="1:15" outlineLevel="1" x14ac:dyDescent="0.15">
      <c r="A106" s="8" t="s">
        <v>1043</v>
      </c>
      <c r="B106" s="8">
        <v>1</v>
      </c>
      <c r="C106" s="8">
        <v>5</v>
      </c>
      <c r="D106" s="8" t="s">
        <v>1570</v>
      </c>
      <c r="E106" s="179">
        <v>26.05</v>
      </c>
      <c r="F106" s="8" t="s">
        <v>469</v>
      </c>
      <c r="G106" s="10">
        <v>3477</v>
      </c>
      <c r="H106" s="11"/>
      <c r="I106" s="143"/>
      <c r="J106" s="9">
        <f t="array" ref="J106">IFERROR(I106/G106*100,0)</f>
        <v>0</v>
      </c>
      <c r="K106" s="143"/>
      <c r="L106" s="9">
        <f t="shared" si="2"/>
        <v>0</v>
      </c>
      <c r="M106" s="8" t="str">
        <f t="array" ref="M106">IF(L106&gt;5,"Perlu Pengendalian",IF(AND(L106&gt;=0,I106&gt;0),"Tidak Perlu Pengendalian","Belum Sensus"))</f>
        <v>Belum Sensus</v>
      </c>
      <c r="N106" s="143"/>
      <c r="O106" s="9">
        <f t="array" ref="O106">IFERROR(N106/I106*100,0)</f>
        <v>0</v>
      </c>
    </row>
    <row r="107" spans="1:15" outlineLevel="1" x14ac:dyDescent="0.15">
      <c r="A107" s="8" t="s">
        <v>1043</v>
      </c>
      <c r="B107" s="8">
        <v>1</v>
      </c>
      <c r="C107" s="8">
        <v>5</v>
      </c>
      <c r="D107" s="8" t="s">
        <v>1571</v>
      </c>
      <c r="E107" s="9">
        <v>34.089999999999996</v>
      </c>
      <c r="F107" s="8" t="s">
        <v>469</v>
      </c>
      <c r="G107" s="10">
        <v>4479</v>
      </c>
      <c r="H107" s="11"/>
      <c r="I107" s="143"/>
      <c r="J107" s="9">
        <f t="array" ref="J107">IFERROR(I107/G107*100,0)</f>
        <v>0</v>
      </c>
      <c r="K107" s="143"/>
      <c r="L107" s="9">
        <f t="shared" si="2"/>
        <v>0</v>
      </c>
      <c r="M107" s="8" t="str">
        <f t="array" ref="M107">IF(L107&gt;5,"Perlu Pengendalian",IF(AND(L107&gt;=0,I107&gt;0),"Tidak Perlu Pengendalian","Belum Sensus"))</f>
        <v>Belum Sensus</v>
      </c>
      <c r="N107" s="143"/>
      <c r="O107" s="9">
        <f t="array" ref="O107">IFERROR(N107/I107*100,0)</f>
        <v>0</v>
      </c>
    </row>
    <row r="108" spans="1:15" outlineLevel="1" x14ac:dyDescent="0.15">
      <c r="A108" s="8" t="s">
        <v>1043</v>
      </c>
      <c r="B108" s="8">
        <v>1</v>
      </c>
      <c r="C108" s="8">
        <v>6</v>
      </c>
      <c r="D108" s="8" t="s">
        <v>1572</v>
      </c>
      <c r="E108" s="9">
        <v>42.260000000000005</v>
      </c>
      <c r="F108" s="8" t="s">
        <v>469</v>
      </c>
      <c r="G108" s="10">
        <v>2709</v>
      </c>
      <c r="H108" s="11"/>
      <c r="I108" s="143"/>
      <c r="J108" s="9">
        <f t="array" ref="J108">IFERROR(I108/G108*100,0)</f>
        <v>0</v>
      </c>
      <c r="K108" s="143"/>
      <c r="L108" s="9">
        <f t="shared" si="2"/>
        <v>0</v>
      </c>
      <c r="M108" s="8" t="str">
        <f t="array" ref="M108">IF(L108&gt;5,"Perlu Pengendalian",IF(AND(L108&gt;=0,I108&gt;0),"Tidak Perlu Pengendalian","Belum Sensus"))</f>
        <v>Belum Sensus</v>
      </c>
      <c r="N108" s="143"/>
      <c r="O108" s="9">
        <f t="array" ref="O108">IFERROR(N108/I108*100,0)</f>
        <v>0</v>
      </c>
    </row>
    <row r="109" spans="1:15" outlineLevel="1" x14ac:dyDescent="0.15">
      <c r="A109" s="8" t="s">
        <v>1043</v>
      </c>
      <c r="B109" s="8">
        <v>1</v>
      </c>
      <c r="C109" s="8">
        <v>6</v>
      </c>
      <c r="D109" s="8" t="s">
        <v>1573</v>
      </c>
      <c r="E109" s="9">
        <v>35.840000000000003</v>
      </c>
      <c r="F109" s="8" t="s">
        <v>469</v>
      </c>
      <c r="G109" s="10">
        <v>4463</v>
      </c>
      <c r="H109" s="11"/>
      <c r="I109" s="143"/>
      <c r="J109" s="9">
        <f t="array" ref="J109">IFERROR(I109/G109*100,0)</f>
        <v>0</v>
      </c>
      <c r="K109" s="143"/>
      <c r="L109" s="9">
        <f t="shared" si="2"/>
        <v>0</v>
      </c>
      <c r="M109" s="8" t="str">
        <f t="array" ref="M109">IF(L109&gt;5,"Perlu Pengendalian",IF(AND(L109&gt;=0,I109&gt;0),"Tidak Perlu Pengendalian","Belum Sensus"))</f>
        <v>Belum Sensus</v>
      </c>
      <c r="N109" s="143"/>
      <c r="O109" s="9">
        <f t="array" ref="O109">IFERROR(N109/I109*100,0)</f>
        <v>0</v>
      </c>
    </row>
    <row r="110" spans="1:15" outlineLevel="1" x14ac:dyDescent="0.15">
      <c r="A110" s="8" t="s">
        <v>1043</v>
      </c>
      <c r="B110" s="8">
        <v>1</v>
      </c>
      <c r="C110" s="8">
        <v>6</v>
      </c>
      <c r="D110" s="8" t="s">
        <v>1574</v>
      </c>
      <c r="E110" s="9">
        <v>33.930000000000007</v>
      </c>
      <c r="F110" s="8" t="s">
        <v>469</v>
      </c>
      <c r="G110" s="10">
        <v>2981</v>
      </c>
      <c r="H110" s="11"/>
      <c r="I110" s="143"/>
      <c r="J110" s="9">
        <f t="array" ref="J110">IFERROR(I110/G110*100,0)</f>
        <v>0</v>
      </c>
      <c r="K110" s="143"/>
      <c r="L110" s="9">
        <f t="shared" si="2"/>
        <v>0</v>
      </c>
      <c r="M110" s="8" t="str">
        <f t="array" ref="M110">IF(L110&gt;5,"Perlu Pengendalian",IF(AND(L110&gt;=0,I110&gt;0),"Tidak Perlu Pengendalian","Belum Sensus"))</f>
        <v>Belum Sensus</v>
      </c>
      <c r="N110" s="143"/>
      <c r="O110" s="9">
        <f t="array" ref="O110">IFERROR(N110/I110*100,0)</f>
        <v>0</v>
      </c>
    </row>
    <row r="111" spans="1:15" outlineLevel="1" x14ac:dyDescent="0.15">
      <c r="A111" s="8" t="s">
        <v>1043</v>
      </c>
      <c r="B111" s="8">
        <v>1</v>
      </c>
      <c r="C111" s="8">
        <v>6</v>
      </c>
      <c r="D111" s="8" t="s">
        <v>1575</v>
      </c>
      <c r="E111" s="9">
        <v>45.9</v>
      </c>
      <c r="F111" s="8" t="s">
        <v>469</v>
      </c>
      <c r="G111" s="10">
        <v>4687</v>
      </c>
      <c r="H111" s="11"/>
      <c r="I111" s="143"/>
      <c r="J111" s="9">
        <f t="array" ref="J111">IFERROR(I111/G111*100,0)</f>
        <v>0</v>
      </c>
      <c r="K111" s="143"/>
      <c r="L111" s="9">
        <f t="shared" si="2"/>
        <v>0</v>
      </c>
      <c r="M111" s="8" t="str">
        <f t="array" ref="M111">IF(L111&gt;5,"Perlu Pengendalian",IF(AND(L111&gt;=0,I111&gt;0),"Tidak Perlu Pengendalian","Belum Sensus"))</f>
        <v>Belum Sensus</v>
      </c>
      <c r="N111" s="143"/>
      <c r="O111" s="9">
        <f t="array" ref="O111">IFERROR(N111/I111*100,0)</f>
        <v>0</v>
      </c>
    </row>
    <row r="112" spans="1:15" outlineLevel="1" x14ac:dyDescent="0.15">
      <c r="A112" s="8" t="s">
        <v>1043</v>
      </c>
      <c r="B112" s="8">
        <v>1</v>
      </c>
      <c r="C112" s="8">
        <v>6</v>
      </c>
      <c r="D112" s="8" t="s">
        <v>1576</v>
      </c>
      <c r="E112" s="180">
        <v>53.260000000000005</v>
      </c>
      <c r="F112" s="8" t="s">
        <v>469</v>
      </c>
      <c r="G112" s="10">
        <v>6244</v>
      </c>
      <c r="H112" s="11"/>
      <c r="I112" s="143"/>
      <c r="J112" s="9">
        <f t="array" ref="J112">IFERROR(I112/G112*100,0)</f>
        <v>0</v>
      </c>
      <c r="K112" s="143"/>
      <c r="L112" s="9">
        <f t="shared" si="2"/>
        <v>0</v>
      </c>
      <c r="M112" s="8" t="str">
        <f t="array" ref="M112">IF(L112&gt;5,"Perlu Pengendalian",IF(AND(L112&gt;=0,I112&gt;0),"Tidak Perlu Pengendalian","Belum Sensus"))</f>
        <v>Belum Sensus</v>
      </c>
      <c r="N112" s="143"/>
      <c r="O112" s="9">
        <f t="array" ref="O112">IFERROR(N112/I112*100,0)</f>
        <v>0</v>
      </c>
    </row>
    <row r="113" spans="1:15" outlineLevel="1" x14ac:dyDescent="0.15">
      <c r="A113" s="8" t="s">
        <v>1043</v>
      </c>
      <c r="B113" s="8">
        <v>1</v>
      </c>
      <c r="C113" s="8">
        <v>6</v>
      </c>
      <c r="D113" s="8" t="s">
        <v>1577</v>
      </c>
      <c r="E113" s="9">
        <v>22.79</v>
      </c>
      <c r="F113" s="8" t="s">
        <v>469</v>
      </c>
      <c r="G113" s="10">
        <v>3158</v>
      </c>
      <c r="H113" s="11"/>
      <c r="I113" s="143"/>
      <c r="J113" s="9">
        <f t="array" ref="J113">IFERROR(I113/G113*100,0)</f>
        <v>0</v>
      </c>
      <c r="K113" s="143"/>
      <c r="L113" s="9">
        <f t="shared" si="2"/>
        <v>0</v>
      </c>
      <c r="M113" s="8" t="str">
        <f t="array" ref="M113">IF(L113&gt;5,"Perlu Pengendalian",IF(AND(L113&gt;=0,I113&gt;0),"Tidak Perlu Pengendalian","Belum Sensus"))</f>
        <v>Belum Sensus</v>
      </c>
      <c r="N113" s="143"/>
      <c r="O113" s="9">
        <f t="array" ref="O113">IFERROR(N113/I113*100,0)</f>
        <v>0</v>
      </c>
    </row>
    <row r="114" spans="1:15" outlineLevel="1" x14ac:dyDescent="0.15">
      <c r="A114" s="8" t="s">
        <v>1043</v>
      </c>
      <c r="B114" s="8">
        <v>1</v>
      </c>
      <c r="C114" s="8">
        <v>6</v>
      </c>
      <c r="D114" s="8" t="s">
        <v>1578</v>
      </c>
      <c r="E114" s="9">
        <v>44.559999999999995</v>
      </c>
      <c r="F114" s="8" t="s">
        <v>469</v>
      </c>
      <c r="G114" s="10">
        <v>5478</v>
      </c>
      <c r="H114" s="11"/>
      <c r="I114" s="143"/>
      <c r="J114" s="9">
        <f t="array" ref="J114">IFERROR(I114/G114*100,0)</f>
        <v>0</v>
      </c>
      <c r="K114" s="143"/>
      <c r="L114" s="9">
        <f t="shared" si="2"/>
        <v>0</v>
      </c>
      <c r="M114" s="8" t="str">
        <f t="array" ref="M114">IF(L114&gt;5,"Perlu Pengendalian",IF(AND(L114&gt;=0,I114&gt;0),"Tidak Perlu Pengendalian","Belum Sensus"))</f>
        <v>Belum Sensus</v>
      </c>
      <c r="N114" s="143"/>
      <c r="O114" s="9">
        <f t="array" ref="O114">IFERROR(N114/I114*100,0)</f>
        <v>0</v>
      </c>
    </row>
    <row r="115" spans="1:15" outlineLevel="1" x14ac:dyDescent="0.15">
      <c r="A115" s="8" t="s">
        <v>1043</v>
      </c>
      <c r="B115" s="8">
        <v>1</v>
      </c>
      <c r="C115" s="8">
        <v>6</v>
      </c>
      <c r="D115" s="8" t="s">
        <v>1579</v>
      </c>
      <c r="E115" s="9">
        <v>23.52</v>
      </c>
      <c r="F115" s="8" t="s">
        <v>469</v>
      </c>
      <c r="G115" s="10">
        <v>2033</v>
      </c>
      <c r="H115" s="11"/>
      <c r="I115" s="143"/>
      <c r="J115" s="9">
        <f t="array" ref="J115">IFERROR(I115/G115*100,0)</f>
        <v>0</v>
      </c>
      <c r="K115" s="143"/>
      <c r="L115" s="9">
        <f t="shared" si="2"/>
        <v>0</v>
      </c>
      <c r="M115" s="8" t="str">
        <f t="array" ref="M115">IF(L115&gt;5,"Perlu Pengendalian",IF(AND(L115&gt;=0,I115&gt;0),"Tidak Perlu Pengendalian","Belum Sensus"))</f>
        <v>Belum Sensus</v>
      </c>
      <c r="N115" s="143"/>
      <c r="O115" s="9">
        <f t="array" ref="O115">IFERROR(N115/I115*100,0)</f>
        <v>0</v>
      </c>
    </row>
    <row r="116" spans="1:15" outlineLevel="1" x14ac:dyDescent="0.15">
      <c r="A116" s="8" t="s">
        <v>1043</v>
      </c>
      <c r="B116" s="8">
        <v>1</v>
      </c>
      <c r="C116" s="8">
        <v>6</v>
      </c>
      <c r="D116" s="8" t="s">
        <v>1580</v>
      </c>
      <c r="E116" s="9">
        <v>39.130000000000003</v>
      </c>
      <c r="F116" s="8" t="s">
        <v>469</v>
      </c>
      <c r="G116" s="10">
        <v>5169</v>
      </c>
      <c r="H116" s="11"/>
      <c r="I116" s="143"/>
      <c r="J116" s="9">
        <f t="array" ref="J116">IFERROR(I116/G116*100,0)</f>
        <v>0</v>
      </c>
      <c r="K116" s="143"/>
      <c r="L116" s="9">
        <f t="shared" si="2"/>
        <v>0</v>
      </c>
      <c r="M116" s="8" t="str">
        <f t="array" ref="M116">IF(L116&gt;5,"Perlu Pengendalian",IF(AND(L116&gt;=0,I116&gt;0),"Tidak Perlu Pengendalian","Belum Sensus"))</f>
        <v>Belum Sensus</v>
      </c>
      <c r="N116" s="143"/>
      <c r="O116" s="9">
        <f t="array" ref="O116">IFERROR(N116/I116*100,0)</f>
        <v>0</v>
      </c>
    </row>
    <row r="117" spans="1:15" outlineLevel="1" x14ac:dyDescent="0.15">
      <c r="A117" s="8" t="s">
        <v>1043</v>
      </c>
      <c r="B117" s="8">
        <v>1</v>
      </c>
      <c r="C117" s="8">
        <v>6</v>
      </c>
      <c r="D117" s="8" t="s">
        <v>1581</v>
      </c>
      <c r="E117" s="9">
        <v>36.249999999999993</v>
      </c>
      <c r="F117" s="8" t="s">
        <v>469</v>
      </c>
      <c r="G117" s="10">
        <v>4730</v>
      </c>
      <c r="H117" s="11"/>
      <c r="I117" s="143"/>
      <c r="J117" s="9">
        <f t="array" ref="J117">IFERROR(I117/G117*100,0)</f>
        <v>0</v>
      </c>
      <c r="K117" s="143"/>
      <c r="L117" s="9">
        <f t="shared" si="2"/>
        <v>0</v>
      </c>
      <c r="M117" s="8" t="str">
        <f t="array" ref="M117">IF(L117&gt;5,"Perlu Pengendalian",IF(AND(L117&gt;=0,I117&gt;0),"Tidak Perlu Pengendalian","Belum Sensus"))</f>
        <v>Belum Sensus</v>
      </c>
      <c r="N117" s="143"/>
      <c r="O117" s="9">
        <f t="array" ref="O117">IFERROR(N117/I117*100,0)</f>
        <v>0</v>
      </c>
    </row>
    <row r="118" spans="1:15" outlineLevel="1" x14ac:dyDescent="0.15">
      <c r="A118" s="8" t="s">
        <v>1043</v>
      </c>
      <c r="B118" s="8">
        <v>1</v>
      </c>
      <c r="C118" s="8">
        <v>6</v>
      </c>
      <c r="D118" s="8" t="s">
        <v>1582</v>
      </c>
      <c r="E118" s="9">
        <v>37.85</v>
      </c>
      <c r="F118" s="8" t="s">
        <v>469</v>
      </c>
      <c r="G118" s="10">
        <v>3069</v>
      </c>
      <c r="H118" s="11"/>
      <c r="I118" s="143"/>
      <c r="J118" s="9">
        <f t="array" ref="J118">IFERROR(I118/G118*100,0)</f>
        <v>0</v>
      </c>
      <c r="K118" s="143"/>
      <c r="L118" s="9">
        <f t="shared" si="2"/>
        <v>0</v>
      </c>
      <c r="M118" s="8" t="str">
        <f t="array" ref="M118">IF(L118&gt;5,"Perlu Pengendalian",IF(AND(L118&gt;=0,I118&gt;0),"Tidak Perlu Pengendalian","Belum Sensus"))</f>
        <v>Belum Sensus</v>
      </c>
      <c r="N118" s="143"/>
      <c r="O118" s="9">
        <f t="array" ref="O118">IFERROR(N118/I118*100,0)</f>
        <v>0</v>
      </c>
    </row>
    <row r="119" spans="1:15" outlineLevel="1" x14ac:dyDescent="0.15">
      <c r="A119" s="8" t="s">
        <v>1043</v>
      </c>
      <c r="B119" s="8">
        <v>1</v>
      </c>
      <c r="C119" s="8">
        <v>6</v>
      </c>
      <c r="D119" s="8" t="s">
        <v>1583</v>
      </c>
      <c r="E119" s="9">
        <v>36.61</v>
      </c>
      <c r="F119" s="8" t="s">
        <v>469</v>
      </c>
      <c r="G119" s="10">
        <v>4829</v>
      </c>
      <c r="H119" s="11"/>
      <c r="I119" s="143"/>
      <c r="J119" s="9">
        <f t="array" ref="J119">IFERROR(I119/G119*100,0)</f>
        <v>0</v>
      </c>
      <c r="K119" s="143"/>
      <c r="L119" s="9">
        <f t="shared" si="2"/>
        <v>0</v>
      </c>
      <c r="M119" s="8" t="str">
        <f t="array" ref="M119">IF(L119&gt;5,"Perlu Pengendalian",IF(AND(L119&gt;=0,I119&gt;0),"Tidak Perlu Pengendalian","Belum Sensus"))</f>
        <v>Belum Sensus</v>
      </c>
      <c r="N119" s="143"/>
      <c r="O119" s="9">
        <f t="array" ref="O119">IFERROR(N119/I119*100,0)</f>
        <v>0</v>
      </c>
    </row>
    <row r="120" spans="1:15" outlineLevel="1" x14ac:dyDescent="0.15">
      <c r="A120" s="8" t="s">
        <v>1043</v>
      </c>
      <c r="B120" s="8">
        <v>1</v>
      </c>
      <c r="C120" s="8">
        <v>6</v>
      </c>
      <c r="D120" s="8" t="s">
        <v>1584</v>
      </c>
      <c r="E120" s="9">
        <v>35.590000000000003</v>
      </c>
      <c r="F120" s="8" t="s">
        <v>469</v>
      </c>
      <c r="G120" s="10">
        <v>5278</v>
      </c>
      <c r="H120" s="11"/>
      <c r="I120" s="143"/>
      <c r="J120" s="9">
        <f t="array" ref="J120">IFERROR(I120/G120*100,0)</f>
        <v>0</v>
      </c>
      <c r="K120" s="143"/>
      <c r="L120" s="9">
        <f t="shared" si="2"/>
        <v>0</v>
      </c>
      <c r="M120" s="8" t="str">
        <f t="array" ref="M120">IF(L120&gt;5,"Perlu Pengendalian",IF(AND(L120&gt;=0,I120&gt;0),"Tidak Perlu Pengendalian","Belum Sensus"))</f>
        <v>Belum Sensus</v>
      </c>
      <c r="N120" s="143"/>
      <c r="O120" s="9">
        <f t="array" ref="O120">IFERROR(N120/I120*100,0)</f>
        <v>0</v>
      </c>
    </row>
    <row r="121" spans="1:15" outlineLevel="1" x14ac:dyDescent="0.15">
      <c r="A121" s="8" t="s">
        <v>1043</v>
      </c>
      <c r="B121" s="8">
        <v>1</v>
      </c>
      <c r="C121" s="8">
        <v>6</v>
      </c>
      <c r="D121" s="8" t="s">
        <v>1585</v>
      </c>
      <c r="E121" s="9">
        <v>43.3</v>
      </c>
      <c r="F121" s="8" t="s">
        <v>469</v>
      </c>
      <c r="G121" s="10">
        <v>5849</v>
      </c>
      <c r="H121" s="11"/>
      <c r="I121" s="143"/>
      <c r="J121" s="9">
        <f t="array" ref="J121">IFERROR(I121/G121*100,0)</f>
        <v>0</v>
      </c>
      <c r="K121" s="143"/>
      <c r="L121" s="9">
        <f t="shared" si="2"/>
        <v>0</v>
      </c>
      <c r="M121" s="8" t="str">
        <f t="array" ref="M121">IF(L121&gt;5,"Perlu Pengendalian",IF(AND(L121&gt;=0,I121&gt;0),"Tidak Perlu Pengendalian","Belum Sensus"))</f>
        <v>Belum Sensus</v>
      </c>
      <c r="N121" s="143"/>
      <c r="O121" s="9">
        <f t="array" ref="O121">IFERROR(N121/I121*100,0)</f>
        <v>0</v>
      </c>
    </row>
    <row r="122" spans="1:15" outlineLevel="1" x14ac:dyDescent="0.15">
      <c r="A122" s="8" t="s">
        <v>1043</v>
      </c>
      <c r="B122" s="8">
        <v>1</v>
      </c>
      <c r="C122" s="8">
        <v>6</v>
      </c>
      <c r="D122" s="8" t="s">
        <v>1586</v>
      </c>
      <c r="E122" s="9">
        <v>24.57</v>
      </c>
      <c r="F122" s="8" t="s">
        <v>469</v>
      </c>
      <c r="G122" s="10">
        <v>3571</v>
      </c>
      <c r="H122" s="11"/>
      <c r="I122" s="143"/>
      <c r="J122" s="9">
        <f t="array" ref="J122">IFERROR(I122/G122*100,0)</f>
        <v>0</v>
      </c>
      <c r="K122" s="143"/>
      <c r="L122" s="9">
        <f t="shared" si="2"/>
        <v>0</v>
      </c>
      <c r="M122" s="8" t="str">
        <f t="array" ref="M122">IF(L122&gt;5,"Perlu Pengendalian",IF(AND(L122&gt;=0,I122&gt;0),"Tidak Perlu Pengendalian","Belum Sensus"))</f>
        <v>Belum Sensus</v>
      </c>
      <c r="N122" s="143"/>
      <c r="O122" s="9">
        <f t="array" ref="O122">IFERROR(N122/I122*100,0)</f>
        <v>0</v>
      </c>
    </row>
    <row r="123" spans="1:15" outlineLevel="1" x14ac:dyDescent="0.15">
      <c r="A123" s="8" t="s">
        <v>1043</v>
      </c>
      <c r="B123" s="8">
        <v>1</v>
      </c>
      <c r="C123" s="8">
        <v>6</v>
      </c>
      <c r="D123" s="8" t="s">
        <v>1587</v>
      </c>
      <c r="E123" s="9">
        <v>25.39</v>
      </c>
      <c r="F123" s="8" t="s">
        <v>469</v>
      </c>
      <c r="G123" s="10">
        <v>3630</v>
      </c>
      <c r="H123" s="11"/>
      <c r="I123" s="143"/>
      <c r="J123" s="9">
        <f t="array" ref="J123">IFERROR(I123/G123*100,0)</f>
        <v>0</v>
      </c>
      <c r="K123" s="143"/>
      <c r="L123" s="9">
        <f t="shared" si="2"/>
        <v>0</v>
      </c>
      <c r="M123" s="8" t="str">
        <f t="array" ref="M123">IF(L123&gt;5,"Perlu Pengendalian",IF(AND(L123&gt;=0,I123&gt;0),"Tidak Perlu Pengendalian","Belum Sensus"))</f>
        <v>Belum Sensus</v>
      </c>
      <c r="N123" s="143"/>
      <c r="O123" s="9">
        <f t="array" ref="O123">IFERROR(N123/I123*100,0)</f>
        <v>0</v>
      </c>
    </row>
    <row r="124" spans="1:15" outlineLevel="1" x14ac:dyDescent="0.15">
      <c r="A124" s="8" t="s">
        <v>1043</v>
      </c>
      <c r="B124" s="8">
        <v>1</v>
      </c>
      <c r="C124" s="8">
        <v>6</v>
      </c>
      <c r="D124" s="8" t="s">
        <v>1588</v>
      </c>
      <c r="E124" s="179">
        <v>33.65</v>
      </c>
      <c r="F124" s="8" t="s">
        <v>469</v>
      </c>
      <c r="G124" s="10">
        <v>4015</v>
      </c>
      <c r="H124" s="11"/>
      <c r="I124" s="143"/>
      <c r="J124" s="9">
        <f t="array" ref="J124">IFERROR(I124/G124*100,0)</f>
        <v>0</v>
      </c>
      <c r="K124" s="143"/>
      <c r="L124" s="9">
        <f t="shared" si="2"/>
        <v>0</v>
      </c>
      <c r="M124" s="8" t="str">
        <f t="array" ref="M124">IF(L124&gt;5,"Perlu Pengendalian",IF(AND(L124&gt;=0,I124&gt;0),"Tidak Perlu Pengendalian","Belum Sensus"))</f>
        <v>Belum Sensus</v>
      </c>
      <c r="N124" s="143"/>
      <c r="O124" s="9">
        <f t="array" ref="O124">IFERROR(N124/I124*100,0)</f>
        <v>0</v>
      </c>
    </row>
    <row r="125" spans="1:15" outlineLevel="1" x14ac:dyDescent="0.15">
      <c r="A125" s="8" t="s">
        <v>1043</v>
      </c>
      <c r="B125" s="8">
        <v>1</v>
      </c>
      <c r="C125" s="8">
        <v>6</v>
      </c>
      <c r="D125" s="8" t="s">
        <v>1589</v>
      </c>
      <c r="E125" s="179">
        <v>51.099999999999994</v>
      </c>
      <c r="F125" s="8" t="s">
        <v>469</v>
      </c>
      <c r="G125" s="10">
        <v>5701</v>
      </c>
      <c r="H125" s="11"/>
      <c r="I125" s="143"/>
      <c r="J125" s="9">
        <f t="array" ref="J125">IFERROR(I125/G125*100,0)</f>
        <v>0</v>
      </c>
      <c r="K125" s="143"/>
      <c r="L125" s="9">
        <f t="shared" si="2"/>
        <v>0</v>
      </c>
      <c r="M125" s="8" t="str">
        <f t="array" ref="M125">IF(L125&gt;5,"Perlu Pengendalian",IF(AND(L125&gt;=0,I125&gt;0),"Tidak Perlu Pengendalian","Belum Sensus"))</f>
        <v>Belum Sensus</v>
      </c>
      <c r="N125" s="143"/>
      <c r="O125" s="9">
        <f t="array" ref="O125">IFERROR(N125/I125*100,0)</f>
        <v>0</v>
      </c>
    </row>
    <row r="126" spans="1:15" outlineLevel="1" x14ac:dyDescent="0.15">
      <c r="A126" s="8" t="s">
        <v>1043</v>
      </c>
      <c r="B126" s="8">
        <v>1</v>
      </c>
      <c r="C126" s="8">
        <v>6</v>
      </c>
      <c r="D126" s="8" t="s">
        <v>1590</v>
      </c>
      <c r="E126" s="9">
        <v>33.35</v>
      </c>
      <c r="F126" s="8" t="s">
        <v>469</v>
      </c>
      <c r="G126" s="10">
        <v>4573</v>
      </c>
      <c r="H126" s="11"/>
      <c r="I126" s="143"/>
      <c r="J126" s="9">
        <f t="array" ref="J126">IFERROR(I126/G126*100,0)</f>
        <v>0</v>
      </c>
      <c r="K126" s="143"/>
      <c r="L126" s="9">
        <f t="shared" si="2"/>
        <v>0</v>
      </c>
      <c r="M126" s="8" t="str">
        <f t="array" ref="M126">IF(L126&gt;5,"Perlu Pengendalian",IF(AND(L126&gt;=0,I126&gt;0),"Tidak Perlu Pengendalian","Belum Sensus"))</f>
        <v>Belum Sensus</v>
      </c>
      <c r="N126" s="143"/>
      <c r="O126" s="9">
        <f t="array" ref="O126">IFERROR(N126/I126*100,0)</f>
        <v>0</v>
      </c>
    </row>
    <row r="127" spans="1:15" outlineLevel="1" x14ac:dyDescent="0.15">
      <c r="A127" s="8" t="s">
        <v>1043</v>
      </c>
      <c r="B127" s="8">
        <v>1</v>
      </c>
      <c r="C127" s="8">
        <v>6</v>
      </c>
      <c r="D127" s="8" t="s">
        <v>1591</v>
      </c>
      <c r="E127" s="9">
        <v>41.830000000000005</v>
      </c>
      <c r="F127" s="8" t="s">
        <v>469</v>
      </c>
      <c r="G127" s="10">
        <v>5953</v>
      </c>
      <c r="H127" s="11"/>
      <c r="I127" s="143"/>
      <c r="J127" s="9">
        <f t="array" ref="J127">IFERROR(I127/G127*100,0)</f>
        <v>0</v>
      </c>
      <c r="K127" s="143"/>
      <c r="L127" s="9">
        <f t="shared" si="2"/>
        <v>0</v>
      </c>
      <c r="M127" s="8" t="str">
        <f t="array" ref="M127">IF(L127&gt;5,"Perlu Pengendalian",IF(AND(L127&gt;=0,I127&gt;0),"Tidak Perlu Pengendalian","Belum Sensus"))</f>
        <v>Belum Sensus</v>
      </c>
      <c r="N127" s="143"/>
      <c r="O127" s="9">
        <f t="array" ref="O127">IFERROR(N127/I127*100,0)</f>
        <v>0</v>
      </c>
    </row>
    <row r="128" spans="1:15" outlineLevel="1" x14ac:dyDescent="0.15">
      <c r="A128" s="8" t="s">
        <v>1043</v>
      </c>
      <c r="B128" s="8">
        <v>1</v>
      </c>
      <c r="C128" s="8">
        <v>6</v>
      </c>
      <c r="D128" s="8" t="s">
        <v>1592</v>
      </c>
      <c r="E128" s="9">
        <v>27.45</v>
      </c>
      <c r="F128" s="8" t="s">
        <v>469</v>
      </c>
      <c r="G128" s="10">
        <v>3418</v>
      </c>
      <c r="H128" s="11"/>
      <c r="I128" s="143"/>
      <c r="J128" s="9">
        <f t="array" ref="J128">IFERROR(I128/G128*100,0)</f>
        <v>0</v>
      </c>
      <c r="K128" s="143"/>
      <c r="L128" s="9">
        <f t="shared" si="2"/>
        <v>0</v>
      </c>
      <c r="M128" s="8" t="str">
        <f t="array" ref="M128">IF(L128&gt;5,"Perlu Pengendalian",IF(AND(L128&gt;=0,I128&gt;0),"Tidak Perlu Pengendalian","Belum Sensus"))</f>
        <v>Belum Sensus</v>
      </c>
      <c r="N128" s="143"/>
      <c r="O128" s="9">
        <f t="array" ref="O128">IFERROR(N128/I128*100,0)</f>
        <v>0</v>
      </c>
    </row>
    <row r="129" spans="1:15" outlineLevel="1" x14ac:dyDescent="0.15">
      <c r="A129" s="8" t="s">
        <v>1043</v>
      </c>
      <c r="B129" s="8">
        <v>1</v>
      </c>
      <c r="C129" s="8">
        <v>6</v>
      </c>
      <c r="D129" s="8" t="s">
        <v>1593</v>
      </c>
      <c r="E129" s="179">
        <v>49.46</v>
      </c>
      <c r="F129" s="8" t="s">
        <v>469</v>
      </c>
      <c r="G129" s="10">
        <v>6945</v>
      </c>
      <c r="H129" s="11"/>
      <c r="I129" s="143"/>
      <c r="J129" s="9">
        <f t="array" ref="J129">IFERROR(I129/G129*100,0)</f>
        <v>0</v>
      </c>
      <c r="K129" s="143"/>
      <c r="L129" s="9">
        <f t="shared" si="2"/>
        <v>0</v>
      </c>
      <c r="M129" s="8" t="str">
        <f t="array" ref="M129">IF(L129&gt;5,"Perlu Pengendalian",IF(AND(L129&gt;=0,I129&gt;0),"Tidak Perlu Pengendalian","Belum Sensus"))</f>
        <v>Belum Sensus</v>
      </c>
      <c r="N129" s="143"/>
      <c r="O129" s="9">
        <f t="array" ref="O129">IFERROR(N129/I129*100,0)</f>
        <v>0</v>
      </c>
    </row>
    <row r="130" spans="1:15" outlineLevel="1" x14ac:dyDescent="0.15">
      <c r="A130" s="8" t="s">
        <v>1043</v>
      </c>
      <c r="B130" s="8">
        <v>1</v>
      </c>
      <c r="C130" s="8">
        <v>6</v>
      </c>
      <c r="D130" s="8" t="s">
        <v>1594</v>
      </c>
      <c r="E130" s="9">
        <v>40.07</v>
      </c>
      <c r="F130" s="8" t="s">
        <v>469</v>
      </c>
      <c r="G130" s="10">
        <v>5198</v>
      </c>
      <c r="H130" s="11"/>
      <c r="I130" s="143"/>
      <c r="J130" s="9">
        <f t="array" ref="J130">IFERROR(I130/G130*100,0)</f>
        <v>0</v>
      </c>
      <c r="K130" s="143"/>
      <c r="L130" s="9">
        <f t="shared" si="2"/>
        <v>0</v>
      </c>
      <c r="M130" s="8" t="str">
        <f t="array" ref="M130">IF(L130&gt;5,"Perlu Pengendalian",IF(AND(L130&gt;=0,I130&gt;0),"Tidak Perlu Pengendalian","Belum Sensus"))</f>
        <v>Belum Sensus</v>
      </c>
      <c r="N130" s="143"/>
      <c r="O130" s="9">
        <f t="array" ref="O130">IFERROR(N130/I130*100,0)</f>
        <v>0</v>
      </c>
    </row>
    <row r="131" spans="1:15" outlineLevel="1" x14ac:dyDescent="0.15">
      <c r="A131" s="8" t="s">
        <v>1043</v>
      </c>
      <c r="B131" s="8">
        <v>2</v>
      </c>
      <c r="C131" s="8">
        <v>7</v>
      </c>
      <c r="D131" s="8" t="s">
        <v>1595</v>
      </c>
      <c r="E131" s="180">
        <v>37.07</v>
      </c>
      <c r="F131" s="8" t="s">
        <v>469</v>
      </c>
      <c r="G131" s="10">
        <v>4400</v>
      </c>
      <c r="H131" s="11"/>
      <c r="I131" s="143"/>
      <c r="J131" s="9">
        <f t="array" ref="J131">IFERROR(I131/G131*100,0)</f>
        <v>0</v>
      </c>
      <c r="K131" s="143"/>
      <c r="L131" s="9">
        <f t="shared" si="2"/>
        <v>0</v>
      </c>
      <c r="M131" s="8" t="str">
        <f t="array" ref="M131">IF(L131&gt;5,"Perlu Pengendalian",IF(AND(L131&gt;=0,I131&gt;0),"Tidak Perlu Pengendalian","Belum Sensus"))</f>
        <v>Belum Sensus</v>
      </c>
      <c r="N131" s="143"/>
      <c r="O131" s="9">
        <f t="array" ref="O131">IFERROR(N131/I131*100,0)</f>
        <v>0</v>
      </c>
    </row>
    <row r="132" spans="1:15" outlineLevel="1" x14ac:dyDescent="0.15">
      <c r="A132" s="8" t="s">
        <v>1043</v>
      </c>
      <c r="B132" s="8">
        <v>2</v>
      </c>
      <c r="C132" s="8">
        <v>7</v>
      </c>
      <c r="D132" s="8" t="s">
        <v>1596</v>
      </c>
      <c r="E132" s="180">
        <v>40.840000000000003</v>
      </c>
      <c r="F132" s="8" t="s">
        <v>469</v>
      </c>
      <c r="G132" s="10">
        <v>4775</v>
      </c>
      <c r="H132" s="11"/>
      <c r="I132" s="143"/>
      <c r="J132" s="9">
        <f t="array" ref="J132">IFERROR(I132/G132*100,0)</f>
        <v>0</v>
      </c>
      <c r="K132" s="143"/>
      <c r="L132" s="9">
        <f t="shared" si="2"/>
        <v>0</v>
      </c>
      <c r="M132" s="8" t="str">
        <f t="array" ref="M132">IF(L132&gt;5,"Perlu Pengendalian",IF(AND(L132&gt;=0,I132&gt;0),"Tidak Perlu Pengendalian","Belum Sensus"))</f>
        <v>Belum Sensus</v>
      </c>
      <c r="N132" s="143"/>
      <c r="O132" s="9">
        <f t="array" ref="O132">IFERROR(N132/I132*100,0)</f>
        <v>0</v>
      </c>
    </row>
    <row r="133" spans="1:15" outlineLevel="1" x14ac:dyDescent="0.15">
      <c r="A133" s="8" t="s">
        <v>1043</v>
      </c>
      <c r="B133" s="8">
        <v>2</v>
      </c>
      <c r="C133" s="8">
        <v>7</v>
      </c>
      <c r="D133" s="8" t="s">
        <v>1597</v>
      </c>
      <c r="E133" s="9">
        <v>24.11</v>
      </c>
      <c r="F133" s="8" t="s">
        <v>469</v>
      </c>
      <c r="G133" s="10">
        <v>3379</v>
      </c>
      <c r="H133" s="11"/>
      <c r="I133" s="143"/>
      <c r="J133" s="9">
        <f t="array" ref="J133">IFERROR(I133/G133*100,0)</f>
        <v>0</v>
      </c>
      <c r="K133" s="143"/>
      <c r="L133" s="9">
        <f t="shared" si="2"/>
        <v>0</v>
      </c>
      <c r="M133" s="8" t="str">
        <f t="array" ref="M133">IF(L133&gt;5,"Perlu Pengendalian",IF(AND(L133&gt;=0,I133&gt;0),"Tidak Perlu Pengendalian","Belum Sensus"))</f>
        <v>Belum Sensus</v>
      </c>
      <c r="N133" s="143"/>
      <c r="O133" s="9">
        <f t="array" ref="O133">IFERROR(N133/I133*100,0)</f>
        <v>0</v>
      </c>
    </row>
    <row r="134" spans="1:15" outlineLevel="1" x14ac:dyDescent="0.15">
      <c r="A134" s="8" t="s">
        <v>1043</v>
      </c>
      <c r="B134" s="8">
        <v>2</v>
      </c>
      <c r="C134" s="8">
        <v>7</v>
      </c>
      <c r="D134" s="8" t="s">
        <v>1598</v>
      </c>
      <c r="E134" s="179">
        <v>26.9</v>
      </c>
      <c r="F134" s="8" t="s">
        <v>469</v>
      </c>
      <c r="G134" s="10">
        <v>4037</v>
      </c>
      <c r="H134" s="11"/>
      <c r="I134" s="143"/>
      <c r="J134" s="9">
        <f t="array" ref="J134">IFERROR(I134/G134*100,0)</f>
        <v>0</v>
      </c>
      <c r="K134" s="143"/>
      <c r="L134" s="9">
        <f t="shared" si="2"/>
        <v>0</v>
      </c>
      <c r="M134" s="8" t="str">
        <f t="array" ref="M134">IF(L134&gt;5,"Perlu Pengendalian",IF(AND(L134&gt;=0,I134&gt;0),"Tidak Perlu Pengendalian","Belum Sensus"))</f>
        <v>Belum Sensus</v>
      </c>
      <c r="N134" s="143"/>
      <c r="O134" s="9">
        <f t="array" ref="O134">IFERROR(N134/I134*100,0)</f>
        <v>0</v>
      </c>
    </row>
    <row r="135" spans="1:15" outlineLevel="1" x14ac:dyDescent="0.15">
      <c r="A135" s="8" t="s">
        <v>1043</v>
      </c>
      <c r="B135" s="8">
        <v>2</v>
      </c>
      <c r="C135" s="8">
        <v>7</v>
      </c>
      <c r="D135" s="8" t="s">
        <v>1599</v>
      </c>
      <c r="E135" s="179">
        <v>29.89</v>
      </c>
      <c r="F135" s="8" t="s">
        <v>469</v>
      </c>
      <c r="G135" s="10">
        <v>2308</v>
      </c>
      <c r="H135" s="11"/>
      <c r="I135" s="143"/>
      <c r="J135" s="9">
        <f t="array" ref="J135">IFERROR(I135/G135*100,0)</f>
        <v>0</v>
      </c>
      <c r="K135" s="143"/>
      <c r="L135" s="9">
        <f t="shared" ref="L135:L198" si="3">IFERROR(K135/I135*100,0)</f>
        <v>0</v>
      </c>
      <c r="M135" s="8" t="str">
        <f t="array" ref="M135">IF(L135&gt;5,"Perlu Pengendalian",IF(AND(L135&gt;=0,I135&gt;0),"Tidak Perlu Pengendalian","Belum Sensus"))</f>
        <v>Belum Sensus</v>
      </c>
      <c r="N135" s="143"/>
      <c r="O135" s="9">
        <f t="array" ref="O135">IFERROR(N135/I135*100,0)</f>
        <v>0</v>
      </c>
    </row>
    <row r="136" spans="1:15" outlineLevel="1" x14ac:dyDescent="0.15">
      <c r="A136" s="8" t="s">
        <v>1043</v>
      </c>
      <c r="B136" s="8">
        <v>2</v>
      </c>
      <c r="C136" s="8">
        <v>7</v>
      </c>
      <c r="D136" s="8" t="s">
        <v>1600</v>
      </c>
      <c r="E136" s="9">
        <v>34.980000000000004</v>
      </c>
      <c r="F136" s="8" t="s">
        <v>469</v>
      </c>
      <c r="G136" s="10">
        <v>3353</v>
      </c>
      <c r="H136" s="11"/>
      <c r="I136" s="143"/>
      <c r="J136" s="9">
        <f t="array" ref="J136">IFERROR(I136/G136*100,0)</f>
        <v>0</v>
      </c>
      <c r="K136" s="143"/>
      <c r="L136" s="9">
        <f t="shared" si="3"/>
        <v>0</v>
      </c>
      <c r="M136" s="8" t="str">
        <f t="array" ref="M136">IF(L136&gt;5,"Perlu Pengendalian",IF(AND(L136&gt;=0,I136&gt;0),"Tidak Perlu Pengendalian","Belum Sensus"))</f>
        <v>Belum Sensus</v>
      </c>
      <c r="N136" s="143"/>
      <c r="O136" s="9">
        <f t="array" ref="O136">IFERROR(N136/I136*100,0)</f>
        <v>0</v>
      </c>
    </row>
    <row r="137" spans="1:15" outlineLevel="1" x14ac:dyDescent="0.15">
      <c r="A137" s="8" t="s">
        <v>1043</v>
      </c>
      <c r="B137" s="8">
        <v>2</v>
      </c>
      <c r="C137" s="8">
        <v>7</v>
      </c>
      <c r="D137" s="8" t="s">
        <v>1601</v>
      </c>
      <c r="E137" s="179">
        <v>45.150000000000006</v>
      </c>
      <c r="F137" s="8" t="s">
        <v>469</v>
      </c>
      <c r="G137" s="10">
        <v>5711</v>
      </c>
      <c r="H137" s="11"/>
      <c r="I137" s="143"/>
      <c r="J137" s="9">
        <f t="array" ref="J137">IFERROR(I137/G137*100,0)</f>
        <v>0</v>
      </c>
      <c r="K137" s="143"/>
      <c r="L137" s="9">
        <f t="shared" si="3"/>
        <v>0</v>
      </c>
      <c r="M137" s="8" t="str">
        <f t="array" ref="M137">IF(L137&gt;5,"Perlu Pengendalian",IF(AND(L137&gt;=0,I137&gt;0),"Tidak Perlu Pengendalian","Belum Sensus"))</f>
        <v>Belum Sensus</v>
      </c>
      <c r="N137" s="143"/>
      <c r="O137" s="9">
        <f t="array" ref="O137">IFERROR(N137/I137*100,0)</f>
        <v>0</v>
      </c>
    </row>
    <row r="138" spans="1:15" outlineLevel="1" x14ac:dyDescent="0.15">
      <c r="A138" s="8" t="s">
        <v>1043</v>
      </c>
      <c r="B138" s="8">
        <v>2</v>
      </c>
      <c r="C138" s="8">
        <v>7</v>
      </c>
      <c r="D138" s="8" t="s">
        <v>1602</v>
      </c>
      <c r="E138" s="9">
        <v>30.25</v>
      </c>
      <c r="F138" s="8" t="s">
        <v>469</v>
      </c>
      <c r="G138" s="10">
        <v>3289</v>
      </c>
      <c r="H138" s="11"/>
      <c r="I138" s="143"/>
      <c r="J138" s="9">
        <f t="array" ref="J138">IFERROR(I138/G138*100,0)</f>
        <v>0</v>
      </c>
      <c r="K138" s="143"/>
      <c r="L138" s="9">
        <f t="shared" si="3"/>
        <v>0</v>
      </c>
      <c r="M138" s="8" t="str">
        <f t="array" ref="M138">IF(L138&gt;5,"Perlu Pengendalian",IF(AND(L138&gt;=0,I138&gt;0),"Tidak Perlu Pengendalian","Belum Sensus"))</f>
        <v>Belum Sensus</v>
      </c>
      <c r="N138" s="143"/>
      <c r="O138" s="9">
        <f t="array" ref="O138">IFERROR(N138/I138*100,0)</f>
        <v>0</v>
      </c>
    </row>
    <row r="139" spans="1:15" outlineLevel="1" x14ac:dyDescent="0.15">
      <c r="A139" s="8" t="s">
        <v>1043</v>
      </c>
      <c r="B139" s="8">
        <v>2</v>
      </c>
      <c r="C139" s="8">
        <v>7</v>
      </c>
      <c r="D139" s="8" t="s">
        <v>1603</v>
      </c>
      <c r="E139" s="179">
        <v>33.270000000000003</v>
      </c>
      <c r="F139" s="8" t="s">
        <v>469</v>
      </c>
      <c r="G139" s="10">
        <v>3196</v>
      </c>
      <c r="H139" s="11"/>
      <c r="I139" s="143"/>
      <c r="J139" s="9">
        <f t="array" ref="J139">IFERROR(I139/G139*100,0)</f>
        <v>0</v>
      </c>
      <c r="K139" s="143"/>
      <c r="L139" s="9">
        <f t="shared" si="3"/>
        <v>0</v>
      </c>
      <c r="M139" s="8" t="str">
        <f t="array" ref="M139">IF(L139&gt;5,"Perlu Pengendalian",IF(AND(L139&gt;=0,I139&gt;0),"Tidak Perlu Pengendalian","Belum Sensus"))</f>
        <v>Belum Sensus</v>
      </c>
      <c r="N139" s="143"/>
      <c r="O139" s="9">
        <f t="array" ref="O139">IFERROR(N139/I139*100,0)</f>
        <v>0</v>
      </c>
    </row>
    <row r="140" spans="1:15" outlineLevel="1" x14ac:dyDescent="0.15">
      <c r="A140" s="8" t="s">
        <v>1043</v>
      </c>
      <c r="B140" s="8">
        <v>2</v>
      </c>
      <c r="C140" s="8">
        <v>7</v>
      </c>
      <c r="D140" s="8" t="s">
        <v>1604</v>
      </c>
      <c r="E140" s="9">
        <v>37.07</v>
      </c>
      <c r="F140" s="8" t="s">
        <v>469</v>
      </c>
      <c r="G140" s="10">
        <v>4815</v>
      </c>
      <c r="H140" s="11"/>
      <c r="I140" s="143"/>
      <c r="J140" s="9">
        <f t="array" ref="J140">IFERROR(I140/G140*100,0)</f>
        <v>0</v>
      </c>
      <c r="K140" s="143"/>
      <c r="L140" s="9">
        <f t="shared" si="3"/>
        <v>0</v>
      </c>
      <c r="M140" s="8" t="str">
        <f t="array" ref="M140">IF(L140&gt;5,"Perlu Pengendalian",IF(AND(L140&gt;=0,I140&gt;0),"Tidak Perlu Pengendalian","Belum Sensus"))</f>
        <v>Belum Sensus</v>
      </c>
      <c r="N140" s="143"/>
      <c r="O140" s="9">
        <f t="array" ref="O140">IFERROR(N140/I140*100,0)</f>
        <v>0</v>
      </c>
    </row>
    <row r="141" spans="1:15" outlineLevel="1" x14ac:dyDescent="0.15">
      <c r="A141" s="8" t="s">
        <v>1043</v>
      </c>
      <c r="B141" s="8">
        <v>2</v>
      </c>
      <c r="C141" s="8">
        <v>7</v>
      </c>
      <c r="D141" s="8" t="s">
        <v>1605</v>
      </c>
      <c r="E141" s="9">
        <v>33.089999999999996</v>
      </c>
      <c r="F141" s="8" t="s">
        <v>469</v>
      </c>
      <c r="G141" s="10">
        <v>4091</v>
      </c>
      <c r="H141" s="11"/>
      <c r="I141" s="143"/>
      <c r="J141" s="9">
        <f t="array" ref="J141">IFERROR(I141/G141*100,0)</f>
        <v>0</v>
      </c>
      <c r="K141" s="143"/>
      <c r="L141" s="9">
        <f t="shared" si="3"/>
        <v>0</v>
      </c>
      <c r="M141" s="8" t="str">
        <f t="array" ref="M141">IF(L141&gt;5,"Perlu Pengendalian",IF(AND(L141&gt;=0,I141&gt;0),"Tidak Perlu Pengendalian","Belum Sensus"))</f>
        <v>Belum Sensus</v>
      </c>
      <c r="N141" s="143"/>
      <c r="O141" s="9">
        <f t="array" ref="O141">IFERROR(N141/I141*100,0)</f>
        <v>0</v>
      </c>
    </row>
    <row r="142" spans="1:15" outlineLevel="1" x14ac:dyDescent="0.15">
      <c r="A142" s="8" t="s">
        <v>1043</v>
      </c>
      <c r="B142" s="8">
        <v>2</v>
      </c>
      <c r="C142" s="8">
        <v>7</v>
      </c>
      <c r="D142" s="8" t="s">
        <v>1606</v>
      </c>
      <c r="E142" s="9">
        <v>30.16</v>
      </c>
      <c r="F142" s="8" t="s">
        <v>469</v>
      </c>
      <c r="G142" s="10">
        <v>2739</v>
      </c>
      <c r="H142" s="11"/>
      <c r="I142" s="143"/>
      <c r="J142" s="9">
        <f t="array" ref="J142">IFERROR(I142/G142*100,0)</f>
        <v>0</v>
      </c>
      <c r="K142" s="143"/>
      <c r="L142" s="9">
        <f t="shared" si="3"/>
        <v>0</v>
      </c>
      <c r="M142" s="8" t="str">
        <f t="array" ref="M142">IF(L142&gt;5,"Perlu Pengendalian",IF(AND(L142&gt;=0,I142&gt;0),"Tidak Perlu Pengendalian","Belum Sensus"))</f>
        <v>Belum Sensus</v>
      </c>
      <c r="N142" s="143"/>
      <c r="O142" s="9">
        <f t="array" ref="O142">IFERROR(N142/I142*100,0)</f>
        <v>0</v>
      </c>
    </row>
    <row r="143" spans="1:15" outlineLevel="1" x14ac:dyDescent="0.15">
      <c r="A143" s="8" t="s">
        <v>1043</v>
      </c>
      <c r="B143" s="8">
        <v>2</v>
      </c>
      <c r="C143" s="8">
        <v>7</v>
      </c>
      <c r="D143" s="8" t="s">
        <v>1607</v>
      </c>
      <c r="E143" s="179">
        <v>40.99</v>
      </c>
      <c r="F143" s="8" t="s">
        <v>469</v>
      </c>
      <c r="G143" s="10">
        <v>4075</v>
      </c>
      <c r="H143" s="11"/>
      <c r="I143" s="143"/>
      <c r="J143" s="9">
        <f t="array" ref="J143">IFERROR(I143/G143*100,0)</f>
        <v>0</v>
      </c>
      <c r="K143" s="143"/>
      <c r="L143" s="9">
        <f t="shared" si="3"/>
        <v>0</v>
      </c>
      <c r="M143" s="8" t="str">
        <f t="array" ref="M143">IF(L143&gt;5,"Perlu Pengendalian",IF(AND(L143&gt;=0,I143&gt;0),"Tidak Perlu Pengendalian","Belum Sensus"))</f>
        <v>Belum Sensus</v>
      </c>
      <c r="N143" s="143"/>
      <c r="O143" s="9">
        <f t="array" ref="O143">IFERROR(N143/I143*100,0)</f>
        <v>0</v>
      </c>
    </row>
    <row r="144" spans="1:15" outlineLevel="1" x14ac:dyDescent="0.15">
      <c r="A144" s="8" t="s">
        <v>1043</v>
      </c>
      <c r="B144" s="8">
        <v>2</v>
      </c>
      <c r="C144" s="8">
        <v>8</v>
      </c>
      <c r="D144" s="8" t="s">
        <v>1608</v>
      </c>
      <c r="E144" s="179">
        <v>22.27</v>
      </c>
      <c r="F144" s="8" t="s">
        <v>469</v>
      </c>
      <c r="G144" s="10">
        <v>879</v>
      </c>
      <c r="H144" s="11"/>
      <c r="I144" s="143"/>
      <c r="J144" s="9">
        <f t="array" ref="J144">IFERROR(I144/G144*100,0)</f>
        <v>0</v>
      </c>
      <c r="K144" s="143"/>
      <c r="L144" s="9">
        <f t="shared" si="3"/>
        <v>0</v>
      </c>
      <c r="M144" s="8" t="str">
        <f t="array" ref="M144">IF(L144&gt;5,"Perlu Pengendalian",IF(AND(L144&gt;=0,I144&gt;0),"Tidak Perlu Pengendalian","Belum Sensus"))</f>
        <v>Belum Sensus</v>
      </c>
      <c r="N144" s="143"/>
      <c r="O144" s="9">
        <f t="array" ref="O144">IFERROR(N144/I144*100,0)</f>
        <v>0</v>
      </c>
    </row>
    <row r="145" spans="1:15" outlineLevel="1" x14ac:dyDescent="0.15">
      <c r="A145" s="8" t="s">
        <v>1043</v>
      </c>
      <c r="B145" s="8">
        <v>2</v>
      </c>
      <c r="C145" s="8">
        <v>8</v>
      </c>
      <c r="D145" s="8" t="s">
        <v>1609</v>
      </c>
      <c r="E145" s="9">
        <v>24.55</v>
      </c>
      <c r="F145" s="8" t="s">
        <v>469</v>
      </c>
      <c r="G145" s="10">
        <v>970</v>
      </c>
      <c r="H145" s="11"/>
      <c r="I145" s="143"/>
      <c r="J145" s="9">
        <f t="array" ref="J145">IFERROR(I145/G145*100,0)</f>
        <v>0</v>
      </c>
      <c r="K145" s="143"/>
      <c r="L145" s="9">
        <f t="shared" si="3"/>
        <v>0</v>
      </c>
      <c r="M145" s="8" t="str">
        <f t="array" ref="M145">IF(L145&gt;5,"Perlu Pengendalian",IF(AND(L145&gt;=0,I145&gt;0),"Tidak Perlu Pengendalian","Belum Sensus"))</f>
        <v>Belum Sensus</v>
      </c>
      <c r="N145" s="143"/>
      <c r="O145" s="9">
        <f t="array" ref="O145">IFERROR(N145/I145*100,0)</f>
        <v>0</v>
      </c>
    </row>
    <row r="146" spans="1:15" outlineLevel="1" x14ac:dyDescent="0.15">
      <c r="A146" s="8" t="s">
        <v>1043</v>
      </c>
      <c r="B146" s="8">
        <v>2</v>
      </c>
      <c r="C146" s="8">
        <v>8</v>
      </c>
      <c r="D146" s="8" t="s">
        <v>1610</v>
      </c>
      <c r="E146" s="9">
        <v>32.700000000000003</v>
      </c>
      <c r="F146" s="8" t="s">
        <v>469</v>
      </c>
      <c r="G146" s="10">
        <v>2611</v>
      </c>
      <c r="H146" s="11"/>
      <c r="I146" s="143"/>
      <c r="J146" s="9">
        <f t="array" ref="J146">IFERROR(I146/G146*100,0)</f>
        <v>0</v>
      </c>
      <c r="K146" s="143"/>
      <c r="L146" s="9">
        <f t="shared" si="3"/>
        <v>0</v>
      </c>
      <c r="M146" s="8" t="str">
        <f t="array" ref="M146">IF(L146&gt;5,"Perlu Pengendalian",IF(AND(L146&gt;=0,I146&gt;0),"Tidak Perlu Pengendalian","Belum Sensus"))</f>
        <v>Belum Sensus</v>
      </c>
      <c r="N146" s="143"/>
      <c r="O146" s="9">
        <f t="array" ref="O146">IFERROR(N146/I146*100,0)</f>
        <v>0</v>
      </c>
    </row>
    <row r="147" spans="1:15" outlineLevel="1" x14ac:dyDescent="0.15">
      <c r="A147" s="8" t="s">
        <v>1043</v>
      </c>
      <c r="B147" s="8">
        <v>2</v>
      </c>
      <c r="C147" s="8">
        <v>8</v>
      </c>
      <c r="D147" s="8" t="s">
        <v>1611</v>
      </c>
      <c r="E147" s="9">
        <v>31.77</v>
      </c>
      <c r="F147" s="8" t="s">
        <v>469</v>
      </c>
      <c r="G147" s="10">
        <v>3266</v>
      </c>
      <c r="H147" s="11"/>
      <c r="I147" s="143"/>
      <c r="J147" s="9">
        <f t="array" ref="J147">IFERROR(I147/G147*100,0)</f>
        <v>0</v>
      </c>
      <c r="K147" s="143"/>
      <c r="L147" s="9">
        <f t="shared" si="3"/>
        <v>0</v>
      </c>
      <c r="M147" s="8" t="str">
        <f t="array" ref="M147">IF(L147&gt;5,"Perlu Pengendalian",IF(AND(L147&gt;=0,I147&gt;0),"Tidak Perlu Pengendalian","Belum Sensus"))</f>
        <v>Belum Sensus</v>
      </c>
      <c r="N147" s="143"/>
      <c r="O147" s="9">
        <f t="array" ref="O147">IFERROR(N147/I147*100,0)</f>
        <v>0</v>
      </c>
    </row>
    <row r="148" spans="1:15" outlineLevel="1" x14ac:dyDescent="0.15">
      <c r="A148" s="8" t="s">
        <v>1043</v>
      </c>
      <c r="B148" s="8">
        <v>2</v>
      </c>
      <c r="C148" s="8">
        <v>8</v>
      </c>
      <c r="D148" s="8" t="s">
        <v>1612</v>
      </c>
      <c r="E148" s="179">
        <v>45.570000000000007</v>
      </c>
      <c r="F148" s="8" t="s">
        <v>469</v>
      </c>
      <c r="G148" s="10">
        <v>5592</v>
      </c>
      <c r="H148" s="11"/>
      <c r="I148" s="143"/>
      <c r="J148" s="9">
        <f t="array" ref="J148">IFERROR(I148/G148*100,0)</f>
        <v>0</v>
      </c>
      <c r="K148" s="143"/>
      <c r="L148" s="9">
        <f t="shared" si="3"/>
        <v>0</v>
      </c>
      <c r="M148" s="8" t="str">
        <f t="array" ref="M148">IF(L148&gt;5,"Perlu Pengendalian",IF(AND(L148&gt;=0,I148&gt;0),"Tidak Perlu Pengendalian","Belum Sensus"))</f>
        <v>Belum Sensus</v>
      </c>
      <c r="N148" s="143"/>
      <c r="O148" s="9">
        <f t="array" ref="O148">IFERROR(N148/I148*100,0)</f>
        <v>0</v>
      </c>
    </row>
    <row r="149" spans="1:15" outlineLevel="1" x14ac:dyDescent="0.15">
      <c r="A149" s="8" t="s">
        <v>1043</v>
      </c>
      <c r="B149" s="8">
        <v>2</v>
      </c>
      <c r="C149" s="8">
        <v>8</v>
      </c>
      <c r="D149" s="8" t="s">
        <v>1613</v>
      </c>
      <c r="E149" s="9">
        <v>39.679999999999993</v>
      </c>
      <c r="F149" s="8" t="s">
        <v>469</v>
      </c>
      <c r="G149" s="10">
        <v>4928</v>
      </c>
      <c r="H149" s="11"/>
      <c r="I149" s="143"/>
      <c r="J149" s="9">
        <f t="array" ref="J149">IFERROR(I149/G149*100,0)</f>
        <v>0</v>
      </c>
      <c r="K149" s="143"/>
      <c r="L149" s="9">
        <f t="shared" si="3"/>
        <v>0</v>
      </c>
      <c r="M149" s="8" t="str">
        <f t="array" ref="M149">IF(L149&gt;5,"Perlu Pengendalian",IF(AND(L149&gt;=0,I149&gt;0),"Tidak Perlu Pengendalian","Belum Sensus"))</f>
        <v>Belum Sensus</v>
      </c>
      <c r="N149" s="143"/>
      <c r="O149" s="9">
        <f t="array" ref="O149">IFERROR(N149/I149*100,0)</f>
        <v>0</v>
      </c>
    </row>
    <row r="150" spans="1:15" outlineLevel="1" x14ac:dyDescent="0.15">
      <c r="A150" s="8" t="s">
        <v>1043</v>
      </c>
      <c r="B150" s="8">
        <v>2</v>
      </c>
      <c r="C150" s="8">
        <v>8</v>
      </c>
      <c r="D150" s="8" t="s">
        <v>1614</v>
      </c>
      <c r="E150" s="9">
        <v>51.71</v>
      </c>
      <c r="F150" s="8" t="s">
        <v>469</v>
      </c>
      <c r="G150" s="10">
        <v>6072</v>
      </c>
      <c r="H150" s="11"/>
      <c r="I150" s="143"/>
      <c r="J150" s="9">
        <f t="array" ref="J150">IFERROR(I150/G150*100,0)</f>
        <v>0</v>
      </c>
      <c r="K150" s="143"/>
      <c r="L150" s="9">
        <f t="shared" si="3"/>
        <v>0</v>
      </c>
      <c r="M150" s="8" t="str">
        <f t="array" ref="M150">IF(L150&gt;5,"Perlu Pengendalian",IF(AND(L150&gt;=0,I150&gt;0),"Tidak Perlu Pengendalian","Belum Sensus"))</f>
        <v>Belum Sensus</v>
      </c>
      <c r="N150" s="143"/>
      <c r="O150" s="9">
        <f t="array" ref="O150">IFERROR(N150/I150*100,0)</f>
        <v>0</v>
      </c>
    </row>
    <row r="151" spans="1:15" outlineLevel="1" x14ac:dyDescent="0.15">
      <c r="A151" s="8" t="s">
        <v>1043</v>
      </c>
      <c r="B151" s="8">
        <v>2</v>
      </c>
      <c r="C151" s="8">
        <v>8</v>
      </c>
      <c r="D151" s="8" t="s">
        <v>1615</v>
      </c>
      <c r="E151" s="9">
        <v>29.66</v>
      </c>
      <c r="F151" s="8" t="s">
        <v>469</v>
      </c>
      <c r="G151" s="10">
        <v>3490</v>
      </c>
      <c r="H151" s="11"/>
      <c r="I151" s="143"/>
      <c r="J151" s="9">
        <f t="array" ref="J151">IFERROR(I151/G151*100,0)</f>
        <v>0</v>
      </c>
      <c r="K151" s="143"/>
      <c r="L151" s="9">
        <f t="shared" si="3"/>
        <v>0</v>
      </c>
      <c r="M151" s="8" t="str">
        <f t="array" ref="M151">IF(L151&gt;5,"Perlu Pengendalian",IF(AND(L151&gt;=0,I151&gt;0),"Tidak Perlu Pengendalian","Belum Sensus"))</f>
        <v>Belum Sensus</v>
      </c>
      <c r="N151" s="143"/>
      <c r="O151" s="9">
        <f t="array" ref="O151">IFERROR(N151/I151*100,0)</f>
        <v>0</v>
      </c>
    </row>
    <row r="152" spans="1:15" outlineLevel="1" x14ac:dyDescent="0.15">
      <c r="A152" s="8" t="s">
        <v>1043</v>
      </c>
      <c r="B152" s="8">
        <v>2</v>
      </c>
      <c r="C152" s="8">
        <v>8</v>
      </c>
      <c r="D152" s="8" t="s">
        <v>1616</v>
      </c>
      <c r="E152" s="9">
        <v>34.909999999999997</v>
      </c>
      <c r="F152" s="8" t="s">
        <v>469</v>
      </c>
      <c r="G152" s="10">
        <v>3909</v>
      </c>
      <c r="H152" s="11"/>
      <c r="I152" s="143"/>
      <c r="J152" s="9">
        <f t="array" ref="J152">IFERROR(I152/G152*100,0)</f>
        <v>0</v>
      </c>
      <c r="K152" s="143"/>
      <c r="L152" s="9">
        <f t="shared" si="3"/>
        <v>0</v>
      </c>
      <c r="M152" s="8" t="str">
        <f t="array" ref="M152">IF(L152&gt;5,"Perlu Pengendalian",IF(AND(L152&gt;=0,I152&gt;0),"Tidak Perlu Pengendalian","Belum Sensus"))</f>
        <v>Belum Sensus</v>
      </c>
      <c r="N152" s="143"/>
      <c r="O152" s="9">
        <f t="array" ref="O152">IFERROR(N152/I152*100,0)</f>
        <v>0</v>
      </c>
    </row>
    <row r="153" spans="1:15" outlineLevel="1" x14ac:dyDescent="0.15">
      <c r="A153" s="8" t="s">
        <v>1043</v>
      </c>
      <c r="B153" s="8">
        <v>2</v>
      </c>
      <c r="C153" s="8">
        <v>8</v>
      </c>
      <c r="D153" s="8" t="s">
        <v>1617</v>
      </c>
      <c r="E153" s="9">
        <v>28.24</v>
      </c>
      <c r="F153" s="8" t="s">
        <v>469</v>
      </c>
      <c r="G153" s="10">
        <v>3268</v>
      </c>
      <c r="H153" s="11"/>
      <c r="I153" s="143"/>
      <c r="J153" s="9">
        <f t="array" ref="J153">IFERROR(I153/G153*100,0)</f>
        <v>0</v>
      </c>
      <c r="K153" s="143"/>
      <c r="L153" s="9">
        <f t="shared" si="3"/>
        <v>0</v>
      </c>
      <c r="M153" s="8" t="str">
        <f t="array" ref="M153">IF(L153&gt;5,"Perlu Pengendalian",IF(AND(L153&gt;=0,I153&gt;0),"Tidak Perlu Pengendalian","Belum Sensus"))</f>
        <v>Belum Sensus</v>
      </c>
      <c r="N153" s="143"/>
      <c r="O153" s="9">
        <f t="array" ref="O153">IFERROR(N153/I153*100,0)</f>
        <v>0</v>
      </c>
    </row>
    <row r="154" spans="1:15" outlineLevel="1" x14ac:dyDescent="0.15">
      <c r="A154" s="8" t="s">
        <v>1043</v>
      </c>
      <c r="B154" s="8">
        <v>2</v>
      </c>
      <c r="C154" s="8">
        <v>8</v>
      </c>
      <c r="D154" s="8" t="s">
        <v>1618</v>
      </c>
      <c r="E154" s="9">
        <v>26.54</v>
      </c>
      <c r="F154" s="8" t="s">
        <v>469</v>
      </c>
      <c r="G154" s="10">
        <v>3431</v>
      </c>
      <c r="H154" s="11"/>
      <c r="I154" s="143"/>
      <c r="J154" s="9">
        <f t="array" ref="J154">IFERROR(I154/G154*100,0)</f>
        <v>0</v>
      </c>
      <c r="K154" s="143"/>
      <c r="L154" s="9">
        <f t="shared" si="3"/>
        <v>0</v>
      </c>
      <c r="M154" s="8" t="str">
        <f t="array" ref="M154">IF(L154&gt;5,"Perlu Pengendalian",IF(AND(L154&gt;=0,I154&gt;0),"Tidak Perlu Pengendalian","Belum Sensus"))</f>
        <v>Belum Sensus</v>
      </c>
      <c r="N154" s="143"/>
      <c r="O154" s="9">
        <f t="array" ref="O154">IFERROR(N154/I154*100,0)</f>
        <v>0</v>
      </c>
    </row>
    <row r="155" spans="1:15" outlineLevel="1" x14ac:dyDescent="0.15">
      <c r="A155" s="8" t="s">
        <v>1043</v>
      </c>
      <c r="B155" s="8">
        <v>2</v>
      </c>
      <c r="C155" s="8">
        <v>8</v>
      </c>
      <c r="D155" s="8" t="s">
        <v>1619</v>
      </c>
      <c r="E155" s="9">
        <v>32.629999999999995</v>
      </c>
      <c r="F155" s="8" t="s">
        <v>469</v>
      </c>
      <c r="G155" s="10">
        <v>3191</v>
      </c>
      <c r="H155" s="11"/>
      <c r="I155" s="143"/>
      <c r="J155" s="9">
        <f t="array" ref="J155">IFERROR(I155/G155*100,0)</f>
        <v>0</v>
      </c>
      <c r="K155" s="143"/>
      <c r="L155" s="9">
        <f t="shared" si="3"/>
        <v>0</v>
      </c>
      <c r="M155" s="8" t="str">
        <f t="array" ref="M155">IF(L155&gt;5,"Perlu Pengendalian",IF(AND(L155&gt;=0,I155&gt;0),"Tidak Perlu Pengendalian","Belum Sensus"))</f>
        <v>Belum Sensus</v>
      </c>
      <c r="N155" s="143"/>
      <c r="O155" s="9">
        <f t="array" ref="O155">IFERROR(N155/I155*100,0)</f>
        <v>0</v>
      </c>
    </row>
    <row r="156" spans="1:15" outlineLevel="1" x14ac:dyDescent="0.15">
      <c r="A156" s="8" t="s">
        <v>1043</v>
      </c>
      <c r="B156" s="8">
        <v>2</v>
      </c>
      <c r="C156" s="8">
        <v>8</v>
      </c>
      <c r="D156" s="8" t="s">
        <v>1620</v>
      </c>
      <c r="E156" s="9">
        <v>29.270000000000003</v>
      </c>
      <c r="F156" s="8" t="s">
        <v>469</v>
      </c>
      <c r="G156" s="10">
        <v>4208</v>
      </c>
      <c r="H156" s="11"/>
      <c r="I156" s="143"/>
      <c r="J156" s="9">
        <f t="array" ref="J156">IFERROR(I156/G156*100,0)</f>
        <v>0</v>
      </c>
      <c r="K156" s="143"/>
      <c r="L156" s="9">
        <f t="shared" si="3"/>
        <v>0</v>
      </c>
      <c r="M156" s="8" t="str">
        <f t="array" ref="M156">IF(L156&gt;5,"Perlu Pengendalian",IF(AND(L156&gt;=0,I156&gt;0),"Tidak Perlu Pengendalian","Belum Sensus"))</f>
        <v>Belum Sensus</v>
      </c>
      <c r="N156" s="143"/>
      <c r="O156" s="9">
        <f t="array" ref="O156">IFERROR(N156/I156*100,0)</f>
        <v>0</v>
      </c>
    </row>
    <row r="157" spans="1:15" outlineLevel="1" x14ac:dyDescent="0.15">
      <c r="A157" s="8" t="s">
        <v>1043</v>
      </c>
      <c r="B157" s="8">
        <v>2</v>
      </c>
      <c r="C157" s="8">
        <v>8</v>
      </c>
      <c r="D157" s="8" t="s">
        <v>1621</v>
      </c>
      <c r="E157" s="9">
        <v>23.49</v>
      </c>
      <c r="F157" s="8" t="s">
        <v>469</v>
      </c>
      <c r="G157" s="10">
        <v>3298</v>
      </c>
      <c r="H157" s="11"/>
      <c r="I157" s="143"/>
      <c r="J157" s="9">
        <f t="array" ref="J157">IFERROR(I157/G157*100,0)</f>
        <v>0</v>
      </c>
      <c r="K157" s="143"/>
      <c r="L157" s="9">
        <f t="shared" si="3"/>
        <v>0</v>
      </c>
      <c r="M157" s="8" t="str">
        <f t="array" ref="M157">IF(L157&gt;5,"Perlu Pengendalian",IF(AND(L157&gt;=0,I157&gt;0),"Tidak Perlu Pengendalian","Belum Sensus"))</f>
        <v>Belum Sensus</v>
      </c>
      <c r="N157" s="143"/>
      <c r="O157" s="9">
        <f t="array" ref="O157">IFERROR(N157/I157*100,0)</f>
        <v>0</v>
      </c>
    </row>
    <row r="158" spans="1:15" outlineLevel="1" x14ac:dyDescent="0.15">
      <c r="A158" s="8" t="s">
        <v>1043</v>
      </c>
      <c r="B158" s="8">
        <v>2</v>
      </c>
      <c r="C158" s="8">
        <v>8</v>
      </c>
      <c r="D158" s="8" t="s">
        <v>1622</v>
      </c>
      <c r="E158" s="9">
        <v>23.06</v>
      </c>
      <c r="F158" s="8" t="s">
        <v>469</v>
      </c>
      <c r="G158" s="10">
        <v>2715</v>
      </c>
      <c r="H158" s="11"/>
      <c r="I158" s="143"/>
      <c r="J158" s="9">
        <f t="array" ref="J158">IFERROR(I158/G158*100,0)</f>
        <v>0</v>
      </c>
      <c r="K158" s="143"/>
      <c r="L158" s="9">
        <f t="shared" si="3"/>
        <v>0</v>
      </c>
      <c r="M158" s="8" t="str">
        <f t="array" ref="M158">IF(L158&gt;5,"Perlu Pengendalian",IF(AND(L158&gt;=0,I158&gt;0),"Tidak Perlu Pengendalian","Belum Sensus"))</f>
        <v>Belum Sensus</v>
      </c>
      <c r="N158" s="143"/>
      <c r="O158" s="9">
        <f t="array" ref="O158">IFERROR(N158/I158*100,0)</f>
        <v>0</v>
      </c>
    </row>
    <row r="159" spans="1:15" outlineLevel="1" x14ac:dyDescent="0.15">
      <c r="A159" s="8" t="s">
        <v>1043</v>
      </c>
      <c r="B159" s="8">
        <v>2</v>
      </c>
      <c r="C159" s="8">
        <v>8</v>
      </c>
      <c r="D159" s="8" t="s">
        <v>1623</v>
      </c>
      <c r="E159" s="179">
        <v>26.59</v>
      </c>
      <c r="F159" s="8" t="s">
        <v>469</v>
      </c>
      <c r="G159" s="10">
        <v>3452</v>
      </c>
      <c r="H159" s="11"/>
      <c r="I159" s="143"/>
      <c r="J159" s="9">
        <f t="array" ref="J159">IFERROR(I159/G159*100,0)</f>
        <v>0</v>
      </c>
      <c r="K159" s="143"/>
      <c r="L159" s="9">
        <f t="shared" si="3"/>
        <v>0</v>
      </c>
      <c r="M159" s="8" t="str">
        <f t="array" ref="M159">IF(L159&gt;5,"Perlu Pengendalian",IF(AND(L159&gt;=0,I159&gt;0),"Tidak Perlu Pengendalian","Belum Sensus"))</f>
        <v>Belum Sensus</v>
      </c>
      <c r="N159" s="143"/>
      <c r="O159" s="9">
        <f t="array" ref="O159">IFERROR(N159/I159*100,0)</f>
        <v>0</v>
      </c>
    </row>
    <row r="160" spans="1:15" outlineLevel="1" x14ac:dyDescent="0.15">
      <c r="A160" s="8" t="s">
        <v>1043</v>
      </c>
      <c r="B160" s="8">
        <v>2</v>
      </c>
      <c r="C160" s="8">
        <v>8</v>
      </c>
      <c r="D160" s="8" t="s">
        <v>1624</v>
      </c>
      <c r="E160" s="9">
        <v>46.609999999999992</v>
      </c>
      <c r="F160" s="8" t="s">
        <v>469</v>
      </c>
      <c r="G160" s="10">
        <v>5776</v>
      </c>
      <c r="H160" s="11"/>
      <c r="I160" s="143"/>
      <c r="J160" s="9">
        <f t="array" ref="J160">IFERROR(I160/G160*100,0)</f>
        <v>0</v>
      </c>
      <c r="K160" s="143"/>
      <c r="L160" s="9">
        <f t="shared" si="3"/>
        <v>0</v>
      </c>
      <c r="M160" s="8" t="str">
        <f t="array" ref="M160">IF(L160&gt;5,"Perlu Pengendalian",IF(AND(L160&gt;=0,I160&gt;0),"Tidak Perlu Pengendalian","Belum Sensus"))</f>
        <v>Belum Sensus</v>
      </c>
      <c r="N160" s="143"/>
      <c r="O160" s="9">
        <f t="array" ref="O160">IFERROR(N160/I160*100,0)</f>
        <v>0</v>
      </c>
    </row>
    <row r="161" spans="1:15" outlineLevel="1" x14ac:dyDescent="0.15">
      <c r="A161" s="8" t="s">
        <v>1043</v>
      </c>
      <c r="B161" s="8">
        <v>2</v>
      </c>
      <c r="C161" s="8">
        <v>8</v>
      </c>
      <c r="D161" s="8" t="s">
        <v>1625</v>
      </c>
      <c r="E161" s="9">
        <v>22.47</v>
      </c>
      <c r="F161" s="8" t="s">
        <v>469</v>
      </c>
      <c r="G161" s="10">
        <v>1933</v>
      </c>
      <c r="H161" s="11"/>
      <c r="I161" s="143"/>
      <c r="J161" s="9">
        <f t="array" ref="J161">IFERROR(I161/G161*100,0)</f>
        <v>0</v>
      </c>
      <c r="K161" s="143"/>
      <c r="L161" s="9">
        <f t="shared" si="3"/>
        <v>0</v>
      </c>
      <c r="M161" s="8" t="str">
        <f t="array" ref="M161">IF(L161&gt;5,"Perlu Pengendalian",IF(AND(L161&gt;=0,I161&gt;0),"Tidak Perlu Pengendalian","Belum Sensus"))</f>
        <v>Belum Sensus</v>
      </c>
      <c r="N161" s="143"/>
      <c r="O161" s="9">
        <f t="array" ref="O161">IFERROR(N161/I161*100,0)</f>
        <v>0</v>
      </c>
    </row>
    <row r="162" spans="1:15" outlineLevel="1" x14ac:dyDescent="0.15">
      <c r="A162" s="8" t="s">
        <v>1043</v>
      </c>
      <c r="B162" s="8">
        <v>2</v>
      </c>
      <c r="C162" s="8">
        <v>8</v>
      </c>
      <c r="D162" s="8" t="s">
        <v>1626</v>
      </c>
      <c r="E162" s="9">
        <v>31.290000000000003</v>
      </c>
      <c r="F162" s="8" t="s">
        <v>469</v>
      </c>
      <c r="G162" s="10">
        <v>2117</v>
      </c>
      <c r="H162" s="11"/>
      <c r="I162" s="143"/>
      <c r="J162" s="9">
        <f t="array" ref="J162">IFERROR(I162/G162*100,0)</f>
        <v>0</v>
      </c>
      <c r="K162" s="143"/>
      <c r="L162" s="9">
        <f t="shared" si="3"/>
        <v>0</v>
      </c>
      <c r="M162" s="8" t="str">
        <f t="array" ref="M162">IF(L162&gt;5,"Perlu Pengendalian",IF(AND(L162&gt;=0,I162&gt;0),"Tidak Perlu Pengendalian","Belum Sensus"))</f>
        <v>Belum Sensus</v>
      </c>
      <c r="N162" s="143"/>
      <c r="O162" s="9">
        <f t="array" ref="O162">IFERROR(N162/I162*100,0)</f>
        <v>0</v>
      </c>
    </row>
    <row r="163" spans="1:15" outlineLevel="1" x14ac:dyDescent="0.15">
      <c r="A163" s="8" t="s">
        <v>1043</v>
      </c>
      <c r="B163" s="8">
        <v>2</v>
      </c>
      <c r="C163" s="8">
        <v>9</v>
      </c>
      <c r="D163" s="8" t="s">
        <v>1627</v>
      </c>
      <c r="E163" s="9">
        <v>33.99</v>
      </c>
      <c r="F163" s="8" t="s">
        <v>469</v>
      </c>
      <c r="G163" s="10">
        <v>4927</v>
      </c>
      <c r="H163" s="11"/>
      <c r="I163" s="143"/>
      <c r="J163" s="9">
        <f t="array" ref="J163">IFERROR(I163/G163*100,0)</f>
        <v>0</v>
      </c>
      <c r="K163" s="143"/>
      <c r="L163" s="9">
        <f t="shared" si="3"/>
        <v>0</v>
      </c>
      <c r="M163" s="8" t="str">
        <f t="array" ref="M163">IF(L163&gt;5,"Perlu Pengendalian",IF(AND(L163&gt;=0,I163&gt;0),"Tidak Perlu Pengendalian","Belum Sensus"))</f>
        <v>Belum Sensus</v>
      </c>
      <c r="N163" s="143"/>
      <c r="O163" s="9">
        <f t="array" ref="O163">IFERROR(N163/I163*100,0)</f>
        <v>0</v>
      </c>
    </row>
    <row r="164" spans="1:15" outlineLevel="1" x14ac:dyDescent="0.15">
      <c r="A164" s="8" t="s">
        <v>1043</v>
      </c>
      <c r="B164" s="8">
        <v>2</v>
      </c>
      <c r="C164" s="8">
        <v>9</v>
      </c>
      <c r="D164" s="8" t="s">
        <v>1628</v>
      </c>
      <c r="E164" s="9">
        <v>27.54</v>
      </c>
      <c r="F164" s="8" t="s">
        <v>469</v>
      </c>
      <c r="G164" s="10">
        <v>3989</v>
      </c>
      <c r="H164" s="11"/>
      <c r="I164" s="143"/>
      <c r="J164" s="9">
        <f t="array" ref="J164">IFERROR(I164/G164*100,0)</f>
        <v>0</v>
      </c>
      <c r="K164" s="143"/>
      <c r="L164" s="9">
        <f t="shared" si="3"/>
        <v>0</v>
      </c>
      <c r="M164" s="8" t="str">
        <f t="array" ref="M164">IF(L164&gt;5,"Perlu Pengendalian",IF(AND(L164&gt;=0,I164&gt;0),"Tidak Perlu Pengendalian","Belum Sensus"))</f>
        <v>Belum Sensus</v>
      </c>
      <c r="N164" s="143"/>
      <c r="O164" s="9">
        <f t="array" ref="O164">IFERROR(N164/I164*100,0)</f>
        <v>0</v>
      </c>
    </row>
    <row r="165" spans="1:15" outlineLevel="1" x14ac:dyDescent="0.15">
      <c r="A165" s="8" t="s">
        <v>1043</v>
      </c>
      <c r="B165" s="8">
        <v>2</v>
      </c>
      <c r="C165" s="8">
        <v>9</v>
      </c>
      <c r="D165" s="8" t="s">
        <v>1629</v>
      </c>
      <c r="E165" s="9">
        <v>27.64</v>
      </c>
      <c r="F165" s="8" t="s">
        <v>469</v>
      </c>
      <c r="G165" s="10">
        <v>3833</v>
      </c>
      <c r="H165" s="11"/>
      <c r="I165" s="143"/>
      <c r="J165" s="9">
        <f t="array" ref="J165">IFERROR(I165/G165*100,0)</f>
        <v>0</v>
      </c>
      <c r="K165" s="143"/>
      <c r="L165" s="9">
        <f t="shared" si="3"/>
        <v>0</v>
      </c>
      <c r="M165" s="8" t="str">
        <f t="array" ref="M165">IF(L165&gt;5,"Perlu Pengendalian",IF(AND(L165&gt;=0,I165&gt;0),"Tidak Perlu Pengendalian","Belum Sensus"))</f>
        <v>Belum Sensus</v>
      </c>
      <c r="N165" s="143"/>
      <c r="O165" s="9">
        <f t="array" ref="O165">IFERROR(N165/I165*100,0)</f>
        <v>0</v>
      </c>
    </row>
    <row r="166" spans="1:15" outlineLevel="1" x14ac:dyDescent="0.15">
      <c r="A166" s="8" t="s">
        <v>1043</v>
      </c>
      <c r="B166" s="8">
        <v>2</v>
      </c>
      <c r="C166" s="8">
        <v>9</v>
      </c>
      <c r="D166" s="8" t="s">
        <v>1630</v>
      </c>
      <c r="E166" s="9">
        <v>24.62</v>
      </c>
      <c r="F166" s="8" t="s">
        <v>469</v>
      </c>
      <c r="G166" s="10">
        <v>3392</v>
      </c>
      <c r="H166" s="11"/>
      <c r="I166" s="143"/>
      <c r="J166" s="9">
        <f t="array" ref="J166">IFERROR(I166/G166*100,0)</f>
        <v>0</v>
      </c>
      <c r="K166" s="143"/>
      <c r="L166" s="9">
        <f t="shared" si="3"/>
        <v>0</v>
      </c>
      <c r="M166" s="8" t="str">
        <f t="array" ref="M166">IF(L166&gt;5,"Perlu Pengendalian",IF(AND(L166&gt;=0,I166&gt;0),"Tidak Perlu Pengendalian","Belum Sensus"))</f>
        <v>Belum Sensus</v>
      </c>
      <c r="N166" s="143"/>
      <c r="O166" s="9">
        <f t="array" ref="O166">IFERROR(N166/I166*100,0)</f>
        <v>0</v>
      </c>
    </row>
    <row r="167" spans="1:15" outlineLevel="1" x14ac:dyDescent="0.15">
      <c r="A167" s="8" t="s">
        <v>1043</v>
      </c>
      <c r="B167" s="8">
        <v>2</v>
      </c>
      <c r="C167" s="8">
        <v>9</v>
      </c>
      <c r="D167" s="8" t="s">
        <v>1631</v>
      </c>
      <c r="E167" s="179">
        <v>23.72</v>
      </c>
      <c r="F167" s="8" t="s">
        <v>469</v>
      </c>
      <c r="G167" s="10">
        <v>3211</v>
      </c>
      <c r="H167" s="11"/>
      <c r="I167" s="143"/>
      <c r="J167" s="9">
        <f t="array" ref="J167">IFERROR(I167/G167*100,0)</f>
        <v>0</v>
      </c>
      <c r="K167" s="143"/>
      <c r="L167" s="9">
        <f t="shared" si="3"/>
        <v>0</v>
      </c>
      <c r="M167" s="8" t="str">
        <f t="array" ref="M167">IF(L167&gt;5,"Perlu Pengendalian",IF(AND(L167&gt;=0,I167&gt;0),"Tidak Perlu Pengendalian","Belum Sensus"))</f>
        <v>Belum Sensus</v>
      </c>
      <c r="N167" s="143"/>
      <c r="O167" s="9">
        <f t="array" ref="O167">IFERROR(N167/I167*100,0)</f>
        <v>0</v>
      </c>
    </row>
    <row r="168" spans="1:15" outlineLevel="1" x14ac:dyDescent="0.15">
      <c r="A168" s="8" t="s">
        <v>1043</v>
      </c>
      <c r="B168" s="8">
        <v>2</v>
      </c>
      <c r="C168" s="8">
        <v>9</v>
      </c>
      <c r="D168" s="8" t="s">
        <v>1632</v>
      </c>
      <c r="E168" s="179">
        <v>27.24</v>
      </c>
      <c r="F168" s="8" t="s">
        <v>469</v>
      </c>
      <c r="G168" s="10">
        <v>3472</v>
      </c>
      <c r="H168" s="11"/>
      <c r="I168" s="143"/>
      <c r="J168" s="9">
        <f t="array" ref="J168">IFERROR(I168/G168*100,0)</f>
        <v>0</v>
      </c>
      <c r="K168" s="143"/>
      <c r="L168" s="9">
        <f t="shared" si="3"/>
        <v>0</v>
      </c>
      <c r="M168" s="8" t="str">
        <f t="array" ref="M168">IF(L168&gt;5,"Perlu Pengendalian",IF(AND(L168&gt;=0,I168&gt;0),"Tidak Perlu Pengendalian","Belum Sensus"))</f>
        <v>Belum Sensus</v>
      </c>
      <c r="N168" s="143"/>
      <c r="O168" s="9">
        <f t="array" ref="O168">IFERROR(N168/I168*100,0)</f>
        <v>0</v>
      </c>
    </row>
    <row r="169" spans="1:15" outlineLevel="1" x14ac:dyDescent="0.15">
      <c r="A169" s="8" t="s">
        <v>1043</v>
      </c>
      <c r="B169" s="8">
        <v>2</v>
      </c>
      <c r="C169" s="8">
        <v>9</v>
      </c>
      <c r="D169" s="8" t="s">
        <v>1633</v>
      </c>
      <c r="E169" s="179">
        <v>41.209999999999994</v>
      </c>
      <c r="F169" s="8" t="s">
        <v>469</v>
      </c>
      <c r="G169" s="10">
        <v>5739</v>
      </c>
      <c r="H169" s="11"/>
      <c r="I169" s="143"/>
      <c r="J169" s="9">
        <f t="array" ref="J169">IFERROR(I169/G169*100,0)</f>
        <v>0</v>
      </c>
      <c r="K169" s="143"/>
      <c r="L169" s="9">
        <f t="shared" si="3"/>
        <v>0</v>
      </c>
      <c r="M169" s="8" t="str">
        <f t="array" ref="M169">IF(L169&gt;5,"Perlu Pengendalian",IF(AND(L169&gt;=0,I169&gt;0),"Tidak Perlu Pengendalian","Belum Sensus"))</f>
        <v>Belum Sensus</v>
      </c>
      <c r="N169" s="143"/>
      <c r="O169" s="9">
        <f t="array" ref="O169">IFERROR(N169/I169*100,0)</f>
        <v>0</v>
      </c>
    </row>
    <row r="170" spans="1:15" outlineLevel="1" x14ac:dyDescent="0.15">
      <c r="A170" s="8" t="s">
        <v>1043</v>
      </c>
      <c r="B170" s="8">
        <v>2</v>
      </c>
      <c r="C170" s="8">
        <v>9</v>
      </c>
      <c r="D170" s="8" t="s">
        <v>1634</v>
      </c>
      <c r="E170" s="179">
        <v>30.340000000000003</v>
      </c>
      <c r="F170" s="8" t="s">
        <v>469</v>
      </c>
      <c r="G170" s="10">
        <v>4169</v>
      </c>
      <c r="H170" s="11"/>
      <c r="I170" s="143"/>
      <c r="J170" s="9">
        <f t="array" ref="J170">IFERROR(I170/G170*100,0)</f>
        <v>0</v>
      </c>
      <c r="K170" s="143"/>
      <c r="L170" s="9">
        <f t="shared" si="3"/>
        <v>0</v>
      </c>
      <c r="M170" s="8" t="str">
        <f t="array" ref="M170">IF(L170&gt;5,"Perlu Pengendalian",IF(AND(L170&gt;=0,I170&gt;0),"Tidak Perlu Pengendalian","Belum Sensus"))</f>
        <v>Belum Sensus</v>
      </c>
      <c r="N170" s="143"/>
      <c r="O170" s="9">
        <f t="array" ref="O170">IFERROR(N170/I170*100,0)</f>
        <v>0</v>
      </c>
    </row>
    <row r="171" spans="1:15" outlineLevel="1" x14ac:dyDescent="0.15">
      <c r="A171" s="8" t="s">
        <v>1043</v>
      </c>
      <c r="B171" s="8">
        <v>2</v>
      </c>
      <c r="C171" s="8">
        <v>9</v>
      </c>
      <c r="D171" s="8" t="s">
        <v>1635</v>
      </c>
      <c r="E171" s="9">
        <v>38.79</v>
      </c>
      <c r="F171" s="8" t="s">
        <v>469</v>
      </c>
      <c r="G171" s="10">
        <v>5375</v>
      </c>
      <c r="H171" s="11"/>
      <c r="I171" s="143"/>
      <c r="J171" s="9">
        <f t="array" ref="J171">IFERROR(I171/G171*100,0)</f>
        <v>0</v>
      </c>
      <c r="K171" s="143"/>
      <c r="L171" s="9">
        <f t="shared" si="3"/>
        <v>0</v>
      </c>
      <c r="M171" s="8" t="str">
        <f t="array" ref="M171">IF(L171&gt;5,"Perlu Pengendalian",IF(AND(L171&gt;=0,I171&gt;0),"Tidak Perlu Pengendalian","Belum Sensus"))</f>
        <v>Belum Sensus</v>
      </c>
      <c r="N171" s="143"/>
      <c r="O171" s="9">
        <f t="array" ref="O171">IFERROR(N171/I171*100,0)</f>
        <v>0</v>
      </c>
    </row>
    <row r="172" spans="1:15" outlineLevel="1" x14ac:dyDescent="0.15">
      <c r="A172" s="8" t="s">
        <v>1043</v>
      </c>
      <c r="B172" s="8">
        <v>2</v>
      </c>
      <c r="C172" s="8">
        <v>9</v>
      </c>
      <c r="D172" s="8" t="s">
        <v>1636</v>
      </c>
      <c r="E172" s="9">
        <v>21.619999999999997</v>
      </c>
      <c r="F172" s="8" t="s">
        <v>469</v>
      </c>
      <c r="G172" s="10">
        <v>1243</v>
      </c>
      <c r="H172" s="11"/>
      <c r="I172" s="143"/>
      <c r="J172" s="9">
        <f t="array" ref="J172">IFERROR(I172/G172*100,0)</f>
        <v>0</v>
      </c>
      <c r="K172" s="143"/>
      <c r="L172" s="9">
        <f t="shared" si="3"/>
        <v>0</v>
      </c>
      <c r="M172" s="8" t="str">
        <f t="array" ref="M172">IF(L172&gt;5,"Perlu Pengendalian",IF(AND(L172&gt;=0,I172&gt;0),"Tidak Perlu Pengendalian","Belum Sensus"))</f>
        <v>Belum Sensus</v>
      </c>
      <c r="N172" s="143"/>
      <c r="O172" s="9">
        <f t="array" ref="O172">IFERROR(N172/I172*100,0)</f>
        <v>0</v>
      </c>
    </row>
    <row r="173" spans="1:15" outlineLevel="1" x14ac:dyDescent="0.15">
      <c r="A173" s="8" t="s">
        <v>1043</v>
      </c>
      <c r="B173" s="8">
        <v>2</v>
      </c>
      <c r="C173" s="8">
        <v>9</v>
      </c>
      <c r="D173" s="8" t="s">
        <v>1637</v>
      </c>
      <c r="E173" s="9">
        <v>34.97</v>
      </c>
      <c r="F173" s="8" t="s">
        <v>469</v>
      </c>
      <c r="G173" s="10">
        <v>1418</v>
      </c>
      <c r="H173" s="11"/>
      <c r="I173" s="143"/>
      <c r="J173" s="9">
        <f t="array" ref="J173">IFERROR(I173/G173*100,0)</f>
        <v>0</v>
      </c>
      <c r="K173" s="143"/>
      <c r="L173" s="9">
        <f t="shared" si="3"/>
        <v>0</v>
      </c>
      <c r="M173" s="8" t="str">
        <f t="array" ref="M173">IF(L173&gt;5,"Perlu Pengendalian",IF(AND(L173&gt;=0,I173&gt;0),"Tidak Perlu Pengendalian","Belum Sensus"))</f>
        <v>Belum Sensus</v>
      </c>
      <c r="N173" s="143"/>
      <c r="O173" s="9">
        <f t="array" ref="O173">IFERROR(N173/I173*100,0)</f>
        <v>0</v>
      </c>
    </row>
    <row r="174" spans="1:15" outlineLevel="1" x14ac:dyDescent="0.15">
      <c r="A174" s="8" t="s">
        <v>1043</v>
      </c>
      <c r="B174" s="8">
        <v>2</v>
      </c>
      <c r="C174" s="8">
        <v>9</v>
      </c>
      <c r="D174" s="8" t="s">
        <v>1638</v>
      </c>
      <c r="E174" s="9">
        <v>45.81</v>
      </c>
      <c r="F174" s="8" t="s">
        <v>469</v>
      </c>
      <c r="G174" s="10">
        <v>6039</v>
      </c>
      <c r="H174" s="11"/>
      <c r="I174" s="143"/>
      <c r="J174" s="9">
        <f t="array" ref="J174">IFERROR(I174/G174*100,0)</f>
        <v>0</v>
      </c>
      <c r="K174" s="143"/>
      <c r="L174" s="9">
        <f t="shared" si="3"/>
        <v>0</v>
      </c>
      <c r="M174" s="8" t="str">
        <f t="array" ref="M174">IF(L174&gt;5,"Perlu Pengendalian",IF(AND(L174&gt;=0,I174&gt;0),"Tidak Perlu Pengendalian","Belum Sensus"))</f>
        <v>Belum Sensus</v>
      </c>
      <c r="N174" s="143"/>
      <c r="O174" s="9">
        <f t="array" ref="O174">IFERROR(N174/I174*100,0)</f>
        <v>0</v>
      </c>
    </row>
    <row r="175" spans="1:15" outlineLevel="1" x14ac:dyDescent="0.15">
      <c r="A175" s="8" t="s">
        <v>1043</v>
      </c>
      <c r="B175" s="8">
        <v>2</v>
      </c>
      <c r="C175" s="8">
        <v>9</v>
      </c>
      <c r="D175" s="8" t="s">
        <v>1639</v>
      </c>
      <c r="E175" s="179">
        <v>35.239999999999995</v>
      </c>
      <c r="F175" s="8" t="s">
        <v>469</v>
      </c>
      <c r="G175" s="10">
        <v>5027</v>
      </c>
      <c r="H175" s="11"/>
      <c r="I175" s="143"/>
      <c r="J175" s="9">
        <f t="array" ref="J175">IFERROR(I175/G175*100,0)</f>
        <v>0</v>
      </c>
      <c r="K175" s="143"/>
      <c r="L175" s="9">
        <f t="shared" si="3"/>
        <v>0</v>
      </c>
      <c r="M175" s="8" t="str">
        <f t="array" ref="M175">IF(L175&gt;5,"Perlu Pengendalian",IF(AND(L175&gt;=0,I175&gt;0),"Tidak Perlu Pengendalian","Belum Sensus"))</f>
        <v>Belum Sensus</v>
      </c>
      <c r="N175" s="143"/>
      <c r="O175" s="9">
        <f t="array" ref="O175">IFERROR(N175/I175*100,0)</f>
        <v>0</v>
      </c>
    </row>
    <row r="176" spans="1:15" outlineLevel="1" x14ac:dyDescent="0.15">
      <c r="A176" s="8" t="s">
        <v>1043</v>
      </c>
      <c r="B176" s="8">
        <v>2</v>
      </c>
      <c r="C176" s="8">
        <v>9</v>
      </c>
      <c r="D176" s="8" t="s">
        <v>1640</v>
      </c>
      <c r="E176" s="179">
        <v>26.170000000000005</v>
      </c>
      <c r="F176" s="8" t="s">
        <v>469</v>
      </c>
      <c r="G176" s="10">
        <v>3928</v>
      </c>
      <c r="H176" s="11"/>
      <c r="I176" s="143"/>
      <c r="J176" s="9">
        <f t="array" ref="J176">IFERROR(I176/G176*100,0)</f>
        <v>0</v>
      </c>
      <c r="K176" s="143"/>
      <c r="L176" s="9">
        <f t="shared" si="3"/>
        <v>0</v>
      </c>
      <c r="M176" s="8" t="str">
        <f t="array" ref="M176">IF(L176&gt;5,"Perlu Pengendalian",IF(AND(L176&gt;=0,I176&gt;0),"Tidak Perlu Pengendalian","Belum Sensus"))</f>
        <v>Belum Sensus</v>
      </c>
      <c r="N176" s="143"/>
      <c r="O176" s="9">
        <f t="array" ref="O176">IFERROR(N176/I176*100,0)</f>
        <v>0</v>
      </c>
    </row>
    <row r="177" spans="1:15" outlineLevel="1" x14ac:dyDescent="0.15">
      <c r="A177" s="8" t="s">
        <v>1043</v>
      </c>
      <c r="B177" s="8">
        <v>2</v>
      </c>
      <c r="C177" s="8">
        <v>9</v>
      </c>
      <c r="D177" s="8" t="s">
        <v>1641</v>
      </c>
      <c r="E177" s="179">
        <v>39.869999999999997</v>
      </c>
      <c r="F177" s="8" t="s">
        <v>469</v>
      </c>
      <c r="G177" s="10">
        <v>5076</v>
      </c>
      <c r="H177" s="11"/>
      <c r="I177" s="143"/>
      <c r="J177" s="9">
        <f t="array" ref="J177">IFERROR(I177/G177*100,0)</f>
        <v>0</v>
      </c>
      <c r="K177" s="143"/>
      <c r="L177" s="9">
        <f t="shared" si="3"/>
        <v>0</v>
      </c>
      <c r="M177" s="8" t="str">
        <f t="array" ref="M177">IF(L177&gt;5,"Perlu Pengendalian",IF(AND(L177&gt;=0,I177&gt;0),"Tidak Perlu Pengendalian","Belum Sensus"))</f>
        <v>Belum Sensus</v>
      </c>
      <c r="N177" s="143"/>
      <c r="O177" s="9">
        <f t="array" ref="O177">IFERROR(N177/I177*100,0)</f>
        <v>0</v>
      </c>
    </row>
    <row r="178" spans="1:15" outlineLevel="1" x14ac:dyDescent="0.15">
      <c r="A178" s="8" t="s">
        <v>1043</v>
      </c>
      <c r="B178" s="8">
        <v>2</v>
      </c>
      <c r="C178" s="8">
        <v>9</v>
      </c>
      <c r="D178" s="8" t="s">
        <v>1642</v>
      </c>
      <c r="E178" s="180">
        <v>47.36</v>
      </c>
      <c r="F178" s="8" t="s">
        <v>469</v>
      </c>
      <c r="G178" s="10">
        <v>6413</v>
      </c>
      <c r="H178" s="11"/>
      <c r="I178" s="143"/>
      <c r="J178" s="9">
        <f t="array" ref="J178">IFERROR(I178/G178*100,0)</f>
        <v>0</v>
      </c>
      <c r="K178" s="143"/>
      <c r="L178" s="9">
        <f t="shared" si="3"/>
        <v>0</v>
      </c>
      <c r="M178" s="8" t="str">
        <f t="array" ref="M178">IF(L178&gt;5,"Perlu Pengendalian",IF(AND(L178&gt;=0,I178&gt;0),"Tidak Perlu Pengendalian","Belum Sensus"))</f>
        <v>Belum Sensus</v>
      </c>
      <c r="N178" s="143"/>
      <c r="O178" s="9">
        <f t="array" ref="O178">IFERROR(N178/I178*100,0)</f>
        <v>0</v>
      </c>
    </row>
    <row r="179" spans="1:15" outlineLevel="1" x14ac:dyDescent="0.15">
      <c r="A179" s="8" t="s">
        <v>1043</v>
      </c>
      <c r="B179" s="8">
        <v>2</v>
      </c>
      <c r="C179" s="8">
        <v>9</v>
      </c>
      <c r="D179" s="8" t="s">
        <v>1643</v>
      </c>
      <c r="E179" s="179">
        <v>45.849999999999994</v>
      </c>
      <c r="F179" s="8" t="s">
        <v>469</v>
      </c>
      <c r="G179" s="10">
        <v>6233</v>
      </c>
      <c r="H179" s="11"/>
      <c r="I179" s="143"/>
      <c r="J179" s="9">
        <f t="array" ref="J179">IFERROR(I179/G179*100,0)</f>
        <v>0</v>
      </c>
      <c r="K179" s="143"/>
      <c r="L179" s="9">
        <f t="shared" si="3"/>
        <v>0</v>
      </c>
      <c r="M179" s="8" t="str">
        <f t="array" ref="M179">IF(L179&gt;5,"Perlu Pengendalian",IF(AND(L179&gt;=0,I179&gt;0),"Tidak Perlu Pengendalian","Belum Sensus"))</f>
        <v>Belum Sensus</v>
      </c>
      <c r="N179" s="143"/>
      <c r="O179" s="9">
        <f t="array" ref="O179">IFERROR(N179/I179*100,0)</f>
        <v>0</v>
      </c>
    </row>
    <row r="180" spans="1:15" outlineLevel="1" x14ac:dyDescent="0.15">
      <c r="A180" s="8" t="s">
        <v>1043</v>
      </c>
      <c r="B180" s="8">
        <v>2</v>
      </c>
      <c r="C180" s="8">
        <v>9</v>
      </c>
      <c r="D180" s="8" t="s">
        <v>1644</v>
      </c>
      <c r="E180" s="179">
        <v>32.980000000000004</v>
      </c>
      <c r="F180" s="8" t="s">
        <v>469</v>
      </c>
      <c r="G180" s="10">
        <v>4016</v>
      </c>
      <c r="H180" s="11"/>
      <c r="I180" s="11"/>
      <c r="J180" s="9">
        <f t="array" ref="J180">IFERROR(I180/G180*100,0)</f>
        <v>0</v>
      </c>
      <c r="K180" s="143"/>
      <c r="L180" s="9">
        <f t="shared" si="3"/>
        <v>0</v>
      </c>
      <c r="M180" s="8" t="str">
        <f t="array" ref="M180">IF(L180&gt;5,"Perlu Pengendalian",IF(AND(L180&gt;=0,I180&gt;0),"Tidak Perlu Pengendalian","Belum Sensus"))</f>
        <v>Belum Sensus</v>
      </c>
      <c r="N180" s="143"/>
      <c r="O180" s="9">
        <f t="array" ref="O180">IFERROR(N180/I180*100,0)</f>
        <v>0</v>
      </c>
    </row>
    <row r="181" spans="1:15" outlineLevel="1" x14ac:dyDescent="0.15">
      <c r="A181" s="8" t="s">
        <v>1043</v>
      </c>
      <c r="B181" s="8">
        <v>2</v>
      </c>
      <c r="C181" s="8">
        <v>10</v>
      </c>
      <c r="D181" s="8" t="s">
        <v>1645</v>
      </c>
      <c r="E181" s="9">
        <v>24.560000000000002</v>
      </c>
      <c r="F181" s="8" t="s">
        <v>469</v>
      </c>
      <c r="G181" s="10">
        <v>3331</v>
      </c>
      <c r="H181" s="11"/>
      <c r="I181" s="11"/>
      <c r="J181" s="9">
        <f t="array" ref="J181">IFERROR(I181/G181*100,0)</f>
        <v>0</v>
      </c>
      <c r="K181" s="143"/>
      <c r="L181" s="9">
        <f t="shared" si="3"/>
        <v>0</v>
      </c>
      <c r="M181" s="8" t="str">
        <f t="array" ref="M181">IF(L181&gt;5,"Perlu Pengendalian",IF(AND(L181&gt;=0,I181&gt;0),"Tidak Perlu Pengendalian","Belum Sensus"))</f>
        <v>Belum Sensus</v>
      </c>
      <c r="N181" s="143"/>
      <c r="O181" s="9">
        <f t="array" ref="O181">IFERROR(N181/I181*100,0)</f>
        <v>0</v>
      </c>
    </row>
    <row r="182" spans="1:15" outlineLevel="1" x14ac:dyDescent="0.15">
      <c r="A182" s="8" t="s">
        <v>1043</v>
      </c>
      <c r="B182" s="8">
        <v>2</v>
      </c>
      <c r="C182" s="8">
        <v>10</v>
      </c>
      <c r="D182" s="8" t="s">
        <v>1646</v>
      </c>
      <c r="E182" s="9">
        <v>51.669999999999995</v>
      </c>
      <c r="F182" s="8" t="s">
        <v>469</v>
      </c>
      <c r="G182" s="10">
        <v>7202</v>
      </c>
      <c r="H182" s="11"/>
      <c r="I182" s="11"/>
      <c r="J182" s="9">
        <f t="array" ref="J182">IFERROR(I182/G182*100,0)</f>
        <v>0</v>
      </c>
      <c r="K182" s="143"/>
      <c r="L182" s="9">
        <f t="shared" si="3"/>
        <v>0</v>
      </c>
      <c r="M182" s="8" t="str">
        <f t="array" ref="M182">IF(L182&gt;5,"Perlu Pengendalian",IF(AND(L182&gt;=0,I182&gt;0),"Tidak Perlu Pengendalian","Belum Sensus"))</f>
        <v>Belum Sensus</v>
      </c>
      <c r="N182" s="143"/>
      <c r="O182" s="9">
        <f t="array" ref="O182">IFERROR(N182/I182*100,0)</f>
        <v>0</v>
      </c>
    </row>
    <row r="183" spans="1:15" outlineLevel="1" x14ac:dyDescent="0.15">
      <c r="A183" s="8" t="s">
        <v>1043</v>
      </c>
      <c r="B183" s="8">
        <v>2</v>
      </c>
      <c r="C183" s="8">
        <v>10</v>
      </c>
      <c r="D183" s="8" t="s">
        <v>1647</v>
      </c>
      <c r="E183" s="9">
        <v>45.370000000000005</v>
      </c>
      <c r="F183" s="8" t="s">
        <v>469</v>
      </c>
      <c r="G183" s="10">
        <v>6526</v>
      </c>
      <c r="H183" s="11"/>
      <c r="I183" s="11"/>
      <c r="J183" s="9">
        <f t="array" ref="J183">IFERROR(I183/G183*100,0)</f>
        <v>0</v>
      </c>
      <c r="K183" s="143"/>
      <c r="L183" s="9">
        <f t="shared" si="3"/>
        <v>0</v>
      </c>
      <c r="M183" s="8" t="str">
        <f t="array" ref="M183">IF(L183&gt;5,"Perlu Pengendalian",IF(AND(L183&gt;=0,I183&gt;0),"Tidak Perlu Pengendalian","Belum Sensus"))</f>
        <v>Belum Sensus</v>
      </c>
      <c r="N183" s="143"/>
      <c r="O183" s="9">
        <f t="array" ref="O183">IFERROR(N183/I183*100,0)</f>
        <v>0</v>
      </c>
    </row>
    <row r="184" spans="1:15" outlineLevel="1" x14ac:dyDescent="0.15">
      <c r="A184" s="8" t="s">
        <v>1043</v>
      </c>
      <c r="B184" s="8">
        <v>2</v>
      </c>
      <c r="C184" s="8">
        <v>10</v>
      </c>
      <c r="D184" s="8" t="s">
        <v>1648</v>
      </c>
      <c r="E184" s="9">
        <v>25.56</v>
      </c>
      <c r="F184" s="8" t="s">
        <v>469</v>
      </c>
      <c r="G184" s="10">
        <v>3586</v>
      </c>
      <c r="H184" s="11"/>
      <c r="I184" s="11"/>
      <c r="J184" s="9">
        <f t="array" ref="J184">IFERROR(I184/G184*100,0)</f>
        <v>0</v>
      </c>
      <c r="K184" s="143"/>
      <c r="L184" s="9">
        <f t="shared" si="3"/>
        <v>0</v>
      </c>
      <c r="M184" s="8" t="str">
        <f t="array" ref="M184">IF(L184&gt;5,"Perlu Pengendalian",IF(AND(L184&gt;=0,I184&gt;0),"Tidak Perlu Pengendalian","Belum Sensus"))</f>
        <v>Belum Sensus</v>
      </c>
      <c r="N184" s="143"/>
      <c r="O184" s="9">
        <f t="array" ref="O184">IFERROR(N184/I184*100,0)</f>
        <v>0</v>
      </c>
    </row>
    <row r="185" spans="1:15" outlineLevel="1" x14ac:dyDescent="0.15">
      <c r="A185" s="8" t="s">
        <v>1043</v>
      </c>
      <c r="B185" s="8">
        <v>2</v>
      </c>
      <c r="C185" s="8">
        <v>10</v>
      </c>
      <c r="D185" s="8" t="s">
        <v>1649</v>
      </c>
      <c r="E185" s="9">
        <v>26.55</v>
      </c>
      <c r="F185" s="8" t="s">
        <v>469</v>
      </c>
      <c r="G185" s="10">
        <v>3758</v>
      </c>
      <c r="H185" s="11"/>
      <c r="I185" s="11"/>
      <c r="J185" s="9">
        <f t="array" ref="J185">IFERROR(I185/G185*100,0)</f>
        <v>0</v>
      </c>
      <c r="K185" s="143"/>
      <c r="L185" s="9">
        <f t="shared" si="3"/>
        <v>0</v>
      </c>
      <c r="M185" s="8" t="str">
        <f t="array" ref="M185">IF(L185&gt;5,"Perlu Pengendalian",IF(AND(L185&gt;=0,I185&gt;0),"Tidak Perlu Pengendalian","Belum Sensus"))</f>
        <v>Belum Sensus</v>
      </c>
      <c r="N185" s="143"/>
      <c r="O185" s="9">
        <f t="array" ref="O185">IFERROR(N185/I185*100,0)</f>
        <v>0</v>
      </c>
    </row>
    <row r="186" spans="1:15" outlineLevel="1" x14ac:dyDescent="0.15">
      <c r="A186" s="8" t="s">
        <v>1043</v>
      </c>
      <c r="B186" s="8">
        <v>2</v>
      </c>
      <c r="C186" s="8">
        <v>10</v>
      </c>
      <c r="D186" s="8" t="s">
        <v>1650</v>
      </c>
      <c r="E186" s="9">
        <v>24.83</v>
      </c>
      <c r="F186" s="8" t="s">
        <v>469</v>
      </c>
      <c r="G186" s="10">
        <v>3501</v>
      </c>
      <c r="H186" s="11"/>
      <c r="I186" s="11"/>
      <c r="J186" s="9">
        <f t="array" ref="J186">IFERROR(I186/G186*100,0)</f>
        <v>0</v>
      </c>
      <c r="K186" s="143"/>
      <c r="L186" s="9">
        <f t="shared" si="3"/>
        <v>0</v>
      </c>
      <c r="M186" s="8" t="str">
        <f t="array" ref="M186">IF(L186&gt;5,"Perlu Pengendalian",IF(AND(L186&gt;=0,I186&gt;0),"Tidak Perlu Pengendalian","Belum Sensus"))</f>
        <v>Belum Sensus</v>
      </c>
      <c r="N186" s="143"/>
      <c r="O186" s="9">
        <f t="array" ref="O186">IFERROR(N186/I186*100,0)</f>
        <v>0</v>
      </c>
    </row>
    <row r="187" spans="1:15" outlineLevel="1" x14ac:dyDescent="0.15">
      <c r="A187" s="8" t="s">
        <v>1043</v>
      </c>
      <c r="B187" s="8">
        <v>2</v>
      </c>
      <c r="C187" s="8">
        <v>10</v>
      </c>
      <c r="D187" s="8" t="s">
        <v>1651</v>
      </c>
      <c r="E187" s="9">
        <v>46</v>
      </c>
      <c r="F187" s="8" t="s">
        <v>469</v>
      </c>
      <c r="G187" s="10">
        <v>6298</v>
      </c>
      <c r="H187" s="11"/>
      <c r="I187" s="11"/>
      <c r="J187" s="9">
        <f t="array" ref="J187">IFERROR(I187/G187*100,0)</f>
        <v>0</v>
      </c>
      <c r="K187" s="143"/>
      <c r="L187" s="9">
        <f t="shared" si="3"/>
        <v>0</v>
      </c>
      <c r="M187" s="8" t="str">
        <f t="array" ref="M187">IF(L187&gt;5,"Perlu Pengendalian",IF(AND(L187&gt;=0,I187&gt;0),"Tidak Perlu Pengendalian","Belum Sensus"))</f>
        <v>Belum Sensus</v>
      </c>
      <c r="N187" s="143"/>
      <c r="O187" s="9">
        <f t="array" ref="O187">IFERROR(N187/I187*100,0)</f>
        <v>0</v>
      </c>
    </row>
    <row r="188" spans="1:15" outlineLevel="1" x14ac:dyDescent="0.15">
      <c r="A188" s="8" t="s">
        <v>1043</v>
      </c>
      <c r="B188" s="8">
        <v>2</v>
      </c>
      <c r="C188" s="8">
        <v>10</v>
      </c>
      <c r="D188" s="8" t="s">
        <v>1652</v>
      </c>
      <c r="E188" s="179">
        <v>41.5</v>
      </c>
      <c r="F188" s="8" t="s">
        <v>469</v>
      </c>
      <c r="G188" s="10">
        <v>5411</v>
      </c>
      <c r="H188" s="11"/>
      <c r="I188" s="11"/>
      <c r="J188" s="9">
        <f t="array" ref="J188">IFERROR(I188/G188*100,0)</f>
        <v>0</v>
      </c>
      <c r="K188" s="143"/>
      <c r="L188" s="9">
        <f t="shared" si="3"/>
        <v>0</v>
      </c>
      <c r="M188" s="8" t="str">
        <f t="array" ref="M188">IF(L188&gt;5,"Perlu Pengendalian",IF(AND(L188&gt;=0,I188&gt;0),"Tidak Perlu Pengendalian","Belum Sensus"))</f>
        <v>Belum Sensus</v>
      </c>
      <c r="N188" s="143"/>
      <c r="O188" s="9">
        <f t="array" ref="O188">IFERROR(N188/I188*100,0)</f>
        <v>0</v>
      </c>
    </row>
    <row r="189" spans="1:15" outlineLevel="1" x14ac:dyDescent="0.15">
      <c r="A189" s="8" t="s">
        <v>1043</v>
      </c>
      <c r="B189" s="8">
        <v>2</v>
      </c>
      <c r="C189" s="8">
        <v>10</v>
      </c>
      <c r="D189" s="8" t="s">
        <v>1653</v>
      </c>
      <c r="E189" s="9">
        <v>35.979999999999997</v>
      </c>
      <c r="F189" s="8" t="s">
        <v>469</v>
      </c>
      <c r="G189" s="10">
        <v>3106</v>
      </c>
      <c r="H189" s="11"/>
      <c r="I189" s="11"/>
      <c r="J189" s="9">
        <f t="array" ref="J189">IFERROR(I189/G189*100,0)</f>
        <v>0</v>
      </c>
      <c r="K189" s="143"/>
      <c r="L189" s="9">
        <f t="shared" si="3"/>
        <v>0</v>
      </c>
      <c r="M189" s="8" t="str">
        <f t="array" ref="M189">IF(L189&gt;5,"Perlu Pengendalian",IF(AND(L189&gt;=0,I189&gt;0),"Tidak Perlu Pengendalian","Belum Sensus"))</f>
        <v>Belum Sensus</v>
      </c>
      <c r="N189" s="143"/>
      <c r="O189" s="9">
        <f t="array" ref="O189">IFERROR(N189/I189*100,0)</f>
        <v>0</v>
      </c>
    </row>
    <row r="190" spans="1:15" outlineLevel="1" x14ac:dyDescent="0.15">
      <c r="A190" s="8" t="s">
        <v>1043</v>
      </c>
      <c r="B190" s="8">
        <v>2</v>
      </c>
      <c r="C190" s="8">
        <v>10</v>
      </c>
      <c r="D190" s="8" t="s">
        <v>1654</v>
      </c>
      <c r="E190" s="9">
        <v>24.859999999999996</v>
      </c>
      <c r="F190" s="8" t="s">
        <v>469</v>
      </c>
      <c r="G190" s="10">
        <v>2226</v>
      </c>
      <c r="H190" s="11"/>
      <c r="I190" s="11"/>
      <c r="J190" s="9">
        <f t="array" ref="J190">IFERROR(I190/G190*100,0)</f>
        <v>0</v>
      </c>
      <c r="K190" s="143"/>
      <c r="L190" s="9">
        <f t="shared" si="3"/>
        <v>0</v>
      </c>
      <c r="M190" s="8" t="str">
        <f t="array" ref="M190">IF(L190&gt;5,"Perlu Pengendalian",IF(AND(L190&gt;=0,I190&gt;0),"Tidak Perlu Pengendalian","Belum Sensus"))</f>
        <v>Belum Sensus</v>
      </c>
      <c r="N190" s="143"/>
      <c r="O190" s="9">
        <f t="array" ref="O190">IFERROR(N190/I190*100,0)</f>
        <v>0</v>
      </c>
    </row>
    <row r="191" spans="1:15" outlineLevel="1" x14ac:dyDescent="0.15">
      <c r="A191" s="8" t="s">
        <v>1043</v>
      </c>
      <c r="B191" s="8">
        <v>2</v>
      </c>
      <c r="C191" s="8">
        <v>10</v>
      </c>
      <c r="D191" s="8" t="s">
        <v>1655</v>
      </c>
      <c r="E191" s="9">
        <v>37.200000000000003</v>
      </c>
      <c r="F191" s="8" t="s">
        <v>469</v>
      </c>
      <c r="G191" s="10">
        <v>4181</v>
      </c>
      <c r="H191" s="11"/>
      <c r="I191" s="11"/>
      <c r="J191" s="9">
        <f t="array" ref="J191">IFERROR(I191/G191*100,0)</f>
        <v>0</v>
      </c>
      <c r="K191" s="143"/>
      <c r="L191" s="9">
        <f t="shared" si="3"/>
        <v>0</v>
      </c>
      <c r="M191" s="8" t="str">
        <f t="array" ref="M191">IF(L191&gt;5,"Perlu Pengendalian",IF(AND(L191&gt;=0,I191&gt;0),"Tidak Perlu Pengendalian","Belum Sensus"))</f>
        <v>Belum Sensus</v>
      </c>
      <c r="N191" s="143"/>
      <c r="O191" s="9">
        <f t="array" ref="O191">IFERROR(N191/I191*100,0)</f>
        <v>0</v>
      </c>
    </row>
    <row r="192" spans="1:15" outlineLevel="1" x14ac:dyDescent="0.15">
      <c r="A192" s="8" t="s">
        <v>1043</v>
      </c>
      <c r="B192" s="8">
        <v>2</v>
      </c>
      <c r="C192" s="8">
        <v>10</v>
      </c>
      <c r="D192" s="8" t="s">
        <v>1656</v>
      </c>
      <c r="E192" s="9">
        <v>30.75</v>
      </c>
      <c r="F192" s="8" t="s">
        <v>469</v>
      </c>
      <c r="G192" s="10">
        <v>3455</v>
      </c>
      <c r="H192" s="11"/>
      <c r="I192" s="11"/>
      <c r="J192" s="9">
        <f t="array" ref="J192">IFERROR(I192/G192*100,0)</f>
        <v>0</v>
      </c>
      <c r="K192" s="143"/>
      <c r="L192" s="9">
        <f t="shared" si="3"/>
        <v>0</v>
      </c>
      <c r="M192" s="8" t="str">
        <f t="array" ref="M192">IF(L192&gt;5,"Perlu Pengendalian",IF(AND(L192&gt;=0,I192&gt;0),"Tidak Perlu Pengendalian","Belum Sensus"))</f>
        <v>Belum Sensus</v>
      </c>
      <c r="N192" s="143"/>
      <c r="O192" s="9">
        <f t="array" ref="O192">IFERROR(N192/I192*100,0)</f>
        <v>0</v>
      </c>
    </row>
    <row r="193" spans="1:15" outlineLevel="1" x14ac:dyDescent="0.15">
      <c r="A193" s="8" t="s">
        <v>1043</v>
      </c>
      <c r="B193" s="8">
        <v>2</v>
      </c>
      <c r="C193" s="8">
        <v>10</v>
      </c>
      <c r="D193" s="8" t="s">
        <v>1657</v>
      </c>
      <c r="E193" s="9">
        <v>49.519999999999996</v>
      </c>
      <c r="F193" s="8" t="s">
        <v>469</v>
      </c>
      <c r="G193" s="10">
        <v>6556</v>
      </c>
      <c r="H193" s="11"/>
      <c r="I193" s="11"/>
      <c r="J193" s="9">
        <f t="array" ref="J193">IFERROR(I193/G193*100,0)</f>
        <v>0</v>
      </c>
      <c r="K193" s="143"/>
      <c r="L193" s="9">
        <f t="shared" si="3"/>
        <v>0</v>
      </c>
      <c r="M193" s="8" t="str">
        <f t="array" ref="M193">IF(L193&gt;5,"Perlu Pengendalian",IF(AND(L193&gt;=0,I193&gt;0),"Tidak Perlu Pengendalian","Belum Sensus"))</f>
        <v>Belum Sensus</v>
      </c>
      <c r="N193" s="143"/>
      <c r="O193" s="9">
        <f t="array" ref="O193">IFERROR(N193/I193*100,0)</f>
        <v>0</v>
      </c>
    </row>
    <row r="194" spans="1:15" outlineLevel="1" x14ac:dyDescent="0.15">
      <c r="A194" s="8" t="s">
        <v>1043</v>
      </c>
      <c r="B194" s="8">
        <v>2</v>
      </c>
      <c r="C194" s="8">
        <v>10</v>
      </c>
      <c r="D194" s="8" t="s">
        <v>1658</v>
      </c>
      <c r="E194" s="9">
        <v>49.38</v>
      </c>
      <c r="F194" s="8" t="s">
        <v>469</v>
      </c>
      <c r="G194" s="10">
        <v>5659</v>
      </c>
      <c r="H194" s="11"/>
      <c r="I194" s="11"/>
      <c r="J194" s="9">
        <f t="array" ref="J194">IFERROR(I194/G194*100,0)</f>
        <v>0</v>
      </c>
      <c r="K194" s="143"/>
      <c r="L194" s="9">
        <f t="shared" si="3"/>
        <v>0</v>
      </c>
      <c r="M194" s="8" t="str">
        <f t="array" ref="M194">IF(L194&gt;5,"Perlu Pengendalian",IF(AND(L194&gt;=0,I194&gt;0),"Tidak Perlu Pengendalian","Belum Sensus"))</f>
        <v>Belum Sensus</v>
      </c>
      <c r="N194" s="143"/>
      <c r="O194" s="9">
        <f t="array" ref="O194">IFERROR(N194/I194*100,0)</f>
        <v>0</v>
      </c>
    </row>
    <row r="195" spans="1:15" outlineLevel="1" x14ac:dyDescent="0.15">
      <c r="A195" s="8" t="s">
        <v>1043</v>
      </c>
      <c r="B195" s="8">
        <v>2</v>
      </c>
      <c r="C195" s="8">
        <v>11</v>
      </c>
      <c r="D195" s="8" t="s">
        <v>1659</v>
      </c>
      <c r="E195" s="179">
        <v>40.239999999999995</v>
      </c>
      <c r="F195" s="8" t="s">
        <v>469</v>
      </c>
      <c r="G195" s="10">
        <v>5537</v>
      </c>
      <c r="H195" s="11"/>
      <c r="I195" s="11"/>
      <c r="J195" s="9">
        <f t="array" ref="J195">IFERROR(I195/G195*100,0)</f>
        <v>0</v>
      </c>
      <c r="K195" s="143"/>
      <c r="L195" s="9">
        <f t="shared" si="3"/>
        <v>0</v>
      </c>
      <c r="M195" s="8" t="str">
        <f t="array" ref="M195">IF(L195&gt;5,"Perlu Pengendalian",IF(AND(L195&gt;=0,I195&gt;0),"Tidak Perlu Pengendalian","Belum Sensus"))</f>
        <v>Belum Sensus</v>
      </c>
      <c r="N195" s="143"/>
      <c r="O195" s="9">
        <f t="array" ref="O195">IFERROR(N195/I195*100,0)</f>
        <v>0</v>
      </c>
    </row>
    <row r="196" spans="1:15" outlineLevel="1" x14ac:dyDescent="0.15">
      <c r="A196" s="8" t="s">
        <v>1043</v>
      </c>
      <c r="B196" s="8">
        <v>2</v>
      </c>
      <c r="C196" s="8">
        <v>11</v>
      </c>
      <c r="D196" s="8" t="s">
        <v>1660</v>
      </c>
      <c r="E196" s="9">
        <v>24.02</v>
      </c>
      <c r="F196" s="8" t="s">
        <v>469</v>
      </c>
      <c r="G196" s="10">
        <v>3507</v>
      </c>
      <c r="H196" s="11"/>
      <c r="I196" s="11"/>
      <c r="J196" s="9">
        <f t="array" ref="J196">IFERROR(I196/G196*100,0)</f>
        <v>0</v>
      </c>
      <c r="K196" s="143"/>
      <c r="L196" s="9">
        <f t="shared" si="3"/>
        <v>0</v>
      </c>
      <c r="M196" s="8" t="str">
        <f t="array" ref="M196">IF(L196&gt;5,"Perlu Pengendalian",IF(AND(L196&gt;=0,I196&gt;0),"Tidak Perlu Pengendalian","Belum Sensus"))</f>
        <v>Belum Sensus</v>
      </c>
      <c r="N196" s="143"/>
      <c r="O196" s="9">
        <f t="array" ref="O196">IFERROR(N196/I196*100,0)</f>
        <v>0</v>
      </c>
    </row>
    <row r="197" spans="1:15" outlineLevel="1" x14ac:dyDescent="0.15">
      <c r="A197" s="8" t="s">
        <v>1043</v>
      </c>
      <c r="B197" s="8">
        <v>2</v>
      </c>
      <c r="C197" s="8">
        <v>11</v>
      </c>
      <c r="D197" s="8" t="s">
        <v>1661</v>
      </c>
      <c r="E197" s="9">
        <v>24.22</v>
      </c>
      <c r="F197" s="8" t="s">
        <v>469</v>
      </c>
      <c r="G197" s="10">
        <v>3666</v>
      </c>
      <c r="H197" s="11"/>
      <c r="I197" s="11"/>
      <c r="J197" s="9">
        <f t="array" ref="J197">IFERROR(I197/G197*100,0)</f>
        <v>0</v>
      </c>
      <c r="K197" s="143"/>
      <c r="L197" s="9">
        <f t="shared" si="3"/>
        <v>0</v>
      </c>
      <c r="M197" s="8" t="str">
        <f t="array" ref="M197">IF(L197&gt;5,"Perlu Pengendalian",IF(AND(L197&gt;=0,I197&gt;0),"Tidak Perlu Pengendalian","Belum Sensus"))</f>
        <v>Belum Sensus</v>
      </c>
      <c r="N197" s="143"/>
      <c r="O197" s="9">
        <f t="array" ref="O197">IFERROR(N197/I197*100,0)</f>
        <v>0</v>
      </c>
    </row>
    <row r="198" spans="1:15" outlineLevel="1" x14ac:dyDescent="0.15">
      <c r="A198" s="8" t="s">
        <v>1043</v>
      </c>
      <c r="B198" s="8">
        <v>2</v>
      </c>
      <c r="C198" s="8">
        <v>11</v>
      </c>
      <c r="D198" s="8" t="s">
        <v>1662</v>
      </c>
      <c r="E198" s="9">
        <v>26.63</v>
      </c>
      <c r="F198" s="8" t="s">
        <v>469</v>
      </c>
      <c r="G198" s="10">
        <v>3869</v>
      </c>
      <c r="H198" s="11"/>
      <c r="I198" s="11"/>
      <c r="J198" s="9">
        <f t="array" ref="J198">IFERROR(I198/G198*100,0)</f>
        <v>0</v>
      </c>
      <c r="K198" s="143"/>
      <c r="L198" s="9">
        <f t="shared" si="3"/>
        <v>0</v>
      </c>
      <c r="M198" s="8" t="str">
        <f t="array" ref="M198">IF(L198&gt;5,"Perlu Pengendalian",IF(AND(L198&gt;=0,I198&gt;0),"Tidak Perlu Pengendalian","Belum Sensus"))</f>
        <v>Belum Sensus</v>
      </c>
      <c r="N198" s="143"/>
      <c r="O198" s="9">
        <f t="array" ref="O198">IFERROR(N198/I198*100,0)</f>
        <v>0</v>
      </c>
    </row>
    <row r="199" spans="1:15" outlineLevel="1" x14ac:dyDescent="0.15">
      <c r="A199" s="8" t="s">
        <v>1043</v>
      </c>
      <c r="B199" s="8">
        <v>2</v>
      </c>
      <c r="C199" s="8">
        <v>11</v>
      </c>
      <c r="D199" s="8" t="s">
        <v>1663</v>
      </c>
      <c r="E199" s="9">
        <v>24.1</v>
      </c>
      <c r="F199" s="8" t="s">
        <v>469</v>
      </c>
      <c r="G199" s="10">
        <v>3385</v>
      </c>
      <c r="H199" s="11"/>
      <c r="I199" s="11"/>
      <c r="J199" s="9">
        <f t="array" ref="J199">IFERROR(I199/G199*100,0)</f>
        <v>0</v>
      </c>
      <c r="K199" s="143"/>
      <c r="L199" s="9">
        <f t="shared" ref="L199:L262" si="4">IFERROR(K199/I199*100,0)</f>
        <v>0</v>
      </c>
      <c r="M199" s="8" t="str">
        <f t="array" ref="M199">IF(L199&gt;5,"Perlu Pengendalian",IF(AND(L199&gt;=0,I199&gt;0),"Tidak Perlu Pengendalian","Belum Sensus"))</f>
        <v>Belum Sensus</v>
      </c>
      <c r="N199" s="143"/>
      <c r="O199" s="9">
        <f t="array" ref="O199">IFERROR(N199/I199*100,0)</f>
        <v>0</v>
      </c>
    </row>
    <row r="200" spans="1:15" outlineLevel="1" x14ac:dyDescent="0.15">
      <c r="A200" s="8" t="s">
        <v>1043</v>
      </c>
      <c r="B200" s="8">
        <v>2</v>
      </c>
      <c r="C200" s="8">
        <v>11</v>
      </c>
      <c r="D200" s="8" t="s">
        <v>1664</v>
      </c>
      <c r="E200" s="9">
        <v>26.07</v>
      </c>
      <c r="F200" s="8" t="s">
        <v>469</v>
      </c>
      <c r="G200" s="10">
        <v>3791</v>
      </c>
      <c r="H200" s="11"/>
      <c r="I200" s="11"/>
      <c r="J200" s="9">
        <f t="array" ref="J200">IFERROR(I200/G200*100,0)</f>
        <v>0</v>
      </c>
      <c r="K200" s="143"/>
      <c r="L200" s="9">
        <f t="shared" si="4"/>
        <v>0</v>
      </c>
      <c r="M200" s="8" t="str">
        <f t="array" ref="M200">IF(L200&gt;5,"Perlu Pengendalian",IF(AND(L200&gt;=0,I200&gt;0),"Tidak Perlu Pengendalian","Belum Sensus"))</f>
        <v>Belum Sensus</v>
      </c>
      <c r="N200" s="143"/>
      <c r="O200" s="9">
        <f t="array" ref="O200">IFERROR(N200/I200*100,0)</f>
        <v>0</v>
      </c>
    </row>
    <row r="201" spans="1:15" outlineLevel="1" x14ac:dyDescent="0.15">
      <c r="A201" s="8" t="s">
        <v>1043</v>
      </c>
      <c r="B201" s="8">
        <v>2</v>
      </c>
      <c r="C201" s="8">
        <v>11</v>
      </c>
      <c r="D201" s="8" t="s">
        <v>1665</v>
      </c>
      <c r="E201" s="9">
        <v>25.04</v>
      </c>
      <c r="F201" s="8" t="s">
        <v>469</v>
      </c>
      <c r="G201" s="10">
        <v>3469</v>
      </c>
      <c r="H201" s="11"/>
      <c r="I201" s="11"/>
      <c r="J201" s="9">
        <f t="array" ref="J201">IFERROR(I201/G201*100,0)</f>
        <v>0</v>
      </c>
      <c r="K201" s="143"/>
      <c r="L201" s="9">
        <f t="shared" si="4"/>
        <v>0</v>
      </c>
      <c r="M201" s="8" t="str">
        <f t="array" ref="M201">IF(L201&gt;5,"Perlu Pengendalian",IF(AND(L201&gt;=0,I201&gt;0),"Tidak Perlu Pengendalian","Belum Sensus"))</f>
        <v>Belum Sensus</v>
      </c>
      <c r="N201" s="143"/>
      <c r="O201" s="9">
        <f t="array" ref="O201">IFERROR(N201/I201*100,0)</f>
        <v>0</v>
      </c>
    </row>
    <row r="202" spans="1:15" outlineLevel="1" x14ac:dyDescent="0.15">
      <c r="A202" s="8" t="s">
        <v>1043</v>
      </c>
      <c r="B202" s="8">
        <v>2</v>
      </c>
      <c r="C202" s="8">
        <v>11</v>
      </c>
      <c r="D202" s="8" t="s">
        <v>1666</v>
      </c>
      <c r="E202" s="9">
        <v>20.63</v>
      </c>
      <c r="F202" s="8" t="s">
        <v>469</v>
      </c>
      <c r="G202" s="10">
        <v>2872</v>
      </c>
      <c r="H202" s="11"/>
      <c r="I202" s="11"/>
      <c r="J202" s="9">
        <f t="array" ref="J202">IFERROR(I202/G202*100,0)</f>
        <v>0</v>
      </c>
      <c r="K202" s="143"/>
      <c r="L202" s="9">
        <f t="shared" si="4"/>
        <v>0</v>
      </c>
      <c r="M202" s="8" t="str">
        <f t="array" ref="M202">IF(L202&gt;5,"Perlu Pengendalian",IF(AND(L202&gt;=0,I202&gt;0),"Tidak Perlu Pengendalian","Belum Sensus"))</f>
        <v>Belum Sensus</v>
      </c>
      <c r="N202" s="143"/>
      <c r="O202" s="9">
        <f t="array" ref="O202">IFERROR(N202/I202*100,0)</f>
        <v>0</v>
      </c>
    </row>
    <row r="203" spans="1:15" outlineLevel="1" x14ac:dyDescent="0.15">
      <c r="A203" s="8" t="s">
        <v>1043</v>
      </c>
      <c r="B203" s="8">
        <v>2</v>
      </c>
      <c r="C203" s="8">
        <v>11</v>
      </c>
      <c r="D203" s="8" t="s">
        <v>1667</v>
      </c>
      <c r="E203" s="180">
        <v>47.459999999999994</v>
      </c>
      <c r="F203" s="8" t="s">
        <v>469</v>
      </c>
      <c r="G203" s="10">
        <v>6695</v>
      </c>
      <c r="H203" s="11"/>
      <c r="I203" s="11"/>
      <c r="J203" s="9">
        <f t="array" ref="J203">IFERROR(I203/G203*100,0)</f>
        <v>0</v>
      </c>
      <c r="K203" s="143"/>
      <c r="L203" s="9">
        <f t="shared" si="4"/>
        <v>0</v>
      </c>
      <c r="M203" s="8" t="str">
        <f t="array" ref="M203">IF(L203&gt;5,"Perlu Pengendalian",IF(AND(L203&gt;=0,I203&gt;0),"Tidak Perlu Pengendalian","Belum Sensus"))</f>
        <v>Belum Sensus</v>
      </c>
      <c r="N203" s="143"/>
      <c r="O203" s="9">
        <f t="array" ref="O203">IFERROR(N203/I203*100,0)</f>
        <v>0</v>
      </c>
    </row>
    <row r="204" spans="1:15" outlineLevel="1" x14ac:dyDescent="0.15">
      <c r="A204" s="8" t="s">
        <v>1043</v>
      </c>
      <c r="B204" s="8">
        <v>2</v>
      </c>
      <c r="C204" s="8">
        <v>11</v>
      </c>
      <c r="D204" s="8" t="s">
        <v>1668</v>
      </c>
      <c r="E204" s="9">
        <v>43.22</v>
      </c>
      <c r="F204" s="8" t="s">
        <v>469</v>
      </c>
      <c r="G204" s="10">
        <v>5980</v>
      </c>
      <c r="H204" s="11"/>
      <c r="I204" s="11"/>
      <c r="J204" s="9">
        <f t="array" ref="J204">IFERROR(I204/G204*100,0)</f>
        <v>0</v>
      </c>
      <c r="K204" s="143"/>
      <c r="L204" s="9">
        <f t="shared" si="4"/>
        <v>0</v>
      </c>
      <c r="M204" s="8" t="str">
        <f t="array" ref="M204">IF(L204&gt;5,"Perlu Pengendalian",IF(AND(L204&gt;=0,I204&gt;0),"Tidak Perlu Pengendalian","Belum Sensus"))</f>
        <v>Belum Sensus</v>
      </c>
      <c r="N204" s="143"/>
      <c r="O204" s="9">
        <f t="array" ref="O204">IFERROR(N204/I204*100,0)</f>
        <v>0</v>
      </c>
    </row>
    <row r="205" spans="1:15" outlineLevel="1" x14ac:dyDescent="0.15">
      <c r="A205" s="8" t="s">
        <v>1043</v>
      </c>
      <c r="B205" s="8">
        <v>2</v>
      </c>
      <c r="C205" s="8">
        <v>11</v>
      </c>
      <c r="D205" s="8" t="s">
        <v>1669</v>
      </c>
      <c r="E205" s="179">
        <v>38.200000000000003</v>
      </c>
      <c r="F205" s="8" t="s">
        <v>469</v>
      </c>
      <c r="G205" s="10">
        <v>4904</v>
      </c>
      <c r="H205" s="11"/>
      <c r="I205" s="11"/>
      <c r="J205" s="9">
        <f t="array" ref="J205">IFERROR(I205/G205*100,0)</f>
        <v>0</v>
      </c>
      <c r="K205" s="143"/>
      <c r="L205" s="9">
        <f t="shared" si="4"/>
        <v>0</v>
      </c>
      <c r="M205" s="8" t="str">
        <f t="array" ref="M205">IF(L205&gt;5,"Perlu Pengendalian",IF(AND(L205&gt;=0,I205&gt;0),"Tidak Perlu Pengendalian","Belum Sensus"))</f>
        <v>Belum Sensus</v>
      </c>
      <c r="N205" s="143"/>
      <c r="O205" s="9">
        <f t="array" ref="O205">IFERROR(N205/I205*100,0)</f>
        <v>0</v>
      </c>
    </row>
    <row r="206" spans="1:15" outlineLevel="1" x14ac:dyDescent="0.15">
      <c r="A206" s="8" t="s">
        <v>1043</v>
      </c>
      <c r="B206" s="8">
        <v>2</v>
      </c>
      <c r="C206" s="8">
        <v>11</v>
      </c>
      <c r="D206" s="8" t="s">
        <v>1670</v>
      </c>
      <c r="E206" s="179">
        <v>30.36</v>
      </c>
      <c r="F206" s="8" t="s">
        <v>469</v>
      </c>
      <c r="G206" s="10">
        <v>3454</v>
      </c>
      <c r="H206" s="11"/>
      <c r="I206" s="11"/>
      <c r="J206" s="9">
        <f t="array" ref="J206">IFERROR(I206/G206*100,0)</f>
        <v>0</v>
      </c>
      <c r="K206" s="143"/>
      <c r="L206" s="9">
        <f t="shared" si="4"/>
        <v>0</v>
      </c>
      <c r="M206" s="8" t="str">
        <f t="array" ref="M206">IF(L206&gt;5,"Perlu Pengendalian",IF(AND(L206&gt;=0,I206&gt;0),"Tidak Perlu Pengendalian","Belum Sensus"))</f>
        <v>Belum Sensus</v>
      </c>
      <c r="N206" s="143"/>
      <c r="O206" s="9">
        <f t="array" ref="O206">IFERROR(N206/I206*100,0)</f>
        <v>0</v>
      </c>
    </row>
    <row r="207" spans="1:15" outlineLevel="1" x14ac:dyDescent="0.15">
      <c r="A207" s="8" t="s">
        <v>1043</v>
      </c>
      <c r="B207" s="8">
        <v>2</v>
      </c>
      <c r="C207" s="8">
        <v>11</v>
      </c>
      <c r="D207" s="8" t="s">
        <v>1671</v>
      </c>
      <c r="E207" s="9">
        <v>31.12</v>
      </c>
      <c r="F207" s="8" t="s">
        <v>469</v>
      </c>
      <c r="G207" s="10">
        <v>3771</v>
      </c>
      <c r="H207" s="11"/>
      <c r="I207" s="11"/>
      <c r="J207" s="9">
        <f t="array" ref="J207">IFERROR(I207/G207*100,0)</f>
        <v>0</v>
      </c>
      <c r="K207" s="143"/>
      <c r="L207" s="9">
        <f t="shared" si="4"/>
        <v>0</v>
      </c>
      <c r="M207" s="8" t="str">
        <f t="array" ref="M207">IF(L207&gt;5,"Perlu Pengendalian",IF(AND(L207&gt;=0,I207&gt;0),"Tidak Perlu Pengendalian","Belum Sensus"))</f>
        <v>Belum Sensus</v>
      </c>
      <c r="N207" s="143"/>
      <c r="O207" s="9">
        <f t="array" ref="O207">IFERROR(N207/I207*100,0)</f>
        <v>0</v>
      </c>
    </row>
    <row r="208" spans="1:15" outlineLevel="1" x14ac:dyDescent="0.15">
      <c r="A208" s="8" t="s">
        <v>1043</v>
      </c>
      <c r="B208" s="8">
        <v>2</v>
      </c>
      <c r="C208" s="8">
        <v>11</v>
      </c>
      <c r="D208" s="8" t="s">
        <v>1672</v>
      </c>
      <c r="E208" s="179">
        <v>41.97</v>
      </c>
      <c r="F208" s="8" t="s">
        <v>469</v>
      </c>
      <c r="G208" s="10">
        <v>5049</v>
      </c>
      <c r="H208" s="11"/>
      <c r="I208" s="11"/>
      <c r="J208" s="9">
        <f t="array" ref="J208">IFERROR(I208/G208*100,0)</f>
        <v>0</v>
      </c>
      <c r="K208" s="143"/>
      <c r="L208" s="9">
        <f t="shared" si="4"/>
        <v>0</v>
      </c>
      <c r="M208" s="8" t="str">
        <f t="array" ref="M208">IF(L208&gt;5,"Perlu Pengendalian",IF(AND(L208&gt;=0,I208&gt;0),"Tidak Perlu Pengendalian","Belum Sensus"))</f>
        <v>Belum Sensus</v>
      </c>
      <c r="N208" s="143"/>
      <c r="O208" s="9">
        <f t="array" ref="O208">IFERROR(N208/I208*100,0)</f>
        <v>0</v>
      </c>
    </row>
    <row r="209" spans="1:15" outlineLevel="1" x14ac:dyDescent="0.15">
      <c r="A209" s="8" t="s">
        <v>1043</v>
      </c>
      <c r="B209" s="8">
        <v>2</v>
      </c>
      <c r="C209" s="8">
        <v>11</v>
      </c>
      <c r="D209" s="8" t="s">
        <v>1673</v>
      </c>
      <c r="E209" s="9">
        <v>34.050000000000004</v>
      </c>
      <c r="F209" s="8" t="s">
        <v>469</v>
      </c>
      <c r="G209" s="10">
        <v>4434</v>
      </c>
      <c r="H209" s="11"/>
      <c r="I209" s="11"/>
      <c r="J209" s="9">
        <f t="array" ref="J209">IFERROR(I209/G209*100,0)</f>
        <v>0</v>
      </c>
      <c r="K209" s="143"/>
      <c r="L209" s="9">
        <f t="shared" si="4"/>
        <v>0</v>
      </c>
      <c r="M209" s="8" t="str">
        <f t="array" ref="M209">IF(L209&gt;5,"Perlu Pengendalian",IF(AND(L209&gt;=0,I209&gt;0),"Tidak Perlu Pengendalian","Belum Sensus"))</f>
        <v>Belum Sensus</v>
      </c>
      <c r="N209" s="143"/>
      <c r="O209" s="9">
        <f t="array" ref="O209">IFERROR(N209/I209*100,0)</f>
        <v>0</v>
      </c>
    </row>
    <row r="210" spans="1:15" outlineLevel="1" x14ac:dyDescent="0.15">
      <c r="A210" s="8" t="s">
        <v>1043</v>
      </c>
      <c r="B210" s="8">
        <v>2</v>
      </c>
      <c r="C210" s="8">
        <v>11</v>
      </c>
      <c r="D210" s="8" t="s">
        <v>1674</v>
      </c>
      <c r="E210" s="179">
        <v>28.18</v>
      </c>
      <c r="F210" s="8" t="s">
        <v>469</v>
      </c>
      <c r="G210" s="10">
        <v>3441</v>
      </c>
      <c r="H210" s="11"/>
      <c r="I210" s="11"/>
      <c r="J210" s="9">
        <f t="array" ref="J210">IFERROR(I210/G210*100,0)</f>
        <v>0</v>
      </c>
      <c r="K210" s="143"/>
      <c r="L210" s="9">
        <f t="shared" si="4"/>
        <v>0</v>
      </c>
      <c r="M210" s="8" t="str">
        <f t="array" ref="M210">IF(L210&gt;5,"Perlu Pengendalian",IF(AND(L210&gt;=0,I210&gt;0),"Tidak Perlu Pengendalian","Belum Sensus"))</f>
        <v>Belum Sensus</v>
      </c>
      <c r="N210" s="143"/>
      <c r="O210" s="9">
        <f t="array" ref="O210">IFERROR(N210/I210*100,0)</f>
        <v>0</v>
      </c>
    </row>
    <row r="211" spans="1:15" outlineLevel="1" x14ac:dyDescent="0.15">
      <c r="A211" s="8" t="s">
        <v>1043</v>
      </c>
      <c r="B211" s="8">
        <v>2</v>
      </c>
      <c r="C211" s="8">
        <v>11</v>
      </c>
      <c r="D211" s="8" t="s">
        <v>1675</v>
      </c>
      <c r="E211" s="179">
        <v>46.42</v>
      </c>
      <c r="F211" s="8" t="s">
        <v>469</v>
      </c>
      <c r="G211" s="10">
        <v>6567</v>
      </c>
      <c r="H211" s="11"/>
      <c r="I211" s="11"/>
      <c r="J211" s="9">
        <f t="array" ref="J211">IFERROR(I211/G211*100,0)</f>
        <v>0</v>
      </c>
      <c r="K211" s="143"/>
      <c r="L211" s="9">
        <f t="shared" si="4"/>
        <v>0</v>
      </c>
      <c r="M211" s="8" t="str">
        <f t="array" ref="M211">IF(L211&gt;5,"Perlu Pengendalian",IF(AND(L211&gt;=0,I211&gt;0),"Tidak Perlu Pengendalian","Belum Sensus"))</f>
        <v>Belum Sensus</v>
      </c>
      <c r="N211" s="143"/>
      <c r="O211" s="9">
        <f t="array" ref="O211">IFERROR(N211/I211*100,0)</f>
        <v>0</v>
      </c>
    </row>
    <row r="212" spans="1:15" outlineLevel="1" x14ac:dyDescent="0.15">
      <c r="A212" s="8" t="s">
        <v>1043</v>
      </c>
      <c r="B212" s="8">
        <v>2</v>
      </c>
      <c r="C212" s="8">
        <v>11</v>
      </c>
      <c r="D212" s="8" t="s">
        <v>1676</v>
      </c>
      <c r="E212" s="9">
        <v>39.840000000000003</v>
      </c>
      <c r="F212" s="8" t="s">
        <v>469</v>
      </c>
      <c r="G212" s="10">
        <v>5310</v>
      </c>
      <c r="H212" s="11"/>
      <c r="I212" s="143"/>
      <c r="J212" s="9">
        <f t="array" ref="J212">IFERROR(I212/G212*100,0)</f>
        <v>0</v>
      </c>
      <c r="K212" s="143"/>
      <c r="L212" s="9">
        <f t="shared" si="4"/>
        <v>0</v>
      </c>
      <c r="M212" s="8" t="str">
        <f t="array" ref="M212">IF(L212&gt;5,"Perlu Pengendalian",IF(AND(L212&gt;=0,I212&gt;0),"Tidak Perlu Pengendalian","Belum Sensus"))</f>
        <v>Belum Sensus</v>
      </c>
      <c r="N212" s="143"/>
      <c r="O212" s="9">
        <f t="array" ref="O212">IFERROR(N212/I212*100,0)</f>
        <v>0</v>
      </c>
    </row>
    <row r="213" spans="1:15" outlineLevel="1" x14ac:dyDescent="0.15">
      <c r="A213" s="8" t="s">
        <v>1043</v>
      </c>
      <c r="B213" s="8">
        <v>2</v>
      </c>
      <c r="C213" s="8">
        <v>12</v>
      </c>
      <c r="D213" s="8" t="s">
        <v>1677</v>
      </c>
      <c r="E213" s="9">
        <v>44.64</v>
      </c>
      <c r="F213" s="8" t="s">
        <v>469</v>
      </c>
      <c r="G213" s="10">
        <v>2476</v>
      </c>
      <c r="H213" s="11"/>
      <c r="I213" s="11"/>
      <c r="J213" s="9">
        <f t="array" ref="J213">IFERROR(I213/G213*100,0)</f>
        <v>0</v>
      </c>
      <c r="K213" s="143"/>
      <c r="L213" s="9">
        <f t="shared" si="4"/>
        <v>0</v>
      </c>
      <c r="M213" s="8" t="str">
        <f t="array" ref="M213">IF(L213&gt;5,"Perlu Pengendalian",IF(AND(L213&gt;=0,I213&gt;0),"Tidak Perlu Pengendalian","Belum Sensus"))</f>
        <v>Belum Sensus</v>
      </c>
      <c r="N213" s="143"/>
      <c r="O213" s="9">
        <f t="array" ref="O213">IFERROR(N213/I213*100,0)</f>
        <v>0</v>
      </c>
    </row>
    <row r="214" spans="1:15" outlineLevel="1" x14ac:dyDescent="0.15">
      <c r="A214" s="8" t="s">
        <v>1043</v>
      </c>
      <c r="B214" s="8">
        <v>2</v>
      </c>
      <c r="C214" s="8">
        <v>12</v>
      </c>
      <c r="D214" s="8" t="s">
        <v>1678</v>
      </c>
      <c r="E214" s="179">
        <v>38</v>
      </c>
      <c r="F214" s="8" t="s">
        <v>469</v>
      </c>
      <c r="G214" s="10">
        <v>4165</v>
      </c>
      <c r="H214" s="11"/>
      <c r="I214" s="11"/>
      <c r="J214" s="9">
        <f t="array" ref="J214">IFERROR(I214/G214*100,0)</f>
        <v>0</v>
      </c>
      <c r="K214" s="143"/>
      <c r="L214" s="9">
        <f t="shared" si="4"/>
        <v>0</v>
      </c>
      <c r="M214" s="8" t="str">
        <f t="array" ref="M214">IF(L214&gt;5,"Perlu Pengendalian",IF(AND(L214&gt;=0,I214&gt;0),"Tidak Perlu Pengendalian","Belum Sensus"))</f>
        <v>Belum Sensus</v>
      </c>
      <c r="N214" s="143"/>
      <c r="O214" s="9">
        <f t="array" ref="O214">IFERROR(N214/I214*100,0)</f>
        <v>0</v>
      </c>
    </row>
    <row r="215" spans="1:15" outlineLevel="1" x14ac:dyDescent="0.15">
      <c r="A215" s="8" t="s">
        <v>1043</v>
      </c>
      <c r="B215" s="8">
        <v>2</v>
      </c>
      <c r="C215" s="8">
        <v>12</v>
      </c>
      <c r="D215" s="8" t="s">
        <v>1679</v>
      </c>
      <c r="E215" s="179">
        <v>32.549999999999997</v>
      </c>
      <c r="F215" s="8" t="s">
        <v>469</v>
      </c>
      <c r="G215" s="10">
        <v>4040</v>
      </c>
      <c r="H215" s="11"/>
      <c r="I215" s="11"/>
      <c r="J215" s="9">
        <f t="array" ref="J215">IFERROR(I215/G215*100,0)</f>
        <v>0</v>
      </c>
      <c r="K215" s="143"/>
      <c r="L215" s="9">
        <f t="shared" si="4"/>
        <v>0</v>
      </c>
      <c r="M215" s="8" t="str">
        <f t="array" ref="M215">IF(L215&gt;5,"Perlu Pengendalian",IF(AND(L215&gt;=0,I215&gt;0),"Tidak Perlu Pengendalian","Belum Sensus"))</f>
        <v>Belum Sensus</v>
      </c>
      <c r="N215" s="143"/>
      <c r="O215" s="9">
        <f t="array" ref="O215">IFERROR(N215/I215*100,0)</f>
        <v>0</v>
      </c>
    </row>
    <row r="216" spans="1:15" outlineLevel="1" x14ac:dyDescent="0.15">
      <c r="A216" s="8" t="s">
        <v>1043</v>
      </c>
      <c r="B216" s="8">
        <v>2</v>
      </c>
      <c r="C216" s="8">
        <v>12</v>
      </c>
      <c r="D216" s="8" t="s">
        <v>1680</v>
      </c>
      <c r="E216" s="9">
        <v>22.14</v>
      </c>
      <c r="F216" s="8" t="s">
        <v>469</v>
      </c>
      <c r="G216" s="10">
        <v>2911</v>
      </c>
      <c r="H216" s="11"/>
      <c r="I216" s="143"/>
      <c r="J216" s="9">
        <f t="array" ref="J216">IFERROR(I216/G216*100,0)</f>
        <v>0</v>
      </c>
      <c r="K216" s="143"/>
      <c r="L216" s="9">
        <f t="shared" si="4"/>
        <v>0</v>
      </c>
      <c r="M216" s="8" t="str">
        <f t="array" ref="M216">IF(L216&gt;5,"Perlu Pengendalian",IF(AND(L216&gt;=0,I216&gt;0),"Tidak Perlu Pengendalian","Belum Sensus"))</f>
        <v>Belum Sensus</v>
      </c>
      <c r="N216" s="143"/>
      <c r="O216" s="9">
        <f t="array" ref="O216">IFERROR(N216/I216*100,0)</f>
        <v>0</v>
      </c>
    </row>
    <row r="217" spans="1:15" outlineLevel="1" x14ac:dyDescent="0.15">
      <c r="A217" s="8" t="s">
        <v>1043</v>
      </c>
      <c r="B217" s="8">
        <v>2</v>
      </c>
      <c r="C217" s="8">
        <v>12</v>
      </c>
      <c r="D217" s="8" t="s">
        <v>1681</v>
      </c>
      <c r="E217" s="9">
        <v>39.090000000000003</v>
      </c>
      <c r="F217" s="8" t="s">
        <v>469</v>
      </c>
      <c r="G217" s="10">
        <v>5192</v>
      </c>
      <c r="H217" s="11"/>
      <c r="I217" s="143"/>
      <c r="J217" s="9">
        <f t="array" ref="J217">IFERROR(I217/G217*100,0)</f>
        <v>0</v>
      </c>
      <c r="K217" s="143"/>
      <c r="L217" s="9">
        <f t="shared" si="4"/>
        <v>0</v>
      </c>
      <c r="M217" s="8" t="str">
        <f t="array" ref="M217">IF(L217&gt;5,"Perlu Pengendalian",IF(AND(L217&gt;=0,I217&gt;0),"Tidak Perlu Pengendalian","Belum Sensus"))</f>
        <v>Belum Sensus</v>
      </c>
      <c r="N217" s="143"/>
      <c r="O217" s="9">
        <f t="array" ref="O217">IFERROR(N217/I217*100,0)</f>
        <v>0</v>
      </c>
    </row>
    <row r="218" spans="1:15" outlineLevel="1" x14ac:dyDescent="0.15">
      <c r="A218" s="8" t="s">
        <v>1043</v>
      </c>
      <c r="B218" s="8">
        <v>2</v>
      </c>
      <c r="C218" s="8">
        <v>12</v>
      </c>
      <c r="D218" s="8" t="s">
        <v>1682</v>
      </c>
      <c r="E218" s="9">
        <v>27.35</v>
      </c>
      <c r="F218" s="8" t="s">
        <v>469</v>
      </c>
      <c r="G218" s="10">
        <v>2651</v>
      </c>
      <c r="H218" s="11"/>
      <c r="I218" s="143"/>
      <c r="J218" s="9">
        <f t="array" ref="J218">IFERROR(I218/G218*100,0)</f>
        <v>0</v>
      </c>
      <c r="K218" s="143"/>
      <c r="L218" s="9">
        <f t="shared" si="4"/>
        <v>0</v>
      </c>
      <c r="M218" s="8" t="str">
        <f t="array" ref="M218">IF(L218&gt;5,"Perlu Pengendalian",IF(AND(L218&gt;=0,I218&gt;0),"Tidak Perlu Pengendalian","Belum Sensus"))</f>
        <v>Belum Sensus</v>
      </c>
      <c r="N218" s="143"/>
      <c r="O218" s="9">
        <f t="array" ref="O218">IFERROR(N218/I218*100,0)</f>
        <v>0</v>
      </c>
    </row>
    <row r="219" spans="1:15" outlineLevel="1" x14ac:dyDescent="0.15">
      <c r="A219" s="8" t="s">
        <v>1043</v>
      </c>
      <c r="B219" s="8">
        <v>2</v>
      </c>
      <c r="C219" s="8">
        <v>12</v>
      </c>
      <c r="D219" s="8" t="s">
        <v>1683</v>
      </c>
      <c r="E219" s="9">
        <v>33.319999999999993</v>
      </c>
      <c r="F219" s="8" t="s">
        <v>469</v>
      </c>
      <c r="G219" s="10">
        <v>3465</v>
      </c>
      <c r="H219" s="11"/>
      <c r="I219" s="143"/>
      <c r="J219" s="9">
        <f t="array" ref="J219">IFERROR(I219/G219*100,0)</f>
        <v>0</v>
      </c>
      <c r="K219" s="143"/>
      <c r="L219" s="9">
        <f t="shared" si="4"/>
        <v>0</v>
      </c>
      <c r="M219" s="8" t="str">
        <f t="array" ref="M219">IF(L219&gt;5,"Perlu Pengendalian",IF(AND(L219&gt;=0,I219&gt;0),"Tidak Perlu Pengendalian","Belum Sensus"))</f>
        <v>Belum Sensus</v>
      </c>
      <c r="N219" s="143"/>
      <c r="O219" s="9">
        <f t="array" ref="O219">IFERROR(N219/I219*100,0)</f>
        <v>0</v>
      </c>
    </row>
    <row r="220" spans="1:15" outlineLevel="1" x14ac:dyDescent="0.15">
      <c r="A220" s="8" t="s">
        <v>1043</v>
      </c>
      <c r="B220" s="8">
        <v>2</v>
      </c>
      <c r="C220" s="8">
        <v>12</v>
      </c>
      <c r="D220" s="8" t="s">
        <v>1684</v>
      </c>
      <c r="E220" s="9">
        <v>30.24</v>
      </c>
      <c r="F220" s="8" t="s">
        <v>469</v>
      </c>
      <c r="G220" s="10">
        <v>3403</v>
      </c>
      <c r="H220" s="11"/>
      <c r="I220" s="143"/>
      <c r="J220" s="9">
        <f t="array" ref="J220">IFERROR(I220/G220*100,0)</f>
        <v>0</v>
      </c>
      <c r="K220" s="143"/>
      <c r="L220" s="9">
        <f t="shared" si="4"/>
        <v>0</v>
      </c>
      <c r="M220" s="8" t="str">
        <f t="array" ref="M220">IF(L220&gt;5,"Perlu Pengendalian",IF(AND(L220&gt;=0,I220&gt;0),"Tidak Perlu Pengendalian","Belum Sensus"))</f>
        <v>Belum Sensus</v>
      </c>
      <c r="N220" s="143"/>
      <c r="O220" s="9">
        <f t="array" ref="O220">IFERROR(N220/I220*100,0)</f>
        <v>0</v>
      </c>
    </row>
    <row r="221" spans="1:15" outlineLevel="1" x14ac:dyDescent="0.15">
      <c r="A221" s="8" t="s">
        <v>1043</v>
      </c>
      <c r="B221" s="8">
        <v>2</v>
      </c>
      <c r="C221" s="8">
        <v>12</v>
      </c>
      <c r="D221" s="8" t="s">
        <v>1685</v>
      </c>
      <c r="E221" s="9">
        <v>44.79</v>
      </c>
      <c r="F221" s="8" t="s">
        <v>469</v>
      </c>
      <c r="G221" s="10">
        <v>4006</v>
      </c>
      <c r="H221" s="11"/>
      <c r="I221" s="143"/>
      <c r="J221" s="9">
        <f t="array" ref="J221">IFERROR(I221/G221*100,0)</f>
        <v>0</v>
      </c>
      <c r="K221" s="143"/>
      <c r="L221" s="9">
        <f t="shared" si="4"/>
        <v>0</v>
      </c>
      <c r="M221" s="8" t="str">
        <f t="array" ref="M221">IF(L221&gt;5,"Perlu Pengendalian",IF(AND(L221&gt;=0,I221&gt;0),"Tidak Perlu Pengendalian","Belum Sensus"))</f>
        <v>Belum Sensus</v>
      </c>
      <c r="N221" s="143"/>
      <c r="O221" s="9">
        <f t="array" ref="O221">IFERROR(N221/I221*100,0)</f>
        <v>0</v>
      </c>
    </row>
    <row r="222" spans="1:15" outlineLevel="1" x14ac:dyDescent="0.15">
      <c r="A222" s="8" t="s">
        <v>1043</v>
      </c>
      <c r="B222" s="8">
        <v>2</v>
      </c>
      <c r="C222" s="8">
        <v>12</v>
      </c>
      <c r="D222" s="8" t="s">
        <v>1686</v>
      </c>
      <c r="E222" s="9">
        <v>39.979999999999997</v>
      </c>
      <c r="F222" s="8" t="s">
        <v>469</v>
      </c>
      <c r="G222" s="10">
        <v>4596</v>
      </c>
      <c r="H222" s="11"/>
      <c r="I222" s="143"/>
      <c r="J222" s="9">
        <f t="array" ref="J222">IFERROR(I222/G222*100,0)</f>
        <v>0</v>
      </c>
      <c r="K222" s="143"/>
      <c r="L222" s="9">
        <f t="shared" si="4"/>
        <v>0</v>
      </c>
      <c r="M222" s="8" t="str">
        <f t="array" ref="M222">IF(L222&gt;5,"Perlu Pengendalian",IF(AND(L222&gt;=0,I222&gt;0),"Tidak Perlu Pengendalian","Belum Sensus"))</f>
        <v>Belum Sensus</v>
      </c>
      <c r="N222" s="143"/>
      <c r="O222" s="9">
        <f t="array" ref="O222">IFERROR(N222/I222*100,0)</f>
        <v>0</v>
      </c>
    </row>
    <row r="223" spans="1:15" outlineLevel="1" x14ac:dyDescent="0.15">
      <c r="A223" s="8" t="s">
        <v>1043</v>
      </c>
      <c r="B223" s="8">
        <v>2</v>
      </c>
      <c r="C223" s="8">
        <v>12</v>
      </c>
      <c r="D223" s="8" t="s">
        <v>1687</v>
      </c>
      <c r="E223" s="9">
        <v>48.69</v>
      </c>
      <c r="F223" s="8" t="s">
        <v>469</v>
      </c>
      <c r="G223" s="10">
        <v>4960</v>
      </c>
      <c r="H223" s="11"/>
      <c r="I223" s="143"/>
      <c r="J223" s="9">
        <f t="array" ref="J223">IFERROR(I223/G223*100,0)</f>
        <v>0</v>
      </c>
      <c r="K223" s="143"/>
      <c r="L223" s="9">
        <f t="shared" si="4"/>
        <v>0</v>
      </c>
      <c r="M223" s="8" t="str">
        <f t="array" ref="M223">IF(L223&gt;5,"Perlu Pengendalian",IF(AND(L223&gt;=0,I223&gt;0),"Tidak Perlu Pengendalian","Belum Sensus"))</f>
        <v>Belum Sensus</v>
      </c>
      <c r="N223" s="143"/>
      <c r="O223" s="9">
        <f t="array" ref="O223">IFERROR(N223/I223*100,0)</f>
        <v>0</v>
      </c>
    </row>
    <row r="224" spans="1:15" outlineLevel="1" x14ac:dyDescent="0.15">
      <c r="A224" s="8" t="s">
        <v>1043</v>
      </c>
      <c r="B224" s="8">
        <v>2</v>
      </c>
      <c r="C224" s="8">
        <v>12</v>
      </c>
      <c r="D224" s="8" t="s">
        <v>1688</v>
      </c>
      <c r="E224" s="9">
        <v>31.849999999999998</v>
      </c>
      <c r="F224" s="8" t="s">
        <v>469</v>
      </c>
      <c r="G224" s="10">
        <v>3390</v>
      </c>
      <c r="H224" s="11"/>
      <c r="I224" s="143"/>
      <c r="J224" s="9">
        <f t="array" ref="J224">IFERROR(I224/G224*100,0)</f>
        <v>0</v>
      </c>
      <c r="K224" s="143"/>
      <c r="L224" s="9">
        <f t="shared" si="4"/>
        <v>0</v>
      </c>
      <c r="M224" s="8" t="str">
        <f t="array" ref="M224">IF(L224&gt;5,"Perlu Pengendalian",IF(AND(L224&gt;=0,I224&gt;0),"Tidak Perlu Pengendalian","Belum Sensus"))</f>
        <v>Belum Sensus</v>
      </c>
      <c r="N224" s="143"/>
      <c r="O224" s="9">
        <f t="array" ref="O224">IFERROR(N224/I224*100,0)</f>
        <v>0</v>
      </c>
    </row>
    <row r="225" spans="1:15" outlineLevel="1" x14ac:dyDescent="0.15">
      <c r="A225" s="8" t="s">
        <v>1043</v>
      </c>
      <c r="B225" s="8">
        <v>2</v>
      </c>
      <c r="C225" s="8">
        <v>12</v>
      </c>
      <c r="D225" s="8" t="s">
        <v>1689</v>
      </c>
      <c r="E225" s="9">
        <v>30.54</v>
      </c>
      <c r="F225" s="8" t="s">
        <v>469</v>
      </c>
      <c r="G225" s="10">
        <v>3067</v>
      </c>
      <c r="H225" s="11"/>
      <c r="I225" s="143"/>
      <c r="J225" s="9">
        <f t="array" ref="J225">IFERROR(I225/G225*100,0)</f>
        <v>0</v>
      </c>
      <c r="K225" s="143"/>
      <c r="L225" s="9">
        <f t="shared" si="4"/>
        <v>0</v>
      </c>
      <c r="M225" s="8" t="str">
        <f t="array" ref="M225">IF(L225&gt;5,"Perlu Pengendalian",IF(AND(L225&gt;=0,I225&gt;0),"Tidak Perlu Pengendalian","Belum Sensus"))</f>
        <v>Belum Sensus</v>
      </c>
      <c r="N225" s="143"/>
      <c r="O225" s="9">
        <f t="array" ref="O225">IFERROR(N225/I225*100,0)</f>
        <v>0</v>
      </c>
    </row>
    <row r="226" spans="1:15" outlineLevel="1" x14ac:dyDescent="0.15">
      <c r="A226" s="8" t="s">
        <v>1043</v>
      </c>
      <c r="B226" s="8">
        <v>2</v>
      </c>
      <c r="C226" s="8">
        <v>12</v>
      </c>
      <c r="D226" s="8" t="s">
        <v>1690</v>
      </c>
      <c r="E226" s="9">
        <v>25.54</v>
      </c>
      <c r="F226" s="8" t="s">
        <v>469</v>
      </c>
      <c r="G226" s="10">
        <v>2342</v>
      </c>
      <c r="H226" s="11"/>
      <c r="I226" s="143"/>
      <c r="J226" s="9">
        <f t="array" ref="J226">IFERROR(I226/G226*100,0)</f>
        <v>0</v>
      </c>
      <c r="K226" s="143"/>
      <c r="L226" s="9">
        <f t="shared" si="4"/>
        <v>0</v>
      </c>
      <c r="M226" s="8" t="str">
        <f t="array" ref="M226">IF(L226&gt;5,"Perlu Pengendalian",IF(AND(L226&gt;=0,I226&gt;0),"Tidak Perlu Pengendalian","Belum Sensus"))</f>
        <v>Belum Sensus</v>
      </c>
      <c r="N226" s="143"/>
      <c r="O226" s="9">
        <f t="array" ref="O226">IFERROR(N226/I226*100,0)</f>
        <v>0</v>
      </c>
    </row>
    <row r="227" spans="1:15" outlineLevel="1" x14ac:dyDescent="0.15">
      <c r="A227" s="8" t="s">
        <v>1043</v>
      </c>
      <c r="B227" s="8">
        <v>2</v>
      </c>
      <c r="C227" s="8">
        <v>12</v>
      </c>
      <c r="D227" s="8" t="s">
        <v>1691</v>
      </c>
      <c r="E227" s="9">
        <v>41.400000000000006</v>
      </c>
      <c r="F227" s="8" t="s">
        <v>469</v>
      </c>
      <c r="G227" s="10">
        <v>4439</v>
      </c>
      <c r="H227" s="11"/>
      <c r="I227" s="143"/>
      <c r="J227" s="9">
        <f t="array" ref="J227">IFERROR(I227/G227*100,0)</f>
        <v>0</v>
      </c>
      <c r="K227" s="143"/>
      <c r="L227" s="9">
        <f t="shared" si="4"/>
        <v>0</v>
      </c>
      <c r="M227" s="8" t="str">
        <f t="array" ref="M227">IF(L227&gt;5,"Perlu Pengendalian",IF(AND(L227&gt;=0,I227&gt;0),"Tidak Perlu Pengendalian","Belum Sensus"))</f>
        <v>Belum Sensus</v>
      </c>
      <c r="N227" s="143"/>
      <c r="O227" s="9">
        <f t="array" ref="O227">IFERROR(N227/I227*100,0)</f>
        <v>0</v>
      </c>
    </row>
    <row r="228" spans="1:15" outlineLevel="1" x14ac:dyDescent="0.15">
      <c r="A228" s="8" t="s">
        <v>1043</v>
      </c>
      <c r="B228" s="8">
        <v>2</v>
      </c>
      <c r="C228" s="8">
        <v>12</v>
      </c>
      <c r="D228" s="8" t="s">
        <v>1692</v>
      </c>
      <c r="E228" s="9">
        <v>33.619999999999997</v>
      </c>
      <c r="F228" s="8" t="s">
        <v>469</v>
      </c>
      <c r="G228" s="10">
        <v>3896</v>
      </c>
      <c r="H228" s="11"/>
      <c r="I228" s="143"/>
      <c r="J228" s="9">
        <f t="array" ref="J228">IFERROR(I228/G228*100,0)</f>
        <v>0</v>
      </c>
      <c r="K228" s="143"/>
      <c r="L228" s="9">
        <f t="shared" si="4"/>
        <v>0</v>
      </c>
      <c r="M228" s="8" t="str">
        <f t="array" ref="M228">IF(L228&gt;5,"Perlu Pengendalian",IF(AND(L228&gt;=0,I228&gt;0),"Tidak Perlu Pengendalian","Belum Sensus"))</f>
        <v>Belum Sensus</v>
      </c>
      <c r="N228" s="143"/>
      <c r="O228" s="9">
        <f t="array" ref="O228">IFERROR(N228/I228*100,0)</f>
        <v>0</v>
      </c>
    </row>
    <row r="229" spans="1:15" outlineLevel="1" x14ac:dyDescent="0.15">
      <c r="A229" s="8" t="s">
        <v>1043</v>
      </c>
      <c r="B229" s="8">
        <v>2</v>
      </c>
      <c r="C229" s="8">
        <v>12</v>
      </c>
      <c r="D229" s="8" t="s">
        <v>1693</v>
      </c>
      <c r="E229" s="9">
        <v>36.020000000000003</v>
      </c>
      <c r="F229" s="8" t="s">
        <v>469</v>
      </c>
      <c r="G229" s="10">
        <v>3756</v>
      </c>
      <c r="H229" s="11"/>
      <c r="I229" s="143"/>
      <c r="J229" s="9">
        <f t="array" ref="J229">IFERROR(I229/G229*100,0)</f>
        <v>0</v>
      </c>
      <c r="K229" s="143"/>
      <c r="L229" s="9">
        <f t="shared" si="4"/>
        <v>0</v>
      </c>
      <c r="M229" s="8" t="str">
        <f t="array" ref="M229">IF(L229&gt;5,"Perlu Pengendalian",IF(AND(L229&gt;=0,I229&gt;0),"Tidak Perlu Pengendalian","Belum Sensus"))</f>
        <v>Belum Sensus</v>
      </c>
      <c r="N229" s="143"/>
      <c r="O229" s="9">
        <f t="array" ref="O229">IFERROR(N229/I229*100,0)</f>
        <v>0</v>
      </c>
    </row>
    <row r="230" spans="1:15" outlineLevel="1" x14ac:dyDescent="0.15">
      <c r="A230" s="8" t="s">
        <v>1043</v>
      </c>
      <c r="B230" s="8">
        <v>2</v>
      </c>
      <c r="C230" s="8">
        <v>12</v>
      </c>
      <c r="D230" s="8" t="s">
        <v>1694</v>
      </c>
      <c r="E230" s="9">
        <v>44.72</v>
      </c>
      <c r="F230" s="8" t="s">
        <v>469</v>
      </c>
      <c r="G230" s="10">
        <v>5364</v>
      </c>
      <c r="H230" s="11"/>
      <c r="I230" s="143"/>
      <c r="J230" s="9">
        <f t="array" ref="J230">IFERROR(I230/G230*100,0)</f>
        <v>0</v>
      </c>
      <c r="K230" s="143"/>
      <c r="L230" s="9">
        <f t="shared" si="4"/>
        <v>0</v>
      </c>
      <c r="M230" s="8" t="str">
        <f t="array" ref="M230">IF(L230&gt;5,"Perlu Pengendalian",IF(AND(L230&gt;=0,I230&gt;0),"Tidak Perlu Pengendalian","Belum Sensus"))</f>
        <v>Belum Sensus</v>
      </c>
      <c r="N230" s="143"/>
      <c r="O230" s="9">
        <f t="array" ref="O230">IFERROR(N230/I230*100,0)</f>
        <v>0</v>
      </c>
    </row>
    <row r="231" spans="1:15" outlineLevel="1" x14ac:dyDescent="0.15">
      <c r="A231" s="8" t="s">
        <v>1043</v>
      </c>
      <c r="B231" s="8">
        <v>2</v>
      </c>
      <c r="C231" s="8">
        <v>13</v>
      </c>
      <c r="D231" s="8" t="s">
        <v>1695</v>
      </c>
      <c r="E231" s="9">
        <v>44.11</v>
      </c>
      <c r="F231" s="8" t="s">
        <v>469</v>
      </c>
      <c r="G231" s="10">
        <v>5784</v>
      </c>
      <c r="H231" s="11"/>
      <c r="I231" s="143"/>
      <c r="J231" s="9">
        <f t="array" ref="J231">IFERROR(I231/G231*100,0)</f>
        <v>0</v>
      </c>
      <c r="K231" s="143"/>
      <c r="L231" s="9">
        <f t="shared" si="4"/>
        <v>0</v>
      </c>
      <c r="M231" s="8" t="str">
        <f t="array" ref="M231">IF(L231&gt;5,"Perlu Pengendalian",IF(AND(L231&gt;=0,I231&gt;0),"Tidak Perlu Pengendalian","Belum Sensus"))</f>
        <v>Belum Sensus</v>
      </c>
      <c r="N231" s="143"/>
      <c r="O231" s="9">
        <f t="array" ref="O231">IFERROR(N231/I231*100,0)</f>
        <v>0</v>
      </c>
    </row>
    <row r="232" spans="1:15" outlineLevel="1" x14ac:dyDescent="0.15">
      <c r="A232" s="8" t="s">
        <v>1043</v>
      </c>
      <c r="B232" s="8">
        <v>2</v>
      </c>
      <c r="C232" s="8">
        <v>13</v>
      </c>
      <c r="D232" s="8" t="s">
        <v>1696</v>
      </c>
      <c r="E232" s="9">
        <v>48.31</v>
      </c>
      <c r="F232" s="8" t="s">
        <v>469</v>
      </c>
      <c r="G232" s="10">
        <v>6674</v>
      </c>
      <c r="H232" s="11"/>
      <c r="I232" s="143"/>
      <c r="J232" s="9">
        <f t="array" ref="J232">IFERROR(I232/G232*100,0)</f>
        <v>0</v>
      </c>
      <c r="K232" s="143"/>
      <c r="L232" s="9">
        <f t="shared" si="4"/>
        <v>0</v>
      </c>
      <c r="M232" s="8" t="str">
        <f t="array" ref="M232">IF(L232&gt;5,"Perlu Pengendalian",IF(AND(L232&gt;=0,I232&gt;0),"Tidak Perlu Pengendalian","Belum Sensus"))</f>
        <v>Belum Sensus</v>
      </c>
      <c r="N232" s="143"/>
      <c r="O232" s="9">
        <f t="array" ref="O232">IFERROR(N232/I232*100,0)</f>
        <v>0</v>
      </c>
    </row>
    <row r="233" spans="1:15" outlineLevel="1" x14ac:dyDescent="0.15">
      <c r="A233" s="8" t="s">
        <v>1043</v>
      </c>
      <c r="B233" s="8">
        <v>2</v>
      </c>
      <c r="C233" s="8">
        <v>13</v>
      </c>
      <c r="D233" s="8" t="s">
        <v>1697</v>
      </c>
      <c r="E233" s="9">
        <v>26.68</v>
      </c>
      <c r="F233" s="8" t="s">
        <v>469</v>
      </c>
      <c r="G233" s="10">
        <v>3622</v>
      </c>
      <c r="H233" s="11"/>
      <c r="I233" s="143"/>
      <c r="J233" s="9">
        <f t="array" ref="J233">IFERROR(I233/G233*100,0)</f>
        <v>0</v>
      </c>
      <c r="K233" s="143"/>
      <c r="L233" s="9">
        <f t="shared" si="4"/>
        <v>0</v>
      </c>
      <c r="M233" s="8" t="str">
        <f t="array" ref="M233">IF(L233&gt;5,"Perlu Pengendalian",IF(AND(L233&gt;=0,I233&gt;0),"Tidak Perlu Pengendalian","Belum Sensus"))</f>
        <v>Belum Sensus</v>
      </c>
      <c r="N233" s="143"/>
      <c r="O233" s="9">
        <f t="array" ref="O233">IFERROR(N233/I233*100,0)</f>
        <v>0</v>
      </c>
    </row>
    <row r="234" spans="1:15" outlineLevel="1" x14ac:dyDescent="0.15">
      <c r="A234" s="8" t="s">
        <v>1043</v>
      </c>
      <c r="B234" s="8">
        <v>2</v>
      </c>
      <c r="C234" s="8">
        <v>13</v>
      </c>
      <c r="D234" s="8" t="s">
        <v>1698</v>
      </c>
      <c r="E234" s="9">
        <v>25.59</v>
      </c>
      <c r="F234" s="8" t="s">
        <v>469</v>
      </c>
      <c r="G234" s="10">
        <v>3273</v>
      </c>
      <c r="H234" s="11"/>
      <c r="I234" s="143"/>
      <c r="J234" s="9">
        <f t="array" ref="J234">IFERROR(I234/G234*100,0)</f>
        <v>0</v>
      </c>
      <c r="K234" s="143"/>
      <c r="L234" s="9">
        <f t="shared" si="4"/>
        <v>0</v>
      </c>
      <c r="M234" s="8" t="str">
        <f t="array" ref="M234">IF(L234&gt;5,"Perlu Pengendalian",IF(AND(L234&gt;=0,I234&gt;0),"Tidak Perlu Pengendalian","Belum Sensus"))</f>
        <v>Belum Sensus</v>
      </c>
      <c r="N234" s="143"/>
      <c r="O234" s="9">
        <f t="array" ref="O234">IFERROR(N234/I234*100,0)</f>
        <v>0</v>
      </c>
    </row>
    <row r="235" spans="1:15" outlineLevel="1" x14ac:dyDescent="0.15">
      <c r="A235" s="8" t="s">
        <v>1043</v>
      </c>
      <c r="B235" s="8">
        <v>2</v>
      </c>
      <c r="C235" s="8">
        <v>13</v>
      </c>
      <c r="D235" s="8" t="s">
        <v>1699</v>
      </c>
      <c r="E235" s="9">
        <v>37.32</v>
      </c>
      <c r="F235" s="8" t="s">
        <v>469</v>
      </c>
      <c r="G235" s="10">
        <v>3494</v>
      </c>
      <c r="H235" s="11"/>
      <c r="I235" s="143"/>
      <c r="J235" s="9">
        <f t="array" ref="J235">IFERROR(I235/G235*100,0)</f>
        <v>0</v>
      </c>
      <c r="K235" s="143"/>
      <c r="L235" s="9">
        <f t="shared" si="4"/>
        <v>0</v>
      </c>
      <c r="M235" s="8" t="str">
        <f t="array" ref="M235">IF(L235&gt;5,"Perlu Pengendalian",IF(AND(L235&gt;=0,I235&gt;0),"Tidak Perlu Pengendalian","Belum Sensus"))</f>
        <v>Belum Sensus</v>
      </c>
      <c r="N235" s="143"/>
      <c r="O235" s="9">
        <f t="array" ref="O235">IFERROR(N235/I235*100,0)</f>
        <v>0</v>
      </c>
    </row>
    <row r="236" spans="1:15" outlineLevel="1" x14ac:dyDescent="0.15">
      <c r="A236" s="8" t="s">
        <v>1043</v>
      </c>
      <c r="B236" s="8">
        <v>2</v>
      </c>
      <c r="C236" s="8">
        <v>13</v>
      </c>
      <c r="D236" s="8" t="s">
        <v>1700</v>
      </c>
      <c r="E236" s="9">
        <v>37.54</v>
      </c>
      <c r="F236" s="8" t="s">
        <v>469</v>
      </c>
      <c r="G236" s="10">
        <v>2447</v>
      </c>
      <c r="H236" s="11"/>
      <c r="I236" s="143"/>
      <c r="J236" s="9">
        <f t="array" ref="J236">IFERROR(I236/G236*100,0)</f>
        <v>0</v>
      </c>
      <c r="K236" s="143"/>
      <c r="L236" s="9">
        <f t="shared" si="4"/>
        <v>0</v>
      </c>
      <c r="M236" s="8" t="str">
        <f t="array" ref="M236">IF(L236&gt;5,"Perlu Pengendalian",IF(AND(L236&gt;=0,I236&gt;0),"Tidak Perlu Pengendalian","Belum Sensus"))</f>
        <v>Belum Sensus</v>
      </c>
      <c r="N236" s="143"/>
      <c r="O236" s="9">
        <f t="array" ref="O236">IFERROR(N236/I236*100,0)</f>
        <v>0</v>
      </c>
    </row>
    <row r="237" spans="1:15" outlineLevel="1" x14ac:dyDescent="0.15">
      <c r="A237" s="8" t="s">
        <v>1043</v>
      </c>
      <c r="B237" s="8">
        <v>2</v>
      </c>
      <c r="C237" s="8">
        <v>13</v>
      </c>
      <c r="D237" s="8" t="s">
        <v>1701</v>
      </c>
      <c r="E237" s="9">
        <v>32.230000000000004</v>
      </c>
      <c r="F237" s="8" t="s">
        <v>469</v>
      </c>
      <c r="G237" s="10">
        <v>3546</v>
      </c>
      <c r="H237" s="11"/>
      <c r="I237" s="143"/>
      <c r="J237" s="9">
        <f t="array" ref="J237">IFERROR(I237/G237*100,0)</f>
        <v>0</v>
      </c>
      <c r="K237" s="143"/>
      <c r="L237" s="9">
        <f t="shared" si="4"/>
        <v>0</v>
      </c>
      <c r="M237" s="8" t="str">
        <f t="array" ref="M237">IF(L237&gt;5,"Perlu Pengendalian",IF(AND(L237&gt;=0,I237&gt;0),"Tidak Perlu Pengendalian","Belum Sensus"))</f>
        <v>Belum Sensus</v>
      </c>
      <c r="N237" s="143"/>
      <c r="O237" s="9">
        <f t="array" ref="O237">IFERROR(N237/I237*100,0)</f>
        <v>0</v>
      </c>
    </row>
    <row r="238" spans="1:15" outlineLevel="1" x14ac:dyDescent="0.15">
      <c r="A238" s="8" t="s">
        <v>1043</v>
      </c>
      <c r="B238" s="8">
        <v>2</v>
      </c>
      <c r="C238" s="8">
        <v>13</v>
      </c>
      <c r="D238" s="8" t="s">
        <v>1702</v>
      </c>
      <c r="E238" s="9">
        <v>25.2</v>
      </c>
      <c r="F238" s="8" t="s">
        <v>469</v>
      </c>
      <c r="G238" s="10">
        <v>3207</v>
      </c>
      <c r="H238" s="11"/>
      <c r="I238" s="143"/>
      <c r="J238" s="9">
        <f t="array" ref="J238">IFERROR(I238/G238*100,0)</f>
        <v>0</v>
      </c>
      <c r="K238" s="143"/>
      <c r="L238" s="9">
        <f t="shared" si="4"/>
        <v>0</v>
      </c>
      <c r="M238" s="8" t="str">
        <f t="array" ref="M238">IF(L238&gt;5,"Perlu Pengendalian",IF(AND(L238&gt;=0,I238&gt;0),"Tidak Perlu Pengendalian","Belum Sensus"))</f>
        <v>Belum Sensus</v>
      </c>
      <c r="N238" s="143"/>
      <c r="O238" s="9">
        <f t="array" ref="O238">IFERROR(N238/I238*100,0)</f>
        <v>0</v>
      </c>
    </row>
    <row r="239" spans="1:15" outlineLevel="1" x14ac:dyDescent="0.15">
      <c r="A239" s="8" t="s">
        <v>1043</v>
      </c>
      <c r="B239" s="8">
        <v>2</v>
      </c>
      <c r="C239" s="8">
        <v>13</v>
      </c>
      <c r="D239" s="8" t="s">
        <v>1703</v>
      </c>
      <c r="E239" s="9">
        <v>24.86</v>
      </c>
      <c r="F239" s="8" t="s">
        <v>469</v>
      </c>
      <c r="G239" s="10">
        <v>3546</v>
      </c>
      <c r="H239" s="11"/>
      <c r="I239" s="143"/>
      <c r="J239" s="9">
        <f t="array" ref="J239">IFERROR(I239/G239*100,0)</f>
        <v>0</v>
      </c>
      <c r="K239" s="143"/>
      <c r="L239" s="9">
        <f t="shared" si="4"/>
        <v>0</v>
      </c>
      <c r="M239" s="8" t="str">
        <f t="array" ref="M239">IF(L239&gt;5,"Perlu Pengendalian",IF(AND(L239&gt;=0,I239&gt;0),"Tidak Perlu Pengendalian","Belum Sensus"))</f>
        <v>Belum Sensus</v>
      </c>
      <c r="N239" s="143"/>
      <c r="O239" s="9">
        <f t="array" ref="O239">IFERROR(N239/I239*100,0)</f>
        <v>0</v>
      </c>
    </row>
    <row r="240" spans="1:15" outlineLevel="1" x14ac:dyDescent="0.15">
      <c r="A240" s="8" t="s">
        <v>1043</v>
      </c>
      <c r="B240" s="8">
        <v>2</v>
      </c>
      <c r="C240" s="8">
        <v>13</v>
      </c>
      <c r="D240" s="8" t="s">
        <v>1704</v>
      </c>
      <c r="E240" s="9">
        <v>25.62</v>
      </c>
      <c r="F240" s="8" t="s">
        <v>469</v>
      </c>
      <c r="G240" s="10">
        <v>3554</v>
      </c>
      <c r="H240" s="11"/>
      <c r="I240" s="143"/>
      <c r="J240" s="9">
        <f t="array" ref="J240">IFERROR(I240/G240*100,0)</f>
        <v>0</v>
      </c>
      <c r="K240" s="143"/>
      <c r="L240" s="9">
        <f t="shared" si="4"/>
        <v>0</v>
      </c>
      <c r="M240" s="8" t="str">
        <f t="array" ref="M240">IF(L240&gt;5,"Perlu Pengendalian",IF(AND(L240&gt;=0,I240&gt;0),"Tidak Perlu Pengendalian","Belum Sensus"))</f>
        <v>Belum Sensus</v>
      </c>
      <c r="N240" s="143"/>
      <c r="O240" s="9">
        <f t="array" ref="O240">IFERROR(N240/I240*100,0)</f>
        <v>0</v>
      </c>
    </row>
    <row r="241" spans="1:15" outlineLevel="1" x14ac:dyDescent="0.15">
      <c r="A241" s="8" t="s">
        <v>1043</v>
      </c>
      <c r="B241" s="8">
        <v>2</v>
      </c>
      <c r="C241" s="8">
        <v>13</v>
      </c>
      <c r="D241" s="8" t="s">
        <v>1705</v>
      </c>
      <c r="E241" s="9">
        <v>24.74</v>
      </c>
      <c r="F241" s="8" t="s">
        <v>469</v>
      </c>
      <c r="G241" s="10">
        <v>3436</v>
      </c>
      <c r="H241" s="11"/>
      <c r="I241" s="143"/>
      <c r="J241" s="9">
        <f t="array" ref="J241">IFERROR(I241/G241*100,0)</f>
        <v>0</v>
      </c>
      <c r="K241" s="143"/>
      <c r="L241" s="9">
        <f t="shared" si="4"/>
        <v>0</v>
      </c>
      <c r="M241" s="8" t="str">
        <f t="array" ref="M241">IF(L241&gt;5,"Perlu Pengendalian",IF(AND(L241&gt;=0,I241&gt;0),"Tidak Perlu Pengendalian","Belum Sensus"))</f>
        <v>Belum Sensus</v>
      </c>
      <c r="N241" s="143"/>
      <c r="O241" s="9">
        <f t="array" ref="O241">IFERROR(N241/I241*100,0)</f>
        <v>0</v>
      </c>
    </row>
    <row r="242" spans="1:15" outlineLevel="1" x14ac:dyDescent="0.15">
      <c r="A242" s="8" t="s">
        <v>1043</v>
      </c>
      <c r="B242" s="8">
        <v>2</v>
      </c>
      <c r="C242" s="8">
        <v>13</v>
      </c>
      <c r="D242" s="8" t="s">
        <v>1706</v>
      </c>
      <c r="E242" s="9">
        <v>27.24</v>
      </c>
      <c r="F242" s="8" t="s">
        <v>469</v>
      </c>
      <c r="G242" s="10">
        <v>3737</v>
      </c>
      <c r="H242" s="11"/>
      <c r="I242" s="143"/>
      <c r="J242" s="9">
        <f t="array" ref="J242">IFERROR(I242/G242*100,0)</f>
        <v>0</v>
      </c>
      <c r="K242" s="143"/>
      <c r="L242" s="9">
        <f t="shared" si="4"/>
        <v>0</v>
      </c>
      <c r="M242" s="8" t="str">
        <f t="array" ref="M242">IF(L242&gt;5,"Perlu Pengendalian",IF(AND(L242&gt;=0,I242&gt;0),"Tidak Perlu Pengendalian","Belum Sensus"))</f>
        <v>Belum Sensus</v>
      </c>
      <c r="N242" s="143"/>
      <c r="O242" s="9">
        <f t="array" ref="O242">IFERROR(N242/I242*100,0)</f>
        <v>0</v>
      </c>
    </row>
    <row r="243" spans="1:15" outlineLevel="1" x14ac:dyDescent="0.15">
      <c r="A243" s="8" t="s">
        <v>1043</v>
      </c>
      <c r="B243" s="8">
        <v>2</v>
      </c>
      <c r="C243" s="8">
        <v>13</v>
      </c>
      <c r="D243" s="8" t="s">
        <v>1707</v>
      </c>
      <c r="E243" s="9">
        <v>29.55</v>
      </c>
      <c r="F243" s="8" t="s">
        <v>469</v>
      </c>
      <c r="G243" s="10">
        <v>3621</v>
      </c>
      <c r="H243" s="11"/>
      <c r="I243" s="143"/>
      <c r="J243" s="9">
        <f t="array" ref="J243">IFERROR(I243/G243*100,0)</f>
        <v>0</v>
      </c>
      <c r="K243" s="143"/>
      <c r="L243" s="9">
        <f t="shared" si="4"/>
        <v>0</v>
      </c>
      <c r="M243" s="8" t="str">
        <f t="array" ref="M243">IF(L243&gt;5,"Perlu Pengendalian",IF(AND(L243&gt;=0,I243&gt;0),"Tidak Perlu Pengendalian","Belum Sensus"))</f>
        <v>Belum Sensus</v>
      </c>
      <c r="N243" s="143"/>
      <c r="O243" s="9">
        <f t="array" ref="O243">IFERROR(N243/I243*100,0)</f>
        <v>0</v>
      </c>
    </row>
    <row r="244" spans="1:15" outlineLevel="1" x14ac:dyDescent="0.15">
      <c r="A244" s="8" t="s">
        <v>1043</v>
      </c>
      <c r="B244" s="8">
        <v>2</v>
      </c>
      <c r="C244" s="8">
        <v>13</v>
      </c>
      <c r="D244" s="8" t="s">
        <v>1708</v>
      </c>
      <c r="E244" s="9">
        <v>27.9</v>
      </c>
      <c r="F244" s="8" t="s">
        <v>469</v>
      </c>
      <c r="G244" s="10">
        <v>3054</v>
      </c>
      <c r="H244" s="11"/>
      <c r="I244" s="143"/>
      <c r="J244" s="9">
        <f t="array" ref="J244">IFERROR(I244/G244*100,0)</f>
        <v>0</v>
      </c>
      <c r="K244" s="143"/>
      <c r="L244" s="9">
        <f t="shared" si="4"/>
        <v>0</v>
      </c>
      <c r="M244" s="8" t="str">
        <f t="array" ref="M244">IF(L244&gt;5,"Perlu Pengendalian",IF(AND(L244&gt;=0,I244&gt;0),"Tidak Perlu Pengendalian","Belum Sensus"))</f>
        <v>Belum Sensus</v>
      </c>
      <c r="N244" s="143"/>
      <c r="O244" s="9">
        <f t="array" ref="O244">IFERROR(N244/I244*100,0)</f>
        <v>0</v>
      </c>
    </row>
    <row r="245" spans="1:15" outlineLevel="1" x14ac:dyDescent="0.15">
      <c r="A245" s="8" t="s">
        <v>1043</v>
      </c>
      <c r="B245" s="8">
        <v>2</v>
      </c>
      <c r="C245" s="8">
        <v>13</v>
      </c>
      <c r="D245" s="8" t="s">
        <v>1179</v>
      </c>
      <c r="E245" s="9">
        <v>34.14</v>
      </c>
      <c r="F245" s="8" t="s">
        <v>469</v>
      </c>
      <c r="G245" s="10">
        <v>3685</v>
      </c>
      <c r="H245" s="11"/>
      <c r="I245" s="143"/>
      <c r="J245" s="9">
        <f t="array" ref="J245">IFERROR(I245/G245*100,0)</f>
        <v>0</v>
      </c>
      <c r="K245" s="143"/>
      <c r="L245" s="9">
        <f t="shared" si="4"/>
        <v>0</v>
      </c>
      <c r="M245" s="8" t="str">
        <f t="array" ref="M245">IF(L245&gt;5,"Perlu Pengendalian",IF(AND(L245&gt;=0,I245&gt;0),"Tidak Perlu Pengendalian","Belum Sensus"))</f>
        <v>Belum Sensus</v>
      </c>
      <c r="N245" s="143"/>
      <c r="O245" s="9">
        <f t="array" ref="O245">IFERROR(N245/I245*100,0)</f>
        <v>0</v>
      </c>
    </row>
    <row r="246" spans="1:15" outlineLevel="1" x14ac:dyDescent="0.15">
      <c r="A246" s="8" t="s">
        <v>1043</v>
      </c>
      <c r="B246" s="8">
        <v>2</v>
      </c>
      <c r="C246" s="8">
        <v>13</v>
      </c>
      <c r="D246" s="8" t="s">
        <v>1180</v>
      </c>
      <c r="E246" s="9">
        <v>24.35</v>
      </c>
      <c r="F246" s="8" t="s">
        <v>469</v>
      </c>
      <c r="G246" s="10">
        <v>2785</v>
      </c>
      <c r="H246" s="11"/>
      <c r="I246" s="143"/>
      <c r="J246" s="9">
        <f t="array" ref="J246">IFERROR(I246/G246*100,0)</f>
        <v>0</v>
      </c>
      <c r="K246" s="143"/>
      <c r="L246" s="9">
        <f t="shared" si="4"/>
        <v>0</v>
      </c>
      <c r="M246" s="8" t="str">
        <f t="array" ref="M246">IF(L246&gt;5,"Perlu Pengendalian",IF(AND(L246&gt;=0,I246&gt;0),"Tidak Perlu Pengendalian","Belum Sensus"))</f>
        <v>Belum Sensus</v>
      </c>
      <c r="N246" s="143"/>
      <c r="O246" s="9">
        <f t="array" ref="O246">IFERROR(N246/I246*100,0)</f>
        <v>0</v>
      </c>
    </row>
    <row r="247" spans="1:15" outlineLevel="1" x14ac:dyDescent="0.15">
      <c r="A247" s="8" t="s">
        <v>1043</v>
      </c>
      <c r="B247" s="8">
        <v>2</v>
      </c>
      <c r="C247" s="8">
        <v>13</v>
      </c>
      <c r="D247" s="8" t="s">
        <v>1181</v>
      </c>
      <c r="E247" s="9">
        <v>25.04</v>
      </c>
      <c r="F247" s="8" t="s">
        <v>469</v>
      </c>
      <c r="G247" s="10">
        <v>3109</v>
      </c>
      <c r="H247" s="11"/>
      <c r="I247" s="143"/>
      <c r="J247" s="9">
        <f t="array" ref="J247">IFERROR(I247/G247*100,0)</f>
        <v>0</v>
      </c>
      <c r="K247" s="143"/>
      <c r="L247" s="9">
        <f t="shared" si="4"/>
        <v>0</v>
      </c>
      <c r="M247" s="8" t="str">
        <f t="array" ref="M247">IF(L247&gt;5,"Perlu Pengendalian",IF(AND(L247&gt;=0,I247&gt;0),"Tidak Perlu Pengendalian","Belum Sensus"))</f>
        <v>Belum Sensus</v>
      </c>
      <c r="N247" s="143"/>
      <c r="O247" s="9">
        <f t="array" ref="O247">IFERROR(N247/I247*100,0)</f>
        <v>0</v>
      </c>
    </row>
    <row r="248" spans="1:15" outlineLevel="1" x14ac:dyDescent="0.15">
      <c r="A248" s="8" t="s">
        <v>1043</v>
      </c>
      <c r="B248" s="8">
        <v>2</v>
      </c>
      <c r="C248" s="8">
        <v>13</v>
      </c>
      <c r="D248" s="8" t="s">
        <v>1182</v>
      </c>
      <c r="E248" s="9">
        <v>25.16</v>
      </c>
      <c r="F248" s="8" t="s">
        <v>469</v>
      </c>
      <c r="G248" s="10">
        <v>3395</v>
      </c>
      <c r="H248" s="11"/>
      <c r="I248" s="143"/>
      <c r="J248" s="9">
        <f t="array" ref="J248">IFERROR(I248/G248*100,0)</f>
        <v>0</v>
      </c>
      <c r="K248" s="143"/>
      <c r="L248" s="9">
        <f t="shared" si="4"/>
        <v>0</v>
      </c>
      <c r="M248" s="8" t="str">
        <f t="array" ref="M248">IF(L248&gt;5,"Perlu Pengendalian",IF(AND(L248&gt;=0,I248&gt;0),"Tidak Perlu Pengendalian","Belum Sensus"))</f>
        <v>Belum Sensus</v>
      </c>
      <c r="N248" s="143"/>
      <c r="O248" s="9">
        <f t="array" ref="O248">IFERROR(N248/I248*100,0)</f>
        <v>0</v>
      </c>
    </row>
    <row r="249" spans="1:15" outlineLevel="1" x14ac:dyDescent="0.15">
      <c r="A249" s="8" t="s">
        <v>1043</v>
      </c>
      <c r="B249" s="8">
        <v>2</v>
      </c>
      <c r="C249" s="8">
        <v>13</v>
      </c>
      <c r="D249" s="8" t="s">
        <v>1183</v>
      </c>
      <c r="E249" s="9">
        <v>25.49</v>
      </c>
      <c r="F249" s="8" t="s">
        <v>469</v>
      </c>
      <c r="G249" s="10">
        <v>3127</v>
      </c>
      <c r="H249" s="11"/>
      <c r="I249" s="143"/>
      <c r="J249" s="9">
        <f t="array" ref="J249">IFERROR(I249/G249*100,0)</f>
        <v>0</v>
      </c>
      <c r="K249" s="143"/>
      <c r="L249" s="9">
        <f t="shared" si="4"/>
        <v>0</v>
      </c>
      <c r="M249" s="8" t="str">
        <f t="array" ref="M249">IF(L249&gt;5,"Perlu Pengendalian",IF(AND(L249&gt;=0,I249&gt;0),"Tidak Perlu Pengendalian","Belum Sensus"))</f>
        <v>Belum Sensus</v>
      </c>
      <c r="N249" s="143"/>
      <c r="O249" s="9">
        <f t="array" ref="O249">IFERROR(N249/I249*100,0)</f>
        <v>0</v>
      </c>
    </row>
    <row r="250" spans="1:15" outlineLevel="1" x14ac:dyDescent="0.15">
      <c r="A250" s="8" t="s">
        <v>1043</v>
      </c>
      <c r="B250" s="8">
        <v>2</v>
      </c>
      <c r="C250" s="8">
        <v>13</v>
      </c>
      <c r="D250" s="8" t="s">
        <v>1200</v>
      </c>
      <c r="E250" s="9">
        <v>32.950000000000003</v>
      </c>
      <c r="F250" s="8" t="s">
        <v>469</v>
      </c>
      <c r="G250" s="10">
        <v>3611</v>
      </c>
      <c r="H250" s="11"/>
      <c r="I250" s="143"/>
      <c r="J250" s="9">
        <f t="array" ref="J250">IFERROR(I250/G250*100,0)</f>
        <v>0</v>
      </c>
      <c r="K250" s="143"/>
      <c r="L250" s="9">
        <f t="shared" si="4"/>
        <v>0</v>
      </c>
      <c r="M250" s="8" t="str">
        <f t="array" ref="M250">IF(L250&gt;5,"Perlu Pengendalian",IF(AND(L250&gt;=0,I250&gt;0),"Tidak Perlu Pengendalian","Belum Sensus"))</f>
        <v>Belum Sensus</v>
      </c>
      <c r="N250" s="143"/>
      <c r="O250" s="9">
        <f t="array" ref="O250">IFERROR(N250/I250*100,0)</f>
        <v>0</v>
      </c>
    </row>
    <row r="251" spans="1:15" outlineLevel="1" x14ac:dyDescent="0.15">
      <c r="A251" s="8" t="s">
        <v>1043</v>
      </c>
      <c r="B251" s="8">
        <v>2</v>
      </c>
      <c r="C251" s="8">
        <v>13</v>
      </c>
      <c r="D251" s="8" t="s">
        <v>1201</v>
      </c>
      <c r="E251" s="9">
        <v>20.3</v>
      </c>
      <c r="F251" s="8" t="s">
        <v>469</v>
      </c>
      <c r="G251" s="10">
        <v>2525</v>
      </c>
      <c r="H251" s="11"/>
      <c r="I251" s="143"/>
      <c r="J251" s="9">
        <f t="array" ref="J251">IFERROR(I251/G251*100,0)</f>
        <v>0</v>
      </c>
      <c r="K251" s="143"/>
      <c r="L251" s="9">
        <f t="shared" si="4"/>
        <v>0</v>
      </c>
      <c r="M251" s="8" t="str">
        <f t="array" ref="M251">IF(L251&gt;5,"Perlu Pengendalian",IF(AND(L251&gt;=0,I251&gt;0),"Tidak Perlu Pengendalian","Belum Sensus"))</f>
        <v>Belum Sensus</v>
      </c>
      <c r="N251" s="143"/>
      <c r="O251" s="9">
        <f t="array" ref="O251">IFERROR(N251/I251*100,0)</f>
        <v>0</v>
      </c>
    </row>
    <row r="252" spans="1:15" outlineLevel="1" x14ac:dyDescent="0.15">
      <c r="A252" s="8" t="s">
        <v>1043</v>
      </c>
      <c r="B252" s="8">
        <v>2</v>
      </c>
      <c r="C252" s="8">
        <v>13</v>
      </c>
      <c r="D252" s="8" t="s">
        <v>1228</v>
      </c>
      <c r="E252" s="9">
        <v>31.58</v>
      </c>
      <c r="F252" s="8" t="s">
        <v>469</v>
      </c>
      <c r="G252" s="10">
        <v>3228</v>
      </c>
      <c r="H252" s="11"/>
      <c r="I252" s="143"/>
      <c r="J252" s="9">
        <f t="array" ref="J252">IFERROR(I252/G252*100,0)</f>
        <v>0</v>
      </c>
      <c r="K252" s="143"/>
      <c r="L252" s="9">
        <f t="shared" si="4"/>
        <v>0</v>
      </c>
      <c r="M252" s="8" t="str">
        <f t="array" ref="M252">IF(L252&gt;5,"Perlu Pengendalian",IF(AND(L252&gt;=0,I252&gt;0),"Tidak Perlu Pengendalian","Belum Sensus"))</f>
        <v>Belum Sensus</v>
      </c>
      <c r="N252" s="143"/>
      <c r="O252" s="9">
        <f t="array" ref="O252">IFERROR(N252/I252*100,0)</f>
        <v>0</v>
      </c>
    </row>
    <row r="253" spans="1:15" outlineLevel="1" x14ac:dyDescent="0.15">
      <c r="A253" s="8" t="s">
        <v>1043</v>
      </c>
      <c r="B253" s="8">
        <v>2</v>
      </c>
      <c r="C253" s="8">
        <v>13</v>
      </c>
      <c r="D253" s="8" t="s">
        <v>1127</v>
      </c>
      <c r="E253" s="9">
        <v>30.5</v>
      </c>
      <c r="F253" s="8" t="s">
        <v>469</v>
      </c>
      <c r="G253" s="10">
        <v>3375</v>
      </c>
      <c r="H253" s="11"/>
      <c r="I253" s="143"/>
      <c r="J253" s="9">
        <f t="array" ref="J253">IFERROR(I253/G253*100,0)</f>
        <v>0</v>
      </c>
      <c r="K253" s="143"/>
      <c r="L253" s="9">
        <f t="shared" si="4"/>
        <v>0</v>
      </c>
      <c r="M253" s="8" t="str">
        <f t="array" ref="M253">IF(L253&gt;5,"Perlu Pengendalian",IF(AND(L253&gt;=0,I253&gt;0),"Tidak Perlu Pengendalian","Belum Sensus"))</f>
        <v>Belum Sensus</v>
      </c>
      <c r="N253" s="143"/>
      <c r="O253" s="9">
        <f t="array" ref="O253">IFERROR(N253/I253*100,0)</f>
        <v>0</v>
      </c>
    </row>
    <row r="254" spans="1:15" outlineLevel="1" x14ac:dyDescent="0.15">
      <c r="A254" s="8" t="s">
        <v>1043</v>
      </c>
      <c r="B254" s="8">
        <v>2</v>
      </c>
      <c r="C254" s="8">
        <v>13</v>
      </c>
      <c r="D254" s="8" t="s">
        <v>1128</v>
      </c>
      <c r="E254" s="9">
        <v>35.5</v>
      </c>
      <c r="F254" s="8" t="s">
        <v>469</v>
      </c>
      <c r="G254" s="10">
        <v>4442</v>
      </c>
      <c r="H254" s="11"/>
      <c r="I254" s="143"/>
      <c r="J254" s="9">
        <f t="array" ref="J254">IFERROR(I254/G254*100,0)</f>
        <v>0</v>
      </c>
      <c r="K254" s="143"/>
      <c r="L254" s="9">
        <f t="shared" si="4"/>
        <v>0</v>
      </c>
      <c r="M254" s="8" t="str">
        <f t="array" ref="M254">IF(L254&gt;5,"Perlu Pengendalian",IF(AND(L254&gt;=0,I254&gt;0),"Tidak Perlu Pengendalian","Belum Sensus"))</f>
        <v>Belum Sensus</v>
      </c>
      <c r="N254" s="143"/>
      <c r="O254" s="9">
        <f t="array" ref="O254">IFERROR(N254/I254*100,0)</f>
        <v>0</v>
      </c>
    </row>
    <row r="255" spans="1:15" outlineLevel="1" x14ac:dyDescent="0.15">
      <c r="A255" s="8" t="s">
        <v>1043</v>
      </c>
      <c r="B255" s="8">
        <v>2</v>
      </c>
      <c r="C255" s="8">
        <v>13</v>
      </c>
      <c r="D255" s="8" t="s">
        <v>1129</v>
      </c>
      <c r="E255" s="9">
        <v>31.95</v>
      </c>
      <c r="F255" s="8" t="s">
        <v>469</v>
      </c>
      <c r="G255" s="10">
        <v>3891</v>
      </c>
      <c r="H255" s="11"/>
      <c r="I255" s="143"/>
      <c r="J255" s="9">
        <f t="array" ref="J255">IFERROR(I255/G255*100,0)</f>
        <v>0</v>
      </c>
      <c r="K255" s="143"/>
      <c r="L255" s="9">
        <f t="shared" si="4"/>
        <v>0</v>
      </c>
      <c r="M255" s="8" t="str">
        <f t="array" ref="M255">IF(L255&gt;5,"Perlu Pengendalian",IF(AND(L255&gt;=0,I255&gt;0),"Tidak Perlu Pengendalian","Belum Sensus"))</f>
        <v>Belum Sensus</v>
      </c>
      <c r="N255" s="143"/>
      <c r="O255" s="9">
        <f t="array" ref="O255">IFERROR(N255/I255*100,0)</f>
        <v>0</v>
      </c>
    </row>
    <row r="256" spans="1:15" outlineLevel="1" x14ac:dyDescent="0.15">
      <c r="A256" s="8" t="s">
        <v>1043</v>
      </c>
      <c r="B256" s="8">
        <v>2</v>
      </c>
      <c r="C256" s="8">
        <v>13</v>
      </c>
      <c r="D256" s="8" t="s">
        <v>1130</v>
      </c>
      <c r="E256" s="9">
        <v>27.54</v>
      </c>
      <c r="F256" s="8" t="s">
        <v>469</v>
      </c>
      <c r="G256" s="10">
        <v>3192</v>
      </c>
      <c r="H256" s="11"/>
      <c r="I256" s="143"/>
      <c r="J256" s="9">
        <f t="array" ref="J256">IFERROR(I256/G256*100,0)</f>
        <v>0</v>
      </c>
      <c r="K256" s="143"/>
      <c r="L256" s="9">
        <f t="shared" si="4"/>
        <v>0</v>
      </c>
      <c r="M256" s="8" t="str">
        <f t="array" ref="M256">IF(L256&gt;5,"Perlu Pengendalian",IF(AND(L256&gt;=0,I256&gt;0),"Tidak Perlu Pengendalian","Belum Sensus"))</f>
        <v>Belum Sensus</v>
      </c>
      <c r="N256" s="143"/>
      <c r="O256" s="9">
        <f t="array" ref="O256">IFERROR(N256/I256*100,0)</f>
        <v>0</v>
      </c>
    </row>
    <row r="257" spans="1:15" outlineLevel="1" x14ac:dyDescent="0.15">
      <c r="A257" s="8" t="s">
        <v>1043</v>
      </c>
      <c r="B257" s="8">
        <v>2</v>
      </c>
      <c r="C257" s="8">
        <v>14</v>
      </c>
      <c r="D257" s="8" t="s">
        <v>1709</v>
      </c>
      <c r="E257" s="9">
        <v>41.49</v>
      </c>
      <c r="F257" s="8" t="s">
        <v>469</v>
      </c>
      <c r="G257" s="10">
        <v>4664</v>
      </c>
      <c r="H257" s="11"/>
      <c r="I257" s="143"/>
      <c r="J257" s="9">
        <f t="array" ref="J257">IFERROR(I257/G257*100,0)</f>
        <v>0</v>
      </c>
      <c r="K257" s="143"/>
      <c r="L257" s="9">
        <f t="shared" si="4"/>
        <v>0</v>
      </c>
      <c r="M257" s="8" t="str">
        <f t="array" ref="M257">IF(L257&gt;5,"Perlu Pengendalian",IF(AND(L257&gt;=0,I257&gt;0),"Tidak Perlu Pengendalian","Belum Sensus"))</f>
        <v>Belum Sensus</v>
      </c>
      <c r="N257" s="143"/>
      <c r="O257" s="9">
        <f t="array" ref="O257">IFERROR(N257/I257*100,0)</f>
        <v>0</v>
      </c>
    </row>
    <row r="258" spans="1:15" outlineLevel="1" x14ac:dyDescent="0.15">
      <c r="A258" s="8" t="s">
        <v>1043</v>
      </c>
      <c r="B258" s="8">
        <v>2</v>
      </c>
      <c r="C258" s="8">
        <v>14</v>
      </c>
      <c r="D258" s="8" t="s">
        <v>1710</v>
      </c>
      <c r="E258" s="9">
        <v>25.740000000000002</v>
      </c>
      <c r="F258" s="8" t="s">
        <v>469</v>
      </c>
      <c r="G258" s="10">
        <v>2153</v>
      </c>
      <c r="H258" s="11"/>
      <c r="I258" s="143"/>
      <c r="J258" s="9">
        <f t="array" ref="J258">IFERROR(I258/G258*100,0)</f>
        <v>0</v>
      </c>
      <c r="K258" s="143"/>
      <c r="L258" s="9">
        <f t="shared" si="4"/>
        <v>0</v>
      </c>
      <c r="M258" s="8" t="str">
        <f t="array" ref="M258">IF(L258&gt;5,"Perlu Pengendalian",IF(AND(L258&gt;=0,I258&gt;0),"Tidak Perlu Pengendalian","Belum Sensus"))</f>
        <v>Belum Sensus</v>
      </c>
      <c r="N258" s="143"/>
      <c r="O258" s="9">
        <f t="array" ref="O258">IFERROR(N258/I258*100,0)</f>
        <v>0</v>
      </c>
    </row>
    <row r="259" spans="1:15" outlineLevel="1" x14ac:dyDescent="0.15">
      <c r="A259" s="8" t="s">
        <v>1043</v>
      </c>
      <c r="B259" s="8">
        <v>2</v>
      </c>
      <c r="C259" s="8">
        <v>14</v>
      </c>
      <c r="D259" s="8" t="s">
        <v>1711</v>
      </c>
      <c r="E259" s="9">
        <v>36.950000000000003</v>
      </c>
      <c r="F259" s="8" t="s">
        <v>469</v>
      </c>
      <c r="G259" s="10">
        <v>5356</v>
      </c>
      <c r="H259" s="11"/>
      <c r="I259" s="143"/>
      <c r="J259" s="9">
        <f t="array" ref="J259">IFERROR(I259/G259*100,0)</f>
        <v>0</v>
      </c>
      <c r="K259" s="143"/>
      <c r="L259" s="9">
        <f t="shared" si="4"/>
        <v>0</v>
      </c>
      <c r="M259" s="8" t="str">
        <f t="array" ref="M259">IF(L259&gt;5,"Perlu Pengendalian",IF(AND(L259&gt;=0,I259&gt;0),"Tidak Perlu Pengendalian","Belum Sensus"))</f>
        <v>Belum Sensus</v>
      </c>
      <c r="N259" s="143"/>
      <c r="O259" s="9">
        <f t="array" ref="O259">IFERROR(N259/I259*100,0)</f>
        <v>0</v>
      </c>
    </row>
    <row r="260" spans="1:15" outlineLevel="1" x14ac:dyDescent="0.15">
      <c r="A260" s="8" t="s">
        <v>1043</v>
      </c>
      <c r="B260" s="8">
        <v>2</v>
      </c>
      <c r="C260" s="8">
        <v>14</v>
      </c>
      <c r="D260" s="8" t="s">
        <v>1712</v>
      </c>
      <c r="E260" s="9">
        <v>39.82</v>
      </c>
      <c r="F260" s="8" t="s">
        <v>469</v>
      </c>
      <c r="G260" s="10">
        <v>5201</v>
      </c>
      <c r="H260" s="11"/>
      <c r="I260" s="143"/>
      <c r="J260" s="9">
        <f t="array" ref="J260">IFERROR(I260/G260*100,0)</f>
        <v>0</v>
      </c>
      <c r="K260" s="143"/>
      <c r="L260" s="9">
        <f t="shared" si="4"/>
        <v>0</v>
      </c>
      <c r="M260" s="8" t="str">
        <f t="array" ref="M260">IF(L260&gt;5,"Perlu Pengendalian",IF(AND(L260&gt;=0,I260&gt;0),"Tidak Perlu Pengendalian","Belum Sensus"))</f>
        <v>Belum Sensus</v>
      </c>
      <c r="N260" s="143"/>
      <c r="O260" s="9">
        <f t="array" ref="O260">IFERROR(N260/I260*100,0)</f>
        <v>0</v>
      </c>
    </row>
    <row r="261" spans="1:15" outlineLevel="1" x14ac:dyDescent="0.15">
      <c r="A261" s="8" t="s">
        <v>1043</v>
      </c>
      <c r="B261" s="8">
        <v>2</v>
      </c>
      <c r="C261" s="8">
        <v>14</v>
      </c>
      <c r="D261" s="8" t="s">
        <v>1713</v>
      </c>
      <c r="E261" s="9">
        <v>34.020000000000003</v>
      </c>
      <c r="F261" s="8" t="s">
        <v>469</v>
      </c>
      <c r="G261" s="10">
        <v>3930</v>
      </c>
      <c r="H261" s="11"/>
      <c r="I261" s="143"/>
      <c r="J261" s="9">
        <f t="array" ref="J261">IFERROR(I261/G261*100,0)</f>
        <v>0</v>
      </c>
      <c r="K261" s="143"/>
      <c r="L261" s="9">
        <f t="shared" si="4"/>
        <v>0</v>
      </c>
      <c r="M261" s="8" t="str">
        <f t="array" ref="M261">IF(L261&gt;5,"Perlu Pengendalian",IF(AND(L261&gt;=0,I261&gt;0),"Tidak Perlu Pengendalian","Belum Sensus"))</f>
        <v>Belum Sensus</v>
      </c>
      <c r="N261" s="143"/>
      <c r="O261" s="9">
        <f t="array" ref="O261">IFERROR(N261/I261*100,0)</f>
        <v>0</v>
      </c>
    </row>
    <row r="262" spans="1:15" outlineLevel="1" x14ac:dyDescent="0.15">
      <c r="A262" s="8" t="s">
        <v>1043</v>
      </c>
      <c r="B262" s="8">
        <v>2</v>
      </c>
      <c r="C262" s="8">
        <v>14</v>
      </c>
      <c r="D262" s="8" t="s">
        <v>1714</v>
      </c>
      <c r="E262" s="9">
        <v>46.910000000000004</v>
      </c>
      <c r="F262" s="8" t="s">
        <v>469</v>
      </c>
      <c r="G262" s="10">
        <v>4838</v>
      </c>
      <c r="H262" s="11"/>
      <c r="I262" s="143"/>
      <c r="J262" s="9">
        <f t="array" ref="J262">IFERROR(I262/G262*100,0)</f>
        <v>0</v>
      </c>
      <c r="K262" s="143"/>
      <c r="L262" s="9">
        <f t="shared" si="4"/>
        <v>0</v>
      </c>
      <c r="M262" s="8" t="str">
        <f t="array" ref="M262">IF(L262&gt;5,"Perlu Pengendalian",IF(AND(L262&gt;=0,I262&gt;0),"Tidak Perlu Pengendalian","Belum Sensus"))</f>
        <v>Belum Sensus</v>
      </c>
      <c r="N262" s="143"/>
      <c r="O262" s="9">
        <f t="array" ref="O262">IFERROR(N262/I262*100,0)</f>
        <v>0</v>
      </c>
    </row>
    <row r="263" spans="1:15" outlineLevel="1" x14ac:dyDescent="0.15">
      <c r="A263" s="8" t="s">
        <v>1043</v>
      </c>
      <c r="B263" s="8">
        <v>2</v>
      </c>
      <c r="C263" s="8">
        <v>14</v>
      </c>
      <c r="D263" s="8" t="s">
        <v>1227</v>
      </c>
      <c r="E263" s="9">
        <v>36.099999999999994</v>
      </c>
      <c r="F263" s="8" t="s">
        <v>469</v>
      </c>
      <c r="G263" s="10">
        <v>3225</v>
      </c>
      <c r="H263" s="11"/>
      <c r="I263" s="143"/>
      <c r="J263" s="9">
        <f t="array" ref="J263">IFERROR(I263/G263*100,0)</f>
        <v>0</v>
      </c>
      <c r="K263" s="143"/>
      <c r="L263" s="9">
        <f t="shared" ref="L263:L299" si="5">IFERROR(K263/I263*100,0)</f>
        <v>0</v>
      </c>
      <c r="M263" s="8" t="str">
        <f t="array" ref="M263">IF(L263&gt;5,"Perlu Pengendalian",IF(AND(L263&gt;=0,I263&gt;0),"Tidak Perlu Pengendalian","Belum Sensus"))</f>
        <v>Belum Sensus</v>
      </c>
      <c r="N263" s="143"/>
      <c r="O263" s="9">
        <f t="array" ref="O263">IFERROR(N263/I263*100,0)</f>
        <v>0</v>
      </c>
    </row>
    <row r="264" spans="1:15" outlineLevel="1" x14ac:dyDescent="0.15">
      <c r="A264" s="8" t="s">
        <v>1043</v>
      </c>
      <c r="B264" s="8">
        <v>2</v>
      </c>
      <c r="C264" s="8">
        <v>14</v>
      </c>
      <c r="D264" s="8" t="s">
        <v>1715</v>
      </c>
      <c r="E264" s="9">
        <v>35.26</v>
      </c>
      <c r="F264" s="8" t="s">
        <v>469</v>
      </c>
      <c r="G264" s="10">
        <v>3434</v>
      </c>
      <c r="H264" s="11"/>
      <c r="I264" s="143"/>
      <c r="J264" s="9">
        <f t="array" ref="J264">IFERROR(I264/G264*100,0)</f>
        <v>0</v>
      </c>
      <c r="K264" s="143"/>
      <c r="L264" s="9">
        <f t="shared" si="5"/>
        <v>0</v>
      </c>
      <c r="M264" s="8" t="str">
        <f t="array" ref="M264">IF(L264&gt;5,"Perlu Pengendalian",IF(AND(L264&gt;=0,I264&gt;0),"Tidak Perlu Pengendalian","Belum Sensus"))</f>
        <v>Belum Sensus</v>
      </c>
      <c r="N264" s="143"/>
      <c r="O264" s="9">
        <f t="array" ref="O264">IFERROR(N264/I264*100,0)</f>
        <v>0</v>
      </c>
    </row>
    <row r="265" spans="1:15" outlineLevel="1" x14ac:dyDescent="0.15">
      <c r="A265" s="8" t="s">
        <v>1043</v>
      </c>
      <c r="B265" s="8">
        <v>2</v>
      </c>
      <c r="C265" s="8">
        <v>14</v>
      </c>
      <c r="D265" s="8" t="s">
        <v>1125</v>
      </c>
      <c r="E265" s="9">
        <v>29.91</v>
      </c>
      <c r="F265" s="8" t="s">
        <v>469</v>
      </c>
      <c r="G265" s="10">
        <v>2239</v>
      </c>
      <c r="H265" s="11"/>
      <c r="I265" s="143"/>
      <c r="J265" s="9">
        <f t="array" ref="J265">IFERROR(I265/G265*100,0)</f>
        <v>0</v>
      </c>
      <c r="K265" s="143"/>
      <c r="L265" s="9">
        <f t="shared" si="5"/>
        <v>0</v>
      </c>
      <c r="M265" s="8" t="str">
        <f t="array" ref="M265">IF(L265&gt;5,"Perlu Pengendalian",IF(AND(L265&gt;=0,I265&gt;0),"Tidak Perlu Pengendalian","Belum Sensus"))</f>
        <v>Belum Sensus</v>
      </c>
      <c r="N265" s="143"/>
      <c r="O265" s="9">
        <f t="array" ref="O265">IFERROR(N265/I265*100,0)</f>
        <v>0</v>
      </c>
    </row>
    <row r="266" spans="1:15" outlineLevel="1" x14ac:dyDescent="0.15">
      <c r="A266" s="8" t="s">
        <v>1043</v>
      </c>
      <c r="B266" s="8">
        <v>2</v>
      </c>
      <c r="C266" s="8">
        <v>14</v>
      </c>
      <c r="D266" s="8" t="s">
        <v>1146</v>
      </c>
      <c r="E266" s="9">
        <v>31.07</v>
      </c>
      <c r="F266" s="8" t="s">
        <v>469</v>
      </c>
      <c r="G266" s="10">
        <v>3909</v>
      </c>
      <c r="H266" s="11"/>
      <c r="I266" s="143"/>
      <c r="J266" s="9">
        <f t="array" ref="J266">IFERROR(I266/G266*100,0)</f>
        <v>0</v>
      </c>
      <c r="K266" s="143"/>
      <c r="L266" s="9">
        <f t="shared" si="5"/>
        <v>0</v>
      </c>
      <c r="M266" s="8" t="str">
        <f t="array" ref="M266">IF(L266&gt;5,"Perlu Pengendalian",IF(AND(L266&gt;=0,I266&gt;0),"Tidak Perlu Pengendalian","Belum Sensus"))</f>
        <v>Belum Sensus</v>
      </c>
      <c r="N266" s="143"/>
      <c r="O266" s="9">
        <f t="array" ref="O266">IFERROR(N266/I266*100,0)</f>
        <v>0</v>
      </c>
    </row>
    <row r="267" spans="1:15" outlineLevel="1" x14ac:dyDescent="0.15">
      <c r="A267" s="8" t="s">
        <v>1043</v>
      </c>
      <c r="B267" s="8">
        <v>2</v>
      </c>
      <c r="C267" s="8">
        <v>14</v>
      </c>
      <c r="D267" s="8" t="s">
        <v>1177</v>
      </c>
      <c r="E267" s="9">
        <v>29.790000000000003</v>
      </c>
      <c r="F267" s="8" t="s">
        <v>469</v>
      </c>
      <c r="G267" s="10">
        <v>3854</v>
      </c>
      <c r="H267" s="11"/>
      <c r="I267" s="143"/>
      <c r="J267" s="9">
        <f t="array" ref="J267">IFERROR(I267/G267*100,0)</f>
        <v>0</v>
      </c>
      <c r="K267" s="143"/>
      <c r="L267" s="9">
        <f t="shared" si="5"/>
        <v>0</v>
      </c>
      <c r="M267" s="8" t="str">
        <f t="array" ref="M267">IF(L267&gt;5,"Perlu Pengendalian",IF(AND(L267&gt;=0,I267&gt;0),"Tidak Perlu Pengendalian","Belum Sensus"))</f>
        <v>Belum Sensus</v>
      </c>
      <c r="N267" s="143"/>
      <c r="O267" s="9">
        <f t="array" ref="O267">IFERROR(N267/I267*100,0)</f>
        <v>0</v>
      </c>
    </row>
    <row r="268" spans="1:15" outlineLevel="1" x14ac:dyDescent="0.15">
      <c r="A268" s="8" t="s">
        <v>1043</v>
      </c>
      <c r="B268" s="8">
        <v>2</v>
      </c>
      <c r="C268" s="8">
        <v>14</v>
      </c>
      <c r="D268" s="8" t="s">
        <v>1178</v>
      </c>
      <c r="E268" s="9">
        <v>37.24</v>
      </c>
      <c r="F268" s="8" t="s">
        <v>469</v>
      </c>
      <c r="G268" s="10">
        <v>4192</v>
      </c>
      <c r="H268" s="11"/>
      <c r="I268" s="143"/>
      <c r="J268" s="9">
        <f t="array" ref="J268">IFERROR(I268/G268*100,0)</f>
        <v>0</v>
      </c>
      <c r="K268" s="143"/>
      <c r="L268" s="9">
        <f t="shared" si="5"/>
        <v>0</v>
      </c>
      <c r="M268" s="8" t="str">
        <f t="array" ref="M268">IF(L268&gt;5,"Perlu Pengendalian",IF(AND(L268&gt;=0,I268&gt;0),"Tidak Perlu Pengendalian","Belum Sensus"))</f>
        <v>Belum Sensus</v>
      </c>
      <c r="N268" s="143"/>
      <c r="O268" s="9">
        <f t="array" ref="O268">IFERROR(N268/I268*100,0)</f>
        <v>0</v>
      </c>
    </row>
    <row r="269" spans="1:15" outlineLevel="1" x14ac:dyDescent="0.15">
      <c r="A269" s="8" t="s">
        <v>1043</v>
      </c>
      <c r="B269" s="8">
        <v>2</v>
      </c>
      <c r="C269" s="8">
        <v>14</v>
      </c>
      <c r="D269" s="8" t="s">
        <v>1100</v>
      </c>
      <c r="E269" s="9">
        <v>42.379999999999995</v>
      </c>
      <c r="F269" s="8" t="s">
        <v>469</v>
      </c>
      <c r="G269" s="10">
        <v>4878</v>
      </c>
      <c r="H269" s="11"/>
      <c r="I269" s="143"/>
      <c r="J269" s="9">
        <f t="array" ref="J269">IFERROR(I269/G269*100,0)</f>
        <v>0</v>
      </c>
      <c r="K269" s="143"/>
      <c r="L269" s="9">
        <f t="shared" si="5"/>
        <v>0</v>
      </c>
      <c r="M269" s="8" t="str">
        <f t="array" ref="M269">IF(L269&gt;5,"Perlu Pengendalian",IF(AND(L269&gt;=0,I269&gt;0),"Tidak Perlu Pengendalian","Belum Sensus"))</f>
        <v>Belum Sensus</v>
      </c>
      <c r="N269" s="143"/>
      <c r="O269" s="9">
        <f t="array" ref="O269">IFERROR(N269/I269*100,0)</f>
        <v>0</v>
      </c>
    </row>
    <row r="270" spans="1:15" outlineLevel="1" x14ac:dyDescent="0.15">
      <c r="A270" s="8" t="s">
        <v>1043</v>
      </c>
      <c r="B270" s="8">
        <v>2</v>
      </c>
      <c r="C270" s="8">
        <v>14</v>
      </c>
      <c r="D270" s="8" t="s">
        <v>1126</v>
      </c>
      <c r="E270" s="9">
        <v>42.599999999999994</v>
      </c>
      <c r="F270" s="8" t="s">
        <v>469</v>
      </c>
      <c r="G270" s="10">
        <v>4999</v>
      </c>
      <c r="H270" s="11"/>
      <c r="I270" s="143"/>
      <c r="J270" s="9">
        <f t="array" ref="J270">IFERROR(I270/G270*100,0)</f>
        <v>0</v>
      </c>
      <c r="K270" s="143"/>
      <c r="L270" s="9">
        <f t="shared" si="5"/>
        <v>0</v>
      </c>
      <c r="M270" s="8" t="str">
        <f t="array" ref="M270">IF(L270&gt;5,"Perlu Pengendalian",IF(AND(L270&gt;=0,I270&gt;0),"Tidak Perlu Pengendalian","Belum Sensus"))</f>
        <v>Belum Sensus</v>
      </c>
      <c r="N270" s="143"/>
      <c r="O270" s="9">
        <f t="array" ref="O270">IFERROR(N270/I270*100,0)</f>
        <v>0</v>
      </c>
    </row>
    <row r="271" spans="1:15" outlineLevel="1" x14ac:dyDescent="0.15">
      <c r="A271" s="8" t="s">
        <v>1043</v>
      </c>
      <c r="B271" s="8">
        <v>2</v>
      </c>
      <c r="C271" s="8">
        <v>15</v>
      </c>
      <c r="D271" s="8" t="s">
        <v>1330</v>
      </c>
      <c r="E271" s="9">
        <v>25.509999999999998</v>
      </c>
      <c r="F271" s="8" t="s">
        <v>469</v>
      </c>
      <c r="G271" s="10">
        <v>3368</v>
      </c>
      <c r="H271" s="11"/>
      <c r="I271" s="143"/>
      <c r="J271" s="9">
        <f t="array" ref="J271">IFERROR(I271/G271*100,0)</f>
        <v>0</v>
      </c>
      <c r="K271" s="143"/>
      <c r="L271" s="9">
        <f t="shared" si="5"/>
        <v>0</v>
      </c>
      <c r="M271" s="8" t="str">
        <f t="array" ref="M271">IF(L271&gt;5,"Perlu Pengendalian",IF(AND(L271&gt;=0,I271&gt;0),"Tidak Perlu Pengendalian","Belum Sensus"))</f>
        <v>Belum Sensus</v>
      </c>
      <c r="N271" s="143"/>
      <c r="O271" s="9">
        <f t="array" ref="O271">IFERROR(N271/I271*100,0)</f>
        <v>0</v>
      </c>
    </row>
    <row r="272" spans="1:15" outlineLevel="1" x14ac:dyDescent="0.15">
      <c r="A272" s="8" t="s">
        <v>1043</v>
      </c>
      <c r="B272" s="8">
        <v>2</v>
      </c>
      <c r="C272" s="8">
        <v>15</v>
      </c>
      <c r="D272" s="8" t="s">
        <v>1331</v>
      </c>
      <c r="E272" s="9">
        <v>24.9</v>
      </c>
      <c r="F272" s="8" t="s">
        <v>469</v>
      </c>
      <c r="G272" s="10">
        <v>2736</v>
      </c>
      <c r="H272" s="11"/>
      <c r="I272" s="143"/>
      <c r="J272" s="9">
        <f t="array" ref="J272">IFERROR(I272/G272*100,0)</f>
        <v>0</v>
      </c>
      <c r="K272" s="143"/>
      <c r="L272" s="9">
        <f t="shared" si="5"/>
        <v>0</v>
      </c>
      <c r="M272" s="8" t="str">
        <f t="array" ref="M272">IF(L272&gt;5,"Perlu Pengendalian",IF(AND(L272&gt;=0,I272&gt;0),"Tidak Perlu Pengendalian","Belum Sensus"))</f>
        <v>Belum Sensus</v>
      </c>
      <c r="N272" s="143"/>
      <c r="O272" s="9">
        <f t="array" ref="O272">IFERROR(N272/I272*100,0)</f>
        <v>0</v>
      </c>
    </row>
    <row r="273" spans="1:15" outlineLevel="1" x14ac:dyDescent="0.15">
      <c r="A273" s="8" t="s">
        <v>1043</v>
      </c>
      <c r="B273" s="8">
        <v>2</v>
      </c>
      <c r="C273" s="8">
        <v>15</v>
      </c>
      <c r="D273" s="8" t="s">
        <v>1332</v>
      </c>
      <c r="E273" s="9">
        <v>30.23</v>
      </c>
      <c r="F273" s="8" t="s">
        <v>469</v>
      </c>
      <c r="G273" s="10">
        <v>4394</v>
      </c>
      <c r="H273" s="11"/>
      <c r="I273" s="143"/>
      <c r="J273" s="9">
        <f t="array" ref="J273">IFERROR(I273/G273*100,0)</f>
        <v>0</v>
      </c>
      <c r="K273" s="143"/>
      <c r="L273" s="9">
        <f t="shared" si="5"/>
        <v>0</v>
      </c>
      <c r="M273" s="8" t="str">
        <f t="array" ref="M273">IF(L273&gt;5,"Perlu Pengendalian",IF(AND(L273&gt;=0,I273&gt;0),"Tidak Perlu Pengendalian","Belum Sensus"))</f>
        <v>Belum Sensus</v>
      </c>
      <c r="N273" s="143"/>
      <c r="O273" s="9">
        <f t="array" ref="O273">IFERROR(N273/I273*100,0)</f>
        <v>0</v>
      </c>
    </row>
    <row r="274" spans="1:15" outlineLevel="1" x14ac:dyDescent="0.15">
      <c r="A274" s="8" t="s">
        <v>1043</v>
      </c>
      <c r="B274" s="8">
        <v>2</v>
      </c>
      <c r="C274" s="8">
        <v>15</v>
      </c>
      <c r="D274" s="8" t="s">
        <v>1716</v>
      </c>
      <c r="E274" s="9">
        <v>27.269999999999996</v>
      </c>
      <c r="F274" s="8" t="s">
        <v>469</v>
      </c>
      <c r="G274" s="10">
        <v>3766</v>
      </c>
      <c r="H274" s="11"/>
      <c r="I274" s="143"/>
      <c r="J274" s="9">
        <f t="array" ref="J274">IFERROR(I274/G274*100,0)</f>
        <v>0</v>
      </c>
      <c r="K274" s="143"/>
      <c r="L274" s="9">
        <f t="shared" si="5"/>
        <v>0</v>
      </c>
      <c r="M274" s="8" t="str">
        <f t="array" ref="M274">IF(L274&gt;5,"Perlu Pengendalian",IF(AND(L274&gt;=0,I274&gt;0),"Tidak Perlu Pengendalian","Belum Sensus"))</f>
        <v>Belum Sensus</v>
      </c>
      <c r="N274" s="143"/>
      <c r="O274" s="9">
        <f t="array" ref="O274">IFERROR(N274/I274*100,0)</f>
        <v>0</v>
      </c>
    </row>
    <row r="275" spans="1:15" outlineLevel="1" x14ac:dyDescent="0.15">
      <c r="A275" s="8" t="s">
        <v>1043</v>
      </c>
      <c r="B275" s="8">
        <v>2</v>
      </c>
      <c r="C275" s="8">
        <v>15</v>
      </c>
      <c r="D275" s="8" t="s">
        <v>1717</v>
      </c>
      <c r="E275" s="9">
        <v>49.59</v>
      </c>
      <c r="F275" s="8" t="s">
        <v>469</v>
      </c>
      <c r="G275" s="10">
        <v>6689</v>
      </c>
      <c r="H275" s="11"/>
      <c r="I275" s="143"/>
      <c r="J275" s="9">
        <f t="array" ref="J275">IFERROR(I275/G275*100,0)</f>
        <v>0</v>
      </c>
      <c r="K275" s="143"/>
      <c r="L275" s="9">
        <f t="shared" si="5"/>
        <v>0</v>
      </c>
      <c r="M275" s="8" t="str">
        <f t="array" ref="M275">IF(L275&gt;5,"Perlu Pengendalian",IF(AND(L275&gt;=0,I275&gt;0),"Tidak Perlu Pengendalian","Belum Sensus"))</f>
        <v>Belum Sensus</v>
      </c>
      <c r="N275" s="143"/>
      <c r="O275" s="9">
        <f t="array" ref="O275">IFERROR(N275/I275*100,0)</f>
        <v>0</v>
      </c>
    </row>
    <row r="276" spans="1:15" outlineLevel="1" x14ac:dyDescent="0.15">
      <c r="A276" s="8" t="s">
        <v>1043</v>
      </c>
      <c r="B276" s="8">
        <v>2</v>
      </c>
      <c r="C276" s="8">
        <v>15</v>
      </c>
      <c r="D276" s="8" t="s">
        <v>1718</v>
      </c>
      <c r="E276" s="9">
        <v>27.54</v>
      </c>
      <c r="F276" s="8" t="s">
        <v>469</v>
      </c>
      <c r="G276" s="10">
        <v>3080</v>
      </c>
      <c r="H276" s="11"/>
      <c r="I276" s="143"/>
      <c r="J276" s="9">
        <f t="array" ref="J276">IFERROR(I276/G276*100,0)</f>
        <v>0</v>
      </c>
      <c r="K276" s="143"/>
      <c r="L276" s="9">
        <f t="shared" si="5"/>
        <v>0</v>
      </c>
      <c r="M276" s="8" t="str">
        <f t="array" ref="M276">IF(L276&gt;5,"Perlu Pengendalian",IF(AND(L276&gt;=0,I276&gt;0),"Tidak Perlu Pengendalian","Belum Sensus"))</f>
        <v>Belum Sensus</v>
      </c>
      <c r="N276" s="143"/>
      <c r="O276" s="9">
        <f t="array" ref="O276">IFERROR(N276/I276*100,0)</f>
        <v>0</v>
      </c>
    </row>
    <row r="277" spans="1:15" outlineLevel="1" x14ac:dyDescent="0.15">
      <c r="A277" s="8" t="s">
        <v>1043</v>
      </c>
      <c r="B277" s="8">
        <v>2</v>
      </c>
      <c r="C277" s="8">
        <v>15</v>
      </c>
      <c r="D277" s="8" t="s">
        <v>1719</v>
      </c>
      <c r="E277" s="9">
        <v>26.28</v>
      </c>
      <c r="F277" s="8" t="s">
        <v>469</v>
      </c>
      <c r="G277" s="10">
        <v>3546</v>
      </c>
      <c r="H277" s="11"/>
      <c r="I277" s="143"/>
      <c r="J277" s="9">
        <f t="array" ref="J277">IFERROR(I277/G277*100,0)</f>
        <v>0</v>
      </c>
      <c r="K277" s="143"/>
      <c r="L277" s="9">
        <f t="shared" si="5"/>
        <v>0</v>
      </c>
      <c r="M277" s="8" t="str">
        <f t="array" ref="M277">IF(L277&gt;5,"Perlu Pengendalian",IF(AND(L277&gt;=0,I277&gt;0),"Tidak Perlu Pengendalian","Belum Sensus"))</f>
        <v>Belum Sensus</v>
      </c>
      <c r="N277" s="143"/>
      <c r="O277" s="9">
        <f t="array" ref="O277">IFERROR(N277/I277*100,0)</f>
        <v>0</v>
      </c>
    </row>
    <row r="278" spans="1:15" outlineLevel="1" x14ac:dyDescent="0.15">
      <c r="A278" s="8" t="s">
        <v>1043</v>
      </c>
      <c r="B278" s="8">
        <v>2</v>
      </c>
      <c r="C278" s="8">
        <v>15</v>
      </c>
      <c r="D278" s="8" t="s">
        <v>1720</v>
      </c>
      <c r="E278" s="9">
        <v>30.41</v>
      </c>
      <c r="F278" s="8" t="s">
        <v>469</v>
      </c>
      <c r="G278" s="10">
        <v>4075</v>
      </c>
      <c r="H278" s="11"/>
      <c r="I278" s="143"/>
      <c r="J278" s="9">
        <f t="array" ref="J278">IFERROR(I278/G278*100,0)</f>
        <v>0</v>
      </c>
      <c r="K278" s="143"/>
      <c r="L278" s="9">
        <f t="shared" si="5"/>
        <v>0</v>
      </c>
      <c r="M278" s="8" t="str">
        <f t="array" ref="M278">IF(L278&gt;5,"Perlu Pengendalian",IF(AND(L278&gt;=0,I278&gt;0),"Tidak Perlu Pengendalian","Belum Sensus"))</f>
        <v>Belum Sensus</v>
      </c>
      <c r="N278" s="143"/>
      <c r="O278" s="9">
        <f t="array" ref="O278">IFERROR(N278/I278*100,0)</f>
        <v>0</v>
      </c>
    </row>
    <row r="279" spans="1:15" outlineLevel="1" x14ac:dyDescent="0.15">
      <c r="A279" s="8" t="s">
        <v>1043</v>
      </c>
      <c r="B279" s="8">
        <v>2</v>
      </c>
      <c r="C279" s="8">
        <v>15</v>
      </c>
      <c r="D279" s="8" t="s">
        <v>1721</v>
      </c>
      <c r="E279" s="9">
        <v>36.4</v>
      </c>
      <c r="F279" s="8" t="s">
        <v>469</v>
      </c>
      <c r="G279" s="10">
        <v>4223</v>
      </c>
      <c r="H279" s="11"/>
      <c r="I279" s="143"/>
      <c r="J279" s="9">
        <f t="array" ref="J279">IFERROR(I279/G279*100,0)</f>
        <v>0</v>
      </c>
      <c r="K279" s="143"/>
      <c r="L279" s="9">
        <f t="shared" si="5"/>
        <v>0</v>
      </c>
      <c r="M279" s="8" t="str">
        <f t="array" ref="M279">IF(L279&gt;5,"Perlu Pengendalian",IF(AND(L279&gt;=0,I279&gt;0),"Tidak Perlu Pengendalian","Belum Sensus"))</f>
        <v>Belum Sensus</v>
      </c>
      <c r="N279" s="143"/>
      <c r="O279" s="9">
        <f t="array" ref="O279">IFERROR(N279/I279*100,0)</f>
        <v>0</v>
      </c>
    </row>
    <row r="280" spans="1:15" outlineLevel="1" x14ac:dyDescent="0.15">
      <c r="A280" s="8" t="s">
        <v>1043</v>
      </c>
      <c r="B280" s="8">
        <v>2</v>
      </c>
      <c r="C280" s="8">
        <v>15</v>
      </c>
      <c r="D280" s="8" t="s">
        <v>1722</v>
      </c>
      <c r="E280" s="9">
        <v>25.05</v>
      </c>
      <c r="F280" s="8" t="s">
        <v>469</v>
      </c>
      <c r="G280" s="10">
        <v>2591</v>
      </c>
      <c r="H280" s="11"/>
      <c r="I280" s="143"/>
      <c r="J280" s="9">
        <f t="array" ref="J280">IFERROR(I280/G280*100,0)</f>
        <v>0</v>
      </c>
      <c r="K280" s="143"/>
      <c r="L280" s="9">
        <f t="shared" si="5"/>
        <v>0</v>
      </c>
      <c r="M280" s="8" t="str">
        <f t="array" ref="M280">IF(L280&gt;5,"Perlu Pengendalian",IF(AND(L280&gt;=0,I280&gt;0),"Tidak Perlu Pengendalian","Belum Sensus"))</f>
        <v>Belum Sensus</v>
      </c>
      <c r="N280" s="143"/>
      <c r="O280" s="9">
        <f t="array" ref="O280">IFERROR(N280/I280*100,0)</f>
        <v>0</v>
      </c>
    </row>
    <row r="281" spans="1:15" outlineLevel="1" x14ac:dyDescent="0.15">
      <c r="A281" s="8" t="s">
        <v>1043</v>
      </c>
      <c r="B281" s="8">
        <v>2</v>
      </c>
      <c r="C281" s="8">
        <v>15</v>
      </c>
      <c r="D281" s="8" t="s">
        <v>1723</v>
      </c>
      <c r="E281" s="9">
        <v>29.4</v>
      </c>
      <c r="F281" s="8" t="s">
        <v>469</v>
      </c>
      <c r="G281" s="10">
        <v>2900</v>
      </c>
      <c r="H281" s="11"/>
      <c r="I281" s="143"/>
      <c r="J281" s="9">
        <f t="array" ref="J281">IFERROR(I281/G281*100,0)</f>
        <v>0</v>
      </c>
      <c r="K281" s="143"/>
      <c r="L281" s="9">
        <f t="shared" si="5"/>
        <v>0</v>
      </c>
      <c r="M281" s="8" t="str">
        <f t="array" ref="M281">IF(L281&gt;5,"Perlu Pengendalian",IF(AND(L281&gt;=0,I281&gt;0),"Tidak Perlu Pengendalian","Belum Sensus"))</f>
        <v>Belum Sensus</v>
      </c>
      <c r="N281" s="143"/>
      <c r="O281" s="9">
        <f t="array" ref="O281">IFERROR(N281/I281*100,0)</f>
        <v>0</v>
      </c>
    </row>
    <row r="282" spans="1:15" outlineLevel="1" x14ac:dyDescent="0.15">
      <c r="A282" s="8" t="s">
        <v>1043</v>
      </c>
      <c r="B282" s="8">
        <v>2</v>
      </c>
      <c r="C282" s="8">
        <v>15</v>
      </c>
      <c r="D282" s="8" t="s">
        <v>1724</v>
      </c>
      <c r="E282" s="9">
        <v>37.19</v>
      </c>
      <c r="F282" s="8" t="s">
        <v>469</v>
      </c>
      <c r="G282" s="10">
        <v>4299</v>
      </c>
      <c r="H282" s="11"/>
      <c r="I282" s="143"/>
      <c r="J282" s="9">
        <f t="array" ref="J282">IFERROR(I282/G282*100,0)</f>
        <v>0</v>
      </c>
      <c r="K282" s="143"/>
      <c r="L282" s="9">
        <f t="shared" si="5"/>
        <v>0</v>
      </c>
      <c r="M282" s="8" t="str">
        <f t="array" ref="M282">IF(L282&gt;5,"Perlu Pengendalian",IF(AND(L282&gt;=0,I282&gt;0),"Tidak Perlu Pengendalian","Belum Sensus"))</f>
        <v>Belum Sensus</v>
      </c>
      <c r="N282" s="143"/>
      <c r="O282" s="9">
        <f t="array" ref="O282">IFERROR(N282/I282*100,0)</f>
        <v>0</v>
      </c>
    </row>
    <row r="283" spans="1:15" outlineLevel="1" x14ac:dyDescent="0.15">
      <c r="A283" s="8" t="s">
        <v>1043</v>
      </c>
      <c r="B283" s="8">
        <v>2</v>
      </c>
      <c r="C283" s="8">
        <v>15</v>
      </c>
      <c r="D283" s="8" t="s">
        <v>1725</v>
      </c>
      <c r="E283" s="9">
        <v>33.29</v>
      </c>
      <c r="F283" s="8" t="s">
        <v>469</v>
      </c>
      <c r="G283" s="10">
        <v>3986</v>
      </c>
      <c r="H283" s="11"/>
      <c r="I283" s="143"/>
      <c r="J283" s="9">
        <f t="array" ref="J283">IFERROR(I283/G283*100,0)</f>
        <v>0</v>
      </c>
      <c r="K283" s="143"/>
      <c r="L283" s="9">
        <f t="shared" si="5"/>
        <v>0</v>
      </c>
      <c r="M283" s="8" t="str">
        <f t="array" ref="M283">IF(L283&gt;5,"Perlu Pengendalian",IF(AND(L283&gt;=0,I283&gt;0),"Tidak Perlu Pengendalian","Belum Sensus"))</f>
        <v>Belum Sensus</v>
      </c>
      <c r="N283" s="143"/>
      <c r="O283" s="9">
        <f t="array" ref="O283">IFERROR(N283/I283*100,0)</f>
        <v>0</v>
      </c>
    </row>
    <row r="284" spans="1:15" outlineLevel="1" x14ac:dyDescent="0.15">
      <c r="A284" s="8" t="s">
        <v>1043</v>
      </c>
      <c r="B284" s="8">
        <v>2</v>
      </c>
      <c r="C284" s="8">
        <v>15</v>
      </c>
      <c r="D284" s="8" t="s">
        <v>1726</v>
      </c>
      <c r="E284" s="9">
        <v>25.34</v>
      </c>
      <c r="F284" s="8" t="s">
        <v>469</v>
      </c>
      <c r="G284" s="10">
        <v>3457</v>
      </c>
      <c r="H284" s="11"/>
      <c r="I284" s="143"/>
      <c r="J284" s="9">
        <f t="array" ref="J284">IFERROR(I284/G284*100,0)</f>
        <v>0</v>
      </c>
      <c r="K284" s="143"/>
      <c r="L284" s="9">
        <f t="shared" si="5"/>
        <v>0</v>
      </c>
      <c r="M284" s="8" t="str">
        <f t="array" ref="M284">IF(L284&gt;5,"Perlu Pengendalian",IF(AND(L284&gt;=0,I284&gt;0),"Tidak Perlu Pengendalian","Belum Sensus"))</f>
        <v>Belum Sensus</v>
      </c>
      <c r="N284" s="143"/>
      <c r="O284" s="9">
        <f t="array" ref="O284">IFERROR(N284/I284*100,0)</f>
        <v>0</v>
      </c>
    </row>
    <row r="285" spans="1:15" outlineLevel="1" x14ac:dyDescent="0.15">
      <c r="A285" s="8" t="s">
        <v>1043</v>
      </c>
      <c r="B285" s="8">
        <v>2</v>
      </c>
      <c r="C285" s="8">
        <v>15</v>
      </c>
      <c r="D285" s="8" t="s">
        <v>1727</v>
      </c>
      <c r="E285" s="9">
        <v>26.15</v>
      </c>
      <c r="F285" s="8" t="s">
        <v>469</v>
      </c>
      <c r="G285" s="10">
        <v>3349</v>
      </c>
      <c r="H285" s="11"/>
      <c r="I285" s="143"/>
      <c r="J285" s="9">
        <f t="array" ref="J285">IFERROR(I285/G285*100,0)</f>
        <v>0</v>
      </c>
      <c r="K285" s="143"/>
      <c r="L285" s="9">
        <f t="shared" si="5"/>
        <v>0</v>
      </c>
      <c r="M285" s="8" t="str">
        <f t="array" ref="M285">IF(L285&gt;5,"Perlu Pengendalian",IF(AND(L285&gt;=0,I285&gt;0),"Tidak Perlu Pengendalian","Belum Sensus"))</f>
        <v>Belum Sensus</v>
      </c>
      <c r="N285" s="143"/>
      <c r="O285" s="9">
        <f t="array" ref="O285">IFERROR(N285/I285*100,0)</f>
        <v>0</v>
      </c>
    </row>
    <row r="286" spans="1:15" outlineLevel="1" x14ac:dyDescent="0.15">
      <c r="A286" s="8" t="s">
        <v>1043</v>
      </c>
      <c r="B286" s="8">
        <v>2</v>
      </c>
      <c r="C286" s="8">
        <v>15</v>
      </c>
      <c r="D286" s="8" t="s">
        <v>1728</v>
      </c>
      <c r="E286" s="9">
        <v>40.980000000000004</v>
      </c>
      <c r="F286" s="8" t="s">
        <v>469</v>
      </c>
      <c r="G286" s="10">
        <v>4941</v>
      </c>
      <c r="H286" s="11"/>
      <c r="I286" s="143"/>
      <c r="J286" s="9">
        <f t="array" ref="J286">IFERROR(I286/G286*100,0)</f>
        <v>0</v>
      </c>
      <c r="K286" s="143"/>
      <c r="L286" s="9">
        <f t="shared" si="5"/>
        <v>0</v>
      </c>
      <c r="M286" s="8" t="str">
        <f t="array" ref="M286">IF(L286&gt;5,"Perlu Pengendalian",IF(AND(L286&gt;=0,I286&gt;0),"Tidak Perlu Pengendalian","Belum Sensus"))</f>
        <v>Belum Sensus</v>
      </c>
      <c r="N286" s="143"/>
      <c r="O286" s="9">
        <f t="array" ref="O286">IFERROR(N286/I286*100,0)</f>
        <v>0</v>
      </c>
    </row>
    <row r="287" spans="1:15" outlineLevel="1" x14ac:dyDescent="0.15">
      <c r="A287" s="8" t="s">
        <v>1043</v>
      </c>
      <c r="B287" s="8">
        <v>2</v>
      </c>
      <c r="C287" s="8">
        <v>15</v>
      </c>
      <c r="D287" s="8" t="s">
        <v>1729</v>
      </c>
      <c r="E287" s="9">
        <v>24.32</v>
      </c>
      <c r="F287" s="8" t="s">
        <v>469</v>
      </c>
      <c r="G287" s="10">
        <v>2756</v>
      </c>
      <c r="H287" s="11"/>
      <c r="I287" s="143"/>
      <c r="J287" s="9">
        <f t="array" ref="J287">IFERROR(I287/G287*100,0)</f>
        <v>0</v>
      </c>
      <c r="K287" s="143"/>
      <c r="L287" s="9">
        <f t="shared" si="5"/>
        <v>0</v>
      </c>
      <c r="M287" s="8" t="str">
        <f t="array" ref="M287">IF(L287&gt;5,"Perlu Pengendalian",IF(AND(L287&gt;=0,I287&gt;0),"Tidak Perlu Pengendalian","Belum Sensus"))</f>
        <v>Belum Sensus</v>
      </c>
      <c r="N287" s="143"/>
      <c r="O287" s="9">
        <f t="array" ref="O287">IFERROR(N287/I287*100,0)</f>
        <v>0</v>
      </c>
    </row>
    <row r="288" spans="1:15" outlineLevel="1" x14ac:dyDescent="0.15">
      <c r="A288" s="8" t="s">
        <v>1043</v>
      </c>
      <c r="B288" s="8">
        <v>2</v>
      </c>
      <c r="C288" s="8">
        <v>16</v>
      </c>
      <c r="D288" s="8" t="s">
        <v>1327</v>
      </c>
      <c r="E288" s="9">
        <v>40.44</v>
      </c>
      <c r="F288" s="8" t="s">
        <v>469</v>
      </c>
      <c r="G288" s="10">
        <v>1185</v>
      </c>
      <c r="H288" s="11"/>
      <c r="I288" s="143"/>
      <c r="J288" s="9">
        <f t="array" ref="J288">IFERROR(I288/G288*100,0)</f>
        <v>0</v>
      </c>
      <c r="K288" s="143"/>
      <c r="L288" s="9">
        <f t="shared" si="5"/>
        <v>0</v>
      </c>
      <c r="M288" s="8" t="str">
        <f t="array" ref="M288">IF(L288&gt;5,"Perlu Pengendalian",IF(AND(L288&gt;=0,I288&gt;0),"Tidak Perlu Pengendalian","Belum Sensus"))</f>
        <v>Belum Sensus</v>
      </c>
      <c r="N288" s="143"/>
      <c r="O288" s="9">
        <f t="array" ref="O288">IFERROR(N288/I288*100,0)</f>
        <v>0</v>
      </c>
    </row>
    <row r="289" spans="1:15" outlineLevel="1" x14ac:dyDescent="0.15">
      <c r="A289" s="8" t="s">
        <v>1043</v>
      </c>
      <c r="B289" s="8">
        <v>2</v>
      </c>
      <c r="C289" s="8">
        <v>16</v>
      </c>
      <c r="D289" s="8" t="s">
        <v>1328</v>
      </c>
      <c r="E289" s="9">
        <v>38.36</v>
      </c>
      <c r="F289" s="8" t="s">
        <v>469</v>
      </c>
      <c r="G289" s="10">
        <v>1887</v>
      </c>
      <c r="H289" s="11"/>
      <c r="I289" s="143"/>
      <c r="J289" s="9">
        <f t="array" ref="J289">IFERROR(I289/G289*100,0)</f>
        <v>0</v>
      </c>
      <c r="K289" s="143"/>
      <c r="L289" s="9">
        <f t="shared" si="5"/>
        <v>0</v>
      </c>
      <c r="M289" s="8" t="str">
        <f t="array" ref="M289">IF(L289&gt;5,"Perlu Pengendalian",IF(AND(L289&gt;=0,I289&gt;0),"Tidak Perlu Pengendalian","Belum Sensus"))</f>
        <v>Belum Sensus</v>
      </c>
      <c r="N289" s="143"/>
      <c r="O289" s="9">
        <f t="array" ref="O289">IFERROR(N289/I289*100,0)</f>
        <v>0</v>
      </c>
    </row>
    <row r="290" spans="1:15" outlineLevel="1" x14ac:dyDescent="0.15">
      <c r="A290" s="8" t="s">
        <v>1043</v>
      </c>
      <c r="B290" s="8">
        <v>2</v>
      </c>
      <c r="C290" s="8">
        <v>16</v>
      </c>
      <c r="D290" s="8" t="s">
        <v>1329</v>
      </c>
      <c r="E290" s="9">
        <v>34.96</v>
      </c>
      <c r="F290" s="8" t="s">
        <v>469</v>
      </c>
      <c r="G290" s="10">
        <v>2797</v>
      </c>
      <c r="H290" s="11"/>
      <c r="I290" s="143"/>
      <c r="J290" s="9">
        <f t="array" ref="J290">IFERROR(I290/G290*100,0)</f>
        <v>0</v>
      </c>
      <c r="K290" s="143"/>
      <c r="L290" s="9">
        <f t="shared" si="5"/>
        <v>0</v>
      </c>
      <c r="M290" s="8" t="str">
        <f t="array" ref="M290">IF(L290&gt;5,"Perlu Pengendalian",IF(AND(L290&gt;=0,I290&gt;0),"Tidak Perlu Pengendalian","Belum Sensus"))</f>
        <v>Belum Sensus</v>
      </c>
      <c r="N290" s="143"/>
      <c r="O290" s="9">
        <f t="array" ref="O290">IFERROR(N290/I290*100,0)</f>
        <v>0</v>
      </c>
    </row>
    <row r="291" spans="1:15" outlineLevel="1" x14ac:dyDescent="0.15">
      <c r="A291" s="8" t="s">
        <v>1043</v>
      </c>
      <c r="B291" s="8">
        <v>2</v>
      </c>
      <c r="C291" s="8">
        <v>16</v>
      </c>
      <c r="D291" s="8" t="s">
        <v>1730</v>
      </c>
      <c r="E291" s="9">
        <v>37.760000000000005</v>
      </c>
      <c r="F291" s="8" t="s">
        <v>469</v>
      </c>
      <c r="G291" s="10">
        <v>4809</v>
      </c>
      <c r="H291" s="11"/>
      <c r="I291" s="143"/>
      <c r="J291" s="9">
        <f t="array" ref="J291">IFERROR(I291/G291*100,0)</f>
        <v>0</v>
      </c>
      <c r="K291" s="143"/>
      <c r="L291" s="9">
        <f t="shared" si="5"/>
        <v>0</v>
      </c>
      <c r="M291" s="8" t="str">
        <f t="array" ref="M291">IF(L291&gt;5,"Perlu Pengendalian",IF(AND(L291&gt;=0,I291&gt;0),"Tidak Perlu Pengendalian","Belum Sensus"))</f>
        <v>Belum Sensus</v>
      </c>
      <c r="N291" s="143"/>
      <c r="O291" s="9">
        <f t="array" ref="O291">IFERROR(N291/I291*100,0)</f>
        <v>0</v>
      </c>
    </row>
    <row r="292" spans="1:15" outlineLevel="1" x14ac:dyDescent="0.15">
      <c r="A292" s="8" t="s">
        <v>1043</v>
      </c>
      <c r="B292" s="8">
        <v>2</v>
      </c>
      <c r="C292" s="8">
        <v>16</v>
      </c>
      <c r="D292" s="8" t="s">
        <v>1731</v>
      </c>
      <c r="E292" s="9">
        <v>42.03</v>
      </c>
      <c r="F292" s="8" t="s">
        <v>469</v>
      </c>
      <c r="G292" s="10">
        <v>5610</v>
      </c>
      <c r="H292" s="11"/>
      <c r="I292" s="143"/>
      <c r="J292" s="9">
        <f t="array" ref="J292">IFERROR(I292/G292*100,0)</f>
        <v>0</v>
      </c>
      <c r="K292" s="143"/>
      <c r="L292" s="9">
        <f t="shared" si="5"/>
        <v>0</v>
      </c>
      <c r="M292" s="8" t="str">
        <f t="array" ref="M292">IF(L292&gt;5,"Perlu Pengendalian",IF(AND(L292&gt;=0,I292&gt;0),"Tidak Perlu Pengendalian","Belum Sensus"))</f>
        <v>Belum Sensus</v>
      </c>
      <c r="N292" s="143"/>
      <c r="O292" s="9">
        <f t="array" ref="O292">IFERROR(N292/I292*100,0)</f>
        <v>0</v>
      </c>
    </row>
    <row r="293" spans="1:15" outlineLevel="1" x14ac:dyDescent="0.15">
      <c r="A293" s="8" t="s">
        <v>1043</v>
      </c>
      <c r="B293" s="8">
        <v>2</v>
      </c>
      <c r="C293" s="8">
        <v>16</v>
      </c>
      <c r="D293" s="8" t="s">
        <v>1732</v>
      </c>
      <c r="E293" s="9">
        <v>46.9</v>
      </c>
      <c r="F293" s="8" t="s">
        <v>469</v>
      </c>
      <c r="G293" s="10">
        <v>6113</v>
      </c>
      <c r="H293" s="11"/>
      <c r="I293" s="143"/>
      <c r="J293" s="9">
        <f t="array" ref="J293">IFERROR(I293/G293*100,0)</f>
        <v>0</v>
      </c>
      <c r="K293" s="143"/>
      <c r="L293" s="9">
        <f t="shared" si="5"/>
        <v>0</v>
      </c>
      <c r="M293" s="8" t="str">
        <f t="array" ref="M293">IF(L293&gt;5,"Perlu Pengendalian",IF(AND(L293&gt;=0,I293&gt;0),"Tidak Perlu Pengendalian","Belum Sensus"))</f>
        <v>Belum Sensus</v>
      </c>
      <c r="N293" s="143"/>
      <c r="O293" s="9">
        <f t="array" ref="O293">IFERROR(N293/I293*100,0)</f>
        <v>0</v>
      </c>
    </row>
    <row r="294" spans="1:15" outlineLevel="1" x14ac:dyDescent="0.15">
      <c r="A294" s="8" t="s">
        <v>1043</v>
      </c>
      <c r="B294" s="8">
        <v>2</v>
      </c>
      <c r="C294" s="8">
        <v>16</v>
      </c>
      <c r="D294" s="8" t="s">
        <v>1733</v>
      </c>
      <c r="E294" s="9">
        <v>37.510000000000005</v>
      </c>
      <c r="F294" s="8" t="s">
        <v>469</v>
      </c>
      <c r="G294" s="10">
        <v>3773</v>
      </c>
      <c r="H294" s="11"/>
      <c r="I294" s="143"/>
      <c r="J294" s="9">
        <f t="array" ref="J294">IFERROR(I294/G294*100,0)</f>
        <v>0</v>
      </c>
      <c r="K294" s="143"/>
      <c r="L294" s="9">
        <f t="shared" si="5"/>
        <v>0</v>
      </c>
      <c r="M294" s="8" t="str">
        <f t="array" ref="M294">IF(L294&gt;5,"Perlu Pengendalian",IF(AND(L294&gt;=0,I294&gt;0),"Tidak Perlu Pengendalian","Belum Sensus"))</f>
        <v>Belum Sensus</v>
      </c>
      <c r="N294" s="143"/>
      <c r="O294" s="9">
        <f t="array" ref="O294">IFERROR(N294/I294*100,0)</f>
        <v>0</v>
      </c>
    </row>
    <row r="295" spans="1:15" outlineLevel="1" x14ac:dyDescent="0.15">
      <c r="A295" s="8" t="s">
        <v>1043</v>
      </c>
      <c r="B295" s="8">
        <v>2</v>
      </c>
      <c r="C295" s="8">
        <v>16</v>
      </c>
      <c r="D295" s="8" t="s">
        <v>1734</v>
      </c>
      <c r="E295" s="9">
        <v>38.22</v>
      </c>
      <c r="F295" s="8" t="s">
        <v>469</v>
      </c>
      <c r="G295" s="10">
        <v>4017</v>
      </c>
      <c r="H295" s="11"/>
      <c r="I295" s="143"/>
      <c r="J295" s="9">
        <f t="array" ref="J295">IFERROR(I295/G295*100,0)</f>
        <v>0</v>
      </c>
      <c r="K295" s="143"/>
      <c r="L295" s="9">
        <f t="shared" si="5"/>
        <v>0</v>
      </c>
      <c r="M295" s="8" t="str">
        <f t="array" ref="M295">IF(L295&gt;5,"Perlu Pengendalian",IF(AND(L295&gt;=0,I295&gt;0),"Tidak Perlu Pengendalian","Belum Sensus"))</f>
        <v>Belum Sensus</v>
      </c>
      <c r="N295" s="143"/>
      <c r="O295" s="9">
        <f t="array" ref="O295">IFERROR(N295/I295*100,0)</f>
        <v>0</v>
      </c>
    </row>
    <row r="296" spans="1:15" outlineLevel="1" x14ac:dyDescent="0.15">
      <c r="A296" s="8" t="s">
        <v>1043</v>
      </c>
      <c r="B296" s="8">
        <v>2</v>
      </c>
      <c r="C296" s="8">
        <v>16</v>
      </c>
      <c r="D296" s="8" t="s">
        <v>1735</v>
      </c>
      <c r="E296" s="9">
        <v>37.5</v>
      </c>
      <c r="F296" s="8" t="s">
        <v>469</v>
      </c>
      <c r="G296" s="10">
        <v>4498</v>
      </c>
      <c r="H296" s="11"/>
      <c r="I296" s="143"/>
      <c r="J296" s="9">
        <f t="array" ref="J296">IFERROR(I296/G296*100,0)</f>
        <v>0</v>
      </c>
      <c r="K296" s="143"/>
      <c r="L296" s="9">
        <f t="shared" si="5"/>
        <v>0</v>
      </c>
      <c r="M296" s="8" t="str">
        <f t="array" ref="M296">IF(L296&gt;5,"Perlu Pengendalian",IF(AND(L296&gt;=0,I296&gt;0),"Tidak Perlu Pengendalian","Belum Sensus"))</f>
        <v>Belum Sensus</v>
      </c>
      <c r="N296" s="143"/>
      <c r="O296" s="9">
        <f t="array" ref="O296">IFERROR(N296/I296*100,0)</f>
        <v>0</v>
      </c>
    </row>
    <row r="297" spans="1:15" outlineLevel="1" x14ac:dyDescent="0.15">
      <c r="A297" s="8" t="s">
        <v>1043</v>
      </c>
      <c r="B297" s="8">
        <v>2</v>
      </c>
      <c r="C297" s="8">
        <v>16</v>
      </c>
      <c r="D297" s="8" t="s">
        <v>1736</v>
      </c>
      <c r="E297" s="9">
        <v>27.469999999999995</v>
      </c>
      <c r="F297" s="8" t="s">
        <v>469</v>
      </c>
      <c r="G297" s="10">
        <v>3391</v>
      </c>
      <c r="H297" s="11"/>
      <c r="I297" s="143"/>
      <c r="J297" s="9">
        <f t="array" ref="J297">IFERROR(I297/G297*100,0)</f>
        <v>0</v>
      </c>
      <c r="K297" s="143"/>
      <c r="L297" s="9">
        <f t="shared" si="5"/>
        <v>0</v>
      </c>
      <c r="M297" s="8" t="str">
        <f t="array" ref="M297">IF(L297&gt;5,"Perlu Pengendalian",IF(AND(L297&gt;=0,I297&gt;0),"Tidak Perlu Pengendalian","Belum Sensus"))</f>
        <v>Belum Sensus</v>
      </c>
      <c r="N297" s="143"/>
      <c r="O297" s="9">
        <f t="array" ref="O297">IFERROR(N297/I297*100,0)</f>
        <v>0</v>
      </c>
    </row>
    <row r="298" spans="1:15" outlineLevel="1" x14ac:dyDescent="0.15">
      <c r="A298" s="8" t="s">
        <v>1043</v>
      </c>
      <c r="B298" s="8">
        <v>2</v>
      </c>
      <c r="C298" s="8">
        <v>16</v>
      </c>
      <c r="D298" s="8" t="s">
        <v>1737</v>
      </c>
      <c r="E298" s="9">
        <v>23.25</v>
      </c>
      <c r="F298" s="8" t="s">
        <v>469</v>
      </c>
      <c r="G298" s="10">
        <v>2047</v>
      </c>
      <c r="H298" s="11"/>
      <c r="I298" s="143"/>
      <c r="J298" s="9">
        <f t="array" ref="J298">IFERROR(I298/G298*100,0)</f>
        <v>0</v>
      </c>
      <c r="K298" s="143"/>
      <c r="L298" s="9">
        <f t="shared" si="5"/>
        <v>0</v>
      </c>
      <c r="M298" s="8" t="str">
        <f t="array" ref="M298">IF(L298&gt;5,"Perlu Pengendalian",IF(AND(L298&gt;=0,I298&gt;0),"Tidak Perlu Pengendalian","Belum Sensus"))</f>
        <v>Belum Sensus</v>
      </c>
      <c r="N298" s="143"/>
      <c r="O298" s="9">
        <f t="array" ref="O298">IFERROR(N298/I298*100,0)</f>
        <v>0</v>
      </c>
    </row>
    <row r="299" spans="1:15" outlineLevel="1" x14ac:dyDescent="0.15">
      <c r="A299" s="8" t="s">
        <v>1043</v>
      </c>
      <c r="B299" s="8">
        <v>2</v>
      </c>
      <c r="C299" s="8">
        <v>16</v>
      </c>
      <c r="D299" s="8" t="s">
        <v>1738</v>
      </c>
      <c r="E299" s="9">
        <v>23.47</v>
      </c>
      <c r="F299" s="8" t="s">
        <v>469</v>
      </c>
      <c r="G299" s="10">
        <v>2974</v>
      </c>
      <c r="H299" s="11"/>
      <c r="I299" s="143"/>
      <c r="J299" s="9">
        <f t="array" ref="J299">IFERROR(I299/G299*100,0)</f>
        <v>0</v>
      </c>
      <c r="K299" s="143"/>
      <c r="L299" s="9">
        <f t="shared" si="5"/>
        <v>0</v>
      </c>
      <c r="M299" s="8" t="str">
        <f t="array" ref="M299">IF(L299&gt;5,"Perlu Pengendalian",IF(AND(L299&gt;=0,I299&gt;0),"Tidak Perlu Pengendalian","Belum Sensus"))</f>
        <v>Belum Sensus</v>
      </c>
      <c r="N299" s="143"/>
      <c r="O299" s="9">
        <f t="array" ref="O299">IFERROR(N299/I299*100,0)</f>
        <v>0</v>
      </c>
    </row>
    <row r="300" spans="1:15" outlineLevel="1" x14ac:dyDescent="0.15">
      <c r="A300" s="8"/>
      <c r="B300" s="8"/>
      <c r="C300" s="8"/>
      <c r="D300" s="8"/>
      <c r="E300" s="9"/>
      <c r="F300" s="8"/>
      <c r="G300" s="10"/>
      <c r="H300" s="11"/>
      <c r="I300" s="143"/>
      <c r="J300" s="9"/>
      <c r="K300" s="143"/>
      <c r="L300" s="9"/>
      <c r="M300" s="8"/>
      <c r="N300" s="143"/>
      <c r="O300" s="9"/>
    </row>
    <row r="301" spans="1:15" outlineLevel="1" x14ac:dyDescent="0.15">
      <c r="A301" s="8"/>
      <c r="B301" s="8"/>
      <c r="C301" s="8"/>
      <c r="D301" s="8"/>
      <c r="E301" s="9"/>
      <c r="F301" s="8"/>
      <c r="G301" s="10"/>
      <c r="H301" s="11"/>
      <c r="I301" s="143"/>
      <c r="J301" s="9"/>
      <c r="K301" s="143"/>
      <c r="L301" s="9"/>
      <c r="M301" s="8"/>
      <c r="N301" s="143"/>
      <c r="O301" s="9"/>
    </row>
    <row r="302" spans="1:15" outlineLevel="1" x14ac:dyDescent="0.15">
      <c r="A302" s="8"/>
      <c r="B302" s="8"/>
      <c r="C302" s="8"/>
      <c r="D302" s="8"/>
      <c r="E302" s="9"/>
      <c r="F302" s="8"/>
      <c r="G302" s="10"/>
      <c r="H302" s="11"/>
      <c r="I302" s="143"/>
      <c r="J302" s="9"/>
      <c r="K302" s="143"/>
      <c r="L302" s="9"/>
      <c r="M302" s="8"/>
      <c r="N302" s="143"/>
      <c r="O302" s="9"/>
    </row>
    <row r="303" spans="1:15" x14ac:dyDescent="0.15">
      <c r="A303" s="8"/>
      <c r="B303" s="8"/>
      <c r="C303" s="8"/>
      <c r="D303" s="8"/>
      <c r="E303" s="9"/>
      <c r="F303" s="8"/>
      <c r="G303" s="10"/>
      <c r="H303" s="11"/>
      <c r="I303" s="143"/>
      <c r="J303" s="9"/>
      <c r="K303" s="143"/>
      <c r="L303" s="9"/>
      <c r="M303" s="8"/>
      <c r="N303" s="143"/>
      <c r="O303" s="9"/>
    </row>
    <row r="304" spans="1:15" x14ac:dyDescent="0.15">
      <c r="A304" s="8"/>
      <c r="B304" s="8"/>
      <c r="C304" s="8"/>
      <c r="D304" s="8"/>
      <c r="E304" s="9"/>
      <c r="F304" s="8"/>
      <c r="G304" s="10"/>
      <c r="H304" s="11"/>
      <c r="I304" s="143"/>
      <c r="J304" s="9"/>
      <c r="K304" s="143"/>
      <c r="L304" s="9"/>
      <c r="M304" s="8"/>
      <c r="N304" s="143"/>
      <c r="O304" s="9"/>
    </row>
    <row r="305" spans="1:15" x14ac:dyDescent="0.15">
      <c r="A305" s="8"/>
      <c r="B305" s="8"/>
      <c r="C305" s="8"/>
      <c r="D305" s="8"/>
      <c r="E305" s="9"/>
      <c r="F305" s="8"/>
      <c r="G305" s="10"/>
      <c r="H305" s="11"/>
      <c r="I305" s="143"/>
      <c r="J305" s="9"/>
      <c r="K305" s="143"/>
      <c r="L305" s="9"/>
      <c r="M305" s="8"/>
      <c r="N305" s="143"/>
      <c r="O305" s="9"/>
    </row>
    <row r="306" spans="1:15" x14ac:dyDescent="0.15">
      <c r="A306" s="8"/>
      <c r="B306" s="8"/>
      <c r="C306" s="8"/>
      <c r="D306" s="8"/>
      <c r="E306" s="9"/>
      <c r="F306" s="8"/>
      <c r="G306" s="10"/>
      <c r="H306" s="11"/>
      <c r="I306" s="143"/>
      <c r="J306" s="9"/>
      <c r="K306" s="143"/>
      <c r="L306" s="9"/>
      <c r="M306" s="8"/>
      <c r="N306" s="143"/>
      <c r="O306" s="9"/>
    </row>
    <row r="307" spans="1:15" x14ac:dyDescent="0.15">
      <c r="A307" s="8"/>
      <c r="B307" s="8"/>
      <c r="C307" s="8"/>
      <c r="D307" s="8"/>
      <c r="E307" s="9"/>
      <c r="F307" s="8"/>
      <c r="G307" s="10"/>
      <c r="H307" s="11"/>
      <c r="I307" s="143"/>
      <c r="J307" s="9"/>
      <c r="K307" s="143"/>
      <c r="L307" s="9"/>
      <c r="M307" s="8"/>
      <c r="N307" s="143"/>
      <c r="O307" s="9"/>
    </row>
    <row r="308" spans="1:15" x14ac:dyDescent="0.15">
      <c r="A308" s="8"/>
      <c r="B308" s="8"/>
      <c r="C308" s="8"/>
      <c r="D308" s="8"/>
      <c r="E308" s="9"/>
      <c r="F308" s="8"/>
      <c r="G308" s="10"/>
      <c r="H308" s="11"/>
      <c r="I308" s="143"/>
      <c r="J308" s="9"/>
      <c r="K308" s="143"/>
      <c r="L308" s="9"/>
      <c r="M308" s="8"/>
      <c r="N308" s="143"/>
      <c r="O308" s="9"/>
    </row>
    <row r="309" spans="1:15" x14ac:dyDescent="0.15">
      <c r="A309" s="8"/>
      <c r="B309" s="8"/>
      <c r="C309" s="8"/>
      <c r="D309" s="8"/>
      <c r="E309" s="9"/>
      <c r="F309" s="8"/>
      <c r="G309" s="10"/>
      <c r="H309" s="11"/>
      <c r="I309" s="143"/>
      <c r="J309" s="9"/>
      <c r="K309" s="143"/>
      <c r="L309" s="9"/>
      <c r="M309" s="8"/>
      <c r="N309" s="143"/>
      <c r="O309" s="9"/>
    </row>
    <row r="310" spans="1:15" x14ac:dyDescent="0.15">
      <c r="A310" s="8"/>
      <c r="B310" s="8"/>
      <c r="C310" s="8"/>
      <c r="D310" s="8"/>
      <c r="E310" s="9"/>
      <c r="F310" s="8"/>
      <c r="G310" s="10"/>
      <c r="H310" s="11"/>
      <c r="I310" s="143"/>
      <c r="J310" s="9"/>
      <c r="K310" s="143"/>
      <c r="L310" s="9"/>
      <c r="M310" s="8"/>
      <c r="N310" s="143"/>
      <c r="O310" s="9"/>
    </row>
    <row r="311" spans="1:15" x14ac:dyDescent="0.15">
      <c r="A311" s="8"/>
      <c r="B311" s="8"/>
      <c r="C311" s="8"/>
      <c r="D311" s="8"/>
      <c r="E311" s="9"/>
      <c r="F311" s="8"/>
      <c r="G311" s="10"/>
      <c r="H311" s="11"/>
      <c r="I311" s="143"/>
      <c r="J311" s="9"/>
      <c r="K311" s="143"/>
      <c r="L311" s="9"/>
      <c r="M311" s="8"/>
      <c r="N311" s="143"/>
      <c r="O311" s="9"/>
    </row>
    <row r="312" spans="1:15" x14ac:dyDescent="0.15">
      <c r="A312" s="8"/>
      <c r="B312" s="8"/>
      <c r="C312" s="8"/>
      <c r="D312" s="8"/>
      <c r="E312" s="9"/>
      <c r="F312" s="8"/>
      <c r="G312" s="10"/>
      <c r="H312" s="11"/>
      <c r="I312" s="143"/>
      <c r="J312" s="9"/>
      <c r="K312" s="143"/>
      <c r="L312" s="9"/>
      <c r="M312" s="8"/>
      <c r="N312" s="143"/>
      <c r="O312" s="9"/>
    </row>
    <row r="313" spans="1:15" x14ac:dyDescent="0.15">
      <c r="A313" s="8"/>
      <c r="B313" s="8"/>
      <c r="C313" s="8"/>
      <c r="D313" s="8"/>
      <c r="E313" s="9"/>
      <c r="F313" s="8"/>
      <c r="G313" s="10"/>
      <c r="H313" s="11"/>
      <c r="I313" s="143"/>
      <c r="J313" s="9"/>
      <c r="K313" s="143"/>
      <c r="L313" s="9"/>
      <c r="M313" s="8"/>
      <c r="N313" s="143"/>
      <c r="O313" s="9"/>
    </row>
    <row r="314" spans="1:15" x14ac:dyDescent="0.15">
      <c r="A314" s="8"/>
      <c r="B314" s="8"/>
      <c r="C314" s="8"/>
      <c r="D314" s="8"/>
      <c r="E314" s="9"/>
      <c r="F314" s="8"/>
      <c r="G314" s="10"/>
      <c r="H314" s="11"/>
      <c r="I314" s="143"/>
      <c r="J314" s="9"/>
      <c r="K314" s="143"/>
      <c r="L314" s="9"/>
      <c r="M314" s="8"/>
      <c r="N314" s="143"/>
      <c r="O314" s="9"/>
    </row>
    <row r="315" spans="1:15" x14ac:dyDescent="0.15">
      <c r="A315" s="8"/>
      <c r="B315" s="8"/>
      <c r="C315" s="8"/>
      <c r="D315" s="8"/>
      <c r="E315" s="9"/>
      <c r="F315" s="8"/>
      <c r="G315" s="10"/>
      <c r="H315" s="11"/>
      <c r="I315" s="143"/>
      <c r="J315" s="9"/>
      <c r="K315" s="143"/>
      <c r="L315" s="9"/>
      <c r="M315" s="8"/>
      <c r="N315" s="143"/>
      <c r="O315" s="9"/>
    </row>
    <row r="316" spans="1:15" x14ac:dyDescent="0.15">
      <c r="A316" s="8"/>
      <c r="B316" s="8"/>
      <c r="C316" s="8"/>
      <c r="D316" s="8"/>
      <c r="E316" s="9"/>
      <c r="F316" s="8"/>
      <c r="G316" s="10"/>
      <c r="H316" s="11"/>
      <c r="I316" s="143"/>
      <c r="J316" s="9"/>
      <c r="K316" s="143"/>
      <c r="L316" s="9"/>
      <c r="M316" s="8"/>
      <c r="N316" s="143"/>
      <c r="O316" s="9"/>
    </row>
    <row r="317" spans="1:15" x14ac:dyDescent="0.15">
      <c r="A317" s="8"/>
      <c r="B317" s="8"/>
      <c r="C317" s="8"/>
      <c r="D317" s="8"/>
      <c r="E317" s="9"/>
      <c r="F317" s="8"/>
      <c r="G317" s="10"/>
      <c r="H317" s="11"/>
      <c r="I317" s="143"/>
      <c r="J317" s="9"/>
      <c r="K317" s="143"/>
      <c r="L317" s="9"/>
      <c r="M317" s="8"/>
      <c r="N317" s="143"/>
      <c r="O317" s="9"/>
    </row>
    <row r="318" spans="1:15" x14ac:dyDescent="0.15">
      <c r="A318" s="8"/>
      <c r="B318" s="8"/>
      <c r="C318" s="8"/>
      <c r="D318" s="8"/>
      <c r="E318" s="9"/>
      <c r="F318" s="8"/>
      <c r="G318" s="10"/>
      <c r="H318" s="11"/>
      <c r="I318" s="143"/>
      <c r="J318" s="9"/>
      <c r="K318" s="143"/>
      <c r="L318" s="9"/>
      <c r="M318" s="8"/>
      <c r="N318" s="143"/>
      <c r="O318" s="9"/>
    </row>
    <row r="319" spans="1:15" x14ac:dyDescent="0.15">
      <c r="A319" s="8"/>
      <c r="B319" s="8"/>
      <c r="C319" s="8"/>
      <c r="D319" s="8"/>
      <c r="E319" s="9"/>
      <c r="F319" s="8"/>
      <c r="G319" s="10"/>
      <c r="H319" s="11"/>
      <c r="I319" s="143"/>
      <c r="J319" s="9"/>
      <c r="K319" s="143"/>
      <c r="L319" s="9"/>
      <c r="M319" s="8"/>
      <c r="N319" s="143"/>
      <c r="O319" s="9"/>
    </row>
    <row r="320" spans="1:15" x14ac:dyDescent="0.15">
      <c r="A320" s="8"/>
      <c r="B320" s="8"/>
      <c r="C320" s="8"/>
      <c r="D320" s="8"/>
      <c r="E320" s="9"/>
      <c r="F320" s="8"/>
      <c r="G320" s="10"/>
      <c r="H320" s="11"/>
      <c r="I320" s="143"/>
      <c r="J320" s="9"/>
      <c r="K320" s="143"/>
      <c r="L320" s="9"/>
      <c r="M320" s="8"/>
      <c r="N320" s="143"/>
      <c r="O320" s="9"/>
    </row>
    <row r="321" spans="1:15" x14ac:dyDescent="0.15">
      <c r="A321" s="8"/>
      <c r="B321" s="8"/>
      <c r="C321" s="8"/>
      <c r="D321" s="8"/>
      <c r="E321" s="9"/>
      <c r="F321" s="8"/>
      <c r="G321" s="10"/>
      <c r="H321" s="11"/>
      <c r="I321" s="143"/>
      <c r="J321" s="9"/>
      <c r="K321" s="143"/>
      <c r="L321" s="9"/>
      <c r="M321" s="8"/>
      <c r="N321" s="143"/>
      <c r="O321" s="9"/>
    </row>
    <row r="322" spans="1:15" x14ac:dyDescent="0.15">
      <c r="A322" s="8"/>
      <c r="B322" s="8"/>
      <c r="C322" s="8"/>
      <c r="D322" s="8"/>
      <c r="E322" s="9"/>
      <c r="F322" s="8"/>
      <c r="G322" s="10"/>
      <c r="H322" s="11"/>
      <c r="I322" s="143"/>
      <c r="J322" s="9"/>
      <c r="K322" s="143"/>
      <c r="L322" s="9"/>
      <c r="M322" s="8"/>
      <c r="N322" s="143"/>
      <c r="O322" s="9"/>
    </row>
    <row r="323" spans="1:15" x14ac:dyDescent="0.15">
      <c r="A323" s="8"/>
      <c r="B323" s="8"/>
      <c r="C323" s="8"/>
      <c r="D323" s="8"/>
      <c r="E323" s="9"/>
      <c r="F323" s="8"/>
      <c r="G323" s="10"/>
      <c r="H323" s="11"/>
      <c r="I323" s="143"/>
      <c r="J323" s="9"/>
      <c r="K323" s="143"/>
      <c r="L323" s="9"/>
      <c r="M323" s="8"/>
      <c r="N323" s="143"/>
      <c r="O323" s="9"/>
    </row>
    <row r="324" spans="1:15" x14ac:dyDescent="0.15">
      <c r="A324" s="8"/>
      <c r="B324" s="8"/>
      <c r="C324" s="8"/>
      <c r="D324" s="8"/>
      <c r="E324" s="9"/>
      <c r="F324" s="8"/>
      <c r="G324" s="10"/>
      <c r="H324" s="11"/>
      <c r="I324" s="143"/>
      <c r="J324" s="9"/>
      <c r="K324" s="143"/>
      <c r="L324" s="9"/>
      <c r="M324" s="8"/>
      <c r="N324" s="143"/>
      <c r="O324" s="9"/>
    </row>
    <row r="325" spans="1:15" x14ac:dyDescent="0.15">
      <c r="A325" s="8"/>
      <c r="B325" s="8"/>
      <c r="C325" s="8"/>
      <c r="D325" s="8"/>
      <c r="E325" s="9"/>
      <c r="F325" s="8"/>
      <c r="G325" s="10"/>
      <c r="H325" s="11"/>
      <c r="I325" s="143"/>
      <c r="J325" s="9"/>
      <c r="K325" s="143"/>
      <c r="L325" s="9"/>
      <c r="M325" s="8"/>
      <c r="N325" s="143"/>
      <c r="O325" s="9"/>
    </row>
    <row r="326" spans="1:15" x14ac:dyDescent="0.15">
      <c r="A326" s="8"/>
      <c r="B326" s="8"/>
      <c r="C326" s="8"/>
      <c r="D326" s="8"/>
      <c r="E326" s="9"/>
      <c r="F326" s="8"/>
      <c r="G326" s="10"/>
      <c r="H326" s="11"/>
      <c r="I326" s="143"/>
      <c r="J326" s="9"/>
      <c r="K326" s="143"/>
      <c r="L326" s="9"/>
      <c r="M326" s="8"/>
      <c r="N326" s="143"/>
      <c r="O326" s="9"/>
    </row>
    <row r="327" spans="1:15" x14ac:dyDescent="0.15">
      <c r="A327" s="8"/>
      <c r="B327" s="8"/>
      <c r="C327" s="8"/>
      <c r="D327" s="8"/>
      <c r="E327" s="9"/>
      <c r="F327" s="8"/>
      <c r="G327" s="10"/>
      <c r="H327" s="11"/>
      <c r="I327" s="143"/>
      <c r="J327" s="9"/>
      <c r="K327" s="143"/>
      <c r="L327" s="9"/>
      <c r="M327" s="8"/>
      <c r="N327" s="143"/>
      <c r="O327" s="9"/>
    </row>
    <row r="328" spans="1:15" x14ac:dyDescent="0.15">
      <c r="A328" s="8"/>
      <c r="B328" s="8"/>
      <c r="C328" s="8"/>
      <c r="D328" s="8"/>
      <c r="E328" s="9"/>
      <c r="F328" s="8"/>
      <c r="G328" s="10"/>
      <c r="H328" s="11"/>
      <c r="I328" s="143"/>
      <c r="J328" s="9"/>
      <c r="K328" s="143"/>
      <c r="L328" s="9"/>
      <c r="M328" s="8"/>
      <c r="N328" s="143"/>
      <c r="O328" s="9"/>
    </row>
    <row r="329" spans="1:15" x14ac:dyDescent="0.15">
      <c r="A329" s="8"/>
      <c r="B329" s="8"/>
      <c r="C329" s="8"/>
      <c r="D329" s="8"/>
      <c r="E329" s="9"/>
      <c r="F329" s="8"/>
      <c r="G329" s="10"/>
      <c r="H329" s="11"/>
      <c r="I329" s="143"/>
      <c r="J329" s="9"/>
      <c r="K329" s="143"/>
      <c r="L329" s="9"/>
      <c r="M329" s="8"/>
      <c r="N329" s="143"/>
      <c r="O329" s="9"/>
    </row>
    <row r="330" spans="1:15" x14ac:dyDescent="0.15">
      <c r="A330" s="8"/>
      <c r="B330" s="8"/>
      <c r="C330" s="8"/>
      <c r="D330" s="8"/>
      <c r="E330" s="9"/>
      <c r="F330" s="8"/>
      <c r="G330" s="10"/>
      <c r="H330" s="11"/>
      <c r="I330" s="143"/>
      <c r="J330" s="9"/>
      <c r="K330" s="143"/>
      <c r="L330" s="9"/>
      <c r="M330" s="8"/>
      <c r="N330" s="143"/>
      <c r="O330" s="9"/>
    </row>
    <row r="331" spans="1:15" x14ac:dyDescent="0.15">
      <c r="A331" s="8"/>
      <c r="B331" s="8"/>
      <c r="C331" s="8"/>
      <c r="D331" s="8"/>
      <c r="E331" s="9"/>
      <c r="F331" s="8"/>
      <c r="G331" s="10"/>
      <c r="H331" s="11"/>
      <c r="I331" s="143"/>
      <c r="J331" s="9"/>
      <c r="K331" s="143"/>
      <c r="L331" s="9"/>
      <c r="M331" s="8"/>
      <c r="N331" s="143"/>
      <c r="O331" s="9"/>
    </row>
    <row r="332" spans="1:15" x14ac:dyDescent="0.15">
      <c r="A332" s="8"/>
      <c r="B332" s="8"/>
      <c r="C332" s="8"/>
      <c r="D332" s="8"/>
      <c r="E332" s="9"/>
      <c r="F332" s="8"/>
      <c r="G332" s="10"/>
      <c r="H332" s="11"/>
      <c r="I332" s="143"/>
      <c r="J332" s="9"/>
      <c r="K332" s="143"/>
      <c r="L332" s="9"/>
      <c r="M332" s="8"/>
      <c r="N332" s="143"/>
      <c r="O332" s="9"/>
    </row>
    <row r="333" spans="1:15" x14ac:dyDescent="0.15">
      <c r="A333" s="8"/>
      <c r="B333" s="8"/>
      <c r="C333" s="8"/>
      <c r="D333" s="8"/>
      <c r="E333" s="9"/>
      <c r="F333" s="8"/>
      <c r="G333" s="10"/>
      <c r="H333" s="11"/>
      <c r="I333" s="143"/>
      <c r="J333" s="9"/>
      <c r="K333" s="143"/>
      <c r="L333" s="9"/>
      <c r="M333" s="8"/>
      <c r="N333" s="143"/>
      <c r="O333" s="9"/>
    </row>
    <row r="334" spans="1:15" x14ac:dyDescent="0.15">
      <c r="A334" s="8"/>
      <c r="B334" s="8"/>
      <c r="C334" s="8"/>
      <c r="D334" s="8"/>
      <c r="E334" s="9"/>
      <c r="F334" s="8"/>
      <c r="G334" s="10"/>
      <c r="H334" s="11"/>
      <c r="I334" s="143"/>
      <c r="J334" s="9"/>
      <c r="K334" s="143"/>
      <c r="L334" s="9"/>
      <c r="M334" s="8"/>
      <c r="N334" s="143"/>
      <c r="O334" s="9"/>
    </row>
    <row r="335" spans="1:15" x14ac:dyDescent="0.15">
      <c r="A335" s="8"/>
      <c r="B335" s="8"/>
      <c r="C335" s="8"/>
      <c r="D335" s="8"/>
      <c r="E335" s="9"/>
      <c r="F335" s="8"/>
      <c r="G335" s="10"/>
      <c r="H335" s="11"/>
      <c r="I335" s="143"/>
      <c r="J335" s="9"/>
      <c r="K335" s="143"/>
      <c r="L335" s="9"/>
      <c r="M335" s="8"/>
      <c r="N335" s="143"/>
      <c r="O335" s="9"/>
    </row>
    <row r="336" spans="1:15" x14ac:dyDescent="0.15">
      <c r="A336" s="8"/>
      <c r="B336" s="8"/>
      <c r="C336" s="8"/>
      <c r="D336" s="8"/>
      <c r="E336" s="9"/>
      <c r="F336" s="8"/>
      <c r="G336" s="10"/>
      <c r="H336" s="11"/>
      <c r="I336" s="143"/>
      <c r="J336" s="9"/>
      <c r="K336" s="143"/>
      <c r="L336" s="9"/>
      <c r="M336" s="8"/>
      <c r="N336" s="143"/>
      <c r="O336" s="9"/>
    </row>
    <row r="337" spans="1:15" x14ac:dyDescent="0.15">
      <c r="A337" s="8"/>
      <c r="B337" s="8"/>
      <c r="C337" s="8"/>
      <c r="D337" s="8"/>
      <c r="E337" s="9"/>
      <c r="F337" s="8"/>
      <c r="G337" s="10"/>
      <c r="H337" s="11"/>
      <c r="I337" s="143"/>
      <c r="J337" s="9"/>
      <c r="K337" s="143"/>
      <c r="L337" s="9"/>
      <c r="M337" s="8"/>
      <c r="N337" s="143"/>
      <c r="O337" s="9"/>
    </row>
    <row r="338" spans="1:15" x14ac:dyDescent="0.15">
      <c r="A338" s="8"/>
      <c r="B338" s="8"/>
      <c r="C338" s="8"/>
      <c r="D338" s="8"/>
      <c r="E338" s="9"/>
      <c r="F338" s="8"/>
      <c r="G338" s="10"/>
      <c r="H338" s="11"/>
      <c r="I338" s="143"/>
      <c r="J338" s="9"/>
      <c r="K338" s="143"/>
      <c r="L338" s="9"/>
      <c r="M338" s="8"/>
      <c r="N338" s="143"/>
      <c r="O338" s="9"/>
    </row>
    <row r="339" spans="1:15" x14ac:dyDescent="0.15">
      <c r="A339" s="8"/>
      <c r="B339" s="8"/>
      <c r="C339" s="8"/>
      <c r="D339" s="8"/>
      <c r="E339" s="9"/>
      <c r="F339" s="8"/>
      <c r="G339" s="10"/>
      <c r="H339" s="11"/>
      <c r="I339" s="143"/>
      <c r="J339" s="9"/>
      <c r="K339" s="143"/>
      <c r="L339" s="9"/>
      <c r="M339" s="8"/>
      <c r="N339" s="143"/>
      <c r="O339" s="9"/>
    </row>
    <row r="340" spans="1:15" x14ac:dyDescent="0.15">
      <c r="A340" s="8"/>
      <c r="B340" s="8"/>
      <c r="C340" s="8"/>
      <c r="D340" s="8"/>
      <c r="E340" s="9"/>
      <c r="F340" s="8"/>
      <c r="G340" s="10"/>
      <c r="H340" s="11"/>
      <c r="I340" s="143"/>
      <c r="J340" s="9"/>
      <c r="K340" s="143"/>
      <c r="L340" s="9"/>
      <c r="M340" s="8"/>
      <c r="N340" s="143"/>
      <c r="O340" s="9"/>
    </row>
    <row r="341" spans="1:15" x14ac:dyDescent="0.15">
      <c r="A341" s="8"/>
      <c r="B341" s="8"/>
      <c r="C341" s="8"/>
      <c r="D341" s="8"/>
      <c r="E341" s="9"/>
      <c r="F341" s="8"/>
      <c r="G341" s="10"/>
      <c r="H341" s="11"/>
      <c r="I341" s="143"/>
      <c r="J341" s="9"/>
      <c r="K341" s="143"/>
      <c r="L341" s="9"/>
      <c r="M341" s="8"/>
      <c r="N341" s="143"/>
      <c r="O341" s="9"/>
    </row>
    <row r="342" spans="1:15" x14ac:dyDescent="0.15">
      <c r="A342" s="8"/>
      <c r="B342" s="8"/>
      <c r="C342" s="8"/>
      <c r="D342" s="8"/>
      <c r="E342" s="9"/>
      <c r="F342" s="8"/>
      <c r="G342" s="10"/>
      <c r="H342" s="11"/>
      <c r="I342" s="143"/>
      <c r="J342" s="9"/>
      <c r="K342" s="143"/>
      <c r="L342" s="9"/>
      <c r="M342" s="8"/>
      <c r="N342" s="143"/>
      <c r="O342" s="9"/>
    </row>
    <row r="343" spans="1:15" x14ac:dyDescent="0.15">
      <c r="A343" s="8"/>
      <c r="B343" s="8"/>
      <c r="C343" s="8"/>
      <c r="D343" s="8"/>
      <c r="E343" s="9"/>
      <c r="F343" s="8"/>
      <c r="G343" s="10"/>
      <c r="H343" s="11"/>
      <c r="I343" s="143"/>
      <c r="J343" s="9"/>
      <c r="K343" s="143"/>
      <c r="L343" s="9"/>
      <c r="M343" s="8"/>
      <c r="N343" s="143"/>
      <c r="O343" s="9"/>
    </row>
    <row r="344" spans="1:15" x14ac:dyDescent="0.15">
      <c r="A344" s="8"/>
      <c r="B344" s="8"/>
      <c r="C344" s="8"/>
      <c r="D344" s="8"/>
      <c r="E344" s="9"/>
      <c r="F344" s="8"/>
      <c r="G344" s="10"/>
      <c r="H344" s="11"/>
      <c r="I344" s="143"/>
      <c r="J344" s="9"/>
      <c r="K344" s="143"/>
      <c r="L344" s="9"/>
      <c r="M344" s="8"/>
      <c r="N344" s="143"/>
      <c r="O344" s="9"/>
    </row>
    <row r="345" spans="1:15" x14ac:dyDescent="0.15">
      <c r="A345" s="8"/>
      <c r="B345" s="8"/>
      <c r="C345" s="8"/>
      <c r="D345" s="8"/>
      <c r="E345" s="9"/>
      <c r="F345" s="8"/>
      <c r="G345" s="10"/>
      <c r="H345" s="11"/>
      <c r="I345" s="143"/>
      <c r="J345" s="9"/>
      <c r="K345" s="143"/>
      <c r="L345" s="9"/>
      <c r="M345" s="8"/>
      <c r="N345" s="143"/>
      <c r="O345" s="9"/>
    </row>
    <row r="346" spans="1:15" x14ac:dyDescent="0.15">
      <c r="A346" s="8"/>
      <c r="B346" s="8"/>
      <c r="C346" s="8"/>
      <c r="D346" s="8"/>
      <c r="E346" s="9"/>
      <c r="F346" s="8"/>
      <c r="G346" s="10"/>
      <c r="H346" s="11"/>
      <c r="I346" s="143"/>
      <c r="J346" s="9"/>
      <c r="K346" s="143"/>
      <c r="L346" s="9"/>
      <c r="M346" s="8"/>
      <c r="N346" s="143"/>
      <c r="O346" s="9"/>
    </row>
    <row r="347" spans="1:15" x14ac:dyDescent="0.15">
      <c r="A347" s="8"/>
      <c r="B347" s="8"/>
      <c r="C347" s="8"/>
      <c r="D347" s="8"/>
      <c r="E347" s="9"/>
      <c r="F347" s="8"/>
      <c r="G347" s="10"/>
      <c r="H347" s="11"/>
      <c r="I347" s="143"/>
      <c r="J347" s="9"/>
      <c r="K347" s="143"/>
      <c r="L347" s="9"/>
      <c r="M347" s="8"/>
      <c r="N347" s="143"/>
      <c r="O347" s="9"/>
    </row>
    <row r="348" spans="1:15" x14ac:dyDescent="0.15">
      <c r="A348" s="8"/>
      <c r="B348" s="8"/>
      <c r="C348" s="8"/>
      <c r="D348" s="8"/>
      <c r="E348" s="9"/>
      <c r="F348" s="8"/>
      <c r="G348" s="10"/>
      <c r="H348" s="11"/>
      <c r="I348" s="143"/>
      <c r="J348" s="9"/>
      <c r="K348" s="143"/>
      <c r="L348" s="9"/>
      <c r="M348" s="8"/>
      <c r="N348" s="143"/>
      <c r="O348" s="9"/>
    </row>
    <row r="349" spans="1:15" x14ac:dyDescent="0.15">
      <c r="A349" s="8"/>
      <c r="B349" s="8"/>
      <c r="C349" s="8"/>
      <c r="D349" s="8"/>
      <c r="E349" s="9"/>
      <c r="F349" s="8"/>
      <c r="G349" s="10"/>
      <c r="H349" s="11"/>
      <c r="I349" s="143"/>
      <c r="J349" s="9"/>
      <c r="K349" s="143"/>
      <c r="L349" s="9"/>
      <c r="M349" s="8"/>
      <c r="N349" s="143"/>
      <c r="O349" s="9"/>
    </row>
    <row r="350" spans="1:15" x14ac:dyDescent="0.15">
      <c r="A350" s="8"/>
      <c r="B350" s="8"/>
      <c r="C350" s="8"/>
      <c r="D350" s="8"/>
      <c r="E350" s="9"/>
      <c r="F350" s="8"/>
      <c r="G350" s="10"/>
      <c r="H350" s="11"/>
      <c r="I350" s="143"/>
      <c r="J350" s="9"/>
      <c r="K350" s="143"/>
      <c r="L350" s="9"/>
      <c r="M350" s="8"/>
      <c r="N350" s="143"/>
      <c r="O350" s="9"/>
    </row>
    <row r="351" spans="1:15" x14ac:dyDescent="0.15">
      <c r="A351" s="8"/>
      <c r="B351" s="8"/>
      <c r="C351" s="8"/>
      <c r="D351" s="8"/>
      <c r="E351" s="9"/>
      <c r="F351" s="8"/>
      <c r="G351" s="10"/>
      <c r="H351" s="11"/>
      <c r="I351" s="143"/>
      <c r="J351" s="9"/>
      <c r="K351" s="143"/>
      <c r="L351" s="9"/>
      <c r="M351" s="8"/>
      <c r="N351" s="143"/>
      <c r="O351" s="9"/>
    </row>
    <row r="352" spans="1:15" x14ac:dyDescent="0.15">
      <c r="A352" s="8"/>
      <c r="B352" s="8"/>
      <c r="C352" s="8"/>
      <c r="D352" s="8"/>
      <c r="E352" s="9"/>
      <c r="F352" s="8"/>
      <c r="G352" s="10"/>
      <c r="H352" s="11"/>
      <c r="I352" s="143"/>
      <c r="J352" s="9"/>
      <c r="K352" s="143"/>
      <c r="L352" s="9"/>
      <c r="M352" s="8"/>
      <c r="N352" s="143"/>
      <c r="O352" s="9"/>
    </row>
    <row r="353" spans="1:15" x14ac:dyDescent="0.15">
      <c r="A353" s="8"/>
      <c r="B353" s="8"/>
      <c r="C353" s="8"/>
      <c r="D353" s="8"/>
      <c r="E353" s="9"/>
      <c r="F353" s="8"/>
      <c r="G353" s="10"/>
      <c r="H353" s="11"/>
      <c r="I353" s="143"/>
      <c r="J353" s="9"/>
      <c r="K353" s="143"/>
      <c r="L353" s="9"/>
      <c r="M353" s="8"/>
      <c r="N353" s="143"/>
      <c r="O353" s="9"/>
    </row>
    <row r="354" spans="1:15" x14ac:dyDescent="0.15">
      <c r="A354" s="8"/>
      <c r="B354" s="8"/>
      <c r="C354" s="8"/>
      <c r="D354" s="8"/>
      <c r="E354" s="9"/>
      <c r="F354" s="8"/>
      <c r="G354" s="10"/>
      <c r="H354" s="11"/>
      <c r="I354" s="143"/>
      <c r="J354" s="9"/>
      <c r="K354" s="143"/>
      <c r="L354" s="9"/>
      <c r="M354" s="8"/>
      <c r="N354" s="143"/>
      <c r="O354" s="9"/>
    </row>
    <row r="355" spans="1:15" x14ac:dyDescent="0.15">
      <c r="A355" s="8"/>
      <c r="B355" s="8"/>
      <c r="C355" s="8"/>
      <c r="D355" s="8"/>
      <c r="E355" s="9"/>
      <c r="F355" s="8"/>
      <c r="G355" s="10"/>
      <c r="H355" s="11"/>
      <c r="I355" s="143"/>
      <c r="J355" s="9"/>
      <c r="K355" s="143"/>
      <c r="L355" s="9"/>
      <c r="M355" s="8"/>
      <c r="N355" s="143"/>
      <c r="O355" s="9"/>
    </row>
    <row r="356" spans="1:15" x14ac:dyDescent="0.15">
      <c r="A356" s="8"/>
      <c r="B356" s="8"/>
      <c r="C356" s="8"/>
      <c r="D356" s="8"/>
      <c r="E356" s="9"/>
      <c r="F356" s="8"/>
      <c r="G356" s="10"/>
      <c r="H356" s="11"/>
      <c r="I356" s="143"/>
      <c r="J356" s="9"/>
      <c r="K356" s="143"/>
      <c r="L356" s="9"/>
      <c r="M356" s="8"/>
      <c r="N356" s="143"/>
      <c r="O356" s="9"/>
    </row>
    <row r="357" spans="1:15" x14ac:dyDescent="0.15">
      <c r="A357" s="8"/>
      <c r="B357" s="8"/>
      <c r="C357" s="8"/>
      <c r="D357" s="8"/>
      <c r="E357" s="9"/>
      <c r="F357" s="8"/>
      <c r="G357" s="10"/>
      <c r="H357" s="11"/>
      <c r="I357" s="143"/>
      <c r="J357" s="9"/>
      <c r="K357" s="143"/>
      <c r="L357" s="9"/>
      <c r="M357" s="8"/>
      <c r="N357" s="143"/>
      <c r="O357" s="9"/>
    </row>
    <row r="358" spans="1:15" x14ac:dyDescent="0.15">
      <c r="A358" s="8"/>
      <c r="B358" s="8"/>
      <c r="C358" s="8"/>
      <c r="D358" s="8"/>
      <c r="E358" s="9"/>
      <c r="F358" s="8"/>
      <c r="G358" s="10"/>
      <c r="H358" s="11"/>
      <c r="I358" s="143"/>
      <c r="J358" s="9"/>
      <c r="K358" s="143"/>
      <c r="L358" s="9"/>
      <c r="M358" s="8"/>
      <c r="N358" s="143"/>
      <c r="O358" s="9"/>
    </row>
    <row r="359" spans="1:15" x14ac:dyDescent="0.15">
      <c r="A359" s="8"/>
      <c r="B359" s="8"/>
      <c r="C359" s="8"/>
      <c r="D359" s="8"/>
      <c r="E359" s="9"/>
      <c r="F359" s="8"/>
      <c r="G359" s="10"/>
      <c r="H359" s="11"/>
      <c r="I359" s="143"/>
      <c r="J359" s="9"/>
      <c r="K359" s="143"/>
      <c r="L359" s="9"/>
      <c r="M359" s="8"/>
      <c r="N359" s="143"/>
      <c r="O359" s="9"/>
    </row>
    <row r="360" spans="1:15" x14ac:dyDescent="0.15">
      <c r="A360" s="8"/>
      <c r="B360" s="8"/>
      <c r="C360" s="8"/>
      <c r="D360" s="8"/>
      <c r="E360" s="9"/>
      <c r="F360" s="8"/>
      <c r="G360" s="10"/>
      <c r="H360" s="11"/>
      <c r="I360" s="143"/>
      <c r="J360" s="9"/>
      <c r="K360" s="143"/>
      <c r="L360" s="9"/>
      <c r="M360" s="8"/>
      <c r="N360" s="143"/>
      <c r="O360" s="9"/>
    </row>
    <row r="361" spans="1:15" x14ac:dyDescent="0.15">
      <c r="A361" s="8"/>
      <c r="B361" s="8"/>
      <c r="C361" s="8"/>
      <c r="D361" s="8"/>
      <c r="E361" s="9"/>
      <c r="F361" s="8"/>
      <c r="G361" s="10"/>
      <c r="H361" s="11"/>
      <c r="I361" s="143"/>
      <c r="J361" s="9"/>
      <c r="K361" s="143"/>
      <c r="L361" s="9"/>
      <c r="M361" s="8"/>
      <c r="N361" s="143"/>
      <c r="O361" s="9"/>
    </row>
    <row r="362" spans="1:15" x14ac:dyDescent="0.15">
      <c r="A362" s="8"/>
      <c r="B362" s="8"/>
      <c r="C362" s="8"/>
      <c r="D362" s="8"/>
      <c r="E362" s="9"/>
      <c r="F362" s="8"/>
      <c r="G362" s="10"/>
      <c r="H362" s="11"/>
      <c r="I362" s="143"/>
      <c r="J362" s="9"/>
      <c r="K362" s="143"/>
      <c r="L362" s="9"/>
      <c r="M362" s="8"/>
      <c r="N362" s="143"/>
      <c r="O362" s="9"/>
    </row>
    <row r="363" spans="1:15" x14ac:dyDescent="0.15">
      <c r="A363" s="8"/>
      <c r="B363" s="8"/>
      <c r="C363" s="8"/>
      <c r="D363" s="8"/>
      <c r="E363" s="9"/>
      <c r="F363" s="8"/>
      <c r="G363" s="10"/>
      <c r="H363" s="11"/>
      <c r="I363" s="143"/>
      <c r="J363" s="9"/>
      <c r="K363" s="143"/>
      <c r="L363" s="9"/>
      <c r="M363" s="8"/>
      <c r="N363" s="143"/>
      <c r="O363" s="9"/>
    </row>
    <row r="364" spans="1:15" x14ac:dyDescent="0.15">
      <c r="A364" s="8"/>
      <c r="B364" s="8"/>
      <c r="C364" s="8"/>
      <c r="D364" s="8"/>
      <c r="E364" s="9"/>
      <c r="F364" s="8"/>
      <c r="G364" s="10"/>
      <c r="H364" s="11"/>
      <c r="I364" s="143"/>
      <c r="J364" s="9"/>
      <c r="K364" s="143"/>
      <c r="L364" s="9"/>
      <c r="M364" s="8"/>
      <c r="N364" s="143"/>
      <c r="O364" s="9"/>
    </row>
    <row r="365" spans="1:15" x14ac:dyDescent="0.15">
      <c r="A365" s="8"/>
      <c r="B365" s="8"/>
      <c r="C365" s="8"/>
      <c r="D365" s="8"/>
      <c r="E365" s="9"/>
      <c r="F365" s="8"/>
      <c r="G365" s="10"/>
      <c r="H365" s="11"/>
      <c r="I365" s="143"/>
      <c r="J365" s="9"/>
      <c r="K365" s="143"/>
      <c r="L365" s="9"/>
      <c r="M365" s="8"/>
      <c r="N365" s="143"/>
      <c r="O365" s="9"/>
    </row>
    <row r="366" spans="1:15" x14ac:dyDescent="0.15">
      <c r="A366" s="8"/>
      <c r="B366" s="8"/>
      <c r="C366" s="8"/>
      <c r="D366" s="8"/>
      <c r="E366" s="9"/>
      <c r="F366" s="8"/>
      <c r="G366" s="10"/>
      <c r="H366" s="11"/>
      <c r="I366" s="143"/>
      <c r="J366" s="9"/>
      <c r="K366" s="143"/>
      <c r="L366" s="9"/>
      <c r="M366" s="8"/>
      <c r="N366" s="143"/>
      <c r="O366" s="9"/>
    </row>
    <row r="367" spans="1:15" x14ac:dyDescent="0.15">
      <c r="A367" s="8"/>
      <c r="B367" s="8"/>
      <c r="C367" s="8"/>
      <c r="D367" s="8"/>
      <c r="E367" s="9"/>
      <c r="F367" s="8"/>
      <c r="G367" s="10"/>
      <c r="H367" s="11"/>
      <c r="I367" s="143"/>
      <c r="J367" s="9"/>
      <c r="K367" s="143"/>
      <c r="L367" s="9"/>
      <c r="M367" s="8"/>
      <c r="N367" s="143"/>
      <c r="O367" s="9"/>
    </row>
    <row r="368" spans="1:15" x14ac:dyDescent="0.15">
      <c r="A368" s="8"/>
      <c r="B368" s="8"/>
      <c r="C368" s="8"/>
      <c r="D368" s="8"/>
      <c r="E368" s="9"/>
      <c r="F368" s="8"/>
      <c r="G368" s="10"/>
      <c r="H368" s="11"/>
      <c r="I368" s="143"/>
      <c r="J368" s="9"/>
      <c r="K368" s="143"/>
      <c r="L368" s="9"/>
      <c r="M368" s="8"/>
      <c r="N368" s="143"/>
      <c r="O368" s="9"/>
    </row>
    <row r="369" spans="1:15" x14ac:dyDescent="0.15">
      <c r="A369" s="8"/>
      <c r="B369" s="8"/>
      <c r="C369" s="8"/>
      <c r="D369" s="8"/>
      <c r="E369" s="9"/>
      <c r="F369" s="8"/>
      <c r="G369" s="10"/>
      <c r="H369" s="11"/>
      <c r="I369" s="143"/>
      <c r="J369" s="9"/>
      <c r="K369" s="143"/>
      <c r="L369" s="9"/>
      <c r="M369" s="8"/>
      <c r="N369" s="143"/>
      <c r="O369" s="9"/>
    </row>
    <row r="370" spans="1:15" x14ac:dyDescent="0.15">
      <c r="A370" s="8"/>
      <c r="B370" s="8"/>
      <c r="C370" s="8"/>
      <c r="D370" s="8"/>
      <c r="E370" s="9"/>
      <c r="F370" s="8"/>
      <c r="G370" s="10"/>
      <c r="H370" s="11"/>
      <c r="I370" s="143"/>
      <c r="J370" s="9"/>
      <c r="K370" s="143"/>
      <c r="L370" s="9"/>
      <c r="M370" s="8"/>
      <c r="N370" s="143"/>
      <c r="O370" s="9"/>
    </row>
    <row r="371" spans="1:15" x14ac:dyDescent="0.15">
      <c r="A371" s="8"/>
      <c r="B371" s="8"/>
      <c r="C371" s="8"/>
      <c r="D371" s="8"/>
      <c r="E371" s="9"/>
      <c r="F371" s="8"/>
      <c r="G371" s="10"/>
      <c r="H371" s="11"/>
      <c r="I371" s="143"/>
      <c r="J371" s="9"/>
      <c r="K371" s="143"/>
      <c r="L371" s="9"/>
      <c r="M371" s="8"/>
      <c r="N371" s="143"/>
      <c r="O371" s="9"/>
    </row>
    <row r="372" spans="1:15" x14ac:dyDescent="0.15">
      <c r="A372" s="8"/>
      <c r="B372" s="8"/>
      <c r="C372" s="8"/>
      <c r="D372" s="8"/>
      <c r="E372" s="9"/>
      <c r="F372" s="8"/>
      <c r="G372" s="10"/>
      <c r="H372" s="11"/>
      <c r="I372" s="143"/>
      <c r="J372" s="9"/>
      <c r="K372" s="143"/>
      <c r="L372" s="9"/>
      <c r="M372" s="8"/>
      <c r="N372" s="143"/>
      <c r="O372" s="9"/>
    </row>
    <row r="373" spans="1:15" x14ac:dyDescent="0.15">
      <c r="A373" s="8"/>
      <c r="B373" s="8"/>
      <c r="C373" s="8"/>
      <c r="D373" s="8"/>
      <c r="E373" s="9"/>
      <c r="F373" s="8"/>
      <c r="G373" s="10"/>
      <c r="H373" s="11"/>
      <c r="I373" s="143"/>
      <c r="J373" s="9"/>
      <c r="K373" s="143"/>
      <c r="L373" s="9"/>
      <c r="M373" s="8"/>
      <c r="N373" s="143"/>
      <c r="O373" s="9"/>
    </row>
    <row r="374" spans="1:15" x14ac:dyDescent="0.15">
      <c r="A374" s="8"/>
      <c r="B374" s="8"/>
      <c r="C374" s="8"/>
      <c r="D374" s="8"/>
      <c r="E374" s="9"/>
      <c r="F374" s="8"/>
      <c r="G374" s="10"/>
      <c r="H374" s="11"/>
      <c r="I374" s="143"/>
      <c r="J374" s="9"/>
      <c r="K374" s="143"/>
      <c r="L374" s="9"/>
      <c r="M374" s="8"/>
      <c r="N374" s="143"/>
      <c r="O374" s="9"/>
    </row>
    <row r="375" spans="1:15" x14ac:dyDescent="0.15">
      <c r="A375" s="8"/>
      <c r="B375" s="8"/>
      <c r="C375" s="8"/>
      <c r="D375" s="8"/>
      <c r="E375" s="9"/>
      <c r="F375" s="8"/>
      <c r="G375" s="10"/>
      <c r="H375" s="11"/>
      <c r="I375" s="143"/>
      <c r="J375" s="9"/>
      <c r="K375" s="143"/>
      <c r="L375" s="9"/>
      <c r="M375" s="8"/>
      <c r="N375" s="143"/>
      <c r="O375" s="9"/>
    </row>
    <row r="376" spans="1:15" x14ac:dyDescent="0.15">
      <c r="A376" s="8"/>
      <c r="B376" s="8"/>
      <c r="C376" s="8"/>
      <c r="D376" s="8"/>
      <c r="E376" s="9"/>
      <c r="F376" s="8"/>
      <c r="G376" s="10"/>
      <c r="H376" s="11"/>
      <c r="I376" s="143"/>
      <c r="J376" s="9"/>
      <c r="K376" s="143"/>
      <c r="L376" s="9"/>
      <c r="M376" s="8"/>
      <c r="N376" s="143"/>
      <c r="O376" s="9"/>
    </row>
    <row r="377" spans="1:15" x14ac:dyDescent="0.15">
      <c r="A377" s="8"/>
      <c r="B377" s="8"/>
      <c r="C377" s="8"/>
      <c r="D377" s="8"/>
      <c r="E377" s="9"/>
      <c r="F377" s="8"/>
      <c r="G377" s="10"/>
      <c r="H377" s="11"/>
      <c r="I377" s="143"/>
      <c r="J377" s="9"/>
      <c r="K377" s="143"/>
      <c r="L377" s="9"/>
      <c r="M377" s="8"/>
      <c r="N377" s="143"/>
      <c r="O377" s="9"/>
    </row>
    <row r="378" spans="1:15" x14ac:dyDescent="0.15">
      <c r="A378" s="8"/>
      <c r="B378" s="8"/>
      <c r="C378" s="8"/>
      <c r="D378" s="8"/>
      <c r="E378" s="9"/>
      <c r="F378" s="8"/>
      <c r="G378" s="10"/>
      <c r="H378" s="11"/>
      <c r="I378" s="143"/>
      <c r="J378" s="9"/>
      <c r="K378" s="143"/>
      <c r="L378" s="9"/>
      <c r="M378" s="8"/>
      <c r="N378" s="143"/>
      <c r="O378" s="9"/>
    </row>
    <row r="379" spans="1:15" x14ac:dyDescent="0.15">
      <c r="A379" s="8"/>
      <c r="B379" s="8"/>
      <c r="C379" s="8"/>
      <c r="D379" s="8"/>
      <c r="E379" s="9"/>
      <c r="F379" s="8"/>
      <c r="G379" s="10"/>
      <c r="H379" s="11"/>
      <c r="I379" s="143"/>
      <c r="J379" s="9"/>
      <c r="K379" s="143"/>
      <c r="L379" s="9"/>
      <c r="M379" s="8"/>
      <c r="N379" s="143"/>
      <c r="O379" s="9"/>
    </row>
    <row r="380" spans="1:15" x14ac:dyDescent="0.15">
      <c r="A380" s="8"/>
      <c r="B380" s="8"/>
      <c r="C380" s="8"/>
      <c r="D380" s="8"/>
      <c r="E380" s="9"/>
      <c r="F380" s="8"/>
      <c r="G380" s="10"/>
      <c r="H380" s="11"/>
      <c r="I380" s="143"/>
      <c r="J380" s="9"/>
      <c r="K380" s="143"/>
      <c r="L380" s="9"/>
      <c r="M380" s="8"/>
      <c r="N380" s="143"/>
      <c r="O380" s="9"/>
    </row>
    <row r="381" spans="1:15" x14ac:dyDescent="0.15">
      <c r="A381" s="8"/>
      <c r="B381" s="8"/>
      <c r="C381" s="8"/>
      <c r="D381" s="8"/>
      <c r="E381" s="9"/>
      <c r="F381" s="8"/>
      <c r="G381" s="10"/>
      <c r="H381" s="11"/>
      <c r="I381" s="143"/>
      <c r="J381" s="9"/>
      <c r="K381" s="143"/>
      <c r="L381" s="9"/>
      <c r="M381" s="8"/>
      <c r="N381" s="143"/>
      <c r="O381" s="9"/>
    </row>
    <row r="382" spans="1:15" x14ac:dyDescent="0.15">
      <c r="A382" s="8"/>
      <c r="B382" s="8"/>
      <c r="C382" s="8"/>
      <c r="D382" s="8"/>
      <c r="E382" s="9"/>
      <c r="F382" s="8"/>
      <c r="G382" s="10"/>
      <c r="H382" s="11"/>
      <c r="I382" s="143"/>
      <c r="J382" s="9"/>
      <c r="K382" s="143"/>
      <c r="L382" s="9"/>
      <c r="M382" s="8"/>
      <c r="N382" s="143"/>
      <c r="O382" s="9"/>
    </row>
    <row r="383" spans="1:15" x14ac:dyDescent="0.15">
      <c r="A383" s="8"/>
      <c r="B383" s="8"/>
      <c r="C383" s="8"/>
      <c r="D383" s="8"/>
      <c r="E383" s="9"/>
      <c r="F383" s="8"/>
      <c r="G383" s="10"/>
      <c r="H383" s="11"/>
      <c r="I383" s="143"/>
      <c r="J383" s="9"/>
      <c r="K383" s="143"/>
      <c r="L383" s="9"/>
      <c r="M383" s="8"/>
      <c r="N383" s="143"/>
      <c r="O383" s="9"/>
    </row>
    <row r="384" spans="1:15" x14ac:dyDescent="0.15">
      <c r="A384" s="8"/>
      <c r="B384" s="8"/>
      <c r="C384" s="8"/>
      <c r="D384" s="8"/>
      <c r="E384" s="9"/>
      <c r="F384" s="8"/>
      <c r="G384" s="10"/>
      <c r="H384" s="11"/>
      <c r="I384" s="143"/>
      <c r="J384" s="9"/>
      <c r="K384" s="143"/>
      <c r="L384" s="9"/>
      <c r="M384" s="8"/>
      <c r="N384" s="143"/>
      <c r="O384" s="9"/>
    </row>
    <row r="385" spans="1:15" x14ac:dyDescent="0.15">
      <c r="A385" s="8"/>
      <c r="B385" s="8"/>
      <c r="C385" s="8"/>
      <c r="D385" s="8"/>
      <c r="E385" s="9"/>
      <c r="F385" s="8"/>
      <c r="G385" s="10"/>
      <c r="H385" s="11"/>
      <c r="I385" s="143"/>
      <c r="J385" s="9"/>
      <c r="K385" s="143"/>
      <c r="L385" s="9"/>
      <c r="M385" s="8"/>
      <c r="N385" s="143"/>
      <c r="O385" s="9"/>
    </row>
    <row r="386" spans="1:15" x14ac:dyDescent="0.15">
      <c r="A386" s="8"/>
      <c r="B386" s="8"/>
      <c r="C386" s="8"/>
      <c r="D386" s="8"/>
      <c r="E386" s="9"/>
      <c r="F386" s="8"/>
      <c r="G386" s="10"/>
      <c r="H386" s="11"/>
      <c r="I386" s="143"/>
      <c r="J386" s="9"/>
      <c r="K386" s="143"/>
      <c r="L386" s="9"/>
      <c r="M386" s="8"/>
      <c r="N386" s="143"/>
      <c r="O386" s="9"/>
    </row>
    <row r="387" spans="1:15" x14ac:dyDescent="0.15">
      <c r="A387" s="8"/>
      <c r="B387" s="8"/>
      <c r="C387" s="8"/>
      <c r="D387" s="8"/>
      <c r="E387" s="9"/>
      <c r="F387" s="8"/>
      <c r="G387" s="10"/>
      <c r="H387" s="11"/>
      <c r="I387" s="143"/>
      <c r="J387" s="9"/>
      <c r="K387" s="143"/>
      <c r="L387" s="9"/>
      <c r="M387" s="8"/>
      <c r="N387" s="143"/>
      <c r="O387" s="9"/>
    </row>
    <row r="388" spans="1:15" x14ac:dyDescent="0.15">
      <c r="A388" s="8"/>
      <c r="B388" s="8"/>
      <c r="C388" s="8"/>
      <c r="D388" s="8"/>
      <c r="E388" s="9"/>
      <c r="F388" s="8"/>
      <c r="G388" s="10"/>
      <c r="H388" s="11"/>
      <c r="I388" s="143"/>
      <c r="J388" s="9"/>
      <c r="K388" s="143"/>
      <c r="L388" s="9"/>
      <c r="M388" s="8"/>
      <c r="N388" s="143"/>
      <c r="O388" s="9"/>
    </row>
    <row r="389" spans="1:15" x14ac:dyDescent="0.15">
      <c r="A389" s="8"/>
      <c r="B389" s="8"/>
      <c r="C389" s="8"/>
      <c r="D389" s="8"/>
      <c r="E389" s="9"/>
      <c r="F389" s="8"/>
      <c r="G389" s="10"/>
      <c r="H389" s="11"/>
      <c r="I389" s="143"/>
      <c r="J389" s="9"/>
      <c r="K389" s="143"/>
      <c r="L389" s="9"/>
      <c r="M389" s="8"/>
      <c r="N389" s="143"/>
      <c r="O389" s="9"/>
    </row>
    <row r="390" spans="1:15" x14ac:dyDescent="0.15">
      <c r="A390" s="8"/>
      <c r="B390" s="8"/>
      <c r="C390" s="8"/>
      <c r="D390" s="8"/>
      <c r="E390" s="9"/>
      <c r="F390" s="8"/>
      <c r="G390" s="10"/>
      <c r="H390" s="11"/>
      <c r="I390" s="143"/>
      <c r="J390" s="9"/>
      <c r="K390" s="143"/>
      <c r="L390" s="9"/>
      <c r="M390" s="8"/>
      <c r="N390" s="143"/>
      <c r="O390" s="9"/>
    </row>
    <row r="391" spans="1:15" x14ac:dyDescent="0.15">
      <c r="A391" s="8"/>
      <c r="B391" s="8"/>
      <c r="C391" s="8"/>
      <c r="D391" s="8"/>
      <c r="E391" s="9"/>
      <c r="F391" s="8"/>
      <c r="G391" s="10"/>
      <c r="H391" s="11"/>
      <c r="I391" s="143"/>
      <c r="J391" s="9"/>
      <c r="K391" s="143"/>
      <c r="L391" s="9"/>
      <c r="M391" s="8"/>
      <c r="N391" s="143"/>
      <c r="O391" s="9"/>
    </row>
    <row r="392" spans="1:15" x14ac:dyDescent="0.15">
      <c r="A392" s="8"/>
      <c r="B392" s="8"/>
      <c r="C392" s="8"/>
      <c r="D392" s="8"/>
      <c r="E392" s="9"/>
      <c r="F392" s="8"/>
      <c r="G392" s="10"/>
      <c r="H392" s="11"/>
      <c r="I392" s="143"/>
      <c r="J392" s="9"/>
      <c r="K392" s="143"/>
      <c r="L392" s="9"/>
      <c r="M392" s="8"/>
      <c r="N392" s="143"/>
      <c r="O392" s="9"/>
    </row>
    <row r="393" spans="1:15" x14ac:dyDescent="0.15">
      <c r="A393" s="8"/>
      <c r="B393" s="8"/>
      <c r="C393" s="8"/>
      <c r="D393" s="8"/>
      <c r="E393" s="9"/>
      <c r="F393" s="8"/>
      <c r="G393" s="10"/>
      <c r="H393" s="11"/>
      <c r="I393" s="143"/>
      <c r="J393" s="9"/>
      <c r="K393" s="143"/>
      <c r="L393" s="9"/>
      <c r="M393" s="8"/>
      <c r="N393" s="143"/>
      <c r="O393" s="9"/>
    </row>
    <row r="394" spans="1:15" x14ac:dyDescent="0.15">
      <c r="A394" s="8"/>
      <c r="B394" s="8"/>
      <c r="C394" s="8"/>
      <c r="D394" s="8"/>
      <c r="E394" s="9"/>
      <c r="F394" s="8"/>
      <c r="G394" s="10"/>
      <c r="H394" s="11"/>
      <c r="I394" s="8"/>
      <c r="J394" s="9"/>
      <c r="K394" s="8"/>
      <c r="L394" s="9"/>
      <c r="M394" s="8"/>
      <c r="N394" s="8"/>
      <c r="O394" s="9"/>
    </row>
    <row r="395" spans="1:15" x14ac:dyDescent="0.15">
      <c r="A395" s="8"/>
      <c r="B395" s="8"/>
      <c r="C395" s="8"/>
      <c r="D395" s="8"/>
      <c r="E395" s="9"/>
      <c r="F395" s="8"/>
      <c r="G395" s="10"/>
      <c r="H395" s="11"/>
      <c r="I395" s="8"/>
      <c r="J395" s="9"/>
      <c r="K395" s="8"/>
      <c r="L395" s="9"/>
      <c r="M395" s="8"/>
      <c r="N395" s="8"/>
      <c r="O395" s="9"/>
    </row>
    <row r="396" spans="1:15" x14ac:dyDescent="0.15">
      <c r="A396" s="8"/>
      <c r="B396" s="8"/>
      <c r="C396" s="8"/>
      <c r="D396" s="8"/>
      <c r="E396" s="9"/>
      <c r="F396" s="8"/>
      <c r="G396" s="10"/>
      <c r="H396" s="11"/>
      <c r="I396" s="8"/>
      <c r="J396" s="9"/>
      <c r="K396" s="8"/>
      <c r="L396" s="9"/>
      <c r="M396" s="8"/>
      <c r="N396" s="8"/>
      <c r="O396" s="9"/>
    </row>
    <row r="397" spans="1:15" x14ac:dyDescent="0.15">
      <c r="A397" s="8"/>
      <c r="B397" s="8"/>
      <c r="C397" s="8"/>
      <c r="D397" s="8"/>
      <c r="E397" s="9"/>
      <c r="F397" s="8"/>
      <c r="G397" s="10"/>
      <c r="H397" s="11"/>
      <c r="I397" s="8"/>
      <c r="J397" s="9"/>
      <c r="K397" s="8"/>
      <c r="L397" s="9"/>
      <c r="M397" s="8"/>
      <c r="N397" s="8"/>
      <c r="O397" s="9"/>
    </row>
    <row r="398" spans="1:15" x14ac:dyDescent="0.15">
      <c r="A398" s="8"/>
      <c r="B398" s="8"/>
      <c r="C398" s="8"/>
      <c r="D398" s="8"/>
      <c r="E398" s="9"/>
      <c r="F398" s="8"/>
      <c r="G398" s="10"/>
      <c r="H398" s="11"/>
      <c r="I398" s="8"/>
      <c r="J398" s="9"/>
      <c r="K398" s="8"/>
      <c r="L398" s="9"/>
      <c r="M398" s="8"/>
      <c r="N398" s="8"/>
      <c r="O398" s="9"/>
    </row>
    <row r="399" spans="1:15" x14ac:dyDescent="0.15">
      <c r="A399" s="8"/>
      <c r="B399" s="8"/>
      <c r="C399" s="8"/>
      <c r="D399" s="8"/>
      <c r="E399" s="9"/>
      <c r="F399" s="8"/>
      <c r="G399" s="10"/>
      <c r="H399" s="11"/>
      <c r="I399" s="8"/>
      <c r="J399" s="9"/>
      <c r="K399" s="8"/>
      <c r="L399" s="9"/>
      <c r="M399" s="8"/>
      <c r="N399" s="8"/>
      <c r="O399" s="9"/>
    </row>
    <row r="400" spans="1:15" x14ac:dyDescent="0.15">
      <c r="A400" s="8"/>
      <c r="B400" s="8"/>
      <c r="C400" s="8"/>
      <c r="D400" s="8"/>
      <c r="E400" s="9"/>
      <c r="F400" s="8"/>
      <c r="G400" s="10"/>
      <c r="H400" s="11"/>
      <c r="I400" s="8"/>
      <c r="J400" s="9"/>
      <c r="K400" s="8"/>
      <c r="L400" s="9"/>
      <c r="M400" s="8"/>
      <c r="N400" s="8"/>
      <c r="O400" s="9"/>
    </row>
    <row r="401" spans="1:15" x14ac:dyDescent="0.15">
      <c r="A401" s="8"/>
      <c r="B401" s="8"/>
      <c r="C401" s="8"/>
      <c r="D401" s="8"/>
      <c r="E401" s="9"/>
      <c r="F401" s="8"/>
      <c r="G401" s="10"/>
      <c r="H401" s="11"/>
      <c r="I401" s="8"/>
      <c r="J401" s="9"/>
      <c r="K401" s="8"/>
      <c r="L401" s="9"/>
      <c r="M401" s="8"/>
      <c r="N401" s="8"/>
      <c r="O401" s="9"/>
    </row>
    <row r="402" spans="1:15" x14ac:dyDescent="0.15">
      <c r="A402" s="8"/>
      <c r="B402" s="8"/>
      <c r="C402" s="8"/>
      <c r="D402" s="8"/>
      <c r="E402" s="9"/>
      <c r="F402" s="8"/>
      <c r="G402" s="10"/>
      <c r="H402" s="11"/>
      <c r="I402" s="8"/>
      <c r="J402" s="9"/>
      <c r="K402" s="8"/>
      <c r="L402" s="9"/>
      <c r="M402" s="8"/>
      <c r="N402" s="8"/>
      <c r="O402" s="9"/>
    </row>
    <row r="403" spans="1:15" x14ac:dyDescent="0.15">
      <c r="A403" s="8"/>
      <c r="B403" s="8"/>
      <c r="C403" s="8"/>
      <c r="D403" s="8"/>
      <c r="E403" s="9"/>
      <c r="F403" s="8"/>
      <c r="G403" s="10"/>
      <c r="H403" s="11"/>
      <c r="I403" s="8"/>
      <c r="J403" s="9"/>
      <c r="K403" s="8"/>
      <c r="L403" s="9"/>
      <c r="M403" s="8"/>
      <c r="N403" s="8"/>
      <c r="O403" s="9"/>
    </row>
    <row r="404" spans="1:15" x14ac:dyDescent="0.15">
      <c r="A404" s="8"/>
      <c r="B404" s="8"/>
      <c r="C404" s="8"/>
      <c r="D404" s="8"/>
      <c r="E404" s="9"/>
      <c r="F404" s="8"/>
      <c r="G404" s="10"/>
      <c r="H404" s="11"/>
      <c r="I404" s="8"/>
      <c r="J404" s="9"/>
      <c r="K404" s="8"/>
      <c r="L404" s="9"/>
      <c r="M404" s="8"/>
      <c r="N404" s="8"/>
      <c r="O404" s="9"/>
    </row>
    <row r="405" spans="1:15" x14ac:dyDescent="0.15">
      <c r="A405" s="8"/>
      <c r="B405" s="8"/>
      <c r="C405" s="8"/>
      <c r="D405" s="8"/>
      <c r="E405" s="9"/>
      <c r="F405" s="8"/>
      <c r="G405" s="10"/>
      <c r="H405" s="11"/>
      <c r="I405" s="8"/>
      <c r="J405" s="9"/>
      <c r="K405" s="8"/>
      <c r="L405" s="9"/>
      <c r="M405" s="8"/>
      <c r="N405" s="8"/>
      <c r="O405" s="9"/>
    </row>
    <row r="406" spans="1:15" x14ac:dyDescent="0.15">
      <c r="A406" s="8"/>
      <c r="B406" s="8"/>
      <c r="C406" s="8"/>
      <c r="D406" s="8"/>
      <c r="E406" s="9"/>
      <c r="F406" s="8"/>
      <c r="G406" s="10"/>
      <c r="H406" s="11"/>
      <c r="I406" s="8"/>
      <c r="J406" s="9"/>
      <c r="K406" s="8"/>
      <c r="L406" s="9"/>
      <c r="M406" s="8"/>
      <c r="N406" s="8"/>
      <c r="O406" s="9"/>
    </row>
    <row r="407" spans="1:15" x14ac:dyDescent="0.15">
      <c r="A407" s="8"/>
      <c r="B407" s="8"/>
      <c r="C407" s="8"/>
      <c r="D407" s="8"/>
      <c r="E407" s="9"/>
      <c r="F407" s="8"/>
      <c r="G407" s="10"/>
      <c r="H407" s="11"/>
      <c r="I407" s="8"/>
      <c r="J407" s="9"/>
      <c r="K407" s="8"/>
      <c r="L407" s="9"/>
      <c r="M407" s="8"/>
      <c r="N407" s="8"/>
      <c r="O407" s="9"/>
    </row>
    <row r="408" spans="1:15" x14ac:dyDescent="0.15">
      <c r="A408" s="8"/>
      <c r="B408" s="8"/>
      <c r="C408" s="8"/>
      <c r="D408" s="8"/>
      <c r="E408" s="9"/>
      <c r="F408" s="8"/>
      <c r="G408" s="10"/>
      <c r="H408" s="11"/>
      <c r="I408" s="8"/>
      <c r="J408" s="9"/>
      <c r="K408" s="8"/>
      <c r="L408" s="9"/>
      <c r="M408" s="8"/>
      <c r="N408" s="8"/>
      <c r="O408" s="9"/>
    </row>
    <row r="409" spans="1:15" x14ac:dyDescent="0.15">
      <c r="A409" s="8"/>
      <c r="B409" s="8"/>
      <c r="C409" s="8"/>
      <c r="D409" s="8"/>
      <c r="E409" s="9"/>
      <c r="F409" s="8"/>
      <c r="G409" s="10"/>
      <c r="H409" s="11"/>
      <c r="I409" s="8"/>
      <c r="J409" s="9"/>
      <c r="K409" s="8"/>
      <c r="L409" s="9"/>
      <c r="M409" s="8"/>
      <c r="N409" s="8"/>
      <c r="O409" s="9"/>
    </row>
    <row r="410" spans="1:15" x14ac:dyDescent="0.15">
      <c r="A410" s="8"/>
      <c r="B410" s="8"/>
      <c r="C410" s="8"/>
      <c r="D410" s="8"/>
      <c r="E410" s="9"/>
      <c r="F410" s="8"/>
      <c r="G410" s="10"/>
      <c r="H410" s="11"/>
      <c r="I410" s="8"/>
      <c r="J410" s="9"/>
      <c r="K410" s="8"/>
      <c r="L410" s="9"/>
      <c r="M410" s="8"/>
      <c r="N410" s="8"/>
      <c r="O410" s="9"/>
    </row>
    <row r="411" spans="1:15" x14ac:dyDescent="0.15">
      <c r="A411" s="8"/>
      <c r="B411" s="8"/>
      <c r="C411" s="8"/>
      <c r="D411" s="8"/>
      <c r="E411" s="9"/>
      <c r="F411" s="8"/>
      <c r="G411" s="10"/>
      <c r="H411" s="11"/>
      <c r="I411" s="8"/>
      <c r="J411" s="9"/>
      <c r="K411" s="8"/>
      <c r="L411" s="9"/>
      <c r="M411" s="8"/>
      <c r="N411" s="8"/>
      <c r="O411" s="9"/>
    </row>
    <row r="412" spans="1:15" x14ac:dyDescent="0.15">
      <c r="A412" s="8"/>
      <c r="B412" s="8"/>
      <c r="C412" s="8"/>
      <c r="D412" s="8"/>
      <c r="E412" s="9"/>
      <c r="F412" s="8"/>
      <c r="G412" s="10"/>
      <c r="H412" s="11"/>
      <c r="I412" s="8"/>
      <c r="J412" s="9"/>
      <c r="K412" s="8"/>
      <c r="L412" s="9"/>
      <c r="M412" s="8"/>
      <c r="N412" s="8"/>
      <c r="O412" s="9"/>
    </row>
    <row r="413" spans="1:15" x14ac:dyDescent="0.15">
      <c r="A413" s="8"/>
      <c r="B413" s="8"/>
      <c r="C413" s="8"/>
      <c r="D413" s="8"/>
      <c r="E413" s="9"/>
      <c r="F413" s="8"/>
      <c r="G413" s="10"/>
      <c r="H413" s="11"/>
      <c r="I413" s="8"/>
      <c r="J413" s="9"/>
      <c r="K413" s="8"/>
      <c r="L413" s="9"/>
      <c r="M413" s="8"/>
      <c r="N413" s="8"/>
      <c r="O413" s="9"/>
    </row>
    <row r="414" spans="1:15" x14ac:dyDescent="0.15">
      <c r="A414" s="8"/>
      <c r="B414" s="8"/>
      <c r="C414" s="8"/>
      <c r="D414" s="8"/>
      <c r="E414" s="9"/>
      <c r="F414" s="8"/>
      <c r="G414" s="10"/>
      <c r="H414" s="11"/>
      <c r="I414" s="8"/>
      <c r="J414" s="9"/>
      <c r="K414" s="8"/>
      <c r="L414" s="9"/>
      <c r="M414" s="8"/>
      <c r="N414" s="8"/>
      <c r="O414" s="9"/>
    </row>
    <row r="415" spans="1:15" x14ac:dyDescent="0.15">
      <c r="A415" s="8"/>
      <c r="B415" s="8"/>
      <c r="C415" s="8"/>
      <c r="D415" s="8"/>
      <c r="E415" s="9"/>
      <c r="F415" s="8"/>
      <c r="G415" s="10"/>
      <c r="H415" s="11"/>
      <c r="I415" s="8"/>
      <c r="J415" s="9"/>
      <c r="K415" s="8"/>
      <c r="L415" s="9"/>
      <c r="M415" s="8"/>
      <c r="N415" s="8"/>
      <c r="O415" s="9"/>
    </row>
    <row r="416" spans="1:15" x14ac:dyDescent="0.15">
      <c r="A416" s="8"/>
      <c r="B416" s="8"/>
      <c r="C416" s="8"/>
      <c r="D416" s="8"/>
      <c r="E416" s="9"/>
      <c r="F416" s="8"/>
      <c r="G416" s="10"/>
      <c r="H416" s="11"/>
      <c r="I416" s="8"/>
      <c r="J416" s="9"/>
      <c r="K416" s="8"/>
      <c r="L416" s="9"/>
      <c r="M416" s="8"/>
      <c r="N416" s="8"/>
      <c r="O416" s="9"/>
    </row>
    <row r="417" spans="1:15" x14ac:dyDescent="0.15">
      <c r="A417" s="8"/>
      <c r="B417" s="8"/>
      <c r="C417" s="8"/>
      <c r="D417" s="8"/>
      <c r="E417" s="9"/>
      <c r="F417" s="8"/>
      <c r="G417" s="10"/>
      <c r="H417" s="11"/>
      <c r="I417" s="8"/>
      <c r="J417" s="9"/>
      <c r="K417" s="8"/>
      <c r="L417" s="9"/>
      <c r="M417" s="8"/>
      <c r="N417" s="8"/>
      <c r="O417" s="9"/>
    </row>
    <row r="418" spans="1:15" x14ac:dyDescent="0.15">
      <c r="A418" s="8"/>
      <c r="B418" s="8"/>
      <c r="C418" s="8"/>
      <c r="D418" s="8"/>
      <c r="E418" s="9"/>
      <c r="F418" s="8"/>
      <c r="G418" s="10"/>
      <c r="H418" s="11"/>
      <c r="I418" s="8"/>
      <c r="J418" s="9"/>
      <c r="K418" s="8"/>
      <c r="L418" s="9"/>
      <c r="M418" s="8"/>
      <c r="N418" s="8"/>
      <c r="O418" s="9"/>
    </row>
    <row r="419" spans="1:15" x14ac:dyDescent="0.15">
      <c r="A419" s="8"/>
      <c r="B419" s="8"/>
      <c r="C419" s="8"/>
      <c r="D419" s="8"/>
      <c r="E419" s="9"/>
      <c r="F419" s="8"/>
      <c r="G419" s="10"/>
      <c r="H419" s="11"/>
      <c r="I419" s="8"/>
      <c r="J419" s="9"/>
      <c r="K419" s="8"/>
      <c r="L419" s="9"/>
      <c r="M419" s="8"/>
      <c r="N419" s="8"/>
      <c r="O419" s="9"/>
    </row>
    <row r="420" spans="1:15" x14ac:dyDescent="0.15">
      <c r="A420" s="8"/>
      <c r="B420" s="8"/>
      <c r="C420" s="8"/>
      <c r="D420" s="8"/>
      <c r="E420" s="9"/>
      <c r="F420" s="8"/>
      <c r="G420" s="10"/>
      <c r="H420" s="11"/>
      <c r="I420" s="8"/>
      <c r="J420" s="9"/>
      <c r="K420" s="8"/>
      <c r="L420" s="9"/>
      <c r="M420" s="8"/>
      <c r="N420" s="8"/>
      <c r="O420" s="9"/>
    </row>
    <row r="421" spans="1:15" x14ac:dyDescent="0.15">
      <c r="A421" s="8"/>
      <c r="B421" s="8"/>
      <c r="C421" s="8"/>
      <c r="D421" s="8"/>
      <c r="E421" s="9"/>
      <c r="F421" s="8"/>
      <c r="G421" s="10"/>
      <c r="H421" s="11"/>
      <c r="I421" s="8"/>
      <c r="J421" s="9"/>
      <c r="K421" s="8"/>
      <c r="L421" s="9"/>
      <c r="M421" s="8"/>
      <c r="N421" s="8"/>
      <c r="O421" s="9"/>
    </row>
    <row r="422" spans="1:15" x14ac:dyDescent="0.15">
      <c r="A422" s="8"/>
      <c r="B422" s="8"/>
      <c r="C422" s="8"/>
      <c r="D422" s="8"/>
      <c r="E422" s="9"/>
      <c r="F422" s="8"/>
      <c r="G422" s="10"/>
      <c r="H422" s="11"/>
      <c r="I422" s="8"/>
      <c r="J422" s="9"/>
      <c r="K422" s="8"/>
      <c r="L422" s="9"/>
      <c r="M422" s="8"/>
      <c r="N422" s="8"/>
      <c r="O422" s="9"/>
    </row>
    <row r="423" spans="1:15" x14ac:dyDescent="0.15">
      <c r="A423" s="8"/>
      <c r="B423" s="8"/>
      <c r="C423" s="8"/>
      <c r="D423" s="8"/>
      <c r="E423" s="9"/>
      <c r="F423" s="8"/>
      <c r="G423" s="10"/>
      <c r="H423" s="11"/>
      <c r="I423" s="8"/>
      <c r="J423" s="9"/>
      <c r="K423" s="8"/>
      <c r="L423" s="9"/>
      <c r="M423" s="8"/>
      <c r="N423" s="8"/>
      <c r="O423" s="9"/>
    </row>
    <row r="424" spans="1:15" x14ac:dyDescent="0.15">
      <c r="A424" s="8"/>
      <c r="B424" s="8"/>
      <c r="C424" s="8"/>
      <c r="D424" s="8"/>
      <c r="E424" s="9"/>
      <c r="F424" s="8"/>
      <c r="G424" s="10"/>
      <c r="H424" s="11"/>
      <c r="I424" s="8"/>
      <c r="J424" s="9"/>
      <c r="K424" s="8"/>
      <c r="L424" s="9"/>
      <c r="M424" s="8"/>
      <c r="N424" s="8"/>
      <c r="O424" s="9"/>
    </row>
    <row r="425" spans="1:15" x14ac:dyDescent="0.15">
      <c r="A425" s="8"/>
      <c r="B425" s="8"/>
      <c r="C425" s="8"/>
      <c r="D425" s="8"/>
      <c r="E425" s="9"/>
      <c r="F425" s="8"/>
      <c r="G425" s="10"/>
      <c r="H425" s="11"/>
      <c r="I425" s="8"/>
      <c r="J425" s="9"/>
      <c r="K425" s="8"/>
      <c r="L425" s="9"/>
      <c r="M425" s="8"/>
      <c r="N425" s="8"/>
      <c r="O425" s="9"/>
    </row>
    <row r="426" spans="1:15" x14ac:dyDescent="0.15">
      <c r="A426" s="8"/>
      <c r="B426" s="8"/>
      <c r="C426" s="8"/>
      <c r="D426" s="8"/>
      <c r="E426" s="9"/>
      <c r="F426" s="8"/>
      <c r="G426" s="10"/>
      <c r="H426" s="11"/>
      <c r="I426" s="8"/>
      <c r="J426" s="9"/>
      <c r="K426" s="8"/>
      <c r="L426" s="9"/>
      <c r="M426" s="8"/>
      <c r="N426" s="8"/>
      <c r="O426" s="9"/>
    </row>
    <row r="427" spans="1:15" x14ac:dyDescent="0.15">
      <c r="A427" s="8"/>
      <c r="B427" s="8"/>
      <c r="C427" s="8"/>
      <c r="D427" s="8"/>
      <c r="E427" s="9"/>
      <c r="F427" s="8"/>
      <c r="G427" s="10"/>
      <c r="H427" s="11"/>
      <c r="I427" s="8"/>
      <c r="J427" s="9"/>
      <c r="K427" s="8"/>
      <c r="L427" s="9"/>
      <c r="M427" s="8"/>
      <c r="N427" s="8"/>
      <c r="O427" s="9"/>
    </row>
    <row r="428" spans="1:15" x14ac:dyDescent="0.15">
      <c r="A428" s="8"/>
      <c r="B428" s="8"/>
      <c r="C428" s="8"/>
      <c r="D428" s="8"/>
      <c r="E428" s="9"/>
      <c r="F428" s="8"/>
      <c r="G428" s="10"/>
      <c r="H428" s="11"/>
      <c r="I428" s="8"/>
      <c r="J428" s="9"/>
      <c r="K428" s="8"/>
      <c r="L428" s="9"/>
      <c r="M428" s="8"/>
      <c r="N428" s="8"/>
      <c r="O428" s="9"/>
    </row>
    <row r="429" spans="1:15" x14ac:dyDescent="0.15">
      <c r="A429" s="8"/>
      <c r="B429" s="8"/>
      <c r="C429" s="8"/>
      <c r="D429" s="8"/>
      <c r="E429" s="9"/>
      <c r="F429" s="8"/>
      <c r="G429" s="10"/>
      <c r="H429" s="11"/>
      <c r="I429" s="8"/>
      <c r="J429" s="9"/>
      <c r="K429" s="8"/>
      <c r="L429" s="9"/>
      <c r="M429" s="8"/>
      <c r="N429" s="8"/>
      <c r="O429" s="9"/>
    </row>
    <row r="430" spans="1:15" x14ac:dyDescent="0.15">
      <c r="A430" s="8"/>
      <c r="B430" s="8"/>
      <c r="C430" s="8"/>
      <c r="D430" s="8"/>
      <c r="E430" s="9"/>
      <c r="F430" s="8"/>
      <c r="G430" s="10"/>
      <c r="H430" s="11"/>
      <c r="I430" s="8"/>
      <c r="J430" s="9"/>
      <c r="K430" s="8"/>
      <c r="L430" s="9"/>
      <c r="M430" s="8"/>
      <c r="N430" s="8"/>
      <c r="O430" s="9"/>
    </row>
    <row r="431" spans="1:15" x14ac:dyDescent="0.15">
      <c r="A431" s="8"/>
      <c r="B431" s="8"/>
      <c r="C431" s="8"/>
      <c r="D431" s="8"/>
      <c r="E431" s="9"/>
      <c r="F431" s="8"/>
      <c r="G431" s="10"/>
      <c r="H431" s="11"/>
      <c r="I431" s="8"/>
      <c r="J431" s="9"/>
      <c r="K431" s="8"/>
      <c r="L431" s="9"/>
      <c r="M431" s="8"/>
      <c r="N431" s="8"/>
      <c r="O431" s="9"/>
    </row>
    <row r="432" spans="1:15" x14ac:dyDescent="0.15">
      <c r="A432" s="8"/>
      <c r="B432" s="8"/>
      <c r="C432" s="8"/>
      <c r="D432" s="8"/>
      <c r="E432" s="9"/>
      <c r="F432" s="8"/>
      <c r="G432" s="10"/>
      <c r="H432" s="11"/>
      <c r="I432" s="8"/>
      <c r="J432" s="9"/>
      <c r="K432" s="8"/>
      <c r="L432" s="9"/>
      <c r="M432" s="8"/>
      <c r="N432" s="8"/>
      <c r="O432" s="9"/>
    </row>
    <row r="433" spans="1:15" x14ac:dyDescent="0.15">
      <c r="A433" s="8"/>
      <c r="B433" s="8"/>
      <c r="C433" s="8"/>
      <c r="D433" s="8"/>
      <c r="E433" s="9"/>
      <c r="F433" s="8"/>
      <c r="G433" s="10"/>
      <c r="H433" s="11"/>
      <c r="I433" s="8"/>
      <c r="J433" s="9"/>
      <c r="K433" s="8"/>
      <c r="L433" s="9"/>
      <c r="M433" s="8"/>
      <c r="N433" s="8"/>
      <c r="O433" s="9"/>
    </row>
    <row r="434" spans="1:15" x14ac:dyDescent="0.15">
      <c r="A434" s="8"/>
      <c r="B434" s="8"/>
      <c r="C434" s="8"/>
      <c r="D434" s="8"/>
      <c r="E434" s="9"/>
      <c r="F434" s="8"/>
      <c r="G434" s="10"/>
      <c r="H434" s="11"/>
      <c r="I434" s="8"/>
      <c r="J434" s="9"/>
      <c r="K434" s="8"/>
      <c r="L434" s="9"/>
      <c r="M434" s="8"/>
      <c r="N434" s="8"/>
      <c r="O434" s="9"/>
    </row>
    <row r="435" spans="1:15" x14ac:dyDescent="0.15">
      <c r="A435" s="8"/>
      <c r="B435" s="8"/>
      <c r="C435" s="8"/>
      <c r="D435" s="8"/>
      <c r="E435" s="9"/>
      <c r="F435" s="8"/>
      <c r="G435" s="10"/>
      <c r="H435" s="11"/>
      <c r="I435" s="8"/>
      <c r="J435" s="9"/>
      <c r="K435" s="8"/>
      <c r="L435" s="9"/>
      <c r="M435" s="8"/>
      <c r="N435" s="8"/>
      <c r="O435" s="9"/>
    </row>
    <row r="436" spans="1:15" x14ac:dyDescent="0.15">
      <c r="A436" s="8"/>
      <c r="B436" s="8"/>
      <c r="C436" s="8"/>
      <c r="D436" s="8"/>
      <c r="E436" s="9"/>
      <c r="F436" s="8"/>
      <c r="G436" s="10"/>
      <c r="H436" s="11"/>
      <c r="I436" s="8"/>
      <c r="J436" s="9"/>
      <c r="K436" s="8"/>
      <c r="L436" s="9"/>
      <c r="M436" s="8"/>
      <c r="N436" s="8"/>
      <c r="O436" s="9"/>
    </row>
    <row r="437" spans="1:15" x14ac:dyDescent="0.15">
      <c r="A437" s="8"/>
      <c r="B437" s="8"/>
      <c r="C437" s="8"/>
      <c r="D437" s="8"/>
      <c r="E437" s="9"/>
      <c r="F437" s="8"/>
      <c r="G437" s="10"/>
      <c r="H437" s="11"/>
      <c r="I437" s="8"/>
      <c r="J437" s="9"/>
      <c r="K437" s="8"/>
      <c r="L437" s="9"/>
      <c r="M437" s="8"/>
      <c r="N437" s="8"/>
      <c r="O437" s="9"/>
    </row>
    <row r="438" spans="1:15" x14ac:dyDescent="0.15">
      <c r="A438" s="8"/>
      <c r="B438" s="8"/>
      <c r="C438" s="8"/>
      <c r="D438" s="8"/>
      <c r="E438" s="9"/>
      <c r="F438" s="8"/>
      <c r="G438" s="10"/>
      <c r="H438" s="11"/>
      <c r="I438" s="8"/>
      <c r="J438" s="9"/>
      <c r="K438" s="8"/>
      <c r="L438" s="9"/>
      <c r="M438" s="8"/>
      <c r="N438" s="8"/>
      <c r="O438" s="9"/>
    </row>
    <row r="439" spans="1:15" x14ac:dyDescent="0.15">
      <c r="A439" s="8"/>
      <c r="B439" s="8"/>
      <c r="C439" s="8"/>
      <c r="D439" s="8"/>
      <c r="E439" s="9"/>
      <c r="F439" s="8"/>
      <c r="G439" s="10"/>
      <c r="H439" s="11"/>
      <c r="I439" s="8"/>
      <c r="J439" s="9"/>
      <c r="K439" s="8"/>
      <c r="L439" s="9"/>
      <c r="M439" s="8"/>
      <c r="N439" s="8"/>
      <c r="O439" s="9"/>
    </row>
    <row r="440" spans="1:15" x14ac:dyDescent="0.15">
      <c r="A440" s="8"/>
      <c r="B440" s="8"/>
      <c r="C440" s="8"/>
      <c r="D440" s="8"/>
      <c r="E440" s="9"/>
      <c r="F440" s="8"/>
      <c r="G440" s="10"/>
      <c r="H440" s="11"/>
      <c r="I440" s="8"/>
      <c r="J440" s="9"/>
      <c r="K440" s="8"/>
      <c r="L440" s="9"/>
      <c r="M440" s="8"/>
      <c r="N440" s="8"/>
      <c r="O440" s="9"/>
    </row>
    <row r="441" spans="1:15" x14ac:dyDescent="0.15">
      <c r="A441" s="8"/>
      <c r="B441" s="8"/>
      <c r="C441" s="8"/>
      <c r="D441" s="8"/>
      <c r="E441" s="9"/>
      <c r="F441" s="8"/>
      <c r="G441" s="10"/>
      <c r="H441" s="11"/>
      <c r="I441" s="8"/>
      <c r="J441" s="9"/>
      <c r="K441" s="8"/>
      <c r="L441" s="9"/>
      <c r="M441" s="8"/>
      <c r="N441" s="8"/>
      <c r="O441" s="9"/>
    </row>
    <row r="442" spans="1:15" x14ac:dyDescent="0.15">
      <c r="A442" s="8"/>
      <c r="B442" s="8"/>
      <c r="C442" s="8"/>
      <c r="D442" s="8"/>
      <c r="E442" s="9"/>
      <c r="F442" s="8"/>
      <c r="G442" s="10"/>
      <c r="H442" s="11"/>
      <c r="I442" s="8"/>
      <c r="J442" s="9"/>
      <c r="K442" s="8"/>
      <c r="L442" s="9"/>
      <c r="M442" s="8"/>
      <c r="N442" s="8"/>
      <c r="O442" s="9"/>
    </row>
    <row r="443" spans="1:15" x14ac:dyDescent="0.15">
      <c r="A443" s="8"/>
      <c r="B443" s="8"/>
      <c r="C443" s="8"/>
      <c r="D443" s="8"/>
      <c r="E443" s="9"/>
      <c r="F443" s="8"/>
      <c r="G443" s="10"/>
      <c r="H443" s="11"/>
      <c r="I443" s="8"/>
      <c r="J443" s="9"/>
      <c r="K443" s="8"/>
      <c r="L443" s="9"/>
      <c r="M443" s="8"/>
      <c r="N443" s="8"/>
      <c r="O443" s="9"/>
    </row>
    <row r="444" spans="1:15" x14ac:dyDescent="0.15">
      <c r="A444" s="8"/>
      <c r="B444" s="8"/>
      <c r="C444" s="8"/>
      <c r="D444" s="8"/>
      <c r="E444" s="9"/>
      <c r="F444" s="8"/>
      <c r="G444" s="10"/>
      <c r="H444" s="11"/>
      <c r="I444" s="8"/>
      <c r="J444" s="9"/>
      <c r="K444" s="8"/>
      <c r="L444" s="9"/>
      <c r="M444" s="8"/>
      <c r="N444" s="8"/>
      <c r="O444" s="9"/>
    </row>
    <row r="445" spans="1:15" x14ac:dyDescent="0.15">
      <c r="A445" s="8"/>
      <c r="B445" s="8"/>
      <c r="C445" s="8"/>
      <c r="D445" s="8"/>
      <c r="E445" s="9"/>
      <c r="F445" s="8"/>
      <c r="G445" s="10"/>
      <c r="H445" s="11"/>
      <c r="I445" s="8"/>
      <c r="J445" s="9"/>
      <c r="K445" s="8"/>
      <c r="L445" s="9"/>
      <c r="M445" s="8"/>
      <c r="N445" s="8"/>
      <c r="O445" s="9"/>
    </row>
    <row r="446" spans="1:15" x14ac:dyDescent="0.15">
      <c r="A446" s="8"/>
      <c r="B446" s="8"/>
      <c r="C446" s="8"/>
      <c r="D446" s="8"/>
      <c r="E446" s="9"/>
      <c r="F446" s="8"/>
      <c r="G446" s="10"/>
      <c r="H446" s="11"/>
      <c r="I446" s="8"/>
      <c r="J446" s="9"/>
      <c r="K446" s="8"/>
      <c r="L446" s="9"/>
      <c r="M446" s="8"/>
      <c r="N446" s="8"/>
      <c r="O446" s="9"/>
    </row>
    <row r="447" spans="1:15" x14ac:dyDescent="0.15">
      <c r="A447" s="8"/>
      <c r="B447" s="8"/>
      <c r="C447" s="8"/>
      <c r="D447" s="8"/>
      <c r="E447" s="9"/>
      <c r="F447" s="8"/>
      <c r="G447" s="10"/>
      <c r="H447" s="11"/>
      <c r="I447" s="8"/>
      <c r="J447" s="9"/>
      <c r="K447" s="8"/>
      <c r="L447" s="9"/>
      <c r="M447" s="8"/>
      <c r="N447" s="8"/>
      <c r="O447" s="9"/>
    </row>
    <row r="448" spans="1:15" x14ac:dyDescent="0.15">
      <c r="A448" s="8"/>
      <c r="B448" s="8"/>
      <c r="C448" s="8"/>
      <c r="D448" s="8"/>
      <c r="E448" s="9"/>
      <c r="F448" s="8"/>
      <c r="G448" s="10"/>
      <c r="H448" s="11"/>
      <c r="I448" s="8"/>
      <c r="J448" s="9"/>
      <c r="K448" s="8"/>
      <c r="L448" s="9"/>
      <c r="M448" s="8"/>
      <c r="N448" s="8"/>
      <c r="O448" s="9"/>
    </row>
    <row r="449" spans="1:15" x14ac:dyDescent="0.15">
      <c r="A449" s="8"/>
      <c r="B449" s="8"/>
      <c r="C449" s="8"/>
      <c r="D449" s="8"/>
      <c r="E449" s="9"/>
      <c r="F449" s="8"/>
      <c r="G449" s="10"/>
      <c r="H449" s="11"/>
      <c r="I449" s="8"/>
      <c r="J449" s="9"/>
      <c r="K449" s="8"/>
      <c r="L449" s="9"/>
      <c r="M449" s="8"/>
      <c r="N449" s="8"/>
      <c r="O449" s="9"/>
    </row>
    <row r="450" spans="1:15" x14ac:dyDescent="0.15">
      <c r="A450" s="8"/>
      <c r="B450" s="8"/>
      <c r="C450" s="8"/>
      <c r="D450" s="8"/>
      <c r="E450" s="9"/>
      <c r="F450" s="8"/>
      <c r="G450" s="10"/>
      <c r="H450" s="11"/>
      <c r="I450" s="8"/>
      <c r="J450" s="9"/>
      <c r="K450" s="8"/>
      <c r="L450" s="9"/>
      <c r="M450" s="8"/>
      <c r="N450" s="8"/>
      <c r="O450" s="9"/>
    </row>
    <row r="451" spans="1:15" x14ac:dyDescent="0.15">
      <c r="A451" s="8"/>
      <c r="B451" s="8"/>
      <c r="C451" s="8"/>
      <c r="D451" s="8"/>
      <c r="E451" s="9"/>
      <c r="F451" s="8"/>
      <c r="G451" s="10"/>
      <c r="H451" s="11"/>
      <c r="I451" s="8"/>
      <c r="J451" s="9"/>
      <c r="K451" s="8"/>
      <c r="L451" s="9"/>
      <c r="M451" s="8"/>
      <c r="N451" s="8"/>
      <c r="O451" s="9"/>
    </row>
    <row r="452" spans="1:15" x14ac:dyDescent="0.15">
      <c r="A452" s="8"/>
      <c r="B452" s="8"/>
      <c r="C452" s="8"/>
      <c r="D452" s="8"/>
      <c r="E452" s="9"/>
      <c r="F452" s="8"/>
      <c r="G452" s="10"/>
      <c r="H452" s="11"/>
      <c r="I452" s="8"/>
      <c r="J452" s="9"/>
      <c r="K452" s="8"/>
      <c r="L452" s="9"/>
      <c r="M452" s="8"/>
      <c r="N452" s="8"/>
      <c r="O452" s="9"/>
    </row>
    <row r="453" spans="1:15" x14ac:dyDescent="0.15">
      <c r="A453" s="8"/>
      <c r="B453" s="8"/>
      <c r="C453" s="8"/>
      <c r="D453" s="8"/>
      <c r="E453" s="9"/>
      <c r="F453" s="8"/>
      <c r="G453" s="10"/>
      <c r="H453" s="11"/>
      <c r="I453" s="8"/>
      <c r="J453" s="9"/>
      <c r="K453" s="8"/>
      <c r="L453" s="9"/>
      <c r="M453" s="8"/>
      <c r="N453" s="8"/>
      <c r="O453" s="9"/>
    </row>
    <row r="454" spans="1:15" x14ac:dyDescent="0.15">
      <c r="A454" s="8"/>
      <c r="B454" s="8"/>
      <c r="C454" s="8"/>
      <c r="D454" s="8"/>
      <c r="E454" s="9"/>
      <c r="F454" s="8"/>
      <c r="G454" s="10"/>
      <c r="H454" s="11"/>
      <c r="I454" s="8"/>
      <c r="J454" s="9"/>
      <c r="K454" s="8"/>
      <c r="L454" s="9"/>
      <c r="M454" s="8"/>
      <c r="N454" s="8"/>
      <c r="O454" s="9"/>
    </row>
    <row r="455" spans="1:15" x14ac:dyDescent="0.15">
      <c r="A455" s="8"/>
      <c r="B455" s="8"/>
      <c r="C455" s="8"/>
      <c r="D455" s="8"/>
      <c r="E455" s="9"/>
      <c r="F455" s="8"/>
      <c r="G455" s="10"/>
      <c r="H455" s="11"/>
      <c r="I455" s="8"/>
      <c r="J455" s="9"/>
      <c r="K455" s="8"/>
      <c r="L455" s="9"/>
      <c r="M455" s="8"/>
      <c r="N455" s="8"/>
      <c r="O455" s="9"/>
    </row>
    <row r="456" spans="1:15" x14ac:dyDescent="0.15">
      <c r="A456" s="8"/>
      <c r="B456" s="8"/>
      <c r="C456" s="8"/>
      <c r="D456" s="8"/>
      <c r="E456" s="9"/>
      <c r="F456" s="8"/>
      <c r="G456" s="10"/>
      <c r="H456" s="11"/>
      <c r="I456" s="8"/>
      <c r="J456" s="9"/>
      <c r="K456" s="8"/>
      <c r="L456" s="9"/>
      <c r="M456" s="8"/>
      <c r="N456" s="8"/>
      <c r="O456" s="9"/>
    </row>
    <row r="457" spans="1:15" x14ac:dyDescent="0.15">
      <c r="A457" s="8"/>
      <c r="B457" s="8"/>
      <c r="C457" s="8"/>
      <c r="D457" s="8"/>
      <c r="E457" s="9"/>
      <c r="F457" s="8"/>
      <c r="G457" s="10"/>
      <c r="H457" s="11"/>
      <c r="I457" s="8"/>
      <c r="J457" s="9"/>
      <c r="K457" s="8"/>
      <c r="L457" s="9"/>
      <c r="M457" s="8"/>
      <c r="N457" s="8"/>
      <c r="O457" s="9"/>
    </row>
    <row r="458" spans="1:15" x14ac:dyDescent="0.15">
      <c r="A458" s="8"/>
      <c r="B458" s="8"/>
      <c r="C458" s="8"/>
      <c r="D458" s="8"/>
      <c r="E458" s="9"/>
      <c r="F458" s="8"/>
      <c r="G458" s="10"/>
      <c r="H458" s="11"/>
      <c r="I458" s="8"/>
      <c r="J458" s="9"/>
      <c r="K458" s="8"/>
      <c r="L458" s="9"/>
      <c r="M458" s="8"/>
      <c r="N458" s="8"/>
      <c r="O458" s="9"/>
    </row>
    <row r="459" spans="1:15" x14ac:dyDescent="0.15">
      <c r="A459" s="8"/>
      <c r="B459" s="8"/>
      <c r="C459" s="8"/>
      <c r="D459" s="8"/>
      <c r="E459" s="9"/>
      <c r="F459" s="8"/>
      <c r="G459" s="10"/>
      <c r="H459" s="11"/>
      <c r="I459" s="8"/>
      <c r="J459" s="9"/>
      <c r="K459" s="8"/>
      <c r="L459" s="9"/>
      <c r="M459" s="8"/>
      <c r="N459" s="8"/>
      <c r="O459" s="9"/>
    </row>
    <row r="460" spans="1:15" x14ac:dyDescent="0.15">
      <c r="A460" s="8"/>
      <c r="B460" s="8"/>
      <c r="C460" s="8"/>
      <c r="D460" s="8"/>
      <c r="E460" s="9"/>
      <c r="F460" s="8"/>
      <c r="G460" s="10"/>
      <c r="H460" s="11"/>
      <c r="I460" s="8"/>
      <c r="J460" s="9"/>
      <c r="K460" s="8"/>
      <c r="L460" s="9"/>
      <c r="M460" s="8"/>
      <c r="N460" s="8"/>
      <c r="O460" s="9"/>
    </row>
    <row r="461" spans="1:15" x14ac:dyDescent="0.15">
      <c r="A461" s="8"/>
      <c r="B461" s="8"/>
      <c r="C461" s="8"/>
      <c r="D461" s="8"/>
      <c r="E461" s="9"/>
      <c r="F461" s="8"/>
      <c r="G461" s="10"/>
      <c r="H461" s="11"/>
      <c r="I461" s="8"/>
      <c r="J461" s="9"/>
      <c r="K461" s="8"/>
      <c r="L461" s="9"/>
      <c r="M461" s="8"/>
      <c r="N461" s="8"/>
      <c r="O461" s="9"/>
    </row>
    <row r="462" spans="1:15" x14ac:dyDescent="0.15">
      <c r="A462" s="8"/>
      <c r="B462" s="8"/>
      <c r="C462" s="8"/>
      <c r="D462" s="8"/>
      <c r="E462" s="9"/>
      <c r="F462" s="8"/>
      <c r="G462" s="10"/>
      <c r="H462" s="11"/>
      <c r="I462" s="8"/>
      <c r="J462" s="9"/>
      <c r="K462" s="8"/>
      <c r="L462" s="9"/>
      <c r="M462" s="8"/>
      <c r="N462" s="8"/>
      <c r="O462" s="9"/>
    </row>
    <row r="463" spans="1:15" x14ac:dyDescent="0.15">
      <c r="A463" s="8"/>
      <c r="B463" s="8"/>
      <c r="C463" s="8"/>
      <c r="D463" s="8"/>
      <c r="E463" s="9"/>
      <c r="F463" s="8"/>
      <c r="G463" s="10"/>
      <c r="H463" s="11"/>
      <c r="I463" s="8"/>
      <c r="J463" s="9"/>
      <c r="K463" s="8"/>
      <c r="L463" s="9"/>
      <c r="M463" s="8"/>
      <c r="N463" s="8"/>
      <c r="O463" s="9"/>
    </row>
    <row r="464" spans="1:15" x14ac:dyDescent="0.15">
      <c r="A464" s="8"/>
      <c r="B464" s="8"/>
      <c r="C464" s="8"/>
      <c r="D464" s="8"/>
      <c r="E464" s="9"/>
      <c r="F464" s="8"/>
      <c r="G464" s="10"/>
      <c r="H464" s="11"/>
      <c r="I464" s="8"/>
      <c r="J464" s="9"/>
      <c r="K464" s="8"/>
      <c r="L464" s="9"/>
      <c r="M464" s="8"/>
      <c r="N464" s="8"/>
      <c r="O464" s="9"/>
    </row>
    <row r="465" spans="1:15" x14ac:dyDescent="0.15">
      <c r="A465" s="8"/>
      <c r="B465" s="8"/>
      <c r="C465" s="8"/>
      <c r="D465" s="8"/>
      <c r="E465" s="9"/>
      <c r="F465" s="8"/>
      <c r="G465" s="10"/>
      <c r="H465" s="11"/>
      <c r="I465" s="8"/>
      <c r="J465" s="9"/>
      <c r="K465" s="8"/>
      <c r="L465" s="9"/>
      <c r="M465" s="8"/>
      <c r="N465" s="8"/>
      <c r="O465" s="9"/>
    </row>
    <row r="466" spans="1:15" x14ac:dyDescent="0.15">
      <c r="A466" s="8"/>
      <c r="B466" s="8"/>
      <c r="C466" s="8"/>
      <c r="D466" s="8"/>
      <c r="E466" s="9"/>
      <c r="F466" s="8"/>
      <c r="G466" s="10"/>
      <c r="H466" s="11"/>
      <c r="I466" s="8"/>
      <c r="J466" s="9"/>
      <c r="K466" s="8"/>
      <c r="L466" s="9"/>
      <c r="M466" s="8"/>
      <c r="N466" s="8"/>
      <c r="O466" s="9"/>
    </row>
    <row r="467" spans="1:15" x14ac:dyDescent="0.15">
      <c r="A467" s="8"/>
      <c r="B467" s="8"/>
      <c r="C467" s="8"/>
      <c r="D467" s="8"/>
      <c r="E467" s="9"/>
      <c r="F467" s="8"/>
      <c r="G467" s="10"/>
      <c r="H467" s="11"/>
      <c r="I467" s="8"/>
      <c r="J467" s="9"/>
      <c r="K467" s="8"/>
      <c r="L467" s="9"/>
      <c r="M467" s="8"/>
      <c r="N467" s="8"/>
      <c r="O467" s="9"/>
    </row>
    <row r="468" spans="1:15" x14ac:dyDescent="0.15">
      <c r="A468" s="8"/>
      <c r="B468" s="8"/>
      <c r="C468" s="8"/>
      <c r="D468" s="8"/>
      <c r="E468" s="9"/>
      <c r="F468" s="8"/>
      <c r="G468" s="10"/>
      <c r="H468" s="11"/>
      <c r="I468" s="8"/>
      <c r="J468" s="9"/>
      <c r="K468" s="8"/>
      <c r="L468" s="9"/>
      <c r="M468" s="8"/>
      <c r="N468" s="8"/>
      <c r="O468" s="9"/>
    </row>
    <row r="469" spans="1:15" x14ac:dyDescent="0.15">
      <c r="A469" s="8"/>
      <c r="B469" s="8"/>
      <c r="C469" s="8"/>
      <c r="D469" s="8"/>
      <c r="E469" s="9"/>
      <c r="F469" s="8"/>
      <c r="G469" s="10"/>
      <c r="H469" s="11"/>
      <c r="I469" s="8"/>
      <c r="J469" s="9"/>
      <c r="K469" s="8"/>
      <c r="L469" s="9"/>
      <c r="M469" s="8"/>
      <c r="N469" s="8"/>
      <c r="O469" s="9"/>
    </row>
    <row r="470" spans="1:15" x14ac:dyDescent="0.15">
      <c r="A470" s="8"/>
      <c r="B470" s="8"/>
      <c r="C470" s="8"/>
      <c r="D470" s="8"/>
      <c r="E470" s="9"/>
      <c r="F470" s="8"/>
      <c r="G470" s="10"/>
      <c r="H470" s="11"/>
      <c r="I470" s="8"/>
      <c r="J470" s="9"/>
      <c r="K470" s="8"/>
      <c r="L470" s="9"/>
      <c r="M470" s="8"/>
      <c r="N470" s="8"/>
      <c r="O470" s="9"/>
    </row>
    <row r="471" spans="1:15" x14ac:dyDescent="0.15">
      <c r="A471" s="8"/>
      <c r="B471" s="8"/>
      <c r="C471" s="8"/>
      <c r="D471" s="8"/>
      <c r="E471" s="9"/>
      <c r="F471" s="8"/>
      <c r="G471" s="10"/>
      <c r="H471" s="11"/>
      <c r="I471" s="8"/>
      <c r="J471" s="9"/>
      <c r="K471" s="8"/>
      <c r="L471" s="9"/>
      <c r="M471" s="8"/>
      <c r="N471" s="8"/>
      <c r="O471" s="9"/>
    </row>
    <row r="472" spans="1:15" x14ac:dyDescent="0.15">
      <c r="A472" s="8"/>
      <c r="B472" s="8"/>
      <c r="C472" s="8"/>
      <c r="D472" s="8"/>
      <c r="E472" s="9"/>
      <c r="F472" s="8"/>
      <c r="G472" s="10"/>
      <c r="H472" s="11"/>
      <c r="I472" s="8"/>
      <c r="J472" s="9"/>
      <c r="K472" s="8"/>
      <c r="L472" s="9"/>
      <c r="M472" s="8"/>
      <c r="N472" s="8"/>
      <c r="O472" s="9"/>
    </row>
    <row r="473" spans="1:15" x14ac:dyDescent="0.15">
      <c r="A473" s="8"/>
      <c r="B473" s="8"/>
      <c r="C473" s="8"/>
      <c r="D473" s="8"/>
      <c r="E473" s="9"/>
      <c r="F473" s="8"/>
      <c r="G473" s="10"/>
      <c r="H473" s="11"/>
      <c r="I473" s="8"/>
      <c r="J473" s="9"/>
      <c r="K473" s="8"/>
      <c r="L473" s="9"/>
      <c r="M473" s="8"/>
      <c r="N473" s="8"/>
      <c r="O473" s="9"/>
    </row>
    <row r="474" spans="1:15" x14ac:dyDescent="0.15">
      <c r="A474" s="8"/>
      <c r="B474" s="8"/>
      <c r="C474" s="8"/>
      <c r="D474" s="8"/>
      <c r="E474" s="9"/>
      <c r="F474" s="8"/>
      <c r="G474" s="10"/>
      <c r="H474" s="11"/>
      <c r="I474" s="8"/>
      <c r="J474" s="9"/>
      <c r="K474" s="8"/>
      <c r="L474" s="9"/>
      <c r="M474" s="8"/>
      <c r="N474" s="8"/>
      <c r="O474" s="9"/>
    </row>
    <row r="475" spans="1:15" x14ac:dyDescent="0.15">
      <c r="A475" s="8"/>
      <c r="B475" s="8"/>
      <c r="C475" s="8"/>
      <c r="D475" s="8"/>
      <c r="E475" s="9"/>
      <c r="F475" s="8"/>
      <c r="G475" s="10"/>
      <c r="H475" s="11"/>
      <c r="I475" s="8"/>
      <c r="J475" s="9"/>
      <c r="K475" s="8"/>
      <c r="L475" s="9"/>
      <c r="M475" s="8"/>
      <c r="N475" s="8"/>
      <c r="O475" s="9"/>
    </row>
    <row r="476" spans="1:15" x14ac:dyDescent="0.15">
      <c r="A476" s="8"/>
      <c r="B476" s="8"/>
      <c r="C476" s="8"/>
      <c r="D476" s="8"/>
      <c r="E476" s="9"/>
      <c r="F476" s="8"/>
      <c r="G476" s="10"/>
      <c r="H476" s="11"/>
      <c r="I476" s="8"/>
      <c r="J476" s="9"/>
      <c r="K476" s="8"/>
      <c r="L476" s="9"/>
      <c r="M476" s="8"/>
      <c r="N476" s="8"/>
      <c r="O476" s="9"/>
    </row>
    <row r="477" spans="1:15" x14ac:dyDescent="0.15">
      <c r="A477" s="8"/>
      <c r="B477" s="8"/>
      <c r="C477" s="8"/>
      <c r="D477" s="8"/>
      <c r="E477" s="9"/>
      <c r="F477" s="8"/>
      <c r="G477" s="10"/>
      <c r="H477" s="11"/>
      <c r="I477" s="8"/>
      <c r="J477" s="9"/>
      <c r="K477" s="8"/>
      <c r="L477" s="9"/>
      <c r="M477" s="8"/>
      <c r="N477" s="8"/>
      <c r="O477" s="9"/>
    </row>
    <row r="478" spans="1:15" x14ac:dyDescent="0.15">
      <c r="A478" s="8"/>
      <c r="B478" s="8"/>
      <c r="C478" s="8"/>
      <c r="D478" s="8"/>
      <c r="E478" s="9"/>
      <c r="F478" s="8"/>
      <c r="G478" s="10"/>
      <c r="H478" s="11"/>
      <c r="I478" s="8"/>
      <c r="J478" s="9"/>
      <c r="K478" s="8"/>
      <c r="L478" s="9"/>
      <c r="M478" s="8"/>
      <c r="N478" s="8"/>
      <c r="O478" s="9"/>
    </row>
    <row r="479" spans="1:15" x14ac:dyDescent="0.15">
      <c r="A479" s="8"/>
      <c r="B479" s="8"/>
      <c r="C479" s="8"/>
      <c r="D479" s="8"/>
      <c r="E479" s="9"/>
      <c r="F479" s="8"/>
      <c r="G479" s="10"/>
      <c r="H479" s="11"/>
      <c r="I479" s="8"/>
      <c r="J479" s="9"/>
      <c r="K479" s="8"/>
      <c r="L479" s="9"/>
      <c r="M479" s="8"/>
      <c r="N479" s="8"/>
      <c r="O479" s="9"/>
    </row>
    <row r="480" spans="1:15" x14ac:dyDescent="0.15">
      <c r="A480" s="8"/>
      <c r="B480" s="8"/>
      <c r="C480" s="8"/>
      <c r="D480" s="8"/>
      <c r="E480" s="9"/>
      <c r="F480" s="8"/>
      <c r="G480" s="10"/>
      <c r="H480" s="11"/>
      <c r="I480" s="8"/>
      <c r="J480" s="9"/>
      <c r="K480" s="8"/>
      <c r="L480" s="9"/>
      <c r="M480" s="8"/>
      <c r="N480" s="8"/>
      <c r="O480" s="9"/>
    </row>
    <row r="481" spans="1:15" x14ac:dyDescent="0.15">
      <c r="A481" s="8"/>
      <c r="B481" s="8"/>
      <c r="C481" s="8"/>
      <c r="D481" s="8"/>
      <c r="E481" s="9"/>
      <c r="F481" s="8"/>
      <c r="G481" s="10"/>
      <c r="H481" s="11"/>
      <c r="I481" s="8"/>
      <c r="J481" s="9"/>
      <c r="K481" s="8"/>
      <c r="L481" s="9"/>
      <c r="M481" s="8"/>
      <c r="N481" s="8"/>
      <c r="O481" s="9"/>
    </row>
    <row r="482" spans="1:15" x14ac:dyDescent="0.15">
      <c r="A482" s="8"/>
      <c r="B482" s="8"/>
      <c r="C482" s="8"/>
      <c r="D482" s="8"/>
      <c r="E482" s="9"/>
      <c r="F482" s="8"/>
      <c r="G482" s="10"/>
      <c r="H482" s="11"/>
      <c r="I482" s="8"/>
      <c r="J482" s="9"/>
      <c r="K482" s="8"/>
      <c r="L482" s="9"/>
      <c r="M482" s="8"/>
      <c r="N482" s="8"/>
      <c r="O482" s="9"/>
    </row>
    <row r="483" spans="1:15" x14ac:dyDescent="0.15">
      <c r="A483" s="8"/>
      <c r="B483" s="8"/>
      <c r="C483" s="8"/>
      <c r="D483" s="8"/>
      <c r="E483" s="9"/>
      <c r="F483" s="8"/>
      <c r="G483" s="10"/>
      <c r="H483" s="11"/>
      <c r="I483" s="8"/>
      <c r="J483" s="9"/>
      <c r="K483" s="8"/>
      <c r="L483" s="9"/>
      <c r="M483" s="8"/>
      <c r="N483" s="8"/>
      <c r="O483" s="9"/>
    </row>
    <row r="484" spans="1:15" x14ac:dyDescent="0.15">
      <c r="A484" s="8"/>
      <c r="B484" s="8"/>
      <c r="C484" s="8"/>
      <c r="D484" s="8"/>
      <c r="E484" s="9"/>
      <c r="F484" s="8"/>
      <c r="G484" s="10"/>
      <c r="H484" s="11"/>
      <c r="I484" s="8"/>
      <c r="J484" s="9"/>
      <c r="K484" s="8"/>
      <c r="L484" s="9"/>
      <c r="M484" s="8"/>
      <c r="N484" s="8"/>
      <c r="O484" s="9"/>
    </row>
    <row r="485" spans="1:15" x14ac:dyDescent="0.15">
      <c r="A485" s="8"/>
      <c r="B485" s="8"/>
      <c r="C485" s="8"/>
      <c r="D485" s="8"/>
      <c r="E485" s="9"/>
      <c r="F485" s="8"/>
      <c r="G485" s="10"/>
      <c r="H485" s="11"/>
      <c r="I485" s="8"/>
      <c r="J485" s="9"/>
      <c r="K485" s="8"/>
      <c r="L485" s="9"/>
      <c r="M485" s="8"/>
      <c r="N485" s="8"/>
      <c r="O485" s="9"/>
    </row>
    <row r="486" spans="1:15" x14ac:dyDescent="0.15">
      <c r="A486" s="8"/>
      <c r="B486" s="8"/>
      <c r="C486" s="8"/>
      <c r="D486" s="8"/>
      <c r="E486" s="9"/>
      <c r="F486" s="8"/>
      <c r="G486" s="10"/>
      <c r="H486" s="11"/>
      <c r="I486" s="8"/>
      <c r="J486" s="9"/>
      <c r="K486" s="8"/>
      <c r="L486" s="9"/>
      <c r="M486" s="8"/>
      <c r="N486" s="8"/>
      <c r="O486" s="9"/>
    </row>
    <row r="487" spans="1:15" x14ac:dyDescent="0.15">
      <c r="A487" s="8"/>
      <c r="B487" s="8"/>
      <c r="C487" s="8"/>
      <c r="D487" s="8"/>
      <c r="E487" s="9"/>
      <c r="F487" s="8"/>
      <c r="G487" s="10"/>
      <c r="H487" s="11"/>
      <c r="I487" s="8"/>
      <c r="J487" s="9"/>
      <c r="K487" s="8"/>
      <c r="L487" s="9"/>
      <c r="M487" s="8"/>
      <c r="N487" s="8"/>
      <c r="O487" s="9"/>
    </row>
    <row r="488" spans="1:15" x14ac:dyDescent="0.15">
      <c r="A488" s="8"/>
      <c r="B488" s="8"/>
      <c r="C488" s="8"/>
      <c r="D488" s="8"/>
      <c r="E488" s="9"/>
      <c r="F488" s="8"/>
      <c r="G488" s="10"/>
      <c r="H488" s="11"/>
      <c r="I488" s="8"/>
      <c r="J488" s="9"/>
      <c r="K488" s="8"/>
      <c r="L488" s="9"/>
      <c r="M488" s="8"/>
      <c r="N488" s="8"/>
      <c r="O488" s="9"/>
    </row>
    <row r="489" spans="1:15" x14ac:dyDescent="0.15">
      <c r="A489" s="8"/>
      <c r="B489" s="8"/>
      <c r="C489" s="8"/>
      <c r="D489" s="8"/>
      <c r="E489" s="9"/>
      <c r="F489" s="8"/>
      <c r="G489" s="10"/>
      <c r="H489" s="11"/>
      <c r="I489" s="8"/>
      <c r="J489" s="9"/>
      <c r="K489" s="8"/>
      <c r="L489" s="9"/>
      <c r="M489" s="8"/>
      <c r="N489" s="8"/>
      <c r="O489" s="9"/>
    </row>
    <row r="490" spans="1:15" x14ac:dyDescent="0.15">
      <c r="A490" s="8"/>
      <c r="B490" s="8"/>
      <c r="C490" s="8"/>
      <c r="D490" s="8"/>
      <c r="E490" s="9"/>
      <c r="F490" s="8"/>
      <c r="G490" s="10"/>
      <c r="H490" s="11"/>
      <c r="I490" s="8"/>
      <c r="J490" s="9"/>
      <c r="K490" s="8"/>
      <c r="L490" s="9"/>
      <c r="M490" s="8"/>
      <c r="N490" s="8"/>
      <c r="O490" s="9"/>
    </row>
    <row r="491" spans="1:15" x14ac:dyDescent="0.15">
      <c r="A491" s="8"/>
      <c r="B491" s="8"/>
      <c r="C491" s="8"/>
      <c r="D491" s="8"/>
      <c r="E491" s="9"/>
      <c r="F491" s="8"/>
      <c r="G491" s="10"/>
      <c r="H491" s="11"/>
      <c r="I491" s="8"/>
      <c r="J491" s="9"/>
      <c r="K491" s="8"/>
      <c r="L491" s="9"/>
      <c r="M491" s="8"/>
      <c r="N491" s="8"/>
      <c r="O491" s="9"/>
    </row>
    <row r="492" spans="1:15" x14ac:dyDescent="0.15">
      <c r="A492" s="8"/>
      <c r="B492" s="8"/>
      <c r="C492" s="8"/>
      <c r="D492" s="8"/>
      <c r="E492" s="9"/>
      <c r="F492" s="8"/>
      <c r="G492" s="10"/>
      <c r="H492" s="11"/>
      <c r="I492" s="8"/>
      <c r="J492" s="9"/>
      <c r="K492" s="8"/>
      <c r="L492" s="9"/>
      <c r="M492" s="8"/>
      <c r="N492" s="8"/>
      <c r="O492" s="9"/>
    </row>
    <row r="493" spans="1:15" x14ac:dyDescent="0.15">
      <c r="A493" s="8"/>
      <c r="B493" s="8"/>
      <c r="C493" s="8"/>
      <c r="D493" s="8"/>
      <c r="E493" s="9"/>
      <c r="F493" s="8"/>
      <c r="G493" s="10"/>
      <c r="H493" s="11"/>
      <c r="I493" s="8"/>
      <c r="J493" s="9"/>
      <c r="K493" s="8"/>
      <c r="L493" s="9"/>
      <c r="M493" s="8"/>
      <c r="N493" s="8"/>
      <c r="O493" s="9"/>
    </row>
    <row r="494" spans="1:15" x14ac:dyDescent="0.15">
      <c r="A494" s="8"/>
      <c r="B494" s="8"/>
      <c r="C494" s="8"/>
      <c r="D494" s="8"/>
      <c r="E494" s="9"/>
      <c r="F494" s="8"/>
      <c r="G494" s="10"/>
      <c r="H494" s="11"/>
      <c r="I494" s="8"/>
      <c r="J494" s="9"/>
      <c r="K494" s="8"/>
      <c r="L494" s="9"/>
      <c r="M494" s="8"/>
      <c r="N494" s="8"/>
      <c r="O494" s="9"/>
    </row>
    <row r="495" spans="1:15" x14ac:dyDescent="0.15">
      <c r="A495" s="8"/>
      <c r="B495" s="8"/>
      <c r="C495" s="8"/>
      <c r="D495" s="8"/>
      <c r="E495" s="9"/>
      <c r="F495" s="8"/>
      <c r="G495" s="10"/>
      <c r="H495" s="11"/>
      <c r="I495" s="8"/>
      <c r="J495" s="9"/>
      <c r="K495" s="8"/>
      <c r="L495" s="9"/>
      <c r="M495" s="8"/>
      <c r="N495" s="8"/>
      <c r="O495" s="9"/>
    </row>
    <row r="496" spans="1:15" x14ac:dyDescent="0.15">
      <c r="A496" s="8"/>
      <c r="B496" s="8"/>
      <c r="C496" s="8"/>
      <c r="D496" s="8"/>
      <c r="E496" s="9"/>
      <c r="F496" s="8"/>
      <c r="G496" s="10"/>
      <c r="H496" s="11"/>
      <c r="I496" s="8"/>
      <c r="J496" s="9"/>
      <c r="K496" s="8"/>
      <c r="L496" s="9"/>
      <c r="M496" s="8"/>
      <c r="N496" s="8"/>
      <c r="O496" s="9"/>
    </row>
    <row r="497" spans="1:15" x14ac:dyDescent="0.15">
      <c r="A497" s="8"/>
      <c r="B497" s="8"/>
      <c r="C497" s="8"/>
      <c r="D497" s="8"/>
      <c r="E497" s="9"/>
      <c r="F497" s="8"/>
      <c r="G497" s="10"/>
      <c r="H497" s="11"/>
      <c r="I497" s="8"/>
      <c r="J497" s="9"/>
      <c r="K497" s="8"/>
      <c r="L497" s="9"/>
      <c r="M497" s="8"/>
      <c r="N497" s="8"/>
      <c r="O497" s="9"/>
    </row>
    <row r="498" spans="1:15" x14ac:dyDescent="0.15">
      <c r="A498" s="8"/>
      <c r="B498" s="8"/>
      <c r="C498" s="8"/>
      <c r="D498" s="8"/>
      <c r="E498" s="9"/>
      <c r="F498" s="8"/>
      <c r="G498" s="10"/>
      <c r="H498" s="11"/>
      <c r="I498" s="8"/>
      <c r="J498" s="9"/>
      <c r="K498" s="8"/>
      <c r="L498" s="9"/>
      <c r="M498" s="8"/>
      <c r="N498" s="8"/>
      <c r="O498" s="9"/>
    </row>
    <row r="499" spans="1:15" x14ac:dyDescent="0.15">
      <c r="A499" s="8"/>
      <c r="B499" s="8"/>
      <c r="C499" s="8"/>
      <c r="D499" s="8"/>
      <c r="E499" s="9"/>
      <c r="F499" s="8"/>
      <c r="G499" s="10"/>
      <c r="H499" s="11"/>
      <c r="I499" s="8"/>
      <c r="J499" s="9"/>
      <c r="K499" s="8"/>
      <c r="L499" s="9"/>
      <c r="M499" s="8"/>
      <c r="N499" s="8"/>
      <c r="O499" s="9"/>
    </row>
    <row r="500" spans="1:15" x14ac:dyDescent="0.15">
      <c r="A500" s="8"/>
      <c r="B500" s="8"/>
      <c r="C500" s="8"/>
      <c r="D500" s="8"/>
      <c r="E500" s="9"/>
      <c r="F500" s="8"/>
      <c r="G500" s="10"/>
      <c r="H500" s="11"/>
      <c r="I500" s="8"/>
      <c r="J500" s="9"/>
      <c r="K500" s="8"/>
      <c r="L500" s="9"/>
      <c r="M500" s="8"/>
      <c r="N500" s="8"/>
      <c r="O500" s="9"/>
    </row>
    <row r="501" spans="1:15" x14ac:dyDescent="0.15">
      <c r="A501" s="8"/>
      <c r="B501" s="8"/>
      <c r="C501" s="8"/>
      <c r="D501" s="8"/>
      <c r="E501" s="9"/>
      <c r="F501" s="8"/>
      <c r="G501" s="10"/>
      <c r="H501" s="11"/>
      <c r="I501" s="8"/>
      <c r="J501" s="9"/>
      <c r="K501" s="8"/>
      <c r="L501" s="9"/>
      <c r="M501" s="8"/>
      <c r="N501" s="8"/>
      <c r="O501" s="9"/>
    </row>
    <row r="502" spans="1:15" x14ac:dyDescent="0.15">
      <c r="A502" s="8"/>
      <c r="B502" s="8"/>
      <c r="C502" s="8"/>
      <c r="D502" s="8"/>
      <c r="E502" s="9"/>
      <c r="F502" s="8"/>
      <c r="G502" s="10"/>
      <c r="H502" s="11"/>
      <c r="I502" s="8"/>
      <c r="J502" s="9"/>
      <c r="K502" s="8"/>
      <c r="L502" s="9"/>
      <c r="M502" s="8"/>
      <c r="N502" s="8"/>
      <c r="O502" s="9"/>
    </row>
    <row r="503" spans="1:15" x14ac:dyDescent="0.15">
      <c r="A503" s="8"/>
      <c r="B503" s="8"/>
      <c r="C503" s="8"/>
      <c r="D503" s="8"/>
      <c r="E503" s="9"/>
      <c r="F503" s="8"/>
      <c r="G503" s="10"/>
      <c r="H503" s="11"/>
      <c r="I503" s="8"/>
      <c r="J503" s="9"/>
      <c r="K503" s="8"/>
      <c r="L503" s="9"/>
      <c r="M503" s="8"/>
      <c r="N503" s="8"/>
      <c r="O503" s="9"/>
    </row>
    <row r="504" spans="1:15" x14ac:dyDescent="0.15">
      <c r="A504" s="8"/>
      <c r="B504" s="8"/>
      <c r="C504" s="8"/>
      <c r="D504" s="8"/>
      <c r="E504" s="9"/>
      <c r="F504" s="8"/>
      <c r="G504" s="10"/>
      <c r="H504" s="11"/>
      <c r="I504" s="8"/>
      <c r="J504" s="9"/>
      <c r="K504" s="8"/>
      <c r="L504" s="9"/>
      <c r="M504" s="8"/>
      <c r="N504" s="8"/>
      <c r="O504" s="9"/>
    </row>
    <row r="505" spans="1:15" x14ac:dyDescent="0.15">
      <c r="A505" s="8"/>
      <c r="B505" s="8"/>
      <c r="C505" s="8"/>
      <c r="D505" s="8"/>
      <c r="E505" s="9"/>
      <c r="F505" s="8"/>
      <c r="G505" s="10"/>
      <c r="H505" s="11"/>
      <c r="I505" s="8"/>
      <c r="J505" s="9"/>
      <c r="K505" s="8"/>
      <c r="L505" s="9"/>
      <c r="M505" s="8"/>
      <c r="N505" s="8"/>
      <c r="O505" s="9"/>
    </row>
    <row r="506" spans="1:15" x14ac:dyDescent="0.15">
      <c r="A506" s="8"/>
      <c r="B506" s="8"/>
      <c r="C506" s="8"/>
      <c r="D506" s="8"/>
      <c r="E506" s="9"/>
      <c r="F506" s="8"/>
      <c r="G506" s="10"/>
      <c r="H506" s="11"/>
      <c r="I506" s="8"/>
      <c r="J506" s="9"/>
      <c r="K506" s="8"/>
      <c r="L506" s="9"/>
      <c r="M506" s="8"/>
      <c r="N506" s="8"/>
      <c r="O506" s="9"/>
    </row>
    <row r="507" spans="1:15" x14ac:dyDescent="0.15">
      <c r="A507" s="8"/>
      <c r="B507" s="8"/>
      <c r="C507" s="8"/>
      <c r="D507" s="8"/>
      <c r="E507" s="9"/>
      <c r="F507" s="8"/>
      <c r="G507" s="10"/>
      <c r="H507" s="11"/>
      <c r="I507" s="8"/>
      <c r="J507" s="9"/>
      <c r="K507" s="8"/>
      <c r="L507" s="9"/>
      <c r="M507" s="8"/>
      <c r="N507" s="8"/>
      <c r="O507" s="9"/>
    </row>
    <row r="508" spans="1:15" x14ac:dyDescent="0.15">
      <c r="A508" s="8"/>
      <c r="B508" s="8"/>
      <c r="C508" s="8"/>
      <c r="D508" s="8"/>
      <c r="E508" s="9"/>
      <c r="F508" s="8"/>
      <c r="G508" s="10"/>
      <c r="H508" s="11"/>
      <c r="I508" s="8"/>
      <c r="J508" s="9"/>
      <c r="K508" s="8"/>
      <c r="L508" s="9"/>
      <c r="M508" s="8"/>
      <c r="N508" s="8"/>
      <c r="O508" s="9"/>
    </row>
    <row r="509" spans="1:15" x14ac:dyDescent="0.15">
      <c r="A509" s="8"/>
      <c r="B509" s="8"/>
      <c r="C509" s="8"/>
      <c r="D509" s="8"/>
      <c r="E509" s="9"/>
      <c r="F509" s="8"/>
      <c r="G509" s="10"/>
      <c r="H509" s="11"/>
      <c r="I509" s="8"/>
      <c r="J509" s="9"/>
      <c r="K509" s="8"/>
      <c r="L509" s="9"/>
      <c r="M509" s="8"/>
      <c r="N509" s="8"/>
      <c r="O509" s="9"/>
    </row>
    <row r="510" spans="1:15" x14ac:dyDescent="0.15">
      <c r="A510" s="8"/>
      <c r="B510" s="8"/>
      <c r="C510" s="8"/>
      <c r="D510" s="8"/>
      <c r="E510" s="9"/>
      <c r="F510" s="8"/>
      <c r="G510" s="10"/>
      <c r="H510" s="11"/>
      <c r="I510" s="8"/>
      <c r="J510" s="9"/>
      <c r="K510" s="8"/>
      <c r="L510" s="9"/>
      <c r="M510" s="8"/>
      <c r="N510" s="8"/>
      <c r="O510" s="9"/>
    </row>
    <row r="511" spans="1:15" x14ac:dyDescent="0.15">
      <c r="A511" s="8"/>
      <c r="B511" s="8"/>
      <c r="C511" s="8"/>
      <c r="D511" s="8"/>
      <c r="E511" s="9"/>
      <c r="F511" s="8"/>
      <c r="G511" s="10"/>
      <c r="H511" s="11"/>
      <c r="I511" s="8"/>
      <c r="J511" s="9"/>
      <c r="K511" s="8"/>
      <c r="L511" s="9"/>
      <c r="M511" s="8"/>
      <c r="N511" s="8"/>
      <c r="O511" s="9"/>
    </row>
    <row r="512" spans="1:15" x14ac:dyDescent="0.15">
      <c r="A512" s="8"/>
      <c r="B512" s="8"/>
      <c r="C512" s="8"/>
      <c r="D512" s="8"/>
      <c r="E512" s="9"/>
      <c r="F512" s="8"/>
      <c r="G512" s="10"/>
      <c r="H512" s="11"/>
      <c r="I512" s="8"/>
      <c r="J512" s="9"/>
      <c r="K512" s="8"/>
      <c r="L512" s="9"/>
      <c r="M512" s="8"/>
      <c r="N512" s="8"/>
      <c r="O512" s="9"/>
    </row>
    <row r="513" spans="1:15" x14ac:dyDescent="0.15">
      <c r="A513" s="8"/>
      <c r="B513" s="8"/>
      <c r="C513" s="8"/>
      <c r="D513" s="8"/>
      <c r="E513" s="9"/>
      <c r="F513" s="8"/>
      <c r="G513" s="10"/>
      <c r="H513" s="11"/>
      <c r="I513" s="8"/>
      <c r="J513" s="9"/>
      <c r="K513" s="8"/>
      <c r="L513" s="9"/>
      <c r="M513" s="8"/>
      <c r="N513" s="8"/>
      <c r="O513" s="9"/>
    </row>
    <row r="514" spans="1:15" x14ac:dyDescent="0.15">
      <c r="A514" s="8"/>
      <c r="B514" s="8"/>
      <c r="C514" s="8"/>
      <c r="D514" s="8"/>
      <c r="E514" s="9"/>
      <c r="F514" s="8"/>
      <c r="G514" s="10"/>
      <c r="H514" s="11"/>
      <c r="I514" s="8"/>
      <c r="J514" s="9"/>
      <c r="K514" s="8"/>
      <c r="L514" s="9"/>
      <c r="M514" s="8"/>
      <c r="N514" s="8"/>
      <c r="O514" s="9"/>
    </row>
    <row r="515" spans="1:15" x14ac:dyDescent="0.15">
      <c r="A515" s="8"/>
      <c r="B515" s="8"/>
      <c r="C515" s="8"/>
      <c r="D515" s="8"/>
      <c r="E515" s="9"/>
      <c r="F515" s="8"/>
      <c r="G515" s="10"/>
      <c r="H515" s="11"/>
      <c r="I515" s="8"/>
      <c r="J515" s="9"/>
      <c r="K515" s="8"/>
      <c r="L515" s="9"/>
      <c r="M515" s="8"/>
      <c r="N515" s="8"/>
      <c r="O515" s="9"/>
    </row>
    <row r="516" spans="1:15" x14ac:dyDescent="0.15">
      <c r="A516" s="8"/>
      <c r="B516" s="8"/>
      <c r="C516" s="8"/>
      <c r="D516" s="8"/>
      <c r="E516" s="9"/>
      <c r="F516" s="8"/>
      <c r="G516" s="10"/>
      <c r="H516" s="11"/>
      <c r="I516" s="8"/>
      <c r="J516" s="9"/>
      <c r="K516" s="8"/>
      <c r="L516" s="9"/>
      <c r="M516" s="8"/>
      <c r="N516" s="8"/>
      <c r="O516" s="9"/>
    </row>
    <row r="517" spans="1:15" x14ac:dyDescent="0.15">
      <c r="A517" s="8"/>
      <c r="B517" s="8"/>
      <c r="C517" s="8"/>
      <c r="D517" s="8"/>
      <c r="E517" s="9"/>
      <c r="F517" s="8"/>
      <c r="G517" s="10"/>
      <c r="H517" s="11"/>
      <c r="I517" s="8"/>
      <c r="J517" s="9"/>
      <c r="K517" s="8"/>
      <c r="L517" s="9"/>
      <c r="M517" s="8"/>
      <c r="N517" s="8"/>
      <c r="O517" s="9"/>
    </row>
    <row r="518" spans="1:15" x14ac:dyDescent="0.15">
      <c r="A518" s="8"/>
      <c r="B518" s="8"/>
      <c r="C518" s="8"/>
      <c r="D518" s="8"/>
      <c r="E518" s="9"/>
      <c r="F518" s="8"/>
      <c r="G518" s="10"/>
      <c r="H518" s="11"/>
      <c r="I518" s="8"/>
      <c r="J518" s="9"/>
      <c r="K518" s="8"/>
      <c r="L518" s="9"/>
      <c r="M518" s="8"/>
      <c r="N518" s="8"/>
      <c r="O518" s="9"/>
    </row>
    <row r="519" spans="1:15" x14ac:dyDescent="0.15">
      <c r="A519" s="8"/>
      <c r="B519" s="8"/>
      <c r="C519" s="8"/>
      <c r="D519" s="8"/>
      <c r="E519" s="8"/>
      <c r="F519" s="8"/>
      <c r="G519" s="10"/>
      <c r="H519" s="11"/>
      <c r="I519" s="8"/>
      <c r="J519" s="9"/>
      <c r="K519" s="8"/>
      <c r="L519" s="9"/>
      <c r="M519" s="8"/>
      <c r="N519" s="8"/>
      <c r="O519" s="9"/>
    </row>
    <row r="520" spans="1:15" x14ac:dyDescent="0.15">
      <c r="A520" s="8"/>
      <c r="B520" s="8"/>
      <c r="C520" s="8"/>
      <c r="D520" s="8"/>
      <c r="E520" s="8"/>
      <c r="F520" s="8"/>
      <c r="G520" s="10"/>
      <c r="H520" s="11"/>
      <c r="I520" s="8"/>
      <c r="J520" s="9"/>
      <c r="K520" s="8"/>
      <c r="L520" s="9"/>
      <c r="M520" s="8"/>
      <c r="N520" s="8"/>
      <c r="O520" s="9"/>
    </row>
    <row r="521" spans="1:15" x14ac:dyDescent="0.15">
      <c r="A521" s="8"/>
      <c r="B521" s="8"/>
      <c r="C521" s="8"/>
      <c r="D521" s="8"/>
      <c r="E521" s="8"/>
      <c r="F521" s="8"/>
      <c r="G521" s="10"/>
      <c r="H521" s="11"/>
      <c r="I521" s="8"/>
      <c r="J521" s="9"/>
      <c r="K521" s="8"/>
      <c r="L521" s="9"/>
      <c r="M521" s="8"/>
      <c r="N521" s="8"/>
      <c r="O521" s="9"/>
    </row>
    <row r="522" spans="1:15" x14ac:dyDescent="0.15">
      <c r="A522" s="8"/>
      <c r="B522" s="8"/>
      <c r="C522" s="8"/>
      <c r="D522" s="8"/>
      <c r="E522" s="8"/>
      <c r="F522" s="8"/>
      <c r="G522" s="10"/>
      <c r="H522" s="11"/>
      <c r="I522" s="8"/>
      <c r="J522" s="9"/>
      <c r="K522" s="8"/>
      <c r="L522" s="9"/>
      <c r="M522" s="8"/>
      <c r="N522" s="8"/>
      <c r="O522" s="9"/>
    </row>
    <row r="523" spans="1:15" x14ac:dyDescent="0.15">
      <c r="A523" s="8"/>
      <c r="B523" s="8"/>
      <c r="C523" s="8"/>
      <c r="D523" s="8"/>
      <c r="E523" s="8"/>
      <c r="F523" s="8"/>
      <c r="G523" s="10"/>
      <c r="H523" s="11"/>
      <c r="I523" s="8"/>
      <c r="J523" s="9"/>
      <c r="K523" s="8"/>
      <c r="L523" s="9"/>
      <c r="M523" s="8"/>
      <c r="N523" s="8"/>
      <c r="O523" s="9"/>
    </row>
    <row r="524" spans="1:15" x14ac:dyDescent="0.15">
      <c r="A524" s="8"/>
      <c r="B524" s="8"/>
      <c r="C524" s="8"/>
      <c r="D524" s="8"/>
      <c r="E524" s="8"/>
      <c r="F524" s="8"/>
      <c r="G524" s="10"/>
      <c r="H524" s="11"/>
      <c r="I524" s="8"/>
      <c r="J524" s="9"/>
      <c r="K524" s="8"/>
      <c r="L524" s="9"/>
      <c r="M524" s="8"/>
      <c r="N524" s="8"/>
      <c r="O524" s="9"/>
    </row>
    <row r="525" spans="1:15" x14ac:dyDescent="0.15">
      <c r="A525" s="8"/>
      <c r="B525" s="8"/>
      <c r="C525" s="8"/>
      <c r="D525" s="8"/>
      <c r="E525" s="8"/>
      <c r="F525" s="8"/>
      <c r="G525" s="10"/>
      <c r="H525" s="11"/>
      <c r="I525" s="8"/>
      <c r="J525" s="9"/>
      <c r="K525" s="8"/>
      <c r="L525" s="9"/>
      <c r="M525" s="8"/>
      <c r="N525" s="8"/>
      <c r="O525" s="9"/>
    </row>
    <row r="526" spans="1:15" x14ac:dyDescent="0.15">
      <c r="A526" s="8"/>
      <c r="B526" s="8"/>
      <c r="C526" s="8"/>
      <c r="D526" s="8"/>
      <c r="E526" s="8"/>
      <c r="F526" s="8"/>
      <c r="G526" s="10"/>
      <c r="H526" s="11"/>
      <c r="I526" s="8"/>
      <c r="J526" s="9"/>
      <c r="K526" s="8"/>
      <c r="L526" s="9"/>
      <c r="M526" s="8"/>
      <c r="N526" s="8"/>
      <c r="O526" s="9"/>
    </row>
    <row r="527" spans="1:15" x14ac:dyDescent="0.15">
      <c r="A527" s="8"/>
      <c r="B527" s="8"/>
      <c r="C527" s="8"/>
      <c r="D527" s="8"/>
      <c r="E527" s="8"/>
      <c r="F527" s="8"/>
      <c r="G527" s="10"/>
      <c r="H527" s="11"/>
      <c r="I527" s="8"/>
      <c r="J527" s="9"/>
      <c r="K527" s="8"/>
      <c r="L527" s="9"/>
      <c r="M527" s="8"/>
      <c r="N527" s="8"/>
      <c r="O527" s="9"/>
    </row>
    <row r="528" spans="1:15" x14ac:dyDescent="0.15">
      <c r="A528" s="8"/>
      <c r="B528" s="8"/>
      <c r="C528" s="8"/>
      <c r="D528" s="8"/>
      <c r="E528" s="8"/>
      <c r="F528" s="8"/>
      <c r="G528" s="10"/>
      <c r="H528" s="11"/>
      <c r="I528" s="8"/>
      <c r="J528" s="9"/>
      <c r="K528" s="8"/>
      <c r="L528" s="9"/>
      <c r="M528" s="8"/>
      <c r="N528" s="8"/>
      <c r="O528" s="9"/>
    </row>
    <row r="529" spans="1:15" x14ac:dyDescent="0.15">
      <c r="A529" s="8"/>
      <c r="B529" s="8"/>
      <c r="C529" s="8"/>
      <c r="D529" s="8"/>
      <c r="E529" s="8"/>
      <c r="F529" s="8"/>
      <c r="G529" s="10"/>
      <c r="H529" s="11"/>
      <c r="I529" s="8"/>
      <c r="J529" s="9"/>
      <c r="K529" s="8"/>
      <c r="L529" s="9"/>
      <c r="M529" s="8"/>
      <c r="N529" s="8"/>
      <c r="O529" s="9"/>
    </row>
    <row r="530" spans="1:15" x14ac:dyDescent="0.15">
      <c r="A530" s="8"/>
      <c r="B530" s="8"/>
      <c r="C530" s="8"/>
      <c r="D530" s="8"/>
      <c r="E530" s="8"/>
      <c r="F530" s="8"/>
      <c r="G530" s="10"/>
      <c r="H530" s="11"/>
      <c r="I530" s="8"/>
      <c r="J530" s="9"/>
      <c r="K530" s="8"/>
      <c r="L530" s="9"/>
      <c r="M530" s="8"/>
      <c r="N530" s="8"/>
      <c r="O530" s="9"/>
    </row>
    <row r="531" spans="1:15" x14ac:dyDescent="0.15">
      <c r="A531" s="8"/>
      <c r="B531" s="8"/>
      <c r="C531" s="8"/>
      <c r="D531" s="8"/>
      <c r="E531" s="8"/>
      <c r="F531" s="8"/>
      <c r="G531" s="10"/>
      <c r="H531" s="11"/>
      <c r="I531" s="8"/>
      <c r="J531" s="9"/>
      <c r="K531" s="8"/>
      <c r="L531" s="9"/>
      <c r="M531" s="8"/>
      <c r="N531" s="8"/>
      <c r="O531" s="9"/>
    </row>
    <row r="532" spans="1:15" x14ac:dyDescent="0.15">
      <c r="A532" s="8"/>
      <c r="B532" s="8"/>
      <c r="C532" s="8"/>
      <c r="D532" s="8"/>
      <c r="E532" s="8"/>
      <c r="F532" s="8"/>
      <c r="G532" s="10"/>
      <c r="H532" s="11"/>
      <c r="I532" s="8"/>
      <c r="J532" s="9"/>
      <c r="K532" s="8"/>
      <c r="L532" s="9"/>
      <c r="M532" s="8"/>
      <c r="N532" s="8"/>
      <c r="O532" s="9"/>
    </row>
    <row r="533" spans="1:15" x14ac:dyDescent="0.15">
      <c r="A533" s="8"/>
      <c r="B533" s="8"/>
      <c r="C533" s="8"/>
      <c r="D533" s="8"/>
      <c r="E533" s="8"/>
      <c r="F533" s="8"/>
      <c r="G533" s="10"/>
      <c r="H533" s="11"/>
      <c r="I533" s="8"/>
      <c r="J533" s="9"/>
      <c r="K533" s="8"/>
      <c r="L533" s="9"/>
      <c r="M533" s="8"/>
      <c r="N533" s="8"/>
      <c r="O533" s="9"/>
    </row>
    <row r="534" spans="1:15" x14ac:dyDescent="0.15">
      <c r="A534" s="8"/>
      <c r="B534" s="8"/>
      <c r="C534" s="8"/>
      <c r="D534" s="8"/>
      <c r="E534" s="8"/>
      <c r="F534" s="8"/>
      <c r="G534" s="10"/>
      <c r="H534" s="11"/>
      <c r="I534" s="8"/>
      <c r="J534" s="9"/>
      <c r="K534" s="8"/>
      <c r="L534" s="9"/>
      <c r="M534" s="8"/>
      <c r="N534" s="8"/>
      <c r="O534" s="9"/>
    </row>
    <row r="535" spans="1:15" x14ac:dyDescent="0.15">
      <c r="A535" s="8"/>
      <c r="B535" s="8"/>
      <c r="C535" s="8"/>
      <c r="D535" s="8"/>
      <c r="E535" s="8"/>
      <c r="F535" s="8"/>
      <c r="G535" s="10"/>
      <c r="H535" s="11"/>
      <c r="I535" s="8"/>
      <c r="J535" s="9"/>
      <c r="K535" s="8"/>
      <c r="L535" s="9"/>
      <c r="M535" s="8"/>
      <c r="N535" s="8"/>
      <c r="O535" s="9"/>
    </row>
    <row r="536" spans="1:15" x14ac:dyDescent="0.15">
      <c r="A536" s="8"/>
      <c r="B536" s="8"/>
      <c r="C536" s="8"/>
      <c r="D536" s="8"/>
      <c r="E536" s="8"/>
      <c r="F536" s="8"/>
      <c r="G536" s="10"/>
      <c r="H536" s="11"/>
      <c r="I536" s="8"/>
      <c r="J536" s="9"/>
      <c r="K536" s="8"/>
      <c r="L536" s="9"/>
      <c r="M536" s="8"/>
      <c r="N536" s="8"/>
      <c r="O536" s="9"/>
    </row>
    <row r="537" spans="1:15" x14ac:dyDescent="0.15">
      <c r="A537" s="8"/>
      <c r="B537" s="8"/>
      <c r="C537" s="8"/>
      <c r="D537" s="8"/>
      <c r="E537" s="8"/>
      <c r="F537" s="8"/>
      <c r="G537" s="10"/>
      <c r="H537" s="11"/>
      <c r="I537" s="8"/>
      <c r="J537" s="9"/>
      <c r="K537" s="8"/>
      <c r="L537" s="9"/>
      <c r="M537" s="8"/>
      <c r="N537" s="8"/>
      <c r="O537" s="9"/>
    </row>
    <row r="538" spans="1:15" x14ac:dyDescent="0.15">
      <c r="A538" s="8"/>
      <c r="B538" s="8"/>
      <c r="C538" s="8"/>
      <c r="D538" s="8"/>
      <c r="E538" s="8"/>
      <c r="F538" s="8"/>
      <c r="G538" s="10"/>
      <c r="H538" s="11"/>
      <c r="I538" s="8"/>
      <c r="J538" s="9"/>
      <c r="K538" s="8"/>
      <c r="L538" s="9"/>
      <c r="M538" s="8"/>
      <c r="N538" s="8"/>
      <c r="O538" s="9"/>
    </row>
    <row r="539" spans="1:15" x14ac:dyDescent="0.15">
      <c r="A539" s="8"/>
      <c r="B539" s="8"/>
      <c r="C539" s="8"/>
      <c r="D539" s="8"/>
      <c r="E539" s="8"/>
      <c r="F539" s="8"/>
      <c r="G539" s="10"/>
      <c r="H539" s="11"/>
      <c r="I539" s="8"/>
      <c r="J539" s="9"/>
      <c r="K539" s="8"/>
      <c r="L539" s="9"/>
      <c r="M539" s="8"/>
      <c r="N539" s="8"/>
      <c r="O539" s="9"/>
    </row>
    <row r="540" spans="1:15" x14ac:dyDescent="0.15">
      <c r="A540" s="8"/>
      <c r="B540" s="8"/>
      <c r="C540" s="8"/>
      <c r="D540" s="8"/>
      <c r="E540" s="8"/>
      <c r="F540" s="8"/>
      <c r="G540" s="10"/>
      <c r="H540" s="11"/>
      <c r="I540" s="8"/>
      <c r="J540" s="9"/>
      <c r="K540" s="8"/>
      <c r="L540" s="9"/>
      <c r="M540" s="8"/>
      <c r="N540" s="8"/>
      <c r="O540" s="9"/>
    </row>
    <row r="541" spans="1:15" x14ac:dyDescent="0.15">
      <c r="A541" s="8"/>
      <c r="B541" s="8"/>
      <c r="C541" s="8"/>
      <c r="D541" s="8"/>
      <c r="E541" s="8"/>
      <c r="F541" s="8"/>
      <c r="G541" s="10"/>
      <c r="H541" s="11"/>
      <c r="I541" s="8"/>
      <c r="J541" s="9"/>
      <c r="K541" s="8"/>
      <c r="L541" s="9"/>
      <c r="M541" s="8"/>
      <c r="N541" s="8"/>
      <c r="O541" s="9"/>
    </row>
    <row r="542" spans="1:15" x14ac:dyDescent="0.15">
      <c r="A542" s="8"/>
      <c r="B542" s="8"/>
      <c r="C542" s="8"/>
      <c r="D542" s="8"/>
      <c r="E542" s="8"/>
      <c r="F542" s="8"/>
      <c r="G542" s="10"/>
      <c r="H542" s="11"/>
      <c r="I542" s="8"/>
      <c r="J542" s="9"/>
      <c r="K542" s="8"/>
      <c r="L542" s="9"/>
      <c r="M542" s="8"/>
      <c r="N542" s="8"/>
      <c r="O542" s="9"/>
    </row>
    <row r="543" spans="1:15" x14ac:dyDescent="0.15">
      <c r="A543" s="8"/>
      <c r="B543" s="8"/>
      <c r="C543" s="8"/>
      <c r="D543" s="8"/>
      <c r="E543" s="8"/>
      <c r="F543" s="8"/>
      <c r="G543" s="10"/>
      <c r="H543" s="11"/>
      <c r="I543" s="8"/>
      <c r="J543" s="9"/>
      <c r="K543" s="8"/>
      <c r="L543" s="9"/>
      <c r="M543" s="8"/>
      <c r="N543" s="8"/>
      <c r="O543" s="9"/>
    </row>
    <row r="544" spans="1:15" x14ac:dyDescent="0.15">
      <c r="A544" s="8"/>
      <c r="B544" s="8"/>
      <c r="C544" s="8"/>
      <c r="D544" s="8"/>
      <c r="E544" s="8"/>
      <c r="F544" s="8"/>
      <c r="G544" s="10"/>
      <c r="H544" s="11"/>
      <c r="I544" s="8"/>
      <c r="J544" s="9"/>
      <c r="K544" s="8"/>
      <c r="L544" s="9"/>
      <c r="M544" s="8"/>
      <c r="N544" s="8"/>
      <c r="O544" s="9"/>
    </row>
    <row r="545" spans="1:15" x14ac:dyDescent="0.15">
      <c r="A545" s="8"/>
      <c r="B545" s="8"/>
      <c r="C545" s="8"/>
      <c r="D545" s="8"/>
      <c r="E545" s="8"/>
      <c r="F545" s="8"/>
      <c r="G545" s="10"/>
      <c r="H545" s="11"/>
      <c r="I545" s="8"/>
      <c r="J545" s="9"/>
      <c r="K545" s="8"/>
      <c r="L545" s="9"/>
      <c r="M545" s="8"/>
      <c r="N545" s="8"/>
      <c r="O545" s="9"/>
    </row>
    <row r="546" spans="1:15" x14ac:dyDescent="0.15">
      <c r="A546" s="8"/>
      <c r="B546" s="8"/>
      <c r="C546" s="8"/>
      <c r="D546" s="8"/>
      <c r="E546" s="8"/>
      <c r="F546" s="8"/>
      <c r="G546" s="10"/>
      <c r="H546" s="11"/>
      <c r="I546" s="8"/>
      <c r="J546" s="9"/>
      <c r="K546" s="8"/>
      <c r="L546" s="9"/>
      <c r="M546" s="8"/>
      <c r="N546" s="8"/>
      <c r="O546" s="9"/>
    </row>
    <row r="547" spans="1:15" x14ac:dyDescent="0.15">
      <c r="A547" s="8"/>
      <c r="B547" s="8"/>
      <c r="C547" s="8"/>
      <c r="D547" s="8"/>
      <c r="E547" s="8"/>
      <c r="F547" s="8"/>
      <c r="G547" s="10"/>
      <c r="H547" s="11"/>
      <c r="I547" s="8"/>
      <c r="J547" s="9"/>
      <c r="K547" s="8"/>
      <c r="L547" s="9"/>
      <c r="M547" s="8"/>
      <c r="N547" s="8"/>
      <c r="O547" s="9"/>
    </row>
    <row r="548" spans="1:15" x14ac:dyDescent="0.15">
      <c r="A548" s="8"/>
      <c r="B548" s="8"/>
      <c r="C548" s="8"/>
      <c r="D548" s="8"/>
      <c r="E548" s="8"/>
      <c r="F548" s="8"/>
      <c r="G548" s="10"/>
      <c r="H548" s="11"/>
      <c r="I548" s="8"/>
      <c r="J548" s="9"/>
      <c r="K548" s="8"/>
      <c r="L548" s="9"/>
      <c r="M548" s="8"/>
      <c r="N548" s="8"/>
      <c r="O548" s="9"/>
    </row>
    <row r="549" spans="1:15" x14ac:dyDescent="0.15">
      <c r="A549" s="8"/>
      <c r="B549" s="8"/>
      <c r="C549" s="8"/>
      <c r="D549" s="8"/>
      <c r="E549" s="8"/>
      <c r="F549" s="8"/>
      <c r="G549" s="10"/>
      <c r="H549" s="11"/>
      <c r="I549" s="8"/>
      <c r="J549" s="9"/>
      <c r="K549" s="8"/>
      <c r="L549" s="9"/>
      <c r="M549" s="8"/>
      <c r="N549" s="8"/>
      <c r="O549" s="9"/>
    </row>
    <row r="550" spans="1:15" x14ac:dyDescent="0.15">
      <c r="A550" s="8"/>
      <c r="B550" s="8"/>
      <c r="C550" s="8"/>
      <c r="D550" s="8"/>
      <c r="E550" s="8"/>
      <c r="F550" s="8"/>
      <c r="G550" s="10"/>
      <c r="H550" s="11"/>
      <c r="I550" s="8"/>
      <c r="J550" s="9"/>
      <c r="K550" s="8"/>
      <c r="L550" s="9"/>
      <c r="M550" s="8"/>
      <c r="N550" s="8"/>
      <c r="O550" s="9"/>
    </row>
    <row r="551" spans="1:15" x14ac:dyDescent="0.15">
      <c r="A551" s="8"/>
      <c r="B551" s="8"/>
      <c r="C551" s="8"/>
      <c r="D551" s="8"/>
      <c r="E551" s="8"/>
      <c r="F551" s="8"/>
      <c r="G551" s="10"/>
      <c r="H551" s="11"/>
      <c r="I551" s="8"/>
      <c r="J551" s="9"/>
      <c r="K551" s="8"/>
      <c r="L551" s="9"/>
      <c r="M551" s="8"/>
      <c r="N551" s="8"/>
      <c r="O551" s="9"/>
    </row>
    <row r="552" spans="1:15" x14ac:dyDescent="0.15">
      <c r="A552" s="8"/>
      <c r="B552" s="8"/>
      <c r="C552" s="8"/>
      <c r="D552" s="8"/>
      <c r="E552" s="8"/>
      <c r="F552" s="8"/>
      <c r="G552" s="10"/>
      <c r="H552" s="11"/>
      <c r="I552" s="8"/>
      <c r="J552" s="9"/>
      <c r="K552" s="8"/>
      <c r="L552" s="9"/>
      <c r="M552" s="8"/>
      <c r="N552" s="8"/>
      <c r="O552" s="9"/>
    </row>
    <row r="553" spans="1:15" x14ac:dyDescent="0.15">
      <c r="A553" s="8"/>
      <c r="B553" s="8"/>
      <c r="C553" s="8"/>
      <c r="D553" s="8"/>
      <c r="E553" s="8"/>
      <c r="F553" s="8"/>
      <c r="G553" s="10"/>
      <c r="H553" s="11"/>
      <c r="I553" s="8"/>
      <c r="J553" s="9"/>
      <c r="K553" s="8"/>
      <c r="L553" s="9"/>
      <c r="M553" s="8"/>
      <c r="N553" s="8"/>
      <c r="O553" s="9"/>
    </row>
    <row r="554" spans="1:15" x14ac:dyDescent="0.15">
      <c r="A554" s="8"/>
      <c r="B554" s="8"/>
      <c r="C554" s="8"/>
      <c r="D554" s="8"/>
      <c r="E554" s="8"/>
      <c r="F554" s="8"/>
      <c r="G554" s="10"/>
      <c r="H554" s="11"/>
      <c r="I554" s="8"/>
      <c r="J554" s="9"/>
      <c r="K554" s="8"/>
      <c r="L554" s="9"/>
      <c r="M554" s="8"/>
      <c r="N554" s="8"/>
      <c r="O554" s="9"/>
    </row>
    <row r="555" spans="1:15" x14ac:dyDescent="0.15">
      <c r="A555" s="8"/>
      <c r="B555" s="8"/>
      <c r="C555" s="8"/>
      <c r="D555" s="8"/>
      <c r="E555" s="8"/>
      <c r="F555" s="8"/>
      <c r="G555" s="10"/>
      <c r="H555" s="11"/>
      <c r="I555" s="8"/>
      <c r="J555" s="9"/>
      <c r="K555" s="8"/>
      <c r="L555" s="9"/>
      <c r="M555" s="8"/>
      <c r="N555" s="8"/>
      <c r="O555" s="9"/>
    </row>
    <row r="556" spans="1:15" x14ac:dyDescent="0.15">
      <c r="A556" s="8"/>
      <c r="B556" s="8"/>
      <c r="C556" s="8"/>
      <c r="D556" s="8"/>
      <c r="E556" s="8"/>
      <c r="F556" s="8"/>
      <c r="G556" s="10"/>
      <c r="H556" s="11"/>
      <c r="I556" s="8"/>
      <c r="J556" s="9"/>
      <c r="K556" s="8"/>
      <c r="L556" s="9"/>
      <c r="M556" s="8"/>
      <c r="N556" s="8"/>
      <c r="O556" s="9"/>
    </row>
    <row r="557" spans="1:15" x14ac:dyDescent="0.15">
      <c r="A557" s="8"/>
      <c r="B557" s="8"/>
      <c r="C557" s="8"/>
      <c r="D557" s="8"/>
      <c r="E557" s="8"/>
      <c r="F557" s="8"/>
      <c r="G557" s="10"/>
      <c r="H557" s="11"/>
      <c r="I557" s="8"/>
      <c r="J557" s="9"/>
      <c r="K557" s="8"/>
      <c r="L557" s="9"/>
      <c r="M557" s="8"/>
      <c r="N557" s="8"/>
      <c r="O557" s="9"/>
    </row>
    <row r="558" spans="1:15" x14ac:dyDescent="0.15">
      <c r="A558" s="8"/>
      <c r="B558" s="8"/>
      <c r="C558" s="8"/>
      <c r="D558" s="8"/>
      <c r="E558" s="8"/>
      <c r="F558" s="8"/>
      <c r="G558" s="10"/>
      <c r="H558" s="11"/>
      <c r="I558" s="8"/>
      <c r="J558" s="9"/>
      <c r="K558" s="8"/>
      <c r="L558" s="9"/>
      <c r="M558" s="8"/>
      <c r="N558" s="8"/>
      <c r="O558" s="9"/>
    </row>
    <row r="559" spans="1:15" x14ac:dyDescent="0.15">
      <c r="A559" s="8"/>
      <c r="B559" s="8"/>
      <c r="C559" s="8"/>
      <c r="D559" s="8"/>
      <c r="E559" s="8"/>
      <c r="F559" s="8"/>
      <c r="G559" s="10"/>
      <c r="H559" s="11"/>
      <c r="I559" s="8"/>
      <c r="J559" s="9"/>
      <c r="K559" s="8"/>
      <c r="L559" s="9"/>
      <c r="M559" s="8"/>
      <c r="N559" s="8"/>
      <c r="O559" s="9"/>
    </row>
    <row r="560" spans="1:15" x14ac:dyDescent="0.15">
      <c r="A560" s="8"/>
      <c r="B560" s="8"/>
      <c r="C560" s="8"/>
      <c r="D560" s="8"/>
      <c r="E560" s="8"/>
      <c r="F560" s="8"/>
      <c r="G560" s="10"/>
      <c r="H560" s="11"/>
      <c r="I560" s="8"/>
      <c r="J560" s="9"/>
      <c r="K560" s="8"/>
      <c r="L560" s="9"/>
      <c r="M560" s="8"/>
      <c r="N560" s="8"/>
      <c r="O560" s="9"/>
    </row>
    <row r="561" spans="1:15" x14ac:dyDescent="0.15">
      <c r="A561" s="8"/>
      <c r="B561" s="8"/>
      <c r="C561" s="8"/>
      <c r="D561" s="8"/>
      <c r="E561" s="8"/>
      <c r="F561" s="8"/>
      <c r="G561" s="10"/>
      <c r="H561" s="11"/>
      <c r="I561" s="8"/>
      <c r="J561" s="9"/>
      <c r="K561" s="8"/>
      <c r="L561" s="9"/>
      <c r="M561" s="8"/>
      <c r="N561" s="8"/>
      <c r="O561" s="9"/>
    </row>
    <row r="562" spans="1:15" x14ac:dyDescent="0.15">
      <c r="A562" s="8"/>
      <c r="B562" s="8"/>
      <c r="C562" s="8"/>
      <c r="D562" s="8"/>
      <c r="E562" s="8"/>
      <c r="F562" s="8"/>
      <c r="G562" s="10"/>
      <c r="H562" s="11"/>
      <c r="I562" s="8"/>
      <c r="J562" s="9"/>
      <c r="K562" s="8"/>
      <c r="L562" s="9"/>
      <c r="M562" s="8"/>
      <c r="N562" s="8"/>
      <c r="O562" s="9"/>
    </row>
    <row r="563" spans="1:15" x14ac:dyDescent="0.15">
      <c r="A563" s="8"/>
      <c r="B563" s="8"/>
      <c r="C563" s="8"/>
      <c r="D563" s="8"/>
      <c r="E563" s="8"/>
      <c r="F563" s="8"/>
      <c r="G563" s="10"/>
      <c r="H563" s="11"/>
      <c r="I563" s="8"/>
      <c r="J563" s="9"/>
      <c r="K563" s="8"/>
      <c r="L563" s="9"/>
      <c r="M563" s="8"/>
      <c r="N563" s="8"/>
      <c r="O563" s="9"/>
    </row>
    <row r="564" spans="1:15" x14ac:dyDescent="0.15">
      <c r="A564" s="8"/>
      <c r="B564" s="8"/>
      <c r="C564" s="8"/>
      <c r="D564" s="8"/>
      <c r="E564" s="8"/>
      <c r="F564" s="8"/>
      <c r="G564" s="10"/>
      <c r="H564" s="11"/>
      <c r="I564" s="8"/>
      <c r="J564" s="9"/>
      <c r="K564" s="8"/>
      <c r="L564" s="9"/>
      <c r="M564" s="8"/>
      <c r="N564" s="8"/>
      <c r="O564" s="9"/>
    </row>
    <row r="565" spans="1:15" x14ac:dyDescent="0.15">
      <c r="A565" s="8"/>
      <c r="B565" s="8"/>
      <c r="C565" s="8"/>
      <c r="D565" s="8"/>
      <c r="E565" s="8"/>
      <c r="F565" s="8"/>
      <c r="G565" s="10"/>
      <c r="H565" s="11"/>
      <c r="I565" s="8"/>
      <c r="J565" s="9"/>
      <c r="K565" s="8"/>
      <c r="L565" s="9"/>
      <c r="M565" s="8"/>
      <c r="N565" s="8"/>
      <c r="O565" s="9"/>
    </row>
    <row r="566" spans="1:15" x14ac:dyDescent="0.15">
      <c r="A566" s="8"/>
      <c r="B566" s="8"/>
      <c r="C566" s="8"/>
      <c r="D566" s="8"/>
      <c r="E566" s="8"/>
      <c r="F566" s="8"/>
      <c r="G566" s="10"/>
      <c r="H566" s="11"/>
      <c r="I566" s="8"/>
      <c r="J566" s="9"/>
      <c r="K566" s="8"/>
      <c r="L566" s="9"/>
      <c r="M566" s="8"/>
      <c r="N566" s="8"/>
      <c r="O566" s="9"/>
    </row>
    <row r="567" spans="1:15" x14ac:dyDescent="0.15">
      <c r="A567" s="8"/>
      <c r="B567" s="8"/>
      <c r="C567" s="8"/>
      <c r="D567" s="8"/>
      <c r="E567" s="8"/>
      <c r="F567" s="8"/>
      <c r="G567" s="10"/>
      <c r="H567" s="11"/>
      <c r="I567" s="8"/>
      <c r="J567" s="9"/>
      <c r="K567" s="8"/>
      <c r="L567" s="9"/>
      <c r="M567" s="8"/>
      <c r="N567" s="8"/>
      <c r="O567" s="9"/>
    </row>
    <row r="568" spans="1:15" x14ac:dyDescent="0.15">
      <c r="A568" s="8"/>
      <c r="B568" s="8"/>
      <c r="C568" s="8"/>
      <c r="D568" s="8"/>
      <c r="E568" s="8"/>
      <c r="F568" s="8"/>
      <c r="G568" s="10"/>
      <c r="H568" s="11"/>
      <c r="I568" s="8"/>
      <c r="J568" s="9"/>
      <c r="K568" s="8"/>
      <c r="L568" s="9"/>
      <c r="M568" s="8"/>
      <c r="N568" s="8"/>
      <c r="O568" s="9"/>
    </row>
    <row r="569" spans="1:15" x14ac:dyDescent="0.15">
      <c r="A569" s="8"/>
      <c r="B569" s="8"/>
      <c r="C569" s="8"/>
      <c r="D569" s="8"/>
      <c r="E569" s="8"/>
      <c r="F569" s="8"/>
      <c r="G569" s="10"/>
      <c r="H569" s="11"/>
      <c r="I569" s="8"/>
      <c r="J569" s="9"/>
      <c r="K569" s="8"/>
      <c r="L569" s="9"/>
      <c r="M569" s="8"/>
      <c r="N569" s="8"/>
      <c r="O569" s="9"/>
    </row>
    <row r="570" spans="1:15" x14ac:dyDescent="0.15">
      <c r="A570" s="8"/>
      <c r="B570" s="8"/>
      <c r="C570" s="8"/>
      <c r="D570" s="8"/>
      <c r="E570" s="8"/>
      <c r="F570" s="8"/>
      <c r="G570" s="10"/>
      <c r="H570" s="11"/>
      <c r="I570" s="8"/>
      <c r="J570" s="9"/>
      <c r="K570" s="8"/>
      <c r="L570" s="9"/>
      <c r="M570" s="8"/>
      <c r="N570" s="8"/>
      <c r="O570" s="9"/>
    </row>
    <row r="571" spans="1:15" x14ac:dyDescent="0.15">
      <c r="A571" s="8"/>
      <c r="B571" s="8"/>
      <c r="C571" s="8"/>
      <c r="D571" s="8"/>
      <c r="E571" s="8"/>
      <c r="F571" s="8"/>
      <c r="G571" s="10"/>
      <c r="H571" s="11"/>
      <c r="I571" s="8"/>
      <c r="J571" s="9"/>
      <c r="K571" s="8"/>
      <c r="L571" s="9"/>
      <c r="M571" s="8"/>
      <c r="N571" s="8"/>
      <c r="O571" s="9"/>
    </row>
    <row r="572" spans="1:15" x14ac:dyDescent="0.15">
      <c r="A572" s="8"/>
      <c r="B572" s="8"/>
      <c r="C572" s="8"/>
      <c r="D572" s="8"/>
      <c r="E572" s="8"/>
      <c r="F572" s="8"/>
      <c r="G572" s="10"/>
      <c r="H572" s="11"/>
      <c r="I572" s="8"/>
      <c r="J572" s="9"/>
      <c r="K572" s="8"/>
      <c r="L572" s="9"/>
      <c r="M572" s="8"/>
      <c r="N572" s="8"/>
      <c r="O572" s="9"/>
    </row>
    <row r="573" spans="1:15" x14ac:dyDescent="0.15">
      <c r="A573" s="8"/>
      <c r="B573" s="8"/>
      <c r="C573" s="8"/>
      <c r="D573" s="8"/>
      <c r="E573" s="8"/>
      <c r="F573" s="8"/>
      <c r="G573" s="10"/>
      <c r="H573" s="11"/>
      <c r="I573" s="8"/>
      <c r="J573" s="9"/>
      <c r="K573" s="8"/>
      <c r="L573" s="9"/>
      <c r="M573" s="8"/>
      <c r="N573" s="8"/>
      <c r="O573" s="9"/>
    </row>
    <row r="574" spans="1:15" x14ac:dyDescent="0.15">
      <c r="A574" s="8"/>
      <c r="B574" s="8"/>
      <c r="C574" s="8"/>
      <c r="D574" s="8"/>
      <c r="E574" s="8"/>
      <c r="F574" s="8"/>
      <c r="G574" s="10"/>
      <c r="H574" s="11"/>
      <c r="I574" s="8"/>
      <c r="J574" s="9"/>
      <c r="K574" s="8"/>
      <c r="L574" s="9"/>
      <c r="M574" s="8"/>
      <c r="N574" s="8"/>
      <c r="O574" s="9"/>
    </row>
    <row r="575" spans="1:15" x14ac:dyDescent="0.15">
      <c r="A575" s="8"/>
      <c r="B575" s="8"/>
      <c r="C575" s="8"/>
      <c r="D575" s="8"/>
      <c r="E575" s="8"/>
      <c r="F575" s="8"/>
      <c r="G575" s="10"/>
      <c r="H575" s="11"/>
      <c r="I575" s="8"/>
      <c r="J575" s="9"/>
      <c r="K575" s="8"/>
      <c r="L575" s="9"/>
      <c r="M575" s="8"/>
      <c r="N575" s="8"/>
      <c r="O575" s="9"/>
    </row>
    <row r="576" spans="1:15" x14ac:dyDescent="0.15">
      <c r="A576" s="8"/>
      <c r="B576" s="8"/>
      <c r="C576" s="8"/>
      <c r="D576" s="8"/>
      <c r="E576" s="8"/>
      <c r="F576" s="8"/>
      <c r="G576" s="10"/>
      <c r="H576" s="11"/>
      <c r="I576" s="8"/>
      <c r="J576" s="9"/>
      <c r="K576" s="8"/>
      <c r="L576" s="9"/>
      <c r="M576" s="8"/>
      <c r="N576" s="8"/>
      <c r="O576" s="9"/>
    </row>
    <row r="577" spans="1:15" x14ac:dyDescent="0.15">
      <c r="A577" s="8"/>
      <c r="B577" s="8"/>
      <c r="C577" s="8"/>
      <c r="D577" s="8"/>
      <c r="E577" s="8"/>
      <c r="F577" s="8"/>
      <c r="G577" s="10"/>
      <c r="H577" s="11"/>
      <c r="I577" s="8"/>
      <c r="J577" s="9"/>
      <c r="K577" s="8"/>
      <c r="L577" s="9"/>
      <c r="M577" s="8"/>
      <c r="N577" s="8"/>
      <c r="O577" s="9"/>
    </row>
    <row r="578" spans="1:15" x14ac:dyDescent="0.15">
      <c r="A578" s="8"/>
      <c r="B578" s="8"/>
      <c r="C578" s="8"/>
      <c r="D578" s="8"/>
      <c r="E578" s="8"/>
      <c r="F578" s="8"/>
      <c r="G578" s="10"/>
      <c r="H578" s="11"/>
      <c r="I578" s="8"/>
      <c r="J578" s="9"/>
      <c r="K578" s="8"/>
      <c r="L578" s="9"/>
      <c r="M578" s="8"/>
      <c r="N578" s="8"/>
      <c r="O578" s="9"/>
    </row>
    <row r="579" spans="1:15" outlineLevel="1" x14ac:dyDescent="0.15">
      <c r="A579" s="8"/>
      <c r="B579" s="8"/>
      <c r="C579" s="8"/>
      <c r="D579" s="8"/>
      <c r="E579" s="8"/>
      <c r="F579" s="8"/>
      <c r="G579" s="10"/>
      <c r="H579" s="11"/>
      <c r="I579" s="8"/>
      <c r="J579" s="9"/>
      <c r="K579" s="8"/>
      <c r="L579" s="9"/>
      <c r="M579" s="8"/>
      <c r="N579" s="8"/>
      <c r="O579" s="9"/>
    </row>
    <row r="580" spans="1:15" outlineLevel="1" x14ac:dyDescent="0.15">
      <c r="A580" s="8"/>
      <c r="B580" s="8"/>
      <c r="C580" s="8"/>
      <c r="D580" s="8"/>
      <c r="E580" s="8"/>
      <c r="F580" s="8"/>
      <c r="G580" s="10"/>
      <c r="H580" s="11"/>
      <c r="I580" s="8"/>
      <c r="J580" s="9"/>
      <c r="K580" s="8"/>
      <c r="L580" s="9"/>
      <c r="M580" s="8"/>
      <c r="N580" s="8"/>
      <c r="O580" s="9"/>
    </row>
    <row r="581" spans="1:15" outlineLevel="1" x14ac:dyDescent="0.15">
      <c r="A581" s="8"/>
      <c r="B581" s="8"/>
      <c r="C581" s="8"/>
      <c r="D581" s="8"/>
      <c r="E581" s="8"/>
      <c r="F581" s="8"/>
      <c r="G581" s="10"/>
      <c r="H581" s="11"/>
      <c r="I581" s="8"/>
      <c r="J581" s="9"/>
      <c r="K581" s="8"/>
      <c r="L581" s="9"/>
      <c r="M581" s="8"/>
      <c r="N581" s="8"/>
      <c r="O581" s="9"/>
    </row>
    <row r="582" spans="1:15" outlineLevel="1" x14ac:dyDescent="0.15">
      <c r="A582" s="8"/>
      <c r="B582" s="8"/>
      <c r="C582" s="8"/>
      <c r="D582" s="8"/>
      <c r="E582" s="8"/>
      <c r="F582" s="8"/>
      <c r="G582" s="10"/>
      <c r="H582" s="11"/>
      <c r="I582" s="8"/>
      <c r="J582" s="9"/>
      <c r="K582" s="8"/>
      <c r="L582" s="9"/>
      <c r="M582" s="8"/>
      <c r="N582" s="8"/>
      <c r="O582" s="9"/>
    </row>
    <row r="583" spans="1:15" outlineLevel="1" x14ac:dyDescent="0.15">
      <c r="A583" s="8"/>
      <c r="B583" s="8"/>
      <c r="C583" s="8"/>
      <c r="D583" s="8"/>
      <c r="E583" s="8"/>
      <c r="F583" s="8"/>
      <c r="G583" s="10"/>
      <c r="H583" s="11"/>
      <c r="I583" s="8"/>
      <c r="J583" s="9"/>
      <c r="K583" s="8"/>
      <c r="L583" s="9"/>
      <c r="M583" s="8"/>
      <c r="N583" s="8"/>
      <c r="O583" s="9"/>
    </row>
    <row r="584" spans="1:15" outlineLevel="1" x14ac:dyDescent="0.15">
      <c r="A584" s="8"/>
      <c r="B584" s="8"/>
      <c r="C584" s="8"/>
      <c r="D584" s="8"/>
      <c r="E584" s="8"/>
      <c r="F584" s="8"/>
      <c r="G584" s="10"/>
      <c r="H584" s="11"/>
      <c r="I584" s="8"/>
      <c r="J584" s="9"/>
      <c r="K584" s="8"/>
      <c r="L584" s="9"/>
      <c r="M584" s="8"/>
      <c r="N584" s="8"/>
      <c r="O584" s="9"/>
    </row>
    <row r="585" spans="1:15" outlineLevel="1" x14ac:dyDescent="0.15">
      <c r="A585" s="8"/>
      <c r="B585" s="8"/>
      <c r="C585" s="8"/>
      <c r="D585" s="8"/>
      <c r="E585" s="8"/>
      <c r="F585" s="8"/>
      <c r="G585" s="10"/>
      <c r="H585" s="11"/>
      <c r="I585" s="8"/>
      <c r="J585" s="9"/>
      <c r="K585" s="8"/>
      <c r="L585" s="9"/>
      <c r="M585" s="8"/>
      <c r="N585" s="8"/>
      <c r="O585" s="9"/>
    </row>
    <row r="586" spans="1:15" outlineLevel="1" x14ac:dyDescent="0.15">
      <c r="A586" s="8"/>
      <c r="B586" s="8"/>
      <c r="C586" s="8"/>
      <c r="D586" s="8"/>
      <c r="E586" s="8"/>
      <c r="F586" s="8"/>
      <c r="G586" s="10"/>
      <c r="H586" s="11"/>
      <c r="I586" s="8"/>
      <c r="J586" s="9"/>
      <c r="K586" s="8"/>
      <c r="L586" s="9"/>
      <c r="M586" s="8"/>
      <c r="N586" s="8"/>
      <c r="O586" s="9"/>
    </row>
    <row r="587" spans="1:15" outlineLevel="1" x14ac:dyDescent="0.15">
      <c r="A587" s="8"/>
      <c r="B587" s="8"/>
      <c r="C587" s="8"/>
      <c r="D587" s="8"/>
      <c r="E587" s="8"/>
      <c r="F587" s="8"/>
      <c r="G587" s="10"/>
      <c r="H587" s="11"/>
      <c r="I587" s="8"/>
      <c r="J587" s="9"/>
      <c r="K587" s="8"/>
      <c r="L587" s="9"/>
      <c r="M587" s="8"/>
      <c r="N587" s="8"/>
      <c r="O587" s="9"/>
    </row>
    <row r="588" spans="1:15" x14ac:dyDescent="0.15">
      <c r="A588" s="8"/>
      <c r="B588" s="8"/>
      <c r="C588" s="8"/>
      <c r="D588" s="8"/>
      <c r="E588" s="8"/>
      <c r="F588" s="8"/>
      <c r="G588" s="10"/>
      <c r="H588" s="11"/>
      <c r="I588" s="8"/>
      <c r="J588" s="9"/>
      <c r="K588" s="8"/>
      <c r="L588" s="9"/>
      <c r="M588" s="8"/>
      <c r="N588" s="8"/>
      <c r="O588" s="9"/>
    </row>
    <row r="589" spans="1:15" x14ac:dyDescent="0.15">
      <c r="A589" s="8"/>
      <c r="B589" s="8"/>
      <c r="C589" s="8"/>
      <c r="D589" s="8"/>
      <c r="E589" s="8"/>
      <c r="F589" s="8"/>
      <c r="G589" s="10"/>
      <c r="H589" s="11"/>
      <c r="I589" s="8"/>
      <c r="J589" s="9"/>
      <c r="K589" s="8"/>
      <c r="L589" s="9"/>
      <c r="M589" s="8"/>
      <c r="N589" s="8"/>
      <c r="O589" s="9"/>
    </row>
    <row r="590" spans="1:15" x14ac:dyDescent="0.15">
      <c r="A590" s="8"/>
      <c r="B590" s="8"/>
      <c r="C590" s="8"/>
      <c r="D590" s="8"/>
      <c r="E590" s="8"/>
      <c r="F590" s="8"/>
      <c r="G590" s="10"/>
      <c r="H590" s="11"/>
      <c r="I590" s="8"/>
      <c r="J590" s="9"/>
      <c r="K590" s="8"/>
      <c r="L590" s="9"/>
      <c r="M590" s="8"/>
      <c r="N590" s="8"/>
      <c r="O590" s="9"/>
    </row>
    <row r="591" spans="1:15" x14ac:dyDescent="0.15">
      <c r="A591" s="8"/>
      <c r="B591" s="8"/>
      <c r="C591" s="8"/>
      <c r="D591" s="8"/>
      <c r="E591" s="8"/>
      <c r="F591" s="8"/>
      <c r="G591" s="10"/>
      <c r="H591" s="11"/>
      <c r="I591" s="8"/>
      <c r="J591" s="9"/>
      <c r="K591" s="8"/>
      <c r="L591" s="9"/>
      <c r="M591" s="8"/>
      <c r="N591" s="8"/>
      <c r="O591" s="9"/>
    </row>
    <row r="592" spans="1:15" x14ac:dyDescent="0.15">
      <c r="A592" s="8"/>
      <c r="B592" s="8"/>
      <c r="C592" s="8"/>
      <c r="D592" s="8"/>
      <c r="E592" s="8"/>
      <c r="F592" s="8"/>
      <c r="G592" s="10"/>
      <c r="H592" s="11"/>
      <c r="I592" s="8"/>
      <c r="J592" s="9"/>
      <c r="K592" s="8"/>
      <c r="L592" s="9"/>
      <c r="M592" s="8"/>
      <c r="N592" s="8"/>
      <c r="O592" s="9"/>
    </row>
    <row r="593" spans="1:15" x14ac:dyDescent="0.15">
      <c r="A593" s="8"/>
      <c r="B593" s="8"/>
      <c r="C593" s="8"/>
      <c r="D593" s="8"/>
      <c r="E593" s="8"/>
      <c r="F593" s="8"/>
      <c r="G593" s="10"/>
      <c r="H593" s="11"/>
      <c r="I593" s="8"/>
      <c r="J593" s="9"/>
      <c r="K593" s="8"/>
      <c r="L593" s="9"/>
      <c r="M593" s="8"/>
      <c r="N593" s="8"/>
      <c r="O593" s="9"/>
    </row>
    <row r="594" spans="1:15" x14ac:dyDescent="0.15">
      <c r="A594" s="8"/>
      <c r="B594" s="8"/>
      <c r="C594" s="8"/>
      <c r="D594" s="8"/>
      <c r="E594" s="8"/>
      <c r="F594" s="8"/>
      <c r="G594" s="10"/>
      <c r="H594" s="11"/>
      <c r="I594" s="8"/>
      <c r="J594" s="9"/>
      <c r="K594" s="8"/>
      <c r="L594" s="9"/>
      <c r="M594" s="8"/>
      <c r="N594" s="8"/>
      <c r="O594" s="9"/>
    </row>
    <row r="595" spans="1:15" x14ac:dyDescent="0.15">
      <c r="A595" s="8"/>
      <c r="B595" s="8"/>
      <c r="C595" s="8"/>
      <c r="D595" s="8"/>
      <c r="E595" s="8"/>
      <c r="F595" s="8"/>
      <c r="G595" s="10"/>
      <c r="H595" s="11"/>
      <c r="I595" s="8"/>
      <c r="J595" s="9"/>
      <c r="K595" s="8"/>
      <c r="L595" s="9"/>
      <c r="M595" s="8"/>
      <c r="N595" s="8"/>
      <c r="O595" s="9"/>
    </row>
    <row r="596" spans="1:15" x14ac:dyDescent="0.15">
      <c r="A596" s="8"/>
      <c r="B596" s="8"/>
      <c r="C596" s="8"/>
      <c r="D596" s="8"/>
      <c r="E596" s="8"/>
      <c r="F596" s="8"/>
      <c r="G596" s="10"/>
      <c r="H596" s="11"/>
      <c r="I596" s="8"/>
      <c r="J596" s="9"/>
      <c r="K596" s="8"/>
      <c r="L596" s="9"/>
      <c r="M596" s="8"/>
      <c r="N596" s="8"/>
      <c r="O596" s="9"/>
    </row>
    <row r="597" spans="1:15" outlineLevel="1" x14ac:dyDescent="0.15">
      <c r="A597" s="8"/>
      <c r="B597" s="8"/>
      <c r="C597" s="8"/>
      <c r="D597" s="8"/>
      <c r="E597" s="8"/>
      <c r="F597" s="8"/>
      <c r="G597" s="10"/>
      <c r="H597" s="11"/>
      <c r="I597" s="8"/>
      <c r="J597" s="9"/>
      <c r="K597" s="8"/>
      <c r="L597" s="9"/>
      <c r="M597" s="8"/>
      <c r="N597" s="8"/>
      <c r="O597" s="9"/>
    </row>
    <row r="598" spans="1:15" outlineLevel="1" x14ac:dyDescent="0.15">
      <c r="A598" s="8"/>
      <c r="B598" s="8"/>
      <c r="C598" s="8"/>
      <c r="D598" s="8"/>
      <c r="E598" s="8"/>
      <c r="F598" s="8"/>
      <c r="G598" s="10"/>
      <c r="H598" s="11"/>
      <c r="I598" s="8"/>
      <c r="J598" s="9"/>
      <c r="K598" s="8"/>
      <c r="L598" s="9"/>
      <c r="M598" s="8"/>
      <c r="N598" s="8"/>
      <c r="O598" s="9"/>
    </row>
    <row r="599" spans="1:15" outlineLevel="1" x14ac:dyDescent="0.15">
      <c r="A599" s="8"/>
      <c r="B599" s="8"/>
      <c r="C599" s="8"/>
      <c r="D599" s="8"/>
      <c r="E599" s="8"/>
      <c r="F599" s="8"/>
      <c r="G599" s="10"/>
      <c r="H599" s="11"/>
      <c r="I599" s="8"/>
      <c r="J599" s="9"/>
      <c r="K599" s="8"/>
      <c r="L599" s="9"/>
      <c r="M599" s="8"/>
      <c r="N599" s="8"/>
      <c r="O599" s="9"/>
    </row>
    <row r="600" spans="1:15" outlineLevel="1" x14ac:dyDescent="0.15">
      <c r="A600" s="8"/>
      <c r="B600" s="8"/>
      <c r="C600" s="8"/>
      <c r="D600" s="8"/>
      <c r="E600" s="8"/>
      <c r="F600" s="8"/>
      <c r="G600" s="10"/>
      <c r="H600" s="11"/>
      <c r="I600" s="8"/>
      <c r="J600" s="9"/>
      <c r="K600" s="8"/>
      <c r="L600" s="9"/>
      <c r="M600" s="8"/>
      <c r="N600" s="8"/>
      <c r="O600" s="9"/>
    </row>
    <row r="601" spans="1:15" x14ac:dyDescent="0.15">
      <c r="A601" s="8"/>
      <c r="B601" s="8"/>
      <c r="C601" s="8"/>
      <c r="D601" s="8"/>
      <c r="E601" s="8"/>
      <c r="F601" s="8"/>
      <c r="G601" s="10"/>
      <c r="H601" s="11"/>
      <c r="I601" s="8"/>
      <c r="J601" s="9"/>
      <c r="K601" s="8"/>
      <c r="L601" s="9"/>
      <c r="M601" s="8"/>
      <c r="N601" s="8"/>
      <c r="O601" s="9"/>
    </row>
    <row r="602" spans="1:15" x14ac:dyDescent="0.15">
      <c r="A602" s="8"/>
      <c r="B602" s="8"/>
      <c r="C602" s="8"/>
      <c r="D602" s="8"/>
      <c r="E602" s="8"/>
      <c r="F602" s="8"/>
      <c r="G602" s="10"/>
      <c r="H602" s="11"/>
      <c r="I602" s="8"/>
      <c r="J602" s="9"/>
      <c r="K602" s="8"/>
      <c r="L602" s="9"/>
      <c r="M602" s="8"/>
      <c r="N602" s="8"/>
      <c r="O602" s="9"/>
    </row>
    <row r="603" spans="1:15" x14ac:dyDescent="0.15">
      <c r="A603" s="8"/>
      <c r="B603" s="8"/>
      <c r="C603" s="8"/>
      <c r="D603" s="8"/>
      <c r="E603" s="8"/>
      <c r="F603" s="8"/>
      <c r="G603" s="10"/>
      <c r="H603" s="11"/>
      <c r="I603" s="8"/>
      <c r="J603" s="9"/>
      <c r="K603" s="8"/>
      <c r="L603" s="9"/>
      <c r="M603" s="8"/>
      <c r="N603" s="8"/>
      <c r="O603" s="9"/>
    </row>
    <row r="604" spans="1:15" x14ac:dyDescent="0.15">
      <c r="A604" s="8"/>
      <c r="B604" s="8"/>
      <c r="C604" s="8"/>
      <c r="D604" s="8"/>
      <c r="E604" s="8"/>
      <c r="F604" s="8"/>
      <c r="G604" s="10"/>
      <c r="H604" s="11"/>
      <c r="I604" s="8"/>
      <c r="J604" s="9"/>
      <c r="K604" s="8"/>
      <c r="L604" s="9"/>
      <c r="M604" s="8"/>
      <c r="N604" s="8"/>
      <c r="O604" s="9"/>
    </row>
    <row r="605" spans="1:15" outlineLevel="1" x14ac:dyDescent="0.15">
      <c r="A605" s="8"/>
      <c r="B605" s="8"/>
      <c r="C605" s="8"/>
      <c r="D605" s="8"/>
      <c r="E605" s="8"/>
      <c r="F605" s="8"/>
      <c r="G605" s="10"/>
      <c r="H605" s="11"/>
      <c r="I605" s="8"/>
      <c r="J605" s="9"/>
      <c r="K605" s="8"/>
      <c r="L605" s="9"/>
      <c r="M605" s="8"/>
      <c r="N605" s="8"/>
      <c r="O605" s="9"/>
    </row>
    <row r="606" spans="1:15" outlineLevel="1" x14ac:dyDescent="0.15">
      <c r="A606" s="8"/>
      <c r="B606" s="8"/>
      <c r="C606" s="8"/>
      <c r="D606" s="8"/>
      <c r="E606" s="8"/>
      <c r="F606" s="8"/>
      <c r="G606" s="10"/>
      <c r="H606" s="11"/>
      <c r="I606" s="8"/>
      <c r="J606" s="9"/>
      <c r="K606" s="8"/>
      <c r="L606" s="9"/>
      <c r="M606" s="8"/>
      <c r="N606" s="8"/>
      <c r="O606" s="9"/>
    </row>
    <row r="607" spans="1:15" x14ac:dyDescent="0.15">
      <c r="A607" s="8"/>
      <c r="B607" s="8"/>
      <c r="C607" s="8"/>
      <c r="D607" s="8"/>
      <c r="E607" s="8"/>
      <c r="F607" s="8"/>
      <c r="G607" s="10"/>
      <c r="H607" s="11"/>
      <c r="I607" s="8"/>
      <c r="J607" s="9"/>
      <c r="K607" s="8"/>
      <c r="L607" s="9"/>
      <c r="M607" s="8"/>
      <c r="N607" s="8"/>
      <c r="O607" s="9"/>
    </row>
    <row r="608" spans="1:15" x14ac:dyDescent="0.15">
      <c r="A608" s="8"/>
      <c r="B608" s="8"/>
      <c r="C608" s="8"/>
      <c r="D608" s="8"/>
      <c r="E608" s="8"/>
      <c r="F608" s="8"/>
      <c r="G608" s="10"/>
      <c r="H608" s="11"/>
      <c r="I608" s="8"/>
      <c r="J608" s="9"/>
      <c r="K608" s="8"/>
      <c r="L608" s="9"/>
      <c r="M608" s="8"/>
      <c r="N608" s="8"/>
      <c r="O608" s="9"/>
    </row>
    <row r="609" spans="1:15" x14ac:dyDescent="0.15">
      <c r="A609" s="8"/>
      <c r="B609" s="8"/>
      <c r="C609" s="8"/>
      <c r="D609" s="8"/>
      <c r="E609" s="8"/>
      <c r="F609" s="8"/>
      <c r="G609" s="10"/>
      <c r="H609" s="11"/>
      <c r="I609" s="8"/>
      <c r="J609" s="9"/>
      <c r="K609" s="8"/>
      <c r="L609" s="9"/>
      <c r="M609" s="8"/>
      <c r="N609" s="8"/>
      <c r="O609" s="9"/>
    </row>
    <row r="621" spans="1:15" x14ac:dyDescent="0.15">
      <c r="A621" s="41"/>
    </row>
    <row r="631" spans="7:7" x14ac:dyDescent="0.15">
      <c r="G631" s="42"/>
    </row>
  </sheetData>
  <autoFilter ref="A5:S393" xr:uid="{214A2682-59FC-42C5-BF35-57251B40A73C}"/>
  <mergeCells count="15">
    <mergeCell ref="F3:F4"/>
    <mergeCell ref="A3:A4"/>
    <mergeCell ref="B3:B4"/>
    <mergeCell ref="C3:C4"/>
    <mergeCell ref="D3:D4"/>
    <mergeCell ref="E3:E4"/>
    <mergeCell ref="M3:M4"/>
    <mergeCell ref="N3:N4"/>
    <mergeCell ref="O3:O4"/>
    <mergeCell ref="G3:G4"/>
    <mergeCell ref="H3:H4"/>
    <mergeCell ref="I3:I4"/>
    <mergeCell ref="J3:J4"/>
    <mergeCell ref="K3:K4"/>
    <mergeCell ref="L3:L4"/>
  </mergeCells>
  <conditionalFormatting sqref="L6:L609">
    <cfRule type="cellIs" dxfId="390" priority="5" operator="equal">
      <formula>"-"</formula>
    </cfRule>
    <cfRule type="cellIs" dxfId="389" priority="6" operator="greaterThan">
      <formula>5</formula>
    </cfRule>
    <cfRule type="cellIs" dxfId="388" priority="7" operator="between">
      <formula>2</formula>
      <formula>5</formula>
    </cfRule>
    <cfRule type="cellIs" dxfId="387" priority="8" operator="lessThan">
      <formula>2</formula>
    </cfRule>
  </conditionalFormatting>
  <conditionalFormatting sqref="O6:O609">
    <cfRule type="cellIs" dxfId="386" priority="1" operator="equal">
      <formula>"-"</formula>
    </cfRule>
    <cfRule type="cellIs" dxfId="385" priority="2" operator="greaterThan">
      <formula>5</formula>
    </cfRule>
    <cfRule type="cellIs" dxfId="384" priority="3" operator="between">
      <formula>2</formula>
      <formula>5</formula>
    </cfRule>
    <cfRule type="cellIs" dxfId="383" priority="4" operator="lessThan">
      <formula>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925E-AD8E-4C8F-9EE9-AC905F837EE9}">
  <sheetPr>
    <tabColor rgb="FF92D050"/>
  </sheetPr>
  <dimension ref="A1:Z631"/>
  <sheetViews>
    <sheetView zoomScale="59" zoomScaleNormal="115" workbookViewId="0">
      <pane xSplit="1" ySplit="5" topLeftCell="B6" activePane="bottomRight" state="frozen"/>
      <selection activeCell="A2" sqref="A2"/>
      <selection pane="topRight" activeCell="A2" sqref="A2"/>
      <selection pane="bottomLeft" activeCell="A2" sqref="A2"/>
      <selection pane="bottomRight" activeCell="C23" sqref="C23"/>
    </sheetView>
  </sheetViews>
  <sheetFormatPr baseColWidth="10" defaultColWidth="8.6640625" defaultRowHeight="14" outlineLevelRow="1" outlineLevelCol="1" x14ac:dyDescent="0.15"/>
  <cols>
    <col min="1" max="1" width="12.5" style="3" customWidth="1"/>
    <col min="2" max="2" width="9.83203125" style="3" bestFit="1" customWidth="1" outlineLevel="1"/>
    <col min="3" max="3" width="16.33203125" style="3" customWidth="1"/>
    <col min="4" max="4" width="10.33203125" style="3" customWidth="1"/>
    <col min="5" max="5" width="10.6640625" style="3" customWidth="1"/>
    <col min="6" max="6" width="18.33203125" style="3" customWidth="1" outlineLevel="1"/>
    <col min="7" max="13" width="15.83203125" style="3" customWidth="1"/>
    <col min="14" max="14" width="13.5" style="2" customWidth="1"/>
    <col min="15" max="15" width="14.1640625" style="2" customWidth="1"/>
    <col min="16" max="16" width="17.1640625" style="2" customWidth="1"/>
    <col min="17" max="17" width="21.5" style="2" customWidth="1"/>
    <col min="18" max="18" width="11.1640625" style="3" customWidth="1"/>
    <col min="19" max="19" width="26.6640625" style="3" bestFit="1" customWidth="1"/>
    <col min="20" max="21" width="26.6640625" style="3" customWidth="1"/>
    <col min="22" max="22" width="11.83203125" style="3" customWidth="1"/>
    <col min="23" max="23" width="11.5" style="3" customWidth="1"/>
    <col min="24" max="24" width="19.1640625" style="3" customWidth="1"/>
    <col min="25" max="25" width="8.6640625" style="3"/>
    <col min="26" max="26" width="16.6640625" style="3" bestFit="1" customWidth="1"/>
    <col min="27" max="16384" width="8.6640625" style="3"/>
  </cols>
  <sheetData>
    <row r="1" spans="1:26" x14ac:dyDescent="0.15">
      <c r="H1" s="277" t="s">
        <v>2286</v>
      </c>
      <c r="I1" s="277"/>
      <c r="J1" s="277"/>
      <c r="K1" s="277"/>
      <c r="L1" s="277"/>
      <c r="M1" s="277"/>
    </row>
    <row r="2" spans="1:26" ht="16" x14ac:dyDescent="0.2">
      <c r="A2" s="1" t="s">
        <v>2293</v>
      </c>
      <c r="B2" s="2"/>
      <c r="C2" s="2"/>
      <c r="D2" s="2"/>
      <c r="E2" s="2"/>
      <c r="F2" s="2"/>
      <c r="G2" s="2"/>
      <c r="H2" s="278" t="s">
        <v>2097</v>
      </c>
      <c r="I2" s="278"/>
      <c r="J2" s="278"/>
      <c r="K2" s="278"/>
      <c r="L2" s="278"/>
      <c r="M2" s="278"/>
      <c r="N2" s="279" t="s">
        <v>938</v>
      </c>
      <c r="O2" s="280"/>
      <c r="P2" s="280"/>
      <c r="Q2" s="280"/>
      <c r="R2" s="280"/>
      <c r="S2" s="280"/>
      <c r="T2" s="280"/>
      <c r="U2" s="281"/>
      <c r="V2" s="285" t="s">
        <v>1742</v>
      </c>
      <c r="W2" s="285"/>
      <c r="X2" s="285"/>
      <c r="Y2" s="285"/>
      <c r="Z2" s="285"/>
    </row>
    <row r="3" spans="1:26" ht="13.75" customHeight="1" x14ac:dyDescent="0.15">
      <c r="A3" s="276" t="s">
        <v>1</v>
      </c>
      <c r="B3" s="276" t="s">
        <v>2</v>
      </c>
      <c r="C3" s="276" t="s">
        <v>3</v>
      </c>
      <c r="D3" s="276" t="s">
        <v>4</v>
      </c>
      <c r="E3" s="276" t="s">
        <v>5</v>
      </c>
      <c r="F3" s="276" t="s">
        <v>6</v>
      </c>
      <c r="G3" s="284" t="s">
        <v>7</v>
      </c>
      <c r="H3" s="275" t="s">
        <v>8</v>
      </c>
      <c r="I3" s="275" t="s">
        <v>2091</v>
      </c>
      <c r="J3" s="275" t="s">
        <v>626</v>
      </c>
      <c r="K3" s="275" t="s">
        <v>627</v>
      </c>
      <c r="L3" s="275" t="s">
        <v>10</v>
      </c>
      <c r="M3" s="276" t="s">
        <v>11</v>
      </c>
      <c r="N3" s="271" t="s">
        <v>8</v>
      </c>
      <c r="O3" s="271" t="s">
        <v>9</v>
      </c>
      <c r="P3" s="271" t="s">
        <v>626</v>
      </c>
      <c r="Q3" s="271" t="s">
        <v>627</v>
      </c>
      <c r="R3" s="271" t="s">
        <v>10</v>
      </c>
      <c r="S3" s="273" t="s">
        <v>11</v>
      </c>
      <c r="T3" s="271" t="s">
        <v>2096</v>
      </c>
      <c r="U3" s="271" t="s">
        <v>10</v>
      </c>
      <c r="V3" s="271" t="s">
        <v>8</v>
      </c>
      <c r="W3" s="271" t="s">
        <v>1743</v>
      </c>
      <c r="X3" s="271" t="s">
        <v>1744</v>
      </c>
      <c r="Y3" s="271" t="s">
        <v>10</v>
      </c>
      <c r="Z3" s="273" t="s">
        <v>11</v>
      </c>
    </row>
    <row r="4" spans="1:26" x14ac:dyDescent="0.15">
      <c r="A4" s="276"/>
      <c r="B4" s="276"/>
      <c r="C4" s="276"/>
      <c r="D4" s="276"/>
      <c r="E4" s="276"/>
      <c r="F4" s="276"/>
      <c r="G4" s="284"/>
      <c r="H4" s="275"/>
      <c r="I4" s="275"/>
      <c r="J4" s="275"/>
      <c r="K4" s="275"/>
      <c r="L4" s="275"/>
      <c r="M4" s="276"/>
      <c r="N4" s="272"/>
      <c r="O4" s="272"/>
      <c r="P4" s="272"/>
      <c r="Q4" s="272"/>
      <c r="R4" s="272"/>
      <c r="S4" s="274"/>
      <c r="T4" s="272"/>
      <c r="U4" s="272"/>
      <c r="V4" s="272"/>
      <c r="W4" s="272"/>
      <c r="X4" s="272"/>
      <c r="Y4" s="272"/>
      <c r="Z4" s="274"/>
    </row>
    <row r="5" spans="1:26" ht="10.5" customHeight="1" x14ac:dyDescent="0.15">
      <c r="A5" s="4"/>
      <c r="B5" s="4"/>
      <c r="C5" s="4"/>
      <c r="D5" s="4"/>
      <c r="E5" s="4"/>
      <c r="F5" s="4"/>
      <c r="G5" s="5"/>
      <c r="H5" s="5"/>
      <c r="I5" s="5"/>
      <c r="J5" s="5"/>
      <c r="K5" s="5"/>
      <c r="L5" s="5"/>
      <c r="M5" s="5"/>
      <c r="N5" s="6"/>
      <c r="O5" s="6"/>
      <c r="P5" s="6"/>
      <c r="Q5" s="6"/>
      <c r="R5" s="6"/>
      <c r="S5" s="7"/>
      <c r="T5" s="7"/>
      <c r="U5" s="7"/>
      <c r="V5" s="6"/>
      <c r="W5" s="6"/>
      <c r="X5" s="6"/>
      <c r="Y5" s="6"/>
      <c r="Z5" s="7"/>
    </row>
    <row r="6" spans="1:26" outlineLevel="1" x14ac:dyDescent="0.15">
      <c r="A6" s="8" t="s">
        <v>1043</v>
      </c>
      <c r="B6" s="8">
        <v>1</v>
      </c>
      <c r="C6" s="8">
        <v>1</v>
      </c>
      <c r="D6" s="8" t="s">
        <v>1470</v>
      </c>
      <c r="E6" s="9">
        <v>38.840000000000003</v>
      </c>
      <c r="F6" s="8" t="s">
        <v>469</v>
      </c>
      <c r="G6" s="10">
        <v>5153</v>
      </c>
      <c r="H6" s="132">
        <f t="shared" ref="H6:I6" si="0">IF(N6&gt;0,N6,V6)</f>
        <v>46235</v>
      </c>
      <c r="I6" s="140">
        <f t="shared" si="0"/>
        <v>275</v>
      </c>
      <c r="J6" s="9">
        <f t="shared" ref="J6" si="1">IF(P6&gt;0,P6," ")</f>
        <v>5.3366970696681548</v>
      </c>
      <c r="K6" s="140">
        <f t="shared" ref="K6" si="2">IF(Q6&gt;0,Q6,X6)</f>
        <v>5</v>
      </c>
      <c r="L6" s="206">
        <f t="shared" ref="L6" si="3">IFERROR(K6/I6*100,0)</f>
        <v>1.8181818181818181</v>
      </c>
      <c r="M6" s="8" t="str">
        <f t="array" ref="M6">IF(L6&gt;5,"Perlu Sensus",IF(AND(L6&gt;=0,I6&gt;0),"Tetap Deteksi","Belum Deteksi"))</f>
        <v>Tetap Deteksi</v>
      </c>
      <c r="N6" s="132">
        <v>46235</v>
      </c>
      <c r="O6" s="203">
        <v>275</v>
      </c>
      <c r="P6" s="9">
        <f t="array" ref="P6">IFERROR(O6/G6*100,0)</f>
        <v>5.3366970696681548</v>
      </c>
      <c r="Q6" s="203">
        <v>5</v>
      </c>
      <c r="R6" s="9">
        <f t="shared" ref="R6:R18" si="4">IFERROR(Q6/O6*100,0)</f>
        <v>1.8181818181818181</v>
      </c>
      <c r="S6" s="8" t="str">
        <f t="array" ref="S6">IF(R6&gt;5,"Perlu Sensus",IF(AND(R6&gt;=0,O6&gt;0),"Tetap Deteksi","Belum Deteksi"))</f>
        <v>Tetap Deteksi</v>
      </c>
      <c r="T6" s="203">
        <v>7</v>
      </c>
      <c r="U6" s="9">
        <f>IFERROR(T6/O6*100,0)</f>
        <v>2.5454545454545454</v>
      </c>
      <c r="V6" s="132">
        <v>46241</v>
      </c>
      <c r="W6" s="203">
        <v>314</v>
      </c>
      <c r="X6" s="203">
        <v>2</v>
      </c>
      <c r="Y6" s="9">
        <f t="shared" ref="Y6:Y69" si="5">IFERROR(X6/W6*100,0)</f>
        <v>0.63694267515923575</v>
      </c>
      <c r="Z6" s="8" t="str">
        <f t="array" ref="Z6">IF(Y6&gt;5,"Perlu Sensus",IF(AND(Y6&gt;0,,O6&gt;0),"Tetap Deteksi","Belum Deteksi"))</f>
        <v>Belum Deteksi</v>
      </c>
    </row>
    <row r="7" spans="1:26" outlineLevel="1" x14ac:dyDescent="0.15">
      <c r="A7" s="8" t="s">
        <v>1043</v>
      </c>
      <c r="B7" s="8">
        <v>1</v>
      </c>
      <c r="C7" s="8">
        <v>1</v>
      </c>
      <c r="D7" s="8" t="s">
        <v>1471</v>
      </c>
      <c r="E7" s="9">
        <v>31.949999999999996</v>
      </c>
      <c r="F7" s="8" t="s">
        <v>469</v>
      </c>
      <c r="G7" s="10">
        <v>3133</v>
      </c>
      <c r="H7" s="132">
        <f t="shared" ref="H7:H70" si="6">IF(N7&gt;0,N7,V7)</f>
        <v>46240</v>
      </c>
      <c r="I7" s="140">
        <f t="shared" ref="I7:I70" si="7">IF(O7&gt;0,O7,W7)</f>
        <v>128</v>
      </c>
      <c r="J7" s="9">
        <f t="shared" ref="J7:J70" si="8">IF(P7&gt;0,P7," ")</f>
        <v>4.0855410150015956</v>
      </c>
      <c r="K7" s="140">
        <f t="shared" ref="K7:K70" si="9">IF(Q7&gt;0,Q7,X7)</f>
        <v>5</v>
      </c>
      <c r="L7" s="206">
        <f t="shared" ref="L7:L70" si="10">IFERROR(K7/I7*100,0)</f>
        <v>3.90625</v>
      </c>
      <c r="M7" s="8" t="str">
        <f t="array" ref="M7">IF(L7&gt;5,"Perlu Sensus",IF(AND(L7&gt;=0,I7&gt;0),"Tetap Deteksi","Belum Deteksi"))</f>
        <v>Tetap Deteksi</v>
      </c>
      <c r="N7" s="132">
        <v>46240</v>
      </c>
      <c r="O7" s="203">
        <v>128</v>
      </c>
      <c r="P7" s="9">
        <f t="array" ref="P7">IFERROR(O7/G7*100,0)</f>
        <v>4.0855410150015956</v>
      </c>
      <c r="Q7" s="203">
        <v>5</v>
      </c>
      <c r="R7" s="9">
        <f t="shared" si="4"/>
        <v>3.90625</v>
      </c>
      <c r="S7" s="8" t="str">
        <f t="array" ref="S7">IF(R7&gt;5,"Perlu Sensus",IF(AND(R7&gt;=0,O7&gt;0),"Tetap Deteksi","Belum Deteksi"))</f>
        <v>Tetap Deteksi</v>
      </c>
      <c r="T7" s="203">
        <v>3</v>
      </c>
      <c r="U7" s="9">
        <f t="shared" ref="U7:U70" si="11">IFERROR(T7/O7*100,0)</f>
        <v>2.34375</v>
      </c>
      <c r="V7" s="132">
        <v>46235</v>
      </c>
      <c r="W7" s="203">
        <v>193</v>
      </c>
      <c r="X7" s="203">
        <v>2</v>
      </c>
      <c r="Y7" s="9">
        <f t="shared" si="5"/>
        <v>1.0362694300518136</v>
      </c>
      <c r="Z7" s="8" t="str">
        <f t="array" ref="Z7">IF(Y7&gt;5,"Perlu Sensus",IF(AND(Y7&gt;0,,O7&gt;0),"Tetap Deteksi","Belum Deteksi"))</f>
        <v>Belum Deteksi</v>
      </c>
    </row>
    <row r="8" spans="1:26" outlineLevel="1" x14ac:dyDescent="0.15">
      <c r="A8" s="8" t="s">
        <v>1043</v>
      </c>
      <c r="B8" s="8">
        <v>1</v>
      </c>
      <c r="C8" s="8">
        <v>1</v>
      </c>
      <c r="D8" s="8" t="s">
        <v>1472</v>
      </c>
      <c r="E8" s="9">
        <v>25.01</v>
      </c>
      <c r="F8" s="8" t="s">
        <v>469</v>
      </c>
      <c r="G8" s="10">
        <v>3603</v>
      </c>
      <c r="H8" s="132">
        <f t="shared" si="6"/>
        <v>46239</v>
      </c>
      <c r="I8" s="140">
        <f t="shared" si="7"/>
        <v>226</v>
      </c>
      <c r="J8" s="9">
        <f t="shared" si="8"/>
        <v>6.2725506522342487</v>
      </c>
      <c r="K8" s="140">
        <f t="shared" si="9"/>
        <v>6</v>
      </c>
      <c r="L8" s="206">
        <f t="shared" si="10"/>
        <v>2.6548672566371683</v>
      </c>
      <c r="M8" s="8" t="str">
        <f t="array" ref="M8">IF(L8&gt;5,"Perlu Sensus",IF(AND(L8&gt;=0,I8&gt;0),"Tetap Deteksi","Belum Deteksi"))</f>
        <v>Tetap Deteksi</v>
      </c>
      <c r="N8" s="132">
        <v>46239</v>
      </c>
      <c r="O8" s="203">
        <v>226</v>
      </c>
      <c r="P8" s="9">
        <f t="array" ref="P8">IFERROR(O8/G8*100,0)</f>
        <v>6.2725506522342487</v>
      </c>
      <c r="Q8" s="203">
        <v>6</v>
      </c>
      <c r="R8" s="9">
        <f t="shared" si="4"/>
        <v>2.6548672566371683</v>
      </c>
      <c r="S8" s="8" t="str">
        <f t="array" ref="S8">IF(R8&gt;5,"Perlu Sensus",IF(AND(R8&gt;=0,O8&gt;0),"Tetap Deteksi","Belum Deteksi"))</f>
        <v>Tetap Deteksi</v>
      </c>
      <c r="T8" s="203">
        <v>5</v>
      </c>
      <c r="U8" s="9">
        <f t="shared" si="11"/>
        <v>2.2123893805309733</v>
      </c>
      <c r="V8" s="132">
        <v>46240</v>
      </c>
      <c r="W8" s="203">
        <v>219</v>
      </c>
      <c r="X8" s="203">
        <v>6</v>
      </c>
      <c r="Y8" s="9">
        <f t="shared" si="5"/>
        <v>2.7397260273972601</v>
      </c>
      <c r="Z8" s="8" t="str">
        <f t="array" ref="Z8">IF(Y8&gt;5,"Perlu Sensus",IF(AND(Y8&gt;0,,O8&gt;0),"Tetap Deteksi","Belum Deteksi"))</f>
        <v>Belum Deteksi</v>
      </c>
    </row>
    <row r="9" spans="1:26" outlineLevel="1" x14ac:dyDescent="0.15">
      <c r="A9" s="8" t="s">
        <v>1043</v>
      </c>
      <c r="B9" s="8">
        <v>1</v>
      </c>
      <c r="C9" s="8">
        <v>1</v>
      </c>
      <c r="D9" s="8" t="s">
        <v>1473</v>
      </c>
      <c r="E9" s="9">
        <v>24.330000000000002</v>
      </c>
      <c r="F9" s="8" t="s">
        <v>469</v>
      </c>
      <c r="G9" s="10">
        <v>3268</v>
      </c>
      <c r="H9" s="132">
        <f t="shared" si="6"/>
        <v>46237</v>
      </c>
      <c r="I9" s="140">
        <f t="shared" si="7"/>
        <v>580</v>
      </c>
      <c r="J9" s="9">
        <f t="shared" si="8"/>
        <v>17.747858017135862</v>
      </c>
      <c r="K9" s="140">
        <f t="shared" si="9"/>
        <v>23</v>
      </c>
      <c r="L9" s="206">
        <f t="shared" si="10"/>
        <v>3.9655172413793105</v>
      </c>
      <c r="M9" s="8" t="str">
        <f t="array" ref="M9">IF(L9&gt;5,"Perlu Sensus",IF(AND(L9&gt;=0,I9&gt;0),"Tetap Deteksi","Belum Deteksi"))</f>
        <v>Tetap Deteksi</v>
      </c>
      <c r="N9" s="132">
        <v>46237</v>
      </c>
      <c r="O9" s="203">
        <v>580</v>
      </c>
      <c r="P9" s="9">
        <f t="array" ref="P9">IFERROR(O9/G9*100,0)</f>
        <v>17.747858017135862</v>
      </c>
      <c r="Q9" s="203">
        <v>23</v>
      </c>
      <c r="R9" s="9">
        <f t="shared" si="4"/>
        <v>3.9655172413793105</v>
      </c>
      <c r="S9" s="8" t="str">
        <f t="array" ref="S9">IF(R9&gt;5,"Perlu Sensus",IF(AND(R9&gt;=0,O9&gt;0),"Tetap Deteksi","Belum Deteksi"))</f>
        <v>Tetap Deteksi</v>
      </c>
      <c r="T9" s="203">
        <v>9</v>
      </c>
      <c r="U9" s="9">
        <f t="shared" si="11"/>
        <v>1.5517241379310345</v>
      </c>
      <c r="V9" s="132">
        <v>46237</v>
      </c>
      <c r="W9" s="203">
        <v>1318</v>
      </c>
      <c r="X9" s="203">
        <v>16</v>
      </c>
      <c r="Y9" s="9">
        <f t="shared" si="5"/>
        <v>1.2139605462822458</v>
      </c>
      <c r="Z9" s="8" t="str">
        <f t="array" ref="Z9">IF(Y9&gt;5,"Perlu Sensus",IF(AND(Y9&gt;0,,O9&gt;0),"Tetap Deteksi","Belum Deteksi"))</f>
        <v>Belum Deteksi</v>
      </c>
    </row>
    <row r="10" spans="1:26" outlineLevel="1" x14ac:dyDescent="0.15">
      <c r="A10" s="8" t="s">
        <v>1043</v>
      </c>
      <c r="B10" s="8">
        <v>1</v>
      </c>
      <c r="C10" s="8">
        <v>1</v>
      </c>
      <c r="D10" s="8" t="s">
        <v>1474</v>
      </c>
      <c r="E10" s="9">
        <v>35.15</v>
      </c>
      <c r="F10" s="8" t="s">
        <v>469</v>
      </c>
      <c r="G10" s="10">
        <v>3531</v>
      </c>
      <c r="H10" s="132">
        <f t="shared" si="6"/>
        <v>46235</v>
      </c>
      <c r="I10" s="140">
        <f t="shared" si="7"/>
        <v>398</v>
      </c>
      <c r="J10" s="9">
        <f t="shared" si="8"/>
        <v>11.271594449164542</v>
      </c>
      <c r="K10" s="140">
        <f t="shared" si="9"/>
        <v>9</v>
      </c>
      <c r="L10" s="206">
        <f t="shared" si="10"/>
        <v>2.2613065326633168</v>
      </c>
      <c r="M10" s="8" t="str">
        <f t="array" ref="M10">IF(L10&gt;5,"Perlu Sensus",IF(AND(L10&gt;=0,I10&gt;0),"Tetap Deteksi","Belum Deteksi"))</f>
        <v>Tetap Deteksi</v>
      </c>
      <c r="N10" s="132">
        <v>46235</v>
      </c>
      <c r="O10" s="203">
        <v>398</v>
      </c>
      <c r="P10" s="9">
        <f t="array" ref="P10">IFERROR(O10/G10*100,0)</f>
        <v>11.271594449164542</v>
      </c>
      <c r="Q10" s="203">
        <v>9</v>
      </c>
      <c r="R10" s="9">
        <f t="shared" si="4"/>
        <v>2.2613065326633168</v>
      </c>
      <c r="S10" s="8" t="str">
        <f t="array" ref="S10">IF(R10&gt;5,"Perlu Sensus",IF(AND(R10&gt;=0,O10&gt;0),"Tetap Deteksi","Belum Deteksi"))</f>
        <v>Tetap Deteksi</v>
      </c>
      <c r="T10" s="203">
        <v>15</v>
      </c>
      <c r="U10" s="9">
        <f t="shared" si="11"/>
        <v>3.7688442211055273</v>
      </c>
      <c r="V10" s="132">
        <v>46235</v>
      </c>
      <c r="W10" s="203">
        <v>176</v>
      </c>
      <c r="X10" s="203">
        <v>5</v>
      </c>
      <c r="Y10" s="9">
        <f t="shared" si="5"/>
        <v>2.8409090909090908</v>
      </c>
      <c r="Z10" s="8" t="str">
        <f t="array" ref="Z10">IF(Y10&gt;5,"Perlu Sensus",IF(AND(Y10&gt;0,,O10&gt;0),"Tetap Deteksi","Belum Deteksi"))</f>
        <v>Belum Deteksi</v>
      </c>
    </row>
    <row r="11" spans="1:26" outlineLevel="1" x14ac:dyDescent="0.15">
      <c r="A11" s="8" t="s">
        <v>1043</v>
      </c>
      <c r="B11" s="8">
        <v>1</v>
      </c>
      <c r="C11" s="8">
        <v>1</v>
      </c>
      <c r="D11" s="8" t="s">
        <v>1475</v>
      </c>
      <c r="E11" s="9">
        <v>33.14</v>
      </c>
      <c r="F11" s="8" t="s">
        <v>469</v>
      </c>
      <c r="G11" s="10">
        <v>3515</v>
      </c>
      <c r="H11" s="132">
        <f t="shared" si="6"/>
        <v>46246</v>
      </c>
      <c r="I11" s="140">
        <f t="shared" si="7"/>
        <v>123</v>
      </c>
      <c r="J11" s="9">
        <f t="shared" si="8"/>
        <v>3.4992887624466569</v>
      </c>
      <c r="K11" s="140">
        <f t="shared" si="9"/>
        <v>4</v>
      </c>
      <c r="L11" s="206">
        <f t="shared" si="10"/>
        <v>3.2520325203252036</v>
      </c>
      <c r="M11" s="8" t="str">
        <f t="array" ref="M11">IF(L11&gt;5,"Perlu Sensus",IF(AND(L11&gt;=0,I11&gt;0),"Tetap Deteksi","Belum Deteksi"))</f>
        <v>Tetap Deteksi</v>
      </c>
      <c r="N11" s="132">
        <v>46246</v>
      </c>
      <c r="O11" s="203">
        <v>123</v>
      </c>
      <c r="P11" s="9">
        <f t="array" ref="P11">IFERROR(O11/G11*100,0)</f>
        <v>3.4992887624466569</v>
      </c>
      <c r="Q11" s="203">
        <v>4</v>
      </c>
      <c r="R11" s="9">
        <f t="shared" si="4"/>
        <v>3.2520325203252036</v>
      </c>
      <c r="S11" s="8" t="str">
        <f t="array" ref="S11">IF(R11&gt;5,"Perlu Sensus",IF(AND(R11&gt;=0,O11&gt;0),"Tetap Deteksi","Belum Deteksi"))</f>
        <v>Tetap Deteksi</v>
      </c>
      <c r="T11" s="203">
        <v>2</v>
      </c>
      <c r="U11" s="9">
        <f t="shared" si="11"/>
        <v>1.6260162601626018</v>
      </c>
      <c r="V11" s="132">
        <v>46243</v>
      </c>
      <c r="W11" s="203">
        <v>197</v>
      </c>
      <c r="X11" s="203">
        <v>1</v>
      </c>
      <c r="Y11" s="9">
        <f t="shared" si="5"/>
        <v>0.50761421319796951</v>
      </c>
      <c r="Z11" s="8" t="str">
        <f t="array" ref="Z11">IF(Y11&gt;5,"Perlu Sensus",IF(AND(Y11&gt;0,,O11&gt;0),"Tetap Deteksi","Belum Deteksi"))</f>
        <v>Belum Deteksi</v>
      </c>
    </row>
    <row r="12" spans="1:26" outlineLevel="1" x14ac:dyDescent="0.15">
      <c r="A12" s="8" t="s">
        <v>1043</v>
      </c>
      <c r="B12" s="8">
        <v>1</v>
      </c>
      <c r="C12" s="8">
        <v>1</v>
      </c>
      <c r="D12" s="8" t="s">
        <v>1476</v>
      </c>
      <c r="E12" s="9">
        <v>36.089999999999996</v>
      </c>
      <c r="F12" s="8" t="s">
        <v>469</v>
      </c>
      <c r="G12" s="10">
        <v>5133</v>
      </c>
      <c r="H12" s="132">
        <f t="shared" si="6"/>
        <v>46237</v>
      </c>
      <c r="I12" s="140">
        <f t="shared" si="7"/>
        <v>266</v>
      </c>
      <c r="J12" s="9">
        <f t="shared" si="8"/>
        <v>5.1821546853691798</v>
      </c>
      <c r="K12" s="140">
        <f t="shared" si="9"/>
        <v>4</v>
      </c>
      <c r="L12" s="206">
        <f t="shared" si="10"/>
        <v>1.5037593984962405</v>
      </c>
      <c r="M12" s="8" t="str">
        <f t="array" ref="M12">IF(L12&gt;5,"Perlu Sensus",IF(AND(L12&gt;=0,I12&gt;0),"Tetap Deteksi","Belum Deteksi"))</f>
        <v>Tetap Deteksi</v>
      </c>
      <c r="N12" s="132">
        <v>46237</v>
      </c>
      <c r="O12" s="203">
        <v>266</v>
      </c>
      <c r="P12" s="9">
        <f t="array" ref="P12">IFERROR(O12/G12*100,0)</f>
        <v>5.1821546853691798</v>
      </c>
      <c r="Q12" s="203">
        <v>4</v>
      </c>
      <c r="R12" s="9">
        <f t="shared" si="4"/>
        <v>1.5037593984962405</v>
      </c>
      <c r="S12" s="8" t="str">
        <f t="array" ref="S12">IF(R12&gt;5,"Perlu Sensus",IF(AND(R12&gt;=0,O12&gt;0),"Tetap Deteksi","Belum Deteksi"))</f>
        <v>Tetap Deteksi</v>
      </c>
      <c r="T12" s="203">
        <v>3</v>
      </c>
      <c r="U12" s="9">
        <f t="shared" si="11"/>
        <v>1.1278195488721803</v>
      </c>
      <c r="V12" s="132">
        <v>46238</v>
      </c>
      <c r="W12" s="203">
        <v>291</v>
      </c>
      <c r="X12" s="203">
        <v>9.9999999999999995E-8</v>
      </c>
      <c r="Y12" s="9">
        <f t="shared" si="5"/>
        <v>3.4364261168384879E-8</v>
      </c>
      <c r="Z12" s="8" t="str">
        <f t="array" ref="Z12">IF(Y12&gt;5,"Perlu Sensus",IF(AND(Y12&gt;0,,O12&gt;0),"Tetap Deteksi","Belum Deteksi"))</f>
        <v>Belum Deteksi</v>
      </c>
    </row>
    <row r="13" spans="1:26" outlineLevel="1" x14ac:dyDescent="0.15">
      <c r="A13" s="8" t="s">
        <v>1043</v>
      </c>
      <c r="B13" s="8">
        <v>1</v>
      </c>
      <c r="C13" s="8">
        <v>1</v>
      </c>
      <c r="D13" s="8" t="s">
        <v>1477</v>
      </c>
      <c r="E13" s="9">
        <v>25.69</v>
      </c>
      <c r="F13" s="8" t="s">
        <v>469</v>
      </c>
      <c r="G13" s="10">
        <v>3560</v>
      </c>
      <c r="H13" s="132">
        <f t="shared" si="6"/>
        <v>46238</v>
      </c>
      <c r="I13" s="140">
        <f t="shared" si="7"/>
        <v>217</v>
      </c>
      <c r="J13" s="9">
        <f t="shared" si="8"/>
        <v>6.095505617977528</v>
      </c>
      <c r="K13" s="140">
        <f t="shared" si="9"/>
        <v>4</v>
      </c>
      <c r="L13" s="206">
        <f t="shared" si="10"/>
        <v>1.8433179723502304</v>
      </c>
      <c r="M13" s="8" t="str">
        <f t="array" ref="M13">IF(L13&gt;5,"Perlu Sensus",IF(AND(L13&gt;=0,I13&gt;0),"Tetap Deteksi","Belum Deteksi"))</f>
        <v>Tetap Deteksi</v>
      </c>
      <c r="N13" s="132">
        <v>46238</v>
      </c>
      <c r="O13" s="203">
        <v>217</v>
      </c>
      <c r="P13" s="9">
        <f t="array" ref="P13">IFERROR(O13/G13*100,0)</f>
        <v>6.095505617977528</v>
      </c>
      <c r="Q13" s="203">
        <v>4</v>
      </c>
      <c r="R13" s="9">
        <f t="shared" si="4"/>
        <v>1.8433179723502304</v>
      </c>
      <c r="S13" s="8" t="str">
        <f t="array" ref="S13">IF(R13&gt;5,"Perlu Sensus",IF(AND(R13&gt;=0,O13&gt;0),"Tetap Deteksi","Belum Deteksi"))</f>
        <v>Tetap Deteksi</v>
      </c>
      <c r="T13" s="203">
        <v>0</v>
      </c>
      <c r="U13" s="9">
        <f t="shared" si="11"/>
        <v>0</v>
      </c>
      <c r="V13" s="132">
        <v>46239</v>
      </c>
      <c r="W13" s="203">
        <v>203</v>
      </c>
      <c r="X13" s="203">
        <v>7</v>
      </c>
      <c r="Y13" s="9">
        <f t="shared" si="5"/>
        <v>3.4482758620689653</v>
      </c>
      <c r="Z13" s="8" t="str">
        <f t="array" ref="Z13">IF(Y13&gt;5,"Perlu Sensus",IF(AND(Y13&gt;0,,O13&gt;0),"Tetap Deteksi","Belum Deteksi"))</f>
        <v>Belum Deteksi</v>
      </c>
    </row>
    <row r="14" spans="1:26" outlineLevel="1" x14ac:dyDescent="0.15">
      <c r="A14" s="8" t="s">
        <v>1043</v>
      </c>
      <c r="B14" s="8">
        <v>1</v>
      </c>
      <c r="C14" s="8">
        <v>1</v>
      </c>
      <c r="D14" s="8" t="s">
        <v>1478</v>
      </c>
      <c r="E14" s="9">
        <v>25.31</v>
      </c>
      <c r="F14" s="8" t="s">
        <v>469</v>
      </c>
      <c r="G14" s="10">
        <v>3498</v>
      </c>
      <c r="H14" s="132">
        <f t="shared" si="6"/>
        <v>46237</v>
      </c>
      <c r="I14" s="140">
        <f t="shared" si="7"/>
        <v>212</v>
      </c>
      <c r="J14" s="9">
        <f t="shared" si="8"/>
        <v>6.0606060606060606</v>
      </c>
      <c r="K14" s="140">
        <f t="shared" si="9"/>
        <v>4</v>
      </c>
      <c r="L14" s="206">
        <f t="shared" si="10"/>
        <v>1.8867924528301887</v>
      </c>
      <c r="M14" s="8" t="str">
        <f t="array" ref="M14">IF(L14&gt;5,"Perlu Sensus",IF(AND(L14&gt;=0,I14&gt;0),"Tetap Deteksi","Belum Deteksi"))</f>
        <v>Tetap Deteksi</v>
      </c>
      <c r="N14" s="132">
        <v>46237</v>
      </c>
      <c r="O14" s="203">
        <v>212</v>
      </c>
      <c r="P14" s="9">
        <f t="array" ref="P14">IFERROR(O14/G14*100,0)</f>
        <v>6.0606060606060606</v>
      </c>
      <c r="Q14" s="203">
        <v>4</v>
      </c>
      <c r="R14" s="9">
        <f t="shared" si="4"/>
        <v>1.8867924528301887</v>
      </c>
      <c r="S14" s="8" t="str">
        <f t="array" ref="S14">IF(R14&gt;5,"Perlu Sensus",IF(AND(R14&gt;=0,O14&gt;0),"Tetap Deteksi","Belum Deteksi"))</f>
        <v>Tetap Deteksi</v>
      </c>
      <c r="T14" s="203">
        <v>4</v>
      </c>
      <c r="U14" s="9">
        <f t="shared" si="11"/>
        <v>1.8867924528301887</v>
      </c>
      <c r="V14" s="132">
        <v>46235</v>
      </c>
      <c r="W14" s="203">
        <v>1033</v>
      </c>
      <c r="X14" s="203">
        <v>13</v>
      </c>
      <c r="Y14" s="9">
        <f t="shared" si="5"/>
        <v>1.2584704743465636</v>
      </c>
      <c r="Z14" s="8" t="str">
        <f t="array" ref="Z14">IF(Y14&gt;5,"Perlu Sensus",IF(AND(Y14&gt;0,,O14&gt;0),"Tetap Deteksi","Belum Deteksi"))</f>
        <v>Belum Deteksi</v>
      </c>
    </row>
    <row r="15" spans="1:26" outlineLevel="1" x14ac:dyDescent="0.15">
      <c r="A15" s="8" t="s">
        <v>1043</v>
      </c>
      <c r="B15" s="8">
        <v>1</v>
      </c>
      <c r="C15" s="8">
        <v>1</v>
      </c>
      <c r="D15" s="8" t="s">
        <v>1479</v>
      </c>
      <c r="E15" s="9">
        <v>35.729999999999997</v>
      </c>
      <c r="F15" s="8" t="s">
        <v>469</v>
      </c>
      <c r="G15" s="10">
        <v>4598</v>
      </c>
      <c r="H15" s="132">
        <f t="shared" si="6"/>
        <v>46238</v>
      </c>
      <c r="I15" s="140">
        <f t="shared" si="7"/>
        <v>233</v>
      </c>
      <c r="J15" s="9">
        <f t="shared" si="8"/>
        <v>5.0674206176598524</v>
      </c>
      <c r="K15" s="140">
        <f t="shared" si="9"/>
        <v>4</v>
      </c>
      <c r="L15" s="206">
        <f t="shared" si="10"/>
        <v>1.7167381974248928</v>
      </c>
      <c r="M15" s="8" t="str">
        <f t="array" ref="M15">IF(L15&gt;5,"Perlu Sensus",IF(AND(L15&gt;=0,I15&gt;0),"Tetap Deteksi","Belum Deteksi"))</f>
        <v>Tetap Deteksi</v>
      </c>
      <c r="N15" s="132">
        <v>46238</v>
      </c>
      <c r="O15" s="203">
        <v>233</v>
      </c>
      <c r="P15" s="9">
        <f t="array" ref="P15">IFERROR(O15/G15*100,0)</f>
        <v>5.0674206176598524</v>
      </c>
      <c r="Q15" s="203">
        <v>4</v>
      </c>
      <c r="R15" s="9">
        <f t="shared" si="4"/>
        <v>1.7167381974248928</v>
      </c>
      <c r="S15" s="8" t="str">
        <f t="array" ref="S15">IF(R15&gt;5,"Perlu Sensus",IF(AND(R15&gt;=0,O15&gt;0),"Tetap Deteksi","Belum Deteksi"))</f>
        <v>Tetap Deteksi</v>
      </c>
      <c r="T15" s="203">
        <v>0</v>
      </c>
      <c r="U15" s="9">
        <f t="shared" si="11"/>
        <v>0</v>
      </c>
      <c r="V15" s="132">
        <v>46235</v>
      </c>
      <c r="W15" s="203">
        <v>245</v>
      </c>
      <c r="X15" s="203">
        <v>7</v>
      </c>
      <c r="Y15" s="9">
        <f t="shared" si="5"/>
        <v>2.8571428571428572</v>
      </c>
      <c r="Z15" s="8" t="str">
        <f t="array" ref="Z15">IF(Y15&gt;5,"Perlu Sensus",IF(AND(Y15&gt;0,,O15&gt;0),"Tetap Deteksi","Belum Deteksi"))</f>
        <v>Belum Deteksi</v>
      </c>
    </row>
    <row r="16" spans="1:26" outlineLevel="1" x14ac:dyDescent="0.15">
      <c r="A16" s="8" t="s">
        <v>1043</v>
      </c>
      <c r="B16" s="8">
        <v>1</v>
      </c>
      <c r="C16" s="8">
        <v>1</v>
      </c>
      <c r="D16" s="8" t="s">
        <v>1480</v>
      </c>
      <c r="E16" s="9">
        <v>37.360000000000007</v>
      </c>
      <c r="F16" s="8" t="s">
        <v>469</v>
      </c>
      <c r="G16" s="10">
        <v>4188</v>
      </c>
      <c r="H16" s="132">
        <f t="shared" si="6"/>
        <v>46244</v>
      </c>
      <c r="I16" s="140">
        <f t="shared" si="7"/>
        <v>268</v>
      </c>
      <c r="J16" s="9">
        <f t="shared" si="8"/>
        <v>6.3992359121298952</v>
      </c>
      <c r="K16" s="140">
        <f t="shared" si="9"/>
        <v>8</v>
      </c>
      <c r="L16" s="206">
        <f t="shared" si="10"/>
        <v>2.9850746268656714</v>
      </c>
      <c r="M16" s="8" t="str">
        <f t="array" ref="M16">IF(L16&gt;5,"Perlu Sensus",IF(AND(L16&gt;=0,I16&gt;0),"Tetap Deteksi","Belum Deteksi"))</f>
        <v>Tetap Deteksi</v>
      </c>
      <c r="N16" s="132">
        <v>46244</v>
      </c>
      <c r="O16" s="203">
        <v>268</v>
      </c>
      <c r="P16" s="9">
        <f t="array" ref="P16">IFERROR(O16/G16*100,0)</f>
        <v>6.3992359121298952</v>
      </c>
      <c r="Q16" s="203">
        <v>8</v>
      </c>
      <c r="R16" s="9">
        <f t="shared" si="4"/>
        <v>2.9850746268656714</v>
      </c>
      <c r="S16" s="8" t="str">
        <f t="array" ref="S16">IF(R16&gt;5,"Perlu Sensus",IF(AND(R16&gt;=0,O16&gt;0),"Tetap Deteksi","Belum Deteksi"))</f>
        <v>Tetap Deteksi</v>
      </c>
      <c r="T16" s="203">
        <v>5</v>
      </c>
      <c r="U16" s="9">
        <f t="shared" si="11"/>
        <v>1.8656716417910446</v>
      </c>
      <c r="V16" s="132">
        <v>46235</v>
      </c>
      <c r="W16" s="203">
        <v>256</v>
      </c>
      <c r="X16" s="203">
        <v>2</v>
      </c>
      <c r="Y16" s="9">
        <f t="shared" si="5"/>
        <v>0.78125</v>
      </c>
      <c r="Z16" s="8" t="str">
        <f t="array" ref="Z16">IF(Y16&gt;5,"Perlu Sensus",IF(AND(Y16&gt;0,,O16&gt;0),"Tetap Deteksi","Belum Deteksi"))</f>
        <v>Belum Deteksi</v>
      </c>
    </row>
    <row r="17" spans="1:26" outlineLevel="1" x14ac:dyDescent="0.15">
      <c r="A17" s="8" t="s">
        <v>1043</v>
      </c>
      <c r="B17" s="8">
        <v>1</v>
      </c>
      <c r="C17" s="8">
        <v>1</v>
      </c>
      <c r="D17" s="8" t="s">
        <v>1481</v>
      </c>
      <c r="E17" s="9">
        <v>25.160000000000004</v>
      </c>
      <c r="F17" s="8" t="s">
        <v>469</v>
      </c>
      <c r="G17" s="10">
        <v>3174</v>
      </c>
      <c r="H17" s="132">
        <f t="shared" si="6"/>
        <v>46235</v>
      </c>
      <c r="I17" s="140">
        <f t="shared" si="7"/>
        <v>149</v>
      </c>
      <c r="J17" s="9">
        <f t="shared" si="8"/>
        <v>4.6943919344675491</v>
      </c>
      <c r="K17" s="140">
        <f t="shared" si="9"/>
        <v>4</v>
      </c>
      <c r="L17" s="206">
        <f t="shared" si="10"/>
        <v>2.6845637583892619</v>
      </c>
      <c r="M17" s="8" t="str">
        <f t="array" ref="M17">IF(L17&gt;5,"Perlu Sensus",IF(AND(L17&gt;=0,I17&gt;0),"Tetap Deteksi","Belum Deteksi"))</f>
        <v>Tetap Deteksi</v>
      </c>
      <c r="N17" s="132">
        <v>46235</v>
      </c>
      <c r="O17" s="203">
        <v>149</v>
      </c>
      <c r="P17" s="9">
        <f t="array" ref="P17">IFERROR(O17/G17*100,0)</f>
        <v>4.6943919344675491</v>
      </c>
      <c r="Q17" s="203">
        <v>4</v>
      </c>
      <c r="R17" s="9">
        <f t="shared" si="4"/>
        <v>2.6845637583892619</v>
      </c>
      <c r="S17" s="8" t="str">
        <f t="array" ref="S17">IF(R17&gt;5,"Perlu Sensus",IF(AND(R17&gt;=0,O17&gt;0),"Tetap Deteksi","Belum Deteksi"))</f>
        <v>Tetap Deteksi</v>
      </c>
      <c r="T17" s="203">
        <v>0</v>
      </c>
      <c r="U17" s="9">
        <f t="shared" si="11"/>
        <v>0</v>
      </c>
      <c r="V17" s="132">
        <v>46235</v>
      </c>
      <c r="W17" s="203">
        <v>159</v>
      </c>
      <c r="X17" s="203">
        <v>5</v>
      </c>
      <c r="Y17" s="9">
        <f t="shared" si="5"/>
        <v>3.1446540880503147</v>
      </c>
      <c r="Z17" s="8" t="str">
        <f t="array" ref="Z17">IF(Y17&gt;5,"Perlu Sensus",IF(AND(Y17&gt;0,,O17&gt;0),"Tetap Deteksi","Belum Deteksi"))</f>
        <v>Belum Deteksi</v>
      </c>
    </row>
    <row r="18" spans="1:26" outlineLevel="1" x14ac:dyDescent="0.15">
      <c r="A18" s="8" t="s">
        <v>1043</v>
      </c>
      <c r="B18" s="8">
        <v>1</v>
      </c>
      <c r="C18" s="8">
        <v>1</v>
      </c>
      <c r="D18" s="8" t="s">
        <v>1482</v>
      </c>
      <c r="E18" s="9">
        <v>38.800000000000004</v>
      </c>
      <c r="F18" s="8" t="s">
        <v>469</v>
      </c>
      <c r="G18" s="10">
        <v>4963</v>
      </c>
      <c r="H18" s="132">
        <f t="shared" si="6"/>
        <v>46242</v>
      </c>
      <c r="I18" s="140">
        <f t="shared" si="7"/>
        <v>131</v>
      </c>
      <c r="J18" s="9">
        <f t="shared" si="8"/>
        <v>2.6395325408019343</v>
      </c>
      <c r="K18" s="140">
        <f t="shared" si="9"/>
        <v>4</v>
      </c>
      <c r="L18" s="206">
        <f t="shared" si="10"/>
        <v>3.0534351145038165</v>
      </c>
      <c r="M18" s="8" t="str">
        <f t="array" ref="M18">IF(L18&gt;5,"Perlu Sensus",IF(AND(L18&gt;=0,I18&gt;0),"Tetap Deteksi","Belum Deteksi"))</f>
        <v>Tetap Deteksi</v>
      </c>
      <c r="N18" s="132">
        <v>46242</v>
      </c>
      <c r="O18" s="203">
        <v>131</v>
      </c>
      <c r="P18" s="9">
        <f t="array" ref="P18">IFERROR(O18/G18*100,0)</f>
        <v>2.6395325408019343</v>
      </c>
      <c r="Q18" s="203">
        <v>4</v>
      </c>
      <c r="R18" s="9">
        <f t="shared" si="4"/>
        <v>3.0534351145038165</v>
      </c>
      <c r="S18" s="8" t="str">
        <f t="array" ref="S18">IF(R18&gt;5,"Perlu Sensus",IF(AND(R18&gt;=0,O18&gt;0),"Tetap Deteksi","Belum Deteksi"))</f>
        <v>Tetap Deteksi</v>
      </c>
      <c r="T18" s="203">
        <v>5</v>
      </c>
      <c r="U18" s="9">
        <f t="shared" si="11"/>
        <v>3.8167938931297711</v>
      </c>
      <c r="V18" s="132">
        <v>46235</v>
      </c>
      <c r="W18" s="203">
        <v>256</v>
      </c>
      <c r="X18" s="203">
        <v>8</v>
      </c>
      <c r="Y18" s="9">
        <f t="shared" si="5"/>
        <v>3.125</v>
      </c>
      <c r="Z18" s="8" t="str">
        <f t="array" ref="Z18">IF(Y18&gt;5,"Perlu Sensus",IF(AND(Y18&gt;0,,O18&gt;0),"Tetap Deteksi","Belum Deteksi"))</f>
        <v>Belum Deteksi</v>
      </c>
    </row>
    <row r="19" spans="1:26" outlineLevel="1" x14ac:dyDescent="0.15">
      <c r="A19" s="8" t="s">
        <v>1043</v>
      </c>
      <c r="B19" s="8">
        <v>1</v>
      </c>
      <c r="C19" s="8">
        <v>1</v>
      </c>
      <c r="D19" s="8" t="s">
        <v>1483</v>
      </c>
      <c r="E19" s="9">
        <v>28.92</v>
      </c>
      <c r="F19" s="8" t="s">
        <v>469</v>
      </c>
      <c r="G19" s="10">
        <v>2965</v>
      </c>
      <c r="H19" s="132">
        <f t="shared" si="6"/>
        <v>46240</v>
      </c>
      <c r="I19" s="140">
        <f t="shared" si="7"/>
        <v>247</v>
      </c>
      <c r="J19" s="9">
        <f t="shared" si="8"/>
        <v>8.3305227655986513</v>
      </c>
      <c r="K19" s="140">
        <f t="shared" si="9"/>
        <v>8</v>
      </c>
      <c r="L19" s="206">
        <f t="shared" si="10"/>
        <v>3.2388663967611335</v>
      </c>
      <c r="M19" s="8" t="str">
        <f t="array" ref="M19">IF(L19&gt;5,"Perlu Sensus",IF(AND(L19&gt;=0,I19&gt;0),"Tetap Deteksi","Belum Deteksi"))</f>
        <v>Tetap Deteksi</v>
      </c>
      <c r="N19" s="132">
        <v>46240</v>
      </c>
      <c r="O19" s="203">
        <v>247</v>
      </c>
      <c r="P19" s="9">
        <f t="array" ref="P19">IFERROR(O19/G19*100,0)</f>
        <v>8.3305227655986513</v>
      </c>
      <c r="Q19" s="203">
        <v>8</v>
      </c>
      <c r="R19" s="9">
        <f>IFERROR(Q19/O19*100,0)</f>
        <v>3.2388663967611335</v>
      </c>
      <c r="S19" s="8" t="str">
        <f t="array" ref="S19">IF(R19&gt;5,"Perlu Sensus",IF(AND(R19&gt;=0,O19&gt;0),"Tetap Deteksi","Belum Deteksi"))</f>
        <v>Tetap Deteksi</v>
      </c>
      <c r="T19" s="203">
        <v>9</v>
      </c>
      <c r="U19" s="9">
        <f t="shared" si="11"/>
        <v>3.6437246963562751</v>
      </c>
      <c r="V19" s="132">
        <v>46235</v>
      </c>
      <c r="W19" s="203">
        <v>184</v>
      </c>
      <c r="X19" s="203">
        <v>1</v>
      </c>
      <c r="Y19" s="9">
        <f t="shared" si="5"/>
        <v>0.54347826086956519</v>
      </c>
      <c r="Z19" s="8" t="str">
        <f t="array" ref="Z19">IF(Y19&gt;5,"Perlu Sensus",IF(AND(Y19&gt;0,,O19&gt;0),"Tetap Deteksi","Belum Deteksi"))</f>
        <v>Belum Deteksi</v>
      </c>
    </row>
    <row r="20" spans="1:26" outlineLevel="1" x14ac:dyDescent="0.15">
      <c r="A20" s="8" t="s">
        <v>1043</v>
      </c>
      <c r="B20" s="8">
        <v>1</v>
      </c>
      <c r="C20" s="8">
        <v>1</v>
      </c>
      <c r="D20" s="8" t="s">
        <v>1484</v>
      </c>
      <c r="E20" s="9">
        <v>36.229999999999997</v>
      </c>
      <c r="F20" s="8" t="s">
        <v>469</v>
      </c>
      <c r="G20" s="10">
        <v>4587</v>
      </c>
      <c r="H20" s="132">
        <f t="shared" si="6"/>
        <v>46241</v>
      </c>
      <c r="I20" s="140">
        <f t="shared" si="7"/>
        <v>319</v>
      </c>
      <c r="J20" s="9">
        <f t="shared" si="8"/>
        <v>6.9544364508393279</v>
      </c>
      <c r="K20" s="140">
        <f t="shared" si="9"/>
        <v>7</v>
      </c>
      <c r="L20" s="206">
        <f t="shared" si="10"/>
        <v>2.1943573667711598</v>
      </c>
      <c r="M20" s="8" t="str">
        <f t="array" ref="M20">IF(L20&gt;5,"Perlu Sensus",IF(AND(L20&gt;=0,I20&gt;0),"Tetap Deteksi","Belum Deteksi"))</f>
        <v>Tetap Deteksi</v>
      </c>
      <c r="N20" s="132">
        <v>46241</v>
      </c>
      <c r="O20" s="203">
        <v>319</v>
      </c>
      <c r="P20" s="9">
        <f t="array" ref="P20">IFERROR(O20/G20*100,0)</f>
        <v>6.9544364508393279</v>
      </c>
      <c r="Q20" s="203">
        <v>7</v>
      </c>
      <c r="R20" s="9">
        <f t="shared" ref="R20:R83" si="12">IFERROR(Q20/O20*100,0)</f>
        <v>2.1943573667711598</v>
      </c>
      <c r="S20" s="8" t="str">
        <f t="array" ref="S20">IF(R20&gt;5,"Perlu Sensus",IF(AND(R20&gt;=0,O20&gt;0),"Tetap Deteksi","Belum Deteksi"))</f>
        <v>Tetap Deteksi</v>
      </c>
      <c r="T20" s="203">
        <v>9</v>
      </c>
      <c r="U20" s="9">
        <f t="shared" si="11"/>
        <v>2.8213166144200628</v>
      </c>
      <c r="V20" s="132">
        <v>46235</v>
      </c>
      <c r="W20" s="203">
        <v>269</v>
      </c>
      <c r="X20" s="203">
        <v>7</v>
      </c>
      <c r="Y20" s="9">
        <f t="shared" si="5"/>
        <v>2.6022304832713754</v>
      </c>
      <c r="Z20" s="8" t="str">
        <f t="array" ref="Z20">IF(Y20&gt;5,"Perlu Sensus",IF(AND(Y20&gt;0,,O20&gt;0),"Tetap Deteksi","Belum Deteksi"))</f>
        <v>Belum Deteksi</v>
      </c>
    </row>
    <row r="21" spans="1:26" outlineLevel="1" x14ac:dyDescent="0.15">
      <c r="A21" s="8" t="s">
        <v>1043</v>
      </c>
      <c r="B21" s="8">
        <v>1</v>
      </c>
      <c r="C21" s="8">
        <v>1</v>
      </c>
      <c r="D21" s="8" t="s">
        <v>1485</v>
      </c>
      <c r="E21" s="9">
        <v>34.03</v>
      </c>
      <c r="F21" s="8" t="s">
        <v>469</v>
      </c>
      <c r="G21" s="10">
        <v>4597</v>
      </c>
      <c r="H21" s="132">
        <f t="shared" si="6"/>
        <v>46241</v>
      </c>
      <c r="I21" s="140">
        <f t="shared" si="7"/>
        <v>119</v>
      </c>
      <c r="J21" s="9">
        <f t="shared" si="8"/>
        <v>2.5886447683271698</v>
      </c>
      <c r="K21" s="140">
        <f t="shared" si="9"/>
        <v>3</v>
      </c>
      <c r="L21" s="206">
        <f t="shared" si="10"/>
        <v>2.5210084033613445</v>
      </c>
      <c r="M21" s="8" t="str">
        <f t="array" ref="M21">IF(L21&gt;5,"Perlu Sensus",IF(AND(L21&gt;=0,I21&gt;0),"Tetap Deteksi","Belum Deteksi"))</f>
        <v>Tetap Deteksi</v>
      </c>
      <c r="N21" s="132">
        <v>46241</v>
      </c>
      <c r="O21" s="203">
        <v>119</v>
      </c>
      <c r="P21" s="9">
        <f t="array" ref="P21">IFERROR(O21/G21*100,0)</f>
        <v>2.5886447683271698</v>
      </c>
      <c r="Q21" s="203">
        <v>3</v>
      </c>
      <c r="R21" s="9">
        <f t="shared" si="12"/>
        <v>2.5210084033613445</v>
      </c>
      <c r="S21" s="8" t="str">
        <f t="array" ref="S21">IF(R21&gt;5,"Perlu Sensus",IF(AND(R21&gt;=0,O21&gt;0),"Tetap Deteksi","Belum Deteksi"))</f>
        <v>Tetap Deteksi</v>
      </c>
      <c r="T21" s="203">
        <v>4</v>
      </c>
      <c r="U21" s="9">
        <f t="shared" si="11"/>
        <v>3.3613445378151261</v>
      </c>
      <c r="V21" s="132">
        <v>46235</v>
      </c>
      <c r="W21" s="203">
        <v>798</v>
      </c>
      <c r="X21" s="203">
        <v>12</v>
      </c>
      <c r="Y21" s="9">
        <f t="shared" si="5"/>
        <v>1.5037593984962405</v>
      </c>
      <c r="Z21" s="8" t="str">
        <f t="array" ref="Z21">IF(Y21&gt;5,"Perlu Sensus",IF(AND(Y21&gt;0,,O21&gt;0),"Tetap Deteksi","Belum Deteksi"))</f>
        <v>Belum Deteksi</v>
      </c>
    </row>
    <row r="22" spans="1:26" outlineLevel="1" x14ac:dyDescent="0.15">
      <c r="A22" s="8" t="s">
        <v>1043</v>
      </c>
      <c r="B22" s="8">
        <v>1</v>
      </c>
      <c r="C22" s="8">
        <v>1</v>
      </c>
      <c r="D22" s="8" t="s">
        <v>1486</v>
      </c>
      <c r="E22" s="9">
        <v>44.44</v>
      </c>
      <c r="F22" s="8" t="s">
        <v>469</v>
      </c>
      <c r="G22" s="10">
        <v>5892</v>
      </c>
      <c r="H22" s="132">
        <f t="shared" si="6"/>
        <v>46239</v>
      </c>
      <c r="I22" s="140">
        <f t="shared" si="7"/>
        <v>314</v>
      </c>
      <c r="J22" s="9">
        <f t="shared" si="8"/>
        <v>5.3292600135777324</v>
      </c>
      <c r="K22" s="140">
        <f t="shared" si="9"/>
        <v>8</v>
      </c>
      <c r="L22" s="206">
        <f t="shared" si="10"/>
        <v>2.547770700636943</v>
      </c>
      <c r="M22" s="8" t="str">
        <f t="array" ref="M22">IF(L22&gt;5,"Perlu Sensus",IF(AND(L22&gt;=0,I22&gt;0),"Tetap Deteksi","Belum Deteksi"))</f>
        <v>Tetap Deteksi</v>
      </c>
      <c r="N22" s="132">
        <v>46239</v>
      </c>
      <c r="O22" s="203">
        <v>314</v>
      </c>
      <c r="P22" s="9">
        <f t="array" ref="P22">IFERROR(O22/G22*100,0)</f>
        <v>5.3292600135777324</v>
      </c>
      <c r="Q22" s="203">
        <v>8</v>
      </c>
      <c r="R22" s="9">
        <f t="shared" si="12"/>
        <v>2.547770700636943</v>
      </c>
      <c r="S22" s="8" t="str">
        <f t="array" ref="S22">IF(R22&gt;5,"Perlu Sensus",IF(AND(R22&gt;=0,O22&gt;0),"Tetap Deteksi","Belum Deteksi"))</f>
        <v>Tetap Deteksi</v>
      </c>
      <c r="T22" s="203">
        <v>4</v>
      </c>
      <c r="U22" s="9">
        <f t="shared" si="11"/>
        <v>1.2738853503184715</v>
      </c>
      <c r="V22" s="132">
        <v>46235</v>
      </c>
      <c r="W22" s="203">
        <v>678</v>
      </c>
      <c r="X22" s="203">
        <v>9</v>
      </c>
      <c r="Y22" s="9">
        <f t="shared" si="5"/>
        <v>1.3274336283185841</v>
      </c>
      <c r="Z22" s="8" t="str">
        <f t="array" ref="Z22">IF(Y22&gt;5,"Perlu Sensus",IF(AND(Y22&gt;0,,O22&gt;0),"Tetap Deteksi","Belum Deteksi"))</f>
        <v>Belum Deteksi</v>
      </c>
    </row>
    <row r="23" spans="1:26" outlineLevel="1" x14ac:dyDescent="0.15">
      <c r="A23" s="8" t="s">
        <v>1043</v>
      </c>
      <c r="B23" s="8">
        <v>1</v>
      </c>
      <c r="C23" s="8">
        <v>2</v>
      </c>
      <c r="D23" s="8" t="s">
        <v>1487</v>
      </c>
      <c r="E23" s="9">
        <v>24.63</v>
      </c>
      <c r="F23" s="8" t="s">
        <v>469</v>
      </c>
      <c r="G23" s="10">
        <v>3504</v>
      </c>
      <c r="H23" s="132">
        <f t="shared" si="6"/>
        <v>46239</v>
      </c>
      <c r="I23" s="140">
        <f t="shared" si="7"/>
        <v>160</v>
      </c>
      <c r="J23" s="9">
        <f t="shared" si="8"/>
        <v>4.5662100456620998</v>
      </c>
      <c r="K23" s="140">
        <f t="shared" si="9"/>
        <v>4</v>
      </c>
      <c r="L23" s="206">
        <f t="shared" si="10"/>
        <v>2.5</v>
      </c>
      <c r="M23" s="8" t="str">
        <f t="array" ref="M23">IF(L23&gt;5,"Perlu Sensus",IF(AND(L23&gt;=0,I23&gt;0),"Tetap Deteksi","Belum Deteksi"))</f>
        <v>Tetap Deteksi</v>
      </c>
      <c r="N23" s="132">
        <v>46239</v>
      </c>
      <c r="O23" s="203">
        <v>160</v>
      </c>
      <c r="P23" s="9">
        <f t="array" ref="P23">IFERROR(O23/G23*100,0)</f>
        <v>4.5662100456620998</v>
      </c>
      <c r="Q23" s="203">
        <v>4</v>
      </c>
      <c r="R23" s="9">
        <f t="shared" si="12"/>
        <v>2.5</v>
      </c>
      <c r="S23" s="8" t="str">
        <f t="array" ref="S23">IF(R23&gt;5,"Perlu Sensus",IF(AND(R23&gt;=0,O23&gt;0),"Tetap Deteksi","Belum Deteksi"))</f>
        <v>Tetap Deteksi</v>
      </c>
      <c r="T23" s="203">
        <v>4</v>
      </c>
      <c r="U23" s="9">
        <f t="shared" si="11"/>
        <v>2.5</v>
      </c>
      <c r="V23" s="132">
        <v>46235</v>
      </c>
      <c r="W23" s="203">
        <v>461</v>
      </c>
      <c r="X23" s="203">
        <v>7</v>
      </c>
      <c r="Y23" s="9">
        <f t="shared" si="5"/>
        <v>1.5184381778741864</v>
      </c>
      <c r="Z23" s="8" t="str">
        <f t="array" ref="Z23">IF(Y23&gt;5,"Perlu Sensus",IF(AND(Y23&gt;0,,O23&gt;0),"Tetap Deteksi","Belum Deteksi"))</f>
        <v>Belum Deteksi</v>
      </c>
    </row>
    <row r="24" spans="1:26" outlineLevel="1" x14ac:dyDescent="0.15">
      <c r="A24" s="8" t="s">
        <v>1043</v>
      </c>
      <c r="B24" s="8">
        <v>1</v>
      </c>
      <c r="C24" s="8">
        <v>2</v>
      </c>
      <c r="D24" s="8" t="s">
        <v>1488</v>
      </c>
      <c r="E24" s="9">
        <v>21.79</v>
      </c>
      <c r="F24" s="8" t="s">
        <v>469</v>
      </c>
      <c r="G24" s="10">
        <v>2818</v>
      </c>
      <c r="H24" s="132">
        <f t="shared" si="6"/>
        <v>46240</v>
      </c>
      <c r="I24" s="140">
        <f t="shared" si="7"/>
        <v>114</v>
      </c>
      <c r="J24" s="9">
        <f t="shared" si="8"/>
        <v>4.0454222853087289</v>
      </c>
      <c r="K24" s="140">
        <f t="shared" si="9"/>
        <v>2</v>
      </c>
      <c r="L24" s="206">
        <f t="shared" si="10"/>
        <v>1.7543859649122806</v>
      </c>
      <c r="M24" s="8" t="str">
        <f t="array" ref="M24">IF(L24&gt;5,"Perlu Sensus",IF(AND(L24&gt;=0,I24&gt;0),"Tetap Deteksi","Belum Deteksi"))</f>
        <v>Tetap Deteksi</v>
      </c>
      <c r="N24" s="132">
        <v>46240</v>
      </c>
      <c r="O24" s="203">
        <v>114</v>
      </c>
      <c r="P24" s="9">
        <f t="array" ref="P24">IFERROR(O24/G24*100,0)</f>
        <v>4.0454222853087289</v>
      </c>
      <c r="Q24" s="203">
        <v>2</v>
      </c>
      <c r="R24" s="9">
        <f t="shared" si="12"/>
        <v>1.7543859649122806</v>
      </c>
      <c r="S24" s="8" t="str">
        <f t="array" ref="S24">IF(R24&gt;5,"Perlu Sensus",IF(AND(R24&gt;=0,O24&gt;0),"Tetap Deteksi","Belum Deteksi"))</f>
        <v>Tetap Deteksi</v>
      </c>
      <c r="T24" s="203">
        <v>3</v>
      </c>
      <c r="U24" s="9">
        <f t="shared" si="11"/>
        <v>2.6315789473684208</v>
      </c>
      <c r="V24" s="132">
        <v>46235</v>
      </c>
      <c r="W24" s="203">
        <v>1029</v>
      </c>
      <c r="X24" s="203">
        <v>8</v>
      </c>
      <c r="Y24" s="9">
        <f t="shared" si="5"/>
        <v>0.7774538386783284</v>
      </c>
      <c r="Z24" s="8" t="str">
        <f t="array" ref="Z24">IF(Y24&gt;5,"Perlu Sensus",IF(AND(Y24&gt;0,,O24&gt;0),"Tetap Deteksi","Belum Deteksi"))</f>
        <v>Belum Deteksi</v>
      </c>
    </row>
    <row r="25" spans="1:26" outlineLevel="1" x14ac:dyDescent="0.15">
      <c r="A25" s="8" t="s">
        <v>1043</v>
      </c>
      <c r="B25" s="8">
        <v>1</v>
      </c>
      <c r="C25" s="8">
        <v>2</v>
      </c>
      <c r="D25" s="8" t="s">
        <v>1489</v>
      </c>
      <c r="E25" s="9">
        <v>25.15</v>
      </c>
      <c r="F25" s="8" t="s">
        <v>469</v>
      </c>
      <c r="G25" s="10">
        <v>3014</v>
      </c>
      <c r="H25" s="132">
        <f t="shared" si="6"/>
        <v>46237</v>
      </c>
      <c r="I25" s="140">
        <f t="shared" si="7"/>
        <v>224</v>
      </c>
      <c r="J25" s="9">
        <f t="shared" si="8"/>
        <v>7.43198407431984</v>
      </c>
      <c r="K25" s="140">
        <f t="shared" si="9"/>
        <v>4</v>
      </c>
      <c r="L25" s="206">
        <f t="shared" si="10"/>
        <v>1.7857142857142856</v>
      </c>
      <c r="M25" s="8" t="str">
        <f t="array" ref="M25">IF(L25&gt;5,"Perlu Sensus",IF(AND(L25&gt;=0,I25&gt;0),"Tetap Deteksi","Belum Deteksi"))</f>
        <v>Tetap Deteksi</v>
      </c>
      <c r="N25" s="132">
        <v>46237</v>
      </c>
      <c r="O25" s="203">
        <v>224</v>
      </c>
      <c r="P25" s="9">
        <f t="array" ref="P25">IFERROR(O25/G25*100,0)</f>
        <v>7.43198407431984</v>
      </c>
      <c r="Q25" s="203">
        <v>4</v>
      </c>
      <c r="R25" s="9">
        <f t="shared" si="12"/>
        <v>1.7857142857142856</v>
      </c>
      <c r="S25" s="8" t="str">
        <f t="array" ref="S25">IF(R25&gt;5,"Perlu Sensus",IF(AND(R25&gt;=0,O25&gt;0),"Tetap Deteksi","Belum Deteksi"))</f>
        <v>Tetap Deteksi</v>
      </c>
      <c r="T25" s="203">
        <v>8</v>
      </c>
      <c r="U25" s="9">
        <f t="shared" si="11"/>
        <v>3.5714285714285712</v>
      </c>
      <c r="V25" s="132">
        <v>46235</v>
      </c>
      <c r="W25" s="203">
        <v>1450</v>
      </c>
      <c r="X25" s="203">
        <v>13</v>
      </c>
      <c r="Y25" s="9">
        <f t="shared" si="5"/>
        <v>0.89655172413793094</v>
      </c>
      <c r="Z25" s="8" t="str">
        <f t="array" ref="Z25">IF(Y25&gt;5,"Perlu Sensus",IF(AND(Y25&gt;0,,O25&gt;0),"Tetap Deteksi","Belum Deteksi"))</f>
        <v>Belum Deteksi</v>
      </c>
    </row>
    <row r="26" spans="1:26" outlineLevel="1" x14ac:dyDescent="0.15">
      <c r="A26" s="8" t="s">
        <v>1043</v>
      </c>
      <c r="B26" s="8">
        <v>1</v>
      </c>
      <c r="C26" s="8">
        <v>2</v>
      </c>
      <c r="D26" s="8" t="s">
        <v>1490</v>
      </c>
      <c r="E26" s="9">
        <v>22.389999999999997</v>
      </c>
      <c r="F26" s="8" t="s">
        <v>469</v>
      </c>
      <c r="G26" s="10">
        <v>2599</v>
      </c>
      <c r="H26" s="132">
        <f t="shared" si="6"/>
        <v>46239</v>
      </c>
      <c r="I26" s="140">
        <f t="shared" si="7"/>
        <v>118</v>
      </c>
      <c r="J26" s="9">
        <f t="shared" si="8"/>
        <v>4.5402077722200849</v>
      </c>
      <c r="K26" s="140">
        <f t="shared" si="9"/>
        <v>4</v>
      </c>
      <c r="L26" s="206">
        <f t="shared" si="10"/>
        <v>3.3898305084745761</v>
      </c>
      <c r="M26" s="8" t="str">
        <f t="array" ref="M26">IF(L26&gt;5,"Perlu Sensus",IF(AND(L26&gt;=0,I26&gt;0),"Tetap Deteksi","Belum Deteksi"))</f>
        <v>Tetap Deteksi</v>
      </c>
      <c r="N26" s="132">
        <v>46239</v>
      </c>
      <c r="O26" s="203">
        <v>118</v>
      </c>
      <c r="P26" s="9">
        <f t="array" ref="P26">IFERROR(O26/G26*100,0)</f>
        <v>4.5402077722200849</v>
      </c>
      <c r="Q26" s="203">
        <v>4</v>
      </c>
      <c r="R26" s="9">
        <f t="shared" si="12"/>
        <v>3.3898305084745761</v>
      </c>
      <c r="S26" s="8" t="str">
        <f t="array" ref="S26">IF(R26&gt;5,"Perlu Sensus",IF(AND(R26&gt;=0,O26&gt;0),"Tetap Deteksi","Belum Deteksi"))</f>
        <v>Tetap Deteksi</v>
      </c>
      <c r="T26" s="203">
        <v>3</v>
      </c>
      <c r="U26" s="9">
        <f t="shared" si="11"/>
        <v>2.5423728813559325</v>
      </c>
      <c r="V26" s="132">
        <v>46235</v>
      </c>
      <c r="W26" s="203">
        <v>156</v>
      </c>
      <c r="X26" s="203">
        <v>5</v>
      </c>
      <c r="Y26" s="9">
        <f t="shared" si="5"/>
        <v>3.2051282051282048</v>
      </c>
      <c r="Z26" s="8" t="str">
        <f t="array" ref="Z26">IF(Y26&gt;5,"Perlu Sensus",IF(AND(Y26&gt;0,,O26&gt;0),"Tetap Deteksi","Belum Deteksi"))</f>
        <v>Belum Deteksi</v>
      </c>
    </row>
    <row r="27" spans="1:26" outlineLevel="1" x14ac:dyDescent="0.15">
      <c r="A27" s="8" t="s">
        <v>1043</v>
      </c>
      <c r="B27" s="8">
        <v>1</v>
      </c>
      <c r="C27" s="8">
        <v>2</v>
      </c>
      <c r="D27" s="8" t="s">
        <v>1491</v>
      </c>
      <c r="E27" s="9">
        <v>25.18</v>
      </c>
      <c r="F27" s="8" t="s">
        <v>469</v>
      </c>
      <c r="G27" s="10">
        <v>2976</v>
      </c>
      <c r="H27" s="132">
        <f t="shared" si="6"/>
        <v>46237</v>
      </c>
      <c r="I27" s="140">
        <f t="shared" si="7"/>
        <v>210</v>
      </c>
      <c r="J27" s="9">
        <f t="shared" si="8"/>
        <v>7.0564516129032269</v>
      </c>
      <c r="K27" s="140">
        <f t="shared" si="9"/>
        <v>6</v>
      </c>
      <c r="L27" s="206">
        <f t="shared" si="10"/>
        <v>2.8571428571428572</v>
      </c>
      <c r="M27" s="8" t="str">
        <f t="array" ref="M27">IF(L27&gt;5,"Perlu Sensus",IF(AND(L27&gt;=0,I27&gt;0),"Tetap Deteksi","Belum Deteksi"))</f>
        <v>Tetap Deteksi</v>
      </c>
      <c r="N27" s="132">
        <v>46237</v>
      </c>
      <c r="O27" s="203">
        <v>210</v>
      </c>
      <c r="P27" s="9">
        <f t="array" ref="P27">IFERROR(O27/G27*100,0)</f>
        <v>7.0564516129032269</v>
      </c>
      <c r="Q27" s="203">
        <v>6</v>
      </c>
      <c r="R27" s="9">
        <f t="shared" si="12"/>
        <v>2.8571428571428572</v>
      </c>
      <c r="S27" s="8" t="str">
        <f t="array" ref="S27">IF(R27&gt;5,"Perlu Sensus",IF(AND(R27&gt;=0,O27&gt;0),"Tetap Deteksi","Belum Deteksi"))</f>
        <v>Tetap Deteksi</v>
      </c>
      <c r="T27" s="203">
        <v>4</v>
      </c>
      <c r="U27" s="9">
        <f t="shared" si="11"/>
        <v>1.9047619047619049</v>
      </c>
      <c r="V27" s="132">
        <v>46235</v>
      </c>
      <c r="W27" s="203">
        <v>154</v>
      </c>
      <c r="X27" s="203">
        <v>5</v>
      </c>
      <c r="Y27" s="9">
        <f t="shared" si="5"/>
        <v>3.2467532467532463</v>
      </c>
      <c r="Z27" s="8" t="str">
        <f t="array" ref="Z27">IF(Y27&gt;5,"Perlu Sensus",IF(AND(Y27&gt;0,,O27&gt;0),"Tetap Deteksi","Belum Deteksi"))</f>
        <v>Belum Deteksi</v>
      </c>
    </row>
    <row r="28" spans="1:26" outlineLevel="1" x14ac:dyDescent="0.15">
      <c r="A28" s="8" t="s">
        <v>1043</v>
      </c>
      <c r="B28" s="8">
        <v>1</v>
      </c>
      <c r="C28" s="8">
        <v>2</v>
      </c>
      <c r="D28" s="8" t="s">
        <v>1492</v>
      </c>
      <c r="E28" s="9">
        <v>23.97</v>
      </c>
      <c r="F28" s="8" t="s">
        <v>469</v>
      </c>
      <c r="G28" s="10">
        <v>3187</v>
      </c>
      <c r="H28" s="132">
        <f t="shared" si="6"/>
        <v>46242</v>
      </c>
      <c r="I28" s="140">
        <f t="shared" si="7"/>
        <v>103</v>
      </c>
      <c r="J28" s="9">
        <f t="shared" si="8"/>
        <v>3.2318795105114524</v>
      </c>
      <c r="K28" s="140">
        <f t="shared" si="9"/>
        <v>2</v>
      </c>
      <c r="L28" s="206">
        <f t="shared" si="10"/>
        <v>1.9417475728155338</v>
      </c>
      <c r="M28" s="8" t="str">
        <f t="array" ref="M28">IF(L28&gt;5,"Perlu Sensus",IF(AND(L28&gt;=0,I28&gt;0),"Tetap Deteksi","Belum Deteksi"))</f>
        <v>Tetap Deteksi</v>
      </c>
      <c r="N28" s="132">
        <v>46242</v>
      </c>
      <c r="O28" s="203">
        <v>103</v>
      </c>
      <c r="P28" s="9">
        <f t="array" ref="P28">IFERROR(O28/G28*100,0)</f>
        <v>3.2318795105114524</v>
      </c>
      <c r="Q28" s="203">
        <v>2</v>
      </c>
      <c r="R28" s="9">
        <f t="shared" si="12"/>
        <v>1.9417475728155338</v>
      </c>
      <c r="S28" s="8" t="str">
        <f t="array" ref="S28">IF(R28&gt;5,"Perlu Sensus",IF(AND(R28&gt;=0,O28&gt;0),"Tetap Deteksi","Belum Deteksi"))</f>
        <v>Tetap Deteksi</v>
      </c>
      <c r="T28" s="203">
        <v>3</v>
      </c>
      <c r="U28" s="9">
        <f t="shared" si="11"/>
        <v>2.912621359223301</v>
      </c>
      <c r="V28" s="132">
        <v>46235</v>
      </c>
      <c r="W28" s="203">
        <v>161</v>
      </c>
      <c r="X28" s="203">
        <v>2</v>
      </c>
      <c r="Y28" s="9">
        <f t="shared" si="5"/>
        <v>1.2422360248447204</v>
      </c>
      <c r="Z28" s="8" t="str">
        <f t="array" ref="Z28">IF(Y28&gt;5,"Perlu Sensus",IF(AND(Y28&gt;0,,O28&gt;0),"Tetap Deteksi","Belum Deteksi"))</f>
        <v>Belum Deteksi</v>
      </c>
    </row>
    <row r="29" spans="1:26" outlineLevel="1" x14ac:dyDescent="0.15">
      <c r="A29" s="8" t="s">
        <v>1043</v>
      </c>
      <c r="B29" s="8">
        <v>1</v>
      </c>
      <c r="C29" s="8">
        <v>2</v>
      </c>
      <c r="D29" s="8" t="s">
        <v>1493</v>
      </c>
      <c r="E29" s="9">
        <v>21.75</v>
      </c>
      <c r="F29" s="8" t="s">
        <v>469</v>
      </c>
      <c r="G29" s="10">
        <v>2484</v>
      </c>
      <c r="H29" s="132">
        <f t="shared" si="6"/>
        <v>46241</v>
      </c>
      <c r="I29" s="140">
        <f t="shared" si="7"/>
        <v>149</v>
      </c>
      <c r="J29" s="9">
        <f t="shared" si="8"/>
        <v>5.9983896940418679</v>
      </c>
      <c r="K29" s="140">
        <f t="shared" si="9"/>
        <v>4</v>
      </c>
      <c r="L29" s="206">
        <f t="shared" si="10"/>
        <v>2.6845637583892619</v>
      </c>
      <c r="M29" s="8" t="str">
        <f t="array" ref="M29">IF(L29&gt;5,"Perlu Sensus",IF(AND(L29&gt;=0,I29&gt;0),"Tetap Deteksi","Belum Deteksi"))</f>
        <v>Tetap Deteksi</v>
      </c>
      <c r="N29" s="132">
        <v>46241</v>
      </c>
      <c r="O29" s="203">
        <v>149</v>
      </c>
      <c r="P29" s="9">
        <f t="array" ref="P29">IFERROR(O29/G29*100,0)</f>
        <v>5.9983896940418679</v>
      </c>
      <c r="Q29" s="203">
        <v>4</v>
      </c>
      <c r="R29" s="9">
        <f t="shared" si="12"/>
        <v>2.6845637583892619</v>
      </c>
      <c r="S29" s="8" t="str">
        <f t="array" ref="S29">IF(R29&gt;5,"Perlu Sensus",IF(AND(R29&gt;=0,O29&gt;0),"Tetap Deteksi","Belum Deteksi"))</f>
        <v>Tetap Deteksi</v>
      </c>
      <c r="T29" s="203">
        <v>2</v>
      </c>
      <c r="U29" s="9">
        <f t="shared" si="11"/>
        <v>1.3422818791946309</v>
      </c>
      <c r="V29" s="132">
        <v>46235</v>
      </c>
      <c r="W29" s="203">
        <v>134</v>
      </c>
      <c r="X29" s="203">
        <v>2</v>
      </c>
      <c r="Y29" s="9">
        <f t="shared" si="5"/>
        <v>1.4925373134328357</v>
      </c>
      <c r="Z29" s="8" t="str">
        <f t="array" ref="Z29">IF(Y29&gt;5,"Perlu Sensus",IF(AND(Y29&gt;0,,O29&gt;0),"Tetap Deteksi","Belum Deteksi"))</f>
        <v>Belum Deteksi</v>
      </c>
    </row>
    <row r="30" spans="1:26" outlineLevel="1" x14ac:dyDescent="0.15">
      <c r="A30" s="8" t="s">
        <v>1043</v>
      </c>
      <c r="B30" s="8">
        <v>1</v>
      </c>
      <c r="C30" s="8">
        <v>2</v>
      </c>
      <c r="D30" s="8" t="s">
        <v>1494</v>
      </c>
      <c r="E30" s="9">
        <v>25.49</v>
      </c>
      <c r="F30" s="8" t="s">
        <v>469</v>
      </c>
      <c r="G30" s="10">
        <v>3336</v>
      </c>
      <c r="H30" s="132">
        <f t="shared" si="6"/>
        <v>46236</v>
      </c>
      <c r="I30" s="140">
        <f t="shared" si="7"/>
        <v>201</v>
      </c>
      <c r="J30" s="9">
        <f t="shared" si="8"/>
        <v>6.0251798561151082</v>
      </c>
      <c r="K30" s="140">
        <f t="shared" si="9"/>
        <v>4</v>
      </c>
      <c r="L30" s="206">
        <f t="shared" si="10"/>
        <v>1.9900497512437811</v>
      </c>
      <c r="M30" s="8" t="str">
        <f t="array" ref="M30">IF(L30&gt;5,"Perlu Sensus",IF(AND(L30&gt;=0,I30&gt;0),"Tetap Deteksi","Belum Deteksi"))</f>
        <v>Tetap Deteksi</v>
      </c>
      <c r="N30" s="132">
        <v>46236</v>
      </c>
      <c r="O30" s="203">
        <v>201</v>
      </c>
      <c r="P30" s="9">
        <f t="array" ref="P30">IFERROR(O30/G30*100,0)</f>
        <v>6.0251798561151082</v>
      </c>
      <c r="Q30" s="203">
        <v>4</v>
      </c>
      <c r="R30" s="9">
        <f t="shared" si="12"/>
        <v>1.9900497512437811</v>
      </c>
      <c r="S30" s="8" t="str">
        <f t="array" ref="S30">IF(R30&gt;5,"Perlu Sensus",IF(AND(R30&gt;=0,O30&gt;0),"Tetap Deteksi","Belum Deteksi"))</f>
        <v>Tetap Deteksi</v>
      </c>
      <c r="T30" s="203">
        <v>3</v>
      </c>
      <c r="U30" s="9">
        <f t="shared" si="11"/>
        <v>1.4925373134328357</v>
      </c>
      <c r="V30" s="132">
        <v>46235</v>
      </c>
      <c r="W30" s="203">
        <v>383</v>
      </c>
      <c r="X30" s="203">
        <v>5</v>
      </c>
      <c r="Y30" s="9">
        <f t="shared" si="5"/>
        <v>1.3054830287206265</v>
      </c>
      <c r="Z30" s="8" t="str">
        <f t="array" ref="Z30">IF(Y30&gt;5,"Perlu Sensus",IF(AND(Y30&gt;0,,O30&gt;0),"Tetap Deteksi","Belum Deteksi"))</f>
        <v>Belum Deteksi</v>
      </c>
    </row>
    <row r="31" spans="1:26" outlineLevel="1" x14ac:dyDescent="0.15">
      <c r="A31" s="8" t="s">
        <v>1043</v>
      </c>
      <c r="B31" s="8">
        <v>1</v>
      </c>
      <c r="C31" s="8">
        <v>2</v>
      </c>
      <c r="D31" s="8" t="s">
        <v>1495</v>
      </c>
      <c r="E31" s="9">
        <v>24.1</v>
      </c>
      <c r="F31" s="8" t="s">
        <v>469</v>
      </c>
      <c r="G31" s="10">
        <v>3060</v>
      </c>
      <c r="H31" s="132">
        <f t="shared" si="6"/>
        <v>46237</v>
      </c>
      <c r="I31" s="140">
        <f t="shared" si="7"/>
        <v>151</v>
      </c>
      <c r="J31" s="9">
        <f t="shared" si="8"/>
        <v>4.9346405228758172</v>
      </c>
      <c r="K31" s="140">
        <f t="shared" si="9"/>
        <v>4</v>
      </c>
      <c r="L31" s="206">
        <f t="shared" si="10"/>
        <v>2.6490066225165565</v>
      </c>
      <c r="M31" s="8" t="str">
        <f t="array" ref="M31">IF(L31&gt;5,"Perlu Sensus",IF(AND(L31&gt;=0,I31&gt;0),"Tetap Deteksi","Belum Deteksi"))</f>
        <v>Tetap Deteksi</v>
      </c>
      <c r="N31" s="132">
        <v>46237</v>
      </c>
      <c r="O31" s="203">
        <v>151</v>
      </c>
      <c r="P31" s="9">
        <f t="array" ref="P31">IFERROR(O31/G31*100,0)</f>
        <v>4.9346405228758172</v>
      </c>
      <c r="Q31" s="203">
        <v>4</v>
      </c>
      <c r="R31" s="9">
        <f t="shared" si="12"/>
        <v>2.6490066225165565</v>
      </c>
      <c r="S31" s="8" t="str">
        <f t="array" ref="S31">IF(R31&gt;5,"Perlu Sensus",IF(AND(R31&gt;=0,O31&gt;0),"Tetap Deteksi","Belum Deteksi"))</f>
        <v>Tetap Deteksi</v>
      </c>
      <c r="T31" s="203">
        <v>5</v>
      </c>
      <c r="U31" s="9">
        <f t="shared" si="11"/>
        <v>3.3112582781456954</v>
      </c>
      <c r="V31" s="132">
        <v>46235</v>
      </c>
      <c r="W31" s="203">
        <v>191</v>
      </c>
      <c r="X31" s="203">
        <v>3</v>
      </c>
      <c r="Y31" s="9">
        <f t="shared" si="5"/>
        <v>1.5706806282722512</v>
      </c>
      <c r="Z31" s="8" t="str">
        <f t="array" ref="Z31">IF(Y31&gt;5,"Perlu Sensus",IF(AND(Y31&gt;0,,O31&gt;0),"Tetap Deteksi","Belum Deteksi"))</f>
        <v>Belum Deteksi</v>
      </c>
    </row>
    <row r="32" spans="1:26" outlineLevel="1" x14ac:dyDescent="0.15">
      <c r="A32" s="8" t="s">
        <v>1043</v>
      </c>
      <c r="B32" s="8">
        <v>1</v>
      </c>
      <c r="C32" s="8">
        <v>2</v>
      </c>
      <c r="D32" s="8" t="s">
        <v>1496</v>
      </c>
      <c r="E32" s="9">
        <v>24.57</v>
      </c>
      <c r="F32" s="8" t="s">
        <v>469</v>
      </c>
      <c r="G32" s="10">
        <v>3015</v>
      </c>
      <c r="H32" s="132">
        <f t="shared" si="6"/>
        <v>46236</v>
      </c>
      <c r="I32" s="140">
        <f t="shared" si="7"/>
        <v>146</v>
      </c>
      <c r="J32" s="9">
        <f t="shared" si="8"/>
        <v>4.8424543946932008</v>
      </c>
      <c r="K32" s="140">
        <f t="shared" si="9"/>
        <v>4</v>
      </c>
      <c r="L32" s="206">
        <f t="shared" si="10"/>
        <v>2.7397260273972601</v>
      </c>
      <c r="M32" s="8" t="str">
        <f t="array" ref="M32">IF(L32&gt;5,"Perlu Sensus",IF(AND(L32&gt;=0,I32&gt;0),"Tetap Deteksi","Belum Deteksi"))</f>
        <v>Tetap Deteksi</v>
      </c>
      <c r="N32" s="132">
        <v>46236</v>
      </c>
      <c r="O32" s="203">
        <v>146</v>
      </c>
      <c r="P32" s="9">
        <f t="array" ref="P32">IFERROR(O32/G32*100,0)</f>
        <v>4.8424543946932008</v>
      </c>
      <c r="Q32" s="203">
        <v>4</v>
      </c>
      <c r="R32" s="9">
        <f t="shared" si="12"/>
        <v>2.7397260273972601</v>
      </c>
      <c r="S32" s="8" t="str">
        <f t="array" ref="S32">IF(R32&gt;5,"Perlu Sensus",IF(AND(R32&gt;=0,O32&gt;0),"Tetap Deteksi","Belum Deteksi"))</f>
        <v>Tetap Deteksi</v>
      </c>
      <c r="T32" s="203">
        <v>1</v>
      </c>
      <c r="U32" s="9">
        <f t="shared" si="11"/>
        <v>0.68493150684931503</v>
      </c>
      <c r="V32" s="132">
        <v>46235</v>
      </c>
      <c r="W32" s="203">
        <v>148</v>
      </c>
      <c r="X32" s="203">
        <v>5</v>
      </c>
      <c r="Y32" s="9">
        <f t="shared" si="5"/>
        <v>3.3783783783783785</v>
      </c>
      <c r="Z32" s="8" t="str">
        <f t="array" ref="Z32">IF(Y32&gt;5,"Perlu Sensus",IF(AND(Y32&gt;0,,O32&gt;0),"Tetap Deteksi","Belum Deteksi"))</f>
        <v>Belum Deteksi</v>
      </c>
    </row>
    <row r="33" spans="1:26" outlineLevel="1" x14ac:dyDescent="0.15">
      <c r="A33" s="8" t="s">
        <v>1043</v>
      </c>
      <c r="B33" s="8">
        <v>1</v>
      </c>
      <c r="C33" s="8">
        <v>2</v>
      </c>
      <c r="D33" s="8" t="s">
        <v>1497</v>
      </c>
      <c r="E33" s="9">
        <v>22.77</v>
      </c>
      <c r="F33" s="8" t="s">
        <v>469</v>
      </c>
      <c r="G33" s="10">
        <v>3133</v>
      </c>
      <c r="H33" s="132">
        <f t="shared" si="6"/>
        <v>46235</v>
      </c>
      <c r="I33" s="140">
        <f t="shared" si="7"/>
        <v>223</v>
      </c>
      <c r="J33" s="9">
        <f t="shared" si="8"/>
        <v>7.1177784870730925</v>
      </c>
      <c r="K33" s="140">
        <f t="shared" si="9"/>
        <v>7</v>
      </c>
      <c r="L33" s="206">
        <f t="shared" si="10"/>
        <v>3.1390134529147984</v>
      </c>
      <c r="M33" s="8" t="str">
        <f t="array" ref="M33">IF(L33&gt;5,"Perlu Sensus",IF(AND(L33&gt;=0,I33&gt;0),"Tetap Deteksi","Belum Deteksi"))</f>
        <v>Tetap Deteksi</v>
      </c>
      <c r="N33" s="132">
        <v>46235</v>
      </c>
      <c r="O33" s="203">
        <v>223</v>
      </c>
      <c r="P33" s="9">
        <f t="array" ref="P33">IFERROR(O33/G33*100,0)</f>
        <v>7.1177784870730925</v>
      </c>
      <c r="Q33" s="203">
        <v>7</v>
      </c>
      <c r="R33" s="9">
        <f t="shared" si="12"/>
        <v>3.1390134529147984</v>
      </c>
      <c r="S33" s="8" t="str">
        <f t="array" ref="S33">IF(R33&gt;5,"Perlu Sensus",IF(AND(R33&gt;=0,O33&gt;0),"Tetap Deteksi","Belum Deteksi"))</f>
        <v>Tetap Deteksi</v>
      </c>
      <c r="T33" s="203">
        <v>8</v>
      </c>
      <c r="U33" s="9">
        <f t="shared" si="11"/>
        <v>3.5874439461883409</v>
      </c>
      <c r="V33" s="132">
        <v>46235</v>
      </c>
      <c r="W33" s="203">
        <v>170</v>
      </c>
      <c r="X33" s="203">
        <v>6</v>
      </c>
      <c r="Y33" s="9">
        <f t="shared" si="5"/>
        <v>3.5294117647058822</v>
      </c>
      <c r="Z33" s="8" t="str">
        <f t="array" ref="Z33">IF(Y33&gt;5,"Perlu Sensus",IF(AND(Y33&gt;0,,O33&gt;0),"Tetap Deteksi","Belum Deteksi"))</f>
        <v>Belum Deteksi</v>
      </c>
    </row>
    <row r="34" spans="1:26" outlineLevel="1" x14ac:dyDescent="0.15">
      <c r="A34" s="8" t="s">
        <v>1043</v>
      </c>
      <c r="B34" s="8">
        <v>1</v>
      </c>
      <c r="C34" s="8">
        <v>2</v>
      </c>
      <c r="D34" s="8" t="s">
        <v>1498</v>
      </c>
      <c r="E34" s="9">
        <v>25.22</v>
      </c>
      <c r="F34" s="8" t="s">
        <v>469</v>
      </c>
      <c r="G34" s="10">
        <v>3439</v>
      </c>
      <c r="H34" s="132">
        <f t="shared" si="6"/>
        <v>46246</v>
      </c>
      <c r="I34" s="140">
        <f t="shared" si="7"/>
        <v>114</v>
      </c>
      <c r="J34" s="9">
        <f t="shared" si="8"/>
        <v>3.3149171270718232</v>
      </c>
      <c r="K34" s="140">
        <f t="shared" si="9"/>
        <v>4</v>
      </c>
      <c r="L34" s="206">
        <f t="shared" si="10"/>
        <v>3.5087719298245612</v>
      </c>
      <c r="M34" s="8" t="str">
        <f t="array" ref="M34">IF(L34&gt;5,"Perlu Sensus",IF(AND(L34&gt;=0,I34&gt;0),"Tetap Deteksi","Belum Deteksi"))</f>
        <v>Tetap Deteksi</v>
      </c>
      <c r="N34" s="132">
        <v>46246</v>
      </c>
      <c r="O34" s="203">
        <v>114</v>
      </c>
      <c r="P34" s="9">
        <f t="array" ref="P34">IFERROR(O34/G34*100,0)</f>
        <v>3.3149171270718232</v>
      </c>
      <c r="Q34" s="203">
        <v>4</v>
      </c>
      <c r="R34" s="9">
        <f t="shared" si="12"/>
        <v>3.5087719298245612</v>
      </c>
      <c r="S34" s="8" t="str">
        <f t="array" ref="S34">IF(R34&gt;5,"Perlu Sensus",IF(AND(R34&gt;=0,O34&gt;0),"Tetap Deteksi","Belum Deteksi"))</f>
        <v>Tetap Deteksi</v>
      </c>
      <c r="T34" s="203">
        <v>4</v>
      </c>
      <c r="U34" s="9">
        <f t="shared" si="11"/>
        <v>3.5087719298245612</v>
      </c>
      <c r="V34" s="132">
        <v>46235</v>
      </c>
      <c r="W34" s="203">
        <v>178</v>
      </c>
      <c r="X34" s="203">
        <v>5</v>
      </c>
      <c r="Y34" s="9">
        <f t="shared" si="5"/>
        <v>2.8089887640449436</v>
      </c>
      <c r="Z34" s="8" t="str">
        <f t="array" ref="Z34">IF(Y34&gt;5,"Perlu Sensus",IF(AND(Y34&gt;0,,O34&gt;0),"Tetap Deteksi","Belum Deteksi"))</f>
        <v>Belum Deteksi</v>
      </c>
    </row>
    <row r="35" spans="1:26" outlineLevel="1" x14ac:dyDescent="0.15">
      <c r="A35" s="8" t="s">
        <v>1043</v>
      </c>
      <c r="B35" s="8">
        <v>1</v>
      </c>
      <c r="C35" s="8">
        <v>2</v>
      </c>
      <c r="D35" s="8" t="s">
        <v>1499</v>
      </c>
      <c r="E35" s="9">
        <v>26.12</v>
      </c>
      <c r="F35" s="8" t="s">
        <v>469</v>
      </c>
      <c r="G35" s="10">
        <v>3727</v>
      </c>
      <c r="H35" s="132">
        <f t="shared" si="6"/>
        <v>46241</v>
      </c>
      <c r="I35" s="140">
        <f t="shared" si="7"/>
        <v>221</v>
      </c>
      <c r="J35" s="9">
        <f t="shared" si="8"/>
        <v>5.9297021733297557</v>
      </c>
      <c r="K35" s="140">
        <f t="shared" si="9"/>
        <v>4</v>
      </c>
      <c r="L35" s="206">
        <f t="shared" si="10"/>
        <v>1.809954751131222</v>
      </c>
      <c r="M35" s="8" t="str">
        <f t="array" ref="M35">IF(L35&gt;5,"Perlu Sensus",IF(AND(L35&gt;=0,I35&gt;0),"Tetap Deteksi","Belum Deteksi"))</f>
        <v>Tetap Deteksi</v>
      </c>
      <c r="N35" s="132">
        <v>46241</v>
      </c>
      <c r="O35" s="203">
        <v>221</v>
      </c>
      <c r="P35" s="9">
        <f t="array" ref="P35">IFERROR(O35/G35*100,0)</f>
        <v>5.9297021733297557</v>
      </c>
      <c r="Q35" s="203">
        <v>4</v>
      </c>
      <c r="R35" s="9">
        <f t="shared" si="12"/>
        <v>1.809954751131222</v>
      </c>
      <c r="S35" s="8" t="str">
        <f t="array" ref="S35">IF(R35&gt;5,"Perlu Sensus",IF(AND(R35&gt;=0,O35&gt;0),"Tetap Deteksi","Belum Deteksi"))</f>
        <v>Tetap Deteksi</v>
      </c>
      <c r="T35" s="203">
        <v>0</v>
      </c>
      <c r="U35" s="9">
        <f t="shared" si="11"/>
        <v>0</v>
      </c>
      <c r="V35" s="132">
        <v>46235</v>
      </c>
      <c r="W35" s="203">
        <v>215</v>
      </c>
      <c r="X35" s="203">
        <v>3</v>
      </c>
      <c r="Y35" s="9">
        <f t="shared" si="5"/>
        <v>1.3953488372093024</v>
      </c>
      <c r="Z35" s="8" t="str">
        <f t="array" ref="Z35">IF(Y35&gt;5,"Perlu Sensus",IF(AND(Y35&gt;0,,O35&gt;0),"Tetap Deteksi","Belum Deteksi"))</f>
        <v>Belum Deteksi</v>
      </c>
    </row>
    <row r="36" spans="1:26" outlineLevel="1" x14ac:dyDescent="0.15">
      <c r="A36" s="8" t="s">
        <v>1043</v>
      </c>
      <c r="B36" s="8">
        <v>1</v>
      </c>
      <c r="C36" s="8">
        <v>2</v>
      </c>
      <c r="D36" s="8" t="s">
        <v>1500</v>
      </c>
      <c r="E36" s="9">
        <v>25.61</v>
      </c>
      <c r="F36" s="8" t="s">
        <v>469</v>
      </c>
      <c r="G36" s="10">
        <v>3586</v>
      </c>
      <c r="H36" s="132">
        <f t="shared" si="6"/>
        <v>46240</v>
      </c>
      <c r="I36" s="140">
        <f t="shared" si="7"/>
        <v>180</v>
      </c>
      <c r="J36" s="9">
        <f t="shared" si="8"/>
        <v>5.0195203569436702</v>
      </c>
      <c r="K36" s="140">
        <f t="shared" si="9"/>
        <v>4</v>
      </c>
      <c r="L36" s="206">
        <f t="shared" si="10"/>
        <v>2.2222222222222223</v>
      </c>
      <c r="M36" s="8" t="str">
        <f t="array" ref="M36">IF(L36&gt;5,"Perlu Sensus",IF(AND(L36&gt;=0,I36&gt;0),"Tetap Deteksi","Belum Deteksi"))</f>
        <v>Tetap Deteksi</v>
      </c>
      <c r="N36" s="132">
        <v>46240</v>
      </c>
      <c r="O36" s="203">
        <v>180</v>
      </c>
      <c r="P36" s="9">
        <f t="array" ref="P36">IFERROR(O36/G36*100,0)</f>
        <v>5.0195203569436702</v>
      </c>
      <c r="Q36" s="203">
        <v>4</v>
      </c>
      <c r="R36" s="9">
        <f t="shared" si="12"/>
        <v>2.2222222222222223</v>
      </c>
      <c r="S36" s="8" t="str">
        <f t="array" ref="S36">IF(R36&gt;5,"Perlu Sensus",IF(AND(R36&gt;=0,O36&gt;0),"Tetap Deteksi","Belum Deteksi"))</f>
        <v>Tetap Deteksi</v>
      </c>
      <c r="T36" s="203">
        <v>0</v>
      </c>
      <c r="U36" s="9">
        <f t="shared" si="11"/>
        <v>0</v>
      </c>
      <c r="V36" s="132">
        <v>46235</v>
      </c>
      <c r="W36" s="203">
        <v>192</v>
      </c>
      <c r="X36" s="203">
        <v>3</v>
      </c>
      <c r="Y36" s="9">
        <f t="shared" si="5"/>
        <v>1.5625</v>
      </c>
      <c r="Z36" s="8" t="str">
        <f t="array" ref="Z36">IF(Y36&gt;5,"Perlu Sensus",IF(AND(Y36&gt;0,,O36&gt;0),"Tetap Deteksi","Belum Deteksi"))</f>
        <v>Belum Deteksi</v>
      </c>
    </row>
    <row r="37" spans="1:26" outlineLevel="1" x14ac:dyDescent="0.15">
      <c r="A37" s="8" t="s">
        <v>1043</v>
      </c>
      <c r="B37" s="8">
        <v>1</v>
      </c>
      <c r="C37" s="8">
        <v>2</v>
      </c>
      <c r="D37" s="8" t="s">
        <v>1501</v>
      </c>
      <c r="E37" s="9">
        <v>26.88</v>
      </c>
      <c r="F37" s="8" t="s">
        <v>469</v>
      </c>
      <c r="G37" s="10">
        <v>3811</v>
      </c>
      <c r="H37" s="132">
        <f t="shared" si="6"/>
        <v>46244</v>
      </c>
      <c r="I37" s="140">
        <f t="shared" si="7"/>
        <v>206</v>
      </c>
      <c r="J37" s="9">
        <f t="shared" si="8"/>
        <v>5.4054054054054053</v>
      </c>
      <c r="K37" s="140">
        <f t="shared" si="9"/>
        <v>4</v>
      </c>
      <c r="L37" s="206">
        <f t="shared" si="10"/>
        <v>1.9417475728155338</v>
      </c>
      <c r="M37" s="8" t="str">
        <f t="array" ref="M37">IF(L37&gt;5,"Perlu Sensus",IF(AND(L37&gt;=0,I37&gt;0),"Tetap Deteksi","Belum Deteksi"))</f>
        <v>Tetap Deteksi</v>
      </c>
      <c r="N37" s="132">
        <v>46244</v>
      </c>
      <c r="O37" s="203">
        <v>206</v>
      </c>
      <c r="P37" s="9">
        <f t="array" ref="P37">IFERROR(O37/G37*100,0)</f>
        <v>5.4054054054054053</v>
      </c>
      <c r="Q37" s="203">
        <v>4</v>
      </c>
      <c r="R37" s="9">
        <f t="shared" si="12"/>
        <v>1.9417475728155338</v>
      </c>
      <c r="S37" s="8" t="str">
        <f t="array" ref="S37">IF(R37&gt;5,"Perlu Sensus",IF(AND(R37&gt;=0,O37&gt;0),"Tetap Deteksi","Belum Deteksi"))</f>
        <v>Tetap Deteksi</v>
      </c>
      <c r="T37" s="203">
        <v>3</v>
      </c>
      <c r="U37" s="9">
        <f t="shared" si="11"/>
        <v>1.4563106796116505</v>
      </c>
      <c r="V37" s="132">
        <v>46235</v>
      </c>
      <c r="W37" s="203">
        <v>225</v>
      </c>
      <c r="X37" s="203">
        <v>4</v>
      </c>
      <c r="Y37" s="9">
        <f t="shared" si="5"/>
        <v>1.7777777777777777</v>
      </c>
      <c r="Z37" s="8" t="str">
        <f t="array" ref="Z37">IF(Y37&gt;5,"Perlu Sensus",IF(AND(Y37&gt;0,,O37&gt;0),"Tetap Deteksi","Belum Deteksi"))</f>
        <v>Belum Deteksi</v>
      </c>
    </row>
    <row r="38" spans="1:26" outlineLevel="1" x14ac:dyDescent="0.15">
      <c r="A38" s="8" t="s">
        <v>1043</v>
      </c>
      <c r="B38" s="8">
        <v>1</v>
      </c>
      <c r="C38" s="8">
        <v>2</v>
      </c>
      <c r="D38" s="8" t="s">
        <v>1502</v>
      </c>
      <c r="E38" s="9">
        <v>32.21</v>
      </c>
      <c r="F38" s="8" t="s">
        <v>469</v>
      </c>
      <c r="G38" s="10">
        <v>4540</v>
      </c>
      <c r="H38" s="132">
        <f t="shared" si="6"/>
        <v>46244</v>
      </c>
      <c r="I38" s="140">
        <f t="shared" si="7"/>
        <v>220</v>
      </c>
      <c r="J38" s="9">
        <f t="shared" si="8"/>
        <v>4.8458149779735686</v>
      </c>
      <c r="K38" s="140">
        <f t="shared" si="9"/>
        <v>6</v>
      </c>
      <c r="L38" s="206">
        <f t="shared" si="10"/>
        <v>2.7272727272727271</v>
      </c>
      <c r="M38" s="8" t="str">
        <f t="array" ref="M38">IF(L38&gt;5,"Perlu Sensus",IF(AND(L38&gt;=0,I38&gt;0),"Tetap Deteksi","Belum Deteksi"))</f>
        <v>Tetap Deteksi</v>
      </c>
      <c r="N38" s="132">
        <v>46244</v>
      </c>
      <c r="O38" s="203">
        <v>220</v>
      </c>
      <c r="P38" s="9">
        <f t="array" ref="P38">IFERROR(O38/G38*100,0)</f>
        <v>4.8458149779735686</v>
      </c>
      <c r="Q38" s="203">
        <v>6</v>
      </c>
      <c r="R38" s="9">
        <f t="shared" si="12"/>
        <v>2.7272727272727271</v>
      </c>
      <c r="S38" s="8" t="str">
        <f t="array" ref="S38">IF(R38&gt;5,"Perlu Sensus",IF(AND(R38&gt;=0,O38&gt;0),"Tetap Deteksi","Belum Deteksi"))</f>
        <v>Tetap Deteksi</v>
      </c>
      <c r="T38" s="203">
        <v>4</v>
      </c>
      <c r="U38" s="9">
        <f t="shared" si="11"/>
        <v>1.8181818181818181</v>
      </c>
      <c r="V38" s="132">
        <v>46235</v>
      </c>
      <c r="W38" s="203">
        <v>234</v>
      </c>
      <c r="X38" s="203">
        <v>1</v>
      </c>
      <c r="Y38" s="9">
        <f t="shared" si="5"/>
        <v>0.42735042735042739</v>
      </c>
      <c r="Z38" s="8" t="str">
        <f t="array" ref="Z38">IF(Y38&gt;5,"Perlu Sensus",IF(AND(Y38&gt;0,,O38&gt;0),"Tetap Deteksi","Belum Deteksi"))</f>
        <v>Belum Deteksi</v>
      </c>
    </row>
    <row r="39" spans="1:26" outlineLevel="1" x14ac:dyDescent="0.15">
      <c r="A39" s="8" t="s">
        <v>1043</v>
      </c>
      <c r="B39" s="8">
        <v>1</v>
      </c>
      <c r="C39" s="8">
        <v>2</v>
      </c>
      <c r="D39" s="8" t="s">
        <v>1503</v>
      </c>
      <c r="E39" s="9">
        <v>25.54</v>
      </c>
      <c r="F39" s="8" t="s">
        <v>469</v>
      </c>
      <c r="G39" s="10">
        <v>3333</v>
      </c>
      <c r="H39" s="132">
        <f t="shared" si="6"/>
        <v>46242</v>
      </c>
      <c r="I39" s="140">
        <f t="shared" si="7"/>
        <v>174</v>
      </c>
      <c r="J39" s="9">
        <f t="shared" si="8"/>
        <v>5.2205220522052205</v>
      </c>
      <c r="K39" s="140">
        <f t="shared" si="9"/>
        <v>4</v>
      </c>
      <c r="L39" s="206">
        <f t="shared" si="10"/>
        <v>2.2988505747126435</v>
      </c>
      <c r="M39" s="8" t="str">
        <f t="array" ref="M39">IF(L39&gt;5,"Perlu Sensus",IF(AND(L39&gt;=0,I39&gt;0),"Tetap Deteksi","Belum Deteksi"))</f>
        <v>Tetap Deteksi</v>
      </c>
      <c r="N39" s="132">
        <v>46242</v>
      </c>
      <c r="O39" s="203">
        <v>174</v>
      </c>
      <c r="P39" s="9">
        <f t="array" ref="P39">IFERROR(O39/G39*100,0)</f>
        <v>5.2205220522052205</v>
      </c>
      <c r="Q39" s="203">
        <v>4</v>
      </c>
      <c r="R39" s="9">
        <f t="shared" si="12"/>
        <v>2.2988505747126435</v>
      </c>
      <c r="S39" s="8" t="str">
        <f t="array" ref="S39">IF(R39&gt;5,"Perlu Sensus",IF(AND(R39&gt;=0,O39&gt;0),"Tetap Deteksi","Belum Deteksi"))</f>
        <v>Tetap Deteksi</v>
      </c>
      <c r="T39" s="203">
        <v>0</v>
      </c>
      <c r="U39" s="9">
        <f t="shared" si="11"/>
        <v>0</v>
      </c>
      <c r="V39" s="132">
        <v>46235</v>
      </c>
      <c r="W39" s="203">
        <v>455</v>
      </c>
      <c r="X39" s="203">
        <v>5</v>
      </c>
      <c r="Y39" s="9">
        <f t="shared" si="5"/>
        <v>1.098901098901099</v>
      </c>
      <c r="Z39" s="8" t="str">
        <f t="array" ref="Z39">IF(Y39&gt;5,"Perlu Sensus",IF(AND(Y39&gt;0,,O39&gt;0),"Tetap Deteksi","Belum Deteksi"))</f>
        <v>Belum Deteksi</v>
      </c>
    </row>
    <row r="40" spans="1:26" outlineLevel="1" x14ac:dyDescent="0.15">
      <c r="A40" s="8" t="s">
        <v>1043</v>
      </c>
      <c r="B40" s="8">
        <v>1</v>
      </c>
      <c r="C40" s="8">
        <v>2</v>
      </c>
      <c r="D40" s="8" t="s">
        <v>1504</v>
      </c>
      <c r="E40" s="9">
        <v>24.97</v>
      </c>
      <c r="F40" s="8" t="s">
        <v>469</v>
      </c>
      <c r="G40" s="10">
        <v>3459</v>
      </c>
      <c r="H40" s="132">
        <f t="shared" si="6"/>
        <v>46239</v>
      </c>
      <c r="I40" s="140">
        <f t="shared" si="7"/>
        <v>131</v>
      </c>
      <c r="J40" s="9">
        <f t="shared" si="8"/>
        <v>3.7872217403873956</v>
      </c>
      <c r="K40" s="140">
        <f t="shared" si="9"/>
        <v>1</v>
      </c>
      <c r="L40" s="206">
        <f t="shared" si="10"/>
        <v>0.76335877862595414</v>
      </c>
      <c r="M40" s="8" t="str">
        <f t="array" ref="M40">IF(L40&gt;5,"Perlu Sensus",IF(AND(L40&gt;=0,I40&gt;0),"Tetap Deteksi","Belum Deteksi"))</f>
        <v>Tetap Deteksi</v>
      </c>
      <c r="N40" s="132">
        <v>46239</v>
      </c>
      <c r="O40" s="203">
        <v>131</v>
      </c>
      <c r="P40" s="9">
        <f t="array" ref="P40">IFERROR(O40/G40*100,0)</f>
        <v>3.7872217403873956</v>
      </c>
      <c r="Q40" s="203">
        <v>1</v>
      </c>
      <c r="R40" s="9">
        <f t="shared" si="12"/>
        <v>0.76335877862595414</v>
      </c>
      <c r="S40" s="8" t="str">
        <f t="array" ref="S40">IF(R40&gt;5,"Perlu Sensus",IF(AND(R40&gt;=0,O40&gt;0),"Tetap Deteksi","Belum Deteksi"))</f>
        <v>Tetap Deteksi</v>
      </c>
      <c r="T40" s="203">
        <v>3</v>
      </c>
      <c r="U40" s="9">
        <f t="shared" si="11"/>
        <v>2.2900763358778624</v>
      </c>
      <c r="V40" s="132">
        <v>46235</v>
      </c>
      <c r="W40" s="203">
        <v>183</v>
      </c>
      <c r="X40" s="203">
        <v>4</v>
      </c>
      <c r="Y40" s="9">
        <f t="shared" si="5"/>
        <v>2.1857923497267762</v>
      </c>
      <c r="Z40" s="8" t="str">
        <f t="array" ref="Z40">IF(Y40&gt;5,"Perlu Sensus",IF(AND(Y40&gt;0,,O40&gt;0),"Tetap Deteksi","Belum Deteksi"))</f>
        <v>Belum Deteksi</v>
      </c>
    </row>
    <row r="41" spans="1:26" outlineLevel="1" x14ac:dyDescent="0.15">
      <c r="A41" s="8" t="s">
        <v>1043</v>
      </c>
      <c r="B41" s="8">
        <v>1</v>
      </c>
      <c r="C41" s="8">
        <v>2</v>
      </c>
      <c r="D41" s="8" t="s">
        <v>1505</v>
      </c>
      <c r="E41" s="9">
        <v>26.2</v>
      </c>
      <c r="F41" s="8" t="s">
        <v>469</v>
      </c>
      <c r="G41" s="10">
        <v>3601</v>
      </c>
      <c r="H41" s="132">
        <f t="shared" si="6"/>
        <v>46236</v>
      </c>
      <c r="I41" s="140">
        <f t="shared" si="7"/>
        <v>193</v>
      </c>
      <c r="J41" s="9">
        <f t="shared" si="8"/>
        <v>5.359622327131353</v>
      </c>
      <c r="K41" s="140">
        <f t="shared" si="9"/>
        <v>4</v>
      </c>
      <c r="L41" s="206">
        <f t="shared" si="10"/>
        <v>2.0725388601036272</v>
      </c>
      <c r="M41" s="8" t="str">
        <f t="array" ref="M41">IF(L41&gt;5,"Perlu Sensus",IF(AND(L41&gt;=0,I41&gt;0),"Tetap Deteksi","Belum Deteksi"))</f>
        <v>Tetap Deteksi</v>
      </c>
      <c r="N41" s="132">
        <v>46236</v>
      </c>
      <c r="O41" s="203">
        <v>193</v>
      </c>
      <c r="P41" s="9">
        <f t="array" ref="P41">IFERROR(O41/G41*100,0)</f>
        <v>5.359622327131353</v>
      </c>
      <c r="Q41" s="203">
        <v>4</v>
      </c>
      <c r="R41" s="9">
        <f t="shared" si="12"/>
        <v>2.0725388601036272</v>
      </c>
      <c r="S41" s="8" t="str">
        <f t="array" ref="S41">IF(R41&gt;5,"Perlu Sensus",IF(AND(R41&gt;=0,O41&gt;0),"Tetap Deteksi","Belum Deteksi"))</f>
        <v>Tetap Deteksi</v>
      </c>
      <c r="T41" s="203">
        <v>3</v>
      </c>
      <c r="U41" s="9">
        <f t="shared" si="11"/>
        <v>1.5544041450777202</v>
      </c>
      <c r="V41" s="132">
        <v>46235</v>
      </c>
      <c r="W41" s="203">
        <v>212</v>
      </c>
      <c r="X41" s="203">
        <v>9.9999999999999995E-8</v>
      </c>
      <c r="Y41" s="9">
        <f t="shared" si="5"/>
        <v>4.7169811320754722E-8</v>
      </c>
      <c r="Z41" s="8" t="str">
        <f t="array" ref="Z41">IF(Y41&gt;5,"Perlu Sensus",IF(AND(Y41&gt;0,,O41&gt;0),"Tetap Deteksi","Belum Deteksi"))</f>
        <v>Belum Deteksi</v>
      </c>
    </row>
    <row r="42" spans="1:26" outlineLevel="1" x14ac:dyDescent="0.15">
      <c r="A42" s="8" t="s">
        <v>1043</v>
      </c>
      <c r="B42" s="8">
        <v>1</v>
      </c>
      <c r="C42" s="8">
        <v>2</v>
      </c>
      <c r="D42" s="8" t="s">
        <v>1506</v>
      </c>
      <c r="E42" s="9">
        <v>25.2</v>
      </c>
      <c r="F42" s="8" t="s">
        <v>469</v>
      </c>
      <c r="G42" s="10">
        <v>3534</v>
      </c>
      <c r="H42" s="132">
        <f t="shared" si="6"/>
        <v>46237</v>
      </c>
      <c r="I42" s="140">
        <f t="shared" si="7"/>
        <v>201</v>
      </c>
      <c r="J42" s="9">
        <f t="shared" si="8"/>
        <v>5.68760611205433</v>
      </c>
      <c r="K42" s="140">
        <f t="shared" si="9"/>
        <v>4</v>
      </c>
      <c r="L42" s="206">
        <f t="shared" si="10"/>
        <v>1.9900497512437811</v>
      </c>
      <c r="M42" s="8" t="str">
        <f t="array" ref="M42">IF(L42&gt;5,"Perlu Sensus",IF(AND(L42&gt;=0,I42&gt;0),"Tetap Deteksi","Belum Deteksi"))</f>
        <v>Tetap Deteksi</v>
      </c>
      <c r="N42" s="132">
        <v>46237</v>
      </c>
      <c r="O42" s="203">
        <v>201</v>
      </c>
      <c r="P42" s="9">
        <f t="array" ref="P42">IFERROR(O42/G42*100,0)</f>
        <v>5.68760611205433</v>
      </c>
      <c r="Q42" s="203">
        <v>4</v>
      </c>
      <c r="R42" s="9">
        <f t="shared" si="12"/>
        <v>1.9900497512437811</v>
      </c>
      <c r="S42" s="8" t="str">
        <f t="array" ref="S42">IF(R42&gt;5,"Perlu Sensus",IF(AND(R42&gt;=0,O42&gt;0),"Tetap Deteksi","Belum Deteksi"))</f>
        <v>Tetap Deteksi</v>
      </c>
      <c r="T42" s="203">
        <v>0</v>
      </c>
      <c r="U42" s="9">
        <f t="shared" si="11"/>
        <v>0</v>
      </c>
      <c r="V42" s="132">
        <v>46235</v>
      </c>
      <c r="W42" s="203">
        <v>189</v>
      </c>
      <c r="X42" s="203">
        <v>6</v>
      </c>
      <c r="Y42" s="9">
        <f t="shared" si="5"/>
        <v>3.1746031746031744</v>
      </c>
      <c r="Z42" s="8" t="str">
        <f t="array" ref="Z42">IF(Y42&gt;5,"Perlu Sensus",IF(AND(Y42&gt;0,,O42&gt;0),"Tetap Deteksi","Belum Deteksi"))</f>
        <v>Belum Deteksi</v>
      </c>
    </row>
    <row r="43" spans="1:26" outlineLevel="1" x14ac:dyDescent="0.15">
      <c r="A43" s="8" t="s">
        <v>1043</v>
      </c>
      <c r="B43" s="8">
        <v>1</v>
      </c>
      <c r="C43" s="8">
        <v>2</v>
      </c>
      <c r="D43" s="8" t="s">
        <v>1507</v>
      </c>
      <c r="E43" s="9">
        <v>26.59</v>
      </c>
      <c r="F43" s="8" t="s">
        <v>469</v>
      </c>
      <c r="G43" s="10">
        <v>3685</v>
      </c>
      <c r="H43" s="132">
        <f t="shared" si="6"/>
        <v>46239</v>
      </c>
      <c r="I43" s="140">
        <f t="shared" si="7"/>
        <v>205</v>
      </c>
      <c r="J43" s="9">
        <f t="shared" si="8"/>
        <v>5.5630936227951153</v>
      </c>
      <c r="K43" s="140">
        <f t="shared" si="9"/>
        <v>4</v>
      </c>
      <c r="L43" s="206">
        <f t="shared" si="10"/>
        <v>1.9512195121951219</v>
      </c>
      <c r="M43" s="8" t="str">
        <f t="array" ref="M43">IF(L43&gt;5,"Perlu Sensus",IF(AND(L43&gt;=0,I43&gt;0),"Tetap Deteksi","Belum Deteksi"))</f>
        <v>Tetap Deteksi</v>
      </c>
      <c r="N43" s="132">
        <v>46239</v>
      </c>
      <c r="O43" s="203">
        <v>205</v>
      </c>
      <c r="P43" s="9">
        <f t="array" ref="P43">IFERROR(O43/G43*100,0)</f>
        <v>5.5630936227951153</v>
      </c>
      <c r="Q43" s="203">
        <v>4</v>
      </c>
      <c r="R43" s="9">
        <f t="shared" si="12"/>
        <v>1.9512195121951219</v>
      </c>
      <c r="S43" s="8" t="str">
        <f t="array" ref="S43">IF(R43&gt;5,"Perlu Sensus",IF(AND(R43&gt;=0,O43&gt;0),"Tetap Deteksi","Belum Deteksi"))</f>
        <v>Tetap Deteksi</v>
      </c>
      <c r="T43" s="203">
        <v>0</v>
      </c>
      <c r="U43" s="9">
        <f t="shared" si="11"/>
        <v>0</v>
      </c>
      <c r="V43" s="132">
        <v>46235</v>
      </c>
      <c r="W43" s="203">
        <v>194</v>
      </c>
      <c r="X43" s="203">
        <v>6</v>
      </c>
      <c r="Y43" s="9">
        <f t="shared" si="5"/>
        <v>3.0927835051546393</v>
      </c>
      <c r="Z43" s="8" t="str">
        <f t="array" ref="Z43">IF(Y43&gt;5,"Perlu Sensus",IF(AND(Y43&gt;0,,O43&gt;0),"Tetap Deteksi","Belum Deteksi"))</f>
        <v>Belum Deteksi</v>
      </c>
    </row>
    <row r="44" spans="1:26" outlineLevel="1" x14ac:dyDescent="0.15">
      <c r="A44" s="8" t="s">
        <v>1043</v>
      </c>
      <c r="B44" s="8">
        <v>1</v>
      </c>
      <c r="C44" s="8">
        <v>2</v>
      </c>
      <c r="D44" s="8" t="s">
        <v>1508</v>
      </c>
      <c r="E44" s="9">
        <v>25.47</v>
      </c>
      <c r="F44" s="8" t="s">
        <v>469</v>
      </c>
      <c r="G44" s="10">
        <v>3647</v>
      </c>
      <c r="H44" s="132">
        <f t="shared" si="6"/>
        <v>46248</v>
      </c>
      <c r="I44" s="140">
        <f t="shared" si="7"/>
        <v>96</v>
      </c>
      <c r="J44" s="9">
        <f t="shared" si="8"/>
        <v>2.6323005209761448</v>
      </c>
      <c r="K44" s="140">
        <f t="shared" si="9"/>
        <v>2</v>
      </c>
      <c r="L44" s="206">
        <f t="shared" si="10"/>
        <v>2.083333333333333</v>
      </c>
      <c r="M44" s="8" t="str">
        <f t="array" ref="M44">IF(L44&gt;5,"Perlu Sensus",IF(AND(L44&gt;=0,I44&gt;0),"Tetap Deteksi","Belum Deteksi"))</f>
        <v>Tetap Deteksi</v>
      </c>
      <c r="N44" s="132">
        <v>46248</v>
      </c>
      <c r="O44" s="203">
        <v>96</v>
      </c>
      <c r="P44" s="9">
        <f t="array" ref="P44">IFERROR(O44/G44*100,0)</f>
        <v>2.6323005209761448</v>
      </c>
      <c r="Q44" s="203">
        <v>2</v>
      </c>
      <c r="R44" s="9">
        <f t="shared" si="12"/>
        <v>2.083333333333333</v>
      </c>
      <c r="S44" s="8" t="str">
        <f t="array" ref="S44">IF(R44&gt;5,"Perlu Sensus",IF(AND(R44&gt;=0,O44&gt;0),"Tetap Deteksi","Belum Deteksi"))</f>
        <v>Tetap Deteksi</v>
      </c>
      <c r="T44" s="203">
        <v>3</v>
      </c>
      <c r="U44" s="9">
        <f t="shared" si="11"/>
        <v>3.125</v>
      </c>
      <c r="V44" s="132">
        <v>46235</v>
      </c>
      <c r="W44" s="203">
        <v>226</v>
      </c>
      <c r="X44" s="203">
        <v>8</v>
      </c>
      <c r="Y44" s="9">
        <f t="shared" si="5"/>
        <v>3.5398230088495577</v>
      </c>
      <c r="Z44" s="8" t="str">
        <f t="array" ref="Z44">IF(Y44&gt;5,"Perlu Sensus",IF(AND(Y44&gt;0,,O44&gt;0),"Tetap Deteksi","Belum Deteksi"))</f>
        <v>Belum Deteksi</v>
      </c>
    </row>
    <row r="45" spans="1:26" outlineLevel="1" x14ac:dyDescent="0.15">
      <c r="A45" s="8" t="s">
        <v>1043</v>
      </c>
      <c r="B45" s="8">
        <v>1</v>
      </c>
      <c r="C45" s="8">
        <v>2</v>
      </c>
      <c r="D45" s="8" t="s">
        <v>1509</v>
      </c>
      <c r="E45" s="9">
        <v>26.7</v>
      </c>
      <c r="F45" s="8" t="s">
        <v>469</v>
      </c>
      <c r="G45" s="10">
        <v>3683</v>
      </c>
      <c r="H45" s="132">
        <f t="shared" si="6"/>
        <v>46241</v>
      </c>
      <c r="I45" s="140">
        <f t="shared" si="7"/>
        <v>98</v>
      </c>
      <c r="J45" s="9">
        <f t="shared" si="8"/>
        <v>2.6608742872658158</v>
      </c>
      <c r="K45" s="140">
        <f t="shared" si="9"/>
        <v>2</v>
      </c>
      <c r="L45" s="206">
        <f t="shared" si="10"/>
        <v>2.0408163265306123</v>
      </c>
      <c r="M45" s="8" t="str">
        <f t="array" ref="M45">IF(L45&gt;5,"Perlu Sensus",IF(AND(L45&gt;=0,I45&gt;0),"Tetap Deteksi","Belum Deteksi"))</f>
        <v>Tetap Deteksi</v>
      </c>
      <c r="N45" s="132">
        <v>46241</v>
      </c>
      <c r="O45" s="203">
        <v>98</v>
      </c>
      <c r="P45" s="9">
        <f t="array" ref="P45">IFERROR(O45/G45*100,0)</f>
        <v>2.6608742872658158</v>
      </c>
      <c r="Q45" s="203">
        <v>2</v>
      </c>
      <c r="R45" s="9">
        <f t="shared" si="12"/>
        <v>2.0408163265306123</v>
      </c>
      <c r="S45" s="8" t="str">
        <f t="array" ref="S45">IF(R45&gt;5,"Perlu Sensus",IF(AND(R45&gt;=0,O45&gt;0),"Tetap Deteksi","Belum Deteksi"))</f>
        <v>Tetap Deteksi</v>
      </c>
      <c r="T45" s="203">
        <v>1</v>
      </c>
      <c r="U45" s="9">
        <f t="shared" si="11"/>
        <v>1.0204081632653061</v>
      </c>
      <c r="V45" s="132">
        <v>46235</v>
      </c>
      <c r="W45" s="203">
        <v>221</v>
      </c>
      <c r="X45" s="203">
        <v>1</v>
      </c>
      <c r="Y45" s="9">
        <f t="shared" si="5"/>
        <v>0.45248868778280549</v>
      </c>
      <c r="Z45" s="8" t="str">
        <f t="array" ref="Z45">IF(Y45&gt;5,"Perlu Sensus",IF(AND(Y45&gt;0,,O45&gt;0),"Tetap Deteksi","Belum Deteksi"))</f>
        <v>Belum Deteksi</v>
      </c>
    </row>
    <row r="46" spans="1:26" outlineLevel="1" x14ac:dyDescent="0.15">
      <c r="A46" s="8" t="s">
        <v>1043</v>
      </c>
      <c r="B46" s="8">
        <v>1</v>
      </c>
      <c r="C46" s="8">
        <v>2</v>
      </c>
      <c r="D46" s="8" t="s">
        <v>1510</v>
      </c>
      <c r="E46" s="9">
        <v>25.86</v>
      </c>
      <c r="F46" s="8" t="s">
        <v>469</v>
      </c>
      <c r="G46" s="10">
        <v>3445</v>
      </c>
      <c r="H46" s="132">
        <f t="shared" si="6"/>
        <v>46240</v>
      </c>
      <c r="I46" s="140">
        <f t="shared" si="7"/>
        <v>185</v>
      </c>
      <c r="J46" s="9">
        <f t="shared" si="8"/>
        <v>5.3701015965166912</v>
      </c>
      <c r="K46" s="140">
        <f t="shared" si="9"/>
        <v>4</v>
      </c>
      <c r="L46" s="206">
        <f t="shared" si="10"/>
        <v>2.1621621621621623</v>
      </c>
      <c r="M46" s="8" t="str">
        <f t="array" ref="M46">IF(L46&gt;5,"Perlu Sensus",IF(AND(L46&gt;=0,I46&gt;0),"Tetap Deteksi","Belum Deteksi"))</f>
        <v>Tetap Deteksi</v>
      </c>
      <c r="N46" s="132">
        <v>46240</v>
      </c>
      <c r="O46" s="203">
        <v>185</v>
      </c>
      <c r="P46" s="9">
        <f t="array" ref="P46">IFERROR(O46/G46*100,0)</f>
        <v>5.3701015965166912</v>
      </c>
      <c r="Q46" s="203">
        <v>4</v>
      </c>
      <c r="R46" s="9">
        <f t="shared" si="12"/>
        <v>2.1621621621621623</v>
      </c>
      <c r="S46" s="8" t="str">
        <f t="array" ref="S46">IF(R46&gt;5,"Perlu Sensus",IF(AND(R46&gt;=0,O46&gt;0),"Tetap Deteksi","Belum Deteksi"))</f>
        <v>Tetap Deteksi</v>
      </c>
      <c r="T46" s="203">
        <v>0</v>
      </c>
      <c r="U46" s="9">
        <f t="shared" si="11"/>
        <v>0</v>
      </c>
      <c r="V46" s="132">
        <v>46235</v>
      </c>
      <c r="W46" s="203">
        <v>176</v>
      </c>
      <c r="X46" s="203">
        <v>6</v>
      </c>
      <c r="Y46" s="9">
        <f t="shared" si="5"/>
        <v>3.4090909090909087</v>
      </c>
      <c r="Z46" s="8" t="str">
        <f t="array" ref="Z46">IF(Y46&gt;5,"Perlu Sensus",IF(AND(Y46&gt;0,,O46&gt;0),"Tetap Deteksi","Belum Deteksi"))</f>
        <v>Belum Deteksi</v>
      </c>
    </row>
    <row r="47" spans="1:26" outlineLevel="1" x14ac:dyDescent="0.15">
      <c r="A47" s="8" t="s">
        <v>1043</v>
      </c>
      <c r="B47" s="8">
        <v>1</v>
      </c>
      <c r="C47" s="8">
        <v>2</v>
      </c>
      <c r="D47" s="8" t="s">
        <v>1511</v>
      </c>
      <c r="E47" s="9">
        <v>25.08</v>
      </c>
      <c r="F47" s="8" t="s">
        <v>469</v>
      </c>
      <c r="G47" s="10">
        <v>3241</v>
      </c>
      <c r="H47" s="132">
        <f t="shared" si="6"/>
        <v>46241</v>
      </c>
      <c r="I47" s="140">
        <f t="shared" si="7"/>
        <v>188</v>
      </c>
      <c r="J47" s="9">
        <f t="shared" si="8"/>
        <v>5.8006788028386307</v>
      </c>
      <c r="K47" s="140">
        <f t="shared" si="9"/>
        <v>4</v>
      </c>
      <c r="L47" s="206">
        <f t="shared" si="10"/>
        <v>2.1276595744680851</v>
      </c>
      <c r="M47" s="8" t="str">
        <f t="array" ref="M47">IF(L47&gt;5,"Perlu Sensus",IF(AND(L47&gt;=0,I47&gt;0),"Tetap Deteksi","Belum Deteksi"))</f>
        <v>Tetap Deteksi</v>
      </c>
      <c r="N47" s="132">
        <v>46241</v>
      </c>
      <c r="O47" s="203">
        <v>188</v>
      </c>
      <c r="P47" s="9">
        <f t="array" ref="P47">IFERROR(O47/G47*100,0)</f>
        <v>5.8006788028386307</v>
      </c>
      <c r="Q47" s="203">
        <v>4</v>
      </c>
      <c r="R47" s="9">
        <f t="shared" si="12"/>
        <v>2.1276595744680851</v>
      </c>
      <c r="S47" s="8" t="str">
        <f t="array" ref="S47">IF(R47&gt;5,"Perlu Sensus",IF(AND(R47&gt;=0,O47&gt;0),"Tetap Deteksi","Belum Deteksi"))</f>
        <v>Tetap Deteksi</v>
      </c>
      <c r="T47" s="203">
        <v>4</v>
      </c>
      <c r="U47" s="9">
        <f t="shared" si="11"/>
        <v>2.1276595744680851</v>
      </c>
      <c r="V47" s="132">
        <v>46235</v>
      </c>
      <c r="W47" s="203">
        <v>1094</v>
      </c>
      <c r="X47" s="203">
        <v>10</v>
      </c>
      <c r="Y47" s="9">
        <f t="shared" si="5"/>
        <v>0.91407678244972579</v>
      </c>
      <c r="Z47" s="8" t="str">
        <f t="array" ref="Z47">IF(Y47&gt;5,"Perlu Sensus",IF(AND(Y47&gt;0,,O47&gt;0),"Tetap Deteksi","Belum Deteksi"))</f>
        <v>Belum Deteksi</v>
      </c>
    </row>
    <row r="48" spans="1:26" outlineLevel="1" x14ac:dyDescent="0.15">
      <c r="A48" s="8" t="s">
        <v>1043</v>
      </c>
      <c r="B48" s="8">
        <v>1</v>
      </c>
      <c r="C48" s="8">
        <v>2</v>
      </c>
      <c r="D48" s="8" t="s">
        <v>1512</v>
      </c>
      <c r="E48" s="9">
        <v>43.14</v>
      </c>
      <c r="F48" s="8" t="s">
        <v>469</v>
      </c>
      <c r="G48" s="10">
        <v>5393</v>
      </c>
      <c r="H48" s="132">
        <f t="shared" si="6"/>
        <v>46235</v>
      </c>
      <c r="I48" s="140">
        <f t="shared" si="7"/>
        <v>265</v>
      </c>
      <c r="J48" s="9">
        <f t="shared" si="8"/>
        <v>4.9137771184869274</v>
      </c>
      <c r="K48" s="140">
        <f t="shared" si="9"/>
        <v>4</v>
      </c>
      <c r="L48" s="206">
        <f t="shared" si="10"/>
        <v>1.5094339622641511</v>
      </c>
      <c r="M48" s="8" t="str">
        <f t="array" ref="M48">IF(L48&gt;5,"Perlu Sensus",IF(AND(L48&gt;=0,I48&gt;0),"Tetap Deteksi","Belum Deteksi"))</f>
        <v>Tetap Deteksi</v>
      </c>
      <c r="N48" s="132">
        <v>46235</v>
      </c>
      <c r="O48" s="203">
        <v>265</v>
      </c>
      <c r="P48" s="9">
        <f t="array" ref="P48">IFERROR(O48/G48*100,0)</f>
        <v>4.9137771184869274</v>
      </c>
      <c r="Q48" s="203">
        <v>4</v>
      </c>
      <c r="R48" s="9">
        <f t="shared" si="12"/>
        <v>1.5094339622641511</v>
      </c>
      <c r="S48" s="8" t="str">
        <f t="array" ref="S48">IF(R48&gt;5,"Perlu Sensus",IF(AND(R48&gt;=0,O48&gt;0),"Tetap Deteksi","Belum Deteksi"))</f>
        <v>Tetap Deteksi</v>
      </c>
      <c r="T48" s="203">
        <v>5</v>
      </c>
      <c r="U48" s="9">
        <f t="shared" si="11"/>
        <v>1.8867924528301887</v>
      </c>
      <c r="V48" s="132">
        <v>46235</v>
      </c>
      <c r="W48" s="203">
        <v>598</v>
      </c>
      <c r="X48" s="203">
        <v>6</v>
      </c>
      <c r="Y48" s="9">
        <f t="shared" si="5"/>
        <v>1.0033444816053512</v>
      </c>
      <c r="Z48" s="8" t="str">
        <f t="array" ref="Z48">IF(Y48&gt;5,"Perlu Sensus",IF(AND(Y48&gt;0,,O48&gt;0),"Tetap Deteksi","Belum Deteksi"))</f>
        <v>Belum Deteksi</v>
      </c>
    </row>
    <row r="49" spans="1:26" outlineLevel="1" x14ac:dyDescent="0.15">
      <c r="A49" s="8" t="s">
        <v>1043</v>
      </c>
      <c r="B49" s="8">
        <v>1</v>
      </c>
      <c r="C49" s="8">
        <v>2</v>
      </c>
      <c r="D49" s="8" t="s">
        <v>1513</v>
      </c>
      <c r="E49" s="9">
        <v>24.98</v>
      </c>
      <c r="F49" s="8" t="s">
        <v>469</v>
      </c>
      <c r="G49" s="10">
        <v>3087</v>
      </c>
      <c r="H49" s="132">
        <f t="shared" si="6"/>
        <v>46249</v>
      </c>
      <c r="I49" s="140">
        <f t="shared" si="7"/>
        <v>128</v>
      </c>
      <c r="J49" s="9">
        <f t="shared" si="8"/>
        <v>4.1464204729510854</v>
      </c>
      <c r="K49" s="140">
        <f t="shared" si="9"/>
        <v>3</v>
      </c>
      <c r="L49" s="206">
        <f t="shared" si="10"/>
        <v>2.34375</v>
      </c>
      <c r="M49" s="8" t="str">
        <f t="array" ref="M49">IF(L49&gt;5,"Perlu Sensus",IF(AND(L49&gt;=0,I49&gt;0),"Tetap Deteksi","Belum Deteksi"))</f>
        <v>Tetap Deteksi</v>
      </c>
      <c r="N49" s="132">
        <v>46249</v>
      </c>
      <c r="O49" s="203">
        <v>128</v>
      </c>
      <c r="P49" s="9">
        <f t="array" ref="P49">IFERROR(O49/G49*100,0)</f>
        <v>4.1464204729510854</v>
      </c>
      <c r="Q49" s="203">
        <v>3</v>
      </c>
      <c r="R49" s="9">
        <f t="shared" si="12"/>
        <v>2.34375</v>
      </c>
      <c r="S49" s="8" t="str">
        <f t="array" ref="S49">IF(R49&gt;5,"Perlu Sensus",IF(AND(R49&gt;=0,O49&gt;0),"Tetap Deteksi","Belum Deteksi"))</f>
        <v>Tetap Deteksi</v>
      </c>
      <c r="T49" s="203">
        <v>4</v>
      </c>
      <c r="U49" s="9">
        <f t="shared" si="11"/>
        <v>3.125</v>
      </c>
      <c r="V49" s="132">
        <v>46235</v>
      </c>
      <c r="W49" s="203">
        <v>168</v>
      </c>
      <c r="X49" s="203">
        <v>5</v>
      </c>
      <c r="Y49" s="9">
        <f t="shared" si="5"/>
        <v>2.9761904761904758</v>
      </c>
      <c r="Z49" s="8" t="str">
        <f t="array" ref="Z49">IF(Y49&gt;5,"Perlu Sensus",IF(AND(Y49&gt;0,,O49&gt;0),"Tetap Deteksi","Belum Deteksi"))</f>
        <v>Belum Deteksi</v>
      </c>
    </row>
    <row r="50" spans="1:26" outlineLevel="1" x14ac:dyDescent="0.15">
      <c r="A50" s="8" t="s">
        <v>1043</v>
      </c>
      <c r="B50" s="8">
        <v>1</v>
      </c>
      <c r="C50" s="8">
        <v>2</v>
      </c>
      <c r="D50" s="8" t="s">
        <v>1514</v>
      </c>
      <c r="E50" s="9">
        <v>25.23</v>
      </c>
      <c r="F50" s="8" t="s">
        <v>469</v>
      </c>
      <c r="G50" s="10">
        <v>3460</v>
      </c>
      <c r="H50" s="132">
        <f t="shared" si="6"/>
        <v>46249</v>
      </c>
      <c r="I50" s="140">
        <f t="shared" si="7"/>
        <v>103</v>
      </c>
      <c r="J50" s="9">
        <f t="shared" si="8"/>
        <v>2.9768786127167628</v>
      </c>
      <c r="K50" s="140">
        <f t="shared" si="9"/>
        <v>2</v>
      </c>
      <c r="L50" s="206">
        <f t="shared" si="10"/>
        <v>1.9417475728155338</v>
      </c>
      <c r="M50" s="8" t="str">
        <f t="array" ref="M50">IF(L50&gt;5,"Perlu Sensus",IF(AND(L50&gt;=0,I50&gt;0),"Tetap Deteksi","Belum Deteksi"))</f>
        <v>Tetap Deteksi</v>
      </c>
      <c r="N50" s="132">
        <v>46249</v>
      </c>
      <c r="O50" s="203">
        <v>103</v>
      </c>
      <c r="P50" s="9">
        <f t="array" ref="P50">IFERROR(O50/G50*100,0)</f>
        <v>2.9768786127167628</v>
      </c>
      <c r="Q50" s="203">
        <v>2</v>
      </c>
      <c r="R50" s="9">
        <f t="shared" si="12"/>
        <v>1.9417475728155338</v>
      </c>
      <c r="S50" s="8" t="str">
        <f t="array" ref="S50">IF(R50&gt;5,"Perlu Sensus",IF(AND(R50&gt;=0,O50&gt;0),"Tetap Deteksi","Belum Deteksi"))</f>
        <v>Tetap Deteksi</v>
      </c>
      <c r="T50" s="203">
        <v>3</v>
      </c>
      <c r="U50" s="9">
        <f t="shared" si="11"/>
        <v>2.912621359223301</v>
      </c>
      <c r="V50" s="132">
        <v>46235</v>
      </c>
      <c r="W50" s="203">
        <v>174</v>
      </c>
      <c r="X50" s="203">
        <v>5</v>
      </c>
      <c r="Y50" s="9">
        <f t="shared" si="5"/>
        <v>2.8735632183908044</v>
      </c>
      <c r="Z50" s="8" t="str">
        <f t="array" ref="Z50">IF(Y50&gt;5,"Perlu Sensus",IF(AND(Y50&gt;0,,O50&gt;0),"Tetap Deteksi","Belum Deteksi"))</f>
        <v>Belum Deteksi</v>
      </c>
    </row>
    <row r="51" spans="1:26" outlineLevel="1" x14ac:dyDescent="0.15">
      <c r="A51" s="8" t="s">
        <v>1043</v>
      </c>
      <c r="B51" s="8">
        <v>1</v>
      </c>
      <c r="C51" s="8">
        <v>2</v>
      </c>
      <c r="D51" s="8" t="s">
        <v>1515</v>
      </c>
      <c r="E51" s="9">
        <v>25.549999999999997</v>
      </c>
      <c r="F51" s="8" t="s">
        <v>469</v>
      </c>
      <c r="G51" s="10">
        <v>3373</v>
      </c>
      <c r="H51" s="132">
        <f t="shared" si="6"/>
        <v>46238</v>
      </c>
      <c r="I51" s="140">
        <f t="shared" si="7"/>
        <v>192</v>
      </c>
      <c r="J51" s="9">
        <f t="shared" si="8"/>
        <v>5.6922620812333236</v>
      </c>
      <c r="K51" s="140">
        <f t="shared" si="9"/>
        <v>4</v>
      </c>
      <c r="L51" s="206">
        <f t="shared" si="10"/>
        <v>2.083333333333333</v>
      </c>
      <c r="M51" s="8" t="str">
        <f t="array" ref="M51">IF(L51&gt;5,"Perlu Sensus",IF(AND(L51&gt;=0,I51&gt;0),"Tetap Deteksi","Belum Deteksi"))</f>
        <v>Tetap Deteksi</v>
      </c>
      <c r="N51" s="132">
        <v>46238</v>
      </c>
      <c r="O51" s="203">
        <v>192</v>
      </c>
      <c r="P51" s="9">
        <f t="array" ref="P51">IFERROR(O51/G51*100,0)</f>
        <v>5.6922620812333236</v>
      </c>
      <c r="Q51" s="203">
        <v>4</v>
      </c>
      <c r="R51" s="9">
        <f t="shared" si="12"/>
        <v>2.083333333333333</v>
      </c>
      <c r="S51" s="8" t="str">
        <f t="array" ref="S51">IF(R51&gt;5,"Perlu Sensus",IF(AND(R51&gt;=0,O51&gt;0),"Tetap Deteksi","Belum Deteksi"))</f>
        <v>Tetap Deteksi</v>
      </c>
      <c r="T51" s="203">
        <v>0</v>
      </c>
      <c r="U51" s="9">
        <f t="shared" si="11"/>
        <v>0</v>
      </c>
      <c r="V51" s="132">
        <v>46235</v>
      </c>
      <c r="W51" s="203">
        <v>199</v>
      </c>
      <c r="X51" s="203">
        <v>1</v>
      </c>
      <c r="Y51" s="9">
        <f t="shared" si="5"/>
        <v>0.50251256281407031</v>
      </c>
      <c r="Z51" s="8" t="str">
        <f t="array" ref="Z51">IF(Y51&gt;5,"Perlu Sensus",IF(AND(Y51&gt;0,,O51&gt;0),"Tetap Deteksi","Belum Deteksi"))</f>
        <v>Belum Deteksi</v>
      </c>
    </row>
    <row r="52" spans="1:26" outlineLevel="1" x14ac:dyDescent="0.15">
      <c r="A52" s="8" t="s">
        <v>1043</v>
      </c>
      <c r="B52" s="8">
        <v>1</v>
      </c>
      <c r="C52" s="8">
        <v>2</v>
      </c>
      <c r="D52" s="8" t="s">
        <v>1516</v>
      </c>
      <c r="E52" s="9">
        <v>24.11</v>
      </c>
      <c r="F52" s="8" t="s">
        <v>469</v>
      </c>
      <c r="G52" s="10">
        <v>3095</v>
      </c>
      <c r="H52" s="132">
        <f t="shared" si="6"/>
        <v>46238</v>
      </c>
      <c r="I52" s="140">
        <f t="shared" si="7"/>
        <v>158</v>
      </c>
      <c r="J52" s="9">
        <f t="shared" si="8"/>
        <v>5.1050080775444258</v>
      </c>
      <c r="K52" s="140">
        <f t="shared" si="9"/>
        <v>4</v>
      </c>
      <c r="L52" s="206">
        <f t="shared" si="10"/>
        <v>2.5316455696202533</v>
      </c>
      <c r="M52" s="8" t="str">
        <f t="array" ref="M52">IF(L52&gt;5,"Perlu Sensus",IF(AND(L52&gt;=0,I52&gt;0),"Tetap Deteksi","Belum Deteksi"))</f>
        <v>Tetap Deteksi</v>
      </c>
      <c r="N52" s="132">
        <v>46238</v>
      </c>
      <c r="O52" s="203">
        <v>158</v>
      </c>
      <c r="P52" s="9">
        <f t="array" ref="P52">IFERROR(O52/G52*100,0)</f>
        <v>5.1050080775444258</v>
      </c>
      <c r="Q52" s="203">
        <v>4</v>
      </c>
      <c r="R52" s="9">
        <f t="shared" si="12"/>
        <v>2.5316455696202533</v>
      </c>
      <c r="S52" s="8" t="str">
        <f t="array" ref="S52">IF(R52&gt;5,"Perlu Sensus",IF(AND(R52&gt;=0,O52&gt;0),"Tetap Deteksi","Belum Deteksi"))</f>
        <v>Tetap Deteksi</v>
      </c>
      <c r="T52" s="203">
        <v>5</v>
      </c>
      <c r="U52" s="9">
        <f t="shared" si="11"/>
        <v>3.1645569620253164</v>
      </c>
      <c r="V52" s="132">
        <v>46235</v>
      </c>
      <c r="W52" s="203">
        <v>174</v>
      </c>
      <c r="X52" s="203">
        <v>4</v>
      </c>
      <c r="Y52" s="9">
        <f t="shared" si="5"/>
        <v>2.2988505747126435</v>
      </c>
      <c r="Z52" s="8" t="str">
        <f t="array" ref="Z52">IF(Y52&gt;5,"Perlu Sensus",IF(AND(Y52&gt;0,,O52&gt;0),"Tetap Deteksi","Belum Deteksi"))</f>
        <v>Belum Deteksi</v>
      </c>
    </row>
    <row r="53" spans="1:26" outlineLevel="1" x14ac:dyDescent="0.15">
      <c r="A53" s="8" t="s">
        <v>1043</v>
      </c>
      <c r="B53" s="8">
        <v>1</v>
      </c>
      <c r="C53" s="8">
        <v>3</v>
      </c>
      <c r="D53" s="8" t="s">
        <v>1517</v>
      </c>
      <c r="E53" s="9">
        <v>21.96</v>
      </c>
      <c r="F53" s="8" t="s">
        <v>469</v>
      </c>
      <c r="G53" s="10">
        <v>3181</v>
      </c>
      <c r="H53" s="132">
        <f t="shared" si="6"/>
        <v>46241</v>
      </c>
      <c r="I53" s="140">
        <f t="shared" si="7"/>
        <v>223</v>
      </c>
      <c r="J53" s="9">
        <f t="shared" si="8"/>
        <v>7.0103740961961645</v>
      </c>
      <c r="K53" s="140">
        <f t="shared" si="9"/>
        <v>7</v>
      </c>
      <c r="L53" s="206">
        <f t="shared" si="10"/>
        <v>3.1390134529147984</v>
      </c>
      <c r="M53" s="8" t="str">
        <f t="array" ref="M53">IF(L53&gt;5,"Perlu Sensus",IF(AND(L53&gt;=0,I53&gt;0),"Tetap Deteksi","Belum Deteksi"))</f>
        <v>Tetap Deteksi</v>
      </c>
      <c r="N53" s="132">
        <v>46241</v>
      </c>
      <c r="O53" s="203">
        <v>223</v>
      </c>
      <c r="P53" s="9">
        <f t="array" ref="P53">IFERROR(O53/G53*100,0)</f>
        <v>7.0103740961961645</v>
      </c>
      <c r="Q53" s="203">
        <v>7</v>
      </c>
      <c r="R53" s="9">
        <f t="shared" si="12"/>
        <v>3.1390134529147984</v>
      </c>
      <c r="S53" s="8" t="str">
        <f t="array" ref="S53">IF(R53&gt;5,"Perlu Sensus",IF(AND(R53&gt;=0,O53&gt;0),"Tetap Deteksi","Belum Deteksi"))</f>
        <v>Tetap Deteksi</v>
      </c>
      <c r="T53" s="203">
        <v>3</v>
      </c>
      <c r="U53" s="9">
        <f t="shared" si="11"/>
        <v>1.3452914798206279</v>
      </c>
      <c r="V53" s="132">
        <v>46241</v>
      </c>
      <c r="W53" s="203">
        <v>224</v>
      </c>
      <c r="X53" s="203">
        <v>5</v>
      </c>
      <c r="Y53" s="9">
        <f t="shared" si="5"/>
        <v>2.2321428571428572</v>
      </c>
      <c r="Z53" s="8" t="str">
        <f t="array" ref="Z53">IF(Y53&gt;5,"Perlu Sensus",IF(AND(Y53&gt;0,,O53&gt;0),"Tetap Deteksi","Belum Deteksi"))</f>
        <v>Belum Deteksi</v>
      </c>
    </row>
    <row r="54" spans="1:26" outlineLevel="1" x14ac:dyDescent="0.15">
      <c r="A54" s="8" t="s">
        <v>1043</v>
      </c>
      <c r="B54" s="8">
        <v>1</v>
      </c>
      <c r="C54" s="8">
        <v>3</v>
      </c>
      <c r="D54" s="8" t="s">
        <v>1518</v>
      </c>
      <c r="E54" s="9">
        <v>25.4</v>
      </c>
      <c r="F54" s="8" t="s">
        <v>469</v>
      </c>
      <c r="G54" s="10">
        <v>3446</v>
      </c>
      <c r="H54" s="132">
        <f t="shared" si="6"/>
        <v>46247</v>
      </c>
      <c r="I54" s="140">
        <f t="shared" si="7"/>
        <v>120</v>
      </c>
      <c r="J54" s="9">
        <f t="shared" si="8"/>
        <v>3.4822983168891466</v>
      </c>
      <c r="K54" s="140">
        <f t="shared" si="9"/>
        <v>3</v>
      </c>
      <c r="L54" s="206">
        <f t="shared" si="10"/>
        <v>2.5</v>
      </c>
      <c r="M54" s="8" t="str">
        <f t="array" ref="M54">IF(L54&gt;5,"Perlu Sensus",IF(AND(L54&gt;=0,I54&gt;0),"Tetap Deteksi","Belum Deteksi"))</f>
        <v>Tetap Deteksi</v>
      </c>
      <c r="N54" s="132">
        <v>46247</v>
      </c>
      <c r="O54" s="203">
        <v>120</v>
      </c>
      <c r="P54" s="9">
        <f t="array" ref="P54">IFERROR(O54/G54*100,0)</f>
        <v>3.4822983168891466</v>
      </c>
      <c r="Q54" s="203">
        <v>3</v>
      </c>
      <c r="R54" s="9">
        <f t="shared" si="12"/>
        <v>2.5</v>
      </c>
      <c r="S54" s="8" t="str">
        <f t="array" ref="S54">IF(R54&gt;5,"Perlu Sensus",IF(AND(R54&gt;=0,O54&gt;0),"Tetap Deteksi","Belum Deteksi"))</f>
        <v>Tetap Deteksi</v>
      </c>
      <c r="T54" s="203">
        <v>3</v>
      </c>
      <c r="U54" s="9">
        <f t="shared" si="11"/>
        <v>2.5</v>
      </c>
      <c r="V54" s="132">
        <v>46241</v>
      </c>
      <c r="W54" s="203">
        <v>870</v>
      </c>
      <c r="X54" s="203">
        <v>18</v>
      </c>
      <c r="Y54" s="9">
        <f t="shared" si="5"/>
        <v>2.0689655172413794</v>
      </c>
      <c r="Z54" s="8" t="str">
        <f t="array" ref="Z54">IF(Y54&gt;5,"Perlu Sensus",IF(AND(Y54&gt;0,,O54&gt;0),"Tetap Deteksi","Belum Deteksi"))</f>
        <v>Belum Deteksi</v>
      </c>
    </row>
    <row r="55" spans="1:26" outlineLevel="1" x14ac:dyDescent="0.15">
      <c r="A55" s="8" t="s">
        <v>1043</v>
      </c>
      <c r="B55" s="8">
        <v>1</v>
      </c>
      <c r="C55" s="8">
        <v>3</v>
      </c>
      <c r="D55" s="8" t="s">
        <v>1519</v>
      </c>
      <c r="E55" s="9">
        <v>32.730000000000004</v>
      </c>
      <c r="F55" s="8" t="s">
        <v>469</v>
      </c>
      <c r="G55" s="10">
        <v>4121</v>
      </c>
      <c r="H55" s="132">
        <f t="shared" si="6"/>
        <v>46241</v>
      </c>
      <c r="I55" s="140">
        <f t="shared" si="7"/>
        <v>202</v>
      </c>
      <c r="J55" s="9">
        <f t="shared" si="8"/>
        <v>4.901722882795438</v>
      </c>
      <c r="K55" s="140">
        <f t="shared" si="9"/>
        <v>2</v>
      </c>
      <c r="L55" s="206">
        <f t="shared" si="10"/>
        <v>0.99009900990099009</v>
      </c>
      <c r="M55" s="8" t="str">
        <f t="array" ref="M55">IF(L55&gt;5,"Perlu Sensus",IF(AND(L55&gt;=0,I55&gt;0),"Tetap Deteksi","Belum Deteksi"))</f>
        <v>Tetap Deteksi</v>
      </c>
      <c r="N55" s="132">
        <v>46241</v>
      </c>
      <c r="O55" s="203">
        <v>202</v>
      </c>
      <c r="P55" s="9">
        <f t="array" ref="P55">IFERROR(O55/G55*100,0)</f>
        <v>4.901722882795438</v>
      </c>
      <c r="Q55" s="203">
        <v>2</v>
      </c>
      <c r="R55" s="9">
        <f t="shared" si="12"/>
        <v>0.99009900990099009</v>
      </c>
      <c r="S55" s="8" t="str">
        <f t="array" ref="S55">IF(R55&gt;5,"Perlu Sensus",IF(AND(R55&gt;=0,O55&gt;0),"Tetap Deteksi","Belum Deteksi"))</f>
        <v>Tetap Deteksi</v>
      </c>
      <c r="T55" s="203">
        <v>1</v>
      </c>
      <c r="U55" s="9">
        <f t="shared" si="11"/>
        <v>0.49504950495049505</v>
      </c>
      <c r="V55" s="132">
        <v>46241</v>
      </c>
      <c r="W55" s="203">
        <v>160</v>
      </c>
      <c r="X55" s="203">
        <v>6</v>
      </c>
      <c r="Y55" s="9">
        <f t="shared" si="5"/>
        <v>3.75</v>
      </c>
      <c r="Z55" s="8" t="str">
        <f t="array" ref="Z55">IF(Y55&gt;5,"Perlu Sensus",IF(AND(Y55&gt;0,,O55&gt;0),"Tetap Deteksi","Belum Deteksi"))</f>
        <v>Belum Deteksi</v>
      </c>
    </row>
    <row r="56" spans="1:26" outlineLevel="1" x14ac:dyDescent="0.15">
      <c r="A56" s="8" t="s">
        <v>1043</v>
      </c>
      <c r="B56" s="8">
        <v>1</v>
      </c>
      <c r="C56" s="8">
        <v>3</v>
      </c>
      <c r="D56" s="8" t="s">
        <v>1520</v>
      </c>
      <c r="E56" s="9">
        <v>38.43</v>
      </c>
      <c r="F56" s="8" t="s">
        <v>469</v>
      </c>
      <c r="G56" s="10">
        <v>4653</v>
      </c>
      <c r="H56" s="132">
        <f t="shared" si="6"/>
        <v>46248</v>
      </c>
      <c r="I56" s="140">
        <f t="shared" si="7"/>
        <v>114</v>
      </c>
      <c r="J56" s="9">
        <f t="shared" si="8"/>
        <v>2.4500322372662797</v>
      </c>
      <c r="K56" s="140">
        <f t="shared" si="9"/>
        <v>4</v>
      </c>
      <c r="L56" s="206">
        <f t="shared" si="10"/>
        <v>3.5087719298245612</v>
      </c>
      <c r="M56" s="8" t="str">
        <f t="array" ref="M56">IF(L56&gt;5,"Perlu Sensus",IF(AND(L56&gt;=0,I56&gt;0),"Tetap Deteksi","Belum Deteksi"))</f>
        <v>Tetap Deteksi</v>
      </c>
      <c r="N56" s="132">
        <v>46248</v>
      </c>
      <c r="O56" s="203">
        <v>114</v>
      </c>
      <c r="P56" s="9">
        <f t="array" ref="P56">IFERROR(O56/G56*100,0)</f>
        <v>2.4500322372662797</v>
      </c>
      <c r="Q56" s="203">
        <v>4</v>
      </c>
      <c r="R56" s="9">
        <f t="shared" si="12"/>
        <v>3.5087719298245612</v>
      </c>
      <c r="S56" s="8" t="str">
        <f t="array" ref="S56">IF(R56&gt;5,"Perlu Sensus",IF(AND(R56&gt;=0,O56&gt;0),"Tetap Deteksi","Belum Deteksi"))</f>
        <v>Tetap Deteksi</v>
      </c>
      <c r="T56" s="203">
        <v>4</v>
      </c>
      <c r="U56" s="9">
        <f t="shared" si="11"/>
        <v>3.5087719298245612</v>
      </c>
      <c r="V56" s="132">
        <v>46241</v>
      </c>
      <c r="W56" s="203">
        <v>273</v>
      </c>
      <c r="X56" s="203">
        <v>4</v>
      </c>
      <c r="Y56" s="9">
        <f t="shared" si="5"/>
        <v>1.4652014652014651</v>
      </c>
      <c r="Z56" s="8" t="str">
        <f t="array" ref="Z56">IF(Y56&gt;5,"Perlu Sensus",IF(AND(Y56&gt;0,,O56&gt;0),"Tetap Deteksi","Belum Deteksi"))</f>
        <v>Belum Deteksi</v>
      </c>
    </row>
    <row r="57" spans="1:26" outlineLevel="1" x14ac:dyDescent="0.15">
      <c r="A57" s="8" t="s">
        <v>1043</v>
      </c>
      <c r="B57" s="8">
        <v>1</v>
      </c>
      <c r="C57" s="8">
        <v>3</v>
      </c>
      <c r="D57" s="8" t="s">
        <v>1521</v>
      </c>
      <c r="E57" s="9">
        <v>25.6</v>
      </c>
      <c r="F57" s="8" t="s">
        <v>469</v>
      </c>
      <c r="G57" s="10">
        <v>3435</v>
      </c>
      <c r="H57" s="132">
        <f t="shared" si="6"/>
        <v>46235</v>
      </c>
      <c r="I57" s="140">
        <f t="shared" si="7"/>
        <v>189</v>
      </c>
      <c r="J57" s="9">
        <f t="shared" si="8"/>
        <v>5.5021834061135371</v>
      </c>
      <c r="K57" s="140">
        <f t="shared" si="9"/>
        <v>4</v>
      </c>
      <c r="L57" s="206">
        <f t="shared" si="10"/>
        <v>2.1164021164021163</v>
      </c>
      <c r="M57" s="8" t="str">
        <f t="array" ref="M57">IF(L57&gt;5,"Perlu Sensus",IF(AND(L57&gt;=0,I57&gt;0),"Tetap Deteksi","Belum Deteksi"))</f>
        <v>Tetap Deteksi</v>
      </c>
      <c r="N57" s="132">
        <v>46235</v>
      </c>
      <c r="O57" s="203">
        <v>189</v>
      </c>
      <c r="P57" s="9">
        <f t="array" ref="P57">IFERROR(O57/G57*100,0)</f>
        <v>5.5021834061135371</v>
      </c>
      <c r="Q57" s="203">
        <v>4</v>
      </c>
      <c r="R57" s="9">
        <f t="shared" si="12"/>
        <v>2.1164021164021163</v>
      </c>
      <c r="S57" s="8" t="str">
        <f t="array" ref="S57">IF(R57&gt;5,"Perlu Sensus",IF(AND(R57&gt;=0,O57&gt;0),"Tetap Deteksi","Belum Deteksi"))</f>
        <v>Tetap Deteksi</v>
      </c>
      <c r="T57" s="203">
        <v>0</v>
      </c>
      <c r="U57" s="9">
        <f t="shared" si="11"/>
        <v>0</v>
      </c>
      <c r="V57" s="132">
        <v>46241</v>
      </c>
      <c r="W57" s="203">
        <v>380</v>
      </c>
      <c r="X57" s="203">
        <v>9</v>
      </c>
      <c r="Y57" s="9">
        <f t="shared" si="5"/>
        <v>2.3684210526315792</v>
      </c>
      <c r="Z57" s="8" t="str">
        <f t="array" ref="Z57">IF(Y57&gt;5,"Perlu Sensus",IF(AND(Y57&gt;0,,O57&gt;0),"Tetap Deteksi","Belum Deteksi"))</f>
        <v>Belum Deteksi</v>
      </c>
    </row>
    <row r="58" spans="1:26" outlineLevel="1" x14ac:dyDescent="0.15">
      <c r="A58" s="8" t="s">
        <v>1043</v>
      </c>
      <c r="B58" s="8">
        <v>1</v>
      </c>
      <c r="C58" s="8">
        <v>3</v>
      </c>
      <c r="D58" s="8" t="s">
        <v>1522</v>
      </c>
      <c r="E58" s="9">
        <v>25.83</v>
      </c>
      <c r="F58" s="8" t="s">
        <v>469</v>
      </c>
      <c r="G58" s="10">
        <v>3259</v>
      </c>
      <c r="H58" s="132">
        <f t="shared" si="6"/>
        <v>46240</v>
      </c>
      <c r="I58" s="140">
        <f t="shared" si="7"/>
        <v>204</v>
      </c>
      <c r="J58" s="9">
        <f t="shared" si="8"/>
        <v>6.2595888309297329</v>
      </c>
      <c r="K58" s="140">
        <f t="shared" si="9"/>
        <v>4</v>
      </c>
      <c r="L58" s="206">
        <f t="shared" si="10"/>
        <v>1.9607843137254901</v>
      </c>
      <c r="M58" s="8" t="str">
        <f t="array" ref="M58">IF(L58&gt;5,"Perlu Sensus",IF(AND(L58&gt;=0,I58&gt;0),"Tetap Deteksi","Belum Deteksi"))</f>
        <v>Tetap Deteksi</v>
      </c>
      <c r="N58" s="132">
        <v>46240</v>
      </c>
      <c r="O58" s="203">
        <v>204</v>
      </c>
      <c r="P58" s="9">
        <f t="array" ref="P58">IFERROR(O58/G58*100,0)</f>
        <v>6.2595888309297329</v>
      </c>
      <c r="Q58" s="203">
        <v>4</v>
      </c>
      <c r="R58" s="9">
        <f t="shared" si="12"/>
        <v>1.9607843137254901</v>
      </c>
      <c r="S58" s="8" t="str">
        <f t="array" ref="S58">IF(R58&gt;5,"Perlu Sensus",IF(AND(R58&gt;=0,O58&gt;0),"Tetap Deteksi","Belum Deteksi"))</f>
        <v>Tetap Deteksi</v>
      </c>
      <c r="T58" s="203">
        <v>5</v>
      </c>
      <c r="U58" s="9">
        <f t="shared" si="11"/>
        <v>2.4509803921568629</v>
      </c>
      <c r="V58" s="132">
        <v>46241</v>
      </c>
      <c r="W58" s="203">
        <v>892</v>
      </c>
      <c r="X58" s="203">
        <v>14</v>
      </c>
      <c r="Y58" s="9">
        <f t="shared" si="5"/>
        <v>1.5695067264573992</v>
      </c>
      <c r="Z58" s="8" t="str">
        <f t="array" ref="Z58">IF(Y58&gt;5,"Perlu Sensus",IF(AND(Y58&gt;0,,O58&gt;0),"Tetap Deteksi","Belum Deteksi"))</f>
        <v>Belum Deteksi</v>
      </c>
    </row>
    <row r="59" spans="1:26" outlineLevel="1" x14ac:dyDescent="0.15">
      <c r="A59" s="8" t="s">
        <v>1043</v>
      </c>
      <c r="B59" s="8">
        <v>1</v>
      </c>
      <c r="C59" s="8">
        <v>3</v>
      </c>
      <c r="D59" s="8" t="s">
        <v>1523</v>
      </c>
      <c r="E59" s="9">
        <v>26.55</v>
      </c>
      <c r="F59" s="8" t="s">
        <v>469</v>
      </c>
      <c r="G59" s="10">
        <v>3430</v>
      </c>
      <c r="H59" s="132">
        <f t="shared" si="6"/>
        <v>46247</v>
      </c>
      <c r="I59" s="140">
        <f t="shared" si="7"/>
        <v>98</v>
      </c>
      <c r="J59" s="9">
        <f t="shared" si="8"/>
        <v>2.8571428571428572</v>
      </c>
      <c r="K59" s="140">
        <f t="shared" si="9"/>
        <v>1</v>
      </c>
      <c r="L59" s="206">
        <f t="shared" si="10"/>
        <v>1.0204081632653061</v>
      </c>
      <c r="M59" s="8" t="str">
        <f t="array" ref="M59">IF(L59&gt;5,"Perlu Sensus",IF(AND(L59&gt;=0,I59&gt;0),"Tetap Deteksi","Belum Deteksi"))</f>
        <v>Tetap Deteksi</v>
      </c>
      <c r="N59" s="132">
        <v>46247</v>
      </c>
      <c r="O59" s="203">
        <v>98</v>
      </c>
      <c r="P59" s="9">
        <f t="array" ref="P59">IFERROR(O59/G59*100,0)</f>
        <v>2.8571428571428572</v>
      </c>
      <c r="Q59" s="203">
        <v>1</v>
      </c>
      <c r="R59" s="9">
        <f t="shared" si="12"/>
        <v>1.0204081632653061</v>
      </c>
      <c r="S59" s="8" t="str">
        <f t="array" ref="S59">IF(R59&gt;5,"Perlu Sensus",IF(AND(R59&gt;=0,O59&gt;0),"Tetap Deteksi","Belum Deteksi"))</f>
        <v>Tetap Deteksi</v>
      </c>
      <c r="T59" s="203">
        <v>2</v>
      </c>
      <c r="U59" s="9">
        <f t="shared" si="11"/>
        <v>2.0408163265306123</v>
      </c>
      <c r="V59" s="132">
        <v>46241</v>
      </c>
      <c r="W59" s="203">
        <v>612</v>
      </c>
      <c r="X59" s="203">
        <v>11</v>
      </c>
      <c r="Y59" s="9">
        <f t="shared" si="5"/>
        <v>1.7973856209150325</v>
      </c>
      <c r="Z59" s="8" t="str">
        <f t="array" ref="Z59">IF(Y59&gt;5,"Perlu Sensus",IF(AND(Y59&gt;0,,O59&gt;0),"Tetap Deteksi","Belum Deteksi"))</f>
        <v>Belum Deteksi</v>
      </c>
    </row>
    <row r="60" spans="1:26" outlineLevel="1" x14ac:dyDescent="0.15">
      <c r="A60" s="8" t="s">
        <v>1043</v>
      </c>
      <c r="B60" s="8">
        <v>1</v>
      </c>
      <c r="C60" s="8">
        <v>3</v>
      </c>
      <c r="D60" s="8" t="s">
        <v>1524</v>
      </c>
      <c r="E60" s="9">
        <v>26.31</v>
      </c>
      <c r="F60" s="8" t="s">
        <v>469</v>
      </c>
      <c r="G60" s="10">
        <v>3534</v>
      </c>
      <c r="H60" s="132">
        <f t="shared" si="6"/>
        <v>46239</v>
      </c>
      <c r="I60" s="140">
        <f t="shared" si="7"/>
        <v>173</v>
      </c>
      <c r="J60" s="9">
        <f t="shared" si="8"/>
        <v>4.8953027730616858</v>
      </c>
      <c r="K60" s="140">
        <f t="shared" si="9"/>
        <v>4</v>
      </c>
      <c r="L60" s="206">
        <f t="shared" si="10"/>
        <v>2.3121387283236992</v>
      </c>
      <c r="M60" s="8" t="str">
        <f t="array" ref="M60">IF(L60&gt;5,"Perlu Sensus",IF(AND(L60&gt;=0,I60&gt;0),"Tetap Deteksi","Belum Deteksi"))</f>
        <v>Tetap Deteksi</v>
      </c>
      <c r="N60" s="132">
        <v>46239</v>
      </c>
      <c r="O60" s="203">
        <v>173</v>
      </c>
      <c r="P60" s="9">
        <f t="array" ref="P60">IFERROR(O60/G60*100,0)</f>
        <v>4.8953027730616858</v>
      </c>
      <c r="Q60" s="203">
        <v>4</v>
      </c>
      <c r="R60" s="9">
        <f t="shared" si="12"/>
        <v>2.3121387283236992</v>
      </c>
      <c r="S60" s="8" t="str">
        <f t="array" ref="S60">IF(R60&gt;5,"Perlu Sensus",IF(AND(R60&gt;=0,O60&gt;0),"Tetap Deteksi","Belum Deteksi"))</f>
        <v>Tetap Deteksi</v>
      </c>
      <c r="T60" s="203">
        <v>2</v>
      </c>
      <c r="U60" s="9">
        <f t="shared" si="11"/>
        <v>1.1560693641618496</v>
      </c>
      <c r="V60" s="132">
        <v>46241</v>
      </c>
      <c r="W60" s="203">
        <v>410</v>
      </c>
      <c r="X60" s="203">
        <v>10</v>
      </c>
      <c r="Y60" s="9">
        <f t="shared" si="5"/>
        <v>2.4390243902439024</v>
      </c>
      <c r="Z60" s="8" t="str">
        <f t="array" ref="Z60">IF(Y60&gt;5,"Perlu Sensus",IF(AND(Y60&gt;0,,O60&gt;0),"Tetap Deteksi","Belum Deteksi"))</f>
        <v>Belum Deteksi</v>
      </c>
    </row>
    <row r="61" spans="1:26" outlineLevel="1" x14ac:dyDescent="0.15">
      <c r="A61" s="8" t="s">
        <v>1043</v>
      </c>
      <c r="B61" s="8">
        <v>1</v>
      </c>
      <c r="C61" s="8">
        <v>3</v>
      </c>
      <c r="D61" s="8" t="s">
        <v>1525</v>
      </c>
      <c r="E61" s="9">
        <v>25.01</v>
      </c>
      <c r="F61" s="8" t="s">
        <v>469</v>
      </c>
      <c r="G61" s="10">
        <v>3364</v>
      </c>
      <c r="H61" s="132">
        <f t="shared" si="6"/>
        <v>46239</v>
      </c>
      <c r="I61" s="140">
        <f t="shared" si="7"/>
        <v>103</v>
      </c>
      <c r="J61" s="9">
        <f t="shared" si="8"/>
        <v>3.0618311533888227</v>
      </c>
      <c r="K61" s="140">
        <f t="shared" si="9"/>
        <v>2</v>
      </c>
      <c r="L61" s="206">
        <f t="shared" si="10"/>
        <v>1.9417475728155338</v>
      </c>
      <c r="M61" s="8" t="str">
        <f t="array" ref="M61">IF(L61&gt;5,"Perlu Sensus",IF(AND(L61&gt;=0,I61&gt;0),"Tetap Deteksi","Belum Deteksi"))</f>
        <v>Tetap Deteksi</v>
      </c>
      <c r="N61" s="132">
        <v>46239</v>
      </c>
      <c r="O61" s="203">
        <v>103</v>
      </c>
      <c r="P61" s="9">
        <f t="array" ref="P61">IFERROR(O61/G61*100,0)</f>
        <v>3.0618311533888227</v>
      </c>
      <c r="Q61" s="203">
        <v>2</v>
      </c>
      <c r="R61" s="9">
        <f t="shared" si="12"/>
        <v>1.9417475728155338</v>
      </c>
      <c r="S61" s="8" t="str">
        <f t="array" ref="S61">IF(R61&gt;5,"Perlu Sensus",IF(AND(R61&gt;=0,O61&gt;0),"Tetap Deteksi","Belum Deteksi"))</f>
        <v>Tetap Deteksi</v>
      </c>
      <c r="T61" s="203">
        <v>3</v>
      </c>
      <c r="U61" s="9">
        <f t="shared" si="11"/>
        <v>2.912621359223301</v>
      </c>
      <c r="V61" s="132">
        <v>46241</v>
      </c>
      <c r="W61" s="203">
        <v>773</v>
      </c>
      <c r="X61" s="203">
        <v>12</v>
      </c>
      <c r="Y61" s="9">
        <f t="shared" si="5"/>
        <v>1.5523932729624839</v>
      </c>
      <c r="Z61" s="8" t="str">
        <f t="array" ref="Z61">IF(Y61&gt;5,"Perlu Sensus",IF(AND(Y61&gt;0,,O61&gt;0),"Tetap Deteksi","Belum Deteksi"))</f>
        <v>Belum Deteksi</v>
      </c>
    </row>
    <row r="62" spans="1:26" outlineLevel="1" x14ac:dyDescent="0.15">
      <c r="A62" s="8" t="s">
        <v>1043</v>
      </c>
      <c r="B62" s="8">
        <v>1</v>
      </c>
      <c r="C62" s="8">
        <v>3</v>
      </c>
      <c r="D62" s="8" t="s">
        <v>1526</v>
      </c>
      <c r="E62" s="9">
        <v>24.07</v>
      </c>
      <c r="F62" s="8" t="s">
        <v>469</v>
      </c>
      <c r="G62" s="10">
        <v>3142</v>
      </c>
      <c r="H62" s="132">
        <f t="shared" si="6"/>
        <v>46239</v>
      </c>
      <c r="I62" s="140">
        <f t="shared" si="7"/>
        <v>90</v>
      </c>
      <c r="J62" s="9">
        <f t="shared" si="8"/>
        <v>2.8644175684277533</v>
      </c>
      <c r="K62" s="140">
        <f t="shared" si="9"/>
        <v>2</v>
      </c>
      <c r="L62" s="206">
        <f t="shared" si="10"/>
        <v>2.2222222222222223</v>
      </c>
      <c r="M62" s="8" t="str">
        <f t="array" ref="M62">IF(L62&gt;5,"Perlu Sensus",IF(AND(L62&gt;=0,I62&gt;0),"Tetap Deteksi","Belum Deteksi"))</f>
        <v>Tetap Deteksi</v>
      </c>
      <c r="N62" s="132">
        <v>46239</v>
      </c>
      <c r="O62" s="203">
        <v>90</v>
      </c>
      <c r="P62" s="9">
        <f t="array" ref="P62">IFERROR(O62/G62*100,0)</f>
        <v>2.8644175684277533</v>
      </c>
      <c r="Q62" s="203">
        <v>2</v>
      </c>
      <c r="R62" s="9">
        <f t="shared" si="12"/>
        <v>2.2222222222222223</v>
      </c>
      <c r="S62" s="8" t="str">
        <f t="array" ref="S62">IF(R62&gt;5,"Perlu Sensus",IF(AND(R62&gt;=0,O62&gt;0),"Tetap Deteksi","Belum Deteksi"))</f>
        <v>Tetap Deteksi</v>
      </c>
      <c r="T62" s="203">
        <v>2</v>
      </c>
      <c r="U62" s="9">
        <f t="shared" si="11"/>
        <v>2.2222222222222223</v>
      </c>
      <c r="V62" s="132">
        <v>46241</v>
      </c>
      <c r="W62" s="203">
        <v>180</v>
      </c>
      <c r="X62" s="203">
        <v>7</v>
      </c>
      <c r="Y62" s="9">
        <f t="shared" si="5"/>
        <v>3.8888888888888888</v>
      </c>
      <c r="Z62" s="8" t="str">
        <f t="array" ref="Z62">IF(Y62&gt;5,"Perlu Sensus",IF(AND(Y62&gt;0,,O62&gt;0),"Tetap Deteksi","Belum Deteksi"))</f>
        <v>Belum Deteksi</v>
      </c>
    </row>
    <row r="63" spans="1:26" outlineLevel="1" x14ac:dyDescent="0.15">
      <c r="A63" s="8" t="s">
        <v>1043</v>
      </c>
      <c r="B63" s="8">
        <v>1</v>
      </c>
      <c r="C63" s="8">
        <v>3</v>
      </c>
      <c r="D63" s="8" t="s">
        <v>1527</v>
      </c>
      <c r="E63" s="9">
        <v>36.309999999999995</v>
      </c>
      <c r="F63" s="8" t="s">
        <v>469</v>
      </c>
      <c r="G63" s="10">
        <v>4720</v>
      </c>
      <c r="H63" s="132">
        <f t="shared" si="6"/>
        <v>46241</v>
      </c>
      <c r="I63" s="140">
        <f t="shared" si="7"/>
        <v>332</v>
      </c>
      <c r="J63" s="9">
        <f t="shared" si="8"/>
        <v>7.0338983050847457</v>
      </c>
      <c r="K63" s="140">
        <f t="shared" si="9"/>
        <v>9</v>
      </c>
      <c r="L63" s="206">
        <f t="shared" si="10"/>
        <v>2.7108433734939759</v>
      </c>
      <c r="M63" s="8" t="str">
        <f t="array" ref="M63">IF(L63&gt;5,"Perlu Sensus",IF(AND(L63&gt;=0,I63&gt;0),"Tetap Deteksi","Belum Deteksi"))</f>
        <v>Tetap Deteksi</v>
      </c>
      <c r="N63" s="132">
        <v>46241</v>
      </c>
      <c r="O63" s="203">
        <v>332</v>
      </c>
      <c r="P63" s="9">
        <f t="array" ref="P63">IFERROR(O63/G63*100,0)</f>
        <v>7.0338983050847457</v>
      </c>
      <c r="Q63" s="203">
        <v>9</v>
      </c>
      <c r="R63" s="9">
        <f t="shared" si="12"/>
        <v>2.7108433734939759</v>
      </c>
      <c r="S63" s="8" t="str">
        <f t="array" ref="S63">IF(R63&gt;5,"Perlu Sensus",IF(AND(R63&gt;=0,O63&gt;0),"Tetap Deteksi","Belum Deteksi"))</f>
        <v>Tetap Deteksi</v>
      </c>
      <c r="T63" s="203">
        <v>3</v>
      </c>
      <c r="U63" s="9">
        <f t="shared" si="11"/>
        <v>0.90361445783132521</v>
      </c>
      <c r="V63" s="132">
        <v>46241</v>
      </c>
      <c r="W63" s="203">
        <v>1391</v>
      </c>
      <c r="X63" s="203">
        <v>24</v>
      </c>
      <c r="Y63" s="9">
        <f t="shared" si="5"/>
        <v>1.7253774263120056</v>
      </c>
      <c r="Z63" s="8" t="str">
        <f t="array" ref="Z63">IF(Y63&gt;5,"Perlu Sensus",IF(AND(Y63&gt;0,,O63&gt;0),"Tetap Deteksi","Belum Deteksi"))</f>
        <v>Belum Deteksi</v>
      </c>
    </row>
    <row r="64" spans="1:26" outlineLevel="1" x14ac:dyDescent="0.15">
      <c r="A64" s="8" t="s">
        <v>1043</v>
      </c>
      <c r="B64" s="8">
        <v>1</v>
      </c>
      <c r="C64" s="8">
        <v>3</v>
      </c>
      <c r="D64" s="8" t="s">
        <v>1528</v>
      </c>
      <c r="E64" s="9">
        <v>31.91</v>
      </c>
      <c r="F64" s="8" t="s">
        <v>469</v>
      </c>
      <c r="G64" s="10">
        <v>4514</v>
      </c>
      <c r="H64" s="132">
        <f t="shared" si="6"/>
        <v>46249</v>
      </c>
      <c r="I64" s="140">
        <f t="shared" si="7"/>
        <v>120</v>
      </c>
      <c r="J64" s="9">
        <f t="shared" si="8"/>
        <v>2.658396101019052</v>
      </c>
      <c r="K64" s="140">
        <f t="shared" si="9"/>
        <v>3</v>
      </c>
      <c r="L64" s="206">
        <f t="shared" si="10"/>
        <v>2.5</v>
      </c>
      <c r="M64" s="8" t="str">
        <f t="array" ref="M64">IF(L64&gt;5,"Perlu Sensus",IF(AND(L64&gt;=0,I64&gt;0),"Tetap Deteksi","Belum Deteksi"))</f>
        <v>Tetap Deteksi</v>
      </c>
      <c r="N64" s="132">
        <v>46249</v>
      </c>
      <c r="O64" s="203">
        <v>120</v>
      </c>
      <c r="P64" s="9">
        <f t="array" ref="P64">IFERROR(O64/G64*100,0)</f>
        <v>2.658396101019052</v>
      </c>
      <c r="Q64" s="203">
        <v>3</v>
      </c>
      <c r="R64" s="9">
        <f t="shared" si="12"/>
        <v>2.5</v>
      </c>
      <c r="S64" s="8" t="str">
        <f t="array" ref="S64">IF(R64&gt;5,"Perlu Sensus",IF(AND(R64&gt;=0,O64&gt;0),"Tetap Deteksi","Belum Deteksi"))</f>
        <v>Tetap Deteksi</v>
      </c>
      <c r="T64" s="203">
        <v>2</v>
      </c>
      <c r="U64" s="9">
        <f t="shared" si="11"/>
        <v>1.6666666666666667</v>
      </c>
      <c r="V64" s="132">
        <v>46241</v>
      </c>
      <c r="W64" s="203">
        <v>611</v>
      </c>
      <c r="X64" s="203">
        <v>13</v>
      </c>
      <c r="Y64" s="9">
        <f t="shared" si="5"/>
        <v>2.1276595744680851</v>
      </c>
      <c r="Z64" s="8" t="str">
        <f t="array" ref="Z64">IF(Y64&gt;5,"Perlu Sensus",IF(AND(Y64&gt;0,,O64&gt;0),"Tetap Deteksi","Belum Deteksi"))</f>
        <v>Belum Deteksi</v>
      </c>
    </row>
    <row r="65" spans="1:26" outlineLevel="1" x14ac:dyDescent="0.15">
      <c r="A65" s="8" t="s">
        <v>1043</v>
      </c>
      <c r="B65" s="8">
        <v>1</v>
      </c>
      <c r="C65" s="8">
        <v>3</v>
      </c>
      <c r="D65" s="8" t="s">
        <v>1529</v>
      </c>
      <c r="E65" s="9">
        <v>30.810000000000002</v>
      </c>
      <c r="F65" s="8" t="s">
        <v>469</v>
      </c>
      <c r="G65" s="10">
        <v>4205</v>
      </c>
      <c r="H65" s="132">
        <f t="shared" si="6"/>
        <v>46235</v>
      </c>
      <c r="I65" s="140">
        <f t="shared" si="7"/>
        <v>429</v>
      </c>
      <c r="J65" s="9">
        <f t="shared" si="8"/>
        <v>10.202140309155768</v>
      </c>
      <c r="K65" s="140">
        <f t="shared" si="9"/>
        <v>9</v>
      </c>
      <c r="L65" s="206">
        <f t="shared" si="10"/>
        <v>2.0979020979020979</v>
      </c>
      <c r="M65" s="8" t="str">
        <f t="array" ref="M65">IF(L65&gt;5,"Perlu Sensus",IF(AND(L65&gt;=0,I65&gt;0),"Tetap Deteksi","Belum Deteksi"))</f>
        <v>Tetap Deteksi</v>
      </c>
      <c r="N65" s="132">
        <v>46235</v>
      </c>
      <c r="O65" s="203">
        <v>429</v>
      </c>
      <c r="P65" s="9">
        <f t="array" ref="P65">IFERROR(O65/G65*100,0)</f>
        <v>10.202140309155768</v>
      </c>
      <c r="Q65" s="203">
        <v>9</v>
      </c>
      <c r="R65" s="9">
        <f t="shared" si="12"/>
        <v>2.0979020979020979</v>
      </c>
      <c r="S65" s="8" t="str">
        <f t="array" ref="S65">IF(R65&gt;5,"Perlu Sensus",IF(AND(R65&gt;=0,O65&gt;0),"Tetap Deteksi","Belum Deteksi"))</f>
        <v>Tetap Deteksi</v>
      </c>
      <c r="T65" s="203">
        <v>11</v>
      </c>
      <c r="U65" s="9">
        <f t="shared" si="11"/>
        <v>2.5641025641025639</v>
      </c>
      <c r="V65" s="132">
        <v>46241</v>
      </c>
      <c r="W65" s="203">
        <v>431</v>
      </c>
      <c r="X65" s="203">
        <v>5</v>
      </c>
      <c r="Y65" s="9">
        <f t="shared" si="5"/>
        <v>1.160092807424594</v>
      </c>
      <c r="Z65" s="8" t="str">
        <f t="array" ref="Z65">IF(Y65&gt;5,"Perlu Sensus",IF(AND(Y65&gt;0,,O65&gt;0),"Tetap Deteksi","Belum Deteksi"))</f>
        <v>Belum Deteksi</v>
      </c>
    </row>
    <row r="66" spans="1:26" outlineLevel="1" x14ac:dyDescent="0.15">
      <c r="A66" s="8" t="s">
        <v>1043</v>
      </c>
      <c r="B66" s="8">
        <v>1</v>
      </c>
      <c r="C66" s="8">
        <v>3</v>
      </c>
      <c r="D66" s="8" t="s">
        <v>1530</v>
      </c>
      <c r="E66" s="9">
        <v>29.86</v>
      </c>
      <c r="F66" s="8" t="s">
        <v>469</v>
      </c>
      <c r="G66" s="10">
        <v>3380</v>
      </c>
      <c r="H66" s="132">
        <f t="shared" si="6"/>
        <v>46246</v>
      </c>
      <c r="I66" s="140">
        <f t="shared" si="7"/>
        <v>214</v>
      </c>
      <c r="J66" s="9">
        <f t="shared" si="8"/>
        <v>6.331360946745562</v>
      </c>
      <c r="K66" s="140">
        <f t="shared" si="9"/>
        <v>6</v>
      </c>
      <c r="L66" s="206">
        <f t="shared" si="10"/>
        <v>2.8037383177570092</v>
      </c>
      <c r="M66" s="8" t="str">
        <f t="array" ref="M66">IF(L66&gt;5,"Perlu Sensus",IF(AND(L66&gt;=0,I66&gt;0),"Tetap Deteksi","Belum Deteksi"))</f>
        <v>Tetap Deteksi</v>
      </c>
      <c r="N66" s="132">
        <v>46246</v>
      </c>
      <c r="O66" s="203">
        <v>214</v>
      </c>
      <c r="P66" s="9">
        <f t="array" ref="P66">IFERROR(O66/G66*100,0)</f>
        <v>6.331360946745562</v>
      </c>
      <c r="Q66" s="203">
        <v>6</v>
      </c>
      <c r="R66" s="9">
        <f t="shared" si="12"/>
        <v>2.8037383177570092</v>
      </c>
      <c r="S66" s="8" t="str">
        <f t="array" ref="S66">IF(R66&gt;5,"Perlu Sensus",IF(AND(R66&gt;=0,O66&gt;0),"Tetap Deteksi","Belum Deteksi"))</f>
        <v>Tetap Deteksi</v>
      </c>
      <c r="T66" s="203">
        <v>4</v>
      </c>
      <c r="U66" s="9">
        <f t="shared" si="11"/>
        <v>1.8691588785046727</v>
      </c>
      <c r="V66" s="132">
        <v>46241</v>
      </c>
      <c r="W66" s="203">
        <v>165</v>
      </c>
      <c r="X66" s="203">
        <v>6</v>
      </c>
      <c r="Y66" s="9">
        <f t="shared" si="5"/>
        <v>3.6363636363636362</v>
      </c>
      <c r="Z66" s="8" t="str">
        <f t="array" ref="Z66">IF(Y66&gt;5,"Perlu Sensus",IF(AND(Y66&gt;0,,O66&gt;0),"Tetap Deteksi","Belum Deteksi"))</f>
        <v>Belum Deteksi</v>
      </c>
    </row>
    <row r="67" spans="1:26" outlineLevel="1" x14ac:dyDescent="0.15">
      <c r="A67" s="8" t="s">
        <v>1043</v>
      </c>
      <c r="B67" s="8">
        <v>1</v>
      </c>
      <c r="C67" s="8">
        <v>3</v>
      </c>
      <c r="D67" s="8" t="s">
        <v>1531</v>
      </c>
      <c r="E67" s="9">
        <v>37.21</v>
      </c>
      <c r="F67" s="8" t="s">
        <v>469</v>
      </c>
      <c r="G67" s="10">
        <v>4545</v>
      </c>
      <c r="H67" s="132">
        <f t="shared" si="6"/>
        <v>46244</v>
      </c>
      <c r="I67" s="140">
        <f t="shared" si="7"/>
        <v>352</v>
      </c>
      <c r="J67" s="9">
        <f t="shared" si="8"/>
        <v>7.7447744774477449</v>
      </c>
      <c r="K67" s="140">
        <f t="shared" si="9"/>
        <v>11</v>
      </c>
      <c r="L67" s="206">
        <f t="shared" si="10"/>
        <v>3.125</v>
      </c>
      <c r="M67" s="8" t="str">
        <f t="array" ref="M67">IF(L67&gt;5,"Perlu Sensus",IF(AND(L67&gt;=0,I67&gt;0),"Tetap Deteksi","Belum Deteksi"))</f>
        <v>Tetap Deteksi</v>
      </c>
      <c r="N67" s="132">
        <v>46244</v>
      </c>
      <c r="O67" s="203">
        <v>352</v>
      </c>
      <c r="P67" s="9">
        <f t="array" ref="P67">IFERROR(O67/G67*100,0)</f>
        <v>7.7447744774477449</v>
      </c>
      <c r="Q67" s="203">
        <v>11</v>
      </c>
      <c r="R67" s="9">
        <f t="shared" si="12"/>
        <v>3.125</v>
      </c>
      <c r="S67" s="8" t="str">
        <f t="array" ref="S67">IF(R67&gt;5,"Perlu Sensus",IF(AND(R67&gt;=0,O67&gt;0),"Tetap Deteksi","Belum Deteksi"))</f>
        <v>Tetap Deteksi</v>
      </c>
      <c r="T67" s="203">
        <v>3</v>
      </c>
      <c r="U67" s="9">
        <f t="shared" si="11"/>
        <v>0.85227272727272718</v>
      </c>
      <c r="V67" s="132">
        <v>46241</v>
      </c>
      <c r="W67" s="203">
        <v>1052</v>
      </c>
      <c r="X67" s="203">
        <v>20</v>
      </c>
      <c r="Y67" s="9">
        <f t="shared" si="5"/>
        <v>1.9011406844106464</v>
      </c>
      <c r="Z67" s="8" t="str">
        <f t="array" ref="Z67">IF(Y67&gt;5,"Perlu Sensus",IF(AND(Y67&gt;0,,O67&gt;0),"Tetap Deteksi","Belum Deteksi"))</f>
        <v>Belum Deteksi</v>
      </c>
    </row>
    <row r="68" spans="1:26" outlineLevel="1" x14ac:dyDescent="0.15">
      <c r="A68" s="8" t="s">
        <v>1043</v>
      </c>
      <c r="B68" s="8">
        <v>1</v>
      </c>
      <c r="C68" s="8">
        <v>3</v>
      </c>
      <c r="D68" s="8" t="s">
        <v>1532</v>
      </c>
      <c r="E68" s="9">
        <v>37.69</v>
      </c>
      <c r="F68" s="8" t="s">
        <v>469</v>
      </c>
      <c r="G68" s="10">
        <v>4826</v>
      </c>
      <c r="H68" s="132">
        <f t="shared" si="6"/>
        <v>46237</v>
      </c>
      <c r="I68" s="140">
        <f t="shared" si="7"/>
        <v>224</v>
      </c>
      <c r="J68" s="9">
        <f t="shared" si="8"/>
        <v>4.6415250725238293</v>
      </c>
      <c r="K68" s="140">
        <f t="shared" si="9"/>
        <v>9.9999999999999995E-7</v>
      </c>
      <c r="L68" s="206">
        <f t="shared" si="10"/>
        <v>4.4642857142857142E-7</v>
      </c>
      <c r="M68" s="8" t="str">
        <f t="array" ref="M68">IF(L68&gt;5,"Perlu Sensus",IF(AND(L68&gt;=0,I68&gt;0),"Tetap Deteksi","Belum Deteksi"))</f>
        <v>Tetap Deteksi</v>
      </c>
      <c r="N68" s="132">
        <v>46237</v>
      </c>
      <c r="O68" s="203">
        <v>224</v>
      </c>
      <c r="P68" s="9">
        <f t="array" ref="P68">IFERROR(O68/G68*100,0)</f>
        <v>4.6415250725238293</v>
      </c>
      <c r="Q68" s="203">
        <v>9.9999999999999995E-7</v>
      </c>
      <c r="R68" s="9">
        <f t="shared" si="12"/>
        <v>4.4642857142857142E-7</v>
      </c>
      <c r="S68" s="8" t="str">
        <f t="array" ref="S68">IF(R68&gt;5,"Perlu Sensus",IF(AND(R68&gt;=0,O68&gt;0),"Tetap Deteksi","Belum Deteksi"))</f>
        <v>Tetap Deteksi</v>
      </c>
      <c r="T68" s="203">
        <v>2</v>
      </c>
      <c r="U68" s="9">
        <f t="shared" si="11"/>
        <v>0.89285714285714279</v>
      </c>
      <c r="V68" s="132">
        <v>46241</v>
      </c>
      <c r="W68" s="203">
        <v>892</v>
      </c>
      <c r="X68" s="203">
        <v>20</v>
      </c>
      <c r="Y68" s="9">
        <f t="shared" si="5"/>
        <v>2.2421524663677128</v>
      </c>
      <c r="Z68" s="8" t="str">
        <f t="array" ref="Z68">IF(Y68&gt;5,"Perlu Sensus",IF(AND(Y68&gt;0,,O68&gt;0),"Tetap Deteksi","Belum Deteksi"))</f>
        <v>Belum Deteksi</v>
      </c>
    </row>
    <row r="69" spans="1:26" outlineLevel="1" x14ac:dyDescent="0.15">
      <c r="A69" s="8" t="s">
        <v>1043</v>
      </c>
      <c r="B69" s="8">
        <v>1</v>
      </c>
      <c r="C69" s="8">
        <v>3</v>
      </c>
      <c r="D69" s="8" t="s">
        <v>1533</v>
      </c>
      <c r="E69" s="9">
        <v>38.579999999999991</v>
      </c>
      <c r="F69" s="8" t="s">
        <v>469</v>
      </c>
      <c r="G69" s="10">
        <v>5032</v>
      </c>
      <c r="H69" s="132">
        <f t="shared" si="6"/>
        <v>46240</v>
      </c>
      <c r="I69" s="140">
        <f t="shared" si="7"/>
        <v>320</v>
      </c>
      <c r="J69" s="9">
        <f t="shared" si="8"/>
        <v>6.359300476947535</v>
      </c>
      <c r="K69" s="140">
        <f t="shared" si="9"/>
        <v>8</v>
      </c>
      <c r="L69" s="206">
        <f t="shared" si="10"/>
        <v>2.5</v>
      </c>
      <c r="M69" s="8" t="str">
        <f t="array" ref="M69">IF(L69&gt;5,"Perlu Sensus",IF(AND(L69&gt;=0,I69&gt;0),"Tetap Deteksi","Belum Deteksi"))</f>
        <v>Tetap Deteksi</v>
      </c>
      <c r="N69" s="132">
        <v>46240</v>
      </c>
      <c r="O69" s="203">
        <v>320</v>
      </c>
      <c r="P69" s="9">
        <f t="array" ref="P69">IFERROR(O69/G69*100,0)</f>
        <v>6.359300476947535</v>
      </c>
      <c r="Q69" s="203">
        <v>8</v>
      </c>
      <c r="R69" s="9">
        <f t="shared" si="12"/>
        <v>2.5</v>
      </c>
      <c r="S69" s="8" t="str">
        <f t="array" ref="S69">IF(R69&gt;5,"Perlu Sensus",IF(AND(R69&gt;=0,O69&gt;0),"Tetap Deteksi","Belum Deteksi"))</f>
        <v>Tetap Deteksi</v>
      </c>
      <c r="T69" s="203">
        <v>8</v>
      </c>
      <c r="U69" s="9">
        <f t="shared" si="11"/>
        <v>2.5</v>
      </c>
      <c r="V69" s="132">
        <v>46241</v>
      </c>
      <c r="W69" s="203">
        <v>662</v>
      </c>
      <c r="X69" s="203">
        <v>10</v>
      </c>
      <c r="Y69" s="9">
        <f t="shared" si="5"/>
        <v>1.5105740181268883</v>
      </c>
      <c r="Z69" s="8" t="str">
        <f t="array" ref="Z69">IF(Y69&gt;5,"Perlu Sensus",IF(AND(Y69&gt;0,,O69&gt;0),"Tetap Deteksi","Belum Deteksi"))</f>
        <v>Belum Deteksi</v>
      </c>
    </row>
    <row r="70" spans="1:26" outlineLevel="1" x14ac:dyDescent="0.15">
      <c r="A70" s="8" t="s">
        <v>1043</v>
      </c>
      <c r="B70" s="8">
        <v>1</v>
      </c>
      <c r="C70" s="8">
        <v>3</v>
      </c>
      <c r="D70" s="8" t="s">
        <v>1534</v>
      </c>
      <c r="E70" s="9">
        <v>35.200000000000003</v>
      </c>
      <c r="F70" s="8" t="s">
        <v>469</v>
      </c>
      <c r="G70" s="10">
        <v>5159</v>
      </c>
      <c r="H70" s="132">
        <f t="shared" si="6"/>
        <v>46237</v>
      </c>
      <c r="I70" s="140">
        <f t="shared" si="7"/>
        <v>206</v>
      </c>
      <c r="J70" s="9">
        <f t="shared" si="8"/>
        <v>3.9930219034696646</v>
      </c>
      <c r="K70" s="140">
        <f t="shared" si="9"/>
        <v>4</v>
      </c>
      <c r="L70" s="206">
        <f t="shared" si="10"/>
        <v>1.9417475728155338</v>
      </c>
      <c r="M70" s="8" t="str">
        <f t="array" ref="M70">IF(L70&gt;5,"Perlu Sensus",IF(AND(L70&gt;=0,I70&gt;0),"Tetap Deteksi","Belum Deteksi"))</f>
        <v>Tetap Deteksi</v>
      </c>
      <c r="N70" s="132">
        <v>46237</v>
      </c>
      <c r="O70" s="203">
        <v>206</v>
      </c>
      <c r="P70" s="9">
        <f t="array" ref="P70">IFERROR(O70/G70*100,0)</f>
        <v>3.9930219034696646</v>
      </c>
      <c r="Q70" s="203">
        <v>4</v>
      </c>
      <c r="R70" s="9">
        <f t="shared" si="12"/>
        <v>1.9417475728155338</v>
      </c>
      <c r="S70" s="8" t="str">
        <f t="array" ref="S70">IF(R70&gt;5,"Perlu Sensus",IF(AND(R70&gt;=0,O70&gt;0),"Tetap Deteksi","Belum Deteksi"))</f>
        <v>Tetap Deteksi</v>
      </c>
      <c r="T70" s="203">
        <v>6</v>
      </c>
      <c r="U70" s="9">
        <f t="shared" si="11"/>
        <v>2.912621359223301</v>
      </c>
      <c r="V70" s="132">
        <v>46241</v>
      </c>
      <c r="W70" s="203">
        <v>303</v>
      </c>
      <c r="X70" s="203">
        <v>5</v>
      </c>
      <c r="Y70" s="9">
        <f t="shared" ref="Y70:Y133" si="13">IFERROR(X70/W70*100,0)</f>
        <v>1.6501650165016499</v>
      </c>
      <c r="Z70" s="8" t="str">
        <f t="array" ref="Z70">IF(Y70&gt;5,"Perlu Sensus",IF(AND(Y70&gt;0,,O70&gt;0),"Tetap Deteksi","Belum Deteksi"))</f>
        <v>Belum Deteksi</v>
      </c>
    </row>
    <row r="71" spans="1:26" outlineLevel="1" x14ac:dyDescent="0.15">
      <c r="A71" s="8" t="s">
        <v>1043</v>
      </c>
      <c r="B71" s="8">
        <v>1</v>
      </c>
      <c r="C71" s="8">
        <v>3</v>
      </c>
      <c r="D71" s="8" t="s">
        <v>1535</v>
      </c>
      <c r="E71" s="9">
        <v>35.110000000000007</v>
      </c>
      <c r="F71" s="8" t="s">
        <v>469</v>
      </c>
      <c r="G71" s="10">
        <v>4032</v>
      </c>
      <c r="H71" s="132">
        <f t="shared" ref="H71:H134" si="14">IF(N71&gt;0,N71,V71)</f>
        <v>46246</v>
      </c>
      <c r="I71" s="140">
        <f t="shared" ref="I71:I134" si="15">IF(O71&gt;0,O71,W71)</f>
        <v>120</v>
      </c>
      <c r="J71" s="9">
        <f t="shared" ref="J71:J134" si="16">IF(P71&gt;0,P71," ")</f>
        <v>2.9761904761904758</v>
      </c>
      <c r="K71" s="140">
        <f t="shared" ref="K71:K134" si="17">IF(Q71&gt;0,Q71,X71)</f>
        <v>4</v>
      </c>
      <c r="L71" s="206">
        <f t="shared" ref="L71:L134" si="18">IFERROR(K71/I71*100,0)</f>
        <v>3.3333333333333335</v>
      </c>
      <c r="M71" s="8" t="str">
        <f t="array" ref="M71">IF(L71&gt;5,"Perlu Sensus",IF(AND(L71&gt;=0,I71&gt;0),"Tetap Deteksi","Belum Deteksi"))</f>
        <v>Tetap Deteksi</v>
      </c>
      <c r="N71" s="132">
        <v>46246</v>
      </c>
      <c r="O71" s="203">
        <v>120</v>
      </c>
      <c r="P71" s="9">
        <f t="array" ref="P71">IFERROR(O71/G71*100,0)</f>
        <v>2.9761904761904758</v>
      </c>
      <c r="Q71" s="203">
        <v>4</v>
      </c>
      <c r="R71" s="9">
        <f t="shared" si="12"/>
        <v>3.3333333333333335</v>
      </c>
      <c r="S71" s="8" t="str">
        <f t="array" ref="S71">IF(R71&gt;5,"Perlu Sensus",IF(AND(R71&gt;=0,O71&gt;0),"Tetap Deteksi","Belum Deteksi"))</f>
        <v>Tetap Deteksi</v>
      </c>
      <c r="T71" s="203">
        <v>2</v>
      </c>
      <c r="U71" s="9">
        <f t="shared" ref="U71:U134" si="19">IFERROR(T71/O71*100,0)</f>
        <v>1.6666666666666667</v>
      </c>
      <c r="V71" s="132">
        <v>46241</v>
      </c>
      <c r="W71" s="203">
        <v>247</v>
      </c>
      <c r="X71" s="203">
        <v>2</v>
      </c>
      <c r="Y71" s="9">
        <f t="shared" si="13"/>
        <v>0.80971659919028338</v>
      </c>
      <c r="Z71" s="8" t="str">
        <f t="array" ref="Z71">IF(Y71&gt;5,"Perlu Sensus",IF(AND(Y71&gt;0,,O71&gt;0),"Tetap Deteksi","Belum Deteksi"))</f>
        <v>Belum Deteksi</v>
      </c>
    </row>
    <row r="72" spans="1:26" outlineLevel="1" x14ac:dyDescent="0.15">
      <c r="A72" s="8" t="s">
        <v>1043</v>
      </c>
      <c r="B72" s="8">
        <v>1</v>
      </c>
      <c r="C72" s="8">
        <v>3</v>
      </c>
      <c r="D72" s="8" t="s">
        <v>1536</v>
      </c>
      <c r="E72" s="9">
        <v>49.86</v>
      </c>
      <c r="F72" s="8" t="s">
        <v>469</v>
      </c>
      <c r="G72" s="10">
        <v>6434</v>
      </c>
      <c r="H72" s="132">
        <f t="shared" si="14"/>
        <v>46237</v>
      </c>
      <c r="I72" s="140">
        <f t="shared" si="15"/>
        <v>608</v>
      </c>
      <c r="J72" s="9">
        <f t="shared" si="16"/>
        <v>9.4497979483991301</v>
      </c>
      <c r="K72" s="140">
        <f t="shared" si="17"/>
        <v>16</v>
      </c>
      <c r="L72" s="206">
        <f t="shared" si="18"/>
        <v>2.6315789473684208</v>
      </c>
      <c r="M72" s="8" t="str">
        <f t="array" ref="M72">IF(L72&gt;5,"Perlu Sensus",IF(AND(L72&gt;=0,I72&gt;0),"Tetap Deteksi","Belum Deteksi"))</f>
        <v>Tetap Deteksi</v>
      </c>
      <c r="N72" s="132">
        <v>46237</v>
      </c>
      <c r="O72" s="203">
        <v>608</v>
      </c>
      <c r="P72" s="9">
        <f t="array" ref="P72">IFERROR(O72/G72*100,0)</f>
        <v>9.4497979483991301</v>
      </c>
      <c r="Q72" s="203">
        <v>16</v>
      </c>
      <c r="R72" s="9">
        <f t="shared" si="12"/>
        <v>2.6315789473684208</v>
      </c>
      <c r="S72" s="8" t="str">
        <f t="array" ref="S72">IF(R72&gt;5,"Perlu Sensus",IF(AND(R72&gt;=0,O72&gt;0),"Tetap Deteksi","Belum Deteksi"))</f>
        <v>Tetap Deteksi</v>
      </c>
      <c r="T72" s="203">
        <v>19</v>
      </c>
      <c r="U72" s="9">
        <f t="shared" si="19"/>
        <v>3.125</v>
      </c>
      <c r="V72" s="132">
        <v>46241</v>
      </c>
      <c r="W72" s="203">
        <v>326</v>
      </c>
      <c r="X72" s="203">
        <v>7</v>
      </c>
      <c r="Y72" s="9">
        <f t="shared" si="13"/>
        <v>2.147239263803681</v>
      </c>
      <c r="Z72" s="8" t="str">
        <f t="array" ref="Z72">IF(Y72&gt;5,"Perlu Sensus",IF(AND(Y72&gt;0,,O72&gt;0),"Tetap Deteksi","Belum Deteksi"))</f>
        <v>Belum Deteksi</v>
      </c>
    </row>
    <row r="73" spans="1:26" outlineLevel="1" x14ac:dyDescent="0.15">
      <c r="A73" s="8" t="s">
        <v>1043</v>
      </c>
      <c r="B73" s="8">
        <v>1</v>
      </c>
      <c r="C73" s="8">
        <v>3</v>
      </c>
      <c r="D73" s="8" t="s">
        <v>1537</v>
      </c>
      <c r="E73" s="9">
        <v>35.979999999999997</v>
      </c>
      <c r="F73" s="8" t="s">
        <v>469</v>
      </c>
      <c r="G73" s="10">
        <v>4691</v>
      </c>
      <c r="H73" s="132">
        <f t="shared" si="14"/>
        <v>46246</v>
      </c>
      <c r="I73" s="140">
        <f t="shared" si="15"/>
        <v>95</v>
      </c>
      <c r="J73" s="9">
        <f t="shared" si="16"/>
        <v>2.0251545512683862</v>
      </c>
      <c r="K73" s="140">
        <f t="shared" si="17"/>
        <v>2</v>
      </c>
      <c r="L73" s="206">
        <f t="shared" si="18"/>
        <v>2.1052631578947367</v>
      </c>
      <c r="M73" s="8" t="str">
        <f t="array" ref="M73">IF(L73&gt;5,"Perlu Sensus",IF(AND(L73&gt;=0,I73&gt;0),"Tetap Deteksi","Belum Deteksi"))</f>
        <v>Tetap Deteksi</v>
      </c>
      <c r="N73" s="132">
        <v>46246</v>
      </c>
      <c r="O73" s="203">
        <v>95</v>
      </c>
      <c r="P73" s="9">
        <f t="array" ref="P73">IFERROR(O73/G73*100,0)</f>
        <v>2.0251545512683862</v>
      </c>
      <c r="Q73" s="203">
        <v>2</v>
      </c>
      <c r="R73" s="9">
        <f t="shared" si="12"/>
        <v>2.1052631578947367</v>
      </c>
      <c r="S73" s="8" t="str">
        <f t="array" ref="S73">IF(R73&gt;5,"Perlu Sensus",IF(AND(R73&gt;=0,O73&gt;0),"Tetap Deteksi","Belum Deteksi"))</f>
        <v>Tetap Deteksi</v>
      </c>
      <c r="T73" s="203">
        <v>3</v>
      </c>
      <c r="U73" s="9">
        <f t="shared" si="19"/>
        <v>3.1578947368421053</v>
      </c>
      <c r="V73" s="132">
        <v>46241</v>
      </c>
      <c r="W73" s="203">
        <v>233</v>
      </c>
      <c r="X73" s="203">
        <v>6</v>
      </c>
      <c r="Y73" s="9">
        <f t="shared" si="13"/>
        <v>2.5751072961373391</v>
      </c>
      <c r="Z73" s="8" t="str">
        <f t="array" ref="Z73">IF(Y73&gt;5,"Perlu Sensus",IF(AND(Y73&gt;0,,O73&gt;0),"Tetap Deteksi","Belum Deteksi"))</f>
        <v>Belum Deteksi</v>
      </c>
    </row>
    <row r="74" spans="1:26" outlineLevel="1" x14ac:dyDescent="0.15">
      <c r="A74" s="8" t="s">
        <v>1043</v>
      </c>
      <c r="B74" s="8">
        <v>1</v>
      </c>
      <c r="C74" s="8">
        <v>4</v>
      </c>
      <c r="D74" s="8" t="s">
        <v>1538</v>
      </c>
      <c r="E74" s="9">
        <v>31.7</v>
      </c>
      <c r="F74" s="8" t="s">
        <v>469</v>
      </c>
      <c r="G74" s="10">
        <v>3126</v>
      </c>
      <c r="H74" s="132">
        <f t="shared" si="14"/>
        <v>46238</v>
      </c>
      <c r="I74" s="140">
        <f t="shared" si="15"/>
        <v>158</v>
      </c>
      <c r="J74" s="9">
        <f t="shared" si="16"/>
        <v>5.0543825975687779</v>
      </c>
      <c r="K74" s="140">
        <f t="shared" si="17"/>
        <v>4</v>
      </c>
      <c r="L74" s="206">
        <f t="shared" si="18"/>
        <v>2.5316455696202533</v>
      </c>
      <c r="M74" s="8" t="str">
        <f t="array" ref="M74">IF(L74&gt;5,"Perlu Sensus",IF(AND(L74&gt;=0,I74&gt;0),"Tetap Deteksi","Belum Deteksi"))</f>
        <v>Tetap Deteksi</v>
      </c>
      <c r="N74" s="132">
        <v>46238</v>
      </c>
      <c r="O74" s="203">
        <v>158</v>
      </c>
      <c r="P74" s="9">
        <f t="array" ref="P74">IFERROR(O74/G74*100,0)</f>
        <v>5.0543825975687779</v>
      </c>
      <c r="Q74" s="203">
        <v>4</v>
      </c>
      <c r="R74" s="9">
        <f t="shared" si="12"/>
        <v>2.5316455696202533</v>
      </c>
      <c r="S74" s="8" t="str">
        <f t="array" ref="S74">IF(R74&gt;5,"Perlu Sensus",IF(AND(R74&gt;=0,O74&gt;0),"Tetap Deteksi","Belum Deteksi"))</f>
        <v>Tetap Deteksi</v>
      </c>
      <c r="T74" s="203">
        <v>0</v>
      </c>
      <c r="U74" s="9">
        <f t="shared" si="19"/>
        <v>0</v>
      </c>
      <c r="V74" s="132">
        <v>46241</v>
      </c>
      <c r="W74" s="203">
        <v>196</v>
      </c>
      <c r="X74" s="203">
        <v>4</v>
      </c>
      <c r="Y74" s="9">
        <f t="shared" si="13"/>
        <v>2.0408163265306123</v>
      </c>
      <c r="Z74" s="8" t="str">
        <f t="array" ref="Z74">IF(Y74&gt;5,"Perlu Sensus",IF(AND(Y74&gt;0,,O74&gt;0),"Tetap Deteksi","Belum Deteksi"))</f>
        <v>Belum Deteksi</v>
      </c>
    </row>
    <row r="75" spans="1:26" outlineLevel="1" x14ac:dyDescent="0.15">
      <c r="A75" s="8" t="s">
        <v>1043</v>
      </c>
      <c r="B75" s="8">
        <v>1</v>
      </c>
      <c r="C75" s="8">
        <v>4</v>
      </c>
      <c r="D75" s="8" t="s">
        <v>1539</v>
      </c>
      <c r="E75" s="9">
        <v>30.439999999999998</v>
      </c>
      <c r="F75" s="8" t="s">
        <v>469</v>
      </c>
      <c r="G75" s="10">
        <v>3216</v>
      </c>
      <c r="H75" s="132">
        <f t="shared" si="14"/>
        <v>46242</v>
      </c>
      <c r="I75" s="140">
        <f t="shared" si="15"/>
        <v>183</v>
      </c>
      <c r="J75" s="9">
        <f t="shared" si="16"/>
        <v>5.6902985074626864</v>
      </c>
      <c r="K75" s="140">
        <f t="shared" si="17"/>
        <v>4</v>
      </c>
      <c r="L75" s="206">
        <f t="shared" si="18"/>
        <v>2.1857923497267762</v>
      </c>
      <c r="M75" s="8" t="str">
        <f t="array" ref="M75">IF(L75&gt;5,"Perlu Sensus",IF(AND(L75&gt;=0,I75&gt;0),"Tetap Deteksi","Belum Deteksi"))</f>
        <v>Tetap Deteksi</v>
      </c>
      <c r="N75" s="132">
        <v>46242</v>
      </c>
      <c r="O75" s="203">
        <v>183</v>
      </c>
      <c r="P75" s="9">
        <f t="array" ref="P75">IFERROR(O75/G75*100,0)</f>
        <v>5.6902985074626864</v>
      </c>
      <c r="Q75" s="203">
        <v>4</v>
      </c>
      <c r="R75" s="9">
        <f t="shared" si="12"/>
        <v>2.1857923497267762</v>
      </c>
      <c r="S75" s="8" t="str">
        <f t="array" ref="S75">IF(R75&gt;5,"Perlu Sensus",IF(AND(R75&gt;=0,O75&gt;0),"Tetap Deteksi","Belum Deteksi"))</f>
        <v>Tetap Deteksi</v>
      </c>
      <c r="T75" s="203">
        <v>0</v>
      </c>
      <c r="U75" s="9">
        <f t="shared" si="19"/>
        <v>0</v>
      </c>
      <c r="V75" s="132">
        <v>46241</v>
      </c>
      <c r="W75" s="203">
        <v>178</v>
      </c>
      <c r="X75" s="203">
        <v>2</v>
      </c>
      <c r="Y75" s="9">
        <f t="shared" si="13"/>
        <v>1.1235955056179776</v>
      </c>
      <c r="Z75" s="8" t="str">
        <f t="array" ref="Z75">IF(Y75&gt;5,"Perlu Sensus",IF(AND(Y75&gt;0,,O75&gt;0),"Tetap Deteksi","Belum Deteksi"))</f>
        <v>Belum Deteksi</v>
      </c>
    </row>
    <row r="76" spans="1:26" outlineLevel="1" x14ac:dyDescent="0.15">
      <c r="A76" s="8" t="s">
        <v>1043</v>
      </c>
      <c r="B76" s="8">
        <v>1</v>
      </c>
      <c r="C76" s="8">
        <v>4</v>
      </c>
      <c r="D76" s="8" t="s">
        <v>1540</v>
      </c>
      <c r="E76" s="9">
        <v>31.110000000000003</v>
      </c>
      <c r="F76" s="8" t="s">
        <v>469</v>
      </c>
      <c r="G76" s="10">
        <v>3818</v>
      </c>
      <c r="H76" s="132">
        <f t="shared" si="14"/>
        <v>46235</v>
      </c>
      <c r="I76" s="140">
        <f t="shared" si="15"/>
        <v>189</v>
      </c>
      <c r="J76" s="9">
        <f t="shared" si="16"/>
        <v>4.9502357255107388</v>
      </c>
      <c r="K76" s="140">
        <f t="shared" si="17"/>
        <v>4</v>
      </c>
      <c r="L76" s="206">
        <f t="shared" si="18"/>
        <v>2.1164021164021163</v>
      </c>
      <c r="M76" s="8" t="str">
        <f t="array" ref="M76">IF(L76&gt;5,"Perlu Sensus",IF(AND(L76&gt;=0,I76&gt;0),"Tetap Deteksi","Belum Deteksi"))</f>
        <v>Tetap Deteksi</v>
      </c>
      <c r="N76" s="132">
        <v>46235</v>
      </c>
      <c r="O76" s="203">
        <v>189</v>
      </c>
      <c r="P76" s="9">
        <f t="array" ref="P76">IFERROR(O76/G76*100,0)</f>
        <v>4.9502357255107388</v>
      </c>
      <c r="Q76" s="203">
        <v>4</v>
      </c>
      <c r="R76" s="9">
        <f t="shared" si="12"/>
        <v>2.1164021164021163</v>
      </c>
      <c r="S76" s="8" t="str">
        <f t="array" ref="S76">IF(R76&gt;5,"Perlu Sensus",IF(AND(R76&gt;=0,O76&gt;0),"Tetap Deteksi","Belum Deteksi"))</f>
        <v>Tetap Deteksi</v>
      </c>
      <c r="T76" s="203">
        <v>0</v>
      </c>
      <c r="U76" s="9">
        <f t="shared" si="19"/>
        <v>0</v>
      </c>
      <c r="V76" s="132">
        <v>46241</v>
      </c>
      <c r="W76" s="203">
        <v>236</v>
      </c>
      <c r="X76" s="203">
        <v>2</v>
      </c>
      <c r="Y76" s="9">
        <f t="shared" si="13"/>
        <v>0.84745762711864403</v>
      </c>
      <c r="Z76" s="8" t="str">
        <f t="array" ref="Z76">IF(Y76&gt;5,"Perlu Sensus",IF(AND(Y76&gt;0,,O76&gt;0),"Tetap Deteksi","Belum Deteksi"))</f>
        <v>Belum Deteksi</v>
      </c>
    </row>
    <row r="77" spans="1:26" outlineLevel="1" x14ac:dyDescent="0.15">
      <c r="A77" s="8" t="s">
        <v>1043</v>
      </c>
      <c r="B77" s="8">
        <v>1</v>
      </c>
      <c r="C77" s="8">
        <v>4</v>
      </c>
      <c r="D77" s="8" t="s">
        <v>1541</v>
      </c>
      <c r="E77" s="9">
        <v>34.68</v>
      </c>
      <c r="F77" s="8" t="s">
        <v>469</v>
      </c>
      <c r="G77" s="10">
        <v>3781</v>
      </c>
      <c r="H77" s="132">
        <f t="shared" si="14"/>
        <v>46241</v>
      </c>
      <c r="I77" s="140">
        <f t="shared" si="15"/>
        <v>207</v>
      </c>
      <c r="J77" s="9">
        <f t="shared" si="16"/>
        <v>5.4747421317111877</v>
      </c>
      <c r="K77" s="140">
        <f t="shared" si="17"/>
        <v>4</v>
      </c>
      <c r="L77" s="206">
        <f t="shared" si="18"/>
        <v>1.932367149758454</v>
      </c>
      <c r="M77" s="8" t="str">
        <f t="array" ref="M77">IF(L77&gt;5,"Perlu Sensus",IF(AND(L77&gt;=0,I77&gt;0),"Tetap Deteksi","Belum Deteksi"))</f>
        <v>Tetap Deteksi</v>
      </c>
      <c r="N77" s="132">
        <v>46241</v>
      </c>
      <c r="O77" s="203">
        <v>207</v>
      </c>
      <c r="P77" s="9">
        <f t="array" ref="P77">IFERROR(O77/G77*100,0)</f>
        <v>5.4747421317111877</v>
      </c>
      <c r="Q77" s="203">
        <v>4</v>
      </c>
      <c r="R77" s="9">
        <f t="shared" si="12"/>
        <v>1.932367149758454</v>
      </c>
      <c r="S77" s="8" t="str">
        <f t="array" ref="S77">IF(R77&gt;5,"Perlu Sensus",IF(AND(R77&gt;=0,O77&gt;0),"Tetap Deteksi","Belum Deteksi"))</f>
        <v>Tetap Deteksi</v>
      </c>
      <c r="T77" s="203">
        <v>0</v>
      </c>
      <c r="U77" s="9">
        <f t="shared" si="19"/>
        <v>0</v>
      </c>
      <c r="V77" s="132">
        <v>46241</v>
      </c>
      <c r="W77" s="203">
        <v>222</v>
      </c>
      <c r="X77" s="203">
        <v>5</v>
      </c>
      <c r="Y77" s="9">
        <f t="shared" si="13"/>
        <v>2.2522522522522523</v>
      </c>
      <c r="Z77" s="8" t="str">
        <f t="array" ref="Z77">IF(Y77&gt;5,"Perlu Sensus",IF(AND(Y77&gt;0,,O77&gt;0),"Tetap Deteksi","Belum Deteksi"))</f>
        <v>Belum Deteksi</v>
      </c>
    </row>
    <row r="78" spans="1:26" outlineLevel="1" x14ac:dyDescent="0.15">
      <c r="A78" s="8" t="s">
        <v>1043</v>
      </c>
      <c r="B78" s="8">
        <v>1</v>
      </c>
      <c r="C78" s="8">
        <v>4</v>
      </c>
      <c r="D78" s="8" t="s">
        <v>1542</v>
      </c>
      <c r="E78" s="9">
        <v>27.73</v>
      </c>
      <c r="F78" s="8" t="s">
        <v>469</v>
      </c>
      <c r="G78" s="10">
        <v>2082</v>
      </c>
      <c r="H78" s="132">
        <f t="shared" si="14"/>
        <v>46241</v>
      </c>
      <c r="I78" s="140">
        <f t="shared" si="15"/>
        <v>96</v>
      </c>
      <c r="J78" s="9">
        <f t="shared" si="16"/>
        <v>4.6109510086455332</v>
      </c>
      <c r="K78" s="140">
        <f t="shared" si="17"/>
        <v>3</v>
      </c>
      <c r="L78" s="206">
        <f t="shared" si="18"/>
        <v>3.125</v>
      </c>
      <c r="M78" s="8" t="str">
        <f t="array" ref="M78">IF(L78&gt;5,"Perlu Sensus",IF(AND(L78&gt;=0,I78&gt;0),"Tetap Deteksi","Belum Deteksi"))</f>
        <v>Tetap Deteksi</v>
      </c>
      <c r="N78" s="132">
        <v>46241</v>
      </c>
      <c r="O78" s="203">
        <v>96</v>
      </c>
      <c r="P78" s="9">
        <f t="array" ref="P78">IFERROR(O78/G78*100,0)</f>
        <v>4.6109510086455332</v>
      </c>
      <c r="Q78" s="203">
        <v>3</v>
      </c>
      <c r="R78" s="9">
        <f t="shared" si="12"/>
        <v>3.125</v>
      </c>
      <c r="S78" s="8" t="str">
        <f t="array" ref="S78">IF(R78&gt;5,"Perlu Sensus",IF(AND(R78&gt;=0,O78&gt;0),"Tetap Deteksi","Belum Deteksi"))</f>
        <v>Tetap Deteksi</v>
      </c>
      <c r="T78" s="203">
        <v>0</v>
      </c>
      <c r="U78" s="9">
        <f t="shared" si="19"/>
        <v>0</v>
      </c>
      <c r="V78" s="132">
        <v>46241</v>
      </c>
      <c r="W78" s="203">
        <v>112</v>
      </c>
      <c r="X78" s="203">
        <v>9.9999999999999995E-8</v>
      </c>
      <c r="Y78" s="9">
        <f t="shared" si="13"/>
        <v>8.9285714285714276E-8</v>
      </c>
      <c r="Z78" s="8" t="str">
        <f t="array" ref="Z78">IF(Y78&gt;5,"Perlu Sensus",IF(AND(Y78&gt;0,,O78&gt;0),"Tetap Deteksi","Belum Deteksi"))</f>
        <v>Belum Deteksi</v>
      </c>
    </row>
    <row r="79" spans="1:26" outlineLevel="1" x14ac:dyDescent="0.15">
      <c r="A79" s="8" t="s">
        <v>1043</v>
      </c>
      <c r="B79" s="8">
        <v>1</v>
      </c>
      <c r="C79" s="8">
        <v>4</v>
      </c>
      <c r="D79" s="8" t="s">
        <v>1543</v>
      </c>
      <c r="E79" s="9">
        <v>25.169999999999998</v>
      </c>
      <c r="F79" s="8" t="s">
        <v>469</v>
      </c>
      <c r="G79" s="10">
        <v>2618</v>
      </c>
      <c r="H79" s="132">
        <f t="shared" si="14"/>
        <v>46237</v>
      </c>
      <c r="I79" s="140">
        <f t="shared" si="15"/>
        <v>136</v>
      </c>
      <c r="J79" s="9">
        <f t="shared" si="16"/>
        <v>5.1948051948051948</v>
      </c>
      <c r="K79" s="140">
        <f t="shared" si="17"/>
        <v>4</v>
      </c>
      <c r="L79" s="206">
        <f t="shared" si="18"/>
        <v>2.9411764705882351</v>
      </c>
      <c r="M79" s="8" t="str">
        <f t="array" ref="M79">IF(L79&gt;5,"Perlu Sensus",IF(AND(L79&gt;=0,I79&gt;0),"Tetap Deteksi","Belum Deteksi"))</f>
        <v>Tetap Deteksi</v>
      </c>
      <c r="N79" s="132">
        <v>46237</v>
      </c>
      <c r="O79" s="203">
        <v>136</v>
      </c>
      <c r="P79" s="9">
        <f t="array" ref="P79">IFERROR(O79/G79*100,0)</f>
        <v>5.1948051948051948</v>
      </c>
      <c r="Q79" s="203">
        <v>4</v>
      </c>
      <c r="R79" s="9">
        <f t="shared" si="12"/>
        <v>2.9411764705882351</v>
      </c>
      <c r="S79" s="8" t="str">
        <f t="array" ref="S79">IF(R79&gt;5,"Perlu Sensus",IF(AND(R79&gt;=0,O79&gt;0),"Tetap Deteksi","Belum Deteksi"))</f>
        <v>Tetap Deteksi</v>
      </c>
      <c r="T79" s="203">
        <v>0</v>
      </c>
      <c r="U79" s="9">
        <f t="shared" si="19"/>
        <v>0</v>
      </c>
      <c r="V79" s="132">
        <v>46241</v>
      </c>
      <c r="W79" s="203">
        <v>161</v>
      </c>
      <c r="X79" s="203">
        <v>4</v>
      </c>
      <c r="Y79" s="9">
        <f t="shared" si="13"/>
        <v>2.4844720496894408</v>
      </c>
      <c r="Z79" s="8" t="str">
        <f t="array" ref="Z79">IF(Y79&gt;5,"Perlu Sensus",IF(AND(Y79&gt;0,,O79&gt;0),"Tetap Deteksi","Belum Deteksi"))</f>
        <v>Belum Deteksi</v>
      </c>
    </row>
    <row r="80" spans="1:26" outlineLevel="1" x14ac:dyDescent="0.15">
      <c r="A80" s="8" t="s">
        <v>1043</v>
      </c>
      <c r="B80" s="8">
        <v>1</v>
      </c>
      <c r="C80" s="8">
        <v>4</v>
      </c>
      <c r="D80" s="8" t="s">
        <v>1544</v>
      </c>
      <c r="E80" s="9">
        <v>44.63</v>
      </c>
      <c r="F80" s="8" t="s">
        <v>469</v>
      </c>
      <c r="G80" s="10">
        <v>4424</v>
      </c>
      <c r="H80" s="132">
        <f t="shared" si="14"/>
        <v>46236</v>
      </c>
      <c r="I80" s="140">
        <f t="shared" si="15"/>
        <v>204</v>
      </c>
      <c r="J80" s="9">
        <f t="shared" si="16"/>
        <v>4.6112115732368899</v>
      </c>
      <c r="K80" s="140">
        <f t="shared" si="17"/>
        <v>4</v>
      </c>
      <c r="L80" s="206">
        <f t="shared" si="18"/>
        <v>1.9607843137254901</v>
      </c>
      <c r="M80" s="8" t="str">
        <f t="array" ref="M80">IF(L80&gt;5,"Perlu Sensus",IF(AND(L80&gt;=0,I80&gt;0),"Tetap Deteksi","Belum Deteksi"))</f>
        <v>Tetap Deteksi</v>
      </c>
      <c r="N80" s="132">
        <v>46236</v>
      </c>
      <c r="O80" s="203">
        <v>204</v>
      </c>
      <c r="P80" s="9">
        <f t="array" ref="P80">IFERROR(O80/G80*100,0)</f>
        <v>4.6112115732368899</v>
      </c>
      <c r="Q80" s="203">
        <v>4</v>
      </c>
      <c r="R80" s="9">
        <f t="shared" si="12"/>
        <v>1.9607843137254901</v>
      </c>
      <c r="S80" s="8" t="str">
        <f t="array" ref="S80">IF(R80&gt;5,"Perlu Sensus",IF(AND(R80&gt;=0,O80&gt;0),"Tetap Deteksi","Belum Deteksi"))</f>
        <v>Tetap Deteksi</v>
      </c>
      <c r="T80" s="203">
        <v>0</v>
      </c>
      <c r="U80" s="9">
        <f t="shared" si="19"/>
        <v>0</v>
      </c>
      <c r="V80" s="132">
        <v>46241</v>
      </c>
      <c r="W80" s="203">
        <v>227</v>
      </c>
      <c r="X80" s="203">
        <v>7</v>
      </c>
      <c r="Y80" s="9">
        <f t="shared" si="13"/>
        <v>3.0837004405286343</v>
      </c>
      <c r="Z80" s="8" t="str">
        <f t="array" ref="Z80">IF(Y80&gt;5,"Perlu Sensus",IF(AND(Y80&gt;0,,O80&gt;0),"Tetap Deteksi","Belum Deteksi"))</f>
        <v>Belum Deteksi</v>
      </c>
    </row>
    <row r="81" spans="1:26" outlineLevel="1" x14ac:dyDescent="0.15">
      <c r="A81" s="8" t="s">
        <v>1043</v>
      </c>
      <c r="B81" s="8">
        <v>1</v>
      </c>
      <c r="C81" s="8">
        <v>4</v>
      </c>
      <c r="D81" s="8" t="s">
        <v>1545</v>
      </c>
      <c r="E81" s="9">
        <v>35.840000000000003</v>
      </c>
      <c r="F81" s="8" t="s">
        <v>469</v>
      </c>
      <c r="G81" s="10">
        <v>4005</v>
      </c>
      <c r="H81" s="132">
        <f t="shared" si="14"/>
        <v>46240</v>
      </c>
      <c r="I81" s="140">
        <f t="shared" si="15"/>
        <v>203</v>
      </c>
      <c r="J81" s="9">
        <f t="shared" si="16"/>
        <v>5.0686641697877652</v>
      </c>
      <c r="K81" s="140">
        <f t="shared" si="17"/>
        <v>4</v>
      </c>
      <c r="L81" s="206">
        <f t="shared" si="18"/>
        <v>1.9704433497536946</v>
      </c>
      <c r="M81" s="8" t="str">
        <f t="array" ref="M81">IF(L81&gt;5,"Perlu Sensus",IF(AND(L81&gt;=0,I81&gt;0),"Tetap Deteksi","Belum Deteksi"))</f>
        <v>Tetap Deteksi</v>
      </c>
      <c r="N81" s="132">
        <v>46240</v>
      </c>
      <c r="O81" s="203">
        <v>203</v>
      </c>
      <c r="P81" s="9">
        <f t="array" ref="P81">IFERROR(O81/G81*100,0)</f>
        <v>5.0686641697877652</v>
      </c>
      <c r="Q81" s="203">
        <v>4</v>
      </c>
      <c r="R81" s="9">
        <f t="shared" si="12"/>
        <v>1.9704433497536946</v>
      </c>
      <c r="S81" s="8" t="str">
        <f t="array" ref="S81">IF(R81&gt;5,"Perlu Sensus",IF(AND(R81&gt;=0,O81&gt;0),"Tetap Deteksi","Belum Deteksi"))</f>
        <v>Tetap Deteksi</v>
      </c>
      <c r="T81" s="203">
        <v>0</v>
      </c>
      <c r="U81" s="9">
        <f t="shared" si="19"/>
        <v>0</v>
      </c>
      <c r="V81" s="132">
        <v>46241</v>
      </c>
      <c r="W81" s="203">
        <v>221</v>
      </c>
      <c r="X81" s="203">
        <v>2</v>
      </c>
      <c r="Y81" s="9">
        <f t="shared" si="13"/>
        <v>0.90497737556561098</v>
      </c>
      <c r="Z81" s="8" t="str">
        <f t="array" ref="Z81">IF(Y81&gt;5,"Perlu Sensus",IF(AND(Y81&gt;0,,O81&gt;0),"Tetap Deteksi","Belum Deteksi"))</f>
        <v>Belum Deteksi</v>
      </c>
    </row>
    <row r="82" spans="1:26" outlineLevel="1" x14ac:dyDescent="0.15">
      <c r="A82" s="8" t="s">
        <v>1043</v>
      </c>
      <c r="B82" s="8">
        <v>1</v>
      </c>
      <c r="C82" s="8">
        <v>4</v>
      </c>
      <c r="D82" s="8" t="s">
        <v>1546</v>
      </c>
      <c r="E82" s="9">
        <v>32.989999999999995</v>
      </c>
      <c r="F82" s="8" t="s">
        <v>469</v>
      </c>
      <c r="G82" s="10">
        <v>3222</v>
      </c>
      <c r="H82" s="132">
        <f t="shared" si="14"/>
        <v>46236</v>
      </c>
      <c r="I82" s="140">
        <f t="shared" si="15"/>
        <v>184</v>
      </c>
      <c r="J82" s="9">
        <f t="shared" si="16"/>
        <v>5.7107386716325266</v>
      </c>
      <c r="K82" s="140">
        <f t="shared" si="17"/>
        <v>4</v>
      </c>
      <c r="L82" s="206">
        <f t="shared" si="18"/>
        <v>2.1739130434782608</v>
      </c>
      <c r="M82" s="8" t="str">
        <f t="array" ref="M82">IF(L82&gt;5,"Perlu Sensus",IF(AND(L82&gt;=0,I82&gt;0),"Tetap Deteksi","Belum Deteksi"))</f>
        <v>Tetap Deteksi</v>
      </c>
      <c r="N82" s="132">
        <v>46236</v>
      </c>
      <c r="O82" s="203">
        <v>184</v>
      </c>
      <c r="P82" s="9">
        <f t="array" ref="P82">IFERROR(O82/G82*100,0)</f>
        <v>5.7107386716325266</v>
      </c>
      <c r="Q82" s="203">
        <v>4</v>
      </c>
      <c r="R82" s="9">
        <f t="shared" si="12"/>
        <v>2.1739130434782608</v>
      </c>
      <c r="S82" s="8" t="str">
        <f t="array" ref="S82">IF(R82&gt;5,"Perlu Sensus",IF(AND(R82&gt;=0,O82&gt;0),"Tetap Deteksi","Belum Deteksi"))</f>
        <v>Tetap Deteksi</v>
      </c>
      <c r="T82" s="203">
        <v>5</v>
      </c>
      <c r="U82" s="9">
        <f t="shared" si="19"/>
        <v>2.7173913043478262</v>
      </c>
      <c r="V82" s="132">
        <v>46241</v>
      </c>
      <c r="W82" s="203">
        <v>196</v>
      </c>
      <c r="X82" s="203">
        <v>3</v>
      </c>
      <c r="Y82" s="9">
        <f t="shared" si="13"/>
        <v>1.5306122448979591</v>
      </c>
      <c r="Z82" s="8" t="str">
        <f t="array" ref="Z82">IF(Y82&gt;5,"Perlu Sensus",IF(AND(Y82&gt;0,,O82&gt;0),"Tetap Deteksi","Belum Deteksi"))</f>
        <v>Belum Deteksi</v>
      </c>
    </row>
    <row r="83" spans="1:26" outlineLevel="1" x14ac:dyDescent="0.15">
      <c r="A83" s="8" t="s">
        <v>1043</v>
      </c>
      <c r="B83" s="8">
        <v>1</v>
      </c>
      <c r="C83" s="8">
        <v>4</v>
      </c>
      <c r="D83" s="8" t="s">
        <v>1547</v>
      </c>
      <c r="E83" s="9">
        <v>40.629999999999995</v>
      </c>
      <c r="F83" s="8" t="s">
        <v>469</v>
      </c>
      <c r="G83" s="10">
        <v>3798</v>
      </c>
      <c r="H83" s="132">
        <f t="shared" si="14"/>
        <v>46241</v>
      </c>
      <c r="I83" s="140">
        <f t="shared" si="15"/>
        <v>224</v>
      </c>
      <c r="J83" s="9">
        <f t="shared" si="16"/>
        <v>5.8978409689310158</v>
      </c>
      <c r="K83" s="140">
        <f t="shared" si="17"/>
        <v>4</v>
      </c>
      <c r="L83" s="206">
        <f t="shared" si="18"/>
        <v>1.7857142857142856</v>
      </c>
      <c r="M83" s="8" t="str">
        <f t="array" ref="M83">IF(L83&gt;5,"Perlu Sensus",IF(AND(L83&gt;=0,I83&gt;0),"Tetap Deteksi","Belum Deteksi"))</f>
        <v>Tetap Deteksi</v>
      </c>
      <c r="N83" s="132">
        <v>46241</v>
      </c>
      <c r="O83" s="203">
        <v>224</v>
      </c>
      <c r="P83" s="9">
        <f t="array" ref="P83">IFERROR(O83/G83*100,0)</f>
        <v>5.8978409689310158</v>
      </c>
      <c r="Q83" s="203">
        <v>4</v>
      </c>
      <c r="R83" s="9">
        <f t="shared" si="12"/>
        <v>1.7857142857142856</v>
      </c>
      <c r="S83" s="8" t="str">
        <f t="array" ref="S83">IF(R83&gt;5,"Perlu Sensus",IF(AND(R83&gt;=0,O83&gt;0),"Tetap Deteksi","Belum Deteksi"))</f>
        <v>Tetap Deteksi</v>
      </c>
      <c r="T83" s="203">
        <v>4</v>
      </c>
      <c r="U83" s="9">
        <f t="shared" si="19"/>
        <v>1.7857142857142856</v>
      </c>
      <c r="V83" s="132">
        <v>46241</v>
      </c>
      <c r="W83" s="203">
        <v>201</v>
      </c>
      <c r="X83" s="203">
        <v>1</v>
      </c>
      <c r="Y83" s="9">
        <f t="shared" si="13"/>
        <v>0.49751243781094528</v>
      </c>
      <c r="Z83" s="8" t="str">
        <f t="array" ref="Z83">IF(Y83&gt;5,"Perlu Sensus",IF(AND(Y83&gt;0,,O83&gt;0),"Tetap Deteksi","Belum Deteksi"))</f>
        <v>Belum Deteksi</v>
      </c>
    </row>
    <row r="84" spans="1:26" outlineLevel="1" x14ac:dyDescent="0.15">
      <c r="A84" s="8" t="s">
        <v>1043</v>
      </c>
      <c r="B84" s="8">
        <v>1</v>
      </c>
      <c r="C84" s="8">
        <v>4</v>
      </c>
      <c r="D84" s="8" t="s">
        <v>1548</v>
      </c>
      <c r="E84" s="9">
        <v>31.13</v>
      </c>
      <c r="F84" s="8" t="s">
        <v>469</v>
      </c>
      <c r="G84" s="10">
        <v>3843</v>
      </c>
      <c r="H84" s="132">
        <f t="shared" si="14"/>
        <v>46235</v>
      </c>
      <c r="I84" s="140">
        <f t="shared" si="15"/>
        <v>1300</v>
      </c>
      <c r="J84" s="9">
        <f t="shared" si="16"/>
        <v>33.827738745771534</v>
      </c>
      <c r="K84" s="140">
        <f t="shared" si="17"/>
        <v>25</v>
      </c>
      <c r="L84" s="206">
        <f t="shared" si="18"/>
        <v>1.9230769230769231</v>
      </c>
      <c r="M84" s="8" t="str">
        <f t="array" ref="M84">IF(L84&gt;5,"Perlu Sensus",IF(AND(L84&gt;=0,I84&gt;0),"Tetap Deteksi","Belum Deteksi"))</f>
        <v>Tetap Deteksi</v>
      </c>
      <c r="N84" s="132">
        <v>46235</v>
      </c>
      <c r="O84" s="203">
        <v>1300</v>
      </c>
      <c r="P84" s="9">
        <f t="array" ref="P84">IFERROR(O84/G84*100,0)</f>
        <v>33.827738745771534</v>
      </c>
      <c r="Q84" s="203">
        <v>25</v>
      </c>
      <c r="R84" s="9">
        <f t="shared" ref="R84:R147" si="20">IFERROR(Q84/O84*100,0)</f>
        <v>1.9230769230769231</v>
      </c>
      <c r="S84" s="8" t="str">
        <f t="array" ref="S84">IF(R84&gt;5,"Perlu Sensus",IF(AND(R84&gt;=0,O84&gt;0),"Tetap Deteksi","Belum Deteksi"))</f>
        <v>Tetap Deteksi</v>
      </c>
      <c r="T84" s="203">
        <v>14</v>
      </c>
      <c r="U84" s="9">
        <f t="shared" si="19"/>
        <v>1.0769230769230769</v>
      </c>
      <c r="V84" s="132">
        <v>46247</v>
      </c>
      <c r="W84" s="203">
        <v>3653</v>
      </c>
      <c r="X84" s="203">
        <v>78</v>
      </c>
      <c r="Y84" s="9">
        <f t="shared" si="13"/>
        <v>2.1352313167259789</v>
      </c>
      <c r="Z84" s="8" t="str">
        <f t="array" ref="Z84">IF(Y84&gt;5,"Perlu Sensus",IF(AND(Y84&gt;0,,O84&gt;0),"Tetap Deteksi","Belum Deteksi"))</f>
        <v>Belum Deteksi</v>
      </c>
    </row>
    <row r="85" spans="1:26" outlineLevel="1" x14ac:dyDescent="0.15">
      <c r="A85" s="8" t="s">
        <v>1043</v>
      </c>
      <c r="B85" s="8">
        <v>1</v>
      </c>
      <c r="C85" s="8">
        <v>4</v>
      </c>
      <c r="D85" s="8" t="s">
        <v>1549</v>
      </c>
      <c r="E85" s="9">
        <v>27.83</v>
      </c>
      <c r="F85" s="8" t="s">
        <v>469</v>
      </c>
      <c r="G85" s="10">
        <v>3466</v>
      </c>
      <c r="H85" s="132">
        <f t="shared" si="14"/>
        <v>46235</v>
      </c>
      <c r="I85" s="140">
        <f t="shared" si="15"/>
        <v>190</v>
      </c>
      <c r="J85" s="9">
        <f t="shared" si="16"/>
        <v>5.4818234275822277</v>
      </c>
      <c r="K85" s="140">
        <f t="shared" si="17"/>
        <v>4</v>
      </c>
      <c r="L85" s="206">
        <f t="shared" si="18"/>
        <v>2.1052631578947367</v>
      </c>
      <c r="M85" s="8" t="str">
        <f t="array" ref="M85">IF(L85&gt;5,"Perlu Sensus",IF(AND(L85&gt;=0,I85&gt;0),"Tetap Deteksi","Belum Deteksi"))</f>
        <v>Tetap Deteksi</v>
      </c>
      <c r="N85" s="132">
        <v>46235</v>
      </c>
      <c r="O85" s="203">
        <v>190</v>
      </c>
      <c r="P85" s="9">
        <f t="array" ref="P85">IFERROR(O85/G85*100,0)</f>
        <v>5.4818234275822277</v>
      </c>
      <c r="Q85" s="203">
        <v>4</v>
      </c>
      <c r="R85" s="9">
        <f t="shared" si="20"/>
        <v>2.1052631578947367</v>
      </c>
      <c r="S85" s="8" t="str">
        <f t="array" ref="S85">IF(R85&gt;5,"Perlu Sensus",IF(AND(R85&gt;=0,O85&gt;0),"Tetap Deteksi","Belum Deteksi"))</f>
        <v>Tetap Deteksi</v>
      </c>
      <c r="T85" s="203">
        <v>0</v>
      </c>
      <c r="U85" s="9">
        <f t="shared" si="19"/>
        <v>0</v>
      </c>
      <c r="V85" s="132">
        <v>46247</v>
      </c>
      <c r="W85" s="203">
        <v>208</v>
      </c>
      <c r="X85" s="203">
        <v>5</v>
      </c>
      <c r="Y85" s="9">
        <f t="shared" si="13"/>
        <v>2.4038461538461542</v>
      </c>
      <c r="Z85" s="8" t="str">
        <f t="array" ref="Z85">IF(Y85&gt;5,"Perlu Sensus",IF(AND(Y85&gt;0,,O85&gt;0),"Tetap Deteksi","Belum Deteksi"))</f>
        <v>Belum Deteksi</v>
      </c>
    </row>
    <row r="86" spans="1:26" outlineLevel="1" x14ac:dyDescent="0.15">
      <c r="A86" s="8" t="s">
        <v>1043</v>
      </c>
      <c r="B86" s="8">
        <v>1</v>
      </c>
      <c r="C86" s="8">
        <v>4</v>
      </c>
      <c r="D86" s="8" t="s">
        <v>1550</v>
      </c>
      <c r="E86" s="9">
        <v>32.21</v>
      </c>
      <c r="F86" s="8" t="s">
        <v>469</v>
      </c>
      <c r="G86" s="10">
        <v>3908</v>
      </c>
      <c r="H86" s="132">
        <f t="shared" si="14"/>
        <v>46241</v>
      </c>
      <c r="I86" s="140">
        <f t="shared" si="15"/>
        <v>210</v>
      </c>
      <c r="J86" s="9">
        <f t="shared" si="16"/>
        <v>5.3735926305015358</v>
      </c>
      <c r="K86" s="140">
        <f t="shared" si="17"/>
        <v>4</v>
      </c>
      <c r="L86" s="206">
        <f t="shared" si="18"/>
        <v>1.9047619047619049</v>
      </c>
      <c r="M86" s="8" t="str">
        <f t="array" ref="M86">IF(L86&gt;5,"Perlu Sensus",IF(AND(L86&gt;=0,I86&gt;0),"Tetap Deteksi","Belum Deteksi"))</f>
        <v>Tetap Deteksi</v>
      </c>
      <c r="N86" s="132">
        <v>46241</v>
      </c>
      <c r="O86" s="203">
        <v>210</v>
      </c>
      <c r="P86" s="9">
        <f t="array" ref="P86">IFERROR(O86/G86*100,0)</f>
        <v>5.3735926305015358</v>
      </c>
      <c r="Q86" s="203">
        <v>4</v>
      </c>
      <c r="R86" s="9">
        <f t="shared" si="20"/>
        <v>1.9047619047619049</v>
      </c>
      <c r="S86" s="8" t="str">
        <f t="array" ref="S86">IF(R86&gt;5,"Perlu Sensus",IF(AND(R86&gt;=0,O86&gt;0),"Tetap Deteksi","Belum Deteksi"))</f>
        <v>Tetap Deteksi</v>
      </c>
      <c r="T86" s="203">
        <v>0</v>
      </c>
      <c r="U86" s="9">
        <f t="shared" si="19"/>
        <v>0</v>
      </c>
      <c r="V86" s="132">
        <v>46247</v>
      </c>
      <c r="W86" s="203">
        <v>211</v>
      </c>
      <c r="X86" s="203">
        <v>6</v>
      </c>
      <c r="Y86" s="9">
        <f t="shared" si="13"/>
        <v>2.8436018957345972</v>
      </c>
      <c r="Z86" s="8" t="str">
        <f t="array" ref="Z86">IF(Y86&gt;5,"Perlu Sensus",IF(AND(Y86&gt;0,,O86&gt;0),"Tetap Deteksi","Belum Deteksi"))</f>
        <v>Belum Deteksi</v>
      </c>
    </row>
    <row r="87" spans="1:26" outlineLevel="1" x14ac:dyDescent="0.15">
      <c r="A87" s="8" t="s">
        <v>1043</v>
      </c>
      <c r="B87" s="8">
        <v>1</v>
      </c>
      <c r="C87" s="8">
        <v>4</v>
      </c>
      <c r="D87" s="8" t="s">
        <v>1551</v>
      </c>
      <c r="E87" s="9">
        <v>35.86</v>
      </c>
      <c r="F87" s="8" t="s">
        <v>469</v>
      </c>
      <c r="G87" s="10">
        <v>4113</v>
      </c>
      <c r="H87" s="132">
        <f t="shared" si="14"/>
        <v>46235</v>
      </c>
      <c r="I87" s="140">
        <f t="shared" si="15"/>
        <v>1170</v>
      </c>
      <c r="J87" s="9">
        <f t="shared" si="16"/>
        <v>28.446389496717721</v>
      </c>
      <c r="K87" s="140">
        <f t="shared" si="17"/>
        <v>25</v>
      </c>
      <c r="L87" s="206">
        <f t="shared" si="18"/>
        <v>2.1367521367521367</v>
      </c>
      <c r="M87" s="8" t="str">
        <f t="array" ref="M87">IF(L87&gt;5,"Perlu Sensus",IF(AND(L87&gt;=0,I87&gt;0),"Tetap Deteksi","Belum Deteksi"))</f>
        <v>Tetap Deteksi</v>
      </c>
      <c r="N87" s="132">
        <v>46235</v>
      </c>
      <c r="O87" s="203">
        <v>1170</v>
      </c>
      <c r="P87" s="9">
        <f t="array" ref="P87">IFERROR(O87/G87*100,0)</f>
        <v>28.446389496717721</v>
      </c>
      <c r="Q87" s="203">
        <v>25</v>
      </c>
      <c r="R87" s="9">
        <f t="shared" si="20"/>
        <v>2.1367521367521367</v>
      </c>
      <c r="S87" s="8" t="str">
        <f t="array" ref="S87">IF(R87&gt;5,"Perlu Sensus",IF(AND(R87&gt;=0,O87&gt;0),"Tetap Deteksi","Belum Deteksi"))</f>
        <v>Tetap Deteksi</v>
      </c>
      <c r="T87" s="203">
        <v>9</v>
      </c>
      <c r="U87" s="9">
        <f t="shared" si="19"/>
        <v>0.76923076923076927</v>
      </c>
      <c r="V87" s="132">
        <v>46247</v>
      </c>
      <c r="W87" s="203">
        <v>206</v>
      </c>
      <c r="X87" s="203">
        <v>1</v>
      </c>
      <c r="Y87" s="9">
        <f t="shared" si="13"/>
        <v>0.48543689320388345</v>
      </c>
      <c r="Z87" s="8" t="str">
        <f t="array" ref="Z87">IF(Y87&gt;5,"Perlu Sensus",IF(AND(Y87&gt;0,,O87&gt;0),"Tetap Deteksi","Belum Deteksi"))</f>
        <v>Belum Deteksi</v>
      </c>
    </row>
    <row r="88" spans="1:26" outlineLevel="1" x14ac:dyDescent="0.15">
      <c r="A88" s="8" t="s">
        <v>1043</v>
      </c>
      <c r="B88" s="8">
        <v>1</v>
      </c>
      <c r="C88" s="8">
        <v>4</v>
      </c>
      <c r="D88" s="8" t="s">
        <v>1552</v>
      </c>
      <c r="E88" s="9">
        <v>23.43</v>
      </c>
      <c r="F88" s="8" t="s">
        <v>469</v>
      </c>
      <c r="G88" s="10">
        <v>2546</v>
      </c>
      <c r="H88" s="132">
        <f t="shared" si="14"/>
        <v>46235</v>
      </c>
      <c r="I88" s="140">
        <f t="shared" si="15"/>
        <v>1404</v>
      </c>
      <c r="J88" s="9">
        <f t="shared" si="16"/>
        <v>55.145326001571092</v>
      </c>
      <c r="K88" s="140">
        <f t="shared" si="17"/>
        <v>25</v>
      </c>
      <c r="L88" s="206">
        <f t="shared" si="18"/>
        <v>1.7806267806267806</v>
      </c>
      <c r="M88" s="8" t="str">
        <f t="array" ref="M88">IF(L88&gt;5,"Perlu Sensus",IF(AND(L88&gt;=0,I88&gt;0),"Tetap Deteksi","Belum Deteksi"))</f>
        <v>Tetap Deteksi</v>
      </c>
      <c r="N88" s="132">
        <v>46235</v>
      </c>
      <c r="O88" s="203">
        <v>1404</v>
      </c>
      <c r="P88" s="9">
        <f t="array" ref="P88">IFERROR(O88/G88*100,0)</f>
        <v>55.145326001571092</v>
      </c>
      <c r="Q88" s="203">
        <v>25</v>
      </c>
      <c r="R88" s="9">
        <f t="shared" si="20"/>
        <v>1.7806267806267806</v>
      </c>
      <c r="S88" s="8" t="str">
        <f t="array" ref="S88">IF(R88&gt;5,"Perlu Sensus",IF(AND(R88&gt;=0,O88&gt;0),"Tetap Deteksi","Belum Deteksi"))</f>
        <v>Tetap Deteksi</v>
      </c>
      <c r="T88" s="203">
        <v>14</v>
      </c>
      <c r="U88" s="9">
        <f t="shared" si="19"/>
        <v>0.99715099715099709</v>
      </c>
      <c r="V88" s="132">
        <v>46247</v>
      </c>
      <c r="W88" s="203">
        <v>133</v>
      </c>
      <c r="X88" s="203">
        <v>2</v>
      </c>
      <c r="Y88" s="9">
        <f t="shared" si="13"/>
        <v>1.5037593984962405</v>
      </c>
      <c r="Z88" s="8" t="str">
        <f t="array" ref="Z88">IF(Y88&gt;5,"Perlu Sensus",IF(AND(Y88&gt;0,,O88&gt;0),"Tetap Deteksi","Belum Deteksi"))</f>
        <v>Belum Deteksi</v>
      </c>
    </row>
    <row r="89" spans="1:26" outlineLevel="1" x14ac:dyDescent="0.15">
      <c r="A89" s="8" t="s">
        <v>1043</v>
      </c>
      <c r="B89" s="8">
        <v>1</v>
      </c>
      <c r="C89" s="8">
        <v>4</v>
      </c>
      <c r="D89" s="8" t="s">
        <v>1553</v>
      </c>
      <c r="E89" s="9">
        <v>40.15</v>
      </c>
      <c r="F89" s="8" t="s">
        <v>469</v>
      </c>
      <c r="G89" s="10">
        <v>4179</v>
      </c>
      <c r="H89" s="132">
        <f t="shared" si="14"/>
        <v>46235</v>
      </c>
      <c r="I89" s="140">
        <f t="shared" si="15"/>
        <v>1131</v>
      </c>
      <c r="J89" s="9">
        <f t="shared" si="16"/>
        <v>27.063890882986357</v>
      </c>
      <c r="K89" s="140">
        <f t="shared" si="17"/>
        <v>13</v>
      </c>
      <c r="L89" s="206">
        <f t="shared" si="18"/>
        <v>1.1494252873563218</v>
      </c>
      <c r="M89" s="8" t="str">
        <f t="array" ref="M89">IF(L89&gt;5,"Perlu Sensus",IF(AND(L89&gt;=0,I89&gt;0),"Tetap Deteksi","Belum Deteksi"))</f>
        <v>Tetap Deteksi</v>
      </c>
      <c r="N89" s="132">
        <v>46235</v>
      </c>
      <c r="O89" s="203">
        <v>1131</v>
      </c>
      <c r="P89" s="9">
        <f t="array" ref="P89">IFERROR(O89/G89*100,0)</f>
        <v>27.063890882986357</v>
      </c>
      <c r="Q89" s="203">
        <v>13</v>
      </c>
      <c r="R89" s="9">
        <f t="shared" si="20"/>
        <v>1.1494252873563218</v>
      </c>
      <c r="S89" s="8" t="str">
        <f t="array" ref="S89">IF(R89&gt;5,"Perlu Sensus",IF(AND(R89&gt;=0,O89&gt;0),"Tetap Deteksi","Belum Deteksi"))</f>
        <v>Tetap Deteksi</v>
      </c>
      <c r="T89" s="203">
        <v>13</v>
      </c>
      <c r="U89" s="9">
        <f t="shared" si="19"/>
        <v>1.1494252873563218</v>
      </c>
      <c r="V89" s="132">
        <v>46248</v>
      </c>
      <c r="W89" s="203">
        <v>3380</v>
      </c>
      <c r="X89" s="203">
        <v>13</v>
      </c>
      <c r="Y89" s="9">
        <f t="shared" si="13"/>
        <v>0.38461538461538464</v>
      </c>
      <c r="Z89" s="8" t="str">
        <f t="array" ref="Z89">IF(Y89&gt;5,"Perlu Sensus",IF(AND(Y89&gt;0,,O89&gt;0),"Tetap Deteksi","Belum Deteksi"))</f>
        <v>Belum Deteksi</v>
      </c>
    </row>
    <row r="90" spans="1:26" outlineLevel="1" x14ac:dyDescent="0.15">
      <c r="A90" s="8" t="s">
        <v>1043</v>
      </c>
      <c r="B90" s="8">
        <v>1</v>
      </c>
      <c r="C90" s="8">
        <v>4</v>
      </c>
      <c r="D90" s="8" t="s">
        <v>1554</v>
      </c>
      <c r="E90" s="9">
        <v>25.120000000000005</v>
      </c>
      <c r="F90" s="8" t="s">
        <v>469</v>
      </c>
      <c r="G90" s="10">
        <v>2310</v>
      </c>
      <c r="H90" s="132">
        <f t="shared" si="14"/>
        <v>46236</v>
      </c>
      <c r="I90" s="140">
        <f t="shared" si="15"/>
        <v>131</v>
      </c>
      <c r="J90" s="9">
        <f t="shared" si="16"/>
        <v>5.670995670995671</v>
      </c>
      <c r="K90" s="140">
        <f t="shared" si="17"/>
        <v>4</v>
      </c>
      <c r="L90" s="206">
        <f t="shared" si="18"/>
        <v>3.0534351145038165</v>
      </c>
      <c r="M90" s="8" t="str">
        <f t="array" ref="M90">IF(L90&gt;5,"Perlu Sensus",IF(AND(L90&gt;=0,I90&gt;0),"Tetap Deteksi","Belum Deteksi"))</f>
        <v>Tetap Deteksi</v>
      </c>
      <c r="N90" s="132">
        <v>46236</v>
      </c>
      <c r="O90" s="203">
        <v>131</v>
      </c>
      <c r="P90" s="9">
        <f t="array" ref="P90">IFERROR(O90/G90*100,0)</f>
        <v>5.670995670995671</v>
      </c>
      <c r="Q90" s="203">
        <v>4</v>
      </c>
      <c r="R90" s="9">
        <f t="shared" si="20"/>
        <v>3.0534351145038165</v>
      </c>
      <c r="S90" s="8" t="str">
        <f t="array" ref="S90">IF(R90&gt;5,"Perlu Sensus",IF(AND(R90&gt;=0,O90&gt;0),"Tetap Deteksi","Belum Deteksi"))</f>
        <v>Tetap Deteksi</v>
      </c>
      <c r="T90" s="203">
        <v>2</v>
      </c>
      <c r="U90" s="9">
        <f t="shared" si="19"/>
        <v>1.5267175572519083</v>
      </c>
      <c r="V90" s="132">
        <v>46249</v>
      </c>
      <c r="W90" s="203">
        <v>122</v>
      </c>
      <c r="X90" s="203">
        <v>3</v>
      </c>
      <c r="Y90" s="9">
        <f t="shared" si="13"/>
        <v>2.459016393442623</v>
      </c>
      <c r="Z90" s="8" t="str">
        <f t="array" ref="Z90">IF(Y90&gt;5,"Perlu Sensus",IF(AND(Y90&gt;0,,O90&gt;0),"Tetap Deteksi","Belum Deteksi"))</f>
        <v>Belum Deteksi</v>
      </c>
    </row>
    <row r="91" spans="1:26" outlineLevel="1" x14ac:dyDescent="0.15">
      <c r="A91" s="8" t="s">
        <v>1043</v>
      </c>
      <c r="B91" s="8">
        <v>1</v>
      </c>
      <c r="C91" s="8">
        <v>5</v>
      </c>
      <c r="D91" s="8" t="s">
        <v>1555</v>
      </c>
      <c r="E91" s="9">
        <v>40.130000000000003</v>
      </c>
      <c r="F91" s="8" t="s">
        <v>469</v>
      </c>
      <c r="G91" s="10">
        <v>3795</v>
      </c>
      <c r="H91" s="132">
        <f t="shared" si="14"/>
        <v>46242</v>
      </c>
      <c r="I91" s="140">
        <f t="shared" si="15"/>
        <v>232</v>
      </c>
      <c r="J91" s="9">
        <f t="shared" si="16"/>
        <v>6.1133069828722002</v>
      </c>
      <c r="K91" s="140">
        <f t="shared" si="17"/>
        <v>4</v>
      </c>
      <c r="L91" s="206">
        <f t="shared" si="18"/>
        <v>1.7241379310344827</v>
      </c>
      <c r="M91" s="8" t="str">
        <f t="array" ref="M91">IF(L91&gt;5,"Perlu Sensus",IF(AND(L91&gt;=0,I91&gt;0),"Tetap Deteksi","Belum Deteksi"))</f>
        <v>Tetap Deteksi</v>
      </c>
      <c r="N91" s="132">
        <v>46242</v>
      </c>
      <c r="O91" s="203">
        <v>232</v>
      </c>
      <c r="P91" s="9">
        <f t="array" ref="P91">IFERROR(O91/G91*100,0)</f>
        <v>6.1133069828722002</v>
      </c>
      <c r="Q91" s="203">
        <v>4</v>
      </c>
      <c r="R91" s="9">
        <f t="shared" si="20"/>
        <v>1.7241379310344827</v>
      </c>
      <c r="S91" s="8" t="str">
        <f t="array" ref="S91">IF(R91&gt;5,"Perlu Sensus",IF(AND(R91&gt;=0,O91&gt;0),"Tetap Deteksi","Belum Deteksi"))</f>
        <v>Tetap Deteksi</v>
      </c>
      <c r="T91" s="203">
        <v>6</v>
      </c>
      <c r="U91" s="9">
        <f t="shared" si="19"/>
        <v>2.5862068965517242</v>
      </c>
      <c r="V91" s="132">
        <v>46241</v>
      </c>
      <c r="W91" s="203">
        <v>239</v>
      </c>
      <c r="X91" s="203">
        <v>1</v>
      </c>
      <c r="Y91" s="9">
        <f t="shared" si="13"/>
        <v>0.41841004184100417</v>
      </c>
      <c r="Z91" s="8" t="str">
        <f t="array" ref="Z91">IF(Y91&gt;5,"Perlu Sensus",IF(AND(Y91&gt;0,,O91&gt;0),"Tetap Deteksi","Belum Deteksi"))</f>
        <v>Belum Deteksi</v>
      </c>
    </row>
    <row r="92" spans="1:26" outlineLevel="1" x14ac:dyDescent="0.15">
      <c r="A92" s="8" t="s">
        <v>1043</v>
      </c>
      <c r="B92" s="8">
        <v>1</v>
      </c>
      <c r="C92" s="8">
        <v>5</v>
      </c>
      <c r="D92" s="8" t="s">
        <v>1556</v>
      </c>
      <c r="E92" s="9">
        <v>31.189999999999998</v>
      </c>
      <c r="F92" s="8" t="s">
        <v>469</v>
      </c>
      <c r="G92" s="10">
        <v>1999</v>
      </c>
      <c r="H92" s="132">
        <f t="shared" si="14"/>
        <v>46241</v>
      </c>
      <c r="I92" s="140">
        <f t="shared" si="15"/>
        <v>101</v>
      </c>
      <c r="J92" s="9">
        <f t="shared" si="16"/>
        <v>5.0525262631315657</v>
      </c>
      <c r="K92" s="140">
        <f t="shared" si="17"/>
        <v>4</v>
      </c>
      <c r="L92" s="206">
        <f t="shared" si="18"/>
        <v>3.9603960396039604</v>
      </c>
      <c r="M92" s="8" t="str">
        <f t="array" ref="M92">IF(L92&gt;5,"Perlu Sensus",IF(AND(L92&gt;=0,I92&gt;0),"Tetap Deteksi","Belum Deteksi"))</f>
        <v>Tetap Deteksi</v>
      </c>
      <c r="N92" s="132">
        <v>46241</v>
      </c>
      <c r="O92" s="203">
        <v>101</v>
      </c>
      <c r="P92" s="9">
        <f t="array" ref="P92">IFERROR(O92/G92*100,0)</f>
        <v>5.0525262631315657</v>
      </c>
      <c r="Q92" s="203">
        <v>4</v>
      </c>
      <c r="R92" s="9">
        <f t="shared" si="20"/>
        <v>3.9603960396039604</v>
      </c>
      <c r="S92" s="8" t="str">
        <f t="array" ref="S92">IF(R92&gt;5,"Perlu Sensus",IF(AND(R92&gt;=0,O92&gt;0),"Tetap Deteksi","Belum Deteksi"))</f>
        <v>Tetap Deteksi</v>
      </c>
      <c r="T92" s="203">
        <v>1</v>
      </c>
      <c r="U92" s="9">
        <f t="shared" si="19"/>
        <v>0.99009900990099009</v>
      </c>
      <c r="V92" s="132">
        <v>46241</v>
      </c>
      <c r="W92" s="203">
        <v>114</v>
      </c>
      <c r="X92" s="203">
        <v>1</v>
      </c>
      <c r="Y92" s="9">
        <f t="shared" si="13"/>
        <v>0.8771929824561403</v>
      </c>
      <c r="Z92" s="8" t="str">
        <f t="array" ref="Z92">IF(Y92&gt;5,"Perlu Sensus",IF(AND(Y92&gt;0,,O92&gt;0),"Tetap Deteksi","Belum Deteksi"))</f>
        <v>Belum Deteksi</v>
      </c>
    </row>
    <row r="93" spans="1:26" outlineLevel="1" x14ac:dyDescent="0.15">
      <c r="A93" s="8" t="s">
        <v>1043</v>
      </c>
      <c r="B93" s="8">
        <v>1</v>
      </c>
      <c r="C93" s="8">
        <v>5</v>
      </c>
      <c r="D93" s="8" t="s">
        <v>1557</v>
      </c>
      <c r="E93" s="9">
        <v>36.08</v>
      </c>
      <c r="F93" s="8" t="s">
        <v>469</v>
      </c>
      <c r="G93" s="10">
        <v>3932</v>
      </c>
      <c r="H93" s="132">
        <f t="shared" si="14"/>
        <v>46236</v>
      </c>
      <c r="I93" s="140">
        <f t="shared" si="15"/>
        <v>182</v>
      </c>
      <c r="J93" s="9">
        <f t="shared" si="16"/>
        <v>4.6286876907426242</v>
      </c>
      <c r="K93" s="140">
        <f t="shared" si="17"/>
        <v>4</v>
      </c>
      <c r="L93" s="206">
        <f t="shared" si="18"/>
        <v>2.197802197802198</v>
      </c>
      <c r="M93" s="8" t="str">
        <f t="array" ref="M93">IF(L93&gt;5,"Perlu Sensus",IF(AND(L93&gt;=0,I93&gt;0),"Tetap Deteksi","Belum Deteksi"))</f>
        <v>Tetap Deteksi</v>
      </c>
      <c r="N93" s="132">
        <v>46236</v>
      </c>
      <c r="O93" s="203">
        <v>182</v>
      </c>
      <c r="P93" s="9">
        <f t="array" ref="P93">IFERROR(O93/G93*100,0)</f>
        <v>4.6286876907426242</v>
      </c>
      <c r="Q93" s="203">
        <v>4</v>
      </c>
      <c r="R93" s="9">
        <f t="shared" si="20"/>
        <v>2.197802197802198</v>
      </c>
      <c r="S93" s="8" t="str">
        <f t="array" ref="S93">IF(R93&gt;5,"Perlu Sensus",IF(AND(R93&gt;=0,O93&gt;0),"Tetap Deteksi","Belum Deteksi"))</f>
        <v>Tetap Deteksi</v>
      </c>
      <c r="T93" s="203">
        <v>2</v>
      </c>
      <c r="U93" s="9">
        <f t="shared" si="19"/>
        <v>1.098901098901099</v>
      </c>
      <c r="V93" s="132">
        <v>46241</v>
      </c>
      <c r="W93" s="203">
        <v>206</v>
      </c>
      <c r="X93" s="203">
        <v>3</v>
      </c>
      <c r="Y93" s="9">
        <f t="shared" si="13"/>
        <v>1.4563106796116505</v>
      </c>
      <c r="Z93" s="8" t="str">
        <f t="array" ref="Z93">IF(Y93&gt;5,"Perlu Sensus",IF(AND(Y93&gt;0,,O93&gt;0),"Tetap Deteksi","Belum Deteksi"))</f>
        <v>Belum Deteksi</v>
      </c>
    </row>
    <row r="94" spans="1:26" outlineLevel="1" x14ac:dyDescent="0.15">
      <c r="A94" s="8" t="s">
        <v>1043</v>
      </c>
      <c r="B94" s="8">
        <v>1</v>
      </c>
      <c r="C94" s="8">
        <v>5</v>
      </c>
      <c r="D94" s="8" t="s">
        <v>1558</v>
      </c>
      <c r="E94" s="9">
        <v>32.839999999999996</v>
      </c>
      <c r="F94" s="8" t="s">
        <v>469</v>
      </c>
      <c r="G94" s="10">
        <v>3578</v>
      </c>
      <c r="H94" s="132">
        <f t="shared" si="14"/>
        <v>46239</v>
      </c>
      <c r="I94" s="140">
        <f t="shared" si="15"/>
        <v>175</v>
      </c>
      <c r="J94" s="9">
        <f t="shared" si="16"/>
        <v>4.8910005589714922</v>
      </c>
      <c r="K94" s="140">
        <f t="shared" si="17"/>
        <v>4</v>
      </c>
      <c r="L94" s="206">
        <f t="shared" si="18"/>
        <v>2.2857142857142856</v>
      </c>
      <c r="M94" s="8" t="str">
        <f t="array" ref="M94">IF(L94&gt;5,"Perlu Sensus",IF(AND(L94&gt;=0,I94&gt;0),"Tetap Deteksi","Belum Deteksi"))</f>
        <v>Tetap Deteksi</v>
      </c>
      <c r="N94" s="132">
        <v>46239</v>
      </c>
      <c r="O94" s="203">
        <v>175</v>
      </c>
      <c r="P94" s="9">
        <f t="array" ref="P94">IFERROR(O94/G94*100,0)</f>
        <v>4.8910005589714922</v>
      </c>
      <c r="Q94" s="203">
        <v>4</v>
      </c>
      <c r="R94" s="9">
        <f t="shared" si="20"/>
        <v>2.2857142857142856</v>
      </c>
      <c r="S94" s="8" t="str">
        <f t="array" ref="S94">IF(R94&gt;5,"Perlu Sensus",IF(AND(R94&gt;=0,O94&gt;0),"Tetap Deteksi","Belum Deteksi"))</f>
        <v>Tetap Deteksi</v>
      </c>
      <c r="T94" s="203">
        <v>0</v>
      </c>
      <c r="U94" s="9">
        <f t="shared" si="19"/>
        <v>0</v>
      </c>
      <c r="V94" s="132">
        <v>46241</v>
      </c>
      <c r="W94" s="203">
        <v>202</v>
      </c>
      <c r="X94" s="203">
        <v>3</v>
      </c>
      <c r="Y94" s="9">
        <f t="shared" si="13"/>
        <v>1.4851485148514851</v>
      </c>
      <c r="Z94" s="8" t="str">
        <f t="array" ref="Z94">IF(Y94&gt;5,"Perlu Sensus",IF(AND(Y94&gt;0,,O94&gt;0),"Tetap Deteksi","Belum Deteksi"))</f>
        <v>Belum Deteksi</v>
      </c>
    </row>
    <row r="95" spans="1:26" outlineLevel="1" x14ac:dyDescent="0.15">
      <c r="A95" s="8" t="s">
        <v>1043</v>
      </c>
      <c r="B95" s="8">
        <v>1</v>
      </c>
      <c r="C95" s="8">
        <v>5</v>
      </c>
      <c r="D95" s="8" t="s">
        <v>1559</v>
      </c>
      <c r="E95" s="9">
        <v>40.57</v>
      </c>
      <c r="F95" s="8" t="s">
        <v>469</v>
      </c>
      <c r="G95" s="10">
        <v>4759</v>
      </c>
      <c r="H95" s="132">
        <f t="shared" si="14"/>
        <v>46240</v>
      </c>
      <c r="I95" s="140">
        <f t="shared" si="15"/>
        <v>234</v>
      </c>
      <c r="J95" s="9">
        <f t="shared" si="16"/>
        <v>4.9169993696154659</v>
      </c>
      <c r="K95" s="140">
        <f t="shared" si="17"/>
        <v>4</v>
      </c>
      <c r="L95" s="206">
        <f t="shared" si="18"/>
        <v>1.7094017094017095</v>
      </c>
      <c r="M95" s="8" t="str">
        <f t="array" ref="M95">IF(L95&gt;5,"Perlu Sensus",IF(AND(L95&gt;=0,I95&gt;0),"Tetap Deteksi","Belum Deteksi"))</f>
        <v>Tetap Deteksi</v>
      </c>
      <c r="N95" s="132">
        <v>46240</v>
      </c>
      <c r="O95" s="203">
        <v>234</v>
      </c>
      <c r="P95" s="9">
        <f t="array" ref="P95">IFERROR(O95/G95*100,0)</f>
        <v>4.9169993696154659</v>
      </c>
      <c r="Q95" s="203">
        <v>4</v>
      </c>
      <c r="R95" s="9">
        <f t="shared" si="20"/>
        <v>1.7094017094017095</v>
      </c>
      <c r="S95" s="8" t="str">
        <f t="array" ref="S95">IF(R95&gt;5,"Perlu Sensus",IF(AND(R95&gt;=0,O95&gt;0),"Tetap Deteksi","Belum Deteksi"))</f>
        <v>Tetap Deteksi</v>
      </c>
      <c r="T95" s="203">
        <v>0</v>
      </c>
      <c r="U95" s="9">
        <f t="shared" si="19"/>
        <v>0</v>
      </c>
      <c r="V95" s="132">
        <v>46241</v>
      </c>
      <c r="W95" s="203">
        <v>257</v>
      </c>
      <c r="X95" s="203">
        <v>5</v>
      </c>
      <c r="Y95" s="9">
        <f t="shared" si="13"/>
        <v>1.9455252918287937</v>
      </c>
      <c r="Z95" s="8" t="str">
        <f t="array" ref="Z95">IF(Y95&gt;5,"Perlu Sensus",IF(AND(Y95&gt;0,,O95&gt;0),"Tetap Deteksi","Belum Deteksi"))</f>
        <v>Belum Deteksi</v>
      </c>
    </row>
    <row r="96" spans="1:26" outlineLevel="1" x14ac:dyDescent="0.15">
      <c r="A96" s="8" t="s">
        <v>1043</v>
      </c>
      <c r="B96" s="8">
        <v>1</v>
      </c>
      <c r="C96" s="8">
        <v>5</v>
      </c>
      <c r="D96" s="8" t="s">
        <v>1560</v>
      </c>
      <c r="E96" s="9">
        <v>26.689999999999998</v>
      </c>
      <c r="F96" s="8" t="s">
        <v>469</v>
      </c>
      <c r="G96" s="10">
        <v>2403</v>
      </c>
      <c r="H96" s="132">
        <f t="shared" si="14"/>
        <v>46236</v>
      </c>
      <c r="I96" s="140">
        <f t="shared" si="15"/>
        <v>127</v>
      </c>
      <c r="J96" s="9">
        <f t="shared" si="16"/>
        <v>5.2850603412401167</v>
      </c>
      <c r="K96" s="140">
        <f t="shared" si="17"/>
        <v>4</v>
      </c>
      <c r="L96" s="206">
        <f t="shared" si="18"/>
        <v>3.1496062992125982</v>
      </c>
      <c r="M96" s="8" t="str">
        <f t="array" ref="M96">IF(L96&gt;5,"Perlu Sensus",IF(AND(L96&gt;=0,I96&gt;0),"Tetap Deteksi","Belum Deteksi"))</f>
        <v>Tetap Deteksi</v>
      </c>
      <c r="N96" s="132">
        <v>46236</v>
      </c>
      <c r="O96" s="203">
        <v>127</v>
      </c>
      <c r="P96" s="9">
        <f t="array" ref="P96">IFERROR(O96/G96*100,0)</f>
        <v>5.2850603412401167</v>
      </c>
      <c r="Q96" s="203">
        <v>4</v>
      </c>
      <c r="R96" s="9">
        <f t="shared" si="20"/>
        <v>3.1496062992125982</v>
      </c>
      <c r="S96" s="8" t="str">
        <f t="array" ref="S96">IF(R96&gt;5,"Perlu Sensus",IF(AND(R96&gt;=0,O96&gt;0),"Tetap Deteksi","Belum Deteksi"))</f>
        <v>Tetap Deteksi</v>
      </c>
      <c r="T96" s="203">
        <v>0</v>
      </c>
      <c r="U96" s="9">
        <f t="shared" si="19"/>
        <v>0</v>
      </c>
      <c r="V96" s="132">
        <v>46241</v>
      </c>
      <c r="W96" s="203">
        <v>145</v>
      </c>
      <c r="X96" s="203">
        <v>5</v>
      </c>
      <c r="Y96" s="9">
        <f t="shared" si="13"/>
        <v>3.4482758620689653</v>
      </c>
      <c r="Z96" s="8" t="str">
        <f t="array" ref="Z96">IF(Y96&gt;5,"Perlu Sensus",IF(AND(Y96&gt;0,,O96&gt;0),"Tetap Deteksi","Belum Deteksi"))</f>
        <v>Belum Deteksi</v>
      </c>
    </row>
    <row r="97" spans="1:26" outlineLevel="1" x14ac:dyDescent="0.15">
      <c r="A97" s="8" t="s">
        <v>1043</v>
      </c>
      <c r="B97" s="8">
        <v>1</v>
      </c>
      <c r="C97" s="8">
        <v>5</v>
      </c>
      <c r="D97" s="8" t="s">
        <v>1561</v>
      </c>
      <c r="E97" s="9">
        <v>39.419999999999995</v>
      </c>
      <c r="F97" s="8" t="s">
        <v>469</v>
      </c>
      <c r="G97" s="10">
        <v>3949</v>
      </c>
      <c r="H97" s="132">
        <f t="shared" si="14"/>
        <v>46239</v>
      </c>
      <c r="I97" s="140">
        <f t="shared" si="15"/>
        <v>158</v>
      </c>
      <c r="J97" s="9">
        <f t="shared" si="16"/>
        <v>4.0010129146619393</v>
      </c>
      <c r="K97" s="140">
        <f t="shared" si="17"/>
        <v>4</v>
      </c>
      <c r="L97" s="206">
        <f t="shared" si="18"/>
        <v>2.5316455696202533</v>
      </c>
      <c r="M97" s="8" t="str">
        <f t="array" ref="M97">IF(L97&gt;5,"Perlu Sensus",IF(AND(L97&gt;=0,I97&gt;0),"Tetap Deteksi","Belum Deteksi"))</f>
        <v>Tetap Deteksi</v>
      </c>
      <c r="N97" s="132">
        <v>46239</v>
      </c>
      <c r="O97" s="203">
        <v>158</v>
      </c>
      <c r="P97" s="9">
        <f t="array" ref="P97">IFERROR(O97/G97*100,0)</f>
        <v>4.0010129146619393</v>
      </c>
      <c r="Q97" s="203">
        <v>4</v>
      </c>
      <c r="R97" s="9">
        <f t="shared" si="20"/>
        <v>2.5316455696202533</v>
      </c>
      <c r="S97" s="8" t="str">
        <f t="array" ref="S97">IF(R97&gt;5,"Perlu Sensus",IF(AND(R97&gt;=0,O97&gt;0),"Tetap Deteksi","Belum Deteksi"))</f>
        <v>Tetap Deteksi</v>
      </c>
      <c r="T97" s="203">
        <v>6</v>
      </c>
      <c r="U97" s="9">
        <f t="shared" si="19"/>
        <v>3.79746835443038</v>
      </c>
      <c r="V97" s="132">
        <v>46241</v>
      </c>
      <c r="W97" s="203">
        <v>201</v>
      </c>
      <c r="X97" s="203">
        <v>5</v>
      </c>
      <c r="Y97" s="9">
        <f t="shared" si="13"/>
        <v>2.4875621890547266</v>
      </c>
      <c r="Z97" s="8" t="str">
        <f t="array" ref="Z97">IF(Y97&gt;5,"Perlu Sensus",IF(AND(Y97&gt;0,,O97&gt;0),"Tetap Deteksi","Belum Deteksi"))</f>
        <v>Belum Deteksi</v>
      </c>
    </row>
    <row r="98" spans="1:26" outlineLevel="1" x14ac:dyDescent="0.15">
      <c r="A98" s="8" t="s">
        <v>1043</v>
      </c>
      <c r="B98" s="8">
        <v>1</v>
      </c>
      <c r="C98" s="8">
        <v>5</v>
      </c>
      <c r="D98" s="8" t="s">
        <v>1562</v>
      </c>
      <c r="E98" s="9">
        <v>36.409999999999997</v>
      </c>
      <c r="F98" s="8" t="s">
        <v>469</v>
      </c>
      <c r="G98" s="10">
        <v>4768</v>
      </c>
      <c r="H98" s="132">
        <f t="shared" si="14"/>
        <v>46239</v>
      </c>
      <c r="I98" s="140">
        <f t="shared" si="15"/>
        <v>277</v>
      </c>
      <c r="J98" s="9">
        <f t="shared" si="16"/>
        <v>5.8095637583892623</v>
      </c>
      <c r="K98" s="140">
        <f t="shared" si="17"/>
        <v>4</v>
      </c>
      <c r="L98" s="206">
        <f t="shared" si="18"/>
        <v>1.4440433212996391</v>
      </c>
      <c r="M98" s="8" t="str">
        <f t="array" ref="M98">IF(L98&gt;5,"Perlu Sensus",IF(AND(L98&gt;=0,I98&gt;0),"Tetap Deteksi","Belum Deteksi"))</f>
        <v>Tetap Deteksi</v>
      </c>
      <c r="N98" s="132">
        <v>46239</v>
      </c>
      <c r="O98" s="203">
        <v>277</v>
      </c>
      <c r="P98" s="9">
        <f t="array" ref="P98">IFERROR(O98/G98*100,0)</f>
        <v>5.8095637583892623</v>
      </c>
      <c r="Q98" s="203">
        <v>4</v>
      </c>
      <c r="R98" s="9">
        <f t="shared" si="20"/>
        <v>1.4440433212996391</v>
      </c>
      <c r="S98" s="8" t="str">
        <f t="array" ref="S98">IF(R98&gt;5,"Perlu Sensus",IF(AND(R98&gt;=0,O98&gt;0),"Tetap Deteksi","Belum Deteksi"))</f>
        <v>Tetap Deteksi</v>
      </c>
      <c r="T98" s="203">
        <v>0</v>
      </c>
      <c r="U98" s="9">
        <f t="shared" si="19"/>
        <v>0</v>
      </c>
      <c r="V98" s="132">
        <v>46241</v>
      </c>
      <c r="W98" s="203">
        <v>276</v>
      </c>
      <c r="X98" s="203">
        <v>4</v>
      </c>
      <c r="Y98" s="9">
        <f t="shared" si="13"/>
        <v>1.4492753623188406</v>
      </c>
      <c r="Z98" s="8" t="str">
        <f t="array" ref="Z98">IF(Y98&gt;5,"Perlu Sensus",IF(AND(Y98&gt;0,,O98&gt;0),"Tetap Deteksi","Belum Deteksi"))</f>
        <v>Belum Deteksi</v>
      </c>
    </row>
    <row r="99" spans="1:26" outlineLevel="1" x14ac:dyDescent="0.15">
      <c r="A99" s="8" t="s">
        <v>1043</v>
      </c>
      <c r="B99" s="8">
        <v>1</v>
      </c>
      <c r="C99" s="8">
        <v>5</v>
      </c>
      <c r="D99" s="8" t="s">
        <v>1563</v>
      </c>
      <c r="E99" s="9">
        <v>40.380000000000003</v>
      </c>
      <c r="F99" s="8" t="s">
        <v>469</v>
      </c>
      <c r="G99" s="10">
        <v>5005</v>
      </c>
      <c r="H99" s="132">
        <f t="shared" si="14"/>
        <v>46241</v>
      </c>
      <c r="I99" s="140">
        <f t="shared" si="15"/>
        <v>257</v>
      </c>
      <c r="J99" s="9">
        <f t="shared" si="16"/>
        <v>5.1348651348651346</v>
      </c>
      <c r="K99" s="140">
        <f t="shared" si="17"/>
        <v>4</v>
      </c>
      <c r="L99" s="206">
        <f t="shared" si="18"/>
        <v>1.556420233463035</v>
      </c>
      <c r="M99" s="8" t="str">
        <f t="array" ref="M99">IF(L99&gt;5,"Perlu Sensus",IF(AND(L99&gt;=0,I99&gt;0),"Tetap Deteksi","Belum Deteksi"))</f>
        <v>Tetap Deteksi</v>
      </c>
      <c r="N99" s="132">
        <v>46241</v>
      </c>
      <c r="O99" s="203">
        <v>257</v>
      </c>
      <c r="P99" s="9">
        <f t="array" ref="P99">IFERROR(O99/G99*100,0)</f>
        <v>5.1348651348651346</v>
      </c>
      <c r="Q99" s="203">
        <v>4</v>
      </c>
      <c r="R99" s="9">
        <f t="shared" si="20"/>
        <v>1.556420233463035</v>
      </c>
      <c r="S99" s="8" t="str">
        <f t="array" ref="S99">IF(R99&gt;5,"Perlu Sensus",IF(AND(R99&gt;=0,O99&gt;0),"Tetap Deteksi","Belum Deteksi"))</f>
        <v>Tetap Deteksi</v>
      </c>
      <c r="T99" s="203">
        <v>0</v>
      </c>
      <c r="U99" s="9">
        <f t="shared" si="19"/>
        <v>0</v>
      </c>
      <c r="V99" s="132">
        <v>46241</v>
      </c>
      <c r="W99" s="203">
        <v>264</v>
      </c>
      <c r="X99" s="203">
        <v>6</v>
      </c>
      <c r="Y99" s="9">
        <f t="shared" si="13"/>
        <v>2.2727272727272729</v>
      </c>
      <c r="Z99" s="8" t="str">
        <f t="array" ref="Z99">IF(Y99&gt;5,"Perlu Sensus",IF(AND(Y99&gt;0,,O99&gt;0),"Tetap Deteksi","Belum Deteksi"))</f>
        <v>Belum Deteksi</v>
      </c>
    </row>
    <row r="100" spans="1:26" outlineLevel="1" x14ac:dyDescent="0.15">
      <c r="A100" s="8" t="s">
        <v>1043</v>
      </c>
      <c r="B100" s="8">
        <v>1</v>
      </c>
      <c r="C100" s="8">
        <v>5</v>
      </c>
      <c r="D100" s="8" t="s">
        <v>1564</v>
      </c>
      <c r="E100" s="9">
        <v>38.1</v>
      </c>
      <c r="F100" s="8" t="s">
        <v>469</v>
      </c>
      <c r="G100" s="10">
        <v>4539</v>
      </c>
      <c r="H100" s="132">
        <f t="shared" si="14"/>
        <v>46236</v>
      </c>
      <c r="I100" s="140">
        <f t="shared" si="15"/>
        <v>229</v>
      </c>
      <c r="J100" s="9">
        <f t="shared" si="16"/>
        <v>5.0451641330689583</v>
      </c>
      <c r="K100" s="140">
        <f t="shared" si="17"/>
        <v>4</v>
      </c>
      <c r="L100" s="206">
        <f t="shared" si="18"/>
        <v>1.7467248908296942</v>
      </c>
      <c r="M100" s="8" t="str">
        <f t="array" ref="M100">IF(L100&gt;5,"Perlu Sensus",IF(AND(L100&gt;=0,I100&gt;0),"Tetap Deteksi","Belum Deteksi"))</f>
        <v>Tetap Deteksi</v>
      </c>
      <c r="N100" s="132">
        <v>46236</v>
      </c>
      <c r="O100" s="203">
        <v>229</v>
      </c>
      <c r="P100" s="9">
        <f t="array" ref="P100">IFERROR(O100/G100*100,0)</f>
        <v>5.0451641330689583</v>
      </c>
      <c r="Q100" s="203">
        <v>4</v>
      </c>
      <c r="R100" s="9">
        <f t="shared" si="20"/>
        <v>1.7467248908296942</v>
      </c>
      <c r="S100" s="8" t="str">
        <f t="array" ref="S100">IF(R100&gt;5,"Perlu Sensus",IF(AND(R100&gt;=0,O100&gt;0),"Tetap Deteksi","Belum Deteksi"))</f>
        <v>Tetap Deteksi</v>
      </c>
      <c r="T100" s="203">
        <v>0</v>
      </c>
      <c r="U100" s="9">
        <f t="shared" si="19"/>
        <v>0</v>
      </c>
      <c r="V100" s="132">
        <v>46242</v>
      </c>
      <c r="W100" s="203">
        <v>246</v>
      </c>
      <c r="X100" s="203">
        <v>6</v>
      </c>
      <c r="Y100" s="9">
        <f t="shared" si="13"/>
        <v>2.4390243902439024</v>
      </c>
      <c r="Z100" s="8" t="str">
        <f t="array" ref="Z100">IF(Y100&gt;5,"Perlu Sensus",IF(AND(Y100&gt;0,,O100&gt;0),"Tetap Deteksi","Belum Deteksi"))</f>
        <v>Belum Deteksi</v>
      </c>
    </row>
    <row r="101" spans="1:26" outlineLevel="1" x14ac:dyDescent="0.15">
      <c r="A101" s="8" t="s">
        <v>1043</v>
      </c>
      <c r="B101" s="8">
        <v>1</v>
      </c>
      <c r="C101" s="8">
        <v>5</v>
      </c>
      <c r="D101" s="8" t="s">
        <v>1565</v>
      </c>
      <c r="E101" s="9">
        <v>23.65</v>
      </c>
      <c r="F101" s="8" t="s">
        <v>469</v>
      </c>
      <c r="G101" s="10">
        <v>2446</v>
      </c>
      <c r="H101" s="132">
        <f t="shared" si="14"/>
        <v>46240</v>
      </c>
      <c r="I101" s="140">
        <f t="shared" si="15"/>
        <v>126</v>
      </c>
      <c r="J101" s="9">
        <f t="shared" si="16"/>
        <v>5.1512673753066229</v>
      </c>
      <c r="K101" s="140">
        <f t="shared" si="17"/>
        <v>4</v>
      </c>
      <c r="L101" s="206">
        <f t="shared" si="18"/>
        <v>3.1746031746031744</v>
      </c>
      <c r="M101" s="8" t="str">
        <f t="array" ref="M101">IF(L101&gt;5,"Perlu Sensus",IF(AND(L101&gt;=0,I101&gt;0),"Tetap Deteksi","Belum Deteksi"))</f>
        <v>Tetap Deteksi</v>
      </c>
      <c r="N101" s="132">
        <v>46240</v>
      </c>
      <c r="O101" s="203">
        <v>126</v>
      </c>
      <c r="P101" s="9">
        <f t="array" ref="P101">IFERROR(O101/G101*100,0)</f>
        <v>5.1512673753066229</v>
      </c>
      <c r="Q101" s="203">
        <v>4</v>
      </c>
      <c r="R101" s="9">
        <f t="shared" si="20"/>
        <v>3.1746031746031744</v>
      </c>
      <c r="S101" s="8" t="str">
        <f t="array" ref="S101">IF(R101&gt;5,"Perlu Sensus",IF(AND(R101&gt;=0,O101&gt;0),"Tetap Deteksi","Belum Deteksi"))</f>
        <v>Tetap Deteksi</v>
      </c>
      <c r="T101" s="203">
        <v>4</v>
      </c>
      <c r="U101" s="9">
        <f t="shared" si="19"/>
        <v>3.1746031746031744</v>
      </c>
      <c r="V101" s="132">
        <v>46242</v>
      </c>
      <c r="W101" s="203">
        <v>148</v>
      </c>
      <c r="X101" s="203">
        <v>1</v>
      </c>
      <c r="Y101" s="9">
        <f t="shared" si="13"/>
        <v>0.67567567567567566</v>
      </c>
      <c r="Z101" s="8" t="str">
        <f t="array" ref="Z101">IF(Y101&gt;5,"Perlu Sensus",IF(AND(Y101&gt;0,,O101&gt;0),"Tetap Deteksi","Belum Deteksi"))</f>
        <v>Belum Deteksi</v>
      </c>
    </row>
    <row r="102" spans="1:26" outlineLevel="1" x14ac:dyDescent="0.15">
      <c r="A102" s="8" t="s">
        <v>1043</v>
      </c>
      <c r="B102" s="8">
        <v>1</v>
      </c>
      <c r="C102" s="8">
        <v>5</v>
      </c>
      <c r="D102" s="8" t="s">
        <v>1566</v>
      </c>
      <c r="E102" s="9">
        <v>42.51</v>
      </c>
      <c r="F102" s="8" t="s">
        <v>469</v>
      </c>
      <c r="G102" s="10">
        <v>4633</v>
      </c>
      <c r="H102" s="132">
        <f t="shared" si="14"/>
        <v>46235</v>
      </c>
      <c r="I102" s="140">
        <f t="shared" si="15"/>
        <v>230</v>
      </c>
      <c r="J102" s="9">
        <f t="shared" si="16"/>
        <v>4.9643859270451109</v>
      </c>
      <c r="K102" s="140">
        <f t="shared" si="17"/>
        <v>4</v>
      </c>
      <c r="L102" s="206">
        <f t="shared" si="18"/>
        <v>1.7391304347826086</v>
      </c>
      <c r="M102" s="8" t="str">
        <f t="array" ref="M102">IF(L102&gt;5,"Perlu Sensus",IF(AND(L102&gt;=0,I102&gt;0),"Tetap Deteksi","Belum Deteksi"))</f>
        <v>Tetap Deteksi</v>
      </c>
      <c r="N102" s="132">
        <v>46235</v>
      </c>
      <c r="O102" s="203">
        <v>230</v>
      </c>
      <c r="P102" s="9">
        <f t="array" ref="P102">IFERROR(O102/G102*100,0)</f>
        <v>4.9643859270451109</v>
      </c>
      <c r="Q102" s="203">
        <v>4</v>
      </c>
      <c r="R102" s="9">
        <f t="shared" si="20"/>
        <v>1.7391304347826086</v>
      </c>
      <c r="S102" s="8" t="str">
        <f t="array" ref="S102">IF(R102&gt;5,"Perlu Sensus",IF(AND(R102&gt;=0,O102&gt;0),"Tetap Deteksi","Belum Deteksi"))</f>
        <v>Tetap Deteksi</v>
      </c>
      <c r="T102" s="203">
        <v>0</v>
      </c>
      <c r="U102" s="9">
        <f t="shared" si="19"/>
        <v>0</v>
      </c>
      <c r="V102" s="132">
        <v>46242</v>
      </c>
      <c r="W102" s="203">
        <v>267</v>
      </c>
      <c r="X102" s="203">
        <v>4</v>
      </c>
      <c r="Y102" s="9">
        <f t="shared" si="13"/>
        <v>1.4981273408239701</v>
      </c>
      <c r="Z102" s="8" t="str">
        <f t="array" ref="Z102">IF(Y102&gt;5,"Perlu Sensus",IF(AND(Y102&gt;0,,O102&gt;0),"Tetap Deteksi","Belum Deteksi"))</f>
        <v>Belum Deteksi</v>
      </c>
    </row>
    <row r="103" spans="1:26" outlineLevel="1" x14ac:dyDescent="0.15">
      <c r="A103" s="8" t="s">
        <v>1043</v>
      </c>
      <c r="B103" s="8">
        <v>1</v>
      </c>
      <c r="C103" s="8">
        <v>5</v>
      </c>
      <c r="D103" s="8" t="s">
        <v>1567</v>
      </c>
      <c r="E103" s="9">
        <v>25.17</v>
      </c>
      <c r="F103" s="8" t="s">
        <v>469</v>
      </c>
      <c r="G103" s="10">
        <v>3111</v>
      </c>
      <c r="H103" s="132">
        <f t="shared" si="14"/>
        <v>46235</v>
      </c>
      <c r="I103" s="140">
        <f t="shared" si="15"/>
        <v>1443</v>
      </c>
      <c r="J103" s="9">
        <f t="shared" si="16"/>
        <v>46.383799421407907</v>
      </c>
      <c r="K103" s="140">
        <f t="shared" si="17"/>
        <v>13</v>
      </c>
      <c r="L103" s="206">
        <f t="shared" si="18"/>
        <v>0.90090090090090091</v>
      </c>
      <c r="M103" s="8" t="str">
        <f t="array" ref="M103">IF(L103&gt;5,"Perlu Sensus",IF(AND(L103&gt;=0,I103&gt;0),"Tetap Deteksi","Belum Deteksi"))</f>
        <v>Tetap Deteksi</v>
      </c>
      <c r="N103" s="132">
        <v>46235</v>
      </c>
      <c r="O103" s="203">
        <v>1443</v>
      </c>
      <c r="P103" s="9">
        <f t="array" ref="P103">IFERROR(O103/G103*100,0)</f>
        <v>46.383799421407907</v>
      </c>
      <c r="Q103" s="203">
        <v>13</v>
      </c>
      <c r="R103" s="9">
        <f t="shared" si="20"/>
        <v>0.90090090090090091</v>
      </c>
      <c r="S103" s="8" t="str">
        <f t="array" ref="S103">IF(R103&gt;5,"Perlu Sensus",IF(AND(R103&gt;=0,O103&gt;0),"Tetap Deteksi","Belum Deteksi"))</f>
        <v>Tetap Deteksi</v>
      </c>
      <c r="T103" s="203">
        <v>13</v>
      </c>
      <c r="U103" s="9">
        <f t="shared" si="19"/>
        <v>0.90090090090090091</v>
      </c>
      <c r="V103" s="132">
        <v>46242</v>
      </c>
      <c r="W103" s="203">
        <v>155</v>
      </c>
      <c r="X103" s="203">
        <v>2</v>
      </c>
      <c r="Y103" s="9">
        <f t="shared" si="13"/>
        <v>1.2903225806451613</v>
      </c>
      <c r="Z103" s="8" t="str">
        <f t="array" ref="Z103">IF(Y103&gt;5,"Perlu Sensus",IF(AND(Y103&gt;0,,O103&gt;0),"Tetap Deteksi","Belum Deteksi"))</f>
        <v>Belum Deteksi</v>
      </c>
    </row>
    <row r="104" spans="1:26" outlineLevel="1" x14ac:dyDescent="0.15">
      <c r="A104" s="8" t="s">
        <v>1043</v>
      </c>
      <c r="B104" s="8">
        <v>1</v>
      </c>
      <c r="C104" s="8">
        <v>5</v>
      </c>
      <c r="D104" s="8" t="s">
        <v>1568</v>
      </c>
      <c r="E104" s="9">
        <v>27.44</v>
      </c>
      <c r="F104" s="8" t="s">
        <v>469</v>
      </c>
      <c r="G104" s="10">
        <v>3556</v>
      </c>
      <c r="H104" s="132">
        <f t="shared" si="14"/>
        <v>46235</v>
      </c>
      <c r="I104" s="140">
        <f t="shared" si="15"/>
        <v>1170</v>
      </c>
      <c r="J104" s="9">
        <f t="shared" si="16"/>
        <v>32.902137232845895</v>
      </c>
      <c r="K104" s="140">
        <f t="shared" si="17"/>
        <v>25</v>
      </c>
      <c r="L104" s="206">
        <f t="shared" si="18"/>
        <v>2.1367521367521367</v>
      </c>
      <c r="M104" s="8" t="str">
        <f t="array" ref="M104">IF(L104&gt;5,"Perlu Sensus",IF(AND(L104&gt;=0,I104&gt;0),"Tetap Deteksi","Belum Deteksi"))</f>
        <v>Tetap Deteksi</v>
      </c>
      <c r="N104" s="132">
        <v>46235</v>
      </c>
      <c r="O104" s="203">
        <v>1170</v>
      </c>
      <c r="P104" s="9">
        <f t="array" ref="P104">IFERROR(O104/G104*100,0)</f>
        <v>32.902137232845895</v>
      </c>
      <c r="Q104" s="203">
        <v>25</v>
      </c>
      <c r="R104" s="9">
        <f t="shared" si="20"/>
        <v>2.1367521367521367</v>
      </c>
      <c r="S104" s="8" t="str">
        <f t="array" ref="S104">IF(R104&gt;5,"Perlu Sensus",IF(AND(R104&gt;=0,O104&gt;0),"Tetap Deteksi","Belum Deteksi"))</f>
        <v>Tetap Deteksi</v>
      </c>
      <c r="T104" s="203">
        <v>14</v>
      </c>
      <c r="U104" s="9">
        <f t="shared" si="19"/>
        <v>1.1965811965811968</v>
      </c>
      <c r="V104" s="132">
        <v>46242</v>
      </c>
      <c r="W104" s="203">
        <v>193</v>
      </c>
      <c r="X104" s="203">
        <v>4</v>
      </c>
      <c r="Y104" s="9">
        <f t="shared" si="13"/>
        <v>2.0725388601036272</v>
      </c>
      <c r="Z104" s="8" t="str">
        <f t="array" ref="Z104">IF(Y104&gt;5,"Perlu Sensus",IF(AND(Y104&gt;0,,O104&gt;0),"Tetap Deteksi","Belum Deteksi"))</f>
        <v>Belum Deteksi</v>
      </c>
    </row>
    <row r="105" spans="1:26" outlineLevel="1" x14ac:dyDescent="0.15">
      <c r="A105" s="8" t="s">
        <v>1043</v>
      </c>
      <c r="B105" s="8">
        <v>1</v>
      </c>
      <c r="C105" s="8">
        <v>5</v>
      </c>
      <c r="D105" s="8" t="s">
        <v>1569</v>
      </c>
      <c r="E105" s="9">
        <v>28.229999999999997</v>
      </c>
      <c r="F105" s="8" t="s">
        <v>469</v>
      </c>
      <c r="G105" s="10">
        <v>3327</v>
      </c>
      <c r="H105" s="132">
        <f t="shared" si="14"/>
        <v>46235</v>
      </c>
      <c r="I105" s="140">
        <f t="shared" si="15"/>
        <v>1183</v>
      </c>
      <c r="J105" s="9">
        <f t="shared" si="16"/>
        <v>35.557559362789299</v>
      </c>
      <c r="K105" s="140">
        <f t="shared" si="17"/>
        <v>14</v>
      </c>
      <c r="L105" s="206">
        <f t="shared" si="18"/>
        <v>1.1834319526627219</v>
      </c>
      <c r="M105" s="8" t="str">
        <f t="array" ref="M105">IF(L105&gt;5,"Perlu Sensus",IF(AND(L105&gt;=0,I105&gt;0),"Tetap Deteksi","Belum Deteksi"))</f>
        <v>Tetap Deteksi</v>
      </c>
      <c r="N105" s="132">
        <v>46235</v>
      </c>
      <c r="O105" s="203">
        <v>1183</v>
      </c>
      <c r="P105" s="9">
        <f t="array" ref="P105">IFERROR(O105/G105*100,0)</f>
        <v>35.557559362789299</v>
      </c>
      <c r="Q105" s="203">
        <v>14</v>
      </c>
      <c r="R105" s="9">
        <f t="shared" si="20"/>
        <v>1.1834319526627219</v>
      </c>
      <c r="S105" s="8" t="str">
        <f t="array" ref="S105">IF(R105&gt;5,"Perlu Sensus",IF(AND(R105&gt;=0,O105&gt;0),"Tetap Deteksi","Belum Deteksi"))</f>
        <v>Tetap Deteksi</v>
      </c>
      <c r="T105" s="203">
        <v>25</v>
      </c>
      <c r="U105" s="9">
        <f t="shared" si="19"/>
        <v>2.1132713440405748</v>
      </c>
      <c r="V105" s="132">
        <v>46242</v>
      </c>
      <c r="W105" s="203">
        <v>3731</v>
      </c>
      <c r="X105" s="203">
        <v>91</v>
      </c>
      <c r="Y105" s="9">
        <f t="shared" si="13"/>
        <v>2.4390243902439024</v>
      </c>
      <c r="Z105" s="8" t="str">
        <f t="array" ref="Z105">IF(Y105&gt;5,"Perlu Sensus",IF(AND(Y105&gt;0,,O105&gt;0),"Tetap Deteksi","Belum Deteksi"))</f>
        <v>Belum Deteksi</v>
      </c>
    </row>
    <row r="106" spans="1:26" outlineLevel="1" x14ac:dyDescent="0.15">
      <c r="A106" s="8" t="s">
        <v>1043</v>
      </c>
      <c r="B106" s="8">
        <v>1</v>
      </c>
      <c r="C106" s="8">
        <v>5</v>
      </c>
      <c r="D106" s="8" t="s">
        <v>1570</v>
      </c>
      <c r="E106" s="9">
        <v>26.05</v>
      </c>
      <c r="F106" s="8" t="s">
        <v>469</v>
      </c>
      <c r="G106" s="10">
        <v>3477</v>
      </c>
      <c r="H106" s="132">
        <f t="shared" si="14"/>
        <v>46235</v>
      </c>
      <c r="I106" s="140">
        <f t="shared" si="15"/>
        <v>1560</v>
      </c>
      <c r="J106" s="9">
        <f t="shared" si="16"/>
        <v>44.866264020707511</v>
      </c>
      <c r="K106" s="140">
        <f t="shared" si="17"/>
        <v>25</v>
      </c>
      <c r="L106" s="206">
        <f t="shared" si="18"/>
        <v>1.6025641025641024</v>
      </c>
      <c r="M106" s="8" t="str">
        <f t="array" ref="M106">IF(L106&gt;5,"Perlu Sensus",IF(AND(L106&gt;=0,I106&gt;0),"Tetap Deteksi","Belum Deteksi"))</f>
        <v>Tetap Deteksi</v>
      </c>
      <c r="N106" s="132">
        <v>46235</v>
      </c>
      <c r="O106" s="203">
        <v>1560</v>
      </c>
      <c r="P106" s="9">
        <f t="array" ref="P106">IFERROR(O106/G106*100,0)</f>
        <v>44.866264020707511</v>
      </c>
      <c r="Q106" s="203">
        <v>25</v>
      </c>
      <c r="R106" s="9">
        <f t="shared" si="20"/>
        <v>1.6025641025641024</v>
      </c>
      <c r="S106" s="8" t="str">
        <f t="array" ref="S106">IF(R106&gt;5,"Perlu Sensus",IF(AND(R106&gt;=0,O106&gt;0),"Tetap Deteksi","Belum Deteksi"))</f>
        <v>Tetap Deteksi</v>
      </c>
      <c r="T106" s="203">
        <v>14</v>
      </c>
      <c r="U106" s="9">
        <f t="shared" si="19"/>
        <v>0.89743589743589736</v>
      </c>
      <c r="V106" s="132">
        <v>46242</v>
      </c>
      <c r="W106" s="203">
        <v>2730</v>
      </c>
      <c r="X106" s="203">
        <v>26</v>
      </c>
      <c r="Y106" s="9">
        <f t="shared" si="13"/>
        <v>0.95238095238095244</v>
      </c>
      <c r="Z106" s="8" t="str">
        <f t="array" ref="Z106">IF(Y106&gt;5,"Perlu Sensus",IF(AND(Y106&gt;0,,O106&gt;0),"Tetap Deteksi","Belum Deteksi"))</f>
        <v>Belum Deteksi</v>
      </c>
    </row>
    <row r="107" spans="1:26" outlineLevel="1" x14ac:dyDescent="0.15">
      <c r="A107" s="8" t="s">
        <v>1043</v>
      </c>
      <c r="B107" s="8">
        <v>1</v>
      </c>
      <c r="C107" s="8">
        <v>5</v>
      </c>
      <c r="D107" s="8" t="s">
        <v>1571</v>
      </c>
      <c r="E107" s="9">
        <v>34.089999999999996</v>
      </c>
      <c r="F107" s="8" t="s">
        <v>469</v>
      </c>
      <c r="G107" s="10">
        <v>4479</v>
      </c>
      <c r="H107" s="132">
        <f t="shared" si="14"/>
        <v>46241</v>
      </c>
      <c r="I107" s="140">
        <f t="shared" si="15"/>
        <v>210</v>
      </c>
      <c r="J107" s="9">
        <f t="shared" si="16"/>
        <v>4.688546550569324</v>
      </c>
      <c r="K107" s="140">
        <f t="shared" si="17"/>
        <v>4</v>
      </c>
      <c r="L107" s="206">
        <f t="shared" si="18"/>
        <v>1.9047619047619049</v>
      </c>
      <c r="M107" s="8" t="str">
        <f t="array" ref="M107">IF(L107&gt;5,"Perlu Sensus",IF(AND(L107&gt;=0,I107&gt;0),"Tetap Deteksi","Belum Deteksi"))</f>
        <v>Tetap Deteksi</v>
      </c>
      <c r="N107" s="132">
        <v>46241</v>
      </c>
      <c r="O107" s="203">
        <v>210</v>
      </c>
      <c r="P107" s="9">
        <f t="array" ref="P107">IFERROR(O107/G107*100,0)</f>
        <v>4.688546550569324</v>
      </c>
      <c r="Q107" s="203">
        <v>4</v>
      </c>
      <c r="R107" s="9">
        <f t="shared" si="20"/>
        <v>1.9047619047619049</v>
      </c>
      <c r="S107" s="8" t="str">
        <f t="array" ref="S107">IF(R107&gt;5,"Perlu Sensus",IF(AND(R107&gt;=0,O107&gt;0),"Tetap Deteksi","Belum Deteksi"))</f>
        <v>Tetap Deteksi</v>
      </c>
      <c r="T107" s="203">
        <v>0</v>
      </c>
      <c r="U107" s="9">
        <f t="shared" si="19"/>
        <v>0</v>
      </c>
      <c r="V107" s="132">
        <v>46247</v>
      </c>
      <c r="W107" s="203">
        <v>258</v>
      </c>
      <c r="X107" s="203">
        <v>8</v>
      </c>
      <c r="Y107" s="9">
        <f t="shared" si="13"/>
        <v>3.1007751937984498</v>
      </c>
      <c r="Z107" s="8" t="str">
        <f t="array" ref="Z107">IF(Y107&gt;5,"Perlu Sensus",IF(AND(Y107&gt;0,,O107&gt;0),"Tetap Deteksi","Belum Deteksi"))</f>
        <v>Belum Deteksi</v>
      </c>
    </row>
    <row r="108" spans="1:26" outlineLevel="1" x14ac:dyDescent="0.15">
      <c r="A108" s="8" t="s">
        <v>1043</v>
      </c>
      <c r="B108" s="8">
        <v>1</v>
      </c>
      <c r="C108" s="8">
        <v>6</v>
      </c>
      <c r="D108" s="8" t="s">
        <v>1572</v>
      </c>
      <c r="E108" s="9">
        <v>42.260000000000005</v>
      </c>
      <c r="F108" s="8" t="s">
        <v>469</v>
      </c>
      <c r="G108" s="10">
        <v>2709</v>
      </c>
      <c r="H108" s="132">
        <f t="shared" si="14"/>
        <v>46240</v>
      </c>
      <c r="I108" s="140">
        <f t="shared" si="15"/>
        <v>163</v>
      </c>
      <c r="J108" s="9">
        <f t="shared" si="16"/>
        <v>6.0169804355850873</v>
      </c>
      <c r="K108" s="140">
        <f t="shared" si="17"/>
        <v>4</v>
      </c>
      <c r="L108" s="206">
        <f t="shared" si="18"/>
        <v>2.4539877300613497</v>
      </c>
      <c r="M108" s="8" t="str">
        <f t="array" ref="M108">IF(L108&gt;5,"Perlu Sensus",IF(AND(L108&gt;=0,I108&gt;0),"Tetap Deteksi","Belum Deteksi"))</f>
        <v>Tetap Deteksi</v>
      </c>
      <c r="N108" s="132">
        <v>46240</v>
      </c>
      <c r="O108" s="203">
        <v>163</v>
      </c>
      <c r="P108" s="9">
        <f t="array" ref="P108">IFERROR(O108/G108*100,0)</f>
        <v>6.0169804355850873</v>
      </c>
      <c r="Q108" s="203">
        <v>4</v>
      </c>
      <c r="R108" s="9">
        <f t="shared" si="20"/>
        <v>2.4539877300613497</v>
      </c>
      <c r="S108" s="8" t="str">
        <f t="array" ref="S108">IF(R108&gt;5,"Perlu Sensus",IF(AND(R108&gt;=0,O108&gt;0),"Tetap Deteksi","Belum Deteksi"))</f>
        <v>Tetap Deteksi</v>
      </c>
      <c r="T108" s="203">
        <v>4</v>
      </c>
      <c r="U108" s="9">
        <f t="shared" si="19"/>
        <v>2.4539877300613497</v>
      </c>
      <c r="V108" s="132">
        <v>46241</v>
      </c>
      <c r="W108" s="203">
        <v>145</v>
      </c>
      <c r="X108" s="203">
        <v>3</v>
      </c>
      <c r="Y108" s="9">
        <f t="shared" si="13"/>
        <v>2.0689655172413794</v>
      </c>
      <c r="Z108" s="8" t="str">
        <f t="array" ref="Z108">IF(Y108&gt;5,"Perlu Sensus",IF(AND(Y108&gt;0,,O108&gt;0),"Tetap Deteksi","Belum Deteksi"))</f>
        <v>Belum Deteksi</v>
      </c>
    </row>
    <row r="109" spans="1:26" outlineLevel="1" x14ac:dyDescent="0.15">
      <c r="A109" s="8" t="s">
        <v>1043</v>
      </c>
      <c r="B109" s="8">
        <v>1</v>
      </c>
      <c r="C109" s="8">
        <v>6</v>
      </c>
      <c r="D109" s="8" t="s">
        <v>1573</v>
      </c>
      <c r="E109" s="9">
        <v>35.840000000000003</v>
      </c>
      <c r="F109" s="8" t="s">
        <v>469</v>
      </c>
      <c r="G109" s="10">
        <v>4463</v>
      </c>
      <c r="H109" s="132">
        <f t="shared" si="14"/>
        <v>46236</v>
      </c>
      <c r="I109" s="140">
        <f t="shared" si="15"/>
        <v>220</v>
      </c>
      <c r="J109" s="9">
        <f t="shared" si="16"/>
        <v>4.9294196728657855</v>
      </c>
      <c r="K109" s="140">
        <f t="shared" si="17"/>
        <v>4</v>
      </c>
      <c r="L109" s="206">
        <f t="shared" si="18"/>
        <v>1.8181818181818181</v>
      </c>
      <c r="M109" s="8" t="str">
        <f t="array" ref="M109">IF(L109&gt;5,"Perlu Sensus",IF(AND(L109&gt;=0,I109&gt;0),"Tetap Deteksi","Belum Deteksi"))</f>
        <v>Tetap Deteksi</v>
      </c>
      <c r="N109" s="132">
        <v>46236</v>
      </c>
      <c r="O109" s="203">
        <v>220</v>
      </c>
      <c r="P109" s="9">
        <f t="array" ref="P109">IFERROR(O109/G109*100,0)</f>
        <v>4.9294196728657855</v>
      </c>
      <c r="Q109" s="203">
        <v>4</v>
      </c>
      <c r="R109" s="9">
        <f t="shared" si="20"/>
        <v>1.8181818181818181</v>
      </c>
      <c r="S109" s="8" t="str">
        <f t="array" ref="S109">IF(R109&gt;5,"Perlu Sensus",IF(AND(R109&gt;=0,O109&gt;0),"Tetap Deteksi","Belum Deteksi"))</f>
        <v>Tetap Deteksi</v>
      </c>
      <c r="T109" s="203">
        <v>2</v>
      </c>
      <c r="U109" s="9">
        <f t="shared" si="19"/>
        <v>0.90909090909090906</v>
      </c>
      <c r="V109" s="132">
        <v>46241</v>
      </c>
      <c r="W109" s="203">
        <v>229</v>
      </c>
      <c r="X109" s="203">
        <v>6</v>
      </c>
      <c r="Y109" s="9">
        <f t="shared" si="13"/>
        <v>2.6200873362445414</v>
      </c>
      <c r="Z109" s="8" t="str">
        <f t="array" ref="Z109">IF(Y109&gt;5,"Perlu Sensus",IF(AND(Y109&gt;0,,O109&gt;0),"Tetap Deteksi","Belum Deteksi"))</f>
        <v>Belum Deteksi</v>
      </c>
    </row>
    <row r="110" spans="1:26" outlineLevel="1" x14ac:dyDescent="0.15">
      <c r="A110" s="8" t="s">
        <v>1043</v>
      </c>
      <c r="B110" s="8">
        <v>1</v>
      </c>
      <c r="C110" s="8">
        <v>6</v>
      </c>
      <c r="D110" s="8" t="s">
        <v>1574</v>
      </c>
      <c r="E110" s="9">
        <v>33.930000000000007</v>
      </c>
      <c r="F110" s="8" t="s">
        <v>469</v>
      </c>
      <c r="G110" s="10">
        <v>2981</v>
      </c>
      <c r="H110" s="132">
        <f t="shared" si="14"/>
        <v>46240</v>
      </c>
      <c r="I110" s="140">
        <f t="shared" si="15"/>
        <v>143</v>
      </c>
      <c r="J110" s="9">
        <f t="shared" si="16"/>
        <v>4.7970479704797047</v>
      </c>
      <c r="K110" s="140">
        <f t="shared" si="17"/>
        <v>4</v>
      </c>
      <c r="L110" s="206">
        <f t="shared" si="18"/>
        <v>2.7972027972027971</v>
      </c>
      <c r="M110" s="8" t="str">
        <f t="array" ref="M110">IF(L110&gt;5,"Perlu Sensus",IF(AND(L110&gt;=0,I110&gt;0),"Tetap Deteksi","Belum Deteksi"))</f>
        <v>Tetap Deteksi</v>
      </c>
      <c r="N110" s="132">
        <v>46240</v>
      </c>
      <c r="O110" s="203">
        <v>143</v>
      </c>
      <c r="P110" s="9">
        <f t="array" ref="P110">IFERROR(O110/G110*100,0)</f>
        <v>4.7970479704797047</v>
      </c>
      <c r="Q110" s="203">
        <v>4</v>
      </c>
      <c r="R110" s="9">
        <f t="shared" si="20"/>
        <v>2.7972027972027971</v>
      </c>
      <c r="S110" s="8" t="str">
        <f t="array" ref="S110">IF(R110&gt;5,"Perlu Sensus",IF(AND(R110&gt;=0,O110&gt;0),"Tetap Deteksi","Belum Deteksi"))</f>
        <v>Tetap Deteksi</v>
      </c>
      <c r="T110" s="203">
        <v>0</v>
      </c>
      <c r="U110" s="9">
        <f t="shared" si="19"/>
        <v>0</v>
      </c>
      <c r="V110" s="132">
        <v>46241</v>
      </c>
      <c r="W110" s="203">
        <v>155</v>
      </c>
      <c r="X110" s="203">
        <v>1</v>
      </c>
      <c r="Y110" s="9">
        <f t="shared" si="13"/>
        <v>0.64516129032258063</v>
      </c>
      <c r="Z110" s="8" t="str">
        <f t="array" ref="Z110">IF(Y110&gt;5,"Perlu Sensus",IF(AND(Y110&gt;0,,O110&gt;0),"Tetap Deteksi","Belum Deteksi"))</f>
        <v>Belum Deteksi</v>
      </c>
    </row>
    <row r="111" spans="1:26" outlineLevel="1" x14ac:dyDescent="0.15">
      <c r="A111" s="8" t="s">
        <v>1043</v>
      </c>
      <c r="B111" s="8">
        <v>1</v>
      </c>
      <c r="C111" s="8">
        <v>6</v>
      </c>
      <c r="D111" s="8" t="s">
        <v>1575</v>
      </c>
      <c r="E111" s="9">
        <v>45.9</v>
      </c>
      <c r="F111" s="8" t="s">
        <v>469</v>
      </c>
      <c r="G111" s="10">
        <v>4687</v>
      </c>
      <c r="H111" s="132">
        <f t="shared" si="14"/>
        <v>46238</v>
      </c>
      <c r="I111" s="140">
        <f t="shared" si="15"/>
        <v>274</v>
      </c>
      <c r="J111" s="9">
        <f t="shared" si="16"/>
        <v>5.8459569020695534</v>
      </c>
      <c r="K111" s="140">
        <f t="shared" si="17"/>
        <v>4</v>
      </c>
      <c r="L111" s="206">
        <f t="shared" si="18"/>
        <v>1.4598540145985401</v>
      </c>
      <c r="M111" s="8" t="str">
        <f t="array" ref="M111">IF(L111&gt;5,"Perlu Sensus",IF(AND(L111&gt;=0,I111&gt;0),"Tetap Deteksi","Belum Deteksi"))</f>
        <v>Tetap Deteksi</v>
      </c>
      <c r="N111" s="132">
        <v>46238</v>
      </c>
      <c r="O111" s="203">
        <v>274</v>
      </c>
      <c r="P111" s="9">
        <f t="array" ref="P111">IFERROR(O111/G111*100,0)</f>
        <v>5.8459569020695534</v>
      </c>
      <c r="Q111" s="203">
        <v>4</v>
      </c>
      <c r="R111" s="9">
        <f t="shared" si="20"/>
        <v>1.4598540145985401</v>
      </c>
      <c r="S111" s="8" t="str">
        <f t="array" ref="S111">IF(R111&gt;5,"Perlu Sensus",IF(AND(R111&gt;=0,O111&gt;0),"Tetap Deteksi","Belum Deteksi"))</f>
        <v>Tetap Deteksi</v>
      </c>
      <c r="T111" s="203">
        <v>0</v>
      </c>
      <c r="U111" s="9">
        <f t="shared" si="19"/>
        <v>0</v>
      </c>
      <c r="V111" s="132">
        <v>46241</v>
      </c>
      <c r="W111" s="203">
        <v>239</v>
      </c>
      <c r="X111" s="203">
        <v>4</v>
      </c>
      <c r="Y111" s="9">
        <f t="shared" si="13"/>
        <v>1.6736401673640167</v>
      </c>
      <c r="Z111" s="8" t="str">
        <f t="array" ref="Z111">IF(Y111&gt;5,"Perlu Sensus",IF(AND(Y111&gt;0,,O111&gt;0),"Tetap Deteksi","Belum Deteksi"))</f>
        <v>Belum Deteksi</v>
      </c>
    </row>
    <row r="112" spans="1:26" outlineLevel="1" x14ac:dyDescent="0.15">
      <c r="A112" s="8" t="s">
        <v>1043</v>
      </c>
      <c r="B112" s="8">
        <v>1</v>
      </c>
      <c r="C112" s="8">
        <v>6</v>
      </c>
      <c r="D112" s="8" t="s">
        <v>1576</v>
      </c>
      <c r="E112" s="9">
        <v>53.260000000000005</v>
      </c>
      <c r="F112" s="8" t="s">
        <v>469</v>
      </c>
      <c r="G112" s="10">
        <v>6244</v>
      </c>
      <c r="H112" s="132">
        <f t="shared" si="14"/>
        <v>46238</v>
      </c>
      <c r="I112" s="140">
        <f t="shared" si="15"/>
        <v>334</v>
      </c>
      <c r="J112" s="9">
        <f t="shared" si="16"/>
        <v>5.3491351697629721</v>
      </c>
      <c r="K112" s="140">
        <f t="shared" si="17"/>
        <v>4</v>
      </c>
      <c r="L112" s="206">
        <f t="shared" si="18"/>
        <v>1.1976047904191618</v>
      </c>
      <c r="M112" s="8" t="str">
        <f t="array" ref="M112">IF(L112&gt;5,"Perlu Sensus",IF(AND(L112&gt;=0,I112&gt;0),"Tetap Deteksi","Belum Deteksi"))</f>
        <v>Tetap Deteksi</v>
      </c>
      <c r="N112" s="132">
        <v>46238</v>
      </c>
      <c r="O112" s="203">
        <v>334</v>
      </c>
      <c r="P112" s="9">
        <f t="array" ref="P112">IFERROR(O112/G112*100,0)</f>
        <v>5.3491351697629721</v>
      </c>
      <c r="Q112" s="203">
        <v>4</v>
      </c>
      <c r="R112" s="9">
        <f t="shared" si="20"/>
        <v>1.1976047904191618</v>
      </c>
      <c r="S112" s="8" t="str">
        <f t="array" ref="S112">IF(R112&gt;5,"Perlu Sensus",IF(AND(R112&gt;=0,O112&gt;0),"Tetap Deteksi","Belum Deteksi"))</f>
        <v>Tetap Deteksi</v>
      </c>
      <c r="T112" s="203">
        <v>6</v>
      </c>
      <c r="U112" s="9">
        <f t="shared" si="19"/>
        <v>1.7964071856287425</v>
      </c>
      <c r="V112" s="132">
        <v>46241</v>
      </c>
      <c r="W112" s="203">
        <v>384</v>
      </c>
      <c r="X112" s="203">
        <v>4</v>
      </c>
      <c r="Y112" s="9">
        <f t="shared" si="13"/>
        <v>1.0416666666666665</v>
      </c>
      <c r="Z112" s="8" t="str">
        <f t="array" ref="Z112">IF(Y112&gt;5,"Perlu Sensus",IF(AND(Y112&gt;0,,O112&gt;0),"Tetap Deteksi","Belum Deteksi"))</f>
        <v>Belum Deteksi</v>
      </c>
    </row>
    <row r="113" spans="1:26" outlineLevel="1" x14ac:dyDescent="0.15">
      <c r="A113" s="8" t="s">
        <v>1043</v>
      </c>
      <c r="B113" s="8">
        <v>1</v>
      </c>
      <c r="C113" s="8">
        <v>6</v>
      </c>
      <c r="D113" s="8" t="s">
        <v>1577</v>
      </c>
      <c r="E113" s="9">
        <v>22.79</v>
      </c>
      <c r="F113" s="8" t="s">
        <v>469</v>
      </c>
      <c r="G113" s="10">
        <v>3158</v>
      </c>
      <c r="H113" s="132">
        <f t="shared" si="14"/>
        <v>46239</v>
      </c>
      <c r="I113" s="140">
        <f t="shared" si="15"/>
        <v>150</v>
      </c>
      <c r="J113" s="9">
        <f t="shared" si="16"/>
        <v>4.7498416719442691</v>
      </c>
      <c r="K113" s="140">
        <f t="shared" si="17"/>
        <v>4</v>
      </c>
      <c r="L113" s="206">
        <f t="shared" si="18"/>
        <v>2.666666666666667</v>
      </c>
      <c r="M113" s="8" t="str">
        <f t="array" ref="M113">IF(L113&gt;5,"Perlu Sensus",IF(AND(L113&gt;=0,I113&gt;0),"Tetap Deteksi","Belum Deteksi"))</f>
        <v>Tetap Deteksi</v>
      </c>
      <c r="N113" s="132">
        <v>46239</v>
      </c>
      <c r="O113" s="203">
        <v>150</v>
      </c>
      <c r="P113" s="9">
        <f t="array" ref="P113">IFERROR(O113/G113*100,0)</f>
        <v>4.7498416719442691</v>
      </c>
      <c r="Q113" s="203">
        <v>4</v>
      </c>
      <c r="R113" s="9">
        <f t="shared" si="20"/>
        <v>2.666666666666667</v>
      </c>
      <c r="S113" s="8" t="str">
        <f t="array" ref="S113">IF(R113&gt;5,"Perlu Sensus",IF(AND(R113&gt;=0,O113&gt;0),"Tetap Deteksi","Belum Deteksi"))</f>
        <v>Tetap Deteksi</v>
      </c>
      <c r="T113" s="203">
        <v>0</v>
      </c>
      <c r="U113" s="9">
        <f t="shared" si="19"/>
        <v>0</v>
      </c>
      <c r="V113" s="132">
        <v>46241</v>
      </c>
      <c r="W113" s="203">
        <v>182</v>
      </c>
      <c r="X113" s="203">
        <v>5</v>
      </c>
      <c r="Y113" s="9">
        <f t="shared" si="13"/>
        <v>2.7472527472527473</v>
      </c>
      <c r="Z113" s="8" t="str">
        <f t="array" ref="Z113">IF(Y113&gt;5,"Perlu Sensus",IF(AND(Y113&gt;0,,O113&gt;0),"Tetap Deteksi","Belum Deteksi"))</f>
        <v>Belum Deteksi</v>
      </c>
    </row>
    <row r="114" spans="1:26" outlineLevel="1" x14ac:dyDescent="0.15">
      <c r="A114" s="8" t="s">
        <v>1043</v>
      </c>
      <c r="B114" s="8">
        <v>1</v>
      </c>
      <c r="C114" s="8">
        <v>6</v>
      </c>
      <c r="D114" s="8" t="s">
        <v>1578</v>
      </c>
      <c r="E114" s="9">
        <v>44.559999999999995</v>
      </c>
      <c r="F114" s="8" t="s">
        <v>469</v>
      </c>
      <c r="G114" s="10">
        <v>5478</v>
      </c>
      <c r="H114" s="132">
        <f t="shared" si="14"/>
        <v>46237</v>
      </c>
      <c r="I114" s="140">
        <f t="shared" si="15"/>
        <v>251</v>
      </c>
      <c r="J114" s="9">
        <f t="shared" si="16"/>
        <v>4.5819642205184374</v>
      </c>
      <c r="K114" s="140">
        <f t="shared" si="17"/>
        <v>4</v>
      </c>
      <c r="L114" s="206">
        <f t="shared" si="18"/>
        <v>1.593625498007968</v>
      </c>
      <c r="M114" s="8" t="str">
        <f t="array" ref="M114">IF(L114&gt;5,"Perlu Sensus",IF(AND(L114&gt;=0,I114&gt;0),"Tetap Deteksi","Belum Deteksi"))</f>
        <v>Tetap Deteksi</v>
      </c>
      <c r="N114" s="132">
        <v>46237</v>
      </c>
      <c r="O114" s="203">
        <v>251</v>
      </c>
      <c r="P114" s="9">
        <f t="array" ref="P114">IFERROR(O114/G114*100,0)</f>
        <v>4.5819642205184374</v>
      </c>
      <c r="Q114" s="203">
        <v>4</v>
      </c>
      <c r="R114" s="9">
        <f t="shared" si="20"/>
        <v>1.593625498007968</v>
      </c>
      <c r="S114" s="8" t="str">
        <f t="array" ref="S114">IF(R114&gt;5,"Perlu Sensus",IF(AND(R114&gt;=0,O114&gt;0),"Tetap Deteksi","Belum Deteksi"))</f>
        <v>Tetap Deteksi</v>
      </c>
      <c r="T114" s="203">
        <v>7</v>
      </c>
      <c r="U114" s="9">
        <f t="shared" si="19"/>
        <v>2.788844621513944</v>
      </c>
      <c r="V114" s="132">
        <v>46241</v>
      </c>
      <c r="W114" s="203">
        <v>286</v>
      </c>
      <c r="X114" s="203">
        <v>7</v>
      </c>
      <c r="Y114" s="9">
        <f t="shared" si="13"/>
        <v>2.4475524475524475</v>
      </c>
      <c r="Z114" s="8" t="str">
        <f t="array" ref="Z114">IF(Y114&gt;5,"Perlu Sensus",IF(AND(Y114&gt;0,,O114&gt;0),"Tetap Deteksi","Belum Deteksi"))</f>
        <v>Belum Deteksi</v>
      </c>
    </row>
    <row r="115" spans="1:26" outlineLevel="1" x14ac:dyDescent="0.15">
      <c r="A115" s="8" t="s">
        <v>1043</v>
      </c>
      <c r="B115" s="8">
        <v>1</v>
      </c>
      <c r="C115" s="8">
        <v>6</v>
      </c>
      <c r="D115" s="8" t="s">
        <v>1579</v>
      </c>
      <c r="E115" s="9">
        <v>23.52</v>
      </c>
      <c r="F115" s="8" t="s">
        <v>469</v>
      </c>
      <c r="G115" s="10">
        <v>2033</v>
      </c>
      <c r="H115" s="132">
        <f t="shared" si="14"/>
        <v>46241</v>
      </c>
      <c r="I115" s="140">
        <f t="shared" si="15"/>
        <v>109</v>
      </c>
      <c r="J115" s="9">
        <f t="shared" si="16"/>
        <v>5.361534677816036</v>
      </c>
      <c r="K115" s="140">
        <f t="shared" si="17"/>
        <v>4</v>
      </c>
      <c r="L115" s="206">
        <f t="shared" si="18"/>
        <v>3.669724770642202</v>
      </c>
      <c r="M115" s="8" t="str">
        <f t="array" ref="M115">IF(L115&gt;5,"Perlu Sensus",IF(AND(L115&gt;=0,I115&gt;0),"Tetap Deteksi","Belum Deteksi"))</f>
        <v>Tetap Deteksi</v>
      </c>
      <c r="N115" s="132">
        <v>46241</v>
      </c>
      <c r="O115" s="203">
        <v>109</v>
      </c>
      <c r="P115" s="9">
        <f t="array" ref="P115">IFERROR(O115/G115*100,0)</f>
        <v>5.361534677816036</v>
      </c>
      <c r="Q115" s="203">
        <v>4</v>
      </c>
      <c r="R115" s="9">
        <f t="shared" si="20"/>
        <v>3.669724770642202</v>
      </c>
      <c r="S115" s="8" t="str">
        <f t="array" ref="S115">IF(R115&gt;5,"Perlu Sensus",IF(AND(R115&gt;=0,O115&gt;0),"Tetap Deteksi","Belum Deteksi"))</f>
        <v>Tetap Deteksi</v>
      </c>
      <c r="T115" s="203">
        <v>0</v>
      </c>
      <c r="U115" s="9">
        <f t="shared" si="19"/>
        <v>0</v>
      </c>
      <c r="V115" s="132">
        <v>46241</v>
      </c>
      <c r="W115" s="203">
        <v>126</v>
      </c>
      <c r="X115" s="203">
        <v>3</v>
      </c>
      <c r="Y115" s="9">
        <f t="shared" si="13"/>
        <v>2.3809523809523809</v>
      </c>
      <c r="Z115" s="8" t="str">
        <f t="array" ref="Z115">IF(Y115&gt;5,"Perlu Sensus",IF(AND(Y115&gt;0,,O115&gt;0),"Tetap Deteksi","Belum Deteksi"))</f>
        <v>Belum Deteksi</v>
      </c>
    </row>
    <row r="116" spans="1:26" outlineLevel="1" x14ac:dyDescent="0.15">
      <c r="A116" s="8" t="s">
        <v>1043</v>
      </c>
      <c r="B116" s="8">
        <v>1</v>
      </c>
      <c r="C116" s="8">
        <v>6</v>
      </c>
      <c r="D116" s="8" t="s">
        <v>1580</v>
      </c>
      <c r="E116" s="9">
        <v>39.130000000000003</v>
      </c>
      <c r="F116" s="8" t="s">
        <v>469</v>
      </c>
      <c r="G116" s="10">
        <v>5169</v>
      </c>
      <c r="H116" s="132">
        <f t="shared" si="14"/>
        <v>46238</v>
      </c>
      <c r="I116" s="140">
        <f t="shared" si="15"/>
        <v>304</v>
      </c>
      <c r="J116" s="9">
        <f t="shared" si="16"/>
        <v>5.8812149351905587</v>
      </c>
      <c r="K116" s="140">
        <f t="shared" si="17"/>
        <v>4</v>
      </c>
      <c r="L116" s="206">
        <f t="shared" si="18"/>
        <v>1.3157894736842104</v>
      </c>
      <c r="M116" s="8" t="str">
        <f t="array" ref="M116">IF(L116&gt;5,"Perlu Sensus",IF(AND(L116&gt;=0,I116&gt;0),"Tetap Deteksi","Belum Deteksi"))</f>
        <v>Tetap Deteksi</v>
      </c>
      <c r="N116" s="132">
        <v>46238</v>
      </c>
      <c r="O116" s="203">
        <v>304</v>
      </c>
      <c r="P116" s="9">
        <f t="array" ref="P116">IFERROR(O116/G116*100,0)</f>
        <v>5.8812149351905587</v>
      </c>
      <c r="Q116" s="203">
        <v>4</v>
      </c>
      <c r="R116" s="9">
        <f t="shared" si="20"/>
        <v>1.3157894736842104</v>
      </c>
      <c r="S116" s="8" t="str">
        <f t="array" ref="S116">IF(R116&gt;5,"Perlu Sensus",IF(AND(R116&gt;=0,O116&gt;0),"Tetap Deteksi","Belum Deteksi"))</f>
        <v>Tetap Deteksi</v>
      </c>
      <c r="T116" s="203">
        <v>0</v>
      </c>
      <c r="U116" s="9">
        <f t="shared" si="19"/>
        <v>0</v>
      </c>
      <c r="V116" s="132">
        <v>46241</v>
      </c>
      <c r="W116" s="203">
        <v>306</v>
      </c>
      <c r="X116" s="203">
        <v>10</v>
      </c>
      <c r="Y116" s="9">
        <f t="shared" si="13"/>
        <v>3.2679738562091507</v>
      </c>
      <c r="Z116" s="8" t="str">
        <f t="array" ref="Z116">IF(Y116&gt;5,"Perlu Sensus",IF(AND(Y116&gt;0,,O116&gt;0),"Tetap Deteksi","Belum Deteksi"))</f>
        <v>Belum Deteksi</v>
      </c>
    </row>
    <row r="117" spans="1:26" outlineLevel="1" x14ac:dyDescent="0.15">
      <c r="A117" s="8" t="s">
        <v>1043</v>
      </c>
      <c r="B117" s="8">
        <v>1</v>
      </c>
      <c r="C117" s="8">
        <v>6</v>
      </c>
      <c r="D117" s="8" t="s">
        <v>1581</v>
      </c>
      <c r="E117" s="9">
        <v>36.249999999999993</v>
      </c>
      <c r="F117" s="8" t="s">
        <v>469</v>
      </c>
      <c r="G117" s="10">
        <v>4730</v>
      </c>
      <c r="H117" s="132">
        <f t="shared" si="14"/>
        <v>46235</v>
      </c>
      <c r="I117" s="140">
        <f t="shared" si="15"/>
        <v>220</v>
      </c>
      <c r="J117" s="9">
        <f t="shared" si="16"/>
        <v>4.6511627906976747</v>
      </c>
      <c r="K117" s="140">
        <f t="shared" si="17"/>
        <v>4</v>
      </c>
      <c r="L117" s="206">
        <f t="shared" si="18"/>
        <v>1.8181818181818181</v>
      </c>
      <c r="M117" s="8" t="str">
        <f t="array" ref="M117">IF(L117&gt;5,"Perlu Sensus",IF(AND(L117&gt;=0,I117&gt;0),"Tetap Deteksi","Belum Deteksi"))</f>
        <v>Tetap Deteksi</v>
      </c>
      <c r="N117" s="132">
        <v>46235</v>
      </c>
      <c r="O117" s="203">
        <v>220</v>
      </c>
      <c r="P117" s="9">
        <f t="array" ref="P117">IFERROR(O117/G117*100,0)</f>
        <v>4.6511627906976747</v>
      </c>
      <c r="Q117" s="203">
        <v>4</v>
      </c>
      <c r="R117" s="9">
        <f t="shared" si="20"/>
        <v>1.8181818181818181</v>
      </c>
      <c r="S117" s="8" t="str">
        <f t="array" ref="S117">IF(R117&gt;5,"Perlu Sensus",IF(AND(R117&gt;=0,O117&gt;0),"Tetap Deteksi","Belum Deteksi"))</f>
        <v>Tetap Deteksi</v>
      </c>
      <c r="T117" s="203">
        <v>0</v>
      </c>
      <c r="U117" s="9">
        <f t="shared" si="19"/>
        <v>0</v>
      </c>
      <c r="V117" s="132">
        <v>46241</v>
      </c>
      <c r="W117" s="203">
        <v>232</v>
      </c>
      <c r="X117" s="203">
        <v>3</v>
      </c>
      <c r="Y117" s="9">
        <f t="shared" si="13"/>
        <v>1.2931034482758621</v>
      </c>
      <c r="Z117" s="8" t="str">
        <f t="array" ref="Z117">IF(Y117&gt;5,"Perlu Sensus",IF(AND(Y117&gt;0,,O117&gt;0),"Tetap Deteksi","Belum Deteksi"))</f>
        <v>Belum Deteksi</v>
      </c>
    </row>
    <row r="118" spans="1:26" outlineLevel="1" x14ac:dyDescent="0.15">
      <c r="A118" s="8" t="s">
        <v>1043</v>
      </c>
      <c r="B118" s="8">
        <v>1</v>
      </c>
      <c r="C118" s="8">
        <v>6</v>
      </c>
      <c r="D118" s="8" t="s">
        <v>1582</v>
      </c>
      <c r="E118" s="9">
        <v>37.85</v>
      </c>
      <c r="F118" s="8" t="s">
        <v>469</v>
      </c>
      <c r="G118" s="10">
        <v>3069</v>
      </c>
      <c r="H118" s="132">
        <f t="shared" si="14"/>
        <v>46237</v>
      </c>
      <c r="I118" s="140">
        <f t="shared" si="15"/>
        <v>157</v>
      </c>
      <c r="J118" s="9">
        <f t="shared" si="16"/>
        <v>5.1156728576083417</v>
      </c>
      <c r="K118" s="140">
        <f t="shared" si="17"/>
        <v>4</v>
      </c>
      <c r="L118" s="206">
        <f t="shared" si="18"/>
        <v>2.547770700636943</v>
      </c>
      <c r="M118" s="8" t="str">
        <f t="array" ref="M118">IF(L118&gt;5,"Perlu Sensus",IF(AND(L118&gt;=0,I118&gt;0),"Tetap Deteksi","Belum Deteksi"))</f>
        <v>Tetap Deteksi</v>
      </c>
      <c r="N118" s="132">
        <v>46237</v>
      </c>
      <c r="O118" s="203">
        <v>157</v>
      </c>
      <c r="P118" s="9">
        <f t="array" ref="P118">IFERROR(O118/G118*100,0)</f>
        <v>5.1156728576083417</v>
      </c>
      <c r="Q118" s="203">
        <v>4</v>
      </c>
      <c r="R118" s="9">
        <f t="shared" si="20"/>
        <v>2.547770700636943</v>
      </c>
      <c r="S118" s="8" t="str">
        <f t="array" ref="S118">IF(R118&gt;5,"Perlu Sensus",IF(AND(R118&gt;=0,O118&gt;0),"Tetap Deteksi","Belum Deteksi"))</f>
        <v>Tetap Deteksi</v>
      </c>
      <c r="T118" s="203">
        <v>0</v>
      </c>
      <c r="U118" s="9">
        <f t="shared" si="19"/>
        <v>0</v>
      </c>
      <c r="V118" s="132">
        <v>46241</v>
      </c>
      <c r="W118" s="203">
        <v>158</v>
      </c>
      <c r="X118" s="203">
        <v>1</v>
      </c>
      <c r="Y118" s="9">
        <f t="shared" si="13"/>
        <v>0.63291139240506333</v>
      </c>
      <c r="Z118" s="8" t="str">
        <f t="array" ref="Z118">IF(Y118&gt;5,"Perlu Sensus",IF(AND(Y118&gt;0,,O118&gt;0),"Tetap Deteksi","Belum Deteksi"))</f>
        <v>Belum Deteksi</v>
      </c>
    </row>
    <row r="119" spans="1:26" outlineLevel="1" x14ac:dyDescent="0.15">
      <c r="A119" s="8" t="s">
        <v>1043</v>
      </c>
      <c r="B119" s="8">
        <v>1</v>
      </c>
      <c r="C119" s="8">
        <v>6</v>
      </c>
      <c r="D119" s="8" t="s">
        <v>1583</v>
      </c>
      <c r="E119" s="9">
        <v>36.61</v>
      </c>
      <c r="F119" s="8" t="s">
        <v>469</v>
      </c>
      <c r="G119" s="10">
        <v>4829</v>
      </c>
      <c r="H119" s="132">
        <f t="shared" si="14"/>
        <v>46237</v>
      </c>
      <c r="I119" s="140">
        <f t="shared" si="15"/>
        <v>237</v>
      </c>
      <c r="J119" s="9">
        <f t="shared" si="16"/>
        <v>4.9078484158210811</v>
      </c>
      <c r="K119" s="140">
        <f t="shared" si="17"/>
        <v>4</v>
      </c>
      <c r="L119" s="206">
        <f t="shared" si="18"/>
        <v>1.6877637130801686</v>
      </c>
      <c r="M119" s="8" t="str">
        <f t="array" ref="M119">IF(L119&gt;5,"Perlu Sensus",IF(AND(L119&gt;=0,I119&gt;0),"Tetap Deteksi","Belum Deteksi"))</f>
        <v>Tetap Deteksi</v>
      </c>
      <c r="N119" s="132">
        <v>46237</v>
      </c>
      <c r="O119" s="203">
        <v>237</v>
      </c>
      <c r="P119" s="9">
        <f t="array" ref="P119">IFERROR(O119/G119*100,0)</f>
        <v>4.9078484158210811</v>
      </c>
      <c r="Q119" s="203">
        <v>4</v>
      </c>
      <c r="R119" s="9">
        <f t="shared" si="20"/>
        <v>1.6877637130801686</v>
      </c>
      <c r="S119" s="8" t="str">
        <f t="array" ref="S119">IF(R119&gt;5,"Perlu Sensus",IF(AND(R119&gt;=0,O119&gt;0),"Tetap Deteksi","Belum Deteksi"))</f>
        <v>Tetap Deteksi</v>
      </c>
      <c r="T119" s="203">
        <v>0</v>
      </c>
      <c r="U119" s="9">
        <f t="shared" si="19"/>
        <v>0</v>
      </c>
      <c r="V119" s="132">
        <v>46241</v>
      </c>
      <c r="W119" s="203">
        <v>281</v>
      </c>
      <c r="X119" s="203">
        <v>5</v>
      </c>
      <c r="Y119" s="9">
        <f t="shared" si="13"/>
        <v>1.7793594306049825</v>
      </c>
      <c r="Z119" s="8" t="str">
        <f t="array" ref="Z119">IF(Y119&gt;5,"Perlu Sensus",IF(AND(Y119&gt;0,,O119&gt;0),"Tetap Deteksi","Belum Deteksi"))</f>
        <v>Belum Deteksi</v>
      </c>
    </row>
    <row r="120" spans="1:26" outlineLevel="1" x14ac:dyDescent="0.15">
      <c r="A120" s="8" t="s">
        <v>1043</v>
      </c>
      <c r="B120" s="8">
        <v>1</v>
      </c>
      <c r="C120" s="8">
        <v>6</v>
      </c>
      <c r="D120" s="8" t="s">
        <v>1584</v>
      </c>
      <c r="E120" s="9">
        <v>35.590000000000003</v>
      </c>
      <c r="F120" s="8" t="s">
        <v>469</v>
      </c>
      <c r="G120" s="10">
        <v>5278</v>
      </c>
      <c r="H120" s="132">
        <f t="shared" si="14"/>
        <v>46237</v>
      </c>
      <c r="I120" s="140">
        <f t="shared" si="15"/>
        <v>304</v>
      </c>
      <c r="J120" s="9">
        <f t="shared" si="16"/>
        <v>5.7597574838954149</v>
      </c>
      <c r="K120" s="140">
        <f t="shared" si="17"/>
        <v>4</v>
      </c>
      <c r="L120" s="206">
        <f t="shared" si="18"/>
        <v>1.3157894736842104</v>
      </c>
      <c r="M120" s="8" t="str">
        <f t="array" ref="M120">IF(L120&gt;5,"Perlu Sensus",IF(AND(L120&gt;=0,I120&gt;0),"Tetap Deteksi","Belum Deteksi"))</f>
        <v>Tetap Deteksi</v>
      </c>
      <c r="N120" s="132">
        <v>46237</v>
      </c>
      <c r="O120" s="203">
        <v>304</v>
      </c>
      <c r="P120" s="9">
        <f t="array" ref="P120">IFERROR(O120/G120*100,0)</f>
        <v>5.7597574838954149</v>
      </c>
      <c r="Q120" s="203">
        <v>4</v>
      </c>
      <c r="R120" s="9">
        <f t="shared" si="20"/>
        <v>1.3157894736842104</v>
      </c>
      <c r="S120" s="8" t="str">
        <f t="array" ref="S120">IF(R120&gt;5,"Perlu Sensus",IF(AND(R120&gt;=0,O120&gt;0),"Tetap Deteksi","Belum Deteksi"))</f>
        <v>Tetap Deteksi</v>
      </c>
      <c r="T120" s="203">
        <v>0</v>
      </c>
      <c r="U120" s="9">
        <f t="shared" si="19"/>
        <v>0</v>
      </c>
      <c r="V120" s="132">
        <v>46241</v>
      </c>
      <c r="W120" s="203">
        <v>280</v>
      </c>
      <c r="X120" s="203">
        <v>3</v>
      </c>
      <c r="Y120" s="9">
        <f t="shared" si="13"/>
        <v>1.0714285714285714</v>
      </c>
      <c r="Z120" s="8" t="str">
        <f t="array" ref="Z120">IF(Y120&gt;5,"Perlu Sensus",IF(AND(Y120&gt;0,,O120&gt;0),"Tetap Deteksi","Belum Deteksi"))</f>
        <v>Belum Deteksi</v>
      </c>
    </row>
    <row r="121" spans="1:26" outlineLevel="1" x14ac:dyDescent="0.15">
      <c r="A121" s="8" t="s">
        <v>1043</v>
      </c>
      <c r="B121" s="8">
        <v>1</v>
      </c>
      <c r="C121" s="8">
        <v>6</v>
      </c>
      <c r="D121" s="8" t="s">
        <v>1585</v>
      </c>
      <c r="E121" s="9">
        <v>43.3</v>
      </c>
      <c r="F121" s="8" t="s">
        <v>469</v>
      </c>
      <c r="G121" s="10">
        <v>5849</v>
      </c>
      <c r="H121" s="132">
        <f t="shared" si="14"/>
        <v>46242</v>
      </c>
      <c r="I121" s="140">
        <f t="shared" si="15"/>
        <v>311</v>
      </c>
      <c r="J121" s="9">
        <f t="shared" si="16"/>
        <v>5.3171482304667466</v>
      </c>
      <c r="K121" s="140">
        <f t="shared" si="17"/>
        <v>4</v>
      </c>
      <c r="L121" s="206">
        <f t="shared" si="18"/>
        <v>1.2861736334405145</v>
      </c>
      <c r="M121" s="8" t="str">
        <f t="array" ref="M121">IF(L121&gt;5,"Perlu Sensus",IF(AND(L121&gt;=0,I121&gt;0),"Tetap Deteksi","Belum Deteksi"))</f>
        <v>Tetap Deteksi</v>
      </c>
      <c r="N121" s="132">
        <v>46242</v>
      </c>
      <c r="O121" s="203">
        <v>311</v>
      </c>
      <c r="P121" s="9">
        <f t="array" ref="P121">IFERROR(O121/G121*100,0)</f>
        <v>5.3171482304667466</v>
      </c>
      <c r="Q121" s="203">
        <v>4</v>
      </c>
      <c r="R121" s="9">
        <f t="shared" si="20"/>
        <v>1.2861736334405145</v>
      </c>
      <c r="S121" s="8" t="str">
        <f t="array" ref="S121">IF(R121&gt;5,"Perlu Sensus",IF(AND(R121&gt;=0,O121&gt;0),"Tetap Deteksi","Belum Deteksi"))</f>
        <v>Tetap Deteksi</v>
      </c>
      <c r="T121" s="203">
        <v>0</v>
      </c>
      <c r="U121" s="9">
        <f t="shared" si="19"/>
        <v>0</v>
      </c>
      <c r="V121" s="132">
        <v>46241</v>
      </c>
      <c r="W121" s="203">
        <v>354</v>
      </c>
      <c r="X121" s="203">
        <v>11</v>
      </c>
      <c r="Y121" s="9">
        <f t="shared" si="13"/>
        <v>3.1073446327683616</v>
      </c>
      <c r="Z121" s="8" t="str">
        <f t="array" ref="Z121">IF(Y121&gt;5,"Perlu Sensus",IF(AND(Y121&gt;0,,O121&gt;0),"Tetap Deteksi","Belum Deteksi"))</f>
        <v>Belum Deteksi</v>
      </c>
    </row>
    <row r="122" spans="1:26" outlineLevel="1" x14ac:dyDescent="0.15">
      <c r="A122" s="8" t="s">
        <v>1043</v>
      </c>
      <c r="B122" s="8">
        <v>1</v>
      </c>
      <c r="C122" s="8">
        <v>6</v>
      </c>
      <c r="D122" s="8" t="s">
        <v>1586</v>
      </c>
      <c r="E122" s="9">
        <v>24.57</v>
      </c>
      <c r="F122" s="8" t="s">
        <v>469</v>
      </c>
      <c r="G122" s="10">
        <v>3571</v>
      </c>
      <c r="H122" s="132">
        <f t="shared" si="14"/>
        <v>46242</v>
      </c>
      <c r="I122" s="140">
        <f t="shared" si="15"/>
        <v>211</v>
      </c>
      <c r="J122" s="9">
        <f t="shared" si="16"/>
        <v>5.9087090450854109</v>
      </c>
      <c r="K122" s="140">
        <f t="shared" si="17"/>
        <v>4</v>
      </c>
      <c r="L122" s="206">
        <f t="shared" si="18"/>
        <v>1.8957345971563981</v>
      </c>
      <c r="M122" s="8" t="str">
        <f t="array" ref="M122">IF(L122&gt;5,"Perlu Sensus",IF(AND(L122&gt;=0,I122&gt;0),"Tetap Deteksi","Belum Deteksi"))</f>
        <v>Tetap Deteksi</v>
      </c>
      <c r="N122" s="132">
        <v>46242</v>
      </c>
      <c r="O122" s="203">
        <v>211</v>
      </c>
      <c r="P122" s="9">
        <f t="array" ref="P122">IFERROR(O122/G122*100,0)</f>
        <v>5.9087090450854109</v>
      </c>
      <c r="Q122" s="203">
        <v>4</v>
      </c>
      <c r="R122" s="9">
        <f t="shared" si="20"/>
        <v>1.8957345971563981</v>
      </c>
      <c r="S122" s="8" t="str">
        <f t="array" ref="S122">IF(R122&gt;5,"Perlu Sensus",IF(AND(R122&gt;=0,O122&gt;0),"Tetap Deteksi","Belum Deteksi"))</f>
        <v>Tetap Deteksi</v>
      </c>
      <c r="T122" s="203">
        <v>0</v>
      </c>
      <c r="U122" s="9">
        <f t="shared" si="19"/>
        <v>0</v>
      </c>
      <c r="V122" s="132">
        <v>46241</v>
      </c>
      <c r="W122" s="203">
        <v>224</v>
      </c>
      <c r="X122" s="203">
        <v>7</v>
      </c>
      <c r="Y122" s="9">
        <f t="shared" si="13"/>
        <v>3.125</v>
      </c>
      <c r="Z122" s="8" t="str">
        <f t="array" ref="Z122">IF(Y122&gt;5,"Perlu Sensus",IF(AND(Y122&gt;0,,O122&gt;0),"Tetap Deteksi","Belum Deteksi"))</f>
        <v>Belum Deteksi</v>
      </c>
    </row>
    <row r="123" spans="1:26" outlineLevel="1" x14ac:dyDescent="0.15">
      <c r="A123" s="8" t="s">
        <v>1043</v>
      </c>
      <c r="B123" s="8">
        <v>1</v>
      </c>
      <c r="C123" s="8">
        <v>6</v>
      </c>
      <c r="D123" s="8" t="s">
        <v>1587</v>
      </c>
      <c r="E123" s="9">
        <v>25.39</v>
      </c>
      <c r="F123" s="8" t="s">
        <v>469</v>
      </c>
      <c r="G123" s="10">
        <v>3630</v>
      </c>
      <c r="H123" s="132">
        <f t="shared" si="14"/>
        <v>46240</v>
      </c>
      <c r="I123" s="140">
        <f t="shared" si="15"/>
        <v>195</v>
      </c>
      <c r="J123" s="9">
        <f t="shared" si="16"/>
        <v>5.3719008264462813</v>
      </c>
      <c r="K123" s="140">
        <f t="shared" si="17"/>
        <v>4</v>
      </c>
      <c r="L123" s="206">
        <f t="shared" si="18"/>
        <v>2.0512820512820511</v>
      </c>
      <c r="M123" s="8" t="str">
        <f t="array" ref="M123">IF(L123&gt;5,"Perlu Sensus",IF(AND(L123&gt;=0,I123&gt;0),"Tetap Deteksi","Belum Deteksi"))</f>
        <v>Tetap Deteksi</v>
      </c>
      <c r="N123" s="132">
        <v>46240</v>
      </c>
      <c r="O123" s="203">
        <v>195</v>
      </c>
      <c r="P123" s="9">
        <f t="array" ref="P123">IFERROR(O123/G123*100,0)</f>
        <v>5.3719008264462813</v>
      </c>
      <c r="Q123" s="203">
        <v>4</v>
      </c>
      <c r="R123" s="9">
        <f t="shared" si="20"/>
        <v>2.0512820512820511</v>
      </c>
      <c r="S123" s="8" t="str">
        <f t="array" ref="S123">IF(R123&gt;5,"Perlu Sensus",IF(AND(R123&gt;=0,O123&gt;0),"Tetap Deteksi","Belum Deteksi"))</f>
        <v>Tetap Deteksi</v>
      </c>
      <c r="T123" s="203">
        <v>5</v>
      </c>
      <c r="U123" s="9">
        <f t="shared" si="19"/>
        <v>2.5641025641025639</v>
      </c>
      <c r="V123" s="132">
        <v>46241</v>
      </c>
      <c r="W123" s="203">
        <v>177</v>
      </c>
      <c r="X123" s="203">
        <v>3</v>
      </c>
      <c r="Y123" s="9">
        <f t="shared" si="13"/>
        <v>1.6949152542372881</v>
      </c>
      <c r="Z123" s="8" t="str">
        <f t="array" ref="Z123">IF(Y123&gt;5,"Perlu Sensus",IF(AND(Y123&gt;0,,O123&gt;0),"Tetap Deteksi","Belum Deteksi"))</f>
        <v>Belum Deteksi</v>
      </c>
    </row>
    <row r="124" spans="1:26" outlineLevel="1" x14ac:dyDescent="0.15">
      <c r="A124" s="8" t="s">
        <v>1043</v>
      </c>
      <c r="B124" s="8">
        <v>1</v>
      </c>
      <c r="C124" s="8">
        <v>6</v>
      </c>
      <c r="D124" s="8" t="s">
        <v>1588</v>
      </c>
      <c r="E124" s="9">
        <v>33.65</v>
      </c>
      <c r="F124" s="8" t="s">
        <v>469</v>
      </c>
      <c r="G124" s="10">
        <v>4015</v>
      </c>
      <c r="H124" s="132">
        <f t="shared" si="14"/>
        <v>46235</v>
      </c>
      <c r="I124" s="140">
        <f t="shared" si="15"/>
        <v>224</v>
      </c>
      <c r="J124" s="9">
        <f t="shared" si="16"/>
        <v>5.5790784557907847</v>
      </c>
      <c r="K124" s="140">
        <f t="shared" si="17"/>
        <v>4</v>
      </c>
      <c r="L124" s="206">
        <f t="shared" si="18"/>
        <v>1.7857142857142856</v>
      </c>
      <c r="M124" s="8" t="str">
        <f t="array" ref="M124">IF(L124&gt;5,"Perlu Sensus",IF(AND(L124&gt;=0,I124&gt;0),"Tetap Deteksi","Belum Deteksi"))</f>
        <v>Tetap Deteksi</v>
      </c>
      <c r="N124" s="132">
        <v>46235</v>
      </c>
      <c r="O124" s="203">
        <v>224</v>
      </c>
      <c r="P124" s="9">
        <f t="array" ref="P124">IFERROR(O124/G124*100,0)</f>
        <v>5.5790784557907847</v>
      </c>
      <c r="Q124" s="203">
        <v>4</v>
      </c>
      <c r="R124" s="9">
        <f t="shared" si="20"/>
        <v>1.7857142857142856</v>
      </c>
      <c r="S124" s="8" t="str">
        <f t="array" ref="S124">IF(R124&gt;5,"Perlu Sensus",IF(AND(R124&gt;=0,O124&gt;0),"Tetap Deteksi","Belum Deteksi"))</f>
        <v>Tetap Deteksi</v>
      </c>
      <c r="T124" s="203">
        <v>0</v>
      </c>
      <c r="U124" s="9">
        <f t="shared" si="19"/>
        <v>0</v>
      </c>
      <c r="V124" s="132">
        <v>46241</v>
      </c>
      <c r="W124" s="203">
        <v>238</v>
      </c>
      <c r="X124" s="203">
        <v>1</v>
      </c>
      <c r="Y124" s="9">
        <f t="shared" si="13"/>
        <v>0.42016806722689076</v>
      </c>
      <c r="Z124" s="8" t="str">
        <f t="array" ref="Z124">IF(Y124&gt;5,"Perlu Sensus",IF(AND(Y124&gt;0,,O124&gt;0),"Tetap Deteksi","Belum Deteksi"))</f>
        <v>Belum Deteksi</v>
      </c>
    </row>
    <row r="125" spans="1:26" outlineLevel="1" x14ac:dyDescent="0.15">
      <c r="A125" s="8" t="s">
        <v>1043</v>
      </c>
      <c r="B125" s="8">
        <v>1</v>
      </c>
      <c r="C125" s="8">
        <v>6</v>
      </c>
      <c r="D125" s="8" t="s">
        <v>1589</v>
      </c>
      <c r="E125" s="9">
        <v>51.099999999999994</v>
      </c>
      <c r="F125" s="8" t="s">
        <v>469</v>
      </c>
      <c r="G125" s="10">
        <v>5701</v>
      </c>
      <c r="H125" s="132">
        <f t="shared" si="14"/>
        <v>46242</v>
      </c>
      <c r="I125" s="140">
        <f t="shared" si="15"/>
        <v>302</v>
      </c>
      <c r="J125" s="9">
        <f t="shared" si="16"/>
        <v>5.2973162603052097</v>
      </c>
      <c r="K125" s="140">
        <f t="shared" si="17"/>
        <v>4</v>
      </c>
      <c r="L125" s="206">
        <f t="shared" si="18"/>
        <v>1.3245033112582782</v>
      </c>
      <c r="M125" s="8" t="str">
        <f t="array" ref="M125">IF(L125&gt;5,"Perlu Sensus",IF(AND(L125&gt;=0,I125&gt;0),"Tetap Deteksi","Belum Deteksi"))</f>
        <v>Tetap Deteksi</v>
      </c>
      <c r="N125" s="132">
        <v>46242</v>
      </c>
      <c r="O125" s="203">
        <v>302</v>
      </c>
      <c r="P125" s="9">
        <f t="array" ref="P125">IFERROR(O125/G125*100,0)</f>
        <v>5.2973162603052097</v>
      </c>
      <c r="Q125" s="203">
        <v>4</v>
      </c>
      <c r="R125" s="9">
        <f t="shared" si="20"/>
        <v>1.3245033112582782</v>
      </c>
      <c r="S125" s="8" t="str">
        <f t="array" ref="S125">IF(R125&gt;5,"Perlu Sensus",IF(AND(R125&gt;=0,O125&gt;0),"Tetap Deteksi","Belum Deteksi"))</f>
        <v>Tetap Deteksi</v>
      </c>
      <c r="T125" s="203">
        <v>4</v>
      </c>
      <c r="U125" s="9">
        <f t="shared" si="19"/>
        <v>1.3245033112582782</v>
      </c>
      <c r="V125" s="132">
        <v>46241</v>
      </c>
      <c r="W125" s="203">
        <v>278</v>
      </c>
      <c r="X125" s="203">
        <v>9.9999999999999995E-8</v>
      </c>
      <c r="Y125" s="9">
        <f t="shared" si="13"/>
        <v>3.5971223021582737E-8</v>
      </c>
      <c r="Z125" s="8" t="str">
        <f t="array" ref="Z125">IF(Y125&gt;5,"Perlu Sensus",IF(AND(Y125&gt;0,,O125&gt;0),"Tetap Deteksi","Belum Deteksi"))</f>
        <v>Belum Deteksi</v>
      </c>
    </row>
    <row r="126" spans="1:26" outlineLevel="1" x14ac:dyDescent="0.15">
      <c r="A126" s="8" t="s">
        <v>1043</v>
      </c>
      <c r="B126" s="8">
        <v>1</v>
      </c>
      <c r="C126" s="8">
        <v>6</v>
      </c>
      <c r="D126" s="8" t="s">
        <v>1590</v>
      </c>
      <c r="E126" s="9">
        <v>33.35</v>
      </c>
      <c r="F126" s="8" t="s">
        <v>469</v>
      </c>
      <c r="G126" s="10">
        <v>4573</v>
      </c>
      <c r="H126" s="132">
        <f t="shared" si="14"/>
        <v>46239</v>
      </c>
      <c r="I126" s="140">
        <f t="shared" si="15"/>
        <v>252</v>
      </c>
      <c r="J126" s="9">
        <f t="shared" si="16"/>
        <v>5.5106057292805595</v>
      </c>
      <c r="K126" s="140">
        <f t="shared" si="17"/>
        <v>4</v>
      </c>
      <c r="L126" s="206">
        <f t="shared" si="18"/>
        <v>1.5873015873015872</v>
      </c>
      <c r="M126" s="8" t="str">
        <f t="array" ref="M126">IF(L126&gt;5,"Perlu Sensus",IF(AND(L126&gt;=0,I126&gt;0),"Tetap Deteksi","Belum Deteksi"))</f>
        <v>Tetap Deteksi</v>
      </c>
      <c r="N126" s="132">
        <v>46239</v>
      </c>
      <c r="O126" s="203">
        <v>252</v>
      </c>
      <c r="P126" s="9">
        <f t="array" ref="P126">IFERROR(O126/G126*100,0)</f>
        <v>5.5106057292805595</v>
      </c>
      <c r="Q126" s="203">
        <v>4</v>
      </c>
      <c r="R126" s="9">
        <f t="shared" si="20"/>
        <v>1.5873015873015872</v>
      </c>
      <c r="S126" s="8" t="str">
        <f t="array" ref="S126">IF(R126&gt;5,"Perlu Sensus",IF(AND(R126&gt;=0,O126&gt;0),"Tetap Deteksi","Belum Deteksi"))</f>
        <v>Tetap Deteksi</v>
      </c>
      <c r="T126" s="203">
        <v>5</v>
      </c>
      <c r="U126" s="9">
        <f t="shared" si="19"/>
        <v>1.984126984126984</v>
      </c>
      <c r="V126" s="132">
        <v>46241</v>
      </c>
      <c r="W126" s="203">
        <v>223</v>
      </c>
      <c r="X126" s="203">
        <v>7</v>
      </c>
      <c r="Y126" s="9">
        <f t="shared" si="13"/>
        <v>3.1390134529147984</v>
      </c>
      <c r="Z126" s="8" t="str">
        <f t="array" ref="Z126">IF(Y126&gt;5,"Perlu Sensus",IF(AND(Y126&gt;0,,O126&gt;0),"Tetap Deteksi","Belum Deteksi"))</f>
        <v>Belum Deteksi</v>
      </c>
    </row>
    <row r="127" spans="1:26" outlineLevel="1" x14ac:dyDescent="0.15">
      <c r="A127" s="8" t="s">
        <v>1043</v>
      </c>
      <c r="B127" s="8">
        <v>1</v>
      </c>
      <c r="C127" s="8">
        <v>6</v>
      </c>
      <c r="D127" s="8" t="s">
        <v>1591</v>
      </c>
      <c r="E127" s="9">
        <v>41.830000000000005</v>
      </c>
      <c r="F127" s="8" t="s">
        <v>469</v>
      </c>
      <c r="G127" s="10">
        <v>5953</v>
      </c>
      <c r="H127" s="132">
        <f t="shared" si="14"/>
        <v>46235</v>
      </c>
      <c r="I127" s="140">
        <f t="shared" si="15"/>
        <v>1690</v>
      </c>
      <c r="J127" s="9">
        <f t="shared" si="16"/>
        <v>28.389047539055941</v>
      </c>
      <c r="K127" s="140">
        <f t="shared" si="17"/>
        <v>25</v>
      </c>
      <c r="L127" s="206">
        <f t="shared" si="18"/>
        <v>1.4792899408284024</v>
      </c>
      <c r="M127" s="8" t="str">
        <f t="array" ref="M127">IF(L127&gt;5,"Perlu Sensus",IF(AND(L127&gt;=0,I127&gt;0),"Tetap Deteksi","Belum Deteksi"))</f>
        <v>Tetap Deteksi</v>
      </c>
      <c r="N127" s="132">
        <v>46235</v>
      </c>
      <c r="O127" s="203">
        <v>1690</v>
      </c>
      <c r="P127" s="9">
        <f t="array" ref="P127">IFERROR(O127/G127*100,0)</f>
        <v>28.389047539055941</v>
      </c>
      <c r="Q127" s="203">
        <v>25</v>
      </c>
      <c r="R127" s="9">
        <f t="shared" si="20"/>
        <v>1.4792899408284024</v>
      </c>
      <c r="S127" s="8" t="str">
        <f t="array" ref="S127">IF(R127&gt;5,"Perlu Sensus",IF(AND(R127&gt;=0,O127&gt;0),"Tetap Deteksi","Belum Deteksi"))</f>
        <v>Tetap Deteksi</v>
      </c>
      <c r="T127" s="203">
        <v>14</v>
      </c>
      <c r="U127" s="9">
        <f t="shared" si="19"/>
        <v>0.82840236686390534</v>
      </c>
      <c r="V127" s="132">
        <v>46241</v>
      </c>
      <c r="W127" s="203">
        <v>362</v>
      </c>
      <c r="X127" s="203">
        <v>6</v>
      </c>
      <c r="Y127" s="9">
        <f t="shared" si="13"/>
        <v>1.6574585635359116</v>
      </c>
      <c r="Z127" s="8" t="str">
        <f t="array" ref="Z127">IF(Y127&gt;5,"Perlu Sensus",IF(AND(Y127&gt;0,,O127&gt;0),"Tetap Deteksi","Belum Deteksi"))</f>
        <v>Belum Deteksi</v>
      </c>
    </row>
    <row r="128" spans="1:26" outlineLevel="1" x14ac:dyDescent="0.15">
      <c r="A128" s="8" t="s">
        <v>1043</v>
      </c>
      <c r="B128" s="8">
        <v>1</v>
      </c>
      <c r="C128" s="8">
        <v>6</v>
      </c>
      <c r="D128" s="8" t="s">
        <v>1592</v>
      </c>
      <c r="E128" s="9">
        <v>27.45</v>
      </c>
      <c r="F128" s="8" t="s">
        <v>469</v>
      </c>
      <c r="G128" s="10">
        <v>3418</v>
      </c>
      <c r="H128" s="132">
        <f t="shared" si="14"/>
        <v>46235</v>
      </c>
      <c r="I128" s="140">
        <f t="shared" si="15"/>
        <v>1300</v>
      </c>
      <c r="J128" s="9">
        <f t="shared" si="16"/>
        <v>38.033937975424223</v>
      </c>
      <c r="K128" s="140">
        <f t="shared" si="17"/>
        <v>38</v>
      </c>
      <c r="L128" s="206">
        <f t="shared" si="18"/>
        <v>2.9230769230769229</v>
      </c>
      <c r="M128" s="8" t="str">
        <f t="array" ref="M128">IF(L128&gt;5,"Perlu Sensus",IF(AND(L128&gt;=0,I128&gt;0),"Tetap Deteksi","Belum Deteksi"))</f>
        <v>Tetap Deteksi</v>
      </c>
      <c r="N128" s="132">
        <v>46235</v>
      </c>
      <c r="O128" s="203">
        <v>1300</v>
      </c>
      <c r="P128" s="9">
        <f t="array" ref="P128">IFERROR(O128/G128*100,0)</f>
        <v>38.033937975424223</v>
      </c>
      <c r="Q128" s="203">
        <v>38</v>
      </c>
      <c r="R128" s="9">
        <f t="shared" si="20"/>
        <v>2.9230769230769229</v>
      </c>
      <c r="S128" s="8" t="str">
        <f t="array" ref="S128">IF(R128&gt;5,"Perlu Sensus",IF(AND(R128&gt;=0,O128&gt;0),"Tetap Deteksi","Belum Deteksi"))</f>
        <v>Tetap Deteksi</v>
      </c>
      <c r="T128" s="203">
        <v>27</v>
      </c>
      <c r="U128" s="9">
        <f t="shared" si="19"/>
        <v>2.0769230769230771</v>
      </c>
      <c r="V128" s="132">
        <v>46241</v>
      </c>
      <c r="W128" s="203">
        <v>3120</v>
      </c>
      <c r="X128" s="203">
        <v>13</v>
      </c>
      <c r="Y128" s="9">
        <f t="shared" si="13"/>
        <v>0.41666666666666669</v>
      </c>
      <c r="Z128" s="8" t="str">
        <f t="array" ref="Z128">IF(Y128&gt;5,"Perlu Sensus",IF(AND(Y128&gt;0,,O128&gt;0),"Tetap Deteksi","Belum Deteksi"))</f>
        <v>Belum Deteksi</v>
      </c>
    </row>
    <row r="129" spans="1:26" outlineLevel="1" x14ac:dyDescent="0.15">
      <c r="A129" s="8" t="s">
        <v>1043</v>
      </c>
      <c r="B129" s="8">
        <v>1</v>
      </c>
      <c r="C129" s="8">
        <v>6</v>
      </c>
      <c r="D129" s="8" t="s">
        <v>1593</v>
      </c>
      <c r="E129" s="9">
        <v>49.46</v>
      </c>
      <c r="F129" s="8" t="s">
        <v>469</v>
      </c>
      <c r="G129" s="10">
        <v>6945</v>
      </c>
      <c r="H129" s="132">
        <f t="shared" si="14"/>
        <v>46235</v>
      </c>
      <c r="I129" s="140">
        <f t="shared" si="15"/>
        <v>1118</v>
      </c>
      <c r="J129" s="9">
        <f t="shared" si="16"/>
        <v>16.097912167026639</v>
      </c>
      <c r="K129" s="140">
        <f t="shared" si="17"/>
        <v>14</v>
      </c>
      <c r="L129" s="206">
        <f t="shared" si="18"/>
        <v>1.2522361359570662</v>
      </c>
      <c r="M129" s="8" t="str">
        <f t="array" ref="M129">IF(L129&gt;5,"Perlu Sensus",IF(AND(L129&gt;=0,I129&gt;0),"Tetap Deteksi","Belum Deteksi"))</f>
        <v>Tetap Deteksi</v>
      </c>
      <c r="N129" s="132">
        <v>46235</v>
      </c>
      <c r="O129" s="203">
        <v>1118</v>
      </c>
      <c r="P129" s="9">
        <f t="array" ref="P129">IFERROR(O129/G129*100,0)</f>
        <v>16.097912167026639</v>
      </c>
      <c r="Q129" s="203">
        <v>14</v>
      </c>
      <c r="R129" s="9">
        <f t="shared" si="20"/>
        <v>1.2522361359570662</v>
      </c>
      <c r="S129" s="8" t="str">
        <f t="array" ref="S129">IF(R129&gt;5,"Perlu Sensus",IF(AND(R129&gt;=0,O129&gt;0),"Tetap Deteksi","Belum Deteksi"))</f>
        <v>Tetap Deteksi</v>
      </c>
      <c r="T129" s="203">
        <v>25</v>
      </c>
      <c r="U129" s="9">
        <f t="shared" si="19"/>
        <v>2.2361359570661898</v>
      </c>
      <c r="V129" s="132">
        <v>46242</v>
      </c>
      <c r="W129" s="203">
        <v>395</v>
      </c>
      <c r="X129" s="203">
        <v>1</v>
      </c>
      <c r="Y129" s="9">
        <f t="shared" si="13"/>
        <v>0.25316455696202533</v>
      </c>
      <c r="Z129" s="8" t="str">
        <f t="array" ref="Z129">IF(Y129&gt;5,"Perlu Sensus",IF(AND(Y129&gt;0,,O129&gt;0),"Tetap Deteksi","Belum Deteksi"))</f>
        <v>Belum Deteksi</v>
      </c>
    </row>
    <row r="130" spans="1:26" outlineLevel="1" x14ac:dyDescent="0.15">
      <c r="A130" s="8" t="s">
        <v>1043</v>
      </c>
      <c r="B130" s="8">
        <v>1</v>
      </c>
      <c r="C130" s="8">
        <v>6</v>
      </c>
      <c r="D130" s="8" t="s">
        <v>1594</v>
      </c>
      <c r="E130" s="9">
        <v>40.07</v>
      </c>
      <c r="F130" s="8" t="s">
        <v>469</v>
      </c>
      <c r="G130" s="10">
        <v>5198</v>
      </c>
      <c r="H130" s="132">
        <f t="shared" si="14"/>
        <v>46235</v>
      </c>
      <c r="I130" s="140">
        <f t="shared" si="15"/>
        <v>1326</v>
      </c>
      <c r="J130" s="9">
        <f t="shared" si="16"/>
        <v>25.509811465948438</v>
      </c>
      <c r="K130" s="140">
        <f t="shared" si="17"/>
        <v>25</v>
      </c>
      <c r="L130" s="206">
        <f t="shared" si="18"/>
        <v>1.8853695324283559</v>
      </c>
      <c r="M130" s="8" t="str">
        <f t="array" ref="M130">IF(L130&gt;5,"Perlu Sensus",IF(AND(L130&gt;=0,I130&gt;0),"Tetap Deteksi","Belum Deteksi"))</f>
        <v>Tetap Deteksi</v>
      </c>
      <c r="N130" s="132">
        <v>46235</v>
      </c>
      <c r="O130" s="203">
        <v>1326</v>
      </c>
      <c r="P130" s="9">
        <f t="array" ref="P130">IFERROR(O130/G130*100,0)</f>
        <v>25.509811465948438</v>
      </c>
      <c r="Q130" s="203">
        <v>25</v>
      </c>
      <c r="R130" s="9">
        <f t="shared" si="20"/>
        <v>1.8853695324283559</v>
      </c>
      <c r="S130" s="8" t="str">
        <f t="array" ref="S130">IF(R130&gt;5,"Perlu Sensus",IF(AND(R130&gt;=0,O130&gt;0),"Tetap Deteksi","Belum Deteksi"))</f>
        <v>Tetap Deteksi</v>
      </c>
      <c r="T130" s="203">
        <v>14</v>
      </c>
      <c r="U130" s="9">
        <f t="shared" si="19"/>
        <v>1.0558069381598794</v>
      </c>
      <c r="V130" s="132">
        <v>46242</v>
      </c>
      <c r="W130" s="203">
        <v>285</v>
      </c>
      <c r="X130" s="203">
        <v>9</v>
      </c>
      <c r="Y130" s="9">
        <f t="shared" si="13"/>
        <v>3.1578947368421053</v>
      </c>
      <c r="Z130" s="8" t="str">
        <f t="array" ref="Z130">IF(Y130&gt;5,"Perlu Sensus",IF(AND(Y130&gt;0,,O130&gt;0),"Tetap Deteksi","Belum Deteksi"))</f>
        <v>Belum Deteksi</v>
      </c>
    </row>
    <row r="131" spans="1:26" outlineLevel="1" x14ac:dyDescent="0.15">
      <c r="A131" s="8" t="s">
        <v>1043</v>
      </c>
      <c r="B131" s="8">
        <v>2</v>
      </c>
      <c r="C131" s="8">
        <v>7</v>
      </c>
      <c r="D131" s="8" t="s">
        <v>1595</v>
      </c>
      <c r="E131" s="9">
        <v>37.07</v>
      </c>
      <c r="F131" s="8" t="s">
        <v>469</v>
      </c>
      <c r="G131" s="10">
        <v>4400</v>
      </c>
      <c r="H131" s="132">
        <f t="shared" si="14"/>
        <v>46239</v>
      </c>
      <c r="I131" s="140">
        <f t="shared" si="15"/>
        <v>404</v>
      </c>
      <c r="J131" s="9">
        <f t="shared" si="16"/>
        <v>9.1818181818181817</v>
      </c>
      <c r="K131" s="140">
        <f t="shared" si="17"/>
        <v>12</v>
      </c>
      <c r="L131" s="206">
        <f t="shared" si="18"/>
        <v>2.9702970297029703</v>
      </c>
      <c r="M131" s="8" t="str">
        <f t="array" ref="M131">IF(L131&gt;5,"Perlu Sensus",IF(AND(L131&gt;=0,I131&gt;0),"Tetap Deteksi","Belum Deteksi"))</f>
        <v>Tetap Deteksi</v>
      </c>
      <c r="N131" s="132">
        <v>46239</v>
      </c>
      <c r="O131" s="203">
        <v>404</v>
      </c>
      <c r="P131" s="9">
        <f t="array" ref="P131">IFERROR(O131/G131*100,0)</f>
        <v>9.1818181818181817</v>
      </c>
      <c r="Q131" s="203">
        <v>12</v>
      </c>
      <c r="R131" s="9">
        <f t="shared" si="20"/>
        <v>2.9702970297029703</v>
      </c>
      <c r="S131" s="8" t="str">
        <f t="array" ref="S131">IF(R131&gt;5,"Perlu Sensus",IF(AND(R131&gt;=0,O131&gt;0),"Tetap Deteksi","Belum Deteksi"))</f>
        <v>Tetap Deteksi</v>
      </c>
      <c r="T131" s="203">
        <v>15</v>
      </c>
      <c r="U131" s="9">
        <f t="shared" si="19"/>
        <v>3.7128712871287126</v>
      </c>
      <c r="V131" s="132">
        <v>46235</v>
      </c>
      <c r="W131" s="203">
        <v>246</v>
      </c>
      <c r="X131" s="203">
        <v>6</v>
      </c>
      <c r="Y131" s="9">
        <f t="shared" si="13"/>
        <v>2.4390243902439024</v>
      </c>
      <c r="Z131" s="8" t="str">
        <f t="array" ref="Z131">IF(Y131&gt;5,"Perlu Sensus",IF(AND(Y131&gt;0,,O131&gt;0),"Tetap Deteksi","Belum Deteksi"))</f>
        <v>Belum Deteksi</v>
      </c>
    </row>
    <row r="132" spans="1:26" outlineLevel="1" x14ac:dyDescent="0.15">
      <c r="A132" s="8" t="s">
        <v>1043</v>
      </c>
      <c r="B132" s="8">
        <v>2</v>
      </c>
      <c r="C132" s="8">
        <v>7</v>
      </c>
      <c r="D132" s="8" t="s">
        <v>1596</v>
      </c>
      <c r="E132" s="9">
        <v>40.840000000000003</v>
      </c>
      <c r="F132" s="8" t="s">
        <v>469</v>
      </c>
      <c r="G132" s="10">
        <v>4775</v>
      </c>
      <c r="H132" s="132">
        <f t="shared" si="14"/>
        <v>46248</v>
      </c>
      <c r="I132" s="140">
        <f t="shared" si="15"/>
        <v>259</v>
      </c>
      <c r="J132" s="9">
        <f t="shared" si="16"/>
        <v>5.4240837696335076</v>
      </c>
      <c r="K132" s="140">
        <f t="shared" si="17"/>
        <v>4</v>
      </c>
      <c r="L132" s="206">
        <f t="shared" si="18"/>
        <v>1.5444015444015444</v>
      </c>
      <c r="M132" s="8" t="str">
        <f t="array" ref="M132">IF(L132&gt;5,"Perlu Sensus",IF(AND(L132&gt;=0,I132&gt;0),"Tetap Deteksi","Belum Deteksi"))</f>
        <v>Tetap Deteksi</v>
      </c>
      <c r="N132" s="132">
        <v>46248</v>
      </c>
      <c r="O132" s="203">
        <v>259</v>
      </c>
      <c r="P132" s="9">
        <f t="array" ref="P132">IFERROR(O132/G132*100,0)</f>
        <v>5.4240837696335076</v>
      </c>
      <c r="Q132" s="203">
        <v>4</v>
      </c>
      <c r="R132" s="9">
        <f t="shared" si="20"/>
        <v>1.5444015444015444</v>
      </c>
      <c r="S132" s="8" t="str">
        <f t="array" ref="S132">IF(R132&gt;5,"Perlu Sensus",IF(AND(R132&gt;=0,O132&gt;0),"Tetap Deteksi","Belum Deteksi"))</f>
        <v>Tetap Deteksi</v>
      </c>
      <c r="T132" s="203">
        <v>8</v>
      </c>
      <c r="U132" s="9">
        <f t="shared" si="19"/>
        <v>3.0888030888030888</v>
      </c>
      <c r="V132" s="132">
        <v>46235</v>
      </c>
      <c r="W132" s="203">
        <v>253</v>
      </c>
      <c r="X132" s="203">
        <v>5</v>
      </c>
      <c r="Y132" s="9">
        <f t="shared" si="13"/>
        <v>1.9762845849802373</v>
      </c>
      <c r="Z132" s="8" t="str">
        <f t="array" ref="Z132">IF(Y132&gt;5,"Perlu Sensus",IF(AND(Y132&gt;0,,O132&gt;0),"Tetap Deteksi","Belum Deteksi"))</f>
        <v>Belum Deteksi</v>
      </c>
    </row>
    <row r="133" spans="1:26" outlineLevel="1" x14ac:dyDescent="0.15">
      <c r="A133" s="8" t="s">
        <v>1043</v>
      </c>
      <c r="B133" s="8">
        <v>2</v>
      </c>
      <c r="C133" s="8">
        <v>7</v>
      </c>
      <c r="D133" s="8" t="s">
        <v>1597</v>
      </c>
      <c r="E133" s="9">
        <v>24.11</v>
      </c>
      <c r="F133" s="8" t="s">
        <v>469</v>
      </c>
      <c r="G133" s="10">
        <v>3379</v>
      </c>
      <c r="H133" s="132">
        <f t="shared" si="14"/>
        <v>46240</v>
      </c>
      <c r="I133" s="140">
        <f t="shared" si="15"/>
        <v>204</v>
      </c>
      <c r="J133" s="9">
        <f t="shared" si="16"/>
        <v>6.0372891387984611</v>
      </c>
      <c r="K133" s="140">
        <f t="shared" si="17"/>
        <v>4</v>
      </c>
      <c r="L133" s="206">
        <f t="shared" si="18"/>
        <v>1.9607843137254901</v>
      </c>
      <c r="M133" s="8" t="str">
        <f t="array" ref="M133">IF(L133&gt;5,"Perlu Sensus",IF(AND(L133&gt;=0,I133&gt;0),"Tetap Deteksi","Belum Deteksi"))</f>
        <v>Tetap Deteksi</v>
      </c>
      <c r="N133" s="132">
        <v>46240</v>
      </c>
      <c r="O133" s="203">
        <v>204</v>
      </c>
      <c r="P133" s="9">
        <f t="array" ref="P133">IFERROR(O133/G133*100,0)</f>
        <v>6.0372891387984611</v>
      </c>
      <c r="Q133" s="203">
        <v>4</v>
      </c>
      <c r="R133" s="9">
        <f t="shared" si="20"/>
        <v>1.9607843137254901</v>
      </c>
      <c r="S133" s="8" t="str">
        <f t="array" ref="S133">IF(R133&gt;5,"Perlu Sensus",IF(AND(R133&gt;=0,O133&gt;0),"Tetap Deteksi","Belum Deteksi"))</f>
        <v>Tetap Deteksi</v>
      </c>
      <c r="T133" s="203">
        <v>5</v>
      </c>
      <c r="U133" s="9">
        <f t="shared" si="19"/>
        <v>2.4509803921568629</v>
      </c>
      <c r="V133" s="132">
        <v>46235</v>
      </c>
      <c r="W133" s="203">
        <v>510</v>
      </c>
      <c r="X133" s="203">
        <v>8</v>
      </c>
      <c r="Y133" s="9">
        <f t="shared" si="13"/>
        <v>1.5686274509803921</v>
      </c>
      <c r="Z133" s="8" t="str">
        <f t="array" ref="Z133">IF(Y133&gt;5,"Perlu Sensus",IF(AND(Y133&gt;0,,O133&gt;0),"Tetap Deteksi","Belum Deteksi"))</f>
        <v>Belum Deteksi</v>
      </c>
    </row>
    <row r="134" spans="1:26" outlineLevel="1" x14ac:dyDescent="0.15">
      <c r="A134" s="8" t="s">
        <v>1043</v>
      </c>
      <c r="B134" s="8">
        <v>2</v>
      </c>
      <c r="C134" s="8">
        <v>7</v>
      </c>
      <c r="D134" s="8" t="s">
        <v>1598</v>
      </c>
      <c r="E134" s="9">
        <v>26.9</v>
      </c>
      <c r="F134" s="8" t="s">
        <v>469</v>
      </c>
      <c r="G134" s="10">
        <v>4037</v>
      </c>
      <c r="H134" s="132">
        <f t="shared" si="14"/>
        <v>46240</v>
      </c>
      <c r="I134" s="140">
        <f t="shared" si="15"/>
        <v>558</v>
      </c>
      <c r="J134" s="9">
        <f t="shared" si="16"/>
        <v>13.82214515729502</v>
      </c>
      <c r="K134" s="140">
        <f t="shared" si="17"/>
        <v>17</v>
      </c>
      <c r="L134" s="206">
        <f t="shared" si="18"/>
        <v>3.0465949820788532</v>
      </c>
      <c r="M134" s="8" t="str">
        <f t="array" ref="M134">IF(L134&gt;5,"Perlu Sensus",IF(AND(L134&gt;=0,I134&gt;0),"Tetap Deteksi","Belum Deteksi"))</f>
        <v>Tetap Deteksi</v>
      </c>
      <c r="N134" s="132">
        <v>46240</v>
      </c>
      <c r="O134" s="203">
        <v>558</v>
      </c>
      <c r="P134" s="9">
        <f t="array" ref="P134">IFERROR(O134/G134*100,0)</f>
        <v>13.82214515729502</v>
      </c>
      <c r="Q134" s="203">
        <v>17</v>
      </c>
      <c r="R134" s="9">
        <f t="shared" si="20"/>
        <v>3.0465949820788532</v>
      </c>
      <c r="S134" s="8" t="str">
        <f t="array" ref="S134">IF(R134&gt;5,"Perlu Sensus",IF(AND(R134&gt;=0,O134&gt;0),"Tetap Deteksi","Belum Deteksi"))</f>
        <v>Tetap Deteksi</v>
      </c>
      <c r="T134" s="203">
        <v>20</v>
      </c>
      <c r="U134" s="9">
        <f t="shared" si="19"/>
        <v>3.5842293906810032</v>
      </c>
      <c r="V134" s="132">
        <v>46235</v>
      </c>
      <c r="W134" s="203">
        <v>219</v>
      </c>
      <c r="X134" s="203">
        <v>3</v>
      </c>
      <c r="Y134" s="9">
        <f t="shared" ref="Y134:Y197" si="21">IFERROR(X134/W134*100,0)</f>
        <v>1.3698630136986301</v>
      </c>
      <c r="Z134" s="8" t="str">
        <f t="array" ref="Z134">IF(Y134&gt;5,"Perlu Sensus",IF(AND(Y134&gt;0,,O134&gt;0),"Tetap Deteksi","Belum Deteksi"))</f>
        <v>Belum Deteksi</v>
      </c>
    </row>
    <row r="135" spans="1:26" outlineLevel="1" x14ac:dyDescent="0.15">
      <c r="A135" s="8" t="s">
        <v>1043</v>
      </c>
      <c r="B135" s="8">
        <v>2</v>
      </c>
      <c r="C135" s="8">
        <v>7</v>
      </c>
      <c r="D135" s="8" t="s">
        <v>1599</v>
      </c>
      <c r="E135" s="9">
        <v>29.89</v>
      </c>
      <c r="F135" s="8" t="s">
        <v>469</v>
      </c>
      <c r="G135" s="10">
        <v>2308</v>
      </c>
      <c r="H135" s="132">
        <f t="shared" ref="H135:H198" si="22">IF(N135&gt;0,N135,V135)</f>
        <v>46241</v>
      </c>
      <c r="I135" s="140">
        <f t="shared" ref="I135:I198" si="23">IF(O135&gt;0,O135,W135)</f>
        <v>355</v>
      </c>
      <c r="J135" s="9">
        <f t="shared" ref="J135:J198" si="24">IF(P135&gt;0,P135," ")</f>
        <v>15.381282495667245</v>
      </c>
      <c r="K135" s="140">
        <f t="shared" ref="K135:K198" si="25">IF(Q135&gt;0,Q135,X135)</f>
        <v>12</v>
      </c>
      <c r="L135" s="206">
        <f t="shared" ref="L135:L198" si="26">IFERROR(K135/I135*100,0)</f>
        <v>3.3802816901408446</v>
      </c>
      <c r="M135" s="8" t="str">
        <f t="array" ref="M135">IF(L135&gt;5,"Perlu Sensus",IF(AND(L135&gt;=0,I135&gt;0),"Tetap Deteksi","Belum Deteksi"))</f>
        <v>Tetap Deteksi</v>
      </c>
      <c r="N135" s="132">
        <v>46241</v>
      </c>
      <c r="O135" s="203">
        <v>355</v>
      </c>
      <c r="P135" s="9">
        <f t="array" ref="P135">IFERROR(O135/G135*100,0)</f>
        <v>15.381282495667245</v>
      </c>
      <c r="Q135" s="203">
        <v>12</v>
      </c>
      <c r="R135" s="9">
        <f t="shared" si="20"/>
        <v>3.3802816901408446</v>
      </c>
      <c r="S135" s="8" t="str">
        <f t="array" ref="S135">IF(R135&gt;5,"Perlu Sensus",IF(AND(R135&gt;=0,O135&gt;0),"Tetap Deteksi","Belum Deteksi"))</f>
        <v>Tetap Deteksi</v>
      </c>
      <c r="T135" s="203">
        <v>14</v>
      </c>
      <c r="U135" s="9">
        <f t="shared" ref="U135:U198" si="27">IFERROR(T135/O135*100,0)</f>
        <v>3.943661971830986</v>
      </c>
      <c r="V135" s="132">
        <v>46241</v>
      </c>
      <c r="W135" s="203">
        <v>124</v>
      </c>
      <c r="X135" s="203">
        <v>1</v>
      </c>
      <c r="Y135" s="9">
        <f t="shared" si="21"/>
        <v>0.80645161290322576</v>
      </c>
      <c r="Z135" s="8" t="str">
        <f t="array" ref="Z135">IF(Y135&gt;5,"Perlu Sensus",IF(AND(Y135&gt;0,,O135&gt;0),"Tetap Deteksi","Belum Deteksi"))</f>
        <v>Belum Deteksi</v>
      </c>
    </row>
    <row r="136" spans="1:26" outlineLevel="1" x14ac:dyDescent="0.15">
      <c r="A136" s="8" t="s">
        <v>1043</v>
      </c>
      <c r="B136" s="8">
        <v>2</v>
      </c>
      <c r="C136" s="8">
        <v>7</v>
      </c>
      <c r="D136" s="8" t="s">
        <v>1600</v>
      </c>
      <c r="E136" s="9">
        <v>34.980000000000004</v>
      </c>
      <c r="F136" s="8" t="s">
        <v>469</v>
      </c>
      <c r="G136" s="10">
        <v>3353</v>
      </c>
      <c r="H136" s="132">
        <f t="shared" si="22"/>
        <v>46242</v>
      </c>
      <c r="I136" s="140">
        <f t="shared" si="23"/>
        <v>243</v>
      </c>
      <c r="J136" s="9">
        <f t="shared" si="24"/>
        <v>7.2472412764688343</v>
      </c>
      <c r="K136" s="140">
        <f t="shared" si="25"/>
        <v>4</v>
      </c>
      <c r="L136" s="206">
        <f t="shared" si="26"/>
        <v>1.6460905349794239</v>
      </c>
      <c r="M136" s="8" t="str">
        <f t="array" ref="M136">IF(L136&gt;5,"Perlu Sensus",IF(AND(L136&gt;=0,I136&gt;0),"Tetap Deteksi","Belum Deteksi"))</f>
        <v>Tetap Deteksi</v>
      </c>
      <c r="N136" s="132">
        <v>46242</v>
      </c>
      <c r="O136" s="203">
        <v>243</v>
      </c>
      <c r="P136" s="9">
        <f t="array" ref="P136">IFERROR(O136/G136*100,0)</f>
        <v>7.2472412764688343</v>
      </c>
      <c r="Q136" s="203">
        <v>4</v>
      </c>
      <c r="R136" s="9">
        <f t="shared" si="20"/>
        <v>1.6460905349794239</v>
      </c>
      <c r="S136" s="8" t="str">
        <f t="array" ref="S136">IF(R136&gt;5,"Perlu Sensus",IF(AND(R136&gt;=0,O136&gt;0),"Tetap Deteksi","Belum Deteksi"))</f>
        <v>Tetap Deteksi</v>
      </c>
      <c r="T136" s="203">
        <v>8</v>
      </c>
      <c r="U136" s="9">
        <f t="shared" si="27"/>
        <v>3.2921810699588478</v>
      </c>
      <c r="V136" s="132">
        <v>46241</v>
      </c>
      <c r="W136" s="203">
        <v>183</v>
      </c>
      <c r="X136" s="203">
        <v>4</v>
      </c>
      <c r="Y136" s="9">
        <f t="shared" si="21"/>
        <v>2.1857923497267762</v>
      </c>
      <c r="Z136" s="8" t="str">
        <f t="array" ref="Z136">IF(Y136&gt;5,"Perlu Sensus",IF(AND(Y136&gt;0,,O136&gt;0),"Tetap Deteksi","Belum Deteksi"))</f>
        <v>Belum Deteksi</v>
      </c>
    </row>
    <row r="137" spans="1:26" outlineLevel="1" x14ac:dyDescent="0.15">
      <c r="A137" s="8" t="s">
        <v>1043</v>
      </c>
      <c r="B137" s="8">
        <v>2</v>
      </c>
      <c r="C137" s="8">
        <v>7</v>
      </c>
      <c r="D137" s="8" t="s">
        <v>1601</v>
      </c>
      <c r="E137" s="9">
        <v>45.150000000000006</v>
      </c>
      <c r="F137" s="8" t="s">
        <v>469</v>
      </c>
      <c r="G137" s="10">
        <v>5711</v>
      </c>
      <c r="H137" s="132">
        <f t="shared" si="22"/>
        <v>46244</v>
      </c>
      <c r="I137" s="140">
        <f t="shared" si="23"/>
        <v>382</v>
      </c>
      <c r="J137" s="9">
        <f t="shared" si="24"/>
        <v>6.6888460864997379</v>
      </c>
      <c r="K137" s="140">
        <f t="shared" si="25"/>
        <v>12</v>
      </c>
      <c r="L137" s="206">
        <f t="shared" si="26"/>
        <v>3.1413612565445024</v>
      </c>
      <c r="M137" s="8" t="str">
        <f t="array" ref="M137">IF(L137&gt;5,"Perlu Sensus",IF(AND(L137&gt;=0,I137&gt;0),"Tetap Deteksi","Belum Deteksi"))</f>
        <v>Tetap Deteksi</v>
      </c>
      <c r="N137" s="132">
        <v>46244</v>
      </c>
      <c r="O137" s="203">
        <v>382</v>
      </c>
      <c r="P137" s="9">
        <f t="array" ref="P137">IFERROR(O137/G137*100,0)</f>
        <v>6.6888460864997379</v>
      </c>
      <c r="Q137" s="203">
        <v>12</v>
      </c>
      <c r="R137" s="9">
        <f t="shared" si="20"/>
        <v>3.1413612565445024</v>
      </c>
      <c r="S137" s="8" t="str">
        <f t="array" ref="S137">IF(R137&gt;5,"Perlu Sensus",IF(AND(R137&gt;=0,O137&gt;0),"Tetap Deteksi","Belum Deteksi"))</f>
        <v>Tetap Deteksi</v>
      </c>
      <c r="T137" s="203">
        <v>13</v>
      </c>
      <c r="U137" s="9">
        <f t="shared" si="27"/>
        <v>3.4031413612565444</v>
      </c>
      <c r="V137" s="132">
        <v>46241</v>
      </c>
      <c r="W137" s="203">
        <v>260</v>
      </c>
      <c r="X137" s="203">
        <v>4</v>
      </c>
      <c r="Y137" s="9">
        <f t="shared" si="21"/>
        <v>1.5384615384615385</v>
      </c>
      <c r="Z137" s="8" t="str">
        <f t="array" ref="Z137">IF(Y137&gt;5,"Perlu Sensus",IF(AND(Y137&gt;0,,O137&gt;0),"Tetap Deteksi","Belum Deteksi"))</f>
        <v>Belum Deteksi</v>
      </c>
    </row>
    <row r="138" spans="1:26" outlineLevel="1" x14ac:dyDescent="0.15">
      <c r="A138" s="8" t="s">
        <v>1043</v>
      </c>
      <c r="B138" s="8">
        <v>2</v>
      </c>
      <c r="C138" s="8">
        <v>7</v>
      </c>
      <c r="D138" s="8" t="s">
        <v>1602</v>
      </c>
      <c r="E138" s="9">
        <v>30.25</v>
      </c>
      <c r="F138" s="8" t="s">
        <v>469</v>
      </c>
      <c r="G138" s="10">
        <v>3289</v>
      </c>
      <c r="H138" s="132">
        <f t="shared" si="22"/>
        <v>46235</v>
      </c>
      <c r="I138" s="140">
        <f t="shared" si="23"/>
        <v>431</v>
      </c>
      <c r="J138" s="9">
        <f t="shared" si="24"/>
        <v>13.104287017330496</v>
      </c>
      <c r="K138" s="140">
        <f t="shared" si="25"/>
        <v>14</v>
      </c>
      <c r="L138" s="206">
        <f t="shared" si="26"/>
        <v>3.2482598607888629</v>
      </c>
      <c r="M138" s="8" t="str">
        <f t="array" ref="M138">IF(L138&gt;5,"Perlu Sensus",IF(AND(L138&gt;=0,I138&gt;0),"Tetap Deteksi","Belum Deteksi"))</f>
        <v>Tetap Deteksi</v>
      </c>
      <c r="N138" s="132">
        <v>46235</v>
      </c>
      <c r="O138" s="203">
        <v>431</v>
      </c>
      <c r="P138" s="9">
        <f t="array" ref="P138">IFERROR(O138/G138*100,0)</f>
        <v>13.104287017330496</v>
      </c>
      <c r="Q138" s="203">
        <v>14</v>
      </c>
      <c r="R138" s="9">
        <f t="shared" si="20"/>
        <v>3.2482598607888629</v>
      </c>
      <c r="S138" s="8" t="str">
        <f t="array" ref="S138">IF(R138&gt;5,"Perlu Sensus",IF(AND(R138&gt;=0,O138&gt;0),"Tetap Deteksi","Belum Deteksi"))</f>
        <v>Tetap Deteksi</v>
      </c>
      <c r="T138" s="203">
        <v>7</v>
      </c>
      <c r="U138" s="9">
        <f t="shared" si="27"/>
        <v>1.6241299303944314</v>
      </c>
      <c r="V138" s="132">
        <v>46241</v>
      </c>
      <c r="W138" s="203">
        <v>252</v>
      </c>
      <c r="X138" s="203">
        <v>3</v>
      </c>
      <c r="Y138" s="9">
        <f t="shared" si="21"/>
        <v>1.1904761904761905</v>
      </c>
      <c r="Z138" s="8" t="str">
        <f t="array" ref="Z138">IF(Y138&gt;5,"Perlu Sensus",IF(AND(Y138&gt;0,,O138&gt;0),"Tetap Deteksi","Belum Deteksi"))</f>
        <v>Belum Deteksi</v>
      </c>
    </row>
    <row r="139" spans="1:26" outlineLevel="1" x14ac:dyDescent="0.15">
      <c r="A139" s="8" t="s">
        <v>1043</v>
      </c>
      <c r="B139" s="8">
        <v>2</v>
      </c>
      <c r="C139" s="8">
        <v>7</v>
      </c>
      <c r="D139" s="8" t="s">
        <v>1603</v>
      </c>
      <c r="E139" s="9">
        <v>33.270000000000003</v>
      </c>
      <c r="F139" s="8" t="s">
        <v>469</v>
      </c>
      <c r="G139" s="10">
        <v>3196</v>
      </c>
      <c r="H139" s="132">
        <f t="shared" si="22"/>
        <v>46235</v>
      </c>
      <c r="I139" s="140">
        <f t="shared" si="23"/>
        <v>442</v>
      </c>
      <c r="J139" s="9">
        <f t="shared" si="24"/>
        <v>13.829787234042554</v>
      </c>
      <c r="K139" s="140">
        <f t="shared" si="25"/>
        <v>9</v>
      </c>
      <c r="L139" s="206">
        <f t="shared" si="26"/>
        <v>2.0361990950226243</v>
      </c>
      <c r="M139" s="8" t="str">
        <f t="array" ref="M139">IF(L139&gt;5,"Perlu Sensus",IF(AND(L139&gt;=0,I139&gt;0),"Tetap Deteksi","Belum Deteksi"))</f>
        <v>Tetap Deteksi</v>
      </c>
      <c r="N139" s="132">
        <v>46235</v>
      </c>
      <c r="O139" s="203">
        <v>442</v>
      </c>
      <c r="P139" s="9">
        <f t="array" ref="P139">IFERROR(O139/G139*100,0)</f>
        <v>13.829787234042554</v>
      </c>
      <c r="Q139" s="203">
        <v>9</v>
      </c>
      <c r="R139" s="9">
        <f t="shared" si="20"/>
        <v>2.0361990950226243</v>
      </c>
      <c r="S139" s="8" t="str">
        <f t="array" ref="S139">IF(R139&gt;5,"Perlu Sensus",IF(AND(R139&gt;=0,O139&gt;0),"Tetap Deteksi","Belum Deteksi"))</f>
        <v>Tetap Deteksi</v>
      </c>
      <c r="T139" s="203">
        <v>5</v>
      </c>
      <c r="U139" s="9">
        <f t="shared" si="27"/>
        <v>1.1312217194570136</v>
      </c>
      <c r="V139" s="132">
        <v>46241</v>
      </c>
      <c r="W139" s="203">
        <v>525</v>
      </c>
      <c r="X139" s="203">
        <v>6</v>
      </c>
      <c r="Y139" s="9">
        <f t="shared" si="21"/>
        <v>1.1428571428571428</v>
      </c>
      <c r="Z139" s="8" t="str">
        <f t="array" ref="Z139">IF(Y139&gt;5,"Perlu Sensus",IF(AND(Y139&gt;0,,O139&gt;0),"Tetap Deteksi","Belum Deteksi"))</f>
        <v>Belum Deteksi</v>
      </c>
    </row>
    <row r="140" spans="1:26" outlineLevel="1" x14ac:dyDescent="0.15">
      <c r="A140" s="8" t="s">
        <v>1043</v>
      </c>
      <c r="B140" s="8">
        <v>2</v>
      </c>
      <c r="C140" s="8">
        <v>7</v>
      </c>
      <c r="D140" s="8" t="s">
        <v>1604</v>
      </c>
      <c r="E140" s="9">
        <v>37.07</v>
      </c>
      <c r="F140" s="8" t="s">
        <v>469</v>
      </c>
      <c r="G140" s="10">
        <v>4815</v>
      </c>
      <c r="H140" s="132">
        <f t="shared" si="22"/>
        <v>46247</v>
      </c>
      <c r="I140" s="140">
        <f t="shared" si="23"/>
        <v>243</v>
      </c>
      <c r="J140" s="9">
        <f t="shared" si="24"/>
        <v>5.0467289719626169</v>
      </c>
      <c r="K140" s="140">
        <f t="shared" si="25"/>
        <v>9</v>
      </c>
      <c r="L140" s="206">
        <f t="shared" si="26"/>
        <v>3.7037037037037033</v>
      </c>
      <c r="M140" s="8" t="str">
        <f t="array" ref="M140">IF(L140&gt;5,"Perlu Sensus",IF(AND(L140&gt;=0,I140&gt;0),"Tetap Deteksi","Belum Deteksi"))</f>
        <v>Tetap Deteksi</v>
      </c>
      <c r="N140" s="132">
        <v>46247</v>
      </c>
      <c r="O140" s="203">
        <v>243</v>
      </c>
      <c r="P140" s="9">
        <f t="array" ref="P140">IFERROR(O140/G140*100,0)</f>
        <v>5.0467289719626169</v>
      </c>
      <c r="Q140" s="203">
        <v>9</v>
      </c>
      <c r="R140" s="9">
        <f t="shared" si="20"/>
        <v>3.7037037037037033</v>
      </c>
      <c r="S140" s="8" t="str">
        <f t="array" ref="S140">IF(R140&gt;5,"Perlu Sensus",IF(AND(R140&gt;=0,O140&gt;0),"Tetap Deteksi","Belum Deteksi"))</f>
        <v>Tetap Deteksi</v>
      </c>
      <c r="T140" s="203">
        <v>1</v>
      </c>
      <c r="U140" s="9">
        <f t="shared" si="27"/>
        <v>0.41152263374485598</v>
      </c>
      <c r="V140" s="132">
        <v>46241</v>
      </c>
      <c r="W140" s="203">
        <v>295</v>
      </c>
      <c r="X140" s="203">
        <v>4</v>
      </c>
      <c r="Y140" s="9">
        <f t="shared" si="21"/>
        <v>1.3559322033898304</v>
      </c>
      <c r="Z140" s="8" t="str">
        <f t="array" ref="Z140">IF(Y140&gt;5,"Perlu Sensus",IF(AND(Y140&gt;0,,O140&gt;0),"Tetap Deteksi","Belum Deteksi"))</f>
        <v>Belum Deteksi</v>
      </c>
    </row>
    <row r="141" spans="1:26" outlineLevel="1" x14ac:dyDescent="0.15">
      <c r="A141" s="8" t="s">
        <v>1043</v>
      </c>
      <c r="B141" s="8">
        <v>2</v>
      </c>
      <c r="C141" s="8">
        <v>7</v>
      </c>
      <c r="D141" s="8" t="s">
        <v>1605</v>
      </c>
      <c r="E141" s="9">
        <v>33.089999999999996</v>
      </c>
      <c r="F141" s="8" t="s">
        <v>469</v>
      </c>
      <c r="G141" s="10">
        <v>4091</v>
      </c>
      <c r="H141" s="132">
        <f t="shared" si="22"/>
        <v>46237</v>
      </c>
      <c r="I141" s="140">
        <f t="shared" si="23"/>
        <v>388</v>
      </c>
      <c r="J141" s="9">
        <f t="shared" si="24"/>
        <v>9.4842336836959173</v>
      </c>
      <c r="K141" s="140">
        <f t="shared" si="25"/>
        <v>9</v>
      </c>
      <c r="L141" s="206">
        <f t="shared" si="26"/>
        <v>2.3195876288659796</v>
      </c>
      <c r="M141" s="8" t="str">
        <f t="array" ref="M141">IF(L141&gt;5,"Perlu Sensus",IF(AND(L141&gt;=0,I141&gt;0),"Tetap Deteksi","Belum Deteksi"))</f>
        <v>Tetap Deteksi</v>
      </c>
      <c r="N141" s="132">
        <v>46237</v>
      </c>
      <c r="O141" s="203">
        <v>388</v>
      </c>
      <c r="P141" s="9">
        <f t="array" ref="P141">IFERROR(O141/G141*100,0)</f>
        <v>9.4842336836959173</v>
      </c>
      <c r="Q141" s="203">
        <v>9</v>
      </c>
      <c r="R141" s="9">
        <f t="shared" si="20"/>
        <v>2.3195876288659796</v>
      </c>
      <c r="S141" s="8" t="str">
        <f t="array" ref="S141">IF(R141&gt;5,"Perlu Sensus",IF(AND(R141&gt;=0,O141&gt;0),"Tetap Deteksi","Belum Deteksi"))</f>
        <v>Tetap Deteksi</v>
      </c>
      <c r="T141" s="203">
        <v>10</v>
      </c>
      <c r="U141" s="9">
        <f t="shared" si="27"/>
        <v>2.5773195876288657</v>
      </c>
      <c r="V141" s="132">
        <v>46241</v>
      </c>
      <c r="W141" s="203">
        <v>257</v>
      </c>
      <c r="X141" s="203">
        <v>5</v>
      </c>
      <c r="Y141" s="9">
        <f t="shared" si="21"/>
        <v>1.9455252918287937</v>
      </c>
      <c r="Z141" s="8" t="str">
        <f t="array" ref="Z141">IF(Y141&gt;5,"Perlu Sensus",IF(AND(Y141&gt;0,,O141&gt;0),"Tetap Deteksi","Belum Deteksi"))</f>
        <v>Belum Deteksi</v>
      </c>
    </row>
    <row r="142" spans="1:26" outlineLevel="1" x14ac:dyDescent="0.15">
      <c r="A142" s="8" t="s">
        <v>1043</v>
      </c>
      <c r="B142" s="8">
        <v>2</v>
      </c>
      <c r="C142" s="8">
        <v>7</v>
      </c>
      <c r="D142" s="8" t="s">
        <v>1606</v>
      </c>
      <c r="E142" s="9">
        <v>30.16</v>
      </c>
      <c r="F142" s="8" t="s">
        <v>469</v>
      </c>
      <c r="G142" s="10">
        <v>2739</v>
      </c>
      <c r="H142" s="132">
        <f t="shared" si="22"/>
        <v>46238</v>
      </c>
      <c r="I142" s="140">
        <f t="shared" si="23"/>
        <v>341</v>
      </c>
      <c r="J142" s="9">
        <f t="shared" si="24"/>
        <v>12.449799196787147</v>
      </c>
      <c r="K142" s="140">
        <f t="shared" si="25"/>
        <v>9</v>
      </c>
      <c r="L142" s="206">
        <f t="shared" si="26"/>
        <v>2.6392961876832843</v>
      </c>
      <c r="M142" s="8" t="str">
        <f t="array" ref="M142">IF(L142&gt;5,"Perlu Sensus",IF(AND(L142&gt;=0,I142&gt;0),"Tetap Deteksi","Belum Deteksi"))</f>
        <v>Tetap Deteksi</v>
      </c>
      <c r="N142" s="132">
        <v>46238</v>
      </c>
      <c r="O142" s="203">
        <v>341</v>
      </c>
      <c r="P142" s="9">
        <f t="array" ref="P142">IFERROR(O142/G142*100,0)</f>
        <v>12.449799196787147</v>
      </c>
      <c r="Q142" s="203">
        <v>9</v>
      </c>
      <c r="R142" s="9">
        <f t="shared" si="20"/>
        <v>2.6392961876832843</v>
      </c>
      <c r="S142" s="8" t="str">
        <f t="array" ref="S142">IF(R142&gt;5,"Perlu Sensus",IF(AND(R142&gt;=0,O142&gt;0),"Tetap Deteksi","Belum Deteksi"))</f>
        <v>Tetap Deteksi</v>
      </c>
      <c r="T142" s="203">
        <v>8</v>
      </c>
      <c r="U142" s="9">
        <f t="shared" si="27"/>
        <v>2.3460410557184752</v>
      </c>
      <c r="V142" s="132">
        <v>46241</v>
      </c>
      <c r="W142" s="203">
        <v>167</v>
      </c>
      <c r="X142" s="203">
        <v>2</v>
      </c>
      <c r="Y142" s="9">
        <f t="shared" si="21"/>
        <v>1.1976047904191618</v>
      </c>
      <c r="Z142" s="8" t="str">
        <f t="array" ref="Z142">IF(Y142&gt;5,"Perlu Sensus",IF(AND(Y142&gt;0,,O142&gt;0),"Tetap Deteksi","Belum Deteksi"))</f>
        <v>Belum Deteksi</v>
      </c>
    </row>
    <row r="143" spans="1:26" outlineLevel="1" x14ac:dyDescent="0.15">
      <c r="A143" s="8" t="s">
        <v>1043</v>
      </c>
      <c r="B143" s="8">
        <v>2</v>
      </c>
      <c r="C143" s="8">
        <v>7</v>
      </c>
      <c r="D143" s="8" t="s">
        <v>1607</v>
      </c>
      <c r="E143" s="9">
        <v>40.99</v>
      </c>
      <c r="F143" s="8" t="s">
        <v>469</v>
      </c>
      <c r="G143" s="10">
        <v>4075</v>
      </c>
      <c r="H143" s="132">
        <f t="shared" si="22"/>
        <v>46238</v>
      </c>
      <c r="I143" s="140">
        <f t="shared" si="23"/>
        <v>324</v>
      </c>
      <c r="J143" s="9">
        <f t="shared" si="24"/>
        <v>7.9509202453987724</v>
      </c>
      <c r="K143" s="140">
        <f t="shared" si="25"/>
        <v>9</v>
      </c>
      <c r="L143" s="206">
        <f t="shared" si="26"/>
        <v>2.7777777777777777</v>
      </c>
      <c r="M143" s="8" t="str">
        <f t="array" ref="M143">IF(L143&gt;5,"Perlu Sensus",IF(AND(L143&gt;=0,I143&gt;0),"Tetap Deteksi","Belum Deteksi"))</f>
        <v>Tetap Deteksi</v>
      </c>
      <c r="N143" s="132">
        <v>46238</v>
      </c>
      <c r="O143" s="203">
        <v>324</v>
      </c>
      <c r="P143" s="9">
        <f t="array" ref="P143">IFERROR(O143/G143*100,0)</f>
        <v>7.9509202453987724</v>
      </c>
      <c r="Q143" s="203">
        <v>9</v>
      </c>
      <c r="R143" s="9">
        <f t="shared" si="20"/>
        <v>2.7777777777777777</v>
      </c>
      <c r="S143" s="8" t="str">
        <f t="array" ref="S143">IF(R143&gt;5,"Perlu Sensus",IF(AND(R143&gt;=0,O143&gt;0),"Tetap Deteksi","Belum Deteksi"))</f>
        <v>Tetap Deteksi</v>
      </c>
      <c r="T143" s="203">
        <v>4</v>
      </c>
      <c r="U143" s="9">
        <f t="shared" si="27"/>
        <v>1.2345679012345678</v>
      </c>
      <c r="V143" s="132">
        <v>46241</v>
      </c>
      <c r="W143" s="203">
        <v>257</v>
      </c>
      <c r="X143" s="203">
        <v>5</v>
      </c>
      <c r="Y143" s="9">
        <f t="shared" si="21"/>
        <v>1.9455252918287937</v>
      </c>
      <c r="Z143" s="8" t="str">
        <f t="array" ref="Z143">IF(Y143&gt;5,"Perlu Sensus",IF(AND(Y143&gt;0,,O143&gt;0),"Tetap Deteksi","Belum Deteksi"))</f>
        <v>Belum Deteksi</v>
      </c>
    </row>
    <row r="144" spans="1:26" outlineLevel="1" x14ac:dyDescent="0.15">
      <c r="A144" s="8" t="s">
        <v>1043</v>
      </c>
      <c r="B144" s="8">
        <v>2</v>
      </c>
      <c r="C144" s="8">
        <v>8</v>
      </c>
      <c r="D144" s="8" t="s">
        <v>1608</v>
      </c>
      <c r="E144" s="9">
        <v>22.27</v>
      </c>
      <c r="F144" s="8" t="s">
        <v>469</v>
      </c>
      <c r="G144" s="10">
        <v>879</v>
      </c>
      <c r="H144" s="132">
        <f t="shared" si="22"/>
        <v>46242</v>
      </c>
      <c r="I144" s="140">
        <f t="shared" si="23"/>
        <v>309</v>
      </c>
      <c r="J144" s="9">
        <f t="shared" si="24"/>
        <v>35.153583617747444</v>
      </c>
      <c r="K144" s="140">
        <f t="shared" si="25"/>
        <v>8</v>
      </c>
      <c r="L144" s="206">
        <f t="shared" si="26"/>
        <v>2.5889967637540456</v>
      </c>
      <c r="M144" s="8" t="str">
        <f t="array" ref="M144">IF(L144&gt;5,"Perlu Sensus",IF(AND(L144&gt;=0,I144&gt;0),"Tetap Deteksi","Belum Deteksi"))</f>
        <v>Tetap Deteksi</v>
      </c>
      <c r="N144" s="132">
        <v>46242</v>
      </c>
      <c r="O144" s="203">
        <v>309</v>
      </c>
      <c r="P144" s="9">
        <f t="array" ref="P144">IFERROR(O144/G144*100,0)</f>
        <v>35.153583617747444</v>
      </c>
      <c r="Q144" s="203">
        <v>8</v>
      </c>
      <c r="R144" s="9">
        <f t="shared" si="20"/>
        <v>2.5889967637540456</v>
      </c>
      <c r="S144" s="8" t="str">
        <f t="array" ref="S144">IF(R144&gt;5,"Perlu Sensus",IF(AND(R144&gt;=0,O144&gt;0),"Tetap Deteksi","Belum Deteksi"))</f>
        <v>Tetap Deteksi</v>
      </c>
      <c r="T144" s="203">
        <v>2</v>
      </c>
      <c r="U144" s="9">
        <f t="shared" si="27"/>
        <v>0.64724919093851141</v>
      </c>
      <c r="V144" s="132">
        <v>46243</v>
      </c>
      <c r="W144" s="203">
        <v>261</v>
      </c>
      <c r="X144" s="203">
        <v>4</v>
      </c>
      <c r="Y144" s="9">
        <f t="shared" si="21"/>
        <v>1.5325670498084289</v>
      </c>
      <c r="Z144" s="8" t="str">
        <f t="array" ref="Z144">IF(Y144&gt;5,"Perlu Sensus",IF(AND(Y144&gt;0,,O144&gt;0),"Tetap Deteksi","Belum Deteksi"))</f>
        <v>Belum Deteksi</v>
      </c>
    </row>
    <row r="145" spans="1:26" outlineLevel="1" x14ac:dyDescent="0.15">
      <c r="A145" s="8" t="s">
        <v>1043</v>
      </c>
      <c r="B145" s="8">
        <v>2</v>
      </c>
      <c r="C145" s="8">
        <v>8</v>
      </c>
      <c r="D145" s="8" t="s">
        <v>1609</v>
      </c>
      <c r="E145" s="9">
        <v>24.55</v>
      </c>
      <c r="F145" s="8" t="s">
        <v>469</v>
      </c>
      <c r="G145" s="10">
        <v>970</v>
      </c>
      <c r="H145" s="132">
        <f t="shared" si="22"/>
        <v>46242</v>
      </c>
      <c r="I145" s="140">
        <f t="shared" si="23"/>
        <v>206</v>
      </c>
      <c r="J145" s="9">
        <f t="shared" si="24"/>
        <v>21.237113402061855</v>
      </c>
      <c r="K145" s="140">
        <f t="shared" si="25"/>
        <v>7</v>
      </c>
      <c r="L145" s="206">
        <f t="shared" si="26"/>
        <v>3.3980582524271843</v>
      </c>
      <c r="M145" s="8" t="str">
        <f t="array" ref="M145">IF(L145&gt;5,"Perlu Sensus",IF(AND(L145&gt;=0,I145&gt;0),"Tetap Deteksi","Belum Deteksi"))</f>
        <v>Tetap Deteksi</v>
      </c>
      <c r="N145" s="132">
        <v>46242</v>
      </c>
      <c r="O145" s="203">
        <v>206</v>
      </c>
      <c r="P145" s="9">
        <f t="array" ref="P145">IFERROR(O145/G145*100,0)</f>
        <v>21.237113402061855</v>
      </c>
      <c r="Q145" s="203">
        <v>7</v>
      </c>
      <c r="R145" s="9">
        <f t="shared" si="20"/>
        <v>3.3980582524271843</v>
      </c>
      <c r="S145" s="8" t="str">
        <f t="array" ref="S145">IF(R145&gt;5,"Perlu Sensus",IF(AND(R145&gt;=0,O145&gt;0),"Tetap Deteksi","Belum Deteksi"))</f>
        <v>Tetap Deteksi</v>
      </c>
      <c r="T145" s="203">
        <v>3</v>
      </c>
      <c r="U145" s="9">
        <f t="shared" si="27"/>
        <v>1.4563106796116505</v>
      </c>
      <c r="V145" s="132">
        <v>46235</v>
      </c>
      <c r="W145" s="203">
        <v>60</v>
      </c>
      <c r="X145" s="203">
        <v>9.9999999999999995E-8</v>
      </c>
      <c r="Y145" s="9">
        <f t="shared" si="21"/>
        <v>1.6666666666666665E-7</v>
      </c>
      <c r="Z145" s="8" t="str">
        <f t="array" ref="Z145">IF(Y145&gt;5,"Perlu Sensus",IF(AND(Y145&gt;0,,O145&gt;0),"Tetap Deteksi","Belum Deteksi"))</f>
        <v>Belum Deteksi</v>
      </c>
    </row>
    <row r="146" spans="1:26" outlineLevel="1" x14ac:dyDescent="0.15">
      <c r="A146" s="8" t="s">
        <v>1043</v>
      </c>
      <c r="B146" s="8">
        <v>2</v>
      </c>
      <c r="C146" s="8">
        <v>8</v>
      </c>
      <c r="D146" s="8" t="s">
        <v>1610</v>
      </c>
      <c r="E146" s="9">
        <v>32.700000000000003</v>
      </c>
      <c r="F146" s="8" t="s">
        <v>469</v>
      </c>
      <c r="G146" s="10">
        <v>2611</v>
      </c>
      <c r="H146" s="132">
        <f t="shared" si="22"/>
        <v>46235</v>
      </c>
      <c r="I146" s="140">
        <f t="shared" si="23"/>
        <v>523</v>
      </c>
      <c r="J146" s="9">
        <f t="shared" si="24"/>
        <v>20.030639601685177</v>
      </c>
      <c r="K146" s="140">
        <f t="shared" si="25"/>
        <v>14</v>
      </c>
      <c r="L146" s="206">
        <f t="shared" si="26"/>
        <v>2.676864244741874</v>
      </c>
      <c r="M146" s="8" t="str">
        <f t="array" ref="M146">IF(L146&gt;5,"Perlu Sensus",IF(AND(L146&gt;=0,I146&gt;0),"Tetap Deteksi","Belum Deteksi"))</f>
        <v>Tetap Deteksi</v>
      </c>
      <c r="N146" s="132">
        <v>46235</v>
      </c>
      <c r="O146" s="203">
        <v>523</v>
      </c>
      <c r="P146" s="9">
        <f t="array" ref="P146">IFERROR(O146/G146*100,0)</f>
        <v>20.030639601685177</v>
      </c>
      <c r="Q146" s="203">
        <v>14</v>
      </c>
      <c r="R146" s="9">
        <f t="shared" si="20"/>
        <v>2.676864244741874</v>
      </c>
      <c r="S146" s="8" t="str">
        <f t="array" ref="S146">IF(R146&gt;5,"Perlu Sensus",IF(AND(R146&gt;=0,O146&gt;0),"Tetap Deteksi","Belum Deteksi"))</f>
        <v>Tetap Deteksi</v>
      </c>
      <c r="T146" s="203">
        <v>12</v>
      </c>
      <c r="U146" s="9">
        <f t="shared" si="27"/>
        <v>2.2944550669216062</v>
      </c>
      <c r="V146" s="132">
        <v>46235</v>
      </c>
      <c r="W146" s="203">
        <v>153</v>
      </c>
      <c r="X146" s="203">
        <v>4</v>
      </c>
      <c r="Y146" s="9">
        <f t="shared" si="21"/>
        <v>2.6143790849673203</v>
      </c>
      <c r="Z146" s="8" t="str">
        <f t="array" ref="Z146">IF(Y146&gt;5,"Perlu Sensus",IF(AND(Y146&gt;0,,O146&gt;0),"Tetap Deteksi","Belum Deteksi"))</f>
        <v>Belum Deteksi</v>
      </c>
    </row>
    <row r="147" spans="1:26" outlineLevel="1" x14ac:dyDescent="0.15">
      <c r="A147" s="8" t="s">
        <v>1043</v>
      </c>
      <c r="B147" s="8">
        <v>2</v>
      </c>
      <c r="C147" s="8">
        <v>8</v>
      </c>
      <c r="D147" s="8" t="s">
        <v>1611</v>
      </c>
      <c r="E147" s="9">
        <v>31.77</v>
      </c>
      <c r="F147" s="8" t="s">
        <v>469</v>
      </c>
      <c r="G147" s="10">
        <v>3266</v>
      </c>
      <c r="H147" s="132">
        <f t="shared" si="22"/>
        <v>46235</v>
      </c>
      <c r="I147" s="140">
        <f t="shared" si="23"/>
        <v>467</v>
      </c>
      <c r="J147" s="9">
        <f t="shared" si="24"/>
        <v>14.298836497244336</v>
      </c>
      <c r="K147" s="140">
        <f t="shared" si="25"/>
        <v>9</v>
      </c>
      <c r="L147" s="206">
        <f t="shared" si="26"/>
        <v>1.9271948608137044</v>
      </c>
      <c r="M147" s="8" t="str">
        <f t="array" ref="M147">IF(L147&gt;5,"Perlu Sensus",IF(AND(L147&gt;=0,I147&gt;0),"Tetap Deteksi","Belum Deteksi"))</f>
        <v>Tetap Deteksi</v>
      </c>
      <c r="N147" s="132">
        <v>46235</v>
      </c>
      <c r="O147" s="203">
        <v>467</v>
      </c>
      <c r="P147" s="9">
        <f t="array" ref="P147">IFERROR(O147/G147*100,0)</f>
        <v>14.298836497244336</v>
      </c>
      <c r="Q147" s="203">
        <v>9</v>
      </c>
      <c r="R147" s="9">
        <f t="shared" si="20"/>
        <v>1.9271948608137044</v>
      </c>
      <c r="S147" s="8" t="str">
        <f t="array" ref="S147">IF(R147&gt;5,"Perlu Sensus",IF(AND(R147&gt;=0,O147&gt;0),"Tetap Deteksi","Belum Deteksi"))</f>
        <v>Tetap Deteksi</v>
      </c>
      <c r="T147" s="203">
        <v>10</v>
      </c>
      <c r="U147" s="9">
        <f t="shared" si="27"/>
        <v>2.1413276231263381</v>
      </c>
      <c r="V147" s="132">
        <v>46235</v>
      </c>
      <c r="W147" s="203">
        <v>347</v>
      </c>
      <c r="X147" s="203">
        <v>8</v>
      </c>
      <c r="Y147" s="9">
        <f t="shared" si="21"/>
        <v>2.3054755043227666</v>
      </c>
      <c r="Z147" s="8" t="str">
        <f t="array" ref="Z147">IF(Y147&gt;5,"Perlu Sensus",IF(AND(Y147&gt;0,,O147&gt;0),"Tetap Deteksi","Belum Deteksi"))</f>
        <v>Belum Deteksi</v>
      </c>
    </row>
    <row r="148" spans="1:26" outlineLevel="1" x14ac:dyDescent="0.15">
      <c r="A148" s="8" t="s">
        <v>1043</v>
      </c>
      <c r="B148" s="8">
        <v>2</v>
      </c>
      <c r="C148" s="8">
        <v>8</v>
      </c>
      <c r="D148" s="8" t="s">
        <v>1612</v>
      </c>
      <c r="E148" s="9">
        <v>45.570000000000007</v>
      </c>
      <c r="F148" s="8" t="s">
        <v>469</v>
      </c>
      <c r="G148" s="10">
        <v>5592</v>
      </c>
      <c r="H148" s="132">
        <f t="shared" si="22"/>
        <v>46239</v>
      </c>
      <c r="I148" s="140">
        <f t="shared" si="23"/>
        <v>406</v>
      </c>
      <c r="J148" s="9">
        <f t="shared" si="24"/>
        <v>7.2603719599427752</v>
      </c>
      <c r="K148" s="140">
        <f t="shared" si="25"/>
        <v>14</v>
      </c>
      <c r="L148" s="206">
        <f t="shared" si="26"/>
        <v>3.4482758620689653</v>
      </c>
      <c r="M148" s="8" t="str">
        <f t="array" ref="M148">IF(L148&gt;5,"Perlu Sensus",IF(AND(L148&gt;=0,I148&gt;0),"Tetap Deteksi","Belum Deteksi"))</f>
        <v>Tetap Deteksi</v>
      </c>
      <c r="N148" s="132">
        <v>46239</v>
      </c>
      <c r="O148" s="203">
        <v>406</v>
      </c>
      <c r="P148" s="9">
        <f t="array" ref="P148">IFERROR(O148/G148*100,0)</f>
        <v>7.2603719599427752</v>
      </c>
      <c r="Q148" s="203">
        <v>14</v>
      </c>
      <c r="R148" s="9">
        <f t="shared" ref="R148:R211" si="28">IFERROR(Q148/O148*100,0)</f>
        <v>3.4482758620689653</v>
      </c>
      <c r="S148" s="8" t="str">
        <f t="array" ref="S148">IF(R148&gt;5,"Perlu Sensus",IF(AND(R148&gt;=0,O148&gt;0),"Tetap Deteksi","Belum Deteksi"))</f>
        <v>Tetap Deteksi</v>
      </c>
      <c r="T148" s="203">
        <v>10</v>
      </c>
      <c r="U148" s="9">
        <f t="shared" si="27"/>
        <v>2.4630541871921183</v>
      </c>
      <c r="V148" s="132">
        <v>46235</v>
      </c>
      <c r="W148" s="203">
        <v>827</v>
      </c>
      <c r="X148" s="203">
        <v>11</v>
      </c>
      <c r="Y148" s="9">
        <f t="shared" si="21"/>
        <v>1.3301088270858523</v>
      </c>
      <c r="Z148" s="8" t="str">
        <f t="array" ref="Z148">IF(Y148&gt;5,"Perlu Sensus",IF(AND(Y148&gt;0,,O148&gt;0),"Tetap Deteksi","Belum Deteksi"))</f>
        <v>Belum Deteksi</v>
      </c>
    </row>
    <row r="149" spans="1:26" outlineLevel="1" x14ac:dyDescent="0.15">
      <c r="A149" s="8" t="s">
        <v>1043</v>
      </c>
      <c r="B149" s="8">
        <v>2</v>
      </c>
      <c r="C149" s="8">
        <v>8</v>
      </c>
      <c r="D149" s="8" t="s">
        <v>1613</v>
      </c>
      <c r="E149" s="9">
        <v>39.679999999999993</v>
      </c>
      <c r="F149" s="8" t="s">
        <v>469</v>
      </c>
      <c r="G149" s="10">
        <v>4928</v>
      </c>
      <c r="H149" s="132">
        <f t="shared" si="22"/>
        <v>46239</v>
      </c>
      <c r="I149" s="140">
        <f t="shared" si="23"/>
        <v>434</v>
      </c>
      <c r="J149" s="9">
        <f t="shared" si="24"/>
        <v>8.8068181818181817</v>
      </c>
      <c r="K149" s="140">
        <f t="shared" si="25"/>
        <v>13</v>
      </c>
      <c r="L149" s="206">
        <f t="shared" si="26"/>
        <v>2.9953917050691241</v>
      </c>
      <c r="M149" s="8" t="str">
        <f t="array" ref="M149">IF(L149&gt;5,"Perlu Sensus",IF(AND(L149&gt;=0,I149&gt;0),"Tetap Deteksi","Belum Deteksi"))</f>
        <v>Tetap Deteksi</v>
      </c>
      <c r="N149" s="132">
        <v>46239</v>
      </c>
      <c r="O149" s="203">
        <v>434</v>
      </c>
      <c r="P149" s="9">
        <f t="array" ref="P149">IFERROR(O149/G149*100,0)</f>
        <v>8.8068181818181817</v>
      </c>
      <c r="Q149" s="203">
        <v>13</v>
      </c>
      <c r="R149" s="9">
        <f t="shared" si="28"/>
        <v>2.9953917050691241</v>
      </c>
      <c r="S149" s="8" t="str">
        <f t="array" ref="S149">IF(R149&gt;5,"Perlu Sensus",IF(AND(R149&gt;=0,O149&gt;0),"Tetap Deteksi","Belum Deteksi"))</f>
        <v>Tetap Deteksi</v>
      </c>
      <c r="T149" s="203">
        <v>8</v>
      </c>
      <c r="U149" s="9">
        <f t="shared" si="27"/>
        <v>1.8433179723502304</v>
      </c>
      <c r="V149" s="132">
        <v>46235</v>
      </c>
      <c r="W149" s="203">
        <v>231</v>
      </c>
      <c r="X149" s="203">
        <v>3</v>
      </c>
      <c r="Y149" s="9">
        <f t="shared" si="21"/>
        <v>1.2987012987012987</v>
      </c>
      <c r="Z149" s="8" t="str">
        <f t="array" ref="Z149">IF(Y149&gt;5,"Perlu Sensus",IF(AND(Y149&gt;0,,O149&gt;0),"Tetap Deteksi","Belum Deteksi"))</f>
        <v>Belum Deteksi</v>
      </c>
    </row>
    <row r="150" spans="1:26" outlineLevel="1" x14ac:dyDescent="0.15">
      <c r="A150" s="8" t="s">
        <v>1043</v>
      </c>
      <c r="B150" s="8">
        <v>2</v>
      </c>
      <c r="C150" s="8">
        <v>8</v>
      </c>
      <c r="D150" s="8" t="s">
        <v>1614</v>
      </c>
      <c r="E150" s="9">
        <v>51.71</v>
      </c>
      <c r="F150" s="8" t="s">
        <v>469</v>
      </c>
      <c r="G150" s="10">
        <v>6072</v>
      </c>
      <c r="H150" s="132">
        <f t="shared" si="22"/>
        <v>46238</v>
      </c>
      <c r="I150" s="140">
        <f t="shared" si="23"/>
        <v>182</v>
      </c>
      <c r="J150" s="9">
        <f t="shared" si="24"/>
        <v>2.9973649538866933</v>
      </c>
      <c r="K150" s="140">
        <f t="shared" si="25"/>
        <v>3</v>
      </c>
      <c r="L150" s="206">
        <f t="shared" si="26"/>
        <v>1.6483516483516485</v>
      </c>
      <c r="M150" s="8" t="str">
        <f t="array" ref="M150">IF(L150&gt;5,"Perlu Sensus",IF(AND(L150&gt;=0,I150&gt;0),"Tetap Deteksi","Belum Deteksi"))</f>
        <v>Tetap Deteksi</v>
      </c>
      <c r="N150" s="132">
        <v>46238</v>
      </c>
      <c r="O150" s="203">
        <v>182</v>
      </c>
      <c r="P150" s="9">
        <f t="array" ref="P150">IFERROR(O150/G150*100,0)</f>
        <v>2.9973649538866933</v>
      </c>
      <c r="Q150" s="203">
        <v>3</v>
      </c>
      <c r="R150" s="9">
        <f t="shared" si="28"/>
        <v>1.6483516483516485</v>
      </c>
      <c r="S150" s="8" t="str">
        <f t="array" ref="S150">IF(R150&gt;5,"Perlu Sensus",IF(AND(R150&gt;=0,O150&gt;0),"Tetap Deteksi","Belum Deteksi"))</f>
        <v>Tetap Deteksi</v>
      </c>
      <c r="T150" s="203">
        <v>6</v>
      </c>
      <c r="U150" s="9">
        <f t="shared" si="27"/>
        <v>3.296703296703297</v>
      </c>
      <c r="V150" s="132">
        <v>46235</v>
      </c>
      <c r="W150" s="203">
        <v>359</v>
      </c>
      <c r="X150" s="203">
        <v>4</v>
      </c>
      <c r="Y150" s="9">
        <f t="shared" si="21"/>
        <v>1.1142061281337048</v>
      </c>
      <c r="Z150" s="8" t="str">
        <f t="array" ref="Z150">IF(Y150&gt;5,"Perlu Sensus",IF(AND(Y150&gt;0,,O150&gt;0),"Tetap Deteksi","Belum Deteksi"))</f>
        <v>Belum Deteksi</v>
      </c>
    </row>
    <row r="151" spans="1:26" outlineLevel="1" x14ac:dyDescent="0.15">
      <c r="A151" s="8" t="s">
        <v>1043</v>
      </c>
      <c r="B151" s="8">
        <v>2</v>
      </c>
      <c r="C151" s="8">
        <v>8</v>
      </c>
      <c r="D151" s="8" t="s">
        <v>1615</v>
      </c>
      <c r="E151" s="9">
        <v>29.66</v>
      </c>
      <c r="F151" s="8" t="s">
        <v>469</v>
      </c>
      <c r="G151" s="10">
        <v>3490</v>
      </c>
      <c r="H151" s="132">
        <f t="shared" si="22"/>
        <v>46237</v>
      </c>
      <c r="I151" s="140">
        <f t="shared" si="23"/>
        <v>167</v>
      </c>
      <c r="J151" s="9">
        <f t="shared" si="24"/>
        <v>4.7851002865329511</v>
      </c>
      <c r="K151" s="140">
        <f t="shared" si="25"/>
        <v>4</v>
      </c>
      <c r="L151" s="206">
        <f t="shared" si="26"/>
        <v>2.3952095808383236</v>
      </c>
      <c r="M151" s="8" t="str">
        <f t="array" ref="M151">IF(L151&gt;5,"Perlu Sensus",IF(AND(L151&gt;=0,I151&gt;0),"Tetap Deteksi","Belum Deteksi"))</f>
        <v>Tetap Deteksi</v>
      </c>
      <c r="N151" s="132">
        <v>46237</v>
      </c>
      <c r="O151" s="203">
        <v>167</v>
      </c>
      <c r="P151" s="9">
        <f t="array" ref="P151">IFERROR(O151/G151*100,0)</f>
        <v>4.7851002865329511</v>
      </c>
      <c r="Q151" s="203">
        <v>4</v>
      </c>
      <c r="R151" s="9">
        <f t="shared" si="28"/>
        <v>2.3952095808383236</v>
      </c>
      <c r="S151" s="8" t="str">
        <f t="array" ref="S151">IF(R151&gt;5,"Perlu Sensus",IF(AND(R151&gt;=0,O151&gt;0),"Tetap Deteksi","Belum Deteksi"))</f>
        <v>Tetap Deteksi</v>
      </c>
      <c r="T151" s="203">
        <v>5</v>
      </c>
      <c r="U151" s="9">
        <f t="shared" si="27"/>
        <v>2.9940119760479043</v>
      </c>
      <c r="V151" s="132">
        <v>46235</v>
      </c>
      <c r="W151" s="203">
        <v>180</v>
      </c>
      <c r="X151" s="203">
        <v>9.9999999999999995E-8</v>
      </c>
      <c r="Y151" s="9">
        <f t="shared" si="21"/>
        <v>5.5555555555555555E-8</v>
      </c>
      <c r="Z151" s="8" t="str">
        <f t="array" ref="Z151">IF(Y151&gt;5,"Perlu Sensus",IF(AND(Y151&gt;0,,O151&gt;0),"Tetap Deteksi","Belum Deteksi"))</f>
        <v>Belum Deteksi</v>
      </c>
    </row>
    <row r="152" spans="1:26" outlineLevel="1" x14ac:dyDescent="0.15">
      <c r="A152" s="8" t="s">
        <v>1043</v>
      </c>
      <c r="B152" s="8">
        <v>2</v>
      </c>
      <c r="C152" s="8">
        <v>8</v>
      </c>
      <c r="D152" s="8" t="s">
        <v>1616</v>
      </c>
      <c r="E152" s="9">
        <v>34.909999999999997</v>
      </c>
      <c r="F152" s="8" t="s">
        <v>469</v>
      </c>
      <c r="G152" s="10">
        <v>3909</v>
      </c>
      <c r="H152" s="132">
        <f t="shared" si="22"/>
        <v>46239</v>
      </c>
      <c r="I152" s="140">
        <f t="shared" si="23"/>
        <v>237</v>
      </c>
      <c r="J152" s="9">
        <f t="shared" si="24"/>
        <v>6.0629316960859558</v>
      </c>
      <c r="K152" s="140">
        <f t="shared" si="25"/>
        <v>4</v>
      </c>
      <c r="L152" s="206">
        <f t="shared" si="26"/>
        <v>1.6877637130801686</v>
      </c>
      <c r="M152" s="8" t="str">
        <f t="array" ref="M152">IF(L152&gt;5,"Perlu Sensus",IF(AND(L152&gt;=0,I152&gt;0),"Tetap Deteksi","Belum Deteksi"))</f>
        <v>Tetap Deteksi</v>
      </c>
      <c r="N152" s="132">
        <v>46239</v>
      </c>
      <c r="O152" s="203">
        <v>237</v>
      </c>
      <c r="P152" s="9">
        <f t="array" ref="P152">IFERROR(O152/G152*100,0)</f>
        <v>6.0629316960859558</v>
      </c>
      <c r="Q152" s="203">
        <v>4</v>
      </c>
      <c r="R152" s="9">
        <f t="shared" si="28"/>
        <v>1.6877637130801686</v>
      </c>
      <c r="S152" s="8" t="str">
        <f t="array" ref="S152">IF(R152&gt;5,"Perlu Sensus",IF(AND(R152&gt;=0,O152&gt;0),"Tetap Deteksi","Belum Deteksi"))</f>
        <v>Tetap Deteksi</v>
      </c>
      <c r="T152" s="203">
        <v>0</v>
      </c>
      <c r="U152" s="9">
        <f t="shared" si="27"/>
        <v>0</v>
      </c>
      <c r="V152" s="132">
        <v>46235</v>
      </c>
      <c r="W152" s="203">
        <v>235</v>
      </c>
      <c r="X152" s="203">
        <v>2</v>
      </c>
      <c r="Y152" s="9">
        <f t="shared" si="21"/>
        <v>0.85106382978723405</v>
      </c>
      <c r="Z152" s="8" t="str">
        <f t="array" ref="Z152">IF(Y152&gt;5,"Perlu Sensus",IF(AND(Y152&gt;0,,O152&gt;0),"Tetap Deteksi","Belum Deteksi"))</f>
        <v>Belum Deteksi</v>
      </c>
    </row>
    <row r="153" spans="1:26" outlineLevel="1" x14ac:dyDescent="0.15">
      <c r="A153" s="8" t="s">
        <v>1043</v>
      </c>
      <c r="B153" s="8">
        <v>2</v>
      </c>
      <c r="C153" s="8">
        <v>8</v>
      </c>
      <c r="D153" s="8" t="s">
        <v>1617</v>
      </c>
      <c r="E153" s="9">
        <v>28.24</v>
      </c>
      <c r="F153" s="8" t="s">
        <v>469</v>
      </c>
      <c r="G153" s="10">
        <v>3268</v>
      </c>
      <c r="H153" s="132">
        <f t="shared" si="22"/>
        <v>46244</v>
      </c>
      <c r="I153" s="140">
        <f t="shared" si="23"/>
        <v>192</v>
      </c>
      <c r="J153" s="9">
        <f t="shared" si="24"/>
        <v>5.8751529987760103</v>
      </c>
      <c r="K153" s="140">
        <f t="shared" si="25"/>
        <v>4</v>
      </c>
      <c r="L153" s="206">
        <f t="shared" si="26"/>
        <v>2.083333333333333</v>
      </c>
      <c r="M153" s="8" t="str">
        <f t="array" ref="M153">IF(L153&gt;5,"Perlu Sensus",IF(AND(L153&gt;=0,I153&gt;0),"Tetap Deteksi","Belum Deteksi"))</f>
        <v>Tetap Deteksi</v>
      </c>
      <c r="N153" s="132">
        <v>46244</v>
      </c>
      <c r="O153" s="203">
        <v>192</v>
      </c>
      <c r="P153" s="9">
        <f t="array" ref="P153">IFERROR(O153/G153*100,0)</f>
        <v>5.8751529987760103</v>
      </c>
      <c r="Q153" s="203">
        <v>4</v>
      </c>
      <c r="R153" s="9">
        <f t="shared" si="28"/>
        <v>2.083333333333333</v>
      </c>
      <c r="S153" s="8" t="str">
        <f t="array" ref="S153">IF(R153&gt;5,"Perlu Sensus",IF(AND(R153&gt;=0,O153&gt;0),"Tetap Deteksi","Belum Deteksi"))</f>
        <v>Tetap Deteksi</v>
      </c>
      <c r="T153" s="203">
        <v>4</v>
      </c>
      <c r="U153" s="9">
        <f t="shared" si="27"/>
        <v>2.083333333333333</v>
      </c>
      <c r="V153" s="132">
        <v>46235</v>
      </c>
      <c r="W153" s="203">
        <v>376</v>
      </c>
      <c r="X153" s="203">
        <v>7</v>
      </c>
      <c r="Y153" s="9">
        <f t="shared" si="21"/>
        <v>1.8617021276595744</v>
      </c>
      <c r="Z153" s="8" t="str">
        <f t="array" ref="Z153">IF(Y153&gt;5,"Perlu Sensus",IF(AND(Y153&gt;0,,O153&gt;0),"Tetap Deteksi","Belum Deteksi"))</f>
        <v>Belum Deteksi</v>
      </c>
    </row>
    <row r="154" spans="1:26" outlineLevel="1" x14ac:dyDescent="0.15">
      <c r="A154" s="8" t="s">
        <v>1043</v>
      </c>
      <c r="B154" s="8">
        <v>2</v>
      </c>
      <c r="C154" s="8">
        <v>8</v>
      </c>
      <c r="D154" s="8" t="s">
        <v>1618</v>
      </c>
      <c r="E154" s="9">
        <v>26.54</v>
      </c>
      <c r="F154" s="8" t="s">
        <v>469</v>
      </c>
      <c r="G154" s="10">
        <v>3431</v>
      </c>
      <c r="H154" s="132">
        <f t="shared" si="22"/>
        <v>46244</v>
      </c>
      <c r="I154" s="140">
        <f t="shared" si="23"/>
        <v>196</v>
      </c>
      <c r="J154" s="9">
        <f t="shared" si="24"/>
        <v>5.7126202273389683</v>
      </c>
      <c r="K154" s="140">
        <f t="shared" si="25"/>
        <v>4</v>
      </c>
      <c r="L154" s="206">
        <f t="shared" si="26"/>
        <v>2.0408163265306123</v>
      </c>
      <c r="M154" s="8" t="str">
        <f t="array" ref="M154">IF(L154&gt;5,"Perlu Sensus",IF(AND(L154&gt;=0,I154&gt;0),"Tetap Deteksi","Belum Deteksi"))</f>
        <v>Tetap Deteksi</v>
      </c>
      <c r="N154" s="132">
        <v>46244</v>
      </c>
      <c r="O154" s="203">
        <v>196</v>
      </c>
      <c r="P154" s="9">
        <f t="array" ref="P154">IFERROR(O154/G154*100,0)</f>
        <v>5.7126202273389683</v>
      </c>
      <c r="Q154" s="203">
        <v>4</v>
      </c>
      <c r="R154" s="9">
        <f t="shared" si="28"/>
        <v>2.0408163265306123</v>
      </c>
      <c r="S154" s="8" t="str">
        <f t="array" ref="S154">IF(R154&gt;5,"Perlu Sensus",IF(AND(R154&gt;=0,O154&gt;0),"Tetap Deteksi","Belum Deteksi"))</f>
        <v>Tetap Deteksi</v>
      </c>
      <c r="T154" s="203">
        <v>3</v>
      </c>
      <c r="U154" s="9">
        <f t="shared" si="27"/>
        <v>1.5306122448979591</v>
      </c>
      <c r="V154" s="132">
        <v>46235</v>
      </c>
      <c r="W154" s="203">
        <v>347</v>
      </c>
      <c r="X154" s="203">
        <v>5</v>
      </c>
      <c r="Y154" s="9">
        <f t="shared" si="21"/>
        <v>1.4409221902017291</v>
      </c>
      <c r="Z154" s="8" t="str">
        <f t="array" ref="Z154">IF(Y154&gt;5,"Perlu Sensus",IF(AND(Y154&gt;0,,O154&gt;0),"Tetap Deteksi","Belum Deteksi"))</f>
        <v>Belum Deteksi</v>
      </c>
    </row>
    <row r="155" spans="1:26" outlineLevel="1" x14ac:dyDescent="0.15">
      <c r="A155" s="8" t="s">
        <v>1043</v>
      </c>
      <c r="B155" s="8">
        <v>2</v>
      </c>
      <c r="C155" s="8">
        <v>8</v>
      </c>
      <c r="D155" s="8" t="s">
        <v>1619</v>
      </c>
      <c r="E155" s="9">
        <v>32.629999999999995</v>
      </c>
      <c r="F155" s="8" t="s">
        <v>469</v>
      </c>
      <c r="G155" s="10">
        <v>3191</v>
      </c>
      <c r="H155" s="132">
        <f t="shared" si="22"/>
        <v>46235</v>
      </c>
      <c r="I155" s="140">
        <f t="shared" si="23"/>
        <v>101</v>
      </c>
      <c r="J155" s="9">
        <f t="shared" si="24"/>
        <v>3.1651519899717955</v>
      </c>
      <c r="K155" s="140">
        <f t="shared" si="25"/>
        <v>3</v>
      </c>
      <c r="L155" s="206">
        <f t="shared" si="26"/>
        <v>2.9702970297029703</v>
      </c>
      <c r="M155" s="8" t="str">
        <f t="array" ref="M155">IF(L155&gt;5,"Perlu Sensus",IF(AND(L155&gt;=0,I155&gt;0),"Tetap Deteksi","Belum Deteksi"))</f>
        <v>Tetap Deteksi</v>
      </c>
      <c r="N155" s="132">
        <v>46235</v>
      </c>
      <c r="O155" s="203">
        <v>101</v>
      </c>
      <c r="P155" s="9">
        <f t="array" ref="P155">IFERROR(O155/G155*100,0)</f>
        <v>3.1651519899717955</v>
      </c>
      <c r="Q155" s="203">
        <v>3</v>
      </c>
      <c r="R155" s="9">
        <f t="shared" si="28"/>
        <v>2.9702970297029703</v>
      </c>
      <c r="S155" s="8" t="str">
        <f t="array" ref="S155">IF(R155&gt;5,"Perlu Sensus",IF(AND(R155&gt;=0,O155&gt;0),"Tetap Deteksi","Belum Deteksi"))</f>
        <v>Tetap Deteksi</v>
      </c>
      <c r="T155" s="203">
        <v>2</v>
      </c>
      <c r="U155" s="9">
        <f t="shared" si="27"/>
        <v>1.9801980198019802</v>
      </c>
      <c r="V155" s="132">
        <v>46235</v>
      </c>
      <c r="W155" s="203">
        <v>199</v>
      </c>
      <c r="X155" s="203">
        <v>7</v>
      </c>
      <c r="Y155" s="9">
        <f t="shared" si="21"/>
        <v>3.5175879396984926</v>
      </c>
      <c r="Z155" s="8" t="str">
        <f t="array" ref="Z155">IF(Y155&gt;5,"Perlu Sensus",IF(AND(Y155&gt;0,,O155&gt;0),"Tetap Deteksi","Belum Deteksi"))</f>
        <v>Belum Deteksi</v>
      </c>
    </row>
    <row r="156" spans="1:26" outlineLevel="1" x14ac:dyDescent="0.15">
      <c r="A156" s="8" t="s">
        <v>1043</v>
      </c>
      <c r="B156" s="8">
        <v>2</v>
      </c>
      <c r="C156" s="8">
        <v>8</v>
      </c>
      <c r="D156" s="8" t="s">
        <v>1620</v>
      </c>
      <c r="E156" s="9">
        <v>29.270000000000003</v>
      </c>
      <c r="F156" s="8" t="s">
        <v>469</v>
      </c>
      <c r="G156" s="10">
        <v>4208</v>
      </c>
      <c r="H156" s="132">
        <f t="shared" si="22"/>
        <v>46237</v>
      </c>
      <c r="I156" s="140">
        <f t="shared" si="23"/>
        <v>405</v>
      </c>
      <c r="J156" s="9">
        <f t="shared" si="24"/>
        <v>9.6245247148288975</v>
      </c>
      <c r="K156" s="140">
        <f t="shared" si="25"/>
        <v>6</v>
      </c>
      <c r="L156" s="206">
        <f t="shared" si="26"/>
        <v>1.4814814814814816</v>
      </c>
      <c r="M156" s="8" t="str">
        <f t="array" ref="M156">IF(L156&gt;5,"Perlu Sensus",IF(AND(L156&gt;=0,I156&gt;0),"Tetap Deteksi","Belum Deteksi"))</f>
        <v>Tetap Deteksi</v>
      </c>
      <c r="N156" s="132">
        <v>46237</v>
      </c>
      <c r="O156" s="203">
        <v>405</v>
      </c>
      <c r="P156" s="9">
        <f t="array" ref="P156">IFERROR(O156/G156*100,0)</f>
        <v>9.6245247148288975</v>
      </c>
      <c r="Q156" s="203">
        <v>6</v>
      </c>
      <c r="R156" s="9">
        <f t="shared" si="28"/>
        <v>1.4814814814814816</v>
      </c>
      <c r="S156" s="8" t="str">
        <f t="array" ref="S156">IF(R156&gt;5,"Perlu Sensus",IF(AND(R156&gt;=0,O156&gt;0),"Tetap Deteksi","Belum Deteksi"))</f>
        <v>Tetap Deteksi</v>
      </c>
      <c r="T156" s="203">
        <v>9</v>
      </c>
      <c r="U156" s="9">
        <f t="shared" si="27"/>
        <v>2.2222222222222223</v>
      </c>
      <c r="V156" s="132">
        <v>46240</v>
      </c>
      <c r="W156" s="203">
        <v>320</v>
      </c>
      <c r="X156" s="203">
        <v>3</v>
      </c>
      <c r="Y156" s="9">
        <f t="shared" si="21"/>
        <v>0.9375</v>
      </c>
      <c r="Z156" s="8" t="str">
        <f t="array" ref="Z156">IF(Y156&gt;5,"Perlu Sensus",IF(AND(Y156&gt;0,,O156&gt;0),"Tetap Deteksi","Belum Deteksi"))</f>
        <v>Belum Deteksi</v>
      </c>
    </row>
    <row r="157" spans="1:26" outlineLevel="1" x14ac:dyDescent="0.15">
      <c r="A157" s="8" t="s">
        <v>1043</v>
      </c>
      <c r="B157" s="8">
        <v>2</v>
      </c>
      <c r="C157" s="8">
        <v>8</v>
      </c>
      <c r="D157" s="8" t="s">
        <v>1621</v>
      </c>
      <c r="E157" s="9">
        <v>23.49</v>
      </c>
      <c r="F157" s="8" t="s">
        <v>469</v>
      </c>
      <c r="G157" s="10">
        <v>3298</v>
      </c>
      <c r="H157" s="132">
        <f t="shared" si="22"/>
        <v>46240</v>
      </c>
      <c r="I157" s="140">
        <f t="shared" si="23"/>
        <v>211</v>
      </c>
      <c r="J157" s="9">
        <f t="shared" si="24"/>
        <v>6.3978168587022433</v>
      </c>
      <c r="K157" s="140">
        <f t="shared" si="25"/>
        <v>7</v>
      </c>
      <c r="L157" s="206">
        <f t="shared" si="26"/>
        <v>3.3175355450236967</v>
      </c>
      <c r="M157" s="8" t="str">
        <f t="array" ref="M157">IF(L157&gt;5,"Perlu Sensus",IF(AND(L157&gt;=0,I157&gt;0),"Tetap Deteksi","Belum Deteksi"))</f>
        <v>Tetap Deteksi</v>
      </c>
      <c r="N157" s="132">
        <v>46240</v>
      </c>
      <c r="O157" s="203">
        <v>211</v>
      </c>
      <c r="P157" s="9">
        <f t="array" ref="P157">IFERROR(O157/G157*100,0)</f>
        <v>6.3978168587022433</v>
      </c>
      <c r="Q157" s="203">
        <v>7</v>
      </c>
      <c r="R157" s="9">
        <f t="shared" si="28"/>
        <v>3.3175355450236967</v>
      </c>
      <c r="S157" s="8" t="str">
        <f t="array" ref="S157">IF(R157&gt;5,"Perlu Sensus",IF(AND(R157&gt;=0,O157&gt;0),"Tetap Deteksi","Belum Deteksi"))</f>
        <v>Tetap Deteksi</v>
      </c>
      <c r="T157" s="203">
        <v>1</v>
      </c>
      <c r="U157" s="9">
        <f t="shared" si="27"/>
        <v>0.47393364928909953</v>
      </c>
      <c r="V157" s="132">
        <v>46241</v>
      </c>
      <c r="W157" s="203">
        <v>184</v>
      </c>
      <c r="X157" s="203">
        <v>6</v>
      </c>
      <c r="Y157" s="9">
        <f t="shared" si="21"/>
        <v>3.2608695652173911</v>
      </c>
      <c r="Z157" s="8" t="str">
        <f t="array" ref="Z157">IF(Y157&gt;5,"Perlu Sensus",IF(AND(Y157&gt;0,,O157&gt;0),"Tetap Deteksi","Belum Deteksi"))</f>
        <v>Belum Deteksi</v>
      </c>
    </row>
    <row r="158" spans="1:26" outlineLevel="1" x14ac:dyDescent="0.15">
      <c r="A158" s="8" t="s">
        <v>1043</v>
      </c>
      <c r="B158" s="8">
        <v>2</v>
      </c>
      <c r="C158" s="8">
        <v>8</v>
      </c>
      <c r="D158" s="8" t="s">
        <v>1622</v>
      </c>
      <c r="E158" s="9">
        <v>23.06</v>
      </c>
      <c r="F158" s="8" t="s">
        <v>469</v>
      </c>
      <c r="G158" s="10">
        <v>2715</v>
      </c>
      <c r="H158" s="132">
        <f t="shared" si="22"/>
        <v>46237</v>
      </c>
      <c r="I158" s="140">
        <f t="shared" si="23"/>
        <v>277</v>
      </c>
      <c r="J158" s="9">
        <f t="shared" si="24"/>
        <v>10.202578268876611</v>
      </c>
      <c r="K158" s="140">
        <f t="shared" si="25"/>
        <v>5</v>
      </c>
      <c r="L158" s="206">
        <f t="shared" si="26"/>
        <v>1.8050541516245486</v>
      </c>
      <c r="M158" s="8" t="str">
        <f t="array" ref="M158">IF(L158&gt;5,"Perlu Sensus",IF(AND(L158&gt;=0,I158&gt;0),"Tetap Deteksi","Belum Deteksi"))</f>
        <v>Tetap Deteksi</v>
      </c>
      <c r="N158" s="132">
        <v>46237</v>
      </c>
      <c r="O158" s="203">
        <v>277</v>
      </c>
      <c r="P158" s="9">
        <f t="array" ref="P158">IFERROR(O158/G158*100,0)</f>
        <v>10.202578268876611</v>
      </c>
      <c r="Q158" s="203">
        <v>5</v>
      </c>
      <c r="R158" s="9">
        <f t="shared" si="28"/>
        <v>1.8050541516245486</v>
      </c>
      <c r="S158" s="8" t="str">
        <f t="array" ref="S158">IF(R158&gt;5,"Perlu Sensus",IF(AND(R158&gt;=0,O158&gt;0),"Tetap Deteksi","Belum Deteksi"))</f>
        <v>Tetap Deteksi</v>
      </c>
      <c r="T158" s="203">
        <v>6</v>
      </c>
      <c r="U158" s="9">
        <f t="shared" si="27"/>
        <v>2.1660649819494582</v>
      </c>
      <c r="V158" s="132">
        <v>46241</v>
      </c>
      <c r="W158" s="203">
        <v>158</v>
      </c>
      <c r="X158" s="203">
        <v>3</v>
      </c>
      <c r="Y158" s="9">
        <f t="shared" si="21"/>
        <v>1.89873417721519</v>
      </c>
      <c r="Z158" s="8" t="str">
        <f t="array" ref="Z158">IF(Y158&gt;5,"Perlu Sensus",IF(AND(Y158&gt;0,,O158&gt;0),"Tetap Deteksi","Belum Deteksi"))</f>
        <v>Belum Deteksi</v>
      </c>
    </row>
    <row r="159" spans="1:26" outlineLevel="1" x14ac:dyDescent="0.15">
      <c r="A159" s="8" t="s">
        <v>1043</v>
      </c>
      <c r="B159" s="8">
        <v>2</v>
      </c>
      <c r="C159" s="8">
        <v>8</v>
      </c>
      <c r="D159" s="8" t="s">
        <v>1623</v>
      </c>
      <c r="E159" s="9">
        <v>26.59</v>
      </c>
      <c r="F159" s="8" t="s">
        <v>469</v>
      </c>
      <c r="G159" s="10">
        <v>3452</v>
      </c>
      <c r="H159" s="132">
        <f t="shared" si="22"/>
        <v>46240</v>
      </c>
      <c r="I159" s="140">
        <f t="shared" si="23"/>
        <v>402</v>
      </c>
      <c r="J159" s="9">
        <f t="shared" si="24"/>
        <v>11.645422943221321</v>
      </c>
      <c r="K159" s="140">
        <f t="shared" si="25"/>
        <v>6</v>
      </c>
      <c r="L159" s="206">
        <f t="shared" si="26"/>
        <v>1.4925373134328357</v>
      </c>
      <c r="M159" s="8" t="str">
        <f t="array" ref="M159">IF(L159&gt;5,"Perlu Sensus",IF(AND(L159&gt;=0,I159&gt;0),"Tetap Deteksi","Belum Deteksi"))</f>
        <v>Tetap Deteksi</v>
      </c>
      <c r="N159" s="132">
        <v>46240</v>
      </c>
      <c r="O159" s="203">
        <v>402</v>
      </c>
      <c r="P159" s="9">
        <f t="array" ref="P159">IFERROR(O159/G159*100,0)</f>
        <v>11.645422943221321</v>
      </c>
      <c r="Q159" s="203">
        <v>6</v>
      </c>
      <c r="R159" s="9">
        <f t="shared" si="28"/>
        <v>1.4925373134328357</v>
      </c>
      <c r="S159" s="8" t="str">
        <f t="array" ref="S159">IF(R159&gt;5,"Perlu Sensus",IF(AND(R159&gt;=0,O159&gt;0),"Tetap Deteksi","Belum Deteksi"))</f>
        <v>Tetap Deteksi</v>
      </c>
      <c r="T159" s="203">
        <v>7</v>
      </c>
      <c r="U159" s="9">
        <f t="shared" si="27"/>
        <v>1.7412935323383085</v>
      </c>
      <c r="V159" s="132">
        <v>46241</v>
      </c>
      <c r="W159" s="203">
        <v>896</v>
      </c>
      <c r="X159" s="203">
        <v>13</v>
      </c>
      <c r="Y159" s="9">
        <f t="shared" si="21"/>
        <v>1.4508928571428572</v>
      </c>
      <c r="Z159" s="8" t="str">
        <f t="array" ref="Z159">IF(Y159&gt;5,"Perlu Sensus",IF(AND(Y159&gt;0,,O159&gt;0),"Tetap Deteksi","Belum Deteksi"))</f>
        <v>Belum Deteksi</v>
      </c>
    </row>
    <row r="160" spans="1:26" outlineLevel="1" x14ac:dyDescent="0.15">
      <c r="A160" s="8" t="s">
        <v>1043</v>
      </c>
      <c r="B160" s="8">
        <v>2</v>
      </c>
      <c r="C160" s="8">
        <v>8</v>
      </c>
      <c r="D160" s="8" t="s">
        <v>1624</v>
      </c>
      <c r="E160" s="9">
        <v>46.609999999999992</v>
      </c>
      <c r="F160" s="8" t="s">
        <v>469</v>
      </c>
      <c r="G160" s="10">
        <v>5776</v>
      </c>
      <c r="H160" s="132">
        <f t="shared" si="22"/>
        <v>46238</v>
      </c>
      <c r="I160" s="140">
        <f t="shared" si="23"/>
        <v>207</v>
      </c>
      <c r="J160" s="9">
        <f t="shared" si="24"/>
        <v>3.5837950138504153</v>
      </c>
      <c r="K160" s="140">
        <f t="shared" si="25"/>
        <v>4</v>
      </c>
      <c r="L160" s="206">
        <f t="shared" si="26"/>
        <v>1.932367149758454</v>
      </c>
      <c r="M160" s="8" t="str">
        <f t="array" ref="M160">IF(L160&gt;5,"Perlu Sensus",IF(AND(L160&gt;=0,I160&gt;0),"Tetap Deteksi","Belum Deteksi"))</f>
        <v>Tetap Deteksi</v>
      </c>
      <c r="N160" s="132">
        <v>46238</v>
      </c>
      <c r="O160" s="203">
        <v>207</v>
      </c>
      <c r="P160" s="9">
        <f t="array" ref="P160">IFERROR(O160/G160*100,0)</f>
        <v>3.5837950138504153</v>
      </c>
      <c r="Q160" s="203">
        <v>4</v>
      </c>
      <c r="R160" s="9">
        <f t="shared" si="28"/>
        <v>1.932367149758454</v>
      </c>
      <c r="S160" s="8" t="str">
        <f t="array" ref="S160">IF(R160&gt;5,"Perlu Sensus",IF(AND(R160&gt;=0,O160&gt;0),"Tetap Deteksi","Belum Deteksi"))</f>
        <v>Tetap Deteksi</v>
      </c>
      <c r="T160" s="203">
        <v>2</v>
      </c>
      <c r="U160" s="9">
        <f t="shared" si="27"/>
        <v>0.96618357487922701</v>
      </c>
      <c r="V160" s="132">
        <v>46241</v>
      </c>
      <c r="W160" s="203">
        <v>359</v>
      </c>
      <c r="X160" s="203">
        <v>13</v>
      </c>
      <c r="Y160" s="9">
        <f t="shared" si="21"/>
        <v>3.6211699164345403</v>
      </c>
      <c r="Z160" s="8" t="str">
        <f t="array" ref="Z160">IF(Y160&gt;5,"Perlu Sensus",IF(AND(Y160&gt;0,,O160&gt;0),"Tetap Deteksi","Belum Deteksi"))</f>
        <v>Belum Deteksi</v>
      </c>
    </row>
    <row r="161" spans="1:26" outlineLevel="1" x14ac:dyDescent="0.15">
      <c r="A161" s="8" t="s">
        <v>1043</v>
      </c>
      <c r="B161" s="8">
        <v>2</v>
      </c>
      <c r="C161" s="8">
        <v>8</v>
      </c>
      <c r="D161" s="8" t="s">
        <v>1625</v>
      </c>
      <c r="E161" s="9">
        <v>22.47</v>
      </c>
      <c r="F161" s="8" t="s">
        <v>469</v>
      </c>
      <c r="G161" s="10">
        <v>1933</v>
      </c>
      <c r="H161" s="132">
        <f t="shared" si="22"/>
        <v>46238</v>
      </c>
      <c r="I161" s="140">
        <f t="shared" si="23"/>
        <v>400</v>
      </c>
      <c r="J161" s="9">
        <f t="shared" si="24"/>
        <v>20.693222969477496</v>
      </c>
      <c r="K161" s="140">
        <f t="shared" si="25"/>
        <v>10</v>
      </c>
      <c r="L161" s="206">
        <f t="shared" si="26"/>
        <v>2.5</v>
      </c>
      <c r="M161" s="8" t="str">
        <f t="array" ref="M161">IF(L161&gt;5,"Perlu Sensus",IF(AND(L161&gt;=0,I161&gt;0),"Tetap Deteksi","Belum Deteksi"))</f>
        <v>Tetap Deteksi</v>
      </c>
      <c r="N161" s="132">
        <v>46238</v>
      </c>
      <c r="O161" s="203">
        <v>400</v>
      </c>
      <c r="P161" s="9">
        <f t="array" ref="P161">IFERROR(O161/G161*100,0)</f>
        <v>20.693222969477496</v>
      </c>
      <c r="Q161" s="203">
        <v>10</v>
      </c>
      <c r="R161" s="9">
        <f t="shared" si="28"/>
        <v>2.5</v>
      </c>
      <c r="S161" s="8" t="str">
        <f t="array" ref="S161">IF(R161&gt;5,"Perlu Sensus",IF(AND(R161&gt;=0,O161&gt;0),"Tetap Deteksi","Belum Deteksi"))</f>
        <v>Tetap Deteksi</v>
      </c>
      <c r="T161" s="203">
        <v>6</v>
      </c>
      <c r="U161" s="9">
        <f t="shared" si="27"/>
        <v>1.5</v>
      </c>
      <c r="V161" s="132">
        <v>46241</v>
      </c>
      <c r="W161" s="203">
        <v>117</v>
      </c>
      <c r="X161" s="203">
        <v>1</v>
      </c>
      <c r="Y161" s="9">
        <f t="shared" si="21"/>
        <v>0.85470085470085477</v>
      </c>
      <c r="Z161" s="8" t="str">
        <f t="array" ref="Z161">IF(Y161&gt;5,"Perlu Sensus",IF(AND(Y161&gt;0,,O161&gt;0),"Tetap Deteksi","Belum Deteksi"))</f>
        <v>Belum Deteksi</v>
      </c>
    </row>
    <row r="162" spans="1:26" outlineLevel="1" x14ac:dyDescent="0.15">
      <c r="A162" s="8" t="s">
        <v>1043</v>
      </c>
      <c r="B162" s="8">
        <v>2</v>
      </c>
      <c r="C162" s="8">
        <v>8</v>
      </c>
      <c r="D162" s="8" t="s">
        <v>1626</v>
      </c>
      <c r="E162" s="9">
        <v>31.290000000000003</v>
      </c>
      <c r="F162" s="8" t="s">
        <v>469</v>
      </c>
      <c r="G162" s="10">
        <v>2117</v>
      </c>
      <c r="H162" s="132">
        <f t="shared" si="22"/>
        <v>46241</v>
      </c>
      <c r="I162" s="140">
        <f t="shared" si="23"/>
        <v>302</v>
      </c>
      <c r="J162" s="9">
        <f t="shared" si="24"/>
        <v>14.265470004723666</v>
      </c>
      <c r="K162" s="140">
        <f t="shared" si="25"/>
        <v>9</v>
      </c>
      <c r="L162" s="206">
        <f t="shared" si="26"/>
        <v>2.9801324503311259</v>
      </c>
      <c r="M162" s="8" t="str">
        <f t="array" ref="M162">IF(L162&gt;5,"Perlu Sensus",IF(AND(L162&gt;=0,I162&gt;0),"Tetap Deteksi","Belum Deteksi"))</f>
        <v>Tetap Deteksi</v>
      </c>
      <c r="N162" s="132">
        <v>46241</v>
      </c>
      <c r="O162" s="203">
        <v>302</v>
      </c>
      <c r="P162" s="9">
        <f t="array" ref="P162">IFERROR(O162/G162*100,0)</f>
        <v>14.265470004723666</v>
      </c>
      <c r="Q162" s="203">
        <v>9</v>
      </c>
      <c r="R162" s="9">
        <f t="shared" si="28"/>
        <v>2.9801324503311259</v>
      </c>
      <c r="S162" s="8" t="str">
        <f t="array" ref="S162">IF(R162&gt;5,"Perlu Sensus",IF(AND(R162&gt;=0,O162&gt;0),"Tetap Deteksi","Belum Deteksi"))</f>
        <v>Tetap Deteksi</v>
      </c>
      <c r="T162" s="203">
        <v>6</v>
      </c>
      <c r="U162" s="9">
        <f t="shared" si="27"/>
        <v>1.9867549668874174</v>
      </c>
      <c r="V162" s="132">
        <v>46241</v>
      </c>
      <c r="W162" s="203">
        <v>105</v>
      </c>
      <c r="X162" s="203">
        <v>1</v>
      </c>
      <c r="Y162" s="9">
        <f t="shared" si="21"/>
        <v>0.95238095238095244</v>
      </c>
      <c r="Z162" s="8" t="str">
        <f t="array" ref="Z162">IF(Y162&gt;5,"Perlu Sensus",IF(AND(Y162&gt;0,,O162&gt;0),"Tetap Deteksi","Belum Deteksi"))</f>
        <v>Belum Deteksi</v>
      </c>
    </row>
    <row r="163" spans="1:26" outlineLevel="1" x14ac:dyDescent="0.15">
      <c r="A163" s="8" t="s">
        <v>1043</v>
      </c>
      <c r="B163" s="8">
        <v>2</v>
      </c>
      <c r="C163" s="8">
        <v>9</v>
      </c>
      <c r="D163" s="8" t="s">
        <v>1627</v>
      </c>
      <c r="E163" s="9">
        <v>33.99</v>
      </c>
      <c r="F163" s="8" t="s">
        <v>469</v>
      </c>
      <c r="G163" s="10">
        <v>4927</v>
      </c>
      <c r="H163" s="132">
        <f t="shared" si="22"/>
        <v>46244</v>
      </c>
      <c r="I163" s="140">
        <f t="shared" si="23"/>
        <v>106</v>
      </c>
      <c r="J163" s="9">
        <f t="shared" si="24"/>
        <v>2.1514105946823623</v>
      </c>
      <c r="K163" s="140">
        <f t="shared" si="25"/>
        <v>1</v>
      </c>
      <c r="L163" s="206">
        <f t="shared" si="26"/>
        <v>0.94339622641509435</v>
      </c>
      <c r="M163" s="8" t="str">
        <f t="array" ref="M163">IF(L163&gt;5,"Perlu Sensus",IF(AND(L163&gt;=0,I163&gt;0),"Tetap Deteksi","Belum Deteksi"))</f>
        <v>Tetap Deteksi</v>
      </c>
      <c r="N163" s="132">
        <v>46244</v>
      </c>
      <c r="O163" s="203">
        <v>106</v>
      </c>
      <c r="P163" s="9">
        <f t="array" ref="P163">IFERROR(O163/G163*100,0)</f>
        <v>2.1514105946823623</v>
      </c>
      <c r="Q163" s="203">
        <v>1</v>
      </c>
      <c r="R163" s="9">
        <f t="shared" si="28"/>
        <v>0.94339622641509435</v>
      </c>
      <c r="S163" s="8" t="str">
        <f t="array" ref="S163">IF(R163&gt;5,"Perlu Sensus",IF(AND(R163&gt;=0,O163&gt;0),"Tetap Deteksi","Belum Deteksi"))</f>
        <v>Tetap Deteksi</v>
      </c>
      <c r="T163" s="203">
        <v>0</v>
      </c>
      <c r="U163" s="9">
        <f t="shared" si="27"/>
        <v>0</v>
      </c>
      <c r="V163" s="132">
        <v>46235</v>
      </c>
      <c r="W163" s="203">
        <v>249</v>
      </c>
      <c r="X163" s="203">
        <v>7</v>
      </c>
      <c r="Y163" s="9">
        <f t="shared" si="21"/>
        <v>2.8112449799196786</v>
      </c>
      <c r="Z163" s="8" t="str">
        <f t="array" ref="Z163">IF(Y163&gt;5,"Perlu Sensus",IF(AND(Y163&gt;0,,O163&gt;0),"Tetap Deteksi","Belum Deteksi"))</f>
        <v>Belum Deteksi</v>
      </c>
    </row>
    <row r="164" spans="1:26" outlineLevel="1" x14ac:dyDescent="0.15">
      <c r="A164" s="8" t="s">
        <v>1043</v>
      </c>
      <c r="B164" s="8">
        <v>2</v>
      </c>
      <c r="C164" s="8">
        <v>9</v>
      </c>
      <c r="D164" s="8" t="s">
        <v>1628</v>
      </c>
      <c r="E164" s="9">
        <v>27.54</v>
      </c>
      <c r="F164" s="8" t="s">
        <v>469</v>
      </c>
      <c r="G164" s="10">
        <v>3989</v>
      </c>
      <c r="H164" s="132">
        <f t="shared" si="22"/>
        <v>46235</v>
      </c>
      <c r="I164" s="140">
        <f t="shared" si="23"/>
        <v>189</v>
      </c>
      <c r="J164" s="9">
        <f t="shared" si="24"/>
        <v>4.7380295813487088</v>
      </c>
      <c r="K164" s="140">
        <f t="shared" si="25"/>
        <v>4</v>
      </c>
      <c r="L164" s="206">
        <f t="shared" si="26"/>
        <v>2.1164021164021163</v>
      </c>
      <c r="M164" s="8" t="str">
        <f t="array" ref="M164">IF(L164&gt;5,"Perlu Sensus",IF(AND(L164&gt;=0,I164&gt;0),"Tetap Deteksi","Belum Deteksi"))</f>
        <v>Tetap Deteksi</v>
      </c>
      <c r="N164" s="132">
        <v>46235</v>
      </c>
      <c r="O164" s="203">
        <v>189</v>
      </c>
      <c r="P164" s="9">
        <f t="array" ref="P164">IFERROR(O164/G164*100,0)</f>
        <v>4.7380295813487088</v>
      </c>
      <c r="Q164" s="203">
        <v>4</v>
      </c>
      <c r="R164" s="9">
        <f t="shared" si="28"/>
        <v>2.1164021164021163</v>
      </c>
      <c r="S164" s="8" t="str">
        <f t="array" ref="S164">IF(R164&gt;5,"Perlu Sensus",IF(AND(R164&gt;=0,O164&gt;0),"Tetap Deteksi","Belum Deteksi"))</f>
        <v>Tetap Deteksi</v>
      </c>
      <c r="T164" s="203">
        <v>0</v>
      </c>
      <c r="U164" s="9">
        <f t="shared" si="27"/>
        <v>0</v>
      </c>
      <c r="V164" s="132">
        <v>46235</v>
      </c>
      <c r="W164" s="203">
        <v>322</v>
      </c>
      <c r="X164" s="203">
        <v>5</v>
      </c>
      <c r="Y164" s="9">
        <f t="shared" si="21"/>
        <v>1.5527950310559007</v>
      </c>
      <c r="Z164" s="8" t="str">
        <f t="array" ref="Z164">IF(Y164&gt;5,"Perlu Sensus",IF(AND(Y164&gt;0,,O164&gt;0),"Tetap Deteksi","Belum Deteksi"))</f>
        <v>Belum Deteksi</v>
      </c>
    </row>
    <row r="165" spans="1:26" outlineLevel="1" x14ac:dyDescent="0.15">
      <c r="A165" s="8" t="s">
        <v>1043</v>
      </c>
      <c r="B165" s="8">
        <v>2</v>
      </c>
      <c r="C165" s="8">
        <v>9</v>
      </c>
      <c r="D165" s="8" t="s">
        <v>1629</v>
      </c>
      <c r="E165" s="9">
        <v>27.64</v>
      </c>
      <c r="F165" s="8" t="s">
        <v>469</v>
      </c>
      <c r="G165" s="10">
        <v>3833</v>
      </c>
      <c r="H165" s="132">
        <f t="shared" si="22"/>
        <v>46237</v>
      </c>
      <c r="I165" s="140">
        <f t="shared" si="23"/>
        <v>228</v>
      </c>
      <c r="J165" s="9">
        <f t="shared" si="24"/>
        <v>5.9483433342029741</v>
      </c>
      <c r="K165" s="140">
        <f t="shared" si="25"/>
        <v>4</v>
      </c>
      <c r="L165" s="206">
        <f t="shared" si="26"/>
        <v>1.7543859649122806</v>
      </c>
      <c r="M165" s="8" t="str">
        <f t="array" ref="M165">IF(L165&gt;5,"Perlu Sensus",IF(AND(L165&gt;=0,I165&gt;0),"Tetap Deteksi","Belum Deteksi"))</f>
        <v>Tetap Deteksi</v>
      </c>
      <c r="N165" s="132">
        <v>46237</v>
      </c>
      <c r="O165" s="203">
        <v>228</v>
      </c>
      <c r="P165" s="9">
        <f t="array" ref="P165">IFERROR(O165/G165*100,0)</f>
        <v>5.9483433342029741</v>
      </c>
      <c r="Q165" s="203">
        <v>4</v>
      </c>
      <c r="R165" s="9">
        <f t="shared" si="28"/>
        <v>1.7543859649122806</v>
      </c>
      <c r="S165" s="8" t="str">
        <f t="array" ref="S165">IF(R165&gt;5,"Perlu Sensus",IF(AND(R165&gt;=0,O165&gt;0),"Tetap Deteksi","Belum Deteksi"))</f>
        <v>Tetap Deteksi</v>
      </c>
      <c r="T165" s="203">
        <v>6</v>
      </c>
      <c r="U165" s="9">
        <f t="shared" si="27"/>
        <v>2.6315789473684208</v>
      </c>
      <c r="V165" s="132">
        <v>46235</v>
      </c>
      <c r="W165" s="203">
        <v>700</v>
      </c>
      <c r="X165" s="203">
        <v>8</v>
      </c>
      <c r="Y165" s="9">
        <f t="shared" si="21"/>
        <v>1.1428571428571428</v>
      </c>
      <c r="Z165" s="8" t="str">
        <f t="array" ref="Z165">IF(Y165&gt;5,"Perlu Sensus",IF(AND(Y165&gt;0,,O165&gt;0),"Tetap Deteksi","Belum Deteksi"))</f>
        <v>Belum Deteksi</v>
      </c>
    </row>
    <row r="166" spans="1:26" outlineLevel="1" x14ac:dyDescent="0.15">
      <c r="A166" s="8" t="s">
        <v>1043</v>
      </c>
      <c r="B166" s="8">
        <v>2</v>
      </c>
      <c r="C166" s="8">
        <v>9</v>
      </c>
      <c r="D166" s="8" t="s">
        <v>1630</v>
      </c>
      <c r="E166" s="9">
        <v>24.62</v>
      </c>
      <c r="F166" s="8" t="s">
        <v>469</v>
      </c>
      <c r="G166" s="10">
        <v>3392</v>
      </c>
      <c r="H166" s="132">
        <f t="shared" si="22"/>
        <v>46235</v>
      </c>
      <c r="I166" s="140">
        <f t="shared" si="23"/>
        <v>469</v>
      </c>
      <c r="J166" s="9">
        <f t="shared" si="24"/>
        <v>13.826650943396226</v>
      </c>
      <c r="K166" s="140">
        <f t="shared" si="25"/>
        <v>13</v>
      </c>
      <c r="L166" s="206">
        <f t="shared" si="26"/>
        <v>2.7718550106609809</v>
      </c>
      <c r="M166" s="8" t="str">
        <f t="array" ref="M166">IF(L166&gt;5,"Perlu Sensus",IF(AND(L166&gt;=0,I166&gt;0),"Tetap Deteksi","Belum Deteksi"))</f>
        <v>Tetap Deteksi</v>
      </c>
      <c r="N166" s="132">
        <v>46235</v>
      </c>
      <c r="O166" s="203">
        <v>469</v>
      </c>
      <c r="P166" s="9">
        <f t="array" ref="P166">IFERROR(O166/G166*100,0)</f>
        <v>13.826650943396226</v>
      </c>
      <c r="Q166" s="203">
        <v>13</v>
      </c>
      <c r="R166" s="9">
        <f t="shared" si="28"/>
        <v>2.7718550106609809</v>
      </c>
      <c r="S166" s="8" t="str">
        <f t="array" ref="S166">IF(R166&gt;5,"Perlu Sensus",IF(AND(R166&gt;=0,O166&gt;0),"Tetap Deteksi","Belum Deteksi"))</f>
        <v>Tetap Deteksi</v>
      </c>
      <c r="T166" s="203">
        <v>9</v>
      </c>
      <c r="U166" s="9">
        <f t="shared" si="27"/>
        <v>1.9189765458422177</v>
      </c>
      <c r="V166" s="132">
        <v>46235</v>
      </c>
      <c r="W166" s="203">
        <v>350</v>
      </c>
      <c r="X166" s="203">
        <v>1</v>
      </c>
      <c r="Y166" s="9">
        <f t="shared" si="21"/>
        <v>0.2857142857142857</v>
      </c>
      <c r="Z166" s="8" t="str">
        <f t="array" ref="Z166">IF(Y166&gt;5,"Perlu Sensus",IF(AND(Y166&gt;0,,O166&gt;0),"Tetap Deteksi","Belum Deteksi"))</f>
        <v>Belum Deteksi</v>
      </c>
    </row>
    <row r="167" spans="1:26" outlineLevel="1" x14ac:dyDescent="0.15">
      <c r="A167" s="8" t="s">
        <v>1043</v>
      </c>
      <c r="B167" s="8">
        <v>2</v>
      </c>
      <c r="C167" s="8">
        <v>9</v>
      </c>
      <c r="D167" s="8" t="s">
        <v>1631</v>
      </c>
      <c r="E167" s="9">
        <v>23.72</v>
      </c>
      <c r="F167" s="8" t="s">
        <v>469</v>
      </c>
      <c r="G167" s="10">
        <v>3211</v>
      </c>
      <c r="H167" s="132">
        <f t="shared" si="22"/>
        <v>46235</v>
      </c>
      <c r="I167" s="140">
        <f t="shared" si="23"/>
        <v>672</v>
      </c>
      <c r="J167" s="9">
        <f t="shared" si="24"/>
        <v>20.928059794456555</v>
      </c>
      <c r="K167" s="140">
        <f t="shared" si="25"/>
        <v>9</v>
      </c>
      <c r="L167" s="206">
        <f t="shared" si="26"/>
        <v>1.3392857142857142</v>
      </c>
      <c r="M167" s="8" t="str">
        <f t="array" ref="M167">IF(L167&gt;5,"Perlu Sensus",IF(AND(L167&gt;=0,I167&gt;0),"Tetap Deteksi","Belum Deteksi"))</f>
        <v>Tetap Deteksi</v>
      </c>
      <c r="N167" s="132">
        <v>46235</v>
      </c>
      <c r="O167" s="203">
        <v>672</v>
      </c>
      <c r="P167" s="9">
        <f t="array" ref="P167">IFERROR(O167/G167*100,0)</f>
        <v>20.928059794456555</v>
      </c>
      <c r="Q167" s="203">
        <v>9</v>
      </c>
      <c r="R167" s="9">
        <f t="shared" si="28"/>
        <v>1.3392857142857142</v>
      </c>
      <c r="S167" s="8" t="str">
        <f t="array" ref="S167">IF(R167&gt;5,"Perlu Sensus",IF(AND(R167&gt;=0,O167&gt;0),"Tetap Deteksi","Belum Deteksi"))</f>
        <v>Tetap Deteksi</v>
      </c>
      <c r="T167" s="203">
        <v>17</v>
      </c>
      <c r="U167" s="9">
        <f t="shared" si="27"/>
        <v>2.5297619047619047</v>
      </c>
      <c r="V167" s="132">
        <v>46238</v>
      </c>
      <c r="W167" s="203">
        <v>258</v>
      </c>
      <c r="X167" s="203">
        <v>1</v>
      </c>
      <c r="Y167" s="9">
        <f t="shared" si="21"/>
        <v>0.38759689922480622</v>
      </c>
      <c r="Z167" s="8" t="str">
        <f t="array" ref="Z167">IF(Y167&gt;5,"Perlu Sensus",IF(AND(Y167&gt;0,,O167&gt;0),"Tetap Deteksi","Belum Deteksi"))</f>
        <v>Belum Deteksi</v>
      </c>
    </row>
    <row r="168" spans="1:26" outlineLevel="1" x14ac:dyDescent="0.15">
      <c r="A168" s="8" t="s">
        <v>1043</v>
      </c>
      <c r="B168" s="8">
        <v>2</v>
      </c>
      <c r="C168" s="8">
        <v>9</v>
      </c>
      <c r="D168" s="8" t="s">
        <v>1632</v>
      </c>
      <c r="E168" s="9">
        <v>27.24</v>
      </c>
      <c r="F168" s="8" t="s">
        <v>469</v>
      </c>
      <c r="G168" s="10">
        <v>3472</v>
      </c>
      <c r="H168" s="132">
        <f t="shared" si="22"/>
        <v>46235</v>
      </c>
      <c r="I168" s="140">
        <f t="shared" si="23"/>
        <v>531</v>
      </c>
      <c r="J168" s="9">
        <f t="shared" si="24"/>
        <v>15.293778801843319</v>
      </c>
      <c r="K168" s="140">
        <f t="shared" si="25"/>
        <v>9</v>
      </c>
      <c r="L168" s="206">
        <f t="shared" si="26"/>
        <v>1.6949152542372881</v>
      </c>
      <c r="M168" s="8" t="str">
        <f t="array" ref="M168">IF(L168&gt;5,"Perlu Sensus",IF(AND(L168&gt;=0,I168&gt;0),"Tetap Deteksi","Belum Deteksi"))</f>
        <v>Tetap Deteksi</v>
      </c>
      <c r="N168" s="132">
        <v>46235</v>
      </c>
      <c r="O168" s="203">
        <v>531</v>
      </c>
      <c r="P168" s="9">
        <f t="array" ref="P168">IFERROR(O168/G168*100,0)</f>
        <v>15.293778801843319</v>
      </c>
      <c r="Q168" s="203">
        <v>9</v>
      </c>
      <c r="R168" s="9">
        <f t="shared" si="28"/>
        <v>1.6949152542372881</v>
      </c>
      <c r="S168" s="8" t="str">
        <f t="array" ref="S168">IF(R168&gt;5,"Perlu Sensus",IF(AND(R168&gt;=0,O168&gt;0),"Tetap Deteksi","Belum Deteksi"))</f>
        <v>Tetap Deteksi</v>
      </c>
      <c r="T168" s="203">
        <v>12</v>
      </c>
      <c r="U168" s="9">
        <f t="shared" si="27"/>
        <v>2.2598870056497176</v>
      </c>
      <c r="V168" s="132">
        <v>46239</v>
      </c>
      <c r="W168" s="203">
        <v>216</v>
      </c>
      <c r="X168" s="203">
        <v>8</v>
      </c>
      <c r="Y168" s="9">
        <f t="shared" si="21"/>
        <v>3.7037037037037033</v>
      </c>
      <c r="Z168" s="8" t="str">
        <f t="array" ref="Z168">IF(Y168&gt;5,"Perlu Sensus",IF(AND(Y168&gt;0,,O168&gt;0),"Tetap Deteksi","Belum Deteksi"))</f>
        <v>Belum Deteksi</v>
      </c>
    </row>
    <row r="169" spans="1:26" outlineLevel="1" x14ac:dyDescent="0.15">
      <c r="A169" s="8" t="s">
        <v>1043</v>
      </c>
      <c r="B169" s="8">
        <v>2</v>
      </c>
      <c r="C169" s="8">
        <v>9</v>
      </c>
      <c r="D169" s="8" t="s">
        <v>1633</v>
      </c>
      <c r="E169" s="9">
        <v>41.209999999999994</v>
      </c>
      <c r="F169" s="8" t="s">
        <v>469</v>
      </c>
      <c r="G169" s="10">
        <v>5739</v>
      </c>
      <c r="H169" s="132">
        <f t="shared" si="22"/>
        <v>46246</v>
      </c>
      <c r="I169" s="140">
        <f t="shared" si="23"/>
        <v>95</v>
      </c>
      <c r="J169" s="9">
        <f t="shared" si="24"/>
        <v>1.6553406516814775</v>
      </c>
      <c r="K169" s="140">
        <f t="shared" si="25"/>
        <v>9.9999999999999995E-7</v>
      </c>
      <c r="L169" s="206">
        <f t="shared" si="26"/>
        <v>1.0526315789473683E-6</v>
      </c>
      <c r="M169" s="8" t="str">
        <f t="array" ref="M169">IF(L169&gt;5,"Perlu Sensus",IF(AND(L169&gt;=0,I169&gt;0),"Tetap Deteksi","Belum Deteksi"))</f>
        <v>Tetap Deteksi</v>
      </c>
      <c r="N169" s="132">
        <v>46246</v>
      </c>
      <c r="O169" s="203">
        <v>95</v>
      </c>
      <c r="P169" s="9">
        <f t="array" ref="P169">IFERROR(O169/G169*100,0)</f>
        <v>1.6553406516814775</v>
      </c>
      <c r="Q169" s="203">
        <v>9.9999999999999995E-7</v>
      </c>
      <c r="R169" s="9">
        <f t="shared" si="28"/>
        <v>1.0526315789473683E-6</v>
      </c>
      <c r="S169" s="8" t="str">
        <f t="array" ref="S169">IF(R169&gt;5,"Perlu Sensus",IF(AND(R169&gt;=0,O169&gt;0),"Tetap Deteksi","Belum Deteksi"))</f>
        <v>Tetap Deteksi</v>
      </c>
      <c r="T169" s="203">
        <v>3</v>
      </c>
      <c r="U169" s="9">
        <f t="shared" si="27"/>
        <v>3.1578947368421053</v>
      </c>
      <c r="V169" s="132">
        <v>46241</v>
      </c>
      <c r="W169" s="203">
        <v>200</v>
      </c>
      <c r="X169" s="203">
        <v>6</v>
      </c>
      <c r="Y169" s="9">
        <f t="shared" si="21"/>
        <v>3</v>
      </c>
      <c r="Z169" s="8" t="str">
        <f t="array" ref="Z169">IF(Y169&gt;5,"Perlu Sensus",IF(AND(Y169&gt;0,,O169&gt;0),"Tetap Deteksi","Belum Deteksi"))</f>
        <v>Belum Deteksi</v>
      </c>
    </row>
    <row r="170" spans="1:26" outlineLevel="1" x14ac:dyDescent="0.15">
      <c r="A170" s="8" t="s">
        <v>1043</v>
      </c>
      <c r="B170" s="8">
        <v>2</v>
      </c>
      <c r="C170" s="8">
        <v>9</v>
      </c>
      <c r="D170" s="8" t="s">
        <v>1634</v>
      </c>
      <c r="E170" s="9">
        <v>30.340000000000003</v>
      </c>
      <c r="F170" s="8" t="s">
        <v>469</v>
      </c>
      <c r="G170" s="10">
        <v>4169</v>
      </c>
      <c r="H170" s="132">
        <f t="shared" si="22"/>
        <v>46237</v>
      </c>
      <c r="I170" s="140">
        <f t="shared" si="23"/>
        <v>236</v>
      </c>
      <c r="J170" s="9">
        <f t="shared" si="24"/>
        <v>5.6608299352362677</v>
      </c>
      <c r="K170" s="140">
        <f t="shared" si="25"/>
        <v>2</v>
      </c>
      <c r="L170" s="206">
        <f t="shared" si="26"/>
        <v>0.84745762711864403</v>
      </c>
      <c r="M170" s="8" t="str">
        <f t="array" ref="M170">IF(L170&gt;5,"Perlu Sensus",IF(AND(L170&gt;=0,I170&gt;0),"Tetap Deteksi","Belum Deteksi"))</f>
        <v>Tetap Deteksi</v>
      </c>
      <c r="N170" s="132">
        <v>46237</v>
      </c>
      <c r="O170" s="203">
        <v>236</v>
      </c>
      <c r="P170" s="9">
        <f t="array" ref="P170">IFERROR(O170/G170*100,0)</f>
        <v>5.6608299352362677</v>
      </c>
      <c r="Q170" s="203">
        <v>2</v>
      </c>
      <c r="R170" s="9">
        <f t="shared" si="28"/>
        <v>0.84745762711864403</v>
      </c>
      <c r="S170" s="8" t="str">
        <f t="array" ref="S170">IF(R170&gt;5,"Perlu Sensus",IF(AND(R170&gt;=0,O170&gt;0),"Tetap Deteksi","Belum Deteksi"))</f>
        <v>Tetap Deteksi</v>
      </c>
      <c r="T170" s="203">
        <v>1</v>
      </c>
      <c r="U170" s="9">
        <f t="shared" si="27"/>
        <v>0.42372881355932202</v>
      </c>
      <c r="V170" s="132">
        <v>46241</v>
      </c>
      <c r="W170" s="203">
        <v>209</v>
      </c>
      <c r="X170" s="203">
        <v>4</v>
      </c>
      <c r="Y170" s="9">
        <f t="shared" si="21"/>
        <v>1.9138755980861244</v>
      </c>
      <c r="Z170" s="8" t="str">
        <f t="array" ref="Z170">IF(Y170&gt;5,"Perlu Sensus",IF(AND(Y170&gt;0,,O170&gt;0),"Tetap Deteksi","Belum Deteksi"))</f>
        <v>Belum Deteksi</v>
      </c>
    </row>
    <row r="171" spans="1:26" outlineLevel="1" x14ac:dyDescent="0.15">
      <c r="A171" s="8" t="s">
        <v>1043</v>
      </c>
      <c r="B171" s="8">
        <v>2</v>
      </c>
      <c r="C171" s="8">
        <v>9</v>
      </c>
      <c r="D171" s="8" t="s">
        <v>1635</v>
      </c>
      <c r="E171" s="9">
        <v>38.79</v>
      </c>
      <c r="F171" s="8" t="s">
        <v>469</v>
      </c>
      <c r="G171" s="10">
        <v>5375</v>
      </c>
      <c r="H171" s="132">
        <f t="shared" si="22"/>
        <v>46235</v>
      </c>
      <c r="I171" s="140">
        <f t="shared" si="23"/>
        <v>426</v>
      </c>
      <c r="J171" s="9">
        <f t="shared" si="24"/>
        <v>7.9255813953488365</v>
      </c>
      <c r="K171" s="140">
        <f t="shared" si="25"/>
        <v>7</v>
      </c>
      <c r="L171" s="206">
        <f t="shared" si="26"/>
        <v>1.643192488262911</v>
      </c>
      <c r="M171" s="8" t="str">
        <f t="array" ref="M171">IF(L171&gt;5,"Perlu Sensus",IF(AND(L171&gt;=0,I171&gt;0),"Tetap Deteksi","Belum Deteksi"))</f>
        <v>Tetap Deteksi</v>
      </c>
      <c r="N171" s="132">
        <v>46235</v>
      </c>
      <c r="O171" s="203">
        <v>426</v>
      </c>
      <c r="P171" s="9">
        <f t="array" ref="P171">IFERROR(O171/G171*100,0)</f>
        <v>7.9255813953488365</v>
      </c>
      <c r="Q171" s="203">
        <v>7</v>
      </c>
      <c r="R171" s="9">
        <f t="shared" si="28"/>
        <v>1.643192488262911</v>
      </c>
      <c r="S171" s="8" t="str">
        <f t="array" ref="S171">IF(R171&gt;5,"Perlu Sensus",IF(AND(R171&gt;=0,O171&gt;0),"Tetap Deteksi","Belum Deteksi"))</f>
        <v>Tetap Deteksi</v>
      </c>
      <c r="T171" s="203">
        <v>1</v>
      </c>
      <c r="U171" s="9">
        <f t="shared" si="27"/>
        <v>0.23474178403755869</v>
      </c>
      <c r="V171" s="132">
        <v>46241</v>
      </c>
      <c r="W171" s="203">
        <v>258</v>
      </c>
      <c r="X171" s="203">
        <v>1</v>
      </c>
      <c r="Y171" s="9">
        <f t="shared" si="21"/>
        <v>0.38759689922480622</v>
      </c>
      <c r="Z171" s="8" t="str">
        <f t="array" ref="Z171">IF(Y171&gt;5,"Perlu Sensus",IF(AND(Y171&gt;0,,O171&gt;0),"Tetap Deteksi","Belum Deteksi"))</f>
        <v>Belum Deteksi</v>
      </c>
    </row>
    <row r="172" spans="1:26" outlineLevel="1" x14ac:dyDescent="0.15">
      <c r="A172" s="8" t="s">
        <v>1043</v>
      </c>
      <c r="B172" s="8">
        <v>2</v>
      </c>
      <c r="C172" s="8">
        <v>9</v>
      </c>
      <c r="D172" s="8" t="s">
        <v>1636</v>
      </c>
      <c r="E172" s="9">
        <v>21.619999999999997</v>
      </c>
      <c r="F172" s="8" t="s">
        <v>469</v>
      </c>
      <c r="G172" s="10">
        <v>1243</v>
      </c>
      <c r="H172" s="132">
        <f t="shared" si="22"/>
        <v>46244</v>
      </c>
      <c r="I172" s="140">
        <f t="shared" si="23"/>
        <v>92</v>
      </c>
      <c r="J172" s="9">
        <f t="shared" si="24"/>
        <v>7.401448109412712</v>
      </c>
      <c r="K172" s="140">
        <f t="shared" si="25"/>
        <v>1</v>
      </c>
      <c r="L172" s="206">
        <f t="shared" si="26"/>
        <v>1.0869565217391304</v>
      </c>
      <c r="M172" s="8" t="str">
        <f t="array" ref="M172">IF(L172&gt;5,"Perlu Sensus",IF(AND(L172&gt;=0,I172&gt;0),"Tetap Deteksi","Belum Deteksi"))</f>
        <v>Tetap Deteksi</v>
      </c>
      <c r="N172" s="132">
        <v>46244</v>
      </c>
      <c r="O172" s="203">
        <v>92</v>
      </c>
      <c r="P172" s="9">
        <f t="array" ref="P172">IFERROR(O172/G172*100,0)</f>
        <v>7.401448109412712</v>
      </c>
      <c r="Q172" s="203">
        <v>1</v>
      </c>
      <c r="R172" s="9">
        <f t="shared" si="28"/>
        <v>1.0869565217391304</v>
      </c>
      <c r="S172" s="8" t="str">
        <f t="array" ref="S172">IF(R172&gt;5,"Perlu Sensus",IF(AND(R172&gt;=0,O172&gt;0),"Tetap Deteksi","Belum Deteksi"))</f>
        <v>Tetap Deteksi</v>
      </c>
      <c r="T172" s="203">
        <v>2</v>
      </c>
      <c r="U172" s="9">
        <f t="shared" si="27"/>
        <v>2.1739130434782608</v>
      </c>
      <c r="V172" s="132">
        <v>46235</v>
      </c>
      <c r="W172" s="203">
        <v>200</v>
      </c>
      <c r="X172" s="203">
        <v>4</v>
      </c>
      <c r="Y172" s="9">
        <f t="shared" si="21"/>
        <v>2</v>
      </c>
      <c r="Z172" s="8" t="str">
        <f t="array" ref="Z172">IF(Y172&gt;5,"Perlu Sensus",IF(AND(Y172&gt;0,,O172&gt;0),"Tetap Deteksi","Belum Deteksi"))</f>
        <v>Belum Deteksi</v>
      </c>
    </row>
    <row r="173" spans="1:26" outlineLevel="1" x14ac:dyDescent="0.15">
      <c r="A173" s="8" t="s">
        <v>1043</v>
      </c>
      <c r="B173" s="8">
        <v>2</v>
      </c>
      <c r="C173" s="8">
        <v>9</v>
      </c>
      <c r="D173" s="8" t="s">
        <v>1637</v>
      </c>
      <c r="E173" s="9">
        <v>34.97</v>
      </c>
      <c r="F173" s="8" t="s">
        <v>469</v>
      </c>
      <c r="G173" s="10">
        <v>1418</v>
      </c>
      <c r="H173" s="132">
        <f t="shared" si="22"/>
        <v>46242</v>
      </c>
      <c r="I173" s="140">
        <f t="shared" si="23"/>
        <v>76</v>
      </c>
      <c r="J173" s="9">
        <f t="shared" si="24"/>
        <v>5.3596614950634693</v>
      </c>
      <c r="K173" s="140">
        <f t="shared" si="25"/>
        <v>9.9999999999999995E-7</v>
      </c>
      <c r="L173" s="206">
        <f t="shared" si="26"/>
        <v>1.3157894736842103E-6</v>
      </c>
      <c r="M173" s="8" t="str">
        <f t="array" ref="M173">IF(L173&gt;5,"Perlu Sensus",IF(AND(L173&gt;=0,I173&gt;0),"Tetap Deteksi","Belum Deteksi"))</f>
        <v>Tetap Deteksi</v>
      </c>
      <c r="N173" s="132">
        <v>46242</v>
      </c>
      <c r="O173" s="203">
        <v>76</v>
      </c>
      <c r="P173" s="9">
        <f t="array" ref="P173">IFERROR(O173/G173*100,0)</f>
        <v>5.3596614950634693</v>
      </c>
      <c r="Q173" s="203">
        <v>9.9999999999999995E-7</v>
      </c>
      <c r="R173" s="9">
        <f t="shared" si="28"/>
        <v>1.3157894736842103E-6</v>
      </c>
      <c r="S173" s="8" t="str">
        <f t="array" ref="S173">IF(R173&gt;5,"Perlu Sensus",IF(AND(R173&gt;=0,O173&gt;0),"Tetap Deteksi","Belum Deteksi"))</f>
        <v>Tetap Deteksi</v>
      </c>
      <c r="T173" s="203">
        <v>1</v>
      </c>
      <c r="U173" s="9">
        <f t="shared" si="27"/>
        <v>1.3157894736842104</v>
      </c>
      <c r="V173" s="132">
        <v>46235</v>
      </c>
      <c r="W173" s="203">
        <v>71</v>
      </c>
      <c r="X173" s="203">
        <v>2</v>
      </c>
      <c r="Y173" s="9">
        <f t="shared" si="21"/>
        <v>2.8169014084507045</v>
      </c>
      <c r="Z173" s="8" t="str">
        <f t="array" ref="Z173">IF(Y173&gt;5,"Perlu Sensus",IF(AND(Y173&gt;0,,O173&gt;0),"Tetap Deteksi","Belum Deteksi"))</f>
        <v>Belum Deteksi</v>
      </c>
    </row>
    <row r="174" spans="1:26" outlineLevel="1" x14ac:dyDescent="0.15">
      <c r="A174" s="8" t="s">
        <v>1043</v>
      </c>
      <c r="B174" s="8">
        <v>2</v>
      </c>
      <c r="C174" s="8">
        <v>9</v>
      </c>
      <c r="D174" s="8" t="s">
        <v>1638</v>
      </c>
      <c r="E174" s="9">
        <v>45.81</v>
      </c>
      <c r="F174" s="8" t="s">
        <v>469</v>
      </c>
      <c r="G174" s="10">
        <v>6039</v>
      </c>
      <c r="H174" s="132">
        <f t="shared" si="22"/>
        <v>46241</v>
      </c>
      <c r="I174" s="140">
        <f t="shared" si="23"/>
        <v>287</v>
      </c>
      <c r="J174" s="9">
        <f t="shared" si="24"/>
        <v>4.7524424573604902</v>
      </c>
      <c r="K174" s="140">
        <f t="shared" si="25"/>
        <v>7</v>
      </c>
      <c r="L174" s="206">
        <f t="shared" si="26"/>
        <v>2.4390243902439024</v>
      </c>
      <c r="M174" s="8" t="str">
        <f t="array" ref="M174">IF(L174&gt;5,"Perlu Sensus",IF(AND(L174&gt;=0,I174&gt;0),"Tetap Deteksi","Belum Deteksi"))</f>
        <v>Tetap Deteksi</v>
      </c>
      <c r="N174" s="132">
        <v>46241</v>
      </c>
      <c r="O174" s="203">
        <v>287</v>
      </c>
      <c r="P174" s="9">
        <f t="array" ref="P174">IFERROR(O174/G174*100,0)</f>
        <v>4.7524424573604902</v>
      </c>
      <c r="Q174" s="203">
        <v>7</v>
      </c>
      <c r="R174" s="9">
        <f t="shared" si="28"/>
        <v>2.4390243902439024</v>
      </c>
      <c r="S174" s="8" t="str">
        <f t="array" ref="S174">IF(R174&gt;5,"Perlu Sensus",IF(AND(R174&gt;=0,O174&gt;0),"Tetap Deteksi","Belum Deteksi"))</f>
        <v>Tetap Deteksi</v>
      </c>
      <c r="T174" s="203">
        <v>0</v>
      </c>
      <c r="U174" s="9">
        <f t="shared" si="27"/>
        <v>0</v>
      </c>
      <c r="V174" s="132">
        <v>46235</v>
      </c>
      <c r="W174" s="203">
        <v>378</v>
      </c>
      <c r="X174" s="203">
        <v>5</v>
      </c>
      <c r="Y174" s="9">
        <f t="shared" si="21"/>
        <v>1.3227513227513228</v>
      </c>
      <c r="Z174" s="8" t="str">
        <f t="array" ref="Z174">IF(Y174&gt;5,"Perlu Sensus",IF(AND(Y174&gt;0,,O174&gt;0),"Tetap Deteksi","Belum Deteksi"))</f>
        <v>Belum Deteksi</v>
      </c>
    </row>
    <row r="175" spans="1:26" outlineLevel="1" x14ac:dyDescent="0.15">
      <c r="A175" s="8" t="s">
        <v>1043</v>
      </c>
      <c r="B175" s="8">
        <v>2</v>
      </c>
      <c r="C175" s="8">
        <v>9</v>
      </c>
      <c r="D175" s="8" t="s">
        <v>1639</v>
      </c>
      <c r="E175" s="9">
        <v>35.239999999999995</v>
      </c>
      <c r="F175" s="8" t="s">
        <v>469</v>
      </c>
      <c r="G175" s="10">
        <v>5027</v>
      </c>
      <c r="H175" s="132">
        <f t="shared" si="22"/>
        <v>46238</v>
      </c>
      <c r="I175" s="140">
        <f t="shared" si="23"/>
        <v>89</v>
      </c>
      <c r="J175" s="9">
        <f t="shared" si="24"/>
        <v>1.7704396260194946</v>
      </c>
      <c r="K175" s="140">
        <f t="shared" si="25"/>
        <v>2</v>
      </c>
      <c r="L175" s="206">
        <f t="shared" si="26"/>
        <v>2.2471910112359552</v>
      </c>
      <c r="M175" s="8" t="str">
        <f t="array" ref="M175">IF(L175&gt;5,"Perlu Sensus",IF(AND(L175&gt;=0,I175&gt;0),"Tetap Deteksi","Belum Deteksi"))</f>
        <v>Tetap Deteksi</v>
      </c>
      <c r="N175" s="132">
        <v>46238</v>
      </c>
      <c r="O175" s="203">
        <v>89</v>
      </c>
      <c r="P175" s="9">
        <f t="array" ref="P175">IFERROR(O175/G175*100,0)</f>
        <v>1.7704396260194946</v>
      </c>
      <c r="Q175" s="203">
        <v>2</v>
      </c>
      <c r="R175" s="9">
        <f t="shared" si="28"/>
        <v>2.2471910112359552</v>
      </c>
      <c r="S175" s="8" t="str">
        <f t="array" ref="S175">IF(R175&gt;5,"Perlu Sensus",IF(AND(R175&gt;=0,O175&gt;0),"Tetap Deteksi","Belum Deteksi"))</f>
        <v>Tetap Deteksi</v>
      </c>
      <c r="T175" s="203">
        <v>1</v>
      </c>
      <c r="U175" s="9">
        <f t="shared" si="27"/>
        <v>1.1235955056179776</v>
      </c>
      <c r="V175" s="132">
        <v>46235</v>
      </c>
      <c r="W175" s="203">
        <v>301</v>
      </c>
      <c r="X175" s="203">
        <v>10</v>
      </c>
      <c r="Y175" s="9">
        <f t="shared" si="21"/>
        <v>3.322259136212625</v>
      </c>
      <c r="Z175" s="8" t="str">
        <f t="array" ref="Z175">IF(Y175&gt;5,"Perlu Sensus",IF(AND(Y175&gt;0,,O175&gt;0),"Tetap Deteksi","Belum Deteksi"))</f>
        <v>Belum Deteksi</v>
      </c>
    </row>
    <row r="176" spans="1:26" outlineLevel="1" x14ac:dyDescent="0.15">
      <c r="A176" s="8" t="s">
        <v>1043</v>
      </c>
      <c r="B176" s="8">
        <v>2</v>
      </c>
      <c r="C176" s="8">
        <v>9</v>
      </c>
      <c r="D176" s="8" t="s">
        <v>1640</v>
      </c>
      <c r="E176" s="9">
        <v>26.170000000000005</v>
      </c>
      <c r="F176" s="8" t="s">
        <v>469</v>
      </c>
      <c r="G176" s="10">
        <v>3928</v>
      </c>
      <c r="H176" s="132">
        <f t="shared" si="22"/>
        <v>46239</v>
      </c>
      <c r="I176" s="140">
        <f t="shared" si="23"/>
        <v>483</v>
      </c>
      <c r="J176" s="9">
        <f t="shared" si="24"/>
        <v>12.296334012219958</v>
      </c>
      <c r="K176" s="140">
        <f t="shared" si="25"/>
        <v>7</v>
      </c>
      <c r="L176" s="206">
        <f t="shared" si="26"/>
        <v>1.4492753623188406</v>
      </c>
      <c r="M176" s="8" t="str">
        <f t="array" ref="M176">IF(L176&gt;5,"Perlu Sensus",IF(AND(L176&gt;=0,I176&gt;0),"Tetap Deteksi","Belum Deteksi"))</f>
        <v>Tetap Deteksi</v>
      </c>
      <c r="N176" s="132">
        <v>46239</v>
      </c>
      <c r="O176" s="203">
        <v>483</v>
      </c>
      <c r="P176" s="9">
        <f t="array" ref="P176">IFERROR(O176/G176*100,0)</f>
        <v>12.296334012219958</v>
      </c>
      <c r="Q176" s="203">
        <v>7</v>
      </c>
      <c r="R176" s="9">
        <f t="shared" si="28"/>
        <v>1.4492753623188406</v>
      </c>
      <c r="S176" s="8" t="str">
        <f t="array" ref="S176">IF(R176&gt;5,"Perlu Sensus",IF(AND(R176&gt;=0,O176&gt;0),"Tetap Deteksi","Belum Deteksi"))</f>
        <v>Tetap Deteksi</v>
      </c>
      <c r="T176" s="203">
        <v>9</v>
      </c>
      <c r="U176" s="9">
        <f t="shared" si="27"/>
        <v>1.8633540372670807</v>
      </c>
      <c r="V176" s="132">
        <v>46235</v>
      </c>
      <c r="W176" s="203">
        <v>242</v>
      </c>
      <c r="X176" s="203">
        <v>2</v>
      </c>
      <c r="Y176" s="9">
        <f t="shared" si="21"/>
        <v>0.82644628099173556</v>
      </c>
      <c r="Z176" s="8" t="str">
        <f t="array" ref="Z176">IF(Y176&gt;5,"Perlu Sensus",IF(AND(Y176&gt;0,,O176&gt;0),"Tetap Deteksi","Belum Deteksi"))</f>
        <v>Belum Deteksi</v>
      </c>
    </row>
    <row r="177" spans="1:26" outlineLevel="1" x14ac:dyDescent="0.15">
      <c r="A177" s="8" t="s">
        <v>1043</v>
      </c>
      <c r="B177" s="8">
        <v>2</v>
      </c>
      <c r="C177" s="8">
        <v>9</v>
      </c>
      <c r="D177" s="8" t="s">
        <v>1641</v>
      </c>
      <c r="E177" s="9">
        <v>39.869999999999997</v>
      </c>
      <c r="F177" s="8" t="s">
        <v>469</v>
      </c>
      <c r="G177" s="10">
        <v>5076</v>
      </c>
      <c r="H177" s="132">
        <f t="shared" si="22"/>
        <v>46240</v>
      </c>
      <c r="I177" s="140">
        <f t="shared" si="23"/>
        <v>329</v>
      </c>
      <c r="J177" s="9">
        <f t="shared" si="24"/>
        <v>6.481481481481481</v>
      </c>
      <c r="K177" s="140">
        <f t="shared" si="25"/>
        <v>5</v>
      </c>
      <c r="L177" s="206">
        <f t="shared" si="26"/>
        <v>1.5197568389057752</v>
      </c>
      <c r="M177" s="8" t="str">
        <f t="array" ref="M177">IF(L177&gt;5,"Perlu Sensus",IF(AND(L177&gt;=0,I177&gt;0),"Tetap Deteksi","Belum Deteksi"))</f>
        <v>Tetap Deteksi</v>
      </c>
      <c r="N177" s="132">
        <v>46240</v>
      </c>
      <c r="O177" s="203">
        <v>329</v>
      </c>
      <c r="P177" s="9">
        <f t="array" ref="P177">IFERROR(O177/G177*100,0)</f>
        <v>6.481481481481481</v>
      </c>
      <c r="Q177" s="203">
        <v>5</v>
      </c>
      <c r="R177" s="9">
        <f t="shared" si="28"/>
        <v>1.5197568389057752</v>
      </c>
      <c r="S177" s="8" t="str">
        <f t="array" ref="S177">IF(R177&gt;5,"Perlu Sensus",IF(AND(R177&gt;=0,O177&gt;0),"Tetap Deteksi","Belum Deteksi"))</f>
        <v>Tetap Deteksi</v>
      </c>
      <c r="T177" s="203">
        <v>3</v>
      </c>
      <c r="U177" s="9">
        <f t="shared" si="27"/>
        <v>0.91185410334346495</v>
      </c>
      <c r="V177" s="132">
        <v>46235</v>
      </c>
      <c r="W177" s="203">
        <v>350</v>
      </c>
      <c r="X177" s="203">
        <v>1</v>
      </c>
      <c r="Y177" s="9">
        <f t="shared" si="21"/>
        <v>0.2857142857142857</v>
      </c>
      <c r="Z177" s="8" t="str">
        <f t="array" ref="Z177">IF(Y177&gt;5,"Perlu Sensus",IF(AND(Y177&gt;0,,O177&gt;0),"Tetap Deteksi","Belum Deteksi"))</f>
        <v>Belum Deteksi</v>
      </c>
    </row>
    <row r="178" spans="1:26" outlineLevel="1" x14ac:dyDescent="0.15">
      <c r="A178" s="8" t="s">
        <v>1043</v>
      </c>
      <c r="B178" s="8">
        <v>2</v>
      </c>
      <c r="C178" s="8">
        <v>9</v>
      </c>
      <c r="D178" s="8" t="s">
        <v>1642</v>
      </c>
      <c r="E178" s="9">
        <v>47.36</v>
      </c>
      <c r="F178" s="8" t="s">
        <v>469</v>
      </c>
      <c r="G178" s="10">
        <v>6413</v>
      </c>
      <c r="H178" s="132">
        <f t="shared" si="22"/>
        <v>46244</v>
      </c>
      <c r="I178" s="140">
        <f t="shared" si="23"/>
        <v>342</v>
      </c>
      <c r="J178" s="9">
        <f t="shared" si="24"/>
        <v>5.3329175113051619</v>
      </c>
      <c r="K178" s="140">
        <f t="shared" si="25"/>
        <v>8</v>
      </c>
      <c r="L178" s="206">
        <f t="shared" si="26"/>
        <v>2.3391812865497075</v>
      </c>
      <c r="M178" s="8" t="str">
        <f t="array" ref="M178">IF(L178&gt;5,"Perlu Sensus",IF(AND(L178&gt;=0,I178&gt;0),"Tetap Deteksi","Belum Deteksi"))</f>
        <v>Tetap Deteksi</v>
      </c>
      <c r="N178" s="132">
        <v>46244</v>
      </c>
      <c r="O178" s="203">
        <v>342</v>
      </c>
      <c r="P178" s="9">
        <f t="array" ref="P178">IFERROR(O178/G178*100,0)</f>
        <v>5.3329175113051619</v>
      </c>
      <c r="Q178" s="203">
        <v>8</v>
      </c>
      <c r="R178" s="9">
        <f t="shared" si="28"/>
        <v>2.3391812865497075</v>
      </c>
      <c r="S178" s="8" t="str">
        <f t="array" ref="S178">IF(R178&gt;5,"Perlu Sensus",IF(AND(R178&gt;=0,O178&gt;0),"Tetap Deteksi","Belum Deteksi"))</f>
        <v>Tetap Deteksi</v>
      </c>
      <c r="T178" s="203">
        <v>9</v>
      </c>
      <c r="U178" s="9">
        <f t="shared" si="27"/>
        <v>2.6315789473684208</v>
      </c>
      <c r="V178" s="132">
        <v>46235</v>
      </c>
      <c r="W178" s="203">
        <v>1055</v>
      </c>
      <c r="X178" s="203">
        <v>10</v>
      </c>
      <c r="Y178" s="9">
        <f t="shared" si="21"/>
        <v>0.94786729857819907</v>
      </c>
      <c r="Z178" s="8" t="str">
        <f t="array" ref="Z178">IF(Y178&gt;5,"Perlu Sensus",IF(AND(Y178&gt;0,,O178&gt;0),"Tetap Deteksi","Belum Deteksi"))</f>
        <v>Belum Deteksi</v>
      </c>
    </row>
    <row r="179" spans="1:26" outlineLevel="1" x14ac:dyDescent="0.15">
      <c r="A179" s="8" t="s">
        <v>1043</v>
      </c>
      <c r="B179" s="8">
        <v>2</v>
      </c>
      <c r="C179" s="8">
        <v>9</v>
      </c>
      <c r="D179" s="8" t="s">
        <v>1643</v>
      </c>
      <c r="E179" s="9">
        <v>45.849999999999994</v>
      </c>
      <c r="F179" s="8" t="s">
        <v>469</v>
      </c>
      <c r="G179" s="10">
        <v>6233</v>
      </c>
      <c r="H179" s="132">
        <f t="shared" si="22"/>
        <v>46240</v>
      </c>
      <c r="I179" s="140">
        <f t="shared" si="23"/>
        <v>364</v>
      </c>
      <c r="J179" s="9">
        <f t="shared" si="24"/>
        <v>5.8398844858013801</v>
      </c>
      <c r="K179" s="140">
        <f t="shared" si="25"/>
        <v>8</v>
      </c>
      <c r="L179" s="206">
        <f t="shared" si="26"/>
        <v>2.197802197802198</v>
      </c>
      <c r="M179" s="8" t="str">
        <f t="array" ref="M179">IF(L179&gt;5,"Perlu Sensus",IF(AND(L179&gt;=0,I179&gt;0),"Tetap Deteksi","Belum Deteksi"))</f>
        <v>Tetap Deteksi</v>
      </c>
      <c r="N179" s="132">
        <v>46240</v>
      </c>
      <c r="O179" s="203">
        <v>364</v>
      </c>
      <c r="P179" s="9">
        <f t="array" ref="P179">IFERROR(O179/G179*100,0)</f>
        <v>5.8398844858013801</v>
      </c>
      <c r="Q179" s="203">
        <v>8</v>
      </c>
      <c r="R179" s="9">
        <f t="shared" si="28"/>
        <v>2.197802197802198</v>
      </c>
      <c r="S179" s="8" t="str">
        <f t="array" ref="S179">IF(R179&gt;5,"Perlu Sensus",IF(AND(R179&gt;=0,O179&gt;0),"Tetap Deteksi","Belum Deteksi"))</f>
        <v>Tetap Deteksi</v>
      </c>
      <c r="T179" s="203">
        <v>8</v>
      </c>
      <c r="U179" s="9">
        <f t="shared" si="27"/>
        <v>2.197802197802198</v>
      </c>
      <c r="V179" s="132">
        <v>46235</v>
      </c>
      <c r="W179" s="203">
        <v>363</v>
      </c>
      <c r="X179" s="203">
        <v>9</v>
      </c>
      <c r="Y179" s="9">
        <f t="shared" si="21"/>
        <v>2.4793388429752068</v>
      </c>
      <c r="Z179" s="8" t="str">
        <f t="array" ref="Z179">IF(Y179&gt;5,"Perlu Sensus",IF(AND(Y179&gt;0,,O179&gt;0),"Tetap Deteksi","Belum Deteksi"))</f>
        <v>Belum Deteksi</v>
      </c>
    </row>
    <row r="180" spans="1:26" outlineLevel="1" x14ac:dyDescent="0.15">
      <c r="A180" s="8" t="s">
        <v>1043</v>
      </c>
      <c r="B180" s="8">
        <v>2</v>
      </c>
      <c r="C180" s="8">
        <v>9</v>
      </c>
      <c r="D180" s="8" t="s">
        <v>1644</v>
      </c>
      <c r="E180" s="9">
        <v>32.980000000000004</v>
      </c>
      <c r="F180" s="8" t="s">
        <v>469</v>
      </c>
      <c r="G180" s="10">
        <v>4016</v>
      </c>
      <c r="H180" s="132">
        <f t="shared" si="22"/>
        <v>46247</v>
      </c>
      <c r="I180" s="140">
        <f t="shared" si="23"/>
        <v>335</v>
      </c>
      <c r="J180" s="9">
        <f t="shared" si="24"/>
        <v>8.3416334661354572</v>
      </c>
      <c r="K180" s="140">
        <f t="shared" si="25"/>
        <v>6</v>
      </c>
      <c r="L180" s="206">
        <f t="shared" si="26"/>
        <v>1.791044776119403</v>
      </c>
      <c r="M180" s="8" t="str">
        <f t="array" ref="M180">IF(L180&gt;5,"Perlu Sensus",IF(AND(L180&gt;=0,I180&gt;0),"Tetap Deteksi","Belum Deteksi"))</f>
        <v>Tetap Deteksi</v>
      </c>
      <c r="N180" s="132">
        <v>46247</v>
      </c>
      <c r="O180" s="203">
        <v>335</v>
      </c>
      <c r="P180" s="9">
        <f t="array" ref="P180">IFERROR(O180/G180*100,0)</f>
        <v>8.3416334661354572</v>
      </c>
      <c r="Q180" s="203">
        <v>6</v>
      </c>
      <c r="R180" s="9">
        <f t="shared" si="28"/>
        <v>1.791044776119403</v>
      </c>
      <c r="S180" s="8" t="str">
        <f t="array" ref="S180">IF(R180&gt;5,"Perlu Sensus",IF(AND(R180&gt;=0,O180&gt;0),"Tetap Deteksi","Belum Deteksi"))</f>
        <v>Tetap Deteksi</v>
      </c>
      <c r="T180" s="203">
        <v>1</v>
      </c>
      <c r="U180" s="9">
        <f t="shared" si="27"/>
        <v>0.29850746268656719</v>
      </c>
      <c r="V180" s="132">
        <v>46241</v>
      </c>
      <c r="W180" s="203">
        <v>202</v>
      </c>
      <c r="X180" s="203">
        <v>6</v>
      </c>
      <c r="Y180" s="9">
        <f t="shared" si="21"/>
        <v>2.9702970297029703</v>
      </c>
      <c r="Z180" s="8" t="str">
        <f t="array" ref="Z180">IF(Y180&gt;5,"Perlu Sensus",IF(AND(Y180&gt;0,,O180&gt;0),"Tetap Deteksi","Belum Deteksi"))</f>
        <v>Belum Deteksi</v>
      </c>
    </row>
    <row r="181" spans="1:26" outlineLevel="1" x14ac:dyDescent="0.15">
      <c r="A181" s="8" t="s">
        <v>1043</v>
      </c>
      <c r="B181" s="8">
        <v>2</v>
      </c>
      <c r="C181" s="8">
        <v>10</v>
      </c>
      <c r="D181" s="8" t="s">
        <v>1645</v>
      </c>
      <c r="E181" s="9">
        <v>24.560000000000002</v>
      </c>
      <c r="F181" s="8" t="s">
        <v>469</v>
      </c>
      <c r="G181" s="10">
        <v>3331</v>
      </c>
      <c r="H181" s="132">
        <f t="shared" si="22"/>
        <v>46236</v>
      </c>
      <c r="I181" s="140">
        <f t="shared" si="23"/>
        <v>152</v>
      </c>
      <c r="J181" s="9">
        <f t="shared" si="24"/>
        <v>4.5631942359651756</v>
      </c>
      <c r="K181" s="140">
        <f t="shared" si="25"/>
        <v>4</v>
      </c>
      <c r="L181" s="206">
        <f t="shared" si="26"/>
        <v>2.6315789473684208</v>
      </c>
      <c r="M181" s="8" t="str">
        <f t="array" ref="M181">IF(L181&gt;5,"Perlu Sensus",IF(AND(L181&gt;=0,I181&gt;0),"Tetap Deteksi","Belum Deteksi"))</f>
        <v>Tetap Deteksi</v>
      </c>
      <c r="N181" s="132">
        <v>46236</v>
      </c>
      <c r="O181" s="203">
        <v>152</v>
      </c>
      <c r="P181" s="9">
        <f t="array" ref="P181">IFERROR(O181/G181*100,0)</f>
        <v>4.5631942359651756</v>
      </c>
      <c r="Q181" s="203">
        <v>4</v>
      </c>
      <c r="R181" s="9">
        <f t="shared" si="28"/>
        <v>2.6315789473684208</v>
      </c>
      <c r="S181" s="8" t="str">
        <f t="array" ref="S181">IF(R181&gt;5,"Perlu Sensus",IF(AND(R181&gt;=0,O181&gt;0),"Tetap Deteksi","Belum Deteksi"))</f>
        <v>Tetap Deteksi</v>
      </c>
      <c r="T181" s="203">
        <v>5</v>
      </c>
      <c r="U181" s="9">
        <f t="shared" si="27"/>
        <v>3.2894736842105261</v>
      </c>
      <c r="V181" s="132">
        <v>46241</v>
      </c>
      <c r="W181" s="203">
        <v>597</v>
      </c>
      <c r="X181" s="203">
        <v>14</v>
      </c>
      <c r="Y181" s="9">
        <f t="shared" si="21"/>
        <v>2.3450586264656614</v>
      </c>
      <c r="Z181" s="8" t="str">
        <f t="array" ref="Z181">IF(Y181&gt;5,"Perlu Sensus",IF(AND(Y181&gt;0,,O181&gt;0),"Tetap Deteksi","Belum Deteksi"))</f>
        <v>Belum Deteksi</v>
      </c>
    </row>
    <row r="182" spans="1:26" outlineLevel="1" x14ac:dyDescent="0.15">
      <c r="A182" s="8" t="s">
        <v>1043</v>
      </c>
      <c r="B182" s="8">
        <v>2</v>
      </c>
      <c r="C182" s="8">
        <v>10</v>
      </c>
      <c r="D182" s="8" t="s">
        <v>1646</v>
      </c>
      <c r="E182" s="9">
        <v>51.669999999999995</v>
      </c>
      <c r="F182" s="8" t="s">
        <v>469</v>
      </c>
      <c r="G182" s="10">
        <v>7202</v>
      </c>
      <c r="H182" s="132">
        <f t="shared" si="22"/>
        <v>46238</v>
      </c>
      <c r="I182" s="140">
        <f t="shared" si="23"/>
        <v>611</v>
      </c>
      <c r="J182" s="9">
        <f t="shared" si="24"/>
        <v>8.4837545126353788</v>
      </c>
      <c r="K182" s="140">
        <f t="shared" si="25"/>
        <v>17</v>
      </c>
      <c r="L182" s="206">
        <f t="shared" si="26"/>
        <v>2.7823240589198037</v>
      </c>
      <c r="M182" s="8" t="str">
        <f t="array" ref="M182">IF(L182&gt;5,"Perlu Sensus",IF(AND(L182&gt;=0,I182&gt;0),"Tetap Deteksi","Belum Deteksi"))</f>
        <v>Tetap Deteksi</v>
      </c>
      <c r="N182" s="132">
        <v>46238</v>
      </c>
      <c r="O182" s="203">
        <v>611</v>
      </c>
      <c r="P182" s="9">
        <f t="array" ref="P182">IFERROR(O182/G182*100,0)</f>
        <v>8.4837545126353788</v>
      </c>
      <c r="Q182" s="203">
        <v>17</v>
      </c>
      <c r="R182" s="9">
        <f t="shared" si="28"/>
        <v>2.7823240589198037</v>
      </c>
      <c r="S182" s="8" t="str">
        <f t="array" ref="S182">IF(R182&gt;5,"Perlu Sensus",IF(AND(R182&gt;=0,O182&gt;0),"Tetap Deteksi","Belum Deteksi"))</f>
        <v>Tetap Deteksi</v>
      </c>
      <c r="T182" s="203">
        <v>6</v>
      </c>
      <c r="U182" s="9">
        <f t="shared" si="27"/>
        <v>0.98199672667757776</v>
      </c>
      <c r="V182" s="132">
        <v>46241</v>
      </c>
      <c r="W182" s="203">
        <v>593</v>
      </c>
      <c r="X182" s="203">
        <v>14</v>
      </c>
      <c r="Y182" s="9">
        <f t="shared" si="21"/>
        <v>2.3608768971332208</v>
      </c>
      <c r="Z182" s="8" t="str">
        <f t="array" ref="Z182">IF(Y182&gt;5,"Perlu Sensus",IF(AND(Y182&gt;0,,O182&gt;0),"Tetap Deteksi","Belum Deteksi"))</f>
        <v>Belum Deteksi</v>
      </c>
    </row>
    <row r="183" spans="1:26" outlineLevel="1" x14ac:dyDescent="0.15">
      <c r="A183" s="8" t="s">
        <v>1043</v>
      </c>
      <c r="B183" s="8">
        <v>2</v>
      </c>
      <c r="C183" s="8">
        <v>10</v>
      </c>
      <c r="D183" s="8" t="s">
        <v>1647</v>
      </c>
      <c r="E183" s="9">
        <v>45.370000000000005</v>
      </c>
      <c r="F183" s="8" t="s">
        <v>469</v>
      </c>
      <c r="G183" s="10">
        <v>6526</v>
      </c>
      <c r="H183" s="132">
        <f t="shared" si="22"/>
        <v>46241</v>
      </c>
      <c r="I183" s="140">
        <f t="shared" si="23"/>
        <v>808</v>
      </c>
      <c r="J183" s="9">
        <f t="shared" si="24"/>
        <v>12.381244253754215</v>
      </c>
      <c r="K183" s="140">
        <f t="shared" si="25"/>
        <v>23</v>
      </c>
      <c r="L183" s="206">
        <f t="shared" si="26"/>
        <v>2.8465346534653468</v>
      </c>
      <c r="M183" s="8" t="str">
        <f t="array" ref="M183">IF(L183&gt;5,"Perlu Sensus",IF(AND(L183&gt;=0,I183&gt;0),"Tetap Deteksi","Belum Deteksi"))</f>
        <v>Tetap Deteksi</v>
      </c>
      <c r="N183" s="132">
        <v>46241</v>
      </c>
      <c r="O183" s="203">
        <v>808</v>
      </c>
      <c r="P183" s="9">
        <f t="array" ref="P183">IFERROR(O183/G183*100,0)</f>
        <v>12.381244253754215</v>
      </c>
      <c r="Q183" s="203">
        <v>23</v>
      </c>
      <c r="R183" s="9">
        <f t="shared" si="28"/>
        <v>2.8465346534653468</v>
      </c>
      <c r="S183" s="8" t="str">
        <f t="array" ref="S183">IF(R183&gt;5,"Perlu Sensus",IF(AND(R183&gt;=0,O183&gt;0),"Tetap Deteksi","Belum Deteksi"))</f>
        <v>Tetap Deteksi</v>
      </c>
      <c r="T183" s="203">
        <v>18</v>
      </c>
      <c r="U183" s="9">
        <f t="shared" si="27"/>
        <v>2.2277227722772275</v>
      </c>
      <c r="V183" s="132">
        <v>46241</v>
      </c>
      <c r="W183" s="203">
        <v>266</v>
      </c>
      <c r="X183" s="203">
        <v>8</v>
      </c>
      <c r="Y183" s="9">
        <f t="shared" si="21"/>
        <v>3.007518796992481</v>
      </c>
      <c r="Z183" s="8" t="str">
        <f t="array" ref="Z183">IF(Y183&gt;5,"Perlu Sensus",IF(AND(Y183&gt;0,,O183&gt;0),"Tetap Deteksi","Belum Deteksi"))</f>
        <v>Belum Deteksi</v>
      </c>
    </row>
    <row r="184" spans="1:26" outlineLevel="1" x14ac:dyDescent="0.15">
      <c r="A184" s="8" t="s">
        <v>1043</v>
      </c>
      <c r="B184" s="8">
        <v>2</v>
      </c>
      <c r="C184" s="8">
        <v>10</v>
      </c>
      <c r="D184" s="8" t="s">
        <v>1648</v>
      </c>
      <c r="E184" s="9">
        <v>25.56</v>
      </c>
      <c r="F184" s="8" t="s">
        <v>469</v>
      </c>
      <c r="G184" s="10">
        <v>3586</v>
      </c>
      <c r="H184" s="132">
        <f t="shared" si="22"/>
        <v>46240</v>
      </c>
      <c r="I184" s="140">
        <f t="shared" si="23"/>
        <v>449</v>
      </c>
      <c r="J184" s="9">
        <f t="shared" si="24"/>
        <v>12.520914668153932</v>
      </c>
      <c r="K184" s="140">
        <f t="shared" si="25"/>
        <v>9</v>
      </c>
      <c r="L184" s="206">
        <f t="shared" si="26"/>
        <v>2.0044543429844097</v>
      </c>
      <c r="M184" s="8" t="str">
        <f t="array" ref="M184">IF(L184&gt;5,"Perlu Sensus",IF(AND(L184&gt;=0,I184&gt;0),"Tetap Deteksi","Belum Deteksi"))</f>
        <v>Tetap Deteksi</v>
      </c>
      <c r="N184" s="132">
        <v>46240</v>
      </c>
      <c r="O184" s="203">
        <v>449</v>
      </c>
      <c r="P184" s="9">
        <f t="array" ref="P184">IFERROR(O184/G184*100,0)</f>
        <v>12.520914668153932</v>
      </c>
      <c r="Q184" s="203">
        <v>9</v>
      </c>
      <c r="R184" s="9">
        <f t="shared" si="28"/>
        <v>2.0044543429844097</v>
      </c>
      <c r="S184" s="8" t="str">
        <f t="array" ref="S184">IF(R184&gt;5,"Perlu Sensus",IF(AND(R184&gt;=0,O184&gt;0),"Tetap Deteksi","Belum Deteksi"))</f>
        <v>Tetap Deteksi</v>
      </c>
      <c r="T184" s="203">
        <v>16</v>
      </c>
      <c r="U184" s="9">
        <f t="shared" si="27"/>
        <v>3.5634743875278394</v>
      </c>
      <c r="V184" s="132">
        <v>46241</v>
      </c>
      <c r="W184" s="203">
        <v>777</v>
      </c>
      <c r="X184" s="203">
        <v>21</v>
      </c>
      <c r="Y184" s="9">
        <f t="shared" si="21"/>
        <v>2.7027027027027026</v>
      </c>
      <c r="Z184" s="8" t="str">
        <f t="array" ref="Z184">IF(Y184&gt;5,"Perlu Sensus",IF(AND(Y184&gt;0,,O184&gt;0),"Tetap Deteksi","Belum Deteksi"))</f>
        <v>Belum Deteksi</v>
      </c>
    </row>
    <row r="185" spans="1:26" outlineLevel="1" x14ac:dyDescent="0.15">
      <c r="A185" s="8" t="s">
        <v>1043</v>
      </c>
      <c r="B185" s="8">
        <v>2</v>
      </c>
      <c r="C185" s="8">
        <v>10</v>
      </c>
      <c r="D185" s="8" t="s">
        <v>1649</v>
      </c>
      <c r="E185" s="9">
        <v>26.55</v>
      </c>
      <c r="F185" s="8" t="s">
        <v>469</v>
      </c>
      <c r="G185" s="10">
        <v>3758</v>
      </c>
      <c r="H185" s="132">
        <f t="shared" si="22"/>
        <v>46239</v>
      </c>
      <c r="I185" s="140">
        <f t="shared" si="23"/>
        <v>203</v>
      </c>
      <c r="J185" s="9">
        <f t="shared" si="24"/>
        <v>5.4018094731240023</v>
      </c>
      <c r="K185" s="140">
        <f t="shared" si="25"/>
        <v>4</v>
      </c>
      <c r="L185" s="206">
        <f t="shared" si="26"/>
        <v>1.9704433497536946</v>
      </c>
      <c r="M185" s="8" t="str">
        <f t="array" ref="M185">IF(L185&gt;5,"Perlu Sensus",IF(AND(L185&gt;=0,I185&gt;0),"Tetap Deteksi","Belum Deteksi"))</f>
        <v>Tetap Deteksi</v>
      </c>
      <c r="N185" s="132">
        <v>46239</v>
      </c>
      <c r="O185" s="203">
        <v>203</v>
      </c>
      <c r="P185" s="9">
        <f t="array" ref="P185">IFERROR(O185/G185*100,0)</f>
        <v>5.4018094731240023</v>
      </c>
      <c r="Q185" s="203">
        <v>4</v>
      </c>
      <c r="R185" s="9">
        <f t="shared" si="28"/>
        <v>1.9704433497536946</v>
      </c>
      <c r="S185" s="8" t="str">
        <f t="array" ref="S185">IF(R185&gt;5,"Perlu Sensus",IF(AND(R185&gt;=0,O185&gt;0),"Tetap Deteksi","Belum Deteksi"))</f>
        <v>Tetap Deteksi</v>
      </c>
      <c r="T185" s="203">
        <v>0</v>
      </c>
      <c r="U185" s="9">
        <f t="shared" si="27"/>
        <v>0</v>
      </c>
      <c r="V185" s="132">
        <v>46241</v>
      </c>
      <c r="W185" s="203">
        <v>225</v>
      </c>
      <c r="X185" s="203">
        <v>4</v>
      </c>
      <c r="Y185" s="9">
        <f t="shared" si="21"/>
        <v>1.7777777777777777</v>
      </c>
      <c r="Z185" s="8" t="str">
        <f t="array" ref="Z185">IF(Y185&gt;5,"Perlu Sensus",IF(AND(Y185&gt;0,,O185&gt;0),"Tetap Deteksi","Belum Deteksi"))</f>
        <v>Belum Deteksi</v>
      </c>
    </row>
    <row r="186" spans="1:26" outlineLevel="1" x14ac:dyDescent="0.15">
      <c r="A186" s="8" t="s">
        <v>1043</v>
      </c>
      <c r="B186" s="8">
        <v>2</v>
      </c>
      <c r="C186" s="8">
        <v>10</v>
      </c>
      <c r="D186" s="8" t="s">
        <v>1650</v>
      </c>
      <c r="E186" s="9">
        <v>24.83</v>
      </c>
      <c r="F186" s="8" t="s">
        <v>469</v>
      </c>
      <c r="G186" s="10">
        <v>3501</v>
      </c>
      <c r="H186" s="132">
        <f t="shared" si="22"/>
        <v>46235</v>
      </c>
      <c r="I186" s="140">
        <f t="shared" si="23"/>
        <v>353</v>
      </c>
      <c r="J186" s="9">
        <f t="shared" si="24"/>
        <v>10.082833476149672</v>
      </c>
      <c r="K186" s="140">
        <f t="shared" si="25"/>
        <v>14</v>
      </c>
      <c r="L186" s="206">
        <f t="shared" si="26"/>
        <v>3.9660056657223794</v>
      </c>
      <c r="M186" s="8" t="str">
        <f t="array" ref="M186">IF(L186&gt;5,"Perlu Sensus",IF(AND(L186&gt;=0,I186&gt;0),"Tetap Deteksi","Belum Deteksi"))</f>
        <v>Tetap Deteksi</v>
      </c>
      <c r="N186" s="132">
        <v>46235</v>
      </c>
      <c r="O186" s="203">
        <v>353</v>
      </c>
      <c r="P186" s="9">
        <f t="array" ref="P186">IFERROR(O186/G186*100,0)</f>
        <v>10.082833476149672</v>
      </c>
      <c r="Q186" s="203">
        <v>14</v>
      </c>
      <c r="R186" s="9">
        <f t="shared" si="28"/>
        <v>3.9660056657223794</v>
      </c>
      <c r="S186" s="8" t="str">
        <f t="array" ref="S186">IF(R186&gt;5,"Perlu Sensus",IF(AND(R186&gt;=0,O186&gt;0),"Tetap Deteksi","Belum Deteksi"))</f>
        <v>Tetap Deteksi</v>
      </c>
      <c r="T186" s="203">
        <v>11</v>
      </c>
      <c r="U186" s="9">
        <f t="shared" si="27"/>
        <v>3.1161473087818696</v>
      </c>
      <c r="V186" s="132">
        <v>46241</v>
      </c>
      <c r="W186" s="203">
        <v>568</v>
      </c>
      <c r="X186" s="203">
        <v>11</v>
      </c>
      <c r="Y186" s="9">
        <f t="shared" si="21"/>
        <v>1.936619718309859</v>
      </c>
      <c r="Z186" s="8" t="str">
        <f t="array" ref="Z186">IF(Y186&gt;5,"Perlu Sensus",IF(AND(Y186&gt;0,,O186&gt;0),"Tetap Deteksi","Belum Deteksi"))</f>
        <v>Belum Deteksi</v>
      </c>
    </row>
    <row r="187" spans="1:26" outlineLevel="1" x14ac:dyDescent="0.15">
      <c r="A187" s="8" t="s">
        <v>1043</v>
      </c>
      <c r="B187" s="8">
        <v>2</v>
      </c>
      <c r="C187" s="8">
        <v>10</v>
      </c>
      <c r="D187" s="8" t="s">
        <v>1651</v>
      </c>
      <c r="E187" s="9">
        <v>46</v>
      </c>
      <c r="F187" s="8" t="s">
        <v>469</v>
      </c>
      <c r="G187" s="10">
        <v>6298</v>
      </c>
      <c r="H187" s="132">
        <f t="shared" si="22"/>
        <v>46239</v>
      </c>
      <c r="I187" s="140">
        <f t="shared" si="23"/>
        <v>101</v>
      </c>
      <c r="J187" s="9">
        <f t="shared" si="24"/>
        <v>1.6036837091140046</v>
      </c>
      <c r="K187" s="140">
        <f t="shared" si="25"/>
        <v>4</v>
      </c>
      <c r="L187" s="206">
        <f t="shared" si="26"/>
        <v>3.9603960396039604</v>
      </c>
      <c r="M187" s="8" t="str">
        <f t="array" ref="M187">IF(L187&gt;5,"Perlu Sensus",IF(AND(L187&gt;=0,I187&gt;0),"Tetap Deteksi","Belum Deteksi"))</f>
        <v>Tetap Deteksi</v>
      </c>
      <c r="N187" s="132">
        <v>46239</v>
      </c>
      <c r="O187" s="203">
        <v>101</v>
      </c>
      <c r="P187" s="9">
        <f t="array" ref="P187">IFERROR(O187/G187*100,0)</f>
        <v>1.6036837091140046</v>
      </c>
      <c r="Q187" s="203">
        <v>4</v>
      </c>
      <c r="R187" s="9">
        <f t="shared" si="28"/>
        <v>3.9603960396039604</v>
      </c>
      <c r="S187" s="8" t="str">
        <f t="array" ref="S187">IF(R187&gt;5,"Perlu Sensus",IF(AND(R187&gt;=0,O187&gt;0),"Tetap Deteksi","Belum Deteksi"))</f>
        <v>Tetap Deteksi</v>
      </c>
      <c r="T187" s="203">
        <v>4</v>
      </c>
      <c r="U187" s="9">
        <f t="shared" si="27"/>
        <v>3.9603960396039604</v>
      </c>
      <c r="V187" s="132">
        <v>46241</v>
      </c>
      <c r="W187" s="203">
        <v>582</v>
      </c>
      <c r="X187" s="203">
        <v>12</v>
      </c>
      <c r="Y187" s="9">
        <f t="shared" si="21"/>
        <v>2.0618556701030926</v>
      </c>
      <c r="Z187" s="8" t="str">
        <f t="array" ref="Z187">IF(Y187&gt;5,"Perlu Sensus",IF(AND(Y187&gt;0,,O187&gt;0),"Tetap Deteksi","Belum Deteksi"))</f>
        <v>Belum Deteksi</v>
      </c>
    </row>
    <row r="188" spans="1:26" outlineLevel="1" x14ac:dyDescent="0.15">
      <c r="A188" s="8" t="s">
        <v>1043</v>
      </c>
      <c r="B188" s="8">
        <v>2</v>
      </c>
      <c r="C188" s="8">
        <v>10</v>
      </c>
      <c r="D188" s="8" t="s">
        <v>1652</v>
      </c>
      <c r="E188" s="9">
        <v>41.5</v>
      </c>
      <c r="F188" s="8" t="s">
        <v>469</v>
      </c>
      <c r="G188" s="10">
        <v>5411</v>
      </c>
      <c r="H188" s="132">
        <f t="shared" si="22"/>
        <v>46239</v>
      </c>
      <c r="I188" s="140">
        <f t="shared" si="23"/>
        <v>358</v>
      </c>
      <c r="J188" s="9">
        <f t="shared" si="24"/>
        <v>6.6161522823877288</v>
      </c>
      <c r="K188" s="140">
        <f t="shared" si="25"/>
        <v>14</v>
      </c>
      <c r="L188" s="206">
        <f t="shared" si="26"/>
        <v>3.9106145251396649</v>
      </c>
      <c r="M188" s="8" t="str">
        <f t="array" ref="M188">IF(L188&gt;5,"Perlu Sensus",IF(AND(L188&gt;=0,I188&gt;0),"Tetap Deteksi","Belum Deteksi"))</f>
        <v>Tetap Deteksi</v>
      </c>
      <c r="N188" s="132">
        <v>46239</v>
      </c>
      <c r="O188" s="203">
        <v>358</v>
      </c>
      <c r="P188" s="9">
        <f t="array" ref="P188">IFERROR(O188/G188*100,0)</f>
        <v>6.6161522823877288</v>
      </c>
      <c r="Q188" s="203">
        <v>14</v>
      </c>
      <c r="R188" s="9">
        <f t="shared" si="28"/>
        <v>3.9106145251396649</v>
      </c>
      <c r="S188" s="8" t="str">
        <f t="array" ref="S188">IF(R188&gt;5,"Perlu Sensus",IF(AND(R188&gt;=0,O188&gt;0),"Tetap Deteksi","Belum Deteksi"))</f>
        <v>Tetap Deteksi</v>
      </c>
      <c r="T188" s="203">
        <v>10</v>
      </c>
      <c r="U188" s="9">
        <f t="shared" si="27"/>
        <v>2.7932960893854748</v>
      </c>
      <c r="V188" s="132">
        <v>46241</v>
      </c>
      <c r="W188" s="203">
        <v>547</v>
      </c>
      <c r="X188" s="203">
        <v>15</v>
      </c>
      <c r="Y188" s="9">
        <f t="shared" si="21"/>
        <v>2.7422303473491771</v>
      </c>
      <c r="Z188" s="8" t="str">
        <f t="array" ref="Z188">IF(Y188&gt;5,"Perlu Sensus",IF(AND(Y188&gt;0,,O188&gt;0),"Tetap Deteksi","Belum Deteksi"))</f>
        <v>Belum Deteksi</v>
      </c>
    </row>
    <row r="189" spans="1:26" outlineLevel="1" x14ac:dyDescent="0.15">
      <c r="A189" s="8" t="s">
        <v>1043</v>
      </c>
      <c r="B189" s="8">
        <v>2</v>
      </c>
      <c r="C189" s="8">
        <v>10</v>
      </c>
      <c r="D189" s="8" t="s">
        <v>1653</v>
      </c>
      <c r="E189" s="9">
        <v>35.979999999999997</v>
      </c>
      <c r="F189" s="8" t="s">
        <v>469</v>
      </c>
      <c r="G189" s="10">
        <v>3106</v>
      </c>
      <c r="H189" s="132">
        <f t="shared" si="22"/>
        <v>46241</v>
      </c>
      <c r="I189" s="140">
        <f t="shared" si="23"/>
        <v>162</v>
      </c>
      <c r="J189" s="9">
        <f t="shared" si="24"/>
        <v>5.2157115260785574</v>
      </c>
      <c r="K189" s="140">
        <f t="shared" si="25"/>
        <v>4</v>
      </c>
      <c r="L189" s="206">
        <f t="shared" si="26"/>
        <v>2.4691358024691357</v>
      </c>
      <c r="M189" s="8" t="str">
        <f t="array" ref="M189">IF(L189&gt;5,"Perlu Sensus",IF(AND(L189&gt;=0,I189&gt;0),"Tetap Deteksi","Belum Deteksi"))</f>
        <v>Tetap Deteksi</v>
      </c>
      <c r="N189" s="132">
        <v>46241</v>
      </c>
      <c r="O189" s="203">
        <v>162</v>
      </c>
      <c r="P189" s="9">
        <f t="array" ref="P189">IFERROR(O189/G189*100,0)</f>
        <v>5.2157115260785574</v>
      </c>
      <c r="Q189" s="203">
        <v>4</v>
      </c>
      <c r="R189" s="9">
        <f t="shared" si="28"/>
        <v>2.4691358024691357</v>
      </c>
      <c r="S189" s="8" t="str">
        <f t="array" ref="S189">IF(R189&gt;5,"Perlu Sensus",IF(AND(R189&gt;=0,O189&gt;0),"Tetap Deteksi","Belum Deteksi"))</f>
        <v>Tetap Deteksi</v>
      </c>
      <c r="T189" s="203">
        <v>4</v>
      </c>
      <c r="U189" s="9">
        <f t="shared" si="27"/>
        <v>2.4691358024691357</v>
      </c>
      <c r="V189" s="132">
        <v>46241</v>
      </c>
      <c r="W189" s="203">
        <v>174</v>
      </c>
      <c r="X189" s="203">
        <v>6</v>
      </c>
      <c r="Y189" s="9">
        <f t="shared" si="21"/>
        <v>3.4482758620689653</v>
      </c>
      <c r="Z189" s="8" t="str">
        <f t="array" ref="Z189">IF(Y189&gt;5,"Perlu Sensus",IF(AND(Y189&gt;0,,O189&gt;0),"Tetap Deteksi","Belum Deteksi"))</f>
        <v>Belum Deteksi</v>
      </c>
    </row>
    <row r="190" spans="1:26" outlineLevel="1" x14ac:dyDescent="0.15">
      <c r="A190" s="8" t="s">
        <v>1043</v>
      </c>
      <c r="B190" s="8">
        <v>2</v>
      </c>
      <c r="C190" s="8">
        <v>10</v>
      </c>
      <c r="D190" s="8" t="s">
        <v>1654</v>
      </c>
      <c r="E190" s="9">
        <v>24.859999999999996</v>
      </c>
      <c r="F190" s="8" t="s">
        <v>469</v>
      </c>
      <c r="G190" s="10">
        <v>2226</v>
      </c>
      <c r="H190" s="132">
        <f t="shared" si="22"/>
        <v>46249</v>
      </c>
      <c r="I190" s="140">
        <f t="shared" si="23"/>
        <v>120</v>
      </c>
      <c r="J190" s="9">
        <f t="shared" si="24"/>
        <v>5.3908355795148255</v>
      </c>
      <c r="K190" s="140">
        <f t="shared" si="25"/>
        <v>3</v>
      </c>
      <c r="L190" s="206">
        <f t="shared" si="26"/>
        <v>2.5</v>
      </c>
      <c r="M190" s="8" t="str">
        <f t="array" ref="M190">IF(L190&gt;5,"Perlu Sensus",IF(AND(L190&gt;=0,I190&gt;0),"Tetap Deteksi","Belum Deteksi"))</f>
        <v>Tetap Deteksi</v>
      </c>
      <c r="N190" s="132">
        <v>46249</v>
      </c>
      <c r="O190" s="203">
        <v>120</v>
      </c>
      <c r="P190" s="9">
        <f t="array" ref="P190">IFERROR(O190/G190*100,0)</f>
        <v>5.3908355795148255</v>
      </c>
      <c r="Q190" s="203">
        <v>3</v>
      </c>
      <c r="R190" s="9">
        <f t="shared" si="28"/>
        <v>2.5</v>
      </c>
      <c r="S190" s="8" t="str">
        <f t="array" ref="S190">IF(R190&gt;5,"Perlu Sensus",IF(AND(R190&gt;=0,O190&gt;0),"Tetap Deteksi","Belum Deteksi"))</f>
        <v>Tetap Deteksi</v>
      </c>
      <c r="T190" s="203">
        <v>1</v>
      </c>
      <c r="U190" s="9">
        <f t="shared" si="27"/>
        <v>0.83333333333333337</v>
      </c>
      <c r="V190" s="132">
        <v>46241</v>
      </c>
      <c r="W190" s="203">
        <v>131</v>
      </c>
      <c r="X190" s="203">
        <v>2</v>
      </c>
      <c r="Y190" s="9">
        <f t="shared" si="21"/>
        <v>1.5267175572519083</v>
      </c>
      <c r="Z190" s="8" t="str">
        <f t="array" ref="Z190">IF(Y190&gt;5,"Perlu Sensus",IF(AND(Y190&gt;0,,O190&gt;0),"Tetap Deteksi","Belum Deteksi"))</f>
        <v>Belum Deteksi</v>
      </c>
    </row>
    <row r="191" spans="1:26" outlineLevel="1" x14ac:dyDescent="0.15">
      <c r="A191" s="8" t="s">
        <v>1043</v>
      </c>
      <c r="B191" s="8">
        <v>2</v>
      </c>
      <c r="C191" s="8">
        <v>10</v>
      </c>
      <c r="D191" s="8" t="s">
        <v>1655</v>
      </c>
      <c r="E191" s="9">
        <v>37.200000000000003</v>
      </c>
      <c r="F191" s="8" t="s">
        <v>469</v>
      </c>
      <c r="G191" s="10">
        <v>4181</v>
      </c>
      <c r="H191" s="132">
        <f t="shared" si="22"/>
        <v>46235</v>
      </c>
      <c r="I191" s="140">
        <f t="shared" si="23"/>
        <v>242</v>
      </c>
      <c r="J191" s="9">
        <f t="shared" si="24"/>
        <v>5.7880889739296819</v>
      </c>
      <c r="K191" s="140">
        <f t="shared" si="25"/>
        <v>4</v>
      </c>
      <c r="L191" s="206">
        <f t="shared" si="26"/>
        <v>1.6528925619834711</v>
      </c>
      <c r="M191" s="8" t="str">
        <f t="array" ref="M191">IF(L191&gt;5,"Perlu Sensus",IF(AND(L191&gt;=0,I191&gt;0),"Tetap Deteksi","Belum Deteksi"))</f>
        <v>Tetap Deteksi</v>
      </c>
      <c r="N191" s="132">
        <v>46235</v>
      </c>
      <c r="O191" s="203">
        <v>242</v>
      </c>
      <c r="P191" s="9">
        <f t="array" ref="P191">IFERROR(O191/G191*100,0)</f>
        <v>5.7880889739296819</v>
      </c>
      <c r="Q191" s="203">
        <v>4</v>
      </c>
      <c r="R191" s="9">
        <f t="shared" si="28"/>
        <v>1.6528925619834711</v>
      </c>
      <c r="S191" s="8" t="str">
        <f t="array" ref="S191">IF(R191&gt;5,"Perlu Sensus",IF(AND(R191&gt;=0,O191&gt;0),"Tetap Deteksi","Belum Deteksi"))</f>
        <v>Tetap Deteksi</v>
      </c>
      <c r="T191" s="203">
        <v>0</v>
      </c>
      <c r="U191" s="9">
        <f t="shared" si="27"/>
        <v>0</v>
      </c>
      <c r="V191" s="132">
        <v>46241</v>
      </c>
      <c r="W191" s="203">
        <v>257</v>
      </c>
      <c r="X191" s="203">
        <v>9.9999999999999995E-8</v>
      </c>
      <c r="Y191" s="9">
        <f t="shared" si="21"/>
        <v>3.8910505836575877E-8</v>
      </c>
      <c r="Z191" s="8" t="str">
        <f t="array" ref="Z191">IF(Y191&gt;5,"Perlu Sensus",IF(AND(Y191&gt;0,,O191&gt;0),"Tetap Deteksi","Belum Deteksi"))</f>
        <v>Belum Deteksi</v>
      </c>
    </row>
    <row r="192" spans="1:26" outlineLevel="1" x14ac:dyDescent="0.15">
      <c r="A192" s="8" t="s">
        <v>1043</v>
      </c>
      <c r="B192" s="8">
        <v>2</v>
      </c>
      <c r="C192" s="8">
        <v>10</v>
      </c>
      <c r="D192" s="8" t="s">
        <v>1656</v>
      </c>
      <c r="E192" s="9">
        <v>30.75</v>
      </c>
      <c r="F192" s="8" t="s">
        <v>469</v>
      </c>
      <c r="G192" s="10">
        <v>3455</v>
      </c>
      <c r="H192" s="132">
        <f t="shared" si="22"/>
        <v>46237</v>
      </c>
      <c r="I192" s="140">
        <f t="shared" si="23"/>
        <v>178</v>
      </c>
      <c r="J192" s="9">
        <f t="shared" si="24"/>
        <v>5.1519536903039072</v>
      </c>
      <c r="K192" s="140">
        <f t="shared" si="25"/>
        <v>4</v>
      </c>
      <c r="L192" s="206">
        <f t="shared" si="26"/>
        <v>2.2471910112359552</v>
      </c>
      <c r="M192" s="8" t="str">
        <f t="array" ref="M192">IF(L192&gt;5,"Perlu Sensus",IF(AND(L192&gt;=0,I192&gt;0),"Tetap Deteksi","Belum Deteksi"))</f>
        <v>Tetap Deteksi</v>
      </c>
      <c r="N192" s="132">
        <v>46237</v>
      </c>
      <c r="O192" s="203">
        <v>178</v>
      </c>
      <c r="P192" s="9">
        <f t="array" ref="P192">IFERROR(O192/G192*100,0)</f>
        <v>5.1519536903039072</v>
      </c>
      <c r="Q192" s="203">
        <v>4</v>
      </c>
      <c r="R192" s="9">
        <f t="shared" si="28"/>
        <v>2.2471910112359552</v>
      </c>
      <c r="S192" s="8" t="str">
        <f t="array" ref="S192">IF(R192&gt;5,"Perlu Sensus",IF(AND(R192&gt;=0,O192&gt;0),"Tetap Deteksi","Belum Deteksi"))</f>
        <v>Tetap Deteksi</v>
      </c>
      <c r="T192" s="203">
        <v>4</v>
      </c>
      <c r="U192" s="9">
        <f t="shared" si="27"/>
        <v>2.2471910112359552</v>
      </c>
      <c r="V192" s="132">
        <v>46241</v>
      </c>
      <c r="W192" s="203">
        <v>206</v>
      </c>
      <c r="X192" s="203">
        <v>1</v>
      </c>
      <c r="Y192" s="9">
        <f t="shared" si="21"/>
        <v>0.48543689320388345</v>
      </c>
      <c r="Z192" s="8" t="str">
        <f t="array" ref="Z192">IF(Y192&gt;5,"Perlu Sensus",IF(AND(Y192&gt;0,,O192&gt;0),"Tetap Deteksi","Belum Deteksi"))</f>
        <v>Belum Deteksi</v>
      </c>
    </row>
    <row r="193" spans="1:26" outlineLevel="1" x14ac:dyDescent="0.15">
      <c r="A193" s="8" t="s">
        <v>1043</v>
      </c>
      <c r="B193" s="8">
        <v>2</v>
      </c>
      <c r="C193" s="8">
        <v>10</v>
      </c>
      <c r="D193" s="8" t="s">
        <v>1657</v>
      </c>
      <c r="E193" s="9">
        <v>49.519999999999996</v>
      </c>
      <c r="F193" s="8" t="s">
        <v>469</v>
      </c>
      <c r="G193" s="10">
        <v>6556</v>
      </c>
      <c r="H193" s="132">
        <f t="shared" si="22"/>
        <v>46237</v>
      </c>
      <c r="I193" s="140">
        <f t="shared" si="23"/>
        <v>345</v>
      </c>
      <c r="J193" s="9">
        <f t="shared" si="24"/>
        <v>5.2623550945698589</v>
      </c>
      <c r="K193" s="140">
        <f t="shared" si="25"/>
        <v>8</v>
      </c>
      <c r="L193" s="206">
        <f t="shared" si="26"/>
        <v>2.318840579710145</v>
      </c>
      <c r="M193" s="8" t="str">
        <f t="array" ref="M193">IF(L193&gt;5,"Perlu Sensus",IF(AND(L193&gt;=0,I193&gt;0),"Tetap Deteksi","Belum Deteksi"))</f>
        <v>Tetap Deteksi</v>
      </c>
      <c r="N193" s="132">
        <v>46237</v>
      </c>
      <c r="O193" s="203">
        <v>345</v>
      </c>
      <c r="P193" s="9">
        <f t="array" ref="P193">IFERROR(O193/G193*100,0)</f>
        <v>5.2623550945698589</v>
      </c>
      <c r="Q193" s="203">
        <v>8</v>
      </c>
      <c r="R193" s="9">
        <f t="shared" si="28"/>
        <v>2.318840579710145</v>
      </c>
      <c r="S193" s="8" t="str">
        <f t="array" ref="S193">IF(R193&gt;5,"Perlu Sensus",IF(AND(R193&gt;=0,O193&gt;0),"Tetap Deteksi","Belum Deteksi"))</f>
        <v>Tetap Deteksi</v>
      </c>
      <c r="T193" s="203">
        <v>7</v>
      </c>
      <c r="U193" s="9">
        <f t="shared" si="27"/>
        <v>2.0289855072463765</v>
      </c>
      <c r="V193" s="132">
        <v>46241</v>
      </c>
      <c r="W193" s="203">
        <v>866</v>
      </c>
      <c r="X193" s="203">
        <v>23</v>
      </c>
      <c r="Y193" s="9">
        <f t="shared" si="21"/>
        <v>2.6558891454965359</v>
      </c>
      <c r="Z193" s="8" t="str">
        <f t="array" ref="Z193">IF(Y193&gt;5,"Perlu Sensus",IF(AND(Y193&gt;0,,O193&gt;0),"Tetap Deteksi","Belum Deteksi"))</f>
        <v>Belum Deteksi</v>
      </c>
    </row>
    <row r="194" spans="1:26" outlineLevel="1" x14ac:dyDescent="0.15">
      <c r="A194" s="8" t="s">
        <v>1043</v>
      </c>
      <c r="B194" s="8">
        <v>2</v>
      </c>
      <c r="C194" s="8">
        <v>10</v>
      </c>
      <c r="D194" s="8" t="s">
        <v>1658</v>
      </c>
      <c r="E194" s="9">
        <v>49.38</v>
      </c>
      <c r="F194" s="8" t="s">
        <v>469</v>
      </c>
      <c r="G194" s="10">
        <v>5659</v>
      </c>
      <c r="H194" s="132">
        <f t="shared" si="22"/>
        <v>46239</v>
      </c>
      <c r="I194" s="140">
        <f t="shared" si="23"/>
        <v>378</v>
      </c>
      <c r="J194" s="9">
        <f t="shared" si="24"/>
        <v>6.6796253755080404</v>
      </c>
      <c r="K194" s="140">
        <f t="shared" si="25"/>
        <v>11</v>
      </c>
      <c r="L194" s="206">
        <f t="shared" si="26"/>
        <v>2.9100529100529098</v>
      </c>
      <c r="M194" s="8" t="str">
        <f t="array" ref="M194">IF(L194&gt;5,"Perlu Sensus",IF(AND(L194&gt;=0,I194&gt;0),"Tetap Deteksi","Belum Deteksi"))</f>
        <v>Tetap Deteksi</v>
      </c>
      <c r="N194" s="132">
        <v>46239</v>
      </c>
      <c r="O194" s="203">
        <v>378</v>
      </c>
      <c r="P194" s="9">
        <f t="array" ref="P194">IFERROR(O194/G194*100,0)</f>
        <v>6.6796253755080404</v>
      </c>
      <c r="Q194" s="203">
        <v>11</v>
      </c>
      <c r="R194" s="9">
        <f t="shared" si="28"/>
        <v>2.9100529100529098</v>
      </c>
      <c r="S194" s="8" t="str">
        <f t="array" ref="S194">IF(R194&gt;5,"Perlu Sensus",IF(AND(R194&gt;=0,O194&gt;0),"Tetap Deteksi","Belum Deteksi"))</f>
        <v>Tetap Deteksi</v>
      </c>
      <c r="T194" s="203">
        <v>15</v>
      </c>
      <c r="U194" s="9">
        <f t="shared" si="27"/>
        <v>3.9682539682539679</v>
      </c>
      <c r="V194" s="132">
        <v>46241</v>
      </c>
      <c r="W194" s="203">
        <v>568</v>
      </c>
      <c r="X194" s="203">
        <v>14</v>
      </c>
      <c r="Y194" s="9">
        <f t="shared" si="21"/>
        <v>2.464788732394366</v>
      </c>
      <c r="Z194" s="8" t="str">
        <f t="array" ref="Z194">IF(Y194&gt;5,"Perlu Sensus",IF(AND(Y194&gt;0,,O194&gt;0),"Tetap Deteksi","Belum Deteksi"))</f>
        <v>Belum Deteksi</v>
      </c>
    </row>
    <row r="195" spans="1:26" outlineLevel="1" x14ac:dyDescent="0.15">
      <c r="A195" s="8" t="s">
        <v>1043</v>
      </c>
      <c r="B195" s="8">
        <v>2</v>
      </c>
      <c r="C195" s="8">
        <v>11</v>
      </c>
      <c r="D195" s="8" t="s">
        <v>1659</v>
      </c>
      <c r="E195" s="9">
        <v>40.239999999999995</v>
      </c>
      <c r="F195" s="8" t="s">
        <v>469</v>
      </c>
      <c r="G195" s="10">
        <v>5537</v>
      </c>
      <c r="H195" s="132">
        <f t="shared" si="22"/>
        <v>46240</v>
      </c>
      <c r="I195" s="140">
        <f t="shared" si="23"/>
        <v>261</v>
      </c>
      <c r="J195" s="9">
        <f t="shared" si="24"/>
        <v>4.7137439046415031</v>
      </c>
      <c r="K195" s="140">
        <f t="shared" si="25"/>
        <v>5</v>
      </c>
      <c r="L195" s="206">
        <f t="shared" si="26"/>
        <v>1.9157088122605364</v>
      </c>
      <c r="M195" s="8" t="str">
        <f t="array" ref="M195">IF(L195&gt;5,"Perlu Sensus",IF(AND(L195&gt;=0,I195&gt;0),"Tetap Deteksi","Belum Deteksi"))</f>
        <v>Tetap Deteksi</v>
      </c>
      <c r="N195" s="132">
        <v>46240</v>
      </c>
      <c r="O195" s="203">
        <v>261</v>
      </c>
      <c r="P195" s="9">
        <f t="array" ref="P195">IFERROR(O195/G195*100,0)</f>
        <v>4.7137439046415031</v>
      </c>
      <c r="Q195" s="203">
        <v>5</v>
      </c>
      <c r="R195" s="9">
        <f t="shared" si="28"/>
        <v>1.9157088122605364</v>
      </c>
      <c r="S195" s="8" t="str">
        <f t="array" ref="S195">IF(R195&gt;5,"Perlu Sensus",IF(AND(R195&gt;=0,O195&gt;0),"Tetap Deteksi","Belum Deteksi"))</f>
        <v>Tetap Deteksi</v>
      </c>
      <c r="T195" s="203">
        <v>5</v>
      </c>
      <c r="U195" s="9">
        <f t="shared" si="27"/>
        <v>1.9157088122605364</v>
      </c>
      <c r="V195" s="132">
        <v>46241</v>
      </c>
      <c r="W195" s="203">
        <v>310</v>
      </c>
      <c r="X195" s="203">
        <v>7</v>
      </c>
      <c r="Y195" s="9">
        <f t="shared" si="21"/>
        <v>2.258064516129032</v>
      </c>
      <c r="Z195" s="8" t="str">
        <f t="array" ref="Z195">IF(Y195&gt;5,"Perlu Sensus",IF(AND(Y195&gt;0,,O195&gt;0),"Tetap Deteksi","Belum Deteksi"))</f>
        <v>Belum Deteksi</v>
      </c>
    </row>
    <row r="196" spans="1:26" outlineLevel="1" x14ac:dyDescent="0.15">
      <c r="A196" s="8" t="s">
        <v>1043</v>
      </c>
      <c r="B196" s="8">
        <v>2</v>
      </c>
      <c r="C196" s="8">
        <v>11</v>
      </c>
      <c r="D196" s="8" t="s">
        <v>1660</v>
      </c>
      <c r="E196" s="9">
        <v>24.02</v>
      </c>
      <c r="F196" s="8" t="s">
        <v>469</v>
      </c>
      <c r="G196" s="10">
        <v>3507</v>
      </c>
      <c r="H196" s="132">
        <f t="shared" si="22"/>
        <v>46240</v>
      </c>
      <c r="I196" s="140">
        <f t="shared" si="23"/>
        <v>125</v>
      </c>
      <c r="J196" s="9">
        <f t="shared" si="24"/>
        <v>3.5642999714856001</v>
      </c>
      <c r="K196" s="140">
        <f t="shared" si="25"/>
        <v>4</v>
      </c>
      <c r="L196" s="206">
        <f t="shared" si="26"/>
        <v>3.2</v>
      </c>
      <c r="M196" s="8" t="str">
        <f t="array" ref="M196">IF(L196&gt;5,"Perlu Sensus",IF(AND(L196&gt;=0,I196&gt;0),"Tetap Deteksi","Belum Deteksi"))</f>
        <v>Tetap Deteksi</v>
      </c>
      <c r="N196" s="132">
        <v>46240</v>
      </c>
      <c r="O196" s="203">
        <v>125</v>
      </c>
      <c r="P196" s="9">
        <f t="array" ref="P196">IFERROR(O196/G196*100,0)</f>
        <v>3.5642999714856001</v>
      </c>
      <c r="Q196" s="203">
        <v>4</v>
      </c>
      <c r="R196" s="9">
        <f t="shared" si="28"/>
        <v>3.2</v>
      </c>
      <c r="S196" s="8" t="str">
        <f t="array" ref="S196">IF(R196&gt;5,"Perlu Sensus",IF(AND(R196&gt;=0,O196&gt;0),"Tetap Deteksi","Belum Deteksi"))</f>
        <v>Tetap Deteksi</v>
      </c>
      <c r="T196" s="203">
        <v>3</v>
      </c>
      <c r="U196" s="9">
        <f t="shared" si="27"/>
        <v>2.4</v>
      </c>
      <c r="V196" s="132">
        <v>46241</v>
      </c>
      <c r="W196" s="203">
        <v>300</v>
      </c>
      <c r="X196" s="203">
        <v>2</v>
      </c>
      <c r="Y196" s="9">
        <f t="shared" si="21"/>
        <v>0.66666666666666674</v>
      </c>
      <c r="Z196" s="8" t="str">
        <f t="array" ref="Z196">IF(Y196&gt;5,"Perlu Sensus",IF(AND(Y196&gt;0,,O196&gt;0),"Tetap Deteksi","Belum Deteksi"))</f>
        <v>Belum Deteksi</v>
      </c>
    </row>
    <row r="197" spans="1:26" outlineLevel="1" x14ac:dyDescent="0.15">
      <c r="A197" s="8" t="s">
        <v>1043</v>
      </c>
      <c r="B197" s="8">
        <v>2</v>
      </c>
      <c r="C197" s="8">
        <v>11</v>
      </c>
      <c r="D197" s="8" t="s">
        <v>1661</v>
      </c>
      <c r="E197" s="9">
        <v>24.22</v>
      </c>
      <c r="F197" s="8" t="s">
        <v>469</v>
      </c>
      <c r="G197" s="10">
        <v>3666</v>
      </c>
      <c r="H197" s="132">
        <f t="shared" si="22"/>
        <v>46247</v>
      </c>
      <c r="I197" s="140">
        <f t="shared" si="23"/>
        <v>141</v>
      </c>
      <c r="J197" s="9">
        <f t="shared" si="24"/>
        <v>3.8461538461538463</v>
      </c>
      <c r="K197" s="140">
        <f t="shared" si="25"/>
        <v>5</v>
      </c>
      <c r="L197" s="206">
        <f t="shared" si="26"/>
        <v>3.5460992907801421</v>
      </c>
      <c r="M197" s="8" t="str">
        <f t="array" ref="M197">IF(L197&gt;5,"Perlu Sensus",IF(AND(L197&gt;=0,I197&gt;0),"Tetap Deteksi","Belum Deteksi"))</f>
        <v>Tetap Deteksi</v>
      </c>
      <c r="N197" s="132">
        <v>46247</v>
      </c>
      <c r="O197" s="203">
        <v>141</v>
      </c>
      <c r="P197" s="9">
        <f t="array" ref="P197">IFERROR(O197/G197*100,0)</f>
        <v>3.8461538461538463</v>
      </c>
      <c r="Q197" s="203">
        <v>5</v>
      </c>
      <c r="R197" s="9">
        <f t="shared" si="28"/>
        <v>3.5460992907801421</v>
      </c>
      <c r="S197" s="8" t="str">
        <f t="array" ref="S197">IF(R197&gt;5,"Perlu Sensus",IF(AND(R197&gt;=0,O197&gt;0),"Tetap Deteksi","Belum Deteksi"))</f>
        <v>Tetap Deteksi</v>
      </c>
      <c r="T197" s="203">
        <v>3</v>
      </c>
      <c r="U197" s="9">
        <f t="shared" si="27"/>
        <v>2.1276595744680851</v>
      </c>
      <c r="V197" s="132">
        <v>46241</v>
      </c>
      <c r="W197" s="203">
        <v>431</v>
      </c>
      <c r="X197" s="203">
        <v>5</v>
      </c>
      <c r="Y197" s="9">
        <f t="shared" si="21"/>
        <v>1.160092807424594</v>
      </c>
      <c r="Z197" s="8" t="str">
        <f t="array" ref="Z197">IF(Y197&gt;5,"Perlu Sensus",IF(AND(Y197&gt;0,,O197&gt;0),"Tetap Deteksi","Belum Deteksi"))</f>
        <v>Belum Deteksi</v>
      </c>
    </row>
    <row r="198" spans="1:26" outlineLevel="1" x14ac:dyDescent="0.15">
      <c r="A198" s="8" t="s">
        <v>1043</v>
      </c>
      <c r="B198" s="8">
        <v>2</v>
      </c>
      <c r="C198" s="8">
        <v>11</v>
      </c>
      <c r="D198" s="8" t="s">
        <v>1662</v>
      </c>
      <c r="E198" s="9">
        <v>26.63</v>
      </c>
      <c r="F198" s="8" t="s">
        <v>469</v>
      </c>
      <c r="G198" s="10">
        <v>3869</v>
      </c>
      <c r="H198" s="132">
        <f t="shared" si="22"/>
        <v>46235</v>
      </c>
      <c r="I198" s="140">
        <f t="shared" si="23"/>
        <v>324</v>
      </c>
      <c r="J198" s="9">
        <f t="shared" si="24"/>
        <v>8.3742569139312479</v>
      </c>
      <c r="K198" s="140">
        <f t="shared" si="25"/>
        <v>8</v>
      </c>
      <c r="L198" s="206">
        <f t="shared" si="26"/>
        <v>2.4691358024691357</v>
      </c>
      <c r="M198" s="8" t="str">
        <f t="array" ref="M198">IF(L198&gt;5,"Perlu Sensus",IF(AND(L198&gt;=0,I198&gt;0),"Tetap Deteksi","Belum Deteksi"))</f>
        <v>Tetap Deteksi</v>
      </c>
      <c r="N198" s="132">
        <v>46235</v>
      </c>
      <c r="O198" s="203">
        <v>324</v>
      </c>
      <c r="P198" s="9">
        <f t="array" ref="P198">IFERROR(O198/G198*100,0)</f>
        <v>8.3742569139312479</v>
      </c>
      <c r="Q198" s="203">
        <v>8</v>
      </c>
      <c r="R198" s="9">
        <f t="shared" si="28"/>
        <v>2.4691358024691357</v>
      </c>
      <c r="S198" s="8" t="str">
        <f t="array" ref="S198">IF(R198&gt;5,"Perlu Sensus",IF(AND(R198&gt;=0,O198&gt;0),"Tetap Deteksi","Belum Deteksi"))</f>
        <v>Tetap Deteksi</v>
      </c>
      <c r="T198" s="203">
        <v>10</v>
      </c>
      <c r="U198" s="9">
        <f t="shared" si="27"/>
        <v>3.0864197530864197</v>
      </c>
      <c r="V198" s="132">
        <v>46241</v>
      </c>
      <c r="W198" s="203">
        <v>228</v>
      </c>
      <c r="X198" s="203">
        <v>5</v>
      </c>
      <c r="Y198" s="9">
        <f t="shared" ref="Y198:Y261" si="29">IFERROR(X198/W198*100,0)</f>
        <v>2.1929824561403506</v>
      </c>
      <c r="Z198" s="8" t="str">
        <f t="array" ref="Z198">IF(Y198&gt;5,"Perlu Sensus",IF(AND(Y198&gt;0,,O198&gt;0),"Tetap Deteksi","Belum Deteksi"))</f>
        <v>Belum Deteksi</v>
      </c>
    </row>
    <row r="199" spans="1:26" outlineLevel="1" x14ac:dyDescent="0.15">
      <c r="A199" s="8" t="s">
        <v>1043</v>
      </c>
      <c r="B199" s="8">
        <v>2</v>
      </c>
      <c r="C199" s="8">
        <v>11</v>
      </c>
      <c r="D199" s="8" t="s">
        <v>1663</v>
      </c>
      <c r="E199" s="9">
        <v>24.1</v>
      </c>
      <c r="F199" s="8" t="s">
        <v>469</v>
      </c>
      <c r="G199" s="10">
        <v>3385</v>
      </c>
      <c r="H199" s="132">
        <f t="shared" ref="H199:H262" si="30">IF(N199&gt;0,N199,V199)</f>
        <v>46237</v>
      </c>
      <c r="I199" s="140">
        <f t="shared" ref="I199:I262" si="31">IF(O199&gt;0,O199,W199)</f>
        <v>247</v>
      </c>
      <c r="J199" s="9">
        <f t="shared" ref="J199:J262" si="32">IF(P199&gt;0,P199," ")</f>
        <v>7.2968980797636629</v>
      </c>
      <c r="K199" s="140">
        <f t="shared" ref="K199:K262" si="33">IF(Q199&gt;0,Q199,X199)</f>
        <v>4</v>
      </c>
      <c r="L199" s="206">
        <f t="shared" ref="L199:L262" si="34">IFERROR(K199/I199*100,0)</f>
        <v>1.6194331983805668</v>
      </c>
      <c r="M199" s="8" t="str">
        <f t="array" ref="M199">IF(L199&gt;5,"Perlu Sensus",IF(AND(L199&gt;=0,I199&gt;0),"Tetap Deteksi","Belum Deteksi"))</f>
        <v>Tetap Deteksi</v>
      </c>
      <c r="N199" s="132">
        <v>46237</v>
      </c>
      <c r="O199" s="203">
        <v>247</v>
      </c>
      <c r="P199" s="9">
        <f t="array" ref="P199">IFERROR(O199/G199*100,0)</f>
        <v>7.2968980797636629</v>
      </c>
      <c r="Q199" s="203">
        <v>4</v>
      </c>
      <c r="R199" s="9">
        <f t="shared" si="28"/>
        <v>1.6194331983805668</v>
      </c>
      <c r="S199" s="8" t="str">
        <f t="array" ref="S199">IF(R199&gt;5,"Perlu Sensus",IF(AND(R199&gt;=0,O199&gt;0),"Tetap Deteksi","Belum Deteksi"))</f>
        <v>Tetap Deteksi</v>
      </c>
      <c r="T199" s="203">
        <v>8</v>
      </c>
      <c r="U199" s="9">
        <f t="shared" ref="U199:U262" si="35">IFERROR(T199/O199*100,0)</f>
        <v>3.2388663967611335</v>
      </c>
      <c r="V199" s="132">
        <v>46241</v>
      </c>
      <c r="W199" s="203">
        <v>170</v>
      </c>
      <c r="X199" s="203">
        <v>4</v>
      </c>
      <c r="Y199" s="9">
        <f t="shared" si="29"/>
        <v>2.3529411764705883</v>
      </c>
      <c r="Z199" s="8" t="str">
        <f t="array" ref="Z199">IF(Y199&gt;5,"Perlu Sensus",IF(AND(Y199&gt;0,,O199&gt;0),"Tetap Deteksi","Belum Deteksi"))</f>
        <v>Belum Deteksi</v>
      </c>
    </row>
    <row r="200" spans="1:26" outlineLevel="1" x14ac:dyDescent="0.15">
      <c r="A200" s="8" t="s">
        <v>1043</v>
      </c>
      <c r="B200" s="8">
        <v>2</v>
      </c>
      <c r="C200" s="8">
        <v>11</v>
      </c>
      <c r="D200" s="8" t="s">
        <v>1664</v>
      </c>
      <c r="E200" s="9">
        <v>26.07</v>
      </c>
      <c r="F200" s="8" t="s">
        <v>469</v>
      </c>
      <c r="G200" s="10">
        <v>3791</v>
      </c>
      <c r="H200" s="132">
        <f t="shared" si="30"/>
        <v>46237</v>
      </c>
      <c r="I200" s="140">
        <f t="shared" si="31"/>
        <v>110</v>
      </c>
      <c r="J200" s="9">
        <f t="shared" si="32"/>
        <v>2.901609074122923</v>
      </c>
      <c r="K200" s="140">
        <f t="shared" si="33"/>
        <v>3</v>
      </c>
      <c r="L200" s="206">
        <f t="shared" si="34"/>
        <v>2.7272727272727271</v>
      </c>
      <c r="M200" s="8" t="str">
        <f t="array" ref="M200">IF(L200&gt;5,"Perlu Sensus",IF(AND(L200&gt;=0,I200&gt;0),"Tetap Deteksi","Belum Deteksi"))</f>
        <v>Tetap Deteksi</v>
      </c>
      <c r="N200" s="132">
        <v>46237</v>
      </c>
      <c r="O200" s="203">
        <v>110</v>
      </c>
      <c r="P200" s="9">
        <f t="array" ref="P200">IFERROR(O200/G200*100,0)</f>
        <v>2.901609074122923</v>
      </c>
      <c r="Q200" s="203">
        <v>3</v>
      </c>
      <c r="R200" s="9">
        <f t="shared" si="28"/>
        <v>2.7272727272727271</v>
      </c>
      <c r="S200" s="8" t="str">
        <f t="array" ref="S200">IF(R200&gt;5,"Perlu Sensus",IF(AND(R200&gt;=0,O200&gt;0),"Tetap Deteksi","Belum Deteksi"))</f>
        <v>Tetap Deteksi</v>
      </c>
      <c r="T200" s="203">
        <v>3</v>
      </c>
      <c r="U200" s="9">
        <f t="shared" si="35"/>
        <v>2.7272727272727271</v>
      </c>
      <c r="V200" s="132">
        <v>46241</v>
      </c>
      <c r="W200" s="203">
        <v>278</v>
      </c>
      <c r="X200" s="203">
        <v>9</v>
      </c>
      <c r="Y200" s="9">
        <f t="shared" si="29"/>
        <v>3.2374100719424459</v>
      </c>
      <c r="Z200" s="8" t="str">
        <f t="array" ref="Z200">IF(Y200&gt;5,"Perlu Sensus",IF(AND(Y200&gt;0,,O200&gt;0),"Tetap Deteksi","Belum Deteksi"))</f>
        <v>Belum Deteksi</v>
      </c>
    </row>
    <row r="201" spans="1:26" outlineLevel="1" x14ac:dyDescent="0.15">
      <c r="A201" s="8" t="s">
        <v>1043</v>
      </c>
      <c r="B201" s="8">
        <v>2</v>
      </c>
      <c r="C201" s="8">
        <v>11</v>
      </c>
      <c r="D201" s="8" t="s">
        <v>1665</v>
      </c>
      <c r="E201" s="9">
        <v>25.04</v>
      </c>
      <c r="F201" s="8" t="s">
        <v>469</v>
      </c>
      <c r="G201" s="10">
        <v>3469</v>
      </c>
      <c r="H201" s="132">
        <f t="shared" si="30"/>
        <v>46235</v>
      </c>
      <c r="I201" s="140">
        <f t="shared" si="31"/>
        <v>199</v>
      </c>
      <c r="J201" s="9">
        <f t="shared" si="32"/>
        <v>5.7365234938022489</v>
      </c>
      <c r="K201" s="140">
        <f t="shared" si="33"/>
        <v>4</v>
      </c>
      <c r="L201" s="206">
        <f t="shared" si="34"/>
        <v>2.0100502512562812</v>
      </c>
      <c r="M201" s="8" t="str">
        <f t="array" ref="M201">IF(L201&gt;5,"Perlu Sensus",IF(AND(L201&gt;=0,I201&gt;0),"Tetap Deteksi","Belum Deteksi"))</f>
        <v>Tetap Deteksi</v>
      </c>
      <c r="N201" s="132">
        <v>46235</v>
      </c>
      <c r="O201" s="203">
        <v>199</v>
      </c>
      <c r="P201" s="9">
        <f t="array" ref="P201">IFERROR(O201/G201*100,0)</f>
        <v>5.7365234938022489</v>
      </c>
      <c r="Q201" s="203">
        <v>4</v>
      </c>
      <c r="R201" s="9">
        <f t="shared" si="28"/>
        <v>2.0100502512562812</v>
      </c>
      <c r="S201" s="8" t="str">
        <f t="array" ref="S201">IF(R201&gt;5,"Perlu Sensus",IF(AND(R201&gt;=0,O201&gt;0),"Tetap Deteksi","Belum Deteksi"))</f>
        <v>Tetap Deteksi</v>
      </c>
      <c r="T201" s="203">
        <v>3</v>
      </c>
      <c r="U201" s="9">
        <f t="shared" si="35"/>
        <v>1.5075376884422109</v>
      </c>
      <c r="V201" s="132">
        <v>46241</v>
      </c>
      <c r="W201" s="203">
        <v>721</v>
      </c>
      <c r="X201" s="203">
        <v>10</v>
      </c>
      <c r="Y201" s="9">
        <f t="shared" si="29"/>
        <v>1.3869625520110958</v>
      </c>
      <c r="Z201" s="8" t="str">
        <f t="array" ref="Z201">IF(Y201&gt;5,"Perlu Sensus",IF(AND(Y201&gt;0,,O201&gt;0),"Tetap Deteksi","Belum Deteksi"))</f>
        <v>Belum Deteksi</v>
      </c>
    </row>
    <row r="202" spans="1:26" outlineLevel="1" x14ac:dyDescent="0.15">
      <c r="A202" s="8" t="s">
        <v>1043</v>
      </c>
      <c r="B202" s="8">
        <v>2</v>
      </c>
      <c r="C202" s="8">
        <v>11</v>
      </c>
      <c r="D202" s="8" t="s">
        <v>1666</v>
      </c>
      <c r="E202" s="9">
        <v>20.63</v>
      </c>
      <c r="F202" s="8" t="s">
        <v>469</v>
      </c>
      <c r="G202" s="10">
        <v>2872</v>
      </c>
      <c r="H202" s="132">
        <f t="shared" si="30"/>
        <v>46242</v>
      </c>
      <c r="I202" s="140">
        <f t="shared" si="31"/>
        <v>226</v>
      </c>
      <c r="J202" s="9">
        <f t="shared" si="32"/>
        <v>7.8690807799442899</v>
      </c>
      <c r="K202" s="140">
        <f t="shared" si="33"/>
        <v>4</v>
      </c>
      <c r="L202" s="206">
        <f t="shared" si="34"/>
        <v>1.7699115044247788</v>
      </c>
      <c r="M202" s="8" t="str">
        <f t="array" ref="M202">IF(L202&gt;5,"Perlu Sensus",IF(AND(L202&gt;=0,I202&gt;0),"Tetap Deteksi","Belum Deteksi"))</f>
        <v>Tetap Deteksi</v>
      </c>
      <c r="N202" s="132">
        <v>46242</v>
      </c>
      <c r="O202" s="203">
        <v>226</v>
      </c>
      <c r="P202" s="9">
        <f t="array" ref="P202">IFERROR(O202/G202*100,0)</f>
        <v>7.8690807799442899</v>
      </c>
      <c r="Q202" s="203">
        <v>4</v>
      </c>
      <c r="R202" s="9">
        <f t="shared" si="28"/>
        <v>1.7699115044247788</v>
      </c>
      <c r="S202" s="8" t="str">
        <f t="array" ref="S202">IF(R202&gt;5,"Perlu Sensus",IF(AND(R202&gt;=0,O202&gt;0),"Tetap Deteksi","Belum Deteksi"))</f>
        <v>Tetap Deteksi</v>
      </c>
      <c r="T202" s="203">
        <v>3</v>
      </c>
      <c r="U202" s="9">
        <f t="shared" si="35"/>
        <v>1.3274336283185841</v>
      </c>
      <c r="V202" s="132">
        <v>46241</v>
      </c>
      <c r="W202" s="203">
        <v>170</v>
      </c>
      <c r="X202" s="203">
        <v>3</v>
      </c>
      <c r="Y202" s="9">
        <f t="shared" si="29"/>
        <v>1.7647058823529411</v>
      </c>
      <c r="Z202" s="8" t="str">
        <f t="array" ref="Z202">IF(Y202&gt;5,"Perlu Sensus",IF(AND(Y202&gt;0,,O202&gt;0),"Tetap Deteksi","Belum Deteksi"))</f>
        <v>Belum Deteksi</v>
      </c>
    </row>
    <row r="203" spans="1:26" outlineLevel="1" x14ac:dyDescent="0.15">
      <c r="A203" s="8" t="s">
        <v>1043</v>
      </c>
      <c r="B203" s="8">
        <v>2</v>
      </c>
      <c r="C203" s="8">
        <v>11</v>
      </c>
      <c r="D203" s="8" t="s">
        <v>1667</v>
      </c>
      <c r="E203" s="9">
        <v>47.459999999999994</v>
      </c>
      <c r="F203" s="8" t="s">
        <v>469</v>
      </c>
      <c r="G203" s="10">
        <v>6695</v>
      </c>
      <c r="H203" s="132">
        <f t="shared" si="30"/>
        <v>46238</v>
      </c>
      <c r="I203" s="140">
        <f t="shared" si="31"/>
        <v>306</v>
      </c>
      <c r="J203" s="9">
        <f t="shared" si="32"/>
        <v>4.5705750560119487</v>
      </c>
      <c r="K203" s="140">
        <f t="shared" si="33"/>
        <v>5</v>
      </c>
      <c r="L203" s="206">
        <f t="shared" si="34"/>
        <v>1.6339869281045754</v>
      </c>
      <c r="M203" s="8" t="str">
        <f t="array" ref="M203">IF(L203&gt;5,"Perlu Sensus",IF(AND(L203&gt;=0,I203&gt;0),"Tetap Deteksi","Belum Deteksi"))</f>
        <v>Tetap Deteksi</v>
      </c>
      <c r="N203" s="132">
        <v>46238</v>
      </c>
      <c r="O203" s="203">
        <v>306</v>
      </c>
      <c r="P203" s="9">
        <f t="array" ref="P203">IFERROR(O203/G203*100,0)</f>
        <v>4.5705750560119487</v>
      </c>
      <c r="Q203" s="203">
        <v>5</v>
      </c>
      <c r="R203" s="9">
        <f t="shared" si="28"/>
        <v>1.6339869281045754</v>
      </c>
      <c r="S203" s="8" t="str">
        <f t="array" ref="S203">IF(R203&gt;5,"Perlu Sensus",IF(AND(R203&gt;=0,O203&gt;0),"Tetap Deteksi","Belum Deteksi"))</f>
        <v>Tetap Deteksi</v>
      </c>
      <c r="T203" s="203">
        <v>1</v>
      </c>
      <c r="U203" s="9">
        <f t="shared" si="35"/>
        <v>0.32679738562091504</v>
      </c>
      <c r="V203" s="132">
        <v>46241</v>
      </c>
      <c r="W203" s="203">
        <v>765</v>
      </c>
      <c r="X203" s="203">
        <v>6</v>
      </c>
      <c r="Y203" s="9">
        <f t="shared" si="29"/>
        <v>0.78431372549019607</v>
      </c>
      <c r="Z203" s="8" t="str">
        <f t="array" ref="Z203">IF(Y203&gt;5,"Perlu Sensus",IF(AND(Y203&gt;0,,O203&gt;0),"Tetap Deteksi","Belum Deteksi"))</f>
        <v>Belum Deteksi</v>
      </c>
    </row>
    <row r="204" spans="1:26" outlineLevel="1" x14ac:dyDescent="0.15">
      <c r="A204" s="8" t="s">
        <v>1043</v>
      </c>
      <c r="B204" s="8">
        <v>2</v>
      </c>
      <c r="C204" s="8">
        <v>11</v>
      </c>
      <c r="D204" s="8" t="s">
        <v>1668</v>
      </c>
      <c r="E204" s="9">
        <v>43.22</v>
      </c>
      <c r="F204" s="8" t="s">
        <v>469</v>
      </c>
      <c r="G204" s="10">
        <v>5980</v>
      </c>
      <c r="H204" s="132">
        <f t="shared" si="30"/>
        <v>46235</v>
      </c>
      <c r="I204" s="140">
        <f t="shared" si="31"/>
        <v>255</v>
      </c>
      <c r="J204" s="9">
        <f t="shared" si="32"/>
        <v>4.2642140468227421</v>
      </c>
      <c r="K204" s="140">
        <f t="shared" si="33"/>
        <v>10</v>
      </c>
      <c r="L204" s="206">
        <f t="shared" si="34"/>
        <v>3.9215686274509802</v>
      </c>
      <c r="M204" s="8" t="str">
        <f t="array" ref="M204">IF(L204&gt;5,"Perlu Sensus",IF(AND(L204&gt;=0,I204&gt;0),"Tetap Deteksi","Belum Deteksi"))</f>
        <v>Tetap Deteksi</v>
      </c>
      <c r="N204" s="132">
        <v>46235</v>
      </c>
      <c r="O204" s="203">
        <v>255</v>
      </c>
      <c r="P204" s="9">
        <f t="array" ref="P204">IFERROR(O204/G204*100,0)</f>
        <v>4.2642140468227421</v>
      </c>
      <c r="Q204" s="203">
        <v>10</v>
      </c>
      <c r="R204" s="9">
        <f t="shared" si="28"/>
        <v>3.9215686274509802</v>
      </c>
      <c r="S204" s="8" t="str">
        <f t="array" ref="S204">IF(R204&gt;5,"Perlu Sensus",IF(AND(R204&gt;=0,O204&gt;0),"Tetap Deteksi","Belum Deteksi"))</f>
        <v>Tetap Deteksi</v>
      </c>
      <c r="T204" s="203">
        <v>9</v>
      </c>
      <c r="U204" s="9">
        <f t="shared" si="35"/>
        <v>3.5294117647058822</v>
      </c>
      <c r="V204" s="132">
        <v>46241</v>
      </c>
      <c r="W204" s="203">
        <v>370</v>
      </c>
      <c r="X204" s="203">
        <v>5</v>
      </c>
      <c r="Y204" s="9">
        <f t="shared" si="29"/>
        <v>1.3513513513513513</v>
      </c>
      <c r="Z204" s="8" t="str">
        <f t="array" ref="Z204">IF(Y204&gt;5,"Perlu Sensus",IF(AND(Y204&gt;0,,O204&gt;0),"Tetap Deteksi","Belum Deteksi"))</f>
        <v>Belum Deteksi</v>
      </c>
    </row>
    <row r="205" spans="1:26" outlineLevel="1" x14ac:dyDescent="0.15">
      <c r="A205" s="8" t="s">
        <v>1043</v>
      </c>
      <c r="B205" s="8">
        <v>2</v>
      </c>
      <c r="C205" s="8">
        <v>11</v>
      </c>
      <c r="D205" s="8" t="s">
        <v>1669</v>
      </c>
      <c r="E205" s="9">
        <v>38.200000000000003</v>
      </c>
      <c r="F205" s="8" t="s">
        <v>469</v>
      </c>
      <c r="G205" s="10">
        <v>4904</v>
      </c>
      <c r="H205" s="132">
        <f t="shared" si="30"/>
        <v>46238</v>
      </c>
      <c r="I205" s="140">
        <f t="shared" si="31"/>
        <v>103</v>
      </c>
      <c r="J205" s="9">
        <f t="shared" si="32"/>
        <v>2.1003262642740621</v>
      </c>
      <c r="K205" s="140">
        <f t="shared" si="33"/>
        <v>4</v>
      </c>
      <c r="L205" s="206">
        <f t="shared" si="34"/>
        <v>3.8834951456310676</v>
      </c>
      <c r="M205" s="8" t="str">
        <f t="array" ref="M205">IF(L205&gt;5,"Perlu Sensus",IF(AND(L205&gt;=0,I205&gt;0),"Tetap Deteksi","Belum Deteksi"))</f>
        <v>Tetap Deteksi</v>
      </c>
      <c r="N205" s="132">
        <v>46238</v>
      </c>
      <c r="O205" s="203">
        <v>103</v>
      </c>
      <c r="P205" s="9">
        <f t="array" ref="P205">IFERROR(O205/G205*100,0)</f>
        <v>2.1003262642740621</v>
      </c>
      <c r="Q205" s="203">
        <v>4</v>
      </c>
      <c r="R205" s="9">
        <f t="shared" si="28"/>
        <v>3.8834951456310676</v>
      </c>
      <c r="S205" s="8" t="str">
        <f t="array" ref="S205">IF(R205&gt;5,"Perlu Sensus",IF(AND(R205&gt;=0,O205&gt;0),"Tetap Deteksi","Belum Deteksi"))</f>
        <v>Tetap Deteksi</v>
      </c>
      <c r="T205" s="203">
        <v>3</v>
      </c>
      <c r="U205" s="9">
        <f t="shared" si="35"/>
        <v>2.912621359223301</v>
      </c>
      <c r="V205" s="132">
        <v>46241</v>
      </c>
      <c r="W205" s="203">
        <v>281</v>
      </c>
      <c r="X205" s="203">
        <v>7</v>
      </c>
      <c r="Y205" s="9">
        <f t="shared" si="29"/>
        <v>2.4911032028469751</v>
      </c>
      <c r="Z205" s="8" t="str">
        <f t="array" ref="Z205">IF(Y205&gt;5,"Perlu Sensus",IF(AND(Y205&gt;0,,O205&gt;0),"Tetap Deteksi","Belum Deteksi"))</f>
        <v>Belum Deteksi</v>
      </c>
    </row>
    <row r="206" spans="1:26" outlineLevel="1" x14ac:dyDescent="0.15">
      <c r="A206" s="8" t="s">
        <v>1043</v>
      </c>
      <c r="B206" s="8">
        <v>2</v>
      </c>
      <c r="C206" s="8">
        <v>11</v>
      </c>
      <c r="D206" s="8" t="s">
        <v>1670</v>
      </c>
      <c r="E206" s="9">
        <v>30.36</v>
      </c>
      <c r="F206" s="8" t="s">
        <v>469</v>
      </c>
      <c r="G206" s="10">
        <v>3454</v>
      </c>
      <c r="H206" s="132">
        <f t="shared" si="30"/>
        <v>46242</v>
      </c>
      <c r="I206" s="140">
        <f t="shared" si="31"/>
        <v>198</v>
      </c>
      <c r="J206" s="9">
        <f t="shared" si="32"/>
        <v>5.7324840764331215</v>
      </c>
      <c r="K206" s="140">
        <f t="shared" si="33"/>
        <v>4</v>
      </c>
      <c r="L206" s="206">
        <f t="shared" si="34"/>
        <v>2.0202020202020203</v>
      </c>
      <c r="M206" s="8" t="str">
        <f t="array" ref="M206">IF(L206&gt;5,"Perlu Sensus",IF(AND(L206&gt;=0,I206&gt;0),"Tetap Deteksi","Belum Deteksi"))</f>
        <v>Tetap Deteksi</v>
      </c>
      <c r="N206" s="132">
        <v>46242</v>
      </c>
      <c r="O206" s="203">
        <v>198</v>
      </c>
      <c r="P206" s="9">
        <f t="array" ref="P206">IFERROR(O206/G206*100,0)</f>
        <v>5.7324840764331215</v>
      </c>
      <c r="Q206" s="203">
        <v>4</v>
      </c>
      <c r="R206" s="9">
        <f t="shared" si="28"/>
        <v>2.0202020202020203</v>
      </c>
      <c r="S206" s="8" t="str">
        <f t="array" ref="S206">IF(R206&gt;5,"Perlu Sensus",IF(AND(R206&gt;=0,O206&gt;0),"Tetap Deteksi","Belum Deteksi"))</f>
        <v>Tetap Deteksi</v>
      </c>
      <c r="T206" s="203">
        <v>2</v>
      </c>
      <c r="U206" s="9">
        <f t="shared" si="35"/>
        <v>1.0101010101010102</v>
      </c>
      <c r="V206" s="132">
        <v>46241</v>
      </c>
      <c r="W206" s="203">
        <v>171</v>
      </c>
      <c r="X206" s="203">
        <v>1</v>
      </c>
      <c r="Y206" s="9">
        <f t="shared" si="29"/>
        <v>0.58479532163742687</v>
      </c>
      <c r="Z206" s="8" t="str">
        <f t="array" ref="Z206">IF(Y206&gt;5,"Perlu Sensus",IF(AND(Y206&gt;0,,O206&gt;0),"Tetap Deteksi","Belum Deteksi"))</f>
        <v>Belum Deteksi</v>
      </c>
    </row>
    <row r="207" spans="1:26" outlineLevel="1" x14ac:dyDescent="0.15">
      <c r="A207" s="8" t="s">
        <v>1043</v>
      </c>
      <c r="B207" s="8">
        <v>2</v>
      </c>
      <c r="C207" s="8">
        <v>11</v>
      </c>
      <c r="D207" s="8" t="s">
        <v>1671</v>
      </c>
      <c r="E207" s="9">
        <v>31.12</v>
      </c>
      <c r="F207" s="8" t="s">
        <v>469</v>
      </c>
      <c r="G207" s="10">
        <v>3771</v>
      </c>
      <c r="H207" s="132">
        <f t="shared" si="30"/>
        <v>46239</v>
      </c>
      <c r="I207" s="140">
        <f t="shared" si="31"/>
        <v>173</v>
      </c>
      <c r="J207" s="9">
        <f t="shared" si="32"/>
        <v>4.5876425351365686</v>
      </c>
      <c r="K207" s="140">
        <f t="shared" si="33"/>
        <v>4</v>
      </c>
      <c r="L207" s="206">
        <f t="shared" si="34"/>
        <v>2.3121387283236992</v>
      </c>
      <c r="M207" s="8" t="str">
        <f t="array" ref="M207">IF(L207&gt;5,"Perlu Sensus",IF(AND(L207&gt;=0,I207&gt;0),"Tetap Deteksi","Belum Deteksi"))</f>
        <v>Tetap Deteksi</v>
      </c>
      <c r="N207" s="132">
        <v>46239</v>
      </c>
      <c r="O207" s="203">
        <v>173</v>
      </c>
      <c r="P207" s="9">
        <f t="array" ref="P207">IFERROR(O207/G207*100,0)</f>
        <v>4.5876425351365686</v>
      </c>
      <c r="Q207" s="203">
        <v>4</v>
      </c>
      <c r="R207" s="9">
        <f t="shared" si="28"/>
        <v>2.3121387283236992</v>
      </c>
      <c r="S207" s="8" t="str">
        <f t="array" ref="S207">IF(R207&gt;5,"Perlu Sensus",IF(AND(R207&gt;=0,O207&gt;0),"Tetap Deteksi","Belum Deteksi"))</f>
        <v>Tetap Deteksi</v>
      </c>
      <c r="T207" s="203">
        <v>5</v>
      </c>
      <c r="U207" s="9">
        <f t="shared" si="35"/>
        <v>2.8901734104046244</v>
      </c>
      <c r="V207" s="132">
        <v>46241</v>
      </c>
      <c r="W207" s="203">
        <v>237</v>
      </c>
      <c r="X207" s="203">
        <v>1</v>
      </c>
      <c r="Y207" s="9">
        <f t="shared" si="29"/>
        <v>0.42194092827004215</v>
      </c>
      <c r="Z207" s="8" t="str">
        <f t="array" ref="Z207">IF(Y207&gt;5,"Perlu Sensus",IF(AND(Y207&gt;0,,O207&gt;0),"Tetap Deteksi","Belum Deteksi"))</f>
        <v>Belum Deteksi</v>
      </c>
    </row>
    <row r="208" spans="1:26" outlineLevel="1" x14ac:dyDescent="0.15">
      <c r="A208" s="8" t="s">
        <v>1043</v>
      </c>
      <c r="B208" s="8">
        <v>2</v>
      </c>
      <c r="C208" s="8">
        <v>11</v>
      </c>
      <c r="D208" s="8" t="s">
        <v>1672</v>
      </c>
      <c r="E208" s="9">
        <v>41.97</v>
      </c>
      <c r="F208" s="8" t="s">
        <v>469</v>
      </c>
      <c r="G208" s="10">
        <v>5049</v>
      </c>
      <c r="H208" s="132">
        <f t="shared" si="30"/>
        <v>46239</v>
      </c>
      <c r="I208" s="140">
        <f t="shared" si="31"/>
        <v>241</v>
      </c>
      <c r="J208" s="9">
        <f t="shared" si="32"/>
        <v>4.7732224202812441</v>
      </c>
      <c r="K208" s="140">
        <f t="shared" si="33"/>
        <v>9</v>
      </c>
      <c r="L208" s="206">
        <f t="shared" si="34"/>
        <v>3.7344398340248963</v>
      </c>
      <c r="M208" s="8" t="str">
        <f t="array" ref="M208">IF(L208&gt;5,"Perlu Sensus",IF(AND(L208&gt;=0,I208&gt;0),"Tetap Deteksi","Belum Deteksi"))</f>
        <v>Tetap Deteksi</v>
      </c>
      <c r="N208" s="132">
        <v>46239</v>
      </c>
      <c r="O208" s="203">
        <v>241</v>
      </c>
      <c r="P208" s="9">
        <f t="array" ref="P208">IFERROR(O208/G208*100,0)</f>
        <v>4.7732224202812441</v>
      </c>
      <c r="Q208" s="203">
        <v>9</v>
      </c>
      <c r="R208" s="9">
        <f t="shared" si="28"/>
        <v>3.7344398340248963</v>
      </c>
      <c r="S208" s="8" t="str">
        <f t="array" ref="S208">IF(R208&gt;5,"Perlu Sensus",IF(AND(R208&gt;=0,O208&gt;0),"Tetap Deteksi","Belum Deteksi"))</f>
        <v>Tetap Deteksi</v>
      </c>
      <c r="T208" s="203">
        <v>7</v>
      </c>
      <c r="U208" s="9">
        <f t="shared" si="35"/>
        <v>2.904564315352697</v>
      </c>
      <c r="V208" s="132">
        <v>46241</v>
      </c>
      <c r="W208" s="203">
        <v>267</v>
      </c>
      <c r="X208" s="203">
        <v>6</v>
      </c>
      <c r="Y208" s="9">
        <f t="shared" si="29"/>
        <v>2.2471910112359552</v>
      </c>
      <c r="Z208" s="8" t="str">
        <f t="array" ref="Z208">IF(Y208&gt;5,"Perlu Sensus",IF(AND(Y208&gt;0,,O208&gt;0),"Tetap Deteksi","Belum Deteksi"))</f>
        <v>Belum Deteksi</v>
      </c>
    </row>
    <row r="209" spans="1:26" outlineLevel="1" x14ac:dyDescent="0.15">
      <c r="A209" s="8" t="s">
        <v>1043</v>
      </c>
      <c r="B209" s="8">
        <v>2</v>
      </c>
      <c r="C209" s="8">
        <v>11</v>
      </c>
      <c r="D209" s="8" t="s">
        <v>1673</v>
      </c>
      <c r="E209" s="9">
        <v>34.050000000000004</v>
      </c>
      <c r="F209" s="8" t="s">
        <v>469</v>
      </c>
      <c r="G209" s="10">
        <v>4434</v>
      </c>
      <c r="H209" s="132">
        <f t="shared" si="30"/>
        <v>46239</v>
      </c>
      <c r="I209" s="140">
        <f t="shared" si="31"/>
        <v>120</v>
      </c>
      <c r="J209" s="9">
        <f t="shared" si="32"/>
        <v>2.7063599458728009</v>
      </c>
      <c r="K209" s="140">
        <f t="shared" si="33"/>
        <v>1</v>
      </c>
      <c r="L209" s="206">
        <f t="shared" si="34"/>
        <v>0.83333333333333337</v>
      </c>
      <c r="M209" s="8" t="str">
        <f t="array" ref="M209">IF(L209&gt;5,"Perlu Sensus",IF(AND(L209&gt;=0,I209&gt;0),"Tetap Deteksi","Belum Deteksi"))</f>
        <v>Tetap Deteksi</v>
      </c>
      <c r="N209" s="132">
        <v>46239</v>
      </c>
      <c r="O209" s="203">
        <v>120</v>
      </c>
      <c r="P209" s="9">
        <f t="array" ref="P209">IFERROR(O209/G209*100,0)</f>
        <v>2.7063599458728009</v>
      </c>
      <c r="Q209" s="203">
        <v>1</v>
      </c>
      <c r="R209" s="9">
        <f t="shared" si="28"/>
        <v>0.83333333333333337</v>
      </c>
      <c r="S209" s="8" t="str">
        <f t="array" ref="S209">IF(R209&gt;5,"Perlu Sensus",IF(AND(R209&gt;=0,O209&gt;0),"Tetap Deteksi","Belum Deteksi"))</f>
        <v>Tetap Deteksi</v>
      </c>
      <c r="T209" s="203">
        <v>2</v>
      </c>
      <c r="U209" s="9">
        <f t="shared" si="35"/>
        <v>1.6666666666666667</v>
      </c>
      <c r="V209" s="132">
        <v>46241</v>
      </c>
      <c r="W209" s="203">
        <v>337</v>
      </c>
      <c r="X209" s="203">
        <v>1</v>
      </c>
      <c r="Y209" s="9">
        <f t="shared" si="29"/>
        <v>0.29673590504451042</v>
      </c>
      <c r="Z209" s="8" t="str">
        <f t="array" ref="Z209">IF(Y209&gt;5,"Perlu Sensus",IF(AND(Y209&gt;0,,O209&gt;0),"Tetap Deteksi","Belum Deteksi"))</f>
        <v>Belum Deteksi</v>
      </c>
    </row>
    <row r="210" spans="1:26" outlineLevel="1" x14ac:dyDescent="0.15">
      <c r="A210" s="8" t="s">
        <v>1043</v>
      </c>
      <c r="B210" s="8">
        <v>2</v>
      </c>
      <c r="C210" s="8">
        <v>11</v>
      </c>
      <c r="D210" s="8" t="s">
        <v>1674</v>
      </c>
      <c r="E210" s="9">
        <v>28.18</v>
      </c>
      <c r="F210" s="8" t="s">
        <v>469</v>
      </c>
      <c r="G210" s="10">
        <v>3441</v>
      </c>
      <c r="H210" s="132">
        <f t="shared" si="30"/>
        <v>46238</v>
      </c>
      <c r="I210" s="140">
        <f t="shared" si="31"/>
        <v>233</v>
      </c>
      <c r="J210" s="9">
        <f t="shared" si="32"/>
        <v>6.7712874164487067</v>
      </c>
      <c r="K210" s="140">
        <f t="shared" si="33"/>
        <v>8</v>
      </c>
      <c r="L210" s="206">
        <f t="shared" si="34"/>
        <v>3.4334763948497855</v>
      </c>
      <c r="M210" s="8" t="str">
        <f t="array" ref="M210">IF(L210&gt;5,"Perlu Sensus",IF(AND(L210&gt;=0,I210&gt;0),"Tetap Deteksi","Belum Deteksi"))</f>
        <v>Tetap Deteksi</v>
      </c>
      <c r="N210" s="132">
        <v>46238</v>
      </c>
      <c r="O210" s="203">
        <v>233</v>
      </c>
      <c r="P210" s="9">
        <f t="array" ref="P210">IFERROR(O210/G210*100,0)</f>
        <v>6.7712874164487067</v>
      </c>
      <c r="Q210" s="203">
        <v>8</v>
      </c>
      <c r="R210" s="9">
        <f t="shared" si="28"/>
        <v>3.4334763948497855</v>
      </c>
      <c r="S210" s="8" t="str">
        <f t="array" ref="S210">IF(R210&gt;5,"Perlu Sensus",IF(AND(R210&gt;=0,O210&gt;0),"Tetap Deteksi","Belum Deteksi"))</f>
        <v>Tetap Deteksi</v>
      </c>
      <c r="T210" s="203">
        <v>6</v>
      </c>
      <c r="U210" s="9">
        <f t="shared" si="35"/>
        <v>2.5751072961373391</v>
      </c>
      <c r="V210" s="132">
        <v>46241</v>
      </c>
      <c r="W210" s="203">
        <v>298</v>
      </c>
      <c r="X210" s="203">
        <v>2</v>
      </c>
      <c r="Y210" s="9">
        <f t="shared" si="29"/>
        <v>0.67114093959731547</v>
      </c>
      <c r="Z210" s="8" t="str">
        <f t="array" ref="Z210">IF(Y210&gt;5,"Perlu Sensus",IF(AND(Y210&gt;0,,O210&gt;0),"Tetap Deteksi","Belum Deteksi"))</f>
        <v>Belum Deteksi</v>
      </c>
    </row>
    <row r="211" spans="1:26" outlineLevel="1" x14ac:dyDescent="0.15">
      <c r="A211" s="8" t="s">
        <v>1043</v>
      </c>
      <c r="B211" s="8">
        <v>2</v>
      </c>
      <c r="C211" s="8">
        <v>11</v>
      </c>
      <c r="D211" s="8" t="s">
        <v>1675</v>
      </c>
      <c r="E211" s="9">
        <v>46.42</v>
      </c>
      <c r="F211" s="8" t="s">
        <v>469</v>
      </c>
      <c r="G211" s="10">
        <v>6567</v>
      </c>
      <c r="H211" s="132">
        <f t="shared" si="30"/>
        <v>46245</v>
      </c>
      <c r="I211" s="140">
        <f t="shared" si="31"/>
        <v>157</v>
      </c>
      <c r="J211" s="9">
        <f t="shared" si="32"/>
        <v>2.3907415867214863</v>
      </c>
      <c r="K211" s="140">
        <f t="shared" si="33"/>
        <v>3</v>
      </c>
      <c r="L211" s="206">
        <f t="shared" si="34"/>
        <v>1.910828025477707</v>
      </c>
      <c r="M211" s="8" t="str">
        <f t="array" ref="M211">IF(L211&gt;5,"Perlu Sensus",IF(AND(L211&gt;=0,I211&gt;0),"Tetap Deteksi","Belum Deteksi"))</f>
        <v>Tetap Deteksi</v>
      </c>
      <c r="N211" s="132">
        <v>46245</v>
      </c>
      <c r="O211" s="203">
        <v>157</v>
      </c>
      <c r="P211" s="9">
        <f t="array" ref="P211">IFERROR(O211/G211*100,0)</f>
        <v>2.3907415867214863</v>
      </c>
      <c r="Q211" s="203">
        <v>3</v>
      </c>
      <c r="R211" s="9">
        <f t="shared" si="28"/>
        <v>1.910828025477707</v>
      </c>
      <c r="S211" s="8" t="str">
        <f t="array" ref="S211">IF(R211&gt;5,"Perlu Sensus",IF(AND(R211&gt;=0,O211&gt;0),"Tetap Deteksi","Belum Deteksi"))</f>
        <v>Tetap Deteksi</v>
      </c>
      <c r="T211" s="203">
        <v>6</v>
      </c>
      <c r="U211" s="9">
        <f t="shared" si="35"/>
        <v>3.8216560509554141</v>
      </c>
      <c r="V211" s="132">
        <v>46241</v>
      </c>
      <c r="W211" s="203">
        <v>407</v>
      </c>
      <c r="X211" s="203">
        <v>8</v>
      </c>
      <c r="Y211" s="9">
        <f t="shared" si="29"/>
        <v>1.9656019656019657</v>
      </c>
      <c r="Z211" s="8" t="str">
        <f t="array" ref="Z211">IF(Y211&gt;5,"Perlu Sensus",IF(AND(Y211&gt;0,,O211&gt;0),"Tetap Deteksi","Belum Deteksi"))</f>
        <v>Belum Deteksi</v>
      </c>
    </row>
    <row r="212" spans="1:26" outlineLevel="1" x14ac:dyDescent="0.15">
      <c r="A212" s="8" t="s">
        <v>1043</v>
      </c>
      <c r="B212" s="8">
        <v>2</v>
      </c>
      <c r="C212" s="8">
        <v>11</v>
      </c>
      <c r="D212" s="8" t="s">
        <v>1676</v>
      </c>
      <c r="E212" s="9">
        <v>39.840000000000003</v>
      </c>
      <c r="F212" s="8" t="s">
        <v>469</v>
      </c>
      <c r="G212" s="10">
        <v>5310</v>
      </c>
      <c r="H212" s="132">
        <f t="shared" si="30"/>
        <v>46235</v>
      </c>
      <c r="I212" s="140">
        <f t="shared" si="31"/>
        <v>323</v>
      </c>
      <c r="J212" s="9">
        <f t="shared" si="32"/>
        <v>6.0828625235404896</v>
      </c>
      <c r="K212" s="140">
        <f t="shared" si="33"/>
        <v>4</v>
      </c>
      <c r="L212" s="206">
        <f t="shared" si="34"/>
        <v>1.2383900928792571</v>
      </c>
      <c r="M212" s="8" t="str">
        <f t="array" ref="M212">IF(L212&gt;5,"Perlu Sensus",IF(AND(L212&gt;=0,I212&gt;0),"Tetap Deteksi","Belum Deteksi"))</f>
        <v>Tetap Deteksi</v>
      </c>
      <c r="N212" s="132">
        <v>46235</v>
      </c>
      <c r="O212" s="203">
        <v>323</v>
      </c>
      <c r="P212" s="9">
        <f t="array" ref="P212">IFERROR(O212/G212*100,0)</f>
        <v>6.0828625235404896</v>
      </c>
      <c r="Q212" s="203">
        <v>4</v>
      </c>
      <c r="R212" s="9">
        <f t="shared" ref="R212:R275" si="36">IFERROR(Q212/O212*100,0)</f>
        <v>1.2383900928792571</v>
      </c>
      <c r="S212" s="8" t="str">
        <f t="array" ref="S212">IF(R212&gt;5,"Perlu Sensus",IF(AND(R212&gt;=0,O212&gt;0),"Tetap Deteksi","Belum Deteksi"))</f>
        <v>Tetap Deteksi</v>
      </c>
      <c r="T212" s="203">
        <v>0</v>
      </c>
      <c r="U212" s="9">
        <f t="shared" si="35"/>
        <v>0</v>
      </c>
      <c r="V212" s="132">
        <v>46241</v>
      </c>
      <c r="W212" s="203">
        <v>301</v>
      </c>
      <c r="X212" s="203">
        <v>2</v>
      </c>
      <c r="Y212" s="9">
        <f t="shared" si="29"/>
        <v>0.66445182724252494</v>
      </c>
      <c r="Z212" s="8" t="str">
        <f t="array" ref="Z212">IF(Y212&gt;5,"Perlu Sensus",IF(AND(Y212&gt;0,,O212&gt;0),"Tetap Deteksi","Belum Deteksi"))</f>
        <v>Belum Deteksi</v>
      </c>
    </row>
    <row r="213" spans="1:26" outlineLevel="1" x14ac:dyDescent="0.15">
      <c r="A213" s="8" t="s">
        <v>1043</v>
      </c>
      <c r="B213" s="8">
        <v>2</v>
      </c>
      <c r="C213" s="8">
        <v>12</v>
      </c>
      <c r="D213" s="8" t="s">
        <v>1677</v>
      </c>
      <c r="E213" s="9">
        <v>44.64</v>
      </c>
      <c r="F213" s="8" t="s">
        <v>469</v>
      </c>
      <c r="G213" s="10">
        <v>2476</v>
      </c>
      <c r="H213" s="132">
        <f t="shared" si="30"/>
        <v>46246</v>
      </c>
      <c r="I213" s="140">
        <f t="shared" si="31"/>
        <v>108</v>
      </c>
      <c r="J213" s="9">
        <f t="shared" si="32"/>
        <v>4.3618739903069468</v>
      </c>
      <c r="K213" s="140">
        <f t="shared" si="33"/>
        <v>4</v>
      </c>
      <c r="L213" s="206">
        <f t="shared" si="34"/>
        <v>3.7037037037037033</v>
      </c>
      <c r="M213" s="8" t="str">
        <f t="array" ref="M213">IF(L213&gt;5,"Perlu Sensus",IF(AND(L213&gt;=0,I213&gt;0),"Tetap Deteksi","Belum Deteksi"))</f>
        <v>Tetap Deteksi</v>
      </c>
      <c r="N213" s="132">
        <v>46246</v>
      </c>
      <c r="O213" s="203">
        <v>108</v>
      </c>
      <c r="P213" s="9">
        <f t="array" ref="P213">IFERROR(O213/G213*100,0)</f>
        <v>4.3618739903069468</v>
      </c>
      <c r="Q213" s="203">
        <v>4</v>
      </c>
      <c r="R213" s="9">
        <f t="shared" si="36"/>
        <v>3.7037037037037033</v>
      </c>
      <c r="S213" s="8" t="str">
        <f t="array" ref="S213">IF(R213&gt;5,"Perlu Sensus",IF(AND(R213&gt;=0,O213&gt;0),"Tetap Deteksi","Belum Deteksi"))</f>
        <v>Tetap Deteksi</v>
      </c>
      <c r="T213" s="203">
        <v>1</v>
      </c>
      <c r="U213" s="9">
        <f t="shared" si="35"/>
        <v>0.92592592592592582</v>
      </c>
      <c r="V213" s="132">
        <v>46241</v>
      </c>
      <c r="W213" s="203">
        <v>132</v>
      </c>
      <c r="X213" s="203">
        <v>4</v>
      </c>
      <c r="Y213" s="9">
        <f t="shared" si="29"/>
        <v>3.0303030303030303</v>
      </c>
      <c r="Z213" s="8" t="str">
        <f t="array" ref="Z213">IF(Y213&gt;5,"Perlu Sensus",IF(AND(Y213&gt;0,,O213&gt;0),"Tetap Deteksi","Belum Deteksi"))</f>
        <v>Belum Deteksi</v>
      </c>
    </row>
    <row r="214" spans="1:26" outlineLevel="1" x14ac:dyDescent="0.15">
      <c r="A214" s="8" t="s">
        <v>1043</v>
      </c>
      <c r="B214" s="8">
        <v>2</v>
      </c>
      <c r="C214" s="8">
        <v>12</v>
      </c>
      <c r="D214" s="8" t="s">
        <v>1678</v>
      </c>
      <c r="E214" s="9">
        <v>38</v>
      </c>
      <c r="F214" s="8" t="s">
        <v>469</v>
      </c>
      <c r="G214" s="10">
        <v>4165</v>
      </c>
      <c r="H214" s="132">
        <f t="shared" si="30"/>
        <v>46246</v>
      </c>
      <c r="I214" s="140">
        <f t="shared" si="31"/>
        <v>150</v>
      </c>
      <c r="J214" s="9">
        <f t="shared" si="32"/>
        <v>3.601440576230492</v>
      </c>
      <c r="K214" s="140">
        <f t="shared" si="33"/>
        <v>5</v>
      </c>
      <c r="L214" s="206">
        <f t="shared" si="34"/>
        <v>3.3333333333333335</v>
      </c>
      <c r="M214" s="8" t="str">
        <f t="array" ref="M214">IF(L214&gt;5,"Perlu Sensus",IF(AND(L214&gt;=0,I214&gt;0),"Tetap Deteksi","Belum Deteksi"))</f>
        <v>Tetap Deteksi</v>
      </c>
      <c r="N214" s="132">
        <v>46246</v>
      </c>
      <c r="O214" s="203">
        <v>150</v>
      </c>
      <c r="P214" s="9">
        <f t="array" ref="P214">IFERROR(O214/G214*100,0)</f>
        <v>3.601440576230492</v>
      </c>
      <c r="Q214" s="203">
        <v>5</v>
      </c>
      <c r="R214" s="9">
        <f t="shared" si="36"/>
        <v>3.3333333333333335</v>
      </c>
      <c r="S214" s="8" t="str">
        <f t="array" ref="S214">IF(R214&gt;5,"Perlu Sensus",IF(AND(R214&gt;=0,O214&gt;0),"Tetap Deteksi","Belum Deteksi"))</f>
        <v>Tetap Deteksi</v>
      </c>
      <c r="T214" s="203">
        <v>2</v>
      </c>
      <c r="U214" s="9">
        <f t="shared" si="35"/>
        <v>1.3333333333333335</v>
      </c>
      <c r="V214" s="132">
        <v>46241</v>
      </c>
      <c r="W214" s="203">
        <v>210</v>
      </c>
      <c r="X214" s="203">
        <v>9.9999999999999995E-8</v>
      </c>
      <c r="Y214" s="9">
        <f t="shared" si="29"/>
        <v>4.761904761904762E-8</v>
      </c>
      <c r="Z214" s="8" t="str">
        <f t="array" ref="Z214">IF(Y214&gt;5,"Perlu Sensus",IF(AND(Y214&gt;0,,O214&gt;0),"Tetap Deteksi","Belum Deteksi"))</f>
        <v>Belum Deteksi</v>
      </c>
    </row>
    <row r="215" spans="1:26" outlineLevel="1" x14ac:dyDescent="0.15">
      <c r="A215" s="8" t="s">
        <v>1043</v>
      </c>
      <c r="B215" s="8">
        <v>2</v>
      </c>
      <c r="C215" s="8">
        <v>12</v>
      </c>
      <c r="D215" s="8" t="s">
        <v>1679</v>
      </c>
      <c r="E215" s="9">
        <v>32.549999999999997</v>
      </c>
      <c r="F215" s="8" t="s">
        <v>469</v>
      </c>
      <c r="G215" s="10">
        <v>4040</v>
      </c>
      <c r="H215" s="132">
        <f t="shared" si="30"/>
        <v>46244</v>
      </c>
      <c r="I215" s="140">
        <f t="shared" si="31"/>
        <v>114</v>
      </c>
      <c r="J215" s="9">
        <f t="shared" si="32"/>
        <v>2.8217821782178221</v>
      </c>
      <c r="K215" s="140">
        <f t="shared" si="33"/>
        <v>4</v>
      </c>
      <c r="L215" s="206">
        <f t="shared" si="34"/>
        <v>3.5087719298245612</v>
      </c>
      <c r="M215" s="8" t="str">
        <f t="array" ref="M215">IF(L215&gt;5,"Perlu Sensus",IF(AND(L215&gt;=0,I215&gt;0),"Tetap Deteksi","Belum Deteksi"))</f>
        <v>Tetap Deteksi</v>
      </c>
      <c r="N215" s="132">
        <v>46244</v>
      </c>
      <c r="O215" s="203">
        <v>114</v>
      </c>
      <c r="P215" s="9">
        <f t="array" ref="P215">IFERROR(O215/G215*100,0)</f>
        <v>2.8217821782178221</v>
      </c>
      <c r="Q215" s="203">
        <v>4</v>
      </c>
      <c r="R215" s="9">
        <f t="shared" si="36"/>
        <v>3.5087719298245612</v>
      </c>
      <c r="S215" s="8" t="str">
        <f t="array" ref="S215">IF(R215&gt;5,"Perlu Sensus",IF(AND(R215&gt;=0,O215&gt;0),"Tetap Deteksi","Belum Deteksi"))</f>
        <v>Tetap Deteksi</v>
      </c>
      <c r="T215" s="203">
        <v>3</v>
      </c>
      <c r="U215" s="9">
        <f t="shared" si="35"/>
        <v>2.6315789473684208</v>
      </c>
      <c r="V215" s="132">
        <v>46241</v>
      </c>
      <c r="W215" s="203">
        <v>206</v>
      </c>
      <c r="X215" s="203">
        <v>1</v>
      </c>
      <c r="Y215" s="9">
        <f t="shared" si="29"/>
        <v>0.48543689320388345</v>
      </c>
      <c r="Z215" s="8" t="str">
        <f t="array" ref="Z215">IF(Y215&gt;5,"Perlu Sensus",IF(AND(Y215&gt;0,,O215&gt;0),"Tetap Deteksi","Belum Deteksi"))</f>
        <v>Belum Deteksi</v>
      </c>
    </row>
    <row r="216" spans="1:26" outlineLevel="1" x14ac:dyDescent="0.15">
      <c r="A216" s="8" t="s">
        <v>1043</v>
      </c>
      <c r="B216" s="8">
        <v>2</v>
      </c>
      <c r="C216" s="8">
        <v>12</v>
      </c>
      <c r="D216" s="8" t="s">
        <v>1680</v>
      </c>
      <c r="E216" s="9">
        <v>22.14</v>
      </c>
      <c r="F216" s="8" t="s">
        <v>469</v>
      </c>
      <c r="G216" s="10">
        <v>2911</v>
      </c>
      <c r="H216" s="132">
        <f t="shared" si="30"/>
        <v>46245</v>
      </c>
      <c r="I216" s="140">
        <f t="shared" si="31"/>
        <v>143</v>
      </c>
      <c r="J216" s="9">
        <f t="shared" si="32"/>
        <v>4.9124012366884235</v>
      </c>
      <c r="K216" s="140">
        <f t="shared" si="33"/>
        <v>5</v>
      </c>
      <c r="L216" s="206">
        <f t="shared" si="34"/>
        <v>3.4965034965034967</v>
      </c>
      <c r="M216" s="8" t="str">
        <f t="array" ref="M216">IF(L216&gt;5,"Perlu Sensus",IF(AND(L216&gt;=0,I216&gt;0),"Tetap Deteksi","Belum Deteksi"))</f>
        <v>Tetap Deteksi</v>
      </c>
      <c r="N216" s="132">
        <v>46245</v>
      </c>
      <c r="O216" s="203">
        <v>143</v>
      </c>
      <c r="P216" s="9">
        <f t="array" ref="P216">IFERROR(O216/G216*100,0)</f>
        <v>4.9124012366884235</v>
      </c>
      <c r="Q216" s="203">
        <v>5</v>
      </c>
      <c r="R216" s="9">
        <f t="shared" si="36"/>
        <v>3.4965034965034967</v>
      </c>
      <c r="S216" s="8" t="str">
        <f t="array" ref="S216">IF(R216&gt;5,"Perlu Sensus",IF(AND(R216&gt;=0,O216&gt;0),"Tetap Deteksi","Belum Deteksi"))</f>
        <v>Tetap Deteksi</v>
      </c>
      <c r="T216" s="203">
        <v>4</v>
      </c>
      <c r="U216" s="9">
        <f t="shared" si="35"/>
        <v>2.7972027972027971</v>
      </c>
      <c r="V216" s="132">
        <v>46241</v>
      </c>
      <c r="W216" s="203">
        <v>179</v>
      </c>
      <c r="X216" s="203">
        <v>9.9999999999999995E-8</v>
      </c>
      <c r="Y216" s="9">
        <f t="shared" si="29"/>
        <v>5.5865921787709496E-8</v>
      </c>
      <c r="Z216" s="8" t="str">
        <f t="array" ref="Z216">IF(Y216&gt;5,"Perlu Sensus",IF(AND(Y216&gt;0,,O216&gt;0),"Tetap Deteksi","Belum Deteksi"))</f>
        <v>Belum Deteksi</v>
      </c>
    </row>
    <row r="217" spans="1:26" outlineLevel="1" x14ac:dyDescent="0.15">
      <c r="A217" s="8" t="s">
        <v>1043</v>
      </c>
      <c r="B217" s="8">
        <v>2</v>
      </c>
      <c r="C217" s="8">
        <v>12</v>
      </c>
      <c r="D217" s="8" t="s">
        <v>1681</v>
      </c>
      <c r="E217" s="9">
        <v>39.090000000000003</v>
      </c>
      <c r="F217" s="8" t="s">
        <v>469</v>
      </c>
      <c r="G217" s="10">
        <v>5192</v>
      </c>
      <c r="H217" s="132">
        <f t="shared" si="30"/>
        <v>46245</v>
      </c>
      <c r="I217" s="140">
        <f t="shared" si="31"/>
        <v>111</v>
      </c>
      <c r="J217" s="9">
        <f t="shared" si="32"/>
        <v>2.1379044684129429</v>
      </c>
      <c r="K217" s="140">
        <f t="shared" si="33"/>
        <v>2</v>
      </c>
      <c r="L217" s="206">
        <f t="shared" si="34"/>
        <v>1.8018018018018018</v>
      </c>
      <c r="M217" s="8" t="str">
        <f t="array" ref="M217">IF(L217&gt;5,"Perlu Sensus",IF(AND(L217&gt;=0,I217&gt;0),"Tetap Deteksi","Belum Deteksi"))</f>
        <v>Tetap Deteksi</v>
      </c>
      <c r="N217" s="132">
        <v>46245</v>
      </c>
      <c r="O217" s="203">
        <v>111</v>
      </c>
      <c r="P217" s="9">
        <f t="array" ref="P217">IFERROR(O217/G217*100,0)</f>
        <v>2.1379044684129429</v>
      </c>
      <c r="Q217" s="203">
        <v>2</v>
      </c>
      <c r="R217" s="9">
        <f t="shared" si="36"/>
        <v>1.8018018018018018</v>
      </c>
      <c r="S217" s="8" t="str">
        <f t="array" ref="S217">IF(R217&gt;5,"Perlu Sensus",IF(AND(R217&gt;=0,O217&gt;0),"Tetap Deteksi","Belum Deteksi"))</f>
        <v>Tetap Deteksi</v>
      </c>
      <c r="T217" s="203">
        <v>3</v>
      </c>
      <c r="U217" s="9">
        <f t="shared" si="35"/>
        <v>2.7027027027027026</v>
      </c>
      <c r="V217" s="132">
        <v>46241</v>
      </c>
      <c r="W217" s="203">
        <v>290</v>
      </c>
      <c r="X217" s="203">
        <v>6</v>
      </c>
      <c r="Y217" s="9">
        <f t="shared" si="29"/>
        <v>2.0689655172413794</v>
      </c>
      <c r="Z217" s="8" t="str">
        <f t="array" ref="Z217">IF(Y217&gt;5,"Perlu Sensus",IF(AND(Y217&gt;0,,O217&gt;0),"Tetap Deteksi","Belum Deteksi"))</f>
        <v>Belum Deteksi</v>
      </c>
    </row>
    <row r="218" spans="1:26" outlineLevel="1" x14ac:dyDescent="0.15">
      <c r="A218" s="8" t="s">
        <v>1043</v>
      </c>
      <c r="B218" s="8">
        <v>2</v>
      </c>
      <c r="C218" s="8">
        <v>12</v>
      </c>
      <c r="D218" s="8" t="s">
        <v>1682</v>
      </c>
      <c r="E218" s="9">
        <v>27.35</v>
      </c>
      <c r="F218" s="8" t="s">
        <v>469</v>
      </c>
      <c r="G218" s="10">
        <v>2651</v>
      </c>
      <c r="H218" s="132">
        <f t="shared" si="30"/>
        <v>46241</v>
      </c>
      <c r="I218" s="140">
        <f t="shared" si="31"/>
        <v>136</v>
      </c>
      <c r="J218" s="9">
        <f t="shared" si="32"/>
        <v>5.1301395699735952</v>
      </c>
      <c r="K218" s="140">
        <f t="shared" si="33"/>
        <v>4</v>
      </c>
      <c r="L218" s="206">
        <f t="shared" si="34"/>
        <v>2.9411764705882351</v>
      </c>
      <c r="M218" s="8" t="str">
        <f t="array" ref="M218">IF(L218&gt;5,"Perlu Sensus",IF(AND(L218&gt;=0,I218&gt;0),"Tetap Deteksi","Belum Deteksi"))</f>
        <v>Tetap Deteksi</v>
      </c>
      <c r="N218" s="132">
        <v>46241</v>
      </c>
      <c r="O218" s="203">
        <v>136</v>
      </c>
      <c r="P218" s="9">
        <f t="array" ref="P218">IFERROR(O218/G218*100,0)</f>
        <v>5.1301395699735952</v>
      </c>
      <c r="Q218" s="203">
        <v>4</v>
      </c>
      <c r="R218" s="9">
        <f t="shared" si="36"/>
        <v>2.9411764705882351</v>
      </c>
      <c r="S218" s="8" t="str">
        <f t="array" ref="S218">IF(R218&gt;5,"Perlu Sensus",IF(AND(R218&gt;=0,O218&gt;0),"Tetap Deteksi","Belum Deteksi"))</f>
        <v>Tetap Deteksi</v>
      </c>
      <c r="T218" s="203">
        <v>5</v>
      </c>
      <c r="U218" s="9">
        <f t="shared" si="35"/>
        <v>3.6764705882352944</v>
      </c>
      <c r="V218" s="132">
        <v>46241</v>
      </c>
      <c r="W218" s="203">
        <v>148</v>
      </c>
      <c r="X218" s="203">
        <v>5</v>
      </c>
      <c r="Y218" s="9">
        <f t="shared" si="29"/>
        <v>3.3783783783783785</v>
      </c>
      <c r="Z218" s="8" t="str">
        <f t="array" ref="Z218">IF(Y218&gt;5,"Perlu Sensus",IF(AND(Y218&gt;0,,O218&gt;0),"Tetap Deteksi","Belum Deteksi"))</f>
        <v>Belum Deteksi</v>
      </c>
    </row>
    <row r="219" spans="1:26" outlineLevel="1" x14ac:dyDescent="0.15">
      <c r="A219" s="8" t="s">
        <v>1043</v>
      </c>
      <c r="B219" s="8">
        <v>2</v>
      </c>
      <c r="C219" s="8">
        <v>12</v>
      </c>
      <c r="D219" s="8" t="s">
        <v>1683</v>
      </c>
      <c r="E219" s="9">
        <v>33.319999999999993</v>
      </c>
      <c r="F219" s="8" t="s">
        <v>469</v>
      </c>
      <c r="G219" s="10">
        <v>3465</v>
      </c>
      <c r="H219" s="132">
        <f t="shared" si="30"/>
        <v>46249</v>
      </c>
      <c r="I219" s="140">
        <f t="shared" si="31"/>
        <v>116</v>
      </c>
      <c r="J219" s="9">
        <f t="shared" si="32"/>
        <v>3.3477633477633479</v>
      </c>
      <c r="K219" s="140">
        <f t="shared" si="33"/>
        <v>2</v>
      </c>
      <c r="L219" s="206">
        <f t="shared" si="34"/>
        <v>1.7241379310344827</v>
      </c>
      <c r="M219" s="8" t="str">
        <f t="array" ref="M219">IF(L219&gt;5,"Perlu Sensus",IF(AND(L219&gt;=0,I219&gt;0),"Tetap Deteksi","Belum Deteksi"))</f>
        <v>Tetap Deteksi</v>
      </c>
      <c r="N219" s="132">
        <v>46249</v>
      </c>
      <c r="O219" s="203">
        <v>116</v>
      </c>
      <c r="P219" s="9">
        <f t="array" ref="P219">IFERROR(O219/G219*100,0)</f>
        <v>3.3477633477633479</v>
      </c>
      <c r="Q219" s="203">
        <v>2</v>
      </c>
      <c r="R219" s="9">
        <f t="shared" si="36"/>
        <v>1.7241379310344827</v>
      </c>
      <c r="S219" s="8" t="str">
        <f t="array" ref="S219">IF(R219&gt;5,"Perlu Sensus",IF(AND(R219&gt;=0,O219&gt;0),"Tetap Deteksi","Belum Deteksi"))</f>
        <v>Tetap Deteksi</v>
      </c>
      <c r="T219" s="203">
        <v>2</v>
      </c>
      <c r="U219" s="9">
        <f t="shared" si="35"/>
        <v>1.7241379310344827</v>
      </c>
      <c r="V219" s="132">
        <v>46241</v>
      </c>
      <c r="W219" s="203">
        <v>350</v>
      </c>
      <c r="X219" s="203">
        <v>4</v>
      </c>
      <c r="Y219" s="9">
        <f t="shared" si="29"/>
        <v>1.1428571428571428</v>
      </c>
      <c r="Z219" s="8" t="str">
        <f t="array" ref="Z219">IF(Y219&gt;5,"Perlu Sensus",IF(AND(Y219&gt;0,,O219&gt;0),"Tetap Deteksi","Belum Deteksi"))</f>
        <v>Belum Deteksi</v>
      </c>
    </row>
    <row r="220" spans="1:26" outlineLevel="1" x14ac:dyDescent="0.15">
      <c r="A220" s="8" t="s">
        <v>1043</v>
      </c>
      <c r="B220" s="8">
        <v>2</v>
      </c>
      <c r="C220" s="8">
        <v>12</v>
      </c>
      <c r="D220" s="8" t="s">
        <v>1684</v>
      </c>
      <c r="E220" s="9">
        <v>30.24</v>
      </c>
      <c r="F220" s="8" t="s">
        <v>469</v>
      </c>
      <c r="G220" s="10">
        <v>3403</v>
      </c>
      <c r="H220" s="132">
        <f t="shared" si="30"/>
        <v>46239</v>
      </c>
      <c r="I220" s="140">
        <f t="shared" si="31"/>
        <v>110</v>
      </c>
      <c r="J220" s="9">
        <f t="shared" si="32"/>
        <v>3.2324419629738461</v>
      </c>
      <c r="K220" s="140">
        <f t="shared" si="33"/>
        <v>3</v>
      </c>
      <c r="L220" s="206">
        <f t="shared" si="34"/>
        <v>2.7272727272727271</v>
      </c>
      <c r="M220" s="8" t="str">
        <f t="array" ref="M220">IF(L220&gt;5,"Perlu Sensus",IF(AND(L220&gt;=0,I220&gt;0),"Tetap Deteksi","Belum Deteksi"))</f>
        <v>Tetap Deteksi</v>
      </c>
      <c r="N220" s="132">
        <v>46239</v>
      </c>
      <c r="O220" s="203">
        <v>110</v>
      </c>
      <c r="P220" s="9">
        <f t="array" ref="P220">IFERROR(O220/G220*100,0)</f>
        <v>3.2324419629738461</v>
      </c>
      <c r="Q220" s="203">
        <v>3</v>
      </c>
      <c r="R220" s="9">
        <f t="shared" si="36"/>
        <v>2.7272727272727271</v>
      </c>
      <c r="S220" s="8" t="str">
        <f t="array" ref="S220">IF(R220&gt;5,"Perlu Sensus",IF(AND(R220&gt;=0,O220&gt;0),"Tetap Deteksi","Belum Deteksi"))</f>
        <v>Tetap Deteksi</v>
      </c>
      <c r="T220" s="203">
        <v>2</v>
      </c>
      <c r="U220" s="9">
        <f t="shared" si="35"/>
        <v>1.8181818181818181</v>
      </c>
      <c r="V220" s="132">
        <v>46241</v>
      </c>
      <c r="W220" s="203">
        <v>174</v>
      </c>
      <c r="X220" s="203">
        <v>1</v>
      </c>
      <c r="Y220" s="9">
        <f t="shared" si="29"/>
        <v>0.57471264367816088</v>
      </c>
      <c r="Z220" s="8" t="str">
        <f t="array" ref="Z220">IF(Y220&gt;5,"Perlu Sensus",IF(AND(Y220&gt;0,,O220&gt;0),"Tetap Deteksi","Belum Deteksi"))</f>
        <v>Belum Deteksi</v>
      </c>
    </row>
    <row r="221" spans="1:26" outlineLevel="1" x14ac:dyDescent="0.15">
      <c r="A221" s="8" t="s">
        <v>1043</v>
      </c>
      <c r="B221" s="8">
        <v>2</v>
      </c>
      <c r="C221" s="8">
        <v>12</v>
      </c>
      <c r="D221" s="8" t="s">
        <v>1685</v>
      </c>
      <c r="E221" s="9">
        <v>44.79</v>
      </c>
      <c r="F221" s="8" t="s">
        <v>469</v>
      </c>
      <c r="G221" s="10">
        <v>4006</v>
      </c>
      <c r="H221" s="132">
        <f t="shared" si="30"/>
        <v>46236</v>
      </c>
      <c r="I221" s="140">
        <f t="shared" si="31"/>
        <v>222</v>
      </c>
      <c r="J221" s="9">
        <f t="shared" si="32"/>
        <v>5.5416874687968045</v>
      </c>
      <c r="K221" s="140">
        <f t="shared" si="33"/>
        <v>4</v>
      </c>
      <c r="L221" s="206">
        <f t="shared" si="34"/>
        <v>1.8018018018018018</v>
      </c>
      <c r="M221" s="8" t="str">
        <f t="array" ref="M221">IF(L221&gt;5,"Perlu Sensus",IF(AND(L221&gt;=0,I221&gt;0),"Tetap Deteksi","Belum Deteksi"))</f>
        <v>Tetap Deteksi</v>
      </c>
      <c r="N221" s="132">
        <v>46236</v>
      </c>
      <c r="O221" s="203">
        <v>222</v>
      </c>
      <c r="P221" s="9">
        <f t="array" ref="P221">IFERROR(O221/G221*100,0)</f>
        <v>5.5416874687968045</v>
      </c>
      <c r="Q221" s="203">
        <v>4</v>
      </c>
      <c r="R221" s="9">
        <f t="shared" si="36"/>
        <v>1.8018018018018018</v>
      </c>
      <c r="S221" s="8" t="str">
        <f t="array" ref="S221">IF(R221&gt;5,"Perlu Sensus",IF(AND(R221&gt;=0,O221&gt;0),"Tetap Deteksi","Belum Deteksi"))</f>
        <v>Tetap Deteksi</v>
      </c>
      <c r="T221" s="203">
        <v>4</v>
      </c>
      <c r="U221" s="9">
        <f t="shared" si="35"/>
        <v>1.8018018018018018</v>
      </c>
      <c r="V221" s="132">
        <v>46241</v>
      </c>
      <c r="W221" s="203">
        <v>244</v>
      </c>
      <c r="X221" s="203">
        <v>6</v>
      </c>
      <c r="Y221" s="9">
        <f t="shared" si="29"/>
        <v>2.459016393442623</v>
      </c>
      <c r="Z221" s="8" t="str">
        <f t="array" ref="Z221">IF(Y221&gt;5,"Perlu Sensus",IF(AND(Y221&gt;0,,O221&gt;0),"Tetap Deteksi","Belum Deteksi"))</f>
        <v>Belum Deteksi</v>
      </c>
    </row>
    <row r="222" spans="1:26" outlineLevel="1" x14ac:dyDescent="0.15">
      <c r="A222" s="8" t="s">
        <v>1043</v>
      </c>
      <c r="B222" s="8">
        <v>2</v>
      </c>
      <c r="C222" s="8">
        <v>12</v>
      </c>
      <c r="D222" s="8" t="s">
        <v>1686</v>
      </c>
      <c r="E222" s="9">
        <v>39.979999999999997</v>
      </c>
      <c r="F222" s="8" t="s">
        <v>469</v>
      </c>
      <c r="G222" s="10">
        <v>4596</v>
      </c>
      <c r="H222" s="132">
        <f t="shared" si="30"/>
        <v>46242</v>
      </c>
      <c r="I222" s="140">
        <f t="shared" si="31"/>
        <v>228</v>
      </c>
      <c r="J222" s="9">
        <f t="shared" si="32"/>
        <v>4.9608355091383807</v>
      </c>
      <c r="K222" s="140">
        <f t="shared" si="33"/>
        <v>5</v>
      </c>
      <c r="L222" s="206">
        <f t="shared" si="34"/>
        <v>2.1929824561403506</v>
      </c>
      <c r="M222" s="8" t="str">
        <f t="array" ref="M222">IF(L222&gt;5,"Perlu Sensus",IF(AND(L222&gt;=0,I222&gt;0),"Tetap Deteksi","Belum Deteksi"))</f>
        <v>Tetap Deteksi</v>
      </c>
      <c r="N222" s="132">
        <v>46242</v>
      </c>
      <c r="O222" s="203">
        <v>228</v>
      </c>
      <c r="P222" s="9">
        <f t="array" ref="P222">IFERROR(O222/G222*100,0)</f>
        <v>4.9608355091383807</v>
      </c>
      <c r="Q222" s="203">
        <v>5</v>
      </c>
      <c r="R222" s="9">
        <f t="shared" si="36"/>
        <v>2.1929824561403506</v>
      </c>
      <c r="S222" s="8" t="str">
        <f t="array" ref="S222">IF(R222&gt;5,"Perlu Sensus",IF(AND(R222&gt;=0,O222&gt;0),"Tetap Deteksi","Belum Deteksi"))</f>
        <v>Tetap Deteksi</v>
      </c>
      <c r="T222" s="203">
        <v>7</v>
      </c>
      <c r="U222" s="9">
        <f t="shared" si="35"/>
        <v>3.070175438596491</v>
      </c>
      <c r="V222" s="132">
        <v>46241</v>
      </c>
      <c r="W222" s="203">
        <v>228</v>
      </c>
      <c r="X222" s="203">
        <v>2</v>
      </c>
      <c r="Y222" s="9">
        <f t="shared" si="29"/>
        <v>0.8771929824561403</v>
      </c>
      <c r="Z222" s="8" t="str">
        <f t="array" ref="Z222">IF(Y222&gt;5,"Perlu Sensus",IF(AND(Y222&gt;0,,O222&gt;0),"Tetap Deteksi","Belum Deteksi"))</f>
        <v>Belum Deteksi</v>
      </c>
    </row>
    <row r="223" spans="1:26" outlineLevel="1" x14ac:dyDescent="0.15">
      <c r="A223" s="8" t="s">
        <v>1043</v>
      </c>
      <c r="B223" s="8">
        <v>2</v>
      </c>
      <c r="C223" s="8">
        <v>12</v>
      </c>
      <c r="D223" s="8" t="s">
        <v>1687</v>
      </c>
      <c r="E223" s="9">
        <v>48.69</v>
      </c>
      <c r="F223" s="8" t="s">
        <v>469</v>
      </c>
      <c r="G223" s="10">
        <v>4960</v>
      </c>
      <c r="H223" s="132">
        <f t="shared" si="30"/>
        <v>46241</v>
      </c>
      <c r="I223" s="140">
        <f t="shared" si="31"/>
        <v>115</v>
      </c>
      <c r="J223" s="9">
        <f t="shared" si="32"/>
        <v>2.318548387096774</v>
      </c>
      <c r="K223" s="140">
        <f t="shared" si="33"/>
        <v>3</v>
      </c>
      <c r="L223" s="206">
        <f t="shared" si="34"/>
        <v>2.6086956521739131</v>
      </c>
      <c r="M223" s="8" t="str">
        <f t="array" ref="M223">IF(L223&gt;5,"Perlu Sensus",IF(AND(L223&gt;=0,I223&gt;0),"Tetap Deteksi","Belum Deteksi"))</f>
        <v>Tetap Deteksi</v>
      </c>
      <c r="N223" s="132">
        <v>46241</v>
      </c>
      <c r="O223" s="203">
        <v>115</v>
      </c>
      <c r="P223" s="9">
        <f t="array" ref="P223">IFERROR(O223/G223*100,0)</f>
        <v>2.318548387096774</v>
      </c>
      <c r="Q223" s="203">
        <v>3</v>
      </c>
      <c r="R223" s="9">
        <f t="shared" si="36"/>
        <v>2.6086956521739131</v>
      </c>
      <c r="S223" s="8" t="str">
        <f t="array" ref="S223">IF(R223&gt;5,"Perlu Sensus",IF(AND(R223&gt;=0,O223&gt;0),"Tetap Deteksi","Belum Deteksi"))</f>
        <v>Tetap Deteksi</v>
      </c>
      <c r="T223" s="203">
        <v>4</v>
      </c>
      <c r="U223" s="9">
        <f t="shared" si="35"/>
        <v>3.4782608695652173</v>
      </c>
      <c r="V223" s="132">
        <v>46241</v>
      </c>
      <c r="W223" s="203">
        <v>294</v>
      </c>
      <c r="X223" s="203">
        <v>5</v>
      </c>
      <c r="Y223" s="9">
        <f t="shared" si="29"/>
        <v>1.7006802721088436</v>
      </c>
      <c r="Z223" s="8" t="str">
        <f t="array" ref="Z223">IF(Y223&gt;5,"Perlu Sensus",IF(AND(Y223&gt;0,,O223&gt;0),"Tetap Deteksi","Belum Deteksi"))</f>
        <v>Belum Deteksi</v>
      </c>
    </row>
    <row r="224" spans="1:26" outlineLevel="1" x14ac:dyDescent="0.15">
      <c r="A224" s="8" t="s">
        <v>1043</v>
      </c>
      <c r="B224" s="8">
        <v>2</v>
      </c>
      <c r="C224" s="8">
        <v>12</v>
      </c>
      <c r="D224" s="8" t="s">
        <v>1688</v>
      </c>
      <c r="E224" s="9">
        <v>31.849999999999998</v>
      </c>
      <c r="F224" s="8" t="s">
        <v>469</v>
      </c>
      <c r="G224" s="10">
        <v>3390</v>
      </c>
      <c r="H224" s="132">
        <f t="shared" si="30"/>
        <v>46239</v>
      </c>
      <c r="I224" s="140">
        <f t="shared" si="31"/>
        <v>202</v>
      </c>
      <c r="J224" s="9">
        <f t="shared" si="32"/>
        <v>5.9587020648967552</v>
      </c>
      <c r="K224" s="140">
        <f t="shared" si="33"/>
        <v>5</v>
      </c>
      <c r="L224" s="206">
        <f t="shared" si="34"/>
        <v>2.4752475247524752</v>
      </c>
      <c r="M224" s="8" t="str">
        <f t="array" ref="M224">IF(L224&gt;5,"Perlu Sensus",IF(AND(L224&gt;=0,I224&gt;0),"Tetap Deteksi","Belum Deteksi"))</f>
        <v>Tetap Deteksi</v>
      </c>
      <c r="N224" s="132">
        <v>46239</v>
      </c>
      <c r="O224" s="203">
        <v>202</v>
      </c>
      <c r="P224" s="9">
        <f t="array" ref="P224">IFERROR(O224/G224*100,0)</f>
        <v>5.9587020648967552</v>
      </c>
      <c r="Q224" s="203">
        <v>5</v>
      </c>
      <c r="R224" s="9">
        <f t="shared" si="36"/>
        <v>2.4752475247524752</v>
      </c>
      <c r="S224" s="8" t="str">
        <f t="array" ref="S224">IF(R224&gt;5,"Perlu Sensus",IF(AND(R224&gt;=0,O224&gt;0),"Tetap Deteksi","Belum Deteksi"))</f>
        <v>Tetap Deteksi</v>
      </c>
      <c r="T224" s="203">
        <v>5</v>
      </c>
      <c r="U224" s="9">
        <f t="shared" si="35"/>
        <v>2.4752475247524752</v>
      </c>
      <c r="V224" s="132">
        <v>46241</v>
      </c>
      <c r="W224" s="203">
        <v>177</v>
      </c>
      <c r="X224" s="203">
        <v>5</v>
      </c>
      <c r="Y224" s="9">
        <f t="shared" si="29"/>
        <v>2.8248587570621471</v>
      </c>
      <c r="Z224" s="8" t="str">
        <f t="array" ref="Z224">IF(Y224&gt;5,"Perlu Sensus",IF(AND(Y224&gt;0,,O224&gt;0),"Tetap Deteksi","Belum Deteksi"))</f>
        <v>Belum Deteksi</v>
      </c>
    </row>
    <row r="225" spans="1:26" outlineLevel="1" x14ac:dyDescent="0.15">
      <c r="A225" s="8" t="s">
        <v>1043</v>
      </c>
      <c r="B225" s="8">
        <v>2</v>
      </c>
      <c r="C225" s="8">
        <v>12</v>
      </c>
      <c r="D225" s="8" t="s">
        <v>1689</v>
      </c>
      <c r="E225" s="9">
        <v>30.54</v>
      </c>
      <c r="F225" s="8" t="s">
        <v>469</v>
      </c>
      <c r="G225" s="10">
        <v>3067</v>
      </c>
      <c r="H225" s="132">
        <f t="shared" si="30"/>
        <v>46247</v>
      </c>
      <c r="I225" s="140">
        <f t="shared" si="31"/>
        <v>215</v>
      </c>
      <c r="J225" s="9">
        <f t="shared" si="32"/>
        <v>7.0101075970003262</v>
      </c>
      <c r="K225" s="140">
        <f t="shared" si="33"/>
        <v>7</v>
      </c>
      <c r="L225" s="206">
        <f t="shared" si="34"/>
        <v>3.2558139534883721</v>
      </c>
      <c r="M225" s="8" t="str">
        <f t="array" ref="M225">IF(L225&gt;5,"Perlu Sensus",IF(AND(L225&gt;=0,I225&gt;0),"Tetap Deteksi","Belum Deteksi"))</f>
        <v>Tetap Deteksi</v>
      </c>
      <c r="N225" s="132">
        <v>46247</v>
      </c>
      <c r="O225" s="203">
        <v>215</v>
      </c>
      <c r="P225" s="9">
        <f t="array" ref="P225">IFERROR(O225/G225*100,0)</f>
        <v>7.0101075970003262</v>
      </c>
      <c r="Q225" s="203">
        <v>7</v>
      </c>
      <c r="R225" s="9">
        <f t="shared" si="36"/>
        <v>3.2558139534883721</v>
      </c>
      <c r="S225" s="8" t="str">
        <f t="array" ref="S225">IF(R225&gt;5,"Perlu Sensus",IF(AND(R225&gt;=0,O225&gt;0),"Tetap Deteksi","Belum Deteksi"))</f>
        <v>Tetap Deteksi</v>
      </c>
      <c r="T225" s="203">
        <v>5</v>
      </c>
      <c r="U225" s="9">
        <f t="shared" si="35"/>
        <v>2.3255813953488373</v>
      </c>
      <c r="V225" s="132">
        <v>46249</v>
      </c>
      <c r="W225" s="203">
        <v>174</v>
      </c>
      <c r="X225" s="203">
        <v>1</v>
      </c>
      <c r="Y225" s="9">
        <f t="shared" si="29"/>
        <v>0.57471264367816088</v>
      </c>
      <c r="Z225" s="8" t="str">
        <f t="array" ref="Z225">IF(Y225&gt;5,"Perlu Sensus",IF(AND(Y225&gt;0,,O225&gt;0),"Tetap Deteksi","Belum Deteksi"))</f>
        <v>Belum Deteksi</v>
      </c>
    </row>
    <row r="226" spans="1:26" outlineLevel="1" x14ac:dyDescent="0.15">
      <c r="A226" s="8" t="s">
        <v>1043</v>
      </c>
      <c r="B226" s="8">
        <v>2</v>
      </c>
      <c r="C226" s="8">
        <v>12</v>
      </c>
      <c r="D226" s="8" t="s">
        <v>1690</v>
      </c>
      <c r="E226" s="9">
        <v>25.54</v>
      </c>
      <c r="F226" s="8" t="s">
        <v>469</v>
      </c>
      <c r="G226" s="10">
        <v>2342</v>
      </c>
      <c r="H226" s="132">
        <f t="shared" si="30"/>
        <v>46235</v>
      </c>
      <c r="I226" s="140">
        <f t="shared" si="31"/>
        <v>346</v>
      </c>
      <c r="J226" s="9">
        <f t="shared" si="32"/>
        <v>14.773697694278395</v>
      </c>
      <c r="K226" s="140">
        <f t="shared" si="33"/>
        <v>11</v>
      </c>
      <c r="L226" s="206">
        <f t="shared" si="34"/>
        <v>3.1791907514450863</v>
      </c>
      <c r="M226" s="8" t="str">
        <f t="array" ref="M226">IF(L226&gt;5,"Perlu Sensus",IF(AND(L226&gt;=0,I226&gt;0),"Tetap Deteksi","Belum Deteksi"))</f>
        <v>Tetap Deteksi</v>
      </c>
      <c r="N226" s="132">
        <v>46235</v>
      </c>
      <c r="O226" s="203">
        <v>346</v>
      </c>
      <c r="P226" s="9">
        <f t="array" ref="P226">IFERROR(O226/G226*100,0)</f>
        <v>14.773697694278395</v>
      </c>
      <c r="Q226" s="203">
        <v>11</v>
      </c>
      <c r="R226" s="9">
        <f t="shared" si="36"/>
        <v>3.1791907514450863</v>
      </c>
      <c r="S226" s="8" t="str">
        <f t="array" ref="S226">IF(R226&gt;5,"Perlu Sensus",IF(AND(R226&gt;=0,O226&gt;0),"Tetap Deteksi","Belum Deteksi"))</f>
        <v>Tetap Deteksi</v>
      </c>
      <c r="T226" s="203">
        <v>2</v>
      </c>
      <c r="U226" s="9">
        <f t="shared" si="35"/>
        <v>0.57803468208092479</v>
      </c>
      <c r="V226" s="132">
        <v>46249</v>
      </c>
      <c r="W226" s="203">
        <v>540</v>
      </c>
      <c r="X226" s="203">
        <v>5</v>
      </c>
      <c r="Y226" s="9">
        <f t="shared" si="29"/>
        <v>0.92592592592592582</v>
      </c>
      <c r="Z226" s="8" t="str">
        <f t="array" ref="Z226">IF(Y226&gt;5,"Perlu Sensus",IF(AND(Y226&gt;0,,O226&gt;0),"Tetap Deteksi","Belum Deteksi"))</f>
        <v>Belum Deteksi</v>
      </c>
    </row>
    <row r="227" spans="1:26" outlineLevel="1" x14ac:dyDescent="0.15">
      <c r="A227" s="8" t="s">
        <v>1043</v>
      </c>
      <c r="B227" s="8">
        <v>2</v>
      </c>
      <c r="C227" s="8">
        <v>12</v>
      </c>
      <c r="D227" s="8" t="s">
        <v>1691</v>
      </c>
      <c r="E227" s="9">
        <v>41.400000000000006</v>
      </c>
      <c r="F227" s="8" t="s">
        <v>469</v>
      </c>
      <c r="G227" s="10">
        <v>4439</v>
      </c>
      <c r="H227" s="132">
        <f t="shared" si="30"/>
        <v>46237</v>
      </c>
      <c r="I227" s="140">
        <f t="shared" si="31"/>
        <v>109</v>
      </c>
      <c r="J227" s="9">
        <f t="shared" si="32"/>
        <v>2.4555079972966887</v>
      </c>
      <c r="K227" s="140">
        <f t="shared" si="33"/>
        <v>3</v>
      </c>
      <c r="L227" s="206">
        <f t="shared" si="34"/>
        <v>2.7522935779816518</v>
      </c>
      <c r="M227" s="8" t="str">
        <f t="array" ref="M227">IF(L227&gt;5,"Perlu Sensus",IF(AND(L227&gt;=0,I227&gt;0),"Tetap Deteksi","Belum Deteksi"))</f>
        <v>Tetap Deteksi</v>
      </c>
      <c r="N227" s="132">
        <v>46237</v>
      </c>
      <c r="O227" s="203">
        <v>109</v>
      </c>
      <c r="P227" s="9">
        <f t="array" ref="P227">IFERROR(O227/G227*100,0)</f>
        <v>2.4555079972966887</v>
      </c>
      <c r="Q227" s="203">
        <v>3</v>
      </c>
      <c r="R227" s="9">
        <f t="shared" si="36"/>
        <v>2.7522935779816518</v>
      </c>
      <c r="S227" s="8" t="str">
        <f t="array" ref="S227">IF(R227&gt;5,"Perlu Sensus",IF(AND(R227&gt;=0,O227&gt;0),"Tetap Deteksi","Belum Deteksi"))</f>
        <v>Tetap Deteksi</v>
      </c>
      <c r="T227" s="203">
        <v>2</v>
      </c>
      <c r="U227" s="9">
        <f t="shared" si="35"/>
        <v>1.834862385321101</v>
      </c>
      <c r="V227" s="132">
        <v>46249</v>
      </c>
      <c r="W227" s="203">
        <v>257</v>
      </c>
      <c r="X227" s="203">
        <v>9</v>
      </c>
      <c r="Y227" s="9">
        <f t="shared" si="29"/>
        <v>3.5019455252918288</v>
      </c>
      <c r="Z227" s="8" t="str">
        <f t="array" ref="Z227">IF(Y227&gt;5,"Perlu Sensus",IF(AND(Y227&gt;0,,O227&gt;0),"Tetap Deteksi","Belum Deteksi"))</f>
        <v>Belum Deteksi</v>
      </c>
    </row>
    <row r="228" spans="1:26" outlineLevel="1" x14ac:dyDescent="0.15">
      <c r="A228" s="8" t="s">
        <v>1043</v>
      </c>
      <c r="B228" s="8">
        <v>2</v>
      </c>
      <c r="C228" s="8">
        <v>12</v>
      </c>
      <c r="D228" s="8" t="s">
        <v>1692</v>
      </c>
      <c r="E228" s="9">
        <v>33.619999999999997</v>
      </c>
      <c r="F228" s="8" t="s">
        <v>469</v>
      </c>
      <c r="G228" s="10">
        <v>3896</v>
      </c>
      <c r="H228" s="132">
        <f t="shared" si="30"/>
        <v>46237</v>
      </c>
      <c r="I228" s="140">
        <f t="shared" si="31"/>
        <v>103</v>
      </c>
      <c r="J228" s="9">
        <f t="shared" si="32"/>
        <v>2.6437371663244353</v>
      </c>
      <c r="K228" s="140">
        <f t="shared" si="33"/>
        <v>3</v>
      </c>
      <c r="L228" s="206">
        <f t="shared" si="34"/>
        <v>2.912621359223301</v>
      </c>
      <c r="M228" s="8" t="str">
        <f t="array" ref="M228">IF(L228&gt;5,"Perlu Sensus",IF(AND(L228&gt;=0,I228&gt;0),"Tetap Deteksi","Belum Deteksi"))</f>
        <v>Tetap Deteksi</v>
      </c>
      <c r="N228" s="132">
        <v>46237</v>
      </c>
      <c r="O228" s="203">
        <v>103</v>
      </c>
      <c r="P228" s="9">
        <f t="array" ref="P228">IFERROR(O228/G228*100,0)</f>
        <v>2.6437371663244353</v>
      </c>
      <c r="Q228" s="203">
        <v>3</v>
      </c>
      <c r="R228" s="9">
        <f t="shared" si="36"/>
        <v>2.912621359223301</v>
      </c>
      <c r="S228" s="8" t="str">
        <f t="array" ref="S228">IF(R228&gt;5,"Perlu Sensus",IF(AND(R228&gt;=0,O228&gt;0),"Tetap Deteksi","Belum Deteksi"))</f>
        <v>Tetap Deteksi</v>
      </c>
      <c r="T228" s="203">
        <v>4</v>
      </c>
      <c r="U228" s="9">
        <f t="shared" si="35"/>
        <v>3.8834951456310676</v>
      </c>
      <c r="V228" s="132">
        <v>46249</v>
      </c>
      <c r="W228" s="203">
        <v>238</v>
      </c>
      <c r="X228" s="203">
        <v>4</v>
      </c>
      <c r="Y228" s="9">
        <f t="shared" si="29"/>
        <v>1.680672268907563</v>
      </c>
      <c r="Z228" s="8" t="str">
        <f t="array" ref="Z228">IF(Y228&gt;5,"Perlu Sensus",IF(AND(Y228&gt;0,,O228&gt;0),"Tetap Deteksi","Belum Deteksi"))</f>
        <v>Belum Deteksi</v>
      </c>
    </row>
    <row r="229" spans="1:26" outlineLevel="1" x14ac:dyDescent="0.15">
      <c r="A229" s="8" t="s">
        <v>1043</v>
      </c>
      <c r="B229" s="8">
        <v>2</v>
      </c>
      <c r="C229" s="8">
        <v>12</v>
      </c>
      <c r="D229" s="8" t="s">
        <v>1693</v>
      </c>
      <c r="E229" s="9">
        <v>36.020000000000003</v>
      </c>
      <c r="F229" s="8" t="s">
        <v>469</v>
      </c>
      <c r="G229" s="10">
        <v>3756</v>
      </c>
      <c r="H229" s="132">
        <f t="shared" si="30"/>
        <v>46238</v>
      </c>
      <c r="I229" s="140">
        <f t="shared" si="31"/>
        <v>98</v>
      </c>
      <c r="J229" s="9">
        <f t="shared" si="32"/>
        <v>2.6091586794462196</v>
      </c>
      <c r="K229" s="140">
        <f t="shared" si="33"/>
        <v>2</v>
      </c>
      <c r="L229" s="206">
        <f t="shared" si="34"/>
        <v>2.0408163265306123</v>
      </c>
      <c r="M229" s="8" t="str">
        <f t="array" ref="M229">IF(L229&gt;5,"Perlu Sensus",IF(AND(L229&gt;=0,I229&gt;0),"Tetap Deteksi","Belum Deteksi"))</f>
        <v>Tetap Deteksi</v>
      </c>
      <c r="N229" s="132">
        <v>46238</v>
      </c>
      <c r="O229" s="203">
        <v>98</v>
      </c>
      <c r="P229" s="9">
        <f t="array" ref="P229">IFERROR(O229/G229*100,0)</f>
        <v>2.6091586794462196</v>
      </c>
      <c r="Q229" s="203">
        <v>2</v>
      </c>
      <c r="R229" s="9">
        <f t="shared" si="36"/>
        <v>2.0408163265306123</v>
      </c>
      <c r="S229" s="8" t="str">
        <f t="array" ref="S229">IF(R229&gt;5,"Perlu Sensus",IF(AND(R229&gt;=0,O229&gt;0),"Tetap Deteksi","Belum Deteksi"))</f>
        <v>Tetap Deteksi</v>
      </c>
      <c r="T229" s="203">
        <v>1</v>
      </c>
      <c r="U229" s="9">
        <f t="shared" si="35"/>
        <v>1.0204081632653061</v>
      </c>
      <c r="V229" s="132">
        <v>46249</v>
      </c>
      <c r="W229" s="203">
        <v>227</v>
      </c>
      <c r="X229" s="203">
        <v>5</v>
      </c>
      <c r="Y229" s="9">
        <f t="shared" si="29"/>
        <v>2.2026431718061676</v>
      </c>
      <c r="Z229" s="8" t="str">
        <f t="array" ref="Z229">IF(Y229&gt;5,"Perlu Sensus",IF(AND(Y229&gt;0,,O229&gt;0),"Tetap Deteksi","Belum Deteksi"))</f>
        <v>Belum Deteksi</v>
      </c>
    </row>
    <row r="230" spans="1:26" outlineLevel="1" x14ac:dyDescent="0.15">
      <c r="A230" s="8" t="s">
        <v>1043</v>
      </c>
      <c r="B230" s="8">
        <v>2</v>
      </c>
      <c r="C230" s="8">
        <v>12</v>
      </c>
      <c r="D230" s="8" t="s">
        <v>1694</v>
      </c>
      <c r="E230" s="9">
        <v>44.72</v>
      </c>
      <c r="F230" s="8" t="s">
        <v>469</v>
      </c>
      <c r="G230" s="10">
        <v>5364</v>
      </c>
      <c r="H230" s="132">
        <f t="shared" si="30"/>
        <v>46240</v>
      </c>
      <c r="I230" s="140">
        <f t="shared" si="31"/>
        <v>205</v>
      </c>
      <c r="J230" s="9">
        <f t="shared" si="32"/>
        <v>3.8217747949291572</v>
      </c>
      <c r="K230" s="140">
        <f t="shared" si="33"/>
        <v>5</v>
      </c>
      <c r="L230" s="206">
        <f t="shared" si="34"/>
        <v>2.4390243902439024</v>
      </c>
      <c r="M230" s="8" t="str">
        <f t="array" ref="M230">IF(L230&gt;5,"Perlu Sensus",IF(AND(L230&gt;=0,I230&gt;0),"Tetap Deteksi","Belum Deteksi"))</f>
        <v>Tetap Deteksi</v>
      </c>
      <c r="N230" s="132">
        <v>46240</v>
      </c>
      <c r="O230" s="203">
        <v>205</v>
      </c>
      <c r="P230" s="9">
        <f t="array" ref="P230">IFERROR(O230/G230*100,0)</f>
        <v>3.8217747949291572</v>
      </c>
      <c r="Q230" s="203">
        <v>5</v>
      </c>
      <c r="R230" s="9">
        <f t="shared" si="36"/>
        <v>2.4390243902439024</v>
      </c>
      <c r="S230" s="8" t="str">
        <f t="array" ref="S230">IF(R230&gt;5,"Perlu Sensus",IF(AND(R230&gt;=0,O230&gt;0),"Tetap Deteksi","Belum Deteksi"))</f>
        <v>Tetap Deteksi</v>
      </c>
      <c r="T230" s="203">
        <v>3</v>
      </c>
      <c r="U230" s="9">
        <f t="shared" si="35"/>
        <v>1.4634146341463417</v>
      </c>
      <c r="V230" s="132">
        <v>46249</v>
      </c>
      <c r="W230" s="203">
        <v>325</v>
      </c>
      <c r="X230" s="203">
        <v>2</v>
      </c>
      <c r="Y230" s="9">
        <f t="shared" si="29"/>
        <v>0.61538461538461542</v>
      </c>
      <c r="Z230" s="8" t="str">
        <f t="array" ref="Z230">IF(Y230&gt;5,"Perlu Sensus",IF(AND(Y230&gt;0,,O230&gt;0),"Tetap Deteksi","Belum Deteksi"))</f>
        <v>Belum Deteksi</v>
      </c>
    </row>
    <row r="231" spans="1:26" outlineLevel="1" x14ac:dyDescent="0.15">
      <c r="A231" s="8" t="s">
        <v>1043</v>
      </c>
      <c r="B231" s="8">
        <v>2</v>
      </c>
      <c r="C231" s="8">
        <v>13</v>
      </c>
      <c r="D231" s="8" t="s">
        <v>1695</v>
      </c>
      <c r="E231" s="9">
        <v>44.11</v>
      </c>
      <c r="F231" s="8" t="s">
        <v>469</v>
      </c>
      <c r="G231" s="10">
        <v>5784</v>
      </c>
      <c r="H231" s="132">
        <f t="shared" si="30"/>
        <v>46235</v>
      </c>
      <c r="I231" s="140">
        <f t="shared" si="31"/>
        <v>1033</v>
      </c>
      <c r="J231" s="9">
        <f t="shared" si="32"/>
        <v>17.859612724757952</v>
      </c>
      <c r="K231" s="140">
        <f t="shared" si="33"/>
        <v>7</v>
      </c>
      <c r="L231" s="206">
        <f t="shared" si="34"/>
        <v>0.67763794772507258</v>
      </c>
      <c r="M231" s="8" t="str">
        <f t="array" ref="M231">IF(L231&gt;5,"Perlu Sensus",IF(AND(L231&gt;=0,I231&gt;0),"Tetap Deteksi","Belum Deteksi"))</f>
        <v>Tetap Deteksi</v>
      </c>
      <c r="N231" s="132">
        <v>46235</v>
      </c>
      <c r="O231" s="203">
        <v>1033</v>
      </c>
      <c r="P231" s="9">
        <f t="array" ref="P231">IFERROR(O231/G231*100,0)</f>
        <v>17.859612724757952</v>
      </c>
      <c r="Q231" s="203">
        <v>7</v>
      </c>
      <c r="R231" s="9">
        <f t="shared" si="36"/>
        <v>0.67763794772507258</v>
      </c>
      <c r="S231" s="8" t="str">
        <f t="array" ref="S231">IF(R231&gt;5,"Perlu Sensus",IF(AND(R231&gt;=0,O231&gt;0),"Tetap Deteksi","Belum Deteksi"))</f>
        <v>Tetap Deteksi</v>
      </c>
      <c r="T231" s="203">
        <v>22</v>
      </c>
      <c r="U231" s="9">
        <f t="shared" si="35"/>
        <v>2.1297192642787994</v>
      </c>
      <c r="V231" s="132">
        <v>46241</v>
      </c>
      <c r="W231" s="203">
        <v>504</v>
      </c>
      <c r="X231" s="203">
        <v>12</v>
      </c>
      <c r="Y231" s="9">
        <f t="shared" si="29"/>
        <v>2.3809523809523809</v>
      </c>
      <c r="Z231" s="8" t="str">
        <f t="array" ref="Z231">IF(Y231&gt;5,"Perlu Sensus",IF(AND(Y231&gt;0,,O231&gt;0),"Tetap Deteksi","Belum Deteksi"))</f>
        <v>Belum Deteksi</v>
      </c>
    </row>
    <row r="232" spans="1:26" outlineLevel="1" x14ac:dyDescent="0.15">
      <c r="A232" s="8" t="s">
        <v>1043</v>
      </c>
      <c r="B232" s="8">
        <v>2</v>
      </c>
      <c r="C232" s="8">
        <v>13</v>
      </c>
      <c r="D232" s="8" t="s">
        <v>1696</v>
      </c>
      <c r="E232" s="9">
        <v>48.31</v>
      </c>
      <c r="F232" s="8" t="s">
        <v>469</v>
      </c>
      <c r="G232" s="10">
        <v>6674</v>
      </c>
      <c r="H232" s="132">
        <f t="shared" si="30"/>
        <v>46235</v>
      </c>
      <c r="I232" s="140">
        <f t="shared" si="31"/>
        <v>589</v>
      </c>
      <c r="J232" s="9">
        <f t="shared" si="32"/>
        <v>8.8252921786035365</v>
      </c>
      <c r="K232" s="140">
        <f t="shared" si="33"/>
        <v>6</v>
      </c>
      <c r="L232" s="206">
        <f t="shared" si="34"/>
        <v>1.0186757215619695</v>
      </c>
      <c r="M232" s="8" t="str">
        <f t="array" ref="M232">IF(L232&gt;5,"Perlu Sensus",IF(AND(L232&gt;=0,I232&gt;0),"Tetap Deteksi","Belum Deteksi"))</f>
        <v>Tetap Deteksi</v>
      </c>
      <c r="N232" s="132">
        <v>46235</v>
      </c>
      <c r="O232" s="203">
        <v>589</v>
      </c>
      <c r="P232" s="9">
        <f t="array" ref="P232">IFERROR(O232/G232*100,0)</f>
        <v>8.8252921786035365</v>
      </c>
      <c r="Q232" s="203">
        <v>6</v>
      </c>
      <c r="R232" s="9">
        <f t="shared" si="36"/>
        <v>1.0186757215619695</v>
      </c>
      <c r="S232" s="8" t="str">
        <f t="array" ref="S232">IF(R232&gt;5,"Perlu Sensus",IF(AND(R232&gt;=0,O232&gt;0),"Tetap Deteksi","Belum Deteksi"))</f>
        <v>Tetap Deteksi</v>
      </c>
      <c r="T232" s="203">
        <v>10</v>
      </c>
      <c r="U232" s="9">
        <f t="shared" si="35"/>
        <v>1.6977928692699491</v>
      </c>
      <c r="V232" s="132">
        <v>46241</v>
      </c>
      <c r="W232" s="203">
        <v>650</v>
      </c>
      <c r="X232" s="203">
        <v>6</v>
      </c>
      <c r="Y232" s="9">
        <f t="shared" si="29"/>
        <v>0.92307692307692313</v>
      </c>
      <c r="Z232" s="8" t="str">
        <f t="array" ref="Z232">IF(Y232&gt;5,"Perlu Sensus",IF(AND(Y232&gt;0,,O232&gt;0),"Tetap Deteksi","Belum Deteksi"))</f>
        <v>Belum Deteksi</v>
      </c>
    </row>
    <row r="233" spans="1:26" outlineLevel="1" x14ac:dyDescent="0.15">
      <c r="A233" s="8" t="s">
        <v>1043</v>
      </c>
      <c r="B233" s="8">
        <v>2</v>
      </c>
      <c r="C233" s="8">
        <v>13</v>
      </c>
      <c r="D233" s="8" t="s">
        <v>1697</v>
      </c>
      <c r="E233" s="9">
        <v>26.68</v>
      </c>
      <c r="F233" s="8" t="s">
        <v>469</v>
      </c>
      <c r="G233" s="10">
        <v>3622</v>
      </c>
      <c r="H233" s="132">
        <f t="shared" si="30"/>
        <v>46235</v>
      </c>
      <c r="I233" s="140">
        <f t="shared" si="31"/>
        <v>1729</v>
      </c>
      <c r="J233" s="9">
        <f t="shared" si="32"/>
        <v>47.736057426836005</v>
      </c>
      <c r="K233" s="140">
        <f t="shared" si="33"/>
        <v>15</v>
      </c>
      <c r="L233" s="206">
        <f t="shared" si="34"/>
        <v>0.8675534991324465</v>
      </c>
      <c r="M233" s="8" t="str">
        <f t="array" ref="M233">IF(L233&gt;5,"Perlu Sensus",IF(AND(L233&gt;=0,I233&gt;0),"Tetap Deteksi","Belum Deteksi"))</f>
        <v>Tetap Deteksi</v>
      </c>
      <c r="N233" s="132">
        <v>46235</v>
      </c>
      <c r="O233" s="203">
        <v>1729</v>
      </c>
      <c r="P233" s="9">
        <f t="array" ref="P233">IFERROR(O233/G233*100,0)</f>
        <v>47.736057426836005</v>
      </c>
      <c r="Q233" s="203">
        <v>15</v>
      </c>
      <c r="R233" s="9">
        <f t="shared" si="36"/>
        <v>0.8675534991324465</v>
      </c>
      <c r="S233" s="8" t="str">
        <f t="array" ref="S233">IF(R233&gt;5,"Perlu Sensus",IF(AND(R233&gt;=0,O233&gt;0),"Tetap Deteksi","Belum Deteksi"))</f>
        <v>Tetap Deteksi</v>
      </c>
      <c r="T233" s="203">
        <v>34</v>
      </c>
      <c r="U233" s="9">
        <f t="shared" si="35"/>
        <v>1.9664545980335453</v>
      </c>
      <c r="V233" s="132">
        <v>46241</v>
      </c>
      <c r="W233" s="203">
        <v>1804</v>
      </c>
      <c r="X233" s="203">
        <v>21</v>
      </c>
      <c r="Y233" s="9">
        <f t="shared" si="29"/>
        <v>1.164079822616408</v>
      </c>
      <c r="Z233" s="8" t="str">
        <f t="array" ref="Z233">IF(Y233&gt;5,"Perlu Sensus",IF(AND(Y233&gt;0,,O233&gt;0),"Tetap Deteksi","Belum Deteksi"))</f>
        <v>Belum Deteksi</v>
      </c>
    </row>
    <row r="234" spans="1:26" outlineLevel="1" x14ac:dyDescent="0.15">
      <c r="A234" s="8" t="s">
        <v>1043</v>
      </c>
      <c r="B234" s="8">
        <v>2</v>
      </c>
      <c r="C234" s="8">
        <v>13</v>
      </c>
      <c r="D234" s="8" t="s">
        <v>1698</v>
      </c>
      <c r="E234" s="9">
        <v>25.59</v>
      </c>
      <c r="F234" s="8" t="s">
        <v>469</v>
      </c>
      <c r="G234" s="10">
        <v>3273</v>
      </c>
      <c r="H234" s="132">
        <f t="shared" si="30"/>
        <v>46237</v>
      </c>
      <c r="I234" s="140">
        <f t="shared" si="31"/>
        <v>1278</v>
      </c>
      <c r="J234" s="9">
        <f t="shared" si="32"/>
        <v>39.046746104491291</v>
      </c>
      <c r="K234" s="140">
        <f t="shared" si="33"/>
        <v>17</v>
      </c>
      <c r="L234" s="206">
        <f t="shared" si="34"/>
        <v>1.3302034428794991</v>
      </c>
      <c r="M234" s="8" t="str">
        <f t="array" ref="M234">IF(L234&gt;5,"Perlu Sensus",IF(AND(L234&gt;=0,I234&gt;0),"Tetap Deteksi","Belum Deteksi"))</f>
        <v>Tetap Deteksi</v>
      </c>
      <c r="N234" s="132">
        <v>46237</v>
      </c>
      <c r="O234" s="203">
        <v>1278</v>
      </c>
      <c r="P234" s="9">
        <f t="array" ref="P234">IFERROR(O234/G234*100,0)</f>
        <v>39.046746104491291</v>
      </c>
      <c r="Q234" s="203">
        <v>17</v>
      </c>
      <c r="R234" s="9">
        <f t="shared" si="36"/>
        <v>1.3302034428794991</v>
      </c>
      <c r="S234" s="8" t="str">
        <f t="array" ref="S234">IF(R234&gt;5,"Perlu Sensus",IF(AND(R234&gt;=0,O234&gt;0),"Tetap Deteksi","Belum Deteksi"))</f>
        <v>Tetap Deteksi</v>
      </c>
      <c r="T234" s="203">
        <v>26</v>
      </c>
      <c r="U234" s="9">
        <f t="shared" si="35"/>
        <v>2.0344287949921753</v>
      </c>
      <c r="V234" s="132">
        <v>46241</v>
      </c>
      <c r="W234" s="203">
        <v>820</v>
      </c>
      <c r="X234" s="203">
        <v>4</v>
      </c>
      <c r="Y234" s="9">
        <f t="shared" si="29"/>
        <v>0.48780487804878048</v>
      </c>
      <c r="Z234" s="8" t="str">
        <f t="array" ref="Z234">IF(Y234&gt;5,"Perlu Sensus",IF(AND(Y234&gt;0,,O234&gt;0),"Tetap Deteksi","Belum Deteksi"))</f>
        <v>Belum Deteksi</v>
      </c>
    </row>
    <row r="235" spans="1:26" outlineLevel="1" x14ac:dyDescent="0.15">
      <c r="A235" s="8" t="s">
        <v>1043</v>
      </c>
      <c r="B235" s="8">
        <v>2</v>
      </c>
      <c r="C235" s="8">
        <v>13</v>
      </c>
      <c r="D235" s="8" t="s">
        <v>1699</v>
      </c>
      <c r="E235" s="9">
        <v>37.32</v>
      </c>
      <c r="F235" s="8" t="s">
        <v>469</v>
      </c>
      <c r="G235" s="10">
        <v>3494</v>
      </c>
      <c r="H235" s="132">
        <f t="shared" si="30"/>
        <v>46239</v>
      </c>
      <c r="I235" s="140">
        <f t="shared" si="31"/>
        <v>1173</v>
      </c>
      <c r="J235" s="9">
        <f t="shared" si="32"/>
        <v>33.571837435603889</v>
      </c>
      <c r="K235" s="140">
        <f t="shared" si="33"/>
        <v>12</v>
      </c>
      <c r="L235" s="206">
        <f t="shared" si="34"/>
        <v>1.0230179028132993</v>
      </c>
      <c r="M235" s="8" t="str">
        <f t="array" ref="M235">IF(L235&gt;5,"Perlu Sensus",IF(AND(L235&gt;=0,I235&gt;0),"Tetap Deteksi","Belum Deteksi"))</f>
        <v>Tetap Deteksi</v>
      </c>
      <c r="N235" s="132">
        <v>46239</v>
      </c>
      <c r="O235" s="203">
        <v>1173</v>
      </c>
      <c r="P235" s="9">
        <f t="array" ref="P235">IFERROR(O235/G235*100,0)</f>
        <v>33.571837435603889</v>
      </c>
      <c r="Q235" s="203">
        <v>12</v>
      </c>
      <c r="R235" s="9">
        <f t="shared" si="36"/>
        <v>1.0230179028132993</v>
      </c>
      <c r="S235" s="8" t="str">
        <f t="array" ref="S235">IF(R235&gt;5,"Perlu Sensus",IF(AND(R235&gt;=0,O235&gt;0),"Tetap Deteksi","Belum Deteksi"))</f>
        <v>Tetap Deteksi</v>
      </c>
      <c r="T235" s="203">
        <v>23</v>
      </c>
      <c r="U235" s="9">
        <f t="shared" si="35"/>
        <v>1.9607843137254901</v>
      </c>
      <c r="V235" s="132">
        <v>46241</v>
      </c>
      <c r="W235" s="203">
        <v>764</v>
      </c>
      <c r="X235" s="203">
        <v>11</v>
      </c>
      <c r="Y235" s="9">
        <f t="shared" si="29"/>
        <v>1.4397905759162304</v>
      </c>
      <c r="Z235" s="8" t="str">
        <f t="array" ref="Z235">IF(Y235&gt;5,"Perlu Sensus",IF(AND(Y235&gt;0,,O235&gt;0),"Tetap Deteksi","Belum Deteksi"))</f>
        <v>Belum Deteksi</v>
      </c>
    </row>
    <row r="236" spans="1:26" outlineLevel="1" x14ac:dyDescent="0.15">
      <c r="A236" s="8" t="s">
        <v>1043</v>
      </c>
      <c r="B236" s="8">
        <v>2</v>
      </c>
      <c r="C236" s="8">
        <v>13</v>
      </c>
      <c r="D236" s="8" t="s">
        <v>1700</v>
      </c>
      <c r="E236" s="9">
        <v>37.54</v>
      </c>
      <c r="F236" s="8" t="s">
        <v>469</v>
      </c>
      <c r="G236" s="10">
        <v>2447</v>
      </c>
      <c r="H236" s="132">
        <f t="shared" si="30"/>
        <v>46242</v>
      </c>
      <c r="I236" s="140">
        <f t="shared" si="31"/>
        <v>565</v>
      </c>
      <c r="J236" s="9">
        <f t="shared" si="32"/>
        <v>23.089497343686148</v>
      </c>
      <c r="K236" s="140">
        <f t="shared" si="33"/>
        <v>5</v>
      </c>
      <c r="L236" s="206">
        <f t="shared" si="34"/>
        <v>0.88495575221238942</v>
      </c>
      <c r="M236" s="8" t="str">
        <f t="array" ref="M236">IF(L236&gt;5,"Perlu Sensus",IF(AND(L236&gt;=0,I236&gt;0),"Tetap Deteksi","Belum Deteksi"))</f>
        <v>Tetap Deteksi</v>
      </c>
      <c r="N236" s="132">
        <v>46242</v>
      </c>
      <c r="O236" s="203">
        <v>565</v>
      </c>
      <c r="P236" s="9">
        <f t="array" ref="P236">IFERROR(O236/G236*100,0)</f>
        <v>23.089497343686148</v>
      </c>
      <c r="Q236" s="203">
        <v>5</v>
      </c>
      <c r="R236" s="9">
        <f t="shared" si="36"/>
        <v>0.88495575221238942</v>
      </c>
      <c r="S236" s="8" t="str">
        <f t="array" ref="S236">IF(R236&gt;5,"Perlu Sensus",IF(AND(R236&gt;=0,O236&gt;0),"Tetap Deteksi","Belum Deteksi"))</f>
        <v>Tetap Deteksi</v>
      </c>
      <c r="T236" s="203">
        <v>8</v>
      </c>
      <c r="U236" s="9">
        <f t="shared" si="35"/>
        <v>1.415929203539823</v>
      </c>
      <c r="V236" s="132">
        <v>46241</v>
      </c>
      <c r="W236" s="203">
        <v>386</v>
      </c>
      <c r="X236" s="203">
        <v>6</v>
      </c>
      <c r="Y236" s="9">
        <f t="shared" si="29"/>
        <v>1.5544041450777202</v>
      </c>
      <c r="Z236" s="8" t="str">
        <f t="array" ref="Z236">IF(Y236&gt;5,"Perlu Sensus",IF(AND(Y236&gt;0,,O236&gt;0),"Tetap Deteksi","Belum Deteksi"))</f>
        <v>Belum Deteksi</v>
      </c>
    </row>
    <row r="237" spans="1:26" outlineLevel="1" x14ac:dyDescent="0.15">
      <c r="A237" s="8" t="s">
        <v>1043</v>
      </c>
      <c r="B237" s="8">
        <v>2</v>
      </c>
      <c r="C237" s="8">
        <v>13</v>
      </c>
      <c r="D237" s="8" t="s">
        <v>1701</v>
      </c>
      <c r="E237" s="9">
        <v>32.230000000000004</v>
      </c>
      <c r="F237" s="8" t="s">
        <v>469</v>
      </c>
      <c r="G237" s="10">
        <v>3546</v>
      </c>
      <c r="H237" s="132">
        <f t="shared" si="30"/>
        <v>46235</v>
      </c>
      <c r="I237" s="140">
        <f t="shared" si="31"/>
        <v>183</v>
      </c>
      <c r="J237" s="9">
        <f t="shared" si="32"/>
        <v>5.1607445008460235</v>
      </c>
      <c r="K237" s="140">
        <f t="shared" si="33"/>
        <v>4</v>
      </c>
      <c r="L237" s="206">
        <f t="shared" si="34"/>
        <v>2.1857923497267762</v>
      </c>
      <c r="M237" s="8" t="str">
        <f t="array" ref="M237">IF(L237&gt;5,"Perlu Sensus",IF(AND(L237&gt;=0,I237&gt;0),"Tetap Deteksi","Belum Deteksi"))</f>
        <v>Tetap Deteksi</v>
      </c>
      <c r="N237" s="132">
        <v>46235</v>
      </c>
      <c r="O237" s="203">
        <v>183</v>
      </c>
      <c r="P237" s="9">
        <f t="array" ref="P237">IFERROR(O237/G237*100,0)</f>
        <v>5.1607445008460235</v>
      </c>
      <c r="Q237" s="203">
        <v>4</v>
      </c>
      <c r="R237" s="9">
        <f t="shared" si="36"/>
        <v>2.1857923497267762</v>
      </c>
      <c r="S237" s="8" t="str">
        <f t="array" ref="S237">IF(R237&gt;5,"Perlu Sensus",IF(AND(R237&gt;=0,O237&gt;0),"Tetap Deteksi","Belum Deteksi"))</f>
        <v>Tetap Deteksi</v>
      </c>
      <c r="T237" s="203">
        <v>0</v>
      </c>
      <c r="U237" s="9">
        <f t="shared" si="35"/>
        <v>0</v>
      </c>
      <c r="V237" s="132">
        <v>46241</v>
      </c>
      <c r="W237" s="203">
        <v>205</v>
      </c>
      <c r="X237" s="203">
        <v>2</v>
      </c>
      <c r="Y237" s="9">
        <f t="shared" si="29"/>
        <v>0.97560975609756095</v>
      </c>
      <c r="Z237" s="8" t="str">
        <f t="array" ref="Z237">IF(Y237&gt;5,"Perlu Sensus",IF(AND(Y237&gt;0,,O237&gt;0),"Tetap Deteksi","Belum Deteksi"))</f>
        <v>Belum Deteksi</v>
      </c>
    </row>
    <row r="238" spans="1:26" outlineLevel="1" x14ac:dyDescent="0.15">
      <c r="A238" s="8" t="s">
        <v>1043</v>
      </c>
      <c r="B238" s="8">
        <v>2</v>
      </c>
      <c r="C238" s="8">
        <v>13</v>
      </c>
      <c r="D238" s="8" t="s">
        <v>1702</v>
      </c>
      <c r="E238" s="9">
        <v>25.2</v>
      </c>
      <c r="F238" s="8" t="s">
        <v>469</v>
      </c>
      <c r="G238" s="10">
        <v>3207</v>
      </c>
      <c r="H238" s="132">
        <f t="shared" si="30"/>
        <v>46238</v>
      </c>
      <c r="I238" s="140">
        <f t="shared" si="31"/>
        <v>166</v>
      </c>
      <c r="J238" s="9">
        <f t="shared" si="32"/>
        <v>5.1761771125662612</v>
      </c>
      <c r="K238" s="140">
        <f t="shared" si="33"/>
        <v>4</v>
      </c>
      <c r="L238" s="206">
        <f t="shared" si="34"/>
        <v>2.4096385542168677</v>
      </c>
      <c r="M238" s="8" t="str">
        <f t="array" ref="M238">IF(L238&gt;5,"Perlu Sensus",IF(AND(L238&gt;=0,I238&gt;0),"Tetap Deteksi","Belum Deteksi"))</f>
        <v>Tetap Deteksi</v>
      </c>
      <c r="N238" s="132">
        <v>46238</v>
      </c>
      <c r="O238" s="203">
        <v>166</v>
      </c>
      <c r="P238" s="9">
        <f t="array" ref="P238">IFERROR(O238/G238*100,0)</f>
        <v>5.1761771125662612</v>
      </c>
      <c r="Q238" s="203">
        <v>4</v>
      </c>
      <c r="R238" s="9">
        <f t="shared" si="36"/>
        <v>2.4096385542168677</v>
      </c>
      <c r="S238" s="8" t="str">
        <f t="array" ref="S238">IF(R238&gt;5,"Perlu Sensus",IF(AND(R238&gt;=0,O238&gt;0),"Tetap Deteksi","Belum Deteksi"))</f>
        <v>Tetap Deteksi</v>
      </c>
      <c r="T238" s="203">
        <v>6</v>
      </c>
      <c r="U238" s="9">
        <f t="shared" si="35"/>
        <v>3.6144578313253009</v>
      </c>
      <c r="V238" s="132">
        <v>46241</v>
      </c>
      <c r="W238" s="203">
        <v>169</v>
      </c>
      <c r="X238" s="203">
        <v>5</v>
      </c>
      <c r="Y238" s="9">
        <f t="shared" si="29"/>
        <v>2.9585798816568047</v>
      </c>
      <c r="Z238" s="8" t="str">
        <f t="array" ref="Z238">IF(Y238&gt;5,"Perlu Sensus",IF(AND(Y238&gt;0,,O238&gt;0),"Tetap Deteksi","Belum Deteksi"))</f>
        <v>Belum Deteksi</v>
      </c>
    </row>
    <row r="239" spans="1:26" outlineLevel="1" x14ac:dyDescent="0.15">
      <c r="A239" s="8" t="s">
        <v>1043</v>
      </c>
      <c r="B239" s="8">
        <v>2</v>
      </c>
      <c r="C239" s="8">
        <v>13</v>
      </c>
      <c r="D239" s="8" t="s">
        <v>1703</v>
      </c>
      <c r="E239" s="9">
        <v>24.86</v>
      </c>
      <c r="F239" s="8" t="s">
        <v>469</v>
      </c>
      <c r="G239" s="10">
        <v>3546</v>
      </c>
      <c r="H239" s="132">
        <f t="shared" si="30"/>
        <v>46242</v>
      </c>
      <c r="I239" s="140">
        <f t="shared" si="31"/>
        <v>230</v>
      </c>
      <c r="J239" s="9">
        <f t="shared" si="32"/>
        <v>6.4861816130851668</v>
      </c>
      <c r="K239" s="140">
        <f t="shared" si="33"/>
        <v>1</v>
      </c>
      <c r="L239" s="206">
        <f t="shared" si="34"/>
        <v>0.43478260869565216</v>
      </c>
      <c r="M239" s="8" t="str">
        <f t="array" ref="M239">IF(L239&gt;5,"Perlu Sensus",IF(AND(L239&gt;=0,I239&gt;0),"Tetap Deteksi","Belum Deteksi"))</f>
        <v>Tetap Deteksi</v>
      </c>
      <c r="N239" s="132">
        <v>46242</v>
      </c>
      <c r="O239" s="203">
        <v>230</v>
      </c>
      <c r="P239" s="9">
        <f t="array" ref="P239">IFERROR(O239/G239*100,0)</f>
        <v>6.4861816130851668</v>
      </c>
      <c r="Q239" s="203">
        <v>1</v>
      </c>
      <c r="R239" s="9">
        <f t="shared" si="36"/>
        <v>0.43478260869565216</v>
      </c>
      <c r="S239" s="8" t="str">
        <f t="array" ref="S239">IF(R239&gt;5,"Perlu Sensus",IF(AND(R239&gt;=0,O239&gt;0),"Tetap Deteksi","Belum Deteksi"))</f>
        <v>Tetap Deteksi</v>
      </c>
      <c r="T239" s="203">
        <v>6</v>
      </c>
      <c r="U239" s="9">
        <f t="shared" si="35"/>
        <v>2.6086956521739131</v>
      </c>
      <c r="V239" s="132">
        <v>46241</v>
      </c>
      <c r="W239" s="203">
        <v>179</v>
      </c>
      <c r="X239" s="203">
        <v>9.9999999999999995E-8</v>
      </c>
      <c r="Y239" s="9">
        <f t="shared" si="29"/>
        <v>5.5865921787709496E-8</v>
      </c>
      <c r="Z239" s="8" t="str">
        <f t="array" ref="Z239">IF(Y239&gt;5,"Perlu Sensus",IF(AND(Y239&gt;0,,O239&gt;0),"Tetap Deteksi","Belum Deteksi"))</f>
        <v>Belum Deteksi</v>
      </c>
    </row>
    <row r="240" spans="1:26" outlineLevel="1" x14ac:dyDescent="0.15">
      <c r="A240" s="8" t="s">
        <v>1043</v>
      </c>
      <c r="B240" s="8">
        <v>2</v>
      </c>
      <c r="C240" s="8">
        <v>13</v>
      </c>
      <c r="D240" s="8" t="s">
        <v>1704</v>
      </c>
      <c r="E240" s="9">
        <v>25.62</v>
      </c>
      <c r="F240" s="8" t="s">
        <v>469</v>
      </c>
      <c r="G240" s="10">
        <v>3554</v>
      </c>
      <c r="H240" s="132">
        <f t="shared" si="30"/>
        <v>46236</v>
      </c>
      <c r="I240" s="140">
        <f t="shared" si="31"/>
        <v>188</v>
      </c>
      <c r="J240" s="9">
        <f t="shared" si="32"/>
        <v>5.2898142937535173</v>
      </c>
      <c r="K240" s="140">
        <f t="shared" si="33"/>
        <v>4</v>
      </c>
      <c r="L240" s="206">
        <f t="shared" si="34"/>
        <v>2.1276595744680851</v>
      </c>
      <c r="M240" s="8" t="str">
        <f t="array" ref="M240">IF(L240&gt;5,"Perlu Sensus",IF(AND(L240&gt;=0,I240&gt;0),"Tetap Deteksi","Belum Deteksi"))</f>
        <v>Tetap Deteksi</v>
      </c>
      <c r="N240" s="132">
        <v>46236</v>
      </c>
      <c r="O240" s="203">
        <v>188</v>
      </c>
      <c r="P240" s="9">
        <f t="array" ref="P240">IFERROR(O240/G240*100,0)</f>
        <v>5.2898142937535173</v>
      </c>
      <c r="Q240" s="203">
        <v>4</v>
      </c>
      <c r="R240" s="9">
        <f t="shared" si="36"/>
        <v>2.1276595744680851</v>
      </c>
      <c r="S240" s="8" t="str">
        <f t="array" ref="S240">IF(R240&gt;5,"Perlu Sensus",IF(AND(R240&gt;=0,O240&gt;0),"Tetap Deteksi","Belum Deteksi"))</f>
        <v>Tetap Deteksi</v>
      </c>
      <c r="T240" s="203">
        <v>1</v>
      </c>
      <c r="U240" s="9">
        <f t="shared" si="35"/>
        <v>0.53191489361702127</v>
      </c>
      <c r="V240" s="132">
        <v>46241</v>
      </c>
      <c r="W240" s="203">
        <v>199</v>
      </c>
      <c r="X240" s="203">
        <v>9.9999999999999995E-8</v>
      </c>
      <c r="Y240" s="9">
        <f t="shared" si="29"/>
        <v>5.025125628140703E-8</v>
      </c>
      <c r="Z240" s="8" t="str">
        <f t="array" ref="Z240">IF(Y240&gt;5,"Perlu Sensus",IF(AND(Y240&gt;0,,O240&gt;0),"Tetap Deteksi","Belum Deteksi"))</f>
        <v>Belum Deteksi</v>
      </c>
    </row>
    <row r="241" spans="1:26" outlineLevel="1" x14ac:dyDescent="0.15">
      <c r="A241" s="8" t="s">
        <v>1043</v>
      </c>
      <c r="B241" s="8">
        <v>2</v>
      </c>
      <c r="C241" s="8">
        <v>13</v>
      </c>
      <c r="D241" s="8" t="s">
        <v>1705</v>
      </c>
      <c r="E241" s="9">
        <v>24.74</v>
      </c>
      <c r="F241" s="8" t="s">
        <v>469</v>
      </c>
      <c r="G241" s="10">
        <v>3436</v>
      </c>
      <c r="H241" s="132">
        <f t="shared" si="30"/>
        <v>46248</v>
      </c>
      <c r="I241" s="140">
        <f t="shared" si="31"/>
        <v>560</v>
      </c>
      <c r="J241" s="9">
        <f t="shared" si="32"/>
        <v>16.298020954598368</v>
      </c>
      <c r="K241" s="140">
        <f t="shared" si="33"/>
        <v>5</v>
      </c>
      <c r="L241" s="206">
        <f t="shared" si="34"/>
        <v>0.89285714285714279</v>
      </c>
      <c r="M241" s="8" t="str">
        <f t="array" ref="M241">IF(L241&gt;5,"Perlu Sensus",IF(AND(L241&gt;=0,I241&gt;0),"Tetap Deteksi","Belum Deteksi"))</f>
        <v>Tetap Deteksi</v>
      </c>
      <c r="N241" s="132">
        <v>46248</v>
      </c>
      <c r="O241" s="203">
        <v>560</v>
      </c>
      <c r="P241" s="9">
        <f t="array" ref="P241">IFERROR(O241/G241*100,0)</f>
        <v>16.298020954598368</v>
      </c>
      <c r="Q241" s="203">
        <v>5</v>
      </c>
      <c r="R241" s="9">
        <f t="shared" si="36"/>
        <v>0.89285714285714279</v>
      </c>
      <c r="S241" s="8" t="str">
        <f t="array" ref="S241">IF(R241&gt;5,"Perlu Sensus",IF(AND(R241&gt;=0,O241&gt;0),"Tetap Deteksi","Belum Deteksi"))</f>
        <v>Tetap Deteksi</v>
      </c>
      <c r="T241" s="203">
        <v>4</v>
      </c>
      <c r="U241" s="9">
        <f t="shared" si="35"/>
        <v>0.7142857142857143</v>
      </c>
      <c r="V241" s="132">
        <v>46241</v>
      </c>
      <c r="W241" s="203">
        <v>181</v>
      </c>
      <c r="X241" s="203">
        <v>1</v>
      </c>
      <c r="Y241" s="9">
        <f t="shared" si="29"/>
        <v>0.55248618784530379</v>
      </c>
      <c r="Z241" s="8" t="str">
        <f t="array" ref="Z241">IF(Y241&gt;5,"Perlu Sensus",IF(AND(Y241&gt;0,,O241&gt;0),"Tetap Deteksi","Belum Deteksi"))</f>
        <v>Belum Deteksi</v>
      </c>
    </row>
    <row r="242" spans="1:26" outlineLevel="1" x14ac:dyDescent="0.15">
      <c r="A242" s="8" t="s">
        <v>1043</v>
      </c>
      <c r="B242" s="8">
        <v>2</v>
      </c>
      <c r="C242" s="8">
        <v>13</v>
      </c>
      <c r="D242" s="8" t="s">
        <v>1706</v>
      </c>
      <c r="E242" s="9">
        <v>27.24</v>
      </c>
      <c r="F242" s="8" t="s">
        <v>469</v>
      </c>
      <c r="G242" s="10">
        <v>3737</v>
      </c>
      <c r="H242" s="132">
        <f t="shared" si="30"/>
        <v>46237</v>
      </c>
      <c r="I242" s="140">
        <f t="shared" si="31"/>
        <v>300</v>
      </c>
      <c r="J242" s="9">
        <f t="shared" si="32"/>
        <v>8.0278298100080274</v>
      </c>
      <c r="K242" s="140">
        <f t="shared" si="33"/>
        <v>3</v>
      </c>
      <c r="L242" s="206">
        <f t="shared" si="34"/>
        <v>1</v>
      </c>
      <c r="M242" s="8" t="str">
        <f t="array" ref="M242">IF(L242&gt;5,"Perlu Sensus",IF(AND(L242&gt;=0,I242&gt;0),"Tetap Deteksi","Belum Deteksi"))</f>
        <v>Tetap Deteksi</v>
      </c>
      <c r="N242" s="132">
        <v>46237</v>
      </c>
      <c r="O242" s="203">
        <v>300</v>
      </c>
      <c r="P242" s="9">
        <f t="array" ref="P242">IFERROR(O242/G242*100,0)</f>
        <v>8.0278298100080274</v>
      </c>
      <c r="Q242" s="203">
        <v>3</v>
      </c>
      <c r="R242" s="9">
        <f t="shared" si="36"/>
        <v>1</v>
      </c>
      <c r="S242" s="8" t="str">
        <f t="array" ref="S242">IF(R242&gt;5,"Perlu Sensus",IF(AND(R242&gt;=0,O242&gt;0),"Tetap Deteksi","Belum Deteksi"))</f>
        <v>Tetap Deteksi</v>
      </c>
      <c r="T242" s="203">
        <v>6</v>
      </c>
      <c r="U242" s="9">
        <f t="shared" si="35"/>
        <v>2</v>
      </c>
      <c r="V242" s="132">
        <v>46241</v>
      </c>
      <c r="W242" s="203">
        <v>214</v>
      </c>
      <c r="X242" s="203">
        <v>3</v>
      </c>
      <c r="Y242" s="9">
        <f t="shared" si="29"/>
        <v>1.4018691588785046</v>
      </c>
      <c r="Z242" s="8" t="str">
        <f t="array" ref="Z242">IF(Y242&gt;5,"Perlu Sensus",IF(AND(Y242&gt;0,,O242&gt;0),"Tetap Deteksi","Belum Deteksi"))</f>
        <v>Belum Deteksi</v>
      </c>
    </row>
    <row r="243" spans="1:26" outlineLevel="1" x14ac:dyDescent="0.15">
      <c r="A243" s="8" t="s">
        <v>1043</v>
      </c>
      <c r="B243" s="8">
        <v>2</v>
      </c>
      <c r="C243" s="8">
        <v>13</v>
      </c>
      <c r="D243" s="8" t="s">
        <v>1707</v>
      </c>
      <c r="E243" s="9">
        <v>29.55</v>
      </c>
      <c r="F243" s="8" t="s">
        <v>469</v>
      </c>
      <c r="G243" s="10">
        <v>3621</v>
      </c>
      <c r="H243" s="132">
        <f t="shared" si="30"/>
        <v>46235</v>
      </c>
      <c r="I243" s="140">
        <f t="shared" si="31"/>
        <v>521</v>
      </c>
      <c r="J243" s="9">
        <f t="shared" si="32"/>
        <v>14.388290527478597</v>
      </c>
      <c r="K243" s="140">
        <f t="shared" si="33"/>
        <v>5</v>
      </c>
      <c r="L243" s="206">
        <f t="shared" si="34"/>
        <v>0.95969289827255266</v>
      </c>
      <c r="M243" s="8" t="str">
        <f t="array" ref="M243">IF(L243&gt;5,"Perlu Sensus",IF(AND(L243&gt;=0,I243&gt;0),"Tetap Deteksi","Belum Deteksi"))</f>
        <v>Tetap Deteksi</v>
      </c>
      <c r="N243" s="132">
        <v>46235</v>
      </c>
      <c r="O243" s="203">
        <v>521</v>
      </c>
      <c r="P243" s="9">
        <f t="array" ref="P243">IFERROR(O243/G243*100,0)</f>
        <v>14.388290527478597</v>
      </c>
      <c r="Q243" s="203">
        <v>5</v>
      </c>
      <c r="R243" s="9">
        <f t="shared" si="36"/>
        <v>0.95969289827255266</v>
      </c>
      <c r="S243" s="8" t="str">
        <f t="array" ref="S243">IF(R243&gt;5,"Perlu Sensus",IF(AND(R243&gt;=0,O243&gt;0),"Tetap Deteksi","Belum Deteksi"))</f>
        <v>Tetap Deteksi</v>
      </c>
      <c r="T243" s="203">
        <v>9</v>
      </c>
      <c r="U243" s="9">
        <f t="shared" si="35"/>
        <v>1.727447216890595</v>
      </c>
      <c r="V243" s="132">
        <v>46241</v>
      </c>
      <c r="W243" s="203">
        <v>696</v>
      </c>
      <c r="X243" s="203">
        <v>11</v>
      </c>
      <c r="Y243" s="9">
        <f t="shared" si="29"/>
        <v>1.5804597701149428</v>
      </c>
      <c r="Z243" s="8" t="str">
        <f t="array" ref="Z243">IF(Y243&gt;5,"Perlu Sensus",IF(AND(Y243&gt;0,,O243&gt;0),"Tetap Deteksi","Belum Deteksi"))</f>
        <v>Belum Deteksi</v>
      </c>
    </row>
    <row r="244" spans="1:26" outlineLevel="1" x14ac:dyDescent="0.15">
      <c r="A244" s="8" t="s">
        <v>1043</v>
      </c>
      <c r="B244" s="8">
        <v>2</v>
      </c>
      <c r="C244" s="8">
        <v>13</v>
      </c>
      <c r="D244" s="8" t="s">
        <v>1708</v>
      </c>
      <c r="E244" s="9">
        <v>27.9</v>
      </c>
      <c r="F244" s="8" t="s">
        <v>469</v>
      </c>
      <c r="G244" s="10">
        <v>3054</v>
      </c>
      <c r="H244" s="132">
        <f t="shared" si="30"/>
        <v>46249</v>
      </c>
      <c r="I244" s="140">
        <f t="shared" si="31"/>
        <v>115</v>
      </c>
      <c r="J244" s="9">
        <f t="shared" si="32"/>
        <v>3.7655533726260639</v>
      </c>
      <c r="K244" s="140">
        <f t="shared" si="33"/>
        <v>3</v>
      </c>
      <c r="L244" s="206">
        <f t="shared" si="34"/>
        <v>2.6086956521739131</v>
      </c>
      <c r="M244" s="8" t="str">
        <f t="array" ref="M244">IF(L244&gt;5,"Perlu Sensus",IF(AND(L244&gt;=0,I244&gt;0),"Tetap Deteksi","Belum Deteksi"))</f>
        <v>Tetap Deteksi</v>
      </c>
      <c r="N244" s="132">
        <v>46249</v>
      </c>
      <c r="O244" s="203">
        <v>115</v>
      </c>
      <c r="P244" s="9">
        <f t="array" ref="P244">IFERROR(O244/G244*100,0)</f>
        <v>3.7655533726260639</v>
      </c>
      <c r="Q244" s="203">
        <v>3</v>
      </c>
      <c r="R244" s="9">
        <f t="shared" si="36"/>
        <v>2.6086956521739131</v>
      </c>
      <c r="S244" s="8" t="str">
        <f t="array" ref="S244">IF(R244&gt;5,"Perlu Sensus",IF(AND(R244&gt;=0,O244&gt;0),"Tetap Deteksi","Belum Deteksi"))</f>
        <v>Tetap Deteksi</v>
      </c>
      <c r="T244" s="203">
        <v>2</v>
      </c>
      <c r="U244" s="9">
        <f t="shared" si="35"/>
        <v>1.7391304347826086</v>
      </c>
      <c r="V244" s="132">
        <v>46241</v>
      </c>
      <c r="W244" s="203">
        <v>173</v>
      </c>
      <c r="X244" s="203">
        <v>9.9999999999999995E-8</v>
      </c>
      <c r="Y244" s="9">
        <f t="shared" si="29"/>
        <v>5.7803468208092479E-8</v>
      </c>
      <c r="Z244" s="8" t="str">
        <f t="array" ref="Z244">IF(Y244&gt;5,"Perlu Sensus",IF(AND(Y244&gt;0,,O244&gt;0),"Tetap Deteksi","Belum Deteksi"))</f>
        <v>Belum Deteksi</v>
      </c>
    </row>
    <row r="245" spans="1:26" outlineLevel="1" x14ac:dyDescent="0.15">
      <c r="A245" s="8" t="s">
        <v>1043</v>
      </c>
      <c r="B245" s="8">
        <v>2</v>
      </c>
      <c r="C245" s="8">
        <v>13</v>
      </c>
      <c r="D245" s="8" t="s">
        <v>1179</v>
      </c>
      <c r="E245" s="9">
        <v>34.14</v>
      </c>
      <c r="F245" s="8" t="s">
        <v>469</v>
      </c>
      <c r="G245" s="10">
        <v>3685</v>
      </c>
      <c r="H245" s="132">
        <f t="shared" si="30"/>
        <v>46247</v>
      </c>
      <c r="I245" s="140">
        <f t="shared" si="31"/>
        <v>173</v>
      </c>
      <c r="J245" s="9">
        <f t="shared" si="32"/>
        <v>4.6947082767978294</v>
      </c>
      <c r="K245" s="140">
        <f t="shared" si="33"/>
        <v>2</v>
      </c>
      <c r="L245" s="206">
        <f t="shared" si="34"/>
        <v>1.1560693641618496</v>
      </c>
      <c r="M245" s="8" t="str">
        <f t="array" ref="M245">IF(L245&gt;5,"Perlu Sensus",IF(AND(L245&gt;=0,I245&gt;0),"Tetap Deteksi","Belum Deteksi"))</f>
        <v>Tetap Deteksi</v>
      </c>
      <c r="N245" s="132">
        <v>46247</v>
      </c>
      <c r="O245" s="203">
        <v>173</v>
      </c>
      <c r="P245" s="9">
        <f t="array" ref="P245">IFERROR(O245/G245*100,0)</f>
        <v>4.6947082767978294</v>
      </c>
      <c r="Q245" s="203">
        <v>2</v>
      </c>
      <c r="R245" s="9">
        <f t="shared" si="36"/>
        <v>1.1560693641618496</v>
      </c>
      <c r="S245" s="8" t="str">
        <f t="array" ref="S245">IF(R245&gt;5,"Perlu Sensus",IF(AND(R245&gt;=0,O245&gt;0),"Tetap Deteksi","Belum Deteksi"))</f>
        <v>Tetap Deteksi</v>
      </c>
      <c r="T245" s="203">
        <v>5</v>
      </c>
      <c r="U245" s="9">
        <f t="shared" si="35"/>
        <v>2.8901734104046244</v>
      </c>
      <c r="V245" s="132">
        <v>46249</v>
      </c>
      <c r="W245" s="203">
        <v>130</v>
      </c>
      <c r="X245" s="203">
        <v>5</v>
      </c>
      <c r="Y245" s="9">
        <f t="shared" si="29"/>
        <v>3.8461538461538463</v>
      </c>
      <c r="Z245" s="8" t="str">
        <f t="array" ref="Z245">IF(Y245&gt;5,"Perlu Sensus",IF(AND(Y245&gt;0,,O245&gt;0),"Tetap Deteksi","Belum Deteksi"))</f>
        <v>Belum Deteksi</v>
      </c>
    </row>
    <row r="246" spans="1:26" outlineLevel="1" x14ac:dyDescent="0.15">
      <c r="A246" s="8" t="s">
        <v>1043</v>
      </c>
      <c r="B246" s="8">
        <v>2</v>
      </c>
      <c r="C246" s="8">
        <v>13</v>
      </c>
      <c r="D246" s="8" t="s">
        <v>1180</v>
      </c>
      <c r="E246" s="9">
        <v>24.35</v>
      </c>
      <c r="F246" s="8" t="s">
        <v>469</v>
      </c>
      <c r="G246" s="10">
        <v>2785</v>
      </c>
      <c r="H246" s="132">
        <f t="shared" si="30"/>
        <v>46247</v>
      </c>
      <c r="I246" s="140">
        <f t="shared" si="31"/>
        <v>110</v>
      </c>
      <c r="J246" s="9">
        <f t="shared" si="32"/>
        <v>3.9497307001795332</v>
      </c>
      <c r="K246" s="140">
        <f t="shared" si="33"/>
        <v>4</v>
      </c>
      <c r="L246" s="206">
        <f t="shared" si="34"/>
        <v>3.6363636363636362</v>
      </c>
      <c r="M246" s="8" t="str">
        <f t="array" ref="M246">IF(L246&gt;5,"Perlu Sensus",IF(AND(L246&gt;=0,I246&gt;0),"Tetap Deteksi","Belum Deteksi"))</f>
        <v>Tetap Deteksi</v>
      </c>
      <c r="N246" s="132">
        <v>46247</v>
      </c>
      <c r="O246" s="203">
        <v>110</v>
      </c>
      <c r="P246" s="9">
        <f t="array" ref="P246">IFERROR(O246/G246*100,0)</f>
        <v>3.9497307001795332</v>
      </c>
      <c r="Q246" s="203">
        <v>4</v>
      </c>
      <c r="R246" s="9">
        <f t="shared" si="36"/>
        <v>3.6363636363636362</v>
      </c>
      <c r="S246" s="8" t="str">
        <f t="array" ref="S246">IF(R246&gt;5,"Perlu Sensus",IF(AND(R246&gt;=0,O246&gt;0),"Tetap Deteksi","Belum Deteksi"))</f>
        <v>Tetap Deteksi</v>
      </c>
      <c r="T246" s="203">
        <v>0</v>
      </c>
      <c r="U246" s="9">
        <f t="shared" si="35"/>
        <v>0</v>
      </c>
      <c r="V246" s="132">
        <v>46249</v>
      </c>
      <c r="W246" s="203">
        <v>230</v>
      </c>
      <c r="X246" s="203">
        <v>2</v>
      </c>
      <c r="Y246" s="9">
        <f t="shared" si="29"/>
        <v>0.86956521739130432</v>
      </c>
      <c r="Z246" s="8" t="str">
        <f t="array" ref="Z246">IF(Y246&gt;5,"Perlu Sensus",IF(AND(Y246&gt;0,,O246&gt;0),"Tetap Deteksi","Belum Deteksi"))</f>
        <v>Belum Deteksi</v>
      </c>
    </row>
    <row r="247" spans="1:26" outlineLevel="1" x14ac:dyDescent="0.15">
      <c r="A247" s="8" t="s">
        <v>1043</v>
      </c>
      <c r="B247" s="8">
        <v>2</v>
      </c>
      <c r="C247" s="8">
        <v>13</v>
      </c>
      <c r="D247" s="8" t="s">
        <v>1181</v>
      </c>
      <c r="E247" s="9">
        <v>25.04</v>
      </c>
      <c r="F247" s="8" t="s">
        <v>469</v>
      </c>
      <c r="G247" s="10">
        <v>3109</v>
      </c>
      <c r="H247" s="132">
        <f t="shared" si="30"/>
        <v>46247</v>
      </c>
      <c r="I247" s="140">
        <f t="shared" si="31"/>
        <v>270</v>
      </c>
      <c r="J247" s="9">
        <f t="shared" si="32"/>
        <v>8.6844644580250883</v>
      </c>
      <c r="K247" s="140">
        <f t="shared" si="33"/>
        <v>5</v>
      </c>
      <c r="L247" s="206">
        <f t="shared" si="34"/>
        <v>1.8518518518518516</v>
      </c>
      <c r="M247" s="8" t="str">
        <f t="array" ref="M247">IF(L247&gt;5,"Perlu Sensus",IF(AND(L247&gt;=0,I247&gt;0),"Tetap Deteksi","Belum Deteksi"))</f>
        <v>Tetap Deteksi</v>
      </c>
      <c r="N247" s="132">
        <v>46247</v>
      </c>
      <c r="O247" s="203">
        <v>270</v>
      </c>
      <c r="P247" s="9">
        <f t="array" ref="P247">IFERROR(O247/G247*100,0)</f>
        <v>8.6844644580250883</v>
      </c>
      <c r="Q247" s="203">
        <v>5</v>
      </c>
      <c r="R247" s="9">
        <f t="shared" si="36"/>
        <v>1.8518518518518516</v>
      </c>
      <c r="S247" s="8" t="str">
        <f t="array" ref="S247">IF(R247&gt;5,"Perlu Sensus",IF(AND(R247&gt;=0,O247&gt;0),"Tetap Deteksi","Belum Deteksi"))</f>
        <v>Tetap Deteksi</v>
      </c>
      <c r="T247" s="203">
        <v>0</v>
      </c>
      <c r="U247" s="9">
        <f t="shared" si="35"/>
        <v>0</v>
      </c>
      <c r="V247" s="132">
        <v>46249</v>
      </c>
      <c r="W247" s="203">
        <v>156</v>
      </c>
      <c r="X247" s="203">
        <v>4</v>
      </c>
      <c r="Y247" s="9">
        <f t="shared" si="29"/>
        <v>2.5641025641025639</v>
      </c>
      <c r="Z247" s="8" t="str">
        <f t="array" ref="Z247">IF(Y247&gt;5,"Perlu Sensus",IF(AND(Y247&gt;0,,O247&gt;0),"Tetap Deteksi","Belum Deteksi"))</f>
        <v>Belum Deteksi</v>
      </c>
    </row>
    <row r="248" spans="1:26" outlineLevel="1" x14ac:dyDescent="0.15">
      <c r="A248" s="8" t="s">
        <v>1043</v>
      </c>
      <c r="B248" s="8">
        <v>2</v>
      </c>
      <c r="C248" s="8">
        <v>13</v>
      </c>
      <c r="D248" s="8" t="s">
        <v>1182</v>
      </c>
      <c r="E248" s="9">
        <v>25.16</v>
      </c>
      <c r="F248" s="8" t="s">
        <v>469</v>
      </c>
      <c r="G248" s="10">
        <v>3395</v>
      </c>
      <c r="H248" s="132">
        <f t="shared" si="30"/>
        <v>46240</v>
      </c>
      <c r="I248" s="140">
        <f t="shared" si="31"/>
        <v>200</v>
      </c>
      <c r="J248" s="9">
        <f t="shared" si="32"/>
        <v>5.8910162002945503</v>
      </c>
      <c r="K248" s="140">
        <f t="shared" si="33"/>
        <v>4</v>
      </c>
      <c r="L248" s="206">
        <f t="shared" si="34"/>
        <v>2</v>
      </c>
      <c r="M248" s="8" t="str">
        <f t="array" ref="M248">IF(L248&gt;5,"Perlu Sensus",IF(AND(L248&gt;=0,I248&gt;0),"Tetap Deteksi","Belum Deteksi"))</f>
        <v>Tetap Deteksi</v>
      </c>
      <c r="N248" s="132">
        <v>46240</v>
      </c>
      <c r="O248" s="203">
        <v>200</v>
      </c>
      <c r="P248" s="9">
        <f t="array" ref="P248">IFERROR(O248/G248*100,0)</f>
        <v>5.8910162002945503</v>
      </c>
      <c r="Q248" s="203">
        <v>4</v>
      </c>
      <c r="R248" s="9">
        <f t="shared" si="36"/>
        <v>2</v>
      </c>
      <c r="S248" s="8" t="str">
        <f t="array" ref="S248">IF(R248&gt;5,"Perlu Sensus",IF(AND(R248&gt;=0,O248&gt;0),"Tetap Deteksi","Belum Deteksi"))</f>
        <v>Tetap Deteksi</v>
      </c>
      <c r="T248" s="203">
        <v>3</v>
      </c>
      <c r="U248" s="9">
        <f t="shared" si="35"/>
        <v>1.5</v>
      </c>
      <c r="V248" s="132">
        <v>46249</v>
      </c>
      <c r="W248" s="203">
        <v>118</v>
      </c>
      <c r="X248" s="203">
        <v>3</v>
      </c>
      <c r="Y248" s="9">
        <f t="shared" si="29"/>
        <v>2.5423728813559325</v>
      </c>
      <c r="Z248" s="8" t="str">
        <f t="array" ref="Z248">IF(Y248&gt;5,"Perlu Sensus",IF(AND(Y248&gt;0,,O248&gt;0),"Tetap Deteksi","Belum Deteksi"))</f>
        <v>Belum Deteksi</v>
      </c>
    </row>
    <row r="249" spans="1:26" outlineLevel="1" x14ac:dyDescent="0.15">
      <c r="A249" s="8" t="s">
        <v>1043</v>
      </c>
      <c r="B249" s="8">
        <v>2</v>
      </c>
      <c r="C249" s="8">
        <v>13</v>
      </c>
      <c r="D249" s="8" t="s">
        <v>1183</v>
      </c>
      <c r="E249" s="9">
        <v>25.49</v>
      </c>
      <c r="F249" s="8" t="s">
        <v>469</v>
      </c>
      <c r="G249" s="10">
        <v>3127</v>
      </c>
      <c r="H249" s="132">
        <f t="shared" si="30"/>
        <v>46241</v>
      </c>
      <c r="I249" s="140">
        <f t="shared" si="31"/>
        <v>143</v>
      </c>
      <c r="J249" s="9">
        <f t="shared" si="32"/>
        <v>4.5730732331307964</v>
      </c>
      <c r="K249" s="140">
        <f t="shared" si="33"/>
        <v>4</v>
      </c>
      <c r="L249" s="206">
        <f t="shared" si="34"/>
        <v>2.7972027972027971</v>
      </c>
      <c r="M249" s="8" t="str">
        <f t="array" ref="M249">IF(L249&gt;5,"Perlu Sensus",IF(AND(L249&gt;=0,I249&gt;0),"Tetap Deteksi","Belum Deteksi"))</f>
        <v>Tetap Deteksi</v>
      </c>
      <c r="N249" s="132">
        <v>46241</v>
      </c>
      <c r="O249" s="203">
        <v>143</v>
      </c>
      <c r="P249" s="9">
        <f t="array" ref="P249">IFERROR(O249/G249*100,0)</f>
        <v>4.5730732331307964</v>
      </c>
      <c r="Q249" s="203">
        <v>4</v>
      </c>
      <c r="R249" s="9">
        <f t="shared" si="36"/>
        <v>2.7972027972027971</v>
      </c>
      <c r="S249" s="8" t="str">
        <f t="array" ref="S249">IF(R249&gt;5,"Perlu Sensus",IF(AND(R249&gt;=0,O249&gt;0),"Tetap Deteksi","Belum Deteksi"))</f>
        <v>Tetap Deteksi</v>
      </c>
      <c r="T249" s="203">
        <v>2</v>
      </c>
      <c r="U249" s="9">
        <f t="shared" si="35"/>
        <v>1.3986013986013985</v>
      </c>
      <c r="V249" s="132">
        <v>46249</v>
      </c>
      <c r="W249" s="203">
        <v>155</v>
      </c>
      <c r="X249" s="203">
        <v>2</v>
      </c>
      <c r="Y249" s="9">
        <f t="shared" si="29"/>
        <v>1.2903225806451613</v>
      </c>
      <c r="Z249" s="8" t="str">
        <f t="array" ref="Z249">IF(Y249&gt;5,"Perlu Sensus",IF(AND(Y249&gt;0,,O249&gt;0),"Tetap Deteksi","Belum Deteksi"))</f>
        <v>Belum Deteksi</v>
      </c>
    </row>
    <row r="250" spans="1:26" outlineLevel="1" x14ac:dyDescent="0.15">
      <c r="A250" s="8" t="s">
        <v>1043</v>
      </c>
      <c r="B250" s="8">
        <v>2</v>
      </c>
      <c r="C250" s="8">
        <v>13</v>
      </c>
      <c r="D250" s="8" t="s">
        <v>1200</v>
      </c>
      <c r="E250" s="9">
        <v>32.950000000000003</v>
      </c>
      <c r="F250" s="8" t="s">
        <v>469</v>
      </c>
      <c r="G250" s="10">
        <v>3611</v>
      </c>
      <c r="H250" s="132">
        <f t="shared" si="30"/>
        <v>46248</v>
      </c>
      <c r="I250" s="140">
        <f t="shared" si="31"/>
        <v>220</v>
      </c>
      <c r="J250" s="9">
        <f t="shared" si="32"/>
        <v>6.0924951536970369</v>
      </c>
      <c r="K250" s="140">
        <f t="shared" si="33"/>
        <v>4</v>
      </c>
      <c r="L250" s="206">
        <f t="shared" si="34"/>
        <v>1.8181818181818181</v>
      </c>
      <c r="M250" s="8" t="str">
        <f t="array" ref="M250">IF(L250&gt;5,"Perlu Sensus",IF(AND(L250&gt;=0,I250&gt;0),"Tetap Deteksi","Belum Deteksi"))</f>
        <v>Tetap Deteksi</v>
      </c>
      <c r="N250" s="132">
        <v>46248</v>
      </c>
      <c r="O250" s="203">
        <v>220</v>
      </c>
      <c r="P250" s="9">
        <f t="array" ref="P250">IFERROR(O250/G250*100,0)</f>
        <v>6.0924951536970369</v>
      </c>
      <c r="Q250" s="203">
        <v>4</v>
      </c>
      <c r="R250" s="9">
        <f t="shared" si="36"/>
        <v>1.8181818181818181</v>
      </c>
      <c r="S250" s="8" t="str">
        <f t="array" ref="S250">IF(R250&gt;5,"Perlu Sensus",IF(AND(R250&gt;=0,O250&gt;0),"Tetap Deteksi","Belum Deteksi"))</f>
        <v>Tetap Deteksi</v>
      </c>
      <c r="T250" s="203">
        <v>2</v>
      </c>
      <c r="U250" s="9">
        <f t="shared" si="35"/>
        <v>0.90909090909090906</v>
      </c>
      <c r="V250" s="132">
        <v>46249</v>
      </c>
      <c r="W250" s="203">
        <v>219</v>
      </c>
      <c r="X250" s="203">
        <v>1</v>
      </c>
      <c r="Y250" s="9">
        <f t="shared" si="29"/>
        <v>0.45662100456621002</v>
      </c>
      <c r="Z250" s="8" t="str">
        <f t="array" ref="Z250">IF(Y250&gt;5,"Perlu Sensus",IF(AND(Y250&gt;0,,O250&gt;0),"Tetap Deteksi","Belum Deteksi"))</f>
        <v>Belum Deteksi</v>
      </c>
    </row>
    <row r="251" spans="1:26" outlineLevel="1" x14ac:dyDescent="0.15">
      <c r="A251" s="8" t="s">
        <v>1043</v>
      </c>
      <c r="B251" s="8">
        <v>2</v>
      </c>
      <c r="C251" s="8">
        <v>13</v>
      </c>
      <c r="D251" s="8" t="s">
        <v>1201</v>
      </c>
      <c r="E251" s="9">
        <v>20.3</v>
      </c>
      <c r="F251" s="8" t="s">
        <v>469</v>
      </c>
      <c r="G251" s="10">
        <v>2525</v>
      </c>
      <c r="H251" s="132">
        <f t="shared" si="30"/>
        <v>46248</v>
      </c>
      <c r="I251" s="140">
        <f t="shared" si="31"/>
        <v>350</v>
      </c>
      <c r="J251" s="9">
        <f t="shared" si="32"/>
        <v>13.861386138613863</v>
      </c>
      <c r="K251" s="140">
        <f t="shared" si="33"/>
        <v>4</v>
      </c>
      <c r="L251" s="206">
        <f t="shared" si="34"/>
        <v>1.1428571428571428</v>
      </c>
      <c r="M251" s="8" t="str">
        <f t="array" ref="M251">IF(L251&gt;5,"Perlu Sensus",IF(AND(L251&gt;=0,I251&gt;0),"Tetap Deteksi","Belum Deteksi"))</f>
        <v>Tetap Deteksi</v>
      </c>
      <c r="N251" s="132">
        <v>46248</v>
      </c>
      <c r="O251" s="203">
        <v>350</v>
      </c>
      <c r="P251" s="9">
        <f t="array" ref="P251">IFERROR(O251/G251*100,0)</f>
        <v>13.861386138613863</v>
      </c>
      <c r="Q251" s="203">
        <v>4</v>
      </c>
      <c r="R251" s="9">
        <f t="shared" si="36"/>
        <v>1.1428571428571428</v>
      </c>
      <c r="S251" s="8" t="str">
        <f t="array" ref="S251">IF(R251&gt;5,"Perlu Sensus",IF(AND(R251&gt;=0,O251&gt;0),"Tetap Deteksi","Belum Deteksi"))</f>
        <v>Tetap Deteksi</v>
      </c>
      <c r="T251" s="203">
        <v>1</v>
      </c>
      <c r="U251" s="9">
        <f t="shared" si="35"/>
        <v>0.2857142857142857</v>
      </c>
      <c r="V251" s="132">
        <v>46249</v>
      </c>
      <c r="W251" s="203">
        <v>230</v>
      </c>
      <c r="X251" s="203">
        <v>1</v>
      </c>
      <c r="Y251" s="9">
        <f t="shared" si="29"/>
        <v>0.43478260869565216</v>
      </c>
      <c r="Z251" s="8" t="str">
        <f t="array" ref="Z251">IF(Y251&gt;5,"Perlu Sensus",IF(AND(Y251&gt;0,,O251&gt;0),"Tetap Deteksi","Belum Deteksi"))</f>
        <v>Belum Deteksi</v>
      </c>
    </row>
    <row r="252" spans="1:26" outlineLevel="1" x14ac:dyDescent="0.15">
      <c r="A252" s="8" t="s">
        <v>1043</v>
      </c>
      <c r="B252" s="8">
        <v>2</v>
      </c>
      <c r="C252" s="8">
        <v>13</v>
      </c>
      <c r="D252" s="8" t="s">
        <v>1228</v>
      </c>
      <c r="E252" s="9">
        <v>31.58</v>
      </c>
      <c r="F252" s="8" t="s">
        <v>469</v>
      </c>
      <c r="G252" s="10">
        <v>3228</v>
      </c>
      <c r="H252" s="132">
        <f t="shared" si="30"/>
        <v>46248</v>
      </c>
      <c r="I252" s="140">
        <f t="shared" si="31"/>
        <v>314</v>
      </c>
      <c r="J252" s="9">
        <f t="shared" si="32"/>
        <v>9.7273853779429977</v>
      </c>
      <c r="K252" s="140">
        <f t="shared" si="33"/>
        <v>5</v>
      </c>
      <c r="L252" s="206">
        <f t="shared" si="34"/>
        <v>1.5923566878980893</v>
      </c>
      <c r="M252" s="8" t="str">
        <f t="array" ref="M252">IF(L252&gt;5,"Perlu Sensus",IF(AND(L252&gt;=0,I252&gt;0),"Tetap Deteksi","Belum Deteksi"))</f>
        <v>Tetap Deteksi</v>
      </c>
      <c r="N252" s="132">
        <v>46248</v>
      </c>
      <c r="O252" s="203">
        <v>314</v>
      </c>
      <c r="P252" s="9">
        <f t="array" ref="P252">IFERROR(O252/G252*100,0)</f>
        <v>9.7273853779429977</v>
      </c>
      <c r="Q252" s="203">
        <v>5</v>
      </c>
      <c r="R252" s="9">
        <f t="shared" si="36"/>
        <v>1.5923566878980893</v>
      </c>
      <c r="S252" s="8" t="str">
        <f t="array" ref="S252">IF(R252&gt;5,"Perlu Sensus",IF(AND(R252&gt;=0,O252&gt;0),"Tetap Deteksi","Belum Deteksi"))</f>
        <v>Tetap Deteksi</v>
      </c>
      <c r="T252" s="203">
        <v>7</v>
      </c>
      <c r="U252" s="9">
        <f t="shared" si="35"/>
        <v>2.2292993630573248</v>
      </c>
      <c r="V252" s="132">
        <v>46249</v>
      </c>
      <c r="W252" s="203">
        <v>320</v>
      </c>
      <c r="X252" s="203">
        <v>3</v>
      </c>
      <c r="Y252" s="9">
        <f t="shared" si="29"/>
        <v>0.9375</v>
      </c>
      <c r="Z252" s="8" t="str">
        <f t="array" ref="Z252">IF(Y252&gt;5,"Perlu Sensus",IF(AND(Y252&gt;0,,O252&gt;0),"Tetap Deteksi","Belum Deteksi"))</f>
        <v>Belum Deteksi</v>
      </c>
    </row>
    <row r="253" spans="1:26" outlineLevel="1" x14ac:dyDescent="0.15">
      <c r="A253" s="8" t="s">
        <v>1043</v>
      </c>
      <c r="B253" s="8">
        <v>2</v>
      </c>
      <c r="C253" s="8">
        <v>13</v>
      </c>
      <c r="D253" s="8" t="s">
        <v>1127</v>
      </c>
      <c r="E253" s="9">
        <v>30.5</v>
      </c>
      <c r="F253" s="8" t="s">
        <v>469</v>
      </c>
      <c r="G253" s="10">
        <v>3375</v>
      </c>
      <c r="H253" s="132">
        <f t="shared" si="30"/>
        <v>46242</v>
      </c>
      <c r="I253" s="140">
        <f t="shared" si="31"/>
        <v>164</v>
      </c>
      <c r="J253" s="9">
        <f t="shared" si="32"/>
        <v>4.8592592592592592</v>
      </c>
      <c r="K253" s="140">
        <f t="shared" si="33"/>
        <v>4</v>
      </c>
      <c r="L253" s="206">
        <f t="shared" si="34"/>
        <v>2.4390243902439024</v>
      </c>
      <c r="M253" s="8" t="str">
        <f t="array" ref="M253">IF(L253&gt;5,"Perlu Sensus",IF(AND(L253&gt;=0,I253&gt;0),"Tetap Deteksi","Belum Deteksi"))</f>
        <v>Tetap Deteksi</v>
      </c>
      <c r="N253" s="132">
        <v>46242</v>
      </c>
      <c r="O253" s="203">
        <v>164</v>
      </c>
      <c r="P253" s="9">
        <f t="array" ref="P253">IFERROR(O253/G253*100,0)</f>
        <v>4.8592592592592592</v>
      </c>
      <c r="Q253" s="203">
        <v>4</v>
      </c>
      <c r="R253" s="9">
        <f t="shared" si="36"/>
        <v>2.4390243902439024</v>
      </c>
      <c r="S253" s="8" t="str">
        <f t="array" ref="S253">IF(R253&gt;5,"Perlu Sensus",IF(AND(R253&gt;=0,O253&gt;0),"Tetap Deteksi","Belum Deteksi"))</f>
        <v>Tetap Deteksi</v>
      </c>
      <c r="T253" s="203">
        <v>0</v>
      </c>
      <c r="U253" s="9">
        <f t="shared" si="35"/>
        <v>0</v>
      </c>
      <c r="V253" s="132">
        <v>46249</v>
      </c>
      <c r="W253" s="203">
        <v>169</v>
      </c>
      <c r="X253" s="203">
        <v>1</v>
      </c>
      <c r="Y253" s="9">
        <f t="shared" si="29"/>
        <v>0.59171597633136097</v>
      </c>
      <c r="Z253" s="8" t="str">
        <f t="array" ref="Z253">IF(Y253&gt;5,"Perlu Sensus",IF(AND(Y253&gt;0,,O253&gt;0),"Tetap Deteksi","Belum Deteksi"))</f>
        <v>Belum Deteksi</v>
      </c>
    </row>
    <row r="254" spans="1:26" outlineLevel="1" x14ac:dyDescent="0.15">
      <c r="A254" s="8" t="s">
        <v>1043</v>
      </c>
      <c r="B254" s="8">
        <v>2</v>
      </c>
      <c r="C254" s="8">
        <v>13</v>
      </c>
      <c r="D254" s="8" t="s">
        <v>1128</v>
      </c>
      <c r="E254" s="9">
        <v>35.5</v>
      </c>
      <c r="F254" s="8" t="s">
        <v>469</v>
      </c>
      <c r="G254" s="10">
        <v>4442</v>
      </c>
      <c r="H254" s="132">
        <f t="shared" si="30"/>
        <v>46242</v>
      </c>
      <c r="I254" s="140">
        <f t="shared" si="31"/>
        <v>247</v>
      </c>
      <c r="J254" s="9">
        <f t="shared" si="32"/>
        <v>5.560558307068888</v>
      </c>
      <c r="K254" s="140">
        <f t="shared" si="33"/>
        <v>4</v>
      </c>
      <c r="L254" s="206">
        <f t="shared" si="34"/>
        <v>1.6194331983805668</v>
      </c>
      <c r="M254" s="8" t="str">
        <f t="array" ref="M254">IF(L254&gt;5,"Perlu Sensus",IF(AND(L254&gt;=0,I254&gt;0),"Tetap Deteksi","Belum Deteksi"))</f>
        <v>Tetap Deteksi</v>
      </c>
      <c r="N254" s="132">
        <v>46242</v>
      </c>
      <c r="O254" s="203">
        <v>247</v>
      </c>
      <c r="P254" s="9">
        <f t="array" ref="P254">IFERROR(O254/G254*100,0)</f>
        <v>5.560558307068888</v>
      </c>
      <c r="Q254" s="203">
        <v>4</v>
      </c>
      <c r="R254" s="9">
        <f t="shared" si="36"/>
        <v>1.6194331983805668</v>
      </c>
      <c r="S254" s="8" t="str">
        <f t="array" ref="S254">IF(R254&gt;5,"Perlu Sensus",IF(AND(R254&gt;=0,O254&gt;0),"Tetap Deteksi","Belum Deteksi"))</f>
        <v>Tetap Deteksi</v>
      </c>
      <c r="T254" s="203">
        <v>0</v>
      </c>
      <c r="U254" s="9">
        <f t="shared" si="35"/>
        <v>0</v>
      </c>
      <c r="V254" s="132">
        <v>46249</v>
      </c>
      <c r="W254" s="203">
        <v>275</v>
      </c>
      <c r="X254" s="203">
        <v>6</v>
      </c>
      <c r="Y254" s="9">
        <f t="shared" si="29"/>
        <v>2.1818181818181821</v>
      </c>
      <c r="Z254" s="8" t="str">
        <f t="array" ref="Z254">IF(Y254&gt;5,"Perlu Sensus",IF(AND(Y254&gt;0,,O254&gt;0),"Tetap Deteksi","Belum Deteksi"))</f>
        <v>Belum Deteksi</v>
      </c>
    </row>
    <row r="255" spans="1:26" outlineLevel="1" x14ac:dyDescent="0.15">
      <c r="A255" s="8" t="s">
        <v>1043</v>
      </c>
      <c r="B255" s="8">
        <v>2</v>
      </c>
      <c r="C255" s="8">
        <v>13</v>
      </c>
      <c r="D255" s="8" t="s">
        <v>1129</v>
      </c>
      <c r="E255" s="9">
        <v>31.95</v>
      </c>
      <c r="F255" s="8" t="s">
        <v>469</v>
      </c>
      <c r="G255" s="10">
        <v>3891</v>
      </c>
      <c r="H255" s="132">
        <f t="shared" si="30"/>
        <v>46240</v>
      </c>
      <c r="I255" s="140">
        <f t="shared" si="31"/>
        <v>187</v>
      </c>
      <c r="J255" s="9">
        <f t="shared" si="32"/>
        <v>4.8059624775122076</v>
      </c>
      <c r="K255" s="140">
        <f t="shared" si="33"/>
        <v>4</v>
      </c>
      <c r="L255" s="206">
        <f t="shared" si="34"/>
        <v>2.1390374331550799</v>
      </c>
      <c r="M255" s="8" t="str">
        <f t="array" ref="M255">IF(L255&gt;5,"Perlu Sensus",IF(AND(L255&gt;=0,I255&gt;0),"Tetap Deteksi","Belum Deteksi"))</f>
        <v>Tetap Deteksi</v>
      </c>
      <c r="N255" s="132">
        <v>46240</v>
      </c>
      <c r="O255" s="203">
        <v>187</v>
      </c>
      <c r="P255" s="9">
        <f t="array" ref="P255">IFERROR(O255/G255*100,0)</f>
        <v>4.8059624775122076</v>
      </c>
      <c r="Q255" s="203">
        <v>4</v>
      </c>
      <c r="R255" s="9">
        <f t="shared" si="36"/>
        <v>2.1390374331550799</v>
      </c>
      <c r="S255" s="8" t="str">
        <f t="array" ref="S255">IF(R255&gt;5,"Perlu Sensus",IF(AND(R255&gt;=0,O255&gt;0),"Tetap Deteksi","Belum Deteksi"))</f>
        <v>Tetap Deteksi</v>
      </c>
      <c r="T255" s="203">
        <v>6</v>
      </c>
      <c r="U255" s="9">
        <f t="shared" si="35"/>
        <v>3.2085561497326207</v>
      </c>
      <c r="V255" s="132">
        <v>46249</v>
      </c>
      <c r="W255" s="203">
        <v>196</v>
      </c>
      <c r="X255" s="203">
        <v>6</v>
      </c>
      <c r="Y255" s="9">
        <f t="shared" si="29"/>
        <v>3.0612244897959182</v>
      </c>
      <c r="Z255" s="8" t="str">
        <f t="array" ref="Z255">IF(Y255&gt;5,"Perlu Sensus",IF(AND(Y255&gt;0,,O255&gt;0),"Tetap Deteksi","Belum Deteksi"))</f>
        <v>Belum Deteksi</v>
      </c>
    </row>
    <row r="256" spans="1:26" outlineLevel="1" x14ac:dyDescent="0.15">
      <c r="A256" s="8" t="s">
        <v>1043</v>
      </c>
      <c r="B256" s="8">
        <v>2</v>
      </c>
      <c r="C256" s="8">
        <v>13</v>
      </c>
      <c r="D256" s="8" t="s">
        <v>1130</v>
      </c>
      <c r="E256" s="9">
        <v>27.54</v>
      </c>
      <c r="F256" s="8" t="s">
        <v>469</v>
      </c>
      <c r="G256" s="10">
        <v>3192</v>
      </c>
      <c r="H256" s="132">
        <f t="shared" si="30"/>
        <v>46236</v>
      </c>
      <c r="I256" s="140">
        <f t="shared" si="31"/>
        <v>191</v>
      </c>
      <c r="J256" s="9">
        <f t="shared" si="32"/>
        <v>5.9837092731829573</v>
      </c>
      <c r="K256" s="140">
        <f t="shared" si="33"/>
        <v>4</v>
      </c>
      <c r="L256" s="206">
        <f t="shared" si="34"/>
        <v>2.0942408376963351</v>
      </c>
      <c r="M256" s="8" t="str">
        <f t="array" ref="M256">IF(L256&gt;5,"Perlu Sensus",IF(AND(L256&gt;=0,I256&gt;0),"Tetap Deteksi","Belum Deteksi"))</f>
        <v>Tetap Deteksi</v>
      </c>
      <c r="N256" s="132">
        <v>46236</v>
      </c>
      <c r="O256" s="203">
        <v>191</v>
      </c>
      <c r="P256" s="9">
        <f t="array" ref="P256">IFERROR(O256/G256*100,0)</f>
        <v>5.9837092731829573</v>
      </c>
      <c r="Q256" s="203">
        <v>4</v>
      </c>
      <c r="R256" s="9">
        <f t="shared" si="36"/>
        <v>2.0942408376963351</v>
      </c>
      <c r="S256" s="8" t="str">
        <f t="array" ref="S256">IF(R256&gt;5,"Perlu Sensus",IF(AND(R256&gt;=0,O256&gt;0),"Tetap Deteksi","Belum Deteksi"))</f>
        <v>Tetap Deteksi</v>
      </c>
      <c r="T256" s="203">
        <v>0</v>
      </c>
      <c r="U256" s="9">
        <f t="shared" si="35"/>
        <v>0</v>
      </c>
      <c r="V256" s="132">
        <v>46249</v>
      </c>
      <c r="W256" s="203">
        <v>177</v>
      </c>
      <c r="X256" s="203">
        <v>1</v>
      </c>
      <c r="Y256" s="9">
        <f t="shared" si="29"/>
        <v>0.56497175141242939</v>
      </c>
      <c r="Z256" s="8" t="str">
        <f t="array" ref="Z256">IF(Y256&gt;5,"Perlu Sensus",IF(AND(Y256&gt;0,,O256&gt;0),"Tetap Deteksi","Belum Deteksi"))</f>
        <v>Belum Deteksi</v>
      </c>
    </row>
    <row r="257" spans="1:26" outlineLevel="1" x14ac:dyDescent="0.15">
      <c r="A257" s="8" t="s">
        <v>1043</v>
      </c>
      <c r="B257" s="8">
        <v>2</v>
      </c>
      <c r="C257" s="8">
        <v>14</v>
      </c>
      <c r="D257" s="8" t="s">
        <v>1709</v>
      </c>
      <c r="E257" s="9">
        <v>41.49</v>
      </c>
      <c r="F257" s="8" t="s">
        <v>469</v>
      </c>
      <c r="G257" s="10">
        <v>4664</v>
      </c>
      <c r="H257" s="132">
        <f t="shared" si="30"/>
        <v>46237</v>
      </c>
      <c r="I257" s="140">
        <f t="shared" si="31"/>
        <v>388</v>
      </c>
      <c r="J257" s="9">
        <f t="shared" si="32"/>
        <v>8.3190394511149233</v>
      </c>
      <c r="K257" s="140">
        <f t="shared" si="33"/>
        <v>9</v>
      </c>
      <c r="L257" s="206">
        <f t="shared" si="34"/>
        <v>2.3195876288659796</v>
      </c>
      <c r="M257" s="8" t="str">
        <f t="array" ref="M257">IF(L257&gt;5,"Perlu Sensus",IF(AND(L257&gt;=0,I257&gt;0),"Tetap Deteksi","Belum Deteksi"))</f>
        <v>Tetap Deteksi</v>
      </c>
      <c r="N257" s="132">
        <v>46237</v>
      </c>
      <c r="O257" s="203">
        <v>388</v>
      </c>
      <c r="P257" s="9">
        <f t="array" ref="P257">IFERROR(O257/G257*100,0)</f>
        <v>8.3190394511149233</v>
      </c>
      <c r="Q257" s="203">
        <v>9</v>
      </c>
      <c r="R257" s="9">
        <f t="shared" si="36"/>
        <v>2.3195876288659796</v>
      </c>
      <c r="S257" s="8" t="str">
        <f t="array" ref="S257">IF(R257&gt;5,"Perlu Sensus",IF(AND(R257&gt;=0,O257&gt;0),"Tetap Deteksi","Belum Deteksi"))</f>
        <v>Tetap Deteksi</v>
      </c>
      <c r="T257" s="203">
        <v>5</v>
      </c>
      <c r="U257" s="9">
        <f t="shared" si="35"/>
        <v>1.2886597938144329</v>
      </c>
      <c r="V257" s="132">
        <v>46241</v>
      </c>
      <c r="W257" s="203">
        <v>200</v>
      </c>
      <c r="X257" s="203">
        <v>1</v>
      </c>
      <c r="Y257" s="9">
        <f t="shared" si="29"/>
        <v>0.5</v>
      </c>
      <c r="Z257" s="8" t="str">
        <f t="array" ref="Z257">IF(Y257&gt;5,"Perlu Sensus",IF(AND(Y257&gt;0,,O257&gt;0),"Tetap Deteksi","Belum Deteksi"))</f>
        <v>Belum Deteksi</v>
      </c>
    </row>
    <row r="258" spans="1:26" outlineLevel="1" x14ac:dyDescent="0.15">
      <c r="A258" s="8" t="s">
        <v>1043</v>
      </c>
      <c r="B258" s="8">
        <v>2</v>
      </c>
      <c r="C258" s="8">
        <v>14</v>
      </c>
      <c r="D258" s="8" t="s">
        <v>1710</v>
      </c>
      <c r="E258" s="9">
        <v>25.740000000000002</v>
      </c>
      <c r="F258" s="8" t="s">
        <v>469</v>
      </c>
      <c r="G258" s="10">
        <v>2153</v>
      </c>
      <c r="H258" s="132">
        <f t="shared" si="30"/>
        <v>46238</v>
      </c>
      <c r="I258" s="140">
        <f t="shared" si="31"/>
        <v>518</v>
      </c>
      <c r="J258" s="9">
        <f t="shared" si="32"/>
        <v>24.059451927542963</v>
      </c>
      <c r="K258" s="140">
        <f t="shared" si="33"/>
        <v>14</v>
      </c>
      <c r="L258" s="206">
        <f t="shared" si="34"/>
        <v>2.7027027027027026</v>
      </c>
      <c r="M258" s="8" t="str">
        <f t="array" ref="M258">IF(L258&gt;5,"Perlu Sensus",IF(AND(L258&gt;=0,I258&gt;0),"Tetap Deteksi","Belum Deteksi"))</f>
        <v>Tetap Deteksi</v>
      </c>
      <c r="N258" s="132">
        <v>46238</v>
      </c>
      <c r="O258" s="203">
        <v>518</v>
      </c>
      <c r="P258" s="9">
        <f t="array" ref="P258">IFERROR(O258/G258*100,0)</f>
        <v>24.059451927542963</v>
      </c>
      <c r="Q258" s="203">
        <v>14</v>
      </c>
      <c r="R258" s="9">
        <f t="shared" si="36"/>
        <v>2.7027027027027026</v>
      </c>
      <c r="S258" s="8" t="str">
        <f t="array" ref="S258">IF(R258&gt;5,"Perlu Sensus",IF(AND(R258&gt;=0,O258&gt;0),"Tetap Deteksi","Belum Deteksi"))</f>
        <v>Tetap Deteksi</v>
      </c>
      <c r="T258" s="203">
        <v>12</v>
      </c>
      <c r="U258" s="9">
        <f t="shared" si="35"/>
        <v>2.3166023166023164</v>
      </c>
      <c r="V258" s="132">
        <v>46241</v>
      </c>
      <c r="W258" s="203">
        <v>250</v>
      </c>
      <c r="X258" s="203">
        <v>4</v>
      </c>
      <c r="Y258" s="9">
        <f t="shared" si="29"/>
        <v>1.6</v>
      </c>
      <c r="Z258" s="8" t="str">
        <f t="array" ref="Z258">IF(Y258&gt;5,"Perlu Sensus",IF(AND(Y258&gt;0,,O258&gt;0),"Tetap Deteksi","Belum Deteksi"))</f>
        <v>Belum Deteksi</v>
      </c>
    </row>
    <row r="259" spans="1:26" outlineLevel="1" x14ac:dyDescent="0.15">
      <c r="A259" s="8" t="s">
        <v>1043</v>
      </c>
      <c r="B259" s="8">
        <v>2</v>
      </c>
      <c r="C259" s="8">
        <v>14</v>
      </c>
      <c r="D259" s="8" t="s">
        <v>1711</v>
      </c>
      <c r="E259" s="9">
        <v>36.950000000000003</v>
      </c>
      <c r="F259" s="8" t="s">
        <v>469</v>
      </c>
      <c r="G259" s="10">
        <v>5356</v>
      </c>
      <c r="H259" s="132">
        <f t="shared" si="30"/>
        <v>46238</v>
      </c>
      <c r="I259" s="140">
        <f t="shared" si="31"/>
        <v>720</v>
      </c>
      <c r="J259" s="9">
        <f t="shared" si="32"/>
        <v>13.44286781179985</v>
      </c>
      <c r="K259" s="140">
        <f t="shared" si="33"/>
        <v>11</v>
      </c>
      <c r="L259" s="206">
        <f t="shared" si="34"/>
        <v>1.5277777777777777</v>
      </c>
      <c r="M259" s="8" t="str">
        <f t="array" ref="M259">IF(L259&gt;5,"Perlu Sensus",IF(AND(L259&gt;=0,I259&gt;0),"Tetap Deteksi","Belum Deteksi"))</f>
        <v>Tetap Deteksi</v>
      </c>
      <c r="N259" s="132">
        <v>46238</v>
      </c>
      <c r="O259" s="203">
        <v>720</v>
      </c>
      <c r="P259" s="9">
        <f t="array" ref="P259">IFERROR(O259/G259*100,0)</f>
        <v>13.44286781179985</v>
      </c>
      <c r="Q259" s="203">
        <v>11</v>
      </c>
      <c r="R259" s="9">
        <f t="shared" si="36"/>
        <v>1.5277777777777777</v>
      </c>
      <c r="S259" s="8" t="str">
        <f t="array" ref="S259">IF(R259&gt;5,"Perlu Sensus",IF(AND(R259&gt;=0,O259&gt;0),"Tetap Deteksi","Belum Deteksi"))</f>
        <v>Tetap Deteksi</v>
      </c>
      <c r="T259" s="203">
        <v>18</v>
      </c>
      <c r="U259" s="9">
        <f t="shared" si="35"/>
        <v>2.5</v>
      </c>
      <c r="V259" s="132">
        <v>46241</v>
      </c>
      <c r="W259" s="203">
        <v>323</v>
      </c>
      <c r="X259" s="203">
        <v>3</v>
      </c>
      <c r="Y259" s="9">
        <f t="shared" si="29"/>
        <v>0.92879256965944268</v>
      </c>
      <c r="Z259" s="8" t="str">
        <f t="array" ref="Z259">IF(Y259&gt;5,"Perlu Sensus",IF(AND(Y259&gt;0,,O259&gt;0),"Tetap Deteksi","Belum Deteksi"))</f>
        <v>Belum Deteksi</v>
      </c>
    </row>
    <row r="260" spans="1:26" outlineLevel="1" x14ac:dyDescent="0.15">
      <c r="A260" s="8" t="s">
        <v>1043</v>
      </c>
      <c r="B260" s="8">
        <v>2</v>
      </c>
      <c r="C260" s="8">
        <v>14</v>
      </c>
      <c r="D260" s="8" t="s">
        <v>1712</v>
      </c>
      <c r="E260" s="9">
        <v>39.82</v>
      </c>
      <c r="F260" s="8" t="s">
        <v>469</v>
      </c>
      <c r="G260" s="10">
        <v>5201</v>
      </c>
      <c r="H260" s="132">
        <f t="shared" si="30"/>
        <v>46240</v>
      </c>
      <c r="I260" s="140">
        <f t="shared" si="31"/>
        <v>259</v>
      </c>
      <c r="J260" s="9">
        <f t="shared" si="32"/>
        <v>4.9798115746971741</v>
      </c>
      <c r="K260" s="140">
        <f t="shared" si="33"/>
        <v>4</v>
      </c>
      <c r="L260" s="206">
        <f t="shared" si="34"/>
        <v>1.5444015444015444</v>
      </c>
      <c r="M260" s="8" t="str">
        <f t="array" ref="M260">IF(L260&gt;5,"Perlu Sensus",IF(AND(L260&gt;=0,I260&gt;0),"Tetap Deteksi","Belum Deteksi"))</f>
        <v>Tetap Deteksi</v>
      </c>
      <c r="N260" s="132">
        <v>46240</v>
      </c>
      <c r="O260" s="203">
        <v>259</v>
      </c>
      <c r="P260" s="9">
        <f t="array" ref="P260">IFERROR(O260/G260*100,0)</f>
        <v>4.9798115746971741</v>
      </c>
      <c r="Q260" s="203">
        <v>4</v>
      </c>
      <c r="R260" s="9">
        <f t="shared" si="36"/>
        <v>1.5444015444015444</v>
      </c>
      <c r="S260" s="8" t="str">
        <f t="array" ref="S260">IF(R260&gt;5,"Perlu Sensus",IF(AND(R260&gt;=0,O260&gt;0),"Tetap Deteksi","Belum Deteksi"))</f>
        <v>Tetap Deteksi</v>
      </c>
      <c r="T260" s="203">
        <v>7</v>
      </c>
      <c r="U260" s="9">
        <f t="shared" si="35"/>
        <v>2.7027027027027026</v>
      </c>
      <c r="V260" s="132">
        <v>46241</v>
      </c>
      <c r="W260" s="203">
        <v>312</v>
      </c>
      <c r="X260" s="203">
        <v>6</v>
      </c>
      <c r="Y260" s="9">
        <f t="shared" si="29"/>
        <v>1.9230769230769231</v>
      </c>
      <c r="Z260" s="8" t="str">
        <f t="array" ref="Z260">IF(Y260&gt;5,"Perlu Sensus",IF(AND(Y260&gt;0,,O260&gt;0),"Tetap Deteksi","Belum Deteksi"))</f>
        <v>Belum Deteksi</v>
      </c>
    </row>
    <row r="261" spans="1:26" outlineLevel="1" x14ac:dyDescent="0.15">
      <c r="A261" s="8" t="s">
        <v>1043</v>
      </c>
      <c r="B261" s="8">
        <v>2</v>
      </c>
      <c r="C261" s="8">
        <v>14</v>
      </c>
      <c r="D261" s="8" t="s">
        <v>1713</v>
      </c>
      <c r="E261" s="9">
        <v>34.020000000000003</v>
      </c>
      <c r="F261" s="8" t="s">
        <v>469</v>
      </c>
      <c r="G261" s="10">
        <v>3930</v>
      </c>
      <c r="H261" s="132">
        <f t="shared" si="30"/>
        <v>46241</v>
      </c>
      <c r="I261" s="140">
        <f t="shared" si="31"/>
        <v>1073</v>
      </c>
      <c r="J261" s="9">
        <f t="shared" si="32"/>
        <v>27.302798982188296</v>
      </c>
      <c r="K261" s="140">
        <f t="shared" si="33"/>
        <v>24</v>
      </c>
      <c r="L261" s="206">
        <f t="shared" si="34"/>
        <v>2.2367194780987885</v>
      </c>
      <c r="M261" s="8" t="str">
        <f t="array" ref="M261">IF(L261&gt;5,"Perlu Sensus",IF(AND(L261&gt;=0,I261&gt;0),"Tetap Deteksi","Belum Deteksi"))</f>
        <v>Tetap Deteksi</v>
      </c>
      <c r="N261" s="132">
        <v>46241</v>
      </c>
      <c r="O261" s="203">
        <v>1073</v>
      </c>
      <c r="P261" s="9">
        <f t="array" ref="P261">IFERROR(O261/G261*100,0)</f>
        <v>27.302798982188296</v>
      </c>
      <c r="Q261" s="203">
        <v>24</v>
      </c>
      <c r="R261" s="9">
        <f t="shared" si="36"/>
        <v>2.2367194780987885</v>
      </c>
      <c r="S261" s="8" t="str">
        <f t="array" ref="S261">IF(R261&gt;5,"Perlu Sensus",IF(AND(R261&gt;=0,O261&gt;0),"Tetap Deteksi","Belum Deteksi"))</f>
        <v>Tetap Deteksi</v>
      </c>
      <c r="T261" s="203">
        <v>23</v>
      </c>
      <c r="U261" s="9">
        <f t="shared" si="35"/>
        <v>2.1435228331780056</v>
      </c>
      <c r="V261" s="132">
        <v>46241</v>
      </c>
      <c r="W261" s="203">
        <v>535</v>
      </c>
      <c r="X261" s="203">
        <v>10</v>
      </c>
      <c r="Y261" s="9">
        <f t="shared" si="29"/>
        <v>1.8691588785046727</v>
      </c>
      <c r="Z261" s="8" t="str">
        <f t="array" ref="Z261">IF(Y261&gt;5,"Perlu Sensus",IF(AND(Y261&gt;0,,O261&gt;0),"Tetap Deteksi","Belum Deteksi"))</f>
        <v>Belum Deteksi</v>
      </c>
    </row>
    <row r="262" spans="1:26" outlineLevel="1" x14ac:dyDescent="0.15">
      <c r="A262" s="8" t="s">
        <v>1043</v>
      </c>
      <c r="B262" s="8">
        <v>2</v>
      </c>
      <c r="C262" s="8">
        <v>14</v>
      </c>
      <c r="D262" s="8" t="s">
        <v>1714</v>
      </c>
      <c r="E262" s="9">
        <v>46.910000000000004</v>
      </c>
      <c r="F262" s="8" t="s">
        <v>469</v>
      </c>
      <c r="G262" s="10">
        <v>4838</v>
      </c>
      <c r="H262" s="132">
        <f t="shared" si="30"/>
        <v>46241</v>
      </c>
      <c r="I262" s="140">
        <f t="shared" si="31"/>
        <v>755</v>
      </c>
      <c r="J262" s="9">
        <f t="shared" si="32"/>
        <v>15.605622157916493</v>
      </c>
      <c r="K262" s="140">
        <f t="shared" si="33"/>
        <v>4</v>
      </c>
      <c r="L262" s="206">
        <f t="shared" si="34"/>
        <v>0.5298013245033113</v>
      </c>
      <c r="M262" s="8" t="str">
        <f t="array" ref="M262">IF(L262&gt;5,"Perlu Sensus",IF(AND(L262&gt;=0,I262&gt;0),"Tetap Deteksi","Belum Deteksi"))</f>
        <v>Tetap Deteksi</v>
      </c>
      <c r="N262" s="132">
        <v>46241</v>
      </c>
      <c r="O262" s="203">
        <v>755</v>
      </c>
      <c r="P262" s="9">
        <f t="array" ref="P262">IFERROR(O262/G262*100,0)</f>
        <v>15.605622157916493</v>
      </c>
      <c r="Q262" s="203">
        <v>4</v>
      </c>
      <c r="R262" s="9">
        <f t="shared" si="36"/>
        <v>0.5298013245033113</v>
      </c>
      <c r="S262" s="8" t="str">
        <f t="array" ref="S262">IF(R262&gt;5,"Perlu Sensus",IF(AND(R262&gt;=0,O262&gt;0),"Tetap Deteksi","Belum Deteksi"))</f>
        <v>Tetap Deteksi</v>
      </c>
      <c r="T262" s="203">
        <v>16</v>
      </c>
      <c r="U262" s="9">
        <f t="shared" si="35"/>
        <v>2.1192052980132452</v>
      </c>
      <c r="V262" s="132">
        <v>46241</v>
      </c>
      <c r="W262" s="203">
        <v>287</v>
      </c>
      <c r="X262" s="203">
        <v>7</v>
      </c>
      <c r="Y262" s="9">
        <f t="shared" ref="Y262:Y325" si="37">IFERROR(X262/W262*100,0)</f>
        <v>2.4390243902439024</v>
      </c>
      <c r="Z262" s="8" t="str">
        <f t="array" ref="Z262">IF(Y262&gt;5,"Perlu Sensus",IF(AND(Y262&gt;0,,O262&gt;0),"Tetap Deteksi","Belum Deteksi"))</f>
        <v>Belum Deteksi</v>
      </c>
    </row>
    <row r="263" spans="1:26" outlineLevel="1" x14ac:dyDescent="0.15">
      <c r="A263" s="8" t="s">
        <v>1043</v>
      </c>
      <c r="B263" s="8">
        <v>2</v>
      </c>
      <c r="C263" s="8">
        <v>14</v>
      </c>
      <c r="D263" s="8" t="s">
        <v>1227</v>
      </c>
      <c r="E263" s="9">
        <v>36.099999999999994</v>
      </c>
      <c r="F263" s="8" t="s">
        <v>469</v>
      </c>
      <c r="G263" s="10">
        <v>3225</v>
      </c>
      <c r="H263" s="132">
        <f t="shared" ref="H263:H299" si="38">IF(N263&gt;0,N263,V263)</f>
        <v>46248</v>
      </c>
      <c r="I263" s="140">
        <f t="shared" ref="I263:I299" si="39">IF(O263&gt;0,O263,W263)</f>
        <v>220</v>
      </c>
      <c r="J263" s="9">
        <f t="shared" ref="J263:J299" si="40">IF(P263&gt;0,P263," ")</f>
        <v>6.8217054263565888</v>
      </c>
      <c r="K263" s="140">
        <f t="shared" ref="K263:K299" si="41">IF(Q263&gt;0,Q263,X263)</f>
        <v>4</v>
      </c>
      <c r="L263" s="206">
        <f t="shared" ref="L263:L299" si="42">IFERROR(K263/I263*100,0)</f>
        <v>1.8181818181818181</v>
      </c>
      <c r="M263" s="8" t="str">
        <f t="array" ref="M263">IF(L263&gt;5,"Perlu Sensus",IF(AND(L263&gt;=0,I263&gt;0),"Tetap Deteksi","Belum Deteksi"))</f>
        <v>Tetap Deteksi</v>
      </c>
      <c r="N263" s="132">
        <v>46248</v>
      </c>
      <c r="O263" s="203">
        <v>220</v>
      </c>
      <c r="P263" s="9">
        <f t="array" ref="P263">IFERROR(O263/G263*100,0)</f>
        <v>6.8217054263565888</v>
      </c>
      <c r="Q263" s="203">
        <v>4</v>
      </c>
      <c r="R263" s="9">
        <f t="shared" si="36"/>
        <v>1.8181818181818181</v>
      </c>
      <c r="S263" s="8" t="str">
        <f t="array" ref="S263">IF(R263&gt;5,"Perlu Sensus",IF(AND(R263&gt;=0,O263&gt;0),"Tetap Deteksi","Belum Deteksi"))</f>
        <v>Tetap Deteksi</v>
      </c>
      <c r="T263" s="203">
        <v>3</v>
      </c>
      <c r="U263" s="9">
        <f t="shared" ref="U263:U299" si="43">IFERROR(T263/O263*100,0)</f>
        <v>1.3636363636363635</v>
      </c>
      <c r="V263" s="132">
        <v>46241</v>
      </c>
      <c r="W263" s="203">
        <v>220</v>
      </c>
      <c r="X263" s="203">
        <v>4</v>
      </c>
      <c r="Y263" s="9">
        <f t="shared" si="37"/>
        <v>1.8181818181818181</v>
      </c>
      <c r="Z263" s="8" t="str">
        <f t="array" ref="Z263">IF(Y263&gt;5,"Perlu Sensus",IF(AND(Y263&gt;0,,O263&gt;0),"Tetap Deteksi","Belum Deteksi"))</f>
        <v>Belum Deteksi</v>
      </c>
    </row>
    <row r="264" spans="1:26" outlineLevel="1" x14ac:dyDescent="0.15">
      <c r="A264" s="8" t="s">
        <v>1043</v>
      </c>
      <c r="B264" s="8">
        <v>2</v>
      </c>
      <c r="C264" s="8">
        <v>14</v>
      </c>
      <c r="D264" s="8" t="s">
        <v>1715</v>
      </c>
      <c r="E264" s="9">
        <v>35.26</v>
      </c>
      <c r="F264" s="8" t="s">
        <v>469</v>
      </c>
      <c r="G264" s="10">
        <v>3434</v>
      </c>
      <c r="H264" s="132">
        <f t="shared" si="38"/>
        <v>46237</v>
      </c>
      <c r="I264" s="140">
        <f t="shared" si="39"/>
        <v>393</v>
      </c>
      <c r="J264" s="9">
        <f t="shared" si="40"/>
        <v>11.444379732090857</v>
      </c>
      <c r="K264" s="140">
        <f t="shared" si="41"/>
        <v>3</v>
      </c>
      <c r="L264" s="206">
        <f t="shared" si="42"/>
        <v>0.76335877862595414</v>
      </c>
      <c r="M264" s="8" t="str">
        <f t="array" ref="M264">IF(L264&gt;5,"Perlu Sensus",IF(AND(L264&gt;=0,I264&gt;0),"Tetap Deteksi","Belum Deteksi"))</f>
        <v>Tetap Deteksi</v>
      </c>
      <c r="N264" s="132">
        <v>46237</v>
      </c>
      <c r="O264" s="203">
        <v>393</v>
      </c>
      <c r="P264" s="9">
        <f t="array" ref="P264">IFERROR(O264/G264*100,0)</f>
        <v>11.444379732090857</v>
      </c>
      <c r="Q264" s="203">
        <v>3</v>
      </c>
      <c r="R264" s="9">
        <f t="shared" si="36"/>
        <v>0.76335877862595414</v>
      </c>
      <c r="S264" s="8" t="str">
        <f t="array" ref="S264">IF(R264&gt;5,"Perlu Sensus",IF(AND(R264&gt;=0,O264&gt;0),"Tetap Deteksi","Belum Deteksi"))</f>
        <v>Tetap Deteksi</v>
      </c>
      <c r="T264" s="203">
        <v>3</v>
      </c>
      <c r="U264" s="9">
        <f t="shared" si="43"/>
        <v>0.76335877862595414</v>
      </c>
      <c r="V264" s="132">
        <v>46241</v>
      </c>
      <c r="W264" s="203">
        <v>534</v>
      </c>
      <c r="X264" s="203">
        <v>9</v>
      </c>
      <c r="Y264" s="9">
        <f t="shared" si="37"/>
        <v>1.6853932584269662</v>
      </c>
      <c r="Z264" s="8" t="str">
        <f t="array" ref="Z264">IF(Y264&gt;5,"Perlu Sensus",IF(AND(Y264&gt;0,,O264&gt;0),"Tetap Deteksi","Belum Deteksi"))</f>
        <v>Belum Deteksi</v>
      </c>
    </row>
    <row r="265" spans="1:26" outlineLevel="1" x14ac:dyDescent="0.15">
      <c r="A265" s="8" t="s">
        <v>1043</v>
      </c>
      <c r="B265" s="8">
        <v>2</v>
      </c>
      <c r="C265" s="8">
        <v>14</v>
      </c>
      <c r="D265" s="8" t="s">
        <v>1125</v>
      </c>
      <c r="E265" s="9">
        <v>29.91</v>
      </c>
      <c r="F265" s="8" t="s">
        <v>469</v>
      </c>
      <c r="G265" s="10">
        <v>2239</v>
      </c>
      <c r="H265" s="132">
        <f t="shared" si="38"/>
        <v>46240</v>
      </c>
      <c r="I265" s="140">
        <f t="shared" si="39"/>
        <v>503</v>
      </c>
      <c r="J265" s="9">
        <f t="shared" si="40"/>
        <v>22.465386333184455</v>
      </c>
      <c r="K265" s="140">
        <f t="shared" si="41"/>
        <v>7</v>
      </c>
      <c r="L265" s="206">
        <f t="shared" si="42"/>
        <v>1.3916500994035785</v>
      </c>
      <c r="M265" s="8" t="str">
        <f t="array" ref="M265">IF(L265&gt;5,"Perlu Sensus",IF(AND(L265&gt;=0,I265&gt;0),"Tetap Deteksi","Belum Deteksi"))</f>
        <v>Tetap Deteksi</v>
      </c>
      <c r="N265" s="132">
        <v>46240</v>
      </c>
      <c r="O265" s="203">
        <v>503</v>
      </c>
      <c r="P265" s="9">
        <f t="array" ref="P265">IFERROR(O265/G265*100,0)</f>
        <v>22.465386333184455</v>
      </c>
      <c r="Q265" s="203">
        <v>7</v>
      </c>
      <c r="R265" s="9">
        <f t="shared" si="36"/>
        <v>1.3916500994035785</v>
      </c>
      <c r="S265" s="8" t="str">
        <f t="array" ref="S265">IF(R265&gt;5,"Perlu Sensus",IF(AND(R265&gt;=0,O265&gt;0),"Tetap Deteksi","Belum Deteksi"))</f>
        <v>Tetap Deteksi</v>
      </c>
      <c r="T265" s="203">
        <v>13</v>
      </c>
      <c r="U265" s="9">
        <f t="shared" si="43"/>
        <v>2.5844930417495031</v>
      </c>
      <c r="V265" s="132">
        <v>46249</v>
      </c>
      <c r="W265" s="203">
        <v>320</v>
      </c>
      <c r="X265" s="203">
        <v>4</v>
      </c>
      <c r="Y265" s="9">
        <f t="shared" si="37"/>
        <v>1.25</v>
      </c>
      <c r="Z265" s="8" t="str">
        <f t="array" ref="Z265">IF(Y265&gt;5,"Perlu Sensus",IF(AND(Y265&gt;0,,O265&gt;0),"Tetap Deteksi","Belum Deteksi"))</f>
        <v>Belum Deteksi</v>
      </c>
    </row>
    <row r="266" spans="1:26" outlineLevel="1" x14ac:dyDescent="0.15">
      <c r="A266" s="8" t="s">
        <v>1043</v>
      </c>
      <c r="B266" s="8">
        <v>2</v>
      </c>
      <c r="C266" s="8">
        <v>14</v>
      </c>
      <c r="D266" s="8" t="s">
        <v>1146</v>
      </c>
      <c r="E266" s="9">
        <v>31.07</v>
      </c>
      <c r="F266" s="8" t="s">
        <v>469</v>
      </c>
      <c r="G266" s="10">
        <v>3909</v>
      </c>
      <c r="H266" s="132">
        <f t="shared" si="38"/>
        <v>46240</v>
      </c>
      <c r="I266" s="140">
        <f t="shared" si="39"/>
        <v>430</v>
      </c>
      <c r="J266" s="9">
        <f t="shared" si="40"/>
        <v>11.000255819902788</v>
      </c>
      <c r="K266" s="140">
        <f t="shared" si="41"/>
        <v>7</v>
      </c>
      <c r="L266" s="206">
        <f t="shared" si="42"/>
        <v>1.6279069767441861</v>
      </c>
      <c r="M266" s="8" t="str">
        <f t="array" ref="M266">IF(L266&gt;5,"Perlu Sensus",IF(AND(L266&gt;=0,I266&gt;0),"Tetap Deteksi","Belum Deteksi"))</f>
        <v>Tetap Deteksi</v>
      </c>
      <c r="N266" s="132">
        <v>46240</v>
      </c>
      <c r="O266" s="203">
        <v>430</v>
      </c>
      <c r="P266" s="9">
        <f t="array" ref="P266">IFERROR(O266/G266*100,0)</f>
        <v>11.000255819902788</v>
      </c>
      <c r="Q266" s="203">
        <v>7</v>
      </c>
      <c r="R266" s="9">
        <f t="shared" si="36"/>
        <v>1.6279069767441861</v>
      </c>
      <c r="S266" s="8" t="str">
        <f t="array" ref="S266">IF(R266&gt;5,"Perlu Sensus",IF(AND(R266&gt;=0,O266&gt;0),"Tetap Deteksi","Belum Deteksi"))</f>
        <v>Tetap Deteksi</v>
      </c>
      <c r="T266" s="203">
        <v>11</v>
      </c>
      <c r="U266" s="9">
        <f t="shared" si="43"/>
        <v>2.558139534883721</v>
      </c>
      <c r="V266" s="132">
        <v>46249</v>
      </c>
      <c r="W266" s="203">
        <v>226</v>
      </c>
      <c r="X266" s="203">
        <v>1</v>
      </c>
      <c r="Y266" s="9">
        <f t="shared" si="37"/>
        <v>0.44247787610619471</v>
      </c>
      <c r="Z266" s="8" t="str">
        <f t="array" ref="Z266">IF(Y266&gt;5,"Perlu Sensus",IF(AND(Y266&gt;0,,O266&gt;0),"Tetap Deteksi","Belum Deteksi"))</f>
        <v>Belum Deteksi</v>
      </c>
    </row>
    <row r="267" spans="1:26" outlineLevel="1" x14ac:dyDescent="0.15">
      <c r="A267" s="8" t="s">
        <v>1043</v>
      </c>
      <c r="B267" s="8">
        <v>2</v>
      </c>
      <c r="C267" s="8">
        <v>14</v>
      </c>
      <c r="D267" s="8" t="s">
        <v>1177</v>
      </c>
      <c r="E267" s="9">
        <v>29.790000000000003</v>
      </c>
      <c r="F267" s="8" t="s">
        <v>469</v>
      </c>
      <c r="G267" s="10">
        <v>3854</v>
      </c>
      <c r="H267" s="132">
        <f t="shared" si="38"/>
        <v>46246</v>
      </c>
      <c r="I267" s="140">
        <f t="shared" si="39"/>
        <v>545</v>
      </c>
      <c r="J267" s="9">
        <f t="shared" si="40"/>
        <v>14.14115204981837</v>
      </c>
      <c r="K267" s="140">
        <f t="shared" si="41"/>
        <v>6</v>
      </c>
      <c r="L267" s="206">
        <f t="shared" si="42"/>
        <v>1.1009174311926606</v>
      </c>
      <c r="M267" s="8" t="str">
        <f t="array" ref="M267">IF(L267&gt;5,"Perlu Sensus",IF(AND(L267&gt;=0,I267&gt;0),"Tetap Deteksi","Belum Deteksi"))</f>
        <v>Tetap Deteksi</v>
      </c>
      <c r="N267" s="132">
        <v>46246</v>
      </c>
      <c r="O267" s="203">
        <v>545</v>
      </c>
      <c r="P267" s="9">
        <f t="array" ref="P267">IFERROR(O267/G267*100,0)</f>
        <v>14.14115204981837</v>
      </c>
      <c r="Q267" s="203">
        <v>6</v>
      </c>
      <c r="R267" s="9">
        <f t="shared" si="36"/>
        <v>1.1009174311926606</v>
      </c>
      <c r="S267" s="8" t="str">
        <f t="array" ref="S267">IF(R267&gt;5,"Perlu Sensus",IF(AND(R267&gt;=0,O267&gt;0),"Tetap Deteksi","Belum Deteksi"))</f>
        <v>Tetap Deteksi</v>
      </c>
      <c r="T267" s="203">
        <v>6</v>
      </c>
      <c r="U267" s="9">
        <f t="shared" si="43"/>
        <v>1.1009174311926606</v>
      </c>
      <c r="V267" s="132">
        <v>46249</v>
      </c>
      <c r="W267" s="203">
        <v>314</v>
      </c>
      <c r="X267" s="203">
        <v>5</v>
      </c>
      <c r="Y267" s="9">
        <f t="shared" si="37"/>
        <v>1.5923566878980893</v>
      </c>
      <c r="Z267" s="8" t="str">
        <f t="array" ref="Z267">IF(Y267&gt;5,"Perlu Sensus",IF(AND(Y267&gt;0,,O267&gt;0),"Tetap Deteksi","Belum Deteksi"))</f>
        <v>Belum Deteksi</v>
      </c>
    </row>
    <row r="268" spans="1:26" outlineLevel="1" x14ac:dyDescent="0.15">
      <c r="A268" s="8" t="s">
        <v>1043</v>
      </c>
      <c r="B268" s="8">
        <v>2</v>
      </c>
      <c r="C268" s="8">
        <v>14</v>
      </c>
      <c r="D268" s="8" t="s">
        <v>1178</v>
      </c>
      <c r="E268" s="9">
        <v>37.24</v>
      </c>
      <c r="F268" s="8" t="s">
        <v>469</v>
      </c>
      <c r="G268" s="10">
        <v>4192</v>
      </c>
      <c r="H268" s="132">
        <f t="shared" si="38"/>
        <v>46235</v>
      </c>
      <c r="I268" s="140">
        <f t="shared" si="39"/>
        <v>221</v>
      </c>
      <c r="J268" s="9">
        <f t="shared" si="40"/>
        <v>5.2719465648854964</v>
      </c>
      <c r="K268" s="140">
        <f t="shared" si="41"/>
        <v>4</v>
      </c>
      <c r="L268" s="206">
        <f t="shared" si="42"/>
        <v>1.809954751131222</v>
      </c>
      <c r="M268" s="8" t="str">
        <f t="array" ref="M268">IF(L268&gt;5,"Perlu Sensus",IF(AND(L268&gt;=0,I268&gt;0),"Tetap Deteksi","Belum Deteksi"))</f>
        <v>Tetap Deteksi</v>
      </c>
      <c r="N268" s="132">
        <v>46235</v>
      </c>
      <c r="O268" s="203">
        <v>221</v>
      </c>
      <c r="P268" s="9">
        <f t="array" ref="P268">IFERROR(O268/G268*100,0)</f>
        <v>5.2719465648854964</v>
      </c>
      <c r="Q268" s="203">
        <v>4</v>
      </c>
      <c r="R268" s="9">
        <f t="shared" si="36"/>
        <v>1.809954751131222</v>
      </c>
      <c r="S268" s="8" t="str">
        <f t="array" ref="S268">IF(R268&gt;5,"Perlu Sensus",IF(AND(R268&gt;=0,O268&gt;0),"Tetap Deteksi","Belum Deteksi"))</f>
        <v>Tetap Deteksi</v>
      </c>
      <c r="T268" s="203">
        <v>5</v>
      </c>
      <c r="U268" s="9">
        <f t="shared" si="43"/>
        <v>2.2624434389140271</v>
      </c>
      <c r="V268" s="132">
        <v>46249</v>
      </c>
      <c r="W268" s="203">
        <v>210</v>
      </c>
      <c r="X268" s="203">
        <v>1</v>
      </c>
      <c r="Y268" s="9">
        <f t="shared" si="37"/>
        <v>0.47619047619047622</v>
      </c>
      <c r="Z268" s="8" t="str">
        <f t="array" ref="Z268">IF(Y268&gt;5,"Perlu Sensus",IF(AND(Y268&gt;0,,O268&gt;0),"Tetap Deteksi","Belum Deteksi"))</f>
        <v>Belum Deteksi</v>
      </c>
    </row>
    <row r="269" spans="1:26" outlineLevel="1" x14ac:dyDescent="0.15">
      <c r="A269" s="8" t="s">
        <v>1043</v>
      </c>
      <c r="B269" s="8">
        <v>2</v>
      </c>
      <c r="C269" s="8">
        <v>14</v>
      </c>
      <c r="D269" s="8" t="s">
        <v>1100</v>
      </c>
      <c r="E269" s="9">
        <v>42.379999999999995</v>
      </c>
      <c r="F269" s="8" t="s">
        <v>469</v>
      </c>
      <c r="G269" s="10">
        <v>4878</v>
      </c>
      <c r="H269" s="132">
        <f t="shared" si="38"/>
        <v>46235</v>
      </c>
      <c r="I269" s="140">
        <f t="shared" si="39"/>
        <v>481</v>
      </c>
      <c r="J269" s="9">
        <f t="shared" si="40"/>
        <v>9.8605986059860591</v>
      </c>
      <c r="K269" s="140">
        <f t="shared" si="41"/>
        <v>9</v>
      </c>
      <c r="L269" s="206">
        <f t="shared" si="42"/>
        <v>1.8711018711018712</v>
      </c>
      <c r="M269" s="8" t="str">
        <f t="array" ref="M269">IF(L269&gt;5,"Perlu Sensus",IF(AND(L269&gt;=0,I269&gt;0),"Tetap Deteksi","Belum Deteksi"))</f>
        <v>Tetap Deteksi</v>
      </c>
      <c r="N269" s="132">
        <v>46235</v>
      </c>
      <c r="O269" s="203">
        <v>481</v>
      </c>
      <c r="P269" s="9">
        <f t="array" ref="P269">IFERROR(O269/G269*100,0)</f>
        <v>9.8605986059860591</v>
      </c>
      <c r="Q269" s="203">
        <v>9</v>
      </c>
      <c r="R269" s="9">
        <f t="shared" si="36"/>
        <v>1.8711018711018712</v>
      </c>
      <c r="S269" s="8" t="str">
        <f t="array" ref="S269">IF(R269&gt;5,"Perlu Sensus",IF(AND(R269&gt;=0,O269&gt;0),"Tetap Deteksi","Belum Deteksi"))</f>
        <v>Tetap Deteksi</v>
      </c>
      <c r="T269" s="203">
        <v>5</v>
      </c>
      <c r="U269" s="9">
        <f t="shared" si="43"/>
        <v>1.0395010395010396</v>
      </c>
      <c r="V269" s="132">
        <v>46249</v>
      </c>
      <c r="W269" s="203">
        <v>555</v>
      </c>
      <c r="X269" s="203">
        <v>7</v>
      </c>
      <c r="Y269" s="9">
        <f t="shared" si="37"/>
        <v>1.2612612612612613</v>
      </c>
      <c r="Z269" s="8" t="str">
        <f t="array" ref="Z269">IF(Y269&gt;5,"Perlu Sensus",IF(AND(Y269&gt;0,,O269&gt;0),"Tetap Deteksi","Belum Deteksi"))</f>
        <v>Belum Deteksi</v>
      </c>
    </row>
    <row r="270" spans="1:26" outlineLevel="1" x14ac:dyDescent="0.15">
      <c r="A270" s="8" t="s">
        <v>1043</v>
      </c>
      <c r="B270" s="8">
        <v>2</v>
      </c>
      <c r="C270" s="8">
        <v>14</v>
      </c>
      <c r="D270" s="8" t="s">
        <v>1126</v>
      </c>
      <c r="E270" s="9">
        <v>42.599999999999994</v>
      </c>
      <c r="F270" s="8" t="s">
        <v>469</v>
      </c>
      <c r="G270" s="10">
        <v>4999</v>
      </c>
      <c r="H270" s="132">
        <f t="shared" si="38"/>
        <v>46235</v>
      </c>
      <c r="I270" s="140">
        <f t="shared" si="39"/>
        <v>533</v>
      </c>
      <c r="J270" s="9">
        <f t="shared" si="40"/>
        <v>10.662132426485298</v>
      </c>
      <c r="K270" s="140">
        <f t="shared" si="41"/>
        <v>12</v>
      </c>
      <c r="L270" s="206">
        <f t="shared" si="42"/>
        <v>2.2514071294559099</v>
      </c>
      <c r="M270" s="8" t="str">
        <f t="array" ref="M270">IF(L270&gt;5,"Perlu Sensus",IF(AND(L270&gt;=0,I270&gt;0),"Tetap Deteksi","Belum Deteksi"))</f>
        <v>Tetap Deteksi</v>
      </c>
      <c r="N270" s="132">
        <v>46235</v>
      </c>
      <c r="O270" s="203">
        <v>533</v>
      </c>
      <c r="P270" s="9">
        <f t="array" ref="P270">IFERROR(O270/G270*100,0)</f>
        <v>10.662132426485298</v>
      </c>
      <c r="Q270" s="203">
        <v>12</v>
      </c>
      <c r="R270" s="9">
        <f t="shared" si="36"/>
        <v>2.2514071294559099</v>
      </c>
      <c r="S270" s="8" t="str">
        <f t="array" ref="S270">IF(R270&gt;5,"Perlu Sensus",IF(AND(R270&gt;=0,O270&gt;0),"Tetap Deteksi","Belum Deteksi"))</f>
        <v>Tetap Deteksi</v>
      </c>
      <c r="T270" s="203">
        <v>11</v>
      </c>
      <c r="U270" s="9">
        <f t="shared" si="43"/>
        <v>2.0637898686679175</v>
      </c>
      <c r="V270" s="132">
        <v>46249</v>
      </c>
      <c r="W270" s="203">
        <v>200</v>
      </c>
      <c r="X270" s="203">
        <v>1</v>
      </c>
      <c r="Y270" s="9">
        <f t="shared" si="37"/>
        <v>0.5</v>
      </c>
      <c r="Z270" s="8" t="str">
        <f t="array" ref="Z270">IF(Y270&gt;5,"Perlu Sensus",IF(AND(Y270&gt;0,,O270&gt;0),"Tetap Deteksi","Belum Deteksi"))</f>
        <v>Belum Deteksi</v>
      </c>
    </row>
    <row r="271" spans="1:26" outlineLevel="1" x14ac:dyDescent="0.15">
      <c r="A271" s="8" t="s">
        <v>1043</v>
      </c>
      <c r="B271" s="8">
        <v>2</v>
      </c>
      <c r="C271" s="8">
        <v>15</v>
      </c>
      <c r="D271" s="8" t="s">
        <v>1330</v>
      </c>
      <c r="E271" s="9">
        <v>25.509999999999998</v>
      </c>
      <c r="F271" s="8" t="s">
        <v>469</v>
      </c>
      <c r="G271" s="10">
        <v>3368</v>
      </c>
      <c r="H271" s="132">
        <f t="shared" si="38"/>
        <v>46235</v>
      </c>
      <c r="I271" s="140">
        <f t="shared" si="39"/>
        <v>167</v>
      </c>
      <c r="J271" s="9">
        <f t="shared" si="40"/>
        <v>4.9584323040380047</v>
      </c>
      <c r="K271" s="140">
        <f t="shared" si="41"/>
        <v>4</v>
      </c>
      <c r="L271" s="206">
        <f t="shared" si="42"/>
        <v>2.3952095808383236</v>
      </c>
      <c r="M271" s="8" t="str">
        <f t="array" ref="M271">IF(L271&gt;5,"Perlu Sensus",IF(AND(L271&gt;=0,I271&gt;0),"Tetap Deteksi","Belum Deteksi"))</f>
        <v>Tetap Deteksi</v>
      </c>
      <c r="N271" s="132">
        <v>46235</v>
      </c>
      <c r="O271" s="203">
        <v>167</v>
      </c>
      <c r="P271" s="9">
        <f t="array" ref="P271">IFERROR(O271/G271*100,0)</f>
        <v>4.9584323040380047</v>
      </c>
      <c r="Q271" s="203">
        <v>4</v>
      </c>
      <c r="R271" s="9">
        <f t="shared" si="36"/>
        <v>2.3952095808383236</v>
      </c>
      <c r="S271" s="8" t="str">
        <f t="array" ref="S271">IF(R271&gt;5,"Perlu Sensus",IF(AND(R271&gt;=0,O271&gt;0),"Tetap Deteksi","Belum Deteksi"))</f>
        <v>Tetap Deteksi</v>
      </c>
      <c r="T271" s="203">
        <v>3</v>
      </c>
      <c r="U271" s="9">
        <f t="shared" si="43"/>
        <v>1.7964071856287425</v>
      </c>
      <c r="V271" s="132">
        <v>46241</v>
      </c>
      <c r="W271" s="203">
        <v>170</v>
      </c>
      <c r="X271" s="203">
        <v>5</v>
      </c>
      <c r="Y271" s="9">
        <f t="shared" si="37"/>
        <v>2.9411764705882351</v>
      </c>
      <c r="Z271" s="8" t="str">
        <f t="array" ref="Z271">IF(Y271&gt;5,"Perlu Sensus",IF(AND(Y271&gt;0,,O271&gt;0),"Tetap Deteksi","Belum Deteksi"))</f>
        <v>Belum Deteksi</v>
      </c>
    </row>
    <row r="272" spans="1:26" outlineLevel="1" x14ac:dyDescent="0.15">
      <c r="A272" s="8" t="s">
        <v>1043</v>
      </c>
      <c r="B272" s="8">
        <v>2</v>
      </c>
      <c r="C272" s="8">
        <v>15</v>
      </c>
      <c r="D272" s="8" t="s">
        <v>1331</v>
      </c>
      <c r="E272" s="9">
        <v>24.9</v>
      </c>
      <c r="F272" s="8" t="s">
        <v>469</v>
      </c>
      <c r="G272" s="10">
        <v>2736</v>
      </c>
      <c r="H272" s="132">
        <f t="shared" si="38"/>
        <v>46240</v>
      </c>
      <c r="I272" s="140">
        <f t="shared" si="39"/>
        <v>139</v>
      </c>
      <c r="J272" s="9">
        <f t="shared" si="40"/>
        <v>5.0804093567251467</v>
      </c>
      <c r="K272" s="140">
        <f t="shared" si="41"/>
        <v>4</v>
      </c>
      <c r="L272" s="206">
        <f t="shared" si="42"/>
        <v>2.877697841726619</v>
      </c>
      <c r="M272" s="8" t="str">
        <f t="array" ref="M272">IF(L272&gt;5,"Perlu Sensus",IF(AND(L272&gt;=0,I272&gt;0),"Tetap Deteksi","Belum Deteksi"))</f>
        <v>Tetap Deteksi</v>
      </c>
      <c r="N272" s="132">
        <v>46240</v>
      </c>
      <c r="O272" s="203">
        <v>139</v>
      </c>
      <c r="P272" s="9">
        <f t="array" ref="P272">IFERROR(O272/G272*100,0)</f>
        <v>5.0804093567251467</v>
      </c>
      <c r="Q272" s="203">
        <v>4</v>
      </c>
      <c r="R272" s="9">
        <f t="shared" si="36"/>
        <v>2.877697841726619</v>
      </c>
      <c r="S272" s="8" t="str">
        <f t="array" ref="S272">IF(R272&gt;5,"Perlu Sensus",IF(AND(R272&gt;=0,O272&gt;0),"Tetap Deteksi","Belum Deteksi"))</f>
        <v>Tetap Deteksi</v>
      </c>
      <c r="T272" s="203">
        <v>2</v>
      </c>
      <c r="U272" s="9">
        <f t="shared" si="43"/>
        <v>1.4388489208633095</v>
      </c>
      <c r="V272" s="132">
        <v>46241</v>
      </c>
      <c r="W272" s="203">
        <v>155</v>
      </c>
      <c r="X272" s="203">
        <v>4</v>
      </c>
      <c r="Y272" s="9">
        <f t="shared" si="37"/>
        <v>2.5806451612903225</v>
      </c>
      <c r="Z272" s="8" t="str">
        <f t="array" ref="Z272">IF(Y272&gt;5,"Perlu Sensus",IF(AND(Y272&gt;0,,O272&gt;0),"Tetap Deteksi","Belum Deteksi"))</f>
        <v>Belum Deteksi</v>
      </c>
    </row>
    <row r="273" spans="1:26" outlineLevel="1" x14ac:dyDescent="0.15">
      <c r="A273" s="8" t="s">
        <v>1043</v>
      </c>
      <c r="B273" s="8">
        <v>2</v>
      </c>
      <c r="C273" s="8">
        <v>15</v>
      </c>
      <c r="D273" s="8" t="s">
        <v>1332</v>
      </c>
      <c r="E273" s="9">
        <v>30.23</v>
      </c>
      <c r="F273" s="8" t="s">
        <v>469</v>
      </c>
      <c r="G273" s="10">
        <v>4394</v>
      </c>
      <c r="H273" s="132">
        <f t="shared" si="38"/>
        <v>46240</v>
      </c>
      <c r="I273" s="140">
        <f t="shared" si="39"/>
        <v>460</v>
      </c>
      <c r="J273" s="9">
        <f t="shared" si="40"/>
        <v>10.468821119708693</v>
      </c>
      <c r="K273" s="140">
        <f t="shared" si="41"/>
        <v>7</v>
      </c>
      <c r="L273" s="206">
        <f t="shared" si="42"/>
        <v>1.5217391304347827</v>
      </c>
      <c r="M273" s="8" t="str">
        <f t="array" ref="M273">IF(L273&gt;5,"Perlu Sensus",IF(AND(L273&gt;=0,I273&gt;0),"Tetap Deteksi","Belum Deteksi"))</f>
        <v>Tetap Deteksi</v>
      </c>
      <c r="N273" s="132">
        <v>46240</v>
      </c>
      <c r="O273" s="203">
        <v>460</v>
      </c>
      <c r="P273" s="9">
        <f t="array" ref="P273">IFERROR(O273/G273*100,0)</f>
        <v>10.468821119708693</v>
      </c>
      <c r="Q273" s="203">
        <v>7</v>
      </c>
      <c r="R273" s="9">
        <f t="shared" si="36"/>
        <v>1.5217391304347827</v>
      </c>
      <c r="S273" s="8" t="str">
        <f t="array" ref="S273">IF(R273&gt;5,"Perlu Sensus",IF(AND(R273&gt;=0,O273&gt;0),"Tetap Deteksi","Belum Deteksi"))</f>
        <v>Tetap Deteksi</v>
      </c>
      <c r="T273" s="203">
        <v>8</v>
      </c>
      <c r="U273" s="9">
        <f t="shared" si="43"/>
        <v>1.7391304347826086</v>
      </c>
      <c r="V273" s="132">
        <v>46241</v>
      </c>
      <c r="W273" s="203">
        <v>1012</v>
      </c>
      <c r="X273" s="203">
        <v>5</v>
      </c>
      <c r="Y273" s="9">
        <f t="shared" si="37"/>
        <v>0.49407114624505932</v>
      </c>
      <c r="Z273" s="8" t="str">
        <f t="array" ref="Z273">IF(Y273&gt;5,"Perlu Sensus",IF(AND(Y273&gt;0,,O273&gt;0),"Tetap Deteksi","Belum Deteksi"))</f>
        <v>Belum Deteksi</v>
      </c>
    </row>
    <row r="274" spans="1:26" outlineLevel="1" x14ac:dyDescent="0.15">
      <c r="A274" s="8" t="s">
        <v>1043</v>
      </c>
      <c r="B274" s="8">
        <v>2</v>
      </c>
      <c r="C274" s="8">
        <v>15</v>
      </c>
      <c r="D274" s="8" t="s">
        <v>1716</v>
      </c>
      <c r="E274" s="9">
        <v>27.269999999999996</v>
      </c>
      <c r="F274" s="8" t="s">
        <v>469</v>
      </c>
      <c r="G274" s="10">
        <v>3766</v>
      </c>
      <c r="H274" s="132">
        <f t="shared" si="38"/>
        <v>46240</v>
      </c>
      <c r="I274" s="140">
        <f t="shared" si="39"/>
        <v>714</v>
      </c>
      <c r="J274" s="9">
        <f t="shared" si="40"/>
        <v>18.959107806691449</v>
      </c>
      <c r="K274" s="140">
        <f t="shared" si="41"/>
        <v>13</v>
      </c>
      <c r="L274" s="206">
        <f t="shared" si="42"/>
        <v>1.8207282913165268</v>
      </c>
      <c r="M274" s="8" t="str">
        <f t="array" ref="M274">IF(L274&gt;5,"Perlu Sensus",IF(AND(L274&gt;=0,I274&gt;0),"Tetap Deteksi","Belum Deteksi"))</f>
        <v>Tetap Deteksi</v>
      </c>
      <c r="N274" s="132">
        <v>46240</v>
      </c>
      <c r="O274" s="203">
        <v>714</v>
      </c>
      <c r="P274" s="9">
        <f t="array" ref="P274">IFERROR(O274/G274*100,0)</f>
        <v>18.959107806691449</v>
      </c>
      <c r="Q274" s="203">
        <v>13</v>
      </c>
      <c r="R274" s="9">
        <f t="shared" si="36"/>
        <v>1.8207282913165268</v>
      </c>
      <c r="S274" s="8" t="str">
        <f t="array" ref="S274">IF(R274&gt;5,"Perlu Sensus",IF(AND(R274&gt;=0,O274&gt;0),"Tetap Deteksi","Belum Deteksi"))</f>
        <v>Tetap Deteksi</v>
      </c>
      <c r="T274" s="203">
        <v>6</v>
      </c>
      <c r="U274" s="9">
        <f t="shared" si="43"/>
        <v>0.84033613445378152</v>
      </c>
      <c r="V274" s="132">
        <v>46241</v>
      </c>
      <c r="W274" s="203">
        <v>233</v>
      </c>
      <c r="X274" s="203">
        <v>5</v>
      </c>
      <c r="Y274" s="9">
        <f t="shared" si="37"/>
        <v>2.1459227467811157</v>
      </c>
      <c r="Z274" s="8" t="str">
        <f t="array" ref="Z274">IF(Y274&gt;5,"Perlu Sensus",IF(AND(Y274&gt;0,,O274&gt;0),"Tetap Deteksi","Belum Deteksi"))</f>
        <v>Belum Deteksi</v>
      </c>
    </row>
    <row r="275" spans="1:26" outlineLevel="1" x14ac:dyDescent="0.15">
      <c r="A275" s="8" t="s">
        <v>1043</v>
      </c>
      <c r="B275" s="8">
        <v>2</v>
      </c>
      <c r="C275" s="8">
        <v>15</v>
      </c>
      <c r="D275" s="8" t="s">
        <v>1717</v>
      </c>
      <c r="E275" s="9">
        <v>49.59</v>
      </c>
      <c r="F275" s="8" t="s">
        <v>469</v>
      </c>
      <c r="G275" s="10">
        <v>6689</v>
      </c>
      <c r="H275" s="132">
        <f t="shared" si="38"/>
        <v>46242</v>
      </c>
      <c r="I275" s="140">
        <f t="shared" si="39"/>
        <v>375</v>
      </c>
      <c r="J275" s="9">
        <f t="shared" si="40"/>
        <v>5.6062191657945881</v>
      </c>
      <c r="K275" s="140">
        <f t="shared" si="41"/>
        <v>3</v>
      </c>
      <c r="L275" s="206">
        <f t="shared" si="42"/>
        <v>0.8</v>
      </c>
      <c r="M275" s="8" t="str">
        <f t="array" ref="M275">IF(L275&gt;5,"Perlu Sensus",IF(AND(L275&gt;=0,I275&gt;0),"Tetap Deteksi","Belum Deteksi"))</f>
        <v>Tetap Deteksi</v>
      </c>
      <c r="N275" s="132">
        <v>46242</v>
      </c>
      <c r="O275" s="203">
        <v>375</v>
      </c>
      <c r="P275" s="9">
        <f t="array" ref="P275">IFERROR(O275/G275*100,0)</f>
        <v>5.6062191657945881</v>
      </c>
      <c r="Q275" s="203">
        <v>3</v>
      </c>
      <c r="R275" s="9">
        <f t="shared" si="36"/>
        <v>0.8</v>
      </c>
      <c r="S275" s="8" t="str">
        <f t="array" ref="S275">IF(R275&gt;5,"Perlu Sensus",IF(AND(R275&gt;=0,O275&gt;0),"Tetap Deteksi","Belum Deteksi"))</f>
        <v>Tetap Deteksi</v>
      </c>
      <c r="T275" s="203">
        <v>4</v>
      </c>
      <c r="U275" s="9">
        <f t="shared" si="43"/>
        <v>1.0666666666666667</v>
      </c>
      <c r="V275" s="132">
        <v>46241</v>
      </c>
      <c r="W275" s="203">
        <v>314</v>
      </c>
      <c r="X275" s="203">
        <v>5</v>
      </c>
      <c r="Y275" s="9">
        <f t="shared" si="37"/>
        <v>1.5923566878980893</v>
      </c>
      <c r="Z275" s="8" t="str">
        <f t="array" ref="Z275">IF(Y275&gt;5,"Perlu Sensus",IF(AND(Y275&gt;0,,O275&gt;0),"Tetap Deteksi","Belum Deteksi"))</f>
        <v>Belum Deteksi</v>
      </c>
    </row>
    <row r="276" spans="1:26" outlineLevel="1" x14ac:dyDescent="0.15">
      <c r="A276" s="8" t="s">
        <v>1043</v>
      </c>
      <c r="B276" s="8">
        <v>2</v>
      </c>
      <c r="C276" s="8">
        <v>15</v>
      </c>
      <c r="D276" s="8" t="s">
        <v>1718</v>
      </c>
      <c r="E276" s="9">
        <v>27.54</v>
      </c>
      <c r="F276" s="8" t="s">
        <v>469</v>
      </c>
      <c r="G276" s="10">
        <v>3080</v>
      </c>
      <c r="H276" s="132">
        <f t="shared" si="38"/>
        <v>46238</v>
      </c>
      <c r="I276" s="140">
        <f t="shared" si="39"/>
        <v>230</v>
      </c>
      <c r="J276" s="9">
        <f t="shared" si="40"/>
        <v>7.4675324675324672</v>
      </c>
      <c r="K276" s="140">
        <f t="shared" si="41"/>
        <v>1</v>
      </c>
      <c r="L276" s="206">
        <f t="shared" si="42"/>
        <v>0.43478260869565216</v>
      </c>
      <c r="M276" s="8" t="str">
        <f t="array" ref="M276">IF(L276&gt;5,"Perlu Sensus",IF(AND(L276&gt;=0,I276&gt;0),"Tetap Deteksi","Belum Deteksi"))</f>
        <v>Tetap Deteksi</v>
      </c>
      <c r="N276" s="132">
        <v>46238</v>
      </c>
      <c r="O276" s="203">
        <v>230</v>
      </c>
      <c r="P276" s="9">
        <f t="array" ref="P276">IFERROR(O276/G276*100,0)</f>
        <v>7.4675324675324672</v>
      </c>
      <c r="Q276" s="203">
        <v>1</v>
      </c>
      <c r="R276" s="9">
        <f t="shared" ref="R276:R339" si="44">IFERROR(Q276/O276*100,0)</f>
        <v>0.43478260869565216</v>
      </c>
      <c r="S276" s="8" t="str">
        <f t="array" ref="S276">IF(R276&gt;5,"Perlu Sensus",IF(AND(R276&gt;=0,O276&gt;0),"Tetap Deteksi","Belum Deteksi"))</f>
        <v>Tetap Deteksi</v>
      </c>
      <c r="T276" s="203">
        <v>6</v>
      </c>
      <c r="U276" s="9">
        <f t="shared" si="43"/>
        <v>2.6086956521739131</v>
      </c>
      <c r="V276" s="132">
        <v>46241</v>
      </c>
      <c r="W276" s="203">
        <v>193</v>
      </c>
      <c r="X276" s="203">
        <v>5</v>
      </c>
      <c r="Y276" s="9">
        <f t="shared" si="37"/>
        <v>2.5906735751295336</v>
      </c>
      <c r="Z276" s="8" t="str">
        <f t="array" ref="Z276">IF(Y276&gt;5,"Perlu Sensus",IF(AND(Y276&gt;0,,O276&gt;0),"Tetap Deteksi","Belum Deteksi"))</f>
        <v>Belum Deteksi</v>
      </c>
    </row>
    <row r="277" spans="1:26" outlineLevel="1" x14ac:dyDescent="0.15">
      <c r="A277" s="8" t="s">
        <v>1043</v>
      </c>
      <c r="B277" s="8">
        <v>2</v>
      </c>
      <c r="C277" s="8">
        <v>15</v>
      </c>
      <c r="D277" s="8" t="s">
        <v>1719</v>
      </c>
      <c r="E277" s="9">
        <v>26.28</v>
      </c>
      <c r="F277" s="8" t="s">
        <v>469</v>
      </c>
      <c r="G277" s="10">
        <v>3546</v>
      </c>
      <c r="H277" s="132">
        <f t="shared" si="38"/>
        <v>46238</v>
      </c>
      <c r="I277" s="140">
        <f t="shared" si="39"/>
        <v>623</v>
      </c>
      <c r="J277" s="9">
        <f t="shared" si="40"/>
        <v>17.569091934574168</v>
      </c>
      <c r="K277" s="140">
        <f t="shared" si="41"/>
        <v>13</v>
      </c>
      <c r="L277" s="206">
        <f t="shared" si="42"/>
        <v>2.086677367576244</v>
      </c>
      <c r="M277" s="8" t="str">
        <f t="array" ref="M277">IF(L277&gt;5,"Perlu Sensus",IF(AND(L277&gt;=0,I277&gt;0),"Tetap Deteksi","Belum Deteksi"))</f>
        <v>Tetap Deteksi</v>
      </c>
      <c r="N277" s="132">
        <v>46238</v>
      </c>
      <c r="O277" s="203">
        <v>623</v>
      </c>
      <c r="P277" s="9">
        <f t="array" ref="P277">IFERROR(O277/G277*100,0)</f>
        <v>17.569091934574168</v>
      </c>
      <c r="Q277" s="203">
        <v>13</v>
      </c>
      <c r="R277" s="9">
        <f t="shared" si="44"/>
        <v>2.086677367576244</v>
      </c>
      <c r="S277" s="8" t="str">
        <f t="array" ref="S277">IF(R277&gt;5,"Perlu Sensus",IF(AND(R277&gt;=0,O277&gt;0),"Tetap Deteksi","Belum Deteksi"))</f>
        <v>Tetap Deteksi</v>
      </c>
      <c r="T277" s="203">
        <v>5</v>
      </c>
      <c r="U277" s="9">
        <f t="shared" si="43"/>
        <v>0.80256821829855529</v>
      </c>
      <c r="V277" s="132">
        <v>46241</v>
      </c>
      <c r="W277" s="203">
        <v>784</v>
      </c>
      <c r="X277" s="203">
        <v>10</v>
      </c>
      <c r="Y277" s="9">
        <f t="shared" si="37"/>
        <v>1.2755102040816326</v>
      </c>
      <c r="Z277" s="8" t="str">
        <f t="array" ref="Z277">IF(Y277&gt;5,"Perlu Sensus",IF(AND(Y277&gt;0,,O277&gt;0),"Tetap Deteksi","Belum Deteksi"))</f>
        <v>Belum Deteksi</v>
      </c>
    </row>
    <row r="278" spans="1:26" outlineLevel="1" x14ac:dyDescent="0.15">
      <c r="A278" s="8" t="s">
        <v>1043</v>
      </c>
      <c r="B278" s="8">
        <v>2</v>
      </c>
      <c r="C278" s="8">
        <v>15</v>
      </c>
      <c r="D278" s="8" t="s">
        <v>1720</v>
      </c>
      <c r="E278" s="9">
        <v>30.41</v>
      </c>
      <c r="F278" s="8" t="s">
        <v>469</v>
      </c>
      <c r="G278" s="10">
        <v>4075</v>
      </c>
      <c r="H278" s="132">
        <f t="shared" si="38"/>
        <v>46242</v>
      </c>
      <c r="I278" s="140">
        <f t="shared" si="39"/>
        <v>568</v>
      </c>
      <c r="J278" s="9">
        <f t="shared" si="40"/>
        <v>13.938650306748466</v>
      </c>
      <c r="K278" s="140">
        <f t="shared" si="41"/>
        <v>9</v>
      </c>
      <c r="L278" s="206">
        <f t="shared" si="42"/>
        <v>1.584507042253521</v>
      </c>
      <c r="M278" s="8" t="str">
        <f t="array" ref="M278">IF(L278&gt;5,"Perlu Sensus",IF(AND(L278&gt;=0,I278&gt;0),"Tetap Deteksi","Belum Deteksi"))</f>
        <v>Tetap Deteksi</v>
      </c>
      <c r="N278" s="132">
        <v>46242</v>
      </c>
      <c r="O278" s="203">
        <v>568</v>
      </c>
      <c r="P278" s="9">
        <f t="array" ref="P278">IFERROR(O278/G278*100,0)</f>
        <v>13.938650306748466</v>
      </c>
      <c r="Q278" s="203">
        <v>9</v>
      </c>
      <c r="R278" s="9">
        <f t="shared" si="44"/>
        <v>1.584507042253521</v>
      </c>
      <c r="S278" s="8" t="str">
        <f t="array" ref="S278">IF(R278&gt;5,"Perlu Sensus",IF(AND(R278&gt;=0,O278&gt;0),"Tetap Deteksi","Belum Deteksi"))</f>
        <v>Tetap Deteksi</v>
      </c>
      <c r="T278" s="203">
        <v>8</v>
      </c>
      <c r="U278" s="9">
        <f t="shared" si="43"/>
        <v>1.4084507042253522</v>
      </c>
      <c r="V278" s="132">
        <v>46241</v>
      </c>
      <c r="W278" s="203">
        <v>230</v>
      </c>
      <c r="X278" s="203">
        <v>2</v>
      </c>
      <c r="Y278" s="9">
        <f t="shared" si="37"/>
        <v>0.86956521739130432</v>
      </c>
      <c r="Z278" s="8" t="str">
        <f t="array" ref="Z278">IF(Y278&gt;5,"Perlu Sensus",IF(AND(Y278&gt;0,,O278&gt;0),"Tetap Deteksi","Belum Deteksi"))</f>
        <v>Belum Deteksi</v>
      </c>
    </row>
    <row r="279" spans="1:26" outlineLevel="1" x14ac:dyDescent="0.15">
      <c r="A279" s="8" t="s">
        <v>1043</v>
      </c>
      <c r="B279" s="8">
        <v>2</v>
      </c>
      <c r="C279" s="8">
        <v>15</v>
      </c>
      <c r="D279" s="8" t="s">
        <v>1721</v>
      </c>
      <c r="E279" s="9">
        <v>36.4</v>
      </c>
      <c r="F279" s="8" t="s">
        <v>469</v>
      </c>
      <c r="G279" s="10">
        <v>4223</v>
      </c>
      <c r="H279" s="132">
        <f t="shared" si="38"/>
        <v>46238</v>
      </c>
      <c r="I279" s="140">
        <f t="shared" si="39"/>
        <v>212</v>
      </c>
      <c r="J279" s="9">
        <f t="shared" si="40"/>
        <v>5.0201278711816251</v>
      </c>
      <c r="K279" s="140">
        <f t="shared" si="41"/>
        <v>4</v>
      </c>
      <c r="L279" s="206">
        <f t="shared" si="42"/>
        <v>1.8867924528301887</v>
      </c>
      <c r="M279" s="8" t="str">
        <f t="array" ref="M279">IF(L279&gt;5,"Perlu Sensus",IF(AND(L279&gt;=0,I279&gt;0),"Tetap Deteksi","Belum Deteksi"))</f>
        <v>Tetap Deteksi</v>
      </c>
      <c r="N279" s="132">
        <v>46238</v>
      </c>
      <c r="O279" s="203">
        <v>212</v>
      </c>
      <c r="P279" s="9">
        <f t="array" ref="P279">IFERROR(O279/G279*100,0)</f>
        <v>5.0201278711816251</v>
      </c>
      <c r="Q279" s="203">
        <v>4</v>
      </c>
      <c r="R279" s="9">
        <f t="shared" si="44"/>
        <v>1.8867924528301887</v>
      </c>
      <c r="S279" s="8" t="str">
        <f t="array" ref="S279">IF(R279&gt;5,"Perlu Sensus",IF(AND(R279&gt;=0,O279&gt;0),"Tetap Deteksi","Belum Deteksi"))</f>
        <v>Tetap Deteksi</v>
      </c>
      <c r="T279" s="203">
        <v>0</v>
      </c>
      <c r="U279" s="9">
        <f t="shared" si="43"/>
        <v>0</v>
      </c>
      <c r="V279" s="132">
        <v>46241</v>
      </c>
      <c r="W279" s="203">
        <v>230</v>
      </c>
      <c r="X279" s="203">
        <v>7</v>
      </c>
      <c r="Y279" s="9">
        <f t="shared" si="37"/>
        <v>3.0434782608695654</v>
      </c>
      <c r="Z279" s="8" t="str">
        <f t="array" ref="Z279">IF(Y279&gt;5,"Perlu Sensus",IF(AND(Y279&gt;0,,O279&gt;0),"Tetap Deteksi","Belum Deteksi"))</f>
        <v>Belum Deteksi</v>
      </c>
    </row>
    <row r="280" spans="1:26" outlineLevel="1" x14ac:dyDescent="0.15">
      <c r="A280" s="8" t="s">
        <v>1043</v>
      </c>
      <c r="B280" s="8">
        <v>2</v>
      </c>
      <c r="C280" s="8">
        <v>15</v>
      </c>
      <c r="D280" s="8" t="s">
        <v>1722</v>
      </c>
      <c r="E280" s="9">
        <v>25.05</v>
      </c>
      <c r="F280" s="8" t="s">
        <v>469</v>
      </c>
      <c r="G280" s="10">
        <v>2591</v>
      </c>
      <c r="H280" s="132">
        <f t="shared" si="38"/>
        <v>46239</v>
      </c>
      <c r="I280" s="140">
        <f t="shared" si="39"/>
        <v>170</v>
      </c>
      <c r="J280" s="9">
        <f t="shared" si="40"/>
        <v>6.5611732921651873</v>
      </c>
      <c r="K280" s="140">
        <f t="shared" si="41"/>
        <v>3</v>
      </c>
      <c r="L280" s="206">
        <f t="shared" si="42"/>
        <v>1.7647058823529411</v>
      </c>
      <c r="M280" s="8" t="str">
        <f t="array" ref="M280">IF(L280&gt;5,"Perlu Sensus",IF(AND(L280&gt;=0,I280&gt;0),"Tetap Deteksi","Belum Deteksi"))</f>
        <v>Tetap Deteksi</v>
      </c>
      <c r="N280" s="132">
        <v>46239</v>
      </c>
      <c r="O280" s="203">
        <v>170</v>
      </c>
      <c r="P280" s="9">
        <f t="array" ref="P280">IFERROR(O280/G280*100,0)</f>
        <v>6.5611732921651873</v>
      </c>
      <c r="Q280" s="203">
        <v>3</v>
      </c>
      <c r="R280" s="9">
        <f t="shared" si="44"/>
        <v>1.7647058823529411</v>
      </c>
      <c r="S280" s="8" t="str">
        <f t="array" ref="S280">IF(R280&gt;5,"Perlu Sensus",IF(AND(R280&gt;=0,O280&gt;0),"Tetap Deteksi","Belum Deteksi"))</f>
        <v>Tetap Deteksi</v>
      </c>
      <c r="T280" s="203">
        <v>4</v>
      </c>
      <c r="U280" s="9">
        <f t="shared" si="43"/>
        <v>2.3529411764705883</v>
      </c>
      <c r="V280" s="132">
        <v>46241</v>
      </c>
      <c r="W280" s="203">
        <v>130</v>
      </c>
      <c r="X280" s="203">
        <v>5</v>
      </c>
      <c r="Y280" s="9">
        <f t="shared" si="37"/>
        <v>3.8461538461538463</v>
      </c>
      <c r="Z280" s="8" t="str">
        <f t="array" ref="Z280">IF(Y280&gt;5,"Perlu Sensus",IF(AND(Y280&gt;0,,O280&gt;0),"Tetap Deteksi","Belum Deteksi"))</f>
        <v>Belum Deteksi</v>
      </c>
    </row>
    <row r="281" spans="1:26" outlineLevel="1" x14ac:dyDescent="0.15">
      <c r="A281" s="8" t="s">
        <v>1043</v>
      </c>
      <c r="B281" s="8">
        <v>2</v>
      </c>
      <c r="C281" s="8">
        <v>15</v>
      </c>
      <c r="D281" s="8" t="s">
        <v>1723</v>
      </c>
      <c r="E281" s="9">
        <v>29.4</v>
      </c>
      <c r="F281" s="8" t="s">
        <v>469</v>
      </c>
      <c r="G281" s="10">
        <v>2900</v>
      </c>
      <c r="H281" s="132">
        <f t="shared" si="38"/>
        <v>46239</v>
      </c>
      <c r="I281" s="140">
        <f t="shared" si="39"/>
        <v>130</v>
      </c>
      <c r="J281" s="9">
        <f t="shared" si="40"/>
        <v>4.4827586206896548</v>
      </c>
      <c r="K281" s="140">
        <f t="shared" si="41"/>
        <v>2</v>
      </c>
      <c r="L281" s="206">
        <f t="shared" si="42"/>
        <v>1.5384615384615385</v>
      </c>
      <c r="M281" s="8" t="str">
        <f t="array" ref="M281">IF(L281&gt;5,"Perlu Sensus",IF(AND(L281&gt;=0,I281&gt;0),"Tetap Deteksi","Belum Deteksi"))</f>
        <v>Tetap Deteksi</v>
      </c>
      <c r="N281" s="132">
        <v>46239</v>
      </c>
      <c r="O281" s="203">
        <v>130</v>
      </c>
      <c r="P281" s="9">
        <f t="array" ref="P281">IFERROR(O281/G281*100,0)</f>
        <v>4.4827586206896548</v>
      </c>
      <c r="Q281" s="203">
        <v>2</v>
      </c>
      <c r="R281" s="9">
        <f t="shared" si="44"/>
        <v>1.5384615384615385</v>
      </c>
      <c r="S281" s="8" t="str">
        <f t="array" ref="S281">IF(R281&gt;5,"Perlu Sensus",IF(AND(R281&gt;=0,O281&gt;0),"Tetap Deteksi","Belum Deteksi"))</f>
        <v>Tetap Deteksi</v>
      </c>
      <c r="T281" s="203">
        <v>5</v>
      </c>
      <c r="U281" s="9">
        <f t="shared" si="43"/>
        <v>3.8461538461538463</v>
      </c>
      <c r="V281" s="132">
        <v>46241</v>
      </c>
      <c r="W281" s="203">
        <v>179</v>
      </c>
      <c r="X281" s="203">
        <v>9.9999999999999995E-8</v>
      </c>
      <c r="Y281" s="9">
        <f t="shared" si="37"/>
        <v>5.5865921787709496E-8</v>
      </c>
      <c r="Z281" s="8" t="str">
        <f t="array" ref="Z281">IF(Y281&gt;5,"Perlu Sensus",IF(AND(Y281&gt;0,,O281&gt;0),"Tetap Deteksi","Belum Deteksi"))</f>
        <v>Belum Deteksi</v>
      </c>
    </row>
    <row r="282" spans="1:26" outlineLevel="1" x14ac:dyDescent="0.15">
      <c r="A282" s="8" t="s">
        <v>1043</v>
      </c>
      <c r="B282" s="8">
        <v>2</v>
      </c>
      <c r="C282" s="8">
        <v>15</v>
      </c>
      <c r="D282" s="8" t="s">
        <v>1724</v>
      </c>
      <c r="E282" s="9">
        <v>37.19</v>
      </c>
      <c r="F282" s="8" t="s">
        <v>469</v>
      </c>
      <c r="G282" s="10">
        <v>4299</v>
      </c>
      <c r="H282" s="132">
        <f t="shared" si="38"/>
        <v>46242</v>
      </c>
      <c r="I282" s="140">
        <f t="shared" si="39"/>
        <v>224</v>
      </c>
      <c r="J282" s="9">
        <f t="shared" si="40"/>
        <v>5.2105140730402422</v>
      </c>
      <c r="K282" s="140">
        <f t="shared" si="41"/>
        <v>4</v>
      </c>
      <c r="L282" s="206">
        <f t="shared" si="42"/>
        <v>1.7857142857142856</v>
      </c>
      <c r="M282" s="8" t="str">
        <f t="array" ref="M282">IF(L282&gt;5,"Perlu Sensus",IF(AND(L282&gt;=0,I282&gt;0),"Tetap Deteksi","Belum Deteksi"))</f>
        <v>Tetap Deteksi</v>
      </c>
      <c r="N282" s="132">
        <v>46242</v>
      </c>
      <c r="O282" s="203">
        <v>224</v>
      </c>
      <c r="P282" s="9">
        <f t="array" ref="P282">IFERROR(O282/G282*100,0)</f>
        <v>5.2105140730402422</v>
      </c>
      <c r="Q282" s="203">
        <v>4</v>
      </c>
      <c r="R282" s="9">
        <f t="shared" si="44"/>
        <v>1.7857142857142856</v>
      </c>
      <c r="S282" s="8" t="str">
        <f t="array" ref="S282">IF(R282&gt;5,"Perlu Sensus",IF(AND(R282&gt;=0,O282&gt;0),"Tetap Deteksi","Belum Deteksi"))</f>
        <v>Tetap Deteksi</v>
      </c>
      <c r="T282" s="203">
        <v>5</v>
      </c>
      <c r="U282" s="9">
        <f t="shared" si="43"/>
        <v>2.2321428571428572</v>
      </c>
      <c r="V282" s="132">
        <v>46241</v>
      </c>
      <c r="W282" s="203">
        <v>267</v>
      </c>
      <c r="X282" s="203">
        <v>1</v>
      </c>
      <c r="Y282" s="9">
        <f t="shared" si="37"/>
        <v>0.37453183520599254</v>
      </c>
      <c r="Z282" s="8" t="str">
        <f t="array" ref="Z282">IF(Y282&gt;5,"Perlu Sensus",IF(AND(Y282&gt;0,,O282&gt;0),"Tetap Deteksi","Belum Deteksi"))</f>
        <v>Belum Deteksi</v>
      </c>
    </row>
    <row r="283" spans="1:26" outlineLevel="1" x14ac:dyDescent="0.15">
      <c r="A283" s="8" t="s">
        <v>1043</v>
      </c>
      <c r="B283" s="8">
        <v>2</v>
      </c>
      <c r="C283" s="8">
        <v>15</v>
      </c>
      <c r="D283" s="8" t="s">
        <v>1725</v>
      </c>
      <c r="E283" s="9">
        <v>33.29</v>
      </c>
      <c r="F283" s="8" t="s">
        <v>469</v>
      </c>
      <c r="G283" s="10">
        <v>3986</v>
      </c>
      <c r="H283" s="132">
        <f t="shared" si="38"/>
        <v>46237</v>
      </c>
      <c r="I283" s="140">
        <f t="shared" si="39"/>
        <v>270</v>
      </c>
      <c r="J283" s="9">
        <f t="shared" si="40"/>
        <v>6.7737079779227303</v>
      </c>
      <c r="K283" s="140">
        <f t="shared" si="41"/>
        <v>5</v>
      </c>
      <c r="L283" s="206">
        <f t="shared" si="42"/>
        <v>1.8518518518518516</v>
      </c>
      <c r="M283" s="8" t="str">
        <f t="array" ref="M283">IF(L283&gt;5,"Perlu Sensus",IF(AND(L283&gt;=0,I283&gt;0),"Tetap Deteksi","Belum Deteksi"))</f>
        <v>Tetap Deteksi</v>
      </c>
      <c r="N283" s="132">
        <v>46237</v>
      </c>
      <c r="O283" s="203">
        <v>270</v>
      </c>
      <c r="P283" s="9">
        <f t="array" ref="P283">IFERROR(O283/G283*100,0)</f>
        <v>6.7737079779227303</v>
      </c>
      <c r="Q283" s="203">
        <v>5</v>
      </c>
      <c r="R283" s="9">
        <f t="shared" si="44"/>
        <v>1.8518518518518516</v>
      </c>
      <c r="S283" s="8" t="str">
        <f t="array" ref="S283">IF(R283&gt;5,"Perlu Sensus",IF(AND(R283&gt;=0,O283&gt;0),"Tetap Deteksi","Belum Deteksi"))</f>
        <v>Tetap Deteksi</v>
      </c>
      <c r="T283" s="203">
        <v>3</v>
      </c>
      <c r="U283" s="9">
        <f t="shared" si="43"/>
        <v>1.1111111111111112</v>
      </c>
      <c r="V283" s="132">
        <v>46241</v>
      </c>
      <c r="W283" s="203">
        <v>230</v>
      </c>
      <c r="X283" s="203">
        <v>1</v>
      </c>
      <c r="Y283" s="9">
        <f t="shared" si="37"/>
        <v>0.43478260869565216</v>
      </c>
      <c r="Z283" s="8" t="str">
        <f t="array" ref="Z283">IF(Y283&gt;5,"Perlu Sensus",IF(AND(Y283&gt;0,,O283&gt;0),"Tetap Deteksi","Belum Deteksi"))</f>
        <v>Belum Deteksi</v>
      </c>
    </row>
    <row r="284" spans="1:26" outlineLevel="1" x14ac:dyDescent="0.15">
      <c r="A284" s="8" t="s">
        <v>1043</v>
      </c>
      <c r="B284" s="8">
        <v>2</v>
      </c>
      <c r="C284" s="8">
        <v>15</v>
      </c>
      <c r="D284" s="8" t="s">
        <v>1726</v>
      </c>
      <c r="E284" s="9">
        <v>25.34</v>
      </c>
      <c r="F284" s="8" t="s">
        <v>469</v>
      </c>
      <c r="G284" s="10">
        <v>3457</v>
      </c>
      <c r="H284" s="132">
        <f t="shared" si="38"/>
        <v>46235</v>
      </c>
      <c r="I284" s="140">
        <f t="shared" si="39"/>
        <v>270</v>
      </c>
      <c r="J284" s="9">
        <f t="shared" si="40"/>
        <v>7.8102400925658078</v>
      </c>
      <c r="K284" s="140">
        <f t="shared" si="41"/>
        <v>3</v>
      </c>
      <c r="L284" s="206">
        <f t="shared" si="42"/>
        <v>1.1111111111111112</v>
      </c>
      <c r="M284" s="8" t="str">
        <f t="array" ref="M284">IF(L284&gt;5,"Perlu Sensus",IF(AND(L284&gt;=0,I284&gt;0),"Tetap Deteksi","Belum Deteksi"))</f>
        <v>Tetap Deteksi</v>
      </c>
      <c r="N284" s="132">
        <v>46235</v>
      </c>
      <c r="O284" s="203">
        <v>270</v>
      </c>
      <c r="P284" s="9">
        <f t="array" ref="P284">IFERROR(O284/G284*100,0)</f>
        <v>7.8102400925658078</v>
      </c>
      <c r="Q284" s="203">
        <v>3</v>
      </c>
      <c r="R284" s="9">
        <f t="shared" si="44"/>
        <v>1.1111111111111112</v>
      </c>
      <c r="S284" s="8" t="str">
        <f t="array" ref="S284">IF(R284&gt;5,"Perlu Sensus",IF(AND(R284&gt;=0,O284&gt;0),"Tetap Deteksi","Belum Deteksi"))</f>
        <v>Tetap Deteksi</v>
      </c>
      <c r="T284" s="203">
        <v>7</v>
      </c>
      <c r="U284" s="9">
        <f t="shared" si="43"/>
        <v>2.5925925925925926</v>
      </c>
      <c r="V284" s="132">
        <v>46241</v>
      </c>
      <c r="W284" s="203">
        <v>205</v>
      </c>
      <c r="X284" s="203">
        <v>5</v>
      </c>
      <c r="Y284" s="9">
        <f t="shared" si="37"/>
        <v>2.4390243902439024</v>
      </c>
      <c r="Z284" s="8" t="str">
        <f t="array" ref="Z284">IF(Y284&gt;5,"Perlu Sensus",IF(AND(Y284&gt;0,,O284&gt;0),"Tetap Deteksi","Belum Deteksi"))</f>
        <v>Belum Deteksi</v>
      </c>
    </row>
    <row r="285" spans="1:26" outlineLevel="1" x14ac:dyDescent="0.15">
      <c r="A285" s="8" t="s">
        <v>1043</v>
      </c>
      <c r="B285" s="8">
        <v>2</v>
      </c>
      <c r="C285" s="8">
        <v>15</v>
      </c>
      <c r="D285" s="8" t="s">
        <v>1727</v>
      </c>
      <c r="E285" s="9">
        <v>26.15</v>
      </c>
      <c r="F285" s="8" t="s">
        <v>469</v>
      </c>
      <c r="G285" s="10">
        <v>3349</v>
      </c>
      <c r="H285" s="132">
        <f t="shared" si="38"/>
        <v>46235</v>
      </c>
      <c r="I285" s="140">
        <f t="shared" si="39"/>
        <v>390</v>
      </c>
      <c r="J285" s="9">
        <f t="shared" si="40"/>
        <v>11.64526724395342</v>
      </c>
      <c r="K285" s="140">
        <f t="shared" si="41"/>
        <v>4</v>
      </c>
      <c r="L285" s="206">
        <f t="shared" si="42"/>
        <v>1.0256410256410255</v>
      </c>
      <c r="M285" s="8" t="str">
        <f t="array" ref="M285">IF(L285&gt;5,"Perlu Sensus",IF(AND(L285&gt;=0,I285&gt;0),"Tetap Deteksi","Belum Deteksi"))</f>
        <v>Tetap Deteksi</v>
      </c>
      <c r="N285" s="132">
        <v>46235</v>
      </c>
      <c r="O285" s="203">
        <v>390</v>
      </c>
      <c r="P285" s="9">
        <f t="array" ref="P285">IFERROR(O285/G285*100,0)</f>
        <v>11.64526724395342</v>
      </c>
      <c r="Q285" s="203">
        <v>4</v>
      </c>
      <c r="R285" s="9">
        <f t="shared" si="44"/>
        <v>1.0256410256410255</v>
      </c>
      <c r="S285" s="8" t="str">
        <f t="array" ref="S285">IF(R285&gt;5,"Perlu Sensus",IF(AND(R285&gt;=0,O285&gt;0),"Tetap Deteksi","Belum Deteksi"))</f>
        <v>Tetap Deteksi</v>
      </c>
      <c r="T285" s="203">
        <v>7</v>
      </c>
      <c r="U285" s="9">
        <f t="shared" si="43"/>
        <v>1.7948717948717947</v>
      </c>
      <c r="V285" s="132">
        <v>46241</v>
      </c>
      <c r="W285" s="203">
        <v>604</v>
      </c>
      <c r="X285" s="203">
        <v>7</v>
      </c>
      <c r="Y285" s="9">
        <f t="shared" si="37"/>
        <v>1.1589403973509933</v>
      </c>
      <c r="Z285" s="8" t="str">
        <f t="array" ref="Z285">IF(Y285&gt;5,"Perlu Sensus",IF(AND(Y285&gt;0,,O285&gt;0),"Tetap Deteksi","Belum Deteksi"))</f>
        <v>Belum Deteksi</v>
      </c>
    </row>
    <row r="286" spans="1:26" outlineLevel="1" x14ac:dyDescent="0.15">
      <c r="A286" s="8" t="s">
        <v>1043</v>
      </c>
      <c r="B286" s="8">
        <v>2</v>
      </c>
      <c r="C286" s="8">
        <v>15</v>
      </c>
      <c r="D286" s="8" t="s">
        <v>1728</v>
      </c>
      <c r="E286" s="9">
        <v>40.980000000000004</v>
      </c>
      <c r="F286" s="8" t="s">
        <v>469</v>
      </c>
      <c r="G286" s="10">
        <v>4941</v>
      </c>
      <c r="H286" s="132">
        <f t="shared" si="38"/>
        <v>46249</v>
      </c>
      <c r="I286" s="140">
        <f t="shared" si="39"/>
        <v>110</v>
      </c>
      <c r="J286" s="9">
        <f t="shared" si="40"/>
        <v>2.2262699858328272</v>
      </c>
      <c r="K286" s="140">
        <f t="shared" si="41"/>
        <v>4</v>
      </c>
      <c r="L286" s="206">
        <f t="shared" si="42"/>
        <v>3.6363636363636362</v>
      </c>
      <c r="M286" s="8" t="str">
        <f t="array" ref="M286">IF(L286&gt;5,"Perlu Sensus",IF(AND(L286&gt;=0,I286&gt;0),"Tetap Deteksi","Belum Deteksi"))</f>
        <v>Tetap Deteksi</v>
      </c>
      <c r="N286" s="132">
        <v>46249</v>
      </c>
      <c r="O286" s="203">
        <v>110</v>
      </c>
      <c r="P286" s="9">
        <f t="array" ref="P286">IFERROR(O286/G286*100,0)</f>
        <v>2.2262699858328272</v>
      </c>
      <c r="Q286" s="203">
        <v>4</v>
      </c>
      <c r="R286" s="9">
        <f t="shared" si="44"/>
        <v>3.6363636363636362</v>
      </c>
      <c r="S286" s="8" t="str">
        <f t="array" ref="S286">IF(R286&gt;5,"Perlu Sensus",IF(AND(R286&gt;=0,O286&gt;0),"Tetap Deteksi","Belum Deteksi"))</f>
        <v>Tetap Deteksi</v>
      </c>
      <c r="T286" s="203">
        <v>2</v>
      </c>
      <c r="U286" s="9">
        <f t="shared" si="43"/>
        <v>1.8181818181818181</v>
      </c>
      <c r="V286" s="132">
        <v>46241</v>
      </c>
      <c r="W286" s="203">
        <v>261</v>
      </c>
      <c r="X286" s="203">
        <v>10</v>
      </c>
      <c r="Y286" s="9">
        <f t="shared" si="37"/>
        <v>3.8314176245210727</v>
      </c>
      <c r="Z286" s="8" t="str">
        <f t="array" ref="Z286">IF(Y286&gt;5,"Perlu Sensus",IF(AND(Y286&gt;0,,O286&gt;0),"Tetap Deteksi","Belum Deteksi"))</f>
        <v>Belum Deteksi</v>
      </c>
    </row>
    <row r="287" spans="1:26" outlineLevel="1" x14ac:dyDescent="0.15">
      <c r="A287" s="8" t="s">
        <v>1043</v>
      </c>
      <c r="B287" s="8">
        <v>2</v>
      </c>
      <c r="C287" s="8">
        <v>15</v>
      </c>
      <c r="D287" s="8" t="s">
        <v>1729</v>
      </c>
      <c r="E287" s="9">
        <v>24.32</v>
      </c>
      <c r="F287" s="8" t="s">
        <v>469</v>
      </c>
      <c r="G287" s="10">
        <v>2756</v>
      </c>
      <c r="H287" s="132">
        <f t="shared" si="38"/>
        <v>46241</v>
      </c>
      <c r="I287" s="140">
        <f t="shared" si="39"/>
        <v>134</v>
      </c>
      <c r="J287" s="9">
        <f t="shared" si="40"/>
        <v>4.8621190130624088</v>
      </c>
      <c r="K287" s="140">
        <f t="shared" si="41"/>
        <v>4</v>
      </c>
      <c r="L287" s="206">
        <f t="shared" si="42"/>
        <v>2.9850746268656714</v>
      </c>
      <c r="M287" s="8" t="str">
        <f t="array" ref="M287">IF(L287&gt;5,"Perlu Sensus",IF(AND(L287&gt;=0,I287&gt;0),"Tetap Deteksi","Belum Deteksi"))</f>
        <v>Tetap Deteksi</v>
      </c>
      <c r="N287" s="132">
        <v>46241</v>
      </c>
      <c r="O287" s="203">
        <v>134</v>
      </c>
      <c r="P287" s="9">
        <f t="array" ref="P287">IFERROR(O287/G287*100,0)</f>
        <v>4.8621190130624088</v>
      </c>
      <c r="Q287" s="203">
        <v>4</v>
      </c>
      <c r="R287" s="9">
        <f t="shared" si="44"/>
        <v>2.9850746268656714</v>
      </c>
      <c r="S287" s="8" t="str">
        <f t="array" ref="S287">IF(R287&gt;5,"Perlu Sensus",IF(AND(R287&gt;=0,O287&gt;0),"Tetap Deteksi","Belum Deteksi"))</f>
        <v>Tetap Deteksi</v>
      </c>
      <c r="T287" s="203">
        <v>0</v>
      </c>
      <c r="U287" s="9">
        <f t="shared" si="43"/>
        <v>0</v>
      </c>
      <c r="V287" s="132">
        <v>46241</v>
      </c>
      <c r="W287" s="203">
        <v>159</v>
      </c>
      <c r="X287" s="203">
        <v>3</v>
      </c>
      <c r="Y287" s="9">
        <f t="shared" si="37"/>
        <v>1.8867924528301887</v>
      </c>
      <c r="Z287" s="8" t="str">
        <f t="array" ref="Z287">IF(Y287&gt;5,"Perlu Sensus",IF(AND(Y287&gt;0,,O287&gt;0),"Tetap Deteksi","Belum Deteksi"))</f>
        <v>Belum Deteksi</v>
      </c>
    </row>
    <row r="288" spans="1:26" outlineLevel="1" x14ac:dyDescent="0.15">
      <c r="A288" s="8" t="s">
        <v>1043</v>
      </c>
      <c r="B288" s="8">
        <v>2</v>
      </c>
      <c r="C288" s="8">
        <v>16</v>
      </c>
      <c r="D288" s="8" t="s">
        <v>1327</v>
      </c>
      <c r="E288" s="9">
        <v>40.44</v>
      </c>
      <c r="F288" s="8" t="s">
        <v>469</v>
      </c>
      <c r="G288" s="10">
        <v>1185</v>
      </c>
      <c r="H288" s="132">
        <f t="shared" si="38"/>
        <v>46238</v>
      </c>
      <c r="I288" s="140">
        <f t="shared" si="39"/>
        <v>500</v>
      </c>
      <c r="J288" s="9">
        <f t="shared" si="40"/>
        <v>42.194092827004219</v>
      </c>
      <c r="K288" s="140">
        <f t="shared" si="41"/>
        <v>2</v>
      </c>
      <c r="L288" s="206">
        <f t="shared" si="42"/>
        <v>0.4</v>
      </c>
      <c r="M288" s="8" t="str">
        <f t="array" ref="M288">IF(L288&gt;5,"Perlu Sensus",IF(AND(L288&gt;=0,I288&gt;0),"Tetap Deteksi","Belum Deteksi"))</f>
        <v>Tetap Deteksi</v>
      </c>
      <c r="N288" s="132">
        <v>46238</v>
      </c>
      <c r="O288" s="203">
        <v>500</v>
      </c>
      <c r="P288" s="9">
        <f t="array" ref="P288">IFERROR(O288/G288*100,0)</f>
        <v>42.194092827004219</v>
      </c>
      <c r="Q288" s="203">
        <v>2</v>
      </c>
      <c r="R288" s="9">
        <f t="shared" si="44"/>
        <v>0.4</v>
      </c>
      <c r="S288" s="8" t="str">
        <f t="array" ref="S288">IF(R288&gt;5,"Perlu Sensus",IF(AND(R288&gt;=0,O288&gt;0),"Tetap Deteksi","Belum Deteksi"))</f>
        <v>Tetap Deteksi</v>
      </c>
      <c r="T288" s="203">
        <v>5</v>
      </c>
      <c r="U288" s="9">
        <f t="shared" si="43"/>
        <v>1</v>
      </c>
      <c r="V288" s="132">
        <v>46241</v>
      </c>
      <c r="W288" s="203">
        <v>774</v>
      </c>
      <c r="X288" s="203">
        <v>7</v>
      </c>
      <c r="Y288" s="9">
        <f t="shared" si="37"/>
        <v>0.90439276485788112</v>
      </c>
      <c r="Z288" s="8" t="str">
        <f t="array" ref="Z288">IF(Y288&gt;5,"Perlu Sensus",IF(AND(Y288&gt;0,,O288&gt;0),"Tetap Deteksi","Belum Deteksi"))</f>
        <v>Belum Deteksi</v>
      </c>
    </row>
    <row r="289" spans="1:26" outlineLevel="1" x14ac:dyDescent="0.15">
      <c r="A289" s="8" t="s">
        <v>1043</v>
      </c>
      <c r="B289" s="8">
        <v>2</v>
      </c>
      <c r="C289" s="8">
        <v>16</v>
      </c>
      <c r="D289" s="8" t="s">
        <v>1328</v>
      </c>
      <c r="E289" s="9">
        <v>38.36</v>
      </c>
      <c r="F289" s="8" t="s">
        <v>469</v>
      </c>
      <c r="G289" s="10">
        <v>1887</v>
      </c>
      <c r="H289" s="132">
        <f t="shared" si="38"/>
        <v>46238</v>
      </c>
      <c r="I289" s="140">
        <f t="shared" si="39"/>
        <v>830</v>
      </c>
      <c r="J289" s="9">
        <f t="shared" si="40"/>
        <v>43.985161632220453</v>
      </c>
      <c r="K289" s="140">
        <f t="shared" si="41"/>
        <v>16</v>
      </c>
      <c r="L289" s="206">
        <f t="shared" si="42"/>
        <v>1.9277108433734942</v>
      </c>
      <c r="M289" s="8" t="str">
        <f t="array" ref="M289">IF(L289&gt;5,"Perlu Sensus",IF(AND(L289&gt;=0,I289&gt;0),"Tetap Deteksi","Belum Deteksi"))</f>
        <v>Tetap Deteksi</v>
      </c>
      <c r="N289" s="132">
        <v>46238</v>
      </c>
      <c r="O289" s="203">
        <v>830</v>
      </c>
      <c r="P289" s="9">
        <f t="array" ref="P289">IFERROR(O289/G289*100,0)</f>
        <v>43.985161632220453</v>
      </c>
      <c r="Q289" s="203">
        <v>16</v>
      </c>
      <c r="R289" s="9">
        <f t="shared" si="44"/>
        <v>1.9277108433734942</v>
      </c>
      <c r="S289" s="8" t="str">
        <f t="array" ref="S289">IF(R289&gt;5,"Perlu Sensus",IF(AND(R289&gt;=0,O289&gt;0),"Tetap Deteksi","Belum Deteksi"))</f>
        <v>Tetap Deteksi</v>
      </c>
      <c r="T289" s="203">
        <v>15</v>
      </c>
      <c r="U289" s="9">
        <f t="shared" si="43"/>
        <v>1.8072289156626504</v>
      </c>
      <c r="V289" s="132">
        <v>46241</v>
      </c>
      <c r="W289" s="203">
        <v>117</v>
      </c>
      <c r="X289" s="203">
        <v>3</v>
      </c>
      <c r="Y289" s="9">
        <f t="shared" si="37"/>
        <v>2.5641025641025639</v>
      </c>
      <c r="Z289" s="8" t="str">
        <f t="array" ref="Z289">IF(Y289&gt;5,"Perlu Sensus",IF(AND(Y289&gt;0,,O289&gt;0),"Tetap Deteksi","Belum Deteksi"))</f>
        <v>Belum Deteksi</v>
      </c>
    </row>
    <row r="290" spans="1:26" outlineLevel="1" x14ac:dyDescent="0.15">
      <c r="A290" s="8" t="s">
        <v>1043</v>
      </c>
      <c r="B290" s="8">
        <v>2</v>
      </c>
      <c r="C290" s="8">
        <v>16</v>
      </c>
      <c r="D290" s="8" t="s">
        <v>1329</v>
      </c>
      <c r="E290" s="9">
        <v>34.96</v>
      </c>
      <c r="F290" s="8" t="s">
        <v>469</v>
      </c>
      <c r="G290" s="10">
        <v>2797</v>
      </c>
      <c r="H290" s="132">
        <f t="shared" si="38"/>
        <v>46240</v>
      </c>
      <c r="I290" s="140">
        <f t="shared" si="39"/>
        <v>408</v>
      </c>
      <c r="J290" s="9">
        <f t="shared" si="40"/>
        <v>14.587057561673223</v>
      </c>
      <c r="K290" s="140">
        <f t="shared" si="41"/>
        <v>4</v>
      </c>
      <c r="L290" s="206">
        <f t="shared" si="42"/>
        <v>0.98039215686274506</v>
      </c>
      <c r="M290" s="8" t="str">
        <f t="array" ref="M290">IF(L290&gt;5,"Perlu Sensus",IF(AND(L290&gt;=0,I290&gt;0),"Tetap Deteksi","Belum Deteksi"))</f>
        <v>Tetap Deteksi</v>
      </c>
      <c r="N290" s="132">
        <v>46240</v>
      </c>
      <c r="O290" s="203">
        <v>408</v>
      </c>
      <c r="P290" s="9">
        <f t="array" ref="P290">IFERROR(O290/G290*100,0)</f>
        <v>14.587057561673223</v>
      </c>
      <c r="Q290" s="203">
        <v>4</v>
      </c>
      <c r="R290" s="9">
        <f t="shared" si="44"/>
        <v>0.98039215686274506</v>
      </c>
      <c r="S290" s="8" t="str">
        <f t="array" ref="S290">IF(R290&gt;5,"Perlu Sensus",IF(AND(R290&gt;=0,O290&gt;0),"Tetap Deteksi","Belum Deteksi"))</f>
        <v>Tetap Deteksi</v>
      </c>
      <c r="T290" s="203">
        <v>11</v>
      </c>
      <c r="U290" s="9">
        <f t="shared" si="43"/>
        <v>2.6960784313725492</v>
      </c>
      <c r="V290" s="132">
        <v>46241</v>
      </c>
      <c r="W290" s="203">
        <v>1168</v>
      </c>
      <c r="X290" s="203">
        <v>15</v>
      </c>
      <c r="Y290" s="9">
        <f t="shared" si="37"/>
        <v>1.2842465753424657</v>
      </c>
      <c r="Z290" s="8" t="str">
        <f t="array" ref="Z290">IF(Y290&gt;5,"Perlu Sensus",IF(AND(Y290&gt;0,,O290&gt;0),"Tetap Deteksi","Belum Deteksi"))</f>
        <v>Belum Deteksi</v>
      </c>
    </row>
    <row r="291" spans="1:26" outlineLevel="1" x14ac:dyDescent="0.15">
      <c r="A291" s="8" t="s">
        <v>1043</v>
      </c>
      <c r="B291" s="8">
        <v>2</v>
      </c>
      <c r="C291" s="8">
        <v>16</v>
      </c>
      <c r="D291" s="8" t="s">
        <v>1730</v>
      </c>
      <c r="E291" s="9">
        <v>37.760000000000005</v>
      </c>
      <c r="F291" s="8" t="s">
        <v>469</v>
      </c>
      <c r="G291" s="10">
        <v>4809</v>
      </c>
      <c r="H291" s="132">
        <f t="shared" si="38"/>
        <v>46235</v>
      </c>
      <c r="I291" s="140">
        <f t="shared" si="39"/>
        <v>1353</v>
      </c>
      <c r="J291" s="9">
        <f t="shared" si="40"/>
        <v>28.134747348721145</v>
      </c>
      <c r="K291" s="140">
        <f t="shared" si="41"/>
        <v>13</v>
      </c>
      <c r="L291" s="206">
        <f t="shared" si="42"/>
        <v>0.96082779009608288</v>
      </c>
      <c r="M291" s="8" t="str">
        <f t="array" ref="M291">IF(L291&gt;5,"Perlu Sensus",IF(AND(L291&gt;=0,I291&gt;0),"Tetap Deteksi","Belum Deteksi"))</f>
        <v>Tetap Deteksi</v>
      </c>
      <c r="N291" s="132">
        <v>46235</v>
      </c>
      <c r="O291" s="203">
        <v>1353</v>
      </c>
      <c r="P291" s="9">
        <f t="array" ref="P291">IFERROR(O291/G291*100,0)</f>
        <v>28.134747348721145</v>
      </c>
      <c r="Q291" s="203">
        <v>13</v>
      </c>
      <c r="R291" s="9">
        <f t="shared" si="44"/>
        <v>0.96082779009608288</v>
      </c>
      <c r="S291" s="8" t="str">
        <f t="array" ref="S291">IF(R291&gt;5,"Perlu Sensus",IF(AND(R291&gt;=0,O291&gt;0),"Tetap Deteksi","Belum Deteksi"))</f>
        <v>Tetap Deteksi</v>
      </c>
      <c r="T291" s="203">
        <v>27</v>
      </c>
      <c r="U291" s="9">
        <f t="shared" si="43"/>
        <v>1.9955654101995564</v>
      </c>
      <c r="V291" s="132">
        <v>46241</v>
      </c>
      <c r="W291" s="203">
        <v>430</v>
      </c>
      <c r="X291" s="203">
        <v>5</v>
      </c>
      <c r="Y291" s="9">
        <f t="shared" si="37"/>
        <v>1.1627906976744187</v>
      </c>
      <c r="Z291" s="8" t="str">
        <f t="array" ref="Z291">IF(Y291&gt;5,"Perlu Sensus",IF(AND(Y291&gt;0,,O291&gt;0),"Tetap Deteksi","Belum Deteksi"))</f>
        <v>Belum Deteksi</v>
      </c>
    </row>
    <row r="292" spans="1:26" outlineLevel="1" x14ac:dyDescent="0.15">
      <c r="A292" s="8" t="s">
        <v>1043</v>
      </c>
      <c r="B292" s="8">
        <v>2</v>
      </c>
      <c r="C292" s="8">
        <v>16</v>
      </c>
      <c r="D292" s="8" t="s">
        <v>1731</v>
      </c>
      <c r="E292" s="9">
        <v>42.03</v>
      </c>
      <c r="F292" s="8" t="s">
        <v>469</v>
      </c>
      <c r="G292" s="10">
        <v>5610</v>
      </c>
      <c r="H292" s="132">
        <f t="shared" si="38"/>
        <v>46246</v>
      </c>
      <c r="I292" s="140">
        <f t="shared" si="39"/>
        <v>110</v>
      </c>
      <c r="J292" s="9">
        <f t="shared" si="40"/>
        <v>1.9607843137254901</v>
      </c>
      <c r="K292" s="140">
        <f t="shared" si="41"/>
        <v>4</v>
      </c>
      <c r="L292" s="206">
        <f t="shared" si="42"/>
        <v>3.6363636363636362</v>
      </c>
      <c r="M292" s="8" t="str">
        <f t="array" ref="M292">IF(L292&gt;5,"Perlu Sensus",IF(AND(L292&gt;=0,I292&gt;0),"Tetap Deteksi","Belum Deteksi"))</f>
        <v>Tetap Deteksi</v>
      </c>
      <c r="N292" s="132">
        <v>46246</v>
      </c>
      <c r="O292" s="203">
        <v>110</v>
      </c>
      <c r="P292" s="9">
        <f t="array" ref="P292">IFERROR(O292/G292*100,0)</f>
        <v>1.9607843137254901</v>
      </c>
      <c r="Q292" s="203">
        <v>4</v>
      </c>
      <c r="R292" s="9">
        <f t="shared" si="44"/>
        <v>3.6363636363636362</v>
      </c>
      <c r="S292" s="8" t="str">
        <f t="array" ref="S292">IF(R292&gt;5,"Perlu Sensus",IF(AND(R292&gt;=0,O292&gt;0),"Tetap Deteksi","Belum Deteksi"))</f>
        <v>Tetap Deteksi</v>
      </c>
      <c r="T292" s="203">
        <v>4</v>
      </c>
      <c r="U292" s="9">
        <f t="shared" si="43"/>
        <v>3.6363636363636362</v>
      </c>
      <c r="V292" s="132">
        <v>46241</v>
      </c>
      <c r="W292" s="203">
        <v>130</v>
      </c>
      <c r="X292" s="203">
        <v>5</v>
      </c>
      <c r="Y292" s="9">
        <f t="shared" si="37"/>
        <v>3.8461538461538463</v>
      </c>
      <c r="Z292" s="8" t="str">
        <f t="array" ref="Z292">IF(Y292&gt;5,"Perlu Sensus",IF(AND(Y292&gt;0,,O292&gt;0),"Tetap Deteksi","Belum Deteksi"))</f>
        <v>Belum Deteksi</v>
      </c>
    </row>
    <row r="293" spans="1:26" outlineLevel="1" x14ac:dyDescent="0.15">
      <c r="A293" s="8" t="s">
        <v>1043</v>
      </c>
      <c r="B293" s="8">
        <v>2</v>
      </c>
      <c r="C293" s="8">
        <v>16</v>
      </c>
      <c r="D293" s="8" t="s">
        <v>1732</v>
      </c>
      <c r="E293" s="9">
        <v>46.9</v>
      </c>
      <c r="F293" s="8" t="s">
        <v>469</v>
      </c>
      <c r="G293" s="10">
        <v>6113</v>
      </c>
      <c r="H293" s="132">
        <f t="shared" si="38"/>
        <v>46248</v>
      </c>
      <c r="I293" s="140">
        <f t="shared" si="39"/>
        <v>350</v>
      </c>
      <c r="J293" s="9">
        <f t="shared" si="40"/>
        <v>5.7255030263373143</v>
      </c>
      <c r="K293" s="140">
        <f t="shared" si="41"/>
        <v>4</v>
      </c>
      <c r="L293" s="206">
        <f t="shared" si="42"/>
        <v>1.1428571428571428</v>
      </c>
      <c r="M293" s="8" t="str">
        <f t="array" ref="M293">IF(L293&gt;5,"Perlu Sensus",IF(AND(L293&gt;=0,I293&gt;0),"Tetap Deteksi","Belum Deteksi"))</f>
        <v>Tetap Deteksi</v>
      </c>
      <c r="N293" s="132">
        <v>46248</v>
      </c>
      <c r="O293" s="203">
        <v>350</v>
      </c>
      <c r="P293" s="9">
        <f t="array" ref="P293">IFERROR(O293/G293*100,0)</f>
        <v>5.7255030263373143</v>
      </c>
      <c r="Q293" s="203">
        <v>4</v>
      </c>
      <c r="R293" s="9">
        <f t="shared" si="44"/>
        <v>1.1428571428571428</v>
      </c>
      <c r="S293" s="8" t="str">
        <f t="array" ref="S293">IF(R293&gt;5,"Perlu Sensus",IF(AND(R293&gt;=0,O293&gt;0),"Tetap Deteksi","Belum Deteksi"))</f>
        <v>Tetap Deteksi</v>
      </c>
      <c r="T293" s="203">
        <v>5</v>
      </c>
      <c r="U293" s="9">
        <f t="shared" si="43"/>
        <v>1.4285714285714286</v>
      </c>
      <c r="V293" s="132">
        <v>46241</v>
      </c>
      <c r="W293" s="203">
        <v>358</v>
      </c>
      <c r="X293" s="203">
        <v>13</v>
      </c>
      <c r="Y293" s="9">
        <f t="shared" si="37"/>
        <v>3.6312849162011176</v>
      </c>
      <c r="Z293" s="8" t="str">
        <f t="array" ref="Z293">IF(Y293&gt;5,"Perlu Sensus",IF(AND(Y293&gt;0,,O293&gt;0),"Tetap Deteksi","Belum Deteksi"))</f>
        <v>Belum Deteksi</v>
      </c>
    </row>
    <row r="294" spans="1:26" outlineLevel="1" x14ac:dyDescent="0.15">
      <c r="A294" s="8" t="s">
        <v>1043</v>
      </c>
      <c r="B294" s="8">
        <v>2</v>
      </c>
      <c r="C294" s="8">
        <v>16</v>
      </c>
      <c r="D294" s="8" t="s">
        <v>1733</v>
      </c>
      <c r="E294" s="9">
        <v>37.510000000000005</v>
      </c>
      <c r="F294" s="8" t="s">
        <v>469</v>
      </c>
      <c r="G294" s="10">
        <v>3773</v>
      </c>
      <c r="H294" s="132">
        <f t="shared" si="38"/>
        <v>46240</v>
      </c>
      <c r="I294" s="140">
        <f t="shared" si="39"/>
        <v>224</v>
      </c>
      <c r="J294" s="9">
        <f t="shared" si="40"/>
        <v>5.9369202226345088</v>
      </c>
      <c r="K294" s="140">
        <f t="shared" si="41"/>
        <v>4</v>
      </c>
      <c r="L294" s="206">
        <f t="shared" si="42"/>
        <v>1.7857142857142856</v>
      </c>
      <c r="M294" s="8" t="str">
        <f t="array" ref="M294">IF(L294&gt;5,"Perlu Sensus",IF(AND(L294&gt;=0,I294&gt;0),"Tetap Deteksi","Belum Deteksi"))</f>
        <v>Tetap Deteksi</v>
      </c>
      <c r="N294" s="132">
        <v>46240</v>
      </c>
      <c r="O294" s="203">
        <v>224</v>
      </c>
      <c r="P294" s="9">
        <f t="array" ref="P294">IFERROR(O294/G294*100,0)</f>
        <v>5.9369202226345088</v>
      </c>
      <c r="Q294" s="203">
        <v>4</v>
      </c>
      <c r="R294" s="9">
        <f t="shared" si="44"/>
        <v>1.7857142857142856</v>
      </c>
      <c r="S294" s="8" t="str">
        <f t="array" ref="S294">IF(R294&gt;5,"Perlu Sensus",IF(AND(R294&gt;=0,O294&gt;0),"Tetap Deteksi","Belum Deteksi"))</f>
        <v>Tetap Deteksi</v>
      </c>
      <c r="T294" s="203">
        <v>5</v>
      </c>
      <c r="U294" s="9">
        <f t="shared" si="43"/>
        <v>2.2321428571428572</v>
      </c>
      <c r="V294" s="132">
        <v>46241</v>
      </c>
      <c r="W294" s="203">
        <v>194</v>
      </c>
      <c r="X294" s="203">
        <v>7</v>
      </c>
      <c r="Y294" s="9">
        <f t="shared" si="37"/>
        <v>3.608247422680412</v>
      </c>
      <c r="Z294" s="8" t="str">
        <f t="array" ref="Z294">IF(Y294&gt;5,"Perlu Sensus",IF(AND(Y294&gt;0,,O294&gt;0),"Tetap Deteksi","Belum Deteksi"))</f>
        <v>Belum Deteksi</v>
      </c>
    </row>
    <row r="295" spans="1:26" outlineLevel="1" x14ac:dyDescent="0.15">
      <c r="A295" s="8" t="s">
        <v>1043</v>
      </c>
      <c r="B295" s="8">
        <v>2</v>
      </c>
      <c r="C295" s="8">
        <v>16</v>
      </c>
      <c r="D295" s="8" t="s">
        <v>1734</v>
      </c>
      <c r="E295" s="9">
        <v>38.22</v>
      </c>
      <c r="F295" s="8" t="s">
        <v>469</v>
      </c>
      <c r="G295" s="10">
        <v>4017</v>
      </c>
      <c r="H295" s="132">
        <f t="shared" si="38"/>
        <v>46235</v>
      </c>
      <c r="I295" s="140">
        <f t="shared" si="39"/>
        <v>450</v>
      </c>
      <c r="J295" s="9">
        <f t="shared" si="40"/>
        <v>11.202389843166543</v>
      </c>
      <c r="K295" s="140">
        <f t="shared" si="41"/>
        <v>3</v>
      </c>
      <c r="L295" s="206">
        <f t="shared" si="42"/>
        <v>0.66666666666666674</v>
      </c>
      <c r="M295" s="8" t="str">
        <f t="array" ref="M295">IF(L295&gt;5,"Perlu Sensus",IF(AND(L295&gt;=0,I295&gt;0),"Tetap Deteksi","Belum Deteksi"))</f>
        <v>Tetap Deteksi</v>
      </c>
      <c r="N295" s="132">
        <v>46235</v>
      </c>
      <c r="O295" s="203">
        <v>450</v>
      </c>
      <c r="P295" s="9">
        <f t="array" ref="P295">IFERROR(O295/G295*100,0)</f>
        <v>11.202389843166543</v>
      </c>
      <c r="Q295" s="203">
        <v>3</v>
      </c>
      <c r="R295" s="9">
        <f t="shared" si="44"/>
        <v>0.66666666666666674</v>
      </c>
      <c r="S295" s="8" t="str">
        <f t="array" ref="S295">IF(R295&gt;5,"Perlu Sensus",IF(AND(R295&gt;=0,O295&gt;0),"Tetap Deteksi","Belum Deteksi"))</f>
        <v>Tetap Deteksi</v>
      </c>
      <c r="T295" s="203">
        <v>7</v>
      </c>
      <c r="U295" s="9">
        <f t="shared" si="43"/>
        <v>1.5555555555555556</v>
      </c>
      <c r="V295" s="132">
        <v>46241</v>
      </c>
      <c r="W295" s="203">
        <v>220</v>
      </c>
      <c r="X295" s="203">
        <v>4</v>
      </c>
      <c r="Y295" s="9">
        <f t="shared" si="37"/>
        <v>1.8181818181818181</v>
      </c>
      <c r="Z295" s="8" t="str">
        <f t="array" ref="Z295">IF(Y295&gt;5,"Perlu Sensus",IF(AND(Y295&gt;0,,O295&gt;0),"Tetap Deteksi","Belum Deteksi"))</f>
        <v>Belum Deteksi</v>
      </c>
    </row>
    <row r="296" spans="1:26" outlineLevel="1" x14ac:dyDescent="0.15">
      <c r="A296" s="8" t="s">
        <v>1043</v>
      </c>
      <c r="B296" s="8">
        <v>2</v>
      </c>
      <c r="C296" s="8">
        <v>16</v>
      </c>
      <c r="D296" s="8" t="s">
        <v>1735</v>
      </c>
      <c r="E296" s="9">
        <v>37.5</v>
      </c>
      <c r="F296" s="8" t="s">
        <v>469</v>
      </c>
      <c r="G296" s="10">
        <v>4498</v>
      </c>
      <c r="H296" s="132">
        <f t="shared" si="38"/>
        <v>46238</v>
      </c>
      <c r="I296" s="140">
        <f t="shared" si="39"/>
        <v>215</v>
      </c>
      <c r="J296" s="9">
        <f t="shared" si="40"/>
        <v>4.7799021787461093</v>
      </c>
      <c r="K296" s="140">
        <f t="shared" si="41"/>
        <v>4</v>
      </c>
      <c r="L296" s="206">
        <f t="shared" si="42"/>
        <v>1.8604651162790697</v>
      </c>
      <c r="M296" s="8" t="str">
        <f t="array" ref="M296">IF(L296&gt;5,"Perlu Sensus",IF(AND(L296&gt;=0,I296&gt;0),"Tetap Deteksi","Belum Deteksi"))</f>
        <v>Tetap Deteksi</v>
      </c>
      <c r="N296" s="132">
        <v>46238</v>
      </c>
      <c r="O296" s="203">
        <v>215</v>
      </c>
      <c r="P296" s="9">
        <f t="array" ref="P296">IFERROR(O296/G296*100,0)</f>
        <v>4.7799021787461093</v>
      </c>
      <c r="Q296" s="203">
        <v>4</v>
      </c>
      <c r="R296" s="9">
        <f t="shared" si="44"/>
        <v>1.8604651162790697</v>
      </c>
      <c r="S296" s="8" t="str">
        <f t="array" ref="S296">IF(R296&gt;5,"Perlu Sensus",IF(AND(R296&gt;=0,O296&gt;0),"Tetap Deteksi","Belum Deteksi"))</f>
        <v>Tetap Deteksi</v>
      </c>
      <c r="T296" s="203">
        <v>0</v>
      </c>
      <c r="U296" s="9">
        <f t="shared" si="43"/>
        <v>0</v>
      </c>
      <c r="V296" s="132">
        <v>46241</v>
      </c>
      <c r="W296" s="203">
        <v>281</v>
      </c>
      <c r="X296" s="203">
        <v>10</v>
      </c>
      <c r="Y296" s="9">
        <f t="shared" si="37"/>
        <v>3.5587188612099649</v>
      </c>
      <c r="Z296" s="8" t="str">
        <f t="array" ref="Z296">IF(Y296&gt;5,"Perlu Sensus",IF(AND(Y296&gt;0,,O296&gt;0),"Tetap Deteksi","Belum Deteksi"))</f>
        <v>Belum Deteksi</v>
      </c>
    </row>
    <row r="297" spans="1:26" outlineLevel="1" x14ac:dyDescent="0.15">
      <c r="A297" s="8" t="s">
        <v>1043</v>
      </c>
      <c r="B297" s="8">
        <v>2</v>
      </c>
      <c r="C297" s="8">
        <v>16</v>
      </c>
      <c r="D297" s="8" t="s">
        <v>1736</v>
      </c>
      <c r="E297" s="9">
        <v>27.469999999999995</v>
      </c>
      <c r="F297" s="8" t="s">
        <v>469</v>
      </c>
      <c r="G297" s="10">
        <v>3391</v>
      </c>
      <c r="H297" s="132">
        <f t="shared" si="38"/>
        <v>46237</v>
      </c>
      <c r="I297" s="140">
        <f t="shared" si="39"/>
        <v>130</v>
      </c>
      <c r="J297" s="9">
        <f t="shared" si="40"/>
        <v>3.8336773813034504</v>
      </c>
      <c r="K297" s="140">
        <f t="shared" si="41"/>
        <v>2</v>
      </c>
      <c r="L297" s="206">
        <f t="shared" si="42"/>
        <v>1.5384615384615385</v>
      </c>
      <c r="M297" s="8" t="str">
        <f t="array" ref="M297">IF(L297&gt;5,"Perlu Sensus",IF(AND(L297&gt;=0,I297&gt;0),"Tetap Deteksi","Belum Deteksi"))</f>
        <v>Tetap Deteksi</v>
      </c>
      <c r="N297" s="132">
        <v>46237</v>
      </c>
      <c r="O297" s="203">
        <v>130</v>
      </c>
      <c r="P297" s="9">
        <f t="array" ref="P297">IFERROR(O297/G297*100,0)</f>
        <v>3.8336773813034504</v>
      </c>
      <c r="Q297" s="203">
        <v>2</v>
      </c>
      <c r="R297" s="9">
        <f t="shared" si="44"/>
        <v>1.5384615384615385</v>
      </c>
      <c r="S297" s="8" t="str">
        <f t="array" ref="S297">IF(R297&gt;5,"Perlu Sensus",IF(AND(R297&gt;=0,O297&gt;0),"Tetap Deteksi","Belum Deteksi"))</f>
        <v>Tetap Deteksi</v>
      </c>
      <c r="T297" s="203">
        <v>5</v>
      </c>
      <c r="U297" s="9">
        <f t="shared" si="43"/>
        <v>3.8461538461538463</v>
      </c>
      <c r="V297" s="132">
        <v>46241</v>
      </c>
      <c r="W297" s="203">
        <v>208</v>
      </c>
      <c r="X297" s="203">
        <v>4</v>
      </c>
      <c r="Y297" s="9">
        <f t="shared" si="37"/>
        <v>1.9230769230769231</v>
      </c>
      <c r="Z297" s="8" t="str">
        <f t="array" ref="Z297">IF(Y297&gt;5,"Perlu Sensus",IF(AND(Y297&gt;0,,O297&gt;0),"Tetap Deteksi","Belum Deteksi"))</f>
        <v>Belum Deteksi</v>
      </c>
    </row>
    <row r="298" spans="1:26" outlineLevel="1" x14ac:dyDescent="0.15">
      <c r="A298" s="8" t="s">
        <v>1043</v>
      </c>
      <c r="B298" s="8">
        <v>2</v>
      </c>
      <c r="C298" s="8">
        <v>16</v>
      </c>
      <c r="D298" s="8" t="s">
        <v>1737</v>
      </c>
      <c r="E298" s="9">
        <v>23.25</v>
      </c>
      <c r="F298" s="8" t="s">
        <v>469</v>
      </c>
      <c r="G298" s="10">
        <v>2047</v>
      </c>
      <c r="H298" s="132">
        <f t="shared" si="38"/>
        <v>46241</v>
      </c>
      <c r="I298" s="140">
        <f t="shared" si="39"/>
        <v>445</v>
      </c>
      <c r="J298" s="9">
        <f t="shared" si="40"/>
        <v>21.739130434782609</v>
      </c>
      <c r="K298" s="140">
        <f t="shared" si="41"/>
        <v>7</v>
      </c>
      <c r="L298" s="206">
        <f t="shared" si="42"/>
        <v>1.5730337078651686</v>
      </c>
      <c r="M298" s="8" t="str">
        <f t="array" ref="M298">IF(L298&gt;5,"Perlu Sensus",IF(AND(L298&gt;=0,I298&gt;0),"Tetap Deteksi","Belum Deteksi"))</f>
        <v>Tetap Deteksi</v>
      </c>
      <c r="N298" s="132">
        <v>46241</v>
      </c>
      <c r="O298" s="203">
        <v>445</v>
      </c>
      <c r="P298" s="9">
        <f t="array" ref="P298">IFERROR(O298/G298*100,0)</f>
        <v>21.739130434782609</v>
      </c>
      <c r="Q298" s="203">
        <v>7</v>
      </c>
      <c r="R298" s="9">
        <f t="shared" si="44"/>
        <v>1.5730337078651686</v>
      </c>
      <c r="S298" s="8" t="str">
        <f t="array" ref="S298">IF(R298&gt;5,"Perlu Sensus",IF(AND(R298&gt;=0,O298&gt;0),"Tetap Deteksi","Belum Deteksi"))</f>
        <v>Tetap Deteksi</v>
      </c>
      <c r="T298" s="203">
        <v>7</v>
      </c>
      <c r="U298" s="9">
        <f t="shared" si="43"/>
        <v>1.5730337078651686</v>
      </c>
      <c r="V298" s="132">
        <v>46241</v>
      </c>
      <c r="W298" s="203">
        <v>530</v>
      </c>
      <c r="X298" s="203">
        <v>2</v>
      </c>
      <c r="Y298" s="9">
        <f t="shared" si="37"/>
        <v>0.37735849056603776</v>
      </c>
      <c r="Z298" s="8" t="str">
        <f t="array" ref="Z298">IF(Y298&gt;5,"Perlu Sensus",IF(AND(Y298&gt;0,,O298&gt;0),"Tetap Deteksi","Belum Deteksi"))</f>
        <v>Belum Deteksi</v>
      </c>
    </row>
    <row r="299" spans="1:26" outlineLevel="1" x14ac:dyDescent="0.15">
      <c r="A299" s="8" t="s">
        <v>1043</v>
      </c>
      <c r="B299" s="8">
        <v>2</v>
      </c>
      <c r="C299" s="8">
        <v>16</v>
      </c>
      <c r="D299" s="8" t="s">
        <v>1738</v>
      </c>
      <c r="E299" s="9">
        <v>23.47</v>
      </c>
      <c r="F299" s="8" t="s">
        <v>469</v>
      </c>
      <c r="G299" s="10">
        <v>2974</v>
      </c>
      <c r="H299" s="132">
        <f t="shared" si="38"/>
        <v>46241</v>
      </c>
      <c r="I299" s="140">
        <f t="shared" si="39"/>
        <v>360</v>
      </c>
      <c r="J299" s="9">
        <f t="shared" si="40"/>
        <v>12.1049092131809</v>
      </c>
      <c r="K299" s="140">
        <f t="shared" si="41"/>
        <v>3</v>
      </c>
      <c r="L299" s="206">
        <f t="shared" si="42"/>
        <v>0.83333333333333337</v>
      </c>
      <c r="M299" s="8" t="str">
        <f t="array" ref="M299">IF(L299&gt;5,"Perlu Sensus",IF(AND(L299&gt;=0,I299&gt;0),"Tetap Deteksi","Belum Deteksi"))</f>
        <v>Tetap Deteksi</v>
      </c>
      <c r="N299" s="132">
        <v>46241</v>
      </c>
      <c r="O299" s="203">
        <v>360</v>
      </c>
      <c r="P299" s="9">
        <f t="array" ref="P299">IFERROR(O299/G299*100,0)</f>
        <v>12.1049092131809</v>
      </c>
      <c r="Q299" s="203">
        <v>3</v>
      </c>
      <c r="R299" s="9">
        <f t="shared" si="44"/>
        <v>0.83333333333333337</v>
      </c>
      <c r="S299" s="8" t="str">
        <f t="array" ref="S299">IF(R299&gt;5,"Perlu Sensus",IF(AND(R299&gt;=0,O299&gt;0),"Tetap Deteksi","Belum Deteksi"))</f>
        <v>Tetap Deteksi</v>
      </c>
      <c r="T299" s="203">
        <v>6</v>
      </c>
      <c r="U299" s="9">
        <f t="shared" si="43"/>
        <v>1.6666666666666667</v>
      </c>
      <c r="V299" s="132">
        <v>46241</v>
      </c>
      <c r="W299" s="203">
        <v>119</v>
      </c>
      <c r="X299" s="203">
        <v>3</v>
      </c>
      <c r="Y299" s="9">
        <f t="shared" si="37"/>
        <v>2.5210084033613445</v>
      </c>
      <c r="Z299" s="8" t="str">
        <f t="array" ref="Z299">IF(Y299&gt;5,"Perlu Sensus",IF(AND(Y299&gt;0,,O299&gt;0),"Tetap Deteksi","Belum Deteksi"))</f>
        <v>Belum Deteksi</v>
      </c>
    </row>
    <row r="300" spans="1:26" outlineLevel="1" x14ac:dyDescent="0.15">
      <c r="A300" s="8"/>
      <c r="B300" s="8"/>
      <c r="C300" s="8"/>
      <c r="D300" s="8"/>
      <c r="E300" s="9"/>
      <c r="F300" s="8"/>
      <c r="G300" s="10"/>
      <c r="H300" s="10"/>
      <c r="I300" s="10"/>
      <c r="J300" s="10"/>
      <c r="K300" s="10"/>
      <c r="L300" s="10"/>
      <c r="M300" s="10"/>
      <c r="N300" s="132"/>
      <c r="O300" s="8"/>
      <c r="P300" s="9">
        <f t="array" ref="P300">IFERROR(O300/G300*100,0)</f>
        <v>0</v>
      </c>
      <c r="Q300" s="8"/>
      <c r="R300" s="9">
        <f t="shared" si="44"/>
        <v>0</v>
      </c>
      <c r="S300" s="8" t="str">
        <f t="array" ref="S300">IF(R300&gt;5,"Perlu Sensus",IF(AND(R300&gt;=0,O300&gt;0),"Tetap Deteksi","Belum Deteksi"))</f>
        <v>Belum Deteksi</v>
      </c>
      <c r="T300" s="8"/>
      <c r="U300" s="8"/>
      <c r="V300" s="132"/>
      <c r="W300" s="8"/>
      <c r="X300" s="8"/>
      <c r="Y300" s="9">
        <f t="shared" si="37"/>
        <v>0</v>
      </c>
      <c r="Z300" s="8" t="str">
        <f t="array" ref="Z300">IF(Y300&gt;5,"Perlu Sensus",IF(AND(Y300&gt;0,,O300&gt;0),"Tetap Deteksi","Belum Deteksi"))</f>
        <v>Belum Deteksi</v>
      </c>
    </row>
    <row r="301" spans="1:26" outlineLevel="1" x14ac:dyDescent="0.15">
      <c r="A301" s="8"/>
      <c r="B301" s="8"/>
      <c r="C301" s="8"/>
      <c r="D301" s="8"/>
      <c r="E301" s="9"/>
      <c r="F301" s="8"/>
      <c r="G301" s="10"/>
      <c r="H301" s="10"/>
      <c r="I301" s="10"/>
      <c r="J301" s="10"/>
      <c r="K301" s="10"/>
      <c r="L301" s="10"/>
      <c r="M301" s="10"/>
      <c r="N301" s="11"/>
      <c r="O301" s="8"/>
      <c r="P301" s="9">
        <f t="array" ref="P301">IFERROR(O301/G301*100,0)</f>
        <v>0</v>
      </c>
      <c r="Q301" s="8"/>
      <c r="R301" s="9">
        <f t="shared" si="44"/>
        <v>0</v>
      </c>
      <c r="S301" s="8" t="str">
        <f t="array" ref="S301">IF(R301&gt;5,"Perlu Sensus",IF(AND(R301&gt;=0,O301&gt;0),"Tetap Deteksi","Belum Deteksi"))</f>
        <v>Belum Deteksi</v>
      </c>
      <c r="T301" s="8"/>
      <c r="U301" s="8"/>
      <c r="V301" s="132"/>
      <c r="W301" s="8"/>
      <c r="X301" s="8"/>
      <c r="Y301" s="9">
        <f t="shared" si="37"/>
        <v>0</v>
      </c>
      <c r="Z301" s="8" t="str">
        <f t="array" ref="Z301">IF(Y301&gt;5,"Perlu Sensus",IF(AND(Y301&gt;0,,O301&gt;0),"Tetap Deteksi","Belum Deteksi"))</f>
        <v>Belum Deteksi</v>
      </c>
    </row>
    <row r="302" spans="1:26" outlineLevel="1" x14ac:dyDescent="0.15">
      <c r="A302" s="8"/>
      <c r="B302" s="8"/>
      <c r="C302" s="8"/>
      <c r="D302" s="8"/>
      <c r="E302" s="9"/>
      <c r="F302" s="8"/>
      <c r="G302" s="10"/>
      <c r="H302" s="10"/>
      <c r="I302" s="10"/>
      <c r="J302" s="10"/>
      <c r="K302" s="10"/>
      <c r="L302" s="10"/>
      <c r="M302" s="10"/>
      <c r="N302" s="132"/>
      <c r="O302" s="8"/>
      <c r="P302" s="9">
        <f t="array" ref="P302">IFERROR(O302/G302*100,0)</f>
        <v>0</v>
      </c>
      <c r="Q302" s="8"/>
      <c r="R302" s="9">
        <f t="shared" si="44"/>
        <v>0</v>
      </c>
      <c r="S302" s="8" t="str">
        <f t="array" ref="S302">IF(R302&gt;5,"Perlu Sensus",IF(AND(R302&gt;=0,O302&gt;0),"Tetap Deteksi","Belum Deteksi"))</f>
        <v>Belum Deteksi</v>
      </c>
      <c r="T302" s="8"/>
      <c r="U302" s="8"/>
      <c r="V302" s="132"/>
      <c r="W302" s="8"/>
      <c r="X302" s="8"/>
      <c r="Y302" s="9">
        <f t="shared" si="37"/>
        <v>0</v>
      </c>
      <c r="Z302" s="8" t="str">
        <f t="array" ref="Z302">IF(Y302&gt;5,"Perlu Sensus",IF(AND(Y302&gt;0,,O302&gt;0),"Tetap Deteksi","Belum Deteksi"))</f>
        <v>Belum Deteksi</v>
      </c>
    </row>
    <row r="303" spans="1:26" x14ac:dyDescent="0.15">
      <c r="A303" s="8"/>
      <c r="B303" s="8"/>
      <c r="C303" s="8"/>
      <c r="D303" s="8"/>
      <c r="E303" s="9"/>
      <c r="F303" s="8"/>
      <c r="G303" s="10"/>
      <c r="H303" s="10"/>
      <c r="I303" s="10"/>
      <c r="J303" s="10"/>
      <c r="K303" s="10"/>
      <c r="L303" s="10"/>
      <c r="M303" s="10"/>
      <c r="N303" s="132"/>
      <c r="O303" s="8"/>
      <c r="P303" s="9">
        <f t="array" ref="P303">IFERROR(O303/G303*100,0)</f>
        <v>0</v>
      </c>
      <c r="Q303" s="8"/>
      <c r="R303" s="9">
        <f t="shared" si="44"/>
        <v>0</v>
      </c>
      <c r="S303" s="8" t="str">
        <f t="array" ref="S303">IF(R303&gt;5,"Perlu Sensus",IF(AND(R303&gt;=0,O303&gt;0),"Tetap Deteksi","Belum Deteksi"))</f>
        <v>Belum Deteksi</v>
      </c>
      <c r="T303" s="8"/>
      <c r="U303" s="8"/>
      <c r="V303" s="132"/>
      <c r="W303" s="8"/>
      <c r="X303" s="8"/>
      <c r="Y303" s="9">
        <f t="shared" si="37"/>
        <v>0</v>
      </c>
      <c r="Z303" s="8" t="str">
        <f t="array" ref="Z303">IF(Y303&gt;5,"Perlu Sensus",IF(AND(Y303&gt;0,,O303&gt;0),"Tetap Deteksi","Belum Deteksi"))</f>
        <v>Belum Deteksi</v>
      </c>
    </row>
    <row r="304" spans="1:26" x14ac:dyDescent="0.15">
      <c r="A304" s="8"/>
      <c r="B304" s="8"/>
      <c r="C304" s="8"/>
      <c r="D304" s="8"/>
      <c r="E304" s="9"/>
      <c r="F304" s="8"/>
      <c r="G304" s="10"/>
      <c r="H304" s="10"/>
      <c r="I304" s="10"/>
      <c r="J304" s="10"/>
      <c r="K304" s="10"/>
      <c r="L304" s="10"/>
      <c r="M304" s="10"/>
      <c r="N304" s="11"/>
      <c r="O304" s="8"/>
      <c r="P304" s="9">
        <f t="array" ref="P304">IFERROR(O304/G304*100,0)</f>
        <v>0</v>
      </c>
      <c r="Q304" s="8"/>
      <c r="R304" s="9">
        <f t="shared" si="44"/>
        <v>0</v>
      </c>
      <c r="S304" s="8" t="str">
        <f t="array" ref="S304">IF(R304&gt;5,"Perlu Sensus",IF(AND(R304&gt;=0,O304&gt;0),"Tetap Deteksi","Belum Deteksi"))</f>
        <v>Belum Deteksi</v>
      </c>
      <c r="T304" s="8"/>
      <c r="U304" s="8"/>
      <c r="V304" s="132"/>
      <c r="W304" s="8"/>
      <c r="X304" s="8"/>
      <c r="Y304" s="9">
        <f t="shared" si="37"/>
        <v>0</v>
      </c>
      <c r="Z304" s="8" t="str">
        <f t="array" ref="Z304">IF(Y304&gt;5,"Perlu Sensus",IF(AND(Y304&gt;0,,O304&gt;0),"Tetap Deteksi","Belum Deteksi"))</f>
        <v>Belum Deteksi</v>
      </c>
    </row>
    <row r="305" spans="1:26" x14ac:dyDescent="0.15">
      <c r="A305" s="8"/>
      <c r="B305" s="8"/>
      <c r="C305" s="8"/>
      <c r="D305" s="8"/>
      <c r="E305" s="9"/>
      <c r="F305" s="8"/>
      <c r="G305" s="10"/>
      <c r="H305" s="10"/>
      <c r="I305" s="10"/>
      <c r="J305" s="10"/>
      <c r="K305" s="10"/>
      <c r="L305" s="10"/>
      <c r="M305" s="10"/>
      <c r="N305" s="11"/>
      <c r="O305" s="8"/>
      <c r="P305" s="9">
        <f t="array" ref="P305">IFERROR(O305/G305*100,0)</f>
        <v>0</v>
      </c>
      <c r="Q305" s="8"/>
      <c r="R305" s="9">
        <f t="shared" si="44"/>
        <v>0</v>
      </c>
      <c r="S305" s="8" t="str">
        <f t="array" ref="S305">IF(R305&gt;5,"Perlu Sensus",IF(AND(R305&gt;=0,O305&gt;0),"Tetap Deteksi","Belum Deteksi"))</f>
        <v>Belum Deteksi</v>
      </c>
      <c r="T305" s="8"/>
      <c r="U305" s="8"/>
      <c r="V305" s="11"/>
      <c r="W305" s="8"/>
      <c r="X305" s="8"/>
      <c r="Y305" s="9">
        <f t="shared" si="37"/>
        <v>0</v>
      </c>
      <c r="Z305" s="8" t="str">
        <f t="array" ref="Z305">IF(Y305&gt;5,"Perlu Sensus",IF(AND(Y305&gt;0,,O305&gt;0),"Tetap Deteksi","Belum Deteksi"))</f>
        <v>Belum Deteksi</v>
      </c>
    </row>
    <row r="306" spans="1:26" x14ac:dyDescent="0.15">
      <c r="A306" s="8"/>
      <c r="B306" s="8"/>
      <c r="C306" s="8"/>
      <c r="D306" s="8"/>
      <c r="E306" s="9"/>
      <c r="F306" s="8"/>
      <c r="G306" s="10"/>
      <c r="H306" s="10"/>
      <c r="I306" s="10"/>
      <c r="J306" s="10"/>
      <c r="K306" s="10"/>
      <c r="L306" s="10"/>
      <c r="M306" s="10"/>
      <c r="N306" s="11"/>
      <c r="O306" s="8"/>
      <c r="P306" s="9">
        <f t="array" ref="P306">IFERROR(O306/G306*100,0)</f>
        <v>0</v>
      </c>
      <c r="Q306" s="8"/>
      <c r="R306" s="9">
        <f t="shared" si="44"/>
        <v>0</v>
      </c>
      <c r="S306" s="8" t="str">
        <f t="array" ref="S306">IF(R306&gt;5,"Perlu Sensus",IF(AND(R306&gt;=0,O306&gt;0),"Tetap Deteksi","Belum Deteksi"))</f>
        <v>Belum Deteksi</v>
      </c>
      <c r="T306" s="8"/>
      <c r="U306" s="8"/>
      <c r="V306" s="11"/>
      <c r="W306" s="8"/>
      <c r="X306" s="8"/>
      <c r="Y306" s="9">
        <f t="shared" si="37"/>
        <v>0</v>
      </c>
      <c r="Z306" s="8" t="str">
        <f t="array" ref="Z306">IF(Y306&gt;5,"Perlu Sensus",IF(AND(Y306&gt;0,,O306&gt;0),"Tetap Deteksi","Belum Deteksi"))</f>
        <v>Belum Deteksi</v>
      </c>
    </row>
    <row r="307" spans="1:26" x14ac:dyDescent="0.15">
      <c r="A307" s="8"/>
      <c r="B307" s="8"/>
      <c r="C307" s="8"/>
      <c r="D307" s="8"/>
      <c r="E307" s="9"/>
      <c r="F307" s="8"/>
      <c r="G307" s="10"/>
      <c r="H307" s="10"/>
      <c r="I307" s="10"/>
      <c r="J307" s="10"/>
      <c r="K307" s="10"/>
      <c r="L307" s="10"/>
      <c r="M307" s="10"/>
      <c r="N307" s="11"/>
      <c r="O307" s="8"/>
      <c r="P307" s="9">
        <f t="array" ref="P307">IFERROR(O307/G307*100,0)</f>
        <v>0</v>
      </c>
      <c r="Q307" s="8"/>
      <c r="R307" s="9">
        <f t="shared" si="44"/>
        <v>0</v>
      </c>
      <c r="S307" s="8" t="str">
        <f t="array" ref="S307">IF(R307&gt;5,"Perlu Sensus",IF(AND(R307&gt;=0,O307&gt;0),"Tetap Deteksi","Belum Deteksi"))</f>
        <v>Belum Deteksi</v>
      </c>
      <c r="T307" s="8"/>
      <c r="U307" s="8"/>
      <c r="V307" s="11"/>
      <c r="W307" s="8"/>
      <c r="X307" s="8"/>
      <c r="Y307" s="9">
        <f t="shared" si="37"/>
        <v>0</v>
      </c>
      <c r="Z307" s="8" t="str">
        <f t="array" ref="Z307">IF(Y307&gt;5,"Perlu Sensus",IF(AND(Y307&gt;0,,O307&gt;0),"Tetap Deteksi","Belum Deteksi"))</f>
        <v>Belum Deteksi</v>
      </c>
    </row>
    <row r="308" spans="1:26" x14ac:dyDescent="0.15">
      <c r="A308" s="8"/>
      <c r="B308" s="8"/>
      <c r="C308" s="8"/>
      <c r="D308" s="8"/>
      <c r="E308" s="9"/>
      <c r="F308" s="8"/>
      <c r="G308" s="10"/>
      <c r="H308" s="10"/>
      <c r="I308" s="10"/>
      <c r="J308" s="10"/>
      <c r="K308" s="10"/>
      <c r="L308" s="10"/>
      <c r="M308" s="10"/>
      <c r="N308" s="11"/>
      <c r="O308" s="8"/>
      <c r="P308" s="9">
        <f t="array" ref="P308">IFERROR(O308/G308*100,0)</f>
        <v>0</v>
      </c>
      <c r="Q308" s="8"/>
      <c r="R308" s="9">
        <f t="shared" si="44"/>
        <v>0</v>
      </c>
      <c r="S308" s="8" t="str">
        <f t="array" ref="S308">IF(R308&gt;5,"Perlu Sensus",IF(AND(R308&gt;=0,O308&gt;0),"Tetap Deteksi","Belum Deteksi"))</f>
        <v>Belum Deteksi</v>
      </c>
      <c r="T308" s="8"/>
      <c r="U308" s="8"/>
      <c r="V308" s="11"/>
      <c r="W308" s="8"/>
      <c r="X308" s="8"/>
      <c r="Y308" s="9">
        <f t="shared" si="37"/>
        <v>0</v>
      </c>
      <c r="Z308" s="8" t="str">
        <f t="array" ref="Z308">IF(Y308&gt;5,"Perlu Sensus",IF(AND(Y308&gt;0,,O308&gt;0),"Tetap Deteksi","Belum Deteksi"))</f>
        <v>Belum Deteksi</v>
      </c>
    </row>
    <row r="309" spans="1:26" x14ac:dyDescent="0.15">
      <c r="A309" s="8"/>
      <c r="B309" s="8"/>
      <c r="C309" s="8"/>
      <c r="D309" s="8"/>
      <c r="E309" s="9"/>
      <c r="F309" s="8"/>
      <c r="G309" s="10"/>
      <c r="H309" s="10"/>
      <c r="I309" s="10"/>
      <c r="J309" s="10"/>
      <c r="K309" s="10"/>
      <c r="L309" s="10"/>
      <c r="M309" s="10"/>
      <c r="N309" s="11"/>
      <c r="O309" s="8"/>
      <c r="P309" s="9">
        <f t="array" ref="P309">IFERROR(O309/G309*100,0)</f>
        <v>0</v>
      </c>
      <c r="Q309" s="8"/>
      <c r="R309" s="9">
        <f t="shared" si="44"/>
        <v>0</v>
      </c>
      <c r="S309" s="8" t="str">
        <f t="array" ref="S309">IF(R309&gt;5,"Perlu Sensus",IF(AND(R309&gt;=0,O309&gt;0),"Tetap Deteksi","Belum Deteksi"))</f>
        <v>Belum Deteksi</v>
      </c>
      <c r="T309" s="8"/>
      <c r="U309" s="8"/>
      <c r="V309" s="11"/>
      <c r="W309" s="8"/>
      <c r="X309" s="8"/>
      <c r="Y309" s="9">
        <f t="shared" si="37"/>
        <v>0</v>
      </c>
      <c r="Z309" s="8" t="str">
        <f t="array" ref="Z309">IF(Y309&gt;5,"Perlu Sensus",IF(AND(Y309&gt;0,,O309&gt;0),"Tetap Deteksi","Belum Deteksi"))</f>
        <v>Belum Deteksi</v>
      </c>
    </row>
    <row r="310" spans="1:26" x14ac:dyDescent="0.15">
      <c r="A310" s="8"/>
      <c r="B310" s="8"/>
      <c r="C310" s="8"/>
      <c r="D310" s="8"/>
      <c r="E310" s="9"/>
      <c r="F310" s="8"/>
      <c r="G310" s="10"/>
      <c r="H310" s="10"/>
      <c r="I310" s="10"/>
      <c r="J310" s="10"/>
      <c r="K310" s="10"/>
      <c r="L310" s="10"/>
      <c r="M310" s="10"/>
      <c r="N310" s="11"/>
      <c r="O310" s="8"/>
      <c r="P310" s="9">
        <f t="array" ref="P310">IFERROR(O310/G310*100,0)</f>
        <v>0</v>
      </c>
      <c r="Q310" s="8"/>
      <c r="R310" s="9">
        <f t="shared" si="44"/>
        <v>0</v>
      </c>
      <c r="S310" s="8" t="str">
        <f t="array" ref="S310">IF(R310&gt;5,"Perlu Sensus",IF(AND(R310&gt;=0,O310&gt;0),"Tetap Deteksi","Belum Deteksi"))</f>
        <v>Belum Deteksi</v>
      </c>
      <c r="T310" s="8"/>
      <c r="U310" s="8"/>
      <c r="V310" s="11"/>
      <c r="W310" s="8"/>
      <c r="X310" s="8"/>
      <c r="Y310" s="9">
        <f t="shared" si="37"/>
        <v>0</v>
      </c>
      <c r="Z310" s="8" t="str">
        <f t="array" ref="Z310">IF(Y310&gt;5,"Perlu Sensus",IF(AND(Y310&gt;0,,O310&gt;0),"Tetap Deteksi","Belum Deteksi"))</f>
        <v>Belum Deteksi</v>
      </c>
    </row>
    <row r="311" spans="1:26" x14ac:dyDescent="0.15">
      <c r="A311" s="8"/>
      <c r="B311" s="8"/>
      <c r="C311" s="8"/>
      <c r="D311" s="8"/>
      <c r="E311" s="9"/>
      <c r="F311" s="8"/>
      <c r="G311" s="10"/>
      <c r="H311" s="10"/>
      <c r="I311" s="10"/>
      <c r="J311" s="10"/>
      <c r="K311" s="10"/>
      <c r="L311" s="10"/>
      <c r="M311" s="10"/>
      <c r="N311" s="11"/>
      <c r="O311" s="8"/>
      <c r="P311" s="9">
        <f t="array" ref="P311">IFERROR(O311/G311*100,0)</f>
        <v>0</v>
      </c>
      <c r="Q311" s="8"/>
      <c r="R311" s="9">
        <f t="shared" si="44"/>
        <v>0</v>
      </c>
      <c r="S311" s="8" t="str">
        <f t="array" ref="S311">IF(R311&gt;5,"Perlu Sensus",IF(AND(R311&gt;=0,O311&gt;0),"Tetap Deteksi","Belum Deteksi"))</f>
        <v>Belum Deteksi</v>
      </c>
      <c r="T311" s="8"/>
      <c r="U311" s="8"/>
      <c r="V311" s="11"/>
      <c r="W311" s="8"/>
      <c r="X311" s="8"/>
      <c r="Y311" s="9">
        <f t="shared" si="37"/>
        <v>0</v>
      </c>
      <c r="Z311" s="8" t="str">
        <f t="array" ref="Z311">IF(Y311&gt;5,"Perlu Sensus",IF(AND(Y311&gt;0,,O311&gt;0),"Tetap Deteksi","Belum Deteksi"))</f>
        <v>Belum Deteksi</v>
      </c>
    </row>
    <row r="312" spans="1:26" x14ac:dyDescent="0.15">
      <c r="A312" s="8"/>
      <c r="B312" s="8"/>
      <c r="C312" s="8"/>
      <c r="D312" s="8"/>
      <c r="E312" s="9"/>
      <c r="F312" s="8"/>
      <c r="G312" s="10"/>
      <c r="H312" s="10"/>
      <c r="I312" s="10"/>
      <c r="J312" s="10"/>
      <c r="K312" s="10"/>
      <c r="L312" s="10"/>
      <c r="M312" s="10"/>
      <c r="N312" s="11"/>
      <c r="O312" s="8"/>
      <c r="P312" s="9">
        <f t="array" ref="P312">IFERROR(O312/G312*100,0)</f>
        <v>0</v>
      </c>
      <c r="Q312" s="8"/>
      <c r="R312" s="9">
        <f t="shared" si="44"/>
        <v>0</v>
      </c>
      <c r="S312" s="8" t="str">
        <f t="array" ref="S312">IF(R312&gt;5,"Perlu Sensus",IF(AND(R312&gt;=0,O312&gt;0),"Tetap Deteksi","Belum Deteksi"))</f>
        <v>Belum Deteksi</v>
      </c>
      <c r="T312" s="8"/>
      <c r="U312" s="8"/>
      <c r="V312" s="11"/>
      <c r="W312" s="8"/>
      <c r="X312" s="8"/>
      <c r="Y312" s="9">
        <f t="shared" si="37"/>
        <v>0</v>
      </c>
      <c r="Z312" s="8" t="str">
        <f t="array" ref="Z312">IF(Y312&gt;5,"Perlu Sensus",IF(AND(Y312&gt;0,,O312&gt;0),"Tetap Deteksi","Belum Deteksi"))</f>
        <v>Belum Deteksi</v>
      </c>
    </row>
    <row r="313" spans="1:26" x14ac:dyDescent="0.15">
      <c r="A313" s="8"/>
      <c r="B313" s="8"/>
      <c r="C313" s="8"/>
      <c r="D313" s="8"/>
      <c r="E313" s="9"/>
      <c r="F313" s="8"/>
      <c r="G313" s="10"/>
      <c r="H313" s="10"/>
      <c r="I313" s="10"/>
      <c r="J313" s="10"/>
      <c r="K313" s="10"/>
      <c r="L313" s="10"/>
      <c r="M313" s="10"/>
      <c r="N313" s="132"/>
      <c r="O313" s="8"/>
      <c r="P313" s="9">
        <f t="array" ref="P313">IFERROR(O313/G313*100,0)</f>
        <v>0</v>
      </c>
      <c r="Q313" s="8"/>
      <c r="R313" s="9">
        <f t="shared" si="44"/>
        <v>0</v>
      </c>
      <c r="S313" s="8" t="str">
        <f t="array" ref="S313">IF(R313&gt;5,"Perlu Sensus",IF(AND(R313&gt;=0,O313&gt;0),"Tetap Deteksi","Belum Deteksi"))</f>
        <v>Belum Deteksi</v>
      </c>
      <c r="T313" s="8"/>
      <c r="U313" s="8"/>
      <c r="V313" s="11"/>
      <c r="W313" s="8"/>
      <c r="X313" s="8"/>
      <c r="Y313" s="9">
        <f t="shared" si="37"/>
        <v>0</v>
      </c>
      <c r="Z313" s="8" t="str">
        <f t="array" ref="Z313">IF(Y313&gt;5,"Perlu Sensus",IF(AND(Y313&gt;0,,O313&gt;0),"Tetap Deteksi","Belum Deteksi"))</f>
        <v>Belum Deteksi</v>
      </c>
    </row>
    <row r="314" spans="1:26" x14ac:dyDescent="0.15">
      <c r="A314" s="8"/>
      <c r="B314" s="8"/>
      <c r="C314" s="8"/>
      <c r="D314" s="8"/>
      <c r="E314" s="9"/>
      <c r="F314" s="8"/>
      <c r="G314" s="10"/>
      <c r="H314" s="10"/>
      <c r="I314" s="10"/>
      <c r="J314" s="10"/>
      <c r="K314" s="10"/>
      <c r="L314" s="10"/>
      <c r="M314" s="10"/>
      <c r="N314" s="132"/>
      <c r="O314" s="8"/>
      <c r="P314" s="9">
        <f t="array" ref="P314">IFERROR(O314/G314*100,0)</f>
        <v>0</v>
      </c>
      <c r="Q314" s="8"/>
      <c r="R314" s="9">
        <f t="shared" si="44"/>
        <v>0</v>
      </c>
      <c r="S314" s="8" t="str">
        <f t="array" ref="S314">IF(R314&gt;5,"Perlu Sensus",IF(AND(R314&gt;=0,O314&gt;0),"Tetap Deteksi","Belum Deteksi"))</f>
        <v>Belum Deteksi</v>
      </c>
      <c r="T314" s="8"/>
      <c r="U314" s="8"/>
      <c r="V314" s="11"/>
      <c r="W314" s="8"/>
      <c r="X314" s="8"/>
      <c r="Y314" s="9">
        <f t="shared" si="37"/>
        <v>0</v>
      </c>
      <c r="Z314" s="8" t="str">
        <f t="array" ref="Z314">IF(Y314&gt;5,"Perlu Sensus",IF(AND(Y314&gt;0,,O314&gt;0),"Tetap Deteksi","Belum Deteksi"))</f>
        <v>Belum Deteksi</v>
      </c>
    </row>
    <row r="315" spans="1:26" x14ac:dyDescent="0.15">
      <c r="A315" s="8"/>
      <c r="B315" s="8"/>
      <c r="C315" s="8"/>
      <c r="D315" s="8"/>
      <c r="E315" s="9"/>
      <c r="F315" s="8"/>
      <c r="G315" s="10"/>
      <c r="H315" s="10"/>
      <c r="I315" s="10"/>
      <c r="J315" s="10"/>
      <c r="K315" s="10"/>
      <c r="L315" s="10"/>
      <c r="M315" s="10"/>
      <c r="N315" s="132"/>
      <c r="O315" s="8"/>
      <c r="P315" s="9">
        <f t="array" ref="P315">IFERROR(O315/G315*100,0)</f>
        <v>0</v>
      </c>
      <c r="Q315" s="8"/>
      <c r="R315" s="9">
        <f t="shared" si="44"/>
        <v>0</v>
      </c>
      <c r="S315" s="8" t="str">
        <f t="array" ref="S315">IF(R315&gt;5,"Perlu Sensus",IF(AND(R315&gt;=0,O315&gt;0),"Tetap Deteksi","Belum Deteksi"))</f>
        <v>Belum Deteksi</v>
      </c>
      <c r="T315" s="8"/>
      <c r="U315" s="8"/>
      <c r="V315" s="11"/>
      <c r="W315" s="8"/>
      <c r="X315" s="8"/>
      <c r="Y315" s="9">
        <f t="shared" si="37"/>
        <v>0</v>
      </c>
      <c r="Z315" s="8" t="str">
        <f t="array" ref="Z315">IF(Y315&gt;5,"Perlu Sensus",IF(AND(Y315&gt;0,,O315&gt;0),"Tetap Deteksi","Belum Deteksi"))</f>
        <v>Belum Deteksi</v>
      </c>
    </row>
    <row r="316" spans="1:26" x14ac:dyDescent="0.15">
      <c r="A316" s="8"/>
      <c r="B316" s="8"/>
      <c r="C316" s="8"/>
      <c r="D316" s="8"/>
      <c r="E316" s="9"/>
      <c r="F316" s="8"/>
      <c r="G316" s="10"/>
      <c r="H316" s="10"/>
      <c r="I316" s="10"/>
      <c r="J316" s="10"/>
      <c r="K316" s="10"/>
      <c r="L316" s="10"/>
      <c r="M316" s="10"/>
      <c r="N316" s="11"/>
      <c r="O316" s="8"/>
      <c r="P316" s="9">
        <f t="array" ref="P316">IFERROR(O316/G316*100,0)</f>
        <v>0</v>
      </c>
      <c r="Q316" s="8"/>
      <c r="R316" s="9">
        <f t="shared" si="44"/>
        <v>0</v>
      </c>
      <c r="S316" s="8" t="str">
        <f t="array" ref="S316">IF(R316&gt;5,"Perlu Sensus",IF(AND(R316&gt;=0,O316&gt;0),"Tetap Deteksi","Belum Deteksi"))</f>
        <v>Belum Deteksi</v>
      </c>
      <c r="T316" s="8"/>
      <c r="U316" s="8"/>
      <c r="V316" s="11"/>
      <c r="W316" s="8"/>
      <c r="X316" s="8"/>
      <c r="Y316" s="9">
        <f t="shared" si="37"/>
        <v>0</v>
      </c>
      <c r="Z316" s="8" t="str">
        <f t="array" ref="Z316">IF(Y316&gt;5,"Perlu Sensus",IF(AND(Y316&gt;0,,O316&gt;0),"Tetap Deteksi","Belum Deteksi"))</f>
        <v>Belum Deteksi</v>
      </c>
    </row>
    <row r="317" spans="1:26" x14ac:dyDescent="0.15">
      <c r="A317" s="8"/>
      <c r="B317" s="8"/>
      <c r="C317" s="8"/>
      <c r="D317" s="8"/>
      <c r="E317" s="9"/>
      <c r="F317" s="8"/>
      <c r="G317" s="10"/>
      <c r="H317" s="10"/>
      <c r="I317" s="10"/>
      <c r="J317" s="10"/>
      <c r="K317" s="10"/>
      <c r="L317" s="10"/>
      <c r="M317" s="10"/>
      <c r="N317" s="11"/>
      <c r="O317" s="8"/>
      <c r="P317" s="9">
        <f t="array" ref="P317">IFERROR(O317/G317*100,0)</f>
        <v>0</v>
      </c>
      <c r="Q317" s="8"/>
      <c r="R317" s="9">
        <f t="shared" si="44"/>
        <v>0</v>
      </c>
      <c r="S317" s="8" t="str">
        <f t="array" ref="S317">IF(R317&gt;5,"Perlu Sensus",IF(AND(R317&gt;=0,O317&gt;0),"Tetap Deteksi","Belum Deteksi"))</f>
        <v>Belum Deteksi</v>
      </c>
      <c r="T317" s="8"/>
      <c r="U317" s="8"/>
      <c r="V317" s="11"/>
      <c r="W317" s="8"/>
      <c r="X317" s="8"/>
      <c r="Y317" s="9">
        <f t="shared" si="37"/>
        <v>0</v>
      </c>
      <c r="Z317" s="8" t="str">
        <f t="array" ref="Z317">IF(Y317&gt;5,"Perlu Sensus",IF(AND(Y317&gt;0,,O317&gt;0),"Tetap Deteksi","Belum Deteksi"))</f>
        <v>Belum Deteksi</v>
      </c>
    </row>
    <row r="318" spans="1:26" x14ac:dyDescent="0.15">
      <c r="A318" s="8"/>
      <c r="B318" s="8"/>
      <c r="C318" s="8"/>
      <c r="D318" s="8"/>
      <c r="E318" s="9"/>
      <c r="F318" s="8"/>
      <c r="G318" s="10"/>
      <c r="H318" s="10"/>
      <c r="I318" s="10"/>
      <c r="J318" s="10"/>
      <c r="K318" s="10"/>
      <c r="L318" s="10"/>
      <c r="M318" s="10"/>
      <c r="N318" s="11"/>
      <c r="O318" s="8"/>
      <c r="P318" s="9">
        <f t="array" ref="P318">IFERROR(O318/G318*100,0)</f>
        <v>0</v>
      </c>
      <c r="Q318" s="8"/>
      <c r="R318" s="9">
        <f t="shared" si="44"/>
        <v>0</v>
      </c>
      <c r="S318" s="8" t="str">
        <f t="array" ref="S318">IF(R318&gt;5,"Perlu Sensus",IF(AND(R318&gt;=0,O318&gt;0),"Tetap Deteksi","Belum Deteksi"))</f>
        <v>Belum Deteksi</v>
      </c>
      <c r="T318" s="8"/>
      <c r="U318" s="8"/>
      <c r="V318" s="11"/>
      <c r="W318" s="8"/>
      <c r="X318" s="8"/>
      <c r="Y318" s="9">
        <f t="shared" si="37"/>
        <v>0</v>
      </c>
      <c r="Z318" s="8" t="str">
        <f t="array" ref="Z318">IF(Y318&gt;5,"Perlu Sensus",IF(AND(Y318&gt;0,,O318&gt;0),"Tetap Deteksi","Belum Deteksi"))</f>
        <v>Belum Deteksi</v>
      </c>
    </row>
    <row r="319" spans="1:26" x14ac:dyDescent="0.15">
      <c r="A319" s="8"/>
      <c r="B319" s="8"/>
      <c r="C319" s="8"/>
      <c r="D319" s="8"/>
      <c r="E319" s="9"/>
      <c r="F319" s="8"/>
      <c r="G319" s="10"/>
      <c r="H319" s="10"/>
      <c r="I319" s="10"/>
      <c r="J319" s="10"/>
      <c r="K319" s="10"/>
      <c r="L319" s="10"/>
      <c r="M319" s="10"/>
      <c r="N319" s="11"/>
      <c r="O319" s="8"/>
      <c r="P319" s="9">
        <f t="array" ref="P319">IFERROR(O319/G319*100,0)</f>
        <v>0</v>
      </c>
      <c r="Q319" s="8"/>
      <c r="R319" s="9">
        <f t="shared" si="44"/>
        <v>0</v>
      </c>
      <c r="S319" s="8" t="str">
        <f t="array" ref="S319">IF(R319&gt;5,"Perlu Sensus",IF(AND(R319&gt;=0,O319&gt;0),"Tetap Deteksi","Belum Deteksi"))</f>
        <v>Belum Deteksi</v>
      </c>
      <c r="T319" s="8"/>
      <c r="U319" s="8"/>
      <c r="V319" s="11"/>
      <c r="W319" s="8"/>
      <c r="X319" s="8"/>
      <c r="Y319" s="9">
        <f t="shared" si="37"/>
        <v>0</v>
      </c>
      <c r="Z319" s="8" t="str">
        <f t="array" ref="Z319">IF(Y319&gt;5,"Perlu Sensus",IF(AND(Y319&gt;0,,O319&gt;0),"Tetap Deteksi","Belum Deteksi"))</f>
        <v>Belum Deteksi</v>
      </c>
    </row>
    <row r="320" spans="1:26" x14ac:dyDescent="0.15">
      <c r="A320" s="8"/>
      <c r="B320" s="8"/>
      <c r="C320" s="8"/>
      <c r="D320" s="8"/>
      <c r="E320" s="9"/>
      <c r="F320" s="8"/>
      <c r="G320" s="10"/>
      <c r="H320" s="10"/>
      <c r="I320" s="10"/>
      <c r="J320" s="10"/>
      <c r="K320" s="10"/>
      <c r="L320" s="10"/>
      <c r="M320" s="10"/>
      <c r="N320" s="11"/>
      <c r="O320" s="8"/>
      <c r="P320" s="9">
        <f t="array" ref="P320">IFERROR(O320/G320*100,0)</f>
        <v>0</v>
      </c>
      <c r="Q320" s="8"/>
      <c r="R320" s="9">
        <f t="shared" si="44"/>
        <v>0</v>
      </c>
      <c r="S320" s="8" t="str">
        <f t="array" ref="S320">IF(R320&gt;5,"Perlu Sensus",IF(AND(R320&gt;=0,O320&gt;0),"Tetap Deteksi","Belum Deteksi"))</f>
        <v>Belum Deteksi</v>
      </c>
      <c r="T320" s="8"/>
      <c r="U320" s="8"/>
      <c r="V320" s="132"/>
      <c r="W320" s="8"/>
      <c r="X320" s="8"/>
      <c r="Y320" s="9">
        <f t="shared" si="37"/>
        <v>0</v>
      </c>
      <c r="Z320" s="8" t="str">
        <f t="array" ref="Z320">IF(Y320&gt;5,"Perlu Sensus",IF(AND(Y320&gt;0,,O320&gt;0),"Tetap Deteksi","Belum Deteksi"))</f>
        <v>Belum Deteksi</v>
      </c>
    </row>
    <row r="321" spans="1:26" x14ac:dyDescent="0.15">
      <c r="A321" s="8"/>
      <c r="B321" s="8"/>
      <c r="C321" s="8"/>
      <c r="D321" s="8"/>
      <c r="E321" s="9"/>
      <c r="F321" s="8"/>
      <c r="G321" s="10"/>
      <c r="H321" s="10"/>
      <c r="I321" s="10"/>
      <c r="J321" s="10"/>
      <c r="K321" s="10"/>
      <c r="L321" s="10"/>
      <c r="M321" s="10"/>
      <c r="N321" s="11"/>
      <c r="O321" s="8"/>
      <c r="P321" s="9">
        <f t="array" ref="P321">IFERROR(O321/G321*100,0)</f>
        <v>0</v>
      </c>
      <c r="Q321" s="8"/>
      <c r="R321" s="9">
        <f t="shared" si="44"/>
        <v>0</v>
      </c>
      <c r="S321" s="8" t="str">
        <f t="array" ref="S321">IF(R321&gt;5,"Perlu Sensus",IF(AND(R321&gt;=0,O321&gt;0),"Tetap Deteksi","Belum Deteksi"))</f>
        <v>Belum Deteksi</v>
      </c>
      <c r="T321" s="8"/>
      <c r="U321" s="8"/>
      <c r="V321" s="11"/>
      <c r="W321" s="8"/>
      <c r="X321" s="8"/>
      <c r="Y321" s="9">
        <f t="shared" si="37"/>
        <v>0</v>
      </c>
      <c r="Z321" s="8" t="str">
        <f t="array" ref="Z321">IF(Y321&gt;5,"Perlu Sensus",IF(AND(Y321&gt;0,,O321&gt;0),"Tetap Deteksi","Belum Deteksi"))</f>
        <v>Belum Deteksi</v>
      </c>
    </row>
    <row r="322" spans="1:26" x14ac:dyDescent="0.15">
      <c r="A322" s="8"/>
      <c r="B322" s="8"/>
      <c r="C322" s="8"/>
      <c r="D322" s="8"/>
      <c r="E322" s="9"/>
      <c r="F322" s="8"/>
      <c r="G322" s="10"/>
      <c r="H322" s="10"/>
      <c r="I322" s="10"/>
      <c r="J322" s="10"/>
      <c r="K322" s="10"/>
      <c r="L322" s="10"/>
      <c r="M322" s="10"/>
      <c r="N322" s="11"/>
      <c r="O322" s="8"/>
      <c r="P322" s="9">
        <f t="array" ref="P322">IFERROR(O322/G322*100,0)</f>
        <v>0</v>
      </c>
      <c r="Q322" s="8"/>
      <c r="R322" s="9">
        <f t="shared" si="44"/>
        <v>0</v>
      </c>
      <c r="S322" s="8" t="str">
        <f t="array" ref="S322">IF(R322&gt;5,"Perlu Sensus",IF(AND(R322&gt;=0,O322&gt;0),"Tetap Deteksi","Belum Deteksi"))</f>
        <v>Belum Deteksi</v>
      </c>
      <c r="T322" s="8"/>
      <c r="U322" s="8"/>
      <c r="V322" s="11"/>
      <c r="W322" s="8"/>
      <c r="X322" s="8"/>
      <c r="Y322" s="9">
        <f t="shared" si="37"/>
        <v>0</v>
      </c>
      <c r="Z322" s="8" t="str">
        <f t="array" ref="Z322">IF(Y322&gt;5,"Perlu Sensus",IF(AND(Y322&gt;0,,O322&gt;0),"Tetap Deteksi","Belum Deteksi"))</f>
        <v>Belum Deteksi</v>
      </c>
    </row>
    <row r="323" spans="1:26" x14ac:dyDescent="0.15">
      <c r="A323" s="8"/>
      <c r="B323" s="8"/>
      <c r="C323" s="8"/>
      <c r="D323" s="8"/>
      <c r="E323" s="9"/>
      <c r="F323" s="8"/>
      <c r="G323" s="10"/>
      <c r="H323" s="10"/>
      <c r="I323" s="10"/>
      <c r="J323" s="10"/>
      <c r="K323" s="10"/>
      <c r="L323" s="10"/>
      <c r="M323" s="10"/>
      <c r="N323" s="11"/>
      <c r="O323" s="8"/>
      <c r="P323" s="9">
        <f t="array" ref="P323">IFERROR(O323/G323*100,0)</f>
        <v>0</v>
      </c>
      <c r="Q323" s="8"/>
      <c r="R323" s="9">
        <f t="shared" si="44"/>
        <v>0</v>
      </c>
      <c r="S323" s="8" t="str">
        <f t="array" ref="S323">IF(R323&gt;5,"Perlu Sensus",IF(AND(R323&gt;=0,O323&gt;0),"Tetap Deteksi","Belum Deteksi"))</f>
        <v>Belum Deteksi</v>
      </c>
      <c r="T323" s="8"/>
      <c r="U323" s="8"/>
      <c r="V323" s="11"/>
      <c r="W323" s="8"/>
      <c r="X323" s="8"/>
      <c r="Y323" s="9">
        <f t="shared" si="37"/>
        <v>0</v>
      </c>
      <c r="Z323" s="8" t="str">
        <f t="array" ref="Z323">IF(Y323&gt;5,"Perlu Sensus",IF(AND(Y323&gt;0,,O323&gt;0),"Tetap Deteksi","Belum Deteksi"))</f>
        <v>Belum Deteksi</v>
      </c>
    </row>
    <row r="324" spans="1:26" x14ac:dyDescent="0.15">
      <c r="A324" s="8"/>
      <c r="B324" s="8"/>
      <c r="C324" s="8"/>
      <c r="D324" s="8"/>
      <c r="E324" s="9"/>
      <c r="F324" s="8"/>
      <c r="G324" s="10"/>
      <c r="H324" s="10"/>
      <c r="I324" s="10"/>
      <c r="J324" s="10"/>
      <c r="K324" s="10"/>
      <c r="L324" s="10"/>
      <c r="M324" s="10"/>
      <c r="N324" s="11"/>
      <c r="O324" s="8"/>
      <c r="P324" s="9">
        <f t="array" ref="P324">IFERROR(O324/G324*100,0)</f>
        <v>0</v>
      </c>
      <c r="Q324" s="8"/>
      <c r="R324" s="9">
        <f t="shared" si="44"/>
        <v>0</v>
      </c>
      <c r="S324" s="8" t="str">
        <f t="array" ref="S324">IF(R324&gt;5,"Perlu Sensus",IF(AND(R324&gt;=0,O324&gt;0),"Tetap Deteksi","Belum Deteksi"))</f>
        <v>Belum Deteksi</v>
      </c>
      <c r="T324" s="8"/>
      <c r="U324" s="8"/>
      <c r="V324" s="11"/>
      <c r="W324" s="8"/>
      <c r="X324" s="8"/>
      <c r="Y324" s="9">
        <f t="shared" si="37"/>
        <v>0</v>
      </c>
      <c r="Z324" s="8" t="str">
        <f t="array" ref="Z324">IF(Y324&gt;5,"Perlu Sensus",IF(AND(Y324&gt;0,,O324&gt;0),"Tetap Deteksi","Belum Deteksi"))</f>
        <v>Belum Deteksi</v>
      </c>
    </row>
    <row r="325" spans="1:26" x14ac:dyDescent="0.15">
      <c r="A325" s="8"/>
      <c r="B325" s="8"/>
      <c r="C325" s="8"/>
      <c r="D325" s="8"/>
      <c r="E325" s="9"/>
      <c r="F325" s="8"/>
      <c r="G325" s="10"/>
      <c r="H325" s="10"/>
      <c r="I325" s="10"/>
      <c r="J325" s="10"/>
      <c r="K325" s="10"/>
      <c r="L325" s="10"/>
      <c r="M325" s="10"/>
      <c r="N325" s="11"/>
      <c r="O325" s="8"/>
      <c r="P325" s="9">
        <f t="array" ref="P325">IFERROR(O325/G325*100,0)</f>
        <v>0</v>
      </c>
      <c r="Q325" s="8"/>
      <c r="R325" s="9">
        <f t="shared" si="44"/>
        <v>0</v>
      </c>
      <c r="S325" s="8" t="str">
        <f t="array" ref="S325">IF(R325&gt;5,"Perlu Sensus",IF(AND(R325&gt;=0,O325&gt;0),"Tetap Deteksi","Belum Deteksi"))</f>
        <v>Belum Deteksi</v>
      </c>
      <c r="T325" s="8"/>
      <c r="U325" s="8"/>
      <c r="V325" s="132"/>
      <c r="W325" s="8"/>
      <c r="X325" s="8"/>
      <c r="Y325" s="9">
        <f t="shared" si="37"/>
        <v>0</v>
      </c>
      <c r="Z325" s="8" t="str">
        <f t="array" ref="Z325">IF(Y325&gt;5,"Perlu Sensus",IF(AND(Y325&gt;0,,O325&gt;0),"Tetap Deteksi","Belum Deteksi"))</f>
        <v>Belum Deteksi</v>
      </c>
    </row>
    <row r="326" spans="1:26" x14ac:dyDescent="0.15">
      <c r="A326" s="8"/>
      <c r="B326" s="8"/>
      <c r="C326" s="8"/>
      <c r="D326" s="8"/>
      <c r="E326" s="9"/>
      <c r="F326" s="8"/>
      <c r="G326" s="10"/>
      <c r="H326" s="10"/>
      <c r="I326" s="10"/>
      <c r="J326" s="10"/>
      <c r="K326" s="10"/>
      <c r="L326" s="10"/>
      <c r="M326" s="10"/>
      <c r="N326" s="11"/>
      <c r="O326" s="8"/>
      <c r="P326" s="9">
        <f t="array" ref="P326">IFERROR(O326/G326*100,0)</f>
        <v>0</v>
      </c>
      <c r="Q326" s="8"/>
      <c r="R326" s="9">
        <f t="shared" si="44"/>
        <v>0</v>
      </c>
      <c r="S326" s="8" t="str">
        <f t="array" ref="S326">IF(R326&gt;5,"Perlu Sensus",IF(AND(R326&gt;=0,O326&gt;0),"Tetap Deteksi","Belum Deteksi"))</f>
        <v>Belum Deteksi</v>
      </c>
      <c r="T326" s="8"/>
      <c r="U326" s="8"/>
      <c r="V326" s="132"/>
      <c r="W326" s="8"/>
      <c r="X326" s="8"/>
      <c r="Y326" s="9">
        <f t="shared" ref="Y326:Y389" si="45">IFERROR(X326/W326*100,0)</f>
        <v>0</v>
      </c>
      <c r="Z326" s="8" t="str">
        <f t="array" ref="Z326">IF(Y326&gt;5,"Perlu Sensus",IF(AND(Y326&gt;0,,O326&gt;0),"Tetap Deteksi","Belum Deteksi"))</f>
        <v>Belum Deteksi</v>
      </c>
    </row>
    <row r="327" spans="1:26" x14ac:dyDescent="0.15">
      <c r="A327" s="8"/>
      <c r="B327" s="8"/>
      <c r="C327" s="8"/>
      <c r="D327" s="8"/>
      <c r="E327" s="9"/>
      <c r="F327" s="8"/>
      <c r="G327" s="10"/>
      <c r="H327" s="10"/>
      <c r="I327" s="10"/>
      <c r="J327" s="10"/>
      <c r="K327" s="10"/>
      <c r="L327" s="10"/>
      <c r="M327" s="10"/>
      <c r="N327" s="11"/>
      <c r="O327" s="8"/>
      <c r="P327" s="9">
        <f t="array" ref="P327">IFERROR(O327/G327*100,0)</f>
        <v>0</v>
      </c>
      <c r="Q327" s="8"/>
      <c r="R327" s="9">
        <f t="shared" si="44"/>
        <v>0</v>
      </c>
      <c r="S327" s="8" t="str">
        <f t="array" ref="S327">IF(R327&gt;5,"Perlu Sensus",IF(AND(R327&gt;=0,O327&gt;0),"Tetap Deteksi","Belum Deteksi"))</f>
        <v>Belum Deteksi</v>
      </c>
      <c r="T327" s="8"/>
      <c r="U327" s="8"/>
      <c r="V327" s="132"/>
      <c r="W327" s="8"/>
      <c r="X327" s="8"/>
      <c r="Y327" s="9">
        <f t="shared" si="45"/>
        <v>0</v>
      </c>
      <c r="Z327" s="8" t="str">
        <f t="array" ref="Z327">IF(Y327&gt;5,"Perlu Sensus",IF(AND(Y327&gt;0,,O327&gt;0),"Tetap Deteksi","Belum Deteksi"))</f>
        <v>Belum Deteksi</v>
      </c>
    </row>
    <row r="328" spans="1:26" x14ac:dyDescent="0.15">
      <c r="A328" s="8"/>
      <c r="B328" s="8"/>
      <c r="C328" s="8"/>
      <c r="D328" s="8"/>
      <c r="E328" s="9"/>
      <c r="F328" s="8"/>
      <c r="G328" s="10"/>
      <c r="H328" s="10"/>
      <c r="I328" s="10"/>
      <c r="J328" s="10"/>
      <c r="K328" s="10"/>
      <c r="L328" s="10"/>
      <c r="M328" s="10"/>
      <c r="N328" s="132"/>
      <c r="O328" s="8"/>
      <c r="P328" s="9">
        <f t="array" ref="P328">IFERROR(O328/G328*100,0)</f>
        <v>0</v>
      </c>
      <c r="Q328" s="8"/>
      <c r="R328" s="9">
        <f t="shared" si="44"/>
        <v>0</v>
      </c>
      <c r="S328" s="8" t="str">
        <f t="array" ref="S328">IF(R328&gt;5,"Perlu Sensus",IF(AND(R328&gt;=0,O328&gt;0),"Tetap Deteksi","Belum Deteksi"))</f>
        <v>Belum Deteksi</v>
      </c>
      <c r="T328" s="8"/>
      <c r="U328" s="8"/>
      <c r="V328" s="132"/>
      <c r="W328" s="8"/>
      <c r="X328" s="8"/>
      <c r="Y328" s="9">
        <f t="shared" si="45"/>
        <v>0</v>
      </c>
      <c r="Z328" s="8" t="str">
        <f t="array" ref="Z328">IF(Y328&gt;5,"Perlu Sensus",IF(AND(Y328&gt;0,,O328&gt;0),"Tetap Deteksi","Belum Deteksi"))</f>
        <v>Belum Deteksi</v>
      </c>
    </row>
    <row r="329" spans="1:26" x14ac:dyDescent="0.15">
      <c r="A329" s="8"/>
      <c r="B329" s="8"/>
      <c r="C329" s="8"/>
      <c r="D329" s="8"/>
      <c r="E329" s="9"/>
      <c r="F329" s="8"/>
      <c r="G329" s="10"/>
      <c r="H329" s="10"/>
      <c r="I329" s="10"/>
      <c r="J329" s="10"/>
      <c r="K329" s="10"/>
      <c r="L329" s="10"/>
      <c r="M329" s="10"/>
      <c r="N329" s="132"/>
      <c r="O329" s="8"/>
      <c r="P329" s="9">
        <f t="array" ref="P329">IFERROR(O329/G329*100,0)</f>
        <v>0</v>
      </c>
      <c r="Q329" s="8"/>
      <c r="R329" s="9">
        <f t="shared" si="44"/>
        <v>0</v>
      </c>
      <c r="S329" s="8" t="str">
        <f t="array" ref="S329">IF(R329&gt;5,"Perlu Sensus",IF(AND(R329&gt;=0,O329&gt;0),"Tetap Deteksi","Belum Deteksi"))</f>
        <v>Belum Deteksi</v>
      </c>
      <c r="T329" s="8"/>
      <c r="U329" s="8"/>
      <c r="V329" s="132"/>
      <c r="W329" s="8"/>
      <c r="X329" s="8"/>
      <c r="Y329" s="9">
        <f t="shared" si="45"/>
        <v>0</v>
      </c>
      <c r="Z329" s="8" t="str">
        <f t="array" ref="Z329">IF(Y329&gt;5,"Perlu Sensus",IF(AND(Y329&gt;0,,O329&gt;0),"Tetap Deteksi","Belum Deteksi"))</f>
        <v>Belum Deteksi</v>
      </c>
    </row>
    <row r="330" spans="1:26" x14ac:dyDescent="0.15">
      <c r="A330" s="8"/>
      <c r="B330" s="8"/>
      <c r="C330" s="8"/>
      <c r="D330" s="8"/>
      <c r="E330" s="9"/>
      <c r="F330" s="8"/>
      <c r="G330" s="10"/>
      <c r="H330" s="10"/>
      <c r="I330" s="10"/>
      <c r="J330" s="10"/>
      <c r="K330" s="10"/>
      <c r="L330" s="10"/>
      <c r="M330" s="10"/>
      <c r="N330" s="11"/>
      <c r="O330" s="8"/>
      <c r="P330" s="9">
        <f t="array" ref="P330">IFERROR(O330/G330*100,0)</f>
        <v>0</v>
      </c>
      <c r="Q330" s="8"/>
      <c r="R330" s="9">
        <f t="shared" si="44"/>
        <v>0</v>
      </c>
      <c r="S330" s="8" t="str">
        <f t="array" ref="S330">IF(R330&gt;5,"Perlu Sensus",IF(AND(R330&gt;=0,O330&gt;0),"Tetap Deteksi","Belum Deteksi"))</f>
        <v>Belum Deteksi</v>
      </c>
      <c r="T330" s="8"/>
      <c r="U330" s="8"/>
      <c r="V330" s="11"/>
      <c r="W330" s="8"/>
      <c r="X330" s="8"/>
      <c r="Y330" s="9">
        <f t="shared" si="45"/>
        <v>0</v>
      </c>
      <c r="Z330" s="8" t="str">
        <f t="array" ref="Z330">IF(Y330&gt;5,"Perlu Sensus",IF(AND(Y330&gt;0,,O330&gt;0),"Tetap Deteksi","Belum Deteksi"))</f>
        <v>Belum Deteksi</v>
      </c>
    </row>
    <row r="331" spans="1:26" x14ac:dyDescent="0.15">
      <c r="A331" s="8"/>
      <c r="B331" s="8"/>
      <c r="C331" s="8"/>
      <c r="D331" s="8"/>
      <c r="E331" s="9"/>
      <c r="F331" s="8"/>
      <c r="G331" s="10"/>
      <c r="H331" s="10"/>
      <c r="I331" s="10"/>
      <c r="J331" s="10"/>
      <c r="K331" s="10"/>
      <c r="L331" s="10"/>
      <c r="M331" s="10"/>
      <c r="N331" s="11"/>
      <c r="O331" s="8"/>
      <c r="P331" s="9">
        <f t="array" ref="P331">IFERROR(O331/G331*100,0)</f>
        <v>0</v>
      </c>
      <c r="Q331" s="8"/>
      <c r="R331" s="9">
        <f t="shared" si="44"/>
        <v>0</v>
      </c>
      <c r="S331" s="8" t="str">
        <f t="array" ref="S331">IF(R331&gt;5,"Perlu Sensus",IF(AND(R331&gt;=0,O331&gt;0),"Tetap Deteksi","Belum Deteksi"))</f>
        <v>Belum Deteksi</v>
      </c>
      <c r="T331" s="8"/>
      <c r="U331" s="8"/>
      <c r="V331" s="11"/>
      <c r="W331" s="8"/>
      <c r="X331" s="8"/>
      <c r="Y331" s="9">
        <f t="shared" si="45"/>
        <v>0</v>
      </c>
      <c r="Z331" s="8" t="str">
        <f t="array" ref="Z331">IF(Y331&gt;5,"Perlu Sensus",IF(AND(Y331&gt;0,,O331&gt;0),"Tetap Deteksi","Belum Deteksi"))</f>
        <v>Belum Deteksi</v>
      </c>
    </row>
    <row r="332" spans="1:26" x14ac:dyDescent="0.15">
      <c r="A332" s="8"/>
      <c r="B332" s="8"/>
      <c r="C332" s="8"/>
      <c r="D332" s="8"/>
      <c r="E332" s="9"/>
      <c r="F332" s="8"/>
      <c r="G332" s="10"/>
      <c r="H332" s="10"/>
      <c r="I332" s="10"/>
      <c r="J332" s="10"/>
      <c r="K332" s="10"/>
      <c r="L332" s="10"/>
      <c r="M332" s="10"/>
      <c r="N332" s="132"/>
      <c r="O332" s="8"/>
      <c r="P332" s="9">
        <f t="array" ref="P332">IFERROR(O332/G332*100,0)</f>
        <v>0</v>
      </c>
      <c r="Q332" s="8"/>
      <c r="R332" s="9">
        <f t="shared" si="44"/>
        <v>0</v>
      </c>
      <c r="S332" s="8" t="str">
        <f t="array" ref="S332">IF(R332&gt;5,"Perlu Sensus",IF(AND(R332&gt;=0,O332&gt;0),"Tetap Deteksi","Belum Deteksi"))</f>
        <v>Belum Deteksi</v>
      </c>
      <c r="T332" s="8"/>
      <c r="U332" s="8"/>
      <c r="V332" s="11"/>
      <c r="W332" s="8"/>
      <c r="X332" s="8"/>
      <c r="Y332" s="9">
        <f t="shared" si="45"/>
        <v>0</v>
      </c>
      <c r="Z332" s="8" t="str">
        <f t="array" ref="Z332">IF(Y332&gt;5,"Perlu Sensus",IF(AND(Y332&gt;0,,O332&gt;0),"Tetap Deteksi","Belum Deteksi"))</f>
        <v>Belum Deteksi</v>
      </c>
    </row>
    <row r="333" spans="1:26" x14ac:dyDescent="0.15">
      <c r="A333" s="8"/>
      <c r="B333" s="8"/>
      <c r="C333" s="8"/>
      <c r="D333" s="8"/>
      <c r="E333" s="9"/>
      <c r="F333" s="8"/>
      <c r="G333" s="10"/>
      <c r="H333" s="10"/>
      <c r="I333" s="10"/>
      <c r="J333" s="10"/>
      <c r="K333" s="10"/>
      <c r="L333" s="10"/>
      <c r="M333" s="10"/>
      <c r="N333" s="132"/>
      <c r="O333" s="8"/>
      <c r="P333" s="9">
        <f t="array" ref="P333">IFERROR(O333/G333*100,0)</f>
        <v>0</v>
      </c>
      <c r="Q333" s="8"/>
      <c r="R333" s="9">
        <f t="shared" si="44"/>
        <v>0</v>
      </c>
      <c r="S333" s="8" t="str">
        <f t="array" ref="S333">IF(R333&gt;5,"Perlu Sensus",IF(AND(R333&gt;=0,O333&gt;0),"Tetap Deteksi","Belum Deteksi"))</f>
        <v>Belum Deteksi</v>
      </c>
      <c r="T333" s="8"/>
      <c r="U333" s="8"/>
      <c r="V333" s="11"/>
      <c r="W333" s="8"/>
      <c r="X333" s="8"/>
      <c r="Y333" s="9">
        <f t="shared" si="45"/>
        <v>0</v>
      </c>
      <c r="Z333" s="8" t="str">
        <f t="array" ref="Z333">IF(Y333&gt;5,"Perlu Sensus",IF(AND(Y333&gt;0,,O333&gt;0),"Tetap Deteksi","Belum Deteksi"))</f>
        <v>Belum Deteksi</v>
      </c>
    </row>
    <row r="334" spans="1:26" x14ac:dyDescent="0.15">
      <c r="A334" s="8"/>
      <c r="B334" s="8"/>
      <c r="C334" s="8"/>
      <c r="D334" s="8"/>
      <c r="E334" s="9"/>
      <c r="F334" s="8"/>
      <c r="G334" s="10"/>
      <c r="H334" s="10"/>
      <c r="I334" s="10"/>
      <c r="J334" s="10"/>
      <c r="K334" s="10"/>
      <c r="L334" s="10"/>
      <c r="M334" s="10"/>
      <c r="N334" s="11"/>
      <c r="O334" s="8"/>
      <c r="P334" s="9">
        <f t="array" ref="P334">IFERROR(O334/G334*100,0)</f>
        <v>0</v>
      </c>
      <c r="Q334" s="8"/>
      <c r="R334" s="9">
        <f t="shared" si="44"/>
        <v>0</v>
      </c>
      <c r="S334" s="8" t="str">
        <f t="array" ref="S334">IF(R334&gt;5,"Perlu Sensus",IF(AND(R334&gt;=0,O334&gt;0),"Tetap Deteksi","Belum Deteksi"))</f>
        <v>Belum Deteksi</v>
      </c>
      <c r="T334" s="8"/>
      <c r="U334" s="8"/>
      <c r="V334" s="11"/>
      <c r="W334" s="8"/>
      <c r="X334" s="8"/>
      <c r="Y334" s="9">
        <f t="shared" si="45"/>
        <v>0</v>
      </c>
      <c r="Z334" s="8" t="str">
        <f t="array" ref="Z334">IF(Y334&gt;5,"Perlu Sensus",IF(AND(Y334&gt;0,,O334&gt;0),"Tetap Deteksi","Belum Deteksi"))</f>
        <v>Belum Deteksi</v>
      </c>
    </row>
    <row r="335" spans="1:26" x14ac:dyDescent="0.15">
      <c r="A335" s="8"/>
      <c r="B335" s="8"/>
      <c r="C335" s="8"/>
      <c r="D335" s="8"/>
      <c r="E335" s="9"/>
      <c r="F335" s="8"/>
      <c r="G335" s="10"/>
      <c r="H335" s="10"/>
      <c r="I335" s="10"/>
      <c r="J335" s="10"/>
      <c r="K335" s="10"/>
      <c r="L335" s="10"/>
      <c r="M335" s="10"/>
      <c r="N335" s="11"/>
      <c r="O335" s="8"/>
      <c r="P335" s="9">
        <f t="array" ref="P335">IFERROR(O335/G335*100,0)</f>
        <v>0</v>
      </c>
      <c r="Q335" s="8"/>
      <c r="R335" s="9">
        <f t="shared" si="44"/>
        <v>0</v>
      </c>
      <c r="S335" s="8" t="str">
        <f t="array" ref="S335">IF(R335&gt;5,"Perlu Sensus",IF(AND(R335&gt;=0,O335&gt;0),"Tetap Deteksi","Belum Deteksi"))</f>
        <v>Belum Deteksi</v>
      </c>
      <c r="T335" s="8"/>
      <c r="U335" s="8"/>
      <c r="V335" s="11"/>
      <c r="W335" s="8"/>
      <c r="X335" s="8"/>
      <c r="Y335" s="9">
        <f t="shared" si="45"/>
        <v>0</v>
      </c>
      <c r="Z335" s="8" t="str">
        <f t="array" ref="Z335">IF(Y335&gt;5,"Perlu Sensus",IF(AND(Y335&gt;0,,O335&gt;0),"Tetap Deteksi","Belum Deteksi"))</f>
        <v>Belum Deteksi</v>
      </c>
    </row>
    <row r="336" spans="1:26" x14ac:dyDescent="0.15">
      <c r="A336" s="8"/>
      <c r="B336" s="8"/>
      <c r="C336" s="8"/>
      <c r="D336" s="8"/>
      <c r="E336" s="9"/>
      <c r="F336" s="8"/>
      <c r="G336" s="10"/>
      <c r="H336" s="10"/>
      <c r="I336" s="10"/>
      <c r="J336" s="10"/>
      <c r="K336" s="10"/>
      <c r="L336" s="10"/>
      <c r="M336" s="10"/>
      <c r="N336" s="11"/>
      <c r="O336" s="8"/>
      <c r="P336" s="9">
        <f t="array" ref="P336">IFERROR(O336/G336*100,0)</f>
        <v>0</v>
      </c>
      <c r="Q336" s="8"/>
      <c r="R336" s="9">
        <f t="shared" si="44"/>
        <v>0</v>
      </c>
      <c r="S336" s="8" t="str">
        <f t="array" ref="S336">IF(R336&gt;5,"Perlu Sensus",IF(AND(R336&gt;=0,O336&gt;0),"Tetap Deteksi","Belum Deteksi"))</f>
        <v>Belum Deteksi</v>
      </c>
      <c r="T336" s="8"/>
      <c r="U336" s="8"/>
      <c r="V336" s="11"/>
      <c r="W336" s="8"/>
      <c r="X336" s="8"/>
      <c r="Y336" s="9">
        <f t="shared" si="45"/>
        <v>0</v>
      </c>
      <c r="Z336" s="8" t="str">
        <f t="array" ref="Z336">IF(Y336&gt;5,"Perlu Sensus",IF(AND(Y336&gt;0,,O336&gt;0),"Tetap Deteksi","Belum Deteksi"))</f>
        <v>Belum Deteksi</v>
      </c>
    </row>
    <row r="337" spans="1:26" x14ac:dyDescent="0.15">
      <c r="A337" s="8"/>
      <c r="B337" s="8"/>
      <c r="C337" s="8"/>
      <c r="D337" s="8"/>
      <c r="E337" s="9"/>
      <c r="F337" s="8"/>
      <c r="G337" s="10"/>
      <c r="H337" s="10"/>
      <c r="I337" s="10"/>
      <c r="J337" s="10"/>
      <c r="K337" s="10"/>
      <c r="L337" s="10"/>
      <c r="M337" s="10"/>
      <c r="N337" s="11"/>
      <c r="O337" s="8"/>
      <c r="P337" s="9">
        <f t="array" ref="P337">IFERROR(O337/G337*100,0)</f>
        <v>0</v>
      </c>
      <c r="Q337" s="8"/>
      <c r="R337" s="9">
        <f t="shared" si="44"/>
        <v>0</v>
      </c>
      <c r="S337" s="8" t="str">
        <f t="array" ref="S337">IF(R337&gt;5,"Perlu Sensus",IF(AND(R337&gt;=0,O337&gt;0),"Tetap Deteksi","Belum Deteksi"))</f>
        <v>Belum Deteksi</v>
      </c>
      <c r="T337" s="8"/>
      <c r="U337" s="8"/>
      <c r="V337" s="11"/>
      <c r="W337" s="8"/>
      <c r="X337" s="8"/>
      <c r="Y337" s="9">
        <f t="shared" si="45"/>
        <v>0</v>
      </c>
      <c r="Z337" s="8" t="str">
        <f t="array" ref="Z337">IF(Y337&gt;5,"Perlu Sensus",IF(AND(Y337&gt;0,,O337&gt;0),"Tetap Deteksi","Belum Deteksi"))</f>
        <v>Belum Deteksi</v>
      </c>
    </row>
    <row r="338" spans="1:26" x14ac:dyDescent="0.15">
      <c r="A338" s="8"/>
      <c r="B338" s="8"/>
      <c r="C338" s="8"/>
      <c r="D338" s="8"/>
      <c r="E338" s="9"/>
      <c r="F338" s="8"/>
      <c r="G338" s="10"/>
      <c r="H338" s="10"/>
      <c r="I338" s="10"/>
      <c r="J338" s="10"/>
      <c r="K338" s="10"/>
      <c r="L338" s="10"/>
      <c r="M338" s="10"/>
      <c r="N338" s="11"/>
      <c r="O338" s="8"/>
      <c r="P338" s="9">
        <f t="array" ref="P338">IFERROR(O338/G338*100,0)</f>
        <v>0</v>
      </c>
      <c r="Q338" s="8"/>
      <c r="R338" s="9">
        <f t="shared" si="44"/>
        <v>0</v>
      </c>
      <c r="S338" s="8" t="str">
        <f t="array" ref="S338">IF(R338&gt;5,"Perlu Sensus",IF(AND(R338&gt;=0,O338&gt;0),"Tetap Deteksi","Belum Deteksi"))</f>
        <v>Belum Deteksi</v>
      </c>
      <c r="T338" s="8"/>
      <c r="U338" s="8"/>
      <c r="V338" s="132"/>
      <c r="W338" s="8"/>
      <c r="X338" s="8"/>
      <c r="Y338" s="9">
        <f t="shared" si="45"/>
        <v>0</v>
      </c>
      <c r="Z338" s="8" t="str">
        <f t="array" ref="Z338">IF(Y338&gt;5,"Perlu Sensus",IF(AND(Y338&gt;0,,O338&gt;0),"Tetap Deteksi","Belum Deteksi"))</f>
        <v>Belum Deteksi</v>
      </c>
    </row>
    <row r="339" spans="1:26" x14ac:dyDescent="0.15">
      <c r="A339" s="8"/>
      <c r="B339" s="8"/>
      <c r="C339" s="8"/>
      <c r="D339" s="8"/>
      <c r="E339" s="9"/>
      <c r="F339" s="8"/>
      <c r="G339" s="10"/>
      <c r="H339" s="10"/>
      <c r="I339" s="10"/>
      <c r="J339" s="10"/>
      <c r="K339" s="10"/>
      <c r="L339" s="10"/>
      <c r="M339" s="10"/>
      <c r="N339" s="11"/>
      <c r="O339" s="8"/>
      <c r="P339" s="9">
        <f t="array" ref="P339">IFERROR(O339/G339*100,0)</f>
        <v>0</v>
      </c>
      <c r="Q339" s="8"/>
      <c r="R339" s="9">
        <f t="shared" si="44"/>
        <v>0</v>
      </c>
      <c r="S339" s="8" t="str">
        <f t="array" ref="S339">IF(R339&gt;5,"Perlu Sensus",IF(AND(R339&gt;=0,O339&gt;0),"Tetap Deteksi","Belum Deteksi"))</f>
        <v>Belum Deteksi</v>
      </c>
      <c r="T339" s="8"/>
      <c r="U339" s="8"/>
      <c r="V339" s="11"/>
      <c r="W339" s="8"/>
      <c r="X339" s="8"/>
      <c r="Y339" s="9">
        <f t="shared" si="45"/>
        <v>0</v>
      </c>
      <c r="Z339" s="8" t="str">
        <f t="array" ref="Z339">IF(Y339&gt;5,"Perlu Sensus",IF(AND(Y339&gt;0,,O339&gt;0),"Tetap Deteksi","Belum Deteksi"))</f>
        <v>Belum Deteksi</v>
      </c>
    </row>
    <row r="340" spans="1:26" x14ac:dyDescent="0.15">
      <c r="A340" s="8"/>
      <c r="B340" s="8"/>
      <c r="C340" s="8"/>
      <c r="D340" s="8"/>
      <c r="E340" s="9"/>
      <c r="F340" s="8"/>
      <c r="G340" s="10"/>
      <c r="H340" s="10"/>
      <c r="I340" s="10"/>
      <c r="J340" s="10"/>
      <c r="K340" s="10"/>
      <c r="L340" s="10"/>
      <c r="M340" s="10"/>
      <c r="N340" s="11"/>
      <c r="O340" s="8"/>
      <c r="P340" s="9">
        <f t="array" ref="P340">IFERROR(O340/G340*100,0)</f>
        <v>0</v>
      </c>
      <c r="Q340" s="8"/>
      <c r="R340" s="9">
        <f t="shared" ref="R340:R403" si="46">IFERROR(Q340/O340*100,0)</f>
        <v>0</v>
      </c>
      <c r="S340" s="8" t="str">
        <f t="array" ref="S340">IF(R340&gt;5,"Perlu Sensus",IF(AND(R340&gt;=0,O340&gt;0),"Tetap Deteksi","Belum Deteksi"))</f>
        <v>Belum Deteksi</v>
      </c>
      <c r="T340" s="8"/>
      <c r="U340" s="8"/>
      <c r="V340" s="11"/>
      <c r="W340" s="8"/>
      <c r="X340" s="8"/>
      <c r="Y340" s="9">
        <f t="shared" si="45"/>
        <v>0</v>
      </c>
      <c r="Z340" s="8" t="str">
        <f t="array" ref="Z340">IF(Y340&gt;5,"Perlu Sensus",IF(AND(Y340&gt;0,,O340&gt;0),"Tetap Deteksi","Belum Deteksi"))</f>
        <v>Belum Deteksi</v>
      </c>
    </row>
    <row r="341" spans="1:26" x14ac:dyDescent="0.15">
      <c r="A341" s="8"/>
      <c r="B341" s="8"/>
      <c r="C341" s="8"/>
      <c r="D341" s="8"/>
      <c r="E341" s="9"/>
      <c r="F341" s="8"/>
      <c r="G341" s="10"/>
      <c r="H341" s="10"/>
      <c r="I341" s="10"/>
      <c r="J341" s="10"/>
      <c r="K341" s="10"/>
      <c r="L341" s="10"/>
      <c r="M341" s="10"/>
      <c r="N341" s="11"/>
      <c r="O341" s="8"/>
      <c r="P341" s="9">
        <f t="array" ref="P341">IFERROR(O341/G341*100,0)</f>
        <v>0</v>
      </c>
      <c r="Q341" s="8"/>
      <c r="R341" s="9">
        <f t="shared" si="46"/>
        <v>0</v>
      </c>
      <c r="S341" s="8" t="str">
        <f t="array" ref="S341">IF(R341&gt;5,"Perlu Sensus",IF(AND(R341&gt;=0,O341&gt;0),"Tetap Deteksi","Belum Deteksi"))</f>
        <v>Belum Deteksi</v>
      </c>
      <c r="T341" s="8"/>
      <c r="U341" s="8"/>
      <c r="V341" s="11"/>
      <c r="W341" s="8"/>
      <c r="X341" s="8"/>
      <c r="Y341" s="9">
        <f t="shared" si="45"/>
        <v>0</v>
      </c>
      <c r="Z341" s="8" t="str">
        <f t="array" ref="Z341">IF(Y341&gt;5,"Perlu Sensus",IF(AND(Y341&gt;0,,O341&gt;0),"Tetap Deteksi","Belum Deteksi"))</f>
        <v>Belum Deteksi</v>
      </c>
    </row>
    <row r="342" spans="1:26" x14ac:dyDescent="0.15">
      <c r="A342" s="8"/>
      <c r="B342" s="8"/>
      <c r="C342" s="8"/>
      <c r="D342" s="8"/>
      <c r="E342" s="9"/>
      <c r="F342" s="8"/>
      <c r="G342" s="10"/>
      <c r="H342" s="10"/>
      <c r="I342" s="10"/>
      <c r="J342" s="10"/>
      <c r="K342" s="10"/>
      <c r="L342" s="10"/>
      <c r="M342" s="10"/>
      <c r="N342" s="11"/>
      <c r="O342" s="8"/>
      <c r="P342" s="9">
        <f t="array" ref="P342">IFERROR(O342/G342*100,0)</f>
        <v>0</v>
      </c>
      <c r="Q342" s="8"/>
      <c r="R342" s="9">
        <f t="shared" si="46"/>
        <v>0</v>
      </c>
      <c r="S342" s="8" t="str">
        <f t="array" ref="S342">IF(R342&gt;5,"Perlu Sensus",IF(AND(R342&gt;=0,O342&gt;0),"Tetap Deteksi","Belum Deteksi"))</f>
        <v>Belum Deteksi</v>
      </c>
      <c r="T342" s="8"/>
      <c r="U342" s="8"/>
      <c r="V342" s="11"/>
      <c r="W342" s="8"/>
      <c r="X342" s="8"/>
      <c r="Y342" s="9">
        <f t="shared" si="45"/>
        <v>0</v>
      </c>
      <c r="Z342" s="8" t="str">
        <f t="array" ref="Z342">IF(Y342&gt;5,"Perlu Sensus",IF(AND(Y342&gt;0,,O342&gt;0),"Tetap Deteksi","Belum Deteksi"))</f>
        <v>Belum Deteksi</v>
      </c>
    </row>
    <row r="343" spans="1:26" x14ac:dyDescent="0.15">
      <c r="A343" s="8"/>
      <c r="B343" s="8"/>
      <c r="C343" s="8"/>
      <c r="D343" s="8"/>
      <c r="E343" s="9"/>
      <c r="F343" s="8"/>
      <c r="G343" s="10"/>
      <c r="H343" s="10"/>
      <c r="I343" s="10"/>
      <c r="J343" s="10"/>
      <c r="K343" s="10"/>
      <c r="L343" s="10"/>
      <c r="M343" s="10"/>
      <c r="N343" s="11"/>
      <c r="O343" s="8"/>
      <c r="P343" s="9">
        <f t="array" ref="P343">IFERROR(O343/G343*100,0)</f>
        <v>0</v>
      </c>
      <c r="Q343" s="8"/>
      <c r="R343" s="9">
        <f t="shared" si="46"/>
        <v>0</v>
      </c>
      <c r="S343" s="8" t="str">
        <f t="array" ref="S343">IF(R343&gt;5,"Perlu Sensus",IF(AND(R343&gt;=0,O343&gt;0),"Tetap Deteksi","Belum Deteksi"))</f>
        <v>Belum Deteksi</v>
      </c>
      <c r="T343" s="8"/>
      <c r="U343" s="8"/>
      <c r="V343" s="11"/>
      <c r="W343" s="8"/>
      <c r="X343" s="8"/>
      <c r="Y343" s="9">
        <f t="shared" si="45"/>
        <v>0</v>
      </c>
      <c r="Z343" s="8" t="str">
        <f t="array" ref="Z343">IF(Y343&gt;5,"Perlu Sensus",IF(AND(Y343&gt;0,,O343&gt;0),"Tetap Deteksi","Belum Deteksi"))</f>
        <v>Belum Deteksi</v>
      </c>
    </row>
    <row r="344" spans="1:26" x14ac:dyDescent="0.15">
      <c r="A344" s="8"/>
      <c r="B344" s="8"/>
      <c r="C344" s="8"/>
      <c r="D344" s="8"/>
      <c r="E344" s="9"/>
      <c r="F344" s="8"/>
      <c r="G344" s="10"/>
      <c r="H344" s="10"/>
      <c r="I344" s="10"/>
      <c r="J344" s="10"/>
      <c r="K344" s="10"/>
      <c r="L344" s="10"/>
      <c r="M344" s="10"/>
      <c r="N344" s="11"/>
      <c r="O344" s="8"/>
      <c r="P344" s="9">
        <f t="array" ref="P344">IFERROR(O344/G344*100,0)</f>
        <v>0</v>
      </c>
      <c r="Q344" s="8"/>
      <c r="R344" s="9">
        <f t="shared" si="46"/>
        <v>0</v>
      </c>
      <c r="S344" s="8" t="str">
        <f t="array" ref="S344">IF(R344&gt;5,"Perlu Sensus",IF(AND(R344&gt;=0,O344&gt;0),"Tetap Deteksi","Belum Deteksi"))</f>
        <v>Belum Deteksi</v>
      </c>
      <c r="T344" s="8"/>
      <c r="U344" s="8"/>
      <c r="V344" s="132"/>
      <c r="W344" s="8"/>
      <c r="X344" s="8"/>
      <c r="Y344" s="9">
        <f t="shared" si="45"/>
        <v>0</v>
      </c>
      <c r="Z344" s="8" t="str">
        <f t="array" ref="Z344">IF(Y344&gt;5,"Perlu Sensus",IF(AND(Y344&gt;0,,O344&gt;0),"Tetap Deteksi","Belum Deteksi"))</f>
        <v>Belum Deteksi</v>
      </c>
    </row>
    <row r="345" spans="1:26" x14ac:dyDescent="0.15">
      <c r="A345" s="8"/>
      <c r="B345" s="8"/>
      <c r="C345" s="8"/>
      <c r="D345" s="8"/>
      <c r="E345" s="9"/>
      <c r="F345" s="8"/>
      <c r="G345" s="10"/>
      <c r="H345" s="10"/>
      <c r="I345" s="10"/>
      <c r="J345" s="10"/>
      <c r="K345" s="10"/>
      <c r="L345" s="10"/>
      <c r="M345" s="10"/>
      <c r="N345" s="11"/>
      <c r="O345" s="8"/>
      <c r="P345" s="9">
        <f t="array" ref="P345">IFERROR(O345/G345*100,0)</f>
        <v>0</v>
      </c>
      <c r="Q345" s="8"/>
      <c r="R345" s="9">
        <f t="shared" si="46"/>
        <v>0</v>
      </c>
      <c r="S345" s="8" t="str">
        <f t="array" ref="S345">IF(R345&gt;5,"Perlu Sensus",IF(AND(R345&gt;=0,O345&gt;0),"Tetap Deteksi","Belum Deteksi"))</f>
        <v>Belum Deteksi</v>
      </c>
      <c r="T345" s="8"/>
      <c r="U345" s="8"/>
      <c r="V345" s="132"/>
      <c r="W345" s="8"/>
      <c r="X345" s="8"/>
      <c r="Y345" s="9">
        <f t="shared" si="45"/>
        <v>0</v>
      </c>
      <c r="Z345" s="8" t="str">
        <f t="array" ref="Z345">IF(Y345&gt;5,"Perlu Sensus",IF(AND(Y345&gt;0,,O345&gt;0),"Tetap Deteksi","Belum Deteksi"))</f>
        <v>Belum Deteksi</v>
      </c>
    </row>
    <row r="346" spans="1:26" x14ac:dyDescent="0.15">
      <c r="A346" s="8"/>
      <c r="B346" s="8"/>
      <c r="C346" s="8"/>
      <c r="D346" s="8"/>
      <c r="E346" s="9"/>
      <c r="F346" s="8"/>
      <c r="G346" s="10"/>
      <c r="H346" s="10"/>
      <c r="I346" s="10"/>
      <c r="J346" s="10"/>
      <c r="K346" s="10"/>
      <c r="L346" s="10"/>
      <c r="M346" s="10"/>
      <c r="N346" s="11"/>
      <c r="O346" s="8"/>
      <c r="P346" s="9">
        <f t="array" ref="P346">IFERROR(O346/G346*100,0)</f>
        <v>0</v>
      </c>
      <c r="Q346" s="8"/>
      <c r="R346" s="9">
        <f t="shared" si="46"/>
        <v>0</v>
      </c>
      <c r="S346" s="8" t="str">
        <f t="array" ref="S346">IF(R346&gt;5,"Perlu Sensus",IF(AND(R346&gt;=0,O346&gt;0),"Tetap Deteksi","Belum Deteksi"))</f>
        <v>Belum Deteksi</v>
      </c>
      <c r="T346" s="8"/>
      <c r="U346" s="8"/>
      <c r="V346" s="132"/>
      <c r="W346" s="8"/>
      <c r="X346" s="8"/>
      <c r="Y346" s="9">
        <f t="shared" si="45"/>
        <v>0</v>
      </c>
      <c r="Z346" s="8" t="str">
        <f t="array" ref="Z346">IF(Y346&gt;5,"Perlu Sensus",IF(AND(Y346&gt;0,,O346&gt;0),"Tetap Deteksi","Belum Deteksi"))</f>
        <v>Belum Deteksi</v>
      </c>
    </row>
    <row r="347" spans="1:26" x14ac:dyDescent="0.15">
      <c r="A347" s="8"/>
      <c r="B347" s="8"/>
      <c r="C347" s="8"/>
      <c r="D347" s="8"/>
      <c r="E347" s="9"/>
      <c r="F347" s="8"/>
      <c r="G347" s="10"/>
      <c r="H347" s="10"/>
      <c r="I347" s="10"/>
      <c r="J347" s="10"/>
      <c r="K347" s="10"/>
      <c r="L347" s="10"/>
      <c r="M347" s="10"/>
      <c r="N347" s="132"/>
      <c r="O347" s="8"/>
      <c r="P347" s="9">
        <f t="array" ref="P347">IFERROR(O347/G347*100,0)</f>
        <v>0</v>
      </c>
      <c r="Q347" s="8"/>
      <c r="R347" s="9">
        <f t="shared" si="46"/>
        <v>0</v>
      </c>
      <c r="S347" s="8" t="str">
        <f t="array" ref="S347">IF(R347&gt;5,"Perlu Sensus",IF(AND(R347&gt;=0,O347&gt;0),"Tetap Deteksi","Belum Deteksi"))</f>
        <v>Belum Deteksi</v>
      </c>
      <c r="T347" s="8"/>
      <c r="U347" s="8"/>
      <c r="V347" s="132"/>
      <c r="W347" s="8"/>
      <c r="X347" s="8"/>
      <c r="Y347" s="9">
        <f t="shared" si="45"/>
        <v>0</v>
      </c>
      <c r="Z347" s="8" t="str">
        <f t="array" ref="Z347">IF(Y347&gt;5,"Perlu Sensus",IF(AND(Y347&gt;0,,O347&gt;0),"Tetap Deteksi","Belum Deteksi"))</f>
        <v>Belum Deteksi</v>
      </c>
    </row>
    <row r="348" spans="1:26" x14ac:dyDescent="0.15">
      <c r="A348" s="8"/>
      <c r="B348" s="8"/>
      <c r="C348" s="8"/>
      <c r="D348" s="8"/>
      <c r="E348" s="9"/>
      <c r="F348" s="8"/>
      <c r="G348" s="10"/>
      <c r="H348" s="10"/>
      <c r="I348" s="10"/>
      <c r="J348" s="10"/>
      <c r="K348" s="10"/>
      <c r="L348" s="10"/>
      <c r="M348" s="10"/>
      <c r="N348" s="132"/>
      <c r="O348" s="8"/>
      <c r="P348" s="9">
        <f t="array" ref="P348">IFERROR(O348/G348*100,0)</f>
        <v>0</v>
      </c>
      <c r="Q348" s="8"/>
      <c r="R348" s="9">
        <f t="shared" si="46"/>
        <v>0</v>
      </c>
      <c r="S348" s="8" t="str">
        <f t="array" ref="S348">IF(R348&gt;5,"Perlu Sensus",IF(AND(R348&gt;=0,O348&gt;0),"Tetap Deteksi","Belum Deteksi"))</f>
        <v>Belum Deteksi</v>
      </c>
      <c r="T348" s="8"/>
      <c r="U348" s="8"/>
      <c r="V348" s="132"/>
      <c r="W348" s="8"/>
      <c r="X348" s="8"/>
      <c r="Y348" s="9">
        <f t="shared" si="45"/>
        <v>0</v>
      </c>
      <c r="Z348" s="8" t="str">
        <f t="array" ref="Z348">IF(Y348&gt;5,"Perlu Sensus",IF(AND(Y348&gt;0,,O348&gt;0),"Tetap Deteksi","Belum Deteksi"))</f>
        <v>Belum Deteksi</v>
      </c>
    </row>
    <row r="349" spans="1:26" x14ac:dyDescent="0.15">
      <c r="A349" s="8"/>
      <c r="B349" s="8"/>
      <c r="C349" s="8"/>
      <c r="D349" s="8"/>
      <c r="E349" s="9"/>
      <c r="F349" s="8"/>
      <c r="G349" s="10"/>
      <c r="H349" s="10"/>
      <c r="I349" s="10"/>
      <c r="J349" s="10"/>
      <c r="K349" s="10"/>
      <c r="L349" s="10"/>
      <c r="M349" s="10"/>
      <c r="N349" s="132"/>
      <c r="O349" s="8"/>
      <c r="P349" s="9">
        <f t="array" ref="P349">IFERROR(O349/G349*100,0)</f>
        <v>0</v>
      </c>
      <c r="Q349" s="8"/>
      <c r="R349" s="9">
        <f t="shared" si="46"/>
        <v>0</v>
      </c>
      <c r="S349" s="8" t="str">
        <f t="array" ref="S349">IF(R349&gt;5,"Perlu Sensus",IF(AND(R349&gt;=0,O349&gt;0),"Tetap Deteksi","Belum Deteksi"))</f>
        <v>Belum Deteksi</v>
      </c>
      <c r="T349" s="8"/>
      <c r="U349" s="8"/>
      <c r="V349" s="132"/>
      <c r="W349" s="8"/>
      <c r="X349" s="8"/>
      <c r="Y349" s="9">
        <f t="shared" si="45"/>
        <v>0</v>
      </c>
      <c r="Z349" s="8" t="str">
        <f t="array" ref="Z349">IF(Y349&gt;5,"Perlu Sensus",IF(AND(Y349&gt;0,,O349&gt;0),"Tetap Deteksi","Belum Deteksi"))</f>
        <v>Belum Deteksi</v>
      </c>
    </row>
    <row r="350" spans="1:26" x14ac:dyDescent="0.15">
      <c r="A350" s="8"/>
      <c r="B350" s="8"/>
      <c r="C350" s="8"/>
      <c r="D350" s="8"/>
      <c r="E350" s="9"/>
      <c r="F350" s="8"/>
      <c r="G350" s="10"/>
      <c r="H350" s="10"/>
      <c r="I350" s="10"/>
      <c r="J350" s="10"/>
      <c r="K350" s="10"/>
      <c r="L350" s="10"/>
      <c r="M350" s="10"/>
      <c r="N350" s="11"/>
      <c r="O350" s="8"/>
      <c r="P350" s="9">
        <f t="array" ref="P350">IFERROR(O350/G350*100,0)</f>
        <v>0</v>
      </c>
      <c r="Q350" s="8"/>
      <c r="R350" s="9">
        <f t="shared" si="46"/>
        <v>0</v>
      </c>
      <c r="S350" s="8" t="str">
        <f t="array" ref="S350">IF(R350&gt;5,"Perlu Sensus",IF(AND(R350&gt;=0,O350&gt;0),"Tetap Deteksi","Belum Deteksi"))</f>
        <v>Belum Deteksi</v>
      </c>
      <c r="T350" s="8"/>
      <c r="U350" s="8"/>
      <c r="V350" s="11"/>
      <c r="W350" s="8"/>
      <c r="X350" s="8"/>
      <c r="Y350" s="9">
        <f t="shared" si="45"/>
        <v>0</v>
      </c>
      <c r="Z350" s="8" t="str">
        <f t="array" ref="Z350">IF(Y350&gt;5,"Perlu Sensus",IF(AND(Y350&gt;0,,O350&gt;0),"Tetap Deteksi","Belum Deteksi"))</f>
        <v>Belum Deteksi</v>
      </c>
    </row>
    <row r="351" spans="1:26" x14ac:dyDescent="0.15">
      <c r="A351" s="8"/>
      <c r="B351" s="8"/>
      <c r="C351" s="8"/>
      <c r="D351" s="8"/>
      <c r="E351" s="9"/>
      <c r="F351" s="8"/>
      <c r="G351" s="10"/>
      <c r="H351" s="10"/>
      <c r="I351" s="10"/>
      <c r="J351" s="10"/>
      <c r="K351" s="10"/>
      <c r="L351" s="10"/>
      <c r="M351" s="10"/>
      <c r="N351" s="11"/>
      <c r="O351" s="8"/>
      <c r="P351" s="9">
        <f t="array" ref="P351">IFERROR(O351/G351*100,0)</f>
        <v>0</v>
      </c>
      <c r="Q351" s="8"/>
      <c r="R351" s="9">
        <f t="shared" si="46"/>
        <v>0</v>
      </c>
      <c r="S351" s="8" t="str">
        <f t="array" ref="S351">IF(R351&gt;5,"Perlu Sensus",IF(AND(R351&gt;=0,O351&gt;0),"Tetap Deteksi","Belum Deteksi"))</f>
        <v>Belum Deteksi</v>
      </c>
      <c r="T351" s="8"/>
      <c r="U351" s="8"/>
      <c r="V351" s="11"/>
      <c r="W351" s="8"/>
      <c r="X351" s="8"/>
      <c r="Y351" s="9">
        <f t="shared" si="45"/>
        <v>0</v>
      </c>
      <c r="Z351" s="8" t="str">
        <f t="array" ref="Z351">IF(Y351&gt;5,"Perlu Sensus",IF(AND(Y351&gt;0,,O351&gt;0),"Tetap Deteksi","Belum Deteksi"))</f>
        <v>Belum Deteksi</v>
      </c>
    </row>
    <row r="352" spans="1:26" x14ac:dyDescent="0.15">
      <c r="A352" s="8"/>
      <c r="B352" s="8"/>
      <c r="C352" s="8"/>
      <c r="D352" s="8"/>
      <c r="E352" s="9"/>
      <c r="F352" s="8"/>
      <c r="G352" s="10"/>
      <c r="H352" s="10"/>
      <c r="I352" s="10"/>
      <c r="J352" s="10"/>
      <c r="K352" s="10"/>
      <c r="L352" s="10"/>
      <c r="M352" s="10"/>
      <c r="N352" s="132"/>
      <c r="O352" s="8"/>
      <c r="P352" s="9">
        <f t="array" ref="P352">IFERROR(O352/G352*100,0)</f>
        <v>0</v>
      </c>
      <c r="Q352" s="8"/>
      <c r="R352" s="9">
        <f t="shared" si="46"/>
        <v>0</v>
      </c>
      <c r="S352" s="8" t="str">
        <f t="array" ref="S352">IF(R352&gt;5,"Perlu Sensus",IF(AND(R352&gt;=0,O352&gt;0),"Tetap Deteksi","Belum Deteksi"))</f>
        <v>Belum Deteksi</v>
      </c>
      <c r="T352" s="8"/>
      <c r="U352" s="8"/>
      <c r="V352" s="11"/>
      <c r="W352" s="8"/>
      <c r="X352" s="8"/>
      <c r="Y352" s="9">
        <f t="shared" si="45"/>
        <v>0</v>
      </c>
      <c r="Z352" s="8" t="str">
        <f t="array" ref="Z352">IF(Y352&gt;5,"Perlu Sensus",IF(AND(Y352&gt;0,,O352&gt;0),"Tetap Deteksi","Belum Deteksi"))</f>
        <v>Belum Deteksi</v>
      </c>
    </row>
    <row r="353" spans="1:26" x14ac:dyDescent="0.15">
      <c r="A353" s="8"/>
      <c r="B353" s="8"/>
      <c r="C353" s="8"/>
      <c r="D353" s="8"/>
      <c r="E353" s="9"/>
      <c r="F353" s="8"/>
      <c r="G353" s="10"/>
      <c r="H353" s="10"/>
      <c r="I353" s="10"/>
      <c r="J353" s="10"/>
      <c r="K353" s="10"/>
      <c r="L353" s="10"/>
      <c r="M353" s="10"/>
      <c r="N353" s="132"/>
      <c r="O353" s="8"/>
      <c r="P353" s="9">
        <f t="array" ref="P353">IFERROR(O353/G353*100,0)</f>
        <v>0</v>
      </c>
      <c r="Q353" s="8"/>
      <c r="R353" s="9">
        <f t="shared" si="46"/>
        <v>0</v>
      </c>
      <c r="S353" s="8" t="str">
        <f t="array" ref="S353">IF(R353&gt;5,"Perlu Sensus",IF(AND(R353&gt;=0,O353&gt;0),"Tetap Deteksi","Belum Deteksi"))</f>
        <v>Belum Deteksi</v>
      </c>
      <c r="T353" s="8"/>
      <c r="U353" s="8"/>
      <c r="V353" s="11"/>
      <c r="W353" s="8"/>
      <c r="X353" s="8"/>
      <c r="Y353" s="9">
        <f t="shared" si="45"/>
        <v>0</v>
      </c>
      <c r="Z353" s="8" t="str">
        <f t="array" ref="Z353">IF(Y353&gt;5,"Perlu Sensus",IF(AND(Y353&gt;0,,O353&gt;0),"Tetap Deteksi","Belum Deteksi"))</f>
        <v>Belum Deteksi</v>
      </c>
    </row>
    <row r="354" spans="1:26" x14ac:dyDescent="0.15">
      <c r="A354" s="8"/>
      <c r="B354" s="8"/>
      <c r="C354" s="8"/>
      <c r="D354" s="8"/>
      <c r="E354" s="9"/>
      <c r="F354" s="8"/>
      <c r="G354" s="10"/>
      <c r="H354" s="10"/>
      <c r="I354" s="10"/>
      <c r="J354" s="10"/>
      <c r="K354" s="10"/>
      <c r="L354" s="10"/>
      <c r="M354" s="10"/>
      <c r="N354" s="11"/>
      <c r="O354" s="8"/>
      <c r="P354" s="9">
        <f t="array" ref="P354">IFERROR(O354/G354*100,0)</f>
        <v>0</v>
      </c>
      <c r="Q354" s="8"/>
      <c r="R354" s="9">
        <f t="shared" si="46"/>
        <v>0</v>
      </c>
      <c r="S354" s="8" t="str">
        <f t="array" ref="S354">IF(R354&gt;5,"Perlu Sensus",IF(AND(R354&gt;=0,O354&gt;0),"Tetap Deteksi","Belum Deteksi"))</f>
        <v>Belum Deteksi</v>
      </c>
      <c r="T354" s="8"/>
      <c r="U354" s="8"/>
      <c r="V354" s="11"/>
      <c r="W354" s="8"/>
      <c r="X354" s="8"/>
      <c r="Y354" s="9">
        <f t="shared" si="45"/>
        <v>0</v>
      </c>
      <c r="Z354" s="8" t="str">
        <f t="array" ref="Z354">IF(Y354&gt;5,"Perlu Sensus",IF(AND(Y354&gt;0,,O354&gt;0),"Tetap Deteksi","Belum Deteksi"))</f>
        <v>Belum Deteksi</v>
      </c>
    </row>
    <row r="355" spans="1:26" x14ac:dyDescent="0.15">
      <c r="A355" s="8"/>
      <c r="B355" s="8"/>
      <c r="C355" s="8"/>
      <c r="D355" s="8"/>
      <c r="E355" s="9"/>
      <c r="F355" s="8"/>
      <c r="G355" s="10"/>
      <c r="H355" s="10"/>
      <c r="I355" s="10"/>
      <c r="J355" s="10"/>
      <c r="K355" s="10"/>
      <c r="L355" s="10"/>
      <c r="M355" s="10"/>
      <c r="N355" s="11"/>
      <c r="O355" s="8"/>
      <c r="P355" s="9">
        <f t="array" ref="P355">IFERROR(O355/G355*100,0)</f>
        <v>0</v>
      </c>
      <c r="Q355" s="8"/>
      <c r="R355" s="9">
        <f t="shared" si="46"/>
        <v>0</v>
      </c>
      <c r="S355" s="8" t="str">
        <f t="array" ref="S355">IF(R355&gt;5,"Perlu Sensus",IF(AND(R355&gt;=0,O355&gt;0),"Tetap Deteksi","Belum Deteksi"))</f>
        <v>Belum Deteksi</v>
      </c>
      <c r="T355" s="8"/>
      <c r="U355" s="8"/>
      <c r="V355" s="11"/>
      <c r="W355" s="8"/>
      <c r="X355" s="8"/>
      <c r="Y355" s="9">
        <f t="shared" si="45"/>
        <v>0</v>
      </c>
      <c r="Z355" s="8" t="str">
        <f t="array" ref="Z355">IF(Y355&gt;5,"Perlu Sensus",IF(AND(Y355&gt;0,,O355&gt;0),"Tetap Deteksi","Belum Deteksi"))</f>
        <v>Belum Deteksi</v>
      </c>
    </row>
    <row r="356" spans="1:26" x14ac:dyDescent="0.15">
      <c r="A356" s="8"/>
      <c r="B356" s="8"/>
      <c r="C356" s="8"/>
      <c r="D356" s="8"/>
      <c r="E356" s="9"/>
      <c r="F356" s="8"/>
      <c r="G356" s="10"/>
      <c r="H356" s="10"/>
      <c r="I356" s="10"/>
      <c r="J356" s="10"/>
      <c r="K356" s="10"/>
      <c r="L356" s="10"/>
      <c r="M356" s="10"/>
      <c r="N356" s="11"/>
      <c r="O356" s="8"/>
      <c r="P356" s="9">
        <f t="array" ref="P356">IFERROR(O356/G356*100,0)</f>
        <v>0</v>
      </c>
      <c r="Q356" s="8"/>
      <c r="R356" s="9">
        <f t="shared" si="46"/>
        <v>0</v>
      </c>
      <c r="S356" s="8" t="str">
        <f t="array" ref="S356">IF(R356&gt;5,"Perlu Sensus",IF(AND(R356&gt;=0,O356&gt;0),"Tetap Deteksi","Belum Deteksi"))</f>
        <v>Belum Deteksi</v>
      </c>
      <c r="T356" s="8"/>
      <c r="U356" s="8"/>
      <c r="V356" s="11"/>
      <c r="W356" s="8"/>
      <c r="X356" s="8"/>
      <c r="Y356" s="9">
        <f t="shared" si="45"/>
        <v>0</v>
      </c>
      <c r="Z356" s="8" t="str">
        <f t="array" ref="Z356">IF(Y356&gt;5,"Perlu Sensus",IF(AND(Y356&gt;0,,O356&gt;0),"Tetap Deteksi","Belum Deteksi"))</f>
        <v>Belum Deteksi</v>
      </c>
    </row>
    <row r="357" spans="1:26" x14ac:dyDescent="0.15">
      <c r="A357" s="8"/>
      <c r="B357" s="8"/>
      <c r="C357" s="8"/>
      <c r="D357" s="8"/>
      <c r="E357" s="9"/>
      <c r="F357" s="8"/>
      <c r="G357" s="10"/>
      <c r="H357" s="10"/>
      <c r="I357" s="10"/>
      <c r="J357" s="10"/>
      <c r="K357" s="10"/>
      <c r="L357" s="10"/>
      <c r="M357" s="10"/>
      <c r="N357" s="11"/>
      <c r="O357" s="8"/>
      <c r="P357" s="9">
        <f t="array" ref="P357">IFERROR(O357/G357*100,0)</f>
        <v>0</v>
      </c>
      <c r="Q357" s="8"/>
      <c r="R357" s="9">
        <f t="shared" si="46"/>
        <v>0</v>
      </c>
      <c r="S357" s="8" t="str">
        <f t="array" ref="S357">IF(R357&gt;5,"Perlu Sensus",IF(AND(R357&gt;=0,O357&gt;0),"Tetap Deteksi","Belum Deteksi"))</f>
        <v>Belum Deteksi</v>
      </c>
      <c r="T357" s="8"/>
      <c r="U357" s="8"/>
      <c r="V357" s="11"/>
      <c r="W357" s="8"/>
      <c r="X357" s="8"/>
      <c r="Y357" s="9">
        <f t="shared" si="45"/>
        <v>0</v>
      </c>
      <c r="Z357" s="8" t="str">
        <f t="array" ref="Z357">IF(Y357&gt;5,"Perlu Sensus",IF(AND(Y357&gt;0,,O357&gt;0),"Tetap Deteksi","Belum Deteksi"))</f>
        <v>Belum Deteksi</v>
      </c>
    </row>
    <row r="358" spans="1:26" x14ac:dyDescent="0.15">
      <c r="A358" s="8"/>
      <c r="B358" s="8"/>
      <c r="C358" s="8"/>
      <c r="D358" s="8"/>
      <c r="E358" s="9"/>
      <c r="F358" s="8"/>
      <c r="G358" s="10"/>
      <c r="H358" s="10"/>
      <c r="I358" s="10"/>
      <c r="J358" s="10"/>
      <c r="K358" s="10"/>
      <c r="L358" s="10"/>
      <c r="M358" s="10"/>
      <c r="N358" s="11"/>
      <c r="O358" s="8"/>
      <c r="P358" s="9">
        <f t="array" ref="P358">IFERROR(O358/G358*100,0)</f>
        <v>0</v>
      </c>
      <c r="Q358" s="8"/>
      <c r="R358" s="9">
        <f t="shared" si="46"/>
        <v>0</v>
      </c>
      <c r="S358" s="8" t="str">
        <f t="array" ref="S358">IF(R358&gt;5,"Perlu Sensus",IF(AND(R358&gt;=0,O358&gt;0),"Tetap Deteksi","Belum Deteksi"))</f>
        <v>Belum Deteksi</v>
      </c>
      <c r="T358" s="8"/>
      <c r="U358" s="8"/>
      <c r="V358" s="11"/>
      <c r="W358" s="8"/>
      <c r="X358" s="8"/>
      <c r="Y358" s="9">
        <f t="shared" si="45"/>
        <v>0</v>
      </c>
      <c r="Z358" s="8" t="str">
        <f t="array" ref="Z358">IF(Y358&gt;5,"Perlu Sensus",IF(AND(Y358&gt;0,,O358&gt;0),"Tetap Deteksi","Belum Deteksi"))</f>
        <v>Belum Deteksi</v>
      </c>
    </row>
    <row r="359" spans="1:26" x14ac:dyDescent="0.15">
      <c r="A359" s="8"/>
      <c r="B359" s="8"/>
      <c r="C359" s="8"/>
      <c r="D359" s="8"/>
      <c r="E359" s="9"/>
      <c r="F359" s="8"/>
      <c r="G359" s="10"/>
      <c r="H359" s="10"/>
      <c r="I359" s="10"/>
      <c r="J359" s="10"/>
      <c r="K359" s="10"/>
      <c r="L359" s="10"/>
      <c r="M359" s="10"/>
      <c r="N359" s="11"/>
      <c r="O359" s="8"/>
      <c r="P359" s="9">
        <f t="array" ref="P359">IFERROR(O359/G359*100,0)</f>
        <v>0</v>
      </c>
      <c r="Q359" s="8"/>
      <c r="R359" s="9">
        <f t="shared" si="46"/>
        <v>0</v>
      </c>
      <c r="S359" s="8" t="str">
        <f t="array" ref="S359">IF(R359&gt;5,"Perlu Sensus",IF(AND(R359&gt;=0,O359&gt;0),"Tetap Deteksi","Belum Deteksi"))</f>
        <v>Belum Deteksi</v>
      </c>
      <c r="T359" s="8"/>
      <c r="U359" s="8"/>
      <c r="V359" s="11"/>
      <c r="W359" s="8"/>
      <c r="X359" s="8"/>
      <c r="Y359" s="9">
        <f t="shared" si="45"/>
        <v>0</v>
      </c>
      <c r="Z359" s="8" t="str">
        <f t="array" ref="Z359">IF(Y359&gt;5,"Perlu Sensus",IF(AND(Y359&gt;0,,O359&gt;0),"Tetap Deteksi","Belum Deteksi"))</f>
        <v>Belum Deteksi</v>
      </c>
    </row>
    <row r="360" spans="1:26" x14ac:dyDescent="0.15">
      <c r="A360" s="8"/>
      <c r="B360" s="8"/>
      <c r="C360" s="8"/>
      <c r="D360" s="8"/>
      <c r="E360" s="9"/>
      <c r="F360" s="8"/>
      <c r="G360" s="10"/>
      <c r="H360" s="10"/>
      <c r="I360" s="10"/>
      <c r="J360" s="10"/>
      <c r="K360" s="10"/>
      <c r="L360" s="10"/>
      <c r="M360" s="10"/>
      <c r="N360" s="11"/>
      <c r="O360" s="8"/>
      <c r="P360" s="9">
        <f t="array" ref="P360">IFERROR(O360/G360*100,0)</f>
        <v>0</v>
      </c>
      <c r="Q360" s="8"/>
      <c r="R360" s="9">
        <f t="shared" si="46"/>
        <v>0</v>
      </c>
      <c r="S360" s="8" t="str">
        <f t="array" ref="S360">IF(R360&gt;5,"Perlu Sensus",IF(AND(R360&gt;=0,O360&gt;0),"Tetap Deteksi","Belum Deteksi"))</f>
        <v>Belum Deteksi</v>
      </c>
      <c r="T360" s="8"/>
      <c r="U360" s="8"/>
      <c r="V360" s="11"/>
      <c r="W360" s="8"/>
      <c r="X360" s="8"/>
      <c r="Y360" s="9">
        <f t="shared" si="45"/>
        <v>0</v>
      </c>
      <c r="Z360" s="8" t="str">
        <f t="array" ref="Z360">IF(Y360&gt;5,"Perlu Sensus",IF(AND(Y360&gt;0,,O360&gt;0),"Tetap Deteksi","Belum Deteksi"))</f>
        <v>Belum Deteksi</v>
      </c>
    </row>
    <row r="361" spans="1:26" x14ac:dyDescent="0.15">
      <c r="A361" s="8"/>
      <c r="B361" s="8"/>
      <c r="C361" s="8"/>
      <c r="D361" s="8"/>
      <c r="E361" s="9"/>
      <c r="F361" s="8"/>
      <c r="G361" s="10"/>
      <c r="H361" s="10"/>
      <c r="I361" s="10"/>
      <c r="J361" s="10"/>
      <c r="K361" s="10"/>
      <c r="L361" s="10"/>
      <c r="M361" s="10"/>
      <c r="N361" s="11"/>
      <c r="O361" s="8"/>
      <c r="P361" s="9">
        <f t="array" ref="P361">IFERROR(O361/G361*100,0)</f>
        <v>0</v>
      </c>
      <c r="Q361" s="8"/>
      <c r="R361" s="9">
        <f t="shared" si="46"/>
        <v>0</v>
      </c>
      <c r="S361" s="8" t="str">
        <f t="array" ref="S361">IF(R361&gt;5,"Perlu Sensus",IF(AND(R361&gt;=0,O361&gt;0),"Tetap Deteksi","Belum Deteksi"))</f>
        <v>Belum Deteksi</v>
      </c>
      <c r="T361" s="8"/>
      <c r="U361" s="8"/>
      <c r="V361" s="11"/>
      <c r="W361" s="8"/>
      <c r="X361" s="8"/>
      <c r="Y361" s="9">
        <f t="shared" si="45"/>
        <v>0</v>
      </c>
      <c r="Z361" s="8" t="str">
        <f t="array" ref="Z361">IF(Y361&gt;5,"Perlu Sensus",IF(AND(Y361&gt;0,,O361&gt;0),"Tetap Deteksi","Belum Deteksi"))</f>
        <v>Belum Deteksi</v>
      </c>
    </row>
    <row r="362" spans="1:26" x14ac:dyDescent="0.15">
      <c r="A362" s="8"/>
      <c r="B362" s="8"/>
      <c r="C362" s="8"/>
      <c r="D362" s="8"/>
      <c r="E362" s="9"/>
      <c r="F362" s="8"/>
      <c r="G362" s="10"/>
      <c r="H362" s="10"/>
      <c r="I362" s="10"/>
      <c r="J362" s="10"/>
      <c r="K362" s="10"/>
      <c r="L362" s="10"/>
      <c r="M362" s="10"/>
      <c r="N362" s="11"/>
      <c r="O362" s="8"/>
      <c r="P362" s="9">
        <f t="array" ref="P362">IFERROR(O362/G362*100,0)</f>
        <v>0</v>
      </c>
      <c r="Q362" s="8"/>
      <c r="R362" s="9">
        <f t="shared" si="46"/>
        <v>0</v>
      </c>
      <c r="S362" s="8" t="str">
        <f t="array" ref="S362">IF(R362&gt;5,"Perlu Sensus",IF(AND(R362&gt;=0,O362&gt;0),"Tetap Deteksi","Belum Deteksi"))</f>
        <v>Belum Deteksi</v>
      </c>
      <c r="T362" s="8"/>
      <c r="U362" s="8"/>
      <c r="V362" s="11"/>
      <c r="W362" s="8"/>
      <c r="X362" s="8"/>
      <c r="Y362" s="9">
        <f t="shared" si="45"/>
        <v>0</v>
      </c>
      <c r="Z362" s="8" t="str">
        <f t="array" ref="Z362">IF(Y362&gt;5,"Perlu Sensus",IF(AND(Y362&gt;0,,O362&gt;0),"Tetap Deteksi","Belum Deteksi"))</f>
        <v>Belum Deteksi</v>
      </c>
    </row>
    <row r="363" spans="1:26" x14ac:dyDescent="0.15">
      <c r="A363" s="8"/>
      <c r="B363" s="8"/>
      <c r="C363" s="8"/>
      <c r="D363" s="8"/>
      <c r="E363" s="9"/>
      <c r="F363" s="8"/>
      <c r="G363" s="10"/>
      <c r="H363" s="10"/>
      <c r="I363" s="10"/>
      <c r="J363" s="10"/>
      <c r="K363" s="10"/>
      <c r="L363" s="10"/>
      <c r="M363" s="10"/>
      <c r="N363" s="11"/>
      <c r="O363" s="8"/>
      <c r="P363" s="9">
        <f t="array" ref="P363">IFERROR(O363/G363*100,0)</f>
        <v>0</v>
      </c>
      <c r="Q363" s="8"/>
      <c r="R363" s="9">
        <f t="shared" si="46"/>
        <v>0</v>
      </c>
      <c r="S363" s="8" t="str">
        <f t="array" ref="S363">IF(R363&gt;5,"Perlu Sensus",IF(AND(R363&gt;=0,O363&gt;0),"Tetap Deteksi","Belum Deteksi"))</f>
        <v>Belum Deteksi</v>
      </c>
      <c r="T363" s="8"/>
      <c r="U363" s="8"/>
      <c r="V363" s="11"/>
      <c r="W363" s="8"/>
      <c r="X363" s="8"/>
      <c r="Y363" s="9">
        <f t="shared" si="45"/>
        <v>0</v>
      </c>
      <c r="Z363" s="8" t="str">
        <f t="array" ref="Z363">IF(Y363&gt;5,"Perlu Sensus",IF(AND(Y363&gt;0,,O363&gt;0),"Tetap Deteksi","Belum Deteksi"))</f>
        <v>Belum Deteksi</v>
      </c>
    </row>
    <row r="364" spans="1:26" x14ac:dyDescent="0.15">
      <c r="A364" s="8"/>
      <c r="B364" s="8"/>
      <c r="C364" s="8"/>
      <c r="D364" s="8"/>
      <c r="E364" s="9"/>
      <c r="F364" s="8"/>
      <c r="G364" s="10"/>
      <c r="H364" s="10"/>
      <c r="I364" s="10"/>
      <c r="J364" s="10"/>
      <c r="K364" s="10"/>
      <c r="L364" s="10"/>
      <c r="M364" s="10"/>
      <c r="N364" s="11"/>
      <c r="O364" s="8"/>
      <c r="P364" s="9">
        <f t="array" ref="P364">IFERROR(O364/G364*100,0)</f>
        <v>0</v>
      </c>
      <c r="Q364" s="8"/>
      <c r="R364" s="9">
        <f t="shared" si="46"/>
        <v>0</v>
      </c>
      <c r="S364" s="8" t="str">
        <f t="array" ref="S364">IF(R364&gt;5,"Perlu Sensus",IF(AND(R364&gt;=0,O364&gt;0),"Tetap Deteksi","Belum Deteksi"))</f>
        <v>Belum Deteksi</v>
      </c>
      <c r="T364" s="8"/>
      <c r="U364" s="8"/>
      <c r="V364" s="11"/>
      <c r="W364" s="8"/>
      <c r="X364" s="8"/>
      <c r="Y364" s="9">
        <f t="shared" si="45"/>
        <v>0</v>
      </c>
      <c r="Z364" s="8" t="str">
        <f t="array" ref="Z364">IF(Y364&gt;5,"Perlu Sensus",IF(AND(Y364&gt;0,,O364&gt;0),"Tetap Deteksi","Belum Deteksi"))</f>
        <v>Belum Deteksi</v>
      </c>
    </row>
    <row r="365" spans="1:26" x14ac:dyDescent="0.15">
      <c r="A365" s="8"/>
      <c r="B365" s="8"/>
      <c r="C365" s="8"/>
      <c r="D365" s="8"/>
      <c r="E365" s="9"/>
      <c r="F365" s="8"/>
      <c r="G365" s="10"/>
      <c r="H365" s="10"/>
      <c r="I365" s="10"/>
      <c r="J365" s="10"/>
      <c r="K365" s="10"/>
      <c r="L365" s="10"/>
      <c r="M365" s="10"/>
      <c r="N365" s="11"/>
      <c r="O365" s="8"/>
      <c r="P365" s="9">
        <f t="array" ref="P365">IFERROR(O365/G365*100,0)</f>
        <v>0</v>
      </c>
      <c r="Q365" s="8"/>
      <c r="R365" s="9">
        <f t="shared" si="46"/>
        <v>0</v>
      </c>
      <c r="S365" s="8" t="str">
        <f t="array" ref="S365">IF(R365&gt;5,"Perlu Sensus",IF(AND(R365&gt;=0,O365&gt;0),"Tetap Deteksi","Belum Deteksi"))</f>
        <v>Belum Deteksi</v>
      </c>
      <c r="T365" s="8"/>
      <c r="U365" s="8"/>
      <c r="V365" s="11"/>
      <c r="W365" s="8"/>
      <c r="X365" s="8"/>
      <c r="Y365" s="9">
        <f t="shared" si="45"/>
        <v>0</v>
      </c>
      <c r="Z365" s="8" t="str">
        <f t="array" ref="Z365">IF(Y365&gt;5,"Perlu Sensus",IF(AND(Y365&gt;0,,O365&gt;0),"Tetap Deteksi","Belum Deteksi"))</f>
        <v>Belum Deteksi</v>
      </c>
    </row>
    <row r="366" spans="1:26" x14ac:dyDescent="0.15">
      <c r="A366" s="8"/>
      <c r="B366" s="8"/>
      <c r="C366" s="8"/>
      <c r="D366" s="8"/>
      <c r="E366" s="9"/>
      <c r="F366" s="8"/>
      <c r="G366" s="10"/>
      <c r="H366" s="10"/>
      <c r="I366" s="10"/>
      <c r="J366" s="10"/>
      <c r="K366" s="10"/>
      <c r="L366" s="10"/>
      <c r="M366" s="10"/>
      <c r="N366" s="11"/>
      <c r="O366" s="8"/>
      <c r="P366" s="9">
        <f t="array" ref="P366">IFERROR(O366/G366*100,0)</f>
        <v>0</v>
      </c>
      <c r="Q366" s="8"/>
      <c r="R366" s="9">
        <f t="shared" si="46"/>
        <v>0</v>
      </c>
      <c r="S366" s="8" t="str">
        <f t="array" ref="S366">IF(R366&gt;5,"Perlu Sensus",IF(AND(R366&gt;=0,O366&gt;0),"Tetap Deteksi","Belum Deteksi"))</f>
        <v>Belum Deteksi</v>
      </c>
      <c r="T366" s="8"/>
      <c r="U366" s="8"/>
      <c r="V366" s="11"/>
      <c r="W366" s="8"/>
      <c r="X366" s="8"/>
      <c r="Y366" s="9">
        <f t="shared" si="45"/>
        <v>0</v>
      </c>
      <c r="Z366" s="8" t="str">
        <f t="array" ref="Z366">IF(Y366&gt;5,"Perlu Sensus",IF(AND(Y366&gt;0,,O366&gt;0),"Tetap Deteksi","Belum Deteksi"))</f>
        <v>Belum Deteksi</v>
      </c>
    </row>
    <row r="367" spans="1:26" x14ac:dyDescent="0.15">
      <c r="A367" s="8"/>
      <c r="B367" s="8"/>
      <c r="C367" s="8"/>
      <c r="D367" s="8"/>
      <c r="E367" s="9"/>
      <c r="F367" s="8"/>
      <c r="G367" s="10"/>
      <c r="H367" s="10"/>
      <c r="I367" s="10"/>
      <c r="J367" s="10"/>
      <c r="K367" s="10"/>
      <c r="L367" s="10"/>
      <c r="M367" s="10"/>
      <c r="N367" s="11"/>
      <c r="O367" s="8"/>
      <c r="P367" s="9">
        <f t="array" ref="P367">IFERROR(O367/G367*100,0)</f>
        <v>0</v>
      </c>
      <c r="Q367" s="8"/>
      <c r="R367" s="9">
        <f t="shared" si="46"/>
        <v>0</v>
      </c>
      <c r="S367" s="8" t="str">
        <f t="array" ref="S367">IF(R367&gt;5,"Perlu Sensus",IF(AND(R367&gt;=0,O367&gt;0),"Tetap Deteksi","Belum Deteksi"))</f>
        <v>Belum Deteksi</v>
      </c>
      <c r="T367" s="8"/>
      <c r="U367" s="8"/>
      <c r="V367" s="11"/>
      <c r="W367" s="8"/>
      <c r="X367" s="8"/>
      <c r="Y367" s="9">
        <f t="shared" si="45"/>
        <v>0</v>
      </c>
      <c r="Z367" s="8" t="str">
        <f t="array" ref="Z367">IF(Y367&gt;5,"Perlu Sensus",IF(AND(Y367&gt;0,,O367&gt;0),"Tetap Deteksi","Belum Deteksi"))</f>
        <v>Belum Deteksi</v>
      </c>
    </row>
    <row r="368" spans="1:26" x14ac:dyDescent="0.15">
      <c r="A368" s="8"/>
      <c r="B368" s="8"/>
      <c r="C368" s="8"/>
      <c r="D368" s="8"/>
      <c r="E368" s="9"/>
      <c r="F368" s="8"/>
      <c r="G368" s="10"/>
      <c r="H368" s="10"/>
      <c r="I368" s="10"/>
      <c r="J368" s="10"/>
      <c r="K368" s="10"/>
      <c r="L368" s="10"/>
      <c r="M368" s="10"/>
      <c r="N368" s="11"/>
      <c r="O368" s="8"/>
      <c r="P368" s="9">
        <f t="array" ref="P368">IFERROR(O368/G368*100,0)</f>
        <v>0</v>
      </c>
      <c r="Q368" s="8"/>
      <c r="R368" s="9">
        <f t="shared" si="46"/>
        <v>0</v>
      </c>
      <c r="S368" s="8" t="str">
        <f t="array" ref="S368">IF(R368&gt;5,"Perlu Sensus",IF(AND(R368&gt;=0,O368&gt;0),"Tetap Deteksi","Belum Deteksi"))</f>
        <v>Belum Deteksi</v>
      </c>
      <c r="T368" s="8"/>
      <c r="U368" s="8"/>
      <c r="V368" s="11"/>
      <c r="W368" s="8"/>
      <c r="X368" s="8"/>
      <c r="Y368" s="9">
        <f t="shared" si="45"/>
        <v>0</v>
      </c>
      <c r="Z368" s="8" t="str">
        <f t="array" ref="Z368">IF(Y368&gt;5,"Perlu Sensus",IF(AND(Y368&gt;0,,O368&gt;0),"Tetap Deteksi","Belum Deteksi"))</f>
        <v>Belum Deteksi</v>
      </c>
    </row>
    <row r="369" spans="1:26" x14ac:dyDescent="0.15">
      <c r="A369" s="8"/>
      <c r="B369" s="8"/>
      <c r="C369" s="8"/>
      <c r="D369" s="8"/>
      <c r="E369" s="9"/>
      <c r="F369" s="8"/>
      <c r="G369" s="10"/>
      <c r="H369" s="10"/>
      <c r="I369" s="10"/>
      <c r="J369" s="10"/>
      <c r="K369" s="10"/>
      <c r="L369" s="10"/>
      <c r="M369" s="10"/>
      <c r="N369" s="132"/>
      <c r="O369" s="8"/>
      <c r="P369" s="9">
        <f t="array" ref="P369">IFERROR(O369/G369*100,0)</f>
        <v>0</v>
      </c>
      <c r="Q369" s="8"/>
      <c r="R369" s="9">
        <f t="shared" si="46"/>
        <v>0</v>
      </c>
      <c r="S369" s="8" t="str">
        <f t="array" ref="S369">IF(R369&gt;5,"Perlu Sensus",IF(AND(R369&gt;=0,O369&gt;0),"Tetap Deteksi","Belum Deteksi"))</f>
        <v>Belum Deteksi</v>
      </c>
      <c r="T369" s="8"/>
      <c r="U369" s="8"/>
      <c r="V369" s="11"/>
      <c r="W369" s="8"/>
      <c r="X369" s="8"/>
      <c r="Y369" s="9">
        <f t="shared" si="45"/>
        <v>0</v>
      </c>
      <c r="Z369" s="8" t="str">
        <f t="array" ref="Z369">IF(Y369&gt;5,"Perlu Sensus",IF(AND(Y369&gt;0,,O369&gt;0),"Tetap Deteksi","Belum Deteksi"))</f>
        <v>Belum Deteksi</v>
      </c>
    </row>
    <row r="370" spans="1:26" x14ac:dyDescent="0.15">
      <c r="A370" s="8"/>
      <c r="B370" s="8"/>
      <c r="C370" s="8"/>
      <c r="D370" s="8"/>
      <c r="E370" s="9"/>
      <c r="F370" s="8"/>
      <c r="G370" s="10"/>
      <c r="H370" s="10"/>
      <c r="I370" s="10"/>
      <c r="J370" s="10"/>
      <c r="K370" s="10"/>
      <c r="L370" s="10"/>
      <c r="M370" s="10"/>
      <c r="N370" s="11"/>
      <c r="O370" s="8"/>
      <c r="P370" s="9">
        <f t="array" ref="P370">IFERROR(O370/G370*100,0)</f>
        <v>0</v>
      </c>
      <c r="Q370" s="8"/>
      <c r="R370" s="9">
        <f t="shared" si="46"/>
        <v>0</v>
      </c>
      <c r="S370" s="8" t="str">
        <f t="array" ref="S370">IF(R370&gt;5,"Perlu Sensus",IF(AND(R370&gt;=0,O370&gt;0),"Tetap Deteksi","Belum Deteksi"))</f>
        <v>Belum Deteksi</v>
      </c>
      <c r="T370" s="8"/>
      <c r="U370" s="8"/>
      <c r="V370" s="11"/>
      <c r="W370" s="8"/>
      <c r="X370" s="8"/>
      <c r="Y370" s="9">
        <f t="shared" si="45"/>
        <v>0</v>
      </c>
      <c r="Z370" s="8" t="str">
        <f t="array" ref="Z370">IF(Y370&gt;5,"Perlu Sensus",IF(AND(Y370&gt;0,,O370&gt;0),"Tetap Deteksi","Belum Deteksi"))</f>
        <v>Belum Deteksi</v>
      </c>
    </row>
    <row r="371" spans="1:26" x14ac:dyDescent="0.15">
      <c r="A371" s="8"/>
      <c r="B371" s="8"/>
      <c r="C371" s="8"/>
      <c r="D371" s="8"/>
      <c r="E371" s="9"/>
      <c r="F371" s="8"/>
      <c r="G371" s="10"/>
      <c r="H371" s="10"/>
      <c r="I371" s="10"/>
      <c r="J371" s="10"/>
      <c r="K371" s="10"/>
      <c r="L371" s="10"/>
      <c r="M371" s="10"/>
      <c r="N371" s="11"/>
      <c r="O371" s="8"/>
      <c r="P371" s="9">
        <f t="array" ref="P371">IFERROR(O371/G371*100,0)</f>
        <v>0</v>
      </c>
      <c r="Q371" s="8"/>
      <c r="R371" s="9">
        <f t="shared" si="46"/>
        <v>0</v>
      </c>
      <c r="S371" s="8" t="str">
        <f t="array" ref="S371">IF(R371&gt;5,"Perlu Sensus",IF(AND(R371&gt;=0,O371&gt;0),"Tetap Deteksi","Belum Deteksi"))</f>
        <v>Belum Deteksi</v>
      </c>
      <c r="T371" s="8"/>
      <c r="U371" s="8"/>
      <c r="V371" s="11"/>
      <c r="W371" s="8"/>
      <c r="X371" s="8"/>
      <c r="Y371" s="9">
        <f t="shared" si="45"/>
        <v>0</v>
      </c>
      <c r="Z371" s="8" t="str">
        <f t="array" ref="Z371">IF(Y371&gt;5,"Perlu Sensus",IF(AND(Y371&gt;0,,O371&gt;0),"Tetap Deteksi","Belum Deteksi"))</f>
        <v>Belum Deteksi</v>
      </c>
    </row>
    <row r="372" spans="1:26" x14ac:dyDescent="0.15">
      <c r="A372" s="8"/>
      <c r="B372" s="8"/>
      <c r="C372" s="8"/>
      <c r="D372" s="8"/>
      <c r="E372" s="9"/>
      <c r="F372" s="8"/>
      <c r="G372" s="10"/>
      <c r="H372" s="10"/>
      <c r="I372" s="10"/>
      <c r="J372" s="10"/>
      <c r="K372" s="10"/>
      <c r="L372" s="10"/>
      <c r="M372" s="10"/>
      <c r="N372" s="11"/>
      <c r="O372" s="8"/>
      <c r="P372" s="9">
        <f t="array" ref="P372">IFERROR(O372/G372*100,0)</f>
        <v>0</v>
      </c>
      <c r="Q372" s="8"/>
      <c r="R372" s="9">
        <f t="shared" si="46"/>
        <v>0</v>
      </c>
      <c r="S372" s="8" t="str">
        <f t="array" ref="S372">IF(R372&gt;5,"Perlu Sensus",IF(AND(R372&gt;=0,O372&gt;0),"Tetap Deteksi","Belum Deteksi"))</f>
        <v>Belum Deteksi</v>
      </c>
      <c r="T372" s="8"/>
      <c r="U372" s="8"/>
      <c r="V372" s="11"/>
      <c r="W372" s="8"/>
      <c r="X372" s="8"/>
      <c r="Y372" s="9">
        <f t="shared" si="45"/>
        <v>0</v>
      </c>
      <c r="Z372" s="8" t="str">
        <f t="array" ref="Z372">IF(Y372&gt;5,"Perlu Sensus",IF(AND(Y372&gt;0,,O372&gt;0),"Tetap Deteksi","Belum Deteksi"))</f>
        <v>Belum Deteksi</v>
      </c>
    </row>
    <row r="373" spans="1:26" x14ac:dyDescent="0.15">
      <c r="A373" s="8"/>
      <c r="B373" s="8"/>
      <c r="C373" s="8"/>
      <c r="D373" s="8"/>
      <c r="E373" s="9"/>
      <c r="F373" s="8"/>
      <c r="G373" s="10"/>
      <c r="H373" s="10"/>
      <c r="I373" s="10"/>
      <c r="J373" s="10"/>
      <c r="K373" s="10"/>
      <c r="L373" s="10"/>
      <c r="M373" s="10"/>
      <c r="N373" s="132"/>
      <c r="O373" s="8"/>
      <c r="P373" s="9">
        <f t="array" ref="P373">IFERROR(O373/G373*100,0)</f>
        <v>0</v>
      </c>
      <c r="Q373" s="8"/>
      <c r="R373" s="9">
        <f t="shared" si="46"/>
        <v>0</v>
      </c>
      <c r="S373" s="8" t="str">
        <f t="array" ref="S373">IF(R373&gt;5,"Perlu Sensus",IF(AND(R373&gt;=0,O373&gt;0),"Tetap Deteksi","Belum Deteksi"))</f>
        <v>Belum Deteksi</v>
      </c>
      <c r="T373" s="8"/>
      <c r="U373" s="8"/>
      <c r="V373" s="11"/>
      <c r="W373" s="8"/>
      <c r="X373" s="8"/>
      <c r="Y373" s="9">
        <f t="shared" si="45"/>
        <v>0</v>
      </c>
      <c r="Z373" s="8" t="str">
        <f t="array" ref="Z373">IF(Y373&gt;5,"Perlu Sensus",IF(AND(Y373&gt;0,,O373&gt;0),"Tetap Deteksi","Belum Deteksi"))</f>
        <v>Belum Deteksi</v>
      </c>
    </row>
    <row r="374" spans="1:26" x14ac:dyDescent="0.15">
      <c r="A374" s="8"/>
      <c r="B374" s="8"/>
      <c r="C374" s="8"/>
      <c r="D374" s="8"/>
      <c r="E374" s="9"/>
      <c r="F374" s="8"/>
      <c r="G374" s="10"/>
      <c r="H374" s="10"/>
      <c r="I374" s="10"/>
      <c r="J374" s="10"/>
      <c r="K374" s="10"/>
      <c r="L374" s="10"/>
      <c r="M374" s="10"/>
      <c r="N374" s="132"/>
      <c r="O374" s="8"/>
      <c r="P374" s="9">
        <f t="array" ref="P374">IFERROR(O374/G374*100,0)</f>
        <v>0</v>
      </c>
      <c r="Q374" s="8"/>
      <c r="R374" s="9">
        <f t="shared" si="46"/>
        <v>0</v>
      </c>
      <c r="S374" s="8" t="str">
        <f t="array" ref="S374">IF(R374&gt;5,"Perlu Sensus",IF(AND(R374&gt;=0,O374&gt;0),"Tetap Deteksi","Belum Deteksi"))</f>
        <v>Belum Deteksi</v>
      </c>
      <c r="T374" s="8"/>
      <c r="U374" s="8"/>
      <c r="V374" s="11"/>
      <c r="W374" s="8"/>
      <c r="X374" s="8"/>
      <c r="Y374" s="9">
        <f t="shared" si="45"/>
        <v>0</v>
      </c>
      <c r="Z374" s="8" t="str">
        <f t="array" ref="Z374">IF(Y374&gt;5,"Perlu Sensus",IF(AND(Y374&gt;0,,O374&gt;0),"Tetap Deteksi","Belum Deteksi"))</f>
        <v>Belum Deteksi</v>
      </c>
    </row>
    <row r="375" spans="1:26" x14ac:dyDescent="0.15">
      <c r="A375" s="8"/>
      <c r="B375" s="8"/>
      <c r="C375" s="8"/>
      <c r="D375" s="8"/>
      <c r="E375" s="9"/>
      <c r="F375" s="8"/>
      <c r="G375" s="10"/>
      <c r="H375" s="10"/>
      <c r="I375" s="10"/>
      <c r="J375" s="10"/>
      <c r="K375" s="10"/>
      <c r="L375" s="10"/>
      <c r="M375" s="10"/>
      <c r="N375" s="11"/>
      <c r="O375" s="8"/>
      <c r="P375" s="9">
        <f t="array" ref="P375">IFERROR(O375/G375*100,0)</f>
        <v>0</v>
      </c>
      <c r="Q375" s="8"/>
      <c r="R375" s="9">
        <f t="shared" si="46"/>
        <v>0</v>
      </c>
      <c r="S375" s="8" t="str">
        <f t="array" ref="S375">IF(R375&gt;5,"Perlu Sensus",IF(AND(R375&gt;=0,O375&gt;0),"Tetap Deteksi","Belum Deteksi"))</f>
        <v>Belum Deteksi</v>
      </c>
      <c r="T375" s="8"/>
      <c r="U375" s="8"/>
      <c r="V375" s="11"/>
      <c r="W375" s="8"/>
      <c r="X375" s="8"/>
      <c r="Y375" s="9">
        <f t="shared" si="45"/>
        <v>0</v>
      </c>
      <c r="Z375" s="8" t="str">
        <f t="array" ref="Z375">IF(Y375&gt;5,"Perlu Sensus",IF(AND(Y375&gt;0,,O375&gt;0),"Tetap Deteksi","Belum Deteksi"))</f>
        <v>Belum Deteksi</v>
      </c>
    </row>
    <row r="376" spans="1:26" x14ac:dyDescent="0.15">
      <c r="A376" s="8"/>
      <c r="B376" s="8"/>
      <c r="C376" s="8"/>
      <c r="D376" s="8"/>
      <c r="E376" s="9"/>
      <c r="F376" s="8"/>
      <c r="G376" s="10"/>
      <c r="H376" s="10"/>
      <c r="I376" s="10"/>
      <c r="J376" s="10"/>
      <c r="K376" s="10"/>
      <c r="L376" s="10"/>
      <c r="M376" s="10"/>
      <c r="N376" s="132"/>
      <c r="O376" s="8"/>
      <c r="P376" s="9">
        <f t="array" ref="P376">IFERROR(O376/G376*100,0)</f>
        <v>0</v>
      </c>
      <c r="Q376" s="8"/>
      <c r="R376" s="9">
        <f t="shared" si="46"/>
        <v>0</v>
      </c>
      <c r="S376" s="8" t="str">
        <f t="array" ref="S376">IF(R376&gt;5,"Perlu Sensus",IF(AND(R376&gt;=0,O376&gt;0),"Tetap Deteksi","Belum Deteksi"))</f>
        <v>Belum Deteksi</v>
      </c>
      <c r="T376" s="8"/>
      <c r="U376" s="8"/>
      <c r="V376" s="11"/>
      <c r="W376" s="8"/>
      <c r="X376" s="8"/>
      <c r="Y376" s="9">
        <f t="shared" si="45"/>
        <v>0</v>
      </c>
      <c r="Z376" s="8" t="str">
        <f t="array" ref="Z376">IF(Y376&gt;5,"Perlu Sensus",IF(AND(Y376&gt;0,,O376&gt;0),"Tetap Deteksi","Belum Deteksi"))</f>
        <v>Belum Deteksi</v>
      </c>
    </row>
    <row r="377" spans="1:26" x14ac:dyDescent="0.15">
      <c r="A377" s="8"/>
      <c r="B377" s="8"/>
      <c r="C377" s="8"/>
      <c r="D377" s="8"/>
      <c r="E377" s="9"/>
      <c r="F377" s="8"/>
      <c r="G377" s="10"/>
      <c r="H377" s="10"/>
      <c r="I377" s="10"/>
      <c r="J377" s="10"/>
      <c r="K377" s="10"/>
      <c r="L377" s="10"/>
      <c r="M377" s="10"/>
      <c r="N377" s="11"/>
      <c r="O377" s="8"/>
      <c r="P377" s="9">
        <f t="array" ref="P377">IFERROR(O377/G377*100,0)</f>
        <v>0</v>
      </c>
      <c r="Q377" s="8"/>
      <c r="R377" s="9">
        <f t="shared" si="46"/>
        <v>0</v>
      </c>
      <c r="S377" s="8" t="str">
        <f t="array" ref="S377">IF(R377&gt;5,"Perlu Sensus",IF(AND(R377&gt;=0,O377&gt;0),"Tetap Deteksi","Belum Deteksi"))</f>
        <v>Belum Deteksi</v>
      </c>
      <c r="T377" s="8"/>
      <c r="U377" s="8"/>
      <c r="V377" s="11"/>
      <c r="W377" s="8"/>
      <c r="X377" s="8"/>
      <c r="Y377" s="9">
        <f t="shared" si="45"/>
        <v>0</v>
      </c>
      <c r="Z377" s="8" t="str">
        <f t="array" ref="Z377">IF(Y377&gt;5,"Perlu Sensus",IF(AND(Y377&gt;0,,O377&gt;0),"Tetap Deteksi","Belum Deteksi"))</f>
        <v>Belum Deteksi</v>
      </c>
    </row>
    <row r="378" spans="1:26" x14ac:dyDescent="0.15">
      <c r="A378" s="8"/>
      <c r="B378" s="8"/>
      <c r="C378" s="8"/>
      <c r="D378" s="8"/>
      <c r="E378" s="9"/>
      <c r="F378" s="8"/>
      <c r="G378" s="10"/>
      <c r="H378" s="10"/>
      <c r="I378" s="10"/>
      <c r="J378" s="10"/>
      <c r="K378" s="10"/>
      <c r="L378" s="10"/>
      <c r="M378" s="10"/>
      <c r="N378" s="11"/>
      <c r="O378" s="8"/>
      <c r="P378" s="9">
        <f t="array" ref="P378">IFERROR(O378/G378*100,0)</f>
        <v>0</v>
      </c>
      <c r="Q378" s="8"/>
      <c r="R378" s="9">
        <f t="shared" si="46"/>
        <v>0</v>
      </c>
      <c r="S378" s="8" t="str">
        <f t="array" ref="S378">IF(R378&gt;5,"Perlu Sensus",IF(AND(R378&gt;=0,O378&gt;0),"Tetap Deteksi","Belum Deteksi"))</f>
        <v>Belum Deteksi</v>
      </c>
      <c r="T378" s="8"/>
      <c r="U378" s="8"/>
      <c r="V378" s="11"/>
      <c r="W378" s="8"/>
      <c r="X378" s="8"/>
      <c r="Y378" s="9">
        <f t="shared" si="45"/>
        <v>0</v>
      </c>
      <c r="Z378" s="8" t="str">
        <f t="array" ref="Z378">IF(Y378&gt;5,"Perlu Sensus",IF(AND(Y378&gt;0,,O378&gt;0),"Tetap Deteksi","Belum Deteksi"))</f>
        <v>Belum Deteksi</v>
      </c>
    </row>
    <row r="379" spans="1:26" x14ac:dyDescent="0.15">
      <c r="A379" s="8"/>
      <c r="B379" s="8"/>
      <c r="C379" s="8"/>
      <c r="D379" s="8"/>
      <c r="E379" s="9"/>
      <c r="F379" s="8"/>
      <c r="G379" s="10"/>
      <c r="H379" s="10"/>
      <c r="I379" s="10"/>
      <c r="J379" s="10"/>
      <c r="K379" s="10"/>
      <c r="L379" s="10"/>
      <c r="M379" s="10"/>
      <c r="N379" s="11"/>
      <c r="O379" s="8"/>
      <c r="P379" s="9">
        <f t="array" ref="P379">IFERROR(O379/G379*100,0)</f>
        <v>0</v>
      </c>
      <c r="Q379" s="8"/>
      <c r="R379" s="9">
        <f t="shared" si="46"/>
        <v>0</v>
      </c>
      <c r="S379" s="8" t="str">
        <f t="array" ref="S379">IF(R379&gt;5,"Perlu Sensus",IF(AND(R379&gt;=0,O379&gt;0),"Tetap Deteksi","Belum Deteksi"))</f>
        <v>Belum Deteksi</v>
      </c>
      <c r="T379" s="8"/>
      <c r="U379" s="8"/>
      <c r="V379" s="132"/>
      <c r="W379" s="8"/>
      <c r="X379" s="8"/>
      <c r="Y379" s="9">
        <f t="shared" si="45"/>
        <v>0</v>
      </c>
      <c r="Z379" s="8" t="str">
        <f t="array" ref="Z379">IF(Y379&gt;5,"Perlu Sensus",IF(AND(Y379&gt;0,,O379&gt;0),"Tetap Deteksi","Belum Deteksi"))</f>
        <v>Belum Deteksi</v>
      </c>
    </row>
    <row r="380" spans="1:26" x14ac:dyDescent="0.15">
      <c r="A380" s="8"/>
      <c r="B380" s="8"/>
      <c r="C380" s="8"/>
      <c r="D380" s="8"/>
      <c r="E380" s="9"/>
      <c r="F380" s="8"/>
      <c r="G380" s="10"/>
      <c r="H380" s="10"/>
      <c r="I380" s="10"/>
      <c r="J380" s="10"/>
      <c r="K380" s="10"/>
      <c r="L380" s="10"/>
      <c r="M380" s="10"/>
      <c r="N380" s="11"/>
      <c r="O380" s="8"/>
      <c r="P380" s="9">
        <f t="array" ref="P380">IFERROR(O380/G380*100,0)</f>
        <v>0</v>
      </c>
      <c r="Q380" s="8"/>
      <c r="R380" s="9">
        <f t="shared" si="46"/>
        <v>0</v>
      </c>
      <c r="S380" s="8" t="str">
        <f t="array" ref="S380">IF(R380&gt;5,"Perlu Sensus",IF(AND(R380&gt;=0,O380&gt;0),"Tetap Deteksi","Belum Deteksi"))</f>
        <v>Belum Deteksi</v>
      </c>
      <c r="T380" s="8"/>
      <c r="U380" s="8"/>
      <c r="V380" s="132"/>
      <c r="W380" s="8"/>
      <c r="X380" s="8"/>
      <c r="Y380" s="9">
        <f t="shared" si="45"/>
        <v>0</v>
      </c>
      <c r="Z380" s="8" t="str">
        <f t="array" ref="Z380">IF(Y380&gt;5,"Perlu Sensus",IF(AND(Y380&gt;0,,O380&gt;0),"Tetap Deteksi","Belum Deteksi"))</f>
        <v>Belum Deteksi</v>
      </c>
    </row>
    <row r="381" spans="1:26" x14ac:dyDescent="0.15">
      <c r="A381" s="8"/>
      <c r="B381" s="8"/>
      <c r="C381" s="8"/>
      <c r="D381" s="8"/>
      <c r="E381" s="9"/>
      <c r="F381" s="8"/>
      <c r="G381" s="10"/>
      <c r="H381" s="10"/>
      <c r="I381" s="10"/>
      <c r="J381" s="10"/>
      <c r="K381" s="10"/>
      <c r="L381" s="10"/>
      <c r="M381" s="10"/>
      <c r="N381" s="11"/>
      <c r="O381" s="8"/>
      <c r="P381" s="9">
        <f t="array" ref="P381">IFERROR(O381/G381*100,0)</f>
        <v>0</v>
      </c>
      <c r="Q381" s="8"/>
      <c r="R381" s="9">
        <f t="shared" si="46"/>
        <v>0</v>
      </c>
      <c r="S381" s="8" t="str">
        <f t="array" ref="S381">IF(R381&gt;5,"Perlu Sensus",IF(AND(R381&gt;=0,O381&gt;0),"Tetap Deteksi","Belum Deteksi"))</f>
        <v>Belum Deteksi</v>
      </c>
      <c r="T381" s="8"/>
      <c r="U381" s="8"/>
      <c r="V381" s="132"/>
      <c r="W381" s="8"/>
      <c r="X381" s="8"/>
      <c r="Y381" s="9">
        <f t="shared" si="45"/>
        <v>0</v>
      </c>
      <c r="Z381" s="8" t="str">
        <f t="array" ref="Z381">IF(Y381&gt;5,"Perlu Sensus",IF(AND(Y381&gt;0,,O381&gt;0),"Tetap Deteksi","Belum Deteksi"))</f>
        <v>Belum Deteksi</v>
      </c>
    </row>
    <row r="382" spans="1:26" x14ac:dyDescent="0.15">
      <c r="A382" s="8"/>
      <c r="B382" s="8"/>
      <c r="C382" s="8"/>
      <c r="D382" s="8"/>
      <c r="E382" s="9"/>
      <c r="F382" s="8"/>
      <c r="G382" s="10"/>
      <c r="H382" s="10"/>
      <c r="I382" s="10"/>
      <c r="J382" s="10"/>
      <c r="K382" s="10"/>
      <c r="L382" s="10"/>
      <c r="M382" s="10"/>
      <c r="N382" s="11"/>
      <c r="O382" s="8"/>
      <c r="P382" s="9">
        <f t="array" ref="P382">IFERROR(O382/G382*100,0)</f>
        <v>0</v>
      </c>
      <c r="Q382" s="8"/>
      <c r="R382" s="9">
        <f t="shared" si="46"/>
        <v>0</v>
      </c>
      <c r="S382" s="8" t="str">
        <f t="array" ref="S382">IF(R382&gt;5,"Perlu Sensus",IF(AND(R382&gt;=0,O382&gt;0),"Tetap Deteksi","Belum Deteksi"))</f>
        <v>Belum Deteksi</v>
      </c>
      <c r="T382" s="8"/>
      <c r="U382" s="8"/>
      <c r="V382" s="11"/>
      <c r="W382" s="8"/>
      <c r="X382" s="8"/>
      <c r="Y382" s="9">
        <f t="shared" si="45"/>
        <v>0</v>
      </c>
      <c r="Z382" s="8" t="str">
        <f t="array" ref="Z382">IF(Y382&gt;5,"Perlu Sensus",IF(AND(Y382&gt;0,,O382&gt;0),"Tetap Deteksi","Belum Deteksi"))</f>
        <v>Belum Deteksi</v>
      </c>
    </row>
    <row r="383" spans="1:26" x14ac:dyDescent="0.15">
      <c r="A383" s="8"/>
      <c r="B383" s="8"/>
      <c r="C383" s="8"/>
      <c r="D383" s="8"/>
      <c r="E383" s="9"/>
      <c r="F383" s="8"/>
      <c r="G383" s="10"/>
      <c r="H383" s="10"/>
      <c r="I383" s="10"/>
      <c r="J383" s="10"/>
      <c r="K383" s="10"/>
      <c r="L383" s="10"/>
      <c r="M383" s="10"/>
      <c r="N383" s="11"/>
      <c r="O383" s="8"/>
      <c r="P383" s="9">
        <f t="array" ref="P383">IFERROR(O383/G383*100,0)</f>
        <v>0</v>
      </c>
      <c r="Q383" s="8"/>
      <c r="R383" s="9">
        <f t="shared" si="46"/>
        <v>0</v>
      </c>
      <c r="S383" s="8" t="str">
        <f t="array" ref="S383">IF(R383&gt;5,"Perlu Sensus",IF(AND(R383&gt;=0,O383&gt;0),"Tetap Deteksi","Belum Deteksi"))</f>
        <v>Belum Deteksi</v>
      </c>
      <c r="T383" s="8"/>
      <c r="U383" s="8"/>
      <c r="V383" s="11"/>
      <c r="W383" s="8"/>
      <c r="X383" s="8"/>
      <c r="Y383" s="9">
        <f t="shared" si="45"/>
        <v>0</v>
      </c>
      <c r="Z383" s="8" t="str">
        <f t="array" ref="Z383">IF(Y383&gt;5,"Perlu Sensus",IF(AND(Y383&gt;0,,O383&gt;0),"Tetap Deteksi","Belum Deteksi"))</f>
        <v>Belum Deteksi</v>
      </c>
    </row>
    <row r="384" spans="1:26" x14ac:dyDescent="0.15">
      <c r="A384" s="8"/>
      <c r="B384" s="8"/>
      <c r="C384" s="8"/>
      <c r="D384" s="8"/>
      <c r="E384" s="9"/>
      <c r="F384" s="8"/>
      <c r="G384" s="10"/>
      <c r="H384" s="10"/>
      <c r="I384" s="10"/>
      <c r="J384" s="10"/>
      <c r="K384" s="10"/>
      <c r="L384" s="10"/>
      <c r="M384" s="10"/>
      <c r="N384" s="11"/>
      <c r="O384" s="8"/>
      <c r="P384" s="9">
        <f t="array" ref="P384">IFERROR(O384/G384*100,0)</f>
        <v>0</v>
      </c>
      <c r="Q384" s="8"/>
      <c r="R384" s="9">
        <f t="shared" si="46"/>
        <v>0</v>
      </c>
      <c r="S384" s="8" t="str">
        <f t="array" ref="S384">IF(R384&gt;5,"Perlu Sensus",IF(AND(R384&gt;=0,O384&gt;0),"Tetap Deteksi","Belum Deteksi"))</f>
        <v>Belum Deteksi</v>
      </c>
      <c r="T384" s="8"/>
      <c r="U384" s="8"/>
      <c r="V384" s="132"/>
      <c r="W384" s="8"/>
      <c r="X384" s="8"/>
      <c r="Y384" s="9">
        <f t="shared" si="45"/>
        <v>0</v>
      </c>
      <c r="Z384" s="8" t="str">
        <f t="array" ref="Z384">IF(Y384&gt;5,"Perlu Sensus",IF(AND(Y384&gt;0,,O384&gt;0),"Tetap Deteksi","Belum Deteksi"))</f>
        <v>Belum Deteksi</v>
      </c>
    </row>
    <row r="385" spans="1:26" x14ac:dyDescent="0.15">
      <c r="A385" s="8"/>
      <c r="B385" s="8"/>
      <c r="C385" s="8"/>
      <c r="D385" s="8"/>
      <c r="E385" s="9"/>
      <c r="F385" s="8"/>
      <c r="G385" s="10"/>
      <c r="H385" s="10"/>
      <c r="I385" s="10"/>
      <c r="J385" s="10"/>
      <c r="K385" s="10"/>
      <c r="L385" s="10"/>
      <c r="M385" s="10"/>
      <c r="N385" s="11"/>
      <c r="O385" s="8"/>
      <c r="P385" s="9">
        <f t="array" ref="P385">IFERROR(O385/G385*100,0)</f>
        <v>0</v>
      </c>
      <c r="Q385" s="8"/>
      <c r="R385" s="9">
        <f t="shared" si="46"/>
        <v>0</v>
      </c>
      <c r="S385" s="8" t="str">
        <f t="array" ref="S385">IF(R385&gt;5,"Perlu Sensus",IF(AND(R385&gt;=0,O385&gt;0),"Tetap Deteksi","Belum Deteksi"))</f>
        <v>Belum Deteksi</v>
      </c>
      <c r="T385" s="8"/>
      <c r="U385" s="8"/>
      <c r="V385" s="11"/>
      <c r="W385" s="8"/>
      <c r="X385" s="8"/>
      <c r="Y385" s="9">
        <f t="shared" si="45"/>
        <v>0</v>
      </c>
      <c r="Z385" s="8" t="str">
        <f t="array" ref="Z385">IF(Y385&gt;5,"Perlu Sensus",IF(AND(Y385&gt;0,,O385&gt;0),"Tetap Deteksi","Belum Deteksi"))</f>
        <v>Belum Deteksi</v>
      </c>
    </row>
    <row r="386" spans="1:26" x14ac:dyDescent="0.15">
      <c r="A386" s="8"/>
      <c r="B386" s="8"/>
      <c r="C386" s="8"/>
      <c r="D386" s="8"/>
      <c r="E386" s="9"/>
      <c r="F386" s="8"/>
      <c r="G386" s="10"/>
      <c r="H386" s="10"/>
      <c r="I386" s="10"/>
      <c r="J386" s="10"/>
      <c r="K386" s="10"/>
      <c r="L386" s="10"/>
      <c r="M386" s="10"/>
      <c r="N386" s="132"/>
      <c r="O386" s="8"/>
      <c r="P386" s="9">
        <f t="array" ref="P386">IFERROR(O386/G386*100,0)</f>
        <v>0</v>
      </c>
      <c r="Q386" s="8"/>
      <c r="R386" s="9">
        <f t="shared" si="46"/>
        <v>0</v>
      </c>
      <c r="S386" s="8" t="str">
        <f t="array" ref="S386">IF(R386&gt;5,"Perlu Sensus",IF(AND(R386&gt;=0,O386&gt;0),"Tetap Deteksi","Belum Deteksi"))</f>
        <v>Belum Deteksi</v>
      </c>
      <c r="T386" s="8"/>
      <c r="U386" s="8"/>
      <c r="V386" s="11"/>
      <c r="W386" s="8"/>
      <c r="X386" s="8"/>
      <c r="Y386" s="9">
        <f t="shared" si="45"/>
        <v>0</v>
      </c>
      <c r="Z386" s="8" t="str">
        <f t="array" ref="Z386">IF(Y386&gt;5,"Perlu Sensus",IF(AND(Y386&gt;0,,O386&gt;0),"Tetap Deteksi","Belum Deteksi"))</f>
        <v>Belum Deteksi</v>
      </c>
    </row>
    <row r="387" spans="1:26" x14ac:dyDescent="0.15">
      <c r="A387" s="8"/>
      <c r="B387" s="8"/>
      <c r="C387" s="8"/>
      <c r="D387" s="8"/>
      <c r="E387" s="9"/>
      <c r="F387" s="8"/>
      <c r="G387" s="10"/>
      <c r="H387" s="10"/>
      <c r="I387" s="10"/>
      <c r="J387" s="10"/>
      <c r="K387" s="10"/>
      <c r="L387" s="10"/>
      <c r="M387" s="10"/>
      <c r="N387" s="11"/>
      <c r="O387" s="8"/>
      <c r="P387" s="9">
        <f t="array" ref="P387">IFERROR(O387/G387*100,0)</f>
        <v>0</v>
      </c>
      <c r="Q387" s="8"/>
      <c r="R387" s="9">
        <f t="shared" si="46"/>
        <v>0</v>
      </c>
      <c r="S387" s="8" t="str">
        <f t="array" ref="S387">IF(R387&gt;5,"Perlu Sensus",IF(AND(R387&gt;=0,O387&gt;0),"Tetap Deteksi","Belum Deteksi"))</f>
        <v>Belum Deteksi</v>
      </c>
      <c r="T387" s="8"/>
      <c r="U387" s="8"/>
      <c r="V387" s="132"/>
      <c r="W387" s="8"/>
      <c r="X387" s="8"/>
      <c r="Y387" s="9">
        <f t="shared" si="45"/>
        <v>0</v>
      </c>
      <c r="Z387" s="8" t="str">
        <f t="array" ref="Z387">IF(Y387&gt;5,"Perlu Sensus",IF(AND(Y387&gt;0,,O387&gt;0),"Tetap Deteksi","Belum Deteksi"))</f>
        <v>Belum Deteksi</v>
      </c>
    </row>
    <row r="388" spans="1:26" x14ac:dyDescent="0.15">
      <c r="A388" s="8"/>
      <c r="B388" s="8"/>
      <c r="C388" s="8"/>
      <c r="D388" s="8"/>
      <c r="E388" s="9"/>
      <c r="F388" s="8"/>
      <c r="G388" s="10"/>
      <c r="H388" s="10"/>
      <c r="I388" s="10"/>
      <c r="J388" s="10"/>
      <c r="K388" s="10"/>
      <c r="L388" s="10"/>
      <c r="M388" s="10"/>
      <c r="N388" s="132"/>
      <c r="O388" s="8"/>
      <c r="P388" s="9">
        <f t="array" ref="P388">IFERROR(O388/G388*100,0)</f>
        <v>0</v>
      </c>
      <c r="Q388" s="8"/>
      <c r="R388" s="9">
        <f t="shared" si="46"/>
        <v>0</v>
      </c>
      <c r="S388" s="8" t="str">
        <f t="array" ref="S388">IF(R388&gt;5,"Perlu Sensus",IF(AND(R388&gt;=0,O388&gt;0),"Tetap Deteksi","Belum Deteksi"))</f>
        <v>Belum Deteksi</v>
      </c>
      <c r="T388" s="8"/>
      <c r="U388" s="8"/>
      <c r="V388" s="132"/>
      <c r="W388" s="8"/>
      <c r="X388" s="8"/>
      <c r="Y388" s="9">
        <f t="shared" si="45"/>
        <v>0</v>
      </c>
      <c r="Z388" s="8" t="str">
        <f t="array" ref="Z388">IF(Y388&gt;5,"Perlu Sensus",IF(AND(Y388&gt;0,,O388&gt;0),"Tetap Deteksi","Belum Deteksi"))</f>
        <v>Belum Deteksi</v>
      </c>
    </row>
    <row r="389" spans="1:26" x14ac:dyDescent="0.15">
      <c r="A389" s="8"/>
      <c r="B389" s="8"/>
      <c r="C389" s="8"/>
      <c r="D389" s="8"/>
      <c r="E389" s="9"/>
      <c r="F389" s="8"/>
      <c r="G389" s="10"/>
      <c r="H389" s="10"/>
      <c r="I389" s="10"/>
      <c r="J389" s="10"/>
      <c r="K389" s="10"/>
      <c r="L389" s="10"/>
      <c r="M389" s="10"/>
      <c r="N389" s="132"/>
      <c r="O389" s="8"/>
      <c r="P389" s="9">
        <f t="array" ref="P389">IFERROR(O389/G389*100,0)</f>
        <v>0</v>
      </c>
      <c r="Q389" s="8"/>
      <c r="R389" s="9">
        <f t="shared" si="46"/>
        <v>0</v>
      </c>
      <c r="S389" s="8" t="str">
        <f t="array" ref="S389">IF(R389&gt;5,"Perlu Sensus",IF(AND(R389&gt;=0,O389&gt;0),"Tetap Deteksi","Belum Deteksi"))</f>
        <v>Belum Deteksi</v>
      </c>
      <c r="T389" s="8"/>
      <c r="U389" s="8"/>
      <c r="V389" s="132"/>
      <c r="W389" s="8"/>
      <c r="X389" s="8"/>
      <c r="Y389" s="9">
        <f t="shared" si="45"/>
        <v>0</v>
      </c>
      <c r="Z389" s="8" t="str">
        <f t="array" ref="Z389">IF(Y389&gt;5,"Perlu Sensus",IF(AND(Y389&gt;0,,O389&gt;0),"Tetap Deteksi","Belum Deteksi"))</f>
        <v>Belum Deteksi</v>
      </c>
    </row>
    <row r="390" spans="1:26" x14ac:dyDescent="0.15">
      <c r="A390" s="8"/>
      <c r="B390" s="8"/>
      <c r="C390" s="8"/>
      <c r="D390" s="8"/>
      <c r="E390" s="9"/>
      <c r="F390" s="8"/>
      <c r="G390" s="10"/>
      <c r="H390" s="10"/>
      <c r="I390" s="10"/>
      <c r="J390" s="10"/>
      <c r="K390" s="10"/>
      <c r="L390" s="10"/>
      <c r="M390" s="10"/>
      <c r="N390" s="132"/>
      <c r="O390" s="8"/>
      <c r="P390" s="9">
        <f t="array" ref="P390">IFERROR(O390/G390*100,0)</f>
        <v>0</v>
      </c>
      <c r="Q390" s="8"/>
      <c r="R390" s="9">
        <f t="shared" si="46"/>
        <v>0</v>
      </c>
      <c r="S390" s="8" t="str">
        <f t="array" ref="S390">IF(R390&gt;5,"Perlu Sensus",IF(AND(R390&gt;=0,O390&gt;0),"Tetap Deteksi","Belum Deteksi"))</f>
        <v>Belum Deteksi</v>
      </c>
      <c r="T390" s="8"/>
      <c r="U390" s="8"/>
      <c r="V390" s="11"/>
      <c r="W390" s="8"/>
      <c r="X390" s="8"/>
      <c r="Y390" s="9">
        <f t="shared" ref="Y390:Y435" si="47">IFERROR(X390/W390*100,0)</f>
        <v>0</v>
      </c>
      <c r="Z390" s="8" t="str">
        <f t="array" ref="Z390">IF(Y390&gt;5,"Perlu Sensus",IF(AND(Y390&gt;0,,O390&gt;0),"Tetap Deteksi","Belum Deteksi"))</f>
        <v>Belum Deteksi</v>
      </c>
    </row>
    <row r="391" spans="1:26" x14ac:dyDescent="0.15">
      <c r="A391" s="8"/>
      <c r="B391" s="8"/>
      <c r="C391" s="8"/>
      <c r="D391" s="8"/>
      <c r="E391" s="9"/>
      <c r="F391" s="8"/>
      <c r="G391" s="10"/>
      <c r="H391" s="10"/>
      <c r="I391" s="10"/>
      <c r="J391" s="10"/>
      <c r="K391" s="10"/>
      <c r="L391" s="10"/>
      <c r="M391" s="10"/>
      <c r="N391" s="132"/>
      <c r="O391" s="8"/>
      <c r="P391" s="9">
        <f t="array" ref="P391">IFERROR(O391/G391*100,0)</f>
        <v>0</v>
      </c>
      <c r="Q391" s="8"/>
      <c r="R391" s="9">
        <f t="shared" si="46"/>
        <v>0</v>
      </c>
      <c r="S391" s="8" t="str">
        <f t="array" ref="S391">IF(R391&gt;5,"Perlu Sensus",IF(AND(R391&gt;=0,O391&gt;0),"Tetap Deteksi","Belum Deteksi"))</f>
        <v>Belum Deteksi</v>
      </c>
      <c r="T391" s="8"/>
      <c r="U391" s="8"/>
      <c r="V391" s="132"/>
      <c r="W391" s="8"/>
      <c r="X391" s="8"/>
      <c r="Y391" s="9">
        <f t="shared" si="47"/>
        <v>0</v>
      </c>
      <c r="Z391" s="8" t="str">
        <f t="array" ref="Z391">IF(Y391&gt;5,"Perlu Sensus",IF(AND(Y391&gt;0,,O391&gt;0),"Tetap Deteksi","Belum Deteksi"))</f>
        <v>Belum Deteksi</v>
      </c>
    </row>
    <row r="392" spans="1:26" x14ac:dyDescent="0.15">
      <c r="A392" s="8"/>
      <c r="B392" s="8"/>
      <c r="C392" s="8"/>
      <c r="D392" s="8"/>
      <c r="E392" s="9"/>
      <c r="F392" s="8"/>
      <c r="G392" s="10"/>
      <c r="H392" s="10"/>
      <c r="I392" s="10"/>
      <c r="J392" s="10"/>
      <c r="K392" s="10"/>
      <c r="L392" s="10"/>
      <c r="M392" s="10"/>
      <c r="N392" s="11"/>
      <c r="O392" s="8"/>
      <c r="P392" s="9">
        <f t="array" ref="P392">IFERROR(O392/G392*100,0)</f>
        <v>0</v>
      </c>
      <c r="Q392" s="8"/>
      <c r="R392" s="9">
        <f t="shared" si="46"/>
        <v>0</v>
      </c>
      <c r="S392" s="8" t="str">
        <f t="array" ref="S392">IF(R392&gt;5,"Perlu Sensus",IF(AND(R392&gt;=0,O392&gt;0),"Tetap Deteksi","Belum Deteksi"))</f>
        <v>Belum Deteksi</v>
      </c>
      <c r="T392" s="8"/>
      <c r="U392" s="8"/>
      <c r="V392" s="11"/>
      <c r="W392" s="8"/>
      <c r="X392" s="8"/>
      <c r="Y392" s="9">
        <f t="shared" si="47"/>
        <v>0</v>
      </c>
      <c r="Z392" s="8" t="str">
        <f t="array" ref="Z392">IF(Y392&gt;5,"Perlu Sensus",IF(AND(Y392&gt;0,,O392&gt;0),"Tetap Deteksi","Belum Deteksi"))</f>
        <v>Belum Deteksi</v>
      </c>
    </row>
    <row r="393" spans="1:26" x14ac:dyDescent="0.15">
      <c r="A393" s="8"/>
      <c r="B393" s="8"/>
      <c r="C393" s="8"/>
      <c r="D393" s="8"/>
      <c r="E393" s="9"/>
      <c r="F393" s="8"/>
      <c r="G393" s="10"/>
      <c r="H393" s="10"/>
      <c r="I393" s="10"/>
      <c r="J393" s="10"/>
      <c r="K393" s="10"/>
      <c r="L393" s="10"/>
      <c r="M393" s="10"/>
      <c r="N393" s="11"/>
      <c r="O393" s="8"/>
      <c r="P393" s="9">
        <f t="array" ref="P393">IFERROR(O393/G393*100,0)</f>
        <v>0</v>
      </c>
      <c r="Q393" s="8"/>
      <c r="R393" s="9">
        <f t="shared" si="46"/>
        <v>0</v>
      </c>
      <c r="S393" s="8" t="str">
        <f t="array" ref="S393">IF(R393&gt;5,"Perlu Sensus",IF(AND(R393&gt;=0,O393&gt;0),"Tetap Deteksi","Belum Deteksi"))</f>
        <v>Belum Deteksi</v>
      </c>
      <c r="T393" s="8"/>
      <c r="U393" s="8"/>
      <c r="V393" s="11"/>
      <c r="W393" s="8"/>
      <c r="X393" s="8"/>
      <c r="Y393" s="9">
        <f t="shared" si="47"/>
        <v>0</v>
      </c>
      <c r="Z393" s="8" t="str">
        <f t="array" ref="Z393">IF(Y393&gt;5,"Perlu Sensus",IF(AND(Y393&gt;0,,O393&gt;0),"Tetap Deteksi","Belum Deteksi"))</f>
        <v>Belum Deteksi</v>
      </c>
    </row>
    <row r="394" spans="1:26" x14ac:dyDescent="0.15">
      <c r="A394" s="8"/>
      <c r="B394" s="8"/>
      <c r="C394" s="8"/>
      <c r="D394" s="8"/>
      <c r="E394" s="9"/>
      <c r="F394" s="8"/>
      <c r="G394" s="10"/>
      <c r="H394" s="10"/>
      <c r="I394" s="10"/>
      <c r="J394" s="10"/>
      <c r="K394" s="10"/>
      <c r="L394" s="10"/>
      <c r="M394" s="10"/>
      <c r="N394" s="11"/>
      <c r="O394" s="8"/>
      <c r="P394" s="9">
        <f t="array" ref="P394">IFERROR(O394/G394*100,0)</f>
        <v>0</v>
      </c>
      <c r="Q394" s="8"/>
      <c r="R394" s="9">
        <f t="shared" si="46"/>
        <v>0</v>
      </c>
      <c r="S394" s="8" t="str">
        <f t="array" ref="S394">IF(R394&gt;5,"Perlu Sensus",IF(AND(R394&gt;=0,O394&gt;0),"Tetap Deteksi","Belum Deteksi"))</f>
        <v>Belum Deteksi</v>
      </c>
      <c r="T394" s="8"/>
      <c r="U394" s="8"/>
      <c r="V394" s="11"/>
      <c r="W394" s="8"/>
      <c r="X394" s="8"/>
      <c r="Y394" s="9">
        <f t="shared" si="47"/>
        <v>0</v>
      </c>
      <c r="Z394" s="8" t="str">
        <f t="array" ref="Z394">IF(Y394&gt;5,"Perlu Sensus",IF(AND(Y394&gt;0,,O394&gt;0),"Tetap Deteksi","Belum Deteksi"))</f>
        <v>Belum Deteksi</v>
      </c>
    </row>
    <row r="395" spans="1:26" x14ac:dyDescent="0.15">
      <c r="A395" s="8"/>
      <c r="B395" s="8"/>
      <c r="C395" s="8"/>
      <c r="D395" s="8"/>
      <c r="E395" s="9"/>
      <c r="F395" s="8"/>
      <c r="G395" s="10"/>
      <c r="H395" s="10"/>
      <c r="I395" s="10"/>
      <c r="J395" s="10"/>
      <c r="K395" s="10"/>
      <c r="L395" s="10"/>
      <c r="M395" s="10"/>
      <c r="N395" s="11"/>
      <c r="O395" s="8"/>
      <c r="P395" s="9">
        <f t="array" ref="P395">IFERROR(O395/G395*100,0)</f>
        <v>0</v>
      </c>
      <c r="Q395" s="8"/>
      <c r="R395" s="9">
        <f t="shared" si="46"/>
        <v>0</v>
      </c>
      <c r="S395" s="8" t="str">
        <f t="array" ref="S395">IF(R395&gt;5,"Perlu Sensus",IF(AND(R395&gt;=0,O395&gt;0),"Tetap Deteksi","Belum Deteksi"))</f>
        <v>Belum Deteksi</v>
      </c>
      <c r="T395" s="8"/>
      <c r="U395" s="8"/>
      <c r="V395" s="11"/>
      <c r="W395" s="8"/>
      <c r="X395" s="8"/>
      <c r="Y395" s="9">
        <f t="shared" si="47"/>
        <v>0</v>
      </c>
      <c r="Z395" s="8" t="str">
        <f t="array" ref="Z395">IF(Y395&gt;5,"Perlu Sensus",IF(AND(Y395&gt;0,,O395&gt;0),"Tetap Deteksi","Belum Deteksi"))</f>
        <v>Belum Deteksi</v>
      </c>
    </row>
    <row r="396" spans="1:26" x14ac:dyDescent="0.15">
      <c r="A396" s="8"/>
      <c r="B396" s="8"/>
      <c r="C396" s="8"/>
      <c r="D396" s="8"/>
      <c r="E396" s="9"/>
      <c r="F396" s="8"/>
      <c r="G396" s="10"/>
      <c r="H396" s="10"/>
      <c r="I396" s="10"/>
      <c r="J396" s="10"/>
      <c r="K396" s="10"/>
      <c r="L396" s="10"/>
      <c r="M396" s="10"/>
      <c r="N396" s="11"/>
      <c r="O396" s="8"/>
      <c r="P396" s="9">
        <f t="array" ref="P396">IFERROR(O396/G396*100,0)</f>
        <v>0</v>
      </c>
      <c r="Q396" s="8"/>
      <c r="R396" s="9">
        <f t="shared" si="46"/>
        <v>0</v>
      </c>
      <c r="S396" s="8" t="str">
        <f t="array" ref="S396">IF(R396&gt;5,"Perlu Sensus",IF(AND(R396&gt;=0,O396&gt;0),"Tetap Deteksi","Belum Deteksi"))</f>
        <v>Belum Deteksi</v>
      </c>
      <c r="T396" s="8"/>
      <c r="U396" s="8"/>
      <c r="V396" s="11"/>
      <c r="W396" s="8"/>
      <c r="X396" s="8"/>
      <c r="Y396" s="9">
        <f t="shared" si="47"/>
        <v>0</v>
      </c>
      <c r="Z396" s="8" t="str">
        <f t="array" ref="Z396">IF(Y396&gt;5,"Perlu Sensus",IF(AND(Y396&gt;0,,O396&gt;0),"Tetap Deteksi","Belum Deteksi"))</f>
        <v>Belum Deteksi</v>
      </c>
    </row>
    <row r="397" spans="1:26" x14ac:dyDescent="0.15">
      <c r="A397" s="8"/>
      <c r="B397" s="8"/>
      <c r="C397" s="8"/>
      <c r="D397" s="8"/>
      <c r="E397" s="9"/>
      <c r="F397" s="8"/>
      <c r="G397" s="10"/>
      <c r="H397" s="10"/>
      <c r="I397" s="10"/>
      <c r="J397" s="10"/>
      <c r="K397" s="10"/>
      <c r="L397" s="10"/>
      <c r="M397" s="10"/>
      <c r="N397" s="11"/>
      <c r="O397" s="8"/>
      <c r="P397" s="9">
        <f t="array" ref="P397">IFERROR(O397/G397*100,0)</f>
        <v>0</v>
      </c>
      <c r="Q397" s="8"/>
      <c r="R397" s="9">
        <f t="shared" si="46"/>
        <v>0</v>
      </c>
      <c r="S397" s="8" t="str">
        <f t="array" ref="S397">IF(R397&gt;5,"Perlu Sensus",IF(AND(R397&gt;=0,O397&gt;0),"Tetap Deteksi","Belum Deteksi"))</f>
        <v>Belum Deteksi</v>
      </c>
      <c r="T397" s="8"/>
      <c r="U397" s="8"/>
      <c r="V397" s="11"/>
      <c r="W397" s="8"/>
      <c r="X397" s="8"/>
      <c r="Y397" s="9">
        <f t="shared" si="47"/>
        <v>0</v>
      </c>
      <c r="Z397" s="8" t="str">
        <f t="array" ref="Z397">IF(Y397&gt;5,"Perlu Sensus",IF(AND(Y397&gt;0,,O397&gt;0),"Tetap Deteksi","Belum Deteksi"))</f>
        <v>Belum Deteksi</v>
      </c>
    </row>
    <row r="398" spans="1:26" x14ac:dyDescent="0.15">
      <c r="A398" s="8"/>
      <c r="B398" s="8"/>
      <c r="C398" s="8"/>
      <c r="D398" s="8"/>
      <c r="E398" s="9"/>
      <c r="F398" s="8"/>
      <c r="G398" s="10"/>
      <c r="H398" s="10"/>
      <c r="I398" s="10"/>
      <c r="J398" s="10"/>
      <c r="K398" s="10"/>
      <c r="L398" s="10"/>
      <c r="M398" s="10"/>
      <c r="N398" s="11"/>
      <c r="O398" s="8"/>
      <c r="P398" s="9">
        <f t="array" ref="P398">IFERROR(O398/G398*100,0)</f>
        <v>0</v>
      </c>
      <c r="Q398" s="8"/>
      <c r="R398" s="9">
        <f t="shared" si="46"/>
        <v>0</v>
      </c>
      <c r="S398" s="8" t="str">
        <f t="array" ref="S398">IF(R398&gt;5,"Perlu Sensus",IF(AND(R398&gt;=0,O398&gt;0),"Tetap Deteksi","Belum Deteksi"))</f>
        <v>Belum Deteksi</v>
      </c>
      <c r="T398" s="8"/>
      <c r="U398" s="8"/>
      <c r="V398" s="11"/>
      <c r="W398" s="8"/>
      <c r="X398" s="8"/>
      <c r="Y398" s="9">
        <f t="shared" si="47"/>
        <v>0</v>
      </c>
      <c r="Z398" s="8" t="str">
        <f t="array" ref="Z398">IF(Y398&gt;5,"Perlu Sensus",IF(AND(Y398&gt;0,,O398&gt;0),"Tetap Deteksi","Belum Deteksi"))</f>
        <v>Belum Deteksi</v>
      </c>
    </row>
    <row r="399" spans="1:26" x14ac:dyDescent="0.15">
      <c r="A399" s="8"/>
      <c r="B399" s="8"/>
      <c r="C399" s="8"/>
      <c r="D399" s="8"/>
      <c r="E399" s="9"/>
      <c r="F399" s="8"/>
      <c r="G399" s="10"/>
      <c r="H399" s="10"/>
      <c r="I399" s="10"/>
      <c r="J399" s="10"/>
      <c r="K399" s="10"/>
      <c r="L399" s="10"/>
      <c r="M399" s="10"/>
      <c r="N399" s="11"/>
      <c r="O399" s="8"/>
      <c r="P399" s="9">
        <f t="array" ref="P399">IFERROR(O399/G399*100,0)</f>
        <v>0</v>
      </c>
      <c r="Q399" s="8"/>
      <c r="R399" s="9">
        <f t="shared" si="46"/>
        <v>0</v>
      </c>
      <c r="S399" s="8" t="str">
        <f t="array" ref="S399">IF(R399&gt;5,"Perlu Sensus",IF(AND(R399&gt;=0,O399&gt;0),"Tetap Deteksi","Belum Deteksi"))</f>
        <v>Belum Deteksi</v>
      </c>
      <c r="T399" s="8"/>
      <c r="U399" s="8"/>
      <c r="V399" s="11"/>
      <c r="W399" s="8"/>
      <c r="X399" s="8"/>
      <c r="Y399" s="9">
        <f t="shared" si="47"/>
        <v>0</v>
      </c>
      <c r="Z399" s="8" t="str">
        <f t="array" ref="Z399">IF(Y399&gt;5,"Perlu Sensus",IF(AND(Y399&gt;0,,O399&gt;0),"Tetap Deteksi","Belum Deteksi"))</f>
        <v>Belum Deteksi</v>
      </c>
    </row>
    <row r="400" spans="1:26" x14ac:dyDescent="0.15">
      <c r="A400" s="8"/>
      <c r="B400" s="8"/>
      <c r="C400" s="8"/>
      <c r="D400" s="8"/>
      <c r="E400" s="9"/>
      <c r="F400" s="8"/>
      <c r="G400" s="10"/>
      <c r="H400" s="10"/>
      <c r="I400" s="10"/>
      <c r="J400" s="10"/>
      <c r="K400" s="10"/>
      <c r="L400" s="10"/>
      <c r="M400" s="10"/>
      <c r="N400" s="11"/>
      <c r="O400" s="8"/>
      <c r="P400" s="9">
        <f t="array" ref="P400">IFERROR(O400/G400*100,0)</f>
        <v>0</v>
      </c>
      <c r="Q400" s="8"/>
      <c r="R400" s="9">
        <f t="shared" si="46"/>
        <v>0</v>
      </c>
      <c r="S400" s="8" t="str">
        <f t="array" ref="S400">IF(R400&gt;5,"Perlu Sensus",IF(AND(R400&gt;=0,O400&gt;0),"Tetap Deteksi","Belum Deteksi"))</f>
        <v>Belum Deteksi</v>
      </c>
      <c r="T400" s="8"/>
      <c r="U400" s="8"/>
      <c r="V400" s="11"/>
      <c r="W400" s="8"/>
      <c r="X400" s="8"/>
      <c r="Y400" s="9">
        <f t="shared" si="47"/>
        <v>0</v>
      </c>
      <c r="Z400" s="8" t="str">
        <f t="array" ref="Z400">IF(Y400&gt;5,"Perlu Sensus",IF(AND(Y400&gt;0,,O400&gt;0),"Tetap Deteksi","Belum Deteksi"))</f>
        <v>Belum Deteksi</v>
      </c>
    </row>
    <row r="401" spans="1:26" x14ac:dyDescent="0.15">
      <c r="A401" s="8"/>
      <c r="B401" s="8"/>
      <c r="C401" s="8"/>
      <c r="D401" s="8"/>
      <c r="E401" s="9"/>
      <c r="F401" s="8"/>
      <c r="G401" s="10"/>
      <c r="H401" s="10"/>
      <c r="I401" s="10"/>
      <c r="J401" s="10"/>
      <c r="K401" s="10"/>
      <c r="L401" s="10"/>
      <c r="M401" s="10"/>
      <c r="N401" s="11"/>
      <c r="O401" s="8"/>
      <c r="P401" s="9">
        <f t="array" ref="P401">IFERROR(O401/G401*100,0)</f>
        <v>0</v>
      </c>
      <c r="Q401" s="8"/>
      <c r="R401" s="9">
        <f t="shared" si="46"/>
        <v>0</v>
      </c>
      <c r="S401" s="8" t="str">
        <f t="array" ref="S401">IF(R401&gt;5,"Perlu Sensus",IF(AND(R401&gt;=0,O401&gt;0),"Tetap Deteksi","Belum Deteksi"))</f>
        <v>Belum Deteksi</v>
      </c>
      <c r="T401" s="8"/>
      <c r="U401" s="8"/>
      <c r="V401" s="11"/>
      <c r="W401" s="8"/>
      <c r="X401" s="8"/>
      <c r="Y401" s="9">
        <f t="shared" si="47"/>
        <v>0</v>
      </c>
      <c r="Z401" s="8" t="str">
        <f t="array" ref="Z401">IF(Y401&gt;5,"Perlu Sensus",IF(AND(Y401&gt;0,,O401&gt;0),"Tetap Deteksi","Belum Deteksi"))</f>
        <v>Belum Deteksi</v>
      </c>
    </row>
    <row r="402" spans="1:26" x14ac:dyDescent="0.15">
      <c r="A402" s="8"/>
      <c r="B402" s="8"/>
      <c r="C402" s="8"/>
      <c r="D402" s="8"/>
      <c r="E402" s="9"/>
      <c r="F402" s="8"/>
      <c r="G402" s="10"/>
      <c r="H402" s="10"/>
      <c r="I402" s="10"/>
      <c r="J402" s="10"/>
      <c r="K402" s="10"/>
      <c r="L402" s="10"/>
      <c r="M402" s="10"/>
      <c r="N402" s="11"/>
      <c r="O402" s="8"/>
      <c r="P402" s="9">
        <f t="array" ref="P402">IFERROR(O402/G402*100,0)</f>
        <v>0</v>
      </c>
      <c r="Q402" s="8"/>
      <c r="R402" s="9">
        <f t="shared" si="46"/>
        <v>0</v>
      </c>
      <c r="S402" s="8" t="str">
        <f t="array" ref="S402">IF(R402&gt;5,"Perlu Sensus",IF(AND(R402&gt;=0,O402&gt;0),"Tetap Deteksi","Belum Deteksi"))</f>
        <v>Belum Deteksi</v>
      </c>
      <c r="T402" s="8"/>
      <c r="U402" s="8"/>
      <c r="V402" s="11"/>
      <c r="W402" s="8"/>
      <c r="X402" s="8"/>
      <c r="Y402" s="9">
        <f t="shared" si="47"/>
        <v>0</v>
      </c>
      <c r="Z402" s="8" t="str">
        <f t="array" ref="Z402">IF(Y402&gt;5,"Perlu Sensus",IF(AND(Y402&gt;0,,O402&gt;0),"Tetap Deteksi","Belum Deteksi"))</f>
        <v>Belum Deteksi</v>
      </c>
    </row>
    <row r="403" spans="1:26" x14ac:dyDescent="0.15">
      <c r="A403" s="8"/>
      <c r="B403" s="8"/>
      <c r="C403" s="8"/>
      <c r="D403" s="8"/>
      <c r="E403" s="9"/>
      <c r="F403" s="8"/>
      <c r="G403" s="10"/>
      <c r="H403" s="10"/>
      <c r="I403" s="10"/>
      <c r="J403" s="10"/>
      <c r="K403" s="10"/>
      <c r="L403" s="10"/>
      <c r="M403" s="10"/>
      <c r="N403" s="11"/>
      <c r="O403" s="8"/>
      <c r="P403" s="9">
        <f t="array" ref="P403">IFERROR(O403/G403*100,0)</f>
        <v>0</v>
      </c>
      <c r="Q403" s="8"/>
      <c r="R403" s="9">
        <f t="shared" si="46"/>
        <v>0</v>
      </c>
      <c r="S403" s="8" t="str">
        <f t="array" ref="S403">IF(R403&gt;5,"Perlu Sensus",IF(AND(R403&gt;=0,O403&gt;0),"Tetap Deteksi","Belum Deteksi"))</f>
        <v>Belum Deteksi</v>
      </c>
      <c r="T403" s="8"/>
      <c r="U403" s="8"/>
      <c r="V403" s="11"/>
      <c r="W403" s="8"/>
      <c r="X403" s="8"/>
      <c r="Y403" s="9">
        <f t="shared" si="47"/>
        <v>0</v>
      </c>
      <c r="Z403" s="8" t="str">
        <f t="array" ref="Z403">IF(Y403&gt;5,"Perlu Sensus",IF(AND(Y403&gt;0,,O403&gt;0),"Tetap Deteksi","Belum Deteksi"))</f>
        <v>Belum Deteksi</v>
      </c>
    </row>
    <row r="404" spans="1:26" x14ac:dyDescent="0.15">
      <c r="A404" s="8"/>
      <c r="B404" s="8"/>
      <c r="C404" s="8"/>
      <c r="D404" s="8"/>
      <c r="E404" s="9"/>
      <c r="F404" s="8"/>
      <c r="G404" s="10"/>
      <c r="H404" s="10"/>
      <c r="I404" s="10"/>
      <c r="J404" s="10"/>
      <c r="K404" s="10"/>
      <c r="L404" s="10"/>
      <c r="M404" s="10"/>
      <c r="N404" s="11"/>
      <c r="O404" s="8"/>
      <c r="P404" s="9">
        <f t="array" ref="P404">IFERROR(O404/G404*100,0)</f>
        <v>0</v>
      </c>
      <c r="Q404" s="8"/>
      <c r="R404" s="9">
        <f t="shared" ref="R404:R435" si="48">IFERROR(Q404/O404*100,0)</f>
        <v>0</v>
      </c>
      <c r="S404" s="8" t="str">
        <f t="array" ref="S404">IF(R404&gt;5,"Perlu Sensus",IF(AND(R404&gt;=0,O404&gt;0),"Tetap Deteksi","Belum Deteksi"))</f>
        <v>Belum Deteksi</v>
      </c>
      <c r="T404" s="8"/>
      <c r="U404" s="8"/>
      <c r="V404" s="11"/>
      <c r="W404" s="8"/>
      <c r="X404" s="8"/>
      <c r="Y404" s="9">
        <f t="shared" si="47"/>
        <v>0</v>
      </c>
      <c r="Z404" s="8" t="str">
        <f t="array" ref="Z404">IF(Y404&gt;5,"Perlu Sensus",IF(AND(Y404&gt;0,,O404&gt;0),"Tetap Deteksi","Belum Deteksi"))</f>
        <v>Belum Deteksi</v>
      </c>
    </row>
    <row r="405" spans="1:26" x14ac:dyDescent="0.15">
      <c r="A405" s="8"/>
      <c r="B405" s="8"/>
      <c r="C405" s="8"/>
      <c r="D405" s="8"/>
      <c r="E405" s="9"/>
      <c r="F405" s="8"/>
      <c r="G405" s="10"/>
      <c r="H405" s="10"/>
      <c r="I405" s="10"/>
      <c r="J405" s="10"/>
      <c r="K405" s="10"/>
      <c r="L405" s="10"/>
      <c r="M405" s="10"/>
      <c r="N405" s="11"/>
      <c r="O405" s="8"/>
      <c r="P405" s="9">
        <f t="array" ref="P405">IFERROR(O405/G405*100,0)</f>
        <v>0</v>
      </c>
      <c r="Q405" s="8"/>
      <c r="R405" s="9">
        <f t="shared" si="48"/>
        <v>0</v>
      </c>
      <c r="S405" s="8" t="str">
        <f t="array" ref="S405">IF(R405&gt;5,"Perlu Sensus",IF(AND(R405&gt;=0,O405&gt;0),"Tetap Deteksi","Belum Deteksi"))</f>
        <v>Belum Deteksi</v>
      </c>
      <c r="T405" s="8"/>
      <c r="U405" s="8"/>
      <c r="V405" s="11"/>
      <c r="W405" s="8"/>
      <c r="X405" s="8"/>
      <c r="Y405" s="9">
        <f t="shared" si="47"/>
        <v>0</v>
      </c>
      <c r="Z405" s="8" t="str">
        <f t="array" ref="Z405">IF(Y405&gt;5,"Perlu Sensus",IF(AND(Y405&gt;0,,O405&gt;0),"Tetap Deteksi","Belum Deteksi"))</f>
        <v>Belum Deteksi</v>
      </c>
    </row>
    <row r="406" spans="1:26" x14ac:dyDescent="0.15">
      <c r="A406" s="8"/>
      <c r="B406" s="8"/>
      <c r="C406" s="8"/>
      <c r="D406" s="8"/>
      <c r="E406" s="9"/>
      <c r="F406" s="8"/>
      <c r="G406" s="10"/>
      <c r="H406" s="10"/>
      <c r="I406" s="10"/>
      <c r="J406" s="10"/>
      <c r="K406" s="10"/>
      <c r="L406" s="10"/>
      <c r="M406" s="10"/>
      <c r="N406" s="11"/>
      <c r="O406" s="8"/>
      <c r="P406" s="9">
        <f t="array" ref="P406">IFERROR(O406/G406*100,0)</f>
        <v>0</v>
      </c>
      <c r="Q406" s="8"/>
      <c r="R406" s="9">
        <f t="shared" si="48"/>
        <v>0</v>
      </c>
      <c r="S406" s="8" t="str">
        <f t="array" ref="S406">IF(R406&gt;5,"Perlu Sensus",IF(AND(R406&gt;=0,O406&gt;0),"Tetap Deteksi","Belum Deteksi"))</f>
        <v>Belum Deteksi</v>
      </c>
      <c r="T406" s="8"/>
      <c r="U406" s="8"/>
      <c r="V406" s="11"/>
      <c r="W406" s="8"/>
      <c r="X406" s="8"/>
      <c r="Y406" s="9">
        <f t="shared" si="47"/>
        <v>0</v>
      </c>
      <c r="Z406" s="8" t="str">
        <f t="array" ref="Z406">IF(Y406&gt;5,"Perlu Sensus",IF(AND(Y406&gt;0,,O406&gt;0),"Tetap Deteksi","Belum Deteksi"))</f>
        <v>Belum Deteksi</v>
      </c>
    </row>
    <row r="407" spans="1:26" x14ac:dyDescent="0.15">
      <c r="A407" s="8"/>
      <c r="B407" s="8"/>
      <c r="C407" s="8"/>
      <c r="D407" s="8"/>
      <c r="E407" s="9"/>
      <c r="F407" s="8"/>
      <c r="G407" s="10"/>
      <c r="H407" s="10"/>
      <c r="I407" s="10"/>
      <c r="J407" s="10"/>
      <c r="K407" s="10"/>
      <c r="L407" s="10"/>
      <c r="M407" s="10"/>
      <c r="N407" s="11"/>
      <c r="O407" s="8"/>
      <c r="P407" s="9">
        <f t="array" ref="P407">IFERROR(O407/G407*100,0)</f>
        <v>0</v>
      </c>
      <c r="Q407" s="8"/>
      <c r="R407" s="9">
        <f t="shared" si="48"/>
        <v>0</v>
      </c>
      <c r="S407" s="8" t="str">
        <f t="array" ref="S407">IF(R407&gt;5,"Perlu Sensus",IF(AND(R407&gt;=0,O407&gt;0),"Tetap Deteksi","Belum Deteksi"))</f>
        <v>Belum Deteksi</v>
      </c>
      <c r="T407" s="8"/>
      <c r="U407" s="8"/>
      <c r="V407" s="11"/>
      <c r="W407" s="8"/>
      <c r="X407" s="8"/>
      <c r="Y407" s="9">
        <f t="shared" si="47"/>
        <v>0</v>
      </c>
      <c r="Z407" s="8" t="str">
        <f t="array" ref="Z407">IF(Y407&gt;5,"Perlu Sensus",IF(AND(Y407&gt;0,,O407&gt;0),"Tetap Deteksi","Belum Deteksi"))</f>
        <v>Belum Deteksi</v>
      </c>
    </row>
    <row r="408" spans="1:26" x14ac:dyDescent="0.15">
      <c r="A408" s="8"/>
      <c r="B408" s="8"/>
      <c r="C408" s="8"/>
      <c r="D408" s="8"/>
      <c r="E408" s="9"/>
      <c r="F408" s="8"/>
      <c r="G408" s="10"/>
      <c r="H408" s="10"/>
      <c r="I408" s="10"/>
      <c r="J408" s="10"/>
      <c r="K408" s="10"/>
      <c r="L408" s="10"/>
      <c r="M408" s="10"/>
      <c r="N408" s="11"/>
      <c r="O408" s="8"/>
      <c r="P408" s="9">
        <f t="array" ref="P408">IFERROR(O408/G408*100,0)</f>
        <v>0</v>
      </c>
      <c r="Q408" s="8"/>
      <c r="R408" s="9">
        <f t="shared" si="48"/>
        <v>0</v>
      </c>
      <c r="S408" s="8" t="str">
        <f t="array" ref="S408">IF(R408&gt;5,"Perlu Sensus",IF(AND(R408&gt;=0,O408&gt;0),"Tetap Deteksi","Belum Deteksi"))</f>
        <v>Belum Deteksi</v>
      </c>
      <c r="T408" s="8"/>
      <c r="U408" s="8"/>
      <c r="V408" s="11"/>
      <c r="W408" s="8"/>
      <c r="X408" s="8"/>
      <c r="Y408" s="9">
        <f t="shared" si="47"/>
        <v>0</v>
      </c>
      <c r="Z408" s="8" t="str">
        <f t="array" ref="Z408">IF(Y408&gt;5,"Perlu Sensus",IF(AND(Y408&gt;0,,O408&gt;0),"Tetap Deteksi","Belum Deteksi"))</f>
        <v>Belum Deteksi</v>
      </c>
    </row>
    <row r="409" spans="1:26" x14ac:dyDescent="0.15">
      <c r="A409" s="8"/>
      <c r="B409" s="8"/>
      <c r="C409" s="8"/>
      <c r="D409" s="8"/>
      <c r="E409" s="9"/>
      <c r="F409" s="8"/>
      <c r="G409" s="10"/>
      <c r="H409" s="10"/>
      <c r="I409" s="10"/>
      <c r="J409" s="10"/>
      <c r="K409" s="10"/>
      <c r="L409" s="10"/>
      <c r="M409" s="10"/>
      <c r="N409" s="11"/>
      <c r="O409" s="8"/>
      <c r="P409" s="9">
        <f t="array" ref="P409">IFERROR(O409/G409*100,0)</f>
        <v>0</v>
      </c>
      <c r="Q409" s="8"/>
      <c r="R409" s="9">
        <f t="shared" si="48"/>
        <v>0</v>
      </c>
      <c r="S409" s="8" t="str">
        <f t="array" ref="S409">IF(R409&gt;5,"Perlu Sensus",IF(AND(R409&gt;=0,O409&gt;0),"Tetap Deteksi","Belum Deteksi"))</f>
        <v>Belum Deteksi</v>
      </c>
      <c r="T409" s="8"/>
      <c r="U409" s="8"/>
      <c r="V409" s="11"/>
      <c r="W409" s="8"/>
      <c r="X409" s="8"/>
      <c r="Y409" s="9">
        <f t="shared" si="47"/>
        <v>0</v>
      </c>
      <c r="Z409" s="8" t="str">
        <f t="array" ref="Z409">IF(Y409&gt;5,"Perlu Sensus",IF(AND(Y409&gt;0,,O409&gt;0),"Tetap Deteksi","Belum Deteksi"))</f>
        <v>Belum Deteksi</v>
      </c>
    </row>
    <row r="410" spans="1:26" x14ac:dyDescent="0.15">
      <c r="A410" s="8"/>
      <c r="B410" s="8"/>
      <c r="C410" s="8"/>
      <c r="D410" s="8"/>
      <c r="E410" s="9"/>
      <c r="F410" s="8"/>
      <c r="G410" s="10"/>
      <c r="H410" s="10"/>
      <c r="I410" s="10"/>
      <c r="J410" s="10"/>
      <c r="K410" s="10"/>
      <c r="L410" s="10"/>
      <c r="M410" s="10"/>
      <c r="N410" s="11"/>
      <c r="O410" s="8"/>
      <c r="P410" s="9">
        <f t="array" ref="P410">IFERROR(O410/G410*100,0)</f>
        <v>0</v>
      </c>
      <c r="Q410" s="8"/>
      <c r="R410" s="9">
        <f t="shared" si="48"/>
        <v>0</v>
      </c>
      <c r="S410" s="8" t="str">
        <f t="array" ref="S410">IF(R410&gt;5,"Perlu Sensus",IF(AND(R410&gt;=0,O410&gt;0),"Tetap Deteksi","Belum Deteksi"))</f>
        <v>Belum Deteksi</v>
      </c>
      <c r="T410" s="8"/>
      <c r="U410" s="8"/>
      <c r="V410" s="11"/>
      <c r="W410" s="8"/>
      <c r="X410" s="8"/>
      <c r="Y410" s="9">
        <f t="shared" si="47"/>
        <v>0</v>
      </c>
      <c r="Z410" s="8" t="str">
        <f t="array" ref="Z410">IF(Y410&gt;5,"Perlu Sensus",IF(AND(Y410&gt;0,,O410&gt;0),"Tetap Deteksi","Belum Deteksi"))</f>
        <v>Belum Deteksi</v>
      </c>
    </row>
    <row r="411" spans="1:26" x14ac:dyDescent="0.15">
      <c r="A411" s="8"/>
      <c r="B411" s="8"/>
      <c r="C411" s="8"/>
      <c r="D411" s="8"/>
      <c r="E411" s="9"/>
      <c r="F411" s="8"/>
      <c r="G411" s="10"/>
      <c r="H411" s="10"/>
      <c r="I411" s="10"/>
      <c r="J411" s="10"/>
      <c r="K411" s="10"/>
      <c r="L411" s="10"/>
      <c r="M411" s="10"/>
      <c r="N411" s="11"/>
      <c r="O411" s="8"/>
      <c r="P411" s="9">
        <f t="array" ref="P411">IFERROR(O411/G411*100,0)</f>
        <v>0</v>
      </c>
      <c r="Q411" s="8"/>
      <c r="R411" s="9">
        <f t="shared" si="48"/>
        <v>0</v>
      </c>
      <c r="S411" s="8" t="str">
        <f t="array" ref="S411">IF(R411&gt;5,"Perlu Sensus",IF(AND(R411&gt;=0,O411&gt;0),"Tetap Deteksi","Belum Deteksi"))</f>
        <v>Belum Deteksi</v>
      </c>
      <c r="T411" s="8"/>
      <c r="U411" s="8"/>
      <c r="V411" s="11"/>
      <c r="W411" s="8"/>
      <c r="X411" s="8"/>
      <c r="Y411" s="9">
        <f t="shared" si="47"/>
        <v>0</v>
      </c>
      <c r="Z411" s="8" t="str">
        <f t="array" ref="Z411">IF(Y411&gt;5,"Perlu Sensus",IF(AND(Y411&gt;0,,O411&gt;0),"Tetap Deteksi","Belum Deteksi"))</f>
        <v>Belum Deteksi</v>
      </c>
    </row>
    <row r="412" spans="1:26" x14ac:dyDescent="0.15">
      <c r="A412" s="8"/>
      <c r="B412" s="8"/>
      <c r="C412" s="8"/>
      <c r="D412" s="8"/>
      <c r="E412" s="9"/>
      <c r="F412" s="8"/>
      <c r="G412" s="10"/>
      <c r="H412" s="10"/>
      <c r="I412" s="10"/>
      <c r="J412" s="10"/>
      <c r="K412" s="10"/>
      <c r="L412" s="10"/>
      <c r="M412" s="10"/>
      <c r="N412" s="11"/>
      <c r="O412" s="8"/>
      <c r="P412" s="9">
        <f t="array" ref="P412">IFERROR(O412/G412*100,0)</f>
        <v>0</v>
      </c>
      <c r="Q412" s="8"/>
      <c r="R412" s="9">
        <f t="shared" si="48"/>
        <v>0</v>
      </c>
      <c r="S412" s="8" t="str">
        <f t="array" ref="S412">IF(R412&gt;5,"Perlu Sensus",IF(AND(R412&gt;=0,O412&gt;0),"Tetap Deteksi","Belum Deteksi"))</f>
        <v>Belum Deteksi</v>
      </c>
      <c r="T412" s="8"/>
      <c r="U412" s="8"/>
      <c r="V412" s="11"/>
      <c r="W412" s="8"/>
      <c r="X412" s="8"/>
      <c r="Y412" s="9">
        <f t="shared" si="47"/>
        <v>0</v>
      </c>
      <c r="Z412" s="8" t="str">
        <f t="array" ref="Z412">IF(Y412&gt;5,"Perlu Sensus",IF(AND(Y412&gt;0,,O412&gt;0),"Tetap Deteksi","Belum Deteksi"))</f>
        <v>Belum Deteksi</v>
      </c>
    </row>
    <row r="413" spans="1:26" x14ac:dyDescent="0.15">
      <c r="A413" s="8"/>
      <c r="B413" s="8"/>
      <c r="C413" s="8"/>
      <c r="D413" s="8"/>
      <c r="E413" s="9"/>
      <c r="F413" s="8"/>
      <c r="G413" s="10"/>
      <c r="H413" s="10"/>
      <c r="I413" s="10"/>
      <c r="J413" s="10"/>
      <c r="K413" s="10"/>
      <c r="L413" s="10"/>
      <c r="M413" s="10"/>
      <c r="N413" s="11"/>
      <c r="O413" s="8"/>
      <c r="P413" s="9">
        <f t="array" ref="P413">IFERROR(O413/G413*100,0)</f>
        <v>0</v>
      </c>
      <c r="Q413" s="8"/>
      <c r="R413" s="9">
        <f t="shared" si="48"/>
        <v>0</v>
      </c>
      <c r="S413" s="8" t="str">
        <f t="array" ref="S413">IF(R413&gt;5,"Perlu Sensus",IF(AND(R413&gt;=0,O413&gt;0),"Tetap Deteksi","Belum Deteksi"))</f>
        <v>Belum Deteksi</v>
      </c>
      <c r="T413" s="8"/>
      <c r="U413" s="8"/>
      <c r="V413" s="11"/>
      <c r="W413" s="8"/>
      <c r="X413" s="8"/>
      <c r="Y413" s="9">
        <f t="shared" si="47"/>
        <v>0</v>
      </c>
      <c r="Z413" s="8" t="str">
        <f t="array" ref="Z413">IF(Y413&gt;5,"Perlu Sensus",IF(AND(Y413&gt;0,,O413&gt;0),"Tetap Deteksi","Belum Deteksi"))</f>
        <v>Belum Deteksi</v>
      </c>
    </row>
    <row r="414" spans="1:26" x14ac:dyDescent="0.15">
      <c r="A414" s="8"/>
      <c r="B414" s="8"/>
      <c r="C414" s="8"/>
      <c r="D414" s="8"/>
      <c r="E414" s="9"/>
      <c r="F414" s="8"/>
      <c r="G414" s="10"/>
      <c r="H414" s="10"/>
      <c r="I414" s="10"/>
      <c r="J414" s="10"/>
      <c r="K414" s="10"/>
      <c r="L414" s="10"/>
      <c r="M414" s="10"/>
      <c r="N414" s="11"/>
      <c r="O414" s="8"/>
      <c r="P414" s="9">
        <f t="array" ref="P414">IFERROR(O414/G414*100,0)</f>
        <v>0</v>
      </c>
      <c r="Q414" s="8"/>
      <c r="R414" s="9">
        <f t="shared" si="48"/>
        <v>0</v>
      </c>
      <c r="S414" s="8" t="str">
        <f t="array" ref="S414">IF(R414&gt;5,"Perlu Sensus",IF(AND(R414&gt;=0,O414&gt;0),"Tetap Deteksi","Belum Deteksi"))</f>
        <v>Belum Deteksi</v>
      </c>
      <c r="T414" s="8"/>
      <c r="U414" s="8"/>
      <c r="V414" s="11"/>
      <c r="W414" s="8"/>
      <c r="X414" s="8"/>
      <c r="Y414" s="9">
        <f t="shared" si="47"/>
        <v>0</v>
      </c>
      <c r="Z414" s="8" t="str">
        <f t="array" ref="Z414">IF(Y414&gt;5,"Perlu Sensus",IF(AND(Y414&gt;0,,O414&gt;0),"Tetap Deteksi","Belum Deteksi"))</f>
        <v>Belum Deteksi</v>
      </c>
    </row>
    <row r="415" spans="1:26" x14ac:dyDescent="0.15">
      <c r="A415" s="8"/>
      <c r="B415" s="8"/>
      <c r="C415" s="8"/>
      <c r="D415" s="8"/>
      <c r="E415" s="9"/>
      <c r="F415" s="8"/>
      <c r="G415" s="10"/>
      <c r="H415" s="10"/>
      <c r="I415" s="10"/>
      <c r="J415" s="10"/>
      <c r="K415" s="10"/>
      <c r="L415" s="10"/>
      <c r="M415" s="10"/>
      <c r="N415" s="11"/>
      <c r="O415" s="8"/>
      <c r="P415" s="9">
        <f t="array" ref="P415">IFERROR(O415/G415*100,0)</f>
        <v>0</v>
      </c>
      <c r="Q415" s="8"/>
      <c r="R415" s="9">
        <f t="shared" si="48"/>
        <v>0</v>
      </c>
      <c r="S415" s="8" t="str">
        <f t="array" ref="S415">IF(R415&gt;5,"Perlu Sensus",IF(AND(R415&gt;=0,O415&gt;0),"Tetap Deteksi","Belum Deteksi"))</f>
        <v>Belum Deteksi</v>
      </c>
      <c r="T415" s="8"/>
      <c r="U415" s="8"/>
      <c r="V415" s="11"/>
      <c r="W415" s="8"/>
      <c r="X415" s="8"/>
      <c r="Y415" s="9">
        <f t="shared" si="47"/>
        <v>0</v>
      </c>
      <c r="Z415" s="8" t="str">
        <f t="array" ref="Z415">IF(Y415&gt;5,"Perlu Sensus",IF(AND(Y415&gt;0,,O415&gt;0),"Tetap Deteksi","Belum Deteksi"))</f>
        <v>Belum Deteksi</v>
      </c>
    </row>
    <row r="416" spans="1:26" x14ac:dyDescent="0.15">
      <c r="A416" s="8"/>
      <c r="B416" s="8"/>
      <c r="C416" s="8"/>
      <c r="D416" s="8"/>
      <c r="E416" s="9"/>
      <c r="F416" s="8"/>
      <c r="G416" s="10"/>
      <c r="H416" s="10"/>
      <c r="I416" s="10"/>
      <c r="J416" s="10"/>
      <c r="K416" s="10"/>
      <c r="L416" s="10"/>
      <c r="M416" s="10"/>
      <c r="N416" s="11"/>
      <c r="O416" s="8"/>
      <c r="P416" s="9">
        <f t="array" ref="P416">IFERROR(O416/G416*100,0)</f>
        <v>0</v>
      </c>
      <c r="Q416" s="8"/>
      <c r="R416" s="9">
        <f t="shared" si="48"/>
        <v>0</v>
      </c>
      <c r="S416" s="8" t="str">
        <f t="array" ref="S416">IF(R416&gt;5,"Perlu Sensus",IF(AND(R416&gt;=0,O416&gt;0),"Tetap Deteksi","Belum Deteksi"))</f>
        <v>Belum Deteksi</v>
      </c>
      <c r="T416" s="8"/>
      <c r="U416" s="8"/>
      <c r="V416" s="11"/>
      <c r="W416" s="8"/>
      <c r="X416" s="8"/>
      <c r="Y416" s="9">
        <f t="shared" si="47"/>
        <v>0</v>
      </c>
      <c r="Z416" s="8" t="str">
        <f t="array" ref="Z416">IF(Y416&gt;5,"Perlu Sensus",IF(AND(Y416&gt;0,,O416&gt;0),"Tetap Deteksi","Belum Deteksi"))</f>
        <v>Belum Deteksi</v>
      </c>
    </row>
    <row r="417" spans="1:26" x14ac:dyDescent="0.15">
      <c r="A417" s="8"/>
      <c r="B417" s="8"/>
      <c r="C417" s="8"/>
      <c r="D417" s="8"/>
      <c r="E417" s="9"/>
      <c r="F417" s="8"/>
      <c r="G417" s="10"/>
      <c r="H417" s="10"/>
      <c r="I417" s="10"/>
      <c r="J417" s="10"/>
      <c r="K417" s="10"/>
      <c r="L417" s="10"/>
      <c r="M417" s="10"/>
      <c r="N417" s="11"/>
      <c r="O417" s="8"/>
      <c r="P417" s="9">
        <f t="array" ref="P417">IFERROR(O417/G417*100,0)</f>
        <v>0</v>
      </c>
      <c r="Q417" s="8"/>
      <c r="R417" s="9">
        <f t="shared" si="48"/>
        <v>0</v>
      </c>
      <c r="S417" s="8" t="str">
        <f t="array" ref="S417">IF(R417&gt;5,"Perlu Sensus",IF(AND(R417&gt;=0,O417&gt;0),"Tetap Deteksi","Belum Deteksi"))</f>
        <v>Belum Deteksi</v>
      </c>
      <c r="T417" s="8"/>
      <c r="U417" s="8"/>
      <c r="V417" s="11"/>
      <c r="W417" s="8"/>
      <c r="X417" s="8"/>
      <c r="Y417" s="9">
        <f t="shared" si="47"/>
        <v>0</v>
      </c>
      <c r="Z417" s="8" t="str">
        <f t="array" ref="Z417">IF(Y417&gt;5,"Perlu Sensus",IF(AND(Y417&gt;0,,O417&gt;0),"Tetap Deteksi","Belum Deteksi"))</f>
        <v>Belum Deteksi</v>
      </c>
    </row>
    <row r="418" spans="1:26" x14ac:dyDescent="0.15">
      <c r="A418" s="8"/>
      <c r="B418" s="8"/>
      <c r="C418" s="8"/>
      <c r="D418" s="8"/>
      <c r="E418" s="9"/>
      <c r="F418" s="8"/>
      <c r="G418" s="10"/>
      <c r="H418" s="10"/>
      <c r="I418" s="10"/>
      <c r="J418" s="10"/>
      <c r="K418" s="10"/>
      <c r="L418" s="10"/>
      <c r="M418" s="10"/>
      <c r="N418" s="11"/>
      <c r="O418" s="8"/>
      <c r="P418" s="9">
        <f t="array" ref="P418">IFERROR(O418/G418*100,0)</f>
        <v>0</v>
      </c>
      <c r="Q418" s="8"/>
      <c r="R418" s="9">
        <f t="shared" si="48"/>
        <v>0</v>
      </c>
      <c r="S418" s="8" t="str">
        <f t="array" ref="S418">IF(R418&gt;5,"Perlu Sensus",IF(AND(R418&gt;=0,O418&gt;0),"Tetap Deteksi","Belum Deteksi"))</f>
        <v>Belum Deteksi</v>
      </c>
      <c r="T418" s="8"/>
      <c r="U418" s="8"/>
      <c r="V418" s="11"/>
      <c r="W418" s="8"/>
      <c r="X418" s="8"/>
      <c r="Y418" s="9">
        <f t="shared" si="47"/>
        <v>0</v>
      </c>
      <c r="Z418" s="8" t="str">
        <f t="array" ref="Z418">IF(Y418&gt;5,"Perlu Sensus",IF(AND(Y418&gt;0,,O418&gt;0),"Tetap Deteksi","Belum Deteksi"))</f>
        <v>Belum Deteksi</v>
      </c>
    </row>
    <row r="419" spans="1:26" x14ac:dyDescent="0.15">
      <c r="A419" s="8"/>
      <c r="B419" s="8"/>
      <c r="C419" s="8"/>
      <c r="D419" s="8"/>
      <c r="E419" s="9"/>
      <c r="F419" s="8"/>
      <c r="G419" s="10"/>
      <c r="H419" s="10"/>
      <c r="I419" s="10"/>
      <c r="J419" s="10"/>
      <c r="K419" s="10"/>
      <c r="L419" s="10"/>
      <c r="M419" s="10"/>
      <c r="N419" s="11"/>
      <c r="O419" s="8"/>
      <c r="P419" s="9">
        <f t="array" ref="P419">IFERROR(O419/G419*100,0)</f>
        <v>0</v>
      </c>
      <c r="Q419" s="8"/>
      <c r="R419" s="9">
        <f t="shared" si="48"/>
        <v>0</v>
      </c>
      <c r="S419" s="8" t="str">
        <f t="array" ref="S419">IF(R419&gt;5,"Perlu Sensus",IF(AND(R419&gt;=0,O419&gt;0),"Tetap Deteksi","Belum Deteksi"))</f>
        <v>Belum Deteksi</v>
      </c>
      <c r="T419" s="8"/>
      <c r="U419" s="8"/>
      <c r="V419" s="11"/>
      <c r="W419" s="8"/>
      <c r="X419" s="8"/>
      <c r="Y419" s="9">
        <f t="shared" si="47"/>
        <v>0</v>
      </c>
      <c r="Z419" s="8" t="str">
        <f t="array" ref="Z419">IF(Y419&gt;5,"Perlu Sensus",IF(AND(Y419&gt;0,,O419&gt;0),"Tetap Deteksi","Belum Deteksi"))</f>
        <v>Belum Deteksi</v>
      </c>
    </row>
    <row r="420" spans="1:26" x14ac:dyDescent="0.15">
      <c r="A420" s="8"/>
      <c r="B420" s="8"/>
      <c r="C420" s="8"/>
      <c r="D420" s="8"/>
      <c r="E420" s="9"/>
      <c r="F420" s="8"/>
      <c r="G420" s="10"/>
      <c r="H420" s="10"/>
      <c r="I420" s="10"/>
      <c r="J420" s="10"/>
      <c r="K420" s="10"/>
      <c r="L420" s="10"/>
      <c r="M420" s="10"/>
      <c r="N420" s="11"/>
      <c r="O420" s="8"/>
      <c r="P420" s="9">
        <f t="array" ref="P420">IFERROR(O420/G420*100,0)</f>
        <v>0</v>
      </c>
      <c r="Q420" s="8"/>
      <c r="R420" s="9">
        <f t="shared" si="48"/>
        <v>0</v>
      </c>
      <c r="S420" s="8" t="str">
        <f t="array" ref="S420">IF(R420&gt;5,"Perlu Sensus",IF(AND(R420&gt;=0,O420&gt;0),"Tetap Deteksi","Belum Deteksi"))</f>
        <v>Belum Deteksi</v>
      </c>
      <c r="T420" s="8"/>
      <c r="U420" s="8"/>
      <c r="V420" s="11"/>
      <c r="W420" s="8"/>
      <c r="X420" s="8"/>
      <c r="Y420" s="9">
        <f t="shared" si="47"/>
        <v>0</v>
      </c>
      <c r="Z420" s="8" t="str">
        <f t="array" ref="Z420">IF(Y420&gt;5,"Perlu Sensus",IF(AND(Y420&gt;0,,O420&gt;0),"Tetap Deteksi","Belum Deteksi"))</f>
        <v>Belum Deteksi</v>
      </c>
    </row>
    <row r="421" spans="1:26" x14ac:dyDescent="0.15">
      <c r="A421" s="8"/>
      <c r="B421" s="8"/>
      <c r="C421" s="8"/>
      <c r="D421" s="8"/>
      <c r="E421" s="9"/>
      <c r="F421" s="8"/>
      <c r="G421" s="10"/>
      <c r="H421" s="10"/>
      <c r="I421" s="10"/>
      <c r="J421" s="10"/>
      <c r="K421" s="10"/>
      <c r="L421" s="10"/>
      <c r="M421" s="10"/>
      <c r="N421" s="11"/>
      <c r="O421" s="8"/>
      <c r="P421" s="9">
        <f t="array" ref="P421">IFERROR(O421/G421*100,0)</f>
        <v>0</v>
      </c>
      <c r="Q421" s="8"/>
      <c r="R421" s="9">
        <f t="shared" si="48"/>
        <v>0</v>
      </c>
      <c r="S421" s="8" t="str">
        <f t="array" ref="S421">IF(R421&gt;5,"Perlu Sensus",IF(AND(R421&gt;=0,O421&gt;0),"Tetap Deteksi","Belum Deteksi"))</f>
        <v>Belum Deteksi</v>
      </c>
      <c r="T421" s="8"/>
      <c r="U421" s="8"/>
      <c r="V421" s="11"/>
      <c r="W421" s="8"/>
      <c r="X421" s="8"/>
      <c r="Y421" s="9">
        <f t="shared" si="47"/>
        <v>0</v>
      </c>
      <c r="Z421" s="8" t="str">
        <f t="array" ref="Z421">IF(Y421&gt;5,"Perlu Sensus",IF(AND(Y421&gt;0,,O421&gt;0),"Tetap Deteksi","Belum Deteksi"))</f>
        <v>Belum Deteksi</v>
      </c>
    </row>
    <row r="422" spans="1:26" x14ac:dyDescent="0.15">
      <c r="A422" s="8"/>
      <c r="B422" s="8"/>
      <c r="C422" s="8"/>
      <c r="D422" s="8"/>
      <c r="E422" s="9"/>
      <c r="F422" s="8"/>
      <c r="G422" s="10"/>
      <c r="H422" s="10"/>
      <c r="I422" s="10"/>
      <c r="J422" s="10"/>
      <c r="K422" s="10"/>
      <c r="L422" s="10"/>
      <c r="M422" s="10"/>
      <c r="N422" s="11"/>
      <c r="O422" s="8"/>
      <c r="P422" s="9">
        <f t="array" ref="P422">IFERROR(O422/G422*100,0)</f>
        <v>0</v>
      </c>
      <c r="Q422" s="8"/>
      <c r="R422" s="9">
        <f t="shared" si="48"/>
        <v>0</v>
      </c>
      <c r="S422" s="8" t="str">
        <f t="array" ref="S422">IF(R422&gt;5,"Perlu Sensus",IF(AND(R422&gt;=0,O422&gt;0),"Tetap Deteksi","Belum Deteksi"))</f>
        <v>Belum Deteksi</v>
      </c>
      <c r="T422" s="8"/>
      <c r="U422" s="8"/>
      <c r="V422" s="11"/>
      <c r="W422" s="8"/>
      <c r="X422" s="8"/>
      <c r="Y422" s="9">
        <f t="shared" si="47"/>
        <v>0</v>
      </c>
      <c r="Z422" s="8" t="str">
        <f t="array" ref="Z422">IF(Y422&gt;5,"Perlu Sensus",IF(AND(Y422&gt;0,,O422&gt;0),"Tetap Deteksi","Belum Deteksi"))</f>
        <v>Belum Deteksi</v>
      </c>
    </row>
    <row r="423" spans="1:26" x14ac:dyDescent="0.15">
      <c r="A423" s="8"/>
      <c r="B423" s="8"/>
      <c r="C423" s="8"/>
      <c r="D423" s="8"/>
      <c r="E423" s="9"/>
      <c r="F423" s="8"/>
      <c r="G423" s="10"/>
      <c r="H423" s="10"/>
      <c r="I423" s="10"/>
      <c r="J423" s="10"/>
      <c r="K423" s="10"/>
      <c r="L423" s="10"/>
      <c r="M423" s="10"/>
      <c r="N423" s="11"/>
      <c r="O423" s="8"/>
      <c r="P423" s="9">
        <f t="array" ref="P423">IFERROR(O423/G423*100,0)</f>
        <v>0</v>
      </c>
      <c r="Q423" s="8"/>
      <c r="R423" s="9">
        <f t="shared" si="48"/>
        <v>0</v>
      </c>
      <c r="S423" s="8" t="str">
        <f t="array" ref="S423">IF(R423&gt;5,"Perlu Sensus",IF(AND(R423&gt;=0,O423&gt;0),"Tetap Deteksi","Belum Deteksi"))</f>
        <v>Belum Deteksi</v>
      </c>
      <c r="T423" s="8"/>
      <c r="U423" s="8"/>
      <c r="V423" s="11"/>
      <c r="W423" s="8"/>
      <c r="X423" s="8"/>
      <c r="Y423" s="9">
        <f t="shared" si="47"/>
        <v>0</v>
      </c>
      <c r="Z423" s="8" t="str">
        <f t="array" ref="Z423">IF(Y423&gt;5,"Perlu Sensus",IF(AND(Y423&gt;0,,O423&gt;0),"Tetap Deteksi","Belum Deteksi"))</f>
        <v>Belum Deteksi</v>
      </c>
    </row>
    <row r="424" spans="1:26" x14ac:dyDescent="0.15">
      <c r="A424" s="8"/>
      <c r="B424" s="8"/>
      <c r="C424" s="8"/>
      <c r="D424" s="8"/>
      <c r="E424" s="9"/>
      <c r="F424" s="8"/>
      <c r="G424" s="10"/>
      <c r="H424" s="10"/>
      <c r="I424" s="10"/>
      <c r="J424" s="10"/>
      <c r="K424" s="10"/>
      <c r="L424" s="10"/>
      <c r="M424" s="10"/>
      <c r="N424" s="11"/>
      <c r="O424" s="8"/>
      <c r="P424" s="9">
        <f t="array" ref="P424">IFERROR(O424/G424*100,0)</f>
        <v>0</v>
      </c>
      <c r="Q424" s="8"/>
      <c r="R424" s="9">
        <f t="shared" si="48"/>
        <v>0</v>
      </c>
      <c r="S424" s="8" t="str">
        <f t="array" ref="S424">IF(R424&gt;5,"Perlu Sensus",IF(AND(R424&gt;=0,O424&gt;0),"Tetap Deteksi","Belum Deteksi"))</f>
        <v>Belum Deteksi</v>
      </c>
      <c r="T424" s="8"/>
      <c r="U424" s="8"/>
      <c r="V424" s="11"/>
      <c r="W424" s="8"/>
      <c r="X424" s="8"/>
      <c r="Y424" s="9">
        <f t="shared" si="47"/>
        <v>0</v>
      </c>
      <c r="Z424" s="8" t="str">
        <f t="array" ref="Z424">IF(Y424&gt;5,"Perlu Sensus",IF(AND(Y424&gt;0,,O424&gt;0),"Tetap Deteksi","Belum Deteksi"))</f>
        <v>Belum Deteksi</v>
      </c>
    </row>
    <row r="425" spans="1:26" x14ac:dyDescent="0.15">
      <c r="A425" s="8"/>
      <c r="B425" s="8"/>
      <c r="C425" s="8"/>
      <c r="D425" s="8"/>
      <c r="E425" s="9"/>
      <c r="F425" s="8"/>
      <c r="G425" s="10"/>
      <c r="H425" s="10"/>
      <c r="I425" s="10"/>
      <c r="J425" s="10"/>
      <c r="K425" s="10"/>
      <c r="L425" s="10"/>
      <c r="M425" s="10"/>
      <c r="N425" s="11"/>
      <c r="O425" s="8"/>
      <c r="P425" s="9">
        <f t="array" ref="P425">IFERROR(O425/G425*100,0)</f>
        <v>0</v>
      </c>
      <c r="Q425" s="8"/>
      <c r="R425" s="9">
        <f t="shared" si="48"/>
        <v>0</v>
      </c>
      <c r="S425" s="8" t="str">
        <f t="array" ref="S425">IF(R425&gt;5,"Perlu Sensus",IF(AND(R425&gt;=0,O425&gt;0),"Tetap Deteksi","Belum Deteksi"))</f>
        <v>Belum Deteksi</v>
      </c>
      <c r="T425" s="8"/>
      <c r="U425" s="8"/>
      <c r="V425" s="11"/>
      <c r="W425" s="8"/>
      <c r="X425" s="8"/>
      <c r="Y425" s="9">
        <f t="shared" si="47"/>
        <v>0</v>
      </c>
      <c r="Z425" s="8" t="str">
        <f t="array" ref="Z425">IF(Y425&gt;5,"Perlu Sensus",IF(AND(Y425&gt;0,,O425&gt;0),"Tetap Deteksi","Belum Deteksi"))</f>
        <v>Belum Deteksi</v>
      </c>
    </row>
    <row r="426" spans="1:26" x14ac:dyDescent="0.15">
      <c r="A426" s="8"/>
      <c r="B426" s="8"/>
      <c r="C426" s="8"/>
      <c r="D426" s="8"/>
      <c r="E426" s="9"/>
      <c r="F426" s="8"/>
      <c r="G426" s="10"/>
      <c r="H426" s="10"/>
      <c r="I426" s="10"/>
      <c r="J426" s="10"/>
      <c r="K426" s="10"/>
      <c r="L426" s="10"/>
      <c r="M426" s="10"/>
      <c r="N426" s="11"/>
      <c r="O426" s="8"/>
      <c r="P426" s="9">
        <f t="array" ref="P426">IFERROR(O426/G426*100,0)</f>
        <v>0</v>
      </c>
      <c r="Q426" s="8"/>
      <c r="R426" s="9">
        <f t="shared" si="48"/>
        <v>0</v>
      </c>
      <c r="S426" s="8" t="str">
        <f t="array" ref="S426">IF(R426&gt;5,"Perlu Sensus",IF(AND(R426&gt;=0,O426&gt;0),"Tetap Deteksi","Belum Deteksi"))</f>
        <v>Belum Deteksi</v>
      </c>
      <c r="T426" s="8"/>
      <c r="U426" s="8"/>
      <c r="V426" s="11"/>
      <c r="W426" s="8"/>
      <c r="X426" s="8"/>
      <c r="Y426" s="9">
        <f t="shared" si="47"/>
        <v>0</v>
      </c>
      <c r="Z426" s="8" t="str">
        <f t="array" ref="Z426">IF(Y426&gt;5,"Perlu Sensus",IF(AND(Y426&gt;0,,O426&gt;0),"Tetap Deteksi","Belum Deteksi"))</f>
        <v>Belum Deteksi</v>
      </c>
    </row>
    <row r="427" spans="1:26" x14ac:dyDescent="0.15">
      <c r="A427" s="8"/>
      <c r="B427" s="8"/>
      <c r="C427" s="8"/>
      <c r="D427" s="8"/>
      <c r="E427" s="9"/>
      <c r="F427" s="8"/>
      <c r="G427" s="10"/>
      <c r="H427" s="10"/>
      <c r="I427" s="10"/>
      <c r="J427" s="10"/>
      <c r="K427" s="10"/>
      <c r="L427" s="10"/>
      <c r="M427" s="10"/>
      <c r="N427" s="11"/>
      <c r="O427" s="8"/>
      <c r="P427" s="9">
        <f t="array" ref="P427">IFERROR(O427/G427*100,0)</f>
        <v>0</v>
      </c>
      <c r="Q427" s="8"/>
      <c r="R427" s="9">
        <f t="shared" si="48"/>
        <v>0</v>
      </c>
      <c r="S427" s="8" t="str">
        <f t="array" ref="S427">IF(R427&gt;5,"Perlu Sensus",IF(AND(R427&gt;=0,O427&gt;0),"Tetap Deteksi","Belum Deteksi"))</f>
        <v>Belum Deteksi</v>
      </c>
      <c r="T427" s="8"/>
      <c r="U427" s="8"/>
      <c r="V427" s="11"/>
      <c r="W427" s="8"/>
      <c r="X427" s="8"/>
      <c r="Y427" s="9">
        <f t="shared" si="47"/>
        <v>0</v>
      </c>
      <c r="Z427" s="8" t="str">
        <f t="array" ref="Z427">IF(Y427&gt;5,"Perlu Sensus",IF(AND(Y427&gt;0,,O427&gt;0),"Tetap Deteksi","Belum Deteksi"))</f>
        <v>Belum Deteksi</v>
      </c>
    </row>
    <row r="428" spans="1:26" x14ac:dyDescent="0.15">
      <c r="A428" s="8"/>
      <c r="B428" s="8"/>
      <c r="C428" s="8"/>
      <c r="D428" s="8"/>
      <c r="E428" s="9"/>
      <c r="F428" s="8"/>
      <c r="G428" s="10"/>
      <c r="H428" s="10"/>
      <c r="I428" s="10"/>
      <c r="J428" s="10"/>
      <c r="K428" s="10"/>
      <c r="L428" s="10"/>
      <c r="M428" s="10"/>
      <c r="N428" s="11"/>
      <c r="O428" s="8"/>
      <c r="P428" s="9">
        <f t="array" ref="P428">IFERROR(O428/G428*100,0)</f>
        <v>0</v>
      </c>
      <c r="Q428" s="8"/>
      <c r="R428" s="9">
        <f t="shared" si="48"/>
        <v>0</v>
      </c>
      <c r="S428" s="8" t="str">
        <f t="array" ref="S428">IF(R428&gt;5,"Perlu Sensus",IF(AND(R428&gt;=0,O428&gt;0),"Tetap Deteksi","Belum Deteksi"))</f>
        <v>Belum Deteksi</v>
      </c>
      <c r="T428" s="8"/>
      <c r="U428" s="8"/>
      <c r="V428" s="11"/>
      <c r="W428" s="8"/>
      <c r="X428" s="8"/>
      <c r="Y428" s="9">
        <f t="shared" si="47"/>
        <v>0</v>
      </c>
      <c r="Z428" s="8" t="str">
        <f t="array" ref="Z428">IF(Y428&gt;5,"Perlu Sensus",IF(AND(Y428&gt;0,,O428&gt;0),"Tetap Deteksi","Belum Deteksi"))</f>
        <v>Belum Deteksi</v>
      </c>
    </row>
    <row r="429" spans="1:26" x14ac:dyDescent="0.15">
      <c r="A429" s="8"/>
      <c r="B429" s="8"/>
      <c r="C429" s="8"/>
      <c r="D429" s="8"/>
      <c r="E429" s="9"/>
      <c r="F429" s="8"/>
      <c r="G429" s="10"/>
      <c r="H429" s="10"/>
      <c r="I429" s="10"/>
      <c r="J429" s="10"/>
      <c r="K429" s="10"/>
      <c r="L429" s="10"/>
      <c r="M429" s="10"/>
      <c r="N429" s="11"/>
      <c r="O429" s="8"/>
      <c r="P429" s="9">
        <f t="array" ref="P429">IFERROR(O429/G429*100,0)</f>
        <v>0</v>
      </c>
      <c r="Q429" s="8"/>
      <c r="R429" s="9">
        <f t="shared" si="48"/>
        <v>0</v>
      </c>
      <c r="S429" s="8" t="str">
        <f t="array" ref="S429">IF(R429&gt;5,"Perlu Sensus",IF(AND(R429&gt;=0,O429&gt;0),"Tetap Deteksi","Belum Deteksi"))</f>
        <v>Belum Deteksi</v>
      </c>
      <c r="T429" s="8"/>
      <c r="U429" s="8"/>
      <c r="V429" s="11"/>
      <c r="W429" s="8"/>
      <c r="X429" s="8"/>
      <c r="Y429" s="9">
        <f t="shared" si="47"/>
        <v>0</v>
      </c>
      <c r="Z429" s="8" t="str">
        <f t="array" ref="Z429">IF(Y429&gt;5,"Perlu Sensus",IF(AND(Y429&gt;0,,O429&gt;0),"Tetap Deteksi","Belum Deteksi"))</f>
        <v>Belum Deteksi</v>
      </c>
    </row>
    <row r="430" spans="1:26" x14ac:dyDescent="0.15">
      <c r="A430" s="8"/>
      <c r="B430" s="8"/>
      <c r="C430" s="8"/>
      <c r="D430" s="8"/>
      <c r="E430" s="9"/>
      <c r="F430" s="8"/>
      <c r="G430" s="10"/>
      <c r="H430" s="10"/>
      <c r="I430" s="10"/>
      <c r="J430" s="10"/>
      <c r="K430" s="10"/>
      <c r="L430" s="10"/>
      <c r="M430" s="10"/>
      <c r="N430" s="11"/>
      <c r="O430" s="8"/>
      <c r="P430" s="9">
        <f t="array" ref="P430">IFERROR(O430/G430*100,0)</f>
        <v>0</v>
      </c>
      <c r="Q430" s="8"/>
      <c r="R430" s="9">
        <f t="shared" si="48"/>
        <v>0</v>
      </c>
      <c r="S430" s="8" t="str">
        <f t="array" ref="S430">IF(R430&gt;5,"Perlu Sensus",IF(AND(R430&gt;=0,O430&gt;0),"Tetap Deteksi","Belum Deteksi"))</f>
        <v>Belum Deteksi</v>
      </c>
      <c r="T430" s="8"/>
      <c r="U430" s="8"/>
      <c r="V430" s="11"/>
      <c r="W430" s="8"/>
      <c r="X430" s="8"/>
      <c r="Y430" s="9">
        <f t="shared" si="47"/>
        <v>0</v>
      </c>
      <c r="Z430" s="8" t="str">
        <f t="array" ref="Z430">IF(Y430&gt;5,"Perlu Sensus",IF(AND(Y430&gt;0,,O430&gt;0),"Tetap Deteksi","Belum Deteksi"))</f>
        <v>Belum Deteksi</v>
      </c>
    </row>
    <row r="431" spans="1:26" x14ac:dyDescent="0.15">
      <c r="A431" s="8"/>
      <c r="B431" s="8"/>
      <c r="C431" s="8"/>
      <c r="D431" s="8"/>
      <c r="E431" s="9"/>
      <c r="F431" s="8"/>
      <c r="G431" s="10"/>
      <c r="H431" s="10"/>
      <c r="I431" s="10"/>
      <c r="J431" s="10"/>
      <c r="K431" s="10"/>
      <c r="L431" s="10"/>
      <c r="M431" s="10"/>
      <c r="N431" s="11"/>
      <c r="O431" s="8"/>
      <c r="P431" s="9">
        <f t="array" ref="P431">IFERROR(O431/G431*100,0)</f>
        <v>0</v>
      </c>
      <c r="Q431" s="8"/>
      <c r="R431" s="9">
        <f t="shared" si="48"/>
        <v>0</v>
      </c>
      <c r="S431" s="8" t="str">
        <f t="array" ref="S431">IF(R431&gt;5,"Perlu Sensus",IF(AND(R431&gt;=0,O431&gt;0),"Tetap Deteksi","Belum Deteksi"))</f>
        <v>Belum Deteksi</v>
      </c>
      <c r="T431" s="8"/>
      <c r="U431" s="8"/>
      <c r="V431" s="11"/>
      <c r="W431" s="8"/>
      <c r="X431" s="8"/>
      <c r="Y431" s="9">
        <f t="shared" si="47"/>
        <v>0</v>
      </c>
      <c r="Z431" s="8" t="str">
        <f t="array" ref="Z431">IF(Y431&gt;5,"Perlu Sensus",IF(AND(Y431&gt;0,,O431&gt;0),"Tetap Deteksi","Belum Deteksi"))</f>
        <v>Belum Deteksi</v>
      </c>
    </row>
    <row r="432" spans="1:26" x14ac:dyDescent="0.15">
      <c r="A432" s="8"/>
      <c r="B432" s="8"/>
      <c r="C432" s="8"/>
      <c r="D432" s="8"/>
      <c r="E432" s="9"/>
      <c r="F432" s="8"/>
      <c r="G432" s="10"/>
      <c r="H432" s="10"/>
      <c r="I432" s="10"/>
      <c r="J432" s="10"/>
      <c r="K432" s="10"/>
      <c r="L432" s="10"/>
      <c r="M432" s="10"/>
      <c r="N432" s="11"/>
      <c r="O432" s="8"/>
      <c r="P432" s="9">
        <f t="array" ref="P432">IFERROR(O432/G432*100,0)</f>
        <v>0</v>
      </c>
      <c r="Q432" s="8"/>
      <c r="R432" s="9">
        <f t="shared" si="48"/>
        <v>0</v>
      </c>
      <c r="S432" s="8" t="str">
        <f t="array" ref="S432">IF(R432&gt;5,"Perlu Sensus",IF(AND(R432&gt;=0,O432&gt;0),"Tetap Deteksi","Belum Deteksi"))</f>
        <v>Belum Deteksi</v>
      </c>
      <c r="T432" s="8"/>
      <c r="U432" s="8"/>
      <c r="V432" s="11"/>
      <c r="W432" s="8"/>
      <c r="X432" s="8"/>
      <c r="Y432" s="9">
        <f t="shared" si="47"/>
        <v>0</v>
      </c>
      <c r="Z432" s="8" t="str">
        <f t="array" ref="Z432">IF(Y432&gt;5,"Perlu Sensus",IF(AND(Y432&gt;0,,O432&gt;0),"Tetap Deteksi","Belum Deteksi"))</f>
        <v>Belum Deteksi</v>
      </c>
    </row>
    <row r="433" spans="1:26" x14ac:dyDescent="0.15">
      <c r="A433" s="8"/>
      <c r="B433" s="8"/>
      <c r="C433" s="8"/>
      <c r="D433" s="8"/>
      <c r="E433" s="9"/>
      <c r="F433" s="8"/>
      <c r="G433" s="10"/>
      <c r="H433" s="10"/>
      <c r="I433" s="10"/>
      <c r="J433" s="10"/>
      <c r="K433" s="10"/>
      <c r="L433" s="10"/>
      <c r="M433" s="10"/>
      <c r="N433" s="11"/>
      <c r="O433" s="8"/>
      <c r="P433" s="9">
        <f t="array" ref="P433">IFERROR(O433/G433*100,0)</f>
        <v>0</v>
      </c>
      <c r="Q433" s="8"/>
      <c r="R433" s="9">
        <f t="shared" si="48"/>
        <v>0</v>
      </c>
      <c r="S433" s="8" t="str">
        <f t="array" ref="S433">IF(R433&gt;5,"Perlu Sensus",IF(AND(R433&gt;=0,O433&gt;0),"Tetap Deteksi","Belum Deteksi"))</f>
        <v>Belum Deteksi</v>
      </c>
      <c r="T433" s="8"/>
      <c r="U433" s="8"/>
      <c r="V433" s="11"/>
      <c r="W433" s="8"/>
      <c r="X433" s="8"/>
      <c r="Y433" s="9">
        <f t="shared" si="47"/>
        <v>0</v>
      </c>
      <c r="Z433" s="8" t="str">
        <f t="array" ref="Z433">IF(Y433&gt;5,"Perlu Sensus",IF(AND(Y433&gt;0,,O433&gt;0),"Tetap Deteksi","Belum Deteksi"))</f>
        <v>Belum Deteksi</v>
      </c>
    </row>
    <row r="434" spans="1:26" x14ac:dyDescent="0.15">
      <c r="A434" s="8"/>
      <c r="B434" s="8"/>
      <c r="C434" s="8"/>
      <c r="D434" s="8"/>
      <c r="E434" s="9"/>
      <c r="F434" s="8"/>
      <c r="G434" s="10"/>
      <c r="H434" s="10"/>
      <c r="I434" s="10"/>
      <c r="J434" s="10"/>
      <c r="K434" s="10"/>
      <c r="L434" s="10"/>
      <c r="M434" s="10"/>
      <c r="N434" s="11"/>
      <c r="O434" s="8"/>
      <c r="P434" s="9">
        <f t="array" ref="P434">IFERROR(O434/G434*100,0)</f>
        <v>0</v>
      </c>
      <c r="Q434" s="8"/>
      <c r="R434" s="9">
        <f t="shared" si="48"/>
        <v>0</v>
      </c>
      <c r="S434" s="8" t="str">
        <f t="array" ref="S434">IF(R434&gt;5,"Perlu Sensus",IF(AND(R434&gt;=0,O434&gt;0),"Tetap Deteksi","Belum Deteksi"))</f>
        <v>Belum Deteksi</v>
      </c>
      <c r="T434" s="8"/>
      <c r="U434" s="8"/>
      <c r="V434" s="11"/>
      <c r="W434" s="8"/>
      <c r="X434" s="8"/>
      <c r="Y434" s="9">
        <f t="shared" si="47"/>
        <v>0</v>
      </c>
      <c r="Z434" s="8" t="str">
        <f t="array" ref="Z434">IF(Y434&gt;5,"Perlu Sensus",IF(AND(Y434&gt;0,,O434&gt;0),"Tetap Deteksi","Belum Deteksi"))</f>
        <v>Belum Deteksi</v>
      </c>
    </row>
    <row r="435" spans="1:26" x14ac:dyDescent="0.15">
      <c r="A435" s="8"/>
      <c r="B435" s="8"/>
      <c r="C435" s="8"/>
      <c r="D435" s="8"/>
      <c r="E435" s="9"/>
      <c r="F435" s="8"/>
      <c r="G435" s="10"/>
      <c r="H435" s="10"/>
      <c r="I435" s="10"/>
      <c r="J435" s="10"/>
      <c r="K435" s="10"/>
      <c r="L435" s="10"/>
      <c r="M435" s="10"/>
      <c r="N435" s="11"/>
      <c r="O435" s="8"/>
      <c r="P435" s="9">
        <f t="array" ref="P435">IFERROR(O435/G435*100,0)</f>
        <v>0</v>
      </c>
      <c r="Q435" s="8"/>
      <c r="R435" s="9">
        <f t="shared" si="48"/>
        <v>0</v>
      </c>
      <c r="S435" s="8" t="str">
        <f t="array" ref="S435">IF(R435&gt;5,"Perlu Sensus",IF(AND(R435&gt;=0,O435&gt;0),"Tetap Deteksi","Belum Deteksi"))</f>
        <v>Belum Deteksi</v>
      </c>
      <c r="T435" s="8"/>
      <c r="U435" s="8"/>
      <c r="V435" s="11"/>
      <c r="W435" s="8"/>
      <c r="X435" s="8"/>
      <c r="Y435" s="9">
        <f t="shared" si="47"/>
        <v>0</v>
      </c>
      <c r="Z435" s="8" t="str">
        <f t="array" ref="Z435">IF(Y435&gt;5,"Perlu Sensus",IF(AND(Y435&gt;0,,O435&gt;0),"Tetap Deteksi","Belum Deteksi"))</f>
        <v>Belum Deteksi</v>
      </c>
    </row>
    <row r="436" spans="1:26" x14ac:dyDescent="0.15">
      <c r="A436" s="8"/>
      <c r="B436" s="8"/>
      <c r="C436" s="8"/>
      <c r="D436" s="8"/>
      <c r="E436" s="9"/>
      <c r="F436" s="8"/>
      <c r="G436" s="10"/>
      <c r="H436" s="10"/>
      <c r="I436" s="10"/>
      <c r="J436" s="10"/>
      <c r="K436" s="10"/>
      <c r="L436" s="10"/>
      <c r="M436" s="10"/>
      <c r="N436" s="11"/>
      <c r="O436" s="8"/>
      <c r="P436" s="9"/>
      <c r="Q436" s="8"/>
      <c r="R436" s="9"/>
      <c r="S436" s="8"/>
      <c r="T436" s="8"/>
      <c r="U436" s="8"/>
      <c r="V436" s="11"/>
      <c r="W436" s="8"/>
      <c r="X436" s="8"/>
      <c r="Y436" s="9"/>
      <c r="Z436" s="8"/>
    </row>
    <row r="437" spans="1:26" x14ac:dyDescent="0.15">
      <c r="A437" s="8"/>
      <c r="B437" s="8"/>
      <c r="C437" s="8"/>
      <c r="D437" s="8"/>
      <c r="E437" s="9"/>
      <c r="F437" s="8"/>
      <c r="G437" s="10"/>
      <c r="H437" s="10"/>
      <c r="I437" s="10"/>
      <c r="J437" s="10"/>
      <c r="K437" s="10"/>
      <c r="L437" s="10"/>
      <c r="M437" s="10"/>
      <c r="N437" s="11"/>
      <c r="O437" s="8"/>
      <c r="P437" s="9"/>
      <c r="Q437" s="8"/>
      <c r="R437" s="9"/>
      <c r="S437" s="8"/>
      <c r="T437" s="8"/>
      <c r="U437" s="8"/>
      <c r="V437" s="11"/>
      <c r="W437" s="8"/>
      <c r="X437" s="8"/>
      <c r="Y437" s="9"/>
      <c r="Z437" s="8"/>
    </row>
    <row r="438" spans="1:26" x14ac:dyDescent="0.15">
      <c r="A438" s="8"/>
      <c r="B438" s="8"/>
      <c r="C438" s="8"/>
      <c r="D438" s="8"/>
      <c r="E438" s="9"/>
      <c r="F438" s="8"/>
      <c r="G438" s="10"/>
      <c r="H438" s="10"/>
      <c r="I438" s="10"/>
      <c r="J438" s="10"/>
      <c r="K438" s="10"/>
      <c r="L438" s="10"/>
      <c r="M438" s="10"/>
      <c r="N438" s="11"/>
      <c r="O438" s="8"/>
      <c r="P438" s="9"/>
      <c r="Q438" s="8"/>
      <c r="R438" s="9"/>
      <c r="S438" s="8"/>
      <c r="T438" s="8"/>
      <c r="U438" s="8"/>
      <c r="V438" s="11"/>
      <c r="W438" s="8"/>
      <c r="X438" s="8"/>
      <c r="Y438" s="9"/>
      <c r="Z438" s="8"/>
    </row>
    <row r="439" spans="1:26" x14ac:dyDescent="0.15">
      <c r="A439" s="8"/>
      <c r="B439" s="8"/>
      <c r="C439" s="8"/>
      <c r="D439" s="8"/>
      <c r="E439" s="9"/>
      <c r="F439" s="8"/>
      <c r="G439" s="10"/>
      <c r="H439" s="10"/>
      <c r="I439" s="10"/>
      <c r="J439" s="10"/>
      <c r="K439" s="10"/>
      <c r="L439" s="10"/>
      <c r="M439" s="10"/>
      <c r="N439" s="11"/>
      <c r="O439" s="8"/>
      <c r="P439" s="9"/>
      <c r="Q439" s="8"/>
      <c r="R439" s="9"/>
      <c r="S439" s="8"/>
      <c r="T439" s="8"/>
      <c r="U439" s="8"/>
      <c r="V439" s="11"/>
      <c r="W439" s="8"/>
      <c r="X439" s="8"/>
      <c r="Y439" s="9"/>
      <c r="Z439" s="8"/>
    </row>
    <row r="440" spans="1:26" x14ac:dyDescent="0.15">
      <c r="A440" s="8"/>
      <c r="B440" s="8"/>
      <c r="C440" s="8"/>
      <c r="D440" s="8"/>
      <c r="E440" s="9"/>
      <c r="F440" s="8"/>
      <c r="G440" s="10"/>
      <c r="H440" s="10"/>
      <c r="I440" s="10"/>
      <c r="J440" s="10"/>
      <c r="K440" s="10"/>
      <c r="L440" s="10"/>
      <c r="M440" s="10"/>
      <c r="N440" s="11"/>
      <c r="O440" s="8"/>
      <c r="P440" s="9"/>
      <c r="Q440" s="8"/>
      <c r="R440" s="9"/>
      <c r="S440" s="8"/>
      <c r="T440" s="8"/>
      <c r="U440" s="8"/>
      <c r="V440" s="11"/>
      <c r="W440" s="8"/>
      <c r="X440" s="8"/>
      <c r="Y440" s="9"/>
      <c r="Z440" s="8"/>
    </row>
    <row r="441" spans="1:26" x14ac:dyDescent="0.15">
      <c r="A441" s="8"/>
      <c r="B441" s="8"/>
      <c r="C441" s="8"/>
      <c r="D441" s="8"/>
      <c r="E441" s="9"/>
      <c r="F441" s="8"/>
      <c r="G441" s="10"/>
      <c r="H441" s="10"/>
      <c r="I441" s="10"/>
      <c r="J441" s="10"/>
      <c r="K441" s="10"/>
      <c r="L441" s="10"/>
      <c r="M441" s="10"/>
      <c r="N441" s="11"/>
      <c r="O441" s="8"/>
      <c r="P441" s="9"/>
      <c r="Q441" s="8"/>
      <c r="R441" s="9"/>
      <c r="S441" s="8"/>
      <c r="T441" s="8"/>
      <c r="U441" s="8"/>
      <c r="V441" s="11"/>
      <c r="W441" s="8"/>
      <c r="X441" s="8"/>
      <c r="Y441" s="9"/>
      <c r="Z441" s="8"/>
    </row>
    <row r="442" spans="1:26" x14ac:dyDescent="0.15">
      <c r="A442" s="8"/>
      <c r="B442" s="8"/>
      <c r="C442" s="8"/>
      <c r="D442" s="8"/>
      <c r="E442" s="9"/>
      <c r="F442" s="8"/>
      <c r="G442" s="10"/>
      <c r="H442" s="10"/>
      <c r="I442" s="10"/>
      <c r="J442" s="10"/>
      <c r="K442" s="10"/>
      <c r="L442" s="10"/>
      <c r="M442" s="10"/>
      <c r="N442" s="11"/>
      <c r="O442" s="8"/>
      <c r="P442" s="9"/>
      <c r="Q442" s="8"/>
      <c r="R442" s="9"/>
      <c r="S442" s="8"/>
      <c r="T442" s="8"/>
      <c r="U442" s="8"/>
      <c r="V442" s="11"/>
      <c r="W442" s="8"/>
      <c r="X442" s="8"/>
      <c r="Y442" s="9"/>
      <c r="Z442" s="8"/>
    </row>
    <row r="443" spans="1:26" x14ac:dyDescent="0.15">
      <c r="A443" s="8"/>
      <c r="B443" s="8"/>
      <c r="C443" s="8"/>
      <c r="D443" s="8"/>
      <c r="E443" s="9"/>
      <c r="F443" s="8"/>
      <c r="G443" s="10"/>
      <c r="H443" s="10"/>
      <c r="I443" s="10"/>
      <c r="J443" s="10"/>
      <c r="K443" s="10"/>
      <c r="L443" s="10"/>
      <c r="M443" s="10"/>
      <c r="N443" s="11"/>
      <c r="O443" s="8"/>
      <c r="P443" s="9"/>
      <c r="Q443" s="8"/>
      <c r="R443" s="9"/>
      <c r="S443" s="8"/>
      <c r="T443" s="8"/>
      <c r="U443" s="8"/>
      <c r="V443" s="11"/>
      <c r="W443" s="8"/>
      <c r="X443" s="8"/>
      <c r="Y443" s="9"/>
      <c r="Z443" s="8"/>
    </row>
    <row r="444" spans="1:26" x14ac:dyDescent="0.15">
      <c r="A444" s="8"/>
      <c r="B444" s="8"/>
      <c r="C444" s="8"/>
      <c r="D444" s="8"/>
      <c r="E444" s="9"/>
      <c r="F444" s="8"/>
      <c r="G444" s="10"/>
      <c r="H444" s="10"/>
      <c r="I444" s="10"/>
      <c r="J444" s="10"/>
      <c r="K444" s="10"/>
      <c r="L444" s="10"/>
      <c r="M444" s="10"/>
      <c r="N444" s="11"/>
      <c r="O444" s="8"/>
      <c r="P444" s="9"/>
      <c r="Q444" s="8"/>
      <c r="R444" s="9"/>
      <c r="S444" s="8"/>
      <c r="T444" s="8"/>
      <c r="U444" s="8"/>
      <c r="V444" s="11"/>
      <c r="W444" s="8"/>
      <c r="X444" s="8"/>
      <c r="Y444" s="9"/>
      <c r="Z444" s="8"/>
    </row>
    <row r="445" spans="1:26" x14ac:dyDescent="0.15">
      <c r="A445" s="8"/>
      <c r="B445" s="8"/>
      <c r="C445" s="8"/>
      <c r="D445" s="8"/>
      <c r="E445" s="9"/>
      <c r="F445" s="8"/>
      <c r="G445" s="10"/>
      <c r="H445" s="10"/>
      <c r="I445" s="10"/>
      <c r="J445" s="10"/>
      <c r="K445" s="10"/>
      <c r="L445" s="10"/>
      <c r="M445" s="10"/>
      <c r="N445" s="11"/>
      <c r="O445" s="8"/>
      <c r="P445" s="9"/>
      <c r="Q445" s="8"/>
      <c r="R445" s="9"/>
      <c r="S445" s="8"/>
      <c r="T445" s="8"/>
      <c r="U445" s="8"/>
      <c r="V445" s="11"/>
      <c r="W445" s="8"/>
      <c r="X445" s="8"/>
      <c r="Y445" s="9"/>
      <c r="Z445" s="8"/>
    </row>
    <row r="446" spans="1:26" x14ac:dyDescent="0.15">
      <c r="A446" s="8"/>
      <c r="B446" s="8"/>
      <c r="C446" s="8"/>
      <c r="D446" s="8"/>
      <c r="E446" s="9"/>
      <c r="F446" s="8"/>
      <c r="G446" s="10"/>
      <c r="H446" s="10"/>
      <c r="I446" s="10"/>
      <c r="J446" s="10"/>
      <c r="K446" s="10"/>
      <c r="L446" s="10"/>
      <c r="M446" s="10"/>
      <c r="N446" s="11"/>
      <c r="O446" s="8"/>
      <c r="P446" s="9"/>
      <c r="Q446" s="8"/>
      <c r="R446" s="9"/>
      <c r="S446" s="8"/>
      <c r="T446" s="8"/>
      <c r="U446" s="8"/>
      <c r="V446" s="11"/>
      <c r="W446" s="8"/>
      <c r="X446" s="8"/>
      <c r="Y446" s="9"/>
      <c r="Z446" s="8"/>
    </row>
    <row r="447" spans="1:26" x14ac:dyDescent="0.15">
      <c r="A447" s="8"/>
      <c r="B447" s="8"/>
      <c r="C447" s="8"/>
      <c r="D447" s="8"/>
      <c r="E447" s="9"/>
      <c r="F447" s="8"/>
      <c r="G447" s="10"/>
      <c r="H447" s="10"/>
      <c r="I447" s="10"/>
      <c r="J447" s="10"/>
      <c r="K447" s="10"/>
      <c r="L447" s="10"/>
      <c r="M447" s="10"/>
      <c r="N447" s="11"/>
      <c r="O447" s="8"/>
      <c r="P447" s="9"/>
      <c r="Q447" s="8"/>
      <c r="R447" s="9"/>
      <c r="S447" s="8"/>
      <c r="T447" s="8"/>
      <c r="U447" s="8"/>
      <c r="V447" s="11"/>
      <c r="W447" s="8"/>
      <c r="X447" s="8"/>
      <c r="Y447" s="9"/>
      <c r="Z447" s="8"/>
    </row>
    <row r="448" spans="1:26" x14ac:dyDescent="0.15">
      <c r="A448" s="8"/>
      <c r="B448" s="8"/>
      <c r="C448" s="8"/>
      <c r="D448" s="8"/>
      <c r="E448" s="9"/>
      <c r="F448" s="8"/>
      <c r="G448" s="10"/>
      <c r="H448" s="10"/>
      <c r="I448" s="10"/>
      <c r="J448" s="10"/>
      <c r="K448" s="10"/>
      <c r="L448" s="10"/>
      <c r="M448" s="10"/>
      <c r="N448" s="11"/>
      <c r="O448" s="8"/>
      <c r="P448" s="9"/>
      <c r="Q448" s="8"/>
      <c r="R448" s="9"/>
      <c r="S448" s="8"/>
      <c r="T448" s="8"/>
      <c r="U448" s="8"/>
      <c r="V448" s="11"/>
      <c r="W448" s="8"/>
      <c r="X448" s="8"/>
      <c r="Y448" s="9"/>
      <c r="Z448" s="8"/>
    </row>
    <row r="449" spans="1:26" x14ac:dyDescent="0.15">
      <c r="A449" s="8"/>
      <c r="B449" s="8"/>
      <c r="C449" s="8"/>
      <c r="D449" s="8"/>
      <c r="E449" s="9"/>
      <c r="F449" s="8"/>
      <c r="G449" s="10"/>
      <c r="H449" s="10"/>
      <c r="I449" s="10"/>
      <c r="J449" s="10"/>
      <c r="K449" s="10"/>
      <c r="L449" s="10"/>
      <c r="M449" s="10"/>
      <c r="N449" s="11"/>
      <c r="O449" s="8"/>
      <c r="P449" s="9"/>
      <c r="Q449" s="8"/>
      <c r="R449" s="9"/>
      <c r="S449" s="8"/>
      <c r="T449" s="8"/>
      <c r="U449" s="8"/>
      <c r="V449" s="11"/>
      <c r="W449" s="8"/>
      <c r="X449" s="8"/>
      <c r="Y449" s="9"/>
      <c r="Z449" s="8"/>
    </row>
    <row r="450" spans="1:26" x14ac:dyDescent="0.15">
      <c r="A450" s="8"/>
      <c r="B450" s="8"/>
      <c r="C450" s="8"/>
      <c r="D450" s="8"/>
      <c r="E450" s="9"/>
      <c r="F450" s="8"/>
      <c r="G450" s="10"/>
      <c r="H450" s="10"/>
      <c r="I450" s="10"/>
      <c r="J450" s="10"/>
      <c r="K450" s="10"/>
      <c r="L450" s="10"/>
      <c r="M450" s="10"/>
      <c r="N450" s="11"/>
      <c r="O450" s="8"/>
      <c r="P450" s="9"/>
      <c r="Q450" s="8"/>
      <c r="R450" s="9"/>
      <c r="S450" s="8"/>
      <c r="T450" s="8"/>
      <c r="U450" s="8"/>
      <c r="V450" s="11"/>
      <c r="W450" s="8"/>
      <c r="X450" s="8"/>
      <c r="Y450" s="9"/>
      <c r="Z450" s="8"/>
    </row>
    <row r="451" spans="1:26" x14ac:dyDescent="0.15">
      <c r="A451" s="8"/>
      <c r="B451" s="8"/>
      <c r="C451" s="8"/>
      <c r="D451" s="8"/>
      <c r="E451" s="9"/>
      <c r="F451" s="8"/>
      <c r="G451" s="10"/>
      <c r="H451" s="10"/>
      <c r="I451" s="10"/>
      <c r="J451" s="10"/>
      <c r="K451" s="10"/>
      <c r="L451" s="10"/>
      <c r="M451" s="10"/>
      <c r="N451" s="11"/>
      <c r="O451" s="8"/>
      <c r="P451" s="9"/>
      <c r="Q451" s="8"/>
      <c r="R451" s="9"/>
      <c r="S451" s="8"/>
      <c r="T451" s="8"/>
      <c r="U451" s="8"/>
      <c r="V451" s="11"/>
      <c r="W451" s="8"/>
      <c r="X451" s="8"/>
      <c r="Y451" s="9"/>
      <c r="Z451" s="8"/>
    </row>
    <row r="452" spans="1:26" x14ac:dyDescent="0.15">
      <c r="A452" s="8"/>
      <c r="B452" s="8"/>
      <c r="C452" s="8"/>
      <c r="D452" s="8"/>
      <c r="E452" s="9"/>
      <c r="F452" s="8"/>
      <c r="G452" s="10"/>
      <c r="H452" s="10"/>
      <c r="I452" s="10"/>
      <c r="J452" s="10"/>
      <c r="K452" s="10"/>
      <c r="L452" s="10"/>
      <c r="M452" s="10"/>
      <c r="N452" s="11"/>
      <c r="O452" s="8"/>
      <c r="P452" s="9"/>
      <c r="Q452" s="8"/>
      <c r="R452" s="9"/>
      <c r="S452" s="8"/>
      <c r="T452" s="8"/>
      <c r="U452" s="8"/>
      <c r="V452" s="11"/>
      <c r="W452" s="8"/>
      <c r="X452" s="8"/>
      <c r="Y452" s="9"/>
      <c r="Z452" s="8"/>
    </row>
    <row r="453" spans="1:26" x14ac:dyDescent="0.15">
      <c r="A453" s="8"/>
      <c r="B453" s="8"/>
      <c r="C453" s="8"/>
      <c r="D453" s="8"/>
      <c r="E453" s="9"/>
      <c r="F453" s="8"/>
      <c r="G453" s="10"/>
      <c r="H453" s="10"/>
      <c r="I453" s="10"/>
      <c r="J453" s="10"/>
      <c r="K453" s="10"/>
      <c r="L453" s="10"/>
      <c r="M453" s="10"/>
      <c r="N453" s="11"/>
      <c r="O453" s="8"/>
      <c r="P453" s="9"/>
      <c r="Q453" s="8"/>
      <c r="R453" s="9"/>
      <c r="S453" s="8"/>
      <c r="T453" s="8"/>
      <c r="U453" s="8"/>
      <c r="V453" s="11"/>
      <c r="W453" s="8"/>
      <c r="X453" s="8"/>
      <c r="Y453" s="9"/>
      <c r="Z453" s="8"/>
    </row>
    <row r="454" spans="1:26" x14ac:dyDescent="0.15">
      <c r="A454" s="8"/>
      <c r="B454" s="8"/>
      <c r="C454" s="8"/>
      <c r="D454" s="8"/>
      <c r="E454" s="9"/>
      <c r="F454" s="8"/>
      <c r="G454" s="10"/>
      <c r="H454" s="10"/>
      <c r="I454" s="10"/>
      <c r="J454" s="10"/>
      <c r="K454" s="10"/>
      <c r="L454" s="10"/>
      <c r="M454" s="10"/>
      <c r="N454" s="11"/>
      <c r="O454" s="8"/>
      <c r="P454" s="9"/>
      <c r="Q454" s="8"/>
      <c r="R454" s="9"/>
      <c r="S454" s="8"/>
      <c r="T454" s="8"/>
      <c r="U454" s="8"/>
      <c r="V454" s="11"/>
      <c r="W454" s="8"/>
      <c r="X454" s="8"/>
      <c r="Y454" s="9"/>
      <c r="Z454" s="8"/>
    </row>
    <row r="455" spans="1:26" x14ac:dyDescent="0.15">
      <c r="A455" s="8"/>
      <c r="B455" s="8"/>
      <c r="C455" s="8"/>
      <c r="D455" s="8"/>
      <c r="E455" s="9"/>
      <c r="F455" s="8"/>
      <c r="G455" s="10"/>
      <c r="H455" s="10"/>
      <c r="I455" s="10"/>
      <c r="J455" s="10"/>
      <c r="K455" s="10"/>
      <c r="L455" s="10"/>
      <c r="M455" s="10"/>
      <c r="N455" s="11"/>
      <c r="O455" s="8"/>
      <c r="P455" s="9"/>
      <c r="Q455" s="8"/>
      <c r="R455" s="9"/>
      <c r="S455" s="8"/>
      <c r="T455" s="8"/>
      <c r="U455" s="8"/>
      <c r="V455" s="11"/>
      <c r="W455" s="8"/>
      <c r="X455" s="8"/>
      <c r="Y455" s="9"/>
      <c r="Z455" s="8"/>
    </row>
    <row r="456" spans="1:26" x14ac:dyDescent="0.15">
      <c r="A456" s="8"/>
      <c r="B456" s="8"/>
      <c r="C456" s="8"/>
      <c r="D456" s="8"/>
      <c r="E456" s="9"/>
      <c r="F456" s="8"/>
      <c r="G456" s="10"/>
      <c r="H456" s="10"/>
      <c r="I456" s="10"/>
      <c r="J456" s="10"/>
      <c r="K456" s="10"/>
      <c r="L456" s="10"/>
      <c r="M456" s="10"/>
      <c r="N456" s="11"/>
      <c r="O456" s="8"/>
      <c r="P456" s="9"/>
      <c r="Q456" s="8"/>
      <c r="R456" s="9"/>
      <c r="S456" s="8"/>
      <c r="T456" s="8"/>
      <c r="U456" s="8"/>
      <c r="V456" s="11"/>
      <c r="W456" s="8"/>
      <c r="X456" s="8"/>
      <c r="Y456" s="9"/>
      <c r="Z456" s="8"/>
    </row>
    <row r="457" spans="1:26" x14ac:dyDescent="0.15">
      <c r="A457" s="8"/>
      <c r="B457" s="8"/>
      <c r="C457" s="8"/>
      <c r="D457" s="8"/>
      <c r="E457" s="9"/>
      <c r="F457" s="8"/>
      <c r="G457" s="10"/>
      <c r="H457" s="10"/>
      <c r="I457" s="10"/>
      <c r="J457" s="10"/>
      <c r="K457" s="10"/>
      <c r="L457" s="10"/>
      <c r="M457" s="10"/>
      <c r="N457" s="11"/>
      <c r="O457" s="8"/>
      <c r="P457" s="9"/>
      <c r="Q457" s="8"/>
      <c r="R457" s="9"/>
      <c r="S457" s="8"/>
      <c r="T457" s="8"/>
      <c r="U457" s="8"/>
      <c r="V457" s="11"/>
      <c r="W457" s="8"/>
      <c r="X457" s="8"/>
      <c r="Y457" s="9"/>
      <c r="Z457" s="8"/>
    </row>
    <row r="458" spans="1:26" x14ac:dyDescent="0.15">
      <c r="A458" s="8"/>
      <c r="B458" s="8"/>
      <c r="C458" s="8"/>
      <c r="D458" s="8"/>
      <c r="E458" s="9"/>
      <c r="F458" s="8"/>
      <c r="G458" s="10"/>
      <c r="H458" s="10"/>
      <c r="I458" s="10"/>
      <c r="J458" s="10"/>
      <c r="K458" s="10"/>
      <c r="L458" s="10"/>
      <c r="M458" s="10"/>
      <c r="N458" s="11"/>
      <c r="O458" s="8"/>
      <c r="P458" s="9"/>
      <c r="Q458" s="8"/>
      <c r="R458" s="9"/>
      <c r="S458" s="8"/>
      <c r="T458" s="8"/>
      <c r="U458" s="8"/>
      <c r="V458" s="11"/>
      <c r="W458" s="8"/>
      <c r="X458" s="8"/>
      <c r="Y458" s="9"/>
      <c r="Z458" s="8"/>
    </row>
    <row r="459" spans="1:26" x14ac:dyDescent="0.15">
      <c r="A459" s="8"/>
      <c r="B459" s="8"/>
      <c r="C459" s="8"/>
      <c r="D459" s="8"/>
      <c r="E459" s="9"/>
      <c r="F459" s="8"/>
      <c r="G459" s="10"/>
      <c r="H459" s="10"/>
      <c r="I459" s="10"/>
      <c r="J459" s="10"/>
      <c r="K459" s="10"/>
      <c r="L459" s="10"/>
      <c r="M459" s="10"/>
      <c r="N459" s="11"/>
      <c r="O459" s="8"/>
      <c r="P459" s="9"/>
      <c r="Q459" s="8"/>
      <c r="R459" s="9"/>
      <c r="S459" s="8"/>
      <c r="T459" s="8"/>
      <c r="U459" s="8"/>
      <c r="V459" s="11"/>
      <c r="W459" s="8"/>
      <c r="X459" s="8"/>
      <c r="Y459" s="9"/>
      <c r="Z459" s="8"/>
    </row>
    <row r="460" spans="1:26" x14ac:dyDescent="0.15">
      <c r="A460" s="8"/>
      <c r="B460" s="8"/>
      <c r="C460" s="8"/>
      <c r="D460" s="8"/>
      <c r="E460" s="9"/>
      <c r="F460" s="8"/>
      <c r="G460" s="10"/>
      <c r="H460" s="10"/>
      <c r="I460" s="10"/>
      <c r="J460" s="10"/>
      <c r="K460" s="10"/>
      <c r="L460" s="10"/>
      <c r="M460" s="10"/>
      <c r="N460" s="11"/>
      <c r="O460" s="8"/>
      <c r="P460" s="9"/>
      <c r="Q460" s="8"/>
      <c r="R460" s="9"/>
      <c r="S460" s="8"/>
      <c r="T460" s="8"/>
      <c r="U460" s="8"/>
      <c r="V460" s="11"/>
      <c r="W460" s="8"/>
      <c r="X460" s="8"/>
      <c r="Y460" s="9"/>
      <c r="Z460" s="8"/>
    </row>
    <row r="461" spans="1:26" x14ac:dyDescent="0.15">
      <c r="A461" s="8"/>
      <c r="B461" s="8"/>
      <c r="C461" s="8"/>
      <c r="D461" s="8"/>
      <c r="E461" s="9"/>
      <c r="F461" s="8"/>
      <c r="G461" s="10"/>
      <c r="H461" s="10"/>
      <c r="I461" s="10"/>
      <c r="J461" s="10"/>
      <c r="K461" s="10"/>
      <c r="L461" s="10"/>
      <c r="M461" s="10"/>
      <c r="N461" s="11"/>
      <c r="O461" s="8"/>
      <c r="P461" s="9"/>
      <c r="Q461" s="8"/>
      <c r="R461" s="9"/>
      <c r="S461" s="8"/>
      <c r="T461" s="8"/>
      <c r="U461" s="8"/>
      <c r="V461" s="11"/>
      <c r="W461" s="8"/>
      <c r="X461" s="8"/>
      <c r="Y461" s="9"/>
      <c r="Z461" s="8"/>
    </row>
    <row r="462" spans="1:26" x14ac:dyDescent="0.15">
      <c r="A462" s="8"/>
      <c r="B462" s="8"/>
      <c r="C462" s="8"/>
      <c r="D462" s="8"/>
      <c r="E462" s="9"/>
      <c r="F462" s="8"/>
      <c r="G462" s="10"/>
      <c r="H462" s="10"/>
      <c r="I462" s="10"/>
      <c r="J462" s="10"/>
      <c r="K462" s="10"/>
      <c r="L462" s="10"/>
      <c r="M462" s="10"/>
      <c r="N462" s="11"/>
      <c r="O462" s="8"/>
      <c r="P462" s="9"/>
      <c r="Q462" s="8"/>
      <c r="R462" s="9"/>
      <c r="S462" s="8"/>
      <c r="T462" s="8"/>
      <c r="U462" s="8"/>
      <c r="V462" s="11"/>
      <c r="W462" s="8"/>
      <c r="X462" s="8"/>
      <c r="Y462" s="9"/>
      <c r="Z462" s="8"/>
    </row>
    <row r="463" spans="1:26" x14ac:dyDescent="0.15">
      <c r="A463" s="8"/>
      <c r="B463" s="8"/>
      <c r="C463" s="8"/>
      <c r="D463" s="8"/>
      <c r="E463" s="9"/>
      <c r="F463" s="8"/>
      <c r="G463" s="10"/>
      <c r="H463" s="10"/>
      <c r="I463" s="10"/>
      <c r="J463" s="10"/>
      <c r="K463" s="10"/>
      <c r="L463" s="10"/>
      <c r="M463" s="10"/>
      <c r="N463" s="11"/>
      <c r="O463" s="8"/>
      <c r="P463" s="9"/>
      <c r="Q463" s="8"/>
      <c r="R463" s="9"/>
      <c r="S463" s="8"/>
      <c r="T463" s="8"/>
      <c r="U463" s="8"/>
      <c r="V463" s="11"/>
      <c r="W463" s="8"/>
      <c r="X463" s="8"/>
      <c r="Y463" s="9"/>
      <c r="Z463" s="8"/>
    </row>
    <row r="464" spans="1:26" x14ac:dyDescent="0.15">
      <c r="A464" s="8"/>
      <c r="B464" s="8"/>
      <c r="C464" s="8"/>
      <c r="D464" s="8"/>
      <c r="E464" s="9"/>
      <c r="F464" s="8"/>
      <c r="G464" s="10"/>
      <c r="H464" s="10"/>
      <c r="I464" s="10"/>
      <c r="J464" s="10"/>
      <c r="K464" s="10"/>
      <c r="L464" s="10"/>
      <c r="M464" s="10"/>
      <c r="N464" s="11"/>
      <c r="O464" s="8"/>
      <c r="P464" s="9"/>
      <c r="Q464" s="8"/>
      <c r="R464" s="9"/>
      <c r="S464" s="8"/>
      <c r="T464" s="8"/>
      <c r="U464" s="8"/>
      <c r="V464" s="11"/>
      <c r="W464" s="8"/>
      <c r="X464" s="8"/>
      <c r="Y464" s="9"/>
      <c r="Z464" s="8"/>
    </row>
    <row r="465" spans="1:26" x14ac:dyDescent="0.15">
      <c r="A465" s="8"/>
      <c r="B465" s="8"/>
      <c r="C465" s="8"/>
      <c r="D465" s="8"/>
      <c r="E465" s="9"/>
      <c r="F465" s="8"/>
      <c r="G465" s="10"/>
      <c r="H465" s="10"/>
      <c r="I465" s="10"/>
      <c r="J465" s="10"/>
      <c r="K465" s="10"/>
      <c r="L465" s="10"/>
      <c r="M465" s="10"/>
      <c r="N465" s="11"/>
      <c r="O465" s="8"/>
      <c r="P465" s="9"/>
      <c r="Q465" s="8"/>
      <c r="R465" s="9"/>
      <c r="S465" s="8"/>
      <c r="T465" s="8"/>
      <c r="U465" s="8"/>
      <c r="V465" s="11"/>
      <c r="W465" s="8"/>
      <c r="X465" s="8"/>
      <c r="Y465" s="9"/>
      <c r="Z465" s="8"/>
    </row>
    <row r="466" spans="1:26" x14ac:dyDescent="0.15">
      <c r="A466" s="8"/>
      <c r="B466" s="8"/>
      <c r="C466" s="8"/>
      <c r="D466" s="8"/>
      <c r="E466" s="9"/>
      <c r="F466" s="8"/>
      <c r="G466" s="10"/>
      <c r="H466" s="10"/>
      <c r="I466" s="10"/>
      <c r="J466" s="10"/>
      <c r="K466" s="10"/>
      <c r="L466" s="10"/>
      <c r="M466" s="10"/>
      <c r="N466" s="11"/>
      <c r="O466" s="8"/>
      <c r="P466" s="9"/>
      <c r="Q466" s="8"/>
      <c r="R466" s="9"/>
      <c r="S466" s="8"/>
      <c r="T466" s="8"/>
      <c r="U466" s="8"/>
      <c r="V466" s="11"/>
      <c r="W466" s="8"/>
      <c r="X466" s="8"/>
      <c r="Y466" s="9"/>
      <c r="Z466" s="8"/>
    </row>
    <row r="467" spans="1:26" x14ac:dyDescent="0.15">
      <c r="A467" s="8"/>
      <c r="B467" s="8"/>
      <c r="C467" s="8"/>
      <c r="D467" s="8"/>
      <c r="E467" s="9"/>
      <c r="F467" s="8"/>
      <c r="G467" s="10"/>
      <c r="H467" s="10"/>
      <c r="I467" s="10"/>
      <c r="J467" s="10"/>
      <c r="K467" s="10"/>
      <c r="L467" s="10"/>
      <c r="M467" s="10"/>
      <c r="N467" s="11"/>
      <c r="O467" s="8"/>
      <c r="P467" s="9"/>
      <c r="Q467" s="8"/>
      <c r="R467" s="9"/>
      <c r="S467" s="8"/>
      <c r="T467" s="8"/>
      <c r="U467" s="8"/>
      <c r="V467" s="11"/>
      <c r="W467" s="8"/>
      <c r="X467" s="8"/>
      <c r="Y467" s="9"/>
      <c r="Z467" s="8"/>
    </row>
    <row r="468" spans="1:26" x14ac:dyDescent="0.15">
      <c r="A468" s="8"/>
      <c r="B468" s="8"/>
      <c r="C468" s="8"/>
      <c r="D468" s="8"/>
      <c r="E468" s="9"/>
      <c r="F468" s="8"/>
      <c r="G468" s="10"/>
      <c r="H468" s="10"/>
      <c r="I468" s="10"/>
      <c r="J468" s="10"/>
      <c r="K468" s="10"/>
      <c r="L468" s="10"/>
      <c r="M468" s="10"/>
      <c r="N468" s="11"/>
      <c r="O468" s="8"/>
      <c r="P468" s="9"/>
      <c r="Q468" s="8"/>
      <c r="R468" s="9"/>
      <c r="S468" s="8"/>
      <c r="T468" s="8"/>
      <c r="U468" s="8"/>
      <c r="V468" s="11"/>
      <c r="W468" s="8"/>
      <c r="X468" s="8"/>
      <c r="Y468" s="9"/>
      <c r="Z468" s="8"/>
    </row>
    <row r="469" spans="1:26" x14ac:dyDescent="0.15">
      <c r="A469" s="8"/>
      <c r="B469" s="8"/>
      <c r="C469" s="8"/>
      <c r="D469" s="8"/>
      <c r="E469" s="9"/>
      <c r="F469" s="8"/>
      <c r="G469" s="10"/>
      <c r="H469" s="10"/>
      <c r="I469" s="10"/>
      <c r="J469" s="10"/>
      <c r="K469" s="10"/>
      <c r="L469" s="10"/>
      <c r="M469" s="10"/>
      <c r="N469" s="11"/>
      <c r="O469" s="8"/>
      <c r="P469" s="9"/>
      <c r="Q469" s="8"/>
      <c r="R469" s="9"/>
      <c r="S469" s="8"/>
      <c r="T469" s="8"/>
      <c r="U469" s="8"/>
      <c r="V469" s="11"/>
      <c r="W469" s="8"/>
      <c r="X469" s="8"/>
      <c r="Y469" s="9"/>
      <c r="Z469" s="8"/>
    </row>
    <row r="470" spans="1:26" x14ac:dyDescent="0.15">
      <c r="A470" s="8"/>
      <c r="B470" s="8"/>
      <c r="C470" s="8"/>
      <c r="D470" s="8"/>
      <c r="E470" s="9"/>
      <c r="F470" s="8"/>
      <c r="G470" s="10"/>
      <c r="H470" s="10"/>
      <c r="I470" s="10"/>
      <c r="J470" s="10"/>
      <c r="K470" s="10"/>
      <c r="L470" s="10"/>
      <c r="M470" s="10"/>
      <c r="N470" s="11"/>
      <c r="O470" s="8"/>
      <c r="P470" s="9"/>
      <c r="Q470" s="8"/>
      <c r="R470" s="9"/>
      <c r="S470" s="8"/>
      <c r="T470" s="8"/>
      <c r="U470" s="8"/>
      <c r="V470" s="11"/>
      <c r="W470" s="8"/>
      <c r="X470" s="8"/>
      <c r="Y470" s="9"/>
      <c r="Z470" s="8"/>
    </row>
    <row r="471" spans="1:26" x14ac:dyDescent="0.15">
      <c r="A471" s="8"/>
      <c r="B471" s="8"/>
      <c r="C471" s="8"/>
      <c r="D471" s="8"/>
      <c r="E471" s="9"/>
      <c r="F471" s="8"/>
      <c r="G471" s="10"/>
      <c r="H471" s="10"/>
      <c r="I471" s="10"/>
      <c r="J471" s="10"/>
      <c r="K471" s="10"/>
      <c r="L471" s="10"/>
      <c r="M471" s="10"/>
      <c r="N471" s="11"/>
      <c r="O471" s="8"/>
      <c r="P471" s="9"/>
      <c r="Q471" s="8"/>
      <c r="R471" s="9"/>
      <c r="S471" s="8"/>
      <c r="T471" s="8"/>
      <c r="U471" s="8"/>
      <c r="V471" s="11"/>
      <c r="W471" s="8"/>
      <c r="X471" s="8"/>
      <c r="Y471" s="9"/>
      <c r="Z471" s="8"/>
    </row>
    <row r="472" spans="1:26" x14ac:dyDescent="0.15">
      <c r="A472" s="8"/>
      <c r="B472" s="8"/>
      <c r="C472" s="8"/>
      <c r="D472" s="8"/>
      <c r="E472" s="9"/>
      <c r="F472" s="8"/>
      <c r="G472" s="10"/>
      <c r="H472" s="10"/>
      <c r="I472" s="10"/>
      <c r="J472" s="10"/>
      <c r="K472" s="10"/>
      <c r="L472" s="10"/>
      <c r="M472" s="10"/>
      <c r="N472" s="11"/>
      <c r="O472" s="8"/>
      <c r="P472" s="9"/>
      <c r="Q472" s="8"/>
      <c r="R472" s="9"/>
      <c r="S472" s="8"/>
      <c r="T472" s="8"/>
      <c r="U472" s="8"/>
      <c r="V472" s="11"/>
      <c r="W472" s="8"/>
      <c r="X472" s="8"/>
      <c r="Y472" s="9"/>
      <c r="Z472" s="8"/>
    </row>
    <row r="473" spans="1:26" x14ac:dyDescent="0.15">
      <c r="A473" s="8"/>
      <c r="B473" s="8"/>
      <c r="C473" s="8"/>
      <c r="D473" s="8"/>
      <c r="E473" s="9"/>
      <c r="F473" s="8"/>
      <c r="G473" s="10"/>
      <c r="H473" s="10"/>
      <c r="I473" s="10"/>
      <c r="J473" s="10"/>
      <c r="K473" s="10"/>
      <c r="L473" s="10"/>
      <c r="M473" s="10"/>
      <c r="N473" s="11"/>
      <c r="O473" s="8"/>
      <c r="P473" s="9"/>
      <c r="Q473" s="8"/>
      <c r="R473" s="9"/>
      <c r="S473" s="8"/>
      <c r="T473" s="8"/>
      <c r="U473" s="8"/>
      <c r="V473" s="11"/>
      <c r="W473" s="8"/>
      <c r="X473" s="8"/>
      <c r="Y473" s="9"/>
      <c r="Z473" s="8"/>
    </row>
    <row r="474" spans="1:26" x14ac:dyDescent="0.15">
      <c r="A474" s="8"/>
      <c r="B474" s="8"/>
      <c r="C474" s="8"/>
      <c r="D474" s="8"/>
      <c r="E474" s="9"/>
      <c r="F474" s="8"/>
      <c r="G474" s="10"/>
      <c r="H474" s="10"/>
      <c r="I474" s="10"/>
      <c r="J474" s="10"/>
      <c r="K474" s="10"/>
      <c r="L474" s="10"/>
      <c r="M474" s="10"/>
      <c r="N474" s="11"/>
      <c r="O474" s="8"/>
      <c r="P474" s="9"/>
      <c r="Q474" s="8"/>
      <c r="R474" s="9"/>
      <c r="S474" s="8"/>
      <c r="T474" s="8"/>
      <c r="U474" s="8"/>
      <c r="V474" s="11"/>
      <c r="W474" s="8"/>
      <c r="X474" s="8"/>
      <c r="Y474" s="9"/>
      <c r="Z474" s="8"/>
    </row>
    <row r="475" spans="1:26" x14ac:dyDescent="0.15">
      <c r="A475" s="8"/>
      <c r="B475" s="8"/>
      <c r="C475" s="8"/>
      <c r="D475" s="8"/>
      <c r="E475" s="9"/>
      <c r="F475" s="8"/>
      <c r="G475" s="10"/>
      <c r="H475" s="10"/>
      <c r="I475" s="10"/>
      <c r="J475" s="10"/>
      <c r="K475" s="10"/>
      <c r="L475" s="10"/>
      <c r="M475" s="10"/>
      <c r="N475" s="11"/>
      <c r="O475" s="8"/>
      <c r="P475" s="9"/>
      <c r="Q475" s="8"/>
      <c r="R475" s="9"/>
      <c r="S475" s="8"/>
      <c r="T475" s="8"/>
      <c r="U475" s="8"/>
      <c r="V475" s="11"/>
      <c r="W475" s="8"/>
      <c r="X475" s="8"/>
      <c r="Y475" s="9"/>
      <c r="Z475" s="8"/>
    </row>
    <row r="476" spans="1:26" x14ac:dyDescent="0.15">
      <c r="A476" s="8"/>
      <c r="B476" s="8"/>
      <c r="C476" s="8"/>
      <c r="D476" s="8"/>
      <c r="E476" s="9"/>
      <c r="F476" s="8"/>
      <c r="G476" s="10"/>
      <c r="H476" s="10"/>
      <c r="I476" s="10"/>
      <c r="J476" s="10"/>
      <c r="K476" s="10"/>
      <c r="L476" s="10"/>
      <c r="M476" s="10"/>
      <c r="N476" s="11"/>
      <c r="O476" s="8"/>
      <c r="P476" s="9"/>
      <c r="Q476" s="8"/>
      <c r="R476" s="9"/>
      <c r="S476" s="8"/>
      <c r="T476" s="8"/>
      <c r="U476" s="8"/>
      <c r="V476" s="11"/>
      <c r="W476" s="8"/>
      <c r="X476" s="8"/>
      <c r="Y476" s="9"/>
      <c r="Z476" s="8"/>
    </row>
    <row r="477" spans="1:26" x14ac:dyDescent="0.15">
      <c r="A477" s="8"/>
      <c r="B477" s="8"/>
      <c r="C477" s="8"/>
      <c r="D477" s="8"/>
      <c r="E477" s="9"/>
      <c r="F477" s="8"/>
      <c r="G477" s="10"/>
      <c r="H477" s="10"/>
      <c r="I477" s="10"/>
      <c r="J477" s="10"/>
      <c r="K477" s="10"/>
      <c r="L477" s="10"/>
      <c r="M477" s="10"/>
      <c r="N477" s="11"/>
      <c r="O477" s="8"/>
      <c r="P477" s="9"/>
      <c r="Q477" s="8"/>
      <c r="R477" s="9"/>
      <c r="S477" s="8"/>
      <c r="T477" s="8"/>
      <c r="U477" s="8"/>
      <c r="V477" s="11"/>
      <c r="W477" s="8"/>
      <c r="X477" s="8"/>
      <c r="Y477" s="9"/>
      <c r="Z477" s="8"/>
    </row>
    <row r="478" spans="1:26" x14ac:dyDescent="0.15">
      <c r="A478" s="8"/>
      <c r="B478" s="8"/>
      <c r="C478" s="8"/>
      <c r="D478" s="8"/>
      <c r="E478" s="9"/>
      <c r="F478" s="8"/>
      <c r="G478" s="10"/>
      <c r="H478" s="10"/>
      <c r="I478" s="10"/>
      <c r="J478" s="10"/>
      <c r="K478" s="10"/>
      <c r="L478" s="10"/>
      <c r="M478" s="10"/>
      <c r="N478" s="11"/>
      <c r="O478" s="8"/>
      <c r="P478" s="9"/>
      <c r="Q478" s="8"/>
      <c r="R478" s="9"/>
      <c r="S478" s="8"/>
      <c r="T478" s="8"/>
      <c r="U478" s="8"/>
      <c r="V478" s="11"/>
      <c r="W478" s="8"/>
      <c r="X478" s="8"/>
      <c r="Y478" s="9"/>
      <c r="Z478" s="8"/>
    </row>
    <row r="479" spans="1:26" x14ac:dyDescent="0.15">
      <c r="A479" s="8"/>
      <c r="B479" s="8"/>
      <c r="C479" s="8"/>
      <c r="D479" s="8"/>
      <c r="E479" s="9"/>
      <c r="F479" s="8"/>
      <c r="G479" s="10"/>
      <c r="H479" s="10"/>
      <c r="I479" s="10"/>
      <c r="J479" s="10"/>
      <c r="K479" s="10"/>
      <c r="L479" s="10"/>
      <c r="M479" s="10"/>
      <c r="N479" s="11"/>
      <c r="O479" s="8"/>
      <c r="P479" s="9"/>
      <c r="Q479" s="8"/>
      <c r="R479" s="9"/>
      <c r="S479" s="8"/>
      <c r="T479" s="8"/>
      <c r="U479" s="8"/>
      <c r="V479" s="11"/>
      <c r="W479" s="8"/>
      <c r="X479" s="8"/>
      <c r="Y479" s="9"/>
      <c r="Z479" s="8"/>
    </row>
    <row r="480" spans="1:26" x14ac:dyDescent="0.15">
      <c r="A480" s="8"/>
      <c r="B480" s="8"/>
      <c r="C480" s="8"/>
      <c r="D480" s="8"/>
      <c r="E480" s="9"/>
      <c r="F480" s="8"/>
      <c r="G480" s="10"/>
      <c r="H480" s="10"/>
      <c r="I480" s="10"/>
      <c r="J480" s="10"/>
      <c r="K480" s="10"/>
      <c r="L480" s="10"/>
      <c r="M480" s="10"/>
      <c r="N480" s="11"/>
      <c r="O480" s="8"/>
      <c r="P480" s="9"/>
      <c r="Q480" s="8"/>
      <c r="R480" s="9"/>
      <c r="S480" s="8"/>
      <c r="T480" s="8"/>
      <c r="U480" s="8"/>
      <c r="V480" s="11"/>
      <c r="W480" s="8"/>
      <c r="X480" s="8"/>
      <c r="Y480" s="9"/>
      <c r="Z480" s="8"/>
    </row>
    <row r="481" spans="1:26" x14ac:dyDescent="0.15">
      <c r="A481" s="8"/>
      <c r="B481" s="8"/>
      <c r="C481" s="8"/>
      <c r="D481" s="8"/>
      <c r="E481" s="9"/>
      <c r="F481" s="8"/>
      <c r="G481" s="10"/>
      <c r="H481" s="10"/>
      <c r="I481" s="10"/>
      <c r="J481" s="10"/>
      <c r="K481" s="10"/>
      <c r="L481" s="10"/>
      <c r="M481" s="10"/>
      <c r="N481" s="11"/>
      <c r="O481" s="8"/>
      <c r="P481" s="9"/>
      <c r="Q481" s="8"/>
      <c r="R481" s="9"/>
      <c r="S481" s="8"/>
      <c r="T481" s="8"/>
      <c r="U481" s="8"/>
      <c r="V481" s="11"/>
      <c r="W481" s="8"/>
      <c r="X481" s="8"/>
      <c r="Y481" s="9"/>
      <c r="Z481" s="8"/>
    </row>
    <row r="482" spans="1:26" x14ac:dyDescent="0.15">
      <c r="A482" s="8"/>
      <c r="B482" s="8"/>
      <c r="C482" s="8"/>
      <c r="D482" s="8"/>
      <c r="E482" s="9"/>
      <c r="F482" s="8"/>
      <c r="G482" s="10"/>
      <c r="H482" s="10"/>
      <c r="I482" s="10"/>
      <c r="J482" s="10"/>
      <c r="K482" s="10"/>
      <c r="L482" s="10"/>
      <c r="M482" s="10"/>
      <c r="N482" s="11"/>
      <c r="O482" s="8"/>
      <c r="P482" s="9"/>
      <c r="Q482" s="8"/>
      <c r="R482" s="9"/>
      <c r="S482" s="8"/>
      <c r="T482" s="8"/>
      <c r="U482" s="8"/>
      <c r="V482" s="11"/>
      <c r="W482" s="8"/>
      <c r="X482" s="8"/>
      <c r="Y482" s="9"/>
      <c r="Z482" s="8"/>
    </row>
    <row r="483" spans="1:26" x14ac:dyDescent="0.15">
      <c r="A483" s="8"/>
      <c r="B483" s="8"/>
      <c r="C483" s="8"/>
      <c r="D483" s="8"/>
      <c r="E483" s="9"/>
      <c r="F483" s="8"/>
      <c r="G483" s="10"/>
      <c r="H483" s="10"/>
      <c r="I483" s="10"/>
      <c r="J483" s="10"/>
      <c r="K483" s="10"/>
      <c r="L483" s="10"/>
      <c r="M483" s="10"/>
      <c r="N483" s="11"/>
      <c r="O483" s="8"/>
      <c r="P483" s="9"/>
      <c r="Q483" s="8"/>
      <c r="R483" s="9"/>
      <c r="S483" s="8"/>
      <c r="T483" s="8"/>
      <c r="U483" s="8"/>
      <c r="V483" s="11"/>
      <c r="W483" s="8"/>
      <c r="X483" s="8"/>
      <c r="Y483" s="9"/>
      <c r="Z483" s="8"/>
    </row>
    <row r="484" spans="1:26" x14ac:dyDescent="0.15">
      <c r="A484" s="8"/>
      <c r="B484" s="8"/>
      <c r="C484" s="8"/>
      <c r="D484" s="8"/>
      <c r="E484" s="9"/>
      <c r="F484" s="8"/>
      <c r="G484" s="10"/>
      <c r="H484" s="10"/>
      <c r="I484" s="10"/>
      <c r="J484" s="10"/>
      <c r="K484" s="10"/>
      <c r="L484" s="10"/>
      <c r="M484" s="10"/>
      <c r="N484" s="11"/>
      <c r="O484" s="8"/>
      <c r="P484" s="9"/>
      <c r="Q484" s="8"/>
      <c r="R484" s="9"/>
      <c r="S484" s="8"/>
      <c r="T484" s="8"/>
      <c r="U484" s="8"/>
      <c r="V484" s="11"/>
      <c r="W484" s="8"/>
      <c r="X484" s="8"/>
      <c r="Y484" s="9"/>
      <c r="Z484" s="8"/>
    </row>
    <row r="485" spans="1:26" x14ac:dyDescent="0.15">
      <c r="A485" s="8"/>
      <c r="B485" s="8"/>
      <c r="C485" s="8"/>
      <c r="D485" s="8"/>
      <c r="E485" s="9"/>
      <c r="F485" s="8"/>
      <c r="G485" s="10"/>
      <c r="H485" s="10"/>
      <c r="I485" s="10"/>
      <c r="J485" s="10"/>
      <c r="K485" s="10"/>
      <c r="L485" s="10"/>
      <c r="M485" s="10"/>
      <c r="N485" s="11"/>
      <c r="O485" s="8"/>
      <c r="P485" s="9"/>
      <c r="Q485" s="8"/>
      <c r="R485" s="9"/>
      <c r="S485" s="8"/>
      <c r="T485" s="8"/>
      <c r="U485" s="8"/>
      <c r="V485" s="11"/>
      <c r="W485" s="8"/>
      <c r="X485" s="8"/>
      <c r="Y485" s="9"/>
      <c r="Z485" s="8"/>
    </row>
    <row r="486" spans="1:26" x14ac:dyDescent="0.15">
      <c r="A486" s="8"/>
      <c r="B486" s="8"/>
      <c r="C486" s="8"/>
      <c r="D486" s="8"/>
      <c r="E486" s="9"/>
      <c r="F486" s="8"/>
      <c r="G486" s="10"/>
      <c r="H486" s="10"/>
      <c r="I486" s="10"/>
      <c r="J486" s="10"/>
      <c r="K486" s="10"/>
      <c r="L486" s="10"/>
      <c r="M486" s="10"/>
      <c r="N486" s="11"/>
      <c r="O486" s="8"/>
      <c r="P486" s="9"/>
      <c r="Q486" s="8"/>
      <c r="R486" s="9"/>
      <c r="S486" s="8"/>
      <c r="T486" s="8"/>
      <c r="U486" s="8"/>
      <c r="V486" s="11"/>
      <c r="W486" s="8"/>
      <c r="X486" s="8"/>
      <c r="Y486" s="9"/>
      <c r="Z486" s="8"/>
    </row>
    <row r="487" spans="1:26" x14ac:dyDescent="0.15">
      <c r="A487" s="8"/>
      <c r="B487" s="8"/>
      <c r="C487" s="8"/>
      <c r="D487" s="8"/>
      <c r="E487" s="9"/>
      <c r="F487" s="8"/>
      <c r="G487" s="10"/>
      <c r="H487" s="10"/>
      <c r="I487" s="10"/>
      <c r="J487" s="10"/>
      <c r="K487" s="10"/>
      <c r="L487" s="10"/>
      <c r="M487" s="10"/>
      <c r="N487" s="11"/>
      <c r="O487" s="8"/>
      <c r="P487" s="9"/>
      <c r="Q487" s="8"/>
      <c r="R487" s="9"/>
      <c r="S487" s="8"/>
      <c r="T487" s="8"/>
      <c r="U487" s="8"/>
      <c r="V487" s="11"/>
      <c r="W487" s="8"/>
      <c r="X487" s="8"/>
      <c r="Y487" s="9"/>
      <c r="Z487" s="8"/>
    </row>
    <row r="488" spans="1:26" x14ac:dyDescent="0.15">
      <c r="A488" s="8"/>
      <c r="B488" s="8"/>
      <c r="C488" s="8"/>
      <c r="D488" s="8"/>
      <c r="E488" s="9"/>
      <c r="F488" s="8"/>
      <c r="G488" s="10"/>
      <c r="H488" s="10"/>
      <c r="I488" s="10"/>
      <c r="J488" s="10"/>
      <c r="K488" s="10"/>
      <c r="L488" s="10"/>
      <c r="M488" s="10"/>
      <c r="N488" s="11"/>
      <c r="O488" s="8"/>
      <c r="P488" s="9"/>
      <c r="Q488" s="8"/>
      <c r="R488" s="9"/>
      <c r="S488" s="8"/>
      <c r="T488" s="8"/>
      <c r="U488" s="8"/>
      <c r="V488" s="11"/>
      <c r="W488" s="8"/>
      <c r="X488" s="8"/>
      <c r="Y488" s="9"/>
      <c r="Z488" s="8"/>
    </row>
    <row r="489" spans="1:26" x14ac:dyDescent="0.15">
      <c r="A489" s="8"/>
      <c r="B489" s="8"/>
      <c r="C489" s="8"/>
      <c r="D489" s="8"/>
      <c r="E489" s="9"/>
      <c r="F489" s="8"/>
      <c r="G489" s="10"/>
      <c r="H489" s="10"/>
      <c r="I489" s="10"/>
      <c r="J489" s="10"/>
      <c r="K489" s="10"/>
      <c r="L489" s="10"/>
      <c r="M489" s="10"/>
      <c r="N489" s="11"/>
      <c r="O489" s="8"/>
      <c r="P489" s="9"/>
      <c r="Q489" s="8"/>
      <c r="R489" s="9"/>
      <c r="S489" s="8"/>
      <c r="T489" s="8"/>
      <c r="U489" s="8"/>
      <c r="V489" s="11"/>
      <c r="W489" s="8"/>
      <c r="X489" s="8"/>
      <c r="Y489" s="9"/>
      <c r="Z489" s="8"/>
    </row>
    <row r="490" spans="1:26" x14ac:dyDescent="0.15">
      <c r="A490" s="8"/>
      <c r="B490" s="8"/>
      <c r="C490" s="8"/>
      <c r="D490" s="8"/>
      <c r="E490" s="9"/>
      <c r="F490" s="8"/>
      <c r="G490" s="10"/>
      <c r="H490" s="10"/>
      <c r="I490" s="10"/>
      <c r="J490" s="10"/>
      <c r="K490" s="10"/>
      <c r="L490" s="10"/>
      <c r="M490" s="10"/>
      <c r="N490" s="11"/>
      <c r="O490" s="8"/>
      <c r="P490" s="9"/>
      <c r="Q490" s="8"/>
      <c r="R490" s="9"/>
      <c r="S490" s="8"/>
      <c r="T490" s="8"/>
      <c r="U490" s="8"/>
      <c r="V490" s="11"/>
      <c r="W490" s="8"/>
      <c r="X490" s="8"/>
      <c r="Y490" s="9"/>
      <c r="Z490" s="8"/>
    </row>
    <row r="491" spans="1:26" x14ac:dyDescent="0.15">
      <c r="A491" s="8"/>
      <c r="B491" s="8"/>
      <c r="C491" s="8"/>
      <c r="D491" s="8"/>
      <c r="E491" s="9"/>
      <c r="F491" s="8"/>
      <c r="G491" s="10"/>
      <c r="H491" s="10"/>
      <c r="I491" s="10"/>
      <c r="J491" s="10"/>
      <c r="K491" s="10"/>
      <c r="L491" s="10"/>
      <c r="M491" s="10"/>
      <c r="N491" s="11"/>
      <c r="O491" s="8"/>
      <c r="P491" s="9"/>
      <c r="Q491" s="8"/>
      <c r="R491" s="9"/>
      <c r="S491" s="8"/>
      <c r="T491" s="8"/>
      <c r="U491" s="8"/>
      <c r="V491" s="11"/>
      <c r="W491" s="8"/>
      <c r="X491" s="8"/>
      <c r="Y491" s="9"/>
      <c r="Z491" s="8"/>
    </row>
    <row r="492" spans="1:26" x14ac:dyDescent="0.15">
      <c r="A492" s="8"/>
      <c r="B492" s="8"/>
      <c r="C492" s="8"/>
      <c r="D492" s="8"/>
      <c r="E492" s="9"/>
      <c r="F492" s="8"/>
      <c r="G492" s="10"/>
      <c r="H492" s="10"/>
      <c r="I492" s="10"/>
      <c r="J492" s="10"/>
      <c r="K492" s="10"/>
      <c r="L492" s="10"/>
      <c r="M492" s="10"/>
      <c r="N492" s="11"/>
      <c r="O492" s="8"/>
      <c r="P492" s="9"/>
      <c r="Q492" s="8"/>
      <c r="R492" s="9"/>
      <c r="S492" s="8"/>
      <c r="T492" s="8"/>
      <c r="U492" s="8"/>
      <c r="V492" s="11"/>
      <c r="W492" s="8"/>
      <c r="X492" s="8"/>
      <c r="Y492" s="9"/>
      <c r="Z492" s="8"/>
    </row>
    <row r="493" spans="1:26" x14ac:dyDescent="0.15">
      <c r="A493" s="8"/>
      <c r="B493" s="8"/>
      <c r="C493" s="8"/>
      <c r="D493" s="8"/>
      <c r="E493" s="9"/>
      <c r="F493" s="8"/>
      <c r="G493" s="10"/>
      <c r="H493" s="10"/>
      <c r="I493" s="10"/>
      <c r="J493" s="10"/>
      <c r="K493" s="10"/>
      <c r="L493" s="10"/>
      <c r="M493" s="10"/>
      <c r="N493" s="11"/>
      <c r="O493" s="8"/>
      <c r="P493" s="9"/>
      <c r="Q493" s="8"/>
      <c r="R493" s="9"/>
      <c r="S493" s="8"/>
      <c r="T493" s="8"/>
      <c r="U493" s="8"/>
      <c r="V493" s="11"/>
      <c r="W493" s="8"/>
      <c r="X493" s="8"/>
      <c r="Y493" s="9"/>
      <c r="Z493" s="8"/>
    </row>
    <row r="494" spans="1:26" x14ac:dyDescent="0.15">
      <c r="A494" s="8"/>
      <c r="B494" s="8"/>
      <c r="C494" s="8"/>
      <c r="D494" s="8"/>
      <c r="E494" s="9"/>
      <c r="F494" s="8"/>
      <c r="G494" s="10"/>
      <c r="H494" s="10"/>
      <c r="I494" s="10"/>
      <c r="J494" s="10"/>
      <c r="K494" s="10"/>
      <c r="L494" s="10"/>
      <c r="M494" s="10"/>
      <c r="N494" s="11"/>
      <c r="O494" s="8"/>
      <c r="P494" s="9"/>
      <c r="Q494" s="8"/>
      <c r="R494" s="9"/>
      <c r="S494" s="8"/>
      <c r="T494" s="8"/>
      <c r="U494" s="8"/>
      <c r="V494" s="11"/>
      <c r="W494" s="8"/>
      <c r="X494" s="8"/>
      <c r="Y494" s="9"/>
      <c r="Z494" s="8"/>
    </row>
    <row r="495" spans="1:26" x14ac:dyDescent="0.15">
      <c r="A495" s="8"/>
      <c r="B495" s="8"/>
      <c r="C495" s="8"/>
      <c r="D495" s="8"/>
      <c r="E495" s="9"/>
      <c r="F495" s="8"/>
      <c r="G495" s="10"/>
      <c r="H495" s="10"/>
      <c r="I495" s="10"/>
      <c r="J495" s="10"/>
      <c r="K495" s="10"/>
      <c r="L495" s="10"/>
      <c r="M495" s="10"/>
      <c r="N495" s="11"/>
      <c r="O495" s="8"/>
      <c r="P495" s="9"/>
      <c r="Q495" s="8"/>
      <c r="R495" s="9"/>
      <c r="S495" s="8"/>
      <c r="T495" s="8"/>
      <c r="U495" s="8"/>
      <c r="V495" s="11"/>
      <c r="W495" s="8"/>
      <c r="X495" s="8"/>
      <c r="Y495" s="9"/>
      <c r="Z495" s="8"/>
    </row>
    <row r="496" spans="1:26" x14ac:dyDescent="0.15">
      <c r="A496" s="8"/>
      <c r="B496" s="8"/>
      <c r="C496" s="8"/>
      <c r="D496" s="8"/>
      <c r="E496" s="9"/>
      <c r="F496" s="8"/>
      <c r="G496" s="10"/>
      <c r="H496" s="10"/>
      <c r="I496" s="10"/>
      <c r="J496" s="10"/>
      <c r="K496" s="10"/>
      <c r="L496" s="10"/>
      <c r="M496" s="10"/>
      <c r="N496" s="11"/>
      <c r="O496" s="8"/>
      <c r="P496" s="9"/>
      <c r="Q496" s="8"/>
      <c r="R496" s="9"/>
      <c r="S496" s="8"/>
      <c r="T496" s="8"/>
      <c r="U496" s="8"/>
      <c r="V496" s="11"/>
      <c r="W496" s="8"/>
      <c r="X496" s="8"/>
      <c r="Y496" s="9"/>
      <c r="Z496" s="8"/>
    </row>
    <row r="497" spans="1:26" x14ac:dyDescent="0.15">
      <c r="A497" s="8"/>
      <c r="B497" s="8"/>
      <c r="C497" s="8"/>
      <c r="D497" s="8"/>
      <c r="E497" s="9"/>
      <c r="F497" s="8"/>
      <c r="G497" s="10"/>
      <c r="H497" s="10"/>
      <c r="I497" s="10"/>
      <c r="J497" s="10"/>
      <c r="K497" s="10"/>
      <c r="L497" s="10"/>
      <c r="M497" s="10"/>
      <c r="N497" s="11"/>
      <c r="O497" s="8"/>
      <c r="P497" s="9"/>
      <c r="Q497" s="8"/>
      <c r="R497" s="9"/>
      <c r="S497" s="8"/>
      <c r="T497" s="8"/>
      <c r="U497" s="8"/>
      <c r="V497" s="11"/>
      <c r="W497" s="8"/>
      <c r="X497" s="8"/>
      <c r="Y497" s="9"/>
      <c r="Z497" s="8"/>
    </row>
    <row r="498" spans="1:26" x14ac:dyDescent="0.15">
      <c r="A498" s="8"/>
      <c r="B498" s="8"/>
      <c r="C498" s="8"/>
      <c r="D498" s="8"/>
      <c r="E498" s="9"/>
      <c r="F498" s="8"/>
      <c r="G498" s="10"/>
      <c r="H498" s="10"/>
      <c r="I498" s="10"/>
      <c r="J498" s="10"/>
      <c r="K498" s="10"/>
      <c r="L498" s="10"/>
      <c r="M498" s="10"/>
      <c r="N498" s="11"/>
      <c r="O498" s="8"/>
      <c r="P498" s="9"/>
      <c r="Q498" s="8"/>
      <c r="R498" s="9"/>
      <c r="S498" s="8"/>
      <c r="T498" s="8"/>
      <c r="U498" s="8"/>
      <c r="V498" s="11"/>
      <c r="W498" s="8"/>
      <c r="X498" s="8"/>
      <c r="Y498" s="9"/>
      <c r="Z498" s="8"/>
    </row>
    <row r="499" spans="1:26" x14ac:dyDescent="0.15">
      <c r="A499" s="8"/>
      <c r="B499" s="8"/>
      <c r="C499" s="8"/>
      <c r="D499" s="8"/>
      <c r="E499" s="9"/>
      <c r="F499" s="8"/>
      <c r="G499" s="10"/>
      <c r="H499" s="10"/>
      <c r="I499" s="10"/>
      <c r="J499" s="10"/>
      <c r="K499" s="10"/>
      <c r="L499" s="10"/>
      <c r="M499" s="10"/>
      <c r="N499" s="11"/>
      <c r="O499" s="8"/>
      <c r="P499" s="9"/>
      <c r="Q499" s="8"/>
      <c r="R499" s="9"/>
      <c r="S499" s="8"/>
      <c r="T499" s="8"/>
      <c r="U499" s="8"/>
      <c r="V499" s="11"/>
      <c r="W499" s="8"/>
      <c r="X499" s="8"/>
      <c r="Y499" s="9"/>
      <c r="Z499" s="8"/>
    </row>
    <row r="500" spans="1:26" x14ac:dyDescent="0.15">
      <c r="A500" s="8"/>
      <c r="B500" s="8"/>
      <c r="C500" s="8"/>
      <c r="D500" s="8"/>
      <c r="E500" s="9"/>
      <c r="F500" s="8"/>
      <c r="G500" s="10"/>
      <c r="H500" s="10"/>
      <c r="I500" s="10"/>
      <c r="J500" s="10"/>
      <c r="K500" s="10"/>
      <c r="L500" s="10"/>
      <c r="M500" s="10"/>
      <c r="N500" s="11"/>
      <c r="O500" s="8"/>
      <c r="P500" s="9"/>
      <c r="Q500" s="8"/>
      <c r="R500" s="9"/>
      <c r="S500" s="8"/>
      <c r="T500" s="8"/>
      <c r="U500" s="8"/>
      <c r="V500" s="11"/>
      <c r="W500" s="8"/>
      <c r="X500" s="8"/>
      <c r="Y500" s="9"/>
      <c r="Z500" s="8"/>
    </row>
    <row r="501" spans="1:26" x14ac:dyDescent="0.15">
      <c r="A501" s="8"/>
      <c r="B501" s="8"/>
      <c r="C501" s="8"/>
      <c r="D501" s="8"/>
      <c r="E501" s="9"/>
      <c r="F501" s="8"/>
      <c r="G501" s="10"/>
      <c r="H501" s="10"/>
      <c r="I501" s="10"/>
      <c r="J501" s="10"/>
      <c r="K501" s="10"/>
      <c r="L501" s="10"/>
      <c r="M501" s="10"/>
      <c r="N501" s="11"/>
      <c r="O501" s="8"/>
      <c r="P501" s="9"/>
      <c r="Q501" s="8"/>
      <c r="R501" s="9"/>
      <c r="S501" s="8"/>
      <c r="T501" s="8"/>
      <c r="U501" s="8"/>
      <c r="V501" s="11"/>
      <c r="W501" s="8"/>
      <c r="X501" s="8"/>
      <c r="Y501" s="9"/>
      <c r="Z501" s="8"/>
    </row>
    <row r="502" spans="1:26" x14ac:dyDescent="0.15">
      <c r="A502" s="8"/>
      <c r="B502" s="8"/>
      <c r="C502" s="8"/>
      <c r="D502" s="8"/>
      <c r="E502" s="9"/>
      <c r="F502" s="8"/>
      <c r="G502" s="10"/>
      <c r="H502" s="10"/>
      <c r="I502" s="10"/>
      <c r="J502" s="10"/>
      <c r="K502" s="10"/>
      <c r="L502" s="10"/>
      <c r="M502" s="10"/>
      <c r="N502" s="11"/>
      <c r="O502" s="8"/>
      <c r="P502" s="9"/>
      <c r="Q502" s="8"/>
      <c r="R502" s="9"/>
      <c r="S502" s="8"/>
      <c r="T502" s="8"/>
      <c r="U502" s="8"/>
      <c r="V502" s="11"/>
      <c r="W502" s="8"/>
      <c r="X502" s="8"/>
      <c r="Y502" s="9"/>
      <c r="Z502" s="8"/>
    </row>
    <row r="503" spans="1:26" x14ac:dyDescent="0.15">
      <c r="A503" s="8"/>
      <c r="B503" s="8"/>
      <c r="C503" s="8"/>
      <c r="D503" s="8"/>
      <c r="E503" s="9"/>
      <c r="F503" s="8"/>
      <c r="G503" s="10"/>
      <c r="H503" s="10"/>
      <c r="I503" s="10"/>
      <c r="J503" s="10"/>
      <c r="K503" s="10"/>
      <c r="L503" s="10"/>
      <c r="M503" s="10"/>
      <c r="N503" s="11"/>
      <c r="O503" s="8"/>
      <c r="P503" s="9"/>
      <c r="Q503" s="8"/>
      <c r="R503" s="9"/>
      <c r="S503" s="8"/>
      <c r="T503" s="8"/>
      <c r="U503" s="8"/>
      <c r="V503" s="11"/>
      <c r="W503" s="8"/>
      <c r="X503" s="8"/>
      <c r="Y503" s="9"/>
      <c r="Z503" s="8"/>
    </row>
    <row r="504" spans="1:26" x14ac:dyDescent="0.15">
      <c r="A504" s="8"/>
      <c r="B504" s="8"/>
      <c r="C504" s="8"/>
      <c r="D504" s="8"/>
      <c r="E504" s="9"/>
      <c r="F504" s="8"/>
      <c r="G504" s="10"/>
      <c r="H504" s="10"/>
      <c r="I504" s="10"/>
      <c r="J504" s="10"/>
      <c r="K504" s="10"/>
      <c r="L504" s="10"/>
      <c r="M504" s="10"/>
      <c r="N504" s="11"/>
      <c r="O504" s="8"/>
      <c r="P504" s="9"/>
      <c r="Q504" s="8"/>
      <c r="R504" s="9"/>
      <c r="S504" s="8"/>
      <c r="T504" s="8"/>
      <c r="U504" s="8"/>
      <c r="V504" s="11"/>
      <c r="W504" s="8"/>
      <c r="X504" s="8"/>
      <c r="Y504" s="9"/>
      <c r="Z504" s="8"/>
    </row>
    <row r="505" spans="1:26" x14ac:dyDescent="0.15">
      <c r="A505" s="8"/>
      <c r="B505" s="8"/>
      <c r="C505" s="8"/>
      <c r="D505" s="8"/>
      <c r="E505" s="9"/>
      <c r="F505" s="8"/>
      <c r="G505" s="10"/>
      <c r="H505" s="10"/>
      <c r="I505" s="10"/>
      <c r="J505" s="10"/>
      <c r="K505" s="10"/>
      <c r="L505" s="10"/>
      <c r="M505" s="10"/>
      <c r="N505" s="11"/>
      <c r="O505" s="8"/>
      <c r="P505" s="9"/>
      <c r="Q505" s="8"/>
      <c r="R505" s="9"/>
      <c r="S505" s="8"/>
      <c r="T505" s="8"/>
      <c r="U505" s="8"/>
      <c r="V505" s="11"/>
      <c r="W505" s="8"/>
      <c r="X505" s="8"/>
      <c r="Y505" s="9"/>
      <c r="Z505" s="8"/>
    </row>
    <row r="506" spans="1:26" x14ac:dyDescent="0.15">
      <c r="A506" s="8"/>
      <c r="B506" s="8"/>
      <c r="C506" s="8"/>
      <c r="D506" s="8"/>
      <c r="E506" s="9"/>
      <c r="F506" s="8"/>
      <c r="G506" s="10"/>
      <c r="H506" s="10"/>
      <c r="I506" s="10"/>
      <c r="J506" s="10"/>
      <c r="K506" s="10"/>
      <c r="L506" s="10"/>
      <c r="M506" s="10"/>
      <c r="N506" s="11"/>
      <c r="O506" s="8"/>
      <c r="P506" s="9"/>
      <c r="Q506" s="8"/>
      <c r="R506" s="9"/>
      <c r="S506" s="8"/>
      <c r="T506" s="8"/>
      <c r="U506" s="8"/>
      <c r="V506" s="11"/>
      <c r="W506" s="8"/>
      <c r="X506" s="8"/>
      <c r="Y506" s="9"/>
      <c r="Z506" s="8"/>
    </row>
    <row r="507" spans="1:26" x14ac:dyDescent="0.15">
      <c r="A507" s="8"/>
      <c r="B507" s="8"/>
      <c r="C507" s="8"/>
      <c r="D507" s="8"/>
      <c r="E507" s="9"/>
      <c r="F507" s="8"/>
      <c r="G507" s="10"/>
      <c r="H507" s="10"/>
      <c r="I507" s="10"/>
      <c r="J507" s="10"/>
      <c r="K507" s="10"/>
      <c r="L507" s="10"/>
      <c r="M507" s="10"/>
      <c r="N507" s="11"/>
      <c r="O507" s="8"/>
      <c r="P507" s="9"/>
      <c r="Q507" s="8"/>
      <c r="R507" s="9"/>
      <c r="S507" s="8"/>
      <c r="T507" s="8"/>
      <c r="U507" s="8"/>
      <c r="V507" s="11"/>
      <c r="W507" s="8"/>
      <c r="X507" s="8"/>
      <c r="Y507" s="9"/>
      <c r="Z507" s="8"/>
    </row>
    <row r="508" spans="1:26" x14ac:dyDescent="0.15">
      <c r="A508" s="8"/>
      <c r="B508" s="8"/>
      <c r="C508" s="8"/>
      <c r="D508" s="8"/>
      <c r="E508" s="9"/>
      <c r="F508" s="8"/>
      <c r="G508" s="10"/>
      <c r="H508" s="10"/>
      <c r="I508" s="10"/>
      <c r="J508" s="10"/>
      <c r="K508" s="10"/>
      <c r="L508" s="10"/>
      <c r="M508" s="10"/>
      <c r="N508" s="11"/>
      <c r="O508" s="8"/>
      <c r="P508" s="9"/>
      <c r="Q508" s="8"/>
      <c r="R508" s="9"/>
      <c r="S508" s="8"/>
      <c r="T508" s="8"/>
      <c r="U508" s="8"/>
      <c r="V508" s="11"/>
      <c r="W508" s="8"/>
      <c r="X508" s="8"/>
      <c r="Y508" s="9"/>
      <c r="Z508" s="8"/>
    </row>
    <row r="509" spans="1:26" x14ac:dyDescent="0.15">
      <c r="A509" s="8"/>
      <c r="B509" s="8"/>
      <c r="C509" s="8"/>
      <c r="D509" s="8"/>
      <c r="E509" s="9"/>
      <c r="F509" s="8"/>
      <c r="G509" s="10"/>
      <c r="H509" s="10"/>
      <c r="I509" s="10"/>
      <c r="J509" s="10"/>
      <c r="K509" s="10"/>
      <c r="L509" s="10"/>
      <c r="M509" s="10"/>
      <c r="N509" s="11"/>
      <c r="O509" s="8"/>
      <c r="P509" s="9"/>
      <c r="Q509" s="8"/>
      <c r="R509" s="9"/>
      <c r="S509" s="8"/>
      <c r="T509" s="8"/>
      <c r="U509" s="8"/>
      <c r="V509" s="11"/>
      <c r="W509" s="8"/>
      <c r="X509" s="8"/>
      <c r="Y509" s="9"/>
      <c r="Z509" s="8"/>
    </row>
    <row r="510" spans="1:26" x14ac:dyDescent="0.15">
      <c r="A510" s="8"/>
      <c r="B510" s="8"/>
      <c r="C510" s="8"/>
      <c r="D510" s="8"/>
      <c r="E510" s="9"/>
      <c r="F510" s="8"/>
      <c r="G510" s="10"/>
      <c r="H510" s="10"/>
      <c r="I510" s="10"/>
      <c r="J510" s="10"/>
      <c r="K510" s="10"/>
      <c r="L510" s="10"/>
      <c r="M510" s="10"/>
      <c r="N510" s="11"/>
      <c r="O510" s="8"/>
      <c r="P510" s="9"/>
      <c r="Q510" s="8"/>
      <c r="R510" s="9"/>
      <c r="S510" s="8"/>
      <c r="T510" s="8"/>
      <c r="U510" s="8"/>
      <c r="V510" s="11"/>
      <c r="W510" s="8"/>
      <c r="X510" s="8"/>
      <c r="Y510" s="9"/>
      <c r="Z510" s="8"/>
    </row>
    <row r="511" spans="1:26" x14ac:dyDescent="0.15">
      <c r="A511" s="8"/>
      <c r="B511" s="8"/>
      <c r="C511" s="8"/>
      <c r="D511" s="8"/>
      <c r="E511" s="9"/>
      <c r="F511" s="8"/>
      <c r="G511" s="10"/>
      <c r="H511" s="10"/>
      <c r="I511" s="10"/>
      <c r="J511" s="10"/>
      <c r="K511" s="10"/>
      <c r="L511" s="10"/>
      <c r="M511" s="10"/>
      <c r="N511" s="11"/>
      <c r="O511" s="8"/>
      <c r="P511" s="9"/>
      <c r="Q511" s="8"/>
      <c r="R511" s="9"/>
      <c r="S511" s="8"/>
      <c r="T511" s="8"/>
      <c r="U511" s="8"/>
      <c r="V511" s="11"/>
      <c r="W511" s="8"/>
      <c r="X511" s="8"/>
      <c r="Y511" s="9"/>
      <c r="Z511" s="8"/>
    </row>
    <row r="512" spans="1:26" x14ac:dyDescent="0.15">
      <c r="A512" s="8"/>
      <c r="B512" s="8"/>
      <c r="C512" s="8"/>
      <c r="D512" s="8"/>
      <c r="E512" s="9"/>
      <c r="F512" s="8"/>
      <c r="G512" s="10"/>
      <c r="H512" s="10"/>
      <c r="I512" s="10"/>
      <c r="J512" s="10"/>
      <c r="K512" s="10"/>
      <c r="L512" s="10"/>
      <c r="M512" s="10"/>
      <c r="N512" s="11"/>
      <c r="O512" s="8"/>
      <c r="P512" s="9"/>
      <c r="Q512" s="8"/>
      <c r="R512" s="9"/>
      <c r="S512" s="8"/>
      <c r="T512" s="8"/>
      <c r="U512" s="8"/>
      <c r="V512" s="11"/>
      <c r="W512" s="8"/>
      <c r="X512" s="8"/>
      <c r="Y512" s="9"/>
      <c r="Z512" s="8"/>
    </row>
    <row r="513" spans="1:26" x14ac:dyDescent="0.15">
      <c r="A513" s="8"/>
      <c r="B513" s="8"/>
      <c r="C513" s="8"/>
      <c r="D513" s="8"/>
      <c r="E513" s="9"/>
      <c r="F513" s="8"/>
      <c r="G513" s="10"/>
      <c r="H513" s="10"/>
      <c r="I513" s="10"/>
      <c r="J513" s="10"/>
      <c r="K513" s="10"/>
      <c r="L513" s="10"/>
      <c r="M513" s="10"/>
      <c r="N513" s="11"/>
      <c r="O513" s="8"/>
      <c r="P513" s="9"/>
      <c r="Q513" s="8"/>
      <c r="R513" s="9"/>
      <c r="S513" s="8"/>
      <c r="T513" s="8"/>
      <c r="U513" s="8"/>
      <c r="V513" s="11"/>
      <c r="W513" s="8"/>
      <c r="X513" s="8"/>
      <c r="Y513" s="9"/>
      <c r="Z513" s="8"/>
    </row>
    <row r="514" spans="1:26" x14ac:dyDescent="0.15">
      <c r="A514" s="8"/>
      <c r="B514" s="8"/>
      <c r="C514" s="8"/>
      <c r="D514" s="8"/>
      <c r="E514" s="9"/>
      <c r="F514" s="8"/>
      <c r="G514" s="10"/>
      <c r="H514" s="10"/>
      <c r="I514" s="10"/>
      <c r="J514" s="10"/>
      <c r="K514" s="10"/>
      <c r="L514" s="10"/>
      <c r="M514" s="10"/>
      <c r="N514" s="11"/>
      <c r="O514" s="8"/>
      <c r="P514" s="9"/>
      <c r="Q514" s="8"/>
      <c r="R514" s="9"/>
      <c r="S514" s="8"/>
      <c r="T514" s="8"/>
      <c r="U514" s="8"/>
      <c r="V514" s="11"/>
      <c r="W514" s="8"/>
      <c r="X514" s="8"/>
      <c r="Y514" s="9"/>
      <c r="Z514" s="8"/>
    </row>
    <row r="515" spans="1:26" x14ac:dyDescent="0.15">
      <c r="A515" s="8"/>
      <c r="B515" s="8"/>
      <c r="C515" s="8"/>
      <c r="D515" s="8"/>
      <c r="E515" s="9"/>
      <c r="F515" s="8"/>
      <c r="G515" s="10"/>
      <c r="H515" s="10"/>
      <c r="I515" s="10"/>
      <c r="J515" s="10"/>
      <c r="K515" s="10"/>
      <c r="L515" s="10"/>
      <c r="M515" s="10"/>
      <c r="N515" s="11"/>
      <c r="O515" s="8"/>
      <c r="P515" s="9"/>
      <c r="Q515" s="8"/>
      <c r="R515" s="9"/>
      <c r="S515" s="8"/>
      <c r="T515" s="8"/>
      <c r="U515" s="8"/>
      <c r="V515" s="11"/>
      <c r="W515" s="8"/>
      <c r="X515" s="8"/>
      <c r="Y515" s="9"/>
      <c r="Z515" s="8"/>
    </row>
    <row r="516" spans="1:26" x14ac:dyDescent="0.15">
      <c r="A516" s="8"/>
      <c r="B516" s="8"/>
      <c r="C516" s="8"/>
      <c r="D516" s="8"/>
      <c r="E516" s="9"/>
      <c r="F516" s="8"/>
      <c r="G516" s="10"/>
      <c r="H516" s="10"/>
      <c r="I516" s="10"/>
      <c r="J516" s="10"/>
      <c r="K516" s="10"/>
      <c r="L516" s="10"/>
      <c r="M516" s="10"/>
      <c r="N516" s="11"/>
      <c r="O516" s="8"/>
      <c r="P516" s="9"/>
      <c r="Q516" s="8"/>
      <c r="R516" s="9"/>
      <c r="S516" s="8"/>
      <c r="T516" s="8"/>
      <c r="U516" s="8"/>
      <c r="V516" s="11"/>
      <c r="W516" s="8"/>
      <c r="X516" s="8"/>
      <c r="Y516" s="9"/>
      <c r="Z516" s="8"/>
    </row>
    <row r="517" spans="1:26" x14ac:dyDescent="0.15">
      <c r="A517" s="8"/>
      <c r="B517" s="8"/>
      <c r="C517" s="8"/>
      <c r="D517" s="8"/>
      <c r="E517" s="9"/>
      <c r="F517" s="8"/>
      <c r="G517" s="10"/>
      <c r="H517" s="10"/>
      <c r="I517" s="10"/>
      <c r="J517" s="10"/>
      <c r="K517" s="10"/>
      <c r="L517" s="10"/>
      <c r="M517" s="10"/>
      <c r="N517" s="11"/>
      <c r="O517" s="8"/>
      <c r="P517" s="9"/>
      <c r="Q517" s="8"/>
      <c r="R517" s="9"/>
      <c r="S517" s="8"/>
      <c r="T517" s="8"/>
      <c r="U517" s="8"/>
      <c r="V517" s="11"/>
      <c r="W517" s="8"/>
      <c r="X517" s="8"/>
      <c r="Y517" s="9"/>
      <c r="Z517" s="8"/>
    </row>
    <row r="518" spans="1:26" x14ac:dyDescent="0.15">
      <c r="A518" s="8"/>
      <c r="B518" s="8"/>
      <c r="C518" s="8"/>
      <c r="D518" s="8"/>
      <c r="E518" s="9"/>
      <c r="F518" s="8"/>
      <c r="G518" s="10"/>
      <c r="H518" s="10"/>
      <c r="I518" s="10"/>
      <c r="J518" s="10"/>
      <c r="K518" s="10"/>
      <c r="L518" s="10"/>
      <c r="M518" s="10"/>
      <c r="N518" s="11"/>
      <c r="O518" s="8"/>
      <c r="P518" s="9"/>
      <c r="Q518" s="8"/>
      <c r="R518" s="9"/>
      <c r="S518" s="8"/>
      <c r="T518" s="8"/>
      <c r="U518" s="8"/>
      <c r="V518" s="11"/>
      <c r="W518" s="8"/>
      <c r="X518" s="8"/>
      <c r="Y518" s="9"/>
      <c r="Z518" s="8"/>
    </row>
    <row r="519" spans="1:26" x14ac:dyDescent="0.15">
      <c r="A519" s="8"/>
      <c r="B519" s="8"/>
      <c r="C519" s="8"/>
      <c r="D519" s="8"/>
      <c r="E519" s="8"/>
      <c r="F519" s="8"/>
      <c r="G519" s="10"/>
      <c r="H519" s="10"/>
      <c r="I519" s="10"/>
      <c r="J519" s="10"/>
      <c r="K519" s="10"/>
      <c r="L519" s="10"/>
      <c r="M519" s="10"/>
      <c r="N519" s="11"/>
      <c r="O519" s="8"/>
      <c r="P519" s="9"/>
      <c r="Q519" s="8"/>
      <c r="R519" s="9"/>
      <c r="S519" s="8"/>
      <c r="T519" s="8"/>
      <c r="U519" s="8"/>
      <c r="V519" s="11"/>
      <c r="W519" s="8"/>
      <c r="X519" s="8"/>
      <c r="Y519" s="9"/>
      <c r="Z519" s="8"/>
    </row>
    <row r="520" spans="1:26" x14ac:dyDescent="0.15">
      <c r="A520" s="8"/>
      <c r="B520" s="8"/>
      <c r="C520" s="8"/>
      <c r="D520" s="8"/>
      <c r="E520" s="8"/>
      <c r="F520" s="8"/>
      <c r="G520" s="10"/>
      <c r="H520" s="10"/>
      <c r="I520" s="10"/>
      <c r="J520" s="10"/>
      <c r="K520" s="10"/>
      <c r="L520" s="10"/>
      <c r="M520" s="10"/>
      <c r="N520" s="11"/>
      <c r="O520" s="8"/>
      <c r="P520" s="9"/>
      <c r="Q520" s="8"/>
      <c r="R520" s="9"/>
      <c r="S520" s="8"/>
      <c r="T520" s="8"/>
      <c r="U520" s="8"/>
      <c r="V520" s="11"/>
      <c r="W520" s="8"/>
      <c r="X520" s="8"/>
      <c r="Y520" s="9"/>
      <c r="Z520" s="8"/>
    </row>
    <row r="521" spans="1:26" x14ac:dyDescent="0.15">
      <c r="A521" s="8"/>
      <c r="B521" s="8"/>
      <c r="C521" s="8"/>
      <c r="D521" s="8"/>
      <c r="E521" s="8"/>
      <c r="F521" s="8"/>
      <c r="G521" s="10"/>
      <c r="H521" s="10"/>
      <c r="I521" s="10"/>
      <c r="J521" s="10"/>
      <c r="K521" s="10"/>
      <c r="L521" s="10"/>
      <c r="M521" s="10"/>
      <c r="N521" s="11"/>
      <c r="O521" s="8"/>
      <c r="P521" s="9"/>
      <c r="Q521" s="8"/>
      <c r="R521" s="9"/>
      <c r="S521" s="8"/>
      <c r="T521" s="8"/>
      <c r="U521" s="8"/>
      <c r="V521" s="11"/>
      <c r="W521" s="8"/>
      <c r="X521" s="8"/>
      <c r="Y521" s="9"/>
      <c r="Z521" s="8"/>
    </row>
    <row r="522" spans="1:26" x14ac:dyDescent="0.15">
      <c r="A522" s="8"/>
      <c r="B522" s="8"/>
      <c r="C522" s="8"/>
      <c r="D522" s="8"/>
      <c r="E522" s="8"/>
      <c r="F522" s="8"/>
      <c r="G522" s="10"/>
      <c r="H522" s="10"/>
      <c r="I522" s="10"/>
      <c r="J522" s="10"/>
      <c r="K522" s="10"/>
      <c r="L522" s="10"/>
      <c r="M522" s="10"/>
      <c r="N522" s="11"/>
      <c r="O522" s="8"/>
      <c r="P522" s="9"/>
      <c r="Q522" s="8"/>
      <c r="R522" s="9"/>
      <c r="S522" s="8"/>
      <c r="T522" s="8"/>
      <c r="U522" s="8"/>
      <c r="V522" s="11"/>
      <c r="W522" s="8"/>
      <c r="X522" s="8"/>
      <c r="Y522" s="9"/>
      <c r="Z522" s="8"/>
    </row>
    <row r="523" spans="1:26" x14ac:dyDescent="0.15">
      <c r="A523" s="8"/>
      <c r="B523" s="8"/>
      <c r="C523" s="8"/>
      <c r="D523" s="8"/>
      <c r="E523" s="8"/>
      <c r="F523" s="8"/>
      <c r="G523" s="10"/>
      <c r="H523" s="10"/>
      <c r="I523" s="10"/>
      <c r="J523" s="10"/>
      <c r="K523" s="10"/>
      <c r="L523" s="10"/>
      <c r="M523" s="10"/>
      <c r="N523" s="11"/>
      <c r="O523" s="8"/>
      <c r="P523" s="9"/>
      <c r="Q523" s="8"/>
      <c r="R523" s="9"/>
      <c r="S523" s="8"/>
      <c r="T523" s="8"/>
      <c r="U523" s="8"/>
      <c r="V523" s="11"/>
      <c r="W523" s="8"/>
      <c r="X523" s="8"/>
      <c r="Y523" s="9"/>
      <c r="Z523" s="8"/>
    </row>
    <row r="524" spans="1:26" x14ac:dyDescent="0.15">
      <c r="A524" s="8"/>
      <c r="B524" s="8"/>
      <c r="C524" s="8"/>
      <c r="D524" s="8"/>
      <c r="E524" s="8"/>
      <c r="F524" s="8"/>
      <c r="G524" s="10"/>
      <c r="H524" s="10"/>
      <c r="I524" s="10"/>
      <c r="J524" s="10"/>
      <c r="K524" s="10"/>
      <c r="L524" s="10"/>
      <c r="M524" s="10"/>
      <c r="N524" s="11"/>
      <c r="O524" s="8"/>
      <c r="P524" s="9"/>
      <c r="Q524" s="8"/>
      <c r="R524" s="9"/>
      <c r="S524" s="8"/>
      <c r="T524" s="8"/>
      <c r="U524" s="8"/>
      <c r="V524" s="11"/>
      <c r="W524" s="8"/>
      <c r="X524" s="8"/>
      <c r="Y524" s="9"/>
      <c r="Z524" s="8"/>
    </row>
    <row r="525" spans="1:26" x14ac:dyDescent="0.15">
      <c r="A525" s="8"/>
      <c r="B525" s="8"/>
      <c r="C525" s="8"/>
      <c r="D525" s="8"/>
      <c r="E525" s="8"/>
      <c r="F525" s="8"/>
      <c r="G525" s="10"/>
      <c r="H525" s="10"/>
      <c r="I525" s="10"/>
      <c r="J525" s="10"/>
      <c r="K525" s="10"/>
      <c r="L525" s="10"/>
      <c r="M525" s="10"/>
      <c r="N525" s="11"/>
      <c r="O525" s="8"/>
      <c r="P525" s="9"/>
      <c r="Q525" s="8"/>
      <c r="R525" s="9"/>
      <c r="S525" s="8"/>
      <c r="T525" s="8"/>
      <c r="U525" s="8"/>
      <c r="V525" s="11"/>
      <c r="W525" s="8"/>
      <c r="X525" s="8"/>
      <c r="Y525" s="9"/>
      <c r="Z525" s="8"/>
    </row>
    <row r="526" spans="1:26" x14ac:dyDescent="0.15">
      <c r="A526" s="8"/>
      <c r="B526" s="8"/>
      <c r="C526" s="8"/>
      <c r="D526" s="8"/>
      <c r="E526" s="8"/>
      <c r="F526" s="8"/>
      <c r="G526" s="10"/>
      <c r="H526" s="10"/>
      <c r="I526" s="10"/>
      <c r="J526" s="10"/>
      <c r="K526" s="10"/>
      <c r="L526" s="10"/>
      <c r="M526" s="10"/>
      <c r="N526" s="11"/>
      <c r="O526" s="8"/>
      <c r="P526" s="9"/>
      <c r="Q526" s="8"/>
      <c r="R526" s="9"/>
      <c r="S526" s="8"/>
      <c r="T526" s="8"/>
      <c r="U526" s="8"/>
      <c r="V526" s="11"/>
      <c r="W526" s="8"/>
      <c r="X526" s="8"/>
      <c r="Y526" s="9"/>
      <c r="Z526" s="8"/>
    </row>
    <row r="527" spans="1:26" x14ac:dyDescent="0.15">
      <c r="A527" s="8"/>
      <c r="B527" s="8"/>
      <c r="C527" s="8"/>
      <c r="D527" s="8"/>
      <c r="E527" s="8"/>
      <c r="F527" s="8"/>
      <c r="G527" s="10"/>
      <c r="H527" s="10"/>
      <c r="I527" s="10"/>
      <c r="J527" s="10"/>
      <c r="K527" s="10"/>
      <c r="L527" s="10"/>
      <c r="M527" s="10"/>
      <c r="N527" s="11"/>
      <c r="O527" s="8"/>
      <c r="P527" s="9"/>
      <c r="Q527" s="8"/>
      <c r="R527" s="9"/>
      <c r="S527" s="8"/>
      <c r="T527" s="8"/>
      <c r="U527" s="8"/>
      <c r="V527" s="11"/>
      <c r="W527" s="8"/>
      <c r="X527" s="8"/>
      <c r="Y527" s="9"/>
      <c r="Z527" s="8"/>
    </row>
    <row r="528" spans="1:26" x14ac:dyDescent="0.15">
      <c r="A528" s="8"/>
      <c r="B528" s="8"/>
      <c r="C528" s="8"/>
      <c r="D528" s="8"/>
      <c r="E528" s="8"/>
      <c r="F528" s="8"/>
      <c r="G528" s="10"/>
      <c r="H528" s="10"/>
      <c r="I528" s="10"/>
      <c r="J528" s="10"/>
      <c r="K528" s="10"/>
      <c r="L528" s="10"/>
      <c r="M528" s="10"/>
      <c r="N528" s="11"/>
      <c r="O528" s="8"/>
      <c r="P528" s="9"/>
      <c r="Q528" s="8"/>
      <c r="R528" s="9"/>
      <c r="S528" s="8"/>
      <c r="T528" s="8"/>
      <c r="U528" s="8"/>
      <c r="V528" s="11"/>
      <c r="W528" s="8"/>
      <c r="X528" s="8"/>
      <c r="Y528" s="9"/>
      <c r="Z528" s="8"/>
    </row>
    <row r="529" spans="1:26" x14ac:dyDescent="0.15">
      <c r="A529" s="8"/>
      <c r="B529" s="8"/>
      <c r="C529" s="8"/>
      <c r="D529" s="8"/>
      <c r="E529" s="8"/>
      <c r="F529" s="8"/>
      <c r="G529" s="10"/>
      <c r="H529" s="10"/>
      <c r="I529" s="10"/>
      <c r="J529" s="10"/>
      <c r="K529" s="10"/>
      <c r="L529" s="10"/>
      <c r="M529" s="10"/>
      <c r="N529" s="11"/>
      <c r="O529" s="8"/>
      <c r="P529" s="9"/>
      <c r="Q529" s="8"/>
      <c r="R529" s="9"/>
      <c r="S529" s="8"/>
      <c r="T529" s="8"/>
      <c r="U529" s="8"/>
      <c r="V529" s="11"/>
      <c r="W529" s="8"/>
      <c r="X529" s="8"/>
      <c r="Y529" s="9"/>
      <c r="Z529" s="8"/>
    </row>
    <row r="530" spans="1:26" x14ac:dyDescent="0.15">
      <c r="A530" s="8"/>
      <c r="B530" s="8"/>
      <c r="C530" s="8"/>
      <c r="D530" s="8"/>
      <c r="E530" s="8"/>
      <c r="F530" s="8"/>
      <c r="G530" s="10"/>
      <c r="H530" s="10"/>
      <c r="I530" s="10"/>
      <c r="J530" s="10"/>
      <c r="K530" s="10"/>
      <c r="L530" s="10"/>
      <c r="M530" s="10"/>
      <c r="N530" s="11"/>
      <c r="O530" s="8"/>
      <c r="P530" s="9"/>
      <c r="Q530" s="8"/>
      <c r="R530" s="9"/>
      <c r="S530" s="8"/>
      <c r="T530" s="8"/>
      <c r="U530" s="8"/>
      <c r="V530" s="11"/>
      <c r="W530" s="8"/>
      <c r="X530" s="8"/>
      <c r="Y530" s="9"/>
      <c r="Z530" s="8"/>
    </row>
    <row r="531" spans="1:26" x14ac:dyDescent="0.15">
      <c r="A531" s="8"/>
      <c r="B531" s="8"/>
      <c r="C531" s="8"/>
      <c r="D531" s="8"/>
      <c r="E531" s="8"/>
      <c r="F531" s="8"/>
      <c r="G531" s="10"/>
      <c r="H531" s="10"/>
      <c r="I531" s="10"/>
      <c r="J531" s="10"/>
      <c r="K531" s="10"/>
      <c r="L531" s="10"/>
      <c r="M531" s="10"/>
      <c r="N531" s="11"/>
      <c r="O531" s="8"/>
      <c r="P531" s="9"/>
      <c r="Q531" s="8"/>
      <c r="R531" s="9"/>
      <c r="S531" s="8"/>
      <c r="T531" s="8"/>
      <c r="U531" s="8"/>
      <c r="V531" s="11"/>
      <c r="W531" s="8"/>
      <c r="X531" s="8"/>
      <c r="Y531" s="9"/>
      <c r="Z531" s="8"/>
    </row>
    <row r="532" spans="1:26" x14ac:dyDescent="0.15">
      <c r="A532" s="8"/>
      <c r="B532" s="8"/>
      <c r="C532" s="8"/>
      <c r="D532" s="8"/>
      <c r="E532" s="8"/>
      <c r="F532" s="8"/>
      <c r="G532" s="10"/>
      <c r="H532" s="10"/>
      <c r="I532" s="10"/>
      <c r="J532" s="10"/>
      <c r="K532" s="10"/>
      <c r="L532" s="10"/>
      <c r="M532" s="10"/>
      <c r="N532" s="11"/>
      <c r="O532" s="8"/>
      <c r="P532" s="9"/>
      <c r="Q532" s="8"/>
      <c r="R532" s="9"/>
      <c r="S532" s="8"/>
      <c r="T532" s="8"/>
      <c r="U532" s="8"/>
      <c r="V532" s="11"/>
      <c r="W532" s="8"/>
      <c r="X532" s="8"/>
      <c r="Y532" s="9"/>
      <c r="Z532" s="8"/>
    </row>
    <row r="533" spans="1:26" x14ac:dyDescent="0.15">
      <c r="A533" s="8"/>
      <c r="B533" s="8"/>
      <c r="C533" s="8"/>
      <c r="D533" s="8"/>
      <c r="E533" s="8"/>
      <c r="F533" s="8"/>
      <c r="G533" s="10"/>
      <c r="H533" s="10"/>
      <c r="I533" s="10"/>
      <c r="J533" s="10"/>
      <c r="K533" s="10"/>
      <c r="L533" s="10"/>
      <c r="M533" s="10"/>
      <c r="N533" s="11"/>
      <c r="O533" s="8"/>
      <c r="P533" s="9"/>
      <c r="Q533" s="8"/>
      <c r="R533" s="9"/>
      <c r="S533" s="8"/>
      <c r="T533" s="8"/>
      <c r="U533" s="8"/>
      <c r="V533" s="11"/>
      <c r="W533" s="8"/>
      <c r="X533" s="8"/>
      <c r="Y533" s="9"/>
      <c r="Z533" s="8"/>
    </row>
    <row r="534" spans="1:26" x14ac:dyDescent="0.15">
      <c r="A534" s="8"/>
      <c r="B534" s="8"/>
      <c r="C534" s="8"/>
      <c r="D534" s="8"/>
      <c r="E534" s="8"/>
      <c r="F534" s="8"/>
      <c r="G534" s="10"/>
      <c r="H534" s="10"/>
      <c r="I534" s="10"/>
      <c r="J534" s="10"/>
      <c r="K534" s="10"/>
      <c r="L534" s="10"/>
      <c r="M534" s="10"/>
      <c r="N534" s="11"/>
      <c r="O534" s="8"/>
      <c r="P534" s="9"/>
      <c r="Q534" s="8"/>
      <c r="R534" s="9"/>
      <c r="S534" s="8"/>
      <c r="T534" s="8"/>
      <c r="U534" s="8"/>
      <c r="V534" s="11"/>
      <c r="W534" s="8"/>
      <c r="X534" s="8"/>
      <c r="Y534" s="9"/>
      <c r="Z534" s="8"/>
    </row>
    <row r="535" spans="1:26" x14ac:dyDescent="0.15">
      <c r="A535" s="8"/>
      <c r="B535" s="8"/>
      <c r="C535" s="8"/>
      <c r="D535" s="8"/>
      <c r="E535" s="8"/>
      <c r="F535" s="8"/>
      <c r="G535" s="10"/>
      <c r="H535" s="10"/>
      <c r="I535" s="10"/>
      <c r="J535" s="10"/>
      <c r="K535" s="10"/>
      <c r="L535" s="10"/>
      <c r="M535" s="10"/>
      <c r="N535" s="11"/>
      <c r="O535" s="8"/>
      <c r="P535" s="9"/>
      <c r="Q535" s="8"/>
      <c r="R535" s="9"/>
      <c r="S535" s="8"/>
      <c r="T535" s="8"/>
      <c r="U535" s="8"/>
      <c r="V535" s="11"/>
      <c r="W535" s="8"/>
      <c r="X535" s="8"/>
      <c r="Y535" s="9"/>
      <c r="Z535" s="8"/>
    </row>
    <row r="536" spans="1:26" x14ac:dyDescent="0.15">
      <c r="A536" s="8"/>
      <c r="B536" s="8"/>
      <c r="C536" s="8"/>
      <c r="D536" s="8"/>
      <c r="E536" s="8"/>
      <c r="F536" s="8"/>
      <c r="G536" s="10"/>
      <c r="H536" s="10"/>
      <c r="I536" s="10"/>
      <c r="J536" s="10"/>
      <c r="K536" s="10"/>
      <c r="L536" s="10"/>
      <c r="M536" s="10"/>
      <c r="N536" s="11"/>
      <c r="O536" s="8"/>
      <c r="P536" s="9"/>
      <c r="Q536" s="8"/>
      <c r="R536" s="9"/>
      <c r="S536" s="8"/>
      <c r="T536" s="8"/>
      <c r="U536" s="8"/>
      <c r="V536" s="11"/>
      <c r="W536" s="8"/>
      <c r="X536" s="8"/>
      <c r="Y536" s="9"/>
      <c r="Z536" s="8"/>
    </row>
    <row r="537" spans="1:26" x14ac:dyDescent="0.15">
      <c r="A537" s="8"/>
      <c r="B537" s="8"/>
      <c r="C537" s="8"/>
      <c r="D537" s="8"/>
      <c r="E537" s="8"/>
      <c r="F537" s="8"/>
      <c r="G537" s="10"/>
      <c r="H537" s="10"/>
      <c r="I537" s="10"/>
      <c r="J537" s="10"/>
      <c r="K537" s="10"/>
      <c r="L537" s="10"/>
      <c r="M537" s="10"/>
      <c r="N537" s="11"/>
      <c r="O537" s="8"/>
      <c r="P537" s="9"/>
      <c r="Q537" s="8"/>
      <c r="R537" s="9"/>
      <c r="S537" s="8"/>
      <c r="T537" s="8"/>
      <c r="U537" s="8"/>
      <c r="V537" s="11"/>
      <c r="W537" s="8"/>
      <c r="X537" s="8"/>
      <c r="Y537" s="9"/>
      <c r="Z537" s="8"/>
    </row>
    <row r="538" spans="1:26" x14ac:dyDescent="0.15">
      <c r="A538" s="8"/>
      <c r="B538" s="8"/>
      <c r="C538" s="8"/>
      <c r="D538" s="8"/>
      <c r="E538" s="8"/>
      <c r="F538" s="8"/>
      <c r="G538" s="10"/>
      <c r="H538" s="10"/>
      <c r="I538" s="10"/>
      <c r="J538" s="10"/>
      <c r="K538" s="10"/>
      <c r="L538" s="10"/>
      <c r="M538" s="10"/>
      <c r="N538" s="11"/>
      <c r="O538" s="8"/>
      <c r="P538" s="9"/>
      <c r="Q538" s="8"/>
      <c r="R538" s="9"/>
      <c r="S538" s="8"/>
      <c r="T538" s="8"/>
      <c r="U538" s="8"/>
      <c r="V538" s="11"/>
      <c r="W538" s="8"/>
      <c r="X538" s="8"/>
      <c r="Y538" s="9"/>
      <c r="Z538" s="8"/>
    </row>
    <row r="539" spans="1:26" x14ac:dyDescent="0.15">
      <c r="A539" s="8"/>
      <c r="B539" s="8"/>
      <c r="C539" s="8"/>
      <c r="D539" s="8"/>
      <c r="E539" s="8"/>
      <c r="F539" s="8"/>
      <c r="G539" s="10"/>
      <c r="H539" s="10"/>
      <c r="I539" s="10"/>
      <c r="J539" s="10"/>
      <c r="K539" s="10"/>
      <c r="L539" s="10"/>
      <c r="M539" s="10"/>
      <c r="N539" s="11"/>
      <c r="O539" s="8"/>
      <c r="P539" s="9"/>
      <c r="Q539" s="8"/>
      <c r="R539" s="9"/>
      <c r="S539" s="8"/>
      <c r="T539" s="8"/>
      <c r="U539" s="8"/>
      <c r="V539" s="11"/>
      <c r="W539" s="8"/>
      <c r="X539" s="8"/>
      <c r="Y539" s="9"/>
      <c r="Z539" s="8"/>
    </row>
    <row r="540" spans="1:26" x14ac:dyDescent="0.15">
      <c r="A540" s="8"/>
      <c r="B540" s="8"/>
      <c r="C540" s="8"/>
      <c r="D540" s="8"/>
      <c r="E540" s="8"/>
      <c r="F540" s="8"/>
      <c r="G540" s="10"/>
      <c r="H540" s="10"/>
      <c r="I540" s="10"/>
      <c r="J540" s="10"/>
      <c r="K540" s="10"/>
      <c r="L540" s="10"/>
      <c r="M540" s="10"/>
      <c r="N540" s="11"/>
      <c r="O540" s="8"/>
      <c r="P540" s="9"/>
      <c r="Q540" s="8"/>
      <c r="R540" s="9"/>
      <c r="S540" s="8"/>
      <c r="T540" s="8"/>
      <c r="U540" s="8"/>
      <c r="V540" s="11"/>
      <c r="W540" s="8"/>
      <c r="X540" s="8"/>
      <c r="Y540" s="9"/>
      <c r="Z540" s="8"/>
    </row>
    <row r="541" spans="1:26" x14ac:dyDescent="0.15">
      <c r="A541" s="8"/>
      <c r="B541" s="8"/>
      <c r="C541" s="8"/>
      <c r="D541" s="8"/>
      <c r="E541" s="8"/>
      <c r="F541" s="8"/>
      <c r="G541" s="10"/>
      <c r="H541" s="10"/>
      <c r="I541" s="10"/>
      <c r="J541" s="10"/>
      <c r="K541" s="10"/>
      <c r="L541" s="10"/>
      <c r="M541" s="10"/>
      <c r="N541" s="11"/>
      <c r="O541" s="8"/>
      <c r="P541" s="9"/>
      <c r="Q541" s="8"/>
      <c r="R541" s="9"/>
      <c r="S541" s="8"/>
      <c r="T541" s="8"/>
      <c r="U541" s="8"/>
      <c r="V541" s="11"/>
      <c r="W541" s="8"/>
      <c r="X541" s="8"/>
      <c r="Y541" s="9"/>
      <c r="Z541" s="8"/>
    </row>
    <row r="542" spans="1:26" x14ac:dyDescent="0.15">
      <c r="A542" s="8"/>
      <c r="B542" s="8"/>
      <c r="C542" s="8"/>
      <c r="D542" s="8"/>
      <c r="E542" s="8"/>
      <c r="F542" s="8"/>
      <c r="G542" s="10"/>
      <c r="H542" s="10"/>
      <c r="I542" s="10"/>
      <c r="J542" s="10"/>
      <c r="K542" s="10"/>
      <c r="L542" s="10"/>
      <c r="M542" s="10"/>
      <c r="N542" s="11"/>
      <c r="O542" s="8"/>
      <c r="P542" s="9"/>
      <c r="Q542" s="8"/>
      <c r="R542" s="9"/>
      <c r="S542" s="8"/>
      <c r="T542" s="8"/>
      <c r="U542" s="8"/>
      <c r="V542" s="11"/>
      <c r="W542" s="8"/>
      <c r="X542" s="8"/>
      <c r="Y542" s="9"/>
      <c r="Z542" s="8"/>
    </row>
    <row r="543" spans="1:26" x14ac:dyDescent="0.15">
      <c r="A543" s="8"/>
      <c r="B543" s="8"/>
      <c r="C543" s="8"/>
      <c r="D543" s="8"/>
      <c r="E543" s="8"/>
      <c r="F543" s="8"/>
      <c r="G543" s="10"/>
      <c r="H543" s="10"/>
      <c r="I543" s="10"/>
      <c r="J543" s="10"/>
      <c r="K543" s="10"/>
      <c r="L543" s="10"/>
      <c r="M543" s="10"/>
      <c r="N543" s="11"/>
      <c r="O543" s="8"/>
      <c r="P543" s="9"/>
      <c r="Q543" s="8"/>
      <c r="R543" s="9"/>
      <c r="S543" s="8"/>
      <c r="T543" s="8"/>
      <c r="U543" s="8"/>
      <c r="V543" s="11"/>
      <c r="W543" s="8"/>
      <c r="X543" s="8"/>
      <c r="Y543" s="9"/>
      <c r="Z543" s="8"/>
    </row>
    <row r="544" spans="1:26" x14ac:dyDescent="0.15">
      <c r="A544" s="8"/>
      <c r="B544" s="8"/>
      <c r="C544" s="8"/>
      <c r="D544" s="8"/>
      <c r="E544" s="8"/>
      <c r="F544" s="8"/>
      <c r="G544" s="10"/>
      <c r="H544" s="10"/>
      <c r="I544" s="10"/>
      <c r="J544" s="10"/>
      <c r="K544" s="10"/>
      <c r="L544" s="10"/>
      <c r="M544" s="10"/>
      <c r="N544" s="11"/>
      <c r="O544" s="8"/>
      <c r="P544" s="9"/>
      <c r="Q544" s="8"/>
      <c r="R544" s="9"/>
      <c r="S544" s="8"/>
      <c r="T544" s="8"/>
      <c r="U544" s="8"/>
      <c r="V544" s="11"/>
      <c r="W544" s="8"/>
      <c r="X544" s="8"/>
      <c r="Y544" s="9"/>
      <c r="Z544" s="8"/>
    </row>
    <row r="545" spans="1:26" x14ac:dyDescent="0.15">
      <c r="A545" s="8"/>
      <c r="B545" s="8"/>
      <c r="C545" s="8"/>
      <c r="D545" s="8"/>
      <c r="E545" s="8"/>
      <c r="F545" s="8"/>
      <c r="G545" s="10"/>
      <c r="H545" s="10"/>
      <c r="I545" s="10"/>
      <c r="J545" s="10"/>
      <c r="K545" s="10"/>
      <c r="L545" s="10"/>
      <c r="M545" s="10"/>
      <c r="N545" s="11"/>
      <c r="O545" s="8"/>
      <c r="P545" s="9"/>
      <c r="Q545" s="8"/>
      <c r="R545" s="9"/>
      <c r="S545" s="8"/>
      <c r="T545" s="8"/>
      <c r="U545" s="8"/>
      <c r="V545" s="11"/>
      <c r="W545" s="8"/>
      <c r="X545" s="8"/>
      <c r="Y545" s="9"/>
      <c r="Z545" s="8"/>
    </row>
    <row r="546" spans="1:26" x14ac:dyDescent="0.15">
      <c r="A546" s="8"/>
      <c r="B546" s="8"/>
      <c r="C546" s="8"/>
      <c r="D546" s="8"/>
      <c r="E546" s="8"/>
      <c r="F546" s="8"/>
      <c r="G546" s="10"/>
      <c r="H546" s="10"/>
      <c r="I546" s="10"/>
      <c r="J546" s="10"/>
      <c r="K546" s="10"/>
      <c r="L546" s="10"/>
      <c r="M546" s="10"/>
      <c r="N546" s="11"/>
      <c r="O546" s="8"/>
      <c r="P546" s="9"/>
      <c r="Q546" s="8"/>
      <c r="R546" s="9"/>
      <c r="S546" s="8"/>
      <c r="T546" s="8"/>
      <c r="U546" s="8"/>
      <c r="V546" s="11"/>
      <c r="W546" s="8"/>
      <c r="X546" s="8"/>
      <c r="Y546" s="9"/>
      <c r="Z546" s="8"/>
    </row>
    <row r="547" spans="1:26" x14ac:dyDescent="0.15">
      <c r="A547" s="8"/>
      <c r="B547" s="8"/>
      <c r="C547" s="8"/>
      <c r="D547" s="8"/>
      <c r="E547" s="8"/>
      <c r="F547" s="8"/>
      <c r="G547" s="10"/>
      <c r="H547" s="10"/>
      <c r="I547" s="10"/>
      <c r="J547" s="10"/>
      <c r="K547" s="10"/>
      <c r="L547" s="10"/>
      <c r="M547" s="10"/>
      <c r="N547" s="11"/>
      <c r="O547" s="8"/>
      <c r="P547" s="9"/>
      <c r="Q547" s="8"/>
      <c r="R547" s="9"/>
      <c r="S547" s="8"/>
      <c r="T547" s="8"/>
      <c r="U547" s="8"/>
      <c r="V547" s="11"/>
      <c r="W547" s="8"/>
      <c r="X547" s="8"/>
      <c r="Y547" s="9"/>
      <c r="Z547" s="8"/>
    </row>
    <row r="548" spans="1:26" x14ac:dyDescent="0.15">
      <c r="A548" s="8"/>
      <c r="B548" s="8"/>
      <c r="C548" s="8"/>
      <c r="D548" s="8"/>
      <c r="E548" s="8"/>
      <c r="F548" s="8"/>
      <c r="G548" s="10"/>
      <c r="H548" s="10"/>
      <c r="I548" s="10"/>
      <c r="J548" s="10"/>
      <c r="K548" s="10"/>
      <c r="L548" s="10"/>
      <c r="M548" s="10"/>
      <c r="N548" s="11"/>
      <c r="O548" s="8"/>
      <c r="P548" s="9"/>
      <c r="Q548" s="8"/>
      <c r="R548" s="9"/>
      <c r="S548" s="8"/>
      <c r="T548" s="8"/>
      <c r="U548" s="8"/>
      <c r="V548" s="11"/>
      <c r="W548" s="8"/>
      <c r="X548" s="8"/>
      <c r="Y548" s="9"/>
      <c r="Z548" s="8"/>
    </row>
    <row r="549" spans="1:26" x14ac:dyDescent="0.15">
      <c r="A549" s="8"/>
      <c r="B549" s="8"/>
      <c r="C549" s="8"/>
      <c r="D549" s="8"/>
      <c r="E549" s="8"/>
      <c r="F549" s="8"/>
      <c r="G549" s="10"/>
      <c r="H549" s="10"/>
      <c r="I549" s="10"/>
      <c r="J549" s="10"/>
      <c r="K549" s="10"/>
      <c r="L549" s="10"/>
      <c r="M549" s="10"/>
      <c r="N549" s="11"/>
      <c r="O549" s="8"/>
      <c r="P549" s="9"/>
      <c r="Q549" s="8"/>
      <c r="R549" s="9"/>
      <c r="S549" s="8"/>
      <c r="T549" s="8"/>
      <c r="U549" s="8"/>
      <c r="V549" s="11"/>
      <c r="W549" s="8"/>
      <c r="X549" s="8"/>
      <c r="Y549" s="9"/>
      <c r="Z549" s="8"/>
    </row>
    <row r="550" spans="1:26" x14ac:dyDescent="0.15">
      <c r="A550" s="8"/>
      <c r="B550" s="8"/>
      <c r="C550" s="8"/>
      <c r="D550" s="8"/>
      <c r="E550" s="8"/>
      <c r="F550" s="8"/>
      <c r="G550" s="10"/>
      <c r="H550" s="10"/>
      <c r="I550" s="10"/>
      <c r="J550" s="10"/>
      <c r="K550" s="10"/>
      <c r="L550" s="10"/>
      <c r="M550" s="10"/>
      <c r="N550" s="11"/>
      <c r="O550" s="8"/>
      <c r="P550" s="9"/>
      <c r="Q550" s="8"/>
      <c r="R550" s="9"/>
      <c r="S550" s="8"/>
      <c r="T550" s="8"/>
      <c r="U550" s="8"/>
      <c r="V550" s="11"/>
      <c r="W550" s="8"/>
      <c r="X550" s="8"/>
      <c r="Y550" s="9"/>
      <c r="Z550" s="8"/>
    </row>
    <row r="551" spans="1:26" x14ac:dyDescent="0.15">
      <c r="A551" s="8"/>
      <c r="B551" s="8"/>
      <c r="C551" s="8"/>
      <c r="D551" s="8"/>
      <c r="E551" s="8"/>
      <c r="F551" s="8"/>
      <c r="G551" s="10"/>
      <c r="H551" s="10"/>
      <c r="I551" s="10"/>
      <c r="J551" s="10"/>
      <c r="K551" s="10"/>
      <c r="L551" s="10"/>
      <c r="M551" s="10"/>
      <c r="N551" s="11"/>
      <c r="O551" s="8"/>
      <c r="P551" s="9"/>
      <c r="Q551" s="8"/>
      <c r="R551" s="9"/>
      <c r="S551" s="8"/>
      <c r="T551" s="8"/>
      <c r="U551" s="8"/>
      <c r="V551" s="11"/>
      <c r="W551" s="8"/>
      <c r="X551" s="8"/>
      <c r="Y551" s="9"/>
      <c r="Z551" s="8"/>
    </row>
    <row r="552" spans="1:26" x14ac:dyDescent="0.15">
      <c r="A552" s="8"/>
      <c r="B552" s="8"/>
      <c r="C552" s="8"/>
      <c r="D552" s="8"/>
      <c r="E552" s="8"/>
      <c r="F552" s="8"/>
      <c r="G552" s="10"/>
      <c r="H552" s="10"/>
      <c r="I552" s="10"/>
      <c r="J552" s="10"/>
      <c r="K552" s="10"/>
      <c r="L552" s="10"/>
      <c r="M552" s="10"/>
      <c r="N552" s="11"/>
      <c r="O552" s="8"/>
      <c r="P552" s="9"/>
      <c r="Q552" s="8"/>
      <c r="R552" s="9"/>
      <c r="S552" s="8"/>
      <c r="T552" s="8"/>
      <c r="U552" s="8"/>
      <c r="V552" s="11"/>
      <c r="W552" s="8"/>
      <c r="X552" s="8"/>
      <c r="Y552" s="9"/>
      <c r="Z552" s="8"/>
    </row>
    <row r="553" spans="1:26" x14ac:dyDescent="0.15">
      <c r="A553" s="8"/>
      <c r="B553" s="8"/>
      <c r="C553" s="8"/>
      <c r="D553" s="8"/>
      <c r="E553" s="8"/>
      <c r="F553" s="8"/>
      <c r="G553" s="10"/>
      <c r="H553" s="10"/>
      <c r="I553" s="10"/>
      <c r="J553" s="10"/>
      <c r="K553" s="10"/>
      <c r="L553" s="10"/>
      <c r="M553" s="10"/>
      <c r="N553" s="11"/>
      <c r="O553" s="8"/>
      <c r="P553" s="9"/>
      <c r="Q553" s="8"/>
      <c r="R553" s="9"/>
      <c r="S553" s="8"/>
      <c r="T553" s="8"/>
      <c r="U553" s="8"/>
      <c r="V553" s="11"/>
      <c r="W553" s="8"/>
      <c r="X553" s="8"/>
      <c r="Y553" s="9"/>
      <c r="Z553" s="8"/>
    </row>
    <row r="554" spans="1:26" x14ac:dyDescent="0.15">
      <c r="A554" s="8"/>
      <c r="B554" s="8"/>
      <c r="C554" s="8"/>
      <c r="D554" s="8"/>
      <c r="E554" s="8"/>
      <c r="F554" s="8"/>
      <c r="G554" s="10"/>
      <c r="H554" s="10"/>
      <c r="I554" s="10"/>
      <c r="J554" s="10"/>
      <c r="K554" s="10"/>
      <c r="L554" s="10"/>
      <c r="M554" s="10"/>
      <c r="N554" s="11"/>
      <c r="O554" s="8"/>
      <c r="P554" s="9"/>
      <c r="Q554" s="8"/>
      <c r="R554" s="9"/>
      <c r="S554" s="8"/>
      <c r="T554" s="8"/>
      <c r="U554" s="8"/>
      <c r="V554" s="11"/>
      <c r="W554" s="8"/>
      <c r="X554" s="8"/>
      <c r="Y554" s="9"/>
      <c r="Z554" s="8"/>
    </row>
    <row r="555" spans="1:26" x14ac:dyDescent="0.15">
      <c r="A555" s="8"/>
      <c r="B555" s="8"/>
      <c r="C555" s="8"/>
      <c r="D555" s="8"/>
      <c r="E555" s="8"/>
      <c r="F555" s="8"/>
      <c r="G555" s="10"/>
      <c r="H555" s="10"/>
      <c r="I555" s="10"/>
      <c r="J555" s="10"/>
      <c r="K555" s="10"/>
      <c r="L555" s="10"/>
      <c r="M555" s="10"/>
      <c r="N555" s="11"/>
      <c r="O555" s="8"/>
      <c r="P555" s="9"/>
      <c r="Q555" s="8"/>
      <c r="R555" s="9"/>
      <c r="S555" s="8"/>
      <c r="T555" s="8"/>
      <c r="U555" s="8"/>
      <c r="V555" s="11"/>
      <c r="W555" s="8"/>
      <c r="X555" s="8"/>
      <c r="Y555" s="9"/>
      <c r="Z555" s="8"/>
    </row>
    <row r="556" spans="1:26" x14ac:dyDescent="0.15">
      <c r="A556" s="8"/>
      <c r="B556" s="8"/>
      <c r="C556" s="8"/>
      <c r="D556" s="8"/>
      <c r="E556" s="8"/>
      <c r="F556" s="8"/>
      <c r="G556" s="10"/>
      <c r="H556" s="10"/>
      <c r="I556" s="10"/>
      <c r="J556" s="10"/>
      <c r="K556" s="10"/>
      <c r="L556" s="10"/>
      <c r="M556" s="10"/>
      <c r="N556" s="11"/>
      <c r="O556" s="8"/>
      <c r="P556" s="9"/>
      <c r="Q556" s="8"/>
      <c r="R556" s="9"/>
      <c r="S556" s="8"/>
      <c r="T556" s="8"/>
      <c r="U556" s="8"/>
      <c r="V556" s="11"/>
      <c r="W556" s="8"/>
      <c r="X556" s="8"/>
      <c r="Y556" s="9"/>
      <c r="Z556" s="8"/>
    </row>
    <row r="557" spans="1:26" x14ac:dyDescent="0.15">
      <c r="A557" s="8"/>
      <c r="B557" s="8"/>
      <c r="C557" s="8"/>
      <c r="D557" s="8"/>
      <c r="E557" s="8"/>
      <c r="F557" s="8"/>
      <c r="G557" s="10"/>
      <c r="H557" s="10"/>
      <c r="I557" s="10"/>
      <c r="J557" s="10"/>
      <c r="K557" s="10"/>
      <c r="L557" s="10"/>
      <c r="M557" s="10"/>
      <c r="N557" s="11"/>
      <c r="O557" s="8"/>
      <c r="P557" s="9"/>
      <c r="Q557" s="8"/>
      <c r="R557" s="9"/>
      <c r="S557" s="8"/>
      <c r="T557" s="8"/>
      <c r="U557" s="8"/>
      <c r="V557" s="11"/>
      <c r="W557" s="8"/>
      <c r="X557" s="8"/>
      <c r="Y557" s="9"/>
      <c r="Z557" s="8"/>
    </row>
    <row r="558" spans="1:26" x14ac:dyDescent="0.15">
      <c r="A558" s="8"/>
      <c r="B558" s="8"/>
      <c r="C558" s="8"/>
      <c r="D558" s="8"/>
      <c r="E558" s="8"/>
      <c r="F558" s="8"/>
      <c r="G558" s="10"/>
      <c r="H558" s="10"/>
      <c r="I558" s="10"/>
      <c r="J558" s="10"/>
      <c r="K558" s="10"/>
      <c r="L558" s="10"/>
      <c r="M558" s="10"/>
      <c r="N558" s="11"/>
      <c r="O558" s="8"/>
      <c r="P558" s="9"/>
      <c r="Q558" s="8"/>
      <c r="R558" s="9"/>
      <c r="S558" s="8"/>
      <c r="T558" s="8"/>
      <c r="U558" s="8"/>
      <c r="V558" s="11"/>
      <c r="W558" s="8"/>
      <c r="X558" s="8"/>
      <c r="Y558" s="9"/>
      <c r="Z558" s="8"/>
    </row>
    <row r="559" spans="1:26" x14ac:dyDescent="0.15">
      <c r="A559" s="8"/>
      <c r="B559" s="8"/>
      <c r="C559" s="8"/>
      <c r="D559" s="8"/>
      <c r="E559" s="8"/>
      <c r="F559" s="8"/>
      <c r="G559" s="10"/>
      <c r="H559" s="10"/>
      <c r="I559" s="10"/>
      <c r="J559" s="10"/>
      <c r="K559" s="10"/>
      <c r="L559" s="10"/>
      <c r="M559" s="10"/>
      <c r="N559" s="11"/>
      <c r="O559" s="8"/>
      <c r="P559" s="9"/>
      <c r="Q559" s="8"/>
      <c r="R559" s="9"/>
      <c r="S559" s="8"/>
      <c r="T559" s="8"/>
      <c r="U559" s="8"/>
      <c r="V559" s="11"/>
      <c r="W559" s="8"/>
      <c r="X559" s="8"/>
      <c r="Y559" s="9"/>
      <c r="Z559" s="8"/>
    </row>
    <row r="560" spans="1:26" x14ac:dyDescent="0.15">
      <c r="A560" s="8"/>
      <c r="B560" s="8"/>
      <c r="C560" s="8"/>
      <c r="D560" s="8"/>
      <c r="E560" s="8"/>
      <c r="F560" s="8"/>
      <c r="G560" s="10"/>
      <c r="H560" s="10"/>
      <c r="I560" s="10"/>
      <c r="J560" s="10"/>
      <c r="K560" s="10"/>
      <c r="L560" s="10"/>
      <c r="M560" s="10"/>
      <c r="N560" s="11"/>
      <c r="O560" s="8"/>
      <c r="P560" s="9"/>
      <c r="Q560" s="8"/>
      <c r="R560" s="9"/>
      <c r="S560" s="8"/>
      <c r="T560" s="8"/>
      <c r="U560" s="8"/>
      <c r="V560" s="11"/>
      <c r="W560" s="8"/>
      <c r="X560" s="8"/>
      <c r="Y560" s="9"/>
      <c r="Z560" s="8"/>
    </row>
    <row r="561" spans="1:26" x14ac:dyDescent="0.15">
      <c r="A561" s="8"/>
      <c r="B561" s="8"/>
      <c r="C561" s="8"/>
      <c r="D561" s="8"/>
      <c r="E561" s="8"/>
      <c r="F561" s="8"/>
      <c r="G561" s="10"/>
      <c r="H561" s="10"/>
      <c r="I561" s="10"/>
      <c r="J561" s="10"/>
      <c r="K561" s="10"/>
      <c r="L561" s="10"/>
      <c r="M561" s="10"/>
      <c r="N561" s="11"/>
      <c r="O561" s="8"/>
      <c r="P561" s="9"/>
      <c r="Q561" s="8"/>
      <c r="R561" s="9"/>
      <c r="S561" s="8"/>
      <c r="T561" s="8"/>
      <c r="U561" s="8"/>
      <c r="V561" s="11"/>
      <c r="W561" s="8"/>
      <c r="X561" s="8"/>
      <c r="Y561" s="9"/>
      <c r="Z561" s="8"/>
    </row>
    <row r="562" spans="1:26" x14ac:dyDescent="0.15">
      <c r="A562" s="8"/>
      <c r="B562" s="8"/>
      <c r="C562" s="8"/>
      <c r="D562" s="8"/>
      <c r="E562" s="8"/>
      <c r="F562" s="8"/>
      <c r="G562" s="10"/>
      <c r="H562" s="10"/>
      <c r="I562" s="10"/>
      <c r="J562" s="10"/>
      <c r="K562" s="10"/>
      <c r="L562" s="10"/>
      <c r="M562" s="10"/>
      <c r="N562" s="11"/>
      <c r="O562" s="8"/>
      <c r="P562" s="9"/>
      <c r="Q562" s="8"/>
      <c r="R562" s="9"/>
      <c r="S562" s="8"/>
      <c r="T562" s="8"/>
      <c r="U562" s="8"/>
      <c r="V562" s="11"/>
      <c r="W562" s="8"/>
      <c r="X562" s="8"/>
      <c r="Y562" s="9"/>
      <c r="Z562" s="8"/>
    </row>
    <row r="563" spans="1:26" x14ac:dyDescent="0.15">
      <c r="A563" s="8"/>
      <c r="B563" s="8"/>
      <c r="C563" s="8"/>
      <c r="D563" s="8"/>
      <c r="E563" s="8"/>
      <c r="F563" s="8"/>
      <c r="G563" s="10"/>
      <c r="H563" s="10"/>
      <c r="I563" s="10"/>
      <c r="J563" s="10"/>
      <c r="K563" s="10"/>
      <c r="L563" s="10"/>
      <c r="M563" s="10"/>
      <c r="N563" s="11"/>
      <c r="O563" s="8"/>
      <c r="P563" s="9"/>
      <c r="Q563" s="8"/>
      <c r="R563" s="9"/>
      <c r="S563" s="8"/>
      <c r="T563" s="8"/>
      <c r="U563" s="8"/>
      <c r="V563" s="11"/>
      <c r="W563" s="8"/>
      <c r="X563" s="8"/>
      <c r="Y563" s="9"/>
      <c r="Z563" s="8"/>
    </row>
    <row r="564" spans="1:26" x14ac:dyDescent="0.15">
      <c r="A564" s="8"/>
      <c r="B564" s="8"/>
      <c r="C564" s="8"/>
      <c r="D564" s="8"/>
      <c r="E564" s="8"/>
      <c r="F564" s="8"/>
      <c r="G564" s="10"/>
      <c r="H564" s="10"/>
      <c r="I564" s="10"/>
      <c r="J564" s="10"/>
      <c r="K564" s="10"/>
      <c r="L564" s="10"/>
      <c r="M564" s="10"/>
      <c r="N564" s="11"/>
      <c r="O564" s="8"/>
      <c r="P564" s="9"/>
      <c r="Q564" s="8"/>
      <c r="R564" s="9"/>
      <c r="S564" s="8"/>
      <c r="T564" s="8"/>
      <c r="U564" s="8"/>
      <c r="V564" s="11"/>
      <c r="W564" s="8"/>
      <c r="X564" s="8"/>
      <c r="Y564" s="9"/>
      <c r="Z564" s="8"/>
    </row>
    <row r="565" spans="1:26" x14ac:dyDescent="0.15">
      <c r="A565" s="8"/>
      <c r="B565" s="8"/>
      <c r="C565" s="8"/>
      <c r="D565" s="8"/>
      <c r="E565" s="8"/>
      <c r="F565" s="8"/>
      <c r="G565" s="10"/>
      <c r="H565" s="10"/>
      <c r="I565" s="10"/>
      <c r="J565" s="10"/>
      <c r="K565" s="10"/>
      <c r="L565" s="10"/>
      <c r="M565" s="10"/>
      <c r="N565" s="11"/>
      <c r="O565" s="8"/>
      <c r="P565" s="9"/>
      <c r="Q565" s="8"/>
      <c r="R565" s="9"/>
      <c r="S565" s="8"/>
      <c r="T565" s="8"/>
      <c r="U565" s="8"/>
      <c r="V565" s="11"/>
      <c r="W565" s="8"/>
      <c r="X565" s="8"/>
      <c r="Y565" s="9"/>
      <c r="Z565" s="8"/>
    </row>
    <row r="566" spans="1:26" x14ac:dyDescent="0.15">
      <c r="A566" s="8"/>
      <c r="B566" s="8"/>
      <c r="C566" s="8"/>
      <c r="D566" s="8"/>
      <c r="E566" s="8"/>
      <c r="F566" s="8"/>
      <c r="G566" s="10"/>
      <c r="H566" s="10"/>
      <c r="I566" s="10"/>
      <c r="J566" s="10"/>
      <c r="K566" s="10"/>
      <c r="L566" s="10"/>
      <c r="M566" s="10"/>
      <c r="N566" s="11"/>
      <c r="O566" s="8"/>
      <c r="P566" s="9"/>
      <c r="Q566" s="8"/>
      <c r="R566" s="9"/>
      <c r="S566" s="8"/>
      <c r="T566" s="8"/>
      <c r="U566" s="8"/>
      <c r="V566" s="11"/>
      <c r="W566" s="8"/>
      <c r="X566" s="8"/>
      <c r="Y566" s="9"/>
      <c r="Z566" s="8"/>
    </row>
    <row r="567" spans="1:26" x14ac:dyDescent="0.15">
      <c r="A567" s="8"/>
      <c r="B567" s="8"/>
      <c r="C567" s="8"/>
      <c r="D567" s="8"/>
      <c r="E567" s="8"/>
      <c r="F567" s="8"/>
      <c r="G567" s="10"/>
      <c r="H567" s="10"/>
      <c r="I567" s="10"/>
      <c r="J567" s="10"/>
      <c r="K567" s="10"/>
      <c r="L567" s="10"/>
      <c r="M567" s="10"/>
      <c r="N567" s="11"/>
      <c r="O567" s="8"/>
      <c r="P567" s="9"/>
      <c r="Q567" s="8"/>
      <c r="R567" s="9"/>
      <c r="S567" s="8"/>
      <c r="T567" s="8"/>
      <c r="U567" s="8"/>
      <c r="V567" s="11"/>
      <c r="W567" s="8"/>
      <c r="X567" s="8"/>
      <c r="Y567" s="9"/>
      <c r="Z567" s="8"/>
    </row>
    <row r="568" spans="1:26" x14ac:dyDescent="0.15">
      <c r="A568" s="8"/>
      <c r="B568" s="8"/>
      <c r="C568" s="8"/>
      <c r="D568" s="8"/>
      <c r="E568" s="8"/>
      <c r="F568" s="8"/>
      <c r="G568" s="10"/>
      <c r="H568" s="10"/>
      <c r="I568" s="10"/>
      <c r="J568" s="10"/>
      <c r="K568" s="10"/>
      <c r="L568" s="10"/>
      <c r="M568" s="10"/>
      <c r="N568" s="11"/>
      <c r="O568" s="8"/>
      <c r="P568" s="9"/>
      <c r="Q568" s="8"/>
      <c r="R568" s="9"/>
      <c r="S568" s="8"/>
      <c r="T568" s="8"/>
      <c r="U568" s="8"/>
      <c r="V568" s="11"/>
      <c r="W568" s="8"/>
      <c r="X568" s="8"/>
      <c r="Y568" s="9"/>
      <c r="Z568" s="8"/>
    </row>
    <row r="569" spans="1:26" x14ac:dyDescent="0.15">
      <c r="A569" s="8"/>
      <c r="B569" s="8"/>
      <c r="C569" s="8"/>
      <c r="D569" s="8"/>
      <c r="E569" s="8"/>
      <c r="F569" s="8"/>
      <c r="G569" s="10"/>
      <c r="H569" s="10"/>
      <c r="I569" s="10"/>
      <c r="J569" s="10"/>
      <c r="K569" s="10"/>
      <c r="L569" s="10"/>
      <c r="M569" s="10"/>
      <c r="N569" s="11"/>
      <c r="O569" s="8"/>
      <c r="P569" s="9"/>
      <c r="Q569" s="8"/>
      <c r="R569" s="9"/>
      <c r="S569" s="8"/>
      <c r="T569" s="8"/>
      <c r="U569" s="8"/>
      <c r="V569" s="11"/>
      <c r="W569" s="8"/>
      <c r="X569" s="8"/>
      <c r="Y569" s="9"/>
      <c r="Z569" s="8"/>
    </row>
    <row r="570" spans="1:26" x14ac:dyDescent="0.15">
      <c r="A570" s="8"/>
      <c r="B570" s="8"/>
      <c r="C570" s="8"/>
      <c r="D570" s="8"/>
      <c r="E570" s="8"/>
      <c r="F570" s="8"/>
      <c r="G570" s="10"/>
      <c r="H570" s="10"/>
      <c r="I570" s="10"/>
      <c r="J570" s="10"/>
      <c r="K570" s="10"/>
      <c r="L570" s="10"/>
      <c r="M570" s="10"/>
      <c r="N570" s="11"/>
      <c r="O570" s="8"/>
      <c r="P570" s="9"/>
      <c r="Q570" s="8"/>
      <c r="R570" s="9"/>
      <c r="S570" s="8"/>
      <c r="T570" s="8"/>
      <c r="U570" s="8"/>
      <c r="V570" s="11"/>
      <c r="W570" s="8"/>
      <c r="X570" s="8"/>
      <c r="Y570" s="9"/>
      <c r="Z570" s="8"/>
    </row>
    <row r="571" spans="1:26" x14ac:dyDescent="0.15">
      <c r="A571" s="8"/>
      <c r="B571" s="8"/>
      <c r="C571" s="8"/>
      <c r="D571" s="8"/>
      <c r="E571" s="8"/>
      <c r="F571" s="8"/>
      <c r="G571" s="10"/>
      <c r="H571" s="10"/>
      <c r="I571" s="10"/>
      <c r="J571" s="10"/>
      <c r="K571" s="10"/>
      <c r="L571" s="10"/>
      <c r="M571" s="10"/>
      <c r="N571" s="11"/>
      <c r="O571" s="8"/>
      <c r="P571" s="9"/>
      <c r="Q571" s="8"/>
      <c r="R571" s="9"/>
      <c r="S571" s="8"/>
      <c r="T571" s="8"/>
      <c r="U571" s="8"/>
      <c r="V571" s="11"/>
      <c r="W571" s="8"/>
      <c r="X571" s="8"/>
      <c r="Y571" s="9"/>
      <c r="Z571" s="8"/>
    </row>
    <row r="572" spans="1:26" x14ac:dyDescent="0.15">
      <c r="A572" s="8"/>
      <c r="B572" s="8"/>
      <c r="C572" s="8"/>
      <c r="D572" s="8"/>
      <c r="E572" s="8"/>
      <c r="F572" s="8"/>
      <c r="G572" s="10"/>
      <c r="H572" s="10"/>
      <c r="I572" s="10"/>
      <c r="J572" s="10"/>
      <c r="K572" s="10"/>
      <c r="L572" s="10"/>
      <c r="M572" s="10"/>
      <c r="N572" s="11"/>
      <c r="O572" s="8"/>
      <c r="P572" s="9"/>
      <c r="Q572" s="8"/>
      <c r="R572" s="9"/>
      <c r="S572" s="8"/>
      <c r="T572" s="8"/>
      <c r="U572" s="8"/>
      <c r="V572" s="11"/>
      <c r="W572" s="8"/>
      <c r="X572" s="8"/>
      <c r="Y572" s="9"/>
      <c r="Z572" s="8"/>
    </row>
    <row r="573" spans="1:26" x14ac:dyDescent="0.15">
      <c r="A573" s="8"/>
      <c r="B573" s="8"/>
      <c r="C573" s="8"/>
      <c r="D573" s="8"/>
      <c r="E573" s="8"/>
      <c r="F573" s="8"/>
      <c r="G573" s="10"/>
      <c r="H573" s="10"/>
      <c r="I573" s="10"/>
      <c r="J573" s="10"/>
      <c r="K573" s="10"/>
      <c r="L573" s="10"/>
      <c r="M573" s="10"/>
      <c r="N573" s="11"/>
      <c r="O573" s="8"/>
      <c r="P573" s="9"/>
      <c r="Q573" s="8"/>
      <c r="R573" s="9"/>
      <c r="S573" s="8"/>
      <c r="T573" s="8"/>
      <c r="U573" s="8"/>
      <c r="V573" s="11"/>
      <c r="W573" s="8"/>
      <c r="X573" s="8"/>
      <c r="Y573" s="9"/>
      <c r="Z573" s="8"/>
    </row>
    <row r="574" spans="1:26" x14ac:dyDescent="0.15">
      <c r="A574" s="8"/>
      <c r="B574" s="8"/>
      <c r="C574" s="8"/>
      <c r="D574" s="8"/>
      <c r="E574" s="8"/>
      <c r="F574" s="8"/>
      <c r="G574" s="10"/>
      <c r="H574" s="10"/>
      <c r="I574" s="10"/>
      <c r="J574" s="10"/>
      <c r="K574" s="10"/>
      <c r="L574" s="10"/>
      <c r="M574" s="10"/>
      <c r="N574" s="11"/>
      <c r="O574" s="8"/>
      <c r="P574" s="9"/>
      <c r="Q574" s="8"/>
      <c r="R574" s="9"/>
      <c r="S574" s="8"/>
      <c r="T574" s="8"/>
      <c r="U574" s="8"/>
      <c r="V574" s="11"/>
      <c r="W574" s="8"/>
      <c r="X574" s="8"/>
      <c r="Y574" s="9"/>
      <c r="Z574" s="8"/>
    </row>
    <row r="575" spans="1:26" x14ac:dyDescent="0.15">
      <c r="A575" s="8"/>
      <c r="B575" s="8"/>
      <c r="C575" s="8"/>
      <c r="D575" s="8"/>
      <c r="E575" s="8"/>
      <c r="F575" s="8"/>
      <c r="G575" s="10"/>
      <c r="H575" s="10"/>
      <c r="I575" s="10"/>
      <c r="J575" s="10"/>
      <c r="K575" s="10"/>
      <c r="L575" s="10"/>
      <c r="M575" s="10"/>
      <c r="N575" s="11"/>
      <c r="O575" s="8"/>
      <c r="P575" s="9"/>
      <c r="Q575" s="8"/>
      <c r="R575" s="9"/>
      <c r="S575" s="8"/>
      <c r="T575" s="8"/>
      <c r="U575" s="8"/>
      <c r="V575" s="11"/>
      <c r="W575" s="8"/>
      <c r="X575" s="8"/>
      <c r="Y575" s="9"/>
      <c r="Z575" s="8"/>
    </row>
    <row r="576" spans="1:26" x14ac:dyDescent="0.15">
      <c r="A576" s="8"/>
      <c r="B576" s="8"/>
      <c r="C576" s="8"/>
      <c r="D576" s="8"/>
      <c r="E576" s="8"/>
      <c r="F576" s="8"/>
      <c r="G576" s="10"/>
      <c r="H576" s="10"/>
      <c r="I576" s="10"/>
      <c r="J576" s="10"/>
      <c r="K576" s="10"/>
      <c r="L576" s="10"/>
      <c r="M576" s="10"/>
      <c r="N576" s="11"/>
      <c r="O576" s="8"/>
      <c r="P576" s="9"/>
      <c r="Q576" s="8"/>
      <c r="R576" s="9"/>
      <c r="S576" s="8"/>
      <c r="T576" s="8"/>
      <c r="U576" s="8"/>
      <c r="V576" s="11"/>
      <c r="W576" s="8"/>
      <c r="X576" s="8"/>
      <c r="Y576" s="9"/>
      <c r="Z576" s="8"/>
    </row>
    <row r="577" spans="1:26" x14ac:dyDescent="0.15">
      <c r="A577" s="8"/>
      <c r="B577" s="8"/>
      <c r="C577" s="8"/>
      <c r="D577" s="8"/>
      <c r="E577" s="8"/>
      <c r="F577" s="8"/>
      <c r="G577" s="10"/>
      <c r="H577" s="10"/>
      <c r="I577" s="10"/>
      <c r="J577" s="10"/>
      <c r="K577" s="10"/>
      <c r="L577" s="10"/>
      <c r="M577" s="10"/>
      <c r="N577" s="11"/>
      <c r="O577" s="8"/>
      <c r="P577" s="9"/>
      <c r="Q577" s="8"/>
      <c r="R577" s="9"/>
      <c r="S577" s="8"/>
      <c r="T577" s="8"/>
      <c r="U577" s="8"/>
      <c r="V577" s="11"/>
      <c r="W577" s="8"/>
      <c r="X577" s="8"/>
      <c r="Y577" s="9"/>
      <c r="Z577" s="8"/>
    </row>
    <row r="578" spans="1:26" x14ac:dyDescent="0.15">
      <c r="A578" s="8"/>
      <c r="B578" s="8"/>
      <c r="C578" s="8"/>
      <c r="D578" s="8"/>
      <c r="E578" s="8"/>
      <c r="F578" s="8"/>
      <c r="G578" s="10"/>
      <c r="H578" s="10"/>
      <c r="I578" s="10"/>
      <c r="J578" s="10"/>
      <c r="K578" s="10"/>
      <c r="L578" s="10"/>
      <c r="M578" s="10"/>
      <c r="N578" s="11"/>
      <c r="O578" s="8"/>
      <c r="P578" s="9"/>
      <c r="Q578" s="8"/>
      <c r="R578" s="9"/>
      <c r="S578" s="8"/>
      <c r="T578" s="8"/>
      <c r="U578" s="8"/>
      <c r="V578" s="11"/>
      <c r="W578" s="8"/>
      <c r="X578" s="8"/>
      <c r="Y578" s="9"/>
      <c r="Z578" s="8"/>
    </row>
    <row r="579" spans="1:26" outlineLevel="1" x14ac:dyDescent="0.15">
      <c r="A579" s="8"/>
      <c r="B579" s="8"/>
      <c r="C579" s="8"/>
      <c r="D579" s="8"/>
      <c r="E579" s="8"/>
      <c r="F579" s="8"/>
      <c r="G579" s="10"/>
      <c r="H579" s="10"/>
      <c r="I579" s="10"/>
      <c r="J579" s="10"/>
      <c r="K579" s="10"/>
      <c r="L579" s="10"/>
      <c r="M579" s="10"/>
      <c r="N579" s="11"/>
      <c r="O579" s="8"/>
      <c r="P579" s="9"/>
      <c r="Q579" s="8"/>
      <c r="R579" s="9"/>
      <c r="S579" s="8"/>
      <c r="T579" s="8"/>
      <c r="U579" s="8"/>
      <c r="V579" s="11"/>
      <c r="W579" s="8"/>
      <c r="X579" s="8"/>
      <c r="Y579" s="9"/>
      <c r="Z579" s="8"/>
    </row>
    <row r="580" spans="1:26" outlineLevel="1" x14ac:dyDescent="0.15">
      <c r="A580" s="8"/>
      <c r="B580" s="8"/>
      <c r="C580" s="8"/>
      <c r="D580" s="8"/>
      <c r="E580" s="8"/>
      <c r="F580" s="8"/>
      <c r="G580" s="10"/>
      <c r="H580" s="10"/>
      <c r="I580" s="10"/>
      <c r="J580" s="10"/>
      <c r="K580" s="10"/>
      <c r="L580" s="10"/>
      <c r="M580" s="10"/>
      <c r="N580" s="11"/>
      <c r="O580" s="8"/>
      <c r="P580" s="9"/>
      <c r="Q580" s="8"/>
      <c r="R580" s="9"/>
      <c r="S580" s="8"/>
      <c r="T580" s="8"/>
      <c r="U580" s="8"/>
      <c r="V580" s="11"/>
      <c r="W580" s="8"/>
      <c r="X580" s="8"/>
      <c r="Y580" s="9"/>
      <c r="Z580" s="8"/>
    </row>
    <row r="581" spans="1:26" outlineLevel="1" x14ac:dyDescent="0.15">
      <c r="A581" s="8"/>
      <c r="B581" s="8"/>
      <c r="C581" s="8"/>
      <c r="D581" s="8"/>
      <c r="E581" s="8"/>
      <c r="F581" s="8"/>
      <c r="G581" s="10"/>
      <c r="H581" s="10"/>
      <c r="I581" s="10"/>
      <c r="J581" s="10"/>
      <c r="K581" s="10"/>
      <c r="L581" s="10"/>
      <c r="M581" s="10"/>
      <c r="N581" s="11"/>
      <c r="O581" s="8"/>
      <c r="P581" s="9"/>
      <c r="Q581" s="8"/>
      <c r="R581" s="9"/>
      <c r="S581" s="8"/>
      <c r="T581" s="8"/>
      <c r="U581" s="8"/>
      <c r="V581" s="11"/>
      <c r="W581" s="8"/>
      <c r="X581" s="8"/>
      <c r="Y581" s="9"/>
      <c r="Z581" s="8"/>
    </row>
    <row r="582" spans="1:26" outlineLevel="1" x14ac:dyDescent="0.15">
      <c r="A582" s="8"/>
      <c r="B582" s="8"/>
      <c r="C582" s="8"/>
      <c r="D582" s="8"/>
      <c r="E582" s="8"/>
      <c r="F582" s="8"/>
      <c r="G582" s="10"/>
      <c r="H582" s="10"/>
      <c r="I582" s="10"/>
      <c r="J582" s="10"/>
      <c r="K582" s="10"/>
      <c r="L582" s="10"/>
      <c r="M582" s="10"/>
      <c r="N582" s="11"/>
      <c r="O582" s="8"/>
      <c r="P582" s="9"/>
      <c r="Q582" s="8"/>
      <c r="R582" s="9"/>
      <c r="S582" s="8"/>
      <c r="T582" s="8"/>
      <c r="U582" s="8"/>
      <c r="V582" s="11"/>
      <c r="W582" s="8"/>
      <c r="X582" s="8"/>
      <c r="Y582" s="9"/>
      <c r="Z582" s="8"/>
    </row>
    <row r="583" spans="1:26" outlineLevel="1" x14ac:dyDescent="0.15">
      <c r="A583" s="8"/>
      <c r="B583" s="8"/>
      <c r="C583" s="8"/>
      <c r="D583" s="8"/>
      <c r="E583" s="8"/>
      <c r="F583" s="8"/>
      <c r="G583" s="10"/>
      <c r="H583" s="10"/>
      <c r="I583" s="10"/>
      <c r="J583" s="10"/>
      <c r="K583" s="10"/>
      <c r="L583" s="10"/>
      <c r="M583" s="10"/>
      <c r="N583" s="11"/>
      <c r="O583" s="8"/>
      <c r="P583" s="9"/>
      <c r="Q583" s="8"/>
      <c r="R583" s="9"/>
      <c r="S583" s="8"/>
      <c r="T583" s="8"/>
      <c r="U583" s="8"/>
      <c r="V583" s="11"/>
      <c r="W583" s="8"/>
      <c r="X583" s="8"/>
      <c r="Y583" s="9"/>
      <c r="Z583" s="8"/>
    </row>
    <row r="584" spans="1:26" outlineLevel="1" x14ac:dyDescent="0.15">
      <c r="A584" s="8"/>
      <c r="B584" s="8"/>
      <c r="C584" s="8"/>
      <c r="D584" s="8"/>
      <c r="E584" s="8"/>
      <c r="F584" s="8"/>
      <c r="G584" s="10"/>
      <c r="H584" s="10"/>
      <c r="I584" s="10"/>
      <c r="J584" s="10"/>
      <c r="K584" s="10"/>
      <c r="L584" s="10"/>
      <c r="M584" s="10"/>
      <c r="N584" s="11"/>
      <c r="O584" s="8"/>
      <c r="P584" s="9"/>
      <c r="Q584" s="8"/>
      <c r="R584" s="9"/>
      <c r="S584" s="8"/>
      <c r="T584" s="8"/>
      <c r="U584" s="8"/>
      <c r="V584" s="11"/>
      <c r="W584" s="8"/>
      <c r="X584" s="8"/>
      <c r="Y584" s="9"/>
      <c r="Z584" s="8"/>
    </row>
    <row r="585" spans="1:26" outlineLevel="1" x14ac:dyDescent="0.15">
      <c r="A585" s="8"/>
      <c r="B585" s="8"/>
      <c r="C585" s="8"/>
      <c r="D585" s="8"/>
      <c r="E585" s="8"/>
      <c r="F585" s="8"/>
      <c r="G585" s="10"/>
      <c r="H585" s="10"/>
      <c r="I585" s="10"/>
      <c r="J585" s="10"/>
      <c r="K585" s="10"/>
      <c r="L585" s="10"/>
      <c r="M585" s="10"/>
      <c r="N585" s="11"/>
      <c r="O585" s="8"/>
      <c r="P585" s="9"/>
      <c r="Q585" s="8"/>
      <c r="R585" s="9"/>
      <c r="S585" s="8"/>
      <c r="T585" s="8"/>
      <c r="U585" s="8"/>
      <c r="V585" s="11"/>
      <c r="W585" s="8"/>
      <c r="X585" s="8"/>
      <c r="Y585" s="9"/>
      <c r="Z585" s="8"/>
    </row>
    <row r="586" spans="1:26" outlineLevel="1" x14ac:dyDescent="0.15">
      <c r="A586" s="8"/>
      <c r="B586" s="8"/>
      <c r="C586" s="8"/>
      <c r="D586" s="8"/>
      <c r="E586" s="8"/>
      <c r="F586" s="8"/>
      <c r="G586" s="10"/>
      <c r="H586" s="10"/>
      <c r="I586" s="10"/>
      <c r="J586" s="10"/>
      <c r="K586" s="10"/>
      <c r="L586" s="10"/>
      <c r="M586" s="10"/>
      <c r="N586" s="11"/>
      <c r="O586" s="8"/>
      <c r="P586" s="9"/>
      <c r="Q586" s="8"/>
      <c r="R586" s="9"/>
      <c r="S586" s="8"/>
      <c r="T586" s="8"/>
      <c r="U586" s="8"/>
      <c r="V586" s="11"/>
      <c r="W586" s="8"/>
      <c r="X586" s="8"/>
      <c r="Y586" s="9"/>
      <c r="Z586" s="8"/>
    </row>
    <row r="587" spans="1:26" outlineLevel="1" x14ac:dyDescent="0.15">
      <c r="A587" s="8"/>
      <c r="B587" s="8"/>
      <c r="C587" s="8"/>
      <c r="D587" s="8"/>
      <c r="E587" s="8"/>
      <c r="F587" s="8"/>
      <c r="G587" s="10"/>
      <c r="H587" s="10"/>
      <c r="I587" s="10"/>
      <c r="J587" s="10"/>
      <c r="K587" s="10"/>
      <c r="L587" s="10"/>
      <c r="M587" s="10"/>
      <c r="N587" s="11"/>
      <c r="O587" s="8"/>
      <c r="P587" s="9"/>
      <c r="Q587" s="8"/>
      <c r="R587" s="9"/>
      <c r="S587" s="8"/>
      <c r="T587" s="8"/>
      <c r="U587" s="8"/>
      <c r="V587" s="11"/>
      <c r="W587" s="8"/>
      <c r="X587" s="8"/>
      <c r="Y587" s="9"/>
      <c r="Z587" s="8"/>
    </row>
    <row r="588" spans="1:26" x14ac:dyDescent="0.15">
      <c r="A588" s="8"/>
      <c r="B588" s="8"/>
      <c r="C588" s="8"/>
      <c r="D588" s="8"/>
      <c r="E588" s="8"/>
      <c r="F588" s="8"/>
      <c r="G588" s="10"/>
      <c r="H588" s="10"/>
      <c r="I588" s="10"/>
      <c r="J588" s="10"/>
      <c r="K588" s="10"/>
      <c r="L588" s="10"/>
      <c r="M588" s="10"/>
      <c r="N588" s="11"/>
      <c r="O588" s="8"/>
      <c r="P588" s="9"/>
      <c r="Q588" s="8"/>
      <c r="R588" s="9"/>
      <c r="S588" s="8"/>
      <c r="T588" s="8"/>
      <c r="U588" s="8"/>
      <c r="V588" s="11"/>
      <c r="W588" s="8"/>
      <c r="X588" s="8"/>
      <c r="Y588" s="9"/>
      <c r="Z588" s="8"/>
    </row>
    <row r="589" spans="1:26" x14ac:dyDescent="0.15">
      <c r="A589" s="8"/>
      <c r="B589" s="8"/>
      <c r="C589" s="8"/>
      <c r="D589" s="8"/>
      <c r="E589" s="8"/>
      <c r="F589" s="8"/>
      <c r="G589" s="10"/>
      <c r="H589" s="10"/>
      <c r="I589" s="10"/>
      <c r="J589" s="10"/>
      <c r="K589" s="10"/>
      <c r="L589" s="10"/>
      <c r="M589" s="10"/>
      <c r="N589" s="11"/>
      <c r="O589" s="8"/>
      <c r="P589" s="9"/>
      <c r="Q589" s="8"/>
      <c r="R589" s="9"/>
      <c r="S589" s="8"/>
      <c r="T589" s="8"/>
      <c r="U589" s="8"/>
      <c r="V589" s="11"/>
      <c r="W589" s="8"/>
      <c r="X589" s="8"/>
      <c r="Y589" s="9"/>
      <c r="Z589" s="8"/>
    </row>
    <row r="590" spans="1:26" x14ac:dyDescent="0.15">
      <c r="A590" s="8"/>
      <c r="B590" s="8"/>
      <c r="C590" s="8"/>
      <c r="D590" s="8"/>
      <c r="E590" s="8"/>
      <c r="F590" s="8"/>
      <c r="G590" s="10"/>
      <c r="H590" s="10"/>
      <c r="I590" s="10"/>
      <c r="J590" s="10"/>
      <c r="K590" s="10"/>
      <c r="L590" s="10"/>
      <c r="M590" s="10"/>
      <c r="N590" s="11"/>
      <c r="O590" s="8"/>
      <c r="P590" s="9"/>
      <c r="Q590" s="8"/>
      <c r="R590" s="9"/>
      <c r="S590" s="8"/>
      <c r="T590" s="8"/>
      <c r="U590" s="8"/>
      <c r="V590" s="11"/>
      <c r="W590" s="8"/>
      <c r="X590" s="8"/>
      <c r="Y590" s="9"/>
      <c r="Z590" s="8"/>
    </row>
    <row r="591" spans="1:26" x14ac:dyDescent="0.15">
      <c r="A591" s="8"/>
      <c r="B591" s="8"/>
      <c r="C591" s="8"/>
      <c r="D591" s="8"/>
      <c r="E591" s="8"/>
      <c r="F591" s="8"/>
      <c r="G591" s="10"/>
      <c r="H591" s="10"/>
      <c r="I591" s="10"/>
      <c r="J591" s="10"/>
      <c r="K591" s="10"/>
      <c r="L591" s="10"/>
      <c r="M591" s="10"/>
      <c r="N591" s="11"/>
      <c r="O591" s="8"/>
      <c r="P591" s="9"/>
      <c r="Q591" s="8"/>
      <c r="R591" s="9"/>
      <c r="S591" s="8"/>
      <c r="T591" s="8"/>
      <c r="U591" s="8"/>
      <c r="V591" s="11"/>
      <c r="W591" s="8"/>
      <c r="X591" s="8"/>
      <c r="Y591" s="9"/>
      <c r="Z591" s="8"/>
    </row>
    <row r="592" spans="1:26" x14ac:dyDescent="0.15">
      <c r="A592" s="8"/>
      <c r="B592" s="8"/>
      <c r="C592" s="8"/>
      <c r="D592" s="8"/>
      <c r="E592" s="8"/>
      <c r="F592" s="8"/>
      <c r="G592" s="10"/>
      <c r="H592" s="10"/>
      <c r="I592" s="10"/>
      <c r="J592" s="10"/>
      <c r="K592" s="10"/>
      <c r="L592" s="10"/>
      <c r="M592" s="10"/>
      <c r="N592" s="11"/>
      <c r="O592" s="8"/>
      <c r="P592" s="9"/>
      <c r="Q592" s="8"/>
      <c r="R592" s="9"/>
      <c r="S592" s="8"/>
      <c r="T592" s="8"/>
      <c r="U592" s="8"/>
      <c r="V592" s="11"/>
      <c r="W592" s="8"/>
      <c r="X592" s="8"/>
      <c r="Y592" s="9"/>
      <c r="Z592" s="8"/>
    </row>
    <row r="593" spans="1:26" x14ac:dyDescent="0.15">
      <c r="A593" s="8"/>
      <c r="B593" s="8"/>
      <c r="C593" s="8"/>
      <c r="D593" s="8"/>
      <c r="E593" s="8"/>
      <c r="F593" s="8"/>
      <c r="G593" s="10"/>
      <c r="H593" s="10"/>
      <c r="I593" s="10"/>
      <c r="J593" s="10"/>
      <c r="K593" s="10"/>
      <c r="L593" s="10"/>
      <c r="M593" s="10"/>
      <c r="N593" s="11"/>
      <c r="O593" s="8"/>
      <c r="P593" s="9"/>
      <c r="Q593" s="8"/>
      <c r="R593" s="9"/>
      <c r="S593" s="8"/>
      <c r="T593" s="8"/>
      <c r="U593" s="8"/>
      <c r="V593" s="11"/>
      <c r="W593" s="8"/>
      <c r="X593" s="8"/>
      <c r="Y593" s="9"/>
      <c r="Z593" s="8"/>
    </row>
    <row r="594" spans="1:26" x14ac:dyDescent="0.15">
      <c r="A594" s="8"/>
      <c r="B594" s="8"/>
      <c r="C594" s="8"/>
      <c r="D594" s="8"/>
      <c r="E594" s="8"/>
      <c r="F594" s="8"/>
      <c r="G594" s="10"/>
      <c r="H594" s="10"/>
      <c r="I594" s="10"/>
      <c r="J594" s="10"/>
      <c r="K594" s="10"/>
      <c r="L594" s="10"/>
      <c r="M594" s="10"/>
      <c r="N594" s="11"/>
      <c r="O594" s="8"/>
      <c r="P594" s="9"/>
      <c r="Q594" s="8"/>
      <c r="R594" s="9"/>
      <c r="S594" s="8"/>
      <c r="T594" s="8"/>
      <c r="U594" s="8"/>
      <c r="V594" s="11"/>
      <c r="W594" s="8"/>
      <c r="X594" s="8"/>
      <c r="Y594" s="9"/>
      <c r="Z594" s="8"/>
    </row>
    <row r="595" spans="1:26" x14ac:dyDescent="0.15">
      <c r="A595" s="8"/>
      <c r="B595" s="8"/>
      <c r="C595" s="8"/>
      <c r="D595" s="8"/>
      <c r="E595" s="8"/>
      <c r="F595" s="8"/>
      <c r="G595" s="10"/>
      <c r="H595" s="10"/>
      <c r="I595" s="10"/>
      <c r="J595" s="10"/>
      <c r="K595" s="10"/>
      <c r="L595" s="10"/>
      <c r="M595" s="10"/>
      <c r="N595" s="11"/>
      <c r="O595" s="8"/>
      <c r="P595" s="9"/>
      <c r="Q595" s="8"/>
      <c r="R595" s="9"/>
      <c r="S595" s="8"/>
      <c r="T595" s="8"/>
      <c r="U595" s="8"/>
      <c r="V595" s="11"/>
      <c r="W595" s="8"/>
      <c r="X595" s="8"/>
      <c r="Y595" s="9"/>
      <c r="Z595" s="8"/>
    </row>
    <row r="596" spans="1:26" x14ac:dyDescent="0.15">
      <c r="A596" s="8"/>
      <c r="B596" s="8"/>
      <c r="C596" s="8"/>
      <c r="D596" s="8"/>
      <c r="E596" s="8"/>
      <c r="F596" s="8"/>
      <c r="G596" s="10"/>
      <c r="H596" s="10"/>
      <c r="I596" s="10"/>
      <c r="J596" s="10"/>
      <c r="K596" s="10"/>
      <c r="L596" s="10"/>
      <c r="M596" s="10"/>
      <c r="N596" s="11"/>
      <c r="O596" s="8"/>
      <c r="P596" s="9"/>
      <c r="Q596" s="8"/>
      <c r="R596" s="9"/>
      <c r="S596" s="8"/>
      <c r="T596" s="8"/>
      <c r="U596" s="8"/>
      <c r="V596" s="11"/>
      <c r="W596" s="8"/>
      <c r="X596" s="8"/>
      <c r="Y596" s="9"/>
      <c r="Z596" s="8"/>
    </row>
    <row r="597" spans="1:26" outlineLevel="1" x14ac:dyDescent="0.15">
      <c r="A597" s="8"/>
      <c r="B597" s="8"/>
      <c r="C597" s="8"/>
      <c r="D597" s="8"/>
      <c r="E597" s="8"/>
      <c r="F597" s="8"/>
      <c r="G597" s="10"/>
      <c r="H597" s="10"/>
      <c r="I597" s="10"/>
      <c r="J597" s="10"/>
      <c r="K597" s="10"/>
      <c r="L597" s="10"/>
      <c r="M597" s="10"/>
      <c r="N597" s="11"/>
      <c r="O597" s="8"/>
      <c r="P597" s="9"/>
      <c r="Q597" s="8"/>
      <c r="R597" s="9"/>
      <c r="S597" s="8"/>
      <c r="T597" s="8"/>
      <c r="U597" s="8"/>
      <c r="V597" s="11"/>
      <c r="W597" s="8"/>
      <c r="X597" s="8"/>
      <c r="Y597" s="9"/>
      <c r="Z597" s="8"/>
    </row>
    <row r="598" spans="1:26" outlineLevel="1" x14ac:dyDescent="0.15">
      <c r="A598" s="8"/>
      <c r="B598" s="8"/>
      <c r="C598" s="8"/>
      <c r="D598" s="8"/>
      <c r="E598" s="8"/>
      <c r="F598" s="8"/>
      <c r="G598" s="10"/>
      <c r="H598" s="10"/>
      <c r="I598" s="10"/>
      <c r="J598" s="10"/>
      <c r="K598" s="10"/>
      <c r="L598" s="10"/>
      <c r="M598" s="10"/>
      <c r="N598" s="11"/>
      <c r="O598" s="8"/>
      <c r="P598" s="9"/>
      <c r="Q598" s="8"/>
      <c r="R598" s="9"/>
      <c r="S598" s="8"/>
      <c r="T598" s="8"/>
      <c r="U598" s="8"/>
      <c r="V598" s="11"/>
      <c r="W598" s="8"/>
      <c r="X598" s="8"/>
      <c r="Y598" s="9"/>
      <c r="Z598" s="8"/>
    </row>
    <row r="599" spans="1:26" outlineLevel="1" x14ac:dyDescent="0.15">
      <c r="A599" s="8"/>
      <c r="B599" s="8"/>
      <c r="C599" s="8"/>
      <c r="D599" s="8"/>
      <c r="E599" s="8"/>
      <c r="F599" s="8"/>
      <c r="G599" s="10"/>
      <c r="H599" s="10"/>
      <c r="I599" s="10"/>
      <c r="J599" s="10"/>
      <c r="K599" s="10"/>
      <c r="L599" s="10"/>
      <c r="M599" s="10"/>
      <c r="N599" s="11"/>
      <c r="O599" s="8"/>
      <c r="P599" s="9"/>
      <c r="Q599" s="8"/>
      <c r="R599" s="9"/>
      <c r="S599" s="8"/>
      <c r="T599" s="8"/>
      <c r="U599" s="8"/>
      <c r="V599" s="11"/>
      <c r="W599" s="8"/>
      <c r="X599" s="8"/>
      <c r="Y599" s="9"/>
      <c r="Z599" s="8"/>
    </row>
    <row r="600" spans="1:26" outlineLevel="1" x14ac:dyDescent="0.15">
      <c r="A600" s="8"/>
      <c r="B600" s="8"/>
      <c r="C600" s="8"/>
      <c r="D600" s="8"/>
      <c r="E600" s="8"/>
      <c r="F600" s="8"/>
      <c r="G600" s="10"/>
      <c r="H600" s="10"/>
      <c r="I600" s="10"/>
      <c r="J600" s="10"/>
      <c r="K600" s="10"/>
      <c r="L600" s="10"/>
      <c r="M600" s="10"/>
      <c r="N600" s="11"/>
      <c r="O600" s="8"/>
      <c r="P600" s="9"/>
      <c r="Q600" s="8"/>
      <c r="R600" s="9"/>
      <c r="S600" s="8"/>
      <c r="T600" s="8"/>
      <c r="U600" s="8"/>
      <c r="V600" s="11"/>
      <c r="W600" s="8"/>
      <c r="X600" s="8"/>
      <c r="Y600" s="9"/>
      <c r="Z600" s="8"/>
    </row>
    <row r="601" spans="1:26" x14ac:dyDescent="0.15">
      <c r="A601" s="8"/>
      <c r="B601" s="8"/>
      <c r="C601" s="8"/>
      <c r="D601" s="8"/>
      <c r="E601" s="8"/>
      <c r="F601" s="8"/>
      <c r="G601" s="10"/>
      <c r="H601" s="10"/>
      <c r="I601" s="10"/>
      <c r="J601" s="10"/>
      <c r="K601" s="10"/>
      <c r="L601" s="10"/>
      <c r="M601" s="10"/>
      <c r="N601" s="11"/>
      <c r="O601" s="8"/>
      <c r="P601" s="9"/>
      <c r="Q601" s="8"/>
      <c r="R601" s="9"/>
      <c r="S601" s="8"/>
      <c r="T601" s="8"/>
      <c r="U601" s="8"/>
      <c r="V601" s="11"/>
      <c r="W601" s="8"/>
      <c r="X601" s="8"/>
      <c r="Y601" s="9"/>
      <c r="Z601" s="8"/>
    </row>
    <row r="602" spans="1:26" x14ac:dyDescent="0.15">
      <c r="A602" s="8"/>
      <c r="B602" s="8"/>
      <c r="C602" s="8"/>
      <c r="D602" s="8"/>
      <c r="E602" s="8"/>
      <c r="F602" s="8"/>
      <c r="G602" s="10"/>
      <c r="H602" s="10"/>
      <c r="I602" s="10"/>
      <c r="J602" s="10"/>
      <c r="K602" s="10"/>
      <c r="L602" s="10"/>
      <c r="M602" s="10"/>
      <c r="N602" s="11"/>
      <c r="O602" s="8"/>
      <c r="P602" s="9"/>
      <c r="Q602" s="8"/>
      <c r="R602" s="9"/>
      <c r="S602" s="8"/>
      <c r="T602" s="8"/>
      <c r="U602" s="8"/>
      <c r="V602" s="11"/>
      <c r="W602" s="8"/>
      <c r="X602" s="8"/>
      <c r="Y602" s="9"/>
      <c r="Z602" s="8"/>
    </row>
    <row r="603" spans="1:26" x14ac:dyDescent="0.15">
      <c r="A603" s="8"/>
      <c r="B603" s="8"/>
      <c r="C603" s="8"/>
      <c r="D603" s="8"/>
      <c r="E603" s="8"/>
      <c r="F603" s="8"/>
      <c r="G603" s="10"/>
      <c r="H603" s="10"/>
      <c r="I603" s="10"/>
      <c r="J603" s="10"/>
      <c r="K603" s="10"/>
      <c r="L603" s="10"/>
      <c r="M603" s="10"/>
      <c r="N603" s="11"/>
      <c r="O603" s="8"/>
      <c r="P603" s="9"/>
      <c r="Q603" s="8"/>
      <c r="R603" s="9"/>
      <c r="S603" s="8"/>
      <c r="T603" s="8"/>
      <c r="U603" s="8"/>
      <c r="V603" s="11"/>
      <c r="W603" s="8"/>
      <c r="X603" s="8"/>
      <c r="Y603" s="9"/>
      <c r="Z603" s="8"/>
    </row>
    <row r="604" spans="1:26" x14ac:dyDescent="0.15">
      <c r="A604" s="8"/>
      <c r="B604" s="8"/>
      <c r="C604" s="8"/>
      <c r="D604" s="8"/>
      <c r="E604" s="8"/>
      <c r="F604" s="8"/>
      <c r="G604" s="10"/>
      <c r="H604" s="10"/>
      <c r="I604" s="10"/>
      <c r="J604" s="10"/>
      <c r="K604" s="10"/>
      <c r="L604" s="10"/>
      <c r="M604" s="10"/>
      <c r="N604" s="11"/>
      <c r="O604" s="8"/>
      <c r="P604" s="9"/>
      <c r="Q604" s="8"/>
      <c r="R604" s="9"/>
      <c r="S604" s="8"/>
      <c r="T604" s="8"/>
      <c r="U604" s="8"/>
      <c r="V604" s="11"/>
      <c r="W604" s="8"/>
      <c r="X604" s="8"/>
      <c r="Y604" s="9"/>
      <c r="Z604" s="8"/>
    </row>
    <row r="605" spans="1:26" outlineLevel="1" x14ac:dyDescent="0.15">
      <c r="A605" s="8"/>
      <c r="B605" s="8"/>
      <c r="C605" s="8"/>
      <c r="D605" s="8"/>
      <c r="E605" s="8"/>
      <c r="F605" s="8"/>
      <c r="G605" s="10"/>
      <c r="H605" s="10"/>
      <c r="I605" s="10"/>
      <c r="J605" s="10"/>
      <c r="K605" s="10"/>
      <c r="L605" s="10"/>
      <c r="M605" s="10"/>
      <c r="N605" s="11"/>
      <c r="O605" s="8"/>
      <c r="P605" s="9"/>
      <c r="Q605" s="8"/>
      <c r="R605" s="9"/>
      <c r="S605" s="8"/>
      <c r="T605" s="8"/>
      <c r="U605" s="8"/>
      <c r="V605" s="11"/>
      <c r="W605" s="8"/>
      <c r="X605" s="8"/>
      <c r="Y605" s="9"/>
      <c r="Z605" s="8"/>
    </row>
    <row r="606" spans="1:26" outlineLevel="1" x14ac:dyDescent="0.15">
      <c r="A606" s="8"/>
      <c r="B606" s="8"/>
      <c r="C606" s="8"/>
      <c r="D606" s="8"/>
      <c r="E606" s="8"/>
      <c r="F606" s="8"/>
      <c r="G606" s="10"/>
      <c r="H606" s="10"/>
      <c r="I606" s="10"/>
      <c r="J606" s="10"/>
      <c r="K606" s="10"/>
      <c r="L606" s="10"/>
      <c r="M606" s="10"/>
      <c r="N606" s="11"/>
      <c r="O606" s="8"/>
      <c r="P606" s="9"/>
      <c r="Q606" s="8"/>
      <c r="R606" s="9"/>
      <c r="S606" s="8"/>
      <c r="T606" s="8"/>
      <c r="U606" s="8"/>
      <c r="V606" s="11"/>
      <c r="W606" s="8"/>
      <c r="X606" s="8"/>
      <c r="Y606" s="9"/>
      <c r="Z606" s="8"/>
    </row>
    <row r="607" spans="1:26" x14ac:dyDescent="0.15">
      <c r="A607" s="8"/>
      <c r="B607" s="8"/>
      <c r="C607" s="8"/>
      <c r="D607" s="8"/>
      <c r="E607" s="8"/>
      <c r="F607" s="8"/>
      <c r="G607" s="10"/>
      <c r="H607" s="10"/>
      <c r="I607" s="10"/>
      <c r="J607" s="10"/>
      <c r="K607" s="10"/>
      <c r="L607" s="10"/>
      <c r="M607" s="10"/>
      <c r="N607" s="11"/>
      <c r="O607" s="8"/>
      <c r="P607" s="9"/>
      <c r="Q607" s="8"/>
      <c r="R607" s="9"/>
      <c r="S607" s="8"/>
      <c r="T607" s="8"/>
      <c r="U607" s="8"/>
      <c r="V607" s="11"/>
      <c r="W607" s="8"/>
      <c r="X607" s="8"/>
      <c r="Y607" s="9"/>
      <c r="Z607" s="8"/>
    </row>
    <row r="608" spans="1:26" x14ac:dyDescent="0.15">
      <c r="A608" s="8"/>
      <c r="B608" s="8"/>
      <c r="C608" s="8"/>
      <c r="D608" s="8"/>
      <c r="E608" s="8"/>
      <c r="F608" s="8"/>
      <c r="G608" s="10"/>
      <c r="H608" s="10"/>
      <c r="I608" s="10"/>
      <c r="J608" s="10"/>
      <c r="K608" s="10"/>
      <c r="L608" s="10"/>
      <c r="M608" s="10"/>
      <c r="N608" s="11"/>
      <c r="O608" s="8"/>
      <c r="P608" s="9"/>
      <c r="Q608" s="8"/>
      <c r="R608" s="9"/>
      <c r="S608" s="8"/>
      <c r="T608" s="8"/>
      <c r="U608" s="8"/>
      <c r="V608" s="11"/>
      <c r="W608" s="8"/>
      <c r="X608" s="8"/>
      <c r="Y608" s="9"/>
      <c r="Z608" s="8"/>
    </row>
    <row r="609" spans="1:26" x14ac:dyDescent="0.15">
      <c r="A609" s="8"/>
      <c r="B609" s="8"/>
      <c r="C609" s="8"/>
      <c r="D609" s="8"/>
      <c r="E609" s="8"/>
      <c r="F609" s="8"/>
      <c r="G609" s="10"/>
      <c r="H609" s="10"/>
      <c r="I609" s="10"/>
      <c r="J609" s="10"/>
      <c r="K609" s="10"/>
      <c r="L609" s="10"/>
      <c r="M609" s="10"/>
      <c r="N609" s="11"/>
      <c r="O609" s="8"/>
      <c r="P609" s="9"/>
      <c r="Q609" s="8"/>
      <c r="R609" s="9"/>
      <c r="S609" s="8"/>
      <c r="T609" s="8"/>
      <c r="U609" s="8"/>
      <c r="V609" s="11"/>
      <c r="W609" s="8"/>
      <c r="X609" s="8"/>
      <c r="Y609" s="9"/>
      <c r="Z609" s="8"/>
    </row>
    <row r="621" spans="1:26" x14ac:dyDescent="0.15">
      <c r="A621" s="41"/>
    </row>
    <row r="631" spans="7:13" x14ac:dyDescent="0.15">
      <c r="G631" s="42"/>
      <c r="H631" s="42"/>
      <c r="I631" s="42"/>
      <c r="J631" s="42"/>
      <c r="K631" s="42"/>
      <c r="L631" s="42"/>
      <c r="M631" s="42"/>
    </row>
  </sheetData>
  <autoFilter ref="A5:Z435" xr:uid="{3C97BD88-E786-430A-B1B2-7FA27FB7D62F}"/>
  <mergeCells count="30">
    <mergeCell ref="H1:M1"/>
    <mergeCell ref="H2:M2"/>
    <mergeCell ref="H3:H4"/>
    <mergeCell ref="I3:I4"/>
    <mergeCell ref="J3:J4"/>
    <mergeCell ref="K3:K4"/>
    <mergeCell ref="L3:L4"/>
    <mergeCell ref="M3:M4"/>
    <mergeCell ref="F3:F4"/>
    <mergeCell ref="G3:G4"/>
    <mergeCell ref="N3:N4"/>
    <mergeCell ref="O3:O4"/>
    <mergeCell ref="P3:P4"/>
    <mergeCell ref="A3:A4"/>
    <mergeCell ref="B3:B4"/>
    <mergeCell ref="C3:C4"/>
    <mergeCell ref="D3:D4"/>
    <mergeCell ref="E3:E4"/>
    <mergeCell ref="X3:X4"/>
    <mergeCell ref="Y3:Y4"/>
    <mergeCell ref="Z3:Z4"/>
    <mergeCell ref="S3:S4"/>
    <mergeCell ref="V2:Z2"/>
    <mergeCell ref="Q3:Q4"/>
    <mergeCell ref="R3:R4"/>
    <mergeCell ref="V3:V4"/>
    <mergeCell ref="W3:W4"/>
    <mergeCell ref="N2:U2"/>
    <mergeCell ref="T3:T4"/>
    <mergeCell ref="U3:U4"/>
  </mergeCells>
  <conditionalFormatting sqref="L6:L299">
    <cfRule type="cellIs" dxfId="382" priority="1" operator="equal">
      <formula>"-"</formula>
    </cfRule>
    <cfRule type="cellIs" dxfId="381" priority="2" operator="greaterThan">
      <formula>5</formula>
    </cfRule>
    <cfRule type="cellIs" dxfId="380" priority="3" operator="between">
      <formula>2</formula>
      <formula>5</formula>
    </cfRule>
    <cfRule type="cellIs" dxfId="379" priority="4" operator="lessThan">
      <formula>2</formula>
    </cfRule>
  </conditionalFormatting>
  <conditionalFormatting sqref="R6:R609">
    <cfRule type="cellIs" dxfId="378" priority="17" operator="equal">
      <formula>"-"</formula>
    </cfRule>
    <cfRule type="cellIs" dxfId="377" priority="18" operator="greaterThan">
      <formula>5</formula>
    </cfRule>
    <cfRule type="cellIs" dxfId="376" priority="19" operator="between">
      <formula>2</formula>
      <formula>5</formula>
    </cfRule>
    <cfRule type="cellIs" dxfId="375" priority="20" operator="lessThan">
      <formula>2</formula>
    </cfRule>
  </conditionalFormatting>
  <conditionalFormatting sqref="U6:U299">
    <cfRule type="cellIs" dxfId="374" priority="5" operator="equal">
      <formula>"-"</formula>
    </cfRule>
    <cfRule type="cellIs" dxfId="373" priority="6" operator="greaterThan">
      <formula>5</formula>
    </cfRule>
    <cfRule type="cellIs" dxfId="372" priority="7" operator="between">
      <formula>2</formula>
      <formula>5</formula>
    </cfRule>
    <cfRule type="cellIs" dxfId="371" priority="8" operator="lessThan">
      <formula>2</formula>
    </cfRule>
  </conditionalFormatting>
  <conditionalFormatting sqref="Y6:Y609">
    <cfRule type="cellIs" dxfId="370" priority="13" operator="equal">
      <formula>"-"</formula>
    </cfRule>
    <cfRule type="cellIs" dxfId="369" priority="14" operator="greaterThan">
      <formula>5</formula>
    </cfRule>
    <cfRule type="cellIs" dxfId="368" priority="15" operator="between">
      <formula>2</formula>
      <formula>5</formula>
    </cfRule>
    <cfRule type="cellIs" dxfId="367" priority="16" operator="lessThan">
      <formula>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2682-59FC-42C5-BF35-57251B40A73C}">
  <sheetPr>
    <tabColor rgb="FF92D050"/>
  </sheetPr>
  <dimension ref="A2:AI631"/>
  <sheetViews>
    <sheetView zoomScale="55" zoomScaleNormal="55" workbookViewId="0">
      <pane xSplit="1" ySplit="5" topLeftCell="B6" activePane="bottomRight" state="frozen"/>
      <selection activeCell="I17" sqref="I17"/>
      <selection pane="topRight" activeCell="I17" sqref="I17"/>
      <selection pane="bottomLeft" activeCell="I17" sqref="I17"/>
      <selection pane="bottomRight" activeCell="A7" sqref="A7:A74"/>
    </sheetView>
  </sheetViews>
  <sheetFormatPr baseColWidth="10" defaultColWidth="8.6640625" defaultRowHeight="14" outlineLevelRow="1" outlineLevelCol="1" x14ac:dyDescent="0.15"/>
  <cols>
    <col min="1" max="1" width="12.5" style="3" customWidth="1"/>
    <col min="2" max="2" width="9.83203125" style="3" bestFit="1" customWidth="1" outlineLevel="1"/>
    <col min="3" max="3" width="16.33203125" style="3" customWidth="1"/>
    <col min="4" max="4" width="10.33203125" style="3" customWidth="1"/>
    <col min="5" max="5" width="10.6640625" style="3" customWidth="1"/>
    <col min="6" max="6" width="18.33203125" style="3" customWidth="1" outlineLevel="1"/>
    <col min="7" max="7" width="15.83203125" style="3" customWidth="1"/>
    <col min="8" max="8" width="13.5" style="2" customWidth="1"/>
    <col min="9" max="9" width="14.1640625" style="2" customWidth="1"/>
    <col min="10" max="10" width="17.1640625" style="2" customWidth="1"/>
    <col min="11" max="11" width="21.5" style="2" customWidth="1"/>
    <col min="12" max="12" width="11.1640625" style="3" customWidth="1"/>
    <col min="13" max="13" width="26.6640625" style="3" bestFit="1" customWidth="1"/>
    <col min="14" max="14" width="21.5" style="2" customWidth="1"/>
    <col min="15" max="15" width="11.1640625" style="3" customWidth="1"/>
    <col min="16" max="16" width="19.83203125" style="3" bestFit="1" customWidth="1"/>
    <col min="17" max="17" width="17.6640625" style="3" bestFit="1" customWidth="1"/>
    <col min="18" max="18" width="22.1640625" style="3" bestFit="1" customWidth="1"/>
    <col min="19" max="19" width="28.5" style="3" bestFit="1" customWidth="1"/>
    <col min="20" max="20" width="6.83203125" style="3" bestFit="1" customWidth="1"/>
    <col min="21" max="21" width="25.5" style="3" bestFit="1" customWidth="1"/>
    <col min="22" max="22" width="29.5" style="3" bestFit="1" customWidth="1"/>
    <col min="23" max="23" width="5.5" style="3" bestFit="1" customWidth="1"/>
    <col min="24" max="24" width="13.5" style="2" customWidth="1"/>
    <col min="25" max="25" width="14.1640625" style="2" customWidth="1"/>
    <col min="26" max="26" width="17.1640625" style="2" customWidth="1"/>
    <col min="27" max="27" width="21.5" style="2" customWidth="1"/>
    <col min="28" max="28" width="11.1640625" style="3" customWidth="1"/>
    <col min="29" max="29" width="26.6640625" style="3" bestFit="1" customWidth="1"/>
    <col min="30" max="30" width="21.5" style="2" customWidth="1"/>
    <col min="31" max="31" width="11.1640625" style="3" customWidth="1"/>
    <col min="32" max="16384" width="8.6640625" style="3"/>
  </cols>
  <sheetData>
    <row r="2" spans="1:35" ht="16" x14ac:dyDescent="0.2">
      <c r="A2" s="1" t="s">
        <v>0</v>
      </c>
      <c r="B2" s="2"/>
      <c r="C2" s="2"/>
      <c r="D2" s="2"/>
      <c r="E2" s="2"/>
      <c r="F2" s="2"/>
      <c r="G2" s="2"/>
      <c r="H2" s="286" t="s">
        <v>2170</v>
      </c>
      <c r="I2" s="286"/>
      <c r="J2" s="286"/>
      <c r="K2" s="286"/>
      <c r="L2" s="286"/>
      <c r="M2" s="286"/>
      <c r="N2" s="286"/>
      <c r="O2" s="286"/>
      <c r="P2" s="288" t="s">
        <v>2168</v>
      </c>
      <c r="Q2" s="288"/>
      <c r="R2" s="288"/>
      <c r="S2" s="288"/>
      <c r="T2" s="288"/>
      <c r="U2" s="288"/>
      <c r="V2" s="288"/>
      <c r="W2" s="288"/>
      <c r="X2" s="287" t="s">
        <v>2169</v>
      </c>
      <c r="Y2" s="287"/>
      <c r="Z2" s="287"/>
      <c r="AA2" s="287"/>
      <c r="AB2" s="287"/>
      <c r="AC2" s="287"/>
      <c r="AD2" s="287"/>
      <c r="AE2" s="287"/>
    </row>
    <row r="3" spans="1:35" x14ac:dyDescent="0.15">
      <c r="A3" s="276" t="s">
        <v>1</v>
      </c>
      <c r="B3" s="276" t="s">
        <v>2</v>
      </c>
      <c r="C3" s="276" t="s">
        <v>3</v>
      </c>
      <c r="D3" s="276" t="s">
        <v>4</v>
      </c>
      <c r="E3" s="276" t="s">
        <v>5</v>
      </c>
      <c r="F3" s="276" t="s">
        <v>6</v>
      </c>
      <c r="G3" s="284" t="s">
        <v>7</v>
      </c>
      <c r="H3" s="275" t="s">
        <v>8</v>
      </c>
      <c r="I3" s="275" t="s">
        <v>9</v>
      </c>
      <c r="J3" s="275" t="s">
        <v>626</v>
      </c>
      <c r="K3" s="275" t="s">
        <v>627</v>
      </c>
      <c r="L3" s="275" t="s">
        <v>10</v>
      </c>
      <c r="M3" s="276" t="s">
        <v>11</v>
      </c>
      <c r="N3" s="275" t="s">
        <v>2096</v>
      </c>
      <c r="O3" s="275" t="s">
        <v>10</v>
      </c>
      <c r="P3" s="275" t="s">
        <v>8</v>
      </c>
      <c r="Q3" s="275" t="s">
        <v>9</v>
      </c>
      <c r="R3" s="275" t="s">
        <v>626</v>
      </c>
      <c r="S3" s="275" t="s">
        <v>627</v>
      </c>
      <c r="T3" s="275" t="s">
        <v>10</v>
      </c>
      <c r="U3" s="276" t="s">
        <v>11</v>
      </c>
      <c r="V3" s="275" t="s">
        <v>2096</v>
      </c>
      <c r="W3" s="275" t="s">
        <v>10</v>
      </c>
      <c r="X3" s="275" t="s">
        <v>8</v>
      </c>
      <c r="Y3" s="275" t="s">
        <v>9</v>
      </c>
      <c r="Z3" s="275" t="s">
        <v>626</v>
      </c>
      <c r="AA3" s="275" t="s">
        <v>627</v>
      </c>
      <c r="AB3" s="275" t="s">
        <v>10</v>
      </c>
      <c r="AC3" s="276" t="s">
        <v>11</v>
      </c>
      <c r="AD3" s="275" t="s">
        <v>2096</v>
      </c>
      <c r="AE3" s="275" t="s">
        <v>10</v>
      </c>
      <c r="AG3" s="275" t="s">
        <v>2142</v>
      </c>
      <c r="AH3" s="275" t="s">
        <v>2218</v>
      </c>
      <c r="AI3" s="275" t="s">
        <v>2274</v>
      </c>
    </row>
    <row r="4" spans="1:35" ht="13.75" customHeight="1" x14ac:dyDescent="0.15">
      <c r="A4" s="276"/>
      <c r="B4" s="276"/>
      <c r="C4" s="276"/>
      <c r="D4" s="276"/>
      <c r="E4" s="276"/>
      <c r="F4" s="276"/>
      <c r="G4" s="284"/>
      <c r="H4" s="275"/>
      <c r="I4" s="275"/>
      <c r="J4" s="275"/>
      <c r="K4" s="275"/>
      <c r="L4" s="275"/>
      <c r="M4" s="276"/>
      <c r="N4" s="275"/>
      <c r="O4" s="275"/>
      <c r="P4" s="275"/>
      <c r="Q4" s="275"/>
      <c r="R4" s="275"/>
      <c r="S4" s="275"/>
      <c r="T4" s="275"/>
      <c r="U4" s="276"/>
      <c r="V4" s="275"/>
      <c r="W4" s="275"/>
      <c r="X4" s="275"/>
      <c r="Y4" s="275"/>
      <c r="Z4" s="275"/>
      <c r="AA4" s="275"/>
      <c r="AB4" s="275"/>
      <c r="AC4" s="276"/>
      <c r="AD4" s="275"/>
      <c r="AE4" s="275"/>
      <c r="AG4" s="275"/>
      <c r="AH4" s="275"/>
      <c r="AI4" s="275"/>
    </row>
    <row r="5" spans="1:35" ht="10.5" customHeight="1" x14ac:dyDescent="0.15">
      <c r="A5" s="4"/>
      <c r="B5" s="4"/>
      <c r="C5" s="4"/>
      <c r="D5" s="4"/>
      <c r="E5" s="4"/>
      <c r="F5" s="4"/>
      <c r="G5" s="5"/>
      <c r="H5" s="6"/>
      <c r="I5" s="6"/>
      <c r="J5" s="6"/>
      <c r="K5" s="6"/>
      <c r="L5" s="6"/>
      <c r="M5" s="7"/>
      <c r="N5" s="6"/>
      <c r="O5" s="6"/>
      <c r="P5" s="6"/>
      <c r="Q5" s="6"/>
      <c r="R5" s="6"/>
      <c r="S5" s="6"/>
      <c r="T5" s="6"/>
      <c r="U5" s="7"/>
      <c r="V5" s="6"/>
      <c r="W5" s="6"/>
      <c r="X5" s="6"/>
      <c r="Y5" s="6"/>
      <c r="Z5" s="6"/>
      <c r="AA5" s="6"/>
      <c r="AB5" s="6"/>
      <c r="AC5" s="7"/>
      <c r="AD5" s="6"/>
      <c r="AE5" s="6"/>
    </row>
    <row r="6" spans="1:35" outlineLevel="1" x14ac:dyDescent="0.15">
      <c r="A6" s="8" t="s">
        <v>949</v>
      </c>
      <c r="B6" s="8"/>
      <c r="C6" s="8" t="s">
        <v>14</v>
      </c>
      <c r="D6" s="8" t="s">
        <v>1307</v>
      </c>
      <c r="E6" s="9">
        <v>25.06</v>
      </c>
      <c r="F6" s="8" t="s">
        <v>469</v>
      </c>
      <c r="G6" s="10">
        <v>2283</v>
      </c>
      <c r="H6" s="11">
        <f t="shared" ref="H6:H14" si="0">MAX(P6,X6)</f>
        <v>0</v>
      </c>
      <c r="I6" s="143">
        <f t="shared" ref="I6:I14" si="1">MAX(Q6,Y6)</f>
        <v>0</v>
      </c>
      <c r="J6" s="9">
        <f t="array" ref="J6">IFERROR(I6/G6*100,0)</f>
        <v>0</v>
      </c>
      <c r="K6" s="143">
        <f t="shared" ref="K6:K14" si="2">MAX(S6,AA6)</f>
        <v>0</v>
      </c>
      <c r="L6" s="9">
        <f t="shared" ref="L6" si="3">IFERROR(K6/I6*100,0)</f>
        <v>0</v>
      </c>
      <c r="M6" s="8" t="str">
        <f t="array" ref="M6">IF(L6&gt;5,"Perlu Pengendalian",IF(AND(L6&gt;=0,I6&gt;0),"Tidak Perlu Pengendalian","Belum Sensus"))</f>
        <v>Belum Sensus</v>
      </c>
      <c r="N6" s="143">
        <f t="shared" ref="N6:N14" si="4">MAX(V6,AD6)</f>
        <v>0</v>
      </c>
      <c r="O6" s="9">
        <f t="array" ref="O6">IFERROR(N6/I6*100,0)</f>
        <v>0</v>
      </c>
      <c r="P6" s="11"/>
      <c r="Q6" s="143"/>
      <c r="R6" s="9">
        <f>IFERROR(Q6/G6*100,0)</f>
        <v>0</v>
      </c>
      <c r="S6" s="143"/>
      <c r="T6" s="9">
        <f t="shared" ref="T6:T69" si="5">IFERROR(S6/Q6*100,0)</f>
        <v>0</v>
      </c>
      <c r="U6" s="8" t="str">
        <f t="array" ref="U6">IF(T6&gt;5,"Perlu Pengendalian",IF(AND(T6&gt;=0,Q6&gt;0),"Tidak Perlu Pengendalian","Belum Sensus"))</f>
        <v>Belum Sensus</v>
      </c>
      <c r="V6" s="143"/>
      <c r="W6" s="9">
        <f t="array" ref="W6">IFERROR(V6/Q6*100,0)</f>
        <v>0</v>
      </c>
      <c r="X6" s="11"/>
      <c r="Y6" s="143"/>
      <c r="Z6" s="9">
        <f>IFERROR(Y6/G6*100,0)</f>
        <v>0</v>
      </c>
      <c r="AA6" s="143"/>
      <c r="AB6" s="9">
        <f t="shared" ref="AB6:AB69" si="6">IFERROR(AA6/Y6*100,0)</f>
        <v>0</v>
      </c>
      <c r="AC6" s="8" t="str">
        <f t="array" ref="AC6">IF(AB6&gt;5,"Perlu Pengendalian",IF(AND(AB6&gt;=0,Y6&gt;0),"Tidak Perlu Pengendalian","Belum Sensus"))</f>
        <v>Belum Sensus</v>
      </c>
      <c r="AD6" s="143">
        <v>0</v>
      </c>
      <c r="AE6" s="9">
        <f t="array" ref="AE6">IFERROR(AD6/Y6*100,0)</f>
        <v>0</v>
      </c>
      <c r="AG6" s="206">
        <v>4.1666666666666661</v>
      </c>
      <c r="AH6" s="206">
        <v>4.1120000000000001</v>
      </c>
      <c r="AI6" s="206">
        <v>0</v>
      </c>
    </row>
    <row r="7" spans="1:35" outlineLevel="1" x14ac:dyDescent="0.15">
      <c r="A7" s="8" t="s">
        <v>949</v>
      </c>
      <c r="B7" s="8"/>
      <c r="C7" s="8" t="s">
        <v>14</v>
      </c>
      <c r="D7" s="215" t="s">
        <v>1308</v>
      </c>
      <c r="E7" s="179">
        <v>52.88</v>
      </c>
      <c r="F7" s="8" t="s">
        <v>469</v>
      </c>
      <c r="G7" s="10">
        <v>5893</v>
      </c>
      <c r="H7" s="11">
        <f t="shared" si="0"/>
        <v>46183</v>
      </c>
      <c r="I7" s="143">
        <f t="shared" si="1"/>
        <v>883.94999999999993</v>
      </c>
      <c r="J7" s="9">
        <f t="array" ref="J7">IFERROR(I7/G7*100,0)</f>
        <v>15</v>
      </c>
      <c r="K7" s="143">
        <f t="shared" si="2"/>
        <v>48.739097744360897</v>
      </c>
      <c r="L7" s="9">
        <f t="shared" ref="L7:L12" si="7">IFERROR(K7/I7*100,0)</f>
        <v>5.5137844611528823</v>
      </c>
      <c r="M7" s="8" t="str">
        <f t="array" ref="M7">IF(L7&gt;5,"Perlu Pengendalian",IF(AND(L7&gt;=0,I7&gt;0),"Tidak Perlu Pengendalian","Belum Sensus"))</f>
        <v>Perlu Pengendalian</v>
      </c>
      <c r="N7" s="143">
        <f t="shared" si="4"/>
        <v>47.764315789473677</v>
      </c>
      <c r="O7" s="9">
        <f t="array" ref="O7">IFERROR(N7/I7*100,0)</f>
        <v>5.4035087719298245</v>
      </c>
      <c r="P7" s="11"/>
      <c r="Q7" s="143"/>
      <c r="R7" s="9">
        <f t="shared" ref="R7:R70" si="8">IFERROR(Q7/G7*100,0)</f>
        <v>0</v>
      </c>
      <c r="S7" s="143"/>
      <c r="T7" s="9">
        <f t="shared" si="5"/>
        <v>0</v>
      </c>
      <c r="U7" s="8" t="str">
        <f t="array" ref="U7">IF(T7&gt;5,"Perlu Pengendalian",IF(AND(T7&gt;=0,Q7&gt;0),"Tidak Perlu Pengendalian","Belum Sensus"))</f>
        <v>Belum Sensus</v>
      </c>
      <c r="V7" s="143"/>
      <c r="W7" s="9">
        <f t="array" ref="W7">IFERROR(V7/Q7*100,0)</f>
        <v>0</v>
      </c>
      <c r="X7" s="11">
        <v>46183</v>
      </c>
      <c r="Y7" s="143">
        <v>883.94999999999993</v>
      </c>
      <c r="Z7" s="9">
        <f t="shared" ref="Z7:Z70" si="9">IFERROR(Y7/G7*100,0)</f>
        <v>15</v>
      </c>
      <c r="AA7" s="143">
        <v>48.739097744360897</v>
      </c>
      <c r="AB7" s="9">
        <f t="shared" si="6"/>
        <v>5.5137844611528823</v>
      </c>
      <c r="AC7" s="8" t="str">
        <f t="array" ref="AC7">IF(AB7&gt;5,"Perlu Pengendalian",IF(AND(AB7&gt;=0,Y7&gt;0),"Tidak Perlu Pengendalian","Belum Sensus"))</f>
        <v>Perlu Pengendalian</v>
      </c>
      <c r="AD7" s="143">
        <v>47.764315789473677</v>
      </c>
      <c r="AE7" s="9">
        <f t="array" ref="AE7">IFERROR(AD7/Y7*100,0)</f>
        <v>5.4035087719298245</v>
      </c>
      <c r="AG7" s="206">
        <v>3.8461538461538463</v>
      </c>
      <c r="AH7" s="206">
        <v>9.34</v>
      </c>
      <c r="AI7" s="206">
        <v>0</v>
      </c>
    </row>
    <row r="8" spans="1:35" outlineLevel="1" x14ac:dyDescent="0.15">
      <c r="A8" s="8" t="s">
        <v>949</v>
      </c>
      <c r="B8" s="8"/>
      <c r="C8" s="8" t="s">
        <v>14</v>
      </c>
      <c r="D8" s="8" t="s">
        <v>1309</v>
      </c>
      <c r="E8" s="9">
        <v>30.23</v>
      </c>
      <c r="F8" s="8" t="s">
        <v>469</v>
      </c>
      <c r="G8" s="10">
        <v>3738</v>
      </c>
      <c r="H8" s="11">
        <f t="shared" si="0"/>
        <v>46167</v>
      </c>
      <c r="I8" s="143">
        <f t="shared" si="1"/>
        <v>376</v>
      </c>
      <c r="J8" s="9">
        <f t="array" ref="J8">IFERROR(I8/G8*100,0)</f>
        <v>10.058855002675228</v>
      </c>
      <c r="K8" s="143">
        <f t="shared" si="2"/>
        <v>15</v>
      </c>
      <c r="L8" s="9">
        <f t="shared" si="7"/>
        <v>3.9893617021276597</v>
      </c>
      <c r="M8" s="8" t="str">
        <f t="array" ref="M8">IF(L8&gt;5,"Perlu Pengendalian",IF(AND(L8&gt;=0,I8&gt;0),"Tidak Perlu Pengendalian","Belum Sensus"))</f>
        <v>Tidak Perlu Pengendalian</v>
      </c>
      <c r="N8" s="143">
        <f t="shared" si="4"/>
        <v>0</v>
      </c>
      <c r="O8" s="9">
        <f t="array" ref="O8">IFERROR(N8/I8*100,0)</f>
        <v>0</v>
      </c>
      <c r="P8" s="11">
        <v>46167</v>
      </c>
      <c r="Q8" s="143">
        <v>376</v>
      </c>
      <c r="R8" s="9">
        <f t="shared" si="8"/>
        <v>10.058855002675228</v>
      </c>
      <c r="S8" s="143">
        <v>15</v>
      </c>
      <c r="T8" s="9">
        <f t="shared" si="5"/>
        <v>3.9893617021276597</v>
      </c>
      <c r="U8" s="8" t="str">
        <f t="array" ref="U8">IF(T8&gt;5,"Perlu Pengendalian",IF(AND(T8&gt;=0,Q8&gt;0),"Tidak Perlu Pengendalian","Belum Sensus"))</f>
        <v>Tidak Perlu Pengendalian</v>
      </c>
      <c r="V8" s="143">
        <v>0</v>
      </c>
      <c r="W8" s="9">
        <f t="array" ref="W8">IFERROR(V8/Q8*100,0)</f>
        <v>0</v>
      </c>
      <c r="X8" s="11"/>
      <c r="Y8" s="143"/>
      <c r="Z8" s="9">
        <f t="shared" si="9"/>
        <v>0</v>
      </c>
      <c r="AA8" s="143"/>
      <c r="AB8" s="9">
        <f t="shared" si="6"/>
        <v>0</v>
      </c>
      <c r="AC8" s="8" t="str">
        <f t="array" ref="AC8">IF(AB8&gt;5,"Perlu Pengendalian",IF(AND(AB8&gt;=0,Y8&gt;0),"Tidak Perlu Pengendalian","Belum Sensus"))</f>
        <v>Belum Sensus</v>
      </c>
      <c r="AD8" s="143">
        <v>0</v>
      </c>
      <c r="AE8" s="9">
        <f t="array" ref="AE8">IFERROR(AD8/Y8*100,0)</f>
        <v>0</v>
      </c>
      <c r="AG8" s="206">
        <v>3.9893617021276597</v>
      </c>
      <c r="AH8" s="206">
        <v>2.21</v>
      </c>
      <c r="AI8" s="206">
        <v>0</v>
      </c>
    </row>
    <row r="9" spans="1:35" outlineLevel="1" x14ac:dyDescent="0.15">
      <c r="A9" s="8" t="s">
        <v>949</v>
      </c>
      <c r="B9" s="8"/>
      <c r="C9" s="8" t="s">
        <v>14</v>
      </c>
      <c r="D9" s="215" t="s">
        <v>1750</v>
      </c>
      <c r="E9" s="9">
        <v>26.77</v>
      </c>
      <c r="F9" s="8" t="s">
        <v>469</v>
      </c>
      <c r="G9" s="10">
        <v>2659</v>
      </c>
      <c r="H9" s="11">
        <f t="shared" si="0"/>
        <v>46185</v>
      </c>
      <c r="I9" s="143">
        <f t="shared" si="1"/>
        <v>441.97499999999997</v>
      </c>
      <c r="J9" s="9">
        <f t="array" ref="J9">IFERROR(I9/G9*100,0)</f>
        <v>16.621850319669047</v>
      </c>
      <c r="K9" s="143">
        <f t="shared" si="2"/>
        <v>22.800297619047619</v>
      </c>
      <c r="L9" s="9">
        <f t="shared" si="7"/>
        <v>5.1587301587301591</v>
      </c>
      <c r="M9" s="8" t="str">
        <f t="array" ref="M9">IF(L9&gt;5,"Perlu Pengendalian",IF(AND(L9&gt;=0,I9&gt;0),"Tidak Perlu Pengendalian","Belum Sensus"))</f>
        <v>Perlu Pengendalian</v>
      </c>
      <c r="N9" s="143">
        <f t="shared" si="4"/>
        <v>22.344291666666667</v>
      </c>
      <c r="O9" s="9">
        <f t="array" ref="O9">IFERROR(N9/I9*100,0)</f>
        <v>5.0555555555555562</v>
      </c>
      <c r="P9" s="11"/>
      <c r="Q9" s="143"/>
      <c r="R9" s="9">
        <f t="shared" si="8"/>
        <v>0</v>
      </c>
      <c r="S9" s="143"/>
      <c r="T9" s="9">
        <f t="shared" si="5"/>
        <v>0</v>
      </c>
      <c r="U9" s="8" t="str">
        <f t="array" ref="U9">IF(T9&gt;5,"Perlu Pengendalian",IF(AND(T9&gt;=0,Q9&gt;0),"Tidak Perlu Pengendalian","Belum Sensus"))</f>
        <v>Belum Sensus</v>
      </c>
      <c r="V9" s="143"/>
      <c r="W9" s="9">
        <f t="array" ref="W9">IFERROR(V9/Q9*100,0)</f>
        <v>0</v>
      </c>
      <c r="X9" s="11">
        <v>46185</v>
      </c>
      <c r="Y9" s="143">
        <v>441.97499999999997</v>
      </c>
      <c r="Z9" s="9">
        <f t="shared" si="9"/>
        <v>16.621850319669047</v>
      </c>
      <c r="AA9" s="143">
        <v>22.800297619047619</v>
      </c>
      <c r="AB9" s="9">
        <f t="shared" si="6"/>
        <v>5.1587301587301591</v>
      </c>
      <c r="AC9" s="8" t="str">
        <f t="array" ref="AC9">IF(AB9&gt;5,"Perlu Pengendalian",IF(AND(AB9&gt;=0,Y9&gt;0),"Tidak Perlu Pengendalian","Belum Sensus"))</f>
        <v>Perlu Pengendalian</v>
      </c>
      <c r="AD9" s="143">
        <v>22.344291666666667</v>
      </c>
      <c r="AE9" s="9">
        <f t="array" ref="AE9">IFERROR(AD9/Y9*100,0)</f>
        <v>5.0555555555555562</v>
      </c>
      <c r="AG9" s="206">
        <v>0</v>
      </c>
      <c r="AH9" s="206">
        <v>8.2200000000000006</v>
      </c>
      <c r="AI9" s="206">
        <v>0</v>
      </c>
    </row>
    <row r="10" spans="1:35" outlineLevel="1" x14ac:dyDescent="0.15">
      <c r="A10" s="8" t="s">
        <v>949</v>
      </c>
      <c r="B10" s="8"/>
      <c r="C10" s="8" t="s">
        <v>14</v>
      </c>
      <c r="D10" s="8" t="s">
        <v>1751</v>
      </c>
      <c r="E10" s="9">
        <v>30.669999999999998</v>
      </c>
      <c r="F10" s="8" t="s">
        <v>469</v>
      </c>
      <c r="G10" s="10">
        <v>3496</v>
      </c>
      <c r="H10" s="11">
        <f t="shared" si="0"/>
        <v>0</v>
      </c>
      <c r="I10" s="143">
        <f t="shared" si="1"/>
        <v>0</v>
      </c>
      <c r="J10" s="9">
        <f t="array" ref="J10">IFERROR(I10/G10*100,0)</f>
        <v>0</v>
      </c>
      <c r="K10" s="143">
        <f t="shared" si="2"/>
        <v>0</v>
      </c>
      <c r="L10" s="9">
        <f t="shared" si="7"/>
        <v>0</v>
      </c>
      <c r="M10" s="8" t="str">
        <f t="array" ref="M10">IF(L10&gt;5,"Perlu Pengendalian",IF(AND(L10&gt;=0,I10&gt;0),"Tidak Perlu Pengendalian","Belum Sensus"))</f>
        <v>Belum Sensus</v>
      </c>
      <c r="N10" s="143">
        <f t="shared" si="4"/>
        <v>0</v>
      </c>
      <c r="O10" s="9">
        <f t="array" ref="O10">IFERROR(N10/I10*100,0)</f>
        <v>0</v>
      </c>
      <c r="P10" s="11"/>
      <c r="Q10" s="143"/>
      <c r="R10" s="9">
        <f t="shared" si="8"/>
        <v>0</v>
      </c>
      <c r="S10" s="143"/>
      <c r="T10" s="9">
        <f t="shared" si="5"/>
        <v>0</v>
      </c>
      <c r="U10" s="8" t="str">
        <f t="array" ref="U10">IF(T10&gt;5,"Perlu Pengendalian",IF(AND(T10&gt;=0,Q10&gt;0),"Tidak Perlu Pengendalian","Belum Sensus"))</f>
        <v>Belum Sensus</v>
      </c>
      <c r="V10" s="143"/>
      <c r="W10" s="9">
        <f t="array" ref="W10">IFERROR(V10/Q10*100,0)</f>
        <v>0</v>
      </c>
      <c r="X10" s="11"/>
      <c r="Y10" s="143"/>
      <c r="Z10" s="9">
        <f t="shared" si="9"/>
        <v>0</v>
      </c>
      <c r="AA10" s="143"/>
      <c r="AB10" s="9">
        <f t="shared" si="6"/>
        <v>0</v>
      </c>
      <c r="AC10" s="8" t="str">
        <f t="array" ref="AC10">IF(AB10&gt;5,"Perlu Pengendalian",IF(AND(AB10&gt;=0,Y10&gt;0),"Tidak Perlu Pengendalian","Belum Sensus"))</f>
        <v>Belum Sensus</v>
      </c>
      <c r="AD10" s="143">
        <v>0</v>
      </c>
      <c r="AE10" s="9">
        <f t="array" ref="AE10">IFERROR(AD10/Y10*100,0)</f>
        <v>0</v>
      </c>
      <c r="AG10" s="206">
        <v>0</v>
      </c>
      <c r="AH10" s="206">
        <v>3.36</v>
      </c>
      <c r="AI10" s="206">
        <v>0</v>
      </c>
    </row>
    <row r="11" spans="1:35" outlineLevel="1" x14ac:dyDescent="0.15">
      <c r="A11" s="8" t="s">
        <v>949</v>
      </c>
      <c r="B11" s="8"/>
      <c r="C11" s="8" t="s">
        <v>14</v>
      </c>
      <c r="D11" s="215" t="s">
        <v>1752</v>
      </c>
      <c r="E11" s="9">
        <v>33.790000000000006</v>
      </c>
      <c r="F11" s="8" t="s">
        <v>469</v>
      </c>
      <c r="G11" s="10">
        <v>4049</v>
      </c>
      <c r="H11" s="11">
        <f t="shared" si="0"/>
        <v>46188</v>
      </c>
      <c r="I11" s="143">
        <f t="shared" si="1"/>
        <v>530.36999999999989</v>
      </c>
      <c r="J11" s="9">
        <f t="array" ref="J11">IFERROR(I11/G11*100,0)</f>
        <v>13.098789824648058</v>
      </c>
      <c r="K11" s="143">
        <f t="shared" si="2"/>
        <v>68.287982832618013</v>
      </c>
      <c r="L11" s="9">
        <f t="shared" si="7"/>
        <v>12.875536480686694</v>
      </c>
      <c r="M11" s="8" t="str">
        <f t="array" ref="M11">IF(L11&gt;5,"Perlu Pengendalian",IF(AND(L11&gt;=0,I11&gt;0),"Tidak Perlu Pengendalian","Belum Sensus"))</f>
        <v>Perlu Pengendalian</v>
      </c>
      <c r="N11" s="143">
        <f t="shared" si="4"/>
        <v>66.922223175965655</v>
      </c>
      <c r="O11" s="9">
        <f t="array" ref="O11">IFERROR(N11/I11*100,0)</f>
        <v>12.618025751072961</v>
      </c>
      <c r="P11" s="11">
        <v>46171</v>
      </c>
      <c r="Q11" s="143">
        <v>233</v>
      </c>
      <c r="R11" s="9">
        <f t="shared" si="8"/>
        <v>5.7545072857495683</v>
      </c>
      <c r="S11" s="143">
        <v>30</v>
      </c>
      <c r="T11" s="9">
        <f t="shared" si="5"/>
        <v>12.875536480686694</v>
      </c>
      <c r="U11" s="8" t="str">
        <f t="array" ref="U11">IF(T11&gt;5,"Perlu Pengendalian",IF(AND(T11&gt;=0,Q11&gt;0),"Tidak Perlu Pengendalian","Belum Sensus"))</f>
        <v>Perlu Pengendalian</v>
      </c>
      <c r="V11" s="143">
        <v>6</v>
      </c>
      <c r="W11" s="9">
        <f t="array" ref="W11">IFERROR(V11/Q11*100,0)</f>
        <v>2.5751072961373391</v>
      </c>
      <c r="X11" s="11">
        <v>46188</v>
      </c>
      <c r="Y11" s="143">
        <v>530.36999999999989</v>
      </c>
      <c r="Z11" s="9">
        <f t="shared" si="9"/>
        <v>13.098789824648058</v>
      </c>
      <c r="AA11" s="143">
        <v>68.287982832618013</v>
      </c>
      <c r="AB11" s="9">
        <f t="shared" si="6"/>
        <v>12.875536480686694</v>
      </c>
      <c r="AC11" s="8" t="str">
        <f t="array" ref="AC11">IF(AB11&gt;5,"Perlu Pengendalian",IF(AND(AB11&gt;=0,Y11&gt;0),"Tidak Perlu Pengendalian","Belum Sensus"))</f>
        <v>Perlu Pengendalian</v>
      </c>
      <c r="AD11" s="143">
        <v>66.922223175965655</v>
      </c>
      <c r="AE11" s="9">
        <f t="array" ref="AE11">IFERROR(AD11/Y11*100,0)</f>
        <v>12.618025751072961</v>
      </c>
      <c r="AG11" s="206">
        <v>0</v>
      </c>
      <c r="AH11" s="206">
        <v>7.6100000000000012</v>
      </c>
      <c r="AI11" s="206">
        <v>0</v>
      </c>
    </row>
    <row r="12" spans="1:35" outlineLevel="1" x14ac:dyDescent="0.15">
      <c r="A12" s="8" t="s">
        <v>949</v>
      </c>
      <c r="B12" s="8"/>
      <c r="C12" s="8" t="s">
        <v>14</v>
      </c>
      <c r="D12" s="8" t="s">
        <v>1753</v>
      </c>
      <c r="E12" s="9">
        <v>26.000000000000004</v>
      </c>
      <c r="F12" s="8" t="s">
        <v>469</v>
      </c>
      <c r="G12" s="10">
        <v>660</v>
      </c>
      <c r="H12" s="11">
        <f t="shared" si="0"/>
        <v>0</v>
      </c>
      <c r="I12" s="143">
        <f t="shared" si="1"/>
        <v>0</v>
      </c>
      <c r="J12" s="9">
        <f t="array" ref="J12">IFERROR(I12/G12*100,0)</f>
        <v>0</v>
      </c>
      <c r="K12" s="143">
        <f t="shared" si="2"/>
        <v>0</v>
      </c>
      <c r="L12" s="9">
        <f t="shared" si="7"/>
        <v>0</v>
      </c>
      <c r="M12" s="8" t="str">
        <f t="array" ref="M12">IF(L12&gt;5,"Perlu Pengendalian",IF(AND(L12&gt;=0,I12&gt;0),"Tidak Perlu Pengendalian","Belum Sensus"))</f>
        <v>Belum Sensus</v>
      </c>
      <c r="N12" s="143">
        <f t="shared" si="4"/>
        <v>0</v>
      </c>
      <c r="O12" s="9">
        <f t="array" ref="O12">IFERROR(N12/I12*100,0)</f>
        <v>0</v>
      </c>
      <c r="P12" s="11"/>
      <c r="Q12" s="143"/>
      <c r="R12" s="9">
        <f t="shared" si="8"/>
        <v>0</v>
      </c>
      <c r="S12" s="143"/>
      <c r="T12" s="9">
        <f t="shared" si="5"/>
        <v>0</v>
      </c>
      <c r="U12" s="8" t="str">
        <f t="array" ref="U12">IF(T12&gt;5,"Perlu Pengendalian",IF(AND(T12&gt;=0,Q12&gt;0),"Tidak Perlu Pengendalian","Belum Sensus"))</f>
        <v>Belum Sensus</v>
      </c>
      <c r="V12" s="143"/>
      <c r="W12" s="9">
        <f t="array" ref="W12">IFERROR(V12/Q12*100,0)</f>
        <v>0</v>
      </c>
      <c r="X12" s="11"/>
      <c r="Y12" s="143"/>
      <c r="Z12" s="9">
        <f t="shared" si="9"/>
        <v>0</v>
      </c>
      <c r="AA12" s="143"/>
      <c r="AB12" s="9">
        <f t="shared" si="6"/>
        <v>0</v>
      </c>
      <c r="AC12" s="8" t="str">
        <f t="array" ref="AC12">IF(AB12&gt;5,"Perlu Pengendalian",IF(AND(AB12&gt;=0,Y12&gt;0),"Tidak Perlu Pengendalian","Belum Sensus"))</f>
        <v>Belum Sensus</v>
      </c>
      <c r="AD12" s="143">
        <v>0</v>
      </c>
      <c r="AE12" s="9">
        <f t="array" ref="AE12">IFERROR(AD12/Y12*100,0)</f>
        <v>0</v>
      </c>
      <c r="AG12" s="206">
        <v>8.6419753086419746</v>
      </c>
      <c r="AH12" s="206">
        <v>2.2499999999999996</v>
      </c>
      <c r="AI12" s="206">
        <v>0</v>
      </c>
    </row>
    <row r="13" spans="1:35" outlineLevel="1" x14ac:dyDescent="0.15">
      <c r="A13" s="8" t="s">
        <v>949</v>
      </c>
      <c r="B13" s="8"/>
      <c r="C13" s="8" t="s">
        <v>14</v>
      </c>
      <c r="D13" s="8" t="s">
        <v>1754</v>
      </c>
      <c r="E13" s="9">
        <v>31.910000000000004</v>
      </c>
      <c r="F13" s="8" t="s">
        <v>469</v>
      </c>
      <c r="G13" s="10">
        <v>2796</v>
      </c>
      <c r="H13" s="11">
        <f t="shared" si="0"/>
        <v>0</v>
      </c>
      <c r="I13" s="143">
        <f t="shared" si="1"/>
        <v>0</v>
      </c>
      <c r="J13" s="9">
        <f t="array" ref="J13">IFERROR(I13/G13*100,0)</f>
        <v>0</v>
      </c>
      <c r="K13" s="143">
        <f t="shared" si="2"/>
        <v>0</v>
      </c>
      <c r="L13" s="9">
        <f t="shared" ref="L13" si="10">IFERROR(K13/I13*100,0)</f>
        <v>0</v>
      </c>
      <c r="M13" s="8" t="str">
        <f t="array" ref="M13">IF(L13&gt;5,"Perlu Pengendalian",IF(AND(L13&gt;=0,I13&gt;0),"Tidak Perlu Pengendalian","Belum Sensus"))</f>
        <v>Belum Sensus</v>
      </c>
      <c r="N13" s="143">
        <f t="shared" si="4"/>
        <v>0</v>
      </c>
      <c r="O13" s="9">
        <f t="array" ref="O13">IFERROR(N13/I13*100,0)</f>
        <v>0</v>
      </c>
      <c r="P13" s="11"/>
      <c r="Q13" s="143"/>
      <c r="R13" s="9">
        <f t="shared" si="8"/>
        <v>0</v>
      </c>
      <c r="S13" s="143"/>
      <c r="T13" s="9">
        <f t="shared" si="5"/>
        <v>0</v>
      </c>
      <c r="U13" s="8" t="str">
        <f t="array" ref="U13">IF(T13&gt;5,"Perlu Pengendalian",IF(AND(T13&gt;=0,Q13&gt;0),"Tidak Perlu Pengendalian","Belum Sensus"))</f>
        <v>Belum Sensus</v>
      </c>
      <c r="V13" s="143"/>
      <c r="W13" s="9">
        <f t="array" ref="W13">IFERROR(V13/Q13*100,0)</f>
        <v>0</v>
      </c>
      <c r="X13" s="11"/>
      <c r="Y13" s="143"/>
      <c r="Z13" s="9">
        <f t="shared" si="9"/>
        <v>0</v>
      </c>
      <c r="AA13" s="143"/>
      <c r="AB13" s="9">
        <f t="shared" si="6"/>
        <v>0</v>
      </c>
      <c r="AC13" s="8" t="str">
        <f t="array" ref="AC13">IF(AB13&gt;5,"Perlu Pengendalian",IF(AND(AB13&gt;=0,Y13&gt;0),"Tidak Perlu Pengendalian","Belum Sensus"))</f>
        <v>Belum Sensus</v>
      </c>
      <c r="AD13" s="143">
        <v>0</v>
      </c>
      <c r="AE13" s="9">
        <f t="array" ref="AE13">IFERROR(AD13/Y13*100,0)</f>
        <v>0</v>
      </c>
      <c r="AG13" s="206">
        <v>0</v>
      </c>
      <c r="AH13" s="206">
        <v>2.81</v>
      </c>
      <c r="AI13" s="206">
        <v>0</v>
      </c>
    </row>
    <row r="14" spans="1:35" outlineLevel="1" x14ac:dyDescent="0.15">
      <c r="A14" s="8" t="s">
        <v>949</v>
      </c>
      <c r="B14" s="8"/>
      <c r="C14" s="8" t="s">
        <v>14</v>
      </c>
      <c r="D14" s="215" t="s">
        <v>1755</v>
      </c>
      <c r="E14" s="9">
        <v>32.43</v>
      </c>
      <c r="F14" s="8" t="s">
        <v>469</v>
      </c>
      <c r="G14" s="10">
        <v>3806</v>
      </c>
      <c r="H14" s="11">
        <f t="shared" si="0"/>
        <v>46191</v>
      </c>
      <c r="I14" s="143">
        <f t="shared" si="1"/>
        <v>514.45889999999986</v>
      </c>
      <c r="J14" s="9">
        <f t="array" ref="J14">IFERROR(I14/G14*100,0)</f>
        <v>13.517049395691011</v>
      </c>
      <c r="K14" s="143">
        <f t="shared" si="2"/>
        <v>31.220460949868066</v>
      </c>
      <c r="L14" s="9">
        <f t="shared" ref="L14" si="11">IFERROR(K14/I14*100,0)</f>
        <v>6.0686015831134563</v>
      </c>
      <c r="M14" s="8" t="str">
        <f t="array" ref="M14">IF(L14&gt;5,"Perlu Pengendalian",IF(AND(L14&gt;=0,I14&gt;0),"Tidak Perlu Pengendalian","Belum Sensus"))</f>
        <v>Perlu Pengendalian</v>
      </c>
      <c r="N14" s="143">
        <f t="shared" si="4"/>
        <v>30.596051730870705</v>
      </c>
      <c r="O14" s="9">
        <f t="array" ref="O14">IFERROR(N14/I14*100,0)</f>
        <v>5.9472295514511879</v>
      </c>
      <c r="P14" s="11"/>
      <c r="Q14" s="143"/>
      <c r="R14" s="9">
        <f t="shared" si="8"/>
        <v>0</v>
      </c>
      <c r="S14" s="143"/>
      <c r="T14" s="9">
        <f t="shared" si="5"/>
        <v>0</v>
      </c>
      <c r="U14" s="8" t="str">
        <f t="array" ref="U14">IF(T14&gt;5,"Perlu Pengendalian",IF(AND(T14&gt;=0,Q14&gt;0),"Tidak Perlu Pengendalian","Belum Sensus"))</f>
        <v>Belum Sensus</v>
      </c>
      <c r="V14" s="143"/>
      <c r="W14" s="9">
        <f t="array" ref="W14">IFERROR(V14/Q14*100,0)</f>
        <v>0</v>
      </c>
      <c r="X14" s="11">
        <v>46191</v>
      </c>
      <c r="Y14" s="143">
        <v>514.45889999999986</v>
      </c>
      <c r="Z14" s="9">
        <f t="shared" si="9"/>
        <v>13.517049395691011</v>
      </c>
      <c r="AA14" s="143">
        <v>31.220460949868066</v>
      </c>
      <c r="AB14" s="9">
        <f t="shared" si="6"/>
        <v>6.0686015831134563</v>
      </c>
      <c r="AC14" s="8" t="str">
        <f t="array" ref="AC14">IF(AB14&gt;5,"Perlu Pengendalian",IF(AND(AB14&gt;=0,Y14&gt;0),"Tidak Perlu Pengendalian","Belum Sensus"))</f>
        <v>Perlu Pengendalian</v>
      </c>
      <c r="AD14" s="143">
        <v>30.596051730870705</v>
      </c>
      <c r="AE14" s="9">
        <f t="array" ref="AE14">IFERROR(AD14/Y14*100,0)</f>
        <v>5.9472295514511879</v>
      </c>
      <c r="AG14" s="206">
        <v>3.8461538461538463</v>
      </c>
      <c r="AH14" s="206">
        <v>8.2199999999999989</v>
      </c>
      <c r="AI14" s="206">
        <v>0</v>
      </c>
    </row>
    <row r="15" spans="1:35" outlineLevel="1" x14ac:dyDescent="0.15">
      <c r="A15" s="8" t="s">
        <v>949</v>
      </c>
      <c r="B15" s="8"/>
      <c r="C15" s="8" t="s">
        <v>14</v>
      </c>
      <c r="D15" s="215" t="s">
        <v>1336</v>
      </c>
      <c r="E15" s="9">
        <v>36.200000000000003</v>
      </c>
      <c r="F15" s="8" t="s">
        <v>469</v>
      </c>
      <c r="G15" s="10">
        <v>1942</v>
      </c>
      <c r="H15" s="11">
        <v>46164</v>
      </c>
      <c r="I15" s="143">
        <v>152</v>
      </c>
      <c r="J15" s="9">
        <f t="array" ref="J15">IFERROR(I15/G15*100,0)</f>
        <v>7.8269824922760041</v>
      </c>
      <c r="K15" s="143">
        <v>11</v>
      </c>
      <c r="L15" s="9">
        <f t="shared" ref="L15:L70" si="12">IFERROR(K15/I15*100,0)</f>
        <v>7.2368421052631584</v>
      </c>
      <c r="M15" s="8" t="str">
        <f t="array" ref="M15">IF(L15&gt;5,"Perlu Pengendalian",IF(AND(L15&gt;=0,I15&gt;0),"Tidak Perlu Pengendalian","Belum Sensus"))</f>
        <v>Perlu Pengendalian</v>
      </c>
      <c r="N15" s="143">
        <v>9</v>
      </c>
      <c r="O15" s="9">
        <f t="array" ref="O15">IFERROR(N15/I15*100,0)</f>
        <v>5.9210526315789469</v>
      </c>
      <c r="P15" s="11">
        <v>46164</v>
      </c>
      <c r="Q15" s="143">
        <v>152</v>
      </c>
      <c r="R15" s="9">
        <f t="shared" si="8"/>
        <v>7.8269824922760041</v>
      </c>
      <c r="S15" s="143">
        <v>11</v>
      </c>
      <c r="T15" s="9">
        <f t="shared" si="5"/>
        <v>7.2368421052631584</v>
      </c>
      <c r="U15" s="8" t="str">
        <f t="array" ref="U15">IF(T15&gt;5,"Perlu Pengendalian",IF(AND(T15&gt;=0,Q15&gt;0),"Tidak Perlu Pengendalian","Belum Sensus"))</f>
        <v>Perlu Pengendalian</v>
      </c>
      <c r="V15" s="143">
        <v>9</v>
      </c>
      <c r="W15" s="9">
        <f t="array" ref="W15">IFERROR(V15/Q15*100,0)</f>
        <v>5.9210526315789469</v>
      </c>
      <c r="X15" s="11">
        <v>46192</v>
      </c>
      <c r="Y15" s="143">
        <v>308.67533999999989</v>
      </c>
      <c r="Z15" s="9">
        <f t="shared" si="9"/>
        <v>15.894713697219357</v>
      </c>
      <c r="AA15" s="143">
        <v>22.338346973684203</v>
      </c>
      <c r="AB15" s="9">
        <f t="shared" si="6"/>
        <v>7.2368421052631584</v>
      </c>
      <c r="AC15" s="8" t="str">
        <f t="array" ref="AC15">IF(AB15&gt;5,"Perlu Pengendalian",IF(AND(AB15&gt;=0,Y15&gt;0),"Tidak Perlu Pengendalian","Belum Sensus"))</f>
        <v>Perlu Pengendalian</v>
      </c>
      <c r="AD15" s="143">
        <v>21.89158003421052</v>
      </c>
      <c r="AE15" s="9">
        <f t="array" ref="AE15">IFERROR(AD15/Y15*100,0)</f>
        <v>7.0921052631578956</v>
      </c>
      <c r="AG15" s="206">
        <v>0</v>
      </c>
      <c r="AH15" s="206">
        <v>12.44</v>
      </c>
      <c r="AI15" s="206">
        <v>0</v>
      </c>
    </row>
    <row r="16" spans="1:35" outlineLevel="1" x14ac:dyDescent="0.15">
      <c r="A16" s="8" t="s">
        <v>949</v>
      </c>
      <c r="B16" s="8"/>
      <c r="C16" s="8" t="s">
        <v>14</v>
      </c>
      <c r="D16" s="8" t="s">
        <v>1337</v>
      </c>
      <c r="E16" s="9">
        <v>34.409999999999997</v>
      </c>
      <c r="F16" s="8" t="s">
        <v>469</v>
      </c>
      <c r="G16" s="10">
        <v>137</v>
      </c>
      <c r="H16" s="11">
        <f t="shared" ref="H16:H20" si="13">MAX(P16,X16)</f>
        <v>0</v>
      </c>
      <c r="I16" s="143">
        <f t="shared" ref="I16:I20" si="14">MAX(Q16,Y16)</f>
        <v>0</v>
      </c>
      <c r="J16" s="9">
        <f t="array" ref="J16">IFERROR(I16/G16*100,0)</f>
        <v>0</v>
      </c>
      <c r="K16" s="143">
        <f t="shared" ref="K16:K20" si="15">MAX(S16,AA16)</f>
        <v>0</v>
      </c>
      <c r="L16" s="9">
        <f t="shared" si="12"/>
        <v>0</v>
      </c>
      <c r="M16" s="8" t="str">
        <f t="array" ref="M16">IF(L16&gt;5,"Perlu Pengendalian",IF(AND(L16&gt;=0,I16&gt;0),"Tidak Perlu Pengendalian","Belum Sensus"))</f>
        <v>Belum Sensus</v>
      </c>
      <c r="N16" s="143">
        <f t="shared" ref="N16:N20" si="16">MAX(V16,AD16)</f>
        <v>0</v>
      </c>
      <c r="O16" s="9">
        <f t="array" ref="O16">IFERROR(N16/I16*100,0)</f>
        <v>0</v>
      </c>
      <c r="P16" s="11"/>
      <c r="Q16" s="143"/>
      <c r="R16" s="9">
        <f t="shared" si="8"/>
        <v>0</v>
      </c>
      <c r="S16" s="143"/>
      <c r="T16" s="9">
        <f t="shared" si="5"/>
        <v>0</v>
      </c>
      <c r="U16" s="8" t="str">
        <f t="array" ref="U16">IF(T16&gt;5,"Perlu Pengendalian",IF(AND(T16&gt;=0,Q16&gt;0),"Tidak Perlu Pengendalian","Belum Sensus"))</f>
        <v>Belum Sensus</v>
      </c>
      <c r="V16" s="143"/>
      <c r="W16" s="9">
        <f t="array" ref="W16">IFERROR(V16/Q16*100,0)</f>
        <v>0</v>
      </c>
      <c r="X16" s="11"/>
      <c r="Y16" s="143"/>
      <c r="Z16" s="9">
        <f t="shared" si="9"/>
        <v>0</v>
      </c>
      <c r="AA16" s="143"/>
      <c r="AB16" s="9">
        <f t="shared" si="6"/>
        <v>0</v>
      </c>
      <c r="AC16" s="8" t="str">
        <f t="array" ref="AC16">IF(AB16&gt;5,"Perlu Pengendalian",IF(AND(AB16&gt;=0,Y16&gt;0),"Tidak Perlu Pengendalian","Belum Sensus"))</f>
        <v>Belum Sensus</v>
      </c>
      <c r="AD16" s="143">
        <v>0</v>
      </c>
      <c r="AE16" s="9">
        <f t="array" ref="AE16">IFERROR(AD16/Y16*100,0)</f>
        <v>0</v>
      </c>
      <c r="AG16" s="206">
        <v>4</v>
      </c>
      <c r="AH16" s="206">
        <v>1.72</v>
      </c>
      <c r="AI16" s="206">
        <v>0</v>
      </c>
    </row>
    <row r="17" spans="1:35" outlineLevel="1" x14ac:dyDescent="0.15">
      <c r="A17" s="8" t="s">
        <v>949</v>
      </c>
      <c r="B17" s="8"/>
      <c r="C17" s="8" t="s">
        <v>14</v>
      </c>
      <c r="D17" s="215" t="s">
        <v>1338</v>
      </c>
      <c r="E17" s="9">
        <v>24.64</v>
      </c>
      <c r="F17" s="8" t="s">
        <v>469</v>
      </c>
      <c r="G17" s="10">
        <v>1964.9999999999998</v>
      </c>
      <c r="H17" s="11">
        <f t="shared" si="13"/>
        <v>0</v>
      </c>
      <c r="I17" s="143">
        <f t="shared" si="14"/>
        <v>0</v>
      </c>
      <c r="J17" s="9">
        <f t="array" ref="J17">IFERROR(I17/G17*100,0)</f>
        <v>0</v>
      </c>
      <c r="K17" s="143">
        <f t="shared" si="15"/>
        <v>0</v>
      </c>
      <c r="L17" s="9">
        <f t="shared" si="12"/>
        <v>0</v>
      </c>
      <c r="M17" s="8" t="str">
        <f t="array" ref="M17">IF(L17&gt;5,"Perlu Pengendalian",IF(AND(L17&gt;=0,I17&gt;0),"Tidak Perlu Pengendalian","Belum Sensus"))</f>
        <v>Belum Sensus</v>
      </c>
      <c r="N17" s="143">
        <f t="shared" si="16"/>
        <v>0</v>
      </c>
      <c r="O17" s="9">
        <f t="array" ref="O17">IFERROR(N17/I17*100,0)</f>
        <v>0</v>
      </c>
      <c r="P17" s="11"/>
      <c r="Q17" s="143"/>
      <c r="R17" s="9">
        <f t="shared" si="8"/>
        <v>0</v>
      </c>
      <c r="S17" s="143"/>
      <c r="T17" s="9">
        <f t="shared" si="5"/>
        <v>0</v>
      </c>
      <c r="U17" s="8" t="str">
        <f t="array" ref="U17">IF(T17&gt;5,"Perlu Pengendalian",IF(AND(T17&gt;=0,Q17&gt;0),"Tidak Perlu Pengendalian","Belum Sensus"))</f>
        <v>Belum Sensus</v>
      </c>
      <c r="V17" s="143"/>
      <c r="W17" s="9">
        <f t="array" ref="W17">IFERROR(V17/Q17*100,0)</f>
        <v>0</v>
      </c>
      <c r="X17" s="11"/>
      <c r="Y17" s="143"/>
      <c r="Z17" s="9">
        <f t="shared" si="9"/>
        <v>0</v>
      </c>
      <c r="AA17" s="143"/>
      <c r="AB17" s="9">
        <f t="shared" si="6"/>
        <v>0</v>
      </c>
      <c r="AC17" s="8" t="str">
        <f t="array" ref="AC17">IF(AB17&gt;5,"Perlu Pengendalian",IF(AND(AB17&gt;=0,Y17&gt;0),"Tidak Perlu Pengendalian","Belum Sensus"))</f>
        <v>Belum Sensus</v>
      </c>
      <c r="AD17" s="143">
        <v>0</v>
      </c>
      <c r="AE17" s="9">
        <f t="array" ref="AE17">IFERROR(AD17/Y17*100,0)</f>
        <v>0</v>
      </c>
      <c r="AG17" s="206">
        <v>8.5714285714285712</v>
      </c>
      <c r="AH17" s="206">
        <v>1.77</v>
      </c>
      <c r="AI17" s="206">
        <v>0</v>
      </c>
    </row>
    <row r="18" spans="1:35" outlineLevel="1" x14ac:dyDescent="0.15">
      <c r="A18" s="8" t="s">
        <v>949</v>
      </c>
      <c r="B18" s="8"/>
      <c r="C18" s="8" t="s">
        <v>14</v>
      </c>
      <c r="D18" s="8" t="s">
        <v>1339</v>
      </c>
      <c r="E18" s="9">
        <v>32.409999999999997</v>
      </c>
      <c r="F18" s="8" t="s">
        <v>469</v>
      </c>
      <c r="G18" s="10">
        <v>3323</v>
      </c>
      <c r="H18" s="11">
        <f t="shared" si="13"/>
        <v>0</v>
      </c>
      <c r="I18" s="143">
        <f t="shared" si="14"/>
        <v>0</v>
      </c>
      <c r="J18" s="9">
        <f t="array" ref="J18">IFERROR(I18/G18*100,0)</f>
        <v>0</v>
      </c>
      <c r="K18" s="143">
        <f t="shared" si="15"/>
        <v>0</v>
      </c>
      <c r="L18" s="9">
        <f t="shared" si="12"/>
        <v>0</v>
      </c>
      <c r="M18" s="8" t="str">
        <f t="array" ref="M18">IF(L18&gt;5,"Perlu Pengendalian",IF(AND(L18&gt;=0,I18&gt;0),"Tidak Perlu Pengendalian","Belum Sensus"))</f>
        <v>Belum Sensus</v>
      </c>
      <c r="N18" s="143">
        <f t="shared" si="16"/>
        <v>0</v>
      </c>
      <c r="O18" s="9">
        <f t="array" ref="O18">IFERROR(N18/I18*100,0)</f>
        <v>0</v>
      </c>
      <c r="P18" s="11"/>
      <c r="Q18" s="143"/>
      <c r="R18" s="9">
        <f t="shared" si="8"/>
        <v>0</v>
      </c>
      <c r="S18" s="143"/>
      <c r="T18" s="9">
        <f t="shared" si="5"/>
        <v>0</v>
      </c>
      <c r="U18" s="8" t="str">
        <f t="array" ref="U18">IF(T18&gt;5,"Perlu Pengendalian",IF(AND(T18&gt;=0,Q18&gt;0),"Tidak Perlu Pengendalian","Belum Sensus"))</f>
        <v>Belum Sensus</v>
      </c>
      <c r="V18" s="143"/>
      <c r="W18" s="9">
        <f t="array" ref="W18">IFERROR(V18/Q18*100,0)</f>
        <v>0</v>
      </c>
      <c r="X18" s="11"/>
      <c r="Y18" s="143"/>
      <c r="Z18" s="9">
        <f t="shared" si="9"/>
        <v>0</v>
      </c>
      <c r="AA18" s="143"/>
      <c r="AB18" s="9">
        <f t="shared" si="6"/>
        <v>0</v>
      </c>
      <c r="AC18" s="8" t="str">
        <f t="array" ref="AC18">IF(AB18&gt;5,"Perlu Pengendalian",IF(AND(AB18&gt;=0,Y18&gt;0),"Tidak Perlu Pengendalian","Belum Sensus"))</f>
        <v>Belum Sensus</v>
      </c>
      <c r="AD18" s="143">
        <v>0</v>
      </c>
      <c r="AE18" s="9">
        <f t="array" ref="AE18">IFERROR(AD18/Y18*100,0)</f>
        <v>0</v>
      </c>
      <c r="AG18" s="206">
        <v>9.5238095238095237</v>
      </c>
      <c r="AH18" s="206">
        <v>4.1180000000000003</v>
      </c>
      <c r="AI18" s="206">
        <v>0</v>
      </c>
    </row>
    <row r="19" spans="1:35" outlineLevel="1" x14ac:dyDescent="0.15">
      <c r="A19" s="8" t="s">
        <v>949</v>
      </c>
      <c r="B19" s="8"/>
      <c r="C19" s="8" t="s">
        <v>14</v>
      </c>
      <c r="D19" s="8" t="s">
        <v>1352</v>
      </c>
      <c r="E19" s="179">
        <v>28.31</v>
      </c>
      <c r="F19" s="8" t="s">
        <v>469</v>
      </c>
      <c r="G19" s="10">
        <v>2439</v>
      </c>
      <c r="H19" s="11">
        <f t="shared" si="13"/>
        <v>0</v>
      </c>
      <c r="I19" s="143">
        <f t="shared" si="14"/>
        <v>0</v>
      </c>
      <c r="J19" s="9">
        <f t="array" ref="J19">IFERROR(I19/G19*100,0)</f>
        <v>0</v>
      </c>
      <c r="K19" s="143">
        <f t="shared" si="15"/>
        <v>0</v>
      </c>
      <c r="L19" s="9">
        <f t="shared" si="12"/>
        <v>0</v>
      </c>
      <c r="M19" s="8" t="str">
        <f t="array" ref="M19">IF(L19&gt;5,"Perlu Pengendalian",IF(AND(L19&gt;=0,I19&gt;0),"Tidak Perlu Pengendalian","Belum Sensus"))</f>
        <v>Belum Sensus</v>
      </c>
      <c r="N19" s="143">
        <f t="shared" si="16"/>
        <v>0</v>
      </c>
      <c r="O19" s="9">
        <f t="array" ref="O19">IFERROR(N19/I19*100,0)</f>
        <v>0</v>
      </c>
      <c r="P19" s="11"/>
      <c r="Q19" s="143"/>
      <c r="R19" s="9">
        <f t="shared" si="8"/>
        <v>0</v>
      </c>
      <c r="S19" s="143"/>
      <c r="T19" s="9">
        <f t="shared" si="5"/>
        <v>0</v>
      </c>
      <c r="U19" s="8" t="str">
        <f t="array" ref="U19">IF(T19&gt;5,"Perlu Pengendalian",IF(AND(T19&gt;=0,Q19&gt;0),"Tidak Perlu Pengendalian","Belum Sensus"))</f>
        <v>Belum Sensus</v>
      </c>
      <c r="V19" s="143"/>
      <c r="W19" s="9">
        <f t="array" ref="W19">IFERROR(V19/Q19*100,0)</f>
        <v>0</v>
      </c>
      <c r="X19" s="11"/>
      <c r="Y19" s="143"/>
      <c r="Z19" s="9">
        <f t="shared" si="9"/>
        <v>0</v>
      </c>
      <c r="AA19" s="143"/>
      <c r="AB19" s="9">
        <f t="shared" si="6"/>
        <v>0</v>
      </c>
      <c r="AC19" s="8" t="str">
        <f t="array" ref="AC19">IF(AB19&gt;5,"Perlu Pengendalian",IF(AND(AB19&gt;=0,Y19&gt;0),"Tidak Perlu Pengendalian","Belum Sensus"))</f>
        <v>Belum Sensus</v>
      </c>
      <c r="AD19" s="143">
        <v>0</v>
      </c>
      <c r="AE19" s="9">
        <f t="array" ref="AE19">IFERROR(AD19/Y19*100,0)</f>
        <v>0</v>
      </c>
      <c r="AG19" s="206">
        <v>1.9230769230769231</v>
      </c>
      <c r="AH19" s="206">
        <v>2.2899999999999996</v>
      </c>
      <c r="AI19" s="206">
        <v>0</v>
      </c>
    </row>
    <row r="20" spans="1:35" outlineLevel="1" x14ac:dyDescent="0.15">
      <c r="A20" s="8" t="s">
        <v>949</v>
      </c>
      <c r="B20" s="8"/>
      <c r="C20" s="8" t="s">
        <v>14</v>
      </c>
      <c r="D20" s="8" t="s">
        <v>1353</v>
      </c>
      <c r="E20" s="180">
        <v>25.8</v>
      </c>
      <c r="F20" s="8" t="s">
        <v>469</v>
      </c>
      <c r="G20" s="10">
        <v>2698</v>
      </c>
      <c r="H20" s="11">
        <f t="shared" si="13"/>
        <v>0</v>
      </c>
      <c r="I20" s="143">
        <f t="shared" si="14"/>
        <v>0</v>
      </c>
      <c r="J20" s="9">
        <f t="array" ref="J20">IFERROR(I20/G20*100,0)</f>
        <v>0</v>
      </c>
      <c r="K20" s="143">
        <f t="shared" si="15"/>
        <v>0</v>
      </c>
      <c r="L20" s="9">
        <f t="shared" si="12"/>
        <v>0</v>
      </c>
      <c r="M20" s="8" t="str">
        <f t="array" ref="M20">IF(L20&gt;5,"Perlu Pengendalian",IF(AND(L20&gt;=0,I20&gt;0),"Tidak Perlu Pengendalian","Belum Sensus"))</f>
        <v>Belum Sensus</v>
      </c>
      <c r="N20" s="143">
        <f t="shared" si="16"/>
        <v>0</v>
      </c>
      <c r="O20" s="9">
        <f t="array" ref="O20">IFERROR(N20/I20*100,0)</f>
        <v>0</v>
      </c>
      <c r="P20" s="11"/>
      <c r="Q20" s="143"/>
      <c r="R20" s="9">
        <f t="shared" si="8"/>
        <v>0</v>
      </c>
      <c r="S20" s="143"/>
      <c r="T20" s="9">
        <f t="shared" si="5"/>
        <v>0</v>
      </c>
      <c r="U20" s="8" t="str">
        <f t="array" ref="U20">IF(T20&gt;5,"Perlu Pengendalian",IF(AND(T20&gt;=0,Q20&gt;0),"Tidak Perlu Pengendalian","Belum Sensus"))</f>
        <v>Belum Sensus</v>
      </c>
      <c r="V20" s="143"/>
      <c r="W20" s="9">
        <f t="array" ref="W20">IFERROR(V20/Q20*100,0)</f>
        <v>0</v>
      </c>
      <c r="X20" s="11"/>
      <c r="Y20" s="143"/>
      <c r="Z20" s="9">
        <f t="shared" si="9"/>
        <v>0</v>
      </c>
      <c r="AA20" s="143"/>
      <c r="AB20" s="9">
        <f t="shared" si="6"/>
        <v>0</v>
      </c>
      <c r="AC20" s="8" t="str">
        <f t="array" ref="AC20">IF(AB20&gt;5,"Perlu Pengendalian",IF(AND(AB20&gt;=0,Y20&gt;0),"Tidak Perlu Pengendalian","Belum Sensus"))</f>
        <v>Belum Sensus</v>
      </c>
      <c r="AD20" s="143">
        <v>0</v>
      </c>
      <c r="AE20" s="9">
        <f t="array" ref="AE20">IFERROR(AD20/Y20*100,0)</f>
        <v>0</v>
      </c>
      <c r="AG20" s="206">
        <v>4.0229885057471266</v>
      </c>
      <c r="AH20" s="206">
        <v>1.82</v>
      </c>
      <c r="AI20" s="206">
        <v>0</v>
      </c>
    </row>
    <row r="21" spans="1:35" outlineLevel="1" x14ac:dyDescent="0.15">
      <c r="A21" s="8" t="s">
        <v>949</v>
      </c>
      <c r="B21" s="8"/>
      <c r="C21" s="8" t="s">
        <v>14</v>
      </c>
      <c r="D21" s="215" t="s">
        <v>1756</v>
      </c>
      <c r="E21" s="9">
        <v>39.32</v>
      </c>
      <c r="F21" s="8" t="s">
        <v>469</v>
      </c>
      <c r="G21" s="10">
        <v>3499</v>
      </c>
      <c r="H21" s="11">
        <v>46171</v>
      </c>
      <c r="I21" s="143">
        <v>208</v>
      </c>
      <c r="J21" s="9">
        <f t="array" ref="J21">IFERROR(I21/G21*100,0)</f>
        <v>5.9445555873106608</v>
      </c>
      <c r="K21" s="143">
        <v>16</v>
      </c>
      <c r="L21" s="9">
        <f t="shared" si="12"/>
        <v>7.6923076923076925</v>
      </c>
      <c r="M21" s="8" t="str">
        <f t="array" ref="M21">IF(L21&gt;5,"Perlu Pengendalian",IF(AND(L21&gt;=0,I21&gt;0),"Tidak Perlu Pengendalian","Belum Sensus"))</f>
        <v>Perlu Pengendalian</v>
      </c>
      <c r="N21" s="143">
        <v>0</v>
      </c>
      <c r="O21" s="9">
        <f t="array" ref="O21">IFERROR(N21/I21*100,0)</f>
        <v>0</v>
      </c>
      <c r="P21" s="11">
        <v>46171</v>
      </c>
      <c r="Q21" s="143">
        <v>208</v>
      </c>
      <c r="R21" s="9">
        <f t="shared" si="8"/>
        <v>5.9445555873106608</v>
      </c>
      <c r="S21" s="143">
        <v>16</v>
      </c>
      <c r="T21" s="9">
        <f t="shared" si="5"/>
        <v>7.6923076923076925</v>
      </c>
      <c r="U21" s="8" t="str">
        <f t="array" ref="U21">IF(T21&gt;5,"Perlu Pengendalian",IF(AND(T21&gt;=0,Q21&gt;0),"Tidak Perlu Pengendalian","Belum Sensus"))</f>
        <v>Perlu Pengendalian</v>
      </c>
      <c r="V21" s="143">
        <v>0</v>
      </c>
      <c r="W21" s="9">
        <f t="array" ref="W21">IFERROR(V21/Q21*100,0)</f>
        <v>0</v>
      </c>
      <c r="X21" s="11">
        <v>46200</v>
      </c>
      <c r="Y21" s="143">
        <v>401.27794199999988</v>
      </c>
      <c r="Z21" s="9">
        <f t="shared" si="9"/>
        <v>11.468360731637608</v>
      </c>
      <c r="AA21" s="143">
        <v>30.867533999999988</v>
      </c>
      <c r="AB21" s="9">
        <f t="shared" si="6"/>
        <v>7.6923076923076916</v>
      </c>
      <c r="AC21" s="8" t="str">
        <f t="array" ref="AC21">IF(AB21&gt;5,"Perlu Pengendalian",IF(AND(AB21&gt;=0,Y21&gt;0),"Tidak Perlu Pengendalian","Belum Sensus"))</f>
        <v>Perlu Pengendalian</v>
      </c>
      <c r="AD21" s="143">
        <v>30.250183319999987</v>
      </c>
      <c r="AE21" s="9">
        <f t="array" ref="AE21">IFERROR(AD21/Y21*100,0)</f>
        <v>7.5384615384615365</v>
      </c>
      <c r="AG21" s="206">
        <v>7.9207920792079207</v>
      </c>
      <c r="AH21" s="206">
        <v>10.16</v>
      </c>
      <c r="AI21" s="206">
        <v>0</v>
      </c>
    </row>
    <row r="22" spans="1:35" outlineLevel="1" x14ac:dyDescent="0.15">
      <c r="A22" s="8" t="s">
        <v>949</v>
      </c>
      <c r="B22" s="8"/>
      <c r="C22" s="8" t="s">
        <v>14</v>
      </c>
      <c r="D22" s="8" t="s">
        <v>1354</v>
      </c>
      <c r="E22" s="179">
        <v>38.14</v>
      </c>
      <c r="F22" s="8" t="s">
        <v>469</v>
      </c>
      <c r="G22" s="10">
        <v>4112</v>
      </c>
      <c r="H22" s="11">
        <f t="shared" ref="H22:H85" si="17">MAX(P22,X22)</f>
        <v>0</v>
      </c>
      <c r="I22" s="143">
        <f t="shared" ref="I22:I85" si="18">MAX(Q22,Y22)</f>
        <v>0</v>
      </c>
      <c r="J22" s="9">
        <f t="array" ref="J22">IFERROR(I22/G22*100,0)</f>
        <v>0</v>
      </c>
      <c r="K22" s="143">
        <f t="shared" ref="K22:K85" si="19">MAX(S22,AA22)</f>
        <v>0</v>
      </c>
      <c r="L22" s="9">
        <f t="shared" si="12"/>
        <v>0</v>
      </c>
      <c r="M22" s="8" t="str">
        <f t="array" ref="M22">IF(L22&gt;5,"Perlu Pengendalian",IF(AND(L22&gt;=0,I22&gt;0),"Tidak Perlu Pengendalian","Belum Sensus"))</f>
        <v>Belum Sensus</v>
      </c>
      <c r="N22" s="143">
        <f t="shared" ref="N22:N85" si="20">MAX(V22,AD22)</f>
        <v>0</v>
      </c>
      <c r="O22" s="9">
        <f t="array" ref="O22">IFERROR(N22/I22*100,0)</f>
        <v>0</v>
      </c>
      <c r="P22" s="11"/>
      <c r="Q22" s="143"/>
      <c r="R22" s="9">
        <f t="shared" si="8"/>
        <v>0</v>
      </c>
      <c r="S22" s="143"/>
      <c r="T22" s="9">
        <f t="shared" si="5"/>
        <v>0</v>
      </c>
      <c r="U22" s="8" t="str">
        <f t="array" ref="U22">IF(T22&gt;5,"Perlu Pengendalian",IF(AND(T22&gt;=0,Q22&gt;0),"Tidak Perlu Pengendalian","Belum Sensus"))</f>
        <v>Belum Sensus</v>
      </c>
      <c r="V22" s="143"/>
      <c r="W22" s="9">
        <f t="array" ref="W22">IFERROR(V22/Q22*100,0)</f>
        <v>0</v>
      </c>
      <c r="X22" s="11"/>
      <c r="Y22" s="143"/>
      <c r="Z22" s="9">
        <f t="shared" si="9"/>
        <v>0</v>
      </c>
      <c r="AA22" s="143"/>
      <c r="AB22" s="9">
        <f t="shared" si="6"/>
        <v>0</v>
      </c>
      <c r="AC22" s="8" t="str">
        <f t="array" ref="AC22">IF(AB22&gt;5,"Perlu Pengendalian",IF(AND(AB22&gt;=0,Y22&gt;0),"Tidak Perlu Pengendalian","Belum Sensus"))</f>
        <v>Belum Sensus</v>
      </c>
      <c r="AD22" s="143">
        <v>0</v>
      </c>
      <c r="AE22" s="9">
        <f t="array" ref="AE22">IFERROR(AD22/Y22*100,0)</f>
        <v>0</v>
      </c>
      <c r="AG22" s="206">
        <v>0.96153846153846156</v>
      </c>
      <c r="AH22" s="206">
        <v>4.12</v>
      </c>
      <c r="AI22" s="206">
        <v>0</v>
      </c>
    </row>
    <row r="23" spans="1:35" outlineLevel="1" x14ac:dyDescent="0.15">
      <c r="A23" s="8" t="s">
        <v>949</v>
      </c>
      <c r="B23" s="8"/>
      <c r="C23" s="8" t="s">
        <v>14</v>
      </c>
      <c r="D23" s="8" t="s">
        <v>1355</v>
      </c>
      <c r="E23" s="179">
        <v>31.8</v>
      </c>
      <c r="F23" s="8" t="s">
        <v>469</v>
      </c>
      <c r="G23" s="10">
        <v>3328</v>
      </c>
      <c r="H23" s="11">
        <f t="shared" si="17"/>
        <v>0</v>
      </c>
      <c r="I23" s="143">
        <f t="shared" si="18"/>
        <v>0</v>
      </c>
      <c r="J23" s="9">
        <f t="array" ref="J23">IFERROR(I23/G23*100,0)</f>
        <v>0</v>
      </c>
      <c r="K23" s="143">
        <f t="shared" si="19"/>
        <v>0</v>
      </c>
      <c r="L23" s="9">
        <f t="shared" si="12"/>
        <v>0</v>
      </c>
      <c r="M23" s="8" t="str">
        <f t="array" ref="M23">IF(L23&gt;5,"Perlu Pengendalian",IF(AND(L23&gt;=0,I23&gt;0),"Tidak Perlu Pengendalian","Belum Sensus"))</f>
        <v>Belum Sensus</v>
      </c>
      <c r="N23" s="143">
        <f t="shared" si="20"/>
        <v>0</v>
      </c>
      <c r="O23" s="9">
        <f t="array" ref="O23">IFERROR(N23/I23*100,0)</f>
        <v>0</v>
      </c>
      <c r="P23" s="11"/>
      <c r="Q23" s="143"/>
      <c r="R23" s="9">
        <f t="shared" si="8"/>
        <v>0</v>
      </c>
      <c r="S23" s="143"/>
      <c r="T23" s="9">
        <f t="shared" si="5"/>
        <v>0</v>
      </c>
      <c r="U23" s="8" t="str">
        <f t="array" ref="U23">IF(T23&gt;5,"Perlu Pengendalian",IF(AND(T23&gt;=0,Q23&gt;0),"Tidak Perlu Pengendalian","Belum Sensus"))</f>
        <v>Belum Sensus</v>
      </c>
      <c r="V23" s="143"/>
      <c r="W23" s="9">
        <f t="array" ref="W23">IFERROR(V23/Q23*100,0)</f>
        <v>0</v>
      </c>
      <c r="X23" s="11"/>
      <c r="Y23" s="143"/>
      <c r="Z23" s="9">
        <f t="shared" si="9"/>
        <v>0</v>
      </c>
      <c r="AA23" s="143"/>
      <c r="AB23" s="9">
        <f t="shared" si="6"/>
        <v>0</v>
      </c>
      <c r="AC23" s="8" t="str">
        <f t="array" ref="AC23">IF(AB23&gt;5,"Perlu Pengendalian",IF(AND(AB23&gt;=0,Y23&gt;0),"Tidak Perlu Pengendalian","Belum Sensus"))</f>
        <v>Belum Sensus</v>
      </c>
      <c r="AD23" s="143">
        <v>0</v>
      </c>
      <c r="AE23" s="9">
        <f t="array" ref="AE23">IFERROR(AD23/Y23*100,0)</f>
        <v>0</v>
      </c>
      <c r="AG23" s="206">
        <v>1.9230769230769231</v>
      </c>
      <c r="AH23" s="206">
        <v>3.73</v>
      </c>
      <c r="AI23" s="206">
        <v>0</v>
      </c>
    </row>
    <row r="24" spans="1:35" outlineLevel="1" x14ac:dyDescent="0.15">
      <c r="A24" s="8" t="s">
        <v>949</v>
      </c>
      <c r="B24" s="8"/>
      <c r="C24" s="8" t="s">
        <v>14</v>
      </c>
      <c r="D24" s="215" t="s">
        <v>1757</v>
      </c>
      <c r="E24" s="9">
        <v>40.64</v>
      </c>
      <c r="F24" s="8" t="s">
        <v>469</v>
      </c>
      <c r="G24" s="10">
        <v>3928</v>
      </c>
      <c r="H24" s="11">
        <f t="shared" si="17"/>
        <v>0</v>
      </c>
      <c r="I24" s="143">
        <f t="shared" si="18"/>
        <v>0</v>
      </c>
      <c r="J24" s="9">
        <f t="array" ref="J24">IFERROR(I24/G24*100,0)</f>
        <v>0</v>
      </c>
      <c r="K24" s="143">
        <f t="shared" si="19"/>
        <v>0</v>
      </c>
      <c r="L24" s="9">
        <f t="shared" si="12"/>
        <v>0</v>
      </c>
      <c r="M24" s="8" t="str">
        <f t="array" ref="M24">IF(L24&gt;5,"Perlu Pengendalian",IF(AND(L24&gt;=0,I24&gt;0),"Tidak Perlu Pengendalian","Belum Sensus"))</f>
        <v>Belum Sensus</v>
      </c>
      <c r="N24" s="143">
        <f t="shared" si="20"/>
        <v>0</v>
      </c>
      <c r="O24" s="9">
        <f t="array" ref="O24">IFERROR(N24/I24*100,0)</f>
        <v>0</v>
      </c>
      <c r="P24" s="11"/>
      <c r="Q24" s="143"/>
      <c r="R24" s="9">
        <f t="shared" si="8"/>
        <v>0</v>
      </c>
      <c r="S24" s="143"/>
      <c r="T24" s="9">
        <f t="shared" si="5"/>
        <v>0</v>
      </c>
      <c r="U24" s="8" t="str">
        <f t="array" ref="U24">IF(T24&gt;5,"Perlu Pengendalian",IF(AND(T24&gt;=0,Q24&gt;0),"Tidak Perlu Pengendalian","Belum Sensus"))</f>
        <v>Belum Sensus</v>
      </c>
      <c r="V24" s="143"/>
      <c r="W24" s="9">
        <f t="array" ref="W24">IFERROR(V24/Q24*100,0)</f>
        <v>0</v>
      </c>
      <c r="X24" s="11"/>
      <c r="Y24" s="143"/>
      <c r="Z24" s="9">
        <f t="shared" si="9"/>
        <v>0</v>
      </c>
      <c r="AA24" s="143"/>
      <c r="AB24" s="9">
        <f t="shared" si="6"/>
        <v>0</v>
      </c>
      <c r="AC24" s="8" t="str">
        <f t="array" ref="AC24">IF(AB24&gt;5,"Perlu Pengendalian",IF(AND(AB24&gt;=0,Y24&gt;0),"Tidak Perlu Pengendalian","Belum Sensus"))</f>
        <v>Belum Sensus</v>
      </c>
      <c r="AD24" s="143">
        <v>0</v>
      </c>
      <c r="AE24" s="9">
        <f t="array" ref="AE24">IFERROR(AD24/Y24*100,0)</f>
        <v>0</v>
      </c>
      <c r="AG24" s="206">
        <v>8.3333333333333321</v>
      </c>
      <c r="AH24" s="206">
        <v>2.84</v>
      </c>
      <c r="AI24" s="206">
        <v>0</v>
      </c>
    </row>
    <row r="25" spans="1:35" outlineLevel="1" x14ac:dyDescent="0.15">
      <c r="A25" s="8" t="s">
        <v>949</v>
      </c>
      <c r="B25" s="8"/>
      <c r="C25" s="8" t="s">
        <v>47</v>
      </c>
      <c r="D25" s="215" t="s">
        <v>1335</v>
      </c>
      <c r="E25" s="179">
        <v>36.800000000000004</v>
      </c>
      <c r="F25" s="8" t="s">
        <v>469</v>
      </c>
      <c r="G25" s="10">
        <v>320</v>
      </c>
      <c r="H25" s="11">
        <f t="shared" si="17"/>
        <v>46182</v>
      </c>
      <c r="I25" s="143">
        <f t="shared" si="18"/>
        <v>39.68</v>
      </c>
      <c r="J25" s="9">
        <f t="array" ref="J25">IFERROR(I25/G25*100,0)</f>
        <v>12.4</v>
      </c>
      <c r="K25" s="143">
        <f t="shared" si="19"/>
        <v>2.4195121951219511</v>
      </c>
      <c r="L25" s="9">
        <f t="shared" si="12"/>
        <v>6.0975609756097562</v>
      </c>
      <c r="M25" s="8" t="str">
        <f t="array" ref="M25">IF(L25&gt;5,"Perlu Pengendalian",IF(AND(L25&gt;=0,I25&gt;0),"Tidak Perlu Pengendalian","Belum Sensus"))</f>
        <v>Perlu Pengendalian</v>
      </c>
      <c r="N25" s="143">
        <f t="shared" si="20"/>
        <v>2.3711219512195121</v>
      </c>
      <c r="O25" s="9">
        <f t="array" ref="O25">IFERROR(N25/I25*100,0)</f>
        <v>5.975609756097561</v>
      </c>
      <c r="P25" s="11"/>
      <c r="Q25" s="143"/>
      <c r="R25" s="9">
        <f t="shared" si="8"/>
        <v>0</v>
      </c>
      <c r="S25" s="143"/>
      <c r="T25" s="9">
        <f t="shared" si="5"/>
        <v>0</v>
      </c>
      <c r="U25" s="8" t="str">
        <f t="array" ref="U25">IF(T25&gt;5,"Perlu Pengendalian",IF(AND(T25&gt;=0,Q25&gt;0),"Tidak Perlu Pengendalian","Belum Sensus"))</f>
        <v>Belum Sensus</v>
      </c>
      <c r="V25" s="143"/>
      <c r="W25" s="9">
        <f t="array" ref="W25">IFERROR(V25/Q25*100,0)</f>
        <v>0</v>
      </c>
      <c r="X25" s="11">
        <v>46182</v>
      </c>
      <c r="Y25" s="143">
        <v>39.68</v>
      </c>
      <c r="Z25" s="9">
        <f t="shared" si="9"/>
        <v>12.4</v>
      </c>
      <c r="AA25" s="143">
        <v>2.4195121951219511</v>
      </c>
      <c r="AB25" s="9">
        <f t="shared" si="6"/>
        <v>6.0975609756097562</v>
      </c>
      <c r="AC25" s="8" t="str">
        <f t="array" ref="AC25">IF(AB25&gt;5,"Perlu Pengendalian",IF(AND(AB25&gt;=0,Y25&gt;0),"Tidak Perlu Pengendalian","Belum Sensus"))</f>
        <v>Perlu Pengendalian</v>
      </c>
      <c r="AD25" s="143">
        <v>2.3711219512195121</v>
      </c>
      <c r="AE25" s="9">
        <f t="array" ref="AE25">IFERROR(AD25/Y25*100,0)</f>
        <v>5.975609756097561</v>
      </c>
      <c r="AG25" s="206">
        <v>1.25</v>
      </c>
      <c r="AH25" s="206">
        <v>6.32</v>
      </c>
      <c r="AI25" s="206">
        <v>0</v>
      </c>
    </row>
    <row r="26" spans="1:35" outlineLevel="1" x14ac:dyDescent="0.15">
      <c r="A26" s="8" t="s">
        <v>949</v>
      </c>
      <c r="B26" s="8"/>
      <c r="C26" s="8" t="s">
        <v>47</v>
      </c>
      <c r="D26" s="8" t="s">
        <v>1350</v>
      </c>
      <c r="E26" s="179">
        <v>36.169999999999995</v>
      </c>
      <c r="F26" s="8" t="s">
        <v>469</v>
      </c>
      <c r="G26" s="10">
        <v>3123</v>
      </c>
      <c r="H26" s="11">
        <f t="shared" si="17"/>
        <v>0</v>
      </c>
      <c r="I26" s="143">
        <f t="shared" si="18"/>
        <v>0</v>
      </c>
      <c r="J26" s="9">
        <f t="array" ref="J26">IFERROR(I26/G26*100,0)</f>
        <v>0</v>
      </c>
      <c r="K26" s="143">
        <f t="shared" si="19"/>
        <v>0</v>
      </c>
      <c r="L26" s="9">
        <f t="shared" si="12"/>
        <v>0</v>
      </c>
      <c r="M26" s="8" t="str">
        <f t="array" ref="M26">IF(L26&gt;5,"Perlu Pengendalian",IF(AND(L26&gt;=0,I26&gt;0),"Tidak Perlu Pengendalian","Belum Sensus"))</f>
        <v>Belum Sensus</v>
      </c>
      <c r="N26" s="143">
        <f t="shared" si="20"/>
        <v>0</v>
      </c>
      <c r="O26" s="9">
        <f t="array" ref="O26">IFERROR(N26/I26*100,0)</f>
        <v>0</v>
      </c>
      <c r="P26" s="11"/>
      <c r="Q26" s="143"/>
      <c r="R26" s="9">
        <f t="shared" si="8"/>
        <v>0</v>
      </c>
      <c r="S26" s="143"/>
      <c r="T26" s="9">
        <f t="shared" si="5"/>
        <v>0</v>
      </c>
      <c r="U26" s="8" t="str">
        <f t="array" ref="U26">IF(T26&gt;5,"Perlu Pengendalian",IF(AND(T26&gt;=0,Q26&gt;0),"Tidak Perlu Pengendalian","Belum Sensus"))</f>
        <v>Belum Sensus</v>
      </c>
      <c r="V26" s="143"/>
      <c r="W26" s="9">
        <f t="array" ref="W26">IFERROR(V26/Q26*100,0)</f>
        <v>0</v>
      </c>
      <c r="X26" s="11"/>
      <c r="Y26" s="143"/>
      <c r="Z26" s="9">
        <f t="shared" si="9"/>
        <v>0</v>
      </c>
      <c r="AA26" s="143"/>
      <c r="AB26" s="9">
        <f t="shared" si="6"/>
        <v>0</v>
      </c>
      <c r="AC26" s="8" t="str">
        <f t="array" ref="AC26">IF(AB26&gt;5,"Perlu Pengendalian",IF(AND(AB26&gt;=0,Y26&gt;0),"Tidak Perlu Pengendalian","Belum Sensus"))</f>
        <v>Belum Sensus</v>
      </c>
      <c r="AD26" s="143">
        <v>0</v>
      </c>
      <c r="AE26" s="9">
        <f t="array" ref="AE26">IFERROR(AD26/Y26*100,0)</f>
        <v>0</v>
      </c>
      <c r="AG26" s="206">
        <v>5.7692307692307692</v>
      </c>
      <c r="AH26" s="206">
        <v>3.34</v>
      </c>
      <c r="AI26" s="206">
        <v>0</v>
      </c>
    </row>
    <row r="27" spans="1:35" outlineLevel="1" x14ac:dyDescent="0.15">
      <c r="A27" s="8" t="s">
        <v>949</v>
      </c>
      <c r="B27" s="8"/>
      <c r="C27" s="8" t="s">
        <v>47</v>
      </c>
      <c r="D27" s="8" t="s">
        <v>1351</v>
      </c>
      <c r="E27" s="179">
        <v>35.409999999999997</v>
      </c>
      <c r="F27" s="8" t="s">
        <v>469</v>
      </c>
      <c r="G27" s="10">
        <v>3072</v>
      </c>
      <c r="H27" s="11">
        <f t="shared" si="17"/>
        <v>0</v>
      </c>
      <c r="I27" s="143">
        <f t="shared" si="18"/>
        <v>0</v>
      </c>
      <c r="J27" s="9">
        <f t="array" ref="J27">IFERROR(I27/G27*100,0)</f>
        <v>0</v>
      </c>
      <c r="K27" s="143">
        <f t="shared" si="19"/>
        <v>0</v>
      </c>
      <c r="L27" s="9">
        <f t="shared" si="12"/>
        <v>0</v>
      </c>
      <c r="M27" s="8" t="str">
        <f t="array" ref="M27">IF(L27&gt;5,"Perlu Pengendalian",IF(AND(L27&gt;=0,I27&gt;0),"Tidak Perlu Pengendalian","Belum Sensus"))</f>
        <v>Belum Sensus</v>
      </c>
      <c r="N27" s="143">
        <f t="shared" si="20"/>
        <v>0</v>
      </c>
      <c r="O27" s="9">
        <f t="array" ref="O27">IFERROR(N27/I27*100,0)</f>
        <v>0</v>
      </c>
      <c r="P27" s="11"/>
      <c r="Q27" s="143"/>
      <c r="R27" s="9">
        <f t="shared" si="8"/>
        <v>0</v>
      </c>
      <c r="S27" s="143"/>
      <c r="T27" s="9">
        <f t="shared" si="5"/>
        <v>0</v>
      </c>
      <c r="U27" s="8" t="str">
        <f t="array" ref="U27">IF(T27&gt;5,"Perlu Pengendalian",IF(AND(T27&gt;=0,Q27&gt;0),"Tidak Perlu Pengendalian","Belum Sensus"))</f>
        <v>Belum Sensus</v>
      </c>
      <c r="V27" s="143"/>
      <c r="W27" s="9">
        <f t="array" ref="W27">IFERROR(V27/Q27*100,0)</f>
        <v>0</v>
      </c>
      <c r="X27" s="11"/>
      <c r="Y27" s="143"/>
      <c r="Z27" s="9">
        <f t="shared" si="9"/>
        <v>0</v>
      </c>
      <c r="AA27" s="143"/>
      <c r="AB27" s="9">
        <f t="shared" si="6"/>
        <v>0</v>
      </c>
      <c r="AC27" s="8" t="str">
        <f t="array" ref="AC27">IF(AB27&gt;5,"Perlu Pengendalian",IF(AND(AB27&gt;=0,Y27&gt;0),"Tidak Perlu Pengendalian","Belum Sensus"))</f>
        <v>Belum Sensus</v>
      </c>
      <c r="AD27" s="143">
        <v>0</v>
      </c>
      <c r="AE27" s="9">
        <f t="array" ref="AE27">IFERROR(AD27/Y27*100,0)</f>
        <v>0</v>
      </c>
      <c r="AG27" s="206">
        <v>6.8965517241379306</v>
      </c>
      <c r="AH27" s="206">
        <v>2.21</v>
      </c>
      <c r="AI27" s="206">
        <v>0</v>
      </c>
    </row>
    <row r="28" spans="1:35" outlineLevel="1" x14ac:dyDescent="0.15">
      <c r="A28" s="8" t="s">
        <v>949</v>
      </c>
      <c r="B28" s="8"/>
      <c r="C28" s="8" t="s">
        <v>47</v>
      </c>
      <c r="D28" s="215" t="s">
        <v>1357</v>
      </c>
      <c r="E28" s="180">
        <v>28.490000000000002</v>
      </c>
      <c r="F28" s="8" t="s">
        <v>469</v>
      </c>
      <c r="G28" s="10">
        <v>2124</v>
      </c>
      <c r="H28" s="11">
        <f t="shared" si="17"/>
        <v>46185</v>
      </c>
      <c r="I28" s="143">
        <f t="shared" si="18"/>
        <v>288.86400000000003</v>
      </c>
      <c r="J28" s="9">
        <f t="array" ref="J28">IFERROR(I28/G28*100,0)</f>
        <v>13.600000000000001</v>
      </c>
      <c r="K28" s="143">
        <f t="shared" si="19"/>
        <v>31.362377142857149</v>
      </c>
      <c r="L28" s="9">
        <f t="shared" si="12"/>
        <v>10.857142857142858</v>
      </c>
      <c r="M28" s="8" t="str">
        <f t="array" ref="M28">IF(L28&gt;5,"Perlu Pengendalian",IF(AND(L28&gt;=0,I28&gt;0),"Tidak Perlu Pengendalian","Belum Sensus"))</f>
        <v>Perlu Pengendalian</v>
      </c>
      <c r="N28" s="143">
        <f t="shared" si="20"/>
        <v>30.735129600000004</v>
      </c>
      <c r="O28" s="9">
        <f t="array" ref="O28">IFERROR(N28/I28*100,0)</f>
        <v>10.64</v>
      </c>
      <c r="P28" s="11"/>
      <c r="Q28" s="143"/>
      <c r="R28" s="9">
        <f t="shared" si="8"/>
        <v>0</v>
      </c>
      <c r="S28" s="143"/>
      <c r="T28" s="9">
        <f t="shared" si="5"/>
        <v>0</v>
      </c>
      <c r="U28" s="8" t="str">
        <f t="array" ref="U28">IF(T28&gt;5,"Perlu Pengendalian",IF(AND(T28&gt;=0,Q28&gt;0),"Tidak Perlu Pengendalian","Belum Sensus"))</f>
        <v>Belum Sensus</v>
      </c>
      <c r="V28" s="143"/>
      <c r="W28" s="9">
        <f t="array" ref="W28">IFERROR(V28/Q28*100,0)</f>
        <v>0</v>
      </c>
      <c r="X28" s="11">
        <v>46185</v>
      </c>
      <c r="Y28" s="143">
        <v>288.86400000000003</v>
      </c>
      <c r="Z28" s="9">
        <f t="shared" si="9"/>
        <v>13.600000000000001</v>
      </c>
      <c r="AA28" s="143">
        <v>31.362377142857149</v>
      </c>
      <c r="AB28" s="9">
        <f t="shared" si="6"/>
        <v>10.857142857142858</v>
      </c>
      <c r="AC28" s="8" t="str">
        <f t="array" ref="AC28">IF(AB28&gt;5,"Perlu Pengendalian",IF(AND(AB28&gt;=0,Y28&gt;0),"Tidak Perlu Pengendalian","Belum Sensus"))</f>
        <v>Perlu Pengendalian</v>
      </c>
      <c r="AD28" s="143">
        <v>30.735129600000004</v>
      </c>
      <c r="AE28" s="9">
        <f t="array" ref="AE28">IFERROR(AD28/Y28*100,0)</f>
        <v>10.64</v>
      </c>
      <c r="AG28" s="206">
        <v>3.3613445378151261</v>
      </c>
      <c r="AH28" s="206">
        <v>8.7100000000000009</v>
      </c>
      <c r="AI28" s="206">
        <v>0</v>
      </c>
    </row>
    <row r="29" spans="1:35" outlineLevel="1" x14ac:dyDescent="0.15">
      <c r="A29" s="8" t="s">
        <v>949</v>
      </c>
      <c r="B29" s="8"/>
      <c r="C29" s="8" t="s">
        <v>47</v>
      </c>
      <c r="D29" s="215" t="s">
        <v>1358</v>
      </c>
      <c r="E29" s="180">
        <v>25.689999999999998</v>
      </c>
      <c r="F29" s="8" t="s">
        <v>469</v>
      </c>
      <c r="G29" s="10">
        <v>3585</v>
      </c>
      <c r="H29" s="11">
        <f t="shared" si="17"/>
        <v>46186</v>
      </c>
      <c r="I29" s="143">
        <f t="shared" si="18"/>
        <v>433.29600000000005</v>
      </c>
      <c r="J29" s="9">
        <f t="array" ref="J29">IFERROR(I29/G29*100,0)</f>
        <v>12.086359832635985</v>
      </c>
      <c r="K29" s="143">
        <f t="shared" si="19"/>
        <v>36.928636363636372</v>
      </c>
      <c r="L29" s="9">
        <f t="shared" si="12"/>
        <v>8.5227272727272734</v>
      </c>
      <c r="M29" s="8" t="str">
        <f t="array" ref="M29">IF(L29&gt;5,"Perlu Pengendalian",IF(AND(L29&gt;=0,I29&gt;0),"Tidak Perlu Pengendalian","Belum Sensus"))</f>
        <v>Perlu Pengendalian</v>
      </c>
      <c r="N29" s="143">
        <f t="shared" si="20"/>
        <v>36.190063636363647</v>
      </c>
      <c r="O29" s="9">
        <f t="array" ref="O29">IFERROR(N29/I29*100,0)</f>
        <v>8.3522727272727284</v>
      </c>
      <c r="P29" s="11">
        <v>46164</v>
      </c>
      <c r="Q29" s="143">
        <v>352</v>
      </c>
      <c r="R29" s="9">
        <f t="shared" si="8"/>
        <v>9.8186889818688972</v>
      </c>
      <c r="S29" s="143">
        <v>30</v>
      </c>
      <c r="T29" s="9">
        <f t="shared" si="5"/>
        <v>8.5227272727272716</v>
      </c>
      <c r="U29" s="8" t="str">
        <f t="array" ref="U29">IF(T29&gt;5,"Perlu Pengendalian",IF(AND(T29&gt;=0,Q29&gt;0),"Tidak Perlu Pengendalian","Belum Sensus"))</f>
        <v>Perlu Pengendalian</v>
      </c>
      <c r="V29" s="143">
        <v>34</v>
      </c>
      <c r="W29" s="9">
        <f t="array" ref="W29">IFERROR(V29/Q29*100,0)</f>
        <v>9.6590909090909083</v>
      </c>
      <c r="X29" s="11">
        <v>46186</v>
      </c>
      <c r="Y29" s="143">
        <v>433.29600000000005</v>
      </c>
      <c r="Z29" s="9">
        <f t="shared" si="9"/>
        <v>12.086359832635985</v>
      </c>
      <c r="AA29" s="143">
        <v>36.928636363636372</v>
      </c>
      <c r="AB29" s="9">
        <f t="shared" si="6"/>
        <v>8.5227272727272734</v>
      </c>
      <c r="AC29" s="8" t="str">
        <f t="array" ref="AC29">IF(AB29&gt;5,"Perlu Pengendalian",IF(AND(AB29&gt;=0,Y29&gt;0),"Tidak Perlu Pengendalian","Belum Sensus"))</f>
        <v>Perlu Pengendalian</v>
      </c>
      <c r="AD29" s="143">
        <v>36.190063636363647</v>
      </c>
      <c r="AE29" s="9">
        <f t="array" ref="AE29">IFERROR(AD29/Y29*100,0)</f>
        <v>8.3522727272727284</v>
      </c>
      <c r="AG29" s="206">
        <v>2.9556650246305418</v>
      </c>
      <c r="AH29" s="206">
        <v>11.05</v>
      </c>
      <c r="AI29" s="206">
        <v>0</v>
      </c>
    </row>
    <row r="30" spans="1:35" outlineLevel="1" x14ac:dyDescent="0.15">
      <c r="A30" s="8" t="s">
        <v>949</v>
      </c>
      <c r="B30" s="8"/>
      <c r="C30" s="8" t="s">
        <v>47</v>
      </c>
      <c r="D30" s="8" t="s">
        <v>1359</v>
      </c>
      <c r="E30" s="9">
        <v>29.04</v>
      </c>
      <c r="F30" s="8" t="s">
        <v>469</v>
      </c>
      <c r="G30" s="10">
        <v>3085</v>
      </c>
      <c r="H30" s="11">
        <f t="shared" si="17"/>
        <v>0</v>
      </c>
      <c r="I30" s="143">
        <f t="shared" si="18"/>
        <v>0</v>
      </c>
      <c r="J30" s="9">
        <f t="array" ref="J30">IFERROR(I30/G30*100,0)</f>
        <v>0</v>
      </c>
      <c r="K30" s="143">
        <f t="shared" si="19"/>
        <v>0</v>
      </c>
      <c r="L30" s="9">
        <f t="shared" si="12"/>
        <v>0</v>
      </c>
      <c r="M30" s="8" t="str">
        <f t="array" ref="M30">IF(L30&gt;5,"Perlu Pengendalian",IF(AND(L30&gt;=0,I30&gt;0),"Tidak Perlu Pengendalian","Belum Sensus"))</f>
        <v>Belum Sensus</v>
      </c>
      <c r="N30" s="143">
        <f t="shared" si="20"/>
        <v>0</v>
      </c>
      <c r="O30" s="9">
        <f t="array" ref="O30">IFERROR(N30/I30*100,0)</f>
        <v>0</v>
      </c>
      <c r="P30" s="11"/>
      <c r="Q30" s="143"/>
      <c r="R30" s="9">
        <f t="shared" si="8"/>
        <v>0</v>
      </c>
      <c r="S30" s="143"/>
      <c r="T30" s="9">
        <f t="shared" si="5"/>
        <v>0</v>
      </c>
      <c r="U30" s="8" t="str">
        <f t="array" ref="U30">IF(T30&gt;5,"Perlu Pengendalian",IF(AND(T30&gt;=0,Q30&gt;0),"Tidak Perlu Pengendalian","Belum Sensus"))</f>
        <v>Belum Sensus</v>
      </c>
      <c r="V30" s="143"/>
      <c r="W30" s="9">
        <f t="array" ref="W30">IFERROR(V30/Q30*100,0)</f>
        <v>0</v>
      </c>
      <c r="X30" s="11"/>
      <c r="Y30" s="143"/>
      <c r="Z30" s="9">
        <f t="shared" si="9"/>
        <v>0</v>
      </c>
      <c r="AA30" s="143"/>
      <c r="AB30" s="9">
        <f t="shared" si="6"/>
        <v>0</v>
      </c>
      <c r="AC30" s="8" t="str">
        <f t="array" ref="AC30">IF(AB30&gt;5,"Perlu Pengendalian",IF(AND(AB30&gt;=0,Y30&gt;0),"Tidak Perlu Pengendalian","Belum Sensus"))</f>
        <v>Belum Sensus</v>
      </c>
      <c r="AD30" s="143">
        <v>0</v>
      </c>
      <c r="AE30" s="9">
        <f t="array" ref="AE30">IFERROR(AD30/Y30*100,0)</f>
        <v>0</v>
      </c>
      <c r="AG30" s="206">
        <v>0</v>
      </c>
      <c r="AH30" s="206">
        <v>4.18</v>
      </c>
      <c r="AI30" s="206">
        <v>0</v>
      </c>
    </row>
    <row r="31" spans="1:35" outlineLevel="1" x14ac:dyDescent="0.15">
      <c r="A31" s="8" t="s">
        <v>949</v>
      </c>
      <c r="B31" s="8"/>
      <c r="C31" s="8" t="s">
        <v>47</v>
      </c>
      <c r="D31" s="215" t="s">
        <v>1360</v>
      </c>
      <c r="E31" s="180">
        <v>29.66</v>
      </c>
      <c r="F31" s="8" t="s">
        <v>469</v>
      </c>
      <c r="G31" s="10">
        <v>3632</v>
      </c>
      <c r="H31" s="11">
        <f t="shared" si="17"/>
        <v>46188</v>
      </c>
      <c r="I31" s="143">
        <f t="shared" si="18"/>
        <v>563.28480000000013</v>
      </c>
      <c r="J31" s="9">
        <f t="array" ref="J31">IFERROR(I31/G31*100,0)</f>
        <v>15.508942731277536</v>
      </c>
      <c r="K31" s="143">
        <f t="shared" si="19"/>
        <v>69.203561142857154</v>
      </c>
      <c r="L31" s="9">
        <f t="shared" si="12"/>
        <v>12.285714285714285</v>
      </c>
      <c r="M31" s="8" t="str">
        <f t="array" ref="M31">IF(L31&gt;5,"Perlu Pengendalian",IF(AND(L31&gt;=0,I31&gt;0),"Tidak Perlu Pengendalian","Belum Sensus"))</f>
        <v>Perlu Pengendalian</v>
      </c>
      <c r="N31" s="143">
        <f t="shared" si="20"/>
        <v>67.819489920000009</v>
      </c>
      <c r="O31" s="9">
        <f t="array" ref="O31">IFERROR(N31/I31*100,0)</f>
        <v>12.04</v>
      </c>
      <c r="P31" s="11">
        <v>46165</v>
      </c>
      <c r="Q31" s="143">
        <v>350</v>
      </c>
      <c r="R31" s="9">
        <f t="shared" si="8"/>
        <v>9.6365638766519819</v>
      </c>
      <c r="S31" s="143">
        <v>43</v>
      </c>
      <c r="T31" s="9">
        <f t="shared" si="5"/>
        <v>12.285714285714286</v>
      </c>
      <c r="U31" s="8" t="str">
        <f t="array" ref="U31">IF(T31&gt;5,"Perlu Pengendalian",IF(AND(T31&gt;=0,Q31&gt;0),"Tidak Perlu Pengendalian","Belum Sensus"))</f>
        <v>Perlu Pengendalian</v>
      </c>
      <c r="V31" s="143">
        <v>0</v>
      </c>
      <c r="W31" s="9">
        <f t="array" ref="W31">IFERROR(V31/Q31*100,0)</f>
        <v>0</v>
      </c>
      <c r="X31" s="11">
        <v>46188</v>
      </c>
      <c r="Y31" s="143">
        <v>563.28480000000013</v>
      </c>
      <c r="Z31" s="9">
        <f t="shared" si="9"/>
        <v>15.508942731277536</v>
      </c>
      <c r="AA31" s="143">
        <v>69.203561142857154</v>
      </c>
      <c r="AB31" s="9">
        <f t="shared" si="6"/>
        <v>12.285714285714285</v>
      </c>
      <c r="AC31" s="8" t="str">
        <f t="array" ref="AC31">IF(AB31&gt;5,"Perlu Pengendalian",IF(AND(AB31&gt;=0,Y31&gt;0),"Tidak Perlu Pengendalian","Belum Sensus"))</f>
        <v>Perlu Pengendalian</v>
      </c>
      <c r="AD31" s="143">
        <v>67.819489920000009</v>
      </c>
      <c r="AE31" s="9">
        <f t="array" ref="AE31">IFERROR(AD31/Y31*100,0)</f>
        <v>12.04</v>
      </c>
      <c r="AG31" s="206">
        <v>5.6689342403628125</v>
      </c>
      <c r="AH31" s="206">
        <v>8.5299999999999994</v>
      </c>
      <c r="AI31" s="206">
        <v>0</v>
      </c>
    </row>
    <row r="32" spans="1:35" outlineLevel="1" x14ac:dyDescent="0.15">
      <c r="A32" s="8" t="s">
        <v>949</v>
      </c>
      <c r="B32" s="8"/>
      <c r="C32" s="8" t="s">
        <v>47</v>
      </c>
      <c r="D32" s="215" t="s">
        <v>1758</v>
      </c>
      <c r="E32" s="9">
        <v>32.78</v>
      </c>
      <c r="F32" s="8" t="s">
        <v>469</v>
      </c>
      <c r="G32" s="10">
        <v>3717</v>
      </c>
      <c r="H32" s="11">
        <f t="shared" si="17"/>
        <v>46190</v>
      </c>
      <c r="I32" s="143">
        <f t="shared" si="18"/>
        <v>523.85486400000013</v>
      </c>
      <c r="J32" s="9">
        <f t="array" ref="J32">IFERROR(I32/G32*100,0)</f>
        <v>14.093485714285716</v>
      </c>
      <c r="K32" s="143">
        <f t="shared" si="19"/>
        <v>30.169651853403149</v>
      </c>
      <c r="L32" s="9">
        <f t="shared" si="12"/>
        <v>5.7591623036649215</v>
      </c>
      <c r="M32" s="8" t="str">
        <f t="array" ref="M32">IF(L32&gt;5,"Perlu Pengendalian",IF(AND(L32&gt;=0,I32&gt;0),"Tidak Perlu Pengendalian","Belum Sensus"))</f>
        <v>Perlu Pengendalian</v>
      </c>
      <c r="N32" s="143">
        <f t="shared" si="20"/>
        <v>29.566258816335086</v>
      </c>
      <c r="O32" s="9">
        <f t="array" ref="O32">IFERROR(N32/I32*100,0)</f>
        <v>5.6439790575916229</v>
      </c>
      <c r="P32" s="11"/>
      <c r="Q32" s="143"/>
      <c r="R32" s="9">
        <f t="shared" si="8"/>
        <v>0</v>
      </c>
      <c r="S32" s="143"/>
      <c r="T32" s="9">
        <f t="shared" si="5"/>
        <v>0</v>
      </c>
      <c r="U32" s="8" t="str">
        <f t="array" ref="U32">IF(T32&gt;5,"Perlu Pengendalian",IF(AND(T32&gt;=0,Q32&gt;0),"Tidak Perlu Pengendalian","Belum Sensus"))</f>
        <v>Belum Sensus</v>
      </c>
      <c r="V32" s="143"/>
      <c r="W32" s="9">
        <f t="array" ref="W32">IFERROR(V32/Q32*100,0)</f>
        <v>0</v>
      </c>
      <c r="X32" s="11">
        <v>46190</v>
      </c>
      <c r="Y32" s="143">
        <v>523.85486400000013</v>
      </c>
      <c r="Z32" s="9">
        <f t="shared" si="9"/>
        <v>14.093485714285716</v>
      </c>
      <c r="AA32" s="143">
        <v>30.169651853403149</v>
      </c>
      <c r="AB32" s="9">
        <f t="shared" si="6"/>
        <v>5.7591623036649215</v>
      </c>
      <c r="AC32" s="8" t="str">
        <f t="array" ref="AC32">IF(AB32&gt;5,"Perlu Pengendalian",IF(AND(AB32&gt;=0,Y32&gt;0),"Tidak Perlu Pengendalian","Belum Sensus"))</f>
        <v>Perlu Pengendalian</v>
      </c>
      <c r="AD32" s="143">
        <v>29.566258816335086</v>
      </c>
      <c r="AE32" s="9">
        <f t="array" ref="AE32">IFERROR(AD32/Y32*100,0)</f>
        <v>5.6439790575916229</v>
      </c>
      <c r="AG32" s="206">
        <v>0</v>
      </c>
      <c r="AH32" s="206">
        <v>10.73</v>
      </c>
      <c r="AI32" s="206">
        <v>0</v>
      </c>
    </row>
    <row r="33" spans="1:35" outlineLevel="1" x14ac:dyDescent="0.15">
      <c r="A33" s="8" t="s">
        <v>949</v>
      </c>
      <c r="B33" s="8"/>
      <c r="C33" s="8" t="s">
        <v>47</v>
      </c>
      <c r="D33" s="8" t="s">
        <v>1759</v>
      </c>
      <c r="E33" s="9">
        <v>27.48</v>
      </c>
      <c r="F33" s="8" t="s">
        <v>469</v>
      </c>
      <c r="G33" s="10">
        <v>3497</v>
      </c>
      <c r="H33" s="11">
        <f t="shared" si="17"/>
        <v>0</v>
      </c>
      <c r="I33" s="143">
        <f t="shared" si="18"/>
        <v>0</v>
      </c>
      <c r="J33" s="9">
        <f t="array" ref="J33">IFERROR(I33/G33*100,0)</f>
        <v>0</v>
      </c>
      <c r="K33" s="143">
        <f t="shared" si="19"/>
        <v>0</v>
      </c>
      <c r="L33" s="9">
        <f t="shared" si="12"/>
        <v>0</v>
      </c>
      <c r="M33" s="8" t="str">
        <f t="array" ref="M33">IF(L33&gt;5,"Perlu Pengendalian",IF(AND(L33&gt;=0,I33&gt;0),"Tidak Perlu Pengendalian","Belum Sensus"))</f>
        <v>Belum Sensus</v>
      </c>
      <c r="N33" s="143">
        <f t="shared" si="20"/>
        <v>0</v>
      </c>
      <c r="O33" s="9">
        <f t="array" ref="O33">IFERROR(N33/I33*100,0)</f>
        <v>0</v>
      </c>
      <c r="P33" s="11"/>
      <c r="Q33" s="143"/>
      <c r="R33" s="9">
        <f t="shared" si="8"/>
        <v>0</v>
      </c>
      <c r="S33" s="143"/>
      <c r="T33" s="9">
        <f t="shared" si="5"/>
        <v>0</v>
      </c>
      <c r="U33" s="8" t="str">
        <f t="array" ref="U33">IF(T33&gt;5,"Perlu Pengendalian",IF(AND(T33&gt;=0,Q33&gt;0),"Tidak Perlu Pengendalian","Belum Sensus"))</f>
        <v>Belum Sensus</v>
      </c>
      <c r="V33" s="143"/>
      <c r="W33" s="9">
        <f t="array" ref="W33">IFERROR(V33/Q33*100,0)</f>
        <v>0</v>
      </c>
      <c r="X33" s="11"/>
      <c r="Y33" s="143"/>
      <c r="Z33" s="9">
        <f t="shared" si="9"/>
        <v>0</v>
      </c>
      <c r="AA33" s="143"/>
      <c r="AB33" s="9">
        <f t="shared" si="6"/>
        <v>0</v>
      </c>
      <c r="AC33" s="8" t="str">
        <f t="array" ref="AC33">IF(AB33&gt;5,"Perlu Pengendalian",IF(AND(AB33&gt;=0,Y33&gt;0),"Tidak Perlu Pengendalian","Belum Sensus"))</f>
        <v>Belum Sensus</v>
      </c>
      <c r="AD33" s="143">
        <v>0</v>
      </c>
      <c r="AE33" s="9">
        <f t="array" ref="AE33">IFERROR(AD33/Y33*100,0)</f>
        <v>0</v>
      </c>
      <c r="AG33" s="206">
        <v>0</v>
      </c>
      <c r="AH33" s="206">
        <v>3.11</v>
      </c>
      <c r="AI33" s="206">
        <v>0</v>
      </c>
    </row>
    <row r="34" spans="1:35" outlineLevel="1" x14ac:dyDescent="0.15">
      <c r="A34" s="8" t="s">
        <v>949</v>
      </c>
      <c r="B34" s="8"/>
      <c r="C34" s="8" t="s">
        <v>47</v>
      </c>
      <c r="D34" s="8" t="s">
        <v>1117</v>
      </c>
      <c r="E34" s="9">
        <v>26.93</v>
      </c>
      <c r="F34" s="8" t="s">
        <v>469</v>
      </c>
      <c r="G34" s="10">
        <v>3307</v>
      </c>
      <c r="H34" s="11">
        <f t="shared" si="17"/>
        <v>0</v>
      </c>
      <c r="I34" s="143">
        <f t="shared" si="18"/>
        <v>0</v>
      </c>
      <c r="J34" s="9">
        <f t="array" ref="J34">IFERROR(I34/G34*100,0)</f>
        <v>0</v>
      </c>
      <c r="K34" s="143">
        <f t="shared" si="19"/>
        <v>0</v>
      </c>
      <c r="L34" s="9">
        <f t="shared" si="12"/>
        <v>0</v>
      </c>
      <c r="M34" s="8" t="str">
        <f t="array" ref="M34">IF(L34&gt;5,"Perlu Pengendalian",IF(AND(L34&gt;=0,I34&gt;0),"Tidak Perlu Pengendalian","Belum Sensus"))</f>
        <v>Belum Sensus</v>
      </c>
      <c r="N34" s="143">
        <f t="shared" si="20"/>
        <v>0</v>
      </c>
      <c r="O34" s="9">
        <f t="array" ref="O34">IFERROR(N34/I34*100,0)</f>
        <v>0</v>
      </c>
      <c r="P34" s="11"/>
      <c r="Q34" s="143"/>
      <c r="R34" s="9">
        <f t="shared" si="8"/>
        <v>0</v>
      </c>
      <c r="S34" s="143"/>
      <c r="T34" s="9">
        <f t="shared" si="5"/>
        <v>0</v>
      </c>
      <c r="U34" s="8" t="str">
        <f t="array" ref="U34">IF(T34&gt;5,"Perlu Pengendalian",IF(AND(T34&gt;=0,Q34&gt;0),"Tidak Perlu Pengendalian","Belum Sensus"))</f>
        <v>Belum Sensus</v>
      </c>
      <c r="V34" s="143"/>
      <c r="W34" s="9">
        <f t="array" ref="W34">IFERROR(V34/Q34*100,0)</f>
        <v>0</v>
      </c>
      <c r="X34" s="11"/>
      <c r="Y34" s="143"/>
      <c r="Z34" s="9">
        <f t="shared" si="9"/>
        <v>0</v>
      </c>
      <c r="AA34" s="143"/>
      <c r="AB34" s="9">
        <f t="shared" si="6"/>
        <v>0</v>
      </c>
      <c r="AC34" s="8" t="str">
        <f t="array" ref="AC34">IF(AB34&gt;5,"Perlu Pengendalian",IF(AND(AB34&gt;=0,Y34&gt;0),"Tidak Perlu Pengendalian","Belum Sensus"))</f>
        <v>Belum Sensus</v>
      </c>
      <c r="AD34" s="143">
        <v>0</v>
      </c>
      <c r="AE34" s="9">
        <f t="array" ref="AE34">IFERROR(AD34/Y34*100,0)</f>
        <v>0</v>
      </c>
      <c r="AG34" s="206">
        <v>0</v>
      </c>
      <c r="AH34" s="206">
        <v>2.94</v>
      </c>
      <c r="AI34" s="206">
        <v>0</v>
      </c>
    </row>
    <row r="35" spans="1:35" outlineLevel="1" x14ac:dyDescent="0.15">
      <c r="A35" s="8" t="s">
        <v>949</v>
      </c>
      <c r="B35" s="8"/>
      <c r="C35" s="8" t="s">
        <v>47</v>
      </c>
      <c r="D35" s="215" t="s">
        <v>1142</v>
      </c>
      <c r="E35" s="9">
        <v>30.57</v>
      </c>
      <c r="F35" s="8" t="s">
        <v>469</v>
      </c>
      <c r="G35" s="10">
        <v>3810</v>
      </c>
      <c r="H35" s="11">
        <f t="shared" si="17"/>
        <v>46193</v>
      </c>
      <c r="I35" s="143">
        <f t="shared" si="18"/>
        <v>576.24035040000024</v>
      </c>
      <c r="J35" s="9">
        <f t="array" ref="J35">IFERROR(I35/G35*100,0)</f>
        <v>15.124418645669296</v>
      </c>
      <c r="K35" s="143">
        <f t="shared" si="19"/>
        <v>69.14884204800002</v>
      </c>
      <c r="L35" s="9">
        <f t="shared" si="12"/>
        <v>11.999999999999998</v>
      </c>
      <c r="M35" s="8" t="str">
        <f t="array" ref="M35">IF(L35&gt;5,"Perlu Pengendalian",IF(AND(L35&gt;=0,I35&gt;0),"Tidak Perlu Pengendalian","Belum Sensus"))</f>
        <v>Perlu Pengendalian</v>
      </c>
      <c r="N35" s="143">
        <f t="shared" si="20"/>
        <v>67.765865207040022</v>
      </c>
      <c r="O35" s="9">
        <f t="array" ref="O35">IFERROR(N35/I35*100,0)</f>
        <v>11.76</v>
      </c>
      <c r="P35" s="11">
        <v>46171</v>
      </c>
      <c r="Q35" s="143">
        <v>350</v>
      </c>
      <c r="R35" s="9">
        <f t="shared" si="8"/>
        <v>9.1863517060367457</v>
      </c>
      <c r="S35" s="143">
        <v>42</v>
      </c>
      <c r="T35" s="9">
        <f t="shared" si="5"/>
        <v>12</v>
      </c>
      <c r="U35" s="8" t="str">
        <f t="array" ref="U35">IF(T35&gt;5,"Perlu Pengendalian",IF(AND(T35&gt;=0,Q35&gt;0),"Tidak Perlu Pengendalian","Belum Sensus"))</f>
        <v>Perlu Pengendalian</v>
      </c>
      <c r="V35" s="143">
        <v>30</v>
      </c>
      <c r="W35" s="9">
        <f t="array" ref="W35">IFERROR(V35/Q35*100,0)</f>
        <v>8.5714285714285712</v>
      </c>
      <c r="X35" s="11">
        <v>46193</v>
      </c>
      <c r="Y35" s="143">
        <v>576.24035040000024</v>
      </c>
      <c r="Z35" s="9">
        <f t="shared" si="9"/>
        <v>15.124418645669296</v>
      </c>
      <c r="AA35" s="143">
        <v>69.14884204800002</v>
      </c>
      <c r="AB35" s="9">
        <f t="shared" si="6"/>
        <v>11.999999999999998</v>
      </c>
      <c r="AC35" s="8" t="str">
        <f t="array" ref="AC35">IF(AB35&gt;5,"Perlu Pengendalian",IF(AND(AB35&gt;=0,Y35&gt;0),"Tidak Perlu Pengendalian","Belum Sensus"))</f>
        <v>Perlu Pengendalian</v>
      </c>
      <c r="AD35" s="143">
        <v>67.765865207040022</v>
      </c>
      <c r="AE35" s="9">
        <f t="array" ref="AE35">IFERROR(AD35/Y35*100,0)</f>
        <v>11.76</v>
      </c>
      <c r="AG35" s="206">
        <v>5.343511450381679</v>
      </c>
      <c r="AH35" s="206">
        <v>6.7100000000000009</v>
      </c>
      <c r="AI35" s="206">
        <v>0</v>
      </c>
    </row>
    <row r="36" spans="1:35" outlineLevel="1" x14ac:dyDescent="0.15">
      <c r="A36" s="8" t="s">
        <v>949</v>
      </c>
      <c r="B36" s="8"/>
      <c r="C36" s="8" t="s">
        <v>47</v>
      </c>
      <c r="D36" s="215" t="s">
        <v>1170</v>
      </c>
      <c r="E36" s="9">
        <v>37.15</v>
      </c>
      <c r="F36" s="8" t="s">
        <v>469</v>
      </c>
      <c r="G36" s="10">
        <v>4611</v>
      </c>
      <c r="H36" s="11">
        <f t="shared" si="17"/>
        <v>46195</v>
      </c>
      <c r="I36" s="143">
        <f t="shared" si="18"/>
        <v>535.90352587200027</v>
      </c>
      <c r="J36" s="9">
        <f t="array" ref="J36">IFERROR(I36/G36*100,0)</f>
        <v>11.622284230579057</v>
      </c>
      <c r="K36" s="143">
        <f t="shared" si="19"/>
        <v>94.931481725897186</v>
      </c>
      <c r="L36" s="9">
        <f t="shared" si="12"/>
        <v>17.714285714285712</v>
      </c>
      <c r="M36" s="8" t="str">
        <f t="array" ref="M36">IF(L36&gt;5,"Perlu Pengendalian",IF(AND(L36&gt;=0,I36&gt;0),"Tidak Perlu Pengendalian","Belum Sensus"))</f>
        <v>Perlu Pengendalian</v>
      </c>
      <c r="N36" s="143">
        <f t="shared" si="20"/>
        <v>93.03285209137924</v>
      </c>
      <c r="O36" s="9">
        <f t="array" ref="O36">IFERROR(N36/I36*100,0)</f>
        <v>17.36</v>
      </c>
      <c r="P36" s="11">
        <v>46170</v>
      </c>
      <c r="Q36" s="143">
        <v>350</v>
      </c>
      <c r="R36" s="9">
        <f t="shared" si="8"/>
        <v>7.590544350466276</v>
      </c>
      <c r="S36" s="143">
        <v>62</v>
      </c>
      <c r="T36" s="9">
        <f t="shared" si="5"/>
        <v>17.714285714285712</v>
      </c>
      <c r="U36" s="8" t="str">
        <f t="array" ref="U36">IF(T36&gt;5,"Perlu Pengendalian",IF(AND(T36&gt;=0,Q36&gt;0),"Tidak Perlu Pengendalian","Belum Sensus"))</f>
        <v>Perlu Pengendalian</v>
      </c>
      <c r="V36" s="143">
        <v>0</v>
      </c>
      <c r="W36" s="9">
        <f t="array" ref="W36">IFERROR(V36/Q36*100,0)</f>
        <v>0</v>
      </c>
      <c r="X36" s="11">
        <v>46195</v>
      </c>
      <c r="Y36" s="143">
        <v>535.90352587200027</v>
      </c>
      <c r="Z36" s="9">
        <f t="shared" si="9"/>
        <v>11.622284230579057</v>
      </c>
      <c r="AA36" s="143">
        <v>94.931481725897186</v>
      </c>
      <c r="AB36" s="9">
        <f t="shared" si="6"/>
        <v>17.714285714285712</v>
      </c>
      <c r="AC36" s="8" t="str">
        <f t="array" ref="AC36">IF(AB36&gt;5,"Perlu Pengendalian",IF(AND(AB36&gt;=0,Y36&gt;0),"Tidak Perlu Pengendalian","Belum Sensus"))</f>
        <v>Perlu Pengendalian</v>
      </c>
      <c r="AD36" s="143">
        <v>93.03285209137924</v>
      </c>
      <c r="AE36" s="9">
        <f t="array" ref="AE36">IFERROR(AD36/Y36*100,0)</f>
        <v>17.36</v>
      </c>
      <c r="AG36" s="206">
        <v>6.7796610169491522</v>
      </c>
      <c r="AH36" s="206">
        <v>12.619999999999997</v>
      </c>
      <c r="AI36" s="206">
        <v>0</v>
      </c>
    </row>
    <row r="37" spans="1:35" outlineLevel="1" x14ac:dyDescent="0.15">
      <c r="A37" s="8" t="s">
        <v>949</v>
      </c>
      <c r="B37" s="8"/>
      <c r="C37" s="8" t="s">
        <v>47</v>
      </c>
      <c r="D37" s="215" t="s">
        <v>1171</v>
      </c>
      <c r="E37" s="179">
        <v>32.71</v>
      </c>
      <c r="F37" s="8" t="s">
        <v>469</v>
      </c>
      <c r="G37" s="10">
        <v>3990</v>
      </c>
      <c r="H37" s="11">
        <f t="shared" si="17"/>
        <v>46197</v>
      </c>
      <c r="I37" s="143">
        <f t="shared" si="18"/>
        <v>503.74931431968025</v>
      </c>
      <c r="J37" s="9">
        <f t="array" ref="J37">IFERROR(I37/G37*100,0)</f>
        <v>12.625296098237602</v>
      </c>
      <c r="K37" s="143">
        <f t="shared" si="19"/>
        <v>105.49103288106245</v>
      </c>
      <c r="L37" s="9">
        <f t="shared" si="12"/>
        <v>20.941176470588236</v>
      </c>
      <c r="M37" s="8" t="str">
        <f t="array" ref="M37">IF(L37&gt;5,"Perlu Pengendalian",IF(AND(L37&gt;=0,I37&gt;0),"Tidak Perlu Pengendalian","Belum Sensus"))</f>
        <v>Perlu Pengendalian</v>
      </c>
      <c r="N37" s="143">
        <f t="shared" si="20"/>
        <v>103.3812122234412</v>
      </c>
      <c r="O37" s="9">
        <f t="array" ref="O37">IFERROR(N37/I37*100,0)</f>
        <v>20.522352941176468</v>
      </c>
      <c r="P37" s="11">
        <v>46172</v>
      </c>
      <c r="Q37" s="143">
        <v>425</v>
      </c>
      <c r="R37" s="9">
        <f t="shared" si="8"/>
        <v>10.651629072681704</v>
      </c>
      <c r="S37" s="143">
        <v>89</v>
      </c>
      <c r="T37" s="9">
        <f t="shared" si="5"/>
        <v>20.941176470588236</v>
      </c>
      <c r="U37" s="8" t="str">
        <f t="array" ref="U37">IF(T37&gt;5,"Perlu Pengendalian",IF(AND(T37&gt;=0,Q37&gt;0),"Tidak Perlu Pengendalian","Belum Sensus"))</f>
        <v>Perlu Pengendalian</v>
      </c>
      <c r="V37" s="143">
        <v>0</v>
      </c>
      <c r="W37" s="9">
        <f t="array" ref="W37">IFERROR(V37/Q37*100,0)</f>
        <v>0</v>
      </c>
      <c r="X37" s="11">
        <v>46197</v>
      </c>
      <c r="Y37" s="143">
        <v>503.74931431968025</v>
      </c>
      <c r="Z37" s="9">
        <f t="shared" si="9"/>
        <v>12.625296098237602</v>
      </c>
      <c r="AA37" s="143">
        <v>105.49103288106245</v>
      </c>
      <c r="AB37" s="9">
        <f t="shared" si="6"/>
        <v>20.941176470588236</v>
      </c>
      <c r="AC37" s="8" t="str">
        <f t="array" ref="AC37">IF(AB37&gt;5,"Perlu Pengendalian",IF(AND(AB37&gt;=0,Y37&gt;0),"Tidak Perlu Pengendalian","Belum Sensus"))</f>
        <v>Perlu Pengendalian</v>
      </c>
      <c r="AD37" s="143">
        <v>103.3812122234412</v>
      </c>
      <c r="AE37" s="9">
        <f t="array" ref="AE37">IFERROR(AD37/Y37*100,0)</f>
        <v>20.522352941176468</v>
      </c>
      <c r="AG37" s="206">
        <v>11.538461538461538</v>
      </c>
      <c r="AH37" s="206">
        <v>10.336527236842104</v>
      </c>
      <c r="AI37" s="206">
        <v>0</v>
      </c>
    </row>
    <row r="38" spans="1:35" outlineLevel="1" x14ac:dyDescent="0.15">
      <c r="A38" s="8" t="s">
        <v>949</v>
      </c>
      <c r="B38" s="8"/>
      <c r="C38" s="8" t="s">
        <v>47</v>
      </c>
      <c r="D38" s="8" t="s">
        <v>1760</v>
      </c>
      <c r="E38" s="179">
        <v>31.94</v>
      </c>
      <c r="F38" s="8" t="s">
        <v>469</v>
      </c>
      <c r="G38" s="10">
        <v>3542</v>
      </c>
      <c r="H38" s="11">
        <f t="shared" si="17"/>
        <v>0</v>
      </c>
      <c r="I38" s="143">
        <f t="shared" si="18"/>
        <v>0</v>
      </c>
      <c r="J38" s="9">
        <f t="array" ref="J38">IFERROR(I38/G38*100,0)</f>
        <v>0</v>
      </c>
      <c r="K38" s="143">
        <f t="shared" si="19"/>
        <v>0</v>
      </c>
      <c r="L38" s="9">
        <f t="shared" si="12"/>
        <v>0</v>
      </c>
      <c r="M38" s="8" t="str">
        <f t="array" ref="M38">IF(L38&gt;5,"Perlu Pengendalian",IF(AND(L38&gt;=0,I38&gt;0),"Tidak Perlu Pengendalian","Belum Sensus"))</f>
        <v>Belum Sensus</v>
      </c>
      <c r="N38" s="143">
        <f t="shared" si="20"/>
        <v>0</v>
      </c>
      <c r="O38" s="9">
        <f t="array" ref="O38">IFERROR(N38/I38*100,0)</f>
        <v>0</v>
      </c>
      <c r="P38" s="11"/>
      <c r="Q38" s="143"/>
      <c r="R38" s="9">
        <f t="shared" si="8"/>
        <v>0</v>
      </c>
      <c r="S38" s="143"/>
      <c r="T38" s="9">
        <f t="shared" si="5"/>
        <v>0</v>
      </c>
      <c r="U38" s="8" t="str">
        <f t="array" ref="U38">IF(T38&gt;5,"Perlu Pengendalian",IF(AND(T38&gt;=0,Q38&gt;0),"Tidak Perlu Pengendalian","Belum Sensus"))</f>
        <v>Belum Sensus</v>
      </c>
      <c r="V38" s="143"/>
      <c r="W38" s="9">
        <f t="array" ref="W38">IFERROR(V38/Q38*100,0)</f>
        <v>0</v>
      </c>
      <c r="X38" s="11"/>
      <c r="Y38" s="143"/>
      <c r="Z38" s="9">
        <f t="shared" si="9"/>
        <v>0</v>
      </c>
      <c r="AA38" s="143"/>
      <c r="AB38" s="9">
        <f t="shared" si="6"/>
        <v>0</v>
      </c>
      <c r="AC38" s="8" t="str">
        <f t="array" ref="AC38">IF(AB38&gt;5,"Perlu Pengendalian",IF(AND(AB38&gt;=0,Y38&gt;0),"Tidak Perlu Pengendalian","Belum Sensus"))</f>
        <v>Belum Sensus</v>
      </c>
      <c r="AD38" s="143">
        <v>0</v>
      </c>
      <c r="AE38" s="9">
        <f t="array" ref="AE38">IFERROR(AD38/Y38*100,0)</f>
        <v>0</v>
      </c>
      <c r="AG38" s="206">
        <v>2.2727272727272729</v>
      </c>
      <c r="AH38" s="206">
        <v>2.29</v>
      </c>
      <c r="AI38" s="206">
        <v>0</v>
      </c>
    </row>
    <row r="39" spans="1:35" outlineLevel="1" x14ac:dyDescent="0.15">
      <c r="A39" s="8" t="s">
        <v>949</v>
      </c>
      <c r="B39" s="8"/>
      <c r="C39" s="8" t="s">
        <v>47</v>
      </c>
      <c r="D39" s="215" t="s">
        <v>1761</v>
      </c>
      <c r="E39" s="9">
        <v>37.89</v>
      </c>
      <c r="F39" s="8" t="s">
        <v>469</v>
      </c>
      <c r="G39" s="10">
        <v>2326</v>
      </c>
      <c r="H39" s="11">
        <f t="shared" si="17"/>
        <v>46199</v>
      </c>
      <c r="I39" s="143">
        <f t="shared" si="18"/>
        <v>302.24958859180816</v>
      </c>
      <c r="J39" s="9">
        <f t="array" ref="J39">IFERROR(I39/G39*100,0)</f>
        <v>12.994393318650394</v>
      </c>
      <c r="K39" s="143">
        <f t="shared" si="19"/>
        <v>20.14997257278721</v>
      </c>
      <c r="L39" s="9">
        <f t="shared" si="12"/>
        <v>6.666666666666667</v>
      </c>
      <c r="M39" s="8" t="str">
        <f t="array" ref="M39">IF(L39&gt;5,"Perlu Pengendalian",IF(AND(L39&gt;=0,I39&gt;0),"Tidak Perlu Pengendalian","Belum Sensus"))</f>
        <v>Perlu Pengendalian</v>
      </c>
      <c r="N39" s="143">
        <f t="shared" si="20"/>
        <v>19.746973121331465</v>
      </c>
      <c r="O39" s="9">
        <f t="array" ref="O39">IFERROR(N39/I39*100,0)</f>
        <v>6.5333333333333323</v>
      </c>
      <c r="P39" s="11"/>
      <c r="Q39" s="143"/>
      <c r="R39" s="9">
        <f t="shared" si="8"/>
        <v>0</v>
      </c>
      <c r="S39" s="143"/>
      <c r="T39" s="9">
        <f t="shared" si="5"/>
        <v>0</v>
      </c>
      <c r="U39" s="8" t="str">
        <f t="array" ref="U39">IF(T39&gt;5,"Perlu Pengendalian",IF(AND(T39&gt;=0,Q39&gt;0),"Tidak Perlu Pengendalian","Belum Sensus"))</f>
        <v>Belum Sensus</v>
      </c>
      <c r="V39" s="143"/>
      <c r="W39" s="9">
        <f t="array" ref="W39">IFERROR(V39/Q39*100,0)</f>
        <v>0</v>
      </c>
      <c r="X39" s="11">
        <v>46199</v>
      </c>
      <c r="Y39" s="143">
        <v>302.24958859180816</v>
      </c>
      <c r="Z39" s="9">
        <f t="shared" si="9"/>
        <v>12.994393318650394</v>
      </c>
      <c r="AA39" s="143">
        <v>20.14997257278721</v>
      </c>
      <c r="AB39" s="9">
        <f t="shared" si="6"/>
        <v>6.666666666666667</v>
      </c>
      <c r="AC39" s="8" t="str">
        <f t="array" ref="AC39">IF(AB39&gt;5,"Perlu Pengendalian",IF(AND(AB39&gt;=0,Y39&gt;0),"Tidak Perlu Pengendalian","Belum Sensus"))</f>
        <v>Perlu Pengendalian</v>
      </c>
      <c r="AD39" s="143">
        <v>19.746973121331465</v>
      </c>
      <c r="AE39" s="9">
        <f t="array" ref="AE39">IFERROR(AD39/Y39*100,0)</f>
        <v>6.5333333333333323</v>
      </c>
      <c r="AG39" s="206">
        <v>0</v>
      </c>
      <c r="AH39" s="206">
        <v>7.6598732878761799</v>
      </c>
      <c r="AI39" s="206">
        <v>0</v>
      </c>
    </row>
    <row r="40" spans="1:35" outlineLevel="1" x14ac:dyDescent="0.15">
      <c r="A40" s="8" t="s">
        <v>949</v>
      </c>
      <c r="B40" s="8"/>
      <c r="C40" s="8" t="s">
        <v>47</v>
      </c>
      <c r="D40" s="8" t="s">
        <v>1691</v>
      </c>
      <c r="E40" s="9">
        <v>24.310000000000002</v>
      </c>
      <c r="F40" s="8" t="s">
        <v>469</v>
      </c>
      <c r="G40" s="10">
        <v>3111</v>
      </c>
      <c r="H40" s="11">
        <f t="shared" si="17"/>
        <v>0</v>
      </c>
      <c r="I40" s="143">
        <f t="shared" si="18"/>
        <v>0</v>
      </c>
      <c r="J40" s="9">
        <f t="array" ref="J40">IFERROR(I40/G40*100,0)</f>
        <v>0</v>
      </c>
      <c r="K40" s="143">
        <f t="shared" si="19"/>
        <v>0</v>
      </c>
      <c r="L40" s="9">
        <f t="shared" si="12"/>
        <v>0</v>
      </c>
      <c r="M40" s="8" t="str">
        <f t="array" ref="M40">IF(L40&gt;5,"Perlu Pengendalian",IF(AND(L40&gt;=0,I40&gt;0),"Tidak Perlu Pengendalian","Belum Sensus"))</f>
        <v>Belum Sensus</v>
      </c>
      <c r="N40" s="143">
        <f t="shared" si="20"/>
        <v>0</v>
      </c>
      <c r="O40" s="9">
        <f t="array" ref="O40">IFERROR(N40/I40*100,0)</f>
        <v>0</v>
      </c>
      <c r="P40" s="11"/>
      <c r="Q40" s="143"/>
      <c r="R40" s="9">
        <f t="shared" si="8"/>
        <v>0</v>
      </c>
      <c r="S40" s="143"/>
      <c r="T40" s="9">
        <f t="shared" si="5"/>
        <v>0</v>
      </c>
      <c r="U40" s="8" t="str">
        <f t="array" ref="U40">IF(T40&gt;5,"Perlu Pengendalian",IF(AND(T40&gt;=0,Q40&gt;0),"Tidak Perlu Pengendalian","Belum Sensus"))</f>
        <v>Belum Sensus</v>
      </c>
      <c r="V40" s="143"/>
      <c r="W40" s="9">
        <f t="array" ref="W40">IFERROR(V40/Q40*100,0)</f>
        <v>0</v>
      </c>
      <c r="X40" s="11"/>
      <c r="Y40" s="143">
        <v>0</v>
      </c>
      <c r="Z40" s="9">
        <f t="shared" si="9"/>
        <v>0</v>
      </c>
      <c r="AA40" s="143">
        <v>0</v>
      </c>
      <c r="AB40" s="9">
        <f t="shared" si="6"/>
        <v>0</v>
      </c>
      <c r="AC40" s="8" t="str">
        <f t="array" ref="AC40">IF(AB40&gt;5,"Perlu Pengendalian",IF(AND(AB40&gt;=0,Y40&gt;0),"Tidak Perlu Pengendalian","Belum Sensus"))</f>
        <v>Belum Sensus</v>
      </c>
      <c r="AD40" s="143">
        <v>0</v>
      </c>
      <c r="AE40" s="9">
        <f t="array" ref="AE40">IFERROR(AD40/Y40*100,0)</f>
        <v>0</v>
      </c>
      <c r="AG40" s="206">
        <v>5</v>
      </c>
      <c r="AH40" s="206">
        <v>2.91</v>
      </c>
      <c r="AI40" s="206">
        <v>0</v>
      </c>
    </row>
    <row r="41" spans="1:35" outlineLevel="1" x14ac:dyDescent="0.15">
      <c r="A41" s="8" t="s">
        <v>949</v>
      </c>
      <c r="B41" s="8"/>
      <c r="C41" s="8" t="s">
        <v>47</v>
      </c>
      <c r="D41" s="215" t="s">
        <v>1692</v>
      </c>
      <c r="E41" s="9">
        <v>22.23</v>
      </c>
      <c r="F41" s="8" t="s">
        <v>469</v>
      </c>
      <c r="G41" s="10">
        <v>1622.0000000000002</v>
      </c>
      <c r="H41" s="11">
        <f t="shared" si="17"/>
        <v>0</v>
      </c>
      <c r="I41" s="143">
        <f t="shared" si="18"/>
        <v>0</v>
      </c>
      <c r="J41" s="9">
        <f t="array" ref="J41">IFERROR(I41/G41*100,0)</f>
        <v>0</v>
      </c>
      <c r="K41" s="143">
        <f t="shared" si="19"/>
        <v>0</v>
      </c>
      <c r="L41" s="9">
        <f t="shared" si="12"/>
        <v>0</v>
      </c>
      <c r="M41" s="8" t="str">
        <f t="array" ref="M41">IF(L41&gt;5,"Perlu Pengendalian",IF(AND(L41&gt;=0,I41&gt;0),"Tidak Perlu Pengendalian","Belum Sensus"))</f>
        <v>Belum Sensus</v>
      </c>
      <c r="N41" s="143">
        <f t="shared" si="20"/>
        <v>0</v>
      </c>
      <c r="O41" s="9">
        <f t="array" ref="O41">IFERROR(N41/I41*100,0)</f>
        <v>0</v>
      </c>
      <c r="P41" s="11"/>
      <c r="Q41" s="143"/>
      <c r="R41" s="9">
        <f t="shared" si="8"/>
        <v>0</v>
      </c>
      <c r="S41" s="143"/>
      <c r="T41" s="9">
        <f t="shared" si="5"/>
        <v>0</v>
      </c>
      <c r="U41" s="8" t="str">
        <f t="array" ref="U41">IF(T41&gt;5,"Perlu Pengendalian",IF(AND(T41&gt;=0,Q41&gt;0),"Tidak Perlu Pengendalian","Belum Sensus"))</f>
        <v>Belum Sensus</v>
      </c>
      <c r="V41" s="143"/>
      <c r="W41" s="9">
        <f t="array" ref="W41">IFERROR(V41/Q41*100,0)</f>
        <v>0</v>
      </c>
      <c r="X41" s="11"/>
      <c r="Y41" s="143">
        <v>0</v>
      </c>
      <c r="Z41" s="9">
        <f t="shared" si="9"/>
        <v>0</v>
      </c>
      <c r="AA41" s="143">
        <v>0</v>
      </c>
      <c r="AB41" s="9">
        <f t="shared" si="6"/>
        <v>0</v>
      </c>
      <c r="AC41" s="8" t="str">
        <f t="array" ref="AC41">IF(AB41&gt;5,"Perlu Pengendalian",IF(AND(AB41&gt;=0,Y41&gt;0),"Tidak Perlu Pengendalian","Belum Sensus"))</f>
        <v>Belum Sensus</v>
      </c>
      <c r="AD41" s="143">
        <v>0</v>
      </c>
      <c r="AE41" s="9">
        <f t="array" ref="AE41">IFERROR(AD41/Y41*100,0)</f>
        <v>0</v>
      </c>
      <c r="AG41" s="206">
        <v>19.298245614035086</v>
      </c>
      <c r="AH41" s="206">
        <v>4.12</v>
      </c>
      <c r="AI41" s="206">
        <v>0</v>
      </c>
    </row>
    <row r="42" spans="1:35" outlineLevel="1" x14ac:dyDescent="0.15">
      <c r="A42" s="8" t="s">
        <v>949</v>
      </c>
      <c r="B42" s="8"/>
      <c r="C42" s="8" t="s">
        <v>79</v>
      </c>
      <c r="D42" s="8" t="s">
        <v>1114</v>
      </c>
      <c r="E42" s="9">
        <v>34.72</v>
      </c>
      <c r="F42" s="8" t="s">
        <v>469</v>
      </c>
      <c r="G42" s="10">
        <v>3936</v>
      </c>
      <c r="H42" s="11">
        <f t="shared" si="17"/>
        <v>46171</v>
      </c>
      <c r="I42" s="143">
        <f t="shared" si="18"/>
        <v>411</v>
      </c>
      <c r="J42" s="9">
        <f t="array" ref="J42">IFERROR(I42/G42*100,0)</f>
        <v>10.442073170731707</v>
      </c>
      <c r="K42" s="143">
        <f t="shared" si="19"/>
        <v>6</v>
      </c>
      <c r="L42" s="9">
        <f t="shared" si="12"/>
        <v>1.4598540145985401</v>
      </c>
      <c r="M42" s="8" t="str">
        <f t="array" ref="M42">IF(L42&gt;5,"Perlu Pengendalian",IF(AND(L42&gt;=0,I42&gt;0),"Tidak Perlu Pengendalian","Belum Sensus"))</f>
        <v>Tidak Perlu Pengendalian</v>
      </c>
      <c r="N42" s="143">
        <f t="shared" si="20"/>
        <v>9</v>
      </c>
      <c r="O42" s="9">
        <f t="array" ref="O42">IFERROR(N42/I42*100,0)</f>
        <v>2.1897810218978102</v>
      </c>
      <c r="P42" s="11">
        <v>46171</v>
      </c>
      <c r="Q42" s="143">
        <v>411</v>
      </c>
      <c r="R42" s="9">
        <f t="shared" si="8"/>
        <v>10.442073170731707</v>
      </c>
      <c r="S42" s="143">
        <v>6</v>
      </c>
      <c r="T42" s="9">
        <f t="shared" si="5"/>
        <v>1.4598540145985401</v>
      </c>
      <c r="U42" s="8" t="str">
        <f t="array" ref="U42">IF(T42&gt;5,"Perlu Pengendalian",IF(AND(T42&gt;=0,Q42&gt;0),"Tidak Perlu Pengendalian","Belum Sensus"))</f>
        <v>Tidak Perlu Pengendalian</v>
      </c>
      <c r="V42" s="143">
        <v>9</v>
      </c>
      <c r="W42" s="9">
        <f t="array" ref="W42">IFERROR(V42/Q42*100,0)</f>
        <v>2.1897810218978102</v>
      </c>
      <c r="X42" s="11"/>
      <c r="Y42" s="143">
        <v>0</v>
      </c>
      <c r="Z42" s="9">
        <f t="shared" si="9"/>
        <v>0</v>
      </c>
      <c r="AA42" s="143">
        <v>0</v>
      </c>
      <c r="AB42" s="9">
        <f t="shared" si="6"/>
        <v>0</v>
      </c>
      <c r="AC42" s="8" t="str">
        <f t="array" ref="AC42">IF(AB42&gt;5,"Perlu Pengendalian",IF(AND(AB42&gt;=0,Y42&gt;0),"Tidak Perlu Pengendalian","Belum Sensus"))</f>
        <v>Belum Sensus</v>
      </c>
      <c r="AD42" s="143">
        <v>0</v>
      </c>
      <c r="AE42" s="9">
        <f t="array" ref="AE42">IFERROR(AD42/Y42*100,0)</f>
        <v>0</v>
      </c>
      <c r="AG42" s="206">
        <v>0</v>
      </c>
      <c r="AH42" s="206">
        <v>4.1120000000000001</v>
      </c>
      <c r="AI42" s="206">
        <v>0</v>
      </c>
    </row>
    <row r="43" spans="1:35" outlineLevel="1" x14ac:dyDescent="0.15">
      <c r="A43" s="8" t="s">
        <v>949</v>
      </c>
      <c r="B43" s="8"/>
      <c r="C43" s="8" t="s">
        <v>79</v>
      </c>
      <c r="D43" s="8" t="s">
        <v>1115</v>
      </c>
      <c r="E43" s="179">
        <v>31.47</v>
      </c>
      <c r="F43" s="8" t="s">
        <v>469</v>
      </c>
      <c r="G43" s="10">
        <v>3437</v>
      </c>
      <c r="H43" s="11">
        <f t="shared" si="17"/>
        <v>46167</v>
      </c>
      <c r="I43" s="143">
        <f t="shared" si="18"/>
        <v>225</v>
      </c>
      <c r="J43" s="9">
        <f t="array" ref="J43">IFERROR(I43/G43*100,0)</f>
        <v>6.5464067500727374</v>
      </c>
      <c r="K43" s="143">
        <f t="shared" si="19"/>
        <v>3</v>
      </c>
      <c r="L43" s="9">
        <f t="shared" si="12"/>
        <v>1.3333333333333335</v>
      </c>
      <c r="M43" s="8" t="str">
        <f t="array" ref="M43">IF(L43&gt;5,"Perlu Pengendalian",IF(AND(L43&gt;=0,I43&gt;0),"Tidak Perlu Pengendalian","Belum Sensus"))</f>
        <v>Tidak Perlu Pengendalian</v>
      </c>
      <c r="N43" s="143">
        <f t="shared" si="20"/>
        <v>6</v>
      </c>
      <c r="O43" s="9">
        <f t="array" ref="O43">IFERROR(N43/I43*100,0)</f>
        <v>2.666666666666667</v>
      </c>
      <c r="P43" s="11">
        <v>46167</v>
      </c>
      <c r="Q43" s="143">
        <v>225</v>
      </c>
      <c r="R43" s="9">
        <f t="shared" si="8"/>
        <v>6.5464067500727374</v>
      </c>
      <c r="S43" s="143">
        <v>3</v>
      </c>
      <c r="T43" s="9">
        <f t="shared" si="5"/>
        <v>1.3333333333333335</v>
      </c>
      <c r="U43" s="8" t="str">
        <f t="array" ref="U43">IF(T43&gt;5,"Perlu Pengendalian",IF(AND(T43&gt;=0,Q43&gt;0),"Tidak Perlu Pengendalian","Belum Sensus"))</f>
        <v>Tidak Perlu Pengendalian</v>
      </c>
      <c r="V43" s="143">
        <v>6</v>
      </c>
      <c r="W43" s="9">
        <f t="array" ref="W43">IFERROR(V43/Q43*100,0)</f>
        <v>2.666666666666667</v>
      </c>
      <c r="X43" s="11"/>
      <c r="Y43" s="143">
        <v>0</v>
      </c>
      <c r="Z43" s="9">
        <f t="shared" si="9"/>
        <v>0</v>
      </c>
      <c r="AA43" s="143">
        <v>0</v>
      </c>
      <c r="AB43" s="9">
        <f t="shared" si="6"/>
        <v>0</v>
      </c>
      <c r="AC43" s="8" t="str">
        <f t="array" ref="AC43">IF(AB43&gt;5,"Perlu Pengendalian",IF(AND(AB43&gt;=0,Y43&gt;0),"Tidak Perlu Pengendalian","Belum Sensus"))</f>
        <v>Belum Sensus</v>
      </c>
      <c r="AD43" s="143">
        <v>0</v>
      </c>
      <c r="AE43" s="9">
        <f t="array" ref="AE43">IFERROR(AD43/Y43*100,0)</f>
        <v>0</v>
      </c>
      <c r="AG43" s="206">
        <v>1.9920318725099602</v>
      </c>
      <c r="AH43" s="206">
        <v>3.34</v>
      </c>
      <c r="AI43" s="206">
        <v>0</v>
      </c>
    </row>
    <row r="44" spans="1:35" outlineLevel="1" x14ac:dyDescent="0.15">
      <c r="A44" s="8" t="s">
        <v>949</v>
      </c>
      <c r="B44" s="8"/>
      <c r="C44" s="8" t="s">
        <v>79</v>
      </c>
      <c r="D44" s="8" t="s">
        <v>1116</v>
      </c>
      <c r="E44" s="9">
        <v>28.439999999999998</v>
      </c>
      <c r="F44" s="8" t="s">
        <v>469</v>
      </c>
      <c r="G44" s="10">
        <v>2565</v>
      </c>
      <c r="H44" s="11">
        <f t="shared" si="17"/>
        <v>0</v>
      </c>
      <c r="I44" s="143">
        <f t="shared" si="18"/>
        <v>0</v>
      </c>
      <c r="J44" s="9">
        <f t="array" ref="J44">IFERROR(I44/G44*100,0)</f>
        <v>0</v>
      </c>
      <c r="K44" s="143">
        <f t="shared" si="19"/>
        <v>0</v>
      </c>
      <c r="L44" s="9">
        <f t="shared" si="12"/>
        <v>0</v>
      </c>
      <c r="M44" s="8" t="str">
        <f t="array" ref="M44">IF(L44&gt;5,"Perlu Pengendalian",IF(AND(L44&gt;=0,I44&gt;0),"Tidak Perlu Pengendalian","Belum Sensus"))</f>
        <v>Belum Sensus</v>
      </c>
      <c r="N44" s="143">
        <f t="shared" si="20"/>
        <v>0</v>
      </c>
      <c r="O44" s="9">
        <f t="array" ref="O44">IFERROR(N44/I44*100,0)</f>
        <v>0</v>
      </c>
      <c r="P44" s="11"/>
      <c r="Q44" s="143"/>
      <c r="R44" s="9">
        <f t="shared" si="8"/>
        <v>0</v>
      </c>
      <c r="S44" s="143"/>
      <c r="T44" s="9">
        <f t="shared" si="5"/>
        <v>0</v>
      </c>
      <c r="U44" s="8" t="str">
        <f t="array" ref="U44">IF(T44&gt;5,"Perlu Pengendalian",IF(AND(T44&gt;=0,Q44&gt;0),"Tidak Perlu Pengendalian","Belum Sensus"))</f>
        <v>Belum Sensus</v>
      </c>
      <c r="V44" s="143"/>
      <c r="W44" s="9">
        <f t="array" ref="W44">IFERROR(V44/Q44*100,0)</f>
        <v>0</v>
      </c>
      <c r="X44" s="11"/>
      <c r="Y44" s="143">
        <v>0</v>
      </c>
      <c r="Z44" s="9">
        <f t="shared" si="9"/>
        <v>0</v>
      </c>
      <c r="AA44" s="143">
        <v>0</v>
      </c>
      <c r="AB44" s="9">
        <f t="shared" si="6"/>
        <v>0</v>
      </c>
      <c r="AC44" s="8" t="str">
        <f t="array" ref="AC44">IF(AB44&gt;5,"Perlu Pengendalian",IF(AND(AB44&gt;=0,Y44&gt;0),"Tidak Perlu Pengendalian","Belum Sensus"))</f>
        <v>Belum Sensus</v>
      </c>
      <c r="AD44" s="143">
        <v>0</v>
      </c>
      <c r="AE44" s="9">
        <f t="array" ref="AE44">IFERROR(AD44/Y44*100,0)</f>
        <v>0</v>
      </c>
      <c r="AG44" s="206">
        <v>0</v>
      </c>
      <c r="AH44" s="206">
        <v>2.21</v>
      </c>
      <c r="AI44" s="206">
        <v>0</v>
      </c>
    </row>
    <row r="45" spans="1:35" outlineLevel="1" x14ac:dyDescent="0.15">
      <c r="A45" s="8" t="s">
        <v>949</v>
      </c>
      <c r="B45" s="8"/>
      <c r="C45" s="8" t="s">
        <v>79</v>
      </c>
      <c r="D45" s="8" t="s">
        <v>1762</v>
      </c>
      <c r="E45" s="9">
        <v>24.84</v>
      </c>
      <c r="F45" s="8" t="s">
        <v>469</v>
      </c>
      <c r="G45" s="10">
        <v>2665</v>
      </c>
      <c r="H45" s="11">
        <f t="shared" si="17"/>
        <v>46181</v>
      </c>
      <c r="I45" s="143">
        <f t="shared" si="18"/>
        <v>272</v>
      </c>
      <c r="J45" s="9">
        <f t="array" ref="J45">IFERROR(I45/G45*100,0)</f>
        <v>10.206378986866792</v>
      </c>
      <c r="K45" s="143">
        <f t="shared" si="19"/>
        <v>8</v>
      </c>
      <c r="L45" s="9">
        <f t="shared" si="12"/>
        <v>2.9411764705882351</v>
      </c>
      <c r="M45" s="8" t="str">
        <f t="array" ref="M45">IF(L45&gt;5,"Perlu Pengendalian",IF(AND(L45&gt;=0,I45&gt;0),"Tidak Perlu Pengendalian","Belum Sensus"))</f>
        <v>Tidak Perlu Pengendalian</v>
      </c>
      <c r="N45" s="143">
        <f t="shared" si="20"/>
        <v>1</v>
      </c>
      <c r="O45" s="9">
        <f t="array" ref="O45">IFERROR(N45/I45*100,0)</f>
        <v>0.36764705882352938</v>
      </c>
      <c r="P45" s="11"/>
      <c r="Q45" s="143"/>
      <c r="R45" s="9">
        <f t="shared" si="8"/>
        <v>0</v>
      </c>
      <c r="S45" s="143"/>
      <c r="T45" s="9">
        <f t="shared" si="5"/>
        <v>0</v>
      </c>
      <c r="U45" s="8" t="str">
        <f t="array" ref="U45">IF(T45&gt;5,"Perlu Pengendalian",IF(AND(T45&gt;=0,Q45&gt;0),"Tidak Perlu Pengendalian","Belum Sensus"))</f>
        <v>Belum Sensus</v>
      </c>
      <c r="V45" s="143"/>
      <c r="W45" s="9">
        <f t="array" ref="W45">IFERROR(V45/Q45*100,0)</f>
        <v>0</v>
      </c>
      <c r="X45" s="11">
        <v>46181</v>
      </c>
      <c r="Y45" s="143">
        <v>272</v>
      </c>
      <c r="Z45" s="9">
        <f t="shared" si="9"/>
        <v>10.206378986866792</v>
      </c>
      <c r="AA45" s="143">
        <v>8</v>
      </c>
      <c r="AB45" s="9">
        <f t="shared" si="6"/>
        <v>2.9411764705882351</v>
      </c>
      <c r="AC45" s="8" t="str">
        <f t="array" ref="AC45">IF(AB45&gt;5,"Perlu Pengendalian",IF(AND(AB45&gt;=0,Y45&gt;0),"Tidak Perlu Pengendalian","Belum Sensus"))</f>
        <v>Tidak Perlu Pengendalian</v>
      </c>
      <c r="AD45" s="143">
        <v>1</v>
      </c>
      <c r="AE45" s="9">
        <f t="array" ref="AE45">IFERROR(AD45/Y45*100,0)</f>
        <v>0.36764705882352938</v>
      </c>
      <c r="AG45" s="206">
        <v>14.893617021276595</v>
      </c>
      <c r="AH45" s="206">
        <v>1.1599999999999999</v>
      </c>
      <c r="AI45" s="206">
        <v>0</v>
      </c>
    </row>
    <row r="46" spans="1:35" outlineLevel="1" x14ac:dyDescent="0.15">
      <c r="A46" s="8" t="s">
        <v>949</v>
      </c>
      <c r="B46" s="8"/>
      <c r="C46" s="8" t="s">
        <v>79</v>
      </c>
      <c r="D46" s="8" t="s">
        <v>1763</v>
      </c>
      <c r="E46" s="9">
        <v>33.429999999999268</v>
      </c>
      <c r="F46" s="8" t="s">
        <v>469</v>
      </c>
      <c r="G46" s="10">
        <v>3349</v>
      </c>
      <c r="H46" s="11">
        <f t="shared" si="17"/>
        <v>0</v>
      </c>
      <c r="I46" s="143">
        <f t="shared" si="18"/>
        <v>0</v>
      </c>
      <c r="J46" s="9">
        <f t="array" ref="J46">IFERROR(I46/G46*100,0)</f>
        <v>0</v>
      </c>
      <c r="K46" s="143">
        <f t="shared" si="19"/>
        <v>0</v>
      </c>
      <c r="L46" s="9">
        <f t="shared" si="12"/>
        <v>0</v>
      </c>
      <c r="M46" s="8" t="str">
        <f t="array" ref="M46">IF(L46&gt;5,"Perlu Pengendalian",IF(AND(L46&gt;=0,I46&gt;0),"Tidak Perlu Pengendalian","Belum Sensus"))</f>
        <v>Belum Sensus</v>
      </c>
      <c r="N46" s="143">
        <f t="shared" si="20"/>
        <v>0</v>
      </c>
      <c r="O46" s="9">
        <f t="array" ref="O46">IFERROR(N46/I46*100,0)</f>
        <v>0</v>
      </c>
      <c r="P46" s="11"/>
      <c r="Q46" s="143"/>
      <c r="R46" s="9">
        <f t="shared" si="8"/>
        <v>0</v>
      </c>
      <c r="S46" s="143"/>
      <c r="T46" s="9">
        <f t="shared" si="5"/>
        <v>0</v>
      </c>
      <c r="U46" s="8" t="str">
        <f t="array" ref="U46">IF(T46&gt;5,"Perlu Pengendalian",IF(AND(T46&gt;=0,Q46&gt;0),"Tidak Perlu Pengendalian","Belum Sensus"))</f>
        <v>Belum Sensus</v>
      </c>
      <c r="V46" s="143"/>
      <c r="W46" s="9">
        <f t="array" ref="W46">IFERROR(V46/Q46*100,0)</f>
        <v>0</v>
      </c>
      <c r="X46" s="11"/>
      <c r="Y46" s="143">
        <v>0</v>
      </c>
      <c r="Z46" s="9">
        <f t="shared" si="9"/>
        <v>0</v>
      </c>
      <c r="AA46" s="143">
        <v>0</v>
      </c>
      <c r="AB46" s="9">
        <f t="shared" si="6"/>
        <v>0</v>
      </c>
      <c r="AC46" s="8" t="str">
        <f t="array" ref="AC46">IF(AB46&gt;5,"Perlu Pengendalian",IF(AND(AB46&gt;=0,Y46&gt;0),"Tidak Perlu Pengendalian","Belum Sensus"))</f>
        <v>Belum Sensus</v>
      </c>
      <c r="AD46" s="143">
        <v>0</v>
      </c>
      <c r="AE46" s="9">
        <f t="array" ref="AE46">IFERROR(AD46/Y46*100,0)</f>
        <v>0</v>
      </c>
      <c r="AG46" s="206">
        <v>3.7037037037037033</v>
      </c>
      <c r="AH46" s="206">
        <v>3.36</v>
      </c>
      <c r="AI46" s="206">
        <v>0</v>
      </c>
    </row>
    <row r="47" spans="1:35" outlineLevel="1" x14ac:dyDescent="0.15">
      <c r="A47" s="8" t="s">
        <v>949</v>
      </c>
      <c r="B47" s="8"/>
      <c r="C47" s="8" t="s">
        <v>79</v>
      </c>
      <c r="D47" s="8" t="s">
        <v>1199</v>
      </c>
      <c r="E47" s="9">
        <v>37.19</v>
      </c>
      <c r="F47" s="8" t="s">
        <v>469</v>
      </c>
      <c r="G47" s="10">
        <v>4412</v>
      </c>
      <c r="H47" s="11">
        <f t="shared" si="17"/>
        <v>0</v>
      </c>
      <c r="I47" s="143">
        <f t="shared" si="18"/>
        <v>0</v>
      </c>
      <c r="J47" s="9">
        <f t="array" ref="J47">IFERROR(I47/G47*100,0)</f>
        <v>0</v>
      </c>
      <c r="K47" s="143">
        <f t="shared" si="19"/>
        <v>0</v>
      </c>
      <c r="L47" s="9">
        <f t="shared" si="12"/>
        <v>0</v>
      </c>
      <c r="M47" s="8" t="str">
        <f t="array" ref="M47">IF(L47&gt;5,"Perlu Pengendalian",IF(AND(L47&gt;=0,I47&gt;0),"Tidak Perlu Pengendalian","Belum Sensus"))</f>
        <v>Belum Sensus</v>
      </c>
      <c r="N47" s="143">
        <f t="shared" si="20"/>
        <v>0</v>
      </c>
      <c r="O47" s="9">
        <f t="array" ref="O47">IFERROR(N47/I47*100,0)</f>
        <v>0</v>
      </c>
      <c r="P47" s="11"/>
      <c r="Q47" s="143"/>
      <c r="R47" s="9">
        <f t="shared" si="8"/>
        <v>0</v>
      </c>
      <c r="S47" s="143"/>
      <c r="T47" s="9">
        <f t="shared" si="5"/>
        <v>0</v>
      </c>
      <c r="U47" s="8" t="str">
        <f t="array" ref="U47">IF(T47&gt;5,"Perlu Pengendalian",IF(AND(T47&gt;=0,Q47&gt;0),"Tidak Perlu Pengendalian","Belum Sensus"))</f>
        <v>Belum Sensus</v>
      </c>
      <c r="V47" s="143"/>
      <c r="W47" s="9">
        <f t="array" ref="W47">IFERROR(V47/Q47*100,0)</f>
        <v>0</v>
      </c>
      <c r="X47" s="11"/>
      <c r="Y47" s="143">
        <v>0</v>
      </c>
      <c r="Z47" s="9">
        <f t="shared" si="9"/>
        <v>0</v>
      </c>
      <c r="AA47" s="143">
        <v>0</v>
      </c>
      <c r="AB47" s="9">
        <f t="shared" si="6"/>
        <v>0</v>
      </c>
      <c r="AC47" s="8" t="str">
        <f t="array" ref="AC47">IF(AB47&gt;5,"Perlu Pengendalian",IF(AND(AB47&gt;=0,Y47&gt;0),"Tidak Perlu Pengendalian","Belum Sensus"))</f>
        <v>Belum Sensus</v>
      </c>
      <c r="AD47" s="143">
        <v>0</v>
      </c>
      <c r="AE47" s="9">
        <f t="array" ref="AE47">IFERROR(AD47/Y47*100,0)</f>
        <v>0</v>
      </c>
      <c r="AG47" s="206">
        <v>0</v>
      </c>
      <c r="AH47" s="206">
        <v>4.18</v>
      </c>
      <c r="AI47" s="206">
        <v>0</v>
      </c>
    </row>
    <row r="48" spans="1:35" outlineLevel="1" x14ac:dyDescent="0.15">
      <c r="A48" s="8" t="s">
        <v>949</v>
      </c>
      <c r="B48" s="8"/>
      <c r="C48" s="8" t="s">
        <v>79</v>
      </c>
      <c r="D48" s="8" t="s">
        <v>1713</v>
      </c>
      <c r="E48" s="9">
        <v>33.010000000000005</v>
      </c>
      <c r="F48" s="8" t="s">
        <v>469</v>
      </c>
      <c r="G48" s="10">
        <v>3576</v>
      </c>
      <c r="H48" s="11">
        <f t="shared" si="17"/>
        <v>0</v>
      </c>
      <c r="I48" s="143">
        <f t="shared" si="18"/>
        <v>0</v>
      </c>
      <c r="J48" s="9">
        <f t="array" ref="J48">IFERROR(I48/G48*100,0)</f>
        <v>0</v>
      </c>
      <c r="K48" s="143">
        <f t="shared" si="19"/>
        <v>0</v>
      </c>
      <c r="L48" s="9">
        <f t="shared" si="12"/>
        <v>0</v>
      </c>
      <c r="M48" s="8" t="str">
        <f t="array" ref="M48">IF(L48&gt;5,"Perlu Pengendalian",IF(AND(L48&gt;=0,I48&gt;0),"Tidak Perlu Pengendalian","Belum Sensus"))</f>
        <v>Belum Sensus</v>
      </c>
      <c r="N48" s="143">
        <f t="shared" si="20"/>
        <v>0</v>
      </c>
      <c r="O48" s="9">
        <f t="array" ref="O48">IFERROR(N48/I48*100,0)</f>
        <v>0</v>
      </c>
      <c r="P48" s="11"/>
      <c r="Q48" s="143"/>
      <c r="R48" s="9">
        <f t="shared" si="8"/>
        <v>0</v>
      </c>
      <c r="S48" s="143"/>
      <c r="T48" s="9">
        <f t="shared" si="5"/>
        <v>0</v>
      </c>
      <c r="U48" s="8" t="str">
        <f t="array" ref="U48">IF(T48&gt;5,"Perlu Pengendalian",IF(AND(T48&gt;=0,Q48&gt;0),"Tidak Perlu Pengendalian","Belum Sensus"))</f>
        <v>Belum Sensus</v>
      </c>
      <c r="V48" s="143"/>
      <c r="W48" s="9">
        <f t="array" ref="W48">IFERROR(V48/Q48*100,0)</f>
        <v>0</v>
      </c>
      <c r="X48" s="11"/>
      <c r="Y48" s="143">
        <v>0</v>
      </c>
      <c r="Z48" s="9">
        <f t="shared" si="9"/>
        <v>0</v>
      </c>
      <c r="AA48" s="143">
        <v>0</v>
      </c>
      <c r="AB48" s="9">
        <f t="shared" si="6"/>
        <v>0</v>
      </c>
      <c r="AC48" s="8" t="str">
        <f t="array" ref="AC48">IF(AB48&gt;5,"Perlu Pengendalian",IF(AND(AB48&gt;=0,Y48&gt;0),"Tidak Perlu Pengendalian","Belum Sensus"))</f>
        <v>Belum Sensus</v>
      </c>
      <c r="AD48" s="143">
        <v>0</v>
      </c>
      <c r="AE48" s="9">
        <f t="array" ref="AE48">IFERROR(AD48/Y48*100,0)</f>
        <v>0</v>
      </c>
      <c r="AG48" s="206">
        <v>1.9230769230769231</v>
      </c>
      <c r="AH48" s="206">
        <v>2.25</v>
      </c>
      <c r="AI48" s="206">
        <v>0</v>
      </c>
    </row>
    <row r="49" spans="1:35" outlineLevel="1" x14ac:dyDescent="0.15">
      <c r="A49" s="8" t="s">
        <v>949</v>
      </c>
      <c r="B49" s="8"/>
      <c r="C49" s="8" t="s">
        <v>79</v>
      </c>
      <c r="D49" s="8" t="s">
        <v>1714</v>
      </c>
      <c r="E49" s="9">
        <v>47.19</v>
      </c>
      <c r="F49" s="8" t="s">
        <v>469</v>
      </c>
      <c r="G49" s="10">
        <v>5348</v>
      </c>
      <c r="H49" s="11">
        <f t="shared" si="17"/>
        <v>46178</v>
      </c>
      <c r="I49" s="143">
        <f t="shared" si="18"/>
        <v>388</v>
      </c>
      <c r="J49" s="9">
        <f t="array" ref="J49">IFERROR(I49/G49*100,0)</f>
        <v>7.2550486163051611</v>
      </c>
      <c r="K49" s="143">
        <f t="shared" si="19"/>
        <v>15</v>
      </c>
      <c r="L49" s="9">
        <f t="shared" si="12"/>
        <v>3.865979381443299</v>
      </c>
      <c r="M49" s="8" t="str">
        <f t="array" ref="M49">IF(L49&gt;5,"Perlu Pengendalian",IF(AND(L49&gt;=0,I49&gt;0),"Tidak Perlu Pengendalian","Belum Sensus"))</f>
        <v>Tidak Perlu Pengendalian</v>
      </c>
      <c r="N49" s="143">
        <f t="shared" si="20"/>
        <v>3</v>
      </c>
      <c r="O49" s="9">
        <f t="array" ref="O49">IFERROR(N49/I49*100,0)</f>
        <v>0.77319587628865982</v>
      </c>
      <c r="P49" s="11"/>
      <c r="Q49" s="143"/>
      <c r="R49" s="9">
        <f t="shared" si="8"/>
        <v>0</v>
      </c>
      <c r="S49" s="143"/>
      <c r="T49" s="9">
        <f t="shared" si="5"/>
        <v>0</v>
      </c>
      <c r="U49" s="8" t="str">
        <f t="array" ref="U49">IF(T49&gt;5,"Perlu Pengendalian",IF(AND(T49&gt;=0,Q49&gt;0),"Tidak Perlu Pengendalian","Belum Sensus"))</f>
        <v>Belum Sensus</v>
      </c>
      <c r="V49" s="143"/>
      <c r="W49" s="9">
        <f t="array" ref="W49">IFERROR(V49/Q49*100,0)</f>
        <v>0</v>
      </c>
      <c r="X49" s="11">
        <v>46178</v>
      </c>
      <c r="Y49" s="143">
        <v>388</v>
      </c>
      <c r="Z49" s="9">
        <f t="shared" si="9"/>
        <v>7.2550486163051611</v>
      </c>
      <c r="AA49" s="143">
        <v>15</v>
      </c>
      <c r="AB49" s="9">
        <f t="shared" si="6"/>
        <v>3.865979381443299</v>
      </c>
      <c r="AC49" s="8" t="str">
        <f t="array" ref="AC49">IF(AB49&gt;5,"Perlu Pengendalian",IF(AND(AB49&gt;=0,Y49&gt;0),"Tidak Perlu Pengendalian","Belum Sensus"))</f>
        <v>Tidak Perlu Pengendalian</v>
      </c>
      <c r="AD49" s="143">
        <v>3</v>
      </c>
      <c r="AE49" s="9">
        <f t="array" ref="AE49">IFERROR(AD49/Y49*100,0)</f>
        <v>0.77319587628865982</v>
      </c>
      <c r="AG49" s="206">
        <v>7.6923076923076925</v>
      </c>
      <c r="AH49" s="206">
        <v>2.81</v>
      </c>
      <c r="AI49" s="206">
        <v>0</v>
      </c>
    </row>
    <row r="50" spans="1:35" outlineLevel="1" x14ac:dyDescent="0.15">
      <c r="A50" s="8" t="s">
        <v>949</v>
      </c>
      <c r="B50" s="8"/>
      <c r="C50" s="8" t="s">
        <v>79</v>
      </c>
      <c r="D50" s="8" t="s">
        <v>1200</v>
      </c>
      <c r="E50" s="179">
        <v>28.580000000000002</v>
      </c>
      <c r="F50" s="8" t="s">
        <v>469</v>
      </c>
      <c r="G50" s="10">
        <v>3106</v>
      </c>
      <c r="H50" s="11">
        <f t="shared" si="17"/>
        <v>46178</v>
      </c>
      <c r="I50" s="143">
        <f t="shared" si="18"/>
        <v>318</v>
      </c>
      <c r="J50" s="9">
        <f t="array" ref="J50">IFERROR(I50/G50*100,0)</f>
        <v>10.238248551191242</v>
      </c>
      <c r="K50" s="143">
        <f t="shared" si="19"/>
        <v>8</v>
      </c>
      <c r="L50" s="9">
        <f t="shared" si="12"/>
        <v>2.5157232704402519</v>
      </c>
      <c r="M50" s="8" t="str">
        <f t="array" ref="M50">IF(L50&gt;5,"Perlu Pengendalian",IF(AND(L50&gt;=0,I50&gt;0),"Tidak Perlu Pengendalian","Belum Sensus"))</f>
        <v>Tidak Perlu Pengendalian</v>
      </c>
      <c r="N50" s="143">
        <f t="shared" si="20"/>
        <v>4</v>
      </c>
      <c r="O50" s="9">
        <f t="array" ref="O50">IFERROR(N50/I50*100,0)</f>
        <v>1.257861635220126</v>
      </c>
      <c r="P50" s="11"/>
      <c r="Q50" s="143"/>
      <c r="R50" s="9">
        <f t="shared" si="8"/>
        <v>0</v>
      </c>
      <c r="S50" s="143"/>
      <c r="T50" s="9">
        <f t="shared" si="5"/>
        <v>0</v>
      </c>
      <c r="U50" s="8" t="str">
        <f t="array" ref="U50">IF(T50&gt;5,"Perlu Pengendalian",IF(AND(T50&gt;=0,Q50&gt;0),"Tidak Perlu Pengendalian","Belum Sensus"))</f>
        <v>Belum Sensus</v>
      </c>
      <c r="V50" s="143"/>
      <c r="W50" s="9">
        <f t="array" ref="W50">IFERROR(V50/Q50*100,0)</f>
        <v>0</v>
      </c>
      <c r="X50" s="11">
        <v>46178</v>
      </c>
      <c r="Y50" s="143">
        <v>318</v>
      </c>
      <c r="Z50" s="9">
        <f t="shared" si="9"/>
        <v>10.238248551191242</v>
      </c>
      <c r="AA50" s="143">
        <v>8</v>
      </c>
      <c r="AB50" s="9">
        <f t="shared" si="6"/>
        <v>2.5157232704402519</v>
      </c>
      <c r="AC50" s="8" t="str">
        <f t="array" ref="AC50">IF(AB50&gt;5,"Perlu Pengendalian",IF(AND(AB50&gt;=0,Y50&gt;0),"Tidak Perlu Pengendalian","Belum Sensus"))</f>
        <v>Tidak Perlu Pengendalian</v>
      </c>
      <c r="AD50" s="143">
        <v>4</v>
      </c>
      <c r="AE50" s="9">
        <f t="array" ref="AE50">IFERROR(AD50/Y50*100,0)</f>
        <v>1.257861635220126</v>
      </c>
      <c r="AG50" s="206">
        <v>2.1739130434782608</v>
      </c>
      <c r="AH50" s="206">
        <v>3.11</v>
      </c>
      <c r="AI50" s="206">
        <v>0</v>
      </c>
    </row>
    <row r="51" spans="1:35" outlineLevel="1" x14ac:dyDescent="0.15">
      <c r="A51" s="8" t="s">
        <v>949</v>
      </c>
      <c r="B51" s="8"/>
      <c r="C51" s="8" t="s">
        <v>79</v>
      </c>
      <c r="D51" s="8" t="s">
        <v>1201</v>
      </c>
      <c r="E51" s="9">
        <v>23.599999999999998</v>
      </c>
      <c r="F51" s="8" t="s">
        <v>469</v>
      </c>
      <c r="G51" s="10">
        <v>2301</v>
      </c>
      <c r="H51" s="11">
        <f t="shared" si="17"/>
        <v>46167</v>
      </c>
      <c r="I51" s="143">
        <f t="shared" si="18"/>
        <v>240</v>
      </c>
      <c r="J51" s="9">
        <f t="array" ref="J51">IFERROR(I51/G51*100,0)</f>
        <v>10.430247718383312</v>
      </c>
      <c r="K51" s="143">
        <f t="shared" si="19"/>
        <v>6</v>
      </c>
      <c r="L51" s="9">
        <f t="shared" si="12"/>
        <v>2.5</v>
      </c>
      <c r="M51" s="8" t="str">
        <f t="array" ref="M51">IF(L51&gt;5,"Perlu Pengendalian",IF(AND(L51&gt;=0,I51&gt;0),"Tidak Perlu Pengendalian","Belum Sensus"))</f>
        <v>Tidak Perlu Pengendalian</v>
      </c>
      <c r="N51" s="143">
        <f t="shared" si="20"/>
        <v>3</v>
      </c>
      <c r="O51" s="9">
        <f t="array" ref="O51">IFERROR(N51/I51*100,0)</f>
        <v>1.25</v>
      </c>
      <c r="P51" s="11">
        <v>46167</v>
      </c>
      <c r="Q51" s="143">
        <v>240</v>
      </c>
      <c r="R51" s="9">
        <f t="shared" si="8"/>
        <v>10.430247718383312</v>
      </c>
      <c r="S51" s="143">
        <v>6</v>
      </c>
      <c r="T51" s="9">
        <f t="shared" si="5"/>
        <v>2.5</v>
      </c>
      <c r="U51" s="8" t="str">
        <f t="array" ref="U51">IF(T51&gt;5,"Perlu Pengendalian",IF(AND(T51&gt;=0,Q51&gt;0),"Tidak Perlu Pengendalian","Belum Sensus"))</f>
        <v>Tidak Perlu Pengendalian</v>
      </c>
      <c r="V51" s="143">
        <v>3</v>
      </c>
      <c r="W51" s="9">
        <f t="array" ref="W51">IFERROR(V51/Q51*100,0)</f>
        <v>1.25</v>
      </c>
      <c r="X51" s="11"/>
      <c r="Y51" s="143">
        <v>0</v>
      </c>
      <c r="Z51" s="9">
        <f t="shared" si="9"/>
        <v>0</v>
      </c>
      <c r="AA51" s="143">
        <v>0</v>
      </c>
      <c r="AB51" s="9">
        <f t="shared" si="6"/>
        <v>0</v>
      </c>
      <c r="AC51" s="8" t="str">
        <f t="array" ref="AC51">IF(AB51&gt;5,"Perlu Pengendalian",IF(AND(AB51&gt;=0,Y51&gt;0),"Tidak Perlu Pengendalian","Belum Sensus"))</f>
        <v>Belum Sensus</v>
      </c>
      <c r="AD51" s="143">
        <v>0</v>
      </c>
      <c r="AE51" s="9">
        <f t="array" ref="AE51">IFERROR(AD51/Y51*100,0)</f>
        <v>0</v>
      </c>
      <c r="AG51" s="206">
        <v>2.5</v>
      </c>
      <c r="AH51" s="206">
        <v>2.94</v>
      </c>
      <c r="AI51" s="206">
        <v>0</v>
      </c>
    </row>
    <row r="52" spans="1:35" outlineLevel="1" x14ac:dyDescent="0.15">
      <c r="A52" s="8" t="s">
        <v>949</v>
      </c>
      <c r="B52" s="8"/>
      <c r="C52" s="8" t="s">
        <v>79</v>
      </c>
      <c r="D52" s="8" t="s">
        <v>1228</v>
      </c>
      <c r="E52" s="9">
        <v>29.340000000000003</v>
      </c>
      <c r="F52" s="8" t="s">
        <v>469</v>
      </c>
      <c r="G52" s="10">
        <v>3831</v>
      </c>
      <c r="H52" s="11">
        <f t="shared" si="17"/>
        <v>0</v>
      </c>
      <c r="I52" s="143">
        <f t="shared" si="18"/>
        <v>0</v>
      </c>
      <c r="J52" s="9">
        <f t="array" ref="J52">IFERROR(I52/G52*100,0)</f>
        <v>0</v>
      </c>
      <c r="K52" s="143">
        <f t="shared" si="19"/>
        <v>0</v>
      </c>
      <c r="L52" s="9">
        <f t="shared" si="12"/>
        <v>0</v>
      </c>
      <c r="M52" s="8" t="str">
        <f t="array" ref="M52">IF(L52&gt;5,"Perlu Pengendalian",IF(AND(L52&gt;=0,I52&gt;0),"Tidak Perlu Pengendalian","Belum Sensus"))</f>
        <v>Belum Sensus</v>
      </c>
      <c r="N52" s="143">
        <f t="shared" si="20"/>
        <v>0</v>
      </c>
      <c r="O52" s="9">
        <f t="array" ref="O52">IFERROR(N52/I52*100,0)</f>
        <v>0</v>
      </c>
      <c r="P52" s="11"/>
      <c r="Q52" s="143"/>
      <c r="R52" s="9">
        <f t="shared" si="8"/>
        <v>0</v>
      </c>
      <c r="S52" s="143"/>
      <c r="T52" s="9">
        <f t="shared" si="5"/>
        <v>0</v>
      </c>
      <c r="U52" s="8" t="str">
        <f t="array" ref="U52">IF(T52&gt;5,"Perlu Pengendalian",IF(AND(T52&gt;=0,Q52&gt;0),"Tidak Perlu Pengendalian","Belum Sensus"))</f>
        <v>Belum Sensus</v>
      </c>
      <c r="V52" s="143"/>
      <c r="W52" s="9">
        <f t="array" ref="W52">IFERROR(V52/Q52*100,0)</f>
        <v>0</v>
      </c>
      <c r="X52" s="11"/>
      <c r="Y52" s="143">
        <v>0</v>
      </c>
      <c r="Z52" s="9">
        <f t="shared" si="9"/>
        <v>0</v>
      </c>
      <c r="AA52" s="143">
        <v>0</v>
      </c>
      <c r="AB52" s="9">
        <f t="shared" si="6"/>
        <v>0</v>
      </c>
      <c r="AC52" s="8" t="str">
        <f t="array" ref="AC52">IF(AB52&gt;5,"Perlu Pengendalian",IF(AND(AB52&gt;=0,Y52&gt;0),"Tidak Perlu Pengendalian","Belum Sensus"))</f>
        <v>Belum Sensus</v>
      </c>
      <c r="AD52" s="143">
        <v>0</v>
      </c>
      <c r="AE52" s="9">
        <f t="array" ref="AE52">IFERROR(AD52/Y52*100,0)</f>
        <v>0</v>
      </c>
      <c r="AG52" s="206">
        <v>3.8461538461538463</v>
      </c>
      <c r="AH52" s="206">
        <v>1.72</v>
      </c>
      <c r="AI52" s="206">
        <v>0</v>
      </c>
    </row>
    <row r="53" spans="1:35" outlineLevel="1" x14ac:dyDescent="0.15">
      <c r="A53" s="8" t="s">
        <v>949</v>
      </c>
      <c r="B53" s="8"/>
      <c r="C53" s="8" t="s">
        <v>79</v>
      </c>
      <c r="D53" s="8" t="s">
        <v>1689</v>
      </c>
      <c r="E53" s="180">
        <v>30.14</v>
      </c>
      <c r="F53" s="8" t="s">
        <v>469</v>
      </c>
      <c r="G53" s="10">
        <v>3935.0000000000005</v>
      </c>
      <c r="H53" s="11">
        <f t="shared" si="17"/>
        <v>0</v>
      </c>
      <c r="I53" s="143">
        <f t="shared" si="18"/>
        <v>0</v>
      </c>
      <c r="J53" s="9">
        <f t="array" ref="J53">IFERROR(I53/G53*100,0)</f>
        <v>0</v>
      </c>
      <c r="K53" s="143">
        <f t="shared" si="19"/>
        <v>0</v>
      </c>
      <c r="L53" s="9">
        <f t="shared" si="12"/>
        <v>0</v>
      </c>
      <c r="M53" s="8" t="str">
        <f t="array" ref="M53">IF(L53&gt;5,"Perlu Pengendalian",IF(AND(L53&gt;=0,I53&gt;0),"Tidak Perlu Pengendalian","Belum Sensus"))</f>
        <v>Belum Sensus</v>
      </c>
      <c r="N53" s="143">
        <f t="shared" si="20"/>
        <v>0</v>
      </c>
      <c r="O53" s="9">
        <f t="array" ref="O53">IFERROR(N53/I53*100,0)</f>
        <v>0</v>
      </c>
      <c r="P53" s="11"/>
      <c r="Q53" s="143"/>
      <c r="R53" s="9">
        <f t="shared" si="8"/>
        <v>0</v>
      </c>
      <c r="S53" s="143"/>
      <c r="T53" s="9">
        <f t="shared" si="5"/>
        <v>0</v>
      </c>
      <c r="U53" s="8" t="str">
        <f t="array" ref="U53">IF(T53&gt;5,"Perlu Pengendalian",IF(AND(T53&gt;=0,Q53&gt;0),"Tidak Perlu Pengendalian","Belum Sensus"))</f>
        <v>Belum Sensus</v>
      </c>
      <c r="V53" s="143"/>
      <c r="W53" s="9">
        <f t="array" ref="W53">IFERROR(V53/Q53*100,0)</f>
        <v>0</v>
      </c>
      <c r="X53" s="11"/>
      <c r="Y53" s="143">
        <v>0</v>
      </c>
      <c r="Z53" s="9">
        <f t="shared" si="9"/>
        <v>0</v>
      </c>
      <c r="AA53" s="143">
        <v>0</v>
      </c>
      <c r="AB53" s="9">
        <f t="shared" si="6"/>
        <v>0</v>
      </c>
      <c r="AC53" s="8" t="str">
        <f t="array" ref="AC53">IF(AB53&gt;5,"Perlu Pengendalian",IF(AND(AB53&gt;=0,Y53&gt;0),"Tidak Perlu Pengendalian","Belum Sensus"))</f>
        <v>Belum Sensus</v>
      </c>
      <c r="AD53" s="143">
        <v>0</v>
      </c>
      <c r="AE53" s="9">
        <f t="array" ref="AE53">IFERROR(AD53/Y53*100,0)</f>
        <v>0</v>
      </c>
      <c r="AG53" s="206">
        <v>3.8277511961722488</v>
      </c>
      <c r="AH53" s="206">
        <v>1.77</v>
      </c>
      <c r="AI53" s="206">
        <v>0</v>
      </c>
    </row>
    <row r="54" spans="1:35" outlineLevel="1" x14ac:dyDescent="0.15">
      <c r="A54" s="8" t="s">
        <v>949</v>
      </c>
      <c r="B54" s="8"/>
      <c r="C54" s="8" t="s">
        <v>79</v>
      </c>
      <c r="D54" s="8" t="s">
        <v>1690</v>
      </c>
      <c r="E54" s="9">
        <v>22.83</v>
      </c>
      <c r="F54" s="8" t="s">
        <v>469</v>
      </c>
      <c r="G54" s="10">
        <v>2514</v>
      </c>
      <c r="H54" s="11">
        <f t="shared" si="17"/>
        <v>46178</v>
      </c>
      <c r="I54" s="143">
        <f t="shared" si="18"/>
        <v>225</v>
      </c>
      <c r="J54" s="9">
        <f t="array" ref="J54">IFERROR(I54/G54*100,0)</f>
        <v>8.949880668257757</v>
      </c>
      <c r="K54" s="143">
        <f t="shared" si="19"/>
        <v>6</v>
      </c>
      <c r="L54" s="9">
        <f t="shared" si="12"/>
        <v>2.666666666666667</v>
      </c>
      <c r="M54" s="8" t="str">
        <f t="array" ref="M54">IF(L54&gt;5,"Perlu Pengendalian",IF(AND(L54&gt;=0,I54&gt;0),"Tidak Perlu Pengendalian","Belum Sensus"))</f>
        <v>Tidak Perlu Pengendalian</v>
      </c>
      <c r="N54" s="143">
        <f t="shared" si="20"/>
        <v>8</v>
      </c>
      <c r="O54" s="9">
        <f t="array" ref="O54">IFERROR(N54/I54*100,0)</f>
        <v>3.5555555555555554</v>
      </c>
      <c r="P54" s="11"/>
      <c r="Q54" s="143"/>
      <c r="R54" s="9">
        <f t="shared" si="8"/>
        <v>0</v>
      </c>
      <c r="S54" s="143"/>
      <c r="T54" s="9">
        <f t="shared" si="5"/>
        <v>0</v>
      </c>
      <c r="U54" s="8" t="str">
        <f t="array" ref="U54">IF(T54&gt;5,"Perlu Pengendalian",IF(AND(T54&gt;=0,Q54&gt;0),"Tidak Perlu Pengendalian","Belum Sensus"))</f>
        <v>Belum Sensus</v>
      </c>
      <c r="V54" s="143"/>
      <c r="W54" s="9">
        <f t="array" ref="W54">IFERROR(V54/Q54*100,0)</f>
        <v>0</v>
      </c>
      <c r="X54" s="11">
        <v>46178</v>
      </c>
      <c r="Y54" s="143">
        <v>225</v>
      </c>
      <c r="Z54" s="9">
        <f t="shared" si="9"/>
        <v>8.949880668257757</v>
      </c>
      <c r="AA54" s="143">
        <v>6</v>
      </c>
      <c r="AB54" s="9">
        <f t="shared" si="6"/>
        <v>2.666666666666667</v>
      </c>
      <c r="AC54" s="8" t="str">
        <f t="array" ref="AC54">IF(AB54&gt;5,"Perlu Pengendalian",IF(AND(AB54&gt;=0,Y54&gt;0),"Tidak Perlu Pengendalian","Belum Sensus"))</f>
        <v>Tidak Perlu Pengendalian</v>
      </c>
      <c r="AD54" s="143">
        <v>8</v>
      </c>
      <c r="AE54" s="9">
        <f t="array" ref="AE54">IFERROR(AD54/Y54*100,0)</f>
        <v>3.5555555555555554</v>
      </c>
      <c r="AG54" s="206">
        <v>0</v>
      </c>
      <c r="AH54" s="206">
        <v>4.1180000000000003</v>
      </c>
      <c r="AI54" s="206">
        <v>0</v>
      </c>
    </row>
    <row r="55" spans="1:35" outlineLevel="1" x14ac:dyDescent="0.15">
      <c r="A55" s="8" t="s">
        <v>949</v>
      </c>
      <c r="B55" s="8"/>
      <c r="C55" s="8" t="s">
        <v>79</v>
      </c>
      <c r="D55" s="8" t="s">
        <v>1130</v>
      </c>
      <c r="E55" s="9">
        <v>38.950000000000003</v>
      </c>
      <c r="F55" s="8" t="s">
        <v>469</v>
      </c>
      <c r="G55" s="10">
        <v>3943</v>
      </c>
      <c r="H55" s="11">
        <f t="shared" si="17"/>
        <v>46164</v>
      </c>
      <c r="I55" s="143">
        <f t="shared" si="18"/>
        <v>226</v>
      </c>
      <c r="J55" s="9">
        <f t="array" ref="J55">IFERROR(I55/G55*100,0)</f>
        <v>5.7316763885366475</v>
      </c>
      <c r="K55" s="143">
        <f t="shared" si="19"/>
        <v>6</v>
      </c>
      <c r="L55" s="9">
        <f t="shared" si="12"/>
        <v>2.6548672566371683</v>
      </c>
      <c r="M55" s="8" t="str">
        <f t="array" ref="M55">IF(L55&gt;5,"Perlu Pengendalian",IF(AND(L55&gt;=0,I55&gt;0),"Tidak Perlu Pengendalian","Belum Sensus"))</f>
        <v>Tidak Perlu Pengendalian</v>
      </c>
      <c r="N55" s="143">
        <f t="shared" si="20"/>
        <v>4</v>
      </c>
      <c r="O55" s="9">
        <f t="array" ref="O55">IFERROR(N55/I55*100,0)</f>
        <v>1.7699115044247788</v>
      </c>
      <c r="P55" s="11">
        <v>46164</v>
      </c>
      <c r="Q55" s="143">
        <v>226</v>
      </c>
      <c r="R55" s="9">
        <f t="shared" si="8"/>
        <v>5.7316763885366475</v>
      </c>
      <c r="S55" s="143">
        <v>6</v>
      </c>
      <c r="T55" s="9">
        <f t="shared" si="5"/>
        <v>2.6548672566371683</v>
      </c>
      <c r="U55" s="8" t="str">
        <f t="array" ref="U55">IF(T55&gt;5,"Perlu Pengendalian",IF(AND(T55&gt;=0,Q55&gt;0),"Tidak Perlu Pengendalian","Belum Sensus"))</f>
        <v>Tidak Perlu Pengendalian</v>
      </c>
      <c r="V55" s="143">
        <v>4</v>
      </c>
      <c r="W55" s="9">
        <f t="array" ref="W55">IFERROR(V55/Q55*100,0)</f>
        <v>1.7699115044247788</v>
      </c>
      <c r="X55" s="11"/>
      <c r="Y55" s="143">
        <v>0</v>
      </c>
      <c r="Z55" s="9">
        <f t="shared" si="9"/>
        <v>0</v>
      </c>
      <c r="AA55" s="143">
        <v>0</v>
      </c>
      <c r="AB55" s="9">
        <f t="shared" si="6"/>
        <v>0</v>
      </c>
      <c r="AC55" s="8" t="str">
        <f t="array" ref="AC55">IF(AB55&gt;5,"Perlu Pengendalian",IF(AND(AB55&gt;=0,Y55&gt;0),"Tidak Perlu Pengendalian","Belum Sensus"))</f>
        <v>Belum Sensus</v>
      </c>
      <c r="AD55" s="143">
        <v>0</v>
      </c>
      <c r="AE55" s="9">
        <f t="array" ref="AE55">IFERROR(AD55/Y55*100,0)</f>
        <v>0</v>
      </c>
      <c r="AG55" s="206">
        <v>0</v>
      </c>
      <c r="AH55" s="206">
        <v>2.29</v>
      </c>
      <c r="AI55" s="206">
        <v>0</v>
      </c>
    </row>
    <row r="56" spans="1:35" outlineLevel="1" x14ac:dyDescent="0.15">
      <c r="A56" s="8" t="s">
        <v>949</v>
      </c>
      <c r="B56" s="8"/>
      <c r="C56" s="8" t="s">
        <v>79</v>
      </c>
      <c r="D56" s="8" t="s">
        <v>1147</v>
      </c>
      <c r="E56" s="9">
        <v>35.269999999999996</v>
      </c>
      <c r="F56" s="8" t="s">
        <v>469</v>
      </c>
      <c r="G56" s="10">
        <v>3639</v>
      </c>
      <c r="H56" s="11">
        <f t="shared" si="17"/>
        <v>46178</v>
      </c>
      <c r="I56" s="143">
        <f t="shared" si="18"/>
        <v>389</v>
      </c>
      <c r="J56" s="9">
        <f t="array" ref="J56">IFERROR(I56/G56*100,0)</f>
        <v>10.689749931299808</v>
      </c>
      <c r="K56" s="143">
        <f t="shared" si="19"/>
        <v>5</v>
      </c>
      <c r="L56" s="9">
        <f t="shared" si="12"/>
        <v>1.2853470437017995</v>
      </c>
      <c r="M56" s="8" t="str">
        <f t="array" ref="M56">IF(L56&gt;5,"Perlu Pengendalian",IF(AND(L56&gt;=0,I56&gt;0),"Tidak Perlu Pengendalian","Belum Sensus"))</f>
        <v>Tidak Perlu Pengendalian</v>
      </c>
      <c r="N56" s="143">
        <f t="shared" si="20"/>
        <v>6</v>
      </c>
      <c r="O56" s="9">
        <f t="array" ref="O56">IFERROR(N56/I56*100,0)</f>
        <v>1.5424164524421593</v>
      </c>
      <c r="P56" s="11"/>
      <c r="Q56" s="143"/>
      <c r="R56" s="9">
        <f t="shared" si="8"/>
        <v>0</v>
      </c>
      <c r="S56" s="143"/>
      <c r="T56" s="9">
        <f t="shared" si="5"/>
        <v>0</v>
      </c>
      <c r="U56" s="8" t="str">
        <f t="array" ref="U56">IF(T56&gt;5,"Perlu Pengendalian",IF(AND(T56&gt;=0,Q56&gt;0),"Tidak Perlu Pengendalian","Belum Sensus"))</f>
        <v>Belum Sensus</v>
      </c>
      <c r="V56" s="143"/>
      <c r="W56" s="9">
        <f t="array" ref="W56">IFERROR(V56/Q56*100,0)</f>
        <v>0</v>
      </c>
      <c r="X56" s="11">
        <v>46178</v>
      </c>
      <c r="Y56" s="143">
        <v>389</v>
      </c>
      <c r="Z56" s="9">
        <f t="shared" si="9"/>
        <v>10.689749931299808</v>
      </c>
      <c r="AA56" s="143">
        <v>5</v>
      </c>
      <c r="AB56" s="9">
        <f t="shared" si="6"/>
        <v>1.2853470437017995</v>
      </c>
      <c r="AC56" s="8" t="str">
        <f t="array" ref="AC56">IF(AB56&gt;5,"Perlu Pengendalian",IF(AND(AB56&gt;=0,Y56&gt;0),"Tidak Perlu Pengendalian","Belum Sensus"))</f>
        <v>Tidak Perlu Pengendalian</v>
      </c>
      <c r="AD56" s="143">
        <v>6</v>
      </c>
      <c r="AE56" s="9">
        <f t="array" ref="AE56">IFERROR(AD56/Y56*100,0)</f>
        <v>1.5424164524421593</v>
      </c>
      <c r="AG56" s="206">
        <v>1.9230769230769231</v>
      </c>
      <c r="AH56" s="206">
        <v>1.82</v>
      </c>
      <c r="AI56" s="206">
        <v>0</v>
      </c>
    </row>
    <row r="57" spans="1:35" outlineLevel="1" x14ac:dyDescent="0.15">
      <c r="A57" s="8" t="s">
        <v>949</v>
      </c>
      <c r="B57" s="8"/>
      <c r="C57" s="8" t="s">
        <v>79</v>
      </c>
      <c r="D57" s="8" t="s">
        <v>1148</v>
      </c>
      <c r="E57" s="179">
        <v>25.28</v>
      </c>
      <c r="F57" s="8" t="s">
        <v>469</v>
      </c>
      <c r="G57" s="10">
        <v>2461</v>
      </c>
      <c r="H57" s="11">
        <f t="shared" si="17"/>
        <v>46181</v>
      </c>
      <c r="I57" s="143">
        <f t="shared" si="18"/>
        <v>218</v>
      </c>
      <c r="J57" s="9">
        <f t="array" ref="J57">IFERROR(I57/G57*100,0)</f>
        <v>8.858187728565623</v>
      </c>
      <c r="K57" s="143">
        <f t="shared" si="19"/>
        <v>9</v>
      </c>
      <c r="L57" s="9">
        <f t="shared" si="12"/>
        <v>4.1284403669724776</v>
      </c>
      <c r="M57" s="8" t="str">
        <f t="array" ref="M57">IF(L57&gt;5,"Perlu Pengendalian",IF(AND(L57&gt;=0,I57&gt;0),"Tidak Perlu Pengendalian","Belum Sensus"))</f>
        <v>Tidak Perlu Pengendalian</v>
      </c>
      <c r="N57" s="143">
        <f t="shared" si="20"/>
        <v>2</v>
      </c>
      <c r="O57" s="9">
        <f t="array" ref="O57">IFERROR(N57/I57*100,0)</f>
        <v>0.91743119266055051</v>
      </c>
      <c r="P57" s="11"/>
      <c r="Q57" s="143"/>
      <c r="R57" s="9">
        <f t="shared" si="8"/>
        <v>0</v>
      </c>
      <c r="S57" s="143"/>
      <c r="T57" s="9">
        <f t="shared" si="5"/>
        <v>0</v>
      </c>
      <c r="U57" s="8" t="str">
        <f t="array" ref="U57">IF(T57&gt;5,"Perlu Pengendalian",IF(AND(T57&gt;=0,Q57&gt;0),"Tidak Perlu Pengendalian","Belum Sensus"))</f>
        <v>Belum Sensus</v>
      </c>
      <c r="V57" s="143"/>
      <c r="W57" s="9">
        <f t="array" ref="W57">IFERROR(V57/Q57*100,0)</f>
        <v>0</v>
      </c>
      <c r="X57" s="11">
        <v>46181</v>
      </c>
      <c r="Y57" s="143">
        <v>218</v>
      </c>
      <c r="Z57" s="9">
        <f t="shared" si="9"/>
        <v>8.858187728565623</v>
      </c>
      <c r="AA57" s="143">
        <v>9</v>
      </c>
      <c r="AB57" s="9">
        <f t="shared" si="6"/>
        <v>4.1284403669724776</v>
      </c>
      <c r="AC57" s="8" t="str">
        <f t="array" ref="AC57">IF(AB57&gt;5,"Perlu Pengendalian",IF(AND(AB57&gt;=0,Y57&gt;0),"Tidak Perlu Pengendalian","Belum Sensus"))</f>
        <v>Tidak Perlu Pengendalian</v>
      </c>
      <c r="AD57" s="143">
        <v>2</v>
      </c>
      <c r="AE57" s="9">
        <f t="array" ref="AE57">IFERROR(AD57/Y57*100,0)</f>
        <v>0.91743119266055051</v>
      </c>
      <c r="AG57" s="206">
        <v>3.75</v>
      </c>
      <c r="AH57" s="206">
        <v>2.91</v>
      </c>
      <c r="AI57" s="206">
        <v>0</v>
      </c>
    </row>
    <row r="58" spans="1:35" outlineLevel="1" x14ac:dyDescent="0.15">
      <c r="A58" s="8" t="s">
        <v>949</v>
      </c>
      <c r="B58" s="8"/>
      <c r="C58" s="8" t="s">
        <v>107</v>
      </c>
      <c r="D58" s="8" t="s">
        <v>1385</v>
      </c>
      <c r="E58" s="9">
        <v>29.82</v>
      </c>
      <c r="F58" s="8" t="s">
        <v>469</v>
      </c>
      <c r="G58" s="10">
        <v>2323</v>
      </c>
      <c r="H58" s="11">
        <f t="shared" si="17"/>
        <v>0</v>
      </c>
      <c r="I58" s="143">
        <f t="shared" si="18"/>
        <v>0</v>
      </c>
      <c r="J58" s="9">
        <f t="array" ref="J58">IFERROR(I58/G58*100,0)</f>
        <v>0</v>
      </c>
      <c r="K58" s="143">
        <f t="shared" si="19"/>
        <v>0</v>
      </c>
      <c r="L58" s="9">
        <f t="shared" si="12"/>
        <v>0</v>
      </c>
      <c r="M58" s="8" t="str">
        <f t="array" ref="M58">IF(L58&gt;5,"Perlu Pengendalian",IF(AND(L58&gt;=0,I58&gt;0),"Tidak Perlu Pengendalian","Belum Sensus"))</f>
        <v>Belum Sensus</v>
      </c>
      <c r="N58" s="143">
        <f t="shared" si="20"/>
        <v>0</v>
      </c>
      <c r="O58" s="9">
        <f t="array" ref="O58">IFERROR(N58/I58*100,0)</f>
        <v>0</v>
      </c>
      <c r="P58" s="11"/>
      <c r="Q58" s="143"/>
      <c r="R58" s="9">
        <f t="shared" si="8"/>
        <v>0</v>
      </c>
      <c r="S58" s="143"/>
      <c r="T58" s="9">
        <f t="shared" si="5"/>
        <v>0</v>
      </c>
      <c r="U58" s="8" t="str">
        <f t="array" ref="U58">IF(T58&gt;5,"Perlu Pengendalian",IF(AND(T58&gt;=0,Q58&gt;0),"Tidak Perlu Pengendalian","Belum Sensus"))</f>
        <v>Belum Sensus</v>
      </c>
      <c r="V58" s="143"/>
      <c r="W58" s="9">
        <f t="array" ref="W58">IFERROR(V58/Q58*100,0)</f>
        <v>0</v>
      </c>
      <c r="X58" s="11"/>
      <c r="Y58" s="143">
        <v>0</v>
      </c>
      <c r="Z58" s="9">
        <f t="shared" si="9"/>
        <v>0</v>
      </c>
      <c r="AA58" s="143">
        <v>0</v>
      </c>
      <c r="AB58" s="9">
        <f t="shared" si="6"/>
        <v>0</v>
      </c>
      <c r="AC58" s="8" t="str">
        <f t="array" ref="AC58">IF(AB58&gt;5,"Perlu Pengendalian",IF(AND(AB58&gt;=0,Y58&gt;0),"Tidak Perlu Pengendalian","Belum Sensus"))</f>
        <v>Belum Sensus</v>
      </c>
      <c r="AD58" s="143">
        <v>0</v>
      </c>
      <c r="AE58" s="9">
        <f t="array" ref="AE58">IFERROR(AD58/Y58*100,0)</f>
        <v>0</v>
      </c>
      <c r="AG58" s="206">
        <v>2.4390243902439024</v>
      </c>
      <c r="AH58" s="206">
        <v>4.1120000000000001</v>
      </c>
      <c r="AI58" s="206">
        <v>0</v>
      </c>
    </row>
    <row r="59" spans="1:35" outlineLevel="1" x14ac:dyDescent="0.15">
      <c r="A59" s="8" t="s">
        <v>949</v>
      </c>
      <c r="B59" s="8"/>
      <c r="C59" s="8" t="s">
        <v>107</v>
      </c>
      <c r="D59" s="8" t="s">
        <v>1387</v>
      </c>
      <c r="E59" s="9">
        <v>26.57</v>
      </c>
      <c r="F59" s="8" t="s">
        <v>469</v>
      </c>
      <c r="G59" s="10">
        <v>3073</v>
      </c>
      <c r="H59" s="11">
        <f t="shared" si="17"/>
        <v>0</v>
      </c>
      <c r="I59" s="143">
        <f t="shared" si="18"/>
        <v>0</v>
      </c>
      <c r="J59" s="9">
        <f t="array" ref="J59">IFERROR(I59/G59*100,0)</f>
        <v>0</v>
      </c>
      <c r="K59" s="143">
        <f t="shared" si="19"/>
        <v>0</v>
      </c>
      <c r="L59" s="9">
        <f t="shared" si="12"/>
        <v>0</v>
      </c>
      <c r="M59" s="8" t="str">
        <f t="array" ref="M59">IF(L59&gt;5,"Perlu Pengendalian",IF(AND(L59&gt;=0,I59&gt;0),"Tidak Perlu Pengendalian","Belum Sensus"))</f>
        <v>Belum Sensus</v>
      </c>
      <c r="N59" s="143">
        <f t="shared" si="20"/>
        <v>0</v>
      </c>
      <c r="O59" s="9">
        <f t="array" ref="O59">IFERROR(N59/I59*100,0)</f>
        <v>0</v>
      </c>
      <c r="P59" s="11"/>
      <c r="Q59" s="143"/>
      <c r="R59" s="9">
        <f t="shared" si="8"/>
        <v>0</v>
      </c>
      <c r="S59" s="143"/>
      <c r="T59" s="9">
        <f t="shared" si="5"/>
        <v>0</v>
      </c>
      <c r="U59" s="8" t="str">
        <f t="array" ref="U59">IF(T59&gt;5,"Perlu Pengendalian",IF(AND(T59&gt;=0,Q59&gt;0),"Tidak Perlu Pengendalian","Belum Sensus"))</f>
        <v>Belum Sensus</v>
      </c>
      <c r="V59" s="143"/>
      <c r="W59" s="9">
        <f t="array" ref="W59">IFERROR(V59/Q59*100,0)</f>
        <v>0</v>
      </c>
      <c r="X59" s="11"/>
      <c r="Y59" s="143">
        <v>0</v>
      </c>
      <c r="Z59" s="9">
        <f t="shared" si="9"/>
        <v>0</v>
      </c>
      <c r="AA59" s="143">
        <v>0</v>
      </c>
      <c r="AB59" s="9">
        <f t="shared" si="6"/>
        <v>0</v>
      </c>
      <c r="AC59" s="8" t="str">
        <f t="array" ref="AC59">IF(AB59&gt;5,"Perlu Pengendalian",IF(AND(AB59&gt;=0,Y59&gt;0),"Tidak Perlu Pengendalian","Belum Sensus"))</f>
        <v>Belum Sensus</v>
      </c>
      <c r="AD59" s="143">
        <v>0</v>
      </c>
      <c r="AE59" s="9">
        <f t="array" ref="AE59">IFERROR(AD59/Y59*100,0)</f>
        <v>0</v>
      </c>
      <c r="AG59" s="206">
        <v>0</v>
      </c>
      <c r="AH59" s="206">
        <v>3.34</v>
      </c>
      <c r="AI59" s="206">
        <v>0</v>
      </c>
    </row>
    <row r="60" spans="1:35" outlineLevel="1" x14ac:dyDescent="0.15">
      <c r="A60" s="8" t="s">
        <v>949</v>
      </c>
      <c r="B60" s="8"/>
      <c r="C60" s="8" t="s">
        <v>107</v>
      </c>
      <c r="D60" s="8" t="s">
        <v>1388</v>
      </c>
      <c r="E60" s="9">
        <v>29.23</v>
      </c>
      <c r="F60" s="8" t="s">
        <v>469</v>
      </c>
      <c r="G60" s="10">
        <v>3439</v>
      </c>
      <c r="H60" s="11">
        <f t="shared" si="17"/>
        <v>0</v>
      </c>
      <c r="I60" s="143">
        <f t="shared" si="18"/>
        <v>0</v>
      </c>
      <c r="J60" s="9">
        <f t="array" ref="J60">IFERROR(I60/G60*100,0)</f>
        <v>0</v>
      </c>
      <c r="K60" s="143">
        <f t="shared" si="19"/>
        <v>0</v>
      </c>
      <c r="L60" s="9">
        <f t="shared" si="12"/>
        <v>0</v>
      </c>
      <c r="M60" s="8" t="str">
        <f t="array" ref="M60">IF(L60&gt;5,"Perlu Pengendalian",IF(AND(L60&gt;=0,I60&gt;0),"Tidak Perlu Pengendalian","Belum Sensus"))</f>
        <v>Belum Sensus</v>
      </c>
      <c r="N60" s="143">
        <f t="shared" si="20"/>
        <v>0</v>
      </c>
      <c r="O60" s="9">
        <f t="array" ref="O60">IFERROR(N60/I60*100,0)</f>
        <v>0</v>
      </c>
      <c r="P60" s="11"/>
      <c r="Q60" s="143"/>
      <c r="R60" s="9">
        <f t="shared" si="8"/>
        <v>0</v>
      </c>
      <c r="S60" s="143"/>
      <c r="T60" s="9">
        <f t="shared" si="5"/>
        <v>0</v>
      </c>
      <c r="U60" s="8" t="str">
        <f t="array" ref="U60">IF(T60&gt;5,"Perlu Pengendalian",IF(AND(T60&gt;=0,Q60&gt;0),"Tidak Perlu Pengendalian","Belum Sensus"))</f>
        <v>Belum Sensus</v>
      </c>
      <c r="V60" s="143"/>
      <c r="W60" s="9">
        <f t="array" ref="W60">IFERROR(V60/Q60*100,0)</f>
        <v>0</v>
      </c>
      <c r="X60" s="11"/>
      <c r="Y60" s="143">
        <v>0</v>
      </c>
      <c r="Z60" s="9">
        <f t="shared" si="9"/>
        <v>0</v>
      </c>
      <c r="AA60" s="143">
        <v>0</v>
      </c>
      <c r="AB60" s="9">
        <f t="shared" si="6"/>
        <v>0</v>
      </c>
      <c r="AC60" s="8" t="str">
        <f t="array" ref="AC60">IF(AB60&gt;5,"Perlu Pengendalian",IF(AND(AB60&gt;=0,Y60&gt;0),"Tidak Perlu Pengendalian","Belum Sensus"))</f>
        <v>Belum Sensus</v>
      </c>
      <c r="AD60" s="143">
        <v>0</v>
      </c>
      <c r="AE60" s="9">
        <f t="array" ref="AE60">IFERROR(AD60/Y60*100,0)</f>
        <v>0</v>
      </c>
      <c r="AG60" s="206">
        <v>1.9230769230769231</v>
      </c>
      <c r="AH60" s="206">
        <v>2.21</v>
      </c>
      <c r="AI60" s="206">
        <v>0</v>
      </c>
    </row>
    <row r="61" spans="1:35" outlineLevel="1" x14ac:dyDescent="0.15">
      <c r="A61" s="8" t="s">
        <v>949</v>
      </c>
      <c r="B61" s="8"/>
      <c r="C61" s="8" t="s">
        <v>107</v>
      </c>
      <c r="D61" s="8" t="s">
        <v>1389</v>
      </c>
      <c r="E61" s="9">
        <v>25.14</v>
      </c>
      <c r="F61" s="8" t="s">
        <v>469</v>
      </c>
      <c r="G61" s="10">
        <v>2515</v>
      </c>
      <c r="H61" s="11">
        <f t="shared" si="17"/>
        <v>0</v>
      </c>
      <c r="I61" s="143">
        <f t="shared" si="18"/>
        <v>0</v>
      </c>
      <c r="J61" s="9">
        <f t="array" ref="J61">IFERROR(I61/G61*100,0)</f>
        <v>0</v>
      </c>
      <c r="K61" s="143">
        <f t="shared" si="19"/>
        <v>0</v>
      </c>
      <c r="L61" s="9">
        <f t="shared" si="12"/>
        <v>0</v>
      </c>
      <c r="M61" s="8" t="str">
        <f t="array" ref="M61">IF(L61&gt;5,"Perlu Pengendalian",IF(AND(L61&gt;=0,I61&gt;0),"Tidak Perlu Pengendalian","Belum Sensus"))</f>
        <v>Belum Sensus</v>
      </c>
      <c r="N61" s="143">
        <f t="shared" si="20"/>
        <v>0</v>
      </c>
      <c r="O61" s="9">
        <f t="array" ref="O61">IFERROR(N61/I61*100,0)</f>
        <v>0</v>
      </c>
      <c r="P61" s="11"/>
      <c r="Q61" s="143"/>
      <c r="R61" s="9">
        <f t="shared" si="8"/>
        <v>0</v>
      </c>
      <c r="S61" s="143"/>
      <c r="T61" s="9">
        <f t="shared" si="5"/>
        <v>0</v>
      </c>
      <c r="U61" s="8" t="str">
        <f t="array" ref="U61">IF(T61&gt;5,"Perlu Pengendalian",IF(AND(T61&gt;=0,Q61&gt;0),"Tidak Perlu Pengendalian","Belum Sensus"))</f>
        <v>Belum Sensus</v>
      </c>
      <c r="V61" s="143"/>
      <c r="W61" s="9">
        <f t="array" ref="W61">IFERROR(V61/Q61*100,0)</f>
        <v>0</v>
      </c>
      <c r="X61" s="11"/>
      <c r="Y61" s="143">
        <v>0</v>
      </c>
      <c r="Z61" s="9">
        <f t="shared" si="9"/>
        <v>0</v>
      </c>
      <c r="AA61" s="143">
        <v>0</v>
      </c>
      <c r="AB61" s="9">
        <f t="shared" si="6"/>
        <v>0</v>
      </c>
      <c r="AC61" s="8" t="str">
        <f t="array" ref="AC61">IF(AB61&gt;5,"Perlu Pengendalian",IF(AND(AB61&gt;=0,Y61&gt;0),"Tidak Perlu Pengendalian","Belum Sensus"))</f>
        <v>Belum Sensus</v>
      </c>
      <c r="AD61" s="143">
        <v>0</v>
      </c>
      <c r="AE61" s="9">
        <f t="array" ref="AE61">IFERROR(AD61/Y61*100,0)</f>
        <v>0</v>
      </c>
      <c r="AG61" s="206">
        <v>0</v>
      </c>
      <c r="AH61" s="206">
        <v>1.1599999999999999</v>
      </c>
      <c r="AI61" s="206">
        <v>0</v>
      </c>
    </row>
    <row r="62" spans="1:35" outlineLevel="1" x14ac:dyDescent="0.15">
      <c r="A62" s="8" t="s">
        <v>949</v>
      </c>
      <c r="B62" s="8"/>
      <c r="C62" s="8" t="s">
        <v>107</v>
      </c>
      <c r="D62" s="215" t="s">
        <v>1174</v>
      </c>
      <c r="E62" s="179">
        <v>44.800000000000004</v>
      </c>
      <c r="F62" s="8" t="s">
        <v>469</v>
      </c>
      <c r="G62" s="10">
        <v>4305</v>
      </c>
      <c r="H62" s="11">
        <f t="shared" si="17"/>
        <v>46167</v>
      </c>
      <c r="I62" s="143">
        <f t="shared" si="18"/>
        <v>130</v>
      </c>
      <c r="J62" s="9">
        <f t="array" ref="J62">IFERROR(I62/G62*100,0)</f>
        <v>3.0197444831591174</v>
      </c>
      <c r="K62" s="143">
        <f t="shared" si="19"/>
        <v>7</v>
      </c>
      <c r="L62" s="9">
        <f t="shared" si="12"/>
        <v>5.384615384615385</v>
      </c>
      <c r="M62" s="8" t="str">
        <f t="array" ref="M62">IF(L62&gt;5,"Perlu Pengendalian",IF(AND(L62&gt;=0,I62&gt;0),"Tidak Perlu Pengendalian","Belum Sensus"))</f>
        <v>Perlu Pengendalian</v>
      </c>
      <c r="N62" s="143">
        <f t="shared" si="20"/>
        <v>1</v>
      </c>
      <c r="O62" s="9">
        <f t="array" ref="O62">IFERROR(N62/I62*100,0)</f>
        <v>0.76923076923076927</v>
      </c>
      <c r="P62" s="11">
        <v>46167</v>
      </c>
      <c r="Q62" s="143">
        <v>130</v>
      </c>
      <c r="R62" s="9">
        <f t="shared" si="8"/>
        <v>3.0197444831591174</v>
      </c>
      <c r="S62" s="143">
        <v>7</v>
      </c>
      <c r="T62" s="9">
        <f t="shared" si="5"/>
        <v>5.384615384615385</v>
      </c>
      <c r="U62" s="8" t="str">
        <f t="array" ref="U62">IF(T62&gt;5,"Perlu Pengendalian",IF(AND(T62&gt;=0,Q62&gt;0),"Tidak Perlu Pengendalian","Belum Sensus"))</f>
        <v>Perlu Pengendalian</v>
      </c>
      <c r="V62" s="143">
        <v>1</v>
      </c>
      <c r="W62" s="9">
        <f t="array" ref="W62">IFERROR(V62/Q62*100,0)</f>
        <v>0.76923076923076927</v>
      </c>
      <c r="X62" s="11"/>
      <c r="Y62" s="143">
        <v>0</v>
      </c>
      <c r="Z62" s="9">
        <f t="shared" si="9"/>
        <v>0</v>
      </c>
      <c r="AA62" s="143">
        <v>0</v>
      </c>
      <c r="AB62" s="9">
        <f t="shared" si="6"/>
        <v>0</v>
      </c>
      <c r="AC62" s="8" t="str">
        <f t="array" ref="AC62">IF(AB62&gt;5,"Perlu Pengendalian",IF(AND(AB62&gt;=0,Y62&gt;0),"Tidak Perlu Pengendalian","Belum Sensus"))</f>
        <v>Belum Sensus</v>
      </c>
      <c r="AD62" s="143">
        <v>0</v>
      </c>
      <c r="AE62" s="9">
        <f t="array" ref="AE62">IFERROR(AD62/Y62*100,0)</f>
        <v>0</v>
      </c>
      <c r="AG62" s="206">
        <v>4.4871794871794872</v>
      </c>
      <c r="AH62" s="206">
        <v>5.380238059902438</v>
      </c>
      <c r="AI62" s="206">
        <v>0</v>
      </c>
    </row>
    <row r="63" spans="1:35" outlineLevel="1" x14ac:dyDescent="0.15">
      <c r="A63" s="8" t="s">
        <v>949</v>
      </c>
      <c r="B63" s="8"/>
      <c r="C63" s="8" t="s">
        <v>107</v>
      </c>
      <c r="D63" s="8" t="s">
        <v>1175</v>
      </c>
      <c r="E63" s="179">
        <v>31.33</v>
      </c>
      <c r="F63" s="8" t="s">
        <v>469</v>
      </c>
      <c r="G63" s="10">
        <v>2935</v>
      </c>
      <c r="H63" s="11">
        <f t="shared" si="17"/>
        <v>0</v>
      </c>
      <c r="I63" s="143">
        <f t="shared" si="18"/>
        <v>0</v>
      </c>
      <c r="J63" s="9">
        <f t="array" ref="J63">IFERROR(I63/G63*100,0)</f>
        <v>0</v>
      </c>
      <c r="K63" s="143">
        <f t="shared" si="19"/>
        <v>0</v>
      </c>
      <c r="L63" s="9">
        <f t="shared" si="12"/>
        <v>0</v>
      </c>
      <c r="M63" s="8" t="str">
        <f t="array" ref="M63">IF(L63&gt;5,"Perlu Pengendalian",IF(AND(L63&gt;=0,I63&gt;0),"Tidak Perlu Pengendalian","Belum Sensus"))</f>
        <v>Belum Sensus</v>
      </c>
      <c r="N63" s="143">
        <f t="shared" si="20"/>
        <v>0</v>
      </c>
      <c r="O63" s="9">
        <f t="array" ref="O63">IFERROR(N63/I63*100,0)</f>
        <v>0</v>
      </c>
      <c r="P63" s="11"/>
      <c r="Q63" s="143"/>
      <c r="R63" s="9">
        <f t="shared" si="8"/>
        <v>0</v>
      </c>
      <c r="S63" s="143"/>
      <c r="T63" s="9">
        <f t="shared" si="5"/>
        <v>0</v>
      </c>
      <c r="U63" s="8" t="str">
        <f t="array" ref="U63">IF(T63&gt;5,"Perlu Pengendalian",IF(AND(T63&gt;=0,Q63&gt;0),"Tidak Perlu Pengendalian","Belum Sensus"))</f>
        <v>Belum Sensus</v>
      </c>
      <c r="V63" s="143"/>
      <c r="W63" s="9">
        <f t="array" ref="W63">IFERROR(V63/Q63*100,0)</f>
        <v>0</v>
      </c>
      <c r="X63" s="11"/>
      <c r="Y63" s="143">
        <v>0</v>
      </c>
      <c r="Z63" s="9">
        <f t="shared" si="9"/>
        <v>0</v>
      </c>
      <c r="AA63" s="143">
        <v>0</v>
      </c>
      <c r="AB63" s="9">
        <f t="shared" si="6"/>
        <v>0</v>
      </c>
      <c r="AC63" s="8" t="str">
        <f t="array" ref="AC63">IF(AB63&gt;5,"Perlu Pengendalian",IF(AND(AB63&gt;=0,Y63&gt;0),"Tidak Perlu Pengendalian","Belum Sensus"))</f>
        <v>Belum Sensus</v>
      </c>
      <c r="AD63" s="143">
        <v>0</v>
      </c>
      <c r="AE63" s="9">
        <f t="array" ref="AE63">IFERROR(AD63/Y63*100,0)</f>
        <v>0</v>
      </c>
      <c r="AG63" s="206">
        <v>1.9230769230769231</v>
      </c>
      <c r="AH63" s="206">
        <v>4.18</v>
      </c>
      <c r="AI63" s="206">
        <v>0</v>
      </c>
    </row>
    <row r="64" spans="1:35" outlineLevel="1" x14ac:dyDescent="0.15">
      <c r="A64" s="8" t="s">
        <v>949</v>
      </c>
      <c r="B64" s="8"/>
      <c r="C64" s="8" t="s">
        <v>107</v>
      </c>
      <c r="D64" s="8" t="s">
        <v>1176</v>
      </c>
      <c r="E64" s="9">
        <v>23.299999999999997</v>
      </c>
      <c r="F64" s="8" t="s">
        <v>469</v>
      </c>
      <c r="G64" s="10">
        <v>2414</v>
      </c>
      <c r="H64" s="11">
        <f t="shared" si="17"/>
        <v>0</v>
      </c>
      <c r="I64" s="143">
        <f t="shared" si="18"/>
        <v>0</v>
      </c>
      <c r="J64" s="9">
        <f t="array" ref="J64">IFERROR(I64/G64*100,0)</f>
        <v>0</v>
      </c>
      <c r="K64" s="143">
        <f t="shared" si="19"/>
        <v>0</v>
      </c>
      <c r="L64" s="9">
        <f t="shared" si="12"/>
        <v>0</v>
      </c>
      <c r="M64" s="8" t="str">
        <f t="array" ref="M64">IF(L64&gt;5,"Perlu Pengendalian",IF(AND(L64&gt;=0,I64&gt;0),"Tidak Perlu Pengendalian","Belum Sensus"))</f>
        <v>Belum Sensus</v>
      </c>
      <c r="N64" s="143">
        <f t="shared" si="20"/>
        <v>0</v>
      </c>
      <c r="O64" s="9">
        <f t="array" ref="O64">IFERROR(N64/I64*100,0)</f>
        <v>0</v>
      </c>
      <c r="P64" s="11"/>
      <c r="Q64" s="143"/>
      <c r="R64" s="9">
        <f t="shared" si="8"/>
        <v>0</v>
      </c>
      <c r="S64" s="143"/>
      <c r="T64" s="9">
        <f t="shared" si="5"/>
        <v>0</v>
      </c>
      <c r="U64" s="8" t="str">
        <f t="array" ref="U64">IF(T64&gt;5,"Perlu Pengendalian",IF(AND(T64&gt;=0,Q64&gt;0),"Tidak Perlu Pengendalian","Belum Sensus"))</f>
        <v>Belum Sensus</v>
      </c>
      <c r="V64" s="143"/>
      <c r="W64" s="9">
        <f t="array" ref="W64">IFERROR(V64/Q64*100,0)</f>
        <v>0</v>
      </c>
      <c r="X64" s="11"/>
      <c r="Y64" s="143">
        <v>0</v>
      </c>
      <c r="Z64" s="9">
        <f t="shared" si="9"/>
        <v>0</v>
      </c>
      <c r="AA64" s="143">
        <v>0</v>
      </c>
      <c r="AB64" s="9">
        <f t="shared" si="6"/>
        <v>0</v>
      </c>
      <c r="AC64" s="8" t="str">
        <f t="array" ref="AC64">IF(AB64&gt;5,"Perlu Pengendalian",IF(AND(AB64&gt;=0,Y64&gt;0),"Tidak Perlu Pengendalian","Belum Sensus"))</f>
        <v>Belum Sensus</v>
      </c>
      <c r="AD64" s="143">
        <v>0</v>
      </c>
      <c r="AE64" s="9">
        <f t="array" ref="AE64">IFERROR(AD64/Y64*100,0)</f>
        <v>0</v>
      </c>
      <c r="AG64" s="206">
        <v>4</v>
      </c>
      <c r="AH64" s="206">
        <v>2.25</v>
      </c>
      <c r="AI64" s="206">
        <v>0</v>
      </c>
    </row>
    <row r="65" spans="1:35" outlineLevel="1" x14ac:dyDescent="0.15">
      <c r="A65" s="8" t="s">
        <v>949</v>
      </c>
      <c r="B65" s="8"/>
      <c r="C65" s="8" t="s">
        <v>107</v>
      </c>
      <c r="D65" s="8" t="s">
        <v>1764</v>
      </c>
      <c r="E65" s="179">
        <v>36.21</v>
      </c>
      <c r="F65" s="8" t="s">
        <v>469</v>
      </c>
      <c r="G65" s="10">
        <v>3209</v>
      </c>
      <c r="H65" s="11">
        <f t="shared" si="17"/>
        <v>0</v>
      </c>
      <c r="I65" s="143">
        <f t="shared" si="18"/>
        <v>0</v>
      </c>
      <c r="J65" s="9">
        <f t="array" ref="J65">IFERROR(I65/G65*100,0)</f>
        <v>0</v>
      </c>
      <c r="K65" s="143">
        <f t="shared" si="19"/>
        <v>0</v>
      </c>
      <c r="L65" s="9">
        <f t="shared" si="12"/>
        <v>0</v>
      </c>
      <c r="M65" s="8" t="str">
        <f t="array" ref="M65">IF(L65&gt;5,"Perlu Pengendalian",IF(AND(L65&gt;=0,I65&gt;0),"Tidak Perlu Pengendalian","Belum Sensus"))</f>
        <v>Belum Sensus</v>
      </c>
      <c r="N65" s="143">
        <f t="shared" si="20"/>
        <v>0</v>
      </c>
      <c r="O65" s="9">
        <f t="array" ref="O65">IFERROR(N65/I65*100,0)</f>
        <v>0</v>
      </c>
      <c r="P65" s="11"/>
      <c r="Q65" s="143"/>
      <c r="R65" s="9">
        <f t="shared" si="8"/>
        <v>0</v>
      </c>
      <c r="S65" s="143"/>
      <c r="T65" s="9">
        <f t="shared" si="5"/>
        <v>0</v>
      </c>
      <c r="U65" s="8" t="str">
        <f t="array" ref="U65">IF(T65&gt;5,"Perlu Pengendalian",IF(AND(T65&gt;=0,Q65&gt;0),"Tidak Perlu Pengendalian","Belum Sensus"))</f>
        <v>Belum Sensus</v>
      </c>
      <c r="V65" s="143"/>
      <c r="W65" s="9">
        <f t="array" ref="W65">IFERROR(V65/Q65*100,0)</f>
        <v>0</v>
      </c>
      <c r="X65" s="11"/>
      <c r="Y65" s="143">
        <v>0</v>
      </c>
      <c r="Z65" s="9">
        <f t="shared" si="9"/>
        <v>0</v>
      </c>
      <c r="AA65" s="143">
        <v>0</v>
      </c>
      <c r="AB65" s="9">
        <f t="shared" si="6"/>
        <v>0</v>
      </c>
      <c r="AC65" s="8" t="str">
        <f t="array" ref="AC65">IF(AB65&gt;5,"Perlu Pengendalian",IF(AND(AB65&gt;=0,Y65&gt;0),"Tidak Perlu Pengendalian","Belum Sensus"))</f>
        <v>Belum Sensus</v>
      </c>
      <c r="AD65" s="143">
        <v>0</v>
      </c>
      <c r="AE65" s="9">
        <f t="array" ref="AE65">IFERROR(AD65/Y65*100,0)</f>
        <v>0</v>
      </c>
      <c r="AG65" s="206">
        <v>3.4482758620689653</v>
      </c>
      <c r="AH65" s="206">
        <v>2.81</v>
      </c>
      <c r="AI65" s="206">
        <v>0</v>
      </c>
    </row>
    <row r="66" spans="1:35" outlineLevel="1" x14ac:dyDescent="0.15">
      <c r="A66" s="8" t="s">
        <v>949</v>
      </c>
      <c r="B66" s="8"/>
      <c r="C66" s="8" t="s">
        <v>107</v>
      </c>
      <c r="D66" s="215" t="s">
        <v>1181</v>
      </c>
      <c r="E66" s="9">
        <v>56.870000000000005</v>
      </c>
      <c r="F66" s="8" t="s">
        <v>469</v>
      </c>
      <c r="G66" s="10">
        <v>5744</v>
      </c>
      <c r="H66" s="11">
        <f t="shared" si="17"/>
        <v>46167</v>
      </c>
      <c r="I66" s="143">
        <f t="shared" si="18"/>
        <v>114</v>
      </c>
      <c r="J66" s="9">
        <f t="array" ref="J66">IFERROR(I66/G66*100,0)</f>
        <v>1.9846796657381613</v>
      </c>
      <c r="K66" s="143">
        <f t="shared" si="19"/>
        <v>6</v>
      </c>
      <c r="L66" s="9">
        <f t="shared" si="12"/>
        <v>5.2631578947368416</v>
      </c>
      <c r="M66" s="8" t="str">
        <f t="array" ref="M66">IF(L66&gt;5,"Perlu Pengendalian",IF(AND(L66&gt;=0,I66&gt;0),"Tidak Perlu Pengendalian","Belum Sensus"))</f>
        <v>Perlu Pengendalian</v>
      </c>
      <c r="N66" s="143">
        <f t="shared" si="20"/>
        <v>2</v>
      </c>
      <c r="O66" s="9">
        <f t="array" ref="O66">IFERROR(N66/I66*100,0)</f>
        <v>1.7543859649122806</v>
      </c>
      <c r="P66" s="11">
        <v>46167</v>
      </c>
      <c r="Q66" s="143">
        <v>114</v>
      </c>
      <c r="R66" s="9">
        <f t="shared" si="8"/>
        <v>1.9846796657381613</v>
      </c>
      <c r="S66" s="143">
        <v>6</v>
      </c>
      <c r="T66" s="9">
        <f t="shared" si="5"/>
        <v>5.2631578947368416</v>
      </c>
      <c r="U66" s="8" t="str">
        <f t="array" ref="U66">IF(T66&gt;5,"Perlu Pengendalian",IF(AND(T66&gt;=0,Q66&gt;0),"Tidak Perlu Pengendalian","Belum Sensus"))</f>
        <v>Perlu Pengendalian</v>
      </c>
      <c r="V66" s="143">
        <v>2</v>
      </c>
      <c r="W66" s="9">
        <f t="array" ref="W66">IFERROR(V66/Q66*100,0)</f>
        <v>1.7543859649122806</v>
      </c>
      <c r="X66" s="11"/>
      <c r="Y66" s="143">
        <v>0</v>
      </c>
      <c r="Z66" s="9">
        <f t="shared" si="9"/>
        <v>0</v>
      </c>
      <c r="AA66" s="143">
        <v>0</v>
      </c>
      <c r="AB66" s="9">
        <f t="shared" si="6"/>
        <v>0</v>
      </c>
      <c r="AC66" s="8" t="str">
        <f t="array" ref="AC66">IF(AB66&gt;5,"Perlu Pengendalian",IF(AND(AB66&gt;=0,Y66&gt;0),"Tidak Perlu Pengendalian","Belum Sensus"))</f>
        <v>Belum Sensus</v>
      </c>
      <c r="AD66" s="143">
        <v>0</v>
      </c>
      <c r="AE66" s="9">
        <f t="array" ref="AE66">IFERROR(AD66/Y66*100,0)</f>
        <v>0</v>
      </c>
      <c r="AG66" s="206">
        <v>7.0175438596491224</v>
      </c>
      <c r="AH66" s="206">
        <v>5.0404606650156687</v>
      </c>
      <c r="AI66" s="206">
        <v>0</v>
      </c>
    </row>
    <row r="67" spans="1:35" outlineLevel="1" x14ac:dyDescent="0.15">
      <c r="A67" s="8" t="s">
        <v>949</v>
      </c>
      <c r="B67" s="8"/>
      <c r="C67" s="8" t="s">
        <v>107</v>
      </c>
      <c r="D67" s="8" t="s">
        <v>1182</v>
      </c>
      <c r="E67" s="179">
        <v>23.76</v>
      </c>
      <c r="F67" s="8" t="s">
        <v>469</v>
      </c>
      <c r="G67" s="10">
        <v>1271</v>
      </c>
      <c r="H67" s="11">
        <f t="shared" si="17"/>
        <v>0</v>
      </c>
      <c r="I67" s="143">
        <f t="shared" si="18"/>
        <v>0</v>
      </c>
      <c r="J67" s="9">
        <f t="array" ref="J67">IFERROR(I67/G67*100,0)</f>
        <v>0</v>
      </c>
      <c r="K67" s="143">
        <f t="shared" si="19"/>
        <v>0</v>
      </c>
      <c r="L67" s="9">
        <f t="shared" si="12"/>
        <v>0</v>
      </c>
      <c r="M67" s="8" t="str">
        <f t="array" ref="M67">IF(L67&gt;5,"Perlu Pengendalian",IF(AND(L67&gt;=0,I67&gt;0),"Tidak Perlu Pengendalian","Belum Sensus"))</f>
        <v>Belum Sensus</v>
      </c>
      <c r="N67" s="143">
        <f t="shared" si="20"/>
        <v>0</v>
      </c>
      <c r="O67" s="9">
        <f t="array" ref="O67">IFERROR(N67/I67*100,0)</f>
        <v>0</v>
      </c>
      <c r="P67" s="11"/>
      <c r="Q67" s="143"/>
      <c r="R67" s="9">
        <f t="shared" si="8"/>
        <v>0</v>
      </c>
      <c r="S67" s="143"/>
      <c r="T67" s="9">
        <f t="shared" si="5"/>
        <v>0</v>
      </c>
      <c r="U67" s="8" t="str">
        <f t="array" ref="U67">IF(T67&gt;5,"Perlu Pengendalian",IF(AND(T67&gt;=0,Q67&gt;0),"Tidak Perlu Pengendalian","Belum Sensus"))</f>
        <v>Belum Sensus</v>
      </c>
      <c r="V67" s="143"/>
      <c r="W67" s="9">
        <f t="array" ref="W67">IFERROR(V67/Q67*100,0)</f>
        <v>0</v>
      </c>
      <c r="X67" s="11"/>
      <c r="Y67" s="143">
        <v>0</v>
      </c>
      <c r="Z67" s="9">
        <f t="shared" si="9"/>
        <v>0</v>
      </c>
      <c r="AA67" s="143">
        <v>0</v>
      </c>
      <c r="AB67" s="9">
        <f t="shared" si="6"/>
        <v>0</v>
      </c>
      <c r="AC67" s="8" t="str">
        <f t="array" ref="AC67">IF(AB67&gt;5,"Perlu Pengendalian",IF(AND(AB67&gt;=0,Y67&gt;0),"Tidak Perlu Pengendalian","Belum Sensus"))</f>
        <v>Belum Sensus</v>
      </c>
      <c r="AD67" s="143">
        <v>0</v>
      </c>
      <c r="AE67" s="9">
        <f t="array" ref="AE67">IFERROR(AD67/Y67*100,0)</f>
        <v>0</v>
      </c>
      <c r="AG67" s="206">
        <v>1.1363636363636365</v>
      </c>
      <c r="AH67" s="206">
        <v>2.94</v>
      </c>
      <c r="AI67" s="206">
        <v>0</v>
      </c>
    </row>
    <row r="68" spans="1:35" outlineLevel="1" x14ac:dyDescent="0.15">
      <c r="A68" s="8" t="s">
        <v>949</v>
      </c>
      <c r="B68" s="8"/>
      <c r="C68" s="8" t="s">
        <v>107</v>
      </c>
      <c r="D68" s="8" t="s">
        <v>1183</v>
      </c>
      <c r="E68" s="179">
        <v>22.24</v>
      </c>
      <c r="F68" s="8" t="s">
        <v>469</v>
      </c>
      <c r="G68" s="10">
        <v>2477</v>
      </c>
      <c r="H68" s="11">
        <f t="shared" si="17"/>
        <v>0</v>
      </c>
      <c r="I68" s="143">
        <f t="shared" si="18"/>
        <v>0</v>
      </c>
      <c r="J68" s="9">
        <f t="array" ref="J68">IFERROR(I68/G68*100,0)</f>
        <v>0</v>
      </c>
      <c r="K68" s="143">
        <f t="shared" si="19"/>
        <v>0</v>
      </c>
      <c r="L68" s="9">
        <f t="shared" si="12"/>
        <v>0</v>
      </c>
      <c r="M68" s="8" t="str">
        <f t="array" ref="M68">IF(L68&gt;5,"Perlu Pengendalian",IF(AND(L68&gt;=0,I68&gt;0),"Tidak Perlu Pengendalian","Belum Sensus"))</f>
        <v>Belum Sensus</v>
      </c>
      <c r="N68" s="143">
        <f t="shared" si="20"/>
        <v>0</v>
      </c>
      <c r="O68" s="9">
        <f t="array" ref="O68">IFERROR(N68/I68*100,0)</f>
        <v>0</v>
      </c>
      <c r="P68" s="11"/>
      <c r="Q68" s="143"/>
      <c r="R68" s="9">
        <f t="shared" si="8"/>
        <v>0</v>
      </c>
      <c r="S68" s="143"/>
      <c r="T68" s="9">
        <f t="shared" si="5"/>
        <v>0</v>
      </c>
      <c r="U68" s="8" t="str">
        <f t="array" ref="U68">IF(T68&gt;5,"Perlu Pengendalian",IF(AND(T68&gt;=0,Q68&gt;0),"Tidak Perlu Pengendalian","Belum Sensus"))</f>
        <v>Belum Sensus</v>
      </c>
      <c r="V68" s="143"/>
      <c r="W68" s="9">
        <f t="array" ref="W68">IFERROR(V68/Q68*100,0)</f>
        <v>0</v>
      </c>
      <c r="X68" s="11"/>
      <c r="Y68" s="143">
        <v>0</v>
      </c>
      <c r="Z68" s="9">
        <f t="shared" si="9"/>
        <v>0</v>
      </c>
      <c r="AA68" s="143">
        <v>0</v>
      </c>
      <c r="AB68" s="9">
        <f t="shared" si="6"/>
        <v>0</v>
      </c>
      <c r="AC68" s="8" t="str">
        <f t="array" ref="AC68">IF(AB68&gt;5,"Perlu Pengendalian",IF(AND(AB68&gt;=0,Y68&gt;0),"Tidak Perlu Pengendalian","Belum Sensus"))</f>
        <v>Belum Sensus</v>
      </c>
      <c r="AD68" s="143">
        <v>0</v>
      </c>
      <c r="AE68" s="9">
        <f t="array" ref="AE68">IFERROR(AD68/Y68*100,0)</f>
        <v>0</v>
      </c>
      <c r="AG68" s="206">
        <v>2.5</v>
      </c>
      <c r="AH68" s="206">
        <v>1.72</v>
      </c>
      <c r="AI68" s="206">
        <v>0</v>
      </c>
    </row>
    <row r="69" spans="1:35" outlineLevel="1" x14ac:dyDescent="0.15">
      <c r="A69" s="8" t="s">
        <v>949</v>
      </c>
      <c r="B69" s="8"/>
      <c r="C69" s="8" t="s">
        <v>107</v>
      </c>
      <c r="D69" s="8" t="s">
        <v>1440</v>
      </c>
      <c r="E69" s="179">
        <v>49.38</v>
      </c>
      <c r="F69" s="8" t="s">
        <v>469</v>
      </c>
      <c r="G69" s="10">
        <v>3088</v>
      </c>
      <c r="H69" s="11">
        <f t="shared" si="17"/>
        <v>0</v>
      </c>
      <c r="I69" s="143">
        <f t="shared" si="18"/>
        <v>0</v>
      </c>
      <c r="J69" s="9">
        <f t="array" ref="J69">IFERROR(I69/G69*100,0)</f>
        <v>0</v>
      </c>
      <c r="K69" s="143">
        <f t="shared" si="19"/>
        <v>0</v>
      </c>
      <c r="L69" s="9">
        <f t="shared" si="12"/>
        <v>0</v>
      </c>
      <c r="M69" s="8" t="str">
        <f t="array" ref="M69">IF(L69&gt;5,"Perlu Pengendalian",IF(AND(L69&gt;=0,I69&gt;0),"Tidak Perlu Pengendalian","Belum Sensus"))</f>
        <v>Belum Sensus</v>
      </c>
      <c r="N69" s="143">
        <f t="shared" si="20"/>
        <v>0</v>
      </c>
      <c r="O69" s="9">
        <f t="array" ref="O69">IFERROR(N69/I69*100,0)</f>
        <v>0</v>
      </c>
      <c r="P69" s="11"/>
      <c r="Q69" s="143"/>
      <c r="R69" s="9">
        <f t="shared" si="8"/>
        <v>0</v>
      </c>
      <c r="S69" s="143"/>
      <c r="T69" s="9">
        <f t="shared" si="5"/>
        <v>0</v>
      </c>
      <c r="U69" s="8" t="str">
        <f t="array" ref="U69">IF(T69&gt;5,"Perlu Pengendalian",IF(AND(T69&gt;=0,Q69&gt;0),"Tidak Perlu Pengendalian","Belum Sensus"))</f>
        <v>Belum Sensus</v>
      </c>
      <c r="V69" s="143"/>
      <c r="W69" s="9">
        <f t="array" ref="W69">IFERROR(V69/Q69*100,0)</f>
        <v>0</v>
      </c>
      <c r="X69" s="11"/>
      <c r="Y69" s="143">
        <v>0</v>
      </c>
      <c r="Z69" s="9">
        <f t="shared" si="9"/>
        <v>0</v>
      </c>
      <c r="AA69" s="143">
        <v>0</v>
      </c>
      <c r="AB69" s="9">
        <f t="shared" si="6"/>
        <v>0</v>
      </c>
      <c r="AC69" s="8" t="str">
        <f t="array" ref="AC69">IF(AB69&gt;5,"Perlu Pengendalian",IF(AND(AB69&gt;=0,Y69&gt;0),"Tidak Perlu Pengendalian","Belum Sensus"))</f>
        <v>Belum Sensus</v>
      </c>
      <c r="AD69" s="143">
        <v>0</v>
      </c>
      <c r="AE69" s="9">
        <f t="array" ref="AE69">IFERROR(AD69/Y69*100,0)</f>
        <v>0</v>
      </c>
      <c r="AG69" s="206">
        <v>0</v>
      </c>
      <c r="AH69" s="206">
        <v>1.77</v>
      </c>
      <c r="AI69" s="206">
        <v>0</v>
      </c>
    </row>
    <row r="70" spans="1:35" outlineLevel="1" x14ac:dyDescent="0.15">
      <c r="A70" s="8" t="s">
        <v>949</v>
      </c>
      <c r="B70" s="8"/>
      <c r="C70" s="8" t="s">
        <v>107</v>
      </c>
      <c r="D70" s="8" t="s">
        <v>1394</v>
      </c>
      <c r="E70" s="9">
        <v>25.22</v>
      </c>
      <c r="F70" s="8" t="s">
        <v>469</v>
      </c>
      <c r="G70" s="10">
        <v>2380</v>
      </c>
      <c r="H70" s="11">
        <f t="shared" si="17"/>
        <v>0</v>
      </c>
      <c r="I70" s="143">
        <f t="shared" si="18"/>
        <v>0</v>
      </c>
      <c r="J70" s="9">
        <f t="array" ref="J70">IFERROR(I70/G70*100,0)</f>
        <v>0</v>
      </c>
      <c r="K70" s="143">
        <f t="shared" si="19"/>
        <v>0</v>
      </c>
      <c r="L70" s="9">
        <f t="shared" si="12"/>
        <v>0</v>
      </c>
      <c r="M70" s="8" t="str">
        <f t="array" ref="M70">IF(L70&gt;5,"Perlu Pengendalian",IF(AND(L70&gt;=0,I70&gt;0),"Tidak Perlu Pengendalian","Belum Sensus"))</f>
        <v>Belum Sensus</v>
      </c>
      <c r="N70" s="143">
        <f t="shared" si="20"/>
        <v>0</v>
      </c>
      <c r="O70" s="9">
        <f t="array" ref="O70">IFERROR(N70/I70*100,0)</f>
        <v>0</v>
      </c>
      <c r="P70" s="11"/>
      <c r="Q70" s="143"/>
      <c r="R70" s="9">
        <f t="shared" si="8"/>
        <v>0</v>
      </c>
      <c r="S70" s="143"/>
      <c r="T70" s="9">
        <f t="shared" ref="T70:T133" si="21">IFERROR(S70/Q70*100,0)</f>
        <v>0</v>
      </c>
      <c r="U70" s="8" t="str">
        <f t="array" ref="U70">IF(T70&gt;5,"Perlu Pengendalian",IF(AND(T70&gt;=0,Q70&gt;0),"Tidak Perlu Pengendalian","Belum Sensus"))</f>
        <v>Belum Sensus</v>
      </c>
      <c r="V70" s="143"/>
      <c r="W70" s="9">
        <f t="array" ref="W70">IFERROR(V70/Q70*100,0)</f>
        <v>0</v>
      </c>
      <c r="X70" s="11"/>
      <c r="Y70" s="143">
        <v>0</v>
      </c>
      <c r="Z70" s="9">
        <f t="shared" si="9"/>
        <v>0</v>
      </c>
      <c r="AA70" s="143">
        <v>0</v>
      </c>
      <c r="AB70" s="9">
        <f t="shared" ref="AB70:AB133" si="22">IFERROR(AA70/Y70*100,0)</f>
        <v>0</v>
      </c>
      <c r="AC70" s="8" t="str">
        <f t="array" ref="AC70">IF(AB70&gt;5,"Perlu Pengendalian",IF(AND(AB70&gt;=0,Y70&gt;0),"Tidak Perlu Pengendalian","Belum Sensus"))</f>
        <v>Belum Sensus</v>
      </c>
      <c r="AD70" s="143">
        <v>0</v>
      </c>
      <c r="AE70" s="9">
        <f t="array" ref="AE70">IFERROR(AD70/Y70*100,0)</f>
        <v>0</v>
      </c>
      <c r="AG70" s="206">
        <v>0</v>
      </c>
      <c r="AH70" s="206">
        <v>4.1180000000000003</v>
      </c>
      <c r="AI70" s="206">
        <v>0</v>
      </c>
    </row>
    <row r="71" spans="1:35" outlineLevel="1" x14ac:dyDescent="0.15">
      <c r="A71" s="8" t="s">
        <v>949</v>
      </c>
      <c r="B71" s="8"/>
      <c r="C71" s="8" t="s">
        <v>107</v>
      </c>
      <c r="D71" s="8" t="s">
        <v>1362</v>
      </c>
      <c r="E71" s="179">
        <v>36.94</v>
      </c>
      <c r="F71" s="8" t="s">
        <v>469</v>
      </c>
      <c r="G71" s="10">
        <v>4279</v>
      </c>
      <c r="H71" s="11">
        <f t="shared" si="17"/>
        <v>0</v>
      </c>
      <c r="I71" s="143">
        <f t="shared" si="18"/>
        <v>0</v>
      </c>
      <c r="J71" s="9">
        <f t="array" ref="J71">IFERROR(I71/G71*100,0)</f>
        <v>0</v>
      </c>
      <c r="K71" s="143">
        <f t="shared" si="19"/>
        <v>0</v>
      </c>
      <c r="L71" s="9">
        <f t="shared" ref="L71:L134" si="23">IFERROR(K71/I71*100,0)</f>
        <v>0</v>
      </c>
      <c r="M71" s="8" t="str">
        <f t="array" ref="M71">IF(L71&gt;5,"Perlu Pengendalian",IF(AND(L71&gt;=0,I71&gt;0),"Tidak Perlu Pengendalian","Belum Sensus"))</f>
        <v>Belum Sensus</v>
      </c>
      <c r="N71" s="143">
        <f t="shared" si="20"/>
        <v>0</v>
      </c>
      <c r="O71" s="9">
        <f t="array" ref="O71">IFERROR(N71/I71*100,0)</f>
        <v>0</v>
      </c>
      <c r="P71" s="11"/>
      <c r="Q71" s="143"/>
      <c r="R71" s="9">
        <f t="shared" ref="R71:R134" si="24">IFERROR(Q71/G71*100,0)</f>
        <v>0</v>
      </c>
      <c r="S71" s="143"/>
      <c r="T71" s="9">
        <f t="shared" si="21"/>
        <v>0</v>
      </c>
      <c r="U71" s="8" t="str">
        <f t="array" ref="U71">IF(T71&gt;5,"Perlu Pengendalian",IF(AND(T71&gt;=0,Q71&gt;0),"Tidak Perlu Pengendalian","Belum Sensus"))</f>
        <v>Belum Sensus</v>
      </c>
      <c r="V71" s="143"/>
      <c r="W71" s="9">
        <f t="array" ref="W71">IFERROR(V71/Q71*100,0)</f>
        <v>0</v>
      </c>
      <c r="X71" s="11"/>
      <c r="Y71" s="143">
        <v>0</v>
      </c>
      <c r="Z71" s="9">
        <f t="shared" ref="Z71:Z134" si="25">IFERROR(Y71/G71*100,0)</f>
        <v>0</v>
      </c>
      <c r="AA71" s="143">
        <v>0</v>
      </c>
      <c r="AB71" s="9">
        <f t="shared" si="22"/>
        <v>0</v>
      </c>
      <c r="AC71" s="8" t="str">
        <f t="array" ref="AC71">IF(AB71&gt;5,"Perlu Pengendalian",IF(AND(AB71&gt;=0,Y71&gt;0),"Tidak Perlu Pengendalian","Belum Sensus"))</f>
        <v>Belum Sensus</v>
      </c>
      <c r="AD71" s="143">
        <v>0</v>
      </c>
      <c r="AE71" s="9">
        <f t="array" ref="AE71">IFERROR(AD71/Y71*100,0)</f>
        <v>0</v>
      </c>
      <c r="AG71" s="206">
        <v>0</v>
      </c>
      <c r="AH71" s="206">
        <v>2.29</v>
      </c>
      <c r="AI71" s="206">
        <v>0</v>
      </c>
    </row>
    <row r="72" spans="1:35" outlineLevel="1" x14ac:dyDescent="0.15">
      <c r="A72" s="8" t="s">
        <v>949</v>
      </c>
      <c r="B72" s="8"/>
      <c r="C72" s="8" t="s">
        <v>107</v>
      </c>
      <c r="D72" s="8" t="s">
        <v>1363</v>
      </c>
      <c r="E72" s="9">
        <v>34.870000000000005</v>
      </c>
      <c r="F72" s="8" t="s">
        <v>469</v>
      </c>
      <c r="G72" s="10">
        <v>4119</v>
      </c>
      <c r="H72" s="11">
        <f t="shared" si="17"/>
        <v>0</v>
      </c>
      <c r="I72" s="143">
        <f t="shared" si="18"/>
        <v>0</v>
      </c>
      <c r="J72" s="9">
        <f t="array" ref="J72">IFERROR(I72/G72*100,0)</f>
        <v>0</v>
      </c>
      <c r="K72" s="143">
        <f t="shared" si="19"/>
        <v>0</v>
      </c>
      <c r="L72" s="9">
        <f t="shared" si="23"/>
        <v>0</v>
      </c>
      <c r="M72" s="8" t="str">
        <f t="array" ref="M72">IF(L72&gt;5,"Perlu Pengendalian",IF(AND(L72&gt;=0,I72&gt;0),"Tidak Perlu Pengendalian","Belum Sensus"))</f>
        <v>Belum Sensus</v>
      </c>
      <c r="N72" s="143">
        <f t="shared" si="20"/>
        <v>0</v>
      </c>
      <c r="O72" s="9">
        <f t="array" ref="O72">IFERROR(N72/I72*100,0)</f>
        <v>0</v>
      </c>
      <c r="P72" s="11"/>
      <c r="Q72" s="143"/>
      <c r="R72" s="9">
        <f t="shared" si="24"/>
        <v>0</v>
      </c>
      <c r="S72" s="143"/>
      <c r="T72" s="9">
        <f t="shared" si="21"/>
        <v>0</v>
      </c>
      <c r="U72" s="8" t="str">
        <f t="array" ref="U72">IF(T72&gt;5,"Perlu Pengendalian",IF(AND(T72&gt;=0,Q72&gt;0),"Tidak Perlu Pengendalian","Belum Sensus"))</f>
        <v>Belum Sensus</v>
      </c>
      <c r="V72" s="143"/>
      <c r="W72" s="9">
        <f t="array" ref="W72">IFERROR(V72/Q72*100,0)</f>
        <v>0</v>
      </c>
      <c r="X72" s="11"/>
      <c r="Y72" s="143">
        <v>0</v>
      </c>
      <c r="Z72" s="9">
        <f t="shared" si="25"/>
        <v>0</v>
      </c>
      <c r="AA72" s="143">
        <v>0</v>
      </c>
      <c r="AB72" s="9">
        <f t="shared" si="22"/>
        <v>0</v>
      </c>
      <c r="AC72" s="8" t="str">
        <f t="array" ref="AC72">IF(AB72&gt;5,"Perlu Pengendalian",IF(AND(AB72&gt;=0,Y72&gt;0),"Tidak Perlu Pengendalian","Belum Sensus"))</f>
        <v>Belum Sensus</v>
      </c>
      <c r="AD72" s="143">
        <v>0</v>
      </c>
      <c r="AE72" s="9">
        <f t="array" ref="AE72">IFERROR(AD72/Y72*100,0)</f>
        <v>0</v>
      </c>
      <c r="AG72" s="206">
        <v>0</v>
      </c>
      <c r="AH72" s="206">
        <v>1.82</v>
      </c>
      <c r="AI72" s="206">
        <v>0</v>
      </c>
    </row>
    <row r="73" spans="1:35" outlineLevel="1" x14ac:dyDescent="0.15">
      <c r="A73" s="8" t="s">
        <v>949</v>
      </c>
      <c r="B73" s="8"/>
      <c r="C73" s="8" t="s">
        <v>107</v>
      </c>
      <c r="D73" s="8" t="s">
        <v>1372</v>
      </c>
      <c r="E73" s="179">
        <v>33.75</v>
      </c>
      <c r="F73" s="8" t="s">
        <v>469</v>
      </c>
      <c r="G73" s="10">
        <v>4299</v>
      </c>
      <c r="H73" s="11">
        <f t="shared" si="17"/>
        <v>46167</v>
      </c>
      <c r="I73" s="143">
        <f t="shared" si="18"/>
        <v>124</v>
      </c>
      <c r="J73" s="9">
        <f t="array" ref="J73">IFERROR(I73/G73*100,0)</f>
        <v>2.8843917190044195</v>
      </c>
      <c r="K73" s="143">
        <f t="shared" si="19"/>
        <v>0</v>
      </c>
      <c r="L73" s="9">
        <f t="shared" si="23"/>
        <v>0</v>
      </c>
      <c r="M73" s="8" t="str">
        <f t="array" ref="M73">IF(L73&gt;5,"Perlu Pengendalian",IF(AND(L73&gt;=0,I73&gt;0),"Tidak Perlu Pengendalian","Belum Sensus"))</f>
        <v>Tidak Perlu Pengendalian</v>
      </c>
      <c r="N73" s="143">
        <f t="shared" si="20"/>
        <v>4</v>
      </c>
      <c r="O73" s="9">
        <f t="array" ref="O73">IFERROR(N73/I73*100,0)</f>
        <v>3.225806451612903</v>
      </c>
      <c r="P73" s="11">
        <v>46167</v>
      </c>
      <c r="Q73" s="143">
        <v>124</v>
      </c>
      <c r="R73" s="9">
        <f t="shared" si="24"/>
        <v>2.8843917190044195</v>
      </c>
      <c r="S73" s="143">
        <v>0</v>
      </c>
      <c r="T73" s="9">
        <f t="shared" si="21"/>
        <v>0</v>
      </c>
      <c r="U73" s="8" t="str">
        <f t="array" ref="U73">IF(T73&gt;5,"Perlu Pengendalian",IF(AND(T73&gt;=0,Q73&gt;0),"Tidak Perlu Pengendalian","Belum Sensus"))</f>
        <v>Tidak Perlu Pengendalian</v>
      </c>
      <c r="V73" s="143">
        <v>4</v>
      </c>
      <c r="W73" s="9">
        <f t="array" ref="W73">IFERROR(V73/Q73*100,0)</f>
        <v>3.225806451612903</v>
      </c>
      <c r="X73" s="11"/>
      <c r="Y73" s="143">
        <v>0</v>
      </c>
      <c r="Z73" s="9">
        <f t="shared" si="25"/>
        <v>0</v>
      </c>
      <c r="AA73" s="143">
        <v>0</v>
      </c>
      <c r="AB73" s="9">
        <f t="shared" si="22"/>
        <v>0</v>
      </c>
      <c r="AC73" s="8" t="str">
        <f t="array" ref="AC73">IF(AB73&gt;5,"Perlu Pengendalian",IF(AND(AB73&gt;=0,Y73&gt;0),"Tidak Perlu Pengendalian","Belum Sensus"))</f>
        <v>Belum Sensus</v>
      </c>
      <c r="AD73" s="143">
        <v>0</v>
      </c>
      <c r="AE73" s="9">
        <f t="array" ref="AE73">IFERROR(AD73/Y73*100,0)</f>
        <v>0</v>
      </c>
      <c r="AG73" s="206">
        <v>3.4482758620689653</v>
      </c>
      <c r="AH73" s="206">
        <v>2.91</v>
      </c>
      <c r="AI73" s="206">
        <v>0</v>
      </c>
    </row>
    <row r="74" spans="1:35" outlineLevel="1" x14ac:dyDescent="0.15">
      <c r="A74" s="8" t="s">
        <v>949</v>
      </c>
      <c r="B74" s="8"/>
      <c r="C74" s="8" t="s">
        <v>107</v>
      </c>
      <c r="D74" s="215" t="s">
        <v>956</v>
      </c>
      <c r="E74" s="9">
        <v>29.290000000000003</v>
      </c>
      <c r="F74" s="8" t="s">
        <v>469</v>
      </c>
      <c r="G74" s="10">
        <v>3643</v>
      </c>
      <c r="H74" s="11">
        <f t="shared" si="17"/>
        <v>46164</v>
      </c>
      <c r="I74" s="143">
        <f t="shared" si="18"/>
        <v>331</v>
      </c>
      <c r="J74" s="9">
        <f t="array" ref="J74">IFERROR(I74/G74*100,0)</f>
        <v>9.0859181992863025</v>
      </c>
      <c r="K74" s="143">
        <f t="shared" si="19"/>
        <v>33</v>
      </c>
      <c r="L74" s="9">
        <f t="shared" si="23"/>
        <v>9.9697885196374632</v>
      </c>
      <c r="M74" s="8" t="str">
        <f t="array" ref="M74">IF(L74&gt;5,"Perlu Pengendalian",IF(AND(L74&gt;=0,I74&gt;0),"Tidak Perlu Pengendalian","Belum Sensus"))</f>
        <v>Perlu Pengendalian</v>
      </c>
      <c r="N74" s="143">
        <f t="shared" si="20"/>
        <v>17</v>
      </c>
      <c r="O74" s="9">
        <f t="array" ref="O74">IFERROR(N74/I74*100,0)</f>
        <v>5.1359516616314203</v>
      </c>
      <c r="P74" s="11">
        <v>46164</v>
      </c>
      <c r="Q74" s="143">
        <v>331</v>
      </c>
      <c r="R74" s="9">
        <f t="shared" si="24"/>
        <v>9.0859181992863025</v>
      </c>
      <c r="S74" s="143">
        <v>33</v>
      </c>
      <c r="T74" s="9">
        <f t="shared" si="21"/>
        <v>9.9697885196374632</v>
      </c>
      <c r="U74" s="8" t="str">
        <f t="array" ref="U74">IF(T74&gt;5,"Perlu Pengendalian",IF(AND(T74&gt;=0,Q74&gt;0),"Tidak Perlu Pengendalian","Belum Sensus"))</f>
        <v>Perlu Pengendalian</v>
      </c>
      <c r="V74" s="143">
        <v>17</v>
      </c>
      <c r="W74" s="9">
        <f t="array" ref="W74">IFERROR(V74/Q74*100,0)</f>
        <v>5.1359516616314203</v>
      </c>
      <c r="X74" s="11"/>
      <c r="Y74" s="143">
        <v>0</v>
      </c>
      <c r="Z74" s="9">
        <f t="shared" si="25"/>
        <v>0</v>
      </c>
      <c r="AA74" s="143">
        <v>0</v>
      </c>
      <c r="AB74" s="9">
        <f t="shared" si="22"/>
        <v>0</v>
      </c>
      <c r="AC74" s="8" t="str">
        <f t="array" ref="AC74">IF(AB74&gt;5,"Perlu Pengendalian",IF(AND(AB74&gt;=0,Y74&gt;0),"Tidak Perlu Pengendalian","Belum Sensus"))</f>
        <v>Belum Sensus</v>
      </c>
      <c r="AD74" s="143">
        <v>0</v>
      </c>
      <c r="AE74" s="9">
        <f t="array" ref="AE74">IFERROR(AD74/Y74*100,0)</f>
        <v>0</v>
      </c>
      <c r="AG74" s="206">
        <v>7.4380165289256199</v>
      </c>
      <c r="AH74" s="206">
        <v>12.715852236003295</v>
      </c>
      <c r="AI74" s="206">
        <v>0</v>
      </c>
    </row>
    <row r="75" spans="1:35" outlineLevel="1" x14ac:dyDescent="0.15">
      <c r="A75" s="8" t="s">
        <v>949</v>
      </c>
      <c r="B75" s="8"/>
      <c r="C75" s="8" t="s">
        <v>107</v>
      </c>
      <c r="D75" s="8" t="s">
        <v>1380</v>
      </c>
      <c r="E75" s="179">
        <v>29.679999999999996</v>
      </c>
      <c r="F75" s="8" t="s">
        <v>469</v>
      </c>
      <c r="G75" s="10">
        <v>3885</v>
      </c>
      <c r="H75" s="11">
        <f t="shared" si="17"/>
        <v>0</v>
      </c>
      <c r="I75" s="143">
        <f t="shared" si="18"/>
        <v>0</v>
      </c>
      <c r="J75" s="9">
        <f t="array" ref="J75">IFERROR(I75/G75*100,0)</f>
        <v>0</v>
      </c>
      <c r="K75" s="143">
        <f t="shared" si="19"/>
        <v>0</v>
      </c>
      <c r="L75" s="9">
        <f t="shared" si="23"/>
        <v>0</v>
      </c>
      <c r="M75" s="8" t="str">
        <f t="array" ref="M75">IF(L75&gt;5,"Perlu Pengendalian",IF(AND(L75&gt;=0,I75&gt;0),"Tidak Perlu Pengendalian","Belum Sensus"))</f>
        <v>Belum Sensus</v>
      </c>
      <c r="N75" s="143">
        <f t="shared" si="20"/>
        <v>0</v>
      </c>
      <c r="O75" s="9">
        <f t="array" ref="O75">IFERROR(N75/I75*100,0)</f>
        <v>0</v>
      </c>
      <c r="P75" s="11"/>
      <c r="Q75" s="143"/>
      <c r="R75" s="9">
        <f t="shared" si="24"/>
        <v>0</v>
      </c>
      <c r="S75" s="143"/>
      <c r="T75" s="9">
        <f t="shared" si="21"/>
        <v>0</v>
      </c>
      <c r="U75" s="8" t="str">
        <f t="array" ref="U75">IF(T75&gt;5,"Perlu Pengendalian",IF(AND(T75&gt;=0,Q75&gt;0),"Tidak Perlu Pengendalian","Belum Sensus"))</f>
        <v>Belum Sensus</v>
      </c>
      <c r="V75" s="143"/>
      <c r="W75" s="9">
        <f t="array" ref="W75">IFERROR(V75/Q75*100,0)</f>
        <v>0</v>
      </c>
      <c r="X75" s="11"/>
      <c r="Y75" s="143">
        <v>0</v>
      </c>
      <c r="Z75" s="9">
        <f t="shared" si="25"/>
        <v>0</v>
      </c>
      <c r="AA75" s="143">
        <v>0</v>
      </c>
      <c r="AB75" s="9">
        <f t="shared" si="22"/>
        <v>0</v>
      </c>
      <c r="AC75" s="8" t="str">
        <f t="array" ref="AC75">IF(AB75&gt;5,"Perlu Pengendalian",IF(AND(AB75&gt;=0,Y75&gt;0),"Tidak Perlu Pengendalian","Belum Sensus"))</f>
        <v>Belum Sensus</v>
      </c>
      <c r="AD75" s="143">
        <v>0</v>
      </c>
      <c r="AE75" s="9">
        <f t="array" ref="AE75">IFERROR(AD75/Y75*100,0)</f>
        <v>0</v>
      </c>
      <c r="AG75" s="206">
        <v>4</v>
      </c>
      <c r="AH75" s="206">
        <v>3.73</v>
      </c>
      <c r="AI75" s="206">
        <v>0</v>
      </c>
    </row>
    <row r="76" spans="1:35" outlineLevel="1" x14ac:dyDescent="0.15">
      <c r="A76" s="8" t="s">
        <v>949</v>
      </c>
      <c r="B76" s="8"/>
      <c r="C76" s="8" t="s">
        <v>290</v>
      </c>
      <c r="D76" s="8" t="s">
        <v>1765</v>
      </c>
      <c r="E76" s="179">
        <v>32.19</v>
      </c>
      <c r="F76" s="8" t="s">
        <v>469</v>
      </c>
      <c r="G76" s="10">
        <v>3693</v>
      </c>
      <c r="H76" s="11">
        <f t="shared" si="17"/>
        <v>0</v>
      </c>
      <c r="I76" s="143">
        <f t="shared" si="18"/>
        <v>0</v>
      </c>
      <c r="J76" s="9">
        <f t="array" ref="J76">IFERROR(I76/G76*100,0)</f>
        <v>0</v>
      </c>
      <c r="K76" s="143">
        <f t="shared" si="19"/>
        <v>0</v>
      </c>
      <c r="L76" s="9">
        <f t="shared" si="23"/>
        <v>0</v>
      </c>
      <c r="M76" s="8" t="str">
        <f t="array" ref="M76">IF(L76&gt;5,"Perlu Pengendalian",IF(AND(L76&gt;=0,I76&gt;0),"Tidak Perlu Pengendalian","Belum Sensus"))</f>
        <v>Belum Sensus</v>
      </c>
      <c r="N76" s="143">
        <f t="shared" si="20"/>
        <v>0</v>
      </c>
      <c r="O76" s="9">
        <f t="array" ref="O76">IFERROR(N76/I76*100,0)</f>
        <v>0</v>
      </c>
      <c r="P76" s="11"/>
      <c r="Q76" s="143"/>
      <c r="R76" s="9">
        <f t="shared" si="24"/>
        <v>0</v>
      </c>
      <c r="S76" s="143"/>
      <c r="T76" s="9">
        <f t="shared" si="21"/>
        <v>0</v>
      </c>
      <c r="U76" s="8" t="str">
        <f t="array" ref="U76">IF(T76&gt;5,"Perlu Pengendalian",IF(AND(T76&gt;=0,Q76&gt;0),"Tidak Perlu Pengendalian","Belum Sensus"))</f>
        <v>Belum Sensus</v>
      </c>
      <c r="V76" s="143"/>
      <c r="W76" s="9">
        <f t="array" ref="W76">IFERROR(V76/Q76*100,0)</f>
        <v>0</v>
      </c>
      <c r="X76" s="11"/>
      <c r="Y76" s="143">
        <v>0</v>
      </c>
      <c r="Z76" s="9">
        <f t="shared" si="25"/>
        <v>0</v>
      </c>
      <c r="AA76" s="143">
        <v>0</v>
      </c>
      <c r="AB76" s="9">
        <f t="shared" si="22"/>
        <v>0</v>
      </c>
      <c r="AC76" s="8" t="str">
        <f t="array" ref="AC76">IF(AB76&gt;5,"Perlu Pengendalian",IF(AND(AB76&gt;=0,Y76&gt;0),"Tidak Perlu Pengendalian","Belum Sensus"))</f>
        <v>Belum Sensus</v>
      </c>
      <c r="AD76" s="143">
        <v>0</v>
      </c>
      <c r="AE76" s="9">
        <f t="array" ref="AE76">IFERROR(AD76/Y76*100,0)</f>
        <v>0</v>
      </c>
      <c r="AG76" s="206">
        <v>1.2195121951219512</v>
      </c>
      <c r="AH76" s="206">
        <v>4.1120000000000001</v>
      </c>
      <c r="AI76" s="206">
        <v>0.97087378640776689</v>
      </c>
    </row>
    <row r="77" spans="1:35" outlineLevel="1" x14ac:dyDescent="0.15">
      <c r="A77" s="8" t="s">
        <v>949</v>
      </c>
      <c r="B77" s="8"/>
      <c r="C77" s="8" t="s">
        <v>290</v>
      </c>
      <c r="D77" s="8" t="s">
        <v>1766</v>
      </c>
      <c r="E77" s="180">
        <v>31.39</v>
      </c>
      <c r="F77" s="8" t="s">
        <v>469</v>
      </c>
      <c r="G77" s="10">
        <v>4390</v>
      </c>
      <c r="H77" s="11">
        <f t="shared" si="17"/>
        <v>0</v>
      </c>
      <c r="I77" s="143">
        <f t="shared" si="18"/>
        <v>0</v>
      </c>
      <c r="J77" s="9">
        <f t="array" ref="J77">IFERROR(I77/G77*100,0)</f>
        <v>0</v>
      </c>
      <c r="K77" s="143">
        <f t="shared" si="19"/>
        <v>0</v>
      </c>
      <c r="L77" s="9">
        <f t="shared" si="23"/>
        <v>0</v>
      </c>
      <c r="M77" s="8" t="str">
        <f t="array" ref="M77">IF(L77&gt;5,"Perlu Pengendalian",IF(AND(L77&gt;=0,I77&gt;0),"Tidak Perlu Pengendalian","Belum Sensus"))</f>
        <v>Belum Sensus</v>
      </c>
      <c r="N77" s="143">
        <f t="shared" si="20"/>
        <v>0</v>
      </c>
      <c r="O77" s="9">
        <f t="array" ref="O77">IFERROR(N77/I77*100,0)</f>
        <v>0</v>
      </c>
      <c r="P77" s="11"/>
      <c r="Q77" s="143"/>
      <c r="R77" s="9">
        <f t="shared" si="24"/>
        <v>0</v>
      </c>
      <c r="S77" s="143"/>
      <c r="T77" s="9">
        <f t="shared" si="21"/>
        <v>0</v>
      </c>
      <c r="U77" s="8" t="str">
        <f t="array" ref="U77">IF(T77&gt;5,"Perlu Pengendalian",IF(AND(T77&gt;=0,Q77&gt;0),"Tidak Perlu Pengendalian","Belum Sensus"))</f>
        <v>Belum Sensus</v>
      </c>
      <c r="V77" s="143"/>
      <c r="W77" s="9">
        <f t="array" ref="W77">IFERROR(V77/Q77*100,0)</f>
        <v>0</v>
      </c>
      <c r="X77" s="11"/>
      <c r="Y77" s="143">
        <v>0</v>
      </c>
      <c r="Z77" s="9">
        <f t="shared" si="25"/>
        <v>0</v>
      </c>
      <c r="AA77" s="143">
        <v>0</v>
      </c>
      <c r="AB77" s="9">
        <f t="shared" si="22"/>
        <v>0</v>
      </c>
      <c r="AC77" s="8" t="str">
        <f t="array" ref="AC77">IF(AB77&gt;5,"Perlu Pengendalian",IF(AND(AB77&gt;=0,Y77&gt;0),"Tidak Perlu Pengendalian","Belum Sensus"))</f>
        <v>Belum Sensus</v>
      </c>
      <c r="AD77" s="143">
        <v>0</v>
      </c>
      <c r="AE77" s="9">
        <f t="array" ref="AE77">IFERROR(AD77/Y77*100,0)</f>
        <v>0</v>
      </c>
      <c r="AG77" s="206">
        <v>2.1739130434782608</v>
      </c>
      <c r="AH77" s="206">
        <v>3.34</v>
      </c>
      <c r="AI77" s="206">
        <v>0.98039215686274506</v>
      </c>
    </row>
    <row r="78" spans="1:35" outlineLevel="1" x14ac:dyDescent="0.15">
      <c r="A78" s="8" t="s">
        <v>949</v>
      </c>
      <c r="B78" s="8"/>
      <c r="C78" s="8" t="s">
        <v>290</v>
      </c>
      <c r="D78" s="8" t="s">
        <v>1767</v>
      </c>
      <c r="E78" s="179">
        <v>31.82</v>
      </c>
      <c r="F78" s="8" t="s">
        <v>469</v>
      </c>
      <c r="G78" s="10">
        <v>4444</v>
      </c>
      <c r="H78" s="11">
        <f t="shared" si="17"/>
        <v>0</v>
      </c>
      <c r="I78" s="143">
        <f t="shared" si="18"/>
        <v>0</v>
      </c>
      <c r="J78" s="9">
        <f t="array" ref="J78">IFERROR(I78/G78*100,0)</f>
        <v>0</v>
      </c>
      <c r="K78" s="143">
        <f t="shared" si="19"/>
        <v>0</v>
      </c>
      <c r="L78" s="9">
        <f t="shared" si="23"/>
        <v>0</v>
      </c>
      <c r="M78" s="8" t="str">
        <f t="array" ref="M78">IF(L78&gt;5,"Perlu Pengendalian",IF(AND(L78&gt;=0,I78&gt;0),"Tidak Perlu Pengendalian","Belum Sensus"))</f>
        <v>Belum Sensus</v>
      </c>
      <c r="N78" s="143">
        <f t="shared" si="20"/>
        <v>0</v>
      </c>
      <c r="O78" s="9">
        <f t="array" ref="O78">IFERROR(N78/I78*100,0)</f>
        <v>0</v>
      </c>
      <c r="P78" s="11"/>
      <c r="Q78" s="143"/>
      <c r="R78" s="9">
        <f t="shared" si="24"/>
        <v>0</v>
      </c>
      <c r="S78" s="143"/>
      <c r="T78" s="9">
        <f t="shared" si="21"/>
        <v>0</v>
      </c>
      <c r="U78" s="8" t="str">
        <f t="array" ref="U78">IF(T78&gt;5,"Perlu Pengendalian",IF(AND(T78&gt;=0,Q78&gt;0),"Tidak Perlu Pengendalian","Belum Sensus"))</f>
        <v>Belum Sensus</v>
      </c>
      <c r="V78" s="143"/>
      <c r="W78" s="9">
        <f t="array" ref="W78">IFERROR(V78/Q78*100,0)</f>
        <v>0</v>
      </c>
      <c r="X78" s="11"/>
      <c r="Y78" s="143">
        <v>0</v>
      </c>
      <c r="Z78" s="9">
        <f t="shared" si="25"/>
        <v>0</v>
      </c>
      <c r="AA78" s="143">
        <v>0</v>
      </c>
      <c r="AB78" s="9">
        <f t="shared" si="22"/>
        <v>0</v>
      </c>
      <c r="AC78" s="8" t="str">
        <f t="array" ref="AC78">IF(AB78&gt;5,"Perlu Pengendalian",IF(AND(AB78&gt;=0,Y78&gt;0),"Tidak Perlu Pengendalian","Belum Sensus"))</f>
        <v>Belum Sensus</v>
      </c>
      <c r="AD78" s="143">
        <v>0</v>
      </c>
      <c r="AE78" s="9">
        <f t="array" ref="AE78">IFERROR(AD78/Y78*100,0)</f>
        <v>0</v>
      </c>
      <c r="AG78" s="206">
        <v>2.3255813953488373</v>
      </c>
      <c r="AH78" s="206">
        <v>2.21</v>
      </c>
      <c r="AI78" s="206">
        <v>0</v>
      </c>
    </row>
    <row r="79" spans="1:35" outlineLevel="1" x14ac:dyDescent="0.15">
      <c r="A79" s="8" t="s">
        <v>949</v>
      </c>
      <c r="B79" s="8"/>
      <c r="C79" s="8" t="s">
        <v>290</v>
      </c>
      <c r="D79" s="8" t="s">
        <v>994</v>
      </c>
      <c r="E79" s="9">
        <v>35.300000000000004</v>
      </c>
      <c r="F79" s="8" t="s">
        <v>469</v>
      </c>
      <c r="G79" s="10">
        <v>4081.9999999999995</v>
      </c>
      <c r="H79" s="11">
        <f t="shared" si="17"/>
        <v>0</v>
      </c>
      <c r="I79" s="143">
        <f t="shared" si="18"/>
        <v>0</v>
      </c>
      <c r="J79" s="9">
        <f t="array" ref="J79">IFERROR(I79/G79*100,0)</f>
        <v>0</v>
      </c>
      <c r="K79" s="143">
        <f t="shared" si="19"/>
        <v>0</v>
      </c>
      <c r="L79" s="9">
        <f t="shared" si="23"/>
        <v>0</v>
      </c>
      <c r="M79" s="8" t="str">
        <f t="array" ref="M79">IF(L79&gt;5,"Perlu Pengendalian",IF(AND(L79&gt;=0,I79&gt;0),"Tidak Perlu Pengendalian","Belum Sensus"))</f>
        <v>Belum Sensus</v>
      </c>
      <c r="N79" s="143">
        <f t="shared" si="20"/>
        <v>0</v>
      </c>
      <c r="O79" s="9">
        <f t="array" ref="O79">IFERROR(N79/I79*100,0)</f>
        <v>0</v>
      </c>
      <c r="P79" s="11"/>
      <c r="Q79" s="143"/>
      <c r="R79" s="9">
        <f t="shared" si="24"/>
        <v>0</v>
      </c>
      <c r="S79" s="143"/>
      <c r="T79" s="9">
        <f t="shared" si="21"/>
        <v>0</v>
      </c>
      <c r="U79" s="8" t="str">
        <f t="array" ref="U79">IF(T79&gt;5,"Perlu Pengendalian",IF(AND(T79&gt;=0,Q79&gt;0),"Tidak Perlu Pengendalian","Belum Sensus"))</f>
        <v>Belum Sensus</v>
      </c>
      <c r="V79" s="143"/>
      <c r="W79" s="9">
        <f t="array" ref="W79">IFERROR(V79/Q79*100,0)</f>
        <v>0</v>
      </c>
      <c r="X79" s="11"/>
      <c r="Y79" s="143">
        <v>0</v>
      </c>
      <c r="Z79" s="9">
        <f t="shared" si="25"/>
        <v>0</v>
      </c>
      <c r="AA79" s="143">
        <v>0</v>
      </c>
      <c r="AB79" s="9">
        <f t="shared" si="22"/>
        <v>0</v>
      </c>
      <c r="AC79" s="8" t="str">
        <f t="array" ref="AC79">IF(AB79&gt;5,"Perlu Pengendalian",IF(AND(AB79&gt;=0,Y79&gt;0),"Tidak Perlu Pengendalian","Belum Sensus"))</f>
        <v>Belum Sensus</v>
      </c>
      <c r="AD79" s="143">
        <v>0</v>
      </c>
      <c r="AE79" s="9">
        <f t="array" ref="AE79">IFERROR(AD79/Y79*100,0)</f>
        <v>0</v>
      </c>
      <c r="AG79" s="206">
        <v>0.56497175141242939</v>
      </c>
      <c r="AH79" s="206">
        <v>1.1599999999999999</v>
      </c>
      <c r="AI79" s="206">
        <v>1.9230769230769231</v>
      </c>
    </row>
    <row r="80" spans="1:35" outlineLevel="1" x14ac:dyDescent="0.15">
      <c r="A80" s="8" t="s">
        <v>949</v>
      </c>
      <c r="B80" s="8"/>
      <c r="C80" s="8" t="s">
        <v>290</v>
      </c>
      <c r="D80" s="8" t="s">
        <v>996</v>
      </c>
      <c r="E80" s="9">
        <v>35.910000000000004</v>
      </c>
      <c r="F80" s="8" t="s">
        <v>469</v>
      </c>
      <c r="G80" s="10">
        <v>4134</v>
      </c>
      <c r="H80" s="11">
        <f t="shared" si="17"/>
        <v>0</v>
      </c>
      <c r="I80" s="143">
        <f t="shared" si="18"/>
        <v>0</v>
      </c>
      <c r="J80" s="9">
        <f t="array" ref="J80">IFERROR(I80/G80*100,0)</f>
        <v>0</v>
      </c>
      <c r="K80" s="143">
        <f t="shared" si="19"/>
        <v>0</v>
      </c>
      <c r="L80" s="9">
        <f t="shared" si="23"/>
        <v>0</v>
      </c>
      <c r="M80" s="8" t="str">
        <f t="array" ref="M80">IF(L80&gt;5,"Perlu Pengendalian",IF(AND(L80&gt;=0,I80&gt;0),"Tidak Perlu Pengendalian","Belum Sensus"))</f>
        <v>Belum Sensus</v>
      </c>
      <c r="N80" s="143">
        <f t="shared" si="20"/>
        <v>0</v>
      </c>
      <c r="O80" s="9">
        <f t="array" ref="O80">IFERROR(N80/I80*100,0)</f>
        <v>0</v>
      </c>
      <c r="P80" s="11"/>
      <c r="Q80" s="143"/>
      <c r="R80" s="9">
        <f t="shared" si="24"/>
        <v>0</v>
      </c>
      <c r="S80" s="143"/>
      <c r="T80" s="9">
        <f t="shared" si="21"/>
        <v>0</v>
      </c>
      <c r="U80" s="8" t="str">
        <f t="array" ref="U80">IF(T80&gt;5,"Perlu Pengendalian",IF(AND(T80&gt;=0,Q80&gt;0),"Tidak Perlu Pengendalian","Belum Sensus"))</f>
        <v>Belum Sensus</v>
      </c>
      <c r="V80" s="143"/>
      <c r="W80" s="9">
        <f t="array" ref="W80">IFERROR(V80/Q80*100,0)</f>
        <v>0</v>
      </c>
      <c r="X80" s="11"/>
      <c r="Y80" s="143">
        <v>0</v>
      </c>
      <c r="Z80" s="9">
        <f t="shared" si="25"/>
        <v>0</v>
      </c>
      <c r="AA80" s="143">
        <v>0</v>
      </c>
      <c r="AB80" s="9">
        <f t="shared" si="22"/>
        <v>0</v>
      </c>
      <c r="AC80" s="8" t="str">
        <f t="array" ref="AC80">IF(AB80&gt;5,"Perlu Pengendalian",IF(AND(AB80&gt;=0,Y80&gt;0),"Tidak Perlu Pengendalian","Belum Sensus"))</f>
        <v>Belum Sensus</v>
      </c>
      <c r="AD80" s="143">
        <v>0</v>
      </c>
      <c r="AE80" s="9">
        <f t="array" ref="AE80">IFERROR(AD80/Y80*100,0)</f>
        <v>0</v>
      </c>
      <c r="AG80" s="206">
        <v>0</v>
      </c>
      <c r="AH80" s="206">
        <v>3.36</v>
      </c>
      <c r="AI80" s="206">
        <v>0.96153846153846156</v>
      </c>
    </row>
    <row r="81" spans="1:35" outlineLevel="1" x14ac:dyDescent="0.15">
      <c r="A81" s="8" t="s">
        <v>949</v>
      </c>
      <c r="B81" s="8"/>
      <c r="C81" s="8" t="s">
        <v>290</v>
      </c>
      <c r="D81" s="8" t="s">
        <v>1768</v>
      </c>
      <c r="E81" s="179">
        <v>36.72</v>
      </c>
      <c r="F81" s="8" t="s">
        <v>469</v>
      </c>
      <c r="G81" s="10">
        <v>5466</v>
      </c>
      <c r="H81" s="11">
        <f t="shared" si="17"/>
        <v>0</v>
      </c>
      <c r="I81" s="143">
        <f t="shared" si="18"/>
        <v>0</v>
      </c>
      <c r="J81" s="9">
        <f t="array" ref="J81">IFERROR(I81/G81*100,0)</f>
        <v>0</v>
      </c>
      <c r="K81" s="143">
        <f t="shared" si="19"/>
        <v>0</v>
      </c>
      <c r="L81" s="9">
        <f t="shared" si="23"/>
        <v>0</v>
      </c>
      <c r="M81" s="8" t="str">
        <f t="array" ref="M81">IF(L81&gt;5,"Perlu Pengendalian",IF(AND(L81&gt;=0,I81&gt;0),"Tidak Perlu Pengendalian","Belum Sensus"))</f>
        <v>Belum Sensus</v>
      </c>
      <c r="N81" s="143">
        <f t="shared" si="20"/>
        <v>0</v>
      </c>
      <c r="O81" s="9">
        <f t="array" ref="O81">IFERROR(N81/I81*100,0)</f>
        <v>0</v>
      </c>
      <c r="P81" s="11"/>
      <c r="Q81" s="143"/>
      <c r="R81" s="9">
        <f t="shared" si="24"/>
        <v>0</v>
      </c>
      <c r="S81" s="143"/>
      <c r="T81" s="9">
        <f t="shared" si="21"/>
        <v>0</v>
      </c>
      <c r="U81" s="8" t="str">
        <f t="array" ref="U81">IF(T81&gt;5,"Perlu Pengendalian",IF(AND(T81&gt;=0,Q81&gt;0),"Tidak Perlu Pengendalian","Belum Sensus"))</f>
        <v>Belum Sensus</v>
      </c>
      <c r="V81" s="143"/>
      <c r="W81" s="9">
        <f t="array" ref="W81">IFERROR(V81/Q81*100,0)</f>
        <v>0</v>
      </c>
      <c r="X81" s="11"/>
      <c r="Y81" s="143">
        <v>0</v>
      </c>
      <c r="Z81" s="9">
        <f t="shared" si="25"/>
        <v>0</v>
      </c>
      <c r="AA81" s="143">
        <v>0</v>
      </c>
      <c r="AB81" s="9">
        <f t="shared" si="22"/>
        <v>0</v>
      </c>
      <c r="AC81" s="8" t="str">
        <f t="array" ref="AC81">IF(AB81&gt;5,"Perlu Pengendalian",IF(AND(AB81&gt;=0,Y81&gt;0),"Tidak Perlu Pengendalian","Belum Sensus"))</f>
        <v>Belum Sensus</v>
      </c>
      <c r="AD81" s="143">
        <v>0</v>
      </c>
      <c r="AE81" s="9">
        <f t="array" ref="AE81">IFERROR(AD81/Y81*100,0)</f>
        <v>0</v>
      </c>
      <c r="AG81" s="206">
        <v>1.3888888888888888</v>
      </c>
      <c r="AH81" s="206">
        <v>4.18</v>
      </c>
      <c r="AI81" s="206">
        <v>2.7777777777777777</v>
      </c>
    </row>
    <row r="82" spans="1:35" outlineLevel="1" x14ac:dyDescent="0.15">
      <c r="A82" s="8" t="s">
        <v>949</v>
      </c>
      <c r="B82" s="8"/>
      <c r="C82" s="8" t="s">
        <v>290</v>
      </c>
      <c r="D82" s="8" t="s">
        <v>1769</v>
      </c>
      <c r="E82" s="9">
        <v>29.49</v>
      </c>
      <c r="F82" s="8" t="s">
        <v>469</v>
      </c>
      <c r="G82" s="10">
        <v>4419</v>
      </c>
      <c r="H82" s="11">
        <f t="shared" si="17"/>
        <v>0</v>
      </c>
      <c r="I82" s="143">
        <f t="shared" si="18"/>
        <v>0</v>
      </c>
      <c r="J82" s="9">
        <f t="array" ref="J82">IFERROR(I82/G82*100,0)</f>
        <v>0</v>
      </c>
      <c r="K82" s="143">
        <f t="shared" si="19"/>
        <v>0</v>
      </c>
      <c r="L82" s="9">
        <f t="shared" si="23"/>
        <v>0</v>
      </c>
      <c r="M82" s="8" t="str">
        <f t="array" ref="M82">IF(L82&gt;5,"Perlu Pengendalian",IF(AND(L82&gt;=0,I82&gt;0),"Tidak Perlu Pengendalian","Belum Sensus"))</f>
        <v>Belum Sensus</v>
      </c>
      <c r="N82" s="143">
        <f t="shared" si="20"/>
        <v>0</v>
      </c>
      <c r="O82" s="9">
        <f t="array" ref="O82">IFERROR(N82/I82*100,0)</f>
        <v>0</v>
      </c>
      <c r="P82" s="11"/>
      <c r="Q82" s="143"/>
      <c r="R82" s="9">
        <f t="shared" si="24"/>
        <v>0</v>
      </c>
      <c r="S82" s="143"/>
      <c r="T82" s="9">
        <f t="shared" si="21"/>
        <v>0</v>
      </c>
      <c r="U82" s="8" t="str">
        <f t="array" ref="U82">IF(T82&gt;5,"Perlu Pengendalian",IF(AND(T82&gt;=0,Q82&gt;0),"Tidak Perlu Pengendalian","Belum Sensus"))</f>
        <v>Belum Sensus</v>
      </c>
      <c r="V82" s="143"/>
      <c r="W82" s="9">
        <f t="array" ref="W82">IFERROR(V82/Q82*100,0)</f>
        <v>0</v>
      </c>
      <c r="X82" s="11"/>
      <c r="Y82" s="143">
        <v>0</v>
      </c>
      <c r="Z82" s="9">
        <f t="shared" si="25"/>
        <v>0</v>
      </c>
      <c r="AA82" s="143">
        <v>0</v>
      </c>
      <c r="AB82" s="9">
        <f t="shared" si="22"/>
        <v>0</v>
      </c>
      <c r="AC82" s="8" t="str">
        <f t="array" ref="AC82">IF(AB82&gt;5,"Perlu Pengendalian",IF(AND(AB82&gt;=0,Y82&gt;0),"Tidak Perlu Pengendalian","Belum Sensus"))</f>
        <v>Belum Sensus</v>
      </c>
      <c r="AD82" s="143">
        <v>0</v>
      </c>
      <c r="AE82" s="9">
        <f t="array" ref="AE82">IFERROR(AD82/Y82*100,0)</f>
        <v>0</v>
      </c>
      <c r="AG82" s="206">
        <v>0</v>
      </c>
      <c r="AH82" s="206">
        <v>2.25</v>
      </c>
      <c r="AI82" s="206">
        <v>2.6315789473684208</v>
      </c>
    </row>
    <row r="83" spans="1:35" outlineLevel="1" x14ac:dyDescent="0.15">
      <c r="A83" s="8" t="s">
        <v>949</v>
      </c>
      <c r="B83" s="8"/>
      <c r="C83" s="8" t="s">
        <v>290</v>
      </c>
      <c r="D83" s="8" t="s">
        <v>1770</v>
      </c>
      <c r="E83" s="179">
        <v>30.61</v>
      </c>
      <c r="F83" s="8" t="s">
        <v>469</v>
      </c>
      <c r="G83" s="10">
        <v>4279</v>
      </c>
      <c r="H83" s="11">
        <f t="shared" si="17"/>
        <v>0</v>
      </c>
      <c r="I83" s="143">
        <f t="shared" si="18"/>
        <v>0</v>
      </c>
      <c r="J83" s="9">
        <f t="array" ref="J83">IFERROR(I83/G83*100,0)</f>
        <v>0</v>
      </c>
      <c r="K83" s="143">
        <f t="shared" si="19"/>
        <v>0</v>
      </c>
      <c r="L83" s="9">
        <f t="shared" si="23"/>
        <v>0</v>
      </c>
      <c r="M83" s="8" t="str">
        <f t="array" ref="M83">IF(L83&gt;5,"Perlu Pengendalian",IF(AND(L83&gt;=0,I83&gt;0),"Tidak Perlu Pengendalian","Belum Sensus"))</f>
        <v>Belum Sensus</v>
      </c>
      <c r="N83" s="143">
        <f t="shared" si="20"/>
        <v>0</v>
      </c>
      <c r="O83" s="9">
        <f t="array" ref="O83">IFERROR(N83/I83*100,0)</f>
        <v>0</v>
      </c>
      <c r="P83" s="11"/>
      <c r="Q83" s="143"/>
      <c r="R83" s="9">
        <f t="shared" si="24"/>
        <v>0</v>
      </c>
      <c r="S83" s="143"/>
      <c r="T83" s="9">
        <f t="shared" si="21"/>
        <v>0</v>
      </c>
      <c r="U83" s="8" t="str">
        <f t="array" ref="U83">IF(T83&gt;5,"Perlu Pengendalian",IF(AND(T83&gt;=0,Q83&gt;0),"Tidak Perlu Pengendalian","Belum Sensus"))</f>
        <v>Belum Sensus</v>
      </c>
      <c r="V83" s="143"/>
      <c r="W83" s="9">
        <f t="array" ref="W83">IFERROR(V83/Q83*100,0)</f>
        <v>0</v>
      </c>
      <c r="X83" s="11"/>
      <c r="Y83" s="143">
        <v>0</v>
      </c>
      <c r="Z83" s="9">
        <f t="shared" si="25"/>
        <v>0</v>
      </c>
      <c r="AA83" s="143">
        <v>0</v>
      </c>
      <c r="AB83" s="9">
        <f t="shared" si="22"/>
        <v>0</v>
      </c>
      <c r="AC83" s="8" t="str">
        <f t="array" ref="AC83">IF(AB83&gt;5,"Perlu Pengendalian",IF(AND(AB83&gt;=0,Y83&gt;0),"Tidak Perlu Pengendalian","Belum Sensus"))</f>
        <v>Belum Sensus</v>
      </c>
      <c r="AD83" s="143">
        <v>0</v>
      </c>
      <c r="AE83" s="9">
        <f t="array" ref="AE83">IFERROR(AD83/Y83*100,0)</f>
        <v>0</v>
      </c>
      <c r="AG83" s="206">
        <v>3.125</v>
      </c>
      <c r="AH83" s="206">
        <v>2.81</v>
      </c>
      <c r="AI83" s="206">
        <v>2.8846153846153846</v>
      </c>
    </row>
    <row r="84" spans="1:35" outlineLevel="1" x14ac:dyDescent="0.15">
      <c r="A84" s="8" t="s">
        <v>949</v>
      </c>
      <c r="B84" s="8"/>
      <c r="C84" s="8" t="s">
        <v>290</v>
      </c>
      <c r="D84" s="8" t="s">
        <v>1771</v>
      </c>
      <c r="E84" s="180">
        <v>26.189999999999998</v>
      </c>
      <c r="F84" s="8" t="s">
        <v>469</v>
      </c>
      <c r="G84" s="10">
        <v>3227</v>
      </c>
      <c r="H84" s="11">
        <f t="shared" si="17"/>
        <v>0</v>
      </c>
      <c r="I84" s="143">
        <f t="shared" si="18"/>
        <v>0</v>
      </c>
      <c r="J84" s="9">
        <f t="array" ref="J84">IFERROR(I84/G84*100,0)</f>
        <v>0</v>
      </c>
      <c r="K84" s="143">
        <f t="shared" si="19"/>
        <v>0</v>
      </c>
      <c r="L84" s="9">
        <f t="shared" si="23"/>
        <v>0</v>
      </c>
      <c r="M84" s="8" t="str">
        <f t="array" ref="M84">IF(L84&gt;5,"Perlu Pengendalian",IF(AND(L84&gt;=0,I84&gt;0),"Tidak Perlu Pengendalian","Belum Sensus"))</f>
        <v>Belum Sensus</v>
      </c>
      <c r="N84" s="143">
        <f t="shared" si="20"/>
        <v>0</v>
      </c>
      <c r="O84" s="9">
        <f t="array" ref="O84">IFERROR(N84/I84*100,0)</f>
        <v>0</v>
      </c>
      <c r="P84" s="11"/>
      <c r="Q84" s="143"/>
      <c r="R84" s="9">
        <f t="shared" si="24"/>
        <v>0</v>
      </c>
      <c r="S84" s="143"/>
      <c r="T84" s="9">
        <f t="shared" si="21"/>
        <v>0</v>
      </c>
      <c r="U84" s="8" t="str">
        <f t="array" ref="U84">IF(T84&gt;5,"Perlu Pengendalian",IF(AND(T84&gt;=0,Q84&gt;0),"Tidak Perlu Pengendalian","Belum Sensus"))</f>
        <v>Belum Sensus</v>
      </c>
      <c r="V84" s="143"/>
      <c r="W84" s="9">
        <f t="array" ref="W84">IFERROR(V84/Q84*100,0)</f>
        <v>0</v>
      </c>
      <c r="X84" s="11"/>
      <c r="Y84" s="143">
        <v>0</v>
      </c>
      <c r="Z84" s="9">
        <f t="shared" si="25"/>
        <v>0</v>
      </c>
      <c r="AA84" s="143">
        <v>0</v>
      </c>
      <c r="AB84" s="9">
        <f t="shared" si="22"/>
        <v>0</v>
      </c>
      <c r="AC84" s="8" t="str">
        <f t="array" ref="AC84">IF(AB84&gt;5,"Perlu Pengendalian",IF(AND(AB84&gt;=0,Y84&gt;0),"Tidak Perlu Pengendalian","Belum Sensus"))</f>
        <v>Belum Sensus</v>
      </c>
      <c r="AD84" s="143">
        <v>0</v>
      </c>
      <c r="AE84" s="9">
        <f t="array" ref="AE84">IFERROR(AD84/Y84*100,0)</f>
        <v>0</v>
      </c>
      <c r="AG84" s="206">
        <v>2.7027027027027026</v>
      </c>
      <c r="AH84" s="206">
        <v>3.1099999999999994</v>
      </c>
      <c r="AI84" s="206">
        <v>1.9230769230769231</v>
      </c>
    </row>
    <row r="85" spans="1:35" outlineLevel="1" x14ac:dyDescent="0.15">
      <c r="A85" s="8" t="s">
        <v>949</v>
      </c>
      <c r="B85" s="8"/>
      <c r="C85" s="8" t="s">
        <v>290</v>
      </c>
      <c r="D85" s="8" t="s">
        <v>1772</v>
      </c>
      <c r="E85" s="9">
        <v>27.300000000000004</v>
      </c>
      <c r="F85" s="8" t="s">
        <v>469</v>
      </c>
      <c r="G85" s="10">
        <v>3105</v>
      </c>
      <c r="H85" s="11">
        <f t="shared" si="17"/>
        <v>0</v>
      </c>
      <c r="I85" s="143">
        <f t="shared" si="18"/>
        <v>0</v>
      </c>
      <c r="J85" s="9">
        <f t="array" ref="J85">IFERROR(I85/G85*100,0)</f>
        <v>0</v>
      </c>
      <c r="K85" s="143">
        <f t="shared" si="19"/>
        <v>0</v>
      </c>
      <c r="L85" s="9">
        <f t="shared" si="23"/>
        <v>0</v>
      </c>
      <c r="M85" s="8" t="str">
        <f t="array" ref="M85">IF(L85&gt;5,"Perlu Pengendalian",IF(AND(L85&gt;=0,I85&gt;0),"Tidak Perlu Pengendalian","Belum Sensus"))</f>
        <v>Belum Sensus</v>
      </c>
      <c r="N85" s="143">
        <f t="shared" si="20"/>
        <v>0</v>
      </c>
      <c r="O85" s="9">
        <f t="array" ref="O85">IFERROR(N85/I85*100,0)</f>
        <v>0</v>
      </c>
      <c r="P85" s="11"/>
      <c r="Q85" s="143"/>
      <c r="R85" s="9">
        <f t="shared" si="24"/>
        <v>0</v>
      </c>
      <c r="S85" s="143"/>
      <c r="T85" s="9">
        <f t="shared" si="21"/>
        <v>0</v>
      </c>
      <c r="U85" s="8" t="str">
        <f t="array" ref="U85">IF(T85&gt;5,"Perlu Pengendalian",IF(AND(T85&gt;=0,Q85&gt;0),"Tidak Perlu Pengendalian","Belum Sensus"))</f>
        <v>Belum Sensus</v>
      </c>
      <c r="V85" s="143"/>
      <c r="W85" s="9">
        <f t="array" ref="W85">IFERROR(V85/Q85*100,0)</f>
        <v>0</v>
      </c>
      <c r="X85" s="11"/>
      <c r="Y85" s="143">
        <v>0</v>
      </c>
      <c r="Z85" s="9">
        <f t="shared" si="25"/>
        <v>0</v>
      </c>
      <c r="AA85" s="143">
        <v>0</v>
      </c>
      <c r="AB85" s="9">
        <f t="shared" si="22"/>
        <v>0</v>
      </c>
      <c r="AC85" s="8" t="str">
        <f t="array" ref="AC85">IF(AB85&gt;5,"Perlu Pengendalian",IF(AND(AB85&gt;=0,Y85&gt;0),"Tidak Perlu Pengendalian","Belum Sensus"))</f>
        <v>Belum Sensus</v>
      </c>
      <c r="AD85" s="143">
        <v>0</v>
      </c>
      <c r="AE85" s="9">
        <f t="array" ref="AE85">IFERROR(AD85/Y85*100,0)</f>
        <v>0</v>
      </c>
      <c r="AG85" s="206">
        <v>0</v>
      </c>
      <c r="AH85" s="206">
        <v>2.9399999999999995</v>
      </c>
      <c r="AI85" s="206">
        <v>2.5974025974025974</v>
      </c>
    </row>
    <row r="86" spans="1:35" outlineLevel="1" x14ac:dyDescent="0.15">
      <c r="A86" s="8" t="s">
        <v>949</v>
      </c>
      <c r="B86" s="8"/>
      <c r="C86" s="8" t="s">
        <v>290</v>
      </c>
      <c r="D86" s="8" t="s">
        <v>1001</v>
      </c>
      <c r="E86" s="9">
        <v>32.79</v>
      </c>
      <c r="F86" s="8" t="s">
        <v>469</v>
      </c>
      <c r="G86" s="10">
        <v>3664</v>
      </c>
      <c r="H86" s="11">
        <f t="shared" ref="H86:H149" si="26">MAX(P86,X86)</f>
        <v>0</v>
      </c>
      <c r="I86" s="143">
        <f t="shared" ref="I86:I149" si="27">MAX(Q86,Y86)</f>
        <v>0</v>
      </c>
      <c r="J86" s="9">
        <f t="array" ref="J86">IFERROR(I86/G86*100,0)</f>
        <v>0</v>
      </c>
      <c r="K86" s="143">
        <f t="shared" ref="K86:K149" si="28">MAX(S86,AA86)</f>
        <v>0</v>
      </c>
      <c r="L86" s="9">
        <f t="shared" si="23"/>
        <v>0</v>
      </c>
      <c r="M86" s="8" t="str">
        <f t="array" ref="M86">IF(L86&gt;5,"Perlu Pengendalian",IF(AND(L86&gt;=0,I86&gt;0),"Tidak Perlu Pengendalian","Belum Sensus"))</f>
        <v>Belum Sensus</v>
      </c>
      <c r="N86" s="143">
        <f t="shared" ref="N86:N149" si="29">MAX(V86,AD86)</f>
        <v>0</v>
      </c>
      <c r="O86" s="9">
        <f t="array" ref="O86">IFERROR(N86/I86*100,0)</f>
        <v>0</v>
      </c>
      <c r="P86" s="11"/>
      <c r="Q86" s="143"/>
      <c r="R86" s="9">
        <f t="shared" si="24"/>
        <v>0</v>
      </c>
      <c r="S86" s="143"/>
      <c r="T86" s="9">
        <f t="shared" si="21"/>
        <v>0</v>
      </c>
      <c r="U86" s="8" t="str">
        <f t="array" ref="U86">IF(T86&gt;5,"Perlu Pengendalian",IF(AND(T86&gt;=0,Q86&gt;0),"Tidak Perlu Pengendalian","Belum Sensus"))</f>
        <v>Belum Sensus</v>
      </c>
      <c r="V86" s="143"/>
      <c r="W86" s="9">
        <f t="array" ref="W86">IFERROR(V86/Q86*100,0)</f>
        <v>0</v>
      </c>
      <c r="X86" s="11"/>
      <c r="Y86" s="143">
        <v>0</v>
      </c>
      <c r="Z86" s="9">
        <f t="shared" si="25"/>
        <v>0</v>
      </c>
      <c r="AA86" s="143">
        <v>0</v>
      </c>
      <c r="AB86" s="9">
        <f t="shared" si="22"/>
        <v>0</v>
      </c>
      <c r="AC86" s="8" t="str">
        <f t="array" ref="AC86">IF(AB86&gt;5,"Perlu Pengendalian",IF(AND(AB86&gt;=0,Y86&gt;0),"Tidak Perlu Pengendalian","Belum Sensus"))</f>
        <v>Belum Sensus</v>
      </c>
      <c r="AD86" s="143">
        <v>0</v>
      </c>
      <c r="AE86" s="9">
        <f t="array" ref="AE86">IFERROR(AD86/Y86*100,0)</f>
        <v>0</v>
      </c>
      <c r="AG86" s="206">
        <v>0</v>
      </c>
      <c r="AH86" s="206">
        <v>1.72</v>
      </c>
      <c r="AI86" s="206">
        <v>0</v>
      </c>
    </row>
    <row r="87" spans="1:35" outlineLevel="1" x14ac:dyDescent="0.15">
      <c r="A87" s="8" t="s">
        <v>949</v>
      </c>
      <c r="B87" s="8"/>
      <c r="C87" s="8" t="s">
        <v>290</v>
      </c>
      <c r="D87" s="8" t="s">
        <v>1773</v>
      </c>
      <c r="E87" s="9">
        <v>42.89</v>
      </c>
      <c r="F87" s="8" t="s">
        <v>469</v>
      </c>
      <c r="G87" s="10">
        <v>6694</v>
      </c>
      <c r="H87" s="11">
        <f t="shared" si="26"/>
        <v>0</v>
      </c>
      <c r="I87" s="143">
        <f t="shared" si="27"/>
        <v>0</v>
      </c>
      <c r="J87" s="9">
        <f t="array" ref="J87">IFERROR(I87/G87*100,0)</f>
        <v>0</v>
      </c>
      <c r="K87" s="143">
        <f t="shared" si="28"/>
        <v>0</v>
      </c>
      <c r="L87" s="9">
        <f t="shared" si="23"/>
        <v>0</v>
      </c>
      <c r="M87" s="8" t="str">
        <f t="array" ref="M87">IF(L87&gt;5,"Perlu Pengendalian",IF(AND(L87&gt;=0,I87&gt;0),"Tidak Perlu Pengendalian","Belum Sensus"))</f>
        <v>Belum Sensus</v>
      </c>
      <c r="N87" s="143">
        <f t="shared" si="29"/>
        <v>0</v>
      </c>
      <c r="O87" s="9">
        <f t="array" ref="O87">IFERROR(N87/I87*100,0)</f>
        <v>0</v>
      </c>
      <c r="P87" s="11"/>
      <c r="Q87" s="143"/>
      <c r="R87" s="9">
        <f t="shared" si="24"/>
        <v>0</v>
      </c>
      <c r="S87" s="143"/>
      <c r="T87" s="9">
        <f t="shared" si="21"/>
        <v>0</v>
      </c>
      <c r="U87" s="8" t="str">
        <f t="array" ref="U87">IF(T87&gt;5,"Perlu Pengendalian",IF(AND(T87&gt;=0,Q87&gt;0),"Tidak Perlu Pengendalian","Belum Sensus"))</f>
        <v>Belum Sensus</v>
      </c>
      <c r="V87" s="143"/>
      <c r="W87" s="9">
        <f t="array" ref="W87">IFERROR(V87/Q87*100,0)</f>
        <v>0</v>
      </c>
      <c r="X87" s="11"/>
      <c r="Y87" s="143">
        <v>0</v>
      </c>
      <c r="Z87" s="9">
        <f t="shared" si="25"/>
        <v>0</v>
      </c>
      <c r="AA87" s="143">
        <v>0</v>
      </c>
      <c r="AB87" s="9">
        <f t="shared" si="22"/>
        <v>0</v>
      </c>
      <c r="AC87" s="8" t="str">
        <f t="array" ref="AC87">IF(AB87&gt;5,"Perlu Pengendalian",IF(AND(AB87&gt;=0,Y87&gt;0),"Tidak Perlu Pengendalian","Belum Sensus"))</f>
        <v>Belum Sensus</v>
      </c>
      <c r="AD87" s="143">
        <v>0</v>
      </c>
      <c r="AE87" s="9">
        <f t="array" ref="AE87">IFERROR(AD87/Y87*100,0)</f>
        <v>0</v>
      </c>
      <c r="AG87" s="206">
        <v>0</v>
      </c>
      <c r="AH87" s="206">
        <v>1.77</v>
      </c>
      <c r="AI87" s="206">
        <v>5.3254437869822491</v>
      </c>
    </row>
    <row r="88" spans="1:35" outlineLevel="1" x14ac:dyDescent="0.15">
      <c r="A88" s="8" t="s">
        <v>949</v>
      </c>
      <c r="B88" s="8"/>
      <c r="C88" s="8" t="s">
        <v>290</v>
      </c>
      <c r="D88" s="8" t="s">
        <v>998</v>
      </c>
      <c r="E88" s="9">
        <v>28.299999999999997</v>
      </c>
      <c r="F88" s="8" t="s">
        <v>469</v>
      </c>
      <c r="G88" s="10">
        <v>3741.9999999999995</v>
      </c>
      <c r="H88" s="11">
        <f t="shared" si="26"/>
        <v>0</v>
      </c>
      <c r="I88" s="143">
        <f t="shared" si="27"/>
        <v>0</v>
      </c>
      <c r="J88" s="9">
        <f t="array" ref="J88">IFERROR(I88/G88*100,0)</f>
        <v>0</v>
      </c>
      <c r="K88" s="143">
        <f t="shared" si="28"/>
        <v>0</v>
      </c>
      <c r="L88" s="9">
        <f t="shared" si="23"/>
        <v>0</v>
      </c>
      <c r="M88" s="8" t="str">
        <f t="array" ref="M88">IF(L88&gt;5,"Perlu Pengendalian",IF(AND(L88&gt;=0,I88&gt;0),"Tidak Perlu Pengendalian","Belum Sensus"))</f>
        <v>Belum Sensus</v>
      </c>
      <c r="N88" s="143">
        <f t="shared" si="29"/>
        <v>0</v>
      </c>
      <c r="O88" s="9">
        <f t="array" ref="O88">IFERROR(N88/I88*100,0)</f>
        <v>0</v>
      </c>
      <c r="P88" s="11"/>
      <c r="Q88" s="143"/>
      <c r="R88" s="9">
        <f t="shared" si="24"/>
        <v>0</v>
      </c>
      <c r="S88" s="143"/>
      <c r="T88" s="9">
        <f t="shared" si="21"/>
        <v>0</v>
      </c>
      <c r="U88" s="8" t="str">
        <f t="array" ref="U88">IF(T88&gt;5,"Perlu Pengendalian",IF(AND(T88&gt;=0,Q88&gt;0),"Tidak Perlu Pengendalian","Belum Sensus"))</f>
        <v>Belum Sensus</v>
      </c>
      <c r="V88" s="143"/>
      <c r="W88" s="9">
        <f t="array" ref="W88">IFERROR(V88/Q88*100,0)</f>
        <v>0</v>
      </c>
      <c r="X88" s="11"/>
      <c r="Y88" s="143">
        <v>0</v>
      </c>
      <c r="Z88" s="9">
        <f t="shared" si="25"/>
        <v>0</v>
      </c>
      <c r="AA88" s="143">
        <v>0</v>
      </c>
      <c r="AB88" s="9">
        <f t="shared" si="22"/>
        <v>0</v>
      </c>
      <c r="AC88" s="8" t="str">
        <f t="array" ref="AC88">IF(AB88&gt;5,"Perlu Pengendalian",IF(AND(AB88&gt;=0,Y88&gt;0),"Tidak Perlu Pengendalian","Belum Sensus"))</f>
        <v>Belum Sensus</v>
      </c>
      <c r="AD88" s="143">
        <v>0</v>
      </c>
      <c r="AE88" s="9">
        <f t="array" ref="AE88">IFERROR(AD88/Y88*100,0)</f>
        <v>0</v>
      </c>
      <c r="AG88" s="206">
        <v>0</v>
      </c>
      <c r="AH88" s="206">
        <v>4.1180000000000003</v>
      </c>
      <c r="AI88" s="206">
        <v>1.9230769230769231</v>
      </c>
    </row>
    <row r="89" spans="1:35" outlineLevel="1" x14ac:dyDescent="0.15">
      <c r="A89" s="8" t="s">
        <v>949</v>
      </c>
      <c r="B89" s="8"/>
      <c r="C89" s="8" t="s">
        <v>290</v>
      </c>
      <c r="D89" s="8" t="s">
        <v>1774</v>
      </c>
      <c r="E89" s="9">
        <v>30.76</v>
      </c>
      <c r="F89" s="8" t="s">
        <v>469</v>
      </c>
      <c r="G89" s="10">
        <v>2410</v>
      </c>
      <c r="H89" s="11">
        <f t="shared" si="26"/>
        <v>0</v>
      </c>
      <c r="I89" s="143">
        <f t="shared" si="27"/>
        <v>0</v>
      </c>
      <c r="J89" s="9">
        <f t="array" ref="J89">IFERROR(I89/G89*100,0)</f>
        <v>0</v>
      </c>
      <c r="K89" s="143">
        <f t="shared" si="28"/>
        <v>0</v>
      </c>
      <c r="L89" s="9">
        <f t="shared" si="23"/>
        <v>0</v>
      </c>
      <c r="M89" s="8" t="str">
        <f t="array" ref="M89">IF(L89&gt;5,"Perlu Pengendalian",IF(AND(L89&gt;=0,I89&gt;0),"Tidak Perlu Pengendalian","Belum Sensus"))</f>
        <v>Belum Sensus</v>
      </c>
      <c r="N89" s="143">
        <f t="shared" si="29"/>
        <v>0</v>
      </c>
      <c r="O89" s="9">
        <f t="array" ref="O89">IFERROR(N89/I89*100,0)</f>
        <v>0</v>
      </c>
      <c r="P89" s="11"/>
      <c r="Q89" s="143"/>
      <c r="R89" s="9">
        <f t="shared" si="24"/>
        <v>0</v>
      </c>
      <c r="S89" s="143"/>
      <c r="T89" s="9">
        <f t="shared" si="21"/>
        <v>0</v>
      </c>
      <c r="U89" s="8" t="str">
        <f t="array" ref="U89">IF(T89&gt;5,"Perlu Pengendalian",IF(AND(T89&gt;=0,Q89&gt;0),"Tidak Perlu Pengendalian","Belum Sensus"))</f>
        <v>Belum Sensus</v>
      </c>
      <c r="V89" s="143"/>
      <c r="W89" s="9">
        <f t="array" ref="W89">IFERROR(V89/Q89*100,0)</f>
        <v>0</v>
      </c>
      <c r="X89" s="11"/>
      <c r="Y89" s="143">
        <v>0</v>
      </c>
      <c r="Z89" s="9">
        <f t="shared" si="25"/>
        <v>0</v>
      </c>
      <c r="AA89" s="143">
        <v>0</v>
      </c>
      <c r="AB89" s="9">
        <f t="shared" si="22"/>
        <v>0</v>
      </c>
      <c r="AC89" s="8" t="str">
        <f t="array" ref="AC89">IF(AB89&gt;5,"Perlu Pengendalian",IF(AND(AB89&gt;=0,Y89&gt;0),"Tidak Perlu Pengendalian","Belum Sensus"))</f>
        <v>Belum Sensus</v>
      </c>
      <c r="AD89" s="143">
        <v>0</v>
      </c>
      <c r="AE89" s="9">
        <f t="array" ref="AE89">IFERROR(AD89/Y89*100,0)</f>
        <v>0</v>
      </c>
      <c r="AG89" s="206">
        <v>0</v>
      </c>
      <c r="AH89" s="206">
        <v>2.29</v>
      </c>
      <c r="AI89" s="206">
        <v>1.9417475728155338</v>
      </c>
    </row>
    <row r="90" spans="1:35" outlineLevel="1" x14ac:dyDescent="0.15">
      <c r="A90" s="8" t="s">
        <v>949</v>
      </c>
      <c r="B90" s="8"/>
      <c r="C90" s="8" t="s">
        <v>290</v>
      </c>
      <c r="D90" s="8" t="s">
        <v>1775</v>
      </c>
      <c r="E90" s="9">
        <v>38.78</v>
      </c>
      <c r="F90" s="8" t="s">
        <v>469</v>
      </c>
      <c r="G90" s="10">
        <v>4099</v>
      </c>
      <c r="H90" s="11">
        <f t="shared" si="26"/>
        <v>0</v>
      </c>
      <c r="I90" s="143">
        <f t="shared" si="27"/>
        <v>0</v>
      </c>
      <c r="J90" s="9">
        <f t="array" ref="J90">IFERROR(I90/G90*100,0)</f>
        <v>0</v>
      </c>
      <c r="K90" s="143">
        <f t="shared" si="28"/>
        <v>0</v>
      </c>
      <c r="L90" s="9">
        <f t="shared" si="23"/>
        <v>0</v>
      </c>
      <c r="M90" s="8" t="str">
        <f t="array" ref="M90">IF(L90&gt;5,"Perlu Pengendalian",IF(AND(L90&gt;=0,I90&gt;0),"Tidak Perlu Pengendalian","Belum Sensus"))</f>
        <v>Belum Sensus</v>
      </c>
      <c r="N90" s="143">
        <f t="shared" si="29"/>
        <v>0</v>
      </c>
      <c r="O90" s="9">
        <f t="array" ref="O90">IFERROR(N90/I90*100,0)</f>
        <v>0</v>
      </c>
      <c r="P90" s="11"/>
      <c r="Q90" s="143"/>
      <c r="R90" s="9">
        <f t="shared" si="24"/>
        <v>0</v>
      </c>
      <c r="S90" s="143"/>
      <c r="T90" s="9">
        <f t="shared" si="21"/>
        <v>0</v>
      </c>
      <c r="U90" s="8" t="str">
        <f t="array" ref="U90">IF(T90&gt;5,"Perlu Pengendalian",IF(AND(T90&gt;=0,Q90&gt;0),"Tidak Perlu Pengendalian","Belum Sensus"))</f>
        <v>Belum Sensus</v>
      </c>
      <c r="V90" s="143"/>
      <c r="W90" s="9">
        <f t="array" ref="W90">IFERROR(V90/Q90*100,0)</f>
        <v>0</v>
      </c>
      <c r="X90" s="11"/>
      <c r="Y90" s="143">
        <v>0</v>
      </c>
      <c r="Z90" s="9">
        <f t="shared" si="25"/>
        <v>0</v>
      </c>
      <c r="AA90" s="143">
        <v>0</v>
      </c>
      <c r="AB90" s="9">
        <f t="shared" si="22"/>
        <v>0</v>
      </c>
      <c r="AC90" s="8" t="str">
        <f t="array" ref="AC90">IF(AB90&gt;5,"Perlu Pengendalian",IF(AND(AB90&gt;=0,Y90&gt;0),"Tidak Perlu Pengendalian","Belum Sensus"))</f>
        <v>Belum Sensus</v>
      </c>
      <c r="AD90" s="143">
        <v>0</v>
      </c>
      <c r="AE90" s="9">
        <f t="array" ref="AE90">IFERROR(AD90/Y90*100,0)</f>
        <v>0</v>
      </c>
      <c r="AG90" s="206">
        <v>0</v>
      </c>
      <c r="AH90" s="206">
        <v>1.82</v>
      </c>
      <c r="AI90" s="206">
        <v>1.9801980198019802</v>
      </c>
    </row>
    <row r="91" spans="1:35" outlineLevel="1" x14ac:dyDescent="0.15">
      <c r="A91" s="8" t="s">
        <v>949</v>
      </c>
      <c r="B91" s="8"/>
      <c r="C91" s="8" t="s">
        <v>290</v>
      </c>
      <c r="D91" s="8" t="s">
        <v>1000</v>
      </c>
      <c r="E91" s="9">
        <v>30.85</v>
      </c>
      <c r="F91" s="8" t="s">
        <v>469</v>
      </c>
      <c r="G91" s="10">
        <v>433</v>
      </c>
      <c r="H91" s="11">
        <f t="shared" si="26"/>
        <v>0</v>
      </c>
      <c r="I91" s="143">
        <f t="shared" si="27"/>
        <v>0</v>
      </c>
      <c r="J91" s="9">
        <f t="array" ref="J91">IFERROR(I91/G91*100,0)</f>
        <v>0</v>
      </c>
      <c r="K91" s="143">
        <f t="shared" si="28"/>
        <v>0</v>
      </c>
      <c r="L91" s="9">
        <f t="shared" si="23"/>
        <v>0</v>
      </c>
      <c r="M91" s="8" t="str">
        <f t="array" ref="M91">IF(L91&gt;5,"Perlu Pengendalian",IF(AND(L91&gt;=0,I91&gt;0),"Tidak Perlu Pengendalian","Belum Sensus"))</f>
        <v>Belum Sensus</v>
      </c>
      <c r="N91" s="143">
        <f t="shared" si="29"/>
        <v>0</v>
      </c>
      <c r="O91" s="9">
        <f t="array" ref="O91">IFERROR(N91/I91*100,0)</f>
        <v>0</v>
      </c>
      <c r="P91" s="11"/>
      <c r="Q91" s="143"/>
      <c r="R91" s="9">
        <f t="shared" si="24"/>
        <v>0</v>
      </c>
      <c r="S91" s="143"/>
      <c r="T91" s="9">
        <f t="shared" si="21"/>
        <v>0</v>
      </c>
      <c r="U91" s="8" t="str">
        <f t="array" ref="U91">IF(T91&gt;5,"Perlu Pengendalian",IF(AND(T91&gt;=0,Q91&gt;0),"Tidak Perlu Pengendalian","Belum Sensus"))</f>
        <v>Belum Sensus</v>
      </c>
      <c r="V91" s="143"/>
      <c r="W91" s="9">
        <f t="array" ref="W91">IFERROR(V91/Q91*100,0)</f>
        <v>0</v>
      </c>
      <c r="X91" s="11"/>
      <c r="Y91" s="143">
        <v>0</v>
      </c>
      <c r="Z91" s="9">
        <f t="shared" si="25"/>
        <v>0</v>
      </c>
      <c r="AA91" s="143">
        <v>0</v>
      </c>
      <c r="AB91" s="9">
        <f t="shared" si="22"/>
        <v>0</v>
      </c>
      <c r="AC91" s="8" t="str">
        <f t="array" ref="AC91">IF(AB91&gt;5,"Perlu Pengendalian",IF(AND(AB91&gt;=0,Y91&gt;0),"Tidak Perlu Pengendalian","Belum Sensus"))</f>
        <v>Belum Sensus</v>
      </c>
      <c r="AD91" s="143">
        <v>0</v>
      </c>
      <c r="AE91" s="9">
        <f t="array" ref="AE91">IFERROR(AD91/Y91*100,0)</f>
        <v>0</v>
      </c>
      <c r="AG91" s="206">
        <v>0</v>
      </c>
      <c r="AH91" s="206">
        <v>2.91</v>
      </c>
      <c r="AI91" s="206">
        <v>0</v>
      </c>
    </row>
    <row r="92" spans="1:35" outlineLevel="1" x14ac:dyDescent="0.15">
      <c r="A92" s="8" t="s">
        <v>949</v>
      </c>
      <c r="B92" s="8"/>
      <c r="C92" s="8" t="s">
        <v>290</v>
      </c>
      <c r="D92" s="8" t="s">
        <v>1776</v>
      </c>
      <c r="E92" s="9">
        <v>28.35</v>
      </c>
      <c r="F92" s="8" t="s">
        <v>469</v>
      </c>
      <c r="G92" s="10">
        <v>3087</v>
      </c>
      <c r="H92" s="11">
        <f t="shared" si="26"/>
        <v>0</v>
      </c>
      <c r="I92" s="143">
        <f t="shared" si="27"/>
        <v>0</v>
      </c>
      <c r="J92" s="9">
        <f t="array" ref="J92">IFERROR(I92/G92*100,0)</f>
        <v>0</v>
      </c>
      <c r="K92" s="143">
        <f t="shared" si="28"/>
        <v>0</v>
      </c>
      <c r="L92" s="9">
        <f t="shared" si="23"/>
        <v>0</v>
      </c>
      <c r="M92" s="8" t="str">
        <f t="array" ref="M92">IF(L92&gt;5,"Perlu Pengendalian",IF(AND(L92&gt;=0,I92&gt;0),"Tidak Perlu Pengendalian","Belum Sensus"))</f>
        <v>Belum Sensus</v>
      </c>
      <c r="N92" s="143">
        <f t="shared" si="29"/>
        <v>0</v>
      </c>
      <c r="O92" s="9">
        <f t="array" ref="O92">IFERROR(N92/I92*100,0)</f>
        <v>0</v>
      </c>
      <c r="P92" s="11"/>
      <c r="Q92" s="143"/>
      <c r="R92" s="9">
        <f t="shared" si="24"/>
        <v>0</v>
      </c>
      <c r="S92" s="143"/>
      <c r="T92" s="9">
        <f t="shared" si="21"/>
        <v>0</v>
      </c>
      <c r="U92" s="8" t="str">
        <f t="array" ref="U92">IF(T92&gt;5,"Perlu Pengendalian",IF(AND(T92&gt;=0,Q92&gt;0),"Tidak Perlu Pengendalian","Belum Sensus"))</f>
        <v>Belum Sensus</v>
      </c>
      <c r="V92" s="143"/>
      <c r="W92" s="9">
        <f t="array" ref="W92">IFERROR(V92/Q92*100,0)</f>
        <v>0</v>
      </c>
      <c r="X92" s="11"/>
      <c r="Y92" s="143">
        <v>0</v>
      </c>
      <c r="Z92" s="9">
        <f t="shared" si="25"/>
        <v>0</v>
      </c>
      <c r="AA92" s="143">
        <v>0</v>
      </c>
      <c r="AB92" s="9">
        <f t="shared" si="22"/>
        <v>0</v>
      </c>
      <c r="AC92" s="8" t="str">
        <f t="array" ref="AC92">IF(AB92&gt;5,"Perlu Pengendalian",IF(AND(AB92&gt;=0,Y92&gt;0),"Tidak Perlu Pengendalian","Belum Sensus"))</f>
        <v>Belum Sensus</v>
      </c>
      <c r="AD92" s="143">
        <v>0</v>
      </c>
      <c r="AE92" s="9">
        <f t="array" ref="AE92">IFERROR(AD92/Y92*100,0)</f>
        <v>0</v>
      </c>
      <c r="AG92" s="206">
        <v>0</v>
      </c>
      <c r="AH92" s="206">
        <v>4.12</v>
      </c>
      <c r="AI92" s="206">
        <v>1.9230769230769231</v>
      </c>
    </row>
    <row r="93" spans="1:35" outlineLevel="1" x14ac:dyDescent="0.15">
      <c r="A93" s="8" t="s">
        <v>949</v>
      </c>
      <c r="B93" s="8"/>
      <c r="C93" s="8" t="s">
        <v>290</v>
      </c>
      <c r="D93" s="8" t="s">
        <v>1777</v>
      </c>
      <c r="E93" s="9">
        <v>37.94</v>
      </c>
      <c r="F93" s="8" t="s">
        <v>469</v>
      </c>
      <c r="G93" s="10">
        <v>4758</v>
      </c>
      <c r="H93" s="11">
        <f t="shared" si="26"/>
        <v>0</v>
      </c>
      <c r="I93" s="143">
        <f t="shared" si="27"/>
        <v>0</v>
      </c>
      <c r="J93" s="9">
        <f t="array" ref="J93">IFERROR(I93/G93*100,0)</f>
        <v>0</v>
      </c>
      <c r="K93" s="143">
        <f t="shared" si="28"/>
        <v>0</v>
      </c>
      <c r="L93" s="9">
        <f t="shared" si="23"/>
        <v>0</v>
      </c>
      <c r="M93" s="8" t="str">
        <f t="array" ref="M93">IF(L93&gt;5,"Perlu Pengendalian",IF(AND(L93&gt;=0,I93&gt;0),"Tidak Perlu Pengendalian","Belum Sensus"))</f>
        <v>Belum Sensus</v>
      </c>
      <c r="N93" s="143">
        <f t="shared" si="29"/>
        <v>0</v>
      </c>
      <c r="O93" s="9">
        <f t="array" ref="O93">IFERROR(N93/I93*100,0)</f>
        <v>0</v>
      </c>
      <c r="P93" s="11"/>
      <c r="Q93" s="143"/>
      <c r="R93" s="9">
        <f t="shared" si="24"/>
        <v>0</v>
      </c>
      <c r="S93" s="143"/>
      <c r="T93" s="9">
        <f t="shared" si="21"/>
        <v>0</v>
      </c>
      <c r="U93" s="8" t="str">
        <f t="array" ref="U93">IF(T93&gt;5,"Perlu Pengendalian",IF(AND(T93&gt;=0,Q93&gt;0),"Tidak Perlu Pengendalian","Belum Sensus"))</f>
        <v>Belum Sensus</v>
      </c>
      <c r="V93" s="143"/>
      <c r="W93" s="9">
        <f t="array" ref="W93">IFERROR(V93/Q93*100,0)</f>
        <v>0</v>
      </c>
      <c r="X93" s="11"/>
      <c r="Y93" s="143">
        <v>0</v>
      </c>
      <c r="Z93" s="9">
        <f t="shared" si="25"/>
        <v>0</v>
      </c>
      <c r="AA93" s="143">
        <v>0</v>
      </c>
      <c r="AB93" s="9">
        <f t="shared" si="22"/>
        <v>0</v>
      </c>
      <c r="AC93" s="8" t="str">
        <f t="array" ref="AC93">IF(AB93&gt;5,"Perlu Pengendalian",IF(AND(AB93&gt;=0,Y93&gt;0),"Tidak Perlu Pengendalian","Belum Sensus"))</f>
        <v>Belum Sensus</v>
      </c>
      <c r="AD93" s="143">
        <v>0</v>
      </c>
      <c r="AE93" s="9">
        <f t="array" ref="AE93">IFERROR(AD93/Y93*100,0)</f>
        <v>0</v>
      </c>
      <c r="AG93" s="206">
        <v>0</v>
      </c>
      <c r="AH93" s="206">
        <v>3.73</v>
      </c>
      <c r="AI93" s="206">
        <v>7.6555023923444976</v>
      </c>
    </row>
    <row r="94" spans="1:35" outlineLevel="1" x14ac:dyDescent="0.15">
      <c r="A94" s="8" t="s">
        <v>949</v>
      </c>
      <c r="B94" s="8"/>
      <c r="C94" s="8" t="s">
        <v>290</v>
      </c>
      <c r="D94" s="8" t="s">
        <v>1778</v>
      </c>
      <c r="E94" s="9">
        <v>43.56</v>
      </c>
      <c r="F94" s="8" t="s">
        <v>469</v>
      </c>
      <c r="G94" s="10">
        <v>3581</v>
      </c>
      <c r="H94" s="11">
        <f t="shared" si="26"/>
        <v>0</v>
      </c>
      <c r="I94" s="143">
        <f t="shared" si="27"/>
        <v>0</v>
      </c>
      <c r="J94" s="9">
        <f t="array" ref="J94">IFERROR(I94/G94*100,0)</f>
        <v>0</v>
      </c>
      <c r="K94" s="143">
        <f t="shared" si="28"/>
        <v>0</v>
      </c>
      <c r="L94" s="9">
        <f t="shared" si="23"/>
        <v>0</v>
      </c>
      <c r="M94" s="8" t="str">
        <f t="array" ref="M94">IF(L94&gt;5,"Perlu Pengendalian",IF(AND(L94&gt;=0,I94&gt;0),"Tidak Perlu Pengendalian","Belum Sensus"))</f>
        <v>Belum Sensus</v>
      </c>
      <c r="N94" s="143">
        <f t="shared" si="29"/>
        <v>0</v>
      </c>
      <c r="O94" s="9">
        <f t="array" ref="O94">IFERROR(N94/I94*100,0)</f>
        <v>0</v>
      </c>
      <c r="P94" s="11"/>
      <c r="Q94" s="143"/>
      <c r="R94" s="9">
        <f t="shared" si="24"/>
        <v>0</v>
      </c>
      <c r="S94" s="143"/>
      <c r="T94" s="9">
        <f t="shared" si="21"/>
        <v>0</v>
      </c>
      <c r="U94" s="8" t="str">
        <f t="array" ref="U94">IF(T94&gt;5,"Perlu Pengendalian",IF(AND(T94&gt;=0,Q94&gt;0),"Tidak Perlu Pengendalian","Belum Sensus"))</f>
        <v>Belum Sensus</v>
      </c>
      <c r="V94" s="143"/>
      <c r="W94" s="9">
        <f t="array" ref="W94">IFERROR(V94/Q94*100,0)</f>
        <v>0</v>
      </c>
      <c r="X94" s="11"/>
      <c r="Y94" s="143">
        <v>0</v>
      </c>
      <c r="Z94" s="9">
        <f t="shared" si="25"/>
        <v>0</v>
      </c>
      <c r="AA94" s="143">
        <v>0</v>
      </c>
      <c r="AB94" s="9">
        <f t="shared" si="22"/>
        <v>0</v>
      </c>
      <c r="AC94" s="8" t="str">
        <f t="array" ref="AC94">IF(AB94&gt;5,"Perlu Pengendalian",IF(AND(AB94&gt;=0,Y94&gt;0),"Tidak Perlu Pengendalian","Belum Sensus"))</f>
        <v>Belum Sensus</v>
      </c>
      <c r="AD94" s="143">
        <v>0</v>
      </c>
      <c r="AE94" s="9">
        <f t="array" ref="AE94">IFERROR(AD94/Y94*100,0)</f>
        <v>0</v>
      </c>
      <c r="AG94" s="206">
        <v>0</v>
      </c>
      <c r="AH94" s="206">
        <v>2.84</v>
      </c>
      <c r="AI94" s="206">
        <v>0.98039215686274506</v>
      </c>
    </row>
    <row r="95" spans="1:35" outlineLevel="1" x14ac:dyDescent="0.15">
      <c r="A95" s="8" t="s">
        <v>949</v>
      </c>
      <c r="B95" s="8"/>
      <c r="C95" s="8" t="s">
        <v>144</v>
      </c>
      <c r="D95" s="8" t="s">
        <v>1376</v>
      </c>
      <c r="E95" s="180">
        <v>38.950000000000003</v>
      </c>
      <c r="F95" s="8" t="s">
        <v>469</v>
      </c>
      <c r="G95" s="10">
        <v>4787</v>
      </c>
      <c r="H95" s="11">
        <f t="shared" si="26"/>
        <v>0</v>
      </c>
      <c r="I95" s="143">
        <f t="shared" si="27"/>
        <v>0</v>
      </c>
      <c r="J95" s="9">
        <f t="array" ref="J95">IFERROR(I95/G95*100,0)</f>
        <v>0</v>
      </c>
      <c r="K95" s="143">
        <f t="shared" si="28"/>
        <v>0</v>
      </c>
      <c r="L95" s="9">
        <f t="shared" si="23"/>
        <v>0</v>
      </c>
      <c r="M95" s="8" t="str">
        <f t="array" ref="M95">IF(L95&gt;5,"Perlu Pengendalian",IF(AND(L95&gt;=0,I95&gt;0),"Tidak Perlu Pengendalian","Belum Sensus"))</f>
        <v>Belum Sensus</v>
      </c>
      <c r="N95" s="143">
        <f t="shared" si="29"/>
        <v>0</v>
      </c>
      <c r="O95" s="9">
        <f t="array" ref="O95">IFERROR(N95/I95*100,0)</f>
        <v>0</v>
      </c>
      <c r="P95" s="11"/>
      <c r="Q95" s="143"/>
      <c r="R95" s="9">
        <f t="shared" si="24"/>
        <v>0</v>
      </c>
      <c r="S95" s="143"/>
      <c r="T95" s="9">
        <f t="shared" si="21"/>
        <v>0</v>
      </c>
      <c r="U95" s="8" t="str">
        <f t="array" ref="U95">IF(T95&gt;5,"Perlu Pengendalian",IF(AND(T95&gt;=0,Q95&gt;0),"Tidak Perlu Pengendalian","Belum Sensus"))</f>
        <v>Belum Sensus</v>
      </c>
      <c r="V95" s="143"/>
      <c r="W95" s="9">
        <f t="array" ref="W95">IFERROR(V95/Q95*100,0)</f>
        <v>0</v>
      </c>
      <c r="X95" s="11"/>
      <c r="Y95" s="143">
        <v>0</v>
      </c>
      <c r="Z95" s="9">
        <f t="shared" si="25"/>
        <v>0</v>
      </c>
      <c r="AA95" s="143">
        <v>0</v>
      </c>
      <c r="AB95" s="9">
        <f t="shared" si="22"/>
        <v>0</v>
      </c>
      <c r="AC95" s="8" t="str">
        <f t="array" ref="AC95">IF(AB95&gt;5,"Perlu Pengendalian",IF(AND(AB95&gt;=0,Y95&gt;0),"Tidak Perlu Pengendalian","Belum Sensus"))</f>
        <v>Belum Sensus</v>
      </c>
      <c r="AD95" s="143">
        <v>0</v>
      </c>
      <c r="AE95" s="9">
        <f t="array" ref="AE95">IFERROR(AD95/Y95*100,0)</f>
        <v>0</v>
      </c>
      <c r="AG95" s="206">
        <v>1.2531328320802004</v>
      </c>
      <c r="AH95" s="206">
        <v>4.1120000000000001</v>
      </c>
      <c r="AI95" s="206">
        <v>0</v>
      </c>
    </row>
    <row r="96" spans="1:35" outlineLevel="1" x14ac:dyDescent="0.15">
      <c r="A96" s="8" t="s">
        <v>949</v>
      </c>
      <c r="B96" s="8"/>
      <c r="C96" s="8" t="s">
        <v>144</v>
      </c>
      <c r="D96" s="8" t="s">
        <v>1377</v>
      </c>
      <c r="E96" s="9">
        <v>34.42</v>
      </c>
      <c r="F96" s="8" t="s">
        <v>469</v>
      </c>
      <c r="G96" s="10">
        <v>2716</v>
      </c>
      <c r="H96" s="11">
        <f t="shared" si="26"/>
        <v>0</v>
      </c>
      <c r="I96" s="143">
        <f t="shared" si="27"/>
        <v>0</v>
      </c>
      <c r="J96" s="9">
        <f t="array" ref="J96">IFERROR(I96/G96*100,0)</f>
        <v>0</v>
      </c>
      <c r="K96" s="143">
        <f t="shared" si="28"/>
        <v>0</v>
      </c>
      <c r="L96" s="9">
        <f t="shared" si="23"/>
        <v>0</v>
      </c>
      <c r="M96" s="8" t="str">
        <f t="array" ref="M96">IF(L96&gt;5,"Perlu Pengendalian",IF(AND(L96&gt;=0,I96&gt;0),"Tidak Perlu Pengendalian","Belum Sensus"))</f>
        <v>Belum Sensus</v>
      </c>
      <c r="N96" s="143">
        <f t="shared" si="29"/>
        <v>0</v>
      </c>
      <c r="O96" s="9">
        <f t="array" ref="O96">IFERROR(N96/I96*100,0)</f>
        <v>0</v>
      </c>
      <c r="P96" s="11"/>
      <c r="Q96" s="143"/>
      <c r="R96" s="9">
        <f t="shared" si="24"/>
        <v>0</v>
      </c>
      <c r="S96" s="143"/>
      <c r="T96" s="9">
        <f t="shared" si="21"/>
        <v>0</v>
      </c>
      <c r="U96" s="8" t="str">
        <f t="array" ref="U96">IF(T96&gt;5,"Perlu Pengendalian",IF(AND(T96&gt;=0,Q96&gt;0),"Tidak Perlu Pengendalian","Belum Sensus"))</f>
        <v>Belum Sensus</v>
      </c>
      <c r="V96" s="143"/>
      <c r="W96" s="9">
        <f t="array" ref="W96">IFERROR(V96/Q96*100,0)</f>
        <v>0</v>
      </c>
      <c r="X96" s="11"/>
      <c r="Y96" s="143">
        <v>0</v>
      </c>
      <c r="Z96" s="9">
        <f t="shared" si="25"/>
        <v>0</v>
      </c>
      <c r="AA96" s="143">
        <v>0</v>
      </c>
      <c r="AB96" s="9">
        <f t="shared" si="22"/>
        <v>0</v>
      </c>
      <c r="AC96" s="8" t="str">
        <f t="array" ref="AC96">IF(AB96&gt;5,"Perlu Pengendalian",IF(AND(AB96&gt;=0,Y96&gt;0),"Tidak Perlu Pengendalian","Belum Sensus"))</f>
        <v>Belum Sensus</v>
      </c>
      <c r="AD96" s="143">
        <v>0</v>
      </c>
      <c r="AE96" s="9">
        <f t="array" ref="AE96">IFERROR(AD96/Y96*100,0)</f>
        <v>0</v>
      </c>
      <c r="AG96" s="206">
        <v>1.9047619047619049</v>
      </c>
      <c r="AH96" s="206">
        <v>3.34</v>
      </c>
      <c r="AI96" s="206">
        <v>0</v>
      </c>
    </row>
    <row r="97" spans="1:35" outlineLevel="1" x14ac:dyDescent="0.15">
      <c r="A97" s="8" t="s">
        <v>949</v>
      </c>
      <c r="B97" s="8"/>
      <c r="C97" s="8" t="s">
        <v>144</v>
      </c>
      <c r="D97" s="8" t="s">
        <v>1779</v>
      </c>
      <c r="E97" s="9">
        <v>43.21</v>
      </c>
      <c r="F97" s="8" t="s">
        <v>469</v>
      </c>
      <c r="G97" s="10">
        <v>6024.0000000000009</v>
      </c>
      <c r="H97" s="11">
        <f t="shared" si="26"/>
        <v>0</v>
      </c>
      <c r="I97" s="143">
        <f t="shared" si="27"/>
        <v>0</v>
      </c>
      <c r="J97" s="9">
        <f t="array" ref="J97">IFERROR(I97/G97*100,0)</f>
        <v>0</v>
      </c>
      <c r="K97" s="143">
        <f t="shared" si="28"/>
        <v>0</v>
      </c>
      <c r="L97" s="9">
        <f t="shared" si="23"/>
        <v>0</v>
      </c>
      <c r="M97" s="8" t="str">
        <f t="array" ref="M97">IF(L97&gt;5,"Perlu Pengendalian",IF(AND(L97&gt;=0,I97&gt;0),"Tidak Perlu Pengendalian","Belum Sensus"))</f>
        <v>Belum Sensus</v>
      </c>
      <c r="N97" s="143">
        <f t="shared" si="29"/>
        <v>0</v>
      </c>
      <c r="O97" s="9">
        <f t="array" ref="O97">IFERROR(N97/I97*100,0)</f>
        <v>0</v>
      </c>
      <c r="P97" s="11"/>
      <c r="Q97" s="143"/>
      <c r="R97" s="9">
        <f t="shared" si="24"/>
        <v>0</v>
      </c>
      <c r="S97" s="143"/>
      <c r="T97" s="9">
        <f t="shared" si="21"/>
        <v>0</v>
      </c>
      <c r="U97" s="8" t="str">
        <f t="array" ref="U97">IF(T97&gt;5,"Perlu Pengendalian",IF(AND(T97&gt;=0,Q97&gt;0),"Tidak Perlu Pengendalian","Belum Sensus"))</f>
        <v>Belum Sensus</v>
      </c>
      <c r="V97" s="143"/>
      <c r="W97" s="9">
        <f t="array" ref="W97">IFERROR(V97/Q97*100,0)</f>
        <v>0</v>
      </c>
      <c r="X97" s="11"/>
      <c r="Y97" s="143">
        <v>0</v>
      </c>
      <c r="Z97" s="9">
        <f t="shared" si="25"/>
        <v>0</v>
      </c>
      <c r="AA97" s="143">
        <v>0</v>
      </c>
      <c r="AB97" s="9">
        <f t="shared" si="22"/>
        <v>0</v>
      </c>
      <c r="AC97" s="8" t="str">
        <f t="array" ref="AC97">IF(AB97&gt;5,"Perlu Pengendalian",IF(AND(AB97&gt;=0,Y97&gt;0),"Tidak Perlu Pengendalian","Belum Sensus"))</f>
        <v>Belum Sensus</v>
      </c>
      <c r="AD97" s="143">
        <v>0</v>
      </c>
      <c r="AE97" s="9">
        <f t="array" ref="AE97">IFERROR(AD97/Y97*100,0)</f>
        <v>0</v>
      </c>
      <c r="AG97" s="206">
        <v>0.74074074074074081</v>
      </c>
      <c r="AH97" s="206">
        <v>2.21</v>
      </c>
      <c r="AI97" s="206">
        <v>0</v>
      </c>
    </row>
    <row r="98" spans="1:35" outlineLevel="1" x14ac:dyDescent="0.15">
      <c r="A98" s="8" t="s">
        <v>949</v>
      </c>
      <c r="B98" s="8"/>
      <c r="C98" s="8" t="s">
        <v>144</v>
      </c>
      <c r="D98" s="8" t="s">
        <v>1384</v>
      </c>
      <c r="E98" s="9">
        <v>29.75</v>
      </c>
      <c r="F98" s="8" t="s">
        <v>469</v>
      </c>
      <c r="G98" s="10">
        <v>3985</v>
      </c>
      <c r="H98" s="11">
        <f t="shared" si="26"/>
        <v>0</v>
      </c>
      <c r="I98" s="143">
        <f t="shared" si="27"/>
        <v>0</v>
      </c>
      <c r="J98" s="9">
        <f t="array" ref="J98">IFERROR(I98/G98*100,0)</f>
        <v>0</v>
      </c>
      <c r="K98" s="143">
        <f t="shared" si="28"/>
        <v>0</v>
      </c>
      <c r="L98" s="9">
        <f t="shared" si="23"/>
        <v>0</v>
      </c>
      <c r="M98" s="8" t="str">
        <f t="array" ref="M98">IF(L98&gt;5,"Perlu Pengendalian",IF(AND(L98&gt;=0,I98&gt;0),"Tidak Perlu Pengendalian","Belum Sensus"))</f>
        <v>Belum Sensus</v>
      </c>
      <c r="N98" s="143">
        <f t="shared" si="29"/>
        <v>0</v>
      </c>
      <c r="O98" s="9">
        <f t="array" ref="O98">IFERROR(N98/I98*100,0)</f>
        <v>0</v>
      </c>
      <c r="P98" s="11"/>
      <c r="Q98" s="143"/>
      <c r="R98" s="9">
        <f t="shared" si="24"/>
        <v>0</v>
      </c>
      <c r="S98" s="143"/>
      <c r="T98" s="9">
        <f t="shared" si="21"/>
        <v>0</v>
      </c>
      <c r="U98" s="8" t="str">
        <f t="array" ref="U98">IF(T98&gt;5,"Perlu Pengendalian",IF(AND(T98&gt;=0,Q98&gt;0),"Tidak Perlu Pengendalian","Belum Sensus"))</f>
        <v>Belum Sensus</v>
      </c>
      <c r="V98" s="143"/>
      <c r="W98" s="9">
        <f t="array" ref="W98">IFERROR(V98/Q98*100,0)</f>
        <v>0</v>
      </c>
      <c r="X98" s="11"/>
      <c r="Y98" s="143">
        <v>0</v>
      </c>
      <c r="Z98" s="9">
        <f t="shared" si="25"/>
        <v>0</v>
      </c>
      <c r="AA98" s="143">
        <v>0</v>
      </c>
      <c r="AB98" s="9">
        <f t="shared" si="22"/>
        <v>0</v>
      </c>
      <c r="AC98" s="8" t="str">
        <f t="array" ref="AC98">IF(AB98&gt;5,"Perlu Pengendalian",IF(AND(AB98&gt;=0,Y98&gt;0),"Tidak Perlu Pengendalian","Belum Sensus"))</f>
        <v>Belum Sensus</v>
      </c>
      <c r="AD98" s="143">
        <v>0</v>
      </c>
      <c r="AE98" s="9">
        <f t="array" ref="AE98">IFERROR(AD98/Y98*100,0)</f>
        <v>0</v>
      </c>
      <c r="AG98" s="206">
        <v>3.8461538461538463</v>
      </c>
      <c r="AH98" s="206">
        <v>1.1599999999999999</v>
      </c>
      <c r="AI98" s="206">
        <v>0</v>
      </c>
    </row>
    <row r="99" spans="1:35" outlineLevel="1" x14ac:dyDescent="0.15">
      <c r="A99" s="8" t="s">
        <v>949</v>
      </c>
      <c r="B99" s="8"/>
      <c r="C99" s="8" t="s">
        <v>144</v>
      </c>
      <c r="D99" s="8" t="s">
        <v>1424</v>
      </c>
      <c r="E99" s="9">
        <v>25.54</v>
      </c>
      <c r="F99" s="8" t="s">
        <v>469</v>
      </c>
      <c r="G99" s="10">
        <v>3022</v>
      </c>
      <c r="H99" s="11">
        <f t="shared" si="26"/>
        <v>0</v>
      </c>
      <c r="I99" s="143">
        <f t="shared" si="27"/>
        <v>0</v>
      </c>
      <c r="J99" s="9">
        <f t="array" ref="J99">IFERROR(I99/G99*100,0)</f>
        <v>0</v>
      </c>
      <c r="K99" s="143">
        <f t="shared" si="28"/>
        <v>0</v>
      </c>
      <c r="L99" s="9">
        <f t="shared" si="23"/>
        <v>0</v>
      </c>
      <c r="M99" s="8" t="str">
        <f t="array" ref="M99">IF(L99&gt;5,"Perlu Pengendalian",IF(AND(L99&gt;=0,I99&gt;0),"Tidak Perlu Pengendalian","Belum Sensus"))</f>
        <v>Belum Sensus</v>
      </c>
      <c r="N99" s="143">
        <f t="shared" si="29"/>
        <v>0</v>
      </c>
      <c r="O99" s="9">
        <f t="array" ref="O99">IFERROR(N99/I99*100,0)</f>
        <v>0</v>
      </c>
      <c r="P99" s="11"/>
      <c r="Q99" s="143"/>
      <c r="R99" s="9">
        <f t="shared" si="24"/>
        <v>0</v>
      </c>
      <c r="S99" s="143"/>
      <c r="T99" s="9">
        <f t="shared" si="21"/>
        <v>0</v>
      </c>
      <c r="U99" s="8" t="str">
        <f t="array" ref="U99">IF(T99&gt;5,"Perlu Pengendalian",IF(AND(T99&gt;=0,Q99&gt;0),"Tidak Perlu Pengendalian","Belum Sensus"))</f>
        <v>Belum Sensus</v>
      </c>
      <c r="V99" s="143"/>
      <c r="W99" s="9">
        <f t="array" ref="W99">IFERROR(V99/Q99*100,0)</f>
        <v>0</v>
      </c>
      <c r="X99" s="11"/>
      <c r="Y99" s="143">
        <v>0</v>
      </c>
      <c r="Z99" s="9">
        <f t="shared" si="25"/>
        <v>0</v>
      </c>
      <c r="AA99" s="143">
        <v>0</v>
      </c>
      <c r="AB99" s="9">
        <f t="shared" si="22"/>
        <v>0</v>
      </c>
      <c r="AC99" s="8" t="str">
        <f t="array" ref="AC99">IF(AB99&gt;5,"Perlu Pengendalian",IF(AND(AB99&gt;=0,Y99&gt;0),"Tidak Perlu Pengendalian","Belum Sensus"))</f>
        <v>Belum Sensus</v>
      </c>
      <c r="AD99" s="143">
        <v>0</v>
      </c>
      <c r="AE99" s="9">
        <f t="array" ref="AE99">IFERROR(AD99/Y99*100,0)</f>
        <v>0</v>
      </c>
      <c r="AG99" s="206">
        <v>0</v>
      </c>
      <c r="AH99" s="206">
        <v>3.36</v>
      </c>
      <c r="AI99" s="206">
        <v>0</v>
      </c>
    </row>
    <row r="100" spans="1:35" outlineLevel="1" x14ac:dyDescent="0.15">
      <c r="A100" s="8" t="s">
        <v>949</v>
      </c>
      <c r="B100" s="8"/>
      <c r="C100" s="8" t="s">
        <v>144</v>
      </c>
      <c r="D100" s="8" t="s">
        <v>1425</v>
      </c>
      <c r="E100" s="9">
        <v>32.1</v>
      </c>
      <c r="F100" s="8" t="s">
        <v>469</v>
      </c>
      <c r="G100" s="10">
        <v>4364</v>
      </c>
      <c r="H100" s="11">
        <f t="shared" si="26"/>
        <v>0</v>
      </c>
      <c r="I100" s="143">
        <f t="shared" si="27"/>
        <v>0</v>
      </c>
      <c r="J100" s="9">
        <f t="array" ref="J100">IFERROR(I100/G100*100,0)</f>
        <v>0</v>
      </c>
      <c r="K100" s="143">
        <f t="shared" si="28"/>
        <v>0</v>
      </c>
      <c r="L100" s="9">
        <f t="shared" si="23"/>
        <v>0</v>
      </c>
      <c r="M100" s="8" t="str">
        <f t="array" ref="M100">IF(L100&gt;5,"Perlu Pengendalian",IF(AND(L100&gt;=0,I100&gt;0),"Tidak Perlu Pengendalian","Belum Sensus"))</f>
        <v>Belum Sensus</v>
      </c>
      <c r="N100" s="143">
        <f t="shared" si="29"/>
        <v>0</v>
      </c>
      <c r="O100" s="9">
        <f t="array" ref="O100">IFERROR(N100/I100*100,0)</f>
        <v>0</v>
      </c>
      <c r="P100" s="11"/>
      <c r="Q100" s="143"/>
      <c r="R100" s="9">
        <f t="shared" si="24"/>
        <v>0</v>
      </c>
      <c r="S100" s="143"/>
      <c r="T100" s="9">
        <f t="shared" si="21"/>
        <v>0</v>
      </c>
      <c r="U100" s="8" t="str">
        <f t="array" ref="U100">IF(T100&gt;5,"Perlu Pengendalian",IF(AND(T100&gt;=0,Q100&gt;0),"Tidak Perlu Pengendalian","Belum Sensus"))</f>
        <v>Belum Sensus</v>
      </c>
      <c r="V100" s="143"/>
      <c r="W100" s="9">
        <f t="array" ref="W100">IFERROR(V100/Q100*100,0)</f>
        <v>0</v>
      </c>
      <c r="X100" s="11"/>
      <c r="Y100" s="143">
        <v>0</v>
      </c>
      <c r="Z100" s="9">
        <f t="shared" si="25"/>
        <v>0</v>
      </c>
      <c r="AA100" s="143">
        <v>0</v>
      </c>
      <c r="AB100" s="9">
        <f t="shared" si="22"/>
        <v>0</v>
      </c>
      <c r="AC100" s="8" t="str">
        <f t="array" ref="AC100">IF(AB100&gt;5,"Perlu Pengendalian",IF(AND(AB100&gt;=0,Y100&gt;0),"Tidak Perlu Pengendalian","Belum Sensus"))</f>
        <v>Belum Sensus</v>
      </c>
      <c r="AD100" s="143">
        <v>0</v>
      </c>
      <c r="AE100" s="9">
        <f t="array" ref="AE100">IFERROR(AD100/Y100*100,0)</f>
        <v>0</v>
      </c>
      <c r="AG100" s="206">
        <v>0</v>
      </c>
      <c r="AH100" s="206">
        <v>4.18</v>
      </c>
      <c r="AI100" s="206">
        <v>0</v>
      </c>
    </row>
    <row r="101" spans="1:35" outlineLevel="1" x14ac:dyDescent="0.15">
      <c r="A101" s="8" t="s">
        <v>949</v>
      </c>
      <c r="B101" s="8"/>
      <c r="C101" s="8" t="s">
        <v>144</v>
      </c>
      <c r="D101" s="8" t="s">
        <v>1780</v>
      </c>
      <c r="E101" s="9">
        <v>24.2</v>
      </c>
      <c r="F101" s="8" t="s">
        <v>469</v>
      </c>
      <c r="G101" s="10">
        <v>3257</v>
      </c>
      <c r="H101" s="11">
        <f t="shared" si="26"/>
        <v>0</v>
      </c>
      <c r="I101" s="143">
        <f t="shared" si="27"/>
        <v>0</v>
      </c>
      <c r="J101" s="9">
        <f t="array" ref="J101">IFERROR(I101/G101*100,0)</f>
        <v>0</v>
      </c>
      <c r="K101" s="143">
        <f t="shared" si="28"/>
        <v>0</v>
      </c>
      <c r="L101" s="9">
        <f t="shared" si="23"/>
        <v>0</v>
      </c>
      <c r="M101" s="8" t="str">
        <f t="array" ref="M101">IF(L101&gt;5,"Perlu Pengendalian",IF(AND(L101&gt;=0,I101&gt;0),"Tidak Perlu Pengendalian","Belum Sensus"))</f>
        <v>Belum Sensus</v>
      </c>
      <c r="N101" s="143">
        <f t="shared" si="29"/>
        <v>0</v>
      </c>
      <c r="O101" s="9">
        <f t="array" ref="O101">IFERROR(N101/I101*100,0)</f>
        <v>0</v>
      </c>
      <c r="P101" s="11"/>
      <c r="Q101" s="143"/>
      <c r="R101" s="9">
        <f t="shared" si="24"/>
        <v>0</v>
      </c>
      <c r="S101" s="143"/>
      <c r="T101" s="9">
        <f t="shared" si="21"/>
        <v>0</v>
      </c>
      <c r="U101" s="8" t="str">
        <f t="array" ref="U101">IF(T101&gt;5,"Perlu Pengendalian",IF(AND(T101&gt;=0,Q101&gt;0),"Tidak Perlu Pengendalian","Belum Sensus"))</f>
        <v>Belum Sensus</v>
      </c>
      <c r="V101" s="143"/>
      <c r="W101" s="9">
        <f t="array" ref="W101">IFERROR(V101/Q101*100,0)</f>
        <v>0</v>
      </c>
      <c r="X101" s="11"/>
      <c r="Y101" s="143">
        <v>0</v>
      </c>
      <c r="Z101" s="9">
        <f t="shared" si="25"/>
        <v>0</v>
      </c>
      <c r="AA101" s="143">
        <v>0</v>
      </c>
      <c r="AB101" s="9">
        <f t="shared" si="22"/>
        <v>0</v>
      </c>
      <c r="AC101" s="8" t="str">
        <f t="array" ref="AC101">IF(AB101&gt;5,"Perlu Pengendalian",IF(AND(AB101&gt;=0,Y101&gt;0),"Tidak Perlu Pengendalian","Belum Sensus"))</f>
        <v>Belum Sensus</v>
      </c>
      <c r="AD101" s="143">
        <v>0</v>
      </c>
      <c r="AE101" s="9">
        <f t="array" ref="AE101">IFERROR(AD101/Y101*100,0)</f>
        <v>0</v>
      </c>
      <c r="AG101" s="206">
        <v>1.6877637130801686</v>
      </c>
      <c r="AH101" s="206">
        <v>2.25</v>
      </c>
      <c r="AI101" s="206">
        <v>0</v>
      </c>
    </row>
    <row r="102" spans="1:35" outlineLevel="1" x14ac:dyDescent="0.15">
      <c r="A102" s="8" t="s">
        <v>949</v>
      </c>
      <c r="B102" s="8"/>
      <c r="C102" s="8" t="s">
        <v>144</v>
      </c>
      <c r="D102" s="8" t="s">
        <v>1145</v>
      </c>
      <c r="E102" s="179">
        <v>29.07</v>
      </c>
      <c r="F102" s="8" t="s">
        <v>469</v>
      </c>
      <c r="G102" s="10">
        <v>3811</v>
      </c>
      <c r="H102" s="11">
        <f t="shared" si="26"/>
        <v>0</v>
      </c>
      <c r="I102" s="143">
        <f t="shared" si="27"/>
        <v>0</v>
      </c>
      <c r="J102" s="9">
        <f t="array" ref="J102">IFERROR(I102/G102*100,0)</f>
        <v>0</v>
      </c>
      <c r="K102" s="143">
        <f t="shared" si="28"/>
        <v>0</v>
      </c>
      <c r="L102" s="9">
        <f t="shared" si="23"/>
        <v>0</v>
      </c>
      <c r="M102" s="8" t="str">
        <f t="array" ref="M102">IF(L102&gt;5,"Perlu Pengendalian",IF(AND(L102&gt;=0,I102&gt;0),"Tidak Perlu Pengendalian","Belum Sensus"))</f>
        <v>Belum Sensus</v>
      </c>
      <c r="N102" s="143">
        <f t="shared" si="29"/>
        <v>0</v>
      </c>
      <c r="O102" s="9">
        <f t="array" ref="O102">IFERROR(N102/I102*100,0)</f>
        <v>0</v>
      </c>
      <c r="P102" s="11"/>
      <c r="Q102" s="143"/>
      <c r="R102" s="9">
        <f t="shared" si="24"/>
        <v>0</v>
      </c>
      <c r="S102" s="143"/>
      <c r="T102" s="9">
        <f t="shared" si="21"/>
        <v>0</v>
      </c>
      <c r="U102" s="8" t="str">
        <f t="array" ref="U102">IF(T102&gt;5,"Perlu Pengendalian",IF(AND(T102&gt;=0,Q102&gt;0),"Tidak Perlu Pengendalian","Belum Sensus"))</f>
        <v>Belum Sensus</v>
      </c>
      <c r="V102" s="143"/>
      <c r="W102" s="9">
        <f t="array" ref="W102">IFERROR(V102/Q102*100,0)</f>
        <v>0</v>
      </c>
      <c r="X102" s="11"/>
      <c r="Y102" s="143">
        <v>0</v>
      </c>
      <c r="Z102" s="9">
        <f t="shared" si="25"/>
        <v>0</v>
      </c>
      <c r="AA102" s="143">
        <v>0</v>
      </c>
      <c r="AB102" s="9">
        <f t="shared" si="22"/>
        <v>0</v>
      </c>
      <c r="AC102" s="8" t="str">
        <f t="array" ref="AC102">IF(AB102&gt;5,"Perlu Pengendalian",IF(AND(AB102&gt;=0,Y102&gt;0),"Tidak Perlu Pengendalian","Belum Sensus"))</f>
        <v>Belum Sensus</v>
      </c>
      <c r="AD102" s="143">
        <v>0</v>
      </c>
      <c r="AE102" s="9">
        <f t="array" ref="AE102">IFERROR(AD102/Y102*100,0)</f>
        <v>0</v>
      </c>
      <c r="AG102" s="206">
        <v>1.5151515151515151</v>
      </c>
      <c r="AH102" s="206">
        <v>2.81</v>
      </c>
      <c r="AI102" s="206">
        <v>0</v>
      </c>
    </row>
    <row r="103" spans="1:35" outlineLevel="1" x14ac:dyDescent="0.15">
      <c r="A103" s="8" t="s">
        <v>949</v>
      </c>
      <c r="B103" s="8"/>
      <c r="C103" s="8" t="s">
        <v>144</v>
      </c>
      <c r="D103" s="8" t="s">
        <v>1172</v>
      </c>
      <c r="E103" s="9">
        <v>23.05</v>
      </c>
      <c r="F103" s="8" t="s">
        <v>469</v>
      </c>
      <c r="G103" s="10">
        <v>2566</v>
      </c>
      <c r="H103" s="11">
        <f t="shared" si="26"/>
        <v>0</v>
      </c>
      <c r="I103" s="143">
        <f t="shared" si="27"/>
        <v>0</v>
      </c>
      <c r="J103" s="9">
        <f t="array" ref="J103">IFERROR(I103/G103*100,0)</f>
        <v>0</v>
      </c>
      <c r="K103" s="143">
        <f t="shared" si="28"/>
        <v>0</v>
      </c>
      <c r="L103" s="9">
        <f t="shared" si="23"/>
        <v>0</v>
      </c>
      <c r="M103" s="8" t="str">
        <f t="array" ref="M103">IF(L103&gt;5,"Perlu Pengendalian",IF(AND(L103&gt;=0,I103&gt;0),"Tidak Perlu Pengendalian","Belum Sensus"))</f>
        <v>Belum Sensus</v>
      </c>
      <c r="N103" s="143">
        <f t="shared" si="29"/>
        <v>0</v>
      </c>
      <c r="O103" s="9">
        <f t="array" ref="O103">IFERROR(N103/I103*100,0)</f>
        <v>0</v>
      </c>
      <c r="P103" s="11"/>
      <c r="Q103" s="143"/>
      <c r="R103" s="9">
        <f t="shared" si="24"/>
        <v>0</v>
      </c>
      <c r="S103" s="143"/>
      <c r="T103" s="9">
        <f t="shared" si="21"/>
        <v>0</v>
      </c>
      <c r="U103" s="8" t="str">
        <f t="array" ref="U103">IF(T103&gt;5,"Perlu Pengendalian",IF(AND(T103&gt;=0,Q103&gt;0),"Tidak Perlu Pengendalian","Belum Sensus"))</f>
        <v>Belum Sensus</v>
      </c>
      <c r="V103" s="143"/>
      <c r="W103" s="9">
        <f t="array" ref="W103">IFERROR(V103/Q103*100,0)</f>
        <v>0</v>
      </c>
      <c r="X103" s="11"/>
      <c r="Y103" s="143">
        <v>0</v>
      </c>
      <c r="Z103" s="9">
        <f t="shared" si="25"/>
        <v>0</v>
      </c>
      <c r="AA103" s="143">
        <v>0</v>
      </c>
      <c r="AB103" s="9">
        <f t="shared" si="22"/>
        <v>0</v>
      </c>
      <c r="AC103" s="8" t="str">
        <f t="array" ref="AC103">IF(AB103&gt;5,"Perlu Pengendalian",IF(AND(AB103&gt;=0,Y103&gt;0),"Tidak Perlu Pengendalian","Belum Sensus"))</f>
        <v>Belum Sensus</v>
      </c>
      <c r="AD103" s="143">
        <v>0</v>
      </c>
      <c r="AE103" s="9">
        <f t="array" ref="AE103">IFERROR(AD103/Y103*100,0)</f>
        <v>0</v>
      </c>
      <c r="AG103" s="206">
        <v>1.4925373134328357</v>
      </c>
      <c r="AH103" s="206">
        <v>3.11</v>
      </c>
      <c r="AI103" s="206">
        <v>0</v>
      </c>
    </row>
    <row r="104" spans="1:35" outlineLevel="1" x14ac:dyDescent="0.15">
      <c r="A104" s="8" t="s">
        <v>949</v>
      </c>
      <c r="B104" s="8"/>
      <c r="C104" s="8" t="s">
        <v>144</v>
      </c>
      <c r="D104" s="8" t="s">
        <v>1434</v>
      </c>
      <c r="E104" s="9">
        <v>51.52000000000001</v>
      </c>
      <c r="F104" s="8" t="s">
        <v>469</v>
      </c>
      <c r="G104" s="10">
        <v>5703</v>
      </c>
      <c r="H104" s="11">
        <f t="shared" si="26"/>
        <v>0</v>
      </c>
      <c r="I104" s="143">
        <f t="shared" si="27"/>
        <v>0</v>
      </c>
      <c r="J104" s="9">
        <f t="array" ref="J104">IFERROR(I104/G104*100,0)</f>
        <v>0</v>
      </c>
      <c r="K104" s="143">
        <f t="shared" si="28"/>
        <v>0</v>
      </c>
      <c r="L104" s="9">
        <f t="shared" si="23"/>
        <v>0</v>
      </c>
      <c r="M104" s="8" t="str">
        <f t="array" ref="M104">IF(L104&gt;5,"Perlu Pengendalian",IF(AND(L104&gt;=0,I104&gt;0),"Tidak Perlu Pengendalian","Belum Sensus"))</f>
        <v>Belum Sensus</v>
      </c>
      <c r="N104" s="143">
        <f t="shared" si="29"/>
        <v>0</v>
      </c>
      <c r="O104" s="9">
        <f t="array" ref="O104">IFERROR(N104/I104*100,0)</f>
        <v>0</v>
      </c>
      <c r="P104" s="11"/>
      <c r="Q104" s="143"/>
      <c r="R104" s="9">
        <f t="shared" si="24"/>
        <v>0</v>
      </c>
      <c r="S104" s="143"/>
      <c r="T104" s="9">
        <f t="shared" si="21"/>
        <v>0</v>
      </c>
      <c r="U104" s="8" t="str">
        <f t="array" ref="U104">IF(T104&gt;5,"Perlu Pengendalian",IF(AND(T104&gt;=0,Q104&gt;0),"Tidak Perlu Pengendalian","Belum Sensus"))</f>
        <v>Belum Sensus</v>
      </c>
      <c r="V104" s="143"/>
      <c r="W104" s="9">
        <f t="array" ref="W104">IFERROR(V104/Q104*100,0)</f>
        <v>0</v>
      </c>
      <c r="X104" s="11"/>
      <c r="Y104" s="143">
        <v>0</v>
      </c>
      <c r="Z104" s="9">
        <f t="shared" si="25"/>
        <v>0</v>
      </c>
      <c r="AA104" s="143">
        <v>0</v>
      </c>
      <c r="AB104" s="9">
        <f t="shared" si="22"/>
        <v>0</v>
      </c>
      <c r="AC104" s="8" t="str">
        <f t="array" ref="AC104">IF(AB104&gt;5,"Perlu Pengendalian",IF(AND(AB104&gt;=0,Y104&gt;0),"Tidak Perlu Pengendalian","Belum Sensus"))</f>
        <v>Belum Sensus</v>
      </c>
      <c r="AD104" s="143">
        <v>0</v>
      </c>
      <c r="AE104" s="9">
        <f t="array" ref="AE104">IFERROR(AD104/Y104*100,0)</f>
        <v>0</v>
      </c>
      <c r="AG104" s="206">
        <v>0</v>
      </c>
      <c r="AH104" s="206">
        <v>2.94</v>
      </c>
      <c r="AI104" s="206">
        <v>0</v>
      </c>
    </row>
    <row r="105" spans="1:35" outlineLevel="1" x14ac:dyDescent="0.15">
      <c r="A105" s="8" t="s">
        <v>949</v>
      </c>
      <c r="B105" s="8"/>
      <c r="C105" s="8" t="s">
        <v>144</v>
      </c>
      <c r="D105" s="8" t="s">
        <v>1435</v>
      </c>
      <c r="E105" s="9">
        <v>25.35</v>
      </c>
      <c r="F105" s="8" t="s">
        <v>469</v>
      </c>
      <c r="G105" s="10">
        <v>3472.0000000000005</v>
      </c>
      <c r="H105" s="11">
        <f t="shared" si="26"/>
        <v>46164</v>
      </c>
      <c r="I105" s="143">
        <f t="shared" si="27"/>
        <v>180</v>
      </c>
      <c r="J105" s="9">
        <f t="array" ref="J105">IFERROR(I105/G105*100,0)</f>
        <v>5.1843317972350222</v>
      </c>
      <c r="K105" s="143">
        <f t="shared" si="28"/>
        <v>8</v>
      </c>
      <c r="L105" s="9">
        <f t="shared" si="23"/>
        <v>4.4444444444444446</v>
      </c>
      <c r="M105" s="8" t="str">
        <f t="array" ref="M105">IF(L105&gt;5,"Perlu Pengendalian",IF(AND(L105&gt;=0,I105&gt;0),"Tidak Perlu Pengendalian","Belum Sensus"))</f>
        <v>Tidak Perlu Pengendalian</v>
      </c>
      <c r="N105" s="143">
        <f t="shared" si="29"/>
        <v>3</v>
      </c>
      <c r="O105" s="9">
        <f t="array" ref="O105">IFERROR(N105/I105*100,0)</f>
        <v>1.6666666666666667</v>
      </c>
      <c r="P105" s="11">
        <v>46164</v>
      </c>
      <c r="Q105" s="143">
        <v>180</v>
      </c>
      <c r="R105" s="9">
        <f t="shared" si="24"/>
        <v>5.1843317972350222</v>
      </c>
      <c r="S105" s="143">
        <v>8</v>
      </c>
      <c r="T105" s="9">
        <f t="shared" si="21"/>
        <v>4.4444444444444446</v>
      </c>
      <c r="U105" s="8" t="str">
        <f t="array" ref="U105">IF(T105&gt;5,"Perlu Pengendalian",IF(AND(T105&gt;=0,Q105&gt;0),"Tidak Perlu Pengendalian","Belum Sensus"))</f>
        <v>Tidak Perlu Pengendalian</v>
      </c>
      <c r="V105" s="143">
        <v>3</v>
      </c>
      <c r="W105" s="9">
        <f t="array" ref="W105">IFERROR(V105/Q105*100,0)</f>
        <v>1.6666666666666667</v>
      </c>
      <c r="X105" s="11"/>
      <c r="Y105" s="143">
        <v>0</v>
      </c>
      <c r="Z105" s="9">
        <f t="shared" si="25"/>
        <v>0</v>
      </c>
      <c r="AA105" s="143">
        <v>0</v>
      </c>
      <c r="AB105" s="9">
        <f t="shared" si="22"/>
        <v>0</v>
      </c>
      <c r="AC105" s="8" t="str">
        <f t="array" ref="AC105">IF(AB105&gt;5,"Perlu Pengendalian",IF(AND(AB105&gt;=0,Y105&gt;0),"Tidak Perlu Pengendalian","Belum Sensus"))</f>
        <v>Belum Sensus</v>
      </c>
      <c r="AD105" s="143">
        <v>0</v>
      </c>
      <c r="AE105" s="9">
        <f t="array" ref="AE105">IFERROR(AD105/Y105*100,0)</f>
        <v>0</v>
      </c>
      <c r="AG105" s="206">
        <v>0</v>
      </c>
      <c r="AH105" s="206">
        <v>1.72</v>
      </c>
      <c r="AI105" s="206">
        <v>0</v>
      </c>
    </row>
    <row r="106" spans="1:35" outlineLevel="1" x14ac:dyDescent="0.15">
      <c r="A106" s="8" t="s">
        <v>949</v>
      </c>
      <c r="B106" s="8"/>
      <c r="C106" s="8" t="s">
        <v>144</v>
      </c>
      <c r="D106" s="8" t="s">
        <v>1436</v>
      </c>
      <c r="E106" s="179">
        <v>44.620000000000005</v>
      </c>
      <c r="F106" s="8" t="s">
        <v>469</v>
      </c>
      <c r="G106" s="10">
        <v>5923</v>
      </c>
      <c r="H106" s="11">
        <f t="shared" si="26"/>
        <v>0</v>
      </c>
      <c r="I106" s="143">
        <f t="shared" si="27"/>
        <v>0</v>
      </c>
      <c r="J106" s="9">
        <f t="array" ref="J106">IFERROR(I106/G106*100,0)</f>
        <v>0</v>
      </c>
      <c r="K106" s="143">
        <f t="shared" si="28"/>
        <v>0</v>
      </c>
      <c r="L106" s="9">
        <f t="shared" si="23"/>
        <v>0</v>
      </c>
      <c r="M106" s="8" t="str">
        <f t="array" ref="M106">IF(L106&gt;5,"Perlu Pengendalian",IF(AND(L106&gt;=0,I106&gt;0),"Tidak Perlu Pengendalian","Belum Sensus"))</f>
        <v>Belum Sensus</v>
      </c>
      <c r="N106" s="143">
        <f t="shared" si="29"/>
        <v>0</v>
      </c>
      <c r="O106" s="9">
        <f t="array" ref="O106">IFERROR(N106/I106*100,0)</f>
        <v>0</v>
      </c>
      <c r="P106" s="11"/>
      <c r="Q106" s="143"/>
      <c r="R106" s="9">
        <f t="shared" si="24"/>
        <v>0</v>
      </c>
      <c r="S106" s="143"/>
      <c r="T106" s="9">
        <f t="shared" si="21"/>
        <v>0</v>
      </c>
      <c r="U106" s="8" t="str">
        <f t="array" ref="U106">IF(T106&gt;5,"Perlu Pengendalian",IF(AND(T106&gt;=0,Q106&gt;0),"Tidak Perlu Pengendalian","Belum Sensus"))</f>
        <v>Belum Sensus</v>
      </c>
      <c r="V106" s="143"/>
      <c r="W106" s="9">
        <f t="array" ref="W106">IFERROR(V106/Q106*100,0)</f>
        <v>0</v>
      </c>
      <c r="X106" s="11"/>
      <c r="Y106" s="143">
        <v>0</v>
      </c>
      <c r="Z106" s="9">
        <f t="shared" si="25"/>
        <v>0</v>
      </c>
      <c r="AA106" s="143">
        <v>0</v>
      </c>
      <c r="AB106" s="9">
        <f t="shared" si="22"/>
        <v>0</v>
      </c>
      <c r="AC106" s="8" t="str">
        <f t="array" ref="AC106">IF(AB106&gt;5,"Perlu Pengendalian",IF(AND(AB106&gt;=0,Y106&gt;0),"Tidak Perlu Pengendalian","Belum Sensus"))</f>
        <v>Belum Sensus</v>
      </c>
      <c r="AD106" s="143">
        <v>0</v>
      </c>
      <c r="AE106" s="9">
        <f t="array" ref="AE106">IFERROR(AD106/Y106*100,0)</f>
        <v>0</v>
      </c>
      <c r="AG106" s="206">
        <v>1.3392857142857142</v>
      </c>
      <c r="AH106" s="206">
        <v>1.77</v>
      </c>
      <c r="AI106" s="206">
        <v>0</v>
      </c>
    </row>
    <row r="107" spans="1:35" outlineLevel="1" x14ac:dyDescent="0.15">
      <c r="A107" s="8" t="s">
        <v>949</v>
      </c>
      <c r="B107" s="8"/>
      <c r="C107" s="8" t="s">
        <v>144</v>
      </c>
      <c r="D107" s="8" t="s">
        <v>1146</v>
      </c>
      <c r="E107" s="9">
        <v>24.05</v>
      </c>
      <c r="F107" s="8" t="s">
        <v>469</v>
      </c>
      <c r="G107" s="10">
        <v>3285</v>
      </c>
      <c r="H107" s="11">
        <f t="shared" si="26"/>
        <v>0</v>
      </c>
      <c r="I107" s="143">
        <f t="shared" si="27"/>
        <v>0</v>
      </c>
      <c r="J107" s="9">
        <f t="array" ref="J107">IFERROR(I107/G107*100,0)</f>
        <v>0</v>
      </c>
      <c r="K107" s="143">
        <f t="shared" si="28"/>
        <v>0</v>
      </c>
      <c r="L107" s="9">
        <f t="shared" si="23"/>
        <v>0</v>
      </c>
      <c r="M107" s="8" t="str">
        <f t="array" ref="M107">IF(L107&gt;5,"Perlu Pengendalian",IF(AND(L107&gt;=0,I107&gt;0),"Tidak Perlu Pengendalian","Belum Sensus"))</f>
        <v>Belum Sensus</v>
      </c>
      <c r="N107" s="143">
        <f t="shared" si="29"/>
        <v>0</v>
      </c>
      <c r="O107" s="9">
        <f t="array" ref="O107">IFERROR(N107/I107*100,0)</f>
        <v>0</v>
      </c>
      <c r="P107" s="11"/>
      <c r="Q107" s="143"/>
      <c r="R107" s="9">
        <f t="shared" si="24"/>
        <v>0</v>
      </c>
      <c r="S107" s="143"/>
      <c r="T107" s="9">
        <f t="shared" si="21"/>
        <v>0</v>
      </c>
      <c r="U107" s="8" t="str">
        <f t="array" ref="U107">IF(T107&gt;5,"Perlu Pengendalian",IF(AND(T107&gt;=0,Q107&gt;0),"Tidak Perlu Pengendalian","Belum Sensus"))</f>
        <v>Belum Sensus</v>
      </c>
      <c r="V107" s="143"/>
      <c r="W107" s="9">
        <f t="array" ref="W107">IFERROR(V107/Q107*100,0)</f>
        <v>0</v>
      </c>
      <c r="X107" s="11"/>
      <c r="Y107" s="143">
        <v>0</v>
      </c>
      <c r="Z107" s="9">
        <f t="shared" si="25"/>
        <v>0</v>
      </c>
      <c r="AA107" s="143">
        <v>0</v>
      </c>
      <c r="AB107" s="9">
        <f t="shared" si="22"/>
        <v>0</v>
      </c>
      <c r="AC107" s="8" t="str">
        <f t="array" ref="AC107">IF(AB107&gt;5,"Perlu Pengendalian",IF(AND(AB107&gt;=0,Y107&gt;0),"Tidak Perlu Pengendalian","Belum Sensus"))</f>
        <v>Belum Sensus</v>
      </c>
      <c r="AD107" s="143">
        <v>0</v>
      </c>
      <c r="AE107" s="9">
        <f t="array" ref="AE107">IFERROR(AD107/Y107*100,0)</f>
        <v>0</v>
      </c>
      <c r="AG107" s="206">
        <v>0</v>
      </c>
      <c r="AH107" s="206">
        <v>4.1180000000000003</v>
      </c>
      <c r="AI107" s="206">
        <v>0</v>
      </c>
    </row>
    <row r="108" spans="1:35" outlineLevel="1" x14ac:dyDescent="0.15">
      <c r="A108" s="8" t="s">
        <v>949</v>
      </c>
      <c r="B108" s="8"/>
      <c r="C108" s="8" t="s">
        <v>144</v>
      </c>
      <c r="D108" s="8" t="s">
        <v>1177</v>
      </c>
      <c r="E108" s="9">
        <v>24.43</v>
      </c>
      <c r="F108" s="8" t="s">
        <v>469</v>
      </c>
      <c r="G108" s="10">
        <v>3072</v>
      </c>
      <c r="H108" s="11">
        <f t="shared" si="26"/>
        <v>0</v>
      </c>
      <c r="I108" s="143">
        <f t="shared" si="27"/>
        <v>0</v>
      </c>
      <c r="J108" s="9">
        <f t="array" ref="J108">IFERROR(I108/G108*100,0)</f>
        <v>0</v>
      </c>
      <c r="K108" s="143">
        <f t="shared" si="28"/>
        <v>0</v>
      </c>
      <c r="L108" s="9">
        <f t="shared" si="23"/>
        <v>0</v>
      </c>
      <c r="M108" s="8" t="str">
        <f t="array" ref="M108">IF(L108&gt;5,"Perlu Pengendalian",IF(AND(L108&gt;=0,I108&gt;0),"Tidak Perlu Pengendalian","Belum Sensus"))</f>
        <v>Belum Sensus</v>
      </c>
      <c r="N108" s="143">
        <f t="shared" si="29"/>
        <v>0</v>
      </c>
      <c r="O108" s="9">
        <f t="array" ref="O108">IFERROR(N108/I108*100,0)</f>
        <v>0</v>
      </c>
      <c r="P108" s="11"/>
      <c r="Q108" s="143"/>
      <c r="R108" s="9">
        <f t="shared" si="24"/>
        <v>0</v>
      </c>
      <c r="S108" s="143"/>
      <c r="T108" s="9">
        <f t="shared" si="21"/>
        <v>0</v>
      </c>
      <c r="U108" s="8" t="str">
        <f t="array" ref="U108">IF(T108&gt;5,"Perlu Pengendalian",IF(AND(T108&gt;=0,Q108&gt;0),"Tidak Perlu Pengendalian","Belum Sensus"))</f>
        <v>Belum Sensus</v>
      </c>
      <c r="V108" s="143"/>
      <c r="W108" s="9">
        <f t="array" ref="W108">IFERROR(V108/Q108*100,0)</f>
        <v>0</v>
      </c>
      <c r="X108" s="11"/>
      <c r="Y108" s="143">
        <v>0</v>
      </c>
      <c r="Z108" s="9">
        <f t="shared" si="25"/>
        <v>0</v>
      </c>
      <c r="AA108" s="143">
        <v>0</v>
      </c>
      <c r="AB108" s="9">
        <f t="shared" si="22"/>
        <v>0</v>
      </c>
      <c r="AC108" s="8" t="str">
        <f t="array" ref="AC108">IF(AB108&gt;5,"Perlu Pengendalian",IF(AND(AB108&gt;=0,Y108&gt;0),"Tidak Perlu Pengendalian","Belum Sensus"))</f>
        <v>Belum Sensus</v>
      </c>
      <c r="AD108" s="143">
        <v>0</v>
      </c>
      <c r="AE108" s="9">
        <f t="array" ref="AE108">IFERROR(AD108/Y108*100,0)</f>
        <v>0</v>
      </c>
      <c r="AG108" s="206">
        <v>0</v>
      </c>
      <c r="AH108" s="206">
        <v>2.29</v>
      </c>
      <c r="AI108" s="206">
        <v>0</v>
      </c>
    </row>
    <row r="109" spans="1:35" outlineLevel="1" x14ac:dyDescent="0.15">
      <c r="A109" s="8" t="s">
        <v>949</v>
      </c>
      <c r="B109" s="8"/>
      <c r="C109" s="8" t="s">
        <v>144</v>
      </c>
      <c r="D109" s="8" t="s">
        <v>1781</v>
      </c>
      <c r="E109" s="9">
        <v>24.58</v>
      </c>
      <c r="F109" s="8" t="s">
        <v>469</v>
      </c>
      <c r="G109" s="10">
        <v>3041</v>
      </c>
      <c r="H109" s="11">
        <f t="shared" si="26"/>
        <v>0</v>
      </c>
      <c r="I109" s="143">
        <f t="shared" si="27"/>
        <v>0</v>
      </c>
      <c r="J109" s="9">
        <f t="array" ref="J109">IFERROR(I109/G109*100,0)</f>
        <v>0</v>
      </c>
      <c r="K109" s="143">
        <f t="shared" si="28"/>
        <v>0</v>
      </c>
      <c r="L109" s="9">
        <f t="shared" si="23"/>
        <v>0</v>
      </c>
      <c r="M109" s="8" t="str">
        <f t="array" ref="M109">IF(L109&gt;5,"Perlu Pengendalian",IF(AND(L109&gt;=0,I109&gt;0),"Tidak Perlu Pengendalian","Belum Sensus"))</f>
        <v>Belum Sensus</v>
      </c>
      <c r="N109" s="143">
        <f t="shared" si="29"/>
        <v>0</v>
      </c>
      <c r="O109" s="9">
        <f t="array" ref="O109">IFERROR(N109/I109*100,0)</f>
        <v>0</v>
      </c>
      <c r="P109" s="11"/>
      <c r="Q109" s="143"/>
      <c r="R109" s="9">
        <f t="shared" si="24"/>
        <v>0</v>
      </c>
      <c r="S109" s="143"/>
      <c r="T109" s="9">
        <f t="shared" si="21"/>
        <v>0</v>
      </c>
      <c r="U109" s="8" t="str">
        <f t="array" ref="U109">IF(T109&gt;5,"Perlu Pengendalian",IF(AND(T109&gt;=0,Q109&gt;0),"Tidak Perlu Pengendalian","Belum Sensus"))</f>
        <v>Belum Sensus</v>
      </c>
      <c r="V109" s="143"/>
      <c r="W109" s="9">
        <f t="array" ref="W109">IFERROR(V109/Q109*100,0)</f>
        <v>0</v>
      </c>
      <c r="X109" s="11"/>
      <c r="Y109" s="143">
        <v>0</v>
      </c>
      <c r="Z109" s="9">
        <f t="shared" si="25"/>
        <v>0</v>
      </c>
      <c r="AA109" s="143">
        <v>0</v>
      </c>
      <c r="AB109" s="9">
        <f t="shared" si="22"/>
        <v>0</v>
      </c>
      <c r="AC109" s="8" t="str">
        <f t="array" ref="AC109">IF(AB109&gt;5,"Perlu Pengendalian",IF(AND(AB109&gt;=0,Y109&gt;0),"Tidak Perlu Pengendalian","Belum Sensus"))</f>
        <v>Belum Sensus</v>
      </c>
      <c r="AD109" s="143">
        <v>0</v>
      </c>
      <c r="AE109" s="9">
        <f t="array" ref="AE109">IFERROR(AD109/Y109*100,0)</f>
        <v>0</v>
      </c>
      <c r="AG109" s="206">
        <v>0</v>
      </c>
      <c r="AH109" s="206">
        <v>1.82</v>
      </c>
      <c r="AI109" s="206">
        <v>0</v>
      </c>
    </row>
    <row r="110" spans="1:35" outlineLevel="1" x14ac:dyDescent="0.15">
      <c r="A110" s="8" t="s">
        <v>949</v>
      </c>
      <c r="B110" s="8"/>
      <c r="C110" s="8" t="s">
        <v>144</v>
      </c>
      <c r="D110" s="8" t="s">
        <v>1782</v>
      </c>
      <c r="E110" s="9">
        <v>26.39</v>
      </c>
      <c r="F110" s="8" t="s">
        <v>469</v>
      </c>
      <c r="G110" s="10">
        <v>3475</v>
      </c>
      <c r="H110" s="11">
        <f t="shared" si="26"/>
        <v>0</v>
      </c>
      <c r="I110" s="143">
        <f t="shared" si="27"/>
        <v>0</v>
      </c>
      <c r="J110" s="9">
        <f t="array" ref="J110">IFERROR(I110/G110*100,0)</f>
        <v>0</v>
      </c>
      <c r="K110" s="143">
        <f t="shared" si="28"/>
        <v>0</v>
      </c>
      <c r="L110" s="9">
        <f t="shared" si="23"/>
        <v>0</v>
      </c>
      <c r="M110" s="8" t="str">
        <f t="array" ref="M110">IF(L110&gt;5,"Perlu Pengendalian",IF(AND(L110&gt;=0,I110&gt;0),"Tidak Perlu Pengendalian","Belum Sensus"))</f>
        <v>Belum Sensus</v>
      </c>
      <c r="N110" s="143">
        <f t="shared" si="29"/>
        <v>0</v>
      </c>
      <c r="O110" s="9">
        <f t="array" ref="O110">IFERROR(N110/I110*100,0)</f>
        <v>0</v>
      </c>
      <c r="P110" s="11"/>
      <c r="Q110" s="143"/>
      <c r="R110" s="9">
        <f t="shared" si="24"/>
        <v>0</v>
      </c>
      <c r="S110" s="143"/>
      <c r="T110" s="9">
        <f t="shared" si="21"/>
        <v>0</v>
      </c>
      <c r="U110" s="8" t="str">
        <f t="array" ref="U110">IF(T110&gt;5,"Perlu Pengendalian",IF(AND(T110&gt;=0,Q110&gt;0),"Tidak Perlu Pengendalian","Belum Sensus"))</f>
        <v>Belum Sensus</v>
      </c>
      <c r="V110" s="143"/>
      <c r="W110" s="9">
        <f t="array" ref="W110">IFERROR(V110/Q110*100,0)</f>
        <v>0</v>
      </c>
      <c r="X110" s="11"/>
      <c r="Y110" s="143">
        <v>0</v>
      </c>
      <c r="Z110" s="9">
        <f t="shared" si="25"/>
        <v>0</v>
      </c>
      <c r="AA110" s="143">
        <v>0</v>
      </c>
      <c r="AB110" s="9">
        <f t="shared" si="22"/>
        <v>0</v>
      </c>
      <c r="AC110" s="8" t="str">
        <f t="array" ref="AC110">IF(AB110&gt;5,"Perlu Pengendalian",IF(AND(AB110&gt;=0,Y110&gt;0),"Tidak Perlu Pengendalian","Belum Sensus"))</f>
        <v>Belum Sensus</v>
      </c>
      <c r="AD110" s="143">
        <v>0</v>
      </c>
      <c r="AE110" s="9">
        <f t="array" ref="AE110">IFERROR(AD110/Y110*100,0)</f>
        <v>0</v>
      </c>
      <c r="AG110" s="206">
        <v>0</v>
      </c>
      <c r="AH110" s="206">
        <v>2.9099999999999997</v>
      </c>
      <c r="AI110" s="206">
        <v>0</v>
      </c>
    </row>
    <row r="111" spans="1:35" outlineLevel="1" x14ac:dyDescent="0.15">
      <c r="A111" s="8" t="s">
        <v>949</v>
      </c>
      <c r="B111" s="8"/>
      <c r="C111" s="8" t="s">
        <v>144</v>
      </c>
      <c r="D111" s="8" t="s">
        <v>1783</v>
      </c>
      <c r="E111" s="9">
        <v>23.05</v>
      </c>
      <c r="F111" s="8" t="s">
        <v>469</v>
      </c>
      <c r="G111" s="10">
        <v>3060.9999999999995</v>
      </c>
      <c r="H111" s="11">
        <f t="shared" si="26"/>
        <v>0</v>
      </c>
      <c r="I111" s="143">
        <f t="shared" si="27"/>
        <v>0</v>
      </c>
      <c r="J111" s="9">
        <f t="array" ref="J111">IFERROR(I111/G111*100,0)</f>
        <v>0</v>
      </c>
      <c r="K111" s="143">
        <f t="shared" si="28"/>
        <v>0</v>
      </c>
      <c r="L111" s="9">
        <f t="shared" si="23"/>
        <v>0</v>
      </c>
      <c r="M111" s="8" t="str">
        <f t="array" ref="M111">IF(L111&gt;5,"Perlu Pengendalian",IF(AND(L111&gt;=0,I111&gt;0),"Tidak Perlu Pengendalian","Belum Sensus"))</f>
        <v>Belum Sensus</v>
      </c>
      <c r="N111" s="143">
        <f t="shared" si="29"/>
        <v>0</v>
      </c>
      <c r="O111" s="9">
        <f t="array" ref="O111">IFERROR(N111/I111*100,0)</f>
        <v>0</v>
      </c>
      <c r="P111" s="11"/>
      <c r="Q111" s="143"/>
      <c r="R111" s="9">
        <f t="shared" si="24"/>
        <v>0</v>
      </c>
      <c r="S111" s="143"/>
      <c r="T111" s="9">
        <f t="shared" si="21"/>
        <v>0</v>
      </c>
      <c r="U111" s="8" t="str">
        <f t="array" ref="U111">IF(T111&gt;5,"Perlu Pengendalian",IF(AND(T111&gt;=0,Q111&gt;0),"Tidak Perlu Pengendalian","Belum Sensus"))</f>
        <v>Belum Sensus</v>
      </c>
      <c r="V111" s="143"/>
      <c r="W111" s="9">
        <f t="array" ref="W111">IFERROR(V111/Q111*100,0)</f>
        <v>0</v>
      </c>
      <c r="X111" s="11"/>
      <c r="Y111" s="143">
        <v>0</v>
      </c>
      <c r="Z111" s="9">
        <f t="shared" si="25"/>
        <v>0</v>
      </c>
      <c r="AA111" s="143">
        <v>0</v>
      </c>
      <c r="AB111" s="9">
        <f t="shared" si="22"/>
        <v>0</v>
      </c>
      <c r="AC111" s="8" t="str">
        <f t="array" ref="AC111">IF(AB111&gt;5,"Perlu Pengendalian",IF(AND(AB111&gt;=0,Y111&gt;0),"Tidak Perlu Pengendalian","Belum Sensus"))</f>
        <v>Belum Sensus</v>
      </c>
      <c r="AD111" s="143">
        <v>0</v>
      </c>
      <c r="AE111" s="9">
        <f t="array" ref="AE111">IFERROR(AD111/Y111*100,0)</f>
        <v>0</v>
      </c>
      <c r="AG111" s="206">
        <v>0</v>
      </c>
      <c r="AH111" s="206">
        <v>4.12</v>
      </c>
      <c r="AI111" s="206">
        <v>0</v>
      </c>
    </row>
    <row r="112" spans="1:35" outlineLevel="1" x14ac:dyDescent="0.15">
      <c r="A112" s="8" t="s">
        <v>949</v>
      </c>
      <c r="B112" s="8"/>
      <c r="C112" s="8" t="s">
        <v>144</v>
      </c>
      <c r="D112" s="8" t="s">
        <v>1438</v>
      </c>
      <c r="E112" s="180">
        <v>32.510000000000005</v>
      </c>
      <c r="F112" s="8" t="s">
        <v>469</v>
      </c>
      <c r="G112" s="10">
        <v>4368</v>
      </c>
      <c r="H112" s="11">
        <f t="shared" si="26"/>
        <v>0</v>
      </c>
      <c r="I112" s="143">
        <f t="shared" si="27"/>
        <v>0</v>
      </c>
      <c r="J112" s="9">
        <f t="array" ref="J112">IFERROR(I112/G112*100,0)</f>
        <v>0</v>
      </c>
      <c r="K112" s="143">
        <f t="shared" si="28"/>
        <v>0</v>
      </c>
      <c r="L112" s="9">
        <f t="shared" si="23"/>
        <v>0</v>
      </c>
      <c r="M112" s="8" t="str">
        <f t="array" ref="M112">IF(L112&gt;5,"Perlu Pengendalian",IF(AND(L112&gt;=0,I112&gt;0),"Tidak Perlu Pengendalian","Belum Sensus"))</f>
        <v>Belum Sensus</v>
      </c>
      <c r="N112" s="143">
        <f t="shared" si="29"/>
        <v>0</v>
      </c>
      <c r="O112" s="9">
        <f t="array" ref="O112">IFERROR(N112/I112*100,0)</f>
        <v>0</v>
      </c>
      <c r="P112" s="11"/>
      <c r="Q112" s="143"/>
      <c r="R112" s="9">
        <f t="shared" si="24"/>
        <v>0</v>
      </c>
      <c r="S112" s="143"/>
      <c r="T112" s="9">
        <f t="shared" si="21"/>
        <v>0</v>
      </c>
      <c r="U112" s="8" t="str">
        <f t="array" ref="U112">IF(T112&gt;5,"Perlu Pengendalian",IF(AND(T112&gt;=0,Q112&gt;0),"Tidak Perlu Pengendalian","Belum Sensus"))</f>
        <v>Belum Sensus</v>
      </c>
      <c r="V112" s="143"/>
      <c r="W112" s="9">
        <f t="array" ref="W112">IFERROR(V112/Q112*100,0)</f>
        <v>0</v>
      </c>
      <c r="X112" s="11"/>
      <c r="Y112" s="143">
        <v>0</v>
      </c>
      <c r="Z112" s="9">
        <f t="shared" si="25"/>
        <v>0</v>
      </c>
      <c r="AA112" s="143">
        <v>0</v>
      </c>
      <c r="AB112" s="9">
        <f t="shared" si="22"/>
        <v>0</v>
      </c>
      <c r="AC112" s="8" t="str">
        <f t="array" ref="AC112">IF(AB112&gt;5,"Perlu Pengendalian",IF(AND(AB112&gt;=0,Y112&gt;0),"Tidak Perlu Pengendalian","Belum Sensus"))</f>
        <v>Belum Sensus</v>
      </c>
      <c r="AD112" s="143">
        <v>0</v>
      </c>
      <c r="AE112" s="9">
        <f t="array" ref="AE112">IFERROR(AD112/Y112*100,0)</f>
        <v>0</v>
      </c>
      <c r="AG112" s="206">
        <v>1.2295081967213115</v>
      </c>
      <c r="AH112" s="206">
        <v>3.73</v>
      </c>
      <c r="AI112" s="206">
        <v>0</v>
      </c>
    </row>
    <row r="113" spans="1:35" outlineLevel="1" x14ac:dyDescent="0.15">
      <c r="A113" s="8" t="s">
        <v>949</v>
      </c>
      <c r="B113" s="8"/>
      <c r="C113" s="8" t="s">
        <v>144</v>
      </c>
      <c r="D113" s="8" t="s">
        <v>1369</v>
      </c>
      <c r="E113" s="9">
        <v>24.07</v>
      </c>
      <c r="F113" s="8" t="s">
        <v>469</v>
      </c>
      <c r="G113" s="10">
        <v>2813</v>
      </c>
      <c r="H113" s="11">
        <f t="shared" si="26"/>
        <v>0</v>
      </c>
      <c r="I113" s="143">
        <f t="shared" si="27"/>
        <v>0</v>
      </c>
      <c r="J113" s="9">
        <f t="array" ref="J113">IFERROR(I113/G113*100,0)</f>
        <v>0</v>
      </c>
      <c r="K113" s="143">
        <f t="shared" si="28"/>
        <v>0</v>
      </c>
      <c r="L113" s="9">
        <f t="shared" si="23"/>
        <v>0</v>
      </c>
      <c r="M113" s="8" t="str">
        <f t="array" ref="M113">IF(L113&gt;5,"Perlu Pengendalian",IF(AND(L113&gt;=0,I113&gt;0),"Tidak Perlu Pengendalian","Belum Sensus"))</f>
        <v>Belum Sensus</v>
      </c>
      <c r="N113" s="143">
        <f t="shared" si="29"/>
        <v>0</v>
      </c>
      <c r="O113" s="9">
        <f t="array" ref="O113">IFERROR(N113/I113*100,0)</f>
        <v>0</v>
      </c>
      <c r="P113" s="11"/>
      <c r="Q113" s="143"/>
      <c r="R113" s="9">
        <f t="shared" si="24"/>
        <v>0</v>
      </c>
      <c r="S113" s="143"/>
      <c r="T113" s="9">
        <f t="shared" si="21"/>
        <v>0</v>
      </c>
      <c r="U113" s="8" t="str">
        <f t="array" ref="U113">IF(T113&gt;5,"Perlu Pengendalian",IF(AND(T113&gt;=0,Q113&gt;0),"Tidak Perlu Pengendalian","Belum Sensus"))</f>
        <v>Belum Sensus</v>
      </c>
      <c r="V113" s="143"/>
      <c r="W113" s="9">
        <f t="array" ref="W113">IFERROR(V113/Q113*100,0)</f>
        <v>0</v>
      </c>
      <c r="X113" s="11"/>
      <c r="Y113" s="143">
        <v>0</v>
      </c>
      <c r="Z113" s="9">
        <f t="shared" si="25"/>
        <v>0</v>
      </c>
      <c r="AA113" s="143">
        <v>0</v>
      </c>
      <c r="AB113" s="9">
        <f t="shared" si="22"/>
        <v>0</v>
      </c>
      <c r="AC113" s="8" t="str">
        <f t="array" ref="AC113">IF(AB113&gt;5,"Perlu Pengendalian",IF(AND(AB113&gt;=0,Y113&gt;0),"Tidak Perlu Pengendalian","Belum Sensus"))</f>
        <v>Belum Sensus</v>
      </c>
      <c r="AD113" s="143">
        <v>0</v>
      </c>
      <c r="AE113" s="9">
        <f t="array" ref="AE113">IFERROR(AD113/Y113*100,0)</f>
        <v>0</v>
      </c>
      <c r="AG113" s="206">
        <v>0</v>
      </c>
      <c r="AH113" s="206">
        <v>2.84</v>
      </c>
      <c r="AI113" s="206">
        <v>0</v>
      </c>
    </row>
    <row r="114" spans="1:35" outlineLevel="1" x14ac:dyDescent="0.15">
      <c r="A114" s="8" t="s">
        <v>949</v>
      </c>
      <c r="B114" s="8"/>
      <c r="C114" s="8" t="s">
        <v>144</v>
      </c>
      <c r="D114" s="8" t="s">
        <v>1370</v>
      </c>
      <c r="E114" s="9">
        <v>28.599999999999998</v>
      </c>
      <c r="F114" s="8" t="s">
        <v>469</v>
      </c>
      <c r="G114" s="10">
        <v>4045.9999999999995</v>
      </c>
      <c r="H114" s="11">
        <f t="shared" si="26"/>
        <v>0</v>
      </c>
      <c r="I114" s="143">
        <f t="shared" si="27"/>
        <v>0</v>
      </c>
      <c r="J114" s="9">
        <f t="array" ref="J114">IFERROR(I114/G114*100,0)</f>
        <v>0</v>
      </c>
      <c r="K114" s="143">
        <f t="shared" si="28"/>
        <v>0</v>
      </c>
      <c r="L114" s="9">
        <f t="shared" si="23"/>
        <v>0</v>
      </c>
      <c r="M114" s="8" t="str">
        <f t="array" ref="M114">IF(L114&gt;5,"Perlu Pengendalian",IF(AND(L114&gt;=0,I114&gt;0),"Tidak Perlu Pengendalian","Belum Sensus"))</f>
        <v>Belum Sensus</v>
      </c>
      <c r="N114" s="143">
        <f t="shared" si="29"/>
        <v>0</v>
      </c>
      <c r="O114" s="9">
        <f t="array" ref="O114">IFERROR(N114/I114*100,0)</f>
        <v>0</v>
      </c>
      <c r="P114" s="11"/>
      <c r="Q114" s="143"/>
      <c r="R114" s="9">
        <f t="shared" si="24"/>
        <v>0</v>
      </c>
      <c r="S114" s="143"/>
      <c r="T114" s="9">
        <f t="shared" si="21"/>
        <v>0</v>
      </c>
      <c r="U114" s="8" t="str">
        <f t="array" ref="U114">IF(T114&gt;5,"Perlu Pengendalian",IF(AND(T114&gt;=0,Q114&gt;0),"Tidak Perlu Pengendalian","Belum Sensus"))</f>
        <v>Belum Sensus</v>
      </c>
      <c r="V114" s="143"/>
      <c r="W114" s="9">
        <f t="array" ref="W114">IFERROR(V114/Q114*100,0)</f>
        <v>0</v>
      </c>
      <c r="X114" s="11"/>
      <c r="Y114" s="143">
        <v>0</v>
      </c>
      <c r="Z114" s="9">
        <f t="shared" si="25"/>
        <v>0</v>
      </c>
      <c r="AA114" s="143">
        <v>0</v>
      </c>
      <c r="AB114" s="9">
        <f t="shared" si="22"/>
        <v>0</v>
      </c>
      <c r="AC114" s="8" t="str">
        <f t="array" ref="AC114">IF(AB114&gt;5,"Perlu Pengendalian",IF(AND(AB114&gt;=0,Y114&gt;0),"Tidak Perlu Pengendalian","Belum Sensus"))</f>
        <v>Belum Sensus</v>
      </c>
      <c r="AD114" s="143">
        <v>0</v>
      </c>
      <c r="AE114" s="9">
        <f t="array" ref="AE114">IFERROR(AD114/Y114*100,0)</f>
        <v>0</v>
      </c>
      <c r="AG114" s="206">
        <v>2.459016393442623</v>
      </c>
      <c r="AH114" s="206">
        <v>2.92</v>
      </c>
      <c r="AI114" s="206">
        <v>0</v>
      </c>
    </row>
    <row r="115" spans="1:35" outlineLevel="1" x14ac:dyDescent="0.15">
      <c r="A115" s="8" t="s">
        <v>949</v>
      </c>
      <c r="B115" s="8"/>
      <c r="C115" s="8" t="s">
        <v>144</v>
      </c>
      <c r="D115" s="8" t="s">
        <v>1371</v>
      </c>
      <c r="E115" s="9">
        <v>29.35</v>
      </c>
      <c r="F115" s="8" t="s">
        <v>469</v>
      </c>
      <c r="G115" s="10">
        <v>3754</v>
      </c>
      <c r="H115" s="11">
        <f t="shared" si="26"/>
        <v>0</v>
      </c>
      <c r="I115" s="143">
        <f t="shared" si="27"/>
        <v>0</v>
      </c>
      <c r="J115" s="9">
        <f t="array" ref="J115">IFERROR(I115/G115*100,0)</f>
        <v>0</v>
      </c>
      <c r="K115" s="143">
        <f t="shared" si="28"/>
        <v>0</v>
      </c>
      <c r="L115" s="9">
        <f t="shared" si="23"/>
        <v>0</v>
      </c>
      <c r="M115" s="8" t="str">
        <f t="array" ref="M115">IF(L115&gt;5,"Perlu Pengendalian",IF(AND(L115&gt;=0,I115&gt;0),"Tidak Perlu Pengendalian","Belum Sensus"))</f>
        <v>Belum Sensus</v>
      </c>
      <c r="N115" s="143">
        <f t="shared" si="29"/>
        <v>0</v>
      </c>
      <c r="O115" s="9">
        <f t="array" ref="O115">IFERROR(N115/I115*100,0)</f>
        <v>0</v>
      </c>
      <c r="P115" s="11"/>
      <c r="Q115" s="143"/>
      <c r="R115" s="9">
        <f t="shared" si="24"/>
        <v>0</v>
      </c>
      <c r="S115" s="143"/>
      <c r="T115" s="9">
        <f t="shared" si="21"/>
        <v>0</v>
      </c>
      <c r="U115" s="8" t="str">
        <f t="array" ref="U115">IF(T115&gt;5,"Perlu Pengendalian",IF(AND(T115&gt;=0,Q115&gt;0),"Tidak Perlu Pengendalian","Belum Sensus"))</f>
        <v>Belum Sensus</v>
      </c>
      <c r="V115" s="143"/>
      <c r="W115" s="9">
        <f t="array" ref="W115">IFERROR(V115/Q115*100,0)</f>
        <v>0</v>
      </c>
      <c r="X115" s="11"/>
      <c r="Y115" s="143">
        <v>0</v>
      </c>
      <c r="Z115" s="9">
        <f t="shared" si="25"/>
        <v>0</v>
      </c>
      <c r="AA115" s="143">
        <v>0</v>
      </c>
      <c r="AB115" s="9">
        <f t="shared" si="22"/>
        <v>0</v>
      </c>
      <c r="AC115" s="8" t="str">
        <f t="array" ref="AC115">IF(AB115&gt;5,"Perlu Pengendalian",IF(AND(AB115&gt;=0,Y115&gt;0),"Tidak Perlu Pengendalian","Belum Sensus"))</f>
        <v>Belum Sensus</v>
      </c>
      <c r="AD115" s="143">
        <v>0</v>
      </c>
      <c r="AE115" s="9">
        <f t="array" ref="AE115">IFERROR(AD115/Y115*100,0)</f>
        <v>0</v>
      </c>
      <c r="AG115" s="206">
        <v>0</v>
      </c>
      <c r="AH115" s="206">
        <v>4.1429999999999998</v>
      </c>
      <c r="AI115" s="206">
        <v>0</v>
      </c>
    </row>
    <row r="116" spans="1:35" outlineLevel="1" x14ac:dyDescent="0.15">
      <c r="A116" s="8" t="s">
        <v>949</v>
      </c>
      <c r="B116" s="8"/>
      <c r="C116" s="8" t="s">
        <v>144</v>
      </c>
      <c r="D116" s="8" t="s">
        <v>1378</v>
      </c>
      <c r="E116" s="9">
        <v>27.6</v>
      </c>
      <c r="F116" s="8" t="s">
        <v>469</v>
      </c>
      <c r="G116" s="10">
        <v>3689</v>
      </c>
      <c r="H116" s="11">
        <f t="shared" si="26"/>
        <v>0</v>
      </c>
      <c r="I116" s="143">
        <f t="shared" si="27"/>
        <v>0</v>
      </c>
      <c r="J116" s="9">
        <f t="array" ref="J116">IFERROR(I116/G116*100,0)</f>
        <v>0</v>
      </c>
      <c r="K116" s="143">
        <f t="shared" si="28"/>
        <v>0</v>
      </c>
      <c r="L116" s="9">
        <f t="shared" si="23"/>
        <v>0</v>
      </c>
      <c r="M116" s="8" t="str">
        <f t="array" ref="M116">IF(L116&gt;5,"Perlu Pengendalian",IF(AND(L116&gt;=0,I116&gt;0),"Tidak Perlu Pengendalian","Belum Sensus"))</f>
        <v>Belum Sensus</v>
      </c>
      <c r="N116" s="143">
        <f t="shared" si="29"/>
        <v>0</v>
      </c>
      <c r="O116" s="9">
        <f t="array" ref="O116">IFERROR(N116/I116*100,0)</f>
        <v>0</v>
      </c>
      <c r="P116" s="11"/>
      <c r="Q116" s="143"/>
      <c r="R116" s="9">
        <f t="shared" si="24"/>
        <v>0</v>
      </c>
      <c r="S116" s="143"/>
      <c r="T116" s="9">
        <f t="shared" si="21"/>
        <v>0</v>
      </c>
      <c r="U116" s="8" t="str">
        <f t="array" ref="U116">IF(T116&gt;5,"Perlu Pengendalian",IF(AND(T116&gt;=0,Q116&gt;0),"Tidak Perlu Pengendalian","Belum Sensus"))</f>
        <v>Belum Sensus</v>
      </c>
      <c r="V116" s="143"/>
      <c r="W116" s="9">
        <f t="array" ref="W116">IFERROR(V116/Q116*100,0)</f>
        <v>0</v>
      </c>
      <c r="X116" s="11"/>
      <c r="Y116" s="143">
        <v>0</v>
      </c>
      <c r="Z116" s="9">
        <f t="shared" si="25"/>
        <v>0</v>
      </c>
      <c r="AA116" s="143">
        <v>0</v>
      </c>
      <c r="AB116" s="9">
        <f t="shared" si="22"/>
        <v>0</v>
      </c>
      <c r="AC116" s="8" t="str">
        <f t="array" ref="AC116">IF(AB116&gt;5,"Perlu Pengendalian",IF(AND(AB116&gt;=0,Y116&gt;0),"Tidak Perlu Pengendalian","Belum Sensus"))</f>
        <v>Belum Sensus</v>
      </c>
      <c r="AD116" s="143">
        <v>0</v>
      </c>
      <c r="AE116" s="9">
        <f t="array" ref="AE116">IFERROR(AD116/Y116*100,0)</f>
        <v>0</v>
      </c>
      <c r="AG116" s="206">
        <v>1.6666666666666667</v>
      </c>
      <c r="AH116" s="206">
        <v>4.43</v>
      </c>
      <c r="AI116" s="206">
        <v>0</v>
      </c>
    </row>
    <row r="117" spans="1:35" outlineLevel="1" x14ac:dyDescent="0.15">
      <c r="A117" s="8" t="s">
        <v>949</v>
      </c>
      <c r="B117" s="8"/>
      <c r="C117" s="8" t="s">
        <v>144</v>
      </c>
      <c r="D117" s="8" t="s">
        <v>1379</v>
      </c>
      <c r="E117" s="9">
        <v>22.09</v>
      </c>
      <c r="F117" s="8" t="s">
        <v>469</v>
      </c>
      <c r="G117" s="10">
        <v>2932</v>
      </c>
      <c r="H117" s="11">
        <f t="shared" si="26"/>
        <v>46167</v>
      </c>
      <c r="I117" s="143">
        <f t="shared" si="27"/>
        <v>357</v>
      </c>
      <c r="J117" s="9">
        <f t="array" ref="J117">IFERROR(I117/G117*100,0)</f>
        <v>12.175989085948158</v>
      </c>
      <c r="K117" s="143">
        <f t="shared" si="28"/>
        <v>6</v>
      </c>
      <c r="L117" s="9">
        <f t="shared" si="23"/>
        <v>1.680672268907563</v>
      </c>
      <c r="M117" s="8" t="str">
        <f t="array" ref="M117">IF(L117&gt;5,"Perlu Pengendalian",IF(AND(L117&gt;=0,I117&gt;0),"Tidak Perlu Pengendalian","Belum Sensus"))</f>
        <v>Tidak Perlu Pengendalian</v>
      </c>
      <c r="N117" s="143">
        <f t="shared" si="29"/>
        <v>10</v>
      </c>
      <c r="O117" s="9">
        <f t="array" ref="O117">IFERROR(N117/I117*100,0)</f>
        <v>2.801120448179272</v>
      </c>
      <c r="P117" s="11">
        <v>46167</v>
      </c>
      <c r="Q117" s="143">
        <v>357</v>
      </c>
      <c r="R117" s="9">
        <f t="shared" si="24"/>
        <v>12.175989085948158</v>
      </c>
      <c r="S117" s="143">
        <v>6</v>
      </c>
      <c r="T117" s="9">
        <f t="shared" si="21"/>
        <v>1.680672268907563</v>
      </c>
      <c r="U117" s="8" t="str">
        <f t="array" ref="U117">IF(T117&gt;5,"Perlu Pengendalian",IF(AND(T117&gt;=0,Q117&gt;0),"Tidak Perlu Pengendalian","Belum Sensus"))</f>
        <v>Tidak Perlu Pengendalian</v>
      </c>
      <c r="V117" s="143">
        <v>10</v>
      </c>
      <c r="W117" s="9">
        <f t="array" ref="W117">IFERROR(V117/Q117*100,0)</f>
        <v>2.801120448179272</v>
      </c>
      <c r="X117" s="11"/>
      <c r="Y117" s="143">
        <v>0</v>
      </c>
      <c r="Z117" s="9">
        <f t="shared" si="25"/>
        <v>0</v>
      </c>
      <c r="AA117" s="143">
        <v>0</v>
      </c>
      <c r="AB117" s="9">
        <f t="shared" si="22"/>
        <v>0</v>
      </c>
      <c r="AC117" s="8" t="str">
        <f t="array" ref="AC117">IF(AB117&gt;5,"Perlu Pengendalian",IF(AND(AB117&gt;=0,Y117&gt;0),"Tidak Perlu Pengendalian","Belum Sensus"))</f>
        <v>Belum Sensus</v>
      </c>
      <c r="AD117" s="143">
        <v>0</v>
      </c>
      <c r="AE117" s="9">
        <f t="array" ref="AE117">IFERROR(AD117/Y117*100,0)</f>
        <v>0</v>
      </c>
      <c r="AG117" s="206">
        <v>0</v>
      </c>
      <c r="AH117" s="206">
        <v>2.56</v>
      </c>
      <c r="AI117" s="206">
        <v>0</v>
      </c>
    </row>
    <row r="118" spans="1:35" outlineLevel="1" x14ac:dyDescent="0.15">
      <c r="A118" s="8" t="s">
        <v>949</v>
      </c>
      <c r="B118" s="8"/>
      <c r="C118" s="8" t="s">
        <v>144</v>
      </c>
      <c r="D118" s="8" t="s">
        <v>1416</v>
      </c>
      <c r="E118" s="9">
        <v>31.56</v>
      </c>
      <c r="F118" s="8" t="s">
        <v>469</v>
      </c>
      <c r="G118" s="10">
        <v>4248</v>
      </c>
      <c r="H118" s="11">
        <f t="shared" si="26"/>
        <v>0</v>
      </c>
      <c r="I118" s="143">
        <f t="shared" si="27"/>
        <v>0</v>
      </c>
      <c r="J118" s="9">
        <f t="array" ref="J118">IFERROR(I118/G118*100,0)</f>
        <v>0</v>
      </c>
      <c r="K118" s="143">
        <f t="shared" si="28"/>
        <v>0</v>
      </c>
      <c r="L118" s="9">
        <f t="shared" si="23"/>
        <v>0</v>
      </c>
      <c r="M118" s="8" t="str">
        <f t="array" ref="M118">IF(L118&gt;5,"Perlu Pengendalian",IF(AND(L118&gt;=0,I118&gt;0),"Tidak Perlu Pengendalian","Belum Sensus"))</f>
        <v>Belum Sensus</v>
      </c>
      <c r="N118" s="143">
        <f t="shared" si="29"/>
        <v>0</v>
      </c>
      <c r="O118" s="9">
        <f t="array" ref="O118">IFERROR(N118/I118*100,0)</f>
        <v>0</v>
      </c>
      <c r="P118" s="11"/>
      <c r="Q118" s="143"/>
      <c r="R118" s="9">
        <f t="shared" si="24"/>
        <v>0</v>
      </c>
      <c r="S118" s="143"/>
      <c r="T118" s="9">
        <f t="shared" si="21"/>
        <v>0</v>
      </c>
      <c r="U118" s="8" t="str">
        <f t="array" ref="U118">IF(T118&gt;5,"Perlu Pengendalian",IF(AND(T118&gt;=0,Q118&gt;0),"Tidak Perlu Pengendalian","Belum Sensus"))</f>
        <v>Belum Sensus</v>
      </c>
      <c r="V118" s="143"/>
      <c r="W118" s="9">
        <f t="array" ref="W118">IFERROR(V118/Q118*100,0)</f>
        <v>0</v>
      </c>
      <c r="X118" s="11"/>
      <c r="Y118" s="143">
        <v>0</v>
      </c>
      <c r="Z118" s="9">
        <f t="shared" si="25"/>
        <v>0</v>
      </c>
      <c r="AA118" s="143">
        <v>0</v>
      </c>
      <c r="AB118" s="9">
        <f t="shared" si="22"/>
        <v>0</v>
      </c>
      <c r="AC118" s="8" t="str">
        <f t="array" ref="AC118">IF(AB118&gt;5,"Perlu Pengendalian",IF(AND(AB118&gt;=0,Y118&gt;0),"Tidak Perlu Pengendalian","Belum Sensus"))</f>
        <v>Belum Sensus</v>
      </c>
      <c r="AD118" s="143">
        <v>0</v>
      </c>
      <c r="AE118" s="9">
        <f t="array" ref="AE118">IFERROR(AD118/Y118*100,0)</f>
        <v>0</v>
      </c>
      <c r="AG118" s="206">
        <v>0</v>
      </c>
      <c r="AH118" s="206">
        <v>2.86</v>
      </c>
      <c r="AI118" s="206">
        <v>0</v>
      </c>
    </row>
    <row r="119" spans="1:35" outlineLevel="1" x14ac:dyDescent="0.15">
      <c r="A119" s="8" t="s">
        <v>949</v>
      </c>
      <c r="B119" s="8"/>
      <c r="C119" s="8" t="s">
        <v>144</v>
      </c>
      <c r="D119" s="8" t="s">
        <v>1417</v>
      </c>
      <c r="E119" s="9">
        <v>31.86</v>
      </c>
      <c r="F119" s="8" t="s">
        <v>469</v>
      </c>
      <c r="G119" s="10">
        <v>3305</v>
      </c>
      <c r="H119" s="11">
        <f t="shared" si="26"/>
        <v>0</v>
      </c>
      <c r="I119" s="143">
        <f t="shared" si="27"/>
        <v>0</v>
      </c>
      <c r="J119" s="9">
        <f t="array" ref="J119">IFERROR(I119/G119*100,0)</f>
        <v>0</v>
      </c>
      <c r="K119" s="143">
        <f t="shared" si="28"/>
        <v>0</v>
      </c>
      <c r="L119" s="9">
        <f t="shared" si="23"/>
        <v>0</v>
      </c>
      <c r="M119" s="8" t="str">
        <f t="array" ref="M119">IF(L119&gt;5,"Perlu Pengendalian",IF(AND(L119&gt;=0,I119&gt;0),"Tidak Perlu Pengendalian","Belum Sensus"))</f>
        <v>Belum Sensus</v>
      </c>
      <c r="N119" s="143">
        <f t="shared" si="29"/>
        <v>0</v>
      </c>
      <c r="O119" s="9">
        <f t="array" ref="O119">IFERROR(N119/I119*100,0)</f>
        <v>0</v>
      </c>
      <c r="P119" s="11"/>
      <c r="Q119" s="143"/>
      <c r="R119" s="9">
        <f t="shared" si="24"/>
        <v>0</v>
      </c>
      <c r="S119" s="143"/>
      <c r="T119" s="9">
        <f t="shared" si="21"/>
        <v>0</v>
      </c>
      <c r="U119" s="8" t="str">
        <f t="array" ref="U119">IF(T119&gt;5,"Perlu Pengendalian",IF(AND(T119&gt;=0,Q119&gt;0),"Tidak Perlu Pengendalian","Belum Sensus"))</f>
        <v>Belum Sensus</v>
      </c>
      <c r="V119" s="143"/>
      <c r="W119" s="9">
        <f t="array" ref="W119">IFERROR(V119/Q119*100,0)</f>
        <v>0</v>
      </c>
      <c r="X119" s="11"/>
      <c r="Y119" s="143">
        <v>0</v>
      </c>
      <c r="Z119" s="9">
        <f t="shared" si="25"/>
        <v>0</v>
      </c>
      <c r="AA119" s="143">
        <v>0</v>
      </c>
      <c r="AB119" s="9">
        <f t="shared" si="22"/>
        <v>0</v>
      </c>
      <c r="AC119" s="8" t="str">
        <f t="array" ref="AC119">IF(AB119&gt;5,"Perlu Pengendalian",IF(AND(AB119&gt;=0,Y119&gt;0),"Tidak Perlu Pengendalian","Belum Sensus"))</f>
        <v>Belum Sensus</v>
      </c>
      <c r="AD119" s="143">
        <v>0</v>
      </c>
      <c r="AE119" s="9">
        <f t="array" ref="AE119">IFERROR(AD119/Y119*100,0)</f>
        <v>0</v>
      </c>
      <c r="AG119" s="206">
        <v>0</v>
      </c>
      <c r="AH119" s="206">
        <v>1.1100000000000001</v>
      </c>
      <c r="AI119" s="206">
        <v>0</v>
      </c>
    </row>
    <row r="120" spans="1:35" outlineLevel="1" x14ac:dyDescent="0.15">
      <c r="A120" s="8" t="s">
        <v>949</v>
      </c>
      <c r="B120" s="8"/>
      <c r="C120" s="8" t="s">
        <v>173</v>
      </c>
      <c r="D120" s="8" t="s">
        <v>1011</v>
      </c>
      <c r="E120" s="9">
        <v>43.509999999999991</v>
      </c>
      <c r="F120" s="8" t="s">
        <v>469</v>
      </c>
      <c r="G120" s="10">
        <v>4395</v>
      </c>
      <c r="H120" s="11">
        <f t="shared" si="26"/>
        <v>0</v>
      </c>
      <c r="I120" s="143">
        <f t="shared" si="27"/>
        <v>0</v>
      </c>
      <c r="J120" s="9">
        <f t="array" ref="J120">IFERROR(I120/G120*100,0)</f>
        <v>0</v>
      </c>
      <c r="K120" s="143">
        <f t="shared" si="28"/>
        <v>0</v>
      </c>
      <c r="L120" s="9">
        <f t="shared" si="23"/>
        <v>0</v>
      </c>
      <c r="M120" s="8" t="str">
        <f t="array" ref="M120">IF(L120&gt;5,"Perlu Pengendalian",IF(AND(L120&gt;=0,I120&gt;0),"Tidak Perlu Pengendalian","Belum Sensus"))</f>
        <v>Belum Sensus</v>
      </c>
      <c r="N120" s="143">
        <f t="shared" si="29"/>
        <v>0</v>
      </c>
      <c r="O120" s="9">
        <f t="array" ref="O120">IFERROR(N120/I120*100,0)</f>
        <v>0</v>
      </c>
      <c r="P120" s="11"/>
      <c r="Q120" s="143"/>
      <c r="R120" s="9">
        <f t="shared" si="24"/>
        <v>0</v>
      </c>
      <c r="S120" s="143"/>
      <c r="T120" s="9">
        <f t="shared" si="21"/>
        <v>0</v>
      </c>
      <c r="U120" s="8" t="str">
        <f t="array" ref="U120">IF(T120&gt;5,"Perlu Pengendalian",IF(AND(T120&gt;=0,Q120&gt;0),"Tidak Perlu Pengendalian","Belum Sensus"))</f>
        <v>Belum Sensus</v>
      </c>
      <c r="V120" s="143"/>
      <c r="W120" s="9">
        <f t="array" ref="W120">IFERROR(V120/Q120*100,0)</f>
        <v>0</v>
      </c>
      <c r="X120" s="11"/>
      <c r="Y120" s="143">
        <v>0</v>
      </c>
      <c r="Z120" s="9">
        <f t="shared" si="25"/>
        <v>0</v>
      </c>
      <c r="AA120" s="143">
        <v>0</v>
      </c>
      <c r="AB120" s="9">
        <f t="shared" si="22"/>
        <v>0</v>
      </c>
      <c r="AC120" s="8" t="str">
        <f t="array" ref="AC120">IF(AB120&gt;5,"Perlu Pengendalian",IF(AND(AB120&gt;=0,Y120&gt;0),"Tidak Perlu Pengendalian","Belum Sensus"))</f>
        <v>Belum Sensus</v>
      </c>
      <c r="AD120" s="143">
        <v>0</v>
      </c>
      <c r="AE120" s="9">
        <f t="array" ref="AE120">IFERROR(AD120/Y120*100,0)</f>
        <v>0</v>
      </c>
      <c r="AG120" s="206">
        <v>2.083333333333333</v>
      </c>
      <c r="AH120" s="206">
        <v>4.1120000000000001</v>
      </c>
      <c r="AI120" s="206">
        <v>0</v>
      </c>
    </row>
    <row r="121" spans="1:35" outlineLevel="1" x14ac:dyDescent="0.15">
      <c r="A121" s="8" t="s">
        <v>949</v>
      </c>
      <c r="B121" s="8"/>
      <c r="C121" s="8" t="s">
        <v>173</v>
      </c>
      <c r="D121" s="8" t="s">
        <v>1004</v>
      </c>
      <c r="E121" s="9">
        <v>43.050000000000004</v>
      </c>
      <c r="F121" s="8" t="s">
        <v>469</v>
      </c>
      <c r="G121" s="10">
        <v>5629.0000000000009</v>
      </c>
      <c r="H121" s="11">
        <f t="shared" si="26"/>
        <v>0</v>
      </c>
      <c r="I121" s="143">
        <f t="shared" si="27"/>
        <v>0</v>
      </c>
      <c r="J121" s="9">
        <f t="array" ref="J121">IFERROR(I121/G121*100,0)</f>
        <v>0</v>
      </c>
      <c r="K121" s="143">
        <f t="shared" si="28"/>
        <v>0</v>
      </c>
      <c r="L121" s="9">
        <f t="shared" si="23"/>
        <v>0</v>
      </c>
      <c r="M121" s="8" t="str">
        <f t="array" ref="M121">IF(L121&gt;5,"Perlu Pengendalian",IF(AND(L121&gt;=0,I121&gt;0),"Tidak Perlu Pengendalian","Belum Sensus"))</f>
        <v>Belum Sensus</v>
      </c>
      <c r="N121" s="143">
        <f t="shared" si="29"/>
        <v>0</v>
      </c>
      <c r="O121" s="9">
        <f t="array" ref="O121">IFERROR(N121/I121*100,0)</f>
        <v>0</v>
      </c>
      <c r="P121" s="11"/>
      <c r="Q121" s="143"/>
      <c r="R121" s="9">
        <f t="shared" si="24"/>
        <v>0</v>
      </c>
      <c r="S121" s="143"/>
      <c r="T121" s="9">
        <f t="shared" si="21"/>
        <v>0</v>
      </c>
      <c r="U121" s="8" t="str">
        <f t="array" ref="U121">IF(T121&gt;5,"Perlu Pengendalian",IF(AND(T121&gt;=0,Q121&gt;0),"Tidak Perlu Pengendalian","Belum Sensus"))</f>
        <v>Belum Sensus</v>
      </c>
      <c r="V121" s="143"/>
      <c r="W121" s="9">
        <f t="array" ref="W121">IFERROR(V121/Q121*100,0)</f>
        <v>0</v>
      </c>
      <c r="X121" s="11"/>
      <c r="Y121" s="143">
        <v>0</v>
      </c>
      <c r="Z121" s="9">
        <f t="shared" si="25"/>
        <v>0</v>
      </c>
      <c r="AA121" s="143">
        <v>0</v>
      </c>
      <c r="AB121" s="9">
        <f t="shared" si="22"/>
        <v>0</v>
      </c>
      <c r="AC121" s="8" t="str">
        <f t="array" ref="AC121">IF(AB121&gt;5,"Perlu Pengendalian",IF(AND(AB121&gt;=0,Y121&gt;0),"Tidak Perlu Pengendalian","Belum Sensus"))</f>
        <v>Belum Sensus</v>
      </c>
      <c r="AD121" s="143">
        <v>0</v>
      </c>
      <c r="AE121" s="9">
        <f t="array" ref="AE121">IFERROR(AD121/Y121*100,0)</f>
        <v>0</v>
      </c>
      <c r="AG121" s="206">
        <v>0</v>
      </c>
      <c r="AH121" s="206">
        <v>3.34</v>
      </c>
      <c r="AI121" s="206">
        <v>2.459016393442623</v>
      </c>
    </row>
    <row r="122" spans="1:35" outlineLevel="1" x14ac:dyDescent="0.15">
      <c r="A122" s="8" t="s">
        <v>949</v>
      </c>
      <c r="B122" s="8"/>
      <c r="C122" s="8" t="s">
        <v>173</v>
      </c>
      <c r="D122" s="8" t="s">
        <v>1005</v>
      </c>
      <c r="E122" s="9">
        <v>39.35</v>
      </c>
      <c r="F122" s="8" t="s">
        <v>469</v>
      </c>
      <c r="G122" s="10">
        <v>4253</v>
      </c>
      <c r="H122" s="11">
        <f t="shared" si="26"/>
        <v>0</v>
      </c>
      <c r="I122" s="143">
        <f t="shared" si="27"/>
        <v>0</v>
      </c>
      <c r="J122" s="9">
        <f t="array" ref="J122">IFERROR(I122/G122*100,0)</f>
        <v>0</v>
      </c>
      <c r="K122" s="143">
        <f t="shared" si="28"/>
        <v>0</v>
      </c>
      <c r="L122" s="9">
        <f t="shared" si="23"/>
        <v>0</v>
      </c>
      <c r="M122" s="8" t="str">
        <f t="array" ref="M122">IF(L122&gt;5,"Perlu Pengendalian",IF(AND(L122&gt;=0,I122&gt;0),"Tidak Perlu Pengendalian","Belum Sensus"))</f>
        <v>Belum Sensus</v>
      </c>
      <c r="N122" s="143">
        <f t="shared" si="29"/>
        <v>0</v>
      </c>
      <c r="O122" s="9">
        <f t="array" ref="O122">IFERROR(N122/I122*100,0)</f>
        <v>0</v>
      </c>
      <c r="P122" s="11"/>
      <c r="Q122" s="143"/>
      <c r="R122" s="9">
        <f t="shared" si="24"/>
        <v>0</v>
      </c>
      <c r="S122" s="143"/>
      <c r="T122" s="9">
        <f t="shared" si="21"/>
        <v>0</v>
      </c>
      <c r="U122" s="8" t="str">
        <f t="array" ref="U122">IF(T122&gt;5,"Perlu Pengendalian",IF(AND(T122&gt;=0,Q122&gt;0),"Tidak Perlu Pengendalian","Belum Sensus"))</f>
        <v>Belum Sensus</v>
      </c>
      <c r="V122" s="143"/>
      <c r="W122" s="9">
        <f t="array" ref="W122">IFERROR(V122/Q122*100,0)</f>
        <v>0</v>
      </c>
      <c r="X122" s="11"/>
      <c r="Y122" s="143">
        <v>0</v>
      </c>
      <c r="Z122" s="9">
        <f t="shared" si="25"/>
        <v>0</v>
      </c>
      <c r="AA122" s="143">
        <v>0</v>
      </c>
      <c r="AB122" s="9">
        <f t="shared" si="22"/>
        <v>0</v>
      </c>
      <c r="AC122" s="8" t="str">
        <f t="array" ref="AC122">IF(AB122&gt;5,"Perlu Pengendalian",IF(AND(AB122&gt;=0,Y122&gt;0),"Tidak Perlu Pengendalian","Belum Sensus"))</f>
        <v>Belum Sensus</v>
      </c>
      <c r="AD122" s="143">
        <v>0</v>
      </c>
      <c r="AE122" s="9">
        <f t="array" ref="AE122">IFERROR(AD122/Y122*100,0)</f>
        <v>0</v>
      </c>
      <c r="AG122" s="206">
        <v>0</v>
      </c>
      <c r="AH122" s="206">
        <v>2.21</v>
      </c>
      <c r="AI122" s="206">
        <v>6.3025210084033612</v>
      </c>
    </row>
    <row r="123" spans="1:35" outlineLevel="1" x14ac:dyDescent="0.15">
      <c r="A123" s="8" t="s">
        <v>949</v>
      </c>
      <c r="B123" s="8"/>
      <c r="C123" s="8" t="s">
        <v>173</v>
      </c>
      <c r="D123" s="8" t="s">
        <v>1784</v>
      </c>
      <c r="E123" s="9">
        <v>36.700000000000003</v>
      </c>
      <c r="F123" s="8" t="s">
        <v>469</v>
      </c>
      <c r="G123" s="10">
        <v>505</v>
      </c>
      <c r="H123" s="11">
        <f t="shared" si="26"/>
        <v>0</v>
      </c>
      <c r="I123" s="143">
        <f t="shared" si="27"/>
        <v>0</v>
      </c>
      <c r="J123" s="9">
        <f t="array" ref="J123">IFERROR(I123/G123*100,0)</f>
        <v>0</v>
      </c>
      <c r="K123" s="143">
        <f t="shared" si="28"/>
        <v>0</v>
      </c>
      <c r="L123" s="9">
        <f t="shared" si="23"/>
        <v>0</v>
      </c>
      <c r="M123" s="8" t="str">
        <f t="array" ref="M123">IF(L123&gt;5,"Perlu Pengendalian",IF(AND(L123&gt;=0,I123&gt;0),"Tidak Perlu Pengendalian","Belum Sensus"))</f>
        <v>Belum Sensus</v>
      </c>
      <c r="N123" s="143">
        <f t="shared" si="29"/>
        <v>0</v>
      </c>
      <c r="O123" s="9">
        <f t="array" ref="O123">IFERROR(N123/I123*100,0)</f>
        <v>0</v>
      </c>
      <c r="P123" s="11"/>
      <c r="Q123" s="143"/>
      <c r="R123" s="9">
        <f t="shared" si="24"/>
        <v>0</v>
      </c>
      <c r="S123" s="143"/>
      <c r="T123" s="9">
        <f t="shared" si="21"/>
        <v>0</v>
      </c>
      <c r="U123" s="8" t="str">
        <f t="array" ref="U123">IF(T123&gt;5,"Perlu Pengendalian",IF(AND(T123&gt;=0,Q123&gt;0),"Tidak Perlu Pengendalian","Belum Sensus"))</f>
        <v>Belum Sensus</v>
      </c>
      <c r="V123" s="143"/>
      <c r="W123" s="9">
        <f t="array" ref="W123">IFERROR(V123/Q123*100,0)</f>
        <v>0</v>
      </c>
      <c r="X123" s="11"/>
      <c r="Y123" s="143">
        <v>0</v>
      </c>
      <c r="Z123" s="9">
        <f t="shared" si="25"/>
        <v>0</v>
      </c>
      <c r="AA123" s="143">
        <v>0</v>
      </c>
      <c r="AB123" s="9">
        <f t="shared" si="22"/>
        <v>0</v>
      </c>
      <c r="AC123" s="8" t="str">
        <f t="array" ref="AC123">IF(AB123&gt;5,"Perlu Pengendalian",IF(AND(AB123&gt;=0,Y123&gt;0),"Tidak Perlu Pengendalian","Belum Sensus"))</f>
        <v>Belum Sensus</v>
      </c>
      <c r="AD123" s="143">
        <v>0</v>
      </c>
      <c r="AE123" s="9">
        <f t="array" ref="AE123">IFERROR(AD123/Y123*100,0)</f>
        <v>0</v>
      </c>
      <c r="AG123" s="206">
        <v>0</v>
      </c>
      <c r="AH123" s="206">
        <v>1.1599999999999999</v>
      </c>
      <c r="AI123" s="206">
        <v>4.2232277526395174</v>
      </c>
    </row>
    <row r="124" spans="1:35" outlineLevel="1" x14ac:dyDescent="0.15">
      <c r="A124" s="8" t="s">
        <v>949</v>
      </c>
      <c r="B124" s="8"/>
      <c r="C124" s="8" t="s">
        <v>173</v>
      </c>
      <c r="D124" s="8" t="s">
        <v>1785</v>
      </c>
      <c r="E124" s="179">
        <v>33.389999999999993</v>
      </c>
      <c r="F124" s="8" t="s">
        <v>469</v>
      </c>
      <c r="G124" s="10">
        <v>3136</v>
      </c>
      <c r="H124" s="11">
        <f t="shared" si="26"/>
        <v>0</v>
      </c>
      <c r="I124" s="143">
        <f t="shared" si="27"/>
        <v>0</v>
      </c>
      <c r="J124" s="9">
        <f t="array" ref="J124">IFERROR(I124/G124*100,0)</f>
        <v>0</v>
      </c>
      <c r="K124" s="143">
        <f t="shared" si="28"/>
        <v>0</v>
      </c>
      <c r="L124" s="9">
        <f t="shared" si="23"/>
        <v>0</v>
      </c>
      <c r="M124" s="8" t="str">
        <f t="array" ref="M124">IF(L124&gt;5,"Perlu Pengendalian",IF(AND(L124&gt;=0,I124&gt;0),"Tidak Perlu Pengendalian","Belum Sensus"))</f>
        <v>Belum Sensus</v>
      </c>
      <c r="N124" s="143">
        <f t="shared" si="29"/>
        <v>0</v>
      </c>
      <c r="O124" s="9">
        <f t="array" ref="O124">IFERROR(N124/I124*100,0)</f>
        <v>0</v>
      </c>
      <c r="P124" s="11"/>
      <c r="Q124" s="143"/>
      <c r="R124" s="9">
        <f t="shared" si="24"/>
        <v>0</v>
      </c>
      <c r="S124" s="143"/>
      <c r="T124" s="9">
        <f t="shared" si="21"/>
        <v>0</v>
      </c>
      <c r="U124" s="8" t="str">
        <f t="array" ref="U124">IF(T124&gt;5,"Perlu Pengendalian",IF(AND(T124&gt;=0,Q124&gt;0),"Tidak Perlu Pengendalian","Belum Sensus"))</f>
        <v>Belum Sensus</v>
      </c>
      <c r="V124" s="143"/>
      <c r="W124" s="9">
        <f t="array" ref="W124">IFERROR(V124/Q124*100,0)</f>
        <v>0</v>
      </c>
      <c r="X124" s="11"/>
      <c r="Y124" s="143">
        <v>0</v>
      </c>
      <c r="Z124" s="9">
        <f t="shared" si="25"/>
        <v>0</v>
      </c>
      <c r="AA124" s="143">
        <v>0</v>
      </c>
      <c r="AB124" s="9">
        <f t="shared" si="22"/>
        <v>0</v>
      </c>
      <c r="AC124" s="8" t="str">
        <f t="array" ref="AC124">IF(AB124&gt;5,"Perlu Pengendalian",IF(AND(AB124&gt;=0,Y124&gt;0),"Tidak Perlu Pengendalian","Belum Sensus"))</f>
        <v>Belum Sensus</v>
      </c>
      <c r="AD124" s="143">
        <v>0</v>
      </c>
      <c r="AE124" s="9">
        <f t="array" ref="AE124">IFERROR(AD124/Y124*100,0)</f>
        <v>0</v>
      </c>
      <c r="AG124" s="206">
        <v>0</v>
      </c>
      <c r="AH124" s="206">
        <v>3.36</v>
      </c>
      <c r="AI124" s="206">
        <v>7.6502732240437163</v>
      </c>
    </row>
    <row r="125" spans="1:35" outlineLevel="1" x14ac:dyDescent="0.15">
      <c r="A125" s="8" t="s">
        <v>949</v>
      </c>
      <c r="B125" s="8"/>
      <c r="C125" s="8" t="s">
        <v>173</v>
      </c>
      <c r="D125" s="8" t="s">
        <v>1423</v>
      </c>
      <c r="E125" s="179">
        <v>29.35</v>
      </c>
      <c r="F125" s="8" t="s">
        <v>469</v>
      </c>
      <c r="G125" s="10">
        <v>3003</v>
      </c>
      <c r="H125" s="11">
        <f t="shared" si="26"/>
        <v>0</v>
      </c>
      <c r="I125" s="143">
        <f t="shared" si="27"/>
        <v>0</v>
      </c>
      <c r="J125" s="9">
        <f t="array" ref="J125">IFERROR(I125/G125*100,0)</f>
        <v>0</v>
      </c>
      <c r="K125" s="143">
        <f t="shared" si="28"/>
        <v>0</v>
      </c>
      <c r="L125" s="9">
        <f t="shared" si="23"/>
        <v>0</v>
      </c>
      <c r="M125" s="8" t="str">
        <f t="array" ref="M125">IF(L125&gt;5,"Perlu Pengendalian",IF(AND(L125&gt;=0,I125&gt;0),"Tidak Perlu Pengendalian","Belum Sensus"))</f>
        <v>Belum Sensus</v>
      </c>
      <c r="N125" s="143">
        <f t="shared" si="29"/>
        <v>0</v>
      </c>
      <c r="O125" s="9">
        <f t="array" ref="O125">IFERROR(N125/I125*100,0)</f>
        <v>0</v>
      </c>
      <c r="P125" s="11"/>
      <c r="Q125" s="143"/>
      <c r="R125" s="9">
        <f t="shared" si="24"/>
        <v>0</v>
      </c>
      <c r="S125" s="143"/>
      <c r="T125" s="9">
        <f t="shared" si="21"/>
        <v>0</v>
      </c>
      <c r="U125" s="8" t="str">
        <f t="array" ref="U125">IF(T125&gt;5,"Perlu Pengendalian",IF(AND(T125&gt;=0,Q125&gt;0),"Tidak Perlu Pengendalian","Belum Sensus"))</f>
        <v>Belum Sensus</v>
      </c>
      <c r="V125" s="143"/>
      <c r="W125" s="9">
        <f t="array" ref="W125">IFERROR(V125/Q125*100,0)</f>
        <v>0</v>
      </c>
      <c r="X125" s="11"/>
      <c r="Y125" s="143">
        <v>0</v>
      </c>
      <c r="Z125" s="9">
        <f t="shared" si="25"/>
        <v>0</v>
      </c>
      <c r="AA125" s="143">
        <v>0</v>
      </c>
      <c r="AB125" s="9">
        <f t="shared" si="22"/>
        <v>0</v>
      </c>
      <c r="AC125" s="8" t="str">
        <f t="array" ref="AC125">IF(AB125&gt;5,"Perlu Pengendalian",IF(AND(AB125&gt;=0,Y125&gt;0),"Tidak Perlu Pengendalian","Belum Sensus"))</f>
        <v>Belum Sensus</v>
      </c>
      <c r="AD125" s="143">
        <v>0</v>
      </c>
      <c r="AE125" s="9">
        <f t="array" ref="AE125">IFERROR(AD125/Y125*100,0)</f>
        <v>0</v>
      </c>
      <c r="AG125" s="206">
        <v>0</v>
      </c>
      <c r="AH125" s="206">
        <v>4.18</v>
      </c>
      <c r="AI125" s="206">
        <v>0.42194092827004215</v>
      </c>
    </row>
    <row r="126" spans="1:35" outlineLevel="1" x14ac:dyDescent="0.15">
      <c r="A126" s="8" t="s">
        <v>949</v>
      </c>
      <c r="B126" s="8"/>
      <c r="C126" s="8" t="s">
        <v>173</v>
      </c>
      <c r="D126" s="8" t="s">
        <v>1431</v>
      </c>
      <c r="E126" s="9">
        <v>33.56</v>
      </c>
      <c r="F126" s="8" t="s">
        <v>469</v>
      </c>
      <c r="G126" s="10">
        <v>462</v>
      </c>
      <c r="H126" s="11">
        <f t="shared" si="26"/>
        <v>0</v>
      </c>
      <c r="I126" s="143">
        <f t="shared" si="27"/>
        <v>0</v>
      </c>
      <c r="J126" s="9">
        <f t="array" ref="J126">IFERROR(I126/G126*100,0)</f>
        <v>0</v>
      </c>
      <c r="K126" s="143">
        <f t="shared" si="28"/>
        <v>0</v>
      </c>
      <c r="L126" s="9">
        <f t="shared" si="23"/>
        <v>0</v>
      </c>
      <c r="M126" s="8" t="str">
        <f t="array" ref="M126">IF(L126&gt;5,"Perlu Pengendalian",IF(AND(L126&gt;=0,I126&gt;0),"Tidak Perlu Pengendalian","Belum Sensus"))</f>
        <v>Belum Sensus</v>
      </c>
      <c r="N126" s="143">
        <f t="shared" si="29"/>
        <v>0</v>
      </c>
      <c r="O126" s="9">
        <f t="array" ref="O126">IFERROR(N126/I126*100,0)</f>
        <v>0</v>
      </c>
      <c r="P126" s="11"/>
      <c r="Q126" s="143"/>
      <c r="R126" s="9">
        <f t="shared" si="24"/>
        <v>0</v>
      </c>
      <c r="S126" s="143"/>
      <c r="T126" s="9">
        <f t="shared" si="21"/>
        <v>0</v>
      </c>
      <c r="U126" s="8" t="str">
        <f t="array" ref="U126">IF(T126&gt;5,"Perlu Pengendalian",IF(AND(T126&gt;=0,Q126&gt;0),"Tidak Perlu Pengendalian","Belum Sensus"))</f>
        <v>Belum Sensus</v>
      </c>
      <c r="V126" s="143"/>
      <c r="W126" s="9">
        <f t="array" ref="W126">IFERROR(V126/Q126*100,0)</f>
        <v>0</v>
      </c>
      <c r="X126" s="11"/>
      <c r="Y126" s="143">
        <v>0</v>
      </c>
      <c r="Z126" s="9">
        <f t="shared" si="25"/>
        <v>0</v>
      </c>
      <c r="AA126" s="143">
        <v>0</v>
      </c>
      <c r="AB126" s="9">
        <f t="shared" si="22"/>
        <v>0</v>
      </c>
      <c r="AC126" s="8" t="str">
        <f t="array" ref="AC126">IF(AB126&gt;5,"Perlu Pengendalian",IF(AND(AB126&gt;=0,Y126&gt;0),"Tidak Perlu Pengendalian","Belum Sensus"))</f>
        <v>Belum Sensus</v>
      </c>
      <c r="AD126" s="143">
        <v>0</v>
      </c>
      <c r="AE126" s="9">
        <f t="array" ref="AE126">IFERROR(AD126/Y126*100,0)</f>
        <v>0</v>
      </c>
      <c r="AG126" s="206">
        <v>2.1739130434782608</v>
      </c>
      <c r="AH126" s="206">
        <v>2.25</v>
      </c>
      <c r="AI126" s="206">
        <v>0</v>
      </c>
    </row>
    <row r="127" spans="1:35" outlineLevel="1" x14ac:dyDescent="0.15">
      <c r="A127" s="8" t="s">
        <v>949</v>
      </c>
      <c r="B127" s="8"/>
      <c r="C127" s="8" t="s">
        <v>173</v>
      </c>
      <c r="D127" s="8" t="s">
        <v>1432</v>
      </c>
      <c r="E127" s="9">
        <v>41.22</v>
      </c>
      <c r="F127" s="8" t="s">
        <v>469</v>
      </c>
      <c r="G127" s="10">
        <v>1751.0000000000002</v>
      </c>
      <c r="H127" s="11">
        <f t="shared" si="26"/>
        <v>0</v>
      </c>
      <c r="I127" s="143">
        <f t="shared" si="27"/>
        <v>0</v>
      </c>
      <c r="J127" s="9">
        <f t="array" ref="J127">IFERROR(I127/G127*100,0)</f>
        <v>0</v>
      </c>
      <c r="K127" s="143">
        <f t="shared" si="28"/>
        <v>0</v>
      </c>
      <c r="L127" s="9">
        <f t="shared" si="23"/>
        <v>0</v>
      </c>
      <c r="M127" s="8" t="str">
        <f t="array" ref="M127">IF(L127&gt;5,"Perlu Pengendalian",IF(AND(L127&gt;=0,I127&gt;0),"Tidak Perlu Pengendalian","Belum Sensus"))</f>
        <v>Belum Sensus</v>
      </c>
      <c r="N127" s="143">
        <f t="shared" si="29"/>
        <v>0</v>
      </c>
      <c r="O127" s="9">
        <f t="array" ref="O127">IFERROR(N127/I127*100,0)</f>
        <v>0</v>
      </c>
      <c r="P127" s="11"/>
      <c r="Q127" s="143"/>
      <c r="R127" s="9">
        <f t="shared" si="24"/>
        <v>0</v>
      </c>
      <c r="S127" s="143"/>
      <c r="T127" s="9">
        <f t="shared" si="21"/>
        <v>0</v>
      </c>
      <c r="U127" s="8" t="str">
        <f t="array" ref="U127">IF(T127&gt;5,"Perlu Pengendalian",IF(AND(T127&gt;=0,Q127&gt;0),"Tidak Perlu Pengendalian","Belum Sensus"))</f>
        <v>Belum Sensus</v>
      </c>
      <c r="V127" s="143"/>
      <c r="W127" s="9">
        <f t="array" ref="W127">IFERROR(V127/Q127*100,0)</f>
        <v>0</v>
      </c>
      <c r="X127" s="11"/>
      <c r="Y127" s="143">
        <v>0</v>
      </c>
      <c r="Z127" s="9">
        <f t="shared" si="25"/>
        <v>0</v>
      </c>
      <c r="AA127" s="143">
        <v>0</v>
      </c>
      <c r="AB127" s="9">
        <f t="shared" si="22"/>
        <v>0</v>
      </c>
      <c r="AC127" s="8" t="str">
        <f t="array" ref="AC127">IF(AB127&gt;5,"Perlu Pengendalian",IF(AND(AB127&gt;=0,Y127&gt;0),"Tidak Perlu Pengendalian","Belum Sensus"))</f>
        <v>Belum Sensus</v>
      </c>
      <c r="AD127" s="143">
        <v>0</v>
      </c>
      <c r="AE127" s="9">
        <f t="array" ref="AE127">IFERROR(AD127/Y127*100,0)</f>
        <v>0</v>
      </c>
      <c r="AG127" s="206">
        <v>2.5906735751295336</v>
      </c>
      <c r="AH127" s="206">
        <v>2.81</v>
      </c>
      <c r="AI127" s="206">
        <v>0.40485829959514169</v>
      </c>
    </row>
    <row r="128" spans="1:35" outlineLevel="1" x14ac:dyDescent="0.15">
      <c r="A128" s="8" t="s">
        <v>949</v>
      </c>
      <c r="B128" s="8"/>
      <c r="C128" s="8" t="s">
        <v>173</v>
      </c>
      <c r="D128" s="8" t="s">
        <v>1366</v>
      </c>
      <c r="E128" s="9">
        <v>43.31</v>
      </c>
      <c r="F128" s="8" t="s">
        <v>469</v>
      </c>
      <c r="G128" s="10">
        <v>3231</v>
      </c>
      <c r="H128" s="11">
        <f t="shared" si="26"/>
        <v>0</v>
      </c>
      <c r="I128" s="143">
        <f t="shared" si="27"/>
        <v>0</v>
      </c>
      <c r="J128" s="9">
        <f t="array" ref="J128">IFERROR(I128/G128*100,0)</f>
        <v>0</v>
      </c>
      <c r="K128" s="143">
        <f t="shared" si="28"/>
        <v>0</v>
      </c>
      <c r="L128" s="9">
        <f t="shared" si="23"/>
        <v>0</v>
      </c>
      <c r="M128" s="8" t="str">
        <f t="array" ref="M128">IF(L128&gt;5,"Perlu Pengendalian",IF(AND(L128&gt;=0,I128&gt;0),"Tidak Perlu Pengendalian","Belum Sensus"))</f>
        <v>Belum Sensus</v>
      </c>
      <c r="N128" s="143">
        <f t="shared" si="29"/>
        <v>0</v>
      </c>
      <c r="O128" s="9">
        <f t="array" ref="O128">IFERROR(N128/I128*100,0)</f>
        <v>0</v>
      </c>
      <c r="P128" s="11"/>
      <c r="Q128" s="143"/>
      <c r="R128" s="9">
        <f t="shared" si="24"/>
        <v>0</v>
      </c>
      <c r="S128" s="143"/>
      <c r="T128" s="9">
        <f t="shared" si="21"/>
        <v>0</v>
      </c>
      <c r="U128" s="8" t="str">
        <f t="array" ref="U128">IF(T128&gt;5,"Perlu Pengendalian",IF(AND(T128&gt;=0,Q128&gt;0),"Tidak Perlu Pengendalian","Belum Sensus"))</f>
        <v>Belum Sensus</v>
      </c>
      <c r="V128" s="143"/>
      <c r="W128" s="9">
        <f t="array" ref="W128">IFERROR(V128/Q128*100,0)</f>
        <v>0</v>
      </c>
      <c r="X128" s="11"/>
      <c r="Y128" s="143">
        <v>0</v>
      </c>
      <c r="Z128" s="9">
        <f t="shared" si="25"/>
        <v>0</v>
      </c>
      <c r="AA128" s="143">
        <v>0</v>
      </c>
      <c r="AB128" s="9">
        <f t="shared" si="22"/>
        <v>0</v>
      </c>
      <c r="AC128" s="8" t="str">
        <f t="array" ref="AC128">IF(AB128&gt;5,"Perlu Pengendalian",IF(AND(AB128&gt;=0,Y128&gt;0),"Tidak Perlu Pengendalian","Belum Sensus"))</f>
        <v>Belum Sensus</v>
      </c>
      <c r="AD128" s="143">
        <v>0</v>
      </c>
      <c r="AE128" s="9">
        <f t="array" ref="AE128">IFERROR(AD128/Y128*100,0)</f>
        <v>0</v>
      </c>
      <c r="AG128" s="206">
        <v>0</v>
      </c>
      <c r="AH128" s="206">
        <v>3.11</v>
      </c>
      <c r="AI128" s="206">
        <v>8.75</v>
      </c>
    </row>
    <row r="129" spans="1:35" outlineLevel="1" x14ac:dyDescent="0.15">
      <c r="A129" s="8" t="s">
        <v>949</v>
      </c>
      <c r="B129" s="8"/>
      <c r="C129" s="8" t="s">
        <v>173</v>
      </c>
      <c r="D129" s="8" t="s">
        <v>1390</v>
      </c>
      <c r="E129" s="179">
        <v>25.590000000000003</v>
      </c>
      <c r="F129" s="8" t="s">
        <v>469</v>
      </c>
      <c r="G129" s="10">
        <v>1863</v>
      </c>
      <c r="H129" s="11">
        <f t="shared" si="26"/>
        <v>0</v>
      </c>
      <c r="I129" s="143">
        <f t="shared" si="27"/>
        <v>0</v>
      </c>
      <c r="J129" s="9">
        <f t="array" ref="J129">IFERROR(I129/G129*100,0)</f>
        <v>0</v>
      </c>
      <c r="K129" s="143">
        <f t="shared" si="28"/>
        <v>0</v>
      </c>
      <c r="L129" s="9">
        <f t="shared" si="23"/>
        <v>0</v>
      </c>
      <c r="M129" s="8" t="str">
        <f t="array" ref="M129">IF(L129&gt;5,"Perlu Pengendalian",IF(AND(L129&gt;=0,I129&gt;0),"Tidak Perlu Pengendalian","Belum Sensus"))</f>
        <v>Belum Sensus</v>
      </c>
      <c r="N129" s="143">
        <f t="shared" si="29"/>
        <v>0</v>
      </c>
      <c r="O129" s="9">
        <f t="array" ref="O129">IFERROR(N129/I129*100,0)</f>
        <v>0</v>
      </c>
      <c r="P129" s="11"/>
      <c r="Q129" s="143"/>
      <c r="R129" s="9">
        <f t="shared" si="24"/>
        <v>0</v>
      </c>
      <c r="S129" s="143"/>
      <c r="T129" s="9">
        <f t="shared" si="21"/>
        <v>0</v>
      </c>
      <c r="U129" s="8" t="str">
        <f t="array" ref="U129">IF(T129&gt;5,"Perlu Pengendalian",IF(AND(T129&gt;=0,Q129&gt;0),"Tidak Perlu Pengendalian","Belum Sensus"))</f>
        <v>Belum Sensus</v>
      </c>
      <c r="V129" s="143"/>
      <c r="W129" s="9">
        <f t="array" ref="W129">IFERROR(V129/Q129*100,0)</f>
        <v>0</v>
      </c>
      <c r="X129" s="11"/>
      <c r="Y129" s="143">
        <v>0</v>
      </c>
      <c r="Z129" s="9">
        <f t="shared" si="25"/>
        <v>0</v>
      </c>
      <c r="AA129" s="143">
        <v>0</v>
      </c>
      <c r="AB129" s="9">
        <f t="shared" si="22"/>
        <v>0</v>
      </c>
      <c r="AC129" s="8" t="str">
        <f t="array" ref="AC129">IF(AB129&gt;5,"Perlu Pengendalian",IF(AND(AB129&gt;=0,Y129&gt;0),"Tidak Perlu Pengendalian","Belum Sensus"))</f>
        <v>Belum Sensus</v>
      </c>
      <c r="AD129" s="143">
        <v>0</v>
      </c>
      <c r="AE129" s="9">
        <f t="array" ref="AE129">IFERROR(AD129/Y129*100,0)</f>
        <v>0</v>
      </c>
      <c r="AG129" s="206">
        <v>0</v>
      </c>
      <c r="AH129" s="206">
        <v>2.94</v>
      </c>
      <c r="AI129" s="206">
        <v>3.3195020746887969</v>
      </c>
    </row>
    <row r="130" spans="1:35" outlineLevel="1" x14ac:dyDescent="0.15">
      <c r="A130" s="8" t="s">
        <v>949</v>
      </c>
      <c r="B130" s="8"/>
      <c r="C130" s="8" t="s">
        <v>173</v>
      </c>
      <c r="D130" s="8" t="s">
        <v>1002</v>
      </c>
      <c r="E130" s="9">
        <v>24.02</v>
      </c>
      <c r="F130" s="8" t="s">
        <v>469</v>
      </c>
      <c r="G130" s="10">
        <v>1736.9999999999998</v>
      </c>
      <c r="H130" s="11">
        <f t="shared" si="26"/>
        <v>0</v>
      </c>
      <c r="I130" s="143">
        <f t="shared" si="27"/>
        <v>0</v>
      </c>
      <c r="J130" s="9">
        <f t="array" ref="J130">IFERROR(I130/G130*100,0)</f>
        <v>0</v>
      </c>
      <c r="K130" s="143">
        <f t="shared" si="28"/>
        <v>0</v>
      </c>
      <c r="L130" s="9">
        <f t="shared" si="23"/>
        <v>0</v>
      </c>
      <c r="M130" s="8" t="str">
        <f t="array" ref="M130">IF(L130&gt;5,"Perlu Pengendalian",IF(AND(L130&gt;=0,I130&gt;0),"Tidak Perlu Pengendalian","Belum Sensus"))</f>
        <v>Belum Sensus</v>
      </c>
      <c r="N130" s="143">
        <f t="shared" si="29"/>
        <v>0</v>
      </c>
      <c r="O130" s="9">
        <f t="array" ref="O130">IFERROR(N130/I130*100,0)</f>
        <v>0</v>
      </c>
      <c r="P130" s="11"/>
      <c r="Q130" s="143"/>
      <c r="R130" s="9">
        <f t="shared" si="24"/>
        <v>0</v>
      </c>
      <c r="S130" s="143"/>
      <c r="T130" s="9">
        <f t="shared" si="21"/>
        <v>0</v>
      </c>
      <c r="U130" s="8" t="str">
        <f t="array" ref="U130">IF(T130&gt;5,"Perlu Pengendalian",IF(AND(T130&gt;=0,Q130&gt;0),"Tidak Perlu Pengendalian","Belum Sensus"))</f>
        <v>Belum Sensus</v>
      </c>
      <c r="V130" s="143"/>
      <c r="W130" s="9">
        <f t="array" ref="W130">IFERROR(V130/Q130*100,0)</f>
        <v>0</v>
      </c>
      <c r="X130" s="11"/>
      <c r="Y130" s="143">
        <v>0</v>
      </c>
      <c r="Z130" s="9">
        <f t="shared" si="25"/>
        <v>0</v>
      </c>
      <c r="AA130" s="143">
        <v>0</v>
      </c>
      <c r="AB130" s="9">
        <f t="shared" si="22"/>
        <v>0</v>
      </c>
      <c r="AC130" s="8" t="str">
        <f t="array" ref="AC130">IF(AB130&gt;5,"Perlu Pengendalian",IF(AND(AB130&gt;=0,Y130&gt;0),"Tidak Perlu Pengendalian","Belum Sensus"))</f>
        <v>Belum Sensus</v>
      </c>
      <c r="AD130" s="143">
        <v>0</v>
      </c>
      <c r="AE130" s="9">
        <f t="array" ref="AE130">IFERROR(AD130/Y130*100,0)</f>
        <v>0</v>
      </c>
      <c r="AG130" s="206">
        <v>0</v>
      </c>
      <c r="AH130" s="206">
        <v>1.72</v>
      </c>
      <c r="AI130" s="206">
        <v>5.7692307692307692</v>
      </c>
    </row>
    <row r="131" spans="1:35" outlineLevel="1" x14ac:dyDescent="0.15">
      <c r="A131" s="8" t="s">
        <v>949</v>
      </c>
      <c r="B131" s="8"/>
      <c r="C131" s="8" t="s">
        <v>173</v>
      </c>
      <c r="D131" s="8" t="s">
        <v>1391</v>
      </c>
      <c r="E131" s="180">
        <v>38.21</v>
      </c>
      <c r="F131" s="8" t="s">
        <v>469</v>
      </c>
      <c r="G131" s="10">
        <v>2859</v>
      </c>
      <c r="H131" s="11">
        <f t="shared" si="26"/>
        <v>0</v>
      </c>
      <c r="I131" s="143">
        <f t="shared" si="27"/>
        <v>0</v>
      </c>
      <c r="J131" s="9">
        <f t="array" ref="J131">IFERROR(I131/G131*100,0)</f>
        <v>0</v>
      </c>
      <c r="K131" s="143">
        <f t="shared" si="28"/>
        <v>0</v>
      </c>
      <c r="L131" s="9">
        <f t="shared" si="23"/>
        <v>0</v>
      </c>
      <c r="M131" s="8" t="str">
        <f t="array" ref="M131">IF(L131&gt;5,"Perlu Pengendalian",IF(AND(L131&gt;=0,I131&gt;0),"Tidak Perlu Pengendalian","Belum Sensus"))</f>
        <v>Belum Sensus</v>
      </c>
      <c r="N131" s="143">
        <f t="shared" si="29"/>
        <v>0</v>
      </c>
      <c r="O131" s="9">
        <f t="array" ref="O131">IFERROR(N131/I131*100,0)</f>
        <v>0</v>
      </c>
      <c r="P131" s="11"/>
      <c r="Q131" s="143"/>
      <c r="R131" s="9">
        <f t="shared" si="24"/>
        <v>0</v>
      </c>
      <c r="S131" s="143"/>
      <c r="T131" s="9">
        <f t="shared" si="21"/>
        <v>0</v>
      </c>
      <c r="U131" s="8" t="str">
        <f t="array" ref="U131">IF(T131&gt;5,"Perlu Pengendalian",IF(AND(T131&gt;=0,Q131&gt;0),"Tidak Perlu Pengendalian","Belum Sensus"))</f>
        <v>Belum Sensus</v>
      </c>
      <c r="V131" s="143"/>
      <c r="W131" s="9">
        <f t="array" ref="W131">IFERROR(V131/Q131*100,0)</f>
        <v>0</v>
      </c>
      <c r="X131" s="11"/>
      <c r="Y131" s="143">
        <v>0</v>
      </c>
      <c r="Z131" s="9">
        <f t="shared" si="25"/>
        <v>0</v>
      </c>
      <c r="AA131" s="143">
        <v>0</v>
      </c>
      <c r="AB131" s="9">
        <f t="shared" si="22"/>
        <v>0</v>
      </c>
      <c r="AC131" s="8" t="str">
        <f t="array" ref="AC131">IF(AB131&gt;5,"Perlu Pengendalian",IF(AND(AB131&gt;=0,Y131&gt;0),"Tidak Perlu Pengendalian","Belum Sensus"))</f>
        <v>Belum Sensus</v>
      </c>
      <c r="AD131" s="143">
        <v>0</v>
      </c>
      <c r="AE131" s="9">
        <f t="array" ref="AE131">IFERROR(AD131/Y131*100,0)</f>
        <v>0</v>
      </c>
      <c r="AG131" s="206">
        <v>0.98522167487684731</v>
      </c>
      <c r="AH131" s="206">
        <v>1.77</v>
      </c>
      <c r="AI131" s="206">
        <v>0</v>
      </c>
    </row>
    <row r="132" spans="1:35" outlineLevel="1" x14ac:dyDescent="0.15">
      <c r="A132" s="8" t="s">
        <v>949</v>
      </c>
      <c r="B132" s="8"/>
      <c r="C132" s="8" t="s">
        <v>173</v>
      </c>
      <c r="D132" s="8" t="s">
        <v>1392</v>
      </c>
      <c r="E132" s="180">
        <v>41.36</v>
      </c>
      <c r="F132" s="8" t="s">
        <v>469</v>
      </c>
      <c r="G132" s="10">
        <v>3398</v>
      </c>
      <c r="H132" s="11">
        <f t="shared" si="26"/>
        <v>0</v>
      </c>
      <c r="I132" s="143">
        <f t="shared" si="27"/>
        <v>0</v>
      </c>
      <c r="J132" s="9">
        <f t="array" ref="J132">IFERROR(I132/G132*100,0)</f>
        <v>0</v>
      </c>
      <c r="K132" s="143">
        <f t="shared" si="28"/>
        <v>0</v>
      </c>
      <c r="L132" s="9">
        <f t="shared" si="23"/>
        <v>0</v>
      </c>
      <c r="M132" s="8" t="str">
        <f t="array" ref="M132">IF(L132&gt;5,"Perlu Pengendalian",IF(AND(L132&gt;=0,I132&gt;0),"Tidak Perlu Pengendalian","Belum Sensus"))</f>
        <v>Belum Sensus</v>
      </c>
      <c r="N132" s="143">
        <f t="shared" si="29"/>
        <v>0</v>
      </c>
      <c r="O132" s="9">
        <f t="array" ref="O132">IFERROR(N132/I132*100,0)</f>
        <v>0</v>
      </c>
      <c r="P132" s="11"/>
      <c r="Q132" s="143"/>
      <c r="R132" s="9">
        <f t="shared" si="24"/>
        <v>0</v>
      </c>
      <c r="S132" s="143"/>
      <c r="T132" s="9">
        <f t="shared" si="21"/>
        <v>0</v>
      </c>
      <c r="U132" s="8" t="str">
        <f t="array" ref="U132">IF(T132&gt;5,"Perlu Pengendalian",IF(AND(T132&gt;=0,Q132&gt;0),"Tidak Perlu Pengendalian","Belum Sensus"))</f>
        <v>Belum Sensus</v>
      </c>
      <c r="V132" s="143"/>
      <c r="W132" s="9">
        <f t="array" ref="W132">IFERROR(V132/Q132*100,0)</f>
        <v>0</v>
      </c>
      <c r="X132" s="11"/>
      <c r="Y132" s="143">
        <v>0</v>
      </c>
      <c r="Z132" s="9">
        <f t="shared" si="25"/>
        <v>0</v>
      </c>
      <c r="AA132" s="143">
        <v>0</v>
      </c>
      <c r="AB132" s="9">
        <f t="shared" si="22"/>
        <v>0</v>
      </c>
      <c r="AC132" s="8" t="str">
        <f t="array" ref="AC132">IF(AB132&gt;5,"Perlu Pengendalian",IF(AND(AB132&gt;=0,Y132&gt;0),"Tidak Perlu Pengendalian","Belum Sensus"))</f>
        <v>Belum Sensus</v>
      </c>
      <c r="AD132" s="143">
        <v>0</v>
      </c>
      <c r="AE132" s="9">
        <f t="array" ref="AE132">IFERROR(AD132/Y132*100,0)</f>
        <v>0</v>
      </c>
      <c r="AG132" s="206">
        <v>3.1496062992125982</v>
      </c>
      <c r="AH132" s="206">
        <v>4.1180000000000003</v>
      </c>
      <c r="AI132" s="206">
        <v>0</v>
      </c>
    </row>
    <row r="133" spans="1:35" outlineLevel="1" x14ac:dyDescent="0.15">
      <c r="A133" s="8" t="s">
        <v>949</v>
      </c>
      <c r="B133" s="8"/>
      <c r="C133" s="8" t="s">
        <v>173</v>
      </c>
      <c r="D133" s="8" t="s">
        <v>1007</v>
      </c>
      <c r="E133" s="9">
        <v>41.47</v>
      </c>
      <c r="F133" s="8" t="s">
        <v>469</v>
      </c>
      <c r="G133" s="10">
        <v>4362</v>
      </c>
      <c r="H133" s="11">
        <f t="shared" si="26"/>
        <v>0</v>
      </c>
      <c r="I133" s="143">
        <f t="shared" si="27"/>
        <v>0</v>
      </c>
      <c r="J133" s="9">
        <f t="array" ref="J133">IFERROR(I133/G133*100,0)</f>
        <v>0</v>
      </c>
      <c r="K133" s="143">
        <f t="shared" si="28"/>
        <v>0</v>
      </c>
      <c r="L133" s="9">
        <f t="shared" si="23"/>
        <v>0</v>
      </c>
      <c r="M133" s="8" t="str">
        <f t="array" ref="M133">IF(L133&gt;5,"Perlu Pengendalian",IF(AND(L133&gt;=0,I133&gt;0),"Tidak Perlu Pengendalian","Belum Sensus"))</f>
        <v>Belum Sensus</v>
      </c>
      <c r="N133" s="143">
        <f t="shared" si="29"/>
        <v>0</v>
      </c>
      <c r="O133" s="9">
        <f t="array" ref="O133">IFERROR(N133/I133*100,0)</f>
        <v>0</v>
      </c>
      <c r="P133" s="11"/>
      <c r="Q133" s="143"/>
      <c r="R133" s="9">
        <f t="shared" si="24"/>
        <v>0</v>
      </c>
      <c r="S133" s="143"/>
      <c r="T133" s="9">
        <f t="shared" si="21"/>
        <v>0</v>
      </c>
      <c r="U133" s="8" t="str">
        <f t="array" ref="U133">IF(T133&gt;5,"Perlu Pengendalian",IF(AND(T133&gt;=0,Q133&gt;0),"Tidak Perlu Pengendalian","Belum Sensus"))</f>
        <v>Belum Sensus</v>
      </c>
      <c r="V133" s="143"/>
      <c r="W133" s="9">
        <f t="array" ref="W133">IFERROR(V133/Q133*100,0)</f>
        <v>0</v>
      </c>
      <c r="X133" s="11"/>
      <c r="Y133" s="143">
        <v>0</v>
      </c>
      <c r="Z133" s="9">
        <f t="shared" si="25"/>
        <v>0</v>
      </c>
      <c r="AA133" s="143">
        <v>0</v>
      </c>
      <c r="AB133" s="9">
        <f t="shared" si="22"/>
        <v>0</v>
      </c>
      <c r="AC133" s="8" t="str">
        <f t="array" ref="AC133">IF(AB133&gt;5,"Perlu Pengendalian",IF(AND(AB133&gt;=0,Y133&gt;0),"Tidak Perlu Pengendalian","Belum Sensus"))</f>
        <v>Belum Sensus</v>
      </c>
      <c r="AD133" s="143">
        <v>0</v>
      </c>
      <c r="AE133" s="9">
        <f t="array" ref="AE133">IFERROR(AD133/Y133*100,0)</f>
        <v>0</v>
      </c>
      <c r="AG133" s="206">
        <v>0</v>
      </c>
      <c r="AH133" s="206">
        <v>2.29</v>
      </c>
      <c r="AI133" s="206">
        <v>0</v>
      </c>
    </row>
    <row r="134" spans="1:35" outlineLevel="1" x14ac:dyDescent="0.15">
      <c r="A134" s="8" t="s">
        <v>949</v>
      </c>
      <c r="B134" s="8"/>
      <c r="C134" s="8" t="s">
        <v>173</v>
      </c>
      <c r="D134" s="8" t="s">
        <v>1009</v>
      </c>
      <c r="E134" s="179">
        <v>26.65</v>
      </c>
      <c r="F134" s="8" t="s">
        <v>469</v>
      </c>
      <c r="G134" s="10">
        <v>2547</v>
      </c>
      <c r="H134" s="11">
        <f t="shared" si="26"/>
        <v>0</v>
      </c>
      <c r="I134" s="143">
        <f t="shared" si="27"/>
        <v>0</v>
      </c>
      <c r="J134" s="9">
        <f t="array" ref="J134">IFERROR(I134/G134*100,0)</f>
        <v>0</v>
      </c>
      <c r="K134" s="143">
        <f t="shared" si="28"/>
        <v>0</v>
      </c>
      <c r="L134" s="9">
        <f t="shared" si="23"/>
        <v>0</v>
      </c>
      <c r="M134" s="8" t="str">
        <f t="array" ref="M134">IF(L134&gt;5,"Perlu Pengendalian",IF(AND(L134&gt;=0,I134&gt;0),"Tidak Perlu Pengendalian","Belum Sensus"))</f>
        <v>Belum Sensus</v>
      </c>
      <c r="N134" s="143">
        <f t="shared" si="29"/>
        <v>0</v>
      </c>
      <c r="O134" s="9">
        <f t="array" ref="O134">IFERROR(N134/I134*100,0)</f>
        <v>0</v>
      </c>
      <c r="P134" s="11"/>
      <c r="Q134" s="143"/>
      <c r="R134" s="9">
        <f t="shared" si="24"/>
        <v>0</v>
      </c>
      <c r="S134" s="143"/>
      <c r="T134" s="9">
        <f t="shared" ref="T134:T197" si="30">IFERROR(S134/Q134*100,0)</f>
        <v>0</v>
      </c>
      <c r="U134" s="8" t="str">
        <f t="array" ref="U134">IF(T134&gt;5,"Perlu Pengendalian",IF(AND(T134&gt;=0,Q134&gt;0),"Tidak Perlu Pengendalian","Belum Sensus"))</f>
        <v>Belum Sensus</v>
      </c>
      <c r="V134" s="143"/>
      <c r="W134" s="9">
        <f t="array" ref="W134">IFERROR(V134/Q134*100,0)</f>
        <v>0</v>
      </c>
      <c r="X134" s="11"/>
      <c r="Y134" s="143">
        <v>0</v>
      </c>
      <c r="Z134" s="9">
        <f t="shared" si="25"/>
        <v>0</v>
      </c>
      <c r="AA134" s="143">
        <v>0</v>
      </c>
      <c r="AB134" s="9">
        <f t="shared" ref="AB134:AB197" si="31">IFERROR(AA134/Y134*100,0)</f>
        <v>0</v>
      </c>
      <c r="AC134" s="8" t="str">
        <f t="array" ref="AC134">IF(AB134&gt;5,"Perlu Pengendalian",IF(AND(AB134&gt;=0,Y134&gt;0),"Tidak Perlu Pengendalian","Belum Sensus"))</f>
        <v>Belum Sensus</v>
      </c>
      <c r="AD134" s="143">
        <v>0</v>
      </c>
      <c r="AE134" s="9">
        <f t="array" ref="AE134">IFERROR(AD134/Y134*100,0)</f>
        <v>0</v>
      </c>
      <c r="AG134" s="206">
        <v>2.1739130434782608</v>
      </c>
      <c r="AH134" s="206">
        <v>1.82</v>
      </c>
      <c r="AI134" s="206">
        <v>1.6129032258064515</v>
      </c>
    </row>
    <row r="135" spans="1:35" outlineLevel="1" x14ac:dyDescent="0.15">
      <c r="A135" s="8" t="s">
        <v>949</v>
      </c>
      <c r="B135" s="8"/>
      <c r="C135" s="8" t="s">
        <v>173</v>
      </c>
      <c r="D135" s="8" t="s">
        <v>1367</v>
      </c>
      <c r="E135" s="179">
        <v>27.25</v>
      </c>
      <c r="F135" s="8" t="s">
        <v>469</v>
      </c>
      <c r="G135" s="10">
        <v>2213</v>
      </c>
      <c r="H135" s="11">
        <f t="shared" si="26"/>
        <v>0</v>
      </c>
      <c r="I135" s="143">
        <f t="shared" si="27"/>
        <v>0</v>
      </c>
      <c r="J135" s="9">
        <f t="array" ref="J135">IFERROR(I135/G135*100,0)</f>
        <v>0</v>
      </c>
      <c r="K135" s="143">
        <f t="shared" si="28"/>
        <v>0</v>
      </c>
      <c r="L135" s="9">
        <f t="shared" ref="L135:L198" si="32">IFERROR(K135/I135*100,0)</f>
        <v>0</v>
      </c>
      <c r="M135" s="8" t="str">
        <f t="array" ref="M135">IF(L135&gt;5,"Perlu Pengendalian",IF(AND(L135&gt;=0,I135&gt;0),"Tidak Perlu Pengendalian","Belum Sensus"))</f>
        <v>Belum Sensus</v>
      </c>
      <c r="N135" s="143">
        <f t="shared" si="29"/>
        <v>0</v>
      </c>
      <c r="O135" s="9">
        <f t="array" ref="O135">IFERROR(N135/I135*100,0)</f>
        <v>0</v>
      </c>
      <c r="P135" s="11"/>
      <c r="Q135" s="143"/>
      <c r="R135" s="9">
        <f t="shared" ref="R135:R198" si="33">IFERROR(Q135/G135*100,0)</f>
        <v>0</v>
      </c>
      <c r="S135" s="143"/>
      <c r="T135" s="9">
        <f t="shared" si="30"/>
        <v>0</v>
      </c>
      <c r="U135" s="8" t="str">
        <f t="array" ref="U135">IF(T135&gt;5,"Perlu Pengendalian",IF(AND(T135&gt;=0,Q135&gt;0),"Tidak Perlu Pengendalian","Belum Sensus"))</f>
        <v>Belum Sensus</v>
      </c>
      <c r="V135" s="143"/>
      <c r="W135" s="9">
        <f t="array" ref="W135">IFERROR(V135/Q135*100,0)</f>
        <v>0</v>
      </c>
      <c r="X135" s="11"/>
      <c r="Y135" s="143">
        <v>0</v>
      </c>
      <c r="Z135" s="9">
        <f t="shared" ref="Z135:Z198" si="34">IFERROR(Y135/G135*100,0)</f>
        <v>0</v>
      </c>
      <c r="AA135" s="143">
        <v>0</v>
      </c>
      <c r="AB135" s="9">
        <f t="shared" si="31"/>
        <v>0</v>
      </c>
      <c r="AC135" s="8" t="str">
        <f t="array" ref="AC135">IF(AB135&gt;5,"Perlu Pengendalian",IF(AND(AB135&gt;=0,Y135&gt;0),"Tidak Perlu Pengendalian","Belum Sensus"))</f>
        <v>Belum Sensus</v>
      </c>
      <c r="AD135" s="143">
        <v>0</v>
      </c>
      <c r="AE135" s="9">
        <f t="array" ref="AE135">IFERROR(AD135/Y135*100,0)</f>
        <v>0</v>
      </c>
      <c r="AG135" s="206">
        <v>2.4096385542168677</v>
      </c>
      <c r="AH135" s="206">
        <v>2.91</v>
      </c>
      <c r="AI135" s="206">
        <v>0</v>
      </c>
    </row>
    <row r="136" spans="1:35" outlineLevel="1" x14ac:dyDescent="0.15">
      <c r="A136" s="8" t="s">
        <v>949</v>
      </c>
      <c r="B136" s="8"/>
      <c r="C136" s="8" t="s">
        <v>173</v>
      </c>
      <c r="D136" s="8" t="s">
        <v>1368</v>
      </c>
      <c r="E136" s="9">
        <v>24.369999999999997</v>
      </c>
      <c r="F136" s="8" t="s">
        <v>469</v>
      </c>
      <c r="G136" s="10">
        <v>2097</v>
      </c>
      <c r="H136" s="11">
        <f t="shared" si="26"/>
        <v>0</v>
      </c>
      <c r="I136" s="143">
        <f t="shared" si="27"/>
        <v>0</v>
      </c>
      <c r="J136" s="9">
        <f t="array" ref="J136">IFERROR(I136/G136*100,0)</f>
        <v>0</v>
      </c>
      <c r="K136" s="143">
        <f t="shared" si="28"/>
        <v>0</v>
      </c>
      <c r="L136" s="9">
        <f t="shared" si="32"/>
        <v>0</v>
      </c>
      <c r="M136" s="8" t="str">
        <f t="array" ref="M136">IF(L136&gt;5,"Perlu Pengendalian",IF(AND(L136&gt;=0,I136&gt;0),"Tidak Perlu Pengendalian","Belum Sensus"))</f>
        <v>Belum Sensus</v>
      </c>
      <c r="N136" s="143">
        <f t="shared" si="29"/>
        <v>0</v>
      </c>
      <c r="O136" s="9">
        <f t="array" ref="O136">IFERROR(N136/I136*100,0)</f>
        <v>0</v>
      </c>
      <c r="P136" s="11"/>
      <c r="Q136" s="143"/>
      <c r="R136" s="9">
        <f t="shared" si="33"/>
        <v>0</v>
      </c>
      <c r="S136" s="143"/>
      <c r="T136" s="9">
        <f t="shared" si="30"/>
        <v>0</v>
      </c>
      <c r="U136" s="8" t="str">
        <f t="array" ref="U136">IF(T136&gt;5,"Perlu Pengendalian",IF(AND(T136&gt;=0,Q136&gt;0),"Tidak Perlu Pengendalian","Belum Sensus"))</f>
        <v>Belum Sensus</v>
      </c>
      <c r="V136" s="143"/>
      <c r="W136" s="9">
        <f t="array" ref="W136">IFERROR(V136/Q136*100,0)</f>
        <v>0</v>
      </c>
      <c r="X136" s="11"/>
      <c r="Y136" s="143">
        <v>0</v>
      </c>
      <c r="Z136" s="9">
        <f t="shared" si="34"/>
        <v>0</v>
      </c>
      <c r="AA136" s="143">
        <v>0</v>
      </c>
      <c r="AB136" s="9">
        <f t="shared" si="31"/>
        <v>0</v>
      </c>
      <c r="AC136" s="8" t="str">
        <f t="array" ref="AC136">IF(AB136&gt;5,"Perlu Pengendalian",IF(AND(AB136&gt;=0,Y136&gt;0),"Tidak Perlu Pengendalian","Belum Sensus"))</f>
        <v>Belum Sensus</v>
      </c>
      <c r="AD136" s="143">
        <v>0</v>
      </c>
      <c r="AE136" s="9">
        <f t="array" ref="AE136">IFERROR(AD136/Y136*100,0)</f>
        <v>0</v>
      </c>
      <c r="AG136" s="206">
        <v>0.65359477124183007</v>
      </c>
      <c r="AH136" s="206">
        <v>4.12</v>
      </c>
      <c r="AI136" s="206">
        <v>0</v>
      </c>
    </row>
    <row r="137" spans="1:35" outlineLevel="1" x14ac:dyDescent="0.15">
      <c r="A137" s="8" t="s">
        <v>949</v>
      </c>
      <c r="B137" s="8"/>
      <c r="C137" s="8" t="s">
        <v>216</v>
      </c>
      <c r="D137" s="8" t="s">
        <v>1786</v>
      </c>
      <c r="E137" s="179">
        <v>35.019999999999996</v>
      </c>
      <c r="F137" s="8" t="s">
        <v>469</v>
      </c>
      <c r="G137" s="10">
        <v>2629</v>
      </c>
      <c r="H137" s="11">
        <f t="shared" si="26"/>
        <v>0</v>
      </c>
      <c r="I137" s="143">
        <f t="shared" si="27"/>
        <v>0</v>
      </c>
      <c r="J137" s="9">
        <f t="array" ref="J137">IFERROR(I137/G137*100,0)</f>
        <v>0</v>
      </c>
      <c r="K137" s="143">
        <f t="shared" si="28"/>
        <v>0</v>
      </c>
      <c r="L137" s="9">
        <f t="shared" si="32"/>
        <v>0</v>
      </c>
      <c r="M137" s="8" t="str">
        <f t="array" ref="M137">IF(L137&gt;5,"Perlu Pengendalian",IF(AND(L137&gt;=0,I137&gt;0),"Tidak Perlu Pengendalian","Belum Sensus"))</f>
        <v>Belum Sensus</v>
      </c>
      <c r="N137" s="143">
        <f t="shared" si="29"/>
        <v>0</v>
      </c>
      <c r="O137" s="9">
        <f t="array" ref="O137">IFERROR(N137/I137*100,0)</f>
        <v>0</v>
      </c>
      <c r="P137" s="11"/>
      <c r="Q137" s="143"/>
      <c r="R137" s="9">
        <f t="shared" si="33"/>
        <v>0</v>
      </c>
      <c r="S137" s="143"/>
      <c r="T137" s="9">
        <f t="shared" si="30"/>
        <v>0</v>
      </c>
      <c r="U137" s="8" t="str">
        <f t="array" ref="U137">IF(T137&gt;5,"Perlu Pengendalian",IF(AND(T137&gt;=0,Q137&gt;0),"Tidak Perlu Pengendalian","Belum Sensus"))</f>
        <v>Belum Sensus</v>
      </c>
      <c r="V137" s="143"/>
      <c r="W137" s="9">
        <f t="array" ref="W137">IFERROR(V137/Q137*100,0)</f>
        <v>0</v>
      </c>
      <c r="X137" s="11"/>
      <c r="Y137" s="143">
        <v>0</v>
      </c>
      <c r="Z137" s="9">
        <f t="shared" si="34"/>
        <v>0</v>
      </c>
      <c r="AA137" s="143">
        <v>0</v>
      </c>
      <c r="AB137" s="9">
        <f t="shared" si="31"/>
        <v>0</v>
      </c>
      <c r="AC137" s="8" t="str">
        <f t="array" ref="AC137">IF(AB137&gt;5,"Perlu Pengendalian",IF(AND(AB137&gt;=0,Y137&gt;0),"Tidak Perlu Pengendalian","Belum Sensus"))</f>
        <v>Belum Sensus</v>
      </c>
      <c r="AD137" s="143">
        <v>0</v>
      </c>
      <c r="AE137" s="9">
        <f t="array" ref="AE137">IFERROR(AD137/Y137*100,0)</f>
        <v>0</v>
      </c>
      <c r="AG137" s="206">
        <v>4.4444444444444446</v>
      </c>
      <c r="AH137" s="206">
        <v>4.1120000000000001</v>
      </c>
      <c r="AI137" s="206">
        <v>4.1666666666666661</v>
      </c>
    </row>
    <row r="138" spans="1:35" outlineLevel="1" x14ac:dyDescent="0.15">
      <c r="A138" s="8" t="s">
        <v>949</v>
      </c>
      <c r="B138" s="8"/>
      <c r="C138" s="8" t="s">
        <v>216</v>
      </c>
      <c r="D138" s="8" t="s">
        <v>1012</v>
      </c>
      <c r="E138" s="9">
        <v>24.009999999999998</v>
      </c>
      <c r="F138" s="8" t="s">
        <v>469</v>
      </c>
      <c r="G138" s="10">
        <v>2153</v>
      </c>
      <c r="H138" s="11">
        <f t="shared" si="26"/>
        <v>0</v>
      </c>
      <c r="I138" s="143">
        <f t="shared" si="27"/>
        <v>0</v>
      </c>
      <c r="J138" s="9">
        <f t="array" ref="J138">IFERROR(I138/G138*100,0)</f>
        <v>0</v>
      </c>
      <c r="K138" s="143">
        <f t="shared" si="28"/>
        <v>0</v>
      </c>
      <c r="L138" s="9">
        <f t="shared" si="32"/>
        <v>0</v>
      </c>
      <c r="M138" s="8" t="str">
        <f t="array" ref="M138">IF(L138&gt;5,"Perlu Pengendalian",IF(AND(L138&gt;=0,I138&gt;0),"Tidak Perlu Pengendalian","Belum Sensus"))</f>
        <v>Belum Sensus</v>
      </c>
      <c r="N138" s="143">
        <f t="shared" si="29"/>
        <v>0</v>
      </c>
      <c r="O138" s="9">
        <f t="array" ref="O138">IFERROR(N138/I138*100,0)</f>
        <v>0</v>
      </c>
      <c r="P138" s="11"/>
      <c r="Q138" s="143"/>
      <c r="R138" s="9">
        <f t="shared" si="33"/>
        <v>0</v>
      </c>
      <c r="S138" s="143"/>
      <c r="T138" s="9">
        <f t="shared" si="30"/>
        <v>0</v>
      </c>
      <c r="U138" s="8" t="str">
        <f t="array" ref="U138">IF(T138&gt;5,"Perlu Pengendalian",IF(AND(T138&gt;=0,Q138&gt;0),"Tidak Perlu Pengendalian","Belum Sensus"))</f>
        <v>Belum Sensus</v>
      </c>
      <c r="V138" s="143"/>
      <c r="W138" s="9">
        <f t="array" ref="W138">IFERROR(V138/Q138*100,0)</f>
        <v>0</v>
      </c>
      <c r="X138" s="11"/>
      <c r="Y138" s="143">
        <v>0</v>
      </c>
      <c r="Z138" s="9">
        <f t="shared" si="34"/>
        <v>0</v>
      </c>
      <c r="AA138" s="143">
        <v>0</v>
      </c>
      <c r="AB138" s="9">
        <f t="shared" si="31"/>
        <v>0</v>
      </c>
      <c r="AC138" s="8" t="str">
        <f t="array" ref="AC138">IF(AB138&gt;5,"Perlu Pengendalian",IF(AND(AB138&gt;=0,Y138&gt;0),"Tidak Perlu Pengendalian","Belum Sensus"))</f>
        <v>Belum Sensus</v>
      </c>
      <c r="AD138" s="143">
        <v>0</v>
      </c>
      <c r="AE138" s="9">
        <f t="array" ref="AE138">IFERROR(AD138/Y138*100,0)</f>
        <v>0</v>
      </c>
      <c r="AG138" s="206">
        <v>0</v>
      </c>
      <c r="AH138" s="206">
        <v>3.34</v>
      </c>
      <c r="AI138" s="206">
        <v>0.75187969924812026</v>
      </c>
    </row>
    <row r="139" spans="1:35" outlineLevel="1" x14ac:dyDescent="0.15">
      <c r="A139" s="8" t="s">
        <v>949</v>
      </c>
      <c r="B139" s="8"/>
      <c r="C139" s="8" t="s">
        <v>216</v>
      </c>
      <c r="D139" s="8" t="s">
        <v>1787</v>
      </c>
      <c r="E139" s="179">
        <v>39.769999999999996</v>
      </c>
      <c r="F139" s="8" t="s">
        <v>469</v>
      </c>
      <c r="G139" s="10">
        <v>3965</v>
      </c>
      <c r="H139" s="11">
        <f t="shared" si="26"/>
        <v>46167</v>
      </c>
      <c r="I139" s="143">
        <f t="shared" si="27"/>
        <v>330.99</v>
      </c>
      <c r="J139" s="9">
        <f t="array" ref="J139">IFERROR(I139/G139*100,0)</f>
        <v>8.3477931904161409</v>
      </c>
      <c r="K139" s="143">
        <f t="shared" si="28"/>
        <v>7</v>
      </c>
      <c r="L139" s="9">
        <f t="shared" si="32"/>
        <v>2.1148675186561525</v>
      </c>
      <c r="M139" s="8" t="str">
        <f t="array" ref="M139">IF(L139&gt;5,"Perlu Pengendalian",IF(AND(L139&gt;=0,I139&gt;0),"Tidak Perlu Pengendalian","Belum Sensus"))</f>
        <v>Tidak Perlu Pengendalian</v>
      </c>
      <c r="N139" s="143">
        <f t="shared" si="29"/>
        <v>12</v>
      </c>
      <c r="O139" s="9">
        <f t="array" ref="O139">IFERROR(N139/I139*100,0)</f>
        <v>3.6254871748391189</v>
      </c>
      <c r="P139" s="11">
        <v>46167</v>
      </c>
      <c r="Q139" s="143">
        <v>330.99</v>
      </c>
      <c r="R139" s="9">
        <f t="shared" si="33"/>
        <v>8.3477931904161409</v>
      </c>
      <c r="S139" s="143">
        <v>7</v>
      </c>
      <c r="T139" s="9">
        <f t="shared" si="30"/>
        <v>2.1148675186561525</v>
      </c>
      <c r="U139" s="8" t="str">
        <f t="array" ref="U139">IF(T139&gt;5,"Perlu Pengendalian",IF(AND(T139&gt;=0,Q139&gt;0),"Tidak Perlu Pengendalian","Belum Sensus"))</f>
        <v>Tidak Perlu Pengendalian</v>
      </c>
      <c r="V139" s="143">
        <v>12</v>
      </c>
      <c r="W139" s="9">
        <f t="array" ref="W139">IFERROR(V139/Q139*100,0)</f>
        <v>3.6254871748391189</v>
      </c>
      <c r="X139" s="11"/>
      <c r="Y139" s="143">
        <v>0</v>
      </c>
      <c r="Z139" s="9">
        <f t="shared" si="34"/>
        <v>0</v>
      </c>
      <c r="AA139" s="143">
        <v>0</v>
      </c>
      <c r="AB139" s="9">
        <f t="shared" si="31"/>
        <v>0</v>
      </c>
      <c r="AC139" s="8" t="str">
        <f t="array" ref="AC139">IF(AB139&gt;5,"Perlu Pengendalian",IF(AND(AB139&gt;=0,Y139&gt;0),"Tidak Perlu Pengendalian","Belum Sensus"))</f>
        <v>Belum Sensus</v>
      </c>
      <c r="AD139" s="143">
        <v>0</v>
      </c>
      <c r="AE139" s="9">
        <f t="array" ref="AE139">IFERROR(AD139/Y139*100,0)</f>
        <v>0</v>
      </c>
      <c r="AG139" s="206">
        <v>2.4096385542168677</v>
      </c>
      <c r="AH139" s="206">
        <v>2.21</v>
      </c>
      <c r="AI139" s="206">
        <v>0.81967213114754101</v>
      </c>
    </row>
    <row r="140" spans="1:35" outlineLevel="1" x14ac:dyDescent="0.15">
      <c r="A140" s="8" t="s">
        <v>949</v>
      </c>
      <c r="B140" s="8"/>
      <c r="C140" s="8" t="s">
        <v>216</v>
      </c>
      <c r="D140" s="215" t="s">
        <v>1788</v>
      </c>
      <c r="E140" s="9">
        <v>34.56</v>
      </c>
      <c r="F140" s="8" t="s">
        <v>469</v>
      </c>
      <c r="G140" s="10">
        <v>2706</v>
      </c>
      <c r="H140" s="11">
        <f t="shared" si="26"/>
        <v>0</v>
      </c>
      <c r="I140" s="143">
        <f t="shared" si="27"/>
        <v>0</v>
      </c>
      <c r="J140" s="9">
        <f t="array" ref="J140">IFERROR(I140/G140*100,0)</f>
        <v>0</v>
      </c>
      <c r="K140" s="143">
        <f t="shared" si="28"/>
        <v>0</v>
      </c>
      <c r="L140" s="9">
        <f t="shared" si="32"/>
        <v>0</v>
      </c>
      <c r="M140" s="8" t="str">
        <f t="array" ref="M140">IF(L140&gt;5,"Perlu Pengendalian",IF(AND(L140&gt;=0,I140&gt;0),"Tidak Perlu Pengendalian","Belum Sensus"))</f>
        <v>Belum Sensus</v>
      </c>
      <c r="N140" s="143">
        <f t="shared" si="29"/>
        <v>0</v>
      </c>
      <c r="O140" s="9">
        <f t="array" ref="O140">IFERROR(N140/I140*100,0)</f>
        <v>0</v>
      </c>
      <c r="P140" s="11"/>
      <c r="Q140" s="143"/>
      <c r="R140" s="9">
        <f t="shared" si="33"/>
        <v>0</v>
      </c>
      <c r="S140" s="143"/>
      <c r="T140" s="9">
        <f t="shared" si="30"/>
        <v>0</v>
      </c>
      <c r="U140" s="8" t="str">
        <f t="array" ref="U140">IF(T140&gt;5,"Perlu Pengendalian",IF(AND(T140&gt;=0,Q140&gt;0),"Tidak Perlu Pengendalian","Belum Sensus"))</f>
        <v>Belum Sensus</v>
      </c>
      <c r="V140" s="143"/>
      <c r="W140" s="9">
        <f t="array" ref="W140">IFERROR(V140/Q140*100,0)</f>
        <v>0</v>
      </c>
      <c r="X140" s="11"/>
      <c r="Y140" s="143">
        <v>0</v>
      </c>
      <c r="Z140" s="9">
        <f t="shared" si="34"/>
        <v>0</v>
      </c>
      <c r="AA140" s="143">
        <v>0</v>
      </c>
      <c r="AB140" s="9">
        <f t="shared" si="31"/>
        <v>0</v>
      </c>
      <c r="AC140" s="8" t="str">
        <f t="array" ref="AC140">IF(AB140&gt;5,"Perlu Pengendalian",IF(AND(AB140&gt;=0,Y140&gt;0),"Tidak Perlu Pengendalian","Belum Sensus"))</f>
        <v>Belum Sensus</v>
      </c>
      <c r="AD140" s="143">
        <v>0</v>
      </c>
      <c r="AE140" s="9">
        <f t="array" ref="AE140">IFERROR(AD140/Y140*100,0)</f>
        <v>0</v>
      </c>
      <c r="AG140" s="206">
        <v>21.875</v>
      </c>
      <c r="AH140" s="206">
        <v>1.1599999999999999</v>
      </c>
      <c r="AI140" s="206">
        <v>2.459016393442623</v>
      </c>
    </row>
    <row r="141" spans="1:35" outlineLevel="1" x14ac:dyDescent="0.15">
      <c r="A141" s="8" t="s">
        <v>949</v>
      </c>
      <c r="B141" s="8"/>
      <c r="C141" s="8" t="s">
        <v>216</v>
      </c>
      <c r="D141" s="8" t="s">
        <v>1789</v>
      </c>
      <c r="E141" s="9">
        <v>36.349999999999994</v>
      </c>
      <c r="F141" s="8" t="s">
        <v>469</v>
      </c>
      <c r="G141" s="10">
        <v>2246</v>
      </c>
      <c r="H141" s="11">
        <f t="shared" si="26"/>
        <v>46175</v>
      </c>
      <c r="I141" s="143">
        <f t="shared" si="27"/>
        <v>274.3</v>
      </c>
      <c r="J141" s="9">
        <f t="array" ref="J141">IFERROR(I141/G141*100,0)</f>
        <v>12.212822796081923</v>
      </c>
      <c r="K141" s="143">
        <f t="shared" si="28"/>
        <v>8</v>
      </c>
      <c r="L141" s="9">
        <f t="shared" si="32"/>
        <v>2.916514764855997</v>
      </c>
      <c r="M141" s="8" t="str">
        <f t="array" ref="M141">IF(L141&gt;5,"Perlu Pengendalian",IF(AND(L141&gt;=0,I141&gt;0),"Tidak Perlu Pengendalian","Belum Sensus"))</f>
        <v>Tidak Perlu Pengendalian</v>
      </c>
      <c r="N141" s="143">
        <f t="shared" si="29"/>
        <v>12</v>
      </c>
      <c r="O141" s="9">
        <f t="array" ref="O141">IFERROR(N141/I141*100,0)</f>
        <v>4.3747721472839949</v>
      </c>
      <c r="P141" s="11"/>
      <c r="Q141" s="143"/>
      <c r="R141" s="9">
        <f t="shared" si="33"/>
        <v>0</v>
      </c>
      <c r="S141" s="143"/>
      <c r="T141" s="9">
        <f t="shared" si="30"/>
        <v>0</v>
      </c>
      <c r="U141" s="8" t="str">
        <f t="array" ref="U141">IF(T141&gt;5,"Perlu Pengendalian",IF(AND(T141&gt;=0,Q141&gt;0),"Tidak Perlu Pengendalian","Belum Sensus"))</f>
        <v>Belum Sensus</v>
      </c>
      <c r="V141" s="143"/>
      <c r="W141" s="9">
        <f t="array" ref="W141">IFERROR(V141/Q141*100,0)</f>
        <v>0</v>
      </c>
      <c r="X141" s="11">
        <v>46175</v>
      </c>
      <c r="Y141" s="143">
        <v>274.3</v>
      </c>
      <c r="Z141" s="9">
        <f t="shared" si="34"/>
        <v>12.212822796081923</v>
      </c>
      <c r="AA141" s="143">
        <v>8</v>
      </c>
      <c r="AB141" s="9">
        <f t="shared" si="31"/>
        <v>2.916514764855997</v>
      </c>
      <c r="AC141" s="8" t="str">
        <f t="array" ref="AC141">IF(AB141&gt;5,"Perlu Pengendalian",IF(AND(AB141&gt;=0,Y141&gt;0),"Tidak Perlu Pengendalian","Belum Sensus"))</f>
        <v>Tidak Perlu Pengendalian</v>
      </c>
      <c r="AD141" s="143">
        <v>12</v>
      </c>
      <c r="AE141" s="9">
        <f t="array" ref="AE141">IFERROR(AD141/Y141*100,0)</f>
        <v>4.3747721472839949</v>
      </c>
      <c r="AG141" s="206">
        <v>13.953488372093023</v>
      </c>
      <c r="AH141" s="206">
        <v>3.36</v>
      </c>
      <c r="AI141" s="206">
        <v>0</v>
      </c>
    </row>
    <row r="142" spans="1:35" outlineLevel="1" x14ac:dyDescent="0.15">
      <c r="A142" s="8" t="s">
        <v>949</v>
      </c>
      <c r="B142" s="8"/>
      <c r="C142" s="8" t="s">
        <v>216</v>
      </c>
      <c r="D142" s="8" t="s">
        <v>1790</v>
      </c>
      <c r="E142" s="9">
        <v>27.709999999999997</v>
      </c>
      <c r="F142" s="8" t="s">
        <v>469</v>
      </c>
      <c r="G142" s="10">
        <v>2231</v>
      </c>
      <c r="H142" s="11">
        <f t="shared" si="26"/>
        <v>46176</v>
      </c>
      <c r="I142" s="143">
        <f t="shared" si="27"/>
        <v>237.38399999999999</v>
      </c>
      <c r="J142" s="9">
        <f t="array" ref="J142">IFERROR(I142/G142*100,0)</f>
        <v>10.64025100851636</v>
      </c>
      <c r="K142" s="143">
        <f t="shared" si="28"/>
        <v>4</v>
      </c>
      <c r="L142" s="9">
        <f t="shared" si="32"/>
        <v>1.68503353216729</v>
      </c>
      <c r="M142" s="8" t="str">
        <f t="array" ref="M142">IF(L142&gt;5,"Perlu Pengendalian",IF(AND(L142&gt;=0,I142&gt;0),"Tidak Perlu Pengendalian","Belum Sensus"))</f>
        <v>Tidak Perlu Pengendalian</v>
      </c>
      <c r="N142" s="143">
        <f t="shared" si="29"/>
        <v>11</v>
      </c>
      <c r="O142" s="9">
        <f t="array" ref="O142">IFERROR(N142/I142*100,0)</f>
        <v>4.6338422134600483</v>
      </c>
      <c r="P142" s="11"/>
      <c r="Q142" s="143"/>
      <c r="R142" s="9">
        <f t="shared" si="33"/>
        <v>0</v>
      </c>
      <c r="S142" s="143"/>
      <c r="T142" s="9">
        <f t="shared" si="30"/>
        <v>0</v>
      </c>
      <c r="U142" s="8" t="str">
        <f t="array" ref="U142">IF(T142&gt;5,"Perlu Pengendalian",IF(AND(T142&gt;=0,Q142&gt;0),"Tidak Perlu Pengendalian","Belum Sensus"))</f>
        <v>Belum Sensus</v>
      </c>
      <c r="V142" s="143"/>
      <c r="W142" s="9">
        <f t="array" ref="W142">IFERROR(V142/Q142*100,0)</f>
        <v>0</v>
      </c>
      <c r="X142" s="11">
        <v>46176</v>
      </c>
      <c r="Y142" s="143">
        <v>237.38399999999999</v>
      </c>
      <c r="Z142" s="9">
        <f t="shared" si="34"/>
        <v>10.64025100851636</v>
      </c>
      <c r="AA142" s="143">
        <v>4</v>
      </c>
      <c r="AB142" s="9">
        <f t="shared" si="31"/>
        <v>1.68503353216729</v>
      </c>
      <c r="AC142" s="8" t="str">
        <f t="array" ref="AC142">IF(AB142&gt;5,"Perlu Pengendalian",IF(AND(AB142&gt;=0,Y142&gt;0),"Tidak Perlu Pengendalian","Belum Sensus"))</f>
        <v>Tidak Perlu Pengendalian</v>
      </c>
      <c r="AD142" s="143">
        <v>11</v>
      </c>
      <c r="AE142" s="9">
        <f t="array" ref="AE142">IFERROR(AD142/Y142*100,0)</f>
        <v>4.6338422134600483</v>
      </c>
      <c r="AG142" s="206">
        <v>23.809523809523807</v>
      </c>
      <c r="AH142" s="206">
        <v>4.18</v>
      </c>
      <c r="AI142" s="206">
        <v>1.6129032258064515</v>
      </c>
    </row>
    <row r="143" spans="1:35" outlineLevel="1" x14ac:dyDescent="0.15">
      <c r="A143" s="8" t="s">
        <v>949</v>
      </c>
      <c r="B143" s="8"/>
      <c r="C143" s="8" t="s">
        <v>216</v>
      </c>
      <c r="D143" s="8" t="s">
        <v>1791</v>
      </c>
      <c r="E143" s="179">
        <v>35.76</v>
      </c>
      <c r="F143" s="8" t="s">
        <v>469</v>
      </c>
      <c r="G143" s="10">
        <v>3306</v>
      </c>
      <c r="H143" s="11">
        <f t="shared" si="26"/>
        <v>46171</v>
      </c>
      <c r="I143" s="143">
        <f t="shared" si="27"/>
        <v>547.35</v>
      </c>
      <c r="J143" s="9">
        <f t="array" ref="J143">IFERROR(I143/G143*100,0)</f>
        <v>16.556261343012704</v>
      </c>
      <c r="K143" s="143">
        <f t="shared" si="28"/>
        <v>12</v>
      </c>
      <c r="L143" s="9">
        <f t="shared" si="32"/>
        <v>2.1923814743765413</v>
      </c>
      <c r="M143" s="8" t="str">
        <f t="array" ref="M143">IF(L143&gt;5,"Perlu Pengendalian",IF(AND(L143&gt;=0,I143&gt;0),"Tidak Perlu Pengendalian","Belum Sensus"))</f>
        <v>Tidak Perlu Pengendalian</v>
      </c>
      <c r="N143" s="143">
        <f t="shared" si="29"/>
        <v>22</v>
      </c>
      <c r="O143" s="9">
        <f t="array" ref="O143">IFERROR(N143/I143*100,0)</f>
        <v>4.0193660363569927</v>
      </c>
      <c r="P143" s="11">
        <v>46171</v>
      </c>
      <c r="Q143" s="143">
        <v>547.35</v>
      </c>
      <c r="R143" s="9">
        <f t="shared" si="33"/>
        <v>16.556261343012704</v>
      </c>
      <c r="S143" s="143">
        <v>12</v>
      </c>
      <c r="T143" s="9">
        <f t="shared" si="30"/>
        <v>2.1923814743765413</v>
      </c>
      <c r="U143" s="8" t="str">
        <f t="array" ref="U143">IF(T143&gt;5,"Perlu Pengendalian",IF(AND(T143&gt;=0,Q143&gt;0),"Tidak Perlu Pengendalian","Belum Sensus"))</f>
        <v>Tidak Perlu Pengendalian</v>
      </c>
      <c r="V143" s="143">
        <v>22</v>
      </c>
      <c r="W143" s="9">
        <f t="array" ref="W143">IFERROR(V143/Q143*100,0)</f>
        <v>4.0193660363569927</v>
      </c>
      <c r="X143" s="11"/>
      <c r="Y143" s="143">
        <v>0</v>
      </c>
      <c r="Z143" s="9">
        <f t="shared" si="34"/>
        <v>0</v>
      </c>
      <c r="AA143" s="143">
        <v>0</v>
      </c>
      <c r="AB143" s="9">
        <f t="shared" si="31"/>
        <v>0</v>
      </c>
      <c r="AC143" s="8" t="str">
        <f t="array" ref="AC143">IF(AB143&gt;5,"Perlu Pengendalian",IF(AND(AB143&gt;=0,Y143&gt;0),"Tidak Perlu Pengendalian","Belum Sensus"))</f>
        <v>Belum Sensus</v>
      </c>
      <c r="AD143" s="143">
        <v>0</v>
      </c>
      <c r="AE143" s="9">
        <f t="array" ref="AE143">IFERROR(AD143/Y143*100,0)</f>
        <v>0</v>
      </c>
      <c r="AG143" s="206">
        <v>2.0618556701030926</v>
      </c>
      <c r="AH143" s="206">
        <v>2.25</v>
      </c>
      <c r="AI143" s="206">
        <v>1.6528925619834711</v>
      </c>
    </row>
    <row r="144" spans="1:35" outlineLevel="1" x14ac:dyDescent="0.15">
      <c r="A144" s="8" t="s">
        <v>949</v>
      </c>
      <c r="B144" s="8"/>
      <c r="C144" s="8" t="s">
        <v>216</v>
      </c>
      <c r="D144" s="8" t="s">
        <v>1403</v>
      </c>
      <c r="E144" s="179">
        <v>37.75</v>
      </c>
      <c r="F144" s="8" t="s">
        <v>469</v>
      </c>
      <c r="G144" s="10">
        <v>3529</v>
      </c>
      <c r="H144" s="11">
        <f t="shared" si="26"/>
        <v>0</v>
      </c>
      <c r="I144" s="143">
        <f t="shared" si="27"/>
        <v>0</v>
      </c>
      <c r="J144" s="9">
        <f t="array" ref="J144">IFERROR(I144/G144*100,0)</f>
        <v>0</v>
      </c>
      <c r="K144" s="143">
        <f t="shared" si="28"/>
        <v>0</v>
      </c>
      <c r="L144" s="9">
        <f t="shared" si="32"/>
        <v>0</v>
      </c>
      <c r="M144" s="8" t="str">
        <f t="array" ref="M144">IF(L144&gt;5,"Perlu Pengendalian",IF(AND(L144&gt;=0,I144&gt;0),"Tidak Perlu Pengendalian","Belum Sensus"))</f>
        <v>Belum Sensus</v>
      </c>
      <c r="N144" s="143">
        <f t="shared" si="29"/>
        <v>0</v>
      </c>
      <c r="O144" s="9">
        <f t="array" ref="O144">IFERROR(N144/I144*100,0)</f>
        <v>0</v>
      </c>
      <c r="P144" s="11"/>
      <c r="Q144" s="143"/>
      <c r="R144" s="9">
        <f t="shared" si="33"/>
        <v>0</v>
      </c>
      <c r="S144" s="143"/>
      <c r="T144" s="9">
        <f t="shared" si="30"/>
        <v>0</v>
      </c>
      <c r="U144" s="8" t="str">
        <f t="array" ref="U144">IF(T144&gt;5,"Perlu Pengendalian",IF(AND(T144&gt;=0,Q144&gt;0),"Tidak Perlu Pengendalian","Belum Sensus"))</f>
        <v>Belum Sensus</v>
      </c>
      <c r="V144" s="143"/>
      <c r="W144" s="9">
        <f t="array" ref="W144">IFERROR(V144/Q144*100,0)</f>
        <v>0</v>
      </c>
      <c r="X144" s="11"/>
      <c r="Y144" s="143">
        <v>0</v>
      </c>
      <c r="Z144" s="9">
        <f t="shared" si="34"/>
        <v>0</v>
      </c>
      <c r="AA144" s="143">
        <v>0</v>
      </c>
      <c r="AB144" s="9">
        <f t="shared" si="31"/>
        <v>0</v>
      </c>
      <c r="AC144" s="8" t="str">
        <f t="array" ref="AC144">IF(AB144&gt;5,"Perlu Pengendalian",IF(AND(AB144&gt;=0,Y144&gt;0),"Tidak Perlu Pengendalian","Belum Sensus"))</f>
        <v>Belum Sensus</v>
      </c>
      <c r="AD144" s="143">
        <v>0</v>
      </c>
      <c r="AE144" s="9">
        <f t="array" ref="AE144">IFERROR(AD144/Y144*100,0)</f>
        <v>0</v>
      </c>
      <c r="AG144" s="206">
        <v>2.2727272727272729</v>
      </c>
      <c r="AH144" s="206">
        <v>2.81</v>
      </c>
      <c r="AI144" s="206">
        <v>15</v>
      </c>
    </row>
    <row r="145" spans="1:35" outlineLevel="1" x14ac:dyDescent="0.15">
      <c r="A145" s="8" t="s">
        <v>949</v>
      </c>
      <c r="B145" s="8"/>
      <c r="C145" s="8" t="s">
        <v>216</v>
      </c>
      <c r="D145" s="215" t="s">
        <v>1404</v>
      </c>
      <c r="E145" s="9">
        <v>36.849999999999994</v>
      </c>
      <c r="F145" s="8" t="s">
        <v>469</v>
      </c>
      <c r="G145" s="10">
        <v>3127</v>
      </c>
      <c r="H145" s="11">
        <f t="shared" si="26"/>
        <v>0</v>
      </c>
      <c r="I145" s="143">
        <f t="shared" si="27"/>
        <v>0</v>
      </c>
      <c r="J145" s="9">
        <f t="array" ref="J145">IFERROR(I145/G145*100,0)</f>
        <v>0</v>
      </c>
      <c r="K145" s="143">
        <f t="shared" si="28"/>
        <v>0</v>
      </c>
      <c r="L145" s="9">
        <f t="shared" si="32"/>
        <v>0</v>
      </c>
      <c r="M145" s="8" t="str">
        <f t="array" ref="M145">IF(L145&gt;5,"Perlu Pengendalian",IF(AND(L145&gt;=0,I145&gt;0),"Tidak Perlu Pengendalian","Belum Sensus"))</f>
        <v>Belum Sensus</v>
      </c>
      <c r="N145" s="143">
        <f t="shared" si="29"/>
        <v>0</v>
      </c>
      <c r="O145" s="9">
        <f t="array" ref="O145">IFERROR(N145/I145*100,0)</f>
        <v>0</v>
      </c>
      <c r="P145" s="11"/>
      <c r="Q145" s="143"/>
      <c r="R145" s="9">
        <f t="shared" si="33"/>
        <v>0</v>
      </c>
      <c r="S145" s="143"/>
      <c r="T145" s="9">
        <f t="shared" si="30"/>
        <v>0</v>
      </c>
      <c r="U145" s="8" t="str">
        <f t="array" ref="U145">IF(T145&gt;5,"Perlu Pengendalian",IF(AND(T145&gt;=0,Q145&gt;0),"Tidak Perlu Pengendalian","Belum Sensus"))</f>
        <v>Belum Sensus</v>
      </c>
      <c r="V145" s="143"/>
      <c r="W145" s="9">
        <f t="array" ref="W145">IFERROR(V145/Q145*100,0)</f>
        <v>0</v>
      </c>
      <c r="X145" s="11"/>
      <c r="Y145" s="143">
        <v>0</v>
      </c>
      <c r="Z145" s="9">
        <f t="shared" si="34"/>
        <v>0</v>
      </c>
      <c r="AA145" s="143">
        <v>0</v>
      </c>
      <c r="AB145" s="9">
        <f t="shared" si="31"/>
        <v>0</v>
      </c>
      <c r="AC145" s="8" t="str">
        <f t="array" ref="AC145">IF(AB145&gt;5,"Perlu Pengendalian",IF(AND(AB145&gt;=0,Y145&gt;0),"Tidak Perlu Pengendalian","Belum Sensus"))</f>
        <v>Belum Sensus</v>
      </c>
      <c r="AD145" s="143">
        <v>0</v>
      </c>
      <c r="AE145" s="9">
        <f t="array" ref="AE145">IFERROR(AD145/Y145*100,0)</f>
        <v>0</v>
      </c>
      <c r="AG145" s="206">
        <v>6.25</v>
      </c>
      <c r="AH145" s="206">
        <v>3.11</v>
      </c>
      <c r="AI145" s="206">
        <v>0</v>
      </c>
    </row>
    <row r="146" spans="1:35" outlineLevel="1" x14ac:dyDescent="0.15">
      <c r="A146" s="8" t="s">
        <v>949</v>
      </c>
      <c r="B146" s="8"/>
      <c r="C146" s="8" t="s">
        <v>216</v>
      </c>
      <c r="D146" s="215" t="s">
        <v>1405</v>
      </c>
      <c r="E146" s="9">
        <v>31.82</v>
      </c>
      <c r="F146" s="8" t="s">
        <v>469</v>
      </c>
      <c r="G146" s="10">
        <v>3325</v>
      </c>
      <c r="H146" s="11">
        <f t="shared" si="26"/>
        <v>0</v>
      </c>
      <c r="I146" s="143">
        <f t="shared" si="27"/>
        <v>0</v>
      </c>
      <c r="J146" s="9">
        <f t="array" ref="J146">IFERROR(I146/G146*100,0)</f>
        <v>0</v>
      </c>
      <c r="K146" s="143">
        <f t="shared" si="28"/>
        <v>0</v>
      </c>
      <c r="L146" s="9">
        <f t="shared" si="32"/>
        <v>0</v>
      </c>
      <c r="M146" s="8" t="str">
        <f t="array" ref="M146">IF(L146&gt;5,"Perlu Pengendalian",IF(AND(L146&gt;=0,I146&gt;0),"Tidak Perlu Pengendalian","Belum Sensus"))</f>
        <v>Belum Sensus</v>
      </c>
      <c r="N146" s="143">
        <f t="shared" si="29"/>
        <v>0</v>
      </c>
      <c r="O146" s="9">
        <f t="array" ref="O146">IFERROR(N146/I146*100,0)</f>
        <v>0</v>
      </c>
      <c r="P146" s="11"/>
      <c r="Q146" s="143"/>
      <c r="R146" s="9">
        <f t="shared" si="33"/>
        <v>0</v>
      </c>
      <c r="S146" s="143"/>
      <c r="T146" s="9">
        <f t="shared" si="30"/>
        <v>0</v>
      </c>
      <c r="U146" s="8" t="str">
        <f t="array" ref="U146">IF(T146&gt;5,"Perlu Pengendalian",IF(AND(T146&gt;=0,Q146&gt;0),"Tidak Perlu Pengendalian","Belum Sensus"))</f>
        <v>Belum Sensus</v>
      </c>
      <c r="V146" s="143"/>
      <c r="W146" s="9">
        <f t="array" ref="W146">IFERROR(V146/Q146*100,0)</f>
        <v>0</v>
      </c>
      <c r="X146" s="11"/>
      <c r="Y146" s="143">
        <v>0</v>
      </c>
      <c r="Z146" s="9">
        <f t="shared" si="34"/>
        <v>0</v>
      </c>
      <c r="AA146" s="143">
        <v>0</v>
      </c>
      <c r="AB146" s="9">
        <f t="shared" si="31"/>
        <v>0</v>
      </c>
      <c r="AC146" s="8" t="str">
        <f t="array" ref="AC146">IF(AB146&gt;5,"Perlu Pengendalian",IF(AND(AB146&gt;=0,Y146&gt;0),"Tidak Perlu Pengendalian","Belum Sensus"))</f>
        <v>Belum Sensus</v>
      </c>
      <c r="AD146" s="143">
        <v>0</v>
      </c>
      <c r="AE146" s="9">
        <f t="array" ref="AE146">IFERROR(AD146/Y146*100,0)</f>
        <v>0</v>
      </c>
      <c r="AG146" s="206">
        <v>20.588235294117645</v>
      </c>
      <c r="AH146" s="206">
        <v>2.94</v>
      </c>
      <c r="AI146" s="206">
        <v>2.5</v>
      </c>
    </row>
    <row r="147" spans="1:35" outlineLevel="1" x14ac:dyDescent="0.15">
      <c r="A147" s="8" t="s">
        <v>949</v>
      </c>
      <c r="B147" s="8"/>
      <c r="C147" s="8" t="s">
        <v>216</v>
      </c>
      <c r="D147" s="8" t="s">
        <v>1409</v>
      </c>
      <c r="E147" s="9">
        <v>28.66</v>
      </c>
      <c r="F147" s="8" t="s">
        <v>469</v>
      </c>
      <c r="G147" s="10">
        <v>2150</v>
      </c>
      <c r="H147" s="11">
        <f t="shared" si="26"/>
        <v>46177</v>
      </c>
      <c r="I147" s="143">
        <f t="shared" si="27"/>
        <v>261.95999999999998</v>
      </c>
      <c r="J147" s="9">
        <f t="array" ref="J147">IFERROR(I147/G147*100,0)</f>
        <v>12.184186046511627</v>
      </c>
      <c r="K147" s="143">
        <f t="shared" si="28"/>
        <v>7</v>
      </c>
      <c r="L147" s="9">
        <f t="shared" si="32"/>
        <v>2.6721636891128417</v>
      </c>
      <c r="M147" s="8" t="str">
        <f t="array" ref="M147">IF(L147&gt;5,"Perlu Pengendalian",IF(AND(L147&gt;=0,I147&gt;0),"Tidak Perlu Pengendalian","Belum Sensus"))</f>
        <v>Tidak Perlu Pengendalian</v>
      </c>
      <c r="N147" s="143">
        <f t="shared" si="29"/>
        <v>12</v>
      </c>
      <c r="O147" s="9">
        <f t="array" ref="O147">IFERROR(N147/I147*100,0)</f>
        <v>4.5808520384791569</v>
      </c>
      <c r="P147" s="11"/>
      <c r="Q147" s="143"/>
      <c r="R147" s="9">
        <f t="shared" si="33"/>
        <v>0</v>
      </c>
      <c r="S147" s="143"/>
      <c r="T147" s="9">
        <f t="shared" si="30"/>
        <v>0</v>
      </c>
      <c r="U147" s="8" t="str">
        <f t="array" ref="U147">IF(T147&gt;5,"Perlu Pengendalian",IF(AND(T147&gt;=0,Q147&gt;0),"Tidak Perlu Pengendalian","Belum Sensus"))</f>
        <v>Belum Sensus</v>
      </c>
      <c r="V147" s="143"/>
      <c r="W147" s="9">
        <f t="array" ref="W147">IFERROR(V147/Q147*100,0)</f>
        <v>0</v>
      </c>
      <c r="X147" s="11">
        <v>46177</v>
      </c>
      <c r="Y147" s="143">
        <v>261.95999999999998</v>
      </c>
      <c r="Z147" s="9">
        <f t="shared" si="34"/>
        <v>12.184186046511627</v>
      </c>
      <c r="AA147" s="143">
        <v>7</v>
      </c>
      <c r="AB147" s="9">
        <f t="shared" si="31"/>
        <v>2.6721636891128417</v>
      </c>
      <c r="AC147" s="8" t="str">
        <f t="array" ref="AC147">IF(AB147&gt;5,"Perlu Pengendalian",IF(AND(AB147&gt;=0,Y147&gt;0),"Tidak Perlu Pengendalian","Belum Sensus"))</f>
        <v>Tidak Perlu Pengendalian</v>
      </c>
      <c r="AD147" s="143">
        <v>12</v>
      </c>
      <c r="AE147" s="9">
        <f t="array" ref="AE147">IFERROR(AD147/Y147*100,0)</f>
        <v>4.5808520384791569</v>
      </c>
      <c r="AG147" s="206">
        <v>0</v>
      </c>
      <c r="AH147" s="206">
        <v>1.72</v>
      </c>
      <c r="AI147" s="206">
        <v>1.6528925619834711</v>
      </c>
    </row>
    <row r="148" spans="1:35" outlineLevel="1" x14ac:dyDescent="0.15">
      <c r="A148" s="8" t="s">
        <v>949</v>
      </c>
      <c r="B148" s="8"/>
      <c r="C148" s="8" t="s">
        <v>216</v>
      </c>
      <c r="D148" s="8" t="s">
        <v>1410</v>
      </c>
      <c r="E148" s="179">
        <v>27.08</v>
      </c>
      <c r="F148" s="8" t="s">
        <v>469</v>
      </c>
      <c r="G148" s="10">
        <v>2731</v>
      </c>
      <c r="H148" s="11">
        <f t="shared" si="26"/>
        <v>0</v>
      </c>
      <c r="I148" s="143">
        <f t="shared" si="27"/>
        <v>0</v>
      </c>
      <c r="J148" s="9">
        <f t="array" ref="J148">IFERROR(I148/G148*100,0)</f>
        <v>0</v>
      </c>
      <c r="K148" s="143">
        <f t="shared" si="28"/>
        <v>0</v>
      </c>
      <c r="L148" s="9">
        <f t="shared" si="32"/>
        <v>0</v>
      </c>
      <c r="M148" s="8" t="str">
        <f t="array" ref="M148">IF(L148&gt;5,"Perlu Pengendalian",IF(AND(L148&gt;=0,I148&gt;0),"Tidak Perlu Pengendalian","Belum Sensus"))</f>
        <v>Belum Sensus</v>
      </c>
      <c r="N148" s="143">
        <f t="shared" si="29"/>
        <v>0</v>
      </c>
      <c r="O148" s="9">
        <f t="array" ref="O148">IFERROR(N148/I148*100,0)</f>
        <v>0</v>
      </c>
      <c r="P148" s="11"/>
      <c r="Q148" s="143"/>
      <c r="R148" s="9">
        <f t="shared" si="33"/>
        <v>0</v>
      </c>
      <c r="S148" s="143"/>
      <c r="T148" s="9">
        <f t="shared" si="30"/>
        <v>0</v>
      </c>
      <c r="U148" s="8" t="str">
        <f t="array" ref="U148">IF(T148&gt;5,"Perlu Pengendalian",IF(AND(T148&gt;=0,Q148&gt;0),"Tidak Perlu Pengendalian","Belum Sensus"))</f>
        <v>Belum Sensus</v>
      </c>
      <c r="V148" s="143"/>
      <c r="W148" s="9">
        <f t="array" ref="W148">IFERROR(V148/Q148*100,0)</f>
        <v>0</v>
      </c>
      <c r="X148" s="11"/>
      <c r="Y148" s="143">
        <v>0</v>
      </c>
      <c r="Z148" s="9">
        <f t="shared" si="34"/>
        <v>0</v>
      </c>
      <c r="AA148" s="143">
        <v>0</v>
      </c>
      <c r="AB148" s="9">
        <f t="shared" si="31"/>
        <v>0</v>
      </c>
      <c r="AC148" s="8" t="str">
        <f t="array" ref="AC148">IF(AB148&gt;5,"Perlu Pengendalian",IF(AND(AB148&gt;=0,Y148&gt;0),"Tidak Perlu Pengendalian","Belum Sensus"))</f>
        <v>Belum Sensus</v>
      </c>
      <c r="AD148" s="143">
        <v>0</v>
      </c>
      <c r="AE148" s="9">
        <f t="array" ref="AE148">IFERROR(AD148/Y148*100,0)</f>
        <v>0</v>
      </c>
      <c r="AG148" s="206">
        <v>1.9607843137254901</v>
      </c>
      <c r="AH148" s="206">
        <v>1.77</v>
      </c>
      <c r="AI148" s="206">
        <v>1.0309278350515463</v>
      </c>
    </row>
    <row r="149" spans="1:35" outlineLevel="1" x14ac:dyDescent="0.15">
      <c r="A149" s="8" t="s">
        <v>949</v>
      </c>
      <c r="B149" s="8"/>
      <c r="C149" s="8" t="s">
        <v>216</v>
      </c>
      <c r="D149" s="8" t="s">
        <v>1411</v>
      </c>
      <c r="E149" s="9">
        <v>29.46</v>
      </c>
      <c r="F149" s="8" t="s">
        <v>469</v>
      </c>
      <c r="G149" s="10">
        <v>2974</v>
      </c>
      <c r="H149" s="11">
        <f t="shared" si="26"/>
        <v>0</v>
      </c>
      <c r="I149" s="143">
        <f t="shared" si="27"/>
        <v>0</v>
      </c>
      <c r="J149" s="9">
        <f t="array" ref="J149">IFERROR(I149/G149*100,0)</f>
        <v>0</v>
      </c>
      <c r="K149" s="143">
        <f t="shared" si="28"/>
        <v>0</v>
      </c>
      <c r="L149" s="9">
        <f t="shared" si="32"/>
        <v>0</v>
      </c>
      <c r="M149" s="8" t="str">
        <f t="array" ref="M149">IF(L149&gt;5,"Perlu Pengendalian",IF(AND(L149&gt;=0,I149&gt;0),"Tidak Perlu Pengendalian","Belum Sensus"))</f>
        <v>Belum Sensus</v>
      </c>
      <c r="N149" s="143">
        <f t="shared" si="29"/>
        <v>0</v>
      </c>
      <c r="O149" s="9">
        <f t="array" ref="O149">IFERROR(N149/I149*100,0)</f>
        <v>0</v>
      </c>
      <c r="P149" s="11"/>
      <c r="Q149" s="143"/>
      <c r="R149" s="9">
        <f t="shared" si="33"/>
        <v>0</v>
      </c>
      <c r="S149" s="143"/>
      <c r="T149" s="9">
        <f t="shared" si="30"/>
        <v>0</v>
      </c>
      <c r="U149" s="8" t="str">
        <f t="array" ref="U149">IF(T149&gt;5,"Perlu Pengendalian",IF(AND(T149&gt;=0,Q149&gt;0),"Tidak Perlu Pengendalian","Belum Sensus"))</f>
        <v>Belum Sensus</v>
      </c>
      <c r="V149" s="143"/>
      <c r="W149" s="9">
        <f t="array" ref="W149">IFERROR(V149/Q149*100,0)</f>
        <v>0</v>
      </c>
      <c r="X149" s="11"/>
      <c r="Y149" s="143">
        <v>0</v>
      </c>
      <c r="Z149" s="9">
        <f t="shared" si="34"/>
        <v>0</v>
      </c>
      <c r="AA149" s="143">
        <v>0</v>
      </c>
      <c r="AB149" s="9">
        <f t="shared" si="31"/>
        <v>0</v>
      </c>
      <c r="AC149" s="8" t="str">
        <f t="array" ref="AC149">IF(AB149&gt;5,"Perlu Pengendalian",IF(AND(AB149&gt;=0,Y149&gt;0),"Tidak Perlu Pengendalian","Belum Sensus"))</f>
        <v>Belum Sensus</v>
      </c>
      <c r="AD149" s="143">
        <v>0</v>
      </c>
      <c r="AE149" s="9">
        <f t="array" ref="AE149">IFERROR(AD149/Y149*100,0)</f>
        <v>0</v>
      </c>
      <c r="AG149" s="206">
        <v>0</v>
      </c>
      <c r="AH149" s="206">
        <v>4.1180000000000003</v>
      </c>
      <c r="AI149" s="206">
        <v>14.655172413793101</v>
      </c>
    </row>
    <row r="150" spans="1:35" outlineLevel="1" x14ac:dyDescent="0.15">
      <c r="A150" s="8" t="s">
        <v>949</v>
      </c>
      <c r="B150" s="8"/>
      <c r="C150" s="8" t="s">
        <v>216</v>
      </c>
      <c r="D150" s="8" t="s">
        <v>1018</v>
      </c>
      <c r="E150" s="9">
        <v>26.39</v>
      </c>
      <c r="F150" s="8" t="s">
        <v>469</v>
      </c>
      <c r="G150" s="10">
        <v>2312</v>
      </c>
      <c r="H150" s="11">
        <f t="shared" ref="H150:H213" si="35">MAX(P150,X150)</f>
        <v>0</v>
      </c>
      <c r="I150" s="143">
        <f t="shared" ref="I150:I213" si="36">MAX(Q150,Y150)</f>
        <v>0</v>
      </c>
      <c r="J150" s="9">
        <f t="array" ref="J150">IFERROR(I150/G150*100,0)</f>
        <v>0</v>
      </c>
      <c r="K150" s="143">
        <f t="shared" ref="K150:K213" si="37">MAX(S150,AA150)</f>
        <v>0</v>
      </c>
      <c r="L150" s="9">
        <f t="shared" si="32"/>
        <v>0</v>
      </c>
      <c r="M150" s="8" t="str">
        <f t="array" ref="M150">IF(L150&gt;5,"Perlu Pengendalian",IF(AND(L150&gt;=0,I150&gt;0),"Tidak Perlu Pengendalian","Belum Sensus"))</f>
        <v>Belum Sensus</v>
      </c>
      <c r="N150" s="143">
        <f t="shared" ref="N150:N213" si="38">MAX(V150,AD150)</f>
        <v>0</v>
      </c>
      <c r="O150" s="9">
        <f t="array" ref="O150">IFERROR(N150/I150*100,0)</f>
        <v>0</v>
      </c>
      <c r="P150" s="11"/>
      <c r="Q150" s="143"/>
      <c r="R150" s="9">
        <f t="shared" si="33"/>
        <v>0</v>
      </c>
      <c r="S150" s="143"/>
      <c r="T150" s="9">
        <f t="shared" si="30"/>
        <v>0</v>
      </c>
      <c r="U150" s="8" t="str">
        <f t="array" ref="U150">IF(T150&gt;5,"Perlu Pengendalian",IF(AND(T150&gt;=0,Q150&gt;0),"Tidak Perlu Pengendalian","Belum Sensus"))</f>
        <v>Belum Sensus</v>
      </c>
      <c r="V150" s="143"/>
      <c r="W150" s="9">
        <f t="array" ref="W150">IFERROR(V150/Q150*100,0)</f>
        <v>0</v>
      </c>
      <c r="X150" s="11"/>
      <c r="Y150" s="143">
        <v>0</v>
      </c>
      <c r="Z150" s="9">
        <f t="shared" si="34"/>
        <v>0</v>
      </c>
      <c r="AA150" s="143">
        <v>0</v>
      </c>
      <c r="AB150" s="9">
        <f t="shared" si="31"/>
        <v>0</v>
      </c>
      <c r="AC150" s="8" t="str">
        <f t="array" ref="AC150">IF(AB150&gt;5,"Perlu Pengendalian",IF(AND(AB150&gt;=0,Y150&gt;0),"Tidak Perlu Pengendalian","Belum Sensus"))</f>
        <v>Belum Sensus</v>
      </c>
      <c r="AD150" s="143">
        <v>0</v>
      </c>
      <c r="AE150" s="9">
        <f t="array" ref="AE150">IFERROR(AD150/Y150*100,0)</f>
        <v>0</v>
      </c>
      <c r="AG150" s="206">
        <v>0</v>
      </c>
      <c r="AH150" s="206">
        <v>2.29</v>
      </c>
      <c r="AI150" s="206">
        <v>0.78740157480314954</v>
      </c>
    </row>
    <row r="151" spans="1:35" outlineLevel="1" x14ac:dyDescent="0.15">
      <c r="A151" s="8" t="s">
        <v>949</v>
      </c>
      <c r="B151" s="8"/>
      <c r="C151" s="8" t="s">
        <v>216</v>
      </c>
      <c r="D151" s="8" t="s">
        <v>1014</v>
      </c>
      <c r="E151" s="9">
        <v>32</v>
      </c>
      <c r="F151" s="8" t="s">
        <v>469</v>
      </c>
      <c r="G151" s="10">
        <v>1838</v>
      </c>
      <c r="H151" s="11">
        <f t="shared" si="35"/>
        <v>0</v>
      </c>
      <c r="I151" s="143">
        <f t="shared" si="36"/>
        <v>0</v>
      </c>
      <c r="J151" s="9">
        <f t="array" ref="J151">IFERROR(I151/G151*100,0)</f>
        <v>0</v>
      </c>
      <c r="K151" s="143">
        <f t="shared" si="37"/>
        <v>0</v>
      </c>
      <c r="L151" s="9">
        <f t="shared" si="32"/>
        <v>0</v>
      </c>
      <c r="M151" s="8" t="str">
        <f t="array" ref="M151">IF(L151&gt;5,"Perlu Pengendalian",IF(AND(L151&gt;=0,I151&gt;0),"Tidak Perlu Pengendalian","Belum Sensus"))</f>
        <v>Belum Sensus</v>
      </c>
      <c r="N151" s="143">
        <f t="shared" si="38"/>
        <v>0</v>
      </c>
      <c r="O151" s="9">
        <f t="array" ref="O151">IFERROR(N151/I151*100,0)</f>
        <v>0</v>
      </c>
      <c r="P151" s="11"/>
      <c r="Q151" s="143"/>
      <c r="R151" s="9">
        <f t="shared" si="33"/>
        <v>0</v>
      </c>
      <c r="S151" s="143"/>
      <c r="T151" s="9">
        <f t="shared" si="30"/>
        <v>0</v>
      </c>
      <c r="U151" s="8" t="str">
        <f t="array" ref="U151">IF(T151&gt;5,"Perlu Pengendalian",IF(AND(T151&gt;=0,Q151&gt;0),"Tidak Perlu Pengendalian","Belum Sensus"))</f>
        <v>Belum Sensus</v>
      </c>
      <c r="V151" s="143"/>
      <c r="W151" s="9">
        <f t="array" ref="W151">IFERROR(V151/Q151*100,0)</f>
        <v>0</v>
      </c>
      <c r="X151" s="11"/>
      <c r="Y151" s="143">
        <v>0</v>
      </c>
      <c r="Z151" s="9">
        <f t="shared" si="34"/>
        <v>0</v>
      </c>
      <c r="AA151" s="143">
        <v>0</v>
      </c>
      <c r="AB151" s="9">
        <f t="shared" si="31"/>
        <v>0</v>
      </c>
      <c r="AC151" s="8" t="str">
        <f t="array" ref="AC151">IF(AB151&gt;5,"Perlu Pengendalian",IF(AND(AB151&gt;=0,Y151&gt;0),"Tidak Perlu Pengendalian","Belum Sensus"))</f>
        <v>Belum Sensus</v>
      </c>
      <c r="AD151" s="143">
        <v>0</v>
      </c>
      <c r="AE151" s="9">
        <f t="array" ref="AE151">IFERROR(AD151/Y151*100,0)</f>
        <v>0</v>
      </c>
      <c r="AG151" s="206">
        <v>0</v>
      </c>
      <c r="AH151" s="206">
        <v>1.82</v>
      </c>
      <c r="AI151" s="206">
        <v>2.4</v>
      </c>
    </row>
    <row r="152" spans="1:35" outlineLevel="1" x14ac:dyDescent="0.15">
      <c r="A152" s="8" t="s">
        <v>949</v>
      </c>
      <c r="B152" s="8"/>
      <c r="C152" s="8" t="s">
        <v>216</v>
      </c>
      <c r="D152" s="215" t="s">
        <v>1792</v>
      </c>
      <c r="E152" s="9">
        <v>30.2</v>
      </c>
      <c r="F152" s="8" t="s">
        <v>469</v>
      </c>
      <c r="G152" s="10">
        <v>2935</v>
      </c>
      <c r="H152" s="11">
        <f t="shared" si="35"/>
        <v>0</v>
      </c>
      <c r="I152" s="143">
        <f t="shared" si="36"/>
        <v>0</v>
      </c>
      <c r="J152" s="9">
        <f t="array" ref="J152">IFERROR(I152/G152*100,0)</f>
        <v>0</v>
      </c>
      <c r="K152" s="143">
        <f t="shared" si="37"/>
        <v>0</v>
      </c>
      <c r="L152" s="9">
        <f t="shared" si="32"/>
        <v>0</v>
      </c>
      <c r="M152" s="8" t="str">
        <f t="array" ref="M152">IF(L152&gt;5,"Perlu Pengendalian",IF(AND(L152&gt;=0,I152&gt;0),"Tidak Perlu Pengendalian","Belum Sensus"))</f>
        <v>Belum Sensus</v>
      </c>
      <c r="N152" s="143">
        <f t="shared" si="38"/>
        <v>0</v>
      </c>
      <c r="O152" s="9">
        <f t="array" ref="O152">IFERROR(N152/I152*100,0)</f>
        <v>0</v>
      </c>
      <c r="P152" s="11"/>
      <c r="Q152" s="143"/>
      <c r="R152" s="9">
        <f t="shared" si="33"/>
        <v>0</v>
      </c>
      <c r="S152" s="143"/>
      <c r="T152" s="9">
        <f t="shared" si="30"/>
        <v>0</v>
      </c>
      <c r="U152" s="8" t="str">
        <f t="array" ref="U152">IF(T152&gt;5,"Perlu Pengendalian",IF(AND(T152&gt;=0,Q152&gt;0),"Tidak Perlu Pengendalian","Belum Sensus"))</f>
        <v>Belum Sensus</v>
      </c>
      <c r="V152" s="143"/>
      <c r="W152" s="9">
        <f t="array" ref="W152">IFERROR(V152/Q152*100,0)</f>
        <v>0</v>
      </c>
      <c r="X152" s="11"/>
      <c r="Y152" s="143">
        <v>0</v>
      </c>
      <c r="Z152" s="9">
        <f t="shared" si="34"/>
        <v>0</v>
      </c>
      <c r="AA152" s="143">
        <v>0</v>
      </c>
      <c r="AB152" s="9">
        <f t="shared" si="31"/>
        <v>0</v>
      </c>
      <c r="AC152" s="8" t="str">
        <f t="array" ref="AC152">IF(AB152&gt;5,"Perlu Pengendalian",IF(AND(AB152&gt;=0,Y152&gt;0),"Tidak Perlu Pengendalian","Belum Sensus"))</f>
        <v>Belum Sensus</v>
      </c>
      <c r="AD152" s="143">
        <v>0</v>
      </c>
      <c r="AE152" s="9">
        <f t="array" ref="AE152">IFERROR(AD152/Y152*100,0)</f>
        <v>0</v>
      </c>
      <c r="AG152" s="206">
        <v>34.782608695652172</v>
      </c>
      <c r="AH152" s="206">
        <v>2.91</v>
      </c>
      <c r="AI152" s="206">
        <v>1.6</v>
      </c>
    </row>
    <row r="153" spans="1:35" outlineLevel="1" x14ac:dyDescent="0.15">
      <c r="A153" s="8" t="s">
        <v>949</v>
      </c>
      <c r="B153" s="8"/>
      <c r="C153" s="8" t="s">
        <v>216</v>
      </c>
      <c r="D153" s="8" t="s">
        <v>1016</v>
      </c>
      <c r="E153" s="9">
        <v>36.69</v>
      </c>
      <c r="F153" s="8" t="s">
        <v>469</v>
      </c>
      <c r="G153" s="10">
        <v>4211</v>
      </c>
      <c r="H153" s="11">
        <f t="shared" si="35"/>
        <v>46168</v>
      </c>
      <c r="I153" s="143">
        <f t="shared" si="36"/>
        <v>359.70000000000005</v>
      </c>
      <c r="J153" s="9">
        <f t="array" ref="J153">IFERROR(I153/G153*100,0)</f>
        <v>8.5419140346711018</v>
      </c>
      <c r="K153" s="143">
        <f t="shared" si="37"/>
        <v>15</v>
      </c>
      <c r="L153" s="9">
        <f t="shared" si="32"/>
        <v>4.1701417848206832</v>
      </c>
      <c r="M153" s="8" t="str">
        <f t="array" ref="M153">IF(L153&gt;5,"Perlu Pengendalian",IF(AND(L153&gt;=0,I153&gt;0),"Tidak Perlu Pengendalian","Belum Sensus"))</f>
        <v>Tidak Perlu Pengendalian</v>
      </c>
      <c r="N153" s="143">
        <f t="shared" si="38"/>
        <v>17</v>
      </c>
      <c r="O153" s="9">
        <f t="array" ref="O153">IFERROR(N153/I153*100,0)</f>
        <v>4.7261606894634411</v>
      </c>
      <c r="P153" s="11">
        <v>46168</v>
      </c>
      <c r="Q153" s="143">
        <v>359.70000000000005</v>
      </c>
      <c r="R153" s="9">
        <f t="shared" si="33"/>
        <v>8.5419140346711018</v>
      </c>
      <c r="S153" s="143">
        <v>15</v>
      </c>
      <c r="T153" s="9">
        <f t="shared" si="30"/>
        <v>4.1701417848206832</v>
      </c>
      <c r="U153" s="8" t="str">
        <f t="array" ref="U153">IF(T153&gt;5,"Perlu Pengendalian",IF(AND(T153&gt;=0,Q153&gt;0),"Tidak Perlu Pengendalian","Belum Sensus"))</f>
        <v>Tidak Perlu Pengendalian</v>
      </c>
      <c r="V153" s="143">
        <v>17</v>
      </c>
      <c r="W153" s="9">
        <f t="array" ref="W153">IFERROR(V153/Q153*100,0)</f>
        <v>4.7261606894634411</v>
      </c>
      <c r="X153" s="11"/>
      <c r="Y153" s="143">
        <v>0</v>
      </c>
      <c r="Z153" s="9">
        <f t="shared" si="34"/>
        <v>0</v>
      </c>
      <c r="AA153" s="143">
        <v>0</v>
      </c>
      <c r="AB153" s="9">
        <f t="shared" si="31"/>
        <v>0</v>
      </c>
      <c r="AC153" s="8" t="str">
        <f t="array" ref="AC153">IF(AB153&gt;5,"Perlu Pengendalian",IF(AND(AB153&gt;=0,Y153&gt;0),"Tidak Perlu Pengendalian","Belum Sensus"))</f>
        <v>Belum Sensus</v>
      </c>
      <c r="AD153" s="143">
        <v>0</v>
      </c>
      <c r="AE153" s="9">
        <f t="array" ref="AE153">IFERROR(AD153/Y153*100,0)</f>
        <v>0</v>
      </c>
      <c r="AG153" s="206">
        <v>17.777777777777779</v>
      </c>
      <c r="AH153" s="206">
        <v>4.12</v>
      </c>
      <c r="AI153" s="206">
        <v>0</v>
      </c>
    </row>
    <row r="154" spans="1:35" outlineLevel="1" x14ac:dyDescent="0.15">
      <c r="A154" s="8" t="s">
        <v>949</v>
      </c>
      <c r="B154" s="8"/>
      <c r="C154" s="8" t="s">
        <v>252</v>
      </c>
      <c r="D154" s="8" t="s">
        <v>1027</v>
      </c>
      <c r="E154" s="9">
        <v>40.770000000000003</v>
      </c>
      <c r="F154" s="8" t="s">
        <v>469</v>
      </c>
      <c r="G154" s="10">
        <v>3710.9999999999995</v>
      </c>
      <c r="H154" s="11">
        <f t="shared" si="35"/>
        <v>0</v>
      </c>
      <c r="I154" s="143">
        <f t="shared" si="36"/>
        <v>0</v>
      </c>
      <c r="J154" s="9">
        <f t="array" ref="J154">IFERROR(I154/G154*100,0)</f>
        <v>0</v>
      </c>
      <c r="K154" s="143">
        <f t="shared" si="37"/>
        <v>0</v>
      </c>
      <c r="L154" s="9">
        <f t="shared" si="32"/>
        <v>0</v>
      </c>
      <c r="M154" s="8" t="str">
        <f t="array" ref="M154">IF(L154&gt;5,"Perlu Pengendalian",IF(AND(L154&gt;=0,I154&gt;0),"Tidak Perlu Pengendalian","Belum Sensus"))</f>
        <v>Belum Sensus</v>
      </c>
      <c r="N154" s="143">
        <f t="shared" si="38"/>
        <v>0</v>
      </c>
      <c r="O154" s="9">
        <f t="array" ref="O154">IFERROR(N154/I154*100,0)</f>
        <v>0</v>
      </c>
      <c r="P154" s="11"/>
      <c r="Q154" s="143"/>
      <c r="R154" s="9">
        <f t="shared" si="33"/>
        <v>0</v>
      </c>
      <c r="S154" s="143"/>
      <c r="T154" s="9">
        <f t="shared" si="30"/>
        <v>0</v>
      </c>
      <c r="U154" s="8" t="str">
        <f t="array" ref="U154">IF(T154&gt;5,"Perlu Pengendalian",IF(AND(T154&gt;=0,Q154&gt;0),"Tidak Perlu Pengendalian","Belum Sensus"))</f>
        <v>Belum Sensus</v>
      </c>
      <c r="V154" s="143"/>
      <c r="W154" s="9">
        <f t="array" ref="W154">IFERROR(V154/Q154*100,0)</f>
        <v>0</v>
      </c>
      <c r="X154" s="11"/>
      <c r="Y154" s="143">
        <v>0</v>
      </c>
      <c r="Z154" s="9">
        <f t="shared" si="34"/>
        <v>0</v>
      </c>
      <c r="AA154" s="143">
        <v>0</v>
      </c>
      <c r="AB154" s="9">
        <f t="shared" si="31"/>
        <v>0</v>
      </c>
      <c r="AC154" s="8" t="str">
        <f t="array" ref="AC154">IF(AB154&gt;5,"Perlu Pengendalian",IF(AND(AB154&gt;=0,Y154&gt;0),"Tidak Perlu Pengendalian","Belum Sensus"))</f>
        <v>Belum Sensus</v>
      </c>
      <c r="AD154" s="143">
        <v>0</v>
      </c>
      <c r="AE154" s="9">
        <f t="array" ref="AE154">IFERROR(AD154/Y154*100,0)</f>
        <v>0</v>
      </c>
      <c r="AG154" s="206">
        <v>0.68965517241379315</v>
      </c>
      <c r="AH154" s="206">
        <v>4.1120000000000001</v>
      </c>
      <c r="AI154" s="206">
        <v>2.5</v>
      </c>
    </row>
    <row r="155" spans="1:35" outlineLevel="1" x14ac:dyDescent="0.15">
      <c r="A155" s="8" t="s">
        <v>949</v>
      </c>
      <c r="B155" s="8"/>
      <c r="C155" s="8" t="s">
        <v>252</v>
      </c>
      <c r="D155" s="8" t="s">
        <v>1414</v>
      </c>
      <c r="E155" s="9">
        <v>33.489999999999995</v>
      </c>
      <c r="F155" s="8" t="s">
        <v>469</v>
      </c>
      <c r="G155" s="10">
        <v>2137</v>
      </c>
      <c r="H155" s="11">
        <f t="shared" si="35"/>
        <v>0</v>
      </c>
      <c r="I155" s="143">
        <f t="shared" si="36"/>
        <v>0</v>
      </c>
      <c r="J155" s="9">
        <f t="array" ref="J155">IFERROR(I155/G155*100,0)</f>
        <v>0</v>
      </c>
      <c r="K155" s="143">
        <f t="shared" si="37"/>
        <v>0</v>
      </c>
      <c r="L155" s="9">
        <f t="shared" si="32"/>
        <v>0</v>
      </c>
      <c r="M155" s="8" t="str">
        <f t="array" ref="M155">IF(L155&gt;5,"Perlu Pengendalian",IF(AND(L155&gt;=0,I155&gt;0),"Tidak Perlu Pengendalian","Belum Sensus"))</f>
        <v>Belum Sensus</v>
      </c>
      <c r="N155" s="143">
        <f t="shared" si="38"/>
        <v>0</v>
      </c>
      <c r="O155" s="9">
        <f t="array" ref="O155">IFERROR(N155/I155*100,0)</f>
        <v>0</v>
      </c>
      <c r="P155" s="11"/>
      <c r="Q155" s="143"/>
      <c r="R155" s="9">
        <f t="shared" si="33"/>
        <v>0</v>
      </c>
      <c r="S155" s="143"/>
      <c r="T155" s="9">
        <f t="shared" si="30"/>
        <v>0</v>
      </c>
      <c r="U155" s="8" t="str">
        <f t="array" ref="U155">IF(T155&gt;5,"Perlu Pengendalian",IF(AND(T155&gt;=0,Q155&gt;0),"Tidak Perlu Pengendalian","Belum Sensus"))</f>
        <v>Belum Sensus</v>
      </c>
      <c r="V155" s="143"/>
      <c r="W155" s="9">
        <f t="array" ref="W155">IFERROR(V155/Q155*100,0)</f>
        <v>0</v>
      </c>
      <c r="X155" s="11"/>
      <c r="Y155" s="143">
        <v>0</v>
      </c>
      <c r="Z155" s="9">
        <f t="shared" si="34"/>
        <v>0</v>
      </c>
      <c r="AA155" s="143">
        <v>0</v>
      </c>
      <c r="AB155" s="9">
        <f t="shared" si="31"/>
        <v>0</v>
      </c>
      <c r="AC155" s="8" t="str">
        <f t="array" ref="AC155">IF(AB155&gt;5,"Perlu Pengendalian",IF(AND(AB155&gt;=0,Y155&gt;0),"Tidak Perlu Pengendalian","Belum Sensus"))</f>
        <v>Belum Sensus</v>
      </c>
      <c r="AD155" s="143">
        <v>0</v>
      </c>
      <c r="AE155" s="9">
        <f t="array" ref="AE155">IFERROR(AD155/Y155*100,0)</f>
        <v>0</v>
      </c>
      <c r="AG155" s="206">
        <v>0.35211267605633806</v>
      </c>
      <c r="AH155" s="206">
        <v>3.34</v>
      </c>
      <c r="AI155" s="206">
        <v>4.4502617801047117</v>
      </c>
    </row>
    <row r="156" spans="1:35" outlineLevel="1" x14ac:dyDescent="0.15">
      <c r="A156" s="8" t="s">
        <v>949</v>
      </c>
      <c r="B156" s="8"/>
      <c r="C156" s="8" t="s">
        <v>252</v>
      </c>
      <c r="D156" s="8" t="s">
        <v>1028</v>
      </c>
      <c r="E156" s="9">
        <v>26.770000000000003</v>
      </c>
      <c r="F156" s="8" t="s">
        <v>469</v>
      </c>
      <c r="G156" s="10">
        <v>2260</v>
      </c>
      <c r="H156" s="11">
        <f t="shared" si="35"/>
        <v>46172</v>
      </c>
      <c r="I156" s="143">
        <f t="shared" si="36"/>
        <v>160.82</v>
      </c>
      <c r="J156" s="9">
        <f t="array" ref="J156">IFERROR(I156/G156*100,0)</f>
        <v>7.1159292035398227</v>
      </c>
      <c r="K156" s="143">
        <f t="shared" si="37"/>
        <v>5</v>
      </c>
      <c r="L156" s="9">
        <f t="shared" si="32"/>
        <v>3.1090660365626168</v>
      </c>
      <c r="M156" s="8" t="str">
        <f t="array" ref="M156">IF(L156&gt;5,"Perlu Pengendalian",IF(AND(L156&gt;=0,I156&gt;0),"Tidak Perlu Pengendalian","Belum Sensus"))</f>
        <v>Tidak Perlu Pengendalian</v>
      </c>
      <c r="N156" s="143">
        <f t="shared" si="38"/>
        <v>8</v>
      </c>
      <c r="O156" s="9">
        <f t="array" ref="O156">IFERROR(N156/I156*100,0)</f>
        <v>4.9745056585001866</v>
      </c>
      <c r="P156" s="11">
        <v>46172</v>
      </c>
      <c r="Q156" s="143">
        <v>160.82</v>
      </c>
      <c r="R156" s="9">
        <f t="shared" si="33"/>
        <v>7.1159292035398227</v>
      </c>
      <c r="S156" s="143">
        <v>5</v>
      </c>
      <c r="T156" s="9">
        <f t="shared" si="30"/>
        <v>3.1090660365626168</v>
      </c>
      <c r="U156" s="8" t="str">
        <f t="array" ref="U156">IF(T156&gt;5,"Perlu Pengendalian",IF(AND(T156&gt;=0,Q156&gt;0),"Tidak Perlu Pengendalian","Belum Sensus"))</f>
        <v>Tidak Perlu Pengendalian</v>
      </c>
      <c r="V156" s="143">
        <v>8</v>
      </c>
      <c r="W156" s="9">
        <f t="array" ref="W156">IFERROR(V156/Q156*100,0)</f>
        <v>4.9745056585001866</v>
      </c>
      <c r="X156" s="11"/>
      <c r="Y156" s="143">
        <v>0</v>
      </c>
      <c r="Z156" s="9">
        <f t="shared" si="34"/>
        <v>0</v>
      </c>
      <c r="AA156" s="143">
        <v>0</v>
      </c>
      <c r="AB156" s="9">
        <f t="shared" si="31"/>
        <v>0</v>
      </c>
      <c r="AC156" s="8" t="str">
        <f t="array" ref="AC156">IF(AB156&gt;5,"Perlu Pengendalian",IF(AND(AB156&gt;=0,Y156&gt;0),"Tidak Perlu Pengendalian","Belum Sensus"))</f>
        <v>Belum Sensus</v>
      </c>
      <c r="AD156" s="143">
        <v>0</v>
      </c>
      <c r="AE156" s="9">
        <f t="array" ref="AE156">IFERROR(AD156/Y156*100,0)</f>
        <v>0</v>
      </c>
      <c r="AG156" s="206">
        <v>14.102564102564102</v>
      </c>
      <c r="AH156" s="206">
        <v>2.21</v>
      </c>
      <c r="AI156" s="206">
        <v>5.1428571428571423</v>
      </c>
    </row>
    <row r="157" spans="1:35" outlineLevel="1" x14ac:dyDescent="0.15">
      <c r="A157" s="8" t="s">
        <v>949</v>
      </c>
      <c r="B157" s="8"/>
      <c r="C157" s="8" t="s">
        <v>252</v>
      </c>
      <c r="D157" s="8" t="s">
        <v>1793</v>
      </c>
      <c r="E157" s="9">
        <v>34.950000000000003</v>
      </c>
      <c r="F157" s="8" t="s">
        <v>469</v>
      </c>
      <c r="G157" s="10">
        <v>3544</v>
      </c>
      <c r="H157" s="11">
        <f t="shared" si="35"/>
        <v>0</v>
      </c>
      <c r="I157" s="143">
        <f t="shared" si="36"/>
        <v>0</v>
      </c>
      <c r="J157" s="9">
        <f t="array" ref="J157">IFERROR(I157/G157*100,0)</f>
        <v>0</v>
      </c>
      <c r="K157" s="143">
        <f t="shared" si="37"/>
        <v>0</v>
      </c>
      <c r="L157" s="9">
        <f t="shared" si="32"/>
        <v>0</v>
      </c>
      <c r="M157" s="8" t="str">
        <f t="array" ref="M157">IF(L157&gt;5,"Perlu Pengendalian",IF(AND(L157&gt;=0,I157&gt;0),"Tidak Perlu Pengendalian","Belum Sensus"))</f>
        <v>Belum Sensus</v>
      </c>
      <c r="N157" s="143">
        <f t="shared" si="38"/>
        <v>0</v>
      </c>
      <c r="O157" s="9">
        <f t="array" ref="O157">IFERROR(N157/I157*100,0)</f>
        <v>0</v>
      </c>
      <c r="P157" s="11"/>
      <c r="Q157" s="143"/>
      <c r="R157" s="9">
        <f t="shared" si="33"/>
        <v>0</v>
      </c>
      <c r="S157" s="143"/>
      <c r="T157" s="9">
        <f t="shared" si="30"/>
        <v>0</v>
      </c>
      <c r="U157" s="8" t="str">
        <f t="array" ref="U157">IF(T157&gt;5,"Perlu Pengendalian",IF(AND(T157&gt;=0,Q157&gt;0),"Tidak Perlu Pengendalian","Belum Sensus"))</f>
        <v>Belum Sensus</v>
      </c>
      <c r="V157" s="143"/>
      <c r="W157" s="9">
        <f t="array" ref="W157">IFERROR(V157/Q157*100,0)</f>
        <v>0</v>
      </c>
      <c r="X157" s="11"/>
      <c r="Y157" s="143">
        <v>0</v>
      </c>
      <c r="Z157" s="9">
        <f t="shared" si="34"/>
        <v>0</v>
      </c>
      <c r="AA157" s="143">
        <v>0</v>
      </c>
      <c r="AB157" s="9">
        <f t="shared" si="31"/>
        <v>0</v>
      </c>
      <c r="AC157" s="8" t="str">
        <f t="array" ref="AC157">IF(AB157&gt;5,"Perlu Pengendalian",IF(AND(AB157&gt;=0,Y157&gt;0),"Tidak Perlu Pengendalian","Belum Sensus"))</f>
        <v>Belum Sensus</v>
      </c>
      <c r="AD157" s="143">
        <v>0</v>
      </c>
      <c r="AE157" s="9">
        <f t="array" ref="AE157">IFERROR(AD157/Y157*100,0)</f>
        <v>0</v>
      </c>
      <c r="AG157" s="206">
        <v>0</v>
      </c>
      <c r="AH157" s="206">
        <v>1.1599999999999999</v>
      </c>
      <c r="AI157" s="206">
        <v>6.0064935064935066</v>
      </c>
    </row>
    <row r="158" spans="1:35" outlineLevel="1" x14ac:dyDescent="0.15">
      <c r="A158" s="8" t="s">
        <v>949</v>
      </c>
      <c r="B158" s="8"/>
      <c r="C158" s="8" t="s">
        <v>252</v>
      </c>
      <c r="D158" s="8" t="s">
        <v>1794</v>
      </c>
      <c r="E158" s="9">
        <v>22.35</v>
      </c>
      <c r="F158" s="8" t="s">
        <v>469</v>
      </c>
      <c r="G158" s="10">
        <v>2144</v>
      </c>
      <c r="H158" s="11">
        <f t="shared" si="35"/>
        <v>46176</v>
      </c>
      <c r="I158" s="143">
        <f t="shared" si="36"/>
        <v>154.035</v>
      </c>
      <c r="J158" s="9">
        <f t="array" ref="J158">IFERROR(I158/G158*100,0)</f>
        <v>7.1844682835820892</v>
      </c>
      <c r="K158" s="143">
        <f t="shared" si="37"/>
        <v>5</v>
      </c>
      <c r="L158" s="9">
        <f t="shared" si="32"/>
        <v>3.2460155159541664</v>
      </c>
      <c r="M158" s="8" t="str">
        <f t="array" ref="M158">IF(L158&gt;5,"Perlu Pengendalian",IF(AND(L158&gt;=0,I158&gt;0),"Tidak Perlu Pengendalian","Belum Sensus"))</f>
        <v>Tidak Perlu Pengendalian</v>
      </c>
      <c r="N158" s="143">
        <f t="shared" si="38"/>
        <v>11</v>
      </c>
      <c r="O158" s="9">
        <f t="array" ref="O158">IFERROR(N158/I158*100,0)</f>
        <v>7.1412341350991655</v>
      </c>
      <c r="P158" s="11"/>
      <c r="Q158" s="143"/>
      <c r="R158" s="9">
        <f t="shared" si="33"/>
        <v>0</v>
      </c>
      <c r="S158" s="143"/>
      <c r="T158" s="9">
        <f t="shared" si="30"/>
        <v>0</v>
      </c>
      <c r="U158" s="8" t="str">
        <f t="array" ref="U158">IF(T158&gt;5,"Perlu Pengendalian",IF(AND(T158&gt;=0,Q158&gt;0),"Tidak Perlu Pengendalian","Belum Sensus"))</f>
        <v>Belum Sensus</v>
      </c>
      <c r="V158" s="143"/>
      <c r="W158" s="9">
        <f t="array" ref="W158">IFERROR(V158/Q158*100,0)</f>
        <v>0</v>
      </c>
      <c r="X158" s="11">
        <v>46176</v>
      </c>
      <c r="Y158" s="143">
        <v>154.035</v>
      </c>
      <c r="Z158" s="9">
        <f t="shared" si="34"/>
        <v>7.1844682835820892</v>
      </c>
      <c r="AA158" s="143">
        <v>5</v>
      </c>
      <c r="AB158" s="9">
        <f t="shared" si="31"/>
        <v>3.2460155159541664</v>
      </c>
      <c r="AC158" s="8" t="str">
        <f t="array" ref="AC158">IF(AB158&gt;5,"Perlu Pengendalian",IF(AND(AB158&gt;=0,Y158&gt;0),"Tidak Perlu Pengendalian","Belum Sensus"))</f>
        <v>Tidak Perlu Pengendalian</v>
      </c>
      <c r="AD158" s="143">
        <v>11</v>
      </c>
      <c r="AE158" s="9">
        <f t="array" ref="AE158">IFERROR(AD158/Y158*100,0)</f>
        <v>7.1412341350991655</v>
      </c>
      <c r="AG158" s="206">
        <v>0</v>
      </c>
      <c r="AH158" s="206">
        <v>3.36</v>
      </c>
      <c r="AI158" s="206">
        <v>2.0151133501259446</v>
      </c>
    </row>
    <row r="159" spans="1:35" outlineLevel="1" x14ac:dyDescent="0.15">
      <c r="A159" s="8" t="s">
        <v>949</v>
      </c>
      <c r="B159" s="8"/>
      <c r="C159" s="8" t="s">
        <v>252</v>
      </c>
      <c r="D159" s="8" t="s">
        <v>1795</v>
      </c>
      <c r="E159" s="179">
        <v>38.940000000000005</v>
      </c>
      <c r="F159" s="8" t="s">
        <v>469</v>
      </c>
      <c r="G159" s="10">
        <v>3089</v>
      </c>
      <c r="H159" s="11">
        <f t="shared" si="35"/>
        <v>46175</v>
      </c>
      <c r="I159" s="143">
        <f t="shared" si="36"/>
        <v>451.86099999999999</v>
      </c>
      <c r="J159" s="9">
        <f t="array" ref="J159">IFERROR(I159/G159*100,0)</f>
        <v>14.628067335707348</v>
      </c>
      <c r="K159" s="143">
        <f t="shared" si="37"/>
        <v>1</v>
      </c>
      <c r="L159" s="9">
        <f t="shared" si="32"/>
        <v>0.22130699485018623</v>
      </c>
      <c r="M159" s="8" t="str">
        <f t="array" ref="M159">IF(L159&gt;5,"Perlu Pengendalian",IF(AND(L159&gt;=0,I159&gt;0),"Tidak Perlu Pengendalian","Belum Sensus"))</f>
        <v>Tidak Perlu Pengendalian</v>
      </c>
      <c r="N159" s="143">
        <f t="shared" si="38"/>
        <v>22</v>
      </c>
      <c r="O159" s="9">
        <f t="array" ref="O159">IFERROR(N159/I159*100,0)</f>
        <v>4.8687538867040967</v>
      </c>
      <c r="P159" s="11"/>
      <c r="Q159" s="143"/>
      <c r="R159" s="9">
        <f t="shared" si="33"/>
        <v>0</v>
      </c>
      <c r="S159" s="143"/>
      <c r="T159" s="9">
        <f t="shared" si="30"/>
        <v>0</v>
      </c>
      <c r="U159" s="8" t="str">
        <f t="array" ref="U159">IF(T159&gt;5,"Perlu Pengendalian",IF(AND(T159&gt;=0,Q159&gt;0),"Tidak Perlu Pengendalian","Belum Sensus"))</f>
        <v>Belum Sensus</v>
      </c>
      <c r="V159" s="143"/>
      <c r="W159" s="9">
        <f t="array" ref="W159">IFERROR(V159/Q159*100,0)</f>
        <v>0</v>
      </c>
      <c r="X159" s="11">
        <v>46175</v>
      </c>
      <c r="Y159" s="143">
        <v>451.86099999999999</v>
      </c>
      <c r="Z159" s="9">
        <f t="shared" si="34"/>
        <v>14.628067335707348</v>
      </c>
      <c r="AA159" s="143">
        <v>1</v>
      </c>
      <c r="AB159" s="9">
        <f t="shared" si="31"/>
        <v>0.22130699485018623</v>
      </c>
      <c r="AC159" s="8" t="str">
        <f t="array" ref="AC159">IF(AB159&gt;5,"Perlu Pengendalian",IF(AND(AB159&gt;=0,Y159&gt;0),"Tidak Perlu Pengendalian","Belum Sensus"))</f>
        <v>Tidak Perlu Pengendalian</v>
      </c>
      <c r="AD159" s="143">
        <v>22</v>
      </c>
      <c r="AE159" s="9">
        <f t="array" ref="AE159">IFERROR(AD159/Y159*100,0)</f>
        <v>4.8687538867040967</v>
      </c>
      <c r="AG159" s="206">
        <v>3.3333333333333335</v>
      </c>
      <c r="AH159" s="206">
        <v>4.18</v>
      </c>
      <c r="AI159" s="206">
        <v>3.3333333333333335</v>
      </c>
    </row>
    <row r="160" spans="1:35" outlineLevel="1" x14ac:dyDescent="0.15">
      <c r="A160" s="8" t="s">
        <v>949</v>
      </c>
      <c r="B160" s="8"/>
      <c r="C160" s="8" t="s">
        <v>252</v>
      </c>
      <c r="D160" s="215" t="s">
        <v>1407</v>
      </c>
      <c r="E160" s="9">
        <v>34.15</v>
      </c>
      <c r="F160" s="8" t="s">
        <v>469</v>
      </c>
      <c r="G160" s="10">
        <v>2224</v>
      </c>
      <c r="H160" s="11">
        <f t="shared" si="35"/>
        <v>0</v>
      </c>
      <c r="I160" s="143">
        <f t="shared" si="36"/>
        <v>0</v>
      </c>
      <c r="J160" s="9">
        <f t="array" ref="J160">IFERROR(I160/G160*100,0)</f>
        <v>0</v>
      </c>
      <c r="K160" s="143">
        <f t="shared" si="37"/>
        <v>0</v>
      </c>
      <c r="L160" s="9">
        <f t="shared" si="32"/>
        <v>0</v>
      </c>
      <c r="M160" s="8" t="str">
        <f t="array" ref="M160">IF(L160&gt;5,"Perlu Pengendalian",IF(AND(L160&gt;=0,I160&gt;0),"Tidak Perlu Pengendalian","Belum Sensus"))</f>
        <v>Belum Sensus</v>
      </c>
      <c r="N160" s="143">
        <f t="shared" si="38"/>
        <v>0</v>
      </c>
      <c r="O160" s="9">
        <f t="array" ref="O160">IFERROR(N160/I160*100,0)</f>
        <v>0</v>
      </c>
      <c r="P160" s="11"/>
      <c r="Q160" s="143"/>
      <c r="R160" s="9">
        <f t="shared" si="33"/>
        <v>0</v>
      </c>
      <c r="S160" s="143"/>
      <c r="T160" s="9">
        <f t="shared" si="30"/>
        <v>0</v>
      </c>
      <c r="U160" s="8" t="str">
        <f t="array" ref="U160">IF(T160&gt;5,"Perlu Pengendalian",IF(AND(T160&gt;=0,Q160&gt;0),"Tidak Perlu Pengendalian","Belum Sensus"))</f>
        <v>Belum Sensus</v>
      </c>
      <c r="V160" s="143"/>
      <c r="W160" s="9">
        <f t="array" ref="W160">IFERROR(V160/Q160*100,0)</f>
        <v>0</v>
      </c>
      <c r="X160" s="11"/>
      <c r="Y160" s="143">
        <v>0</v>
      </c>
      <c r="Z160" s="9">
        <f t="shared" si="34"/>
        <v>0</v>
      </c>
      <c r="AA160" s="143">
        <v>0</v>
      </c>
      <c r="AB160" s="9">
        <f t="shared" si="31"/>
        <v>0</v>
      </c>
      <c r="AC160" s="8" t="str">
        <f t="array" ref="AC160">IF(AB160&gt;5,"Perlu Pengendalian",IF(AND(AB160&gt;=0,Y160&gt;0),"Tidak Perlu Pengendalian","Belum Sensus"))</f>
        <v>Belum Sensus</v>
      </c>
      <c r="AD160" s="143">
        <v>0</v>
      </c>
      <c r="AE160" s="9">
        <f t="array" ref="AE160">IFERROR(AD160/Y160*100,0)</f>
        <v>0</v>
      </c>
      <c r="AG160" s="206">
        <v>14.285714285714285</v>
      </c>
      <c r="AH160" s="206">
        <v>2.2500000000000004</v>
      </c>
      <c r="AI160" s="206">
        <v>8.5918854415274453</v>
      </c>
    </row>
    <row r="161" spans="1:35" outlineLevel="1" x14ac:dyDescent="0.15">
      <c r="A161" s="8" t="s">
        <v>949</v>
      </c>
      <c r="B161" s="8"/>
      <c r="C161" s="8" t="s">
        <v>252</v>
      </c>
      <c r="D161" s="8" t="s">
        <v>1025</v>
      </c>
      <c r="E161" s="9">
        <v>20.299999999999997</v>
      </c>
      <c r="F161" s="8" t="s">
        <v>469</v>
      </c>
      <c r="G161" s="10">
        <v>1984</v>
      </c>
      <c r="H161" s="11">
        <f t="shared" si="35"/>
        <v>46171</v>
      </c>
      <c r="I161" s="143">
        <f t="shared" si="36"/>
        <v>191.672</v>
      </c>
      <c r="J161" s="9">
        <f t="array" ref="J161">IFERROR(I161/G161*100,0)</f>
        <v>9.6608870967741929</v>
      </c>
      <c r="K161" s="143">
        <f t="shared" si="37"/>
        <v>7</v>
      </c>
      <c r="L161" s="9">
        <f t="shared" si="32"/>
        <v>3.6520722901623608</v>
      </c>
      <c r="M161" s="8" t="str">
        <f t="array" ref="M161">IF(L161&gt;5,"Perlu Pengendalian",IF(AND(L161&gt;=0,I161&gt;0),"Tidak Perlu Pengendalian","Belum Sensus"))</f>
        <v>Tidak Perlu Pengendalian</v>
      </c>
      <c r="N161" s="143">
        <f t="shared" si="38"/>
        <v>9</v>
      </c>
      <c r="O161" s="9">
        <f t="array" ref="O161">IFERROR(N161/I161*100,0)</f>
        <v>4.6955215159230352</v>
      </c>
      <c r="P161" s="11">
        <v>46171</v>
      </c>
      <c r="Q161" s="143">
        <v>191.672</v>
      </c>
      <c r="R161" s="9">
        <f t="shared" si="33"/>
        <v>9.6608870967741929</v>
      </c>
      <c r="S161" s="143">
        <v>7</v>
      </c>
      <c r="T161" s="9">
        <f t="shared" si="30"/>
        <v>3.6520722901623608</v>
      </c>
      <c r="U161" s="8" t="str">
        <f t="array" ref="U161">IF(T161&gt;5,"Perlu Pengendalian",IF(AND(T161&gt;=0,Q161&gt;0),"Tidak Perlu Pengendalian","Belum Sensus"))</f>
        <v>Tidak Perlu Pengendalian</v>
      </c>
      <c r="V161" s="143">
        <v>9</v>
      </c>
      <c r="W161" s="9">
        <f t="array" ref="W161">IFERROR(V161/Q161*100,0)</f>
        <v>4.6955215159230352</v>
      </c>
      <c r="X161" s="11"/>
      <c r="Y161" s="143">
        <v>0</v>
      </c>
      <c r="Z161" s="9">
        <f t="shared" si="34"/>
        <v>0</v>
      </c>
      <c r="AA161" s="143">
        <v>0</v>
      </c>
      <c r="AB161" s="9">
        <f t="shared" si="31"/>
        <v>0</v>
      </c>
      <c r="AC161" s="8" t="str">
        <f t="array" ref="AC161">IF(AB161&gt;5,"Perlu Pengendalian",IF(AND(AB161&gt;=0,Y161&gt;0),"Tidak Perlu Pengendalian","Belum Sensus"))</f>
        <v>Belum Sensus</v>
      </c>
      <c r="AD161" s="143">
        <v>0</v>
      </c>
      <c r="AE161" s="9">
        <f t="array" ref="AE161">IFERROR(AD161/Y161*100,0)</f>
        <v>0</v>
      </c>
      <c r="AG161" s="206">
        <v>1.2820512820512819</v>
      </c>
      <c r="AH161" s="206">
        <v>2.81</v>
      </c>
      <c r="AI161" s="206">
        <v>1.6666666666666667</v>
      </c>
    </row>
    <row r="162" spans="1:35" outlineLevel="1" x14ac:dyDescent="0.15">
      <c r="A162" s="8" t="s">
        <v>949</v>
      </c>
      <c r="B162" s="8"/>
      <c r="C162" s="8" t="s">
        <v>252</v>
      </c>
      <c r="D162" s="8" t="s">
        <v>1412</v>
      </c>
      <c r="E162" s="9">
        <v>30.03</v>
      </c>
      <c r="F162" s="8" t="s">
        <v>469</v>
      </c>
      <c r="G162" s="10">
        <v>2398</v>
      </c>
      <c r="H162" s="11">
        <f t="shared" si="35"/>
        <v>0</v>
      </c>
      <c r="I162" s="143">
        <f t="shared" si="36"/>
        <v>0</v>
      </c>
      <c r="J162" s="9">
        <f t="array" ref="J162">IFERROR(I162/G162*100,0)</f>
        <v>0</v>
      </c>
      <c r="K162" s="143">
        <f t="shared" si="37"/>
        <v>0</v>
      </c>
      <c r="L162" s="9">
        <f t="shared" si="32"/>
        <v>0</v>
      </c>
      <c r="M162" s="8" t="str">
        <f t="array" ref="M162">IF(L162&gt;5,"Perlu Pengendalian",IF(AND(L162&gt;=0,I162&gt;0),"Tidak Perlu Pengendalian","Belum Sensus"))</f>
        <v>Belum Sensus</v>
      </c>
      <c r="N162" s="143">
        <f t="shared" si="38"/>
        <v>0</v>
      </c>
      <c r="O162" s="9">
        <f t="array" ref="O162">IFERROR(N162/I162*100,0)</f>
        <v>0</v>
      </c>
      <c r="P162" s="11"/>
      <c r="Q162" s="143"/>
      <c r="R162" s="9">
        <f t="shared" si="33"/>
        <v>0</v>
      </c>
      <c r="S162" s="143"/>
      <c r="T162" s="9">
        <f t="shared" si="30"/>
        <v>0</v>
      </c>
      <c r="U162" s="8" t="str">
        <f t="array" ref="U162">IF(T162&gt;5,"Perlu Pengendalian",IF(AND(T162&gt;=0,Q162&gt;0),"Tidak Perlu Pengendalian","Belum Sensus"))</f>
        <v>Belum Sensus</v>
      </c>
      <c r="V162" s="143"/>
      <c r="W162" s="9">
        <f t="array" ref="W162">IFERROR(V162/Q162*100,0)</f>
        <v>0</v>
      </c>
      <c r="X162" s="11"/>
      <c r="Y162" s="143">
        <v>0</v>
      </c>
      <c r="Z162" s="9">
        <f t="shared" si="34"/>
        <v>0</v>
      </c>
      <c r="AA162" s="143">
        <v>0</v>
      </c>
      <c r="AB162" s="9">
        <f t="shared" si="31"/>
        <v>0</v>
      </c>
      <c r="AC162" s="8" t="str">
        <f t="array" ref="AC162">IF(AB162&gt;5,"Perlu Pengendalian",IF(AND(AB162&gt;=0,Y162&gt;0),"Tidak Perlu Pengendalian","Belum Sensus"))</f>
        <v>Belum Sensus</v>
      </c>
      <c r="AD162" s="143">
        <v>0</v>
      </c>
      <c r="AE162" s="9">
        <f t="array" ref="AE162">IFERROR(AD162/Y162*100,0)</f>
        <v>0</v>
      </c>
      <c r="AG162" s="206">
        <v>0</v>
      </c>
      <c r="AH162" s="206">
        <v>3.1099999999999994</v>
      </c>
      <c r="AI162" s="206">
        <v>0</v>
      </c>
    </row>
    <row r="163" spans="1:35" outlineLevel="1" x14ac:dyDescent="0.15">
      <c r="A163" s="8" t="s">
        <v>949</v>
      </c>
      <c r="B163" s="8"/>
      <c r="C163" s="8" t="s">
        <v>252</v>
      </c>
      <c r="D163" s="215" t="s">
        <v>1413</v>
      </c>
      <c r="E163" s="9">
        <v>35.409999999999997</v>
      </c>
      <c r="F163" s="8" t="s">
        <v>469</v>
      </c>
      <c r="G163" s="10">
        <v>2988</v>
      </c>
      <c r="H163" s="11">
        <f t="shared" si="35"/>
        <v>0</v>
      </c>
      <c r="I163" s="143">
        <f t="shared" si="36"/>
        <v>0</v>
      </c>
      <c r="J163" s="9">
        <f t="array" ref="J163">IFERROR(I163/G163*100,0)</f>
        <v>0</v>
      </c>
      <c r="K163" s="143">
        <f t="shared" si="37"/>
        <v>0</v>
      </c>
      <c r="L163" s="9">
        <f t="shared" si="32"/>
        <v>0</v>
      </c>
      <c r="M163" s="8" t="str">
        <f t="array" ref="M163">IF(L163&gt;5,"Perlu Pengendalian",IF(AND(L163&gt;=0,I163&gt;0),"Tidak Perlu Pengendalian","Belum Sensus"))</f>
        <v>Belum Sensus</v>
      </c>
      <c r="N163" s="143">
        <f t="shared" si="38"/>
        <v>0</v>
      </c>
      <c r="O163" s="9">
        <f t="array" ref="O163">IFERROR(N163/I163*100,0)</f>
        <v>0</v>
      </c>
      <c r="P163" s="11"/>
      <c r="Q163" s="143"/>
      <c r="R163" s="9">
        <f t="shared" si="33"/>
        <v>0</v>
      </c>
      <c r="S163" s="143"/>
      <c r="T163" s="9">
        <f t="shared" si="30"/>
        <v>0</v>
      </c>
      <c r="U163" s="8" t="str">
        <f t="array" ref="U163">IF(T163&gt;5,"Perlu Pengendalian",IF(AND(T163&gt;=0,Q163&gt;0),"Tidak Perlu Pengendalian","Belum Sensus"))</f>
        <v>Belum Sensus</v>
      </c>
      <c r="V163" s="143"/>
      <c r="W163" s="9">
        <f t="array" ref="W163">IFERROR(V163/Q163*100,0)</f>
        <v>0</v>
      </c>
      <c r="X163" s="11"/>
      <c r="Y163" s="143">
        <v>0</v>
      </c>
      <c r="Z163" s="9">
        <f t="shared" si="34"/>
        <v>0</v>
      </c>
      <c r="AA163" s="143">
        <v>0</v>
      </c>
      <c r="AB163" s="9">
        <f t="shared" si="31"/>
        <v>0</v>
      </c>
      <c r="AC163" s="8" t="str">
        <f t="array" ref="AC163">IF(AB163&gt;5,"Perlu Pengendalian",IF(AND(AB163&gt;=0,Y163&gt;0),"Tidak Perlu Pengendalian","Belum Sensus"))</f>
        <v>Belum Sensus</v>
      </c>
      <c r="AD163" s="143">
        <v>0</v>
      </c>
      <c r="AE163" s="9">
        <f t="array" ref="AE163">IFERROR(AD163/Y163*100,0)</f>
        <v>0</v>
      </c>
      <c r="AG163" s="206">
        <v>7.6923076923076925</v>
      </c>
      <c r="AH163" s="206">
        <v>2.94</v>
      </c>
      <c r="AI163" s="206">
        <v>5.5944055944055942</v>
      </c>
    </row>
    <row r="164" spans="1:35" outlineLevel="1" x14ac:dyDescent="0.15">
      <c r="A164" s="8" t="s">
        <v>949</v>
      </c>
      <c r="B164" s="8"/>
      <c r="C164" s="8" t="s">
        <v>252</v>
      </c>
      <c r="D164" s="8" t="s">
        <v>1796</v>
      </c>
      <c r="E164" s="9">
        <v>33.049999999999997</v>
      </c>
      <c r="F164" s="8" t="s">
        <v>469</v>
      </c>
      <c r="G164" s="10">
        <v>3621</v>
      </c>
      <c r="H164" s="11">
        <f t="shared" si="35"/>
        <v>0</v>
      </c>
      <c r="I164" s="143">
        <f t="shared" si="36"/>
        <v>0</v>
      </c>
      <c r="J164" s="9">
        <f t="array" ref="J164">IFERROR(I164/G164*100,0)</f>
        <v>0</v>
      </c>
      <c r="K164" s="143">
        <f t="shared" si="37"/>
        <v>0</v>
      </c>
      <c r="L164" s="9">
        <f t="shared" si="32"/>
        <v>0</v>
      </c>
      <c r="M164" s="8" t="str">
        <f t="array" ref="M164">IF(L164&gt;5,"Perlu Pengendalian",IF(AND(L164&gt;=0,I164&gt;0),"Tidak Perlu Pengendalian","Belum Sensus"))</f>
        <v>Belum Sensus</v>
      </c>
      <c r="N164" s="143">
        <f t="shared" si="38"/>
        <v>0</v>
      </c>
      <c r="O164" s="9">
        <f t="array" ref="O164">IFERROR(N164/I164*100,0)</f>
        <v>0</v>
      </c>
      <c r="P164" s="11"/>
      <c r="Q164" s="143"/>
      <c r="R164" s="9">
        <f t="shared" si="33"/>
        <v>0</v>
      </c>
      <c r="S164" s="143"/>
      <c r="T164" s="9">
        <f t="shared" si="30"/>
        <v>0</v>
      </c>
      <c r="U164" s="8" t="str">
        <f t="array" ref="U164">IF(T164&gt;5,"Perlu Pengendalian",IF(AND(T164&gt;=0,Q164&gt;0),"Tidak Perlu Pengendalian","Belum Sensus"))</f>
        <v>Belum Sensus</v>
      </c>
      <c r="V164" s="143"/>
      <c r="W164" s="9">
        <f t="array" ref="W164">IFERROR(V164/Q164*100,0)</f>
        <v>0</v>
      </c>
      <c r="X164" s="11"/>
      <c r="Y164" s="143">
        <v>0</v>
      </c>
      <c r="Z164" s="9">
        <f t="shared" si="34"/>
        <v>0</v>
      </c>
      <c r="AA164" s="143">
        <v>0</v>
      </c>
      <c r="AB164" s="9">
        <f t="shared" si="31"/>
        <v>0</v>
      </c>
      <c r="AC164" s="8" t="str">
        <f t="array" ref="AC164">IF(AB164&gt;5,"Perlu Pengendalian",IF(AND(AB164&gt;=0,Y164&gt;0),"Tidak Perlu Pengendalian","Belum Sensus"))</f>
        <v>Belum Sensus</v>
      </c>
      <c r="AD164" s="143">
        <v>0</v>
      </c>
      <c r="AE164" s="9">
        <f t="array" ref="AE164">IFERROR(AD164/Y164*100,0)</f>
        <v>0</v>
      </c>
      <c r="AG164" s="206">
        <v>0</v>
      </c>
      <c r="AH164" s="206">
        <v>1.72</v>
      </c>
      <c r="AI164" s="206">
        <v>0</v>
      </c>
    </row>
    <row r="165" spans="1:35" outlineLevel="1" x14ac:dyDescent="0.15">
      <c r="A165" s="8" t="s">
        <v>949</v>
      </c>
      <c r="B165" s="8"/>
      <c r="C165" s="8" t="s">
        <v>252</v>
      </c>
      <c r="D165" s="8" t="s">
        <v>1797</v>
      </c>
      <c r="E165" s="9">
        <v>40.909999999999997</v>
      </c>
      <c r="F165" s="8" t="s">
        <v>469</v>
      </c>
      <c r="G165" s="10">
        <v>4383</v>
      </c>
      <c r="H165" s="11">
        <f t="shared" si="35"/>
        <v>46177</v>
      </c>
      <c r="I165" s="143">
        <f t="shared" si="36"/>
        <v>216.11699999999999</v>
      </c>
      <c r="J165" s="9">
        <f t="array" ref="J165">IFERROR(I165/G165*100,0)</f>
        <v>4.9308008213552359</v>
      </c>
      <c r="K165" s="143">
        <f t="shared" si="37"/>
        <v>9</v>
      </c>
      <c r="L165" s="9">
        <f t="shared" si="32"/>
        <v>4.1644109440719612</v>
      </c>
      <c r="M165" s="8" t="str">
        <f t="array" ref="M165">IF(L165&gt;5,"Perlu Pengendalian",IF(AND(L165&gt;=0,I165&gt;0),"Tidak Perlu Pengendalian","Belum Sensus"))</f>
        <v>Tidak Perlu Pengendalian</v>
      </c>
      <c r="N165" s="143">
        <f t="shared" si="38"/>
        <v>16</v>
      </c>
      <c r="O165" s="9">
        <f t="array" ref="O165">IFERROR(N165/I165*100,0)</f>
        <v>7.403397233905709</v>
      </c>
      <c r="P165" s="11"/>
      <c r="Q165" s="143"/>
      <c r="R165" s="9">
        <f t="shared" si="33"/>
        <v>0</v>
      </c>
      <c r="S165" s="143"/>
      <c r="T165" s="9">
        <f t="shared" si="30"/>
        <v>0</v>
      </c>
      <c r="U165" s="8" t="str">
        <f t="array" ref="U165">IF(T165&gt;5,"Perlu Pengendalian",IF(AND(T165&gt;=0,Q165&gt;0),"Tidak Perlu Pengendalian","Belum Sensus"))</f>
        <v>Belum Sensus</v>
      </c>
      <c r="V165" s="143"/>
      <c r="W165" s="9">
        <f t="array" ref="W165">IFERROR(V165/Q165*100,0)</f>
        <v>0</v>
      </c>
      <c r="X165" s="11">
        <v>46177</v>
      </c>
      <c r="Y165" s="143">
        <v>216.11699999999999</v>
      </c>
      <c r="Z165" s="9">
        <f t="shared" si="34"/>
        <v>4.9308008213552359</v>
      </c>
      <c r="AA165" s="143">
        <v>9</v>
      </c>
      <c r="AB165" s="9">
        <f t="shared" si="31"/>
        <v>4.1644109440719612</v>
      </c>
      <c r="AC165" s="8" t="str">
        <f t="array" ref="AC165">IF(AB165&gt;5,"Perlu Pengendalian",IF(AND(AB165&gt;=0,Y165&gt;0),"Tidak Perlu Pengendalian","Belum Sensus"))</f>
        <v>Tidak Perlu Pengendalian</v>
      </c>
      <c r="AD165" s="143">
        <v>16</v>
      </c>
      <c r="AE165" s="9">
        <f t="array" ref="AE165">IFERROR(AD165/Y165*100,0)</f>
        <v>7.403397233905709</v>
      </c>
      <c r="AG165" s="206">
        <v>0</v>
      </c>
      <c r="AH165" s="206">
        <v>1.77</v>
      </c>
      <c r="AI165" s="206">
        <v>0</v>
      </c>
    </row>
    <row r="166" spans="1:35" outlineLevel="1" x14ac:dyDescent="0.15">
      <c r="A166" s="8" t="s">
        <v>949</v>
      </c>
      <c r="B166" s="8"/>
      <c r="C166" s="8" t="s">
        <v>252</v>
      </c>
      <c r="D166" s="8" t="s">
        <v>1798</v>
      </c>
      <c r="E166" s="9">
        <v>30.189999999999998</v>
      </c>
      <c r="F166" s="8" t="s">
        <v>469</v>
      </c>
      <c r="G166" s="10">
        <v>3070</v>
      </c>
      <c r="H166" s="11">
        <f t="shared" si="35"/>
        <v>0</v>
      </c>
      <c r="I166" s="143">
        <f t="shared" si="36"/>
        <v>0</v>
      </c>
      <c r="J166" s="9">
        <f t="array" ref="J166">IFERROR(I166/G166*100,0)</f>
        <v>0</v>
      </c>
      <c r="K166" s="143">
        <f t="shared" si="37"/>
        <v>0</v>
      </c>
      <c r="L166" s="9">
        <f t="shared" si="32"/>
        <v>0</v>
      </c>
      <c r="M166" s="8" t="str">
        <f t="array" ref="M166">IF(L166&gt;5,"Perlu Pengendalian",IF(AND(L166&gt;=0,I166&gt;0),"Tidak Perlu Pengendalian","Belum Sensus"))</f>
        <v>Belum Sensus</v>
      </c>
      <c r="N166" s="143">
        <f t="shared" si="38"/>
        <v>0</v>
      </c>
      <c r="O166" s="9">
        <f t="array" ref="O166">IFERROR(N166/I166*100,0)</f>
        <v>0</v>
      </c>
      <c r="P166" s="11"/>
      <c r="Q166" s="143"/>
      <c r="R166" s="9">
        <f t="shared" si="33"/>
        <v>0</v>
      </c>
      <c r="S166" s="143"/>
      <c r="T166" s="9">
        <f t="shared" si="30"/>
        <v>0</v>
      </c>
      <c r="U166" s="8" t="str">
        <f t="array" ref="U166">IF(T166&gt;5,"Perlu Pengendalian",IF(AND(T166&gt;=0,Q166&gt;0),"Tidak Perlu Pengendalian","Belum Sensus"))</f>
        <v>Belum Sensus</v>
      </c>
      <c r="V166" s="143"/>
      <c r="W166" s="9">
        <f t="array" ref="W166">IFERROR(V166/Q166*100,0)</f>
        <v>0</v>
      </c>
      <c r="X166" s="11"/>
      <c r="Y166" s="143">
        <v>0</v>
      </c>
      <c r="Z166" s="9">
        <f t="shared" si="34"/>
        <v>0</v>
      </c>
      <c r="AA166" s="143">
        <v>0</v>
      </c>
      <c r="AB166" s="9">
        <f t="shared" si="31"/>
        <v>0</v>
      </c>
      <c r="AC166" s="8" t="str">
        <f t="array" ref="AC166">IF(AB166&gt;5,"Perlu Pengendalian",IF(AND(AB166&gt;=0,Y166&gt;0),"Tidak Perlu Pengendalian","Belum Sensus"))</f>
        <v>Belum Sensus</v>
      </c>
      <c r="AD166" s="143">
        <v>0</v>
      </c>
      <c r="AE166" s="9">
        <f t="array" ref="AE166">IFERROR(AD166/Y166*100,0)</f>
        <v>0</v>
      </c>
      <c r="AG166" s="206">
        <v>0</v>
      </c>
      <c r="AH166" s="206">
        <v>4.1180000000000003</v>
      </c>
      <c r="AI166" s="206">
        <v>3.3333333333333335</v>
      </c>
    </row>
    <row r="167" spans="1:35" outlineLevel="1" x14ac:dyDescent="0.15">
      <c r="A167" s="8" t="s">
        <v>949</v>
      </c>
      <c r="B167" s="8"/>
      <c r="C167" s="8" t="s">
        <v>252</v>
      </c>
      <c r="D167" s="8" t="s">
        <v>1799</v>
      </c>
      <c r="E167" s="179">
        <v>27.5</v>
      </c>
      <c r="F167" s="8" t="s">
        <v>469</v>
      </c>
      <c r="G167" s="10">
        <v>2609</v>
      </c>
      <c r="H167" s="11">
        <f t="shared" si="35"/>
        <v>0</v>
      </c>
      <c r="I167" s="143">
        <f t="shared" si="36"/>
        <v>0</v>
      </c>
      <c r="J167" s="9">
        <f t="array" ref="J167">IFERROR(I167/G167*100,0)</f>
        <v>0</v>
      </c>
      <c r="K167" s="143">
        <f t="shared" si="37"/>
        <v>0</v>
      </c>
      <c r="L167" s="9">
        <f t="shared" si="32"/>
        <v>0</v>
      </c>
      <c r="M167" s="8" t="str">
        <f t="array" ref="M167">IF(L167&gt;5,"Perlu Pengendalian",IF(AND(L167&gt;=0,I167&gt;0),"Tidak Perlu Pengendalian","Belum Sensus"))</f>
        <v>Belum Sensus</v>
      </c>
      <c r="N167" s="143">
        <f t="shared" si="38"/>
        <v>0</v>
      </c>
      <c r="O167" s="9">
        <f t="array" ref="O167">IFERROR(N167/I167*100,0)</f>
        <v>0</v>
      </c>
      <c r="P167" s="11"/>
      <c r="Q167" s="143"/>
      <c r="R167" s="9">
        <f t="shared" si="33"/>
        <v>0</v>
      </c>
      <c r="S167" s="143"/>
      <c r="T167" s="9">
        <f t="shared" si="30"/>
        <v>0</v>
      </c>
      <c r="U167" s="8" t="str">
        <f t="array" ref="U167">IF(T167&gt;5,"Perlu Pengendalian",IF(AND(T167&gt;=0,Q167&gt;0),"Tidak Perlu Pengendalian","Belum Sensus"))</f>
        <v>Belum Sensus</v>
      </c>
      <c r="V167" s="143"/>
      <c r="W167" s="9">
        <f t="array" ref="W167">IFERROR(V167/Q167*100,0)</f>
        <v>0</v>
      </c>
      <c r="X167" s="11"/>
      <c r="Y167" s="143">
        <v>0</v>
      </c>
      <c r="Z167" s="9">
        <f t="shared" si="34"/>
        <v>0</v>
      </c>
      <c r="AA167" s="143">
        <v>0</v>
      </c>
      <c r="AB167" s="9">
        <f t="shared" si="31"/>
        <v>0</v>
      </c>
      <c r="AC167" s="8" t="str">
        <f t="array" ref="AC167">IF(AB167&gt;5,"Perlu Pengendalian",IF(AND(AB167&gt;=0,Y167&gt;0),"Tidak Perlu Pengendalian","Belum Sensus"))</f>
        <v>Belum Sensus</v>
      </c>
      <c r="AD167" s="143">
        <v>0</v>
      </c>
      <c r="AE167" s="9">
        <f t="array" ref="AE167">IFERROR(AD167/Y167*100,0)</f>
        <v>0</v>
      </c>
      <c r="AG167" s="206">
        <v>3.0303030303030303</v>
      </c>
      <c r="AH167" s="206">
        <v>2.29</v>
      </c>
      <c r="AI167" s="206">
        <v>0</v>
      </c>
    </row>
    <row r="168" spans="1:35" outlineLevel="1" x14ac:dyDescent="0.15">
      <c r="A168" s="8" t="s">
        <v>949</v>
      </c>
      <c r="B168" s="8"/>
      <c r="C168" s="8" t="s">
        <v>252</v>
      </c>
      <c r="D168" s="8" t="s">
        <v>1019</v>
      </c>
      <c r="E168" s="179">
        <v>34.42</v>
      </c>
      <c r="F168" s="8" t="s">
        <v>469</v>
      </c>
      <c r="G168" s="10">
        <v>2593</v>
      </c>
      <c r="H168" s="11">
        <f t="shared" si="35"/>
        <v>0</v>
      </c>
      <c r="I168" s="143">
        <f t="shared" si="36"/>
        <v>0</v>
      </c>
      <c r="J168" s="9">
        <f t="array" ref="J168">IFERROR(I168/G168*100,0)</f>
        <v>0</v>
      </c>
      <c r="K168" s="143">
        <f t="shared" si="37"/>
        <v>0</v>
      </c>
      <c r="L168" s="9">
        <f t="shared" si="32"/>
        <v>0</v>
      </c>
      <c r="M168" s="8" t="str">
        <f t="array" ref="M168">IF(L168&gt;5,"Perlu Pengendalian",IF(AND(L168&gt;=0,I168&gt;0),"Tidak Perlu Pengendalian","Belum Sensus"))</f>
        <v>Belum Sensus</v>
      </c>
      <c r="N168" s="143">
        <f t="shared" si="38"/>
        <v>0</v>
      </c>
      <c r="O168" s="9">
        <f t="array" ref="O168">IFERROR(N168/I168*100,0)</f>
        <v>0</v>
      </c>
      <c r="P168" s="11"/>
      <c r="Q168" s="143"/>
      <c r="R168" s="9">
        <f t="shared" si="33"/>
        <v>0</v>
      </c>
      <c r="S168" s="143"/>
      <c r="T168" s="9">
        <f t="shared" si="30"/>
        <v>0</v>
      </c>
      <c r="U168" s="8" t="str">
        <f t="array" ref="U168">IF(T168&gt;5,"Perlu Pengendalian",IF(AND(T168&gt;=0,Q168&gt;0),"Tidak Perlu Pengendalian","Belum Sensus"))</f>
        <v>Belum Sensus</v>
      </c>
      <c r="V168" s="143"/>
      <c r="W168" s="9">
        <f t="array" ref="W168">IFERROR(V168/Q168*100,0)</f>
        <v>0</v>
      </c>
      <c r="X168" s="11"/>
      <c r="Y168" s="143">
        <v>0</v>
      </c>
      <c r="Z168" s="9">
        <f t="shared" si="34"/>
        <v>0</v>
      </c>
      <c r="AA168" s="143">
        <v>0</v>
      </c>
      <c r="AB168" s="9">
        <f t="shared" si="31"/>
        <v>0</v>
      </c>
      <c r="AC168" s="8" t="str">
        <f t="array" ref="AC168">IF(AB168&gt;5,"Perlu Pengendalian",IF(AND(AB168&gt;=0,Y168&gt;0),"Tidak Perlu Pengendalian","Belum Sensus"))</f>
        <v>Belum Sensus</v>
      </c>
      <c r="AD168" s="143">
        <v>0</v>
      </c>
      <c r="AE168" s="9">
        <f t="array" ref="AE168">IFERROR(AD168/Y168*100,0)</f>
        <v>0</v>
      </c>
      <c r="AG168" s="206">
        <v>4.0816326530612246</v>
      </c>
      <c r="AH168" s="206">
        <v>1.82</v>
      </c>
      <c r="AI168" s="206">
        <v>6.666666666666667</v>
      </c>
    </row>
    <row r="169" spans="1:35" outlineLevel="1" x14ac:dyDescent="0.15">
      <c r="A169" s="8" t="s">
        <v>949</v>
      </c>
      <c r="B169" s="8"/>
      <c r="C169" s="8" t="s">
        <v>252</v>
      </c>
      <c r="D169" s="215" t="s">
        <v>1021</v>
      </c>
      <c r="E169" s="179">
        <v>25.87</v>
      </c>
      <c r="F169" s="8" t="s">
        <v>469</v>
      </c>
      <c r="G169" s="10">
        <v>2044</v>
      </c>
      <c r="H169" s="11">
        <f t="shared" si="35"/>
        <v>0</v>
      </c>
      <c r="I169" s="143">
        <f t="shared" si="36"/>
        <v>0</v>
      </c>
      <c r="J169" s="9">
        <f t="array" ref="J169">IFERROR(I169/G169*100,0)</f>
        <v>0</v>
      </c>
      <c r="K169" s="143">
        <f t="shared" si="37"/>
        <v>0</v>
      </c>
      <c r="L169" s="9">
        <f t="shared" si="32"/>
        <v>0</v>
      </c>
      <c r="M169" s="8" t="str">
        <f t="array" ref="M169">IF(L169&gt;5,"Perlu Pengendalian",IF(AND(L169&gt;=0,I169&gt;0),"Tidak Perlu Pengendalian","Belum Sensus"))</f>
        <v>Belum Sensus</v>
      </c>
      <c r="N169" s="143">
        <f t="shared" si="38"/>
        <v>0</v>
      </c>
      <c r="O169" s="9">
        <f t="array" ref="O169">IFERROR(N169/I169*100,0)</f>
        <v>0</v>
      </c>
      <c r="P169" s="11"/>
      <c r="Q169" s="143"/>
      <c r="R169" s="9">
        <f t="shared" si="33"/>
        <v>0</v>
      </c>
      <c r="S169" s="143"/>
      <c r="T169" s="9">
        <f t="shared" si="30"/>
        <v>0</v>
      </c>
      <c r="U169" s="8" t="str">
        <f t="array" ref="U169">IF(T169&gt;5,"Perlu Pengendalian",IF(AND(T169&gt;=0,Q169&gt;0),"Tidak Perlu Pengendalian","Belum Sensus"))</f>
        <v>Belum Sensus</v>
      </c>
      <c r="V169" s="143"/>
      <c r="W169" s="9">
        <f t="array" ref="W169">IFERROR(V169/Q169*100,0)</f>
        <v>0</v>
      </c>
      <c r="X169" s="11"/>
      <c r="Y169" s="143">
        <v>0</v>
      </c>
      <c r="Z169" s="9">
        <f t="shared" si="34"/>
        <v>0</v>
      </c>
      <c r="AA169" s="143">
        <v>0</v>
      </c>
      <c r="AB169" s="9">
        <f t="shared" si="31"/>
        <v>0</v>
      </c>
      <c r="AC169" s="8" t="str">
        <f t="array" ref="AC169">IF(AB169&gt;5,"Perlu Pengendalian",IF(AND(AB169&gt;=0,Y169&gt;0),"Tidak Perlu Pengendalian","Belum Sensus"))</f>
        <v>Belum Sensus</v>
      </c>
      <c r="AD169" s="143">
        <v>0</v>
      </c>
      <c r="AE169" s="9">
        <f t="array" ref="AE169">IFERROR(AD169/Y169*100,0)</f>
        <v>0</v>
      </c>
      <c r="AG169" s="206">
        <v>20.779220779220779</v>
      </c>
      <c r="AH169" s="206">
        <v>2.91</v>
      </c>
      <c r="AI169" s="206">
        <v>6.7988668555240803</v>
      </c>
    </row>
    <row r="170" spans="1:35" outlineLevel="1" x14ac:dyDescent="0.15">
      <c r="A170" s="8" t="s">
        <v>949</v>
      </c>
      <c r="B170" s="8"/>
      <c r="C170" s="8" t="s">
        <v>252</v>
      </c>
      <c r="D170" s="8" t="s">
        <v>1023</v>
      </c>
      <c r="E170" s="179">
        <v>22.83</v>
      </c>
      <c r="F170" s="8" t="s">
        <v>469</v>
      </c>
      <c r="G170" s="10">
        <v>1761.0000000000002</v>
      </c>
      <c r="H170" s="11">
        <f t="shared" si="35"/>
        <v>0</v>
      </c>
      <c r="I170" s="143">
        <f t="shared" si="36"/>
        <v>0</v>
      </c>
      <c r="J170" s="9">
        <f t="array" ref="J170">IFERROR(I170/G170*100,0)</f>
        <v>0</v>
      </c>
      <c r="K170" s="143">
        <f t="shared" si="37"/>
        <v>0</v>
      </c>
      <c r="L170" s="9">
        <f t="shared" si="32"/>
        <v>0</v>
      </c>
      <c r="M170" s="8" t="str">
        <f t="array" ref="M170">IF(L170&gt;5,"Perlu Pengendalian",IF(AND(L170&gt;=0,I170&gt;0),"Tidak Perlu Pengendalian","Belum Sensus"))</f>
        <v>Belum Sensus</v>
      </c>
      <c r="N170" s="143">
        <f t="shared" si="38"/>
        <v>0</v>
      </c>
      <c r="O170" s="9">
        <f t="array" ref="O170">IFERROR(N170/I170*100,0)</f>
        <v>0</v>
      </c>
      <c r="P170" s="11"/>
      <c r="Q170" s="143"/>
      <c r="R170" s="9">
        <f t="shared" si="33"/>
        <v>0</v>
      </c>
      <c r="S170" s="143"/>
      <c r="T170" s="9">
        <f t="shared" si="30"/>
        <v>0</v>
      </c>
      <c r="U170" s="8" t="str">
        <f t="array" ref="U170">IF(T170&gt;5,"Perlu Pengendalian",IF(AND(T170&gt;=0,Q170&gt;0),"Tidak Perlu Pengendalian","Belum Sensus"))</f>
        <v>Belum Sensus</v>
      </c>
      <c r="V170" s="143"/>
      <c r="W170" s="9">
        <f t="array" ref="W170">IFERROR(V170/Q170*100,0)</f>
        <v>0</v>
      </c>
      <c r="X170" s="11"/>
      <c r="Y170" s="143">
        <v>0</v>
      </c>
      <c r="Z170" s="9">
        <f t="shared" si="34"/>
        <v>0</v>
      </c>
      <c r="AA170" s="143">
        <v>0</v>
      </c>
      <c r="AB170" s="9">
        <f t="shared" si="31"/>
        <v>0</v>
      </c>
      <c r="AC170" s="8" t="str">
        <f t="array" ref="AC170">IF(AB170&gt;5,"Perlu Pengendalian",IF(AND(AB170&gt;=0,Y170&gt;0),"Tidak Perlu Pengendalian","Belum Sensus"))</f>
        <v>Belum Sensus</v>
      </c>
      <c r="AD170" s="143">
        <v>0</v>
      </c>
      <c r="AE170" s="9">
        <f t="array" ref="AE170">IFERROR(AD170/Y170*100,0)</f>
        <v>0</v>
      </c>
      <c r="AG170" s="206">
        <v>0</v>
      </c>
      <c r="AH170" s="206">
        <v>4.12</v>
      </c>
      <c r="AI170" s="206">
        <v>3.3333333333333335</v>
      </c>
    </row>
    <row r="171" spans="1:35" outlineLevel="1" x14ac:dyDescent="0.15">
      <c r="A171" s="8" t="s">
        <v>949</v>
      </c>
      <c r="B171" s="8"/>
      <c r="C171" s="8" t="s">
        <v>323</v>
      </c>
      <c r="D171" s="8" t="s">
        <v>1800</v>
      </c>
      <c r="E171" s="9">
        <v>33.299999999999997</v>
      </c>
      <c r="F171" s="8" t="s">
        <v>469</v>
      </c>
      <c r="G171" s="10">
        <v>4410</v>
      </c>
      <c r="H171" s="11">
        <f t="shared" si="35"/>
        <v>0</v>
      </c>
      <c r="I171" s="143">
        <f t="shared" si="36"/>
        <v>0</v>
      </c>
      <c r="J171" s="9">
        <f t="array" ref="J171">IFERROR(I171/G171*100,0)</f>
        <v>0</v>
      </c>
      <c r="K171" s="143">
        <f t="shared" si="37"/>
        <v>0</v>
      </c>
      <c r="L171" s="9">
        <f t="shared" si="32"/>
        <v>0</v>
      </c>
      <c r="M171" s="8" t="str">
        <f t="array" ref="M171">IF(L171&gt;5,"Perlu Pengendalian",IF(AND(L171&gt;=0,I171&gt;0),"Tidak Perlu Pengendalian","Belum Sensus"))</f>
        <v>Belum Sensus</v>
      </c>
      <c r="N171" s="143">
        <f t="shared" si="38"/>
        <v>0</v>
      </c>
      <c r="O171" s="9">
        <f t="array" ref="O171">IFERROR(N171/I171*100,0)</f>
        <v>0</v>
      </c>
      <c r="P171" s="11"/>
      <c r="Q171" s="143"/>
      <c r="R171" s="9">
        <f t="shared" si="33"/>
        <v>0</v>
      </c>
      <c r="S171" s="143"/>
      <c r="T171" s="9">
        <f t="shared" si="30"/>
        <v>0</v>
      </c>
      <c r="U171" s="8" t="str">
        <f t="array" ref="U171">IF(T171&gt;5,"Perlu Pengendalian",IF(AND(T171&gt;=0,Q171&gt;0),"Tidak Perlu Pengendalian","Belum Sensus"))</f>
        <v>Belum Sensus</v>
      </c>
      <c r="V171" s="143"/>
      <c r="W171" s="9">
        <f t="array" ref="W171">IFERROR(V171/Q171*100,0)</f>
        <v>0</v>
      </c>
      <c r="X171" s="11"/>
      <c r="Y171" s="143">
        <v>0</v>
      </c>
      <c r="Z171" s="9">
        <f t="shared" si="34"/>
        <v>0</v>
      </c>
      <c r="AA171" s="143">
        <v>0</v>
      </c>
      <c r="AB171" s="9">
        <f t="shared" si="31"/>
        <v>0</v>
      </c>
      <c r="AC171" s="8" t="str">
        <f t="array" ref="AC171">IF(AB171&gt;5,"Perlu Pengendalian",IF(AND(AB171&gt;=0,Y171&gt;0),"Tidak Perlu Pengendalian","Belum Sensus"))</f>
        <v>Belum Sensus</v>
      </c>
      <c r="AD171" s="143">
        <v>0</v>
      </c>
      <c r="AE171" s="9">
        <f t="array" ref="AE171">IFERROR(AD171/Y171*100,0)</f>
        <v>0</v>
      </c>
      <c r="AG171" s="206">
        <v>0</v>
      </c>
      <c r="AH171" s="206">
        <v>4.1120000000000001</v>
      </c>
      <c r="AI171" s="206">
        <v>2.5</v>
      </c>
    </row>
    <row r="172" spans="1:35" outlineLevel="1" x14ac:dyDescent="0.15">
      <c r="A172" s="8" t="s">
        <v>949</v>
      </c>
      <c r="B172" s="8"/>
      <c r="C172" s="8" t="s">
        <v>323</v>
      </c>
      <c r="D172" s="8" t="s">
        <v>1801</v>
      </c>
      <c r="E172" s="9">
        <v>36.01</v>
      </c>
      <c r="F172" s="8" t="s">
        <v>469</v>
      </c>
      <c r="G172" s="10">
        <v>5123</v>
      </c>
      <c r="H172" s="11">
        <f t="shared" si="35"/>
        <v>0</v>
      </c>
      <c r="I172" s="143">
        <f t="shared" si="36"/>
        <v>0</v>
      </c>
      <c r="J172" s="9">
        <f t="array" ref="J172">IFERROR(I172/G172*100,0)</f>
        <v>0</v>
      </c>
      <c r="K172" s="143">
        <f t="shared" si="37"/>
        <v>0</v>
      </c>
      <c r="L172" s="9">
        <f t="shared" si="32"/>
        <v>0</v>
      </c>
      <c r="M172" s="8" t="str">
        <f t="array" ref="M172">IF(L172&gt;5,"Perlu Pengendalian",IF(AND(L172&gt;=0,I172&gt;0),"Tidak Perlu Pengendalian","Belum Sensus"))</f>
        <v>Belum Sensus</v>
      </c>
      <c r="N172" s="143">
        <f t="shared" si="38"/>
        <v>0</v>
      </c>
      <c r="O172" s="9">
        <f t="array" ref="O172">IFERROR(N172/I172*100,0)</f>
        <v>0</v>
      </c>
      <c r="P172" s="11"/>
      <c r="Q172" s="143"/>
      <c r="R172" s="9">
        <f t="shared" si="33"/>
        <v>0</v>
      </c>
      <c r="S172" s="143"/>
      <c r="T172" s="9">
        <f t="shared" si="30"/>
        <v>0</v>
      </c>
      <c r="U172" s="8" t="str">
        <f t="array" ref="U172">IF(T172&gt;5,"Perlu Pengendalian",IF(AND(T172&gt;=0,Q172&gt;0),"Tidak Perlu Pengendalian","Belum Sensus"))</f>
        <v>Belum Sensus</v>
      </c>
      <c r="V172" s="143"/>
      <c r="W172" s="9">
        <f t="array" ref="W172">IFERROR(V172/Q172*100,0)</f>
        <v>0</v>
      </c>
      <c r="X172" s="11"/>
      <c r="Y172" s="143">
        <v>0</v>
      </c>
      <c r="Z172" s="9">
        <f t="shared" si="34"/>
        <v>0</v>
      </c>
      <c r="AA172" s="143">
        <v>0</v>
      </c>
      <c r="AB172" s="9">
        <f t="shared" si="31"/>
        <v>0</v>
      </c>
      <c r="AC172" s="8" t="str">
        <f t="array" ref="AC172">IF(AB172&gt;5,"Perlu Pengendalian",IF(AND(AB172&gt;=0,Y172&gt;0),"Tidak Perlu Pengendalian","Belum Sensus"))</f>
        <v>Belum Sensus</v>
      </c>
      <c r="AD172" s="143">
        <v>0</v>
      </c>
      <c r="AE172" s="9">
        <f t="array" ref="AE172">IFERROR(AD172/Y172*100,0)</f>
        <v>0</v>
      </c>
      <c r="AG172" s="206">
        <v>0</v>
      </c>
      <c r="AH172" s="206">
        <v>3.34</v>
      </c>
      <c r="AI172" s="206">
        <v>2.5</v>
      </c>
    </row>
    <row r="173" spans="1:35" outlineLevel="1" x14ac:dyDescent="0.15">
      <c r="A173" s="8" t="s">
        <v>949</v>
      </c>
      <c r="B173" s="8"/>
      <c r="C173" s="8" t="s">
        <v>323</v>
      </c>
      <c r="D173" s="8" t="s">
        <v>1031</v>
      </c>
      <c r="E173" s="9">
        <v>33.590000000000003</v>
      </c>
      <c r="F173" s="8" t="s">
        <v>469</v>
      </c>
      <c r="G173" s="10">
        <v>3330</v>
      </c>
      <c r="H173" s="11">
        <f t="shared" si="35"/>
        <v>0</v>
      </c>
      <c r="I173" s="143">
        <f t="shared" si="36"/>
        <v>0</v>
      </c>
      <c r="J173" s="9">
        <f t="array" ref="J173">IFERROR(I173/G173*100,0)</f>
        <v>0</v>
      </c>
      <c r="K173" s="143">
        <f t="shared" si="37"/>
        <v>0</v>
      </c>
      <c r="L173" s="9">
        <f t="shared" si="32"/>
        <v>0</v>
      </c>
      <c r="M173" s="8" t="str">
        <f t="array" ref="M173">IF(L173&gt;5,"Perlu Pengendalian",IF(AND(L173&gt;=0,I173&gt;0),"Tidak Perlu Pengendalian","Belum Sensus"))</f>
        <v>Belum Sensus</v>
      </c>
      <c r="N173" s="143">
        <f t="shared" si="38"/>
        <v>0</v>
      </c>
      <c r="O173" s="9">
        <f t="array" ref="O173">IFERROR(N173/I173*100,0)</f>
        <v>0</v>
      </c>
      <c r="P173" s="11"/>
      <c r="Q173" s="143"/>
      <c r="R173" s="9">
        <f t="shared" si="33"/>
        <v>0</v>
      </c>
      <c r="S173" s="143"/>
      <c r="T173" s="9">
        <f t="shared" si="30"/>
        <v>0</v>
      </c>
      <c r="U173" s="8" t="str">
        <f t="array" ref="U173">IF(T173&gt;5,"Perlu Pengendalian",IF(AND(T173&gt;=0,Q173&gt;0),"Tidak Perlu Pengendalian","Belum Sensus"))</f>
        <v>Belum Sensus</v>
      </c>
      <c r="V173" s="143"/>
      <c r="W173" s="9">
        <f t="array" ref="W173">IFERROR(V173/Q173*100,0)</f>
        <v>0</v>
      </c>
      <c r="X173" s="11"/>
      <c r="Y173" s="143">
        <v>0</v>
      </c>
      <c r="Z173" s="9">
        <f t="shared" si="34"/>
        <v>0</v>
      </c>
      <c r="AA173" s="143">
        <v>0</v>
      </c>
      <c r="AB173" s="9">
        <f t="shared" si="31"/>
        <v>0</v>
      </c>
      <c r="AC173" s="8" t="str">
        <f t="array" ref="AC173">IF(AB173&gt;5,"Perlu Pengendalian",IF(AND(AB173&gt;=0,Y173&gt;0),"Tidak Perlu Pengendalian","Belum Sensus"))</f>
        <v>Belum Sensus</v>
      </c>
      <c r="AD173" s="143">
        <v>0</v>
      </c>
      <c r="AE173" s="9">
        <f t="array" ref="AE173">IFERROR(AD173/Y173*100,0)</f>
        <v>0</v>
      </c>
      <c r="AG173" s="206">
        <v>0</v>
      </c>
      <c r="AH173" s="206">
        <v>2.21</v>
      </c>
      <c r="AI173" s="206">
        <v>2.5</v>
      </c>
    </row>
    <row r="174" spans="1:35" outlineLevel="1" x14ac:dyDescent="0.15">
      <c r="A174" s="8" t="s">
        <v>949</v>
      </c>
      <c r="B174" s="8"/>
      <c r="C174" s="8" t="s">
        <v>323</v>
      </c>
      <c r="D174" s="8" t="s">
        <v>1033</v>
      </c>
      <c r="E174" s="9">
        <v>35.65</v>
      </c>
      <c r="F174" s="8" t="s">
        <v>469</v>
      </c>
      <c r="G174" s="10">
        <v>2841.9999999999995</v>
      </c>
      <c r="H174" s="11">
        <f t="shared" si="35"/>
        <v>0</v>
      </c>
      <c r="I174" s="143">
        <f t="shared" si="36"/>
        <v>0</v>
      </c>
      <c r="J174" s="9">
        <f t="array" ref="J174">IFERROR(I174/G174*100,0)</f>
        <v>0</v>
      </c>
      <c r="K174" s="143">
        <f t="shared" si="37"/>
        <v>0</v>
      </c>
      <c r="L174" s="9">
        <f t="shared" si="32"/>
        <v>0</v>
      </c>
      <c r="M174" s="8" t="str">
        <f t="array" ref="M174">IF(L174&gt;5,"Perlu Pengendalian",IF(AND(L174&gt;=0,I174&gt;0),"Tidak Perlu Pengendalian","Belum Sensus"))</f>
        <v>Belum Sensus</v>
      </c>
      <c r="N174" s="143">
        <f t="shared" si="38"/>
        <v>0</v>
      </c>
      <c r="O174" s="9">
        <f t="array" ref="O174">IFERROR(N174/I174*100,0)</f>
        <v>0</v>
      </c>
      <c r="P174" s="11"/>
      <c r="Q174" s="143"/>
      <c r="R174" s="9">
        <f t="shared" si="33"/>
        <v>0</v>
      </c>
      <c r="S174" s="143"/>
      <c r="T174" s="9">
        <f t="shared" si="30"/>
        <v>0</v>
      </c>
      <c r="U174" s="8" t="str">
        <f t="array" ref="U174">IF(T174&gt;5,"Perlu Pengendalian",IF(AND(T174&gt;=0,Q174&gt;0),"Tidak Perlu Pengendalian","Belum Sensus"))</f>
        <v>Belum Sensus</v>
      </c>
      <c r="V174" s="143"/>
      <c r="W174" s="9">
        <f t="array" ref="W174">IFERROR(V174/Q174*100,0)</f>
        <v>0</v>
      </c>
      <c r="X174" s="11"/>
      <c r="Y174" s="143">
        <v>0</v>
      </c>
      <c r="Z174" s="9">
        <f t="shared" si="34"/>
        <v>0</v>
      </c>
      <c r="AA174" s="143">
        <v>0</v>
      </c>
      <c r="AB174" s="9">
        <f t="shared" si="31"/>
        <v>0</v>
      </c>
      <c r="AC174" s="8" t="str">
        <f t="array" ref="AC174">IF(AB174&gt;5,"Perlu Pengendalian",IF(AND(AB174&gt;=0,Y174&gt;0),"Tidak Perlu Pengendalian","Belum Sensus"))</f>
        <v>Belum Sensus</v>
      </c>
      <c r="AD174" s="143">
        <v>0</v>
      </c>
      <c r="AE174" s="9">
        <f t="array" ref="AE174">IFERROR(AD174/Y174*100,0)</f>
        <v>0</v>
      </c>
      <c r="AG174" s="206">
        <v>0</v>
      </c>
      <c r="AH174" s="206">
        <v>1.1599999999999999</v>
      </c>
      <c r="AI174" s="206">
        <v>2.5</v>
      </c>
    </row>
    <row r="175" spans="1:35" outlineLevel="1" x14ac:dyDescent="0.15">
      <c r="A175" s="8" t="s">
        <v>949</v>
      </c>
      <c r="B175" s="8"/>
      <c r="C175" s="8" t="s">
        <v>323</v>
      </c>
      <c r="D175" s="8" t="s">
        <v>1802</v>
      </c>
      <c r="E175" s="179">
        <v>32.07</v>
      </c>
      <c r="F175" s="8" t="s">
        <v>469</v>
      </c>
      <c r="G175" s="10">
        <v>3794</v>
      </c>
      <c r="H175" s="11">
        <f t="shared" si="35"/>
        <v>0</v>
      </c>
      <c r="I175" s="143">
        <f t="shared" si="36"/>
        <v>0</v>
      </c>
      <c r="J175" s="9">
        <f t="array" ref="J175">IFERROR(I175/G175*100,0)</f>
        <v>0</v>
      </c>
      <c r="K175" s="143">
        <f t="shared" si="37"/>
        <v>0</v>
      </c>
      <c r="L175" s="9">
        <f t="shared" si="32"/>
        <v>0</v>
      </c>
      <c r="M175" s="8" t="str">
        <f t="array" ref="M175">IF(L175&gt;5,"Perlu Pengendalian",IF(AND(L175&gt;=0,I175&gt;0),"Tidak Perlu Pengendalian","Belum Sensus"))</f>
        <v>Belum Sensus</v>
      </c>
      <c r="N175" s="143">
        <f t="shared" si="38"/>
        <v>0</v>
      </c>
      <c r="O175" s="9">
        <f t="array" ref="O175">IFERROR(N175/I175*100,0)</f>
        <v>0</v>
      </c>
      <c r="P175" s="11"/>
      <c r="Q175" s="143"/>
      <c r="R175" s="9">
        <f t="shared" si="33"/>
        <v>0</v>
      </c>
      <c r="S175" s="143"/>
      <c r="T175" s="9">
        <f t="shared" si="30"/>
        <v>0</v>
      </c>
      <c r="U175" s="8" t="str">
        <f t="array" ref="U175">IF(T175&gt;5,"Perlu Pengendalian",IF(AND(T175&gt;=0,Q175&gt;0),"Tidak Perlu Pengendalian","Belum Sensus"))</f>
        <v>Belum Sensus</v>
      </c>
      <c r="V175" s="143"/>
      <c r="W175" s="9">
        <f t="array" ref="W175">IFERROR(V175/Q175*100,0)</f>
        <v>0</v>
      </c>
      <c r="X175" s="11"/>
      <c r="Y175" s="143">
        <v>0</v>
      </c>
      <c r="Z175" s="9">
        <f t="shared" si="34"/>
        <v>0</v>
      </c>
      <c r="AA175" s="143">
        <v>0</v>
      </c>
      <c r="AB175" s="9">
        <f t="shared" si="31"/>
        <v>0</v>
      </c>
      <c r="AC175" s="8" t="str">
        <f t="array" ref="AC175">IF(AB175&gt;5,"Perlu Pengendalian",IF(AND(AB175&gt;=0,Y175&gt;0),"Tidak Perlu Pengendalian","Belum Sensus"))</f>
        <v>Belum Sensus</v>
      </c>
      <c r="AD175" s="143">
        <v>0</v>
      </c>
      <c r="AE175" s="9">
        <f t="array" ref="AE175">IFERROR(AD175/Y175*100,0)</f>
        <v>0</v>
      </c>
      <c r="AG175" s="206">
        <v>0</v>
      </c>
      <c r="AH175" s="206">
        <v>3.36</v>
      </c>
      <c r="AI175" s="206">
        <v>0</v>
      </c>
    </row>
    <row r="176" spans="1:35" outlineLevel="1" x14ac:dyDescent="0.15">
      <c r="A176" s="8" t="s">
        <v>949</v>
      </c>
      <c r="B176" s="8"/>
      <c r="C176" s="8" t="s">
        <v>323</v>
      </c>
      <c r="D176" s="8" t="s">
        <v>1803</v>
      </c>
      <c r="E176" s="179">
        <v>26.169999999999998</v>
      </c>
      <c r="F176" s="8" t="s">
        <v>469</v>
      </c>
      <c r="G176" s="10">
        <v>3406.0000000000005</v>
      </c>
      <c r="H176" s="11">
        <f t="shared" si="35"/>
        <v>0</v>
      </c>
      <c r="I176" s="143">
        <f t="shared" si="36"/>
        <v>0</v>
      </c>
      <c r="J176" s="9">
        <f t="array" ref="J176">IFERROR(I176/G176*100,0)</f>
        <v>0</v>
      </c>
      <c r="K176" s="143">
        <f t="shared" si="37"/>
        <v>0</v>
      </c>
      <c r="L176" s="9">
        <f t="shared" si="32"/>
        <v>0</v>
      </c>
      <c r="M176" s="8" t="str">
        <f t="array" ref="M176">IF(L176&gt;5,"Perlu Pengendalian",IF(AND(L176&gt;=0,I176&gt;0),"Tidak Perlu Pengendalian","Belum Sensus"))</f>
        <v>Belum Sensus</v>
      </c>
      <c r="N176" s="143">
        <f t="shared" si="38"/>
        <v>0</v>
      </c>
      <c r="O176" s="9">
        <f t="array" ref="O176">IFERROR(N176/I176*100,0)</f>
        <v>0</v>
      </c>
      <c r="P176" s="11"/>
      <c r="Q176" s="143"/>
      <c r="R176" s="9">
        <f t="shared" si="33"/>
        <v>0</v>
      </c>
      <c r="S176" s="143"/>
      <c r="T176" s="9">
        <f t="shared" si="30"/>
        <v>0</v>
      </c>
      <c r="U176" s="8" t="str">
        <f t="array" ref="U176">IF(T176&gt;5,"Perlu Pengendalian",IF(AND(T176&gt;=0,Q176&gt;0),"Tidak Perlu Pengendalian","Belum Sensus"))</f>
        <v>Belum Sensus</v>
      </c>
      <c r="V176" s="143"/>
      <c r="W176" s="9">
        <f t="array" ref="W176">IFERROR(V176/Q176*100,0)</f>
        <v>0</v>
      </c>
      <c r="X176" s="11"/>
      <c r="Y176" s="143">
        <v>0</v>
      </c>
      <c r="Z176" s="9">
        <f t="shared" si="34"/>
        <v>0</v>
      </c>
      <c r="AA176" s="143">
        <v>0</v>
      </c>
      <c r="AB176" s="9">
        <f t="shared" si="31"/>
        <v>0</v>
      </c>
      <c r="AC176" s="8" t="str">
        <f t="array" ref="AC176">IF(AB176&gt;5,"Perlu Pengendalian",IF(AND(AB176&gt;=0,Y176&gt;0),"Tidak Perlu Pengendalian","Belum Sensus"))</f>
        <v>Belum Sensus</v>
      </c>
      <c r="AD176" s="143">
        <v>0</v>
      </c>
      <c r="AE176" s="9">
        <f t="array" ref="AE176">IFERROR(AD176/Y176*100,0)</f>
        <v>0</v>
      </c>
      <c r="AG176" s="206">
        <v>0</v>
      </c>
      <c r="AH176" s="206">
        <v>4.18</v>
      </c>
      <c r="AI176" s="206">
        <v>26.666666666666668</v>
      </c>
    </row>
    <row r="177" spans="1:35" outlineLevel="1" x14ac:dyDescent="0.15">
      <c r="A177" s="8" t="s">
        <v>949</v>
      </c>
      <c r="B177" s="8"/>
      <c r="C177" s="8" t="s">
        <v>323</v>
      </c>
      <c r="D177" s="8" t="s">
        <v>1804</v>
      </c>
      <c r="E177" s="179">
        <v>31.93</v>
      </c>
      <c r="F177" s="8" t="s">
        <v>469</v>
      </c>
      <c r="G177" s="10">
        <v>4328</v>
      </c>
      <c r="H177" s="11">
        <f t="shared" si="35"/>
        <v>0</v>
      </c>
      <c r="I177" s="143">
        <f t="shared" si="36"/>
        <v>0</v>
      </c>
      <c r="J177" s="9">
        <f t="array" ref="J177">IFERROR(I177/G177*100,0)</f>
        <v>0</v>
      </c>
      <c r="K177" s="143">
        <f t="shared" si="37"/>
        <v>0</v>
      </c>
      <c r="L177" s="9">
        <f t="shared" si="32"/>
        <v>0</v>
      </c>
      <c r="M177" s="8" t="str">
        <f t="array" ref="M177">IF(L177&gt;5,"Perlu Pengendalian",IF(AND(L177&gt;=0,I177&gt;0),"Tidak Perlu Pengendalian","Belum Sensus"))</f>
        <v>Belum Sensus</v>
      </c>
      <c r="N177" s="143">
        <f t="shared" si="38"/>
        <v>0</v>
      </c>
      <c r="O177" s="9">
        <f t="array" ref="O177">IFERROR(N177/I177*100,0)</f>
        <v>0</v>
      </c>
      <c r="P177" s="11"/>
      <c r="Q177" s="143"/>
      <c r="R177" s="9">
        <f t="shared" si="33"/>
        <v>0</v>
      </c>
      <c r="S177" s="143"/>
      <c r="T177" s="9">
        <f t="shared" si="30"/>
        <v>0</v>
      </c>
      <c r="U177" s="8" t="str">
        <f t="array" ref="U177">IF(T177&gt;5,"Perlu Pengendalian",IF(AND(T177&gt;=0,Q177&gt;0),"Tidak Perlu Pengendalian","Belum Sensus"))</f>
        <v>Belum Sensus</v>
      </c>
      <c r="V177" s="143"/>
      <c r="W177" s="9">
        <f t="array" ref="W177">IFERROR(V177/Q177*100,0)</f>
        <v>0</v>
      </c>
      <c r="X177" s="11"/>
      <c r="Y177" s="143">
        <v>0</v>
      </c>
      <c r="Z177" s="9">
        <f t="shared" si="34"/>
        <v>0</v>
      </c>
      <c r="AA177" s="143">
        <v>0</v>
      </c>
      <c r="AB177" s="9">
        <f t="shared" si="31"/>
        <v>0</v>
      </c>
      <c r="AC177" s="8" t="str">
        <f t="array" ref="AC177">IF(AB177&gt;5,"Perlu Pengendalian",IF(AND(AB177&gt;=0,Y177&gt;0),"Tidak Perlu Pengendalian","Belum Sensus"))</f>
        <v>Belum Sensus</v>
      </c>
      <c r="AD177" s="143">
        <v>0</v>
      </c>
      <c r="AE177" s="9">
        <f t="array" ref="AE177">IFERROR(AD177/Y177*100,0)</f>
        <v>0</v>
      </c>
      <c r="AG177" s="206">
        <v>0</v>
      </c>
      <c r="AH177" s="206">
        <v>2.25</v>
      </c>
      <c r="AI177" s="206">
        <v>21.666666666666668</v>
      </c>
    </row>
    <row r="178" spans="1:35" outlineLevel="1" x14ac:dyDescent="0.15">
      <c r="A178" s="8" t="s">
        <v>949</v>
      </c>
      <c r="B178" s="8"/>
      <c r="C178" s="8" t="s">
        <v>323</v>
      </c>
      <c r="D178" s="215" t="s">
        <v>1805</v>
      </c>
      <c r="E178" s="180">
        <v>35.029999999999994</v>
      </c>
      <c r="F178" s="8" t="s">
        <v>469</v>
      </c>
      <c r="G178" s="10">
        <v>4231</v>
      </c>
      <c r="H178" s="11">
        <f t="shared" si="35"/>
        <v>0</v>
      </c>
      <c r="I178" s="143">
        <f t="shared" si="36"/>
        <v>0</v>
      </c>
      <c r="J178" s="9">
        <f t="array" ref="J178">IFERROR(I178/G178*100,0)</f>
        <v>0</v>
      </c>
      <c r="K178" s="143">
        <f t="shared" si="37"/>
        <v>0</v>
      </c>
      <c r="L178" s="9">
        <f t="shared" si="32"/>
        <v>0</v>
      </c>
      <c r="M178" s="8" t="str">
        <f t="array" ref="M178">IF(L178&gt;5,"Perlu Pengendalian",IF(AND(L178&gt;=0,I178&gt;0),"Tidak Perlu Pengendalian","Belum Sensus"))</f>
        <v>Belum Sensus</v>
      </c>
      <c r="N178" s="143">
        <f t="shared" si="38"/>
        <v>0</v>
      </c>
      <c r="O178" s="9">
        <f t="array" ref="O178">IFERROR(N178/I178*100,0)</f>
        <v>0</v>
      </c>
      <c r="P178" s="11"/>
      <c r="Q178" s="143"/>
      <c r="R178" s="9">
        <f t="shared" si="33"/>
        <v>0</v>
      </c>
      <c r="S178" s="143"/>
      <c r="T178" s="9">
        <f t="shared" si="30"/>
        <v>0</v>
      </c>
      <c r="U178" s="8" t="str">
        <f t="array" ref="U178">IF(T178&gt;5,"Perlu Pengendalian",IF(AND(T178&gt;=0,Q178&gt;0),"Tidak Perlu Pengendalian","Belum Sensus"))</f>
        <v>Belum Sensus</v>
      </c>
      <c r="V178" s="143"/>
      <c r="W178" s="9">
        <f t="array" ref="W178">IFERROR(V178/Q178*100,0)</f>
        <v>0</v>
      </c>
      <c r="X178" s="11"/>
      <c r="Y178" s="143">
        <v>0</v>
      </c>
      <c r="Z178" s="9">
        <f t="shared" si="34"/>
        <v>0</v>
      </c>
      <c r="AA178" s="143">
        <v>0</v>
      </c>
      <c r="AB178" s="9">
        <f t="shared" si="31"/>
        <v>0</v>
      </c>
      <c r="AC178" s="8" t="str">
        <f t="array" ref="AC178">IF(AB178&gt;5,"Perlu Pengendalian",IF(AND(AB178&gt;=0,Y178&gt;0),"Tidak Perlu Pengendalian","Belum Sensus"))</f>
        <v>Belum Sensus</v>
      </c>
      <c r="AD178" s="143">
        <v>0</v>
      </c>
      <c r="AE178" s="9">
        <f t="array" ref="AE178">IFERROR(AD178/Y178*100,0)</f>
        <v>0</v>
      </c>
      <c r="AG178" s="206">
        <v>8.695652173913043</v>
      </c>
      <c r="AH178" s="206">
        <v>2.81</v>
      </c>
      <c r="AI178" s="206">
        <v>1.5151515151515151</v>
      </c>
    </row>
    <row r="179" spans="1:35" outlineLevel="1" x14ac:dyDescent="0.15">
      <c r="A179" s="8" t="s">
        <v>949</v>
      </c>
      <c r="B179" s="8"/>
      <c r="C179" s="8" t="s">
        <v>323</v>
      </c>
      <c r="D179" s="8" t="s">
        <v>1806</v>
      </c>
      <c r="E179" s="179">
        <v>31.1</v>
      </c>
      <c r="F179" s="8" t="s">
        <v>469</v>
      </c>
      <c r="G179" s="10">
        <v>4271</v>
      </c>
      <c r="H179" s="11">
        <f t="shared" si="35"/>
        <v>46170</v>
      </c>
      <c r="I179" s="143">
        <f t="shared" si="36"/>
        <v>447</v>
      </c>
      <c r="J179" s="9">
        <f t="array" ref="J179">IFERROR(I179/G179*100,0)</f>
        <v>10.465933036759541</v>
      </c>
      <c r="K179" s="143">
        <f t="shared" si="37"/>
        <v>1</v>
      </c>
      <c r="L179" s="9">
        <f t="shared" si="32"/>
        <v>0.22371364653243847</v>
      </c>
      <c r="M179" s="8" t="str">
        <f t="array" ref="M179">IF(L179&gt;5,"Perlu Pengendalian",IF(AND(L179&gt;=0,I179&gt;0),"Tidak Perlu Pengendalian","Belum Sensus"))</f>
        <v>Tidak Perlu Pengendalian</v>
      </c>
      <c r="N179" s="143">
        <f t="shared" si="38"/>
        <v>2</v>
      </c>
      <c r="O179" s="9">
        <f t="array" ref="O179">IFERROR(N179/I179*100,0)</f>
        <v>0.44742729306487694</v>
      </c>
      <c r="P179" s="132">
        <v>46170</v>
      </c>
      <c r="Q179" s="143">
        <v>447</v>
      </c>
      <c r="R179" s="9">
        <f t="shared" si="33"/>
        <v>10.465933036759541</v>
      </c>
      <c r="S179" s="143">
        <v>1</v>
      </c>
      <c r="T179" s="9">
        <f t="shared" si="30"/>
        <v>0.22371364653243847</v>
      </c>
      <c r="U179" s="8" t="str">
        <f t="array" ref="U179">IF(T179&gt;5,"Perlu Pengendalian",IF(AND(T179&gt;=0,Q179&gt;0),"Tidak Perlu Pengendalian","Belum Sensus"))</f>
        <v>Tidak Perlu Pengendalian</v>
      </c>
      <c r="V179" s="143">
        <v>2</v>
      </c>
      <c r="W179" s="9">
        <f t="array" ref="W179">IFERROR(V179/Q179*100,0)</f>
        <v>0.44742729306487694</v>
      </c>
      <c r="X179" s="11"/>
      <c r="Y179" s="143">
        <v>0</v>
      </c>
      <c r="Z179" s="9">
        <f t="shared" si="34"/>
        <v>0</v>
      </c>
      <c r="AA179" s="143">
        <v>0</v>
      </c>
      <c r="AB179" s="9">
        <f t="shared" si="31"/>
        <v>0</v>
      </c>
      <c r="AC179" s="8" t="str">
        <f t="array" ref="AC179">IF(AB179&gt;5,"Perlu Pengendalian",IF(AND(AB179&gt;=0,Y179&gt;0),"Tidak Perlu Pengendalian","Belum Sensus"))</f>
        <v>Belum Sensus</v>
      </c>
      <c r="AD179" s="143">
        <v>0</v>
      </c>
      <c r="AE179" s="9">
        <f t="array" ref="AE179">IFERROR(AD179/Y179*100,0)</f>
        <v>0</v>
      </c>
      <c r="AG179" s="206">
        <v>5.7692307692307692</v>
      </c>
      <c r="AH179" s="206">
        <v>3.11</v>
      </c>
      <c r="AI179" s="206">
        <v>20.833333333333336</v>
      </c>
    </row>
    <row r="180" spans="1:35" outlineLevel="1" x14ac:dyDescent="0.15">
      <c r="A180" s="8" t="s">
        <v>949</v>
      </c>
      <c r="B180" s="8"/>
      <c r="C180" s="8" t="s">
        <v>323</v>
      </c>
      <c r="D180" s="8" t="s">
        <v>1807</v>
      </c>
      <c r="E180" s="179">
        <v>34.6</v>
      </c>
      <c r="F180" s="8" t="s">
        <v>469</v>
      </c>
      <c r="G180" s="10">
        <v>5126</v>
      </c>
      <c r="H180" s="11">
        <f t="shared" si="35"/>
        <v>46165</v>
      </c>
      <c r="I180" s="143">
        <f t="shared" si="36"/>
        <v>571.59399999999994</v>
      </c>
      <c r="J180" s="9">
        <f t="array" ref="J180">IFERROR(I180/G180*100,0)</f>
        <v>11.150877877487318</v>
      </c>
      <c r="K180" s="143">
        <f t="shared" si="37"/>
        <v>1</v>
      </c>
      <c r="L180" s="9">
        <f t="shared" si="32"/>
        <v>0.17494935216254895</v>
      </c>
      <c r="M180" s="8" t="str">
        <f t="array" ref="M180">IF(L180&gt;5,"Perlu Pengendalian",IF(AND(L180&gt;=0,I180&gt;0),"Tidak Perlu Pengendalian","Belum Sensus"))</f>
        <v>Tidak Perlu Pengendalian</v>
      </c>
      <c r="N180" s="143">
        <f t="shared" si="38"/>
        <v>22</v>
      </c>
      <c r="O180" s="9">
        <f t="array" ref="O180">IFERROR(N180/I180*100,0)</f>
        <v>3.8488857475760772</v>
      </c>
      <c r="P180" s="11">
        <v>46165</v>
      </c>
      <c r="Q180" s="143">
        <v>571.59399999999994</v>
      </c>
      <c r="R180" s="9">
        <f t="shared" si="33"/>
        <v>11.150877877487318</v>
      </c>
      <c r="S180" s="143">
        <v>1</v>
      </c>
      <c r="T180" s="9">
        <f t="shared" si="30"/>
        <v>0.17494935216254895</v>
      </c>
      <c r="U180" s="8" t="str">
        <f t="array" ref="U180">IF(T180&gt;5,"Perlu Pengendalian",IF(AND(T180&gt;=0,Q180&gt;0),"Tidak Perlu Pengendalian","Belum Sensus"))</f>
        <v>Tidak Perlu Pengendalian</v>
      </c>
      <c r="V180" s="143">
        <v>22</v>
      </c>
      <c r="W180" s="9">
        <f t="array" ref="W180">IFERROR(V180/Q180*100,0)</f>
        <v>3.8488857475760772</v>
      </c>
      <c r="X180" s="11"/>
      <c r="Y180" s="143">
        <v>0</v>
      </c>
      <c r="Z180" s="9">
        <f t="shared" si="34"/>
        <v>0</v>
      </c>
      <c r="AA180" s="143">
        <v>0</v>
      </c>
      <c r="AB180" s="9">
        <f t="shared" si="31"/>
        <v>0</v>
      </c>
      <c r="AC180" s="8" t="str">
        <f t="array" ref="AC180">IF(AB180&gt;5,"Perlu Pengendalian",IF(AND(AB180&gt;=0,Y180&gt;0),"Tidak Perlu Pengendalian","Belum Sensus"))</f>
        <v>Belum Sensus</v>
      </c>
      <c r="AD180" s="143">
        <v>0</v>
      </c>
      <c r="AE180" s="9">
        <f t="array" ref="AE180">IFERROR(AD180/Y180*100,0)</f>
        <v>0</v>
      </c>
      <c r="AG180" s="206">
        <v>4</v>
      </c>
      <c r="AH180" s="206">
        <v>2.94</v>
      </c>
      <c r="AI180" s="206">
        <v>1.25</v>
      </c>
    </row>
    <row r="181" spans="1:35" outlineLevel="1" x14ac:dyDescent="0.15">
      <c r="A181" s="8" t="s">
        <v>949</v>
      </c>
      <c r="B181" s="8"/>
      <c r="C181" s="8" t="s">
        <v>323</v>
      </c>
      <c r="D181" s="8" t="s">
        <v>1808</v>
      </c>
      <c r="E181" s="9">
        <v>45.3</v>
      </c>
      <c r="F181" s="8" t="s">
        <v>469</v>
      </c>
      <c r="G181" s="10">
        <v>4635</v>
      </c>
      <c r="H181" s="11">
        <f t="shared" si="35"/>
        <v>0</v>
      </c>
      <c r="I181" s="143">
        <f t="shared" si="36"/>
        <v>0</v>
      </c>
      <c r="J181" s="9">
        <f t="array" ref="J181">IFERROR(I181/G181*100,0)</f>
        <v>0</v>
      </c>
      <c r="K181" s="143">
        <f t="shared" si="37"/>
        <v>0</v>
      </c>
      <c r="L181" s="9">
        <f t="shared" si="32"/>
        <v>0</v>
      </c>
      <c r="M181" s="8" t="str">
        <f t="array" ref="M181">IF(L181&gt;5,"Perlu Pengendalian",IF(AND(L181&gt;=0,I181&gt;0),"Tidak Perlu Pengendalian","Belum Sensus"))</f>
        <v>Belum Sensus</v>
      </c>
      <c r="N181" s="143">
        <f t="shared" si="38"/>
        <v>0</v>
      </c>
      <c r="O181" s="9">
        <f t="array" ref="O181">IFERROR(N181/I181*100,0)</f>
        <v>0</v>
      </c>
      <c r="P181" s="11"/>
      <c r="Q181" s="143"/>
      <c r="R181" s="9">
        <f t="shared" si="33"/>
        <v>0</v>
      </c>
      <c r="S181" s="143"/>
      <c r="T181" s="9">
        <f t="shared" si="30"/>
        <v>0</v>
      </c>
      <c r="U181" s="8" t="str">
        <f t="array" ref="U181">IF(T181&gt;5,"Perlu Pengendalian",IF(AND(T181&gt;=0,Q181&gt;0),"Tidak Perlu Pengendalian","Belum Sensus"))</f>
        <v>Belum Sensus</v>
      </c>
      <c r="V181" s="143"/>
      <c r="W181" s="9">
        <f t="array" ref="W181">IFERROR(V181/Q181*100,0)</f>
        <v>0</v>
      </c>
      <c r="X181" s="11"/>
      <c r="Y181" s="143">
        <v>0</v>
      </c>
      <c r="Z181" s="9">
        <f t="shared" si="34"/>
        <v>0</v>
      </c>
      <c r="AA181" s="143">
        <v>0</v>
      </c>
      <c r="AB181" s="9">
        <f t="shared" si="31"/>
        <v>0</v>
      </c>
      <c r="AC181" s="8" t="str">
        <f t="array" ref="AC181">IF(AB181&gt;5,"Perlu Pengendalian",IF(AND(AB181&gt;=0,Y181&gt;0),"Tidak Perlu Pengendalian","Belum Sensus"))</f>
        <v>Belum Sensus</v>
      </c>
      <c r="AD181" s="143">
        <v>0</v>
      </c>
      <c r="AE181" s="9">
        <f t="array" ref="AE181">IFERROR(AD181/Y181*100,0)</f>
        <v>0</v>
      </c>
      <c r="AG181" s="206">
        <v>2.7777777777777777</v>
      </c>
      <c r="AH181" s="206">
        <v>1.72</v>
      </c>
      <c r="AI181" s="206">
        <v>4.1666666666666661</v>
      </c>
    </row>
    <row r="182" spans="1:35" outlineLevel="1" x14ac:dyDescent="0.15">
      <c r="A182" s="8" t="s">
        <v>949</v>
      </c>
      <c r="B182" s="8"/>
      <c r="C182" s="8" t="s">
        <v>323</v>
      </c>
      <c r="D182" s="8" t="s">
        <v>1809</v>
      </c>
      <c r="E182" s="9">
        <v>42.410000000000004</v>
      </c>
      <c r="F182" s="8" t="s">
        <v>469</v>
      </c>
      <c r="G182" s="10">
        <v>4795</v>
      </c>
      <c r="H182" s="11">
        <f t="shared" si="35"/>
        <v>0</v>
      </c>
      <c r="I182" s="143">
        <f t="shared" si="36"/>
        <v>0</v>
      </c>
      <c r="J182" s="9">
        <f t="array" ref="J182">IFERROR(I182/G182*100,0)</f>
        <v>0</v>
      </c>
      <c r="K182" s="143">
        <f t="shared" si="37"/>
        <v>0</v>
      </c>
      <c r="L182" s="9">
        <f t="shared" si="32"/>
        <v>0</v>
      </c>
      <c r="M182" s="8" t="str">
        <f t="array" ref="M182">IF(L182&gt;5,"Perlu Pengendalian",IF(AND(L182&gt;=0,I182&gt;0),"Tidak Perlu Pengendalian","Belum Sensus"))</f>
        <v>Belum Sensus</v>
      </c>
      <c r="N182" s="143">
        <f t="shared" si="38"/>
        <v>0</v>
      </c>
      <c r="O182" s="9">
        <f t="array" ref="O182">IFERROR(N182/I182*100,0)</f>
        <v>0</v>
      </c>
      <c r="P182" s="11"/>
      <c r="Q182" s="143"/>
      <c r="R182" s="9">
        <f t="shared" si="33"/>
        <v>0</v>
      </c>
      <c r="S182" s="143"/>
      <c r="T182" s="9">
        <f t="shared" si="30"/>
        <v>0</v>
      </c>
      <c r="U182" s="8" t="str">
        <f t="array" ref="U182">IF(T182&gt;5,"Perlu Pengendalian",IF(AND(T182&gt;=0,Q182&gt;0),"Tidak Perlu Pengendalian","Belum Sensus"))</f>
        <v>Belum Sensus</v>
      </c>
      <c r="V182" s="143"/>
      <c r="W182" s="9">
        <f t="array" ref="W182">IFERROR(V182/Q182*100,0)</f>
        <v>0</v>
      </c>
      <c r="X182" s="11"/>
      <c r="Y182" s="143">
        <v>0</v>
      </c>
      <c r="Z182" s="9">
        <f t="shared" si="34"/>
        <v>0</v>
      </c>
      <c r="AA182" s="143">
        <v>0</v>
      </c>
      <c r="AB182" s="9">
        <f t="shared" si="31"/>
        <v>0</v>
      </c>
      <c r="AC182" s="8" t="str">
        <f t="array" ref="AC182">IF(AB182&gt;5,"Perlu Pengendalian",IF(AND(AB182&gt;=0,Y182&gt;0),"Tidak Perlu Pengendalian","Belum Sensus"))</f>
        <v>Belum Sensus</v>
      </c>
      <c r="AD182" s="143">
        <v>0</v>
      </c>
      <c r="AE182" s="9">
        <f t="array" ref="AE182">IFERROR(AD182/Y182*100,0)</f>
        <v>0</v>
      </c>
      <c r="AG182" s="206">
        <v>2.1052631578947367</v>
      </c>
      <c r="AH182" s="206">
        <v>1.77</v>
      </c>
      <c r="AI182" s="206">
        <v>3.8888888888888888</v>
      </c>
    </row>
    <row r="183" spans="1:35" outlineLevel="1" x14ac:dyDescent="0.15">
      <c r="A183" s="8" t="s">
        <v>949</v>
      </c>
      <c r="B183" s="8"/>
      <c r="C183" s="8" t="s">
        <v>323</v>
      </c>
      <c r="D183" s="8" t="s">
        <v>1810</v>
      </c>
      <c r="E183" s="9">
        <v>28.880000000000003</v>
      </c>
      <c r="F183" s="8" t="s">
        <v>469</v>
      </c>
      <c r="G183" s="10">
        <v>2522</v>
      </c>
      <c r="H183" s="11">
        <f t="shared" si="35"/>
        <v>0</v>
      </c>
      <c r="I183" s="143">
        <f t="shared" si="36"/>
        <v>0</v>
      </c>
      <c r="J183" s="9">
        <f t="array" ref="J183">IFERROR(I183/G183*100,0)</f>
        <v>0</v>
      </c>
      <c r="K183" s="143">
        <f t="shared" si="37"/>
        <v>0</v>
      </c>
      <c r="L183" s="9">
        <f t="shared" si="32"/>
        <v>0</v>
      </c>
      <c r="M183" s="8" t="str">
        <f t="array" ref="M183">IF(L183&gt;5,"Perlu Pengendalian",IF(AND(L183&gt;=0,I183&gt;0),"Tidak Perlu Pengendalian","Belum Sensus"))</f>
        <v>Belum Sensus</v>
      </c>
      <c r="N183" s="143">
        <f t="shared" si="38"/>
        <v>0</v>
      </c>
      <c r="O183" s="9">
        <f t="array" ref="O183">IFERROR(N183/I183*100,0)</f>
        <v>0</v>
      </c>
      <c r="P183" s="11"/>
      <c r="Q183" s="143"/>
      <c r="R183" s="9">
        <f t="shared" si="33"/>
        <v>0</v>
      </c>
      <c r="S183" s="143"/>
      <c r="T183" s="9">
        <f t="shared" si="30"/>
        <v>0</v>
      </c>
      <c r="U183" s="8" t="str">
        <f t="array" ref="U183">IF(T183&gt;5,"Perlu Pengendalian",IF(AND(T183&gt;=0,Q183&gt;0),"Tidak Perlu Pengendalian","Belum Sensus"))</f>
        <v>Belum Sensus</v>
      </c>
      <c r="V183" s="143"/>
      <c r="W183" s="9">
        <f t="array" ref="W183">IFERROR(V183/Q183*100,0)</f>
        <v>0</v>
      </c>
      <c r="X183" s="11"/>
      <c r="Y183" s="143">
        <v>0</v>
      </c>
      <c r="Z183" s="9">
        <f t="shared" si="34"/>
        <v>0</v>
      </c>
      <c r="AA183" s="143">
        <v>0</v>
      </c>
      <c r="AB183" s="9">
        <f t="shared" si="31"/>
        <v>0</v>
      </c>
      <c r="AC183" s="8" t="str">
        <f t="array" ref="AC183">IF(AB183&gt;5,"Perlu Pengendalian",IF(AND(AB183&gt;=0,Y183&gt;0),"Tidak Perlu Pengendalian","Belum Sensus"))</f>
        <v>Belum Sensus</v>
      </c>
      <c r="AD183" s="143">
        <v>0</v>
      </c>
      <c r="AE183" s="9">
        <f t="array" ref="AE183">IFERROR(AD183/Y183*100,0)</f>
        <v>0</v>
      </c>
      <c r="AG183" s="206">
        <v>1.3513513513513513</v>
      </c>
      <c r="AH183" s="206">
        <v>4.1180000000000003</v>
      </c>
      <c r="AI183" s="206">
        <v>0</v>
      </c>
    </row>
    <row r="184" spans="1:35" outlineLevel="1" x14ac:dyDescent="0.15">
      <c r="A184" s="8" t="s">
        <v>949</v>
      </c>
      <c r="B184" s="8"/>
      <c r="C184" s="8" t="s">
        <v>323</v>
      </c>
      <c r="D184" s="8" t="s">
        <v>1811</v>
      </c>
      <c r="E184" s="9">
        <v>44.540000000000006</v>
      </c>
      <c r="F184" s="8" t="s">
        <v>469</v>
      </c>
      <c r="G184" s="10">
        <v>3651</v>
      </c>
      <c r="H184" s="11">
        <f t="shared" si="35"/>
        <v>0</v>
      </c>
      <c r="I184" s="143">
        <f t="shared" si="36"/>
        <v>0</v>
      </c>
      <c r="J184" s="9">
        <f t="array" ref="J184">IFERROR(I184/G184*100,0)</f>
        <v>0</v>
      </c>
      <c r="K184" s="143">
        <f t="shared" si="37"/>
        <v>0</v>
      </c>
      <c r="L184" s="9">
        <f t="shared" si="32"/>
        <v>0</v>
      </c>
      <c r="M184" s="8" t="str">
        <f t="array" ref="M184">IF(L184&gt;5,"Perlu Pengendalian",IF(AND(L184&gt;=0,I184&gt;0),"Tidak Perlu Pengendalian","Belum Sensus"))</f>
        <v>Belum Sensus</v>
      </c>
      <c r="N184" s="143">
        <f t="shared" si="38"/>
        <v>0</v>
      </c>
      <c r="O184" s="9">
        <f t="array" ref="O184">IFERROR(N184/I184*100,0)</f>
        <v>0</v>
      </c>
      <c r="P184" s="11"/>
      <c r="Q184" s="143"/>
      <c r="R184" s="9">
        <f t="shared" si="33"/>
        <v>0</v>
      </c>
      <c r="S184" s="143"/>
      <c r="T184" s="9">
        <f t="shared" si="30"/>
        <v>0</v>
      </c>
      <c r="U184" s="8" t="str">
        <f t="array" ref="U184">IF(T184&gt;5,"Perlu Pengendalian",IF(AND(T184&gt;=0,Q184&gt;0),"Tidak Perlu Pengendalian","Belum Sensus"))</f>
        <v>Belum Sensus</v>
      </c>
      <c r="V184" s="143"/>
      <c r="W184" s="9">
        <f t="array" ref="W184">IFERROR(V184/Q184*100,0)</f>
        <v>0</v>
      </c>
      <c r="X184" s="11"/>
      <c r="Y184" s="143">
        <v>0</v>
      </c>
      <c r="Z184" s="9">
        <f t="shared" si="34"/>
        <v>0</v>
      </c>
      <c r="AA184" s="143">
        <v>0</v>
      </c>
      <c r="AB184" s="9">
        <f t="shared" si="31"/>
        <v>0</v>
      </c>
      <c r="AC184" s="8" t="str">
        <f t="array" ref="AC184">IF(AB184&gt;5,"Perlu Pengendalian",IF(AND(AB184&gt;=0,Y184&gt;0),"Tidak Perlu Pengendalian","Belum Sensus"))</f>
        <v>Belum Sensus</v>
      </c>
      <c r="AD184" s="143">
        <v>0</v>
      </c>
      <c r="AE184" s="9">
        <f t="array" ref="AE184">IFERROR(AD184/Y184*100,0)</f>
        <v>0</v>
      </c>
      <c r="AG184" s="206">
        <v>1.5151515151515151</v>
      </c>
      <c r="AH184" s="206">
        <v>2.29</v>
      </c>
      <c r="AI184" s="206">
        <v>0</v>
      </c>
    </row>
    <row r="185" spans="1:35" outlineLevel="1" x14ac:dyDescent="0.15">
      <c r="A185" s="8" t="s">
        <v>949</v>
      </c>
      <c r="B185" s="8"/>
      <c r="C185" s="8" t="s">
        <v>323</v>
      </c>
      <c r="D185" s="8" t="s">
        <v>1029</v>
      </c>
      <c r="E185" s="9">
        <v>20.66</v>
      </c>
      <c r="F185" s="8" t="s">
        <v>469</v>
      </c>
      <c r="G185" s="10">
        <v>1334.9999999999998</v>
      </c>
      <c r="H185" s="11">
        <f t="shared" si="35"/>
        <v>0</v>
      </c>
      <c r="I185" s="143">
        <f t="shared" si="36"/>
        <v>0</v>
      </c>
      <c r="J185" s="9">
        <f t="array" ref="J185">IFERROR(I185/G185*100,0)</f>
        <v>0</v>
      </c>
      <c r="K185" s="143">
        <f t="shared" si="37"/>
        <v>0</v>
      </c>
      <c r="L185" s="9">
        <f t="shared" si="32"/>
        <v>0</v>
      </c>
      <c r="M185" s="8" t="str">
        <f t="array" ref="M185">IF(L185&gt;5,"Perlu Pengendalian",IF(AND(L185&gt;=0,I185&gt;0),"Tidak Perlu Pengendalian","Belum Sensus"))</f>
        <v>Belum Sensus</v>
      </c>
      <c r="N185" s="143">
        <f t="shared" si="38"/>
        <v>0</v>
      </c>
      <c r="O185" s="9">
        <f t="array" ref="O185">IFERROR(N185/I185*100,0)</f>
        <v>0</v>
      </c>
      <c r="P185" s="11"/>
      <c r="Q185" s="143"/>
      <c r="R185" s="9">
        <f t="shared" si="33"/>
        <v>0</v>
      </c>
      <c r="S185" s="143"/>
      <c r="T185" s="9">
        <f t="shared" si="30"/>
        <v>0</v>
      </c>
      <c r="U185" s="8" t="str">
        <f t="array" ref="U185">IF(T185&gt;5,"Perlu Pengendalian",IF(AND(T185&gt;=0,Q185&gt;0),"Tidak Perlu Pengendalian","Belum Sensus"))</f>
        <v>Belum Sensus</v>
      </c>
      <c r="V185" s="143"/>
      <c r="W185" s="9">
        <f t="array" ref="W185">IFERROR(V185/Q185*100,0)</f>
        <v>0</v>
      </c>
      <c r="X185" s="11"/>
      <c r="Y185" s="143">
        <v>0</v>
      </c>
      <c r="Z185" s="9">
        <f t="shared" si="34"/>
        <v>0</v>
      </c>
      <c r="AA185" s="143">
        <v>0</v>
      </c>
      <c r="AB185" s="9">
        <f t="shared" si="31"/>
        <v>0</v>
      </c>
      <c r="AC185" s="8" t="str">
        <f t="array" ref="AC185">IF(AB185&gt;5,"Perlu Pengendalian",IF(AND(AB185&gt;=0,Y185&gt;0),"Tidak Perlu Pengendalian","Belum Sensus"))</f>
        <v>Belum Sensus</v>
      </c>
      <c r="AD185" s="143">
        <v>0</v>
      </c>
      <c r="AE185" s="9">
        <f t="array" ref="AE185">IFERROR(AD185/Y185*100,0)</f>
        <v>0</v>
      </c>
      <c r="AG185" s="206">
        <v>0</v>
      </c>
      <c r="AH185" s="206">
        <v>1.82</v>
      </c>
      <c r="AI185" s="206">
        <v>5</v>
      </c>
    </row>
    <row r="186" spans="1:35" outlineLevel="1" x14ac:dyDescent="0.15">
      <c r="A186" s="8" t="s">
        <v>949</v>
      </c>
      <c r="B186" s="8"/>
      <c r="C186" s="8" t="s">
        <v>323</v>
      </c>
      <c r="D186" s="8" t="s">
        <v>1812</v>
      </c>
      <c r="E186" s="9">
        <v>31.82</v>
      </c>
      <c r="F186" s="8" t="s">
        <v>469</v>
      </c>
      <c r="G186" s="10">
        <v>2363</v>
      </c>
      <c r="H186" s="11">
        <f t="shared" si="35"/>
        <v>0</v>
      </c>
      <c r="I186" s="143">
        <f t="shared" si="36"/>
        <v>0</v>
      </c>
      <c r="J186" s="9">
        <f t="array" ref="J186">IFERROR(I186/G186*100,0)</f>
        <v>0</v>
      </c>
      <c r="K186" s="143">
        <f t="shared" si="37"/>
        <v>0</v>
      </c>
      <c r="L186" s="9">
        <f t="shared" si="32"/>
        <v>0</v>
      </c>
      <c r="M186" s="8" t="str">
        <f t="array" ref="M186">IF(L186&gt;5,"Perlu Pengendalian",IF(AND(L186&gt;=0,I186&gt;0),"Tidak Perlu Pengendalian","Belum Sensus"))</f>
        <v>Belum Sensus</v>
      </c>
      <c r="N186" s="143">
        <f t="shared" si="38"/>
        <v>0</v>
      </c>
      <c r="O186" s="9">
        <f t="array" ref="O186">IFERROR(N186/I186*100,0)</f>
        <v>0</v>
      </c>
      <c r="P186" s="11"/>
      <c r="Q186" s="143"/>
      <c r="R186" s="9">
        <f t="shared" si="33"/>
        <v>0</v>
      </c>
      <c r="S186" s="143"/>
      <c r="T186" s="9">
        <f t="shared" si="30"/>
        <v>0</v>
      </c>
      <c r="U186" s="8" t="str">
        <f t="array" ref="U186">IF(T186&gt;5,"Perlu Pengendalian",IF(AND(T186&gt;=0,Q186&gt;0),"Tidak Perlu Pengendalian","Belum Sensus"))</f>
        <v>Belum Sensus</v>
      </c>
      <c r="V186" s="143"/>
      <c r="W186" s="9">
        <f t="array" ref="W186">IFERROR(V186/Q186*100,0)</f>
        <v>0</v>
      </c>
      <c r="X186" s="11"/>
      <c r="Y186" s="143">
        <v>0</v>
      </c>
      <c r="Z186" s="9">
        <f t="shared" si="34"/>
        <v>0</v>
      </c>
      <c r="AA186" s="143">
        <v>0</v>
      </c>
      <c r="AB186" s="9">
        <f t="shared" si="31"/>
        <v>0</v>
      </c>
      <c r="AC186" s="8" t="str">
        <f t="array" ref="AC186">IF(AB186&gt;5,"Perlu Pengendalian",IF(AND(AB186&gt;=0,Y186&gt;0),"Tidak Perlu Pengendalian","Belum Sensus"))</f>
        <v>Belum Sensus</v>
      </c>
      <c r="AD186" s="143">
        <v>0</v>
      </c>
      <c r="AE186" s="9">
        <f t="array" ref="AE186">IFERROR(AD186/Y186*100,0)</f>
        <v>0</v>
      </c>
      <c r="AG186" s="206">
        <v>0</v>
      </c>
      <c r="AH186" s="206">
        <v>2.91</v>
      </c>
      <c r="AI186" s="206">
        <v>0</v>
      </c>
    </row>
    <row r="187" spans="1:35" outlineLevel="1" x14ac:dyDescent="0.15">
      <c r="A187" s="8" t="s">
        <v>949</v>
      </c>
      <c r="B187" s="8"/>
      <c r="C187" s="8" t="s">
        <v>345</v>
      </c>
      <c r="D187" s="8" t="s">
        <v>1295</v>
      </c>
      <c r="E187" s="9">
        <v>0.18</v>
      </c>
      <c r="F187" s="8" t="s">
        <v>469</v>
      </c>
      <c r="G187" s="10">
        <v>17</v>
      </c>
      <c r="H187" s="11">
        <f t="shared" si="35"/>
        <v>0</v>
      </c>
      <c r="I187" s="143">
        <f t="shared" si="36"/>
        <v>0</v>
      </c>
      <c r="J187" s="9">
        <f t="array" ref="J187">IFERROR(I187/G187*100,0)</f>
        <v>0</v>
      </c>
      <c r="K187" s="143">
        <f t="shared" si="37"/>
        <v>0</v>
      </c>
      <c r="L187" s="9">
        <f t="shared" si="32"/>
        <v>0</v>
      </c>
      <c r="M187" s="8" t="str">
        <f t="array" ref="M187">IF(L187&gt;5,"Perlu Pengendalian",IF(AND(L187&gt;=0,I187&gt;0),"Tidak Perlu Pengendalian","Belum Sensus"))</f>
        <v>Belum Sensus</v>
      </c>
      <c r="N187" s="143">
        <f t="shared" si="38"/>
        <v>0</v>
      </c>
      <c r="O187" s="9">
        <f t="array" ref="O187">IFERROR(N187/I187*100,0)</f>
        <v>0</v>
      </c>
      <c r="P187" s="11"/>
      <c r="Q187" s="143"/>
      <c r="R187" s="9">
        <f t="shared" si="33"/>
        <v>0</v>
      </c>
      <c r="S187" s="143"/>
      <c r="T187" s="9">
        <f t="shared" si="30"/>
        <v>0</v>
      </c>
      <c r="U187" s="8" t="str">
        <f t="array" ref="U187">IF(T187&gt;5,"Perlu Pengendalian",IF(AND(T187&gt;=0,Q187&gt;0),"Tidak Perlu Pengendalian","Belum Sensus"))</f>
        <v>Belum Sensus</v>
      </c>
      <c r="V187" s="143"/>
      <c r="W187" s="9">
        <f t="array" ref="W187">IFERROR(V187/Q187*100,0)</f>
        <v>0</v>
      </c>
      <c r="X187" s="11"/>
      <c r="Y187" s="143">
        <v>0</v>
      </c>
      <c r="Z187" s="9">
        <f t="shared" si="34"/>
        <v>0</v>
      </c>
      <c r="AA187" s="143">
        <v>0</v>
      </c>
      <c r="AB187" s="9">
        <f t="shared" si="31"/>
        <v>0</v>
      </c>
      <c r="AC187" s="8" t="str">
        <f t="array" ref="AC187">IF(AB187&gt;5,"Perlu Pengendalian",IF(AND(AB187&gt;=0,Y187&gt;0),"Tidak Perlu Pengendalian","Belum Sensus"))</f>
        <v>Belum Sensus</v>
      </c>
      <c r="AD187" s="143">
        <v>0</v>
      </c>
      <c r="AE187" s="9">
        <f t="array" ref="AE187">IFERROR(AD187/Y187*100,0)</f>
        <v>0</v>
      </c>
      <c r="AG187" s="206">
        <v>0</v>
      </c>
      <c r="AH187" s="206">
        <v>4.1120000000000001</v>
      </c>
      <c r="AI187" s="206">
        <v>0</v>
      </c>
    </row>
    <row r="188" spans="1:35" outlineLevel="1" x14ac:dyDescent="0.15">
      <c r="A188" s="8" t="s">
        <v>949</v>
      </c>
      <c r="B188" s="8"/>
      <c r="C188" s="8" t="s">
        <v>345</v>
      </c>
      <c r="D188" s="8" t="s">
        <v>1038</v>
      </c>
      <c r="E188" s="179">
        <v>35.54</v>
      </c>
      <c r="F188" s="8" t="s">
        <v>469</v>
      </c>
      <c r="G188" s="10">
        <v>4964.9999999999991</v>
      </c>
      <c r="H188" s="11">
        <f t="shared" si="35"/>
        <v>0</v>
      </c>
      <c r="I188" s="143">
        <f t="shared" si="36"/>
        <v>0</v>
      </c>
      <c r="J188" s="9">
        <f t="array" ref="J188">IFERROR(I188/G188*100,0)</f>
        <v>0</v>
      </c>
      <c r="K188" s="143">
        <f t="shared" si="37"/>
        <v>0</v>
      </c>
      <c r="L188" s="9">
        <f t="shared" si="32"/>
        <v>0</v>
      </c>
      <c r="M188" s="8" t="str">
        <f t="array" ref="M188">IF(L188&gt;5,"Perlu Pengendalian",IF(AND(L188&gt;=0,I188&gt;0),"Tidak Perlu Pengendalian","Belum Sensus"))</f>
        <v>Belum Sensus</v>
      </c>
      <c r="N188" s="143">
        <f t="shared" si="38"/>
        <v>0</v>
      </c>
      <c r="O188" s="9">
        <f t="array" ref="O188">IFERROR(N188/I188*100,0)</f>
        <v>0</v>
      </c>
      <c r="P188" s="11"/>
      <c r="Q188" s="143"/>
      <c r="R188" s="9">
        <f t="shared" si="33"/>
        <v>0</v>
      </c>
      <c r="S188" s="143"/>
      <c r="T188" s="9">
        <f t="shared" si="30"/>
        <v>0</v>
      </c>
      <c r="U188" s="8" t="str">
        <f t="array" ref="U188">IF(T188&gt;5,"Perlu Pengendalian",IF(AND(T188&gt;=0,Q188&gt;0),"Tidak Perlu Pengendalian","Belum Sensus"))</f>
        <v>Belum Sensus</v>
      </c>
      <c r="V188" s="143"/>
      <c r="W188" s="9">
        <f t="array" ref="W188">IFERROR(V188/Q188*100,0)</f>
        <v>0</v>
      </c>
      <c r="X188" s="11"/>
      <c r="Y188" s="143">
        <v>0</v>
      </c>
      <c r="Z188" s="9">
        <f t="shared" si="34"/>
        <v>0</v>
      </c>
      <c r="AA188" s="143">
        <v>0</v>
      </c>
      <c r="AB188" s="9">
        <f t="shared" si="31"/>
        <v>0</v>
      </c>
      <c r="AC188" s="8" t="str">
        <f t="array" ref="AC188">IF(AB188&gt;5,"Perlu Pengendalian",IF(AND(AB188&gt;=0,Y188&gt;0),"Tidak Perlu Pengendalian","Belum Sensus"))</f>
        <v>Belum Sensus</v>
      </c>
      <c r="AD188" s="143">
        <v>0</v>
      </c>
      <c r="AE188" s="9">
        <f t="array" ref="AE188">IFERROR(AD188/Y188*100,0)</f>
        <v>0</v>
      </c>
      <c r="AG188" s="206">
        <v>0</v>
      </c>
      <c r="AH188" s="206">
        <v>3.34</v>
      </c>
      <c r="AI188" s="206">
        <v>2.666666666666667</v>
      </c>
    </row>
    <row r="189" spans="1:35" outlineLevel="1" x14ac:dyDescent="0.15">
      <c r="A189" s="8" t="s">
        <v>949</v>
      </c>
      <c r="B189" s="8"/>
      <c r="C189" s="8" t="s">
        <v>345</v>
      </c>
      <c r="D189" s="8" t="s">
        <v>1040</v>
      </c>
      <c r="E189" s="9">
        <v>29.86</v>
      </c>
      <c r="F189" s="8" t="s">
        <v>469</v>
      </c>
      <c r="G189" s="10">
        <v>4267</v>
      </c>
      <c r="H189" s="11">
        <f t="shared" si="35"/>
        <v>0</v>
      </c>
      <c r="I189" s="143">
        <f t="shared" si="36"/>
        <v>0</v>
      </c>
      <c r="J189" s="9">
        <f t="array" ref="J189">IFERROR(I189/G189*100,0)</f>
        <v>0</v>
      </c>
      <c r="K189" s="143">
        <f t="shared" si="37"/>
        <v>0</v>
      </c>
      <c r="L189" s="9">
        <f t="shared" si="32"/>
        <v>0</v>
      </c>
      <c r="M189" s="8" t="str">
        <f t="array" ref="M189">IF(L189&gt;5,"Perlu Pengendalian",IF(AND(L189&gt;=0,I189&gt;0),"Tidak Perlu Pengendalian","Belum Sensus"))</f>
        <v>Belum Sensus</v>
      </c>
      <c r="N189" s="143">
        <f t="shared" si="38"/>
        <v>0</v>
      </c>
      <c r="O189" s="9">
        <f t="array" ref="O189">IFERROR(N189/I189*100,0)</f>
        <v>0</v>
      </c>
      <c r="P189" s="11"/>
      <c r="Q189" s="143"/>
      <c r="R189" s="9">
        <f t="shared" si="33"/>
        <v>0</v>
      </c>
      <c r="S189" s="143"/>
      <c r="T189" s="9">
        <f t="shared" si="30"/>
        <v>0</v>
      </c>
      <c r="U189" s="8" t="str">
        <f t="array" ref="U189">IF(T189&gt;5,"Perlu Pengendalian",IF(AND(T189&gt;=0,Q189&gt;0),"Tidak Perlu Pengendalian","Belum Sensus"))</f>
        <v>Belum Sensus</v>
      </c>
      <c r="V189" s="143"/>
      <c r="W189" s="9">
        <f t="array" ref="W189">IFERROR(V189/Q189*100,0)</f>
        <v>0</v>
      </c>
      <c r="X189" s="11"/>
      <c r="Y189" s="143">
        <v>0</v>
      </c>
      <c r="Z189" s="9">
        <f t="shared" si="34"/>
        <v>0</v>
      </c>
      <c r="AA189" s="143">
        <v>0</v>
      </c>
      <c r="AB189" s="9">
        <f t="shared" si="31"/>
        <v>0</v>
      </c>
      <c r="AC189" s="8" t="str">
        <f t="array" ref="AC189">IF(AB189&gt;5,"Perlu Pengendalian",IF(AND(AB189&gt;=0,Y189&gt;0),"Tidak Perlu Pengendalian","Belum Sensus"))</f>
        <v>Belum Sensus</v>
      </c>
      <c r="AD189" s="143">
        <v>0</v>
      </c>
      <c r="AE189" s="9">
        <f t="array" ref="AE189">IFERROR(AD189/Y189*100,0)</f>
        <v>0</v>
      </c>
      <c r="AG189" s="206">
        <v>0</v>
      </c>
      <c r="AH189" s="206">
        <v>2.21</v>
      </c>
      <c r="AI189" s="206">
        <v>1.6666666666666667</v>
      </c>
    </row>
    <row r="190" spans="1:35" outlineLevel="1" x14ac:dyDescent="0.15">
      <c r="A190" s="8" t="s">
        <v>949</v>
      </c>
      <c r="B190" s="8"/>
      <c r="C190" s="8" t="s">
        <v>345</v>
      </c>
      <c r="D190" s="8" t="s">
        <v>1813</v>
      </c>
      <c r="E190" s="9">
        <v>37.39</v>
      </c>
      <c r="F190" s="8" t="s">
        <v>469</v>
      </c>
      <c r="G190" s="10">
        <v>4885.9999999999991</v>
      </c>
      <c r="H190" s="11">
        <f t="shared" si="35"/>
        <v>0</v>
      </c>
      <c r="I190" s="143">
        <f t="shared" si="36"/>
        <v>0</v>
      </c>
      <c r="J190" s="9">
        <f t="array" ref="J190">IFERROR(I190/G190*100,0)</f>
        <v>0</v>
      </c>
      <c r="K190" s="143">
        <f t="shared" si="37"/>
        <v>0</v>
      </c>
      <c r="L190" s="9">
        <f t="shared" si="32"/>
        <v>0</v>
      </c>
      <c r="M190" s="8" t="str">
        <f t="array" ref="M190">IF(L190&gt;5,"Perlu Pengendalian",IF(AND(L190&gt;=0,I190&gt;0),"Tidak Perlu Pengendalian","Belum Sensus"))</f>
        <v>Belum Sensus</v>
      </c>
      <c r="N190" s="143">
        <f t="shared" si="38"/>
        <v>0</v>
      </c>
      <c r="O190" s="9">
        <f t="array" ref="O190">IFERROR(N190/I190*100,0)</f>
        <v>0</v>
      </c>
      <c r="P190" s="11"/>
      <c r="Q190" s="143"/>
      <c r="R190" s="9">
        <f t="shared" si="33"/>
        <v>0</v>
      </c>
      <c r="S190" s="143"/>
      <c r="T190" s="9">
        <f t="shared" si="30"/>
        <v>0</v>
      </c>
      <c r="U190" s="8" t="str">
        <f t="array" ref="U190">IF(T190&gt;5,"Perlu Pengendalian",IF(AND(T190&gt;=0,Q190&gt;0),"Tidak Perlu Pengendalian","Belum Sensus"))</f>
        <v>Belum Sensus</v>
      </c>
      <c r="V190" s="143"/>
      <c r="W190" s="9">
        <f t="array" ref="W190">IFERROR(V190/Q190*100,0)</f>
        <v>0</v>
      </c>
      <c r="X190" s="11"/>
      <c r="Y190" s="143">
        <v>0</v>
      </c>
      <c r="Z190" s="9">
        <f t="shared" si="34"/>
        <v>0</v>
      </c>
      <c r="AA190" s="143">
        <v>0</v>
      </c>
      <c r="AB190" s="9">
        <f t="shared" si="31"/>
        <v>0</v>
      </c>
      <c r="AC190" s="8" t="str">
        <f t="array" ref="AC190">IF(AB190&gt;5,"Perlu Pengendalian",IF(AND(AB190&gt;=0,Y190&gt;0),"Tidak Perlu Pengendalian","Belum Sensus"))</f>
        <v>Belum Sensus</v>
      </c>
      <c r="AD190" s="143">
        <v>0</v>
      </c>
      <c r="AE190" s="9">
        <f t="array" ref="AE190">IFERROR(AD190/Y190*100,0)</f>
        <v>0</v>
      </c>
      <c r="AG190" s="206">
        <v>0</v>
      </c>
      <c r="AH190" s="206">
        <v>1.1599999999999999</v>
      </c>
      <c r="AI190" s="206">
        <v>0</v>
      </c>
    </row>
    <row r="191" spans="1:35" outlineLevel="1" x14ac:dyDescent="0.15">
      <c r="A191" s="8" t="s">
        <v>949</v>
      </c>
      <c r="B191" s="8"/>
      <c r="C191" s="8" t="s">
        <v>345</v>
      </c>
      <c r="D191" s="8" t="s">
        <v>1814</v>
      </c>
      <c r="E191" s="9">
        <v>29.490000000000002</v>
      </c>
      <c r="F191" s="8" t="s">
        <v>469</v>
      </c>
      <c r="G191" s="10">
        <v>4139</v>
      </c>
      <c r="H191" s="11">
        <f t="shared" si="35"/>
        <v>0</v>
      </c>
      <c r="I191" s="143">
        <f t="shared" si="36"/>
        <v>0</v>
      </c>
      <c r="J191" s="9">
        <f t="array" ref="J191">IFERROR(I191/G191*100,0)</f>
        <v>0</v>
      </c>
      <c r="K191" s="143">
        <f t="shared" si="37"/>
        <v>0</v>
      </c>
      <c r="L191" s="9">
        <f t="shared" si="32"/>
        <v>0</v>
      </c>
      <c r="M191" s="8" t="str">
        <f t="array" ref="M191">IF(L191&gt;5,"Perlu Pengendalian",IF(AND(L191&gt;=0,I191&gt;0),"Tidak Perlu Pengendalian","Belum Sensus"))</f>
        <v>Belum Sensus</v>
      </c>
      <c r="N191" s="143">
        <f t="shared" si="38"/>
        <v>0</v>
      </c>
      <c r="O191" s="9">
        <f t="array" ref="O191">IFERROR(N191/I191*100,0)</f>
        <v>0</v>
      </c>
      <c r="P191" s="11"/>
      <c r="Q191" s="143"/>
      <c r="R191" s="9">
        <f t="shared" si="33"/>
        <v>0</v>
      </c>
      <c r="S191" s="143"/>
      <c r="T191" s="9">
        <f t="shared" si="30"/>
        <v>0</v>
      </c>
      <c r="U191" s="8" t="str">
        <f t="array" ref="U191">IF(T191&gt;5,"Perlu Pengendalian",IF(AND(T191&gt;=0,Q191&gt;0),"Tidak Perlu Pengendalian","Belum Sensus"))</f>
        <v>Belum Sensus</v>
      </c>
      <c r="V191" s="143"/>
      <c r="W191" s="9">
        <f t="array" ref="W191">IFERROR(V191/Q191*100,0)</f>
        <v>0</v>
      </c>
      <c r="X191" s="11"/>
      <c r="Y191" s="143">
        <v>0</v>
      </c>
      <c r="Z191" s="9">
        <f t="shared" si="34"/>
        <v>0</v>
      </c>
      <c r="AA191" s="143">
        <v>0</v>
      </c>
      <c r="AB191" s="9">
        <f t="shared" si="31"/>
        <v>0</v>
      </c>
      <c r="AC191" s="8" t="str">
        <f t="array" ref="AC191">IF(AB191&gt;5,"Perlu Pengendalian",IF(AND(AB191&gt;=0,Y191&gt;0),"Tidak Perlu Pengendalian","Belum Sensus"))</f>
        <v>Belum Sensus</v>
      </c>
      <c r="AD191" s="143">
        <v>0</v>
      </c>
      <c r="AE191" s="9">
        <f t="array" ref="AE191">IFERROR(AD191/Y191*100,0)</f>
        <v>0</v>
      </c>
      <c r="AG191" s="206">
        <v>2.5</v>
      </c>
      <c r="AH191" s="206">
        <v>3.36</v>
      </c>
      <c r="AI191" s="206">
        <v>5</v>
      </c>
    </row>
    <row r="192" spans="1:35" outlineLevel="1" x14ac:dyDescent="0.15">
      <c r="A192" s="8" t="s">
        <v>949</v>
      </c>
      <c r="B192" s="8"/>
      <c r="C192" s="8" t="s">
        <v>345</v>
      </c>
      <c r="D192" s="8" t="s">
        <v>1037</v>
      </c>
      <c r="E192" s="9">
        <v>31.69</v>
      </c>
      <c r="F192" s="8" t="s">
        <v>469</v>
      </c>
      <c r="G192" s="10">
        <v>4054</v>
      </c>
      <c r="H192" s="11">
        <f t="shared" si="35"/>
        <v>0</v>
      </c>
      <c r="I192" s="143">
        <f t="shared" si="36"/>
        <v>0</v>
      </c>
      <c r="J192" s="9">
        <f t="array" ref="J192">IFERROR(I192/G192*100,0)</f>
        <v>0</v>
      </c>
      <c r="K192" s="143">
        <f t="shared" si="37"/>
        <v>0</v>
      </c>
      <c r="L192" s="9">
        <f t="shared" si="32"/>
        <v>0</v>
      </c>
      <c r="M192" s="8" t="str">
        <f t="array" ref="M192">IF(L192&gt;5,"Perlu Pengendalian",IF(AND(L192&gt;=0,I192&gt;0),"Tidak Perlu Pengendalian","Belum Sensus"))</f>
        <v>Belum Sensus</v>
      </c>
      <c r="N192" s="143">
        <f t="shared" si="38"/>
        <v>0</v>
      </c>
      <c r="O192" s="9">
        <f t="array" ref="O192">IFERROR(N192/I192*100,0)</f>
        <v>0</v>
      </c>
      <c r="P192" s="11"/>
      <c r="Q192" s="143"/>
      <c r="R192" s="9">
        <f t="shared" si="33"/>
        <v>0</v>
      </c>
      <c r="S192" s="143"/>
      <c r="T192" s="9">
        <f t="shared" si="30"/>
        <v>0</v>
      </c>
      <c r="U192" s="8" t="str">
        <f t="array" ref="U192">IF(T192&gt;5,"Perlu Pengendalian",IF(AND(T192&gt;=0,Q192&gt;0),"Tidak Perlu Pengendalian","Belum Sensus"))</f>
        <v>Belum Sensus</v>
      </c>
      <c r="V192" s="143"/>
      <c r="W192" s="9">
        <f t="array" ref="W192">IFERROR(V192/Q192*100,0)</f>
        <v>0</v>
      </c>
      <c r="X192" s="11"/>
      <c r="Y192" s="143">
        <v>0</v>
      </c>
      <c r="Z192" s="9">
        <f t="shared" si="34"/>
        <v>0</v>
      </c>
      <c r="AA192" s="143">
        <v>0</v>
      </c>
      <c r="AB192" s="9">
        <f t="shared" si="31"/>
        <v>0</v>
      </c>
      <c r="AC192" s="8" t="str">
        <f t="array" ref="AC192">IF(AB192&gt;5,"Perlu Pengendalian",IF(AND(AB192&gt;=0,Y192&gt;0),"Tidak Perlu Pengendalian","Belum Sensus"))</f>
        <v>Belum Sensus</v>
      </c>
      <c r="AD192" s="143">
        <v>0</v>
      </c>
      <c r="AE192" s="9">
        <f t="array" ref="AE192">IFERROR(AD192/Y192*100,0)</f>
        <v>0</v>
      </c>
      <c r="AG192" s="206">
        <v>0</v>
      </c>
      <c r="AH192" s="206">
        <v>4.18</v>
      </c>
      <c r="AI192" s="206">
        <v>0</v>
      </c>
    </row>
    <row r="193" spans="1:35" outlineLevel="1" x14ac:dyDescent="0.15">
      <c r="A193" s="8" t="s">
        <v>949</v>
      </c>
      <c r="B193" s="8"/>
      <c r="C193" s="8" t="s">
        <v>345</v>
      </c>
      <c r="D193" s="8" t="s">
        <v>1035</v>
      </c>
      <c r="E193" s="9">
        <v>32.49</v>
      </c>
      <c r="F193" s="8" t="s">
        <v>469</v>
      </c>
      <c r="G193" s="10">
        <v>4522</v>
      </c>
      <c r="H193" s="11">
        <f t="shared" si="35"/>
        <v>0</v>
      </c>
      <c r="I193" s="143">
        <f t="shared" si="36"/>
        <v>0</v>
      </c>
      <c r="J193" s="9">
        <f t="array" ref="J193">IFERROR(I193/G193*100,0)</f>
        <v>0</v>
      </c>
      <c r="K193" s="143">
        <f t="shared" si="37"/>
        <v>0</v>
      </c>
      <c r="L193" s="9">
        <f t="shared" si="32"/>
        <v>0</v>
      </c>
      <c r="M193" s="8" t="str">
        <f t="array" ref="M193">IF(L193&gt;5,"Perlu Pengendalian",IF(AND(L193&gt;=0,I193&gt;0),"Tidak Perlu Pengendalian","Belum Sensus"))</f>
        <v>Belum Sensus</v>
      </c>
      <c r="N193" s="143">
        <f t="shared" si="38"/>
        <v>0</v>
      </c>
      <c r="O193" s="9">
        <f t="array" ref="O193">IFERROR(N193/I193*100,0)</f>
        <v>0</v>
      </c>
      <c r="P193" s="11"/>
      <c r="Q193" s="143"/>
      <c r="R193" s="9">
        <f t="shared" si="33"/>
        <v>0</v>
      </c>
      <c r="S193" s="143"/>
      <c r="T193" s="9">
        <f t="shared" si="30"/>
        <v>0</v>
      </c>
      <c r="U193" s="8" t="str">
        <f t="array" ref="U193">IF(T193&gt;5,"Perlu Pengendalian",IF(AND(T193&gt;=0,Q193&gt;0),"Tidak Perlu Pengendalian","Belum Sensus"))</f>
        <v>Belum Sensus</v>
      </c>
      <c r="V193" s="143"/>
      <c r="W193" s="9">
        <f t="array" ref="W193">IFERROR(V193/Q193*100,0)</f>
        <v>0</v>
      </c>
      <c r="X193" s="11"/>
      <c r="Y193" s="143">
        <v>0</v>
      </c>
      <c r="Z193" s="9">
        <f t="shared" si="34"/>
        <v>0</v>
      </c>
      <c r="AA193" s="143">
        <v>0</v>
      </c>
      <c r="AB193" s="9">
        <f t="shared" si="31"/>
        <v>0</v>
      </c>
      <c r="AC193" s="8" t="str">
        <f t="array" ref="AC193">IF(AB193&gt;5,"Perlu Pengendalian",IF(AND(AB193&gt;=0,Y193&gt;0),"Tidak Perlu Pengendalian","Belum Sensus"))</f>
        <v>Belum Sensus</v>
      </c>
      <c r="AD193" s="143">
        <v>0</v>
      </c>
      <c r="AE193" s="9">
        <f t="array" ref="AE193">IFERROR(AD193/Y193*100,0)</f>
        <v>0</v>
      </c>
      <c r="AG193" s="206">
        <v>0</v>
      </c>
      <c r="AH193" s="206">
        <v>2.25</v>
      </c>
      <c r="AI193" s="206">
        <v>3.3333333333333335</v>
      </c>
    </row>
    <row r="194" spans="1:35" outlineLevel="1" x14ac:dyDescent="0.15">
      <c r="A194" s="8" t="s">
        <v>949</v>
      </c>
      <c r="B194" s="8"/>
      <c r="C194" s="8" t="s">
        <v>345</v>
      </c>
      <c r="D194" s="8" t="s">
        <v>1286</v>
      </c>
      <c r="E194" s="9">
        <v>27.86</v>
      </c>
      <c r="F194" s="8" t="s">
        <v>469</v>
      </c>
      <c r="G194" s="10">
        <v>3857.9999999999995</v>
      </c>
      <c r="H194" s="11">
        <f t="shared" si="35"/>
        <v>0</v>
      </c>
      <c r="I194" s="143">
        <f t="shared" si="36"/>
        <v>0</v>
      </c>
      <c r="J194" s="9">
        <f t="array" ref="J194">IFERROR(I194/G194*100,0)</f>
        <v>0</v>
      </c>
      <c r="K194" s="143">
        <f t="shared" si="37"/>
        <v>0</v>
      </c>
      <c r="L194" s="9">
        <f t="shared" si="32"/>
        <v>0</v>
      </c>
      <c r="M194" s="8" t="str">
        <f t="array" ref="M194">IF(L194&gt;5,"Perlu Pengendalian",IF(AND(L194&gt;=0,I194&gt;0),"Tidak Perlu Pengendalian","Belum Sensus"))</f>
        <v>Belum Sensus</v>
      </c>
      <c r="N194" s="143">
        <f t="shared" si="38"/>
        <v>0</v>
      </c>
      <c r="O194" s="9">
        <f t="array" ref="O194">IFERROR(N194/I194*100,0)</f>
        <v>0</v>
      </c>
      <c r="P194" s="11"/>
      <c r="Q194" s="143"/>
      <c r="R194" s="9">
        <f t="shared" si="33"/>
        <v>0</v>
      </c>
      <c r="S194" s="143"/>
      <c r="T194" s="9">
        <f t="shared" si="30"/>
        <v>0</v>
      </c>
      <c r="U194" s="8" t="str">
        <f t="array" ref="U194">IF(T194&gt;5,"Perlu Pengendalian",IF(AND(T194&gt;=0,Q194&gt;0),"Tidak Perlu Pengendalian","Belum Sensus"))</f>
        <v>Belum Sensus</v>
      </c>
      <c r="V194" s="143"/>
      <c r="W194" s="9">
        <f t="array" ref="W194">IFERROR(V194/Q194*100,0)</f>
        <v>0</v>
      </c>
      <c r="X194" s="11"/>
      <c r="Y194" s="143">
        <v>0</v>
      </c>
      <c r="Z194" s="9">
        <f t="shared" si="34"/>
        <v>0</v>
      </c>
      <c r="AA194" s="143">
        <v>0</v>
      </c>
      <c r="AB194" s="9">
        <f t="shared" si="31"/>
        <v>0</v>
      </c>
      <c r="AC194" s="8" t="str">
        <f t="array" ref="AC194">IF(AB194&gt;5,"Perlu Pengendalian",IF(AND(AB194&gt;=0,Y194&gt;0),"Tidak Perlu Pengendalian","Belum Sensus"))</f>
        <v>Belum Sensus</v>
      </c>
      <c r="AD194" s="143">
        <v>0</v>
      </c>
      <c r="AE194" s="9">
        <f t="array" ref="AE194">IFERROR(AD194/Y194*100,0)</f>
        <v>0</v>
      </c>
      <c r="AG194" s="206">
        <v>0</v>
      </c>
      <c r="AH194" s="206">
        <v>2.8099999999999996</v>
      </c>
      <c r="AI194" s="206">
        <v>1.6666666666666667</v>
      </c>
    </row>
    <row r="195" spans="1:35" outlineLevel="1" x14ac:dyDescent="0.15">
      <c r="A195" s="8" t="s">
        <v>949</v>
      </c>
      <c r="B195" s="8"/>
      <c r="C195" s="8" t="s">
        <v>345</v>
      </c>
      <c r="D195" s="8" t="s">
        <v>1287</v>
      </c>
      <c r="E195" s="179">
        <v>28.42</v>
      </c>
      <c r="F195" s="8" t="s">
        <v>469</v>
      </c>
      <c r="G195" s="10">
        <v>3323</v>
      </c>
      <c r="H195" s="11">
        <f t="shared" si="35"/>
        <v>0</v>
      </c>
      <c r="I195" s="143">
        <f t="shared" si="36"/>
        <v>0</v>
      </c>
      <c r="J195" s="9">
        <f t="array" ref="J195">IFERROR(I195/G195*100,0)</f>
        <v>0</v>
      </c>
      <c r="K195" s="143">
        <f t="shared" si="37"/>
        <v>0</v>
      </c>
      <c r="L195" s="9">
        <f t="shared" si="32"/>
        <v>0</v>
      </c>
      <c r="M195" s="8" t="str">
        <f t="array" ref="M195">IF(L195&gt;5,"Perlu Pengendalian",IF(AND(L195&gt;=0,I195&gt;0),"Tidak Perlu Pengendalian","Belum Sensus"))</f>
        <v>Belum Sensus</v>
      </c>
      <c r="N195" s="143">
        <f t="shared" si="38"/>
        <v>0</v>
      </c>
      <c r="O195" s="9">
        <f t="array" ref="O195">IFERROR(N195/I195*100,0)</f>
        <v>0</v>
      </c>
      <c r="P195" s="11"/>
      <c r="Q195" s="143"/>
      <c r="R195" s="9">
        <f t="shared" si="33"/>
        <v>0</v>
      </c>
      <c r="S195" s="143"/>
      <c r="T195" s="9">
        <f t="shared" si="30"/>
        <v>0</v>
      </c>
      <c r="U195" s="8" t="str">
        <f t="array" ref="U195">IF(T195&gt;5,"Perlu Pengendalian",IF(AND(T195&gt;=0,Q195&gt;0),"Tidak Perlu Pengendalian","Belum Sensus"))</f>
        <v>Belum Sensus</v>
      </c>
      <c r="V195" s="143"/>
      <c r="W195" s="9">
        <f t="array" ref="W195">IFERROR(V195/Q195*100,0)</f>
        <v>0</v>
      </c>
      <c r="X195" s="11"/>
      <c r="Y195" s="143">
        <v>0</v>
      </c>
      <c r="Z195" s="9">
        <f t="shared" si="34"/>
        <v>0</v>
      </c>
      <c r="AA195" s="143">
        <v>0</v>
      </c>
      <c r="AB195" s="9">
        <f t="shared" si="31"/>
        <v>0</v>
      </c>
      <c r="AC195" s="8" t="str">
        <f t="array" ref="AC195">IF(AB195&gt;5,"Perlu Pengendalian",IF(AND(AB195&gt;=0,Y195&gt;0),"Tidak Perlu Pengendalian","Belum Sensus"))</f>
        <v>Belum Sensus</v>
      </c>
      <c r="AD195" s="143">
        <v>0</v>
      </c>
      <c r="AE195" s="9">
        <f t="array" ref="AE195">IFERROR(AD195/Y195*100,0)</f>
        <v>0</v>
      </c>
      <c r="AG195" s="206">
        <v>0</v>
      </c>
      <c r="AH195" s="206">
        <v>3.1099999999999994</v>
      </c>
      <c r="AI195" s="206">
        <v>2.5</v>
      </c>
    </row>
    <row r="196" spans="1:35" outlineLevel="1" x14ac:dyDescent="0.15">
      <c r="A196" s="8" t="s">
        <v>949</v>
      </c>
      <c r="B196" s="8"/>
      <c r="C196" s="8" t="s">
        <v>345</v>
      </c>
      <c r="D196" s="8" t="s">
        <v>1288</v>
      </c>
      <c r="E196" s="9">
        <v>31.259999999999998</v>
      </c>
      <c r="F196" s="8" t="s">
        <v>469</v>
      </c>
      <c r="G196" s="10">
        <v>3404</v>
      </c>
      <c r="H196" s="11">
        <f t="shared" si="35"/>
        <v>0</v>
      </c>
      <c r="I196" s="143">
        <f t="shared" si="36"/>
        <v>0</v>
      </c>
      <c r="J196" s="9">
        <f t="array" ref="J196">IFERROR(I196/G196*100,0)</f>
        <v>0</v>
      </c>
      <c r="K196" s="143">
        <f t="shared" si="37"/>
        <v>0</v>
      </c>
      <c r="L196" s="9">
        <f t="shared" si="32"/>
        <v>0</v>
      </c>
      <c r="M196" s="8" t="str">
        <f t="array" ref="M196">IF(L196&gt;5,"Perlu Pengendalian",IF(AND(L196&gt;=0,I196&gt;0),"Tidak Perlu Pengendalian","Belum Sensus"))</f>
        <v>Belum Sensus</v>
      </c>
      <c r="N196" s="143">
        <f t="shared" si="38"/>
        <v>0</v>
      </c>
      <c r="O196" s="9">
        <f t="array" ref="O196">IFERROR(N196/I196*100,0)</f>
        <v>0</v>
      </c>
      <c r="P196" s="11"/>
      <c r="Q196" s="143"/>
      <c r="R196" s="9">
        <f t="shared" si="33"/>
        <v>0</v>
      </c>
      <c r="S196" s="143"/>
      <c r="T196" s="9">
        <f t="shared" si="30"/>
        <v>0</v>
      </c>
      <c r="U196" s="8" t="str">
        <f t="array" ref="U196">IF(T196&gt;5,"Perlu Pengendalian",IF(AND(T196&gt;=0,Q196&gt;0),"Tidak Perlu Pengendalian","Belum Sensus"))</f>
        <v>Belum Sensus</v>
      </c>
      <c r="V196" s="143"/>
      <c r="W196" s="9">
        <f t="array" ref="W196">IFERROR(V196/Q196*100,0)</f>
        <v>0</v>
      </c>
      <c r="X196" s="11"/>
      <c r="Y196" s="143">
        <v>0</v>
      </c>
      <c r="Z196" s="9">
        <f t="shared" si="34"/>
        <v>0</v>
      </c>
      <c r="AA196" s="143">
        <v>0</v>
      </c>
      <c r="AB196" s="9">
        <f t="shared" si="31"/>
        <v>0</v>
      </c>
      <c r="AC196" s="8" t="str">
        <f t="array" ref="AC196">IF(AB196&gt;5,"Perlu Pengendalian",IF(AND(AB196&gt;=0,Y196&gt;0),"Tidak Perlu Pengendalian","Belum Sensus"))</f>
        <v>Belum Sensus</v>
      </c>
      <c r="AD196" s="143">
        <v>0</v>
      </c>
      <c r="AE196" s="9">
        <f t="array" ref="AE196">IFERROR(AD196/Y196*100,0)</f>
        <v>0</v>
      </c>
      <c r="AG196" s="206">
        <v>0</v>
      </c>
      <c r="AH196" s="206">
        <v>2.94</v>
      </c>
      <c r="AI196" s="206">
        <v>10.121457489878543</v>
      </c>
    </row>
    <row r="197" spans="1:35" outlineLevel="1" x14ac:dyDescent="0.15">
      <c r="A197" s="8" t="s">
        <v>949</v>
      </c>
      <c r="B197" s="8"/>
      <c r="C197" s="8" t="s">
        <v>345</v>
      </c>
      <c r="D197" s="8" t="s">
        <v>1289</v>
      </c>
      <c r="E197" s="9">
        <v>33.519999999999996</v>
      </c>
      <c r="F197" s="8" t="s">
        <v>469</v>
      </c>
      <c r="G197" s="10">
        <v>2225</v>
      </c>
      <c r="H197" s="11">
        <f t="shared" si="35"/>
        <v>0</v>
      </c>
      <c r="I197" s="143">
        <f t="shared" si="36"/>
        <v>0</v>
      </c>
      <c r="J197" s="9">
        <f t="array" ref="J197">IFERROR(I197/G197*100,0)</f>
        <v>0</v>
      </c>
      <c r="K197" s="143">
        <f t="shared" si="37"/>
        <v>0</v>
      </c>
      <c r="L197" s="9">
        <f t="shared" si="32"/>
        <v>0</v>
      </c>
      <c r="M197" s="8" t="str">
        <f t="array" ref="M197">IF(L197&gt;5,"Perlu Pengendalian",IF(AND(L197&gt;=0,I197&gt;0),"Tidak Perlu Pengendalian","Belum Sensus"))</f>
        <v>Belum Sensus</v>
      </c>
      <c r="N197" s="143">
        <f t="shared" si="38"/>
        <v>0</v>
      </c>
      <c r="O197" s="9">
        <f t="array" ref="O197">IFERROR(N197/I197*100,0)</f>
        <v>0</v>
      </c>
      <c r="P197" s="11"/>
      <c r="Q197" s="143"/>
      <c r="R197" s="9">
        <f t="shared" si="33"/>
        <v>0</v>
      </c>
      <c r="S197" s="143"/>
      <c r="T197" s="9">
        <f t="shared" si="30"/>
        <v>0</v>
      </c>
      <c r="U197" s="8" t="str">
        <f t="array" ref="U197">IF(T197&gt;5,"Perlu Pengendalian",IF(AND(T197&gt;=0,Q197&gt;0),"Tidak Perlu Pengendalian","Belum Sensus"))</f>
        <v>Belum Sensus</v>
      </c>
      <c r="V197" s="143"/>
      <c r="W197" s="9">
        <f t="array" ref="W197">IFERROR(V197/Q197*100,0)</f>
        <v>0</v>
      </c>
      <c r="X197" s="11"/>
      <c r="Y197" s="143">
        <v>0</v>
      </c>
      <c r="Z197" s="9">
        <f t="shared" si="34"/>
        <v>0</v>
      </c>
      <c r="AA197" s="143">
        <v>0</v>
      </c>
      <c r="AB197" s="9">
        <f t="shared" si="31"/>
        <v>0</v>
      </c>
      <c r="AC197" s="8" t="str">
        <f t="array" ref="AC197">IF(AB197&gt;5,"Perlu Pengendalian",IF(AND(AB197&gt;=0,Y197&gt;0),"Tidak Perlu Pengendalian","Belum Sensus"))</f>
        <v>Belum Sensus</v>
      </c>
      <c r="AD197" s="143">
        <v>0</v>
      </c>
      <c r="AE197" s="9">
        <f t="array" ref="AE197">IFERROR(AD197/Y197*100,0)</f>
        <v>0</v>
      </c>
      <c r="AG197" s="206">
        <v>0</v>
      </c>
      <c r="AH197" s="206">
        <v>1.72</v>
      </c>
      <c r="AI197" s="206">
        <v>2.8688524590163933</v>
      </c>
    </row>
    <row r="198" spans="1:35" outlineLevel="1" x14ac:dyDescent="0.15">
      <c r="A198" s="8" t="s">
        <v>949</v>
      </c>
      <c r="B198" s="8"/>
      <c r="C198" s="8" t="s">
        <v>345</v>
      </c>
      <c r="D198" s="8" t="s">
        <v>1815</v>
      </c>
      <c r="E198" s="9">
        <v>28.240000000000002</v>
      </c>
      <c r="F198" s="8" t="s">
        <v>469</v>
      </c>
      <c r="G198" s="10">
        <v>3598</v>
      </c>
      <c r="H198" s="11">
        <f t="shared" si="35"/>
        <v>0</v>
      </c>
      <c r="I198" s="143">
        <f t="shared" si="36"/>
        <v>0</v>
      </c>
      <c r="J198" s="9">
        <f t="array" ref="J198">IFERROR(I198/G198*100,0)</f>
        <v>0</v>
      </c>
      <c r="K198" s="143">
        <f t="shared" si="37"/>
        <v>0</v>
      </c>
      <c r="L198" s="9">
        <f t="shared" si="32"/>
        <v>0</v>
      </c>
      <c r="M198" s="8" t="str">
        <f t="array" ref="M198">IF(L198&gt;5,"Perlu Pengendalian",IF(AND(L198&gt;=0,I198&gt;0),"Tidak Perlu Pengendalian","Belum Sensus"))</f>
        <v>Belum Sensus</v>
      </c>
      <c r="N198" s="143">
        <f t="shared" si="38"/>
        <v>0</v>
      </c>
      <c r="O198" s="9">
        <f t="array" ref="O198">IFERROR(N198/I198*100,0)</f>
        <v>0</v>
      </c>
      <c r="P198" s="11"/>
      <c r="Q198" s="143"/>
      <c r="R198" s="9">
        <f t="shared" si="33"/>
        <v>0</v>
      </c>
      <c r="S198" s="143"/>
      <c r="T198" s="9">
        <f t="shared" ref="T198:T215" si="39">IFERROR(S198/Q198*100,0)</f>
        <v>0</v>
      </c>
      <c r="U198" s="8" t="str">
        <f t="array" ref="U198">IF(T198&gt;5,"Perlu Pengendalian",IF(AND(T198&gt;=0,Q198&gt;0),"Tidak Perlu Pengendalian","Belum Sensus"))</f>
        <v>Belum Sensus</v>
      </c>
      <c r="V198" s="143"/>
      <c r="W198" s="9">
        <f t="array" ref="W198">IFERROR(V198/Q198*100,0)</f>
        <v>0</v>
      </c>
      <c r="X198" s="11"/>
      <c r="Y198" s="143">
        <v>0</v>
      </c>
      <c r="Z198" s="9">
        <f t="shared" si="34"/>
        <v>0</v>
      </c>
      <c r="AA198" s="143">
        <v>0</v>
      </c>
      <c r="AB198" s="9">
        <f t="shared" ref="AB198:AB215" si="40">IFERROR(AA198/Y198*100,0)</f>
        <v>0</v>
      </c>
      <c r="AC198" s="8" t="str">
        <f t="array" ref="AC198">IF(AB198&gt;5,"Perlu Pengendalian",IF(AND(AB198&gt;=0,Y198&gt;0),"Tidak Perlu Pengendalian","Belum Sensus"))</f>
        <v>Belum Sensus</v>
      </c>
      <c r="AD198" s="143">
        <v>0</v>
      </c>
      <c r="AE198" s="9">
        <f t="array" ref="AE198">IFERROR(AD198/Y198*100,0)</f>
        <v>0</v>
      </c>
      <c r="AG198" s="206">
        <v>0</v>
      </c>
      <c r="AH198" s="206">
        <v>1.77</v>
      </c>
      <c r="AI198" s="206">
        <v>5</v>
      </c>
    </row>
    <row r="199" spans="1:35" outlineLevel="1" x14ac:dyDescent="0.15">
      <c r="A199" s="8" t="s">
        <v>949</v>
      </c>
      <c r="B199" s="8"/>
      <c r="C199" s="8" t="s">
        <v>345</v>
      </c>
      <c r="D199" s="8" t="s">
        <v>1816</v>
      </c>
      <c r="E199" s="9">
        <v>26.799999999999997</v>
      </c>
      <c r="F199" s="8" t="s">
        <v>469</v>
      </c>
      <c r="G199" s="10">
        <v>2285</v>
      </c>
      <c r="H199" s="11">
        <f t="shared" si="35"/>
        <v>0</v>
      </c>
      <c r="I199" s="143">
        <f t="shared" si="36"/>
        <v>0</v>
      </c>
      <c r="J199" s="9">
        <f t="array" ref="J199">IFERROR(I199/G199*100,0)</f>
        <v>0</v>
      </c>
      <c r="K199" s="143">
        <f t="shared" si="37"/>
        <v>0</v>
      </c>
      <c r="L199" s="9">
        <f t="shared" ref="L199:L215" si="41">IFERROR(K199/I199*100,0)</f>
        <v>0</v>
      </c>
      <c r="M199" s="8" t="str">
        <f t="array" ref="M199">IF(L199&gt;5,"Perlu Pengendalian",IF(AND(L199&gt;=0,I199&gt;0),"Tidak Perlu Pengendalian","Belum Sensus"))</f>
        <v>Belum Sensus</v>
      </c>
      <c r="N199" s="143">
        <f t="shared" si="38"/>
        <v>0</v>
      </c>
      <c r="O199" s="9">
        <f t="array" ref="O199">IFERROR(N199/I199*100,0)</f>
        <v>0</v>
      </c>
      <c r="P199" s="11"/>
      <c r="Q199" s="143"/>
      <c r="R199" s="9">
        <f t="shared" ref="R199:R215" si="42">IFERROR(Q199/G199*100,0)</f>
        <v>0</v>
      </c>
      <c r="S199" s="143"/>
      <c r="T199" s="9">
        <f t="shared" si="39"/>
        <v>0</v>
      </c>
      <c r="U199" s="8" t="str">
        <f t="array" ref="U199">IF(T199&gt;5,"Perlu Pengendalian",IF(AND(T199&gt;=0,Q199&gt;0),"Tidak Perlu Pengendalian","Belum Sensus"))</f>
        <v>Belum Sensus</v>
      </c>
      <c r="V199" s="143"/>
      <c r="W199" s="9">
        <f t="array" ref="W199">IFERROR(V199/Q199*100,0)</f>
        <v>0</v>
      </c>
      <c r="X199" s="11"/>
      <c r="Y199" s="143">
        <v>0</v>
      </c>
      <c r="Z199" s="9">
        <f t="shared" ref="Z199:Z215" si="43">IFERROR(Y199/G199*100,0)</f>
        <v>0</v>
      </c>
      <c r="AA199" s="143">
        <v>0</v>
      </c>
      <c r="AB199" s="9">
        <f t="shared" si="40"/>
        <v>0</v>
      </c>
      <c r="AC199" s="8" t="str">
        <f t="array" ref="AC199">IF(AB199&gt;5,"Perlu Pengendalian",IF(AND(AB199&gt;=0,Y199&gt;0),"Tidak Perlu Pengendalian","Belum Sensus"))</f>
        <v>Belum Sensus</v>
      </c>
      <c r="AD199" s="143">
        <v>0</v>
      </c>
      <c r="AE199" s="9">
        <f t="array" ref="AE199">IFERROR(AD199/Y199*100,0)</f>
        <v>0</v>
      </c>
      <c r="AG199" s="206">
        <v>0</v>
      </c>
      <c r="AH199" s="206">
        <v>4.1180000000000003</v>
      </c>
      <c r="AI199" s="206">
        <v>6.666666666666667</v>
      </c>
    </row>
    <row r="200" spans="1:35" outlineLevel="1" x14ac:dyDescent="0.15">
      <c r="A200" s="8" t="s">
        <v>949</v>
      </c>
      <c r="B200" s="8"/>
      <c r="C200" s="8" t="s">
        <v>345</v>
      </c>
      <c r="D200" s="8" t="s">
        <v>1041</v>
      </c>
      <c r="E200" s="9">
        <v>33.68</v>
      </c>
      <c r="F200" s="8" t="s">
        <v>469</v>
      </c>
      <c r="G200" s="10">
        <v>4048</v>
      </c>
      <c r="H200" s="11">
        <f t="shared" si="35"/>
        <v>0</v>
      </c>
      <c r="I200" s="143">
        <f t="shared" si="36"/>
        <v>0</v>
      </c>
      <c r="J200" s="9">
        <f t="array" ref="J200">IFERROR(I200/G200*100,0)</f>
        <v>0</v>
      </c>
      <c r="K200" s="143">
        <f t="shared" si="37"/>
        <v>0</v>
      </c>
      <c r="L200" s="9">
        <f t="shared" si="41"/>
        <v>0</v>
      </c>
      <c r="M200" s="8" t="str">
        <f t="array" ref="M200">IF(L200&gt;5,"Perlu Pengendalian",IF(AND(L200&gt;=0,I200&gt;0),"Tidak Perlu Pengendalian","Belum Sensus"))</f>
        <v>Belum Sensus</v>
      </c>
      <c r="N200" s="143">
        <f t="shared" si="38"/>
        <v>0</v>
      </c>
      <c r="O200" s="9">
        <f t="array" ref="O200">IFERROR(N200/I200*100,0)</f>
        <v>0</v>
      </c>
      <c r="P200" s="11"/>
      <c r="Q200" s="143"/>
      <c r="R200" s="9">
        <f t="shared" si="42"/>
        <v>0</v>
      </c>
      <c r="S200" s="143"/>
      <c r="T200" s="9">
        <f t="shared" si="39"/>
        <v>0</v>
      </c>
      <c r="U200" s="8" t="str">
        <f t="array" ref="U200">IF(T200&gt;5,"Perlu Pengendalian",IF(AND(T200&gt;=0,Q200&gt;0),"Tidak Perlu Pengendalian","Belum Sensus"))</f>
        <v>Belum Sensus</v>
      </c>
      <c r="V200" s="143"/>
      <c r="W200" s="9">
        <f t="array" ref="W200">IFERROR(V200/Q200*100,0)</f>
        <v>0</v>
      </c>
      <c r="X200" s="11"/>
      <c r="Y200" s="143">
        <v>0</v>
      </c>
      <c r="Z200" s="9">
        <f t="shared" si="43"/>
        <v>0</v>
      </c>
      <c r="AA200" s="143">
        <v>0</v>
      </c>
      <c r="AB200" s="9">
        <f t="shared" si="40"/>
        <v>0</v>
      </c>
      <c r="AC200" s="8" t="str">
        <f t="array" ref="AC200">IF(AB200&gt;5,"Perlu Pengendalian",IF(AND(AB200&gt;=0,Y200&gt;0),"Tidak Perlu Pengendalian","Belum Sensus"))</f>
        <v>Belum Sensus</v>
      </c>
      <c r="AD200" s="143">
        <v>0</v>
      </c>
      <c r="AE200" s="9">
        <f t="array" ref="AE200">IFERROR(AD200/Y200*100,0)</f>
        <v>0</v>
      </c>
      <c r="AG200" s="206">
        <v>0</v>
      </c>
      <c r="AH200" s="206">
        <v>2.2900000000000005</v>
      </c>
      <c r="AI200" s="206">
        <v>0</v>
      </c>
    </row>
    <row r="201" spans="1:35" outlineLevel="1" x14ac:dyDescent="0.15">
      <c r="A201" s="8" t="s">
        <v>949</v>
      </c>
      <c r="B201" s="8"/>
      <c r="C201" s="8" t="s">
        <v>345</v>
      </c>
      <c r="D201" s="8" t="s">
        <v>1296</v>
      </c>
      <c r="E201" s="9">
        <v>27.35</v>
      </c>
      <c r="F201" s="8" t="s">
        <v>469</v>
      </c>
      <c r="G201" s="10">
        <v>2878</v>
      </c>
      <c r="H201" s="11">
        <f t="shared" si="35"/>
        <v>0</v>
      </c>
      <c r="I201" s="143">
        <f t="shared" si="36"/>
        <v>0</v>
      </c>
      <c r="J201" s="9">
        <f t="array" ref="J201">IFERROR(I201/G201*100,0)</f>
        <v>0</v>
      </c>
      <c r="K201" s="143">
        <f t="shared" si="37"/>
        <v>0</v>
      </c>
      <c r="L201" s="9">
        <f t="shared" si="41"/>
        <v>0</v>
      </c>
      <c r="M201" s="8" t="str">
        <f t="array" ref="M201">IF(L201&gt;5,"Perlu Pengendalian",IF(AND(L201&gt;=0,I201&gt;0),"Tidak Perlu Pengendalian","Belum Sensus"))</f>
        <v>Belum Sensus</v>
      </c>
      <c r="N201" s="143">
        <f t="shared" si="38"/>
        <v>0</v>
      </c>
      <c r="O201" s="9">
        <f t="array" ref="O201">IFERROR(N201/I201*100,0)</f>
        <v>0</v>
      </c>
      <c r="P201" s="11"/>
      <c r="Q201" s="143"/>
      <c r="R201" s="9">
        <f t="shared" si="42"/>
        <v>0</v>
      </c>
      <c r="S201" s="143"/>
      <c r="T201" s="9">
        <f t="shared" si="39"/>
        <v>0</v>
      </c>
      <c r="U201" s="8" t="str">
        <f t="array" ref="U201">IF(T201&gt;5,"Perlu Pengendalian",IF(AND(T201&gt;=0,Q201&gt;0),"Tidak Perlu Pengendalian","Belum Sensus"))</f>
        <v>Belum Sensus</v>
      </c>
      <c r="V201" s="143"/>
      <c r="W201" s="9">
        <f t="array" ref="W201">IFERROR(V201/Q201*100,0)</f>
        <v>0</v>
      </c>
      <c r="X201" s="11"/>
      <c r="Y201" s="143">
        <v>0</v>
      </c>
      <c r="Z201" s="9">
        <f t="shared" si="43"/>
        <v>0</v>
      </c>
      <c r="AA201" s="143">
        <v>0</v>
      </c>
      <c r="AB201" s="9">
        <f t="shared" si="40"/>
        <v>0</v>
      </c>
      <c r="AC201" s="8" t="str">
        <f t="array" ref="AC201">IF(AB201&gt;5,"Perlu Pengendalian",IF(AND(AB201&gt;=0,Y201&gt;0),"Tidak Perlu Pengendalian","Belum Sensus"))</f>
        <v>Belum Sensus</v>
      </c>
      <c r="AD201" s="143">
        <v>0</v>
      </c>
      <c r="AE201" s="9">
        <f t="array" ref="AE201">IFERROR(AD201/Y201*100,0)</f>
        <v>0</v>
      </c>
      <c r="AG201" s="206">
        <v>0</v>
      </c>
      <c r="AH201" s="206">
        <v>1.82</v>
      </c>
      <c r="AI201" s="206">
        <v>7.8260869565217401</v>
      </c>
    </row>
    <row r="202" spans="1:35" outlineLevel="1" x14ac:dyDescent="0.15">
      <c r="A202" s="8" t="s">
        <v>949</v>
      </c>
      <c r="B202" s="8"/>
      <c r="C202" s="8" t="s">
        <v>345</v>
      </c>
      <c r="D202" s="8" t="s">
        <v>1340</v>
      </c>
      <c r="E202" s="9">
        <v>19.78</v>
      </c>
      <c r="F202" s="8" t="s">
        <v>469</v>
      </c>
      <c r="G202" s="10">
        <v>2026</v>
      </c>
      <c r="H202" s="11">
        <f t="shared" si="35"/>
        <v>0</v>
      </c>
      <c r="I202" s="143">
        <f t="shared" si="36"/>
        <v>0</v>
      </c>
      <c r="J202" s="9">
        <f t="array" ref="J202">IFERROR(I202/G202*100,0)</f>
        <v>0</v>
      </c>
      <c r="K202" s="143">
        <f t="shared" si="37"/>
        <v>0</v>
      </c>
      <c r="L202" s="9">
        <f t="shared" si="41"/>
        <v>0</v>
      </c>
      <c r="M202" s="8" t="str">
        <f t="array" ref="M202">IF(L202&gt;5,"Perlu Pengendalian",IF(AND(L202&gt;=0,I202&gt;0),"Tidak Perlu Pengendalian","Belum Sensus"))</f>
        <v>Belum Sensus</v>
      </c>
      <c r="N202" s="143">
        <f t="shared" si="38"/>
        <v>0</v>
      </c>
      <c r="O202" s="9">
        <f t="array" ref="O202">IFERROR(N202/I202*100,0)</f>
        <v>0</v>
      </c>
      <c r="P202" s="11"/>
      <c r="Q202" s="143"/>
      <c r="R202" s="9">
        <f t="shared" si="42"/>
        <v>0</v>
      </c>
      <c r="S202" s="143"/>
      <c r="T202" s="9">
        <f t="shared" si="39"/>
        <v>0</v>
      </c>
      <c r="U202" s="8" t="str">
        <f t="array" ref="U202">IF(T202&gt;5,"Perlu Pengendalian",IF(AND(T202&gt;=0,Q202&gt;0),"Tidak Perlu Pengendalian","Belum Sensus"))</f>
        <v>Belum Sensus</v>
      </c>
      <c r="V202" s="143"/>
      <c r="W202" s="9">
        <f t="array" ref="W202">IFERROR(V202/Q202*100,0)</f>
        <v>0</v>
      </c>
      <c r="X202" s="11"/>
      <c r="Y202" s="143">
        <v>0</v>
      </c>
      <c r="Z202" s="9">
        <f t="shared" si="43"/>
        <v>0</v>
      </c>
      <c r="AA202" s="143">
        <v>0</v>
      </c>
      <c r="AB202" s="9">
        <f t="shared" si="40"/>
        <v>0</v>
      </c>
      <c r="AC202" s="8" t="str">
        <f t="array" ref="AC202">IF(AB202&gt;5,"Perlu Pengendalian",IF(AND(AB202&gt;=0,Y202&gt;0),"Tidak Perlu Pengendalian","Belum Sensus"))</f>
        <v>Belum Sensus</v>
      </c>
      <c r="AD202" s="143">
        <v>0</v>
      </c>
      <c r="AE202" s="9">
        <f t="array" ref="AE202">IFERROR(AD202/Y202*100,0)</f>
        <v>0</v>
      </c>
      <c r="AG202" s="206">
        <v>0</v>
      </c>
      <c r="AH202" s="206">
        <v>2.9100000000000006</v>
      </c>
      <c r="AI202" s="206">
        <v>0</v>
      </c>
    </row>
    <row r="203" spans="1:35" outlineLevel="1" x14ac:dyDescent="0.15">
      <c r="A203" s="8" t="s">
        <v>949</v>
      </c>
      <c r="B203" s="8"/>
      <c r="C203" s="8" t="s">
        <v>380</v>
      </c>
      <c r="D203" s="8" t="s">
        <v>1817</v>
      </c>
      <c r="E203" s="180">
        <v>47.690000000000005</v>
      </c>
      <c r="F203" s="8" t="s">
        <v>469</v>
      </c>
      <c r="G203" s="10">
        <v>1032</v>
      </c>
      <c r="H203" s="11">
        <f t="shared" si="35"/>
        <v>0</v>
      </c>
      <c r="I203" s="143">
        <f t="shared" si="36"/>
        <v>0</v>
      </c>
      <c r="J203" s="9">
        <f t="array" ref="J203">IFERROR(I203/G203*100,0)</f>
        <v>0</v>
      </c>
      <c r="K203" s="143">
        <f t="shared" si="37"/>
        <v>0</v>
      </c>
      <c r="L203" s="9">
        <f t="shared" si="41"/>
        <v>0</v>
      </c>
      <c r="M203" s="8" t="str">
        <f t="array" ref="M203">IF(L203&gt;5,"Perlu Pengendalian",IF(AND(L203&gt;=0,I203&gt;0),"Tidak Perlu Pengendalian","Belum Sensus"))</f>
        <v>Belum Sensus</v>
      </c>
      <c r="N203" s="143">
        <f t="shared" si="38"/>
        <v>0</v>
      </c>
      <c r="O203" s="9">
        <f t="array" ref="O203">IFERROR(N203/I203*100,0)</f>
        <v>0</v>
      </c>
      <c r="P203" s="11"/>
      <c r="Q203" s="143"/>
      <c r="R203" s="9">
        <f t="shared" si="42"/>
        <v>0</v>
      </c>
      <c r="S203" s="143"/>
      <c r="T203" s="9">
        <f t="shared" si="39"/>
        <v>0</v>
      </c>
      <c r="U203" s="8" t="str">
        <f t="array" ref="U203">IF(T203&gt;5,"Perlu Pengendalian",IF(AND(T203&gt;=0,Q203&gt;0),"Tidak Perlu Pengendalian","Belum Sensus"))</f>
        <v>Belum Sensus</v>
      </c>
      <c r="V203" s="143"/>
      <c r="W203" s="9">
        <f t="array" ref="W203">IFERROR(V203/Q203*100,0)</f>
        <v>0</v>
      </c>
      <c r="X203" s="11"/>
      <c r="Y203" s="143">
        <v>0</v>
      </c>
      <c r="Z203" s="9">
        <f t="shared" si="43"/>
        <v>0</v>
      </c>
      <c r="AA203" s="143">
        <v>0</v>
      </c>
      <c r="AB203" s="9">
        <f t="shared" si="40"/>
        <v>0</v>
      </c>
      <c r="AC203" s="8" t="str">
        <f t="array" ref="AC203">IF(AB203&gt;5,"Perlu Pengendalian",IF(AND(AB203&gt;=0,Y203&gt;0),"Tidak Perlu Pengendalian","Belum Sensus"))</f>
        <v>Belum Sensus</v>
      </c>
      <c r="AD203" s="143">
        <v>0</v>
      </c>
      <c r="AE203" s="9">
        <f t="array" ref="AE203">IFERROR(AD203/Y203*100,0)</f>
        <v>0</v>
      </c>
      <c r="AG203" s="206">
        <v>0.51282051282051277</v>
      </c>
      <c r="AH203" s="206">
        <v>4.1120000000000001</v>
      </c>
      <c r="AI203" s="206">
        <v>0</v>
      </c>
    </row>
    <row r="204" spans="1:35" outlineLevel="1" x14ac:dyDescent="0.15">
      <c r="A204" s="8" t="s">
        <v>949</v>
      </c>
      <c r="B204" s="8"/>
      <c r="C204" s="8" t="s">
        <v>380</v>
      </c>
      <c r="D204" s="8" t="s">
        <v>1818</v>
      </c>
      <c r="E204" s="9">
        <v>40.35</v>
      </c>
      <c r="F204" s="8" t="s">
        <v>469</v>
      </c>
      <c r="G204" s="10">
        <v>3490</v>
      </c>
      <c r="H204" s="11">
        <f t="shared" si="35"/>
        <v>0</v>
      </c>
      <c r="I204" s="143">
        <f t="shared" si="36"/>
        <v>0</v>
      </c>
      <c r="J204" s="9">
        <f t="array" ref="J204">IFERROR(I204/G204*100,0)</f>
        <v>0</v>
      </c>
      <c r="K204" s="143">
        <f t="shared" si="37"/>
        <v>0</v>
      </c>
      <c r="L204" s="9">
        <f t="shared" si="41"/>
        <v>0</v>
      </c>
      <c r="M204" s="8" t="str">
        <f t="array" ref="M204">IF(L204&gt;5,"Perlu Pengendalian",IF(AND(L204&gt;=0,I204&gt;0),"Tidak Perlu Pengendalian","Belum Sensus"))</f>
        <v>Belum Sensus</v>
      </c>
      <c r="N204" s="143">
        <f t="shared" si="38"/>
        <v>0</v>
      </c>
      <c r="O204" s="9">
        <f t="array" ref="O204">IFERROR(N204/I204*100,0)</f>
        <v>0</v>
      </c>
      <c r="P204" s="11"/>
      <c r="Q204" s="143"/>
      <c r="R204" s="9">
        <f t="shared" si="42"/>
        <v>0</v>
      </c>
      <c r="S204" s="143"/>
      <c r="T204" s="9">
        <f t="shared" si="39"/>
        <v>0</v>
      </c>
      <c r="U204" s="8" t="str">
        <f t="array" ref="U204">IF(T204&gt;5,"Perlu Pengendalian",IF(AND(T204&gt;=0,Q204&gt;0),"Tidak Perlu Pengendalian","Belum Sensus"))</f>
        <v>Belum Sensus</v>
      </c>
      <c r="V204" s="143"/>
      <c r="W204" s="9">
        <f t="array" ref="W204">IFERROR(V204/Q204*100,0)</f>
        <v>0</v>
      </c>
      <c r="X204" s="11"/>
      <c r="Y204" s="143">
        <v>0</v>
      </c>
      <c r="Z204" s="9">
        <f t="shared" si="43"/>
        <v>0</v>
      </c>
      <c r="AA204" s="143">
        <v>0</v>
      </c>
      <c r="AB204" s="9">
        <f t="shared" si="40"/>
        <v>0</v>
      </c>
      <c r="AC204" s="8" t="str">
        <f t="array" ref="AC204">IF(AB204&gt;5,"Perlu Pengendalian",IF(AND(AB204&gt;=0,Y204&gt;0),"Tidak Perlu Pengendalian","Belum Sensus"))</f>
        <v>Belum Sensus</v>
      </c>
      <c r="AD204" s="143">
        <v>0</v>
      </c>
      <c r="AE204" s="9">
        <f t="array" ref="AE204">IFERROR(AD204/Y204*100,0)</f>
        <v>0</v>
      </c>
      <c r="AG204" s="206">
        <v>0</v>
      </c>
      <c r="AH204" s="206">
        <v>3.34</v>
      </c>
      <c r="AI204" s="206">
        <v>0</v>
      </c>
    </row>
    <row r="205" spans="1:35" outlineLevel="1" x14ac:dyDescent="0.15">
      <c r="A205" s="8" t="s">
        <v>949</v>
      </c>
      <c r="B205" s="8"/>
      <c r="C205" s="8" t="s">
        <v>380</v>
      </c>
      <c r="D205" s="8" t="s">
        <v>1819</v>
      </c>
      <c r="E205" s="179">
        <v>34.070000000000007</v>
      </c>
      <c r="F205" s="8" t="s">
        <v>469</v>
      </c>
      <c r="G205" s="10">
        <v>3606</v>
      </c>
      <c r="H205" s="11">
        <f t="shared" si="35"/>
        <v>0</v>
      </c>
      <c r="I205" s="143">
        <f t="shared" si="36"/>
        <v>0</v>
      </c>
      <c r="J205" s="9">
        <f t="array" ref="J205">IFERROR(I205/G205*100,0)</f>
        <v>0</v>
      </c>
      <c r="K205" s="143">
        <f t="shared" si="37"/>
        <v>0</v>
      </c>
      <c r="L205" s="9">
        <f t="shared" si="41"/>
        <v>0</v>
      </c>
      <c r="M205" s="8" t="str">
        <f t="array" ref="M205">IF(L205&gt;5,"Perlu Pengendalian",IF(AND(L205&gt;=0,I205&gt;0),"Tidak Perlu Pengendalian","Belum Sensus"))</f>
        <v>Belum Sensus</v>
      </c>
      <c r="N205" s="143">
        <f t="shared" si="38"/>
        <v>0</v>
      </c>
      <c r="O205" s="9">
        <f t="array" ref="O205">IFERROR(N205/I205*100,0)</f>
        <v>0</v>
      </c>
      <c r="P205" s="11"/>
      <c r="Q205" s="143"/>
      <c r="R205" s="9">
        <f t="shared" si="42"/>
        <v>0</v>
      </c>
      <c r="S205" s="143"/>
      <c r="T205" s="9">
        <f t="shared" si="39"/>
        <v>0</v>
      </c>
      <c r="U205" s="8" t="str">
        <f t="array" ref="U205">IF(T205&gt;5,"Perlu Pengendalian",IF(AND(T205&gt;=0,Q205&gt;0),"Tidak Perlu Pengendalian","Belum Sensus"))</f>
        <v>Belum Sensus</v>
      </c>
      <c r="V205" s="143"/>
      <c r="W205" s="9">
        <f t="array" ref="W205">IFERROR(V205/Q205*100,0)</f>
        <v>0</v>
      </c>
      <c r="X205" s="11"/>
      <c r="Y205" s="143">
        <v>0</v>
      </c>
      <c r="Z205" s="9">
        <f t="shared" si="43"/>
        <v>0</v>
      </c>
      <c r="AA205" s="143">
        <v>0</v>
      </c>
      <c r="AB205" s="9">
        <f t="shared" si="40"/>
        <v>0</v>
      </c>
      <c r="AC205" s="8" t="str">
        <f t="array" ref="AC205">IF(AB205&gt;5,"Perlu Pengendalian",IF(AND(AB205&gt;=0,Y205&gt;0),"Tidak Perlu Pengendalian","Belum Sensus"))</f>
        <v>Belum Sensus</v>
      </c>
      <c r="AD205" s="143">
        <v>0</v>
      </c>
      <c r="AE205" s="9">
        <f t="array" ref="AE205">IFERROR(AD205/Y205*100,0)</f>
        <v>0</v>
      </c>
      <c r="AG205" s="206">
        <v>1.2820512820512819</v>
      </c>
      <c r="AH205" s="206">
        <v>2.21</v>
      </c>
      <c r="AI205" s="206">
        <v>0</v>
      </c>
    </row>
    <row r="206" spans="1:35" outlineLevel="1" x14ac:dyDescent="0.15">
      <c r="A206" s="8" t="s">
        <v>949</v>
      </c>
      <c r="B206" s="8"/>
      <c r="C206" s="8" t="s">
        <v>380</v>
      </c>
      <c r="D206" s="215" t="s">
        <v>1820</v>
      </c>
      <c r="E206" s="179">
        <v>33.839999999999996</v>
      </c>
      <c r="F206" s="8" t="s">
        <v>469</v>
      </c>
      <c r="G206" s="10">
        <v>3005</v>
      </c>
      <c r="H206" s="11">
        <f t="shared" si="35"/>
        <v>0</v>
      </c>
      <c r="I206" s="143">
        <f t="shared" si="36"/>
        <v>0</v>
      </c>
      <c r="J206" s="9">
        <f t="array" ref="J206">IFERROR(I206/G206*100,0)</f>
        <v>0</v>
      </c>
      <c r="K206" s="143">
        <f t="shared" si="37"/>
        <v>0</v>
      </c>
      <c r="L206" s="9">
        <f t="shared" si="41"/>
        <v>0</v>
      </c>
      <c r="M206" s="8" t="str">
        <f t="array" ref="M206">IF(L206&gt;5,"Perlu Pengendalian",IF(AND(L206&gt;=0,I206&gt;0),"Tidak Perlu Pengendalian","Belum Sensus"))</f>
        <v>Belum Sensus</v>
      </c>
      <c r="N206" s="143">
        <f t="shared" si="38"/>
        <v>0</v>
      </c>
      <c r="O206" s="9">
        <f t="array" ref="O206">IFERROR(N206/I206*100,0)</f>
        <v>0</v>
      </c>
      <c r="P206" s="11"/>
      <c r="Q206" s="143"/>
      <c r="R206" s="9">
        <f t="shared" si="42"/>
        <v>0</v>
      </c>
      <c r="S206" s="143"/>
      <c r="T206" s="9">
        <f t="shared" si="39"/>
        <v>0</v>
      </c>
      <c r="U206" s="8" t="str">
        <f t="array" ref="U206">IF(T206&gt;5,"Perlu Pengendalian",IF(AND(T206&gt;=0,Q206&gt;0),"Tidak Perlu Pengendalian","Belum Sensus"))</f>
        <v>Belum Sensus</v>
      </c>
      <c r="V206" s="143"/>
      <c r="W206" s="9">
        <f t="array" ref="W206">IFERROR(V206/Q206*100,0)</f>
        <v>0</v>
      </c>
      <c r="X206" s="11"/>
      <c r="Y206" s="143">
        <v>0</v>
      </c>
      <c r="Z206" s="9">
        <f t="shared" si="43"/>
        <v>0</v>
      </c>
      <c r="AA206" s="143">
        <v>0</v>
      </c>
      <c r="AB206" s="9">
        <f t="shared" si="40"/>
        <v>0</v>
      </c>
      <c r="AC206" s="8" t="str">
        <f t="array" ref="AC206">IF(AB206&gt;5,"Perlu Pengendalian",IF(AND(AB206&gt;=0,Y206&gt;0),"Tidak Perlu Pengendalian","Belum Sensus"))</f>
        <v>Belum Sensus</v>
      </c>
      <c r="AD206" s="143">
        <v>0</v>
      </c>
      <c r="AE206" s="9">
        <f t="array" ref="AE206">IFERROR(AD206/Y206*100,0)</f>
        <v>0</v>
      </c>
      <c r="AG206" s="206">
        <v>33.333333333333329</v>
      </c>
      <c r="AH206" s="206">
        <v>1.1599999999999999</v>
      </c>
      <c r="AI206" s="206">
        <v>0</v>
      </c>
    </row>
    <row r="207" spans="1:35" outlineLevel="1" x14ac:dyDescent="0.15">
      <c r="A207" s="8" t="s">
        <v>949</v>
      </c>
      <c r="B207" s="8"/>
      <c r="C207" s="8" t="s">
        <v>380</v>
      </c>
      <c r="D207" s="8" t="s">
        <v>1364</v>
      </c>
      <c r="E207" s="9">
        <v>34.28</v>
      </c>
      <c r="F207" s="8" t="s">
        <v>469</v>
      </c>
      <c r="G207" s="10">
        <v>4249</v>
      </c>
      <c r="H207" s="11">
        <f t="shared" si="35"/>
        <v>0</v>
      </c>
      <c r="I207" s="143">
        <f t="shared" si="36"/>
        <v>0</v>
      </c>
      <c r="J207" s="9">
        <f t="array" ref="J207">IFERROR(I207/G207*100,0)</f>
        <v>0</v>
      </c>
      <c r="K207" s="143">
        <f t="shared" si="37"/>
        <v>0</v>
      </c>
      <c r="L207" s="9">
        <f t="shared" si="41"/>
        <v>0</v>
      </c>
      <c r="M207" s="8" t="str">
        <f t="array" ref="M207">IF(L207&gt;5,"Perlu Pengendalian",IF(AND(L207&gt;=0,I207&gt;0),"Tidak Perlu Pengendalian","Belum Sensus"))</f>
        <v>Belum Sensus</v>
      </c>
      <c r="N207" s="143">
        <f t="shared" si="38"/>
        <v>0</v>
      </c>
      <c r="O207" s="9">
        <f t="array" ref="O207">IFERROR(N207/I207*100,0)</f>
        <v>0</v>
      </c>
      <c r="P207" s="11"/>
      <c r="Q207" s="143"/>
      <c r="R207" s="9">
        <f t="shared" si="42"/>
        <v>0</v>
      </c>
      <c r="S207" s="143"/>
      <c r="T207" s="9">
        <f t="shared" si="39"/>
        <v>0</v>
      </c>
      <c r="U207" s="8" t="str">
        <f t="array" ref="U207">IF(T207&gt;5,"Perlu Pengendalian",IF(AND(T207&gt;=0,Q207&gt;0),"Tidak Perlu Pengendalian","Belum Sensus"))</f>
        <v>Belum Sensus</v>
      </c>
      <c r="V207" s="143"/>
      <c r="W207" s="9">
        <f t="array" ref="W207">IFERROR(V207/Q207*100,0)</f>
        <v>0</v>
      </c>
      <c r="X207" s="11"/>
      <c r="Y207" s="143">
        <v>0</v>
      </c>
      <c r="Z207" s="9">
        <f t="shared" si="43"/>
        <v>0</v>
      </c>
      <c r="AA207" s="143">
        <v>0</v>
      </c>
      <c r="AB207" s="9">
        <f t="shared" si="40"/>
        <v>0</v>
      </c>
      <c r="AC207" s="8" t="str">
        <f t="array" ref="AC207">IF(AB207&gt;5,"Perlu Pengendalian",IF(AND(AB207&gt;=0,Y207&gt;0),"Tidak Perlu Pengendalian","Belum Sensus"))</f>
        <v>Belum Sensus</v>
      </c>
      <c r="AD207" s="143">
        <v>0</v>
      </c>
      <c r="AE207" s="9">
        <f t="array" ref="AE207">IFERROR(AD207/Y207*100,0)</f>
        <v>0</v>
      </c>
      <c r="AG207" s="206">
        <v>0</v>
      </c>
      <c r="AH207" s="206">
        <v>3.36</v>
      </c>
      <c r="AI207" s="206">
        <v>0</v>
      </c>
    </row>
    <row r="208" spans="1:35" outlineLevel="1" x14ac:dyDescent="0.15">
      <c r="A208" s="8" t="s">
        <v>949</v>
      </c>
      <c r="B208" s="8"/>
      <c r="C208" s="8" t="s">
        <v>380</v>
      </c>
      <c r="D208" s="8" t="s">
        <v>1365</v>
      </c>
      <c r="E208" s="179">
        <v>20.85</v>
      </c>
      <c r="F208" s="8" t="s">
        <v>469</v>
      </c>
      <c r="G208" s="10">
        <v>1503</v>
      </c>
      <c r="H208" s="11">
        <f t="shared" si="35"/>
        <v>0</v>
      </c>
      <c r="I208" s="143">
        <f t="shared" si="36"/>
        <v>0</v>
      </c>
      <c r="J208" s="9">
        <f t="array" ref="J208">IFERROR(I208/G208*100,0)</f>
        <v>0</v>
      </c>
      <c r="K208" s="143">
        <f t="shared" si="37"/>
        <v>0</v>
      </c>
      <c r="L208" s="9">
        <f t="shared" si="41"/>
        <v>0</v>
      </c>
      <c r="M208" s="8" t="str">
        <f t="array" ref="M208">IF(L208&gt;5,"Perlu Pengendalian",IF(AND(L208&gt;=0,I208&gt;0),"Tidak Perlu Pengendalian","Belum Sensus"))</f>
        <v>Belum Sensus</v>
      </c>
      <c r="N208" s="143">
        <f t="shared" si="38"/>
        <v>0</v>
      </c>
      <c r="O208" s="9">
        <f t="array" ref="O208">IFERROR(N208/I208*100,0)</f>
        <v>0</v>
      </c>
      <c r="P208" s="11"/>
      <c r="Q208" s="143"/>
      <c r="R208" s="9">
        <f t="shared" si="42"/>
        <v>0</v>
      </c>
      <c r="S208" s="143"/>
      <c r="T208" s="9">
        <f t="shared" si="39"/>
        <v>0</v>
      </c>
      <c r="U208" s="8" t="str">
        <f t="array" ref="U208">IF(T208&gt;5,"Perlu Pengendalian",IF(AND(T208&gt;=0,Q208&gt;0),"Tidak Perlu Pengendalian","Belum Sensus"))</f>
        <v>Belum Sensus</v>
      </c>
      <c r="V208" s="143"/>
      <c r="W208" s="9">
        <f t="array" ref="W208">IFERROR(V208/Q208*100,0)</f>
        <v>0</v>
      </c>
      <c r="X208" s="11"/>
      <c r="Y208" s="143">
        <v>0</v>
      </c>
      <c r="Z208" s="9">
        <f t="shared" si="43"/>
        <v>0</v>
      </c>
      <c r="AA208" s="143">
        <v>0</v>
      </c>
      <c r="AB208" s="9">
        <f t="shared" si="40"/>
        <v>0</v>
      </c>
      <c r="AC208" s="8" t="str">
        <f t="array" ref="AC208">IF(AB208&gt;5,"Perlu Pengendalian",IF(AND(AB208&gt;=0,Y208&gt;0),"Tidak Perlu Pengendalian","Belum Sensus"))</f>
        <v>Belum Sensus</v>
      </c>
      <c r="AD208" s="143">
        <v>0</v>
      </c>
      <c r="AE208" s="9">
        <f t="array" ref="AE208">IFERROR(AD208/Y208*100,0)</f>
        <v>0</v>
      </c>
      <c r="AG208" s="206">
        <v>1.0204081632653061</v>
      </c>
      <c r="AH208" s="206">
        <v>4.18</v>
      </c>
      <c r="AI208" s="206">
        <v>0</v>
      </c>
    </row>
    <row r="209" spans="1:35" outlineLevel="1" x14ac:dyDescent="0.15">
      <c r="A209" s="8" t="s">
        <v>949</v>
      </c>
      <c r="B209" s="8"/>
      <c r="C209" s="8" t="s">
        <v>380</v>
      </c>
      <c r="D209" s="8" t="s">
        <v>1333</v>
      </c>
      <c r="E209" s="9">
        <v>28.79</v>
      </c>
      <c r="F209" s="8" t="s">
        <v>469</v>
      </c>
      <c r="G209" s="10">
        <v>2772</v>
      </c>
      <c r="H209" s="11">
        <f t="shared" si="35"/>
        <v>0</v>
      </c>
      <c r="I209" s="143">
        <f t="shared" si="36"/>
        <v>0</v>
      </c>
      <c r="J209" s="9">
        <f t="array" ref="J209">IFERROR(I209/G209*100,0)</f>
        <v>0</v>
      </c>
      <c r="K209" s="143">
        <f t="shared" si="37"/>
        <v>0</v>
      </c>
      <c r="L209" s="9">
        <f t="shared" si="41"/>
        <v>0</v>
      </c>
      <c r="M209" s="8" t="str">
        <f t="array" ref="M209">IF(L209&gt;5,"Perlu Pengendalian",IF(AND(L209&gt;=0,I209&gt;0),"Tidak Perlu Pengendalian","Belum Sensus"))</f>
        <v>Belum Sensus</v>
      </c>
      <c r="N209" s="143">
        <f t="shared" si="38"/>
        <v>0</v>
      </c>
      <c r="O209" s="9">
        <f t="array" ref="O209">IFERROR(N209/I209*100,0)</f>
        <v>0</v>
      </c>
      <c r="P209" s="11"/>
      <c r="Q209" s="143"/>
      <c r="R209" s="9">
        <f t="shared" si="42"/>
        <v>0</v>
      </c>
      <c r="S209" s="143"/>
      <c r="T209" s="9">
        <f t="shared" si="39"/>
        <v>0</v>
      </c>
      <c r="U209" s="8" t="str">
        <f t="array" ref="U209">IF(T209&gt;5,"Perlu Pengendalian",IF(AND(T209&gt;=0,Q209&gt;0),"Tidak Perlu Pengendalian","Belum Sensus"))</f>
        <v>Belum Sensus</v>
      </c>
      <c r="V209" s="143"/>
      <c r="W209" s="9">
        <f t="array" ref="W209">IFERROR(V209/Q209*100,0)</f>
        <v>0</v>
      </c>
      <c r="X209" s="11"/>
      <c r="Y209" s="143">
        <v>0</v>
      </c>
      <c r="Z209" s="9">
        <f t="shared" si="43"/>
        <v>0</v>
      </c>
      <c r="AA209" s="143">
        <v>0</v>
      </c>
      <c r="AB209" s="9">
        <f t="shared" si="40"/>
        <v>0</v>
      </c>
      <c r="AC209" s="8" t="str">
        <f t="array" ref="AC209">IF(AB209&gt;5,"Perlu Pengendalian",IF(AND(AB209&gt;=0,Y209&gt;0),"Tidak Perlu Pengendalian","Belum Sensus"))</f>
        <v>Belum Sensus</v>
      </c>
      <c r="AD209" s="143">
        <v>0</v>
      </c>
      <c r="AE209" s="9">
        <f t="array" ref="AE209">IFERROR(AD209/Y209*100,0)</f>
        <v>0</v>
      </c>
      <c r="AG209" s="206">
        <v>2.8846153846153846</v>
      </c>
      <c r="AH209" s="206">
        <v>2.25</v>
      </c>
      <c r="AI209" s="206">
        <v>0</v>
      </c>
    </row>
    <row r="210" spans="1:35" outlineLevel="1" x14ac:dyDescent="0.15">
      <c r="A210" s="8" t="s">
        <v>949</v>
      </c>
      <c r="B210" s="8"/>
      <c r="C210" s="8" t="s">
        <v>380</v>
      </c>
      <c r="D210" s="8" t="s">
        <v>1334</v>
      </c>
      <c r="E210" s="179">
        <v>37.26</v>
      </c>
      <c r="F210" s="8" t="s">
        <v>469</v>
      </c>
      <c r="G210" s="10">
        <v>1916</v>
      </c>
      <c r="H210" s="11">
        <f t="shared" si="35"/>
        <v>0</v>
      </c>
      <c r="I210" s="143">
        <f t="shared" si="36"/>
        <v>0</v>
      </c>
      <c r="J210" s="9">
        <f t="array" ref="J210">IFERROR(I210/G210*100,0)</f>
        <v>0</v>
      </c>
      <c r="K210" s="143">
        <f t="shared" si="37"/>
        <v>0</v>
      </c>
      <c r="L210" s="9">
        <f t="shared" si="41"/>
        <v>0</v>
      </c>
      <c r="M210" s="8" t="str">
        <f t="array" ref="M210">IF(L210&gt;5,"Perlu Pengendalian",IF(AND(L210&gt;=0,I210&gt;0),"Tidak Perlu Pengendalian","Belum Sensus"))</f>
        <v>Belum Sensus</v>
      </c>
      <c r="N210" s="143">
        <f t="shared" si="38"/>
        <v>0</v>
      </c>
      <c r="O210" s="9">
        <f t="array" ref="O210">IFERROR(N210/I210*100,0)</f>
        <v>0</v>
      </c>
      <c r="P210" s="11"/>
      <c r="Q210" s="143"/>
      <c r="R210" s="9">
        <f t="shared" si="42"/>
        <v>0</v>
      </c>
      <c r="S210" s="143"/>
      <c r="T210" s="9">
        <f t="shared" si="39"/>
        <v>0</v>
      </c>
      <c r="U210" s="8" t="str">
        <f t="array" ref="U210">IF(T210&gt;5,"Perlu Pengendalian",IF(AND(T210&gt;=0,Q210&gt;0),"Tidak Perlu Pengendalian","Belum Sensus"))</f>
        <v>Belum Sensus</v>
      </c>
      <c r="V210" s="143"/>
      <c r="W210" s="9">
        <f t="array" ref="W210">IFERROR(V210/Q210*100,0)</f>
        <v>0</v>
      </c>
      <c r="X210" s="11"/>
      <c r="Y210" s="143">
        <v>0</v>
      </c>
      <c r="Z210" s="9">
        <f t="shared" si="43"/>
        <v>0</v>
      </c>
      <c r="AA210" s="143">
        <v>0</v>
      </c>
      <c r="AB210" s="9">
        <f t="shared" si="40"/>
        <v>0</v>
      </c>
      <c r="AC210" s="8" t="str">
        <f t="array" ref="AC210">IF(AB210&gt;5,"Perlu Pengendalian",IF(AND(AB210&gt;=0,Y210&gt;0),"Tidak Perlu Pengendalian","Belum Sensus"))</f>
        <v>Belum Sensus</v>
      </c>
      <c r="AD210" s="143">
        <v>0</v>
      </c>
      <c r="AE210" s="9">
        <f t="array" ref="AE210">IFERROR(AD210/Y210*100,0)</f>
        <v>0</v>
      </c>
      <c r="AG210" s="206">
        <v>0</v>
      </c>
      <c r="AH210" s="206">
        <v>2.81</v>
      </c>
      <c r="AI210" s="206">
        <v>0</v>
      </c>
    </row>
    <row r="211" spans="1:35" outlineLevel="1" x14ac:dyDescent="0.15">
      <c r="A211" s="8" t="s">
        <v>949</v>
      </c>
      <c r="B211" s="8"/>
      <c r="C211" s="8" t="s">
        <v>380</v>
      </c>
      <c r="D211" s="8" t="s">
        <v>1346</v>
      </c>
      <c r="E211" s="179">
        <v>32.799999999999997</v>
      </c>
      <c r="F211" s="8" t="s">
        <v>469</v>
      </c>
      <c r="G211" s="10">
        <v>3987</v>
      </c>
      <c r="H211" s="11">
        <f t="shared" si="35"/>
        <v>0</v>
      </c>
      <c r="I211" s="143">
        <f t="shared" si="36"/>
        <v>0</v>
      </c>
      <c r="J211" s="9">
        <f t="array" ref="J211">IFERROR(I211/G211*100,0)</f>
        <v>0</v>
      </c>
      <c r="K211" s="143">
        <f t="shared" si="37"/>
        <v>0</v>
      </c>
      <c r="L211" s="9">
        <f t="shared" si="41"/>
        <v>0</v>
      </c>
      <c r="M211" s="8" t="str">
        <f t="array" ref="M211">IF(L211&gt;5,"Perlu Pengendalian",IF(AND(L211&gt;=0,I211&gt;0),"Tidak Perlu Pengendalian","Belum Sensus"))</f>
        <v>Belum Sensus</v>
      </c>
      <c r="N211" s="143">
        <f t="shared" si="38"/>
        <v>0</v>
      </c>
      <c r="O211" s="9">
        <f t="array" ref="O211">IFERROR(N211/I211*100,0)</f>
        <v>0</v>
      </c>
      <c r="P211" s="11"/>
      <c r="Q211" s="143"/>
      <c r="R211" s="9">
        <f t="shared" si="42"/>
        <v>0</v>
      </c>
      <c r="S211" s="143"/>
      <c r="T211" s="9">
        <f t="shared" si="39"/>
        <v>0</v>
      </c>
      <c r="U211" s="8" t="str">
        <f t="array" ref="U211">IF(T211&gt;5,"Perlu Pengendalian",IF(AND(T211&gt;=0,Q211&gt;0),"Tidak Perlu Pengendalian","Belum Sensus"))</f>
        <v>Belum Sensus</v>
      </c>
      <c r="V211" s="143"/>
      <c r="W211" s="9">
        <f t="array" ref="W211">IFERROR(V211/Q211*100,0)</f>
        <v>0</v>
      </c>
      <c r="X211" s="11"/>
      <c r="Y211" s="143">
        <v>0</v>
      </c>
      <c r="Z211" s="9">
        <f t="shared" si="43"/>
        <v>0</v>
      </c>
      <c r="AA211" s="143">
        <v>0</v>
      </c>
      <c r="AB211" s="9">
        <f t="shared" si="40"/>
        <v>0</v>
      </c>
      <c r="AC211" s="8" t="str">
        <f t="array" ref="AC211">IF(AB211&gt;5,"Perlu Pengendalian",IF(AND(AB211&gt;=0,Y211&gt;0),"Tidak Perlu Pengendalian","Belum Sensus"))</f>
        <v>Belum Sensus</v>
      </c>
      <c r="AD211" s="143">
        <v>0</v>
      </c>
      <c r="AE211" s="9">
        <f t="array" ref="AE211">IFERROR(AD211/Y211*100,0)</f>
        <v>0</v>
      </c>
      <c r="AG211" s="206">
        <v>1.9230769230769231</v>
      </c>
      <c r="AH211" s="206">
        <v>3.11</v>
      </c>
      <c r="AI211" s="206">
        <v>0</v>
      </c>
    </row>
    <row r="212" spans="1:35" outlineLevel="1" x14ac:dyDescent="0.15">
      <c r="A212" s="8" t="s">
        <v>949</v>
      </c>
      <c r="B212" s="8"/>
      <c r="C212" s="8" t="s">
        <v>380</v>
      </c>
      <c r="D212" s="8" t="s">
        <v>1347</v>
      </c>
      <c r="E212" s="9">
        <v>26.82</v>
      </c>
      <c r="F212" s="8" t="s">
        <v>469</v>
      </c>
      <c r="G212" s="10">
        <v>1975.9999999999998</v>
      </c>
      <c r="H212" s="11">
        <f t="shared" si="35"/>
        <v>46164</v>
      </c>
      <c r="I212" s="143">
        <f t="shared" si="36"/>
        <v>137</v>
      </c>
      <c r="J212" s="9">
        <f t="array" ref="J212">IFERROR(I212/G212*100,0)</f>
        <v>6.933198380566802</v>
      </c>
      <c r="K212" s="143">
        <f t="shared" si="37"/>
        <v>2</v>
      </c>
      <c r="L212" s="9">
        <f t="shared" si="41"/>
        <v>1.4598540145985401</v>
      </c>
      <c r="M212" s="8" t="str">
        <f t="array" ref="M212">IF(L212&gt;5,"Perlu Pengendalian",IF(AND(L212&gt;=0,I212&gt;0),"Tidak Perlu Pengendalian","Belum Sensus"))</f>
        <v>Tidak Perlu Pengendalian</v>
      </c>
      <c r="N212" s="143">
        <f t="shared" si="38"/>
        <v>3</v>
      </c>
      <c r="O212" s="9">
        <f t="array" ref="O212">IFERROR(N212/I212*100,0)</f>
        <v>2.1897810218978102</v>
      </c>
      <c r="P212" s="11">
        <v>46164</v>
      </c>
      <c r="Q212" s="143">
        <v>137</v>
      </c>
      <c r="R212" s="9">
        <f t="shared" si="42"/>
        <v>6.933198380566802</v>
      </c>
      <c r="S212" s="143">
        <v>2</v>
      </c>
      <c r="T212" s="9">
        <f t="shared" si="39"/>
        <v>1.4598540145985401</v>
      </c>
      <c r="U212" s="8" t="str">
        <f t="array" ref="U212">IF(T212&gt;5,"Perlu Pengendalian",IF(AND(T212&gt;=0,Q212&gt;0),"Tidak Perlu Pengendalian","Belum Sensus"))</f>
        <v>Tidak Perlu Pengendalian</v>
      </c>
      <c r="V212" s="143">
        <v>3</v>
      </c>
      <c r="W212" s="9">
        <f t="array" ref="W212">IFERROR(V212/Q212*100,0)</f>
        <v>2.1897810218978102</v>
      </c>
      <c r="X212" s="11"/>
      <c r="Y212" s="143">
        <v>0</v>
      </c>
      <c r="Z212" s="9">
        <f t="shared" si="43"/>
        <v>0</v>
      </c>
      <c r="AA212" s="143">
        <v>0</v>
      </c>
      <c r="AB212" s="9">
        <f t="shared" si="40"/>
        <v>0</v>
      </c>
      <c r="AC212" s="8" t="str">
        <f t="array" ref="AC212">IF(AB212&gt;5,"Perlu Pengendalian",IF(AND(AB212&gt;=0,Y212&gt;0),"Tidak Perlu Pengendalian","Belum Sensus"))</f>
        <v>Belum Sensus</v>
      </c>
      <c r="AD212" s="143">
        <v>0</v>
      </c>
      <c r="AE212" s="9">
        <f t="array" ref="AE212">IFERROR(AD212/Y212*100,0)</f>
        <v>0</v>
      </c>
      <c r="AG212" s="206">
        <v>0</v>
      </c>
      <c r="AH212" s="206">
        <v>2.94</v>
      </c>
      <c r="AI212" s="206">
        <v>0</v>
      </c>
    </row>
    <row r="213" spans="1:35" outlineLevel="1" x14ac:dyDescent="0.15">
      <c r="A213" s="8" t="s">
        <v>949</v>
      </c>
      <c r="B213" s="8"/>
      <c r="C213" s="8" t="s">
        <v>380</v>
      </c>
      <c r="D213" s="8" t="s">
        <v>1348</v>
      </c>
      <c r="E213" s="9">
        <v>32.409999999999997</v>
      </c>
      <c r="F213" s="8" t="s">
        <v>469</v>
      </c>
      <c r="G213" s="10">
        <v>2311</v>
      </c>
      <c r="H213" s="11">
        <f t="shared" si="35"/>
        <v>0</v>
      </c>
      <c r="I213" s="143">
        <f t="shared" si="36"/>
        <v>0</v>
      </c>
      <c r="J213" s="9">
        <f t="array" ref="J213">IFERROR(I213/G213*100,0)</f>
        <v>0</v>
      </c>
      <c r="K213" s="143">
        <f t="shared" si="37"/>
        <v>0</v>
      </c>
      <c r="L213" s="9">
        <f t="shared" si="41"/>
        <v>0</v>
      </c>
      <c r="M213" s="8" t="str">
        <f t="array" ref="M213">IF(L213&gt;5,"Perlu Pengendalian",IF(AND(L213&gt;=0,I213&gt;0),"Tidak Perlu Pengendalian","Belum Sensus"))</f>
        <v>Belum Sensus</v>
      </c>
      <c r="N213" s="143">
        <f t="shared" si="38"/>
        <v>0</v>
      </c>
      <c r="O213" s="9">
        <f t="array" ref="O213">IFERROR(N213/I213*100,0)</f>
        <v>0</v>
      </c>
      <c r="P213" s="11"/>
      <c r="Q213" s="143"/>
      <c r="R213" s="9">
        <f t="shared" si="42"/>
        <v>0</v>
      </c>
      <c r="S213" s="143"/>
      <c r="T213" s="9">
        <f t="shared" si="39"/>
        <v>0</v>
      </c>
      <c r="U213" s="8" t="str">
        <f t="array" ref="U213">IF(T213&gt;5,"Perlu Pengendalian",IF(AND(T213&gt;=0,Q213&gt;0),"Tidak Perlu Pengendalian","Belum Sensus"))</f>
        <v>Belum Sensus</v>
      </c>
      <c r="V213" s="143"/>
      <c r="W213" s="9">
        <f t="array" ref="W213">IFERROR(V213/Q213*100,0)</f>
        <v>0</v>
      </c>
      <c r="X213" s="11"/>
      <c r="Y213" s="143">
        <v>0</v>
      </c>
      <c r="Z213" s="9">
        <f t="shared" si="43"/>
        <v>0</v>
      </c>
      <c r="AA213" s="143">
        <v>0</v>
      </c>
      <c r="AB213" s="9">
        <f t="shared" si="40"/>
        <v>0</v>
      </c>
      <c r="AC213" s="8" t="str">
        <f t="array" ref="AC213">IF(AB213&gt;5,"Perlu Pengendalian",IF(AND(AB213&gt;=0,Y213&gt;0),"Tidak Perlu Pengendalian","Belum Sensus"))</f>
        <v>Belum Sensus</v>
      </c>
      <c r="AD213" s="143">
        <v>0</v>
      </c>
      <c r="AE213" s="9">
        <f t="array" ref="AE213">IFERROR(AD213/Y213*100,0)</f>
        <v>0</v>
      </c>
      <c r="AG213" s="206">
        <v>2.1201413427561837</v>
      </c>
      <c r="AH213" s="206">
        <v>1.72</v>
      </c>
      <c r="AI213" s="206">
        <v>0</v>
      </c>
    </row>
    <row r="214" spans="1:35" outlineLevel="1" x14ac:dyDescent="0.15">
      <c r="A214" s="8" t="s">
        <v>949</v>
      </c>
      <c r="B214" s="8"/>
      <c r="C214" s="8" t="s">
        <v>380</v>
      </c>
      <c r="D214" s="8" t="s">
        <v>1349</v>
      </c>
      <c r="E214" s="179">
        <v>48.529999999999994</v>
      </c>
      <c r="F214" s="8" t="s">
        <v>469</v>
      </c>
      <c r="G214" s="10">
        <v>2427</v>
      </c>
      <c r="H214" s="11">
        <f t="shared" ref="H214:H215" si="44">MAX(P214,X214)</f>
        <v>46181</v>
      </c>
      <c r="I214" s="143">
        <f t="shared" ref="I214:I215" si="45">MAX(Q214,Y214)</f>
        <v>320</v>
      </c>
      <c r="J214" s="9">
        <f t="array" ref="J214">IFERROR(I214/G214*100,0)</f>
        <v>13.185002060156572</v>
      </c>
      <c r="K214" s="143">
        <f t="shared" ref="K214:K215" si="46">MAX(S214,AA214)</f>
        <v>14</v>
      </c>
      <c r="L214" s="9">
        <f t="shared" si="41"/>
        <v>4.375</v>
      </c>
      <c r="M214" s="8" t="str">
        <f t="array" ref="M214">IF(L214&gt;5,"Perlu Pengendalian",IF(AND(L214&gt;=0,I214&gt;0),"Tidak Perlu Pengendalian","Belum Sensus"))</f>
        <v>Tidak Perlu Pengendalian</v>
      </c>
      <c r="N214" s="143">
        <f t="shared" ref="N214:N215" si="47">MAX(V214,AD214)</f>
        <v>6</v>
      </c>
      <c r="O214" s="9">
        <f t="array" ref="O214">IFERROR(N214/I214*100,0)</f>
        <v>1.875</v>
      </c>
      <c r="P214" s="11"/>
      <c r="Q214" s="143"/>
      <c r="R214" s="9">
        <f t="shared" si="42"/>
        <v>0</v>
      </c>
      <c r="S214" s="143"/>
      <c r="T214" s="9">
        <f t="shared" si="39"/>
        <v>0</v>
      </c>
      <c r="U214" s="8" t="str">
        <f t="array" ref="U214">IF(T214&gt;5,"Perlu Pengendalian",IF(AND(T214&gt;=0,Q214&gt;0),"Tidak Perlu Pengendalian","Belum Sensus"))</f>
        <v>Belum Sensus</v>
      </c>
      <c r="V214" s="143"/>
      <c r="W214" s="9">
        <f t="array" ref="W214">IFERROR(V214/Q214*100,0)</f>
        <v>0</v>
      </c>
      <c r="X214" s="11">
        <v>46181</v>
      </c>
      <c r="Y214" s="143">
        <v>320</v>
      </c>
      <c r="Z214" s="9">
        <f t="shared" si="43"/>
        <v>13.185002060156572</v>
      </c>
      <c r="AA214" s="143">
        <v>14</v>
      </c>
      <c r="AB214" s="9">
        <f t="shared" si="40"/>
        <v>4.375</v>
      </c>
      <c r="AC214" s="8" t="str">
        <f t="array" ref="AC214">IF(AB214&gt;5,"Perlu Pengendalian",IF(AND(AB214&gt;=0,Y214&gt;0),"Tidak Perlu Pengendalian","Belum Sensus"))</f>
        <v>Tidak Perlu Pengendalian</v>
      </c>
      <c r="AD214" s="143">
        <v>6</v>
      </c>
      <c r="AE214" s="9">
        <f t="array" ref="AE214">IFERROR(AD214/Y214*100,0)</f>
        <v>1.875</v>
      </c>
      <c r="AG214" s="206">
        <v>3.125</v>
      </c>
      <c r="AH214" s="206">
        <v>1.77</v>
      </c>
      <c r="AI214" s="206">
        <v>0</v>
      </c>
    </row>
    <row r="215" spans="1:35" outlineLevel="1" x14ac:dyDescent="0.15">
      <c r="A215" s="8" t="s">
        <v>949</v>
      </c>
      <c r="B215" s="8"/>
      <c r="C215" s="8" t="s">
        <v>380</v>
      </c>
      <c r="D215" s="8" t="s">
        <v>1356</v>
      </c>
      <c r="E215" s="179">
        <v>33.790000000000006</v>
      </c>
      <c r="F215" s="8" t="s">
        <v>469</v>
      </c>
      <c r="G215" s="10">
        <v>3450</v>
      </c>
      <c r="H215" s="11">
        <f t="shared" si="44"/>
        <v>0</v>
      </c>
      <c r="I215" s="143">
        <f t="shared" si="45"/>
        <v>0</v>
      </c>
      <c r="J215" s="9">
        <f t="array" ref="J215">IFERROR(I215/G215*100,0)</f>
        <v>0</v>
      </c>
      <c r="K215" s="143">
        <f t="shared" si="46"/>
        <v>0</v>
      </c>
      <c r="L215" s="9">
        <f t="shared" si="41"/>
        <v>0</v>
      </c>
      <c r="M215" s="8" t="str">
        <f t="array" ref="M215">IF(L215&gt;5,"Perlu Pengendalian",IF(AND(L215&gt;=0,I215&gt;0),"Tidak Perlu Pengendalian","Belum Sensus"))</f>
        <v>Belum Sensus</v>
      </c>
      <c r="N215" s="143">
        <f t="shared" si="47"/>
        <v>0</v>
      </c>
      <c r="O215" s="9">
        <f t="array" ref="O215">IFERROR(N215/I215*100,0)</f>
        <v>0</v>
      </c>
      <c r="P215" s="11"/>
      <c r="Q215" s="143"/>
      <c r="R215" s="9">
        <f t="shared" si="42"/>
        <v>0</v>
      </c>
      <c r="S215" s="143"/>
      <c r="T215" s="9">
        <f t="shared" si="39"/>
        <v>0</v>
      </c>
      <c r="U215" s="8" t="str">
        <f t="array" ref="U215">IF(T215&gt;5,"Perlu Pengendalian",IF(AND(T215&gt;=0,Q215&gt;0),"Tidak Perlu Pengendalian","Belum Sensus"))</f>
        <v>Belum Sensus</v>
      </c>
      <c r="V215" s="143"/>
      <c r="W215" s="9">
        <f t="array" ref="W215">IFERROR(V215/Q215*100,0)</f>
        <v>0</v>
      </c>
      <c r="X215" s="11"/>
      <c r="Y215" s="143">
        <v>0</v>
      </c>
      <c r="Z215" s="9">
        <f t="shared" si="43"/>
        <v>0</v>
      </c>
      <c r="AA215" s="143">
        <v>0</v>
      </c>
      <c r="AB215" s="9">
        <f t="shared" si="40"/>
        <v>0</v>
      </c>
      <c r="AC215" s="8" t="str">
        <f t="array" ref="AC215">IF(AB215&gt;5,"Perlu Pengendalian",IF(AND(AB215&gt;=0,Y215&gt;0),"Tidak Perlu Pengendalian","Belum Sensus"))</f>
        <v>Belum Sensus</v>
      </c>
      <c r="AD215" s="143">
        <v>0</v>
      </c>
      <c r="AE215" s="9">
        <f t="array" ref="AE215">IFERROR(AD215/Y215*100,0)</f>
        <v>0</v>
      </c>
      <c r="AG215" s="206">
        <v>1.6129032258064515</v>
      </c>
      <c r="AH215" s="206">
        <v>4.1180000000000003</v>
      </c>
      <c r="AI215" s="206">
        <v>0</v>
      </c>
    </row>
    <row r="216" spans="1:35" outlineLevel="1" x14ac:dyDescent="0.15">
      <c r="A216" s="8"/>
      <c r="B216" s="8"/>
      <c r="C216" s="8"/>
      <c r="D216" s="8"/>
      <c r="E216" s="9"/>
      <c r="F216" s="8"/>
      <c r="G216" s="10"/>
      <c r="H216" s="11"/>
      <c r="I216" s="143"/>
      <c r="J216" s="9"/>
      <c r="K216" s="143"/>
      <c r="L216" s="9"/>
      <c r="M216" s="8"/>
      <c r="N216" s="143"/>
      <c r="O216" s="9"/>
      <c r="P216" s="9"/>
      <c r="Q216" s="9"/>
      <c r="R216" s="9"/>
      <c r="S216" s="9"/>
      <c r="T216" s="9"/>
      <c r="U216" s="9"/>
      <c r="V216" s="9"/>
      <c r="W216" s="9"/>
      <c r="X216" s="11"/>
      <c r="Y216" s="143"/>
      <c r="Z216" s="9"/>
      <c r="AA216" s="143"/>
      <c r="AB216" s="9"/>
      <c r="AC216" s="8"/>
      <c r="AD216" s="143"/>
      <c r="AE216" s="9"/>
    </row>
    <row r="217" spans="1:35" outlineLevel="1" x14ac:dyDescent="0.15">
      <c r="A217" s="8"/>
      <c r="B217" s="8"/>
      <c r="C217" s="8"/>
      <c r="D217" s="8"/>
      <c r="E217" s="9"/>
      <c r="F217" s="8"/>
      <c r="G217" s="10"/>
      <c r="H217" s="11"/>
      <c r="I217" s="143"/>
      <c r="J217" s="9"/>
      <c r="K217" s="143"/>
      <c r="L217" s="9"/>
      <c r="M217" s="8"/>
      <c r="N217" s="143"/>
      <c r="O217" s="9"/>
      <c r="P217" s="9"/>
      <c r="Q217" s="9"/>
      <c r="R217" s="9"/>
      <c r="S217" s="9"/>
      <c r="T217" s="9"/>
      <c r="U217" s="9"/>
      <c r="V217" s="9"/>
      <c r="W217" s="9"/>
      <c r="X217" s="11"/>
      <c r="Y217" s="143"/>
      <c r="Z217" s="9"/>
      <c r="AA217" s="143"/>
      <c r="AB217" s="9"/>
      <c r="AC217" s="8"/>
      <c r="AD217" s="143"/>
      <c r="AE217" s="9"/>
      <c r="AG217" s="3">
        <v>6744.86</v>
      </c>
    </row>
    <row r="218" spans="1:35" outlineLevel="1" x14ac:dyDescent="0.15">
      <c r="A218" s="8"/>
      <c r="B218" s="8"/>
      <c r="C218" s="8"/>
      <c r="D218" s="8"/>
      <c r="E218" s="9"/>
      <c r="F218" s="8"/>
      <c r="G218" s="10"/>
      <c r="H218" s="11"/>
      <c r="I218" s="143"/>
      <c r="J218" s="9"/>
      <c r="K218" s="143"/>
      <c r="L218" s="9"/>
      <c r="M218" s="8"/>
      <c r="N218" s="143"/>
      <c r="O218" s="9"/>
      <c r="P218" s="9"/>
      <c r="Q218" s="9"/>
      <c r="R218" s="9"/>
      <c r="S218" s="9"/>
      <c r="T218" s="9"/>
      <c r="U218" s="9"/>
      <c r="V218" s="9"/>
      <c r="W218" s="9"/>
      <c r="X218" s="11"/>
      <c r="Y218" s="143"/>
      <c r="Z218" s="9"/>
      <c r="AA218" s="143"/>
      <c r="AB218" s="9"/>
      <c r="AC218" s="8"/>
      <c r="AD218" s="143"/>
      <c r="AE218" s="9"/>
    </row>
    <row r="219" spans="1:35" outlineLevel="1" x14ac:dyDescent="0.15">
      <c r="A219" s="8"/>
      <c r="B219" s="8"/>
      <c r="C219" s="8"/>
      <c r="D219" s="8"/>
      <c r="E219" s="9"/>
      <c r="F219" s="8"/>
      <c r="G219" s="10"/>
      <c r="H219" s="11"/>
      <c r="I219" s="143"/>
      <c r="J219" s="9"/>
      <c r="K219" s="143"/>
      <c r="L219" s="9"/>
      <c r="M219" s="8"/>
      <c r="N219" s="143"/>
      <c r="O219" s="9"/>
      <c r="P219" s="9"/>
      <c r="Q219" s="9"/>
      <c r="R219" s="9"/>
      <c r="S219" s="9"/>
      <c r="T219" s="9"/>
      <c r="U219" s="9"/>
      <c r="V219" s="9"/>
      <c r="W219" s="9"/>
      <c r="X219" s="11"/>
      <c r="Y219" s="143"/>
      <c r="Z219" s="9"/>
      <c r="AA219" s="143"/>
      <c r="AB219" s="9"/>
      <c r="AC219" s="8"/>
      <c r="AD219" s="143"/>
      <c r="AE219" s="9"/>
    </row>
    <row r="220" spans="1:35" outlineLevel="1" x14ac:dyDescent="0.15">
      <c r="A220" s="8"/>
      <c r="B220" s="8"/>
      <c r="C220" s="8"/>
      <c r="D220" s="8"/>
      <c r="E220" s="9"/>
      <c r="F220" s="8"/>
      <c r="G220" s="10"/>
      <c r="H220" s="11"/>
      <c r="I220" s="143"/>
      <c r="J220" s="9"/>
      <c r="K220" s="143"/>
      <c r="L220" s="9"/>
      <c r="M220" s="8"/>
      <c r="N220" s="143"/>
      <c r="O220" s="9"/>
      <c r="P220" s="9"/>
      <c r="Q220" s="9"/>
      <c r="R220" s="9"/>
      <c r="S220" s="9"/>
      <c r="T220" s="9"/>
      <c r="U220" s="9"/>
      <c r="V220" s="9"/>
      <c r="W220" s="9"/>
      <c r="X220" s="11"/>
      <c r="Y220" s="143"/>
      <c r="Z220" s="9"/>
      <c r="AA220" s="143"/>
      <c r="AB220" s="9"/>
      <c r="AC220" s="8"/>
      <c r="AD220" s="143"/>
      <c r="AE220" s="9"/>
    </row>
    <row r="221" spans="1:35" outlineLevel="1" x14ac:dyDescent="0.15">
      <c r="A221" s="8"/>
      <c r="B221" s="8"/>
      <c r="C221" s="8"/>
      <c r="D221" s="8"/>
      <c r="E221" s="9"/>
      <c r="F221" s="8"/>
      <c r="G221" s="10"/>
      <c r="H221" s="11"/>
      <c r="I221" s="143"/>
      <c r="J221" s="9"/>
      <c r="K221" s="143"/>
      <c r="L221" s="9"/>
      <c r="M221" s="8"/>
      <c r="N221" s="143"/>
      <c r="O221" s="9"/>
      <c r="P221" s="9"/>
      <c r="Q221" s="9"/>
      <c r="R221" s="9"/>
      <c r="S221" s="9"/>
      <c r="T221" s="9"/>
      <c r="U221" s="9"/>
      <c r="V221" s="9"/>
      <c r="W221" s="9"/>
      <c r="X221" s="11"/>
      <c r="Y221" s="143"/>
      <c r="Z221" s="9"/>
      <c r="AA221" s="143"/>
      <c r="AB221" s="9"/>
      <c r="AC221" s="8"/>
      <c r="AD221" s="143"/>
      <c r="AE221" s="9"/>
    </row>
    <row r="222" spans="1:35" outlineLevel="1" x14ac:dyDescent="0.15">
      <c r="A222" s="8"/>
      <c r="B222" s="8"/>
      <c r="C222" s="8"/>
      <c r="D222" s="8"/>
      <c r="E222" s="9"/>
      <c r="F222" s="8"/>
      <c r="G222" s="10"/>
      <c r="H222" s="11"/>
      <c r="I222" s="143"/>
      <c r="J222" s="9"/>
      <c r="K222" s="143"/>
      <c r="L222" s="9"/>
      <c r="M222" s="8"/>
      <c r="N222" s="143"/>
      <c r="O222" s="9"/>
      <c r="P222" s="9"/>
      <c r="Q222" s="9"/>
      <c r="R222" s="9"/>
      <c r="S222" s="9"/>
      <c r="T222" s="9"/>
      <c r="U222" s="9"/>
      <c r="V222" s="9"/>
      <c r="W222" s="9"/>
      <c r="X222" s="11"/>
      <c r="Y222" s="143"/>
      <c r="Z222" s="9"/>
      <c r="AA222" s="143"/>
      <c r="AB222" s="9"/>
      <c r="AC222" s="8"/>
      <c r="AD222" s="143"/>
      <c r="AE222" s="9"/>
    </row>
    <row r="223" spans="1:35" outlineLevel="1" x14ac:dyDescent="0.15">
      <c r="A223" s="8"/>
      <c r="B223" s="8"/>
      <c r="C223" s="8"/>
      <c r="D223" s="8"/>
      <c r="E223" s="9"/>
      <c r="F223" s="8"/>
      <c r="G223" s="10"/>
      <c r="H223" s="11"/>
      <c r="I223" s="143"/>
      <c r="J223" s="9"/>
      <c r="K223" s="143"/>
      <c r="L223" s="9"/>
      <c r="M223" s="8"/>
      <c r="N223" s="143"/>
      <c r="O223" s="9"/>
      <c r="P223" s="9"/>
      <c r="Q223" s="9"/>
      <c r="R223" s="9"/>
      <c r="S223" s="9"/>
      <c r="T223" s="9"/>
      <c r="U223" s="9"/>
      <c r="V223" s="9"/>
      <c r="W223" s="9"/>
      <c r="X223" s="11"/>
      <c r="Y223" s="143"/>
      <c r="Z223" s="9"/>
      <c r="AA223" s="143"/>
      <c r="AB223" s="9"/>
      <c r="AC223" s="8"/>
      <c r="AD223" s="143"/>
      <c r="AE223" s="9"/>
    </row>
    <row r="224" spans="1:35" outlineLevel="1" x14ac:dyDescent="0.15">
      <c r="A224" s="8"/>
      <c r="B224" s="8"/>
      <c r="C224" s="8"/>
      <c r="D224" s="8"/>
      <c r="E224" s="9"/>
      <c r="F224" s="8"/>
      <c r="G224" s="10"/>
      <c r="H224" s="11"/>
      <c r="I224" s="143"/>
      <c r="J224" s="9"/>
      <c r="K224" s="143"/>
      <c r="L224" s="9"/>
      <c r="M224" s="8"/>
      <c r="N224" s="143"/>
      <c r="O224" s="9"/>
      <c r="P224" s="9"/>
      <c r="Q224" s="9"/>
      <c r="R224" s="9"/>
      <c r="S224" s="9"/>
      <c r="T224" s="9"/>
      <c r="U224" s="9"/>
      <c r="V224" s="9"/>
      <c r="W224" s="9"/>
      <c r="X224" s="11"/>
      <c r="Y224" s="143"/>
      <c r="Z224" s="9"/>
      <c r="AA224" s="143"/>
      <c r="AB224" s="9"/>
      <c r="AC224" s="8"/>
      <c r="AD224" s="143"/>
      <c r="AE224" s="9"/>
    </row>
    <row r="225" spans="1:31" outlineLevel="1" x14ac:dyDescent="0.15">
      <c r="A225" s="8"/>
      <c r="B225" s="8"/>
      <c r="C225" s="8"/>
      <c r="D225" s="8"/>
      <c r="E225" s="9"/>
      <c r="F225" s="8"/>
      <c r="G225" s="10"/>
      <c r="H225" s="11"/>
      <c r="I225" s="143"/>
      <c r="J225" s="9"/>
      <c r="K225" s="143"/>
      <c r="L225" s="9"/>
      <c r="M225" s="8"/>
      <c r="N225" s="143"/>
      <c r="O225" s="9"/>
      <c r="P225" s="9"/>
      <c r="Q225" s="9"/>
      <c r="R225" s="9"/>
      <c r="S225" s="9"/>
      <c r="T225" s="9"/>
      <c r="U225" s="9"/>
      <c r="V225" s="9"/>
      <c r="W225" s="9"/>
      <c r="X225" s="11"/>
      <c r="Y225" s="143"/>
      <c r="Z225" s="9"/>
      <c r="AA225" s="143"/>
      <c r="AB225" s="9"/>
      <c r="AC225" s="8"/>
      <c r="AD225" s="143"/>
      <c r="AE225" s="9"/>
    </row>
    <row r="226" spans="1:31" outlineLevel="1" x14ac:dyDescent="0.15">
      <c r="A226" s="8"/>
      <c r="B226" s="8"/>
      <c r="C226" s="8"/>
      <c r="D226" s="8"/>
      <c r="E226" s="9"/>
      <c r="F226" s="8"/>
      <c r="G226" s="10"/>
      <c r="H226" s="11"/>
      <c r="I226" s="143"/>
      <c r="J226" s="9"/>
      <c r="K226" s="143"/>
      <c r="L226" s="9"/>
      <c r="M226" s="8"/>
      <c r="N226" s="143"/>
      <c r="O226" s="9"/>
      <c r="P226" s="9"/>
      <c r="Q226" s="9"/>
      <c r="R226" s="9"/>
      <c r="S226" s="9"/>
      <c r="T226" s="9"/>
      <c r="U226" s="9"/>
      <c r="V226" s="9"/>
      <c r="W226" s="9"/>
      <c r="X226" s="11"/>
      <c r="Y226" s="143"/>
      <c r="Z226" s="9"/>
      <c r="AA226" s="143"/>
      <c r="AB226" s="9"/>
      <c r="AC226" s="8"/>
      <c r="AD226" s="143"/>
      <c r="AE226" s="9"/>
    </row>
    <row r="227" spans="1:31" outlineLevel="1" x14ac:dyDescent="0.15">
      <c r="A227" s="8"/>
      <c r="B227" s="8"/>
      <c r="C227" s="8"/>
      <c r="D227" s="8"/>
      <c r="E227" s="9"/>
      <c r="F227" s="8"/>
      <c r="G227" s="10"/>
      <c r="H227" s="11"/>
      <c r="I227" s="143"/>
      <c r="J227" s="9"/>
      <c r="K227" s="143"/>
      <c r="L227" s="9"/>
      <c r="M227" s="8"/>
      <c r="N227" s="143"/>
      <c r="O227" s="9"/>
      <c r="P227" s="9"/>
      <c r="Q227" s="9"/>
      <c r="R227" s="9"/>
      <c r="S227" s="9"/>
      <c r="T227" s="9"/>
      <c r="U227" s="9"/>
      <c r="V227" s="9"/>
      <c r="W227" s="9"/>
      <c r="X227" s="11"/>
      <c r="Y227" s="143"/>
      <c r="Z227" s="9"/>
      <c r="AA227" s="143"/>
      <c r="AB227" s="9"/>
      <c r="AC227" s="8"/>
      <c r="AD227" s="143"/>
      <c r="AE227" s="9"/>
    </row>
    <row r="228" spans="1:31" outlineLevel="1" x14ac:dyDescent="0.15">
      <c r="A228" s="8"/>
      <c r="B228" s="8"/>
      <c r="C228" s="8"/>
      <c r="D228" s="8"/>
      <c r="E228" s="9"/>
      <c r="F228" s="8"/>
      <c r="G228" s="10"/>
      <c r="H228" s="11"/>
      <c r="I228" s="143"/>
      <c r="J228" s="9"/>
      <c r="K228" s="143"/>
      <c r="L228" s="9"/>
      <c r="M228" s="8"/>
      <c r="N228" s="143"/>
      <c r="O228" s="9"/>
      <c r="P228" s="9"/>
      <c r="Q228" s="9"/>
      <c r="R228" s="9"/>
      <c r="S228" s="9"/>
      <c r="T228" s="9"/>
      <c r="U228" s="9"/>
      <c r="V228" s="9"/>
      <c r="W228" s="9"/>
      <c r="X228" s="11"/>
      <c r="Y228" s="143"/>
      <c r="Z228" s="9"/>
      <c r="AA228" s="143"/>
      <c r="AB228" s="9"/>
      <c r="AC228" s="8"/>
      <c r="AD228" s="143"/>
      <c r="AE228" s="9"/>
    </row>
    <row r="229" spans="1:31" outlineLevel="1" x14ac:dyDescent="0.15">
      <c r="A229" s="8"/>
      <c r="B229" s="8"/>
      <c r="C229" s="8"/>
      <c r="D229" s="8"/>
      <c r="E229" s="9"/>
      <c r="F229" s="8"/>
      <c r="G229" s="10"/>
      <c r="H229" s="11"/>
      <c r="I229" s="143"/>
      <c r="J229" s="9"/>
      <c r="K229" s="143"/>
      <c r="L229" s="9"/>
      <c r="M229" s="8"/>
      <c r="N229" s="143"/>
      <c r="O229" s="9"/>
      <c r="P229" s="9"/>
      <c r="Q229" s="9"/>
      <c r="R229" s="9"/>
      <c r="S229" s="9"/>
      <c r="T229" s="9"/>
      <c r="U229" s="9"/>
      <c r="V229" s="9"/>
      <c r="W229" s="9"/>
      <c r="X229" s="11"/>
      <c r="Y229" s="143"/>
      <c r="Z229" s="9"/>
      <c r="AA229" s="143"/>
      <c r="AB229" s="9"/>
      <c r="AC229" s="8"/>
      <c r="AD229" s="143"/>
      <c r="AE229" s="9"/>
    </row>
    <row r="230" spans="1:31" outlineLevel="1" x14ac:dyDescent="0.15">
      <c r="A230" s="8"/>
      <c r="B230" s="8"/>
      <c r="C230" s="8"/>
      <c r="D230" s="8"/>
      <c r="E230" s="9"/>
      <c r="F230" s="8"/>
      <c r="G230" s="10"/>
      <c r="H230" s="11"/>
      <c r="I230" s="143"/>
      <c r="J230" s="9"/>
      <c r="K230" s="143"/>
      <c r="L230" s="9"/>
      <c r="M230" s="8"/>
      <c r="N230" s="143"/>
      <c r="O230" s="9"/>
      <c r="P230" s="9"/>
      <c r="Q230" s="9"/>
      <c r="R230" s="9"/>
      <c r="S230" s="9"/>
      <c r="T230" s="9"/>
      <c r="U230" s="9"/>
      <c r="V230" s="9"/>
      <c r="W230" s="9"/>
      <c r="X230" s="11"/>
      <c r="Y230" s="143"/>
      <c r="Z230" s="9"/>
      <c r="AA230" s="143"/>
      <c r="AB230" s="9"/>
      <c r="AC230" s="8"/>
      <c r="AD230" s="143"/>
      <c r="AE230" s="9"/>
    </row>
    <row r="231" spans="1:31" outlineLevel="1" x14ac:dyDescent="0.15">
      <c r="A231" s="8"/>
      <c r="B231" s="8"/>
      <c r="C231" s="8"/>
      <c r="D231" s="8"/>
      <c r="E231" s="9"/>
      <c r="F231" s="8"/>
      <c r="G231" s="10"/>
      <c r="H231" s="11"/>
      <c r="I231" s="143"/>
      <c r="J231" s="9"/>
      <c r="K231" s="143"/>
      <c r="L231" s="9"/>
      <c r="M231" s="8"/>
      <c r="N231" s="143"/>
      <c r="O231" s="9"/>
      <c r="P231" s="9"/>
      <c r="Q231" s="9"/>
      <c r="R231" s="9"/>
      <c r="S231" s="9"/>
      <c r="T231" s="9"/>
      <c r="U231" s="9"/>
      <c r="V231" s="9"/>
      <c r="W231" s="9"/>
      <c r="X231" s="11"/>
      <c r="Y231" s="143"/>
      <c r="Z231" s="9"/>
      <c r="AA231" s="143"/>
      <c r="AB231" s="9"/>
      <c r="AC231" s="8"/>
      <c r="AD231" s="143"/>
      <c r="AE231" s="9"/>
    </row>
    <row r="232" spans="1:31" outlineLevel="1" x14ac:dyDescent="0.15">
      <c r="A232" s="8"/>
      <c r="B232" s="8"/>
      <c r="C232" s="8"/>
      <c r="D232" s="8"/>
      <c r="E232" s="9"/>
      <c r="F232" s="8"/>
      <c r="G232" s="10"/>
      <c r="H232" s="11"/>
      <c r="I232" s="143"/>
      <c r="J232" s="9"/>
      <c r="K232" s="143"/>
      <c r="L232" s="9"/>
      <c r="M232" s="8"/>
      <c r="N232" s="143"/>
      <c r="O232" s="9"/>
      <c r="P232" s="9"/>
      <c r="Q232" s="9"/>
      <c r="R232" s="9"/>
      <c r="S232" s="9"/>
      <c r="T232" s="9"/>
      <c r="U232" s="9"/>
      <c r="V232" s="9"/>
      <c r="W232" s="9"/>
      <c r="X232" s="11"/>
      <c r="Y232" s="143"/>
      <c r="Z232" s="9"/>
      <c r="AA232" s="143"/>
      <c r="AB232" s="9"/>
      <c r="AC232" s="8"/>
      <c r="AD232" s="143"/>
      <c r="AE232" s="9"/>
    </row>
    <row r="233" spans="1:31" outlineLevel="1" x14ac:dyDescent="0.15">
      <c r="A233" s="8"/>
      <c r="B233" s="8"/>
      <c r="C233" s="8"/>
      <c r="D233" s="8"/>
      <c r="E233" s="9"/>
      <c r="F233" s="8"/>
      <c r="G233" s="10"/>
      <c r="H233" s="11"/>
      <c r="I233" s="143"/>
      <c r="J233" s="9"/>
      <c r="K233" s="143"/>
      <c r="L233" s="9"/>
      <c r="M233" s="8"/>
      <c r="N233" s="143"/>
      <c r="O233" s="9"/>
      <c r="P233" s="9"/>
      <c r="Q233" s="9"/>
      <c r="R233" s="9"/>
      <c r="S233" s="9"/>
      <c r="T233" s="9"/>
      <c r="U233" s="9"/>
      <c r="V233" s="9"/>
      <c r="W233" s="9"/>
      <c r="X233" s="11"/>
      <c r="Y233" s="143"/>
      <c r="Z233" s="9"/>
      <c r="AA233" s="143"/>
      <c r="AB233" s="9"/>
      <c r="AC233" s="8"/>
      <c r="AD233" s="143"/>
      <c r="AE233" s="9"/>
    </row>
    <row r="234" spans="1:31" outlineLevel="1" x14ac:dyDescent="0.15">
      <c r="A234" s="8"/>
      <c r="B234" s="8"/>
      <c r="C234" s="8"/>
      <c r="D234" s="8"/>
      <c r="E234" s="9"/>
      <c r="F234" s="8"/>
      <c r="G234" s="10"/>
      <c r="H234" s="11"/>
      <c r="I234" s="143"/>
      <c r="J234" s="9"/>
      <c r="K234" s="143"/>
      <c r="L234" s="9"/>
      <c r="M234" s="8"/>
      <c r="N234" s="143"/>
      <c r="O234" s="9"/>
      <c r="P234" s="9"/>
      <c r="Q234" s="9"/>
      <c r="R234" s="9"/>
      <c r="S234" s="9"/>
      <c r="T234" s="9"/>
      <c r="U234" s="9"/>
      <c r="V234" s="9"/>
      <c r="W234" s="9"/>
      <c r="X234" s="11"/>
      <c r="Y234" s="143"/>
      <c r="Z234" s="9"/>
      <c r="AA234" s="143"/>
      <c r="AB234" s="9"/>
      <c r="AC234" s="8"/>
      <c r="AD234" s="143"/>
      <c r="AE234" s="9"/>
    </row>
    <row r="235" spans="1:31" outlineLevel="1" x14ac:dyDescent="0.15">
      <c r="A235" s="8"/>
      <c r="B235" s="8"/>
      <c r="C235" s="8"/>
      <c r="D235" s="8"/>
      <c r="E235" s="9"/>
      <c r="F235" s="8"/>
      <c r="G235" s="10"/>
      <c r="H235" s="11"/>
      <c r="I235" s="143"/>
      <c r="J235" s="9"/>
      <c r="K235" s="143"/>
      <c r="L235" s="9"/>
      <c r="M235" s="8"/>
      <c r="N235" s="143"/>
      <c r="O235" s="9"/>
      <c r="P235" s="9"/>
      <c r="Q235" s="9"/>
      <c r="R235" s="9"/>
      <c r="S235" s="9"/>
      <c r="T235" s="9"/>
      <c r="U235" s="9"/>
      <c r="V235" s="9"/>
      <c r="W235" s="9"/>
      <c r="X235" s="11"/>
      <c r="Y235" s="143"/>
      <c r="Z235" s="9"/>
      <c r="AA235" s="143"/>
      <c r="AB235" s="9"/>
      <c r="AC235" s="8"/>
      <c r="AD235" s="143"/>
      <c r="AE235" s="9"/>
    </row>
    <row r="236" spans="1:31" outlineLevel="1" x14ac:dyDescent="0.15">
      <c r="A236" s="8"/>
      <c r="B236" s="8"/>
      <c r="C236" s="8"/>
      <c r="D236" s="8"/>
      <c r="E236" s="9"/>
      <c r="F236" s="8"/>
      <c r="G236" s="10"/>
      <c r="H236" s="11"/>
      <c r="I236" s="143"/>
      <c r="J236" s="9"/>
      <c r="K236" s="143"/>
      <c r="L236" s="9"/>
      <c r="M236" s="8"/>
      <c r="N236" s="143"/>
      <c r="O236" s="9"/>
      <c r="P236" s="9"/>
      <c r="Q236" s="9"/>
      <c r="R236" s="9"/>
      <c r="S236" s="9"/>
      <c r="T236" s="9"/>
      <c r="U236" s="9"/>
      <c r="V236" s="9"/>
      <c r="W236" s="9"/>
      <c r="X236" s="11"/>
      <c r="Y236" s="143"/>
      <c r="Z236" s="9"/>
      <c r="AA236" s="143"/>
      <c r="AB236" s="9"/>
      <c r="AC236" s="8"/>
      <c r="AD236" s="143"/>
      <c r="AE236" s="9"/>
    </row>
    <row r="237" spans="1:31" outlineLevel="1" x14ac:dyDescent="0.15">
      <c r="A237" s="8"/>
      <c r="B237" s="8"/>
      <c r="C237" s="8"/>
      <c r="D237" s="8"/>
      <c r="E237" s="9"/>
      <c r="F237" s="8"/>
      <c r="G237" s="10"/>
      <c r="H237" s="11"/>
      <c r="I237" s="143"/>
      <c r="J237" s="9"/>
      <c r="K237" s="143"/>
      <c r="L237" s="9"/>
      <c r="M237" s="8"/>
      <c r="N237" s="143"/>
      <c r="O237" s="9"/>
      <c r="P237" s="9"/>
      <c r="Q237" s="9"/>
      <c r="R237" s="9"/>
      <c r="S237" s="9"/>
      <c r="T237" s="9"/>
      <c r="U237" s="9"/>
      <c r="V237" s="9"/>
      <c r="W237" s="9"/>
      <c r="X237" s="11"/>
      <c r="Y237" s="143"/>
      <c r="Z237" s="9"/>
      <c r="AA237" s="143"/>
      <c r="AB237" s="9"/>
      <c r="AC237" s="8"/>
      <c r="AD237" s="143"/>
      <c r="AE237" s="9"/>
    </row>
    <row r="238" spans="1:31" outlineLevel="1" x14ac:dyDescent="0.15">
      <c r="A238" s="8"/>
      <c r="B238" s="8"/>
      <c r="C238" s="8"/>
      <c r="D238" s="8"/>
      <c r="E238" s="9"/>
      <c r="F238" s="8"/>
      <c r="G238" s="10"/>
      <c r="H238" s="11"/>
      <c r="I238" s="143"/>
      <c r="J238" s="9"/>
      <c r="K238" s="143"/>
      <c r="L238" s="9"/>
      <c r="M238" s="8"/>
      <c r="N238" s="143"/>
      <c r="O238" s="9"/>
      <c r="P238" s="9"/>
      <c r="Q238" s="9"/>
      <c r="R238" s="9"/>
      <c r="S238" s="9"/>
      <c r="T238" s="9"/>
      <c r="U238" s="9"/>
      <c r="V238" s="9"/>
      <c r="W238" s="9"/>
      <c r="X238" s="11"/>
      <c r="Y238" s="143"/>
      <c r="Z238" s="9"/>
      <c r="AA238" s="143"/>
      <c r="AB238" s="9"/>
      <c r="AC238" s="8"/>
      <c r="AD238" s="143"/>
      <c r="AE238" s="9"/>
    </row>
    <row r="239" spans="1:31" outlineLevel="1" x14ac:dyDescent="0.15">
      <c r="A239" s="8"/>
      <c r="B239" s="8"/>
      <c r="C239" s="8"/>
      <c r="D239" s="8"/>
      <c r="E239" s="9"/>
      <c r="F239" s="8"/>
      <c r="G239" s="10"/>
      <c r="H239" s="11"/>
      <c r="I239" s="143"/>
      <c r="J239" s="9"/>
      <c r="K239" s="143"/>
      <c r="L239" s="9"/>
      <c r="M239" s="8"/>
      <c r="N239" s="143"/>
      <c r="O239" s="9"/>
      <c r="P239" s="9"/>
      <c r="Q239" s="9"/>
      <c r="R239" s="9"/>
      <c r="S239" s="9"/>
      <c r="T239" s="9"/>
      <c r="U239" s="9"/>
      <c r="V239" s="9"/>
      <c r="W239" s="9"/>
      <c r="X239" s="11"/>
      <c r="Y239" s="143"/>
      <c r="Z239" s="9"/>
      <c r="AA239" s="143"/>
      <c r="AB239" s="9"/>
      <c r="AC239" s="8"/>
      <c r="AD239" s="143"/>
      <c r="AE239" s="9"/>
    </row>
    <row r="240" spans="1:31" outlineLevel="1" x14ac:dyDescent="0.15">
      <c r="A240" s="8"/>
      <c r="B240" s="8"/>
      <c r="C240" s="8"/>
      <c r="D240" s="8"/>
      <c r="E240" s="9"/>
      <c r="F240" s="8"/>
      <c r="G240" s="10"/>
      <c r="H240" s="11"/>
      <c r="I240" s="143"/>
      <c r="J240" s="9"/>
      <c r="K240" s="143"/>
      <c r="L240" s="9"/>
      <c r="M240" s="8"/>
      <c r="N240" s="143"/>
      <c r="O240" s="9"/>
      <c r="P240" s="9"/>
      <c r="Q240" s="9"/>
      <c r="R240" s="9"/>
      <c r="S240" s="9"/>
      <c r="T240" s="9"/>
      <c r="U240" s="9"/>
      <c r="V240" s="9"/>
      <c r="W240" s="9"/>
      <c r="X240" s="11"/>
      <c r="Y240" s="143"/>
      <c r="Z240" s="9"/>
      <c r="AA240" s="143"/>
      <c r="AB240" s="9"/>
      <c r="AC240" s="8"/>
      <c r="AD240" s="143"/>
      <c r="AE240" s="9"/>
    </row>
    <row r="241" spans="1:31" outlineLevel="1" x14ac:dyDescent="0.15">
      <c r="A241" s="8"/>
      <c r="B241" s="8"/>
      <c r="C241" s="8"/>
      <c r="D241" s="8"/>
      <c r="E241" s="9"/>
      <c r="F241" s="8"/>
      <c r="G241" s="10"/>
      <c r="H241" s="11"/>
      <c r="I241" s="143"/>
      <c r="J241" s="9"/>
      <c r="K241" s="143"/>
      <c r="L241" s="9"/>
      <c r="M241" s="8"/>
      <c r="N241" s="143"/>
      <c r="O241" s="9"/>
      <c r="P241" s="9"/>
      <c r="Q241" s="9"/>
      <c r="R241" s="9"/>
      <c r="S241" s="9"/>
      <c r="T241" s="9"/>
      <c r="U241" s="9"/>
      <c r="V241" s="9"/>
      <c r="W241" s="9"/>
      <c r="X241" s="11"/>
      <c r="Y241" s="143"/>
      <c r="Z241" s="9"/>
      <c r="AA241" s="143"/>
      <c r="AB241" s="9"/>
      <c r="AC241" s="8"/>
      <c r="AD241" s="143"/>
      <c r="AE241" s="9"/>
    </row>
    <row r="242" spans="1:31" outlineLevel="1" x14ac:dyDescent="0.15">
      <c r="A242" s="8"/>
      <c r="B242" s="8"/>
      <c r="C242" s="8"/>
      <c r="D242" s="8"/>
      <c r="E242" s="9"/>
      <c r="F242" s="8"/>
      <c r="G242" s="10"/>
      <c r="H242" s="11"/>
      <c r="I242" s="143"/>
      <c r="J242" s="9"/>
      <c r="K242" s="143"/>
      <c r="L242" s="9"/>
      <c r="M242" s="8"/>
      <c r="N242" s="143"/>
      <c r="O242" s="9"/>
      <c r="P242" s="9"/>
      <c r="Q242" s="9"/>
      <c r="R242" s="9"/>
      <c r="S242" s="9"/>
      <c r="T242" s="9"/>
      <c r="U242" s="9"/>
      <c r="V242" s="9"/>
      <c r="W242" s="9"/>
      <c r="X242" s="11"/>
      <c r="Y242" s="143"/>
      <c r="Z242" s="9"/>
      <c r="AA242" s="143"/>
      <c r="AB242" s="9"/>
      <c r="AC242" s="8"/>
      <c r="AD242" s="143"/>
      <c r="AE242" s="9"/>
    </row>
    <row r="243" spans="1:31" outlineLevel="1" x14ac:dyDescent="0.15">
      <c r="A243" s="8"/>
      <c r="B243" s="8"/>
      <c r="C243" s="8"/>
      <c r="D243" s="8"/>
      <c r="E243" s="9"/>
      <c r="F243" s="8"/>
      <c r="G243" s="10"/>
      <c r="H243" s="11"/>
      <c r="I243" s="143"/>
      <c r="J243" s="9"/>
      <c r="K243" s="143"/>
      <c r="L243" s="9"/>
      <c r="M243" s="8"/>
      <c r="N243" s="143"/>
      <c r="O243" s="9"/>
      <c r="P243" s="9"/>
      <c r="Q243" s="9"/>
      <c r="R243" s="9"/>
      <c r="S243" s="9"/>
      <c r="T243" s="9"/>
      <c r="U243" s="9"/>
      <c r="V243" s="9"/>
      <c r="W243" s="9"/>
      <c r="X243" s="11"/>
      <c r="Y243" s="143"/>
      <c r="Z243" s="9"/>
      <c r="AA243" s="143"/>
      <c r="AB243" s="9"/>
      <c r="AC243" s="8"/>
      <c r="AD243" s="143"/>
      <c r="AE243" s="9"/>
    </row>
    <row r="244" spans="1:31" outlineLevel="1" x14ac:dyDescent="0.15">
      <c r="A244" s="8"/>
      <c r="B244" s="8"/>
      <c r="C244" s="8"/>
      <c r="D244" s="8"/>
      <c r="E244" s="9"/>
      <c r="F244" s="8"/>
      <c r="G244" s="10"/>
      <c r="H244" s="11"/>
      <c r="I244" s="143"/>
      <c r="J244" s="9"/>
      <c r="K244" s="143"/>
      <c r="L244" s="9"/>
      <c r="M244" s="8"/>
      <c r="N244" s="143"/>
      <c r="O244" s="9"/>
      <c r="P244" s="9"/>
      <c r="Q244" s="9"/>
      <c r="R244" s="9"/>
      <c r="S244" s="9"/>
      <c r="T244" s="9"/>
      <c r="U244" s="9"/>
      <c r="V244" s="9"/>
      <c r="W244" s="9"/>
      <c r="X244" s="11"/>
      <c r="Y244" s="143"/>
      <c r="Z244" s="9"/>
      <c r="AA244" s="143"/>
      <c r="AB244" s="9"/>
      <c r="AC244" s="8"/>
      <c r="AD244" s="143"/>
      <c r="AE244" s="9"/>
    </row>
    <row r="245" spans="1:31" outlineLevel="1" x14ac:dyDescent="0.15">
      <c r="A245" s="8"/>
      <c r="B245" s="8"/>
      <c r="C245" s="8"/>
      <c r="D245" s="8"/>
      <c r="E245" s="9"/>
      <c r="F245" s="8"/>
      <c r="G245" s="10"/>
      <c r="H245" s="11"/>
      <c r="I245" s="143"/>
      <c r="J245" s="9"/>
      <c r="K245" s="143"/>
      <c r="L245" s="9"/>
      <c r="M245" s="8"/>
      <c r="N245" s="143"/>
      <c r="O245" s="9"/>
      <c r="P245" s="9"/>
      <c r="Q245" s="9"/>
      <c r="R245" s="9"/>
      <c r="S245" s="9"/>
      <c r="T245" s="9"/>
      <c r="U245" s="9"/>
      <c r="V245" s="9"/>
      <c r="W245" s="9"/>
      <c r="X245" s="11"/>
      <c r="Y245" s="143"/>
      <c r="Z245" s="9"/>
      <c r="AA245" s="143"/>
      <c r="AB245" s="9"/>
      <c r="AC245" s="8"/>
      <c r="AD245" s="143"/>
      <c r="AE245" s="9"/>
    </row>
    <row r="246" spans="1:31" outlineLevel="1" x14ac:dyDescent="0.15">
      <c r="A246" s="8"/>
      <c r="B246" s="8"/>
      <c r="C246" s="8"/>
      <c r="D246" s="8"/>
      <c r="E246" s="9"/>
      <c r="F246" s="8"/>
      <c r="G246" s="10"/>
      <c r="H246" s="11"/>
      <c r="I246" s="143"/>
      <c r="J246" s="9"/>
      <c r="K246" s="143"/>
      <c r="L246" s="9"/>
      <c r="M246" s="8"/>
      <c r="N246" s="143"/>
      <c r="O246" s="9"/>
      <c r="P246" s="9"/>
      <c r="Q246" s="9"/>
      <c r="R246" s="9"/>
      <c r="S246" s="9"/>
      <c r="T246" s="9"/>
      <c r="U246" s="9"/>
      <c r="V246" s="9"/>
      <c r="W246" s="9"/>
      <c r="X246" s="11"/>
      <c r="Y246" s="143"/>
      <c r="Z246" s="9"/>
      <c r="AA246" s="143"/>
      <c r="AB246" s="9"/>
      <c r="AC246" s="8"/>
      <c r="AD246" s="143"/>
      <c r="AE246" s="9"/>
    </row>
    <row r="247" spans="1:31" outlineLevel="1" x14ac:dyDescent="0.15">
      <c r="A247" s="8"/>
      <c r="B247" s="8"/>
      <c r="C247" s="8"/>
      <c r="D247" s="8"/>
      <c r="E247" s="9"/>
      <c r="F247" s="8"/>
      <c r="G247" s="10"/>
      <c r="H247" s="11"/>
      <c r="I247" s="143"/>
      <c r="J247" s="9"/>
      <c r="K247" s="143"/>
      <c r="L247" s="9"/>
      <c r="M247" s="8"/>
      <c r="N247" s="143"/>
      <c r="O247" s="9"/>
      <c r="P247" s="9"/>
      <c r="Q247" s="9"/>
      <c r="R247" s="9"/>
      <c r="S247" s="9"/>
      <c r="T247" s="9"/>
      <c r="U247" s="9"/>
      <c r="V247" s="9"/>
      <c r="W247" s="9"/>
      <c r="X247" s="11"/>
      <c r="Y247" s="143"/>
      <c r="Z247" s="9"/>
      <c r="AA247" s="143"/>
      <c r="AB247" s="9"/>
      <c r="AC247" s="8"/>
      <c r="AD247" s="143"/>
      <c r="AE247" s="9"/>
    </row>
    <row r="248" spans="1:31" outlineLevel="1" x14ac:dyDescent="0.15">
      <c r="A248" s="8"/>
      <c r="B248" s="8"/>
      <c r="C248" s="8"/>
      <c r="D248" s="8"/>
      <c r="E248" s="9"/>
      <c r="F248" s="8"/>
      <c r="G248" s="10"/>
      <c r="H248" s="11"/>
      <c r="I248" s="143"/>
      <c r="J248" s="9"/>
      <c r="K248" s="143"/>
      <c r="L248" s="9"/>
      <c r="M248" s="8"/>
      <c r="N248" s="143"/>
      <c r="O248" s="9"/>
      <c r="P248" s="9"/>
      <c r="Q248" s="9"/>
      <c r="R248" s="9"/>
      <c r="S248" s="9"/>
      <c r="T248" s="9"/>
      <c r="U248" s="9"/>
      <c r="V248" s="9"/>
      <c r="W248" s="9"/>
      <c r="X248" s="11"/>
      <c r="Y248" s="143"/>
      <c r="Z248" s="9"/>
      <c r="AA248" s="143"/>
      <c r="AB248" s="9"/>
      <c r="AC248" s="8"/>
      <c r="AD248" s="143"/>
      <c r="AE248" s="9"/>
    </row>
    <row r="249" spans="1:31" outlineLevel="1" x14ac:dyDescent="0.15">
      <c r="A249" s="8"/>
      <c r="B249" s="8"/>
      <c r="C249" s="8"/>
      <c r="D249" s="8"/>
      <c r="E249" s="9"/>
      <c r="F249" s="8"/>
      <c r="G249" s="10"/>
      <c r="H249" s="11"/>
      <c r="I249" s="143"/>
      <c r="J249" s="9"/>
      <c r="K249" s="143"/>
      <c r="L249" s="9"/>
      <c r="M249" s="8"/>
      <c r="N249" s="143"/>
      <c r="O249" s="9"/>
      <c r="P249" s="9"/>
      <c r="Q249" s="9"/>
      <c r="R249" s="9"/>
      <c r="S249" s="9"/>
      <c r="T249" s="9"/>
      <c r="U249" s="9"/>
      <c r="V249" s="9"/>
      <c r="W249" s="9"/>
      <c r="X249" s="11"/>
      <c r="Y249" s="143"/>
      <c r="Z249" s="9"/>
      <c r="AA249" s="143"/>
      <c r="AB249" s="9"/>
      <c r="AC249" s="8"/>
      <c r="AD249" s="143"/>
      <c r="AE249" s="9"/>
    </row>
    <row r="250" spans="1:31" outlineLevel="1" x14ac:dyDescent="0.15">
      <c r="A250" s="8"/>
      <c r="B250" s="8"/>
      <c r="C250" s="8"/>
      <c r="D250" s="8"/>
      <c r="E250" s="9"/>
      <c r="F250" s="8"/>
      <c r="G250" s="10"/>
      <c r="H250" s="11"/>
      <c r="I250" s="143"/>
      <c r="J250" s="9"/>
      <c r="K250" s="143"/>
      <c r="L250" s="9"/>
      <c r="M250" s="8"/>
      <c r="N250" s="143"/>
      <c r="O250" s="9"/>
      <c r="P250" s="9"/>
      <c r="Q250" s="9"/>
      <c r="R250" s="9"/>
      <c r="S250" s="9"/>
      <c r="T250" s="9"/>
      <c r="U250" s="9"/>
      <c r="V250" s="9"/>
      <c r="W250" s="9"/>
      <c r="X250" s="11"/>
      <c r="Y250" s="143"/>
      <c r="Z250" s="9"/>
      <c r="AA250" s="143"/>
      <c r="AB250" s="9"/>
      <c r="AC250" s="8"/>
      <c r="AD250" s="143"/>
      <c r="AE250" s="9"/>
    </row>
    <row r="251" spans="1:31" outlineLevel="1" x14ac:dyDescent="0.15">
      <c r="A251" s="8"/>
      <c r="B251" s="8"/>
      <c r="C251" s="8"/>
      <c r="D251" s="8"/>
      <c r="E251" s="9"/>
      <c r="F251" s="8"/>
      <c r="G251" s="10"/>
      <c r="H251" s="11"/>
      <c r="I251" s="143"/>
      <c r="J251" s="9"/>
      <c r="K251" s="143"/>
      <c r="L251" s="9"/>
      <c r="M251" s="8"/>
      <c r="N251" s="143"/>
      <c r="O251" s="9"/>
      <c r="P251" s="9"/>
      <c r="Q251" s="9"/>
      <c r="R251" s="9"/>
      <c r="S251" s="9"/>
      <c r="T251" s="9"/>
      <c r="U251" s="9"/>
      <c r="V251" s="9"/>
      <c r="W251" s="9"/>
      <c r="X251" s="11"/>
      <c r="Y251" s="143"/>
      <c r="Z251" s="9"/>
      <c r="AA251" s="143"/>
      <c r="AB251" s="9"/>
      <c r="AC251" s="8"/>
      <c r="AD251" s="143"/>
      <c r="AE251" s="9"/>
    </row>
    <row r="252" spans="1:31" outlineLevel="1" x14ac:dyDescent="0.15">
      <c r="A252" s="8"/>
      <c r="B252" s="8"/>
      <c r="C252" s="8"/>
      <c r="D252" s="8"/>
      <c r="E252" s="9"/>
      <c r="F252" s="8"/>
      <c r="G252" s="10"/>
      <c r="H252" s="11"/>
      <c r="I252" s="143"/>
      <c r="J252" s="9"/>
      <c r="K252" s="143"/>
      <c r="L252" s="9"/>
      <c r="M252" s="8"/>
      <c r="N252" s="143"/>
      <c r="O252" s="9"/>
      <c r="P252" s="9"/>
      <c r="Q252" s="9"/>
      <c r="R252" s="9"/>
      <c r="S252" s="9"/>
      <c r="T252" s="9"/>
      <c r="U252" s="9"/>
      <c r="V252" s="9"/>
      <c r="W252" s="9"/>
      <c r="X252" s="11"/>
      <c r="Y252" s="143"/>
      <c r="Z252" s="9"/>
      <c r="AA252" s="143"/>
      <c r="AB252" s="9"/>
      <c r="AC252" s="8"/>
      <c r="AD252" s="143"/>
      <c r="AE252" s="9"/>
    </row>
    <row r="253" spans="1:31" outlineLevel="1" x14ac:dyDescent="0.15">
      <c r="A253" s="8"/>
      <c r="B253" s="8"/>
      <c r="C253" s="8"/>
      <c r="D253" s="8"/>
      <c r="E253" s="9"/>
      <c r="F253" s="8"/>
      <c r="G253" s="10"/>
      <c r="H253" s="11"/>
      <c r="I253" s="143"/>
      <c r="J253" s="9"/>
      <c r="K253" s="143"/>
      <c r="L253" s="9"/>
      <c r="M253" s="8"/>
      <c r="N253" s="143"/>
      <c r="O253" s="9"/>
      <c r="P253" s="9"/>
      <c r="Q253" s="9"/>
      <c r="R253" s="9"/>
      <c r="S253" s="9"/>
      <c r="T253" s="9"/>
      <c r="U253" s="9"/>
      <c r="V253" s="9"/>
      <c r="W253" s="9"/>
      <c r="X253" s="11"/>
      <c r="Y253" s="143"/>
      <c r="Z253" s="9"/>
      <c r="AA253" s="143"/>
      <c r="AB253" s="9"/>
      <c r="AC253" s="8"/>
      <c r="AD253" s="143"/>
      <c r="AE253" s="9"/>
    </row>
    <row r="254" spans="1:31" outlineLevel="1" x14ac:dyDescent="0.15">
      <c r="A254" s="8"/>
      <c r="B254" s="8"/>
      <c r="C254" s="8"/>
      <c r="D254" s="8"/>
      <c r="E254" s="9"/>
      <c r="F254" s="8"/>
      <c r="G254" s="10"/>
      <c r="H254" s="11"/>
      <c r="I254" s="143"/>
      <c r="J254" s="9"/>
      <c r="K254" s="143"/>
      <c r="L254" s="9"/>
      <c r="M254" s="8"/>
      <c r="N254" s="143"/>
      <c r="O254" s="9"/>
      <c r="P254" s="9"/>
      <c r="Q254" s="9"/>
      <c r="R254" s="9"/>
      <c r="S254" s="9"/>
      <c r="T254" s="9"/>
      <c r="U254" s="9"/>
      <c r="V254" s="9"/>
      <c r="W254" s="9"/>
      <c r="X254" s="11"/>
      <c r="Y254" s="143"/>
      <c r="Z254" s="9"/>
      <c r="AA254" s="143"/>
      <c r="AB254" s="9"/>
      <c r="AC254" s="8"/>
      <c r="AD254" s="143"/>
      <c r="AE254" s="9"/>
    </row>
    <row r="255" spans="1:31" outlineLevel="1" x14ac:dyDescent="0.15">
      <c r="A255" s="8"/>
      <c r="B255" s="8"/>
      <c r="C255" s="8"/>
      <c r="D255" s="8"/>
      <c r="E255" s="9"/>
      <c r="F255" s="8"/>
      <c r="G255" s="10"/>
      <c r="H255" s="11"/>
      <c r="I255" s="143"/>
      <c r="J255" s="9"/>
      <c r="K255" s="143"/>
      <c r="L255" s="9"/>
      <c r="M255" s="8"/>
      <c r="N255" s="143"/>
      <c r="O255" s="9"/>
      <c r="P255" s="9"/>
      <c r="Q255" s="9"/>
      <c r="R255" s="9"/>
      <c r="S255" s="9"/>
      <c r="T255" s="9"/>
      <c r="U255" s="9"/>
      <c r="V255" s="9"/>
      <c r="W255" s="9"/>
      <c r="X255" s="11"/>
      <c r="Y255" s="143"/>
      <c r="Z255" s="9"/>
      <c r="AA255" s="143"/>
      <c r="AB255" s="9"/>
      <c r="AC255" s="8"/>
      <c r="AD255" s="143"/>
      <c r="AE255" s="9"/>
    </row>
    <row r="256" spans="1:31" outlineLevel="1" x14ac:dyDescent="0.15">
      <c r="A256" s="8"/>
      <c r="B256" s="8"/>
      <c r="C256" s="8"/>
      <c r="D256" s="8"/>
      <c r="E256" s="9"/>
      <c r="F256" s="8"/>
      <c r="G256" s="10"/>
      <c r="H256" s="11"/>
      <c r="I256" s="143"/>
      <c r="J256" s="9"/>
      <c r="K256" s="143"/>
      <c r="L256" s="9"/>
      <c r="M256" s="8"/>
      <c r="N256" s="143"/>
      <c r="O256" s="9"/>
      <c r="P256" s="9"/>
      <c r="Q256" s="9"/>
      <c r="R256" s="9"/>
      <c r="S256" s="9"/>
      <c r="T256" s="9"/>
      <c r="U256" s="9"/>
      <c r="V256" s="9"/>
      <c r="W256" s="9"/>
      <c r="X256" s="11"/>
      <c r="Y256" s="143"/>
      <c r="Z256" s="9"/>
      <c r="AA256" s="143"/>
      <c r="AB256" s="9"/>
      <c r="AC256" s="8"/>
      <c r="AD256" s="143"/>
      <c r="AE256" s="9"/>
    </row>
    <row r="257" spans="1:31" outlineLevel="1" x14ac:dyDescent="0.15">
      <c r="A257" s="8"/>
      <c r="B257" s="8"/>
      <c r="C257" s="8"/>
      <c r="D257" s="8"/>
      <c r="E257" s="9"/>
      <c r="F257" s="8"/>
      <c r="G257" s="10"/>
      <c r="H257" s="11"/>
      <c r="I257" s="143"/>
      <c r="J257" s="9"/>
      <c r="K257" s="143"/>
      <c r="L257" s="9"/>
      <c r="M257" s="8"/>
      <c r="N257" s="143"/>
      <c r="O257" s="9"/>
      <c r="P257" s="9"/>
      <c r="Q257" s="9"/>
      <c r="R257" s="9"/>
      <c r="S257" s="9"/>
      <c r="T257" s="9"/>
      <c r="U257" s="9"/>
      <c r="V257" s="9"/>
      <c r="W257" s="9"/>
      <c r="X257" s="11"/>
      <c r="Y257" s="143"/>
      <c r="Z257" s="9"/>
      <c r="AA257" s="143"/>
      <c r="AB257" s="9"/>
      <c r="AC257" s="8"/>
      <c r="AD257" s="143"/>
      <c r="AE257" s="9"/>
    </row>
    <row r="258" spans="1:31" outlineLevel="1" x14ac:dyDescent="0.15">
      <c r="A258" s="8"/>
      <c r="B258" s="8"/>
      <c r="C258" s="8"/>
      <c r="D258" s="8"/>
      <c r="E258" s="9"/>
      <c r="F258" s="8"/>
      <c r="G258" s="10"/>
      <c r="H258" s="11"/>
      <c r="I258" s="143"/>
      <c r="J258" s="9"/>
      <c r="K258" s="143"/>
      <c r="L258" s="9"/>
      <c r="M258" s="8"/>
      <c r="N258" s="143"/>
      <c r="O258" s="9"/>
      <c r="P258" s="9"/>
      <c r="Q258" s="9"/>
      <c r="R258" s="9"/>
      <c r="S258" s="9"/>
      <c r="T258" s="9"/>
      <c r="U258" s="9"/>
      <c r="V258" s="9"/>
      <c r="W258" s="9"/>
      <c r="X258" s="11"/>
      <c r="Y258" s="143"/>
      <c r="Z258" s="9"/>
      <c r="AA258" s="143"/>
      <c r="AB258" s="9"/>
      <c r="AC258" s="8"/>
      <c r="AD258" s="143"/>
      <c r="AE258" s="9"/>
    </row>
    <row r="259" spans="1:31" outlineLevel="1" x14ac:dyDescent="0.15">
      <c r="A259" s="8"/>
      <c r="B259" s="8"/>
      <c r="C259" s="8"/>
      <c r="D259" s="8"/>
      <c r="E259" s="9"/>
      <c r="F259" s="8"/>
      <c r="G259" s="10"/>
      <c r="H259" s="11"/>
      <c r="I259" s="143"/>
      <c r="J259" s="9"/>
      <c r="K259" s="143"/>
      <c r="L259" s="9"/>
      <c r="M259" s="8"/>
      <c r="N259" s="143"/>
      <c r="O259" s="9"/>
      <c r="P259" s="9"/>
      <c r="Q259" s="9"/>
      <c r="R259" s="9"/>
      <c r="S259" s="9"/>
      <c r="T259" s="9"/>
      <c r="U259" s="9"/>
      <c r="V259" s="9"/>
      <c r="W259" s="9"/>
      <c r="X259" s="11"/>
      <c r="Y259" s="143"/>
      <c r="Z259" s="9"/>
      <c r="AA259" s="143"/>
      <c r="AB259" s="9"/>
      <c r="AC259" s="8"/>
      <c r="AD259" s="143"/>
      <c r="AE259" s="9"/>
    </row>
    <row r="260" spans="1:31" outlineLevel="1" x14ac:dyDescent="0.15">
      <c r="A260" s="8"/>
      <c r="B260" s="8"/>
      <c r="C260" s="8"/>
      <c r="D260" s="8"/>
      <c r="E260" s="9"/>
      <c r="F260" s="8"/>
      <c r="G260" s="10"/>
      <c r="H260" s="11"/>
      <c r="I260" s="143"/>
      <c r="J260" s="9"/>
      <c r="K260" s="143"/>
      <c r="L260" s="9"/>
      <c r="M260" s="8"/>
      <c r="N260" s="143"/>
      <c r="O260" s="9"/>
      <c r="P260" s="9"/>
      <c r="Q260" s="9"/>
      <c r="R260" s="9"/>
      <c r="S260" s="9"/>
      <c r="T260" s="9"/>
      <c r="U260" s="9"/>
      <c r="V260" s="9"/>
      <c r="W260" s="9"/>
      <c r="X260" s="11"/>
      <c r="Y260" s="143"/>
      <c r="Z260" s="9"/>
      <c r="AA260" s="143"/>
      <c r="AB260" s="9"/>
      <c r="AC260" s="8"/>
      <c r="AD260" s="143"/>
      <c r="AE260" s="9"/>
    </row>
    <row r="261" spans="1:31" outlineLevel="1" x14ac:dyDescent="0.15">
      <c r="A261" s="8"/>
      <c r="B261" s="8"/>
      <c r="C261" s="8"/>
      <c r="D261" s="8"/>
      <c r="E261" s="9"/>
      <c r="F261" s="8"/>
      <c r="G261" s="10"/>
      <c r="H261" s="11"/>
      <c r="I261" s="143"/>
      <c r="J261" s="9"/>
      <c r="K261" s="143"/>
      <c r="L261" s="9"/>
      <c r="M261" s="8"/>
      <c r="N261" s="143"/>
      <c r="O261" s="9"/>
      <c r="P261" s="9"/>
      <c r="Q261" s="9"/>
      <c r="R261" s="9"/>
      <c r="S261" s="9"/>
      <c r="T261" s="9"/>
      <c r="U261" s="9"/>
      <c r="V261" s="9"/>
      <c r="W261" s="9"/>
      <c r="X261" s="11"/>
      <c r="Y261" s="143"/>
      <c r="Z261" s="9"/>
      <c r="AA261" s="143"/>
      <c r="AB261" s="9"/>
      <c r="AC261" s="8"/>
      <c r="AD261" s="143"/>
      <c r="AE261" s="9"/>
    </row>
    <row r="262" spans="1:31" outlineLevel="1" x14ac:dyDescent="0.15">
      <c r="A262" s="8"/>
      <c r="B262" s="8"/>
      <c r="C262" s="8"/>
      <c r="D262" s="8"/>
      <c r="E262" s="9"/>
      <c r="F262" s="8"/>
      <c r="G262" s="10"/>
      <c r="H262" s="11"/>
      <c r="I262" s="143"/>
      <c r="J262" s="9"/>
      <c r="K262" s="143"/>
      <c r="L262" s="9"/>
      <c r="M262" s="8"/>
      <c r="N262" s="143"/>
      <c r="O262" s="9"/>
      <c r="P262" s="9"/>
      <c r="Q262" s="9"/>
      <c r="R262" s="9"/>
      <c r="S262" s="9"/>
      <c r="T262" s="9"/>
      <c r="U262" s="9"/>
      <c r="V262" s="9"/>
      <c r="W262" s="9"/>
      <c r="X262" s="11"/>
      <c r="Y262" s="143"/>
      <c r="Z262" s="9"/>
      <c r="AA262" s="143"/>
      <c r="AB262" s="9"/>
      <c r="AC262" s="8"/>
      <c r="AD262" s="143"/>
      <c r="AE262" s="9"/>
    </row>
    <row r="263" spans="1:31" outlineLevel="1" x14ac:dyDescent="0.15">
      <c r="A263" s="8"/>
      <c r="B263" s="8"/>
      <c r="C263" s="8"/>
      <c r="D263" s="8"/>
      <c r="E263" s="9"/>
      <c r="F263" s="8"/>
      <c r="G263" s="10"/>
      <c r="H263" s="11"/>
      <c r="I263" s="143"/>
      <c r="J263" s="9"/>
      <c r="K263" s="143"/>
      <c r="L263" s="9"/>
      <c r="M263" s="8"/>
      <c r="N263" s="143"/>
      <c r="O263" s="9"/>
      <c r="P263" s="9"/>
      <c r="Q263" s="9"/>
      <c r="R263" s="9"/>
      <c r="S263" s="9"/>
      <c r="T263" s="9"/>
      <c r="U263" s="9"/>
      <c r="V263" s="9"/>
      <c r="W263" s="9"/>
      <c r="X263" s="11"/>
      <c r="Y263" s="143"/>
      <c r="Z263" s="9"/>
      <c r="AA263" s="143"/>
      <c r="AB263" s="9"/>
      <c r="AC263" s="8"/>
      <c r="AD263" s="143"/>
      <c r="AE263" s="9"/>
    </row>
    <row r="264" spans="1:31" outlineLevel="1" x14ac:dyDescent="0.15">
      <c r="A264" s="8"/>
      <c r="B264" s="8"/>
      <c r="C264" s="8"/>
      <c r="D264" s="8"/>
      <c r="E264" s="9"/>
      <c r="F264" s="8"/>
      <c r="G264" s="10"/>
      <c r="H264" s="11"/>
      <c r="I264" s="143"/>
      <c r="J264" s="9"/>
      <c r="K264" s="143"/>
      <c r="L264" s="9"/>
      <c r="M264" s="8"/>
      <c r="N264" s="143"/>
      <c r="O264" s="9"/>
      <c r="P264" s="9"/>
      <c r="Q264" s="9"/>
      <c r="R264" s="9"/>
      <c r="S264" s="9"/>
      <c r="T264" s="9"/>
      <c r="U264" s="9"/>
      <c r="V264" s="9"/>
      <c r="W264" s="9"/>
      <c r="X264" s="11"/>
      <c r="Y264" s="143"/>
      <c r="Z264" s="9"/>
      <c r="AA264" s="143"/>
      <c r="AB264" s="9"/>
      <c r="AC264" s="8"/>
      <c r="AD264" s="143"/>
      <c r="AE264" s="9"/>
    </row>
    <row r="265" spans="1:31" outlineLevel="1" x14ac:dyDescent="0.15">
      <c r="A265" s="8"/>
      <c r="B265" s="8"/>
      <c r="C265" s="8"/>
      <c r="D265" s="8"/>
      <c r="E265" s="9"/>
      <c r="F265" s="8"/>
      <c r="G265" s="10"/>
      <c r="H265" s="11"/>
      <c r="I265" s="143"/>
      <c r="J265" s="9"/>
      <c r="K265" s="143"/>
      <c r="L265" s="9"/>
      <c r="M265" s="8"/>
      <c r="N265" s="143"/>
      <c r="O265" s="9"/>
      <c r="P265" s="9"/>
      <c r="Q265" s="9"/>
      <c r="R265" s="9"/>
      <c r="S265" s="9"/>
      <c r="T265" s="9"/>
      <c r="U265" s="9"/>
      <c r="V265" s="9"/>
      <c r="W265" s="9"/>
      <c r="X265" s="11"/>
      <c r="Y265" s="143"/>
      <c r="Z265" s="9"/>
      <c r="AA265" s="143"/>
      <c r="AB265" s="9"/>
      <c r="AC265" s="8"/>
      <c r="AD265" s="143"/>
      <c r="AE265" s="9"/>
    </row>
    <row r="266" spans="1:31" outlineLevel="1" x14ac:dyDescent="0.15">
      <c r="A266" s="8"/>
      <c r="B266" s="8"/>
      <c r="C266" s="8"/>
      <c r="D266" s="8"/>
      <c r="E266" s="9"/>
      <c r="F266" s="8"/>
      <c r="G266" s="10"/>
      <c r="H266" s="11"/>
      <c r="I266" s="143"/>
      <c r="J266" s="9"/>
      <c r="K266" s="143"/>
      <c r="L266" s="9"/>
      <c r="M266" s="8"/>
      <c r="N266" s="143"/>
      <c r="O266" s="9"/>
      <c r="P266" s="9"/>
      <c r="Q266" s="9"/>
      <c r="R266" s="9"/>
      <c r="S266" s="9"/>
      <c r="T266" s="9"/>
      <c r="U266" s="9"/>
      <c r="V266" s="9"/>
      <c r="W266" s="9"/>
      <c r="X266" s="11"/>
      <c r="Y266" s="143"/>
      <c r="Z266" s="9"/>
      <c r="AA266" s="143"/>
      <c r="AB266" s="9"/>
      <c r="AC266" s="8"/>
      <c r="AD266" s="143"/>
      <c r="AE266" s="9"/>
    </row>
    <row r="267" spans="1:31" outlineLevel="1" x14ac:dyDescent="0.15">
      <c r="A267" s="8"/>
      <c r="B267" s="8"/>
      <c r="C267" s="8"/>
      <c r="D267" s="8"/>
      <c r="E267" s="9"/>
      <c r="F267" s="8"/>
      <c r="G267" s="10"/>
      <c r="H267" s="11"/>
      <c r="I267" s="143"/>
      <c r="J267" s="9"/>
      <c r="K267" s="143"/>
      <c r="L267" s="9"/>
      <c r="M267" s="8"/>
      <c r="N267" s="143"/>
      <c r="O267" s="9"/>
      <c r="P267" s="9"/>
      <c r="Q267" s="9"/>
      <c r="R267" s="9"/>
      <c r="S267" s="9"/>
      <c r="T267" s="9"/>
      <c r="U267" s="9"/>
      <c r="V267" s="9"/>
      <c r="W267" s="9"/>
      <c r="X267" s="11"/>
      <c r="Y267" s="143"/>
      <c r="Z267" s="9"/>
      <c r="AA267" s="143"/>
      <c r="AB267" s="9"/>
      <c r="AC267" s="8"/>
      <c r="AD267" s="143"/>
      <c r="AE267" s="9"/>
    </row>
    <row r="268" spans="1:31" outlineLevel="1" x14ac:dyDescent="0.15">
      <c r="A268" s="8"/>
      <c r="B268" s="8"/>
      <c r="C268" s="8"/>
      <c r="D268" s="8"/>
      <c r="E268" s="9"/>
      <c r="F268" s="8"/>
      <c r="G268" s="10"/>
      <c r="H268" s="11"/>
      <c r="I268" s="143"/>
      <c r="J268" s="9"/>
      <c r="K268" s="143"/>
      <c r="L268" s="9"/>
      <c r="M268" s="8"/>
      <c r="N268" s="143"/>
      <c r="O268" s="9"/>
      <c r="P268" s="9"/>
      <c r="Q268" s="9"/>
      <c r="R268" s="9"/>
      <c r="S268" s="9"/>
      <c r="T268" s="9"/>
      <c r="U268" s="9"/>
      <c r="V268" s="9"/>
      <c r="W268" s="9"/>
      <c r="X268" s="11"/>
      <c r="Y268" s="143"/>
      <c r="Z268" s="9"/>
      <c r="AA268" s="143"/>
      <c r="AB268" s="9"/>
      <c r="AC268" s="8"/>
      <c r="AD268" s="143"/>
      <c r="AE268" s="9"/>
    </row>
    <row r="269" spans="1:31" outlineLevel="1" x14ac:dyDescent="0.15">
      <c r="A269" s="8"/>
      <c r="B269" s="8"/>
      <c r="C269" s="8"/>
      <c r="D269" s="8"/>
      <c r="E269" s="9"/>
      <c r="F269" s="8"/>
      <c r="G269" s="10"/>
      <c r="H269" s="11"/>
      <c r="I269" s="143"/>
      <c r="J269" s="9"/>
      <c r="K269" s="143"/>
      <c r="L269" s="9"/>
      <c r="M269" s="8"/>
      <c r="N269" s="143"/>
      <c r="O269" s="9"/>
      <c r="P269" s="9"/>
      <c r="Q269" s="9"/>
      <c r="R269" s="9"/>
      <c r="S269" s="9"/>
      <c r="T269" s="9"/>
      <c r="U269" s="9"/>
      <c r="V269" s="9"/>
      <c r="W269" s="9"/>
      <c r="X269" s="11"/>
      <c r="Y269" s="143"/>
      <c r="Z269" s="9"/>
      <c r="AA269" s="143"/>
      <c r="AB269" s="9"/>
      <c r="AC269" s="8"/>
      <c r="AD269" s="143"/>
      <c r="AE269" s="9"/>
    </row>
    <row r="270" spans="1:31" outlineLevel="1" x14ac:dyDescent="0.15">
      <c r="A270" s="8"/>
      <c r="B270" s="8"/>
      <c r="C270" s="8"/>
      <c r="D270" s="8"/>
      <c r="E270" s="9"/>
      <c r="F270" s="8"/>
      <c r="G270" s="10"/>
      <c r="H270" s="11"/>
      <c r="I270" s="143"/>
      <c r="J270" s="9"/>
      <c r="K270" s="143"/>
      <c r="L270" s="9"/>
      <c r="M270" s="8"/>
      <c r="N270" s="143"/>
      <c r="O270" s="9"/>
      <c r="P270" s="9"/>
      <c r="Q270" s="9"/>
      <c r="R270" s="9"/>
      <c r="S270" s="9"/>
      <c r="T270" s="9"/>
      <c r="U270" s="9"/>
      <c r="V270" s="9"/>
      <c r="W270" s="9"/>
      <c r="X270" s="11"/>
      <c r="Y270" s="143"/>
      <c r="Z270" s="9"/>
      <c r="AA270" s="143"/>
      <c r="AB270" s="9"/>
      <c r="AC270" s="8"/>
      <c r="AD270" s="143"/>
      <c r="AE270" s="9"/>
    </row>
    <row r="271" spans="1:31" outlineLevel="1" x14ac:dyDescent="0.15">
      <c r="A271" s="8"/>
      <c r="B271" s="8"/>
      <c r="C271" s="8"/>
      <c r="D271" s="8"/>
      <c r="E271" s="9"/>
      <c r="F271" s="8"/>
      <c r="G271" s="10"/>
      <c r="H271" s="11"/>
      <c r="I271" s="143"/>
      <c r="J271" s="9"/>
      <c r="K271" s="143"/>
      <c r="L271" s="9"/>
      <c r="M271" s="8"/>
      <c r="N271" s="143"/>
      <c r="O271" s="9"/>
      <c r="P271" s="9"/>
      <c r="Q271" s="9"/>
      <c r="R271" s="9"/>
      <c r="S271" s="9"/>
      <c r="T271" s="9"/>
      <c r="U271" s="9"/>
      <c r="V271" s="9"/>
      <c r="W271" s="9"/>
      <c r="X271" s="11"/>
      <c r="Y271" s="143"/>
      <c r="Z271" s="9"/>
      <c r="AA271" s="143"/>
      <c r="AB271" s="9"/>
      <c r="AC271" s="8"/>
      <c r="AD271" s="143"/>
      <c r="AE271" s="9"/>
    </row>
    <row r="272" spans="1:31" outlineLevel="1" x14ac:dyDescent="0.15">
      <c r="A272" s="8"/>
      <c r="B272" s="8"/>
      <c r="C272" s="8"/>
      <c r="D272" s="8"/>
      <c r="E272" s="9"/>
      <c r="F272" s="8"/>
      <c r="G272" s="10"/>
      <c r="H272" s="11"/>
      <c r="I272" s="143"/>
      <c r="J272" s="9"/>
      <c r="K272" s="143"/>
      <c r="L272" s="9"/>
      <c r="M272" s="8"/>
      <c r="N272" s="143"/>
      <c r="O272" s="9"/>
      <c r="P272" s="9"/>
      <c r="Q272" s="9"/>
      <c r="R272" s="9"/>
      <c r="S272" s="9"/>
      <c r="T272" s="9"/>
      <c r="U272" s="9"/>
      <c r="V272" s="9"/>
      <c r="W272" s="9"/>
      <c r="X272" s="11"/>
      <c r="Y272" s="143"/>
      <c r="Z272" s="9"/>
      <c r="AA272" s="143"/>
      <c r="AB272" s="9"/>
      <c r="AC272" s="8"/>
      <c r="AD272" s="143"/>
      <c r="AE272" s="9"/>
    </row>
    <row r="273" spans="1:31" outlineLevel="1" x14ac:dyDescent="0.15">
      <c r="A273" s="8"/>
      <c r="B273" s="8"/>
      <c r="C273" s="8"/>
      <c r="D273" s="8"/>
      <c r="E273" s="9"/>
      <c r="F273" s="8"/>
      <c r="G273" s="10"/>
      <c r="H273" s="11"/>
      <c r="I273" s="143"/>
      <c r="J273" s="9"/>
      <c r="K273" s="143"/>
      <c r="L273" s="9"/>
      <c r="M273" s="8"/>
      <c r="N273" s="143"/>
      <c r="O273" s="9"/>
      <c r="P273" s="9"/>
      <c r="Q273" s="9"/>
      <c r="R273" s="9"/>
      <c r="S273" s="9"/>
      <c r="T273" s="9"/>
      <c r="U273" s="9"/>
      <c r="V273" s="9"/>
      <c r="W273" s="9"/>
      <c r="X273" s="11"/>
      <c r="Y273" s="143"/>
      <c r="Z273" s="9"/>
      <c r="AA273" s="143"/>
      <c r="AB273" s="9"/>
      <c r="AC273" s="8"/>
      <c r="AD273" s="143"/>
      <c r="AE273" s="9"/>
    </row>
    <row r="274" spans="1:31" outlineLevel="1" x14ac:dyDescent="0.15">
      <c r="A274" s="8"/>
      <c r="B274" s="8"/>
      <c r="C274" s="8"/>
      <c r="D274" s="8"/>
      <c r="E274" s="9"/>
      <c r="F274" s="8"/>
      <c r="G274" s="10"/>
      <c r="H274" s="11"/>
      <c r="I274" s="143"/>
      <c r="J274" s="9"/>
      <c r="K274" s="143"/>
      <c r="L274" s="9"/>
      <c r="M274" s="8"/>
      <c r="N274" s="143"/>
      <c r="O274" s="9"/>
      <c r="P274" s="9"/>
      <c r="Q274" s="9"/>
      <c r="R274" s="9"/>
      <c r="S274" s="9"/>
      <c r="T274" s="9"/>
      <c r="U274" s="9"/>
      <c r="V274" s="9"/>
      <c r="W274" s="9"/>
      <c r="X274" s="11"/>
      <c r="Y274" s="143"/>
      <c r="Z274" s="9"/>
      <c r="AA274" s="143"/>
      <c r="AB274" s="9"/>
      <c r="AC274" s="8"/>
      <c r="AD274" s="143"/>
      <c r="AE274" s="9"/>
    </row>
    <row r="275" spans="1:31" outlineLevel="1" x14ac:dyDescent="0.15">
      <c r="A275" s="8"/>
      <c r="B275" s="8"/>
      <c r="C275" s="8"/>
      <c r="D275" s="8"/>
      <c r="E275" s="9"/>
      <c r="F275" s="8"/>
      <c r="G275" s="10"/>
      <c r="H275" s="11"/>
      <c r="I275" s="143"/>
      <c r="J275" s="9"/>
      <c r="K275" s="143"/>
      <c r="L275" s="9"/>
      <c r="M275" s="8"/>
      <c r="N275" s="143"/>
      <c r="O275" s="9"/>
      <c r="P275" s="9"/>
      <c r="Q275" s="9"/>
      <c r="R275" s="9"/>
      <c r="S275" s="9"/>
      <c r="T275" s="9"/>
      <c r="U275" s="9"/>
      <c r="V275" s="9"/>
      <c r="W275" s="9"/>
      <c r="X275" s="11"/>
      <c r="Y275" s="143"/>
      <c r="Z275" s="9"/>
      <c r="AA275" s="143"/>
      <c r="AB275" s="9"/>
      <c r="AC275" s="8"/>
      <c r="AD275" s="143"/>
      <c r="AE275" s="9"/>
    </row>
    <row r="276" spans="1:31" outlineLevel="1" x14ac:dyDescent="0.15">
      <c r="A276" s="8"/>
      <c r="B276" s="8"/>
      <c r="C276" s="8"/>
      <c r="D276" s="8"/>
      <c r="E276" s="9"/>
      <c r="F276" s="8"/>
      <c r="G276" s="10"/>
      <c r="H276" s="11"/>
      <c r="I276" s="143"/>
      <c r="J276" s="9"/>
      <c r="K276" s="143"/>
      <c r="L276" s="9"/>
      <c r="M276" s="8"/>
      <c r="N276" s="143"/>
      <c r="O276" s="9"/>
      <c r="P276" s="9"/>
      <c r="Q276" s="9"/>
      <c r="R276" s="9"/>
      <c r="S276" s="9"/>
      <c r="T276" s="9"/>
      <c r="U276" s="9"/>
      <c r="V276" s="9"/>
      <c r="W276" s="9"/>
      <c r="X276" s="11"/>
      <c r="Y276" s="143"/>
      <c r="Z276" s="9"/>
      <c r="AA276" s="143"/>
      <c r="AB276" s="9"/>
      <c r="AC276" s="8"/>
      <c r="AD276" s="143"/>
      <c r="AE276" s="9"/>
    </row>
    <row r="277" spans="1:31" outlineLevel="1" x14ac:dyDescent="0.15">
      <c r="A277" s="8"/>
      <c r="B277" s="8"/>
      <c r="C277" s="8"/>
      <c r="D277" s="8"/>
      <c r="E277" s="9"/>
      <c r="F277" s="8"/>
      <c r="G277" s="10"/>
      <c r="H277" s="11"/>
      <c r="I277" s="143"/>
      <c r="J277" s="9"/>
      <c r="K277" s="143"/>
      <c r="L277" s="9"/>
      <c r="M277" s="8"/>
      <c r="N277" s="143"/>
      <c r="O277" s="9"/>
      <c r="P277" s="9"/>
      <c r="Q277" s="9"/>
      <c r="R277" s="9"/>
      <c r="S277" s="9"/>
      <c r="T277" s="9"/>
      <c r="U277" s="9"/>
      <c r="V277" s="9"/>
      <c r="W277" s="9"/>
      <c r="X277" s="11"/>
      <c r="Y277" s="143"/>
      <c r="Z277" s="9"/>
      <c r="AA277" s="143"/>
      <c r="AB277" s="9"/>
      <c r="AC277" s="8"/>
      <c r="AD277" s="143"/>
      <c r="AE277" s="9"/>
    </row>
    <row r="278" spans="1:31" outlineLevel="1" x14ac:dyDescent="0.15">
      <c r="A278" s="8"/>
      <c r="B278" s="8"/>
      <c r="C278" s="8"/>
      <c r="D278" s="8"/>
      <c r="E278" s="9"/>
      <c r="F278" s="8"/>
      <c r="G278" s="10"/>
      <c r="H278" s="11"/>
      <c r="I278" s="143"/>
      <c r="J278" s="9"/>
      <c r="K278" s="143"/>
      <c r="L278" s="9"/>
      <c r="M278" s="8"/>
      <c r="N278" s="143"/>
      <c r="O278" s="9"/>
      <c r="P278" s="9"/>
      <c r="Q278" s="9"/>
      <c r="R278" s="9"/>
      <c r="S278" s="9"/>
      <c r="T278" s="9"/>
      <c r="U278" s="9"/>
      <c r="V278" s="9"/>
      <c r="W278" s="9"/>
      <c r="X278" s="11"/>
      <c r="Y278" s="143"/>
      <c r="Z278" s="9"/>
      <c r="AA278" s="143"/>
      <c r="AB278" s="9"/>
      <c r="AC278" s="8"/>
      <c r="AD278" s="143"/>
      <c r="AE278" s="9"/>
    </row>
    <row r="279" spans="1:31" outlineLevel="1" x14ac:dyDescent="0.15">
      <c r="A279" s="8"/>
      <c r="B279" s="8"/>
      <c r="C279" s="8"/>
      <c r="D279" s="8"/>
      <c r="E279" s="9"/>
      <c r="F279" s="8"/>
      <c r="G279" s="10"/>
      <c r="H279" s="11"/>
      <c r="I279" s="143"/>
      <c r="J279" s="9"/>
      <c r="K279" s="143"/>
      <c r="L279" s="9"/>
      <c r="M279" s="8"/>
      <c r="N279" s="143"/>
      <c r="O279" s="9"/>
      <c r="P279" s="9"/>
      <c r="Q279" s="9"/>
      <c r="R279" s="9"/>
      <c r="S279" s="9"/>
      <c r="T279" s="9"/>
      <c r="U279" s="9"/>
      <c r="V279" s="9"/>
      <c r="W279" s="9"/>
      <c r="X279" s="11"/>
      <c r="Y279" s="143"/>
      <c r="Z279" s="9"/>
      <c r="AA279" s="143"/>
      <c r="AB279" s="9"/>
      <c r="AC279" s="8"/>
      <c r="AD279" s="143"/>
      <c r="AE279" s="9"/>
    </row>
    <row r="280" spans="1:31" outlineLevel="1" x14ac:dyDescent="0.15">
      <c r="A280" s="8"/>
      <c r="B280" s="8"/>
      <c r="C280" s="8"/>
      <c r="D280" s="8"/>
      <c r="E280" s="9"/>
      <c r="F280" s="8"/>
      <c r="G280" s="10"/>
      <c r="H280" s="11"/>
      <c r="I280" s="143"/>
      <c r="J280" s="9"/>
      <c r="K280" s="143"/>
      <c r="L280" s="9"/>
      <c r="M280" s="8"/>
      <c r="N280" s="143"/>
      <c r="O280" s="9"/>
      <c r="P280" s="9"/>
      <c r="Q280" s="9"/>
      <c r="R280" s="9"/>
      <c r="S280" s="9"/>
      <c r="T280" s="9"/>
      <c r="U280" s="9"/>
      <c r="V280" s="9"/>
      <c r="W280" s="9"/>
      <c r="X280" s="11"/>
      <c r="Y280" s="143"/>
      <c r="Z280" s="9"/>
      <c r="AA280" s="143"/>
      <c r="AB280" s="9"/>
      <c r="AC280" s="8"/>
      <c r="AD280" s="143"/>
      <c r="AE280" s="9"/>
    </row>
    <row r="281" spans="1:31" outlineLevel="1" x14ac:dyDescent="0.15">
      <c r="A281" s="8"/>
      <c r="B281" s="8"/>
      <c r="C281" s="8"/>
      <c r="D281" s="8"/>
      <c r="E281" s="9"/>
      <c r="F281" s="8"/>
      <c r="G281" s="10"/>
      <c r="H281" s="11"/>
      <c r="I281" s="143"/>
      <c r="J281" s="9"/>
      <c r="K281" s="143"/>
      <c r="L281" s="9"/>
      <c r="M281" s="8"/>
      <c r="N281" s="143"/>
      <c r="O281" s="9"/>
      <c r="P281" s="9"/>
      <c r="Q281" s="9"/>
      <c r="R281" s="9"/>
      <c r="S281" s="9"/>
      <c r="T281" s="9"/>
      <c r="U281" s="9"/>
      <c r="V281" s="9"/>
      <c r="W281" s="9"/>
      <c r="X281" s="11"/>
      <c r="Y281" s="143"/>
      <c r="Z281" s="9"/>
      <c r="AA281" s="143"/>
      <c r="AB281" s="9"/>
      <c r="AC281" s="8"/>
      <c r="AD281" s="143"/>
      <c r="AE281" s="9"/>
    </row>
    <row r="282" spans="1:31" outlineLevel="1" x14ac:dyDescent="0.15">
      <c r="A282" s="8"/>
      <c r="B282" s="8"/>
      <c r="C282" s="8"/>
      <c r="D282" s="8"/>
      <c r="E282" s="9"/>
      <c r="F282" s="8"/>
      <c r="G282" s="10"/>
      <c r="H282" s="11"/>
      <c r="I282" s="143"/>
      <c r="J282" s="9"/>
      <c r="K282" s="143"/>
      <c r="L282" s="9"/>
      <c r="M282" s="8"/>
      <c r="N282" s="143"/>
      <c r="O282" s="9"/>
      <c r="P282" s="9"/>
      <c r="Q282" s="9"/>
      <c r="R282" s="9"/>
      <c r="S282" s="9"/>
      <c r="T282" s="9"/>
      <c r="U282" s="9"/>
      <c r="V282" s="9"/>
      <c r="W282" s="9"/>
      <c r="X282" s="11"/>
      <c r="Y282" s="143"/>
      <c r="Z282" s="9"/>
      <c r="AA282" s="143"/>
      <c r="AB282" s="9"/>
      <c r="AC282" s="8"/>
      <c r="AD282" s="143"/>
      <c r="AE282" s="9"/>
    </row>
    <row r="283" spans="1:31" outlineLevel="1" x14ac:dyDescent="0.15">
      <c r="A283" s="8"/>
      <c r="B283" s="8"/>
      <c r="C283" s="8"/>
      <c r="D283" s="8"/>
      <c r="E283" s="9"/>
      <c r="F283" s="8"/>
      <c r="G283" s="10"/>
      <c r="H283" s="11"/>
      <c r="I283" s="143"/>
      <c r="J283" s="9"/>
      <c r="K283" s="143"/>
      <c r="L283" s="9"/>
      <c r="M283" s="8"/>
      <c r="N283" s="143"/>
      <c r="O283" s="9"/>
      <c r="P283" s="9"/>
      <c r="Q283" s="9"/>
      <c r="R283" s="9"/>
      <c r="S283" s="9"/>
      <c r="T283" s="9"/>
      <c r="U283" s="9"/>
      <c r="V283" s="9"/>
      <c r="W283" s="9"/>
      <c r="X283" s="11"/>
      <c r="Y283" s="143"/>
      <c r="Z283" s="9"/>
      <c r="AA283" s="143"/>
      <c r="AB283" s="9"/>
      <c r="AC283" s="8"/>
      <c r="AD283" s="143"/>
      <c r="AE283" s="9"/>
    </row>
    <row r="284" spans="1:31" outlineLevel="1" x14ac:dyDescent="0.15">
      <c r="A284" s="8"/>
      <c r="B284" s="8"/>
      <c r="C284" s="8"/>
      <c r="D284" s="8"/>
      <c r="E284" s="9"/>
      <c r="F284" s="8"/>
      <c r="G284" s="10"/>
      <c r="H284" s="11"/>
      <c r="I284" s="143"/>
      <c r="J284" s="9"/>
      <c r="K284" s="143"/>
      <c r="L284" s="9"/>
      <c r="M284" s="8"/>
      <c r="N284" s="143"/>
      <c r="O284" s="9"/>
      <c r="P284" s="9"/>
      <c r="Q284" s="9"/>
      <c r="R284" s="9"/>
      <c r="S284" s="9"/>
      <c r="T284" s="9"/>
      <c r="U284" s="9"/>
      <c r="V284" s="9"/>
      <c r="W284" s="9"/>
      <c r="X284" s="11"/>
      <c r="Y284" s="143"/>
      <c r="Z284" s="9"/>
      <c r="AA284" s="143"/>
      <c r="AB284" s="9"/>
      <c r="AC284" s="8"/>
      <c r="AD284" s="143"/>
      <c r="AE284" s="9"/>
    </row>
    <row r="285" spans="1:31" outlineLevel="1" x14ac:dyDescent="0.15">
      <c r="A285" s="8"/>
      <c r="B285" s="8"/>
      <c r="C285" s="8"/>
      <c r="D285" s="8"/>
      <c r="E285" s="9"/>
      <c r="F285" s="8"/>
      <c r="G285" s="10"/>
      <c r="H285" s="11"/>
      <c r="I285" s="143"/>
      <c r="J285" s="9"/>
      <c r="K285" s="143"/>
      <c r="L285" s="9"/>
      <c r="M285" s="8"/>
      <c r="N285" s="143"/>
      <c r="O285" s="9"/>
      <c r="P285" s="9"/>
      <c r="Q285" s="9"/>
      <c r="R285" s="9"/>
      <c r="S285" s="9"/>
      <c r="T285" s="9"/>
      <c r="U285" s="9"/>
      <c r="V285" s="9"/>
      <c r="W285" s="9"/>
      <c r="X285" s="11"/>
      <c r="Y285" s="143"/>
      <c r="Z285" s="9"/>
      <c r="AA285" s="143"/>
      <c r="AB285" s="9"/>
      <c r="AC285" s="8"/>
      <c r="AD285" s="143"/>
      <c r="AE285" s="9"/>
    </row>
    <row r="286" spans="1:31" outlineLevel="1" x14ac:dyDescent="0.15">
      <c r="A286" s="8"/>
      <c r="B286" s="8"/>
      <c r="C286" s="8"/>
      <c r="D286" s="8"/>
      <c r="E286" s="9"/>
      <c r="F286" s="8"/>
      <c r="G286" s="10"/>
      <c r="H286" s="11"/>
      <c r="I286" s="143"/>
      <c r="J286" s="9"/>
      <c r="K286" s="143"/>
      <c r="L286" s="9"/>
      <c r="M286" s="8"/>
      <c r="N286" s="143"/>
      <c r="O286" s="9"/>
      <c r="P286" s="9"/>
      <c r="Q286" s="9"/>
      <c r="R286" s="9"/>
      <c r="S286" s="9"/>
      <c r="T286" s="9"/>
      <c r="U286" s="9"/>
      <c r="V286" s="9"/>
      <c r="W286" s="9"/>
      <c r="X286" s="11"/>
      <c r="Y286" s="143"/>
      <c r="Z286" s="9"/>
      <c r="AA286" s="143"/>
      <c r="AB286" s="9"/>
      <c r="AC286" s="8"/>
      <c r="AD286" s="143"/>
      <c r="AE286" s="9"/>
    </row>
    <row r="287" spans="1:31" outlineLevel="1" x14ac:dyDescent="0.15">
      <c r="A287" s="8"/>
      <c r="B287" s="8"/>
      <c r="C287" s="8"/>
      <c r="D287" s="8"/>
      <c r="E287" s="9"/>
      <c r="F287" s="8"/>
      <c r="G287" s="10"/>
      <c r="H287" s="11"/>
      <c r="I287" s="143"/>
      <c r="J287" s="9"/>
      <c r="K287" s="143"/>
      <c r="L287" s="9"/>
      <c r="M287" s="8"/>
      <c r="N287" s="143"/>
      <c r="O287" s="9"/>
      <c r="P287" s="9"/>
      <c r="Q287" s="9"/>
      <c r="R287" s="9"/>
      <c r="S287" s="9"/>
      <c r="T287" s="9"/>
      <c r="U287" s="9"/>
      <c r="V287" s="9"/>
      <c r="W287" s="9"/>
      <c r="X287" s="11"/>
      <c r="Y287" s="143"/>
      <c r="Z287" s="9"/>
      <c r="AA287" s="143"/>
      <c r="AB287" s="9"/>
      <c r="AC287" s="8"/>
      <c r="AD287" s="143"/>
      <c r="AE287" s="9"/>
    </row>
    <row r="288" spans="1:31" outlineLevel="1" x14ac:dyDescent="0.15">
      <c r="A288" s="8"/>
      <c r="B288" s="8"/>
      <c r="C288" s="8"/>
      <c r="D288" s="8"/>
      <c r="E288" s="9"/>
      <c r="F288" s="8"/>
      <c r="G288" s="10"/>
      <c r="H288" s="11"/>
      <c r="I288" s="143"/>
      <c r="J288" s="9"/>
      <c r="K288" s="143"/>
      <c r="L288" s="9"/>
      <c r="M288" s="8"/>
      <c r="N288" s="143"/>
      <c r="O288" s="9"/>
      <c r="P288" s="9"/>
      <c r="Q288" s="9"/>
      <c r="R288" s="9"/>
      <c r="S288" s="9"/>
      <c r="T288" s="9"/>
      <c r="U288" s="9"/>
      <c r="V288" s="9"/>
      <c r="W288" s="9"/>
      <c r="X288" s="11"/>
      <c r="Y288" s="143"/>
      <c r="Z288" s="9"/>
      <c r="AA288" s="143"/>
      <c r="AB288" s="9"/>
      <c r="AC288" s="8"/>
      <c r="AD288" s="143"/>
      <c r="AE288" s="9"/>
    </row>
    <row r="289" spans="1:31" outlineLevel="1" x14ac:dyDescent="0.15">
      <c r="A289" s="8"/>
      <c r="B289" s="8"/>
      <c r="C289" s="8"/>
      <c r="D289" s="8"/>
      <c r="E289" s="9"/>
      <c r="F289" s="8"/>
      <c r="G289" s="10"/>
      <c r="H289" s="11"/>
      <c r="I289" s="143"/>
      <c r="J289" s="9"/>
      <c r="K289" s="143"/>
      <c r="L289" s="9"/>
      <c r="M289" s="8"/>
      <c r="N289" s="143"/>
      <c r="O289" s="9"/>
      <c r="P289" s="9"/>
      <c r="Q289" s="9"/>
      <c r="R289" s="9"/>
      <c r="S289" s="9"/>
      <c r="T289" s="9"/>
      <c r="U289" s="9"/>
      <c r="V289" s="9"/>
      <c r="W289" s="9"/>
      <c r="X289" s="11"/>
      <c r="Y289" s="143"/>
      <c r="Z289" s="9"/>
      <c r="AA289" s="143"/>
      <c r="AB289" s="9"/>
      <c r="AC289" s="8"/>
      <c r="AD289" s="143"/>
      <c r="AE289" s="9"/>
    </row>
    <row r="290" spans="1:31" outlineLevel="1" x14ac:dyDescent="0.15">
      <c r="A290" s="8"/>
      <c r="B290" s="8"/>
      <c r="C290" s="8"/>
      <c r="D290" s="8"/>
      <c r="E290" s="9"/>
      <c r="F290" s="8"/>
      <c r="G290" s="10"/>
      <c r="H290" s="11"/>
      <c r="I290" s="143"/>
      <c r="J290" s="9"/>
      <c r="K290" s="143"/>
      <c r="L290" s="9"/>
      <c r="M290" s="8"/>
      <c r="N290" s="143"/>
      <c r="O290" s="9"/>
      <c r="P290" s="9"/>
      <c r="Q290" s="9"/>
      <c r="R290" s="9"/>
      <c r="S290" s="9"/>
      <c r="T290" s="9"/>
      <c r="U290" s="9"/>
      <c r="V290" s="9"/>
      <c r="W290" s="9"/>
      <c r="X290" s="11"/>
      <c r="Y290" s="143"/>
      <c r="Z290" s="9"/>
      <c r="AA290" s="143"/>
      <c r="AB290" s="9"/>
      <c r="AC290" s="8"/>
      <c r="AD290" s="143"/>
      <c r="AE290" s="9"/>
    </row>
    <row r="291" spans="1:31" outlineLevel="1" x14ac:dyDescent="0.15">
      <c r="A291" s="8"/>
      <c r="B291" s="8"/>
      <c r="C291" s="8"/>
      <c r="D291" s="8"/>
      <c r="E291" s="9"/>
      <c r="F291" s="8"/>
      <c r="G291" s="10"/>
      <c r="H291" s="11"/>
      <c r="I291" s="143"/>
      <c r="J291" s="9"/>
      <c r="K291" s="143"/>
      <c r="L291" s="9"/>
      <c r="M291" s="8"/>
      <c r="N291" s="143"/>
      <c r="O291" s="9"/>
      <c r="P291" s="9"/>
      <c r="Q291" s="9"/>
      <c r="R291" s="9"/>
      <c r="S291" s="9"/>
      <c r="T291" s="9"/>
      <c r="U291" s="9"/>
      <c r="V291" s="9"/>
      <c r="W291" s="9"/>
      <c r="X291" s="11"/>
      <c r="Y291" s="143"/>
      <c r="Z291" s="9"/>
      <c r="AA291" s="143"/>
      <c r="AB291" s="9"/>
      <c r="AC291" s="8"/>
      <c r="AD291" s="143"/>
      <c r="AE291" s="9"/>
    </row>
    <row r="292" spans="1:31" outlineLevel="1" x14ac:dyDescent="0.15">
      <c r="A292" s="8"/>
      <c r="B292" s="8"/>
      <c r="C292" s="8"/>
      <c r="D292" s="8"/>
      <c r="E292" s="9"/>
      <c r="F292" s="8"/>
      <c r="G292" s="10"/>
      <c r="H292" s="11"/>
      <c r="I292" s="143"/>
      <c r="J292" s="9"/>
      <c r="K292" s="143"/>
      <c r="L292" s="9"/>
      <c r="M292" s="8"/>
      <c r="N292" s="143"/>
      <c r="O292" s="9"/>
      <c r="P292" s="9"/>
      <c r="Q292" s="9"/>
      <c r="R292" s="9"/>
      <c r="S292" s="9"/>
      <c r="T292" s="9"/>
      <c r="U292" s="9"/>
      <c r="V292" s="9"/>
      <c r="W292" s="9"/>
      <c r="X292" s="11"/>
      <c r="Y292" s="143"/>
      <c r="Z292" s="9"/>
      <c r="AA292" s="143"/>
      <c r="AB292" s="9"/>
      <c r="AC292" s="8"/>
      <c r="AD292" s="143"/>
      <c r="AE292" s="9"/>
    </row>
    <row r="293" spans="1:31" outlineLevel="1" x14ac:dyDescent="0.15">
      <c r="A293" s="8"/>
      <c r="B293" s="8"/>
      <c r="C293" s="8"/>
      <c r="D293" s="8"/>
      <c r="E293" s="9"/>
      <c r="F293" s="8"/>
      <c r="G293" s="10"/>
      <c r="H293" s="11"/>
      <c r="I293" s="143"/>
      <c r="J293" s="9"/>
      <c r="K293" s="143"/>
      <c r="L293" s="9"/>
      <c r="M293" s="8"/>
      <c r="N293" s="143"/>
      <c r="O293" s="9"/>
      <c r="P293" s="9"/>
      <c r="Q293" s="9"/>
      <c r="R293" s="9"/>
      <c r="S293" s="9"/>
      <c r="T293" s="9"/>
      <c r="U293" s="9"/>
      <c r="V293" s="9"/>
      <c r="W293" s="9"/>
      <c r="X293" s="11"/>
      <c r="Y293" s="143"/>
      <c r="Z293" s="9"/>
      <c r="AA293" s="143"/>
      <c r="AB293" s="9"/>
      <c r="AC293" s="8"/>
      <c r="AD293" s="143"/>
      <c r="AE293" s="9"/>
    </row>
    <row r="294" spans="1:31" outlineLevel="1" x14ac:dyDescent="0.15">
      <c r="A294" s="8"/>
      <c r="B294" s="8"/>
      <c r="C294" s="8"/>
      <c r="D294" s="8"/>
      <c r="E294" s="9"/>
      <c r="F294" s="8"/>
      <c r="G294" s="10"/>
      <c r="H294" s="11"/>
      <c r="I294" s="143"/>
      <c r="J294" s="9"/>
      <c r="K294" s="143"/>
      <c r="L294" s="9"/>
      <c r="M294" s="8"/>
      <c r="N294" s="143"/>
      <c r="O294" s="9"/>
      <c r="P294" s="9"/>
      <c r="Q294" s="9"/>
      <c r="R294" s="9"/>
      <c r="S294" s="9"/>
      <c r="T294" s="9"/>
      <c r="U294" s="9"/>
      <c r="V294" s="9"/>
      <c r="W294" s="9"/>
      <c r="X294" s="11"/>
      <c r="Y294" s="143"/>
      <c r="Z294" s="9"/>
      <c r="AA294" s="143"/>
      <c r="AB294" s="9"/>
      <c r="AC294" s="8"/>
      <c r="AD294" s="143"/>
      <c r="AE294" s="9"/>
    </row>
    <row r="295" spans="1:31" outlineLevel="1" x14ac:dyDescent="0.15">
      <c r="A295" s="8"/>
      <c r="B295" s="8"/>
      <c r="C295" s="8"/>
      <c r="D295" s="8"/>
      <c r="E295" s="9"/>
      <c r="F295" s="8"/>
      <c r="G295" s="10"/>
      <c r="H295" s="11"/>
      <c r="I295" s="143"/>
      <c r="J295" s="9"/>
      <c r="K295" s="143"/>
      <c r="L295" s="9"/>
      <c r="M295" s="8"/>
      <c r="N295" s="143"/>
      <c r="O295" s="9"/>
      <c r="P295" s="9"/>
      <c r="Q295" s="9"/>
      <c r="R295" s="9"/>
      <c r="S295" s="9"/>
      <c r="T295" s="9"/>
      <c r="U295" s="9"/>
      <c r="V295" s="9"/>
      <c r="W295" s="9"/>
      <c r="X295" s="11"/>
      <c r="Y295" s="143"/>
      <c r="Z295" s="9"/>
      <c r="AA295" s="143"/>
      <c r="AB295" s="9"/>
      <c r="AC295" s="8"/>
      <c r="AD295" s="143"/>
      <c r="AE295" s="9"/>
    </row>
    <row r="296" spans="1:31" outlineLevel="1" x14ac:dyDescent="0.15">
      <c r="A296" s="8"/>
      <c r="B296" s="8"/>
      <c r="C296" s="8"/>
      <c r="D296" s="8"/>
      <c r="E296" s="9"/>
      <c r="F296" s="8"/>
      <c r="G296" s="10"/>
      <c r="H296" s="11"/>
      <c r="I296" s="143"/>
      <c r="J296" s="9"/>
      <c r="K296" s="143"/>
      <c r="L296" s="9"/>
      <c r="M296" s="8"/>
      <c r="N296" s="143"/>
      <c r="O296" s="9"/>
      <c r="P296" s="9"/>
      <c r="Q296" s="9"/>
      <c r="R296" s="9"/>
      <c r="S296" s="9"/>
      <c r="T296" s="9"/>
      <c r="U296" s="9"/>
      <c r="V296" s="9"/>
      <c r="W296" s="9"/>
      <c r="X296" s="11"/>
      <c r="Y296" s="143"/>
      <c r="Z296" s="9"/>
      <c r="AA296" s="143"/>
      <c r="AB296" s="9"/>
      <c r="AC296" s="8"/>
      <c r="AD296" s="143"/>
      <c r="AE296" s="9"/>
    </row>
    <row r="297" spans="1:31" outlineLevel="1" x14ac:dyDescent="0.15">
      <c r="A297" s="8"/>
      <c r="B297" s="8"/>
      <c r="C297" s="8"/>
      <c r="D297" s="8"/>
      <c r="E297" s="9"/>
      <c r="F297" s="8"/>
      <c r="G297" s="10"/>
      <c r="H297" s="11"/>
      <c r="I297" s="143"/>
      <c r="J297" s="9"/>
      <c r="K297" s="143"/>
      <c r="L297" s="9"/>
      <c r="M297" s="8"/>
      <c r="N297" s="143"/>
      <c r="O297" s="9"/>
      <c r="P297" s="9"/>
      <c r="Q297" s="9"/>
      <c r="R297" s="9"/>
      <c r="S297" s="9"/>
      <c r="T297" s="9"/>
      <c r="U297" s="9"/>
      <c r="V297" s="9"/>
      <c r="W297" s="9"/>
      <c r="X297" s="11"/>
      <c r="Y297" s="143"/>
      <c r="Z297" s="9"/>
      <c r="AA297" s="143"/>
      <c r="AB297" s="9"/>
      <c r="AC297" s="8"/>
      <c r="AD297" s="143"/>
      <c r="AE297" s="9"/>
    </row>
    <row r="298" spans="1:31" outlineLevel="1" x14ac:dyDescent="0.15">
      <c r="A298" s="8"/>
      <c r="B298" s="8"/>
      <c r="C298" s="8"/>
      <c r="D298" s="8"/>
      <c r="E298" s="9"/>
      <c r="F298" s="8"/>
      <c r="G298" s="10"/>
      <c r="H298" s="11"/>
      <c r="I298" s="143"/>
      <c r="J298" s="9"/>
      <c r="K298" s="143"/>
      <c r="L298" s="9"/>
      <c r="M298" s="8"/>
      <c r="N298" s="143"/>
      <c r="O298" s="9"/>
      <c r="P298" s="9"/>
      <c r="Q298" s="9"/>
      <c r="R298" s="9"/>
      <c r="S298" s="9"/>
      <c r="T298" s="9"/>
      <c r="U298" s="9"/>
      <c r="V298" s="9"/>
      <c r="W298" s="9"/>
      <c r="X298" s="11"/>
      <c r="Y298" s="143"/>
      <c r="Z298" s="9"/>
      <c r="AA298" s="143"/>
      <c r="AB298" s="9"/>
      <c r="AC298" s="8"/>
      <c r="AD298" s="143"/>
      <c r="AE298" s="9"/>
    </row>
    <row r="299" spans="1:31" outlineLevel="1" x14ac:dyDescent="0.15">
      <c r="A299" s="8"/>
      <c r="B299" s="8"/>
      <c r="C299" s="8"/>
      <c r="D299" s="8"/>
      <c r="E299" s="9"/>
      <c r="F299" s="8"/>
      <c r="G299" s="10"/>
      <c r="H299" s="11"/>
      <c r="I299" s="143"/>
      <c r="J299" s="9"/>
      <c r="K299" s="143"/>
      <c r="L299" s="9"/>
      <c r="M299" s="8"/>
      <c r="N299" s="143"/>
      <c r="O299" s="9"/>
      <c r="P299" s="9"/>
      <c r="Q299" s="9"/>
      <c r="R299" s="9"/>
      <c r="S299" s="9"/>
      <c r="T299" s="9"/>
      <c r="U299" s="9"/>
      <c r="V299" s="9"/>
      <c r="W299" s="9"/>
      <c r="X299" s="11"/>
      <c r="Y299" s="143"/>
      <c r="Z299" s="9"/>
      <c r="AA299" s="143"/>
      <c r="AB299" s="9"/>
      <c r="AC299" s="8"/>
      <c r="AD299" s="143"/>
      <c r="AE299" s="9"/>
    </row>
    <row r="300" spans="1:31" outlineLevel="1" x14ac:dyDescent="0.15">
      <c r="A300" s="8"/>
      <c r="B300" s="8"/>
      <c r="C300" s="8"/>
      <c r="D300" s="8"/>
      <c r="E300" s="9"/>
      <c r="F300" s="8"/>
      <c r="G300" s="10"/>
      <c r="H300" s="11"/>
      <c r="I300" s="143"/>
      <c r="J300" s="9"/>
      <c r="K300" s="143"/>
      <c r="L300" s="9"/>
      <c r="M300" s="8"/>
      <c r="N300" s="143"/>
      <c r="O300" s="9"/>
      <c r="P300" s="9"/>
      <c r="Q300" s="9"/>
      <c r="R300" s="9"/>
      <c r="S300" s="9"/>
      <c r="T300" s="9"/>
      <c r="U300" s="9"/>
      <c r="V300" s="9"/>
      <c r="W300" s="9"/>
      <c r="X300" s="11"/>
      <c r="Y300" s="143"/>
      <c r="Z300" s="9"/>
      <c r="AA300" s="143"/>
      <c r="AB300" s="9"/>
      <c r="AC300" s="8"/>
      <c r="AD300" s="143"/>
      <c r="AE300" s="9"/>
    </row>
    <row r="301" spans="1:31" outlineLevel="1" x14ac:dyDescent="0.15">
      <c r="A301" s="8"/>
      <c r="B301" s="8"/>
      <c r="C301" s="8"/>
      <c r="D301" s="8"/>
      <c r="E301" s="9"/>
      <c r="F301" s="8"/>
      <c r="G301" s="10"/>
      <c r="H301" s="11"/>
      <c r="I301" s="143"/>
      <c r="J301" s="9"/>
      <c r="K301" s="143"/>
      <c r="L301" s="9"/>
      <c r="M301" s="8"/>
      <c r="N301" s="143"/>
      <c r="O301" s="9"/>
      <c r="P301" s="9"/>
      <c r="Q301" s="9"/>
      <c r="R301" s="9"/>
      <c r="S301" s="9"/>
      <c r="T301" s="9"/>
      <c r="U301" s="9"/>
      <c r="V301" s="9"/>
      <c r="W301" s="9"/>
      <c r="X301" s="11"/>
      <c r="Y301" s="143"/>
      <c r="Z301" s="9"/>
      <c r="AA301" s="143"/>
      <c r="AB301" s="9"/>
      <c r="AC301" s="8"/>
      <c r="AD301" s="143"/>
      <c r="AE301" s="9"/>
    </row>
    <row r="302" spans="1:31" outlineLevel="1" x14ac:dyDescent="0.15">
      <c r="A302" s="8"/>
      <c r="B302" s="8"/>
      <c r="C302" s="8"/>
      <c r="D302" s="8"/>
      <c r="E302" s="9"/>
      <c r="F302" s="8"/>
      <c r="G302" s="10"/>
      <c r="H302" s="11"/>
      <c r="I302" s="143"/>
      <c r="J302" s="9"/>
      <c r="K302" s="143"/>
      <c r="L302" s="9"/>
      <c r="M302" s="8"/>
      <c r="N302" s="143"/>
      <c r="O302" s="9"/>
      <c r="P302" s="9"/>
      <c r="Q302" s="9"/>
      <c r="R302" s="9"/>
      <c r="S302" s="9"/>
      <c r="T302" s="9"/>
      <c r="U302" s="9"/>
      <c r="V302" s="9"/>
      <c r="W302" s="9"/>
      <c r="X302" s="11"/>
      <c r="Y302" s="143"/>
      <c r="Z302" s="9"/>
      <c r="AA302" s="143"/>
      <c r="AB302" s="9"/>
      <c r="AC302" s="8"/>
      <c r="AD302" s="143"/>
      <c r="AE302" s="9"/>
    </row>
    <row r="303" spans="1:31" x14ac:dyDescent="0.15">
      <c r="A303" s="8"/>
      <c r="B303" s="8"/>
      <c r="C303" s="8"/>
      <c r="D303" s="8"/>
      <c r="E303" s="9"/>
      <c r="F303" s="8"/>
      <c r="G303" s="10"/>
      <c r="H303" s="11"/>
      <c r="I303" s="143"/>
      <c r="J303" s="9"/>
      <c r="K303" s="143"/>
      <c r="L303" s="9"/>
      <c r="M303" s="8"/>
      <c r="N303" s="143"/>
      <c r="O303" s="9"/>
      <c r="P303" s="9"/>
      <c r="Q303" s="9"/>
      <c r="R303" s="9"/>
      <c r="S303" s="9"/>
      <c r="T303" s="9"/>
      <c r="U303" s="9"/>
      <c r="V303" s="9"/>
      <c r="W303" s="9"/>
      <c r="X303" s="11"/>
      <c r="Y303" s="143"/>
      <c r="Z303" s="9"/>
      <c r="AA303" s="143"/>
      <c r="AB303" s="9"/>
      <c r="AC303" s="8"/>
      <c r="AD303" s="143"/>
      <c r="AE303" s="9"/>
    </row>
    <row r="304" spans="1:31" x14ac:dyDescent="0.15">
      <c r="A304" s="8"/>
      <c r="B304" s="8"/>
      <c r="C304" s="8"/>
      <c r="D304" s="8"/>
      <c r="E304" s="9"/>
      <c r="F304" s="8"/>
      <c r="G304" s="10"/>
      <c r="H304" s="11"/>
      <c r="I304" s="143"/>
      <c r="J304" s="9"/>
      <c r="K304" s="143"/>
      <c r="L304" s="9"/>
      <c r="M304" s="8"/>
      <c r="N304" s="143"/>
      <c r="O304" s="9"/>
      <c r="P304" s="9"/>
      <c r="Q304" s="9"/>
      <c r="R304" s="9"/>
      <c r="S304" s="9"/>
      <c r="T304" s="9"/>
      <c r="U304" s="9"/>
      <c r="V304" s="9"/>
      <c r="W304" s="9"/>
      <c r="X304" s="11"/>
      <c r="Y304" s="143"/>
      <c r="Z304" s="9"/>
      <c r="AA304" s="143"/>
      <c r="AB304" s="9"/>
      <c r="AC304" s="8"/>
      <c r="AD304" s="143"/>
      <c r="AE304" s="9"/>
    </row>
    <row r="305" spans="1:31" x14ac:dyDescent="0.15">
      <c r="A305" s="8"/>
      <c r="B305" s="8"/>
      <c r="C305" s="8"/>
      <c r="D305" s="8"/>
      <c r="E305" s="9"/>
      <c r="F305" s="8"/>
      <c r="G305" s="10"/>
      <c r="H305" s="11"/>
      <c r="I305" s="143"/>
      <c r="J305" s="9"/>
      <c r="K305" s="143"/>
      <c r="L305" s="9"/>
      <c r="M305" s="8"/>
      <c r="N305" s="143"/>
      <c r="O305" s="9"/>
      <c r="P305" s="9"/>
      <c r="Q305" s="9"/>
      <c r="R305" s="9"/>
      <c r="S305" s="9"/>
      <c r="T305" s="9"/>
      <c r="U305" s="9"/>
      <c r="V305" s="9"/>
      <c r="W305" s="9"/>
      <c r="X305" s="11"/>
      <c r="Y305" s="143"/>
      <c r="Z305" s="9"/>
      <c r="AA305" s="143"/>
      <c r="AB305" s="9"/>
      <c r="AC305" s="8"/>
      <c r="AD305" s="143"/>
      <c r="AE305" s="9"/>
    </row>
    <row r="306" spans="1:31" x14ac:dyDescent="0.15">
      <c r="A306" s="8"/>
      <c r="B306" s="8"/>
      <c r="C306" s="8"/>
      <c r="D306" s="8"/>
      <c r="E306" s="9"/>
      <c r="F306" s="8"/>
      <c r="G306" s="10"/>
      <c r="H306" s="11"/>
      <c r="I306" s="143"/>
      <c r="J306" s="9"/>
      <c r="K306" s="143"/>
      <c r="L306" s="9"/>
      <c r="M306" s="8"/>
      <c r="N306" s="143"/>
      <c r="O306" s="9"/>
      <c r="P306" s="9"/>
      <c r="Q306" s="9"/>
      <c r="R306" s="9"/>
      <c r="S306" s="9"/>
      <c r="T306" s="9"/>
      <c r="U306" s="9"/>
      <c r="V306" s="9"/>
      <c r="W306" s="9"/>
      <c r="X306" s="11"/>
      <c r="Y306" s="143"/>
      <c r="Z306" s="9"/>
      <c r="AA306" s="143"/>
      <c r="AB306" s="9"/>
      <c r="AC306" s="8"/>
      <c r="AD306" s="143"/>
      <c r="AE306" s="9"/>
    </row>
    <row r="307" spans="1:31" x14ac:dyDescent="0.15">
      <c r="A307" s="8"/>
      <c r="B307" s="8"/>
      <c r="C307" s="8"/>
      <c r="D307" s="8"/>
      <c r="E307" s="9"/>
      <c r="F307" s="8"/>
      <c r="G307" s="10"/>
      <c r="H307" s="11"/>
      <c r="I307" s="143"/>
      <c r="J307" s="9"/>
      <c r="K307" s="143"/>
      <c r="L307" s="9"/>
      <c r="M307" s="8"/>
      <c r="N307" s="143"/>
      <c r="O307" s="9"/>
      <c r="P307" s="9"/>
      <c r="Q307" s="9"/>
      <c r="R307" s="9"/>
      <c r="S307" s="9"/>
      <c r="T307" s="9"/>
      <c r="U307" s="9"/>
      <c r="V307" s="9"/>
      <c r="W307" s="9"/>
      <c r="X307" s="11"/>
      <c r="Y307" s="143"/>
      <c r="Z307" s="9"/>
      <c r="AA307" s="143"/>
      <c r="AB307" s="9"/>
      <c r="AC307" s="8"/>
      <c r="AD307" s="143"/>
      <c r="AE307" s="9"/>
    </row>
    <row r="308" spans="1:31" x14ac:dyDescent="0.15">
      <c r="A308" s="8"/>
      <c r="B308" s="8"/>
      <c r="C308" s="8"/>
      <c r="D308" s="8"/>
      <c r="E308" s="9"/>
      <c r="F308" s="8"/>
      <c r="G308" s="10"/>
      <c r="H308" s="11"/>
      <c r="I308" s="143"/>
      <c r="J308" s="9"/>
      <c r="K308" s="143"/>
      <c r="L308" s="9"/>
      <c r="M308" s="8"/>
      <c r="N308" s="143"/>
      <c r="O308" s="9"/>
      <c r="P308" s="9"/>
      <c r="Q308" s="9"/>
      <c r="R308" s="9"/>
      <c r="S308" s="9"/>
      <c r="T308" s="9"/>
      <c r="U308" s="9"/>
      <c r="V308" s="9"/>
      <c r="W308" s="9"/>
      <c r="X308" s="11"/>
      <c r="Y308" s="143"/>
      <c r="Z308" s="9"/>
      <c r="AA308" s="143"/>
      <c r="AB308" s="9"/>
      <c r="AC308" s="8"/>
      <c r="AD308" s="143"/>
      <c r="AE308" s="9"/>
    </row>
    <row r="309" spans="1:31" x14ac:dyDescent="0.15">
      <c r="A309" s="8"/>
      <c r="B309" s="8"/>
      <c r="C309" s="8"/>
      <c r="D309" s="8"/>
      <c r="E309" s="9"/>
      <c r="F309" s="8"/>
      <c r="G309" s="10"/>
      <c r="H309" s="11"/>
      <c r="I309" s="143"/>
      <c r="J309" s="9"/>
      <c r="K309" s="143"/>
      <c r="L309" s="9"/>
      <c r="M309" s="8"/>
      <c r="N309" s="143"/>
      <c r="O309" s="9"/>
      <c r="P309" s="9"/>
      <c r="Q309" s="9"/>
      <c r="R309" s="9"/>
      <c r="S309" s="9"/>
      <c r="T309" s="9"/>
      <c r="U309" s="9"/>
      <c r="V309" s="9"/>
      <c r="W309" s="9"/>
      <c r="X309" s="11"/>
      <c r="Y309" s="143"/>
      <c r="Z309" s="9"/>
      <c r="AA309" s="143"/>
      <c r="AB309" s="9"/>
      <c r="AC309" s="8"/>
      <c r="AD309" s="143"/>
      <c r="AE309" s="9"/>
    </row>
    <row r="310" spans="1:31" x14ac:dyDescent="0.15">
      <c r="A310" s="8"/>
      <c r="B310" s="8"/>
      <c r="C310" s="8"/>
      <c r="D310" s="8"/>
      <c r="E310" s="9"/>
      <c r="F310" s="8"/>
      <c r="G310" s="10"/>
      <c r="H310" s="11"/>
      <c r="I310" s="143"/>
      <c r="J310" s="9"/>
      <c r="K310" s="143"/>
      <c r="L310" s="9"/>
      <c r="M310" s="8"/>
      <c r="N310" s="143"/>
      <c r="O310" s="9"/>
      <c r="P310" s="9"/>
      <c r="Q310" s="9"/>
      <c r="R310" s="9"/>
      <c r="S310" s="9"/>
      <c r="T310" s="9"/>
      <c r="U310" s="9"/>
      <c r="V310" s="9"/>
      <c r="W310" s="9"/>
      <c r="X310" s="11"/>
      <c r="Y310" s="143"/>
      <c r="Z310" s="9"/>
      <c r="AA310" s="143"/>
      <c r="AB310" s="9"/>
      <c r="AC310" s="8"/>
      <c r="AD310" s="143"/>
      <c r="AE310" s="9"/>
    </row>
    <row r="311" spans="1:31" x14ac:dyDescent="0.15">
      <c r="A311" s="8"/>
      <c r="B311" s="8"/>
      <c r="C311" s="8"/>
      <c r="D311" s="8"/>
      <c r="E311" s="9"/>
      <c r="F311" s="8"/>
      <c r="G311" s="10"/>
      <c r="H311" s="11"/>
      <c r="I311" s="143"/>
      <c r="J311" s="9"/>
      <c r="K311" s="143"/>
      <c r="L311" s="9"/>
      <c r="M311" s="8"/>
      <c r="N311" s="143"/>
      <c r="O311" s="9"/>
      <c r="P311" s="9"/>
      <c r="Q311" s="9"/>
      <c r="R311" s="9"/>
      <c r="S311" s="9"/>
      <c r="T311" s="9"/>
      <c r="U311" s="9"/>
      <c r="V311" s="9"/>
      <c r="W311" s="9"/>
      <c r="X311" s="11"/>
      <c r="Y311" s="143"/>
      <c r="Z311" s="9"/>
      <c r="AA311" s="143"/>
      <c r="AB311" s="9"/>
      <c r="AC311" s="8"/>
      <c r="AD311" s="143"/>
      <c r="AE311" s="9"/>
    </row>
    <row r="312" spans="1:31" x14ac:dyDescent="0.15">
      <c r="A312" s="8"/>
      <c r="B312" s="8"/>
      <c r="C312" s="8"/>
      <c r="D312" s="8"/>
      <c r="E312" s="9"/>
      <c r="F312" s="8"/>
      <c r="G312" s="10"/>
      <c r="H312" s="11"/>
      <c r="I312" s="143"/>
      <c r="J312" s="9"/>
      <c r="K312" s="143"/>
      <c r="L312" s="9"/>
      <c r="M312" s="8"/>
      <c r="N312" s="143"/>
      <c r="O312" s="9"/>
      <c r="P312" s="9"/>
      <c r="Q312" s="9"/>
      <c r="R312" s="9"/>
      <c r="S312" s="9"/>
      <c r="T312" s="9"/>
      <c r="U312" s="9"/>
      <c r="V312" s="9"/>
      <c r="W312" s="9"/>
      <c r="X312" s="11"/>
      <c r="Y312" s="143"/>
      <c r="Z312" s="9"/>
      <c r="AA312" s="143"/>
      <c r="AB312" s="9"/>
      <c r="AC312" s="8"/>
      <c r="AD312" s="143"/>
      <c r="AE312" s="9"/>
    </row>
    <row r="313" spans="1:31" x14ac:dyDescent="0.15">
      <c r="A313" s="8"/>
      <c r="B313" s="8"/>
      <c r="C313" s="8"/>
      <c r="D313" s="8"/>
      <c r="E313" s="9"/>
      <c r="F313" s="8"/>
      <c r="G313" s="10"/>
      <c r="H313" s="11"/>
      <c r="I313" s="143"/>
      <c r="J313" s="9"/>
      <c r="K313" s="143"/>
      <c r="L313" s="9"/>
      <c r="M313" s="8"/>
      <c r="N313" s="143"/>
      <c r="O313" s="9"/>
      <c r="P313" s="9"/>
      <c r="Q313" s="9"/>
      <c r="R313" s="9"/>
      <c r="S313" s="9"/>
      <c r="T313" s="9"/>
      <c r="U313" s="9"/>
      <c r="V313" s="9"/>
      <c r="W313" s="9"/>
      <c r="X313" s="11"/>
      <c r="Y313" s="143"/>
      <c r="Z313" s="9"/>
      <c r="AA313" s="143"/>
      <c r="AB313" s="9"/>
      <c r="AC313" s="8"/>
      <c r="AD313" s="143"/>
      <c r="AE313" s="9"/>
    </row>
    <row r="314" spans="1:31" x14ac:dyDescent="0.15">
      <c r="A314" s="8"/>
      <c r="B314" s="8"/>
      <c r="C314" s="8"/>
      <c r="D314" s="8"/>
      <c r="E314" s="9"/>
      <c r="F314" s="8"/>
      <c r="G314" s="10"/>
      <c r="H314" s="11"/>
      <c r="I314" s="143"/>
      <c r="J314" s="9"/>
      <c r="K314" s="143"/>
      <c r="L314" s="9"/>
      <c r="M314" s="8"/>
      <c r="N314" s="143"/>
      <c r="O314" s="9"/>
      <c r="P314" s="9"/>
      <c r="Q314" s="9"/>
      <c r="R314" s="9"/>
      <c r="S314" s="9"/>
      <c r="T314" s="9"/>
      <c r="U314" s="9"/>
      <c r="V314" s="9"/>
      <c r="W314" s="9"/>
      <c r="X314" s="11"/>
      <c r="Y314" s="143"/>
      <c r="Z314" s="9"/>
      <c r="AA314" s="143"/>
      <c r="AB314" s="9"/>
      <c r="AC314" s="8"/>
      <c r="AD314" s="143"/>
      <c r="AE314" s="9"/>
    </row>
    <row r="315" spans="1:31" x14ac:dyDescent="0.15">
      <c r="A315" s="8"/>
      <c r="B315" s="8"/>
      <c r="C315" s="8"/>
      <c r="D315" s="8"/>
      <c r="E315" s="9"/>
      <c r="F315" s="8"/>
      <c r="G315" s="10"/>
      <c r="H315" s="11"/>
      <c r="I315" s="143"/>
      <c r="J315" s="9"/>
      <c r="K315" s="143"/>
      <c r="L315" s="9"/>
      <c r="M315" s="8"/>
      <c r="N315" s="143"/>
      <c r="O315" s="9"/>
      <c r="P315" s="9"/>
      <c r="Q315" s="9"/>
      <c r="R315" s="9"/>
      <c r="S315" s="9"/>
      <c r="T315" s="9"/>
      <c r="U315" s="9"/>
      <c r="V315" s="9"/>
      <c r="W315" s="9"/>
      <c r="X315" s="11"/>
      <c r="Y315" s="143"/>
      <c r="Z315" s="9"/>
      <c r="AA315" s="143"/>
      <c r="AB315" s="9"/>
      <c r="AC315" s="8"/>
      <c r="AD315" s="143"/>
      <c r="AE315" s="9"/>
    </row>
    <row r="316" spans="1:31" x14ac:dyDescent="0.15">
      <c r="A316" s="8"/>
      <c r="B316" s="8"/>
      <c r="C316" s="8"/>
      <c r="D316" s="8"/>
      <c r="E316" s="9"/>
      <c r="F316" s="8"/>
      <c r="G316" s="10"/>
      <c r="H316" s="11"/>
      <c r="I316" s="143"/>
      <c r="J316" s="9"/>
      <c r="K316" s="143"/>
      <c r="L316" s="9"/>
      <c r="M316" s="8"/>
      <c r="N316" s="143"/>
      <c r="O316" s="9"/>
      <c r="P316" s="9"/>
      <c r="Q316" s="9"/>
      <c r="R316" s="9"/>
      <c r="S316" s="9"/>
      <c r="T316" s="9"/>
      <c r="U316" s="9"/>
      <c r="V316" s="9"/>
      <c r="W316" s="9"/>
      <c r="X316" s="11"/>
      <c r="Y316" s="143"/>
      <c r="Z316" s="9"/>
      <c r="AA316" s="143"/>
      <c r="AB316" s="9"/>
      <c r="AC316" s="8"/>
      <c r="AD316" s="143"/>
      <c r="AE316" s="9"/>
    </row>
    <row r="317" spans="1:31" x14ac:dyDescent="0.15">
      <c r="A317" s="8"/>
      <c r="B317" s="8"/>
      <c r="C317" s="8"/>
      <c r="D317" s="8"/>
      <c r="E317" s="9"/>
      <c r="F317" s="8"/>
      <c r="G317" s="10"/>
      <c r="H317" s="11"/>
      <c r="I317" s="143"/>
      <c r="J317" s="9"/>
      <c r="K317" s="143"/>
      <c r="L317" s="9"/>
      <c r="M317" s="8"/>
      <c r="N317" s="143"/>
      <c r="O317" s="9"/>
      <c r="P317" s="9"/>
      <c r="Q317" s="9"/>
      <c r="R317" s="9"/>
      <c r="S317" s="9"/>
      <c r="T317" s="9"/>
      <c r="U317" s="9"/>
      <c r="V317" s="9"/>
      <c r="W317" s="9"/>
      <c r="X317" s="11"/>
      <c r="Y317" s="143"/>
      <c r="Z317" s="9"/>
      <c r="AA317" s="143"/>
      <c r="AB317" s="9"/>
      <c r="AC317" s="8"/>
      <c r="AD317" s="143"/>
      <c r="AE317" s="9"/>
    </row>
    <row r="318" spans="1:31" x14ac:dyDescent="0.15">
      <c r="A318" s="8"/>
      <c r="B318" s="8"/>
      <c r="C318" s="8"/>
      <c r="D318" s="8"/>
      <c r="E318" s="9"/>
      <c r="F318" s="8"/>
      <c r="G318" s="10"/>
      <c r="H318" s="11"/>
      <c r="I318" s="143"/>
      <c r="J318" s="9"/>
      <c r="K318" s="143"/>
      <c r="L318" s="9"/>
      <c r="M318" s="8"/>
      <c r="N318" s="143"/>
      <c r="O318" s="9"/>
      <c r="P318" s="9"/>
      <c r="Q318" s="9"/>
      <c r="R318" s="9"/>
      <c r="S318" s="9"/>
      <c r="T318" s="9"/>
      <c r="U318" s="9"/>
      <c r="V318" s="9"/>
      <c r="W318" s="9"/>
      <c r="X318" s="11"/>
      <c r="Y318" s="143"/>
      <c r="Z318" s="9"/>
      <c r="AA318" s="143"/>
      <c r="AB318" s="9"/>
      <c r="AC318" s="8"/>
      <c r="AD318" s="143"/>
      <c r="AE318" s="9"/>
    </row>
    <row r="319" spans="1:31" x14ac:dyDescent="0.15">
      <c r="A319" s="8"/>
      <c r="B319" s="8"/>
      <c r="C319" s="8"/>
      <c r="D319" s="8"/>
      <c r="E319" s="9"/>
      <c r="F319" s="8"/>
      <c r="G319" s="10"/>
      <c r="H319" s="11"/>
      <c r="I319" s="143"/>
      <c r="J319" s="9"/>
      <c r="K319" s="143"/>
      <c r="L319" s="9"/>
      <c r="M319" s="8"/>
      <c r="N319" s="143"/>
      <c r="O319" s="9"/>
      <c r="P319" s="9"/>
      <c r="Q319" s="9"/>
      <c r="R319" s="9"/>
      <c r="S319" s="9"/>
      <c r="T319" s="9"/>
      <c r="U319" s="9"/>
      <c r="V319" s="9"/>
      <c r="W319" s="9"/>
      <c r="X319" s="11"/>
      <c r="Y319" s="143"/>
      <c r="Z319" s="9"/>
      <c r="AA319" s="143"/>
      <c r="AB319" s="9"/>
      <c r="AC319" s="8"/>
      <c r="AD319" s="143"/>
      <c r="AE319" s="9"/>
    </row>
    <row r="320" spans="1:31" x14ac:dyDescent="0.15">
      <c r="A320" s="8"/>
      <c r="B320" s="8"/>
      <c r="C320" s="8"/>
      <c r="D320" s="8"/>
      <c r="E320" s="9"/>
      <c r="F320" s="8"/>
      <c r="G320" s="10"/>
      <c r="H320" s="11"/>
      <c r="I320" s="143"/>
      <c r="J320" s="9"/>
      <c r="K320" s="143"/>
      <c r="L320" s="9"/>
      <c r="M320" s="8"/>
      <c r="N320" s="143"/>
      <c r="O320" s="9"/>
      <c r="P320" s="9"/>
      <c r="Q320" s="9"/>
      <c r="R320" s="9"/>
      <c r="S320" s="9"/>
      <c r="T320" s="9"/>
      <c r="U320" s="9"/>
      <c r="V320" s="9"/>
      <c r="W320" s="9"/>
      <c r="X320" s="11"/>
      <c r="Y320" s="143"/>
      <c r="Z320" s="9"/>
      <c r="AA320" s="143"/>
      <c r="AB320" s="9"/>
      <c r="AC320" s="8"/>
      <c r="AD320" s="143"/>
      <c r="AE320" s="9"/>
    </row>
    <row r="321" spans="1:31" x14ac:dyDescent="0.15">
      <c r="A321" s="8"/>
      <c r="B321" s="8"/>
      <c r="C321" s="8"/>
      <c r="D321" s="8"/>
      <c r="E321" s="9"/>
      <c r="F321" s="8"/>
      <c r="G321" s="10"/>
      <c r="H321" s="11"/>
      <c r="I321" s="143"/>
      <c r="J321" s="9"/>
      <c r="K321" s="143"/>
      <c r="L321" s="9"/>
      <c r="M321" s="8"/>
      <c r="N321" s="143"/>
      <c r="O321" s="9"/>
      <c r="P321" s="9"/>
      <c r="Q321" s="9"/>
      <c r="R321" s="9"/>
      <c r="S321" s="9"/>
      <c r="T321" s="9"/>
      <c r="U321" s="9"/>
      <c r="V321" s="9"/>
      <c r="W321" s="9"/>
      <c r="X321" s="11"/>
      <c r="Y321" s="143"/>
      <c r="Z321" s="9"/>
      <c r="AA321" s="143"/>
      <c r="AB321" s="9"/>
      <c r="AC321" s="8"/>
      <c r="AD321" s="143"/>
      <c r="AE321" s="9"/>
    </row>
    <row r="322" spans="1:31" x14ac:dyDescent="0.15">
      <c r="A322" s="8"/>
      <c r="B322" s="8"/>
      <c r="C322" s="8"/>
      <c r="D322" s="8"/>
      <c r="E322" s="9"/>
      <c r="F322" s="8"/>
      <c r="G322" s="10"/>
      <c r="H322" s="11"/>
      <c r="I322" s="143"/>
      <c r="J322" s="9"/>
      <c r="K322" s="143"/>
      <c r="L322" s="9"/>
      <c r="M322" s="8"/>
      <c r="N322" s="143"/>
      <c r="O322" s="9"/>
      <c r="P322" s="9"/>
      <c r="Q322" s="9"/>
      <c r="R322" s="9"/>
      <c r="S322" s="9"/>
      <c r="T322" s="9"/>
      <c r="U322" s="9"/>
      <c r="V322" s="9"/>
      <c r="W322" s="9"/>
      <c r="X322" s="11"/>
      <c r="Y322" s="143"/>
      <c r="Z322" s="9"/>
      <c r="AA322" s="143"/>
      <c r="AB322" s="9"/>
      <c r="AC322" s="8"/>
      <c r="AD322" s="143"/>
      <c r="AE322" s="9"/>
    </row>
    <row r="323" spans="1:31" x14ac:dyDescent="0.15">
      <c r="A323" s="8"/>
      <c r="B323" s="8"/>
      <c r="C323" s="8"/>
      <c r="D323" s="8"/>
      <c r="E323" s="9"/>
      <c r="F323" s="8"/>
      <c r="G323" s="10"/>
      <c r="H323" s="11"/>
      <c r="I323" s="143"/>
      <c r="J323" s="9"/>
      <c r="K323" s="143"/>
      <c r="L323" s="9"/>
      <c r="M323" s="8"/>
      <c r="N323" s="143"/>
      <c r="O323" s="9"/>
      <c r="P323" s="9"/>
      <c r="Q323" s="9"/>
      <c r="R323" s="9"/>
      <c r="S323" s="9"/>
      <c r="T323" s="9"/>
      <c r="U323" s="9"/>
      <c r="V323" s="9"/>
      <c r="W323" s="9"/>
      <c r="X323" s="11"/>
      <c r="Y323" s="143"/>
      <c r="Z323" s="9"/>
      <c r="AA323" s="143"/>
      <c r="AB323" s="9"/>
      <c r="AC323" s="8"/>
      <c r="AD323" s="143"/>
      <c r="AE323" s="9"/>
    </row>
    <row r="324" spans="1:31" x14ac:dyDescent="0.15">
      <c r="A324" s="8"/>
      <c r="B324" s="8"/>
      <c r="C324" s="8"/>
      <c r="D324" s="8"/>
      <c r="E324" s="9"/>
      <c r="F324" s="8"/>
      <c r="G324" s="10"/>
      <c r="H324" s="11"/>
      <c r="I324" s="143"/>
      <c r="J324" s="9"/>
      <c r="K324" s="143"/>
      <c r="L324" s="9"/>
      <c r="M324" s="8"/>
      <c r="N324" s="143"/>
      <c r="O324" s="9"/>
      <c r="P324" s="9"/>
      <c r="Q324" s="9"/>
      <c r="R324" s="9"/>
      <c r="S324" s="9"/>
      <c r="T324" s="9"/>
      <c r="U324" s="9"/>
      <c r="V324" s="9"/>
      <c r="W324" s="9"/>
      <c r="X324" s="11"/>
      <c r="Y324" s="143"/>
      <c r="Z324" s="9"/>
      <c r="AA324" s="143"/>
      <c r="AB324" s="9"/>
      <c r="AC324" s="8"/>
      <c r="AD324" s="143"/>
      <c r="AE324" s="9"/>
    </row>
    <row r="325" spans="1:31" x14ac:dyDescent="0.15">
      <c r="A325" s="8"/>
      <c r="B325" s="8"/>
      <c r="C325" s="8"/>
      <c r="D325" s="8"/>
      <c r="E325" s="9"/>
      <c r="F325" s="8"/>
      <c r="G325" s="10"/>
      <c r="H325" s="11"/>
      <c r="I325" s="143"/>
      <c r="J325" s="9"/>
      <c r="K325" s="143"/>
      <c r="L325" s="9"/>
      <c r="M325" s="8"/>
      <c r="N325" s="143"/>
      <c r="O325" s="9"/>
      <c r="P325" s="9"/>
      <c r="Q325" s="9"/>
      <c r="R325" s="9"/>
      <c r="S325" s="9"/>
      <c r="T325" s="9"/>
      <c r="U325" s="9"/>
      <c r="V325" s="9"/>
      <c r="W325" s="9"/>
      <c r="X325" s="11"/>
      <c r="Y325" s="143"/>
      <c r="Z325" s="9"/>
      <c r="AA325" s="143"/>
      <c r="AB325" s="9"/>
      <c r="AC325" s="8"/>
      <c r="AD325" s="143"/>
      <c r="AE325" s="9"/>
    </row>
    <row r="326" spans="1:31" x14ac:dyDescent="0.15">
      <c r="A326" s="8"/>
      <c r="B326" s="8"/>
      <c r="C326" s="8"/>
      <c r="D326" s="8"/>
      <c r="E326" s="9"/>
      <c r="F326" s="8"/>
      <c r="G326" s="10"/>
      <c r="H326" s="11"/>
      <c r="I326" s="143"/>
      <c r="J326" s="9"/>
      <c r="K326" s="143"/>
      <c r="L326" s="9"/>
      <c r="M326" s="8"/>
      <c r="N326" s="143"/>
      <c r="O326" s="9"/>
      <c r="P326" s="9"/>
      <c r="Q326" s="9"/>
      <c r="R326" s="9"/>
      <c r="S326" s="9"/>
      <c r="T326" s="9"/>
      <c r="U326" s="9"/>
      <c r="V326" s="9"/>
      <c r="W326" s="9"/>
      <c r="X326" s="11"/>
      <c r="Y326" s="143"/>
      <c r="Z326" s="9"/>
      <c r="AA326" s="143"/>
      <c r="AB326" s="9"/>
      <c r="AC326" s="8"/>
      <c r="AD326" s="143"/>
      <c r="AE326" s="9"/>
    </row>
    <row r="327" spans="1:31" x14ac:dyDescent="0.15">
      <c r="A327" s="8"/>
      <c r="B327" s="8"/>
      <c r="C327" s="8"/>
      <c r="D327" s="8"/>
      <c r="E327" s="9"/>
      <c r="F327" s="8"/>
      <c r="G327" s="10"/>
      <c r="H327" s="11"/>
      <c r="I327" s="143"/>
      <c r="J327" s="9"/>
      <c r="K327" s="143"/>
      <c r="L327" s="9"/>
      <c r="M327" s="8"/>
      <c r="N327" s="143"/>
      <c r="O327" s="9"/>
      <c r="P327" s="9"/>
      <c r="Q327" s="9"/>
      <c r="R327" s="9"/>
      <c r="S327" s="9"/>
      <c r="T327" s="9"/>
      <c r="U327" s="9"/>
      <c r="V327" s="9"/>
      <c r="W327" s="9"/>
      <c r="X327" s="11"/>
      <c r="Y327" s="143"/>
      <c r="Z327" s="9"/>
      <c r="AA327" s="143"/>
      <c r="AB327" s="9"/>
      <c r="AC327" s="8"/>
      <c r="AD327" s="143"/>
      <c r="AE327" s="9"/>
    </row>
    <row r="328" spans="1:31" x14ac:dyDescent="0.15">
      <c r="A328" s="8"/>
      <c r="B328" s="8"/>
      <c r="C328" s="8"/>
      <c r="D328" s="8"/>
      <c r="E328" s="9"/>
      <c r="F328" s="8"/>
      <c r="G328" s="10"/>
      <c r="H328" s="11"/>
      <c r="I328" s="143"/>
      <c r="J328" s="9"/>
      <c r="K328" s="143"/>
      <c r="L328" s="9"/>
      <c r="M328" s="8"/>
      <c r="N328" s="143"/>
      <c r="O328" s="9"/>
      <c r="P328" s="9"/>
      <c r="Q328" s="9"/>
      <c r="R328" s="9"/>
      <c r="S328" s="9"/>
      <c r="T328" s="9"/>
      <c r="U328" s="9"/>
      <c r="V328" s="9"/>
      <c r="W328" s="9"/>
      <c r="X328" s="11"/>
      <c r="Y328" s="143"/>
      <c r="Z328" s="9"/>
      <c r="AA328" s="143"/>
      <c r="AB328" s="9"/>
      <c r="AC328" s="8"/>
      <c r="AD328" s="143"/>
      <c r="AE328" s="9"/>
    </row>
    <row r="329" spans="1:31" x14ac:dyDescent="0.15">
      <c r="A329" s="8"/>
      <c r="B329" s="8"/>
      <c r="C329" s="8"/>
      <c r="D329" s="8"/>
      <c r="E329" s="9"/>
      <c r="F329" s="8"/>
      <c r="G329" s="10"/>
      <c r="H329" s="11"/>
      <c r="I329" s="143"/>
      <c r="J329" s="9"/>
      <c r="K329" s="143"/>
      <c r="L329" s="9"/>
      <c r="M329" s="8"/>
      <c r="N329" s="143"/>
      <c r="O329" s="9"/>
      <c r="P329" s="9"/>
      <c r="Q329" s="9"/>
      <c r="R329" s="9"/>
      <c r="S329" s="9"/>
      <c r="T329" s="9"/>
      <c r="U329" s="9"/>
      <c r="V329" s="9"/>
      <c r="W329" s="9"/>
      <c r="X329" s="11"/>
      <c r="Y329" s="143"/>
      <c r="Z329" s="9"/>
      <c r="AA329" s="143"/>
      <c r="AB329" s="9"/>
      <c r="AC329" s="8"/>
      <c r="AD329" s="143"/>
      <c r="AE329" s="9"/>
    </row>
    <row r="330" spans="1:31" x14ac:dyDescent="0.15">
      <c r="A330" s="8"/>
      <c r="B330" s="8"/>
      <c r="C330" s="8"/>
      <c r="D330" s="8"/>
      <c r="E330" s="9"/>
      <c r="F330" s="8"/>
      <c r="G330" s="10"/>
      <c r="H330" s="11"/>
      <c r="I330" s="143"/>
      <c r="J330" s="9"/>
      <c r="K330" s="143"/>
      <c r="L330" s="9"/>
      <c r="M330" s="8"/>
      <c r="N330" s="143"/>
      <c r="O330" s="9"/>
      <c r="P330" s="9"/>
      <c r="Q330" s="9"/>
      <c r="R330" s="9"/>
      <c r="S330" s="9"/>
      <c r="T330" s="9"/>
      <c r="U330" s="9"/>
      <c r="V330" s="9"/>
      <c r="W330" s="9"/>
      <c r="X330" s="11"/>
      <c r="Y330" s="143"/>
      <c r="Z330" s="9"/>
      <c r="AA330" s="143"/>
      <c r="AB330" s="9"/>
      <c r="AC330" s="8"/>
      <c r="AD330" s="143"/>
      <c r="AE330" s="9"/>
    </row>
    <row r="331" spans="1:31" x14ac:dyDescent="0.15">
      <c r="A331" s="8"/>
      <c r="B331" s="8"/>
      <c r="C331" s="8"/>
      <c r="D331" s="8"/>
      <c r="E331" s="9"/>
      <c r="F331" s="8"/>
      <c r="G331" s="10"/>
      <c r="H331" s="11"/>
      <c r="I331" s="143"/>
      <c r="J331" s="9"/>
      <c r="K331" s="143"/>
      <c r="L331" s="9"/>
      <c r="M331" s="8"/>
      <c r="N331" s="143"/>
      <c r="O331" s="9"/>
      <c r="P331" s="9"/>
      <c r="Q331" s="9"/>
      <c r="R331" s="9"/>
      <c r="S331" s="9"/>
      <c r="T331" s="9"/>
      <c r="U331" s="9"/>
      <c r="V331" s="9"/>
      <c r="W331" s="9"/>
      <c r="X331" s="11"/>
      <c r="Y331" s="143"/>
      <c r="Z331" s="9"/>
      <c r="AA331" s="143"/>
      <c r="AB331" s="9"/>
      <c r="AC331" s="8"/>
      <c r="AD331" s="143"/>
      <c r="AE331" s="9"/>
    </row>
    <row r="332" spans="1:31" x14ac:dyDescent="0.15">
      <c r="A332" s="8"/>
      <c r="B332" s="8"/>
      <c r="C332" s="8"/>
      <c r="D332" s="8"/>
      <c r="E332" s="9"/>
      <c r="F332" s="8"/>
      <c r="G332" s="10"/>
      <c r="H332" s="11"/>
      <c r="I332" s="143"/>
      <c r="J332" s="9"/>
      <c r="K332" s="143"/>
      <c r="L332" s="9"/>
      <c r="M332" s="8"/>
      <c r="N332" s="143"/>
      <c r="O332" s="9"/>
      <c r="P332" s="9"/>
      <c r="Q332" s="9"/>
      <c r="R332" s="9"/>
      <c r="S332" s="9"/>
      <c r="T332" s="9"/>
      <c r="U332" s="9"/>
      <c r="V332" s="9"/>
      <c r="W332" s="9"/>
      <c r="X332" s="11"/>
      <c r="Y332" s="143"/>
      <c r="Z332" s="9"/>
      <c r="AA332" s="143"/>
      <c r="AB332" s="9"/>
      <c r="AC332" s="8"/>
      <c r="AD332" s="143"/>
      <c r="AE332" s="9"/>
    </row>
    <row r="333" spans="1:31" x14ac:dyDescent="0.15">
      <c r="A333" s="8"/>
      <c r="B333" s="8"/>
      <c r="C333" s="8"/>
      <c r="D333" s="8"/>
      <c r="E333" s="9"/>
      <c r="F333" s="8"/>
      <c r="G333" s="10"/>
      <c r="H333" s="11"/>
      <c r="I333" s="143"/>
      <c r="J333" s="9"/>
      <c r="K333" s="143"/>
      <c r="L333" s="9"/>
      <c r="M333" s="8"/>
      <c r="N333" s="143"/>
      <c r="O333" s="9"/>
      <c r="P333" s="9"/>
      <c r="Q333" s="9"/>
      <c r="R333" s="9"/>
      <c r="S333" s="9"/>
      <c r="T333" s="9"/>
      <c r="U333" s="9"/>
      <c r="V333" s="9"/>
      <c r="W333" s="9"/>
      <c r="X333" s="11"/>
      <c r="Y333" s="143"/>
      <c r="Z333" s="9"/>
      <c r="AA333" s="143"/>
      <c r="AB333" s="9"/>
      <c r="AC333" s="8"/>
      <c r="AD333" s="143"/>
      <c r="AE333" s="9"/>
    </row>
    <row r="334" spans="1:31" x14ac:dyDescent="0.15">
      <c r="A334" s="8"/>
      <c r="B334" s="8"/>
      <c r="C334" s="8"/>
      <c r="D334" s="8"/>
      <c r="E334" s="9"/>
      <c r="F334" s="8"/>
      <c r="G334" s="10"/>
      <c r="H334" s="11"/>
      <c r="I334" s="143"/>
      <c r="J334" s="9"/>
      <c r="K334" s="143"/>
      <c r="L334" s="9"/>
      <c r="M334" s="8"/>
      <c r="N334" s="143"/>
      <c r="O334" s="9"/>
      <c r="P334" s="9"/>
      <c r="Q334" s="9"/>
      <c r="R334" s="9"/>
      <c r="S334" s="9"/>
      <c r="T334" s="9"/>
      <c r="U334" s="9"/>
      <c r="V334" s="9"/>
      <c r="W334" s="9"/>
      <c r="X334" s="11"/>
      <c r="Y334" s="143"/>
      <c r="Z334" s="9"/>
      <c r="AA334" s="143"/>
      <c r="AB334" s="9"/>
      <c r="AC334" s="8"/>
      <c r="AD334" s="143"/>
      <c r="AE334" s="9"/>
    </row>
    <row r="335" spans="1:31" x14ac:dyDescent="0.15">
      <c r="A335" s="8"/>
      <c r="B335" s="8"/>
      <c r="C335" s="8"/>
      <c r="D335" s="8"/>
      <c r="E335" s="9"/>
      <c r="F335" s="8"/>
      <c r="G335" s="10"/>
      <c r="H335" s="11"/>
      <c r="I335" s="143"/>
      <c r="J335" s="9"/>
      <c r="K335" s="143"/>
      <c r="L335" s="9"/>
      <c r="M335" s="8"/>
      <c r="N335" s="143"/>
      <c r="O335" s="9"/>
      <c r="P335" s="9"/>
      <c r="Q335" s="9"/>
      <c r="R335" s="9"/>
      <c r="S335" s="9"/>
      <c r="T335" s="9"/>
      <c r="U335" s="9"/>
      <c r="V335" s="9"/>
      <c r="W335" s="9"/>
      <c r="X335" s="11"/>
      <c r="Y335" s="143"/>
      <c r="Z335" s="9"/>
      <c r="AA335" s="143"/>
      <c r="AB335" s="9"/>
      <c r="AC335" s="8"/>
      <c r="AD335" s="143"/>
      <c r="AE335" s="9"/>
    </row>
    <row r="336" spans="1:31" x14ac:dyDescent="0.15">
      <c r="A336" s="8"/>
      <c r="B336" s="8"/>
      <c r="C336" s="8"/>
      <c r="D336" s="8"/>
      <c r="E336" s="9"/>
      <c r="F336" s="8"/>
      <c r="G336" s="10"/>
      <c r="H336" s="11"/>
      <c r="I336" s="143"/>
      <c r="J336" s="9"/>
      <c r="K336" s="143"/>
      <c r="L336" s="9"/>
      <c r="M336" s="8"/>
      <c r="N336" s="143"/>
      <c r="O336" s="9"/>
      <c r="P336" s="9"/>
      <c r="Q336" s="9"/>
      <c r="R336" s="9"/>
      <c r="S336" s="9"/>
      <c r="T336" s="9"/>
      <c r="U336" s="9"/>
      <c r="V336" s="9"/>
      <c r="W336" s="9"/>
      <c r="X336" s="11"/>
      <c r="Y336" s="143"/>
      <c r="Z336" s="9"/>
      <c r="AA336" s="143"/>
      <c r="AB336" s="9"/>
      <c r="AC336" s="8"/>
      <c r="AD336" s="143"/>
      <c r="AE336" s="9"/>
    </row>
    <row r="337" spans="1:31" x14ac:dyDescent="0.15">
      <c r="A337" s="8"/>
      <c r="B337" s="8"/>
      <c r="C337" s="8"/>
      <c r="D337" s="8"/>
      <c r="E337" s="9"/>
      <c r="F337" s="8"/>
      <c r="G337" s="10"/>
      <c r="H337" s="11"/>
      <c r="I337" s="143"/>
      <c r="J337" s="9"/>
      <c r="K337" s="143"/>
      <c r="L337" s="9"/>
      <c r="M337" s="8"/>
      <c r="N337" s="143"/>
      <c r="O337" s="9"/>
      <c r="P337" s="9"/>
      <c r="Q337" s="9"/>
      <c r="R337" s="9"/>
      <c r="S337" s="9"/>
      <c r="T337" s="9"/>
      <c r="U337" s="9"/>
      <c r="V337" s="9"/>
      <c r="W337" s="9"/>
      <c r="X337" s="11"/>
      <c r="Y337" s="143"/>
      <c r="Z337" s="9"/>
      <c r="AA337" s="143"/>
      <c r="AB337" s="9"/>
      <c r="AC337" s="8"/>
      <c r="AD337" s="143"/>
      <c r="AE337" s="9"/>
    </row>
    <row r="338" spans="1:31" x14ac:dyDescent="0.15">
      <c r="A338" s="8"/>
      <c r="B338" s="8"/>
      <c r="C338" s="8"/>
      <c r="D338" s="8"/>
      <c r="E338" s="9"/>
      <c r="F338" s="8"/>
      <c r="G338" s="10"/>
      <c r="H338" s="11"/>
      <c r="I338" s="143"/>
      <c r="J338" s="9"/>
      <c r="K338" s="143"/>
      <c r="L338" s="9"/>
      <c r="M338" s="8"/>
      <c r="N338" s="143"/>
      <c r="O338" s="9"/>
      <c r="P338" s="9"/>
      <c r="Q338" s="9"/>
      <c r="R338" s="9"/>
      <c r="S338" s="9"/>
      <c r="T338" s="9"/>
      <c r="U338" s="9"/>
      <c r="V338" s="9"/>
      <c r="W338" s="9"/>
      <c r="X338" s="11"/>
      <c r="Y338" s="143"/>
      <c r="Z338" s="9"/>
      <c r="AA338" s="143"/>
      <c r="AB338" s="9"/>
      <c r="AC338" s="8"/>
      <c r="AD338" s="143"/>
      <c r="AE338" s="9"/>
    </row>
    <row r="339" spans="1:31" x14ac:dyDescent="0.15">
      <c r="A339" s="8"/>
      <c r="B339" s="8"/>
      <c r="C339" s="8"/>
      <c r="D339" s="8"/>
      <c r="E339" s="9"/>
      <c r="F339" s="8"/>
      <c r="G339" s="10"/>
      <c r="H339" s="11"/>
      <c r="I339" s="143"/>
      <c r="J339" s="9"/>
      <c r="K339" s="143"/>
      <c r="L339" s="9"/>
      <c r="M339" s="8"/>
      <c r="N339" s="143"/>
      <c r="O339" s="9"/>
      <c r="P339" s="9"/>
      <c r="Q339" s="9"/>
      <c r="R339" s="9"/>
      <c r="S339" s="9"/>
      <c r="T339" s="9"/>
      <c r="U339" s="9"/>
      <c r="V339" s="9"/>
      <c r="W339" s="9"/>
      <c r="X339" s="11"/>
      <c r="Y339" s="143"/>
      <c r="Z339" s="9"/>
      <c r="AA339" s="143"/>
      <c r="AB339" s="9"/>
      <c r="AC339" s="8"/>
      <c r="AD339" s="143"/>
      <c r="AE339" s="9"/>
    </row>
    <row r="340" spans="1:31" x14ac:dyDescent="0.15">
      <c r="A340" s="8"/>
      <c r="B340" s="8"/>
      <c r="C340" s="8"/>
      <c r="D340" s="8"/>
      <c r="E340" s="9"/>
      <c r="F340" s="8"/>
      <c r="G340" s="10"/>
      <c r="H340" s="11"/>
      <c r="I340" s="143"/>
      <c r="J340" s="9"/>
      <c r="K340" s="143"/>
      <c r="L340" s="9"/>
      <c r="M340" s="8"/>
      <c r="N340" s="143"/>
      <c r="O340" s="9"/>
      <c r="P340" s="9"/>
      <c r="Q340" s="9"/>
      <c r="R340" s="9"/>
      <c r="S340" s="9"/>
      <c r="T340" s="9"/>
      <c r="U340" s="9"/>
      <c r="V340" s="9"/>
      <c r="W340" s="9"/>
      <c r="X340" s="11"/>
      <c r="Y340" s="143"/>
      <c r="Z340" s="9"/>
      <c r="AA340" s="143"/>
      <c r="AB340" s="9"/>
      <c r="AC340" s="8"/>
      <c r="AD340" s="143"/>
      <c r="AE340" s="9"/>
    </row>
    <row r="341" spans="1:31" x14ac:dyDescent="0.15">
      <c r="A341" s="8"/>
      <c r="B341" s="8"/>
      <c r="C341" s="8"/>
      <c r="D341" s="8"/>
      <c r="E341" s="9"/>
      <c r="F341" s="8"/>
      <c r="G341" s="10"/>
      <c r="H341" s="11"/>
      <c r="I341" s="143"/>
      <c r="J341" s="9"/>
      <c r="K341" s="143"/>
      <c r="L341" s="9"/>
      <c r="M341" s="8"/>
      <c r="N341" s="143"/>
      <c r="O341" s="9"/>
      <c r="P341" s="9"/>
      <c r="Q341" s="9"/>
      <c r="R341" s="9"/>
      <c r="S341" s="9"/>
      <c r="T341" s="9"/>
      <c r="U341" s="9"/>
      <c r="V341" s="9"/>
      <c r="W341" s="9"/>
      <c r="X341" s="11"/>
      <c r="Y341" s="143"/>
      <c r="Z341" s="9"/>
      <c r="AA341" s="143"/>
      <c r="AB341" s="9"/>
      <c r="AC341" s="8"/>
      <c r="AD341" s="143"/>
      <c r="AE341" s="9"/>
    </row>
    <row r="342" spans="1:31" x14ac:dyDescent="0.15">
      <c r="A342" s="8"/>
      <c r="B342" s="8"/>
      <c r="C342" s="8"/>
      <c r="D342" s="8"/>
      <c r="E342" s="9"/>
      <c r="F342" s="8"/>
      <c r="G342" s="10"/>
      <c r="H342" s="11"/>
      <c r="I342" s="143"/>
      <c r="J342" s="9"/>
      <c r="K342" s="143"/>
      <c r="L342" s="9"/>
      <c r="M342" s="8"/>
      <c r="N342" s="143"/>
      <c r="O342" s="9"/>
      <c r="P342" s="9"/>
      <c r="Q342" s="9"/>
      <c r="R342" s="9"/>
      <c r="S342" s="9"/>
      <c r="T342" s="9"/>
      <c r="U342" s="9"/>
      <c r="V342" s="9"/>
      <c r="W342" s="9"/>
      <c r="X342" s="11"/>
      <c r="Y342" s="143"/>
      <c r="Z342" s="9"/>
      <c r="AA342" s="143"/>
      <c r="AB342" s="9"/>
      <c r="AC342" s="8"/>
      <c r="AD342" s="143"/>
      <c r="AE342" s="9"/>
    </row>
    <row r="343" spans="1:31" x14ac:dyDescent="0.15">
      <c r="A343" s="8"/>
      <c r="B343" s="8"/>
      <c r="C343" s="8"/>
      <c r="D343" s="8"/>
      <c r="E343" s="9"/>
      <c r="F343" s="8"/>
      <c r="G343" s="10"/>
      <c r="H343" s="11"/>
      <c r="I343" s="143"/>
      <c r="J343" s="9"/>
      <c r="K343" s="143"/>
      <c r="L343" s="9"/>
      <c r="M343" s="8"/>
      <c r="N343" s="143"/>
      <c r="O343" s="9"/>
      <c r="P343" s="9"/>
      <c r="Q343" s="9"/>
      <c r="R343" s="9"/>
      <c r="S343" s="9"/>
      <c r="T343" s="9"/>
      <c r="U343" s="9"/>
      <c r="V343" s="9"/>
      <c r="W343" s="9"/>
      <c r="X343" s="11"/>
      <c r="Y343" s="143"/>
      <c r="Z343" s="9"/>
      <c r="AA343" s="143"/>
      <c r="AB343" s="9"/>
      <c r="AC343" s="8"/>
      <c r="AD343" s="143"/>
      <c r="AE343" s="9"/>
    </row>
    <row r="344" spans="1:31" x14ac:dyDescent="0.15">
      <c r="A344" s="8"/>
      <c r="B344" s="8"/>
      <c r="C344" s="8"/>
      <c r="D344" s="8"/>
      <c r="E344" s="9"/>
      <c r="F344" s="8"/>
      <c r="G344" s="10"/>
      <c r="H344" s="11"/>
      <c r="I344" s="143"/>
      <c r="J344" s="9"/>
      <c r="K344" s="143"/>
      <c r="L344" s="9"/>
      <c r="M344" s="8"/>
      <c r="N344" s="143"/>
      <c r="O344" s="9"/>
      <c r="P344" s="9"/>
      <c r="Q344" s="9"/>
      <c r="R344" s="9"/>
      <c r="S344" s="9"/>
      <c r="T344" s="9"/>
      <c r="U344" s="9"/>
      <c r="V344" s="9"/>
      <c r="W344" s="9"/>
      <c r="X344" s="11"/>
      <c r="Y344" s="143"/>
      <c r="Z344" s="9"/>
      <c r="AA344" s="143"/>
      <c r="AB344" s="9"/>
      <c r="AC344" s="8"/>
      <c r="AD344" s="143"/>
      <c r="AE344" s="9"/>
    </row>
    <row r="345" spans="1:31" x14ac:dyDescent="0.15">
      <c r="A345" s="8"/>
      <c r="B345" s="8"/>
      <c r="C345" s="8"/>
      <c r="D345" s="8"/>
      <c r="E345" s="9"/>
      <c r="F345" s="8"/>
      <c r="G345" s="10"/>
      <c r="H345" s="11"/>
      <c r="I345" s="143"/>
      <c r="J345" s="9"/>
      <c r="K345" s="143"/>
      <c r="L345" s="9"/>
      <c r="M345" s="8"/>
      <c r="N345" s="143"/>
      <c r="O345" s="9"/>
      <c r="P345" s="9"/>
      <c r="Q345" s="9"/>
      <c r="R345" s="9"/>
      <c r="S345" s="9"/>
      <c r="T345" s="9"/>
      <c r="U345" s="9"/>
      <c r="V345" s="9"/>
      <c r="W345" s="9"/>
      <c r="X345" s="11"/>
      <c r="Y345" s="143"/>
      <c r="Z345" s="9"/>
      <c r="AA345" s="143"/>
      <c r="AB345" s="9"/>
      <c r="AC345" s="8"/>
      <c r="AD345" s="143"/>
      <c r="AE345" s="9"/>
    </row>
    <row r="346" spans="1:31" x14ac:dyDescent="0.15">
      <c r="A346" s="8"/>
      <c r="B346" s="8"/>
      <c r="C346" s="8"/>
      <c r="D346" s="8"/>
      <c r="E346" s="9"/>
      <c r="F346" s="8"/>
      <c r="G346" s="10"/>
      <c r="H346" s="11"/>
      <c r="I346" s="143"/>
      <c r="J346" s="9"/>
      <c r="K346" s="143"/>
      <c r="L346" s="9"/>
      <c r="M346" s="8"/>
      <c r="N346" s="143"/>
      <c r="O346" s="9"/>
      <c r="P346" s="9"/>
      <c r="Q346" s="9"/>
      <c r="R346" s="9"/>
      <c r="S346" s="9"/>
      <c r="T346" s="9"/>
      <c r="U346" s="9"/>
      <c r="V346" s="9"/>
      <c r="W346" s="9"/>
      <c r="X346" s="11"/>
      <c r="Y346" s="143"/>
      <c r="Z346" s="9"/>
      <c r="AA346" s="143"/>
      <c r="AB346" s="9"/>
      <c r="AC346" s="8"/>
      <c r="AD346" s="143"/>
      <c r="AE346" s="9"/>
    </row>
    <row r="347" spans="1:31" x14ac:dyDescent="0.15">
      <c r="A347" s="8"/>
      <c r="B347" s="8"/>
      <c r="C347" s="8"/>
      <c r="D347" s="8"/>
      <c r="E347" s="9"/>
      <c r="F347" s="8"/>
      <c r="G347" s="10"/>
      <c r="H347" s="11"/>
      <c r="I347" s="143"/>
      <c r="J347" s="9"/>
      <c r="K347" s="143"/>
      <c r="L347" s="9"/>
      <c r="M347" s="8"/>
      <c r="N347" s="143"/>
      <c r="O347" s="9"/>
      <c r="P347" s="9"/>
      <c r="Q347" s="9"/>
      <c r="R347" s="9"/>
      <c r="S347" s="9"/>
      <c r="T347" s="9"/>
      <c r="U347" s="9"/>
      <c r="V347" s="9"/>
      <c r="W347" s="9"/>
      <c r="X347" s="11"/>
      <c r="Y347" s="143"/>
      <c r="Z347" s="9"/>
      <c r="AA347" s="143"/>
      <c r="AB347" s="9"/>
      <c r="AC347" s="8"/>
      <c r="AD347" s="143"/>
      <c r="AE347" s="9"/>
    </row>
    <row r="348" spans="1:31" x14ac:dyDescent="0.15">
      <c r="A348" s="8"/>
      <c r="B348" s="8"/>
      <c r="C348" s="8"/>
      <c r="D348" s="8"/>
      <c r="E348" s="9"/>
      <c r="F348" s="8"/>
      <c r="G348" s="10"/>
      <c r="H348" s="11"/>
      <c r="I348" s="143"/>
      <c r="J348" s="9"/>
      <c r="K348" s="143"/>
      <c r="L348" s="9"/>
      <c r="M348" s="8"/>
      <c r="N348" s="143"/>
      <c r="O348" s="9"/>
      <c r="P348" s="9"/>
      <c r="Q348" s="9"/>
      <c r="R348" s="9"/>
      <c r="S348" s="9"/>
      <c r="T348" s="9"/>
      <c r="U348" s="9"/>
      <c r="V348" s="9"/>
      <c r="W348" s="9"/>
      <c r="X348" s="11"/>
      <c r="Y348" s="143"/>
      <c r="Z348" s="9"/>
      <c r="AA348" s="143"/>
      <c r="AB348" s="9"/>
      <c r="AC348" s="8"/>
      <c r="AD348" s="143"/>
      <c r="AE348" s="9"/>
    </row>
    <row r="349" spans="1:31" x14ac:dyDescent="0.15">
      <c r="A349" s="8"/>
      <c r="B349" s="8"/>
      <c r="C349" s="8"/>
      <c r="D349" s="8"/>
      <c r="E349" s="9"/>
      <c r="F349" s="8"/>
      <c r="G349" s="10"/>
      <c r="H349" s="11"/>
      <c r="I349" s="143"/>
      <c r="J349" s="9"/>
      <c r="K349" s="143"/>
      <c r="L349" s="9"/>
      <c r="M349" s="8"/>
      <c r="N349" s="143"/>
      <c r="O349" s="9"/>
      <c r="P349" s="9"/>
      <c r="Q349" s="9"/>
      <c r="R349" s="9"/>
      <c r="S349" s="9"/>
      <c r="T349" s="9"/>
      <c r="U349" s="9"/>
      <c r="V349" s="9"/>
      <c r="W349" s="9"/>
      <c r="X349" s="11"/>
      <c r="Y349" s="143"/>
      <c r="Z349" s="9"/>
      <c r="AA349" s="143"/>
      <c r="AB349" s="9"/>
      <c r="AC349" s="8"/>
      <c r="AD349" s="143"/>
      <c r="AE349" s="9"/>
    </row>
    <row r="350" spans="1:31" x14ac:dyDescent="0.15">
      <c r="A350" s="8"/>
      <c r="B350" s="8"/>
      <c r="C350" s="8"/>
      <c r="D350" s="8"/>
      <c r="E350" s="9"/>
      <c r="F350" s="8"/>
      <c r="G350" s="10"/>
      <c r="H350" s="11"/>
      <c r="I350" s="143"/>
      <c r="J350" s="9"/>
      <c r="K350" s="143"/>
      <c r="L350" s="9"/>
      <c r="M350" s="8"/>
      <c r="N350" s="143"/>
      <c r="O350" s="9"/>
      <c r="P350" s="9"/>
      <c r="Q350" s="9"/>
      <c r="R350" s="9"/>
      <c r="S350" s="9"/>
      <c r="T350" s="9"/>
      <c r="U350" s="9"/>
      <c r="V350" s="9"/>
      <c r="W350" s="9"/>
      <c r="X350" s="11"/>
      <c r="Y350" s="143"/>
      <c r="Z350" s="9"/>
      <c r="AA350" s="143"/>
      <c r="AB350" s="9"/>
      <c r="AC350" s="8"/>
      <c r="AD350" s="143"/>
      <c r="AE350" s="9"/>
    </row>
    <row r="351" spans="1:31" x14ac:dyDescent="0.15">
      <c r="A351" s="8"/>
      <c r="B351" s="8"/>
      <c r="C351" s="8"/>
      <c r="D351" s="8"/>
      <c r="E351" s="9"/>
      <c r="F351" s="8"/>
      <c r="G351" s="10"/>
      <c r="H351" s="11"/>
      <c r="I351" s="143"/>
      <c r="J351" s="9"/>
      <c r="K351" s="143"/>
      <c r="L351" s="9"/>
      <c r="M351" s="8"/>
      <c r="N351" s="143"/>
      <c r="O351" s="9"/>
      <c r="P351" s="9"/>
      <c r="Q351" s="9"/>
      <c r="R351" s="9"/>
      <c r="S351" s="9"/>
      <c r="T351" s="9"/>
      <c r="U351" s="9"/>
      <c r="V351" s="9"/>
      <c r="W351" s="9"/>
      <c r="X351" s="11"/>
      <c r="Y351" s="143"/>
      <c r="Z351" s="9"/>
      <c r="AA351" s="143"/>
      <c r="AB351" s="9"/>
      <c r="AC351" s="8"/>
      <c r="AD351" s="143"/>
      <c r="AE351" s="9"/>
    </row>
    <row r="352" spans="1:31" x14ac:dyDescent="0.15">
      <c r="A352" s="8"/>
      <c r="B352" s="8"/>
      <c r="C352" s="8"/>
      <c r="D352" s="8"/>
      <c r="E352" s="9"/>
      <c r="F352" s="8"/>
      <c r="G352" s="10"/>
      <c r="H352" s="11"/>
      <c r="I352" s="143"/>
      <c r="J352" s="9"/>
      <c r="K352" s="143"/>
      <c r="L352" s="9"/>
      <c r="M352" s="8"/>
      <c r="N352" s="143"/>
      <c r="O352" s="9"/>
      <c r="P352" s="9"/>
      <c r="Q352" s="9"/>
      <c r="R352" s="9"/>
      <c r="S352" s="9"/>
      <c r="T352" s="9"/>
      <c r="U352" s="9"/>
      <c r="V352" s="9"/>
      <c r="W352" s="9"/>
      <c r="X352" s="11"/>
      <c r="Y352" s="143"/>
      <c r="Z352" s="9"/>
      <c r="AA352" s="143"/>
      <c r="AB352" s="9"/>
      <c r="AC352" s="8"/>
      <c r="AD352" s="143"/>
      <c r="AE352" s="9"/>
    </row>
    <row r="353" spans="1:31" x14ac:dyDescent="0.15">
      <c r="A353" s="8"/>
      <c r="B353" s="8"/>
      <c r="C353" s="8"/>
      <c r="D353" s="8"/>
      <c r="E353" s="9"/>
      <c r="F353" s="8"/>
      <c r="G353" s="10"/>
      <c r="H353" s="11"/>
      <c r="I353" s="143"/>
      <c r="J353" s="9"/>
      <c r="K353" s="143"/>
      <c r="L353" s="9"/>
      <c r="M353" s="8"/>
      <c r="N353" s="143"/>
      <c r="O353" s="9"/>
      <c r="P353" s="9"/>
      <c r="Q353" s="9"/>
      <c r="R353" s="9"/>
      <c r="S353" s="9"/>
      <c r="T353" s="9"/>
      <c r="U353" s="9"/>
      <c r="V353" s="9"/>
      <c r="W353" s="9"/>
      <c r="X353" s="11"/>
      <c r="Y353" s="143"/>
      <c r="Z353" s="9"/>
      <c r="AA353" s="143"/>
      <c r="AB353" s="9"/>
      <c r="AC353" s="8"/>
      <c r="AD353" s="143"/>
      <c r="AE353" s="9"/>
    </row>
    <row r="354" spans="1:31" x14ac:dyDescent="0.15">
      <c r="A354" s="8"/>
      <c r="B354" s="8"/>
      <c r="C354" s="8"/>
      <c r="D354" s="8"/>
      <c r="E354" s="9"/>
      <c r="F354" s="8"/>
      <c r="G354" s="10"/>
      <c r="H354" s="11"/>
      <c r="I354" s="143"/>
      <c r="J354" s="9"/>
      <c r="K354" s="143"/>
      <c r="L354" s="9"/>
      <c r="M354" s="8"/>
      <c r="N354" s="143"/>
      <c r="O354" s="9"/>
      <c r="P354" s="9"/>
      <c r="Q354" s="9"/>
      <c r="R354" s="9"/>
      <c r="S354" s="9"/>
      <c r="T354" s="9"/>
      <c r="U354" s="9"/>
      <c r="V354" s="9"/>
      <c r="W354" s="9"/>
      <c r="X354" s="11"/>
      <c r="Y354" s="143"/>
      <c r="Z354" s="9"/>
      <c r="AA354" s="143"/>
      <c r="AB354" s="9"/>
      <c r="AC354" s="8"/>
      <c r="AD354" s="143"/>
      <c r="AE354" s="9"/>
    </row>
    <row r="355" spans="1:31" x14ac:dyDescent="0.15">
      <c r="A355" s="8"/>
      <c r="B355" s="8"/>
      <c r="C355" s="8"/>
      <c r="D355" s="8"/>
      <c r="E355" s="9"/>
      <c r="F355" s="8"/>
      <c r="G355" s="10"/>
      <c r="H355" s="11"/>
      <c r="I355" s="143"/>
      <c r="J355" s="9"/>
      <c r="K355" s="143"/>
      <c r="L355" s="9"/>
      <c r="M355" s="8"/>
      <c r="N355" s="143"/>
      <c r="O355" s="9"/>
      <c r="P355" s="9"/>
      <c r="Q355" s="9"/>
      <c r="R355" s="9"/>
      <c r="S355" s="9"/>
      <c r="T355" s="9"/>
      <c r="U355" s="9"/>
      <c r="V355" s="9"/>
      <c r="W355" s="9"/>
      <c r="X355" s="11"/>
      <c r="Y355" s="143"/>
      <c r="Z355" s="9"/>
      <c r="AA355" s="143"/>
      <c r="AB355" s="9"/>
      <c r="AC355" s="8"/>
      <c r="AD355" s="143"/>
      <c r="AE355" s="9"/>
    </row>
    <row r="356" spans="1:31" x14ac:dyDescent="0.15">
      <c r="A356" s="8"/>
      <c r="B356" s="8"/>
      <c r="C356" s="8"/>
      <c r="D356" s="8"/>
      <c r="E356" s="9"/>
      <c r="F356" s="8"/>
      <c r="G356" s="10"/>
      <c r="H356" s="11"/>
      <c r="I356" s="143"/>
      <c r="J356" s="9"/>
      <c r="K356" s="143"/>
      <c r="L356" s="9"/>
      <c r="M356" s="8"/>
      <c r="N356" s="143"/>
      <c r="O356" s="9"/>
      <c r="P356" s="9"/>
      <c r="Q356" s="9"/>
      <c r="R356" s="9"/>
      <c r="S356" s="9"/>
      <c r="T356" s="9"/>
      <c r="U356" s="9"/>
      <c r="V356" s="9"/>
      <c r="W356" s="9"/>
      <c r="X356" s="11"/>
      <c r="Y356" s="143"/>
      <c r="Z356" s="9"/>
      <c r="AA356" s="143"/>
      <c r="AB356" s="9"/>
      <c r="AC356" s="8"/>
      <c r="AD356" s="143"/>
      <c r="AE356" s="9"/>
    </row>
    <row r="357" spans="1:31" x14ac:dyDescent="0.15">
      <c r="A357" s="8"/>
      <c r="B357" s="8"/>
      <c r="C357" s="8"/>
      <c r="D357" s="8"/>
      <c r="E357" s="9"/>
      <c r="F357" s="8"/>
      <c r="G357" s="10"/>
      <c r="H357" s="11"/>
      <c r="I357" s="143"/>
      <c r="J357" s="9"/>
      <c r="K357" s="143"/>
      <c r="L357" s="9"/>
      <c r="M357" s="8"/>
      <c r="N357" s="143"/>
      <c r="O357" s="9"/>
      <c r="P357" s="9"/>
      <c r="Q357" s="9"/>
      <c r="R357" s="9"/>
      <c r="S357" s="9"/>
      <c r="T357" s="9"/>
      <c r="U357" s="9"/>
      <c r="V357" s="9"/>
      <c r="W357" s="9"/>
      <c r="X357" s="11"/>
      <c r="Y357" s="143"/>
      <c r="Z357" s="9"/>
      <c r="AA357" s="143"/>
      <c r="AB357" s="9"/>
      <c r="AC357" s="8"/>
      <c r="AD357" s="143"/>
      <c r="AE357" s="9"/>
    </row>
    <row r="358" spans="1:31" x14ac:dyDescent="0.15">
      <c r="A358" s="8"/>
      <c r="B358" s="8"/>
      <c r="C358" s="8"/>
      <c r="D358" s="8"/>
      <c r="E358" s="9"/>
      <c r="F358" s="8"/>
      <c r="G358" s="10"/>
      <c r="H358" s="11"/>
      <c r="I358" s="143"/>
      <c r="J358" s="9"/>
      <c r="K358" s="143"/>
      <c r="L358" s="9"/>
      <c r="M358" s="8"/>
      <c r="N358" s="143"/>
      <c r="O358" s="9"/>
      <c r="P358" s="9"/>
      <c r="Q358" s="9"/>
      <c r="R358" s="9"/>
      <c r="S358" s="9"/>
      <c r="T358" s="9"/>
      <c r="U358" s="9"/>
      <c r="V358" s="9"/>
      <c r="W358" s="9"/>
      <c r="X358" s="11"/>
      <c r="Y358" s="143"/>
      <c r="Z358" s="9"/>
      <c r="AA358" s="143"/>
      <c r="AB358" s="9"/>
      <c r="AC358" s="8"/>
      <c r="AD358" s="143"/>
      <c r="AE358" s="9"/>
    </row>
    <row r="359" spans="1:31" x14ac:dyDescent="0.15">
      <c r="A359" s="8"/>
      <c r="B359" s="8"/>
      <c r="C359" s="8"/>
      <c r="D359" s="8"/>
      <c r="E359" s="9"/>
      <c r="F359" s="8"/>
      <c r="G359" s="10"/>
      <c r="H359" s="11"/>
      <c r="I359" s="143"/>
      <c r="J359" s="9"/>
      <c r="K359" s="143"/>
      <c r="L359" s="9"/>
      <c r="M359" s="8"/>
      <c r="N359" s="143"/>
      <c r="O359" s="9"/>
      <c r="P359" s="9"/>
      <c r="Q359" s="9"/>
      <c r="R359" s="9"/>
      <c r="S359" s="9"/>
      <c r="T359" s="9"/>
      <c r="U359" s="9"/>
      <c r="V359" s="9"/>
      <c r="W359" s="9"/>
      <c r="X359" s="11"/>
      <c r="Y359" s="143"/>
      <c r="Z359" s="9"/>
      <c r="AA359" s="143"/>
      <c r="AB359" s="9"/>
      <c r="AC359" s="8"/>
      <c r="AD359" s="143"/>
      <c r="AE359" s="9"/>
    </row>
    <row r="360" spans="1:31" x14ac:dyDescent="0.15">
      <c r="A360" s="8"/>
      <c r="B360" s="8"/>
      <c r="C360" s="8"/>
      <c r="D360" s="8"/>
      <c r="E360" s="9"/>
      <c r="F360" s="8"/>
      <c r="G360" s="10"/>
      <c r="H360" s="11"/>
      <c r="I360" s="143"/>
      <c r="J360" s="9"/>
      <c r="K360" s="143"/>
      <c r="L360" s="9"/>
      <c r="M360" s="8"/>
      <c r="N360" s="143"/>
      <c r="O360" s="9"/>
      <c r="P360" s="9"/>
      <c r="Q360" s="9"/>
      <c r="R360" s="9"/>
      <c r="S360" s="9"/>
      <c r="T360" s="9"/>
      <c r="U360" s="9"/>
      <c r="V360" s="9"/>
      <c r="W360" s="9"/>
      <c r="X360" s="11"/>
      <c r="Y360" s="143"/>
      <c r="Z360" s="9"/>
      <c r="AA360" s="143"/>
      <c r="AB360" s="9"/>
      <c r="AC360" s="8"/>
      <c r="AD360" s="143"/>
      <c r="AE360" s="9"/>
    </row>
    <row r="361" spans="1:31" x14ac:dyDescent="0.15">
      <c r="A361" s="8"/>
      <c r="B361" s="8"/>
      <c r="C361" s="8"/>
      <c r="D361" s="8"/>
      <c r="E361" s="9"/>
      <c r="F361" s="8"/>
      <c r="G361" s="10"/>
      <c r="H361" s="11"/>
      <c r="I361" s="143"/>
      <c r="J361" s="9"/>
      <c r="K361" s="143"/>
      <c r="L361" s="9"/>
      <c r="M361" s="8"/>
      <c r="N361" s="143"/>
      <c r="O361" s="9"/>
      <c r="P361" s="9"/>
      <c r="Q361" s="9"/>
      <c r="R361" s="9"/>
      <c r="S361" s="9"/>
      <c r="T361" s="9"/>
      <c r="U361" s="9"/>
      <c r="V361" s="9"/>
      <c r="W361" s="9"/>
      <c r="X361" s="11"/>
      <c r="Y361" s="143"/>
      <c r="Z361" s="9"/>
      <c r="AA361" s="143"/>
      <c r="AB361" s="9"/>
      <c r="AC361" s="8"/>
      <c r="AD361" s="143"/>
      <c r="AE361" s="9"/>
    </row>
    <row r="362" spans="1:31" x14ac:dyDescent="0.15">
      <c r="A362" s="8"/>
      <c r="B362" s="8"/>
      <c r="C362" s="8"/>
      <c r="D362" s="8"/>
      <c r="E362" s="9"/>
      <c r="F362" s="8"/>
      <c r="G362" s="10"/>
      <c r="H362" s="11"/>
      <c r="I362" s="143"/>
      <c r="J362" s="9"/>
      <c r="K362" s="143"/>
      <c r="L362" s="9"/>
      <c r="M362" s="8"/>
      <c r="N362" s="143"/>
      <c r="O362" s="9"/>
      <c r="P362" s="9"/>
      <c r="Q362" s="9"/>
      <c r="R362" s="9"/>
      <c r="S362" s="9"/>
      <c r="T362" s="9"/>
      <c r="U362" s="9"/>
      <c r="V362" s="9"/>
      <c r="W362" s="9"/>
      <c r="X362" s="11"/>
      <c r="Y362" s="143"/>
      <c r="Z362" s="9"/>
      <c r="AA362" s="143"/>
      <c r="AB362" s="9"/>
      <c r="AC362" s="8"/>
      <c r="AD362" s="143"/>
      <c r="AE362" s="9"/>
    </row>
    <row r="363" spans="1:31" x14ac:dyDescent="0.15">
      <c r="A363" s="8"/>
      <c r="B363" s="8"/>
      <c r="C363" s="8"/>
      <c r="D363" s="8"/>
      <c r="E363" s="9"/>
      <c r="F363" s="8"/>
      <c r="G363" s="10"/>
      <c r="H363" s="11"/>
      <c r="I363" s="143"/>
      <c r="J363" s="9"/>
      <c r="K363" s="143"/>
      <c r="L363" s="9"/>
      <c r="M363" s="8"/>
      <c r="N363" s="143"/>
      <c r="O363" s="9"/>
      <c r="P363" s="9"/>
      <c r="Q363" s="9"/>
      <c r="R363" s="9"/>
      <c r="S363" s="9"/>
      <c r="T363" s="9"/>
      <c r="U363" s="9"/>
      <c r="V363" s="9"/>
      <c r="W363" s="9"/>
      <c r="X363" s="11"/>
      <c r="Y363" s="143"/>
      <c r="Z363" s="9"/>
      <c r="AA363" s="143"/>
      <c r="AB363" s="9"/>
      <c r="AC363" s="8"/>
      <c r="AD363" s="143"/>
      <c r="AE363" s="9"/>
    </row>
    <row r="364" spans="1:31" x14ac:dyDescent="0.15">
      <c r="A364" s="8"/>
      <c r="B364" s="8"/>
      <c r="C364" s="8"/>
      <c r="D364" s="8"/>
      <c r="E364" s="9"/>
      <c r="F364" s="8"/>
      <c r="G364" s="10"/>
      <c r="H364" s="11"/>
      <c r="I364" s="143"/>
      <c r="J364" s="9"/>
      <c r="K364" s="143"/>
      <c r="L364" s="9"/>
      <c r="M364" s="8"/>
      <c r="N364" s="143"/>
      <c r="O364" s="9"/>
      <c r="P364" s="9"/>
      <c r="Q364" s="9"/>
      <c r="R364" s="9"/>
      <c r="S364" s="9"/>
      <c r="T364" s="9"/>
      <c r="U364" s="9"/>
      <c r="V364" s="9"/>
      <c r="W364" s="9"/>
      <c r="X364" s="11"/>
      <c r="Y364" s="143"/>
      <c r="Z364" s="9"/>
      <c r="AA364" s="143"/>
      <c r="AB364" s="9"/>
      <c r="AC364" s="8"/>
      <c r="AD364" s="143"/>
      <c r="AE364" s="9"/>
    </row>
    <row r="365" spans="1:31" x14ac:dyDescent="0.15">
      <c r="A365" s="8"/>
      <c r="B365" s="8"/>
      <c r="C365" s="8"/>
      <c r="D365" s="8"/>
      <c r="E365" s="9"/>
      <c r="F365" s="8"/>
      <c r="G365" s="10"/>
      <c r="H365" s="11"/>
      <c r="I365" s="143"/>
      <c r="J365" s="9"/>
      <c r="K365" s="143"/>
      <c r="L365" s="9"/>
      <c r="M365" s="8"/>
      <c r="N365" s="143"/>
      <c r="O365" s="9"/>
      <c r="P365" s="9"/>
      <c r="Q365" s="9"/>
      <c r="R365" s="9"/>
      <c r="S365" s="9"/>
      <c r="T365" s="9"/>
      <c r="U365" s="9"/>
      <c r="V365" s="9"/>
      <c r="W365" s="9"/>
      <c r="X365" s="11"/>
      <c r="Y365" s="143"/>
      <c r="Z365" s="9"/>
      <c r="AA365" s="143"/>
      <c r="AB365" s="9"/>
      <c r="AC365" s="8"/>
      <c r="AD365" s="143"/>
      <c r="AE365" s="9"/>
    </row>
    <row r="366" spans="1:31" x14ac:dyDescent="0.15">
      <c r="A366" s="8"/>
      <c r="B366" s="8"/>
      <c r="C366" s="8"/>
      <c r="D366" s="8"/>
      <c r="E366" s="9"/>
      <c r="F366" s="8"/>
      <c r="G366" s="10"/>
      <c r="H366" s="11"/>
      <c r="I366" s="143"/>
      <c r="J366" s="9"/>
      <c r="K366" s="143"/>
      <c r="L366" s="9"/>
      <c r="M366" s="8"/>
      <c r="N366" s="143"/>
      <c r="O366" s="9"/>
      <c r="P366" s="9"/>
      <c r="Q366" s="9"/>
      <c r="R366" s="9"/>
      <c r="S366" s="9"/>
      <c r="T366" s="9"/>
      <c r="U366" s="9"/>
      <c r="V366" s="9"/>
      <c r="W366" s="9"/>
      <c r="X366" s="11"/>
      <c r="Y366" s="143"/>
      <c r="Z366" s="9"/>
      <c r="AA366" s="143"/>
      <c r="AB366" s="9"/>
      <c r="AC366" s="8"/>
      <c r="AD366" s="143"/>
      <c r="AE366" s="9"/>
    </row>
    <row r="367" spans="1:31" x14ac:dyDescent="0.15">
      <c r="A367" s="8"/>
      <c r="B367" s="8"/>
      <c r="C367" s="8"/>
      <c r="D367" s="8"/>
      <c r="E367" s="9"/>
      <c r="F367" s="8"/>
      <c r="G367" s="10"/>
      <c r="H367" s="11"/>
      <c r="I367" s="143"/>
      <c r="J367" s="9"/>
      <c r="K367" s="143"/>
      <c r="L367" s="9"/>
      <c r="M367" s="8"/>
      <c r="N367" s="143"/>
      <c r="O367" s="9"/>
      <c r="P367" s="9"/>
      <c r="Q367" s="9"/>
      <c r="R367" s="9"/>
      <c r="S367" s="9"/>
      <c r="T367" s="9"/>
      <c r="U367" s="9"/>
      <c r="V367" s="9"/>
      <c r="W367" s="9"/>
      <c r="X367" s="11"/>
      <c r="Y367" s="143"/>
      <c r="Z367" s="9"/>
      <c r="AA367" s="143"/>
      <c r="AB367" s="9"/>
      <c r="AC367" s="8"/>
      <c r="AD367" s="143"/>
      <c r="AE367" s="9"/>
    </row>
    <row r="368" spans="1:31" x14ac:dyDescent="0.15">
      <c r="A368" s="8"/>
      <c r="B368" s="8"/>
      <c r="C368" s="8"/>
      <c r="D368" s="8"/>
      <c r="E368" s="9"/>
      <c r="F368" s="8"/>
      <c r="G368" s="10"/>
      <c r="H368" s="11"/>
      <c r="I368" s="143"/>
      <c r="J368" s="9"/>
      <c r="K368" s="143"/>
      <c r="L368" s="9"/>
      <c r="M368" s="8"/>
      <c r="N368" s="143"/>
      <c r="O368" s="9"/>
      <c r="P368" s="9"/>
      <c r="Q368" s="9"/>
      <c r="R368" s="9"/>
      <c r="S368" s="9"/>
      <c r="T368" s="9"/>
      <c r="U368" s="9"/>
      <c r="V368" s="9"/>
      <c r="W368" s="9"/>
      <c r="X368" s="11"/>
      <c r="Y368" s="143"/>
      <c r="Z368" s="9"/>
      <c r="AA368" s="143"/>
      <c r="AB368" s="9"/>
      <c r="AC368" s="8"/>
      <c r="AD368" s="143"/>
      <c r="AE368" s="9"/>
    </row>
    <row r="369" spans="1:31" x14ac:dyDescent="0.15">
      <c r="A369" s="8"/>
      <c r="B369" s="8"/>
      <c r="C369" s="8"/>
      <c r="D369" s="8"/>
      <c r="E369" s="9"/>
      <c r="F369" s="8"/>
      <c r="G369" s="10"/>
      <c r="H369" s="11"/>
      <c r="I369" s="143"/>
      <c r="J369" s="9"/>
      <c r="K369" s="143"/>
      <c r="L369" s="9"/>
      <c r="M369" s="8"/>
      <c r="N369" s="143"/>
      <c r="O369" s="9"/>
      <c r="P369" s="9"/>
      <c r="Q369" s="9"/>
      <c r="R369" s="9"/>
      <c r="S369" s="9"/>
      <c r="T369" s="9"/>
      <c r="U369" s="9"/>
      <c r="V369" s="9"/>
      <c r="W369" s="9"/>
      <c r="X369" s="11"/>
      <c r="Y369" s="143"/>
      <c r="Z369" s="9"/>
      <c r="AA369" s="143"/>
      <c r="AB369" s="9"/>
      <c r="AC369" s="8"/>
      <c r="AD369" s="143"/>
      <c r="AE369" s="9"/>
    </row>
    <row r="370" spans="1:31" x14ac:dyDescent="0.15">
      <c r="A370" s="8"/>
      <c r="B370" s="8"/>
      <c r="C370" s="8"/>
      <c r="D370" s="8"/>
      <c r="E370" s="9"/>
      <c r="F370" s="8"/>
      <c r="G370" s="10"/>
      <c r="H370" s="11"/>
      <c r="I370" s="143"/>
      <c r="J370" s="9"/>
      <c r="K370" s="143"/>
      <c r="L370" s="9"/>
      <c r="M370" s="8"/>
      <c r="N370" s="143"/>
      <c r="O370" s="9"/>
      <c r="P370" s="9"/>
      <c r="Q370" s="9"/>
      <c r="R370" s="9"/>
      <c r="S370" s="9"/>
      <c r="T370" s="9"/>
      <c r="U370" s="9"/>
      <c r="V370" s="9"/>
      <c r="W370" s="9"/>
      <c r="X370" s="11"/>
      <c r="Y370" s="143"/>
      <c r="Z370" s="9"/>
      <c r="AA370" s="143"/>
      <c r="AB370" s="9"/>
      <c r="AC370" s="8"/>
      <c r="AD370" s="143"/>
      <c r="AE370" s="9"/>
    </row>
    <row r="371" spans="1:31" x14ac:dyDescent="0.15">
      <c r="A371" s="8"/>
      <c r="B371" s="8"/>
      <c r="C371" s="8"/>
      <c r="D371" s="8"/>
      <c r="E371" s="9"/>
      <c r="F371" s="8"/>
      <c r="G371" s="10"/>
      <c r="H371" s="11"/>
      <c r="I371" s="143"/>
      <c r="J371" s="9"/>
      <c r="K371" s="143"/>
      <c r="L371" s="9"/>
      <c r="M371" s="8"/>
      <c r="N371" s="143"/>
      <c r="O371" s="9"/>
      <c r="P371" s="9"/>
      <c r="Q371" s="9"/>
      <c r="R371" s="9"/>
      <c r="S371" s="9"/>
      <c r="T371" s="9"/>
      <c r="U371" s="9"/>
      <c r="V371" s="9"/>
      <c r="W371" s="9"/>
      <c r="X371" s="11"/>
      <c r="Y371" s="143"/>
      <c r="Z371" s="9"/>
      <c r="AA371" s="143"/>
      <c r="AB371" s="9"/>
      <c r="AC371" s="8"/>
      <c r="AD371" s="143"/>
      <c r="AE371" s="9"/>
    </row>
    <row r="372" spans="1:31" x14ac:dyDescent="0.15">
      <c r="A372" s="8"/>
      <c r="B372" s="8"/>
      <c r="C372" s="8"/>
      <c r="D372" s="8"/>
      <c r="E372" s="9"/>
      <c r="F372" s="8"/>
      <c r="G372" s="10"/>
      <c r="H372" s="11"/>
      <c r="I372" s="143"/>
      <c r="J372" s="9"/>
      <c r="K372" s="143"/>
      <c r="L372" s="9"/>
      <c r="M372" s="8"/>
      <c r="N372" s="143"/>
      <c r="O372" s="9"/>
      <c r="P372" s="9"/>
      <c r="Q372" s="9"/>
      <c r="R372" s="9"/>
      <c r="S372" s="9"/>
      <c r="T372" s="9"/>
      <c r="U372" s="9"/>
      <c r="V372" s="9"/>
      <c r="W372" s="9"/>
      <c r="X372" s="11"/>
      <c r="Y372" s="143"/>
      <c r="Z372" s="9"/>
      <c r="AA372" s="143"/>
      <c r="AB372" s="9"/>
      <c r="AC372" s="8"/>
      <c r="AD372" s="143"/>
      <c r="AE372" s="9"/>
    </row>
    <row r="373" spans="1:31" x14ac:dyDescent="0.15">
      <c r="A373" s="8"/>
      <c r="B373" s="8"/>
      <c r="C373" s="8"/>
      <c r="D373" s="8"/>
      <c r="E373" s="9"/>
      <c r="F373" s="8"/>
      <c r="G373" s="10"/>
      <c r="H373" s="11"/>
      <c r="I373" s="143"/>
      <c r="J373" s="9"/>
      <c r="K373" s="143"/>
      <c r="L373" s="9"/>
      <c r="M373" s="8"/>
      <c r="N373" s="143"/>
      <c r="O373" s="9"/>
      <c r="P373" s="9"/>
      <c r="Q373" s="9"/>
      <c r="R373" s="9"/>
      <c r="S373" s="9"/>
      <c r="T373" s="9"/>
      <c r="U373" s="9"/>
      <c r="V373" s="9"/>
      <c r="W373" s="9"/>
      <c r="X373" s="11"/>
      <c r="Y373" s="143"/>
      <c r="Z373" s="9"/>
      <c r="AA373" s="143"/>
      <c r="AB373" s="9"/>
      <c r="AC373" s="8"/>
      <c r="AD373" s="143"/>
      <c r="AE373" s="9"/>
    </row>
    <row r="374" spans="1:31" x14ac:dyDescent="0.15">
      <c r="A374" s="8"/>
      <c r="B374" s="8"/>
      <c r="C374" s="8"/>
      <c r="D374" s="8"/>
      <c r="E374" s="9"/>
      <c r="F374" s="8"/>
      <c r="G374" s="10"/>
      <c r="H374" s="11"/>
      <c r="I374" s="143"/>
      <c r="J374" s="9"/>
      <c r="K374" s="143"/>
      <c r="L374" s="9"/>
      <c r="M374" s="8"/>
      <c r="N374" s="143"/>
      <c r="O374" s="9"/>
      <c r="P374" s="9"/>
      <c r="Q374" s="9"/>
      <c r="R374" s="9"/>
      <c r="S374" s="9"/>
      <c r="T374" s="9"/>
      <c r="U374" s="9"/>
      <c r="V374" s="9"/>
      <c r="W374" s="9"/>
      <c r="X374" s="11"/>
      <c r="Y374" s="143"/>
      <c r="Z374" s="9"/>
      <c r="AA374" s="143"/>
      <c r="AB374" s="9"/>
      <c r="AC374" s="8"/>
      <c r="AD374" s="143"/>
      <c r="AE374" s="9"/>
    </row>
    <row r="375" spans="1:31" x14ac:dyDescent="0.15">
      <c r="A375" s="8"/>
      <c r="B375" s="8"/>
      <c r="C375" s="8"/>
      <c r="D375" s="8"/>
      <c r="E375" s="9"/>
      <c r="F375" s="8"/>
      <c r="G375" s="10"/>
      <c r="H375" s="11"/>
      <c r="I375" s="143"/>
      <c r="J375" s="9"/>
      <c r="K375" s="143"/>
      <c r="L375" s="9"/>
      <c r="M375" s="8"/>
      <c r="N375" s="143"/>
      <c r="O375" s="9"/>
      <c r="P375" s="9"/>
      <c r="Q375" s="9"/>
      <c r="R375" s="9"/>
      <c r="S375" s="9"/>
      <c r="T375" s="9"/>
      <c r="U375" s="9"/>
      <c r="V375" s="9"/>
      <c r="W375" s="9"/>
      <c r="X375" s="11"/>
      <c r="Y375" s="143"/>
      <c r="Z375" s="9"/>
      <c r="AA375" s="143"/>
      <c r="AB375" s="9"/>
      <c r="AC375" s="8"/>
      <c r="AD375" s="143"/>
      <c r="AE375" s="9"/>
    </row>
    <row r="376" spans="1:31" x14ac:dyDescent="0.15">
      <c r="A376" s="8"/>
      <c r="B376" s="8"/>
      <c r="C376" s="8"/>
      <c r="D376" s="8"/>
      <c r="E376" s="9"/>
      <c r="F376" s="8"/>
      <c r="G376" s="10"/>
      <c r="H376" s="11"/>
      <c r="I376" s="143"/>
      <c r="J376" s="9"/>
      <c r="K376" s="143"/>
      <c r="L376" s="9"/>
      <c r="M376" s="8"/>
      <c r="N376" s="143"/>
      <c r="O376" s="9"/>
      <c r="P376" s="9"/>
      <c r="Q376" s="9"/>
      <c r="R376" s="9"/>
      <c r="S376" s="9"/>
      <c r="T376" s="9"/>
      <c r="U376" s="9"/>
      <c r="V376" s="9"/>
      <c r="W376" s="9"/>
      <c r="X376" s="11"/>
      <c r="Y376" s="143"/>
      <c r="Z376" s="9"/>
      <c r="AA376" s="143"/>
      <c r="AB376" s="9"/>
      <c r="AC376" s="8"/>
      <c r="AD376" s="143"/>
      <c r="AE376" s="9"/>
    </row>
    <row r="377" spans="1:31" x14ac:dyDescent="0.15">
      <c r="A377" s="8"/>
      <c r="B377" s="8"/>
      <c r="C377" s="8"/>
      <c r="D377" s="8"/>
      <c r="E377" s="9"/>
      <c r="F377" s="8"/>
      <c r="G377" s="10"/>
      <c r="H377" s="11"/>
      <c r="I377" s="143"/>
      <c r="J377" s="9"/>
      <c r="K377" s="143"/>
      <c r="L377" s="9"/>
      <c r="M377" s="8"/>
      <c r="N377" s="143"/>
      <c r="O377" s="9"/>
      <c r="P377" s="9"/>
      <c r="Q377" s="9"/>
      <c r="R377" s="9"/>
      <c r="S377" s="9"/>
      <c r="T377" s="9"/>
      <c r="U377" s="9"/>
      <c r="V377" s="9"/>
      <c r="W377" s="9"/>
      <c r="X377" s="11"/>
      <c r="Y377" s="143"/>
      <c r="Z377" s="9"/>
      <c r="AA377" s="143"/>
      <c r="AB377" s="9"/>
      <c r="AC377" s="8"/>
      <c r="AD377" s="143"/>
      <c r="AE377" s="9"/>
    </row>
    <row r="378" spans="1:31" x14ac:dyDescent="0.15">
      <c r="A378" s="8"/>
      <c r="B378" s="8"/>
      <c r="C378" s="8"/>
      <c r="D378" s="8"/>
      <c r="E378" s="9"/>
      <c r="F378" s="8"/>
      <c r="G378" s="10"/>
      <c r="H378" s="11"/>
      <c r="I378" s="143"/>
      <c r="J378" s="9"/>
      <c r="K378" s="143"/>
      <c r="L378" s="9"/>
      <c r="M378" s="8"/>
      <c r="N378" s="143"/>
      <c r="O378" s="9"/>
      <c r="P378" s="9"/>
      <c r="Q378" s="9"/>
      <c r="R378" s="9"/>
      <c r="S378" s="9"/>
      <c r="T378" s="9"/>
      <c r="U378" s="9"/>
      <c r="V378" s="9"/>
      <c r="W378" s="9"/>
      <c r="X378" s="11"/>
      <c r="Y378" s="143"/>
      <c r="Z378" s="9"/>
      <c r="AA378" s="143"/>
      <c r="AB378" s="9"/>
      <c r="AC378" s="8"/>
      <c r="AD378" s="143"/>
      <c r="AE378" s="9"/>
    </row>
    <row r="379" spans="1:31" x14ac:dyDescent="0.15">
      <c r="A379" s="8"/>
      <c r="B379" s="8"/>
      <c r="C379" s="8"/>
      <c r="D379" s="8"/>
      <c r="E379" s="9"/>
      <c r="F379" s="8"/>
      <c r="G379" s="10"/>
      <c r="H379" s="11"/>
      <c r="I379" s="143"/>
      <c r="J379" s="9"/>
      <c r="K379" s="143"/>
      <c r="L379" s="9"/>
      <c r="M379" s="8"/>
      <c r="N379" s="143"/>
      <c r="O379" s="9"/>
      <c r="P379" s="9"/>
      <c r="Q379" s="9"/>
      <c r="R379" s="9"/>
      <c r="S379" s="9"/>
      <c r="T379" s="9"/>
      <c r="U379" s="9"/>
      <c r="V379" s="9"/>
      <c r="W379" s="9"/>
      <c r="X379" s="11"/>
      <c r="Y379" s="143"/>
      <c r="Z379" s="9"/>
      <c r="AA379" s="143"/>
      <c r="AB379" s="9"/>
      <c r="AC379" s="8"/>
      <c r="AD379" s="143"/>
      <c r="AE379" s="9"/>
    </row>
    <row r="380" spans="1:31" x14ac:dyDescent="0.15">
      <c r="A380" s="8"/>
      <c r="B380" s="8"/>
      <c r="C380" s="8"/>
      <c r="D380" s="8"/>
      <c r="E380" s="9"/>
      <c r="F380" s="8"/>
      <c r="G380" s="10"/>
      <c r="H380" s="11"/>
      <c r="I380" s="143"/>
      <c r="J380" s="9"/>
      <c r="K380" s="143"/>
      <c r="L380" s="9"/>
      <c r="M380" s="8"/>
      <c r="N380" s="143"/>
      <c r="O380" s="9"/>
      <c r="P380" s="9"/>
      <c r="Q380" s="9"/>
      <c r="R380" s="9"/>
      <c r="S380" s="9"/>
      <c r="T380" s="9"/>
      <c r="U380" s="9"/>
      <c r="V380" s="9"/>
      <c r="W380" s="9"/>
      <c r="X380" s="11"/>
      <c r="Y380" s="143"/>
      <c r="Z380" s="9"/>
      <c r="AA380" s="143"/>
      <c r="AB380" s="9"/>
      <c r="AC380" s="8"/>
      <c r="AD380" s="143"/>
      <c r="AE380" s="9"/>
    </row>
    <row r="381" spans="1:31" x14ac:dyDescent="0.15">
      <c r="A381" s="8"/>
      <c r="B381" s="8"/>
      <c r="C381" s="8"/>
      <c r="D381" s="8"/>
      <c r="E381" s="9"/>
      <c r="F381" s="8"/>
      <c r="G381" s="10"/>
      <c r="H381" s="11"/>
      <c r="I381" s="143"/>
      <c r="J381" s="9"/>
      <c r="K381" s="143"/>
      <c r="L381" s="9"/>
      <c r="M381" s="8"/>
      <c r="N381" s="143"/>
      <c r="O381" s="9"/>
      <c r="P381" s="9"/>
      <c r="Q381" s="9"/>
      <c r="R381" s="9"/>
      <c r="S381" s="9"/>
      <c r="T381" s="9"/>
      <c r="U381" s="9"/>
      <c r="V381" s="9"/>
      <c r="W381" s="9"/>
      <c r="X381" s="11"/>
      <c r="Y381" s="143"/>
      <c r="Z381" s="9"/>
      <c r="AA381" s="143"/>
      <c r="AB381" s="9"/>
      <c r="AC381" s="8"/>
      <c r="AD381" s="143"/>
      <c r="AE381" s="9"/>
    </row>
    <row r="382" spans="1:31" x14ac:dyDescent="0.15">
      <c r="A382" s="8"/>
      <c r="B382" s="8"/>
      <c r="C382" s="8"/>
      <c r="D382" s="8"/>
      <c r="E382" s="9"/>
      <c r="F382" s="8"/>
      <c r="G382" s="10"/>
      <c r="H382" s="11"/>
      <c r="I382" s="143"/>
      <c r="J382" s="9"/>
      <c r="K382" s="143"/>
      <c r="L382" s="9"/>
      <c r="M382" s="8"/>
      <c r="N382" s="143"/>
      <c r="O382" s="9"/>
      <c r="P382" s="9"/>
      <c r="Q382" s="9"/>
      <c r="R382" s="9"/>
      <c r="S382" s="9"/>
      <c r="T382" s="9"/>
      <c r="U382" s="9"/>
      <c r="V382" s="9"/>
      <c r="W382" s="9"/>
      <c r="X382" s="11"/>
      <c r="Y382" s="143"/>
      <c r="Z382" s="9"/>
      <c r="AA382" s="143"/>
      <c r="AB382" s="9"/>
      <c r="AC382" s="8"/>
      <c r="AD382" s="143"/>
      <c r="AE382" s="9"/>
    </row>
    <row r="383" spans="1:31" x14ac:dyDescent="0.15">
      <c r="A383" s="8"/>
      <c r="B383" s="8"/>
      <c r="C383" s="8"/>
      <c r="D383" s="8"/>
      <c r="E383" s="9"/>
      <c r="F383" s="8"/>
      <c r="G383" s="10"/>
      <c r="H383" s="11"/>
      <c r="I383" s="143"/>
      <c r="J383" s="9"/>
      <c r="K383" s="143"/>
      <c r="L383" s="9"/>
      <c r="M383" s="8"/>
      <c r="N383" s="143"/>
      <c r="O383" s="9"/>
      <c r="P383" s="9"/>
      <c r="Q383" s="9"/>
      <c r="R383" s="9"/>
      <c r="S383" s="9"/>
      <c r="T383" s="9"/>
      <c r="U383" s="9"/>
      <c r="V383" s="9"/>
      <c r="W383" s="9"/>
      <c r="X383" s="11"/>
      <c r="Y383" s="143"/>
      <c r="Z383" s="9"/>
      <c r="AA383" s="143"/>
      <c r="AB383" s="9"/>
      <c r="AC383" s="8"/>
      <c r="AD383" s="143"/>
      <c r="AE383" s="9"/>
    </row>
    <row r="384" spans="1:31" x14ac:dyDescent="0.15">
      <c r="A384" s="8"/>
      <c r="B384" s="8"/>
      <c r="C384" s="8"/>
      <c r="D384" s="8"/>
      <c r="E384" s="9"/>
      <c r="F384" s="8"/>
      <c r="G384" s="10"/>
      <c r="H384" s="11"/>
      <c r="I384" s="143"/>
      <c r="J384" s="9"/>
      <c r="K384" s="143"/>
      <c r="L384" s="9"/>
      <c r="M384" s="8"/>
      <c r="N384" s="143"/>
      <c r="O384" s="9"/>
      <c r="P384" s="9"/>
      <c r="Q384" s="9"/>
      <c r="R384" s="9"/>
      <c r="S384" s="9"/>
      <c r="T384" s="9"/>
      <c r="U384" s="9"/>
      <c r="V384" s="9"/>
      <c r="W384" s="9"/>
      <c r="X384" s="11"/>
      <c r="Y384" s="143"/>
      <c r="Z384" s="9"/>
      <c r="AA384" s="143"/>
      <c r="AB384" s="9"/>
      <c r="AC384" s="8"/>
      <c r="AD384" s="143"/>
      <c r="AE384" s="9"/>
    </row>
    <row r="385" spans="1:31" x14ac:dyDescent="0.15">
      <c r="A385" s="8"/>
      <c r="B385" s="8"/>
      <c r="C385" s="8"/>
      <c r="D385" s="8"/>
      <c r="E385" s="9"/>
      <c r="F385" s="8"/>
      <c r="G385" s="10"/>
      <c r="H385" s="11"/>
      <c r="I385" s="143"/>
      <c r="J385" s="9"/>
      <c r="K385" s="143"/>
      <c r="L385" s="9"/>
      <c r="M385" s="8"/>
      <c r="N385" s="143"/>
      <c r="O385" s="9"/>
      <c r="P385" s="9"/>
      <c r="Q385" s="9"/>
      <c r="R385" s="9"/>
      <c r="S385" s="9"/>
      <c r="T385" s="9"/>
      <c r="U385" s="9"/>
      <c r="V385" s="9"/>
      <c r="W385" s="9"/>
      <c r="X385" s="11"/>
      <c r="Y385" s="143"/>
      <c r="Z385" s="9"/>
      <c r="AA385" s="143"/>
      <c r="AB385" s="9"/>
      <c r="AC385" s="8"/>
      <c r="AD385" s="143"/>
      <c r="AE385" s="9"/>
    </row>
    <row r="386" spans="1:31" x14ac:dyDescent="0.15">
      <c r="A386" s="8"/>
      <c r="B386" s="8"/>
      <c r="C386" s="8"/>
      <c r="D386" s="8"/>
      <c r="E386" s="9"/>
      <c r="F386" s="8"/>
      <c r="G386" s="10"/>
      <c r="H386" s="11"/>
      <c r="I386" s="143"/>
      <c r="J386" s="9"/>
      <c r="K386" s="143"/>
      <c r="L386" s="9"/>
      <c r="M386" s="8"/>
      <c r="N386" s="143"/>
      <c r="O386" s="9"/>
      <c r="P386" s="9"/>
      <c r="Q386" s="9"/>
      <c r="R386" s="9"/>
      <c r="S386" s="9"/>
      <c r="T386" s="9"/>
      <c r="U386" s="9"/>
      <c r="V386" s="9"/>
      <c r="W386" s="9"/>
      <c r="X386" s="11"/>
      <c r="Y386" s="143"/>
      <c r="Z386" s="9"/>
      <c r="AA386" s="143"/>
      <c r="AB386" s="9"/>
      <c r="AC386" s="8"/>
      <c r="AD386" s="143"/>
      <c r="AE386" s="9"/>
    </row>
    <row r="387" spans="1:31" x14ac:dyDescent="0.15">
      <c r="A387" s="8"/>
      <c r="B387" s="8"/>
      <c r="C387" s="8"/>
      <c r="D387" s="8"/>
      <c r="E387" s="9"/>
      <c r="F387" s="8"/>
      <c r="G387" s="10"/>
      <c r="H387" s="11"/>
      <c r="I387" s="143"/>
      <c r="J387" s="9"/>
      <c r="K387" s="143"/>
      <c r="L387" s="9"/>
      <c r="M387" s="8"/>
      <c r="N387" s="143"/>
      <c r="O387" s="9"/>
      <c r="P387" s="9"/>
      <c r="Q387" s="9"/>
      <c r="R387" s="9"/>
      <c r="S387" s="9"/>
      <c r="T387" s="9"/>
      <c r="U387" s="9"/>
      <c r="V387" s="9"/>
      <c r="W387" s="9"/>
      <c r="X387" s="11"/>
      <c r="Y387" s="143"/>
      <c r="Z387" s="9"/>
      <c r="AA387" s="143"/>
      <c r="AB387" s="9"/>
      <c r="AC387" s="8"/>
      <c r="AD387" s="143"/>
      <c r="AE387" s="9"/>
    </row>
    <row r="388" spans="1:31" x14ac:dyDescent="0.15">
      <c r="A388" s="8"/>
      <c r="B388" s="8"/>
      <c r="C388" s="8"/>
      <c r="D388" s="8"/>
      <c r="E388" s="9"/>
      <c r="F388" s="8"/>
      <c r="G388" s="10"/>
      <c r="H388" s="11"/>
      <c r="I388" s="143"/>
      <c r="J388" s="9"/>
      <c r="K388" s="143"/>
      <c r="L388" s="9"/>
      <c r="M388" s="8"/>
      <c r="N388" s="143"/>
      <c r="O388" s="9"/>
      <c r="P388" s="9"/>
      <c r="Q388" s="9"/>
      <c r="R388" s="9"/>
      <c r="S388" s="9"/>
      <c r="T388" s="9"/>
      <c r="U388" s="9"/>
      <c r="V388" s="9"/>
      <c r="W388" s="9"/>
      <c r="X388" s="11"/>
      <c r="Y388" s="143"/>
      <c r="Z388" s="9"/>
      <c r="AA388" s="143"/>
      <c r="AB388" s="9"/>
      <c r="AC388" s="8"/>
      <c r="AD388" s="143"/>
      <c r="AE388" s="9"/>
    </row>
    <row r="389" spans="1:31" x14ac:dyDescent="0.15">
      <c r="A389" s="8"/>
      <c r="B389" s="8"/>
      <c r="C389" s="8"/>
      <c r="D389" s="8"/>
      <c r="E389" s="9"/>
      <c r="F389" s="8"/>
      <c r="G389" s="10"/>
      <c r="H389" s="11"/>
      <c r="I389" s="143"/>
      <c r="J389" s="9"/>
      <c r="K389" s="143"/>
      <c r="L389" s="9"/>
      <c r="M389" s="8"/>
      <c r="N389" s="143"/>
      <c r="O389" s="9"/>
      <c r="P389" s="9"/>
      <c r="Q389" s="9"/>
      <c r="R389" s="9"/>
      <c r="S389" s="9"/>
      <c r="T389" s="9"/>
      <c r="U389" s="9"/>
      <c r="V389" s="9"/>
      <c r="W389" s="9"/>
      <c r="X389" s="11"/>
      <c r="Y389" s="143"/>
      <c r="Z389" s="9"/>
      <c r="AA389" s="143"/>
      <c r="AB389" s="9"/>
      <c r="AC389" s="8"/>
      <c r="AD389" s="143"/>
      <c r="AE389" s="9"/>
    </row>
    <row r="390" spans="1:31" x14ac:dyDescent="0.15">
      <c r="A390" s="8"/>
      <c r="B390" s="8"/>
      <c r="C390" s="8"/>
      <c r="D390" s="8"/>
      <c r="E390" s="9"/>
      <c r="F390" s="8"/>
      <c r="G390" s="10"/>
      <c r="H390" s="11"/>
      <c r="I390" s="143"/>
      <c r="J390" s="9"/>
      <c r="K390" s="143"/>
      <c r="L390" s="9"/>
      <c r="M390" s="8"/>
      <c r="N390" s="143"/>
      <c r="O390" s="9"/>
      <c r="P390" s="9"/>
      <c r="Q390" s="9"/>
      <c r="R390" s="9"/>
      <c r="S390" s="9"/>
      <c r="T390" s="9"/>
      <c r="U390" s="9"/>
      <c r="V390" s="9"/>
      <c r="W390" s="9"/>
      <c r="X390" s="11"/>
      <c r="Y390" s="143"/>
      <c r="Z390" s="9"/>
      <c r="AA390" s="143"/>
      <c r="AB390" s="9"/>
      <c r="AC390" s="8"/>
      <c r="AD390" s="143"/>
      <c r="AE390" s="9"/>
    </row>
    <row r="391" spans="1:31" x14ac:dyDescent="0.15">
      <c r="A391" s="8"/>
      <c r="B391" s="8"/>
      <c r="C391" s="8"/>
      <c r="D391" s="8"/>
      <c r="E391" s="9"/>
      <c r="F391" s="8"/>
      <c r="G391" s="10"/>
      <c r="H391" s="11"/>
      <c r="I391" s="143"/>
      <c r="J391" s="9"/>
      <c r="K391" s="143"/>
      <c r="L391" s="9"/>
      <c r="M391" s="8"/>
      <c r="N391" s="143"/>
      <c r="O391" s="9"/>
      <c r="P391" s="9"/>
      <c r="Q391" s="9"/>
      <c r="R391" s="9"/>
      <c r="S391" s="9"/>
      <c r="T391" s="9"/>
      <c r="U391" s="9"/>
      <c r="V391" s="9"/>
      <c r="W391" s="9"/>
      <c r="X391" s="11"/>
      <c r="Y391" s="143"/>
      <c r="Z391" s="9"/>
      <c r="AA391" s="143"/>
      <c r="AB391" s="9"/>
      <c r="AC391" s="8"/>
      <c r="AD391" s="143"/>
      <c r="AE391" s="9"/>
    </row>
    <row r="392" spans="1:31" x14ac:dyDescent="0.15">
      <c r="A392" s="8"/>
      <c r="B392" s="8"/>
      <c r="C392" s="8"/>
      <c r="D392" s="8"/>
      <c r="E392" s="9"/>
      <c r="F392" s="8"/>
      <c r="G392" s="10"/>
      <c r="H392" s="11"/>
      <c r="I392" s="143"/>
      <c r="J392" s="9"/>
      <c r="K392" s="143"/>
      <c r="L392" s="9"/>
      <c r="M392" s="8"/>
      <c r="N392" s="143"/>
      <c r="O392" s="9"/>
      <c r="P392" s="9"/>
      <c r="Q392" s="9"/>
      <c r="R392" s="9"/>
      <c r="S392" s="9"/>
      <c r="T392" s="9"/>
      <c r="U392" s="9"/>
      <c r="V392" s="9"/>
      <c r="W392" s="9"/>
      <c r="X392" s="11"/>
      <c r="Y392" s="143"/>
      <c r="Z392" s="9"/>
      <c r="AA392" s="143"/>
      <c r="AB392" s="9"/>
      <c r="AC392" s="8"/>
      <c r="AD392" s="143"/>
      <c r="AE392" s="9"/>
    </row>
    <row r="393" spans="1:31" x14ac:dyDescent="0.15">
      <c r="A393" s="8"/>
      <c r="B393" s="8"/>
      <c r="C393" s="8"/>
      <c r="D393" s="8"/>
      <c r="E393" s="9"/>
      <c r="F393" s="8"/>
      <c r="G393" s="10"/>
      <c r="H393" s="11"/>
      <c r="I393" s="143"/>
      <c r="J393" s="9"/>
      <c r="K393" s="143"/>
      <c r="L393" s="9"/>
      <c r="M393" s="8"/>
      <c r="N393" s="143"/>
      <c r="O393" s="9"/>
      <c r="P393" s="9"/>
      <c r="Q393" s="9"/>
      <c r="R393" s="9"/>
      <c r="S393" s="9"/>
      <c r="T393" s="9"/>
      <c r="U393" s="9"/>
      <c r="V393" s="9"/>
      <c r="W393" s="9"/>
      <c r="X393" s="11"/>
      <c r="Y393" s="143"/>
      <c r="Z393" s="9"/>
      <c r="AA393" s="143"/>
      <c r="AB393" s="9"/>
      <c r="AC393" s="8"/>
      <c r="AD393" s="143"/>
      <c r="AE393" s="9"/>
    </row>
    <row r="394" spans="1:31" x14ac:dyDescent="0.15">
      <c r="A394" s="8"/>
      <c r="B394" s="8"/>
      <c r="C394" s="8"/>
      <c r="D394" s="8"/>
      <c r="E394" s="9"/>
      <c r="F394" s="8"/>
      <c r="G394" s="10"/>
      <c r="H394" s="11"/>
      <c r="I394" s="8"/>
      <c r="J394" s="9"/>
      <c r="K394" s="8"/>
      <c r="L394" s="9"/>
      <c r="M394" s="8"/>
      <c r="N394" s="8"/>
      <c r="O394" s="9"/>
      <c r="P394" s="9"/>
      <c r="Q394" s="9"/>
      <c r="R394" s="9"/>
      <c r="S394" s="9"/>
      <c r="T394" s="9"/>
      <c r="U394" s="9"/>
      <c r="V394" s="9"/>
      <c r="W394" s="9"/>
      <c r="X394" s="11"/>
      <c r="Y394" s="8"/>
      <c r="Z394" s="9"/>
      <c r="AA394" s="8"/>
      <c r="AB394" s="9"/>
      <c r="AC394" s="8"/>
      <c r="AD394" s="8"/>
      <c r="AE394" s="9"/>
    </row>
    <row r="395" spans="1:31" x14ac:dyDescent="0.15">
      <c r="A395" s="8"/>
      <c r="B395" s="8"/>
      <c r="C395" s="8"/>
      <c r="D395" s="8"/>
      <c r="E395" s="9"/>
      <c r="F395" s="8"/>
      <c r="G395" s="10"/>
      <c r="H395" s="11"/>
      <c r="I395" s="8"/>
      <c r="J395" s="9"/>
      <c r="K395" s="8"/>
      <c r="L395" s="9"/>
      <c r="M395" s="8"/>
      <c r="N395" s="8"/>
      <c r="O395" s="9"/>
      <c r="P395" s="9"/>
      <c r="Q395" s="9"/>
      <c r="R395" s="9"/>
      <c r="S395" s="9"/>
      <c r="T395" s="9"/>
      <c r="U395" s="9"/>
      <c r="V395" s="9"/>
      <c r="W395" s="9"/>
      <c r="X395" s="11"/>
      <c r="Y395" s="8"/>
      <c r="Z395" s="9"/>
      <c r="AA395" s="8"/>
      <c r="AB395" s="9"/>
      <c r="AC395" s="8"/>
      <c r="AD395" s="8"/>
      <c r="AE395" s="9"/>
    </row>
    <row r="396" spans="1:31" x14ac:dyDescent="0.15">
      <c r="A396" s="8"/>
      <c r="B396" s="8"/>
      <c r="C396" s="8"/>
      <c r="D396" s="8"/>
      <c r="E396" s="9"/>
      <c r="F396" s="8"/>
      <c r="G396" s="10"/>
      <c r="H396" s="11"/>
      <c r="I396" s="8"/>
      <c r="J396" s="9"/>
      <c r="K396" s="8"/>
      <c r="L396" s="9"/>
      <c r="M396" s="8"/>
      <c r="N396" s="8"/>
      <c r="O396" s="9"/>
      <c r="P396" s="9"/>
      <c r="Q396" s="9"/>
      <c r="R396" s="9"/>
      <c r="S396" s="9"/>
      <c r="T396" s="9"/>
      <c r="U396" s="9"/>
      <c r="V396" s="9"/>
      <c r="W396" s="9"/>
      <c r="X396" s="11"/>
      <c r="Y396" s="8"/>
      <c r="Z396" s="9"/>
      <c r="AA396" s="8"/>
      <c r="AB396" s="9"/>
      <c r="AC396" s="8"/>
      <c r="AD396" s="8"/>
      <c r="AE396" s="9"/>
    </row>
    <row r="397" spans="1:31" x14ac:dyDescent="0.15">
      <c r="A397" s="8"/>
      <c r="B397" s="8"/>
      <c r="C397" s="8"/>
      <c r="D397" s="8"/>
      <c r="E397" s="9"/>
      <c r="F397" s="8"/>
      <c r="G397" s="10"/>
      <c r="H397" s="11"/>
      <c r="I397" s="8"/>
      <c r="J397" s="9"/>
      <c r="K397" s="8"/>
      <c r="L397" s="9"/>
      <c r="M397" s="8"/>
      <c r="N397" s="8"/>
      <c r="O397" s="9"/>
      <c r="P397" s="9"/>
      <c r="Q397" s="9"/>
      <c r="R397" s="9"/>
      <c r="S397" s="9"/>
      <c r="T397" s="9"/>
      <c r="U397" s="9"/>
      <c r="V397" s="9"/>
      <c r="W397" s="9"/>
      <c r="X397" s="11"/>
      <c r="Y397" s="8"/>
      <c r="Z397" s="9"/>
      <c r="AA397" s="8"/>
      <c r="AB397" s="9"/>
      <c r="AC397" s="8"/>
      <c r="AD397" s="8"/>
      <c r="AE397" s="9"/>
    </row>
    <row r="398" spans="1:31" x14ac:dyDescent="0.15">
      <c r="A398" s="8"/>
      <c r="B398" s="8"/>
      <c r="C398" s="8"/>
      <c r="D398" s="8"/>
      <c r="E398" s="9"/>
      <c r="F398" s="8"/>
      <c r="G398" s="10"/>
      <c r="H398" s="11"/>
      <c r="I398" s="8"/>
      <c r="J398" s="9"/>
      <c r="K398" s="8"/>
      <c r="L398" s="9"/>
      <c r="M398" s="8"/>
      <c r="N398" s="8"/>
      <c r="O398" s="9"/>
      <c r="P398" s="9"/>
      <c r="Q398" s="9"/>
      <c r="R398" s="9"/>
      <c r="S398" s="9"/>
      <c r="T398" s="9"/>
      <c r="U398" s="9"/>
      <c r="V398" s="9"/>
      <c r="W398" s="9"/>
      <c r="X398" s="11"/>
      <c r="Y398" s="8"/>
      <c r="Z398" s="9"/>
      <c r="AA398" s="8"/>
      <c r="AB398" s="9"/>
      <c r="AC398" s="8"/>
      <c r="AD398" s="8"/>
      <c r="AE398" s="9"/>
    </row>
    <row r="399" spans="1:31" x14ac:dyDescent="0.15">
      <c r="A399" s="8"/>
      <c r="B399" s="8"/>
      <c r="C399" s="8"/>
      <c r="D399" s="8"/>
      <c r="E399" s="9"/>
      <c r="F399" s="8"/>
      <c r="G399" s="10"/>
      <c r="H399" s="11"/>
      <c r="I399" s="8"/>
      <c r="J399" s="9"/>
      <c r="K399" s="8"/>
      <c r="L399" s="9"/>
      <c r="M399" s="8"/>
      <c r="N399" s="8"/>
      <c r="O399" s="9"/>
      <c r="P399" s="9"/>
      <c r="Q399" s="9"/>
      <c r="R399" s="9"/>
      <c r="S399" s="9"/>
      <c r="T399" s="9"/>
      <c r="U399" s="9"/>
      <c r="V399" s="9"/>
      <c r="W399" s="9"/>
      <c r="X399" s="11"/>
      <c r="Y399" s="8"/>
      <c r="Z399" s="9"/>
      <c r="AA399" s="8"/>
      <c r="AB399" s="9"/>
      <c r="AC399" s="8"/>
      <c r="AD399" s="8"/>
      <c r="AE399" s="9"/>
    </row>
    <row r="400" spans="1:31" x14ac:dyDescent="0.15">
      <c r="A400" s="8"/>
      <c r="B400" s="8"/>
      <c r="C400" s="8"/>
      <c r="D400" s="8"/>
      <c r="E400" s="9"/>
      <c r="F400" s="8"/>
      <c r="G400" s="10"/>
      <c r="H400" s="11"/>
      <c r="I400" s="8"/>
      <c r="J400" s="9"/>
      <c r="K400" s="8"/>
      <c r="L400" s="9"/>
      <c r="M400" s="8"/>
      <c r="N400" s="8"/>
      <c r="O400" s="9"/>
      <c r="P400" s="9"/>
      <c r="Q400" s="9"/>
      <c r="R400" s="9"/>
      <c r="S400" s="9"/>
      <c r="T400" s="9"/>
      <c r="U400" s="9"/>
      <c r="V400" s="9"/>
      <c r="W400" s="9"/>
      <c r="X400" s="11"/>
      <c r="Y400" s="8"/>
      <c r="Z400" s="9"/>
      <c r="AA400" s="8"/>
      <c r="AB400" s="9"/>
      <c r="AC400" s="8"/>
      <c r="AD400" s="8"/>
      <c r="AE400" s="9"/>
    </row>
    <row r="401" spans="1:31" x14ac:dyDescent="0.15">
      <c r="A401" s="8"/>
      <c r="B401" s="8"/>
      <c r="C401" s="8"/>
      <c r="D401" s="8"/>
      <c r="E401" s="9"/>
      <c r="F401" s="8"/>
      <c r="G401" s="10"/>
      <c r="H401" s="11"/>
      <c r="I401" s="8"/>
      <c r="J401" s="9"/>
      <c r="K401" s="8"/>
      <c r="L401" s="9"/>
      <c r="M401" s="8"/>
      <c r="N401" s="8"/>
      <c r="O401" s="9"/>
      <c r="P401" s="9"/>
      <c r="Q401" s="9"/>
      <c r="R401" s="9"/>
      <c r="S401" s="9"/>
      <c r="T401" s="9"/>
      <c r="U401" s="9"/>
      <c r="V401" s="9"/>
      <c r="W401" s="9"/>
      <c r="X401" s="11"/>
      <c r="Y401" s="8"/>
      <c r="Z401" s="9"/>
      <c r="AA401" s="8"/>
      <c r="AB401" s="9"/>
      <c r="AC401" s="8"/>
      <c r="AD401" s="8"/>
      <c r="AE401" s="9"/>
    </row>
    <row r="402" spans="1:31" x14ac:dyDescent="0.15">
      <c r="A402" s="8"/>
      <c r="B402" s="8"/>
      <c r="C402" s="8"/>
      <c r="D402" s="8"/>
      <c r="E402" s="9"/>
      <c r="F402" s="8"/>
      <c r="G402" s="10"/>
      <c r="H402" s="11"/>
      <c r="I402" s="8"/>
      <c r="J402" s="9"/>
      <c r="K402" s="8"/>
      <c r="L402" s="9"/>
      <c r="M402" s="8"/>
      <c r="N402" s="8"/>
      <c r="O402" s="9"/>
      <c r="P402" s="9"/>
      <c r="Q402" s="9"/>
      <c r="R402" s="9"/>
      <c r="S402" s="9"/>
      <c r="T402" s="9"/>
      <c r="U402" s="9"/>
      <c r="V402" s="9"/>
      <c r="W402" s="9"/>
      <c r="X402" s="11"/>
      <c r="Y402" s="8"/>
      <c r="Z402" s="9"/>
      <c r="AA402" s="8"/>
      <c r="AB402" s="9"/>
      <c r="AC402" s="8"/>
      <c r="AD402" s="8"/>
      <c r="AE402" s="9"/>
    </row>
    <row r="403" spans="1:31" x14ac:dyDescent="0.15">
      <c r="A403" s="8"/>
      <c r="B403" s="8"/>
      <c r="C403" s="8"/>
      <c r="D403" s="8"/>
      <c r="E403" s="9"/>
      <c r="F403" s="8"/>
      <c r="G403" s="10"/>
      <c r="H403" s="11"/>
      <c r="I403" s="8"/>
      <c r="J403" s="9"/>
      <c r="K403" s="8"/>
      <c r="L403" s="9"/>
      <c r="M403" s="8"/>
      <c r="N403" s="8"/>
      <c r="O403" s="9"/>
      <c r="P403" s="9"/>
      <c r="Q403" s="9"/>
      <c r="R403" s="9"/>
      <c r="S403" s="9"/>
      <c r="T403" s="9"/>
      <c r="U403" s="9"/>
      <c r="V403" s="9"/>
      <c r="W403" s="9"/>
      <c r="X403" s="11"/>
      <c r="Y403" s="8"/>
      <c r="Z403" s="9"/>
      <c r="AA403" s="8"/>
      <c r="AB403" s="9"/>
      <c r="AC403" s="8"/>
      <c r="AD403" s="8"/>
      <c r="AE403" s="9"/>
    </row>
    <row r="404" spans="1:31" x14ac:dyDescent="0.15">
      <c r="A404" s="8"/>
      <c r="B404" s="8"/>
      <c r="C404" s="8"/>
      <c r="D404" s="8"/>
      <c r="E404" s="9"/>
      <c r="F404" s="8"/>
      <c r="G404" s="10"/>
      <c r="H404" s="11"/>
      <c r="I404" s="8"/>
      <c r="J404" s="9"/>
      <c r="K404" s="8"/>
      <c r="L404" s="9"/>
      <c r="M404" s="8"/>
      <c r="N404" s="8"/>
      <c r="O404" s="9"/>
      <c r="P404" s="9"/>
      <c r="Q404" s="9"/>
      <c r="R404" s="9"/>
      <c r="S404" s="9"/>
      <c r="T404" s="9"/>
      <c r="U404" s="9"/>
      <c r="V404" s="9"/>
      <c r="W404" s="9"/>
      <c r="X404" s="11"/>
      <c r="Y404" s="8"/>
      <c r="Z404" s="9"/>
      <c r="AA404" s="8"/>
      <c r="AB404" s="9"/>
      <c r="AC404" s="8"/>
      <c r="AD404" s="8"/>
      <c r="AE404" s="9"/>
    </row>
    <row r="405" spans="1:31" x14ac:dyDescent="0.15">
      <c r="A405" s="8"/>
      <c r="B405" s="8"/>
      <c r="C405" s="8"/>
      <c r="D405" s="8"/>
      <c r="E405" s="9"/>
      <c r="F405" s="8"/>
      <c r="G405" s="10"/>
      <c r="H405" s="11"/>
      <c r="I405" s="8"/>
      <c r="J405" s="9"/>
      <c r="K405" s="8"/>
      <c r="L405" s="9"/>
      <c r="M405" s="8"/>
      <c r="N405" s="8"/>
      <c r="O405" s="9"/>
      <c r="P405" s="9"/>
      <c r="Q405" s="9"/>
      <c r="R405" s="9"/>
      <c r="S405" s="9"/>
      <c r="T405" s="9"/>
      <c r="U405" s="9"/>
      <c r="V405" s="9"/>
      <c r="W405" s="9"/>
      <c r="X405" s="11"/>
      <c r="Y405" s="8"/>
      <c r="Z405" s="9"/>
      <c r="AA405" s="8"/>
      <c r="AB405" s="9"/>
      <c r="AC405" s="8"/>
      <c r="AD405" s="8"/>
      <c r="AE405" s="9"/>
    </row>
    <row r="406" spans="1:31" x14ac:dyDescent="0.15">
      <c r="A406" s="8"/>
      <c r="B406" s="8"/>
      <c r="C406" s="8"/>
      <c r="D406" s="8"/>
      <c r="E406" s="9"/>
      <c r="F406" s="8"/>
      <c r="G406" s="10"/>
      <c r="H406" s="11"/>
      <c r="I406" s="8"/>
      <c r="J406" s="9"/>
      <c r="K406" s="8"/>
      <c r="L406" s="9"/>
      <c r="M406" s="8"/>
      <c r="N406" s="8"/>
      <c r="O406" s="9"/>
      <c r="P406" s="9"/>
      <c r="Q406" s="9"/>
      <c r="R406" s="9"/>
      <c r="S406" s="9"/>
      <c r="T406" s="9"/>
      <c r="U406" s="9"/>
      <c r="V406" s="9"/>
      <c r="W406" s="9"/>
      <c r="X406" s="11"/>
      <c r="Y406" s="8"/>
      <c r="Z406" s="9"/>
      <c r="AA406" s="8"/>
      <c r="AB406" s="9"/>
      <c r="AC406" s="8"/>
      <c r="AD406" s="8"/>
      <c r="AE406" s="9"/>
    </row>
    <row r="407" spans="1:31" x14ac:dyDescent="0.15">
      <c r="A407" s="8"/>
      <c r="B407" s="8"/>
      <c r="C407" s="8"/>
      <c r="D407" s="8"/>
      <c r="E407" s="9"/>
      <c r="F407" s="8"/>
      <c r="G407" s="10"/>
      <c r="H407" s="11"/>
      <c r="I407" s="8"/>
      <c r="J407" s="9"/>
      <c r="K407" s="8"/>
      <c r="L407" s="9"/>
      <c r="M407" s="8"/>
      <c r="N407" s="8"/>
      <c r="O407" s="9"/>
      <c r="P407" s="9"/>
      <c r="Q407" s="9"/>
      <c r="R407" s="9"/>
      <c r="S407" s="9"/>
      <c r="T407" s="9"/>
      <c r="U407" s="9"/>
      <c r="V407" s="9"/>
      <c r="W407" s="9"/>
      <c r="X407" s="11"/>
      <c r="Y407" s="8"/>
      <c r="Z407" s="9"/>
      <c r="AA407" s="8"/>
      <c r="AB407" s="9"/>
      <c r="AC407" s="8"/>
      <c r="AD407" s="8"/>
      <c r="AE407" s="9"/>
    </row>
    <row r="408" spans="1:31" x14ac:dyDescent="0.15">
      <c r="A408" s="8"/>
      <c r="B408" s="8"/>
      <c r="C408" s="8"/>
      <c r="D408" s="8"/>
      <c r="E408" s="9"/>
      <c r="F408" s="8"/>
      <c r="G408" s="10"/>
      <c r="H408" s="11"/>
      <c r="I408" s="8"/>
      <c r="J408" s="9"/>
      <c r="K408" s="8"/>
      <c r="L408" s="9"/>
      <c r="M408" s="8"/>
      <c r="N408" s="8"/>
      <c r="O408" s="9"/>
      <c r="P408" s="9"/>
      <c r="Q408" s="9"/>
      <c r="R408" s="9"/>
      <c r="S408" s="9"/>
      <c r="T408" s="9"/>
      <c r="U408" s="9"/>
      <c r="V408" s="9"/>
      <c r="W408" s="9"/>
      <c r="X408" s="11"/>
      <c r="Y408" s="8"/>
      <c r="Z408" s="9"/>
      <c r="AA408" s="8"/>
      <c r="AB408" s="9"/>
      <c r="AC408" s="8"/>
      <c r="AD408" s="8"/>
      <c r="AE408" s="9"/>
    </row>
    <row r="409" spans="1:31" x14ac:dyDescent="0.15">
      <c r="A409" s="8"/>
      <c r="B409" s="8"/>
      <c r="C409" s="8"/>
      <c r="D409" s="8"/>
      <c r="E409" s="9"/>
      <c r="F409" s="8"/>
      <c r="G409" s="10"/>
      <c r="H409" s="11"/>
      <c r="I409" s="8"/>
      <c r="J409" s="9"/>
      <c r="K409" s="8"/>
      <c r="L409" s="9"/>
      <c r="M409" s="8"/>
      <c r="N409" s="8"/>
      <c r="O409" s="9"/>
      <c r="P409" s="9"/>
      <c r="Q409" s="9"/>
      <c r="R409" s="9"/>
      <c r="S409" s="9"/>
      <c r="T409" s="9"/>
      <c r="U409" s="9"/>
      <c r="V409" s="9"/>
      <c r="W409" s="9"/>
      <c r="X409" s="11"/>
      <c r="Y409" s="8"/>
      <c r="Z409" s="9"/>
      <c r="AA409" s="8"/>
      <c r="AB409" s="9"/>
      <c r="AC409" s="8"/>
      <c r="AD409" s="8"/>
      <c r="AE409" s="9"/>
    </row>
    <row r="410" spans="1:31" x14ac:dyDescent="0.15">
      <c r="A410" s="8"/>
      <c r="B410" s="8"/>
      <c r="C410" s="8"/>
      <c r="D410" s="8"/>
      <c r="E410" s="9"/>
      <c r="F410" s="8"/>
      <c r="G410" s="10"/>
      <c r="H410" s="11"/>
      <c r="I410" s="8"/>
      <c r="J410" s="9"/>
      <c r="K410" s="8"/>
      <c r="L410" s="9"/>
      <c r="M410" s="8"/>
      <c r="N410" s="8"/>
      <c r="O410" s="9"/>
      <c r="P410" s="9"/>
      <c r="Q410" s="9"/>
      <c r="R410" s="9"/>
      <c r="S410" s="9"/>
      <c r="T410" s="9"/>
      <c r="U410" s="9"/>
      <c r="V410" s="9"/>
      <c r="W410" s="9"/>
      <c r="X410" s="11"/>
      <c r="Y410" s="8"/>
      <c r="Z410" s="9"/>
      <c r="AA410" s="8"/>
      <c r="AB410" s="9"/>
      <c r="AC410" s="8"/>
      <c r="AD410" s="8"/>
      <c r="AE410" s="9"/>
    </row>
    <row r="411" spans="1:31" x14ac:dyDescent="0.15">
      <c r="A411" s="8"/>
      <c r="B411" s="8"/>
      <c r="C411" s="8"/>
      <c r="D411" s="8"/>
      <c r="E411" s="9"/>
      <c r="F411" s="8"/>
      <c r="G411" s="10"/>
      <c r="H411" s="11"/>
      <c r="I411" s="8"/>
      <c r="J411" s="9"/>
      <c r="K411" s="8"/>
      <c r="L411" s="9"/>
      <c r="M411" s="8"/>
      <c r="N411" s="8"/>
      <c r="O411" s="9"/>
      <c r="P411" s="9"/>
      <c r="Q411" s="9"/>
      <c r="R411" s="9"/>
      <c r="S411" s="9"/>
      <c r="T411" s="9"/>
      <c r="U411" s="9"/>
      <c r="V411" s="9"/>
      <c r="W411" s="9"/>
      <c r="X411" s="11"/>
      <c r="Y411" s="8"/>
      <c r="Z411" s="9"/>
      <c r="AA411" s="8"/>
      <c r="AB411" s="9"/>
      <c r="AC411" s="8"/>
      <c r="AD411" s="8"/>
      <c r="AE411" s="9"/>
    </row>
    <row r="412" spans="1:31" x14ac:dyDescent="0.15">
      <c r="A412" s="8"/>
      <c r="B412" s="8"/>
      <c r="C412" s="8"/>
      <c r="D412" s="8"/>
      <c r="E412" s="9"/>
      <c r="F412" s="8"/>
      <c r="G412" s="10"/>
      <c r="H412" s="11"/>
      <c r="I412" s="8"/>
      <c r="J412" s="9"/>
      <c r="K412" s="8"/>
      <c r="L412" s="9"/>
      <c r="M412" s="8"/>
      <c r="N412" s="8"/>
      <c r="O412" s="9"/>
      <c r="P412" s="9"/>
      <c r="Q412" s="9"/>
      <c r="R412" s="9"/>
      <c r="S412" s="9"/>
      <c r="T412" s="9"/>
      <c r="U412" s="9"/>
      <c r="V412" s="9"/>
      <c r="W412" s="9"/>
      <c r="X412" s="11"/>
      <c r="Y412" s="8"/>
      <c r="Z412" s="9"/>
      <c r="AA412" s="8"/>
      <c r="AB412" s="9"/>
      <c r="AC412" s="8"/>
      <c r="AD412" s="8"/>
      <c r="AE412" s="9"/>
    </row>
    <row r="413" spans="1:31" x14ac:dyDescent="0.15">
      <c r="A413" s="8"/>
      <c r="B413" s="8"/>
      <c r="C413" s="8"/>
      <c r="D413" s="8"/>
      <c r="E413" s="9"/>
      <c r="F413" s="8"/>
      <c r="G413" s="10"/>
      <c r="H413" s="11"/>
      <c r="I413" s="8"/>
      <c r="J413" s="9"/>
      <c r="K413" s="8"/>
      <c r="L413" s="9"/>
      <c r="M413" s="8"/>
      <c r="N413" s="8"/>
      <c r="O413" s="9"/>
      <c r="P413" s="9"/>
      <c r="Q413" s="9"/>
      <c r="R413" s="9"/>
      <c r="S413" s="9"/>
      <c r="T413" s="9"/>
      <c r="U413" s="9"/>
      <c r="V413" s="9"/>
      <c r="W413" s="9"/>
      <c r="X413" s="11"/>
      <c r="Y413" s="8"/>
      <c r="Z413" s="9"/>
      <c r="AA413" s="8"/>
      <c r="AB413" s="9"/>
      <c r="AC413" s="8"/>
      <c r="AD413" s="8"/>
      <c r="AE413" s="9"/>
    </row>
    <row r="414" spans="1:31" x14ac:dyDescent="0.15">
      <c r="A414" s="8"/>
      <c r="B414" s="8"/>
      <c r="C414" s="8"/>
      <c r="D414" s="8"/>
      <c r="E414" s="9"/>
      <c r="F414" s="8"/>
      <c r="G414" s="10"/>
      <c r="H414" s="11"/>
      <c r="I414" s="8"/>
      <c r="J414" s="9"/>
      <c r="K414" s="8"/>
      <c r="L414" s="9"/>
      <c r="M414" s="8"/>
      <c r="N414" s="8"/>
      <c r="O414" s="9"/>
      <c r="P414" s="9"/>
      <c r="Q414" s="9"/>
      <c r="R414" s="9"/>
      <c r="S414" s="9"/>
      <c r="T414" s="9"/>
      <c r="U414" s="9"/>
      <c r="V414" s="9"/>
      <c r="W414" s="9"/>
      <c r="X414" s="11"/>
      <c r="Y414" s="8"/>
      <c r="Z414" s="9"/>
      <c r="AA414" s="8"/>
      <c r="AB414" s="9"/>
      <c r="AC414" s="8"/>
      <c r="AD414" s="8"/>
      <c r="AE414" s="9"/>
    </row>
    <row r="415" spans="1:31" x14ac:dyDescent="0.15">
      <c r="A415" s="8"/>
      <c r="B415" s="8"/>
      <c r="C415" s="8"/>
      <c r="D415" s="8"/>
      <c r="E415" s="9"/>
      <c r="F415" s="8"/>
      <c r="G415" s="10"/>
      <c r="H415" s="11"/>
      <c r="I415" s="8"/>
      <c r="J415" s="9"/>
      <c r="K415" s="8"/>
      <c r="L415" s="9"/>
      <c r="M415" s="8"/>
      <c r="N415" s="8"/>
      <c r="O415" s="9"/>
      <c r="P415" s="9"/>
      <c r="Q415" s="9"/>
      <c r="R415" s="9"/>
      <c r="S415" s="9"/>
      <c r="T415" s="9"/>
      <c r="U415" s="9"/>
      <c r="V415" s="9"/>
      <c r="W415" s="9"/>
      <c r="X415" s="11"/>
      <c r="Y415" s="8"/>
      <c r="Z415" s="9"/>
      <c r="AA415" s="8"/>
      <c r="AB415" s="9"/>
      <c r="AC415" s="8"/>
      <c r="AD415" s="8"/>
      <c r="AE415" s="9"/>
    </row>
    <row r="416" spans="1:31" x14ac:dyDescent="0.15">
      <c r="A416" s="8"/>
      <c r="B416" s="8"/>
      <c r="C416" s="8"/>
      <c r="D416" s="8"/>
      <c r="E416" s="9"/>
      <c r="F416" s="8"/>
      <c r="G416" s="10"/>
      <c r="H416" s="11"/>
      <c r="I416" s="8"/>
      <c r="J416" s="9"/>
      <c r="K416" s="8"/>
      <c r="L416" s="9"/>
      <c r="M416" s="8"/>
      <c r="N416" s="8"/>
      <c r="O416" s="9"/>
      <c r="P416" s="9"/>
      <c r="Q416" s="9"/>
      <c r="R416" s="9"/>
      <c r="S416" s="9"/>
      <c r="T416" s="9"/>
      <c r="U416" s="9"/>
      <c r="V416" s="9"/>
      <c r="W416" s="9"/>
      <c r="X416" s="11"/>
      <c r="Y416" s="8"/>
      <c r="Z416" s="9"/>
      <c r="AA416" s="8"/>
      <c r="AB416" s="9"/>
      <c r="AC416" s="8"/>
      <c r="AD416" s="8"/>
      <c r="AE416" s="9"/>
    </row>
    <row r="417" spans="1:31" x14ac:dyDescent="0.15">
      <c r="A417" s="8"/>
      <c r="B417" s="8"/>
      <c r="C417" s="8"/>
      <c r="D417" s="8"/>
      <c r="E417" s="9"/>
      <c r="F417" s="8"/>
      <c r="G417" s="10"/>
      <c r="H417" s="11"/>
      <c r="I417" s="8"/>
      <c r="J417" s="9"/>
      <c r="K417" s="8"/>
      <c r="L417" s="9"/>
      <c r="M417" s="8"/>
      <c r="N417" s="8"/>
      <c r="O417" s="9"/>
      <c r="P417" s="9"/>
      <c r="Q417" s="9"/>
      <c r="R417" s="9"/>
      <c r="S417" s="9"/>
      <c r="T417" s="9"/>
      <c r="U417" s="9"/>
      <c r="V417" s="9"/>
      <c r="W417" s="9"/>
      <c r="X417" s="11"/>
      <c r="Y417" s="8"/>
      <c r="Z417" s="9"/>
      <c r="AA417" s="8"/>
      <c r="AB417" s="9"/>
      <c r="AC417" s="8"/>
      <c r="AD417" s="8"/>
      <c r="AE417" s="9"/>
    </row>
    <row r="418" spans="1:31" x14ac:dyDescent="0.15">
      <c r="A418" s="8"/>
      <c r="B418" s="8"/>
      <c r="C418" s="8"/>
      <c r="D418" s="8"/>
      <c r="E418" s="9"/>
      <c r="F418" s="8"/>
      <c r="G418" s="10"/>
      <c r="H418" s="11"/>
      <c r="I418" s="8"/>
      <c r="J418" s="9"/>
      <c r="K418" s="8"/>
      <c r="L418" s="9"/>
      <c r="M418" s="8"/>
      <c r="N418" s="8"/>
      <c r="O418" s="9"/>
      <c r="P418" s="9"/>
      <c r="Q418" s="9"/>
      <c r="R418" s="9"/>
      <c r="S418" s="9"/>
      <c r="T418" s="9"/>
      <c r="U418" s="9"/>
      <c r="V418" s="9"/>
      <c r="W418" s="9"/>
      <c r="X418" s="11"/>
      <c r="Y418" s="8"/>
      <c r="Z418" s="9"/>
      <c r="AA418" s="8"/>
      <c r="AB418" s="9"/>
      <c r="AC418" s="8"/>
      <c r="AD418" s="8"/>
      <c r="AE418" s="9"/>
    </row>
    <row r="419" spans="1:31" x14ac:dyDescent="0.15">
      <c r="A419" s="8"/>
      <c r="B419" s="8"/>
      <c r="C419" s="8"/>
      <c r="D419" s="8"/>
      <c r="E419" s="9"/>
      <c r="F419" s="8"/>
      <c r="G419" s="10"/>
      <c r="H419" s="11"/>
      <c r="I419" s="8"/>
      <c r="J419" s="9"/>
      <c r="K419" s="8"/>
      <c r="L419" s="9"/>
      <c r="M419" s="8"/>
      <c r="N419" s="8"/>
      <c r="O419" s="9"/>
      <c r="P419" s="9"/>
      <c r="Q419" s="9"/>
      <c r="R419" s="9"/>
      <c r="S419" s="9"/>
      <c r="T419" s="9"/>
      <c r="U419" s="9"/>
      <c r="V419" s="9"/>
      <c r="W419" s="9"/>
      <c r="X419" s="11"/>
      <c r="Y419" s="8"/>
      <c r="Z419" s="9"/>
      <c r="AA419" s="8"/>
      <c r="AB419" s="9"/>
      <c r="AC419" s="8"/>
      <c r="AD419" s="8"/>
      <c r="AE419" s="9"/>
    </row>
    <row r="420" spans="1:31" x14ac:dyDescent="0.15">
      <c r="A420" s="8"/>
      <c r="B420" s="8"/>
      <c r="C420" s="8"/>
      <c r="D420" s="8"/>
      <c r="E420" s="9"/>
      <c r="F420" s="8"/>
      <c r="G420" s="10"/>
      <c r="H420" s="11"/>
      <c r="I420" s="8"/>
      <c r="J420" s="9"/>
      <c r="K420" s="8"/>
      <c r="L420" s="9"/>
      <c r="M420" s="8"/>
      <c r="N420" s="8"/>
      <c r="O420" s="9"/>
      <c r="P420" s="9"/>
      <c r="Q420" s="9"/>
      <c r="R420" s="9"/>
      <c r="S420" s="9"/>
      <c r="T420" s="9"/>
      <c r="U420" s="9"/>
      <c r="V420" s="9"/>
      <c r="W420" s="9"/>
      <c r="X420" s="11"/>
      <c r="Y420" s="8"/>
      <c r="Z420" s="9"/>
      <c r="AA420" s="8"/>
      <c r="AB420" s="9"/>
      <c r="AC420" s="8"/>
      <c r="AD420" s="8"/>
      <c r="AE420" s="9"/>
    </row>
    <row r="421" spans="1:31" x14ac:dyDescent="0.15">
      <c r="A421" s="8"/>
      <c r="B421" s="8"/>
      <c r="C421" s="8"/>
      <c r="D421" s="8"/>
      <c r="E421" s="9"/>
      <c r="F421" s="8"/>
      <c r="G421" s="10"/>
      <c r="H421" s="11"/>
      <c r="I421" s="8"/>
      <c r="J421" s="9"/>
      <c r="K421" s="8"/>
      <c r="L421" s="9"/>
      <c r="M421" s="8"/>
      <c r="N421" s="8"/>
      <c r="O421" s="9"/>
      <c r="P421" s="9"/>
      <c r="Q421" s="9"/>
      <c r="R421" s="9"/>
      <c r="S421" s="9"/>
      <c r="T421" s="9"/>
      <c r="U421" s="9"/>
      <c r="V421" s="9"/>
      <c r="W421" s="9"/>
      <c r="X421" s="11"/>
      <c r="Y421" s="8"/>
      <c r="Z421" s="9"/>
      <c r="AA421" s="8"/>
      <c r="AB421" s="9"/>
      <c r="AC421" s="8"/>
      <c r="AD421" s="8"/>
      <c r="AE421" s="9"/>
    </row>
    <row r="422" spans="1:31" x14ac:dyDescent="0.15">
      <c r="A422" s="8"/>
      <c r="B422" s="8"/>
      <c r="C422" s="8"/>
      <c r="D422" s="8"/>
      <c r="E422" s="9"/>
      <c r="F422" s="8"/>
      <c r="G422" s="10"/>
      <c r="H422" s="11"/>
      <c r="I422" s="8"/>
      <c r="J422" s="9"/>
      <c r="K422" s="8"/>
      <c r="L422" s="9"/>
      <c r="M422" s="8"/>
      <c r="N422" s="8"/>
      <c r="O422" s="9"/>
      <c r="P422" s="9"/>
      <c r="Q422" s="9"/>
      <c r="R422" s="9"/>
      <c r="S422" s="9"/>
      <c r="T422" s="9"/>
      <c r="U422" s="9"/>
      <c r="V422" s="9"/>
      <c r="W422" s="9"/>
      <c r="X422" s="11"/>
      <c r="Y422" s="8"/>
      <c r="Z422" s="9"/>
      <c r="AA422" s="8"/>
      <c r="AB422" s="9"/>
      <c r="AC422" s="8"/>
      <c r="AD422" s="8"/>
      <c r="AE422" s="9"/>
    </row>
    <row r="423" spans="1:31" x14ac:dyDescent="0.15">
      <c r="A423" s="8"/>
      <c r="B423" s="8"/>
      <c r="C423" s="8"/>
      <c r="D423" s="8"/>
      <c r="E423" s="9"/>
      <c r="F423" s="8"/>
      <c r="G423" s="10"/>
      <c r="H423" s="11"/>
      <c r="I423" s="8"/>
      <c r="J423" s="9"/>
      <c r="K423" s="8"/>
      <c r="L423" s="9"/>
      <c r="M423" s="8"/>
      <c r="N423" s="8"/>
      <c r="O423" s="9"/>
      <c r="P423" s="9"/>
      <c r="Q423" s="9"/>
      <c r="R423" s="9"/>
      <c r="S423" s="9"/>
      <c r="T423" s="9"/>
      <c r="U423" s="9"/>
      <c r="V423" s="9"/>
      <c r="W423" s="9"/>
      <c r="X423" s="11"/>
      <c r="Y423" s="8"/>
      <c r="Z423" s="9"/>
      <c r="AA423" s="8"/>
      <c r="AB423" s="9"/>
      <c r="AC423" s="8"/>
      <c r="AD423" s="8"/>
      <c r="AE423" s="9"/>
    </row>
    <row r="424" spans="1:31" x14ac:dyDescent="0.15">
      <c r="A424" s="8"/>
      <c r="B424" s="8"/>
      <c r="C424" s="8"/>
      <c r="D424" s="8"/>
      <c r="E424" s="9"/>
      <c r="F424" s="8"/>
      <c r="G424" s="10"/>
      <c r="H424" s="11"/>
      <c r="I424" s="8"/>
      <c r="J424" s="9"/>
      <c r="K424" s="8"/>
      <c r="L424" s="9"/>
      <c r="M424" s="8"/>
      <c r="N424" s="8"/>
      <c r="O424" s="9"/>
      <c r="P424" s="9"/>
      <c r="Q424" s="9"/>
      <c r="R424" s="9"/>
      <c r="S424" s="9"/>
      <c r="T424" s="9"/>
      <c r="U424" s="9"/>
      <c r="V424" s="9"/>
      <c r="W424" s="9"/>
      <c r="X424" s="11"/>
      <c r="Y424" s="8"/>
      <c r="Z424" s="9"/>
      <c r="AA424" s="8"/>
      <c r="AB424" s="9"/>
      <c r="AC424" s="8"/>
      <c r="AD424" s="8"/>
      <c r="AE424" s="9"/>
    </row>
    <row r="425" spans="1:31" x14ac:dyDescent="0.15">
      <c r="A425" s="8"/>
      <c r="B425" s="8"/>
      <c r="C425" s="8"/>
      <c r="D425" s="8"/>
      <c r="E425" s="9"/>
      <c r="F425" s="8"/>
      <c r="G425" s="10"/>
      <c r="H425" s="11"/>
      <c r="I425" s="8"/>
      <c r="J425" s="9"/>
      <c r="K425" s="8"/>
      <c r="L425" s="9"/>
      <c r="M425" s="8"/>
      <c r="N425" s="8"/>
      <c r="O425" s="9"/>
      <c r="P425" s="9"/>
      <c r="Q425" s="9"/>
      <c r="R425" s="9"/>
      <c r="S425" s="9"/>
      <c r="T425" s="9"/>
      <c r="U425" s="9"/>
      <c r="V425" s="9"/>
      <c r="W425" s="9"/>
      <c r="X425" s="11"/>
      <c r="Y425" s="8"/>
      <c r="Z425" s="9"/>
      <c r="AA425" s="8"/>
      <c r="AB425" s="9"/>
      <c r="AC425" s="8"/>
      <c r="AD425" s="8"/>
      <c r="AE425" s="9"/>
    </row>
    <row r="426" spans="1:31" x14ac:dyDescent="0.15">
      <c r="A426" s="8"/>
      <c r="B426" s="8"/>
      <c r="C426" s="8"/>
      <c r="D426" s="8"/>
      <c r="E426" s="9"/>
      <c r="F426" s="8"/>
      <c r="G426" s="10"/>
      <c r="H426" s="11"/>
      <c r="I426" s="8"/>
      <c r="J426" s="9"/>
      <c r="K426" s="8"/>
      <c r="L426" s="9"/>
      <c r="M426" s="8"/>
      <c r="N426" s="8"/>
      <c r="O426" s="9"/>
      <c r="P426" s="9"/>
      <c r="Q426" s="9"/>
      <c r="R426" s="9"/>
      <c r="S426" s="9"/>
      <c r="T426" s="9"/>
      <c r="U426" s="9"/>
      <c r="V426" s="9"/>
      <c r="W426" s="9"/>
      <c r="X426" s="11"/>
      <c r="Y426" s="8"/>
      <c r="Z426" s="9"/>
      <c r="AA426" s="8"/>
      <c r="AB426" s="9"/>
      <c r="AC426" s="8"/>
      <c r="AD426" s="8"/>
      <c r="AE426" s="9"/>
    </row>
    <row r="427" spans="1:31" x14ac:dyDescent="0.15">
      <c r="A427" s="8"/>
      <c r="B427" s="8"/>
      <c r="C427" s="8"/>
      <c r="D427" s="8"/>
      <c r="E427" s="9"/>
      <c r="F427" s="8"/>
      <c r="G427" s="10"/>
      <c r="H427" s="11"/>
      <c r="I427" s="8"/>
      <c r="J427" s="9"/>
      <c r="K427" s="8"/>
      <c r="L427" s="9"/>
      <c r="M427" s="8"/>
      <c r="N427" s="8"/>
      <c r="O427" s="9"/>
      <c r="P427" s="9"/>
      <c r="Q427" s="9"/>
      <c r="R427" s="9"/>
      <c r="S427" s="9"/>
      <c r="T427" s="9"/>
      <c r="U427" s="9"/>
      <c r="V427" s="9"/>
      <c r="W427" s="9"/>
      <c r="X427" s="11"/>
      <c r="Y427" s="8"/>
      <c r="Z427" s="9"/>
      <c r="AA427" s="8"/>
      <c r="AB427" s="9"/>
      <c r="AC427" s="8"/>
      <c r="AD427" s="8"/>
      <c r="AE427" s="9"/>
    </row>
    <row r="428" spans="1:31" x14ac:dyDescent="0.15">
      <c r="A428" s="8"/>
      <c r="B428" s="8"/>
      <c r="C428" s="8"/>
      <c r="D428" s="8"/>
      <c r="E428" s="9"/>
      <c r="F428" s="8"/>
      <c r="G428" s="10"/>
      <c r="H428" s="11"/>
      <c r="I428" s="8"/>
      <c r="J428" s="9"/>
      <c r="K428" s="8"/>
      <c r="L428" s="9"/>
      <c r="M428" s="8"/>
      <c r="N428" s="8"/>
      <c r="O428" s="9"/>
      <c r="P428" s="9"/>
      <c r="Q428" s="9"/>
      <c r="R428" s="9"/>
      <c r="S428" s="9"/>
      <c r="T428" s="9"/>
      <c r="U428" s="9"/>
      <c r="V428" s="9"/>
      <c r="W428" s="9"/>
      <c r="X428" s="11"/>
      <c r="Y428" s="8"/>
      <c r="Z428" s="9"/>
      <c r="AA428" s="8"/>
      <c r="AB428" s="9"/>
      <c r="AC428" s="8"/>
      <c r="AD428" s="8"/>
      <c r="AE428" s="9"/>
    </row>
    <row r="429" spans="1:31" x14ac:dyDescent="0.15">
      <c r="A429" s="8"/>
      <c r="B429" s="8"/>
      <c r="C429" s="8"/>
      <c r="D429" s="8"/>
      <c r="E429" s="9"/>
      <c r="F429" s="8"/>
      <c r="G429" s="10"/>
      <c r="H429" s="11"/>
      <c r="I429" s="8"/>
      <c r="J429" s="9"/>
      <c r="K429" s="8"/>
      <c r="L429" s="9"/>
      <c r="M429" s="8"/>
      <c r="N429" s="8"/>
      <c r="O429" s="9"/>
      <c r="P429" s="9"/>
      <c r="Q429" s="9"/>
      <c r="R429" s="9"/>
      <c r="S429" s="9"/>
      <c r="T429" s="9"/>
      <c r="U429" s="9"/>
      <c r="V429" s="9"/>
      <c r="W429" s="9"/>
      <c r="X429" s="11"/>
      <c r="Y429" s="8"/>
      <c r="Z429" s="9"/>
      <c r="AA429" s="8"/>
      <c r="AB429" s="9"/>
      <c r="AC429" s="8"/>
      <c r="AD429" s="8"/>
      <c r="AE429" s="9"/>
    </row>
    <row r="430" spans="1:31" x14ac:dyDescent="0.15">
      <c r="A430" s="8"/>
      <c r="B430" s="8"/>
      <c r="C430" s="8"/>
      <c r="D430" s="8"/>
      <c r="E430" s="9"/>
      <c r="F430" s="8"/>
      <c r="G430" s="10"/>
      <c r="H430" s="11"/>
      <c r="I430" s="8"/>
      <c r="J430" s="9"/>
      <c r="K430" s="8"/>
      <c r="L430" s="9"/>
      <c r="M430" s="8"/>
      <c r="N430" s="8"/>
      <c r="O430" s="9"/>
      <c r="P430" s="9"/>
      <c r="Q430" s="9"/>
      <c r="R430" s="9"/>
      <c r="S430" s="9"/>
      <c r="T430" s="9"/>
      <c r="U430" s="9"/>
      <c r="V430" s="9"/>
      <c r="W430" s="9"/>
      <c r="X430" s="11"/>
      <c r="Y430" s="8"/>
      <c r="Z430" s="9"/>
      <c r="AA430" s="8"/>
      <c r="AB430" s="9"/>
      <c r="AC430" s="8"/>
      <c r="AD430" s="8"/>
      <c r="AE430" s="9"/>
    </row>
    <row r="431" spans="1:31" x14ac:dyDescent="0.15">
      <c r="A431" s="8"/>
      <c r="B431" s="8"/>
      <c r="C431" s="8"/>
      <c r="D431" s="8"/>
      <c r="E431" s="9"/>
      <c r="F431" s="8"/>
      <c r="G431" s="10"/>
      <c r="H431" s="11"/>
      <c r="I431" s="8"/>
      <c r="J431" s="9"/>
      <c r="K431" s="8"/>
      <c r="L431" s="9"/>
      <c r="M431" s="8"/>
      <c r="N431" s="8"/>
      <c r="O431" s="9"/>
      <c r="P431" s="9"/>
      <c r="Q431" s="9"/>
      <c r="R431" s="9"/>
      <c r="S431" s="9"/>
      <c r="T431" s="9"/>
      <c r="U431" s="9"/>
      <c r="V431" s="9"/>
      <c r="W431" s="9"/>
      <c r="X431" s="11"/>
      <c r="Y431" s="8"/>
      <c r="Z431" s="9"/>
      <c r="AA431" s="8"/>
      <c r="AB431" s="9"/>
      <c r="AC431" s="8"/>
      <c r="AD431" s="8"/>
      <c r="AE431" s="9"/>
    </row>
    <row r="432" spans="1:31" x14ac:dyDescent="0.15">
      <c r="A432" s="8"/>
      <c r="B432" s="8"/>
      <c r="C432" s="8"/>
      <c r="D432" s="8"/>
      <c r="E432" s="9"/>
      <c r="F432" s="8"/>
      <c r="G432" s="10"/>
      <c r="H432" s="11"/>
      <c r="I432" s="8"/>
      <c r="J432" s="9"/>
      <c r="K432" s="8"/>
      <c r="L432" s="9"/>
      <c r="M432" s="8"/>
      <c r="N432" s="8"/>
      <c r="O432" s="9"/>
      <c r="P432" s="9"/>
      <c r="Q432" s="9"/>
      <c r="R432" s="9"/>
      <c r="S432" s="9"/>
      <c r="T432" s="9"/>
      <c r="U432" s="9"/>
      <c r="V432" s="9"/>
      <c r="W432" s="9"/>
      <c r="X432" s="11"/>
      <c r="Y432" s="8"/>
      <c r="Z432" s="9"/>
      <c r="AA432" s="8"/>
      <c r="AB432" s="9"/>
      <c r="AC432" s="8"/>
      <c r="AD432" s="8"/>
      <c r="AE432" s="9"/>
    </row>
    <row r="433" spans="1:31" x14ac:dyDescent="0.15">
      <c r="A433" s="8"/>
      <c r="B433" s="8"/>
      <c r="C433" s="8"/>
      <c r="D433" s="8"/>
      <c r="E433" s="9"/>
      <c r="F433" s="8"/>
      <c r="G433" s="10"/>
      <c r="H433" s="11"/>
      <c r="I433" s="8"/>
      <c r="J433" s="9"/>
      <c r="K433" s="8"/>
      <c r="L433" s="9"/>
      <c r="M433" s="8"/>
      <c r="N433" s="8"/>
      <c r="O433" s="9"/>
      <c r="P433" s="9"/>
      <c r="Q433" s="9"/>
      <c r="R433" s="9"/>
      <c r="S433" s="9"/>
      <c r="T433" s="9"/>
      <c r="U433" s="9"/>
      <c r="V433" s="9"/>
      <c r="W433" s="9"/>
      <c r="X433" s="11"/>
      <c r="Y433" s="8"/>
      <c r="Z433" s="9"/>
      <c r="AA433" s="8"/>
      <c r="AB433" s="9"/>
      <c r="AC433" s="8"/>
      <c r="AD433" s="8"/>
      <c r="AE433" s="9"/>
    </row>
    <row r="434" spans="1:31" x14ac:dyDescent="0.15">
      <c r="A434" s="8"/>
      <c r="B434" s="8"/>
      <c r="C434" s="8"/>
      <c r="D434" s="8"/>
      <c r="E434" s="9"/>
      <c r="F434" s="8"/>
      <c r="G434" s="10"/>
      <c r="H434" s="11"/>
      <c r="I434" s="8"/>
      <c r="J434" s="9"/>
      <c r="K434" s="8"/>
      <c r="L434" s="9"/>
      <c r="M434" s="8"/>
      <c r="N434" s="8"/>
      <c r="O434" s="9"/>
      <c r="P434" s="9"/>
      <c r="Q434" s="9"/>
      <c r="R434" s="9"/>
      <c r="S434" s="9"/>
      <c r="T434" s="9"/>
      <c r="U434" s="9"/>
      <c r="V434" s="9"/>
      <c r="W434" s="9"/>
      <c r="X434" s="11"/>
      <c r="Y434" s="8"/>
      <c r="Z434" s="9"/>
      <c r="AA434" s="8"/>
      <c r="AB434" s="9"/>
      <c r="AC434" s="8"/>
      <c r="AD434" s="8"/>
      <c r="AE434" s="9"/>
    </row>
    <row r="435" spans="1:31" x14ac:dyDescent="0.15">
      <c r="A435" s="8"/>
      <c r="B435" s="8"/>
      <c r="C435" s="8"/>
      <c r="D435" s="8"/>
      <c r="E435" s="9"/>
      <c r="F435" s="8"/>
      <c r="G435" s="10"/>
      <c r="H435" s="11"/>
      <c r="I435" s="8"/>
      <c r="J435" s="9"/>
      <c r="K435" s="8"/>
      <c r="L435" s="9"/>
      <c r="M435" s="8"/>
      <c r="N435" s="8"/>
      <c r="O435" s="9"/>
      <c r="P435" s="9"/>
      <c r="Q435" s="9"/>
      <c r="R435" s="9"/>
      <c r="S435" s="9"/>
      <c r="T435" s="9"/>
      <c r="U435" s="9"/>
      <c r="V435" s="9"/>
      <c r="W435" s="9"/>
      <c r="X435" s="11"/>
      <c r="Y435" s="8"/>
      <c r="Z435" s="9"/>
      <c r="AA435" s="8"/>
      <c r="AB435" s="9"/>
      <c r="AC435" s="8"/>
      <c r="AD435" s="8"/>
      <c r="AE435" s="9"/>
    </row>
    <row r="436" spans="1:31" x14ac:dyDescent="0.15">
      <c r="A436" s="8"/>
      <c r="B436" s="8"/>
      <c r="C436" s="8"/>
      <c r="D436" s="8"/>
      <c r="E436" s="9"/>
      <c r="F436" s="8"/>
      <c r="G436" s="10"/>
      <c r="H436" s="11"/>
      <c r="I436" s="8"/>
      <c r="J436" s="9"/>
      <c r="K436" s="8"/>
      <c r="L436" s="9"/>
      <c r="M436" s="8"/>
      <c r="N436" s="8"/>
      <c r="O436" s="9"/>
      <c r="P436" s="9"/>
      <c r="Q436" s="9"/>
      <c r="R436" s="9"/>
      <c r="S436" s="9"/>
      <c r="T436" s="9"/>
      <c r="U436" s="9"/>
      <c r="V436" s="9"/>
      <c r="W436" s="9"/>
      <c r="X436" s="11"/>
      <c r="Y436" s="8"/>
      <c r="Z436" s="9"/>
      <c r="AA436" s="8"/>
      <c r="AB436" s="9"/>
      <c r="AC436" s="8"/>
      <c r="AD436" s="8"/>
      <c r="AE436" s="9"/>
    </row>
    <row r="437" spans="1:31" x14ac:dyDescent="0.15">
      <c r="A437" s="8"/>
      <c r="B437" s="8"/>
      <c r="C437" s="8"/>
      <c r="D437" s="8"/>
      <c r="E437" s="9"/>
      <c r="F437" s="8"/>
      <c r="G437" s="10"/>
      <c r="H437" s="11"/>
      <c r="I437" s="8"/>
      <c r="J437" s="9"/>
      <c r="K437" s="8"/>
      <c r="L437" s="9"/>
      <c r="M437" s="8"/>
      <c r="N437" s="8"/>
      <c r="O437" s="9"/>
      <c r="P437" s="9"/>
      <c r="Q437" s="9"/>
      <c r="R437" s="9"/>
      <c r="S437" s="9"/>
      <c r="T437" s="9"/>
      <c r="U437" s="9"/>
      <c r="V437" s="9"/>
      <c r="W437" s="9"/>
      <c r="X437" s="11"/>
      <c r="Y437" s="8"/>
      <c r="Z437" s="9"/>
      <c r="AA437" s="8"/>
      <c r="AB437" s="9"/>
      <c r="AC437" s="8"/>
      <c r="AD437" s="8"/>
      <c r="AE437" s="9"/>
    </row>
    <row r="438" spans="1:31" x14ac:dyDescent="0.15">
      <c r="A438" s="8"/>
      <c r="B438" s="8"/>
      <c r="C438" s="8"/>
      <c r="D438" s="8"/>
      <c r="E438" s="9"/>
      <c r="F438" s="8"/>
      <c r="G438" s="10"/>
      <c r="H438" s="11"/>
      <c r="I438" s="8"/>
      <c r="J438" s="9"/>
      <c r="K438" s="8"/>
      <c r="L438" s="9"/>
      <c r="M438" s="8"/>
      <c r="N438" s="8"/>
      <c r="O438" s="9"/>
      <c r="P438" s="9"/>
      <c r="Q438" s="9"/>
      <c r="R438" s="9"/>
      <c r="S438" s="9"/>
      <c r="T438" s="9"/>
      <c r="U438" s="9"/>
      <c r="V438" s="9"/>
      <c r="W438" s="9"/>
      <c r="X438" s="11"/>
      <c r="Y438" s="8"/>
      <c r="Z438" s="9"/>
      <c r="AA438" s="8"/>
      <c r="AB438" s="9"/>
      <c r="AC438" s="8"/>
      <c r="AD438" s="8"/>
      <c r="AE438" s="9"/>
    </row>
    <row r="439" spans="1:31" x14ac:dyDescent="0.15">
      <c r="A439" s="8"/>
      <c r="B439" s="8"/>
      <c r="C439" s="8"/>
      <c r="D439" s="8"/>
      <c r="E439" s="9"/>
      <c r="F439" s="8"/>
      <c r="G439" s="10"/>
      <c r="H439" s="11"/>
      <c r="I439" s="8"/>
      <c r="J439" s="9"/>
      <c r="K439" s="8"/>
      <c r="L439" s="9"/>
      <c r="M439" s="8"/>
      <c r="N439" s="8"/>
      <c r="O439" s="9"/>
      <c r="P439" s="9"/>
      <c r="Q439" s="9"/>
      <c r="R439" s="9"/>
      <c r="S439" s="9"/>
      <c r="T439" s="9"/>
      <c r="U439" s="9"/>
      <c r="V439" s="9"/>
      <c r="W439" s="9"/>
      <c r="X439" s="11"/>
      <c r="Y439" s="8"/>
      <c r="Z439" s="9"/>
      <c r="AA439" s="8"/>
      <c r="AB439" s="9"/>
      <c r="AC439" s="8"/>
      <c r="AD439" s="8"/>
      <c r="AE439" s="9"/>
    </row>
    <row r="440" spans="1:31" x14ac:dyDescent="0.15">
      <c r="A440" s="8"/>
      <c r="B440" s="8"/>
      <c r="C440" s="8"/>
      <c r="D440" s="8"/>
      <c r="E440" s="9"/>
      <c r="F440" s="8"/>
      <c r="G440" s="10"/>
      <c r="H440" s="11"/>
      <c r="I440" s="8"/>
      <c r="J440" s="9"/>
      <c r="K440" s="8"/>
      <c r="L440" s="9"/>
      <c r="M440" s="8"/>
      <c r="N440" s="8"/>
      <c r="O440" s="9"/>
      <c r="P440" s="9"/>
      <c r="Q440" s="9"/>
      <c r="R440" s="9"/>
      <c r="S440" s="9"/>
      <c r="T440" s="9"/>
      <c r="U440" s="9"/>
      <c r="V440" s="9"/>
      <c r="W440" s="9"/>
      <c r="X440" s="11"/>
      <c r="Y440" s="8"/>
      <c r="Z440" s="9"/>
      <c r="AA440" s="8"/>
      <c r="AB440" s="9"/>
      <c r="AC440" s="8"/>
      <c r="AD440" s="8"/>
      <c r="AE440" s="9"/>
    </row>
    <row r="441" spans="1:31" x14ac:dyDescent="0.15">
      <c r="A441" s="8"/>
      <c r="B441" s="8"/>
      <c r="C441" s="8"/>
      <c r="D441" s="8"/>
      <c r="E441" s="9"/>
      <c r="F441" s="8"/>
      <c r="G441" s="10"/>
      <c r="H441" s="11"/>
      <c r="I441" s="8"/>
      <c r="J441" s="9"/>
      <c r="K441" s="8"/>
      <c r="L441" s="9"/>
      <c r="M441" s="8"/>
      <c r="N441" s="8"/>
      <c r="O441" s="9"/>
      <c r="P441" s="9"/>
      <c r="Q441" s="9"/>
      <c r="R441" s="9"/>
      <c r="S441" s="9"/>
      <c r="T441" s="9"/>
      <c r="U441" s="9"/>
      <c r="V441" s="9"/>
      <c r="W441" s="9"/>
      <c r="X441" s="11"/>
      <c r="Y441" s="8"/>
      <c r="Z441" s="9"/>
      <c r="AA441" s="8"/>
      <c r="AB441" s="9"/>
      <c r="AC441" s="8"/>
      <c r="AD441" s="8"/>
      <c r="AE441" s="9"/>
    </row>
    <row r="442" spans="1:31" x14ac:dyDescent="0.15">
      <c r="A442" s="8"/>
      <c r="B442" s="8"/>
      <c r="C442" s="8"/>
      <c r="D442" s="8"/>
      <c r="E442" s="9"/>
      <c r="F442" s="8"/>
      <c r="G442" s="10"/>
      <c r="H442" s="11"/>
      <c r="I442" s="8"/>
      <c r="J442" s="9"/>
      <c r="K442" s="8"/>
      <c r="L442" s="9"/>
      <c r="M442" s="8"/>
      <c r="N442" s="8"/>
      <c r="O442" s="9"/>
      <c r="P442" s="9"/>
      <c r="Q442" s="9"/>
      <c r="R442" s="9"/>
      <c r="S442" s="9"/>
      <c r="T442" s="9"/>
      <c r="U442" s="9"/>
      <c r="V442" s="9"/>
      <c r="W442" s="9"/>
      <c r="X442" s="11"/>
      <c r="Y442" s="8"/>
      <c r="Z442" s="9"/>
      <c r="AA442" s="8"/>
      <c r="AB442" s="9"/>
      <c r="AC442" s="8"/>
      <c r="AD442" s="8"/>
      <c r="AE442" s="9"/>
    </row>
    <row r="443" spans="1:31" x14ac:dyDescent="0.15">
      <c r="A443" s="8"/>
      <c r="B443" s="8"/>
      <c r="C443" s="8"/>
      <c r="D443" s="8"/>
      <c r="E443" s="9"/>
      <c r="F443" s="8"/>
      <c r="G443" s="10"/>
      <c r="H443" s="11"/>
      <c r="I443" s="8"/>
      <c r="J443" s="9"/>
      <c r="K443" s="8"/>
      <c r="L443" s="9"/>
      <c r="M443" s="8"/>
      <c r="N443" s="8"/>
      <c r="O443" s="9"/>
      <c r="P443" s="9"/>
      <c r="Q443" s="9"/>
      <c r="R443" s="9"/>
      <c r="S443" s="9"/>
      <c r="T443" s="9"/>
      <c r="U443" s="9"/>
      <c r="V443" s="9"/>
      <c r="W443" s="9"/>
      <c r="X443" s="11"/>
      <c r="Y443" s="8"/>
      <c r="Z443" s="9"/>
      <c r="AA443" s="8"/>
      <c r="AB443" s="9"/>
      <c r="AC443" s="8"/>
      <c r="AD443" s="8"/>
      <c r="AE443" s="9"/>
    </row>
    <row r="444" spans="1:31" x14ac:dyDescent="0.15">
      <c r="A444" s="8"/>
      <c r="B444" s="8"/>
      <c r="C444" s="8"/>
      <c r="D444" s="8"/>
      <c r="E444" s="9"/>
      <c r="F444" s="8"/>
      <c r="G444" s="10"/>
      <c r="H444" s="11"/>
      <c r="I444" s="8"/>
      <c r="J444" s="9"/>
      <c r="K444" s="8"/>
      <c r="L444" s="9"/>
      <c r="M444" s="8"/>
      <c r="N444" s="8"/>
      <c r="O444" s="9"/>
      <c r="P444" s="9"/>
      <c r="Q444" s="9"/>
      <c r="R444" s="9"/>
      <c r="S444" s="9"/>
      <c r="T444" s="9"/>
      <c r="U444" s="9"/>
      <c r="V444" s="9"/>
      <c r="W444" s="9"/>
      <c r="X444" s="11"/>
      <c r="Y444" s="8"/>
      <c r="Z444" s="9"/>
      <c r="AA444" s="8"/>
      <c r="AB444" s="9"/>
      <c r="AC444" s="8"/>
      <c r="AD444" s="8"/>
      <c r="AE444" s="9"/>
    </row>
    <row r="445" spans="1:31" x14ac:dyDescent="0.15">
      <c r="A445" s="8"/>
      <c r="B445" s="8"/>
      <c r="C445" s="8"/>
      <c r="D445" s="8"/>
      <c r="E445" s="9"/>
      <c r="F445" s="8"/>
      <c r="G445" s="10"/>
      <c r="H445" s="11"/>
      <c r="I445" s="8"/>
      <c r="J445" s="9"/>
      <c r="K445" s="8"/>
      <c r="L445" s="9"/>
      <c r="M445" s="8"/>
      <c r="N445" s="8"/>
      <c r="O445" s="9"/>
      <c r="P445" s="9"/>
      <c r="Q445" s="9"/>
      <c r="R445" s="9"/>
      <c r="S445" s="9"/>
      <c r="T445" s="9"/>
      <c r="U445" s="9"/>
      <c r="V445" s="9"/>
      <c r="W445" s="9"/>
      <c r="X445" s="11"/>
      <c r="Y445" s="8"/>
      <c r="Z445" s="9"/>
      <c r="AA445" s="8"/>
      <c r="AB445" s="9"/>
      <c r="AC445" s="8"/>
      <c r="AD445" s="8"/>
      <c r="AE445" s="9"/>
    </row>
    <row r="446" spans="1:31" x14ac:dyDescent="0.15">
      <c r="A446" s="8"/>
      <c r="B446" s="8"/>
      <c r="C446" s="8"/>
      <c r="D446" s="8"/>
      <c r="E446" s="9"/>
      <c r="F446" s="8"/>
      <c r="G446" s="10"/>
      <c r="H446" s="11"/>
      <c r="I446" s="8"/>
      <c r="J446" s="9"/>
      <c r="K446" s="8"/>
      <c r="L446" s="9"/>
      <c r="M446" s="8"/>
      <c r="N446" s="8"/>
      <c r="O446" s="9"/>
      <c r="P446" s="9"/>
      <c r="Q446" s="9"/>
      <c r="R446" s="9"/>
      <c r="S446" s="9"/>
      <c r="T446" s="9"/>
      <c r="U446" s="9"/>
      <c r="V446" s="9"/>
      <c r="W446" s="9"/>
      <c r="X446" s="11"/>
      <c r="Y446" s="8"/>
      <c r="Z446" s="9"/>
      <c r="AA446" s="8"/>
      <c r="AB446" s="9"/>
      <c r="AC446" s="8"/>
      <c r="AD446" s="8"/>
      <c r="AE446" s="9"/>
    </row>
    <row r="447" spans="1:31" x14ac:dyDescent="0.15">
      <c r="A447" s="8"/>
      <c r="B447" s="8"/>
      <c r="C447" s="8"/>
      <c r="D447" s="8"/>
      <c r="E447" s="9"/>
      <c r="F447" s="8"/>
      <c r="G447" s="10"/>
      <c r="H447" s="11"/>
      <c r="I447" s="8"/>
      <c r="J447" s="9"/>
      <c r="K447" s="8"/>
      <c r="L447" s="9"/>
      <c r="M447" s="8"/>
      <c r="N447" s="8"/>
      <c r="O447" s="9"/>
      <c r="P447" s="9"/>
      <c r="Q447" s="9"/>
      <c r="R447" s="9"/>
      <c r="S447" s="9"/>
      <c r="T447" s="9"/>
      <c r="U447" s="9"/>
      <c r="V447" s="9"/>
      <c r="W447" s="9"/>
      <c r="X447" s="11"/>
      <c r="Y447" s="8"/>
      <c r="Z447" s="9"/>
      <c r="AA447" s="8"/>
      <c r="AB447" s="9"/>
      <c r="AC447" s="8"/>
      <c r="AD447" s="8"/>
      <c r="AE447" s="9"/>
    </row>
    <row r="448" spans="1:31" x14ac:dyDescent="0.15">
      <c r="A448" s="8"/>
      <c r="B448" s="8"/>
      <c r="C448" s="8"/>
      <c r="D448" s="8"/>
      <c r="E448" s="9"/>
      <c r="F448" s="8"/>
      <c r="G448" s="10"/>
      <c r="H448" s="11"/>
      <c r="I448" s="8"/>
      <c r="J448" s="9"/>
      <c r="K448" s="8"/>
      <c r="L448" s="9"/>
      <c r="M448" s="8"/>
      <c r="N448" s="8"/>
      <c r="O448" s="9"/>
      <c r="P448" s="9"/>
      <c r="Q448" s="9"/>
      <c r="R448" s="9"/>
      <c r="S448" s="9"/>
      <c r="T448" s="9"/>
      <c r="U448" s="9"/>
      <c r="V448" s="9"/>
      <c r="W448" s="9"/>
      <c r="X448" s="11"/>
      <c r="Y448" s="8"/>
      <c r="Z448" s="9"/>
      <c r="AA448" s="8"/>
      <c r="AB448" s="9"/>
      <c r="AC448" s="8"/>
      <c r="AD448" s="8"/>
      <c r="AE448" s="9"/>
    </row>
    <row r="449" spans="1:31" x14ac:dyDescent="0.15">
      <c r="A449" s="8"/>
      <c r="B449" s="8"/>
      <c r="C449" s="8"/>
      <c r="D449" s="8"/>
      <c r="E449" s="9"/>
      <c r="F449" s="8"/>
      <c r="G449" s="10"/>
      <c r="H449" s="11"/>
      <c r="I449" s="8"/>
      <c r="J449" s="9"/>
      <c r="K449" s="8"/>
      <c r="L449" s="9"/>
      <c r="M449" s="8"/>
      <c r="N449" s="8"/>
      <c r="O449" s="9"/>
      <c r="P449" s="9"/>
      <c r="Q449" s="9"/>
      <c r="R449" s="9"/>
      <c r="S449" s="9"/>
      <c r="T449" s="9"/>
      <c r="U449" s="9"/>
      <c r="V449" s="9"/>
      <c r="W449" s="9"/>
      <c r="X449" s="11"/>
      <c r="Y449" s="8"/>
      <c r="Z449" s="9"/>
      <c r="AA449" s="8"/>
      <c r="AB449" s="9"/>
      <c r="AC449" s="8"/>
      <c r="AD449" s="8"/>
      <c r="AE449" s="9"/>
    </row>
    <row r="450" spans="1:31" x14ac:dyDescent="0.15">
      <c r="A450" s="8"/>
      <c r="B450" s="8"/>
      <c r="C450" s="8"/>
      <c r="D450" s="8"/>
      <c r="E450" s="9"/>
      <c r="F450" s="8"/>
      <c r="G450" s="10"/>
      <c r="H450" s="11"/>
      <c r="I450" s="8"/>
      <c r="J450" s="9"/>
      <c r="K450" s="8"/>
      <c r="L450" s="9"/>
      <c r="M450" s="8"/>
      <c r="N450" s="8"/>
      <c r="O450" s="9"/>
      <c r="P450" s="9"/>
      <c r="Q450" s="9"/>
      <c r="R450" s="9"/>
      <c r="S450" s="9"/>
      <c r="T450" s="9"/>
      <c r="U450" s="9"/>
      <c r="V450" s="9"/>
      <c r="W450" s="9"/>
      <c r="X450" s="11"/>
      <c r="Y450" s="8"/>
      <c r="Z450" s="9"/>
      <c r="AA450" s="8"/>
      <c r="AB450" s="9"/>
      <c r="AC450" s="8"/>
      <c r="AD450" s="8"/>
      <c r="AE450" s="9"/>
    </row>
    <row r="451" spans="1:31" x14ac:dyDescent="0.15">
      <c r="A451" s="8"/>
      <c r="B451" s="8"/>
      <c r="C451" s="8"/>
      <c r="D451" s="8"/>
      <c r="E451" s="9"/>
      <c r="F451" s="8"/>
      <c r="G451" s="10"/>
      <c r="H451" s="11"/>
      <c r="I451" s="8"/>
      <c r="J451" s="9"/>
      <c r="K451" s="8"/>
      <c r="L451" s="9"/>
      <c r="M451" s="8"/>
      <c r="N451" s="8"/>
      <c r="O451" s="9"/>
      <c r="P451" s="9"/>
      <c r="Q451" s="9"/>
      <c r="R451" s="9"/>
      <c r="S451" s="9"/>
      <c r="T451" s="9"/>
      <c r="U451" s="9"/>
      <c r="V451" s="9"/>
      <c r="W451" s="9"/>
      <c r="X451" s="11"/>
      <c r="Y451" s="8"/>
      <c r="Z451" s="9"/>
      <c r="AA451" s="8"/>
      <c r="AB451" s="9"/>
      <c r="AC451" s="8"/>
      <c r="AD451" s="8"/>
      <c r="AE451" s="9"/>
    </row>
    <row r="452" spans="1:31" x14ac:dyDescent="0.15">
      <c r="A452" s="8"/>
      <c r="B452" s="8"/>
      <c r="C452" s="8"/>
      <c r="D452" s="8"/>
      <c r="E452" s="9"/>
      <c r="F452" s="8"/>
      <c r="G452" s="10"/>
      <c r="H452" s="11"/>
      <c r="I452" s="8"/>
      <c r="J452" s="9"/>
      <c r="K452" s="8"/>
      <c r="L452" s="9"/>
      <c r="M452" s="8"/>
      <c r="N452" s="8"/>
      <c r="O452" s="9"/>
      <c r="P452" s="9"/>
      <c r="Q452" s="9"/>
      <c r="R452" s="9"/>
      <c r="S452" s="9"/>
      <c r="T452" s="9"/>
      <c r="U452" s="9"/>
      <c r="V452" s="9"/>
      <c r="W452" s="9"/>
      <c r="X452" s="11"/>
      <c r="Y452" s="8"/>
      <c r="Z452" s="9"/>
      <c r="AA452" s="8"/>
      <c r="AB452" s="9"/>
      <c r="AC452" s="8"/>
      <c r="AD452" s="8"/>
      <c r="AE452" s="9"/>
    </row>
    <row r="453" spans="1:31" x14ac:dyDescent="0.15">
      <c r="A453" s="8"/>
      <c r="B453" s="8"/>
      <c r="C453" s="8"/>
      <c r="D453" s="8"/>
      <c r="E453" s="9"/>
      <c r="F453" s="8"/>
      <c r="G453" s="10"/>
      <c r="H453" s="11"/>
      <c r="I453" s="8"/>
      <c r="J453" s="9"/>
      <c r="K453" s="8"/>
      <c r="L453" s="9"/>
      <c r="M453" s="8"/>
      <c r="N453" s="8"/>
      <c r="O453" s="9"/>
      <c r="P453" s="9"/>
      <c r="Q453" s="9"/>
      <c r="R453" s="9"/>
      <c r="S453" s="9"/>
      <c r="T453" s="9"/>
      <c r="U453" s="9"/>
      <c r="V453" s="9"/>
      <c r="W453" s="9"/>
      <c r="X453" s="11"/>
      <c r="Y453" s="8"/>
      <c r="Z453" s="9"/>
      <c r="AA453" s="8"/>
      <c r="AB453" s="9"/>
      <c r="AC453" s="8"/>
      <c r="AD453" s="8"/>
      <c r="AE453" s="9"/>
    </row>
    <row r="454" spans="1:31" x14ac:dyDescent="0.15">
      <c r="A454" s="8"/>
      <c r="B454" s="8"/>
      <c r="C454" s="8"/>
      <c r="D454" s="8"/>
      <c r="E454" s="9"/>
      <c r="F454" s="8"/>
      <c r="G454" s="10"/>
      <c r="H454" s="11"/>
      <c r="I454" s="8"/>
      <c r="J454" s="9"/>
      <c r="K454" s="8"/>
      <c r="L454" s="9"/>
      <c r="M454" s="8"/>
      <c r="N454" s="8"/>
      <c r="O454" s="9"/>
      <c r="P454" s="9"/>
      <c r="Q454" s="9"/>
      <c r="R454" s="9"/>
      <c r="S454" s="9"/>
      <c r="T454" s="9"/>
      <c r="U454" s="9"/>
      <c r="V454" s="9"/>
      <c r="W454" s="9"/>
      <c r="X454" s="11"/>
      <c r="Y454" s="8"/>
      <c r="Z454" s="9"/>
      <c r="AA454" s="8"/>
      <c r="AB454" s="9"/>
      <c r="AC454" s="8"/>
      <c r="AD454" s="8"/>
      <c r="AE454" s="9"/>
    </row>
    <row r="455" spans="1:31" x14ac:dyDescent="0.15">
      <c r="A455" s="8"/>
      <c r="B455" s="8"/>
      <c r="C455" s="8"/>
      <c r="D455" s="8"/>
      <c r="E455" s="9"/>
      <c r="F455" s="8"/>
      <c r="G455" s="10"/>
      <c r="H455" s="11"/>
      <c r="I455" s="8"/>
      <c r="J455" s="9"/>
      <c r="K455" s="8"/>
      <c r="L455" s="9"/>
      <c r="M455" s="8"/>
      <c r="N455" s="8"/>
      <c r="O455" s="9"/>
      <c r="P455" s="9"/>
      <c r="Q455" s="9"/>
      <c r="R455" s="9"/>
      <c r="S455" s="9"/>
      <c r="T455" s="9"/>
      <c r="U455" s="9"/>
      <c r="V455" s="9"/>
      <c r="W455" s="9"/>
      <c r="X455" s="11"/>
      <c r="Y455" s="8"/>
      <c r="Z455" s="9"/>
      <c r="AA455" s="8"/>
      <c r="AB455" s="9"/>
      <c r="AC455" s="8"/>
      <c r="AD455" s="8"/>
      <c r="AE455" s="9"/>
    </row>
    <row r="456" spans="1:31" x14ac:dyDescent="0.15">
      <c r="A456" s="8"/>
      <c r="B456" s="8"/>
      <c r="C456" s="8"/>
      <c r="D456" s="8"/>
      <c r="E456" s="9"/>
      <c r="F456" s="8"/>
      <c r="G456" s="10"/>
      <c r="H456" s="11"/>
      <c r="I456" s="8"/>
      <c r="J456" s="9"/>
      <c r="K456" s="8"/>
      <c r="L456" s="9"/>
      <c r="M456" s="8"/>
      <c r="N456" s="8"/>
      <c r="O456" s="9"/>
      <c r="P456" s="9"/>
      <c r="Q456" s="9"/>
      <c r="R456" s="9"/>
      <c r="S456" s="9"/>
      <c r="T456" s="9"/>
      <c r="U456" s="9"/>
      <c r="V456" s="9"/>
      <c r="W456" s="9"/>
      <c r="X456" s="11"/>
      <c r="Y456" s="8"/>
      <c r="Z456" s="9"/>
      <c r="AA456" s="8"/>
      <c r="AB456" s="9"/>
      <c r="AC456" s="8"/>
      <c r="AD456" s="8"/>
      <c r="AE456" s="9"/>
    </row>
    <row r="457" spans="1:31" x14ac:dyDescent="0.15">
      <c r="A457" s="8"/>
      <c r="B457" s="8"/>
      <c r="C457" s="8"/>
      <c r="D457" s="8"/>
      <c r="E457" s="9"/>
      <c r="F457" s="8"/>
      <c r="G457" s="10"/>
      <c r="H457" s="11"/>
      <c r="I457" s="8"/>
      <c r="J457" s="9"/>
      <c r="K457" s="8"/>
      <c r="L457" s="9"/>
      <c r="M457" s="8"/>
      <c r="N457" s="8"/>
      <c r="O457" s="9"/>
      <c r="P457" s="9"/>
      <c r="Q457" s="9"/>
      <c r="R457" s="9"/>
      <c r="S457" s="9"/>
      <c r="T457" s="9"/>
      <c r="U457" s="9"/>
      <c r="V457" s="9"/>
      <c r="W457" s="9"/>
      <c r="X457" s="11"/>
      <c r="Y457" s="8"/>
      <c r="Z457" s="9"/>
      <c r="AA457" s="8"/>
      <c r="AB457" s="9"/>
      <c r="AC457" s="8"/>
      <c r="AD457" s="8"/>
      <c r="AE457" s="9"/>
    </row>
    <row r="458" spans="1:31" x14ac:dyDescent="0.15">
      <c r="A458" s="8"/>
      <c r="B458" s="8"/>
      <c r="C458" s="8"/>
      <c r="D458" s="8"/>
      <c r="E458" s="9"/>
      <c r="F458" s="8"/>
      <c r="G458" s="10"/>
      <c r="H458" s="11"/>
      <c r="I458" s="8"/>
      <c r="J458" s="9"/>
      <c r="K458" s="8"/>
      <c r="L458" s="9"/>
      <c r="M458" s="8"/>
      <c r="N458" s="8"/>
      <c r="O458" s="9"/>
      <c r="P458" s="9"/>
      <c r="Q458" s="9"/>
      <c r="R458" s="9"/>
      <c r="S458" s="9"/>
      <c r="T458" s="9"/>
      <c r="U458" s="9"/>
      <c r="V458" s="9"/>
      <c r="W458" s="9"/>
      <c r="X458" s="11"/>
      <c r="Y458" s="8"/>
      <c r="Z458" s="9"/>
      <c r="AA458" s="8"/>
      <c r="AB458" s="9"/>
      <c r="AC458" s="8"/>
      <c r="AD458" s="8"/>
      <c r="AE458" s="9"/>
    </row>
    <row r="459" spans="1:31" x14ac:dyDescent="0.15">
      <c r="A459" s="8"/>
      <c r="B459" s="8"/>
      <c r="C459" s="8"/>
      <c r="D459" s="8"/>
      <c r="E459" s="9"/>
      <c r="F459" s="8"/>
      <c r="G459" s="10"/>
      <c r="H459" s="11"/>
      <c r="I459" s="8"/>
      <c r="J459" s="9"/>
      <c r="K459" s="8"/>
      <c r="L459" s="9"/>
      <c r="M459" s="8"/>
      <c r="N459" s="8"/>
      <c r="O459" s="9"/>
      <c r="P459" s="9"/>
      <c r="Q459" s="9"/>
      <c r="R459" s="9"/>
      <c r="S459" s="9"/>
      <c r="T459" s="9"/>
      <c r="U459" s="9"/>
      <c r="V459" s="9"/>
      <c r="W459" s="9"/>
      <c r="X459" s="11"/>
      <c r="Y459" s="8"/>
      <c r="Z459" s="9"/>
      <c r="AA459" s="8"/>
      <c r="AB459" s="9"/>
      <c r="AC459" s="8"/>
      <c r="AD459" s="8"/>
      <c r="AE459" s="9"/>
    </row>
    <row r="460" spans="1:31" x14ac:dyDescent="0.15">
      <c r="A460" s="8"/>
      <c r="B460" s="8"/>
      <c r="C460" s="8"/>
      <c r="D460" s="8"/>
      <c r="E460" s="9"/>
      <c r="F460" s="8"/>
      <c r="G460" s="10"/>
      <c r="H460" s="11"/>
      <c r="I460" s="8"/>
      <c r="J460" s="9"/>
      <c r="K460" s="8"/>
      <c r="L460" s="9"/>
      <c r="M460" s="8"/>
      <c r="N460" s="8"/>
      <c r="O460" s="9"/>
      <c r="P460" s="9"/>
      <c r="Q460" s="9"/>
      <c r="R460" s="9"/>
      <c r="S460" s="9"/>
      <c r="T460" s="9"/>
      <c r="U460" s="9"/>
      <c r="V460" s="9"/>
      <c r="W460" s="9"/>
      <c r="X460" s="11"/>
      <c r="Y460" s="8"/>
      <c r="Z460" s="9"/>
      <c r="AA460" s="8"/>
      <c r="AB460" s="9"/>
      <c r="AC460" s="8"/>
      <c r="AD460" s="8"/>
      <c r="AE460" s="9"/>
    </row>
    <row r="461" spans="1:31" x14ac:dyDescent="0.15">
      <c r="A461" s="8"/>
      <c r="B461" s="8"/>
      <c r="C461" s="8"/>
      <c r="D461" s="8"/>
      <c r="E461" s="9"/>
      <c r="F461" s="8"/>
      <c r="G461" s="10"/>
      <c r="H461" s="11"/>
      <c r="I461" s="8"/>
      <c r="J461" s="9"/>
      <c r="K461" s="8"/>
      <c r="L461" s="9"/>
      <c r="M461" s="8"/>
      <c r="N461" s="8"/>
      <c r="O461" s="9"/>
      <c r="P461" s="9"/>
      <c r="Q461" s="9"/>
      <c r="R461" s="9"/>
      <c r="S461" s="9"/>
      <c r="T461" s="9"/>
      <c r="U461" s="9"/>
      <c r="V461" s="9"/>
      <c r="W461" s="9"/>
      <c r="X461" s="11"/>
      <c r="Y461" s="8"/>
      <c r="Z461" s="9"/>
      <c r="AA461" s="8"/>
      <c r="AB461" s="9"/>
      <c r="AC461" s="8"/>
      <c r="AD461" s="8"/>
      <c r="AE461" s="9"/>
    </row>
    <row r="462" spans="1:31" x14ac:dyDescent="0.15">
      <c r="A462" s="8"/>
      <c r="B462" s="8"/>
      <c r="C462" s="8"/>
      <c r="D462" s="8"/>
      <c r="E462" s="9"/>
      <c r="F462" s="8"/>
      <c r="G462" s="10"/>
      <c r="H462" s="11"/>
      <c r="I462" s="8"/>
      <c r="J462" s="9"/>
      <c r="K462" s="8"/>
      <c r="L462" s="9"/>
      <c r="M462" s="8"/>
      <c r="N462" s="8"/>
      <c r="O462" s="9"/>
      <c r="P462" s="9"/>
      <c r="Q462" s="9"/>
      <c r="R462" s="9"/>
      <c r="S462" s="9"/>
      <c r="T462" s="9"/>
      <c r="U462" s="9"/>
      <c r="V462" s="9"/>
      <c r="W462" s="9"/>
      <c r="X462" s="11"/>
      <c r="Y462" s="8"/>
      <c r="Z462" s="9"/>
      <c r="AA462" s="8"/>
      <c r="AB462" s="9"/>
      <c r="AC462" s="8"/>
      <c r="AD462" s="8"/>
      <c r="AE462" s="9"/>
    </row>
    <row r="463" spans="1:31" x14ac:dyDescent="0.15">
      <c r="A463" s="8"/>
      <c r="B463" s="8"/>
      <c r="C463" s="8"/>
      <c r="D463" s="8"/>
      <c r="E463" s="9"/>
      <c r="F463" s="8"/>
      <c r="G463" s="10"/>
      <c r="H463" s="11"/>
      <c r="I463" s="8"/>
      <c r="J463" s="9"/>
      <c r="K463" s="8"/>
      <c r="L463" s="9"/>
      <c r="M463" s="8"/>
      <c r="N463" s="8"/>
      <c r="O463" s="9"/>
      <c r="P463" s="9"/>
      <c r="Q463" s="9"/>
      <c r="R463" s="9"/>
      <c r="S463" s="9"/>
      <c r="T463" s="9"/>
      <c r="U463" s="9"/>
      <c r="V463" s="9"/>
      <c r="W463" s="9"/>
      <c r="X463" s="11"/>
      <c r="Y463" s="8"/>
      <c r="Z463" s="9"/>
      <c r="AA463" s="8"/>
      <c r="AB463" s="9"/>
      <c r="AC463" s="8"/>
      <c r="AD463" s="8"/>
      <c r="AE463" s="9"/>
    </row>
    <row r="464" spans="1:31" x14ac:dyDescent="0.15">
      <c r="A464" s="8"/>
      <c r="B464" s="8"/>
      <c r="C464" s="8"/>
      <c r="D464" s="8"/>
      <c r="E464" s="9"/>
      <c r="F464" s="8"/>
      <c r="G464" s="10"/>
      <c r="H464" s="11"/>
      <c r="I464" s="8"/>
      <c r="J464" s="9"/>
      <c r="K464" s="8"/>
      <c r="L464" s="9"/>
      <c r="M464" s="8"/>
      <c r="N464" s="8"/>
      <c r="O464" s="9"/>
      <c r="P464" s="9"/>
      <c r="Q464" s="9"/>
      <c r="R464" s="9"/>
      <c r="S464" s="9"/>
      <c r="T464" s="9"/>
      <c r="U464" s="9"/>
      <c r="V464" s="9"/>
      <c r="W464" s="9"/>
      <c r="X464" s="11"/>
      <c r="Y464" s="8"/>
      <c r="Z464" s="9"/>
      <c r="AA464" s="8"/>
      <c r="AB464" s="9"/>
      <c r="AC464" s="8"/>
      <c r="AD464" s="8"/>
      <c r="AE464" s="9"/>
    </row>
    <row r="465" spans="1:31" x14ac:dyDescent="0.15">
      <c r="A465" s="8"/>
      <c r="B465" s="8"/>
      <c r="C465" s="8"/>
      <c r="D465" s="8"/>
      <c r="E465" s="9"/>
      <c r="F465" s="8"/>
      <c r="G465" s="10"/>
      <c r="H465" s="11"/>
      <c r="I465" s="8"/>
      <c r="J465" s="9"/>
      <c r="K465" s="8"/>
      <c r="L465" s="9"/>
      <c r="M465" s="8"/>
      <c r="N465" s="8"/>
      <c r="O465" s="9"/>
      <c r="P465" s="9"/>
      <c r="Q465" s="9"/>
      <c r="R465" s="9"/>
      <c r="S465" s="9"/>
      <c r="T465" s="9"/>
      <c r="U465" s="9"/>
      <c r="V465" s="9"/>
      <c r="W465" s="9"/>
      <c r="X465" s="11"/>
      <c r="Y465" s="8"/>
      <c r="Z465" s="9"/>
      <c r="AA465" s="8"/>
      <c r="AB465" s="9"/>
      <c r="AC465" s="8"/>
      <c r="AD465" s="8"/>
      <c r="AE465" s="9"/>
    </row>
    <row r="466" spans="1:31" x14ac:dyDescent="0.15">
      <c r="A466" s="8"/>
      <c r="B466" s="8"/>
      <c r="C466" s="8"/>
      <c r="D466" s="8"/>
      <c r="E466" s="9"/>
      <c r="F466" s="8"/>
      <c r="G466" s="10"/>
      <c r="H466" s="11"/>
      <c r="I466" s="8"/>
      <c r="J466" s="9"/>
      <c r="K466" s="8"/>
      <c r="L466" s="9"/>
      <c r="M466" s="8"/>
      <c r="N466" s="8"/>
      <c r="O466" s="9"/>
      <c r="P466" s="9"/>
      <c r="Q466" s="9"/>
      <c r="R466" s="9"/>
      <c r="S466" s="9"/>
      <c r="T466" s="9"/>
      <c r="U466" s="9"/>
      <c r="V466" s="9"/>
      <c r="W466" s="9"/>
      <c r="X466" s="11"/>
      <c r="Y466" s="8"/>
      <c r="Z466" s="9"/>
      <c r="AA466" s="8"/>
      <c r="AB466" s="9"/>
      <c r="AC466" s="8"/>
      <c r="AD466" s="8"/>
      <c r="AE466" s="9"/>
    </row>
    <row r="467" spans="1:31" x14ac:dyDescent="0.15">
      <c r="A467" s="8"/>
      <c r="B467" s="8"/>
      <c r="C467" s="8"/>
      <c r="D467" s="8"/>
      <c r="E467" s="9"/>
      <c r="F467" s="8"/>
      <c r="G467" s="10"/>
      <c r="H467" s="11"/>
      <c r="I467" s="8"/>
      <c r="J467" s="9"/>
      <c r="K467" s="8"/>
      <c r="L467" s="9"/>
      <c r="M467" s="8"/>
      <c r="N467" s="8"/>
      <c r="O467" s="9"/>
      <c r="P467" s="9"/>
      <c r="Q467" s="9"/>
      <c r="R467" s="9"/>
      <c r="S467" s="9"/>
      <c r="T467" s="9"/>
      <c r="U467" s="9"/>
      <c r="V467" s="9"/>
      <c r="W467" s="9"/>
      <c r="X467" s="11"/>
      <c r="Y467" s="8"/>
      <c r="Z467" s="9"/>
      <c r="AA467" s="8"/>
      <c r="AB467" s="9"/>
      <c r="AC467" s="8"/>
      <c r="AD467" s="8"/>
      <c r="AE467" s="9"/>
    </row>
    <row r="468" spans="1:31" x14ac:dyDescent="0.15">
      <c r="A468" s="8"/>
      <c r="B468" s="8"/>
      <c r="C468" s="8"/>
      <c r="D468" s="8"/>
      <c r="E468" s="9"/>
      <c r="F468" s="8"/>
      <c r="G468" s="10"/>
      <c r="H468" s="11"/>
      <c r="I468" s="8"/>
      <c r="J468" s="9"/>
      <c r="K468" s="8"/>
      <c r="L468" s="9"/>
      <c r="M468" s="8"/>
      <c r="N468" s="8"/>
      <c r="O468" s="9"/>
      <c r="P468" s="9"/>
      <c r="Q468" s="9"/>
      <c r="R468" s="9"/>
      <c r="S468" s="9"/>
      <c r="T468" s="9"/>
      <c r="U468" s="9"/>
      <c r="V468" s="9"/>
      <c r="W468" s="9"/>
      <c r="X468" s="11"/>
      <c r="Y468" s="8"/>
      <c r="Z468" s="9"/>
      <c r="AA468" s="8"/>
      <c r="AB468" s="9"/>
      <c r="AC468" s="8"/>
      <c r="AD468" s="8"/>
      <c r="AE468" s="9"/>
    </row>
    <row r="469" spans="1:31" x14ac:dyDescent="0.15">
      <c r="A469" s="8"/>
      <c r="B469" s="8"/>
      <c r="C469" s="8"/>
      <c r="D469" s="8"/>
      <c r="E469" s="9"/>
      <c r="F469" s="8"/>
      <c r="G469" s="10"/>
      <c r="H469" s="11"/>
      <c r="I469" s="8"/>
      <c r="J469" s="9"/>
      <c r="K469" s="8"/>
      <c r="L469" s="9"/>
      <c r="M469" s="8"/>
      <c r="N469" s="8"/>
      <c r="O469" s="9"/>
      <c r="P469" s="9"/>
      <c r="Q469" s="9"/>
      <c r="R469" s="9"/>
      <c r="S469" s="9"/>
      <c r="T469" s="9"/>
      <c r="U469" s="9"/>
      <c r="V469" s="9"/>
      <c r="W469" s="9"/>
      <c r="X469" s="11"/>
      <c r="Y469" s="8"/>
      <c r="Z469" s="9"/>
      <c r="AA469" s="8"/>
      <c r="AB469" s="9"/>
      <c r="AC469" s="8"/>
      <c r="AD469" s="8"/>
      <c r="AE469" s="9"/>
    </row>
    <row r="470" spans="1:31" x14ac:dyDescent="0.15">
      <c r="A470" s="8"/>
      <c r="B470" s="8"/>
      <c r="C470" s="8"/>
      <c r="D470" s="8"/>
      <c r="E470" s="9"/>
      <c r="F470" s="8"/>
      <c r="G470" s="10"/>
      <c r="H470" s="11"/>
      <c r="I470" s="8"/>
      <c r="J470" s="9"/>
      <c r="K470" s="8"/>
      <c r="L470" s="9"/>
      <c r="M470" s="8"/>
      <c r="N470" s="8"/>
      <c r="O470" s="9"/>
      <c r="P470" s="9"/>
      <c r="Q470" s="9"/>
      <c r="R470" s="9"/>
      <c r="S470" s="9"/>
      <c r="T470" s="9"/>
      <c r="U470" s="9"/>
      <c r="V470" s="9"/>
      <c r="W470" s="9"/>
      <c r="X470" s="11"/>
      <c r="Y470" s="8"/>
      <c r="Z470" s="9"/>
      <c r="AA470" s="8"/>
      <c r="AB470" s="9"/>
      <c r="AC470" s="8"/>
      <c r="AD470" s="8"/>
      <c r="AE470" s="9"/>
    </row>
    <row r="471" spans="1:31" x14ac:dyDescent="0.15">
      <c r="A471" s="8"/>
      <c r="B471" s="8"/>
      <c r="C471" s="8"/>
      <c r="D471" s="8"/>
      <c r="E471" s="9"/>
      <c r="F471" s="8"/>
      <c r="G471" s="10"/>
      <c r="H471" s="11"/>
      <c r="I471" s="8"/>
      <c r="J471" s="9"/>
      <c r="K471" s="8"/>
      <c r="L471" s="9"/>
      <c r="M471" s="8"/>
      <c r="N471" s="8"/>
      <c r="O471" s="9"/>
      <c r="P471" s="9"/>
      <c r="Q471" s="9"/>
      <c r="R471" s="9"/>
      <c r="S471" s="9"/>
      <c r="T471" s="9"/>
      <c r="U471" s="9"/>
      <c r="V471" s="9"/>
      <c r="W471" s="9"/>
      <c r="X471" s="11"/>
      <c r="Y471" s="8"/>
      <c r="Z471" s="9"/>
      <c r="AA471" s="8"/>
      <c r="AB471" s="9"/>
      <c r="AC471" s="8"/>
      <c r="AD471" s="8"/>
      <c r="AE471" s="9"/>
    </row>
    <row r="472" spans="1:31" x14ac:dyDescent="0.15">
      <c r="A472" s="8"/>
      <c r="B472" s="8"/>
      <c r="C472" s="8"/>
      <c r="D472" s="8"/>
      <c r="E472" s="9"/>
      <c r="F472" s="8"/>
      <c r="G472" s="10"/>
      <c r="H472" s="11"/>
      <c r="I472" s="8"/>
      <c r="J472" s="9"/>
      <c r="K472" s="8"/>
      <c r="L472" s="9"/>
      <c r="M472" s="8"/>
      <c r="N472" s="8"/>
      <c r="O472" s="9"/>
      <c r="P472" s="9"/>
      <c r="Q472" s="9"/>
      <c r="R472" s="9"/>
      <c r="S472" s="9"/>
      <c r="T472" s="9"/>
      <c r="U472" s="9"/>
      <c r="V472" s="9"/>
      <c r="W472" s="9"/>
      <c r="X472" s="11"/>
      <c r="Y472" s="8"/>
      <c r="Z472" s="9"/>
      <c r="AA472" s="8"/>
      <c r="AB472" s="9"/>
      <c r="AC472" s="8"/>
      <c r="AD472" s="8"/>
      <c r="AE472" s="9"/>
    </row>
    <row r="473" spans="1:31" x14ac:dyDescent="0.15">
      <c r="A473" s="8"/>
      <c r="B473" s="8"/>
      <c r="C473" s="8"/>
      <c r="D473" s="8"/>
      <c r="E473" s="9"/>
      <c r="F473" s="8"/>
      <c r="G473" s="10"/>
      <c r="H473" s="11"/>
      <c r="I473" s="8"/>
      <c r="J473" s="9"/>
      <c r="K473" s="8"/>
      <c r="L473" s="9"/>
      <c r="M473" s="8"/>
      <c r="N473" s="8"/>
      <c r="O473" s="9"/>
      <c r="P473" s="9"/>
      <c r="Q473" s="9"/>
      <c r="R473" s="9"/>
      <c r="S473" s="9"/>
      <c r="T473" s="9"/>
      <c r="U473" s="9"/>
      <c r="V473" s="9"/>
      <c r="W473" s="9"/>
      <c r="X473" s="11"/>
      <c r="Y473" s="8"/>
      <c r="Z473" s="9"/>
      <c r="AA473" s="8"/>
      <c r="AB473" s="9"/>
      <c r="AC473" s="8"/>
      <c r="AD473" s="8"/>
      <c r="AE473" s="9"/>
    </row>
    <row r="474" spans="1:31" x14ac:dyDescent="0.15">
      <c r="A474" s="8"/>
      <c r="B474" s="8"/>
      <c r="C474" s="8"/>
      <c r="D474" s="8"/>
      <c r="E474" s="9"/>
      <c r="F474" s="8"/>
      <c r="G474" s="10"/>
      <c r="H474" s="11"/>
      <c r="I474" s="8"/>
      <c r="J474" s="9"/>
      <c r="K474" s="8"/>
      <c r="L474" s="9"/>
      <c r="M474" s="8"/>
      <c r="N474" s="8"/>
      <c r="O474" s="9"/>
      <c r="P474" s="9"/>
      <c r="Q474" s="9"/>
      <c r="R474" s="9"/>
      <c r="S474" s="9"/>
      <c r="T474" s="9"/>
      <c r="U474" s="9"/>
      <c r="V474" s="9"/>
      <c r="W474" s="9"/>
      <c r="X474" s="11"/>
      <c r="Y474" s="8"/>
      <c r="Z474" s="9"/>
      <c r="AA474" s="8"/>
      <c r="AB474" s="9"/>
      <c r="AC474" s="8"/>
      <c r="AD474" s="8"/>
      <c r="AE474" s="9"/>
    </row>
    <row r="475" spans="1:31" x14ac:dyDescent="0.15">
      <c r="A475" s="8"/>
      <c r="B475" s="8"/>
      <c r="C475" s="8"/>
      <c r="D475" s="8"/>
      <c r="E475" s="9"/>
      <c r="F475" s="8"/>
      <c r="G475" s="10"/>
      <c r="H475" s="11"/>
      <c r="I475" s="8"/>
      <c r="J475" s="9"/>
      <c r="K475" s="8"/>
      <c r="L475" s="9"/>
      <c r="M475" s="8"/>
      <c r="N475" s="8"/>
      <c r="O475" s="9"/>
      <c r="P475" s="9"/>
      <c r="Q475" s="9"/>
      <c r="R475" s="9"/>
      <c r="S475" s="9"/>
      <c r="T475" s="9"/>
      <c r="U475" s="9"/>
      <c r="V475" s="9"/>
      <c r="W475" s="9"/>
      <c r="X475" s="11"/>
      <c r="Y475" s="8"/>
      <c r="Z475" s="9"/>
      <c r="AA475" s="8"/>
      <c r="AB475" s="9"/>
      <c r="AC475" s="8"/>
      <c r="AD475" s="8"/>
      <c r="AE475" s="9"/>
    </row>
    <row r="476" spans="1:31" x14ac:dyDescent="0.15">
      <c r="A476" s="8"/>
      <c r="B476" s="8"/>
      <c r="C476" s="8"/>
      <c r="D476" s="8"/>
      <c r="E476" s="9"/>
      <c r="F476" s="8"/>
      <c r="G476" s="10"/>
      <c r="H476" s="11"/>
      <c r="I476" s="8"/>
      <c r="J476" s="9"/>
      <c r="K476" s="8"/>
      <c r="L476" s="9"/>
      <c r="M476" s="8"/>
      <c r="N476" s="8"/>
      <c r="O476" s="9"/>
      <c r="P476" s="9"/>
      <c r="Q476" s="9"/>
      <c r="R476" s="9"/>
      <c r="S476" s="9"/>
      <c r="T476" s="9"/>
      <c r="U476" s="9"/>
      <c r="V476" s="9"/>
      <c r="W476" s="9"/>
      <c r="X476" s="11"/>
      <c r="Y476" s="8"/>
      <c r="Z476" s="9"/>
      <c r="AA476" s="8"/>
      <c r="AB476" s="9"/>
      <c r="AC476" s="8"/>
      <c r="AD476" s="8"/>
      <c r="AE476" s="9"/>
    </row>
    <row r="477" spans="1:31" x14ac:dyDescent="0.15">
      <c r="A477" s="8"/>
      <c r="B477" s="8"/>
      <c r="C477" s="8"/>
      <c r="D477" s="8"/>
      <c r="E477" s="9"/>
      <c r="F477" s="8"/>
      <c r="G477" s="10"/>
      <c r="H477" s="11"/>
      <c r="I477" s="8"/>
      <c r="J477" s="9"/>
      <c r="K477" s="8"/>
      <c r="L477" s="9"/>
      <c r="M477" s="8"/>
      <c r="N477" s="8"/>
      <c r="O477" s="9"/>
      <c r="P477" s="9"/>
      <c r="Q477" s="9"/>
      <c r="R477" s="9"/>
      <c r="S477" s="9"/>
      <c r="T477" s="9"/>
      <c r="U477" s="9"/>
      <c r="V477" s="9"/>
      <c r="W477" s="9"/>
      <c r="X477" s="11"/>
      <c r="Y477" s="8"/>
      <c r="Z477" s="9"/>
      <c r="AA477" s="8"/>
      <c r="AB477" s="9"/>
      <c r="AC477" s="8"/>
      <c r="AD477" s="8"/>
      <c r="AE477" s="9"/>
    </row>
    <row r="478" spans="1:31" x14ac:dyDescent="0.15">
      <c r="A478" s="8"/>
      <c r="B478" s="8"/>
      <c r="C478" s="8"/>
      <c r="D478" s="8"/>
      <c r="E478" s="9"/>
      <c r="F478" s="8"/>
      <c r="G478" s="10"/>
      <c r="H478" s="11"/>
      <c r="I478" s="8"/>
      <c r="J478" s="9"/>
      <c r="K478" s="8"/>
      <c r="L478" s="9"/>
      <c r="M478" s="8"/>
      <c r="N478" s="8"/>
      <c r="O478" s="9"/>
      <c r="P478" s="9"/>
      <c r="Q478" s="9"/>
      <c r="R478" s="9"/>
      <c r="S478" s="9"/>
      <c r="T478" s="9"/>
      <c r="U478" s="9"/>
      <c r="V478" s="9"/>
      <c r="W478" s="9"/>
      <c r="X478" s="11"/>
      <c r="Y478" s="8"/>
      <c r="Z478" s="9"/>
      <c r="AA478" s="8"/>
      <c r="AB478" s="9"/>
      <c r="AC478" s="8"/>
      <c r="AD478" s="8"/>
      <c r="AE478" s="9"/>
    </row>
    <row r="479" spans="1:31" x14ac:dyDescent="0.15">
      <c r="A479" s="8"/>
      <c r="B479" s="8"/>
      <c r="C479" s="8"/>
      <c r="D479" s="8"/>
      <c r="E479" s="9"/>
      <c r="F479" s="8"/>
      <c r="G479" s="10"/>
      <c r="H479" s="11"/>
      <c r="I479" s="8"/>
      <c r="J479" s="9"/>
      <c r="K479" s="8"/>
      <c r="L479" s="9"/>
      <c r="M479" s="8"/>
      <c r="N479" s="8"/>
      <c r="O479" s="9"/>
      <c r="P479" s="9"/>
      <c r="Q479" s="9"/>
      <c r="R479" s="9"/>
      <c r="S479" s="9"/>
      <c r="T479" s="9"/>
      <c r="U479" s="9"/>
      <c r="V479" s="9"/>
      <c r="W479" s="9"/>
      <c r="X479" s="11"/>
      <c r="Y479" s="8"/>
      <c r="Z479" s="9"/>
      <c r="AA479" s="8"/>
      <c r="AB479" s="9"/>
      <c r="AC479" s="8"/>
      <c r="AD479" s="8"/>
      <c r="AE479" s="9"/>
    </row>
    <row r="480" spans="1:31" x14ac:dyDescent="0.15">
      <c r="A480" s="8"/>
      <c r="B480" s="8"/>
      <c r="C480" s="8"/>
      <c r="D480" s="8"/>
      <c r="E480" s="9"/>
      <c r="F480" s="8"/>
      <c r="G480" s="10"/>
      <c r="H480" s="11"/>
      <c r="I480" s="8"/>
      <c r="J480" s="9"/>
      <c r="K480" s="8"/>
      <c r="L480" s="9"/>
      <c r="M480" s="8"/>
      <c r="N480" s="8"/>
      <c r="O480" s="9"/>
      <c r="P480" s="9"/>
      <c r="Q480" s="9"/>
      <c r="R480" s="9"/>
      <c r="S480" s="9"/>
      <c r="T480" s="9"/>
      <c r="U480" s="9"/>
      <c r="V480" s="9"/>
      <c r="W480" s="9"/>
      <c r="X480" s="11"/>
      <c r="Y480" s="8"/>
      <c r="Z480" s="9"/>
      <c r="AA480" s="8"/>
      <c r="AB480" s="9"/>
      <c r="AC480" s="8"/>
      <c r="AD480" s="8"/>
      <c r="AE480" s="9"/>
    </row>
    <row r="481" spans="1:31" x14ac:dyDescent="0.15">
      <c r="A481" s="8"/>
      <c r="B481" s="8"/>
      <c r="C481" s="8"/>
      <c r="D481" s="8"/>
      <c r="E481" s="9"/>
      <c r="F481" s="8"/>
      <c r="G481" s="10"/>
      <c r="H481" s="11"/>
      <c r="I481" s="8"/>
      <c r="J481" s="9"/>
      <c r="K481" s="8"/>
      <c r="L481" s="9"/>
      <c r="M481" s="8"/>
      <c r="N481" s="8"/>
      <c r="O481" s="9"/>
      <c r="P481" s="9"/>
      <c r="Q481" s="9"/>
      <c r="R481" s="9"/>
      <c r="S481" s="9"/>
      <c r="T481" s="9"/>
      <c r="U481" s="9"/>
      <c r="V481" s="9"/>
      <c r="W481" s="9"/>
      <c r="X481" s="11"/>
      <c r="Y481" s="8"/>
      <c r="Z481" s="9"/>
      <c r="AA481" s="8"/>
      <c r="AB481" s="9"/>
      <c r="AC481" s="8"/>
      <c r="AD481" s="8"/>
      <c r="AE481" s="9"/>
    </row>
    <row r="482" spans="1:31" x14ac:dyDescent="0.15">
      <c r="A482" s="8"/>
      <c r="B482" s="8"/>
      <c r="C482" s="8"/>
      <c r="D482" s="8"/>
      <c r="E482" s="9"/>
      <c r="F482" s="8"/>
      <c r="G482" s="10"/>
      <c r="H482" s="11"/>
      <c r="I482" s="8"/>
      <c r="J482" s="9"/>
      <c r="K482" s="8"/>
      <c r="L482" s="9"/>
      <c r="M482" s="8"/>
      <c r="N482" s="8"/>
      <c r="O482" s="9"/>
      <c r="P482" s="9"/>
      <c r="Q482" s="9"/>
      <c r="R482" s="9"/>
      <c r="S482" s="9"/>
      <c r="T482" s="9"/>
      <c r="U482" s="9"/>
      <c r="V482" s="9"/>
      <c r="W482" s="9"/>
      <c r="X482" s="11"/>
      <c r="Y482" s="8"/>
      <c r="Z482" s="9"/>
      <c r="AA482" s="8"/>
      <c r="AB482" s="9"/>
      <c r="AC482" s="8"/>
      <c r="AD482" s="8"/>
      <c r="AE482" s="9"/>
    </row>
    <row r="483" spans="1:31" x14ac:dyDescent="0.15">
      <c r="A483" s="8"/>
      <c r="B483" s="8"/>
      <c r="C483" s="8"/>
      <c r="D483" s="8"/>
      <c r="E483" s="9"/>
      <c r="F483" s="8"/>
      <c r="G483" s="10"/>
      <c r="H483" s="11"/>
      <c r="I483" s="8"/>
      <c r="J483" s="9"/>
      <c r="K483" s="8"/>
      <c r="L483" s="9"/>
      <c r="M483" s="8"/>
      <c r="N483" s="8"/>
      <c r="O483" s="9"/>
      <c r="P483" s="9"/>
      <c r="Q483" s="9"/>
      <c r="R483" s="9"/>
      <c r="S483" s="9"/>
      <c r="T483" s="9"/>
      <c r="U483" s="9"/>
      <c r="V483" s="9"/>
      <c r="W483" s="9"/>
      <c r="X483" s="11"/>
      <c r="Y483" s="8"/>
      <c r="Z483" s="9"/>
      <c r="AA483" s="8"/>
      <c r="AB483" s="9"/>
      <c r="AC483" s="8"/>
      <c r="AD483" s="8"/>
      <c r="AE483" s="9"/>
    </row>
    <row r="484" spans="1:31" x14ac:dyDescent="0.15">
      <c r="A484" s="8"/>
      <c r="B484" s="8"/>
      <c r="C484" s="8"/>
      <c r="D484" s="8"/>
      <c r="E484" s="9"/>
      <c r="F484" s="8"/>
      <c r="G484" s="10"/>
      <c r="H484" s="11"/>
      <c r="I484" s="8"/>
      <c r="J484" s="9"/>
      <c r="K484" s="8"/>
      <c r="L484" s="9"/>
      <c r="M484" s="8"/>
      <c r="N484" s="8"/>
      <c r="O484" s="9"/>
      <c r="P484" s="9"/>
      <c r="Q484" s="9"/>
      <c r="R484" s="9"/>
      <c r="S484" s="9"/>
      <c r="T484" s="9"/>
      <c r="U484" s="9"/>
      <c r="V484" s="9"/>
      <c r="W484" s="9"/>
      <c r="X484" s="11"/>
      <c r="Y484" s="8"/>
      <c r="Z484" s="9"/>
      <c r="AA484" s="8"/>
      <c r="AB484" s="9"/>
      <c r="AC484" s="8"/>
      <c r="AD484" s="8"/>
      <c r="AE484" s="9"/>
    </row>
    <row r="485" spans="1:31" x14ac:dyDescent="0.15">
      <c r="A485" s="8"/>
      <c r="B485" s="8"/>
      <c r="C485" s="8"/>
      <c r="D485" s="8"/>
      <c r="E485" s="9"/>
      <c r="F485" s="8"/>
      <c r="G485" s="10"/>
      <c r="H485" s="11"/>
      <c r="I485" s="8"/>
      <c r="J485" s="9"/>
      <c r="K485" s="8"/>
      <c r="L485" s="9"/>
      <c r="M485" s="8"/>
      <c r="N485" s="8"/>
      <c r="O485" s="9"/>
      <c r="P485" s="9"/>
      <c r="Q485" s="9"/>
      <c r="R485" s="9"/>
      <c r="S485" s="9"/>
      <c r="T485" s="9"/>
      <c r="U485" s="9"/>
      <c r="V485" s="9"/>
      <c r="W485" s="9"/>
      <c r="X485" s="11"/>
      <c r="Y485" s="8"/>
      <c r="Z485" s="9"/>
      <c r="AA485" s="8"/>
      <c r="AB485" s="9"/>
      <c r="AC485" s="8"/>
      <c r="AD485" s="8"/>
      <c r="AE485" s="9"/>
    </row>
    <row r="486" spans="1:31" x14ac:dyDescent="0.15">
      <c r="A486" s="8"/>
      <c r="B486" s="8"/>
      <c r="C486" s="8"/>
      <c r="D486" s="8"/>
      <c r="E486" s="9"/>
      <c r="F486" s="8"/>
      <c r="G486" s="10"/>
      <c r="H486" s="11"/>
      <c r="I486" s="8"/>
      <c r="J486" s="9"/>
      <c r="K486" s="8"/>
      <c r="L486" s="9"/>
      <c r="M486" s="8"/>
      <c r="N486" s="8"/>
      <c r="O486" s="9"/>
      <c r="P486" s="9"/>
      <c r="Q486" s="9"/>
      <c r="R486" s="9"/>
      <c r="S486" s="9"/>
      <c r="T486" s="9"/>
      <c r="U486" s="9"/>
      <c r="V486" s="9"/>
      <c r="W486" s="9"/>
      <c r="X486" s="11"/>
      <c r="Y486" s="8"/>
      <c r="Z486" s="9"/>
      <c r="AA486" s="8"/>
      <c r="AB486" s="9"/>
      <c r="AC486" s="8"/>
      <c r="AD486" s="8"/>
      <c r="AE486" s="9"/>
    </row>
    <row r="487" spans="1:31" x14ac:dyDescent="0.15">
      <c r="A487" s="8"/>
      <c r="B487" s="8"/>
      <c r="C487" s="8"/>
      <c r="D487" s="8"/>
      <c r="E487" s="9"/>
      <c r="F487" s="8"/>
      <c r="G487" s="10"/>
      <c r="H487" s="11"/>
      <c r="I487" s="8"/>
      <c r="J487" s="9"/>
      <c r="K487" s="8"/>
      <c r="L487" s="9"/>
      <c r="M487" s="8"/>
      <c r="N487" s="8"/>
      <c r="O487" s="9"/>
      <c r="P487" s="9"/>
      <c r="Q487" s="9"/>
      <c r="R487" s="9"/>
      <c r="S487" s="9"/>
      <c r="T487" s="9"/>
      <c r="U487" s="9"/>
      <c r="V487" s="9"/>
      <c r="W487" s="9"/>
      <c r="X487" s="11"/>
      <c r="Y487" s="8"/>
      <c r="Z487" s="9"/>
      <c r="AA487" s="8"/>
      <c r="AB487" s="9"/>
      <c r="AC487" s="8"/>
      <c r="AD487" s="8"/>
      <c r="AE487" s="9"/>
    </row>
    <row r="488" spans="1:31" x14ac:dyDescent="0.15">
      <c r="A488" s="8"/>
      <c r="B488" s="8"/>
      <c r="C488" s="8"/>
      <c r="D488" s="8"/>
      <c r="E488" s="9"/>
      <c r="F488" s="8"/>
      <c r="G488" s="10"/>
      <c r="H488" s="11"/>
      <c r="I488" s="8"/>
      <c r="J488" s="9"/>
      <c r="K488" s="8"/>
      <c r="L488" s="9"/>
      <c r="M488" s="8"/>
      <c r="N488" s="8"/>
      <c r="O488" s="9"/>
      <c r="P488" s="9"/>
      <c r="Q488" s="9"/>
      <c r="R488" s="9"/>
      <c r="S488" s="9"/>
      <c r="T488" s="9"/>
      <c r="U488" s="9"/>
      <c r="V488" s="9"/>
      <c r="W488" s="9"/>
      <c r="X488" s="11"/>
      <c r="Y488" s="8"/>
      <c r="Z488" s="9"/>
      <c r="AA488" s="8"/>
      <c r="AB488" s="9"/>
      <c r="AC488" s="8"/>
      <c r="AD488" s="8"/>
      <c r="AE488" s="9"/>
    </row>
    <row r="489" spans="1:31" x14ac:dyDescent="0.15">
      <c r="A489" s="8"/>
      <c r="B489" s="8"/>
      <c r="C489" s="8"/>
      <c r="D489" s="8"/>
      <c r="E489" s="9"/>
      <c r="F489" s="8"/>
      <c r="G489" s="10"/>
      <c r="H489" s="11"/>
      <c r="I489" s="8"/>
      <c r="J489" s="9"/>
      <c r="K489" s="8"/>
      <c r="L489" s="9"/>
      <c r="M489" s="8"/>
      <c r="N489" s="8"/>
      <c r="O489" s="9"/>
      <c r="P489" s="9"/>
      <c r="Q489" s="9"/>
      <c r="R489" s="9"/>
      <c r="S489" s="9"/>
      <c r="T489" s="9"/>
      <c r="U489" s="9"/>
      <c r="V489" s="9"/>
      <c r="W489" s="9"/>
      <c r="X489" s="11"/>
      <c r="Y489" s="8"/>
      <c r="Z489" s="9"/>
      <c r="AA489" s="8"/>
      <c r="AB489" s="9"/>
      <c r="AC489" s="8"/>
      <c r="AD489" s="8"/>
      <c r="AE489" s="9"/>
    </row>
    <row r="490" spans="1:31" x14ac:dyDescent="0.15">
      <c r="A490" s="8"/>
      <c r="B490" s="8"/>
      <c r="C490" s="8"/>
      <c r="D490" s="8"/>
      <c r="E490" s="9"/>
      <c r="F490" s="8"/>
      <c r="G490" s="10"/>
      <c r="H490" s="11"/>
      <c r="I490" s="8"/>
      <c r="J490" s="9"/>
      <c r="K490" s="8"/>
      <c r="L490" s="9"/>
      <c r="M490" s="8"/>
      <c r="N490" s="8"/>
      <c r="O490" s="9"/>
      <c r="P490" s="9"/>
      <c r="Q490" s="9"/>
      <c r="R490" s="9"/>
      <c r="S490" s="9"/>
      <c r="T490" s="9"/>
      <c r="U490" s="9"/>
      <c r="V490" s="9"/>
      <c r="W490" s="9"/>
      <c r="X490" s="11"/>
      <c r="Y490" s="8"/>
      <c r="Z490" s="9"/>
      <c r="AA490" s="8"/>
      <c r="AB490" s="9"/>
      <c r="AC490" s="8"/>
      <c r="AD490" s="8"/>
      <c r="AE490" s="9"/>
    </row>
    <row r="491" spans="1:31" x14ac:dyDescent="0.15">
      <c r="A491" s="8"/>
      <c r="B491" s="8"/>
      <c r="C491" s="8"/>
      <c r="D491" s="8"/>
      <c r="E491" s="9"/>
      <c r="F491" s="8"/>
      <c r="G491" s="10"/>
      <c r="H491" s="11"/>
      <c r="I491" s="8"/>
      <c r="J491" s="9"/>
      <c r="K491" s="8"/>
      <c r="L491" s="9"/>
      <c r="M491" s="8"/>
      <c r="N491" s="8"/>
      <c r="O491" s="9"/>
      <c r="P491" s="9"/>
      <c r="Q491" s="9"/>
      <c r="R491" s="9"/>
      <c r="S491" s="9"/>
      <c r="T491" s="9"/>
      <c r="U491" s="9"/>
      <c r="V491" s="9"/>
      <c r="W491" s="9"/>
      <c r="X491" s="11"/>
      <c r="Y491" s="8"/>
      <c r="Z491" s="9"/>
      <c r="AA491" s="8"/>
      <c r="AB491" s="9"/>
      <c r="AC491" s="8"/>
      <c r="AD491" s="8"/>
      <c r="AE491" s="9"/>
    </row>
    <row r="492" spans="1:31" x14ac:dyDescent="0.15">
      <c r="A492" s="8"/>
      <c r="B492" s="8"/>
      <c r="C492" s="8"/>
      <c r="D492" s="8"/>
      <c r="E492" s="9"/>
      <c r="F492" s="8"/>
      <c r="G492" s="10"/>
      <c r="H492" s="11"/>
      <c r="I492" s="8"/>
      <c r="J492" s="9"/>
      <c r="K492" s="8"/>
      <c r="L492" s="9"/>
      <c r="M492" s="8"/>
      <c r="N492" s="8"/>
      <c r="O492" s="9"/>
      <c r="P492" s="9"/>
      <c r="Q492" s="9"/>
      <c r="R492" s="9"/>
      <c r="S492" s="9"/>
      <c r="T492" s="9"/>
      <c r="U492" s="9"/>
      <c r="V492" s="9"/>
      <c r="W492" s="9"/>
      <c r="X492" s="11"/>
      <c r="Y492" s="8"/>
      <c r="Z492" s="9"/>
      <c r="AA492" s="8"/>
      <c r="AB492" s="9"/>
      <c r="AC492" s="8"/>
      <c r="AD492" s="8"/>
      <c r="AE492" s="9"/>
    </row>
    <row r="493" spans="1:31" x14ac:dyDescent="0.15">
      <c r="A493" s="8"/>
      <c r="B493" s="8"/>
      <c r="C493" s="8"/>
      <c r="D493" s="8"/>
      <c r="E493" s="9"/>
      <c r="F493" s="8"/>
      <c r="G493" s="10"/>
      <c r="H493" s="11"/>
      <c r="I493" s="8"/>
      <c r="J493" s="9"/>
      <c r="K493" s="8"/>
      <c r="L493" s="9"/>
      <c r="M493" s="8"/>
      <c r="N493" s="8"/>
      <c r="O493" s="9"/>
      <c r="P493" s="9"/>
      <c r="Q493" s="9"/>
      <c r="R493" s="9"/>
      <c r="S493" s="9"/>
      <c r="T493" s="9"/>
      <c r="U493" s="9"/>
      <c r="V493" s="9"/>
      <c r="W493" s="9"/>
      <c r="X493" s="11"/>
      <c r="Y493" s="8"/>
      <c r="Z493" s="9"/>
      <c r="AA493" s="8"/>
      <c r="AB493" s="9"/>
      <c r="AC493" s="8"/>
      <c r="AD493" s="8"/>
      <c r="AE493" s="9"/>
    </row>
    <row r="494" spans="1:31" x14ac:dyDescent="0.15">
      <c r="A494" s="8"/>
      <c r="B494" s="8"/>
      <c r="C494" s="8"/>
      <c r="D494" s="8"/>
      <c r="E494" s="9"/>
      <c r="F494" s="8"/>
      <c r="G494" s="10"/>
      <c r="H494" s="11"/>
      <c r="I494" s="8"/>
      <c r="J494" s="9"/>
      <c r="K494" s="8"/>
      <c r="L494" s="9"/>
      <c r="M494" s="8"/>
      <c r="N494" s="8"/>
      <c r="O494" s="9"/>
      <c r="P494" s="9"/>
      <c r="Q494" s="9"/>
      <c r="R494" s="9"/>
      <c r="S494" s="9"/>
      <c r="T494" s="9"/>
      <c r="U494" s="9"/>
      <c r="V494" s="9"/>
      <c r="W494" s="9"/>
      <c r="X494" s="11"/>
      <c r="Y494" s="8"/>
      <c r="Z494" s="9"/>
      <c r="AA494" s="8"/>
      <c r="AB494" s="9"/>
      <c r="AC494" s="8"/>
      <c r="AD494" s="8"/>
      <c r="AE494" s="9"/>
    </row>
    <row r="495" spans="1:31" x14ac:dyDescent="0.15">
      <c r="A495" s="8"/>
      <c r="B495" s="8"/>
      <c r="C495" s="8"/>
      <c r="D495" s="8"/>
      <c r="E495" s="9"/>
      <c r="F495" s="8"/>
      <c r="G495" s="10"/>
      <c r="H495" s="11"/>
      <c r="I495" s="8"/>
      <c r="J495" s="9"/>
      <c r="K495" s="8"/>
      <c r="L495" s="9"/>
      <c r="M495" s="8"/>
      <c r="N495" s="8"/>
      <c r="O495" s="9"/>
      <c r="P495" s="9"/>
      <c r="Q495" s="9"/>
      <c r="R495" s="9"/>
      <c r="S495" s="9"/>
      <c r="T495" s="9"/>
      <c r="U495" s="9"/>
      <c r="V495" s="9"/>
      <c r="W495" s="9"/>
      <c r="X495" s="11"/>
      <c r="Y495" s="8"/>
      <c r="Z495" s="9"/>
      <c r="AA495" s="8"/>
      <c r="AB495" s="9"/>
      <c r="AC495" s="8"/>
      <c r="AD495" s="8"/>
      <c r="AE495" s="9"/>
    </row>
    <row r="496" spans="1:31" x14ac:dyDescent="0.15">
      <c r="A496" s="8"/>
      <c r="B496" s="8"/>
      <c r="C496" s="8"/>
      <c r="D496" s="8"/>
      <c r="E496" s="9"/>
      <c r="F496" s="8"/>
      <c r="G496" s="10"/>
      <c r="H496" s="11"/>
      <c r="I496" s="8"/>
      <c r="J496" s="9"/>
      <c r="K496" s="8"/>
      <c r="L496" s="9"/>
      <c r="M496" s="8"/>
      <c r="N496" s="8"/>
      <c r="O496" s="9"/>
      <c r="P496" s="9"/>
      <c r="Q496" s="9"/>
      <c r="R496" s="9"/>
      <c r="S496" s="9"/>
      <c r="T496" s="9"/>
      <c r="U496" s="9"/>
      <c r="V496" s="9"/>
      <c r="W496" s="9"/>
      <c r="X496" s="11"/>
      <c r="Y496" s="8"/>
      <c r="Z496" s="9"/>
      <c r="AA496" s="8"/>
      <c r="AB496" s="9"/>
      <c r="AC496" s="8"/>
      <c r="AD496" s="8"/>
      <c r="AE496" s="9"/>
    </row>
    <row r="497" spans="1:31" x14ac:dyDescent="0.15">
      <c r="A497" s="8"/>
      <c r="B497" s="8"/>
      <c r="C497" s="8"/>
      <c r="D497" s="8"/>
      <c r="E497" s="9"/>
      <c r="F497" s="8"/>
      <c r="G497" s="10"/>
      <c r="H497" s="11"/>
      <c r="I497" s="8"/>
      <c r="J497" s="9"/>
      <c r="K497" s="8"/>
      <c r="L497" s="9"/>
      <c r="M497" s="8"/>
      <c r="N497" s="8"/>
      <c r="O497" s="9"/>
      <c r="P497" s="9"/>
      <c r="Q497" s="9"/>
      <c r="R497" s="9"/>
      <c r="S497" s="9"/>
      <c r="T497" s="9"/>
      <c r="U497" s="9"/>
      <c r="V497" s="9"/>
      <c r="W497" s="9"/>
      <c r="X497" s="11"/>
      <c r="Y497" s="8"/>
      <c r="Z497" s="9"/>
      <c r="AA497" s="8"/>
      <c r="AB497" s="9"/>
      <c r="AC497" s="8"/>
      <c r="AD497" s="8"/>
      <c r="AE497" s="9"/>
    </row>
    <row r="498" spans="1:31" x14ac:dyDescent="0.15">
      <c r="A498" s="8"/>
      <c r="B498" s="8"/>
      <c r="C498" s="8"/>
      <c r="D498" s="8"/>
      <c r="E498" s="9"/>
      <c r="F498" s="8"/>
      <c r="G498" s="10"/>
      <c r="H498" s="11"/>
      <c r="I498" s="8"/>
      <c r="J498" s="9"/>
      <c r="K498" s="8"/>
      <c r="L498" s="9"/>
      <c r="M498" s="8"/>
      <c r="N498" s="8"/>
      <c r="O498" s="9"/>
      <c r="P498" s="9"/>
      <c r="Q498" s="9"/>
      <c r="R498" s="9"/>
      <c r="S498" s="9"/>
      <c r="T498" s="9"/>
      <c r="U498" s="9"/>
      <c r="V498" s="9"/>
      <c r="W498" s="9"/>
      <c r="X498" s="11"/>
      <c r="Y498" s="8"/>
      <c r="Z498" s="9"/>
      <c r="AA498" s="8"/>
      <c r="AB498" s="9"/>
      <c r="AC498" s="8"/>
      <c r="AD498" s="8"/>
      <c r="AE498" s="9"/>
    </row>
    <row r="499" spans="1:31" x14ac:dyDescent="0.15">
      <c r="A499" s="8"/>
      <c r="B499" s="8"/>
      <c r="C499" s="8"/>
      <c r="D499" s="8"/>
      <c r="E499" s="9"/>
      <c r="F499" s="8"/>
      <c r="G499" s="10"/>
      <c r="H499" s="11"/>
      <c r="I499" s="8"/>
      <c r="J499" s="9"/>
      <c r="K499" s="8"/>
      <c r="L499" s="9"/>
      <c r="M499" s="8"/>
      <c r="N499" s="8"/>
      <c r="O499" s="9"/>
      <c r="P499" s="9"/>
      <c r="Q499" s="9"/>
      <c r="R499" s="9"/>
      <c r="S499" s="9"/>
      <c r="T499" s="9"/>
      <c r="U499" s="9"/>
      <c r="V499" s="9"/>
      <c r="W499" s="9"/>
      <c r="X499" s="11"/>
      <c r="Y499" s="8"/>
      <c r="Z499" s="9"/>
      <c r="AA499" s="8"/>
      <c r="AB499" s="9"/>
      <c r="AC499" s="8"/>
      <c r="AD499" s="8"/>
      <c r="AE499" s="9"/>
    </row>
    <row r="500" spans="1:31" x14ac:dyDescent="0.15">
      <c r="A500" s="8"/>
      <c r="B500" s="8"/>
      <c r="C500" s="8"/>
      <c r="D500" s="8"/>
      <c r="E500" s="9"/>
      <c r="F500" s="8"/>
      <c r="G500" s="10"/>
      <c r="H500" s="11"/>
      <c r="I500" s="8"/>
      <c r="J500" s="9"/>
      <c r="K500" s="8"/>
      <c r="L500" s="9"/>
      <c r="M500" s="8"/>
      <c r="N500" s="8"/>
      <c r="O500" s="9"/>
      <c r="P500" s="9"/>
      <c r="Q500" s="9"/>
      <c r="R500" s="9"/>
      <c r="S500" s="9"/>
      <c r="T500" s="9"/>
      <c r="U500" s="9"/>
      <c r="V500" s="9"/>
      <c r="W500" s="9"/>
      <c r="X500" s="11"/>
      <c r="Y500" s="8"/>
      <c r="Z500" s="9"/>
      <c r="AA500" s="8"/>
      <c r="AB500" s="9"/>
      <c r="AC500" s="8"/>
      <c r="AD500" s="8"/>
      <c r="AE500" s="9"/>
    </row>
    <row r="501" spans="1:31" x14ac:dyDescent="0.15">
      <c r="A501" s="8"/>
      <c r="B501" s="8"/>
      <c r="C501" s="8"/>
      <c r="D501" s="8"/>
      <c r="E501" s="9"/>
      <c r="F501" s="8"/>
      <c r="G501" s="10"/>
      <c r="H501" s="11"/>
      <c r="I501" s="8"/>
      <c r="J501" s="9"/>
      <c r="K501" s="8"/>
      <c r="L501" s="9"/>
      <c r="M501" s="8"/>
      <c r="N501" s="8"/>
      <c r="O501" s="9"/>
      <c r="P501" s="9"/>
      <c r="Q501" s="9"/>
      <c r="R501" s="9"/>
      <c r="S501" s="9"/>
      <c r="T501" s="9"/>
      <c r="U501" s="9"/>
      <c r="V501" s="9"/>
      <c r="W501" s="9"/>
      <c r="X501" s="11"/>
      <c r="Y501" s="8"/>
      <c r="Z501" s="9"/>
      <c r="AA501" s="8"/>
      <c r="AB501" s="9"/>
      <c r="AC501" s="8"/>
      <c r="AD501" s="8"/>
      <c r="AE501" s="9"/>
    </row>
    <row r="502" spans="1:31" x14ac:dyDescent="0.15">
      <c r="A502" s="8"/>
      <c r="B502" s="8"/>
      <c r="C502" s="8"/>
      <c r="D502" s="8"/>
      <c r="E502" s="9"/>
      <c r="F502" s="8"/>
      <c r="G502" s="10"/>
      <c r="H502" s="11"/>
      <c r="I502" s="8"/>
      <c r="J502" s="9"/>
      <c r="K502" s="8"/>
      <c r="L502" s="9"/>
      <c r="M502" s="8"/>
      <c r="N502" s="8"/>
      <c r="O502" s="9"/>
      <c r="P502" s="9"/>
      <c r="Q502" s="9"/>
      <c r="R502" s="9"/>
      <c r="S502" s="9"/>
      <c r="T502" s="9"/>
      <c r="U502" s="9"/>
      <c r="V502" s="9"/>
      <c r="W502" s="9"/>
      <c r="X502" s="11"/>
      <c r="Y502" s="8"/>
      <c r="Z502" s="9"/>
      <c r="AA502" s="8"/>
      <c r="AB502" s="9"/>
      <c r="AC502" s="8"/>
      <c r="AD502" s="8"/>
      <c r="AE502" s="9"/>
    </row>
    <row r="503" spans="1:31" x14ac:dyDescent="0.15">
      <c r="A503" s="8"/>
      <c r="B503" s="8"/>
      <c r="C503" s="8"/>
      <c r="D503" s="8"/>
      <c r="E503" s="9"/>
      <c r="F503" s="8"/>
      <c r="G503" s="10"/>
      <c r="H503" s="11"/>
      <c r="I503" s="8"/>
      <c r="J503" s="9"/>
      <c r="K503" s="8"/>
      <c r="L503" s="9"/>
      <c r="M503" s="8"/>
      <c r="N503" s="8"/>
      <c r="O503" s="9"/>
      <c r="P503" s="9"/>
      <c r="Q503" s="9"/>
      <c r="R503" s="9"/>
      <c r="S503" s="9"/>
      <c r="T503" s="9"/>
      <c r="U503" s="9"/>
      <c r="V503" s="9"/>
      <c r="W503" s="9"/>
      <c r="X503" s="11"/>
      <c r="Y503" s="8"/>
      <c r="Z503" s="9"/>
      <c r="AA503" s="8"/>
      <c r="AB503" s="9"/>
      <c r="AC503" s="8"/>
      <c r="AD503" s="8"/>
      <c r="AE503" s="9"/>
    </row>
    <row r="504" spans="1:31" x14ac:dyDescent="0.15">
      <c r="A504" s="8"/>
      <c r="B504" s="8"/>
      <c r="C504" s="8"/>
      <c r="D504" s="8"/>
      <c r="E504" s="9"/>
      <c r="F504" s="8"/>
      <c r="G504" s="10"/>
      <c r="H504" s="11"/>
      <c r="I504" s="8"/>
      <c r="J504" s="9"/>
      <c r="K504" s="8"/>
      <c r="L504" s="9"/>
      <c r="M504" s="8"/>
      <c r="N504" s="8"/>
      <c r="O504" s="9"/>
      <c r="P504" s="9"/>
      <c r="Q504" s="9"/>
      <c r="R504" s="9"/>
      <c r="S504" s="9"/>
      <c r="T504" s="9"/>
      <c r="U504" s="9"/>
      <c r="V504" s="9"/>
      <c r="W504" s="9"/>
      <c r="X504" s="11"/>
      <c r="Y504" s="8"/>
      <c r="Z504" s="9"/>
      <c r="AA504" s="8"/>
      <c r="AB504" s="9"/>
      <c r="AC504" s="8"/>
      <c r="AD504" s="8"/>
      <c r="AE504" s="9"/>
    </row>
    <row r="505" spans="1:31" x14ac:dyDescent="0.15">
      <c r="A505" s="8"/>
      <c r="B505" s="8"/>
      <c r="C505" s="8"/>
      <c r="D505" s="8"/>
      <c r="E505" s="9"/>
      <c r="F505" s="8"/>
      <c r="G505" s="10"/>
      <c r="H505" s="11"/>
      <c r="I505" s="8"/>
      <c r="J505" s="9"/>
      <c r="K505" s="8"/>
      <c r="L505" s="9"/>
      <c r="M505" s="8"/>
      <c r="N505" s="8"/>
      <c r="O505" s="9"/>
      <c r="P505" s="9"/>
      <c r="Q505" s="9"/>
      <c r="R505" s="9"/>
      <c r="S505" s="9"/>
      <c r="T505" s="9"/>
      <c r="U505" s="9"/>
      <c r="V505" s="9"/>
      <c r="W505" s="9"/>
      <c r="X505" s="11"/>
      <c r="Y505" s="8"/>
      <c r="Z505" s="9"/>
      <c r="AA505" s="8"/>
      <c r="AB505" s="9"/>
      <c r="AC505" s="8"/>
      <c r="AD505" s="8"/>
      <c r="AE505" s="9"/>
    </row>
    <row r="506" spans="1:31" x14ac:dyDescent="0.15">
      <c r="A506" s="8"/>
      <c r="B506" s="8"/>
      <c r="C506" s="8"/>
      <c r="D506" s="8"/>
      <c r="E506" s="9"/>
      <c r="F506" s="8"/>
      <c r="G506" s="10"/>
      <c r="H506" s="11"/>
      <c r="I506" s="8"/>
      <c r="J506" s="9"/>
      <c r="K506" s="8"/>
      <c r="L506" s="9"/>
      <c r="M506" s="8"/>
      <c r="N506" s="8"/>
      <c r="O506" s="9"/>
      <c r="P506" s="9"/>
      <c r="Q506" s="9"/>
      <c r="R506" s="9"/>
      <c r="S506" s="9"/>
      <c r="T506" s="9"/>
      <c r="U506" s="9"/>
      <c r="V506" s="9"/>
      <c r="W506" s="9"/>
      <c r="X506" s="11"/>
      <c r="Y506" s="8"/>
      <c r="Z506" s="9"/>
      <c r="AA506" s="8"/>
      <c r="AB506" s="9"/>
      <c r="AC506" s="8"/>
      <c r="AD506" s="8"/>
      <c r="AE506" s="9"/>
    </row>
    <row r="507" spans="1:31" x14ac:dyDescent="0.15">
      <c r="A507" s="8"/>
      <c r="B507" s="8"/>
      <c r="C507" s="8"/>
      <c r="D507" s="8"/>
      <c r="E507" s="9"/>
      <c r="F507" s="8"/>
      <c r="G507" s="10"/>
      <c r="H507" s="11"/>
      <c r="I507" s="8"/>
      <c r="J507" s="9"/>
      <c r="K507" s="8"/>
      <c r="L507" s="9"/>
      <c r="M507" s="8"/>
      <c r="N507" s="8"/>
      <c r="O507" s="9"/>
      <c r="P507" s="9"/>
      <c r="Q507" s="9"/>
      <c r="R507" s="9"/>
      <c r="S507" s="9"/>
      <c r="T507" s="9"/>
      <c r="U507" s="9"/>
      <c r="V507" s="9"/>
      <c r="W507" s="9"/>
      <c r="X507" s="11"/>
      <c r="Y507" s="8"/>
      <c r="Z507" s="9"/>
      <c r="AA507" s="8"/>
      <c r="AB507" s="9"/>
      <c r="AC507" s="8"/>
      <c r="AD507" s="8"/>
      <c r="AE507" s="9"/>
    </row>
    <row r="508" spans="1:31" x14ac:dyDescent="0.15">
      <c r="A508" s="8"/>
      <c r="B508" s="8"/>
      <c r="C508" s="8"/>
      <c r="D508" s="8"/>
      <c r="E508" s="9"/>
      <c r="F508" s="8"/>
      <c r="G508" s="10"/>
      <c r="H508" s="11"/>
      <c r="I508" s="8"/>
      <c r="J508" s="9"/>
      <c r="K508" s="8"/>
      <c r="L508" s="9"/>
      <c r="M508" s="8"/>
      <c r="N508" s="8"/>
      <c r="O508" s="9"/>
      <c r="P508" s="9"/>
      <c r="Q508" s="9"/>
      <c r="R508" s="9"/>
      <c r="S508" s="9"/>
      <c r="T508" s="9"/>
      <c r="U508" s="9"/>
      <c r="V508" s="9"/>
      <c r="W508" s="9"/>
      <c r="X508" s="11"/>
      <c r="Y508" s="8"/>
      <c r="Z508" s="9"/>
      <c r="AA508" s="8"/>
      <c r="AB508" s="9"/>
      <c r="AC508" s="8"/>
      <c r="AD508" s="8"/>
      <c r="AE508" s="9"/>
    </row>
    <row r="509" spans="1:31" x14ac:dyDescent="0.15">
      <c r="A509" s="8"/>
      <c r="B509" s="8"/>
      <c r="C509" s="8"/>
      <c r="D509" s="8"/>
      <c r="E509" s="9"/>
      <c r="F509" s="8"/>
      <c r="G509" s="10"/>
      <c r="H509" s="11"/>
      <c r="I509" s="8"/>
      <c r="J509" s="9"/>
      <c r="K509" s="8"/>
      <c r="L509" s="9"/>
      <c r="M509" s="8"/>
      <c r="N509" s="8"/>
      <c r="O509" s="9"/>
      <c r="P509" s="9"/>
      <c r="Q509" s="9"/>
      <c r="R509" s="9"/>
      <c r="S509" s="9"/>
      <c r="T509" s="9"/>
      <c r="U509" s="9"/>
      <c r="V509" s="9"/>
      <c r="W509" s="9"/>
      <c r="X509" s="11"/>
      <c r="Y509" s="8"/>
      <c r="Z509" s="9"/>
      <c r="AA509" s="8"/>
      <c r="AB509" s="9"/>
      <c r="AC509" s="8"/>
      <c r="AD509" s="8"/>
      <c r="AE509" s="9"/>
    </row>
    <row r="510" spans="1:31" x14ac:dyDescent="0.15">
      <c r="A510" s="8"/>
      <c r="B510" s="8"/>
      <c r="C510" s="8"/>
      <c r="D510" s="8"/>
      <c r="E510" s="9"/>
      <c r="F510" s="8"/>
      <c r="G510" s="10"/>
      <c r="H510" s="11"/>
      <c r="I510" s="8"/>
      <c r="J510" s="9"/>
      <c r="K510" s="8"/>
      <c r="L510" s="9"/>
      <c r="M510" s="8"/>
      <c r="N510" s="8"/>
      <c r="O510" s="9"/>
      <c r="P510" s="9"/>
      <c r="Q510" s="9"/>
      <c r="R510" s="9"/>
      <c r="S510" s="9"/>
      <c r="T510" s="9"/>
      <c r="U510" s="9"/>
      <c r="V510" s="9"/>
      <c r="W510" s="9"/>
      <c r="X510" s="11"/>
      <c r="Y510" s="8"/>
      <c r="Z510" s="9"/>
      <c r="AA510" s="8"/>
      <c r="AB510" s="9"/>
      <c r="AC510" s="8"/>
      <c r="AD510" s="8"/>
      <c r="AE510" s="9"/>
    </row>
    <row r="511" spans="1:31" x14ac:dyDescent="0.15">
      <c r="A511" s="8"/>
      <c r="B511" s="8"/>
      <c r="C511" s="8"/>
      <c r="D511" s="8"/>
      <c r="E511" s="9"/>
      <c r="F511" s="8"/>
      <c r="G511" s="10"/>
      <c r="H511" s="11"/>
      <c r="I511" s="8"/>
      <c r="J511" s="9"/>
      <c r="K511" s="8"/>
      <c r="L511" s="9"/>
      <c r="M511" s="8"/>
      <c r="N511" s="8"/>
      <c r="O511" s="9"/>
      <c r="P511" s="9"/>
      <c r="Q511" s="9"/>
      <c r="R511" s="9"/>
      <c r="S511" s="9"/>
      <c r="T511" s="9"/>
      <c r="U511" s="9"/>
      <c r="V511" s="9"/>
      <c r="W511" s="9"/>
      <c r="X511" s="11"/>
      <c r="Y511" s="8"/>
      <c r="Z511" s="9"/>
      <c r="AA511" s="8"/>
      <c r="AB511" s="9"/>
      <c r="AC511" s="8"/>
      <c r="AD511" s="8"/>
      <c r="AE511" s="9"/>
    </row>
    <row r="512" spans="1:31" x14ac:dyDescent="0.15">
      <c r="A512" s="8"/>
      <c r="B512" s="8"/>
      <c r="C512" s="8"/>
      <c r="D512" s="8"/>
      <c r="E512" s="9"/>
      <c r="F512" s="8"/>
      <c r="G512" s="10"/>
      <c r="H512" s="11"/>
      <c r="I512" s="8"/>
      <c r="J512" s="9"/>
      <c r="K512" s="8"/>
      <c r="L512" s="9"/>
      <c r="M512" s="8"/>
      <c r="N512" s="8"/>
      <c r="O512" s="9"/>
      <c r="P512" s="9"/>
      <c r="Q512" s="9"/>
      <c r="R512" s="9"/>
      <c r="S512" s="9"/>
      <c r="T512" s="9"/>
      <c r="U512" s="9"/>
      <c r="V512" s="9"/>
      <c r="W512" s="9"/>
      <c r="X512" s="11"/>
      <c r="Y512" s="8"/>
      <c r="Z512" s="9"/>
      <c r="AA512" s="8"/>
      <c r="AB512" s="9"/>
      <c r="AC512" s="8"/>
      <c r="AD512" s="8"/>
      <c r="AE512" s="9"/>
    </row>
    <row r="513" spans="1:31" x14ac:dyDescent="0.15">
      <c r="A513" s="8"/>
      <c r="B513" s="8"/>
      <c r="C513" s="8"/>
      <c r="D513" s="8"/>
      <c r="E513" s="9"/>
      <c r="F513" s="8"/>
      <c r="G513" s="10"/>
      <c r="H513" s="11"/>
      <c r="I513" s="8"/>
      <c r="J513" s="9"/>
      <c r="K513" s="8"/>
      <c r="L513" s="9"/>
      <c r="M513" s="8"/>
      <c r="N513" s="8"/>
      <c r="O513" s="9"/>
      <c r="P513" s="9"/>
      <c r="Q513" s="9"/>
      <c r="R513" s="9"/>
      <c r="S513" s="9"/>
      <c r="T513" s="9"/>
      <c r="U513" s="9"/>
      <c r="V513" s="9"/>
      <c r="W513" s="9"/>
      <c r="X513" s="11"/>
      <c r="Y513" s="8"/>
      <c r="Z513" s="9"/>
      <c r="AA513" s="8"/>
      <c r="AB513" s="9"/>
      <c r="AC513" s="8"/>
      <c r="AD513" s="8"/>
      <c r="AE513" s="9"/>
    </row>
    <row r="514" spans="1:31" x14ac:dyDescent="0.15">
      <c r="A514" s="8"/>
      <c r="B514" s="8"/>
      <c r="C514" s="8"/>
      <c r="D514" s="8"/>
      <c r="E514" s="9"/>
      <c r="F514" s="8"/>
      <c r="G514" s="10"/>
      <c r="H514" s="11"/>
      <c r="I514" s="8"/>
      <c r="J514" s="9"/>
      <c r="K514" s="8"/>
      <c r="L514" s="9"/>
      <c r="M514" s="8"/>
      <c r="N514" s="8"/>
      <c r="O514" s="9"/>
      <c r="P514" s="9"/>
      <c r="Q514" s="9"/>
      <c r="R514" s="9"/>
      <c r="S514" s="9"/>
      <c r="T514" s="9"/>
      <c r="U514" s="9"/>
      <c r="V514" s="9"/>
      <c r="W514" s="9"/>
      <c r="X514" s="11"/>
      <c r="Y514" s="8"/>
      <c r="Z514" s="9"/>
      <c r="AA514" s="8"/>
      <c r="AB514" s="9"/>
      <c r="AC514" s="8"/>
      <c r="AD514" s="8"/>
      <c r="AE514" s="9"/>
    </row>
    <row r="515" spans="1:31" x14ac:dyDescent="0.15">
      <c r="A515" s="8"/>
      <c r="B515" s="8"/>
      <c r="C515" s="8"/>
      <c r="D515" s="8"/>
      <c r="E515" s="9"/>
      <c r="F515" s="8"/>
      <c r="G515" s="10"/>
      <c r="H515" s="11"/>
      <c r="I515" s="8"/>
      <c r="J515" s="9"/>
      <c r="K515" s="8"/>
      <c r="L515" s="9"/>
      <c r="M515" s="8"/>
      <c r="N515" s="8"/>
      <c r="O515" s="9"/>
      <c r="P515" s="9"/>
      <c r="Q515" s="9"/>
      <c r="R515" s="9"/>
      <c r="S515" s="9"/>
      <c r="T515" s="9"/>
      <c r="U515" s="9"/>
      <c r="V515" s="9"/>
      <c r="W515" s="9"/>
      <c r="X515" s="11"/>
      <c r="Y515" s="8"/>
      <c r="Z515" s="9"/>
      <c r="AA515" s="8"/>
      <c r="AB515" s="9"/>
      <c r="AC515" s="8"/>
      <c r="AD515" s="8"/>
      <c r="AE515" s="9"/>
    </row>
    <row r="516" spans="1:31" x14ac:dyDescent="0.15">
      <c r="A516" s="8"/>
      <c r="B516" s="8"/>
      <c r="C516" s="8"/>
      <c r="D516" s="8"/>
      <c r="E516" s="9"/>
      <c r="F516" s="8"/>
      <c r="G516" s="10"/>
      <c r="H516" s="11"/>
      <c r="I516" s="8"/>
      <c r="J516" s="9"/>
      <c r="K516" s="8"/>
      <c r="L516" s="9"/>
      <c r="M516" s="8"/>
      <c r="N516" s="8"/>
      <c r="O516" s="9"/>
      <c r="P516" s="9"/>
      <c r="Q516" s="9"/>
      <c r="R516" s="9"/>
      <c r="S516" s="9"/>
      <c r="T516" s="9"/>
      <c r="U516" s="9"/>
      <c r="V516" s="9"/>
      <c r="W516" s="9"/>
      <c r="X516" s="11"/>
      <c r="Y516" s="8"/>
      <c r="Z516" s="9"/>
      <c r="AA516" s="8"/>
      <c r="AB516" s="9"/>
      <c r="AC516" s="8"/>
      <c r="AD516" s="8"/>
      <c r="AE516" s="9"/>
    </row>
    <row r="517" spans="1:31" x14ac:dyDescent="0.15">
      <c r="A517" s="8"/>
      <c r="B517" s="8"/>
      <c r="C517" s="8"/>
      <c r="D517" s="8"/>
      <c r="E517" s="9"/>
      <c r="F517" s="8"/>
      <c r="G517" s="10"/>
      <c r="H517" s="11"/>
      <c r="I517" s="8"/>
      <c r="J517" s="9"/>
      <c r="K517" s="8"/>
      <c r="L517" s="9"/>
      <c r="M517" s="8"/>
      <c r="N517" s="8"/>
      <c r="O517" s="9"/>
      <c r="P517" s="9"/>
      <c r="Q517" s="9"/>
      <c r="R517" s="9"/>
      <c r="S517" s="9"/>
      <c r="T517" s="9"/>
      <c r="U517" s="9"/>
      <c r="V517" s="9"/>
      <c r="W517" s="9"/>
      <c r="X517" s="11"/>
      <c r="Y517" s="8"/>
      <c r="Z517" s="9"/>
      <c r="AA517" s="8"/>
      <c r="AB517" s="9"/>
      <c r="AC517" s="8"/>
      <c r="AD517" s="8"/>
      <c r="AE517" s="9"/>
    </row>
    <row r="518" spans="1:31" x14ac:dyDescent="0.15">
      <c r="A518" s="8"/>
      <c r="B518" s="8"/>
      <c r="C518" s="8"/>
      <c r="D518" s="8"/>
      <c r="E518" s="9"/>
      <c r="F518" s="8"/>
      <c r="G518" s="10"/>
      <c r="H518" s="11"/>
      <c r="I518" s="8"/>
      <c r="J518" s="9"/>
      <c r="K518" s="8"/>
      <c r="L518" s="9"/>
      <c r="M518" s="8"/>
      <c r="N518" s="8"/>
      <c r="O518" s="9"/>
      <c r="P518" s="9"/>
      <c r="Q518" s="9"/>
      <c r="R518" s="9"/>
      <c r="S518" s="9"/>
      <c r="T518" s="9"/>
      <c r="U518" s="9"/>
      <c r="V518" s="9"/>
      <c r="W518" s="9"/>
      <c r="X518" s="11"/>
      <c r="Y518" s="8"/>
      <c r="Z518" s="9"/>
      <c r="AA518" s="8"/>
      <c r="AB518" s="9"/>
      <c r="AC518" s="8"/>
      <c r="AD518" s="8"/>
      <c r="AE518" s="9"/>
    </row>
    <row r="519" spans="1:31" x14ac:dyDescent="0.15">
      <c r="A519" s="8"/>
      <c r="B519" s="8"/>
      <c r="C519" s="8"/>
      <c r="D519" s="8"/>
      <c r="E519" s="8"/>
      <c r="F519" s="8"/>
      <c r="G519" s="10"/>
      <c r="H519" s="11"/>
      <c r="I519" s="8"/>
      <c r="J519" s="9"/>
      <c r="K519" s="8"/>
      <c r="L519" s="9"/>
      <c r="M519" s="8"/>
      <c r="N519" s="8"/>
      <c r="O519" s="9"/>
      <c r="P519" s="9"/>
      <c r="Q519" s="9"/>
      <c r="R519" s="9"/>
      <c r="S519" s="9"/>
      <c r="T519" s="9"/>
      <c r="U519" s="9"/>
      <c r="V519" s="9"/>
      <c r="W519" s="9"/>
      <c r="X519" s="11"/>
      <c r="Y519" s="8"/>
      <c r="Z519" s="9"/>
      <c r="AA519" s="8"/>
      <c r="AB519" s="9"/>
      <c r="AC519" s="8"/>
      <c r="AD519" s="8"/>
      <c r="AE519" s="9"/>
    </row>
    <row r="520" spans="1:31" x14ac:dyDescent="0.15">
      <c r="A520" s="8"/>
      <c r="B520" s="8"/>
      <c r="C520" s="8"/>
      <c r="D520" s="8"/>
      <c r="E520" s="8"/>
      <c r="F520" s="8"/>
      <c r="G520" s="10"/>
      <c r="H520" s="11"/>
      <c r="I520" s="8"/>
      <c r="J520" s="9"/>
      <c r="K520" s="8"/>
      <c r="L520" s="9"/>
      <c r="M520" s="8"/>
      <c r="N520" s="8"/>
      <c r="O520" s="9"/>
      <c r="P520" s="9"/>
      <c r="Q520" s="9"/>
      <c r="R520" s="9"/>
      <c r="S520" s="9"/>
      <c r="T520" s="9"/>
      <c r="U520" s="9"/>
      <c r="V520" s="9"/>
      <c r="W520" s="9"/>
      <c r="X520" s="11"/>
      <c r="Y520" s="8"/>
      <c r="Z520" s="9"/>
      <c r="AA520" s="8"/>
      <c r="AB520" s="9"/>
      <c r="AC520" s="8"/>
      <c r="AD520" s="8"/>
      <c r="AE520" s="9"/>
    </row>
    <row r="521" spans="1:31" x14ac:dyDescent="0.15">
      <c r="A521" s="8"/>
      <c r="B521" s="8"/>
      <c r="C521" s="8"/>
      <c r="D521" s="8"/>
      <c r="E521" s="8"/>
      <c r="F521" s="8"/>
      <c r="G521" s="10"/>
      <c r="H521" s="11"/>
      <c r="I521" s="8"/>
      <c r="J521" s="9"/>
      <c r="K521" s="8"/>
      <c r="L521" s="9"/>
      <c r="M521" s="8"/>
      <c r="N521" s="8"/>
      <c r="O521" s="9"/>
      <c r="P521" s="9"/>
      <c r="Q521" s="9"/>
      <c r="R521" s="9"/>
      <c r="S521" s="9"/>
      <c r="T521" s="9"/>
      <c r="U521" s="9"/>
      <c r="V521" s="9"/>
      <c r="W521" s="9"/>
      <c r="X521" s="11"/>
      <c r="Y521" s="8"/>
      <c r="Z521" s="9"/>
      <c r="AA521" s="8"/>
      <c r="AB521" s="9"/>
      <c r="AC521" s="8"/>
      <c r="AD521" s="8"/>
      <c r="AE521" s="9"/>
    </row>
    <row r="522" spans="1:31" x14ac:dyDescent="0.15">
      <c r="A522" s="8"/>
      <c r="B522" s="8"/>
      <c r="C522" s="8"/>
      <c r="D522" s="8"/>
      <c r="E522" s="8"/>
      <c r="F522" s="8"/>
      <c r="G522" s="10"/>
      <c r="H522" s="11"/>
      <c r="I522" s="8"/>
      <c r="J522" s="9"/>
      <c r="K522" s="8"/>
      <c r="L522" s="9"/>
      <c r="M522" s="8"/>
      <c r="N522" s="8"/>
      <c r="O522" s="9"/>
      <c r="P522" s="9"/>
      <c r="Q522" s="9"/>
      <c r="R522" s="9"/>
      <c r="S522" s="9"/>
      <c r="T522" s="9"/>
      <c r="U522" s="9"/>
      <c r="V522" s="9"/>
      <c r="W522" s="9"/>
      <c r="X522" s="11"/>
      <c r="Y522" s="8"/>
      <c r="Z522" s="9"/>
      <c r="AA522" s="8"/>
      <c r="AB522" s="9"/>
      <c r="AC522" s="8"/>
      <c r="AD522" s="8"/>
      <c r="AE522" s="9"/>
    </row>
    <row r="523" spans="1:31" x14ac:dyDescent="0.15">
      <c r="A523" s="8"/>
      <c r="B523" s="8"/>
      <c r="C523" s="8"/>
      <c r="D523" s="8"/>
      <c r="E523" s="8"/>
      <c r="F523" s="8"/>
      <c r="G523" s="10"/>
      <c r="H523" s="11"/>
      <c r="I523" s="8"/>
      <c r="J523" s="9"/>
      <c r="K523" s="8"/>
      <c r="L523" s="9"/>
      <c r="M523" s="8"/>
      <c r="N523" s="8"/>
      <c r="O523" s="9"/>
      <c r="P523" s="9"/>
      <c r="Q523" s="9"/>
      <c r="R523" s="9"/>
      <c r="S523" s="9"/>
      <c r="T523" s="9"/>
      <c r="U523" s="9"/>
      <c r="V523" s="9"/>
      <c r="W523" s="9"/>
      <c r="X523" s="11"/>
      <c r="Y523" s="8"/>
      <c r="Z523" s="9"/>
      <c r="AA523" s="8"/>
      <c r="AB523" s="9"/>
      <c r="AC523" s="8"/>
      <c r="AD523" s="8"/>
      <c r="AE523" s="9"/>
    </row>
    <row r="524" spans="1:31" x14ac:dyDescent="0.15">
      <c r="A524" s="8"/>
      <c r="B524" s="8"/>
      <c r="C524" s="8"/>
      <c r="D524" s="8"/>
      <c r="E524" s="8"/>
      <c r="F524" s="8"/>
      <c r="G524" s="10"/>
      <c r="H524" s="11"/>
      <c r="I524" s="8"/>
      <c r="J524" s="9"/>
      <c r="K524" s="8"/>
      <c r="L524" s="9"/>
      <c r="M524" s="8"/>
      <c r="N524" s="8"/>
      <c r="O524" s="9"/>
      <c r="P524" s="9"/>
      <c r="Q524" s="9"/>
      <c r="R524" s="9"/>
      <c r="S524" s="9"/>
      <c r="T524" s="9"/>
      <c r="U524" s="9"/>
      <c r="V524" s="9"/>
      <c r="W524" s="9"/>
      <c r="X524" s="11"/>
      <c r="Y524" s="8"/>
      <c r="Z524" s="9"/>
      <c r="AA524" s="8"/>
      <c r="AB524" s="9"/>
      <c r="AC524" s="8"/>
      <c r="AD524" s="8"/>
      <c r="AE524" s="9"/>
    </row>
    <row r="525" spans="1:31" x14ac:dyDescent="0.15">
      <c r="A525" s="8"/>
      <c r="B525" s="8"/>
      <c r="C525" s="8"/>
      <c r="D525" s="8"/>
      <c r="E525" s="8"/>
      <c r="F525" s="8"/>
      <c r="G525" s="10"/>
      <c r="H525" s="11"/>
      <c r="I525" s="8"/>
      <c r="J525" s="9"/>
      <c r="K525" s="8"/>
      <c r="L525" s="9"/>
      <c r="M525" s="8"/>
      <c r="N525" s="8"/>
      <c r="O525" s="9"/>
      <c r="P525" s="9"/>
      <c r="Q525" s="9"/>
      <c r="R525" s="9"/>
      <c r="S525" s="9"/>
      <c r="T525" s="9"/>
      <c r="U525" s="9"/>
      <c r="V525" s="9"/>
      <c r="W525" s="9"/>
      <c r="X525" s="11"/>
      <c r="Y525" s="8"/>
      <c r="Z525" s="9"/>
      <c r="AA525" s="8"/>
      <c r="AB525" s="9"/>
      <c r="AC525" s="8"/>
      <c r="AD525" s="8"/>
      <c r="AE525" s="9"/>
    </row>
    <row r="526" spans="1:31" x14ac:dyDescent="0.15">
      <c r="A526" s="8"/>
      <c r="B526" s="8"/>
      <c r="C526" s="8"/>
      <c r="D526" s="8"/>
      <c r="E526" s="8"/>
      <c r="F526" s="8"/>
      <c r="G526" s="10"/>
      <c r="H526" s="11"/>
      <c r="I526" s="8"/>
      <c r="J526" s="9"/>
      <c r="K526" s="8"/>
      <c r="L526" s="9"/>
      <c r="M526" s="8"/>
      <c r="N526" s="8"/>
      <c r="O526" s="9"/>
      <c r="P526" s="9"/>
      <c r="Q526" s="9"/>
      <c r="R526" s="9"/>
      <c r="S526" s="9"/>
      <c r="T526" s="9"/>
      <c r="U526" s="9"/>
      <c r="V526" s="9"/>
      <c r="W526" s="9"/>
      <c r="X526" s="11"/>
      <c r="Y526" s="8"/>
      <c r="Z526" s="9"/>
      <c r="AA526" s="8"/>
      <c r="AB526" s="9"/>
      <c r="AC526" s="8"/>
      <c r="AD526" s="8"/>
      <c r="AE526" s="9"/>
    </row>
    <row r="527" spans="1:31" x14ac:dyDescent="0.15">
      <c r="A527" s="8"/>
      <c r="B527" s="8"/>
      <c r="C527" s="8"/>
      <c r="D527" s="8"/>
      <c r="E527" s="8"/>
      <c r="F527" s="8"/>
      <c r="G527" s="10"/>
      <c r="H527" s="11"/>
      <c r="I527" s="8"/>
      <c r="J527" s="9"/>
      <c r="K527" s="8"/>
      <c r="L527" s="9"/>
      <c r="M527" s="8"/>
      <c r="N527" s="8"/>
      <c r="O527" s="9"/>
      <c r="P527" s="9"/>
      <c r="Q527" s="9"/>
      <c r="R527" s="9"/>
      <c r="S527" s="9"/>
      <c r="T527" s="9"/>
      <c r="U527" s="9"/>
      <c r="V527" s="9"/>
      <c r="W527" s="9"/>
      <c r="X527" s="11"/>
      <c r="Y527" s="8"/>
      <c r="Z527" s="9"/>
      <c r="AA527" s="8"/>
      <c r="AB527" s="9"/>
      <c r="AC527" s="8"/>
      <c r="AD527" s="8"/>
      <c r="AE527" s="9"/>
    </row>
    <row r="528" spans="1:31" x14ac:dyDescent="0.15">
      <c r="A528" s="8"/>
      <c r="B528" s="8"/>
      <c r="C528" s="8"/>
      <c r="D528" s="8"/>
      <c r="E528" s="8"/>
      <c r="F528" s="8"/>
      <c r="G528" s="10"/>
      <c r="H528" s="11"/>
      <c r="I528" s="8"/>
      <c r="J528" s="9"/>
      <c r="K528" s="8"/>
      <c r="L528" s="9"/>
      <c r="M528" s="8"/>
      <c r="N528" s="8"/>
      <c r="O528" s="9"/>
      <c r="P528" s="9"/>
      <c r="Q528" s="9"/>
      <c r="R528" s="9"/>
      <c r="S528" s="9"/>
      <c r="T528" s="9"/>
      <c r="U528" s="9"/>
      <c r="V528" s="9"/>
      <c r="W528" s="9"/>
      <c r="X528" s="11"/>
      <c r="Y528" s="8"/>
      <c r="Z528" s="9"/>
      <c r="AA528" s="8"/>
      <c r="AB528" s="9"/>
      <c r="AC528" s="8"/>
      <c r="AD528" s="8"/>
      <c r="AE528" s="9"/>
    </row>
    <row r="529" spans="1:31" x14ac:dyDescent="0.15">
      <c r="A529" s="8"/>
      <c r="B529" s="8"/>
      <c r="C529" s="8"/>
      <c r="D529" s="8"/>
      <c r="E529" s="8"/>
      <c r="F529" s="8"/>
      <c r="G529" s="10"/>
      <c r="H529" s="11"/>
      <c r="I529" s="8"/>
      <c r="J529" s="9"/>
      <c r="K529" s="8"/>
      <c r="L529" s="9"/>
      <c r="M529" s="8"/>
      <c r="N529" s="8"/>
      <c r="O529" s="9"/>
      <c r="P529" s="9"/>
      <c r="Q529" s="9"/>
      <c r="R529" s="9"/>
      <c r="S529" s="9"/>
      <c r="T529" s="9"/>
      <c r="U529" s="9"/>
      <c r="V529" s="9"/>
      <c r="W529" s="9"/>
      <c r="X529" s="11"/>
      <c r="Y529" s="8"/>
      <c r="Z529" s="9"/>
      <c r="AA529" s="8"/>
      <c r="AB529" s="9"/>
      <c r="AC529" s="8"/>
      <c r="AD529" s="8"/>
      <c r="AE529" s="9"/>
    </row>
    <row r="530" spans="1:31" x14ac:dyDescent="0.15">
      <c r="A530" s="8"/>
      <c r="B530" s="8"/>
      <c r="C530" s="8"/>
      <c r="D530" s="8"/>
      <c r="E530" s="8"/>
      <c r="F530" s="8"/>
      <c r="G530" s="10"/>
      <c r="H530" s="11"/>
      <c r="I530" s="8"/>
      <c r="J530" s="9"/>
      <c r="K530" s="8"/>
      <c r="L530" s="9"/>
      <c r="M530" s="8"/>
      <c r="N530" s="8"/>
      <c r="O530" s="9"/>
      <c r="P530" s="9"/>
      <c r="Q530" s="9"/>
      <c r="R530" s="9"/>
      <c r="S530" s="9"/>
      <c r="T530" s="9"/>
      <c r="U530" s="9"/>
      <c r="V530" s="9"/>
      <c r="W530" s="9"/>
      <c r="X530" s="11"/>
      <c r="Y530" s="8"/>
      <c r="Z530" s="9"/>
      <c r="AA530" s="8"/>
      <c r="AB530" s="9"/>
      <c r="AC530" s="8"/>
      <c r="AD530" s="8"/>
      <c r="AE530" s="9"/>
    </row>
    <row r="531" spans="1:31" x14ac:dyDescent="0.15">
      <c r="A531" s="8"/>
      <c r="B531" s="8"/>
      <c r="C531" s="8"/>
      <c r="D531" s="8"/>
      <c r="E531" s="8"/>
      <c r="F531" s="8"/>
      <c r="G531" s="10"/>
      <c r="H531" s="11"/>
      <c r="I531" s="8"/>
      <c r="J531" s="9"/>
      <c r="K531" s="8"/>
      <c r="L531" s="9"/>
      <c r="M531" s="8"/>
      <c r="N531" s="8"/>
      <c r="O531" s="9"/>
      <c r="P531" s="9"/>
      <c r="Q531" s="9"/>
      <c r="R531" s="9"/>
      <c r="S531" s="9"/>
      <c r="T531" s="9"/>
      <c r="U531" s="9"/>
      <c r="V531" s="9"/>
      <c r="W531" s="9"/>
      <c r="X531" s="11"/>
      <c r="Y531" s="8"/>
      <c r="Z531" s="9"/>
      <c r="AA531" s="8"/>
      <c r="AB531" s="9"/>
      <c r="AC531" s="8"/>
      <c r="AD531" s="8"/>
      <c r="AE531" s="9"/>
    </row>
    <row r="532" spans="1:31" x14ac:dyDescent="0.15">
      <c r="A532" s="8"/>
      <c r="B532" s="8"/>
      <c r="C532" s="8"/>
      <c r="D532" s="8"/>
      <c r="E532" s="8"/>
      <c r="F532" s="8"/>
      <c r="G532" s="10"/>
      <c r="H532" s="11"/>
      <c r="I532" s="8"/>
      <c r="J532" s="9"/>
      <c r="K532" s="8"/>
      <c r="L532" s="9"/>
      <c r="M532" s="8"/>
      <c r="N532" s="8"/>
      <c r="O532" s="9"/>
      <c r="P532" s="9"/>
      <c r="Q532" s="9"/>
      <c r="R532" s="9"/>
      <c r="S532" s="9"/>
      <c r="T532" s="9"/>
      <c r="U532" s="9"/>
      <c r="V532" s="9"/>
      <c r="W532" s="9"/>
      <c r="X532" s="11"/>
      <c r="Y532" s="8"/>
      <c r="Z532" s="9"/>
      <c r="AA532" s="8"/>
      <c r="AB532" s="9"/>
      <c r="AC532" s="8"/>
      <c r="AD532" s="8"/>
      <c r="AE532" s="9"/>
    </row>
    <row r="533" spans="1:31" x14ac:dyDescent="0.15">
      <c r="A533" s="8"/>
      <c r="B533" s="8"/>
      <c r="C533" s="8"/>
      <c r="D533" s="8"/>
      <c r="E533" s="8"/>
      <c r="F533" s="8"/>
      <c r="G533" s="10"/>
      <c r="H533" s="11"/>
      <c r="I533" s="8"/>
      <c r="J533" s="9"/>
      <c r="K533" s="8"/>
      <c r="L533" s="9"/>
      <c r="M533" s="8"/>
      <c r="N533" s="8"/>
      <c r="O533" s="9"/>
      <c r="P533" s="9"/>
      <c r="Q533" s="9"/>
      <c r="R533" s="9"/>
      <c r="S533" s="9"/>
      <c r="T533" s="9"/>
      <c r="U533" s="9"/>
      <c r="V533" s="9"/>
      <c r="W533" s="9"/>
      <c r="X533" s="11"/>
      <c r="Y533" s="8"/>
      <c r="Z533" s="9"/>
      <c r="AA533" s="8"/>
      <c r="AB533" s="9"/>
      <c r="AC533" s="8"/>
      <c r="AD533" s="8"/>
      <c r="AE533" s="9"/>
    </row>
    <row r="534" spans="1:31" x14ac:dyDescent="0.15">
      <c r="A534" s="8"/>
      <c r="B534" s="8"/>
      <c r="C534" s="8"/>
      <c r="D534" s="8"/>
      <c r="E534" s="8"/>
      <c r="F534" s="8"/>
      <c r="G534" s="10"/>
      <c r="H534" s="11"/>
      <c r="I534" s="8"/>
      <c r="J534" s="9"/>
      <c r="K534" s="8"/>
      <c r="L534" s="9"/>
      <c r="M534" s="8"/>
      <c r="N534" s="8"/>
      <c r="O534" s="9"/>
      <c r="P534" s="9"/>
      <c r="Q534" s="9"/>
      <c r="R534" s="9"/>
      <c r="S534" s="9"/>
      <c r="T534" s="9"/>
      <c r="U534" s="9"/>
      <c r="V534" s="9"/>
      <c r="W534" s="9"/>
      <c r="X534" s="11"/>
      <c r="Y534" s="8"/>
      <c r="Z534" s="9"/>
      <c r="AA534" s="8"/>
      <c r="AB534" s="9"/>
      <c r="AC534" s="8"/>
      <c r="AD534" s="8"/>
      <c r="AE534" s="9"/>
    </row>
    <row r="535" spans="1:31" x14ac:dyDescent="0.15">
      <c r="A535" s="8"/>
      <c r="B535" s="8"/>
      <c r="C535" s="8"/>
      <c r="D535" s="8"/>
      <c r="E535" s="8"/>
      <c r="F535" s="8"/>
      <c r="G535" s="10"/>
      <c r="H535" s="11"/>
      <c r="I535" s="8"/>
      <c r="J535" s="9"/>
      <c r="K535" s="8"/>
      <c r="L535" s="9"/>
      <c r="M535" s="8"/>
      <c r="N535" s="8"/>
      <c r="O535" s="9"/>
      <c r="P535" s="9"/>
      <c r="Q535" s="9"/>
      <c r="R535" s="9"/>
      <c r="S535" s="9"/>
      <c r="T535" s="9"/>
      <c r="U535" s="9"/>
      <c r="V535" s="9"/>
      <c r="W535" s="9"/>
      <c r="X535" s="11"/>
      <c r="Y535" s="8"/>
      <c r="Z535" s="9"/>
      <c r="AA535" s="8"/>
      <c r="AB535" s="9"/>
      <c r="AC535" s="8"/>
      <c r="AD535" s="8"/>
      <c r="AE535" s="9"/>
    </row>
    <row r="536" spans="1:31" x14ac:dyDescent="0.15">
      <c r="A536" s="8"/>
      <c r="B536" s="8"/>
      <c r="C536" s="8"/>
      <c r="D536" s="8"/>
      <c r="E536" s="8"/>
      <c r="F536" s="8"/>
      <c r="G536" s="10"/>
      <c r="H536" s="11"/>
      <c r="I536" s="8"/>
      <c r="J536" s="9"/>
      <c r="K536" s="8"/>
      <c r="L536" s="9"/>
      <c r="M536" s="8"/>
      <c r="N536" s="8"/>
      <c r="O536" s="9"/>
      <c r="P536" s="9"/>
      <c r="Q536" s="9"/>
      <c r="R536" s="9"/>
      <c r="S536" s="9"/>
      <c r="T536" s="9"/>
      <c r="U536" s="9"/>
      <c r="V536" s="9"/>
      <c r="W536" s="9"/>
      <c r="X536" s="11"/>
      <c r="Y536" s="8"/>
      <c r="Z536" s="9"/>
      <c r="AA536" s="8"/>
      <c r="AB536" s="9"/>
      <c r="AC536" s="8"/>
      <c r="AD536" s="8"/>
      <c r="AE536" s="9"/>
    </row>
    <row r="537" spans="1:31" x14ac:dyDescent="0.15">
      <c r="A537" s="8"/>
      <c r="B537" s="8"/>
      <c r="C537" s="8"/>
      <c r="D537" s="8"/>
      <c r="E537" s="8"/>
      <c r="F537" s="8"/>
      <c r="G537" s="10"/>
      <c r="H537" s="11"/>
      <c r="I537" s="8"/>
      <c r="J537" s="9"/>
      <c r="K537" s="8"/>
      <c r="L537" s="9"/>
      <c r="M537" s="8"/>
      <c r="N537" s="8"/>
      <c r="O537" s="9"/>
      <c r="P537" s="9"/>
      <c r="Q537" s="9"/>
      <c r="R537" s="9"/>
      <c r="S537" s="9"/>
      <c r="T537" s="9"/>
      <c r="U537" s="9"/>
      <c r="V537" s="9"/>
      <c r="W537" s="9"/>
      <c r="X537" s="11"/>
      <c r="Y537" s="8"/>
      <c r="Z537" s="9"/>
      <c r="AA537" s="8"/>
      <c r="AB537" s="9"/>
      <c r="AC537" s="8"/>
      <c r="AD537" s="8"/>
      <c r="AE537" s="9"/>
    </row>
    <row r="538" spans="1:31" x14ac:dyDescent="0.15">
      <c r="A538" s="8"/>
      <c r="B538" s="8"/>
      <c r="C538" s="8"/>
      <c r="D538" s="8"/>
      <c r="E538" s="8"/>
      <c r="F538" s="8"/>
      <c r="G538" s="10"/>
      <c r="H538" s="11"/>
      <c r="I538" s="8"/>
      <c r="J538" s="9"/>
      <c r="K538" s="8"/>
      <c r="L538" s="9"/>
      <c r="M538" s="8"/>
      <c r="N538" s="8"/>
      <c r="O538" s="9"/>
      <c r="P538" s="9"/>
      <c r="Q538" s="9"/>
      <c r="R538" s="9"/>
      <c r="S538" s="9"/>
      <c r="T538" s="9"/>
      <c r="U538" s="9"/>
      <c r="V538" s="9"/>
      <c r="W538" s="9"/>
      <c r="X538" s="11"/>
      <c r="Y538" s="8"/>
      <c r="Z538" s="9"/>
      <c r="AA538" s="8"/>
      <c r="AB538" s="9"/>
      <c r="AC538" s="8"/>
      <c r="AD538" s="8"/>
      <c r="AE538" s="9"/>
    </row>
    <row r="539" spans="1:31" x14ac:dyDescent="0.15">
      <c r="A539" s="8"/>
      <c r="B539" s="8"/>
      <c r="C539" s="8"/>
      <c r="D539" s="8"/>
      <c r="E539" s="8"/>
      <c r="F539" s="8"/>
      <c r="G539" s="10"/>
      <c r="H539" s="11"/>
      <c r="I539" s="8"/>
      <c r="J539" s="9"/>
      <c r="K539" s="8"/>
      <c r="L539" s="9"/>
      <c r="M539" s="8"/>
      <c r="N539" s="8"/>
      <c r="O539" s="9"/>
      <c r="P539" s="9"/>
      <c r="Q539" s="9"/>
      <c r="R539" s="9"/>
      <c r="S539" s="9"/>
      <c r="T539" s="9"/>
      <c r="U539" s="9"/>
      <c r="V539" s="9"/>
      <c r="W539" s="9"/>
      <c r="X539" s="11"/>
      <c r="Y539" s="8"/>
      <c r="Z539" s="9"/>
      <c r="AA539" s="8"/>
      <c r="AB539" s="9"/>
      <c r="AC539" s="8"/>
      <c r="AD539" s="8"/>
      <c r="AE539" s="9"/>
    </row>
    <row r="540" spans="1:31" x14ac:dyDescent="0.15">
      <c r="A540" s="8"/>
      <c r="B540" s="8"/>
      <c r="C540" s="8"/>
      <c r="D540" s="8"/>
      <c r="E540" s="8"/>
      <c r="F540" s="8"/>
      <c r="G540" s="10"/>
      <c r="H540" s="11"/>
      <c r="I540" s="8"/>
      <c r="J540" s="9"/>
      <c r="K540" s="8"/>
      <c r="L540" s="9"/>
      <c r="M540" s="8"/>
      <c r="N540" s="8"/>
      <c r="O540" s="9"/>
      <c r="P540" s="9"/>
      <c r="Q540" s="9"/>
      <c r="R540" s="9"/>
      <c r="S540" s="9"/>
      <c r="T540" s="9"/>
      <c r="U540" s="9"/>
      <c r="V540" s="9"/>
      <c r="W540" s="9"/>
      <c r="X540" s="11"/>
      <c r="Y540" s="8"/>
      <c r="Z540" s="9"/>
      <c r="AA540" s="8"/>
      <c r="AB540" s="9"/>
      <c r="AC540" s="8"/>
      <c r="AD540" s="8"/>
      <c r="AE540" s="9"/>
    </row>
    <row r="541" spans="1:31" x14ac:dyDescent="0.15">
      <c r="A541" s="8"/>
      <c r="B541" s="8"/>
      <c r="C541" s="8"/>
      <c r="D541" s="8"/>
      <c r="E541" s="8"/>
      <c r="F541" s="8"/>
      <c r="G541" s="10"/>
      <c r="H541" s="11"/>
      <c r="I541" s="8"/>
      <c r="J541" s="9"/>
      <c r="K541" s="8"/>
      <c r="L541" s="9"/>
      <c r="M541" s="8"/>
      <c r="N541" s="8"/>
      <c r="O541" s="9"/>
      <c r="P541" s="9"/>
      <c r="Q541" s="9"/>
      <c r="R541" s="9"/>
      <c r="S541" s="9"/>
      <c r="T541" s="9"/>
      <c r="U541" s="9"/>
      <c r="V541" s="9"/>
      <c r="W541" s="9"/>
      <c r="X541" s="11"/>
      <c r="Y541" s="8"/>
      <c r="Z541" s="9"/>
      <c r="AA541" s="8"/>
      <c r="AB541" s="9"/>
      <c r="AC541" s="8"/>
      <c r="AD541" s="8"/>
      <c r="AE541" s="9"/>
    </row>
    <row r="542" spans="1:31" x14ac:dyDescent="0.15">
      <c r="A542" s="8"/>
      <c r="B542" s="8"/>
      <c r="C542" s="8"/>
      <c r="D542" s="8"/>
      <c r="E542" s="8"/>
      <c r="F542" s="8"/>
      <c r="G542" s="10"/>
      <c r="H542" s="11"/>
      <c r="I542" s="8"/>
      <c r="J542" s="9"/>
      <c r="K542" s="8"/>
      <c r="L542" s="9"/>
      <c r="M542" s="8"/>
      <c r="N542" s="8"/>
      <c r="O542" s="9"/>
      <c r="P542" s="9"/>
      <c r="Q542" s="9"/>
      <c r="R542" s="9"/>
      <c r="S542" s="9"/>
      <c r="T542" s="9"/>
      <c r="U542" s="9"/>
      <c r="V542" s="9"/>
      <c r="W542" s="9"/>
      <c r="X542" s="11"/>
      <c r="Y542" s="8"/>
      <c r="Z542" s="9"/>
      <c r="AA542" s="8"/>
      <c r="AB542" s="9"/>
      <c r="AC542" s="8"/>
      <c r="AD542" s="8"/>
      <c r="AE542" s="9"/>
    </row>
    <row r="543" spans="1:31" x14ac:dyDescent="0.15">
      <c r="A543" s="8"/>
      <c r="B543" s="8"/>
      <c r="C543" s="8"/>
      <c r="D543" s="8"/>
      <c r="E543" s="8"/>
      <c r="F543" s="8"/>
      <c r="G543" s="10"/>
      <c r="H543" s="11"/>
      <c r="I543" s="8"/>
      <c r="J543" s="9"/>
      <c r="K543" s="8"/>
      <c r="L543" s="9"/>
      <c r="M543" s="8"/>
      <c r="N543" s="8"/>
      <c r="O543" s="9"/>
      <c r="P543" s="9"/>
      <c r="Q543" s="9"/>
      <c r="R543" s="9"/>
      <c r="S543" s="9"/>
      <c r="T543" s="9"/>
      <c r="U543" s="9"/>
      <c r="V543" s="9"/>
      <c r="W543" s="9"/>
      <c r="X543" s="11"/>
      <c r="Y543" s="8"/>
      <c r="Z543" s="9"/>
      <c r="AA543" s="8"/>
      <c r="AB543" s="9"/>
      <c r="AC543" s="8"/>
      <c r="AD543" s="8"/>
      <c r="AE543" s="9"/>
    </row>
    <row r="544" spans="1:31" x14ac:dyDescent="0.15">
      <c r="A544" s="8"/>
      <c r="B544" s="8"/>
      <c r="C544" s="8"/>
      <c r="D544" s="8"/>
      <c r="E544" s="8"/>
      <c r="F544" s="8"/>
      <c r="G544" s="10"/>
      <c r="H544" s="11"/>
      <c r="I544" s="8"/>
      <c r="J544" s="9"/>
      <c r="K544" s="8"/>
      <c r="L544" s="9"/>
      <c r="M544" s="8"/>
      <c r="N544" s="8"/>
      <c r="O544" s="9"/>
      <c r="P544" s="9"/>
      <c r="Q544" s="9"/>
      <c r="R544" s="9"/>
      <c r="S544" s="9"/>
      <c r="T544" s="9"/>
      <c r="U544" s="9"/>
      <c r="V544" s="9"/>
      <c r="W544" s="9"/>
      <c r="X544" s="11"/>
      <c r="Y544" s="8"/>
      <c r="Z544" s="9"/>
      <c r="AA544" s="8"/>
      <c r="AB544" s="9"/>
      <c r="AC544" s="8"/>
      <c r="AD544" s="8"/>
      <c r="AE544" s="9"/>
    </row>
    <row r="545" spans="1:31" x14ac:dyDescent="0.15">
      <c r="A545" s="8"/>
      <c r="B545" s="8"/>
      <c r="C545" s="8"/>
      <c r="D545" s="8"/>
      <c r="E545" s="8"/>
      <c r="F545" s="8"/>
      <c r="G545" s="10"/>
      <c r="H545" s="11"/>
      <c r="I545" s="8"/>
      <c r="J545" s="9"/>
      <c r="K545" s="8"/>
      <c r="L545" s="9"/>
      <c r="M545" s="8"/>
      <c r="N545" s="8"/>
      <c r="O545" s="9"/>
      <c r="P545" s="9"/>
      <c r="Q545" s="9"/>
      <c r="R545" s="9"/>
      <c r="S545" s="9"/>
      <c r="T545" s="9"/>
      <c r="U545" s="9"/>
      <c r="V545" s="9"/>
      <c r="W545" s="9"/>
      <c r="X545" s="11"/>
      <c r="Y545" s="8"/>
      <c r="Z545" s="9"/>
      <c r="AA545" s="8"/>
      <c r="AB545" s="9"/>
      <c r="AC545" s="8"/>
      <c r="AD545" s="8"/>
      <c r="AE545" s="9"/>
    </row>
    <row r="546" spans="1:31" x14ac:dyDescent="0.15">
      <c r="A546" s="8"/>
      <c r="B546" s="8"/>
      <c r="C546" s="8"/>
      <c r="D546" s="8"/>
      <c r="E546" s="8"/>
      <c r="F546" s="8"/>
      <c r="G546" s="10"/>
      <c r="H546" s="11"/>
      <c r="I546" s="8"/>
      <c r="J546" s="9"/>
      <c r="K546" s="8"/>
      <c r="L546" s="9"/>
      <c r="M546" s="8"/>
      <c r="N546" s="8"/>
      <c r="O546" s="9"/>
      <c r="P546" s="9"/>
      <c r="Q546" s="9"/>
      <c r="R546" s="9"/>
      <c r="S546" s="9"/>
      <c r="T546" s="9"/>
      <c r="U546" s="9"/>
      <c r="V546" s="9"/>
      <c r="W546" s="9"/>
      <c r="X546" s="11"/>
      <c r="Y546" s="8"/>
      <c r="Z546" s="9"/>
      <c r="AA546" s="8"/>
      <c r="AB546" s="9"/>
      <c r="AC546" s="8"/>
      <c r="AD546" s="8"/>
      <c r="AE546" s="9"/>
    </row>
    <row r="547" spans="1:31" x14ac:dyDescent="0.15">
      <c r="A547" s="8"/>
      <c r="B547" s="8"/>
      <c r="C547" s="8"/>
      <c r="D547" s="8"/>
      <c r="E547" s="8"/>
      <c r="F547" s="8"/>
      <c r="G547" s="10"/>
      <c r="H547" s="11"/>
      <c r="I547" s="8"/>
      <c r="J547" s="9"/>
      <c r="K547" s="8"/>
      <c r="L547" s="9"/>
      <c r="M547" s="8"/>
      <c r="N547" s="8"/>
      <c r="O547" s="9"/>
      <c r="P547" s="9"/>
      <c r="Q547" s="9"/>
      <c r="R547" s="9"/>
      <c r="S547" s="9"/>
      <c r="T547" s="9"/>
      <c r="U547" s="9"/>
      <c r="V547" s="9"/>
      <c r="W547" s="9"/>
      <c r="X547" s="11"/>
      <c r="Y547" s="8"/>
      <c r="Z547" s="9"/>
      <c r="AA547" s="8"/>
      <c r="AB547" s="9"/>
      <c r="AC547" s="8"/>
      <c r="AD547" s="8"/>
      <c r="AE547" s="9"/>
    </row>
    <row r="548" spans="1:31" x14ac:dyDescent="0.15">
      <c r="A548" s="8"/>
      <c r="B548" s="8"/>
      <c r="C548" s="8"/>
      <c r="D548" s="8"/>
      <c r="E548" s="8"/>
      <c r="F548" s="8"/>
      <c r="G548" s="10"/>
      <c r="H548" s="11"/>
      <c r="I548" s="8"/>
      <c r="J548" s="9"/>
      <c r="K548" s="8"/>
      <c r="L548" s="9"/>
      <c r="M548" s="8"/>
      <c r="N548" s="8"/>
      <c r="O548" s="9"/>
      <c r="P548" s="9"/>
      <c r="Q548" s="9"/>
      <c r="R548" s="9"/>
      <c r="S548" s="9"/>
      <c r="T548" s="9"/>
      <c r="U548" s="9"/>
      <c r="V548" s="9"/>
      <c r="W548" s="9"/>
      <c r="X548" s="11"/>
      <c r="Y548" s="8"/>
      <c r="Z548" s="9"/>
      <c r="AA548" s="8"/>
      <c r="AB548" s="9"/>
      <c r="AC548" s="8"/>
      <c r="AD548" s="8"/>
      <c r="AE548" s="9"/>
    </row>
    <row r="549" spans="1:31" x14ac:dyDescent="0.15">
      <c r="A549" s="8"/>
      <c r="B549" s="8"/>
      <c r="C549" s="8"/>
      <c r="D549" s="8"/>
      <c r="E549" s="8"/>
      <c r="F549" s="8"/>
      <c r="G549" s="10"/>
      <c r="H549" s="11"/>
      <c r="I549" s="8"/>
      <c r="J549" s="9"/>
      <c r="K549" s="8"/>
      <c r="L549" s="9"/>
      <c r="M549" s="8"/>
      <c r="N549" s="8"/>
      <c r="O549" s="9"/>
      <c r="P549" s="9"/>
      <c r="Q549" s="9"/>
      <c r="R549" s="9"/>
      <c r="S549" s="9"/>
      <c r="T549" s="9"/>
      <c r="U549" s="9"/>
      <c r="V549" s="9"/>
      <c r="W549" s="9"/>
      <c r="X549" s="11"/>
      <c r="Y549" s="8"/>
      <c r="Z549" s="9"/>
      <c r="AA549" s="8"/>
      <c r="AB549" s="9"/>
      <c r="AC549" s="8"/>
      <c r="AD549" s="8"/>
      <c r="AE549" s="9"/>
    </row>
    <row r="550" spans="1:31" x14ac:dyDescent="0.15">
      <c r="A550" s="8"/>
      <c r="B550" s="8"/>
      <c r="C550" s="8"/>
      <c r="D550" s="8"/>
      <c r="E550" s="8"/>
      <c r="F550" s="8"/>
      <c r="G550" s="10"/>
      <c r="H550" s="11"/>
      <c r="I550" s="8"/>
      <c r="J550" s="9"/>
      <c r="K550" s="8"/>
      <c r="L550" s="9"/>
      <c r="M550" s="8"/>
      <c r="N550" s="8"/>
      <c r="O550" s="9"/>
      <c r="P550" s="9"/>
      <c r="Q550" s="9"/>
      <c r="R550" s="9"/>
      <c r="S550" s="9"/>
      <c r="T550" s="9"/>
      <c r="U550" s="9"/>
      <c r="V550" s="9"/>
      <c r="W550" s="9"/>
      <c r="X550" s="11"/>
      <c r="Y550" s="8"/>
      <c r="Z550" s="9"/>
      <c r="AA550" s="8"/>
      <c r="AB550" s="9"/>
      <c r="AC550" s="8"/>
      <c r="AD550" s="8"/>
      <c r="AE550" s="9"/>
    </row>
    <row r="551" spans="1:31" x14ac:dyDescent="0.15">
      <c r="A551" s="8"/>
      <c r="B551" s="8"/>
      <c r="C551" s="8"/>
      <c r="D551" s="8"/>
      <c r="E551" s="8"/>
      <c r="F551" s="8"/>
      <c r="G551" s="10"/>
      <c r="H551" s="11"/>
      <c r="I551" s="8"/>
      <c r="J551" s="9"/>
      <c r="K551" s="8"/>
      <c r="L551" s="9"/>
      <c r="M551" s="8"/>
      <c r="N551" s="8"/>
      <c r="O551" s="9"/>
      <c r="P551" s="9"/>
      <c r="Q551" s="9"/>
      <c r="R551" s="9"/>
      <c r="S551" s="9"/>
      <c r="T551" s="9"/>
      <c r="U551" s="9"/>
      <c r="V551" s="9"/>
      <c r="W551" s="9"/>
      <c r="X551" s="11"/>
      <c r="Y551" s="8"/>
      <c r="Z551" s="9"/>
      <c r="AA551" s="8"/>
      <c r="AB551" s="9"/>
      <c r="AC551" s="8"/>
      <c r="AD551" s="8"/>
      <c r="AE551" s="9"/>
    </row>
    <row r="552" spans="1:31" x14ac:dyDescent="0.15">
      <c r="A552" s="8"/>
      <c r="B552" s="8"/>
      <c r="C552" s="8"/>
      <c r="D552" s="8"/>
      <c r="E552" s="8"/>
      <c r="F552" s="8"/>
      <c r="G552" s="10"/>
      <c r="H552" s="11"/>
      <c r="I552" s="8"/>
      <c r="J552" s="9"/>
      <c r="K552" s="8"/>
      <c r="L552" s="9"/>
      <c r="M552" s="8"/>
      <c r="N552" s="8"/>
      <c r="O552" s="9"/>
      <c r="P552" s="9"/>
      <c r="Q552" s="9"/>
      <c r="R552" s="9"/>
      <c r="S552" s="9"/>
      <c r="T552" s="9"/>
      <c r="U552" s="9"/>
      <c r="V552" s="9"/>
      <c r="W552" s="9"/>
      <c r="X552" s="11"/>
      <c r="Y552" s="8"/>
      <c r="Z552" s="9"/>
      <c r="AA552" s="8"/>
      <c r="AB552" s="9"/>
      <c r="AC552" s="8"/>
      <c r="AD552" s="8"/>
      <c r="AE552" s="9"/>
    </row>
    <row r="553" spans="1:31" x14ac:dyDescent="0.15">
      <c r="A553" s="8"/>
      <c r="B553" s="8"/>
      <c r="C553" s="8"/>
      <c r="D553" s="8"/>
      <c r="E553" s="8"/>
      <c r="F553" s="8"/>
      <c r="G553" s="10"/>
      <c r="H553" s="11"/>
      <c r="I553" s="8"/>
      <c r="J553" s="9"/>
      <c r="K553" s="8"/>
      <c r="L553" s="9"/>
      <c r="M553" s="8"/>
      <c r="N553" s="8"/>
      <c r="O553" s="9"/>
      <c r="P553" s="9"/>
      <c r="Q553" s="9"/>
      <c r="R553" s="9"/>
      <c r="S553" s="9"/>
      <c r="T553" s="9"/>
      <c r="U553" s="9"/>
      <c r="V553" s="9"/>
      <c r="W553" s="9"/>
      <c r="X553" s="11"/>
      <c r="Y553" s="8"/>
      <c r="Z553" s="9"/>
      <c r="AA553" s="8"/>
      <c r="AB553" s="9"/>
      <c r="AC553" s="8"/>
      <c r="AD553" s="8"/>
      <c r="AE553" s="9"/>
    </row>
    <row r="554" spans="1:31" x14ac:dyDescent="0.15">
      <c r="A554" s="8"/>
      <c r="B554" s="8"/>
      <c r="C554" s="8"/>
      <c r="D554" s="8"/>
      <c r="E554" s="8"/>
      <c r="F554" s="8"/>
      <c r="G554" s="10"/>
      <c r="H554" s="11"/>
      <c r="I554" s="8"/>
      <c r="J554" s="9"/>
      <c r="K554" s="8"/>
      <c r="L554" s="9"/>
      <c r="M554" s="8"/>
      <c r="N554" s="8"/>
      <c r="O554" s="9"/>
      <c r="P554" s="9"/>
      <c r="Q554" s="9"/>
      <c r="R554" s="9"/>
      <c r="S554" s="9"/>
      <c r="T554" s="9"/>
      <c r="U554" s="9"/>
      <c r="V554" s="9"/>
      <c r="W554" s="9"/>
      <c r="X554" s="11"/>
      <c r="Y554" s="8"/>
      <c r="Z554" s="9"/>
      <c r="AA554" s="8"/>
      <c r="AB554" s="9"/>
      <c r="AC554" s="8"/>
      <c r="AD554" s="8"/>
      <c r="AE554" s="9"/>
    </row>
    <row r="555" spans="1:31" x14ac:dyDescent="0.15">
      <c r="A555" s="8"/>
      <c r="B555" s="8"/>
      <c r="C555" s="8"/>
      <c r="D555" s="8"/>
      <c r="E555" s="8"/>
      <c r="F555" s="8"/>
      <c r="G555" s="10"/>
      <c r="H555" s="11"/>
      <c r="I555" s="8"/>
      <c r="J555" s="9"/>
      <c r="K555" s="8"/>
      <c r="L555" s="9"/>
      <c r="M555" s="8"/>
      <c r="N555" s="8"/>
      <c r="O555" s="9"/>
      <c r="P555" s="9"/>
      <c r="Q555" s="9"/>
      <c r="R555" s="9"/>
      <c r="S555" s="9"/>
      <c r="T555" s="9"/>
      <c r="U555" s="9"/>
      <c r="V555" s="9"/>
      <c r="W555" s="9"/>
      <c r="X555" s="11"/>
      <c r="Y555" s="8"/>
      <c r="Z555" s="9"/>
      <c r="AA555" s="8"/>
      <c r="AB555" s="9"/>
      <c r="AC555" s="8"/>
      <c r="AD555" s="8"/>
      <c r="AE555" s="9"/>
    </row>
    <row r="556" spans="1:31" x14ac:dyDescent="0.15">
      <c r="A556" s="8"/>
      <c r="B556" s="8"/>
      <c r="C556" s="8"/>
      <c r="D556" s="8"/>
      <c r="E556" s="8"/>
      <c r="F556" s="8"/>
      <c r="G556" s="10"/>
      <c r="H556" s="11"/>
      <c r="I556" s="8"/>
      <c r="J556" s="9"/>
      <c r="K556" s="8"/>
      <c r="L556" s="9"/>
      <c r="M556" s="8"/>
      <c r="N556" s="8"/>
      <c r="O556" s="9"/>
      <c r="P556" s="9"/>
      <c r="Q556" s="9"/>
      <c r="R556" s="9"/>
      <c r="S556" s="9"/>
      <c r="T556" s="9"/>
      <c r="U556" s="9"/>
      <c r="V556" s="9"/>
      <c r="W556" s="9"/>
      <c r="X556" s="11"/>
      <c r="Y556" s="8"/>
      <c r="Z556" s="9"/>
      <c r="AA556" s="8"/>
      <c r="AB556" s="9"/>
      <c r="AC556" s="8"/>
      <c r="AD556" s="8"/>
      <c r="AE556" s="9"/>
    </row>
    <row r="557" spans="1:31" x14ac:dyDescent="0.15">
      <c r="A557" s="8"/>
      <c r="B557" s="8"/>
      <c r="C557" s="8"/>
      <c r="D557" s="8"/>
      <c r="E557" s="8"/>
      <c r="F557" s="8"/>
      <c r="G557" s="10"/>
      <c r="H557" s="11"/>
      <c r="I557" s="8"/>
      <c r="J557" s="9"/>
      <c r="K557" s="8"/>
      <c r="L557" s="9"/>
      <c r="M557" s="8"/>
      <c r="N557" s="8"/>
      <c r="O557" s="9"/>
      <c r="P557" s="9"/>
      <c r="Q557" s="9"/>
      <c r="R557" s="9"/>
      <c r="S557" s="9"/>
      <c r="T557" s="9"/>
      <c r="U557" s="9"/>
      <c r="V557" s="9"/>
      <c r="W557" s="9"/>
      <c r="X557" s="11"/>
      <c r="Y557" s="8"/>
      <c r="Z557" s="9"/>
      <c r="AA557" s="8"/>
      <c r="AB557" s="9"/>
      <c r="AC557" s="8"/>
      <c r="AD557" s="8"/>
      <c r="AE557" s="9"/>
    </row>
    <row r="558" spans="1:31" x14ac:dyDescent="0.15">
      <c r="A558" s="8"/>
      <c r="B558" s="8"/>
      <c r="C558" s="8"/>
      <c r="D558" s="8"/>
      <c r="E558" s="8"/>
      <c r="F558" s="8"/>
      <c r="G558" s="10"/>
      <c r="H558" s="11"/>
      <c r="I558" s="8"/>
      <c r="J558" s="9"/>
      <c r="K558" s="8"/>
      <c r="L558" s="9"/>
      <c r="M558" s="8"/>
      <c r="N558" s="8"/>
      <c r="O558" s="9"/>
      <c r="P558" s="9"/>
      <c r="Q558" s="9"/>
      <c r="R558" s="9"/>
      <c r="S558" s="9"/>
      <c r="T558" s="9"/>
      <c r="U558" s="9"/>
      <c r="V558" s="9"/>
      <c r="W558" s="9"/>
      <c r="X558" s="11"/>
      <c r="Y558" s="8"/>
      <c r="Z558" s="9"/>
      <c r="AA558" s="8"/>
      <c r="AB558" s="9"/>
      <c r="AC558" s="8"/>
      <c r="AD558" s="8"/>
      <c r="AE558" s="9"/>
    </row>
    <row r="559" spans="1:31" x14ac:dyDescent="0.15">
      <c r="A559" s="8"/>
      <c r="B559" s="8"/>
      <c r="C559" s="8"/>
      <c r="D559" s="8"/>
      <c r="E559" s="8"/>
      <c r="F559" s="8"/>
      <c r="G559" s="10"/>
      <c r="H559" s="11"/>
      <c r="I559" s="8"/>
      <c r="J559" s="9"/>
      <c r="K559" s="8"/>
      <c r="L559" s="9"/>
      <c r="M559" s="8"/>
      <c r="N559" s="8"/>
      <c r="O559" s="9"/>
      <c r="P559" s="9"/>
      <c r="Q559" s="9"/>
      <c r="R559" s="9"/>
      <c r="S559" s="9"/>
      <c r="T559" s="9"/>
      <c r="U559" s="9"/>
      <c r="V559" s="9"/>
      <c r="W559" s="9"/>
      <c r="X559" s="11"/>
      <c r="Y559" s="8"/>
      <c r="Z559" s="9"/>
      <c r="AA559" s="8"/>
      <c r="AB559" s="9"/>
      <c r="AC559" s="8"/>
      <c r="AD559" s="8"/>
      <c r="AE559" s="9"/>
    </row>
    <row r="560" spans="1:31" x14ac:dyDescent="0.15">
      <c r="A560" s="8"/>
      <c r="B560" s="8"/>
      <c r="C560" s="8"/>
      <c r="D560" s="8"/>
      <c r="E560" s="8"/>
      <c r="F560" s="8"/>
      <c r="G560" s="10"/>
      <c r="H560" s="11"/>
      <c r="I560" s="8"/>
      <c r="J560" s="9"/>
      <c r="K560" s="8"/>
      <c r="L560" s="9"/>
      <c r="M560" s="8"/>
      <c r="N560" s="8"/>
      <c r="O560" s="9"/>
      <c r="P560" s="9"/>
      <c r="Q560" s="9"/>
      <c r="R560" s="9"/>
      <c r="S560" s="9"/>
      <c r="T560" s="9"/>
      <c r="U560" s="9"/>
      <c r="V560" s="9"/>
      <c r="W560" s="9"/>
      <c r="X560" s="11"/>
      <c r="Y560" s="8"/>
      <c r="Z560" s="9"/>
      <c r="AA560" s="8"/>
      <c r="AB560" s="9"/>
      <c r="AC560" s="8"/>
      <c r="AD560" s="8"/>
      <c r="AE560" s="9"/>
    </row>
    <row r="561" spans="1:31" x14ac:dyDescent="0.15">
      <c r="A561" s="8"/>
      <c r="B561" s="8"/>
      <c r="C561" s="8"/>
      <c r="D561" s="8"/>
      <c r="E561" s="8"/>
      <c r="F561" s="8"/>
      <c r="G561" s="10"/>
      <c r="H561" s="11"/>
      <c r="I561" s="8"/>
      <c r="J561" s="9"/>
      <c r="K561" s="8"/>
      <c r="L561" s="9"/>
      <c r="M561" s="8"/>
      <c r="N561" s="8"/>
      <c r="O561" s="9"/>
      <c r="P561" s="9"/>
      <c r="Q561" s="9"/>
      <c r="R561" s="9"/>
      <c r="S561" s="9"/>
      <c r="T561" s="9"/>
      <c r="U561" s="9"/>
      <c r="V561" s="9"/>
      <c r="W561" s="9"/>
      <c r="X561" s="11"/>
      <c r="Y561" s="8"/>
      <c r="Z561" s="9"/>
      <c r="AA561" s="8"/>
      <c r="AB561" s="9"/>
      <c r="AC561" s="8"/>
      <c r="AD561" s="8"/>
      <c r="AE561" s="9"/>
    </row>
    <row r="562" spans="1:31" x14ac:dyDescent="0.15">
      <c r="A562" s="8"/>
      <c r="B562" s="8"/>
      <c r="C562" s="8"/>
      <c r="D562" s="8"/>
      <c r="E562" s="8"/>
      <c r="F562" s="8"/>
      <c r="G562" s="10"/>
      <c r="H562" s="11"/>
      <c r="I562" s="8"/>
      <c r="J562" s="9"/>
      <c r="K562" s="8"/>
      <c r="L562" s="9"/>
      <c r="M562" s="8"/>
      <c r="N562" s="8"/>
      <c r="O562" s="9"/>
      <c r="P562" s="9"/>
      <c r="Q562" s="9"/>
      <c r="R562" s="9"/>
      <c r="S562" s="9"/>
      <c r="T562" s="9"/>
      <c r="U562" s="9"/>
      <c r="V562" s="9"/>
      <c r="W562" s="9"/>
      <c r="X562" s="11"/>
      <c r="Y562" s="8"/>
      <c r="Z562" s="9"/>
      <c r="AA562" s="8"/>
      <c r="AB562" s="9"/>
      <c r="AC562" s="8"/>
      <c r="AD562" s="8"/>
      <c r="AE562" s="9"/>
    </row>
    <row r="563" spans="1:31" x14ac:dyDescent="0.15">
      <c r="A563" s="8"/>
      <c r="B563" s="8"/>
      <c r="C563" s="8"/>
      <c r="D563" s="8"/>
      <c r="E563" s="8"/>
      <c r="F563" s="8"/>
      <c r="G563" s="10"/>
      <c r="H563" s="11"/>
      <c r="I563" s="8"/>
      <c r="J563" s="9"/>
      <c r="K563" s="8"/>
      <c r="L563" s="9"/>
      <c r="M563" s="8"/>
      <c r="N563" s="8"/>
      <c r="O563" s="9"/>
      <c r="P563" s="9"/>
      <c r="Q563" s="9"/>
      <c r="R563" s="9"/>
      <c r="S563" s="9"/>
      <c r="T563" s="9"/>
      <c r="U563" s="9"/>
      <c r="V563" s="9"/>
      <c r="W563" s="9"/>
      <c r="X563" s="11"/>
      <c r="Y563" s="8"/>
      <c r="Z563" s="9"/>
      <c r="AA563" s="8"/>
      <c r="AB563" s="9"/>
      <c r="AC563" s="8"/>
      <c r="AD563" s="8"/>
      <c r="AE563" s="9"/>
    </row>
    <row r="564" spans="1:31" x14ac:dyDescent="0.15">
      <c r="A564" s="8"/>
      <c r="B564" s="8"/>
      <c r="C564" s="8"/>
      <c r="D564" s="8"/>
      <c r="E564" s="8"/>
      <c r="F564" s="8"/>
      <c r="G564" s="10"/>
      <c r="H564" s="11"/>
      <c r="I564" s="8"/>
      <c r="J564" s="9"/>
      <c r="K564" s="8"/>
      <c r="L564" s="9"/>
      <c r="M564" s="8"/>
      <c r="N564" s="8"/>
      <c r="O564" s="9"/>
      <c r="P564" s="9"/>
      <c r="Q564" s="9"/>
      <c r="R564" s="9"/>
      <c r="S564" s="9"/>
      <c r="T564" s="9"/>
      <c r="U564" s="9"/>
      <c r="V564" s="9"/>
      <c r="W564" s="9"/>
      <c r="X564" s="11"/>
      <c r="Y564" s="8"/>
      <c r="Z564" s="9"/>
      <c r="AA564" s="8"/>
      <c r="AB564" s="9"/>
      <c r="AC564" s="8"/>
      <c r="AD564" s="8"/>
      <c r="AE564" s="9"/>
    </row>
    <row r="565" spans="1:31" x14ac:dyDescent="0.15">
      <c r="A565" s="8"/>
      <c r="B565" s="8"/>
      <c r="C565" s="8"/>
      <c r="D565" s="8"/>
      <c r="E565" s="8"/>
      <c r="F565" s="8"/>
      <c r="G565" s="10"/>
      <c r="H565" s="11"/>
      <c r="I565" s="8"/>
      <c r="J565" s="9"/>
      <c r="K565" s="8"/>
      <c r="L565" s="9"/>
      <c r="M565" s="8"/>
      <c r="N565" s="8"/>
      <c r="O565" s="9"/>
      <c r="P565" s="9"/>
      <c r="Q565" s="9"/>
      <c r="R565" s="9"/>
      <c r="S565" s="9"/>
      <c r="T565" s="9"/>
      <c r="U565" s="9"/>
      <c r="V565" s="9"/>
      <c r="W565" s="9"/>
      <c r="X565" s="11"/>
      <c r="Y565" s="8"/>
      <c r="Z565" s="9"/>
      <c r="AA565" s="8"/>
      <c r="AB565" s="9"/>
      <c r="AC565" s="8"/>
      <c r="AD565" s="8"/>
      <c r="AE565" s="9"/>
    </row>
    <row r="566" spans="1:31" x14ac:dyDescent="0.15">
      <c r="A566" s="8"/>
      <c r="B566" s="8"/>
      <c r="C566" s="8"/>
      <c r="D566" s="8"/>
      <c r="E566" s="8"/>
      <c r="F566" s="8"/>
      <c r="G566" s="10"/>
      <c r="H566" s="11"/>
      <c r="I566" s="8"/>
      <c r="J566" s="9"/>
      <c r="K566" s="8"/>
      <c r="L566" s="9"/>
      <c r="M566" s="8"/>
      <c r="N566" s="8"/>
      <c r="O566" s="9"/>
      <c r="P566" s="9"/>
      <c r="Q566" s="9"/>
      <c r="R566" s="9"/>
      <c r="S566" s="9"/>
      <c r="T566" s="9"/>
      <c r="U566" s="9"/>
      <c r="V566" s="9"/>
      <c r="W566" s="9"/>
      <c r="X566" s="11"/>
      <c r="Y566" s="8"/>
      <c r="Z566" s="9"/>
      <c r="AA566" s="8"/>
      <c r="AB566" s="9"/>
      <c r="AC566" s="8"/>
      <c r="AD566" s="8"/>
      <c r="AE566" s="9"/>
    </row>
    <row r="567" spans="1:31" x14ac:dyDescent="0.15">
      <c r="A567" s="8"/>
      <c r="B567" s="8"/>
      <c r="C567" s="8"/>
      <c r="D567" s="8"/>
      <c r="E567" s="8"/>
      <c r="F567" s="8"/>
      <c r="G567" s="10"/>
      <c r="H567" s="11"/>
      <c r="I567" s="8"/>
      <c r="J567" s="9"/>
      <c r="K567" s="8"/>
      <c r="L567" s="9"/>
      <c r="M567" s="8"/>
      <c r="N567" s="8"/>
      <c r="O567" s="9"/>
      <c r="P567" s="9"/>
      <c r="Q567" s="9"/>
      <c r="R567" s="9"/>
      <c r="S567" s="9"/>
      <c r="T567" s="9"/>
      <c r="U567" s="9"/>
      <c r="V567" s="9"/>
      <c r="W567" s="9"/>
      <c r="X567" s="11"/>
      <c r="Y567" s="8"/>
      <c r="Z567" s="9"/>
      <c r="AA567" s="8"/>
      <c r="AB567" s="9"/>
      <c r="AC567" s="8"/>
      <c r="AD567" s="8"/>
      <c r="AE567" s="9"/>
    </row>
    <row r="568" spans="1:31" x14ac:dyDescent="0.15">
      <c r="A568" s="8"/>
      <c r="B568" s="8"/>
      <c r="C568" s="8"/>
      <c r="D568" s="8"/>
      <c r="E568" s="8"/>
      <c r="F568" s="8"/>
      <c r="G568" s="10"/>
      <c r="H568" s="11"/>
      <c r="I568" s="8"/>
      <c r="J568" s="9"/>
      <c r="K568" s="8"/>
      <c r="L568" s="9"/>
      <c r="M568" s="8"/>
      <c r="N568" s="8"/>
      <c r="O568" s="9"/>
      <c r="P568" s="9"/>
      <c r="Q568" s="9"/>
      <c r="R568" s="9"/>
      <c r="S568" s="9"/>
      <c r="T568" s="9"/>
      <c r="U568" s="9"/>
      <c r="V568" s="9"/>
      <c r="W568" s="9"/>
      <c r="X568" s="11"/>
      <c r="Y568" s="8"/>
      <c r="Z568" s="9"/>
      <c r="AA568" s="8"/>
      <c r="AB568" s="9"/>
      <c r="AC568" s="8"/>
      <c r="AD568" s="8"/>
      <c r="AE568" s="9"/>
    </row>
    <row r="569" spans="1:31" x14ac:dyDescent="0.15">
      <c r="A569" s="8"/>
      <c r="B569" s="8"/>
      <c r="C569" s="8"/>
      <c r="D569" s="8"/>
      <c r="E569" s="8"/>
      <c r="F569" s="8"/>
      <c r="G569" s="10"/>
      <c r="H569" s="11"/>
      <c r="I569" s="8"/>
      <c r="J569" s="9"/>
      <c r="K569" s="8"/>
      <c r="L569" s="9"/>
      <c r="M569" s="8"/>
      <c r="N569" s="8"/>
      <c r="O569" s="9"/>
      <c r="P569" s="9"/>
      <c r="Q569" s="9"/>
      <c r="R569" s="9"/>
      <c r="S569" s="9"/>
      <c r="T569" s="9"/>
      <c r="U569" s="9"/>
      <c r="V569" s="9"/>
      <c r="W569" s="9"/>
      <c r="X569" s="11"/>
      <c r="Y569" s="8"/>
      <c r="Z569" s="9"/>
      <c r="AA569" s="8"/>
      <c r="AB569" s="9"/>
      <c r="AC569" s="8"/>
      <c r="AD569" s="8"/>
      <c r="AE569" s="9"/>
    </row>
    <row r="570" spans="1:31" x14ac:dyDescent="0.15">
      <c r="A570" s="8"/>
      <c r="B570" s="8"/>
      <c r="C570" s="8"/>
      <c r="D570" s="8"/>
      <c r="E570" s="8"/>
      <c r="F570" s="8"/>
      <c r="G570" s="10"/>
      <c r="H570" s="11"/>
      <c r="I570" s="8"/>
      <c r="J570" s="9"/>
      <c r="K570" s="8"/>
      <c r="L570" s="9"/>
      <c r="M570" s="8"/>
      <c r="N570" s="8"/>
      <c r="O570" s="9"/>
      <c r="P570" s="9"/>
      <c r="Q570" s="9"/>
      <c r="R570" s="9"/>
      <c r="S570" s="9"/>
      <c r="T570" s="9"/>
      <c r="U570" s="9"/>
      <c r="V570" s="9"/>
      <c r="W570" s="9"/>
      <c r="X570" s="11"/>
      <c r="Y570" s="8"/>
      <c r="Z570" s="9"/>
      <c r="AA570" s="8"/>
      <c r="AB570" s="9"/>
      <c r="AC570" s="8"/>
      <c r="AD570" s="8"/>
      <c r="AE570" s="9"/>
    </row>
    <row r="571" spans="1:31" x14ac:dyDescent="0.15">
      <c r="A571" s="8"/>
      <c r="B571" s="8"/>
      <c r="C571" s="8"/>
      <c r="D571" s="8"/>
      <c r="E571" s="8"/>
      <c r="F571" s="8"/>
      <c r="G571" s="10"/>
      <c r="H571" s="11"/>
      <c r="I571" s="8"/>
      <c r="J571" s="9"/>
      <c r="K571" s="8"/>
      <c r="L571" s="9"/>
      <c r="M571" s="8"/>
      <c r="N571" s="8"/>
      <c r="O571" s="9"/>
      <c r="P571" s="9"/>
      <c r="Q571" s="9"/>
      <c r="R571" s="9"/>
      <c r="S571" s="9"/>
      <c r="T571" s="9"/>
      <c r="U571" s="9"/>
      <c r="V571" s="9"/>
      <c r="W571" s="9"/>
      <c r="X571" s="11"/>
      <c r="Y571" s="8"/>
      <c r="Z571" s="9"/>
      <c r="AA571" s="8"/>
      <c r="AB571" s="9"/>
      <c r="AC571" s="8"/>
      <c r="AD571" s="8"/>
      <c r="AE571" s="9"/>
    </row>
    <row r="572" spans="1:31" x14ac:dyDescent="0.15">
      <c r="A572" s="8"/>
      <c r="B572" s="8"/>
      <c r="C572" s="8"/>
      <c r="D572" s="8"/>
      <c r="E572" s="8"/>
      <c r="F572" s="8"/>
      <c r="G572" s="10"/>
      <c r="H572" s="11"/>
      <c r="I572" s="8"/>
      <c r="J572" s="9"/>
      <c r="K572" s="8"/>
      <c r="L572" s="9"/>
      <c r="M572" s="8"/>
      <c r="N572" s="8"/>
      <c r="O572" s="9"/>
      <c r="P572" s="9"/>
      <c r="Q572" s="9"/>
      <c r="R572" s="9"/>
      <c r="S572" s="9"/>
      <c r="T572" s="9"/>
      <c r="U572" s="9"/>
      <c r="V572" s="9"/>
      <c r="W572" s="9"/>
      <c r="X572" s="11"/>
      <c r="Y572" s="8"/>
      <c r="Z572" s="9"/>
      <c r="AA572" s="8"/>
      <c r="AB572" s="9"/>
      <c r="AC572" s="8"/>
      <c r="AD572" s="8"/>
      <c r="AE572" s="9"/>
    </row>
    <row r="573" spans="1:31" x14ac:dyDescent="0.15">
      <c r="A573" s="8"/>
      <c r="B573" s="8"/>
      <c r="C573" s="8"/>
      <c r="D573" s="8"/>
      <c r="E573" s="8"/>
      <c r="F573" s="8"/>
      <c r="G573" s="10"/>
      <c r="H573" s="11"/>
      <c r="I573" s="8"/>
      <c r="J573" s="9"/>
      <c r="K573" s="8"/>
      <c r="L573" s="9"/>
      <c r="M573" s="8"/>
      <c r="N573" s="8"/>
      <c r="O573" s="9"/>
      <c r="P573" s="9"/>
      <c r="Q573" s="9"/>
      <c r="R573" s="9"/>
      <c r="S573" s="9"/>
      <c r="T573" s="9"/>
      <c r="U573" s="9"/>
      <c r="V573" s="9"/>
      <c r="W573" s="9"/>
      <c r="X573" s="11"/>
      <c r="Y573" s="8"/>
      <c r="Z573" s="9"/>
      <c r="AA573" s="8"/>
      <c r="AB573" s="9"/>
      <c r="AC573" s="8"/>
      <c r="AD573" s="8"/>
      <c r="AE573" s="9"/>
    </row>
    <row r="574" spans="1:31" x14ac:dyDescent="0.15">
      <c r="A574" s="8"/>
      <c r="B574" s="8"/>
      <c r="C574" s="8"/>
      <c r="D574" s="8"/>
      <c r="E574" s="8"/>
      <c r="F574" s="8"/>
      <c r="G574" s="10"/>
      <c r="H574" s="11"/>
      <c r="I574" s="8"/>
      <c r="J574" s="9"/>
      <c r="K574" s="8"/>
      <c r="L574" s="9"/>
      <c r="M574" s="8"/>
      <c r="N574" s="8"/>
      <c r="O574" s="9"/>
      <c r="P574" s="9"/>
      <c r="Q574" s="9"/>
      <c r="R574" s="9"/>
      <c r="S574" s="9"/>
      <c r="T574" s="9"/>
      <c r="U574" s="9"/>
      <c r="V574" s="9"/>
      <c r="W574" s="9"/>
      <c r="X574" s="11"/>
      <c r="Y574" s="8"/>
      <c r="Z574" s="9"/>
      <c r="AA574" s="8"/>
      <c r="AB574" s="9"/>
      <c r="AC574" s="8"/>
      <c r="AD574" s="8"/>
      <c r="AE574" s="9"/>
    </row>
    <row r="575" spans="1:31" x14ac:dyDescent="0.15">
      <c r="A575" s="8"/>
      <c r="B575" s="8"/>
      <c r="C575" s="8"/>
      <c r="D575" s="8"/>
      <c r="E575" s="8"/>
      <c r="F575" s="8"/>
      <c r="G575" s="10"/>
      <c r="H575" s="11"/>
      <c r="I575" s="8"/>
      <c r="J575" s="9"/>
      <c r="K575" s="8"/>
      <c r="L575" s="9"/>
      <c r="M575" s="8"/>
      <c r="N575" s="8"/>
      <c r="O575" s="9"/>
      <c r="P575" s="9"/>
      <c r="Q575" s="9"/>
      <c r="R575" s="9"/>
      <c r="S575" s="9"/>
      <c r="T575" s="9"/>
      <c r="U575" s="9"/>
      <c r="V575" s="9"/>
      <c r="W575" s="9"/>
      <c r="X575" s="11"/>
      <c r="Y575" s="8"/>
      <c r="Z575" s="9"/>
      <c r="AA575" s="8"/>
      <c r="AB575" s="9"/>
      <c r="AC575" s="8"/>
      <c r="AD575" s="8"/>
      <c r="AE575" s="9"/>
    </row>
    <row r="576" spans="1:31" x14ac:dyDescent="0.15">
      <c r="A576" s="8"/>
      <c r="B576" s="8"/>
      <c r="C576" s="8"/>
      <c r="D576" s="8"/>
      <c r="E576" s="8"/>
      <c r="F576" s="8"/>
      <c r="G576" s="10"/>
      <c r="H576" s="11"/>
      <c r="I576" s="8"/>
      <c r="J576" s="9"/>
      <c r="K576" s="8"/>
      <c r="L576" s="9"/>
      <c r="M576" s="8"/>
      <c r="N576" s="8"/>
      <c r="O576" s="9"/>
      <c r="P576" s="9"/>
      <c r="Q576" s="9"/>
      <c r="R576" s="9"/>
      <c r="S576" s="9"/>
      <c r="T576" s="9"/>
      <c r="U576" s="9"/>
      <c r="V576" s="9"/>
      <c r="W576" s="9"/>
      <c r="X576" s="11"/>
      <c r="Y576" s="8"/>
      <c r="Z576" s="9"/>
      <c r="AA576" s="8"/>
      <c r="AB576" s="9"/>
      <c r="AC576" s="8"/>
      <c r="AD576" s="8"/>
      <c r="AE576" s="9"/>
    </row>
    <row r="577" spans="1:31" x14ac:dyDescent="0.15">
      <c r="A577" s="8"/>
      <c r="B577" s="8"/>
      <c r="C577" s="8"/>
      <c r="D577" s="8"/>
      <c r="E577" s="8"/>
      <c r="F577" s="8"/>
      <c r="G577" s="10"/>
      <c r="H577" s="11"/>
      <c r="I577" s="8"/>
      <c r="J577" s="9"/>
      <c r="K577" s="8"/>
      <c r="L577" s="9"/>
      <c r="M577" s="8"/>
      <c r="N577" s="8"/>
      <c r="O577" s="9"/>
      <c r="P577" s="9"/>
      <c r="Q577" s="9"/>
      <c r="R577" s="9"/>
      <c r="S577" s="9"/>
      <c r="T577" s="9"/>
      <c r="U577" s="9"/>
      <c r="V577" s="9"/>
      <c r="W577" s="9"/>
      <c r="X577" s="11"/>
      <c r="Y577" s="8"/>
      <c r="Z577" s="9"/>
      <c r="AA577" s="8"/>
      <c r="AB577" s="9"/>
      <c r="AC577" s="8"/>
      <c r="AD577" s="8"/>
      <c r="AE577" s="9"/>
    </row>
    <row r="578" spans="1:31" x14ac:dyDescent="0.15">
      <c r="A578" s="8"/>
      <c r="B578" s="8"/>
      <c r="C578" s="8"/>
      <c r="D578" s="8"/>
      <c r="E578" s="8"/>
      <c r="F578" s="8"/>
      <c r="G578" s="10"/>
      <c r="H578" s="11"/>
      <c r="I578" s="8"/>
      <c r="J578" s="9"/>
      <c r="K578" s="8"/>
      <c r="L578" s="9"/>
      <c r="M578" s="8"/>
      <c r="N578" s="8"/>
      <c r="O578" s="9"/>
      <c r="P578" s="9"/>
      <c r="Q578" s="9"/>
      <c r="R578" s="9"/>
      <c r="S578" s="9"/>
      <c r="T578" s="9"/>
      <c r="U578" s="9"/>
      <c r="V578" s="9"/>
      <c r="W578" s="9"/>
      <c r="X578" s="11"/>
      <c r="Y578" s="8"/>
      <c r="Z578" s="9"/>
      <c r="AA578" s="8"/>
      <c r="AB578" s="9"/>
      <c r="AC578" s="8"/>
      <c r="AD578" s="8"/>
      <c r="AE578" s="9"/>
    </row>
    <row r="579" spans="1:31" outlineLevel="1" x14ac:dyDescent="0.15">
      <c r="A579" s="8"/>
      <c r="B579" s="8"/>
      <c r="C579" s="8"/>
      <c r="D579" s="8"/>
      <c r="E579" s="8"/>
      <c r="F579" s="8"/>
      <c r="G579" s="10"/>
      <c r="H579" s="11"/>
      <c r="I579" s="8"/>
      <c r="J579" s="9"/>
      <c r="K579" s="8"/>
      <c r="L579" s="9"/>
      <c r="M579" s="8"/>
      <c r="N579" s="8"/>
      <c r="O579" s="9"/>
      <c r="P579" s="9"/>
      <c r="Q579" s="9"/>
      <c r="R579" s="9"/>
      <c r="S579" s="9"/>
      <c r="T579" s="9"/>
      <c r="U579" s="9"/>
      <c r="V579" s="9"/>
      <c r="W579" s="9"/>
      <c r="X579" s="11"/>
      <c r="Y579" s="8"/>
      <c r="Z579" s="9"/>
      <c r="AA579" s="8"/>
      <c r="AB579" s="9"/>
      <c r="AC579" s="8"/>
      <c r="AD579" s="8"/>
      <c r="AE579" s="9"/>
    </row>
    <row r="580" spans="1:31" outlineLevel="1" x14ac:dyDescent="0.15">
      <c r="A580" s="8"/>
      <c r="B580" s="8"/>
      <c r="C580" s="8"/>
      <c r="D580" s="8"/>
      <c r="E580" s="8"/>
      <c r="F580" s="8"/>
      <c r="G580" s="10"/>
      <c r="H580" s="11"/>
      <c r="I580" s="8"/>
      <c r="J580" s="9"/>
      <c r="K580" s="8"/>
      <c r="L580" s="9"/>
      <c r="M580" s="8"/>
      <c r="N580" s="8"/>
      <c r="O580" s="9"/>
      <c r="P580" s="9"/>
      <c r="Q580" s="9"/>
      <c r="R580" s="9"/>
      <c r="S580" s="9"/>
      <c r="T580" s="9"/>
      <c r="U580" s="9"/>
      <c r="V580" s="9"/>
      <c r="W580" s="9"/>
      <c r="X580" s="11"/>
      <c r="Y580" s="8"/>
      <c r="Z580" s="9"/>
      <c r="AA580" s="8"/>
      <c r="AB580" s="9"/>
      <c r="AC580" s="8"/>
      <c r="AD580" s="8"/>
      <c r="AE580" s="9"/>
    </row>
    <row r="581" spans="1:31" outlineLevel="1" x14ac:dyDescent="0.15">
      <c r="A581" s="8"/>
      <c r="B581" s="8"/>
      <c r="C581" s="8"/>
      <c r="D581" s="8"/>
      <c r="E581" s="8"/>
      <c r="F581" s="8"/>
      <c r="G581" s="10"/>
      <c r="H581" s="11"/>
      <c r="I581" s="8"/>
      <c r="J581" s="9"/>
      <c r="K581" s="8"/>
      <c r="L581" s="9"/>
      <c r="M581" s="8"/>
      <c r="N581" s="8"/>
      <c r="O581" s="9"/>
      <c r="P581" s="9"/>
      <c r="Q581" s="9"/>
      <c r="R581" s="9"/>
      <c r="S581" s="9"/>
      <c r="T581" s="9"/>
      <c r="U581" s="9"/>
      <c r="V581" s="9"/>
      <c r="W581" s="9"/>
      <c r="X581" s="11"/>
      <c r="Y581" s="8"/>
      <c r="Z581" s="9"/>
      <c r="AA581" s="8"/>
      <c r="AB581" s="9"/>
      <c r="AC581" s="8"/>
      <c r="AD581" s="8"/>
      <c r="AE581" s="9"/>
    </row>
    <row r="582" spans="1:31" outlineLevel="1" x14ac:dyDescent="0.15">
      <c r="A582" s="8"/>
      <c r="B582" s="8"/>
      <c r="C582" s="8"/>
      <c r="D582" s="8"/>
      <c r="E582" s="8"/>
      <c r="F582" s="8"/>
      <c r="G582" s="10"/>
      <c r="H582" s="11"/>
      <c r="I582" s="8"/>
      <c r="J582" s="9"/>
      <c r="K582" s="8"/>
      <c r="L582" s="9"/>
      <c r="M582" s="8"/>
      <c r="N582" s="8"/>
      <c r="O582" s="9"/>
      <c r="P582" s="9"/>
      <c r="Q582" s="9"/>
      <c r="R582" s="9"/>
      <c r="S582" s="9"/>
      <c r="T582" s="9"/>
      <c r="U582" s="9"/>
      <c r="V582" s="9"/>
      <c r="W582" s="9"/>
      <c r="X582" s="11"/>
      <c r="Y582" s="8"/>
      <c r="Z582" s="9"/>
      <c r="AA582" s="8"/>
      <c r="AB582" s="9"/>
      <c r="AC582" s="8"/>
      <c r="AD582" s="8"/>
      <c r="AE582" s="9"/>
    </row>
    <row r="583" spans="1:31" outlineLevel="1" x14ac:dyDescent="0.15">
      <c r="A583" s="8"/>
      <c r="B583" s="8"/>
      <c r="C583" s="8"/>
      <c r="D583" s="8"/>
      <c r="E583" s="8"/>
      <c r="F583" s="8"/>
      <c r="G583" s="10"/>
      <c r="H583" s="11"/>
      <c r="I583" s="8"/>
      <c r="J583" s="9"/>
      <c r="K583" s="8"/>
      <c r="L583" s="9"/>
      <c r="M583" s="8"/>
      <c r="N583" s="8"/>
      <c r="O583" s="9"/>
      <c r="P583" s="9"/>
      <c r="Q583" s="9"/>
      <c r="R583" s="9"/>
      <c r="S583" s="9"/>
      <c r="T583" s="9"/>
      <c r="U583" s="9"/>
      <c r="V583" s="9"/>
      <c r="W583" s="9"/>
      <c r="X583" s="11"/>
      <c r="Y583" s="8"/>
      <c r="Z583" s="9"/>
      <c r="AA583" s="8"/>
      <c r="AB583" s="9"/>
      <c r="AC583" s="8"/>
      <c r="AD583" s="8"/>
      <c r="AE583" s="9"/>
    </row>
    <row r="584" spans="1:31" outlineLevel="1" x14ac:dyDescent="0.15">
      <c r="A584" s="8"/>
      <c r="B584" s="8"/>
      <c r="C584" s="8"/>
      <c r="D584" s="8"/>
      <c r="E584" s="8"/>
      <c r="F584" s="8"/>
      <c r="G584" s="10"/>
      <c r="H584" s="11"/>
      <c r="I584" s="8"/>
      <c r="J584" s="9"/>
      <c r="K584" s="8"/>
      <c r="L584" s="9"/>
      <c r="M584" s="8"/>
      <c r="N584" s="8"/>
      <c r="O584" s="9"/>
      <c r="P584" s="9"/>
      <c r="Q584" s="9"/>
      <c r="R584" s="9"/>
      <c r="S584" s="9"/>
      <c r="T584" s="9"/>
      <c r="U584" s="9"/>
      <c r="V584" s="9"/>
      <c r="W584" s="9"/>
      <c r="X584" s="11"/>
      <c r="Y584" s="8"/>
      <c r="Z584" s="9"/>
      <c r="AA584" s="8"/>
      <c r="AB584" s="9"/>
      <c r="AC584" s="8"/>
      <c r="AD584" s="8"/>
      <c r="AE584" s="9"/>
    </row>
    <row r="585" spans="1:31" outlineLevel="1" x14ac:dyDescent="0.15">
      <c r="A585" s="8"/>
      <c r="B585" s="8"/>
      <c r="C585" s="8"/>
      <c r="D585" s="8"/>
      <c r="E585" s="8"/>
      <c r="F585" s="8"/>
      <c r="G585" s="10"/>
      <c r="H585" s="11"/>
      <c r="I585" s="8"/>
      <c r="J585" s="9"/>
      <c r="K585" s="8"/>
      <c r="L585" s="9"/>
      <c r="M585" s="8"/>
      <c r="N585" s="8"/>
      <c r="O585" s="9"/>
      <c r="P585" s="9"/>
      <c r="Q585" s="9"/>
      <c r="R585" s="9"/>
      <c r="S585" s="9"/>
      <c r="T585" s="9"/>
      <c r="U585" s="9"/>
      <c r="V585" s="9"/>
      <c r="W585" s="9"/>
      <c r="X585" s="11"/>
      <c r="Y585" s="8"/>
      <c r="Z585" s="9"/>
      <c r="AA585" s="8"/>
      <c r="AB585" s="9"/>
      <c r="AC585" s="8"/>
      <c r="AD585" s="8"/>
      <c r="AE585" s="9"/>
    </row>
    <row r="586" spans="1:31" outlineLevel="1" x14ac:dyDescent="0.15">
      <c r="A586" s="8"/>
      <c r="B586" s="8"/>
      <c r="C586" s="8"/>
      <c r="D586" s="8"/>
      <c r="E586" s="8"/>
      <c r="F586" s="8"/>
      <c r="G586" s="10"/>
      <c r="H586" s="11"/>
      <c r="I586" s="8"/>
      <c r="J586" s="9"/>
      <c r="K586" s="8"/>
      <c r="L586" s="9"/>
      <c r="M586" s="8"/>
      <c r="N586" s="8"/>
      <c r="O586" s="9"/>
      <c r="P586" s="9"/>
      <c r="Q586" s="9"/>
      <c r="R586" s="9"/>
      <c r="S586" s="9"/>
      <c r="T586" s="9"/>
      <c r="U586" s="9"/>
      <c r="V586" s="9"/>
      <c r="W586" s="9"/>
      <c r="X586" s="11"/>
      <c r="Y586" s="8"/>
      <c r="Z586" s="9"/>
      <c r="AA586" s="8"/>
      <c r="AB586" s="9"/>
      <c r="AC586" s="8"/>
      <c r="AD586" s="8"/>
      <c r="AE586" s="9"/>
    </row>
    <row r="587" spans="1:31" outlineLevel="1" x14ac:dyDescent="0.15">
      <c r="A587" s="8"/>
      <c r="B587" s="8"/>
      <c r="C587" s="8"/>
      <c r="D587" s="8"/>
      <c r="E587" s="8"/>
      <c r="F587" s="8"/>
      <c r="G587" s="10"/>
      <c r="H587" s="11"/>
      <c r="I587" s="8"/>
      <c r="J587" s="9"/>
      <c r="K587" s="8"/>
      <c r="L587" s="9"/>
      <c r="M587" s="8"/>
      <c r="N587" s="8"/>
      <c r="O587" s="9"/>
      <c r="P587" s="9"/>
      <c r="Q587" s="9"/>
      <c r="R587" s="9"/>
      <c r="S587" s="9"/>
      <c r="T587" s="9"/>
      <c r="U587" s="9"/>
      <c r="V587" s="9"/>
      <c r="W587" s="9"/>
      <c r="X587" s="11"/>
      <c r="Y587" s="8"/>
      <c r="Z587" s="9"/>
      <c r="AA587" s="8"/>
      <c r="AB587" s="9"/>
      <c r="AC587" s="8"/>
      <c r="AD587" s="8"/>
      <c r="AE587" s="9"/>
    </row>
    <row r="588" spans="1:31" x14ac:dyDescent="0.15">
      <c r="A588" s="8"/>
      <c r="B588" s="8"/>
      <c r="C588" s="8"/>
      <c r="D588" s="8"/>
      <c r="E588" s="8"/>
      <c r="F588" s="8"/>
      <c r="G588" s="10"/>
      <c r="H588" s="11"/>
      <c r="I588" s="8"/>
      <c r="J588" s="9"/>
      <c r="K588" s="8"/>
      <c r="L588" s="9"/>
      <c r="M588" s="8"/>
      <c r="N588" s="8"/>
      <c r="O588" s="9"/>
      <c r="P588" s="9"/>
      <c r="Q588" s="9"/>
      <c r="R588" s="9"/>
      <c r="S588" s="9"/>
      <c r="T588" s="9"/>
      <c r="U588" s="9"/>
      <c r="V588" s="9"/>
      <c r="W588" s="9"/>
      <c r="X588" s="11"/>
      <c r="Y588" s="8"/>
      <c r="Z588" s="9"/>
      <c r="AA588" s="8"/>
      <c r="AB588" s="9"/>
      <c r="AC588" s="8"/>
      <c r="AD588" s="8"/>
      <c r="AE588" s="9"/>
    </row>
    <row r="589" spans="1:31" x14ac:dyDescent="0.15">
      <c r="A589" s="8"/>
      <c r="B589" s="8"/>
      <c r="C589" s="8"/>
      <c r="D589" s="8"/>
      <c r="E589" s="8"/>
      <c r="F589" s="8"/>
      <c r="G589" s="10"/>
      <c r="H589" s="11"/>
      <c r="I589" s="8"/>
      <c r="J589" s="9"/>
      <c r="K589" s="8"/>
      <c r="L589" s="9"/>
      <c r="M589" s="8"/>
      <c r="N589" s="8"/>
      <c r="O589" s="9"/>
      <c r="P589" s="9"/>
      <c r="Q589" s="9"/>
      <c r="R589" s="9"/>
      <c r="S589" s="9"/>
      <c r="T589" s="9"/>
      <c r="U589" s="9"/>
      <c r="V589" s="9"/>
      <c r="W589" s="9"/>
      <c r="X589" s="11"/>
      <c r="Y589" s="8"/>
      <c r="Z589" s="9"/>
      <c r="AA589" s="8"/>
      <c r="AB589" s="9"/>
      <c r="AC589" s="8"/>
      <c r="AD589" s="8"/>
      <c r="AE589" s="9"/>
    </row>
    <row r="590" spans="1:31" x14ac:dyDescent="0.15">
      <c r="A590" s="8"/>
      <c r="B590" s="8"/>
      <c r="C590" s="8"/>
      <c r="D590" s="8"/>
      <c r="E590" s="8"/>
      <c r="F590" s="8"/>
      <c r="G590" s="10"/>
      <c r="H590" s="11"/>
      <c r="I590" s="8"/>
      <c r="J590" s="9"/>
      <c r="K590" s="8"/>
      <c r="L590" s="9"/>
      <c r="M590" s="8"/>
      <c r="N590" s="8"/>
      <c r="O590" s="9"/>
      <c r="P590" s="9"/>
      <c r="Q590" s="9"/>
      <c r="R590" s="9"/>
      <c r="S590" s="9"/>
      <c r="T590" s="9"/>
      <c r="U590" s="9"/>
      <c r="V590" s="9"/>
      <c r="W590" s="9"/>
      <c r="X590" s="11"/>
      <c r="Y590" s="8"/>
      <c r="Z590" s="9"/>
      <c r="AA590" s="8"/>
      <c r="AB590" s="9"/>
      <c r="AC590" s="8"/>
      <c r="AD590" s="8"/>
      <c r="AE590" s="9"/>
    </row>
    <row r="591" spans="1:31" x14ac:dyDescent="0.15">
      <c r="A591" s="8"/>
      <c r="B591" s="8"/>
      <c r="C591" s="8"/>
      <c r="D591" s="8"/>
      <c r="E591" s="8"/>
      <c r="F591" s="8"/>
      <c r="G591" s="10"/>
      <c r="H591" s="11"/>
      <c r="I591" s="8"/>
      <c r="J591" s="9"/>
      <c r="K591" s="8"/>
      <c r="L591" s="9"/>
      <c r="M591" s="8"/>
      <c r="N591" s="8"/>
      <c r="O591" s="9"/>
      <c r="P591" s="9"/>
      <c r="Q591" s="9"/>
      <c r="R591" s="9"/>
      <c r="S591" s="9"/>
      <c r="T591" s="9"/>
      <c r="U591" s="9"/>
      <c r="V591" s="9"/>
      <c r="W591" s="9"/>
      <c r="X591" s="11"/>
      <c r="Y591" s="8"/>
      <c r="Z591" s="9"/>
      <c r="AA591" s="8"/>
      <c r="AB591" s="9"/>
      <c r="AC591" s="8"/>
      <c r="AD591" s="8"/>
      <c r="AE591" s="9"/>
    </row>
    <row r="592" spans="1:31" x14ac:dyDescent="0.15">
      <c r="A592" s="8"/>
      <c r="B592" s="8"/>
      <c r="C592" s="8"/>
      <c r="D592" s="8"/>
      <c r="E592" s="8"/>
      <c r="F592" s="8"/>
      <c r="G592" s="10"/>
      <c r="H592" s="11"/>
      <c r="I592" s="8"/>
      <c r="J592" s="9"/>
      <c r="K592" s="8"/>
      <c r="L592" s="9"/>
      <c r="M592" s="8"/>
      <c r="N592" s="8"/>
      <c r="O592" s="9"/>
      <c r="P592" s="9"/>
      <c r="Q592" s="9"/>
      <c r="R592" s="9"/>
      <c r="S592" s="9"/>
      <c r="T592" s="9"/>
      <c r="U592" s="9"/>
      <c r="V592" s="9"/>
      <c r="W592" s="9"/>
      <c r="X592" s="11"/>
      <c r="Y592" s="8"/>
      <c r="Z592" s="9"/>
      <c r="AA592" s="8"/>
      <c r="AB592" s="9"/>
      <c r="AC592" s="8"/>
      <c r="AD592" s="8"/>
      <c r="AE592" s="9"/>
    </row>
    <row r="593" spans="1:31" x14ac:dyDescent="0.15">
      <c r="A593" s="8"/>
      <c r="B593" s="8"/>
      <c r="C593" s="8"/>
      <c r="D593" s="8"/>
      <c r="E593" s="8"/>
      <c r="F593" s="8"/>
      <c r="G593" s="10"/>
      <c r="H593" s="11"/>
      <c r="I593" s="8"/>
      <c r="J593" s="9"/>
      <c r="K593" s="8"/>
      <c r="L593" s="9"/>
      <c r="M593" s="8"/>
      <c r="N593" s="8"/>
      <c r="O593" s="9"/>
      <c r="P593" s="9"/>
      <c r="Q593" s="9"/>
      <c r="R593" s="9"/>
      <c r="S593" s="9"/>
      <c r="T593" s="9"/>
      <c r="U593" s="9"/>
      <c r="V593" s="9"/>
      <c r="W593" s="9"/>
      <c r="X593" s="11"/>
      <c r="Y593" s="8"/>
      <c r="Z593" s="9"/>
      <c r="AA593" s="8"/>
      <c r="AB593" s="9"/>
      <c r="AC593" s="8"/>
      <c r="AD593" s="8"/>
      <c r="AE593" s="9"/>
    </row>
    <row r="594" spans="1:31" x14ac:dyDescent="0.15">
      <c r="A594" s="8"/>
      <c r="B594" s="8"/>
      <c r="C594" s="8"/>
      <c r="D594" s="8"/>
      <c r="E594" s="8"/>
      <c r="F594" s="8"/>
      <c r="G594" s="10"/>
      <c r="H594" s="11"/>
      <c r="I594" s="8"/>
      <c r="J594" s="9"/>
      <c r="K594" s="8"/>
      <c r="L594" s="9"/>
      <c r="M594" s="8"/>
      <c r="N594" s="8"/>
      <c r="O594" s="9"/>
      <c r="P594" s="9"/>
      <c r="Q594" s="9"/>
      <c r="R594" s="9"/>
      <c r="S594" s="9"/>
      <c r="T594" s="9"/>
      <c r="U594" s="9"/>
      <c r="V594" s="9"/>
      <c r="W594" s="9"/>
      <c r="X594" s="11"/>
      <c r="Y594" s="8"/>
      <c r="Z594" s="9"/>
      <c r="AA594" s="8"/>
      <c r="AB594" s="9"/>
      <c r="AC594" s="8"/>
      <c r="AD594" s="8"/>
      <c r="AE594" s="9"/>
    </row>
    <row r="595" spans="1:31" x14ac:dyDescent="0.15">
      <c r="A595" s="8"/>
      <c r="B595" s="8"/>
      <c r="C595" s="8"/>
      <c r="D595" s="8"/>
      <c r="E595" s="8"/>
      <c r="F595" s="8"/>
      <c r="G595" s="10"/>
      <c r="H595" s="11"/>
      <c r="I595" s="8"/>
      <c r="J595" s="9"/>
      <c r="K595" s="8"/>
      <c r="L595" s="9"/>
      <c r="M595" s="8"/>
      <c r="N595" s="8"/>
      <c r="O595" s="9"/>
      <c r="P595" s="9"/>
      <c r="Q595" s="9"/>
      <c r="R595" s="9"/>
      <c r="S595" s="9"/>
      <c r="T595" s="9"/>
      <c r="U595" s="9"/>
      <c r="V595" s="9"/>
      <c r="W595" s="9"/>
      <c r="X595" s="11"/>
      <c r="Y595" s="8"/>
      <c r="Z595" s="9"/>
      <c r="AA595" s="8"/>
      <c r="AB595" s="9"/>
      <c r="AC595" s="8"/>
      <c r="AD595" s="8"/>
      <c r="AE595" s="9"/>
    </row>
    <row r="596" spans="1:31" x14ac:dyDescent="0.15">
      <c r="A596" s="8"/>
      <c r="B596" s="8"/>
      <c r="C596" s="8"/>
      <c r="D596" s="8"/>
      <c r="E596" s="8"/>
      <c r="F596" s="8"/>
      <c r="G596" s="10"/>
      <c r="H596" s="11"/>
      <c r="I596" s="8"/>
      <c r="J596" s="9"/>
      <c r="K596" s="8"/>
      <c r="L596" s="9"/>
      <c r="M596" s="8"/>
      <c r="N596" s="8"/>
      <c r="O596" s="9"/>
      <c r="P596" s="9"/>
      <c r="Q596" s="9"/>
      <c r="R596" s="9"/>
      <c r="S596" s="9"/>
      <c r="T596" s="9"/>
      <c r="U596" s="9"/>
      <c r="V596" s="9"/>
      <c r="W596" s="9"/>
      <c r="X596" s="11"/>
      <c r="Y596" s="8"/>
      <c r="Z596" s="9"/>
      <c r="AA596" s="8"/>
      <c r="AB596" s="9"/>
      <c r="AC596" s="8"/>
      <c r="AD596" s="8"/>
      <c r="AE596" s="9"/>
    </row>
    <row r="597" spans="1:31" outlineLevel="1" x14ac:dyDescent="0.15">
      <c r="A597" s="8"/>
      <c r="B597" s="8"/>
      <c r="C597" s="8"/>
      <c r="D597" s="8"/>
      <c r="E597" s="8"/>
      <c r="F597" s="8"/>
      <c r="G597" s="10"/>
      <c r="H597" s="11"/>
      <c r="I597" s="8"/>
      <c r="J597" s="9"/>
      <c r="K597" s="8"/>
      <c r="L597" s="9"/>
      <c r="M597" s="8"/>
      <c r="N597" s="8"/>
      <c r="O597" s="9"/>
      <c r="P597" s="9"/>
      <c r="Q597" s="9"/>
      <c r="R597" s="9"/>
      <c r="S597" s="9"/>
      <c r="T597" s="9"/>
      <c r="U597" s="9"/>
      <c r="V597" s="9"/>
      <c r="W597" s="9"/>
      <c r="X597" s="11"/>
      <c r="Y597" s="8"/>
      <c r="Z597" s="9"/>
      <c r="AA597" s="8"/>
      <c r="AB597" s="9"/>
      <c r="AC597" s="8"/>
      <c r="AD597" s="8"/>
      <c r="AE597" s="9"/>
    </row>
    <row r="598" spans="1:31" outlineLevel="1" x14ac:dyDescent="0.15">
      <c r="A598" s="8"/>
      <c r="B598" s="8"/>
      <c r="C598" s="8"/>
      <c r="D598" s="8"/>
      <c r="E598" s="8"/>
      <c r="F598" s="8"/>
      <c r="G598" s="10"/>
      <c r="H598" s="11"/>
      <c r="I598" s="8"/>
      <c r="J598" s="9"/>
      <c r="K598" s="8"/>
      <c r="L598" s="9"/>
      <c r="M598" s="8"/>
      <c r="N598" s="8"/>
      <c r="O598" s="9"/>
      <c r="P598" s="9"/>
      <c r="Q598" s="9"/>
      <c r="R598" s="9"/>
      <c r="S598" s="9"/>
      <c r="T598" s="9"/>
      <c r="U598" s="9"/>
      <c r="V598" s="9"/>
      <c r="W598" s="9"/>
      <c r="X598" s="11"/>
      <c r="Y598" s="8"/>
      <c r="Z598" s="9"/>
      <c r="AA598" s="8"/>
      <c r="AB598" s="9"/>
      <c r="AC598" s="8"/>
      <c r="AD598" s="8"/>
      <c r="AE598" s="9"/>
    </row>
    <row r="599" spans="1:31" outlineLevel="1" x14ac:dyDescent="0.15">
      <c r="A599" s="8"/>
      <c r="B599" s="8"/>
      <c r="C599" s="8"/>
      <c r="D599" s="8"/>
      <c r="E599" s="8"/>
      <c r="F599" s="8"/>
      <c r="G599" s="10"/>
      <c r="H599" s="11"/>
      <c r="I599" s="8"/>
      <c r="J599" s="9"/>
      <c r="K599" s="8"/>
      <c r="L599" s="9"/>
      <c r="M599" s="8"/>
      <c r="N599" s="8"/>
      <c r="O599" s="9"/>
      <c r="P599" s="9"/>
      <c r="Q599" s="9"/>
      <c r="R599" s="9"/>
      <c r="S599" s="9"/>
      <c r="T599" s="9"/>
      <c r="U599" s="9"/>
      <c r="V599" s="9"/>
      <c r="W599" s="9"/>
      <c r="X599" s="11"/>
      <c r="Y599" s="8"/>
      <c r="Z599" s="9"/>
      <c r="AA599" s="8"/>
      <c r="AB599" s="9"/>
      <c r="AC599" s="8"/>
      <c r="AD599" s="8"/>
      <c r="AE599" s="9"/>
    </row>
    <row r="600" spans="1:31" outlineLevel="1" x14ac:dyDescent="0.15">
      <c r="A600" s="8"/>
      <c r="B600" s="8"/>
      <c r="C600" s="8"/>
      <c r="D600" s="8"/>
      <c r="E600" s="8"/>
      <c r="F600" s="8"/>
      <c r="G600" s="10"/>
      <c r="H600" s="11"/>
      <c r="I600" s="8"/>
      <c r="J600" s="9"/>
      <c r="K600" s="8"/>
      <c r="L600" s="9"/>
      <c r="M600" s="8"/>
      <c r="N600" s="8"/>
      <c r="O600" s="9"/>
      <c r="P600" s="9"/>
      <c r="Q600" s="9"/>
      <c r="R600" s="9"/>
      <c r="S600" s="9"/>
      <c r="T600" s="9"/>
      <c r="U600" s="9"/>
      <c r="V600" s="9"/>
      <c r="W600" s="9"/>
      <c r="X600" s="11"/>
      <c r="Y600" s="8"/>
      <c r="Z600" s="9"/>
      <c r="AA600" s="8"/>
      <c r="AB600" s="9"/>
      <c r="AC600" s="8"/>
      <c r="AD600" s="8"/>
      <c r="AE600" s="9"/>
    </row>
    <row r="601" spans="1:31" x14ac:dyDescent="0.15">
      <c r="A601" s="8"/>
      <c r="B601" s="8"/>
      <c r="C601" s="8"/>
      <c r="D601" s="8"/>
      <c r="E601" s="8"/>
      <c r="F601" s="8"/>
      <c r="G601" s="10"/>
      <c r="H601" s="11"/>
      <c r="I601" s="8"/>
      <c r="J601" s="9"/>
      <c r="K601" s="8"/>
      <c r="L601" s="9"/>
      <c r="M601" s="8"/>
      <c r="N601" s="8"/>
      <c r="O601" s="9"/>
      <c r="P601" s="9"/>
      <c r="Q601" s="9"/>
      <c r="R601" s="9"/>
      <c r="S601" s="9"/>
      <c r="T601" s="9"/>
      <c r="U601" s="9"/>
      <c r="V601" s="9"/>
      <c r="W601" s="9"/>
      <c r="X601" s="11"/>
      <c r="Y601" s="8"/>
      <c r="Z601" s="9"/>
      <c r="AA601" s="8"/>
      <c r="AB601" s="9"/>
      <c r="AC601" s="8"/>
      <c r="AD601" s="8"/>
      <c r="AE601" s="9"/>
    </row>
    <row r="602" spans="1:31" x14ac:dyDescent="0.15">
      <c r="A602" s="8"/>
      <c r="B602" s="8"/>
      <c r="C602" s="8"/>
      <c r="D602" s="8"/>
      <c r="E602" s="8"/>
      <c r="F602" s="8"/>
      <c r="G602" s="10"/>
      <c r="H602" s="11"/>
      <c r="I602" s="8"/>
      <c r="J602" s="9"/>
      <c r="K602" s="8"/>
      <c r="L602" s="9"/>
      <c r="M602" s="8"/>
      <c r="N602" s="8"/>
      <c r="O602" s="9"/>
      <c r="P602" s="9"/>
      <c r="Q602" s="9"/>
      <c r="R602" s="9"/>
      <c r="S602" s="9"/>
      <c r="T602" s="9"/>
      <c r="U602" s="9"/>
      <c r="V602" s="9"/>
      <c r="W602" s="9"/>
      <c r="X602" s="11"/>
      <c r="Y602" s="8"/>
      <c r="Z602" s="9"/>
      <c r="AA602" s="8"/>
      <c r="AB602" s="9"/>
      <c r="AC602" s="8"/>
      <c r="AD602" s="8"/>
      <c r="AE602" s="9"/>
    </row>
    <row r="603" spans="1:31" x14ac:dyDescent="0.15">
      <c r="A603" s="8"/>
      <c r="B603" s="8"/>
      <c r="C603" s="8"/>
      <c r="D603" s="8"/>
      <c r="E603" s="8"/>
      <c r="F603" s="8"/>
      <c r="G603" s="10"/>
      <c r="H603" s="11"/>
      <c r="I603" s="8"/>
      <c r="J603" s="9"/>
      <c r="K603" s="8"/>
      <c r="L603" s="9"/>
      <c r="M603" s="8"/>
      <c r="N603" s="8"/>
      <c r="O603" s="9"/>
      <c r="P603" s="9"/>
      <c r="Q603" s="9"/>
      <c r="R603" s="9"/>
      <c r="S603" s="9"/>
      <c r="T603" s="9"/>
      <c r="U603" s="9"/>
      <c r="V603" s="9"/>
      <c r="W603" s="9"/>
      <c r="X603" s="11"/>
      <c r="Y603" s="8"/>
      <c r="Z603" s="9"/>
      <c r="AA603" s="8"/>
      <c r="AB603" s="9"/>
      <c r="AC603" s="8"/>
      <c r="AD603" s="8"/>
      <c r="AE603" s="9"/>
    </row>
    <row r="604" spans="1:31" x14ac:dyDescent="0.15">
      <c r="A604" s="8"/>
      <c r="B604" s="8"/>
      <c r="C604" s="8"/>
      <c r="D604" s="8"/>
      <c r="E604" s="8"/>
      <c r="F604" s="8"/>
      <c r="G604" s="10"/>
      <c r="H604" s="11"/>
      <c r="I604" s="8"/>
      <c r="J604" s="9"/>
      <c r="K604" s="8"/>
      <c r="L604" s="9"/>
      <c r="M604" s="8"/>
      <c r="N604" s="8"/>
      <c r="O604" s="9"/>
      <c r="P604" s="9"/>
      <c r="Q604" s="9"/>
      <c r="R604" s="9"/>
      <c r="S604" s="9"/>
      <c r="T604" s="9"/>
      <c r="U604" s="9"/>
      <c r="V604" s="9"/>
      <c r="W604" s="9"/>
      <c r="X604" s="11"/>
      <c r="Y604" s="8"/>
      <c r="Z604" s="9"/>
      <c r="AA604" s="8"/>
      <c r="AB604" s="9"/>
      <c r="AC604" s="8"/>
      <c r="AD604" s="8"/>
      <c r="AE604" s="9"/>
    </row>
    <row r="605" spans="1:31" outlineLevel="1" x14ac:dyDescent="0.15">
      <c r="A605" s="8"/>
      <c r="B605" s="8"/>
      <c r="C605" s="8"/>
      <c r="D605" s="8"/>
      <c r="E605" s="8"/>
      <c r="F605" s="8"/>
      <c r="G605" s="10"/>
      <c r="H605" s="11"/>
      <c r="I605" s="8"/>
      <c r="J605" s="9"/>
      <c r="K605" s="8"/>
      <c r="L605" s="9"/>
      <c r="M605" s="8"/>
      <c r="N605" s="8"/>
      <c r="O605" s="9"/>
      <c r="P605" s="9"/>
      <c r="Q605" s="9"/>
      <c r="R605" s="9"/>
      <c r="S605" s="9"/>
      <c r="T605" s="9"/>
      <c r="U605" s="9"/>
      <c r="V605" s="9"/>
      <c r="W605" s="9"/>
      <c r="X605" s="11"/>
      <c r="Y605" s="8"/>
      <c r="Z605" s="9"/>
      <c r="AA605" s="8"/>
      <c r="AB605" s="9"/>
      <c r="AC605" s="8"/>
      <c r="AD605" s="8"/>
      <c r="AE605" s="9"/>
    </row>
    <row r="606" spans="1:31" outlineLevel="1" x14ac:dyDescent="0.15">
      <c r="A606" s="8"/>
      <c r="B606" s="8"/>
      <c r="C606" s="8"/>
      <c r="D606" s="8"/>
      <c r="E606" s="8"/>
      <c r="F606" s="8"/>
      <c r="G606" s="10"/>
      <c r="H606" s="11"/>
      <c r="I606" s="8"/>
      <c r="J606" s="9"/>
      <c r="K606" s="8"/>
      <c r="L606" s="9"/>
      <c r="M606" s="8"/>
      <c r="N606" s="8"/>
      <c r="O606" s="9"/>
      <c r="P606" s="9"/>
      <c r="Q606" s="9"/>
      <c r="R606" s="9"/>
      <c r="S606" s="9"/>
      <c r="T606" s="9"/>
      <c r="U606" s="9"/>
      <c r="V606" s="9"/>
      <c r="W606" s="9"/>
      <c r="X606" s="11"/>
      <c r="Y606" s="8"/>
      <c r="Z606" s="9"/>
      <c r="AA606" s="8"/>
      <c r="AB606" s="9"/>
      <c r="AC606" s="8"/>
      <c r="AD606" s="8"/>
      <c r="AE606" s="9"/>
    </row>
    <row r="607" spans="1:31" x14ac:dyDescent="0.15">
      <c r="A607" s="8"/>
      <c r="B607" s="8"/>
      <c r="C607" s="8"/>
      <c r="D607" s="8"/>
      <c r="E607" s="8"/>
      <c r="F607" s="8"/>
      <c r="G607" s="10"/>
      <c r="H607" s="11"/>
      <c r="I607" s="8"/>
      <c r="J607" s="9"/>
      <c r="K607" s="8"/>
      <c r="L607" s="9"/>
      <c r="M607" s="8"/>
      <c r="N607" s="8"/>
      <c r="O607" s="9"/>
      <c r="P607" s="9"/>
      <c r="Q607" s="9"/>
      <c r="R607" s="9"/>
      <c r="S607" s="9"/>
      <c r="T607" s="9"/>
      <c r="U607" s="9"/>
      <c r="V607" s="9"/>
      <c r="W607" s="9"/>
      <c r="X607" s="11"/>
      <c r="Y607" s="8"/>
      <c r="Z607" s="9"/>
      <c r="AA607" s="8"/>
      <c r="AB607" s="9"/>
      <c r="AC607" s="8"/>
      <c r="AD607" s="8"/>
      <c r="AE607" s="9"/>
    </row>
    <row r="608" spans="1:31" x14ac:dyDescent="0.15">
      <c r="A608" s="8"/>
      <c r="B608" s="8"/>
      <c r="C608" s="8"/>
      <c r="D608" s="8"/>
      <c r="E608" s="8"/>
      <c r="F608" s="8"/>
      <c r="G608" s="10"/>
      <c r="H608" s="11"/>
      <c r="I608" s="8"/>
      <c r="J608" s="9"/>
      <c r="K608" s="8"/>
      <c r="L608" s="9"/>
      <c r="M608" s="8"/>
      <c r="N608" s="8"/>
      <c r="O608" s="9"/>
      <c r="P608" s="9"/>
      <c r="Q608" s="9"/>
      <c r="R608" s="9"/>
      <c r="S608" s="9"/>
      <c r="T608" s="9"/>
      <c r="U608" s="9"/>
      <c r="V608" s="9"/>
      <c r="W608" s="9"/>
      <c r="X608" s="11"/>
      <c r="Y608" s="8"/>
      <c r="Z608" s="9"/>
      <c r="AA608" s="8"/>
      <c r="AB608" s="9"/>
      <c r="AC608" s="8"/>
      <c r="AD608" s="8"/>
      <c r="AE608" s="9"/>
    </row>
    <row r="609" spans="1:31" x14ac:dyDescent="0.15">
      <c r="A609" s="8"/>
      <c r="B609" s="8"/>
      <c r="C609" s="8"/>
      <c r="D609" s="8"/>
      <c r="E609" s="8"/>
      <c r="F609" s="8"/>
      <c r="G609" s="10"/>
      <c r="H609" s="11"/>
      <c r="I609" s="8"/>
      <c r="J609" s="9"/>
      <c r="K609" s="8"/>
      <c r="L609" s="9"/>
      <c r="M609" s="8"/>
      <c r="N609" s="8"/>
      <c r="O609" s="9"/>
      <c r="P609" s="9"/>
      <c r="Q609" s="9"/>
      <c r="R609" s="9"/>
      <c r="S609" s="9"/>
      <c r="T609" s="9"/>
      <c r="U609" s="9"/>
      <c r="V609" s="9"/>
      <c r="W609" s="9"/>
      <c r="X609" s="11"/>
      <c r="Y609" s="8"/>
      <c r="Z609" s="9"/>
      <c r="AA609" s="8"/>
      <c r="AB609" s="9"/>
      <c r="AC609" s="8"/>
      <c r="AD609" s="8"/>
      <c r="AE609" s="9"/>
    </row>
    <row r="621" spans="1:31" x14ac:dyDescent="0.15">
      <c r="A621" s="41"/>
    </row>
    <row r="631" spans="7:7" x14ac:dyDescent="0.15">
      <c r="G631" s="42"/>
    </row>
  </sheetData>
  <autoFilter ref="A5:AJ215" xr:uid="{214A2682-59FC-42C5-BF35-57251B40A73C}"/>
  <mergeCells count="37">
    <mergeCell ref="AG3:AG4"/>
    <mergeCell ref="M3:M4"/>
    <mergeCell ref="N3:N4"/>
    <mergeCell ref="O3:O4"/>
    <mergeCell ref="S3:S4"/>
    <mergeCell ref="T3:T4"/>
    <mergeCell ref="U3:U4"/>
    <mergeCell ref="V3:V4"/>
    <mergeCell ref="W3:W4"/>
    <mergeCell ref="L3:L4"/>
    <mergeCell ref="F3:F4"/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K3:K4"/>
    <mergeCell ref="AI3:AI4"/>
    <mergeCell ref="AH3:AH4"/>
    <mergeCell ref="H2:O2"/>
    <mergeCell ref="X2:AE2"/>
    <mergeCell ref="X3:X4"/>
    <mergeCell ref="Y3:Y4"/>
    <mergeCell ref="Z3:Z4"/>
    <mergeCell ref="AA3:AA4"/>
    <mergeCell ref="AB3:AB4"/>
    <mergeCell ref="AC3:AC4"/>
    <mergeCell ref="AD3:AD4"/>
    <mergeCell ref="AE3:AE4"/>
    <mergeCell ref="P2:W2"/>
    <mergeCell ref="P3:P4"/>
    <mergeCell ref="Q3:Q4"/>
    <mergeCell ref="R3:R4"/>
  </mergeCells>
  <conditionalFormatting sqref="L6:L609">
    <cfRule type="cellIs" dxfId="366" priority="29" operator="equal">
      <formula>"-"</formula>
    </cfRule>
    <cfRule type="cellIs" dxfId="365" priority="30" operator="greaterThan">
      <formula>5</formula>
    </cfRule>
    <cfRule type="cellIs" dxfId="364" priority="31" operator="between">
      <formula>2</formula>
      <formula>5</formula>
    </cfRule>
    <cfRule type="cellIs" dxfId="363" priority="32" operator="lessThan">
      <formula>2</formula>
    </cfRule>
  </conditionalFormatting>
  <conditionalFormatting sqref="O6:O215 W6:W215 AE6:AE609 O216:W609">
    <cfRule type="cellIs" dxfId="362" priority="25" operator="equal">
      <formula>"-"</formula>
    </cfRule>
    <cfRule type="cellIs" dxfId="361" priority="26" operator="greaterThan">
      <formula>5</formula>
    </cfRule>
    <cfRule type="cellIs" dxfId="360" priority="27" operator="between">
      <formula>2</formula>
      <formula>5</formula>
    </cfRule>
    <cfRule type="cellIs" dxfId="359" priority="28" operator="lessThan">
      <formula>2</formula>
    </cfRule>
  </conditionalFormatting>
  <conditionalFormatting sqref="T6:T215">
    <cfRule type="cellIs" dxfId="358" priority="5" operator="equal">
      <formula>"-"</formula>
    </cfRule>
    <cfRule type="cellIs" dxfId="357" priority="6" operator="greaterThan">
      <formula>5</formula>
    </cfRule>
    <cfRule type="cellIs" dxfId="356" priority="7" operator="between">
      <formula>2</formula>
      <formula>5</formula>
    </cfRule>
    <cfRule type="cellIs" dxfId="355" priority="8" operator="lessThan">
      <formula>2</formula>
    </cfRule>
  </conditionalFormatting>
  <conditionalFormatting sqref="AB6:AB609">
    <cfRule type="cellIs" dxfId="354" priority="9" operator="equal">
      <formula>"-"</formula>
    </cfRule>
    <cfRule type="cellIs" dxfId="353" priority="10" operator="greaterThan">
      <formula>5</formula>
    </cfRule>
    <cfRule type="cellIs" dxfId="352" priority="11" operator="between">
      <formula>2</formula>
      <formula>5</formula>
    </cfRule>
    <cfRule type="cellIs" dxfId="351" priority="12" operator="lessThan">
      <formula>2</formula>
    </cfRule>
  </conditionalFormatting>
  <conditionalFormatting sqref="AG6:AI215">
    <cfRule type="cellIs" dxfId="350" priority="1" operator="equal">
      <formula>"-"</formula>
    </cfRule>
    <cfRule type="cellIs" dxfId="349" priority="2" operator="greaterThan">
      <formula>5</formula>
    </cfRule>
    <cfRule type="cellIs" dxfId="348" priority="3" operator="between">
      <formula>2</formula>
      <formula>5</formula>
    </cfRule>
    <cfRule type="cellIs" dxfId="347" priority="4" operator="lessThan">
      <formula>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07E34-B62A-4F75-8542-ECAA03865FC6}">
  <sheetPr>
    <tabColor rgb="FF92D050"/>
  </sheetPr>
  <dimension ref="A2:Y631"/>
  <sheetViews>
    <sheetView zoomScale="60" zoomScaleNormal="115" workbookViewId="0">
      <pane xSplit="1" ySplit="5" topLeftCell="B6" activePane="bottomRight" state="frozen"/>
      <selection activeCell="I17" sqref="I17"/>
      <selection pane="topRight" activeCell="I17" sqref="I17"/>
      <selection pane="bottomLeft" activeCell="I17" sqref="I17"/>
      <selection pane="bottomRight" activeCell="I17" sqref="I17"/>
    </sheetView>
  </sheetViews>
  <sheetFormatPr baseColWidth="10" defaultColWidth="8.6640625" defaultRowHeight="14" outlineLevelRow="1" outlineLevelCol="1" x14ac:dyDescent="0.15"/>
  <cols>
    <col min="1" max="1" width="12.5" style="3" customWidth="1"/>
    <col min="2" max="2" width="9.83203125" style="3" bestFit="1" customWidth="1" outlineLevel="1"/>
    <col min="3" max="3" width="16.33203125" style="3" customWidth="1"/>
    <col min="4" max="4" width="10.33203125" style="3" customWidth="1"/>
    <col min="5" max="5" width="10.6640625" style="3" customWidth="1"/>
    <col min="6" max="6" width="18.33203125" style="3" customWidth="1" outlineLevel="1"/>
    <col min="7" max="7" width="15.83203125" style="3" customWidth="1"/>
    <col min="8" max="8" width="13.5" style="2" customWidth="1"/>
    <col min="9" max="9" width="14.1640625" style="2" customWidth="1"/>
    <col min="10" max="10" width="17.1640625" style="2" customWidth="1"/>
    <col min="11" max="11" width="21.5" style="2" customWidth="1"/>
    <col min="12" max="12" width="11.1640625" style="3" customWidth="1"/>
    <col min="13" max="13" width="26.6640625" style="3" bestFit="1" customWidth="1"/>
    <col min="14" max="14" width="15.83203125" style="3" customWidth="1"/>
    <col min="15" max="15" width="17.6640625" style="3" customWidth="1"/>
    <col min="16" max="16384" width="8.6640625" style="3"/>
  </cols>
  <sheetData>
    <row r="2" spans="1:17" ht="16" x14ac:dyDescent="0.2">
      <c r="A2" s="1" t="s">
        <v>0</v>
      </c>
      <c r="B2" s="2"/>
      <c r="C2" s="2"/>
      <c r="D2" s="2"/>
      <c r="E2" s="2"/>
      <c r="F2" s="2"/>
      <c r="G2" s="2"/>
    </row>
    <row r="3" spans="1:17" x14ac:dyDescent="0.15">
      <c r="A3" s="276" t="s">
        <v>1</v>
      </c>
      <c r="B3" s="276" t="s">
        <v>2</v>
      </c>
      <c r="C3" s="276" t="s">
        <v>3</v>
      </c>
      <c r="D3" s="276" t="s">
        <v>4</v>
      </c>
      <c r="E3" s="276" t="s">
        <v>5</v>
      </c>
      <c r="F3" s="276" t="s">
        <v>6</v>
      </c>
      <c r="G3" s="284" t="s">
        <v>7</v>
      </c>
      <c r="H3" s="275" t="s">
        <v>8</v>
      </c>
      <c r="I3" s="275" t="s">
        <v>9</v>
      </c>
      <c r="J3" s="275" t="s">
        <v>626</v>
      </c>
      <c r="K3" s="275" t="s">
        <v>627</v>
      </c>
      <c r="L3" s="275" t="s">
        <v>10</v>
      </c>
      <c r="M3" s="276" t="s">
        <v>11</v>
      </c>
      <c r="N3" s="275" t="s">
        <v>2096</v>
      </c>
      <c r="O3" s="275" t="s">
        <v>10</v>
      </c>
    </row>
    <row r="4" spans="1:17" x14ac:dyDescent="0.15">
      <c r="A4" s="276"/>
      <c r="B4" s="276"/>
      <c r="C4" s="276"/>
      <c r="D4" s="276"/>
      <c r="E4" s="276"/>
      <c r="F4" s="276"/>
      <c r="G4" s="284"/>
      <c r="H4" s="275"/>
      <c r="I4" s="275"/>
      <c r="J4" s="275"/>
      <c r="K4" s="275"/>
      <c r="L4" s="275"/>
      <c r="M4" s="276"/>
      <c r="N4" s="275"/>
      <c r="O4" s="275"/>
    </row>
    <row r="5" spans="1:17" ht="10.5" customHeight="1" x14ac:dyDescent="0.15">
      <c r="A5" s="4"/>
      <c r="B5" s="4"/>
      <c r="C5" s="4"/>
      <c r="D5" s="4"/>
      <c r="E5" s="4"/>
      <c r="F5" s="4"/>
      <c r="G5" s="5"/>
      <c r="H5" s="6"/>
      <c r="I5" s="6"/>
      <c r="J5" s="6"/>
      <c r="K5" s="6"/>
      <c r="L5" s="6"/>
      <c r="M5" s="7"/>
      <c r="N5" s="6"/>
      <c r="O5" s="6"/>
    </row>
    <row r="6" spans="1:17" outlineLevel="1" x14ac:dyDescent="0.15">
      <c r="A6" s="8" t="s">
        <v>1273</v>
      </c>
      <c r="B6" s="8" t="s">
        <v>14</v>
      </c>
      <c r="C6" s="8" t="s">
        <v>14</v>
      </c>
      <c r="D6" s="8" t="s">
        <v>1276</v>
      </c>
      <c r="E6" s="9">
        <v>27.61</v>
      </c>
      <c r="F6" s="8" t="s">
        <v>1740</v>
      </c>
      <c r="G6" s="10">
        <v>3863</v>
      </c>
      <c r="H6" s="132">
        <v>46149</v>
      </c>
      <c r="I6" s="143">
        <f t="array" ref="I6">INDEX([24]perbandingan!$H$24:$H$231,MATCH(1,([24]perbandingan!$E$24:$E$231=$D6)*([24]perbandingan!$E$24:$E$231=$D6),0))</f>
        <v>356</v>
      </c>
      <c r="J6" s="9">
        <f t="array" ref="J6">IFERROR(I6/G6*100,0)</f>
        <v>9.2156355164380024</v>
      </c>
      <c r="K6" s="143">
        <f t="array" ref="K6">INDEX([24]perbandingan!$L$24:$L$231,MATCH(1,([24]perbandingan!$E$24:$E$231=$D6)*([24]perbandingan!$E$24:$E$231=$D6),0))</f>
        <v>48</v>
      </c>
      <c r="L6" s="9">
        <f t="shared" ref="L6:L18" si="0">IFERROR(K6/I6*100,0)</f>
        <v>13.48314606741573</v>
      </c>
      <c r="M6" s="8" t="str">
        <f t="array" ref="M6">IF(L6&gt;5,"Perlu Pengendalian",IF(AND(L6&gt;=0,I6&gt;0),"Tidak Perlu Pengendalian","Belum Sensus"))</f>
        <v>Perlu Pengendalian</v>
      </c>
      <c r="N6" s="143">
        <f t="array" ref="N6">INDEX([24]perbandingan!$J$24:$J$231,MATCH(1,([24]perbandingan!$E$24:$E$231=$D6)*([24]perbandingan!$E$24:$E$231=$D6),0))</f>
        <v>45</v>
      </c>
      <c r="O6" s="9">
        <f t="array" ref="O6">IFERROR(N6/I6*100,0)</f>
        <v>12.640449438202248</v>
      </c>
    </row>
    <row r="7" spans="1:17" outlineLevel="1" x14ac:dyDescent="0.15">
      <c r="A7" s="8" t="s">
        <v>1273</v>
      </c>
      <c r="B7" s="8" t="s">
        <v>14</v>
      </c>
      <c r="C7" s="8" t="s">
        <v>14</v>
      </c>
      <c r="D7" s="8" t="s">
        <v>1277</v>
      </c>
      <c r="E7" s="9">
        <v>29.099999999999998</v>
      </c>
      <c r="F7" s="8" t="s">
        <v>1740</v>
      </c>
      <c r="G7" s="10">
        <v>4127</v>
      </c>
      <c r="H7" s="132">
        <v>46149</v>
      </c>
      <c r="I7" s="143">
        <f t="array" ref="I7">INDEX([24]perbandingan!$H$24:$H$231,MATCH(1,([24]perbandingan!$E$24:$E$231=$D7)*([24]perbandingan!$E$24:$E$231=$D7),0))</f>
        <v>293</v>
      </c>
      <c r="J7" s="9">
        <f t="array" ref="J7">IFERROR(I7/G7*100,0)</f>
        <v>7.0995880785073906</v>
      </c>
      <c r="K7" s="143">
        <f t="array" ref="K7">INDEX([24]perbandingan!$L$24:$L$231,MATCH(1,([24]perbandingan!$E$24:$E$231=$D7)*([24]perbandingan!$E$24:$E$231=$D7),0))</f>
        <v>54</v>
      </c>
      <c r="L7" s="9">
        <f t="shared" si="0"/>
        <v>18.430034129692832</v>
      </c>
      <c r="M7" s="8" t="str">
        <f t="array" ref="M7">IF(L7&gt;5,"Perlu Pengendalian",IF(AND(L7&gt;=0,I7&gt;0),"Tidak Perlu Pengendalian","Belum Sensus"))</f>
        <v>Perlu Pengendalian</v>
      </c>
      <c r="N7" s="143">
        <f t="array" ref="N7">INDEX([24]perbandingan!$J$24:$J$231,MATCH(1,([24]perbandingan!$E$24:$E$231=$D7)*([24]perbandingan!$E$24:$E$231=$D7),0))</f>
        <v>78</v>
      </c>
      <c r="O7" s="9">
        <f t="array" ref="O7">IFERROR(N7/I7*100,0)</f>
        <v>26.621160409556317</v>
      </c>
    </row>
    <row r="8" spans="1:17" outlineLevel="1" x14ac:dyDescent="0.15">
      <c r="A8" s="8" t="s">
        <v>1273</v>
      </c>
      <c r="B8" s="8" t="s">
        <v>14</v>
      </c>
      <c r="C8" s="8" t="s">
        <v>14</v>
      </c>
      <c r="D8" s="8" t="s">
        <v>1278</v>
      </c>
      <c r="E8" s="9">
        <v>36.15</v>
      </c>
      <c r="F8" s="8" t="s">
        <v>1740</v>
      </c>
      <c r="G8" s="10">
        <v>5115</v>
      </c>
      <c r="H8" s="132">
        <v>46149</v>
      </c>
      <c r="I8" s="143">
        <f t="array" ref="I8">INDEX([24]perbandingan!$H$24:$H$231,MATCH(1,([24]perbandingan!$E$24:$E$231=$D8)*([24]perbandingan!$E$24:$E$231=$D8),0))</f>
        <v>451</v>
      </c>
      <c r="J8" s="9">
        <f t="array" ref="J8">IFERROR(I8/G8*100,0)</f>
        <v>8.8172043010752681</v>
      </c>
      <c r="K8" s="143">
        <f t="array" ref="K8">INDEX([24]perbandingan!$L$24:$L$231,MATCH(1,([24]perbandingan!$E$24:$E$231=$D8)*([24]perbandingan!$E$24:$E$231=$D8),0))</f>
        <v>78</v>
      </c>
      <c r="L8" s="9">
        <f t="shared" si="0"/>
        <v>17.294900221729488</v>
      </c>
      <c r="M8" s="8" t="str">
        <f t="array" ref="M8">IF(L8&gt;5,"Perlu Pengendalian",IF(AND(L8&gt;=0,I8&gt;0),"Tidak Perlu Pengendalian","Belum Sensus"))</f>
        <v>Perlu Pengendalian</v>
      </c>
      <c r="N8" s="143">
        <f t="array" ref="N8">INDEX([24]perbandingan!$J$24:$J$231,MATCH(1,([24]perbandingan!$E$24:$E$231=$D8)*([24]perbandingan!$E$24:$E$231=$D8),0))</f>
        <v>122</v>
      </c>
      <c r="O8" s="9">
        <f t="array" ref="O8">IFERROR(N8/I8*100,0)</f>
        <v>27.0509977827051</v>
      </c>
    </row>
    <row r="9" spans="1:17" outlineLevel="1" x14ac:dyDescent="0.15">
      <c r="A9" s="8" t="s">
        <v>1273</v>
      </c>
      <c r="B9" s="8" t="s">
        <v>14</v>
      </c>
      <c r="C9" s="8" t="s">
        <v>14</v>
      </c>
      <c r="D9" s="8" t="s">
        <v>1279</v>
      </c>
      <c r="E9" s="9">
        <v>26.01</v>
      </c>
      <c r="F9" s="8" t="s">
        <v>1740</v>
      </c>
      <c r="G9" s="10">
        <v>3582</v>
      </c>
      <c r="H9" s="132">
        <v>46149</v>
      </c>
      <c r="I9" s="143">
        <f t="array" ref="I9">INDEX([24]perbandingan!$H$24:$H$231,MATCH(1,([24]perbandingan!$E$24:$E$231=$D9)*([24]perbandingan!$E$24:$E$231=$D9),0))</f>
        <v>330</v>
      </c>
      <c r="J9" s="9">
        <f t="array" ref="J9">IFERROR(I9/G9*100,0)</f>
        <v>9.2127303182579574</v>
      </c>
      <c r="K9" s="143">
        <f t="array" ref="K9">INDEX([24]perbandingan!$L$24:$L$231,MATCH(1,([24]perbandingan!$E$24:$E$231=$D9)*([24]perbandingan!$E$24:$E$231=$D9),0))</f>
        <v>41</v>
      </c>
      <c r="L9" s="9">
        <f t="shared" si="0"/>
        <v>12.424242424242424</v>
      </c>
      <c r="M9" s="8" t="str">
        <f t="array" ref="M9">IF(L9&gt;5,"Perlu Pengendalian",IF(AND(L9&gt;=0,I9&gt;0),"Tidak Perlu Pengendalian","Belum Sensus"))</f>
        <v>Perlu Pengendalian</v>
      </c>
      <c r="N9" s="143">
        <f t="array" ref="N9">INDEX([24]perbandingan!$J$24:$J$231,MATCH(1,([24]perbandingan!$E$24:$E$231=$D9)*([24]perbandingan!$E$24:$E$231=$D9),0))</f>
        <v>131</v>
      </c>
      <c r="O9" s="9">
        <f t="array" ref="O9">IFERROR(N9/I9*100,0)</f>
        <v>39.696969696969695</v>
      </c>
      <c r="Q9" s="3">
        <f>8001</f>
        <v>8001</v>
      </c>
    </row>
    <row r="10" spans="1:17" outlineLevel="1" x14ac:dyDescent="0.15">
      <c r="A10" s="8" t="s">
        <v>1273</v>
      </c>
      <c r="B10" s="8" t="s">
        <v>14</v>
      </c>
      <c r="C10" s="8" t="s">
        <v>14</v>
      </c>
      <c r="D10" s="8" t="s">
        <v>1280</v>
      </c>
      <c r="E10" s="9">
        <v>25.76</v>
      </c>
      <c r="F10" s="8" t="s">
        <v>1740</v>
      </c>
      <c r="G10" s="10">
        <v>3580</v>
      </c>
      <c r="H10" s="132">
        <v>46149</v>
      </c>
      <c r="I10" s="143">
        <f t="array" ref="I10">INDEX([24]perbandingan!$H$24:$H$231,MATCH(1,([24]perbandingan!$E$24:$E$231=$D10)*([24]perbandingan!$E$24:$E$231=$D10),0))</f>
        <v>342</v>
      </c>
      <c r="J10" s="9">
        <f t="array" ref="J10">IFERROR(I10/G10*100,0)</f>
        <v>9.5530726256983236</v>
      </c>
      <c r="K10" s="143">
        <f t="array" ref="K10">INDEX([24]perbandingan!$L$24:$L$231,MATCH(1,([24]perbandingan!$E$24:$E$231=$D10)*([24]perbandingan!$E$24:$E$231=$D10),0))</f>
        <v>39</v>
      </c>
      <c r="L10" s="9">
        <f t="shared" si="0"/>
        <v>11.403508771929824</v>
      </c>
      <c r="M10" s="8" t="str">
        <f t="array" ref="M10">IF(L10&gt;5,"Perlu Pengendalian",IF(AND(L10&gt;=0,I10&gt;0),"Tidak Perlu Pengendalian","Belum Sensus"))</f>
        <v>Perlu Pengendalian</v>
      </c>
      <c r="N10" s="143">
        <f t="array" ref="N10">INDEX([24]perbandingan!$J$24:$J$231,MATCH(1,([24]perbandingan!$E$24:$E$231=$D10)*([24]perbandingan!$E$24:$E$231=$D10),0))</f>
        <v>73</v>
      </c>
      <c r="O10" s="9">
        <f t="array" ref="O10">IFERROR(N10/I10*100,0)</f>
        <v>21.345029239766081</v>
      </c>
      <c r="Q10" s="3">
        <v>60854</v>
      </c>
    </row>
    <row r="11" spans="1:17" outlineLevel="1" x14ac:dyDescent="0.15">
      <c r="A11" s="8" t="s">
        <v>1273</v>
      </c>
      <c r="B11" s="8" t="s">
        <v>14</v>
      </c>
      <c r="C11" s="8" t="s">
        <v>14</v>
      </c>
      <c r="D11" s="8" t="s">
        <v>1281</v>
      </c>
      <c r="E11" s="9">
        <v>25.49</v>
      </c>
      <c r="F11" s="8" t="s">
        <v>1740</v>
      </c>
      <c r="G11" s="10">
        <v>3429</v>
      </c>
      <c r="H11" s="132">
        <v>46149</v>
      </c>
      <c r="I11" s="143">
        <f t="array" ref="I11">INDEX([24]perbandingan!$H$24:$H$231,MATCH(1,([24]perbandingan!$E$24:$E$231=$D11)*([24]perbandingan!$E$24:$E$231=$D11),0))</f>
        <v>306</v>
      </c>
      <c r="J11" s="9">
        <f t="array" ref="J11">IFERROR(I11/G11*100,0)</f>
        <v>8.9238845144356951</v>
      </c>
      <c r="K11" s="143">
        <f t="array" ref="K11">INDEX([24]perbandingan!$L$24:$L$231,MATCH(1,([24]perbandingan!$E$24:$E$231=$D11)*([24]perbandingan!$E$24:$E$231=$D11),0))</f>
        <v>51</v>
      </c>
      <c r="L11" s="9">
        <f t="shared" si="0"/>
        <v>16.666666666666664</v>
      </c>
      <c r="M11" s="8" t="str">
        <f t="array" ref="M11">IF(L11&gt;5,"Perlu Pengendalian",IF(AND(L11&gt;=0,I11&gt;0),"Tidak Perlu Pengendalian","Belum Sensus"))</f>
        <v>Perlu Pengendalian</v>
      </c>
      <c r="N11" s="143">
        <f t="array" ref="N11">INDEX([24]perbandingan!$J$24:$J$231,MATCH(1,([24]perbandingan!$E$24:$E$231=$D11)*([24]perbandingan!$E$24:$E$231=$D11),0))</f>
        <v>113</v>
      </c>
      <c r="O11" s="9">
        <f t="array" ref="O11">IFERROR(N11/I11*100,0)</f>
        <v>36.928104575163403</v>
      </c>
      <c r="Q11" s="3">
        <f>Q9/Q10*100</f>
        <v>13.147862096164593</v>
      </c>
    </row>
    <row r="12" spans="1:17" outlineLevel="1" x14ac:dyDescent="0.15">
      <c r="A12" s="8" t="s">
        <v>1273</v>
      </c>
      <c r="B12" s="8" t="s">
        <v>14</v>
      </c>
      <c r="C12" s="8" t="s">
        <v>14</v>
      </c>
      <c r="D12" s="8" t="s">
        <v>1282</v>
      </c>
      <c r="E12" s="9">
        <v>25.51</v>
      </c>
      <c r="F12" s="8" t="s">
        <v>1740</v>
      </c>
      <c r="G12" s="10">
        <v>3450</v>
      </c>
      <c r="H12" s="132">
        <v>46149</v>
      </c>
      <c r="I12" s="143">
        <f t="array" ref="I12">INDEX([24]perbandingan!$H$24:$H$231,MATCH(1,([24]perbandingan!$E$24:$E$231=$D12)*([24]perbandingan!$E$24:$E$231=$D12),0))</f>
        <v>315</v>
      </c>
      <c r="J12" s="9">
        <f t="array" ref="J12">IFERROR(I12/G12*100,0)</f>
        <v>9.1304347826086953</v>
      </c>
      <c r="K12" s="143">
        <f t="array" ref="K12">INDEX([24]perbandingan!$L$24:$L$231,MATCH(1,([24]perbandingan!$E$24:$E$231=$D12)*([24]perbandingan!$E$24:$E$231=$D12),0))</f>
        <v>68</v>
      </c>
      <c r="L12" s="9">
        <f t="shared" si="0"/>
        <v>21.587301587301589</v>
      </c>
      <c r="M12" s="8" t="str">
        <f t="array" ref="M12">IF(L12&gt;5,"Perlu Pengendalian",IF(AND(L12&gt;=0,I12&gt;0),"Tidak Perlu Pengendalian","Belum Sensus"))</f>
        <v>Perlu Pengendalian</v>
      </c>
      <c r="N12" s="143">
        <f t="array" ref="N12">INDEX([24]perbandingan!$J$24:$J$231,MATCH(1,([24]perbandingan!$E$24:$E$231=$D12)*([24]perbandingan!$E$24:$E$231=$D12),0))</f>
        <v>172</v>
      </c>
      <c r="O12" s="9">
        <f t="array" ref="O12">IFERROR(N12/I12*100,0)</f>
        <v>54.603174603174601</v>
      </c>
    </row>
    <row r="13" spans="1:17" outlineLevel="1" x14ac:dyDescent="0.15">
      <c r="A13" s="8" t="s">
        <v>1273</v>
      </c>
      <c r="B13" s="8" t="s">
        <v>14</v>
      </c>
      <c r="C13" s="8" t="s">
        <v>14</v>
      </c>
      <c r="D13" s="8" t="s">
        <v>1283</v>
      </c>
      <c r="E13" s="9">
        <v>26.59</v>
      </c>
      <c r="F13" s="8" t="s">
        <v>1740</v>
      </c>
      <c r="G13" s="10">
        <v>3529</v>
      </c>
      <c r="H13" s="132">
        <v>46149</v>
      </c>
      <c r="I13" s="143">
        <f t="array" ref="I13">INDEX([24]perbandingan!$H$24:$H$231,MATCH(1,([24]perbandingan!$E$24:$E$231=$D13)*([24]perbandingan!$E$24:$E$231=$D13),0))</f>
        <v>297</v>
      </c>
      <c r="J13" s="9">
        <f t="array" ref="J13">IFERROR(I13/G13*100,0)</f>
        <v>8.4159818645508651</v>
      </c>
      <c r="K13" s="143">
        <f t="array" ref="K13">INDEX([24]perbandingan!$L$24:$L$231,MATCH(1,([24]perbandingan!$E$24:$E$231=$D13)*([24]perbandingan!$E$24:$E$231=$D13),0))</f>
        <v>52</v>
      </c>
      <c r="L13" s="9">
        <f t="shared" si="0"/>
        <v>17.508417508417509</v>
      </c>
      <c r="M13" s="8" t="str">
        <f t="array" ref="M13">IF(L13&gt;5,"Perlu Pengendalian",IF(AND(L13&gt;=0,I13&gt;0),"Tidak Perlu Pengendalian","Belum Sensus"))</f>
        <v>Perlu Pengendalian</v>
      </c>
      <c r="N13" s="143">
        <f t="array" ref="N13">INDEX([24]perbandingan!$J$24:$J$231,MATCH(1,([24]perbandingan!$E$24:$E$231=$D13)*([24]perbandingan!$E$24:$E$231=$D13),0))</f>
        <v>82</v>
      </c>
      <c r="O13" s="9">
        <f t="array" ref="O13">IFERROR(N13/I13*100,0)</f>
        <v>27.609427609427613</v>
      </c>
    </row>
    <row r="14" spans="1:17" outlineLevel="1" x14ac:dyDescent="0.15">
      <c r="A14" s="8" t="s">
        <v>1273</v>
      </c>
      <c r="B14" s="8" t="s">
        <v>14</v>
      </c>
      <c r="C14" s="8" t="s">
        <v>14</v>
      </c>
      <c r="D14" s="8" t="s">
        <v>1284</v>
      </c>
      <c r="E14" s="9">
        <v>17.739999999999998</v>
      </c>
      <c r="F14" s="8" t="s">
        <v>1740</v>
      </c>
      <c r="G14" s="10">
        <v>2471</v>
      </c>
      <c r="H14" s="132">
        <v>46149</v>
      </c>
      <c r="I14" s="143">
        <f t="array" ref="I14">INDEX([24]perbandingan!$H$24:$H$231,MATCH(1,([24]perbandingan!$E$24:$E$231=$D14)*([24]perbandingan!$E$24:$E$231=$D14),0))</f>
        <v>240</v>
      </c>
      <c r="J14" s="9">
        <f t="array" ref="J14">IFERROR(I14/G14*100,0)</f>
        <v>9.7126669364629699</v>
      </c>
      <c r="K14" s="143">
        <f t="array" ref="K14">INDEX([24]perbandingan!$L$24:$L$231,MATCH(1,([24]perbandingan!$E$24:$E$231=$D14)*([24]perbandingan!$E$24:$E$231=$D14),0))</f>
        <v>32</v>
      </c>
      <c r="L14" s="9">
        <f t="shared" si="0"/>
        <v>13.333333333333334</v>
      </c>
      <c r="M14" s="8" t="str">
        <f t="array" ref="M14">IF(L14&gt;5,"Perlu Pengendalian",IF(AND(L14&gt;=0,I14&gt;0),"Tidak Perlu Pengendalian","Belum Sensus"))</f>
        <v>Perlu Pengendalian</v>
      </c>
      <c r="N14" s="143">
        <f t="array" ref="N14">INDEX([24]perbandingan!$J$24:$J$231,MATCH(1,([24]perbandingan!$E$24:$E$231=$D14)*([24]perbandingan!$E$24:$E$231=$D14),0))</f>
        <v>63</v>
      </c>
      <c r="O14" s="9">
        <f t="array" ref="O14">IFERROR(N14/I14*100,0)</f>
        <v>26.25</v>
      </c>
    </row>
    <row r="15" spans="1:17" outlineLevel="1" x14ac:dyDescent="0.15">
      <c r="A15" s="8" t="s">
        <v>1273</v>
      </c>
      <c r="B15" s="8" t="s">
        <v>14</v>
      </c>
      <c r="C15" s="8" t="s">
        <v>14</v>
      </c>
      <c r="D15" s="8" t="s">
        <v>1285</v>
      </c>
      <c r="E15" s="9">
        <v>19.740000000000002</v>
      </c>
      <c r="F15" s="8" t="s">
        <v>1740</v>
      </c>
      <c r="G15" s="10">
        <v>2684</v>
      </c>
      <c r="H15" s="132">
        <v>46149</v>
      </c>
      <c r="I15" s="143">
        <f t="array" ref="I15">INDEX([24]perbandingan!$H$24:$H$231,MATCH(1,([24]perbandingan!$E$24:$E$231=$D15)*([24]perbandingan!$E$24:$E$231=$D15),0))</f>
        <v>205</v>
      </c>
      <c r="J15" s="9">
        <f t="array" ref="J15">IFERROR(I15/G15*100,0)</f>
        <v>7.6378539493293598</v>
      </c>
      <c r="K15" s="143">
        <f t="array" ref="K15">INDEX([24]perbandingan!$L$24:$L$231,MATCH(1,([24]perbandingan!$E$24:$E$231=$D15)*([24]perbandingan!$E$24:$E$231=$D15),0))</f>
        <v>25</v>
      </c>
      <c r="L15" s="9">
        <f t="shared" si="0"/>
        <v>12.195121951219512</v>
      </c>
      <c r="M15" s="8" t="str">
        <f t="array" ref="M15">IF(L15&gt;5,"Perlu Pengendalian",IF(AND(L15&gt;=0,I15&gt;0),"Tidak Perlu Pengendalian","Belum Sensus"))</f>
        <v>Perlu Pengendalian</v>
      </c>
      <c r="N15" s="143">
        <f t="array" ref="N15">INDEX([24]perbandingan!$J$24:$J$231,MATCH(1,([24]perbandingan!$E$24:$E$231=$D15)*([24]perbandingan!$E$24:$E$231=$D15),0))</f>
        <v>20</v>
      </c>
      <c r="O15" s="9">
        <f t="array" ref="O15">IFERROR(N15/I15*100,0)</f>
        <v>9.7560975609756095</v>
      </c>
    </row>
    <row r="16" spans="1:17" outlineLevel="1" x14ac:dyDescent="0.15">
      <c r="A16" s="8" t="s">
        <v>1273</v>
      </c>
      <c r="B16" s="8" t="s">
        <v>14</v>
      </c>
      <c r="C16" s="8" t="s">
        <v>14</v>
      </c>
      <c r="D16" s="8" t="s">
        <v>1037</v>
      </c>
      <c r="E16" s="9">
        <v>28.56</v>
      </c>
      <c r="F16" s="8" t="s">
        <v>1740</v>
      </c>
      <c r="G16" s="10">
        <v>3691</v>
      </c>
      <c r="H16" s="132">
        <v>46153</v>
      </c>
      <c r="I16" s="143">
        <f t="array" ref="I16">INDEX([24]perbandingan!$H$24:$H$231,MATCH(1,([24]perbandingan!$E$24:$E$231=$D16)*([24]perbandingan!$E$24:$E$231=$D16),0))</f>
        <v>301</v>
      </c>
      <c r="J16" s="9">
        <f t="array" ref="J16">IFERROR(I16/G16*100,0)</f>
        <v>8.1549715524248167</v>
      </c>
      <c r="K16" s="143">
        <f t="array" ref="K16">INDEX([24]perbandingan!$L$24:$L$231,MATCH(1,([24]perbandingan!$E$24:$E$231=$D16)*([24]perbandingan!$E$24:$E$231=$D16),0))</f>
        <v>57</v>
      </c>
      <c r="L16" s="9">
        <f t="shared" si="0"/>
        <v>18.93687707641196</v>
      </c>
      <c r="M16" s="8" t="str">
        <f t="array" ref="M16">IF(L16&gt;5,"Perlu Pengendalian",IF(AND(L16&gt;=0,I16&gt;0),"Tidak Perlu Pengendalian","Belum Sensus"))</f>
        <v>Perlu Pengendalian</v>
      </c>
      <c r="N16" s="143">
        <f t="array" ref="N16">INDEX([24]perbandingan!$J$24:$J$231,MATCH(1,([24]perbandingan!$E$24:$E$231=$D16)*([24]perbandingan!$E$24:$E$231=$D16),0))</f>
        <v>84</v>
      </c>
      <c r="O16" s="9">
        <f t="array" ref="O16">IFERROR(N16/I16*100,0)</f>
        <v>27.906976744186046</v>
      </c>
    </row>
    <row r="17" spans="1:15" outlineLevel="1" x14ac:dyDescent="0.15">
      <c r="A17" s="8" t="s">
        <v>1273</v>
      </c>
      <c r="B17" s="8" t="s">
        <v>14</v>
      </c>
      <c r="C17" s="8" t="s">
        <v>14</v>
      </c>
      <c r="D17" s="8" t="s">
        <v>1035</v>
      </c>
      <c r="E17" s="9">
        <v>25.160000000000004</v>
      </c>
      <c r="F17" s="8" t="s">
        <v>1740</v>
      </c>
      <c r="G17" s="10">
        <v>3259</v>
      </c>
      <c r="H17" s="132">
        <v>46153</v>
      </c>
      <c r="I17" s="143">
        <f t="array" ref="I17">INDEX([24]perbandingan!$H$24:$H$231,MATCH(1,([24]perbandingan!$E$24:$E$231=$D17)*([24]perbandingan!$E$24:$E$231=$D17),0))</f>
        <v>312</v>
      </c>
      <c r="J17" s="9">
        <f t="array" ref="J17">IFERROR(I17/G17*100,0)</f>
        <v>9.5734888002454728</v>
      </c>
      <c r="K17" s="143">
        <f t="array" ref="K17">INDEX([24]perbandingan!$L$24:$L$231,MATCH(1,([24]perbandingan!$E$24:$E$231=$D17)*([24]perbandingan!$E$24:$E$231=$D17),0))</f>
        <v>51</v>
      </c>
      <c r="L17" s="9">
        <f t="shared" si="0"/>
        <v>16.346153846153847</v>
      </c>
      <c r="M17" s="8" t="str">
        <f t="array" ref="M17">IF(L17&gt;5,"Perlu Pengendalian",IF(AND(L17&gt;=0,I17&gt;0),"Tidak Perlu Pengendalian","Belum Sensus"))</f>
        <v>Perlu Pengendalian</v>
      </c>
      <c r="N17" s="143">
        <f t="array" ref="N17">INDEX([24]perbandingan!$J$24:$J$231,MATCH(1,([24]perbandingan!$E$24:$E$231=$D17)*([24]perbandingan!$E$24:$E$231=$D17),0))</f>
        <v>63</v>
      </c>
      <c r="O17" s="9">
        <f t="array" ref="O17">IFERROR(N17/I17*100,0)</f>
        <v>20.192307692307693</v>
      </c>
    </row>
    <row r="18" spans="1:15" outlineLevel="1" x14ac:dyDescent="0.15">
      <c r="A18" s="8" t="s">
        <v>1273</v>
      </c>
      <c r="B18" s="8" t="s">
        <v>14</v>
      </c>
      <c r="C18" s="8" t="s">
        <v>14</v>
      </c>
      <c r="D18" s="8" t="s">
        <v>1286</v>
      </c>
      <c r="E18" s="9">
        <v>26.9</v>
      </c>
      <c r="F18" s="8" t="s">
        <v>1740</v>
      </c>
      <c r="G18" s="10">
        <v>3718</v>
      </c>
      <c r="H18" s="132">
        <v>46153</v>
      </c>
      <c r="I18" s="143">
        <f t="array" ref="I18">INDEX([24]perbandingan!$H$24:$H$231,MATCH(1,([24]perbandingan!$E$24:$E$231=$D18)*([24]perbandingan!$E$24:$E$231=$D18),0))</f>
        <v>366</v>
      </c>
      <c r="J18" s="9">
        <f t="array" ref="J18">IFERROR(I18/G18*100,0)</f>
        <v>9.8440021516944594</v>
      </c>
      <c r="K18" s="143">
        <f t="array" ref="K18">INDEX([24]perbandingan!$L$24:$L$231,MATCH(1,([24]perbandingan!$E$24:$E$231=$D18)*([24]perbandingan!$E$24:$E$231=$D18),0))</f>
        <v>45</v>
      </c>
      <c r="L18" s="9">
        <f t="shared" si="0"/>
        <v>12.295081967213115</v>
      </c>
      <c r="M18" s="8" t="str">
        <f t="array" ref="M18">IF(L18&gt;5,"Perlu Pengendalian",IF(AND(L18&gt;=0,I18&gt;0),"Tidak Perlu Pengendalian","Belum Sensus"))</f>
        <v>Perlu Pengendalian</v>
      </c>
      <c r="N18" s="143">
        <f t="array" ref="N18">INDEX([24]perbandingan!$J$24:$J$231,MATCH(1,([24]perbandingan!$E$24:$E$231=$D18)*([24]perbandingan!$E$24:$E$231=$D18),0))</f>
        <v>95</v>
      </c>
      <c r="O18" s="9">
        <f t="array" ref="O18">IFERROR(N18/I18*100,0)</f>
        <v>25.956284153005466</v>
      </c>
    </row>
    <row r="19" spans="1:15" outlineLevel="1" x14ac:dyDescent="0.15">
      <c r="A19" s="8" t="s">
        <v>1273</v>
      </c>
      <c r="B19" s="8" t="s">
        <v>14</v>
      </c>
      <c r="C19" s="8" t="s">
        <v>14</v>
      </c>
      <c r="D19" s="8" t="s">
        <v>1287</v>
      </c>
      <c r="E19" s="9">
        <v>27.14</v>
      </c>
      <c r="F19" s="8" t="s">
        <v>1740</v>
      </c>
      <c r="G19" s="10">
        <v>3570</v>
      </c>
      <c r="H19" s="132">
        <v>46149</v>
      </c>
      <c r="I19" s="143">
        <f t="array" ref="I19">INDEX([24]perbandingan!$H$24:$H$231,MATCH(1,([24]perbandingan!$E$24:$E$231=$D19)*([24]perbandingan!$E$24:$E$231=$D19),0))</f>
        <v>336</v>
      </c>
      <c r="J19" s="9">
        <f t="array" ref="J19">IFERROR(I19/G19*100,0)</f>
        <v>9.4117647058823533</v>
      </c>
      <c r="K19" s="143">
        <f t="array" ref="K19">INDEX([24]perbandingan!$L$24:$L$231,MATCH(1,([24]perbandingan!$E$24:$E$231=$D19)*([24]perbandingan!$E$24:$E$231=$D19),0))</f>
        <v>56</v>
      </c>
      <c r="L19" s="9">
        <f>IFERROR(K19/I19*100,0)</f>
        <v>16.666666666666664</v>
      </c>
      <c r="M19" s="8" t="str">
        <f t="array" ref="M19">IF(L19&gt;5,"Perlu Pengendalian",IF(AND(L19&gt;=0,I19&gt;0),"Tidak Perlu Pengendalian","Belum Sensus"))</f>
        <v>Perlu Pengendalian</v>
      </c>
      <c r="N19" s="143">
        <f t="array" ref="N19">INDEX([24]perbandingan!$J$24:$J$231,MATCH(1,([24]perbandingan!$E$24:$E$231=$D19)*([24]perbandingan!$E$24:$E$231=$D19),0))</f>
        <v>120</v>
      </c>
      <c r="O19" s="9">
        <f t="array" ref="O19">IFERROR(N19/I19*100,0)</f>
        <v>35.714285714285715</v>
      </c>
    </row>
    <row r="20" spans="1:15" outlineLevel="1" x14ac:dyDescent="0.15">
      <c r="A20" s="8" t="s">
        <v>1273</v>
      </c>
      <c r="B20" s="8" t="s">
        <v>14</v>
      </c>
      <c r="C20" s="8" t="s">
        <v>14</v>
      </c>
      <c r="D20" s="8" t="s">
        <v>1288</v>
      </c>
      <c r="E20" s="9">
        <v>29.49</v>
      </c>
      <c r="F20" s="8" t="s">
        <v>1740</v>
      </c>
      <c r="G20" s="10">
        <v>3840</v>
      </c>
      <c r="H20" s="132">
        <v>46149</v>
      </c>
      <c r="I20" s="143">
        <f t="array" ref="I20">INDEX([24]perbandingan!$H$24:$H$231,MATCH(1,([24]perbandingan!$E$24:$E$231=$D20)*([24]perbandingan!$E$24:$E$231=$D20),0))</f>
        <v>353</v>
      </c>
      <c r="J20" s="9">
        <f t="array" ref="J20">IFERROR(I20/G20*100,0)</f>
        <v>9.1927083333333339</v>
      </c>
      <c r="K20" s="143">
        <f t="array" ref="K20">INDEX([24]perbandingan!$L$24:$L$231,MATCH(1,([24]perbandingan!$E$24:$E$231=$D20)*([24]perbandingan!$E$24:$E$231=$D20),0))</f>
        <v>38</v>
      </c>
      <c r="L20" s="9">
        <f t="shared" ref="L20:L83" si="1">IFERROR(K20/I20*100,0)</f>
        <v>10.764872521246458</v>
      </c>
      <c r="M20" s="8" t="str">
        <f t="array" ref="M20">IF(L20&gt;5,"Perlu Pengendalian",IF(AND(L20&gt;=0,I20&gt;0),"Tidak Perlu Pengendalian","Belum Sensus"))</f>
        <v>Perlu Pengendalian</v>
      </c>
      <c r="N20" s="143">
        <f t="array" ref="N20">INDEX([24]perbandingan!$J$24:$J$231,MATCH(1,([24]perbandingan!$E$24:$E$231=$D20)*([24]perbandingan!$E$24:$E$231=$D20),0))</f>
        <v>64</v>
      </c>
      <c r="O20" s="9">
        <f t="array" ref="O20">IFERROR(N20/I20*100,0)</f>
        <v>18.130311614730878</v>
      </c>
    </row>
    <row r="21" spans="1:15" outlineLevel="1" x14ac:dyDescent="0.15">
      <c r="A21" s="8" t="s">
        <v>1273</v>
      </c>
      <c r="B21" s="8" t="s">
        <v>14</v>
      </c>
      <c r="C21" s="8" t="s">
        <v>14</v>
      </c>
      <c r="D21" s="8" t="s">
        <v>1289</v>
      </c>
      <c r="E21" s="9">
        <v>29.32</v>
      </c>
      <c r="F21" s="8" t="s">
        <v>1740</v>
      </c>
      <c r="G21" s="10">
        <v>4397</v>
      </c>
      <c r="H21" s="132">
        <v>46149</v>
      </c>
      <c r="I21" s="143">
        <f t="array" ref="I21">INDEX([24]perbandingan!$H$24:$H$231,MATCH(1,([24]perbandingan!$E$24:$E$231=$D21)*([24]perbandingan!$E$24:$E$231=$D21),0))</f>
        <v>381</v>
      </c>
      <c r="J21" s="9">
        <f t="array" ref="J21">IFERROR(I21/G21*100,0)</f>
        <v>8.6649988628610419</v>
      </c>
      <c r="K21" s="143">
        <f t="array" ref="K21">INDEX([24]perbandingan!$L$24:$L$231,MATCH(1,([24]perbandingan!$E$24:$E$231=$D21)*([24]perbandingan!$E$24:$E$231=$D21),0))</f>
        <v>77</v>
      </c>
      <c r="L21" s="9">
        <f t="shared" si="1"/>
        <v>20.209973753280842</v>
      </c>
      <c r="M21" s="8" t="str">
        <f t="array" ref="M21">IF(L21&gt;5,"Perlu Pengendalian",IF(AND(L21&gt;=0,I21&gt;0),"Tidak Perlu Pengendalian","Belum Sensus"))</f>
        <v>Perlu Pengendalian</v>
      </c>
      <c r="N21" s="143">
        <f t="array" ref="N21">INDEX([24]perbandingan!$J$24:$J$231,MATCH(1,([24]perbandingan!$E$24:$E$231=$D21)*([24]perbandingan!$E$24:$E$231=$D21),0))</f>
        <v>193</v>
      </c>
      <c r="O21" s="9">
        <f t="array" ref="O21">IFERROR(N21/I21*100,0)</f>
        <v>50.656167979002618</v>
      </c>
    </row>
    <row r="22" spans="1:15" outlineLevel="1" x14ac:dyDescent="0.15">
      <c r="A22" s="8" t="s">
        <v>1273</v>
      </c>
      <c r="B22" s="8" t="s">
        <v>14</v>
      </c>
      <c r="C22" s="8" t="s">
        <v>14</v>
      </c>
      <c r="D22" s="8" t="s">
        <v>1290</v>
      </c>
      <c r="E22" s="9">
        <v>29.44</v>
      </c>
      <c r="F22" s="8" t="s">
        <v>1740</v>
      </c>
      <c r="G22" s="10">
        <v>3828</v>
      </c>
      <c r="H22" s="132">
        <v>46149</v>
      </c>
      <c r="I22" s="143">
        <f t="array" ref="I22">INDEX([24]perbandingan!$H$24:$H$231,MATCH(1,([24]perbandingan!$E$24:$E$231=$D22)*([24]perbandingan!$E$24:$E$231=$D22),0))</f>
        <v>353</v>
      </c>
      <c r="J22" s="9">
        <f t="array" ref="J22">IFERROR(I22/G22*100,0)</f>
        <v>9.2215256008359461</v>
      </c>
      <c r="K22" s="143">
        <f t="array" ref="K22">INDEX([24]perbandingan!$L$24:$L$231,MATCH(1,([24]perbandingan!$E$24:$E$231=$D22)*([24]perbandingan!$E$24:$E$231=$D22),0))</f>
        <v>92</v>
      </c>
      <c r="L22" s="9">
        <f t="shared" si="1"/>
        <v>26.062322946175637</v>
      </c>
      <c r="M22" s="8" t="str">
        <f t="array" ref="M22">IF(L22&gt;5,"Perlu Pengendalian",IF(AND(L22&gt;=0,I22&gt;0),"Tidak Perlu Pengendalian","Belum Sensus"))</f>
        <v>Perlu Pengendalian</v>
      </c>
      <c r="N22" s="143">
        <f t="array" ref="N22">INDEX([24]perbandingan!$J$24:$J$231,MATCH(1,([24]perbandingan!$E$24:$E$231=$D22)*([24]perbandingan!$E$24:$E$231=$D22),0))</f>
        <v>210</v>
      </c>
      <c r="O22" s="9">
        <f t="array" ref="O22">IFERROR(N22/I22*100,0)</f>
        <v>59.490084985835686</v>
      </c>
    </row>
    <row r="23" spans="1:15" outlineLevel="1" x14ac:dyDescent="0.15">
      <c r="A23" s="8" t="s">
        <v>1273</v>
      </c>
      <c r="B23" s="8" t="s">
        <v>14</v>
      </c>
      <c r="C23" s="8" t="s">
        <v>14</v>
      </c>
      <c r="D23" s="8" t="s">
        <v>1291</v>
      </c>
      <c r="E23" s="9">
        <v>30.67</v>
      </c>
      <c r="F23" s="8" t="s">
        <v>1740</v>
      </c>
      <c r="G23" s="10">
        <v>4563</v>
      </c>
      <c r="H23" s="132">
        <v>46149</v>
      </c>
      <c r="I23" s="143">
        <f t="array" ref="I23">INDEX([24]perbandingan!$H$24:$H$231,MATCH(1,([24]perbandingan!$E$24:$E$231=$D23)*([24]perbandingan!$E$24:$E$231=$D23),0))</f>
        <v>462</v>
      </c>
      <c r="J23" s="9">
        <f t="array" ref="J23">IFERROR(I23/G23*100,0)</f>
        <v>10.124917817225509</v>
      </c>
      <c r="K23" s="143">
        <f t="array" ref="K23">INDEX([24]perbandingan!$L$24:$L$231,MATCH(1,([24]perbandingan!$E$24:$E$231=$D23)*([24]perbandingan!$E$24:$E$231=$D23),0))</f>
        <v>65</v>
      </c>
      <c r="L23" s="9">
        <f t="shared" si="1"/>
        <v>14.06926406926407</v>
      </c>
      <c r="M23" s="8" t="str">
        <f t="array" ref="M23">IF(L23&gt;5,"Perlu Pengendalian",IF(AND(L23&gt;=0,I23&gt;0),"Tidak Perlu Pengendalian","Belum Sensus"))</f>
        <v>Perlu Pengendalian</v>
      </c>
      <c r="N23" s="143">
        <f t="array" ref="N23">INDEX([24]perbandingan!$J$24:$J$231,MATCH(1,([24]perbandingan!$E$24:$E$231=$D23)*([24]perbandingan!$E$24:$E$231=$D23),0))</f>
        <v>174</v>
      </c>
      <c r="O23" s="9">
        <f t="array" ref="O23">IFERROR(N23/I23*100,0)</f>
        <v>37.662337662337663</v>
      </c>
    </row>
    <row r="24" spans="1:15" outlineLevel="1" x14ac:dyDescent="0.15">
      <c r="A24" s="8" t="s">
        <v>1273</v>
      </c>
      <c r="B24" s="8" t="s">
        <v>14</v>
      </c>
      <c r="C24" s="8" t="s">
        <v>14</v>
      </c>
      <c r="D24" s="8" t="s">
        <v>1292</v>
      </c>
      <c r="E24" s="9">
        <v>28.65</v>
      </c>
      <c r="F24" s="8" t="s">
        <v>1740</v>
      </c>
      <c r="G24" s="10">
        <v>3888</v>
      </c>
      <c r="H24" s="132">
        <v>46149</v>
      </c>
      <c r="I24" s="143">
        <f t="array" ref="I24">INDEX([24]perbandingan!$H$24:$H$231,MATCH(1,([24]perbandingan!$E$24:$E$231=$D24)*([24]perbandingan!$E$24:$E$231=$D24),0))</f>
        <v>323</v>
      </c>
      <c r="J24" s="9">
        <f t="array" ref="J24">IFERROR(I24/G24*100,0)</f>
        <v>8.3076131687242807</v>
      </c>
      <c r="K24" s="143">
        <f t="array" ref="K24">INDEX([24]perbandingan!$L$24:$L$231,MATCH(1,([24]perbandingan!$E$24:$E$231=$D24)*([24]perbandingan!$E$24:$E$231=$D24),0))</f>
        <v>71</v>
      </c>
      <c r="L24" s="9">
        <f t="shared" si="1"/>
        <v>21.981424148606813</v>
      </c>
      <c r="M24" s="8" t="str">
        <f t="array" ref="M24">IF(L24&gt;5,"Perlu Pengendalian",IF(AND(L24&gt;=0,I24&gt;0),"Tidak Perlu Pengendalian","Belum Sensus"))</f>
        <v>Perlu Pengendalian</v>
      </c>
      <c r="N24" s="143">
        <f t="array" ref="N24">INDEX([24]perbandingan!$J$24:$J$231,MATCH(1,([24]perbandingan!$E$24:$E$231=$D24)*([24]perbandingan!$E$24:$E$231=$D24),0))</f>
        <v>68</v>
      </c>
      <c r="O24" s="9">
        <f t="array" ref="O24">IFERROR(N24/I24*100,0)</f>
        <v>21.052631578947366</v>
      </c>
    </row>
    <row r="25" spans="1:15" outlineLevel="1" x14ac:dyDescent="0.15">
      <c r="A25" s="8" t="s">
        <v>1273</v>
      </c>
      <c r="B25" s="8" t="s">
        <v>14</v>
      </c>
      <c r="C25" s="8" t="s">
        <v>14</v>
      </c>
      <c r="D25" s="8" t="s">
        <v>1293</v>
      </c>
      <c r="E25" s="9">
        <v>30.57</v>
      </c>
      <c r="F25" s="8" t="s">
        <v>1740</v>
      </c>
      <c r="G25" s="10">
        <v>3442</v>
      </c>
      <c r="H25" s="132">
        <v>46149</v>
      </c>
      <c r="I25" s="143">
        <f t="array" ref="I25">INDEX([24]perbandingan!$H$24:$H$231,MATCH(1,([24]perbandingan!$E$24:$E$231=$D25)*([24]perbandingan!$E$24:$E$231=$D25),0))</f>
        <v>245</v>
      </c>
      <c r="J25" s="9">
        <f t="array" ref="J25">IFERROR(I25/G25*100,0)</f>
        <v>7.1179546775130733</v>
      </c>
      <c r="K25" s="143">
        <f t="array" ref="K25">INDEX([24]perbandingan!$L$24:$L$231,MATCH(1,([24]perbandingan!$E$24:$E$231=$D25)*([24]perbandingan!$E$24:$E$231=$D25),0))</f>
        <v>38</v>
      </c>
      <c r="L25" s="9">
        <f t="shared" si="1"/>
        <v>15.510204081632653</v>
      </c>
      <c r="M25" s="8" t="str">
        <f t="array" ref="M25">IF(L25&gt;5,"Perlu Pengendalian",IF(AND(L25&gt;=0,I25&gt;0),"Tidak Perlu Pengendalian","Belum Sensus"))</f>
        <v>Perlu Pengendalian</v>
      </c>
      <c r="N25" s="143">
        <f t="array" ref="N25">INDEX([24]perbandingan!$J$24:$J$231,MATCH(1,([24]perbandingan!$E$24:$E$231=$D25)*([24]perbandingan!$E$24:$E$231=$D25),0))</f>
        <v>63</v>
      </c>
      <c r="O25" s="9">
        <f t="array" ref="O25">IFERROR(N25/I25*100,0)</f>
        <v>25.714285714285712</v>
      </c>
    </row>
    <row r="26" spans="1:15" outlineLevel="1" x14ac:dyDescent="0.15">
      <c r="A26" s="8" t="s">
        <v>1273</v>
      </c>
      <c r="B26" s="8" t="s">
        <v>14</v>
      </c>
      <c r="C26" s="8" t="s">
        <v>14</v>
      </c>
      <c r="D26" s="8" t="s">
        <v>1294</v>
      </c>
      <c r="E26" s="9">
        <v>29.58</v>
      </c>
      <c r="F26" s="8" t="s">
        <v>1740</v>
      </c>
      <c r="G26" s="10">
        <v>3900</v>
      </c>
      <c r="H26" s="132">
        <v>46149</v>
      </c>
      <c r="I26" s="143">
        <f t="array" ref="I26">INDEX([24]perbandingan!$H$24:$H$231,MATCH(1,([24]perbandingan!$E$24:$E$231=$D26)*([24]perbandingan!$E$24:$E$231=$D26),0))</f>
        <v>337</v>
      </c>
      <c r="J26" s="9">
        <f t="array" ref="J26">IFERROR(I26/G26*100,0)</f>
        <v>8.6410256410256423</v>
      </c>
      <c r="K26" s="143">
        <f t="array" ref="K26">INDEX([24]perbandingan!$L$24:$L$231,MATCH(1,([24]perbandingan!$E$24:$E$231=$D26)*([24]perbandingan!$E$24:$E$231=$D26),0))</f>
        <v>34</v>
      </c>
      <c r="L26" s="9">
        <f t="shared" si="1"/>
        <v>10.089020771513352</v>
      </c>
      <c r="M26" s="8" t="str">
        <f t="array" ref="M26">IF(L26&gt;5,"Perlu Pengendalian",IF(AND(L26&gt;=0,I26&gt;0),"Tidak Perlu Pengendalian","Belum Sensus"))</f>
        <v>Perlu Pengendalian</v>
      </c>
      <c r="N26" s="143">
        <f t="array" ref="N26">INDEX([24]perbandingan!$J$24:$J$231,MATCH(1,([24]perbandingan!$E$24:$E$231=$D26)*([24]perbandingan!$E$24:$E$231=$D26),0))</f>
        <v>66</v>
      </c>
      <c r="O26" s="9">
        <f t="array" ref="O26">IFERROR(N26/I26*100,0)</f>
        <v>19.584569732937684</v>
      </c>
    </row>
    <row r="27" spans="1:15" outlineLevel="1" x14ac:dyDescent="0.15">
      <c r="A27" s="8" t="s">
        <v>1273</v>
      </c>
      <c r="B27" s="8" t="s">
        <v>14</v>
      </c>
      <c r="C27" s="8" t="s">
        <v>14</v>
      </c>
      <c r="D27" s="8" t="s">
        <v>1041</v>
      </c>
      <c r="E27" s="9">
        <v>39.21</v>
      </c>
      <c r="F27" s="8" t="s">
        <v>1740</v>
      </c>
      <c r="G27" s="10">
        <v>5117</v>
      </c>
      <c r="H27" s="132">
        <v>46153</v>
      </c>
      <c r="I27" s="143">
        <f t="array" ref="I27">INDEX([24]perbandingan!$H$24:$H$231,MATCH(1,([24]perbandingan!$E$24:$E$231=$D27)*([24]perbandingan!$E$24:$E$231=$D27),0))</f>
        <v>501</v>
      </c>
      <c r="J27" s="9">
        <f t="array" ref="J27">IFERROR(I27/G27*100,0)</f>
        <v>9.790893101426617</v>
      </c>
      <c r="K27" s="143">
        <f t="array" ref="K27">INDEX([24]perbandingan!$L$24:$L$231,MATCH(1,([24]perbandingan!$E$24:$E$231=$D27)*([24]perbandingan!$E$24:$E$231=$D27),0))</f>
        <v>32</v>
      </c>
      <c r="L27" s="9">
        <f t="shared" si="1"/>
        <v>6.3872255489021947</v>
      </c>
      <c r="M27" s="8" t="str">
        <f t="array" ref="M27">IF(L27&gt;5,"Perlu Pengendalian",IF(AND(L27&gt;=0,I27&gt;0),"Tidak Perlu Pengendalian","Belum Sensus"))</f>
        <v>Perlu Pengendalian</v>
      </c>
      <c r="N27" s="143">
        <f t="array" ref="N27">INDEX([24]perbandingan!$J$24:$J$231,MATCH(1,([24]perbandingan!$E$24:$E$231=$D27)*([24]perbandingan!$E$24:$E$231=$D27),0))</f>
        <v>54</v>
      </c>
      <c r="O27" s="9">
        <f t="array" ref="O27">IFERROR(N27/I27*100,0)</f>
        <v>10.778443113772456</v>
      </c>
    </row>
    <row r="28" spans="1:15" outlineLevel="1" x14ac:dyDescent="0.15">
      <c r="A28" s="8" t="s">
        <v>1273</v>
      </c>
      <c r="B28" s="8" t="s">
        <v>14</v>
      </c>
      <c r="C28" s="8" t="s">
        <v>14</v>
      </c>
      <c r="D28" s="8" t="s">
        <v>1295</v>
      </c>
      <c r="E28" s="9">
        <v>25.23</v>
      </c>
      <c r="F28" s="8" t="s">
        <v>1740</v>
      </c>
      <c r="G28" s="10">
        <v>3404</v>
      </c>
      <c r="H28" s="132">
        <v>46153</v>
      </c>
      <c r="I28" s="143">
        <f t="array" ref="I28">INDEX([24]perbandingan!$H$24:$H$231,MATCH(1,([24]perbandingan!$E$24:$E$231=$D28)*([24]perbandingan!$E$24:$E$231=$D28),0))</f>
        <v>330</v>
      </c>
      <c r="J28" s="9">
        <f t="array" ref="J28">IFERROR(I28/G28*100,0)</f>
        <v>9.6944770857814326</v>
      </c>
      <c r="K28" s="143">
        <f t="array" ref="K28">INDEX([24]perbandingan!$L$24:$L$231,MATCH(1,([24]perbandingan!$E$24:$E$231=$D28)*([24]perbandingan!$E$24:$E$231=$D28),0))</f>
        <v>65</v>
      </c>
      <c r="L28" s="9">
        <f t="shared" si="1"/>
        <v>19.696969696969695</v>
      </c>
      <c r="M28" s="8" t="str">
        <f t="array" ref="M28">IF(L28&gt;5,"Perlu Pengendalian",IF(AND(L28&gt;=0,I28&gt;0),"Tidak Perlu Pengendalian","Belum Sensus"))</f>
        <v>Perlu Pengendalian</v>
      </c>
      <c r="N28" s="143">
        <f t="array" ref="N28">INDEX([24]perbandingan!$J$24:$J$231,MATCH(1,([24]perbandingan!$E$24:$E$231=$D28)*([24]perbandingan!$E$24:$E$231=$D28),0))</f>
        <v>76</v>
      </c>
      <c r="O28" s="9">
        <f t="array" ref="O28">IFERROR(N28/I28*100,0)</f>
        <v>23.030303030303031</v>
      </c>
    </row>
    <row r="29" spans="1:15" outlineLevel="1" x14ac:dyDescent="0.15">
      <c r="A29" s="8" t="s">
        <v>1273</v>
      </c>
      <c r="B29" s="8" t="s">
        <v>14</v>
      </c>
      <c r="C29" s="8" t="s">
        <v>14</v>
      </c>
      <c r="D29" s="8" t="s">
        <v>1296</v>
      </c>
      <c r="E29" s="9">
        <v>27.4</v>
      </c>
      <c r="F29" s="8" t="s">
        <v>1740</v>
      </c>
      <c r="G29" s="10">
        <v>3628</v>
      </c>
      <c r="H29" s="132">
        <v>46153</v>
      </c>
      <c r="I29" s="143">
        <f t="array" ref="I29">INDEX([24]perbandingan!$H$24:$H$231,MATCH(1,([24]perbandingan!$E$24:$E$231=$D29)*([24]perbandingan!$E$24:$E$231=$D29),0))</f>
        <v>367</v>
      </c>
      <c r="J29" s="9">
        <f t="array" ref="J29">IFERROR(I29/G29*100,0)</f>
        <v>10.115766262403527</v>
      </c>
      <c r="K29" s="143">
        <f t="array" ref="K29">INDEX([24]perbandingan!$L$24:$L$231,MATCH(1,([24]perbandingan!$E$24:$E$231=$D29)*([24]perbandingan!$E$24:$E$231=$D29),0))</f>
        <v>47</v>
      </c>
      <c r="L29" s="9">
        <f t="shared" si="1"/>
        <v>12.806539509536785</v>
      </c>
      <c r="M29" s="8" t="str">
        <f t="array" ref="M29">IF(L29&gt;5,"Perlu Pengendalian",IF(AND(L29&gt;=0,I29&gt;0),"Tidak Perlu Pengendalian","Belum Sensus"))</f>
        <v>Perlu Pengendalian</v>
      </c>
      <c r="N29" s="143">
        <f t="array" ref="N29">INDEX([24]perbandingan!$J$24:$J$231,MATCH(1,([24]perbandingan!$E$24:$E$231=$D29)*([24]perbandingan!$E$24:$E$231=$D29),0))</f>
        <v>34</v>
      </c>
      <c r="O29" s="9">
        <f t="array" ref="O29">IFERROR(N29/I29*100,0)</f>
        <v>9.2643051771117158</v>
      </c>
    </row>
    <row r="30" spans="1:15" outlineLevel="1" x14ac:dyDescent="0.15">
      <c r="A30" s="8" t="s">
        <v>1273</v>
      </c>
      <c r="B30" s="8" t="s">
        <v>14</v>
      </c>
      <c r="C30" s="8" t="s">
        <v>14</v>
      </c>
      <c r="D30" s="8" t="s">
        <v>1297</v>
      </c>
      <c r="E30" s="9">
        <v>25.05</v>
      </c>
      <c r="F30" s="8" t="s">
        <v>1740</v>
      </c>
      <c r="G30" s="10">
        <v>3467</v>
      </c>
      <c r="H30" s="132">
        <v>46153</v>
      </c>
      <c r="I30" s="143">
        <f t="array" ref="I30">INDEX([24]perbandingan!$H$24:$H$231,MATCH(1,([24]perbandingan!$E$24:$E$231=$D30)*([24]perbandingan!$E$24:$E$231=$D30),0))</f>
        <v>354</v>
      </c>
      <c r="J30" s="9">
        <f t="array" ref="J30">IFERROR(I30/G30*100,0)</f>
        <v>10.210556677242574</v>
      </c>
      <c r="K30" s="143">
        <f t="array" ref="K30">INDEX([24]perbandingan!$L$24:$L$231,MATCH(1,([24]perbandingan!$E$24:$E$231=$D30)*([24]perbandingan!$E$24:$E$231=$D30),0))</f>
        <v>64</v>
      </c>
      <c r="L30" s="9">
        <f t="shared" si="1"/>
        <v>18.07909604519774</v>
      </c>
      <c r="M30" s="8" t="str">
        <f t="array" ref="M30">IF(L30&gt;5,"Perlu Pengendalian",IF(AND(L30&gt;=0,I30&gt;0),"Tidak Perlu Pengendalian","Belum Sensus"))</f>
        <v>Perlu Pengendalian</v>
      </c>
      <c r="N30" s="143">
        <f t="array" ref="N30">INDEX([24]perbandingan!$J$24:$J$231,MATCH(1,([24]perbandingan!$E$24:$E$231=$D30)*([24]perbandingan!$E$24:$E$231=$D30),0))</f>
        <v>51</v>
      </c>
      <c r="O30" s="9">
        <f t="array" ref="O30">IFERROR(N30/I30*100,0)</f>
        <v>14.40677966101695</v>
      </c>
    </row>
    <row r="31" spans="1:15" outlineLevel="1" x14ac:dyDescent="0.15">
      <c r="A31" s="8" t="s">
        <v>1273</v>
      </c>
      <c r="B31" s="8" t="s">
        <v>14</v>
      </c>
      <c r="C31" s="8" t="s">
        <v>14</v>
      </c>
      <c r="D31" s="8" t="s">
        <v>1298</v>
      </c>
      <c r="E31" s="9">
        <v>25.07</v>
      </c>
      <c r="F31" s="8" t="s">
        <v>1740</v>
      </c>
      <c r="G31" s="10">
        <v>3379</v>
      </c>
      <c r="H31" s="132">
        <v>46153</v>
      </c>
      <c r="I31" s="143">
        <f t="array" ref="I31">INDEX([24]perbandingan!$H$24:$H$231,MATCH(1,([24]perbandingan!$E$24:$E$231=$D31)*([24]perbandingan!$E$24:$E$231=$D31),0))</f>
        <v>322</v>
      </c>
      <c r="J31" s="9">
        <f t="array" ref="J31">IFERROR(I31/G31*100,0)</f>
        <v>9.5294465818289424</v>
      </c>
      <c r="K31" s="143">
        <f t="array" ref="K31">INDEX([24]perbandingan!$L$24:$L$231,MATCH(1,([24]perbandingan!$E$24:$E$231=$D31)*([24]perbandingan!$E$24:$E$231=$D31),0))</f>
        <v>78</v>
      </c>
      <c r="L31" s="9">
        <f t="shared" si="1"/>
        <v>24.22360248447205</v>
      </c>
      <c r="M31" s="8" t="str">
        <f t="array" ref="M31">IF(L31&gt;5,"Perlu Pengendalian",IF(AND(L31&gt;=0,I31&gt;0),"Tidak Perlu Pengendalian","Belum Sensus"))</f>
        <v>Perlu Pengendalian</v>
      </c>
      <c r="N31" s="143">
        <f t="array" ref="N31">INDEX([24]perbandingan!$J$24:$J$231,MATCH(1,([24]perbandingan!$E$24:$E$231=$D31)*([24]perbandingan!$E$24:$E$231=$D31),0))</f>
        <v>91</v>
      </c>
      <c r="O31" s="9">
        <f t="array" ref="O31">IFERROR(N31/I31*100,0)</f>
        <v>28.260869565217391</v>
      </c>
    </row>
    <row r="32" spans="1:15" outlineLevel="1" x14ac:dyDescent="0.15">
      <c r="A32" s="8" t="s">
        <v>1273</v>
      </c>
      <c r="B32" s="8" t="s">
        <v>14</v>
      </c>
      <c r="C32" s="8" t="s">
        <v>14</v>
      </c>
      <c r="D32" s="8" t="s">
        <v>1299</v>
      </c>
      <c r="E32" s="9">
        <v>28.35</v>
      </c>
      <c r="F32" s="8" t="s">
        <v>1740</v>
      </c>
      <c r="G32" s="10">
        <v>3738</v>
      </c>
      <c r="H32" s="132">
        <v>46149</v>
      </c>
      <c r="I32" s="143">
        <f t="array" ref="I32">INDEX([24]perbandingan!$H$24:$H$231,MATCH(1,([24]perbandingan!$E$24:$E$231=$D32)*([24]perbandingan!$E$24:$E$231=$D32),0))</f>
        <v>375</v>
      </c>
      <c r="J32" s="9">
        <f t="array" ref="J32">IFERROR(I32/G32*100,0)</f>
        <v>10.032102728731942</v>
      </c>
      <c r="K32" s="143">
        <f t="array" ref="K32">INDEX([24]perbandingan!$L$24:$L$231,MATCH(1,([24]perbandingan!$E$24:$E$231=$D32)*([24]perbandingan!$E$24:$E$231=$D32),0))</f>
        <v>34</v>
      </c>
      <c r="L32" s="9">
        <f t="shared" si="1"/>
        <v>9.0666666666666664</v>
      </c>
      <c r="M32" s="8" t="str">
        <f t="array" ref="M32">IF(L32&gt;5,"Perlu Pengendalian",IF(AND(L32&gt;=0,I32&gt;0),"Tidak Perlu Pengendalian","Belum Sensus"))</f>
        <v>Perlu Pengendalian</v>
      </c>
      <c r="N32" s="143">
        <f t="array" ref="N32">INDEX([24]perbandingan!$J$24:$J$231,MATCH(1,([24]perbandingan!$E$24:$E$231=$D32)*([24]perbandingan!$E$24:$E$231=$D32),0))</f>
        <v>45</v>
      </c>
      <c r="O32" s="9">
        <f t="array" ref="O32">IFERROR(N32/I32*100,0)</f>
        <v>12</v>
      </c>
    </row>
    <row r="33" spans="1:15" outlineLevel="1" x14ac:dyDescent="0.15">
      <c r="A33" s="8" t="s">
        <v>1273</v>
      </c>
      <c r="B33" s="8" t="s">
        <v>14</v>
      </c>
      <c r="C33" s="8" t="s">
        <v>14</v>
      </c>
      <c r="D33" s="8" t="s">
        <v>1300</v>
      </c>
      <c r="E33" s="9">
        <v>28.47</v>
      </c>
      <c r="F33" s="8" t="s">
        <v>1740</v>
      </c>
      <c r="G33" s="10">
        <v>3651</v>
      </c>
      <c r="H33" s="132">
        <v>46149</v>
      </c>
      <c r="I33" s="143">
        <f t="array" ref="I33">INDEX([24]perbandingan!$H$24:$H$231,MATCH(1,([24]perbandingan!$E$24:$E$231=$D33)*([24]perbandingan!$E$24:$E$231=$D33),0))</f>
        <v>369</v>
      </c>
      <c r="J33" s="9">
        <f t="array" ref="J33">IFERROR(I33/G33*100,0)</f>
        <v>10.106820049301561</v>
      </c>
      <c r="K33" s="143">
        <f t="array" ref="K33">INDEX([24]perbandingan!$L$24:$L$231,MATCH(1,([24]perbandingan!$E$24:$E$231=$D33)*([24]perbandingan!$E$24:$E$231=$D33),0))</f>
        <v>41</v>
      </c>
      <c r="L33" s="9">
        <f t="shared" si="1"/>
        <v>11.111111111111111</v>
      </c>
      <c r="M33" s="8" t="str">
        <f t="array" ref="M33">IF(L33&gt;5,"Perlu Pengendalian",IF(AND(L33&gt;=0,I33&gt;0),"Tidak Perlu Pengendalian","Belum Sensus"))</f>
        <v>Perlu Pengendalian</v>
      </c>
      <c r="N33" s="143">
        <f t="array" ref="N33">INDEX([24]perbandingan!$J$24:$J$231,MATCH(1,([24]perbandingan!$E$24:$E$231=$D33)*([24]perbandingan!$E$24:$E$231=$D33),0))</f>
        <v>38</v>
      </c>
      <c r="O33" s="9">
        <f t="array" ref="O33">IFERROR(N33/I33*100,0)</f>
        <v>10.29810298102981</v>
      </c>
    </row>
    <row r="34" spans="1:15" outlineLevel="1" x14ac:dyDescent="0.15">
      <c r="A34" s="8" t="s">
        <v>1273</v>
      </c>
      <c r="B34" s="8" t="s">
        <v>14</v>
      </c>
      <c r="C34" s="8" t="s">
        <v>14</v>
      </c>
      <c r="D34" s="8" t="s">
        <v>1301</v>
      </c>
      <c r="E34" s="9">
        <v>30.21</v>
      </c>
      <c r="F34" s="8" t="s">
        <v>1740</v>
      </c>
      <c r="G34" s="10">
        <v>4033</v>
      </c>
      <c r="H34" s="132">
        <v>46153</v>
      </c>
      <c r="I34" s="143">
        <f t="array" ref="I34">INDEX([24]perbandingan!$H$24:$H$231,MATCH(1,([24]perbandingan!$E$24:$E$231=$D34)*([24]perbandingan!$E$24:$E$231=$D34),0))</f>
        <v>382</v>
      </c>
      <c r="J34" s="9">
        <f t="array" ref="J34">IFERROR(I34/G34*100,0)</f>
        <v>9.4718571782791976</v>
      </c>
      <c r="K34" s="143">
        <f t="array" ref="K34">INDEX([24]perbandingan!$L$24:$L$231,MATCH(1,([24]perbandingan!$E$24:$E$231=$D34)*([24]perbandingan!$E$24:$E$231=$D34),0))</f>
        <v>67</v>
      </c>
      <c r="L34" s="9">
        <f t="shared" si="1"/>
        <v>17.539267015706805</v>
      </c>
      <c r="M34" s="8" t="str">
        <f t="array" ref="M34">IF(L34&gt;5,"Perlu Pengendalian",IF(AND(L34&gt;=0,I34&gt;0),"Tidak Perlu Pengendalian","Belum Sensus"))</f>
        <v>Perlu Pengendalian</v>
      </c>
      <c r="N34" s="143">
        <f t="array" ref="N34">INDEX([24]perbandingan!$J$24:$J$231,MATCH(1,([24]perbandingan!$E$24:$E$231=$D34)*([24]perbandingan!$E$24:$E$231=$D34),0))</f>
        <v>81</v>
      </c>
      <c r="O34" s="9">
        <f t="array" ref="O34">IFERROR(N34/I34*100,0)</f>
        <v>21.204188481675391</v>
      </c>
    </row>
    <row r="35" spans="1:15" outlineLevel="1" x14ac:dyDescent="0.15">
      <c r="A35" s="8" t="s">
        <v>1273</v>
      </c>
      <c r="B35" s="8" t="s">
        <v>14</v>
      </c>
      <c r="C35" s="8" t="s">
        <v>14</v>
      </c>
      <c r="D35" s="8" t="s">
        <v>1302</v>
      </c>
      <c r="E35" s="9">
        <v>28.81</v>
      </c>
      <c r="F35" s="8" t="s">
        <v>1740</v>
      </c>
      <c r="G35" s="10">
        <v>4002</v>
      </c>
      <c r="H35" s="132">
        <v>46153</v>
      </c>
      <c r="I35" s="143">
        <f t="array" ref="I35">INDEX([24]perbandingan!$H$24:$H$231,MATCH(1,([24]perbandingan!$E$24:$E$231=$D35)*([24]perbandingan!$E$24:$E$231=$D35),0))</f>
        <v>377</v>
      </c>
      <c r="J35" s="9">
        <f t="array" ref="J35">IFERROR(I35/G35*100,0)</f>
        <v>9.4202898550724647</v>
      </c>
      <c r="K35" s="143">
        <f t="array" ref="K35">INDEX([24]perbandingan!$L$24:$L$231,MATCH(1,([24]perbandingan!$E$24:$E$231=$D35)*([24]perbandingan!$E$24:$E$231=$D35),0))</f>
        <v>82</v>
      </c>
      <c r="L35" s="9">
        <f t="shared" si="1"/>
        <v>21.750663129973475</v>
      </c>
      <c r="M35" s="8" t="str">
        <f t="array" ref="M35">IF(L35&gt;5,"Perlu Pengendalian",IF(AND(L35&gt;=0,I35&gt;0),"Tidak Perlu Pengendalian","Belum Sensus"))</f>
        <v>Perlu Pengendalian</v>
      </c>
      <c r="N35" s="143">
        <f t="array" ref="N35">INDEX([24]perbandingan!$J$24:$J$231,MATCH(1,([24]perbandingan!$E$24:$E$231=$D35)*([24]perbandingan!$E$24:$E$231=$D35),0))</f>
        <v>73</v>
      </c>
      <c r="O35" s="9">
        <f t="array" ref="O35">IFERROR(N35/I35*100,0)</f>
        <v>19.363395225464192</v>
      </c>
    </row>
    <row r="36" spans="1:15" outlineLevel="1" x14ac:dyDescent="0.15">
      <c r="A36" s="8" t="s">
        <v>1273</v>
      </c>
      <c r="B36" s="8" t="s">
        <v>14</v>
      </c>
      <c r="C36" s="8" t="s">
        <v>14</v>
      </c>
      <c r="D36" s="8" t="s">
        <v>1303</v>
      </c>
      <c r="E36" s="9">
        <v>29.97</v>
      </c>
      <c r="F36" s="8" t="s">
        <v>1740</v>
      </c>
      <c r="G36" s="10">
        <v>3863</v>
      </c>
      <c r="H36" s="132">
        <v>46153</v>
      </c>
      <c r="I36" s="143">
        <f t="array" ref="I36">INDEX([24]perbandingan!$H$24:$H$231,MATCH(1,([24]perbandingan!$E$24:$E$231=$D36)*([24]perbandingan!$E$24:$E$231=$D36),0))</f>
        <v>307</v>
      </c>
      <c r="J36" s="9">
        <f t="array" ref="J36">IFERROR(I36/G36*100,0)</f>
        <v>7.9471913020968161</v>
      </c>
      <c r="K36" s="143">
        <f t="array" ref="K36">INDEX([24]perbandingan!$L$24:$L$231,MATCH(1,([24]perbandingan!$E$24:$E$231=$D36)*([24]perbandingan!$E$24:$E$231=$D36),0))</f>
        <v>57</v>
      </c>
      <c r="L36" s="9">
        <f t="shared" si="1"/>
        <v>18.566775244299674</v>
      </c>
      <c r="M36" s="8" t="str">
        <f t="array" ref="M36">IF(L36&gt;5,"Perlu Pengendalian",IF(AND(L36&gt;=0,I36&gt;0),"Tidak Perlu Pengendalian","Belum Sensus"))</f>
        <v>Perlu Pengendalian</v>
      </c>
      <c r="N36" s="143">
        <f t="array" ref="N36">INDEX([24]perbandingan!$J$24:$J$231,MATCH(1,([24]perbandingan!$E$24:$E$231=$D36)*([24]perbandingan!$E$24:$E$231=$D36),0))</f>
        <v>68</v>
      </c>
      <c r="O36" s="9">
        <f t="array" ref="O36">IFERROR(N36/I36*100,0)</f>
        <v>22.149837133550488</v>
      </c>
    </row>
    <row r="37" spans="1:15" outlineLevel="1" x14ac:dyDescent="0.15">
      <c r="A37" s="8" t="s">
        <v>1273</v>
      </c>
      <c r="B37" s="8" t="s">
        <v>14</v>
      </c>
      <c r="C37" s="8" t="s">
        <v>14</v>
      </c>
      <c r="D37" s="8" t="s">
        <v>1304</v>
      </c>
      <c r="E37" s="9">
        <v>40.28</v>
      </c>
      <c r="F37" s="8" t="s">
        <v>1740</v>
      </c>
      <c r="G37" s="10">
        <v>5347</v>
      </c>
      <c r="H37" s="132">
        <v>46153</v>
      </c>
      <c r="I37" s="143">
        <f t="array" ref="I37">INDEX([24]perbandingan!$H$24:$H$231,MATCH(1,([24]perbandingan!$E$24:$E$231=$D37)*([24]perbandingan!$E$24:$E$231=$D37),0))</f>
        <v>466</v>
      </c>
      <c r="J37" s="9">
        <f t="array" ref="J37">IFERROR(I37/G37*100,0)</f>
        <v>8.715167383579578</v>
      </c>
      <c r="K37" s="143">
        <f t="array" ref="K37">INDEX([24]perbandingan!$L$24:$L$231,MATCH(1,([24]perbandingan!$E$24:$E$231=$D37)*([24]perbandingan!$E$24:$E$231=$D37),0))</f>
        <v>33</v>
      </c>
      <c r="L37" s="9">
        <f t="shared" si="1"/>
        <v>7.0815450643776829</v>
      </c>
      <c r="M37" s="8" t="str">
        <f t="array" ref="M37">IF(L37&gt;5,"Perlu Pengendalian",IF(AND(L37&gt;=0,I37&gt;0),"Tidak Perlu Pengendalian","Belum Sensus"))</f>
        <v>Perlu Pengendalian</v>
      </c>
      <c r="N37" s="143">
        <f t="array" ref="N37">INDEX([24]perbandingan!$J$24:$J$231,MATCH(1,([24]perbandingan!$E$24:$E$231=$D37)*([24]perbandingan!$E$24:$E$231=$D37),0))</f>
        <v>56</v>
      </c>
      <c r="O37" s="9">
        <f t="array" ref="O37">IFERROR(N37/I37*100,0)</f>
        <v>12.017167381974248</v>
      </c>
    </row>
    <row r="38" spans="1:15" outlineLevel="1" x14ac:dyDescent="0.15">
      <c r="A38" s="8" t="s">
        <v>1273</v>
      </c>
      <c r="B38" s="8" t="s">
        <v>14</v>
      </c>
      <c r="C38" s="8" t="s">
        <v>47</v>
      </c>
      <c r="D38" s="8" t="s">
        <v>1305</v>
      </c>
      <c r="E38" s="9">
        <v>38.82</v>
      </c>
      <c r="F38" s="8" t="s">
        <v>1740</v>
      </c>
      <c r="G38" s="10">
        <v>4579</v>
      </c>
      <c r="H38" s="132">
        <v>46153</v>
      </c>
      <c r="I38" s="143">
        <f t="array" ref="I38">INDEX([24]perbandingan!$H$24:$H$231,MATCH(1,([24]perbandingan!$E$24:$E$231=$D38)*([24]perbandingan!$E$24:$E$231=$D38),0))</f>
        <v>288</v>
      </c>
      <c r="J38" s="9">
        <f t="array" ref="J38">IFERROR(I38/G38*100,0)</f>
        <v>6.2895828783577201</v>
      </c>
      <c r="K38" s="143">
        <f t="array" ref="K38">INDEX([24]perbandingan!$L$24:$L$231,MATCH(1,([24]perbandingan!$E$24:$E$231=$D38)*([24]perbandingan!$E$24:$E$231=$D38),0))</f>
        <v>23</v>
      </c>
      <c r="L38" s="9">
        <f t="shared" si="1"/>
        <v>7.9861111111111107</v>
      </c>
      <c r="M38" s="8" t="str">
        <f t="array" ref="M38">IF(L38&gt;5,"Perlu Pengendalian",IF(AND(L38&gt;=0,I38&gt;0),"Tidak Perlu Pengendalian","Belum Sensus"))</f>
        <v>Perlu Pengendalian</v>
      </c>
      <c r="N38" s="143">
        <f t="array" ref="N38">INDEX([24]perbandingan!$J$24:$J$231,MATCH(1,([24]perbandingan!$E$24:$E$231=$D38)*([24]perbandingan!$E$24:$E$231=$D38),0))</f>
        <v>88</v>
      </c>
      <c r="O38" s="9">
        <f t="array" ref="O38">IFERROR(N38/I38*100,0)</f>
        <v>30.555555555555557</v>
      </c>
    </row>
    <row r="39" spans="1:15" outlineLevel="1" x14ac:dyDescent="0.15">
      <c r="A39" s="8" t="s">
        <v>1273</v>
      </c>
      <c r="B39" s="8" t="s">
        <v>14</v>
      </c>
      <c r="C39" s="8" t="s">
        <v>47</v>
      </c>
      <c r="D39" s="8" t="s">
        <v>1306</v>
      </c>
      <c r="E39" s="9">
        <v>42.519999999999996</v>
      </c>
      <c r="F39" s="8" t="s">
        <v>1740</v>
      </c>
      <c r="G39" s="10">
        <v>5684</v>
      </c>
      <c r="H39" s="132">
        <v>46153</v>
      </c>
      <c r="I39" s="143">
        <f t="array" ref="I39">INDEX([24]perbandingan!$H$24:$H$231,MATCH(1,([24]perbandingan!$E$24:$E$231=$D39)*([24]perbandingan!$E$24:$E$231=$D39),0))</f>
        <v>187</v>
      </c>
      <c r="J39" s="9">
        <f t="array" ref="J39">IFERROR(I39/G39*100,0)</f>
        <v>3.2899366643209005</v>
      </c>
      <c r="K39" s="143">
        <f t="array" ref="K39">INDEX([24]perbandingan!$L$24:$L$231,MATCH(1,([24]perbandingan!$E$24:$E$231=$D39)*([24]perbandingan!$E$24:$E$231=$D39),0))</f>
        <v>77</v>
      </c>
      <c r="L39" s="9">
        <f t="shared" si="1"/>
        <v>41.17647058823529</v>
      </c>
      <c r="M39" s="8" t="str">
        <f t="array" ref="M39">IF(L39&gt;5,"Perlu Pengendalian",IF(AND(L39&gt;=0,I39&gt;0),"Tidak Perlu Pengendalian","Belum Sensus"))</f>
        <v>Perlu Pengendalian</v>
      </c>
      <c r="N39" s="143">
        <f t="array" ref="N39">INDEX([24]perbandingan!$J$24:$J$231,MATCH(1,([24]perbandingan!$E$24:$E$231=$D39)*([24]perbandingan!$E$24:$E$231=$D39),0))</f>
        <v>68</v>
      </c>
      <c r="O39" s="9">
        <f t="array" ref="O39">IFERROR(N39/I39*100,0)</f>
        <v>36.363636363636367</v>
      </c>
    </row>
    <row r="40" spans="1:15" outlineLevel="1" x14ac:dyDescent="0.15">
      <c r="A40" s="8" t="s">
        <v>1273</v>
      </c>
      <c r="B40" s="8" t="s">
        <v>14</v>
      </c>
      <c r="C40" s="8" t="s">
        <v>47</v>
      </c>
      <c r="D40" s="8" t="s">
        <v>1307</v>
      </c>
      <c r="E40" s="9">
        <v>30.37</v>
      </c>
      <c r="F40" s="8" t="s">
        <v>1740</v>
      </c>
      <c r="G40" s="10">
        <v>4012</v>
      </c>
      <c r="H40" s="132">
        <v>46153</v>
      </c>
      <c r="I40" s="143">
        <f t="array" ref="I40">INDEX([24]perbandingan!$H$24:$H$231,MATCH(1,([24]perbandingan!$E$24:$E$231=$D40)*([24]perbandingan!$E$24:$E$231=$D40),0))</f>
        <v>389</v>
      </c>
      <c r="J40" s="9">
        <f t="array" ref="J40">IFERROR(I40/G40*100,0)</f>
        <v>9.6959122632103689</v>
      </c>
      <c r="K40" s="143">
        <f t="array" ref="K40">INDEX([24]perbandingan!$L$24:$L$231,MATCH(1,([24]perbandingan!$E$24:$E$231=$D40)*([24]perbandingan!$E$24:$E$231=$D40),0))</f>
        <v>99</v>
      </c>
      <c r="L40" s="9">
        <f t="shared" si="1"/>
        <v>25.449871465295633</v>
      </c>
      <c r="M40" s="8" t="str">
        <f t="array" ref="M40">IF(L40&gt;5,"Perlu Pengendalian",IF(AND(L40&gt;=0,I40&gt;0),"Tidak Perlu Pengendalian","Belum Sensus"))</f>
        <v>Perlu Pengendalian</v>
      </c>
      <c r="N40" s="143">
        <f t="array" ref="N40">INDEX([24]perbandingan!$J$24:$J$231,MATCH(1,([24]perbandingan!$E$24:$E$231=$D40)*([24]perbandingan!$E$24:$E$231=$D40),0))</f>
        <v>144</v>
      </c>
      <c r="O40" s="9">
        <f t="array" ref="O40">IFERROR(N40/I40*100,0)</f>
        <v>37.017994858611821</v>
      </c>
    </row>
    <row r="41" spans="1:15" outlineLevel="1" x14ac:dyDescent="0.15">
      <c r="A41" s="8" t="s">
        <v>1273</v>
      </c>
      <c r="B41" s="8" t="s">
        <v>14</v>
      </c>
      <c r="C41" s="8" t="s">
        <v>47</v>
      </c>
      <c r="D41" s="8" t="s">
        <v>1308</v>
      </c>
      <c r="E41" s="9">
        <v>28.84</v>
      </c>
      <c r="F41" s="8" t="s">
        <v>1740</v>
      </c>
      <c r="G41" s="10">
        <v>4012</v>
      </c>
      <c r="H41" s="132">
        <v>46153</v>
      </c>
      <c r="I41" s="143">
        <f t="array" ref="I41">INDEX([24]perbandingan!$H$24:$H$231,MATCH(1,([24]perbandingan!$E$24:$E$231=$D41)*([24]perbandingan!$E$24:$E$231=$D41),0))</f>
        <v>234</v>
      </c>
      <c r="J41" s="9">
        <f t="array" ref="J41">IFERROR(I41/G41*100,0)</f>
        <v>5.8325024925224325</v>
      </c>
      <c r="K41" s="143">
        <f t="array" ref="K41">INDEX([24]perbandingan!$L$24:$L$231,MATCH(1,([24]perbandingan!$E$24:$E$231=$D41)*([24]perbandingan!$E$24:$E$231=$D41),0))</f>
        <v>129</v>
      </c>
      <c r="L41" s="9">
        <f t="shared" si="1"/>
        <v>55.128205128205131</v>
      </c>
      <c r="M41" s="8" t="str">
        <f t="array" ref="M41">IF(L41&gt;5,"Perlu Pengendalian",IF(AND(L41&gt;=0,I41&gt;0),"Tidak Perlu Pengendalian","Belum Sensus"))</f>
        <v>Perlu Pengendalian</v>
      </c>
      <c r="N41" s="143">
        <f t="array" ref="N41">INDEX([24]perbandingan!$J$24:$J$231,MATCH(1,([24]perbandingan!$E$24:$E$231=$D41)*([24]perbandingan!$E$24:$E$231=$D41),0))</f>
        <v>116</v>
      </c>
      <c r="O41" s="9">
        <f t="array" ref="O41">IFERROR(N41/I41*100,0)</f>
        <v>49.572649572649574</v>
      </c>
    </row>
    <row r="42" spans="1:15" outlineLevel="1" x14ac:dyDescent="0.15">
      <c r="A42" s="8" t="s">
        <v>1273</v>
      </c>
      <c r="B42" s="8" t="s">
        <v>14</v>
      </c>
      <c r="C42" s="8" t="s">
        <v>47</v>
      </c>
      <c r="D42" s="8" t="s">
        <v>1309</v>
      </c>
      <c r="E42" s="9">
        <v>28.89</v>
      </c>
      <c r="F42" s="8" t="s">
        <v>1740</v>
      </c>
      <c r="G42" s="10">
        <v>4342</v>
      </c>
      <c r="H42" s="132">
        <v>46153</v>
      </c>
      <c r="I42" s="143">
        <f t="array" ref="I42">INDEX([24]perbandingan!$H$24:$H$231,MATCH(1,([24]perbandingan!$E$24:$E$231=$D42)*([24]perbandingan!$E$24:$E$231=$D42),0))</f>
        <v>145</v>
      </c>
      <c r="J42" s="9">
        <f t="array" ref="J42">IFERROR(I42/G42*100,0)</f>
        <v>3.339474896361124</v>
      </c>
      <c r="K42" s="143">
        <f t="array" ref="K42">INDEX([24]perbandingan!$L$24:$L$231,MATCH(1,([24]perbandingan!$E$24:$E$231=$D42)*([24]perbandingan!$E$24:$E$231=$D42),0))</f>
        <v>87</v>
      </c>
      <c r="L42" s="9">
        <f t="shared" si="1"/>
        <v>60</v>
      </c>
      <c r="M42" s="8" t="str">
        <f t="array" ref="M42">IF(L42&gt;5,"Perlu Pengendalian",IF(AND(L42&gt;=0,I42&gt;0),"Tidak Perlu Pengendalian","Belum Sensus"))</f>
        <v>Perlu Pengendalian</v>
      </c>
      <c r="N42" s="143">
        <f t="array" ref="N42">INDEX([24]perbandingan!$J$24:$J$231,MATCH(1,([24]perbandingan!$E$24:$E$231=$D42)*([24]perbandingan!$E$24:$E$231=$D42),0))</f>
        <v>95</v>
      </c>
      <c r="O42" s="9">
        <f t="array" ref="O42">IFERROR(N42/I42*100,0)</f>
        <v>65.517241379310349</v>
      </c>
    </row>
    <row r="43" spans="1:15" outlineLevel="1" x14ac:dyDescent="0.15">
      <c r="A43" s="8" t="s">
        <v>1273</v>
      </c>
      <c r="B43" s="8" t="s">
        <v>14</v>
      </c>
      <c r="C43" s="8" t="s">
        <v>47</v>
      </c>
      <c r="D43" s="8" t="s">
        <v>1310</v>
      </c>
      <c r="E43" s="9">
        <v>28.17</v>
      </c>
      <c r="F43" s="8" t="s">
        <v>1740</v>
      </c>
      <c r="G43" s="10">
        <v>3688</v>
      </c>
      <c r="H43" s="132">
        <v>46153</v>
      </c>
      <c r="I43" s="143">
        <f t="array" ref="I43">INDEX([24]perbandingan!$H$24:$H$231,MATCH(1,([24]perbandingan!$E$24:$E$231=$D43)*([24]perbandingan!$E$24:$E$231=$D43),0))</f>
        <v>115</v>
      </c>
      <c r="J43" s="9">
        <f t="array" ref="J43">IFERROR(I43/G43*100,0)</f>
        <v>3.1182212581344904</v>
      </c>
      <c r="K43" s="143">
        <f t="array" ref="K43">INDEX([24]perbandingan!$L$24:$L$231,MATCH(1,([24]perbandingan!$E$24:$E$231=$D43)*([24]perbandingan!$E$24:$E$231=$D43),0))</f>
        <v>65</v>
      </c>
      <c r="L43" s="9">
        <f t="shared" si="1"/>
        <v>56.521739130434781</v>
      </c>
      <c r="M43" s="8" t="str">
        <f t="array" ref="M43">IF(L43&gt;5,"Perlu Pengendalian",IF(AND(L43&gt;=0,I43&gt;0),"Tidak Perlu Pengendalian","Belum Sensus"))</f>
        <v>Perlu Pengendalian</v>
      </c>
      <c r="N43" s="143">
        <f t="array" ref="N43">INDEX([24]perbandingan!$J$24:$J$231,MATCH(1,([24]perbandingan!$E$24:$E$231=$D43)*([24]perbandingan!$E$24:$E$231=$D43),0))</f>
        <v>87</v>
      </c>
      <c r="O43" s="9">
        <f t="array" ref="O43">IFERROR(N43/I43*100,0)</f>
        <v>75.65217391304347</v>
      </c>
    </row>
    <row r="44" spans="1:15" outlineLevel="1" x14ac:dyDescent="0.15">
      <c r="A44" s="8" t="s">
        <v>1273</v>
      </c>
      <c r="B44" s="8" t="s">
        <v>14</v>
      </c>
      <c r="C44" s="8" t="s">
        <v>47</v>
      </c>
      <c r="D44" s="8" t="s">
        <v>1311</v>
      </c>
      <c r="E44" s="9">
        <v>29.12</v>
      </c>
      <c r="F44" s="8" t="s">
        <v>1740</v>
      </c>
      <c r="G44" s="10">
        <v>3807</v>
      </c>
      <c r="H44" s="132">
        <v>46153</v>
      </c>
      <c r="I44" s="143">
        <f t="array" ref="I44">INDEX([24]perbandingan!$H$24:$H$231,MATCH(1,([24]perbandingan!$E$24:$E$231=$D44)*([24]perbandingan!$E$24:$E$231=$D44),0))</f>
        <v>256</v>
      </c>
      <c r="J44" s="9">
        <f t="array" ref="J44">IFERROR(I44/G44*100,0)</f>
        <v>6.7244549514053062</v>
      </c>
      <c r="K44" s="143">
        <f t="array" ref="K44">INDEX([24]perbandingan!$L$24:$L$231,MATCH(1,([24]perbandingan!$E$24:$E$231=$D44)*([24]perbandingan!$E$24:$E$231=$D44),0))</f>
        <v>145</v>
      </c>
      <c r="L44" s="9">
        <f t="shared" si="1"/>
        <v>56.640625</v>
      </c>
      <c r="M44" s="8" t="str">
        <f t="array" ref="M44">IF(L44&gt;5,"Perlu Pengendalian",IF(AND(L44&gt;=0,I44&gt;0),"Tidak Perlu Pengendalian","Belum Sensus"))</f>
        <v>Perlu Pengendalian</v>
      </c>
      <c r="N44" s="143">
        <f t="array" ref="N44">INDEX([24]perbandingan!$J$24:$J$231,MATCH(1,([24]perbandingan!$E$24:$E$231=$D44)*([24]perbandingan!$E$24:$E$231=$D44),0))</f>
        <v>169</v>
      </c>
      <c r="O44" s="9">
        <f t="array" ref="O44">IFERROR(N44/I44*100,0)</f>
        <v>66.015625</v>
      </c>
    </row>
    <row r="45" spans="1:15" outlineLevel="1" x14ac:dyDescent="0.15">
      <c r="A45" s="8" t="s">
        <v>1273</v>
      </c>
      <c r="B45" s="8" t="s">
        <v>14</v>
      </c>
      <c r="C45" s="8" t="s">
        <v>47</v>
      </c>
      <c r="D45" s="8" t="s">
        <v>1312</v>
      </c>
      <c r="E45" s="9">
        <v>29.2</v>
      </c>
      <c r="F45" s="8" t="s">
        <v>1740</v>
      </c>
      <c r="G45" s="10">
        <v>3700</v>
      </c>
      <c r="H45" s="132">
        <v>46153</v>
      </c>
      <c r="I45" s="143">
        <f t="array" ref="I45">INDEX([24]perbandingan!$H$24:$H$231,MATCH(1,([24]perbandingan!$E$24:$E$231=$D45)*([24]perbandingan!$E$24:$E$231=$D45),0))</f>
        <v>299</v>
      </c>
      <c r="J45" s="9">
        <f t="array" ref="J45">IFERROR(I45/G45*100,0)</f>
        <v>8.0810810810810807</v>
      </c>
      <c r="K45" s="143">
        <f t="array" ref="K45">INDEX([24]perbandingan!$L$24:$L$231,MATCH(1,([24]perbandingan!$E$24:$E$231=$D45)*([24]perbandingan!$E$24:$E$231=$D45),0))</f>
        <v>24</v>
      </c>
      <c r="L45" s="9">
        <f t="shared" si="1"/>
        <v>8.0267558528428093</v>
      </c>
      <c r="M45" s="8" t="str">
        <f t="array" ref="M45">IF(L45&gt;5,"Perlu Pengendalian",IF(AND(L45&gt;=0,I45&gt;0),"Tidak Perlu Pengendalian","Belum Sensus"))</f>
        <v>Perlu Pengendalian</v>
      </c>
      <c r="N45" s="143">
        <f t="array" ref="N45">INDEX([24]perbandingan!$J$24:$J$231,MATCH(1,([24]perbandingan!$E$24:$E$231=$D45)*([24]perbandingan!$E$24:$E$231=$D45),0))</f>
        <v>192</v>
      </c>
      <c r="O45" s="9">
        <f t="array" ref="O45">IFERROR(N45/I45*100,0)</f>
        <v>64.214046822742475</v>
      </c>
    </row>
    <row r="46" spans="1:15" outlineLevel="1" x14ac:dyDescent="0.15">
      <c r="A46" s="8" t="s">
        <v>1273</v>
      </c>
      <c r="B46" s="8" t="s">
        <v>14</v>
      </c>
      <c r="C46" s="8" t="s">
        <v>47</v>
      </c>
      <c r="D46" s="8" t="s">
        <v>1313</v>
      </c>
      <c r="E46" s="9">
        <v>30.45</v>
      </c>
      <c r="F46" s="8" t="s">
        <v>1740</v>
      </c>
      <c r="G46" s="10">
        <v>3271</v>
      </c>
      <c r="H46" s="132">
        <v>46149</v>
      </c>
      <c r="I46" s="143">
        <f t="array" ref="I46">INDEX([24]perbandingan!$H$24:$H$231,MATCH(1,([24]perbandingan!$E$24:$E$231=$D46)*([24]perbandingan!$E$24:$E$231=$D46),0))</f>
        <v>199</v>
      </c>
      <c r="J46" s="9">
        <f t="array" ref="J46">IFERROR(I46/G46*100,0)</f>
        <v>6.0837664322837055</v>
      </c>
      <c r="K46" s="143">
        <f t="array" ref="K46">INDEX([24]perbandingan!$L$24:$L$231,MATCH(1,([24]perbandingan!$E$24:$E$231=$D46)*([24]perbandingan!$E$24:$E$231=$D46),0))</f>
        <v>34</v>
      </c>
      <c r="L46" s="9">
        <f t="shared" si="1"/>
        <v>17.08542713567839</v>
      </c>
      <c r="M46" s="8" t="str">
        <f t="array" ref="M46">IF(L46&gt;5,"Perlu Pengendalian",IF(AND(L46&gt;=0,I46&gt;0),"Tidak Perlu Pengendalian","Belum Sensus"))</f>
        <v>Perlu Pengendalian</v>
      </c>
      <c r="N46" s="143">
        <f t="array" ref="N46">INDEX([24]perbandingan!$J$24:$J$231,MATCH(1,([24]perbandingan!$E$24:$E$231=$D46)*([24]perbandingan!$E$24:$E$231=$D46),0))</f>
        <v>99</v>
      </c>
      <c r="O46" s="9">
        <f t="array" ref="O46">IFERROR(N46/I46*100,0)</f>
        <v>49.748743718592962</v>
      </c>
    </row>
    <row r="47" spans="1:15" outlineLevel="1" x14ac:dyDescent="0.15">
      <c r="A47" s="8" t="s">
        <v>1273</v>
      </c>
      <c r="B47" s="8" t="s">
        <v>14</v>
      </c>
      <c r="C47" s="8" t="s">
        <v>47</v>
      </c>
      <c r="D47" s="8" t="s">
        <v>1314</v>
      </c>
      <c r="E47" s="9">
        <v>28.96</v>
      </c>
      <c r="F47" s="8" t="s">
        <v>1740</v>
      </c>
      <c r="G47" s="10">
        <v>3442</v>
      </c>
      <c r="H47" s="132">
        <v>46149</v>
      </c>
      <c r="I47" s="143">
        <f t="array" ref="I47">INDEX([24]perbandingan!$H$24:$H$231,MATCH(1,([24]perbandingan!$E$24:$E$231=$D47)*([24]perbandingan!$E$24:$E$231=$D47),0))</f>
        <v>387</v>
      </c>
      <c r="J47" s="9">
        <f t="array" ref="J47">IFERROR(I47/G47*100,0)</f>
        <v>11.243463102847182</v>
      </c>
      <c r="K47" s="143">
        <f t="array" ref="K47">INDEX([24]perbandingan!$L$24:$L$231,MATCH(1,([24]perbandingan!$E$24:$E$231=$D47)*([24]perbandingan!$E$24:$E$231=$D47),0))</f>
        <v>47</v>
      </c>
      <c r="L47" s="9">
        <f t="shared" si="1"/>
        <v>12.144702842377262</v>
      </c>
      <c r="M47" s="8" t="str">
        <f t="array" ref="M47">IF(L47&gt;5,"Perlu Pengendalian",IF(AND(L47&gt;=0,I47&gt;0),"Tidak Perlu Pengendalian","Belum Sensus"))</f>
        <v>Perlu Pengendalian</v>
      </c>
      <c r="N47" s="143">
        <f t="array" ref="N47">INDEX([24]perbandingan!$J$24:$J$231,MATCH(1,([24]perbandingan!$E$24:$E$231=$D47)*([24]perbandingan!$E$24:$E$231=$D47),0))</f>
        <v>134</v>
      </c>
      <c r="O47" s="9">
        <f t="array" ref="O47">IFERROR(N47/I47*100,0)</f>
        <v>34.625322997416021</v>
      </c>
    </row>
    <row r="48" spans="1:15" outlineLevel="1" x14ac:dyDescent="0.15">
      <c r="A48" s="8" t="s">
        <v>1273</v>
      </c>
      <c r="B48" s="8" t="s">
        <v>14</v>
      </c>
      <c r="C48" s="8" t="s">
        <v>47</v>
      </c>
      <c r="D48" s="8" t="s">
        <v>1315</v>
      </c>
      <c r="E48" s="9">
        <v>27.98</v>
      </c>
      <c r="F48" s="8" t="s">
        <v>1740</v>
      </c>
      <c r="G48" s="10">
        <v>3700</v>
      </c>
      <c r="H48" s="132">
        <v>46149</v>
      </c>
      <c r="I48" s="143">
        <f t="array" ref="I48">INDEX([24]perbandingan!$H$24:$H$231,MATCH(1,([24]perbandingan!$E$24:$E$231=$D48)*([24]perbandingan!$E$24:$E$231=$D48),0))</f>
        <v>281</v>
      </c>
      <c r="J48" s="9">
        <f t="array" ref="J48">IFERROR(I48/G48*100,0)</f>
        <v>7.5945945945945947</v>
      </c>
      <c r="K48" s="143">
        <f t="array" ref="K48">INDEX([24]perbandingan!$L$24:$L$231,MATCH(1,([24]perbandingan!$E$24:$E$231=$D48)*([24]perbandingan!$E$24:$E$231=$D48),0))</f>
        <v>66</v>
      </c>
      <c r="L48" s="9">
        <f t="shared" si="1"/>
        <v>23.487544483985765</v>
      </c>
      <c r="M48" s="8" t="str">
        <f t="array" ref="M48">IF(L48&gt;5,"Perlu Pengendalian",IF(AND(L48&gt;=0,I48&gt;0),"Tidak Perlu Pengendalian","Belum Sensus"))</f>
        <v>Perlu Pengendalian</v>
      </c>
      <c r="N48" s="143">
        <f t="array" ref="N48">INDEX([24]perbandingan!$J$24:$J$231,MATCH(1,([24]perbandingan!$E$24:$E$231=$D48)*([24]perbandingan!$E$24:$E$231=$D48),0))</f>
        <v>99</v>
      </c>
      <c r="O48" s="9">
        <f t="array" ref="O48">IFERROR(N48/I48*100,0)</f>
        <v>35.231316725978644</v>
      </c>
    </row>
    <row r="49" spans="1:15" outlineLevel="1" x14ac:dyDescent="0.15">
      <c r="A49" s="8" t="s">
        <v>1273</v>
      </c>
      <c r="B49" s="8" t="s">
        <v>14</v>
      </c>
      <c r="C49" s="8" t="s">
        <v>47</v>
      </c>
      <c r="D49" s="8" t="s">
        <v>1316</v>
      </c>
      <c r="E49" s="9">
        <v>29.74</v>
      </c>
      <c r="F49" s="8" t="s">
        <v>1740</v>
      </c>
      <c r="G49" s="10">
        <v>3974</v>
      </c>
      <c r="H49" s="132">
        <v>46149</v>
      </c>
      <c r="I49" s="143">
        <f t="array" ref="I49">INDEX([24]perbandingan!$H$24:$H$231,MATCH(1,([24]perbandingan!$E$24:$E$231=$D49)*([24]perbandingan!$E$24:$E$231=$D49),0))</f>
        <v>371</v>
      </c>
      <c r="J49" s="9">
        <f t="array" ref="J49">IFERROR(I49/G49*100,0)</f>
        <v>9.335681932561652</v>
      </c>
      <c r="K49" s="143">
        <f t="array" ref="K49">INDEX([24]perbandingan!$L$24:$L$231,MATCH(1,([24]perbandingan!$E$24:$E$231=$D49)*([24]perbandingan!$E$24:$E$231=$D49),0))</f>
        <v>24</v>
      </c>
      <c r="L49" s="9">
        <f t="shared" si="1"/>
        <v>6.4690026954177897</v>
      </c>
      <c r="M49" s="8" t="str">
        <f t="array" ref="M49">IF(L49&gt;5,"Perlu Pengendalian",IF(AND(L49&gt;=0,I49&gt;0),"Tidak Perlu Pengendalian","Belum Sensus"))</f>
        <v>Perlu Pengendalian</v>
      </c>
      <c r="N49" s="143">
        <f t="array" ref="N49">INDEX([24]perbandingan!$J$24:$J$231,MATCH(1,([24]perbandingan!$E$24:$E$231=$D49)*([24]perbandingan!$E$24:$E$231=$D49),0))</f>
        <v>89</v>
      </c>
      <c r="O49" s="9">
        <f t="array" ref="O49">IFERROR(N49/I49*100,0)</f>
        <v>23.98921832884097</v>
      </c>
    </row>
    <row r="50" spans="1:15" outlineLevel="1" x14ac:dyDescent="0.15">
      <c r="A50" s="8" t="s">
        <v>1273</v>
      </c>
      <c r="B50" s="8" t="s">
        <v>14</v>
      </c>
      <c r="C50" s="8" t="s">
        <v>47</v>
      </c>
      <c r="D50" s="8" t="s">
        <v>1317</v>
      </c>
      <c r="E50" s="9">
        <v>28.49</v>
      </c>
      <c r="F50" s="8" t="s">
        <v>1740</v>
      </c>
      <c r="G50" s="10">
        <v>3992</v>
      </c>
      <c r="H50" s="132">
        <v>46149</v>
      </c>
      <c r="I50" s="143">
        <f t="array" ref="I50">INDEX([24]perbandingan!$H$24:$H$231,MATCH(1,([24]perbandingan!$E$24:$E$231=$D50)*([24]perbandingan!$E$24:$E$231=$D50),0))</f>
        <v>166</v>
      </c>
      <c r="J50" s="9">
        <f t="array" ref="J50">IFERROR(I50/G50*100,0)</f>
        <v>4.1583166332665327</v>
      </c>
      <c r="K50" s="143">
        <f t="array" ref="K50">INDEX([24]perbandingan!$L$24:$L$231,MATCH(1,([24]perbandingan!$E$24:$E$231=$D50)*([24]perbandingan!$E$24:$E$231=$D50),0))</f>
        <v>35</v>
      </c>
      <c r="L50" s="9">
        <f t="shared" si="1"/>
        <v>21.084337349397593</v>
      </c>
      <c r="M50" s="8" t="str">
        <f t="array" ref="M50">IF(L50&gt;5,"Perlu Pengendalian",IF(AND(L50&gt;=0,I50&gt;0),"Tidak Perlu Pengendalian","Belum Sensus"))</f>
        <v>Perlu Pengendalian</v>
      </c>
      <c r="N50" s="143">
        <f t="array" ref="N50">INDEX([24]perbandingan!$J$24:$J$231,MATCH(1,([24]perbandingan!$E$24:$E$231=$D50)*([24]perbandingan!$E$24:$E$231=$D50),0))</f>
        <v>67</v>
      </c>
      <c r="O50" s="9">
        <f t="array" ref="O50">IFERROR(N50/I50*100,0)</f>
        <v>40.361445783132531</v>
      </c>
    </row>
    <row r="51" spans="1:15" outlineLevel="1" x14ac:dyDescent="0.15">
      <c r="A51" s="8" t="s">
        <v>1273</v>
      </c>
      <c r="B51" s="8" t="s">
        <v>14</v>
      </c>
      <c r="C51" s="8" t="s">
        <v>47</v>
      </c>
      <c r="D51" s="8" t="s">
        <v>1318</v>
      </c>
      <c r="E51" s="9">
        <v>29.13</v>
      </c>
      <c r="F51" s="8" t="s">
        <v>1740</v>
      </c>
      <c r="G51" s="10">
        <v>4172</v>
      </c>
      <c r="H51" s="132">
        <v>46149</v>
      </c>
      <c r="I51" s="143">
        <f t="array" ref="I51">INDEX([24]perbandingan!$H$24:$H$231,MATCH(1,([24]perbandingan!$E$24:$E$231=$D51)*([24]perbandingan!$E$24:$E$231=$D51),0))</f>
        <v>396</v>
      </c>
      <c r="J51" s="9">
        <f t="array" ref="J51">IFERROR(I51/G51*100,0)</f>
        <v>9.4918504314477481</v>
      </c>
      <c r="K51" s="143">
        <f t="array" ref="K51">INDEX([24]perbandingan!$L$24:$L$231,MATCH(1,([24]perbandingan!$E$24:$E$231=$D51)*([24]perbandingan!$E$24:$E$231=$D51),0))</f>
        <v>23</v>
      </c>
      <c r="L51" s="9">
        <f t="shared" si="1"/>
        <v>5.808080808080808</v>
      </c>
      <c r="M51" s="8" t="str">
        <f t="array" ref="M51">IF(L51&gt;5,"Perlu Pengendalian",IF(AND(L51&gt;=0,I51&gt;0),"Tidak Perlu Pengendalian","Belum Sensus"))</f>
        <v>Perlu Pengendalian</v>
      </c>
      <c r="N51" s="143">
        <f t="array" ref="N51">INDEX([24]perbandingan!$J$24:$J$231,MATCH(1,([24]perbandingan!$E$24:$E$231=$D51)*([24]perbandingan!$E$24:$E$231=$D51),0))</f>
        <v>90</v>
      </c>
      <c r="O51" s="9">
        <f t="array" ref="O51">IFERROR(N51/I51*100,0)</f>
        <v>22.727272727272727</v>
      </c>
    </row>
    <row r="52" spans="1:15" outlineLevel="1" x14ac:dyDescent="0.15">
      <c r="A52" s="8" t="s">
        <v>1273</v>
      </c>
      <c r="B52" s="8" t="s">
        <v>14</v>
      </c>
      <c r="C52" s="8" t="s">
        <v>47</v>
      </c>
      <c r="D52" s="8" t="s">
        <v>1319</v>
      </c>
      <c r="E52" s="9">
        <v>26.64</v>
      </c>
      <c r="F52" s="8" t="s">
        <v>1740</v>
      </c>
      <c r="G52" s="10">
        <v>3516</v>
      </c>
      <c r="H52" s="132">
        <v>46149</v>
      </c>
      <c r="I52" s="143">
        <f t="array" ref="I52">INDEX([24]perbandingan!$H$24:$H$231,MATCH(1,([24]perbandingan!$E$24:$E$231=$D52)*([24]perbandingan!$E$24:$E$231=$D52),0))</f>
        <v>277</v>
      </c>
      <c r="J52" s="9">
        <f t="array" ref="J52">IFERROR(I52/G52*100,0)</f>
        <v>7.8782707622298069</v>
      </c>
      <c r="K52" s="143">
        <f t="array" ref="K52">INDEX([24]perbandingan!$L$24:$L$231,MATCH(1,([24]perbandingan!$E$24:$E$231=$D52)*([24]perbandingan!$E$24:$E$231=$D52),0))</f>
        <v>57</v>
      </c>
      <c r="L52" s="9">
        <f t="shared" si="1"/>
        <v>20.577617328519857</v>
      </c>
      <c r="M52" s="8" t="str">
        <f t="array" ref="M52">IF(L52&gt;5,"Perlu Pengendalian",IF(AND(L52&gt;=0,I52&gt;0),"Tidak Perlu Pengendalian","Belum Sensus"))</f>
        <v>Perlu Pengendalian</v>
      </c>
      <c r="N52" s="143">
        <f t="array" ref="N52">INDEX([24]perbandingan!$J$24:$J$231,MATCH(1,([24]perbandingan!$E$24:$E$231=$D52)*([24]perbandingan!$E$24:$E$231=$D52),0))</f>
        <v>77</v>
      </c>
      <c r="O52" s="9">
        <f t="array" ref="O52">IFERROR(N52/I52*100,0)</f>
        <v>27.797833935018051</v>
      </c>
    </row>
    <row r="53" spans="1:15" outlineLevel="1" x14ac:dyDescent="0.15">
      <c r="A53" s="8" t="s">
        <v>1273</v>
      </c>
      <c r="B53" s="8" t="s">
        <v>14</v>
      </c>
      <c r="C53" s="8" t="s">
        <v>47</v>
      </c>
      <c r="D53" s="8" t="s">
        <v>1320</v>
      </c>
      <c r="E53" s="9">
        <v>31.18</v>
      </c>
      <c r="F53" s="8" t="s">
        <v>1740</v>
      </c>
      <c r="G53" s="10">
        <v>4067</v>
      </c>
      <c r="H53" s="132">
        <v>46149</v>
      </c>
      <c r="I53" s="143">
        <f t="array" ref="I53">INDEX([24]perbandingan!$H$24:$H$231,MATCH(1,([24]perbandingan!$E$24:$E$231=$D53)*([24]perbandingan!$E$24:$E$231=$D53),0))</f>
        <v>165</v>
      </c>
      <c r="J53" s="9">
        <f t="array" ref="J53">IFERROR(I53/G53*100,0)</f>
        <v>4.0570445045488075</v>
      </c>
      <c r="K53" s="143">
        <f t="array" ref="K53">INDEX([24]perbandingan!$L$24:$L$231,MATCH(1,([24]perbandingan!$E$24:$E$231=$D53)*([24]perbandingan!$E$24:$E$231=$D53),0))</f>
        <v>37</v>
      </c>
      <c r="L53" s="9">
        <f t="shared" si="1"/>
        <v>22.424242424242426</v>
      </c>
      <c r="M53" s="8" t="str">
        <f t="array" ref="M53">IF(L53&gt;5,"Perlu Pengendalian",IF(AND(L53&gt;=0,I53&gt;0),"Tidak Perlu Pengendalian","Belum Sensus"))</f>
        <v>Perlu Pengendalian</v>
      </c>
      <c r="N53" s="143">
        <f t="array" ref="N53">INDEX([24]perbandingan!$J$24:$J$231,MATCH(1,([24]perbandingan!$E$24:$E$231=$D53)*([24]perbandingan!$E$24:$E$231=$D53),0))</f>
        <v>65</v>
      </c>
      <c r="O53" s="9">
        <f t="array" ref="O53">IFERROR(N53/I53*100,0)</f>
        <v>39.393939393939391</v>
      </c>
    </row>
    <row r="54" spans="1:15" outlineLevel="1" x14ac:dyDescent="0.15">
      <c r="A54" s="8" t="s">
        <v>1273</v>
      </c>
      <c r="B54" s="8" t="s">
        <v>14</v>
      </c>
      <c r="C54" s="8" t="s">
        <v>47</v>
      </c>
      <c r="D54" s="8" t="s">
        <v>1321</v>
      </c>
      <c r="E54" s="9">
        <v>28.33</v>
      </c>
      <c r="F54" s="8" t="s">
        <v>1740</v>
      </c>
      <c r="G54" s="10">
        <v>3561</v>
      </c>
      <c r="H54" s="132">
        <v>46149</v>
      </c>
      <c r="I54" s="143">
        <f t="array" ref="I54">INDEX([24]perbandingan!$H$24:$H$231,MATCH(1,([24]perbandingan!$E$24:$E$231=$D54)*([24]perbandingan!$E$24:$E$231=$D54),0))</f>
        <v>246</v>
      </c>
      <c r="J54" s="9">
        <f t="array" ref="J54">IFERROR(I54/G54*100,0)</f>
        <v>6.9081718618365624</v>
      </c>
      <c r="K54" s="143">
        <f t="array" ref="K54">INDEX([24]perbandingan!$L$24:$L$231,MATCH(1,([24]perbandingan!$E$24:$E$231=$D54)*([24]perbandingan!$E$24:$E$231=$D54),0))</f>
        <v>44</v>
      </c>
      <c r="L54" s="9">
        <f t="shared" si="1"/>
        <v>17.886178861788618</v>
      </c>
      <c r="M54" s="8" t="str">
        <f t="array" ref="M54">IF(L54&gt;5,"Perlu Pengendalian",IF(AND(L54&gt;=0,I54&gt;0),"Tidak Perlu Pengendalian","Belum Sensus"))</f>
        <v>Perlu Pengendalian</v>
      </c>
      <c r="N54" s="143">
        <f t="array" ref="N54">INDEX([24]perbandingan!$J$24:$J$231,MATCH(1,([24]perbandingan!$E$24:$E$231=$D54)*([24]perbandingan!$E$24:$E$231=$D54),0))</f>
        <v>167</v>
      </c>
      <c r="O54" s="9">
        <f t="array" ref="O54">IFERROR(N54/I54*100,0)</f>
        <v>67.886178861788622</v>
      </c>
    </row>
    <row r="55" spans="1:15" outlineLevel="1" x14ac:dyDescent="0.15">
      <c r="A55" s="8" t="s">
        <v>1273</v>
      </c>
      <c r="B55" s="8" t="s">
        <v>14</v>
      </c>
      <c r="C55" s="8" t="s">
        <v>47</v>
      </c>
      <c r="D55" s="8" t="s">
        <v>1322</v>
      </c>
      <c r="E55" s="9">
        <v>27.41</v>
      </c>
      <c r="F55" s="8" t="s">
        <v>1740</v>
      </c>
      <c r="G55" s="10">
        <v>2493</v>
      </c>
      <c r="H55" s="132">
        <v>46149</v>
      </c>
      <c r="I55" s="143">
        <f t="array" ref="I55">INDEX([24]perbandingan!$H$24:$H$231,MATCH(1,([24]perbandingan!$E$24:$E$231=$D55)*([24]perbandingan!$E$24:$E$231=$D55),0))</f>
        <v>372</v>
      </c>
      <c r="J55" s="9">
        <f t="array" ref="J55">IFERROR(I55/G55*100,0)</f>
        <v>14.921780986762936</v>
      </c>
      <c r="K55" s="143">
        <f t="array" ref="K55">INDEX([24]perbandingan!$L$24:$L$231,MATCH(1,([24]perbandingan!$E$24:$E$231=$D55)*([24]perbandingan!$E$24:$E$231=$D55),0))</f>
        <v>67</v>
      </c>
      <c r="L55" s="9">
        <f t="shared" si="1"/>
        <v>18.010752688172044</v>
      </c>
      <c r="M55" s="8" t="str">
        <f t="array" ref="M55">IF(L55&gt;5,"Perlu Pengendalian",IF(AND(L55&gt;=0,I55&gt;0),"Tidak Perlu Pengendalian","Belum Sensus"))</f>
        <v>Perlu Pengendalian</v>
      </c>
      <c r="N55" s="143">
        <f t="array" ref="N55">INDEX([24]perbandingan!$J$24:$J$231,MATCH(1,([24]perbandingan!$E$24:$E$231=$D55)*([24]perbandingan!$E$24:$E$231=$D55),0))</f>
        <v>132</v>
      </c>
      <c r="O55" s="9">
        <f t="array" ref="O55">IFERROR(N55/I55*100,0)</f>
        <v>35.483870967741936</v>
      </c>
    </row>
    <row r="56" spans="1:15" outlineLevel="1" x14ac:dyDescent="0.15">
      <c r="A56" s="8" t="s">
        <v>1273</v>
      </c>
      <c r="B56" s="8" t="s">
        <v>14</v>
      </c>
      <c r="C56" s="8" t="s">
        <v>47</v>
      </c>
      <c r="D56" s="8" t="s">
        <v>1323</v>
      </c>
      <c r="E56" s="9">
        <v>38.730000000000004</v>
      </c>
      <c r="F56" s="8" t="s">
        <v>1740</v>
      </c>
      <c r="G56" s="10">
        <v>4604</v>
      </c>
      <c r="H56" s="132">
        <v>46149</v>
      </c>
      <c r="I56" s="143">
        <f t="array" ref="I56">INDEX([24]perbandingan!$H$24:$H$231,MATCH(1,([24]perbandingan!$E$24:$E$231=$D56)*([24]perbandingan!$E$24:$E$231=$D56),0))</f>
        <v>188</v>
      </c>
      <c r="J56" s="9">
        <f t="array" ref="J56">IFERROR(I56/G56*100,0)</f>
        <v>4.0834057341442218</v>
      </c>
      <c r="K56" s="143">
        <f t="array" ref="K56">INDEX([24]perbandingan!$L$24:$L$231,MATCH(1,([24]perbandingan!$E$24:$E$231=$D56)*([24]perbandingan!$E$24:$E$231=$D56),0))</f>
        <v>23</v>
      </c>
      <c r="L56" s="9">
        <f t="shared" si="1"/>
        <v>12.23404255319149</v>
      </c>
      <c r="M56" s="8" t="str">
        <f t="array" ref="M56">IF(L56&gt;5,"Perlu Pengendalian",IF(AND(L56&gt;=0,I56&gt;0),"Tidak Perlu Pengendalian","Belum Sensus"))</f>
        <v>Perlu Pengendalian</v>
      </c>
      <c r="N56" s="143">
        <f t="array" ref="N56">INDEX([24]perbandingan!$J$24:$J$231,MATCH(1,([24]perbandingan!$E$24:$E$231=$D56)*([24]perbandingan!$E$24:$E$231=$D56),0))</f>
        <v>92</v>
      </c>
      <c r="O56" s="9">
        <f t="array" ref="O56">IFERROR(N56/I56*100,0)</f>
        <v>48.936170212765958</v>
      </c>
    </row>
    <row r="57" spans="1:15" outlineLevel="1" x14ac:dyDescent="0.15">
      <c r="A57" s="8" t="s">
        <v>1273</v>
      </c>
      <c r="B57" s="8" t="s">
        <v>14</v>
      </c>
      <c r="C57" s="8" t="s">
        <v>47</v>
      </c>
      <c r="D57" s="8" t="s">
        <v>1324</v>
      </c>
      <c r="E57" s="9">
        <v>29.55</v>
      </c>
      <c r="F57" s="8" t="s">
        <v>1740</v>
      </c>
      <c r="G57" s="10">
        <v>2895</v>
      </c>
      <c r="H57" s="132">
        <v>46149</v>
      </c>
      <c r="I57" s="143">
        <f t="array" ref="I57">INDEX([24]perbandingan!$H$24:$H$231,MATCH(1,([24]perbandingan!$E$24:$E$231=$D57)*([24]perbandingan!$E$24:$E$231=$D57),0))</f>
        <v>198</v>
      </c>
      <c r="J57" s="9">
        <f t="array" ref="J57">IFERROR(I57/G57*100,0)</f>
        <v>6.8393782383419683</v>
      </c>
      <c r="K57" s="143">
        <f t="array" ref="K57">INDEX([24]perbandingan!$L$24:$L$231,MATCH(1,([24]perbandingan!$E$24:$E$231=$D57)*([24]perbandingan!$E$24:$E$231=$D57),0))</f>
        <v>77</v>
      </c>
      <c r="L57" s="9">
        <f t="shared" si="1"/>
        <v>38.888888888888893</v>
      </c>
      <c r="M57" s="8" t="str">
        <f t="array" ref="M57">IF(L57&gt;5,"Perlu Pengendalian",IF(AND(L57&gt;=0,I57&gt;0),"Tidak Perlu Pengendalian","Belum Sensus"))</f>
        <v>Perlu Pengendalian</v>
      </c>
      <c r="N57" s="143">
        <f t="array" ref="N57">INDEX([24]perbandingan!$J$24:$J$231,MATCH(1,([24]perbandingan!$E$24:$E$231=$D57)*([24]perbandingan!$E$24:$E$231=$D57),0))</f>
        <v>99</v>
      </c>
      <c r="O57" s="9">
        <f t="array" ref="O57">IFERROR(N57/I57*100,0)</f>
        <v>50</v>
      </c>
    </row>
    <row r="58" spans="1:15" outlineLevel="1" x14ac:dyDescent="0.15">
      <c r="A58" s="8" t="s">
        <v>1273</v>
      </c>
      <c r="B58" s="8" t="s">
        <v>14</v>
      </c>
      <c r="C58" s="8" t="s">
        <v>47</v>
      </c>
      <c r="D58" s="8" t="s">
        <v>1325</v>
      </c>
      <c r="E58" s="9">
        <v>29.99</v>
      </c>
      <c r="F58" s="8" t="s">
        <v>1740</v>
      </c>
      <c r="G58" s="10">
        <v>3614</v>
      </c>
      <c r="H58" s="132">
        <v>46149</v>
      </c>
      <c r="I58" s="143">
        <f t="array" ref="I58">INDEX([24]perbandingan!$H$24:$H$231,MATCH(1,([24]perbandingan!$E$24:$E$231=$D58)*([24]perbandingan!$E$24:$E$231=$D58),0))</f>
        <v>132</v>
      </c>
      <c r="J58" s="9">
        <f t="array" ref="J58">IFERROR(I58/G58*100,0)</f>
        <v>3.6524626452684004</v>
      </c>
      <c r="K58" s="143">
        <f t="array" ref="K58">INDEX([24]perbandingan!$L$24:$L$231,MATCH(1,([24]perbandingan!$E$24:$E$231=$D58)*([24]perbandingan!$E$24:$E$231=$D58),0))</f>
        <v>16</v>
      </c>
      <c r="L58" s="9">
        <f t="shared" si="1"/>
        <v>12.121212121212121</v>
      </c>
      <c r="M58" s="8" t="str">
        <f t="array" ref="M58">IF(L58&gt;5,"Perlu Pengendalian",IF(AND(L58&gt;=0,I58&gt;0),"Tidak Perlu Pengendalian","Belum Sensus"))</f>
        <v>Perlu Pengendalian</v>
      </c>
      <c r="N58" s="143">
        <f t="array" ref="N58">INDEX([24]perbandingan!$J$24:$J$231,MATCH(1,([24]perbandingan!$E$24:$E$231=$D58)*([24]perbandingan!$E$24:$E$231=$D58),0))</f>
        <v>54</v>
      </c>
      <c r="O58" s="9">
        <f t="array" ref="O58">IFERROR(N58/I58*100,0)</f>
        <v>40.909090909090914</v>
      </c>
    </row>
    <row r="59" spans="1:15" outlineLevel="1" x14ac:dyDescent="0.15">
      <c r="A59" s="8" t="s">
        <v>1273</v>
      </c>
      <c r="B59" s="8" t="s">
        <v>14</v>
      </c>
      <c r="C59" s="8" t="s">
        <v>47</v>
      </c>
      <c r="D59" s="8" t="s">
        <v>1326</v>
      </c>
      <c r="E59" s="9">
        <v>29.34</v>
      </c>
      <c r="F59" s="8" t="s">
        <v>1740</v>
      </c>
      <c r="G59" s="10">
        <v>4040</v>
      </c>
      <c r="H59" s="132">
        <v>46149</v>
      </c>
      <c r="I59" s="143">
        <f t="array" ref="I59">INDEX([24]perbandingan!$H$24:$H$231,MATCH(1,([24]perbandingan!$E$24:$E$231=$D59)*([24]perbandingan!$E$24:$E$231=$D59),0))</f>
        <v>138</v>
      </c>
      <c r="J59" s="9">
        <f t="array" ref="J59">IFERROR(I59/G59*100,0)</f>
        <v>3.4158415841584162</v>
      </c>
      <c r="K59" s="143">
        <f t="array" ref="K59">INDEX([24]perbandingan!$L$24:$L$231,MATCH(1,([24]perbandingan!$E$24:$E$231=$D59)*([24]perbandingan!$E$24:$E$231=$D59),0))</f>
        <v>31</v>
      </c>
      <c r="L59" s="9">
        <f t="shared" si="1"/>
        <v>22.463768115942027</v>
      </c>
      <c r="M59" s="8" t="str">
        <f t="array" ref="M59">IF(L59&gt;5,"Perlu Pengendalian",IF(AND(L59&gt;=0,I59&gt;0),"Tidak Perlu Pengendalian","Belum Sensus"))</f>
        <v>Perlu Pengendalian</v>
      </c>
      <c r="N59" s="143">
        <f t="array" ref="N59">INDEX([24]perbandingan!$J$24:$J$231,MATCH(1,([24]perbandingan!$E$24:$E$231=$D59)*([24]perbandingan!$E$24:$E$231=$D59),0))</f>
        <v>68</v>
      </c>
      <c r="O59" s="9">
        <f t="array" ref="O59">IFERROR(N59/I59*100,0)</f>
        <v>49.275362318840585</v>
      </c>
    </row>
    <row r="60" spans="1:15" outlineLevel="1" x14ac:dyDescent="0.15">
      <c r="A60" s="8" t="s">
        <v>1273</v>
      </c>
      <c r="B60" s="8" t="s">
        <v>14</v>
      </c>
      <c r="C60" s="8" t="s">
        <v>47</v>
      </c>
      <c r="D60" s="8" t="s">
        <v>1327</v>
      </c>
      <c r="E60" s="9">
        <v>29.53</v>
      </c>
      <c r="F60" s="8" t="s">
        <v>1740</v>
      </c>
      <c r="G60" s="10">
        <v>3835</v>
      </c>
      <c r="H60" s="132">
        <v>46149</v>
      </c>
      <c r="I60" s="143">
        <f t="array" ref="I60">INDEX([24]perbandingan!$H$24:$H$231,MATCH(1,([24]perbandingan!$E$24:$E$231=$D60)*([24]perbandingan!$E$24:$E$231=$D60),0))</f>
        <v>145</v>
      </c>
      <c r="J60" s="9">
        <f t="array" ref="J60">IFERROR(I60/G60*100,0)</f>
        <v>3.7809647979139509</v>
      </c>
      <c r="K60" s="143">
        <f t="array" ref="K60">INDEX([24]perbandingan!$L$24:$L$231,MATCH(1,([24]perbandingan!$E$24:$E$231=$D60)*([24]perbandingan!$E$24:$E$231=$D60),0))</f>
        <v>33</v>
      </c>
      <c r="L60" s="9">
        <f t="shared" si="1"/>
        <v>22.758620689655174</v>
      </c>
      <c r="M60" s="8" t="str">
        <f t="array" ref="M60">IF(L60&gt;5,"Perlu Pengendalian",IF(AND(L60&gt;=0,I60&gt;0),"Tidak Perlu Pengendalian","Belum Sensus"))</f>
        <v>Perlu Pengendalian</v>
      </c>
      <c r="N60" s="143">
        <f t="array" ref="N60">INDEX([24]perbandingan!$J$24:$J$231,MATCH(1,([24]perbandingan!$E$24:$E$231=$D60)*([24]perbandingan!$E$24:$E$231=$D60),0))</f>
        <v>74</v>
      </c>
      <c r="O60" s="9">
        <f t="array" ref="O60">IFERROR(N60/I60*100,0)</f>
        <v>51.03448275862069</v>
      </c>
    </row>
    <row r="61" spans="1:15" outlineLevel="1" x14ac:dyDescent="0.15">
      <c r="A61" s="8" t="s">
        <v>1273</v>
      </c>
      <c r="B61" s="8" t="s">
        <v>14</v>
      </c>
      <c r="C61" s="8" t="s">
        <v>47</v>
      </c>
      <c r="D61" s="8" t="s">
        <v>1328</v>
      </c>
      <c r="E61" s="9">
        <v>29.08</v>
      </c>
      <c r="F61" s="8" t="s">
        <v>1740</v>
      </c>
      <c r="G61" s="10">
        <v>3858</v>
      </c>
      <c r="H61" s="132">
        <v>46149</v>
      </c>
      <c r="I61" s="143">
        <f t="array" ref="I61">INDEX([24]perbandingan!$H$24:$H$231,MATCH(1,([24]perbandingan!$E$24:$E$231=$D61)*([24]perbandingan!$E$24:$E$231=$D61),0))</f>
        <v>148</v>
      </c>
      <c r="J61" s="9">
        <f t="array" ref="J61">IFERROR(I61/G61*100,0)</f>
        <v>3.8361845515811304</v>
      </c>
      <c r="K61" s="143">
        <f t="array" ref="K61">INDEX([24]perbandingan!$L$24:$L$231,MATCH(1,([24]perbandingan!$E$24:$E$231=$D61)*([24]perbandingan!$E$24:$E$231=$D61),0))</f>
        <v>45</v>
      </c>
      <c r="L61" s="9">
        <f t="shared" si="1"/>
        <v>30.405405405405407</v>
      </c>
      <c r="M61" s="8" t="str">
        <f t="array" ref="M61">IF(L61&gt;5,"Perlu Pengendalian",IF(AND(L61&gt;=0,I61&gt;0),"Tidak Perlu Pengendalian","Belum Sensus"))</f>
        <v>Perlu Pengendalian</v>
      </c>
      <c r="N61" s="143">
        <f t="array" ref="N61">INDEX([24]perbandingan!$J$24:$J$231,MATCH(1,([24]perbandingan!$E$24:$E$231=$D61)*([24]perbandingan!$E$24:$E$231=$D61),0))</f>
        <v>88</v>
      </c>
      <c r="O61" s="9">
        <f t="array" ref="O61">IFERROR(N61/I61*100,0)</f>
        <v>59.45945945945946</v>
      </c>
    </row>
    <row r="62" spans="1:15" outlineLevel="1" x14ac:dyDescent="0.15">
      <c r="A62" s="8" t="s">
        <v>1273</v>
      </c>
      <c r="B62" s="8" t="s">
        <v>14</v>
      </c>
      <c r="C62" s="8" t="s">
        <v>47</v>
      </c>
      <c r="D62" s="8" t="s">
        <v>1329</v>
      </c>
      <c r="E62" s="9">
        <v>29.46</v>
      </c>
      <c r="F62" s="8" t="s">
        <v>1740</v>
      </c>
      <c r="G62" s="10">
        <v>4223</v>
      </c>
      <c r="H62" s="132">
        <v>46149</v>
      </c>
      <c r="I62" s="143">
        <f t="array" ref="I62">INDEX([24]perbandingan!$H$24:$H$231,MATCH(1,([24]perbandingan!$E$24:$E$231=$D62)*([24]perbandingan!$E$24:$E$231=$D62),0))</f>
        <v>167</v>
      </c>
      <c r="J62" s="9">
        <f t="array" ref="J62">IFERROR(I62/G62*100,0)</f>
        <v>3.9545346909779773</v>
      </c>
      <c r="K62" s="143">
        <f t="array" ref="K62">INDEX([24]perbandingan!$L$24:$L$231,MATCH(1,([24]perbandingan!$E$24:$E$231=$D62)*([24]perbandingan!$E$24:$E$231=$D62),0))</f>
        <v>67</v>
      </c>
      <c r="L62" s="9">
        <f t="shared" si="1"/>
        <v>40.119760479041915</v>
      </c>
      <c r="M62" s="8" t="str">
        <f t="array" ref="M62">IF(L62&gt;5,"Perlu Pengendalian",IF(AND(L62&gt;=0,I62&gt;0),"Tidak Perlu Pengendalian","Belum Sensus"))</f>
        <v>Perlu Pengendalian</v>
      </c>
      <c r="N62" s="143">
        <f t="array" ref="N62">INDEX([24]perbandingan!$J$24:$J$231,MATCH(1,([24]perbandingan!$E$24:$E$231=$D62)*([24]perbandingan!$E$24:$E$231=$D62),0))</f>
        <v>99</v>
      </c>
      <c r="O62" s="9">
        <f t="array" ref="O62">IFERROR(N62/I62*100,0)</f>
        <v>59.281437125748504</v>
      </c>
    </row>
    <row r="63" spans="1:15" outlineLevel="1" x14ac:dyDescent="0.15">
      <c r="A63" s="8" t="s">
        <v>1273</v>
      </c>
      <c r="B63" s="8" t="s">
        <v>14</v>
      </c>
      <c r="C63" s="8" t="s">
        <v>47</v>
      </c>
      <c r="D63" s="8" t="s">
        <v>1330</v>
      </c>
      <c r="E63" s="9">
        <v>28.63</v>
      </c>
      <c r="F63" s="8" t="s">
        <v>1740</v>
      </c>
      <c r="G63" s="10">
        <v>3689</v>
      </c>
      <c r="H63" s="132">
        <v>46149</v>
      </c>
      <c r="I63" s="143">
        <f t="array" ref="I63">INDEX([24]perbandingan!$H$24:$H$231,MATCH(1,([24]perbandingan!$E$24:$E$231=$D63)*([24]perbandingan!$E$24:$E$231=$D63),0))</f>
        <v>139</v>
      </c>
      <c r="J63" s="9">
        <f t="array" ref="J63">IFERROR(I63/G63*100,0)</f>
        <v>3.7679587964217944</v>
      </c>
      <c r="K63" s="143">
        <f t="array" ref="K63">INDEX([24]perbandingan!$L$24:$L$231,MATCH(1,([24]perbandingan!$E$24:$E$231=$D63)*([24]perbandingan!$E$24:$E$231=$D63),0))</f>
        <v>55</v>
      </c>
      <c r="L63" s="9">
        <f t="shared" si="1"/>
        <v>39.568345323741006</v>
      </c>
      <c r="M63" s="8" t="str">
        <f t="array" ref="M63">IF(L63&gt;5,"Perlu Pengendalian",IF(AND(L63&gt;=0,I63&gt;0),"Tidak Perlu Pengendalian","Belum Sensus"))</f>
        <v>Perlu Pengendalian</v>
      </c>
      <c r="N63" s="143">
        <f t="array" ref="N63">INDEX([24]perbandingan!$J$24:$J$231,MATCH(1,([24]perbandingan!$E$24:$E$231=$D63)*([24]perbandingan!$E$24:$E$231=$D63),0))</f>
        <v>87</v>
      </c>
      <c r="O63" s="9">
        <f t="array" ref="O63">IFERROR(N63/I63*100,0)</f>
        <v>62.589928057553955</v>
      </c>
    </row>
    <row r="64" spans="1:15" outlineLevel="1" x14ac:dyDescent="0.15">
      <c r="A64" s="8" t="s">
        <v>1273</v>
      </c>
      <c r="B64" s="8" t="s">
        <v>14</v>
      </c>
      <c r="C64" s="8" t="s">
        <v>47</v>
      </c>
      <c r="D64" s="8" t="s">
        <v>1331</v>
      </c>
      <c r="E64" s="9">
        <v>27.93</v>
      </c>
      <c r="F64" s="8" t="s">
        <v>1740</v>
      </c>
      <c r="G64" s="10">
        <v>3298</v>
      </c>
      <c r="H64" s="132">
        <v>46149</v>
      </c>
      <c r="I64" s="143">
        <f t="array" ref="I64">INDEX([24]perbandingan!$H$24:$H$231,MATCH(1,([24]perbandingan!$E$24:$E$231=$D64)*([24]perbandingan!$E$24:$E$231=$D64),0))</f>
        <v>137</v>
      </c>
      <c r="J64" s="9">
        <f t="array" ref="J64">IFERROR(I64/G64*100,0)</f>
        <v>4.1540327471194658</v>
      </c>
      <c r="K64" s="143">
        <f t="array" ref="K64">INDEX([24]perbandingan!$L$24:$L$231,MATCH(1,([24]perbandingan!$E$24:$E$231=$D64)*([24]perbandingan!$E$24:$E$231=$D64),0))</f>
        <v>21</v>
      </c>
      <c r="L64" s="9">
        <f t="shared" si="1"/>
        <v>15.328467153284672</v>
      </c>
      <c r="M64" s="8" t="str">
        <f t="array" ref="M64">IF(L64&gt;5,"Perlu Pengendalian",IF(AND(L64&gt;=0,I64&gt;0),"Tidak Perlu Pengendalian","Belum Sensus"))</f>
        <v>Perlu Pengendalian</v>
      </c>
      <c r="N64" s="143">
        <f t="array" ref="N64">INDEX([24]perbandingan!$J$24:$J$231,MATCH(1,([24]perbandingan!$E$24:$E$231=$D64)*([24]perbandingan!$E$24:$E$231=$D64),0))</f>
        <v>56</v>
      </c>
      <c r="O64" s="9">
        <f t="array" ref="O64">IFERROR(N64/I64*100,0)</f>
        <v>40.875912408759127</v>
      </c>
    </row>
    <row r="65" spans="1:15" outlineLevel="1" x14ac:dyDescent="0.15">
      <c r="A65" s="8" t="s">
        <v>1273</v>
      </c>
      <c r="B65" s="8" t="s">
        <v>14</v>
      </c>
      <c r="C65" s="8" t="s">
        <v>47</v>
      </c>
      <c r="D65" s="8" t="s">
        <v>1332</v>
      </c>
      <c r="E65" s="9">
        <v>41.41</v>
      </c>
      <c r="F65" s="8" t="s">
        <v>1740</v>
      </c>
      <c r="G65" s="10">
        <v>4754</v>
      </c>
      <c r="H65" s="132">
        <v>46149</v>
      </c>
      <c r="I65" s="143">
        <f t="array" ref="I65">INDEX([24]perbandingan!$H$24:$H$231,MATCH(1,([24]perbandingan!$E$24:$E$231=$D65)*([24]perbandingan!$E$24:$E$231=$D65),0))</f>
        <v>247</v>
      </c>
      <c r="J65" s="9">
        <f t="array" ref="J65">IFERROR(I65/G65*100,0)</f>
        <v>5.1956247370635253</v>
      </c>
      <c r="K65" s="143">
        <f t="array" ref="K65">INDEX([24]perbandingan!$L$24:$L$231,MATCH(1,([24]perbandingan!$E$24:$E$231=$D65)*([24]perbandingan!$E$24:$E$231=$D65),0))</f>
        <v>52</v>
      </c>
      <c r="L65" s="9">
        <f t="shared" si="1"/>
        <v>21.052631578947366</v>
      </c>
      <c r="M65" s="8" t="str">
        <f t="array" ref="M65">IF(L65&gt;5,"Perlu Pengendalian",IF(AND(L65&gt;=0,I65&gt;0),"Tidak Perlu Pengendalian","Belum Sensus"))</f>
        <v>Perlu Pengendalian</v>
      </c>
      <c r="N65" s="143">
        <f t="array" ref="N65">INDEX([24]perbandingan!$J$24:$J$231,MATCH(1,([24]perbandingan!$E$24:$E$231=$D65)*([24]perbandingan!$E$24:$E$231=$D65),0))</f>
        <v>88</v>
      </c>
      <c r="O65" s="9">
        <f t="array" ref="O65">IFERROR(N65/I65*100,0)</f>
        <v>35.627530364372468</v>
      </c>
    </row>
    <row r="66" spans="1:15" outlineLevel="1" x14ac:dyDescent="0.15">
      <c r="A66" s="8" t="s">
        <v>1273</v>
      </c>
      <c r="B66" s="8" t="s">
        <v>14</v>
      </c>
      <c r="C66" s="8" t="s">
        <v>79</v>
      </c>
      <c r="D66" s="8" t="s">
        <v>1333</v>
      </c>
      <c r="E66" s="9">
        <v>40.480000000000004</v>
      </c>
      <c r="F66" s="8" t="s">
        <v>1740</v>
      </c>
      <c r="G66" s="10">
        <v>5338</v>
      </c>
      <c r="H66" s="132">
        <v>46149</v>
      </c>
      <c r="I66" s="143">
        <f t="array" ref="I66">INDEX([24]perbandingan!$H$24:$H$231,MATCH(1,([24]perbandingan!$E$24:$E$231=$D66)*([24]perbandingan!$E$24:$E$231=$D66),0))</f>
        <v>367</v>
      </c>
      <c r="J66" s="9">
        <f t="array" ref="J66">IFERROR(I66/G66*100,0)</f>
        <v>6.8752341701011614</v>
      </c>
      <c r="K66" s="143">
        <f t="array" ref="K66">INDEX([24]perbandingan!$L$24:$L$231,MATCH(1,([24]perbandingan!$E$24:$E$231=$D66)*([24]perbandingan!$E$24:$E$231=$D66),0))</f>
        <v>27</v>
      </c>
      <c r="L66" s="9">
        <f t="shared" si="1"/>
        <v>7.3569482288828345</v>
      </c>
      <c r="M66" s="8" t="str">
        <f t="array" ref="M66">IF(L66&gt;5,"Perlu Pengendalian",IF(AND(L66&gt;=0,I66&gt;0),"Tidak Perlu Pengendalian","Belum Sensus"))</f>
        <v>Perlu Pengendalian</v>
      </c>
      <c r="N66" s="143">
        <f t="array" ref="N66">INDEX([24]perbandingan!$J$24:$J$231,MATCH(1,([24]perbandingan!$E$24:$E$231=$D66)*([24]perbandingan!$E$24:$E$231=$D66),0))</f>
        <v>72</v>
      </c>
      <c r="O66" s="9">
        <f t="array" ref="O66">IFERROR(N66/I66*100,0)</f>
        <v>19.618528610354225</v>
      </c>
    </row>
    <row r="67" spans="1:15" outlineLevel="1" x14ac:dyDescent="0.15">
      <c r="A67" s="8" t="s">
        <v>1273</v>
      </c>
      <c r="B67" s="8" t="s">
        <v>14</v>
      </c>
      <c r="C67" s="8" t="s">
        <v>79</v>
      </c>
      <c r="D67" s="8" t="s">
        <v>1334</v>
      </c>
      <c r="E67" s="9">
        <v>31.86</v>
      </c>
      <c r="F67" s="8" t="s">
        <v>1740</v>
      </c>
      <c r="G67" s="10">
        <v>3923</v>
      </c>
      <c r="H67" s="132">
        <v>46149</v>
      </c>
      <c r="I67" s="143">
        <f t="array" ref="I67">INDEX([24]perbandingan!$H$24:$H$231,MATCH(1,([24]perbandingan!$E$24:$E$231=$D67)*([24]perbandingan!$E$24:$E$231=$D67),0))</f>
        <v>259</v>
      </c>
      <c r="J67" s="9">
        <f t="array" ref="J67">IFERROR(I67/G67*100,0)</f>
        <v>6.6020902370634724</v>
      </c>
      <c r="K67" s="143">
        <f t="array" ref="K67">INDEX([24]perbandingan!$L$24:$L$231,MATCH(1,([24]perbandingan!$E$24:$E$231=$D67)*([24]perbandingan!$E$24:$E$231=$D67),0))</f>
        <v>18</v>
      </c>
      <c r="L67" s="9">
        <f t="shared" si="1"/>
        <v>6.9498069498069501</v>
      </c>
      <c r="M67" s="8" t="str">
        <f t="array" ref="M67">IF(L67&gt;5,"Perlu Pengendalian",IF(AND(L67&gt;=0,I67&gt;0),"Tidak Perlu Pengendalian","Belum Sensus"))</f>
        <v>Perlu Pengendalian</v>
      </c>
      <c r="N67" s="143">
        <f t="array" ref="N67">INDEX([24]perbandingan!$J$24:$J$231,MATCH(1,([24]perbandingan!$E$24:$E$231=$D67)*([24]perbandingan!$E$24:$E$231=$D67),0))</f>
        <v>90</v>
      </c>
      <c r="O67" s="9">
        <f t="array" ref="O67">IFERROR(N67/I67*100,0)</f>
        <v>34.749034749034749</v>
      </c>
    </row>
    <row r="68" spans="1:15" outlineLevel="1" x14ac:dyDescent="0.15">
      <c r="A68" s="8" t="s">
        <v>1273</v>
      </c>
      <c r="B68" s="8" t="s">
        <v>14</v>
      </c>
      <c r="C68" s="8" t="s">
        <v>79</v>
      </c>
      <c r="D68" s="8" t="s">
        <v>1335</v>
      </c>
      <c r="E68" s="9">
        <v>0</v>
      </c>
      <c r="F68" s="8" t="s">
        <v>1740</v>
      </c>
      <c r="G68" s="10">
        <v>0</v>
      </c>
      <c r="H68" s="132"/>
      <c r="I68" s="143">
        <f t="array" ref="I68">INDEX([24]perbandingan!$H$24:$H$231,MATCH(1,([24]perbandingan!$E$24:$E$231=$D68)*([24]perbandingan!$E$24:$E$231=$D68),0))</f>
        <v>0</v>
      </c>
      <c r="J68" s="9">
        <f t="array" ref="J68">IFERROR(I68/G68*100,0)</f>
        <v>0</v>
      </c>
      <c r="K68" s="143">
        <f t="array" ref="K68">INDEX([24]perbandingan!$L$24:$L$231,MATCH(1,([24]perbandingan!$E$24:$E$231=$D68)*([24]perbandingan!$E$24:$E$231=$D68),0))</f>
        <v>0</v>
      </c>
      <c r="L68" s="9">
        <f t="shared" si="1"/>
        <v>0</v>
      </c>
      <c r="M68" s="8" t="str">
        <f t="array" ref="M68">IF(L68&gt;5,"Perlu Pengendalian",IF(AND(L68&gt;=0,I68&gt;0),"Tidak Perlu Pengendalian","Belum Sensus"))</f>
        <v>Belum Sensus</v>
      </c>
      <c r="N68" s="143">
        <f t="array" ref="N68">INDEX([24]perbandingan!$J$24:$J$231,MATCH(1,([24]perbandingan!$E$24:$E$231=$D68)*([24]perbandingan!$E$24:$E$231=$D68),0))</f>
        <v>0</v>
      </c>
      <c r="O68" s="9">
        <f t="array" ref="O68">IFERROR(N68/I68*100,0)</f>
        <v>0</v>
      </c>
    </row>
    <row r="69" spans="1:15" outlineLevel="1" x14ac:dyDescent="0.15">
      <c r="A69" s="8" t="s">
        <v>1273</v>
      </c>
      <c r="B69" s="8" t="s">
        <v>14</v>
      </c>
      <c r="C69" s="8" t="s">
        <v>79</v>
      </c>
      <c r="D69" s="8" t="s">
        <v>1336</v>
      </c>
      <c r="E69" s="9">
        <v>25.68</v>
      </c>
      <c r="F69" s="8" t="s">
        <v>1740</v>
      </c>
      <c r="G69" s="10">
        <v>2731</v>
      </c>
      <c r="H69" s="132">
        <v>46149</v>
      </c>
      <c r="I69" s="143">
        <f t="array" ref="I69">INDEX([24]perbandingan!$H$24:$H$231,MATCH(1,([24]perbandingan!$E$24:$E$231=$D69)*([24]perbandingan!$E$24:$E$231=$D69),0))</f>
        <v>272</v>
      </c>
      <c r="J69" s="9">
        <f t="array" ref="J69">IFERROR(I69/G69*100,0)</f>
        <v>9.9597217136580021</v>
      </c>
      <c r="K69" s="143">
        <f t="array" ref="K69">INDEX([24]perbandingan!$L$24:$L$231,MATCH(1,([24]perbandingan!$E$24:$E$231=$D69)*([24]perbandingan!$E$24:$E$231=$D69),0))</f>
        <v>25</v>
      </c>
      <c r="L69" s="9">
        <f t="shared" si="1"/>
        <v>9.1911764705882355</v>
      </c>
      <c r="M69" s="8" t="str">
        <f t="array" ref="M69">IF(L69&gt;5,"Perlu Pengendalian",IF(AND(L69&gt;=0,I69&gt;0),"Tidak Perlu Pengendalian","Belum Sensus"))</f>
        <v>Perlu Pengendalian</v>
      </c>
      <c r="N69" s="143">
        <f t="array" ref="N69">INDEX([24]perbandingan!$J$24:$J$231,MATCH(1,([24]perbandingan!$E$24:$E$231=$D69)*([24]perbandingan!$E$24:$E$231=$D69),0))</f>
        <v>30</v>
      </c>
      <c r="O69" s="9">
        <f t="array" ref="O69">IFERROR(N69/I69*100,0)</f>
        <v>11.029411764705882</v>
      </c>
    </row>
    <row r="70" spans="1:15" outlineLevel="1" x14ac:dyDescent="0.15">
      <c r="A70" s="8" t="s">
        <v>1273</v>
      </c>
      <c r="B70" s="8" t="s">
        <v>14</v>
      </c>
      <c r="C70" s="8" t="s">
        <v>79</v>
      </c>
      <c r="D70" s="8" t="s">
        <v>1337</v>
      </c>
      <c r="E70" s="9">
        <v>18.84</v>
      </c>
      <c r="F70" s="8" t="s">
        <v>1740</v>
      </c>
      <c r="G70" s="10">
        <v>2185</v>
      </c>
      <c r="H70" s="132">
        <v>46149</v>
      </c>
      <c r="I70" s="143">
        <f t="array" ref="I70">INDEX([24]perbandingan!$H$24:$H$231,MATCH(1,([24]perbandingan!$E$24:$E$231=$D70)*([24]perbandingan!$E$24:$E$231=$D70),0))</f>
        <v>246</v>
      </c>
      <c r="J70" s="9">
        <f t="array" ref="J70">IFERROR(I70/G70*100,0)</f>
        <v>11.258581235697941</v>
      </c>
      <c r="K70" s="143">
        <f t="array" ref="K70">INDEX([24]perbandingan!$L$24:$L$231,MATCH(1,([24]perbandingan!$E$24:$E$231=$D70)*([24]perbandingan!$E$24:$E$231=$D70),0))</f>
        <v>25</v>
      </c>
      <c r="L70" s="9">
        <f t="shared" si="1"/>
        <v>10.16260162601626</v>
      </c>
      <c r="M70" s="8" t="str">
        <f t="array" ref="M70">IF(L70&gt;5,"Perlu Pengendalian",IF(AND(L70&gt;=0,I70&gt;0),"Tidak Perlu Pengendalian","Belum Sensus"))</f>
        <v>Perlu Pengendalian</v>
      </c>
      <c r="N70" s="143">
        <f t="array" ref="N70">INDEX([24]perbandingan!$J$24:$J$231,MATCH(1,([24]perbandingan!$E$24:$E$231=$D70)*([24]perbandingan!$E$24:$E$231=$D70),0))</f>
        <v>74</v>
      </c>
      <c r="O70" s="9">
        <f t="array" ref="O70">IFERROR(N70/I70*100,0)</f>
        <v>30.081300813008134</v>
      </c>
    </row>
    <row r="71" spans="1:15" outlineLevel="1" x14ac:dyDescent="0.15">
      <c r="A71" s="8" t="s">
        <v>1273</v>
      </c>
      <c r="B71" s="8" t="s">
        <v>14</v>
      </c>
      <c r="C71" s="8" t="s">
        <v>79</v>
      </c>
      <c r="D71" s="8" t="s">
        <v>1338</v>
      </c>
      <c r="E71" s="9">
        <v>24.58</v>
      </c>
      <c r="F71" s="8" t="s">
        <v>1740</v>
      </c>
      <c r="G71" s="10">
        <v>3194</v>
      </c>
      <c r="H71" s="132">
        <v>46149</v>
      </c>
      <c r="I71" s="143">
        <f t="array" ref="I71">INDEX([24]perbandingan!$H$24:$H$231,MATCH(1,([24]perbandingan!$E$24:$E$231=$D71)*([24]perbandingan!$E$24:$E$231=$D71),0))</f>
        <v>270</v>
      </c>
      <c r="J71" s="9">
        <f t="array" ref="J71">IFERROR(I71/G71*100,0)</f>
        <v>8.4533500313087035</v>
      </c>
      <c r="K71" s="143">
        <f t="array" ref="K71">INDEX([24]perbandingan!$L$24:$L$231,MATCH(1,([24]perbandingan!$E$24:$E$231=$D71)*([24]perbandingan!$E$24:$E$231=$D71),0))</f>
        <v>15</v>
      </c>
      <c r="L71" s="9">
        <f t="shared" si="1"/>
        <v>5.5555555555555554</v>
      </c>
      <c r="M71" s="8" t="str">
        <f t="array" ref="M71">IF(L71&gt;5,"Perlu Pengendalian",IF(AND(L71&gt;=0,I71&gt;0),"Tidak Perlu Pengendalian","Belum Sensus"))</f>
        <v>Perlu Pengendalian</v>
      </c>
      <c r="N71" s="143">
        <f t="array" ref="N71">INDEX([24]perbandingan!$J$24:$J$231,MATCH(1,([24]perbandingan!$E$24:$E$231=$D71)*([24]perbandingan!$E$24:$E$231=$D71),0))</f>
        <v>68</v>
      </c>
      <c r="O71" s="9">
        <f t="array" ref="O71">IFERROR(N71/I71*100,0)</f>
        <v>25.185185185185183</v>
      </c>
    </row>
    <row r="72" spans="1:15" outlineLevel="1" x14ac:dyDescent="0.15">
      <c r="A72" s="8" t="s">
        <v>1273</v>
      </c>
      <c r="B72" s="8" t="s">
        <v>14</v>
      </c>
      <c r="C72" s="8" t="s">
        <v>79</v>
      </c>
      <c r="D72" s="8" t="s">
        <v>1339</v>
      </c>
      <c r="E72" s="9">
        <v>34.799999999999997</v>
      </c>
      <c r="F72" s="8" t="s">
        <v>1740</v>
      </c>
      <c r="G72" s="10">
        <v>4206</v>
      </c>
      <c r="H72" s="132">
        <v>46149</v>
      </c>
      <c r="I72" s="143">
        <f t="array" ref="I72">INDEX([24]perbandingan!$H$24:$H$231,MATCH(1,([24]perbandingan!$E$24:$E$231=$D72)*([24]perbandingan!$E$24:$E$231=$D72),0))</f>
        <v>491</v>
      </c>
      <c r="J72" s="9">
        <f t="array" ref="J72">IFERROR(I72/G72*100,0)</f>
        <v>11.673799334284356</v>
      </c>
      <c r="K72" s="143">
        <f t="array" ref="K72">INDEX([24]perbandingan!$L$24:$L$231,MATCH(1,([24]perbandingan!$E$24:$E$231=$D72)*([24]perbandingan!$E$24:$E$231=$D72),0))</f>
        <v>44</v>
      </c>
      <c r="L72" s="9">
        <f t="shared" si="1"/>
        <v>8.9613034623217924</v>
      </c>
      <c r="M72" s="8" t="str">
        <f t="array" ref="M72">IF(L72&gt;5,"Perlu Pengendalian",IF(AND(L72&gt;=0,I72&gt;0),"Tidak Perlu Pengendalian","Belum Sensus"))</f>
        <v>Perlu Pengendalian</v>
      </c>
      <c r="N72" s="143">
        <f t="array" ref="N72">INDEX([24]perbandingan!$J$24:$J$231,MATCH(1,([24]perbandingan!$E$24:$E$231=$D72)*([24]perbandingan!$E$24:$E$231=$D72),0))</f>
        <v>96</v>
      </c>
      <c r="O72" s="9">
        <f t="array" ref="O72">IFERROR(N72/I72*100,0)</f>
        <v>19.551934826883908</v>
      </c>
    </row>
    <row r="73" spans="1:15" outlineLevel="1" x14ac:dyDescent="0.15">
      <c r="A73" s="8" t="s">
        <v>1273</v>
      </c>
      <c r="B73" s="8" t="s">
        <v>14</v>
      </c>
      <c r="C73" s="8" t="s">
        <v>79</v>
      </c>
      <c r="D73" s="8" t="s">
        <v>1340</v>
      </c>
      <c r="E73" s="9">
        <v>34.79</v>
      </c>
      <c r="F73" s="8" t="s">
        <v>1740</v>
      </c>
      <c r="G73" s="10">
        <v>4325</v>
      </c>
      <c r="H73" s="132">
        <v>46149</v>
      </c>
      <c r="I73" s="143">
        <f t="array" ref="I73">INDEX([24]perbandingan!$H$24:$H$231,MATCH(1,([24]perbandingan!$E$24:$E$231=$D73)*([24]perbandingan!$E$24:$E$231=$D73),0))</f>
        <v>367</v>
      </c>
      <c r="J73" s="9">
        <f t="array" ref="J73">IFERROR(I73/G73*100,0)</f>
        <v>8.4855491329479769</v>
      </c>
      <c r="K73" s="143">
        <f t="array" ref="K73">INDEX([24]perbandingan!$L$24:$L$231,MATCH(1,([24]perbandingan!$E$24:$E$231=$D73)*([24]perbandingan!$E$24:$E$231=$D73),0))</f>
        <v>22</v>
      </c>
      <c r="L73" s="9">
        <f t="shared" si="1"/>
        <v>5.9945504087193457</v>
      </c>
      <c r="M73" s="8" t="str">
        <f t="array" ref="M73">IF(L73&gt;5,"Perlu Pengendalian",IF(AND(L73&gt;=0,I73&gt;0),"Tidak Perlu Pengendalian","Belum Sensus"))</f>
        <v>Perlu Pengendalian</v>
      </c>
      <c r="N73" s="143">
        <f t="array" ref="N73">INDEX([24]perbandingan!$J$24:$J$231,MATCH(1,([24]perbandingan!$E$24:$E$231=$D73)*([24]perbandingan!$E$24:$E$231=$D73),0))</f>
        <v>87</v>
      </c>
      <c r="O73" s="9">
        <f t="array" ref="O73">IFERROR(N73/I73*100,0)</f>
        <v>23.705722070844686</v>
      </c>
    </row>
    <row r="74" spans="1:15" outlineLevel="1" x14ac:dyDescent="0.15">
      <c r="A74" s="8" t="s">
        <v>1273</v>
      </c>
      <c r="B74" s="8" t="s">
        <v>14</v>
      </c>
      <c r="C74" s="8" t="s">
        <v>79</v>
      </c>
      <c r="D74" s="8" t="s">
        <v>1341</v>
      </c>
      <c r="E74" s="9">
        <v>27.43</v>
      </c>
      <c r="F74" s="8" t="s">
        <v>1740</v>
      </c>
      <c r="G74" s="10">
        <v>3352</v>
      </c>
      <c r="H74" s="132">
        <v>46149</v>
      </c>
      <c r="I74" s="143">
        <f t="array" ref="I74">INDEX([24]perbandingan!$H$24:$H$231,MATCH(1,([24]perbandingan!$E$24:$E$231=$D74)*([24]perbandingan!$E$24:$E$231=$D74),0))</f>
        <v>346</v>
      </c>
      <c r="J74" s="9">
        <f t="array" ref="J74">IFERROR(I74/G74*100,0)</f>
        <v>10.322195704057279</v>
      </c>
      <c r="K74" s="143">
        <f t="array" ref="K74">INDEX([24]perbandingan!$L$24:$L$231,MATCH(1,([24]perbandingan!$E$24:$E$231=$D74)*([24]perbandingan!$E$24:$E$231=$D74),0))</f>
        <v>34</v>
      </c>
      <c r="L74" s="9">
        <f t="shared" si="1"/>
        <v>9.8265895953757223</v>
      </c>
      <c r="M74" s="8" t="str">
        <f t="array" ref="M74">IF(L74&gt;5,"Perlu Pengendalian",IF(AND(L74&gt;=0,I74&gt;0),"Tidak Perlu Pengendalian","Belum Sensus"))</f>
        <v>Perlu Pengendalian</v>
      </c>
      <c r="N74" s="143">
        <f t="array" ref="N74">INDEX([24]perbandingan!$J$24:$J$231,MATCH(1,([24]perbandingan!$E$24:$E$231=$D74)*([24]perbandingan!$E$24:$E$231=$D74),0))</f>
        <v>73</v>
      </c>
      <c r="O74" s="9">
        <f t="array" ref="O74">IFERROR(N74/I74*100,0)</f>
        <v>21.098265895953759</v>
      </c>
    </row>
    <row r="75" spans="1:15" outlineLevel="1" x14ac:dyDescent="0.15">
      <c r="A75" s="8" t="s">
        <v>1273</v>
      </c>
      <c r="B75" s="8" t="s">
        <v>14</v>
      </c>
      <c r="C75" s="8" t="s">
        <v>79</v>
      </c>
      <c r="D75" s="8" t="s">
        <v>1342</v>
      </c>
      <c r="E75" s="9">
        <v>25.81</v>
      </c>
      <c r="F75" s="8" t="s">
        <v>1740</v>
      </c>
      <c r="G75" s="10">
        <v>3111</v>
      </c>
      <c r="H75" s="132">
        <v>46149</v>
      </c>
      <c r="I75" s="143">
        <f t="array" ref="I75">INDEX([24]perbandingan!$H$24:$H$231,MATCH(1,([24]perbandingan!$E$24:$E$231=$D75)*([24]perbandingan!$E$24:$E$231=$D75),0))</f>
        <v>269</v>
      </c>
      <c r="J75" s="9">
        <f t="array" ref="J75">IFERROR(I75/G75*100,0)</f>
        <v>8.6467373834779817</v>
      </c>
      <c r="K75" s="143">
        <f t="array" ref="K75">INDEX([24]perbandingan!$L$24:$L$231,MATCH(1,([24]perbandingan!$E$24:$E$231=$D75)*([24]perbandingan!$E$24:$E$231=$D75),0))</f>
        <v>22</v>
      </c>
      <c r="L75" s="9">
        <f t="shared" si="1"/>
        <v>8.1784386617100377</v>
      </c>
      <c r="M75" s="8" t="str">
        <f t="array" ref="M75">IF(L75&gt;5,"Perlu Pengendalian",IF(AND(L75&gt;=0,I75&gt;0),"Tidak Perlu Pengendalian","Belum Sensus"))</f>
        <v>Perlu Pengendalian</v>
      </c>
      <c r="N75" s="143">
        <f t="array" ref="N75">INDEX([24]perbandingan!$J$24:$J$231,MATCH(1,([24]perbandingan!$E$24:$E$231=$D75)*([24]perbandingan!$E$24:$E$231=$D75),0))</f>
        <v>67</v>
      </c>
      <c r="O75" s="9">
        <f t="array" ref="O75">IFERROR(N75/I75*100,0)</f>
        <v>24.907063197026023</v>
      </c>
    </row>
    <row r="76" spans="1:15" outlineLevel="1" x14ac:dyDescent="0.15">
      <c r="A76" s="8" t="s">
        <v>1273</v>
      </c>
      <c r="B76" s="8" t="s">
        <v>14</v>
      </c>
      <c r="C76" s="8" t="s">
        <v>79</v>
      </c>
      <c r="D76" s="8" t="s">
        <v>1343</v>
      </c>
      <c r="E76" s="9">
        <v>31.86</v>
      </c>
      <c r="F76" s="8" t="s">
        <v>1740</v>
      </c>
      <c r="G76" s="10">
        <v>5099</v>
      </c>
      <c r="H76" s="132">
        <v>46149</v>
      </c>
      <c r="I76" s="143">
        <f t="array" ref="I76">INDEX([24]perbandingan!$H$24:$H$231,MATCH(1,([24]perbandingan!$E$24:$E$231=$D76)*([24]perbandingan!$E$24:$E$231=$D76),0))</f>
        <v>294</v>
      </c>
      <c r="J76" s="9">
        <f t="array" ref="J76">IFERROR(I76/G76*100,0)</f>
        <v>5.7658364385173559</v>
      </c>
      <c r="K76" s="143">
        <f t="array" ref="K76">INDEX([24]perbandingan!$L$24:$L$231,MATCH(1,([24]perbandingan!$E$24:$E$231=$D76)*([24]perbandingan!$E$24:$E$231=$D76),0))</f>
        <v>47</v>
      </c>
      <c r="L76" s="9">
        <f t="shared" si="1"/>
        <v>15.986394557823131</v>
      </c>
      <c r="M76" s="8" t="str">
        <f t="array" ref="M76">IF(L76&gt;5,"Perlu Pengendalian",IF(AND(L76&gt;=0,I76&gt;0),"Tidak Perlu Pengendalian","Belum Sensus"))</f>
        <v>Perlu Pengendalian</v>
      </c>
      <c r="N76" s="143">
        <f t="array" ref="N76">INDEX([24]perbandingan!$J$24:$J$231,MATCH(1,([24]perbandingan!$E$24:$E$231=$D76)*([24]perbandingan!$E$24:$E$231=$D76),0))</f>
        <v>70</v>
      </c>
      <c r="O76" s="9">
        <f t="array" ref="O76">IFERROR(N76/I76*100,0)</f>
        <v>23.809523809523807</v>
      </c>
    </row>
    <row r="77" spans="1:15" outlineLevel="1" x14ac:dyDescent="0.15">
      <c r="A77" s="8" t="s">
        <v>1273</v>
      </c>
      <c r="B77" s="8" t="s">
        <v>14</v>
      </c>
      <c r="C77" s="8" t="s">
        <v>79</v>
      </c>
      <c r="D77" s="8" t="s">
        <v>1344</v>
      </c>
      <c r="E77" s="9">
        <v>28.68</v>
      </c>
      <c r="F77" s="8" t="s">
        <v>1740</v>
      </c>
      <c r="G77" s="10">
        <v>4454</v>
      </c>
      <c r="H77" s="132">
        <v>46149</v>
      </c>
      <c r="I77" s="143">
        <f t="array" ref="I77">INDEX([24]perbandingan!$H$24:$H$231,MATCH(1,([24]perbandingan!$E$24:$E$231=$D77)*([24]perbandingan!$E$24:$E$231=$D77),0))</f>
        <v>376</v>
      </c>
      <c r="J77" s="9">
        <f t="array" ref="J77">IFERROR(I77/G77*100,0)</f>
        <v>8.4418500224517281</v>
      </c>
      <c r="K77" s="143">
        <f t="array" ref="K77">INDEX([24]perbandingan!$L$24:$L$231,MATCH(1,([24]perbandingan!$E$24:$E$231=$D77)*([24]perbandingan!$E$24:$E$231=$D77),0))</f>
        <v>33</v>
      </c>
      <c r="L77" s="9">
        <f t="shared" si="1"/>
        <v>8.7765957446808507</v>
      </c>
      <c r="M77" s="8" t="str">
        <f t="array" ref="M77">IF(L77&gt;5,"Perlu Pengendalian",IF(AND(L77&gt;=0,I77&gt;0),"Tidak Perlu Pengendalian","Belum Sensus"))</f>
        <v>Perlu Pengendalian</v>
      </c>
      <c r="N77" s="143">
        <f t="array" ref="N77">INDEX([24]perbandingan!$J$24:$J$231,MATCH(1,([24]perbandingan!$E$24:$E$231=$D77)*([24]perbandingan!$E$24:$E$231=$D77),0))</f>
        <v>121</v>
      </c>
      <c r="O77" s="9">
        <f t="array" ref="O77">IFERROR(N77/I77*100,0)</f>
        <v>32.180851063829785</v>
      </c>
    </row>
    <row r="78" spans="1:15" outlineLevel="1" x14ac:dyDescent="0.15">
      <c r="A78" s="8" t="s">
        <v>1273</v>
      </c>
      <c r="B78" s="8" t="s">
        <v>14</v>
      </c>
      <c r="C78" s="8" t="s">
        <v>79</v>
      </c>
      <c r="D78" s="8" t="s">
        <v>1345</v>
      </c>
      <c r="E78" s="9">
        <v>30.72</v>
      </c>
      <c r="F78" s="8" t="s">
        <v>1740</v>
      </c>
      <c r="G78" s="10">
        <v>4722</v>
      </c>
      <c r="H78" s="132">
        <v>46149</v>
      </c>
      <c r="I78" s="143">
        <f t="array" ref="I78">INDEX([24]perbandingan!$H$24:$H$231,MATCH(1,([24]perbandingan!$E$24:$E$231=$D78)*([24]perbandingan!$E$24:$E$231=$D78),0))</f>
        <v>368</v>
      </c>
      <c r="J78" s="9">
        <f t="array" ref="J78">IFERROR(I78/G78*100,0)</f>
        <v>7.7933079203727234</v>
      </c>
      <c r="K78" s="143">
        <f t="array" ref="K78">INDEX([24]perbandingan!$L$24:$L$231,MATCH(1,([24]perbandingan!$E$24:$E$231=$D78)*([24]perbandingan!$E$24:$E$231=$D78),0))</f>
        <v>22</v>
      </c>
      <c r="L78" s="9">
        <f t="shared" si="1"/>
        <v>5.9782608695652177</v>
      </c>
      <c r="M78" s="8" t="str">
        <f t="array" ref="M78">IF(L78&gt;5,"Perlu Pengendalian",IF(AND(L78&gt;=0,I78&gt;0),"Tidak Perlu Pengendalian","Belum Sensus"))</f>
        <v>Perlu Pengendalian</v>
      </c>
      <c r="N78" s="143">
        <f t="array" ref="N78">INDEX([24]perbandingan!$J$24:$J$231,MATCH(1,([24]perbandingan!$E$24:$E$231=$D78)*([24]perbandingan!$E$24:$E$231=$D78),0))</f>
        <v>123</v>
      </c>
      <c r="O78" s="9">
        <f t="array" ref="O78">IFERROR(N78/I78*100,0)</f>
        <v>33.423913043478258</v>
      </c>
    </row>
    <row r="79" spans="1:15" outlineLevel="1" x14ac:dyDescent="0.15">
      <c r="A79" s="8" t="s">
        <v>1273</v>
      </c>
      <c r="B79" s="8" t="s">
        <v>14</v>
      </c>
      <c r="C79" s="8" t="s">
        <v>79</v>
      </c>
      <c r="D79" s="8" t="s">
        <v>956</v>
      </c>
      <c r="E79" s="9">
        <v>31.72</v>
      </c>
      <c r="F79" s="8" t="s">
        <v>1740</v>
      </c>
      <c r="G79" s="10">
        <v>4019</v>
      </c>
      <c r="H79" s="132">
        <v>46149</v>
      </c>
      <c r="I79" s="143">
        <f t="array" ref="I79">INDEX([24]perbandingan!$H$24:$H$231,MATCH(1,([24]perbandingan!$E$24:$E$231=$D79)*([24]perbandingan!$E$24:$E$231=$D79),0))</f>
        <v>368</v>
      </c>
      <c r="J79" s="9">
        <f t="array" ref="J79">IFERROR(I79/G79*100,0)</f>
        <v>9.1565065936800192</v>
      </c>
      <c r="K79" s="143">
        <f t="array" ref="K79">INDEX([24]perbandingan!$L$24:$L$231,MATCH(1,([24]perbandingan!$E$24:$E$231=$D79)*([24]perbandingan!$E$24:$E$231=$D79),0))</f>
        <v>33</v>
      </c>
      <c r="L79" s="9">
        <f t="shared" si="1"/>
        <v>8.9673913043478262</v>
      </c>
      <c r="M79" s="8" t="str">
        <f t="array" ref="M79">IF(L79&gt;5,"Perlu Pengendalian",IF(AND(L79&gt;=0,I79&gt;0),"Tidak Perlu Pengendalian","Belum Sensus"))</f>
        <v>Perlu Pengendalian</v>
      </c>
      <c r="N79" s="143">
        <f t="array" ref="N79">INDEX([24]perbandingan!$J$24:$J$231,MATCH(1,([24]perbandingan!$E$24:$E$231=$D79)*([24]perbandingan!$E$24:$E$231=$D79),0))</f>
        <v>89</v>
      </c>
      <c r="O79" s="9">
        <f t="array" ref="O79">IFERROR(N79/I79*100,0)</f>
        <v>24.184782608695652</v>
      </c>
    </row>
    <row r="80" spans="1:15" outlineLevel="1" x14ac:dyDescent="0.15">
      <c r="A80" s="8" t="s">
        <v>1273</v>
      </c>
      <c r="B80" s="8" t="s">
        <v>14</v>
      </c>
      <c r="C80" s="8" t="s">
        <v>79</v>
      </c>
      <c r="D80" s="8" t="s">
        <v>1346</v>
      </c>
      <c r="E80" s="9">
        <v>22.71</v>
      </c>
      <c r="F80" s="8" t="s">
        <v>1740</v>
      </c>
      <c r="G80" s="10">
        <v>2897</v>
      </c>
      <c r="H80" s="132">
        <v>46149</v>
      </c>
      <c r="I80" s="143">
        <f t="array" ref="I80">INDEX([24]perbandingan!$H$24:$H$231,MATCH(1,([24]perbandingan!$E$24:$E$231=$D80)*([24]perbandingan!$E$24:$E$231=$D80),0))</f>
        <v>321</v>
      </c>
      <c r="J80" s="9">
        <f t="array" ref="J80">IFERROR(I80/G80*100,0)</f>
        <v>11.080428028995511</v>
      </c>
      <c r="K80" s="143">
        <f t="array" ref="K80">INDEX([24]perbandingan!$L$24:$L$231,MATCH(1,([24]perbandingan!$E$24:$E$231=$D80)*([24]perbandingan!$E$24:$E$231=$D80),0))</f>
        <v>49</v>
      </c>
      <c r="L80" s="9">
        <f t="shared" si="1"/>
        <v>15.264797507788161</v>
      </c>
      <c r="M80" s="8" t="str">
        <f t="array" ref="M80">IF(L80&gt;5,"Perlu Pengendalian",IF(AND(L80&gt;=0,I80&gt;0),"Tidak Perlu Pengendalian","Belum Sensus"))</f>
        <v>Perlu Pengendalian</v>
      </c>
      <c r="N80" s="143">
        <f t="array" ref="N80">INDEX([24]perbandingan!$J$24:$J$231,MATCH(1,([24]perbandingan!$E$24:$E$231=$D80)*([24]perbandingan!$E$24:$E$231=$D80),0))</f>
        <v>102</v>
      </c>
      <c r="O80" s="9">
        <f t="array" ref="O80">IFERROR(N80/I80*100,0)</f>
        <v>31.775700934579437</v>
      </c>
    </row>
    <row r="81" spans="1:15" outlineLevel="1" x14ac:dyDescent="0.15">
      <c r="A81" s="8" t="s">
        <v>1273</v>
      </c>
      <c r="B81" s="8" t="s">
        <v>14</v>
      </c>
      <c r="C81" s="8" t="s">
        <v>79</v>
      </c>
      <c r="D81" s="8" t="s">
        <v>1347</v>
      </c>
      <c r="E81" s="9">
        <v>21.18</v>
      </c>
      <c r="F81" s="8" t="s">
        <v>1740</v>
      </c>
      <c r="G81" s="10">
        <v>2564</v>
      </c>
      <c r="H81" s="132">
        <v>46149</v>
      </c>
      <c r="I81" s="143">
        <f t="array" ref="I81">INDEX([24]perbandingan!$H$24:$H$231,MATCH(1,([24]perbandingan!$E$24:$E$231=$D81)*([24]perbandingan!$E$24:$E$231=$D81),0))</f>
        <v>234</v>
      </c>
      <c r="J81" s="9">
        <f t="array" ref="J81">IFERROR(I81/G81*100,0)</f>
        <v>9.1263650546021839</v>
      </c>
      <c r="K81" s="143">
        <f t="array" ref="K81">INDEX([24]perbandingan!$L$24:$L$231,MATCH(1,([24]perbandingan!$E$24:$E$231=$D81)*([24]perbandingan!$E$24:$E$231=$D81),0))</f>
        <v>28</v>
      </c>
      <c r="L81" s="9">
        <f t="shared" si="1"/>
        <v>11.965811965811966</v>
      </c>
      <c r="M81" s="8" t="str">
        <f t="array" ref="M81">IF(L81&gt;5,"Perlu Pengendalian",IF(AND(L81&gt;=0,I81&gt;0),"Tidak Perlu Pengendalian","Belum Sensus"))</f>
        <v>Perlu Pengendalian</v>
      </c>
      <c r="N81" s="143">
        <f t="array" ref="N81">INDEX([24]perbandingan!$J$24:$J$231,MATCH(1,([24]perbandingan!$E$24:$E$231=$D81)*([24]perbandingan!$E$24:$E$231=$D81),0))</f>
        <v>47</v>
      </c>
      <c r="O81" s="9">
        <f t="array" ref="O81">IFERROR(N81/I81*100,0)</f>
        <v>20.085470085470085</v>
      </c>
    </row>
    <row r="82" spans="1:15" outlineLevel="1" x14ac:dyDescent="0.15">
      <c r="A82" s="8" t="s">
        <v>1273</v>
      </c>
      <c r="B82" s="8" t="s">
        <v>14</v>
      </c>
      <c r="C82" s="8" t="s">
        <v>79</v>
      </c>
      <c r="D82" s="8" t="s">
        <v>1348</v>
      </c>
      <c r="E82" s="9">
        <v>52.570000000000007</v>
      </c>
      <c r="F82" s="8" t="s">
        <v>1740</v>
      </c>
      <c r="G82" s="10">
        <v>6852</v>
      </c>
      <c r="H82" s="132">
        <v>46149</v>
      </c>
      <c r="I82" s="143">
        <f t="array" ref="I82">INDEX([24]perbandingan!$H$24:$H$231,MATCH(1,([24]perbandingan!$E$24:$E$231=$D82)*([24]perbandingan!$E$24:$E$231=$D82),0))</f>
        <v>380</v>
      </c>
      <c r="J82" s="9">
        <f t="array" ref="J82">IFERROR(I82/G82*100,0)</f>
        <v>5.5458260361938123</v>
      </c>
      <c r="K82" s="143">
        <f t="array" ref="K82">INDEX([24]perbandingan!$L$24:$L$231,MATCH(1,([24]perbandingan!$E$24:$E$231=$D82)*([24]perbandingan!$E$24:$E$231=$D82),0))</f>
        <v>88</v>
      </c>
      <c r="L82" s="9">
        <f t="shared" si="1"/>
        <v>23.157894736842106</v>
      </c>
      <c r="M82" s="8" t="str">
        <f t="array" ref="M82">IF(L82&gt;5,"Perlu Pengendalian",IF(AND(L82&gt;=0,I82&gt;0),"Tidak Perlu Pengendalian","Belum Sensus"))</f>
        <v>Perlu Pengendalian</v>
      </c>
      <c r="N82" s="143">
        <f t="array" ref="N82">INDEX([24]perbandingan!$J$24:$J$231,MATCH(1,([24]perbandingan!$E$24:$E$231=$D82)*([24]perbandingan!$E$24:$E$231=$D82),0))</f>
        <v>67</v>
      </c>
      <c r="O82" s="9">
        <f t="array" ref="O82">IFERROR(N82/I82*100,0)</f>
        <v>17.631578947368421</v>
      </c>
    </row>
    <row r="83" spans="1:15" outlineLevel="1" x14ac:dyDescent="0.15">
      <c r="A83" s="8" t="s">
        <v>1273</v>
      </c>
      <c r="B83" s="8" t="s">
        <v>14</v>
      </c>
      <c r="C83" s="8" t="s">
        <v>79</v>
      </c>
      <c r="D83" s="8" t="s">
        <v>1349</v>
      </c>
      <c r="E83" s="9">
        <v>0</v>
      </c>
      <c r="F83" s="8" t="s">
        <v>1740</v>
      </c>
      <c r="G83" s="10">
        <v>0</v>
      </c>
      <c r="H83" s="132"/>
      <c r="I83" s="143">
        <f t="array" ref="I83">INDEX([24]perbandingan!$H$24:$H$231,MATCH(1,([24]perbandingan!$E$24:$E$231=$D83)*([24]perbandingan!$E$24:$E$231=$D83),0))</f>
        <v>0</v>
      </c>
      <c r="J83" s="9">
        <f t="array" ref="J83">IFERROR(I83/G83*100,0)</f>
        <v>0</v>
      </c>
      <c r="K83" s="143">
        <f t="array" ref="K83">INDEX([24]perbandingan!$L$24:$L$231,MATCH(1,([24]perbandingan!$E$24:$E$231=$D83)*([24]perbandingan!$E$24:$E$231=$D83),0))</f>
        <v>0</v>
      </c>
      <c r="L83" s="9">
        <f t="shared" si="1"/>
        <v>0</v>
      </c>
      <c r="M83" s="8" t="str">
        <f t="array" ref="M83">IF(L83&gt;5,"Perlu Pengendalian",IF(AND(L83&gt;=0,I83&gt;0),"Tidak Perlu Pengendalian","Belum Sensus"))</f>
        <v>Belum Sensus</v>
      </c>
      <c r="N83" s="143">
        <f t="array" ref="N83">INDEX([24]perbandingan!$J$24:$J$231,MATCH(1,([24]perbandingan!$E$24:$E$231=$D83)*([24]perbandingan!$E$24:$E$231=$D83),0))</f>
        <v>0</v>
      </c>
      <c r="O83" s="9">
        <f t="array" ref="O83">IFERROR(N83/I83*100,0)</f>
        <v>0</v>
      </c>
    </row>
    <row r="84" spans="1:15" outlineLevel="1" x14ac:dyDescent="0.15">
      <c r="A84" s="8" t="s">
        <v>1273</v>
      </c>
      <c r="B84" s="8" t="s">
        <v>14</v>
      </c>
      <c r="C84" s="8" t="s">
        <v>79</v>
      </c>
      <c r="D84" s="8" t="s">
        <v>1350</v>
      </c>
      <c r="E84" s="9">
        <v>0</v>
      </c>
      <c r="F84" s="8" t="s">
        <v>1740</v>
      </c>
      <c r="G84" s="10">
        <v>0</v>
      </c>
      <c r="H84" s="132"/>
      <c r="I84" s="143">
        <f t="array" ref="I84">INDEX([24]perbandingan!$H$24:$H$231,MATCH(1,([24]perbandingan!$E$24:$E$231=$D84)*([24]perbandingan!$E$24:$E$231=$D84),0))</f>
        <v>0</v>
      </c>
      <c r="J84" s="9">
        <f t="array" ref="J84">IFERROR(I84/G84*100,0)</f>
        <v>0</v>
      </c>
      <c r="K84" s="143">
        <f t="array" ref="K84">INDEX([24]perbandingan!$L$24:$L$231,MATCH(1,([24]perbandingan!$E$24:$E$231=$D84)*([24]perbandingan!$E$24:$E$231=$D84),0))</f>
        <v>0</v>
      </c>
      <c r="L84" s="9">
        <f t="shared" ref="L84:L147" si="2">IFERROR(K84/I84*100,0)</f>
        <v>0</v>
      </c>
      <c r="M84" s="8" t="str">
        <f t="array" ref="M84">IF(L84&gt;5,"Perlu Pengendalian",IF(AND(L84&gt;=0,I84&gt;0),"Tidak Perlu Pengendalian","Belum Sensus"))</f>
        <v>Belum Sensus</v>
      </c>
      <c r="N84" s="143">
        <f t="array" ref="N84">INDEX([24]perbandingan!$J$24:$J$231,MATCH(1,([24]perbandingan!$E$24:$E$231=$D84)*([24]perbandingan!$E$24:$E$231=$D84),0))</f>
        <v>0</v>
      </c>
      <c r="O84" s="9">
        <f t="array" ref="O84">IFERROR(N84/I84*100,0)</f>
        <v>0</v>
      </c>
    </row>
    <row r="85" spans="1:15" outlineLevel="1" x14ac:dyDescent="0.15">
      <c r="A85" s="8" t="s">
        <v>1273</v>
      </c>
      <c r="B85" s="8" t="s">
        <v>14</v>
      </c>
      <c r="C85" s="8" t="s">
        <v>79</v>
      </c>
      <c r="D85" s="8" t="s">
        <v>1351</v>
      </c>
      <c r="E85" s="9">
        <v>25.28</v>
      </c>
      <c r="F85" s="8" t="s">
        <v>1740</v>
      </c>
      <c r="G85" s="10">
        <v>3200</v>
      </c>
      <c r="H85" s="132">
        <v>46153</v>
      </c>
      <c r="I85" s="143">
        <f t="array" ref="I85">INDEX([24]perbandingan!$H$24:$H$231,MATCH(1,([24]perbandingan!$E$24:$E$231=$D85)*([24]perbandingan!$E$24:$E$231=$D85),0))</f>
        <v>272</v>
      </c>
      <c r="J85" s="9">
        <f t="array" ref="J85">IFERROR(I85/G85*100,0)</f>
        <v>8.5</v>
      </c>
      <c r="K85" s="143">
        <f t="array" ref="K85">INDEX([24]perbandingan!$L$24:$L$231,MATCH(1,([24]perbandingan!$E$24:$E$231=$D85)*([24]perbandingan!$E$24:$E$231=$D85),0))</f>
        <v>41</v>
      </c>
      <c r="L85" s="9">
        <f t="shared" si="2"/>
        <v>15.073529411764705</v>
      </c>
      <c r="M85" s="8" t="str">
        <f t="array" ref="M85">IF(L85&gt;5,"Perlu Pengendalian",IF(AND(L85&gt;=0,I85&gt;0),"Tidak Perlu Pengendalian","Belum Sensus"))</f>
        <v>Perlu Pengendalian</v>
      </c>
      <c r="N85" s="143">
        <f t="array" ref="N85">INDEX([24]perbandingan!$J$24:$J$231,MATCH(1,([24]perbandingan!$E$24:$E$231=$D85)*([24]perbandingan!$E$24:$E$231=$D85),0))</f>
        <v>76</v>
      </c>
      <c r="O85" s="9">
        <f t="array" ref="O85">IFERROR(N85/I85*100,0)</f>
        <v>27.941176470588236</v>
      </c>
    </row>
    <row r="86" spans="1:15" outlineLevel="1" x14ac:dyDescent="0.15">
      <c r="A86" s="8" t="s">
        <v>1273</v>
      </c>
      <c r="B86" s="8" t="s">
        <v>14</v>
      </c>
      <c r="C86" s="8" t="s">
        <v>79</v>
      </c>
      <c r="D86" s="8" t="s">
        <v>1352</v>
      </c>
      <c r="E86" s="9">
        <v>47.55</v>
      </c>
      <c r="F86" s="8" t="s">
        <v>1740</v>
      </c>
      <c r="G86" s="10">
        <v>6387</v>
      </c>
      <c r="H86" s="132">
        <v>46153</v>
      </c>
      <c r="I86" s="143">
        <f t="array" ref="I86">INDEX([24]perbandingan!$H$24:$H$231,MATCH(1,([24]perbandingan!$E$24:$E$231=$D86)*([24]perbandingan!$E$24:$E$231=$D86),0))</f>
        <v>214</v>
      </c>
      <c r="J86" s="9">
        <f t="array" ref="J86">IFERROR(I86/G86*100,0)</f>
        <v>3.3505558165022702</v>
      </c>
      <c r="K86" s="143">
        <f t="array" ref="K86">INDEX([24]perbandingan!$L$24:$L$231,MATCH(1,([24]perbandingan!$E$24:$E$231=$D86)*([24]perbandingan!$E$24:$E$231=$D86),0))</f>
        <v>19</v>
      </c>
      <c r="L86" s="9">
        <f t="shared" si="2"/>
        <v>8.8785046728971952</v>
      </c>
      <c r="M86" s="8" t="str">
        <f t="array" ref="M86">IF(L86&gt;5,"Perlu Pengendalian",IF(AND(L86&gt;=0,I86&gt;0),"Tidak Perlu Pengendalian","Belum Sensus"))</f>
        <v>Perlu Pengendalian</v>
      </c>
      <c r="N86" s="143">
        <f t="array" ref="N86">INDEX([24]perbandingan!$J$24:$J$231,MATCH(1,([24]perbandingan!$E$24:$E$231=$D86)*([24]perbandingan!$E$24:$E$231=$D86),0))</f>
        <v>41</v>
      </c>
      <c r="O86" s="9">
        <f t="array" ref="O86">IFERROR(N86/I86*100,0)</f>
        <v>19.158878504672895</v>
      </c>
    </row>
    <row r="87" spans="1:15" outlineLevel="1" x14ac:dyDescent="0.15">
      <c r="A87" s="8" t="s">
        <v>1273</v>
      </c>
      <c r="B87" s="8" t="s">
        <v>14</v>
      </c>
      <c r="C87" s="8" t="s">
        <v>79</v>
      </c>
      <c r="D87" s="8" t="s">
        <v>1353</v>
      </c>
      <c r="E87" s="9">
        <v>25.58</v>
      </c>
      <c r="F87" s="8" t="s">
        <v>1740</v>
      </c>
      <c r="G87" s="10">
        <v>2551</v>
      </c>
      <c r="H87" s="132">
        <v>46153</v>
      </c>
      <c r="I87" s="143">
        <f t="array" ref="I87">INDEX([24]perbandingan!$H$24:$H$231,MATCH(1,([24]perbandingan!$E$24:$E$231=$D87)*([24]perbandingan!$E$24:$E$231=$D87),0))</f>
        <v>190</v>
      </c>
      <c r="J87" s="9">
        <f t="array" ref="J87">IFERROR(I87/G87*100,0)</f>
        <v>7.4480595844766757</v>
      </c>
      <c r="K87" s="143">
        <f t="array" ref="K87">INDEX([24]perbandingan!$L$24:$L$231,MATCH(1,([24]perbandingan!$E$24:$E$231=$D87)*([24]perbandingan!$E$24:$E$231=$D87),0))</f>
        <v>18</v>
      </c>
      <c r="L87" s="9">
        <f t="shared" si="2"/>
        <v>9.4736842105263168</v>
      </c>
      <c r="M87" s="8" t="str">
        <f t="array" ref="M87">IF(L87&gt;5,"Perlu Pengendalian",IF(AND(L87&gt;=0,I87&gt;0),"Tidak Perlu Pengendalian","Belum Sensus"))</f>
        <v>Perlu Pengendalian</v>
      </c>
      <c r="N87" s="143">
        <f t="array" ref="N87">INDEX([24]perbandingan!$J$24:$J$231,MATCH(1,([24]perbandingan!$E$24:$E$231=$D87)*([24]perbandingan!$E$24:$E$231=$D87),0))</f>
        <v>44</v>
      </c>
      <c r="O87" s="9">
        <f t="array" ref="O87">IFERROR(N87/I87*100,0)</f>
        <v>23.157894736842106</v>
      </c>
    </row>
    <row r="88" spans="1:15" outlineLevel="1" x14ac:dyDescent="0.15">
      <c r="A88" s="8" t="s">
        <v>1273</v>
      </c>
      <c r="B88" s="8" t="s">
        <v>14</v>
      </c>
      <c r="C88" s="8" t="s">
        <v>79</v>
      </c>
      <c r="D88" s="8" t="s">
        <v>1354</v>
      </c>
      <c r="E88" s="9">
        <v>24.580000000000002</v>
      </c>
      <c r="F88" s="8" t="s">
        <v>1740</v>
      </c>
      <c r="G88" s="10">
        <v>2771</v>
      </c>
      <c r="H88" s="132">
        <v>46153</v>
      </c>
      <c r="I88" s="143">
        <f t="array" ref="I88">INDEX([24]perbandingan!$H$24:$H$231,MATCH(1,([24]perbandingan!$E$24:$E$231=$D88)*([24]perbandingan!$E$24:$E$231=$D88),0))</f>
        <v>248</v>
      </c>
      <c r="J88" s="9">
        <f t="array" ref="J88">IFERROR(I88/G88*100,0)</f>
        <v>8.9498376037531582</v>
      </c>
      <c r="K88" s="143">
        <f t="array" ref="K88">INDEX([24]perbandingan!$L$24:$L$231,MATCH(1,([24]perbandingan!$E$24:$E$231=$D88)*([24]perbandingan!$E$24:$E$231=$D88),0))</f>
        <v>29</v>
      </c>
      <c r="L88" s="9">
        <f t="shared" si="2"/>
        <v>11.693548387096774</v>
      </c>
      <c r="M88" s="8" t="str">
        <f t="array" ref="M88">IF(L88&gt;5,"Perlu Pengendalian",IF(AND(L88&gt;=0,I88&gt;0),"Tidak Perlu Pengendalian","Belum Sensus"))</f>
        <v>Perlu Pengendalian</v>
      </c>
      <c r="N88" s="143">
        <f t="array" ref="N88">INDEX([24]perbandingan!$J$24:$J$231,MATCH(1,([24]perbandingan!$E$24:$E$231=$D88)*([24]perbandingan!$E$24:$E$231=$D88),0))</f>
        <v>71</v>
      </c>
      <c r="O88" s="9">
        <f t="array" ref="O88">IFERROR(N88/I88*100,0)</f>
        <v>28.62903225806452</v>
      </c>
    </row>
    <row r="89" spans="1:15" outlineLevel="1" x14ac:dyDescent="0.15">
      <c r="A89" s="8" t="s">
        <v>1273</v>
      </c>
      <c r="B89" s="8" t="s">
        <v>14</v>
      </c>
      <c r="C89" s="8" t="s">
        <v>79</v>
      </c>
      <c r="D89" s="8" t="s">
        <v>1355</v>
      </c>
      <c r="E89" s="9">
        <v>40.53</v>
      </c>
      <c r="F89" s="8" t="s">
        <v>1740</v>
      </c>
      <c r="G89" s="10">
        <v>5611</v>
      </c>
      <c r="H89" s="132">
        <v>46153</v>
      </c>
      <c r="I89" s="143">
        <f t="array" ref="I89">INDEX([24]perbandingan!$H$24:$H$231,MATCH(1,([24]perbandingan!$E$24:$E$231=$D89)*([24]perbandingan!$E$24:$E$231=$D89),0))</f>
        <v>432</v>
      </c>
      <c r="J89" s="9">
        <f t="array" ref="J89">IFERROR(I89/G89*100,0)</f>
        <v>7.6991623596506864</v>
      </c>
      <c r="K89" s="143">
        <f t="array" ref="K89">INDEX([24]perbandingan!$L$24:$L$231,MATCH(1,([24]perbandingan!$E$24:$E$231=$D89)*([24]perbandingan!$E$24:$E$231=$D89),0))</f>
        <v>43</v>
      </c>
      <c r="L89" s="9">
        <f t="shared" si="2"/>
        <v>9.9537037037037042</v>
      </c>
      <c r="M89" s="8" t="str">
        <f t="array" ref="M89">IF(L89&gt;5,"Perlu Pengendalian",IF(AND(L89&gt;=0,I89&gt;0),"Tidak Perlu Pengendalian","Belum Sensus"))</f>
        <v>Perlu Pengendalian</v>
      </c>
      <c r="N89" s="143">
        <f t="array" ref="N89">INDEX([24]perbandingan!$J$24:$J$231,MATCH(1,([24]perbandingan!$E$24:$E$231=$D89)*([24]perbandingan!$E$24:$E$231=$D89),0))</f>
        <v>67</v>
      </c>
      <c r="O89" s="9">
        <f t="array" ref="O89">IFERROR(N89/I89*100,0)</f>
        <v>15.50925925925926</v>
      </c>
    </row>
    <row r="90" spans="1:15" outlineLevel="1" x14ac:dyDescent="0.15">
      <c r="A90" s="8" t="s">
        <v>1273</v>
      </c>
      <c r="B90" s="8" t="s">
        <v>14</v>
      </c>
      <c r="C90" s="8" t="s">
        <v>79</v>
      </c>
      <c r="D90" s="8" t="s">
        <v>1356</v>
      </c>
      <c r="E90" s="9">
        <v>25.509999999999998</v>
      </c>
      <c r="F90" s="8" t="s">
        <v>1740</v>
      </c>
      <c r="G90" s="10">
        <v>3377</v>
      </c>
      <c r="H90" s="132">
        <v>46149</v>
      </c>
      <c r="I90" s="143">
        <f t="array" ref="I90">INDEX([24]perbandingan!$H$24:$H$231,MATCH(1,([24]perbandingan!$E$24:$E$231=$D90)*([24]perbandingan!$E$24:$E$231=$D90),0))</f>
        <v>289</v>
      </c>
      <c r="J90" s="9">
        <f t="array" ref="J90">IFERROR(I90/G90*100,0)</f>
        <v>8.5578916197808699</v>
      </c>
      <c r="K90" s="143">
        <f t="array" ref="K90">INDEX([24]perbandingan!$L$24:$L$231,MATCH(1,([24]perbandingan!$E$24:$E$231=$D90)*([24]perbandingan!$E$24:$E$231=$D90),0))</f>
        <v>17</v>
      </c>
      <c r="L90" s="9">
        <f t="shared" si="2"/>
        <v>5.8823529411764701</v>
      </c>
      <c r="M90" s="8" t="str">
        <f t="array" ref="M90">IF(L90&gt;5,"Perlu Pengendalian",IF(AND(L90&gt;=0,I90&gt;0),"Tidak Perlu Pengendalian","Belum Sensus"))</f>
        <v>Perlu Pengendalian</v>
      </c>
      <c r="N90" s="143">
        <f t="array" ref="N90">INDEX([24]perbandingan!$J$24:$J$231,MATCH(1,([24]perbandingan!$E$24:$E$231=$D90)*([24]perbandingan!$E$24:$E$231=$D90),0))</f>
        <v>57</v>
      </c>
      <c r="O90" s="9">
        <f t="array" ref="O90">IFERROR(N90/I90*100,0)</f>
        <v>19.72318339100346</v>
      </c>
    </row>
    <row r="91" spans="1:15" outlineLevel="1" x14ac:dyDescent="0.15">
      <c r="A91" s="8" t="s">
        <v>1273</v>
      </c>
      <c r="B91" s="8" t="s">
        <v>14</v>
      </c>
      <c r="C91" s="8" t="s">
        <v>79</v>
      </c>
      <c r="D91" s="8" t="s">
        <v>1357</v>
      </c>
      <c r="E91" s="9">
        <v>26</v>
      </c>
      <c r="F91" s="8" t="s">
        <v>1740</v>
      </c>
      <c r="G91" s="10">
        <v>3314</v>
      </c>
      <c r="H91" s="132">
        <v>46149</v>
      </c>
      <c r="I91" s="143">
        <f t="array" ref="I91">INDEX([24]perbandingan!$H$24:$H$231,MATCH(1,([24]perbandingan!$E$24:$E$231=$D91)*([24]perbandingan!$E$24:$E$231=$D91),0))</f>
        <v>264</v>
      </c>
      <c r="J91" s="9">
        <f t="array" ref="J91">IFERROR(I91/G91*100,0)</f>
        <v>7.9662039831019911</v>
      </c>
      <c r="K91" s="143">
        <f t="array" ref="K91">INDEX([24]perbandingan!$L$24:$L$231,MATCH(1,([24]perbandingan!$E$24:$E$231=$D91)*([24]perbandingan!$E$24:$E$231=$D91),0))</f>
        <v>23</v>
      </c>
      <c r="L91" s="9">
        <f t="shared" si="2"/>
        <v>8.7121212121212128</v>
      </c>
      <c r="M91" s="8" t="str">
        <f t="array" ref="M91">IF(L91&gt;5,"Perlu Pengendalian",IF(AND(L91&gt;=0,I91&gt;0),"Tidak Perlu Pengendalian","Belum Sensus"))</f>
        <v>Perlu Pengendalian</v>
      </c>
      <c r="N91" s="143">
        <f t="array" ref="N91">INDEX([24]perbandingan!$J$24:$J$231,MATCH(1,([24]perbandingan!$E$24:$E$231=$D91)*([24]perbandingan!$E$24:$E$231=$D91),0))</f>
        <v>56</v>
      </c>
      <c r="O91" s="9">
        <f t="array" ref="O91">IFERROR(N91/I91*100,0)</f>
        <v>21.212121212121211</v>
      </c>
    </row>
    <row r="92" spans="1:15" outlineLevel="1" x14ac:dyDescent="0.15">
      <c r="A92" s="8" t="s">
        <v>1273</v>
      </c>
      <c r="B92" s="8" t="s">
        <v>14</v>
      </c>
      <c r="C92" s="8" t="s">
        <v>79</v>
      </c>
      <c r="D92" s="8" t="s">
        <v>1358</v>
      </c>
      <c r="E92" s="9">
        <v>22.48</v>
      </c>
      <c r="F92" s="8" t="s">
        <v>1740</v>
      </c>
      <c r="G92" s="10">
        <v>2887</v>
      </c>
      <c r="H92" s="132">
        <v>46149</v>
      </c>
      <c r="I92" s="143">
        <f t="array" ref="I92">INDEX([24]perbandingan!$H$24:$H$231,MATCH(1,([24]perbandingan!$E$24:$E$231=$D92)*([24]perbandingan!$E$24:$E$231=$D92),0))</f>
        <v>246</v>
      </c>
      <c r="J92" s="9">
        <f t="array" ref="J92">IFERROR(I92/G92*100,0)</f>
        <v>8.520956009698649</v>
      </c>
      <c r="K92" s="143">
        <f t="array" ref="K92">INDEX([24]perbandingan!$L$24:$L$231,MATCH(1,([24]perbandingan!$E$24:$E$231=$D92)*([24]perbandingan!$E$24:$E$231=$D92),0))</f>
        <v>27</v>
      </c>
      <c r="L92" s="9">
        <f t="shared" si="2"/>
        <v>10.975609756097562</v>
      </c>
      <c r="M92" s="8" t="str">
        <f t="array" ref="M92">IF(L92&gt;5,"Perlu Pengendalian",IF(AND(L92&gt;=0,I92&gt;0),"Tidak Perlu Pengendalian","Belum Sensus"))</f>
        <v>Perlu Pengendalian</v>
      </c>
      <c r="N92" s="143">
        <f t="array" ref="N92">INDEX([24]perbandingan!$J$24:$J$231,MATCH(1,([24]perbandingan!$E$24:$E$231=$D92)*([24]perbandingan!$E$24:$E$231=$D92),0))</f>
        <v>52</v>
      </c>
      <c r="O92" s="9">
        <f t="array" ref="O92">IFERROR(N92/I92*100,0)</f>
        <v>21.138211382113823</v>
      </c>
    </row>
    <row r="93" spans="1:15" outlineLevel="1" x14ac:dyDescent="0.15">
      <c r="A93" s="8" t="s">
        <v>1273</v>
      </c>
      <c r="B93" s="8" t="s">
        <v>14</v>
      </c>
      <c r="C93" s="8" t="s">
        <v>79</v>
      </c>
      <c r="D93" s="8" t="s">
        <v>1359</v>
      </c>
      <c r="E93" s="9">
        <v>27.939999999999998</v>
      </c>
      <c r="F93" s="8" t="s">
        <v>1740</v>
      </c>
      <c r="G93" s="10">
        <v>3658</v>
      </c>
      <c r="H93" s="132">
        <v>46149</v>
      </c>
      <c r="I93" s="143">
        <f t="array" ref="I93">INDEX([24]perbandingan!$H$24:$H$231,MATCH(1,([24]perbandingan!$E$24:$E$231=$D93)*([24]perbandingan!$E$24:$E$231=$D93),0))</f>
        <v>320</v>
      </c>
      <c r="J93" s="9">
        <f t="array" ref="J93">IFERROR(I93/G93*100,0)</f>
        <v>8.7479496992892294</v>
      </c>
      <c r="K93" s="143">
        <f t="array" ref="K93">INDEX([24]perbandingan!$L$24:$L$231,MATCH(1,([24]perbandingan!$E$24:$E$231=$D93)*([24]perbandingan!$E$24:$E$231=$D93),0))</f>
        <v>27</v>
      </c>
      <c r="L93" s="9">
        <f t="shared" si="2"/>
        <v>8.4375</v>
      </c>
      <c r="M93" s="8" t="str">
        <f t="array" ref="M93">IF(L93&gt;5,"Perlu Pengendalian",IF(AND(L93&gt;=0,I93&gt;0),"Tidak Perlu Pengendalian","Belum Sensus"))</f>
        <v>Perlu Pengendalian</v>
      </c>
      <c r="N93" s="143">
        <f t="array" ref="N93">INDEX([24]perbandingan!$J$24:$J$231,MATCH(1,([24]perbandingan!$E$24:$E$231=$D93)*([24]perbandingan!$E$24:$E$231=$D93),0))</f>
        <v>98</v>
      </c>
      <c r="O93" s="9">
        <f t="array" ref="O93">IFERROR(N93/I93*100,0)</f>
        <v>30.625000000000004</v>
      </c>
    </row>
    <row r="94" spans="1:15" outlineLevel="1" x14ac:dyDescent="0.15">
      <c r="A94" s="8" t="s">
        <v>1273</v>
      </c>
      <c r="B94" s="8" t="s">
        <v>14</v>
      </c>
      <c r="C94" s="8" t="s">
        <v>79</v>
      </c>
      <c r="D94" s="8" t="s">
        <v>1360</v>
      </c>
      <c r="E94" s="9">
        <v>21.89</v>
      </c>
      <c r="F94" s="8" t="s">
        <v>1740</v>
      </c>
      <c r="G94" s="10">
        <v>1931</v>
      </c>
      <c r="H94" s="132">
        <v>46149</v>
      </c>
      <c r="I94" s="143">
        <f t="array" ref="I94">INDEX([24]perbandingan!$H$24:$H$231,MATCH(1,([24]perbandingan!$E$24:$E$231=$D94)*([24]perbandingan!$E$24:$E$231=$D94),0))</f>
        <v>231</v>
      </c>
      <c r="J94" s="9">
        <f t="array" ref="J94">IFERROR(I94/G94*100,0)</f>
        <v>11.96271361988607</v>
      </c>
      <c r="K94" s="143">
        <f t="array" ref="K94">INDEX([24]perbandingan!$L$24:$L$231,MATCH(1,([24]perbandingan!$E$24:$E$231=$D94)*([24]perbandingan!$E$24:$E$231=$D94),0))</f>
        <v>12</v>
      </c>
      <c r="L94" s="9">
        <f t="shared" si="2"/>
        <v>5.1948051948051948</v>
      </c>
      <c r="M94" s="8" t="str">
        <f t="array" ref="M94">IF(L94&gt;5,"Perlu Pengendalian",IF(AND(L94&gt;=0,I94&gt;0),"Tidak Perlu Pengendalian","Belum Sensus"))</f>
        <v>Perlu Pengendalian</v>
      </c>
      <c r="N94" s="143">
        <f t="array" ref="N94">INDEX([24]perbandingan!$J$24:$J$231,MATCH(1,([24]perbandingan!$E$24:$E$231=$D94)*([24]perbandingan!$E$24:$E$231=$D94),0))</f>
        <v>86</v>
      </c>
      <c r="O94" s="9">
        <f t="array" ref="O94">IFERROR(N94/I94*100,0)</f>
        <v>37.229437229437231</v>
      </c>
    </row>
    <row r="95" spans="1:15" outlineLevel="1" x14ac:dyDescent="0.15">
      <c r="A95" s="8" t="s">
        <v>1273</v>
      </c>
      <c r="B95" s="8" t="s">
        <v>14</v>
      </c>
      <c r="C95" s="8" t="s">
        <v>79</v>
      </c>
      <c r="D95" s="8" t="s">
        <v>1361</v>
      </c>
      <c r="E95" s="9">
        <v>32.519999999999996</v>
      </c>
      <c r="F95" s="8" t="s">
        <v>1740</v>
      </c>
      <c r="G95" s="10">
        <v>4681</v>
      </c>
      <c r="H95" s="132">
        <v>46153</v>
      </c>
      <c r="I95" s="143">
        <f t="array" ref="I95">INDEX([24]perbandingan!$H$24:$H$231,MATCH(1,([24]perbandingan!$E$24:$E$231=$D95)*([24]perbandingan!$E$24:$E$231=$D95),0))</f>
        <v>397</v>
      </c>
      <c r="J95" s="9">
        <f t="array" ref="J95">IFERROR(I95/G95*100,0)</f>
        <v>8.4810937833796203</v>
      </c>
      <c r="K95" s="143">
        <f t="array" ref="K95">INDEX([24]perbandingan!$L$24:$L$231,MATCH(1,([24]perbandingan!$E$24:$E$231=$D95)*([24]perbandingan!$E$24:$E$231=$D95),0))</f>
        <v>45</v>
      </c>
      <c r="L95" s="9">
        <f t="shared" si="2"/>
        <v>11.335012594458437</v>
      </c>
      <c r="M95" s="8" t="str">
        <f t="array" ref="M95">IF(L95&gt;5,"Perlu Pengendalian",IF(AND(L95&gt;=0,I95&gt;0),"Tidak Perlu Pengendalian","Belum Sensus"))</f>
        <v>Perlu Pengendalian</v>
      </c>
      <c r="N95" s="143">
        <f t="array" ref="N95">INDEX([24]perbandingan!$J$24:$J$231,MATCH(1,([24]perbandingan!$E$24:$E$231=$D95)*([24]perbandingan!$E$24:$E$231=$D95),0))</f>
        <v>98</v>
      </c>
      <c r="O95" s="9">
        <f t="array" ref="O95">IFERROR(N95/I95*100,0)</f>
        <v>24.685138539042821</v>
      </c>
    </row>
    <row r="96" spans="1:15" outlineLevel="1" x14ac:dyDescent="0.15">
      <c r="A96" s="8" t="s">
        <v>1273</v>
      </c>
      <c r="B96" s="8" t="s">
        <v>14</v>
      </c>
      <c r="C96" s="8" t="s">
        <v>107</v>
      </c>
      <c r="D96" s="8" t="s">
        <v>1362</v>
      </c>
      <c r="E96" s="9">
        <v>37.540000000000006</v>
      </c>
      <c r="F96" s="8" t="s">
        <v>1740</v>
      </c>
      <c r="G96" s="10">
        <v>4873</v>
      </c>
      <c r="H96" s="132">
        <v>46149</v>
      </c>
      <c r="I96" s="143">
        <f t="array" ref="I96">INDEX([24]perbandingan!$H$24:$H$231,MATCH(1,([24]perbandingan!$E$24:$E$231=$D96)*([24]perbandingan!$E$24:$E$231=$D96),0))</f>
        <v>440</v>
      </c>
      <c r="J96" s="9">
        <f t="array" ref="J96">IFERROR(I96/G96*100,0)</f>
        <v>9.0293453724604973</v>
      </c>
      <c r="K96" s="143">
        <f t="array" ref="K96">INDEX([24]perbandingan!$L$24:$L$231,MATCH(1,([24]perbandingan!$E$24:$E$231=$D96)*([24]perbandingan!$E$24:$E$231=$D96),0))</f>
        <v>41</v>
      </c>
      <c r="L96" s="9">
        <f t="shared" si="2"/>
        <v>9.3181818181818183</v>
      </c>
      <c r="M96" s="8" t="str">
        <f t="array" ref="M96">IF(L96&gt;5,"Perlu Pengendalian",IF(AND(L96&gt;=0,I96&gt;0),"Tidak Perlu Pengendalian","Belum Sensus"))</f>
        <v>Perlu Pengendalian</v>
      </c>
      <c r="N96" s="143">
        <f t="array" ref="N96">INDEX([24]perbandingan!$J$24:$J$231,MATCH(1,([24]perbandingan!$E$24:$E$231=$D96)*([24]perbandingan!$E$24:$E$231=$D96),0))</f>
        <v>113</v>
      </c>
      <c r="O96" s="9">
        <f t="array" ref="O96">IFERROR(N96/I96*100,0)</f>
        <v>25.681818181818183</v>
      </c>
    </row>
    <row r="97" spans="1:15" outlineLevel="1" x14ac:dyDescent="0.15">
      <c r="A97" s="8" t="s">
        <v>1273</v>
      </c>
      <c r="B97" s="8" t="s">
        <v>14</v>
      </c>
      <c r="C97" s="8" t="s">
        <v>107</v>
      </c>
      <c r="D97" s="8" t="s">
        <v>1363</v>
      </c>
      <c r="E97" s="9">
        <v>37.959999999999994</v>
      </c>
      <c r="F97" s="8" t="s">
        <v>1740</v>
      </c>
      <c r="G97" s="10">
        <v>4891</v>
      </c>
      <c r="H97" s="132">
        <v>46153</v>
      </c>
      <c r="I97" s="143">
        <f t="array" ref="I97">INDEX([24]perbandingan!$H$24:$H$231,MATCH(1,([24]perbandingan!$E$24:$E$231=$D97)*([24]perbandingan!$E$24:$E$231=$D97),0))</f>
        <v>1004</v>
      </c>
      <c r="J97" s="9">
        <f t="array" ref="J97">IFERROR(I97/G97*100,0)</f>
        <v>20.527499488857085</v>
      </c>
      <c r="K97" s="143">
        <f t="array" ref="K97">INDEX([24]perbandingan!$L$24:$L$231,MATCH(1,([24]perbandingan!$E$24:$E$231=$D97)*([24]perbandingan!$E$24:$E$231=$D97),0))</f>
        <v>53</v>
      </c>
      <c r="L97" s="9">
        <f t="shared" si="2"/>
        <v>5.2788844621513942</v>
      </c>
      <c r="M97" s="8" t="str">
        <f t="array" ref="M97">IF(L97&gt;5,"Perlu Pengendalian",IF(AND(L97&gt;=0,I97&gt;0),"Tidak Perlu Pengendalian","Belum Sensus"))</f>
        <v>Perlu Pengendalian</v>
      </c>
      <c r="N97" s="143">
        <f t="array" ref="N97">INDEX([24]perbandingan!$J$24:$J$231,MATCH(1,([24]perbandingan!$E$24:$E$231=$D97)*([24]perbandingan!$E$24:$E$231=$D97),0))</f>
        <v>137</v>
      </c>
      <c r="O97" s="9">
        <f t="array" ref="O97">IFERROR(N97/I97*100,0)</f>
        <v>13.645418326693227</v>
      </c>
    </row>
    <row r="98" spans="1:15" outlineLevel="1" x14ac:dyDescent="0.15">
      <c r="A98" s="8" t="s">
        <v>1273</v>
      </c>
      <c r="B98" s="8" t="s">
        <v>14</v>
      </c>
      <c r="C98" s="8" t="s">
        <v>107</v>
      </c>
      <c r="D98" s="8" t="s">
        <v>1364</v>
      </c>
      <c r="E98" s="9">
        <v>39.849999999999994</v>
      </c>
      <c r="F98" s="8" t="s">
        <v>1740</v>
      </c>
      <c r="G98" s="10">
        <v>5081</v>
      </c>
      <c r="H98" s="132">
        <v>46153</v>
      </c>
      <c r="I98" s="143">
        <f t="array" ref="I98">INDEX([24]perbandingan!$H$24:$H$231,MATCH(1,([24]perbandingan!$E$24:$E$231=$D98)*([24]perbandingan!$E$24:$E$231=$D98),0))</f>
        <v>960</v>
      </c>
      <c r="J98" s="9">
        <f t="array" ref="J98">IFERROR(I98/G98*100,0)</f>
        <v>18.893918519976381</v>
      </c>
      <c r="K98" s="143">
        <f t="array" ref="K98">INDEX([24]perbandingan!$L$24:$L$231,MATCH(1,([24]perbandingan!$E$24:$E$231=$D98)*([24]perbandingan!$E$24:$E$231=$D98),0))</f>
        <v>54</v>
      </c>
      <c r="L98" s="9">
        <f t="shared" si="2"/>
        <v>5.625</v>
      </c>
      <c r="M98" s="8" t="str">
        <f t="array" ref="M98">IF(L98&gt;5,"Perlu Pengendalian",IF(AND(L98&gt;=0,I98&gt;0),"Tidak Perlu Pengendalian","Belum Sensus"))</f>
        <v>Perlu Pengendalian</v>
      </c>
      <c r="N98" s="143">
        <f t="array" ref="N98">INDEX([24]perbandingan!$J$24:$J$231,MATCH(1,([24]perbandingan!$E$24:$E$231=$D98)*([24]perbandingan!$E$24:$E$231=$D98),0))</f>
        <v>136</v>
      </c>
      <c r="O98" s="9">
        <f t="array" ref="O98">IFERROR(N98/I98*100,0)</f>
        <v>14.166666666666666</v>
      </c>
    </row>
    <row r="99" spans="1:15" outlineLevel="1" x14ac:dyDescent="0.15">
      <c r="A99" s="8" t="s">
        <v>1273</v>
      </c>
      <c r="B99" s="8" t="s">
        <v>14</v>
      </c>
      <c r="C99" s="8" t="s">
        <v>107</v>
      </c>
      <c r="D99" s="8" t="s">
        <v>1365</v>
      </c>
      <c r="E99" s="9">
        <v>41.11</v>
      </c>
      <c r="F99" s="8" t="s">
        <v>1740</v>
      </c>
      <c r="G99" s="10">
        <v>5548</v>
      </c>
      <c r="H99" s="132">
        <v>46153</v>
      </c>
      <c r="I99" s="143">
        <f t="array" ref="I99">INDEX([24]perbandingan!$H$24:$H$231,MATCH(1,([24]perbandingan!$E$24:$E$231=$D99)*([24]perbandingan!$E$24:$E$231=$D99),0))</f>
        <v>1084</v>
      </c>
      <c r="J99" s="9">
        <f t="array" ref="J99">IFERROR(I99/G99*100,0)</f>
        <v>19.538572458543619</v>
      </c>
      <c r="K99" s="143">
        <f t="array" ref="K99">INDEX([24]perbandingan!$L$24:$L$231,MATCH(1,([24]perbandingan!$E$24:$E$231=$D99)*([24]perbandingan!$E$24:$E$231=$D99),0))</f>
        <v>73</v>
      </c>
      <c r="L99" s="9">
        <f t="shared" si="2"/>
        <v>6.7343173431734318</v>
      </c>
      <c r="M99" s="8" t="str">
        <f t="array" ref="M99">IF(L99&gt;5,"Perlu Pengendalian",IF(AND(L99&gt;=0,I99&gt;0),"Tidak Perlu Pengendalian","Belum Sensus"))</f>
        <v>Perlu Pengendalian</v>
      </c>
      <c r="N99" s="143">
        <f t="array" ref="N99">INDEX([24]perbandingan!$J$24:$J$231,MATCH(1,([24]perbandingan!$E$24:$E$231=$D99)*([24]perbandingan!$E$24:$E$231=$D99),0))</f>
        <v>109</v>
      </c>
      <c r="O99" s="9">
        <f t="array" ref="O99">IFERROR(N99/I99*100,0)</f>
        <v>10.055350553505535</v>
      </c>
    </row>
    <row r="100" spans="1:15" outlineLevel="1" x14ac:dyDescent="0.15">
      <c r="A100" s="8" t="s">
        <v>1273</v>
      </c>
      <c r="B100" s="8" t="s">
        <v>14</v>
      </c>
      <c r="C100" s="8" t="s">
        <v>107</v>
      </c>
      <c r="D100" s="8" t="s">
        <v>1366</v>
      </c>
      <c r="E100" s="9">
        <v>30.77</v>
      </c>
      <c r="F100" s="8" t="s">
        <v>1740</v>
      </c>
      <c r="G100" s="10">
        <v>4127</v>
      </c>
      <c r="H100" s="132">
        <v>46149</v>
      </c>
      <c r="I100" s="143">
        <f t="array" ref="I100">INDEX([24]perbandingan!$H$24:$H$231,MATCH(1,([24]perbandingan!$E$24:$E$231=$D100)*([24]perbandingan!$E$24:$E$231=$D100),0))</f>
        <v>659</v>
      </c>
      <c r="J100" s="9">
        <f t="array" ref="J100">IFERROR(I100/G100*100,0)</f>
        <v>15.968015507632662</v>
      </c>
      <c r="K100" s="143">
        <f t="array" ref="K100">INDEX([24]perbandingan!$L$24:$L$231,MATCH(1,([24]perbandingan!$E$24:$E$231=$D100)*([24]perbandingan!$E$24:$E$231=$D100),0))</f>
        <v>52</v>
      </c>
      <c r="L100" s="9">
        <f t="shared" si="2"/>
        <v>7.8907435508345971</v>
      </c>
      <c r="M100" s="8" t="str">
        <f t="array" ref="M100">IF(L100&gt;5,"Perlu Pengendalian",IF(AND(L100&gt;=0,I100&gt;0),"Tidak Perlu Pengendalian","Belum Sensus"))</f>
        <v>Perlu Pengendalian</v>
      </c>
      <c r="N100" s="143">
        <f t="array" ref="N100">INDEX([24]perbandingan!$J$24:$J$231,MATCH(1,([24]perbandingan!$E$24:$E$231=$D100)*([24]perbandingan!$E$24:$E$231=$D100),0))</f>
        <v>114</v>
      </c>
      <c r="O100" s="9">
        <f t="array" ref="O100">IFERROR(N100/I100*100,0)</f>
        <v>17.298937784522003</v>
      </c>
    </row>
    <row r="101" spans="1:15" outlineLevel="1" x14ac:dyDescent="0.15">
      <c r="A101" s="8" t="s">
        <v>1273</v>
      </c>
      <c r="B101" s="8" t="s">
        <v>14</v>
      </c>
      <c r="C101" s="8" t="s">
        <v>107</v>
      </c>
      <c r="D101" s="8" t="s">
        <v>1007</v>
      </c>
      <c r="E101" s="9">
        <v>30.18</v>
      </c>
      <c r="F101" s="8" t="s">
        <v>1740</v>
      </c>
      <c r="G101" s="10">
        <v>4042</v>
      </c>
      <c r="H101" s="132">
        <v>46149</v>
      </c>
      <c r="I101" s="143">
        <f t="array" ref="I101">INDEX([24]perbandingan!$H$24:$H$231,MATCH(1,([24]perbandingan!$E$24:$E$231=$D101)*([24]perbandingan!$E$24:$E$231=$D101),0))</f>
        <v>667</v>
      </c>
      <c r="J101" s="9">
        <f t="array" ref="J101">IFERROR(I101/G101*100,0)</f>
        <v>16.501731815932708</v>
      </c>
      <c r="K101" s="143">
        <f t="array" ref="K101">INDEX([24]perbandingan!$L$24:$L$231,MATCH(1,([24]perbandingan!$E$24:$E$231=$D101)*([24]perbandingan!$E$24:$E$231=$D101),0))</f>
        <v>77</v>
      </c>
      <c r="L101" s="9">
        <f t="shared" si="2"/>
        <v>11.544227886056973</v>
      </c>
      <c r="M101" s="8" t="str">
        <f t="array" ref="M101">IF(L101&gt;5,"Perlu Pengendalian",IF(AND(L101&gt;=0,I101&gt;0),"Tidak Perlu Pengendalian","Belum Sensus"))</f>
        <v>Perlu Pengendalian</v>
      </c>
      <c r="N101" s="143">
        <f t="array" ref="N101">INDEX([24]perbandingan!$J$24:$J$231,MATCH(1,([24]perbandingan!$E$24:$E$231=$D101)*([24]perbandingan!$E$24:$E$231=$D101),0))</f>
        <v>139</v>
      </c>
      <c r="O101" s="9">
        <f t="array" ref="O101">IFERROR(N101/I101*100,0)</f>
        <v>20.839580209895054</v>
      </c>
    </row>
    <row r="102" spans="1:15" outlineLevel="1" x14ac:dyDescent="0.15">
      <c r="A102" s="8" t="s">
        <v>1273</v>
      </c>
      <c r="B102" s="8" t="s">
        <v>14</v>
      </c>
      <c r="C102" s="8" t="s">
        <v>107</v>
      </c>
      <c r="D102" s="8" t="s">
        <v>1009</v>
      </c>
      <c r="E102" s="9">
        <v>30.12</v>
      </c>
      <c r="F102" s="8" t="s">
        <v>1740</v>
      </c>
      <c r="G102" s="10">
        <v>3982</v>
      </c>
      <c r="H102" s="132">
        <v>46149</v>
      </c>
      <c r="I102" s="143">
        <f t="array" ref="I102">INDEX([24]perbandingan!$H$24:$H$231,MATCH(1,([24]perbandingan!$E$24:$E$231=$D102)*([24]perbandingan!$E$24:$E$231=$D102),0))</f>
        <v>781</v>
      </c>
      <c r="J102" s="9">
        <f t="array" ref="J102">IFERROR(I102/G102*100,0)</f>
        <v>19.613259668508288</v>
      </c>
      <c r="K102" s="143">
        <f t="array" ref="K102">INDEX([24]perbandingan!$L$24:$L$231,MATCH(1,([24]perbandingan!$E$24:$E$231=$D102)*([24]perbandingan!$E$24:$E$231=$D102),0))</f>
        <v>106</v>
      </c>
      <c r="L102" s="9">
        <f t="shared" si="2"/>
        <v>13.572343149807939</v>
      </c>
      <c r="M102" s="8" t="str">
        <f t="array" ref="M102">IF(L102&gt;5,"Perlu Pengendalian",IF(AND(L102&gt;=0,I102&gt;0),"Tidak Perlu Pengendalian","Belum Sensus"))</f>
        <v>Perlu Pengendalian</v>
      </c>
      <c r="N102" s="143">
        <f t="array" ref="N102">INDEX([24]perbandingan!$J$24:$J$231,MATCH(1,([24]perbandingan!$E$24:$E$231=$D102)*([24]perbandingan!$E$24:$E$231=$D102),0))</f>
        <v>146</v>
      </c>
      <c r="O102" s="9">
        <f t="array" ref="O102">IFERROR(N102/I102*100,0)</f>
        <v>18.693982074263765</v>
      </c>
    </row>
    <row r="103" spans="1:15" outlineLevel="1" x14ac:dyDescent="0.15">
      <c r="A103" s="8" t="s">
        <v>1273</v>
      </c>
      <c r="B103" s="8" t="s">
        <v>14</v>
      </c>
      <c r="C103" s="8" t="s">
        <v>107</v>
      </c>
      <c r="D103" s="8" t="s">
        <v>1367</v>
      </c>
      <c r="E103" s="9">
        <v>30.54</v>
      </c>
      <c r="F103" s="8" t="s">
        <v>1740</v>
      </c>
      <c r="G103" s="10">
        <v>3937</v>
      </c>
      <c r="H103" s="132">
        <v>46149</v>
      </c>
      <c r="I103" s="143">
        <f t="array" ref="I103">INDEX([24]perbandingan!$H$24:$H$231,MATCH(1,([24]perbandingan!$E$24:$E$231=$D103)*([24]perbandingan!$E$24:$E$231=$D103),0))</f>
        <v>840</v>
      </c>
      <c r="J103" s="9">
        <f t="array" ref="J103">IFERROR(I103/G103*100,0)</f>
        <v>21.336042672085345</v>
      </c>
      <c r="K103" s="143">
        <f t="array" ref="K103">INDEX([24]perbandingan!$L$24:$L$231,MATCH(1,([24]perbandingan!$E$24:$E$231=$D103)*([24]perbandingan!$E$24:$E$231=$D103),0))</f>
        <v>44</v>
      </c>
      <c r="L103" s="9">
        <f t="shared" si="2"/>
        <v>5.2380952380952381</v>
      </c>
      <c r="M103" s="8" t="str">
        <f t="array" ref="M103">IF(L103&gt;5,"Perlu Pengendalian",IF(AND(L103&gt;=0,I103&gt;0),"Tidak Perlu Pengendalian","Belum Sensus"))</f>
        <v>Perlu Pengendalian</v>
      </c>
      <c r="N103" s="143">
        <f t="array" ref="N103">INDEX([24]perbandingan!$J$24:$J$231,MATCH(1,([24]perbandingan!$E$24:$E$231=$D103)*([24]perbandingan!$E$24:$E$231=$D103),0))</f>
        <v>222</v>
      </c>
      <c r="O103" s="9">
        <f t="array" ref="O103">IFERROR(N103/I103*100,0)</f>
        <v>26.428571428571431</v>
      </c>
    </row>
    <row r="104" spans="1:15" outlineLevel="1" x14ac:dyDescent="0.15">
      <c r="A104" s="8" t="s">
        <v>1273</v>
      </c>
      <c r="B104" s="8" t="s">
        <v>14</v>
      </c>
      <c r="C104" s="8" t="s">
        <v>107</v>
      </c>
      <c r="D104" s="8" t="s">
        <v>1368</v>
      </c>
      <c r="E104" s="9">
        <v>30.27</v>
      </c>
      <c r="F104" s="8" t="s">
        <v>1740</v>
      </c>
      <c r="G104" s="10">
        <v>4018</v>
      </c>
      <c r="H104" s="132">
        <v>46149</v>
      </c>
      <c r="I104" s="143">
        <f t="array" ref="I104">INDEX([24]perbandingan!$H$24:$H$231,MATCH(1,([24]perbandingan!$E$24:$E$231=$D104)*([24]perbandingan!$E$24:$E$231=$D104),0))</f>
        <v>840</v>
      </c>
      <c r="J104" s="9">
        <f t="array" ref="J104">IFERROR(I104/G104*100,0)</f>
        <v>20.905923344947734</v>
      </c>
      <c r="K104" s="143">
        <f t="array" ref="K104">INDEX([24]perbandingan!$L$24:$L$231,MATCH(1,([24]perbandingan!$E$24:$E$231=$D104)*([24]perbandingan!$E$24:$E$231=$D104),0))</f>
        <v>45</v>
      </c>
      <c r="L104" s="9">
        <f t="shared" si="2"/>
        <v>5.3571428571428568</v>
      </c>
      <c r="M104" s="8" t="str">
        <f t="array" ref="M104">IF(L104&gt;5,"Perlu Pengendalian",IF(AND(L104&gt;=0,I104&gt;0),"Tidak Perlu Pengendalian","Belum Sensus"))</f>
        <v>Perlu Pengendalian</v>
      </c>
      <c r="N104" s="143">
        <f t="array" ref="N104">INDEX([24]perbandingan!$J$24:$J$231,MATCH(1,([24]perbandingan!$E$24:$E$231=$D104)*([24]perbandingan!$E$24:$E$231=$D104),0))</f>
        <v>327</v>
      </c>
      <c r="O104" s="9">
        <f t="array" ref="O104">IFERROR(N104/I104*100,0)</f>
        <v>38.928571428571431</v>
      </c>
    </row>
    <row r="105" spans="1:15" outlineLevel="1" x14ac:dyDescent="0.15">
      <c r="A105" s="8" t="s">
        <v>1273</v>
      </c>
      <c r="B105" s="8" t="s">
        <v>14</v>
      </c>
      <c r="C105" s="8" t="s">
        <v>107</v>
      </c>
      <c r="D105" s="8" t="s">
        <v>1369</v>
      </c>
      <c r="E105" s="9">
        <v>29.99</v>
      </c>
      <c r="F105" s="8" t="s">
        <v>1740</v>
      </c>
      <c r="G105" s="10">
        <v>3855</v>
      </c>
      <c r="H105" s="132">
        <v>46149</v>
      </c>
      <c r="I105" s="143">
        <f t="array" ref="I105">INDEX([24]perbandingan!$H$24:$H$231,MATCH(1,([24]perbandingan!$E$24:$E$231=$D105)*([24]perbandingan!$E$24:$E$231=$D105),0))</f>
        <v>802</v>
      </c>
      <c r="J105" s="9">
        <f t="array" ref="J105">IFERROR(I105/G105*100,0)</f>
        <v>20.804150453955902</v>
      </c>
      <c r="K105" s="143">
        <f t="array" ref="K105">INDEX([24]perbandingan!$L$24:$L$231,MATCH(1,([24]perbandingan!$E$24:$E$231=$D105)*([24]perbandingan!$E$24:$E$231=$D105),0))</f>
        <v>66</v>
      </c>
      <c r="L105" s="9">
        <f t="shared" si="2"/>
        <v>8.2294264339152114</v>
      </c>
      <c r="M105" s="8" t="str">
        <f t="array" ref="M105">IF(L105&gt;5,"Perlu Pengendalian",IF(AND(L105&gt;=0,I105&gt;0),"Tidak Perlu Pengendalian","Belum Sensus"))</f>
        <v>Perlu Pengendalian</v>
      </c>
      <c r="N105" s="143">
        <f t="array" ref="N105">INDEX([24]perbandingan!$J$24:$J$231,MATCH(1,([24]perbandingan!$E$24:$E$231=$D105)*([24]perbandingan!$E$24:$E$231=$D105),0))</f>
        <v>144</v>
      </c>
      <c r="O105" s="9">
        <f t="array" ref="O105">IFERROR(N105/I105*100,0)</f>
        <v>17.955112219451372</v>
      </c>
    </row>
    <row r="106" spans="1:15" outlineLevel="1" x14ac:dyDescent="0.15">
      <c r="A106" s="8" t="s">
        <v>1273</v>
      </c>
      <c r="B106" s="8" t="s">
        <v>14</v>
      </c>
      <c r="C106" s="8" t="s">
        <v>107</v>
      </c>
      <c r="D106" s="8" t="s">
        <v>1370</v>
      </c>
      <c r="E106" s="9">
        <v>30.43</v>
      </c>
      <c r="F106" s="8" t="s">
        <v>1740</v>
      </c>
      <c r="G106" s="10">
        <v>4231</v>
      </c>
      <c r="H106" s="132">
        <v>46149</v>
      </c>
      <c r="I106" s="143">
        <f t="array" ref="I106">INDEX([24]perbandingan!$H$24:$H$231,MATCH(1,([24]perbandingan!$E$24:$E$231=$D106)*([24]perbandingan!$E$24:$E$231=$D106),0))</f>
        <v>776</v>
      </c>
      <c r="J106" s="9">
        <f t="array" ref="J106">IFERROR(I106/G106*100,0)</f>
        <v>18.340817773575989</v>
      </c>
      <c r="K106" s="143">
        <f t="array" ref="K106">INDEX([24]perbandingan!$L$24:$L$231,MATCH(1,([24]perbandingan!$E$24:$E$231=$D106)*([24]perbandingan!$E$24:$E$231=$D106),0))</f>
        <v>40</v>
      </c>
      <c r="L106" s="9">
        <f t="shared" si="2"/>
        <v>5.1546391752577314</v>
      </c>
      <c r="M106" s="8" t="str">
        <f t="array" ref="M106">IF(L106&gt;5,"Perlu Pengendalian",IF(AND(L106&gt;=0,I106&gt;0),"Tidak Perlu Pengendalian","Belum Sensus"))</f>
        <v>Perlu Pengendalian</v>
      </c>
      <c r="N106" s="143">
        <f t="array" ref="N106">INDEX([24]perbandingan!$J$24:$J$231,MATCH(1,([24]perbandingan!$E$24:$E$231=$D106)*([24]perbandingan!$E$24:$E$231=$D106),0))</f>
        <v>124</v>
      </c>
      <c r="O106" s="9">
        <f t="array" ref="O106">IFERROR(N106/I106*100,0)</f>
        <v>15.979381443298967</v>
      </c>
    </row>
    <row r="107" spans="1:15" outlineLevel="1" x14ac:dyDescent="0.15">
      <c r="A107" s="8" t="s">
        <v>1273</v>
      </c>
      <c r="B107" s="8" t="s">
        <v>14</v>
      </c>
      <c r="C107" s="8" t="s">
        <v>107</v>
      </c>
      <c r="D107" s="8" t="s">
        <v>1371</v>
      </c>
      <c r="E107" s="9">
        <v>28.14</v>
      </c>
      <c r="F107" s="8" t="s">
        <v>1740</v>
      </c>
      <c r="G107" s="10">
        <v>3720</v>
      </c>
      <c r="H107" s="132">
        <v>46149</v>
      </c>
      <c r="I107" s="143">
        <f t="array" ref="I107">INDEX([24]perbandingan!$H$24:$H$231,MATCH(1,([24]perbandingan!$E$24:$E$231=$D107)*([24]perbandingan!$E$24:$E$231=$D107),0))</f>
        <v>704</v>
      </c>
      <c r="J107" s="9">
        <f t="array" ref="J107">IFERROR(I107/G107*100,0)</f>
        <v>18.9247311827957</v>
      </c>
      <c r="K107" s="143">
        <f t="array" ref="K107">INDEX([24]perbandingan!$L$24:$L$231,MATCH(1,([24]perbandingan!$E$24:$E$231=$D107)*([24]perbandingan!$E$24:$E$231=$D107),0))</f>
        <v>43</v>
      </c>
      <c r="L107" s="9">
        <f t="shared" si="2"/>
        <v>6.1079545454545459</v>
      </c>
      <c r="M107" s="8" t="str">
        <f t="array" ref="M107">IF(L107&gt;5,"Perlu Pengendalian",IF(AND(L107&gt;=0,I107&gt;0),"Tidak Perlu Pengendalian","Belum Sensus"))</f>
        <v>Perlu Pengendalian</v>
      </c>
      <c r="N107" s="143">
        <f t="array" ref="N107">INDEX([24]perbandingan!$J$24:$J$231,MATCH(1,([24]perbandingan!$E$24:$E$231=$D107)*([24]perbandingan!$E$24:$E$231=$D107),0))</f>
        <v>163</v>
      </c>
      <c r="O107" s="9">
        <f t="array" ref="O107">IFERROR(N107/I107*100,0)</f>
        <v>23.15340909090909</v>
      </c>
    </row>
    <row r="108" spans="1:15" outlineLevel="1" x14ac:dyDescent="0.15">
      <c r="A108" s="8" t="s">
        <v>1273</v>
      </c>
      <c r="B108" s="8" t="s">
        <v>14</v>
      </c>
      <c r="C108" s="8" t="s">
        <v>107</v>
      </c>
      <c r="D108" s="8" t="s">
        <v>1372</v>
      </c>
      <c r="E108" s="9">
        <v>30.13</v>
      </c>
      <c r="F108" s="8" t="s">
        <v>1740</v>
      </c>
      <c r="G108" s="10">
        <v>3993</v>
      </c>
      <c r="H108" s="132">
        <v>46149</v>
      </c>
      <c r="I108" s="143">
        <f t="array" ref="I108">INDEX([24]perbandingan!$H$24:$H$231,MATCH(1,([24]perbandingan!$E$24:$E$231=$D108)*([24]perbandingan!$E$24:$E$231=$D108),0))</f>
        <v>780</v>
      </c>
      <c r="J108" s="9">
        <f t="array" ref="J108">IFERROR(I108/G108*100,0)</f>
        <v>19.534184823441024</v>
      </c>
      <c r="K108" s="143">
        <f t="array" ref="K108">INDEX([24]perbandingan!$L$24:$L$231,MATCH(1,([24]perbandingan!$E$24:$E$231=$D108)*([24]perbandingan!$E$24:$E$231=$D108),0))</f>
        <v>64</v>
      </c>
      <c r="L108" s="9">
        <f t="shared" si="2"/>
        <v>8.2051282051282044</v>
      </c>
      <c r="M108" s="8" t="str">
        <f t="array" ref="M108">IF(L108&gt;5,"Perlu Pengendalian",IF(AND(L108&gt;=0,I108&gt;0),"Tidak Perlu Pengendalian","Belum Sensus"))</f>
        <v>Perlu Pengendalian</v>
      </c>
      <c r="N108" s="143">
        <f t="array" ref="N108">INDEX([24]perbandingan!$J$24:$J$231,MATCH(1,([24]perbandingan!$E$24:$E$231=$D108)*([24]perbandingan!$E$24:$E$231=$D108),0))</f>
        <v>110</v>
      </c>
      <c r="O108" s="9">
        <f t="array" ref="O108">IFERROR(N108/I108*100,0)</f>
        <v>14.102564102564102</v>
      </c>
    </row>
    <row r="109" spans="1:15" outlineLevel="1" x14ac:dyDescent="0.15">
      <c r="A109" s="8" t="s">
        <v>1273</v>
      </c>
      <c r="B109" s="8" t="s">
        <v>14</v>
      </c>
      <c r="C109" s="8" t="s">
        <v>107</v>
      </c>
      <c r="D109" s="8" t="s">
        <v>1373</v>
      </c>
      <c r="E109" s="9">
        <v>29.45</v>
      </c>
      <c r="F109" s="8" t="s">
        <v>1740</v>
      </c>
      <c r="G109" s="10">
        <v>3906</v>
      </c>
      <c r="H109" s="132">
        <v>46153</v>
      </c>
      <c r="I109" s="143">
        <f t="array" ref="I109">INDEX([24]perbandingan!$H$24:$H$231,MATCH(1,([24]perbandingan!$E$24:$E$231=$D109)*([24]perbandingan!$E$24:$E$231=$D109),0))</f>
        <v>130</v>
      </c>
      <c r="J109" s="9">
        <f t="array" ref="J109">IFERROR(I109/G109*100,0)</f>
        <v>3.3282130056323607</v>
      </c>
      <c r="K109" s="143">
        <f t="array" ref="K109">INDEX([24]perbandingan!$L$24:$L$231,MATCH(1,([24]perbandingan!$E$24:$E$231=$D109)*([24]perbandingan!$E$24:$E$231=$D109),0))</f>
        <v>16</v>
      </c>
      <c r="L109" s="9">
        <f t="shared" si="2"/>
        <v>12.307692307692308</v>
      </c>
      <c r="M109" s="8" t="str">
        <f t="array" ref="M109">IF(L109&gt;5,"Perlu Pengendalian",IF(AND(L109&gt;=0,I109&gt;0),"Tidak Perlu Pengendalian","Belum Sensus"))</f>
        <v>Perlu Pengendalian</v>
      </c>
      <c r="N109" s="143">
        <f t="array" ref="N109">INDEX([24]perbandingan!$J$24:$J$231,MATCH(1,([24]perbandingan!$E$24:$E$231=$D109)*([24]perbandingan!$E$24:$E$231=$D109),0))</f>
        <v>20</v>
      </c>
      <c r="O109" s="9">
        <f t="array" ref="O109">IFERROR(N109/I109*100,0)</f>
        <v>15.384615384615385</v>
      </c>
    </row>
    <row r="110" spans="1:15" outlineLevel="1" x14ac:dyDescent="0.15">
      <c r="A110" s="8" t="s">
        <v>1273</v>
      </c>
      <c r="B110" s="8" t="s">
        <v>14</v>
      </c>
      <c r="C110" s="8" t="s">
        <v>107</v>
      </c>
      <c r="D110" s="8" t="s">
        <v>1374</v>
      </c>
      <c r="E110" s="9">
        <v>31.32</v>
      </c>
      <c r="F110" s="8" t="s">
        <v>1740</v>
      </c>
      <c r="G110" s="10">
        <v>3778</v>
      </c>
      <c r="H110" s="132">
        <v>46153</v>
      </c>
      <c r="I110" s="143">
        <f t="array" ref="I110">INDEX([24]perbandingan!$H$24:$H$231,MATCH(1,([24]perbandingan!$E$24:$E$231=$D110)*([24]perbandingan!$E$24:$E$231=$D110),0))</f>
        <v>884</v>
      </c>
      <c r="J110" s="9">
        <f t="array" ref="J110">IFERROR(I110/G110*100,0)</f>
        <v>23.398623610375861</v>
      </c>
      <c r="K110" s="143">
        <f t="array" ref="K110">INDEX([24]perbandingan!$L$24:$L$231,MATCH(1,([24]perbandingan!$E$24:$E$231=$D110)*([24]perbandingan!$E$24:$E$231=$D110),0))</f>
        <v>80</v>
      </c>
      <c r="L110" s="9">
        <f t="shared" si="2"/>
        <v>9.0497737556561084</v>
      </c>
      <c r="M110" s="8" t="str">
        <f t="array" ref="M110">IF(L110&gt;5,"Perlu Pengendalian",IF(AND(L110&gt;=0,I110&gt;0),"Tidak Perlu Pengendalian","Belum Sensus"))</f>
        <v>Perlu Pengendalian</v>
      </c>
      <c r="N110" s="143">
        <f t="array" ref="N110">INDEX([24]perbandingan!$J$24:$J$231,MATCH(1,([24]perbandingan!$E$24:$E$231=$D110)*([24]perbandingan!$E$24:$E$231=$D110),0))</f>
        <v>163</v>
      </c>
      <c r="O110" s="9">
        <f t="array" ref="O110">IFERROR(N110/I110*100,0)</f>
        <v>18.438914027149323</v>
      </c>
    </row>
    <row r="111" spans="1:15" outlineLevel="1" x14ac:dyDescent="0.15">
      <c r="A111" s="8" t="s">
        <v>1273</v>
      </c>
      <c r="B111" s="8" t="s">
        <v>14</v>
      </c>
      <c r="C111" s="8" t="s">
        <v>107</v>
      </c>
      <c r="D111" s="8" t="s">
        <v>1375</v>
      </c>
      <c r="E111" s="9">
        <v>31.56</v>
      </c>
      <c r="F111" s="8" t="s">
        <v>1740</v>
      </c>
      <c r="G111" s="10">
        <v>4203</v>
      </c>
      <c r="H111" s="132">
        <v>46153</v>
      </c>
      <c r="I111" s="143">
        <f t="array" ref="I111">INDEX([24]perbandingan!$H$24:$H$231,MATCH(1,([24]perbandingan!$E$24:$E$231=$D111)*([24]perbandingan!$E$24:$E$231=$D111),0))</f>
        <v>986</v>
      </c>
      <c r="J111" s="9">
        <f t="array" ref="J111">IFERROR(I111/G111*100,0)</f>
        <v>23.459433737806329</v>
      </c>
      <c r="K111" s="143">
        <f t="array" ref="K111">INDEX([24]perbandingan!$L$24:$L$231,MATCH(1,([24]perbandingan!$E$24:$E$231=$D111)*([24]perbandingan!$E$24:$E$231=$D111),0))</f>
        <v>78</v>
      </c>
      <c r="L111" s="9">
        <f t="shared" si="2"/>
        <v>7.9107505070993911</v>
      </c>
      <c r="M111" s="8" t="str">
        <f t="array" ref="M111">IF(L111&gt;5,"Perlu Pengendalian",IF(AND(L111&gt;=0,I111&gt;0),"Tidak Perlu Pengendalian","Belum Sensus"))</f>
        <v>Perlu Pengendalian</v>
      </c>
      <c r="N111" s="143">
        <f t="array" ref="N111">INDEX([24]perbandingan!$J$24:$J$231,MATCH(1,([24]perbandingan!$E$24:$E$231=$D111)*([24]perbandingan!$E$24:$E$231=$D111),0))</f>
        <v>167</v>
      </c>
      <c r="O111" s="9">
        <f t="array" ref="O111">IFERROR(N111/I111*100,0)</f>
        <v>16.937119675456387</v>
      </c>
    </row>
    <row r="112" spans="1:15" outlineLevel="1" x14ac:dyDescent="0.15">
      <c r="A112" s="8" t="s">
        <v>1273</v>
      </c>
      <c r="B112" s="8" t="s">
        <v>14</v>
      </c>
      <c r="C112" s="8" t="s">
        <v>107</v>
      </c>
      <c r="D112" s="8" t="s">
        <v>1005</v>
      </c>
      <c r="E112" s="9">
        <v>32.85</v>
      </c>
      <c r="F112" s="8" t="s">
        <v>1740</v>
      </c>
      <c r="G112" s="10">
        <v>4379</v>
      </c>
      <c r="H112" s="132">
        <v>46149</v>
      </c>
      <c r="I112" s="143">
        <f t="array" ref="I112">INDEX([24]perbandingan!$H$24:$H$231,MATCH(1,([24]perbandingan!$E$24:$E$231=$D112)*([24]perbandingan!$E$24:$E$231=$D112),0))</f>
        <v>958</v>
      </c>
      <c r="J112" s="9">
        <f t="array" ref="J112">IFERROR(I112/G112*100,0)</f>
        <v>21.877140899748802</v>
      </c>
      <c r="K112" s="143">
        <f t="array" ref="K112">INDEX([24]perbandingan!$L$24:$L$231,MATCH(1,([24]perbandingan!$E$24:$E$231=$D112)*([24]perbandingan!$E$24:$E$231=$D112),0))</f>
        <v>53</v>
      </c>
      <c r="L112" s="9">
        <f t="shared" si="2"/>
        <v>5.5323590814196244</v>
      </c>
      <c r="M112" s="8" t="str">
        <f t="array" ref="M112">IF(L112&gt;5,"Perlu Pengendalian",IF(AND(L112&gt;=0,I112&gt;0),"Tidak Perlu Pengendalian","Belum Sensus"))</f>
        <v>Perlu Pengendalian</v>
      </c>
      <c r="N112" s="143">
        <f t="array" ref="N112">INDEX([24]perbandingan!$J$24:$J$231,MATCH(1,([24]perbandingan!$E$24:$E$231=$D112)*([24]perbandingan!$E$24:$E$231=$D112),0))</f>
        <v>238</v>
      </c>
      <c r="O112" s="9">
        <f t="array" ref="O112">IFERROR(N112/I112*100,0)</f>
        <v>24.843423799582464</v>
      </c>
    </row>
    <row r="113" spans="1:15" outlineLevel="1" x14ac:dyDescent="0.15">
      <c r="A113" s="8" t="s">
        <v>1273</v>
      </c>
      <c r="B113" s="8" t="s">
        <v>14</v>
      </c>
      <c r="C113" s="8" t="s">
        <v>107</v>
      </c>
      <c r="D113" s="8" t="s">
        <v>1376</v>
      </c>
      <c r="E113" s="9">
        <v>30.4</v>
      </c>
      <c r="F113" s="8" t="s">
        <v>1740</v>
      </c>
      <c r="G113" s="10">
        <v>4271</v>
      </c>
      <c r="H113" s="132">
        <v>46149</v>
      </c>
      <c r="I113" s="143">
        <f t="array" ref="I113">INDEX([24]perbandingan!$H$24:$H$231,MATCH(1,([24]perbandingan!$E$24:$E$231=$D113)*([24]perbandingan!$E$24:$E$231=$D113),0))</f>
        <v>390</v>
      </c>
      <c r="J113" s="9">
        <f t="array" ref="J113">IFERROR(I113/G113*100,0)</f>
        <v>9.1313509716693986</v>
      </c>
      <c r="K113" s="143">
        <f t="array" ref="K113">INDEX([24]perbandingan!$L$24:$L$231,MATCH(1,([24]perbandingan!$E$24:$E$231=$D113)*([24]perbandingan!$E$24:$E$231=$D113),0))</f>
        <v>23</v>
      </c>
      <c r="L113" s="9">
        <f t="shared" si="2"/>
        <v>5.8974358974358969</v>
      </c>
      <c r="M113" s="8" t="str">
        <f t="array" ref="M113">IF(L113&gt;5,"Perlu Pengendalian",IF(AND(L113&gt;=0,I113&gt;0),"Tidak Perlu Pengendalian","Belum Sensus"))</f>
        <v>Perlu Pengendalian</v>
      </c>
      <c r="N113" s="143">
        <f t="array" ref="N113">INDEX([24]perbandingan!$J$24:$J$231,MATCH(1,([24]perbandingan!$E$24:$E$231=$D113)*([24]perbandingan!$E$24:$E$231=$D113),0))</f>
        <v>46</v>
      </c>
      <c r="O113" s="9">
        <f t="array" ref="O113">IFERROR(N113/I113*100,0)</f>
        <v>11.794871794871794</v>
      </c>
    </row>
    <row r="114" spans="1:15" outlineLevel="1" x14ac:dyDescent="0.15">
      <c r="A114" s="8" t="s">
        <v>1273</v>
      </c>
      <c r="B114" s="8" t="s">
        <v>14</v>
      </c>
      <c r="C114" s="8" t="s">
        <v>107</v>
      </c>
      <c r="D114" s="8" t="s">
        <v>1377</v>
      </c>
      <c r="E114" s="9">
        <v>27.18</v>
      </c>
      <c r="F114" s="8" t="s">
        <v>1740</v>
      </c>
      <c r="G114" s="10">
        <v>3768</v>
      </c>
      <c r="H114" s="132">
        <v>46149</v>
      </c>
      <c r="I114" s="143">
        <f t="array" ref="I114">INDEX([24]perbandingan!$H$24:$H$231,MATCH(1,([24]perbandingan!$E$24:$E$231=$D114)*([24]perbandingan!$E$24:$E$231=$D114),0))</f>
        <v>760</v>
      </c>
      <c r="J114" s="9">
        <f t="array" ref="J114">IFERROR(I114/G114*100,0)</f>
        <v>20.169851380042463</v>
      </c>
      <c r="K114" s="143">
        <f t="array" ref="K114">INDEX([24]perbandingan!$L$24:$L$231,MATCH(1,([24]perbandingan!$E$24:$E$231=$D114)*([24]perbandingan!$E$24:$E$231=$D114),0))</f>
        <v>78</v>
      </c>
      <c r="L114" s="9">
        <f t="shared" si="2"/>
        <v>10.263157894736842</v>
      </c>
      <c r="M114" s="8" t="str">
        <f t="array" ref="M114">IF(L114&gt;5,"Perlu Pengendalian",IF(AND(L114&gt;=0,I114&gt;0),"Tidak Perlu Pengendalian","Belum Sensus"))</f>
        <v>Perlu Pengendalian</v>
      </c>
      <c r="N114" s="143">
        <f t="array" ref="N114">INDEX([24]perbandingan!$J$24:$J$231,MATCH(1,([24]perbandingan!$E$24:$E$231=$D114)*([24]perbandingan!$E$24:$E$231=$D114),0))</f>
        <v>180</v>
      </c>
      <c r="O114" s="9">
        <f t="array" ref="O114">IFERROR(N114/I114*100,0)</f>
        <v>23.684210526315788</v>
      </c>
    </row>
    <row r="115" spans="1:15" outlineLevel="1" x14ac:dyDescent="0.15">
      <c r="A115" s="8" t="s">
        <v>1273</v>
      </c>
      <c r="B115" s="8" t="s">
        <v>14</v>
      </c>
      <c r="C115" s="8" t="s">
        <v>107</v>
      </c>
      <c r="D115" s="8" t="s">
        <v>1378</v>
      </c>
      <c r="E115" s="9">
        <v>28.37</v>
      </c>
      <c r="F115" s="8" t="s">
        <v>1740</v>
      </c>
      <c r="G115" s="10">
        <v>3690</v>
      </c>
      <c r="H115" s="132">
        <v>46149</v>
      </c>
      <c r="I115" s="143">
        <f t="array" ref="I115">INDEX([24]perbandingan!$H$24:$H$231,MATCH(1,([24]perbandingan!$E$24:$E$231=$D115)*([24]perbandingan!$E$24:$E$231=$D115),0))</f>
        <v>726</v>
      </c>
      <c r="J115" s="9">
        <f t="array" ref="J115">IFERROR(I115/G115*100,0)</f>
        <v>19.674796747967481</v>
      </c>
      <c r="K115" s="143">
        <f t="array" ref="K115">INDEX([24]perbandingan!$L$24:$L$231,MATCH(1,([24]perbandingan!$E$24:$E$231=$D115)*([24]perbandingan!$E$24:$E$231=$D115),0))</f>
        <v>64</v>
      </c>
      <c r="L115" s="9">
        <f t="shared" si="2"/>
        <v>8.8154269972451793</v>
      </c>
      <c r="M115" s="8" t="str">
        <f t="array" ref="M115">IF(L115&gt;5,"Perlu Pengendalian",IF(AND(L115&gt;=0,I115&gt;0),"Tidak Perlu Pengendalian","Belum Sensus"))</f>
        <v>Perlu Pengendalian</v>
      </c>
      <c r="N115" s="143">
        <f t="array" ref="N115">INDEX([24]perbandingan!$J$24:$J$231,MATCH(1,([24]perbandingan!$E$24:$E$231=$D115)*([24]perbandingan!$E$24:$E$231=$D115),0))</f>
        <v>109</v>
      </c>
      <c r="O115" s="9">
        <f t="array" ref="O115">IFERROR(N115/I115*100,0)</f>
        <v>15.013774104683195</v>
      </c>
    </row>
    <row r="116" spans="1:15" outlineLevel="1" x14ac:dyDescent="0.15">
      <c r="A116" s="8" t="s">
        <v>1273</v>
      </c>
      <c r="B116" s="8" t="s">
        <v>14</v>
      </c>
      <c r="C116" s="8" t="s">
        <v>107</v>
      </c>
      <c r="D116" s="8" t="s">
        <v>1379</v>
      </c>
      <c r="E116" s="9">
        <v>28.18</v>
      </c>
      <c r="F116" s="8" t="s">
        <v>1740</v>
      </c>
      <c r="G116" s="10">
        <v>3692</v>
      </c>
      <c r="H116" s="132">
        <v>46153</v>
      </c>
      <c r="I116" s="143">
        <f t="array" ref="I116">INDEX([24]perbandingan!$H$24:$H$231,MATCH(1,([24]perbandingan!$E$24:$E$231=$D116)*([24]perbandingan!$E$24:$E$231=$D116),0))</f>
        <v>736</v>
      </c>
      <c r="J116" s="9">
        <f t="array" ref="J116">IFERROR(I116/G116*100,0)</f>
        <v>19.934994582881906</v>
      </c>
      <c r="K116" s="143">
        <f t="array" ref="K116">INDEX([24]perbandingan!$L$24:$L$231,MATCH(1,([24]perbandingan!$E$24:$E$231=$D116)*([24]perbandingan!$E$24:$E$231=$D116),0))</f>
        <v>55</v>
      </c>
      <c r="L116" s="9">
        <f t="shared" si="2"/>
        <v>7.4728260869565215</v>
      </c>
      <c r="M116" s="8" t="str">
        <f t="array" ref="M116">IF(L116&gt;5,"Perlu Pengendalian",IF(AND(L116&gt;=0,I116&gt;0),"Tidak Perlu Pengendalian","Belum Sensus"))</f>
        <v>Perlu Pengendalian</v>
      </c>
      <c r="N116" s="143">
        <f t="array" ref="N116">INDEX([24]perbandingan!$J$24:$J$231,MATCH(1,([24]perbandingan!$E$24:$E$231=$D116)*([24]perbandingan!$E$24:$E$231=$D116),0))</f>
        <v>105</v>
      </c>
      <c r="O116" s="9">
        <f t="array" ref="O116">IFERROR(N116/I116*100,0)</f>
        <v>14.266304347826086</v>
      </c>
    </row>
    <row r="117" spans="1:15" outlineLevel="1" x14ac:dyDescent="0.15">
      <c r="A117" s="8" t="s">
        <v>1273</v>
      </c>
      <c r="B117" s="8" t="s">
        <v>14</v>
      </c>
      <c r="C117" s="8" t="s">
        <v>107</v>
      </c>
      <c r="D117" s="8" t="s">
        <v>1380</v>
      </c>
      <c r="E117" s="9">
        <v>29.61</v>
      </c>
      <c r="F117" s="8" t="s">
        <v>1740</v>
      </c>
      <c r="G117" s="10">
        <v>3945</v>
      </c>
      <c r="H117" s="132">
        <v>46153</v>
      </c>
      <c r="I117" s="143">
        <f t="array" ref="I117">INDEX([24]perbandingan!$H$24:$H$231,MATCH(1,([24]perbandingan!$E$24:$E$231=$D117)*([24]perbandingan!$E$24:$E$231=$D117),0))</f>
        <v>812</v>
      </c>
      <c r="J117" s="9">
        <f t="array" ref="J117">IFERROR(I117/G117*100,0)</f>
        <v>20.583016476552597</v>
      </c>
      <c r="K117" s="143">
        <f t="array" ref="K117">INDEX([24]perbandingan!$L$24:$L$231,MATCH(1,([24]perbandingan!$E$24:$E$231=$D117)*([24]perbandingan!$E$24:$E$231=$D117),0))</f>
        <v>151</v>
      </c>
      <c r="L117" s="9">
        <f t="shared" si="2"/>
        <v>18.596059113300491</v>
      </c>
      <c r="M117" s="8" t="str">
        <f t="array" ref="M117">IF(L117&gt;5,"Perlu Pengendalian",IF(AND(L117&gt;=0,I117&gt;0),"Tidak Perlu Pengendalian","Belum Sensus"))</f>
        <v>Perlu Pengendalian</v>
      </c>
      <c r="N117" s="143">
        <f t="array" ref="N117">INDEX([24]perbandingan!$J$24:$J$231,MATCH(1,([24]perbandingan!$E$24:$E$231=$D117)*([24]perbandingan!$E$24:$E$231=$D117),0))</f>
        <v>95</v>
      </c>
      <c r="O117" s="9">
        <f t="array" ref="O117">IFERROR(N117/I117*100,0)</f>
        <v>11.699507389162561</v>
      </c>
    </row>
    <row r="118" spans="1:15" outlineLevel="1" x14ac:dyDescent="0.15">
      <c r="A118" s="8" t="s">
        <v>1273</v>
      </c>
      <c r="B118" s="8" t="s">
        <v>14</v>
      </c>
      <c r="C118" s="8" t="s">
        <v>107</v>
      </c>
      <c r="D118" s="8" t="s">
        <v>1381</v>
      </c>
      <c r="E118" s="9">
        <v>25.09</v>
      </c>
      <c r="F118" s="8" t="s">
        <v>1740</v>
      </c>
      <c r="G118" s="10">
        <v>2955</v>
      </c>
      <c r="H118" s="132">
        <v>46153</v>
      </c>
      <c r="I118" s="143">
        <f t="array" ref="I118">INDEX([24]perbandingan!$H$24:$H$231,MATCH(1,([24]perbandingan!$E$24:$E$231=$D118)*([24]perbandingan!$E$24:$E$231=$D118),0))</f>
        <v>43</v>
      </c>
      <c r="J118" s="9">
        <f t="array" ref="J118">IFERROR(I118/G118*100,0)</f>
        <v>1.4551607445008461</v>
      </c>
      <c r="K118" s="143">
        <f t="array" ref="K118">INDEX([24]perbandingan!$L$24:$L$231,MATCH(1,([24]perbandingan!$E$24:$E$231=$D118)*([24]perbandingan!$E$24:$E$231=$D118),0))</f>
        <v>10</v>
      </c>
      <c r="L118" s="9">
        <f t="shared" si="2"/>
        <v>23.255813953488371</v>
      </c>
      <c r="M118" s="8" t="str">
        <f t="array" ref="M118">IF(L118&gt;5,"Perlu Pengendalian",IF(AND(L118&gt;=0,I118&gt;0),"Tidak Perlu Pengendalian","Belum Sensus"))</f>
        <v>Perlu Pengendalian</v>
      </c>
      <c r="N118" s="143">
        <f t="array" ref="N118">INDEX([24]perbandingan!$J$24:$J$231,MATCH(1,([24]perbandingan!$E$24:$E$231=$D118)*([24]perbandingan!$E$24:$E$231=$D118),0))</f>
        <v>11</v>
      </c>
      <c r="O118" s="9">
        <f t="array" ref="O118">IFERROR(N118/I118*100,0)</f>
        <v>25.581395348837212</v>
      </c>
    </row>
    <row r="119" spans="1:15" outlineLevel="1" x14ac:dyDescent="0.15">
      <c r="A119" s="8" t="s">
        <v>1273</v>
      </c>
      <c r="B119" s="8" t="s">
        <v>14</v>
      </c>
      <c r="C119" s="8" t="s">
        <v>107</v>
      </c>
      <c r="D119" s="8" t="s">
        <v>1382</v>
      </c>
      <c r="E119" s="9">
        <v>26.55</v>
      </c>
      <c r="F119" s="8" t="s">
        <v>1740</v>
      </c>
      <c r="G119" s="10">
        <v>3207</v>
      </c>
      <c r="H119" s="132">
        <v>46153</v>
      </c>
      <c r="I119" s="143">
        <f t="array" ref="I119">INDEX([24]perbandingan!$H$24:$H$231,MATCH(1,([24]perbandingan!$E$24:$E$231=$D119)*([24]perbandingan!$E$24:$E$231=$D119),0))</f>
        <v>616</v>
      </c>
      <c r="J119" s="9">
        <f t="array" ref="J119">IFERROR(I119/G119*100,0)</f>
        <v>19.207982538197694</v>
      </c>
      <c r="K119" s="143">
        <f t="array" ref="K119">INDEX([24]perbandingan!$L$24:$L$231,MATCH(1,([24]perbandingan!$E$24:$E$231=$D119)*([24]perbandingan!$E$24:$E$231=$D119),0))</f>
        <v>185</v>
      </c>
      <c r="L119" s="9">
        <f t="shared" si="2"/>
        <v>30.032467532467532</v>
      </c>
      <c r="M119" s="8" t="str">
        <f t="array" ref="M119">IF(L119&gt;5,"Perlu Pengendalian",IF(AND(L119&gt;=0,I119&gt;0),"Tidak Perlu Pengendalian","Belum Sensus"))</f>
        <v>Perlu Pengendalian</v>
      </c>
      <c r="N119" s="143">
        <f t="array" ref="N119">INDEX([24]perbandingan!$J$24:$J$231,MATCH(1,([24]perbandingan!$E$24:$E$231=$D119)*([24]perbandingan!$E$24:$E$231=$D119),0))</f>
        <v>64</v>
      </c>
      <c r="O119" s="9">
        <f t="array" ref="O119">IFERROR(N119/I119*100,0)</f>
        <v>10.38961038961039</v>
      </c>
    </row>
    <row r="120" spans="1:15" outlineLevel="1" x14ac:dyDescent="0.15">
      <c r="A120" s="8" t="s">
        <v>1273</v>
      </c>
      <c r="B120" s="8" t="s">
        <v>14</v>
      </c>
      <c r="C120" s="8" t="s">
        <v>107</v>
      </c>
      <c r="D120" s="8" t="s">
        <v>1383</v>
      </c>
      <c r="E120" s="9">
        <v>28.38</v>
      </c>
      <c r="F120" s="8" t="s">
        <v>1740</v>
      </c>
      <c r="G120" s="10">
        <v>3523</v>
      </c>
      <c r="H120" s="132">
        <v>46153</v>
      </c>
      <c r="I120" s="143">
        <f t="array" ref="I120">INDEX([24]perbandingan!$H$24:$H$231,MATCH(1,([24]perbandingan!$E$24:$E$231=$D120)*([24]perbandingan!$E$24:$E$231=$D120),0))</f>
        <v>829</v>
      </c>
      <c r="J120" s="9">
        <f t="array" ref="J120">IFERROR(I120/G120*100,0)</f>
        <v>23.531081464660801</v>
      </c>
      <c r="K120" s="143">
        <f t="array" ref="K120">INDEX([24]perbandingan!$L$24:$L$231,MATCH(1,([24]perbandingan!$E$24:$E$231=$D120)*([24]perbandingan!$E$24:$E$231=$D120),0))</f>
        <v>289</v>
      </c>
      <c r="L120" s="9">
        <f t="shared" si="2"/>
        <v>34.861278648974668</v>
      </c>
      <c r="M120" s="8" t="str">
        <f t="array" ref="M120">IF(L120&gt;5,"Perlu Pengendalian",IF(AND(L120&gt;=0,I120&gt;0),"Tidak Perlu Pengendalian","Belum Sensus"))</f>
        <v>Perlu Pengendalian</v>
      </c>
      <c r="N120" s="143">
        <f t="array" ref="N120">INDEX([24]perbandingan!$J$24:$J$231,MATCH(1,([24]perbandingan!$E$24:$E$231=$D120)*([24]perbandingan!$E$24:$E$231=$D120),0))</f>
        <v>44</v>
      </c>
      <c r="O120" s="9">
        <f t="array" ref="O120">IFERROR(N120/I120*100,0)</f>
        <v>5.3075995174909529</v>
      </c>
    </row>
    <row r="121" spans="1:15" outlineLevel="1" x14ac:dyDescent="0.15">
      <c r="A121" s="8" t="s">
        <v>1273</v>
      </c>
      <c r="B121" s="8" t="s">
        <v>14</v>
      </c>
      <c r="C121" s="8" t="s">
        <v>107</v>
      </c>
      <c r="D121" s="8" t="s">
        <v>1384</v>
      </c>
      <c r="E121" s="9">
        <v>29.96</v>
      </c>
      <c r="F121" s="8" t="s">
        <v>1740</v>
      </c>
      <c r="G121" s="10">
        <v>3983</v>
      </c>
      <c r="H121" s="132">
        <v>46153</v>
      </c>
      <c r="I121" s="143">
        <f t="array" ref="I121">INDEX([24]perbandingan!$H$24:$H$231,MATCH(1,([24]perbandingan!$E$24:$E$231=$D121)*([24]perbandingan!$E$24:$E$231=$D121),0))</f>
        <v>907</v>
      </c>
      <c r="J121" s="9">
        <f t="array" ref="J121">IFERROR(I121/G121*100,0)</f>
        <v>22.771780065277429</v>
      </c>
      <c r="K121" s="143">
        <f t="array" ref="K121">INDEX([24]perbandingan!$L$24:$L$231,MATCH(1,([24]perbandingan!$E$24:$E$231=$D121)*([24]perbandingan!$E$24:$E$231=$D121),0))</f>
        <v>55</v>
      </c>
      <c r="L121" s="9">
        <f t="shared" si="2"/>
        <v>6.0639470782800444</v>
      </c>
      <c r="M121" s="8" t="str">
        <f t="array" ref="M121">IF(L121&gt;5,"Perlu Pengendalian",IF(AND(L121&gt;=0,I121&gt;0),"Tidak Perlu Pengendalian","Belum Sensus"))</f>
        <v>Perlu Pengendalian</v>
      </c>
      <c r="N121" s="143">
        <f t="array" ref="N121">INDEX([24]perbandingan!$J$24:$J$231,MATCH(1,([24]perbandingan!$E$24:$E$231=$D121)*([24]perbandingan!$E$24:$E$231=$D121),0))</f>
        <v>278</v>
      </c>
      <c r="O121" s="9">
        <f t="array" ref="O121">IFERROR(N121/I121*100,0)</f>
        <v>30.650496141124588</v>
      </c>
    </row>
    <row r="122" spans="1:15" outlineLevel="1" x14ac:dyDescent="0.15">
      <c r="A122" s="8" t="s">
        <v>1273</v>
      </c>
      <c r="B122" s="8" t="s">
        <v>14</v>
      </c>
      <c r="C122" s="8" t="s">
        <v>107</v>
      </c>
      <c r="D122" s="8" t="s">
        <v>1385</v>
      </c>
      <c r="E122" s="9">
        <v>19.190000000000001</v>
      </c>
      <c r="F122" s="8" t="s">
        <v>1740</v>
      </c>
      <c r="G122" s="10">
        <v>2631</v>
      </c>
      <c r="H122" s="132">
        <v>46153</v>
      </c>
      <c r="I122" s="143">
        <f t="array" ref="I122">INDEX([24]perbandingan!$H$24:$H$231,MATCH(1,([24]perbandingan!$E$24:$E$231=$D122)*([24]perbandingan!$E$24:$E$231=$D122),0))</f>
        <v>582</v>
      </c>
      <c r="J122" s="9">
        <f t="array" ref="J122">IFERROR(I122/G122*100,0)</f>
        <v>22.120866590649943</v>
      </c>
      <c r="K122" s="143">
        <f t="array" ref="K122">INDEX([24]perbandingan!$L$24:$L$231,MATCH(1,([24]perbandingan!$E$24:$E$231=$D122)*([24]perbandingan!$E$24:$E$231=$D122),0))</f>
        <v>64</v>
      </c>
      <c r="L122" s="9">
        <f t="shared" si="2"/>
        <v>10.996563573883162</v>
      </c>
      <c r="M122" s="8" t="str">
        <f t="array" ref="M122">IF(L122&gt;5,"Perlu Pengendalian",IF(AND(L122&gt;=0,I122&gt;0),"Tidak Perlu Pengendalian","Belum Sensus"))</f>
        <v>Perlu Pengendalian</v>
      </c>
      <c r="N122" s="143">
        <f t="array" ref="N122">INDEX([24]perbandingan!$J$24:$J$231,MATCH(1,([24]perbandingan!$E$24:$E$231=$D122)*([24]perbandingan!$E$24:$E$231=$D122),0))</f>
        <v>109</v>
      </c>
      <c r="O122" s="9">
        <f t="array" ref="O122">IFERROR(N122/I122*100,0)</f>
        <v>18.72852233676976</v>
      </c>
    </row>
    <row r="123" spans="1:15" outlineLevel="1" x14ac:dyDescent="0.15">
      <c r="A123" s="8" t="s">
        <v>1273</v>
      </c>
      <c r="B123" s="8" t="s">
        <v>14</v>
      </c>
      <c r="C123" s="8" t="s">
        <v>107</v>
      </c>
      <c r="D123" s="8" t="s">
        <v>1386</v>
      </c>
      <c r="E123" s="9">
        <v>31.71</v>
      </c>
      <c r="F123" s="8" t="s">
        <v>1740</v>
      </c>
      <c r="G123" s="10">
        <v>3904</v>
      </c>
      <c r="H123" s="132">
        <v>46153</v>
      </c>
      <c r="I123" s="143">
        <f t="array" ref="I123">INDEX([24]perbandingan!$H$24:$H$231,MATCH(1,([24]perbandingan!$E$24:$E$231=$D123)*([24]perbandingan!$E$24:$E$231=$D123),0))</f>
        <v>558</v>
      </c>
      <c r="J123" s="9">
        <f t="array" ref="J123">IFERROR(I123/G123*100,0)</f>
        <v>14.293032786885245</v>
      </c>
      <c r="K123" s="143">
        <f t="array" ref="K123">INDEX([24]perbandingan!$L$24:$L$231,MATCH(1,([24]perbandingan!$E$24:$E$231=$D123)*([24]perbandingan!$E$24:$E$231=$D123),0))</f>
        <v>33</v>
      </c>
      <c r="L123" s="9">
        <f t="shared" si="2"/>
        <v>5.913978494623656</v>
      </c>
      <c r="M123" s="8" t="str">
        <f t="array" ref="M123">IF(L123&gt;5,"Perlu Pengendalian",IF(AND(L123&gt;=0,I123&gt;0),"Tidak Perlu Pengendalian","Belum Sensus"))</f>
        <v>Perlu Pengendalian</v>
      </c>
      <c r="N123" s="143">
        <f t="array" ref="N123">INDEX([24]perbandingan!$J$24:$J$231,MATCH(1,([24]perbandingan!$E$24:$E$231=$D123)*([24]perbandingan!$E$24:$E$231=$D123),0))</f>
        <v>161</v>
      </c>
      <c r="O123" s="9">
        <f t="array" ref="O123">IFERROR(N123/I123*100,0)</f>
        <v>28.853046594982079</v>
      </c>
    </row>
    <row r="124" spans="1:15" outlineLevel="1" x14ac:dyDescent="0.15">
      <c r="A124" s="8" t="s">
        <v>1273</v>
      </c>
      <c r="B124" s="8" t="s">
        <v>14</v>
      </c>
      <c r="C124" s="8" t="s">
        <v>107</v>
      </c>
      <c r="D124" s="8" t="s">
        <v>1387</v>
      </c>
      <c r="E124" s="9">
        <v>0</v>
      </c>
      <c r="F124" s="8" t="s">
        <v>1740</v>
      </c>
      <c r="G124" s="10">
        <v>0</v>
      </c>
      <c r="H124" s="132"/>
      <c r="I124" s="143">
        <f t="array" ref="I124">INDEX([24]perbandingan!$H$24:$H$231,MATCH(1,([24]perbandingan!$E$24:$E$231=$D124)*([24]perbandingan!$E$24:$E$231=$D124),0))</f>
        <v>0</v>
      </c>
      <c r="J124" s="9">
        <f t="array" ref="J124">IFERROR(I124/G124*100,0)</f>
        <v>0</v>
      </c>
      <c r="K124" s="143">
        <f t="array" ref="K124">INDEX([24]perbandingan!$L$24:$L$231,MATCH(1,([24]perbandingan!$E$24:$E$231=$D124)*([24]perbandingan!$E$24:$E$231=$D124),0))</f>
        <v>0</v>
      </c>
      <c r="L124" s="9">
        <f t="shared" si="2"/>
        <v>0</v>
      </c>
      <c r="M124" s="8" t="str">
        <f t="array" ref="M124">IF(L124&gt;5,"Perlu Pengendalian",IF(AND(L124&gt;=0,I124&gt;0),"Tidak Perlu Pengendalian","Belum Sensus"))</f>
        <v>Belum Sensus</v>
      </c>
      <c r="N124" s="143">
        <f t="array" ref="N124">INDEX([24]perbandingan!$J$24:$J$231,MATCH(1,([24]perbandingan!$E$24:$E$231=$D124)*([24]perbandingan!$E$24:$E$231=$D124),0))</f>
        <v>0</v>
      </c>
      <c r="O124" s="9">
        <f t="array" ref="O124">IFERROR(N124/I124*100,0)</f>
        <v>0</v>
      </c>
    </row>
    <row r="125" spans="1:15" outlineLevel="1" x14ac:dyDescent="0.15">
      <c r="A125" s="8" t="s">
        <v>1273</v>
      </c>
      <c r="B125" s="8" t="s">
        <v>14</v>
      </c>
      <c r="C125" s="8" t="s">
        <v>107</v>
      </c>
      <c r="D125" s="8" t="s">
        <v>1388</v>
      </c>
      <c r="E125" s="9">
        <v>0</v>
      </c>
      <c r="F125" s="8" t="s">
        <v>1740</v>
      </c>
      <c r="G125" s="10">
        <v>0</v>
      </c>
      <c r="H125" s="132"/>
      <c r="I125" s="143">
        <f t="array" ref="I125">INDEX([24]perbandingan!$H$24:$H$231,MATCH(1,([24]perbandingan!$E$24:$E$231=$D125)*([24]perbandingan!$E$24:$E$231=$D125),0))</f>
        <v>0</v>
      </c>
      <c r="J125" s="9">
        <f t="array" ref="J125">IFERROR(I125/G125*100,0)</f>
        <v>0</v>
      </c>
      <c r="K125" s="143">
        <f t="array" ref="K125">INDEX([24]perbandingan!$L$24:$L$231,MATCH(1,([24]perbandingan!$E$24:$E$231=$D125)*([24]perbandingan!$E$24:$E$231=$D125),0))</f>
        <v>0</v>
      </c>
      <c r="L125" s="9">
        <f t="shared" si="2"/>
        <v>0</v>
      </c>
      <c r="M125" s="8" t="str">
        <f t="array" ref="M125">IF(L125&gt;5,"Perlu Pengendalian",IF(AND(L125&gt;=0,I125&gt;0),"Tidak Perlu Pengendalian","Belum Sensus"))</f>
        <v>Belum Sensus</v>
      </c>
      <c r="N125" s="143">
        <f t="array" ref="N125">INDEX([24]perbandingan!$J$24:$J$231,MATCH(1,([24]perbandingan!$E$24:$E$231=$D125)*([24]perbandingan!$E$24:$E$231=$D125),0))</f>
        <v>0</v>
      </c>
      <c r="O125" s="9">
        <f t="array" ref="O125">IFERROR(N125/I125*100,0)</f>
        <v>0</v>
      </c>
    </row>
    <row r="126" spans="1:15" outlineLevel="1" x14ac:dyDescent="0.15">
      <c r="A126" s="8" t="s">
        <v>1273</v>
      </c>
      <c r="B126" s="8" t="s">
        <v>14</v>
      </c>
      <c r="C126" s="8" t="s">
        <v>107</v>
      </c>
      <c r="D126" s="8" t="s">
        <v>1389</v>
      </c>
      <c r="E126" s="9">
        <v>26.92</v>
      </c>
      <c r="F126" s="8" t="s">
        <v>1740</v>
      </c>
      <c r="G126" s="10">
        <v>3450</v>
      </c>
      <c r="H126" s="132">
        <v>46149</v>
      </c>
      <c r="I126" s="143">
        <f t="array" ref="I126">INDEX([24]perbandingan!$H$24:$H$231,MATCH(1,([24]perbandingan!$E$24:$E$231=$D126)*([24]perbandingan!$E$24:$E$231=$D126),0))</f>
        <v>256</v>
      </c>
      <c r="J126" s="9">
        <f t="array" ref="J126">IFERROR(I126/G126*100,0)</f>
        <v>7.4202898550724639</v>
      </c>
      <c r="K126" s="143">
        <f t="array" ref="K126">INDEX([24]perbandingan!$L$24:$L$231,MATCH(1,([24]perbandingan!$E$24:$E$231=$D126)*([24]perbandingan!$E$24:$E$231=$D126),0))</f>
        <v>55</v>
      </c>
      <c r="L126" s="9">
        <f t="shared" si="2"/>
        <v>21.484375</v>
      </c>
      <c r="M126" s="8" t="str">
        <f t="array" ref="M126">IF(L126&gt;5,"Perlu Pengendalian",IF(AND(L126&gt;=0,I126&gt;0),"Tidak Perlu Pengendalian","Belum Sensus"))</f>
        <v>Perlu Pengendalian</v>
      </c>
      <c r="N126" s="143">
        <f t="array" ref="N126">INDEX([24]perbandingan!$J$24:$J$231,MATCH(1,([24]perbandingan!$E$24:$E$231=$D126)*([24]perbandingan!$E$24:$E$231=$D126),0))</f>
        <v>40</v>
      </c>
      <c r="O126" s="9">
        <f t="array" ref="O126">IFERROR(N126/I126*100,0)</f>
        <v>15.625</v>
      </c>
    </row>
    <row r="127" spans="1:15" outlineLevel="1" x14ac:dyDescent="0.15">
      <c r="A127" s="8" t="s">
        <v>1273</v>
      </c>
      <c r="B127" s="8" t="s">
        <v>14</v>
      </c>
      <c r="C127" s="8" t="s">
        <v>144</v>
      </c>
      <c r="D127" s="8" t="s">
        <v>1023</v>
      </c>
      <c r="E127" s="9">
        <v>31.839999999999996</v>
      </c>
      <c r="F127" s="8" t="s">
        <v>1740</v>
      </c>
      <c r="G127" s="10">
        <v>3783</v>
      </c>
      <c r="H127" s="132">
        <v>46149</v>
      </c>
      <c r="I127" s="143">
        <f t="array" ref="I127">INDEX([24]perbandingan!$H$24:$H$231,MATCH(1,([24]perbandingan!$E$24:$E$231=$D127)*([24]perbandingan!$E$24:$E$231=$D127),0))</f>
        <v>381</v>
      </c>
      <c r="J127" s="9">
        <f t="array" ref="J127">IFERROR(I127/G127*100,0)</f>
        <v>10.07137192704203</v>
      </c>
      <c r="K127" s="143">
        <f t="array" ref="K127">INDEX([24]perbandingan!$L$24:$L$231,MATCH(1,([24]perbandingan!$E$24:$E$231=$D127)*([24]perbandingan!$E$24:$E$231=$D127),0))</f>
        <v>23</v>
      </c>
      <c r="L127" s="9">
        <f t="shared" si="2"/>
        <v>6.0367454068241466</v>
      </c>
      <c r="M127" s="8" t="str">
        <f t="array" ref="M127">IF(L127&gt;5,"Perlu Pengendalian",IF(AND(L127&gt;=0,I127&gt;0),"Tidak Perlu Pengendalian","Belum Sensus"))</f>
        <v>Perlu Pengendalian</v>
      </c>
      <c r="N127" s="143">
        <f t="array" ref="N127">INDEX([24]perbandingan!$J$24:$J$231,MATCH(1,([24]perbandingan!$E$24:$E$231=$D127)*([24]perbandingan!$E$24:$E$231=$D127),0))</f>
        <v>67</v>
      </c>
      <c r="O127" s="9">
        <f t="array" ref="O127">IFERROR(N127/I127*100,0)</f>
        <v>17.585301837270343</v>
      </c>
    </row>
    <row r="128" spans="1:15" outlineLevel="1" x14ac:dyDescent="0.15">
      <c r="A128" s="8" t="s">
        <v>1273</v>
      </c>
      <c r="B128" s="8" t="s">
        <v>14</v>
      </c>
      <c r="C128" s="8" t="s">
        <v>144</v>
      </c>
      <c r="D128" s="8" t="s">
        <v>1390</v>
      </c>
      <c r="E128" s="9">
        <v>33.5</v>
      </c>
      <c r="F128" s="8" t="s">
        <v>1740</v>
      </c>
      <c r="G128" s="10">
        <v>4602</v>
      </c>
      <c r="H128" s="132">
        <v>46149</v>
      </c>
      <c r="I128" s="143">
        <f t="array" ref="I128">INDEX([24]perbandingan!$H$24:$H$231,MATCH(1,([24]perbandingan!$E$24:$E$231=$D128)*([24]perbandingan!$E$24:$E$231=$D128),0))</f>
        <v>396</v>
      </c>
      <c r="J128" s="9">
        <f t="array" ref="J128">IFERROR(I128/G128*100,0)</f>
        <v>8.604954367666231</v>
      </c>
      <c r="K128" s="143">
        <f t="array" ref="K128">INDEX([24]perbandingan!$L$24:$L$231,MATCH(1,([24]perbandingan!$E$24:$E$231=$D128)*([24]perbandingan!$E$24:$E$231=$D128),0))</f>
        <v>30</v>
      </c>
      <c r="L128" s="9">
        <f t="shared" si="2"/>
        <v>7.5757575757575761</v>
      </c>
      <c r="M128" s="8" t="str">
        <f t="array" ref="M128">IF(L128&gt;5,"Perlu Pengendalian",IF(AND(L128&gt;=0,I128&gt;0),"Tidak Perlu Pengendalian","Belum Sensus"))</f>
        <v>Perlu Pengendalian</v>
      </c>
      <c r="N128" s="143">
        <f t="array" ref="N128">INDEX([24]perbandingan!$J$24:$J$231,MATCH(1,([24]perbandingan!$E$24:$E$231=$D128)*([24]perbandingan!$E$24:$E$231=$D128),0))</f>
        <v>198</v>
      </c>
      <c r="O128" s="9">
        <f t="array" ref="O128">IFERROR(N128/I128*100,0)</f>
        <v>50</v>
      </c>
    </row>
    <row r="129" spans="1:15" outlineLevel="1" x14ac:dyDescent="0.15">
      <c r="A129" s="8" t="s">
        <v>1273</v>
      </c>
      <c r="B129" s="8" t="s">
        <v>14</v>
      </c>
      <c r="C129" s="8" t="s">
        <v>144</v>
      </c>
      <c r="D129" s="8" t="s">
        <v>1002</v>
      </c>
      <c r="E129" s="9">
        <v>32</v>
      </c>
      <c r="F129" s="8" t="s">
        <v>1740</v>
      </c>
      <c r="G129" s="10">
        <v>3969</v>
      </c>
      <c r="H129" s="132">
        <v>46149</v>
      </c>
      <c r="I129" s="143">
        <f t="array" ref="I129">INDEX([24]perbandingan!$H$24:$H$231,MATCH(1,([24]perbandingan!$E$24:$E$231=$D129)*([24]perbandingan!$E$24:$E$231=$D129),0))</f>
        <v>365</v>
      </c>
      <c r="J129" s="9">
        <f t="array" ref="J129">IFERROR(I129/G129*100,0)</f>
        <v>9.1962711010330054</v>
      </c>
      <c r="K129" s="143">
        <f t="array" ref="K129">INDEX([24]perbandingan!$L$24:$L$231,MATCH(1,([24]perbandingan!$E$24:$E$231=$D129)*([24]perbandingan!$E$24:$E$231=$D129),0))</f>
        <v>21</v>
      </c>
      <c r="L129" s="9">
        <f t="shared" si="2"/>
        <v>5.7534246575342465</v>
      </c>
      <c r="M129" s="8" t="str">
        <f t="array" ref="M129">IF(L129&gt;5,"Perlu Pengendalian",IF(AND(L129&gt;=0,I129&gt;0),"Tidak Perlu Pengendalian","Belum Sensus"))</f>
        <v>Perlu Pengendalian</v>
      </c>
      <c r="N129" s="143">
        <f t="array" ref="N129">INDEX([24]perbandingan!$J$24:$J$231,MATCH(1,([24]perbandingan!$E$24:$E$231=$D129)*([24]perbandingan!$E$24:$E$231=$D129),0))</f>
        <v>81</v>
      </c>
      <c r="O129" s="9">
        <f t="array" ref="O129">IFERROR(N129/I129*100,0)</f>
        <v>22.19178082191781</v>
      </c>
    </row>
    <row r="130" spans="1:15" outlineLevel="1" x14ac:dyDescent="0.15">
      <c r="A130" s="8" t="s">
        <v>1273</v>
      </c>
      <c r="B130" s="8" t="s">
        <v>14</v>
      </c>
      <c r="C130" s="8" t="s">
        <v>144</v>
      </c>
      <c r="D130" s="8" t="s">
        <v>1391</v>
      </c>
      <c r="E130" s="9">
        <v>31.930000000000003</v>
      </c>
      <c r="F130" s="8" t="s">
        <v>1740</v>
      </c>
      <c r="G130" s="10">
        <v>4022</v>
      </c>
      <c r="H130" s="132">
        <v>46149</v>
      </c>
      <c r="I130" s="143">
        <f t="array" ref="I130">INDEX([24]perbandingan!$H$24:$H$231,MATCH(1,([24]perbandingan!$E$24:$E$231=$D130)*([24]perbandingan!$E$24:$E$231=$D130),0))</f>
        <v>322</v>
      </c>
      <c r="J130" s="9">
        <f t="array" ref="J130">IFERROR(I130/G130*100,0)</f>
        <v>8.005967180507211</v>
      </c>
      <c r="K130" s="143">
        <f t="array" ref="K130">INDEX([24]perbandingan!$L$24:$L$231,MATCH(1,([24]perbandingan!$E$24:$E$231=$D130)*([24]perbandingan!$E$24:$E$231=$D130),0))</f>
        <v>24</v>
      </c>
      <c r="L130" s="9">
        <f t="shared" si="2"/>
        <v>7.4534161490683228</v>
      </c>
      <c r="M130" s="8" t="str">
        <f t="array" ref="M130">IF(L130&gt;5,"Perlu Pengendalian",IF(AND(L130&gt;=0,I130&gt;0),"Tidak Perlu Pengendalian","Belum Sensus"))</f>
        <v>Perlu Pengendalian</v>
      </c>
      <c r="N130" s="143">
        <f t="array" ref="N130">INDEX([24]perbandingan!$J$24:$J$231,MATCH(1,([24]perbandingan!$E$24:$E$231=$D130)*([24]perbandingan!$E$24:$E$231=$D130),0))</f>
        <v>61</v>
      </c>
      <c r="O130" s="9">
        <f t="array" ref="O130">IFERROR(N130/I130*100,0)</f>
        <v>18.944099378881987</v>
      </c>
    </row>
    <row r="131" spans="1:15" outlineLevel="1" x14ac:dyDescent="0.15">
      <c r="A131" s="8" t="s">
        <v>1273</v>
      </c>
      <c r="B131" s="8" t="s">
        <v>14</v>
      </c>
      <c r="C131" s="8" t="s">
        <v>144</v>
      </c>
      <c r="D131" s="8" t="s">
        <v>1392</v>
      </c>
      <c r="E131" s="9">
        <v>34</v>
      </c>
      <c r="F131" s="8" t="s">
        <v>1740</v>
      </c>
      <c r="G131" s="10">
        <v>4711</v>
      </c>
      <c r="H131" s="132">
        <v>46153</v>
      </c>
      <c r="I131" s="143">
        <f t="array" ref="I131">INDEX([24]perbandingan!$H$24:$H$231,MATCH(1,([24]perbandingan!$E$24:$E$231=$D131)*([24]perbandingan!$E$24:$E$231=$D131),0))</f>
        <v>136</v>
      </c>
      <c r="J131" s="9">
        <f t="array" ref="J131">IFERROR(I131/G131*100,0)</f>
        <v>2.8868605391636595</v>
      </c>
      <c r="K131" s="143">
        <f t="array" ref="K131">INDEX([24]perbandingan!$L$24:$L$231,MATCH(1,([24]perbandingan!$E$24:$E$231=$D131)*([24]perbandingan!$E$24:$E$231=$D131),0))</f>
        <v>43</v>
      </c>
      <c r="L131" s="9">
        <f t="shared" si="2"/>
        <v>31.617647058823529</v>
      </c>
      <c r="M131" s="8" t="str">
        <f t="array" ref="M131">IF(L131&gt;5,"Perlu Pengendalian",IF(AND(L131&gt;=0,I131&gt;0),"Tidak Perlu Pengendalian","Belum Sensus"))</f>
        <v>Perlu Pengendalian</v>
      </c>
      <c r="N131" s="143">
        <f t="array" ref="N131">INDEX([24]perbandingan!$J$24:$J$231,MATCH(1,([24]perbandingan!$E$24:$E$231=$D131)*([24]perbandingan!$E$24:$E$231=$D131),0))</f>
        <v>114</v>
      </c>
      <c r="O131" s="9">
        <f t="array" ref="O131">IFERROR(N131/I131*100,0)</f>
        <v>83.82352941176471</v>
      </c>
    </row>
    <row r="132" spans="1:15" outlineLevel="1" x14ac:dyDescent="0.15">
      <c r="A132" s="8" t="s">
        <v>1273</v>
      </c>
      <c r="B132" s="8" t="s">
        <v>14</v>
      </c>
      <c r="C132" s="8" t="s">
        <v>144</v>
      </c>
      <c r="D132" s="8" t="s">
        <v>1393</v>
      </c>
      <c r="E132" s="9">
        <v>36.69</v>
      </c>
      <c r="F132" s="8" t="s">
        <v>1740</v>
      </c>
      <c r="G132" s="10">
        <v>4806</v>
      </c>
      <c r="H132" s="132">
        <v>46153</v>
      </c>
      <c r="I132" s="143">
        <f t="array" ref="I132">INDEX([24]perbandingan!$H$24:$H$231,MATCH(1,([24]perbandingan!$E$24:$E$231=$D132)*([24]perbandingan!$E$24:$E$231=$D132),0))</f>
        <v>134</v>
      </c>
      <c r="J132" s="9">
        <f t="array" ref="J132">IFERROR(I132/G132*100,0)</f>
        <v>2.7881814398668334</v>
      </c>
      <c r="K132" s="143">
        <f t="array" ref="K132">INDEX([24]perbandingan!$L$24:$L$231,MATCH(1,([24]perbandingan!$E$24:$E$231=$D132)*([24]perbandingan!$E$24:$E$231=$D132),0))</f>
        <v>24</v>
      </c>
      <c r="L132" s="9">
        <f t="shared" si="2"/>
        <v>17.910447761194028</v>
      </c>
      <c r="M132" s="8" t="str">
        <f t="array" ref="M132">IF(L132&gt;5,"Perlu Pengendalian",IF(AND(L132&gt;=0,I132&gt;0),"Tidak Perlu Pengendalian","Belum Sensus"))</f>
        <v>Perlu Pengendalian</v>
      </c>
      <c r="N132" s="143">
        <f t="array" ref="N132">INDEX([24]perbandingan!$J$24:$J$231,MATCH(1,([24]perbandingan!$E$24:$E$231=$D132)*([24]perbandingan!$E$24:$E$231=$D132),0))</f>
        <v>94</v>
      </c>
      <c r="O132" s="9">
        <f t="array" ref="O132">IFERROR(N132/I132*100,0)</f>
        <v>70.149253731343293</v>
      </c>
    </row>
    <row r="133" spans="1:15" outlineLevel="1" x14ac:dyDescent="0.15">
      <c r="A133" s="8" t="s">
        <v>1273</v>
      </c>
      <c r="B133" s="8" t="s">
        <v>14</v>
      </c>
      <c r="C133" s="8" t="s">
        <v>144</v>
      </c>
      <c r="D133" s="8" t="s">
        <v>1394</v>
      </c>
      <c r="E133" s="9">
        <v>36.409999999999997</v>
      </c>
      <c r="F133" s="8" t="s">
        <v>1740</v>
      </c>
      <c r="G133" s="10">
        <v>4786</v>
      </c>
      <c r="H133" s="132">
        <v>46153</v>
      </c>
      <c r="I133" s="143">
        <f t="array" ref="I133">INDEX([24]perbandingan!$H$24:$H$231,MATCH(1,([24]perbandingan!$E$24:$E$231=$D133)*([24]perbandingan!$E$24:$E$231=$D133),0))</f>
        <v>124</v>
      </c>
      <c r="J133" s="9">
        <f t="array" ref="J133">IFERROR(I133/G133*100,0)</f>
        <v>2.5908900961136649</v>
      </c>
      <c r="K133" s="143">
        <f t="array" ref="K133">INDEX([24]perbandingan!$L$24:$L$231,MATCH(1,([24]perbandingan!$E$24:$E$231=$D133)*([24]perbandingan!$E$24:$E$231=$D133),0))</f>
        <v>22</v>
      </c>
      <c r="L133" s="9">
        <f t="shared" si="2"/>
        <v>17.741935483870968</v>
      </c>
      <c r="M133" s="8" t="str">
        <f t="array" ref="M133">IF(L133&gt;5,"Perlu Pengendalian",IF(AND(L133&gt;=0,I133&gt;0),"Tidak Perlu Pengendalian","Belum Sensus"))</f>
        <v>Perlu Pengendalian</v>
      </c>
      <c r="N133" s="143">
        <f t="array" ref="N133">INDEX([24]perbandingan!$J$24:$J$231,MATCH(1,([24]perbandingan!$E$24:$E$231=$D133)*([24]perbandingan!$E$24:$E$231=$D133),0))</f>
        <v>71</v>
      </c>
      <c r="O133" s="9">
        <f t="array" ref="O133">IFERROR(N133/I133*100,0)</f>
        <v>57.258064516129039</v>
      </c>
    </row>
    <row r="134" spans="1:15" outlineLevel="1" x14ac:dyDescent="0.15">
      <c r="A134" s="8" t="s">
        <v>1273</v>
      </c>
      <c r="B134" s="8" t="s">
        <v>14</v>
      </c>
      <c r="C134" s="8" t="s">
        <v>144</v>
      </c>
      <c r="D134" s="8" t="s">
        <v>1395</v>
      </c>
      <c r="E134" s="9">
        <v>18.779999999999998</v>
      </c>
      <c r="F134" s="8" t="s">
        <v>1740</v>
      </c>
      <c r="G134" s="10">
        <v>2591</v>
      </c>
      <c r="H134" s="132">
        <v>46149</v>
      </c>
      <c r="I134" s="143">
        <f t="array" ref="I134">INDEX([24]perbandingan!$H$24:$H$231,MATCH(1,([24]perbandingan!$E$24:$E$231=$D134)*([24]perbandingan!$E$24:$E$231=$D134),0))</f>
        <v>387</v>
      </c>
      <c r="J134" s="9">
        <f t="array" ref="J134">IFERROR(I134/G134*100,0)</f>
        <v>14.936318023928985</v>
      </c>
      <c r="K134" s="143">
        <f t="array" ref="K134">INDEX([24]perbandingan!$L$24:$L$231,MATCH(1,([24]perbandingan!$E$24:$E$231=$D134)*([24]perbandingan!$E$24:$E$231=$D134),0))</f>
        <v>31</v>
      </c>
      <c r="L134" s="9">
        <f t="shared" si="2"/>
        <v>8.0103359173126609</v>
      </c>
      <c r="M134" s="8" t="str">
        <f t="array" ref="M134">IF(L134&gt;5,"Perlu Pengendalian",IF(AND(L134&gt;=0,I134&gt;0),"Tidak Perlu Pengendalian","Belum Sensus"))</f>
        <v>Perlu Pengendalian</v>
      </c>
      <c r="N134" s="143">
        <f t="array" ref="N134">INDEX([24]perbandingan!$J$24:$J$231,MATCH(1,([24]perbandingan!$E$24:$E$231=$D134)*([24]perbandingan!$E$24:$E$231=$D134),0))</f>
        <v>178</v>
      </c>
      <c r="O134" s="9">
        <f t="array" ref="O134">IFERROR(N134/I134*100,0)</f>
        <v>45.99483204134367</v>
      </c>
    </row>
    <row r="135" spans="1:15" outlineLevel="1" x14ac:dyDescent="0.15">
      <c r="A135" s="8" t="s">
        <v>1273</v>
      </c>
      <c r="B135" s="8" t="s">
        <v>14</v>
      </c>
      <c r="C135" s="8" t="s">
        <v>144</v>
      </c>
      <c r="D135" s="8" t="s">
        <v>1396</v>
      </c>
      <c r="E135" s="9">
        <v>27.549999999999997</v>
      </c>
      <c r="F135" s="8" t="s">
        <v>1740</v>
      </c>
      <c r="G135" s="10">
        <v>3833</v>
      </c>
      <c r="H135" s="132">
        <v>46149</v>
      </c>
      <c r="I135" s="143">
        <f t="array" ref="I135">INDEX([24]perbandingan!$H$24:$H$231,MATCH(1,([24]perbandingan!$E$24:$E$231=$D135)*([24]perbandingan!$E$24:$E$231=$D135),0))</f>
        <v>387</v>
      </c>
      <c r="J135" s="9">
        <f t="array" ref="J135">IFERROR(I135/G135*100,0)</f>
        <v>10.096530133055047</v>
      </c>
      <c r="K135" s="143">
        <f t="array" ref="K135">INDEX([24]perbandingan!$L$24:$L$231,MATCH(1,([24]perbandingan!$E$24:$E$231=$D135)*([24]perbandingan!$E$24:$E$231=$D135),0))</f>
        <v>23</v>
      </c>
      <c r="L135" s="9">
        <f t="shared" si="2"/>
        <v>5.9431524547803614</v>
      </c>
      <c r="M135" s="8" t="str">
        <f t="array" ref="M135">IF(L135&gt;5,"Perlu Pengendalian",IF(AND(L135&gt;=0,I135&gt;0),"Tidak Perlu Pengendalian","Belum Sensus"))</f>
        <v>Perlu Pengendalian</v>
      </c>
      <c r="N135" s="143">
        <f t="array" ref="N135">INDEX([24]perbandingan!$J$24:$J$231,MATCH(1,([24]perbandingan!$E$24:$E$231=$D135)*([24]perbandingan!$E$24:$E$231=$D135),0))</f>
        <v>113</v>
      </c>
      <c r="O135" s="9">
        <f t="array" ref="O135">IFERROR(N135/I135*100,0)</f>
        <v>29.198966408268735</v>
      </c>
    </row>
    <row r="136" spans="1:15" outlineLevel="1" x14ac:dyDescent="0.15">
      <c r="A136" s="8" t="s">
        <v>1273</v>
      </c>
      <c r="B136" s="8" t="s">
        <v>14</v>
      </c>
      <c r="C136" s="8" t="s">
        <v>144</v>
      </c>
      <c r="D136" s="8" t="s">
        <v>1397</v>
      </c>
      <c r="E136" s="9">
        <v>26.919999999999998</v>
      </c>
      <c r="F136" s="8" t="s">
        <v>1740</v>
      </c>
      <c r="G136" s="10">
        <v>3675</v>
      </c>
      <c r="H136" s="132">
        <v>46149</v>
      </c>
      <c r="I136" s="143">
        <f t="array" ref="I136">INDEX([24]perbandingan!$H$24:$H$231,MATCH(1,([24]perbandingan!$E$24:$E$231=$D136)*([24]perbandingan!$E$24:$E$231=$D136),0))</f>
        <v>366</v>
      </c>
      <c r="J136" s="9">
        <f t="array" ref="J136">IFERROR(I136/G136*100,0)</f>
        <v>9.9591836734693882</v>
      </c>
      <c r="K136" s="143">
        <f t="array" ref="K136">INDEX([24]perbandingan!$L$24:$L$231,MATCH(1,([24]perbandingan!$E$24:$E$231=$D136)*([24]perbandingan!$E$24:$E$231=$D136),0))</f>
        <v>24</v>
      </c>
      <c r="L136" s="9">
        <f t="shared" si="2"/>
        <v>6.557377049180328</v>
      </c>
      <c r="M136" s="8" t="str">
        <f t="array" ref="M136">IF(L136&gt;5,"Perlu Pengendalian",IF(AND(L136&gt;=0,I136&gt;0),"Tidak Perlu Pengendalian","Belum Sensus"))</f>
        <v>Perlu Pengendalian</v>
      </c>
      <c r="N136" s="143">
        <f t="array" ref="N136">INDEX([24]perbandingan!$J$24:$J$231,MATCH(1,([24]perbandingan!$E$24:$E$231=$D136)*([24]perbandingan!$E$24:$E$231=$D136),0))</f>
        <v>86</v>
      </c>
      <c r="O136" s="9">
        <f t="array" ref="O136">IFERROR(N136/I136*100,0)</f>
        <v>23.497267759562842</v>
      </c>
    </row>
    <row r="137" spans="1:15" outlineLevel="1" x14ac:dyDescent="0.15">
      <c r="A137" s="8" t="s">
        <v>1273</v>
      </c>
      <c r="B137" s="8" t="s">
        <v>14</v>
      </c>
      <c r="C137" s="8" t="s">
        <v>144</v>
      </c>
      <c r="D137" s="8" t="s">
        <v>1398</v>
      </c>
      <c r="E137" s="9">
        <v>27.54</v>
      </c>
      <c r="F137" s="8" t="s">
        <v>1740</v>
      </c>
      <c r="G137" s="10">
        <v>3741</v>
      </c>
      <c r="H137" s="132">
        <v>46149</v>
      </c>
      <c r="I137" s="143">
        <f t="array" ref="I137">INDEX([24]perbandingan!$H$24:$H$231,MATCH(1,([24]perbandingan!$E$24:$E$231=$D137)*([24]perbandingan!$E$24:$E$231=$D137),0))</f>
        <v>371</v>
      </c>
      <c r="J137" s="9">
        <f t="array" ref="J137">IFERROR(I137/G137*100,0)</f>
        <v>9.9171344560277994</v>
      </c>
      <c r="K137" s="143">
        <f t="array" ref="K137">INDEX([24]perbandingan!$L$24:$L$231,MATCH(1,([24]perbandingan!$E$24:$E$231=$D137)*([24]perbandingan!$E$24:$E$231=$D137),0))</f>
        <v>19</v>
      </c>
      <c r="L137" s="9">
        <f t="shared" si="2"/>
        <v>5.1212938005390836</v>
      </c>
      <c r="M137" s="8" t="str">
        <f t="array" ref="M137">IF(L137&gt;5,"Perlu Pengendalian",IF(AND(L137&gt;=0,I137&gt;0),"Tidak Perlu Pengendalian","Belum Sensus"))</f>
        <v>Perlu Pengendalian</v>
      </c>
      <c r="N137" s="143">
        <f t="array" ref="N137">INDEX([24]perbandingan!$J$24:$J$231,MATCH(1,([24]perbandingan!$E$24:$E$231=$D137)*([24]perbandingan!$E$24:$E$231=$D137),0))</f>
        <v>57</v>
      </c>
      <c r="O137" s="9">
        <f t="array" ref="O137">IFERROR(N137/I137*100,0)</f>
        <v>15.363881401617252</v>
      </c>
    </row>
    <row r="138" spans="1:15" outlineLevel="1" x14ac:dyDescent="0.15">
      <c r="A138" s="8" t="s">
        <v>1273</v>
      </c>
      <c r="B138" s="8" t="s">
        <v>14</v>
      </c>
      <c r="C138" s="8" t="s">
        <v>144</v>
      </c>
      <c r="D138" s="8" t="s">
        <v>1399</v>
      </c>
      <c r="E138" s="9">
        <v>21.95</v>
      </c>
      <c r="F138" s="8" t="s">
        <v>1740</v>
      </c>
      <c r="G138" s="10">
        <v>1534</v>
      </c>
      <c r="H138" s="132">
        <v>46149</v>
      </c>
      <c r="I138" s="143">
        <f t="array" ref="I138">INDEX([24]perbandingan!$H$24:$H$231,MATCH(1,([24]perbandingan!$E$24:$E$231=$D138)*([24]perbandingan!$E$24:$E$231=$D138),0))</f>
        <v>341</v>
      </c>
      <c r="J138" s="9">
        <f t="array" ref="J138">IFERROR(I138/G138*100,0)</f>
        <v>22.229465449804433</v>
      </c>
      <c r="K138" s="143">
        <f t="array" ref="K138">INDEX([24]perbandingan!$L$24:$L$231,MATCH(1,([24]perbandingan!$E$24:$E$231=$D138)*([24]perbandingan!$E$24:$E$231=$D138),0))</f>
        <v>31</v>
      </c>
      <c r="L138" s="9">
        <f t="shared" si="2"/>
        <v>9.0909090909090917</v>
      </c>
      <c r="M138" s="8" t="str">
        <f t="array" ref="M138">IF(L138&gt;5,"Perlu Pengendalian",IF(AND(L138&gt;=0,I138&gt;0),"Tidak Perlu Pengendalian","Belum Sensus"))</f>
        <v>Perlu Pengendalian</v>
      </c>
      <c r="N138" s="143">
        <f t="array" ref="N138">INDEX([24]perbandingan!$J$24:$J$231,MATCH(1,([24]perbandingan!$E$24:$E$231=$D138)*([24]perbandingan!$E$24:$E$231=$D138),0))</f>
        <v>76</v>
      </c>
      <c r="O138" s="9">
        <f t="array" ref="O138">IFERROR(N138/I138*100,0)</f>
        <v>22.287390029325511</v>
      </c>
    </row>
    <row r="139" spans="1:15" outlineLevel="1" x14ac:dyDescent="0.15">
      <c r="A139" s="8" t="s">
        <v>1273</v>
      </c>
      <c r="B139" s="8" t="s">
        <v>14</v>
      </c>
      <c r="C139" s="8" t="s">
        <v>144</v>
      </c>
      <c r="D139" s="8" t="s">
        <v>1400</v>
      </c>
      <c r="E139" s="9">
        <v>25.400000000000002</v>
      </c>
      <c r="F139" s="8" t="s">
        <v>1740</v>
      </c>
      <c r="G139" s="10">
        <v>3287</v>
      </c>
      <c r="H139" s="132">
        <v>46149</v>
      </c>
      <c r="I139" s="143">
        <f t="array" ref="I139">INDEX([24]perbandingan!$H$24:$H$231,MATCH(1,([24]perbandingan!$E$24:$E$231=$D139)*([24]perbandingan!$E$24:$E$231=$D139),0))</f>
        <v>365</v>
      </c>
      <c r="J139" s="9">
        <f t="array" ref="J139">IFERROR(I139/G139*100,0)</f>
        <v>11.104350471554609</v>
      </c>
      <c r="K139" s="143">
        <f t="array" ref="K139">INDEX([24]perbandingan!$L$24:$L$231,MATCH(1,([24]perbandingan!$E$24:$E$231=$D139)*([24]perbandingan!$E$24:$E$231=$D139),0))</f>
        <v>42</v>
      </c>
      <c r="L139" s="9">
        <f t="shared" si="2"/>
        <v>11.506849315068493</v>
      </c>
      <c r="M139" s="8" t="str">
        <f t="array" ref="M139">IF(L139&gt;5,"Perlu Pengendalian",IF(AND(L139&gt;=0,I139&gt;0),"Tidak Perlu Pengendalian","Belum Sensus"))</f>
        <v>Perlu Pengendalian</v>
      </c>
      <c r="N139" s="143">
        <f t="array" ref="N139">INDEX([24]perbandingan!$J$24:$J$231,MATCH(1,([24]perbandingan!$E$24:$E$231=$D139)*([24]perbandingan!$E$24:$E$231=$D139),0))</f>
        <v>71</v>
      </c>
      <c r="O139" s="9">
        <f t="array" ref="O139">IFERROR(N139/I139*100,0)</f>
        <v>19.452054794520549</v>
      </c>
    </row>
    <row r="140" spans="1:15" outlineLevel="1" x14ac:dyDescent="0.15">
      <c r="A140" s="8" t="s">
        <v>1273</v>
      </c>
      <c r="B140" s="8" t="s">
        <v>14</v>
      </c>
      <c r="C140" s="8" t="s">
        <v>144</v>
      </c>
      <c r="D140" s="8" t="s">
        <v>1401</v>
      </c>
      <c r="E140" s="9">
        <v>26.169999999999998</v>
      </c>
      <c r="F140" s="8" t="s">
        <v>1740</v>
      </c>
      <c r="G140" s="10">
        <v>3033</v>
      </c>
      <c r="H140" s="132">
        <v>46149</v>
      </c>
      <c r="I140" s="143">
        <f t="array" ref="I140">INDEX([24]perbandingan!$H$24:$H$231,MATCH(1,([24]perbandingan!$E$24:$E$231=$D140)*([24]perbandingan!$E$24:$E$231=$D140),0))</f>
        <v>357</v>
      </c>
      <c r="J140" s="9">
        <f t="array" ref="J140">IFERROR(I140/G140*100,0)</f>
        <v>11.770524233432244</v>
      </c>
      <c r="K140" s="143">
        <f t="array" ref="K140">INDEX([24]perbandingan!$L$24:$L$231,MATCH(1,([24]perbandingan!$E$24:$E$231=$D140)*([24]perbandingan!$E$24:$E$231=$D140),0))</f>
        <v>27</v>
      </c>
      <c r="L140" s="9">
        <f t="shared" si="2"/>
        <v>7.5630252100840334</v>
      </c>
      <c r="M140" s="8" t="str">
        <f t="array" ref="M140">IF(L140&gt;5,"Perlu Pengendalian",IF(AND(L140&gt;=0,I140&gt;0),"Tidak Perlu Pengendalian","Belum Sensus"))</f>
        <v>Perlu Pengendalian</v>
      </c>
      <c r="N140" s="143">
        <f t="array" ref="N140">INDEX([24]perbandingan!$J$24:$J$231,MATCH(1,([24]perbandingan!$E$24:$E$231=$D140)*([24]perbandingan!$E$24:$E$231=$D140),0))</f>
        <v>81</v>
      </c>
      <c r="O140" s="9">
        <f t="array" ref="O140">IFERROR(N140/I140*100,0)</f>
        <v>22.689075630252102</v>
      </c>
    </row>
    <row r="141" spans="1:15" outlineLevel="1" x14ac:dyDescent="0.15">
      <c r="A141" s="8" t="s">
        <v>1273</v>
      </c>
      <c r="B141" s="8" t="s">
        <v>14</v>
      </c>
      <c r="C141" s="8" t="s">
        <v>144</v>
      </c>
      <c r="D141" s="8" t="s">
        <v>1402</v>
      </c>
      <c r="E141" s="9">
        <v>28.76</v>
      </c>
      <c r="F141" s="8" t="s">
        <v>1740</v>
      </c>
      <c r="G141" s="10">
        <v>3575</v>
      </c>
      <c r="H141" s="132">
        <v>46149</v>
      </c>
      <c r="I141" s="143">
        <f t="array" ref="I141">INDEX([24]perbandingan!$H$24:$H$231,MATCH(1,([24]perbandingan!$E$24:$E$231=$D141)*([24]perbandingan!$E$24:$E$231=$D141),0))</f>
        <v>387</v>
      </c>
      <c r="J141" s="9">
        <f t="array" ref="J141">IFERROR(I141/G141*100,0)</f>
        <v>10.825174825174825</v>
      </c>
      <c r="K141" s="143">
        <f t="array" ref="K141">INDEX([24]perbandingan!$L$24:$L$231,MATCH(1,([24]perbandingan!$E$24:$E$231=$D141)*([24]perbandingan!$E$24:$E$231=$D141),0))</f>
        <v>44</v>
      </c>
      <c r="L141" s="9">
        <f t="shared" si="2"/>
        <v>11.369509043927648</v>
      </c>
      <c r="M141" s="8" t="str">
        <f t="array" ref="M141">IF(L141&gt;5,"Perlu Pengendalian",IF(AND(L141&gt;=0,I141&gt;0),"Tidak Perlu Pengendalian","Belum Sensus"))</f>
        <v>Perlu Pengendalian</v>
      </c>
      <c r="N141" s="143">
        <f t="array" ref="N141">INDEX([24]perbandingan!$J$24:$J$231,MATCH(1,([24]perbandingan!$E$24:$E$231=$D141)*([24]perbandingan!$E$24:$E$231=$D141),0))</f>
        <v>60</v>
      </c>
      <c r="O141" s="9">
        <f t="array" ref="O141">IFERROR(N141/I141*100,0)</f>
        <v>15.503875968992247</v>
      </c>
    </row>
    <row r="142" spans="1:15" outlineLevel="1" x14ac:dyDescent="0.15">
      <c r="A142" s="8" t="s">
        <v>1273</v>
      </c>
      <c r="B142" s="8" t="s">
        <v>14</v>
      </c>
      <c r="C142" s="8" t="s">
        <v>144</v>
      </c>
      <c r="D142" s="8" t="s">
        <v>1403</v>
      </c>
      <c r="E142" s="9">
        <v>28.85</v>
      </c>
      <c r="F142" s="8" t="s">
        <v>1740</v>
      </c>
      <c r="G142" s="10">
        <v>3616</v>
      </c>
      <c r="H142" s="132">
        <v>46149</v>
      </c>
      <c r="I142" s="143">
        <f t="array" ref="I142">INDEX([24]perbandingan!$H$24:$H$231,MATCH(1,([24]perbandingan!$E$24:$E$231=$D142)*([24]perbandingan!$E$24:$E$231=$D142),0))</f>
        <v>358</v>
      </c>
      <c r="J142" s="9">
        <f t="array" ref="J142">IFERROR(I142/G142*100,0)</f>
        <v>9.9004424778761067</v>
      </c>
      <c r="K142" s="143">
        <f t="array" ref="K142">INDEX([24]perbandingan!$L$24:$L$231,MATCH(1,([24]perbandingan!$E$24:$E$231=$D142)*([24]perbandingan!$E$24:$E$231=$D142),0))</f>
        <v>41</v>
      </c>
      <c r="L142" s="9">
        <f t="shared" si="2"/>
        <v>11.452513966480447</v>
      </c>
      <c r="M142" s="8" t="str">
        <f t="array" ref="M142">IF(L142&gt;5,"Perlu Pengendalian",IF(AND(L142&gt;=0,I142&gt;0),"Tidak Perlu Pengendalian","Belum Sensus"))</f>
        <v>Perlu Pengendalian</v>
      </c>
      <c r="N142" s="143">
        <f t="array" ref="N142">INDEX([24]perbandingan!$J$24:$J$231,MATCH(1,([24]perbandingan!$E$24:$E$231=$D142)*([24]perbandingan!$E$24:$E$231=$D142),0))</f>
        <v>81</v>
      </c>
      <c r="O142" s="9">
        <f t="array" ref="O142">IFERROR(N142/I142*100,0)</f>
        <v>22.625698324022348</v>
      </c>
    </row>
    <row r="143" spans="1:15" outlineLevel="1" x14ac:dyDescent="0.15">
      <c r="A143" s="8" t="s">
        <v>1273</v>
      </c>
      <c r="B143" s="8" t="s">
        <v>14</v>
      </c>
      <c r="C143" s="8" t="s">
        <v>144</v>
      </c>
      <c r="D143" s="8" t="s">
        <v>1404</v>
      </c>
      <c r="E143" s="9">
        <v>30.58</v>
      </c>
      <c r="F143" s="8" t="s">
        <v>1740</v>
      </c>
      <c r="G143" s="10">
        <v>3391</v>
      </c>
      <c r="H143" s="132">
        <v>46153</v>
      </c>
      <c r="I143" s="143">
        <f t="array" ref="I143">INDEX([24]perbandingan!$H$24:$H$231,MATCH(1,([24]perbandingan!$E$24:$E$231=$D143)*([24]perbandingan!$E$24:$E$231=$D143),0))</f>
        <v>72</v>
      </c>
      <c r="J143" s="9">
        <f t="array" ref="J143">IFERROR(I143/G143*100,0)</f>
        <v>2.1232674727219107</v>
      </c>
      <c r="K143" s="143">
        <f t="array" ref="K143">INDEX([24]perbandingan!$L$24:$L$231,MATCH(1,([24]perbandingan!$E$24:$E$231=$D143)*([24]perbandingan!$E$24:$E$231=$D143),0))</f>
        <v>9</v>
      </c>
      <c r="L143" s="9">
        <f t="shared" si="2"/>
        <v>12.5</v>
      </c>
      <c r="M143" s="8" t="str">
        <f t="array" ref="M143">IF(L143&gt;5,"Perlu Pengendalian",IF(AND(L143&gt;=0,I143&gt;0),"Tidak Perlu Pengendalian","Belum Sensus"))</f>
        <v>Perlu Pengendalian</v>
      </c>
      <c r="N143" s="143">
        <f t="array" ref="N143">INDEX([24]perbandingan!$J$24:$J$231,MATCH(1,([24]perbandingan!$E$24:$E$231=$D143)*([24]perbandingan!$E$24:$E$231=$D143),0))</f>
        <v>40</v>
      </c>
      <c r="O143" s="9">
        <f t="array" ref="O143">IFERROR(N143/I143*100,0)</f>
        <v>55.555555555555557</v>
      </c>
    </row>
    <row r="144" spans="1:15" outlineLevel="1" x14ac:dyDescent="0.15">
      <c r="A144" s="8" t="s">
        <v>1273</v>
      </c>
      <c r="B144" s="8" t="s">
        <v>14</v>
      </c>
      <c r="C144" s="8" t="s">
        <v>144</v>
      </c>
      <c r="D144" s="8" t="s">
        <v>1405</v>
      </c>
      <c r="E144" s="9">
        <v>32.31</v>
      </c>
      <c r="F144" s="8" t="s">
        <v>1740</v>
      </c>
      <c r="G144" s="10">
        <v>4480</v>
      </c>
      <c r="H144" s="132">
        <v>46153</v>
      </c>
      <c r="I144" s="143">
        <f t="array" ref="I144">INDEX([24]perbandingan!$H$24:$H$231,MATCH(1,([24]perbandingan!$E$24:$E$231=$D144)*([24]perbandingan!$E$24:$E$231=$D144),0))</f>
        <v>66</v>
      </c>
      <c r="J144" s="9">
        <f t="array" ref="J144">IFERROR(I144/G144*100,0)</f>
        <v>1.4732142857142856</v>
      </c>
      <c r="K144" s="143">
        <f t="array" ref="K144">INDEX([24]perbandingan!$L$24:$L$231,MATCH(1,([24]perbandingan!$E$24:$E$231=$D144)*([24]perbandingan!$E$24:$E$231=$D144),0))</f>
        <v>11</v>
      </c>
      <c r="L144" s="9">
        <f t="shared" si="2"/>
        <v>16.666666666666664</v>
      </c>
      <c r="M144" s="8" t="str">
        <f t="array" ref="M144">IF(L144&gt;5,"Perlu Pengendalian",IF(AND(L144&gt;=0,I144&gt;0),"Tidak Perlu Pengendalian","Belum Sensus"))</f>
        <v>Perlu Pengendalian</v>
      </c>
      <c r="N144" s="143">
        <f t="array" ref="N144">INDEX([24]perbandingan!$J$24:$J$231,MATCH(1,([24]perbandingan!$E$24:$E$231=$D144)*([24]perbandingan!$E$24:$E$231=$D144),0))</f>
        <v>32</v>
      </c>
      <c r="O144" s="9">
        <f t="array" ref="O144">IFERROR(N144/I144*100,0)</f>
        <v>48.484848484848484</v>
      </c>
    </row>
    <row r="145" spans="1:15" outlineLevel="1" x14ac:dyDescent="0.15">
      <c r="A145" s="8" t="s">
        <v>1273</v>
      </c>
      <c r="B145" s="8" t="s">
        <v>14</v>
      </c>
      <c r="C145" s="8" t="s">
        <v>144</v>
      </c>
      <c r="D145" s="8" t="s">
        <v>1406</v>
      </c>
      <c r="E145" s="9">
        <v>30.85</v>
      </c>
      <c r="F145" s="8" t="s">
        <v>1740</v>
      </c>
      <c r="G145" s="10">
        <v>4229</v>
      </c>
      <c r="H145" s="132">
        <v>46153</v>
      </c>
      <c r="I145" s="143">
        <f t="array" ref="I145">INDEX([24]perbandingan!$H$24:$H$231,MATCH(1,([24]perbandingan!$E$24:$E$231=$D145)*([24]perbandingan!$E$24:$E$231=$D145),0))</f>
        <v>67</v>
      </c>
      <c r="J145" s="9">
        <f t="array" ref="J145">IFERROR(I145/G145*100,0)</f>
        <v>1.5842988886261529</v>
      </c>
      <c r="K145" s="143">
        <f t="array" ref="K145">INDEX([24]perbandingan!$L$24:$L$231,MATCH(1,([24]perbandingan!$E$24:$E$231=$D145)*([24]perbandingan!$E$24:$E$231=$D145),0))</f>
        <v>52</v>
      </c>
      <c r="L145" s="9">
        <f t="shared" si="2"/>
        <v>77.611940298507463</v>
      </c>
      <c r="M145" s="8" t="str">
        <f t="array" ref="M145">IF(L145&gt;5,"Perlu Pengendalian",IF(AND(L145&gt;=0,I145&gt;0),"Tidak Perlu Pengendalian","Belum Sensus"))</f>
        <v>Perlu Pengendalian</v>
      </c>
      <c r="N145" s="143">
        <f t="array" ref="N145">INDEX([24]perbandingan!$J$24:$J$231,MATCH(1,([24]perbandingan!$E$24:$E$231=$D145)*([24]perbandingan!$E$24:$E$231=$D145),0))</f>
        <v>28</v>
      </c>
      <c r="O145" s="9">
        <f t="array" ref="O145">IFERROR(N145/I145*100,0)</f>
        <v>41.791044776119399</v>
      </c>
    </row>
    <row r="146" spans="1:15" outlineLevel="1" x14ac:dyDescent="0.15">
      <c r="A146" s="8" t="s">
        <v>1273</v>
      </c>
      <c r="B146" s="8" t="s">
        <v>14</v>
      </c>
      <c r="C146" s="8" t="s">
        <v>144</v>
      </c>
      <c r="D146" s="8" t="s">
        <v>1407</v>
      </c>
      <c r="E146" s="9">
        <v>30.71</v>
      </c>
      <c r="F146" s="8" t="s">
        <v>1740</v>
      </c>
      <c r="G146" s="10">
        <v>4226</v>
      </c>
      <c r="H146" s="132">
        <v>46153</v>
      </c>
      <c r="I146" s="143">
        <f t="array" ref="I146">INDEX([24]perbandingan!$H$24:$H$231,MATCH(1,([24]perbandingan!$E$24:$E$231=$D146)*([24]perbandingan!$E$24:$E$231=$D146),0))</f>
        <v>66</v>
      </c>
      <c r="J146" s="9">
        <f t="array" ref="J146">IFERROR(I146/G146*100,0)</f>
        <v>1.5617605300520587</v>
      </c>
      <c r="K146" s="143">
        <f t="array" ref="K146">INDEX([24]perbandingan!$L$24:$L$231,MATCH(1,([24]perbandingan!$E$24:$E$231=$D146)*([24]perbandingan!$E$24:$E$231=$D146),0))</f>
        <v>15</v>
      </c>
      <c r="L146" s="9">
        <f t="shared" si="2"/>
        <v>22.727272727272727</v>
      </c>
      <c r="M146" s="8" t="str">
        <f t="array" ref="M146">IF(L146&gt;5,"Perlu Pengendalian",IF(AND(L146&gt;=0,I146&gt;0),"Tidak Perlu Pengendalian","Belum Sensus"))</f>
        <v>Perlu Pengendalian</v>
      </c>
      <c r="N146" s="143">
        <f t="array" ref="N146">INDEX([24]perbandingan!$J$24:$J$231,MATCH(1,([24]perbandingan!$E$24:$E$231=$D146)*([24]perbandingan!$E$24:$E$231=$D146),0))</f>
        <v>37</v>
      </c>
      <c r="O146" s="9">
        <f t="array" ref="O146">IFERROR(N146/I146*100,0)</f>
        <v>56.060606060606055</v>
      </c>
    </row>
    <row r="147" spans="1:15" outlineLevel="1" x14ac:dyDescent="0.15">
      <c r="A147" s="8" t="s">
        <v>1273</v>
      </c>
      <c r="B147" s="8" t="s">
        <v>14</v>
      </c>
      <c r="C147" s="8" t="s">
        <v>144</v>
      </c>
      <c r="D147" s="8" t="s">
        <v>1025</v>
      </c>
      <c r="E147" s="9">
        <v>30.56</v>
      </c>
      <c r="F147" s="8" t="s">
        <v>1740</v>
      </c>
      <c r="G147" s="10">
        <v>4214</v>
      </c>
      <c r="H147" s="132">
        <v>46153</v>
      </c>
      <c r="I147" s="143">
        <f t="array" ref="I147">INDEX([24]perbandingan!$H$24:$H$231,MATCH(1,([24]perbandingan!$E$24:$E$231=$D147)*([24]perbandingan!$E$24:$E$231=$D147),0))</f>
        <v>67</v>
      </c>
      <c r="J147" s="9">
        <f t="array" ref="J147">IFERROR(I147/G147*100,0)</f>
        <v>1.589938300901756</v>
      </c>
      <c r="K147" s="143">
        <f t="array" ref="K147">INDEX([24]perbandingan!$L$24:$L$231,MATCH(1,([24]perbandingan!$E$24:$E$231=$D147)*([24]perbandingan!$E$24:$E$231=$D147),0))</f>
        <v>13</v>
      </c>
      <c r="L147" s="9">
        <f t="shared" si="2"/>
        <v>19.402985074626866</v>
      </c>
      <c r="M147" s="8" t="str">
        <f t="array" ref="M147">IF(L147&gt;5,"Perlu Pengendalian",IF(AND(L147&gt;=0,I147&gt;0),"Tidak Perlu Pengendalian","Belum Sensus"))</f>
        <v>Perlu Pengendalian</v>
      </c>
      <c r="N147" s="143">
        <f t="array" ref="N147">INDEX([24]perbandingan!$J$24:$J$231,MATCH(1,([24]perbandingan!$E$24:$E$231=$D147)*([24]perbandingan!$E$24:$E$231=$D147),0))</f>
        <v>32</v>
      </c>
      <c r="O147" s="9">
        <f t="array" ref="O147">IFERROR(N147/I147*100,0)</f>
        <v>47.761194029850742</v>
      </c>
    </row>
    <row r="148" spans="1:15" outlineLevel="1" x14ac:dyDescent="0.15">
      <c r="A148" s="8" t="s">
        <v>1273</v>
      </c>
      <c r="B148" s="8" t="s">
        <v>14</v>
      </c>
      <c r="C148" s="8" t="s">
        <v>144</v>
      </c>
      <c r="D148" s="8" t="s">
        <v>1027</v>
      </c>
      <c r="E148" s="9">
        <v>29.12</v>
      </c>
      <c r="F148" s="8" t="s">
        <v>1740</v>
      </c>
      <c r="G148" s="10">
        <v>3569</v>
      </c>
      <c r="H148" s="132">
        <v>46153</v>
      </c>
      <c r="I148" s="143">
        <f t="array" ref="I148">INDEX([24]perbandingan!$H$24:$H$231,MATCH(1,([24]perbandingan!$E$24:$E$231=$D148)*([24]perbandingan!$E$24:$E$231=$D148),0))</f>
        <v>67</v>
      </c>
      <c r="J148" s="9">
        <f t="array" ref="J148">IFERROR(I148/G148*100,0)</f>
        <v>1.8772765480526759</v>
      </c>
      <c r="K148" s="143">
        <f t="array" ref="K148">INDEX([24]perbandingan!$L$24:$L$231,MATCH(1,([24]perbandingan!$E$24:$E$231=$D148)*([24]perbandingan!$E$24:$E$231=$D148),0))</f>
        <v>13</v>
      </c>
      <c r="L148" s="9">
        <f t="shared" ref="L148:L211" si="3">IFERROR(K148/I148*100,0)</f>
        <v>19.402985074626866</v>
      </c>
      <c r="M148" s="8" t="str">
        <f t="array" ref="M148">IF(L148&gt;5,"Perlu Pengendalian",IF(AND(L148&gt;=0,I148&gt;0),"Tidak Perlu Pengendalian","Belum Sensus"))</f>
        <v>Perlu Pengendalian</v>
      </c>
      <c r="N148" s="143">
        <f t="array" ref="N148">INDEX([24]perbandingan!$J$24:$J$231,MATCH(1,([24]perbandingan!$E$24:$E$231=$D148)*([24]perbandingan!$E$24:$E$231=$D148),0))</f>
        <v>30</v>
      </c>
      <c r="O148" s="9">
        <f t="array" ref="O148">IFERROR(N148/I148*100,0)</f>
        <v>44.776119402985074</v>
      </c>
    </row>
    <row r="149" spans="1:15" outlineLevel="1" x14ac:dyDescent="0.15">
      <c r="A149" s="8" t="s">
        <v>1273</v>
      </c>
      <c r="B149" s="8" t="s">
        <v>14</v>
      </c>
      <c r="C149" s="8" t="s">
        <v>144</v>
      </c>
      <c r="D149" s="8" t="s">
        <v>1408</v>
      </c>
      <c r="E149" s="9">
        <v>34.669999999999995</v>
      </c>
      <c r="F149" s="8" t="s">
        <v>1740</v>
      </c>
      <c r="G149" s="10">
        <v>4446</v>
      </c>
      <c r="H149" s="132">
        <v>46149</v>
      </c>
      <c r="I149" s="143">
        <f t="array" ref="I149">INDEX([24]perbandingan!$H$24:$H$231,MATCH(1,([24]perbandingan!$E$24:$E$231=$D149)*([24]perbandingan!$E$24:$E$231=$D149),0))</f>
        <v>181</v>
      </c>
      <c r="J149" s="9">
        <f t="array" ref="J149">IFERROR(I149/G149*100,0)</f>
        <v>4.0710751237067031</v>
      </c>
      <c r="K149" s="143">
        <f t="array" ref="K149">INDEX([24]perbandingan!$L$24:$L$231,MATCH(1,([24]perbandingan!$E$24:$E$231=$D149)*([24]perbandingan!$E$24:$E$231=$D149),0))</f>
        <v>27</v>
      </c>
      <c r="L149" s="9">
        <f t="shared" si="3"/>
        <v>14.917127071823206</v>
      </c>
      <c r="M149" s="8" t="str">
        <f t="array" ref="M149">IF(L149&gt;5,"Perlu Pengendalian",IF(AND(L149&gt;=0,I149&gt;0),"Tidak Perlu Pengendalian","Belum Sensus"))</f>
        <v>Perlu Pengendalian</v>
      </c>
      <c r="N149" s="143">
        <f t="array" ref="N149">INDEX([24]perbandingan!$J$24:$J$231,MATCH(1,([24]perbandingan!$E$24:$E$231=$D149)*([24]perbandingan!$E$24:$E$231=$D149),0))</f>
        <v>77</v>
      </c>
      <c r="O149" s="9">
        <f t="array" ref="O149">IFERROR(N149/I149*100,0)</f>
        <v>42.541436464088399</v>
      </c>
    </row>
    <row r="150" spans="1:15" outlineLevel="1" x14ac:dyDescent="0.15">
      <c r="A150" s="8" t="s">
        <v>1273</v>
      </c>
      <c r="B150" s="8" t="s">
        <v>14</v>
      </c>
      <c r="C150" s="8" t="s">
        <v>144</v>
      </c>
      <c r="D150" s="8" t="s">
        <v>1409</v>
      </c>
      <c r="E150" s="9">
        <v>24.77</v>
      </c>
      <c r="F150" s="8" t="s">
        <v>1740</v>
      </c>
      <c r="G150" s="10">
        <v>3305</v>
      </c>
      <c r="H150" s="132">
        <v>46149</v>
      </c>
      <c r="I150" s="143">
        <f t="array" ref="I150">INDEX([24]perbandingan!$H$24:$H$231,MATCH(1,([24]perbandingan!$E$24:$E$231=$D150)*([24]perbandingan!$E$24:$E$231=$D150),0))</f>
        <v>105</v>
      </c>
      <c r="J150" s="9">
        <f t="array" ref="J150">IFERROR(I150/G150*100,0)</f>
        <v>3.1770045385779122</v>
      </c>
      <c r="K150" s="143">
        <f t="array" ref="K150">INDEX([24]perbandingan!$L$24:$L$231,MATCH(1,([24]perbandingan!$E$24:$E$231=$D150)*([24]perbandingan!$E$24:$E$231=$D150),0))</f>
        <v>10</v>
      </c>
      <c r="L150" s="9">
        <f t="shared" si="3"/>
        <v>9.5238095238095237</v>
      </c>
      <c r="M150" s="8" t="str">
        <f t="array" ref="M150">IF(L150&gt;5,"Perlu Pengendalian",IF(AND(L150&gt;=0,I150&gt;0),"Tidak Perlu Pengendalian","Belum Sensus"))</f>
        <v>Perlu Pengendalian</v>
      </c>
      <c r="N150" s="143">
        <f t="array" ref="N150">INDEX([24]perbandingan!$J$24:$J$231,MATCH(1,([24]perbandingan!$E$24:$E$231=$D150)*([24]perbandingan!$E$24:$E$231=$D150),0))</f>
        <v>52</v>
      </c>
      <c r="O150" s="9">
        <f t="array" ref="O150">IFERROR(N150/I150*100,0)</f>
        <v>49.523809523809526</v>
      </c>
    </row>
    <row r="151" spans="1:15" outlineLevel="1" x14ac:dyDescent="0.15">
      <c r="A151" s="8" t="s">
        <v>1273</v>
      </c>
      <c r="B151" s="8" t="s">
        <v>14</v>
      </c>
      <c r="C151" s="8" t="s">
        <v>144</v>
      </c>
      <c r="D151" s="8" t="s">
        <v>1410</v>
      </c>
      <c r="E151" s="9">
        <v>23.88</v>
      </c>
      <c r="F151" s="8" t="s">
        <v>1740</v>
      </c>
      <c r="G151" s="10">
        <v>2719</v>
      </c>
      <c r="H151" s="132">
        <v>46149</v>
      </c>
      <c r="I151" s="143">
        <f t="array" ref="I151">INDEX([24]perbandingan!$H$24:$H$231,MATCH(1,([24]perbandingan!$E$24:$E$231=$D151)*([24]perbandingan!$E$24:$E$231=$D151),0))</f>
        <v>55</v>
      </c>
      <c r="J151" s="9">
        <f t="array" ref="J151">IFERROR(I151/G151*100,0)</f>
        <v>2.0228025009194557</v>
      </c>
      <c r="K151" s="143">
        <f t="array" ref="K151">INDEX([24]perbandingan!$L$24:$L$231,MATCH(1,([24]perbandingan!$E$24:$E$231=$D151)*([24]perbandingan!$E$24:$E$231=$D151),0))</f>
        <v>9</v>
      </c>
      <c r="L151" s="9">
        <f t="shared" si="3"/>
        <v>16.363636363636363</v>
      </c>
      <c r="M151" s="8" t="str">
        <f t="array" ref="M151">IF(L151&gt;5,"Perlu Pengendalian",IF(AND(L151&gt;=0,I151&gt;0),"Tidak Perlu Pengendalian","Belum Sensus"))</f>
        <v>Perlu Pengendalian</v>
      </c>
      <c r="N151" s="143">
        <f t="array" ref="N151">INDEX([24]perbandingan!$J$24:$J$231,MATCH(1,([24]perbandingan!$E$24:$E$231=$D151)*([24]perbandingan!$E$24:$E$231=$D151),0))</f>
        <v>37</v>
      </c>
      <c r="O151" s="9">
        <f t="array" ref="O151">IFERROR(N151/I151*100,0)</f>
        <v>67.272727272727266</v>
      </c>
    </row>
    <row r="152" spans="1:15" outlineLevel="1" x14ac:dyDescent="0.15">
      <c r="A152" s="8" t="s">
        <v>1273</v>
      </c>
      <c r="B152" s="8" t="s">
        <v>14</v>
      </c>
      <c r="C152" s="8" t="s">
        <v>144</v>
      </c>
      <c r="D152" s="8" t="s">
        <v>1411</v>
      </c>
      <c r="E152" s="9">
        <v>29.580000000000002</v>
      </c>
      <c r="F152" s="8" t="s">
        <v>1740</v>
      </c>
      <c r="G152" s="10">
        <v>3816</v>
      </c>
      <c r="H152" s="132">
        <v>46149</v>
      </c>
      <c r="I152" s="143">
        <f t="array" ref="I152">INDEX([24]perbandingan!$H$24:$H$231,MATCH(1,([24]perbandingan!$E$24:$E$231=$D152)*([24]perbandingan!$E$24:$E$231=$D152),0))</f>
        <v>60</v>
      </c>
      <c r="J152" s="9">
        <f t="array" ref="J152">IFERROR(I152/G152*100,0)</f>
        <v>1.5723270440251573</v>
      </c>
      <c r="K152" s="143">
        <f t="array" ref="K152">INDEX([24]perbandingan!$L$24:$L$231,MATCH(1,([24]perbandingan!$E$24:$E$231=$D152)*([24]perbandingan!$E$24:$E$231=$D152),0))</f>
        <v>8</v>
      </c>
      <c r="L152" s="9">
        <f t="shared" si="3"/>
        <v>13.333333333333334</v>
      </c>
      <c r="M152" s="8" t="str">
        <f t="array" ref="M152">IF(L152&gt;5,"Perlu Pengendalian",IF(AND(L152&gt;=0,I152&gt;0),"Tidak Perlu Pengendalian","Belum Sensus"))</f>
        <v>Perlu Pengendalian</v>
      </c>
      <c r="N152" s="143">
        <f t="array" ref="N152">INDEX([24]perbandingan!$J$24:$J$231,MATCH(1,([24]perbandingan!$E$24:$E$231=$D152)*([24]perbandingan!$E$24:$E$231=$D152),0))</f>
        <v>39</v>
      </c>
      <c r="O152" s="9">
        <f t="array" ref="O152">IFERROR(N152/I152*100,0)</f>
        <v>65</v>
      </c>
    </row>
    <row r="153" spans="1:15" outlineLevel="1" x14ac:dyDescent="0.15">
      <c r="A153" s="8" t="s">
        <v>1273</v>
      </c>
      <c r="B153" s="8" t="s">
        <v>14</v>
      </c>
      <c r="C153" s="8" t="s">
        <v>144</v>
      </c>
      <c r="D153" s="8" t="s">
        <v>1412</v>
      </c>
      <c r="E153" s="9">
        <v>31.509999999999998</v>
      </c>
      <c r="F153" s="8" t="s">
        <v>1740</v>
      </c>
      <c r="G153" s="10">
        <v>3684</v>
      </c>
      <c r="H153" s="132">
        <v>46149</v>
      </c>
      <c r="I153" s="143">
        <f t="array" ref="I153">INDEX([24]perbandingan!$H$24:$H$231,MATCH(1,([24]perbandingan!$E$24:$E$231=$D153)*([24]perbandingan!$E$24:$E$231=$D153),0))</f>
        <v>63</v>
      </c>
      <c r="J153" s="9">
        <f t="array" ref="J153">IFERROR(I153/G153*100,0)</f>
        <v>1.7100977198697069</v>
      </c>
      <c r="K153" s="143">
        <f t="array" ref="K153">INDEX([24]perbandingan!$L$24:$L$231,MATCH(1,([24]perbandingan!$E$24:$E$231=$D153)*([24]perbandingan!$E$24:$E$231=$D153),0))</f>
        <v>41</v>
      </c>
      <c r="L153" s="9">
        <f t="shared" si="3"/>
        <v>65.079365079365076</v>
      </c>
      <c r="M153" s="8" t="str">
        <f t="array" ref="M153">IF(L153&gt;5,"Perlu Pengendalian",IF(AND(L153&gt;=0,I153&gt;0),"Tidak Perlu Pengendalian","Belum Sensus"))</f>
        <v>Perlu Pengendalian</v>
      </c>
      <c r="N153" s="143">
        <f t="array" ref="N153">INDEX([24]perbandingan!$J$24:$J$231,MATCH(1,([24]perbandingan!$E$24:$E$231=$D153)*([24]perbandingan!$E$24:$E$231=$D153),0))</f>
        <v>38</v>
      </c>
      <c r="O153" s="9">
        <f t="array" ref="O153">IFERROR(N153/I153*100,0)</f>
        <v>60.317460317460316</v>
      </c>
    </row>
    <row r="154" spans="1:15" outlineLevel="1" x14ac:dyDescent="0.15">
      <c r="A154" s="8" t="s">
        <v>1273</v>
      </c>
      <c r="B154" s="8" t="s">
        <v>14</v>
      </c>
      <c r="C154" s="8" t="s">
        <v>144</v>
      </c>
      <c r="D154" s="8" t="s">
        <v>1413</v>
      </c>
      <c r="E154" s="9">
        <v>30.96</v>
      </c>
      <c r="F154" s="8" t="s">
        <v>1740</v>
      </c>
      <c r="G154" s="10">
        <v>3551</v>
      </c>
      <c r="H154" s="132">
        <v>46149</v>
      </c>
      <c r="I154" s="143">
        <f t="array" ref="I154">INDEX([24]perbandingan!$H$24:$H$231,MATCH(1,([24]perbandingan!$E$24:$E$231=$D154)*([24]perbandingan!$E$24:$E$231=$D154),0))</f>
        <v>53</v>
      </c>
      <c r="J154" s="9">
        <f t="array" ref="J154">IFERROR(I154/G154*100,0)</f>
        <v>1.4925373134328357</v>
      </c>
      <c r="K154" s="143">
        <f t="array" ref="K154">INDEX([24]perbandingan!$L$24:$L$231,MATCH(1,([24]perbandingan!$E$24:$E$231=$D154)*([24]perbandingan!$E$24:$E$231=$D154),0))</f>
        <v>3</v>
      </c>
      <c r="L154" s="9">
        <f t="shared" si="3"/>
        <v>5.6603773584905666</v>
      </c>
      <c r="M154" s="8" t="str">
        <f t="array" ref="M154">IF(L154&gt;5,"Perlu Pengendalian",IF(AND(L154&gt;=0,I154&gt;0),"Tidak Perlu Pengendalian","Belum Sensus"))</f>
        <v>Perlu Pengendalian</v>
      </c>
      <c r="N154" s="143">
        <f t="array" ref="N154">INDEX([24]perbandingan!$J$24:$J$231,MATCH(1,([24]perbandingan!$E$24:$E$231=$D154)*([24]perbandingan!$E$24:$E$231=$D154),0))</f>
        <v>24</v>
      </c>
      <c r="O154" s="9">
        <f t="array" ref="O154">IFERROR(N154/I154*100,0)</f>
        <v>45.283018867924532</v>
      </c>
    </row>
    <row r="155" spans="1:15" outlineLevel="1" x14ac:dyDescent="0.15">
      <c r="A155" s="8" t="s">
        <v>1273</v>
      </c>
      <c r="B155" s="8" t="s">
        <v>14</v>
      </c>
      <c r="C155" s="8" t="s">
        <v>144</v>
      </c>
      <c r="D155" s="8" t="s">
        <v>1414</v>
      </c>
      <c r="E155" s="9">
        <v>33</v>
      </c>
      <c r="F155" s="8" t="s">
        <v>1740</v>
      </c>
      <c r="G155" s="10">
        <v>3871</v>
      </c>
      <c r="H155" s="132">
        <v>46149</v>
      </c>
      <c r="I155" s="143">
        <f t="array" ref="I155">INDEX([24]perbandingan!$H$24:$H$231,MATCH(1,([24]perbandingan!$E$24:$E$231=$D155)*([24]perbandingan!$E$24:$E$231=$D155),0))</f>
        <v>70</v>
      </c>
      <c r="J155" s="9">
        <f t="array" ref="J155">IFERROR(I155/G155*100,0)</f>
        <v>1.8083182640144666</v>
      </c>
      <c r="K155" s="143">
        <f t="array" ref="K155">INDEX([24]perbandingan!$L$24:$L$231,MATCH(1,([24]perbandingan!$E$24:$E$231=$D155)*([24]perbandingan!$E$24:$E$231=$D155),0))</f>
        <v>7</v>
      </c>
      <c r="L155" s="9">
        <f t="shared" si="3"/>
        <v>10</v>
      </c>
      <c r="M155" s="8" t="str">
        <f t="array" ref="M155">IF(L155&gt;5,"Perlu Pengendalian",IF(AND(L155&gt;=0,I155&gt;0),"Tidak Perlu Pengendalian","Belum Sensus"))</f>
        <v>Perlu Pengendalian</v>
      </c>
      <c r="N155" s="143">
        <f t="array" ref="N155">INDEX([24]perbandingan!$J$24:$J$231,MATCH(1,([24]perbandingan!$E$24:$E$231=$D155)*([24]perbandingan!$E$24:$E$231=$D155),0))</f>
        <v>44</v>
      </c>
      <c r="O155" s="9">
        <f t="array" ref="O155">IFERROR(N155/I155*100,0)</f>
        <v>62.857142857142854</v>
      </c>
    </row>
    <row r="156" spans="1:15" outlineLevel="1" x14ac:dyDescent="0.15">
      <c r="A156" s="8" t="s">
        <v>1273</v>
      </c>
      <c r="B156" s="8" t="s">
        <v>14</v>
      </c>
      <c r="C156" s="8" t="s">
        <v>173</v>
      </c>
      <c r="D156" s="8" t="s">
        <v>1415</v>
      </c>
      <c r="E156" s="9">
        <v>30.63</v>
      </c>
      <c r="F156" s="8" t="s">
        <v>1740</v>
      </c>
      <c r="G156" s="10">
        <v>3694</v>
      </c>
      <c r="H156" s="132">
        <v>46149</v>
      </c>
      <c r="I156" s="143">
        <f t="array" ref="I156">INDEX([24]perbandingan!$H$24:$H$231,MATCH(1,([24]perbandingan!$E$24:$E$231=$D156)*([24]perbandingan!$E$24:$E$231=$D156),0))</f>
        <v>393</v>
      </c>
      <c r="J156" s="9">
        <f t="array" ref="J156">IFERROR(I156/G156*100,0)</f>
        <v>10.638873849485652</v>
      </c>
      <c r="K156" s="143">
        <f t="array" ref="K156">INDEX([24]perbandingan!$L$24:$L$231,MATCH(1,([24]perbandingan!$E$24:$E$231=$D156)*([24]perbandingan!$E$24:$E$231=$D156),0))</f>
        <v>25</v>
      </c>
      <c r="L156" s="9">
        <f t="shared" si="3"/>
        <v>6.3613231552162848</v>
      </c>
      <c r="M156" s="8" t="str">
        <f t="array" ref="M156">IF(L156&gt;5,"Perlu Pengendalian",IF(AND(L156&gt;=0,I156&gt;0),"Tidak Perlu Pengendalian","Belum Sensus"))</f>
        <v>Perlu Pengendalian</v>
      </c>
      <c r="N156" s="143">
        <f t="array" ref="N156">INDEX([24]perbandingan!$J$24:$J$231,MATCH(1,([24]perbandingan!$E$24:$E$231=$D156)*([24]perbandingan!$E$24:$E$231=$D156),0))</f>
        <v>218</v>
      </c>
      <c r="O156" s="9">
        <f t="array" ref="O156">IFERROR(N156/I156*100,0)</f>
        <v>55.470737913486005</v>
      </c>
    </row>
    <row r="157" spans="1:15" outlineLevel="1" x14ac:dyDescent="0.15">
      <c r="A157" s="8" t="s">
        <v>1273</v>
      </c>
      <c r="B157" s="8" t="s">
        <v>14</v>
      </c>
      <c r="C157" s="8" t="s">
        <v>173</v>
      </c>
      <c r="D157" s="8" t="s">
        <v>1028</v>
      </c>
      <c r="E157" s="9">
        <v>31.46</v>
      </c>
      <c r="F157" s="8" t="s">
        <v>1740</v>
      </c>
      <c r="G157" s="10">
        <v>4005</v>
      </c>
      <c r="H157" s="132">
        <v>46149</v>
      </c>
      <c r="I157" s="143">
        <f t="array" ref="I157">INDEX([24]perbandingan!$H$24:$H$231,MATCH(1,([24]perbandingan!$E$24:$E$231=$D157)*([24]perbandingan!$E$24:$E$231=$D157),0))</f>
        <v>372</v>
      </c>
      <c r="J157" s="9">
        <f t="array" ref="J157">IFERROR(I157/G157*100,0)</f>
        <v>9.2883895131086138</v>
      </c>
      <c r="K157" s="143">
        <f t="array" ref="K157">INDEX([24]perbandingan!$L$24:$L$231,MATCH(1,([24]perbandingan!$E$24:$E$231=$D157)*([24]perbandingan!$E$24:$E$231=$D157),0))</f>
        <v>29</v>
      </c>
      <c r="L157" s="9">
        <f t="shared" si="3"/>
        <v>7.795698924731183</v>
      </c>
      <c r="M157" s="8" t="str">
        <f t="array" ref="M157">IF(L157&gt;5,"Perlu Pengendalian",IF(AND(L157&gt;=0,I157&gt;0),"Tidak Perlu Pengendalian","Belum Sensus"))</f>
        <v>Perlu Pengendalian</v>
      </c>
      <c r="N157" s="143">
        <f t="array" ref="N157">INDEX([24]perbandingan!$J$24:$J$231,MATCH(1,([24]perbandingan!$E$24:$E$231=$D157)*([24]perbandingan!$E$24:$E$231=$D157),0))</f>
        <v>212</v>
      </c>
      <c r="O157" s="9">
        <f t="array" ref="O157">IFERROR(N157/I157*100,0)</f>
        <v>56.98924731182796</v>
      </c>
    </row>
    <row r="158" spans="1:15" outlineLevel="1" x14ac:dyDescent="0.15">
      <c r="A158" s="8" t="s">
        <v>1273</v>
      </c>
      <c r="B158" s="8" t="s">
        <v>14</v>
      </c>
      <c r="C158" s="8" t="s">
        <v>173</v>
      </c>
      <c r="D158" s="8" t="s">
        <v>1011</v>
      </c>
      <c r="E158" s="9">
        <v>27.95</v>
      </c>
      <c r="F158" s="8" t="s">
        <v>1740</v>
      </c>
      <c r="G158" s="10">
        <v>3496</v>
      </c>
      <c r="H158" s="132">
        <v>46149</v>
      </c>
      <c r="I158" s="143">
        <f t="array" ref="I158">INDEX([24]perbandingan!$H$24:$H$231,MATCH(1,([24]perbandingan!$E$24:$E$231=$D158)*([24]perbandingan!$E$24:$E$231=$D158),0))</f>
        <v>333</v>
      </c>
      <c r="J158" s="9">
        <f t="array" ref="J158">IFERROR(I158/G158*100,0)</f>
        <v>9.5251716247139591</v>
      </c>
      <c r="K158" s="143">
        <f t="array" ref="K158">INDEX([24]perbandingan!$L$24:$L$231,MATCH(1,([24]perbandingan!$E$24:$E$231=$D158)*([24]perbandingan!$E$24:$E$231=$D158),0))</f>
        <v>42</v>
      </c>
      <c r="L158" s="9">
        <f t="shared" si="3"/>
        <v>12.612612612612612</v>
      </c>
      <c r="M158" s="8" t="str">
        <f t="array" ref="M158">IF(L158&gt;5,"Perlu Pengendalian",IF(AND(L158&gt;=0,I158&gt;0),"Tidak Perlu Pengendalian","Belum Sensus"))</f>
        <v>Perlu Pengendalian</v>
      </c>
      <c r="N158" s="143">
        <f t="array" ref="N158">INDEX([24]perbandingan!$J$24:$J$231,MATCH(1,([24]perbandingan!$E$24:$E$231=$D158)*([24]perbandingan!$E$24:$E$231=$D158),0))</f>
        <v>156</v>
      </c>
      <c r="O158" s="9">
        <f t="array" ref="O158">IFERROR(N158/I158*100,0)</f>
        <v>46.846846846846844</v>
      </c>
    </row>
    <row r="159" spans="1:15" outlineLevel="1" x14ac:dyDescent="0.15">
      <c r="A159" s="8" t="s">
        <v>1273</v>
      </c>
      <c r="B159" s="8" t="s">
        <v>14</v>
      </c>
      <c r="C159" s="8" t="s">
        <v>173</v>
      </c>
      <c r="D159" s="8" t="s">
        <v>1004</v>
      </c>
      <c r="E159" s="9">
        <v>32.81</v>
      </c>
      <c r="F159" s="8" t="s">
        <v>1740</v>
      </c>
      <c r="G159" s="10">
        <v>4374</v>
      </c>
      <c r="H159" s="132">
        <v>46149</v>
      </c>
      <c r="I159" s="143">
        <f t="array" ref="I159">INDEX([24]perbandingan!$H$24:$H$231,MATCH(1,([24]perbandingan!$E$24:$E$231=$D159)*([24]perbandingan!$E$24:$E$231=$D159),0))</f>
        <v>312</v>
      </c>
      <c r="J159" s="9">
        <f t="array" ref="J159">IFERROR(I159/G159*100,0)</f>
        <v>7.1330589849108366</v>
      </c>
      <c r="K159" s="143">
        <f t="array" ref="K159">INDEX([24]perbandingan!$L$24:$L$231,MATCH(1,([24]perbandingan!$E$24:$E$231=$D159)*([24]perbandingan!$E$24:$E$231=$D159),0))</f>
        <v>83</v>
      </c>
      <c r="L159" s="9">
        <f t="shared" si="3"/>
        <v>26.602564102564102</v>
      </c>
      <c r="M159" s="8" t="str">
        <f t="array" ref="M159">IF(L159&gt;5,"Perlu Pengendalian",IF(AND(L159&gt;=0,I159&gt;0),"Tidak Perlu Pengendalian","Belum Sensus"))</f>
        <v>Perlu Pengendalian</v>
      </c>
      <c r="N159" s="143">
        <f t="array" ref="N159">INDEX([24]perbandingan!$J$24:$J$231,MATCH(1,([24]perbandingan!$E$24:$E$231=$D159)*([24]perbandingan!$E$24:$E$231=$D159),0))</f>
        <v>114</v>
      </c>
      <c r="O159" s="9">
        <f t="array" ref="O159">IFERROR(N159/I159*100,0)</f>
        <v>36.538461538461533</v>
      </c>
    </row>
    <row r="160" spans="1:15" outlineLevel="1" x14ac:dyDescent="0.15">
      <c r="A160" s="8" t="s">
        <v>1273</v>
      </c>
      <c r="B160" s="8" t="s">
        <v>14</v>
      </c>
      <c r="C160" s="8" t="s">
        <v>173</v>
      </c>
      <c r="D160" s="8" t="s">
        <v>1416</v>
      </c>
      <c r="E160" s="9">
        <v>26.58</v>
      </c>
      <c r="F160" s="8" t="s">
        <v>1740</v>
      </c>
      <c r="G160" s="10">
        <v>2621</v>
      </c>
      <c r="H160" s="132">
        <v>46149</v>
      </c>
      <c r="I160" s="143">
        <f t="array" ref="I160">INDEX([24]perbandingan!$H$24:$H$231,MATCH(1,([24]perbandingan!$E$24:$E$231=$D160)*([24]perbandingan!$E$24:$E$231=$D160),0))</f>
        <v>307</v>
      </c>
      <c r="J160" s="9">
        <f t="array" ref="J160">IFERROR(I160/G160*100,0)</f>
        <v>11.713086608164822</v>
      </c>
      <c r="K160" s="143">
        <f t="array" ref="K160">INDEX([24]perbandingan!$L$24:$L$231,MATCH(1,([24]perbandingan!$E$24:$E$231=$D160)*([24]perbandingan!$E$24:$E$231=$D160),0))</f>
        <v>50</v>
      </c>
      <c r="L160" s="9">
        <f t="shared" si="3"/>
        <v>16.286644951140065</v>
      </c>
      <c r="M160" s="8" t="str">
        <f t="array" ref="M160">IF(L160&gt;5,"Perlu Pengendalian",IF(AND(L160&gt;=0,I160&gt;0),"Tidak Perlu Pengendalian","Belum Sensus"))</f>
        <v>Perlu Pengendalian</v>
      </c>
      <c r="N160" s="143">
        <f t="array" ref="N160">INDEX([24]perbandingan!$J$24:$J$231,MATCH(1,([24]perbandingan!$E$24:$E$231=$D160)*([24]perbandingan!$E$24:$E$231=$D160),0))</f>
        <v>105</v>
      </c>
      <c r="O160" s="9">
        <f t="array" ref="O160">IFERROR(N160/I160*100,0)</f>
        <v>34.201954397394132</v>
      </c>
    </row>
    <row r="161" spans="1:15" outlineLevel="1" x14ac:dyDescent="0.15">
      <c r="A161" s="8" t="s">
        <v>1273</v>
      </c>
      <c r="B161" s="8" t="s">
        <v>14</v>
      </c>
      <c r="C161" s="8" t="s">
        <v>173</v>
      </c>
      <c r="D161" s="8" t="s">
        <v>1417</v>
      </c>
      <c r="E161" s="9">
        <v>26.76</v>
      </c>
      <c r="F161" s="8" t="s">
        <v>1740</v>
      </c>
      <c r="G161" s="10">
        <v>3151</v>
      </c>
      <c r="H161" s="132">
        <v>46149</v>
      </c>
      <c r="I161" s="143">
        <f t="array" ref="I161">INDEX([24]perbandingan!$H$24:$H$231,MATCH(1,([24]perbandingan!$E$24:$E$231=$D161)*([24]perbandingan!$E$24:$E$231=$D161),0))</f>
        <v>315</v>
      </c>
      <c r="J161" s="9">
        <f t="array" ref="J161">IFERROR(I161/G161*100,0)</f>
        <v>9.9968264043160904</v>
      </c>
      <c r="K161" s="143">
        <f t="array" ref="K161">INDEX([24]perbandingan!$L$24:$L$231,MATCH(1,([24]perbandingan!$E$24:$E$231=$D161)*([24]perbandingan!$E$24:$E$231=$D161),0))</f>
        <v>31</v>
      </c>
      <c r="L161" s="9">
        <f t="shared" si="3"/>
        <v>9.8412698412698418</v>
      </c>
      <c r="M161" s="8" t="str">
        <f t="array" ref="M161">IF(L161&gt;5,"Perlu Pengendalian",IF(AND(L161&gt;=0,I161&gt;0),"Tidak Perlu Pengendalian","Belum Sensus"))</f>
        <v>Perlu Pengendalian</v>
      </c>
      <c r="N161" s="143">
        <f t="array" ref="N161">INDEX([24]perbandingan!$J$24:$J$231,MATCH(1,([24]perbandingan!$E$24:$E$231=$D161)*([24]perbandingan!$E$24:$E$231=$D161),0))</f>
        <v>143</v>
      </c>
      <c r="O161" s="9">
        <f t="array" ref="O161">IFERROR(N161/I161*100,0)</f>
        <v>45.396825396825399</v>
      </c>
    </row>
    <row r="162" spans="1:15" outlineLevel="1" x14ac:dyDescent="0.15">
      <c r="A162" s="8" t="s">
        <v>1273</v>
      </c>
      <c r="B162" s="8" t="s">
        <v>14</v>
      </c>
      <c r="C162" s="8" t="s">
        <v>173</v>
      </c>
      <c r="D162" s="8" t="s">
        <v>1418</v>
      </c>
      <c r="E162" s="9">
        <v>27.3</v>
      </c>
      <c r="F162" s="8" t="s">
        <v>1740</v>
      </c>
      <c r="G162" s="10">
        <v>2483</v>
      </c>
      <c r="H162" s="132">
        <v>46149</v>
      </c>
      <c r="I162" s="143">
        <f t="array" ref="I162">INDEX([24]perbandingan!$H$24:$H$231,MATCH(1,([24]perbandingan!$E$24:$E$231=$D162)*([24]perbandingan!$E$24:$E$231=$D162),0))</f>
        <v>413</v>
      </c>
      <c r="J162" s="9">
        <f t="array" ref="J162">IFERROR(I162/G162*100,0)</f>
        <v>16.633105114780509</v>
      </c>
      <c r="K162" s="143">
        <f t="array" ref="K162">INDEX([24]perbandingan!$L$24:$L$231,MATCH(1,([24]perbandingan!$E$24:$E$231=$D162)*([24]perbandingan!$E$24:$E$231=$D162),0))</f>
        <v>167</v>
      </c>
      <c r="L162" s="9">
        <f t="shared" si="3"/>
        <v>40.435835351089587</v>
      </c>
      <c r="M162" s="8" t="str">
        <f t="array" ref="M162">IF(L162&gt;5,"Perlu Pengendalian",IF(AND(L162&gt;=0,I162&gt;0),"Tidak Perlu Pengendalian","Belum Sensus"))</f>
        <v>Perlu Pengendalian</v>
      </c>
      <c r="N162" s="143">
        <f t="array" ref="N162">INDEX([24]perbandingan!$J$24:$J$231,MATCH(1,([24]perbandingan!$E$24:$E$231=$D162)*([24]perbandingan!$E$24:$E$231=$D162),0))</f>
        <v>211</v>
      </c>
      <c r="O162" s="9">
        <f t="array" ref="O162">IFERROR(N162/I162*100,0)</f>
        <v>51.08958837772397</v>
      </c>
    </row>
    <row r="163" spans="1:15" outlineLevel="1" x14ac:dyDescent="0.15">
      <c r="A163" s="8" t="s">
        <v>1273</v>
      </c>
      <c r="B163" s="8" t="s">
        <v>14</v>
      </c>
      <c r="C163" s="8" t="s">
        <v>173</v>
      </c>
      <c r="D163" s="8" t="s">
        <v>1419</v>
      </c>
      <c r="E163" s="9">
        <v>26.11</v>
      </c>
      <c r="F163" s="8" t="s">
        <v>1740</v>
      </c>
      <c r="G163" s="10">
        <v>2997</v>
      </c>
      <c r="H163" s="132">
        <v>46149</v>
      </c>
      <c r="I163" s="143">
        <f t="array" ref="I163">INDEX([24]perbandingan!$H$24:$H$231,MATCH(1,([24]perbandingan!$E$24:$E$231=$D163)*([24]perbandingan!$E$24:$E$231=$D163),0))</f>
        <v>324</v>
      </c>
      <c r="J163" s="9">
        <f t="array" ref="J163">IFERROR(I163/G163*100,0)</f>
        <v>10.810810810810811</v>
      </c>
      <c r="K163" s="143">
        <f t="array" ref="K163">INDEX([24]perbandingan!$L$24:$L$231,MATCH(1,([24]perbandingan!$E$24:$E$231=$D163)*([24]perbandingan!$E$24:$E$231=$D163),0))</f>
        <v>42</v>
      </c>
      <c r="L163" s="9">
        <f t="shared" si="3"/>
        <v>12.962962962962962</v>
      </c>
      <c r="M163" s="8" t="str">
        <f t="array" ref="M163">IF(L163&gt;5,"Perlu Pengendalian",IF(AND(L163&gt;=0,I163&gt;0),"Tidak Perlu Pengendalian","Belum Sensus"))</f>
        <v>Perlu Pengendalian</v>
      </c>
      <c r="N163" s="143">
        <f t="array" ref="N163">INDEX([24]perbandingan!$J$24:$J$231,MATCH(1,([24]perbandingan!$E$24:$E$231=$D163)*([24]perbandingan!$E$24:$E$231=$D163),0))</f>
        <v>102</v>
      </c>
      <c r="O163" s="9">
        <f t="array" ref="O163">IFERROR(N163/I163*100,0)</f>
        <v>31.481481481481481</v>
      </c>
    </row>
    <row r="164" spans="1:15" outlineLevel="1" x14ac:dyDescent="0.15">
      <c r="A164" s="8" t="s">
        <v>1273</v>
      </c>
      <c r="B164" s="8" t="s">
        <v>14</v>
      </c>
      <c r="C164" s="8" t="s">
        <v>173</v>
      </c>
      <c r="D164" s="8" t="s">
        <v>1420</v>
      </c>
      <c r="E164" s="9">
        <v>28.77</v>
      </c>
      <c r="F164" s="8" t="s">
        <v>1740</v>
      </c>
      <c r="G164" s="10">
        <v>3347</v>
      </c>
      <c r="H164" s="132">
        <v>46149</v>
      </c>
      <c r="I164" s="143">
        <f t="array" ref="I164">INDEX([24]perbandingan!$H$24:$H$231,MATCH(1,([24]perbandingan!$E$24:$E$231=$D164)*([24]perbandingan!$E$24:$E$231=$D164),0))</f>
        <v>329</v>
      </c>
      <c r="J164" s="9">
        <f t="array" ref="J164">IFERROR(I164/G164*100,0)</f>
        <v>9.8296982372273671</v>
      </c>
      <c r="K164" s="143">
        <f t="array" ref="K164">INDEX([24]perbandingan!$L$24:$L$231,MATCH(1,([24]perbandingan!$E$24:$E$231=$D164)*([24]perbandingan!$E$24:$E$231=$D164),0))</f>
        <v>83</v>
      </c>
      <c r="L164" s="9">
        <f t="shared" si="3"/>
        <v>25.227963525835868</v>
      </c>
      <c r="M164" s="8" t="str">
        <f t="array" ref="M164">IF(L164&gt;5,"Perlu Pengendalian",IF(AND(L164&gt;=0,I164&gt;0),"Tidak Perlu Pengendalian","Belum Sensus"))</f>
        <v>Perlu Pengendalian</v>
      </c>
      <c r="N164" s="143">
        <f t="array" ref="N164">INDEX([24]perbandingan!$J$24:$J$231,MATCH(1,([24]perbandingan!$E$24:$E$231=$D164)*([24]perbandingan!$E$24:$E$231=$D164),0))</f>
        <v>138</v>
      </c>
      <c r="O164" s="9">
        <f t="array" ref="O164">IFERROR(N164/I164*100,0)</f>
        <v>41.945288753799389</v>
      </c>
    </row>
    <row r="165" spans="1:15" outlineLevel="1" x14ac:dyDescent="0.15">
      <c r="A165" s="8" t="s">
        <v>1273</v>
      </c>
      <c r="B165" s="8" t="s">
        <v>14</v>
      </c>
      <c r="C165" s="8" t="s">
        <v>173</v>
      </c>
      <c r="D165" s="8" t="s">
        <v>1421</v>
      </c>
      <c r="E165" s="9">
        <v>26.52</v>
      </c>
      <c r="F165" s="8" t="s">
        <v>1740</v>
      </c>
      <c r="G165" s="10">
        <v>3508</v>
      </c>
      <c r="H165" s="132">
        <v>46149</v>
      </c>
      <c r="I165" s="143">
        <f t="array" ref="I165">INDEX([24]perbandingan!$H$24:$H$231,MATCH(1,([24]perbandingan!$E$24:$E$231=$D165)*([24]perbandingan!$E$24:$E$231=$D165),0))</f>
        <v>313</v>
      </c>
      <c r="J165" s="9">
        <f t="array" ref="J165">IFERROR(I165/G165*100,0)</f>
        <v>8.9224629418472059</v>
      </c>
      <c r="K165" s="143">
        <f t="array" ref="K165">INDEX([24]perbandingan!$L$24:$L$231,MATCH(1,([24]perbandingan!$E$24:$E$231=$D165)*([24]perbandingan!$E$24:$E$231=$D165),0))</f>
        <v>24</v>
      </c>
      <c r="L165" s="9">
        <f t="shared" si="3"/>
        <v>7.6677316293929714</v>
      </c>
      <c r="M165" s="8" t="str">
        <f t="array" ref="M165">IF(L165&gt;5,"Perlu Pengendalian",IF(AND(L165&gt;=0,I165&gt;0),"Tidak Perlu Pengendalian","Belum Sensus"))</f>
        <v>Perlu Pengendalian</v>
      </c>
      <c r="N165" s="143">
        <f t="array" ref="N165">INDEX([24]perbandingan!$J$24:$J$231,MATCH(1,([24]perbandingan!$E$24:$E$231=$D165)*([24]perbandingan!$E$24:$E$231=$D165),0))</f>
        <v>181</v>
      </c>
      <c r="O165" s="9">
        <f t="array" ref="O165">IFERROR(N165/I165*100,0)</f>
        <v>57.827476038338652</v>
      </c>
    </row>
    <row r="166" spans="1:15" outlineLevel="1" x14ac:dyDescent="0.15">
      <c r="A166" s="8" t="s">
        <v>1273</v>
      </c>
      <c r="B166" s="8" t="s">
        <v>14</v>
      </c>
      <c r="C166" s="8" t="s">
        <v>173</v>
      </c>
      <c r="D166" s="8" t="s">
        <v>1422</v>
      </c>
      <c r="E166" s="9">
        <v>27.08</v>
      </c>
      <c r="F166" s="8" t="s">
        <v>1740</v>
      </c>
      <c r="G166" s="10">
        <v>2961</v>
      </c>
      <c r="H166" s="132">
        <v>46149</v>
      </c>
      <c r="I166" s="143">
        <f t="array" ref="I166">INDEX([24]perbandingan!$H$24:$H$231,MATCH(1,([24]perbandingan!$E$24:$E$231=$D166)*([24]perbandingan!$E$24:$E$231=$D166),0))</f>
        <v>316</v>
      </c>
      <c r="J166" s="9">
        <f t="array" ref="J166">IFERROR(I166/G166*100,0)</f>
        <v>10.672070246538331</v>
      </c>
      <c r="K166" s="143">
        <f t="array" ref="K166">INDEX([24]perbandingan!$L$24:$L$231,MATCH(1,([24]perbandingan!$E$24:$E$231=$D166)*([24]perbandingan!$E$24:$E$231=$D166),0))</f>
        <v>80</v>
      </c>
      <c r="L166" s="9">
        <f t="shared" si="3"/>
        <v>25.316455696202532</v>
      </c>
      <c r="M166" s="8" t="str">
        <f t="array" ref="M166">IF(L166&gt;5,"Perlu Pengendalian",IF(AND(L166&gt;=0,I166&gt;0),"Tidak Perlu Pengendalian","Belum Sensus"))</f>
        <v>Perlu Pengendalian</v>
      </c>
      <c r="N166" s="143">
        <f t="array" ref="N166">INDEX([24]perbandingan!$J$24:$J$231,MATCH(1,([24]perbandingan!$E$24:$E$231=$D166)*([24]perbandingan!$E$24:$E$231=$D166),0))</f>
        <v>136</v>
      </c>
      <c r="O166" s="9">
        <f t="array" ref="O166">IFERROR(N166/I166*100,0)</f>
        <v>43.037974683544306</v>
      </c>
    </row>
    <row r="167" spans="1:15" outlineLevel="1" x14ac:dyDescent="0.15">
      <c r="A167" s="8" t="s">
        <v>1273</v>
      </c>
      <c r="B167" s="8" t="s">
        <v>14</v>
      </c>
      <c r="C167" s="8" t="s">
        <v>173</v>
      </c>
      <c r="D167" s="8" t="s">
        <v>1423</v>
      </c>
      <c r="E167" s="9">
        <v>34.68</v>
      </c>
      <c r="F167" s="8" t="s">
        <v>1740</v>
      </c>
      <c r="G167" s="10">
        <v>4178</v>
      </c>
      <c r="H167" s="132">
        <v>46149</v>
      </c>
      <c r="I167" s="143">
        <f t="array" ref="I167">INDEX([24]perbandingan!$H$24:$H$231,MATCH(1,([24]perbandingan!$E$24:$E$231=$D167)*([24]perbandingan!$E$24:$E$231=$D167),0))</f>
        <v>455</v>
      </c>
      <c r="J167" s="9">
        <f t="array" ref="J167">IFERROR(I167/G167*100,0)</f>
        <v>10.890378171373863</v>
      </c>
      <c r="K167" s="143">
        <f t="array" ref="K167">INDEX([24]perbandingan!$L$24:$L$231,MATCH(1,([24]perbandingan!$E$24:$E$231=$D167)*([24]perbandingan!$E$24:$E$231=$D167),0))</f>
        <v>37</v>
      </c>
      <c r="L167" s="9">
        <f t="shared" si="3"/>
        <v>8.1318681318681314</v>
      </c>
      <c r="M167" s="8" t="str">
        <f t="array" ref="M167">IF(L167&gt;5,"Perlu Pengendalian",IF(AND(L167&gt;=0,I167&gt;0),"Tidak Perlu Pengendalian","Belum Sensus"))</f>
        <v>Perlu Pengendalian</v>
      </c>
      <c r="N167" s="143">
        <f t="array" ref="N167">INDEX([24]perbandingan!$J$24:$J$231,MATCH(1,([24]perbandingan!$E$24:$E$231=$D167)*([24]perbandingan!$E$24:$E$231=$D167),0))</f>
        <v>159</v>
      </c>
      <c r="O167" s="9">
        <f t="array" ref="O167">IFERROR(N167/I167*100,0)</f>
        <v>34.945054945054942</v>
      </c>
    </row>
    <row r="168" spans="1:15" outlineLevel="1" x14ac:dyDescent="0.15">
      <c r="A168" s="8" t="s">
        <v>1273</v>
      </c>
      <c r="B168" s="8" t="s">
        <v>14</v>
      </c>
      <c r="C168" s="8" t="s">
        <v>173</v>
      </c>
      <c r="D168" s="8" t="s">
        <v>1424</v>
      </c>
      <c r="E168" s="9">
        <v>34.46</v>
      </c>
      <c r="F168" s="8" t="s">
        <v>1740</v>
      </c>
      <c r="G168" s="10">
        <v>3279</v>
      </c>
      <c r="H168" s="132">
        <v>46149</v>
      </c>
      <c r="I168" s="143">
        <f t="array" ref="I168">INDEX([24]perbandingan!$H$24:$H$231,MATCH(1,([24]perbandingan!$E$24:$E$231=$D168)*([24]perbandingan!$E$24:$E$231=$D168),0))</f>
        <v>451</v>
      </c>
      <c r="J168" s="9">
        <f t="array" ref="J168">IFERROR(I168/G168*100,0)</f>
        <v>13.754193351631594</v>
      </c>
      <c r="K168" s="143">
        <f t="array" ref="K168">INDEX([24]perbandingan!$L$24:$L$231,MATCH(1,([24]perbandingan!$E$24:$E$231=$D168)*([24]perbandingan!$E$24:$E$231=$D168),0))</f>
        <v>25</v>
      </c>
      <c r="L168" s="9">
        <f t="shared" si="3"/>
        <v>5.5432372505543244</v>
      </c>
      <c r="M168" s="8" t="str">
        <f t="array" ref="M168">IF(L168&gt;5,"Perlu Pengendalian",IF(AND(L168&gt;=0,I168&gt;0),"Tidak Perlu Pengendalian","Belum Sensus"))</f>
        <v>Perlu Pengendalian</v>
      </c>
      <c r="N168" s="143">
        <f t="array" ref="N168">INDEX([24]perbandingan!$J$24:$J$231,MATCH(1,([24]perbandingan!$E$24:$E$231=$D168)*([24]perbandingan!$E$24:$E$231=$D168),0))</f>
        <v>195</v>
      </c>
      <c r="O168" s="9">
        <f t="array" ref="O168">IFERROR(N168/I168*100,0)</f>
        <v>43.237250554323722</v>
      </c>
    </row>
    <row r="169" spans="1:15" outlineLevel="1" x14ac:dyDescent="0.15">
      <c r="A169" s="8" t="s">
        <v>1273</v>
      </c>
      <c r="B169" s="8" t="s">
        <v>14</v>
      </c>
      <c r="C169" s="8" t="s">
        <v>173</v>
      </c>
      <c r="D169" s="8" t="s">
        <v>1425</v>
      </c>
      <c r="E169" s="9">
        <v>24.96</v>
      </c>
      <c r="F169" s="8" t="s">
        <v>1740</v>
      </c>
      <c r="G169" s="10">
        <v>1896</v>
      </c>
      <c r="H169" s="132">
        <v>46149</v>
      </c>
      <c r="I169" s="143">
        <f t="array" ref="I169">INDEX([24]perbandingan!$H$24:$H$231,MATCH(1,([24]perbandingan!$E$24:$E$231=$D169)*([24]perbandingan!$E$24:$E$231=$D169),0))</f>
        <v>265</v>
      </c>
      <c r="J169" s="9">
        <f t="array" ref="J169">IFERROR(I169/G169*100,0)</f>
        <v>13.976793248945146</v>
      </c>
      <c r="K169" s="143">
        <f t="array" ref="K169">INDEX([24]perbandingan!$L$24:$L$231,MATCH(1,([24]perbandingan!$E$24:$E$231=$D169)*([24]perbandingan!$E$24:$E$231=$D169),0))</f>
        <v>27</v>
      </c>
      <c r="L169" s="9">
        <f t="shared" si="3"/>
        <v>10.188679245283019</v>
      </c>
      <c r="M169" s="8" t="str">
        <f t="array" ref="M169">IF(L169&gt;5,"Perlu Pengendalian",IF(AND(L169&gt;=0,I169&gt;0),"Tidak Perlu Pengendalian","Belum Sensus"))</f>
        <v>Perlu Pengendalian</v>
      </c>
      <c r="N169" s="143">
        <f t="array" ref="N169">INDEX([24]perbandingan!$J$24:$J$231,MATCH(1,([24]perbandingan!$E$24:$E$231=$D169)*([24]perbandingan!$E$24:$E$231=$D169),0))</f>
        <v>116</v>
      </c>
      <c r="O169" s="9">
        <f t="array" ref="O169">IFERROR(N169/I169*100,0)</f>
        <v>43.773584905660378</v>
      </c>
    </row>
    <row r="170" spans="1:15" outlineLevel="1" x14ac:dyDescent="0.15">
      <c r="A170" s="8" t="s">
        <v>1273</v>
      </c>
      <c r="B170" s="8" t="s">
        <v>14</v>
      </c>
      <c r="C170" s="8" t="s">
        <v>173</v>
      </c>
      <c r="D170" s="8" t="s">
        <v>1426</v>
      </c>
      <c r="E170" s="9">
        <v>25.19</v>
      </c>
      <c r="F170" s="8" t="s">
        <v>1740</v>
      </c>
      <c r="G170" s="10">
        <v>2795</v>
      </c>
      <c r="H170" s="132">
        <v>46149</v>
      </c>
      <c r="I170" s="143">
        <f t="array" ref="I170">INDEX([24]perbandingan!$H$24:$H$231,MATCH(1,([24]perbandingan!$E$24:$E$231=$D170)*([24]perbandingan!$E$24:$E$231=$D170),0))</f>
        <v>325</v>
      </c>
      <c r="J170" s="9">
        <f t="array" ref="J170">IFERROR(I170/G170*100,0)</f>
        <v>11.627906976744185</v>
      </c>
      <c r="K170" s="143">
        <f t="array" ref="K170">INDEX([24]perbandingan!$L$24:$L$231,MATCH(1,([24]perbandingan!$E$24:$E$231=$D170)*([24]perbandingan!$E$24:$E$231=$D170),0))</f>
        <v>39</v>
      </c>
      <c r="L170" s="9">
        <f t="shared" si="3"/>
        <v>12</v>
      </c>
      <c r="M170" s="8" t="str">
        <f t="array" ref="M170">IF(L170&gt;5,"Perlu Pengendalian",IF(AND(L170&gt;=0,I170&gt;0),"Tidak Perlu Pengendalian","Belum Sensus"))</f>
        <v>Perlu Pengendalian</v>
      </c>
      <c r="N170" s="143">
        <f t="array" ref="N170">INDEX([24]perbandingan!$J$24:$J$231,MATCH(1,([24]perbandingan!$E$24:$E$231=$D170)*([24]perbandingan!$E$24:$E$231=$D170),0))</f>
        <v>136</v>
      </c>
      <c r="O170" s="9">
        <f t="array" ref="O170">IFERROR(N170/I170*100,0)</f>
        <v>41.846153846153847</v>
      </c>
    </row>
    <row r="171" spans="1:15" outlineLevel="1" x14ac:dyDescent="0.15">
      <c r="A171" s="8" t="s">
        <v>1273</v>
      </c>
      <c r="B171" s="8" t="s">
        <v>14</v>
      </c>
      <c r="C171" s="8" t="s">
        <v>173</v>
      </c>
      <c r="D171" s="8" t="s">
        <v>1427</v>
      </c>
      <c r="E171" s="9">
        <v>26.58</v>
      </c>
      <c r="F171" s="8" t="s">
        <v>1740</v>
      </c>
      <c r="G171" s="10">
        <v>3364</v>
      </c>
      <c r="H171" s="132">
        <v>46149</v>
      </c>
      <c r="I171" s="143">
        <f t="array" ref="I171">INDEX([24]perbandingan!$H$24:$H$231,MATCH(1,([24]perbandingan!$E$24:$E$231=$D171)*([24]perbandingan!$E$24:$E$231=$D171),0))</f>
        <v>303</v>
      </c>
      <c r="J171" s="9">
        <f t="array" ref="J171">IFERROR(I171/G171*100,0)</f>
        <v>9.0071343638525558</v>
      </c>
      <c r="K171" s="143">
        <f t="array" ref="K171">INDEX([24]perbandingan!$L$24:$L$231,MATCH(1,([24]perbandingan!$E$24:$E$231=$D171)*([24]perbandingan!$E$24:$E$231=$D171),0))</f>
        <v>35</v>
      </c>
      <c r="L171" s="9">
        <f t="shared" si="3"/>
        <v>11.55115511551155</v>
      </c>
      <c r="M171" s="8" t="str">
        <f t="array" ref="M171">IF(L171&gt;5,"Perlu Pengendalian",IF(AND(L171&gt;=0,I171&gt;0),"Tidak Perlu Pengendalian","Belum Sensus"))</f>
        <v>Perlu Pengendalian</v>
      </c>
      <c r="N171" s="143">
        <f t="array" ref="N171">INDEX([24]perbandingan!$J$24:$J$231,MATCH(1,([24]perbandingan!$E$24:$E$231=$D171)*([24]perbandingan!$E$24:$E$231=$D171),0))</f>
        <v>164</v>
      </c>
      <c r="O171" s="9">
        <f t="array" ref="O171">IFERROR(N171/I171*100,0)</f>
        <v>54.125412541254128</v>
      </c>
    </row>
    <row r="172" spans="1:15" outlineLevel="1" x14ac:dyDescent="0.15">
      <c r="A172" s="8" t="s">
        <v>1273</v>
      </c>
      <c r="B172" s="8" t="s">
        <v>14</v>
      </c>
      <c r="C172" s="8" t="s">
        <v>173</v>
      </c>
      <c r="D172" s="8" t="s">
        <v>1428</v>
      </c>
      <c r="E172" s="9">
        <v>25.46</v>
      </c>
      <c r="F172" s="8" t="s">
        <v>1740</v>
      </c>
      <c r="G172" s="10">
        <v>2880</v>
      </c>
      <c r="H172" s="132">
        <v>46149</v>
      </c>
      <c r="I172" s="143">
        <f t="array" ref="I172">INDEX([24]perbandingan!$H$24:$H$231,MATCH(1,([24]perbandingan!$E$24:$E$231=$D172)*([24]perbandingan!$E$24:$E$231=$D172),0))</f>
        <v>332</v>
      </c>
      <c r="J172" s="9">
        <f t="array" ref="J172">IFERROR(I172/G172*100,0)</f>
        <v>11.527777777777779</v>
      </c>
      <c r="K172" s="143">
        <f t="array" ref="K172">INDEX([24]perbandingan!$L$24:$L$231,MATCH(1,([24]perbandingan!$E$24:$E$231=$D172)*([24]perbandingan!$E$24:$E$231=$D172),0))</f>
        <v>55</v>
      </c>
      <c r="L172" s="9">
        <f t="shared" si="3"/>
        <v>16.566265060240966</v>
      </c>
      <c r="M172" s="8" t="str">
        <f t="array" ref="M172">IF(L172&gt;5,"Perlu Pengendalian",IF(AND(L172&gt;=0,I172&gt;0),"Tidak Perlu Pengendalian","Belum Sensus"))</f>
        <v>Perlu Pengendalian</v>
      </c>
      <c r="N172" s="143">
        <f t="array" ref="N172">INDEX([24]perbandingan!$J$24:$J$231,MATCH(1,([24]perbandingan!$E$24:$E$231=$D172)*([24]perbandingan!$E$24:$E$231=$D172),0))</f>
        <v>182</v>
      </c>
      <c r="O172" s="9">
        <f t="array" ref="O172">IFERROR(N172/I172*100,0)</f>
        <v>54.819277108433738</v>
      </c>
    </row>
    <row r="173" spans="1:15" outlineLevel="1" x14ac:dyDescent="0.15">
      <c r="A173" s="8" t="s">
        <v>1273</v>
      </c>
      <c r="B173" s="8" t="s">
        <v>14</v>
      </c>
      <c r="C173" s="8" t="s">
        <v>173</v>
      </c>
      <c r="D173" s="8" t="s">
        <v>1429</v>
      </c>
      <c r="E173" s="9">
        <v>27.26</v>
      </c>
      <c r="F173" s="8" t="s">
        <v>1740</v>
      </c>
      <c r="G173" s="10">
        <v>3287</v>
      </c>
      <c r="H173" s="132">
        <v>46149</v>
      </c>
      <c r="I173" s="143">
        <f t="array" ref="I173">INDEX([24]perbandingan!$H$24:$H$231,MATCH(1,([24]perbandingan!$E$24:$E$231=$D173)*([24]perbandingan!$E$24:$E$231=$D173),0))</f>
        <v>333</v>
      </c>
      <c r="J173" s="9">
        <f t="array" ref="J173">IFERROR(I173/G173*100,0)</f>
        <v>10.130818375418315</v>
      </c>
      <c r="K173" s="143">
        <f t="array" ref="K173">INDEX([24]perbandingan!$L$24:$L$231,MATCH(1,([24]perbandingan!$E$24:$E$231=$D173)*([24]perbandingan!$E$24:$E$231=$D173),0))</f>
        <v>38</v>
      </c>
      <c r="L173" s="9">
        <f t="shared" si="3"/>
        <v>11.411411411411411</v>
      </c>
      <c r="M173" s="8" t="str">
        <f t="array" ref="M173">IF(L173&gt;5,"Perlu Pengendalian",IF(AND(L173&gt;=0,I173&gt;0),"Tidak Perlu Pengendalian","Belum Sensus"))</f>
        <v>Perlu Pengendalian</v>
      </c>
      <c r="N173" s="143">
        <f t="array" ref="N173">INDEX([24]perbandingan!$J$24:$J$231,MATCH(1,([24]perbandingan!$E$24:$E$231=$D173)*([24]perbandingan!$E$24:$E$231=$D173),0))</f>
        <v>106</v>
      </c>
      <c r="O173" s="9">
        <f t="array" ref="O173">IFERROR(N173/I173*100,0)</f>
        <v>31.831831831831831</v>
      </c>
    </row>
    <row r="174" spans="1:15" outlineLevel="1" x14ac:dyDescent="0.15">
      <c r="A174" s="8" t="s">
        <v>1273</v>
      </c>
      <c r="B174" s="8" t="s">
        <v>14</v>
      </c>
      <c r="C174" s="8" t="s">
        <v>173</v>
      </c>
      <c r="D174" s="8" t="s">
        <v>1430</v>
      </c>
      <c r="E174" s="9">
        <v>29.15</v>
      </c>
      <c r="F174" s="8" t="s">
        <v>1740</v>
      </c>
      <c r="G174" s="10">
        <v>3574</v>
      </c>
      <c r="H174" s="132">
        <v>46149</v>
      </c>
      <c r="I174" s="143">
        <f t="array" ref="I174">INDEX([24]perbandingan!$H$24:$H$231,MATCH(1,([24]perbandingan!$E$24:$E$231=$D174)*([24]perbandingan!$E$24:$E$231=$D174),0))</f>
        <v>382</v>
      </c>
      <c r="J174" s="9">
        <f t="array" ref="J174">IFERROR(I174/G174*100,0)</f>
        <v>10.688304420817012</v>
      </c>
      <c r="K174" s="143">
        <f t="array" ref="K174">INDEX([24]perbandingan!$L$24:$L$231,MATCH(1,([24]perbandingan!$E$24:$E$231=$D174)*([24]perbandingan!$E$24:$E$231=$D174),0))</f>
        <v>30</v>
      </c>
      <c r="L174" s="9">
        <f t="shared" si="3"/>
        <v>7.8534031413612562</v>
      </c>
      <c r="M174" s="8" t="str">
        <f t="array" ref="M174">IF(L174&gt;5,"Perlu Pengendalian",IF(AND(L174&gt;=0,I174&gt;0),"Tidak Perlu Pengendalian","Belum Sensus"))</f>
        <v>Perlu Pengendalian</v>
      </c>
      <c r="N174" s="143">
        <f t="array" ref="N174">INDEX([24]perbandingan!$J$24:$J$231,MATCH(1,([24]perbandingan!$E$24:$E$231=$D174)*([24]perbandingan!$E$24:$E$231=$D174),0))</f>
        <v>137</v>
      </c>
      <c r="O174" s="9">
        <f t="array" ref="O174">IFERROR(N174/I174*100,0)</f>
        <v>35.863874345549739</v>
      </c>
    </row>
    <row r="175" spans="1:15" outlineLevel="1" x14ac:dyDescent="0.15">
      <c r="A175" s="8" t="s">
        <v>1273</v>
      </c>
      <c r="B175" s="8" t="s">
        <v>14</v>
      </c>
      <c r="C175" s="8" t="s">
        <v>173</v>
      </c>
      <c r="D175" s="8" t="s">
        <v>1431</v>
      </c>
      <c r="E175" s="9">
        <v>23.700000000000003</v>
      </c>
      <c r="F175" s="8" t="s">
        <v>1740</v>
      </c>
      <c r="G175" s="10">
        <v>2699</v>
      </c>
      <c r="H175" s="132">
        <v>46149</v>
      </c>
      <c r="I175" s="143">
        <f t="array" ref="I175">INDEX([24]perbandingan!$H$24:$H$231,MATCH(1,([24]perbandingan!$E$24:$E$231=$D175)*([24]perbandingan!$E$24:$E$231=$D175),0))</f>
        <v>359</v>
      </c>
      <c r="J175" s="9">
        <f t="array" ref="J175">IFERROR(I175/G175*100,0)</f>
        <v>13.301222675064839</v>
      </c>
      <c r="K175" s="143">
        <f t="array" ref="K175">INDEX([24]perbandingan!$L$24:$L$231,MATCH(1,([24]perbandingan!$E$24:$E$231=$D175)*([24]perbandingan!$E$24:$E$231=$D175),0))</f>
        <v>99</v>
      </c>
      <c r="L175" s="9">
        <f t="shared" si="3"/>
        <v>27.576601671309191</v>
      </c>
      <c r="M175" s="8" t="str">
        <f t="array" ref="M175">IF(L175&gt;5,"Perlu Pengendalian",IF(AND(L175&gt;=0,I175&gt;0),"Tidak Perlu Pengendalian","Belum Sensus"))</f>
        <v>Perlu Pengendalian</v>
      </c>
      <c r="N175" s="143">
        <f t="array" ref="N175">INDEX([24]perbandingan!$J$24:$J$231,MATCH(1,([24]perbandingan!$E$24:$E$231=$D175)*([24]perbandingan!$E$24:$E$231=$D175),0))</f>
        <v>100</v>
      </c>
      <c r="O175" s="9">
        <f t="array" ref="O175">IFERROR(N175/I175*100,0)</f>
        <v>27.855153203342621</v>
      </c>
    </row>
    <row r="176" spans="1:15" outlineLevel="1" x14ac:dyDescent="0.15">
      <c r="A176" s="8" t="s">
        <v>1273</v>
      </c>
      <c r="B176" s="8" t="s">
        <v>14</v>
      </c>
      <c r="C176" s="8" t="s">
        <v>173</v>
      </c>
      <c r="D176" s="8" t="s">
        <v>1432</v>
      </c>
      <c r="E176" s="9">
        <v>4.639999999999997</v>
      </c>
      <c r="F176" s="8" t="s">
        <v>1740</v>
      </c>
      <c r="G176" s="10">
        <v>420</v>
      </c>
      <c r="H176" s="132">
        <v>46149</v>
      </c>
      <c r="I176" s="143">
        <f t="array" ref="I176">INDEX([24]perbandingan!$H$24:$H$231,MATCH(1,([24]perbandingan!$E$24:$E$231=$D176)*([24]perbandingan!$E$24:$E$231=$D176),0))</f>
        <v>271</v>
      </c>
      <c r="J176" s="9">
        <f t="array" ref="J176">IFERROR(I176/G176*100,0)</f>
        <v>64.523809523809533</v>
      </c>
      <c r="K176" s="143">
        <f t="array" ref="K176">INDEX([24]perbandingan!$L$24:$L$231,MATCH(1,([24]perbandingan!$E$24:$E$231=$D176)*([24]perbandingan!$E$24:$E$231=$D176),0))</f>
        <v>25</v>
      </c>
      <c r="L176" s="9">
        <f t="shared" si="3"/>
        <v>9.2250922509225095</v>
      </c>
      <c r="M176" s="8" t="str">
        <f t="array" ref="M176">IF(L176&gt;5,"Perlu Pengendalian",IF(AND(L176&gt;=0,I176&gt;0),"Tidak Perlu Pengendalian","Belum Sensus"))</f>
        <v>Perlu Pengendalian</v>
      </c>
      <c r="N176" s="143">
        <f t="array" ref="N176">INDEX([24]perbandingan!$J$24:$J$231,MATCH(1,([24]perbandingan!$E$24:$E$231=$D176)*([24]perbandingan!$E$24:$E$231=$D176),0))</f>
        <v>103</v>
      </c>
      <c r="O176" s="9">
        <f t="array" ref="O176">IFERROR(N176/I176*100,0)</f>
        <v>38.007380073800739</v>
      </c>
    </row>
    <row r="177" spans="1:15" outlineLevel="1" x14ac:dyDescent="0.15">
      <c r="A177" s="8" t="s">
        <v>1273</v>
      </c>
      <c r="B177" s="8" t="s">
        <v>14</v>
      </c>
      <c r="C177" s="8" t="s">
        <v>173</v>
      </c>
      <c r="D177" s="8" t="s">
        <v>1433</v>
      </c>
      <c r="E177" s="9">
        <v>22.990000000000002</v>
      </c>
      <c r="F177" s="8" t="s">
        <v>1740</v>
      </c>
      <c r="G177" s="10">
        <v>2556</v>
      </c>
      <c r="H177" s="132">
        <v>46149</v>
      </c>
      <c r="I177" s="143">
        <f t="array" ref="I177">INDEX([24]perbandingan!$H$24:$H$231,MATCH(1,([24]perbandingan!$E$24:$E$231=$D177)*([24]perbandingan!$E$24:$E$231=$D177),0))</f>
        <v>375</v>
      </c>
      <c r="J177" s="9">
        <f t="array" ref="J177">IFERROR(I177/G177*100,0)</f>
        <v>14.671361502347418</v>
      </c>
      <c r="K177" s="143">
        <f t="array" ref="K177">INDEX([24]perbandingan!$L$24:$L$231,MATCH(1,([24]perbandingan!$E$24:$E$231=$D177)*([24]perbandingan!$E$24:$E$231=$D177),0))</f>
        <v>39</v>
      </c>
      <c r="L177" s="9">
        <f t="shared" si="3"/>
        <v>10.4</v>
      </c>
      <c r="M177" s="8" t="str">
        <f t="array" ref="M177">IF(L177&gt;5,"Perlu Pengendalian",IF(AND(L177&gt;=0,I177&gt;0),"Tidak Perlu Pengendalian","Belum Sensus"))</f>
        <v>Perlu Pengendalian</v>
      </c>
      <c r="N177" s="143">
        <f t="array" ref="N177">INDEX([24]perbandingan!$J$24:$J$231,MATCH(1,([24]perbandingan!$E$24:$E$231=$D177)*([24]perbandingan!$E$24:$E$231=$D177),0))</f>
        <v>189</v>
      </c>
      <c r="O177" s="9">
        <f t="array" ref="O177">IFERROR(N177/I177*100,0)</f>
        <v>50.4</v>
      </c>
    </row>
    <row r="178" spans="1:15" outlineLevel="1" x14ac:dyDescent="0.15">
      <c r="A178" s="8" t="s">
        <v>1273</v>
      </c>
      <c r="B178" s="8" t="s">
        <v>14</v>
      </c>
      <c r="C178" s="8" t="s">
        <v>173</v>
      </c>
      <c r="D178" s="8" t="s">
        <v>1434</v>
      </c>
      <c r="E178" s="9">
        <v>0.71000000000000085</v>
      </c>
      <c r="F178" s="8" t="s">
        <v>1740</v>
      </c>
      <c r="G178" s="10">
        <v>113</v>
      </c>
      <c r="H178" s="132">
        <v>46149</v>
      </c>
      <c r="I178" s="143">
        <f t="array" ref="I178">INDEX([24]perbandingan!$H$24:$H$231,MATCH(1,([24]perbandingan!$E$24:$E$231=$D178)*([24]perbandingan!$E$24:$E$231=$D178),0))</f>
        <v>255</v>
      </c>
      <c r="J178" s="9">
        <f t="array" ref="J178">IFERROR(I178/G178*100,0)</f>
        <v>225.6637168141593</v>
      </c>
      <c r="K178" s="143">
        <f t="array" ref="K178">INDEX([24]perbandingan!$L$24:$L$231,MATCH(1,([24]perbandingan!$E$24:$E$231=$D178)*([24]perbandingan!$E$24:$E$231=$D178),0))</f>
        <v>100</v>
      </c>
      <c r="L178" s="9">
        <f t="shared" si="3"/>
        <v>39.215686274509807</v>
      </c>
      <c r="M178" s="8" t="str">
        <f t="array" ref="M178">IF(L178&gt;5,"Perlu Pengendalian",IF(AND(L178&gt;=0,I178&gt;0),"Tidak Perlu Pengendalian","Belum Sensus"))</f>
        <v>Perlu Pengendalian</v>
      </c>
      <c r="N178" s="143">
        <f t="array" ref="N178">INDEX([24]perbandingan!$J$24:$J$231,MATCH(1,([24]perbandingan!$E$24:$E$231=$D178)*([24]perbandingan!$E$24:$E$231=$D178),0))</f>
        <v>140</v>
      </c>
      <c r="O178" s="9">
        <f t="array" ref="O178">IFERROR(N178/I178*100,0)</f>
        <v>54.901960784313729</v>
      </c>
    </row>
    <row r="179" spans="1:15" outlineLevel="1" x14ac:dyDescent="0.15">
      <c r="A179" s="8" t="s">
        <v>1273</v>
      </c>
      <c r="B179" s="8" t="s">
        <v>14</v>
      </c>
      <c r="C179" s="8" t="s">
        <v>173</v>
      </c>
      <c r="D179" s="8" t="s">
        <v>1435</v>
      </c>
      <c r="E179" s="9">
        <v>32.07</v>
      </c>
      <c r="F179" s="8" t="s">
        <v>1740</v>
      </c>
      <c r="G179" s="10">
        <v>3824</v>
      </c>
      <c r="H179" s="132">
        <v>46149</v>
      </c>
      <c r="I179" s="143">
        <f t="array" ref="I179">INDEX([24]perbandingan!$H$24:$H$231,MATCH(1,([24]perbandingan!$E$24:$E$231=$D179)*([24]perbandingan!$E$24:$E$231=$D179),0))</f>
        <v>381</v>
      </c>
      <c r="J179" s="9">
        <f t="array" ref="J179">IFERROR(I179/G179*100,0)</f>
        <v>9.9633891213389134</v>
      </c>
      <c r="K179" s="143">
        <f t="array" ref="K179">INDEX([24]perbandingan!$L$24:$L$231,MATCH(1,([24]perbandingan!$E$24:$E$231=$D179)*([24]perbandingan!$E$24:$E$231=$D179),0))</f>
        <v>61</v>
      </c>
      <c r="L179" s="9">
        <f t="shared" si="3"/>
        <v>16.010498687664043</v>
      </c>
      <c r="M179" s="8" t="str">
        <f t="array" ref="M179">IF(L179&gt;5,"Perlu Pengendalian",IF(AND(L179&gt;=0,I179&gt;0),"Tidak Perlu Pengendalian","Belum Sensus"))</f>
        <v>Perlu Pengendalian</v>
      </c>
      <c r="N179" s="143">
        <f t="array" ref="N179">INDEX([24]perbandingan!$J$24:$J$231,MATCH(1,([24]perbandingan!$E$24:$E$231=$D179)*([24]perbandingan!$E$24:$E$231=$D179),0))</f>
        <v>226</v>
      </c>
      <c r="O179" s="9">
        <f t="array" ref="O179">IFERROR(N179/I179*100,0)</f>
        <v>59.317585301837269</v>
      </c>
    </row>
    <row r="180" spans="1:15" outlineLevel="1" x14ac:dyDescent="0.15">
      <c r="A180" s="8" t="s">
        <v>1273</v>
      </c>
      <c r="B180" s="8" t="s">
        <v>14</v>
      </c>
      <c r="C180" s="8" t="s">
        <v>173</v>
      </c>
      <c r="D180" s="8" t="s">
        <v>1436</v>
      </c>
      <c r="E180" s="9">
        <v>31.69</v>
      </c>
      <c r="F180" s="8" t="s">
        <v>1740</v>
      </c>
      <c r="G180" s="10">
        <v>3884</v>
      </c>
      <c r="H180" s="132">
        <v>46149</v>
      </c>
      <c r="I180" s="143">
        <f t="array" ref="I180">INDEX([24]perbandingan!$H$24:$H$231,MATCH(1,([24]perbandingan!$E$24:$E$231=$D180)*([24]perbandingan!$E$24:$E$231=$D180),0))</f>
        <v>343</v>
      </c>
      <c r="J180" s="9">
        <f t="array" ref="J180">IFERROR(I180/G180*100,0)</f>
        <v>8.8311019567456217</v>
      </c>
      <c r="K180" s="143">
        <f t="array" ref="K180">INDEX([24]perbandingan!$L$24:$L$231,MATCH(1,([24]perbandingan!$E$24:$E$231=$D180)*([24]perbandingan!$E$24:$E$231=$D180),0))</f>
        <v>140</v>
      </c>
      <c r="L180" s="9">
        <f t="shared" si="3"/>
        <v>40.816326530612244</v>
      </c>
      <c r="M180" s="8" t="str">
        <f t="array" ref="M180">IF(L180&gt;5,"Perlu Pengendalian",IF(AND(L180&gt;=0,I180&gt;0),"Tidak Perlu Pengendalian","Belum Sensus"))</f>
        <v>Perlu Pengendalian</v>
      </c>
      <c r="N180" s="143">
        <f t="array" ref="N180">INDEX([24]perbandingan!$J$24:$J$231,MATCH(1,([24]perbandingan!$E$24:$E$231=$D180)*([24]perbandingan!$E$24:$E$231=$D180),0))</f>
        <v>177</v>
      </c>
      <c r="O180" s="9">
        <f t="array" ref="O180">IFERROR(N180/I180*100,0)</f>
        <v>51.603498542274053</v>
      </c>
    </row>
    <row r="181" spans="1:15" outlineLevel="1" x14ac:dyDescent="0.15">
      <c r="A181" s="8" t="s">
        <v>1273</v>
      </c>
      <c r="B181" s="8" t="s">
        <v>14</v>
      </c>
      <c r="C181" s="8" t="s">
        <v>173</v>
      </c>
      <c r="D181" s="8" t="s">
        <v>1437</v>
      </c>
      <c r="E181" s="9">
        <v>29.68</v>
      </c>
      <c r="F181" s="8" t="s">
        <v>1740</v>
      </c>
      <c r="G181" s="10">
        <v>3740</v>
      </c>
      <c r="H181" s="132">
        <v>46149</v>
      </c>
      <c r="I181" s="143">
        <f t="array" ref="I181">INDEX([24]perbandingan!$H$24:$H$231,MATCH(1,([24]perbandingan!$E$24:$E$231=$D181)*([24]perbandingan!$E$24:$E$231=$D181),0))</f>
        <v>327</v>
      </c>
      <c r="J181" s="9">
        <f t="array" ref="J181">IFERROR(I181/G181*100,0)</f>
        <v>8.7433155080213911</v>
      </c>
      <c r="K181" s="143">
        <f t="array" ref="K181">INDEX([24]perbandingan!$L$24:$L$231,MATCH(1,([24]perbandingan!$E$24:$E$231=$D181)*([24]perbandingan!$E$24:$E$231=$D181),0))</f>
        <v>23</v>
      </c>
      <c r="L181" s="9">
        <f t="shared" si="3"/>
        <v>7.0336391437308867</v>
      </c>
      <c r="M181" s="8" t="str">
        <f t="array" ref="M181">IF(L181&gt;5,"Perlu Pengendalian",IF(AND(L181&gt;=0,I181&gt;0),"Tidak Perlu Pengendalian","Belum Sensus"))</f>
        <v>Perlu Pengendalian</v>
      </c>
      <c r="N181" s="143">
        <f t="array" ref="N181">INDEX([24]perbandingan!$J$24:$J$231,MATCH(1,([24]perbandingan!$E$24:$E$231=$D181)*([24]perbandingan!$E$24:$E$231=$D181),0))</f>
        <v>95</v>
      </c>
      <c r="O181" s="9">
        <f t="array" ref="O181">IFERROR(N181/I181*100,0)</f>
        <v>29.051987767584098</v>
      </c>
    </row>
    <row r="182" spans="1:15" outlineLevel="1" x14ac:dyDescent="0.15">
      <c r="A182" s="8" t="s">
        <v>1273</v>
      </c>
      <c r="B182" s="8" t="s">
        <v>14</v>
      </c>
      <c r="C182" s="8" t="s">
        <v>173</v>
      </c>
      <c r="D182" s="8" t="s">
        <v>1438</v>
      </c>
      <c r="E182" s="9">
        <v>24.94</v>
      </c>
      <c r="F182" s="8" t="s">
        <v>1740</v>
      </c>
      <c r="G182" s="10">
        <v>2599</v>
      </c>
      <c r="H182" s="132">
        <v>46149</v>
      </c>
      <c r="I182" s="143">
        <f t="array" ref="I182">INDEX([24]perbandingan!$H$24:$H$231,MATCH(1,([24]perbandingan!$E$24:$E$231=$D182)*([24]perbandingan!$E$24:$E$231=$D182),0))</f>
        <v>125</v>
      </c>
      <c r="J182" s="9">
        <f t="array" ref="J182">IFERROR(I182/G182*100,0)</f>
        <v>4.8095421315890725</v>
      </c>
      <c r="K182" s="143">
        <f t="array" ref="K182">INDEX([24]perbandingan!$L$24:$L$231,MATCH(1,([24]perbandingan!$E$24:$E$231=$D182)*([24]perbandingan!$E$24:$E$231=$D182),0))</f>
        <v>8</v>
      </c>
      <c r="L182" s="9">
        <f t="shared" si="3"/>
        <v>6.4</v>
      </c>
      <c r="M182" s="8" t="str">
        <f t="array" ref="M182">IF(L182&gt;5,"Perlu Pengendalian",IF(AND(L182&gt;=0,I182&gt;0),"Tidak Perlu Pengendalian","Belum Sensus"))</f>
        <v>Perlu Pengendalian</v>
      </c>
      <c r="N182" s="143">
        <f t="array" ref="N182">INDEX([24]perbandingan!$J$24:$J$231,MATCH(1,([24]perbandingan!$E$24:$E$231=$D182)*([24]perbandingan!$E$24:$E$231=$D182),0))</f>
        <v>32</v>
      </c>
      <c r="O182" s="9">
        <f t="array" ref="O182">IFERROR(N182/I182*100,0)</f>
        <v>25.6</v>
      </c>
    </row>
    <row r="183" spans="1:15" outlineLevel="1" x14ac:dyDescent="0.15">
      <c r="A183" s="8" t="s">
        <v>1273</v>
      </c>
      <c r="B183" s="8" t="s">
        <v>14</v>
      </c>
      <c r="C183" s="8" t="s">
        <v>173</v>
      </c>
      <c r="D183" s="8" t="s">
        <v>1439</v>
      </c>
      <c r="E183" s="9">
        <v>27.390000000000004</v>
      </c>
      <c r="F183" s="8" t="s">
        <v>1740</v>
      </c>
      <c r="G183" s="10">
        <v>3047</v>
      </c>
      <c r="H183" s="132">
        <v>46149</v>
      </c>
      <c r="I183" s="143">
        <f t="array" ref="I183">INDEX([24]perbandingan!$H$24:$H$231,MATCH(1,([24]perbandingan!$E$24:$E$231=$D183)*([24]perbandingan!$E$24:$E$231=$D183),0))</f>
        <v>313</v>
      </c>
      <c r="J183" s="9">
        <f t="array" ref="J183">IFERROR(I183/G183*100,0)</f>
        <v>10.272399081063341</v>
      </c>
      <c r="K183" s="143">
        <f t="array" ref="K183">INDEX([24]perbandingan!$L$24:$L$231,MATCH(1,([24]perbandingan!$E$24:$E$231=$D183)*([24]perbandingan!$E$24:$E$231=$D183),0))</f>
        <v>42</v>
      </c>
      <c r="L183" s="9">
        <f t="shared" si="3"/>
        <v>13.418530351437699</v>
      </c>
      <c r="M183" s="8" t="str">
        <f t="array" ref="M183">IF(L183&gt;5,"Perlu Pengendalian",IF(AND(L183&gt;=0,I183&gt;0),"Tidak Perlu Pengendalian","Belum Sensus"))</f>
        <v>Perlu Pengendalian</v>
      </c>
      <c r="N183" s="143">
        <f t="array" ref="N183">INDEX([24]perbandingan!$J$24:$J$231,MATCH(1,([24]perbandingan!$E$24:$E$231=$D183)*([24]perbandingan!$E$24:$E$231=$D183),0))</f>
        <v>101</v>
      </c>
      <c r="O183" s="9">
        <f t="array" ref="O183">IFERROR(N183/I183*100,0)</f>
        <v>32.26837060702875</v>
      </c>
    </row>
    <row r="184" spans="1:15" outlineLevel="1" x14ac:dyDescent="0.15">
      <c r="A184" s="8" t="s">
        <v>1273</v>
      </c>
      <c r="B184" s="8" t="s">
        <v>14</v>
      </c>
      <c r="C184" s="8" t="s">
        <v>173</v>
      </c>
      <c r="D184" s="8" t="s">
        <v>1440</v>
      </c>
      <c r="E184" s="9">
        <v>31.4</v>
      </c>
      <c r="F184" s="8" t="s">
        <v>1740</v>
      </c>
      <c r="G184" s="10">
        <v>4069</v>
      </c>
      <c r="H184" s="132">
        <v>46149</v>
      </c>
      <c r="I184" s="143">
        <f t="array" ref="I184">INDEX([24]perbandingan!$H$24:$H$231,MATCH(1,([24]perbandingan!$E$24:$E$231=$D184)*([24]perbandingan!$E$24:$E$231=$D184),0))</f>
        <v>310</v>
      </c>
      <c r="J184" s="9">
        <f t="array" ref="J184">IFERROR(I184/G184*100,0)</f>
        <v>7.6185795035635291</v>
      </c>
      <c r="K184" s="143">
        <f t="array" ref="K184">INDEX([24]perbandingan!$L$24:$L$231,MATCH(1,([24]perbandingan!$E$24:$E$231=$D184)*([24]perbandingan!$E$24:$E$231=$D184),0))</f>
        <v>27</v>
      </c>
      <c r="L184" s="9">
        <f t="shared" si="3"/>
        <v>8.7096774193548381</v>
      </c>
      <c r="M184" s="8" t="str">
        <f t="array" ref="M184">IF(L184&gt;5,"Perlu Pengendalian",IF(AND(L184&gt;=0,I184&gt;0),"Tidak Perlu Pengendalian","Belum Sensus"))</f>
        <v>Perlu Pengendalian</v>
      </c>
      <c r="N184" s="143">
        <f t="array" ref="N184">INDEX([24]perbandingan!$J$24:$J$231,MATCH(1,([24]perbandingan!$E$24:$E$231=$D184)*([24]perbandingan!$E$24:$E$231=$D184),0))</f>
        <v>138</v>
      </c>
      <c r="O184" s="9">
        <f t="array" ref="O184">IFERROR(N184/I184*100,0)</f>
        <v>44.516129032258064</v>
      </c>
    </row>
    <row r="185" spans="1:15" outlineLevel="1" x14ac:dyDescent="0.15">
      <c r="A185" s="8" t="s">
        <v>1273</v>
      </c>
      <c r="B185" s="8" t="s">
        <v>14</v>
      </c>
      <c r="C185" s="8" t="s">
        <v>216</v>
      </c>
      <c r="D185" s="8" t="s">
        <v>1441</v>
      </c>
      <c r="E185" s="9">
        <v>29.5</v>
      </c>
      <c r="F185" s="8" t="s">
        <v>1740</v>
      </c>
      <c r="G185" s="10">
        <v>3487</v>
      </c>
      <c r="H185" s="132">
        <v>46153</v>
      </c>
      <c r="I185" s="143">
        <f t="array" ref="I185">INDEX([24]perbandingan!$H$24:$H$231,MATCH(1,([24]perbandingan!$E$24:$E$231=$D185)*([24]perbandingan!$E$24:$E$231=$D185),0))</f>
        <v>519</v>
      </c>
      <c r="J185" s="9">
        <f t="array" ref="J185">IFERROR(I185/G185*100,0)</f>
        <v>14.883854316030973</v>
      </c>
      <c r="K185" s="143">
        <f t="array" ref="K185">INDEX([24]perbandingan!$L$24:$L$231,MATCH(1,([24]perbandingan!$E$24:$E$231=$D185)*([24]perbandingan!$E$24:$E$231=$D185),0))</f>
        <v>41</v>
      </c>
      <c r="L185" s="9">
        <f t="shared" si="3"/>
        <v>7.8998073217726397</v>
      </c>
      <c r="M185" s="8" t="str">
        <f t="array" ref="M185">IF(L185&gt;5,"Perlu Pengendalian",IF(AND(L185&gt;=0,I185&gt;0),"Tidak Perlu Pengendalian","Belum Sensus"))</f>
        <v>Perlu Pengendalian</v>
      </c>
      <c r="N185" s="143">
        <f t="array" ref="N185">INDEX([24]perbandingan!$J$24:$J$231,MATCH(1,([24]perbandingan!$E$24:$E$231=$D185)*([24]perbandingan!$E$24:$E$231=$D185),0))</f>
        <v>197</v>
      </c>
      <c r="O185" s="9">
        <f t="array" ref="O185">IFERROR(N185/I185*100,0)</f>
        <v>37.957610789980734</v>
      </c>
    </row>
    <row r="186" spans="1:15" outlineLevel="1" x14ac:dyDescent="0.15">
      <c r="A186" s="8" t="s">
        <v>1273</v>
      </c>
      <c r="B186" s="8" t="s">
        <v>14</v>
      </c>
      <c r="C186" s="8" t="s">
        <v>216</v>
      </c>
      <c r="D186" s="8" t="s">
        <v>1442</v>
      </c>
      <c r="E186" s="9">
        <v>31.92</v>
      </c>
      <c r="F186" s="8" t="s">
        <v>1740</v>
      </c>
      <c r="G186" s="10">
        <v>3512</v>
      </c>
      <c r="H186" s="132">
        <v>46153</v>
      </c>
      <c r="I186" s="143">
        <f t="array" ref="I186">INDEX([24]perbandingan!$H$24:$H$231,MATCH(1,([24]perbandingan!$E$24:$E$231=$D186)*([24]perbandingan!$E$24:$E$231=$D186),0))</f>
        <v>373</v>
      </c>
      <c r="J186" s="9">
        <f t="array" ref="J186">IFERROR(I186/G186*100,0)</f>
        <v>10.620728929384967</v>
      </c>
      <c r="K186" s="143">
        <f t="array" ref="K186">INDEX([24]perbandingan!$L$24:$L$231,MATCH(1,([24]perbandingan!$E$24:$E$231=$D186)*([24]perbandingan!$E$24:$E$231=$D186),0))</f>
        <v>39</v>
      </c>
      <c r="L186" s="9">
        <f t="shared" si="3"/>
        <v>10.455764075067025</v>
      </c>
      <c r="M186" s="8" t="str">
        <f t="array" ref="M186">IF(L186&gt;5,"Perlu Pengendalian",IF(AND(L186&gt;=0,I186&gt;0),"Tidak Perlu Pengendalian","Belum Sensus"))</f>
        <v>Perlu Pengendalian</v>
      </c>
      <c r="N186" s="143">
        <f t="array" ref="N186">INDEX([24]perbandingan!$J$24:$J$231,MATCH(1,([24]perbandingan!$E$24:$E$231=$D186)*([24]perbandingan!$E$24:$E$231=$D186),0))</f>
        <v>198</v>
      </c>
      <c r="O186" s="9">
        <f t="array" ref="O186">IFERROR(N186/I186*100,0)</f>
        <v>53.083109919571051</v>
      </c>
    </row>
    <row r="187" spans="1:15" outlineLevel="1" x14ac:dyDescent="0.15">
      <c r="A187" s="8" t="s">
        <v>1273</v>
      </c>
      <c r="B187" s="8" t="s">
        <v>14</v>
      </c>
      <c r="C187" s="8" t="s">
        <v>216</v>
      </c>
      <c r="D187" s="8" t="s">
        <v>1443</v>
      </c>
      <c r="E187" s="9">
        <v>28.02</v>
      </c>
      <c r="F187" s="8" t="s">
        <v>1740</v>
      </c>
      <c r="G187" s="10">
        <v>3138</v>
      </c>
      <c r="H187" s="132">
        <v>46153</v>
      </c>
      <c r="I187" s="143">
        <f t="array" ref="I187">INDEX([24]perbandingan!$H$24:$H$231,MATCH(1,([24]perbandingan!$E$24:$E$231=$D187)*([24]perbandingan!$E$24:$E$231=$D187),0))</f>
        <v>355</v>
      </c>
      <c r="J187" s="9">
        <f t="array" ref="J187">IFERROR(I187/G187*100,0)</f>
        <v>11.312938177182918</v>
      </c>
      <c r="K187" s="143">
        <f t="array" ref="K187">INDEX([24]perbandingan!$L$24:$L$231,MATCH(1,([24]perbandingan!$E$24:$E$231=$D187)*([24]perbandingan!$E$24:$E$231=$D187),0))</f>
        <v>38</v>
      </c>
      <c r="L187" s="9">
        <f t="shared" si="3"/>
        <v>10.704225352112676</v>
      </c>
      <c r="M187" s="8" t="str">
        <f t="array" ref="M187">IF(L187&gt;5,"Perlu Pengendalian",IF(AND(L187&gt;=0,I187&gt;0),"Tidak Perlu Pengendalian","Belum Sensus"))</f>
        <v>Perlu Pengendalian</v>
      </c>
      <c r="N187" s="143">
        <f t="array" ref="N187">INDEX([24]perbandingan!$J$24:$J$231,MATCH(1,([24]perbandingan!$E$24:$E$231=$D187)*([24]perbandingan!$E$24:$E$231=$D187),0))</f>
        <v>182</v>
      </c>
      <c r="O187" s="9">
        <f t="array" ref="O187">IFERROR(N187/I187*100,0)</f>
        <v>51.267605633802816</v>
      </c>
    </row>
    <row r="188" spans="1:15" outlineLevel="1" x14ac:dyDescent="0.15">
      <c r="A188" s="8" t="s">
        <v>1273</v>
      </c>
      <c r="B188" s="8" t="s">
        <v>14</v>
      </c>
      <c r="C188" s="8" t="s">
        <v>216</v>
      </c>
      <c r="D188" s="8" t="s">
        <v>1444</v>
      </c>
      <c r="E188" s="9">
        <v>28.27</v>
      </c>
      <c r="F188" s="8" t="s">
        <v>1740</v>
      </c>
      <c r="G188" s="10">
        <v>3081</v>
      </c>
      <c r="H188" s="132">
        <v>46153</v>
      </c>
      <c r="I188" s="143">
        <f t="array" ref="I188">INDEX([24]perbandingan!$H$24:$H$231,MATCH(1,([24]perbandingan!$E$24:$E$231=$D188)*([24]perbandingan!$E$24:$E$231=$D188),0))</f>
        <v>369</v>
      </c>
      <c r="J188" s="9">
        <f t="array" ref="J188">IFERROR(I188/G188*100,0)</f>
        <v>11.976630963972736</v>
      </c>
      <c r="K188" s="143">
        <f t="array" ref="K188">INDEX([24]perbandingan!$L$24:$L$231,MATCH(1,([24]perbandingan!$E$24:$E$231=$D188)*([24]perbandingan!$E$24:$E$231=$D188),0))</f>
        <v>41</v>
      </c>
      <c r="L188" s="9">
        <f t="shared" si="3"/>
        <v>11.111111111111111</v>
      </c>
      <c r="M188" s="8" t="str">
        <f t="array" ref="M188">IF(L188&gt;5,"Perlu Pengendalian",IF(AND(L188&gt;=0,I188&gt;0),"Tidak Perlu Pengendalian","Belum Sensus"))</f>
        <v>Perlu Pengendalian</v>
      </c>
      <c r="N188" s="143">
        <f t="array" ref="N188">INDEX([24]perbandingan!$J$24:$J$231,MATCH(1,([24]perbandingan!$E$24:$E$231=$D188)*([24]perbandingan!$E$24:$E$231=$D188),0))</f>
        <v>185</v>
      </c>
      <c r="O188" s="9">
        <f t="array" ref="O188">IFERROR(N188/I188*100,0)</f>
        <v>50.135501355013545</v>
      </c>
    </row>
    <row r="189" spans="1:15" outlineLevel="1" x14ac:dyDescent="0.15">
      <c r="A189" s="8" t="s">
        <v>1273</v>
      </c>
      <c r="B189" s="8" t="s">
        <v>14</v>
      </c>
      <c r="C189" s="8" t="s">
        <v>216</v>
      </c>
      <c r="D189" s="8" t="s">
        <v>1445</v>
      </c>
      <c r="E189" s="9">
        <v>28.45</v>
      </c>
      <c r="F189" s="8" t="s">
        <v>1740</v>
      </c>
      <c r="G189" s="10">
        <v>2920</v>
      </c>
      <c r="H189" s="132">
        <v>46153</v>
      </c>
      <c r="I189" s="143">
        <f t="array" ref="I189">INDEX([24]perbandingan!$H$24:$H$231,MATCH(1,([24]perbandingan!$E$24:$E$231=$D189)*([24]perbandingan!$E$24:$E$231=$D189),0))</f>
        <v>323</v>
      </c>
      <c r="J189" s="9">
        <f t="array" ref="J189">IFERROR(I189/G189*100,0)</f>
        <v>11.061643835616438</v>
      </c>
      <c r="K189" s="143">
        <f t="array" ref="K189">INDEX([24]perbandingan!$L$24:$L$231,MATCH(1,([24]perbandingan!$E$24:$E$231=$D189)*([24]perbandingan!$E$24:$E$231=$D189),0))</f>
        <v>43</v>
      </c>
      <c r="L189" s="9">
        <f t="shared" si="3"/>
        <v>13.312693498452013</v>
      </c>
      <c r="M189" s="8" t="str">
        <f t="array" ref="M189">IF(L189&gt;5,"Perlu Pengendalian",IF(AND(L189&gt;=0,I189&gt;0),"Tidak Perlu Pengendalian","Belum Sensus"))</f>
        <v>Perlu Pengendalian</v>
      </c>
      <c r="N189" s="143">
        <f t="array" ref="N189">INDEX([24]perbandingan!$J$24:$J$231,MATCH(1,([24]perbandingan!$E$24:$E$231=$D189)*([24]perbandingan!$E$24:$E$231=$D189),0))</f>
        <v>183</v>
      </c>
      <c r="O189" s="9">
        <f t="array" ref="O189">IFERROR(N189/I189*100,0)</f>
        <v>56.656346749226003</v>
      </c>
    </row>
    <row r="190" spans="1:15" outlineLevel="1" x14ac:dyDescent="0.15">
      <c r="A190" s="8" t="s">
        <v>1273</v>
      </c>
      <c r="B190" s="8" t="s">
        <v>14</v>
      </c>
      <c r="C190" s="8" t="s">
        <v>216</v>
      </c>
      <c r="D190" s="8" t="s">
        <v>1446</v>
      </c>
      <c r="E190" s="9">
        <v>31.65</v>
      </c>
      <c r="F190" s="8" t="s">
        <v>1740</v>
      </c>
      <c r="G190" s="10">
        <v>4187</v>
      </c>
      <c r="H190" s="132">
        <v>46153</v>
      </c>
      <c r="I190" s="143">
        <f t="array" ref="I190">INDEX([24]perbandingan!$H$24:$H$231,MATCH(1,([24]perbandingan!$E$24:$E$231=$D190)*([24]perbandingan!$E$24:$E$231=$D190),0))</f>
        <v>410</v>
      </c>
      <c r="J190" s="9">
        <f t="array" ref="J190">IFERROR(I190/G190*100,0)</f>
        <v>9.7922139957009797</v>
      </c>
      <c r="K190" s="143">
        <f t="array" ref="K190">INDEX([24]perbandingan!$L$24:$L$231,MATCH(1,([24]perbandingan!$E$24:$E$231=$D190)*([24]perbandingan!$E$24:$E$231=$D190),0))</f>
        <v>176</v>
      </c>
      <c r="L190" s="9">
        <f t="shared" si="3"/>
        <v>42.926829268292686</v>
      </c>
      <c r="M190" s="8" t="str">
        <f t="array" ref="M190">IF(L190&gt;5,"Perlu Pengendalian",IF(AND(L190&gt;=0,I190&gt;0),"Tidak Perlu Pengendalian","Belum Sensus"))</f>
        <v>Perlu Pengendalian</v>
      </c>
      <c r="N190" s="143">
        <f t="array" ref="N190">INDEX([24]perbandingan!$J$24:$J$231,MATCH(1,([24]perbandingan!$E$24:$E$231=$D190)*([24]perbandingan!$E$24:$E$231=$D190),0))</f>
        <v>168</v>
      </c>
      <c r="O190" s="9">
        <f t="array" ref="O190">IFERROR(N190/I190*100,0)</f>
        <v>40.975609756097562</v>
      </c>
    </row>
    <row r="191" spans="1:15" outlineLevel="1" x14ac:dyDescent="0.15">
      <c r="A191" s="8" t="s">
        <v>1273</v>
      </c>
      <c r="B191" s="8" t="s">
        <v>14</v>
      </c>
      <c r="C191" s="8" t="s">
        <v>216</v>
      </c>
      <c r="D191" s="8" t="s">
        <v>1447</v>
      </c>
      <c r="E191" s="9">
        <v>23.67</v>
      </c>
      <c r="F191" s="8" t="s">
        <v>1740</v>
      </c>
      <c r="G191" s="10">
        <v>2486</v>
      </c>
      <c r="H191" s="132">
        <v>46149</v>
      </c>
      <c r="I191" s="143">
        <f t="array" ref="I191">INDEX([24]perbandingan!$H$24:$H$231,MATCH(1,([24]perbandingan!$E$24:$E$231=$D191)*([24]perbandingan!$E$24:$E$231=$D191),0))</f>
        <v>394</v>
      </c>
      <c r="J191" s="9">
        <f t="array" ref="J191">IFERROR(I191/G191*100,0)</f>
        <v>15.848753016894609</v>
      </c>
      <c r="K191" s="143">
        <f t="array" ref="K191">INDEX([24]perbandingan!$L$24:$L$231,MATCH(1,([24]perbandingan!$E$24:$E$231=$D191)*([24]perbandingan!$E$24:$E$231=$D191),0))</f>
        <v>252</v>
      </c>
      <c r="L191" s="9">
        <f t="shared" si="3"/>
        <v>63.959390862944169</v>
      </c>
      <c r="M191" s="8" t="str">
        <f t="array" ref="M191">IF(L191&gt;5,"Perlu Pengendalian",IF(AND(L191&gt;=0,I191&gt;0),"Tidak Perlu Pengendalian","Belum Sensus"))</f>
        <v>Perlu Pengendalian</v>
      </c>
      <c r="N191" s="143">
        <f t="array" ref="N191">INDEX([24]perbandingan!$J$24:$J$231,MATCH(1,([24]perbandingan!$E$24:$E$231=$D191)*([24]perbandingan!$E$24:$E$231=$D191),0))</f>
        <v>309</v>
      </c>
      <c r="O191" s="9">
        <f t="array" ref="O191">IFERROR(N191/I191*100,0)</f>
        <v>78.426395939086291</v>
      </c>
    </row>
    <row r="192" spans="1:15" outlineLevel="1" x14ac:dyDescent="0.15">
      <c r="A192" s="8" t="s">
        <v>1273</v>
      </c>
      <c r="B192" s="8" t="s">
        <v>14</v>
      </c>
      <c r="C192" s="8" t="s">
        <v>216</v>
      </c>
      <c r="D192" s="8" t="s">
        <v>1448</v>
      </c>
      <c r="E192" s="9">
        <v>29</v>
      </c>
      <c r="F192" s="8" t="s">
        <v>1740</v>
      </c>
      <c r="G192" s="10">
        <v>3249</v>
      </c>
      <c r="H192" s="132">
        <v>46149</v>
      </c>
      <c r="I192" s="143">
        <f t="array" ref="I192">INDEX([24]perbandingan!$H$24:$H$231,MATCH(1,([24]perbandingan!$E$24:$E$231=$D192)*([24]perbandingan!$E$24:$E$231=$D192),0))</f>
        <v>375</v>
      </c>
      <c r="J192" s="9">
        <f t="array" ref="J192">IFERROR(I192/G192*100,0)</f>
        <v>11.542012927054477</v>
      </c>
      <c r="K192" s="143">
        <f t="array" ref="K192">INDEX([24]perbandingan!$L$24:$L$231,MATCH(1,([24]perbandingan!$E$24:$E$231=$D192)*([24]perbandingan!$E$24:$E$231=$D192),0))</f>
        <v>23</v>
      </c>
      <c r="L192" s="9">
        <f t="shared" si="3"/>
        <v>6.1333333333333329</v>
      </c>
      <c r="M192" s="8" t="str">
        <f t="array" ref="M192">IF(L192&gt;5,"Perlu Pengendalian",IF(AND(L192&gt;=0,I192&gt;0),"Tidak Perlu Pengendalian","Belum Sensus"))</f>
        <v>Perlu Pengendalian</v>
      </c>
      <c r="N192" s="143">
        <f t="array" ref="N192">INDEX([24]perbandingan!$J$24:$J$231,MATCH(1,([24]perbandingan!$E$24:$E$231=$D192)*([24]perbandingan!$E$24:$E$231=$D192),0))</f>
        <v>197</v>
      </c>
      <c r="O192" s="9">
        <f t="array" ref="O192">IFERROR(N192/I192*100,0)</f>
        <v>52.533333333333331</v>
      </c>
    </row>
    <row r="193" spans="1:15" outlineLevel="1" x14ac:dyDescent="0.15">
      <c r="A193" s="8" t="s">
        <v>1273</v>
      </c>
      <c r="B193" s="8" t="s">
        <v>14</v>
      </c>
      <c r="C193" s="8" t="s">
        <v>216</v>
      </c>
      <c r="D193" s="8" t="s">
        <v>1449</v>
      </c>
      <c r="E193" s="9">
        <v>31.91</v>
      </c>
      <c r="F193" s="8" t="s">
        <v>1740</v>
      </c>
      <c r="G193" s="10">
        <v>3738</v>
      </c>
      <c r="H193" s="132">
        <v>46149</v>
      </c>
      <c r="I193" s="143">
        <f t="array" ref="I193">INDEX([24]perbandingan!$H$24:$H$231,MATCH(1,([24]perbandingan!$E$24:$E$231=$D193)*([24]perbandingan!$E$24:$E$231=$D193),0))</f>
        <v>436</v>
      </c>
      <c r="J193" s="9">
        <f t="array" ref="J193">IFERROR(I193/G193*100,0)</f>
        <v>11.663991439272339</v>
      </c>
      <c r="K193" s="143">
        <f t="array" ref="K193">INDEX([24]perbandingan!$L$24:$L$231,MATCH(1,([24]perbandingan!$E$24:$E$231=$D193)*([24]perbandingan!$E$24:$E$231=$D193),0))</f>
        <v>177</v>
      </c>
      <c r="L193" s="9">
        <f t="shared" si="3"/>
        <v>40.596330275229356</v>
      </c>
      <c r="M193" s="8" t="str">
        <f t="array" ref="M193">IF(L193&gt;5,"Perlu Pengendalian",IF(AND(L193&gt;=0,I193&gt;0),"Tidak Perlu Pengendalian","Belum Sensus"))</f>
        <v>Perlu Pengendalian</v>
      </c>
      <c r="N193" s="143">
        <f t="array" ref="N193">INDEX([24]perbandingan!$J$24:$J$231,MATCH(1,([24]perbandingan!$E$24:$E$231=$D193)*([24]perbandingan!$E$24:$E$231=$D193),0))</f>
        <v>183</v>
      </c>
      <c r="O193" s="9">
        <f t="array" ref="O193">IFERROR(N193/I193*100,0)</f>
        <v>41.972477064220179</v>
      </c>
    </row>
    <row r="194" spans="1:15" outlineLevel="1" x14ac:dyDescent="0.15">
      <c r="A194" s="8" t="s">
        <v>1273</v>
      </c>
      <c r="B194" s="8" t="s">
        <v>14</v>
      </c>
      <c r="C194" s="8" t="s">
        <v>216</v>
      </c>
      <c r="D194" s="8" t="s">
        <v>1450</v>
      </c>
      <c r="E194" s="9">
        <v>27.73</v>
      </c>
      <c r="F194" s="8" t="s">
        <v>1740</v>
      </c>
      <c r="G194" s="10">
        <v>3224</v>
      </c>
      <c r="H194" s="132">
        <v>46149</v>
      </c>
      <c r="I194" s="143">
        <f t="array" ref="I194">INDEX([24]perbandingan!$H$24:$H$231,MATCH(1,([24]perbandingan!$E$24:$E$231=$D194)*([24]perbandingan!$E$24:$E$231=$D194),0))</f>
        <v>356</v>
      </c>
      <c r="J194" s="9">
        <f t="array" ref="J194">IFERROR(I194/G194*100,0)</f>
        <v>11.042183622828784</v>
      </c>
      <c r="K194" s="143">
        <f t="array" ref="K194">INDEX([24]perbandingan!$L$24:$L$231,MATCH(1,([24]perbandingan!$E$24:$E$231=$D194)*([24]perbandingan!$E$24:$E$231=$D194),0))</f>
        <v>38</v>
      </c>
      <c r="L194" s="9">
        <f t="shared" si="3"/>
        <v>10.674157303370785</v>
      </c>
      <c r="M194" s="8" t="str">
        <f t="array" ref="M194">IF(L194&gt;5,"Perlu Pengendalian",IF(AND(L194&gt;=0,I194&gt;0),"Tidak Perlu Pengendalian","Belum Sensus"))</f>
        <v>Perlu Pengendalian</v>
      </c>
      <c r="N194" s="143">
        <f t="array" ref="N194">INDEX([24]perbandingan!$J$24:$J$231,MATCH(1,([24]perbandingan!$E$24:$E$231=$D194)*([24]perbandingan!$E$24:$E$231=$D194),0))</f>
        <v>211</v>
      </c>
      <c r="O194" s="9">
        <f t="array" ref="O194">IFERROR(N194/I194*100,0)</f>
        <v>59.269662921348306</v>
      </c>
    </row>
    <row r="195" spans="1:15" outlineLevel="1" x14ac:dyDescent="0.15">
      <c r="A195" s="8" t="s">
        <v>1273</v>
      </c>
      <c r="B195" s="8" t="s">
        <v>14</v>
      </c>
      <c r="C195" s="8" t="s">
        <v>216</v>
      </c>
      <c r="D195" s="8" t="s">
        <v>1451</v>
      </c>
      <c r="E195" s="9">
        <v>29.14</v>
      </c>
      <c r="F195" s="8" t="s">
        <v>1740</v>
      </c>
      <c r="G195" s="10">
        <v>3074</v>
      </c>
      <c r="H195" s="132">
        <v>46149</v>
      </c>
      <c r="I195" s="143">
        <f t="array" ref="I195">INDEX([24]perbandingan!$H$24:$H$231,MATCH(1,([24]perbandingan!$E$24:$E$231=$D195)*([24]perbandingan!$E$24:$E$231=$D195),0))</f>
        <v>413</v>
      </c>
      <c r="J195" s="9">
        <f t="array" ref="J195">IFERROR(I195/G195*100,0)</f>
        <v>13.435263500325309</v>
      </c>
      <c r="K195" s="143">
        <f t="array" ref="K195">INDEX([24]perbandingan!$L$24:$L$231,MATCH(1,([24]perbandingan!$E$24:$E$231=$D195)*([24]perbandingan!$E$24:$E$231=$D195),0))</f>
        <v>42</v>
      </c>
      <c r="L195" s="9">
        <f t="shared" si="3"/>
        <v>10.16949152542373</v>
      </c>
      <c r="M195" s="8" t="str">
        <f t="array" ref="M195">IF(L195&gt;5,"Perlu Pengendalian",IF(AND(L195&gt;=0,I195&gt;0),"Tidak Perlu Pengendalian","Belum Sensus"))</f>
        <v>Perlu Pengendalian</v>
      </c>
      <c r="N195" s="143">
        <f t="array" ref="N195">INDEX([24]perbandingan!$J$24:$J$231,MATCH(1,([24]perbandingan!$E$24:$E$231=$D195)*([24]perbandingan!$E$24:$E$231=$D195),0))</f>
        <v>244</v>
      </c>
      <c r="O195" s="9">
        <f t="array" ref="O195">IFERROR(N195/I195*100,0)</f>
        <v>59.079903147699753</v>
      </c>
    </row>
    <row r="196" spans="1:15" outlineLevel="1" x14ac:dyDescent="0.15">
      <c r="A196" s="8" t="s">
        <v>1273</v>
      </c>
      <c r="B196" s="8" t="s">
        <v>14</v>
      </c>
      <c r="C196" s="8" t="s">
        <v>216</v>
      </c>
      <c r="D196" s="8" t="s">
        <v>1452</v>
      </c>
      <c r="E196" s="9">
        <v>26.37</v>
      </c>
      <c r="F196" s="8" t="s">
        <v>1740</v>
      </c>
      <c r="G196" s="10">
        <v>3167</v>
      </c>
      <c r="H196" s="132">
        <v>46149</v>
      </c>
      <c r="I196" s="143">
        <f t="array" ref="I196">INDEX([24]perbandingan!$H$24:$H$231,MATCH(1,([24]perbandingan!$E$24:$E$231=$D196)*([24]perbandingan!$E$24:$E$231=$D196),0))</f>
        <v>618</v>
      </c>
      <c r="J196" s="9">
        <f t="array" ref="J196">IFERROR(I196/G196*100,0)</f>
        <v>19.513735396274075</v>
      </c>
      <c r="K196" s="143">
        <f t="array" ref="K196">INDEX([24]perbandingan!$L$24:$L$231,MATCH(1,([24]perbandingan!$E$24:$E$231=$D196)*([24]perbandingan!$E$24:$E$231=$D196),0))</f>
        <v>56</v>
      </c>
      <c r="L196" s="9">
        <f t="shared" si="3"/>
        <v>9.0614886731391593</v>
      </c>
      <c r="M196" s="8" t="str">
        <f t="array" ref="M196">IF(L196&gt;5,"Perlu Pengendalian",IF(AND(L196&gt;=0,I196&gt;0),"Tidak Perlu Pengendalian","Belum Sensus"))</f>
        <v>Perlu Pengendalian</v>
      </c>
      <c r="N196" s="143">
        <f t="array" ref="N196">INDEX([24]perbandingan!$J$24:$J$231,MATCH(1,([24]perbandingan!$E$24:$E$231=$D196)*([24]perbandingan!$E$24:$E$231=$D196),0))</f>
        <v>188</v>
      </c>
      <c r="O196" s="9">
        <f t="array" ref="O196">IFERROR(N196/I196*100,0)</f>
        <v>30.420711974110031</v>
      </c>
    </row>
    <row r="197" spans="1:15" outlineLevel="1" x14ac:dyDescent="0.15">
      <c r="A197" s="8" t="s">
        <v>1273</v>
      </c>
      <c r="B197" s="8" t="s">
        <v>14</v>
      </c>
      <c r="C197" s="8" t="s">
        <v>216</v>
      </c>
      <c r="D197" s="8" t="s">
        <v>1453</v>
      </c>
      <c r="E197" s="9">
        <v>26.89</v>
      </c>
      <c r="F197" s="8" t="s">
        <v>1740</v>
      </c>
      <c r="G197" s="10">
        <v>2811</v>
      </c>
      <c r="H197" s="132">
        <v>46149</v>
      </c>
      <c r="I197" s="143">
        <f t="array" ref="I197">INDEX([24]perbandingan!$H$24:$H$231,MATCH(1,([24]perbandingan!$E$24:$E$231=$D197)*([24]perbandingan!$E$24:$E$231=$D197),0))</f>
        <v>329</v>
      </c>
      <c r="J197" s="9">
        <f t="array" ref="J197">IFERROR(I197/G197*100,0)</f>
        <v>11.704019921736036</v>
      </c>
      <c r="K197" s="143">
        <f t="array" ref="K197">INDEX([24]perbandingan!$L$24:$L$231,MATCH(1,([24]perbandingan!$E$24:$E$231=$D197)*([24]perbandingan!$E$24:$E$231=$D197),0))</f>
        <v>47</v>
      </c>
      <c r="L197" s="9">
        <f t="shared" si="3"/>
        <v>14.285714285714285</v>
      </c>
      <c r="M197" s="8" t="str">
        <f t="array" ref="M197">IF(L197&gt;5,"Perlu Pengendalian",IF(AND(L197&gt;=0,I197&gt;0),"Tidak Perlu Pengendalian","Belum Sensus"))</f>
        <v>Perlu Pengendalian</v>
      </c>
      <c r="N197" s="143">
        <f t="array" ref="N197">INDEX([24]perbandingan!$J$24:$J$231,MATCH(1,([24]perbandingan!$E$24:$E$231=$D197)*([24]perbandingan!$E$24:$E$231=$D197),0))</f>
        <v>185</v>
      </c>
      <c r="O197" s="9">
        <f t="array" ref="O197">IFERROR(N197/I197*100,0)</f>
        <v>56.231003039513681</v>
      </c>
    </row>
    <row r="198" spans="1:15" outlineLevel="1" x14ac:dyDescent="0.15">
      <c r="A198" s="8" t="s">
        <v>1273</v>
      </c>
      <c r="B198" s="8" t="s">
        <v>14</v>
      </c>
      <c r="C198" s="8" t="s">
        <v>216</v>
      </c>
      <c r="D198" s="8" t="s">
        <v>1454</v>
      </c>
      <c r="E198" s="9">
        <v>34.14</v>
      </c>
      <c r="F198" s="8" t="s">
        <v>1740</v>
      </c>
      <c r="G198" s="10">
        <v>3762</v>
      </c>
      <c r="H198" s="132">
        <v>46149</v>
      </c>
      <c r="I198" s="143">
        <f t="array" ref="I198">INDEX([24]perbandingan!$H$24:$H$231,MATCH(1,([24]perbandingan!$E$24:$E$231=$D198)*([24]perbandingan!$E$24:$E$231=$D198),0))</f>
        <v>423</v>
      </c>
      <c r="J198" s="9">
        <f t="array" ref="J198">IFERROR(I198/G198*100,0)</f>
        <v>11.244019138755981</v>
      </c>
      <c r="K198" s="143">
        <f t="array" ref="K198">INDEX([24]perbandingan!$L$24:$L$231,MATCH(1,([24]perbandingan!$E$24:$E$231=$D198)*([24]perbandingan!$E$24:$E$231=$D198),0))</f>
        <v>56</v>
      </c>
      <c r="L198" s="9">
        <f t="shared" si="3"/>
        <v>13.238770685579196</v>
      </c>
      <c r="M198" s="8" t="str">
        <f t="array" ref="M198">IF(L198&gt;5,"Perlu Pengendalian",IF(AND(L198&gt;=0,I198&gt;0),"Tidak Perlu Pengendalian","Belum Sensus"))</f>
        <v>Perlu Pengendalian</v>
      </c>
      <c r="N198" s="143">
        <f t="array" ref="N198">INDEX([24]perbandingan!$J$24:$J$231,MATCH(1,([24]perbandingan!$E$24:$E$231=$D198)*([24]perbandingan!$E$24:$E$231=$D198),0))</f>
        <v>224</v>
      </c>
      <c r="O198" s="9">
        <f t="array" ref="O198">IFERROR(N198/I198*100,0)</f>
        <v>52.955082742316783</v>
      </c>
    </row>
    <row r="199" spans="1:15" outlineLevel="1" x14ac:dyDescent="0.15">
      <c r="A199" s="8" t="s">
        <v>1273</v>
      </c>
      <c r="B199" s="8" t="s">
        <v>14</v>
      </c>
      <c r="C199" s="8" t="s">
        <v>216</v>
      </c>
      <c r="D199" s="8" t="s">
        <v>1455</v>
      </c>
      <c r="E199" s="9">
        <v>26.68</v>
      </c>
      <c r="F199" s="8" t="s">
        <v>1740</v>
      </c>
      <c r="G199" s="10">
        <v>3548</v>
      </c>
      <c r="H199" s="132">
        <v>46149</v>
      </c>
      <c r="I199" s="143">
        <f t="array" ref="I199">INDEX([24]perbandingan!$H$24:$H$231,MATCH(1,([24]perbandingan!$E$24:$E$231=$D199)*([24]perbandingan!$E$24:$E$231=$D199),0))</f>
        <v>526</v>
      </c>
      <c r="J199" s="9">
        <f t="array" ref="J199">IFERROR(I199/G199*100,0)</f>
        <v>14.825253664036076</v>
      </c>
      <c r="K199" s="143">
        <f t="array" ref="K199">INDEX([24]perbandingan!$L$24:$L$231,MATCH(1,([24]perbandingan!$E$24:$E$231=$D199)*([24]perbandingan!$E$24:$E$231=$D199),0))</f>
        <v>77</v>
      </c>
      <c r="L199" s="9">
        <f t="shared" si="3"/>
        <v>14.638783269961978</v>
      </c>
      <c r="M199" s="8" t="str">
        <f t="array" ref="M199">IF(L199&gt;5,"Perlu Pengendalian",IF(AND(L199&gt;=0,I199&gt;0),"Tidak Perlu Pengendalian","Belum Sensus"))</f>
        <v>Perlu Pengendalian</v>
      </c>
      <c r="N199" s="143">
        <f t="array" ref="N199">INDEX([24]perbandingan!$J$24:$J$231,MATCH(1,([24]perbandingan!$E$24:$E$231=$D199)*([24]perbandingan!$E$24:$E$231=$D199),0))</f>
        <v>133</v>
      </c>
      <c r="O199" s="9">
        <f t="array" ref="O199">IFERROR(N199/I199*100,0)</f>
        <v>25.285171102661597</v>
      </c>
    </row>
    <row r="200" spans="1:15" outlineLevel="1" x14ac:dyDescent="0.15">
      <c r="A200" s="8" t="s">
        <v>1273</v>
      </c>
      <c r="B200" s="8" t="s">
        <v>14</v>
      </c>
      <c r="C200" s="8" t="s">
        <v>216</v>
      </c>
      <c r="D200" s="8" t="s">
        <v>1456</v>
      </c>
      <c r="E200" s="9">
        <v>32.479999999999997</v>
      </c>
      <c r="F200" s="8" t="s">
        <v>1740</v>
      </c>
      <c r="G200" s="10">
        <v>3466</v>
      </c>
      <c r="H200" s="132">
        <v>46149</v>
      </c>
      <c r="I200" s="143">
        <f t="array" ref="I200">INDEX([24]perbandingan!$H$24:$H$231,MATCH(1,([24]perbandingan!$E$24:$E$231=$D200)*([24]perbandingan!$E$24:$E$231=$D200),0))</f>
        <v>361</v>
      </c>
      <c r="J200" s="9">
        <f t="array" ref="J200">IFERROR(I200/G200*100,0)</f>
        <v>10.415464512406231</v>
      </c>
      <c r="K200" s="143">
        <f t="array" ref="K200">INDEX([24]perbandingan!$L$24:$L$231,MATCH(1,([24]perbandingan!$E$24:$E$231=$D200)*([24]perbandingan!$E$24:$E$231=$D200),0))</f>
        <v>46</v>
      </c>
      <c r="L200" s="9">
        <f t="shared" si="3"/>
        <v>12.742382271468145</v>
      </c>
      <c r="M200" s="8" t="str">
        <f t="array" ref="M200">IF(L200&gt;5,"Perlu Pengendalian",IF(AND(L200&gt;=0,I200&gt;0),"Tidak Perlu Pengendalian","Belum Sensus"))</f>
        <v>Perlu Pengendalian</v>
      </c>
      <c r="N200" s="143">
        <f t="array" ref="N200">INDEX([24]perbandingan!$J$24:$J$231,MATCH(1,([24]perbandingan!$E$24:$E$231=$D200)*([24]perbandingan!$E$24:$E$231=$D200),0))</f>
        <v>163</v>
      </c>
      <c r="O200" s="9">
        <f t="array" ref="O200">IFERROR(N200/I200*100,0)</f>
        <v>45.152354570637122</v>
      </c>
    </row>
    <row r="201" spans="1:15" outlineLevel="1" x14ac:dyDescent="0.15">
      <c r="A201" s="8" t="s">
        <v>1273</v>
      </c>
      <c r="B201" s="8" t="s">
        <v>14</v>
      </c>
      <c r="C201" s="8" t="s">
        <v>216</v>
      </c>
      <c r="D201" s="8" t="s">
        <v>1457</v>
      </c>
      <c r="E201" s="9">
        <v>31.58</v>
      </c>
      <c r="F201" s="8" t="s">
        <v>1740</v>
      </c>
      <c r="G201" s="10">
        <v>3871</v>
      </c>
      <c r="H201" s="132">
        <v>46149</v>
      </c>
      <c r="I201" s="143">
        <f t="array" ref="I201">INDEX([24]perbandingan!$H$24:$H$231,MATCH(1,([24]perbandingan!$E$24:$E$231=$D201)*([24]perbandingan!$E$24:$E$231=$D201),0))</f>
        <v>373</v>
      </c>
      <c r="J201" s="9">
        <f t="array" ref="J201">IFERROR(I201/G201*100,0)</f>
        <v>9.635753035391371</v>
      </c>
      <c r="K201" s="143">
        <f t="array" ref="K201">INDEX([24]perbandingan!$L$24:$L$231,MATCH(1,([24]perbandingan!$E$24:$E$231=$D201)*([24]perbandingan!$E$24:$E$231=$D201),0))</f>
        <v>92</v>
      </c>
      <c r="L201" s="9">
        <f t="shared" si="3"/>
        <v>24.664879356568363</v>
      </c>
      <c r="M201" s="8" t="str">
        <f t="array" ref="M201">IF(L201&gt;5,"Perlu Pengendalian",IF(AND(L201&gt;=0,I201&gt;0),"Tidak Perlu Pengendalian","Belum Sensus"))</f>
        <v>Perlu Pengendalian</v>
      </c>
      <c r="N201" s="143">
        <f t="array" ref="N201">INDEX([24]perbandingan!$J$24:$J$231,MATCH(1,([24]perbandingan!$E$24:$E$231=$D201)*([24]perbandingan!$E$24:$E$231=$D201),0))</f>
        <v>130</v>
      </c>
      <c r="O201" s="9">
        <f t="array" ref="O201">IFERROR(N201/I201*100,0)</f>
        <v>34.852546916890084</v>
      </c>
    </row>
    <row r="202" spans="1:15" outlineLevel="1" x14ac:dyDescent="0.15">
      <c r="A202" s="8" t="s">
        <v>1273</v>
      </c>
      <c r="B202" s="8" t="s">
        <v>14</v>
      </c>
      <c r="C202" s="8" t="s">
        <v>216</v>
      </c>
      <c r="D202" s="8" t="s">
        <v>1458</v>
      </c>
      <c r="E202" s="9">
        <v>28.48</v>
      </c>
      <c r="F202" s="8" t="s">
        <v>1740</v>
      </c>
      <c r="G202" s="10">
        <v>3884</v>
      </c>
      <c r="H202" s="132">
        <v>46149</v>
      </c>
      <c r="I202" s="143">
        <f t="array" ref="I202">INDEX([24]perbandingan!$H$24:$H$231,MATCH(1,([24]perbandingan!$E$24:$E$231=$D202)*([24]perbandingan!$E$24:$E$231=$D202),0))</f>
        <v>370</v>
      </c>
      <c r="J202" s="9">
        <f t="array" ref="J202">IFERROR(I202/G202*100,0)</f>
        <v>9.5262615859938204</v>
      </c>
      <c r="K202" s="143">
        <f t="array" ref="K202">INDEX([24]perbandingan!$L$24:$L$231,MATCH(1,([24]perbandingan!$E$24:$E$231=$D202)*([24]perbandingan!$E$24:$E$231=$D202),0))</f>
        <v>53</v>
      </c>
      <c r="L202" s="9">
        <f t="shared" si="3"/>
        <v>14.324324324324325</v>
      </c>
      <c r="M202" s="8" t="str">
        <f t="array" ref="M202">IF(L202&gt;5,"Perlu Pengendalian",IF(AND(L202&gt;=0,I202&gt;0),"Tidak Perlu Pengendalian","Belum Sensus"))</f>
        <v>Perlu Pengendalian</v>
      </c>
      <c r="N202" s="143">
        <f t="array" ref="N202">INDEX([24]perbandingan!$J$24:$J$231,MATCH(1,([24]perbandingan!$E$24:$E$231=$D202)*([24]perbandingan!$E$24:$E$231=$D202),0))</f>
        <v>167</v>
      </c>
      <c r="O202" s="9">
        <f t="array" ref="O202">IFERROR(N202/I202*100,0)</f>
        <v>45.135135135135137</v>
      </c>
    </row>
    <row r="203" spans="1:15" outlineLevel="1" x14ac:dyDescent="0.15">
      <c r="A203" s="8" t="s">
        <v>1273</v>
      </c>
      <c r="B203" s="8" t="s">
        <v>14</v>
      </c>
      <c r="C203" s="8" t="s">
        <v>216</v>
      </c>
      <c r="D203" s="8" t="s">
        <v>1459</v>
      </c>
      <c r="E203" s="9">
        <v>30.01</v>
      </c>
      <c r="F203" s="8" t="s">
        <v>1740</v>
      </c>
      <c r="G203" s="10">
        <v>3701</v>
      </c>
      <c r="H203" s="132">
        <v>46149</v>
      </c>
      <c r="I203" s="143">
        <f t="array" ref="I203">INDEX([24]perbandingan!$H$24:$H$231,MATCH(1,([24]perbandingan!$E$24:$E$231=$D203)*([24]perbandingan!$E$24:$E$231=$D203),0))</f>
        <v>369</v>
      </c>
      <c r="J203" s="9">
        <f t="array" ref="J203">IFERROR(I203/G203*100,0)</f>
        <v>9.970278303161308</v>
      </c>
      <c r="K203" s="143">
        <f t="array" ref="K203">INDEX([24]perbandingan!$L$24:$L$231,MATCH(1,([24]perbandingan!$E$24:$E$231=$D203)*([24]perbandingan!$E$24:$E$231=$D203),0))</f>
        <v>52</v>
      </c>
      <c r="L203" s="9">
        <f t="shared" si="3"/>
        <v>14.092140921409213</v>
      </c>
      <c r="M203" s="8" t="str">
        <f t="array" ref="M203">IF(L203&gt;5,"Perlu Pengendalian",IF(AND(L203&gt;=0,I203&gt;0),"Tidak Perlu Pengendalian","Belum Sensus"))</f>
        <v>Perlu Pengendalian</v>
      </c>
      <c r="N203" s="143">
        <f t="array" ref="N203">INDEX([24]perbandingan!$J$24:$J$231,MATCH(1,([24]perbandingan!$E$24:$E$231=$D203)*([24]perbandingan!$E$24:$E$231=$D203),0))</f>
        <v>148</v>
      </c>
      <c r="O203" s="9">
        <f t="array" ref="O203">IFERROR(N203/I203*100,0)</f>
        <v>40.108401084010843</v>
      </c>
    </row>
    <row r="204" spans="1:15" outlineLevel="1" x14ac:dyDescent="0.15">
      <c r="A204" s="8" t="s">
        <v>1273</v>
      </c>
      <c r="B204" s="8" t="s">
        <v>14</v>
      </c>
      <c r="C204" s="8" t="s">
        <v>216</v>
      </c>
      <c r="D204" s="8" t="s">
        <v>1460</v>
      </c>
      <c r="E204" s="9">
        <v>27.34</v>
      </c>
      <c r="F204" s="8" t="s">
        <v>1740</v>
      </c>
      <c r="G204" s="10">
        <v>3151</v>
      </c>
      <c r="H204" s="132">
        <v>46149</v>
      </c>
      <c r="I204" s="143">
        <f t="array" ref="I204">INDEX([24]perbandingan!$H$24:$H$231,MATCH(1,([24]perbandingan!$E$24:$E$231=$D204)*([24]perbandingan!$E$24:$E$231=$D204),0))</f>
        <v>371</v>
      </c>
      <c r="J204" s="9">
        <f t="array" ref="J204">IFERROR(I204/G204*100,0)</f>
        <v>11.774039987305617</v>
      </c>
      <c r="K204" s="143">
        <f t="array" ref="K204">INDEX([24]perbandingan!$L$24:$L$231,MATCH(1,([24]perbandingan!$E$24:$E$231=$D204)*([24]perbandingan!$E$24:$E$231=$D204),0))</f>
        <v>39</v>
      </c>
      <c r="L204" s="9">
        <f t="shared" si="3"/>
        <v>10.512129380053908</v>
      </c>
      <c r="M204" s="8" t="str">
        <f t="array" ref="M204">IF(L204&gt;5,"Perlu Pengendalian",IF(AND(L204&gt;=0,I204&gt;0),"Tidak Perlu Pengendalian","Belum Sensus"))</f>
        <v>Perlu Pengendalian</v>
      </c>
      <c r="N204" s="143">
        <f t="array" ref="N204">INDEX([24]perbandingan!$J$24:$J$231,MATCH(1,([24]perbandingan!$E$24:$E$231=$D204)*([24]perbandingan!$E$24:$E$231=$D204),0))</f>
        <v>176</v>
      </c>
      <c r="O204" s="9">
        <f t="array" ref="O204">IFERROR(N204/I204*100,0)</f>
        <v>47.439353099730461</v>
      </c>
    </row>
    <row r="205" spans="1:15" outlineLevel="1" x14ac:dyDescent="0.15">
      <c r="A205" s="8" t="s">
        <v>1273</v>
      </c>
      <c r="B205" s="8" t="s">
        <v>14</v>
      </c>
      <c r="C205" s="8" t="s">
        <v>216</v>
      </c>
      <c r="D205" s="8" t="s">
        <v>1461</v>
      </c>
      <c r="E205" s="9">
        <v>23.8</v>
      </c>
      <c r="F205" s="8" t="s">
        <v>1740</v>
      </c>
      <c r="G205" s="10">
        <v>2726</v>
      </c>
      <c r="H205" s="132">
        <v>46149</v>
      </c>
      <c r="I205" s="143">
        <f t="array" ref="I205">INDEX([24]perbandingan!$H$24:$H$231,MATCH(1,([24]perbandingan!$E$24:$E$231=$D205)*([24]perbandingan!$E$24:$E$231=$D205),0))</f>
        <v>374</v>
      </c>
      <c r="J205" s="9">
        <f t="array" ref="J205">IFERROR(I205/G205*100,0)</f>
        <v>13.719735876742481</v>
      </c>
      <c r="K205" s="143">
        <f t="array" ref="K205">INDEX([24]perbandingan!$L$24:$L$231,MATCH(1,([24]perbandingan!$E$24:$E$231=$D205)*([24]perbandingan!$E$24:$E$231=$D205),0))</f>
        <v>56</v>
      </c>
      <c r="L205" s="9">
        <f t="shared" si="3"/>
        <v>14.973262032085561</v>
      </c>
      <c r="M205" s="8" t="str">
        <f t="array" ref="M205">IF(L205&gt;5,"Perlu Pengendalian",IF(AND(L205&gt;=0,I205&gt;0),"Tidak Perlu Pengendalian","Belum Sensus"))</f>
        <v>Perlu Pengendalian</v>
      </c>
      <c r="N205" s="143">
        <f t="array" ref="N205">INDEX([24]perbandingan!$J$24:$J$231,MATCH(1,([24]perbandingan!$E$24:$E$231=$D205)*([24]perbandingan!$E$24:$E$231=$D205),0))</f>
        <v>188</v>
      </c>
      <c r="O205" s="9">
        <f t="array" ref="O205">IFERROR(N205/I205*100,0)</f>
        <v>50.267379679144383</v>
      </c>
    </row>
    <row r="206" spans="1:15" outlineLevel="1" x14ac:dyDescent="0.15">
      <c r="A206" s="8" t="s">
        <v>1273</v>
      </c>
      <c r="B206" s="8" t="s">
        <v>14</v>
      </c>
      <c r="C206" s="8" t="s">
        <v>216</v>
      </c>
      <c r="D206" s="8" t="s">
        <v>1462</v>
      </c>
      <c r="E206" s="9">
        <v>46.47</v>
      </c>
      <c r="F206" s="8" t="s">
        <v>1740</v>
      </c>
      <c r="G206" s="10">
        <v>5150</v>
      </c>
      <c r="H206" s="132">
        <v>46153</v>
      </c>
      <c r="I206" s="143">
        <f t="array" ref="I206">INDEX([24]perbandingan!$H$24:$H$231,MATCH(1,([24]perbandingan!$E$24:$E$231=$D206)*([24]perbandingan!$E$24:$E$231=$D206),0))</f>
        <v>578</v>
      </c>
      <c r="J206" s="9">
        <f t="array" ref="J206">IFERROR(I206/G206*100,0)</f>
        <v>11.223300970873787</v>
      </c>
      <c r="K206" s="143">
        <f t="array" ref="K206">INDEX([24]perbandingan!$L$24:$L$231,MATCH(1,([24]perbandingan!$E$24:$E$231=$D206)*([24]perbandingan!$E$24:$E$231=$D206),0))</f>
        <v>86</v>
      </c>
      <c r="L206" s="9">
        <f t="shared" si="3"/>
        <v>14.878892733564014</v>
      </c>
      <c r="M206" s="8" t="str">
        <f t="array" ref="M206">IF(L206&gt;5,"Perlu Pengendalian",IF(AND(L206&gt;=0,I206&gt;0),"Tidak Perlu Pengendalian","Belum Sensus"))</f>
        <v>Perlu Pengendalian</v>
      </c>
      <c r="N206" s="143">
        <f t="array" ref="N206">INDEX([24]perbandingan!$J$24:$J$231,MATCH(1,([24]perbandingan!$E$24:$E$231=$D206)*([24]perbandingan!$E$24:$E$231=$D206),0))</f>
        <v>218</v>
      </c>
      <c r="O206" s="9">
        <f t="array" ref="O206">IFERROR(N206/I206*100,0)</f>
        <v>37.716262975778548</v>
      </c>
    </row>
    <row r="207" spans="1:15" outlineLevel="1" x14ac:dyDescent="0.15">
      <c r="A207" s="8" t="s">
        <v>1273</v>
      </c>
      <c r="B207" s="8" t="s">
        <v>14</v>
      </c>
      <c r="C207" s="8" t="s">
        <v>216</v>
      </c>
      <c r="D207" s="8" t="s">
        <v>1463</v>
      </c>
      <c r="E207" s="9">
        <v>32.19</v>
      </c>
      <c r="F207" s="8" t="s">
        <v>1740</v>
      </c>
      <c r="G207" s="10">
        <v>3246</v>
      </c>
      <c r="H207" s="132">
        <v>46149</v>
      </c>
      <c r="I207" s="143">
        <f t="array" ref="I207">INDEX([24]perbandingan!$H$24:$H$231,MATCH(1,([24]perbandingan!$E$24:$E$231=$D207)*([24]perbandingan!$E$24:$E$231=$D207),0))</f>
        <v>337</v>
      </c>
      <c r="J207" s="9">
        <f t="array" ref="J207">IFERROR(I207/G207*100,0)</f>
        <v>10.382008626001232</v>
      </c>
      <c r="K207" s="143">
        <f t="array" ref="K207">INDEX([24]perbandingan!$L$24:$L$231,MATCH(1,([24]perbandingan!$E$24:$E$231=$D207)*([24]perbandingan!$E$24:$E$231=$D207),0))</f>
        <v>45</v>
      </c>
      <c r="L207" s="9">
        <f t="shared" si="3"/>
        <v>13.353115727002967</v>
      </c>
      <c r="M207" s="8" t="str">
        <f t="array" ref="M207">IF(L207&gt;5,"Perlu Pengendalian",IF(AND(L207&gt;=0,I207&gt;0),"Tidak Perlu Pengendalian","Belum Sensus"))</f>
        <v>Perlu Pengendalian</v>
      </c>
      <c r="N207" s="143">
        <f t="array" ref="N207">INDEX([24]perbandingan!$J$24:$J$231,MATCH(1,([24]perbandingan!$E$24:$E$231=$D207)*([24]perbandingan!$E$24:$E$231=$D207),0))</f>
        <v>61</v>
      </c>
      <c r="O207" s="9">
        <f t="array" ref="O207">IFERROR(N207/I207*100,0)</f>
        <v>18.100890207715135</v>
      </c>
    </row>
    <row r="208" spans="1:15" outlineLevel="1" x14ac:dyDescent="0.15">
      <c r="A208" s="8" t="s">
        <v>1273</v>
      </c>
      <c r="B208" s="8" t="s">
        <v>14</v>
      </c>
      <c r="C208" s="8" t="s">
        <v>216</v>
      </c>
      <c r="D208" s="8" t="s">
        <v>1464</v>
      </c>
      <c r="E208" s="9">
        <v>33.71</v>
      </c>
      <c r="F208" s="8" t="s">
        <v>1740</v>
      </c>
      <c r="G208" s="10">
        <v>2797</v>
      </c>
      <c r="H208" s="132">
        <v>46149</v>
      </c>
      <c r="I208" s="143">
        <f t="array" ref="I208">INDEX([24]perbandingan!$H$24:$H$231,MATCH(1,([24]perbandingan!$E$24:$E$231=$D208)*([24]perbandingan!$E$24:$E$231=$D208),0))</f>
        <v>218</v>
      </c>
      <c r="J208" s="9">
        <f t="array" ref="J208">IFERROR(I208/G208*100,0)</f>
        <v>7.7940650697175542</v>
      </c>
      <c r="K208" s="143">
        <f t="array" ref="K208">INDEX([24]perbandingan!$L$24:$L$231,MATCH(1,([24]perbandingan!$E$24:$E$231=$D208)*([24]perbandingan!$E$24:$E$231=$D208),0))</f>
        <v>31</v>
      </c>
      <c r="L208" s="9">
        <f t="shared" si="3"/>
        <v>14.220183486238533</v>
      </c>
      <c r="M208" s="8" t="str">
        <f t="array" ref="M208">IF(L208&gt;5,"Perlu Pengendalian",IF(AND(L208&gt;=0,I208&gt;0),"Tidak Perlu Pengendalian","Belum Sensus"))</f>
        <v>Perlu Pengendalian</v>
      </c>
      <c r="N208" s="143">
        <f t="array" ref="N208">INDEX([24]perbandingan!$J$24:$J$231,MATCH(1,([24]perbandingan!$E$24:$E$231=$D208)*([24]perbandingan!$E$24:$E$231=$D208),0))</f>
        <v>82</v>
      </c>
      <c r="O208" s="9">
        <f t="array" ref="O208">IFERROR(N208/I208*100,0)</f>
        <v>37.61467889908257</v>
      </c>
    </row>
    <row r="209" spans="1:15" outlineLevel="1" x14ac:dyDescent="0.15">
      <c r="A209" s="8" t="s">
        <v>1273</v>
      </c>
      <c r="B209" s="8" t="s">
        <v>14</v>
      </c>
      <c r="C209" s="8" t="s">
        <v>216</v>
      </c>
      <c r="D209" s="8" t="s">
        <v>1465</v>
      </c>
      <c r="E209" s="9">
        <v>38.9</v>
      </c>
      <c r="F209" s="8" t="s">
        <v>1740</v>
      </c>
      <c r="G209" s="10">
        <v>5136</v>
      </c>
      <c r="H209" s="132">
        <v>46149</v>
      </c>
      <c r="I209" s="143">
        <f t="array" ref="I209">INDEX([24]perbandingan!$H$24:$H$231,MATCH(1,([24]perbandingan!$E$24:$E$231=$D209)*([24]perbandingan!$E$24:$E$231=$D209),0))</f>
        <v>212</v>
      </c>
      <c r="J209" s="9">
        <f t="array" ref="J209">IFERROR(I209/G209*100,0)</f>
        <v>4.1277258566978192</v>
      </c>
      <c r="K209" s="143">
        <f t="array" ref="K209">INDEX([24]perbandingan!$L$24:$L$231,MATCH(1,([24]perbandingan!$E$24:$E$231=$D209)*([24]perbandingan!$E$24:$E$231=$D209),0))</f>
        <v>23</v>
      </c>
      <c r="L209" s="9">
        <f t="shared" si="3"/>
        <v>10.849056603773585</v>
      </c>
      <c r="M209" s="8" t="str">
        <f t="array" ref="M209">IF(L209&gt;5,"Perlu Pengendalian",IF(AND(L209&gt;=0,I209&gt;0),"Tidak Perlu Pengendalian","Belum Sensus"))</f>
        <v>Perlu Pengendalian</v>
      </c>
      <c r="N209" s="143">
        <f t="array" ref="N209">INDEX([24]perbandingan!$J$24:$J$231,MATCH(1,([24]perbandingan!$E$24:$E$231=$D209)*([24]perbandingan!$E$24:$E$231=$D209),0))</f>
        <v>49</v>
      </c>
      <c r="O209" s="9">
        <f t="array" ref="O209">IFERROR(N209/I209*100,0)</f>
        <v>23.113207547169811</v>
      </c>
    </row>
    <row r="210" spans="1:15" outlineLevel="1" x14ac:dyDescent="0.15">
      <c r="A210" s="8" t="s">
        <v>1273</v>
      </c>
      <c r="B210" s="8" t="s">
        <v>14</v>
      </c>
      <c r="C210" s="8" t="s">
        <v>216</v>
      </c>
      <c r="D210" s="8" t="s">
        <v>1466</v>
      </c>
      <c r="E210" s="9">
        <v>27.740000000000002</v>
      </c>
      <c r="F210" s="8" t="s">
        <v>1740</v>
      </c>
      <c r="G210" s="10">
        <v>3197</v>
      </c>
      <c r="H210" s="132">
        <v>46153</v>
      </c>
      <c r="I210" s="143">
        <f t="array" ref="I210">INDEX([24]perbandingan!$H$24:$H$231,MATCH(1,([24]perbandingan!$E$24:$E$231=$D210)*([24]perbandingan!$E$24:$E$231=$D210),0))</f>
        <v>426</v>
      </c>
      <c r="J210" s="9">
        <f t="array" ref="J210">IFERROR(I210/G210*100,0)</f>
        <v>13.324992180168909</v>
      </c>
      <c r="K210" s="143">
        <f t="array" ref="K210">INDEX([24]perbandingan!$L$24:$L$231,MATCH(1,([24]perbandingan!$E$24:$E$231=$D210)*([24]perbandingan!$E$24:$E$231=$D210),0))</f>
        <v>71</v>
      </c>
      <c r="L210" s="9">
        <f t="shared" si="3"/>
        <v>16.666666666666664</v>
      </c>
      <c r="M210" s="8" t="str">
        <f t="array" ref="M210">IF(L210&gt;5,"Perlu Pengendalian",IF(AND(L210&gt;=0,I210&gt;0),"Tidak Perlu Pengendalian","Belum Sensus"))</f>
        <v>Perlu Pengendalian</v>
      </c>
      <c r="N210" s="143">
        <f t="array" ref="N210">INDEX([24]perbandingan!$J$24:$J$231,MATCH(1,([24]perbandingan!$E$24:$E$231=$D210)*([24]perbandingan!$E$24:$E$231=$D210),0))</f>
        <v>119</v>
      </c>
      <c r="O210" s="9">
        <f t="array" ref="O210">IFERROR(N210/I210*100,0)</f>
        <v>27.93427230046948</v>
      </c>
    </row>
    <row r="211" spans="1:15" outlineLevel="1" x14ac:dyDescent="0.15">
      <c r="A211" s="8" t="s">
        <v>1273</v>
      </c>
      <c r="B211" s="8" t="s">
        <v>14</v>
      </c>
      <c r="C211" s="8" t="s">
        <v>216</v>
      </c>
      <c r="D211" s="8" t="s">
        <v>1467</v>
      </c>
      <c r="E211" s="9">
        <v>30.409999999999997</v>
      </c>
      <c r="F211" s="8" t="s">
        <v>1740</v>
      </c>
      <c r="G211" s="10">
        <v>2442</v>
      </c>
      <c r="H211" s="132">
        <v>46153</v>
      </c>
      <c r="I211" s="143">
        <f t="array" ref="I211">INDEX([24]perbandingan!$H$24:$H$231,MATCH(1,([24]perbandingan!$E$24:$E$231=$D211)*([24]perbandingan!$E$24:$E$231=$D211),0))</f>
        <v>377</v>
      </c>
      <c r="J211" s="9">
        <f t="array" ref="J211">IFERROR(I211/G211*100,0)</f>
        <v>15.438165438165438</v>
      </c>
      <c r="K211" s="143">
        <f t="array" ref="K211">INDEX([24]perbandingan!$L$24:$L$231,MATCH(1,([24]perbandingan!$E$24:$E$231=$D211)*([24]perbandingan!$E$24:$E$231=$D211),0))</f>
        <v>53</v>
      </c>
      <c r="L211" s="9">
        <f t="shared" si="3"/>
        <v>14.058355437665782</v>
      </c>
      <c r="M211" s="8" t="str">
        <f t="array" ref="M211">IF(L211&gt;5,"Perlu Pengendalian",IF(AND(L211&gt;=0,I211&gt;0),"Tidak Perlu Pengendalian","Belum Sensus"))</f>
        <v>Perlu Pengendalian</v>
      </c>
      <c r="N211" s="143">
        <f t="array" ref="N211">INDEX([24]perbandingan!$J$24:$J$231,MATCH(1,([24]perbandingan!$E$24:$E$231=$D211)*([24]perbandingan!$E$24:$E$231=$D211),0))</f>
        <v>126</v>
      </c>
      <c r="O211" s="9">
        <f t="array" ref="O211">IFERROR(N211/I211*100,0)</f>
        <v>33.42175066312997</v>
      </c>
    </row>
    <row r="212" spans="1:15" outlineLevel="1" x14ac:dyDescent="0.15">
      <c r="A212" s="8" t="s">
        <v>1273</v>
      </c>
      <c r="B212" s="8" t="s">
        <v>14</v>
      </c>
      <c r="C212" s="8" t="s">
        <v>216</v>
      </c>
      <c r="D212" s="8" t="s">
        <v>1468</v>
      </c>
      <c r="E212" s="9">
        <v>51.39</v>
      </c>
      <c r="F212" s="8" t="s">
        <v>1740</v>
      </c>
      <c r="G212" s="10">
        <v>6305</v>
      </c>
      <c r="H212" s="132">
        <v>46153</v>
      </c>
      <c r="I212" s="143">
        <f t="array" ref="I212">INDEX([24]perbandingan!$H$24:$H$231,MATCH(1,([24]perbandingan!$E$24:$E$231=$D212)*([24]perbandingan!$E$24:$E$231=$D212),0))</f>
        <v>402</v>
      </c>
      <c r="J212" s="9">
        <f t="array" ref="J212">IFERROR(I212/G212*100,0)</f>
        <v>6.3758921490880249</v>
      </c>
      <c r="K212" s="143">
        <f t="array" ref="K212">INDEX([24]perbandingan!$L$24:$L$231,MATCH(1,([24]perbandingan!$E$24:$E$231=$D212)*([24]perbandingan!$E$24:$E$231=$D212),0))</f>
        <v>52</v>
      </c>
      <c r="L212" s="9">
        <f t="shared" ref="L212:L275" si="4">IFERROR(K212/I212*100,0)</f>
        <v>12.935323383084576</v>
      </c>
      <c r="M212" s="8" t="str">
        <f t="array" ref="M212">IF(L212&gt;5,"Perlu Pengendalian",IF(AND(L212&gt;=0,I212&gt;0),"Tidak Perlu Pengendalian","Belum Sensus"))</f>
        <v>Perlu Pengendalian</v>
      </c>
      <c r="N212" s="143">
        <f t="array" ref="N212">INDEX([24]perbandingan!$J$24:$J$231,MATCH(1,([24]perbandingan!$E$24:$E$231=$D212)*([24]perbandingan!$E$24:$E$231=$D212),0))</f>
        <v>187</v>
      </c>
      <c r="O212" s="9">
        <f t="array" ref="O212">IFERROR(N212/I212*100,0)</f>
        <v>46.517412935323385</v>
      </c>
    </row>
    <row r="213" spans="1:15" outlineLevel="1" x14ac:dyDescent="0.15">
      <c r="A213" s="8" t="s">
        <v>1273</v>
      </c>
      <c r="B213" s="8" t="s">
        <v>14</v>
      </c>
      <c r="C213" s="8" t="s">
        <v>216</v>
      </c>
      <c r="D213" s="8" t="s">
        <v>1469</v>
      </c>
      <c r="E213" s="9">
        <v>28.16</v>
      </c>
      <c r="F213" s="8" t="s">
        <v>1740</v>
      </c>
      <c r="G213" s="10">
        <v>1541</v>
      </c>
      <c r="H213" s="132">
        <v>46153</v>
      </c>
      <c r="I213" s="143">
        <f t="array" ref="I213">INDEX([24]perbandingan!$H$24:$H$231,MATCH(1,([24]perbandingan!$E$24:$E$231=$D213)*([24]perbandingan!$E$24:$E$231=$D213),0))</f>
        <v>452</v>
      </c>
      <c r="J213" s="9">
        <f t="array" ref="J213">IFERROR(I213/G213*100,0)</f>
        <v>29.331602855288775</v>
      </c>
      <c r="K213" s="143">
        <f t="array" ref="K213">INDEX([24]perbandingan!$L$24:$L$231,MATCH(1,([24]perbandingan!$E$24:$E$231=$D213)*([24]perbandingan!$E$24:$E$231=$D213),0))</f>
        <v>46</v>
      </c>
      <c r="L213" s="9">
        <f t="shared" si="4"/>
        <v>10.176991150442479</v>
      </c>
      <c r="M213" s="8" t="str">
        <f t="array" ref="M213">IF(L213&gt;5,"Perlu Pengendalian",IF(AND(L213&gt;=0,I213&gt;0),"Tidak Perlu Pengendalian","Belum Sensus"))</f>
        <v>Perlu Pengendalian</v>
      </c>
      <c r="N213" s="143">
        <f t="array" ref="N213">INDEX([24]perbandingan!$J$24:$J$231,MATCH(1,([24]perbandingan!$E$24:$E$231=$D213)*([24]perbandingan!$E$24:$E$231=$D213),0))</f>
        <v>209</v>
      </c>
      <c r="O213" s="9">
        <f t="array" ref="O213">IFERROR(N213/I213*100,0)</f>
        <v>46.238938053097343</v>
      </c>
    </row>
    <row r="214" spans="1:15" outlineLevel="1" x14ac:dyDescent="0.15">
      <c r="A214" s="8" t="s">
        <v>1739</v>
      </c>
      <c r="B214" s="8" t="s">
        <v>14</v>
      </c>
      <c r="C214" s="8" t="s">
        <v>252</v>
      </c>
      <c r="D214" s="8" t="s">
        <v>1078</v>
      </c>
      <c r="E214" s="9">
        <v>24.6</v>
      </c>
      <c r="F214" s="8" t="s">
        <v>1740</v>
      </c>
      <c r="G214" s="10">
        <v>3121</v>
      </c>
      <c r="H214" s="132">
        <f t="array" ref="H214">IFERROR(INDEX('[25]TK KHUSUS'!$F$9:$F$187,MATCH(1,('[25]TK KHUSUS'!$E$9:$E$187=$D214)*('[25]TK KHUSUS'!$E$9:$E$187=$D214),0)),0)</f>
        <v>46150</v>
      </c>
      <c r="I214" s="8">
        <f t="array" ref="I214">IFERROR(INDEX('[25]TK KHUSUS'!$H$9:$H$187,MATCH(1,('[25]TK KHUSUS'!$E$9:$E$187=$D214)*('[25]TK KHUSUS'!$E$9:$E$187=$D214),0)),0)</f>
        <v>562</v>
      </c>
      <c r="J214" s="9">
        <f t="array" ref="J214">IFERROR(I214/G214*100,0)</f>
        <v>18.007049022749118</v>
      </c>
      <c r="K214" s="8">
        <f t="array" ref="K214">INDEX([26]KOMPARASI!$J$20:$J$199,MATCH(1,([26]KOMPARASI!$C$20:$C$199=$D214)*([26]KOMPARASI!$C$20:$C$199=$D214),0))</f>
        <v>94</v>
      </c>
      <c r="L214" s="9">
        <f t="shared" si="4"/>
        <v>16.72597864768683</v>
      </c>
      <c r="M214" s="8" t="str">
        <f t="array" ref="M214">IF(L214&gt;5,"Perlu Pengendalian",IF(AND(L214&gt;=0,I214&gt;0),"Tidak Perlu Pengendalian","Belum Sensus"))</f>
        <v>Perlu Pengendalian</v>
      </c>
    </row>
    <row r="215" spans="1:15" outlineLevel="1" x14ac:dyDescent="0.15">
      <c r="A215" s="8" t="s">
        <v>1739</v>
      </c>
      <c r="B215" s="8" t="s">
        <v>14</v>
      </c>
      <c r="C215" s="8" t="s">
        <v>252</v>
      </c>
      <c r="D215" s="8" t="s">
        <v>1079</v>
      </c>
      <c r="E215" s="9">
        <v>28.45</v>
      </c>
      <c r="F215" s="8" t="s">
        <v>1740</v>
      </c>
      <c r="G215" s="10">
        <v>3539</v>
      </c>
      <c r="H215" s="132">
        <f t="array" ref="H215">IFERROR(INDEX('[25]TK KHUSUS'!$F$9:$F$187,MATCH(1,('[25]TK KHUSUS'!$E$9:$E$187=$D215)*('[25]TK KHUSUS'!$E$9:$E$187=$D215),0)),0)</f>
        <v>46149</v>
      </c>
      <c r="I215" s="8">
        <f t="array" ref="I215">IFERROR(INDEX('[25]TK KHUSUS'!$H$9:$H$187,MATCH(1,('[25]TK KHUSUS'!$E$9:$E$187=$D215)*('[25]TK KHUSUS'!$E$9:$E$187=$D215),0)),0)</f>
        <v>369</v>
      </c>
      <c r="J215" s="9">
        <f t="array" ref="J215">IFERROR(I215/G215*100,0)</f>
        <v>10.426674201751908</v>
      </c>
      <c r="K215" s="8">
        <f t="array" ref="K215">INDEX([26]KOMPARASI!$J$20:$J$199,MATCH(1,([26]KOMPARASI!$C$20:$C$199=$D215)*([26]KOMPARASI!$C$20:$C$199=$D215),0))</f>
        <v>39</v>
      </c>
      <c r="L215" s="9">
        <f t="shared" si="4"/>
        <v>10.569105691056912</v>
      </c>
      <c r="M215" s="8" t="str">
        <f t="array" ref="M215">IF(L215&gt;5,"Perlu Pengendalian",IF(AND(L215&gt;=0,I215&gt;0),"Tidak Perlu Pengendalian","Belum Sensus"))</f>
        <v>Perlu Pengendalian</v>
      </c>
    </row>
    <row r="216" spans="1:15" outlineLevel="1" x14ac:dyDescent="0.15">
      <c r="A216" s="8" t="s">
        <v>1739</v>
      </c>
      <c r="B216" s="8" t="s">
        <v>14</v>
      </c>
      <c r="C216" s="8" t="s">
        <v>252</v>
      </c>
      <c r="D216" s="8" t="s">
        <v>1080</v>
      </c>
      <c r="E216" s="9">
        <v>29.4</v>
      </c>
      <c r="F216" s="8" t="s">
        <v>1740</v>
      </c>
      <c r="G216" s="10">
        <v>3865</v>
      </c>
      <c r="H216" s="132">
        <f t="array" ref="H216">IFERROR(INDEX('[25]TK KHUSUS'!$F$9:$F$187,MATCH(1,('[25]TK KHUSUS'!$E$9:$E$187=$D216)*('[25]TK KHUSUS'!$E$9:$E$187=$D216),0)),0)</f>
        <v>46149</v>
      </c>
      <c r="I216" s="8">
        <f t="array" ref="I216">IFERROR(INDEX('[25]TK KHUSUS'!$H$9:$H$187,MATCH(1,('[25]TK KHUSUS'!$E$9:$E$187=$D216)*('[25]TK KHUSUS'!$E$9:$E$187=$D216),0)),0)</f>
        <v>405</v>
      </c>
      <c r="J216" s="9">
        <f t="array" ref="J216">IFERROR(I216/G216*100,0)</f>
        <v>10.478654592496765</v>
      </c>
      <c r="K216" s="8">
        <f t="array" ref="K216">INDEX([26]KOMPARASI!$J$20:$J$199,MATCH(1,([26]KOMPARASI!$C$20:$C$199=$D216)*([26]KOMPARASI!$C$20:$C$199=$D216),0))</f>
        <v>49</v>
      </c>
      <c r="L216" s="9">
        <f t="shared" si="4"/>
        <v>12.098765432098766</v>
      </c>
      <c r="M216" s="8" t="str">
        <f t="array" ref="M216">IF(L216&gt;5,"Perlu Pengendalian",IF(AND(L216&gt;=0,I216&gt;0),"Tidak Perlu Pengendalian","Belum Sensus"))</f>
        <v>Perlu Pengendalian</v>
      </c>
    </row>
    <row r="217" spans="1:15" outlineLevel="1" x14ac:dyDescent="0.15">
      <c r="A217" s="8" t="s">
        <v>1739</v>
      </c>
      <c r="B217" s="8" t="s">
        <v>14</v>
      </c>
      <c r="C217" s="8" t="s">
        <v>252</v>
      </c>
      <c r="D217" s="8" t="s">
        <v>1081</v>
      </c>
      <c r="E217" s="9">
        <v>30.32</v>
      </c>
      <c r="F217" s="8" t="s">
        <v>1740</v>
      </c>
      <c r="G217" s="10">
        <v>4065</v>
      </c>
      <c r="H217" s="132">
        <f t="array" ref="H217">IFERROR(INDEX('[25]TK KHUSUS'!$F$9:$F$187,MATCH(1,('[25]TK KHUSUS'!$E$9:$E$187=$D217)*('[25]TK KHUSUS'!$E$9:$E$187=$D217),0)),0)</f>
        <v>46149</v>
      </c>
      <c r="I217" s="8">
        <f t="array" ref="I217">IFERROR(INDEX('[25]TK KHUSUS'!$H$9:$H$187,MATCH(1,('[25]TK KHUSUS'!$E$9:$E$187=$D217)*('[25]TK KHUSUS'!$E$9:$E$187=$D217),0)),0)</f>
        <v>422</v>
      </c>
      <c r="J217" s="9">
        <f t="array" ref="J217">IFERROR(I217/G217*100,0)</f>
        <v>10.38130381303813</v>
      </c>
      <c r="K217" s="8">
        <f t="array" ref="K217">INDEX([26]KOMPARASI!$J$20:$J$199,MATCH(1,([26]KOMPARASI!$C$20:$C$199=$D217)*([26]KOMPARASI!$C$20:$C$199=$D217),0))</f>
        <v>44</v>
      </c>
      <c r="L217" s="9">
        <f t="shared" si="4"/>
        <v>10.42654028436019</v>
      </c>
      <c r="M217" s="8" t="str">
        <f t="array" ref="M217">IF(L217&gt;5,"Perlu Pengendalian",IF(AND(L217&gt;=0,I217&gt;0),"Tidak Perlu Pengendalian","Belum Sensus"))</f>
        <v>Perlu Pengendalian</v>
      </c>
    </row>
    <row r="218" spans="1:15" outlineLevel="1" x14ac:dyDescent="0.15">
      <c r="A218" s="8" t="s">
        <v>1739</v>
      </c>
      <c r="B218" s="8" t="s">
        <v>14</v>
      </c>
      <c r="C218" s="8" t="s">
        <v>252</v>
      </c>
      <c r="D218" s="8" t="s">
        <v>1082</v>
      </c>
      <c r="E218" s="9">
        <v>29.07</v>
      </c>
      <c r="F218" s="8" t="s">
        <v>1740</v>
      </c>
      <c r="G218" s="10">
        <v>3832</v>
      </c>
      <c r="H218" s="132">
        <f t="array" ref="H218">IFERROR(INDEX('[25]TK KHUSUS'!$F$9:$F$187,MATCH(1,('[25]TK KHUSUS'!$E$9:$E$187=$D218)*('[25]TK KHUSUS'!$E$9:$E$187=$D218),0)),0)</f>
        <v>46149</v>
      </c>
      <c r="I218" s="8">
        <f t="array" ref="I218">IFERROR(INDEX('[25]TK KHUSUS'!$H$9:$H$187,MATCH(1,('[25]TK KHUSUS'!$E$9:$E$187=$D218)*('[25]TK KHUSUS'!$E$9:$E$187=$D218),0)),0)</f>
        <v>384</v>
      </c>
      <c r="J218" s="9">
        <f t="array" ref="J218">IFERROR(I218/G218*100,0)</f>
        <v>10.020876826722338</v>
      </c>
      <c r="K218" s="8">
        <f t="array" ref="K218">INDEX([26]KOMPARASI!$J$20:$J$199,MATCH(1,([26]KOMPARASI!$C$20:$C$199=$D218)*([26]KOMPARASI!$C$20:$C$199=$D218),0))</f>
        <v>49</v>
      </c>
      <c r="L218" s="9">
        <f t="shared" si="4"/>
        <v>12.760416666666666</v>
      </c>
      <c r="M218" s="8" t="str">
        <f t="array" ref="M218">IF(L218&gt;5,"Perlu Pengendalian",IF(AND(L218&gt;=0,I218&gt;0),"Tidak Perlu Pengendalian","Belum Sensus"))</f>
        <v>Perlu Pengendalian</v>
      </c>
    </row>
    <row r="219" spans="1:15" outlineLevel="1" x14ac:dyDescent="0.15">
      <c r="A219" s="8" t="s">
        <v>1739</v>
      </c>
      <c r="B219" s="8" t="s">
        <v>14</v>
      </c>
      <c r="C219" s="8" t="s">
        <v>252</v>
      </c>
      <c r="D219" s="8" t="s">
        <v>1083</v>
      </c>
      <c r="E219" s="9">
        <v>0</v>
      </c>
      <c r="F219" s="8" t="s">
        <v>1740</v>
      </c>
      <c r="G219" s="10">
        <v>0</v>
      </c>
      <c r="H219" s="132"/>
      <c r="I219" s="8">
        <f t="array" ref="I219">IFERROR(INDEX('[25]TK KHUSUS'!$H$9:$H$187,MATCH(1,('[25]TK KHUSUS'!$E$9:$E$187=$D219)*('[25]TK KHUSUS'!$E$9:$E$187=$D219),0)),0)</f>
        <v>0</v>
      </c>
      <c r="J219" s="9">
        <f t="array" ref="J219">IFERROR(I219/G219*100,0)</f>
        <v>0</v>
      </c>
      <c r="K219" s="8">
        <f t="array" ref="K219">INDEX([26]KOMPARASI!$J$20:$J$199,MATCH(1,([26]KOMPARASI!$C$20:$C$199=$D219)*([26]KOMPARASI!$C$20:$C$199=$D219),0))</f>
        <v>0</v>
      </c>
      <c r="L219" s="9">
        <f t="shared" si="4"/>
        <v>0</v>
      </c>
      <c r="M219" s="8" t="str">
        <f t="array" ref="M219">IF(L219&gt;5,"Perlu Pengendalian",IF(AND(L219&gt;=0,I219&gt;0),"Tidak Perlu Pengendalian","Belum Sensus"))</f>
        <v>Belum Sensus</v>
      </c>
    </row>
    <row r="220" spans="1:15" outlineLevel="1" x14ac:dyDescent="0.15">
      <c r="A220" s="8" t="s">
        <v>1739</v>
      </c>
      <c r="B220" s="8" t="s">
        <v>14</v>
      </c>
      <c r="C220" s="8" t="s">
        <v>252</v>
      </c>
      <c r="D220" s="8" t="s">
        <v>1084</v>
      </c>
      <c r="E220" s="9">
        <v>0</v>
      </c>
      <c r="F220" s="8" t="s">
        <v>1740</v>
      </c>
      <c r="G220" s="10">
        <v>0</v>
      </c>
      <c r="H220" s="132"/>
      <c r="I220" s="8">
        <f t="array" ref="I220">IFERROR(INDEX('[25]TK KHUSUS'!$H$9:$H$187,MATCH(1,('[25]TK KHUSUS'!$E$9:$E$187=$D220)*('[25]TK KHUSUS'!$E$9:$E$187=$D220),0)),0)</f>
        <v>0</v>
      </c>
      <c r="J220" s="9">
        <f t="array" ref="J220">IFERROR(I220/G220*100,0)</f>
        <v>0</v>
      </c>
      <c r="K220" s="8">
        <f t="array" ref="K220">INDEX([26]KOMPARASI!$J$20:$J$199,MATCH(1,([26]KOMPARASI!$C$20:$C$199=$D220)*([26]KOMPARASI!$C$20:$C$199=$D220),0))</f>
        <v>0</v>
      </c>
      <c r="L220" s="9">
        <f t="shared" si="4"/>
        <v>0</v>
      </c>
      <c r="M220" s="8" t="str">
        <f t="array" ref="M220">IF(L220&gt;5,"Perlu Pengendalian",IF(AND(L220&gt;=0,I220&gt;0),"Tidak Perlu Pengendalian","Belum Sensus"))</f>
        <v>Belum Sensus</v>
      </c>
    </row>
    <row r="221" spans="1:15" outlineLevel="1" x14ac:dyDescent="0.15">
      <c r="A221" s="8" t="s">
        <v>1739</v>
      </c>
      <c r="B221" s="8" t="s">
        <v>14</v>
      </c>
      <c r="C221" s="8" t="s">
        <v>252</v>
      </c>
      <c r="D221" s="8" t="s">
        <v>1085</v>
      </c>
      <c r="E221" s="9">
        <v>0</v>
      </c>
      <c r="F221" s="8" t="s">
        <v>1740</v>
      </c>
      <c r="G221" s="10">
        <v>0</v>
      </c>
      <c r="H221" s="132"/>
      <c r="I221" s="8">
        <f t="array" ref="I221">IFERROR(INDEX('[25]TK KHUSUS'!$H$9:$H$187,MATCH(1,('[25]TK KHUSUS'!$E$9:$E$187=$D221)*('[25]TK KHUSUS'!$E$9:$E$187=$D221),0)),0)</f>
        <v>0</v>
      </c>
      <c r="J221" s="9">
        <f t="array" ref="J221">IFERROR(I221/G221*100,0)</f>
        <v>0</v>
      </c>
      <c r="K221" s="8">
        <f t="array" ref="K221">INDEX([26]KOMPARASI!$J$20:$J$199,MATCH(1,([26]KOMPARASI!$C$20:$C$199=$D221)*([26]KOMPARASI!$C$20:$C$199=$D221),0))</f>
        <v>0</v>
      </c>
      <c r="L221" s="9">
        <f t="shared" si="4"/>
        <v>0</v>
      </c>
      <c r="M221" s="8" t="str">
        <f t="array" ref="M221">IF(L221&gt;5,"Perlu Pengendalian",IF(AND(L221&gt;=0,I221&gt;0),"Tidak Perlu Pengendalian","Belum Sensus"))</f>
        <v>Belum Sensus</v>
      </c>
    </row>
    <row r="222" spans="1:15" outlineLevel="1" x14ac:dyDescent="0.15">
      <c r="A222" s="8" t="s">
        <v>1739</v>
      </c>
      <c r="B222" s="8" t="s">
        <v>14</v>
      </c>
      <c r="C222" s="8" t="s">
        <v>252</v>
      </c>
      <c r="D222" s="8" t="s">
        <v>1086</v>
      </c>
      <c r="E222" s="9">
        <v>0</v>
      </c>
      <c r="F222" s="8" t="s">
        <v>1740</v>
      </c>
      <c r="G222" s="10">
        <v>0</v>
      </c>
      <c r="H222" s="132"/>
      <c r="I222" s="8">
        <f t="array" ref="I222">IFERROR(INDEX('[25]TK KHUSUS'!$H$9:$H$187,MATCH(1,('[25]TK KHUSUS'!$E$9:$E$187=$D222)*('[25]TK KHUSUS'!$E$9:$E$187=$D222),0)),0)</f>
        <v>0</v>
      </c>
      <c r="J222" s="9">
        <f t="array" ref="J222">IFERROR(I222/G222*100,0)</f>
        <v>0</v>
      </c>
      <c r="K222" s="8">
        <f t="array" ref="K222">INDEX([26]KOMPARASI!$J$20:$J$199,MATCH(1,([26]KOMPARASI!$C$20:$C$199=$D222)*([26]KOMPARASI!$C$20:$C$199=$D222),0))</f>
        <v>0</v>
      </c>
      <c r="L222" s="9">
        <f t="shared" si="4"/>
        <v>0</v>
      </c>
      <c r="M222" s="8" t="str">
        <f t="array" ref="M222">IF(L222&gt;5,"Perlu Pengendalian",IF(AND(L222&gt;=0,I222&gt;0),"Tidak Perlu Pengendalian","Belum Sensus"))</f>
        <v>Belum Sensus</v>
      </c>
    </row>
    <row r="223" spans="1:15" outlineLevel="1" x14ac:dyDescent="0.15">
      <c r="A223" s="8" t="s">
        <v>1739</v>
      </c>
      <c r="B223" s="8" t="s">
        <v>14</v>
      </c>
      <c r="C223" s="8" t="s">
        <v>252</v>
      </c>
      <c r="D223" s="8" t="s">
        <v>1087</v>
      </c>
      <c r="E223" s="9">
        <v>30.37</v>
      </c>
      <c r="F223" s="8" t="s">
        <v>1740</v>
      </c>
      <c r="G223" s="10">
        <v>3919</v>
      </c>
      <c r="H223" s="132">
        <f t="array" ref="H223">IFERROR(INDEX('[25]TK KHUSUS'!$F$9:$F$187,MATCH(1,('[25]TK KHUSUS'!$E$9:$E$187=$D223)*('[25]TK KHUSUS'!$E$9:$E$187=$D223),0)),0)</f>
        <v>46150</v>
      </c>
      <c r="I223" s="8">
        <f t="array" ref="I223">IFERROR(INDEX('[25]TK KHUSUS'!$H$9:$H$187,MATCH(1,('[25]TK KHUSUS'!$E$9:$E$187=$D223)*('[25]TK KHUSUS'!$E$9:$E$187=$D223),0)),0)</f>
        <v>296</v>
      </c>
      <c r="J223" s="9">
        <f t="array" ref="J223">IFERROR(I223/G223*100,0)</f>
        <v>7.5529471804031649</v>
      </c>
      <c r="K223" s="8">
        <f t="array" ref="K223">INDEX([26]KOMPARASI!$J$20:$J$199,MATCH(1,([26]KOMPARASI!$C$20:$C$199=$D223)*([26]KOMPARASI!$C$20:$C$199=$D223),0))</f>
        <v>44</v>
      </c>
      <c r="L223" s="9">
        <f t="shared" si="4"/>
        <v>14.864864864864865</v>
      </c>
      <c r="M223" s="8" t="str">
        <f t="array" ref="M223">IF(L223&gt;5,"Perlu Pengendalian",IF(AND(L223&gt;=0,I223&gt;0),"Tidak Perlu Pengendalian","Belum Sensus"))</f>
        <v>Perlu Pengendalian</v>
      </c>
    </row>
    <row r="224" spans="1:15" outlineLevel="1" x14ac:dyDescent="0.15">
      <c r="A224" s="8" t="s">
        <v>1739</v>
      </c>
      <c r="B224" s="8" t="s">
        <v>14</v>
      </c>
      <c r="C224" s="8" t="s">
        <v>252</v>
      </c>
      <c r="D224" s="8" t="s">
        <v>1088</v>
      </c>
      <c r="E224" s="9">
        <v>30.66</v>
      </c>
      <c r="F224" s="8" t="s">
        <v>1740</v>
      </c>
      <c r="G224" s="10">
        <v>3907</v>
      </c>
      <c r="H224" s="132">
        <f t="array" ref="H224">IFERROR(INDEX('[25]TK KHUSUS'!$F$9:$F$187,MATCH(1,('[25]TK KHUSUS'!$E$9:$E$187=$D224)*('[25]TK KHUSUS'!$E$9:$E$187=$D224),0)),0)</f>
        <v>46151</v>
      </c>
      <c r="I224" s="8">
        <f t="array" ref="I224">IFERROR(INDEX('[25]TK KHUSUS'!$H$9:$H$187,MATCH(1,('[25]TK KHUSUS'!$E$9:$E$187=$D224)*('[25]TK KHUSUS'!$E$9:$E$187=$D224),0)),0)</f>
        <v>346</v>
      </c>
      <c r="J224" s="9">
        <f t="array" ref="J224">IFERROR(I224/G224*100,0)</f>
        <v>8.8558996672638841</v>
      </c>
      <c r="K224" s="8">
        <f t="array" ref="K224">INDEX([26]KOMPARASI!$J$20:$J$199,MATCH(1,([26]KOMPARASI!$C$20:$C$199=$D224)*([26]KOMPARASI!$C$20:$C$199=$D224),0))</f>
        <v>51</v>
      </c>
      <c r="L224" s="9">
        <f t="shared" si="4"/>
        <v>14.739884393063585</v>
      </c>
      <c r="M224" s="8" t="str">
        <f t="array" ref="M224">IF(L224&gt;5,"Perlu Pengendalian",IF(AND(L224&gt;=0,I224&gt;0),"Tidak Perlu Pengendalian","Belum Sensus"))</f>
        <v>Perlu Pengendalian</v>
      </c>
    </row>
    <row r="225" spans="1:13" outlineLevel="1" x14ac:dyDescent="0.15">
      <c r="A225" s="8" t="s">
        <v>1739</v>
      </c>
      <c r="B225" s="8" t="s">
        <v>14</v>
      </c>
      <c r="C225" s="8" t="s">
        <v>252</v>
      </c>
      <c r="D225" s="8" t="s">
        <v>1089</v>
      </c>
      <c r="E225" s="9">
        <v>29.83</v>
      </c>
      <c r="F225" s="8" t="s">
        <v>1740</v>
      </c>
      <c r="G225" s="10">
        <v>3866</v>
      </c>
      <c r="H225" s="132">
        <f t="array" ref="H225">IFERROR(INDEX('[25]TK KHUSUS'!$F$9:$F$187,MATCH(1,('[25]TK KHUSUS'!$E$9:$E$187=$D225)*('[25]TK KHUSUS'!$E$9:$E$187=$D225),0)),0)</f>
        <v>46151</v>
      </c>
      <c r="I225" s="8">
        <f t="array" ref="I225">IFERROR(INDEX('[25]TK KHUSUS'!$H$9:$H$187,MATCH(1,('[25]TK KHUSUS'!$E$9:$E$187=$D225)*('[25]TK KHUSUS'!$E$9:$E$187=$D225),0)),0)</f>
        <v>368</v>
      </c>
      <c r="J225" s="9">
        <f t="array" ref="J225">IFERROR(I225/G225*100,0)</f>
        <v>9.5188825659596485</v>
      </c>
      <c r="K225" s="8">
        <f t="array" ref="K225">INDEX([26]KOMPARASI!$J$20:$J$199,MATCH(1,([26]KOMPARASI!$C$20:$C$199=$D225)*([26]KOMPARASI!$C$20:$C$199=$D225),0))</f>
        <v>63</v>
      </c>
      <c r="L225" s="9">
        <f t="shared" si="4"/>
        <v>17.119565217391305</v>
      </c>
      <c r="M225" s="8" t="str">
        <f t="array" ref="M225">IF(L225&gt;5,"Perlu Pengendalian",IF(AND(L225&gt;=0,I225&gt;0),"Tidak Perlu Pengendalian","Belum Sensus"))</f>
        <v>Perlu Pengendalian</v>
      </c>
    </row>
    <row r="226" spans="1:13" outlineLevel="1" x14ac:dyDescent="0.15">
      <c r="A226" s="8" t="s">
        <v>1739</v>
      </c>
      <c r="B226" s="8" t="s">
        <v>14</v>
      </c>
      <c r="C226" s="8" t="s">
        <v>252</v>
      </c>
      <c r="D226" s="8" t="s">
        <v>1090</v>
      </c>
      <c r="E226" s="9">
        <v>29.94</v>
      </c>
      <c r="F226" s="8" t="s">
        <v>1740</v>
      </c>
      <c r="G226" s="10">
        <v>3882</v>
      </c>
      <c r="H226" s="132">
        <f t="array" ref="H226">IFERROR(INDEX('[25]TK KHUSUS'!$F$9:$F$187,MATCH(1,('[25]TK KHUSUS'!$E$9:$E$187=$D226)*('[25]TK KHUSUS'!$E$9:$E$187=$D226),0)),0)</f>
        <v>46149</v>
      </c>
      <c r="I226" s="8">
        <f t="array" ref="I226">IFERROR(INDEX('[25]TK KHUSUS'!$H$9:$H$187,MATCH(1,('[25]TK KHUSUS'!$E$9:$E$187=$D226)*('[25]TK KHUSUS'!$E$9:$E$187=$D226),0)),0)</f>
        <v>384</v>
      </c>
      <c r="J226" s="9">
        <f t="array" ref="J226">IFERROR(I226/G226*100,0)</f>
        <v>9.891808346213292</v>
      </c>
      <c r="K226" s="8">
        <f t="array" ref="K226">INDEX([26]KOMPARASI!$J$20:$J$199,MATCH(1,([26]KOMPARASI!$C$20:$C$199=$D226)*([26]KOMPARASI!$C$20:$C$199=$D226),0))</f>
        <v>49</v>
      </c>
      <c r="L226" s="9">
        <f t="shared" si="4"/>
        <v>12.760416666666666</v>
      </c>
      <c r="M226" s="8" t="str">
        <f t="array" ref="M226">IF(L226&gt;5,"Perlu Pengendalian",IF(AND(L226&gt;=0,I226&gt;0),"Tidak Perlu Pengendalian","Belum Sensus"))</f>
        <v>Perlu Pengendalian</v>
      </c>
    </row>
    <row r="227" spans="1:13" outlineLevel="1" x14ac:dyDescent="0.15">
      <c r="A227" s="8" t="s">
        <v>1739</v>
      </c>
      <c r="B227" s="8" t="s">
        <v>14</v>
      </c>
      <c r="C227" s="8" t="s">
        <v>252</v>
      </c>
      <c r="D227" s="8" t="s">
        <v>1091</v>
      </c>
      <c r="E227" s="9">
        <v>30.76</v>
      </c>
      <c r="F227" s="8" t="s">
        <v>1740</v>
      </c>
      <c r="G227" s="10">
        <v>3987</v>
      </c>
      <c r="H227" s="132">
        <f t="array" ref="H227">IFERROR(INDEX('[25]TK KHUSUS'!$F$9:$F$187,MATCH(1,('[25]TK KHUSUS'!$E$9:$E$187=$D227)*('[25]TK KHUSUS'!$E$9:$E$187=$D227),0)),0)</f>
        <v>46149</v>
      </c>
      <c r="I227" s="8">
        <f t="array" ref="I227">IFERROR(INDEX('[25]TK KHUSUS'!$H$9:$H$187,MATCH(1,('[25]TK KHUSUS'!$E$9:$E$187=$D227)*('[25]TK KHUSUS'!$E$9:$E$187=$D227),0)),0)</f>
        <v>421</v>
      </c>
      <c r="J227" s="9">
        <f t="array" ref="J227">IFERROR(I227/G227*100,0)</f>
        <v>10.55931778279408</v>
      </c>
      <c r="K227" s="8">
        <f t="array" ref="K227">INDEX([26]KOMPARASI!$J$20:$J$199,MATCH(1,([26]KOMPARASI!$C$20:$C$199=$D227)*([26]KOMPARASI!$C$20:$C$199=$D227),0))</f>
        <v>35</v>
      </c>
      <c r="L227" s="9">
        <f t="shared" si="4"/>
        <v>8.31353919239905</v>
      </c>
      <c r="M227" s="8" t="str">
        <f t="array" ref="M227">IF(L227&gt;5,"Perlu Pengendalian",IF(AND(L227&gt;=0,I227&gt;0),"Tidak Perlu Pengendalian","Belum Sensus"))</f>
        <v>Perlu Pengendalian</v>
      </c>
    </row>
    <row r="228" spans="1:13" outlineLevel="1" x14ac:dyDescent="0.15">
      <c r="A228" s="8" t="s">
        <v>1739</v>
      </c>
      <c r="B228" s="8" t="s">
        <v>14</v>
      </c>
      <c r="C228" s="8" t="s">
        <v>252</v>
      </c>
      <c r="D228" s="8" t="s">
        <v>1092</v>
      </c>
      <c r="E228" s="9">
        <v>0</v>
      </c>
      <c r="F228" s="8" t="s">
        <v>1740</v>
      </c>
      <c r="G228" s="10">
        <v>0</v>
      </c>
      <c r="H228" s="132"/>
      <c r="I228" s="8">
        <f t="array" ref="I228">IFERROR(INDEX('[25]TK KHUSUS'!$H$9:$H$187,MATCH(1,('[25]TK KHUSUS'!$E$9:$E$187=$D228)*('[25]TK KHUSUS'!$E$9:$E$187=$D228),0)),0)</f>
        <v>0</v>
      </c>
      <c r="J228" s="9">
        <f t="array" ref="J228">IFERROR(I228/G228*100,0)</f>
        <v>0</v>
      </c>
      <c r="K228" s="8">
        <f t="array" ref="K228">INDEX([26]KOMPARASI!$J$20:$J$199,MATCH(1,([26]KOMPARASI!$C$20:$C$199=$D228)*([26]KOMPARASI!$C$20:$C$199=$D228),0))</f>
        <v>0</v>
      </c>
      <c r="L228" s="9">
        <f t="shared" si="4"/>
        <v>0</v>
      </c>
      <c r="M228" s="8" t="str">
        <f t="array" ref="M228">IF(L228&gt;5,"Perlu Pengendalian",IF(AND(L228&gt;=0,I228&gt;0),"Tidak Perlu Pengendalian","Belum Sensus"))</f>
        <v>Belum Sensus</v>
      </c>
    </row>
    <row r="229" spans="1:13" outlineLevel="1" x14ac:dyDescent="0.15">
      <c r="A229" s="8" t="s">
        <v>1739</v>
      </c>
      <c r="B229" s="8" t="s">
        <v>14</v>
      </c>
      <c r="C229" s="8" t="s">
        <v>252</v>
      </c>
      <c r="D229" s="8" t="s">
        <v>1093</v>
      </c>
      <c r="E229" s="9">
        <v>0</v>
      </c>
      <c r="F229" s="8" t="s">
        <v>1740</v>
      </c>
      <c r="G229" s="10">
        <v>0</v>
      </c>
      <c r="H229" s="132"/>
      <c r="I229" s="8">
        <f t="array" ref="I229">IFERROR(INDEX('[25]TK KHUSUS'!$H$9:$H$187,MATCH(1,('[25]TK KHUSUS'!$E$9:$E$187=$D229)*('[25]TK KHUSUS'!$E$9:$E$187=$D229),0)),0)</f>
        <v>0</v>
      </c>
      <c r="J229" s="9">
        <f t="array" ref="J229">IFERROR(I229/G229*100,0)</f>
        <v>0</v>
      </c>
      <c r="K229" s="8">
        <f t="array" ref="K229">INDEX([26]KOMPARASI!$J$20:$J$199,MATCH(1,([26]KOMPARASI!$C$20:$C$199=$D229)*([26]KOMPARASI!$C$20:$C$199=$D229),0))</f>
        <v>0</v>
      </c>
      <c r="L229" s="9">
        <f t="shared" si="4"/>
        <v>0</v>
      </c>
      <c r="M229" s="8" t="str">
        <f t="array" ref="M229">IF(L229&gt;5,"Perlu Pengendalian",IF(AND(L229&gt;=0,I229&gt;0),"Tidak Perlu Pengendalian","Belum Sensus"))</f>
        <v>Belum Sensus</v>
      </c>
    </row>
    <row r="230" spans="1:13" outlineLevel="1" x14ac:dyDescent="0.15">
      <c r="A230" s="8" t="s">
        <v>1739</v>
      </c>
      <c r="B230" s="8" t="s">
        <v>14</v>
      </c>
      <c r="C230" s="8" t="s">
        <v>252</v>
      </c>
      <c r="D230" s="8" t="s">
        <v>1094</v>
      </c>
      <c r="E230" s="9">
        <v>0</v>
      </c>
      <c r="F230" s="8" t="s">
        <v>1740</v>
      </c>
      <c r="G230" s="10">
        <v>0</v>
      </c>
      <c r="H230" s="132"/>
      <c r="I230" s="8">
        <f t="array" ref="I230">IFERROR(INDEX('[25]TK KHUSUS'!$H$9:$H$187,MATCH(1,('[25]TK KHUSUS'!$E$9:$E$187=$D230)*('[25]TK KHUSUS'!$E$9:$E$187=$D230),0)),0)</f>
        <v>0</v>
      </c>
      <c r="J230" s="9">
        <f t="array" ref="J230">IFERROR(I230/G230*100,0)</f>
        <v>0</v>
      </c>
      <c r="K230" s="8">
        <f t="array" ref="K230">INDEX([26]KOMPARASI!$J$20:$J$199,MATCH(1,([26]KOMPARASI!$C$20:$C$199=$D230)*([26]KOMPARASI!$C$20:$C$199=$D230),0))</f>
        <v>0</v>
      </c>
      <c r="L230" s="9">
        <f t="shared" si="4"/>
        <v>0</v>
      </c>
      <c r="M230" s="8" t="str">
        <f t="array" ref="M230">IF(L230&gt;5,"Perlu Pengendalian",IF(AND(L230&gt;=0,I230&gt;0),"Tidak Perlu Pengendalian","Belum Sensus"))</f>
        <v>Belum Sensus</v>
      </c>
    </row>
    <row r="231" spans="1:13" outlineLevel="1" x14ac:dyDescent="0.15">
      <c r="A231" s="8" t="s">
        <v>1739</v>
      </c>
      <c r="B231" s="8" t="s">
        <v>14</v>
      </c>
      <c r="C231" s="8" t="s">
        <v>252</v>
      </c>
      <c r="D231" s="8" t="s">
        <v>1095</v>
      </c>
      <c r="E231" s="9">
        <v>24.63</v>
      </c>
      <c r="F231" s="8" t="s">
        <v>1740</v>
      </c>
      <c r="G231" s="10">
        <v>3108</v>
      </c>
      <c r="H231" s="132">
        <f t="array" ref="H231">IFERROR(INDEX('[25]TK KHUSUS'!$F$9:$F$187,MATCH(1,('[25]TK KHUSUS'!$E$9:$E$187=$D231)*('[25]TK KHUSUS'!$E$9:$E$187=$D231),0)),0)</f>
        <v>46154</v>
      </c>
      <c r="I231" s="8">
        <f t="array" ref="I231">IFERROR(INDEX('[25]TK KHUSUS'!$H$9:$H$187,MATCH(1,('[25]TK KHUSUS'!$E$9:$E$187=$D231)*('[25]TK KHUSUS'!$E$9:$E$187=$D231),0)),0)</f>
        <v>225</v>
      </c>
      <c r="J231" s="9">
        <f t="array" ref="J231">IFERROR(I231/G231*100,0)</f>
        <v>7.2393822393822385</v>
      </c>
      <c r="K231" s="8">
        <f t="array" ref="K231">INDEX([26]KOMPARASI!$J$20:$J$199,MATCH(1,([26]KOMPARASI!$C$20:$C$199=$D231)*([26]KOMPARASI!$C$20:$C$199=$D231),0))</f>
        <v>25</v>
      </c>
      <c r="L231" s="9">
        <f t="shared" si="4"/>
        <v>11.111111111111111</v>
      </c>
      <c r="M231" s="8" t="str">
        <f t="array" ref="M231">IF(L231&gt;5,"Perlu Pengendalian",IF(AND(L231&gt;=0,I231&gt;0),"Tidak Perlu Pengendalian","Belum Sensus"))</f>
        <v>Perlu Pengendalian</v>
      </c>
    </row>
    <row r="232" spans="1:13" outlineLevel="1" x14ac:dyDescent="0.15">
      <c r="A232" s="8" t="s">
        <v>1739</v>
      </c>
      <c r="B232" s="8" t="s">
        <v>14</v>
      </c>
      <c r="C232" s="8" t="s">
        <v>252</v>
      </c>
      <c r="D232" s="8" t="s">
        <v>1096</v>
      </c>
      <c r="E232" s="9">
        <v>31.19</v>
      </c>
      <c r="F232" s="8" t="s">
        <v>1740</v>
      </c>
      <c r="G232" s="10">
        <v>4177</v>
      </c>
      <c r="H232" s="132">
        <f t="array" ref="H232">IFERROR(INDEX('[25]TK KHUSUS'!$F$9:$F$187,MATCH(1,('[25]TK KHUSUS'!$E$9:$E$187=$D232)*('[25]TK KHUSUS'!$E$9:$E$187=$D232),0)),0)</f>
        <v>46153</v>
      </c>
      <c r="I232" s="8">
        <f t="array" ref="I232">IFERROR(INDEX('[25]TK KHUSUS'!$H$9:$H$187,MATCH(1,('[25]TK KHUSUS'!$E$9:$E$187=$D232)*('[25]TK KHUSUS'!$E$9:$E$187=$D232),0)),0)</f>
        <v>431</v>
      </c>
      <c r="J232" s="9">
        <f t="array" ref="J232">IFERROR(I232/G232*100,0)</f>
        <v>10.318410342350969</v>
      </c>
      <c r="K232" s="8">
        <f t="array" ref="K232">INDEX([26]KOMPARASI!$J$20:$J$199,MATCH(1,([26]KOMPARASI!$C$20:$C$199=$D232)*([26]KOMPARASI!$C$20:$C$199=$D232),0))</f>
        <v>49</v>
      </c>
      <c r="L232" s="9">
        <f t="shared" si="4"/>
        <v>11.36890951276102</v>
      </c>
      <c r="M232" s="8" t="str">
        <f t="array" ref="M232">IF(L232&gt;5,"Perlu Pengendalian",IF(AND(L232&gt;=0,I232&gt;0),"Tidak Perlu Pengendalian","Belum Sensus"))</f>
        <v>Perlu Pengendalian</v>
      </c>
    </row>
    <row r="233" spans="1:13" outlineLevel="1" x14ac:dyDescent="0.15">
      <c r="A233" s="8" t="s">
        <v>1739</v>
      </c>
      <c r="B233" s="8" t="s">
        <v>14</v>
      </c>
      <c r="C233" s="8" t="s">
        <v>252</v>
      </c>
      <c r="D233" s="8" t="s">
        <v>1097</v>
      </c>
      <c r="E233" s="9">
        <v>28.98</v>
      </c>
      <c r="F233" s="8" t="s">
        <v>1740</v>
      </c>
      <c r="G233" s="10">
        <v>3701</v>
      </c>
      <c r="H233" s="132">
        <f t="array" ref="H233">IFERROR(INDEX('[25]TK KHUSUS'!$F$9:$F$187,MATCH(1,('[25]TK KHUSUS'!$E$9:$E$187=$D233)*('[25]TK KHUSUS'!$E$9:$E$187=$D233),0)),0)</f>
        <v>46153</v>
      </c>
      <c r="I233" s="8">
        <f t="array" ref="I233">IFERROR(INDEX('[25]TK KHUSUS'!$H$9:$H$187,MATCH(1,('[25]TK KHUSUS'!$E$9:$E$187=$D233)*('[25]TK KHUSUS'!$E$9:$E$187=$D233),0)),0)</f>
        <v>386</v>
      </c>
      <c r="J233" s="9">
        <f t="array" ref="J233">IFERROR(I233/G233*100,0)</f>
        <v>10.429613617941097</v>
      </c>
      <c r="K233" s="8">
        <f t="array" ref="K233">INDEX([26]KOMPARASI!$J$20:$J$199,MATCH(1,([26]KOMPARASI!$C$20:$C$199=$D233)*([26]KOMPARASI!$C$20:$C$199=$D233),0))</f>
        <v>51</v>
      </c>
      <c r="L233" s="9">
        <f t="shared" si="4"/>
        <v>13.212435233160621</v>
      </c>
      <c r="M233" s="8" t="str">
        <f t="array" ref="M233">IF(L233&gt;5,"Perlu Pengendalian",IF(AND(L233&gt;=0,I233&gt;0),"Tidak Perlu Pengendalian","Belum Sensus"))</f>
        <v>Perlu Pengendalian</v>
      </c>
    </row>
    <row r="234" spans="1:13" outlineLevel="1" x14ac:dyDescent="0.15">
      <c r="A234" s="8" t="s">
        <v>1739</v>
      </c>
      <c r="B234" s="8" t="s">
        <v>14</v>
      </c>
      <c r="C234" s="8" t="s">
        <v>252</v>
      </c>
      <c r="D234" s="8" t="s">
        <v>1098</v>
      </c>
      <c r="E234" s="9">
        <v>30.54</v>
      </c>
      <c r="F234" s="8" t="s">
        <v>1740</v>
      </c>
      <c r="G234" s="10">
        <v>3587</v>
      </c>
      <c r="H234" s="132">
        <f t="array" ref="H234">IFERROR(INDEX('[25]TK KHUSUS'!$F$9:$F$187,MATCH(1,('[25]TK KHUSUS'!$E$9:$E$187=$D234)*('[25]TK KHUSUS'!$E$9:$E$187=$D234),0)),0)</f>
        <v>46154</v>
      </c>
      <c r="I234" s="8">
        <f t="array" ref="I234">IFERROR(INDEX('[25]TK KHUSUS'!$H$9:$H$187,MATCH(1,('[25]TK KHUSUS'!$E$9:$E$187=$D234)*('[25]TK KHUSUS'!$E$9:$E$187=$D234),0)),0)</f>
        <v>409</v>
      </c>
      <c r="J234" s="9">
        <f t="array" ref="J234">IFERROR(I234/G234*100,0)</f>
        <v>11.402286032896571</v>
      </c>
      <c r="K234" s="8">
        <f t="array" ref="K234">INDEX([26]KOMPARASI!$J$20:$J$199,MATCH(1,([26]KOMPARASI!$C$20:$C$199=$D234)*([26]KOMPARASI!$C$20:$C$199=$D234),0))</f>
        <v>57</v>
      </c>
      <c r="L234" s="9">
        <f t="shared" si="4"/>
        <v>13.93643031784841</v>
      </c>
      <c r="M234" s="8" t="str">
        <f t="array" ref="M234">IF(L234&gt;5,"Perlu Pengendalian",IF(AND(L234&gt;=0,I234&gt;0),"Tidak Perlu Pengendalian","Belum Sensus"))</f>
        <v>Perlu Pengendalian</v>
      </c>
    </row>
    <row r="235" spans="1:13" outlineLevel="1" x14ac:dyDescent="0.15">
      <c r="A235" s="8" t="s">
        <v>1739</v>
      </c>
      <c r="B235" s="8" t="s">
        <v>14</v>
      </c>
      <c r="C235" s="8" t="s">
        <v>252</v>
      </c>
      <c r="D235" s="8" t="s">
        <v>1099</v>
      </c>
      <c r="E235" s="9">
        <v>25.31</v>
      </c>
      <c r="F235" s="8" t="s">
        <v>1740</v>
      </c>
      <c r="G235" s="10">
        <v>3271</v>
      </c>
      <c r="H235" s="132">
        <f t="array" ref="H235">IFERROR(INDEX('[25]TK KHUSUS'!$F$9:$F$187,MATCH(1,('[25]TK KHUSUS'!$E$9:$E$187=$D235)*('[25]TK KHUSUS'!$E$9:$E$187=$D235),0)),0)</f>
        <v>46154</v>
      </c>
      <c r="I235" s="8">
        <f t="array" ref="I235">IFERROR(INDEX('[25]TK KHUSUS'!$H$9:$H$187,MATCH(1,('[25]TK KHUSUS'!$E$9:$E$187=$D235)*('[25]TK KHUSUS'!$E$9:$E$187=$D235),0)),0)</f>
        <v>314</v>
      </c>
      <c r="J235" s="9">
        <f t="array" ref="J235">IFERROR(I235/G235*100,0)</f>
        <v>9.5995108529501696</v>
      </c>
      <c r="K235" s="8">
        <f t="array" ref="K235">INDEX([26]KOMPARASI!$J$20:$J$199,MATCH(1,([26]KOMPARASI!$C$20:$C$199=$D235)*([26]KOMPARASI!$C$20:$C$199=$D235),0))</f>
        <v>38</v>
      </c>
      <c r="L235" s="9">
        <f t="shared" si="4"/>
        <v>12.101910828025478</v>
      </c>
      <c r="M235" s="8" t="str">
        <f t="array" ref="M235">IF(L235&gt;5,"Perlu Pengendalian",IF(AND(L235&gt;=0,I235&gt;0),"Tidak Perlu Pengendalian","Belum Sensus"))</f>
        <v>Perlu Pengendalian</v>
      </c>
    </row>
    <row r="236" spans="1:13" outlineLevel="1" x14ac:dyDescent="0.15">
      <c r="A236" s="8" t="s">
        <v>1739</v>
      </c>
      <c r="B236" s="8" t="s">
        <v>14</v>
      </c>
      <c r="C236" s="8" t="s">
        <v>252</v>
      </c>
      <c r="D236" s="8" t="s">
        <v>1100</v>
      </c>
      <c r="E236" s="9">
        <v>0</v>
      </c>
      <c r="F236" s="8" t="s">
        <v>1740</v>
      </c>
      <c r="G236" s="10">
        <v>0</v>
      </c>
      <c r="H236" s="132"/>
      <c r="I236" s="8">
        <f t="array" ref="I236">IFERROR(INDEX('[25]TK KHUSUS'!$H$9:$H$187,MATCH(1,('[25]TK KHUSUS'!$E$9:$E$187=$D236)*('[25]TK KHUSUS'!$E$9:$E$187=$D236),0)),0)</f>
        <v>0</v>
      </c>
      <c r="J236" s="9">
        <f t="array" ref="J236">IFERROR(I236/G236*100,0)</f>
        <v>0</v>
      </c>
      <c r="K236" s="8">
        <f t="array" ref="K236">INDEX([26]KOMPARASI!$J$20:$J$199,MATCH(1,([26]KOMPARASI!$C$20:$C$199=$D236)*([26]KOMPARASI!$C$20:$C$199=$D236),0))</f>
        <v>0</v>
      </c>
      <c r="L236" s="9">
        <f t="shared" si="4"/>
        <v>0</v>
      </c>
      <c r="M236" s="8" t="str">
        <f t="array" ref="M236">IF(L236&gt;5,"Perlu Pengendalian",IF(AND(L236&gt;=0,I236&gt;0),"Tidak Perlu Pengendalian","Belum Sensus"))</f>
        <v>Belum Sensus</v>
      </c>
    </row>
    <row r="237" spans="1:13" outlineLevel="1" x14ac:dyDescent="0.15">
      <c r="A237" s="8" t="s">
        <v>1739</v>
      </c>
      <c r="B237" s="8" t="s">
        <v>14</v>
      </c>
      <c r="C237" s="8" t="s">
        <v>252</v>
      </c>
      <c r="D237" s="8" t="s">
        <v>1101</v>
      </c>
      <c r="E237" s="9">
        <v>34.58</v>
      </c>
      <c r="F237" s="8" t="s">
        <v>1740</v>
      </c>
      <c r="G237" s="10">
        <v>4363</v>
      </c>
      <c r="H237" s="132">
        <f t="array" ref="H237">IFERROR(INDEX('[25]TK KHUSUS'!$F$9:$F$187,MATCH(1,('[25]TK KHUSUS'!$E$9:$E$187=$D237)*('[25]TK KHUSUS'!$E$9:$E$187=$D237),0)),0)</f>
        <v>46153</v>
      </c>
      <c r="I237" s="8">
        <f t="array" ref="I237">IFERROR(INDEX('[25]TK KHUSUS'!$H$9:$H$187,MATCH(1,('[25]TK KHUSUS'!$E$9:$E$187=$D237)*('[25]TK KHUSUS'!$E$9:$E$187=$D237),0)),0)</f>
        <v>424</v>
      </c>
      <c r="J237" s="9">
        <f t="array" ref="J237">IFERROR(I237/G237*100,0)</f>
        <v>9.7180838872335542</v>
      </c>
      <c r="K237" s="8">
        <f t="array" ref="K237">INDEX([26]KOMPARASI!$J$20:$J$199,MATCH(1,([26]KOMPARASI!$C$20:$C$199=$D237)*([26]KOMPARASI!$C$20:$C$199=$D237),0))</f>
        <v>33</v>
      </c>
      <c r="L237" s="9">
        <f t="shared" si="4"/>
        <v>7.783018867924528</v>
      </c>
      <c r="M237" s="8" t="str">
        <f t="array" ref="M237">IF(L237&gt;5,"Perlu Pengendalian",IF(AND(L237&gt;=0,I237&gt;0),"Tidak Perlu Pengendalian","Belum Sensus"))</f>
        <v>Perlu Pengendalian</v>
      </c>
    </row>
    <row r="238" spans="1:13" outlineLevel="1" x14ac:dyDescent="0.15">
      <c r="A238" s="8" t="s">
        <v>1739</v>
      </c>
      <c r="B238" s="8" t="s">
        <v>14</v>
      </c>
      <c r="C238" s="8" t="s">
        <v>252</v>
      </c>
      <c r="D238" s="8" t="s">
        <v>1102</v>
      </c>
      <c r="E238" s="9">
        <v>29.14</v>
      </c>
      <c r="F238" s="8" t="s">
        <v>1740</v>
      </c>
      <c r="G238" s="10">
        <v>3643</v>
      </c>
      <c r="H238" s="132">
        <f t="array" ref="H238">IFERROR(INDEX('[25]TK KHUSUS'!$F$9:$F$187,MATCH(1,('[25]TK KHUSUS'!$E$9:$E$187=$D238)*('[25]TK KHUSUS'!$E$9:$E$187=$D238),0)),0)</f>
        <v>46153</v>
      </c>
      <c r="I238" s="8">
        <f t="array" ref="I238">IFERROR(INDEX('[25]TK KHUSUS'!$H$9:$H$187,MATCH(1,('[25]TK KHUSUS'!$E$9:$E$187=$D238)*('[25]TK KHUSUS'!$E$9:$E$187=$D238),0)),0)</f>
        <v>387</v>
      </c>
      <c r="J238" s="9">
        <f t="array" ref="J238">IFERROR(I238/G238*100,0)</f>
        <v>10.623112819105133</v>
      </c>
      <c r="K238" s="8">
        <f t="array" ref="K238">INDEX([26]KOMPARASI!$J$20:$J$199,MATCH(1,([26]KOMPARASI!$C$20:$C$199=$D238)*([26]KOMPARASI!$C$20:$C$199=$D238),0))</f>
        <v>46</v>
      </c>
      <c r="L238" s="9">
        <f t="shared" si="4"/>
        <v>11.886304909560723</v>
      </c>
      <c r="M238" s="8" t="str">
        <f t="array" ref="M238">IF(L238&gt;5,"Perlu Pengendalian",IF(AND(L238&gt;=0,I238&gt;0),"Tidak Perlu Pengendalian","Belum Sensus"))</f>
        <v>Perlu Pengendalian</v>
      </c>
    </row>
    <row r="239" spans="1:13" outlineLevel="1" x14ac:dyDescent="0.15">
      <c r="A239" s="8" t="s">
        <v>1739</v>
      </c>
      <c r="B239" s="8" t="s">
        <v>14</v>
      </c>
      <c r="C239" s="8" t="s">
        <v>252</v>
      </c>
      <c r="D239" s="8" t="s">
        <v>1103</v>
      </c>
      <c r="E239" s="9">
        <v>0</v>
      </c>
      <c r="F239" s="8" t="s">
        <v>1740</v>
      </c>
      <c r="G239" s="10">
        <v>0</v>
      </c>
      <c r="H239" s="132"/>
      <c r="I239" s="8">
        <f t="array" ref="I239">IFERROR(INDEX('[25]TK KHUSUS'!$H$9:$H$187,MATCH(1,('[25]TK KHUSUS'!$E$9:$E$187=$D239)*('[25]TK KHUSUS'!$E$9:$E$187=$D239),0)),0)</f>
        <v>0</v>
      </c>
      <c r="J239" s="9">
        <f t="array" ref="J239">IFERROR(I239/G239*100,0)</f>
        <v>0</v>
      </c>
      <c r="K239" s="8">
        <f t="array" ref="K239">INDEX([26]KOMPARASI!$J$20:$J$199,MATCH(1,([26]KOMPARASI!$C$20:$C$199=$D239)*([26]KOMPARASI!$C$20:$C$199=$D239),0))</f>
        <v>0</v>
      </c>
      <c r="L239" s="9">
        <f t="shared" si="4"/>
        <v>0</v>
      </c>
      <c r="M239" s="8" t="str">
        <f t="array" ref="M239">IF(L239&gt;5,"Perlu Pengendalian",IF(AND(L239&gt;=0,I239&gt;0),"Tidak Perlu Pengendalian","Belum Sensus"))</f>
        <v>Belum Sensus</v>
      </c>
    </row>
    <row r="240" spans="1:13" outlineLevel="1" x14ac:dyDescent="0.15">
      <c r="A240" s="8" t="s">
        <v>1739</v>
      </c>
      <c r="B240" s="8" t="s">
        <v>14</v>
      </c>
      <c r="C240" s="8" t="s">
        <v>252</v>
      </c>
      <c r="D240" s="8" t="s">
        <v>1104</v>
      </c>
      <c r="E240" s="9">
        <v>0</v>
      </c>
      <c r="F240" s="8" t="s">
        <v>1740</v>
      </c>
      <c r="G240" s="10">
        <v>0</v>
      </c>
      <c r="H240" s="132"/>
      <c r="I240" s="8">
        <f t="array" ref="I240">IFERROR(INDEX('[25]TK KHUSUS'!$H$9:$H$187,MATCH(1,('[25]TK KHUSUS'!$E$9:$E$187=$D240)*('[25]TK KHUSUS'!$E$9:$E$187=$D240),0)),0)</f>
        <v>0</v>
      </c>
      <c r="J240" s="9">
        <f t="array" ref="J240">IFERROR(I240/G240*100,0)</f>
        <v>0</v>
      </c>
      <c r="K240" s="8">
        <f t="array" ref="K240">INDEX([26]KOMPARASI!$J$20:$J$199,MATCH(1,([26]KOMPARASI!$C$20:$C$199=$D240)*([26]KOMPARASI!$C$20:$C$199=$D240),0))</f>
        <v>0</v>
      </c>
      <c r="L240" s="9">
        <f t="shared" si="4"/>
        <v>0</v>
      </c>
      <c r="M240" s="8" t="str">
        <f t="array" ref="M240">IF(L240&gt;5,"Perlu Pengendalian",IF(AND(L240&gt;=0,I240&gt;0),"Tidak Perlu Pengendalian","Belum Sensus"))</f>
        <v>Belum Sensus</v>
      </c>
    </row>
    <row r="241" spans="1:13" outlineLevel="1" x14ac:dyDescent="0.15">
      <c r="A241" s="8" t="s">
        <v>1739</v>
      </c>
      <c r="B241" s="8" t="s">
        <v>14</v>
      </c>
      <c r="C241" s="8" t="s">
        <v>252</v>
      </c>
      <c r="D241" s="8" t="s">
        <v>1105</v>
      </c>
      <c r="E241" s="9">
        <v>0</v>
      </c>
      <c r="F241" s="8" t="s">
        <v>1740</v>
      </c>
      <c r="G241" s="10">
        <v>0</v>
      </c>
      <c r="H241" s="132"/>
      <c r="I241" s="8">
        <f t="array" ref="I241">IFERROR(INDEX('[25]TK KHUSUS'!$H$9:$H$187,MATCH(1,('[25]TK KHUSUS'!$E$9:$E$187=$D241)*('[25]TK KHUSUS'!$E$9:$E$187=$D241),0)),0)</f>
        <v>0</v>
      </c>
      <c r="J241" s="9">
        <f t="array" ref="J241">IFERROR(I241/G241*100,0)</f>
        <v>0</v>
      </c>
      <c r="K241" s="8">
        <f t="array" ref="K241">INDEX([26]KOMPARASI!$J$20:$J$199,MATCH(1,([26]KOMPARASI!$C$20:$C$199=$D241)*([26]KOMPARASI!$C$20:$C$199=$D241),0))</f>
        <v>0</v>
      </c>
      <c r="L241" s="9">
        <f t="shared" si="4"/>
        <v>0</v>
      </c>
      <c r="M241" s="8" t="str">
        <f t="array" ref="M241">IF(L241&gt;5,"Perlu Pengendalian",IF(AND(L241&gt;=0,I241&gt;0),"Tidak Perlu Pengendalian","Belum Sensus"))</f>
        <v>Belum Sensus</v>
      </c>
    </row>
    <row r="242" spans="1:13" outlineLevel="1" x14ac:dyDescent="0.15">
      <c r="A242" s="8" t="s">
        <v>1739</v>
      </c>
      <c r="B242" s="8" t="s">
        <v>14</v>
      </c>
      <c r="C242" s="8" t="s">
        <v>252</v>
      </c>
      <c r="D242" s="8" t="s">
        <v>1106</v>
      </c>
      <c r="E242" s="9">
        <v>0</v>
      </c>
      <c r="F242" s="8" t="s">
        <v>1740</v>
      </c>
      <c r="G242" s="10">
        <v>0</v>
      </c>
      <c r="H242" s="132"/>
      <c r="I242" s="8">
        <f t="array" ref="I242">IFERROR(INDEX('[25]TK KHUSUS'!$H$9:$H$187,MATCH(1,('[25]TK KHUSUS'!$E$9:$E$187=$D242)*('[25]TK KHUSUS'!$E$9:$E$187=$D242),0)),0)</f>
        <v>0</v>
      </c>
      <c r="J242" s="9">
        <f t="array" ref="J242">IFERROR(I242/G242*100,0)</f>
        <v>0</v>
      </c>
      <c r="K242" s="8">
        <f t="array" ref="K242">INDEX([26]KOMPARASI!$J$20:$J$199,MATCH(1,([26]KOMPARASI!$C$20:$C$199=$D242)*([26]KOMPARASI!$C$20:$C$199=$D242),0))</f>
        <v>0</v>
      </c>
      <c r="L242" s="9">
        <f t="shared" si="4"/>
        <v>0</v>
      </c>
      <c r="M242" s="8" t="str">
        <f t="array" ref="M242">IF(L242&gt;5,"Perlu Pengendalian",IF(AND(L242&gt;=0,I242&gt;0),"Tidak Perlu Pengendalian","Belum Sensus"))</f>
        <v>Belum Sensus</v>
      </c>
    </row>
    <row r="243" spans="1:13" outlineLevel="1" x14ac:dyDescent="0.15">
      <c r="A243" s="8" t="s">
        <v>1739</v>
      </c>
      <c r="B243" s="8" t="s">
        <v>14</v>
      </c>
      <c r="C243" s="8" t="s">
        <v>252</v>
      </c>
      <c r="D243" s="8" t="s">
        <v>1107</v>
      </c>
      <c r="E243" s="9">
        <v>26.43</v>
      </c>
      <c r="F243" s="8" t="s">
        <v>1740</v>
      </c>
      <c r="G243" s="10">
        <v>3065</v>
      </c>
      <c r="H243" s="132">
        <f t="array" ref="H243">IFERROR(INDEX('[25]TK KHUSUS'!$F$9:$F$187,MATCH(1,('[25]TK KHUSUS'!$E$9:$E$187=$D243)*('[25]TK KHUSUS'!$E$9:$E$187=$D243),0)),0)</f>
        <v>46155</v>
      </c>
      <c r="I243" s="8">
        <f t="array" ref="I243">IFERROR(INDEX('[25]TK KHUSUS'!$H$9:$H$187,MATCH(1,('[25]TK KHUSUS'!$E$9:$E$187=$D243)*('[25]TK KHUSUS'!$E$9:$E$187=$D243),0)),0)</f>
        <v>341</v>
      </c>
      <c r="J243" s="9">
        <f t="array" ref="J243">IFERROR(I243/G243*100,0)</f>
        <v>11.125611745513867</v>
      </c>
      <c r="K243" s="8">
        <f t="array" ref="K243">INDEX([26]KOMPARASI!$J$20:$J$199,MATCH(1,([26]KOMPARASI!$C$20:$C$199=$D243)*([26]KOMPARASI!$C$20:$C$199=$D243),0))</f>
        <v>67</v>
      </c>
      <c r="L243" s="9">
        <f t="shared" si="4"/>
        <v>19.648093841642229</v>
      </c>
      <c r="M243" s="8" t="str">
        <f t="array" ref="M243">IF(L243&gt;5,"Perlu Pengendalian",IF(AND(L243&gt;=0,I243&gt;0),"Tidak Perlu Pengendalian","Belum Sensus"))</f>
        <v>Perlu Pengendalian</v>
      </c>
    </row>
    <row r="244" spans="1:13" outlineLevel="1" x14ac:dyDescent="0.15">
      <c r="A244" s="8" t="s">
        <v>1739</v>
      </c>
      <c r="B244" s="8" t="s">
        <v>14</v>
      </c>
      <c r="C244" s="8" t="s">
        <v>252</v>
      </c>
      <c r="D244" s="8" t="s">
        <v>1108</v>
      </c>
      <c r="E244" s="9">
        <v>28.55</v>
      </c>
      <c r="F244" s="8" t="s">
        <v>1740</v>
      </c>
      <c r="G244" s="10">
        <v>3557</v>
      </c>
      <c r="H244" s="132">
        <f t="array" ref="H244">IFERROR(INDEX('[25]TK KHUSUS'!$F$9:$F$187,MATCH(1,('[25]TK KHUSUS'!$E$9:$E$187=$D244)*('[25]TK KHUSUS'!$E$9:$E$187=$D244),0)),0)</f>
        <v>46155</v>
      </c>
      <c r="I244" s="8">
        <f t="array" ref="I244">IFERROR(INDEX('[25]TK KHUSUS'!$H$9:$H$187,MATCH(1,('[25]TK KHUSUS'!$E$9:$E$187=$D244)*('[25]TK KHUSUS'!$E$9:$E$187=$D244),0)),0)</f>
        <v>355</v>
      </c>
      <c r="J244" s="9">
        <f t="array" ref="J244">IFERROR(I244/G244*100,0)</f>
        <v>9.9803204947989865</v>
      </c>
      <c r="K244" s="8">
        <f t="array" ref="K244">INDEX([26]KOMPARASI!$J$20:$J$199,MATCH(1,([26]KOMPARASI!$C$20:$C$199=$D244)*([26]KOMPARASI!$C$20:$C$199=$D244),0))</f>
        <v>47</v>
      </c>
      <c r="L244" s="9">
        <f t="shared" si="4"/>
        <v>13.239436619718308</v>
      </c>
      <c r="M244" s="8" t="str">
        <f t="array" ref="M244">IF(L244&gt;5,"Perlu Pengendalian",IF(AND(L244&gt;=0,I244&gt;0),"Tidak Perlu Pengendalian","Belum Sensus"))</f>
        <v>Perlu Pengendalian</v>
      </c>
    </row>
    <row r="245" spans="1:13" outlineLevel="1" x14ac:dyDescent="0.15">
      <c r="A245" s="8" t="s">
        <v>1739</v>
      </c>
      <c r="B245" s="8" t="s">
        <v>14</v>
      </c>
      <c r="C245" s="8" t="s">
        <v>252</v>
      </c>
      <c r="D245" s="8" t="s">
        <v>1109</v>
      </c>
      <c r="E245" s="9">
        <v>20.48</v>
      </c>
      <c r="F245" s="8" t="s">
        <v>1740</v>
      </c>
      <c r="G245" s="10">
        <v>3218</v>
      </c>
      <c r="H245" s="132">
        <f t="array" ref="H245">IFERROR(INDEX('[25]TK KHUSUS'!$F$9:$F$187,MATCH(1,('[25]TK KHUSUS'!$E$9:$E$187=$D245)*('[25]TK KHUSUS'!$E$9:$E$187=$D245),0)),0)</f>
        <v>46155</v>
      </c>
      <c r="I245" s="8">
        <f t="array" ref="I245">IFERROR(INDEX('[25]TK KHUSUS'!$H$9:$H$187,MATCH(1,('[25]TK KHUSUS'!$E$9:$E$187=$D245)*('[25]TK KHUSUS'!$E$9:$E$187=$D245),0)),0)</f>
        <v>219</v>
      </c>
      <c r="J245" s="9">
        <f t="array" ref="J245">IFERROR(I245/G245*100,0)</f>
        <v>6.8054692355500306</v>
      </c>
      <c r="K245" s="8">
        <f t="array" ref="K245">INDEX([26]KOMPARASI!$J$20:$J$199,MATCH(1,([26]KOMPARASI!$C$20:$C$199=$D245)*([26]KOMPARASI!$C$20:$C$199=$D245),0))</f>
        <v>35</v>
      </c>
      <c r="L245" s="9">
        <f t="shared" si="4"/>
        <v>15.981735159817351</v>
      </c>
      <c r="M245" s="8" t="str">
        <f t="array" ref="M245">IF(L245&gt;5,"Perlu Pengendalian",IF(AND(L245&gt;=0,I245&gt;0),"Tidak Perlu Pengendalian","Belum Sensus"))</f>
        <v>Perlu Pengendalian</v>
      </c>
    </row>
    <row r="246" spans="1:13" outlineLevel="1" x14ac:dyDescent="0.15">
      <c r="A246" s="8" t="s">
        <v>1739</v>
      </c>
      <c r="B246" s="8" t="s">
        <v>14</v>
      </c>
      <c r="C246" s="8" t="s">
        <v>252</v>
      </c>
      <c r="D246" s="8" t="s">
        <v>1110</v>
      </c>
      <c r="E246" s="9">
        <v>0</v>
      </c>
      <c r="F246" s="8" t="s">
        <v>1740</v>
      </c>
      <c r="G246" s="10">
        <v>0</v>
      </c>
      <c r="H246" s="132"/>
      <c r="I246" s="8">
        <f t="array" ref="I246">IFERROR(INDEX('[25]TK KHUSUS'!$H$9:$H$187,MATCH(1,('[25]TK KHUSUS'!$E$9:$E$187=$D246)*('[25]TK KHUSUS'!$E$9:$E$187=$D246),0)),0)</f>
        <v>0</v>
      </c>
      <c r="J246" s="9">
        <f t="array" ref="J246">IFERROR(I246/G246*100,0)</f>
        <v>0</v>
      </c>
      <c r="K246" s="8">
        <f t="array" ref="K246">INDEX([26]KOMPARASI!$J$20:$J$199,MATCH(1,([26]KOMPARASI!$C$20:$C$199=$D246)*([26]KOMPARASI!$C$20:$C$199=$D246),0))</f>
        <v>0</v>
      </c>
      <c r="L246" s="9">
        <f t="shared" si="4"/>
        <v>0</v>
      </c>
      <c r="M246" s="8" t="str">
        <f t="array" ref="M246">IF(L246&gt;5,"Perlu Pengendalian",IF(AND(L246&gt;=0,I246&gt;0),"Tidak Perlu Pengendalian","Belum Sensus"))</f>
        <v>Belum Sensus</v>
      </c>
    </row>
    <row r="247" spans="1:13" outlineLevel="1" x14ac:dyDescent="0.15">
      <c r="A247" s="8" t="s">
        <v>1739</v>
      </c>
      <c r="B247" s="8" t="s">
        <v>14</v>
      </c>
      <c r="C247" s="8" t="s">
        <v>252</v>
      </c>
      <c r="D247" s="8" t="s">
        <v>1111</v>
      </c>
      <c r="E247" s="9">
        <v>38.25</v>
      </c>
      <c r="F247" s="8" t="s">
        <v>1740</v>
      </c>
      <c r="G247" s="10">
        <v>4895</v>
      </c>
      <c r="H247" s="132">
        <f t="array" ref="H247">IFERROR(INDEX('[25]TK KHUSUS'!$F$9:$F$187,MATCH(1,('[25]TK KHUSUS'!$E$9:$E$187=$D247)*('[25]TK KHUSUS'!$E$9:$E$187=$D247),0)),0)</f>
        <v>46157</v>
      </c>
      <c r="I247" s="8">
        <f t="array" ref="I247">IFERROR(INDEX('[25]TK KHUSUS'!$H$9:$H$187,MATCH(1,('[25]TK KHUSUS'!$E$9:$E$187=$D247)*('[25]TK KHUSUS'!$E$9:$E$187=$D247),0)),0)</f>
        <v>274</v>
      </c>
      <c r="J247" s="9">
        <f t="array" ref="J247">IFERROR(I247/G247*100,0)</f>
        <v>5.5975485188968328</v>
      </c>
      <c r="K247" s="8">
        <f t="array" ref="K247">INDEX([26]KOMPARASI!$J$20:$J$199,MATCH(1,([26]KOMPARASI!$C$20:$C$199=$D247)*([26]KOMPARASI!$C$20:$C$199=$D247),0))</f>
        <v>51</v>
      </c>
      <c r="L247" s="9">
        <f t="shared" si="4"/>
        <v>18.613138686131386</v>
      </c>
      <c r="M247" s="8" t="str">
        <f t="array" ref="M247">IF(L247&gt;5,"Perlu Pengendalian",IF(AND(L247&gt;=0,I247&gt;0),"Tidak Perlu Pengendalian","Belum Sensus"))</f>
        <v>Perlu Pengendalian</v>
      </c>
    </row>
    <row r="248" spans="1:13" outlineLevel="1" x14ac:dyDescent="0.15">
      <c r="A248" s="8" t="s">
        <v>1739</v>
      </c>
      <c r="B248" s="8" t="s">
        <v>14</v>
      </c>
      <c r="C248" s="8" t="s">
        <v>252</v>
      </c>
      <c r="D248" s="8" t="s">
        <v>1112</v>
      </c>
      <c r="E248" s="9">
        <v>29.69</v>
      </c>
      <c r="F248" s="8" t="s">
        <v>1740</v>
      </c>
      <c r="G248" s="10">
        <v>3841</v>
      </c>
      <c r="H248" s="132">
        <f t="array" ref="H248">IFERROR(INDEX('[25]TK KHUSUS'!$F$9:$F$187,MATCH(1,('[25]TK KHUSUS'!$E$9:$E$187=$D248)*('[25]TK KHUSUS'!$E$9:$E$187=$D248),0)),0)</f>
        <v>46157</v>
      </c>
      <c r="I248" s="8">
        <f t="array" ref="I248">IFERROR(INDEX('[25]TK KHUSUS'!$H$9:$H$187,MATCH(1,('[25]TK KHUSUS'!$E$9:$E$187=$D248)*('[25]TK KHUSUS'!$E$9:$E$187=$D248),0)),0)</f>
        <v>247</v>
      </c>
      <c r="J248" s="9">
        <f t="array" ref="J248">IFERROR(I248/G248*100,0)</f>
        <v>6.4306170268159342</v>
      </c>
      <c r="K248" s="8">
        <f t="array" ref="K248">INDEX([26]KOMPARASI!$J$20:$J$199,MATCH(1,([26]KOMPARASI!$C$20:$C$199=$D248)*([26]KOMPARASI!$C$20:$C$199=$D248),0))</f>
        <v>43</v>
      </c>
      <c r="L248" s="9">
        <f t="shared" si="4"/>
        <v>17.408906882591094</v>
      </c>
      <c r="M248" s="8" t="str">
        <f t="array" ref="M248">IF(L248&gt;5,"Perlu Pengendalian",IF(AND(L248&gt;=0,I248&gt;0),"Tidak Perlu Pengendalian","Belum Sensus"))</f>
        <v>Perlu Pengendalian</v>
      </c>
    </row>
    <row r="249" spans="1:13" outlineLevel="1" x14ac:dyDescent="0.15">
      <c r="A249" s="8" t="s">
        <v>1739</v>
      </c>
      <c r="B249" s="8" t="s">
        <v>14</v>
      </c>
      <c r="C249" s="8" t="s">
        <v>252</v>
      </c>
      <c r="D249" s="8" t="s">
        <v>1113</v>
      </c>
      <c r="E249" s="9">
        <v>25.89</v>
      </c>
      <c r="F249" s="8" t="s">
        <v>1740</v>
      </c>
      <c r="G249" s="10">
        <v>3294</v>
      </c>
      <c r="H249" s="132">
        <f t="array" ref="H249">IFERROR(INDEX('[25]TK KHUSUS'!$F$9:$F$187,MATCH(1,('[25]TK KHUSUS'!$E$9:$E$187=$D249)*('[25]TK KHUSUS'!$E$9:$E$187=$D249),0)),0)</f>
        <v>46157</v>
      </c>
      <c r="I249" s="8">
        <f t="array" ref="I249">IFERROR(INDEX('[25]TK KHUSUS'!$H$9:$H$187,MATCH(1,('[25]TK KHUSUS'!$E$9:$E$187=$D249)*('[25]TK KHUSUS'!$E$9:$E$187=$D249),0)),0)</f>
        <v>260</v>
      </c>
      <c r="J249" s="9">
        <f t="array" ref="J249">IFERROR(I249/G249*100,0)</f>
        <v>7.8931390406800235</v>
      </c>
      <c r="K249" s="8">
        <f t="array" ref="K249">INDEX([26]KOMPARASI!$J$20:$J$199,MATCH(1,([26]KOMPARASI!$C$20:$C$199=$D249)*([26]KOMPARASI!$C$20:$C$199=$D249),0))</f>
        <v>37</v>
      </c>
      <c r="L249" s="9">
        <f t="shared" si="4"/>
        <v>14.23076923076923</v>
      </c>
      <c r="M249" s="8" t="str">
        <f t="array" ref="M249">IF(L249&gt;5,"Perlu Pengendalian",IF(AND(L249&gt;=0,I249&gt;0),"Tidak Perlu Pengendalian","Belum Sensus"))</f>
        <v>Perlu Pengendalian</v>
      </c>
    </row>
    <row r="250" spans="1:13" outlineLevel="1" x14ac:dyDescent="0.15">
      <c r="A250" s="8" t="s">
        <v>1739</v>
      </c>
      <c r="B250" s="8" t="s">
        <v>14</v>
      </c>
      <c r="C250" s="8" t="s">
        <v>290</v>
      </c>
      <c r="D250" s="8" t="s">
        <v>1114</v>
      </c>
      <c r="E250" s="9">
        <v>24.19</v>
      </c>
      <c r="F250" s="8" t="s">
        <v>1740</v>
      </c>
      <c r="G250" s="10">
        <v>3142</v>
      </c>
      <c r="H250" s="132">
        <f t="array" ref="H250">IFERROR(INDEX('[25]TK KHUSUS'!$F$9:$F$187,MATCH(1,('[25]TK KHUSUS'!$E$9:$E$187=$D250)*('[25]TK KHUSUS'!$E$9:$E$187=$D250),0)),0)</f>
        <v>46154</v>
      </c>
      <c r="I250" s="8">
        <f t="array" ref="I250">IFERROR(INDEX('[25]TK KHUSUS'!$H$9:$H$187,MATCH(1,('[25]TK KHUSUS'!$E$9:$E$187=$D250)*('[25]TK KHUSUS'!$E$9:$E$187=$D250),0)),0)</f>
        <v>327</v>
      </c>
      <c r="J250" s="9">
        <f t="array" ref="J250">IFERROR(I250/G250*100,0)</f>
        <v>10.407383831954169</v>
      </c>
      <c r="K250" s="8">
        <f t="array" ref="K250">INDEX([26]KOMPARASI!$J$20:$J$199,MATCH(1,([26]KOMPARASI!$C$20:$C$199=$D250)*([26]KOMPARASI!$C$20:$C$199=$D250),0))</f>
        <v>37</v>
      </c>
      <c r="L250" s="9">
        <f t="shared" si="4"/>
        <v>11.314984709480122</v>
      </c>
      <c r="M250" s="8" t="str">
        <f t="array" ref="M250">IF(L250&gt;5,"Perlu Pengendalian",IF(AND(L250&gt;=0,I250&gt;0),"Tidak Perlu Pengendalian","Belum Sensus"))</f>
        <v>Perlu Pengendalian</v>
      </c>
    </row>
    <row r="251" spans="1:13" outlineLevel="1" x14ac:dyDescent="0.15">
      <c r="A251" s="8" t="s">
        <v>1739</v>
      </c>
      <c r="B251" s="8" t="s">
        <v>14</v>
      </c>
      <c r="C251" s="8" t="s">
        <v>290</v>
      </c>
      <c r="D251" s="8" t="s">
        <v>1115</v>
      </c>
      <c r="E251" s="9">
        <v>22.79</v>
      </c>
      <c r="F251" s="8" t="s">
        <v>1740</v>
      </c>
      <c r="G251" s="10">
        <v>3348</v>
      </c>
      <c r="H251" s="132">
        <f t="array" ref="H251">IFERROR(INDEX('[25]TK KHUSUS'!$F$9:$F$187,MATCH(1,('[25]TK KHUSUS'!$E$9:$E$187=$D251)*('[25]TK KHUSUS'!$E$9:$E$187=$D251),0)),0)</f>
        <v>46154</v>
      </c>
      <c r="I251" s="8">
        <f t="array" ref="I251">IFERROR(INDEX('[25]TK KHUSUS'!$H$9:$H$187,MATCH(1,('[25]TK KHUSUS'!$E$9:$E$187=$D251)*('[25]TK KHUSUS'!$E$9:$E$187=$D251),0)),0)</f>
        <v>323</v>
      </c>
      <c r="J251" s="9">
        <f t="array" ref="J251">IFERROR(I251/G251*100,0)</f>
        <v>9.6475507765830351</v>
      </c>
      <c r="K251" s="8">
        <f t="array" ref="K251">INDEX([26]KOMPARASI!$J$20:$J$199,MATCH(1,([26]KOMPARASI!$C$20:$C$199=$D251)*([26]KOMPARASI!$C$20:$C$199=$D251),0))</f>
        <v>93</v>
      </c>
      <c r="L251" s="9">
        <f t="shared" si="4"/>
        <v>28.792569659442723</v>
      </c>
      <c r="M251" s="8" t="str">
        <f t="array" ref="M251">IF(L251&gt;5,"Perlu Pengendalian",IF(AND(L251&gt;=0,I251&gt;0),"Tidak Perlu Pengendalian","Belum Sensus"))</f>
        <v>Perlu Pengendalian</v>
      </c>
    </row>
    <row r="252" spans="1:13" outlineLevel="1" x14ac:dyDescent="0.15">
      <c r="A252" s="8" t="s">
        <v>1739</v>
      </c>
      <c r="B252" s="8" t="s">
        <v>14</v>
      </c>
      <c r="C252" s="8" t="s">
        <v>290</v>
      </c>
      <c r="D252" s="8" t="s">
        <v>1116</v>
      </c>
      <c r="E252" s="9">
        <v>27.12</v>
      </c>
      <c r="F252" s="8" t="s">
        <v>1740</v>
      </c>
      <c r="G252" s="10">
        <v>3746</v>
      </c>
      <c r="H252" s="132">
        <f t="array" ref="H252">IFERROR(INDEX('[25]TK KHUSUS'!$F$9:$F$187,MATCH(1,('[25]TK KHUSUS'!$E$9:$E$187=$D252)*('[25]TK KHUSUS'!$E$9:$E$187=$D252),0)),0)</f>
        <v>46154</v>
      </c>
      <c r="I252" s="8">
        <f t="array" ref="I252">IFERROR(INDEX('[25]TK KHUSUS'!$H$9:$H$187,MATCH(1,('[25]TK KHUSUS'!$E$9:$E$187=$D252)*('[25]TK KHUSUS'!$E$9:$E$187=$D252),0)),0)</f>
        <v>334</v>
      </c>
      <c r="J252" s="9">
        <f t="array" ref="J252">IFERROR(I252/G252*100,0)</f>
        <v>8.9161772557394556</v>
      </c>
      <c r="K252" s="8">
        <f t="array" ref="K252">INDEX([26]KOMPARASI!$J$20:$J$199,MATCH(1,([26]KOMPARASI!$C$20:$C$199=$D252)*([26]KOMPARASI!$C$20:$C$199=$D252),0))</f>
        <v>129</v>
      </c>
      <c r="L252" s="9">
        <f t="shared" si="4"/>
        <v>38.622754491017965</v>
      </c>
      <c r="M252" s="8" t="str">
        <f t="array" ref="M252">IF(L252&gt;5,"Perlu Pengendalian",IF(AND(L252&gt;=0,I252&gt;0),"Tidak Perlu Pengendalian","Belum Sensus"))</f>
        <v>Perlu Pengendalian</v>
      </c>
    </row>
    <row r="253" spans="1:13" outlineLevel="1" x14ac:dyDescent="0.15">
      <c r="A253" s="8" t="s">
        <v>1739</v>
      </c>
      <c r="B253" s="8" t="s">
        <v>14</v>
      </c>
      <c r="C253" s="8" t="s">
        <v>290</v>
      </c>
      <c r="D253" s="8" t="s">
        <v>1117</v>
      </c>
      <c r="E253" s="9">
        <v>25.17</v>
      </c>
      <c r="F253" s="8" t="s">
        <v>1740</v>
      </c>
      <c r="G253" s="10">
        <v>2638</v>
      </c>
      <c r="H253" s="132">
        <f t="array" ref="H253">IFERROR(INDEX('[25]TK KHUSUS'!$F$9:$F$187,MATCH(1,('[25]TK KHUSUS'!$E$9:$E$187=$D253)*('[25]TK KHUSUS'!$E$9:$E$187=$D253),0)),0)</f>
        <v>46154</v>
      </c>
      <c r="I253" s="8">
        <f t="array" ref="I253">IFERROR(INDEX('[25]TK KHUSUS'!$H$9:$H$187,MATCH(1,('[25]TK KHUSUS'!$E$9:$E$187=$D253)*('[25]TK KHUSUS'!$E$9:$E$187=$D253),0)),0)</f>
        <v>329</v>
      </c>
      <c r="J253" s="9">
        <f t="array" ref="J253">IFERROR(I253/G253*100,0)</f>
        <v>12.471569370735406</v>
      </c>
      <c r="K253" s="8">
        <f t="array" ref="K253">INDEX([26]KOMPARASI!$J$20:$J$199,MATCH(1,([26]KOMPARASI!$C$20:$C$199=$D253)*([26]KOMPARASI!$C$20:$C$199=$D253),0))</f>
        <v>78</v>
      </c>
      <c r="L253" s="9">
        <f t="shared" si="4"/>
        <v>23.70820668693009</v>
      </c>
      <c r="M253" s="8" t="str">
        <f t="array" ref="M253">IF(L253&gt;5,"Perlu Pengendalian",IF(AND(L253&gt;=0,I253&gt;0),"Tidak Perlu Pengendalian","Belum Sensus"))</f>
        <v>Perlu Pengendalian</v>
      </c>
    </row>
    <row r="254" spans="1:13" outlineLevel="1" x14ac:dyDescent="0.15">
      <c r="A254" s="8" t="s">
        <v>1739</v>
      </c>
      <c r="B254" s="8" t="s">
        <v>14</v>
      </c>
      <c r="C254" s="8" t="s">
        <v>290</v>
      </c>
      <c r="D254" s="8" t="s">
        <v>1118</v>
      </c>
      <c r="E254" s="9">
        <v>24.56</v>
      </c>
      <c r="F254" s="8" t="s">
        <v>1740</v>
      </c>
      <c r="G254" s="10">
        <v>3226</v>
      </c>
      <c r="H254" s="132">
        <f t="array" ref="H254">IFERROR(INDEX('[25]TK KHUSUS'!$F$9:$F$187,MATCH(1,('[25]TK KHUSUS'!$E$9:$E$187=$D254)*('[25]TK KHUSUS'!$E$9:$E$187=$D254),0)),0)</f>
        <v>46154</v>
      </c>
      <c r="I254" s="8">
        <f t="array" ref="I254">IFERROR(INDEX('[25]TK KHUSUS'!$H$9:$H$187,MATCH(1,('[25]TK KHUSUS'!$E$9:$E$187=$D254)*('[25]TK KHUSUS'!$E$9:$E$187=$D254),0)),0)</f>
        <v>247</v>
      </c>
      <c r="J254" s="9">
        <f t="array" ref="J254">IFERROR(I254/G254*100,0)</f>
        <v>7.6565406075635458</v>
      </c>
      <c r="K254" s="8">
        <f t="array" ref="K254">INDEX([26]KOMPARASI!$J$20:$J$199,MATCH(1,([26]KOMPARASI!$C$20:$C$199=$D254)*([26]KOMPARASI!$C$20:$C$199=$D254),0))</f>
        <v>105</v>
      </c>
      <c r="L254" s="9">
        <f t="shared" si="4"/>
        <v>42.51012145748988</v>
      </c>
      <c r="M254" s="8" t="str">
        <f t="array" ref="M254">IF(L254&gt;5,"Perlu Pengendalian",IF(AND(L254&gt;=0,I254&gt;0),"Tidak Perlu Pengendalian","Belum Sensus"))</f>
        <v>Perlu Pengendalian</v>
      </c>
    </row>
    <row r="255" spans="1:13" outlineLevel="1" x14ac:dyDescent="0.15">
      <c r="A255" s="8" t="s">
        <v>1739</v>
      </c>
      <c r="B255" s="8" t="s">
        <v>14</v>
      </c>
      <c r="C255" s="8" t="s">
        <v>290</v>
      </c>
      <c r="D255" s="8" t="s">
        <v>1119</v>
      </c>
      <c r="E255" s="9">
        <v>24.9</v>
      </c>
      <c r="F255" s="8" t="s">
        <v>1740</v>
      </c>
      <c r="G255" s="10">
        <v>3358</v>
      </c>
      <c r="H255" s="132">
        <f t="array" ref="H255">IFERROR(INDEX('[25]TK KHUSUS'!$F$9:$F$187,MATCH(1,('[25]TK KHUSUS'!$E$9:$E$187=$D255)*('[25]TK KHUSUS'!$E$9:$E$187=$D255),0)),0)</f>
        <v>46148</v>
      </c>
      <c r="I255" s="8">
        <f t="array" ref="I255">IFERROR(INDEX('[25]TK KHUSUS'!$H$9:$H$187,MATCH(1,('[25]TK KHUSUS'!$E$9:$E$187=$D255)*('[25]TK KHUSUS'!$E$9:$E$187=$D255),0)),0)</f>
        <v>127</v>
      </c>
      <c r="J255" s="9">
        <f t="array" ref="J255">IFERROR(I255/G255*100,0)</f>
        <v>3.7820131030375221</v>
      </c>
      <c r="K255" s="8">
        <f t="array" ref="K255">INDEX([26]KOMPARASI!$J$20:$J$199,MATCH(1,([26]KOMPARASI!$C$20:$C$199=$D255)*([26]KOMPARASI!$C$20:$C$199=$D255),0))</f>
        <v>39</v>
      </c>
      <c r="L255" s="9">
        <f t="shared" si="4"/>
        <v>30.708661417322837</v>
      </c>
      <c r="M255" s="8" t="str">
        <f t="array" ref="M255">IF(L255&gt;5,"Perlu Pengendalian",IF(AND(L255&gt;=0,I255&gt;0),"Tidak Perlu Pengendalian","Belum Sensus"))</f>
        <v>Perlu Pengendalian</v>
      </c>
    </row>
    <row r="256" spans="1:13" outlineLevel="1" x14ac:dyDescent="0.15">
      <c r="A256" s="8" t="s">
        <v>1739</v>
      </c>
      <c r="B256" s="8" t="s">
        <v>14</v>
      </c>
      <c r="C256" s="8" t="s">
        <v>290</v>
      </c>
      <c r="D256" s="8" t="s">
        <v>1120</v>
      </c>
      <c r="E256" s="9">
        <v>42.05</v>
      </c>
      <c r="F256" s="8" t="s">
        <v>1740</v>
      </c>
      <c r="G256" s="10">
        <v>5609</v>
      </c>
      <c r="H256" s="132">
        <f t="array" ref="H256">IFERROR(INDEX('[25]TK KHUSUS'!$F$9:$F$187,MATCH(1,('[25]TK KHUSUS'!$E$9:$E$187=$D256)*('[25]TK KHUSUS'!$E$9:$E$187=$D256),0)),0)</f>
        <v>46154</v>
      </c>
      <c r="I256" s="8">
        <f t="array" ref="I256">IFERROR(INDEX('[25]TK KHUSUS'!$H$9:$H$187,MATCH(1,('[25]TK KHUSUS'!$E$9:$E$187=$D256)*('[25]TK KHUSUS'!$E$9:$E$187=$D256),0)),0)</f>
        <v>342</v>
      </c>
      <c r="J256" s="9">
        <f t="array" ref="J256">IFERROR(I256/G256*100,0)</f>
        <v>6.097343555000891</v>
      </c>
      <c r="K256" s="8">
        <f t="array" ref="K256">INDEX([26]KOMPARASI!$J$20:$J$199,MATCH(1,([26]KOMPARASI!$C$20:$C$199=$D256)*([26]KOMPARASI!$C$20:$C$199=$D256),0))</f>
        <v>164</v>
      </c>
      <c r="L256" s="9">
        <f t="shared" si="4"/>
        <v>47.953216374269005</v>
      </c>
      <c r="M256" s="8" t="str">
        <f t="array" ref="M256">IF(L256&gt;5,"Perlu Pengendalian",IF(AND(L256&gt;=0,I256&gt;0),"Tidak Perlu Pengendalian","Belum Sensus"))</f>
        <v>Perlu Pengendalian</v>
      </c>
    </row>
    <row r="257" spans="1:13" outlineLevel="1" x14ac:dyDescent="0.15">
      <c r="A257" s="8" t="s">
        <v>1739</v>
      </c>
      <c r="B257" s="8" t="s">
        <v>14</v>
      </c>
      <c r="C257" s="8" t="s">
        <v>290</v>
      </c>
      <c r="D257" s="8" t="s">
        <v>1121</v>
      </c>
      <c r="E257" s="9">
        <v>20.91</v>
      </c>
      <c r="F257" s="8" t="s">
        <v>1740</v>
      </c>
      <c r="G257" s="10">
        <v>2725</v>
      </c>
      <c r="H257" s="132">
        <f t="array" ref="H257">IFERROR(INDEX('[25]TK KHUSUS'!$F$9:$F$187,MATCH(1,('[25]TK KHUSUS'!$E$9:$E$187=$D257)*('[25]TK KHUSUS'!$E$9:$E$187=$D257),0)),0)</f>
        <v>46149</v>
      </c>
      <c r="I257" s="8">
        <f t="array" ref="I257">IFERROR(INDEX('[25]TK KHUSUS'!$H$9:$H$187,MATCH(1,('[25]TK KHUSUS'!$E$9:$E$187=$D257)*('[25]TK KHUSUS'!$E$9:$E$187=$D257),0)),0)</f>
        <v>273</v>
      </c>
      <c r="J257" s="9">
        <f t="array" ref="J257">IFERROR(I257/G257*100,0)</f>
        <v>10.01834862385321</v>
      </c>
      <c r="K257" s="8">
        <f t="array" ref="K257">INDEX([26]KOMPARASI!$J$20:$J$199,MATCH(1,([26]KOMPARASI!$C$20:$C$199=$D257)*([26]KOMPARASI!$C$20:$C$199=$D257),0))</f>
        <v>53</v>
      </c>
      <c r="L257" s="9">
        <f t="shared" si="4"/>
        <v>19.413919413919416</v>
      </c>
      <c r="M257" s="8" t="str">
        <f t="array" ref="M257">IF(L257&gt;5,"Perlu Pengendalian",IF(AND(L257&gt;=0,I257&gt;0),"Tidak Perlu Pengendalian","Belum Sensus"))</f>
        <v>Perlu Pengendalian</v>
      </c>
    </row>
    <row r="258" spans="1:13" outlineLevel="1" x14ac:dyDescent="0.15">
      <c r="A258" s="8" t="s">
        <v>1739</v>
      </c>
      <c r="B258" s="8" t="s">
        <v>14</v>
      </c>
      <c r="C258" s="8" t="s">
        <v>290</v>
      </c>
      <c r="D258" s="8" t="s">
        <v>1122</v>
      </c>
      <c r="E258" s="9">
        <v>23.51</v>
      </c>
      <c r="F258" s="8" t="s">
        <v>1740</v>
      </c>
      <c r="G258" s="10">
        <v>3181</v>
      </c>
      <c r="H258" s="132">
        <f t="array" ref="H258">IFERROR(INDEX('[25]TK KHUSUS'!$F$9:$F$187,MATCH(1,('[25]TK KHUSUS'!$E$9:$E$187=$D258)*('[25]TK KHUSUS'!$E$9:$E$187=$D258),0)),0)</f>
        <v>46150</v>
      </c>
      <c r="I258" s="8">
        <f t="array" ref="I258">IFERROR(INDEX('[25]TK KHUSUS'!$H$9:$H$187,MATCH(1,('[25]TK KHUSUS'!$E$9:$E$187=$D258)*('[25]TK KHUSUS'!$E$9:$E$187=$D258),0)),0)</f>
        <v>335</v>
      </c>
      <c r="J258" s="9">
        <f t="array" ref="J258">IFERROR(I258/G258*100,0)</f>
        <v>10.531279471864194</v>
      </c>
      <c r="K258" s="8">
        <f t="array" ref="K258">INDEX([26]KOMPARASI!$J$20:$J$199,MATCH(1,([26]KOMPARASI!$C$20:$C$199=$D258)*([26]KOMPARASI!$C$20:$C$199=$D258),0))</f>
        <v>34</v>
      </c>
      <c r="L258" s="9">
        <f t="shared" si="4"/>
        <v>10.149253731343283</v>
      </c>
      <c r="M258" s="8" t="str">
        <f t="array" ref="M258">IF(L258&gt;5,"Perlu Pengendalian",IF(AND(L258&gt;=0,I258&gt;0),"Tidak Perlu Pengendalian","Belum Sensus"))</f>
        <v>Perlu Pengendalian</v>
      </c>
    </row>
    <row r="259" spans="1:13" outlineLevel="1" x14ac:dyDescent="0.15">
      <c r="A259" s="8" t="s">
        <v>1739</v>
      </c>
      <c r="B259" s="8" t="s">
        <v>14</v>
      </c>
      <c r="C259" s="8" t="s">
        <v>290</v>
      </c>
      <c r="D259" s="8" t="s">
        <v>1123</v>
      </c>
      <c r="E259" s="9">
        <v>21.32</v>
      </c>
      <c r="F259" s="8" t="s">
        <v>1740</v>
      </c>
      <c r="G259" s="10">
        <v>2792</v>
      </c>
      <c r="H259" s="132">
        <f t="array" ref="H259">IFERROR(INDEX('[25]TK KHUSUS'!$F$9:$F$187,MATCH(1,('[25]TK KHUSUS'!$E$9:$E$187=$D259)*('[25]TK KHUSUS'!$E$9:$E$187=$D259),0)),0)</f>
        <v>46150</v>
      </c>
      <c r="I259" s="8">
        <f t="array" ref="I259">IFERROR(INDEX('[25]TK KHUSUS'!$H$9:$H$187,MATCH(1,('[25]TK KHUSUS'!$E$9:$E$187=$D259)*('[25]TK KHUSUS'!$E$9:$E$187=$D259),0)),0)</f>
        <v>275</v>
      </c>
      <c r="J259" s="9">
        <f t="array" ref="J259">IFERROR(I259/G259*100,0)</f>
        <v>9.8495702005730656</v>
      </c>
      <c r="K259" s="8">
        <f t="array" ref="K259">INDEX([26]KOMPARASI!$J$20:$J$199,MATCH(1,([26]KOMPARASI!$C$20:$C$199=$D259)*([26]KOMPARASI!$C$20:$C$199=$D259),0))</f>
        <v>34</v>
      </c>
      <c r="L259" s="9">
        <f t="shared" si="4"/>
        <v>12.363636363636363</v>
      </c>
      <c r="M259" s="8" t="str">
        <f t="array" ref="M259">IF(L259&gt;5,"Perlu Pengendalian",IF(AND(L259&gt;=0,I259&gt;0),"Tidak Perlu Pengendalian","Belum Sensus"))</f>
        <v>Perlu Pengendalian</v>
      </c>
    </row>
    <row r="260" spans="1:13" outlineLevel="1" x14ac:dyDescent="0.15">
      <c r="A260" s="8" t="s">
        <v>1739</v>
      </c>
      <c r="B260" s="8" t="s">
        <v>14</v>
      </c>
      <c r="C260" s="8" t="s">
        <v>290</v>
      </c>
      <c r="D260" s="8" t="s">
        <v>1124</v>
      </c>
      <c r="E260" s="9">
        <v>25.89</v>
      </c>
      <c r="F260" s="8" t="s">
        <v>1740</v>
      </c>
      <c r="G260" s="10">
        <v>3404</v>
      </c>
      <c r="H260" s="132">
        <f t="array" ref="H260">IFERROR(INDEX('[25]TK KHUSUS'!$F$9:$F$187,MATCH(1,('[25]TK KHUSUS'!$E$9:$E$187=$D260)*('[25]TK KHUSUS'!$E$9:$E$187=$D260),0)),0)</f>
        <v>46150</v>
      </c>
      <c r="I260" s="8">
        <f t="array" ref="I260">IFERROR(INDEX('[25]TK KHUSUS'!$H$9:$H$187,MATCH(1,('[25]TK KHUSUS'!$E$9:$E$187=$D260)*('[25]TK KHUSUS'!$E$9:$E$187=$D260),0)),0)</f>
        <v>275</v>
      </c>
      <c r="J260" s="9">
        <f t="array" ref="J260">IFERROR(I260/G260*100,0)</f>
        <v>8.0787309048178617</v>
      </c>
      <c r="K260" s="8">
        <f t="array" ref="K260">INDEX([26]KOMPARASI!$J$20:$J$199,MATCH(1,([26]KOMPARASI!$C$20:$C$199=$D260)*([26]KOMPARASI!$C$20:$C$199=$D260),0))</f>
        <v>34</v>
      </c>
      <c r="L260" s="9">
        <f t="shared" si="4"/>
        <v>12.363636363636363</v>
      </c>
      <c r="M260" s="8" t="str">
        <f t="array" ref="M260">IF(L260&gt;5,"Perlu Pengendalian",IF(AND(L260&gt;=0,I260&gt;0),"Tidak Perlu Pengendalian","Belum Sensus"))</f>
        <v>Perlu Pengendalian</v>
      </c>
    </row>
    <row r="261" spans="1:13" outlineLevel="1" x14ac:dyDescent="0.15">
      <c r="A261" s="8" t="s">
        <v>1739</v>
      </c>
      <c r="B261" s="8" t="s">
        <v>14</v>
      </c>
      <c r="C261" s="8" t="s">
        <v>290</v>
      </c>
      <c r="D261" s="8" t="s">
        <v>1125</v>
      </c>
      <c r="E261" s="9">
        <v>23.31</v>
      </c>
      <c r="F261" s="8" t="s">
        <v>1740</v>
      </c>
      <c r="G261" s="10">
        <v>2922</v>
      </c>
      <c r="H261" s="132">
        <f t="array" ref="H261">IFERROR(INDEX('[25]TK KHUSUS'!$F$9:$F$187,MATCH(1,('[25]TK KHUSUS'!$E$9:$E$187=$D261)*('[25]TK KHUSUS'!$E$9:$E$187=$D261),0)),0)</f>
        <v>46149</v>
      </c>
      <c r="I261" s="8">
        <f t="array" ref="I261">IFERROR(INDEX('[25]TK KHUSUS'!$H$9:$H$187,MATCH(1,('[25]TK KHUSUS'!$E$9:$E$187=$D261)*('[25]TK KHUSUS'!$E$9:$E$187=$D261),0)),0)</f>
        <v>289</v>
      </c>
      <c r="J261" s="9">
        <f t="array" ref="J261">IFERROR(I261/G261*100,0)</f>
        <v>9.8904859685147155</v>
      </c>
      <c r="K261" s="8">
        <f t="array" ref="K261">INDEX([26]KOMPARASI!$J$20:$J$199,MATCH(1,([26]KOMPARASI!$C$20:$C$199=$D261)*([26]KOMPARASI!$C$20:$C$199=$D261),0))</f>
        <v>18</v>
      </c>
      <c r="L261" s="9">
        <f t="shared" si="4"/>
        <v>6.2283737024221448</v>
      </c>
      <c r="M261" s="8" t="str">
        <f t="array" ref="M261">IF(L261&gt;5,"Perlu Pengendalian",IF(AND(L261&gt;=0,I261&gt;0),"Tidak Perlu Pengendalian","Belum Sensus"))</f>
        <v>Perlu Pengendalian</v>
      </c>
    </row>
    <row r="262" spans="1:13" outlineLevel="1" x14ac:dyDescent="0.15">
      <c r="A262" s="8" t="s">
        <v>1739</v>
      </c>
      <c r="B262" s="8" t="s">
        <v>14</v>
      </c>
      <c r="C262" s="8" t="s">
        <v>290</v>
      </c>
      <c r="D262" s="8" t="s">
        <v>1126</v>
      </c>
      <c r="E262" s="9">
        <v>26.88</v>
      </c>
      <c r="F262" s="8" t="s">
        <v>1740</v>
      </c>
      <c r="G262" s="10">
        <v>3519</v>
      </c>
      <c r="H262" s="132">
        <f t="array" ref="H262">IFERROR(INDEX('[25]TK KHUSUS'!$F$9:$F$187,MATCH(1,('[25]TK KHUSUS'!$E$9:$E$187=$D262)*('[25]TK KHUSUS'!$E$9:$E$187=$D262),0)),0)</f>
        <v>46151</v>
      </c>
      <c r="I262" s="8">
        <f t="array" ref="I262">IFERROR(INDEX('[25]TK KHUSUS'!$H$9:$H$187,MATCH(1,('[25]TK KHUSUS'!$E$9:$E$187=$D262)*('[25]TK KHUSUS'!$E$9:$E$187=$D262),0)),0)</f>
        <v>340</v>
      </c>
      <c r="J262" s="9">
        <f t="array" ref="J262">IFERROR(I262/G262*100,0)</f>
        <v>9.6618357487922708</v>
      </c>
      <c r="K262" s="8">
        <f t="array" ref="K262">INDEX([26]KOMPARASI!$J$20:$J$199,MATCH(1,([26]KOMPARASI!$C$20:$C$199=$D262)*([26]KOMPARASI!$C$20:$C$199=$D262),0))</f>
        <v>33</v>
      </c>
      <c r="L262" s="9">
        <f t="shared" si="4"/>
        <v>9.7058823529411775</v>
      </c>
      <c r="M262" s="8" t="str">
        <f t="array" ref="M262">IF(L262&gt;5,"Perlu Pengendalian",IF(AND(L262&gt;=0,I262&gt;0),"Tidak Perlu Pengendalian","Belum Sensus"))</f>
        <v>Perlu Pengendalian</v>
      </c>
    </row>
    <row r="263" spans="1:13" outlineLevel="1" x14ac:dyDescent="0.15">
      <c r="A263" s="8" t="s">
        <v>1739</v>
      </c>
      <c r="B263" s="8" t="s">
        <v>14</v>
      </c>
      <c r="C263" s="8" t="s">
        <v>290</v>
      </c>
      <c r="D263" s="8" t="s">
        <v>1127</v>
      </c>
      <c r="E263" s="9">
        <v>26.44</v>
      </c>
      <c r="F263" s="8" t="s">
        <v>1740</v>
      </c>
      <c r="G263" s="10">
        <v>3599</v>
      </c>
      <c r="H263" s="132">
        <f t="array" ref="H263">IFERROR(INDEX('[25]TK KHUSUS'!$F$9:$F$187,MATCH(1,('[25]TK KHUSUS'!$E$9:$E$187=$D263)*('[25]TK KHUSUS'!$E$9:$E$187=$D263),0)),0)</f>
        <v>46151</v>
      </c>
      <c r="I263" s="8">
        <f t="array" ref="I263">IFERROR(INDEX('[25]TK KHUSUS'!$H$9:$H$187,MATCH(1,('[25]TK KHUSUS'!$E$9:$E$187=$D263)*('[25]TK KHUSUS'!$E$9:$E$187=$D263),0)),0)</f>
        <v>363</v>
      </c>
      <c r="J263" s="9">
        <f t="array" ref="J263">IFERROR(I263/G263*100,0)</f>
        <v>10.08613503751042</v>
      </c>
      <c r="K263" s="8">
        <f t="array" ref="K263">INDEX([26]KOMPARASI!$J$20:$J$199,MATCH(1,([26]KOMPARASI!$C$20:$C$199=$D263)*([26]KOMPARASI!$C$20:$C$199=$D263),0))</f>
        <v>10</v>
      </c>
      <c r="L263" s="9">
        <f t="shared" si="4"/>
        <v>2.7548209366391188</v>
      </c>
      <c r="M263" s="8" t="str">
        <f t="array" ref="M263">IF(L263&gt;5,"Perlu Pengendalian",IF(AND(L263&gt;=0,I263&gt;0),"Tidak Perlu Pengendalian","Belum Sensus"))</f>
        <v>Tidak Perlu Pengendalian</v>
      </c>
    </row>
    <row r="264" spans="1:13" outlineLevel="1" x14ac:dyDescent="0.15">
      <c r="A264" s="8" t="s">
        <v>1739</v>
      </c>
      <c r="B264" s="8" t="s">
        <v>14</v>
      </c>
      <c r="C264" s="8" t="s">
        <v>290</v>
      </c>
      <c r="D264" s="8" t="s">
        <v>1128</v>
      </c>
      <c r="E264" s="9">
        <v>24.47</v>
      </c>
      <c r="F264" s="8" t="s">
        <v>1740</v>
      </c>
      <c r="G264" s="10">
        <v>3374</v>
      </c>
      <c r="H264" s="132">
        <f t="array" ref="H264">IFERROR(INDEX('[25]TK KHUSUS'!$F$9:$F$187,MATCH(1,('[25]TK KHUSUS'!$E$9:$E$187=$D264)*('[25]TK KHUSUS'!$E$9:$E$187=$D264),0)),0)</f>
        <v>46153</v>
      </c>
      <c r="I264" s="8">
        <f t="array" ref="I264">IFERROR(INDEX('[25]TK KHUSUS'!$H$9:$H$187,MATCH(1,('[25]TK KHUSUS'!$E$9:$E$187=$D264)*('[25]TK KHUSUS'!$E$9:$E$187=$D264),0)),0)</f>
        <v>326</v>
      </c>
      <c r="J264" s="9">
        <f t="array" ref="J264">IFERROR(I264/G264*100,0)</f>
        <v>9.6621221102548915</v>
      </c>
      <c r="K264" s="8">
        <f t="array" ref="K264">INDEX([26]KOMPARASI!$J$20:$J$199,MATCH(1,([26]KOMPARASI!$C$20:$C$199=$D264)*([26]KOMPARASI!$C$20:$C$199=$D264),0))</f>
        <v>41</v>
      </c>
      <c r="L264" s="9">
        <f t="shared" si="4"/>
        <v>12.576687116564417</v>
      </c>
      <c r="M264" s="8" t="str">
        <f t="array" ref="M264">IF(L264&gt;5,"Perlu Pengendalian",IF(AND(L264&gt;=0,I264&gt;0),"Tidak Perlu Pengendalian","Belum Sensus"))</f>
        <v>Perlu Pengendalian</v>
      </c>
    </row>
    <row r="265" spans="1:13" outlineLevel="1" x14ac:dyDescent="0.15">
      <c r="A265" s="8" t="s">
        <v>1739</v>
      </c>
      <c r="B265" s="8" t="s">
        <v>14</v>
      </c>
      <c r="C265" s="8" t="s">
        <v>290</v>
      </c>
      <c r="D265" s="8" t="s">
        <v>1129</v>
      </c>
      <c r="E265" s="9">
        <v>25.95</v>
      </c>
      <c r="F265" s="8" t="s">
        <v>1740</v>
      </c>
      <c r="G265" s="10">
        <v>3496</v>
      </c>
      <c r="H265" s="132">
        <f t="array" ref="H265">IFERROR(INDEX('[25]TK KHUSUS'!$F$9:$F$187,MATCH(1,('[25]TK KHUSUS'!$E$9:$E$187=$D265)*('[25]TK KHUSUS'!$E$9:$E$187=$D265),0)),0)</f>
        <v>46153</v>
      </c>
      <c r="I265" s="8">
        <f t="array" ref="I265">IFERROR(INDEX('[25]TK KHUSUS'!$H$9:$H$187,MATCH(1,('[25]TK KHUSUS'!$E$9:$E$187=$D265)*('[25]TK KHUSUS'!$E$9:$E$187=$D265),0)),0)</f>
        <v>352</v>
      </c>
      <c r="J265" s="9">
        <f t="array" ref="J265">IFERROR(I265/G265*100,0)</f>
        <v>10.068649885583524</v>
      </c>
      <c r="K265" s="8">
        <f t="array" ref="K265">INDEX([26]KOMPARASI!$J$20:$J$199,MATCH(1,([26]KOMPARASI!$C$20:$C$199=$D265)*([26]KOMPARASI!$C$20:$C$199=$D265),0))</f>
        <v>22</v>
      </c>
      <c r="L265" s="9">
        <f t="shared" si="4"/>
        <v>6.25</v>
      </c>
      <c r="M265" s="8" t="str">
        <f t="array" ref="M265">IF(L265&gt;5,"Perlu Pengendalian",IF(AND(L265&gt;=0,I265&gt;0),"Tidak Perlu Pengendalian","Belum Sensus"))</f>
        <v>Perlu Pengendalian</v>
      </c>
    </row>
    <row r="266" spans="1:13" outlineLevel="1" x14ac:dyDescent="0.15">
      <c r="A266" s="8" t="s">
        <v>1739</v>
      </c>
      <c r="B266" s="8" t="s">
        <v>14</v>
      </c>
      <c r="C266" s="8" t="s">
        <v>290</v>
      </c>
      <c r="D266" s="8" t="s">
        <v>1130</v>
      </c>
      <c r="E266" s="9">
        <v>25.53</v>
      </c>
      <c r="F266" s="8" t="s">
        <v>1740</v>
      </c>
      <c r="G266" s="10">
        <v>3274</v>
      </c>
      <c r="H266" s="132">
        <f t="array" ref="H266">IFERROR(INDEX('[25]TK KHUSUS'!$F$9:$F$187,MATCH(1,('[25]TK KHUSUS'!$E$9:$E$187=$D266)*('[25]TK KHUSUS'!$E$9:$E$187=$D266),0)),0)</f>
        <v>46149</v>
      </c>
      <c r="I266" s="8">
        <f t="array" ref="I266">IFERROR(INDEX('[25]TK KHUSUS'!$H$9:$H$187,MATCH(1,('[25]TK KHUSUS'!$E$9:$E$187=$D266)*('[25]TK KHUSUS'!$E$9:$E$187=$D266),0)),0)</f>
        <v>351</v>
      </c>
      <c r="J266" s="9">
        <f t="array" ref="J266">IFERROR(I266/G266*100,0)</f>
        <v>10.720830788026879</v>
      </c>
      <c r="K266" s="8">
        <f t="array" ref="K266">INDEX([26]KOMPARASI!$J$20:$J$199,MATCH(1,([26]KOMPARASI!$C$20:$C$199=$D266)*([26]KOMPARASI!$C$20:$C$199=$D266),0))</f>
        <v>23</v>
      </c>
      <c r="L266" s="9">
        <f t="shared" si="4"/>
        <v>6.5527065527065522</v>
      </c>
      <c r="M266" s="8" t="str">
        <f t="array" ref="M266">IF(L266&gt;5,"Perlu Pengendalian",IF(AND(L266&gt;=0,I266&gt;0),"Tidak Perlu Pengendalian","Belum Sensus"))</f>
        <v>Perlu Pengendalian</v>
      </c>
    </row>
    <row r="267" spans="1:13" outlineLevel="1" x14ac:dyDescent="0.15">
      <c r="A267" s="8" t="s">
        <v>1739</v>
      </c>
      <c r="B267" s="8" t="s">
        <v>14</v>
      </c>
      <c r="C267" s="8" t="s">
        <v>290</v>
      </c>
      <c r="D267" s="8" t="s">
        <v>1131</v>
      </c>
      <c r="E267" s="9">
        <v>25.24</v>
      </c>
      <c r="F267" s="8" t="s">
        <v>1740</v>
      </c>
      <c r="G267" s="10">
        <v>3307</v>
      </c>
      <c r="H267" s="132">
        <f t="array" ref="H267">IFERROR(INDEX('[25]TK KHUSUS'!$F$9:$F$187,MATCH(1,('[25]TK KHUSUS'!$E$9:$E$187=$D267)*('[25]TK KHUSUS'!$E$9:$E$187=$D267),0)),0)</f>
        <v>46151</v>
      </c>
      <c r="I267" s="8">
        <f t="array" ref="I267">IFERROR(INDEX('[25]TK KHUSUS'!$H$9:$H$187,MATCH(1,('[25]TK KHUSUS'!$E$9:$E$187=$D267)*('[25]TK KHUSUS'!$E$9:$E$187=$D267),0)),0)</f>
        <v>350</v>
      </c>
      <c r="J267" s="9">
        <f t="array" ref="J267">IFERROR(I267/G267*100,0)</f>
        <v>10.583610523132748</v>
      </c>
      <c r="K267" s="8">
        <f t="array" ref="K267">INDEX([26]KOMPARASI!$J$20:$J$199,MATCH(1,([26]KOMPARASI!$C$20:$C$199=$D267)*([26]KOMPARASI!$C$20:$C$199=$D267),0))</f>
        <v>11</v>
      </c>
      <c r="L267" s="9">
        <f t="shared" si="4"/>
        <v>3.1428571428571432</v>
      </c>
      <c r="M267" s="8" t="str">
        <f t="array" ref="M267">IF(L267&gt;5,"Perlu Pengendalian",IF(AND(L267&gt;=0,I267&gt;0),"Tidak Perlu Pengendalian","Belum Sensus"))</f>
        <v>Tidak Perlu Pengendalian</v>
      </c>
    </row>
    <row r="268" spans="1:13" outlineLevel="1" x14ac:dyDescent="0.15">
      <c r="A268" s="8" t="s">
        <v>1739</v>
      </c>
      <c r="B268" s="8" t="s">
        <v>14</v>
      </c>
      <c r="C268" s="8" t="s">
        <v>290</v>
      </c>
      <c r="D268" s="8" t="s">
        <v>1132</v>
      </c>
      <c r="E268" s="9">
        <v>27.13</v>
      </c>
      <c r="F268" s="8" t="s">
        <v>1740</v>
      </c>
      <c r="G268" s="10">
        <v>3611</v>
      </c>
      <c r="H268" s="132">
        <f t="array" ref="H268">IFERROR(INDEX('[25]TK KHUSUS'!$F$9:$F$187,MATCH(1,('[25]TK KHUSUS'!$E$9:$E$187=$D268)*('[25]TK KHUSUS'!$E$9:$E$187=$D268),0)),0)</f>
        <v>46151</v>
      </c>
      <c r="I268" s="8">
        <f t="array" ref="I268">IFERROR(INDEX('[25]TK KHUSUS'!$H$9:$H$187,MATCH(1,('[25]TK KHUSUS'!$E$9:$E$187=$D268)*('[25]TK KHUSUS'!$E$9:$E$187=$D268),0)),0)</f>
        <v>366</v>
      </c>
      <c r="J268" s="9">
        <f t="array" ref="J268">IFERROR(I268/G268*100,0)</f>
        <v>10.135696482968706</v>
      </c>
      <c r="K268" s="8">
        <f t="array" ref="K268">INDEX([26]KOMPARASI!$J$20:$J$199,MATCH(1,([26]KOMPARASI!$C$20:$C$199=$D268)*([26]KOMPARASI!$C$20:$C$199=$D268),0))</f>
        <v>13</v>
      </c>
      <c r="L268" s="9">
        <f t="shared" si="4"/>
        <v>3.5519125683060109</v>
      </c>
      <c r="M268" s="8" t="str">
        <f t="array" ref="M268">IF(L268&gt;5,"Perlu Pengendalian",IF(AND(L268&gt;=0,I268&gt;0),"Tidak Perlu Pengendalian","Belum Sensus"))</f>
        <v>Tidak Perlu Pengendalian</v>
      </c>
    </row>
    <row r="269" spans="1:13" outlineLevel="1" x14ac:dyDescent="0.15">
      <c r="A269" s="8" t="s">
        <v>1739</v>
      </c>
      <c r="B269" s="8" t="s">
        <v>14</v>
      </c>
      <c r="C269" s="8" t="s">
        <v>290</v>
      </c>
      <c r="D269" s="8" t="s">
        <v>1133</v>
      </c>
      <c r="E269" s="9">
        <v>24.3</v>
      </c>
      <c r="F269" s="8" t="s">
        <v>1740</v>
      </c>
      <c r="G269" s="10">
        <v>3358</v>
      </c>
      <c r="H269" s="132">
        <f t="array" ref="H269">IFERROR(INDEX('[25]TK KHUSUS'!$F$9:$F$187,MATCH(1,('[25]TK KHUSUS'!$E$9:$E$187=$D269)*('[25]TK KHUSUS'!$E$9:$E$187=$D269),0)),0)</f>
        <v>46153</v>
      </c>
      <c r="I269" s="8">
        <f t="array" ref="I269">IFERROR(INDEX('[25]TK KHUSUS'!$H$9:$H$187,MATCH(1,('[25]TK KHUSUS'!$E$9:$E$187=$D269)*('[25]TK KHUSUS'!$E$9:$E$187=$D269),0)),0)</f>
        <v>366</v>
      </c>
      <c r="J269" s="9">
        <f t="array" ref="J269">IFERROR(I269/G269*100,0)</f>
        <v>10.899344848123883</v>
      </c>
      <c r="K269" s="8">
        <f t="array" ref="K269">INDEX([26]KOMPARASI!$J$20:$J$199,MATCH(1,([26]KOMPARASI!$C$20:$C$199=$D269)*([26]KOMPARASI!$C$20:$C$199=$D269),0))</f>
        <v>6</v>
      </c>
      <c r="L269" s="9">
        <f t="shared" si="4"/>
        <v>1.639344262295082</v>
      </c>
      <c r="M269" s="8" t="str">
        <f t="array" ref="M269">IF(L269&gt;5,"Perlu Pengendalian",IF(AND(L269&gt;=0,I269&gt;0),"Tidak Perlu Pengendalian","Belum Sensus"))</f>
        <v>Tidak Perlu Pengendalian</v>
      </c>
    </row>
    <row r="270" spans="1:13" outlineLevel="1" x14ac:dyDescent="0.15">
      <c r="A270" s="8" t="s">
        <v>1739</v>
      </c>
      <c r="B270" s="8" t="s">
        <v>14</v>
      </c>
      <c r="C270" s="8" t="s">
        <v>290</v>
      </c>
      <c r="D270" s="8" t="s">
        <v>1134</v>
      </c>
      <c r="E270" s="9">
        <v>27.94</v>
      </c>
      <c r="F270" s="8" t="s">
        <v>1740</v>
      </c>
      <c r="G270" s="10">
        <v>3795</v>
      </c>
      <c r="H270" s="132">
        <f t="array" ref="H270">IFERROR(INDEX('[25]TK KHUSUS'!$F$9:$F$187,MATCH(1,('[25]TK KHUSUS'!$E$9:$E$187=$D270)*('[25]TK KHUSUS'!$E$9:$E$187=$D270),0)),0)</f>
        <v>46153</v>
      </c>
      <c r="I270" s="8">
        <f t="array" ref="I270">IFERROR(INDEX('[25]TK KHUSUS'!$H$9:$H$187,MATCH(1,('[25]TK KHUSUS'!$E$9:$E$187=$D270)*('[25]TK KHUSUS'!$E$9:$E$187=$D270),0)),0)</f>
        <v>369</v>
      </c>
      <c r="J270" s="9">
        <f t="array" ref="J270">IFERROR(I270/G270*100,0)</f>
        <v>9.7233201581027657</v>
      </c>
      <c r="K270" s="8">
        <f t="array" ref="K270">INDEX([26]KOMPARASI!$J$20:$J$199,MATCH(1,([26]KOMPARASI!$C$20:$C$199=$D270)*([26]KOMPARASI!$C$20:$C$199=$D270),0))</f>
        <v>27</v>
      </c>
      <c r="L270" s="9">
        <f t="shared" si="4"/>
        <v>7.3170731707317067</v>
      </c>
      <c r="M270" s="8" t="str">
        <f t="array" ref="M270">IF(L270&gt;5,"Perlu Pengendalian",IF(AND(L270&gt;=0,I270&gt;0),"Tidak Perlu Pengendalian","Belum Sensus"))</f>
        <v>Perlu Pengendalian</v>
      </c>
    </row>
    <row r="271" spans="1:13" outlineLevel="1" x14ac:dyDescent="0.15">
      <c r="A271" s="8" t="s">
        <v>1739</v>
      </c>
      <c r="B271" s="8" t="s">
        <v>14</v>
      </c>
      <c r="C271" s="8" t="s">
        <v>290</v>
      </c>
      <c r="D271" s="8" t="s">
        <v>1135</v>
      </c>
      <c r="E271" s="9">
        <v>28.88</v>
      </c>
      <c r="F271" s="8" t="s">
        <v>1740</v>
      </c>
      <c r="G271" s="10">
        <v>3826</v>
      </c>
      <c r="H271" s="132">
        <f t="array" ref="H271">IFERROR(INDEX('[25]TK KHUSUS'!$F$9:$F$187,MATCH(1,('[25]TK KHUSUS'!$E$9:$E$187=$D271)*('[25]TK KHUSUS'!$E$9:$E$187=$D271),0)),0)</f>
        <v>46154</v>
      </c>
      <c r="I271" s="8">
        <f t="array" ref="I271">IFERROR(INDEX('[25]TK KHUSUS'!$H$9:$H$187,MATCH(1,('[25]TK KHUSUS'!$E$9:$E$187=$D271)*('[25]TK KHUSUS'!$E$9:$E$187=$D271),0)),0)</f>
        <v>389</v>
      </c>
      <c r="J271" s="9">
        <f t="array" ref="J271">IFERROR(I271/G271*100,0)</f>
        <v>10.167276529012023</v>
      </c>
      <c r="K271" s="8">
        <f t="array" ref="K271">INDEX([26]KOMPARASI!$J$20:$J$199,MATCH(1,([26]KOMPARASI!$C$20:$C$199=$D271)*([26]KOMPARASI!$C$20:$C$199=$D271),0))</f>
        <v>29</v>
      </c>
      <c r="L271" s="9">
        <f t="shared" si="4"/>
        <v>7.4550128534704374</v>
      </c>
      <c r="M271" s="8" t="str">
        <f t="array" ref="M271">IF(L271&gt;5,"Perlu Pengendalian",IF(AND(L271&gt;=0,I271&gt;0),"Tidak Perlu Pengendalian","Belum Sensus"))</f>
        <v>Perlu Pengendalian</v>
      </c>
    </row>
    <row r="272" spans="1:13" outlineLevel="1" x14ac:dyDescent="0.15">
      <c r="A272" s="8" t="s">
        <v>1739</v>
      </c>
      <c r="B272" s="8" t="s">
        <v>14</v>
      </c>
      <c r="C272" s="8" t="s">
        <v>290</v>
      </c>
      <c r="D272" s="8" t="s">
        <v>1136</v>
      </c>
      <c r="E272" s="9">
        <v>28.5</v>
      </c>
      <c r="F272" s="8" t="s">
        <v>1740</v>
      </c>
      <c r="G272" s="10">
        <v>3797</v>
      </c>
      <c r="H272" s="132">
        <f t="array" ref="H272">IFERROR(INDEX('[25]TK KHUSUS'!$F$9:$F$187,MATCH(1,('[25]TK KHUSUS'!$E$9:$E$187=$D272)*('[25]TK KHUSUS'!$E$9:$E$187=$D272),0)),0)</f>
        <v>46155</v>
      </c>
      <c r="I272" s="8">
        <f t="array" ref="I272">IFERROR(INDEX('[25]TK KHUSUS'!$H$9:$H$187,MATCH(1,('[25]TK KHUSUS'!$E$9:$E$187=$D272)*('[25]TK KHUSUS'!$E$9:$E$187=$D272),0)),0)</f>
        <v>224</v>
      </c>
      <c r="J272" s="9">
        <f t="array" ref="J272">IFERROR(I272/G272*100,0)</f>
        <v>5.8993942586252306</v>
      </c>
      <c r="K272" s="8">
        <f t="array" ref="K272">INDEX([26]KOMPARASI!$J$20:$J$199,MATCH(1,([26]KOMPARASI!$C$20:$C$199=$D272)*([26]KOMPARASI!$C$20:$C$199=$D272),0))</f>
        <v>55</v>
      </c>
      <c r="L272" s="9">
        <f t="shared" si="4"/>
        <v>24.553571428571427</v>
      </c>
      <c r="M272" s="8" t="str">
        <f t="array" ref="M272">IF(L272&gt;5,"Perlu Pengendalian",IF(AND(L272&gt;=0,I272&gt;0),"Tidak Perlu Pengendalian","Belum Sensus"))</f>
        <v>Perlu Pengendalian</v>
      </c>
    </row>
    <row r="273" spans="1:13" outlineLevel="1" x14ac:dyDescent="0.15">
      <c r="A273" s="8" t="s">
        <v>1739</v>
      </c>
      <c r="B273" s="8" t="s">
        <v>14</v>
      </c>
      <c r="C273" s="8" t="s">
        <v>290</v>
      </c>
      <c r="D273" s="8" t="s">
        <v>1137</v>
      </c>
      <c r="E273" s="9">
        <v>0</v>
      </c>
      <c r="F273" s="8" t="s">
        <v>1740</v>
      </c>
      <c r="G273" s="10">
        <v>0</v>
      </c>
      <c r="H273" s="132"/>
      <c r="I273" s="8">
        <f t="array" ref="I273">IFERROR(INDEX('[25]TK KHUSUS'!$H$9:$H$187,MATCH(1,('[25]TK KHUSUS'!$E$9:$E$187=$D273)*('[25]TK KHUSUS'!$E$9:$E$187=$D273),0)),0)</f>
        <v>0</v>
      </c>
      <c r="J273" s="9">
        <f t="array" ref="J273">IFERROR(I273/G273*100,0)</f>
        <v>0</v>
      </c>
      <c r="K273" s="8">
        <f t="array" ref="K273">INDEX([26]KOMPARASI!$J$20:$J$199,MATCH(1,([26]KOMPARASI!$C$20:$C$199=$D273)*([26]KOMPARASI!$C$20:$C$199=$D273),0))</f>
        <v>0</v>
      </c>
      <c r="L273" s="9">
        <f t="shared" si="4"/>
        <v>0</v>
      </c>
      <c r="M273" s="8" t="str">
        <f t="array" ref="M273">IF(L273&gt;5,"Perlu Pengendalian",IF(AND(L273&gt;=0,I273&gt;0),"Tidak Perlu Pengendalian","Belum Sensus"))</f>
        <v>Belum Sensus</v>
      </c>
    </row>
    <row r="274" spans="1:13" outlineLevel="1" x14ac:dyDescent="0.15">
      <c r="A274" s="8" t="s">
        <v>1739</v>
      </c>
      <c r="B274" s="8" t="s">
        <v>14</v>
      </c>
      <c r="C274" s="8" t="s">
        <v>290</v>
      </c>
      <c r="D274" s="8" t="s">
        <v>1138</v>
      </c>
      <c r="E274" s="9">
        <v>21.8</v>
      </c>
      <c r="F274" s="8" t="s">
        <v>1740</v>
      </c>
      <c r="G274" s="10">
        <v>2966</v>
      </c>
      <c r="H274" s="132">
        <f t="array" ref="H274">IFERROR(INDEX('[25]TK KHUSUS'!$F$9:$F$187,MATCH(1,('[25]TK KHUSUS'!$E$9:$E$187=$D274)*('[25]TK KHUSUS'!$E$9:$E$187=$D274),0)),0)</f>
        <v>46154</v>
      </c>
      <c r="I274" s="8">
        <f t="array" ref="I274">IFERROR(INDEX('[25]TK KHUSUS'!$H$9:$H$187,MATCH(1,('[25]TK KHUSUS'!$E$9:$E$187=$D274)*('[25]TK KHUSUS'!$E$9:$E$187=$D274),0)),0)</f>
        <v>388</v>
      </c>
      <c r="J274" s="9">
        <f t="array" ref="J274">IFERROR(I274/G274*100,0)</f>
        <v>13.081591368846931</v>
      </c>
      <c r="K274" s="8">
        <f t="array" ref="K274">INDEX([26]KOMPARASI!$J$20:$J$199,MATCH(1,([26]KOMPARASI!$C$20:$C$199=$D274)*([26]KOMPARASI!$C$20:$C$199=$D274),0))</f>
        <v>47</v>
      </c>
      <c r="L274" s="9">
        <f t="shared" si="4"/>
        <v>12.11340206185567</v>
      </c>
      <c r="M274" s="8" t="str">
        <f t="array" ref="M274">IF(L274&gt;5,"Perlu Pengendalian",IF(AND(L274&gt;=0,I274&gt;0),"Tidak Perlu Pengendalian","Belum Sensus"))</f>
        <v>Perlu Pengendalian</v>
      </c>
    </row>
    <row r="275" spans="1:13" outlineLevel="1" x14ac:dyDescent="0.15">
      <c r="A275" s="8" t="s">
        <v>1739</v>
      </c>
      <c r="B275" s="8" t="s">
        <v>14</v>
      </c>
      <c r="C275" s="8" t="s">
        <v>290</v>
      </c>
      <c r="D275" s="8" t="s">
        <v>1139</v>
      </c>
      <c r="E275" s="9">
        <v>37.770000000000003</v>
      </c>
      <c r="F275" s="8" t="s">
        <v>1740</v>
      </c>
      <c r="G275" s="10">
        <v>5033</v>
      </c>
      <c r="H275" s="132">
        <f t="array" ref="H275">IFERROR(INDEX('[25]TK KHUSUS'!$F$9:$F$187,MATCH(1,('[25]TK KHUSUS'!$E$9:$E$187=$D275)*('[25]TK KHUSUS'!$E$9:$E$187=$D275),0)),0)</f>
        <v>46155</v>
      </c>
      <c r="I275" s="8">
        <f t="array" ref="I275">IFERROR(INDEX('[25]TK KHUSUS'!$H$9:$H$187,MATCH(1,('[25]TK KHUSUS'!$E$9:$E$187=$D275)*('[25]TK KHUSUS'!$E$9:$E$187=$D275),0)),0)</f>
        <v>760</v>
      </c>
      <c r="J275" s="9">
        <f t="array" ref="J275">IFERROR(I275/G275*100,0)</f>
        <v>15.100337770713294</v>
      </c>
      <c r="K275" s="8">
        <f t="array" ref="K275">INDEX([26]KOMPARASI!$J$20:$J$199,MATCH(1,([26]KOMPARASI!$C$20:$C$199=$D275)*([26]KOMPARASI!$C$20:$C$199=$D275),0))</f>
        <v>287</v>
      </c>
      <c r="L275" s="9">
        <f t="shared" si="4"/>
        <v>37.763157894736842</v>
      </c>
      <c r="M275" s="8" t="str">
        <f t="array" ref="M275">IF(L275&gt;5,"Perlu Pengendalian",IF(AND(L275&gt;=0,I275&gt;0),"Tidak Perlu Pengendalian","Belum Sensus"))</f>
        <v>Perlu Pengendalian</v>
      </c>
    </row>
    <row r="276" spans="1:13" outlineLevel="1" x14ac:dyDescent="0.15">
      <c r="A276" s="8" t="s">
        <v>1739</v>
      </c>
      <c r="B276" s="8" t="s">
        <v>14</v>
      </c>
      <c r="C276" s="8" t="s">
        <v>290</v>
      </c>
      <c r="D276" s="8" t="s">
        <v>1140</v>
      </c>
      <c r="E276" s="9">
        <v>25.59</v>
      </c>
      <c r="F276" s="8" t="s">
        <v>1740</v>
      </c>
      <c r="G276" s="10">
        <v>3459</v>
      </c>
      <c r="H276" s="132">
        <f t="array" ref="H276">IFERROR(INDEX('[25]TK KHUSUS'!$F$9:$F$187,MATCH(1,('[25]TK KHUSUS'!$E$9:$E$187=$D276)*('[25]TK KHUSUS'!$E$9:$E$187=$D276),0)),0)</f>
        <v>46157</v>
      </c>
      <c r="I276" s="8">
        <f t="array" ref="I276">IFERROR(INDEX('[25]TK KHUSUS'!$H$9:$H$187,MATCH(1,('[25]TK KHUSUS'!$E$9:$E$187=$D276)*('[25]TK KHUSUS'!$E$9:$E$187=$D276),0)),0)</f>
        <v>377</v>
      </c>
      <c r="J276" s="9">
        <f t="array" ref="J276">IFERROR(I276/G276*100,0)</f>
        <v>10.89910378722174</v>
      </c>
      <c r="K276" s="8">
        <f t="array" ref="K276">INDEX([26]KOMPARASI!$J$20:$J$199,MATCH(1,([26]KOMPARASI!$C$20:$C$199=$D276)*([26]KOMPARASI!$C$20:$C$199=$D276),0))</f>
        <v>97</v>
      </c>
      <c r="L276" s="9">
        <f t="shared" ref="L276:L339" si="5">IFERROR(K276/I276*100,0)</f>
        <v>25.72944297082228</v>
      </c>
      <c r="M276" s="8" t="str">
        <f t="array" ref="M276">IF(L276&gt;5,"Perlu Pengendalian",IF(AND(L276&gt;=0,I276&gt;0),"Tidak Perlu Pengendalian","Belum Sensus"))</f>
        <v>Perlu Pengendalian</v>
      </c>
    </row>
    <row r="277" spans="1:13" outlineLevel="1" x14ac:dyDescent="0.15">
      <c r="A277" s="8" t="s">
        <v>1739</v>
      </c>
      <c r="B277" s="8" t="s">
        <v>14</v>
      </c>
      <c r="C277" s="8" t="s">
        <v>290</v>
      </c>
      <c r="D277" s="8" t="s">
        <v>1141</v>
      </c>
      <c r="E277" s="9">
        <v>28.88</v>
      </c>
      <c r="F277" s="8" t="s">
        <v>1740</v>
      </c>
      <c r="G277" s="10">
        <v>3930</v>
      </c>
      <c r="H277" s="132">
        <f t="array" ref="H277">IFERROR(INDEX('[25]TK KHUSUS'!$F$9:$F$187,MATCH(1,('[25]TK KHUSUS'!$E$9:$E$187=$D277)*('[25]TK KHUSUS'!$E$9:$E$187=$D277),0)),0)</f>
        <v>46155</v>
      </c>
      <c r="I277" s="8">
        <f t="array" ref="I277">IFERROR(INDEX('[25]TK KHUSUS'!$H$9:$H$187,MATCH(1,('[25]TK KHUSUS'!$E$9:$E$187=$D277)*('[25]TK KHUSUS'!$E$9:$E$187=$D277),0)),0)</f>
        <v>419</v>
      </c>
      <c r="J277" s="9">
        <f t="array" ref="J277">IFERROR(I277/G277*100,0)</f>
        <v>10.661577608142494</v>
      </c>
      <c r="K277" s="8">
        <f t="array" ref="K277">INDEX([26]KOMPARASI!$J$20:$J$199,MATCH(1,([26]KOMPARASI!$C$20:$C$199=$D277)*([26]KOMPARASI!$C$20:$C$199=$D277),0))</f>
        <v>171</v>
      </c>
      <c r="L277" s="9">
        <f t="shared" si="5"/>
        <v>40.811455847255367</v>
      </c>
      <c r="M277" s="8" t="str">
        <f t="array" ref="M277">IF(L277&gt;5,"Perlu Pengendalian",IF(AND(L277&gt;=0,I277&gt;0),"Tidak Perlu Pengendalian","Belum Sensus"))</f>
        <v>Perlu Pengendalian</v>
      </c>
    </row>
    <row r="278" spans="1:13" outlineLevel="1" x14ac:dyDescent="0.15">
      <c r="A278" s="8" t="s">
        <v>1739</v>
      </c>
      <c r="B278" s="8" t="s">
        <v>14</v>
      </c>
      <c r="C278" s="8" t="s">
        <v>323</v>
      </c>
      <c r="D278" s="8" t="s">
        <v>1142</v>
      </c>
      <c r="E278" s="9">
        <v>38.159999999999997</v>
      </c>
      <c r="F278" s="8" t="s">
        <v>1740</v>
      </c>
      <c r="G278" s="10">
        <v>4730</v>
      </c>
      <c r="H278" s="132">
        <f t="array" ref="H278">IFERROR(INDEX('[25]TK KHUSUS'!$F$9:$F$187,MATCH(1,('[25]TK KHUSUS'!$E$9:$E$187=$D278)*('[25]TK KHUSUS'!$E$9:$E$187=$D278),0)),0)</f>
        <v>46151</v>
      </c>
      <c r="I278" s="8">
        <f t="array" ref="I278">IFERROR(INDEX('[25]TK KHUSUS'!$H$9:$H$187,MATCH(1,('[25]TK KHUSUS'!$E$9:$E$187=$D278)*('[25]TK KHUSUS'!$E$9:$E$187=$D278),0)),0)</f>
        <v>431</v>
      </c>
      <c r="J278" s="9">
        <f t="array" ref="J278">IFERROR(I278/G278*100,0)</f>
        <v>9.1120507399577164</v>
      </c>
      <c r="K278" s="8">
        <f t="array" ref="K278">INDEX([26]KOMPARASI!$J$20:$J$199,MATCH(1,([26]KOMPARASI!$C$20:$C$199=$D278)*([26]KOMPARASI!$C$20:$C$199=$D278),0))</f>
        <v>109</v>
      </c>
      <c r="L278" s="9">
        <f t="shared" si="5"/>
        <v>25.290023201856147</v>
      </c>
      <c r="M278" s="8" t="str">
        <f t="array" ref="M278">IF(L278&gt;5,"Perlu Pengendalian",IF(AND(L278&gt;=0,I278&gt;0),"Tidak Perlu Pengendalian","Belum Sensus"))</f>
        <v>Perlu Pengendalian</v>
      </c>
    </row>
    <row r="279" spans="1:13" outlineLevel="1" x14ac:dyDescent="0.15">
      <c r="A279" s="8" t="s">
        <v>1739</v>
      </c>
      <c r="B279" s="8" t="s">
        <v>14</v>
      </c>
      <c r="C279" s="8" t="s">
        <v>323</v>
      </c>
      <c r="D279" s="8" t="s">
        <v>1143</v>
      </c>
      <c r="E279" s="9">
        <v>43.82</v>
      </c>
      <c r="F279" s="8" t="s">
        <v>1740</v>
      </c>
      <c r="G279" s="10">
        <v>5538</v>
      </c>
      <c r="H279" s="132">
        <f t="array" ref="H279">IFERROR(INDEX('[25]TK KHUSUS'!$F$9:$F$187,MATCH(1,('[25]TK KHUSUS'!$E$9:$E$187=$D279)*('[25]TK KHUSUS'!$E$9:$E$187=$D279),0)),0)</f>
        <v>46151</v>
      </c>
      <c r="I279" s="8">
        <f t="array" ref="I279">IFERROR(INDEX('[25]TK KHUSUS'!$H$9:$H$187,MATCH(1,('[25]TK KHUSUS'!$E$9:$E$187=$D279)*('[25]TK KHUSUS'!$E$9:$E$187=$D279),0)),0)</f>
        <v>582</v>
      </c>
      <c r="J279" s="9">
        <f t="array" ref="J279">IFERROR(I279/G279*100,0)</f>
        <v>10.509209100758396</v>
      </c>
      <c r="K279" s="8">
        <f t="array" ref="K279">INDEX([26]KOMPARASI!$J$20:$J$199,MATCH(1,([26]KOMPARASI!$C$20:$C$199=$D279)*([26]KOMPARASI!$C$20:$C$199=$D279),0))</f>
        <v>69</v>
      </c>
      <c r="L279" s="9">
        <f t="shared" si="5"/>
        <v>11.855670103092782</v>
      </c>
      <c r="M279" s="8" t="str">
        <f t="array" ref="M279">IF(L279&gt;5,"Perlu Pengendalian",IF(AND(L279&gt;=0,I279&gt;0),"Tidak Perlu Pengendalian","Belum Sensus"))</f>
        <v>Perlu Pengendalian</v>
      </c>
    </row>
    <row r="280" spans="1:13" outlineLevel="1" x14ac:dyDescent="0.15">
      <c r="A280" s="8" t="s">
        <v>1739</v>
      </c>
      <c r="B280" s="8" t="s">
        <v>14</v>
      </c>
      <c r="C280" s="8" t="s">
        <v>323</v>
      </c>
      <c r="D280" s="8" t="s">
        <v>1144</v>
      </c>
      <c r="E280" s="9">
        <v>41.61</v>
      </c>
      <c r="F280" s="8" t="s">
        <v>1740</v>
      </c>
      <c r="G280" s="10">
        <v>5454</v>
      </c>
      <c r="H280" s="132">
        <f t="array" ref="H280">IFERROR(INDEX('[25]TK KHUSUS'!$F$9:$F$187,MATCH(1,('[25]TK KHUSUS'!$E$9:$E$187=$D280)*('[25]TK KHUSUS'!$E$9:$E$187=$D280),0)),0)</f>
        <v>46151</v>
      </c>
      <c r="I280" s="8">
        <f t="array" ref="I280">IFERROR(INDEX('[25]TK KHUSUS'!$H$9:$H$187,MATCH(1,('[25]TK KHUSUS'!$E$9:$E$187=$D280)*('[25]TK KHUSUS'!$E$9:$E$187=$D280),0)),0)</f>
        <v>544</v>
      </c>
      <c r="J280" s="9">
        <f t="array" ref="J280">IFERROR(I280/G280*100,0)</f>
        <v>9.9743307664099738</v>
      </c>
      <c r="K280" s="8">
        <f t="array" ref="K280">INDEX([26]KOMPARASI!$J$20:$J$199,MATCH(1,([26]KOMPARASI!$C$20:$C$199=$D280)*([26]KOMPARASI!$C$20:$C$199=$D280),0))</f>
        <v>43</v>
      </c>
      <c r="L280" s="9">
        <f t="shared" si="5"/>
        <v>7.9044117647058822</v>
      </c>
      <c r="M280" s="8" t="str">
        <f t="array" ref="M280">IF(L280&gt;5,"Perlu Pengendalian",IF(AND(L280&gt;=0,I280&gt;0),"Tidak Perlu Pengendalian","Belum Sensus"))</f>
        <v>Perlu Pengendalian</v>
      </c>
    </row>
    <row r="281" spans="1:13" outlineLevel="1" x14ac:dyDescent="0.15">
      <c r="A281" s="8" t="s">
        <v>1739</v>
      </c>
      <c r="B281" s="8" t="s">
        <v>14</v>
      </c>
      <c r="C281" s="8" t="s">
        <v>323</v>
      </c>
      <c r="D281" s="8" t="s">
        <v>1145</v>
      </c>
      <c r="E281" s="9">
        <v>31.18</v>
      </c>
      <c r="F281" s="8" t="s">
        <v>1740</v>
      </c>
      <c r="G281" s="10">
        <v>3814</v>
      </c>
      <c r="H281" s="132">
        <f t="array" ref="H281">IFERROR(INDEX('[25]TK KHUSUS'!$F$9:$F$187,MATCH(1,('[25]TK KHUSUS'!$E$9:$E$187=$D281)*('[25]TK KHUSUS'!$E$9:$E$187=$D281),0)),0)</f>
        <v>46151</v>
      </c>
      <c r="I281" s="8">
        <f t="array" ref="I281">IFERROR(INDEX('[25]TK KHUSUS'!$H$9:$H$187,MATCH(1,('[25]TK KHUSUS'!$E$9:$E$187=$D281)*('[25]TK KHUSUS'!$E$9:$E$187=$D281),0)),0)</f>
        <v>420</v>
      </c>
      <c r="J281" s="9">
        <f t="array" ref="J281">IFERROR(I281/G281*100,0)</f>
        <v>11.012060828526483</v>
      </c>
      <c r="K281" s="8">
        <f t="array" ref="K281">INDEX([26]KOMPARASI!$J$20:$J$199,MATCH(1,([26]KOMPARASI!$C$20:$C$199=$D281)*([26]KOMPARASI!$C$20:$C$199=$D281),0))</f>
        <v>66</v>
      </c>
      <c r="L281" s="9">
        <f t="shared" si="5"/>
        <v>15.714285714285714</v>
      </c>
      <c r="M281" s="8" t="str">
        <f t="array" ref="M281">IF(L281&gt;5,"Perlu Pengendalian",IF(AND(L281&gt;=0,I281&gt;0),"Tidak Perlu Pengendalian","Belum Sensus"))</f>
        <v>Perlu Pengendalian</v>
      </c>
    </row>
    <row r="282" spans="1:13" outlineLevel="1" x14ac:dyDescent="0.15">
      <c r="A282" s="8" t="s">
        <v>1739</v>
      </c>
      <c r="B282" s="8" t="s">
        <v>14</v>
      </c>
      <c r="C282" s="8" t="s">
        <v>323</v>
      </c>
      <c r="D282" s="8" t="s">
        <v>1146</v>
      </c>
      <c r="E282" s="9">
        <v>22.77</v>
      </c>
      <c r="F282" s="8" t="s">
        <v>1740</v>
      </c>
      <c r="G282" s="10">
        <v>2900</v>
      </c>
      <c r="H282" s="132">
        <f t="array" ref="H282">IFERROR(INDEX('[25]TK KHUSUS'!$F$9:$F$187,MATCH(1,('[25]TK KHUSUS'!$E$9:$E$187=$D282)*('[25]TK KHUSUS'!$E$9:$E$187=$D282),0)),0)</f>
        <v>46151</v>
      </c>
      <c r="I282" s="8">
        <f t="array" ref="I282">IFERROR(INDEX('[25]TK KHUSUS'!$H$9:$H$187,MATCH(1,('[25]TK KHUSUS'!$E$9:$E$187=$D282)*('[25]TK KHUSUS'!$E$9:$E$187=$D282),0)),0)</f>
        <v>316</v>
      </c>
      <c r="J282" s="9">
        <f t="array" ref="J282">IFERROR(I282/G282*100,0)</f>
        <v>10.896551724137932</v>
      </c>
      <c r="K282" s="8">
        <f t="array" ref="K282">INDEX([26]KOMPARASI!$J$20:$J$199,MATCH(1,([26]KOMPARASI!$C$20:$C$199=$D282)*([26]KOMPARASI!$C$20:$C$199=$D282),0))</f>
        <v>38</v>
      </c>
      <c r="L282" s="9">
        <f t="shared" si="5"/>
        <v>12.025316455696203</v>
      </c>
      <c r="M282" s="8" t="str">
        <f t="array" ref="M282">IF(L282&gt;5,"Perlu Pengendalian",IF(AND(L282&gt;=0,I282&gt;0),"Tidak Perlu Pengendalian","Belum Sensus"))</f>
        <v>Perlu Pengendalian</v>
      </c>
    </row>
    <row r="283" spans="1:13" outlineLevel="1" x14ac:dyDescent="0.15">
      <c r="A283" s="8" t="s">
        <v>1739</v>
      </c>
      <c r="B283" s="8" t="s">
        <v>14</v>
      </c>
      <c r="C283" s="8" t="s">
        <v>323</v>
      </c>
      <c r="D283" s="8" t="s">
        <v>1147</v>
      </c>
      <c r="E283" s="9">
        <v>22.25</v>
      </c>
      <c r="F283" s="8" t="s">
        <v>1740</v>
      </c>
      <c r="G283" s="10">
        <v>2965</v>
      </c>
      <c r="H283" s="132">
        <f t="array" ref="H283">IFERROR(INDEX('[25]TK KHUSUS'!$F$9:$F$187,MATCH(1,('[25]TK KHUSUS'!$E$9:$E$187=$D283)*('[25]TK KHUSUS'!$E$9:$E$187=$D283),0)),0)</f>
        <v>46151</v>
      </c>
      <c r="I283" s="8">
        <f t="array" ref="I283">IFERROR(INDEX('[25]TK KHUSUS'!$H$9:$H$187,MATCH(1,('[25]TK KHUSUS'!$E$9:$E$187=$D283)*('[25]TK KHUSUS'!$E$9:$E$187=$D283),0)),0)</f>
        <v>285</v>
      </c>
      <c r="J283" s="9">
        <f t="array" ref="J283">IFERROR(I283/G283*100,0)</f>
        <v>9.6121416526138272</v>
      </c>
      <c r="K283" s="8">
        <f t="array" ref="K283">INDEX([26]KOMPARASI!$J$20:$J$199,MATCH(1,([26]KOMPARASI!$C$20:$C$199=$D283)*([26]KOMPARASI!$C$20:$C$199=$D283),0))</f>
        <v>76</v>
      </c>
      <c r="L283" s="9">
        <f t="shared" si="5"/>
        <v>26.666666666666668</v>
      </c>
      <c r="M283" s="8" t="str">
        <f t="array" ref="M283">IF(L283&gt;5,"Perlu Pengendalian",IF(AND(L283&gt;=0,I283&gt;0),"Tidak Perlu Pengendalian","Belum Sensus"))</f>
        <v>Perlu Pengendalian</v>
      </c>
    </row>
    <row r="284" spans="1:13" outlineLevel="1" x14ac:dyDescent="0.15">
      <c r="A284" s="8" t="s">
        <v>1739</v>
      </c>
      <c r="B284" s="8" t="s">
        <v>14</v>
      </c>
      <c r="C284" s="8" t="s">
        <v>323</v>
      </c>
      <c r="D284" s="8" t="s">
        <v>1148</v>
      </c>
      <c r="E284" s="9">
        <v>0</v>
      </c>
      <c r="F284" s="8" t="s">
        <v>1740</v>
      </c>
      <c r="G284" s="10">
        <v>0</v>
      </c>
      <c r="H284" s="132"/>
      <c r="I284" s="8">
        <f t="array" ref="I284">IFERROR(INDEX('[25]TK KHUSUS'!$H$9:$H$187,MATCH(1,('[25]TK KHUSUS'!$E$9:$E$187=$D284)*('[25]TK KHUSUS'!$E$9:$E$187=$D284),0)),0)</f>
        <v>0</v>
      </c>
      <c r="J284" s="9">
        <f t="array" ref="J284">IFERROR(I284/G284*100,0)</f>
        <v>0</v>
      </c>
      <c r="K284" s="8">
        <f t="array" ref="K284">INDEX([26]KOMPARASI!$J$20:$J$199,MATCH(1,([26]KOMPARASI!$C$20:$C$199=$D284)*([26]KOMPARASI!$C$20:$C$199=$D284),0))</f>
        <v>0</v>
      </c>
      <c r="L284" s="9">
        <f t="shared" si="5"/>
        <v>0</v>
      </c>
      <c r="M284" s="8" t="str">
        <f t="array" ref="M284">IF(L284&gt;5,"Perlu Pengendalian",IF(AND(L284&gt;=0,I284&gt;0),"Tidak Perlu Pengendalian","Belum Sensus"))</f>
        <v>Belum Sensus</v>
      </c>
    </row>
    <row r="285" spans="1:13" outlineLevel="1" x14ac:dyDescent="0.15">
      <c r="A285" s="8" t="s">
        <v>1739</v>
      </c>
      <c r="B285" s="8" t="s">
        <v>14</v>
      </c>
      <c r="C285" s="8" t="s">
        <v>323</v>
      </c>
      <c r="D285" s="8" t="s">
        <v>1149</v>
      </c>
      <c r="E285" s="9">
        <v>26.56</v>
      </c>
      <c r="F285" s="8" t="s">
        <v>1740</v>
      </c>
      <c r="G285" s="10">
        <v>3012</v>
      </c>
      <c r="H285" s="132">
        <f t="array" ref="H285">IFERROR(INDEX('[25]TK KHUSUS'!$F$9:$F$187,MATCH(1,('[25]TK KHUSUS'!$E$9:$E$187=$D285)*('[25]TK KHUSUS'!$E$9:$E$187=$D285),0)),0)</f>
        <v>46151</v>
      </c>
      <c r="I285" s="8">
        <f t="array" ref="I285">IFERROR(INDEX('[25]TK KHUSUS'!$H$9:$H$187,MATCH(1,('[25]TK KHUSUS'!$E$9:$E$187=$D285)*('[25]TK KHUSUS'!$E$9:$E$187=$D285),0)),0)</f>
        <v>276</v>
      </c>
      <c r="J285" s="9">
        <f t="array" ref="J285">IFERROR(I285/G285*100,0)</f>
        <v>9.1633466135458175</v>
      </c>
      <c r="K285" s="8">
        <f t="array" ref="K285">INDEX([26]KOMPARASI!$J$20:$J$199,MATCH(1,([26]KOMPARASI!$C$20:$C$199=$D285)*([26]KOMPARASI!$C$20:$C$199=$D285),0))</f>
        <v>52</v>
      </c>
      <c r="L285" s="9">
        <f t="shared" si="5"/>
        <v>18.840579710144929</v>
      </c>
      <c r="M285" s="8" t="str">
        <f t="array" ref="M285">IF(L285&gt;5,"Perlu Pengendalian",IF(AND(L285&gt;=0,I285&gt;0),"Tidak Perlu Pengendalian","Belum Sensus"))</f>
        <v>Perlu Pengendalian</v>
      </c>
    </row>
    <row r="286" spans="1:13" outlineLevel="1" x14ac:dyDescent="0.15">
      <c r="A286" s="8" t="s">
        <v>1739</v>
      </c>
      <c r="B286" s="8" t="s">
        <v>14</v>
      </c>
      <c r="C286" s="8" t="s">
        <v>323</v>
      </c>
      <c r="D286" s="8" t="s">
        <v>1150</v>
      </c>
      <c r="E286" s="9">
        <v>25.02</v>
      </c>
      <c r="F286" s="8" t="s">
        <v>1740</v>
      </c>
      <c r="G286" s="10">
        <v>2929</v>
      </c>
      <c r="H286" s="132">
        <f t="array" ref="H286">IFERROR(INDEX('[25]TK KHUSUS'!$F$9:$F$187,MATCH(1,('[25]TK KHUSUS'!$E$9:$E$187=$D286)*('[25]TK KHUSUS'!$E$9:$E$187=$D286),0)),0)</f>
        <v>46151</v>
      </c>
      <c r="I286" s="8">
        <f t="array" ref="I286">IFERROR(INDEX('[25]TK KHUSUS'!$H$9:$H$187,MATCH(1,('[25]TK KHUSUS'!$E$9:$E$187=$D286)*('[25]TK KHUSUS'!$E$9:$E$187=$D286),0)),0)</f>
        <v>322</v>
      </c>
      <c r="J286" s="9">
        <f t="array" ref="J286">IFERROR(I286/G286*100,0)</f>
        <v>10.993513144417891</v>
      </c>
      <c r="K286" s="8">
        <f t="array" ref="K286">INDEX([26]KOMPARASI!$J$20:$J$199,MATCH(1,([26]KOMPARASI!$C$20:$C$199=$D286)*([26]KOMPARASI!$C$20:$C$199=$D286),0))</f>
        <v>32</v>
      </c>
      <c r="L286" s="9">
        <f t="shared" si="5"/>
        <v>9.9378881987577632</v>
      </c>
      <c r="M286" s="8" t="str">
        <f t="array" ref="M286">IF(L286&gt;5,"Perlu Pengendalian",IF(AND(L286&gt;=0,I286&gt;0),"Tidak Perlu Pengendalian","Belum Sensus"))</f>
        <v>Perlu Pengendalian</v>
      </c>
    </row>
    <row r="287" spans="1:13" outlineLevel="1" x14ac:dyDescent="0.15">
      <c r="A287" s="8" t="s">
        <v>1739</v>
      </c>
      <c r="B287" s="8" t="s">
        <v>14</v>
      </c>
      <c r="C287" s="8" t="s">
        <v>323</v>
      </c>
      <c r="D287" s="8" t="s">
        <v>1151</v>
      </c>
      <c r="E287" s="9">
        <v>46.12</v>
      </c>
      <c r="F287" s="8" t="s">
        <v>1740</v>
      </c>
      <c r="G287" s="10">
        <v>6013</v>
      </c>
      <c r="H287" s="132">
        <f t="array" ref="H287">IFERROR(INDEX('[25]TK KHUSUS'!$F$9:$F$187,MATCH(1,('[25]TK KHUSUS'!$E$9:$E$187=$D287)*('[25]TK KHUSUS'!$E$9:$E$187=$D287),0)),0)</f>
        <v>46151</v>
      </c>
      <c r="I287" s="8">
        <f t="array" ref="I287">IFERROR(INDEX('[25]TK KHUSUS'!$H$9:$H$187,MATCH(1,('[25]TK KHUSUS'!$E$9:$E$187=$D287)*('[25]TK KHUSUS'!$E$9:$E$187=$D287),0)),0)</f>
        <v>634</v>
      </c>
      <c r="J287" s="9">
        <f t="array" ref="J287">IFERROR(I287/G287*100,0)</f>
        <v>10.543821719607518</v>
      </c>
      <c r="K287" s="8">
        <f t="array" ref="K287">INDEX([26]KOMPARASI!$J$20:$J$199,MATCH(1,([26]KOMPARASI!$C$20:$C$199=$D287)*([26]KOMPARASI!$C$20:$C$199=$D287),0))</f>
        <v>178</v>
      </c>
      <c r="L287" s="9">
        <f t="shared" si="5"/>
        <v>28.075709779179807</v>
      </c>
      <c r="M287" s="8" t="str">
        <f t="array" ref="M287">IF(L287&gt;5,"Perlu Pengendalian",IF(AND(L287&gt;=0,I287&gt;0),"Tidak Perlu Pengendalian","Belum Sensus"))</f>
        <v>Perlu Pengendalian</v>
      </c>
    </row>
    <row r="288" spans="1:13" outlineLevel="1" x14ac:dyDescent="0.15">
      <c r="A288" s="8" t="s">
        <v>1739</v>
      </c>
      <c r="B288" s="8" t="s">
        <v>14</v>
      </c>
      <c r="C288" s="8" t="s">
        <v>323</v>
      </c>
      <c r="D288" s="8" t="s">
        <v>1152</v>
      </c>
      <c r="E288" s="9">
        <v>26.46</v>
      </c>
      <c r="F288" s="8" t="s">
        <v>1740</v>
      </c>
      <c r="G288" s="10">
        <v>3322</v>
      </c>
      <c r="H288" s="132">
        <f t="array" ref="H288">IFERROR(INDEX('[25]TK KHUSUS'!$F$9:$F$187,MATCH(1,('[25]TK KHUSUS'!$E$9:$E$187=$D288)*('[25]TK KHUSUS'!$E$9:$E$187=$D288),0)),0)</f>
        <v>46151</v>
      </c>
      <c r="I288" s="8">
        <f t="array" ref="I288">IFERROR(INDEX('[25]TK KHUSUS'!$H$9:$H$187,MATCH(1,('[25]TK KHUSUS'!$E$9:$E$187=$D288)*('[25]TK KHUSUS'!$E$9:$E$187=$D288),0)),0)</f>
        <v>525</v>
      </c>
      <c r="J288" s="9">
        <f t="array" ref="J288">IFERROR(I288/G288*100,0)</f>
        <v>15.803732691149911</v>
      </c>
      <c r="K288" s="8">
        <f t="array" ref="K288">INDEX([26]KOMPARASI!$J$20:$J$199,MATCH(1,([26]KOMPARASI!$C$20:$C$199=$D288)*([26]KOMPARASI!$C$20:$C$199=$D288),0))</f>
        <v>141</v>
      </c>
      <c r="L288" s="9">
        <f t="shared" si="5"/>
        <v>26.857142857142858</v>
      </c>
      <c r="M288" s="8" t="str">
        <f t="array" ref="M288">IF(L288&gt;5,"Perlu Pengendalian",IF(AND(L288&gt;=0,I288&gt;0),"Tidak Perlu Pengendalian","Belum Sensus"))</f>
        <v>Perlu Pengendalian</v>
      </c>
    </row>
    <row r="289" spans="1:13" outlineLevel="1" x14ac:dyDescent="0.15">
      <c r="A289" s="8" t="s">
        <v>1739</v>
      </c>
      <c r="B289" s="8" t="s">
        <v>14</v>
      </c>
      <c r="C289" s="8" t="s">
        <v>323</v>
      </c>
      <c r="D289" s="8" t="s">
        <v>1153</v>
      </c>
      <c r="E289" s="9">
        <v>30.29</v>
      </c>
      <c r="F289" s="8" t="s">
        <v>1740</v>
      </c>
      <c r="G289" s="10">
        <v>4133</v>
      </c>
      <c r="H289" s="132">
        <f t="array" ref="H289">IFERROR(INDEX('[25]TK KHUSUS'!$F$9:$F$187,MATCH(1,('[25]TK KHUSUS'!$E$9:$E$187=$D289)*('[25]TK KHUSUS'!$E$9:$E$187=$D289),0)),0)</f>
        <v>46150</v>
      </c>
      <c r="I289" s="8">
        <f t="array" ref="I289">IFERROR(INDEX('[25]TK KHUSUS'!$H$9:$H$187,MATCH(1,('[25]TK KHUSUS'!$E$9:$E$187=$D289)*('[25]TK KHUSUS'!$E$9:$E$187=$D289),0)),0)</f>
        <v>417</v>
      </c>
      <c r="J289" s="9">
        <f t="array" ref="J289">IFERROR(I289/G289*100,0)</f>
        <v>10.089523348657149</v>
      </c>
      <c r="K289" s="8">
        <f t="array" ref="K289">INDEX([26]KOMPARASI!$J$20:$J$199,MATCH(1,([26]KOMPARASI!$C$20:$C$199=$D289)*([26]KOMPARASI!$C$20:$C$199=$D289),0))</f>
        <v>46</v>
      </c>
      <c r="L289" s="9">
        <f t="shared" si="5"/>
        <v>11.031175059952037</v>
      </c>
      <c r="M289" s="8" t="str">
        <f t="array" ref="M289">IF(L289&gt;5,"Perlu Pengendalian",IF(AND(L289&gt;=0,I289&gt;0),"Tidak Perlu Pengendalian","Belum Sensus"))</f>
        <v>Perlu Pengendalian</v>
      </c>
    </row>
    <row r="290" spans="1:13" outlineLevel="1" x14ac:dyDescent="0.15">
      <c r="A290" s="8" t="s">
        <v>1739</v>
      </c>
      <c r="B290" s="8" t="s">
        <v>14</v>
      </c>
      <c r="C290" s="8" t="s">
        <v>323</v>
      </c>
      <c r="D290" s="8" t="s">
        <v>1154</v>
      </c>
      <c r="E290" s="9">
        <v>22.15</v>
      </c>
      <c r="F290" s="8" t="s">
        <v>1740</v>
      </c>
      <c r="G290" s="10">
        <v>2987</v>
      </c>
      <c r="H290" s="132">
        <f t="array" ref="H290">IFERROR(INDEX('[25]TK KHUSUS'!$F$9:$F$187,MATCH(1,('[25]TK KHUSUS'!$E$9:$E$187=$D290)*('[25]TK KHUSUS'!$E$9:$E$187=$D290),0)),0)</f>
        <v>46150</v>
      </c>
      <c r="I290" s="8">
        <f t="array" ref="I290">IFERROR(INDEX('[25]TK KHUSUS'!$H$9:$H$187,MATCH(1,('[25]TK KHUSUS'!$E$9:$E$187=$D290)*('[25]TK KHUSUS'!$E$9:$E$187=$D290),0)),0)</f>
        <v>294</v>
      </c>
      <c r="J290" s="9">
        <f t="array" ref="J290">IFERROR(I290/G290*100,0)</f>
        <v>9.8426514897890858</v>
      </c>
      <c r="K290" s="8">
        <f t="array" ref="K290">INDEX([26]KOMPARASI!$J$20:$J$199,MATCH(1,([26]KOMPARASI!$C$20:$C$199=$D290)*([26]KOMPARASI!$C$20:$C$199=$D290),0))</f>
        <v>12</v>
      </c>
      <c r="L290" s="9">
        <f t="shared" si="5"/>
        <v>4.0816326530612246</v>
      </c>
      <c r="M290" s="8" t="str">
        <f t="array" ref="M290">IF(L290&gt;5,"Perlu Pengendalian",IF(AND(L290&gt;=0,I290&gt;0),"Tidak Perlu Pengendalian","Belum Sensus"))</f>
        <v>Tidak Perlu Pengendalian</v>
      </c>
    </row>
    <row r="291" spans="1:13" outlineLevel="1" x14ac:dyDescent="0.15">
      <c r="A291" s="8" t="s">
        <v>1739</v>
      </c>
      <c r="B291" s="8" t="s">
        <v>14</v>
      </c>
      <c r="C291" s="8" t="s">
        <v>323</v>
      </c>
      <c r="D291" s="8" t="s">
        <v>1155</v>
      </c>
      <c r="E291" s="9">
        <v>25.45</v>
      </c>
      <c r="F291" s="8" t="s">
        <v>1740</v>
      </c>
      <c r="G291" s="10">
        <v>3312</v>
      </c>
      <c r="H291" s="132">
        <f t="array" ref="H291">IFERROR(INDEX('[25]TK KHUSUS'!$F$9:$F$187,MATCH(1,('[25]TK KHUSUS'!$E$9:$E$187=$D291)*('[25]TK KHUSUS'!$E$9:$E$187=$D291),0)),0)</f>
        <v>46150</v>
      </c>
      <c r="I291" s="8">
        <f t="array" ref="I291">IFERROR(INDEX('[25]TK KHUSUS'!$H$9:$H$187,MATCH(1,('[25]TK KHUSUS'!$E$9:$E$187=$D291)*('[25]TK KHUSUS'!$E$9:$E$187=$D291),0)),0)</f>
        <v>355</v>
      </c>
      <c r="J291" s="9">
        <f t="array" ref="J291">IFERROR(I291/G291*100,0)</f>
        <v>10.718599033816426</v>
      </c>
      <c r="K291" s="8">
        <f t="array" ref="K291">INDEX([26]KOMPARASI!$J$20:$J$199,MATCH(1,([26]KOMPARASI!$C$20:$C$199=$D291)*([26]KOMPARASI!$C$20:$C$199=$D291),0))</f>
        <v>31</v>
      </c>
      <c r="L291" s="9">
        <f t="shared" si="5"/>
        <v>8.7323943661971821</v>
      </c>
      <c r="M291" s="8" t="str">
        <f t="array" ref="M291">IF(L291&gt;5,"Perlu Pengendalian",IF(AND(L291&gt;=0,I291&gt;0),"Tidak Perlu Pengendalian","Belum Sensus"))</f>
        <v>Perlu Pengendalian</v>
      </c>
    </row>
    <row r="292" spans="1:13" outlineLevel="1" x14ac:dyDescent="0.15">
      <c r="A292" s="8" t="s">
        <v>1739</v>
      </c>
      <c r="B292" s="8" t="s">
        <v>14</v>
      </c>
      <c r="C292" s="8" t="s">
        <v>323</v>
      </c>
      <c r="D292" s="8" t="s">
        <v>1156</v>
      </c>
      <c r="E292" s="9">
        <v>30.1</v>
      </c>
      <c r="F292" s="8" t="s">
        <v>1740</v>
      </c>
      <c r="G292" s="10">
        <v>3956</v>
      </c>
      <c r="H292" s="132">
        <f t="array" ref="H292">IFERROR(INDEX('[25]TK KHUSUS'!$F$9:$F$187,MATCH(1,('[25]TK KHUSUS'!$E$9:$E$187=$D292)*('[25]TK KHUSUS'!$E$9:$E$187=$D292),0)),0)</f>
        <v>46150</v>
      </c>
      <c r="I292" s="8">
        <f t="array" ref="I292">IFERROR(INDEX('[25]TK KHUSUS'!$H$9:$H$187,MATCH(1,('[25]TK KHUSUS'!$E$9:$E$187=$D292)*('[25]TK KHUSUS'!$E$9:$E$187=$D292),0)),0)</f>
        <v>409</v>
      </c>
      <c r="J292" s="9">
        <f t="array" ref="J292">IFERROR(I292/G292*100,0)</f>
        <v>10.338725985844286</v>
      </c>
      <c r="K292" s="8">
        <f t="array" ref="K292">INDEX([26]KOMPARASI!$J$20:$J$199,MATCH(1,([26]KOMPARASI!$C$20:$C$199=$D292)*([26]KOMPARASI!$C$20:$C$199=$D292),0))</f>
        <v>74</v>
      </c>
      <c r="L292" s="9">
        <f t="shared" si="5"/>
        <v>18.092909535452321</v>
      </c>
      <c r="M292" s="8" t="str">
        <f t="array" ref="M292">IF(L292&gt;5,"Perlu Pengendalian",IF(AND(L292&gt;=0,I292&gt;0),"Tidak Perlu Pengendalian","Belum Sensus"))</f>
        <v>Perlu Pengendalian</v>
      </c>
    </row>
    <row r="293" spans="1:13" outlineLevel="1" x14ac:dyDescent="0.15">
      <c r="A293" s="8" t="s">
        <v>1739</v>
      </c>
      <c r="B293" s="8" t="s">
        <v>14</v>
      </c>
      <c r="C293" s="8" t="s">
        <v>323</v>
      </c>
      <c r="D293" s="8" t="s">
        <v>1157</v>
      </c>
      <c r="E293" s="9">
        <v>27.13</v>
      </c>
      <c r="F293" s="8" t="s">
        <v>1740</v>
      </c>
      <c r="G293" s="10">
        <v>3388</v>
      </c>
      <c r="H293" s="132">
        <f t="array" ref="H293">IFERROR(INDEX('[25]TK KHUSUS'!$F$9:$F$187,MATCH(1,('[25]TK KHUSUS'!$E$9:$E$187=$D293)*('[25]TK KHUSUS'!$E$9:$E$187=$D293),0)),0)</f>
        <v>46150</v>
      </c>
      <c r="I293" s="8">
        <f t="array" ref="I293">IFERROR(INDEX('[25]TK KHUSUS'!$H$9:$H$187,MATCH(1,('[25]TK KHUSUS'!$E$9:$E$187=$D293)*('[25]TK KHUSUS'!$E$9:$E$187=$D293),0)),0)</f>
        <v>356</v>
      </c>
      <c r="J293" s="9">
        <f t="array" ref="J293">IFERROR(I293/G293*100,0)</f>
        <v>10.507674144037781</v>
      </c>
      <c r="K293" s="8">
        <f t="array" ref="K293">INDEX([26]KOMPARASI!$J$20:$J$199,MATCH(1,([26]KOMPARASI!$C$20:$C$199=$D293)*([26]KOMPARASI!$C$20:$C$199=$D293),0))</f>
        <v>119</v>
      </c>
      <c r="L293" s="9">
        <f t="shared" si="5"/>
        <v>33.426966292134829</v>
      </c>
      <c r="M293" s="8" t="str">
        <f t="array" ref="M293">IF(L293&gt;5,"Perlu Pengendalian",IF(AND(L293&gt;=0,I293&gt;0),"Tidak Perlu Pengendalian","Belum Sensus"))</f>
        <v>Perlu Pengendalian</v>
      </c>
    </row>
    <row r="294" spans="1:13" outlineLevel="1" x14ac:dyDescent="0.15">
      <c r="A294" s="8" t="s">
        <v>1739</v>
      </c>
      <c r="B294" s="8" t="s">
        <v>14</v>
      </c>
      <c r="C294" s="8" t="s">
        <v>323</v>
      </c>
      <c r="D294" s="8" t="s">
        <v>1158</v>
      </c>
      <c r="E294" s="9">
        <v>26.62</v>
      </c>
      <c r="F294" s="8" t="s">
        <v>1740</v>
      </c>
      <c r="G294" s="10">
        <v>3540</v>
      </c>
      <c r="H294" s="132">
        <f t="array" ref="H294">IFERROR(INDEX('[25]TK KHUSUS'!$F$9:$F$187,MATCH(1,('[25]TK KHUSUS'!$E$9:$E$187=$D294)*('[25]TK KHUSUS'!$E$9:$E$187=$D294),0)),0)</f>
        <v>46150</v>
      </c>
      <c r="I294" s="8">
        <f t="array" ref="I294">IFERROR(INDEX('[25]TK KHUSUS'!$H$9:$H$187,MATCH(1,('[25]TK KHUSUS'!$E$9:$E$187=$D294)*('[25]TK KHUSUS'!$E$9:$E$187=$D294),0)),0)</f>
        <v>342</v>
      </c>
      <c r="J294" s="9">
        <f t="array" ref="J294">IFERROR(I294/G294*100,0)</f>
        <v>9.6610169491525433</v>
      </c>
      <c r="K294" s="8">
        <f t="array" ref="K294">INDEX([26]KOMPARASI!$J$20:$J$199,MATCH(1,([26]KOMPARASI!$C$20:$C$199=$D294)*([26]KOMPARASI!$C$20:$C$199=$D294),0))</f>
        <v>27</v>
      </c>
      <c r="L294" s="9">
        <f t="shared" si="5"/>
        <v>7.8947368421052628</v>
      </c>
      <c r="M294" s="8" t="str">
        <f t="array" ref="M294">IF(L294&gt;5,"Perlu Pengendalian",IF(AND(L294&gt;=0,I294&gt;0),"Tidak Perlu Pengendalian","Belum Sensus"))</f>
        <v>Perlu Pengendalian</v>
      </c>
    </row>
    <row r="295" spans="1:13" outlineLevel="1" x14ac:dyDescent="0.15">
      <c r="A295" s="8" t="s">
        <v>1739</v>
      </c>
      <c r="B295" s="8" t="s">
        <v>14</v>
      </c>
      <c r="C295" s="8" t="s">
        <v>323</v>
      </c>
      <c r="D295" s="8" t="s">
        <v>1159</v>
      </c>
      <c r="E295" s="9">
        <v>33.36</v>
      </c>
      <c r="F295" s="8" t="s">
        <v>1740</v>
      </c>
      <c r="G295" s="10">
        <v>4591</v>
      </c>
      <c r="H295" s="132">
        <f t="array" ref="H295">IFERROR(INDEX('[25]TK KHUSUS'!$F$9:$F$187,MATCH(1,('[25]TK KHUSUS'!$E$9:$E$187=$D295)*('[25]TK KHUSUS'!$E$9:$E$187=$D295),0)),0)</f>
        <v>46155</v>
      </c>
      <c r="I295" s="8">
        <f t="array" ref="I295">IFERROR(INDEX('[25]TK KHUSUS'!$H$9:$H$187,MATCH(1,('[25]TK KHUSUS'!$E$9:$E$187=$D295)*('[25]TK KHUSUS'!$E$9:$E$187=$D295),0)),0)</f>
        <v>419</v>
      </c>
      <c r="J295" s="9">
        <f t="array" ref="J295">IFERROR(I295/G295*100,0)</f>
        <v>9.1265519494663465</v>
      </c>
      <c r="K295" s="8">
        <f t="array" ref="K295">INDEX([26]KOMPARASI!$J$20:$J$199,MATCH(1,([26]KOMPARASI!$C$20:$C$199=$D295)*([26]KOMPARASI!$C$20:$C$199=$D295),0))</f>
        <v>110</v>
      </c>
      <c r="L295" s="9">
        <f t="shared" si="5"/>
        <v>26.252983293556088</v>
      </c>
      <c r="M295" s="8" t="str">
        <f t="array" ref="M295">IF(L295&gt;5,"Perlu Pengendalian",IF(AND(L295&gt;=0,I295&gt;0),"Tidak Perlu Pengendalian","Belum Sensus"))</f>
        <v>Perlu Pengendalian</v>
      </c>
    </row>
    <row r="296" spans="1:13" outlineLevel="1" x14ac:dyDescent="0.15">
      <c r="A296" s="8" t="s">
        <v>1739</v>
      </c>
      <c r="B296" s="8" t="s">
        <v>14</v>
      </c>
      <c r="C296" s="8" t="s">
        <v>323</v>
      </c>
      <c r="D296" s="8" t="s">
        <v>1160</v>
      </c>
      <c r="E296" s="9">
        <v>46.45</v>
      </c>
      <c r="F296" s="8" t="s">
        <v>1740</v>
      </c>
      <c r="G296" s="10">
        <v>6421</v>
      </c>
      <c r="H296" s="132">
        <f t="array" ref="H296">IFERROR(INDEX('[25]TK KHUSUS'!$F$9:$F$187,MATCH(1,('[25]TK KHUSUS'!$E$9:$E$187=$D296)*('[25]TK KHUSUS'!$E$9:$E$187=$D296),0)),0)</f>
        <v>46155</v>
      </c>
      <c r="I296" s="8">
        <f t="array" ref="I296">IFERROR(INDEX('[25]TK KHUSUS'!$H$9:$H$187,MATCH(1,('[25]TK KHUSUS'!$E$9:$E$187=$D296)*('[25]TK KHUSUS'!$E$9:$E$187=$D296),0)),0)</f>
        <v>655</v>
      </c>
      <c r="J296" s="9">
        <f t="array" ref="J296">IFERROR(I296/G296*100,0)</f>
        <v>10.20090328609251</v>
      </c>
      <c r="K296" s="8">
        <f t="array" ref="K296">INDEX([26]KOMPARASI!$J$20:$J$199,MATCH(1,([26]KOMPARASI!$C$20:$C$199=$D296)*([26]KOMPARASI!$C$20:$C$199=$D296),0))</f>
        <v>46</v>
      </c>
      <c r="L296" s="9">
        <f t="shared" si="5"/>
        <v>7.0229007633587788</v>
      </c>
      <c r="M296" s="8" t="str">
        <f t="array" ref="M296">IF(L296&gt;5,"Perlu Pengendalian",IF(AND(L296&gt;=0,I296&gt;0),"Tidak Perlu Pengendalian","Belum Sensus"))</f>
        <v>Perlu Pengendalian</v>
      </c>
    </row>
    <row r="297" spans="1:13" outlineLevel="1" x14ac:dyDescent="0.15">
      <c r="A297" s="8" t="s">
        <v>1739</v>
      </c>
      <c r="B297" s="8" t="s">
        <v>14</v>
      </c>
      <c r="C297" s="8" t="s">
        <v>323</v>
      </c>
      <c r="D297" s="8" t="s">
        <v>1161</v>
      </c>
      <c r="E297" s="9">
        <v>30.97</v>
      </c>
      <c r="F297" s="8" t="s">
        <v>1740</v>
      </c>
      <c r="G297" s="10">
        <v>4152</v>
      </c>
      <c r="H297" s="132">
        <f t="array" ref="H297">IFERROR(INDEX('[25]TK KHUSUS'!$F$9:$F$187,MATCH(1,('[25]TK KHUSUS'!$E$9:$E$187=$D297)*('[25]TK KHUSUS'!$E$9:$E$187=$D297),0)),0)</f>
        <v>46150</v>
      </c>
      <c r="I297" s="8">
        <f t="array" ref="I297">IFERROR(INDEX('[25]TK KHUSUS'!$H$9:$H$187,MATCH(1,('[25]TK KHUSUS'!$E$9:$E$187=$D297)*('[25]TK KHUSUS'!$E$9:$E$187=$D297),0)),0)</f>
        <v>457</v>
      </c>
      <c r="J297" s="9">
        <f t="array" ref="J297">IFERROR(I297/G297*100,0)</f>
        <v>11.006743737957612</v>
      </c>
      <c r="K297" s="8">
        <f t="array" ref="K297">INDEX([26]KOMPARASI!$J$20:$J$199,MATCH(1,([26]KOMPARASI!$C$20:$C$199=$D297)*([26]KOMPARASI!$C$20:$C$199=$D297),0))</f>
        <v>43</v>
      </c>
      <c r="L297" s="9">
        <f t="shared" si="5"/>
        <v>9.4091903719912473</v>
      </c>
      <c r="M297" s="8" t="str">
        <f t="array" ref="M297">IF(L297&gt;5,"Perlu Pengendalian",IF(AND(L297&gt;=0,I297&gt;0),"Tidak Perlu Pengendalian","Belum Sensus"))</f>
        <v>Perlu Pengendalian</v>
      </c>
    </row>
    <row r="298" spans="1:13" outlineLevel="1" x14ac:dyDescent="0.15">
      <c r="A298" s="8" t="s">
        <v>1739</v>
      </c>
      <c r="B298" s="8" t="s">
        <v>14</v>
      </c>
      <c r="C298" s="8" t="s">
        <v>323</v>
      </c>
      <c r="D298" s="8" t="s">
        <v>1162</v>
      </c>
      <c r="E298" s="9">
        <v>37.630000000000003</v>
      </c>
      <c r="F298" s="8" t="s">
        <v>1740</v>
      </c>
      <c r="G298" s="10">
        <v>5190</v>
      </c>
      <c r="H298" s="132">
        <f t="array" ref="H298">IFERROR(INDEX('[25]TK KHUSUS'!$F$9:$F$187,MATCH(1,('[25]TK KHUSUS'!$E$9:$E$187=$D298)*('[25]TK KHUSUS'!$E$9:$E$187=$D298),0)),0)</f>
        <v>46150</v>
      </c>
      <c r="I298" s="8">
        <f t="array" ref="I298">IFERROR(INDEX('[25]TK KHUSUS'!$H$9:$H$187,MATCH(1,('[25]TK KHUSUS'!$E$9:$E$187=$D298)*('[25]TK KHUSUS'!$E$9:$E$187=$D298),0)),0)</f>
        <v>527</v>
      </c>
      <c r="J298" s="9">
        <f t="array" ref="J298">IFERROR(I298/G298*100,0)</f>
        <v>10.154142581888246</v>
      </c>
      <c r="K298" s="8">
        <f t="array" ref="K298">INDEX([26]KOMPARASI!$J$20:$J$199,MATCH(1,([26]KOMPARASI!$C$20:$C$199=$D298)*([26]KOMPARASI!$C$20:$C$199=$D298),0))</f>
        <v>30</v>
      </c>
      <c r="L298" s="9">
        <f t="shared" si="5"/>
        <v>5.6925996204933584</v>
      </c>
      <c r="M298" s="8" t="str">
        <f t="array" ref="M298">IF(L298&gt;5,"Perlu Pengendalian",IF(AND(L298&gt;=0,I298&gt;0),"Tidak Perlu Pengendalian","Belum Sensus"))</f>
        <v>Perlu Pengendalian</v>
      </c>
    </row>
    <row r="299" spans="1:13" outlineLevel="1" x14ac:dyDescent="0.15">
      <c r="A299" s="8" t="s">
        <v>1739</v>
      </c>
      <c r="B299" s="8" t="s">
        <v>14</v>
      </c>
      <c r="C299" s="8" t="s">
        <v>323</v>
      </c>
      <c r="D299" s="8" t="s">
        <v>1163</v>
      </c>
      <c r="E299" s="9">
        <v>35.65</v>
      </c>
      <c r="F299" s="8" t="s">
        <v>1740</v>
      </c>
      <c r="G299" s="10">
        <v>4861</v>
      </c>
      <c r="H299" s="132">
        <f t="array" ref="H299">IFERROR(INDEX('[25]TK KHUSUS'!$F$9:$F$187,MATCH(1,('[25]TK KHUSUS'!$E$9:$E$187=$D299)*('[25]TK KHUSUS'!$E$9:$E$187=$D299),0)),0)</f>
        <v>46150</v>
      </c>
      <c r="I299" s="8">
        <f t="array" ref="I299">IFERROR(INDEX('[25]TK KHUSUS'!$H$9:$H$187,MATCH(1,('[25]TK KHUSUS'!$E$9:$E$187=$D299)*('[25]TK KHUSUS'!$E$9:$E$187=$D299),0)),0)</f>
        <v>396</v>
      </c>
      <c r="J299" s="9">
        <f t="array" ref="J299">IFERROR(I299/G299*100,0)</f>
        <v>8.1464719193581576</v>
      </c>
      <c r="K299" s="8">
        <f t="array" ref="K299">INDEX([26]KOMPARASI!$J$20:$J$199,MATCH(1,([26]KOMPARASI!$C$20:$C$199=$D299)*([26]KOMPARASI!$C$20:$C$199=$D299),0))</f>
        <v>95</v>
      </c>
      <c r="L299" s="9">
        <f t="shared" si="5"/>
        <v>23.98989898989899</v>
      </c>
      <c r="M299" s="8" t="str">
        <f t="array" ref="M299">IF(L299&gt;5,"Perlu Pengendalian",IF(AND(L299&gt;=0,I299&gt;0),"Tidak Perlu Pengendalian","Belum Sensus"))</f>
        <v>Perlu Pengendalian</v>
      </c>
    </row>
    <row r="300" spans="1:13" outlineLevel="1" x14ac:dyDescent="0.15">
      <c r="A300" s="8" t="s">
        <v>1739</v>
      </c>
      <c r="B300" s="8" t="s">
        <v>14</v>
      </c>
      <c r="C300" s="8" t="s">
        <v>323</v>
      </c>
      <c r="D300" s="8" t="s">
        <v>1164</v>
      </c>
      <c r="E300" s="9">
        <v>34.29</v>
      </c>
      <c r="F300" s="8" t="s">
        <v>1740</v>
      </c>
      <c r="G300" s="10">
        <v>4602</v>
      </c>
      <c r="H300" s="132">
        <f t="array" ref="H300">IFERROR(INDEX('[25]TK KHUSUS'!$F$9:$F$187,MATCH(1,('[25]TK KHUSUS'!$E$9:$E$187=$D300)*('[25]TK KHUSUS'!$E$9:$E$187=$D300),0)),0)</f>
        <v>46149</v>
      </c>
      <c r="I300" s="8">
        <f t="array" ref="I300">IFERROR(INDEX('[25]TK KHUSUS'!$H$9:$H$187,MATCH(1,('[25]TK KHUSUS'!$E$9:$E$187=$D300)*('[25]TK KHUSUS'!$E$9:$E$187=$D300),0)),0)</f>
        <v>461</v>
      </c>
      <c r="J300" s="9">
        <f t="array" ref="J300">IFERROR(I300/G300*100,0)</f>
        <v>10.017383746197305</v>
      </c>
      <c r="K300" s="8">
        <f t="array" ref="K300">INDEX([26]KOMPARASI!$J$20:$J$199,MATCH(1,([26]KOMPARASI!$C$20:$C$199=$D300)*([26]KOMPARASI!$C$20:$C$199=$D300),0))</f>
        <v>48</v>
      </c>
      <c r="L300" s="9">
        <f t="shared" si="5"/>
        <v>10.412147505422993</v>
      </c>
      <c r="M300" s="8" t="str">
        <f t="array" ref="M300">IF(L300&gt;5,"Perlu Pengendalian",IF(AND(L300&gt;=0,I300&gt;0),"Tidak Perlu Pengendalian","Belum Sensus"))</f>
        <v>Perlu Pengendalian</v>
      </c>
    </row>
    <row r="301" spans="1:13" outlineLevel="1" x14ac:dyDescent="0.15">
      <c r="A301" s="8" t="s">
        <v>1739</v>
      </c>
      <c r="B301" s="8" t="s">
        <v>14</v>
      </c>
      <c r="C301" s="8" t="s">
        <v>323</v>
      </c>
      <c r="D301" s="8" t="s">
        <v>1165</v>
      </c>
      <c r="E301" s="9">
        <v>29.12</v>
      </c>
      <c r="F301" s="8" t="s">
        <v>1740</v>
      </c>
      <c r="G301" s="10">
        <v>3931</v>
      </c>
      <c r="H301" s="132">
        <f t="array" ref="H301">IFERROR(INDEX('[25]TK KHUSUS'!$F$9:$F$187,MATCH(1,('[25]TK KHUSUS'!$E$9:$E$187=$D301)*('[25]TK KHUSUS'!$E$9:$E$187=$D301),0)),0)</f>
        <v>46149</v>
      </c>
      <c r="I301" s="8">
        <f t="array" ref="I301">IFERROR(INDEX('[25]TK KHUSUS'!$H$9:$H$187,MATCH(1,('[25]TK KHUSUS'!$E$9:$E$187=$D301)*('[25]TK KHUSUS'!$E$9:$E$187=$D301),0)),0)</f>
        <v>342</v>
      </c>
      <c r="J301" s="9">
        <f t="array" ref="J301">IFERROR(I301/G301*100,0)</f>
        <v>8.7000763164589152</v>
      </c>
      <c r="K301" s="8">
        <f t="array" ref="K301">INDEX([26]KOMPARASI!$J$20:$J$199,MATCH(1,([26]KOMPARASI!$C$20:$C$199=$D301)*([26]KOMPARASI!$C$20:$C$199=$D301),0))</f>
        <v>52</v>
      </c>
      <c r="L301" s="9">
        <f t="shared" si="5"/>
        <v>15.204678362573098</v>
      </c>
      <c r="M301" s="8" t="str">
        <f t="array" ref="M301">IF(L301&gt;5,"Perlu Pengendalian",IF(AND(L301&gt;=0,I301&gt;0),"Tidak Perlu Pengendalian","Belum Sensus"))</f>
        <v>Perlu Pengendalian</v>
      </c>
    </row>
    <row r="302" spans="1:13" outlineLevel="1" x14ac:dyDescent="0.15">
      <c r="A302" s="8" t="s">
        <v>1739</v>
      </c>
      <c r="B302" s="8" t="s">
        <v>14</v>
      </c>
      <c r="C302" s="8" t="s">
        <v>323</v>
      </c>
      <c r="D302" s="8" t="s">
        <v>1166</v>
      </c>
      <c r="E302" s="9">
        <v>33.07</v>
      </c>
      <c r="F302" s="8" t="s">
        <v>1740</v>
      </c>
      <c r="G302" s="10">
        <v>4462</v>
      </c>
      <c r="H302" s="132">
        <f t="array" ref="H302">IFERROR(INDEX('[25]TK KHUSUS'!$F$9:$F$187,MATCH(1,('[25]TK KHUSUS'!$E$9:$E$187=$D302)*('[25]TK KHUSUS'!$E$9:$E$187=$D302),0)),0)</f>
        <v>46149</v>
      </c>
      <c r="I302" s="8">
        <f t="array" ref="I302">IFERROR(INDEX('[25]TK KHUSUS'!$H$9:$H$187,MATCH(1,('[25]TK KHUSUS'!$E$9:$E$187=$D302)*('[25]TK KHUSUS'!$E$9:$E$187=$D302),0)),0)</f>
        <v>361</v>
      </c>
      <c r="J302" s="9">
        <f t="array" ref="J302">IFERROR(I302/G302*100,0)</f>
        <v>8.090542357687136</v>
      </c>
      <c r="K302" s="8">
        <f t="array" ref="K302">INDEX([26]KOMPARASI!$J$20:$J$199,MATCH(1,([26]KOMPARASI!$C$20:$C$199=$D302)*([26]KOMPARASI!$C$20:$C$199=$D302),0))</f>
        <v>76</v>
      </c>
      <c r="L302" s="9">
        <f t="shared" si="5"/>
        <v>21.052631578947366</v>
      </c>
      <c r="M302" s="8" t="str">
        <f t="array" ref="M302">IF(L302&gt;5,"Perlu Pengendalian",IF(AND(L302&gt;=0,I302&gt;0),"Tidak Perlu Pengendalian","Belum Sensus"))</f>
        <v>Perlu Pengendalian</v>
      </c>
    </row>
    <row r="303" spans="1:13" x14ac:dyDescent="0.15">
      <c r="A303" s="8" t="s">
        <v>1739</v>
      </c>
      <c r="B303" s="8" t="s">
        <v>14</v>
      </c>
      <c r="C303" s="8" t="s">
        <v>323</v>
      </c>
      <c r="D303" s="8" t="s">
        <v>1167</v>
      </c>
      <c r="E303" s="9">
        <v>39.130000000000003</v>
      </c>
      <c r="F303" s="8" t="s">
        <v>1740</v>
      </c>
      <c r="G303" s="10">
        <v>5492</v>
      </c>
      <c r="H303" s="132">
        <f t="array" ref="H303">IFERROR(INDEX('[25]TK KHUSUS'!$F$9:$F$187,MATCH(1,('[25]TK KHUSUS'!$E$9:$E$187=$D303)*('[25]TK KHUSUS'!$E$9:$E$187=$D303),0)),0)</f>
        <v>46149</v>
      </c>
      <c r="I303" s="8">
        <f t="array" ref="I303">IFERROR(INDEX('[25]TK KHUSUS'!$H$9:$H$187,MATCH(1,('[25]TK KHUSUS'!$E$9:$E$187=$D303)*('[25]TK KHUSUS'!$E$9:$E$187=$D303),0)),0)</f>
        <v>479</v>
      </c>
      <c r="J303" s="9">
        <f t="array" ref="J303">IFERROR(I303/G303*100,0)</f>
        <v>8.72177713037145</v>
      </c>
      <c r="K303" s="8">
        <f t="array" ref="K303">INDEX([26]KOMPARASI!$J$20:$J$199,MATCH(1,([26]KOMPARASI!$C$20:$C$199=$D303)*([26]KOMPARASI!$C$20:$C$199=$D303),0))</f>
        <v>138</v>
      </c>
      <c r="L303" s="9">
        <f t="shared" si="5"/>
        <v>28.810020876826719</v>
      </c>
      <c r="M303" s="8" t="str">
        <f t="array" ref="M303">IF(L303&gt;5,"Perlu Pengendalian",IF(AND(L303&gt;=0,I303&gt;0),"Tidak Perlu Pengendalian","Belum Sensus"))</f>
        <v>Perlu Pengendalian</v>
      </c>
    </row>
    <row r="304" spans="1:13" x14ac:dyDescent="0.15">
      <c r="A304" s="8" t="s">
        <v>1739</v>
      </c>
      <c r="B304" s="8" t="s">
        <v>14</v>
      </c>
      <c r="C304" s="8" t="s">
        <v>323</v>
      </c>
      <c r="D304" s="8" t="s">
        <v>1168</v>
      </c>
      <c r="E304" s="9">
        <v>26.83</v>
      </c>
      <c r="F304" s="8" t="s">
        <v>1740</v>
      </c>
      <c r="G304" s="10">
        <v>3195</v>
      </c>
      <c r="H304" s="132">
        <f t="array" ref="H304">IFERROR(INDEX('[25]TK KHUSUS'!$F$9:$F$187,MATCH(1,('[25]TK KHUSUS'!$E$9:$E$187=$D304)*('[25]TK KHUSUS'!$E$9:$E$187=$D304),0)),0)</f>
        <v>46148</v>
      </c>
      <c r="I304" s="8">
        <f t="array" ref="I304">IFERROR(INDEX('[25]TK KHUSUS'!$H$9:$H$187,MATCH(1,('[25]TK KHUSUS'!$E$9:$E$187=$D304)*('[25]TK KHUSUS'!$E$9:$E$187=$D304),0)),0)</f>
        <v>319</v>
      </c>
      <c r="J304" s="9">
        <f t="array" ref="J304">IFERROR(I304/G304*100,0)</f>
        <v>9.9843505477308288</v>
      </c>
      <c r="K304" s="8">
        <f t="array" ref="K304">INDEX([26]KOMPARASI!$J$20:$J$199,MATCH(1,([26]KOMPARASI!$C$20:$C$199=$D304)*([26]KOMPARASI!$C$20:$C$199=$D304),0))</f>
        <v>73</v>
      </c>
      <c r="L304" s="9">
        <f t="shared" si="5"/>
        <v>22.884012539184955</v>
      </c>
      <c r="M304" s="8" t="str">
        <f t="array" ref="M304">IF(L304&gt;5,"Perlu Pengendalian",IF(AND(L304&gt;=0,I304&gt;0),"Tidak Perlu Pengendalian","Belum Sensus"))</f>
        <v>Perlu Pengendalian</v>
      </c>
    </row>
    <row r="305" spans="1:13" x14ac:dyDescent="0.15">
      <c r="A305" s="8" t="s">
        <v>1739</v>
      </c>
      <c r="B305" s="8" t="s">
        <v>14</v>
      </c>
      <c r="C305" s="8" t="s">
        <v>323</v>
      </c>
      <c r="D305" s="8" t="s">
        <v>1169</v>
      </c>
      <c r="E305" s="9">
        <v>25.2</v>
      </c>
      <c r="F305" s="8" t="s">
        <v>1740</v>
      </c>
      <c r="G305" s="10">
        <v>3489</v>
      </c>
      <c r="H305" s="132">
        <f t="array" ref="H305">IFERROR(INDEX('[25]TK KHUSUS'!$F$9:$F$187,MATCH(1,('[25]TK KHUSUS'!$E$9:$E$187=$D305)*('[25]TK KHUSUS'!$E$9:$E$187=$D305),0)),0)</f>
        <v>46158</v>
      </c>
      <c r="I305" s="8">
        <f t="array" ref="I305">IFERROR(INDEX('[25]TK KHUSUS'!$H$9:$H$187,MATCH(1,('[25]TK KHUSUS'!$E$9:$E$187=$D305)*('[25]TK KHUSUS'!$E$9:$E$187=$D305),0)),0)</f>
        <v>331</v>
      </c>
      <c r="J305" s="9">
        <f t="array" ref="J305">IFERROR(I305/G305*100,0)</f>
        <v>9.4869590140441389</v>
      </c>
      <c r="K305" s="8">
        <f t="array" ref="K305">INDEX([26]KOMPARASI!$J$20:$J$199,MATCH(1,([26]KOMPARASI!$C$20:$C$199=$D305)*([26]KOMPARASI!$C$20:$C$199=$D305),0))</f>
        <v>69</v>
      </c>
      <c r="L305" s="9">
        <f t="shared" si="5"/>
        <v>20.84592145015106</v>
      </c>
      <c r="M305" s="8" t="str">
        <f t="array" ref="M305">IF(L305&gt;5,"Perlu Pengendalian",IF(AND(L305&gt;=0,I305&gt;0),"Tidak Perlu Pengendalian","Belum Sensus"))</f>
        <v>Perlu Pengendalian</v>
      </c>
    </row>
    <row r="306" spans="1:13" x14ac:dyDescent="0.15">
      <c r="A306" s="8" t="s">
        <v>1739</v>
      </c>
      <c r="B306" s="8" t="s">
        <v>14</v>
      </c>
      <c r="C306" s="8" t="s">
        <v>345</v>
      </c>
      <c r="D306" s="8" t="s">
        <v>1170</v>
      </c>
      <c r="E306" s="9">
        <v>34.99</v>
      </c>
      <c r="F306" s="8" t="s">
        <v>1740</v>
      </c>
      <c r="G306" s="10">
        <v>4929</v>
      </c>
      <c r="H306" s="132">
        <f t="array" ref="H306">IFERROR(INDEX('[25]TK KHUSUS'!$F$9:$F$187,MATCH(1,('[25]TK KHUSUS'!$E$9:$E$187=$D306)*('[25]TK KHUSUS'!$E$9:$E$187=$D306),0)),0)</f>
        <v>46158</v>
      </c>
      <c r="I306" s="8">
        <f t="array" ref="I306">IFERROR(INDEX('[25]TK KHUSUS'!$H$9:$H$187,MATCH(1,('[25]TK KHUSUS'!$E$9:$E$187=$D306)*('[25]TK KHUSUS'!$E$9:$E$187=$D306),0)),0)</f>
        <v>424</v>
      </c>
      <c r="J306" s="9">
        <f t="array" ref="J306">IFERROR(I306/G306*100,0)</f>
        <v>8.6021505376344098</v>
      </c>
      <c r="K306" s="8">
        <f t="array" ref="K306">INDEX([26]KOMPARASI!$J$20:$J$199,MATCH(1,([26]KOMPARASI!$C$20:$C$199=$D306)*([26]KOMPARASI!$C$20:$C$199=$D306),0))</f>
        <v>131</v>
      </c>
      <c r="L306" s="9">
        <f t="shared" si="5"/>
        <v>30.89622641509434</v>
      </c>
      <c r="M306" s="8" t="str">
        <f t="array" ref="M306">IF(L306&gt;5,"Perlu Pengendalian",IF(AND(L306&gt;=0,I306&gt;0),"Tidak Perlu Pengendalian","Belum Sensus"))</f>
        <v>Perlu Pengendalian</v>
      </c>
    </row>
    <row r="307" spans="1:13" x14ac:dyDescent="0.15">
      <c r="A307" s="8" t="s">
        <v>1739</v>
      </c>
      <c r="B307" s="8" t="s">
        <v>14</v>
      </c>
      <c r="C307" s="8" t="s">
        <v>345</v>
      </c>
      <c r="D307" s="8" t="s">
        <v>1171</v>
      </c>
      <c r="E307" s="9">
        <v>29.89</v>
      </c>
      <c r="F307" s="8" t="s">
        <v>1740</v>
      </c>
      <c r="G307" s="10">
        <v>4214</v>
      </c>
      <c r="H307" s="132">
        <f t="array" ref="H307">IFERROR(INDEX('[25]TK KHUSUS'!$F$9:$F$187,MATCH(1,('[25]TK KHUSUS'!$E$9:$E$187=$D307)*('[25]TK KHUSUS'!$E$9:$E$187=$D307),0)),0)</f>
        <v>46158</v>
      </c>
      <c r="I307" s="8">
        <f t="array" ref="I307">IFERROR(INDEX('[25]TK KHUSUS'!$H$9:$H$187,MATCH(1,('[25]TK KHUSUS'!$E$9:$E$187=$D307)*('[25]TK KHUSUS'!$E$9:$E$187=$D307),0)),0)</f>
        <v>408</v>
      </c>
      <c r="J307" s="9">
        <f t="array" ref="J307">IFERROR(I307/G307*100,0)</f>
        <v>9.6820123398196483</v>
      </c>
      <c r="K307" s="8">
        <f t="array" ref="K307">INDEX([26]KOMPARASI!$J$20:$J$199,MATCH(1,([26]KOMPARASI!$C$20:$C$199=$D307)*([26]KOMPARASI!$C$20:$C$199=$D307),0))</f>
        <v>123</v>
      </c>
      <c r="L307" s="9">
        <f t="shared" si="5"/>
        <v>30.147058823529409</v>
      </c>
      <c r="M307" s="8" t="str">
        <f t="array" ref="M307">IF(L307&gt;5,"Perlu Pengendalian",IF(AND(L307&gt;=0,I307&gt;0),"Tidak Perlu Pengendalian","Belum Sensus"))</f>
        <v>Perlu Pengendalian</v>
      </c>
    </row>
    <row r="308" spans="1:13" x14ac:dyDescent="0.15">
      <c r="A308" s="8" t="s">
        <v>1739</v>
      </c>
      <c r="B308" s="8" t="s">
        <v>14</v>
      </c>
      <c r="C308" s="8" t="s">
        <v>345</v>
      </c>
      <c r="D308" s="8" t="s">
        <v>1172</v>
      </c>
      <c r="E308" s="9">
        <v>28.24</v>
      </c>
      <c r="F308" s="8" t="s">
        <v>1740</v>
      </c>
      <c r="G308" s="10">
        <v>3860</v>
      </c>
      <c r="H308" s="132">
        <f t="array" ref="H308">IFERROR(INDEX('[25]TK KHUSUS'!$F$9:$F$187,MATCH(1,('[25]TK KHUSUS'!$E$9:$E$187=$D308)*('[25]TK KHUSUS'!$E$9:$E$187=$D308),0)),0)</f>
        <v>46158</v>
      </c>
      <c r="I308" s="8">
        <f t="array" ref="I308">IFERROR(INDEX('[25]TK KHUSUS'!$H$9:$H$187,MATCH(1,('[25]TK KHUSUS'!$E$9:$E$187=$D308)*('[25]TK KHUSUS'!$E$9:$E$187=$D308),0)),0)</f>
        <v>437</v>
      </c>
      <c r="J308" s="9">
        <f t="array" ref="J308">IFERROR(I308/G308*100,0)</f>
        <v>11.321243523316062</v>
      </c>
      <c r="K308" s="8">
        <f t="array" ref="K308">INDEX([26]KOMPARASI!$J$20:$J$199,MATCH(1,([26]KOMPARASI!$C$20:$C$199=$D308)*([26]KOMPARASI!$C$20:$C$199=$D308),0))</f>
        <v>92</v>
      </c>
      <c r="L308" s="9">
        <f t="shared" si="5"/>
        <v>21.052631578947366</v>
      </c>
      <c r="M308" s="8" t="str">
        <f t="array" ref="M308">IF(L308&gt;5,"Perlu Pengendalian",IF(AND(L308&gt;=0,I308&gt;0),"Tidak Perlu Pengendalian","Belum Sensus"))</f>
        <v>Perlu Pengendalian</v>
      </c>
    </row>
    <row r="309" spans="1:13" x14ac:dyDescent="0.15">
      <c r="A309" s="8" t="s">
        <v>1739</v>
      </c>
      <c r="B309" s="8" t="s">
        <v>14</v>
      </c>
      <c r="C309" s="8" t="s">
        <v>345</v>
      </c>
      <c r="D309" s="8" t="s">
        <v>1173</v>
      </c>
      <c r="E309" s="9">
        <v>24.1</v>
      </c>
      <c r="F309" s="8" t="s">
        <v>1740</v>
      </c>
      <c r="G309" s="10">
        <v>3293</v>
      </c>
      <c r="H309" s="132">
        <f t="array" ref="H309">IFERROR(INDEX('[25]TK KHUSUS'!$F$9:$F$187,MATCH(1,('[25]TK KHUSUS'!$E$9:$E$187=$D309)*('[25]TK KHUSUS'!$E$9:$E$187=$D309),0)),0)</f>
        <v>46160</v>
      </c>
      <c r="I309" s="8">
        <f t="array" ref="I309">IFERROR(INDEX('[25]TK KHUSUS'!$H$9:$H$187,MATCH(1,('[25]TK KHUSUS'!$E$9:$E$187=$D309)*('[25]TK KHUSUS'!$E$9:$E$187=$D309),0)),0)</f>
        <v>282</v>
      </c>
      <c r="J309" s="9">
        <f t="array" ref="J309">IFERROR(I309/G309*100,0)</f>
        <v>8.5636197995748571</v>
      </c>
      <c r="K309" s="8">
        <f t="array" ref="K309">INDEX([26]KOMPARASI!$J$20:$J$199,MATCH(1,([26]KOMPARASI!$C$20:$C$199=$D309)*([26]KOMPARASI!$C$20:$C$199=$D309),0))</f>
        <v>0</v>
      </c>
      <c r="L309" s="9">
        <f t="shared" si="5"/>
        <v>0</v>
      </c>
      <c r="M309" s="8" t="str">
        <f t="array" ref="M309">IF(L309&gt;5,"Perlu Pengendalian",IF(AND(L309&gt;=0,I309&gt;0),"Tidak Perlu Pengendalian","Belum Sensus"))</f>
        <v>Tidak Perlu Pengendalian</v>
      </c>
    </row>
    <row r="310" spans="1:13" x14ac:dyDescent="0.15">
      <c r="A310" s="8" t="s">
        <v>1739</v>
      </c>
      <c r="B310" s="8" t="s">
        <v>14</v>
      </c>
      <c r="C310" s="8" t="s">
        <v>345</v>
      </c>
      <c r="D310" s="8" t="s">
        <v>1174</v>
      </c>
      <c r="E310" s="9">
        <v>31.95</v>
      </c>
      <c r="F310" s="8" t="s">
        <v>1740</v>
      </c>
      <c r="G310" s="10">
        <v>4146</v>
      </c>
      <c r="H310" s="132">
        <f t="array" ref="H310">IFERROR(INDEX('[25]TK KHUSUS'!$F$9:$F$187,MATCH(1,('[25]TK KHUSUS'!$E$9:$E$187=$D310)*('[25]TK KHUSUS'!$E$9:$E$187=$D310),0)),0)</f>
        <v>46160</v>
      </c>
      <c r="I310" s="8">
        <f t="array" ref="I310">IFERROR(INDEX('[25]TK KHUSUS'!$H$9:$H$187,MATCH(1,('[25]TK KHUSUS'!$E$9:$E$187=$D310)*('[25]TK KHUSUS'!$E$9:$E$187=$D310),0)),0)</f>
        <v>323</v>
      </c>
      <c r="J310" s="9">
        <f t="array" ref="J310">IFERROR(I310/G310*100,0)</f>
        <v>7.7906415822479493</v>
      </c>
      <c r="K310" s="8">
        <f t="array" ref="K310">INDEX([26]KOMPARASI!$J$20:$J$199,MATCH(1,([26]KOMPARASI!$C$20:$C$199=$D310)*([26]KOMPARASI!$C$20:$C$199=$D310),0))</f>
        <v>0</v>
      </c>
      <c r="L310" s="9">
        <f t="shared" si="5"/>
        <v>0</v>
      </c>
      <c r="M310" s="8" t="str">
        <f t="array" ref="M310">IF(L310&gt;5,"Perlu Pengendalian",IF(AND(L310&gt;=0,I310&gt;0),"Tidak Perlu Pengendalian","Belum Sensus"))</f>
        <v>Tidak Perlu Pengendalian</v>
      </c>
    </row>
    <row r="311" spans="1:13" x14ac:dyDescent="0.15">
      <c r="A311" s="8" t="s">
        <v>1739</v>
      </c>
      <c r="B311" s="8" t="s">
        <v>14</v>
      </c>
      <c r="C311" s="8" t="s">
        <v>345</v>
      </c>
      <c r="D311" s="8" t="s">
        <v>1175</v>
      </c>
      <c r="E311" s="9">
        <v>31.64</v>
      </c>
      <c r="F311" s="8" t="s">
        <v>1740</v>
      </c>
      <c r="G311" s="10">
        <v>3526</v>
      </c>
      <c r="H311" s="132">
        <f t="array" ref="H311">IFERROR(INDEX('[25]TK KHUSUS'!$F$9:$F$187,MATCH(1,('[25]TK KHUSUS'!$E$9:$E$187=$D311)*('[25]TK KHUSUS'!$E$9:$E$187=$D311),0)),0)</f>
        <v>46160</v>
      </c>
      <c r="I311" s="8">
        <f t="array" ref="I311">IFERROR(INDEX('[25]TK KHUSUS'!$H$9:$H$187,MATCH(1,('[25]TK KHUSUS'!$E$9:$E$187=$D311)*('[25]TK KHUSUS'!$E$9:$E$187=$D311),0)),0)</f>
        <v>366</v>
      </c>
      <c r="J311" s="9">
        <f t="array" ref="J311">IFERROR(I311/G311*100,0)</f>
        <v>10.38003403289847</v>
      </c>
      <c r="K311" s="8">
        <f t="array" ref="K311">INDEX([26]KOMPARASI!$J$20:$J$199,MATCH(1,([26]KOMPARASI!$C$20:$C$199=$D311)*([26]KOMPARASI!$C$20:$C$199=$D311),0))</f>
        <v>0</v>
      </c>
      <c r="L311" s="9">
        <f t="shared" si="5"/>
        <v>0</v>
      </c>
      <c r="M311" s="8" t="str">
        <f t="array" ref="M311">IF(L311&gt;5,"Perlu Pengendalian",IF(AND(L311&gt;=0,I311&gt;0),"Tidak Perlu Pengendalian","Belum Sensus"))</f>
        <v>Tidak Perlu Pengendalian</v>
      </c>
    </row>
    <row r="312" spans="1:13" x14ac:dyDescent="0.15">
      <c r="A312" s="8" t="s">
        <v>1739</v>
      </c>
      <c r="B312" s="8" t="s">
        <v>14</v>
      </c>
      <c r="C312" s="8" t="s">
        <v>345</v>
      </c>
      <c r="D312" s="8" t="s">
        <v>1176</v>
      </c>
      <c r="E312" s="9">
        <v>26.06</v>
      </c>
      <c r="F312" s="8" t="s">
        <v>1740</v>
      </c>
      <c r="G312" s="10">
        <v>2902</v>
      </c>
      <c r="H312" s="132">
        <f t="array" ref="H312">IFERROR(INDEX('[25]TK KHUSUS'!$F$9:$F$187,MATCH(1,('[25]TK KHUSUS'!$E$9:$E$187=$D312)*('[25]TK KHUSUS'!$E$9:$E$187=$D312),0)),0)</f>
        <v>46157</v>
      </c>
      <c r="I312" s="8">
        <f t="array" ref="I312">IFERROR(INDEX('[25]TK KHUSUS'!$H$9:$H$187,MATCH(1,('[25]TK KHUSUS'!$E$9:$E$187=$D312)*('[25]TK KHUSUS'!$E$9:$E$187=$D312),0)),0)</f>
        <v>490</v>
      </c>
      <c r="J312" s="9">
        <f t="array" ref="J312">IFERROR(I312/G312*100,0)</f>
        <v>16.884906960716748</v>
      </c>
      <c r="K312" s="8">
        <f t="array" ref="K312">INDEX([26]KOMPARASI!$J$20:$J$199,MATCH(1,([26]KOMPARASI!$C$20:$C$199=$D312)*([26]KOMPARASI!$C$20:$C$199=$D312),0))</f>
        <v>131</v>
      </c>
      <c r="L312" s="9">
        <f t="shared" si="5"/>
        <v>26.73469387755102</v>
      </c>
      <c r="M312" s="8" t="str">
        <f t="array" ref="M312">IF(L312&gt;5,"Perlu Pengendalian",IF(AND(L312&gt;=0,I312&gt;0),"Tidak Perlu Pengendalian","Belum Sensus"))</f>
        <v>Perlu Pengendalian</v>
      </c>
    </row>
    <row r="313" spans="1:13" x14ac:dyDescent="0.15">
      <c r="A313" s="8" t="s">
        <v>1739</v>
      </c>
      <c r="B313" s="8" t="s">
        <v>14</v>
      </c>
      <c r="C313" s="8" t="s">
        <v>345</v>
      </c>
      <c r="D313" s="8" t="s">
        <v>1177</v>
      </c>
      <c r="E313" s="9">
        <v>39.51</v>
      </c>
      <c r="F313" s="8" t="s">
        <v>1740</v>
      </c>
      <c r="G313" s="10">
        <v>4991</v>
      </c>
      <c r="H313" s="132">
        <f t="array" ref="H313">IFERROR(INDEX('[25]TK KHUSUS'!$F$9:$F$187,MATCH(1,('[25]TK KHUSUS'!$E$9:$E$187=$D313)*('[25]TK KHUSUS'!$E$9:$E$187=$D313),0)),0)</f>
        <v>46155</v>
      </c>
      <c r="I313" s="8">
        <f t="array" ref="I313">IFERROR(INDEX('[25]TK KHUSUS'!$H$9:$H$187,MATCH(1,('[25]TK KHUSUS'!$E$9:$E$187=$D313)*('[25]TK KHUSUS'!$E$9:$E$187=$D313),0)),0)</f>
        <v>434</v>
      </c>
      <c r="J313" s="9">
        <f t="array" ref="J313">IFERROR(I313/G313*100,0)</f>
        <v>8.695652173913043</v>
      </c>
      <c r="K313" s="8">
        <f t="array" ref="K313">INDEX([26]KOMPARASI!$J$20:$J$199,MATCH(1,([26]KOMPARASI!$C$20:$C$199=$D313)*([26]KOMPARASI!$C$20:$C$199=$D313),0))</f>
        <v>99</v>
      </c>
      <c r="L313" s="9">
        <f t="shared" si="5"/>
        <v>22.811059907834103</v>
      </c>
      <c r="M313" s="8" t="str">
        <f t="array" ref="M313">IF(L313&gt;5,"Perlu Pengendalian",IF(AND(L313&gt;=0,I313&gt;0),"Tidak Perlu Pengendalian","Belum Sensus"))</f>
        <v>Perlu Pengendalian</v>
      </c>
    </row>
    <row r="314" spans="1:13" x14ac:dyDescent="0.15">
      <c r="A314" s="8" t="s">
        <v>1739</v>
      </c>
      <c r="B314" s="8" t="s">
        <v>14</v>
      </c>
      <c r="C314" s="8" t="s">
        <v>345</v>
      </c>
      <c r="D314" s="8" t="s">
        <v>1178</v>
      </c>
      <c r="E314" s="9">
        <v>28.73</v>
      </c>
      <c r="F314" s="8" t="s">
        <v>1740</v>
      </c>
      <c r="G314" s="10">
        <v>3888</v>
      </c>
      <c r="H314" s="132">
        <f t="array" ref="H314">IFERROR(INDEX('[25]TK KHUSUS'!$F$9:$F$187,MATCH(1,('[25]TK KHUSUS'!$E$9:$E$187=$D314)*('[25]TK KHUSUS'!$E$9:$E$187=$D314),0)),0)</f>
        <v>46155</v>
      </c>
      <c r="I314" s="8">
        <f t="array" ref="I314">IFERROR(INDEX('[25]TK KHUSUS'!$H$9:$H$187,MATCH(1,('[25]TK KHUSUS'!$E$9:$E$187=$D314)*('[25]TK KHUSUS'!$E$9:$E$187=$D314),0)),0)</f>
        <v>436</v>
      </c>
      <c r="J314" s="9">
        <f t="array" ref="J314">IFERROR(I314/G314*100,0)</f>
        <v>11.213991769547325</v>
      </c>
      <c r="K314" s="8">
        <f t="array" ref="K314">INDEX([26]KOMPARASI!$J$20:$J$199,MATCH(1,([26]KOMPARASI!$C$20:$C$199=$D314)*([26]KOMPARASI!$C$20:$C$199=$D314),0))</f>
        <v>95</v>
      </c>
      <c r="L314" s="9">
        <f t="shared" si="5"/>
        <v>21.788990825688074</v>
      </c>
      <c r="M314" s="8" t="str">
        <f t="array" ref="M314">IF(L314&gt;5,"Perlu Pengendalian",IF(AND(L314&gt;=0,I314&gt;0),"Tidak Perlu Pengendalian","Belum Sensus"))</f>
        <v>Perlu Pengendalian</v>
      </c>
    </row>
    <row r="315" spans="1:13" x14ac:dyDescent="0.15">
      <c r="A315" s="8" t="s">
        <v>1739</v>
      </c>
      <c r="B315" s="8" t="s">
        <v>14</v>
      </c>
      <c r="C315" s="8" t="s">
        <v>345</v>
      </c>
      <c r="D315" s="8" t="s">
        <v>1179</v>
      </c>
      <c r="E315" s="9">
        <v>31.17</v>
      </c>
      <c r="F315" s="8" t="s">
        <v>1740</v>
      </c>
      <c r="G315" s="10">
        <v>3705</v>
      </c>
      <c r="H315" s="132">
        <f t="array" ref="H315">IFERROR(INDEX('[25]TK KHUSUS'!$F$9:$F$187,MATCH(1,('[25]TK KHUSUS'!$E$9:$E$187=$D315)*('[25]TK KHUSUS'!$E$9:$E$187=$D315),0)),0)</f>
        <v>46154</v>
      </c>
      <c r="I315" s="8">
        <f t="array" ref="I315">IFERROR(INDEX('[25]TK KHUSUS'!$H$9:$H$187,MATCH(1,('[25]TK KHUSUS'!$E$9:$E$187=$D315)*('[25]TK KHUSUS'!$E$9:$E$187=$D315),0)),0)</f>
        <v>425</v>
      </c>
      <c r="J315" s="9">
        <f t="array" ref="J315">IFERROR(I315/G315*100,0)</f>
        <v>11.470985155195681</v>
      </c>
      <c r="K315" s="8">
        <f t="array" ref="K315">INDEX([26]KOMPARASI!$J$20:$J$199,MATCH(1,([26]KOMPARASI!$C$20:$C$199=$D315)*([26]KOMPARASI!$C$20:$C$199=$D315),0))</f>
        <v>82</v>
      </c>
      <c r="L315" s="9">
        <f t="shared" si="5"/>
        <v>19.294117647058822</v>
      </c>
      <c r="M315" s="8" t="str">
        <f t="array" ref="M315">IF(L315&gt;5,"Perlu Pengendalian",IF(AND(L315&gt;=0,I315&gt;0),"Tidak Perlu Pengendalian","Belum Sensus"))</f>
        <v>Perlu Pengendalian</v>
      </c>
    </row>
    <row r="316" spans="1:13" x14ac:dyDescent="0.15">
      <c r="A316" s="8" t="s">
        <v>1739</v>
      </c>
      <c r="B316" s="8" t="s">
        <v>14</v>
      </c>
      <c r="C316" s="8" t="s">
        <v>345</v>
      </c>
      <c r="D316" s="8" t="s">
        <v>1180</v>
      </c>
      <c r="E316" s="9">
        <v>26.99</v>
      </c>
      <c r="F316" s="8" t="s">
        <v>1740</v>
      </c>
      <c r="G316" s="10">
        <v>3344</v>
      </c>
      <c r="H316" s="132">
        <f t="array" ref="H316">IFERROR(INDEX('[25]TK KHUSUS'!$F$9:$F$187,MATCH(1,('[25]TK KHUSUS'!$E$9:$E$187=$D316)*('[25]TK KHUSUS'!$E$9:$E$187=$D316),0)),0)</f>
        <v>46154</v>
      </c>
      <c r="I316" s="8">
        <f t="array" ref="I316">IFERROR(INDEX('[25]TK KHUSUS'!$H$9:$H$187,MATCH(1,('[25]TK KHUSUS'!$E$9:$E$187=$D316)*('[25]TK KHUSUS'!$E$9:$E$187=$D316),0)),0)</f>
        <v>383</v>
      </c>
      <c r="J316" s="9">
        <f t="array" ref="J316">IFERROR(I316/G316*100,0)</f>
        <v>11.453349282296649</v>
      </c>
      <c r="K316" s="8">
        <f t="array" ref="K316">INDEX([26]KOMPARASI!$J$20:$J$199,MATCH(1,([26]KOMPARASI!$C$20:$C$199=$D316)*([26]KOMPARASI!$C$20:$C$199=$D316),0))</f>
        <v>75</v>
      </c>
      <c r="L316" s="9">
        <f t="shared" si="5"/>
        <v>19.582245430809401</v>
      </c>
      <c r="M316" s="8" t="str">
        <f t="array" ref="M316">IF(L316&gt;5,"Perlu Pengendalian",IF(AND(L316&gt;=0,I316&gt;0),"Tidak Perlu Pengendalian","Belum Sensus"))</f>
        <v>Perlu Pengendalian</v>
      </c>
    </row>
    <row r="317" spans="1:13" x14ac:dyDescent="0.15">
      <c r="A317" s="8" t="s">
        <v>1739</v>
      </c>
      <c r="B317" s="8" t="s">
        <v>14</v>
      </c>
      <c r="C317" s="8" t="s">
        <v>345</v>
      </c>
      <c r="D317" s="8" t="s">
        <v>1181</v>
      </c>
      <c r="E317" s="9">
        <v>28.54</v>
      </c>
      <c r="F317" s="8" t="s">
        <v>1740</v>
      </c>
      <c r="G317" s="10">
        <v>3356</v>
      </c>
      <c r="H317" s="132">
        <f t="array" ref="H317">IFERROR(INDEX('[25]TK KHUSUS'!$F$9:$F$187,MATCH(1,('[25]TK KHUSUS'!$E$9:$E$187=$D317)*('[25]TK KHUSUS'!$E$9:$E$187=$D317),0)),0)</f>
        <v>46155</v>
      </c>
      <c r="I317" s="8">
        <f t="array" ref="I317">IFERROR(INDEX('[25]TK KHUSUS'!$H$9:$H$187,MATCH(1,('[25]TK KHUSUS'!$E$9:$E$187=$D317)*('[25]TK KHUSUS'!$E$9:$E$187=$D317),0)),0)</f>
        <v>429</v>
      </c>
      <c r="J317" s="9">
        <f t="array" ref="J317">IFERROR(I317/G317*100,0)</f>
        <v>12.783075089392135</v>
      </c>
      <c r="K317" s="8">
        <f t="array" ref="K317">INDEX([26]KOMPARASI!$J$20:$J$199,MATCH(1,([26]KOMPARASI!$C$20:$C$199=$D317)*([26]KOMPARASI!$C$20:$C$199=$D317),0))</f>
        <v>93</v>
      </c>
      <c r="L317" s="9">
        <f t="shared" si="5"/>
        <v>21.678321678321677</v>
      </c>
      <c r="M317" s="8" t="str">
        <f t="array" ref="M317">IF(L317&gt;5,"Perlu Pengendalian",IF(AND(L317&gt;=0,I317&gt;0),"Tidak Perlu Pengendalian","Belum Sensus"))</f>
        <v>Perlu Pengendalian</v>
      </c>
    </row>
    <row r="318" spans="1:13" x14ac:dyDescent="0.15">
      <c r="A318" s="8" t="s">
        <v>1739</v>
      </c>
      <c r="B318" s="8" t="s">
        <v>14</v>
      </c>
      <c r="C318" s="8" t="s">
        <v>345</v>
      </c>
      <c r="D318" s="8" t="s">
        <v>1182</v>
      </c>
      <c r="E318" s="9">
        <v>29.16</v>
      </c>
      <c r="F318" s="8" t="s">
        <v>1740</v>
      </c>
      <c r="G318" s="10">
        <v>4245</v>
      </c>
      <c r="H318" s="132">
        <f t="array" ref="H318">IFERROR(INDEX('[25]TK KHUSUS'!$F$9:$F$187,MATCH(1,('[25]TK KHUSUS'!$E$9:$E$187=$D318)*('[25]TK KHUSUS'!$E$9:$E$187=$D318),0)),0)</f>
        <v>46157</v>
      </c>
      <c r="I318" s="8">
        <f t="array" ref="I318">IFERROR(INDEX('[25]TK KHUSUS'!$H$9:$H$187,MATCH(1,('[25]TK KHUSUS'!$E$9:$E$187=$D318)*('[25]TK KHUSUS'!$E$9:$E$187=$D318),0)),0)</f>
        <v>511</v>
      </c>
      <c r="J318" s="9">
        <f t="array" ref="J318">IFERROR(I318/G318*100,0)</f>
        <v>12.037691401648999</v>
      </c>
      <c r="K318" s="8">
        <f t="array" ref="K318">INDEX([26]KOMPARASI!$J$20:$J$199,MATCH(1,([26]KOMPARASI!$C$20:$C$199=$D318)*([26]KOMPARASI!$C$20:$C$199=$D318),0))</f>
        <v>139</v>
      </c>
      <c r="L318" s="9">
        <f t="shared" si="5"/>
        <v>27.201565557729939</v>
      </c>
      <c r="M318" s="8" t="str">
        <f t="array" ref="M318">IF(L318&gt;5,"Perlu Pengendalian",IF(AND(L318&gt;=0,I318&gt;0),"Tidak Perlu Pengendalian","Belum Sensus"))</f>
        <v>Perlu Pengendalian</v>
      </c>
    </row>
    <row r="319" spans="1:13" x14ac:dyDescent="0.15">
      <c r="A319" s="8" t="s">
        <v>1739</v>
      </c>
      <c r="B319" s="8" t="s">
        <v>14</v>
      </c>
      <c r="C319" s="8" t="s">
        <v>345</v>
      </c>
      <c r="D319" s="8" t="s">
        <v>1183</v>
      </c>
      <c r="E319" s="9">
        <v>42.33</v>
      </c>
      <c r="F319" s="8" t="s">
        <v>1740</v>
      </c>
      <c r="G319" s="10">
        <v>5601</v>
      </c>
      <c r="H319" s="132">
        <f t="array" ref="H319">IFERROR(INDEX('[25]TK KHUSUS'!$F$9:$F$187,MATCH(1,('[25]TK KHUSUS'!$E$9:$E$187=$D319)*('[25]TK KHUSUS'!$E$9:$E$187=$D319),0)),0)</f>
        <v>46157</v>
      </c>
      <c r="I319" s="8">
        <f t="array" ref="I319">IFERROR(INDEX('[25]TK KHUSUS'!$H$9:$H$187,MATCH(1,('[25]TK KHUSUS'!$E$9:$E$187=$D319)*('[25]TK KHUSUS'!$E$9:$E$187=$D319),0)),0)</f>
        <v>432</v>
      </c>
      <c r="J319" s="9">
        <f t="array" ref="J319">IFERROR(I319/G319*100,0)</f>
        <v>7.7129084092126403</v>
      </c>
      <c r="K319" s="8">
        <f t="array" ref="K319">INDEX([26]KOMPARASI!$J$20:$J$199,MATCH(1,([26]KOMPARASI!$C$20:$C$199=$D319)*([26]KOMPARASI!$C$20:$C$199=$D319),0))</f>
        <v>117</v>
      </c>
      <c r="L319" s="9">
        <f t="shared" si="5"/>
        <v>27.083333333333332</v>
      </c>
      <c r="M319" s="8" t="str">
        <f t="array" ref="M319">IF(L319&gt;5,"Perlu Pengendalian",IF(AND(L319&gt;=0,I319&gt;0),"Tidak Perlu Pengendalian","Belum Sensus"))</f>
        <v>Perlu Pengendalian</v>
      </c>
    </row>
    <row r="320" spans="1:13" x14ac:dyDescent="0.15">
      <c r="A320" s="8" t="s">
        <v>1739</v>
      </c>
      <c r="B320" s="8" t="s">
        <v>14</v>
      </c>
      <c r="C320" s="8" t="s">
        <v>345</v>
      </c>
      <c r="D320" s="8" t="s">
        <v>1184</v>
      </c>
      <c r="E320" s="9">
        <v>26</v>
      </c>
      <c r="F320" s="8" t="s">
        <v>1740</v>
      </c>
      <c r="G320" s="10">
        <v>3701</v>
      </c>
      <c r="H320" s="132">
        <f t="array" ref="H320">IFERROR(INDEX('[25]TK KHUSUS'!$F$9:$F$187,MATCH(1,('[25]TK KHUSUS'!$E$9:$E$187=$D320)*('[25]TK KHUSUS'!$E$9:$E$187=$D320),0)),0)</f>
        <v>46150</v>
      </c>
      <c r="I320" s="8">
        <f t="array" ref="I320">IFERROR(INDEX('[25]TK KHUSUS'!$H$9:$H$187,MATCH(1,('[25]TK KHUSUS'!$E$9:$E$187=$D320)*('[25]TK KHUSUS'!$E$9:$E$187=$D320),0)),0)</f>
        <v>204</v>
      </c>
      <c r="J320" s="9">
        <f t="array" ref="J320">IFERROR(I320/G320*100,0)</f>
        <v>5.512023777357471</v>
      </c>
      <c r="K320" s="8">
        <f t="array" ref="K320">INDEX([26]KOMPARASI!$J$20:$J$199,MATCH(1,([26]KOMPARASI!$C$20:$C$199=$D320)*([26]KOMPARASI!$C$20:$C$199=$D320),0))</f>
        <v>58</v>
      </c>
      <c r="L320" s="9">
        <f t="shared" si="5"/>
        <v>28.431372549019606</v>
      </c>
      <c r="M320" s="8" t="str">
        <f t="array" ref="M320">IF(L320&gt;5,"Perlu Pengendalian",IF(AND(L320&gt;=0,I320&gt;0),"Tidak Perlu Pengendalian","Belum Sensus"))</f>
        <v>Perlu Pengendalian</v>
      </c>
    </row>
    <row r="321" spans="1:13" x14ac:dyDescent="0.15">
      <c r="A321" s="8" t="s">
        <v>1739</v>
      </c>
      <c r="B321" s="8" t="s">
        <v>14</v>
      </c>
      <c r="C321" s="8" t="s">
        <v>345</v>
      </c>
      <c r="D321" s="8" t="s">
        <v>1185</v>
      </c>
      <c r="E321" s="9">
        <v>16.28</v>
      </c>
      <c r="F321" s="8" t="s">
        <v>1740</v>
      </c>
      <c r="G321" s="10">
        <v>2079</v>
      </c>
      <c r="H321" s="132">
        <f t="array" ref="H321">IFERROR(INDEX('[25]TK KHUSUS'!$F$9:$F$187,MATCH(1,('[25]TK KHUSUS'!$E$9:$E$187=$D321)*('[25]TK KHUSUS'!$E$9:$E$187=$D321),0)),0)</f>
        <v>46153</v>
      </c>
      <c r="I321" s="8">
        <f t="array" ref="I321">IFERROR(INDEX('[25]TK KHUSUS'!$H$9:$H$187,MATCH(1,('[25]TK KHUSUS'!$E$9:$E$187=$D321)*('[25]TK KHUSUS'!$E$9:$E$187=$D321),0)),0)</f>
        <v>204</v>
      </c>
      <c r="J321" s="9">
        <f t="array" ref="J321">IFERROR(I321/G321*100,0)</f>
        <v>9.8124098124098129</v>
      </c>
      <c r="K321" s="8">
        <f t="array" ref="K321">INDEX([26]KOMPARASI!$J$20:$J$199,MATCH(1,([26]KOMPARASI!$C$20:$C$199=$D321)*([26]KOMPARASI!$C$20:$C$199=$D321),0))</f>
        <v>58</v>
      </c>
      <c r="L321" s="9">
        <f t="shared" si="5"/>
        <v>28.431372549019606</v>
      </c>
      <c r="M321" s="8" t="str">
        <f t="array" ref="M321">IF(L321&gt;5,"Perlu Pengendalian",IF(AND(L321&gt;=0,I321&gt;0),"Tidak Perlu Pengendalian","Belum Sensus"))</f>
        <v>Perlu Pengendalian</v>
      </c>
    </row>
    <row r="322" spans="1:13" x14ac:dyDescent="0.15">
      <c r="A322" s="8" t="s">
        <v>1739</v>
      </c>
      <c r="B322" s="8" t="s">
        <v>14</v>
      </c>
      <c r="C322" s="8" t="s">
        <v>345</v>
      </c>
      <c r="D322" s="8" t="s">
        <v>1186</v>
      </c>
      <c r="E322" s="9">
        <v>36.5</v>
      </c>
      <c r="F322" s="8" t="s">
        <v>1740</v>
      </c>
      <c r="G322" s="10">
        <v>4664</v>
      </c>
      <c r="H322" s="132">
        <f t="array" ref="H322">IFERROR(INDEX('[25]TK KHUSUS'!$F$9:$F$187,MATCH(1,('[25]TK KHUSUS'!$E$9:$E$187=$D322)*('[25]TK KHUSUS'!$E$9:$E$187=$D322),0)),0)</f>
        <v>46153</v>
      </c>
      <c r="I322" s="8">
        <f t="array" ref="I322">IFERROR(INDEX('[25]TK KHUSUS'!$H$9:$H$187,MATCH(1,('[25]TK KHUSUS'!$E$9:$E$187=$D322)*('[25]TK KHUSUS'!$E$9:$E$187=$D322),0)),0)</f>
        <v>362</v>
      </c>
      <c r="J322" s="9">
        <f t="array" ref="J322">IFERROR(I322/G322*100,0)</f>
        <v>7.7615780445969129</v>
      </c>
      <c r="K322" s="8">
        <f t="array" ref="K322">INDEX([26]KOMPARASI!$J$20:$J$199,MATCH(1,([26]KOMPARASI!$C$20:$C$199=$D322)*([26]KOMPARASI!$C$20:$C$199=$D322),0))</f>
        <v>24</v>
      </c>
      <c r="L322" s="9">
        <f t="shared" si="5"/>
        <v>6.6298342541436464</v>
      </c>
      <c r="M322" s="8" t="str">
        <f t="array" ref="M322">IF(L322&gt;5,"Perlu Pengendalian",IF(AND(L322&gt;=0,I322&gt;0),"Tidak Perlu Pengendalian","Belum Sensus"))</f>
        <v>Perlu Pengendalian</v>
      </c>
    </row>
    <row r="323" spans="1:13" x14ac:dyDescent="0.15">
      <c r="A323" s="8" t="s">
        <v>1739</v>
      </c>
      <c r="B323" s="8" t="s">
        <v>14</v>
      </c>
      <c r="C323" s="8" t="s">
        <v>345</v>
      </c>
      <c r="D323" s="8" t="s">
        <v>1187</v>
      </c>
      <c r="E323" s="9">
        <v>30.62</v>
      </c>
      <c r="F323" s="8" t="s">
        <v>1740</v>
      </c>
      <c r="G323" s="10">
        <v>3969</v>
      </c>
      <c r="H323" s="132">
        <f t="array" ref="H323">IFERROR(INDEX('[25]TK KHUSUS'!$F$9:$F$187,MATCH(1,('[25]TK KHUSUS'!$E$9:$E$187=$D323)*('[25]TK KHUSUS'!$E$9:$E$187=$D323),0)),0)</f>
        <v>46154</v>
      </c>
      <c r="I323" s="8">
        <f t="array" ref="I323">IFERROR(INDEX('[25]TK KHUSUS'!$H$9:$H$187,MATCH(1,('[25]TK KHUSUS'!$E$9:$E$187=$D323)*('[25]TK KHUSUS'!$E$9:$E$187=$D323),0)),0)</f>
        <v>370</v>
      </c>
      <c r="J323" s="9">
        <f t="array" ref="J323">IFERROR(I323/G323*100,0)</f>
        <v>9.3222474174855137</v>
      </c>
      <c r="K323" s="8">
        <f t="array" ref="K323">INDEX([26]KOMPARASI!$J$20:$J$199,MATCH(1,([26]KOMPARASI!$C$20:$C$199=$D323)*([26]KOMPARASI!$C$20:$C$199=$D323),0))</f>
        <v>20</v>
      </c>
      <c r="L323" s="9">
        <f t="shared" si="5"/>
        <v>5.4054054054054053</v>
      </c>
      <c r="M323" s="8" t="str">
        <f t="array" ref="M323">IF(L323&gt;5,"Perlu Pengendalian",IF(AND(L323&gt;=0,I323&gt;0),"Tidak Perlu Pengendalian","Belum Sensus"))</f>
        <v>Perlu Pengendalian</v>
      </c>
    </row>
    <row r="324" spans="1:13" x14ac:dyDescent="0.15">
      <c r="A324" s="8" t="s">
        <v>1739</v>
      </c>
      <c r="B324" s="8" t="s">
        <v>14</v>
      </c>
      <c r="C324" s="8" t="s">
        <v>345</v>
      </c>
      <c r="D324" s="8" t="s">
        <v>1188</v>
      </c>
      <c r="E324" s="9">
        <v>27.45</v>
      </c>
      <c r="F324" s="8" t="s">
        <v>1740</v>
      </c>
      <c r="G324" s="10">
        <v>3572</v>
      </c>
      <c r="H324" s="132">
        <f t="array" ref="H324">IFERROR(INDEX('[25]TK KHUSUS'!$F$9:$F$187,MATCH(1,('[25]TK KHUSUS'!$E$9:$E$187=$D324)*('[25]TK KHUSUS'!$E$9:$E$187=$D324),0)),0)</f>
        <v>46150</v>
      </c>
      <c r="I324" s="8">
        <f t="array" ref="I324">IFERROR(INDEX('[25]TK KHUSUS'!$H$9:$H$187,MATCH(1,('[25]TK KHUSUS'!$E$9:$E$187=$D324)*('[25]TK KHUSUS'!$E$9:$E$187=$D324),0)),0)</f>
        <v>316</v>
      </c>
      <c r="J324" s="9">
        <f t="array" ref="J324">IFERROR(I324/G324*100,0)</f>
        <v>8.846584546472565</v>
      </c>
      <c r="K324" s="8">
        <f t="array" ref="K324">INDEX([26]KOMPARASI!$J$20:$J$199,MATCH(1,([26]KOMPARASI!$C$20:$C$199=$D324)*([26]KOMPARASI!$C$20:$C$199=$D324),0))</f>
        <v>83</v>
      </c>
      <c r="L324" s="9">
        <f t="shared" si="5"/>
        <v>26.265822784810126</v>
      </c>
      <c r="M324" s="8" t="str">
        <f t="array" ref="M324">IF(L324&gt;5,"Perlu Pengendalian",IF(AND(L324&gt;=0,I324&gt;0),"Tidak Perlu Pengendalian","Belum Sensus"))</f>
        <v>Perlu Pengendalian</v>
      </c>
    </row>
    <row r="325" spans="1:13" x14ac:dyDescent="0.15">
      <c r="A325" s="8" t="s">
        <v>1739</v>
      </c>
      <c r="B325" s="8" t="s">
        <v>14</v>
      </c>
      <c r="C325" s="8" t="s">
        <v>345</v>
      </c>
      <c r="D325" s="8" t="s">
        <v>1189</v>
      </c>
      <c r="E325" s="9">
        <v>25.44</v>
      </c>
      <c r="F325" s="8" t="s">
        <v>1740</v>
      </c>
      <c r="G325" s="10">
        <v>3369</v>
      </c>
      <c r="H325" s="132">
        <f t="array" ref="H325">IFERROR(INDEX('[25]TK KHUSUS'!$F$9:$F$187,MATCH(1,('[25]TK KHUSUS'!$E$9:$E$187=$D325)*('[25]TK KHUSUS'!$E$9:$E$187=$D325),0)),0)</f>
        <v>46149</v>
      </c>
      <c r="I325" s="8">
        <f t="array" ref="I325">IFERROR(INDEX('[25]TK KHUSUS'!$H$9:$H$187,MATCH(1,('[25]TK KHUSUS'!$E$9:$E$187=$D325)*('[25]TK KHUSUS'!$E$9:$E$187=$D325),0)),0)</f>
        <v>279</v>
      </c>
      <c r="J325" s="9">
        <f t="array" ref="J325">IFERROR(I325/G325*100,0)</f>
        <v>8.2813891362422076</v>
      </c>
      <c r="K325" s="8">
        <f t="array" ref="K325">INDEX([26]KOMPARASI!$J$20:$J$199,MATCH(1,([26]KOMPARASI!$C$20:$C$199=$D325)*([26]KOMPARASI!$C$20:$C$199=$D325),0))</f>
        <v>126</v>
      </c>
      <c r="L325" s="9">
        <f t="shared" si="5"/>
        <v>45.161290322580641</v>
      </c>
      <c r="M325" s="8" t="str">
        <f t="array" ref="M325">IF(L325&gt;5,"Perlu Pengendalian",IF(AND(L325&gt;=0,I325&gt;0),"Tidak Perlu Pengendalian","Belum Sensus"))</f>
        <v>Perlu Pengendalian</v>
      </c>
    </row>
    <row r="326" spans="1:13" x14ac:dyDescent="0.15">
      <c r="A326" s="8" t="s">
        <v>1739</v>
      </c>
      <c r="B326" s="8" t="s">
        <v>14</v>
      </c>
      <c r="C326" s="8" t="s">
        <v>345</v>
      </c>
      <c r="D326" s="8" t="s">
        <v>1190</v>
      </c>
      <c r="E326" s="9">
        <v>30.41</v>
      </c>
      <c r="F326" s="8" t="s">
        <v>1740</v>
      </c>
      <c r="G326" s="10">
        <v>4249</v>
      </c>
      <c r="H326" s="132">
        <f t="array" ref="H326">IFERROR(INDEX('[25]TK KHUSUS'!$F$9:$F$187,MATCH(1,('[25]TK KHUSUS'!$E$9:$E$187=$D326)*('[25]TK KHUSUS'!$E$9:$E$187=$D326),0)),0)</f>
        <v>46150</v>
      </c>
      <c r="I326" s="8">
        <f t="array" ref="I326">IFERROR(INDEX('[25]TK KHUSUS'!$H$9:$H$187,MATCH(1,('[25]TK KHUSUS'!$E$9:$E$187=$D326)*('[25]TK KHUSUS'!$E$9:$E$187=$D326),0)),0)</f>
        <v>340</v>
      </c>
      <c r="J326" s="9">
        <f t="array" ref="J326">IFERROR(I326/G326*100,0)</f>
        <v>8.0018827959519889</v>
      </c>
      <c r="K326" s="8">
        <f t="array" ref="K326">INDEX([26]KOMPARASI!$J$20:$J$199,MATCH(1,([26]KOMPARASI!$C$20:$C$199=$D326)*([26]KOMPARASI!$C$20:$C$199=$D326),0))</f>
        <v>151</v>
      </c>
      <c r="L326" s="9">
        <f t="shared" si="5"/>
        <v>44.411764705882348</v>
      </c>
      <c r="M326" s="8" t="str">
        <f t="array" ref="M326">IF(L326&gt;5,"Perlu Pengendalian",IF(AND(L326&gt;=0,I326&gt;0),"Tidak Perlu Pengendalian","Belum Sensus"))</f>
        <v>Perlu Pengendalian</v>
      </c>
    </row>
    <row r="327" spans="1:13" x14ac:dyDescent="0.15">
      <c r="A327" s="8" t="s">
        <v>1739</v>
      </c>
      <c r="B327" s="8" t="s">
        <v>14</v>
      </c>
      <c r="C327" s="8" t="s">
        <v>345</v>
      </c>
      <c r="D327" s="8" t="s">
        <v>1191</v>
      </c>
      <c r="E327" s="9">
        <v>28.59</v>
      </c>
      <c r="F327" s="8" t="s">
        <v>1740</v>
      </c>
      <c r="G327" s="10">
        <v>3905</v>
      </c>
      <c r="H327" s="132">
        <f t="array" ref="H327">IFERROR(INDEX('[25]TK KHUSUS'!$F$9:$F$187,MATCH(1,('[25]TK KHUSUS'!$E$9:$E$187=$D327)*('[25]TK KHUSUS'!$E$9:$E$187=$D327),0)),0)</f>
        <v>46151</v>
      </c>
      <c r="I327" s="8">
        <f t="array" ref="I327">IFERROR(INDEX('[25]TK KHUSUS'!$H$9:$H$187,MATCH(1,('[25]TK KHUSUS'!$E$9:$E$187=$D327)*('[25]TK KHUSUS'!$E$9:$E$187=$D327),0)),0)</f>
        <v>350</v>
      </c>
      <c r="J327" s="9">
        <f t="array" ref="J327">IFERROR(I327/G327*100,0)</f>
        <v>8.9628681177976954</v>
      </c>
      <c r="K327" s="8">
        <f t="array" ref="K327">INDEX([26]KOMPARASI!$J$20:$J$199,MATCH(1,([26]KOMPARASI!$C$20:$C$199=$D327)*([26]KOMPARASI!$C$20:$C$199=$D327),0))</f>
        <v>186</v>
      </c>
      <c r="L327" s="9">
        <f t="shared" si="5"/>
        <v>53.142857142857146</v>
      </c>
      <c r="M327" s="8" t="str">
        <f t="array" ref="M327">IF(L327&gt;5,"Perlu Pengendalian",IF(AND(L327&gt;=0,I327&gt;0),"Tidak Perlu Pengendalian","Belum Sensus"))</f>
        <v>Perlu Pengendalian</v>
      </c>
    </row>
    <row r="328" spans="1:13" x14ac:dyDescent="0.15">
      <c r="A328" s="8" t="s">
        <v>1739</v>
      </c>
      <c r="B328" s="8" t="s">
        <v>14</v>
      </c>
      <c r="C328" s="8" t="s">
        <v>345</v>
      </c>
      <c r="D328" s="8" t="s">
        <v>1192</v>
      </c>
      <c r="E328" s="9">
        <v>28.55</v>
      </c>
      <c r="F328" s="8" t="s">
        <v>1740</v>
      </c>
      <c r="G328" s="10">
        <v>3813</v>
      </c>
      <c r="H328" s="132">
        <f t="array" ref="H328">IFERROR(INDEX('[25]TK KHUSUS'!$F$9:$F$187,MATCH(1,('[25]TK KHUSUS'!$E$9:$E$187=$D328)*('[25]TK KHUSUS'!$E$9:$E$187=$D328),0)),0)</f>
        <v>46150</v>
      </c>
      <c r="I328" s="8">
        <f t="array" ref="I328">IFERROR(INDEX('[25]TK KHUSUS'!$H$9:$H$187,MATCH(1,('[25]TK KHUSUS'!$E$9:$E$187=$D328)*('[25]TK KHUSUS'!$E$9:$E$187=$D328),0)),0)</f>
        <v>366</v>
      </c>
      <c r="J328" s="9">
        <f t="array" ref="J328">IFERROR(I328/G328*100,0)</f>
        <v>9.5987411487018104</v>
      </c>
      <c r="K328" s="8">
        <f t="array" ref="K328">INDEX([26]KOMPARASI!$J$20:$J$199,MATCH(1,([26]KOMPARASI!$C$20:$C$199=$D328)*([26]KOMPARASI!$C$20:$C$199=$D328),0))</f>
        <v>29</v>
      </c>
      <c r="L328" s="9">
        <f t="shared" si="5"/>
        <v>7.9234972677595632</v>
      </c>
      <c r="M328" s="8" t="str">
        <f t="array" ref="M328">IF(L328&gt;5,"Perlu Pengendalian",IF(AND(L328&gt;=0,I328&gt;0),"Tidak Perlu Pengendalian","Belum Sensus"))</f>
        <v>Perlu Pengendalian</v>
      </c>
    </row>
    <row r="329" spans="1:13" x14ac:dyDescent="0.15">
      <c r="A329" s="8" t="s">
        <v>1739</v>
      </c>
      <c r="B329" s="8" t="s">
        <v>14</v>
      </c>
      <c r="C329" s="8" t="s">
        <v>345</v>
      </c>
      <c r="D329" s="8" t="s">
        <v>1193</v>
      </c>
      <c r="E329" s="9">
        <v>31.35</v>
      </c>
      <c r="F329" s="8" t="s">
        <v>1740</v>
      </c>
      <c r="G329" s="10">
        <v>4247</v>
      </c>
      <c r="H329" s="132">
        <f t="array" ref="H329">IFERROR(INDEX('[25]TK KHUSUS'!$F$9:$F$187,MATCH(1,('[25]TK KHUSUS'!$E$9:$E$187=$D329)*('[25]TK KHUSUS'!$E$9:$E$187=$D329),0)),0)</f>
        <v>46151</v>
      </c>
      <c r="I329" s="8">
        <f t="array" ref="I329">IFERROR(INDEX('[25]TK KHUSUS'!$H$9:$H$187,MATCH(1,('[25]TK KHUSUS'!$E$9:$E$187=$D329)*('[25]TK KHUSUS'!$E$9:$E$187=$D329),0)),0)</f>
        <v>369</v>
      </c>
      <c r="J329" s="9">
        <f t="array" ref="J329">IFERROR(I329/G329*100,0)</f>
        <v>8.6884859901106672</v>
      </c>
      <c r="K329" s="8">
        <f t="array" ref="K329">INDEX([26]KOMPARASI!$J$20:$J$199,MATCH(1,([26]KOMPARASI!$C$20:$C$199=$D329)*([26]KOMPARASI!$C$20:$C$199=$D329),0))</f>
        <v>23</v>
      </c>
      <c r="L329" s="9">
        <f t="shared" si="5"/>
        <v>6.2330623306233059</v>
      </c>
      <c r="M329" s="8" t="str">
        <f t="array" ref="M329">IF(L329&gt;5,"Perlu Pengendalian",IF(AND(L329&gt;=0,I329&gt;0),"Tidak Perlu Pengendalian","Belum Sensus"))</f>
        <v>Perlu Pengendalian</v>
      </c>
    </row>
    <row r="330" spans="1:13" x14ac:dyDescent="0.15">
      <c r="A330" s="8" t="s">
        <v>1739</v>
      </c>
      <c r="B330" s="8" t="s">
        <v>14</v>
      </c>
      <c r="C330" s="8" t="s">
        <v>345</v>
      </c>
      <c r="D330" s="8" t="s">
        <v>1194</v>
      </c>
      <c r="E330" s="9">
        <v>28.99</v>
      </c>
      <c r="F330" s="8" t="s">
        <v>1740</v>
      </c>
      <c r="G330" s="10">
        <v>4003</v>
      </c>
      <c r="H330" s="132">
        <f t="array" ref="H330">IFERROR(INDEX('[25]TK KHUSUS'!$F$9:$F$187,MATCH(1,('[25]TK KHUSUS'!$E$9:$E$187=$D330)*('[25]TK KHUSUS'!$E$9:$E$187=$D330),0)),0)</f>
        <v>46151</v>
      </c>
      <c r="I330" s="8">
        <f t="array" ref="I330">IFERROR(INDEX('[25]TK KHUSUS'!$H$9:$H$187,MATCH(1,('[25]TK KHUSUS'!$E$9:$E$187=$D330)*('[25]TK KHUSUS'!$E$9:$E$187=$D330),0)),0)</f>
        <v>316</v>
      </c>
      <c r="J330" s="9">
        <f t="array" ref="J330">IFERROR(I330/G330*100,0)</f>
        <v>7.8940794404196852</v>
      </c>
      <c r="K330" s="8">
        <f t="array" ref="K330">INDEX([26]KOMPARASI!$J$20:$J$199,MATCH(1,([26]KOMPARASI!$C$20:$C$199=$D330)*([26]KOMPARASI!$C$20:$C$199=$D330),0))</f>
        <v>40</v>
      </c>
      <c r="L330" s="9">
        <f t="shared" si="5"/>
        <v>12.658227848101266</v>
      </c>
      <c r="M330" s="8" t="str">
        <f t="array" ref="M330">IF(L330&gt;5,"Perlu Pengendalian",IF(AND(L330&gt;=0,I330&gt;0),"Tidak Perlu Pengendalian","Belum Sensus"))</f>
        <v>Perlu Pengendalian</v>
      </c>
    </row>
    <row r="331" spans="1:13" x14ac:dyDescent="0.15">
      <c r="A331" s="8" t="s">
        <v>1739</v>
      </c>
      <c r="B331" s="8" t="s">
        <v>14</v>
      </c>
      <c r="C331" s="8" t="s">
        <v>345</v>
      </c>
      <c r="D331" s="8" t="s">
        <v>1195</v>
      </c>
      <c r="E331" s="9">
        <v>30.02</v>
      </c>
      <c r="F331" s="8" t="s">
        <v>1740</v>
      </c>
      <c r="G331" s="10">
        <v>4099</v>
      </c>
      <c r="H331" s="132">
        <f t="array" ref="H331">IFERROR(INDEX('[25]TK KHUSUS'!$F$9:$F$187,MATCH(1,('[25]TK KHUSUS'!$E$9:$E$187=$D331)*('[25]TK KHUSUS'!$E$9:$E$187=$D331),0)),0)</f>
        <v>46148</v>
      </c>
      <c r="I331" s="8">
        <f t="array" ref="I331">IFERROR(INDEX('[25]TK KHUSUS'!$H$9:$H$187,MATCH(1,('[25]TK KHUSUS'!$E$9:$E$187=$D331)*('[25]TK KHUSUS'!$E$9:$E$187=$D331),0)),0)</f>
        <v>299</v>
      </c>
      <c r="J331" s="9">
        <f t="array" ref="J331">IFERROR(I331/G331*100,0)</f>
        <v>7.2944620639180293</v>
      </c>
      <c r="K331" s="8">
        <f t="array" ref="K331">INDEX([26]KOMPARASI!$J$20:$J$199,MATCH(1,([26]KOMPARASI!$C$20:$C$199=$D331)*([26]KOMPARASI!$C$20:$C$199=$D331),0))</f>
        <v>144</v>
      </c>
      <c r="L331" s="9">
        <f t="shared" si="5"/>
        <v>48.16053511705686</v>
      </c>
      <c r="M331" s="8" t="str">
        <f t="array" ref="M331">IF(L331&gt;5,"Perlu Pengendalian",IF(AND(L331&gt;=0,I331&gt;0),"Tidak Perlu Pengendalian","Belum Sensus"))</f>
        <v>Perlu Pengendalian</v>
      </c>
    </row>
    <row r="332" spans="1:13" x14ac:dyDescent="0.15">
      <c r="A332" s="8" t="s">
        <v>1739</v>
      </c>
      <c r="B332" s="8" t="s">
        <v>14</v>
      </c>
      <c r="C332" s="8" t="s">
        <v>345</v>
      </c>
      <c r="D332" s="8" t="s">
        <v>1196</v>
      </c>
      <c r="E332" s="9">
        <v>30.87</v>
      </c>
      <c r="F332" s="8" t="s">
        <v>1740</v>
      </c>
      <c r="G332" s="10">
        <v>4020</v>
      </c>
      <c r="H332" s="132">
        <f t="array" ref="H332">IFERROR(INDEX('[25]TK KHUSUS'!$F$9:$F$187,MATCH(1,('[25]TK KHUSUS'!$E$9:$E$187=$D332)*('[25]TK KHUSUS'!$E$9:$E$187=$D332),0)),0)</f>
        <v>46149</v>
      </c>
      <c r="I332" s="8">
        <f t="array" ref="I332">IFERROR(INDEX('[25]TK KHUSUS'!$H$9:$H$187,MATCH(1,('[25]TK KHUSUS'!$E$9:$E$187=$D332)*('[25]TK KHUSUS'!$E$9:$E$187=$D332),0)),0)</f>
        <v>387</v>
      </c>
      <c r="J332" s="9">
        <f t="array" ref="J332">IFERROR(I332/G332*100,0)</f>
        <v>9.6268656716417897</v>
      </c>
      <c r="K332" s="8">
        <f t="array" ref="K332">INDEX([26]KOMPARASI!$J$20:$J$199,MATCH(1,([26]KOMPARASI!$C$20:$C$199=$D332)*([26]KOMPARASI!$C$20:$C$199=$D332),0))</f>
        <v>55</v>
      </c>
      <c r="L332" s="9">
        <f t="shared" si="5"/>
        <v>14.211886304909561</v>
      </c>
      <c r="M332" s="8" t="str">
        <f t="array" ref="M332">IF(L332&gt;5,"Perlu Pengendalian",IF(AND(L332&gt;=0,I332&gt;0),"Tidak Perlu Pengendalian","Belum Sensus"))</f>
        <v>Perlu Pengendalian</v>
      </c>
    </row>
    <row r="333" spans="1:13" x14ac:dyDescent="0.15">
      <c r="A333" s="8" t="s">
        <v>1739</v>
      </c>
      <c r="B333" s="8" t="s">
        <v>14</v>
      </c>
      <c r="C333" s="8" t="s">
        <v>345</v>
      </c>
      <c r="D333" s="8" t="s">
        <v>1197</v>
      </c>
      <c r="E333" s="9">
        <v>30.32</v>
      </c>
      <c r="F333" s="8" t="s">
        <v>1740</v>
      </c>
      <c r="G333" s="10">
        <v>4153</v>
      </c>
      <c r="H333" s="132">
        <f t="array" ref="H333">IFERROR(INDEX('[25]TK KHUSUS'!$F$9:$F$187,MATCH(1,('[25]TK KHUSUS'!$E$9:$E$187=$D333)*('[25]TK KHUSUS'!$E$9:$E$187=$D333),0)),0)</f>
        <v>46149</v>
      </c>
      <c r="I333" s="8">
        <f t="array" ref="I333">IFERROR(INDEX('[25]TK KHUSUS'!$H$9:$H$187,MATCH(1,('[25]TK KHUSUS'!$E$9:$E$187=$D333)*('[25]TK KHUSUS'!$E$9:$E$187=$D333),0)),0)</f>
        <v>377</v>
      </c>
      <c r="J333" s="9">
        <f t="array" ref="J333">IFERROR(I333/G333*100,0)</f>
        <v>9.0777751023356608</v>
      </c>
      <c r="K333" s="8">
        <f t="array" ref="K333">INDEX([26]KOMPARASI!$J$20:$J$199,MATCH(1,([26]KOMPARASI!$C$20:$C$199=$D333)*([26]KOMPARASI!$C$20:$C$199=$D333),0))</f>
        <v>22</v>
      </c>
      <c r="L333" s="9">
        <f t="shared" si="5"/>
        <v>5.8355437665782492</v>
      </c>
      <c r="M333" s="8" t="str">
        <f t="array" ref="M333">IF(L333&gt;5,"Perlu Pengendalian",IF(AND(L333&gt;=0,I333&gt;0),"Tidak Perlu Pengendalian","Belum Sensus"))</f>
        <v>Perlu Pengendalian</v>
      </c>
    </row>
    <row r="334" spans="1:13" x14ac:dyDescent="0.15">
      <c r="A334" s="8" t="s">
        <v>1739</v>
      </c>
      <c r="B334" s="8" t="s">
        <v>14</v>
      </c>
      <c r="C334" s="8" t="s">
        <v>345</v>
      </c>
      <c r="D334" s="8" t="s">
        <v>1198</v>
      </c>
      <c r="E334" s="9">
        <v>47.56</v>
      </c>
      <c r="F334" s="8" t="s">
        <v>1740</v>
      </c>
      <c r="G334" s="10">
        <v>4893</v>
      </c>
      <c r="H334" s="132">
        <f t="array" ref="H334">IFERROR(INDEX('[25]TK KHUSUS'!$F$9:$F$187,MATCH(1,('[25]TK KHUSUS'!$E$9:$E$187=$D334)*('[25]TK KHUSUS'!$E$9:$E$187=$D334),0)),0)</f>
        <v>46149</v>
      </c>
      <c r="I334" s="8">
        <f t="array" ref="I334">IFERROR(INDEX('[25]TK KHUSUS'!$H$9:$H$187,MATCH(1,('[25]TK KHUSUS'!$E$9:$E$187=$D334)*('[25]TK KHUSUS'!$E$9:$E$187=$D334),0)),0)</f>
        <v>475</v>
      </c>
      <c r="J334" s="9">
        <f t="array" ref="J334">IFERROR(I334/G334*100,0)</f>
        <v>9.7077457592479064</v>
      </c>
      <c r="K334" s="8">
        <f t="array" ref="K334">INDEX([26]KOMPARASI!$J$20:$J$199,MATCH(1,([26]KOMPARASI!$C$20:$C$199=$D334)*([26]KOMPARASI!$C$20:$C$199=$D334),0))</f>
        <v>95</v>
      </c>
      <c r="L334" s="9">
        <f t="shared" si="5"/>
        <v>20</v>
      </c>
      <c r="M334" s="8" t="str">
        <f t="array" ref="M334">IF(L334&gt;5,"Perlu Pengendalian",IF(AND(L334&gt;=0,I334&gt;0),"Tidak Perlu Pengendalian","Belum Sensus"))</f>
        <v>Perlu Pengendalian</v>
      </c>
    </row>
    <row r="335" spans="1:13" x14ac:dyDescent="0.15">
      <c r="A335" s="8" t="s">
        <v>1739</v>
      </c>
      <c r="B335" s="8" t="s">
        <v>14</v>
      </c>
      <c r="C335" s="8" t="s">
        <v>380</v>
      </c>
      <c r="D335" s="8" t="s">
        <v>1199</v>
      </c>
      <c r="E335" s="9">
        <v>12.96</v>
      </c>
      <c r="F335" s="8" t="s">
        <v>1740</v>
      </c>
      <c r="G335" s="10">
        <v>1786</v>
      </c>
      <c r="H335" s="132">
        <f t="array" ref="H335">IFERROR(INDEX('[25]TK KHUSUS'!$F$9:$F$187,MATCH(1,('[25]TK KHUSUS'!$E$9:$E$187=$D335)*('[25]TK KHUSUS'!$E$9:$E$187=$D335),0)),0)</f>
        <v>46158</v>
      </c>
      <c r="I335" s="8">
        <f t="array" ref="I335">IFERROR(INDEX('[25]TK KHUSUS'!$H$9:$H$187,MATCH(1,('[25]TK KHUSUS'!$E$9:$E$187=$D335)*('[25]TK KHUSUS'!$E$9:$E$187=$D335),0)),0)</f>
        <v>248</v>
      </c>
      <c r="J335" s="9">
        <f t="array" ref="J335">IFERROR(I335/G335*100,0)</f>
        <v>13.885778275475925</v>
      </c>
      <c r="K335" s="8">
        <f t="array" ref="K335">INDEX([26]KOMPARASI!$J$20:$J$199,MATCH(1,([26]KOMPARASI!$C$20:$C$199=$D335)*([26]KOMPARASI!$C$20:$C$199=$D335),0))</f>
        <v>67</v>
      </c>
      <c r="L335" s="9">
        <f t="shared" si="5"/>
        <v>27.016129032258064</v>
      </c>
      <c r="M335" s="8" t="str">
        <f t="array" ref="M335">IF(L335&gt;5,"Perlu Pengendalian",IF(AND(L335&gt;=0,I335&gt;0),"Tidak Perlu Pengendalian","Belum Sensus"))</f>
        <v>Perlu Pengendalian</v>
      </c>
    </row>
    <row r="336" spans="1:13" x14ac:dyDescent="0.15">
      <c r="A336" s="8" t="s">
        <v>1739</v>
      </c>
      <c r="B336" s="8" t="s">
        <v>14</v>
      </c>
      <c r="C336" s="8" t="s">
        <v>380</v>
      </c>
      <c r="D336" s="8" t="s">
        <v>1200</v>
      </c>
      <c r="E336" s="9">
        <v>34.1</v>
      </c>
      <c r="F336" s="8" t="s">
        <v>1740</v>
      </c>
      <c r="G336" s="10">
        <v>4609</v>
      </c>
      <c r="H336" s="132">
        <f t="array" ref="H336">IFERROR(INDEX('[25]TK KHUSUS'!$F$9:$F$187,MATCH(1,('[25]TK KHUSUS'!$E$9:$E$187=$D336)*('[25]TK KHUSUS'!$E$9:$E$187=$D336),0)),0)</f>
        <v>46158</v>
      </c>
      <c r="I336" s="8">
        <f t="array" ref="I336">IFERROR(INDEX('[25]TK KHUSUS'!$H$9:$H$187,MATCH(1,('[25]TK KHUSUS'!$E$9:$E$187=$D336)*('[25]TK KHUSUS'!$E$9:$E$187=$D336),0)),0)</f>
        <v>352</v>
      </c>
      <c r="J336" s="9">
        <f t="array" ref="J336">IFERROR(I336/G336*100,0)</f>
        <v>7.6372315035799527</v>
      </c>
      <c r="K336" s="8">
        <f t="array" ref="K336">INDEX([26]KOMPARASI!$J$20:$J$199,MATCH(1,([26]KOMPARASI!$C$20:$C$199=$D336)*([26]KOMPARASI!$C$20:$C$199=$D336),0))</f>
        <v>85</v>
      </c>
      <c r="L336" s="9">
        <f t="shared" si="5"/>
        <v>24.147727272727273</v>
      </c>
      <c r="M336" s="8" t="str">
        <f t="array" ref="M336">IF(L336&gt;5,"Perlu Pengendalian",IF(AND(L336&gt;=0,I336&gt;0),"Tidak Perlu Pengendalian","Belum Sensus"))</f>
        <v>Perlu Pengendalian</v>
      </c>
    </row>
    <row r="337" spans="1:13" x14ac:dyDescent="0.15">
      <c r="A337" s="8" t="s">
        <v>1739</v>
      </c>
      <c r="B337" s="8" t="s">
        <v>14</v>
      </c>
      <c r="C337" s="8" t="s">
        <v>380</v>
      </c>
      <c r="D337" s="8" t="s">
        <v>1201</v>
      </c>
      <c r="E337" s="9">
        <v>23.07</v>
      </c>
      <c r="F337" s="8" t="s">
        <v>1740</v>
      </c>
      <c r="G337" s="10">
        <v>3106</v>
      </c>
      <c r="H337" s="132">
        <f t="array" ref="H337">IFERROR(INDEX('[25]TK KHUSUS'!$F$9:$F$187,MATCH(1,('[25]TK KHUSUS'!$E$9:$E$187=$D337)*('[25]TK KHUSUS'!$E$9:$E$187=$D337),0)),0)</f>
        <v>46158</v>
      </c>
      <c r="I337" s="8">
        <f t="array" ref="I337">IFERROR(INDEX('[25]TK KHUSUS'!$H$9:$H$187,MATCH(1,('[25]TK KHUSUS'!$E$9:$E$187=$D337)*('[25]TK KHUSUS'!$E$9:$E$187=$D337),0)),0)</f>
        <v>311</v>
      </c>
      <c r="J337" s="9">
        <f t="array" ref="J337">IFERROR(I337/G337*100,0)</f>
        <v>10.012878300064392</v>
      </c>
      <c r="K337" s="8">
        <f t="array" ref="K337">INDEX([26]KOMPARASI!$J$20:$J$199,MATCH(1,([26]KOMPARASI!$C$20:$C$199=$D337)*([26]KOMPARASI!$C$20:$C$199=$D337),0))</f>
        <v>69</v>
      </c>
      <c r="L337" s="9">
        <f t="shared" si="5"/>
        <v>22.186495176848876</v>
      </c>
      <c r="M337" s="8" t="str">
        <f t="array" ref="M337">IF(L337&gt;5,"Perlu Pengendalian",IF(AND(L337&gt;=0,I337&gt;0),"Tidak Perlu Pengendalian","Belum Sensus"))</f>
        <v>Perlu Pengendalian</v>
      </c>
    </row>
    <row r="338" spans="1:13" x14ac:dyDescent="0.15">
      <c r="A338" s="8" t="s">
        <v>1739</v>
      </c>
      <c r="B338" s="8" t="s">
        <v>14</v>
      </c>
      <c r="C338" s="8" t="s">
        <v>380</v>
      </c>
      <c r="D338" s="8" t="s">
        <v>1202</v>
      </c>
      <c r="E338" s="9">
        <v>31.18</v>
      </c>
      <c r="F338" s="8" t="s">
        <v>1740</v>
      </c>
      <c r="G338" s="10">
        <v>4105</v>
      </c>
      <c r="H338" s="132">
        <f t="array" ref="H338">IFERROR(INDEX('[25]TK KHUSUS'!$F$9:$F$187,MATCH(1,('[25]TK KHUSUS'!$E$9:$E$187=$D338)*('[25]TK KHUSUS'!$E$9:$E$187=$D338),0)),0)</f>
        <v>46157</v>
      </c>
      <c r="I338" s="8">
        <f t="array" ref="I338">IFERROR(INDEX('[25]TK KHUSUS'!$H$9:$H$187,MATCH(1,('[25]TK KHUSUS'!$E$9:$E$187=$D338)*('[25]TK KHUSUS'!$E$9:$E$187=$D338),0)),0)</f>
        <v>355</v>
      </c>
      <c r="J338" s="9">
        <f t="array" ref="J338">IFERROR(I338/G338*100,0)</f>
        <v>8.6479902557856274</v>
      </c>
      <c r="K338" s="8">
        <f t="array" ref="K338">INDEX([26]KOMPARASI!$J$20:$J$199,MATCH(1,([26]KOMPARASI!$C$20:$C$199=$D338)*([26]KOMPARASI!$C$20:$C$199=$D338),0))</f>
        <v>118</v>
      </c>
      <c r="L338" s="9">
        <f t="shared" si="5"/>
        <v>33.239436619718312</v>
      </c>
      <c r="M338" s="8" t="str">
        <f t="array" ref="M338">IF(L338&gt;5,"Perlu Pengendalian",IF(AND(L338&gt;=0,I338&gt;0),"Tidak Perlu Pengendalian","Belum Sensus"))</f>
        <v>Perlu Pengendalian</v>
      </c>
    </row>
    <row r="339" spans="1:13" x14ac:dyDescent="0.15">
      <c r="A339" s="8" t="s">
        <v>1739</v>
      </c>
      <c r="B339" s="8" t="s">
        <v>14</v>
      </c>
      <c r="C339" s="8" t="s">
        <v>380</v>
      </c>
      <c r="D339" s="8" t="s">
        <v>1203</v>
      </c>
      <c r="E339" s="9">
        <v>31.6</v>
      </c>
      <c r="F339" s="8" t="s">
        <v>1740</v>
      </c>
      <c r="G339" s="10">
        <v>3818</v>
      </c>
      <c r="H339" s="132">
        <f t="array" ref="H339">IFERROR(INDEX('[25]TK KHUSUS'!$F$9:$F$187,MATCH(1,('[25]TK KHUSUS'!$E$9:$E$187=$D339)*('[25]TK KHUSUS'!$E$9:$E$187=$D339),0)),0)</f>
        <v>46157</v>
      </c>
      <c r="I339" s="8">
        <f t="array" ref="I339">IFERROR(INDEX('[25]TK KHUSUS'!$H$9:$H$187,MATCH(1,('[25]TK KHUSUS'!$E$9:$E$187=$D339)*('[25]TK KHUSUS'!$E$9:$E$187=$D339),0)),0)</f>
        <v>359</v>
      </c>
      <c r="J339" s="9">
        <f t="array" ref="J339">IFERROR(I339/G339*100,0)</f>
        <v>9.4028287061288633</v>
      </c>
      <c r="K339" s="8">
        <f t="array" ref="K339">INDEX([26]KOMPARASI!$J$20:$J$199,MATCH(1,([26]KOMPARASI!$C$20:$C$199=$D339)*([26]KOMPARASI!$C$20:$C$199=$D339),0))</f>
        <v>98</v>
      </c>
      <c r="L339" s="9">
        <f t="shared" si="5"/>
        <v>27.298050139275766</v>
      </c>
      <c r="M339" s="8" t="str">
        <f t="array" ref="M339">IF(L339&gt;5,"Perlu Pengendalian",IF(AND(L339&gt;=0,I339&gt;0),"Tidak Perlu Pengendalian","Belum Sensus"))</f>
        <v>Perlu Pengendalian</v>
      </c>
    </row>
    <row r="340" spans="1:13" x14ac:dyDescent="0.15">
      <c r="A340" s="8" t="s">
        <v>1739</v>
      </c>
      <c r="B340" s="8" t="s">
        <v>14</v>
      </c>
      <c r="C340" s="8" t="s">
        <v>380</v>
      </c>
      <c r="D340" s="8" t="s">
        <v>1204</v>
      </c>
      <c r="E340" s="9">
        <v>33.119999999999997</v>
      </c>
      <c r="F340" s="8" t="s">
        <v>1740</v>
      </c>
      <c r="G340" s="10">
        <v>4374</v>
      </c>
      <c r="H340" s="132">
        <f t="array" ref="H340">IFERROR(INDEX('[25]TK KHUSUS'!$F$9:$F$187,MATCH(1,('[25]TK KHUSUS'!$E$9:$E$187=$D340)*('[25]TK KHUSUS'!$E$9:$E$187=$D340),0)),0)</f>
        <v>46154</v>
      </c>
      <c r="I340" s="8">
        <f t="array" ref="I340">IFERROR(INDEX('[25]TK KHUSUS'!$H$9:$H$187,MATCH(1,('[25]TK KHUSUS'!$E$9:$E$187=$D340)*('[25]TK KHUSUS'!$E$9:$E$187=$D340),0)),0)</f>
        <v>366</v>
      </c>
      <c r="J340" s="9">
        <f t="array" ref="J340">IFERROR(I340/G340*100,0)</f>
        <v>8.3676268861454037</v>
      </c>
      <c r="K340" s="8">
        <f t="array" ref="K340">INDEX([26]KOMPARASI!$J$20:$J$199,MATCH(1,([26]KOMPARASI!$C$20:$C$199=$D340)*([26]KOMPARASI!$C$20:$C$199=$D340),0))</f>
        <v>43</v>
      </c>
      <c r="L340" s="9">
        <f t="shared" ref="L340:L403" si="6">IFERROR(K340/I340*100,0)</f>
        <v>11.748633879781421</v>
      </c>
      <c r="M340" s="8" t="str">
        <f t="array" ref="M340">IF(L340&gt;5,"Perlu Pengendalian",IF(AND(L340&gt;=0,I340&gt;0),"Tidak Perlu Pengendalian","Belum Sensus"))</f>
        <v>Perlu Pengendalian</v>
      </c>
    </row>
    <row r="341" spans="1:13" x14ac:dyDescent="0.15">
      <c r="A341" s="8" t="s">
        <v>1739</v>
      </c>
      <c r="B341" s="8" t="s">
        <v>14</v>
      </c>
      <c r="C341" s="8" t="s">
        <v>380</v>
      </c>
      <c r="D341" s="8" t="s">
        <v>1205</v>
      </c>
      <c r="E341" s="9">
        <v>37.04</v>
      </c>
      <c r="F341" s="8" t="s">
        <v>1740</v>
      </c>
      <c r="G341" s="10">
        <v>4861</v>
      </c>
      <c r="H341" s="132">
        <f t="array" ref="H341">IFERROR(INDEX('[25]TK KHUSUS'!$F$9:$F$187,MATCH(1,('[25]TK KHUSUS'!$E$9:$E$187=$D341)*('[25]TK KHUSUS'!$E$9:$E$187=$D341),0)),0)</f>
        <v>46154</v>
      </c>
      <c r="I341" s="8">
        <f t="array" ref="I341">IFERROR(INDEX('[25]TK KHUSUS'!$H$9:$H$187,MATCH(1,('[25]TK KHUSUS'!$E$9:$E$187=$D341)*('[25]TK KHUSUS'!$E$9:$E$187=$D341),0)),0)</f>
        <v>363</v>
      </c>
      <c r="J341" s="9">
        <f t="array" ref="J341">IFERROR(I341/G341*100,0)</f>
        <v>7.4675992594116432</v>
      </c>
      <c r="K341" s="8">
        <f t="array" ref="K341">INDEX([26]KOMPARASI!$J$20:$J$199,MATCH(1,([26]KOMPARASI!$C$20:$C$199=$D341)*([26]KOMPARASI!$C$20:$C$199=$D341),0))</f>
        <v>39</v>
      </c>
      <c r="L341" s="9">
        <f t="shared" si="6"/>
        <v>10.743801652892563</v>
      </c>
      <c r="M341" s="8" t="str">
        <f t="array" ref="M341">IF(L341&gt;5,"Perlu Pengendalian",IF(AND(L341&gt;=0,I341&gt;0),"Tidak Perlu Pengendalian","Belum Sensus"))</f>
        <v>Perlu Pengendalian</v>
      </c>
    </row>
    <row r="342" spans="1:13" x14ac:dyDescent="0.15">
      <c r="A342" s="8" t="s">
        <v>1739</v>
      </c>
      <c r="B342" s="8" t="s">
        <v>14</v>
      </c>
      <c r="C342" s="8" t="s">
        <v>380</v>
      </c>
      <c r="D342" s="8" t="s">
        <v>1206</v>
      </c>
      <c r="E342" s="9">
        <v>38.369999999999997</v>
      </c>
      <c r="F342" s="8" t="s">
        <v>1740</v>
      </c>
      <c r="G342" s="10">
        <v>5260</v>
      </c>
      <c r="H342" s="132">
        <f t="array" ref="H342">IFERROR(INDEX('[25]TK KHUSUS'!$F$9:$F$187,MATCH(1,('[25]TK KHUSUS'!$E$9:$E$187=$D342)*('[25]TK KHUSUS'!$E$9:$E$187=$D342),0)),0)</f>
        <v>46154</v>
      </c>
      <c r="I342" s="8">
        <f t="array" ref="I342">IFERROR(INDEX('[25]TK KHUSUS'!$H$9:$H$187,MATCH(1,('[25]TK KHUSUS'!$E$9:$E$187=$D342)*('[25]TK KHUSUS'!$E$9:$E$187=$D342),0)),0)</f>
        <v>352</v>
      </c>
      <c r="J342" s="9">
        <f t="array" ref="J342">IFERROR(I342/G342*100,0)</f>
        <v>6.6920152091254748</v>
      </c>
      <c r="K342" s="8">
        <f t="array" ref="K342">INDEX([26]KOMPARASI!$J$20:$J$199,MATCH(1,([26]KOMPARASI!$C$20:$C$199=$D342)*([26]KOMPARASI!$C$20:$C$199=$D342),0))</f>
        <v>105</v>
      </c>
      <c r="L342" s="9">
        <f t="shared" si="6"/>
        <v>29.829545454545453</v>
      </c>
      <c r="M342" s="8" t="str">
        <f t="array" ref="M342">IF(L342&gt;5,"Perlu Pengendalian",IF(AND(L342&gt;=0,I342&gt;0),"Tidak Perlu Pengendalian","Belum Sensus"))</f>
        <v>Perlu Pengendalian</v>
      </c>
    </row>
    <row r="343" spans="1:13" x14ac:dyDescent="0.15">
      <c r="A343" s="8" t="s">
        <v>1739</v>
      </c>
      <c r="B343" s="8" t="s">
        <v>14</v>
      </c>
      <c r="C343" s="8" t="s">
        <v>380</v>
      </c>
      <c r="D343" s="8" t="s">
        <v>1207</v>
      </c>
      <c r="E343" s="9">
        <v>28.83</v>
      </c>
      <c r="F343" s="8" t="s">
        <v>1740</v>
      </c>
      <c r="G343" s="10">
        <v>3796</v>
      </c>
      <c r="H343" s="132">
        <f t="array" ref="H343">IFERROR(INDEX('[25]TK KHUSUS'!$F$9:$F$187,MATCH(1,('[25]TK KHUSUS'!$E$9:$E$187=$D343)*('[25]TK KHUSUS'!$E$9:$E$187=$D343),0)),0)</f>
        <v>46154</v>
      </c>
      <c r="I343" s="8">
        <f t="array" ref="I343">IFERROR(INDEX('[25]TK KHUSUS'!$H$9:$H$187,MATCH(1,('[25]TK KHUSUS'!$E$9:$E$187=$D343)*('[25]TK KHUSUS'!$E$9:$E$187=$D343),0)),0)</f>
        <v>355</v>
      </c>
      <c r="J343" s="9">
        <f t="array" ref="J343">IFERROR(I343/G343*100,0)</f>
        <v>9.3519494204425708</v>
      </c>
      <c r="K343" s="8">
        <f t="array" ref="K343">INDEX([26]KOMPARASI!$J$20:$J$199,MATCH(1,([26]KOMPARASI!$C$20:$C$199=$D343)*([26]KOMPARASI!$C$20:$C$199=$D343),0))</f>
        <v>97</v>
      </c>
      <c r="L343" s="9">
        <f t="shared" si="6"/>
        <v>27.323943661971832</v>
      </c>
      <c r="M343" s="8" t="str">
        <f t="array" ref="M343">IF(L343&gt;5,"Perlu Pengendalian",IF(AND(L343&gt;=0,I343&gt;0),"Tidak Perlu Pengendalian","Belum Sensus"))</f>
        <v>Perlu Pengendalian</v>
      </c>
    </row>
    <row r="344" spans="1:13" x14ac:dyDescent="0.15">
      <c r="A344" s="8" t="s">
        <v>1739</v>
      </c>
      <c r="B344" s="8" t="s">
        <v>14</v>
      </c>
      <c r="C344" s="8" t="s">
        <v>380</v>
      </c>
      <c r="D344" s="8" t="s">
        <v>1208</v>
      </c>
      <c r="E344" s="9">
        <v>29.7</v>
      </c>
      <c r="F344" s="8" t="s">
        <v>1740</v>
      </c>
      <c r="G344" s="10">
        <v>3837</v>
      </c>
      <c r="H344" s="132">
        <f t="array" ref="H344">IFERROR(INDEX('[25]TK KHUSUS'!$F$9:$F$187,MATCH(1,('[25]TK KHUSUS'!$E$9:$E$187=$D344)*('[25]TK KHUSUS'!$E$9:$E$187=$D344),0)),0)</f>
        <v>46153</v>
      </c>
      <c r="I344" s="8">
        <f t="array" ref="I344">IFERROR(INDEX('[25]TK KHUSUS'!$H$9:$H$187,MATCH(1,('[25]TK KHUSUS'!$E$9:$E$187=$D344)*('[25]TK KHUSUS'!$E$9:$E$187=$D344),0)),0)</f>
        <v>346</v>
      </c>
      <c r="J344" s="9">
        <f t="array" ref="J344">IFERROR(I344/G344*100,0)</f>
        <v>9.0174615585092521</v>
      </c>
      <c r="K344" s="8">
        <f t="array" ref="K344">INDEX([26]KOMPARASI!$J$20:$J$199,MATCH(1,([26]KOMPARASI!$C$20:$C$199=$D344)*([26]KOMPARASI!$C$20:$C$199=$D344),0))</f>
        <v>57</v>
      </c>
      <c r="L344" s="9">
        <f t="shared" si="6"/>
        <v>16.473988439306357</v>
      </c>
      <c r="M344" s="8" t="str">
        <f t="array" ref="M344">IF(L344&gt;5,"Perlu Pengendalian",IF(AND(L344&gt;=0,I344&gt;0),"Tidak Perlu Pengendalian","Belum Sensus"))</f>
        <v>Perlu Pengendalian</v>
      </c>
    </row>
    <row r="345" spans="1:13" x14ac:dyDescent="0.15">
      <c r="A345" s="8" t="s">
        <v>1739</v>
      </c>
      <c r="B345" s="8" t="s">
        <v>14</v>
      </c>
      <c r="C345" s="8" t="s">
        <v>380</v>
      </c>
      <c r="D345" s="8" t="s">
        <v>1209</v>
      </c>
      <c r="E345" s="9">
        <v>29.28</v>
      </c>
      <c r="F345" s="8" t="s">
        <v>1740</v>
      </c>
      <c r="G345" s="10">
        <v>3935</v>
      </c>
      <c r="H345" s="132">
        <f t="array" ref="H345">IFERROR(INDEX('[25]TK KHUSUS'!$F$9:$F$187,MATCH(1,('[25]TK KHUSUS'!$E$9:$E$187=$D345)*('[25]TK KHUSUS'!$E$9:$E$187=$D345),0)),0)</f>
        <v>46153</v>
      </c>
      <c r="I345" s="8">
        <f t="array" ref="I345">IFERROR(INDEX('[25]TK KHUSUS'!$H$9:$H$187,MATCH(1,('[25]TK KHUSUS'!$E$9:$E$187=$D345)*('[25]TK KHUSUS'!$E$9:$E$187=$D345),0)),0)</f>
        <v>350</v>
      </c>
      <c r="J345" s="9">
        <f t="array" ref="J345">IFERROR(I345/G345*100,0)</f>
        <v>8.8945362134688697</v>
      </c>
      <c r="K345" s="8">
        <f t="array" ref="K345">INDEX([26]KOMPARASI!$J$20:$J$199,MATCH(1,([26]KOMPARASI!$C$20:$C$199=$D345)*([26]KOMPARASI!$C$20:$C$199=$D345),0))</f>
        <v>49</v>
      </c>
      <c r="L345" s="9">
        <f t="shared" si="6"/>
        <v>14.000000000000002</v>
      </c>
      <c r="M345" s="8" t="str">
        <f t="array" ref="M345">IF(L345&gt;5,"Perlu Pengendalian",IF(AND(L345&gt;=0,I345&gt;0),"Tidak Perlu Pengendalian","Belum Sensus"))</f>
        <v>Perlu Pengendalian</v>
      </c>
    </row>
    <row r="346" spans="1:13" x14ac:dyDescent="0.15">
      <c r="A346" s="8" t="s">
        <v>1739</v>
      </c>
      <c r="B346" s="8" t="s">
        <v>14</v>
      </c>
      <c r="C346" s="8" t="s">
        <v>380</v>
      </c>
      <c r="D346" s="8" t="s">
        <v>1210</v>
      </c>
      <c r="E346" s="9">
        <v>29.97</v>
      </c>
      <c r="F346" s="8" t="s">
        <v>1740</v>
      </c>
      <c r="G346" s="10">
        <v>4009</v>
      </c>
      <c r="H346" s="132">
        <f t="array" ref="H346">IFERROR(INDEX('[25]TK KHUSUS'!$F$9:$F$187,MATCH(1,('[25]TK KHUSUS'!$E$9:$E$187=$D346)*('[25]TK KHUSUS'!$E$9:$E$187=$D346),0)),0)</f>
        <v>46151</v>
      </c>
      <c r="I346" s="8">
        <f t="array" ref="I346">IFERROR(INDEX('[25]TK KHUSUS'!$H$9:$H$187,MATCH(1,('[25]TK KHUSUS'!$E$9:$E$187=$D346)*('[25]TK KHUSUS'!$E$9:$E$187=$D346),0)),0)</f>
        <v>394</v>
      </c>
      <c r="J346" s="9">
        <f t="array" ref="J346">IFERROR(I346/G346*100,0)</f>
        <v>9.8278872536792203</v>
      </c>
      <c r="K346" s="8">
        <f t="array" ref="K346">INDEX([26]KOMPARASI!$J$20:$J$199,MATCH(1,([26]KOMPARASI!$C$20:$C$199=$D346)*([26]KOMPARASI!$C$20:$C$199=$D346),0))</f>
        <v>106</v>
      </c>
      <c r="L346" s="9">
        <f t="shared" si="6"/>
        <v>26.903553299492383</v>
      </c>
      <c r="M346" s="8" t="str">
        <f t="array" ref="M346">IF(L346&gt;5,"Perlu Pengendalian",IF(AND(L346&gt;=0,I346&gt;0),"Tidak Perlu Pengendalian","Belum Sensus"))</f>
        <v>Perlu Pengendalian</v>
      </c>
    </row>
    <row r="347" spans="1:13" x14ac:dyDescent="0.15">
      <c r="A347" s="8" t="s">
        <v>1739</v>
      </c>
      <c r="B347" s="8" t="s">
        <v>14</v>
      </c>
      <c r="C347" s="8" t="s">
        <v>380</v>
      </c>
      <c r="D347" s="8" t="s">
        <v>1211</v>
      </c>
      <c r="E347" s="9">
        <v>29.21</v>
      </c>
      <c r="F347" s="8" t="s">
        <v>1740</v>
      </c>
      <c r="G347" s="10">
        <v>3808</v>
      </c>
      <c r="H347" s="132">
        <f t="array" ref="H347">IFERROR(INDEX('[25]TK KHUSUS'!$F$9:$F$187,MATCH(1,('[25]TK KHUSUS'!$E$9:$E$187=$D347)*('[25]TK KHUSUS'!$E$9:$E$187=$D347),0)),0)</f>
        <v>46151</v>
      </c>
      <c r="I347" s="8">
        <f t="array" ref="I347">IFERROR(INDEX('[25]TK KHUSUS'!$H$9:$H$187,MATCH(1,('[25]TK KHUSUS'!$E$9:$E$187=$D347)*('[25]TK KHUSUS'!$E$9:$E$187=$D347),0)),0)</f>
        <v>333</v>
      </c>
      <c r="J347" s="9">
        <f t="array" ref="J347">IFERROR(I347/G347*100,0)</f>
        <v>8.7447478991596626</v>
      </c>
      <c r="K347" s="8">
        <f t="array" ref="K347">INDEX([26]KOMPARASI!$J$20:$J$199,MATCH(1,([26]KOMPARASI!$C$20:$C$199=$D347)*([26]KOMPARASI!$C$20:$C$199=$D347),0))</f>
        <v>91</v>
      </c>
      <c r="L347" s="9">
        <f t="shared" si="6"/>
        <v>27.327327327327328</v>
      </c>
      <c r="M347" s="8" t="str">
        <f t="array" ref="M347">IF(L347&gt;5,"Perlu Pengendalian",IF(AND(L347&gt;=0,I347&gt;0),"Tidak Perlu Pengendalian","Belum Sensus"))</f>
        <v>Perlu Pengendalian</v>
      </c>
    </row>
    <row r="348" spans="1:13" x14ac:dyDescent="0.15">
      <c r="A348" s="8" t="s">
        <v>1739</v>
      </c>
      <c r="B348" s="8" t="s">
        <v>14</v>
      </c>
      <c r="C348" s="8" t="s">
        <v>380</v>
      </c>
      <c r="D348" s="8" t="s">
        <v>1212</v>
      </c>
      <c r="E348" s="9">
        <v>30.45</v>
      </c>
      <c r="F348" s="8" t="s">
        <v>1740</v>
      </c>
      <c r="G348" s="10">
        <v>4156</v>
      </c>
      <c r="H348" s="132">
        <f t="array" ref="H348">IFERROR(INDEX('[25]TK KHUSUS'!$F$9:$F$187,MATCH(1,('[25]TK KHUSUS'!$E$9:$E$187=$D348)*('[25]TK KHUSUS'!$E$9:$E$187=$D348),0)),0)</f>
        <v>46151</v>
      </c>
      <c r="I348" s="8">
        <f t="array" ref="I348">IFERROR(INDEX('[25]TK KHUSUS'!$H$9:$H$187,MATCH(1,('[25]TK KHUSUS'!$E$9:$E$187=$D348)*('[25]TK KHUSUS'!$E$9:$E$187=$D348),0)),0)</f>
        <v>397</v>
      </c>
      <c r="J348" s="9">
        <f t="array" ref="J348">IFERROR(I348/G348*100,0)</f>
        <v>9.5524542829643888</v>
      </c>
      <c r="K348" s="8">
        <f t="array" ref="K348">INDEX([26]KOMPARASI!$J$20:$J$199,MATCH(1,([26]KOMPARASI!$C$20:$C$199=$D348)*([26]KOMPARASI!$C$20:$C$199=$D348),0))</f>
        <v>50</v>
      </c>
      <c r="L348" s="9">
        <f t="shared" si="6"/>
        <v>12.594458438287154</v>
      </c>
      <c r="M348" s="8" t="str">
        <f t="array" ref="M348">IF(L348&gt;5,"Perlu Pengendalian",IF(AND(L348&gt;=0,I348&gt;0),"Tidak Perlu Pengendalian","Belum Sensus"))</f>
        <v>Perlu Pengendalian</v>
      </c>
    </row>
    <row r="349" spans="1:13" x14ac:dyDescent="0.15">
      <c r="A349" s="8" t="s">
        <v>1739</v>
      </c>
      <c r="B349" s="8" t="s">
        <v>14</v>
      </c>
      <c r="C349" s="8" t="s">
        <v>380</v>
      </c>
      <c r="D349" s="8" t="s">
        <v>1213</v>
      </c>
      <c r="E349" s="9">
        <v>25.35</v>
      </c>
      <c r="F349" s="8" t="s">
        <v>1740</v>
      </c>
      <c r="G349" s="10">
        <v>2866</v>
      </c>
      <c r="H349" s="132">
        <f t="array" ref="H349">IFERROR(INDEX('[25]TK KHUSUS'!$F$9:$F$187,MATCH(1,('[25]TK KHUSUS'!$E$9:$E$187=$D349)*('[25]TK KHUSUS'!$E$9:$E$187=$D349),0)),0)</f>
        <v>46151</v>
      </c>
      <c r="I349" s="8">
        <f t="array" ref="I349">IFERROR(INDEX('[25]TK KHUSUS'!$H$9:$H$187,MATCH(1,('[25]TK KHUSUS'!$E$9:$E$187=$D349)*('[25]TK KHUSUS'!$E$9:$E$187=$D349),0)),0)</f>
        <v>317</v>
      </c>
      <c r="J349" s="9">
        <f t="array" ref="J349">IFERROR(I349/G349*100,0)</f>
        <v>11.060711793440335</v>
      </c>
      <c r="K349" s="8">
        <f t="array" ref="K349">INDEX([26]KOMPARASI!$J$20:$J$199,MATCH(1,([26]KOMPARASI!$C$20:$C$199=$D349)*([26]KOMPARASI!$C$20:$C$199=$D349),0))</f>
        <v>25</v>
      </c>
      <c r="L349" s="9">
        <f t="shared" si="6"/>
        <v>7.8864353312302837</v>
      </c>
      <c r="M349" s="8" t="str">
        <f t="array" ref="M349">IF(L349&gt;5,"Perlu Pengendalian",IF(AND(L349&gt;=0,I349&gt;0),"Tidak Perlu Pengendalian","Belum Sensus"))</f>
        <v>Perlu Pengendalian</v>
      </c>
    </row>
    <row r="350" spans="1:13" x14ac:dyDescent="0.15">
      <c r="A350" s="8" t="s">
        <v>1739</v>
      </c>
      <c r="B350" s="8" t="s">
        <v>14</v>
      </c>
      <c r="C350" s="8" t="s">
        <v>380</v>
      </c>
      <c r="D350" s="8" t="s">
        <v>1214</v>
      </c>
      <c r="E350" s="9">
        <v>16.59</v>
      </c>
      <c r="F350" s="8" t="s">
        <v>1740</v>
      </c>
      <c r="G350" s="10">
        <v>1692</v>
      </c>
      <c r="H350" s="132">
        <f t="array" ref="H350">IFERROR(INDEX('[25]TK KHUSUS'!$F$9:$F$187,MATCH(1,('[25]TK KHUSUS'!$E$9:$E$187=$D350)*('[25]TK KHUSUS'!$E$9:$E$187=$D350),0)),0)</f>
        <v>46158</v>
      </c>
      <c r="I350" s="8">
        <f t="array" ref="I350">IFERROR(INDEX('[25]TK KHUSUS'!$H$9:$H$187,MATCH(1,('[25]TK KHUSUS'!$E$9:$E$187=$D350)*('[25]TK KHUSUS'!$E$9:$E$187=$D350),0)),0)</f>
        <v>222</v>
      </c>
      <c r="J350" s="9">
        <f t="array" ref="J350">IFERROR(I350/G350*100,0)</f>
        <v>13.120567375886525</v>
      </c>
      <c r="K350" s="8">
        <f t="array" ref="K350">INDEX([26]KOMPARASI!$J$20:$J$199,MATCH(1,([26]KOMPARASI!$C$20:$C$199=$D350)*([26]KOMPARASI!$C$20:$C$199=$D350),0))</f>
        <v>76</v>
      </c>
      <c r="L350" s="9">
        <f t="shared" si="6"/>
        <v>34.234234234234236</v>
      </c>
      <c r="M350" s="8" t="str">
        <f t="array" ref="M350">IF(L350&gt;5,"Perlu Pengendalian",IF(AND(L350&gt;=0,I350&gt;0),"Tidak Perlu Pengendalian","Belum Sensus"))</f>
        <v>Perlu Pengendalian</v>
      </c>
    </row>
    <row r="351" spans="1:13" x14ac:dyDescent="0.15">
      <c r="A351" s="8" t="s">
        <v>1739</v>
      </c>
      <c r="B351" s="8" t="s">
        <v>14</v>
      </c>
      <c r="C351" s="8" t="s">
        <v>380</v>
      </c>
      <c r="D351" s="8" t="s">
        <v>1215</v>
      </c>
      <c r="E351" s="9">
        <v>23</v>
      </c>
      <c r="F351" s="8" t="s">
        <v>1740</v>
      </c>
      <c r="G351" s="10">
        <v>2559</v>
      </c>
      <c r="H351" s="132">
        <f t="array" ref="H351">IFERROR(INDEX('[25]TK KHUSUS'!$F$9:$F$187,MATCH(1,('[25]TK KHUSUS'!$E$9:$E$187=$D351)*('[25]TK KHUSUS'!$E$9:$E$187=$D351),0)),0)</f>
        <v>46158</v>
      </c>
      <c r="I351" s="8">
        <f t="array" ref="I351">IFERROR(INDEX('[25]TK KHUSUS'!$H$9:$H$187,MATCH(1,('[25]TK KHUSUS'!$E$9:$E$187=$D351)*('[25]TK KHUSUS'!$E$9:$E$187=$D351),0)),0)</f>
        <v>312</v>
      </c>
      <c r="J351" s="9">
        <f t="array" ref="J351">IFERROR(I351/G351*100,0)</f>
        <v>12.192262602579133</v>
      </c>
      <c r="K351" s="8">
        <f t="array" ref="K351">INDEX([26]KOMPARASI!$J$20:$J$199,MATCH(1,([26]KOMPARASI!$C$20:$C$199=$D351)*([26]KOMPARASI!$C$20:$C$199=$D351),0))</f>
        <v>108</v>
      </c>
      <c r="L351" s="9">
        <f t="shared" si="6"/>
        <v>34.615384615384613</v>
      </c>
      <c r="M351" s="8" t="str">
        <f t="array" ref="M351">IF(L351&gt;5,"Perlu Pengendalian",IF(AND(L351&gt;=0,I351&gt;0),"Tidak Perlu Pengendalian","Belum Sensus"))</f>
        <v>Perlu Pengendalian</v>
      </c>
    </row>
    <row r="352" spans="1:13" x14ac:dyDescent="0.15">
      <c r="A352" s="8" t="s">
        <v>1739</v>
      </c>
      <c r="B352" s="8" t="s">
        <v>14</v>
      </c>
      <c r="C352" s="8" t="s">
        <v>380</v>
      </c>
      <c r="D352" s="8" t="s">
        <v>1216</v>
      </c>
      <c r="E352" s="9">
        <v>29.14</v>
      </c>
      <c r="F352" s="8" t="s">
        <v>1740</v>
      </c>
      <c r="G352" s="10">
        <v>4278</v>
      </c>
      <c r="H352" s="132">
        <f t="array" ref="H352">IFERROR(INDEX('[25]TK KHUSUS'!$F$9:$F$187,MATCH(1,('[25]TK KHUSUS'!$E$9:$E$187=$D352)*('[25]TK KHUSUS'!$E$9:$E$187=$D352),0)),0)</f>
        <v>46148</v>
      </c>
      <c r="I352" s="8">
        <f t="array" ref="I352">IFERROR(INDEX('[25]TK KHUSUS'!$H$9:$H$187,MATCH(1,('[25]TK KHUSUS'!$E$9:$E$187=$D352)*('[25]TK KHUSUS'!$E$9:$E$187=$D352),0)),0)</f>
        <v>389</v>
      </c>
      <c r="J352" s="9">
        <f t="array" ref="J352">IFERROR(I352/G352*100,0)</f>
        <v>9.0930341280972424</v>
      </c>
      <c r="K352" s="8">
        <f t="array" ref="K352">INDEX([26]KOMPARASI!$J$20:$J$199,MATCH(1,([26]KOMPARASI!$C$20:$C$199=$D352)*([26]KOMPARASI!$C$20:$C$199=$D352),0))</f>
        <v>91</v>
      </c>
      <c r="L352" s="9">
        <f t="shared" si="6"/>
        <v>23.393316195372751</v>
      </c>
      <c r="M352" s="8" t="str">
        <f t="array" ref="M352">IF(L352&gt;5,"Perlu Pengendalian",IF(AND(L352&gt;=0,I352&gt;0),"Tidak Perlu Pengendalian","Belum Sensus"))</f>
        <v>Perlu Pengendalian</v>
      </c>
    </row>
    <row r="353" spans="1:13" x14ac:dyDescent="0.15">
      <c r="A353" s="8" t="s">
        <v>1739</v>
      </c>
      <c r="B353" s="8" t="s">
        <v>14</v>
      </c>
      <c r="C353" s="8" t="s">
        <v>380</v>
      </c>
      <c r="D353" s="8" t="s">
        <v>1217</v>
      </c>
      <c r="E353" s="9">
        <v>31.11</v>
      </c>
      <c r="F353" s="8" t="s">
        <v>1740</v>
      </c>
      <c r="G353" s="10">
        <v>4510</v>
      </c>
      <c r="H353" s="132">
        <f t="array" ref="H353">IFERROR(INDEX('[25]TK KHUSUS'!$F$9:$F$187,MATCH(1,('[25]TK KHUSUS'!$E$9:$E$187=$D353)*('[25]TK KHUSUS'!$E$9:$E$187=$D353),0)),0)</f>
        <v>46148</v>
      </c>
      <c r="I353" s="8">
        <f t="array" ref="I353">IFERROR(INDEX('[25]TK KHUSUS'!$H$9:$H$187,MATCH(1,('[25]TK KHUSUS'!$E$9:$E$187=$D353)*('[25]TK KHUSUS'!$E$9:$E$187=$D353),0)),0)</f>
        <v>387</v>
      </c>
      <c r="J353" s="9">
        <f t="array" ref="J353">IFERROR(I353/G353*100,0)</f>
        <v>8.5809312638580941</v>
      </c>
      <c r="K353" s="8">
        <f t="array" ref="K353">INDEX([26]KOMPARASI!$J$20:$J$199,MATCH(1,([26]KOMPARASI!$C$20:$C$199=$D353)*([26]KOMPARASI!$C$20:$C$199=$D353),0))</f>
        <v>87</v>
      </c>
      <c r="L353" s="9">
        <f t="shared" si="6"/>
        <v>22.480620155038761</v>
      </c>
      <c r="M353" s="8" t="str">
        <f t="array" ref="M353">IF(L353&gt;5,"Perlu Pengendalian",IF(AND(L353&gt;=0,I353&gt;0),"Tidak Perlu Pengendalian","Belum Sensus"))</f>
        <v>Perlu Pengendalian</v>
      </c>
    </row>
    <row r="354" spans="1:13" x14ac:dyDescent="0.15">
      <c r="A354" s="8" t="s">
        <v>1739</v>
      </c>
      <c r="B354" s="8" t="s">
        <v>14</v>
      </c>
      <c r="C354" s="8" t="s">
        <v>380</v>
      </c>
      <c r="D354" s="8" t="s">
        <v>1218</v>
      </c>
      <c r="E354" s="9">
        <v>30.66</v>
      </c>
      <c r="F354" s="8" t="s">
        <v>1740</v>
      </c>
      <c r="G354" s="10">
        <v>4017</v>
      </c>
      <c r="H354" s="132">
        <f t="array" ref="H354">IFERROR(INDEX('[25]TK KHUSUS'!$F$9:$F$187,MATCH(1,('[25]TK KHUSUS'!$E$9:$E$187=$D354)*('[25]TK KHUSUS'!$E$9:$E$187=$D354),0)),0)</f>
        <v>46148</v>
      </c>
      <c r="I354" s="8">
        <f t="array" ref="I354">IFERROR(INDEX('[25]TK KHUSUS'!$H$9:$H$187,MATCH(1,('[25]TK KHUSUS'!$E$9:$E$187=$D354)*('[25]TK KHUSUS'!$E$9:$E$187=$D354),0)),0)</f>
        <v>384</v>
      </c>
      <c r="J354" s="9">
        <f t="array" ref="J354">IFERROR(I354/G354*100,0)</f>
        <v>9.5593726661687839</v>
      </c>
      <c r="K354" s="8">
        <f t="array" ref="K354">INDEX([26]KOMPARASI!$J$20:$J$199,MATCH(1,([26]KOMPARASI!$C$20:$C$199=$D354)*([26]KOMPARASI!$C$20:$C$199=$D354),0))</f>
        <v>89</v>
      </c>
      <c r="L354" s="9">
        <f t="shared" si="6"/>
        <v>23.177083333333336</v>
      </c>
      <c r="M354" s="8" t="str">
        <f t="array" ref="M354">IF(L354&gt;5,"Perlu Pengendalian",IF(AND(L354&gt;=0,I354&gt;0),"Tidak Perlu Pengendalian","Belum Sensus"))</f>
        <v>Perlu Pengendalian</v>
      </c>
    </row>
    <row r="355" spans="1:13" x14ac:dyDescent="0.15">
      <c r="A355" s="8" t="s">
        <v>1739</v>
      </c>
      <c r="B355" s="8" t="s">
        <v>14</v>
      </c>
      <c r="C355" s="8" t="s">
        <v>380</v>
      </c>
      <c r="D355" s="8" t="s">
        <v>1219</v>
      </c>
      <c r="E355" s="9">
        <v>31.03</v>
      </c>
      <c r="F355" s="8" t="s">
        <v>1740</v>
      </c>
      <c r="G355" s="10">
        <v>4134</v>
      </c>
      <c r="H355" s="132">
        <f t="array" ref="H355">IFERROR(INDEX('[25]TK KHUSUS'!$F$9:$F$187,MATCH(1,('[25]TK KHUSUS'!$E$9:$E$187=$D355)*('[25]TK KHUSUS'!$E$9:$E$187=$D355),0)),0)</f>
        <v>46148</v>
      </c>
      <c r="I355" s="8">
        <f t="array" ref="I355">IFERROR(INDEX('[25]TK KHUSUS'!$H$9:$H$187,MATCH(1,('[25]TK KHUSUS'!$E$9:$E$187=$D355)*('[25]TK KHUSUS'!$E$9:$E$187=$D355),0)),0)</f>
        <v>384</v>
      </c>
      <c r="J355" s="9">
        <f t="array" ref="J355">IFERROR(I355/G355*100,0)</f>
        <v>9.2888243831640054</v>
      </c>
      <c r="K355" s="8">
        <f t="array" ref="K355">INDEX([26]KOMPARASI!$J$20:$J$199,MATCH(1,([26]KOMPARASI!$C$20:$C$199=$D355)*([26]KOMPARASI!$C$20:$C$199=$D355),0))</f>
        <v>149</v>
      </c>
      <c r="L355" s="9">
        <f t="shared" si="6"/>
        <v>38.802083333333329</v>
      </c>
      <c r="M355" s="8" t="str">
        <f t="array" ref="M355">IF(L355&gt;5,"Perlu Pengendalian",IF(AND(L355&gt;=0,I355&gt;0),"Tidak Perlu Pengendalian","Belum Sensus"))</f>
        <v>Perlu Pengendalian</v>
      </c>
    </row>
    <row r="356" spans="1:13" x14ac:dyDescent="0.15">
      <c r="A356" s="8" t="s">
        <v>1739</v>
      </c>
      <c r="B356" s="8" t="s">
        <v>14</v>
      </c>
      <c r="C356" s="8" t="s">
        <v>380</v>
      </c>
      <c r="D356" s="8" t="s">
        <v>1220</v>
      </c>
      <c r="E356" s="9">
        <v>27.62</v>
      </c>
      <c r="F356" s="8" t="s">
        <v>1740</v>
      </c>
      <c r="G356" s="10">
        <v>3602</v>
      </c>
      <c r="H356" s="132">
        <f t="array" ref="H356">IFERROR(INDEX('[25]TK KHUSUS'!$F$9:$F$187,MATCH(1,('[25]TK KHUSUS'!$E$9:$E$187=$D356)*('[25]TK KHUSUS'!$E$9:$E$187=$D356),0)),0)</f>
        <v>46148</v>
      </c>
      <c r="I356" s="8">
        <f t="array" ref="I356">IFERROR(INDEX('[25]TK KHUSUS'!$H$9:$H$187,MATCH(1,('[25]TK KHUSUS'!$E$9:$E$187=$D356)*('[25]TK KHUSUS'!$E$9:$E$187=$D356),0)),0)</f>
        <v>334</v>
      </c>
      <c r="J356" s="9">
        <f t="array" ref="J356">IFERROR(I356/G356*100,0)</f>
        <v>9.2726263187118274</v>
      </c>
      <c r="K356" s="8">
        <f t="array" ref="K356">INDEX([26]KOMPARASI!$J$20:$J$199,MATCH(1,([26]KOMPARASI!$C$20:$C$199=$D356)*([26]KOMPARASI!$C$20:$C$199=$D356),0))</f>
        <v>102</v>
      </c>
      <c r="L356" s="9">
        <f t="shared" si="6"/>
        <v>30.538922155688624</v>
      </c>
      <c r="M356" s="8" t="str">
        <f t="array" ref="M356">IF(L356&gt;5,"Perlu Pengendalian",IF(AND(L356&gt;=0,I356&gt;0),"Tidak Perlu Pengendalian","Belum Sensus"))</f>
        <v>Perlu Pengendalian</v>
      </c>
    </row>
    <row r="357" spans="1:13" x14ac:dyDescent="0.15">
      <c r="A357" s="8" t="s">
        <v>1739</v>
      </c>
      <c r="B357" s="8" t="s">
        <v>14</v>
      </c>
      <c r="C357" s="8" t="s">
        <v>380</v>
      </c>
      <c r="D357" s="8" t="s">
        <v>1221</v>
      </c>
      <c r="E357" s="9">
        <v>26.77</v>
      </c>
      <c r="F357" s="8" t="s">
        <v>1740</v>
      </c>
      <c r="G357" s="10">
        <v>3731</v>
      </c>
      <c r="H357" s="132">
        <f t="array" ref="H357">IFERROR(INDEX('[25]TK KHUSUS'!$F$9:$F$187,MATCH(1,('[25]TK KHUSUS'!$E$9:$E$187=$D357)*('[25]TK KHUSUS'!$E$9:$E$187=$D357),0)),0)</f>
        <v>46158</v>
      </c>
      <c r="I357" s="8">
        <f t="array" ref="I357">IFERROR(INDEX('[25]TK KHUSUS'!$H$9:$H$187,MATCH(1,('[25]TK KHUSUS'!$E$9:$E$187=$D357)*('[25]TK KHUSUS'!$E$9:$E$187=$D357),0)),0)</f>
        <v>381</v>
      </c>
      <c r="J357" s="9">
        <f t="array" ref="J357">IFERROR(I357/G357*100,0)</f>
        <v>10.211739480032163</v>
      </c>
      <c r="K357" s="8">
        <f t="array" ref="K357">INDEX([26]KOMPARASI!$J$20:$J$199,MATCH(1,([26]KOMPARASI!$C$20:$C$199=$D357)*([26]KOMPARASI!$C$20:$C$199=$D357),0))</f>
        <v>113</v>
      </c>
      <c r="L357" s="9">
        <f t="shared" si="6"/>
        <v>29.658792650918635</v>
      </c>
      <c r="M357" s="8" t="str">
        <f t="array" ref="M357">IF(L357&gt;5,"Perlu Pengendalian",IF(AND(L357&gt;=0,I357&gt;0),"Tidak Perlu Pengendalian","Belum Sensus"))</f>
        <v>Perlu Pengendalian</v>
      </c>
    </row>
    <row r="358" spans="1:13" x14ac:dyDescent="0.15">
      <c r="A358" s="8" t="s">
        <v>1739</v>
      </c>
      <c r="B358" s="8" t="s">
        <v>14</v>
      </c>
      <c r="C358" s="8" t="s">
        <v>380</v>
      </c>
      <c r="D358" s="8" t="s">
        <v>1222</v>
      </c>
      <c r="E358" s="9">
        <v>36.31</v>
      </c>
      <c r="F358" s="8" t="s">
        <v>1740</v>
      </c>
      <c r="G358" s="10">
        <v>5204</v>
      </c>
      <c r="H358" s="132">
        <f t="array" ref="H358">IFERROR(INDEX('[25]TK KHUSUS'!$F$9:$F$187,MATCH(1,('[25]TK KHUSUS'!$E$9:$E$187=$D358)*('[25]TK KHUSUS'!$E$9:$E$187=$D358),0)),0)</f>
        <v>46158</v>
      </c>
      <c r="I358" s="8">
        <f t="array" ref="I358">IFERROR(INDEX('[25]TK KHUSUS'!$H$9:$H$187,MATCH(1,('[25]TK KHUSUS'!$E$9:$E$187=$D358)*('[25]TK KHUSUS'!$E$9:$E$187=$D358),0)),0)</f>
        <v>371</v>
      </c>
      <c r="J358" s="9">
        <f t="array" ref="J358">IFERROR(I358/G358*100,0)</f>
        <v>7.1291314373558805</v>
      </c>
      <c r="K358" s="8">
        <f t="array" ref="K358">INDEX([26]KOMPARASI!$J$20:$J$199,MATCH(1,([26]KOMPARASI!$C$20:$C$199=$D358)*([26]KOMPARASI!$C$20:$C$199=$D358),0))</f>
        <v>93</v>
      </c>
      <c r="L358" s="9">
        <f t="shared" si="6"/>
        <v>25.067385444743934</v>
      </c>
      <c r="M358" s="8" t="str">
        <f t="array" ref="M358">IF(L358&gt;5,"Perlu Pengendalian",IF(AND(L358&gt;=0,I358&gt;0),"Tidak Perlu Pengendalian","Belum Sensus"))</f>
        <v>Perlu Pengendalian</v>
      </c>
    </row>
    <row r="359" spans="1:13" x14ac:dyDescent="0.15">
      <c r="A359" s="8" t="s">
        <v>1739</v>
      </c>
      <c r="B359" s="8" t="s">
        <v>14</v>
      </c>
      <c r="C359" s="8" t="s">
        <v>380</v>
      </c>
      <c r="D359" s="8" t="s">
        <v>1223</v>
      </c>
      <c r="E359" s="9">
        <v>22.3</v>
      </c>
      <c r="F359" s="8" t="s">
        <v>1740</v>
      </c>
      <c r="G359" s="10">
        <v>3119</v>
      </c>
      <c r="H359" s="132">
        <f t="array" ref="H359">IFERROR(INDEX('[25]TK KHUSUS'!$F$9:$F$187,MATCH(1,('[25]TK KHUSUS'!$E$9:$E$187=$D359)*('[25]TK KHUSUS'!$E$9:$E$187=$D359),0)),0)</f>
        <v>46155</v>
      </c>
      <c r="I359" s="8">
        <f t="array" ref="I359">IFERROR(INDEX('[25]TK KHUSUS'!$H$9:$H$187,MATCH(1,('[25]TK KHUSUS'!$E$9:$E$187=$D359)*('[25]TK KHUSUS'!$E$9:$E$187=$D359),0)),0)</f>
        <v>301</v>
      </c>
      <c r="J359" s="9">
        <f t="array" ref="J359">IFERROR(I359/G359*100,0)</f>
        <v>9.6505290157101626</v>
      </c>
      <c r="K359" s="8">
        <f t="array" ref="K359">INDEX([26]KOMPARASI!$J$20:$J$199,MATCH(1,([26]KOMPARASI!$C$20:$C$199=$D359)*([26]KOMPARASI!$C$20:$C$199=$D359),0))</f>
        <v>73</v>
      </c>
      <c r="L359" s="9">
        <f t="shared" si="6"/>
        <v>24.252491694352159</v>
      </c>
      <c r="M359" s="8" t="str">
        <f t="array" ref="M359">IF(L359&gt;5,"Perlu Pengendalian",IF(AND(L359&gt;=0,I359&gt;0),"Tidak Perlu Pengendalian","Belum Sensus"))</f>
        <v>Perlu Pengendalian</v>
      </c>
    </row>
    <row r="360" spans="1:13" x14ac:dyDescent="0.15">
      <c r="A360" s="8" t="s">
        <v>1739</v>
      </c>
      <c r="B360" s="8" t="s">
        <v>14</v>
      </c>
      <c r="C360" s="8" t="s">
        <v>380</v>
      </c>
      <c r="D360" s="8" t="s">
        <v>1224</v>
      </c>
      <c r="E360" s="9">
        <v>25.53</v>
      </c>
      <c r="F360" s="8" t="s">
        <v>1740</v>
      </c>
      <c r="G360" s="10">
        <v>3344</v>
      </c>
      <c r="H360" s="132">
        <f t="array" ref="H360">IFERROR(INDEX('[25]TK KHUSUS'!$F$9:$F$187,MATCH(1,('[25]TK KHUSUS'!$E$9:$E$187=$D360)*('[25]TK KHUSUS'!$E$9:$E$187=$D360),0)),0)</f>
        <v>46155</v>
      </c>
      <c r="I360" s="8">
        <f t="array" ref="I360">IFERROR(INDEX('[25]TK KHUSUS'!$H$9:$H$187,MATCH(1,('[25]TK KHUSUS'!$E$9:$E$187=$D360)*('[25]TK KHUSUS'!$E$9:$E$187=$D360),0)),0)</f>
        <v>319</v>
      </c>
      <c r="J360" s="9">
        <f t="array" ref="J360">IFERROR(I360/G360*100,0)</f>
        <v>9.5394736842105274</v>
      </c>
      <c r="K360" s="8">
        <f t="array" ref="K360">INDEX([26]KOMPARASI!$J$20:$J$199,MATCH(1,([26]KOMPARASI!$C$20:$C$199=$D360)*([26]KOMPARASI!$C$20:$C$199=$D360),0))</f>
        <v>68</v>
      </c>
      <c r="L360" s="9">
        <f t="shared" si="6"/>
        <v>21.316614420062695</v>
      </c>
      <c r="M360" s="8" t="str">
        <f t="array" ref="M360">IF(L360&gt;5,"Perlu Pengendalian",IF(AND(L360&gt;=0,I360&gt;0),"Tidak Perlu Pengendalian","Belum Sensus"))</f>
        <v>Perlu Pengendalian</v>
      </c>
    </row>
    <row r="361" spans="1:13" x14ac:dyDescent="0.15">
      <c r="A361" s="8" t="s">
        <v>1739</v>
      </c>
      <c r="B361" s="8" t="s">
        <v>14</v>
      </c>
      <c r="C361" s="8" t="s">
        <v>380</v>
      </c>
      <c r="D361" s="8" t="s">
        <v>1225</v>
      </c>
      <c r="E361" s="9">
        <v>28.66</v>
      </c>
      <c r="F361" s="8" t="s">
        <v>1740</v>
      </c>
      <c r="G361" s="10">
        <v>3428</v>
      </c>
      <c r="H361" s="132">
        <f t="array" ref="H361">IFERROR(INDEX('[25]TK KHUSUS'!$F$9:$F$187,MATCH(1,('[25]TK KHUSUS'!$E$9:$E$187=$D361)*('[25]TK KHUSUS'!$E$9:$E$187=$D361),0)),0)</f>
        <v>46150</v>
      </c>
      <c r="I361" s="8">
        <f t="array" ref="I361">IFERROR(INDEX('[25]TK KHUSUS'!$H$9:$H$187,MATCH(1,('[25]TK KHUSUS'!$E$9:$E$187=$D361)*('[25]TK KHUSUS'!$E$9:$E$187=$D361),0)),0)</f>
        <v>294</v>
      </c>
      <c r="J361" s="9">
        <f t="array" ref="J361">IFERROR(I361/G361*100,0)</f>
        <v>8.5764294049008161</v>
      </c>
      <c r="K361" s="8">
        <f t="array" ref="K361">INDEX([26]KOMPARASI!$J$20:$J$199,MATCH(1,([26]KOMPARASI!$C$20:$C$199=$D361)*([26]KOMPARASI!$C$20:$C$199=$D361),0))</f>
        <v>87</v>
      </c>
      <c r="L361" s="9">
        <f t="shared" si="6"/>
        <v>29.591836734693878</v>
      </c>
      <c r="M361" s="8" t="str">
        <f t="array" ref="M361">IF(L361&gt;5,"Perlu Pengendalian",IF(AND(L361&gt;=0,I361&gt;0),"Tidak Perlu Pengendalian","Belum Sensus"))</f>
        <v>Perlu Pengendalian</v>
      </c>
    </row>
    <row r="362" spans="1:13" x14ac:dyDescent="0.15">
      <c r="A362" s="8" t="s">
        <v>1739</v>
      </c>
      <c r="B362" s="8" t="s">
        <v>14</v>
      </c>
      <c r="C362" s="8" t="s">
        <v>380</v>
      </c>
      <c r="D362" s="8" t="s">
        <v>1226</v>
      </c>
      <c r="E362" s="9">
        <v>27.58</v>
      </c>
      <c r="F362" s="8" t="s">
        <v>1740</v>
      </c>
      <c r="G362" s="10">
        <v>3503</v>
      </c>
      <c r="H362" s="132">
        <f t="array" ref="H362">IFERROR(INDEX('[25]TK KHUSUS'!$F$9:$F$187,MATCH(1,('[25]TK KHUSUS'!$E$9:$E$187=$D362)*('[25]TK KHUSUS'!$E$9:$E$187=$D362),0)),0)</f>
        <v>46150</v>
      </c>
      <c r="I362" s="8">
        <f t="array" ref="I362">IFERROR(INDEX('[25]TK KHUSUS'!$H$9:$H$187,MATCH(1,('[25]TK KHUSUS'!$E$9:$E$187=$D362)*('[25]TK KHUSUS'!$E$9:$E$187=$D362),0)),0)</f>
        <v>293</v>
      </c>
      <c r="J362" s="9">
        <f t="array" ref="J362">IFERROR(I362/G362*100,0)</f>
        <v>8.364259206394518</v>
      </c>
      <c r="K362" s="8">
        <f t="array" ref="K362">INDEX([26]KOMPARASI!$J$20:$J$199,MATCH(1,([26]KOMPARASI!$C$20:$C$199=$D362)*([26]KOMPARASI!$C$20:$C$199=$D362),0))</f>
        <v>103</v>
      </c>
      <c r="L362" s="9">
        <f t="shared" si="6"/>
        <v>35.153583617747444</v>
      </c>
      <c r="M362" s="8" t="str">
        <f t="array" ref="M362">IF(L362&gt;5,"Perlu Pengendalian",IF(AND(L362&gt;=0,I362&gt;0),"Tidak Perlu Pengendalian","Belum Sensus"))</f>
        <v>Perlu Pengendalian</v>
      </c>
    </row>
    <row r="363" spans="1:13" x14ac:dyDescent="0.15">
      <c r="A363" s="8" t="s">
        <v>1739</v>
      </c>
      <c r="B363" s="8" t="s">
        <v>14</v>
      </c>
      <c r="C363" s="8" t="s">
        <v>416</v>
      </c>
      <c r="D363" s="8" t="s">
        <v>1227</v>
      </c>
      <c r="E363" s="9">
        <v>0</v>
      </c>
      <c r="F363" s="8" t="s">
        <v>1740</v>
      </c>
      <c r="G363" s="10">
        <v>0</v>
      </c>
      <c r="H363" s="132"/>
      <c r="I363" s="8">
        <f t="array" ref="I363">IFERROR(INDEX('[25]TK KHUSUS'!$H$9:$H$187,MATCH(1,('[25]TK KHUSUS'!$E$9:$E$187=$D363)*('[25]TK KHUSUS'!$E$9:$E$187=$D363),0)),0)</f>
        <v>0</v>
      </c>
      <c r="J363" s="9">
        <f t="array" ref="J363">IFERROR(I363/G363*100,0)</f>
        <v>0</v>
      </c>
      <c r="K363" s="8">
        <f t="array" ref="K363">INDEX([26]KOMPARASI!$J$20:$J$199,MATCH(1,([26]KOMPARASI!$C$20:$C$199=$D363)*([26]KOMPARASI!$C$20:$C$199=$D363),0))</f>
        <v>0</v>
      </c>
      <c r="L363" s="9">
        <f t="shared" si="6"/>
        <v>0</v>
      </c>
      <c r="M363" s="8" t="str">
        <f t="array" ref="M363">IF(L363&gt;5,"Perlu Pengendalian",IF(AND(L363&gt;=0,I363&gt;0),"Tidak Perlu Pengendalian","Belum Sensus"))</f>
        <v>Belum Sensus</v>
      </c>
    </row>
    <row r="364" spans="1:13" x14ac:dyDescent="0.15">
      <c r="A364" s="8" t="s">
        <v>1739</v>
      </c>
      <c r="B364" s="8" t="s">
        <v>14</v>
      </c>
      <c r="C364" s="8" t="s">
        <v>416</v>
      </c>
      <c r="D364" s="8" t="s">
        <v>1228</v>
      </c>
      <c r="E364" s="9">
        <v>39.21</v>
      </c>
      <c r="F364" s="8" t="s">
        <v>1740</v>
      </c>
      <c r="G364" s="10">
        <v>5154</v>
      </c>
      <c r="H364" s="132">
        <f t="array" ref="H364">IFERROR(INDEX('[25]TK KHUSUS'!$F$9:$F$187,MATCH(1,('[25]TK KHUSUS'!$E$9:$E$187=$D364)*('[25]TK KHUSUS'!$E$9:$E$187=$D364),0)),0)</f>
        <v>46158</v>
      </c>
      <c r="I364" s="8">
        <f t="array" ref="I364">IFERROR(INDEX('[25]TK KHUSUS'!$H$9:$H$187,MATCH(1,('[25]TK KHUSUS'!$E$9:$E$187=$D364)*('[25]TK KHUSUS'!$E$9:$E$187=$D364),0)),0)</f>
        <v>290</v>
      </c>
      <c r="J364" s="9">
        <f t="array" ref="J364">IFERROR(I364/G364*100,0)</f>
        <v>5.6266977105161047</v>
      </c>
      <c r="K364" s="8">
        <f t="array" ref="K364">INDEX([26]KOMPARASI!$J$20:$J$199,MATCH(1,([26]KOMPARASI!$C$20:$C$199=$D364)*([26]KOMPARASI!$C$20:$C$199=$D364),0))</f>
        <v>65</v>
      </c>
      <c r="L364" s="9">
        <f t="shared" si="6"/>
        <v>22.413793103448278</v>
      </c>
      <c r="M364" s="8" t="str">
        <f t="array" ref="M364">IF(L364&gt;5,"Perlu Pengendalian",IF(AND(L364&gt;=0,I364&gt;0),"Tidak Perlu Pengendalian","Belum Sensus"))</f>
        <v>Perlu Pengendalian</v>
      </c>
    </row>
    <row r="365" spans="1:13" x14ac:dyDescent="0.15">
      <c r="A365" s="8" t="s">
        <v>1739</v>
      </c>
      <c r="B365" s="8" t="s">
        <v>14</v>
      </c>
      <c r="C365" s="8" t="s">
        <v>416</v>
      </c>
      <c r="D365" s="8" t="s">
        <v>1229</v>
      </c>
      <c r="E365" s="9">
        <v>23.27</v>
      </c>
      <c r="F365" s="8" t="s">
        <v>1740</v>
      </c>
      <c r="G365" s="10">
        <v>2657</v>
      </c>
      <c r="H365" s="132">
        <f t="array" ref="H365">IFERROR(INDEX('[25]TK KHUSUS'!$F$9:$F$187,MATCH(1,('[25]TK KHUSUS'!$E$9:$E$187=$D365)*('[25]TK KHUSUS'!$E$9:$E$187=$D365),0)),0)</f>
        <v>46158</v>
      </c>
      <c r="I365" s="8">
        <f t="array" ref="I365">IFERROR(INDEX('[25]TK KHUSUS'!$H$9:$H$187,MATCH(1,('[25]TK KHUSUS'!$E$9:$E$187=$D365)*('[25]TK KHUSUS'!$E$9:$E$187=$D365),0)),0)</f>
        <v>313</v>
      </c>
      <c r="J365" s="9">
        <f t="array" ref="J365">IFERROR(I365/G365*100,0)</f>
        <v>11.780203236733158</v>
      </c>
      <c r="K365" s="8">
        <f t="array" ref="K365">INDEX([26]KOMPARASI!$J$20:$J$199,MATCH(1,([26]KOMPARASI!$C$20:$C$199=$D365)*([26]KOMPARASI!$C$20:$C$199=$D365),0))</f>
        <v>83</v>
      </c>
      <c r="L365" s="9">
        <f t="shared" si="6"/>
        <v>26.517571884984026</v>
      </c>
      <c r="M365" s="8" t="str">
        <f t="array" ref="M365">IF(L365&gt;5,"Perlu Pengendalian",IF(AND(L365&gt;=0,I365&gt;0),"Tidak Perlu Pengendalian","Belum Sensus"))</f>
        <v>Perlu Pengendalian</v>
      </c>
    </row>
    <row r="366" spans="1:13" x14ac:dyDescent="0.15">
      <c r="A366" s="8" t="s">
        <v>1739</v>
      </c>
      <c r="B366" s="8" t="s">
        <v>14</v>
      </c>
      <c r="C366" s="8" t="s">
        <v>416</v>
      </c>
      <c r="D366" s="8" t="s">
        <v>1230</v>
      </c>
      <c r="E366" s="9">
        <v>26.23</v>
      </c>
      <c r="F366" s="8" t="s">
        <v>1740</v>
      </c>
      <c r="G366" s="10">
        <v>3410</v>
      </c>
      <c r="H366" s="132">
        <f t="array" ref="H366">IFERROR(INDEX('[25]TK KHUSUS'!$F$9:$F$187,MATCH(1,('[25]TK KHUSUS'!$E$9:$E$187=$D366)*('[25]TK KHUSUS'!$E$9:$E$187=$D366),0)),0)</f>
        <v>46158</v>
      </c>
      <c r="I366" s="8">
        <f t="array" ref="I366">IFERROR(INDEX('[25]TK KHUSUS'!$H$9:$H$187,MATCH(1,('[25]TK KHUSUS'!$E$9:$E$187=$D366)*('[25]TK KHUSUS'!$E$9:$E$187=$D366),0)),0)</f>
        <v>255</v>
      </c>
      <c r="J366" s="9">
        <f t="array" ref="J366">IFERROR(I366/G366*100,0)</f>
        <v>7.4780058651026398</v>
      </c>
      <c r="K366" s="8">
        <f t="array" ref="K366">INDEX([26]KOMPARASI!$J$20:$J$199,MATCH(1,([26]KOMPARASI!$C$20:$C$199=$D366)*([26]KOMPARASI!$C$20:$C$199=$D366),0))</f>
        <v>59</v>
      </c>
      <c r="L366" s="9">
        <f t="shared" si="6"/>
        <v>23.137254901960784</v>
      </c>
      <c r="M366" s="8" t="str">
        <f t="array" ref="M366">IF(L366&gt;5,"Perlu Pengendalian",IF(AND(L366&gt;=0,I366&gt;0),"Tidak Perlu Pengendalian","Belum Sensus"))</f>
        <v>Perlu Pengendalian</v>
      </c>
    </row>
    <row r="367" spans="1:13" x14ac:dyDescent="0.15">
      <c r="A367" s="8" t="s">
        <v>1739</v>
      </c>
      <c r="B367" s="8" t="s">
        <v>14</v>
      </c>
      <c r="C367" s="8" t="s">
        <v>416</v>
      </c>
      <c r="D367" s="8" t="s">
        <v>1231</v>
      </c>
      <c r="E367" s="9">
        <v>18.66</v>
      </c>
      <c r="F367" s="8" t="s">
        <v>1740</v>
      </c>
      <c r="G367" s="10">
        <v>2374</v>
      </c>
      <c r="H367" s="132">
        <f t="array" ref="H367">IFERROR(INDEX('[25]TK KHUSUS'!$F$9:$F$187,MATCH(1,('[25]TK KHUSUS'!$E$9:$E$187=$D367)*('[25]TK KHUSUS'!$E$9:$E$187=$D367),0)),0)</f>
        <v>46159</v>
      </c>
      <c r="I367" s="8">
        <f t="array" ref="I367">IFERROR(INDEX('[25]TK KHUSUS'!$H$9:$H$187,MATCH(1,('[25]TK KHUSUS'!$E$9:$E$187=$D367)*('[25]TK KHUSUS'!$E$9:$E$187=$D367),0)),0)</f>
        <v>199</v>
      </c>
      <c r="J367" s="9">
        <f t="array" ref="J367">IFERROR(I367/G367*100,0)</f>
        <v>8.3824768323504628</v>
      </c>
      <c r="K367" s="8">
        <f t="array" ref="K367">INDEX([26]KOMPARASI!$J$20:$J$199,MATCH(1,([26]KOMPARASI!$C$20:$C$199=$D367)*([26]KOMPARASI!$C$20:$C$199=$D367),0))</f>
        <v>0</v>
      </c>
      <c r="L367" s="9">
        <f t="shared" si="6"/>
        <v>0</v>
      </c>
      <c r="M367" s="8" t="str">
        <f t="array" ref="M367">IF(L367&gt;5,"Perlu Pengendalian",IF(AND(L367&gt;=0,I367&gt;0),"Tidak Perlu Pengendalian","Belum Sensus"))</f>
        <v>Tidak Perlu Pengendalian</v>
      </c>
    </row>
    <row r="368" spans="1:13" x14ac:dyDescent="0.15">
      <c r="A368" s="8" t="s">
        <v>1739</v>
      </c>
      <c r="B368" s="8" t="s">
        <v>14</v>
      </c>
      <c r="C368" s="8" t="s">
        <v>416</v>
      </c>
      <c r="D368" s="8" t="s">
        <v>1232</v>
      </c>
      <c r="E368" s="9">
        <v>26.67</v>
      </c>
      <c r="F368" s="8" t="s">
        <v>1740</v>
      </c>
      <c r="G368" s="10">
        <v>3617</v>
      </c>
      <c r="H368" s="132">
        <f t="array" ref="H368">IFERROR(INDEX('[25]TK KHUSUS'!$F$9:$F$187,MATCH(1,('[25]TK KHUSUS'!$E$9:$E$187=$D368)*('[25]TK KHUSUS'!$E$9:$E$187=$D368),0)),0)</f>
        <v>46158</v>
      </c>
      <c r="I368" s="8">
        <f t="array" ref="I368">IFERROR(INDEX('[25]TK KHUSUS'!$H$9:$H$187,MATCH(1,('[25]TK KHUSUS'!$E$9:$E$187=$D368)*('[25]TK KHUSUS'!$E$9:$E$187=$D368),0)),0)</f>
        <v>140</v>
      </c>
      <c r="J368" s="9">
        <f t="array" ref="J368">IFERROR(I368/G368*100,0)</f>
        <v>3.870611003594139</v>
      </c>
      <c r="K368" s="8">
        <f t="array" ref="K368">INDEX([26]KOMPARASI!$J$20:$J$199,MATCH(1,([26]KOMPARASI!$C$20:$C$199=$D368)*([26]KOMPARASI!$C$20:$C$199=$D368),0))</f>
        <v>37</v>
      </c>
      <c r="L368" s="9">
        <f t="shared" si="6"/>
        <v>26.428571428571431</v>
      </c>
      <c r="M368" s="8" t="str">
        <f t="array" ref="M368">IF(L368&gt;5,"Perlu Pengendalian",IF(AND(L368&gt;=0,I368&gt;0),"Tidak Perlu Pengendalian","Belum Sensus"))</f>
        <v>Perlu Pengendalian</v>
      </c>
    </row>
    <row r="369" spans="1:13" x14ac:dyDescent="0.15">
      <c r="A369" s="8" t="s">
        <v>1739</v>
      </c>
      <c r="B369" s="8" t="s">
        <v>14</v>
      </c>
      <c r="C369" s="8" t="s">
        <v>416</v>
      </c>
      <c r="D369" s="8" t="s">
        <v>1233</v>
      </c>
      <c r="E369" s="9">
        <v>28</v>
      </c>
      <c r="F369" s="8" t="s">
        <v>1740</v>
      </c>
      <c r="G369" s="10">
        <v>3917</v>
      </c>
      <c r="H369" s="132">
        <f t="array" ref="H369">IFERROR(INDEX('[25]TK KHUSUS'!$F$9:$F$187,MATCH(1,('[25]TK KHUSUS'!$E$9:$E$187=$D369)*('[25]TK KHUSUS'!$E$9:$E$187=$D369),0)),0)</f>
        <v>46158</v>
      </c>
      <c r="I369" s="8">
        <f t="array" ref="I369">IFERROR(INDEX('[25]TK KHUSUS'!$H$9:$H$187,MATCH(1,('[25]TK KHUSUS'!$E$9:$E$187=$D369)*('[25]TK KHUSUS'!$E$9:$E$187=$D369),0)),0)</f>
        <v>135</v>
      </c>
      <c r="J369" s="9">
        <f t="array" ref="J369">IFERROR(I369/G369*100,0)</f>
        <v>3.4465151901965791</v>
      </c>
      <c r="K369" s="8">
        <f t="array" ref="K369">INDEX([26]KOMPARASI!$J$20:$J$199,MATCH(1,([26]KOMPARASI!$C$20:$C$199=$D369)*([26]KOMPARASI!$C$20:$C$199=$D369),0))</f>
        <v>24</v>
      </c>
      <c r="L369" s="9">
        <f t="shared" si="6"/>
        <v>17.777777777777779</v>
      </c>
      <c r="M369" s="8" t="str">
        <f t="array" ref="M369">IF(L369&gt;5,"Perlu Pengendalian",IF(AND(L369&gt;=0,I369&gt;0),"Tidak Perlu Pengendalian","Belum Sensus"))</f>
        <v>Perlu Pengendalian</v>
      </c>
    </row>
    <row r="370" spans="1:13" x14ac:dyDescent="0.15">
      <c r="A370" s="8" t="s">
        <v>1739</v>
      </c>
      <c r="B370" s="8" t="s">
        <v>14</v>
      </c>
      <c r="C370" s="8" t="s">
        <v>416</v>
      </c>
      <c r="D370" s="8" t="s">
        <v>1234</v>
      </c>
      <c r="E370" s="9">
        <v>15.23</v>
      </c>
      <c r="F370" s="8" t="s">
        <v>1740</v>
      </c>
      <c r="G370" s="10">
        <v>2455</v>
      </c>
      <c r="H370" s="132">
        <f t="array" ref="H370">IFERROR(INDEX('[25]TK KHUSUS'!$F$9:$F$187,MATCH(1,('[25]TK KHUSUS'!$E$9:$E$187=$D370)*('[25]TK KHUSUS'!$E$9:$E$187=$D370),0)),0)</f>
        <v>46159</v>
      </c>
      <c r="I370" s="8">
        <f t="array" ref="I370">IFERROR(INDEX('[25]TK KHUSUS'!$H$9:$H$187,MATCH(1,('[25]TK KHUSUS'!$E$9:$E$187=$D370)*('[25]TK KHUSUS'!$E$9:$E$187=$D370),0)),0)</f>
        <v>123</v>
      </c>
      <c r="J370" s="9">
        <f t="array" ref="J370">IFERROR(I370/G370*100,0)</f>
        <v>5.0101832993890021</v>
      </c>
      <c r="K370" s="8">
        <f t="array" ref="K370">INDEX([26]KOMPARASI!$J$20:$J$199,MATCH(1,([26]KOMPARASI!$C$20:$C$199=$D370)*([26]KOMPARASI!$C$20:$C$199=$D370),0))</f>
        <v>0</v>
      </c>
      <c r="L370" s="9">
        <f t="shared" si="6"/>
        <v>0</v>
      </c>
      <c r="M370" s="8" t="str">
        <f t="array" ref="M370">IF(L370&gt;5,"Perlu Pengendalian",IF(AND(L370&gt;=0,I370&gt;0),"Tidak Perlu Pengendalian","Belum Sensus"))</f>
        <v>Tidak Perlu Pengendalian</v>
      </c>
    </row>
    <row r="371" spans="1:13" x14ac:dyDescent="0.15">
      <c r="A371" s="8" t="s">
        <v>1739</v>
      </c>
      <c r="B371" s="8" t="s">
        <v>14</v>
      </c>
      <c r="C371" s="8" t="s">
        <v>416</v>
      </c>
      <c r="D371" s="8" t="s">
        <v>1235</v>
      </c>
      <c r="E371" s="9">
        <v>22.05</v>
      </c>
      <c r="F371" s="8" t="s">
        <v>1740</v>
      </c>
      <c r="G371" s="10">
        <v>3039</v>
      </c>
      <c r="H371" s="132">
        <f t="array" ref="H371">IFERROR(INDEX('[25]TK KHUSUS'!$F$9:$F$187,MATCH(1,('[25]TK KHUSUS'!$E$9:$E$187=$D371)*('[25]TK KHUSUS'!$E$9:$E$187=$D371),0)),0)</f>
        <v>46159</v>
      </c>
      <c r="I371" s="8">
        <f t="array" ref="I371">IFERROR(INDEX('[25]TK KHUSUS'!$H$9:$H$187,MATCH(1,('[25]TK KHUSUS'!$E$9:$E$187=$D371)*('[25]TK KHUSUS'!$E$9:$E$187=$D371),0)),0)</f>
        <v>240</v>
      </c>
      <c r="J371" s="9">
        <f t="array" ref="J371">IFERROR(I371/G371*100,0)</f>
        <v>7.8973346495557744</v>
      </c>
      <c r="K371" s="8">
        <f t="array" ref="K371">INDEX([26]KOMPARASI!$J$20:$J$199,MATCH(1,([26]KOMPARASI!$C$20:$C$199=$D371)*([26]KOMPARASI!$C$20:$C$199=$D371),0))</f>
        <v>0</v>
      </c>
      <c r="L371" s="9">
        <f t="shared" si="6"/>
        <v>0</v>
      </c>
      <c r="M371" s="8" t="str">
        <f t="array" ref="M371">IF(L371&gt;5,"Perlu Pengendalian",IF(AND(L371&gt;=0,I371&gt;0),"Tidak Perlu Pengendalian","Belum Sensus"))</f>
        <v>Tidak Perlu Pengendalian</v>
      </c>
    </row>
    <row r="372" spans="1:13" x14ac:dyDescent="0.15">
      <c r="A372" s="8" t="s">
        <v>1739</v>
      </c>
      <c r="B372" s="8" t="s">
        <v>14</v>
      </c>
      <c r="C372" s="8" t="s">
        <v>416</v>
      </c>
      <c r="D372" s="8" t="s">
        <v>1236</v>
      </c>
      <c r="E372" s="9">
        <v>34.03</v>
      </c>
      <c r="F372" s="8" t="s">
        <v>1740</v>
      </c>
      <c r="G372" s="10">
        <v>3861</v>
      </c>
      <c r="H372" s="132">
        <f t="array" ref="H372">IFERROR(INDEX('[25]TK KHUSUS'!$F$9:$F$187,MATCH(1,('[25]TK KHUSUS'!$E$9:$E$187=$D372)*('[25]TK KHUSUS'!$E$9:$E$187=$D372),0)),0)</f>
        <v>46159</v>
      </c>
      <c r="I372" s="8">
        <f t="array" ref="I372">IFERROR(INDEX('[25]TK KHUSUS'!$H$9:$H$187,MATCH(1,('[25]TK KHUSUS'!$E$9:$E$187=$D372)*('[25]TK KHUSUS'!$E$9:$E$187=$D372),0)),0)</f>
        <v>237</v>
      </c>
      <c r="J372" s="9">
        <f t="array" ref="J372">IFERROR(I372/G372*100,0)</f>
        <v>6.1383061383061381</v>
      </c>
      <c r="K372" s="8">
        <f t="array" ref="K372">INDEX([26]KOMPARASI!$J$20:$J$199,MATCH(1,([26]KOMPARASI!$C$20:$C$199=$D372)*([26]KOMPARASI!$C$20:$C$199=$D372),0))</f>
        <v>0</v>
      </c>
      <c r="L372" s="9">
        <f t="shared" si="6"/>
        <v>0</v>
      </c>
      <c r="M372" s="8" t="str">
        <f t="array" ref="M372">IF(L372&gt;5,"Perlu Pengendalian",IF(AND(L372&gt;=0,I372&gt;0),"Tidak Perlu Pengendalian","Belum Sensus"))</f>
        <v>Tidak Perlu Pengendalian</v>
      </c>
    </row>
    <row r="373" spans="1:13" x14ac:dyDescent="0.15">
      <c r="A373" s="8" t="s">
        <v>1739</v>
      </c>
      <c r="B373" s="8" t="s">
        <v>14</v>
      </c>
      <c r="C373" s="8" t="s">
        <v>416</v>
      </c>
      <c r="D373" s="8" t="s">
        <v>1237</v>
      </c>
      <c r="E373" s="9">
        <v>28.82</v>
      </c>
      <c r="F373" s="8" t="s">
        <v>1740</v>
      </c>
      <c r="G373" s="10">
        <v>3879</v>
      </c>
      <c r="H373" s="132">
        <f t="array" ref="H373">IFERROR(INDEX('[25]TK KHUSUS'!$F$9:$F$187,MATCH(1,('[25]TK KHUSUS'!$E$9:$E$187=$D373)*('[25]TK KHUSUS'!$E$9:$E$187=$D373),0)),0)</f>
        <v>46148</v>
      </c>
      <c r="I373" s="8">
        <f t="array" ref="I373">IFERROR(INDEX('[25]TK KHUSUS'!$H$9:$H$187,MATCH(1,('[25]TK KHUSUS'!$E$9:$E$187=$D373)*('[25]TK KHUSUS'!$E$9:$E$187=$D373),0)),0)</f>
        <v>345</v>
      </c>
      <c r="J373" s="9">
        <f t="array" ref="J373">IFERROR(I373/G373*100,0)</f>
        <v>8.8940448569218873</v>
      </c>
      <c r="K373" s="8">
        <f t="array" ref="K373">INDEX([26]KOMPARASI!$J$20:$J$199,MATCH(1,([26]KOMPARASI!$C$20:$C$199=$D373)*([26]KOMPARASI!$C$20:$C$199=$D373),0))</f>
        <v>97</v>
      </c>
      <c r="L373" s="9">
        <f t="shared" si="6"/>
        <v>28.115942028985508</v>
      </c>
      <c r="M373" s="8" t="str">
        <f t="array" ref="M373">IF(L373&gt;5,"Perlu Pengendalian",IF(AND(L373&gt;=0,I373&gt;0),"Tidak Perlu Pengendalian","Belum Sensus"))</f>
        <v>Perlu Pengendalian</v>
      </c>
    </row>
    <row r="374" spans="1:13" x14ac:dyDescent="0.15">
      <c r="A374" s="8" t="s">
        <v>1739</v>
      </c>
      <c r="B374" s="8" t="s">
        <v>14</v>
      </c>
      <c r="C374" s="8" t="s">
        <v>416</v>
      </c>
      <c r="D374" s="8" t="s">
        <v>1238</v>
      </c>
      <c r="E374" s="9">
        <v>29.21</v>
      </c>
      <c r="F374" s="8" t="s">
        <v>1740</v>
      </c>
      <c r="G374" s="10">
        <v>4197</v>
      </c>
      <c r="H374" s="132">
        <f t="array" ref="H374">IFERROR(INDEX('[25]TK KHUSUS'!$F$9:$F$187,MATCH(1,('[25]TK KHUSUS'!$E$9:$E$187=$D374)*('[25]TK KHUSUS'!$E$9:$E$187=$D374),0)),0)</f>
        <v>46148</v>
      </c>
      <c r="I374" s="8">
        <f t="array" ref="I374">IFERROR(INDEX('[25]TK KHUSUS'!$H$9:$H$187,MATCH(1,('[25]TK KHUSUS'!$E$9:$E$187=$D374)*('[25]TK KHUSUS'!$E$9:$E$187=$D374),0)),0)</f>
        <v>345</v>
      </c>
      <c r="J374" s="9">
        <f t="array" ref="J374">IFERROR(I374/G374*100,0)</f>
        <v>8.2201572551822721</v>
      </c>
      <c r="K374" s="8">
        <f t="array" ref="K374">INDEX([26]KOMPARASI!$J$20:$J$199,MATCH(1,([26]KOMPARASI!$C$20:$C$199=$D374)*([26]KOMPARASI!$C$20:$C$199=$D374),0))</f>
        <v>76</v>
      </c>
      <c r="L374" s="9">
        <f t="shared" si="6"/>
        <v>22.028985507246375</v>
      </c>
      <c r="M374" s="8" t="str">
        <f t="array" ref="M374">IF(L374&gt;5,"Perlu Pengendalian",IF(AND(L374&gt;=0,I374&gt;0),"Tidak Perlu Pengendalian","Belum Sensus"))</f>
        <v>Perlu Pengendalian</v>
      </c>
    </row>
    <row r="375" spans="1:13" x14ac:dyDescent="0.15">
      <c r="A375" s="8" t="s">
        <v>1739</v>
      </c>
      <c r="B375" s="8" t="s">
        <v>14</v>
      </c>
      <c r="C375" s="8" t="s">
        <v>416</v>
      </c>
      <c r="D375" s="8" t="s">
        <v>1239</v>
      </c>
      <c r="E375" s="9">
        <v>27.05</v>
      </c>
      <c r="F375" s="8" t="s">
        <v>1740</v>
      </c>
      <c r="G375" s="10">
        <v>4061</v>
      </c>
      <c r="H375" s="132">
        <f t="array" ref="H375">IFERROR(INDEX('[25]TK KHUSUS'!$F$9:$F$187,MATCH(1,('[25]TK KHUSUS'!$E$9:$E$187=$D375)*('[25]TK KHUSUS'!$E$9:$E$187=$D375),0)),0)</f>
        <v>46148</v>
      </c>
      <c r="I375" s="8">
        <f t="array" ref="I375">IFERROR(INDEX('[25]TK KHUSUS'!$H$9:$H$187,MATCH(1,('[25]TK KHUSUS'!$E$9:$E$187=$D375)*('[25]TK KHUSUS'!$E$9:$E$187=$D375),0)),0)</f>
        <v>290</v>
      </c>
      <c r="J375" s="9">
        <f t="array" ref="J375">IFERROR(I375/G375*100,0)</f>
        <v>7.141098251662152</v>
      </c>
      <c r="K375" s="8">
        <f t="array" ref="K375">INDEX([26]KOMPARASI!$J$20:$J$199,MATCH(1,([26]KOMPARASI!$C$20:$C$199=$D375)*([26]KOMPARASI!$C$20:$C$199=$D375),0))</f>
        <v>67</v>
      </c>
      <c r="L375" s="9">
        <f t="shared" si="6"/>
        <v>23.103448275862068</v>
      </c>
      <c r="M375" s="8" t="str">
        <f t="array" ref="M375">IF(L375&gt;5,"Perlu Pengendalian",IF(AND(L375&gt;=0,I375&gt;0),"Tidak Perlu Pengendalian","Belum Sensus"))</f>
        <v>Perlu Pengendalian</v>
      </c>
    </row>
    <row r="376" spans="1:13" x14ac:dyDescent="0.15">
      <c r="A376" s="8" t="s">
        <v>1739</v>
      </c>
      <c r="B376" s="8" t="s">
        <v>14</v>
      </c>
      <c r="C376" s="8" t="s">
        <v>416</v>
      </c>
      <c r="D376" s="8" t="s">
        <v>1240</v>
      </c>
      <c r="E376" s="9">
        <v>21.88</v>
      </c>
      <c r="F376" s="8" t="s">
        <v>1740</v>
      </c>
      <c r="G376" s="10">
        <v>3087</v>
      </c>
      <c r="H376" s="132">
        <f t="array" ref="H376">IFERROR(INDEX('[25]TK KHUSUS'!$F$9:$F$187,MATCH(1,('[25]TK KHUSUS'!$E$9:$E$187=$D376)*('[25]TK KHUSUS'!$E$9:$E$187=$D376),0)),0)</f>
        <v>46148</v>
      </c>
      <c r="I376" s="8">
        <f t="array" ref="I376">IFERROR(INDEX('[25]TK KHUSUS'!$H$9:$H$187,MATCH(1,('[25]TK KHUSUS'!$E$9:$E$187=$D376)*('[25]TK KHUSUS'!$E$9:$E$187=$D376),0)),0)</f>
        <v>195</v>
      </c>
      <c r="J376" s="9">
        <f t="array" ref="J376">IFERROR(I376/G376*100,0)</f>
        <v>6.316812439261418</v>
      </c>
      <c r="K376" s="8">
        <f t="array" ref="K376">INDEX([26]KOMPARASI!$J$20:$J$199,MATCH(1,([26]KOMPARASI!$C$20:$C$199=$D376)*([26]KOMPARASI!$C$20:$C$199=$D376),0))</f>
        <v>34</v>
      </c>
      <c r="L376" s="9">
        <f t="shared" si="6"/>
        <v>17.435897435897434</v>
      </c>
      <c r="M376" s="8" t="str">
        <f t="array" ref="M376">IF(L376&gt;5,"Perlu Pengendalian",IF(AND(L376&gt;=0,I376&gt;0),"Tidak Perlu Pengendalian","Belum Sensus"))</f>
        <v>Perlu Pengendalian</v>
      </c>
    </row>
    <row r="377" spans="1:13" x14ac:dyDescent="0.15">
      <c r="A377" s="8" t="s">
        <v>1739</v>
      </c>
      <c r="B377" s="8" t="s">
        <v>14</v>
      </c>
      <c r="C377" s="8" t="s">
        <v>416</v>
      </c>
      <c r="D377" s="8" t="s">
        <v>1241</v>
      </c>
      <c r="E377" s="9">
        <v>22.46</v>
      </c>
      <c r="F377" s="8" t="s">
        <v>1740</v>
      </c>
      <c r="G377" s="10">
        <v>2354</v>
      </c>
      <c r="H377" s="132">
        <f t="array" ref="H377">IFERROR(INDEX('[25]TK KHUSUS'!$F$9:$F$187,MATCH(1,('[25]TK KHUSUS'!$E$9:$E$187=$D377)*('[25]TK KHUSUS'!$E$9:$E$187=$D377),0)),0)</f>
        <v>46154</v>
      </c>
      <c r="I377" s="8">
        <f t="array" ref="I377">IFERROR(INDEX('[25]TK KHUSUS'!$H$9:$H$187,MATCH(1,('[25]TK KHUSUS'!$E$9:$E$187=$D377)*('[25]TK KHUSUS'!$E$9:$E$187=$D377),0)),0)</f>
        <v>210</v>
      </c>
      <c r="J377" s="9">
        <f t="array" ref="J377">IFERROR(I377/G377*100,0)</f>
        <v>8.9209855564995753</v>
      </c>
      <c r="K377" s="8">
        <f t="array" ref="K377">INDEX([26]KOMPARASI!$J$20:$J$199,MATCH(1,([26]KOMPARASI!$C$20:$C$199=$D377)*([26]KOMPARASI!$C$20:$C$199=$D377),0))</f>
        <v>56</v>
      </c>
      <c r="L377" s="9">
        <f t="shared" si="6"/>
        <v>26.666666666666668</v>
      </c>
      <c r="M377" s="8" t="str">
        <f t="array" ref="M377">IF(L377&gt;5,"Perlu Pengendalian",IF(AND(L377&gt;=0,I377&gt;0),"Tidak Perlu Pengendalian","Belum Sensus"))</f>
        <v>Perlu Pengendalian</v>
      </c>
    </row>
    <row r="378" spans="1:13" x14ac:dyDescent="0.15">
      <c r="A378" s="8" t="s">
        <v>1739</v>
      </c>
      <c r="B378" s="8" t="s">
        <v>14</v>
      </c>
      <c r="C378" s="8" t="s">
        <v>416</v>
      </c>
      <c r="D378" s="8" t="s">
        <v>1242</v>
      </c>
      <c r="E378" s="9">
        <v>28.29</v>
      </c>
      <c r="F378" s="8" t="s">
        <v>1740</v>
      </c>
      <c r="G378" s="10">
        <v>3163</v>
      </c>
      <c r="H378" s="132">
        <f t="array" ref="H378">IFERROR(INDEX('[25]TK KHUSUS'!$F$9:$F$187,MATCH(1,('[25]TK KHUSUS'!$E$9:$E$187=$D378)*('[25]TK KHUSUS'!$E$9:$E$187=$D378),0)),0)</f>
        <v>46154</v>
      </c>
      <c r="I378" s="8">
        <f t="array" ref="I378">IFERROR(INDEX('[25]TK KHUSUS'!$H$9:$H$187,MATCH(1,('[25]TK KHUSUS'!$E$9:$E$187=$D378)*('[25]TK KHUSUS'!$E$9:$E$187=$D378),0)),0)</f>
        <v>219</v>
      </c>
      <c r="J378" s="9">
        <f t="array" ref="J378">IFERROR(I378/G378*100,0)</f>
        <v>6.9238065128042994</v>
      </c>
      <c r="K378" s="8">
        <f t="array" ref="K378">INDEX([26]KOMPARASI!$J$20:$J$199,MATCH(1,([26]KOMPARASI!$C$20:$C$199=$D378)*([26]KOMPARASI!$C$20:$C$199=$D378),0))</f>
        <v>59</v>
      </c>
      <c r="L378" s="9">
        <f t="shared" si="6"/>
        <v>26.94063926940639</v>
      </c>
      <c r="M378" s="8" t="str">
        <f t="array" ref="M378">IF(L378&gt;5,"Perlu Pengendalian",IF(AND(L378&gt;=0,I378&gt;0),"Tidak Perlu Pengendalian","Belum Sensus"))</f>
        <v>Perlu Pengendalian</v>
      </c>
    </row>
    <row r="379" spans="1:13" x14ac:dyDescent="0.15">
      <c r="A379" s="8" t="s">
        <v>1739</v>
      </c>
      <c r="B379" s="8" t="s">
        <v>14</v>
      </c>
      <c r="C379" s="8" t="s">
        <v>416</v>
      </c>
      <c r="D379" s="8" t="s">
        <v>1243</v>
      </c>
      <c r="E379" s="9">
        <v>28.85</v>
      </c>
      <c r="F379" s="8" t="s">
        <v>1740</v>
      </c>
      <c r="G379" s="10">
        <v>3771</v>
      </c>
      <c r="H379" s="132">
        <f t="array" ref="H379">IFERROR(INDEX('[25]TK KHUSUS'!$F$9:$F$187,MATCH(1,('[25]TK KHUSUS'!$E$9:$E$187=$D379)*('[25]TK KHUSUS'!$E$9:$E$187=$D379),0)),0)</f>
        <v>46157</v>
      </c>
      <c r="I379" s="8">
        <f t="array" ref="I379">IFERROR(INDEX('[25]TK KHUSUS'!$H$9:$H$187,MATCH(1,('[25]TK KHUSUS'!$E$9:$E$187=$D379)*('[25]TK KHUSUS'!$E$9:$E$187=$D379),0)),0)</f>
        <v>216</v>
      </c>
      <c r="J379" s="9">
        <f t="array" ref="J379">IFERROR(I379/G379*100,0)</f>
        <v>5.7279236276849641</v>
      </c>
      <c r="K379" s="8">
        <f t="array" ref="K379">INDEX([26]KOMPARASI!$J$20:$J$199,MATCH(1,([26]KOMPARASI!$C$20:$C$199=$D379)*([26]KOMPARASI!$C$20:$C$199=$D379),0))</f>
        <v>62</v>
      </c>
      <c r="L379" s="9">
        <f t="shared" si="6"/>
        <v>28.703703703703702</v>
      </c>
      <c r="M379" s="8" t="str">
        <f t="array" ref="M379">IF(L379&gt;5,"Perlu Pengendalian",IF(AND(L379&gt;=0,I379&gt;0),"Tidak Perlu Pengendalian","Belum Sensus"))</f>
        <v>Perlu Pengendalian</v>
      </c>
    </row>
    <row r="380" spans="1:13" x14ac:dyDescent="0.15">
      <c r="A380" s="8" t="s">
        <v>1739</v>
      </c>
      <c r="B380" s="8" t="s">
        <v>14</v>
      </c>
      <c r="C380" s="8" t="s">
        <v>416</v>
      </c>
      <c r="D380" s="8" t="s">
        <v>1244</v>
      </c>
      <c r="E380" s="9">
        <v>27.58</v>
      </c>
      <c r="F380" s="8" t="s">
        <v>1740</v>
      </c>
      <c r="G380" s="10">
        <v>3456</v>
      </c>
      <c r="H380" s="132">
        <f t="array" ref="H380">IFERROR(INDEX('[25]TK KHUSUS'!$F$9:$F$187,MATCH(1,('[25]TK KHUSUS'!$E$9:$E$187=$D380)*('[25]TK KHUSUS'!$E$9:$E$187=$D380),0)),0)</f>
        <v>46157</v>
      </c>
      <c r="I380" s="8">
        <f t="array" ref="I380">IFERROR(INDEX('[25]TK KHUSUS'!$H$9:$H$187,MATCH(1,('[25]TK KHUSUS'!$E$9:$E$187=$D380)*('[25]TK KHUSUS'!$E$9:$E$187=$D380),0)),0)</f>
        <v>325</v>
      </c>
      <c r="J380" s="9">
        <f t="array" ref="J380">IFERROR(I380/G380*100,0)</f>
        <v>9.4039351851851851</v>
      </c>
      <c r="K380" s="8">
        <f t="array" ref="K380">INDEX([26]KOMPARASI!$J$20:$J$199,MATCH(1,([26]KOMPARASI!$C$20:$C$199=$D380)*([26]KOMPARASI!$C$20:$C$199=$D380),0))</f>
        <v>70</v>
      </c>
      <c r="L380" s="9">
        <f t="shared" si="6"/>
        <v>21.53846153846154</v>
      </c>
      <c r="M380" s="8" t="str">
        <f t="array" ref="M380">IF(L380&gt;5,"Perlu Pengendalian",IF(AND(L380&gt;=0,I380&gt;0),"Tidak Perlu Pengendalian","Belum Sensus"))</f>
        <v>Perlu Pengendalian</v>
      </c>
    </row>
    <row r="381" spans="1:13" x14ac:dyDescent="0.15">
      <c r="A381" s="8" t="s">
        <v>1739</v>
      </c>
      <c r="B381" s="8" t="s">
        <v>14</v>
      </c>
      <c r="C381" s="8" t="s">
        <v>416</v>
      </c>
      <c r="D381" s="8" t="s">
        <v>1245</v>
      </c>
      <c r="E381" s="9">
        <v>26.48</v>
      </c>
      <c r="F381" s="8" t="s">
        <v>1740</v>
      </c>
      <c r="G381" s="10">
        <v>3210</v>
      </c>
      <c r="H381" s="132">
        <f t="array" ref="H381">IFERROR(INDEX('[25]TK KHUSUS'!$F$9:$F$187,MATCH(1,('[25]TK KHUSUS'!$E$9:$E$187=$D381)*('[25]TK KHUSUS'!$E$9:$E$187=$D381),0)),0)</f>
        <v>46159</v>
      </c>
      <c r="I381" s="8">
        <f t="array" ref="I381">IFERROR(INDEX('[25]TK KHUSUS'!$H$9:$H$187,MATCH(1,('[25]TK KHUSUS'!$E$9:$E$187=$D381)*('[25]TK KHUSUS'!$E$9:$E$187=$D381),0)),0)</f>
        <v>158</v>
      </c>
      <c r="J381" s="9">
        <f t="array" ref="J381">IFERROR(I381/G381*100,0)</f>
        <v>4.9221183800623054</v>
      </c>
      <c r="K381" s="8">
        <f t="array" ref="K381">INDEX([26]KOMPARASI!$J$20:$J$199,MATCH(1,([26]KOMPARASI!$C$20:$C$199=$D381)*([26]KOMPARASI!$C$20:$C$199=$D381),0))</f>
        <v>0</v>
      </c>
      <c r="L381" s="9">
        <f t="shared" si="6"/>
        <v>0</v>
      </c>
      <c r="M381" s="8" t="str">
        <f t="array" ref="M381">IF(L381&gt;5,"Perlu Pengendalian",IF(AND(L381&gt;=0,I381&gt;0),"Tidak Perlu Pengendalian","Belum Sensus"))</f>
        <v>Tidak Perlu Pengendalian</v>
      </c>
    </row>
    <row r="382" spans="1:13" x14ac:dyDescent="0.15">
      <c r="A382" s="8" t="s">
        <v>1739</v>
      </c>
      <c r="B382" s="8" t="s">
        <v>14</v>
      </c>
      <c r="C382" s="8" t="s">
        <v>416</v>
      </c>
      <c r="D382" s="8" t="s">
        <v>1246</v>
      </c>
      <c r="E382" s="9">
        <v>24.28</v>
      </c>
      <c r="F382" s="8" t="s">
        <v>1740</v>
      </c>
      <c r="G382" s="10">
        <v>3407</v>
      </c>
      <c r="H382" s="132">
        <f t="array" ref="H382">IFERROR(INDEX('[25]TK KHUSUS'!$F$9:$F$187,MATCH(1,('[25]TK KHUSUS'!$E$9:$E$187=$D382)*('[25]TK KHUSUS'!$E$9:$E$187=$D382),0)),0)</f>
        <v>46159</v>
      </c>
      <c r="I382" s="8">
        <f t="array" ref="I382">IFERROR(INDEX('[25]TK KHUSUS'!$H$9:$H$187,MATCH(1,('[25]TK KHUSUS'!$E$9:$E$187=$D382)*('[25]TK KHUSUS'!$E$9:$E$187=$D382),0)),0)</f>
        <v>151</v>
      </c>
      <c r="J382" s="9">
        <f t="array" ref="J382">IFERROR(I382/G382*100,0)</f>
        <v>4.4320516583504546</v>
      </c>
      <c r="K382" s="8">
        <f t="array" ref="K382">INDEX([26]KOMPARASI!$J$20:$J$199,MATCH(1,([26]KOMPARASI!$C$20:$C$199=$D382)*([26]KOMPARASI!$C$20:$C$199=$D382),0))</f>
        <v>0</v>
      </c>
      <c r="L382" s="9">
        <f t="shared" si="6"/>
        <v>0</v>
      </c>
      <c r="M382" s="8" t="str">
        <f t="array" ref="M382">IF(L382&gt;5,"Perlu Pengendalian",IF(AND(L382&gt;=0,I382&gt;0),"Tidak Perlu Pengendalian","Belum Sensus"))</f>
        <v>Tidak Perlu Pengendalian</v>
      </c>
    </row>
    <row r="383" spans="1:13" x14ac:dyDescent="0.15">
      <c r="A383" s="8" t="s">
        <v>1739</v>
      </c>
      <c r="B383" s="8" t="s">
        <v>14</v>
      </c>
      <c r="C383" s="8" t="s">
        <v>416</v>
      </c>
      <c r="D383" s="8" t="s">
        <v>1247</v>
      </c>
      <c r="E383" s="9">
        <v>29.73</v>
      </c>
      <c r="F383" s="8" t="s">
        <v>1740</v>
      </c>
      <c r="G383" s="10">
        <v>4080</v>
      </c>
      <c r="H383" s="132">
        <f t="array" ref="H383">IFERROR(INDEX('[25]TK KHUSUS'!$F$9:$F$187,MATCH(1,('[25]TK KHUSUS'!$E$9:$E$187=$D383)*('[25]TK KHUSUS'!$E$9:$E$187=$D383),0)),0)</f>
        <v>46148</v>
      </c>
      <c r="I383" s="8">
        <f t="array" ref="I383">IFERROR(INDEX('[25]TK KHUSUS'!$H$9:$H$187,MATCH(1,('[25]TK KHUSUS'!$E$9:$E$187=$D383)*('[25]TK KHUSUS'!$E$9:$E$187=$D383),0)),0)</f>
        <v>385</v>
      </c>
      <c r="J383" s="9">
        <f t="array" ref="J383">IFERROR(I383/G383*100,0)</f>
        <v>9.4362745098039209</v>
      </c>
      <c r="K383" s="8">
        <f t="array" ref="K383">INDEX([26]KOMPARASI!$J$20:$J$199,MATCH(1,([26]KOMPARASI!$C$20:$C$199=$D383)*([26]KOMPARASI!$C$20:$C$199=$D383),0))</f>
        <v>52</v>
      </c>
      <c r="L383" s="9">
        <f t="shared" si="6"/>
        <v>13.506493506493506</v>
      </c>
      <c r="M383" s="8" t="str">
        <f t="array" ref="M383">IF(L383&gt;5,"Perlu Pengendalian",IF(AND(L383&gt;=0,I383&gt;0),"Tidak Perlu Pengendalian","Belum Sensus"))</f>
        <v>Perlu Pengendalian</v>
      </c>
    </row>
    <row r="384" spans="1:13" x14ac:dyDescent="0.15">
      <c r="A384" s="8" t="s">
        <v>1739</v>
      </c>
      <c r="B384" s="8" t="s">
        <v>14</v>
      </c>
      <c r="C384" s="8" t="s">
        <v>416</v>
      </c>
      <c r="D384" s="8" t="s">
        <v>1248</v>
      </c>
      <c r="E384" s="9">
        <v>29.54</v>
      </c>
      <c r="F384" s="8" t="s">
        <v>1740</v>
      </c>
      <c r="G384" s="10">
        <v>3594</v>
      </c>
      <c r="H384" s="132">
        <f t="array" ref="H384">IFERROR(INDEX('[25]TK KHUSUS'!$F$9:$F$187,MATCH(1,('[25]TK KHUSUS'!$E$9:$E$187=$D384)*('[25]TK KHUSUS'!$E$9:$E$187=$D384),0)),0)</f>
        <v>46153</v>
      </c>
      <c r="I384" s="8">
        <f t="array" ref="I384">IFERROR(INDEX('[25]TK KHUSUS'!$H$9:$H$187,MATCH(1,('[25]TK KHUSUS'!$E$9:$E$187=$D384)*('[25]TK KHUSUS'!$E$9:$E$187=$D384),0)),0)</f>
        <v>186</v>
      </c>
      <c r="J384" s="9">
        <f t="array" ref="J384">IFERROR(I384/G384*100,0)</f>
        <v>5.1752921535893153</v>
      </c>
      <c r="K384" s="8">
        <f t="array" ref="K384">INDEX([26]KOMPARASI!$J$20:$J$199,MATCH(1,([26]KOMPARASI!$C$20:$C$199=$D384)*([26]KOMPARASI!$C$20:$C$199=$D384),0))</f>
        <v>44</v>
      </c>
      <c r="L384" s="9">
        <f t="shared" si="6"/>
        <v>23.655913978494624</v>
      </c>
      <c r="M384" s="8" t="str">
        <f t="array" ref="M384">IF(L384&gt;5,"Perlu Pengendalian",IF(AND(L384&gt;=0,I384&gt;0),"Tidak Perlu Pengendalian","Belum Sensus"))</f>
        <v>Perlu Pengendalian</v>
      </c>
    </row>
    <row r="385" spans="1:23" x14ac:dyDescent="0.15">
      <c r="A385" s="8" t="s">
        <v>1739</v>
      </c>
      <c r="B385" s="8" t="s">
        <v>14</v>
      </c>
      <c r="C385" s="8" t="s">
        <v>416</v>
      </c>
      <c r="D385" s="8" t="s">
        <v>1249</v>
      </c>
      <c r="E385" s="9">
        <v>29.37</v>
      </c>
      <c r="F385" s="8" t="s">
        <v>1740</v>
      </c>
      <c r="G385" s="10">
        <v>3727</v>
      </c>
      <c r="H385" s="132">
        <f t="array" ref="H385">IFERROR(INDEX('[25]TK KHUSUS'!$F$9:$F$187,MATCH(1,('[25]TK KHUSUS'!$E$9:$E$187=$D385)*('[25]TK KHUSUS'!$E$9:$E$187=$D385),0)),0)</f>
        <v>46153</v>
      </c>
      <c r="I385" s="8">
        <f t="array" ref="I385">IFERROR(INDEX('[25]TK KHUSUS'!$H$9:$H$187,MATCH(1,('[25]TK KHUSUS'!$E$9:$E$187=$D385)*('[25]TK KHUSUS'!$E$9:$E$187=$D385),0)),0)</f>
        <v>109</v>
      </c>
      <c r="J385" s="9">
        <f t="array" ref="J385">IFERROR(I385/G385*100,0)</f>
        <v>2.9246042393345855</v>
      </c>
      <c r="K385" s="8">
        <f t="array" ref="K385">INDEX([26]KOMPARASI!$J$20:$J$199,MATCH(1,([26]KOMPARASI!$C$20:$C$199=$D385)*([26]KOMPARASI!$C$20:$C$199=$D385),0))</f>
        <v>27</v>
      </c>
      <c r="L385" s="9">
        <f t="shared" si="6"/>
        <v>24.770642201834864</v>
      </c>
      <c r="M385" s="8" t="str">
        <f t="array" ref="M385">IF(L385&gt;5,"Perlu Pengendalian",IF(AND(L385&gt;=0,I385&gt;0),"Tidak Perlu Pengendalian","Belum Sensus"))</f>
        <v>Perlu Pengendalian</v>
      </c>
    </row>
    <row r="386" spans="1:23" x14ac:dyDescent="0.15">
      <c r="A386" s="8" t="s">
        <v>1739</v>
      </c>
      <c r="B386" s="8" t="s">
        <v>14</v>
      </c>
      <c r="C386" s="8" t="s">
        <v>416</v>
      </c>
      <c r="D386" s="8" t="s">
        <v>1250</v>
      </c>
      <c r="E386" s="9">
        <v>33.299999999999997</v>
      </c>
      <c r="F386" s="8" t="s">
        <v>1740</v>
      </c>
      <c r="G386" s="10">
        <v>5009</v>
      </c>
      <c r="H386" s="132">
        <f t="array" ref="H386">IFERROR(INDEX('[25]TK KHUSUS'!$F$9:$F$187,MATCH(1,('[25]TK KHUSUS'!$E$9:$E$187=$D386)*('[25]TK KHUSUS'!$E$9:$E$187=$D386),0)),0)</f>
        <v>46151</v>
      </c>
      <c r="I386" s="8">
        <f t="array" ref="I386">IFERROR(INDEX('[25]TK KHUSUS'!$H$9:$H$187,MATCH(1,('[25]TK KHUSUS'!$E$9:$E$187=$D386)*('[25]TK KHUSUS'!$E$9:$E$187=$D386),0)),0)</f>
        <v>329</v>
      </c>
      <c r="J386" s="9">
        <f t="array" ref="J386">IFERROR(I386/G386*100,0)</f>
        <v>6.5681772808943899</v>
      </c>
      <c r="K386" s="8">
        <f t="array" ref="K386">INDEX([26]KOMPARASI!$J$20:$J$199,MATCH(1,([26]KOMPARASI!$C$20:$C$199=$D386)*([26]KOMPARASI!$C$20:$C$199=$D386),0))</f>
        <v>49</v>
      </c>
      <c r="L386" s="9">
        <f t="shared" si="6"/>
        <v>14.893617021276595</v>
      </c>
      <c r="M386" s="8" t="str">
        <f t="array" ref="M386">IF(L386&gt;5,"Perlu Pengendalian",IF(AND(L386&gt;=0,I386&gt;0),"Tidak Perlu Pengendalian","Belum Sensus"))</f>
        <v>Perlu Pengendalian</v>
      </c>
    </row>
    <row r="387" spans="1:23" x14ac:dyDescent="0.15">
      <c r="A387" s="8" t="s">
        <v>1739</v>
      </c>
      <c r="B387" s="8" t="s">
        <v>14</v>
      </c>
      <c r="C387" s="8" t="s">
        <v>416</v>
      </c>
      <c r="D387" s="8" t="s">
        <v>1251</v>
      </c>
      <c r="E387" s="9">
        <v>32.6</v>
      </c>
      <c r="F387" s="8" t="s">
        <v>1740</v>
      </c>
      <c r="G387" s="10">
        <v>4360</v>
      </c>
      <c r="H387" s="132">
        <f t="array" ref="H387">IFERROR(INDEX('[25]TK KHUSUS'!$F$9:$F$187,MATCH(1,('[25]TK KHUSUS'!$E$9:$E$187=$D387)*('[25]TK KHUSUS'!$E$9:$E$187=$D387),0)),0)</f>
        <v>46151</v>
      </c>
      <c r="I387" s="8">
        <f t="array" ref="I387">IFERROR(INDEX('[25]TK KHUSUS'!$H$9:$H$187,MATCH(1,('[25]TK KHUSUS'!$E$9:$E$187=$D387)*('[25]TK KHUSUS'!$E$9:$E$187=$D387),0)),0)</f>
        <v>359</v>
      </c>
      <c r="J387" s="9">
        <f t="array" ref="J387">IFERROR(I387/G387*100,0)</f>
        <v>8.2339449541284395</v>
      </c>
      <c r="K387" s="8">
        <f t="array" ref="K387">INDEX([26]KOMPARASI!$J$20:$J$199,MATCH(1,([26]KOMPARASI!$C$20:$C$199=$D387)*([26]KOMPARASI!$C$20:$C$199=$D387),0))</f>
        <v>47</v>
      </c>
      <c r="L387" s="9">
        <f t="shared" si="6"/>
        <v>13.09192200557103</v>
      </c>
      <c r="M387" s="8" t="str">
        <f t="array" ref="M387">IF(L387&gt;5,"Perlu Pengendalian",IF(AND(L387&gt;=0,I387&gt;0),"Tidak Perlu Pengendalian","Belum Sensus"))</f>
        <v>Perlu Pengendalian</v>
      </c>
    </row>
    <row r="388" spans="1:23" x14ac:dyDescent="0.15">
      <c r="A388" s="8" t="s">
        <v>1739</v>
      </c>
      <c r="B388" s="8" t="s">
        <v>14</v>
      </c>
      <c r="C388" s="8" t="s">
        <v>416</v>
      </c>
      <c r="D388" s="8" t="s">
        <v>1252</v>
      </c>
      <c r="E388" s="9">
        <v>21.81</v>
      </c>
      <c r="F388" s="8" t="s">
        <v>1740</v>
      </c>
      <c r="G388" s="10">
        <v>2638</v>
      </c>
      <c r="H388" s="132">
        <f t="array" ref="H388">IFERROR(INDEX('[25]TK KHUSUS'!$F$9:$F$187,MATCH(1,('[25]TK KHUSUS'!$E$9:$E$187=$D388)*('[25]TK KHUSUS'!$E$9:$E$187=$D388),0)),0)</f>
        <v>46150</v>
      </c>
      <c r="I388" s="8">
        <f t="array" ref="I388">IFERROR(INDEX('[25]TK KHUSUS'!$H$9:$H$187,MATCH(1,('[25]TK KHUSUS'!$E$9:$E$187=$D388)*('[25]TK KHUSUS'!$E$9:$E$187=$D388),0)),0)</f>
        <v>339</v>
      </c>
      <c r="J388" s="9">
        <f t="array" ref="J388">IFERROR(I388/G388*100,0)</f>
        <v>12.850644427596663</v>
      </c>
      <c r="K388" s="8">
        <f t="array" ref="K388">INDEX([26]KOMPARASI!$J$20:$J$199,MATCH(1,([26]KOMPARASI!$C$20:$C$199=$D388)*([26]KOMPARASI!$C$20:$C$199=$D388),0))</f>
        <v>81</v>
      </c>
      <c r="L388" s="9">
        <f t="shared" si="6"/>
        <v>23.893805309734514</v>
      </c>
      <c r="M388" s="8" t="str">
        <f t="array" ref="M388">IF(L388&gt;5,"Perlu Pengendalian",IF(AND(L388&gt;=0,I388&gt;0),"Tidak Perlu Pengendalian","Belum Sensus"))</f>
        <v>Perlu Pengendalian</v>
      </c>
    </row>
    <row r="389" spans="1:23" x14ac:dyDescent="0.15">
      <c r="A389" s="8" t="s">
        <v>1739</v>
      </c>
      <c r="B389" s="8" t="s">
        <v>14</v>
      </c>
      <c r="C389" s="8" t="s">
        <v>416</v>
      </c>
      <c r="D389" s="8" t="s">
        <v>1253</v>
      </c>
      <c r="E389" s="9">
        <v>24.09</v>
      </c>
      <c r="F389" s="8" t="s">
        <v>1740</v>
      </c>
      <c r="G389" s="10">
        <v>3113</v>
      </c>
      <c r="H389" s="132">
        <f t="array" ref="H389">IFERROR(INDEX('[25]TK KHUSUS'!$F$9:$F$187,MATCH(1,('[25]TK KHUSUS'!$E$9:$E$187=$D389)*('[25]TK KHUSUS'!$E$9:$E$187=$D389),0)),0)</f>
        <v>46150</v>
      </c>
      <c r="I389" s="8">
        <f t="array" ref="I389">IFERROR(INDEX('[25]TK KHUSUS'!$H$9:$H$187,MATCH(1,('[25]TK KHUSUS'!$E$9:$E$187=$D389)*('[25]TK KHUSUS'!$E$9:$E$187=$D389),0)),0)</f>
        <v>283</v>
      </c>
      <c r="J389" s="9">
        <f t="array" ref="J389">IFERROR(I389/G389*100,0)</f>
        <v>9.0909090909090917</v>
      </c>
      <c r="K389" s="8">
        <f t="array" ref="K389">INDEX([26]KOMPARASI!$J$20:$J$199,MATCH(1,([26]KOMPARASI!$C$20:$C$199=$D389)*([26]KOMPARASI!$C$20:$C$199=$D389),0))</f>
        <v>60</v>
      </c>
      <c r="L389" s="9">
        <f t="shared" si="6"/>
        <v>21.201413427561839</v>
      </c>
      <c r="M389" s="8" t="str">
        <f t="array" ref="M389">IF(L389&gt;5,"Perlu Pengendalian",IF(AND(L389&gt;=0,I389&gt;0),"Tidak Perlu Pengendalian","Belum Sensus"))</f>
        <v>Perlu Pengendalian</v>
      </c>
    </row>
    <row r="390" spans="1:23" x14ac:dyDescent="0.15">
      <c r="A390" s="8" t="s">
        <v>1739</v>
      </c>
      <c r="B390" s="8" t="s">
        <v>14</v>
      </c>
      <c r="C390" s="8" t="s">
        <v>416</v>
      </c>
      <c r="D390" s="8" t="s">
        <v>1254</v>
      </c>
      <c r="E390" s="9">
        <v>23.88</v>
      </c>
      <c r="F390" s="8" t="s">
        <v>1740</v>
      </c>
      <c r="G390" s="10">
        <v>3157</v>
      </c>
      <c r="H390" s="132">
        <f t="array" ref="H390">IFERROR(INDEX('[25]TK KHUSUS'!$F$9:$F$187,MATCH(1,('[25]TK KHUSUS'!$E$9:$E$187=$D390)*('[25]TK KHUSUS'!$E$9:$E$187=$D390),0)),0)</f>
        <v>46151</v>
      </c>
      <c r="I390" s="8">
        <f t="array" ref="I390">IFERROR(INDEX('[25]TK KHUSUS'!$H$9:$H$187,MATCH(1,('[25]TK KHUSUS'!$E$9:$E$187=$D390)*('[25]TK KHUSUS'!$E$9:$E$187=$D390),0)),0)</f>
        <v>289</v>
      </c>
      <c r="J390" s="9">
        <f t="array" ref="J390">IFERROR(I390/G390*100,0)</f>
        <v>9.1542603737725692</v>
      </c>
      <c r="K390" s="8">
        <f t="array" ref="K390">INDEX([26]KOMPARASI!$J$20:$J$199,MATCH(1,([26]KOMPARASI!$C$20:$C$199=$D390)*([26]KOMPARASI!$C$20:$C$199=$D390),0))</f>
        <v>61</v>
      </c>
      <c r="L390" s="9">
        <f t="shared" si="6"/>
        <v>21.107266435986158</v>
      </c>
      <c r="M390" s="8" t="str">
        <f t="array" ref="M390">IF(L390&gt;5,"Perlu Pengendalian",IF(AND(L390&gt;=0,I390&gt;0),"Tidak Perlu Pengendalian","Belum Sensus"))</f>
        <v>Perlu Pengendalian</v>
      </c>
    </row>
    <row r="391" spans="1:23" x14ac:dyDescent="0.15">
      <c r="A391" s="8" t="s">
        <v>1739</v>
      </c>
      <c r="B391" s="8" t="s">
        <v>14</v>
      </c>
      <c r="C391" s="8" t="s">
        <v>416</v>
      </c>
      <c r="D391" s="8" t="s">
        <v>1255</v>
      </c>
      <c r="E391" s="9">
        <v>23.69</v>
      </c>
      <c r="F391" s="8" t="s">
        <v>1740</v>
      </c>
      <c r="G391" s="10">
        <v>2671</v>
      </c>
      <c r="H391" s="132">
        <f t="array" ref="H391">IFERROR(INDEX('[25]TK KHUSUS'!$F$9:$F$187,MATCH(1,('[25]TK KHUSUS'!$E$9:$E$187=$D391)*('[25]TK KHUSUS'!$E$9:$E$187=$D391),0)),0)</f>
        <v>46151</v>
      </c>
      <c r="I391" s="8">
        <f t="array" ref="I391">IFERROR(INDEX('[25]TK KHUSUS'!$H$9:$H$187,MATCH(1,('[25]TK KHUSUS'!$E$9:$E$187=$D391)*('[25]TK KHUSUS'!$E$9:$E$187=$D391),0)),0)</f>
        <v>274</v>
      </c>
      <c r="J391" s="9">
        <f t="array" ref="J391">IFERROR(I391/G391*100,0)</f>
        <v>10.258330213403219</v>
      </c>
      <c r="K391" s="8">
        <f t="array" ref="K391">INDEX([26]KOMPARASI!$J$20:$J$199,MATCH(1,([26]KOMPARASI!$C$20:$C$199=$D391)*([26]KOMPARASI!$C$20:$C$199=$D391),0))</f>
        <v>48</v>
      </c>
      <c r="L391" s="9">
        <f t="shared" si="6"/>
        <v>17.518248175182482</v>
      </c>
      <c r="M391" s="8" t="str">
        <f t="array" ref="M391">IF(L391&gt;5,"Perlu Pengendalian",IF(AND(L391&gt;=0,I391&gt;0),"Tidak Perlu Pengendalian","Belum Sensus"))</f>
        <v>Perlu Pengendalian</v>
      </c>
    </row>
    <row r="392" spans="1:23" x14ac:dyDescent="0.15">
      <c r="A392" s="8" t="s">
        <v>1739</v>
      </c>
      <c r="B392" s="8" t="s">
        <v>14</v>
      </c>
      <c r="C392" s="8" t="s">
        <v>416</v>
      </c>
      <c r="D392" s="8" t="s">
        <v>1256</v>
      </c>
      <c r="E392" s="9">
        <v>40.270000000000003</v>
      </c>
      <c r="F392" s="8" t="s">
        <v>1740</v>
      </c>
      <c r="G392" s="10">
        <v>5410</v>
      </c>
      <c r="H392" s="132">
        <f t="array" ref="H392">IFERROR(INDEX('[25]TK KHUSUS'!$F$9:$F$187,MATCH(1,('[25]TK KHUSUS'!$E$9:$E$187=$D392)*('[25]TK KHUSUS'!$E$9:$E$187=$D392),0)),0)</f>
        <v>46155</v>
      </c>
      <c r="I392" s="8">
        <f t="array" ref="I392">IFERROR(INDEX('[25]TK KHUSUS'!$H$9:$H$187,MATCH(1,('[25]TK KHUSUS'!$E$9:$E$187=$D392)*('[25]TK KHUSUS'!$E$9:$E$187=$D392),0)),0)</f>
        <v>258</v>
      </c>
      <c r="J392" s="9">
        <f t="array" ref="J392">IFERROR(I392/G392*100,0)</f>
        <v>4.7689463955637708</v>
      </c>
      <c r="K392" s="8">
        <f t="array" ref="K392">INDEX([26]KOMPARASI!$J$20:$J$199,MATCH(1,([26]KOMPARASI!$C$20:$C$199=$D392)*([26]KOMPARASI!$C$20:$C$199=$D392),0))</f>
        <v>43</v>
      </c>
      <c r="L392" s="9">
        <f t="shared" si="6"/>
        <v>16.666666666666664</v>
      </c>
      <c r="M392" s="8" t="str">
        <f t="array" ref="M392">IF(L392&gt;5,"Perlu Pengendalian",IF(AND(L392&gt;=0,I392&gt;0),"Tidak Perlu Pengendalian","Belum Sensus"))</f>
        <v>Perlu Pengendalian</v>
      </c>
    </row>
    <row r="393" spans="1:23" x14ac:dyDescent="0.15">
      <c r="A393" s="8" t="s">
        <v>1739</v>
      </c>
      <c r="B393" s="8" t="s">
        <v>14</v>
      </c>
      <c r="C393" s="8" t="s">
        <v>416</v>
      </c>
      <c r="D393" s="8" t="s">
        <v>1257</v>
      </c>
      <c r="E393" s="9">
        <v>37.99</v>
      </c>
      <c r="F393" s="8" t="s">
        <v>1740</v>
      </c>
      <c r="G393" s="10">
        <v>5100</v>
      </c>
      <c r="H393" s="132">
        <f t="array" ref="H393">IFERROR(INDEX('[25]TK KHUSUS'!$F$9:$F$187,MATCH(1,('[25]TK KHUSUS'!$E$9:$E$187=$D393)*('[25]TK KHUSUS'!$E$9:$E$187=$D393),0)),0)</f>
        <v>46155</v>
      </c>
      <c r="I393" s="8">
        <f t="array" ref="I393">IFERROR(INDEX('[25]TK KHUSUS'!$H$9:$H$187,MATCH(1,('[25]TK KHUSUS'!$E$9:$E$187=$D393)*('[25]TK KHUSUS'!$E$9:$E$187=$D393),0)),0)</f>
        <v>84</v>
      </c>
      <c r="J393" s="9">
        <f t="array" ref="J393">IFERROR(I393/G393*100,0)</f>
        <v>1.6470588235294119</v>
      </c>
      <c r="K393" s="8">
        <f t="array" ref="K393">INDEX([26]KOMPARASI!$J$20:$J$199,MATCH(1,([26]KOMPARASI!$C$20:$C$199=$D393)*([26]KOMPARASI!$C$20:$C$199=$D393),0))</f>
        <v>25</v>
      </c>
      <c r="L393" s="9">
        <f t="shared" si="6"/>
        <v>29.761904761904763</v>
      </c>
      <c r="M393" s="8" t="str">
        <f t="array" ref="M393">IF(L393&gt;5,"Perlu Pengendalian",IF(AND(L393&gt;=0,I393&gt;0),"Tidak Perlu Pengendalian","Belum Sensus"))</f>
        <v>Perlu Pengendalian</v>
      </c>
      <c r="S393" s="289" t="s">
        <v>2117</v>
      </c>
      <c r="T393" s="289"/>
      <c r="U393" s="289"/>
      <c r="V393" s="289"/>
      <c r="W393" s="289"/>
    </row>
    <row r="394" spans="1:23" x14ac:dyDescent="0.15">
      <c r="A394" s="8"/>
      <c r="B394" s="8"/>
      <c r="C394" s="8"/>
      <c r="D394" s="8"/>
      <c r="E394" s="9"/>
      <c r="F394" s="8"/>
      <c r="G394" s="10"/>
      <c r="H394" s="11"/>
      <c r="I394" s="8"/>
      <c r="J394" s="9">
        <f t="array" ref="J394">IFERROR(I394/G394*100,0)</f>
        <v>0</v>
      </c>
      <c r="K394" s="8"/>
      <c r="L394" s="9">
        <f t="shared" si="6"/>
        <v>0</v>
      </c>
      <c r="M394" s="8" t="str">
        <f t="array" ref="M394">IF(L394&gt;5,"Perlu Pengendalian",IF(AND(L394&gt;=0,I394&gt;0),"Tidak Perlu Pengendalian","Belum Sensus"))</f>
        <v>Belum Sensus</v>
      </c>
    </row>
    <row r="395" spans="1:23" x14ac:dyDescent="0.15">
      <c r="A395" s="8"/>
      <c r="B395" s="8"/>
      <c r="C395" s="8"/>
      <c r="D395" s="8"/>
      <c r="E395" s="9"/>
      <c r="F395" s="8"/>
      <c r="G395" s="10"/>
      <c r="H395" s="11"/>
      <c r="I395" s="8"/>
      <c r="J395" s="9">
        <f t="array" ref="J395">IFERROR(I395/G395*100,0)</f>
        <v>0</v>
      </c>
      <c r="K395" s="8"/>
      <c r="L395" s="9">
        <f t="shared" si="6"/>
        <v>0</v>
      </c>
      <c r="M395" s="8" t="str">
        <f t="array" ref="M395">IF(L395&gt;5,"Perlu Pengendalian",IF(AND(L395&gt;=0,I395&gt;0),"Tidak Perlu Pengendalian","Belum Sensus"))</f>
        <v>Belum Sensus</v>
      </c>
    </row>
    <row r="396" spans="1:23" x14ac:dyDescent="0.15">
      <c r="A396" s="8"/>
      <c r="B396" s="8"/>
      <c r="C396" s="8"/>
      <c r="D396" s="8"/>
      <c r="E396" s="9"/>
      <c r="F396" s="8"/>
      <c r="G396" s="10"/>
      <c r="H396" s="11"/>
      <c r="I396" s="8"/>
      <c r="J396" s="9">
        <f t="array" ref="J396">IFERROR(I396/G396*100,0)</f>
        <v>0</v>
      </c>
      <c r="K396" s="8"/>
      <c r="L396" s="9">
        <f t="shared" si="6"/>
        <v>0</v>
      </c>
      <c r="M396" s="8" t="str">
        <f t="array" ref="M396">IF(L396&gt;5,"Perlu Pengendalian",IF(AND(L396&gt;=0,I396&gt;0),"Tidak Perlu Pengendalian","Belum Sensus"))</f>
        <v>Belum Sensus</v>
      </c>
    </row>
    <row r="397" spans="1:23" x14ac:dyDescent="0.15">
      <c r="A397" s="8"/>
      <c r="B397" s="8"/>
      <c r="C397" s="8"/>
      <c r="D397" s="8"/>
      <c r="E397" s="9"/>
      <c r="F397" s="8"/>
      <c r="G397" s="10"/>
      <c r="H397" s="11"/>
      <c r="I397" s="8"/>
      <c r="J397" s="9">
        <f t="array" ref="J397">IFERROR(I397/G397*100,0)</f>
        <v>0</v>
      </c>
      <c r="K397" s="8"/>
      <c r="L397" s="9">
        <f t="shared" si="6"/>
        <v>0</v>
      </c>
      <c r="M397" s="8" t="str">
        <f t="array" ref="M397">IF(L397&gt;5,"Perlu Pengendalian",IF(AND(L397&gt;=0,I397&gt;0),"Tidak Perlu Pengendalian","Belum Sensus"))</f>
        <v>Belum Sensus</v>
      </c>
    </row>
    <row r="398" spans="1:23" x14ac:dyDescent="0.15">
      <c r="A398" s="8"/>
      <c r="B398" s="8"/>
      <c r="C398" s="8"/>
      <c r="D398" s="8"/>
      <c r="E398" s="9"/>
      <c r="F398" s="8"/>
      <c r="G398" s="10"/>
      <c r="H398" s="11"/>
      <c r="I398" s="8"/>
      <c r="J398" s="9">
        <f t="array" ref="J398">IFERROR(I398/G398*100,0)</f>
        <v>0</v>
      </c>
      <c r="K398" s="8"/>
      <c r="L398" s="9">
        <f t="shared" si="6"/>
        <v>0</v>
      </c>
      <c r="M398" s="8" t="str">
        <f t="array" ref="M398">IF(L398&gt;5,"Perlu Pengendalian",IF(AND(L398&gt;=0,I398&gt;0),"Tidak Perlu Pengendalian","Belum Sensus"))</f>
        <v>Belum Sensus</v>
      </c>
    </row>
    <row r="399" spans="1:23" x14ac:dyDescent="0.15">
      <c r="A399" s="8"/>
      <c r="B399" s="8"/>
      <c r="C399" s="8"/>
      <c r="D399" s="8"/>
      <c r="E399" s="9"/>
      <c r="F399" s="8"/>
      <c r="G399" s="10"/>
      <c r="H399" s="11"/>
      <c r="I399" s="8"/>
      <c r="J399" s="9">
        <f t="array" ref="J399">IFERROR(I399/G399*100,0)</f>
        <v>0</v>
      </c>
      <c r="K399" s="8"/>
      <c r="L399" s="9">
        <f t="shared" si="6"/>
        <v>0</v>
      </c>
      <c r="M399" s="8" t="str">
        <f t="array" ref="M399">IF(L399&gt;5,"Perlu Pengendalian",IF(AND(L399&gt;=0,I399&gt;0),"Tidak Perlu Pengendalian","Belum Sensus"))</f>
        <v>Belum Sensus</v>
      </c>
    </row>
    <row r="400" spans="1:23" x14ac:dyDescent="0.15">
      <c r="A400" s="8"/>
      <c r="B400" s="8"/>
      <c r="C400" s="8"/>
      <c r="D400" s="8"/>
      <c r="E400" s="9"/>
      <c r="F400" s="8"/>
      <c r="G400" s="10"/>
      <c r="H400" s="11"/>
      <c r="I400" s="8"/>
      <c r="J400" s="9">
        <f t="array" ref="J400">IFERROR(I400/G400*100,0)</f>
        <v>0</v>
      </c>
      <c r="K400" s="8"/>
      <c r="L400" s="9">
        <f t="shared" si="6"/>
        <v>0</v>
      </c>
      <c r="M400" s="8" t="str">
        <f t="array" ref="M400">IF(L400&gt;5,"Perlu Pengendalian",IF(AND(L400&gt;=0,I400&gt;0),"Tidak Perlu Pengendalian","Belum Sensus"))</f>
        <v>Belum Sensus</v>
      </c>
    </row>
    <row r="401" spans="1:13" x14ac:dyDescent="0.15">
      <c r="A401" s="8"/>
      <c r="B401" s="8"/>
      <c r="C401" s="8"/>
      <c r="D401" s="8"/>
      <c r="E401" s="9"/>
      <c r="F401" s="8"/>
      <c r="G401" s="10"/>
      <c r="H401" s="11"/>
      <c r="I401" s="8"/>
      <c r="J401" s="9">
        <f t="array" ref="J401">IFERROR(I401/G401*100,0)</f>
        <v>0</v>
      </c>
      <c r="K401" s="8"/>
      <c r="L401" s="9">
        <f t="shared" si="6"/>
        <v>0</v>
      </c>
      <c r="M401" s="8" t="str">
        <f t="array" ref="M401">IF(L401&gt;5,"Perlu Pengendalian",IF(AND(L401&gt;=0,I401&gt;0),"Tidak Perlu Pengendalian","Belum Sensus"))</f>
        <v>Belum Sensus</v>
      </c>
    </row>
    <row r="402" spans="1:13" x14ac:dyDescent="0.15">
      <c r="A402" s="8"/>
      <c r="B402" s="8"/>
      <c r="C402" s="8"/>
      <c r="D402" s="8"/>
      <c r="E402" s="9"/>
      <c r="F402" s="8"/>
      <c r="G402" s="10"/>
      <c r="H402" s="11"/>
      <c r="I402" s="8"/>
      <c r="J402" s="9">
        <f t="array" ref="J402">IFERROR(I402/G402*100,0)</f>
        <v>0</v>
      </c>
      <c r="K402" s="8"/>
      <c r="L402" s="9">
        <f t="shared" si="6"/>
        <v>0</v>
      </c>
      <c r="M402" s="8" t="str">
        <f t="array" ref="M402">IF(L402&gt;5,"Perlu Pengendalian",IF(AND(L402&gt;=0,I402&gt;0),"Tidak Perlu Pengendalian","Belum Sensus"))</f>
        <v>Belum Sensus</v>
      </c>
    </row>
    <row r="403" spans="1:13" x14ac:dyDescent="0.15">
      <c r="A403" s="8"/>
      <c r="B403" s="8"/>
      <c r="C403" s="8"/>
      <c r="D403" s="8"/>
      <c r="E403" s="9"/>
      <c r="F403" s="8"/>
      <c r="G403" s="10"/>
      <c r="H403" s="11"/>
      <c r="I403" s="8"/>
      <c r="J403" s="9">
        <f t="array" ref="J403">IFERROR(I403/G403*100,0)</f>
        <v>0</v>
      </c>
      <c r="K403" s="8"/>
      <c r="L403" s="9">
        <f t="shared" si="6"/>
        <v>0</v>
      </c>
      <c r="M403" s="8" t="str">
        <f t="array" ref="M403">IF(L403&gt;5,"Perlu Pengendalian",IF(AND(L403&gt;=0,I403&gt;0),"Tidak Perlu Pengendalian","Belum Sensus"))</f>
        <v>Belum Sensus</v>
      </c>
    </row>
    <row r="404" spans="1:13" x14ac:dyDescent="0.15">
      <c r="A404" s="8"/>
      <c r="B404" s="8"/>
      <c r="C404" s="8"/>
      <c r="D404" s="8"/>
      <c r="E404" s="9"/>
      <c r="F404" s="8"/>
      <c r="G404" s="10"/>
      <c r="H404" s="11"/>
      <c r="I404" s="8"/>
      <c r="J404" s="9">
        <f t="array" ref="J404">IFERROR(I404/G404*100,0)</f>
        <v>0</v>
      </c>
      <c r="K404" s="8"/>
      <c r="L404" s="9">
        <f t="shared" ref="L404:L435" si="7">IFERROR(K404/I404*100,0)</f>
        <v>0</v>
      </c>
      <c r="M404" s="8" t="str">
        <f t="array" ref="M404">IF(L404&gt;5,"Perlu Pengendalian",IF(AND(L404&gt;=0,I404&gt;0),"Tidak Perlu Pengendalian","Belum Sensus"))</f>
        <v>Belum Sensus</v>
      </c>
    </row>
    <row r="405" spans="1:13" x14ac:dyDescent="0.15">
      <c r="A405" s="8"/>
      <c r="B405" s="8"/>
      <c r="C405" s="8"/>
      <c r="D405" s="8"/>
      <c r="E405" s="9"/>
      <c r="F405" s="8"/>
      <c r="G405" s="10"/>
      <c r="H405" s="11"/>
      <c r="I405" s="8"/>
      <c r="J405" s="9">
        <f t="array" ref="J405">IFERROR(I405/G405*100,0)</f>
        <v>0</v>
      </c>
      <c r="K405" s="8"/>
      <c r="L405" s="9">
        <f t="shared" si="7"/>
        <v>0</v>
      </c>
      <c r="M405" s="8" t="str">
        <f t="array" ref="M405">IF(L405&gt;5,"Perlu Pengendalian",IF(AND(L405&gt;=0,I405&gt;0),"Tidak Perlu Pengendalian","Belum Sensus"))</f>
        <v>Belum Sensus</v>
      </c>
    </row>
    <row r="406" spans="1:13" x14ac:dyDescent="0.15">
      <c r="A406" s="8"/>
      <c r="B406" s="8"/>
      <c r="C406" s="8"/>
      <c r="D406" s="8"/>
      <c r="E406" s="9"/>
      <c r="F406" s="8"/>
      <c r="G406" s="10"/>
      <c r="H406" s="11"/>
      <c r="I406" s="8"/>
      <c r="J406" s="9">
        <f t="array" ref="J406">IFERROR(I406/G406*100,0)</f>
        <v>0</v>
      </c>
      <c r="K406" s="8"/>
      <c r="L406" s="9">
        <f t="shared" si="7"/>
        <v>0</v>
      </c>
      <c r="M406" s="8" t="str">
        <f t="array" ref="M406">IF(L406&gt;5,"Perlu Pengendalian",IF(AND(L406&gt;=0,I406&gt;0),"Tidak Perlu Pengendalian","Belum Sensus"))</f>
        <v>Belum Sensus</v>
      </c>
    </row>
    <row r="407" spans="1:13" x14ac:dyDescent="0.15">
      <c r="A407" s="8"/>
      <c r="B407" s="8"/>
      <c r="C407" s="8"/>
      <c r="D407" s="8"/>
      <c r="E407" s="9"/>
      <c r="F407" s="8"/>
      <c r="G407" s="10"/>
      <c r="H407" s="11"/>
      <c r="I407" s="8"/>
      <c r="J407" s="9">
        <f t="array" ref="J407">IFERROR(I407/G407*100,0)</f>
        <v>0</v>
      </c>
      <c r="K407" s="8"/>
      <c r="L407" s="9">
        <f t="shared" si="7"/>
        <v>0</v>
      </c>
      <c r="M407" s="8" t="str">
        <f t="array" ref="M407">IF(L407&gt;5,"Perlu Pengendalian",IF(AND(L407&gt;=0,I407&gt;0),"Tidak Perlu Pengendalian","Belum Sensus"))</f>
        <v>Belum Sensus</v>
      </c>
    </row>
    <row r="408" spans="1:13" x14ac:dyDescent="0.15">
      <c r="A408" s="8"/>
      <c r="B408" s="8"/>
      <c r="C408" s="8"/>
      <c r="D408" s="8"/>
      <c r="E408" s="9"/>
      <c r="F408" s="8"/>
      <c r="G408" s="10"/>
      <c r="H408" s="11"/>
      <c r="I408" s="8"/>
      <c r="J408" s="9">
        <f t="array" ref="J408">IFERROR(I408/G408*100,0)</f>
        <v>0</v>
      </c>
      <c r="K408" s="8"/>
      <c r="L408" s="9">
        <f t="shared" si="7"/>
        <v>0</v>
      </c>
      <c r="M408" s="8" t="str">
        <f t="array" ref="M408">IF(L408&gt;5,"Perlu Pengendalian",IF(AND(L408&gt;=0,I408&gt;0),"Tidak Perlu Pengendalian","Belum Sensus"))</f>
        <v>Belum Sensus</v>
      </c>
    </row>
    <row r="409" spans="1:13" x14ac:dyDescent="0.15">
      <c r="A409" s="8"/>
      <c r="B409" s="8"/>
      <c r="C409" s="8"/>
      <c r="D409" s="8"/>
      <c r="E409" s="9"/>
      <c r="F409" s="8"/>
      <c r="G409" s="10"/>
      <c r="H409" s="11"/>
      <c r="I409" s="8"/>
      <c r="J409" s="9">
        <f t="array" ref="J409">IFERROR(I409/G409*100,0)</f>
        <v>0</v>
      </c>
      <c r="K409" s="8"/>
      <c r="L409" s="9">
        <f t="shared" si="7"/>
        <v>0</v>
      </c>
      <c r="M409" s="8" t="str">
        <f t="array" ref="M409">IF(L409&gt;5,"Perlu Pengendalian",IF(AND(L409&gt;=0,I409&gt;0),"Tidak Perlu Pengendalian","Belum Sensus"))</f>
        <v>Belum Sensus</v>
      </c>
    </row>
    <row r="410" spans="1:13" x14ac:dyDescent="0.15">
      <c r="A410" s="8"/>
      <c r="B410" s="8"/>
      <c r="C410" s="8"/>
      <c r="D410" s="8"/>
      <c r="E410" s="9"/>
      <c r="F410" s="8"/>
      <c r="G410" s="10"/>
      <c r="H410" s="11"/>
      <c r="I410" s="8"/>
      <c r="J410" s="9">
        <f t="array" ref="J410">IFERROR(I410/G410*100,0)</f>
        <v>0</v>
      </c>
      <c r="K410" s="8"/>
      <c r="L410" s="9">
        <f t="shared" si="7"/>
        <v>0</v>
      </c>
      <c r="M410" s="8" t="str">
        <f t="array" ref="M410">IF(L410&gt;5,"Perlu Pengendalian",IF(AND(L410&gt;=0,I410&gt;0),"Tidak Perlu Pengendalian","Belum Sensus"))</f>
        <v>Belum Sensus</v>
      </c>
    </row>
    <row r="411" spans="1:13" x14ac:dyDescent="0.15">
      <c r="A411" s="8"/>
      <c r="B411" s="8"/>
      <c r="C411" s="8"/>
      <c r="D411" s="8"/>
      <c r="E411" s="9"/>
      <c r="F411" s="8"/>
      <c r="G411" s="10"/>
      <c r="H411" s="11"/>
      <c r="I411" s="8"/>
      <c r="J411" s="9">
        <f t="array" ref="J411">IFERROR(I411/G411*100,0)</f>
        <v>0</v>
      </c>
      <c r="K411" s="8"/>
      <c r="L411" s="9">
        <f t="shared" si="7"/>
        <v>0</v>
      </c>
      <c r="M411" s="8" t="str">
        <f t="array" ref="M411">IF(L411&gt;5,"Perlu Pengendalian",IF(AND(L411&gt;=0,I411&gt;0),"Tidak Perlu Pengendalian","Belum Sensus"))</f>
        <v>Belum Sensus</v>
      </c>
    </row>
    <row r="412" spans="1:13" x14ac:dyDescent="0.15">
      <c r="A412" s="8"/>
      <c r="B412" s="8"/>
      <c r="C412" s="8"/>
      <c r="D412" s="8"/>
      <c r="E412" s="9"/>
      <c r="F412" s="8"/>
      <c r="G412" s="10"/>
      <c r="H412" s="11"/>
      <c r="I412" s="8"/>
      <c r="J412" s="9">
        <f t="array" ref="J412">IFERROR(I412/G412*100,0)</f>
        <v>0</v>
      </c>
      <c r="K412" s="8"/>
      <c r="L412" s="9">
        <f t="shared" si="7"/>
        <v>0</v>
      </c>
      <c r="M412" s="8" t="str">
        <f t="array" ref="M412">IF(L412&gt;5,"Perlu Pengendalian",IF(AND(L412&gt;=0,I412&gt;0),"Tidak Perlu Pengendalian","Belum Sensus"))</f>
        <v>Belum Sensus</v>
      </c>
    </row>
    <row r="413" spans="1:13" x14ac:dyDescent="0.15">
      <c r="A413" s="8"/>
      <c r="B413" s="8"/>
      <c r="C413" s="8"/>
      <c r="D413" s="8"/>
      <c r="E413" s="9"/>
      <c r="F413" s="8"/>
      <c r="G413" s="10"/>
      <c r="H413" s="11"/>
      <c r="I413" s="8"/>
      <c r="J413" s="9">
        <f t="array" ref="J413">IFERROR(I413/G413*100,0)</f>
        <v>0</v>
      </c>
      <c r="K413" s="8"/>
      <c r="L413" s="9">
        <f t="shared" si="7"/>
        <v>0</v>
      </c>
      <c r="M413" s="8" t="str">
        <f t="array" ref="M413">IF(L413&gt;5,"Perlu Pengendalian",IF(AND(L413&gt;=0,I413&gt;0),"Tidak Perlu Pengendalian","Belum Sensus"))</f>
        <v>Belum Sensus</v>
      </c>
    </row>
    <row r="414" spans="1:13" x14ac:dyDescent="0.15">
      <c r="A414" s="8"/>
      <c r="B414" s="8"/>
      <c r="C414" s="8"/>
      <c r="D414" s="8"/>
      <c r="E414" s="9"/>
      <c r="F414" s="8"/>
      <c r="G414" s="10"/>
      <c r="H414" s="11"/>
      <c r="I414" s="8"/>
      <c r="J414" s="9">
        <f t="array" ref="J414">IFERROR(I414/G414*100,0)</f>
        <v>0</v>
      </c>
      <c r="K414" s="8"/>
      <c r="L414" s="9">
        <f t="shared" si="7"/>
        <v>0</v>
      </c>
      <c r="M414" s="8" t="str">
        <f t="array" ref="M414">IF(L414&gt;5,"Perlu Pengendalian",IF(AND(L414&gt;=0,I414&gt;0),"Tidak Perlu Pengendalian","Belum Sensus"))</f>
        <v>Belum Sensus</v>
      </c>
    </row>
    <row r="415" spans="1:13" x14ac:dyDescent="0.15">
      <c r="A415" s="8"/>
      <c r="B415" s="8"/>
      <c r="C415" s="8"/>
      <c r="D415" s="8"/>
      <c r="E415" s="9"/>
      <c r="F415" s="8"/>
      <c r="G415" s="10"/>
      <c r="H415" s="11"/>
      <c r="I415" s="8"/>
      <c r="J415" s="9">
        <f t="array" ref="J415">IFERROR(I415/G415*100,0)</f>
        <v>0</v>
      </c>
      <c r="K415" s="8"/>
      <c r="L415" s="9">
        <f t="shared" si="7"/>
        <v>0</v>
      </c>
      <c r="M415" s="8" t="str">
        <f t="array" ref="M415">IF(L415&gt;5,"Perlu Pengendalian",IF(AND(L415&gt;=0,I415&gt;0),"Tidak Perlu Pengendalian","Belum Sensus"))</f>
        <v>Belum Sensus</v>
      </c>
    </row>
    <row r="416" spans="1:13" x14ac:dyDescent="0.15">
      <c r="A416" s="8"/>
      <c r="B416" s="8"/>
      <c r="C416" s="8"/>
      <c r="D416" s="8"/>
      <c r="E416" s="9"/>
      <c r="F416" s="8"/>
      <c r="G416" s="10"/>
      <c r="H416" s="11"/>
      <c r="I416" s="8"/>
      <c r="J416" s="9">
        <f t="array" ref="J416">IFERROR(I416/G416*100,0)</f>
        <v>0</v>
      </c>
      <c r="K416" s="8"/>
      <c r="L416" s="9">
        <f t="shared" si="7"/>
        <v>0</v>
      </c>
      <c r="M416" s="8" t="str">
        <f t="array" ref="M416">IF(L416&gt;5,"Perlu Pengendalian",IF(AND(L416&gt;=0,I416&gt;0),"Tidak Perlu Pengendalian","Belum Sensus"))</f>
        <v>Belum Sensus</v>
      </c>
    </row>
    <row r="417" spans="1:13" x14ac:dyDescent="0.15">
      <c r="A417" s="8"/>
      <c r="B417" s="8"/>
      <c r="C417" s="8"/>
      <c r="D417" s="8"/>
      <c r="E417" s="9"/>
      <c r="F417" s="8"/>
      <c r="G417" s="10"/>
      <c r="H417" s="11"/>
      <c r="I417" s="8"/>
      <c r="J417" s="9">
        <f t="array" ref="J417">IFERROR(I417/G417*100,0)</f>
        <v>0</v>
      </c>
      <c r="K417" s="8"/>
      <c r="L417" s="9">
        <f t="shared" si="7"/>
        <v>0</v>
      </c>
      <c r="M417" s="8" t="str">
        <f t="array" ref="M417">IF(L417&gt;5,"Perlu Pengendalian",IF(AND(L417&gt;=0,I417&gt;0),"Tidak Perlu Pengendalian","Belum Sensus"))</f>
        <v>Belum Sensus</v>
      </c>
    </row>
    <row r="418" spans="1:13" x14ac:dyDescent="0.15">
      <c r="A418" s="8"/>
      <c r="B418" s="8"/>
      <c r="C418" s="8"/>
      <c r="D418" s="8"/>
      <c r="E418" s="9"/>
      <c r="F418" s="8"/>
      <c r="G418" s="10"/>
      <c r="H418" s="11"/>
      <c r="I418" s="8"/>
      <c r="J418" s="9">
        <f t="array" ref="J418">IFERROR(I418/G418*100,0)</f>
        <v>0</v>
      </c>
      <c r="K418" s="8"/>
      <c r="L418" s="9">
        <f t="shared" si="7"/>
        <v>0</v>
      </c>
      <c r="M418" s="8" t="str">
        <f t="array" ref="M418">IF(L418&gt;5,"Perlu Pengendalian",IF(AND(L418&gt;=0,I418&gt;0),"Tidak Perlu Pengendalian","Belum Sensus"))</f>
        <v>Belum Sensus</v>
      </c>
    </row>
    <row r="419" spans="1:13" x14ac:dyDescent="0.15">
      <c r="A419" s="8"/>
      <c r="B419" s="8"/>
      <c r="C419" s="8"/>
      <c r="D419" s="8"/>
      <c r="E419" s="9"/>
      <c r="F419" s="8"/>
      <c r="G419" s="10"/>
      <c r="H419" s="11"/>
      <c r="I419" s="8"/>
      <c r="J419" s="9">
        <f t="array" ref="J419">IFERROR(I419/G419*100,0)</f>
        <v>0</v>
      </c>
      <c r="K419" s="8"/>
      <c r="L419" s="9">
        <f t="shared" si="7"/>
        <v>0</v>
      </c>
      <c r="M419" s="8" t="str">
        <f t="array" ref="M419">IF(L419&gt;5,"Perlu Pengendalian",IF(AND(L419&gt;=0,I419&gt;0),"Tidak Perlu Pengendalian","Belum Sensus"))</f>
        <v>Belum Sensus</v>
      </c>
    </row>
    <row r="420" spans="1:13" x14ac:dyDescent="0.15">
      <c r="A420" s="8"/>
      <c r="B420" s="8"/>
      <c r="C420" s="8"/>
      <c r="D420" s="8"/>
      <c r="E420" s="9"/>
      <c r="F420" s="8"/>
      <c r="G420" s="10"/>
      <c r="H420" s="11"/>
      <c r="I420" s="8"/>
      <c r="J420" s="9">
        <f t="array" ref="J420">IFERROR(I420/G420*100,0)</f>
        <v>0</v>
      </c>
      <c r="K420" s="8"/>
      <c r="L420" s="9">
        <f t="shared" si="7"/>
        <v>0</v>
      </c>
      <c r="M420" s="8" t="str">
        <f t="array" ref="M420">IF(L420&gt;5,"Perlu Pengendalian",IF(AND(L420&gt;=0,I420&gt;0),"Tidak Perlu Pengendalian","Belum Sensus"))</f>
        <v>Belum Sensus</v>
      </c>
    </row>
    <row r="421" spans="1:13" x14ac:dyDescent="0.15">
      <c r="A421" s="8"/>
      <c r="B421" s="8"/>
      <c r="C421" s="8"/>
      <c r="D421" s="8"/>
      <c r="E421" s="9"/>
      <c r="F421" s="8"/>
      <c r="G421" s="10"/>
      <c r="H421" s="11"/>
      <c r="I421" s="8"/>
      <c r="J421" s="9">
        <f t="array" ref="J421">IFERROR(I421/G421*100,0)</f>
        <v>0</v>
      </c>
      <c r="K421" s="8"/>
      <c r="L421" s="9">
        <f t="shared" si="7"/>
        <v>0</v>
      </c>
      <c r="M421" s="8" t="str">
        <f t="array" ref="M421">IF(L421&gt;5,"Perlu Pengendalian",IF(AND(L421&gt;=0,I421&gt;0),"Tidak Perlu Pengendalian","Belum Sensus"))</f>
        <v>Belum Sensus</v>
      </c>
    </row>
    <row r="422" spans="1:13" x14ac:dyDescent="0.15">
      <c r="A422" s="8"/>
      <c r="B422" s="8"/>
      <c r="C422" s="8"/>
      <c r="D422" s="8"/>
      <c r="E422" s="9"/>
      <c r="F422" s="8"/>
      <c r="G422" s="10"/>
      <c r="H422" s="11"/>
      <c r="I422" s="8"/>
      <c r="J422" s="9">
        <f t="array" ref="J422">IFERROR(I422/G422*100,0)</f>
        <v>0</v>
      </c>
      <c r="K422" s="8"/>
      <c r="L422" s="9">
        <f t="shared" si="7"/>
        <v>0</v>
      </c>
      <c r="M422" s="8" t="str">
        <f t="array" ref="M422">IF(L422&gt;5,"Perlu Pengendalian",IF(AND(L422&gt;=0,I422&gt;0),"Tidak Perlu Pengendalian","Belum Sensus"))</f>
        <v>Belum Sensus</v>
      </c>
    </row>
    <row r="423" spans="1:13" x14ac:dyDescent="0.15">
      <c r="A423" s="8"/>
      <c r="B423" s="8"/>
      <c r="C423" s="8"/>
      <c r="D423" s="8"/>
      <c r="E423" s="9"/>
      <c r="F423" s="8"/>
      <c r="G423" s="10"/>
      <c r="H423" s="11"/>
      <c r="I423" s="8"/>
      <c r="J423" s="9">
        <f t="array" ref="J423">IFERROR(I423/G423*100,0)</f>
        <v>0</v>
      </c>
      <c r="K423" s="8"/>
      <c r="L423" s="9">
        <f t="shared" si="7"/>
        <v>0</v>
      </c>
      <c r="M423" s="8" t="str">
        <f t="array" ref="M423">IF(L423&gt;5,"Perlu Pengendalian",IF(AND(L423&gt;=0,I423&gt;0),"Tidak Perlu Pengendalian","Belum Sensus"))</f>
        <v>Belum Sensus</v>
      </c>
    </row>
    <row r="424" spans="1:13" x14ac:dyDescent="0.15">
      <c r="A424" s="8"/>
      <c r="B424" s="8"/>
      <c r="C424" s="8"/>
      <c r="D424" s="8"/>
      <c r="E424" s="9"/>
      <c r="F424" s="8"/>
      <c r="G424" s="10"/>
      <c r="H424" s="11"/>
      <c r="I424" s="8"/>
      <c r="J424" s="9">
        <f t="array" ref="J424">IFERROR(I424/G424*100,0)</f>
        <v>0</v>
      </c>
      <c r="K424" s="8"/>
      <c r="L424" s="9">
        <f t="shared" si="7"/>
        <v>0</v>
      </c>
      <c r="M424" s="8" t="str">
        <f t="array" ref="M424">IF(L424&gt;5,"Perlu Pengendalian",IF(AND(L424&gt;=0,I424&gt;0),"Tidak Perlu Pengendalian","Belum Sensus"))</f>
        <v>Belum Sensus</v>
      </c>
    </row>
    <row r="425" spans="1:13" x14ac:dyDescent="0.15">
      <c r="A425" s="8"/>
      <c r="B425" s="8"/>
      <c r="C425" s="8"/>
      <c r="D425" s="8"/>
      <c r="E425" s="9"/>
      <c r="F425" s="8"/>
      <c r="G425" s="10"/>
      <c r="H425" s="11"/>
      <c r="I425" s="8"/>
      <c r="J425" s="9">
        <f t="array" ref="J425">IFERROR(I425/G425*100,0)</f>
        <v>0</v>
      </c>
      <c r="K425" s="8"/>
      <c r="L425" s="9">
        <f t="shared" si="7"/>
        <v>0</v>
      </c>
      <c r="M425" s="8" t="str">
        <f t="array" ref="M425">IF(L425&gt;5,"Perlu Pengendalian",IF(AND(L425&gt;=0,I425&gt;0),"Tidak Perlu Pengendalian","Belum Sensus"))</f>
        <v>Belum Sensus</v>
      </c>
    </row>
    <row r="426" spans="1:13" x14ac:dyDescent="0.15">
      <c r="A426" s="8"/>
      <c r="B426" s="8"/>
      <c r="C426" s="8"/>
      <c r="D426" s="8"/>
      <c r="E426" s="9"/>
      <c r="F426" s="8"/>
      <c r="G426" s="10"/>
      <c r="H426" s="11"/>
      <c r="I426" s="8"/>
      <c r="J426" s="9">
        <f t="array" ref="J426">IFERROR(I426/G426*100,0)</f>
        <v>0</v>
      </c>
      <c r="K426" s="8"/>
      <c r="L426" s="9">
        <f t="shared" si="7"/>
        <v>0</v>
      </c>
      <c r="M426" s="8" t="str">
        <f t="array" ref="M426">IF(L426&gt;5,"Perlu Pengendalian",IF(AND(L426&gt;=0,I426&gt;0),"Tidak Perlu Pengendalian","Belum Sensus"))</f>
        <v>Belum Sensus</v>
      </c>
    </row>
    <row r="427" spans="1:13" x14ac:dyDescent="0.15">
      <c r="A427" s="8"/>
      <c r="B427" s="8"/>
      <c r="C427" s="8"/>
      <c r="D427" s="8"/>
      <c r="E427" s="9"/>
      <c r="F427" s="8"/>
      <c r="G427" s="10"/>
      <c r="H427" s="11"/>
      <c r="I427" s="8"/>
      <c r="J427" s="9">
        <f t="array" ref="J427">IFERROR(I427/G427*100,0)</f>
        <v>0</v>
      </c>
      <c r="K427" s="8"/>
      <c r="L427" s="9">
        <f t="shared" si="7"/>
        <v>0</v>
      </c>
      <c r="M427" s="8" t="str">
        <f t="array" ref="M427">IF(L427&gt;5,"Perlu Pengendalian",IF(AND(L427&gt;=0,I427&gt;0),"Tidak Perlu Pengendalian","Belum Sensus"))</f>
        <v>Belum Sensus</v>
      </c>
    </row>
    <row r="428" spans="1:13" x14ac:dyDescent="0.15">
      <c r="A428" s="8"/>
      <c r="B428" s="8"/>
      <c r="C428" s="8"/>
      <c r="D428" s="8"/>
      <c r="E428" s="9"/>
      <c r="F428" s="8"/>
      <c r="G428" s="10"/>
      <c r="H428" s="11"/>
      <c r="I428" s="8"/>
      <c r="J428" s="9">
        <f t="array" ref="J428">IFERROR(I428/G428*100,0)</f>
        <v>0</v>
      </c>
      <c r="K428" s="8"/>
      <c r="L428" s="9">
        <f t="shared" si="7"/>
        <v>0</v>
      </c>
      <c r="M428" s="8" t="str">
        <f t="array" ref="M428">IF(L428&gt;5,"Perlu Pengendalian",IF(AND(L428&gt;=0,I428&gt;0),"Tidak Perlu Pengendalian","Belum Sensus"))</f>
        <v>Belum Sensus</v>
      </c>
    </row>
    <row r="429" spans="1:13" x14ac:dyDescent="0.15">
      <c r="A429" s="8"/>
      <c r="B429" s="8"/>
      <c r="C429" s="8"/>
      <c r="D429" s="8"/>
      <c r="E429" s="9"/>
      <c r="F429" s="8"/>
      <c r="G429" s="10"/>
      <c r="H429" s="11"/>
      <c r="I429" s="8"/>
      <c r="J429" s="9">
        <f t="array" ref="J429">IFERROR(I429/G429*100,0)</f>
        <v>0</v>
      </c>
      <c r="K429" s="8"/>
      <c r="L429" s="9">
        <f t="shared" si="7"/>
        <v>0</v>
      </c>
      <c r="M429" s="8" t="str">
        <f t="array" ref="M429">IF(L429&gt;5,"Perlu Pengendalian",IF(AND(L429&gt;=0,I429&gt;0),"Tidak Perlu Pengendalian","Belum Sensus"))</f>
        <v>Belum Sensus</v>
      </c>
    </row>
    <row r="430" spans="1:13" x14ac:dyDescent="0.15">
      <c r="A430" s="8"/>
      <c r="B430" s="8"/>
      <c r="C430" s="8"/>
      <c r="D430" s="8"/>
      <c r="E430" s="9"/>
      <c r="F430" s="8"/>
      <c r="G430" s="10"/>
      <c r="H430" s="11"/>
      <c r="I430" s="8"/>
      <c r="J430" s="9">
        <f t="array" ref="J430">IFERROR(I430/G430*100,0)</f>
        <v>0</v>
      </c>
      <c r="K430" s="8"/>
      <c r="L430" s="9">
        <f t="shared" si="7"/>
        <v>0</v>
      </c>
      <c r="M430" s="8" t="str">
        <f t="array" ref="M430">IF(L430&gt;5,"Perlu Pengendalian",IF(AND(L430&gt;=0,I430&gt;0),"Tidak Perlu Pengendalian","Belum Sensus"))</f>
        <v>Belum Sensus</v>
      </c>
    </row>
    <row r="431" spans="1:13" x14ac:dyDescent="0.15">
      <c r="A431" s="8"/>
      <c r="B431" s="8"/>
      <c r="C431" s="8"/>
      <c r="D431" s="8"/>
      <c r="E431" s="9"/>
      <c r="F431" s="8"/>
      <c r="G431" s="10"/>
      <c r="H431" s="11"/>
      <c r="I431" s="8"/>
      <c r="J431" s="9">
        <f t="array" ref="J431">IFERROR(I431/G431*100,0)</f>
        <v>0</v>
      </c>
      <c r="K431" s="8"/>
      <c r="L431" s="9">
        <f t="shared" si="7"/>
        <v>0</v>
      </c>
      <c r="M431" s="8" t="str">
        <f t="array" ref="M431">IF(L431&gt;5,"Perlu Pengendalian",IF(AND(L431&gt;=0,I431&gt;0),"Tidak Perlu Pengendalian","Belum Sensus"))</f>
        <v>Belum Sensus</v>
      </c>
    </row>
    <row r="432" spans="1:13" x14ac:dyDescent="0.15">
      <c r="A432" s="8"/>
      <c r="B432" s="8"/>
      <c r="C432" s="8"/>
      <c r="D432" s="8"/>
      <c r="E432" s="9"/>
      <c r="F432" s="8"/>
      <c r="G432" s="10"/>
      <c r="H432" s="11"/>
      <c r="I432" s="8"/>
      <c r="J432" s="9">
        <f t="array" ref="J432">IFERROR(I432/G432*100,0)</f>
        <v>0</v>
      </c>
      <c r="K432" s="8"/>
      <c r="L432" s="9">
        <f t="shared" si="7"/>
        <v>0</v>
      </c>
      <c r="M432" s="8" t="str">
        <f t="array" ref="M432">IF(L432&gt;5,"Perlu Pengendalian",IF(AND(L432&gt;=0,I432&gt;0),"Tidak Perlu Pengendalian","Belum Sensus"))</f>
        <v>Belum Sensus</v>
      </c>
    </row>
    <row r="433" spans="1:25" x14ac:dyDescent="0.15">
      <c r="A433" s="8"/>
      <c r="B433" s="8"/>
      <c r="C433" s="8"/>
      <c r="D433" s="8"/>
      <c r="E433" s="9"/>
      <c r="F433" s="8"/>
      <c r="G433" s="10"/>
      <c r="H433" s="11"/>
      <c r="I433" s="8"/>
      <c r="J433" s="9">
        <f t="array" ref="J433">IFERROR(I433/G433*100,0)</f>
        <v>0</v>
      </c>
      <c r="K433" s="8"/>
      <c r="L433" s="9">
        <f t="shared" si="7"/>
        <v>0</v>
      </c>
      <c r="M433" s="8" t="str">
        <f t="array" ref="M433">IF(L433&gt;5,"Perlu Pengendalian",IF(AND(L433&gt;=0,I433&gt;0),"Tidak Perlu Pengendalian","Belum Sensus"))</f>
        <v>Belum Sensus</v>
      </c>
    </row>
    <row r="434" spans="1:25" x14ac:dyDescent="0.15">
      <c r="A434" s="8"/>
      <c r="B434" s="8"/>
      <c r="C434" s="8"/>
      <c r="D434" s="8"/>
      <c r="E434" s="9"/>
      <c r="F434" s="8"/>
      <c r="G434" s="10"/>
      <c r="H434" s="11"/>
      <c r="I434" s="8"/>
      <c r="J434" s="9">
        <f t="array" ref="J434">IFERROR(I434/G434*100,0)</f>
        <v>0</v>
      </c>
      <c r="K434" s="8"/>
      <c r="L434" s="9">
        <f t="shared" si="7"/>
        <v>0</v>
      </c>
      <c r="M434" s="8" t="str">
        <f t="array" ref="M434">IF(L434&gt;5,"Perlu Pengendalian",IF(AND(L434&gt;=0,I434&gt;0),"Tidak Perlu Pengendalian","Belum Sensus"))</f>
        <v>Belum Sensus</v>
      </c>
    </row>
    <row r="435" spans="1:25" x14ac:dyDescent="0.15">
      <c r="A435" s="8"/>
      <c r="B435" s="8"/>
      <c r="C435" s="8"/>
      <c r="D435" s="8"/>
      <c r="E435" s="9"/>
      <c r="F435" s="8"/>
      <c r="G435" s="10"/>
      <c r="H435" s="11"/>
      <c r="I435" s="8"/>
      <c r="J435" s="9">
        <f t="array" ref="J435">IFERROR(I435/G435*100,0)</f>
        <v>0</v>
      </c>
      <c r="K435" s="8"/>
      <c r="L435" s="9">
        <f t="shared" si="7"/>
        <v>0</v>
      </c>
      <c r="M435" s="8" t="str">
        <f t="array" ref="M435">IF(L435&gt;5,"Perlu Pengendalian",IF(AND(L435&gt;=0,I435&gt;0),"Tidak Perlu Pengendalian","Belum Sensus"))</f>
        <v>Belum Sensus</v>
      </c>
    </row>
    <row r="436" spans="1:25" x14ac:dyDescent="0.15">
      <c r="A436" s="8"/>
      <c r="B436" s="8"/>
      <c r="C436" s="8"/>
      <c r="D436" s="8"/>
      <c r="E436" s="9"/>
      <c r="F436" s="8"/>
      <c r="G436" s="10"/>
      <c r="H436" s="11"/>
      <c r="I436" s="8"/>
      <c r="J436" s="9"/>
      <c r="K436" s="8"/>
      <c r="L436" s="9"/>
      <c r="M436" s="8"/>
      <c r="Q436" s="3" t="s">
        <v>1262</v>
      </c>
      <c r="R436" s="3" t="s">
        <v>2116</v>
      </c>
      <c r="S436" s="3" t="s">
        <v>2104</v>
      </c>
      <c r="T436" s="3" t="s">
        <v>2105</v>
      </c>
      <c r="U436" s="3" t="s">
        <v>2106</v>
      </c>
      <c r="V436" s="3" t="s">
        <v>2107</v>
      </c>
      <c r="W436" s="3" t="s">
        <v>2108</v>
      </c>
      <c r="X436" s="3" t="s">
        <v>1058</v>
      </c>
    </row>
    <row r="437" spans="1:25" x14ac:dyDescent="0.15">
      <c r="A437" s="8"/>
      <c r="B437" s="8"/>
      <c r="C437" s="8"/>
      <c r="D437" s="8"/>
      <c r="E437" s="9"/>
      <c r="F437" s="8"/>
      <c r="G437" s="10"/>
      <c r="H437" s="11"/>
      <c r="I437" s="8"/>
      <c r="J437" s="9"/>
      <c r="K437" s="8"/>
      <c r="L437" s="9"/>
      <c r="M437" s="8"/>
      <c r="P437" s="3" t="s">
        <v>2077</v>
      </c>
      <c r="Q437" s="3">
        <v>747203</v>
      </c>
      <c r="R437" s="3">
        <v>5974.15</v>
      </c>
      <c r="S437" s="3">
        <f>(Q437*4.5/1000)</f>
        <v>3362.4135000000001</v>
      </c>
      <c r="T437" s="3">
        <f t="array" ref="T437">$S437*0.8</f>
        <v>2689.9308000000001</v>
      </c>
      <c r="U437" s="3">
        <f>$S437*0.6</f>
        <v>2017.4481000000001</v>
      </c>
      <c r="V437" s="3">
        <f>$S437*0.4</f>
        <v>1344.9654</v>
      </c>
      <c r="W437" s="3">
        <f>$S437*0.2</f>
        <v>672.48270000000002</v>
      </c>
      <c r="X437" s="3">
        <f>Q437/R437</f>
        <v>125.07268816484354</v>
      </c>
      <c r="Y437" s="194">
        <f>SUM(S437:W437)/R437</f>
        <v>1.6884812902253878</v>
      </c>
    </row>
    <row r="438" spans="1:25" x14ac:dyDescent="0.15">
      <c r="A438" s="8"/>
      <c r="B438" s="8"/>
      <c r="C438" s="8"/>
      <c r="D438" s="8"/>
      <c r="E438" s="9"/>
      <c r="F438" s="8"/>
      <c r="G438" s="10"/>
      <c r="H438" s="11"/>
      <c r="I438" s="8"/>
      <c r="J438" s="9"/>
      <c r="K438" s="8"/>
      <c r="L438" s="9"/>
      <c r="M438" s="8"/>
      <c r="P438" s="3" t="s">
        <v>2078</v>
      </c>
      <c r="Q438" s="3">
        <v>620628</v>
      </c>
      <c r="R438" s="3">
        <v>4742.7700000000004</v>
      </c>
      <c r="S438" s="3">
        <f>(Q438*4.5/1000)</f>
        <v>2792.826</v>
      </c>
      <c r="T438" s="3">
        <f t="array" ref="T438">$S438*0.8</f>
        <v>2234.2608</v>
      </c>
      <c r="U438" s="3">
        <f>$S438*0.6</f>
        <v>1675.6956</v>
      </c>
      <c r="V438" s="3">
        <f>$S438*0.4</f>
        <v>1117.1304</v>
      </c>
      <c r="W438" s="3">
        <f>$S438*0.2</f>
        <v>558.5652</v>
      </c>
      <c r="X438" s="3">
        <f>Q438/R438</f>
        <v>130.85770551808329</v>
      </c>
      <c r="Y438" s="194">
        <f>SUM(S438:W438)/R438</f>
        <v>1.7665790244941244</v>
      </c>
    </row>
    <row r="439" spans="1:25" x14ac:dyDescent="0.15">
      <c r="A439" s="8"/>
      <c r="B439" s="8"/>
      <c r="C439" s="8"/>
      <c r="D439" s="8"/>
      <c r="E439" s="9"/>
      <c r="F439" s="8"/>
      <c r="G439" s="10"/>
      <c r="H439" s="11"/>
      <c r="I439" s="8"/>
      <c r="J439" s="9"/>
      <c r="K439" s="8"/>
      <c r="L439" s="9"/>
      <c r="M439" s="8"/>
    </row>
    <row r="440" spans="1:25" x14ac:dyDescent="0.15">
      <c r="A440" s="8"/>
      <c r="B440" s="8"/>
      <c r="C440" s="8"/>
      <c r="D440" s="8"/>
      <c r="E440" s="9"/>
      <c r="F440" s="8"/>
      <c r="G440" s="10"/>
      <c r="H440" s="11"/>
      <c r="I440" s="8"/>
      <c r="J440" s="9"/>
      <c r="K440" s="8"/>
      <c r="L440" s="9"/>
      <c r="M440" s="8"/>
    </row>
    <row r="441" spans="1:25" x14ac:dyDescent="0.15">
      <c r="A441" s="8"/>
      <c r="B441" s="8"/>
      <c r="C441" s="8"/>
      <c r="D441" s="8"/>
      <c r="E441" s="9"/>
      <c r="F441" s="8"/>
      <c r="G441" s="10"/>
      <c r="H441" s="11"/>
      <c r="I441" s="8"/>
      <c r="J441" s="9"/>
      <c r="K441" s="8"/>
      <c r="L441" s="9"/>
      <c r="M441" s="8"/>
    </row>
    <row r="442" spans="1:25" x14ac:dyDescent="0.15">
      <c r="A442" s="8"/>
      <c r="B442" s="8"/>
      <c r="C442" s="8"/>
      <c r="D442" s="8"/>
      <c r="E442" s="9"/>
      <c r="F442" s="8"/>
      <c r="G442" s="10"/>
      <c r="H442" s="11"/>
      <c r="I442" s="8"/>
      <c r="J442" s="9"/>
      <c r="K442" s="8"/>
      <c r="L442" s="9"/>
      <c r="M442" s="8"/>
    </row>
    <row r="443" spans="1:25" x14ac:dyDescent="0.15">
      <c r="A443" s="8"/>
      <c r="B443" s="8"/>
      <c r="C443" s="8"/>
      <c r="D443" s="8"/>
      <c r="E443" s="9"/>
      <c r="F443" s="8"/>
      <c r="G443" s="10"/>
      <c r="H443" s="11"/>
      <c r="I443" s="8"/>
      <c r="J443" s="9"/>
      <c r="K443" s="8"/>
      <c r="L443" s="9"/>
      <c r="M443" s="8"/>
    </row>
    <row r="444" spans="1:25" x14ac:dyDescent="0.15">
      <c r="A444" s="8"/>
      <c r="B444" s="8"/>
      <c r="C444" s="8"/>
      <c r="D444" s="8"/>
      <c r="E444" s="9"/>
      <c r="F444" s="8"/>
      <c r="G444" s="10"/>
      <c r="H444" s="11"/>
      <c r="I444" s="8"/>
      <c r="J444" s="9"/>
      <c r="K444" s="8"/>
      <c r="L444" s="9"/>
      <c r="M444" s="8"/>
    </row>
    <row r="445" spans="1:25" x14ac:dyDescent="0.15">
      <c r="A445" s="8"/>
      <c r="B445" s="8"/>
      <c r="C445" s="8"/>
      <c r="D445" s="8"/>
      <c r="E445" s="9"/>
      <c r="F445" s="8"/>
      <c r="G445" s="10"/>
      <c r="H445" s="11"/>
      <c r="I445" s="8"/>
      <c r="J445" s="9"/>
      <c r="K445" s="8"/>
      <c r="L445" s="9"/>
      <c r="M445" s="8"/>
    </row>
    <row r="446" spans="1:25" x14ac:dyDescent="0.15">
      <c r="A446" s="8"/>
      <c r="B446" s="8"/>
      <c r="C446" s="8"/>
      <c r="D446" s="8"/>
      <c r="E446" s="9"/>
      <c r="F446" s="8"/>
      <c r="G446" s="10"/>
      <c r="H446" s="11"/>
      <c r="I446" s="8"/>
      <c r="J446" s="9"/>
      <c r="K446" s="8"/>
      <c r="L446" s="9"/>
      <c r="M446" s="8"/>
    </row>
    <row r="447" spans="1:25" x14ac:dyDescent="0.15">
      <c r="A447" s="8"/>
      <c r="B447" s="8"/>
      <c r="C447" s="8"/>
      <c r="D447" s="8"/>
      <c r="E447" s="9"/>
      <c r="F447" s="8"/>
      <c r="G447" s="10"/>
      <c r="H447" s="11"/>
      <c r="I447" s="8"/>
      <c r="J447" s="9"/>
      <c r="K447" s="8"/>
      <c r="L447" s="9"/>
      <c r="M447" s="8"/>
    </row>
    <row r="448" spans="1:25" x14ac:dyDescent="0.15">
      <c r="A448" s="8"/>
      <c r="B448" s="8"/>
      <c r="C448" s="8"/>
      <c r="D448" s="8"/>
      <c r="E448" s="9"/>
      <c r="F448" s="8"/>
      <c r="G448" s="10"/>
      <c r="H448" s="11"/>
      <c r="I448" s="8"/>
      <c r="J448" s="9"/>
      <c r="K448" s="8"/>
      <c r="L448" s="9"/>
      <c r="M448" s="8"/>
    </row>
    <row r="449" spans="1:13" x14ac:dyDescent="0.15">
      <c r="A449" s="8"/>
      <c r="B449" s="8"/>
      <c r="C449" s="8"/>
      <c r="D449" s="8"/>
      <c r="E449" s="9"/>
      <c r="F449" s="8"/>
      <c r="G449" s="10"/>
      <c r="H449" s="11"/>
      <c r="I449" s="8"/>
      <c r="J449" s="9"/>
      <c r="K449" s="8"/>
      <c r="L449" s="9"/>
      <c r="M449" s="8"/>
    </row>
    <row r="450" spans="1:13" x14ac:dyDescent="0.15">
      <c r="A450" s="8"/>
      <c r="B450" s="8"/>
      <c r="C450" s="8"/>
      <c r="D450" s="8"/>
      <c r="E450" s="9"/>
      <c r="F450" s="8"/>
      <c r="G450" s="10"/>
      <c r="H450" s="11"/>
      <c r="I450" s="8"/>
      <c r="J450" s="9"/>
      <c r="K450" s="8"/>
      <c r="L450" s="9"/>
      <c r="M450" s="8"/>
    </row>
    <row r="451" spans="1:13" x14ac:dyDescent="0.15">
      <c r="A451" s="8"/>
      <c r="B451" s="8"/>
      <c r="C451" s="8"/>
      <c r="D451" s="8"/>
      <c r="E451" s="9"/>
      <c r="F451" s="8"/>
      <c r="G451" s="10"/>
      <c r="H451" s="11"/>
      <c r="I451" s="8"/>
      <c r="J451" s="9"/>
      <c r="K451" s="8"/>
      <c r="L451" s="9"/>
      <c r="M451" s="8"/>
    </row>
    <row r="452" spans="1:13" x14ac:dyDescent="0.15">
      <c r="A452" s="8"/>
      <c r="B452" s="8"/>
      <c r="C452" s="8"/>
      <c r="D452" s="8"/>
      <c r="E452" s="9"/>
      <c r="F452" s="8"/>
      <c r="G452" s="10"/>
      <c r="H452" s="11"/>
      <c r="I452" s="8"/>
      <c r="J452" s="9"/>
      <c r="K452" s="8"/>
      <c r="L452" s="9"/>
      <c r="M452" s="8"/>
    </row>
    <row r="453" spans="1:13" x14ac:dyDescent="0.15">
      <c r="A453" s="8"/>
      <c r="B453" s="8"/>
      <c r="C453" s="8"/>
      <c r="D453" s="8"/>
      <c r="E453" s="9"/>
      <c r="F453" s="8"/>
      <c r="G453" s="10"/>
      <c r="H453" s="11"/>
      <c r="I453" s="8"/>
      <c r="J453" s="9"/>
      <c r="K453" s="8"/>
      <c r="L453" s="9"/>
      <c r="M453" s="8"/>
    </row>
    <row r="454" spans="1:13" x14ac:dyDescent="0.15">
      <c r="A454" s="8"/>
      <c r="B454" s="8"/>
      <c r="C454" s="8"/>
      <c r="D454" s="8"/>
      <c r="E454" s="9"/>
      <c r="F454" s="8"/>
      <c r="G454" s="10"/>
      <c r="H454" s="11"/>
      <c r="I454" s="8"/>
      <c r="J454" s="9"/>
      <c r="K454" s="8"/>
      <c r="L454" s="9"/>
      <c r="M454" s="8"/>
    </row>
    <row r="455" spans="1:13" x14ac:dyDescent="0.15">
      <c r="A455" s="8"/>
      <c r="B455" s="8"/>
      <c r="C455" s="8"/>
      <c r="D455" s="8"/>
      <c r="E455" s="9"/>
      <c r="F455" s="8"/>
      <c r="G455" s="10"/>
      <c r="H455" s="11"/>
      <c r="I455" s="8"/>
      <c r="J455" s="9"/>
      <c r="K455" s="8"/>
      <c r="L455" s="9"/>
      <c r="M455" s="8"/>
    </row>
    <row r="456" spans="1:13" x14ac:dyDescent="0.15">
      <c r="A456" s="8"/>
      <c r="B456" s="8"/>
      <c r="C456" s="8"/>
      <c r="D456" s="8"/>
      <c r="E456" s="9"/>
      <c r="F456" s="8"/>
      <c r="G456" s="10"/>
      <c r="H456" s="11"/>
      <c r="I456" s="8"/>
      <c r="J456" s="9"/>
      <c r="K456" s="8"/>
      <c r="L456" s="9"/>
      <c r="M456" s="8"/>
    </row>
    <row r="457" spans="1:13" x14ac:dyDescent="0.15">
      <c r="A457" s="8"/>
      <c r="B457" s="8"/>
      <c r="C457" s="8"/>
      <c r="D457" s="8"/>
      <c r="E457" s="9"/>
      <c r="F457" s="8"/>
      <c r="G457" s="10"/>
      <c r="H457" s="11"/>
      <c r="I457" s="8"/>
      <c r="J457" s="9"/>
      <c r="K457" s="8"/>
      <c r="L457" s="9"/>
      <c r="M457" s="8"/>
    </row>
    <row r="458" spans="1:13" x14ac:dyDescent="0.15">
      <c r="A458" s="8"/>
      <c r="B458" s="8"/>
      <c r="C458" s="8"/>
      <c r="D458" s="8"/>
      <c r="E458" s="9"/>
      <c r="F458" s="8"/>
      <c r="G458" s="10"/>
      <c r="H458" s="11"/>
      <c r="I458" s="8"/>
      <c r="J458" s="9"/>
      <c r="K458" s="8"/>
      <c r="L458" s="9"/>
      <c r="M458" s="8"/>
    </row>
    <row r="459" spans="1:13" x14ac:dyDescent="0.15">
      <c r="A459" s="8"/>
      <c r="B459" s="8"/>
      <c r="C459" s="8"/>
      <c r="D459" s="8"/>
      <c r="E459" s="9"/>
      <c r="F459" s="8"/>
      <c r="G459" s="10"/>
      <c r="H459" s="11"/>
      <c r="I459" s="8"/>
      <c r="J459" s="9"/>
      <c r="K459" s="8"/>
      <c r="L459" s="9"/>
      <c r="M459" s="8"/>
    </row>
    <row r="460" spans="1:13" x14ac:dyDescent="0.15">
      <c r="A460" s="8"/>
      <c r="B460" s="8"/>
      <c r="C460" s="8"/>
      <c r="D460" s="8"/>
      <c r="E460" s="9"/>
      <c r="F460" s="8"/>
      <c r="G460" s="10"/>
      <c r="H460" s="11"/>
      <c r="I460" s="8"/>
      <c r="J460" s="9"/>
      <c r="K460" s="8"/>
      <c r="L460" s="9"/>
      <c r="M460" s="8"/>
    </row>
    <row r="461" spans="1:13" x14ac:dyDescent="0.15">
      <c r="A461" s="8"/>
      <c r="B461" s="8"/>
      <c r="C461" s="8"/>
      <c r="D461" s="8"/>
      <c r="E461" s="9"/>
      <c r="F461" s="8"/>
      <c r="G461" s="10"/>
      <c r="H461" s="11"/>
      <c r="I461" s="8"/>
      <c r="J461" s="9"/>
      <c r="K461" s="8"/>
      <c r="L461" s="9"/>
      <c r="M461" s="8"/>
    </row>
    <row r="462" spans="1:13" x14ac:dyDescent="0.15">
      <c r="A462" s="8"/>
      <c r="B462" s="8"/>
      <c r="C462" s="8"/>
      <c r="D462" s="8"/>
      <c r="E462" s="9"/>
      <c r="F462" s="8"/>
      <c r="G462" s="10"/>
      <c r="H462" s="11"/>
      <c r="I462" s="8"/>
      <c r="J462" s="9"/>
      <c r="K462" s="8"/>
      <c r="L462" s="9"/>
      <c r="M462" s="8"/>
    </row>
    <row r="463" spans="1:13" x14ac:dyDescent="0.15">
      <c r="A463" s="8"/>
      <c r="B463" s="8"/>
      <c r="C463" s="8"/>
      <c r="D463" s="8"/>
      <c r="E463" s="9"/>
      <c r="F463" s="8"/>
      <c r="G463" s="10"/>
      <c r="H463" s="11"/>
      <c r="I463" s="8"/>
      <c r="J463" s="9"/>
      <c r="K463" s="8"/>
      <c r="L463" s="9"/>
      <c r="M463" s="8"/>
    </row>
    <row r="464" spans="1:13" x14ac:dyDescent="0.15">
      <c r="A464" s="8"/>
      <c r="B464" s="8"/>
      <c r="C464" s="8"/>
      <c r="D464" s="8"/>
      <c r="E464" s="9"/>
      <c r="F464" s="8"/>
      <c r="G464" s="10"/>
      <c r="H464" s="11"/>
      <c r="I464" s="8"/>
      <c r="J464" s="9"/>
      <c r="K464" s="8"/>
      <c r="L464" s="9"/>
      <c r="M464" s="8"/>
    </row>
    <row r="465" spans="1:13" x14ac:dyDescent="0.15">
      <c r="A465" s="8"/>
      <c r="B465" s="8"/>
      <c r="C465" s="8"/>
      <c r="D465" s="8"/>
      <c r="E465" s="9"/>
      <c r="F465" s="8"/>
      <c r="G465" s="10"/>
      <c r="H465" s="11"/>
      <c r="I465" s="8"/>
      <c r="J465" s="9"/>
      <c r="K465" s="8"/>
      <c r="L465" s="9"/>
      <c r="M465" s="8"/>
    </row>
    <row r="466" spans="1:13" x14ac:dyDescent="0.15">
      <c r="A466" s="8"/>
      <c r="B466" s="8"/>
      <c r="C466" s="8"/>
      <c r="D466" s="8"/>
      <c r="E466" s="9"/>
      <c r="F466" s="8"/>
      <c r="G466" s="10"/>
      <c r="H466" s="11"/>
      <c r="I466" s="8"/>
      <c r="J466" s="9"/>
      <c r="K466" s="8"/>
      <c r="L466" s="9"/>
      <c r="M466" s="8"/>
    </row>
    <row r="467" spans="1:13" x14ac:dyDescent="0.15">
      <c r="A467" s="8"/>
      <c r="B467" s="8"/>
      <c r="C467" s="8"/>
      <c r="D467" s="8"/>
      <c r="E467" s="9"/>
      <c r="F467" s="8"/>
      <c r="G467" s="10"/>
      <c r="H467" s="11"/>
      <c r="I467" s="8"/>
      <c r="J467" s="9"/>
      <c r="K467" s="8"/>
      <c r="L467" s="9"/>
      <c r="M467" s="8"/>
    </row>
    <row r="468" spans="1:13" x14ac:dyDescent="0.15">
      <c r="A468" s="8"/>
      <c r="B468" s="8"/>
      <c r="C468" s="8"/>
      <c r="D468" s="8"/>
      <c r="E468" s="9"/>
      <c r="F468" s="8"/>
      <c r="G468" s="10"/>
      <c r="H468" s="11"/>
      <c r="I468" s="8"/>
      <c r="J468" s="9"/>
      <c r="K468" s="8"/>
      <c r="L468" s="9"/>
      <c r="M468" s="8"/>
    </row>
    <row r="469" spans="1:13" x14ac:dyDescent="0.15">
      <c r="A469" s="8"/>
      <c r="B469" s="8"/>
      <c r="C469" s="8"/>
      <c r="D469" s="8"/>
      <c r="E469" s="9"/>
      <c r="F469" s="8"/>
      <c r="G469" s="10"/>
      <c r="H469" s="11"/>
      <c r="I469" s="8"/>
      <c r="J469" s="9"/>
      <c r="K469" s="8"/>
      <c r="L469" s="9"/>
      <c r="M469" s="8"/>
    </row>
    <row r="470" spans="1:13" x14ac:dyDescent="0.15">
      <c r="A470" s="8"/>
      <c r="B470" s="8"/>
      <c r="C470" s="8"/>
      <c r="D470" s="8"/>
      <c r="E470" s="9"/>
      <c r="F470" s="8"/>
      <c r="G470" s="10"/>
      <c r="H470" s="11"/>
      <c r="I470" s="8"/>
      <c r="J470" s="9"/>
      <c r="K470" s="8"/>
      <c r="L470" s="9"/>
      <c r="M470" s="8"/>
    </row>
    <row r="471" spans="1:13" x14ac:dyDescent="0.15">
      <c r="A471" s="8"/>
      <c r="B471" s="8"/>
      <c r="C471" s="8"/>
      <c r="D471" s="8"/>
      <c r="E471" s="9"/>
      <c r="F471" s="8"/>
      <c r="G471" s="10"/>
      <c r="H471" s="11"/>
      <c r="I471" s="8"/>
      <c r="J471" s="9"/>
      <c r="K471" s="8"/>
      <c r="L471" s="9"/>
      <c r="M471" s="8"/>
    </row>
    <row r="472" spans="1:13" x14ac:dyDescent="0.15">
      <c r="A472" s="8"/>
      <c r="B472" s="8"/>
      <c r="C472" s="8"/>
      <c r="D472" s="8"/>
      <c r="E472" s="9"/>
      <c r="F472" s="8"/>
      <c r="G472" s="10"/>
      <c r="H472" s="11"/>
      <c r="I472" s="8"/>
      <c r="J472" s="9"/>
      <c r="K472" s="8"/>
      <c r="L472" s="9"/>
      <c r="M472" s="8"/>
    </row>
    <row r="473" spans="1:13" x14ac:dyDescent="0.15">
      <c r="A473" s="8"/>
      <c r="B473" s="8"/>
      <c r="C473" s="8"/>
      <c r="D473" s="8"/>
      <c r="E473" s="9"/>
      <c r="F473" s="8"/>
      <c r="G473" s="10"/>
      <c r="H473" s="11"/>
      <c r="I473" s="8"/>
      <c r="J473" s="9"/>
      <c r="K473" s="8"/>
      <c r="L473" s="9"/>
      <c r="M473" s="8"/>
    </row>
    <row r="474" spans="1:13" x14ac:dyDescent="0.15">
      <c r="A474" s="8"/>
      <c r="B474" s="8"/>
      <c r="C474" s="8"/>
      <c r="D474" s="8"/>
      <c r="E474" s="9"/>
      <c r="F474" s="8"/>
      <c r="G474" s="10"/>
      <c r="H474" s="11"/>
      <c r="I474" s="8"/>
      <c r="J474" s="9"/>
      <c r="K474" s="8"/>
      <c r="L474" s="9"/>
      <c r="M474" s="8"/>
    </row>
    <row r="475" spans="1:13" x14ac:dyDescent="0.15">
      <c r="A475" s="8"/>
      <c r="B475" s="8"/>
      <c r="C475" s="8"/>
      <c r="D475" s="8"/>
      <c r="E475" s="9"/>
      <c r="F475" s="8"/>
      <c r="G475" s="10"/>
      <c r="H475" s="11"/>
      <c r="I475" s="8"/>
      <c r="J475" s="9"/>
      <c r="K475" s="8"/>
      <c r="L475" s="9"/>
      <c r="M475" s="8"/>
    </row>
    <row r="476" spans="1:13" x14ac:dyDescent="0.15">
      <c r="A476" s="8"/>
      <c r="B476" s="8"/>
      <c r="C476" s="8"/>
      <c r="D476" s="8"/>
      <c r="E476" s="9"/>
      <c r="F476" s="8"/>
      <c r="G476" s="10"/>
      <c r="H476" s="11"/>
      <c r="I476" s="8"/>
      <c r="J476" s="9"/>
      <c r="K476" s="8"/>
      <c r="L476" s="9"/>
      <c r="M476" s="8"/>
    </row>
    <row r="477" spans="1:13" x14ac:dyDescent="0.15">
      <c r="A477" s="8"/>
      <c r="B477" s="8"/>
      <c r="C477" s="8"/>
      <c r="D477" s="8"/>
      <c r="E477" s="9"/>
      <c r="F477" s="8"/>
      <c r="G477" s="10"/>
      <c r="H477" s="11"/>
      <c r="I477" s="8"/>
      <c r="J477" s="9"/>
      <c r="K477" s="8"/>
      <c r="L477" s="9"/>
      <c r="M477" s="8"/>
    </row>
    <row r="478" spans="1:13" x14ac:dyDescent="0.15">
      <c r="A478" s="8"/>
      <c r="B478" s="8"/>
      <c r="C478" s="8"/>
      <c r="D478" s="8"/>
      <c r="E478" s="9"/>
      <c r="F478" s="8"/>
      <c r="G478" s="10"/>
      <c r="H478" s="11"/>
      <c r="I478" s="8"/>
      <c r="J478" s="9"/>
      <c r="K478" s="8"/>
      <c r="L478" s="9"/>
      <c r="M478" s="8"/>
    </row>
    <row r="479" spans="1:13" x14ac:dyDescent="0.15">
      <c r="A479" s="8"/>
      <c r="B479" s="8"/>
      <c r="C479" s="8"/>
      <c r="D479" s="8"/>
      <c r="E479" s="9"/>
      <c r="F479" s="8"/>
      <c r="G479" s="10"/>
      <c r="H479" s="11"/>
      <c r="I479" s="8"/>
      <c r="J479" s="9"/>
      <c r="K479" s="8"/>
      <c r="L479" s="9"/>
      <c r="M479" s="8"/>
    </row>
    <row r="480" spans="1:13" x14ac:dyDescent="0.15">
      <c r="A480" s="8"/>
      <c r="B480" s="8"/>
      <c r="C480" s="8"/>
      <c r="D480" s="8"/>
      <c r="E480" s="9"/>
      <c r="F480" s="8"/>
      <c r="G480" s="10"/>
      <c r="H480" s="11"/>
      <c r="I480" s="8"/>
      <c r="J480" s="9"/>
      <c r="K480" s="8"/>
      <c r="L480" s="9"/>
      <c r="M480" s="8"/>
    </row>
    <row r="481" spans="1:13" x14ac:dyDescent="0.15">
      <c r="A481" s="8"/>
      <c r="B481" s="8"/>
      <c r="C481" s="8"/>
      <c r="D481" s="8"/>
      <c r="E481" s="9"/>
      <c r="F481" s="8"/>
      <c r="G481" s="10"/>
      <c r="H481" s="11"/>
      <c r="I481" s="8"/>
      <c r="J481" s="9"/>
      <c r="K481" s="8"/>
      <c r="L481" s="9"/>
      <c r="M481" s="8"/>
    </row>
    <row r="482" spans="1:13" x14ac:dyDescent="0.15">
      <c r="A482" s="8"/>
      <c r="B482" s="8"/>
      <c r="C482" s="8"/>
      <c r="D482" s="8"/>
      <c r="E482" s="9"/>
      <c r="F482" s="8"/>
      <c r="G482" s="10"/>
      <c r="H482" s="11"/>
      <c r="I482" s="8"/>
      <c r="J482" s="9"/>
      <c r="K482" s="8"/>
      <c r="L482" s="9"/>
      <c r="M482" s="8"/>
    </row>
    <row r="483" spans="1:13" x14ac:dyDescent="0.15">
      <c r="A483" s="8"/>
      <c r="B483" s="8"/>
      <c r="C483" s="8"/>
      <c r="D483" s="8"/>
      <c r="E483" s="9"/>
      <c r="F483" s="8"/>
      <c r="G483" s="10"/>
      <c r="H483" s="11"/>
      <c r="I483" s="8"/>
      <c r="J483" s="9"/>
      <c r="K483" s="8"/>
      <c r="L483" s="9"/>
      <c r="M483" s="8"/>
    </row>
    <row r="484" spans="1:13" x14ac:dyDescent="0.15">
      <c r="A484" s="8"/>
      <c r="B484" s="8"/>
      <c r="C484" s="8"/>
      <c r="D484" s="8"/>
      <c r="E484" s="9"/>
      <c r="F484" s="8"/>
      <c r="G484" s="10"/>
      <c r="H484" s="11"/>
      <c r="I484" s="8"/>
      <c r="J484" s="9"/>
      <c r="K484" s="8"/>
      <c r="L484" s="9"/>
      <c r="M484" s="8"/>
    </row>
    <row r="485" spans="1:13" x14ac:dyDescent="0.15">
      <c r="A485" s="8"/>
      <c r="B485" s="8"/>
      <c r="C485" s="8"/>
      <c r="D485" s="8"/>
      <c r="E485" s="9"/>
      <c r="F485" s="8"/>
      <c r="G485" s="10"/>
      <c r="H485" s="11"/>
      <c r="I485" s="8"/>
      <c r="J485" s="9"/>
      <c r="K485" s="8"/>
      <c r="L485" s="9"/>
      <c r="M485" s="8"/>
    </row>
    <row r="486" spans="1:13" x14ac:dyDescent="0.15">
      <c r="A486" s="8"/>
      <c r="B486" s="8"/>
      <c r="C486" s="8"/>
      <c r="D486" s="8"/>
      <c r="E486" s="9"/>
      <c r="F486" s="8"/>
      <c r="G486" s="10"/>
      <c r="H486" s="11"/>
      <c r="I486" s="8"/>
      <c r="J486" s="9"/>
      <c r="K486" s="8"/>
      <c r="L486" s="9"/>
      <c r="M486" s="8"/>
    </row>
    <row r="487" spans="1:13" x14ac:dyDescent="0.15">
      <c r="A487" s="8"/>
      <c r="B487" s="8"/>
      <c r="C487" s="8"/>
      <c r="D487" s="8"/>
      <c r="E487" s="9"/>
      <c r="F487" s="8"/>
      <c r="G487" s="10"/>
      <c r="H487" s="11"/>
      <c r="I487" s="8"/>
      <c r="J487" s="9"/>
      <c r="K487" s="8"/>
      <c r="L487" s="9"/>
      <c r="M487" s="8"/>
    </row>
    <row r="488" spans="1:13" x14ac:dyDescent="0.15">
      <c r="A488" s="8"/>
      <c r="B488" s="8"/>
      <c r="C488" s="8"/>
      <c r="D488" s="8"/>
      <c r="E488" s="9"/>
      <c r="F488" s="8"/>
      <c r="G488" s="10"/>
      <c r="H488" s="11"/>
      <c r="I488" s="8"/>
      <c r="J488" s="9"/>
      <c r="K488" s="8"/>
      <c r="L488" s="9"/>
      <c r="M488" s="8"/>
    </row>
    <row r="489" spans="1:13" x14ac:dyDescent="0.15">
      <c r="A489" s="8"/>
      <c r="B489" s="8"/>
      <c r="C489" s="8"/>
      <c r="D489" s="8"/>
      <c r="E489" s="9"/>
      <c r="F489" s="8"/>
      <c r="G489" s="10"/>
      <c r="H489" s="11"/>
      <c r="I489" s="8"/>
      <c r="J489" s="9"/>
      <c r="K489" s="8"/>
      <c r="L489" s="9"/>
      <c r="M489" s="8"/>
    </row>
    <row r="490" spans="1:13" x14ac:dyDescent="0.15">
      <c r="A490" s="8"/>
      <c r="B490" s="8"/>
      <c r="C490" s="8"/>
      <c r="D490" s="8"/>
      <c r="E490" s="9"/>
      <c r="F490" s="8"/>
      <c r="G490" s="10"/>
      <c r="H490" s="11"/>
      <c r="I490" s="8"/>
      <c r="J490" s="9"/>
      <c r="K490" s="8"/>
      <c r="L490" s="9"/>
      <c r="M490" s="8"/>
    </row>
    <row r="491" spans="1:13" x14ac:dyDescent="0.15">
      <c r="A491" s="8"/>
      <c r="B491" s="8"/>
      <c r="C491" s="8"/>
      <c r="D491" s="8"/>
      <c r="E491" s="9"/>
      <c r="F491" s="8"/>
      <c r="G491" s="10"/>
      <c r="H491" s="11"/>
      <c r="I491" s="8"/>
      <c r="J491" s="9"/>
      <c r="K491" s="8"/>
      <c r="L491" s="9"/>
      <c r="M491" s="8"/>
    </row>
    <row r="492" spans="1:13" x14ac:dyDescent="0.15">
      <c r="A492" s="8"/>
      <c r="B492" s="8"/>
      <c r="C492" s="8"/>
      <c r="D492" s="8"/>
      <c r="E492" s="9"/>
      <c r="F492" s="8"/>
      <c r="G492" s="10"/>
      <c r="H492" s="11"/>
      <c r="I492" s="8"/>
      <c r="J492" s="9"/>
      <c r="K492" s="8"/>
      <c r="L492" s="9"/>
      <c r="M492" s="8"/>
    </row>
    <row r="493" spans="1:13" x14ac:dyDescent="0.15">
      <c r="A493" s="8"/>
      <c r="B493" s="8"/>
      <c r="C493" s="8"/>
      <c r="D493" s="8"/>
      <c r="E493" s="9"/>
      <c r="F493" s="8"/>
      <c r="G493" s="10"/>
      <c r="H493" s="11"/>
      <c r="I493" s="8"/>
      <c r="J493" s="9"/>
      <c r="K493" s="8"/>
      <c r="L493" s="9"/>
      <c r="M493" s="8"/>
    </row>
    <row r="494" spans="1:13" x14ac:dyDescent="0.15">
      <c r="A494" s="8"/>
      <c r="B494" s="8"/>
      <c r="C494" s="8"/>
      <c r="D494" s="8"/>
      <c r="E494" s="9"/>
      <c r="F494" s="8"/>
      <c r="G494" s="10"/>
      <c r="H494" s="11"/>
      <c r="I494" s="8"/>
      <c r="J494" s="9"/>
      <c r="K494" s="8"/>
      <c r="L494" s="9"/>
      <c r="M494" s="8"/>
    </row>
    <row r="495" spans="1:13" x14ac:dyDescent="0.15">
      <c r="A495" s="8"/>
      <c r="B495" s="8"/>
      <c r="C495" s="8"/>
      <c r="D495" s="8"/>
      <c r="E495" s="9"/>
      <c r="F495" s="8"/>
      <c r="G495" s="10"/>
      <c r="H495" s="11"/>
      <c r="I495" s="8"/>
      <c r="J495" s="9"/>
      <c r="K495" s="8"/>
      <c r="L495" s="9"/>
      <c r="M495" s="8"/>
    </row>
    <row r="496" spans="1:13" x14ac:dyDescent="0.15">
      <c r="A496" s="8"/>
      <c r="B496" s="8"/>
      <c r="C496" s="8"/>
      <c r="D496" s="8"/>
      <c r="E496" s="9"/>
      <c r="F496" s="8"/>
      <c r="G496" s="10"/>
      <c r="H496" s="11"/>
      <c r="I496" s="8"/>
      <c r="J496" s="9"/>
      <c r="K496" s="8"/>
      <c r="L496" s="9"/>
      <c r="M496" s="8"/>
    </row>
    <row r="497" spans="1:13" x14ac:dyDescent="0.15">
      <c r="A497" s="8"/>
      <c r="B497" s="8"/>
      <c r="C497" s="8"/>
      <c r="D497" s="8"/>
      <c r="E497" s="9"/>
      <c r="F497" s="8"/>
      <c r="G497" s="10"/>
      <c r="H497" s="11"/>
      <c r="I497" s="8"/>
      <c r="J497" s="9"/>
      <c r="K497" s="8"/>
      <c r="L497" s="9"/>
      <c r="M497" s="8"/>
    </row>
    <row r="498" spans="1:13" x14ac:dyDescent="0.15">
      <c r="A498" s="8"/>
      <c r="B498" s="8"/>
      <c r="C498" s="8"/>
      <c r="D498" s="8"/>
      <c r="E498" s="9"/>
      <c r="F498" s="8"/>
      <c r="G498" s="10"/>
      <c r="H498" s="11"/>
      <c r="I498" s="8"/>
      <c r="J498" s="9"/>
      <c r="K498" s="8"/>
      <c r="L498" s="9"/>
      <c r="M498" s="8"/>
    </row>
    <row r="499" spans="1:13" x14ac:dyDescent="0.15">
      <c r="A499" s="8"/>
      <c r="B499" s="8"/>
      <c r="C499" s="8"/>
      <c r="D499" s="8"/>
      <c r="E499" s="9"/>
      <c r="F499" s="8"/>
      <c r="G499" s="10"/>
      <c r="H499" s="11"/>
      <c r="I499" s="8"/>
      <c r="J499" s="9"/>
      <c r="K499" s="8"/>
      <c r="L499" s="9"/>
      <c r="M499" s="8"/>
    </row>
    <row r="500" spans="1:13" x14ac:dyDescent="0.15">
      <c r="A500" s="8"/>
      <c r="B500" s="8"/>
      <c r="C500" s="8"/>
      <c r="D500" s="8"/>
      <c r="E500" s="9"/>
      <c r="F500" s="8"/>
      <c r="G500" s="10"/>
      <c r="H500" s="11"/>
      <c r="I500" s="8"/>
      <c r="J500" s="9"/>
      <c r="K500" s="8"/>
      <c r="L500" s="9"/>
      <c r="M500" s="8"/>
    </row>
    <row r="501" spans="1:13" x14ac:dyDescent="0.15">
      <c r="A501" s="8"/>
      <c r="B501" s="8"/>
      <c r="C501" s="8"/>
      <c r="D501" s="8"/>
      <c r="E501" s="9"/>
      <c r="F501" s="8"/>
      <c r="G501" s="10"/>
      <c r="H501" s="11"/>
      <c r="I501" s="8"/>
      <c r="J501" s="9"/>
      <c r="K501" s="8"/>
      <c r="L501" s="9"/>
      <c r="M501" s="8"/>
    </row>
    <row r="502" spans="1:13" x14ac:dyDescent="0.15">
      <c r="A502" s="8"/>
      <c r="B502" s="8"/>
      <c r="C502" s="8"/>
      <c r="D502" s="8"/>
      <c r="E502" s="9"/>
      <c r="F502" s="8"/>
      <c r="G502" s="10"/>
      <c r="H502" s="11"/>
      <c r="I502" s="8"/>
      <c r="J502" s="9"/>
      <c r="K502" s="8"/>
      <c r="L502" s="9"/>
      <c r="M502" s="8"/>
    </row>
    <row r="503" spans="1:13" x14ac:dyDescent="0.15">
      <c r="A503" s="8"/>
      <c r="B503" s="8"/>
      <c r="C503" s="8"/>
      <c r="D503" s="8"/>
      <c r="E503" s="9"/>
      <c r="F503" s="8"/>
      <c r="G503" s="10"/>
      <c r="H503" s="11"/>
      <c r="I503" s="8"/>
      <c r="J503" s="9"/>
      <c r="K503" s="8"/>
      <c r="L503" s="9"/>
      <c r="M503" s="8"/>
    </row>
    <row r="504" spans="1:13" x14ac:dyDescent="0.15">
      <c r="A504" s="8"/>
      <c r="B504" s="8"/>
      <c r="C504" s="8"/>
      <c r="D504" s="8"/>
      <c r="E504" s="9"/>
      <c r="F504" s="8"/>
      <c r="G504" s="10"/>
      <c r="H504" s="11"/>
      <c r="I504" s="8"/>
      <c r="J504" s="9"/>
      <c r="K504" s="8"/>
      <c r="L504" s="9"/>
      <c r="M504" s="8"/>
    </row>
    <row r="505" spans="1:13" x14ac:dyDescent="0.15">
      <c r="A505" s="8"/>
      <c r="B505" s="8"/>
      <c r="C505" s="8"/>
      <c r="D505" s="8"/>
      <c r="E505" s="9"/>
      <c r="F505" s="8"/>
      <c r="G505" s="10"/>
      <c r="H505" s="11"/>
      <c r="I505" s="8"/>
      <c r="J505" s="9"/>
      <c r="K505" s="8"/>
      <c r="L505" s="9"/>
      <c r="M505" s="8"/>
    </row>
    <row r="506" spans="1:13" x14ac:dyDescent="0.15">
      <c r="A506" s="8"/>
      <c r="B506" s="8"/>
      <c r="C506" s="8"/>
      <c r="D506" s="8"/>
      <c r="E506" s="9"/>
      <c r="F506" s="8"/>
      <c r="G506" s="10"/>
      <c r="H506" s="11"/>
      <c r="I506" s="8"/>
      <c r="J506" s="9"/>
      <c r="K506" s="8"/>
      <c r="L506" s="9"/>
      <c r="M506" s="8"/>
    </row>
    <row r="507" spans="1:13" x14ac:dyDescent="0.15">
      <c r="A507" s="8"/>
      <c r="B507" s="8"/>
      <c r="C507" s="8"/>
      <c r="D507" s="8"/>
      <c r="E507" s="9"/>
      <c r="F507" s="8"/>
      <c r="G507" s="10"/>
      <c r="H507" s="11"/>
      <c r="I507" s="8"/>
      <c r="J507" s="9"/>
      <c r="K507" s="8"/>
      <c r="L507" s="9"/>
      <c r="M507" s="8"/>
    </row>
    <row r="508" spans="1:13" x14ac:dyDescent="0.15">
      <c r="A508" s="8"/>
      <c r="B508" s="8"/>
      <c r="C508" s="8"/>
      <c r="D508" s="8"/>
      <c r="E508" s="9"/>
      <c r="F508" s="8"/>
      <c r="G508" s="10"/>
      <c r="H508" s="11"/>
      <c r="I508" s="8"/>
      <c r="J508" s="9"/>
      <c r="K508" s="8"/>
      <c r="L508" s="9"/>
      <c r="M508" s="8"/>
    </row>
    <row r="509" spans="1:13" x14ac:dyDescent="0.15">
      <c r="A509" s="8"/>
      <c r="B509" s="8"/>
      <c r="C509" s="8"/>
      <c r="D509" s="8"/>
      <c r="E509" s="9"/>
      <c r="F509" s="8"/>
      <c r="G509" s="10"/>
      <c r="H509" s="11"/>
      <c r="I509" s="8"/>
      <c r="J509" s="9"/>
      <c r="K509" s="8"/>
      <c r="L509" s="9"/>
      <c r="M509" s="8"/>
    </row>
    <row r="510" spans="1:13" x14ac:dyDescent="0.15">
      <c r="A510" s="8"/>
      <c r="B510" s="8"/>
      <c r="C510" s="8"/>
      <c r="D510" s="8"/>
      <c r="E510" s="9"/>
      <c r="F510" s="8"/>
      <c r="G510" s="10"/>
      <c r="H510" s="11"/>
      <c r="I510" s="8"/>
      <c r="J510" s="9"/>
      <c r="K510" s="8"/>
      <c r="L510" s="9"/>
      <c r="M510" s="8"/>
    </row>
    <row r="511" spans="1:13" x14ac:dyDescent="0.15">
      <c r="A511" s="8"/>
      <c r="B511" s="8"/>
      <c r="C511" s="8"/>
      <c r="D511" s="8"/>
      <c r="E511" s="9"/>
      <c r="F511" s="8"/>
      <c r="G511" s="10"/>
      <c r="H511" s="11"/>
      <c r="I511" s="8"/>
      <c r="J511" s="9"/>
      <c r="K511" s="8"/>
      <c r="L511" s="9"/>
      <c r="M511" s="8"/>
    </row>
    <row r="512" spans="1:13" x14ac:dyDescent="0.15">
      <c r="A512" s="8"/>
      <c r="B512" s="8"/>
      <c r="C512" s="8"/>
      <c r="D512" s="8"/>
      <c r="E512" s="9"/>
      <c r="F512" s="8"/>
      <c r="G512" s="10"/>
      <c r="H512" s="11"/>
      <c r="I512" s="8"/>
      <c r="J512" s="9"/>
      <c r="K512" s="8"/>
      <c r="L512" s="9"/>
      <c r="M512" s="8"/>
    </row>
    <row r="513" spans="1:13" x14ac:dyDescent="0.15">
      <c r="A513" s="8"/>
      <c r="B513" s="8"/>
      <c r="C513" s="8"/>
      <c r="D513" s="8"/>
      <c r="E513" s="9"/>
      <c r="F513" s="8"/>
      <c r="G513" s="10"/>
      <c r="H513" s="11"/>
      <c r="I513" s="8"/>
      <c r="J513" s="9"/>
      <c r="K513" s="8"/>
      <c r="L513" s="9"/>
      <c r="M513" s="8"/>
    </row>
    <row r="514" spans="1:13" x14ac:dyDescent="0.15">
      <c r="A514" s="8"/>
      <c r="B514" s="8"/>
      <c r="C514" s="8"/>
      <c r="D514" s="8"/>
      <c r="E514" s="9"/>
      <c r="F514" s="8"/>
      <c r="G514" s="10"/>
      <c r="H514" s="11"/>
      <c r="I514" s="8"/>
      <c r="J514" s="9"/>
      <c r="K514" s="8"/>
      <c r="L514" s="9"/>
      <c r="M514" s="8"/>
    </row>
    <row r="515" spans="1:13" x14ac:dyDescent="0.15">
      <c r="A515" s="8"/>
      <c r="B515" s="8"/>
      <c r="C515" s="8"/>
      <c r="D515" s="8"/>
      <c r="E515" s="9"/>
      <c r="F515" s="8"/>
      <c r="G515" s="10"/>
      <c r="H515" s="11"/>
      <c r="I515" s="8"/>
      <c r="J515" s="9"/>
      <c r="K515" s="8"/>
      <c r="L515" s="9"/>
      <c r="M515" s="8"/>
    </row>
    <row r="516" spans="1:13" x14ac:dyDescent="0.15">
      <c r="A516" s="8"/>
      <c r="B516" s="8"/>
      <c r="C516" s="8"/>
      <c r="D516" s="8"/>
      <c r="E516" s="9"/>
      <c r="F516" s="8"/>
      <c r="G516" s="10"/>
      <c r="H516" s="11"/>
      <c r="I516" s="8"/>
      <c r="J516" s="9"/>
      <c r="K516" s="8"/>
      <c r="L516" s="9"/>
      <c r="M516" s="8"/>
    </row>
    <row r="517" spans="1:13" x14ac:dyDescent="0.15">
      <c r="A517" s="8"/>
      <c r="B517" s="8"/>
      <c r="C517" s="8"/>
      <c r="D517" s="8"/>
      <c r="E517" s="9"/>
      <c r="F517" s="8"/>
      <c r="G517" s="10"/>
      <c r="H517" s="11"/>
      <c r="I517" s="8"/>
      <c r="J517" s="9"/>
      <c r="K517" s="8"/>
      <c r="L517" s="9"/>
      <c r="M517" s="8"/>
    </row>
    <row r="518" spans="1:13" x14ac:dyDescent="0.15">
      <c r="A518" s="8"/>
      <c r="B518" s="8"/>
      <c r="C518" s="8"/>
      <c r="D518" s="8"/>
      <c r="E518" s="9"/>
      <c r="F518" s="8"/>
      <c r="G518" s="10"/>
      <c r="H518" s="11"/>
      <c r="I518" s="8"/>
      <c r="J518" s="9"/>
      <c r="K518" s="8"/>
      <c r="L518" s="9"/>
      <c r="M518" s="8"/>
    </row>
    <row r="519" spans="1:13" x14ac:dyDescent="0.15">
      <c r="A519" s="8"/>
      <c r="B519" s="8"/>
      <c r="C519" s="8"/>
      <c r="D519" s="8"/>
      <c r="E519" s="8"/>
      <c r="F519" s="8"/>
      <c r="G519" s="10"/>
      <c r="H519" s="11"/>
      <c r="I519" s="8"/>
      <c r="J519" s="9"/>
      <c r="K519" s="8"/>
      <c r="L519" s="9"/>
      <c r="M519" s="8"/>
    </row>
    <row r="520" spans="1:13" x14ac:dyDescent="0.15">
      <c r="A520" s="8"/>
      <c r="B520" s="8"/>
      <c r="C520" s="8"/>
      <c r="D520" s="8"/>
      <c r="E520" s="8"/>
      <c r="F520" s="8"/>
      <c r="G520" s="10"/>
      <c r="H520" s="11"/>
      <c r="I520" s="8"/>
      <c r="J520" s="9"/>
      <c r="K520" s="8"/>
      <c r="L520" s="9"/>
      <c r="M520" s="8"/>
    </row>
    <row r="521" spans="1:13" x14ac:dyDescent="0.15">
      <c r="A521" s="8"/>
      <c r="B521" s="8"/>
      <c r="C521" s="8"/>
      <c r="D521" s="8"/>
      <c r="E521" s="8"/>
      <c r="F521" s="8"/>
      <c r="G521" s="10"/>
      <c r="H521" s="11"/>
      <c r="I521" s="8"/>
      <c r="J521" s="9"/>
      <c r="K521" s="8"/>
      <c r="L521" s="9"/>
      <c r="M521" s="8"/>
    </row>
    <row r="522" spans="1:13" x14ac:dyDescent="0.15">
      <c r="A522" s="8"/>
      <c r="B522" s="8"/>
      <c r="C522" s="8"/>
      <c r="D522" s="8"/>
      <c r="E522" s="8"/>
      <c r="F522" s="8"/>
      <c r="G522" s="10"/>
      <c r="H522" s="11"/>
      <c r="I522" s="8"/>
      <c r="J522" s="9"/>
      <c r="K522" s="8"/>
      <c r="L522" s="9"/>
      <c r="M522" s="8"/>
    </row>
    <row r="523" spans="1:13" x14ac:dyDescent="0.15">
      <c r="A523" s="8"/>
      <c r="B523" s="8"/>
      <c r="C523" s="8"/>
      <c r="D523" s="8"/>
      <c r="E523" s="8"/>
      <c r="F523" s="8"/>
      <c r="G523" s="10"/>
      <c r="H523" s="11"/>
      <c r="I523" s="8"/>
      <c r="J523" s="9"/>
      <c r="K523" s="8"/>
      <c r="L523" s="9"/>
      <c r="M523" s="8"/>
    </row>
    <row r="524" spans="1:13" x14ac:dyDescent="0.15">
      <c r="A524" s="8"/>
      <c r="B524" s="8"/>
      <c r="C524" s="8"/>
      <c r="D524" s="8"/>
      <c r="E524" s="8"/>
      <c r="F524" s="8"/>
      <c r="G524" s="10"/>
      <c r="H524" s="11"/>
      <c r="I524" s="8"/>
      <c r="J524" s="9"/>
      <c r="K524" s="8"/>
      <c r="L524" s="9"/>
      <c r="M524" s="8"/>
    </row>
    <row r="525" spans="1:13" x14ac:dyDescent="0.15">
      <c r="A525" s="8"/>
      <c r="B525" s="8"/>
      <c r="C525" s="8"/>
      <c r="D525" s="8"/>
      <c r="E525" s="8"/>
      <c r="F525" s="8"/>
      <c r="G525" s="10"/>
      <c r="H525" s="11"/>
      <c r="I525" s="8"/>
      <c r="J525" s="9"/>
      <c r="K525" s="8"/>
      <c r="L525" s="9"/>
      <c r="M525" s="8"/>
    </row>
    <row r="526" spans="1:13" x14ac:dyDescent="0.15">
      <c r="A526" s="8"/>
      <c r="B526" s="8"/>
      <c r="C526" s="8"/>
      <c r="D526" s="8"/>
      <c r="E526" s="8"/>
      <c r="F526" s="8"/>
      <c r="G526" s="10"/>
      <c r="H526" s="11"/>
      <c r="I526" s="8"/>
      <c r="J526" s="9"/>
      <c r="K526" s="8"/>
      <c r="L526" s="9"/>
      <c r="M526" s="8"/>
    </row>
    <row r="527" spans="1:13" x14ac:dyDescent="0.15">
      <c r="A527" s="8"/>
      <c r="B527" s="8"/>
      <c r="C527" s="8"/>
      <c r="D527" s="8"/>
      <c r="E527" s="8"/>
      <c r="F527" s="8"/>
      <c r="G527" s="10"/>
      <c r="H527" s="11"/>
      <c r="I527" s="8"/>
      <c r="J527" s="9"/>
      <c r="K527" s="8"/>
      <c r="L527" s="9"/>
      <c r="M527" s="8"/>
    </row>
    <row r="528" spans="1:13" x14ac:dyDescent="0.15">
      <c r="A528" s="8"/>
      <c r="B528" s="8"/>
      <c r="C528" s="8"/>
      <c r="D528" s="8"/>
      <c r="E528" s="8"/>
      <c r="F528" s="8"/>
      <c r="G528" s="10"/>
      <c r="H528" s="11"/>
      <c r="I528" s="8"/>
      <c r="J528" s="9"/>
      <c r="K528" s="8"/>
      <c r="L528" s="9"/>
      <c r="M528" s="8"/>
    </row>
    <row r="529" spans="1:13" x14ac:dyDescent="0.15">
      <c r="A529" s="8"/>
      <c r="B529" s="8"/>
      <c r="C529" s="8"/>
      <c r="D529" s="8"/>
      <c r="E529" s="8"/>
      <c r="F529" s="8"/>
      <c r="G529" s="10"/>
      <c r="H529" s="11"/>
      <c r="I529" s="8"/>
      <c r="J529" s="9"/>
      <c r="K529" s="8"/>
      <c r="L529" s="9"/>
      <c r="M529" s="8"/>
    </row>
    <row r="530" spans="1:13" x14ac:dyDescent="0.15">
      <c r="A530" s="8"/>
      <c r="B530" s="8"/>
      <c r="C530" s="8"/>
      <c r="D530" s="8"/>
      <c r="E530" s="8"/>
      <c r="F530" s="8"/>
      <c r="G530" s="10"/>
      <c r="H530" s="11"/>
      <c r="I530" s="8"/>
      <c r="J530" s="9"/>
      <c r="K530" s="8"/>
      <c r="L530" s="9"/>
      <c r="M530" s="8"/>
    </row>
    <row r="531" spans="1:13" x14ac:dyDescent="0.15">
      <c r="A531" s="8"/>
      <c r="B531" s="8"/>
      <c r="C531" s="8"/>
      <c r="D531" s="8"/>
      <c r="E531" s="8"/>
      <c r="F531" s="8"/>
      <c r="G531" s="10"/>
      <c r="H531" s="11"/>
      <c r="I531" s="8"/>
      <c r="J531" s="9"/>
      <c r="K531" s="8"/>
      <c r="L531" s="9"/>
      <c r="M531" s="8"/>
    </row>
    <row r="532" spans="1:13" x14ac:dyDescent="0.15">
      <c r="A532" s="8"/>
      <c r="B532" s="8"/>
      <c r="C532" s="8"/>
      <c r="D532" s="8"/>
      <c r="E532" s="8"/>
      <c r="F532" s="8"/>
      <c r="G532" s="10"/>
      <c r="H532" s="11"/>
      <c r="I532" s="8"/>
      <c r="J532" s="9"/>
      <c r="K532" s="8"/>
      <c r="L532" s="9"/>
      <c r="M532" s="8"/>
    </row>
    <row r="533" spans="1:13" x14ac:dyDescent="0.15">
      <c r="A533" s="8"/>
      <c r="B533" s="8"/>
      <c r="C533" s="8"/>
      <c r="D533" s="8"/>
      <c r="E533" s="8"/>
      <c r="F533" s="8"/>
      <c r="G533" s="10"/>
      <c r="H533" s="11"/>
      <c r="I533" s="8"/>
      <c r="J533" s="9"/>
      <c r="K533" s="8"/>
      <c r="L533" s="9"/>
      <c r="M533" s="8"/>
    </row>
    <row r="534" spans="1:13" x14ac:dyDescent="0.15">
      <c r="A534" s="8"/>
      <c r="B534" s="8"/>
      <c r="C534" s="8"/>
      <c r="D534" s="8"/>
      <c r="E534" s="8"/>
      <c r="F534" s="8"/>
      <c r="G534" s="10"/>
      <c r="H534" s="11"/>
      <c r="I534" s="8"/>
      <c r="J534" s="9"/>
      <c r="K534" s="8"/>
      <c r="L534" s="9"/>
      <c r="M534" s="8"/>
    </row>
    <row r="535" spans="1:13" x14ac:dyDescent="0.15">
      <c r="A535" s="8"/>
      <c r="B535" s="8"/>
      <c r="C535" s="8"/>
      <c r="D535" s="8"/>
      <c r="E535" s="8"/>
      <c r="F535" s="8"/>
      <c r="G535" s="10"/>
      <c r="H535" s="11"/>
      <c r="I535" s="8"/>
      <c r="J535" s="9"/>
      <c r="K535" s="8"/>
      <c r="L535" s="9"/>
      <c r="M535" s="8"/>
    </row>
    <row r="536" spans="1:13" x14ac:dyDescent="0.15">
      <c r="A536" s="8"/>
      <c r="B536" s="8"/>
      <c r="C536" s="8"/>
      <c r="D536" s="8"/>
      <c r="E536" s="8"/>
      <c r="F536" s="8"/>
      <c r="G536" s="10"/>
      <c r="H536" s="11"/>
      <c r="I536" s="8"/>
      <c r="J536" s="9"/>
      <c r="K536" s="8"/>
      <c r="L536" s="9"/>
      <c r="M536" s="8"/>
    </row>
    <row r="537" spans="1:13" x14ac:dyDescent="0.15">
      <c r="A537" s="8"/>
      <c r="B537" s="8"/>
      <c r="C537" s="8"/>
      <c r="D537" s="8"/>
      <c r="E537" s="8"/>
      <c r="F537" s="8"/>
      <c r="G537" s="10"/>
      <c r="H537" s="11"/>
      <c r="I537" s="8"/>
      <c r="J537" s="9"/>
      <c r="K537" s="8"/>
      <c r="L537" s="9"/>
      <c r="M537" s="8"/>
    </row>
    <row r="538" spans="1:13" x14ac:dyDescent="0.15">
      <c r="A538" s="8"/>
      <c r="B538" s="8"/>
      <c r="C538" s="8"/>
      <c r="D538" s="8"/>
      <c r="E538" s="8"/>
      <c r="F538" s="8"/>
      <c r="G538" s="10"/>
      <c r="H538" s="11"/>
      <c r="I538" s="8"/>
      <c r="J538" s="9"/>
      <c r="K538" s="8"/>
      <c r="L538" s="9"/>
      <c r="M538" s="8"/>
    </row>
    <row r="539" spans="1:13" x14ac:dyDescent="0.15">
      <c r="A539" s="8"/>
      <c r="B539" s="8"/>
      <c r="C539" s="8"/>
      <c r="D539" s="8"/>
      <c r="E539" s="8"/>
      <c r="F539" s="8"/>
      <c r="G539" s="10"/>
      <c r="H539" s="11"/>
      <c r="I539" s="8"/>
      <c r="J539" s="9"/>
      <c r="K539" s="8"/>
      <c r="L539" s="9"/>
      <c r="M539" s="8"/>
    </row>
    <row r="540" spans="1:13" x14ac:dyDescent="0.15">
      <c r="A540" s="8"/>
      <c r="B540" s="8"/>
      <c r="C540" s="8"/>
      <c r="D540" s="8"/>
      <c r="E540" s="8"/>
      <c r="F540" s="8"/>
      <c r="G540" s="10"/>
      <c r="H540" s="11"/>
      <c r="I540" s="8"/>
      <c r="J540" s="9"/>
      <c r="K540" s="8"/>
      <c r="L540" s="9"/>
      <c r="M540" s="8"/>
    </row>
    <row r="541" spans="1:13" x14ac:dyDescent="0.15">
      <c r="A541" s="8"/>
      <c r="B541" s="8"/>
      <c r="C541" s="8"/>
      <c r="D541" s="8"/>
      <c r="E541" s="8"/>
      <c r="F541" s="8"/>
      <c r="G541" s="10"/>
      <c r="H541" s="11"/>
      <c r="I541" s="8"/>
      <c r="J541" s="9"/>
      <c r="K541" s="8"/>
      <c r="L541" s="9"/>
      <c r="M541" s="8"/>
    </row>
    <row r="542" spans="1:13" x14ac:dyDescent="0.15">
      <c r="A542" s="8"/>
      <c r="B542" s="8"/>
      <c r="C542" s="8"/>
      <c r="D542" s="8"/>
      <c r="E542" s="8"/>
      <c r="F542" s="8"/>
      <c r="G542" s="10"/>
      <c r="H542" s="11"/>
      <c r="I542" s="8"/>
      <c r="J542" s="9"/>
      <c r="K542" s="8"/>
      <c r="L542" s="9"/>
      <c r="M542" s="8"/>
    </row>
    <row r="543" spans="1:13" x14ac:dyDescent="0.15">
      <c r="A543" s="8"/>
      <c r="B543" s="8"/>
      <c r="C543" s="8"/>
      <c r="D543" s="8"/>
      <c r="E543" s="8"/>
      <c r="F543" s="8"/>
      <c r="G543" s="10"/>
      <c r="H543" s="11"/>
      <c r="I543" s="8"/>
      <c r="J543" s="9"/>
      <c r="K543" s="8"/>
      <c r="L543" s="9"/>
      <c r="M543" s="8"/>
    </row>
    <row r="544" spans="1:13" x14ac:dyDescent="0.15">
      <c r="A544" s="8"/>
      <c r="B544" s="8"/>
      <c r="C544" s="8"/>
      <c r="D544" s="8"/>
      <c r="E544" s="8"/>
      <c r="F544" s="8"/>
      <c r="G544" s="10"/>
      <c r="H544" s="11"/>
      <c r="I544" s="8"/>
      <c r="J544" s="9"/>
      <c r="K544" s="8"/>
      <c r="L544" s="9"/>
      <c r="M544" s="8"/>
    </row>
    <row r="545" spans="1:13" x14ac:dyDescent="0.15">
      <c r="A545" s="8"/>
      <c r="B545" s="8"/>
      <c r="C545" s="8"/>
      <c r="D545" s="8"/>
      <c r="E545" s="8"/>
      <c r="F545" s="8"/>
      <c r="G545" s="10"/>
      <c r="H545" s="11"/>
      <c r="I545" s="8"/>
      <c r="J545" s="9"/>
      <c r="K545" s="8"/>
      <c r="L545" s="9"/>
      <c r="M545" s="8"/>
    </row>
    <row r="546" spans="1:13" x14ac:dyDescent="0.15">
      <c r="A546" s="8"/>
      <c r="B546" s="8"/>
      <c r="C546" s="8"/>
      <c r="D546" s="8"/>
      <c r="E546" s="8"/>
      <c r="F546" s="8"/>
      <c r="G546" s="10"/>
      <c r="H546" s="11"/>
      <c r="I546" s="8"/>
      <c r="J546" s="9"/>
      <c r="K546" s="8"/>
      <c r="L546" s="9"/>
      <c r="M546" s="8"/>
    </row>
    <row r="547" spans="1:13" x14ac:dyDescent="0.15">
      <c r="A547" s="8"/>
      <c r="B547" s="8"/>
      <c r="C547" s="8"/>
      <c r="D547" s="8"/>
      <c r="E547" s="8"/>
      <c r="F547" s="8"/>
      <c r="G547" s="10"/>
      <c r="H547" s="11"/>
      <c r="I547" s="8"/>
      <c r="J547" s="9"/>
      <c r="K547" s="8"/>
      <c r="L547" s="9"/>
      <c r="M547" s="8"/>
    </row>
    <row r="548" spans="1:13" x14ac:dyDescent="0.15">
      <c r="A548" s="8"/>
      <c r="B548" s="8"/>
      <c r="C548" s="8"/>
      <c r="D548" s="8"/>
      <c r="E548" s="8"/>
      <c r="F548" s="8"/>
      <c r="G548" s="10"/>
      <c r="H548" s="11"/>
      <c r="I548" s="8"/>
      <c r="J548" s="9"/>
      <c r="K548" s="8"/>
      <c r="L548" s="9"/>
      <c r="M548" s="8"/>
    </row>
    <row r="549" spans="1:13" x14ac:dyDescent="0.15">
      <c r="A549" s="8"/>
      <c r="B549" s="8"/>
      <c r="C549" s="8"/>
      <c r="D549" s="8"/>
      <c r="E549" s="8"/>
      <c r="F549" s="8"/>
      <c r="G549" s="10"/>
      <c r="H549" s="11"/>
      <c r="I549" s="8"/>
      <c r="J549" s="9"/>
      <c r="K549" s="8"/>
      <c r="L549" s="9"/>
      <c r="M549" s="8"/>
    </row>
    <row r="550" spans="1:13" x14ac:dyDescent="0.15">
      <c r="A550" s="8"/>
      <c r="B550" s="8"/>
      <c r="C550" s="8"/>
      <c r="D550" s="8"/>
      <c r="E550" s="8"/>
      <c r="F550" s="8"/>
      <c r="G550" s="10"/>
      <c r="H550" s="11"/>
      <c r="I550" s="8"/>
      <c r="J550" s="9"/>
      <c r="K550" s="8"/>
      <c r="L550" s="9"/>
      <c r="M550" s="8"/>
    </row>
    <row r="551" spans="1:13" x14ac:dyDescent="0.15">
      <c r="A551" s="8"/>
      <c r="B551" s="8"/>
      <c r="C551" s="8"/>
      <c r="D551" s="8"/>
      <c r="E551" s="8"/>
      <c r="F551" s="8"/>
      <c r="G551" s="10"/>
      <c r="H551" s="11"/>
      <c r="I551" s="8"/>
      <c r="J551" s="9"/>
      <c r="K551" s="8"/>
      <c r="L551" s="9"/>
      <c r="M551" s="8"/>
    </row>
    <row r="552" spans="1:13" x14ac:dyDescent="0.15">
      <c r="A552" s="8"/>
      <c r="B552" s="8"/>
      <c r="C552" s="8"/>
      <c r="D552" s="8"/>
      <c r="E552" s="8"/>
      <c r="F552" s="8"/>
      <c r="G552" s="10"/>
      <c r="H552" s="11"/>
      <c r="I552" s="8"/>
      <c r="J552" s="9"/>
      <c r="K552" s="8"/>
      <c r="L552" s="9"/>
      <c r="M552" s="8"/>
    </row>
    <row r="553" spans="1:13" x14ac:dyDescent="0.15">
      <c r="A553" s="8"/>
      <c r="B553" s="8"/>
      <c r="C553" s="8"/>
      <c r="D553" s="8"/>
      <c r="E553" s="8"/>
      <c r="F553" s="8"/>
      <c r="G553" s="10"/>
      <c r="H553" s="11"/>
      <c r="I553" s="8"/>
      <c r="J553" s="9"/>
      <c r="K553" s="8"/>
      <c r="L553" s="9"/>
      <c r="M553" s="8"/>
    </row>
    <row r="554" spans="1:13" x14ac:dyDescent="0.15">
      <c r="A554" s="8"/>
      <c r="B554" s="8"/>
      <c r="C554" s="8"/>
      <c r="D554" s="8"/>
      <c r="E554" s="8"/>
      <c r="F554" s="8"/>
      <c r="G554" s="10"/>
      <c r="H554" s="11"/>
      <c r="I554" s="8"/>
      <c r="J554" s="9"/>
      <c r="K554" s="8"/>
      <c r="L554" s="9"/>
      <c r="M554" s="8"/>
    </row>
    <row r="555" spans="1:13" x14ac:dyDescent="0.15">
      <c r="A555" s="8"/>
      <c r="B555" s="8"/>
      <c r="C555" s="8"/>
      <c r="D555" s="8"/>
      <c r="E555" s="8"/>
      <c r="F555" s="8"/>
      <c r="G555" s="10"/>
      <c r="H555" s="11"/>
      <c r="I555" s="8"/>
      <c r="J555" s="9"/>
      <c r="K555" s="8"/>
      <c r="L555" s="9"/>
      <c r="M555" s="8"/>
    </row>
    <row r="556" spans="1:13" x14ac:dyDescent="0.15">
      <c r="A556" s="8"/>
      <c r="B556" s="8"/>
      <c r="C556" s="8"/>
      <c r="D556" s="8"/>
      <c r="E556" s="8"/>
      <c r="F556" s="8"/>
      <c r="G556" s="10"/>
      <c r="H556" s="11"/>
      <c r="I556" s="8"/>
      <c r="J556" s="9"/>
      <c r="K556" s="8"/>
      <c r="L556" s="9"/>
      <c r="M556" s="8"/>
    </row>
    <row r="557" spans="1:13" x14ac:dyDescent="0.15">
      <c r="A557" s="8"/>
      <c r="B557" s="8"/>
      <c r="C557" s="8"/>
      <c r="D557" s="8"/>
      <c r="E557" s="8"/>
      <c r="F557" s="8"/>
      <c r="G557" s="10"/>
      <c r="H557" s="11"/>
      <c r="I557" s="8"/>
      <c r="J557" s="9"/>
      <c r="K557" s="8"/>
      <c r="L557" s="9"/>
      <c r="M557" s="8"/>
    </row>
    <row r="558" spans="1:13" x14ac:dyDescent="0.15">
      <c r="A558" s="8"/>
      <c r="B558" s="8"/>
      <c r="C558" s="8"/>
      <c r="D558" s="8"/>
      <c r="E558" s="8"/>
      <c r="F558" s="8"/>
      <c r="G558" s="10"/>
      <c r="H558" s="11"/>
      <c r="I558" s="8"/>
      <c r="J558" s="9"/>
      <c r="K558" s="8"/>
      <c r="L558" s="9"/>
      <c r="M558" s="8"/>
    </row>
    <row r="559" spans="1:13" x14ac:dyDescent="0.15">
      <c r="A559" s="8"/>
      <c r="B559" s="8"/>
      <c r="C559" s="8"/>
      <c r="D559" s="8"/>
      <c r="E559" s="8"/>
      <c r="F559" s="8"/>
      <c r="G559" s="10"/>
      <c r="H559" s="11"/>
      <c r="I559" s="8"/>
      <c r="J559" s="9"/>
      <c r="K559" s="8"/>
      <c r="L559" s="9"/>
      <c r="M559" s="8"/>
    </row>
    <row r="560" spans="1:13" x14ac:dyDescent="0.15">
      <c r="A560" s="8"/>
      <c r="B560" s="8"/>
      <c r="C560" s="8"/>
      <c r="D560" s="8"/>
      <c r="E560" s="8"/>
      <c r="F560" s="8"/>
      <c r="G560" s="10"/>
      <c r="H560" s="11"/>
      <c r="I560" s="8"/>
      <c r="J560" s="9"/>
      <c r="K560" s="8"/>
      <c r="L560" s="9"/>
      <c r="M560" s="8"/>
    </row>
    <row r="561" spans="1:13" x14ac:dyDescent="0.15">
      <c r="A561" s="8"/>
      <c r="B561" s="8"/>
      <c r="C561" s="8"/>
      <c r="D561" s="8"/>
      <c r="E561" s="8"/>
      <c r="F561" s="8"/>
      <c r="G561" s="10"/>
      <c r="H561" s="11"/>
      <c r="I561" s="8"/>
      <c r="J561" s="9"/>
      <c r="K561" s="8"/>
      <c r="L561" s="9"/>
      <c r="M561" s="8"/>
    </row>
    <row r="562" spans="1:13" x14ac:dyDescent="0.15">
      <c r="A562" s="8"/>
      <c r="B562" s="8"/>
      <c r="C562" s="8"/>
      <c r="D562" s="8"/>
      <c r="E562" s="8"/>
      <c r="F562" s="8"/>
      <c r="G562" s="10"/>
      <c r="H562" s="11"/>
      <c r="I562" s="8"/>
      <c r="J562" s="9"/>
      <c r="K562" s="8"/>
      <c r="L562" s="9"/>
      <c r="M562" s="8"/>
    </row>
    <row r="563" spans="1:13" x14ac:dyDescent="0.15">
      <c r="A563" s="8"/>
      <c r="B563" s="8"/>
      <c r="C563" s="8"/>
      <c r="D563" s="8"/>
      <c r="E563" s="8"/>
      <c r="F563" s="8"/>
      <c r="G563" s="10"/>
      <c r="H563" s="11"/>
      <c r="I563" s="8"/>
      <c r="J563" s="9"/>
      <c r="K563" s="8"/>
      <c r="L563" s="9"/>
      <c r="M563" s="8"/>
    </row>
    <row r="564" spans="1:13" x14ac:dyDescent="0.15">
      <c r="A564" s="8"/>
      <c r="B564" s="8"/>
      <c r="C564" s="8"/>
      <c r="D564" s="8"/>
      <c r="E564" s="8"/>
      <c r="F564" s="8"/>
      <c r="G564" s="10"/>
      <c r="H564" s="11"/>
      <c r="I564" s="8"/>
      <c r="J564" s="9"/>
      <c r="K564" s="8"/>
      <c r="L564" s="9"/>
      <c r="M564" s="8"/>
    </row>
    <row r="565" spans="1:13" x14ac:dyDescent="0.15">
      <c r="A565" s="8"/>
      <c r="B565" s="8"/>
      <c r="C565" s="8"/>
      <c r="D565" s="8"/>
      <c r="E565" s="8"/>
      <c r="F565" s="8"/>
      <c r="G565" s="10"/>
      <c r="H565" s="11"/>
      <c r="I565" s="8"/>
      <c r="J565" s="9"/>
      <c r="K565" s="8"/>
      <c r="L565" s="9"/>
      <c r="M565" s="8"/>
    </row>
    <row r="566" spans="1:13" x14ac:dyDescent="0.15">
      <c r="A566" s="8"/>
      <c r="B566" s="8"/>
      <c r="C566" s="8"/>
      <c r="D566" s="8"/>
      <c r="E566" s="8"/>
      <c r="F566" s="8"/>
      <c r="G566" s="10"/>
      <c r="H566" s="11"/>
      <c r="I566" s="8"/>
      <c r="J566" s="9"/>
      <c r="K566" s="8"/>
      <c r="L566" s="9"/>
      <c r="M566" s="8"/>
    </row>
    <row r="567" spans="1:13" x14ac:dyDescent="0.15">
      <c r="A567" s="8"/>
      <c r="B567" s="8"/>
      <c r="C567" s="8"/>
      <c r="D567" s="8"/>
      <c r="E567" s="8"/>
      <c r="F567" s="8"/>
      <c r="G567" s="10"/>
      <c r="H567" s="11"/>
      <c r="I567" s="8"/>
      <c r="J567" s="9"/>
      <c r="K567" s="8"/>
      <c r="L567" s="9"/>
      <c r="M567" s="8"/>
    </row>
    <row r="568" spans="1:13" x14ac:dyDescent="0.15">
      <c r="A568" s="8"/>
      <c r="B568" s="8"/>
      <c r="C568" s="8"/>
      <c r="D568" s="8"/>
      <c r="E568" s="8"/>
      <c r="F568" s="8"/>
      <c r="G568" s="10"/>
      <c r="H568" s="11"/>
      <c r="I568" s="8"/>
      <c r="J568" s="9"/>
      <c r="K568" s="8"/>
      <c r="L568" s="9"/>
      <c r="M568" s="8"/>
    </row>
    <row r="569" spans="1:13" x14ac:dyDescent="0.15">
      <c r="A569" s="8"/>
      <c r="B569" s="8"/>
      <c r="C569" s="8"/>
      <c r="D569" s="8"/>
      <c r="E569" s="8"/>
      <c r="F569" s="8"/>
      <c r="G569" s="10"/>
      <c r="H569" s="11"/>
      <c r="I569" s="8"/>
      <c r="J569" s="9"/>
      <c r="K569" s="8"/>
      <c r="L569" s="9"/>
      <c r="M569" s="8"/>
    </row>
    <row r="570" spans="1:13" x14ac:dyDescent="0.15">
      <c r="A570" s="8"/>
      <c r="B570" s="8"/>
      <c r="C570" s="8"/>
      <c r="D570" s="8"/>
      <c r="E570" s="8"/>
      <c r="F570" s="8"/>
      <c r="G570" s="10"/>
      <c r="H570" s="11"/>
      <c r="I570" s="8"/>
      <c r="J570" s="9"/>
      <c r="K570" s="8"/>
      <c r="L570" s="9"/>
      <c r="M570" s="8"/>
    </row>
    <row r="571" spans="1:13" x14ac:dyDescent="0.15">
      <c r="A571" s="8"/>
      <c r="B571" s="8"/>
      <c r="C571" s="8"/>
      <c r="D571" s="8"/>
      <c r="E571" s="8"/>
      <c r="F571" s="8"/>
      <c r="G571" s="10"/>
      <c r="H571" s="11"/>
      <c r="I571" s="8"/>
      <c r="J571" s="9"/>
      <c r="K571" s="8"/>
      <c r="L571" s="9"/>
      <c r="M571" s="8"/>
    </row>
    <row r="572" spans="1:13" x14ac:dyDescent="0.15">
      <c r="A572" s="8"/>
      <c r="B572" s="8"/>
      <c r="C572" s="8"/>
      <c r="D572" s="8"/>
      <c r="E572" s="8"/>
      <c r="F572" s="8"/>
      <c r="G572" s="10"/>
      <c r="H572" s="11"/>
      <c r="I572" s="8"/>
      <c r="J572" s="9"/>
      <c r="K572" s="8"/>
      <c r="L572" s="9"/>
      <c r="M572" s="8"/>
    </row>
    <row r="573" spans="1:13" x14ac:dyDescent="0.15">
      <c r="A573" s="8"/>
      <c r="B573" s="8"/>
      <c r="C573" s="8"/>
      <c r="D573" s="8"/>
      <c r="E573" s="8"/>
      <c r="F573" s="8"/>
      <c r="G573" s="10"/>
      <c r="H573" s="11"/>
      <c r="I573" s="8"/>
      <c r="J573" s="9"/>
      <c r="K573" s="8"/>
      <c r="L573" s="9"/>
      <c r="M573" s="8"/>
    </row>
    <row r="574" spans="1:13" x14ac:dyDescent="0.15">
      <c r="A574" s="8"/>
      <c r="B574" s="8"/>
      <c r="C574" s="8"/>
      <c r="D574" s="8"/>
      <c r="E574" s="8"/>
      <c r="F574" s="8"/>
      <c r="G574" s="10"/>
      <c r="H574" s="11"/>
      <c r="I574" s="8"/>
      <c r="J574" s="9"/>
      <c r="K574" s="8"/>
      <c r="L574" s="9"/>
      <c r="M574" s="8"/>
    </row>
    <row r="575" spans="1:13" x14ac:dyDescent="0.15">
      <c r="A575" s="8"/>
      <c r="B575" s="8"/>
      <c r="C575" s="8"/>
      <c r="D575" s="8"/>
      <c r="E575" s="8"/>
      <c r="F575" s="8"/>
      <c r="G575" s="10"/>
      <c r="H575" s="11"/>
      <c r="I575" s="8"/>
      <c r="J575" s="9"/>
      <c r="K575" s="8"/>
      <c r="L575" s="9"/>
      <c r="M575" s="8"/>
    </row>
    <row r="576" spans="1:13" x14ac:dyDescent="0.15">
      <c r="A576" s="8"/>
      <c r="B576" s="8"/>
      <c r="C576" s="8"/>
      <c r="D576" s="8"/>
      <c r="E576" s="8"/>
      <c r="F576" s="8"/>
      <c r="G576" s="10"/>
      <c r="H576" s="11"/>
      <c r="I576" s="8"/>
      <c r="J576" s="9"/>
      <c r="K576" s="8"/>
      <c r="L576" s="9"/>
      <c r="M576" s="8"/>
    </row>
    <row r="577" spans="1:13" x14ac:dyDescent="0.15">
      <c r="A577" s="8"/>
      <c r="B577" s="8"/>
      <c r="C577" s="8"/>
      <c r="D577" s="8"/>
      <c r="E577" s="8"/>
      <c r="F577" s="8"/>
      <c r="G577" s="10"/>
      <c r="H577" s="11"/>
      <c r="I577" s="8"/>
      <c r="J577" s="9"/>
      <c r="K577" s="8"/>
      <c r="L577" s="9"/>
      <c r="M577" s="8"/>
    </row>
    <row r="578" spans="1:13" x14ac:dyDescent="0.15">
      <c r="A578" s="8"/>
      <c r="B578" s="8"/>
      <c r="C578" s="8"/>
      <c r="D578" s="8"/>
      <c r="E578" s="8"/>
      <c r="F578" s="8"/>
      <c r="G578" s="10"/>
      <c r="H578" s="11"/>
      <c r="I578" s="8"/>
      <c r="J578" s="9"/>
      <c r="K578" s="8"/>
      <c r="L578" s="9"/>
      <c r="M578" s="8"/>
    </row>
    <row r="579" spans="1:13" outlineLevel="1" x14ac:dyDescent="0.15">
      <c r="A579" s="8"/>
      <c r="B579" s="8"/>
      <c r="C579" s="8"/>
      <c r="D579" s="8"/>
      <c r="E579" s="8"/>
      <c r="F579" s="8"/>
      <c r="G579" s="10"/>
      <c r="H579" s="11"/>
      <c r="I579" s="8"/>
      <c r="J579" s="9"/>
      <c r="K579" s="8"/>
      <c r="L579" s="9"/>
      <c r="M579" s="8"/>
    </row>
    <row r="580" spans="1:13" outlineLevel="1" x14ac:dyDescent="0.15">
      <c r="A580" s="8"/>
      <c r="B580" s="8"/>
      <c r="C580" s="8"/>
      <c r="D580" s="8"/>
      <c r="E580" s="8"/>
      <c r="F580" s="8"/>
      <c r="G580" s="10"/>
      <c r="H580" s="11"/>
      <c r="I580" s="8"/>
      <c r="J580" s="9"/>
      <c r="K580" s="8"/>
      <c r="L580" s="9"/>
      <c r="M580" s="8"/>
    </row>
    <row r="581" spans="1:13" outlineLevel="1" x14ac:dyDescent="0.15">
      <c r="A581" s="8"/>
      <c r="B581" s="8"/>
      <c r="C581" s="8"/>
      <c r="D581" s="8"/>
      <c r="E581" s="8"/>
      <c r="F581" s="8"/>
      <c r="G581" s="10"/>
      <c r="H581" s="11"/>
      <c r="I581" s="8"/>
      <c r="J581" s="9"/>
      <c r="K581" s="8"/>
      <c r="L581" s="9"/>
      <c r="M581" s="8"/>
    </row>
    <row r="582" spans="1:13" outlineLevel="1" x14ac:dyDescent="0.15">
      <c r="A582" s="8"/>
      <c r="B582" s="8"/>
      <c r="C582" s="8"/>
      <c r="D582" s="8"/>
      <c r="E582" s="8"/>
      <c r="F582" s="8"/>
      <c r="G582" s="10"/>
      <c r="H582" s="11"/>
      <c r="I582" s="8"/>
      <c r="J582" s="9"/>
      <c r="K582" s="8"/>
      <c r="L582" s="9"/>
      <c r="M582" s="8"/>
    </row>
    <row r="583" spans="1:13" outlineLevel="1" x14ac:dyDescent="0.15">
      <c r="A583" s="8"/>
      <c r="B583" s="8"/>
      <c r="C583" s="8"/>
      <c r="D583" s="8"/>
      <c r="E583" s="8"/>
      <c r="F583" s="8"/>
      <c r="G583" s="10"/>
      <c r="H583" s="11"/>
      <c r="I583" s="8"/>
      <c r="J583" s="9"/>
      <c r="K583" s="8"/>
      <c r="L583" s="9"/>
      <c r="M583" s="8"/>
    </row>
    <row r="584" spans="1:13" outlineLevel="1" x14ac:dyDescent="0.15">
      <c r="A584" s="8"/>
      <c r="B584" s="8"/>
      <c r="C584" s="8"/>
      <c r="D584" s="8"/>
      <c r="E584" s="8"/>
      <c r="F584" s="8"/>
      <c r="G584" s="10"/>
      <c r="H584" s="11"/>
      <c r="I584" s="8"/>
      <c r="J584" s="9"/>
      <c r="K584" s="8"/>
      <c r="L584" s="9"/>
      <c r="M584" s="8"/>
    </row>
    <row r="585" spans="1:13" outlineLevel="1" x14ac:dyDescent="0.15">
      <c r="A585" s="8"/>
      <c r="B585" s="8"/>
      <c r="C585" s="8"/>
      <c r="D585" s="8"/>
      <c r="E585" s="8"/>
      <c r="F585" s="8"/>
      <c r="G585" s="10"/>
      <c r="H585" s="11"/>
      <c r="I585" s="8"/>
      <c r="J585" s="9"/>
      <c r="K585" s="8"/>
      <c r="L585" s="9"/>
      <c r="M585" s="8"/>
    </row>
    <row r="586" spans="1:13" outlineLevel="1" x14ac:dyDescent="0.15">
      <c r="A586" s="8"/>
      <c r="B586" s="8"/>
      <c r="C586" s="8"/>
      <c r="D586" s="8"/>
      <c r="E586" s="8"/>
      <c r="F586" s="8"/>
      <c r="G586" s="10"/>
      <c r="H586" s="11"/>
      <c r="I586" s="8"/>
      <c r="J586" s="9"/>
      <c r="K586" s="8"/>
      <c r="L586" s="9"/>
      <c r="M586" s="8"/>
    </row>
    <row r="587" spans="1:13" outlineLevel="1" x14ac:dyDescent="0.15">
      <c r="A587" s="8"/>
      <c r="B587" s="8"/>
      <c r="C587" s="8"/>
      <c r="D587" s="8"/>
      <c r="E587" s="8"/>
      <c r="F587" s="8"/>
      <c r="G587" s="10"/>
      <c r="H587" s="11"/>
      <c r="I587" s="8"/>
      <c r="J587" s="9"/>
      <c r="K587" s="8"/>
      <c r="L587" s="9"/>
      <c r="M587" s="8"/>
    </row>
    <row r="588" spans="1:13" x14ac:dyDescent="0.15">
      <c r="A588" s="8"/>
      <c r="B588" s="8"/>
      <c r="C588" s="8"/>
      <c r="D588" s="8"/>
      <c r="E588" s="8"/>
      <c r="F588" s="8"/>
      <c r="G588" s="10"/>
      <c r="H588" s="11"/>
      <c r="I588" s="8"/>
      <c r="J588" s="9"/>
      <c r="K588" s="8"/>
      <c r="L588" s="9"/>
      <c r="M588" s="8"/>
    </row>
    <row r="589" spans="1:13" x14ac:dyDescent="0.15">
      <c r="A589" s="8"/>
      <c r="B589" s="8"/>
      <c r="C589" s="8"/>
      <c r="D589" s="8"/>
      <c r="E589" s="8"/>
      <c r="F589" s="8"/>
      <c r="G589" s="10"/>
      <c r="H589" s="11"/>
      <c r="I589" s="8"/>
      <c r="J589" s="9"/>
      <c r="K589" s="8"/>
      <c r="L589" s="9"/>
      <c r="M589" s="8"/>
    </row>
    <row r="590" spans="1:13" x14ac:dyDescent="0.15">
      <c r="A590" s="8"/>
      <c r="B590" s="8"/>
      <c r="C590" s="8"/>
      <c r="D590" s="8"/>
      <c r="E590" s="8"/>
      <c r="F590" s="8"/>
      <c r="G590" s="10"/>
      <c r="H590" s="11"/>
      <c r="I590" s="8"/>
      <c r="J590" s="9"/>
      <c r="K590" s="8"/>
      <c r="L590" s="9"/>
      <c r="M590" s="8"/>
    </row>
    <row r="591" spans="1:13" x14ac:dyDescent="0.15">
      <c r="A591" s="8"/>
      <c r="B591" s="8"/>
      <c r="C591" s="8"/>
      <c r="D591" s="8"/>
      <c r="E591" s="8"/>
      <c r="F591" s="8"/>
      <c r="G591" s="10"/>
      <c r="H591" s="11"/>
      <c r="I591" s="8"/>
      <c r="J591" s="9"/>
      <c r="K591" s="8"/>
      <c r="L591" s="9"/>
      <c r="M591" s="8"/>
    </row>
    <row r="592" spans="1:13" x14ac:dyDescent="0.15">
      <c r="A592" s="8"/>
      <c r="B592" s="8"/>
      <c r="C592" s="8"/>
      <c r="D592" s="8"/>
      <c r="E592" s="8"/>
      <c r="F592" s="8"/>
      <c r="G592" s="10"/>
      <c r="H592" s="11"/>
      <c r="I592" s="8"/>
      <c r="J592" s="9"/>
      <c r="K592" s="8"/>
      <c r="L592" s="9"/>
      <c r="M592" s="8"/>
    </row>
    <row r="593" spans="1:13" x14ac:dyDescent="0.15">
      <c r="A593" s="8"/>
      <c r="B593" s="8"/>
      <c r="C593" s="8"/>
      <c r="D593" s="8"/>
      <c r="E593" s="8"/>
      <c r="F593" s="8"/>
      <c r="G593" s="10"/>
      <c r="H593" s="11"/>
      <c r="I593" s="8"/>
      <c r="J593" s="9"/>
      <c r="K593" s="8"/>
      <c r="L593" s="9"/>
      <c r="M593" s="8"/>
    </row>
    <row r="594" spans="1:13" x14ac:dyDescent="0.15">
      <c r="A594" s="8"/>
      <c r="B594" s="8"/>
      <c r="C594" s="8"/>
      <c r="D594" s="8"/>
      <c r="E594" s="8"/>
      <c r="F594" s="8"/>
      <c r="G594" s="10"/>
      <c r="H594" s="11"/>
      <c r="I594" s="8"/>
      <c r="J594" s="9"/>
      <c r="K594" s="8"/>
      <c r="L594" s="9"/>
      <c r="M594" s="8"/>
    </row>
    <row r="595" spans="1:13" x14ac:dyDescent="0.15">
      <c r="A595" s="8"/>
      <c r="B595" s="8"/>
      <c r="C595" s="8"/>
      <c r="D595" s="8"/>
      <c r="E595" s="8"/>
      <c r="F595" s="8"/>
      <c r="G595" s="10"/>
      <c r="H595" s="11"/>
      <c r="I595" s="8"/>
      <c r="J595" s="9"/>
      <c r="K595" s="8"/>
      <c r="L595" s="9"/>
      <c r="M595" s="8"/>
    </row>
    <row r="596" spans="1:13" x14ac:dyDescent="0.15">
      <c r="A596" s="8"/>
      <c r="B596" s="8"/>
      <c r="C596" s="8"/>
      <c r="D596" s="8"/>
      <c r="E596" s="8"/>
      <c r="F596" s="8"/>
      <c r="G596" s="10"/>
      <c r="H596" s="11"/>
      <c r="I596" s="8"/>
      <c r="J596" s="9"/>
      <c r="K596" s="8"/>
      <c r="L596" s="9"/>
      <c r="M596" s="8"/>
    </row>
    <row r="597" spans="1:13" outlineLevel="1" x14ac:dyDescent="0.15">
      <c r="A597" s="8"/>
      <c r="B597" s="8"/>
      <c r="C597" s="8"/>
      <c r="D597" s="8"/>
      <c r="E597" s="8"/>
      <c r="F597" s="8"/>
      <c r="G597" s="10"/>
      <c r="H597" s="11"/>
      <c r="I597" s="8"/>
      <c r="J597" s="9"/>
      <c r="K597" s="8"/>
      <c r="L597" s="9"/>
      <c r="M597" s="8"/>
    </row>
    <row r="598" spans="1:13" outlineLevel="1" x14ac:dyDescent="0.15">
      <c r="A598" s="8"/>
      <c r="B598" s="8"/>
      <c r="C598" s="8"/>
      <c r="D598" s="8"/>
      <c r="E598" s="8"/>
      <c r="F598" s="8"/>
      <c r="G598" s="10"/>
      <c r="H598" s="11"/>
      <c r="I598" s="8"/>
      <c r="J598" s="9"/>
      <c r="K598" s="8"/>
      <c r="L598" s="9"/>
      <c r="M598" s="8"/>
    </row>
    <row r="599" spans="1:13" outlineLevel="1" x14ac:dyDescent="0.15">
      <c r="A599" s="8"/>
      <c r="B599" s="8"/>
      <c r="C599" s="8"/>
      <c r="D599" s="8"/>
      <c r="E599" s="8"/>
      <c r="F599" s="8"/>
      <c r="G599" s="10"/>
      <c r="H599" s="11"/>
      <c r="I599" s="8"/>
      <c r="J599" s="9"/>
      <c r="K599" s="8"/>
      <c r="L599" s="9"/>
      <c r="M599" s="8"/>
    </row>
    <row r="600" spans="1:13" outlineLevel="1" x14ac:dyDescent="0.15">
      <c r="A600" s="8"/>
      <c r="B600" s="8"/>
      <c r="C600" s="8"/>
      <c r="D600" s="8"/>
      <c r="E600" s="8"/>
      <c r="F600" s="8"/>
      <c r="G600" s="10"/>
      <c r="H600" s="11"/>
      <c r="I600" s="8"/>
      <c r="J600" s="9"/>
      <c r="K600" s="8"/>
      <c r="L600" s="9"/>
      <c r="M600" s="8"/>
    </row>
    <row r="601" spans="1:13" x14ac:dyDescent="0.15">
      <c r="A601" s="8"/>
      <c r="B601" s="8"/>
      <c r="C601" s="8"/>
      <c r="D601" s="8"/>
      <c r="E601" s="8"/>
      <c r="F601" s="8"/>
      <c r="G601" s="10"/>
      <c r="H601" s="11"/>
      <c r="I601" s="8"/>
      <c r="J601" s="9"/>
      <c r="K601" s="8"/>
      <c r="L601" s="9"/>
      <c r="M601" s="8"/>
    </row>
    <row r="602" spans="1:13" x14ac:dyDescent="0.15">
      <c r="A602" s="8"/>
      <c r="B602" s="8"/>
      <c r="C602" s="8"/>
      <c r="D602" s="8"/>
      <c r="E602" s="8"/>
      <c r="F602" s="8"/>
      <c r="G602" s="10"/>
      <c r="H602" s="11"/>
      <c r="I602" s="8"/>
      <c r="J602" s="9"/>
      <c r="K602" s="8"/>
      <c r="L602" s="9"/>
      <c r="M602" s="8"/>
    </row>
    <row r="603" spans="1:13" x14ac:dyDescent="0.15">
      <c r="A603" s="8"/>
      <c r="B603" s="8"/>
      <c r="C603" s="8"/>
      <c r="D603" s="8"/>
      <c r="E603" s="8"/>
      <c r="F603" s="8"/>
      <c r="G603" s="10"/>
      <c r="H603" s="11"/>
      <c r="I603" s="8"/>
      <c r="J603" s="9"/>
      <c r="K603" s="8"/>
      <c r="L603" s="9"/>
      <c r="M603" s="8"/>
    </row>
    <row r="604" spans="1:13" x14ac:dyDescent="0.15">
      <c r="A604" s="8"/>
      <c r="B604" s="8"/>
      <c r="C604" s="8"/>
      <c r="D604" s="8"/>
      <c r="E604" s="8"/>
      <c r="F604" s="8"/>
      <c r="G604" s="10"/>
      <c r="H604" s="11"/>
      <c r="I604" s="8"/>
      <c r="J604" s="9"/>
      <c r="K604" s="8"/>
      <c r="L604" s="9"/>
      <c r="M604" s="8"/>
    </row>
    <row r="605" spans="1:13" outlineLevel="1" x14ac:dyDescent="0.15">
      <c r="A605" s="8"/>
      <c r="B605" s="8"/>
      <c r="C605" s="8"/>
      <c r="D605" s="8"/>
      <c r="E605" s="8"/>
      <c r="F605" s="8"/>
      <c r="G605" s="10"/>
      <c r="H605" s="11"/>
      <c r="I605" s="8"/>
      <c r="J605" s="9"/>
      <c r="K605" s="8"/>
      <c r="L605" s="9"/>
      <c r="M605" s="8"/>
    </row>
    <row r="606" spans="1:13" outlineLevel="1" x14ac:dyDescent="0.15">
      <c r="A606" s="8"/>
      <c r="B606" s="8"/>
      <c r="C606" s="8"/>
      <c r="D606" s="8"/>
      <c r="E606" s="8"/>
      <c r="F606" s="8"/>
      <c r="G606" s="10"/>
      <c r="H606" s="11"/>
      <c r="I606" s="8"/>
      <c r="J606" s="9"/>
      <c r="K606" s="8"/>
      <c r="L606" s="9"/>
      <c r="M606" s="8"/>
    </row>
    <row r="607" spans="1:13" x14ac:dyDescent="0.15">
      <c r="A607" s="8"/>
      <c r="B607" s="8"/>
      <c r="C607" s="8"/>
      <c r="D607" s="8"/>
      <c r="E607" s="8"/>
      <c r="F607" s="8"/>
      <c r="G607" s="10"/>
      <c r="H607" s="11"/>
      <c r="I607" s="8"/>
      <c r="J607" s="9"/>
      <c r="K607" s="8"/>
      <c r="L607" s="9"/>
      <c r="M607" s="8"/>
    </row>
    <row r="608" spans="1:13" x14ac:dyDescent="0.15">
      <c r="A608" s="8"/>
      <c r="B608" s="8"/>
      <c r="C608" s="8"/>
      <c r="D608" s="8"/>
      <c r="E608" s="8"/>
      <c r="F608" s="8"/>
      <c r="G608" s="10"/>
      <c r="H608" s="11"/>
      <c r="I608" s="8"/>
      <c r="J608" s="9"/>
      <c r="K608" s="8"/>
      <c r="L608" s="9"/>
      <c r="M608" s="8"/>
    </row>
    <row r="609" spans="1:13" x14ac:dyDescent="0.15">
      <c r="A609" s="8"/>
      <c r="B609" s="8"/>
      <c r="C609" s="8"/>
      <c r="D609" s="8"/>
      <c r="E609" s="8"/>
      <c r="F609" s="8"/>
      <c r="G609" s="10"/>
      <c r="H609" s="11"/>
      <c r="I609" s="8"/>
      <c r="J609" s="9"/>
      <c r="K609" s="8"/>
      <c r="L609" s="9"/>
      <c r="M609" s="8"/>
    </row>
    <row r="621" spans="1:13" x14ac:dyDescent="0.15">
      <c r="A621" s="41"/>
    </row>
    <row r="631" spans="7:7" x14ac:dyDescent="0.15">
      <c r="G631" s="42"/>
    </row>
  </sheetData>
  <autoFilter ref="A5:Y435" xr:uid="{45007E34-B62A-4F75-8542-ECAA03865FC6}"/>
  <mergeCells count="16">
    <mergeCell ref="S393:W393"/>
    <mergeCell ref="F3:F4"/>
    <mergeCell ref="A3:A4"/>
    <mergeCell ref="B3:B4"/>
    <mergeCell ref="C3:C4"/>
    <mergeCell ref="D3:D4"/>
    <mergeCell ref="E3:E4"/>
    <mergeCell ref="M3:M4"/>
    <mergeCell ref="G3:G4"/>
    <mergeCell ref="H3:H4"/>
    <mergeCell ref="I3:I4"/>
    <mergeCell ref="J3:J4"/>
    <mergeCell ref="K3:K4"/>
    <mergeCell ref="L3:L4"/>
    <mergeCell ref="N3:N4"/>
    <mergeCell ref="O3:O4"/>
  </mergeCells>
  <conditionalFormatting sqref="L6:L609">
    <cfRule type="cellIs" dxfId="346" priority="5" operator="equal">
      <formula>"-"</formula>
    </cfRule>
    <cfRule type="cellIs" dxfId="345" priority="6" operator="greaterThan">
      <formula>5</formula>
    </cfRule>
    <cfRule type="cellIs" dxfId="344" priority="7" operator="between">
      <formula>2</formula>
      <formula>5</formula>
    </cfRule>
    <cfRule type="cellIs" dxfId="343" priority="8" operator="lessThan">
      <formula>2</formula>
    </cfRule>
  </conditionalFormatting>
  <conditionalFormatting sqref="O6:O213">
    <cfRule type="cellIs" dxfId="342" priority="1" operator="equal">
      <formula>"-"</formula>
    </cfRule>
    <cfRule type="cellIs" dxfId="341" priority="2" operator="greaterThan">
      <formula>5</formula>
    </cfRule>
    <cfRule type="cellIs" dxfId="340" priority="3" operator="between">
      <formula>2</formula>
      <formula>5</formula>
    </cfRule>
    <cfRule type="cellIs" dxfId="339" priority="4" operator="lessThan">
      <formula>2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FDDA-71B9-4EB5-9388-B1973EDE90B9}">
  <dimension ref="B1:X187"/>
  <sheetViews>
    <sheetView showGridLines="0" zoomScale="55" zoomScaleNormal="5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Q64" activeCellId="1" sqref="L6:L65 Q6:Q64"/>
    </sheetView>
  </sheetViews>
  <sheetFormatPr baseColWidth="10" defaultColWidth="8.83203125" defaultRowHeight="15" x14ac:dyDescent="0.15"/>
  <cols>
    <col min="1" max="1" width="2.83203125" style="49" customWidth="1"/>
    <col min="2" max="2" width="11.33203125" style="49" customWidth="1"/>
    <col min="3" max="3" width="8.5" style="49" customWidth="1"/>
    <col min="4" max="4" width="11.6640625" style="49" customWidth="1"/>
    <col min="5" max="5" width="8.33203125" style="49" customWidth="1"/>
    <col min="6" max="6" width="14.83203125" style="50" bestFit="1" customWidth="1"/>
    <col min="7" max="7" width="25" style="49" bestFit="1" customWidth="1"/>
    <col min="8" max="8" width="20.1640625" style="49" customWidth="1"/>
    <col min="9" max="18" width="19.1640625" style="49" customWidth="1"/>
    <col min="19" max="19" width="27.6640625" style="49" hidden="1" customWidth="1"/>
    <col min="20" max="20" width="40.33203125" style="49" hidden="1" customWidth="1"/>
    <col min="21" max="23" width="2" style="49" bestFit="1" customWidth="1"/>
    <col min="24" max="24" width="11.33203125" style="49" customWidth="1"/>
    <col min="25" max="25" width="2" style="49" customWidth="1"/>
    <col min="26" max="47" width="3" style="49" bestFit="1" customWidth="1"/>
    <col min="48" max="16384" width="8.83203125" style="49"/>
  </cols>
  <sheetData>
    <row r="1" spans="2:24" x14ac:dyDescent="0.15">
      <c r="B1" s="48"/>
    </row>
    <row r="2" spans="2:24" x14ac:dyDescent="0.15">
      <c r="B2" s="48"/>
    </row>
    <row r="3" spans="2:24" s="55" customFormat="1" ht="51" customHeight="1" x14ac:dyDescent="0.15">
      <c r="B3" s="293" t="s">
        <v>619</v>
      </c>
      <c r="C3" s="293" t="s">
        <v>933</v>
      </c>
      <c r="D3" s="293" t="s">
        <v>934</v>
      </c>
      <c r="E3" s="293" t="s">
        <v>4</v>
      </c>
      <c r="F3" s="52" t="s">
        <v>935</v>
      </c>
      <c r="G3" s="293" t="s">
        <v>936</v>
      </c>
      <c r="H3" s="53" t="s">
        <v>937</v>
      </c>
      <c r="I3" s="290" t="s">
        <v>938</v>
      </c>
      <c r="J3" s="291"/>
      <c r="K3" s="291"/>
      <c r="L3" s="291"/>
      <c r="M3" s="292"/>
      <c r="N3" s="290" t="s">
        <v>939</v>
      </c>
      <c r="O3" s="291"/>
      <c r="P3" s="291"/>
      <c r="Q3" s="291"/>
      <c r="R3" s="292"/>
      <c r="S3" s="54" t="s">
        <v>940</v>
      </c>
      <c r="T3" s="54" t="s">
        <v>11</v>
      </c>
    </row>
    <row r="4" spans="2:24" s="55" customFormat="1" ht="51" customHeight="1" x14ac:dyDescent="0.15">
      <c r="B4" s="294"/>
      <c r="C4" s="294"/>
      <c r="D4" s="294"/>
      <c r="E4" s="294"/>
      <c r="F4" s="56" t="s">
        <v>941</v>
      </c>
      <c r="G4" s="294"/>
      <c r="H4" s="51" t="s">
        <v>941</v>
      </c>
      <c r="I4" s="51" t="s">
        <v>942</v>
      </c>
      <c r="J4" s="51" t="s">
        <v>943</v>
      </c>
      <c r="K4" s="51" t="s">
        <v>944</v>
      </c>
      <c r="L4" s="51" t="s">
        <v>945</v>
      </c>
      <c r="M4" s="51" t="s">
        <v>946</v>
      </c>
      <c r="N4" s="51" t="s">
        <v>947</v>
      </c>
      <c r="O4" s="51" t="s">
        <v>943</v>
      </c>
      <c r="P4" s="51" t="s">
        <v>944</v>
      </c>
      <c r="Q4" s="51" t="s">
        <v>945</v>
      </c>
      <c r="R4" s="51" t="s">
        <v>946</v>
      </c>
      <c r="S4" s="54" t="s">
        <v>941</v>
      </c>
      <c r="T4" s="54" t="s">
        <v>948</v>
      </c>
    </row>
    <row r="5" spans="2:24" s="60" customFormat="1" ht="17" customHeight="1" x14ac:dyDescent="0.15">
      <c r="B5" s="57"/>
      <c r="C5" s="57"/>
      <c r="D5" s="57"/>
      <c r="E5" s="57"/>
      <c r="F5" s="58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9"/>
      <c r="T5" s="59"/>
    </row>
    <row r="6" spans="2:24" ht="18" x14ac:dyDescent="0.2">
      <c r="B6" s="61" t="s">
        <v>949</v>
      </c>
      <c r="C6" s="61" t="s">
        <v>14</v>
      </c>
      <c r="D6" s="61" t="s">
        <v>79</v>
      </c>
      <c r="E6" s="61" t="s">
        <v>950</v>
      </c>
      <c r="F6" s="62">
        <v>46149</v>
      </c>
      <c r="G6" s="61" t="s">
        <v>951</v>
      </c>
      <c r="H6" s="61" t="s">
        <v>952</v>
      </c>
      <c r="I6" s="61">
        <v>18</v>
      </c>
      <c r="J6" s="61">
        <v>0</v>
      </c>
      <c r="K6" s="61"/>
      <c r="L6" s="141">
        <f>IFERROR(J6/I6%,0)</f>
        <v>0</v>
      </c>
      <c r="M6" s="63">
        <f>IFERROR(K6/I6%,0)</f>
        <v>0</v>
      </c>
      <c r="N6" s="61"/>
      <c r="O6" s="61"/>
      <c r="P6" s="61"/>
      <c r="Q6" s="141">
        <f>IFERROR(O6/N6%,0)</f>
        <v>0</v>
      </c>
      <c r="R6" s="63">
        <f>IFERROR(P6/N6%,0)</f>
        <v>0</v>
      </c>
      <c r="S6" s="64"/>
      <c r="T6" s="65" t="s">
        <v>953</v>
      </c>
      <c r="X6" s="49" t="str">
        <f>PROPER(G6)</f>
        <v>Faisal</v>
      </c>
    </row>
    <row r="7" spans="2:24" ht="18" x14ac:dyDescent="0.2">
      <c r="B7" s="66" t="s">
        <v>949</v>
      </c>
      <c r="C7" s="66" t="s">
        <v>14</v>
      </c>
      <c r="D7" s="66" t="s">
        <v>79</v>
      </c>
      <c r="E7" s="66" t="s">
        <v>954</v>
      </c>
      <c r="F7" s="67">
        <v>46149</v>
      </c>
      <c r="G7" s="66" t="s">
        <v>955</v>
      </c>
      <c r="H7" s="66" t="s">
        <v>952</v>
      </c>
      <c r="I7" s="66">
        <v>26</v>
      </c>
      <c r="J7" s="66">
        <v>1</v>
      </c>
      <c r="K7" s="66"/>
      <c r="L7" s="68">
        <f t="shared" ref="L7:L70" si="0">IFERROR(J7/I7%,0)</f>
        <v>3.8461538461538458</v>
      </c>
      <c r="M7" s="68">
        <f t="shared" ref="M7:M70" si="1">IFERROR(K7/I7%,0)</f>
        <v>0</v>
      </c>
      <c r="N7" s="66"/>
      <c r="O7" s="66"/>
      <c r="P7" s="66"/>
      <c r="Q7" s="68">
        <f t="shared" ref="Q7:Q70" si="2">IFERROR(O7/N7%,0)</f>
        <v>0</v>
      </c>
      <c r="R7" s="68">
        <f t="shared" ref="R7:R70" si="3">IFERROR(P7/N7%,0)</f>
        <v>0</v>
      </c>
      <c r="S7" s="64"/>
      <c r="T7" s="65" t="s">
        <v>953</v>
      </c>
      <c r="X7" s="49" t="str">
        <f t="shared" ref="X7:X65" si="4">PROPER(G7)</f>
        <v>Petrus Ahau</v>
      </c>
    </row>
    <row r="8" spans="2:24" ht="18" x14ac:dyDescent="0.2">
      <c r="B8" s="66" t="s">
        <v>949</v>
      </c>
      <c r="C8" s="66" t="s">
        <v>14</v>
      </c>
      <c r="D8" s="66" t="s">
        <v>107</v>
      </c>
      <c r="E8" s="66" t="s">
        <v>956</v>
      </c>
      <c r="F8" s="67">
        <v>46149</v>
      </c>
      <c r="G8" s="66" t="s">
        <v>957</v>
      </c>
      <c r="H8" s="66" t="s">
        <v>952</v>
      </c>
      <c r="I8" s="66">
        <v>15</v>
      </c>
      <c r="J8" s="66">
        <v>1</v>
      </c>
      <c r="K8" s="66"/>
      <c r="L8" s="68">
        <f t="shared" si="0"/>
        <v>6.666666666666667</v>
      </c>
      <c r="M8" s="68">
        <f t="shared" si="1"/>
        <v>0</v>
      </c>
      <c r="N8" s="66"/>
      <c r="O8" s="66"/>
      <c r="P8" s="66"/>
      <c r="Q8" s="68">
        <f t="shared" si="2"/>
        <v>0</v>
      </c>
      <c r="R8" s="68">
        <f t="shared" si="3"/>
        <v>0</v>
      </c>
      <c r="S8" s="64"/>
      <c r="T8" s="65" t="s">
        <v>953</v>
      </c>
      <c r="X8" s="49" t="str">
        <f t="shared" si="4"/>
        <v>Meksi</v>
      </c>
    </row>
    <row r="9" spans="2:24" ht="18" x14ac:dyDescent="0.2">
      <c r="B9" s="66" t="s">
        <v>949</v>
      </c>
      <c r="C9" s="66" t="s">
        <v>14</v>
      </c>
      <c r="D9" s="66" t="s">
        <v>107</v>
      </c>
      <c r="E9" s="66" t="s">
        <v>958</v>
      </c>
      <c r="F9" s="67">
        <v>46149</v>
      </c>
      <c r="G9" s="66" t="s">
        <v>959</v>
      </c>
      <c r="H9" s="66" t="s">
        <v>952</v>
      </c>
      <c r="I9" s="66">
        <v>10</v>
      </c>
      <c r="J9" s="66">
        <v>0</v>
      </c>
      <c r="K9" s="66"/>
      <c r="L9" s="68">
        <f t="shared" si="0"/>
        <v>0</v>
      </c>
      <c r="M9" s="68">
        <f t="shared" si="1"/>
        <v>0</v>
      </c>
      <c r="N9" s="66"/>
      <c r="O9" s="66"/>
      <c r="P9" s="66"/>
      <c r="Q9" s="68">
        <f t="shared" si="2"/>
        <v>0</v>
      </c>
      <c r="R9" s="68">
        <f t="shared" si="3"/>
        <v>0</v>
      </c>
      <c r="S9" s="64"/>
      <c r="T9" s="64" t="s">
        <v>953</v>
      </c>
      <c r="X9" s="49" t="str">
        <f t="shared" si="4"/>
        <v>Riswan</v>
      </c>
    </row>
    <row r="10" spans="2:24" ht="18" x14ac:dyDescent="0.2">
      <c r="B10" s="66" t="s">
        <v>949</v>
      </c>
      <c r="C10" s="66" t="s">
        <v>14</v>
      </c>
      <c r="D10" s="66" t="s">
        <v>144</v>
      </c>
      <c r="E10" s="66" t="s">
        <v>960</v>
      </c>
      <c r="F10" s="67">
        <v>46149</v>
      </c>
      <c r="G10" s="66" t="s">
        <v>961</v>
      </c>
      <c r="H10" s="66" t="s">
        <v>952</v>
      </c>
      <c r="I10" s="66">
        <v>26</v>
      </c>
      <c r="J10" s="66">
        <v>2</v>
      </c>
      <c r="K10" s="66"/>
      <c r="L10" s="142">
        <f>IFERROR(J10/I10%,0)</f>
        <v>7.6923076923076916</v>
      </c>
      <c r="M10" s="68">
        <f t="shared" si="1"/>
        <v>0</v>
      </c>
      <c r="N10" s="66"/>
      <c r="O10" s="66"/>
      <c r="P10" s="66"/>
      <c r="Q10" s="142">
        <f t="shared" si="2"/>
        <v>0</v>
      </c>
      <c r="R10" s="68">
        <f t="shared" si="3"/>
        <v>0</v>
      </c>
      <c r="S10" s="64"/>
      <c r="T10" s="69" t="str">
        <f>IF(S10=0,"Belum Melakukan Deteksi",IF(S10="TIDAK ADA","Lanjutkan Kegiatan Deteksi Setiap Minggu","Segera Lakukan Kegiatan Sensus"))</f>
        <v>Belum Melakukan Deteksi</v>
      </c>
      <c r="X10" s="49" t="str">
        <f t="shared" si="4"/>
        <v>Anung</v>
      </c>
    </row>
    <row r="11" spans="2:24" ht="18" x14ac:dyDescent="0.2">
      <c r="B11" s="66" t="s">
        <v>949</v>
      </c>
      <c r="C11" s="66" t="s">
        <v>14</v>
      </c>
      <c r="D11" s="66" t="s">
        <v>144</v>
      </c>
      <c r="E11" s="66" t="s">
        <v>962</v>
      </c>
      <c r="F11" s="67">
        <v>46149</v>
      </c>
      <c r="G11" s="66" t="s">
        <v>963</v>
      </c>
      <c r="H11" s="66" t="s">
        <v>964</v>
      </c>
      <c r="I11" s="66"/>
      <c r="J11" s="66"/>
      <c r="K11" s="66"/>
      <c r="L11" s="142">
        <f t="shared" si="0"/>
        <v>0</v>
      </c>
      <c r="M11" s="68">
        <f t="shared" si="1"/>
        <v>0</v>
      </c>
      <c r="N11" s="66">
        <v>106</v>
      </c>
      <c r="O11" s="66">
        <v>4</v>
      </c>
      <c r="P11" s="66"/>
      <c r="Q11" s="142">
        <f t="shared" si="2"/>
        <v>3.773584905660377</v>
      </c>
      <c r="R11" s="68">
        <f t="shared" si="3"/>
        <v>0</v>
      </c>
      <c r="S11" s="64"/>
      <c r="T11" s="65" t="str">
        <f t="shared" ref="T11:T74" si="5">IF(S11=0,"Belum Melakukan Deteksi",IF(S11="TIDAK ADA","Lanjutkan Kegiatan Deteksi Setiap Minggu","Segera Lakukan Kegiatan Sensus"))</f>
        <v>Belum Melakukan Deteksi</v>
      </c>
      <c r="X11" s="49" t="str">
        <f t="shared" si="4"/>
        <v>Sutandi</v>
      </c>
    </row>
    <row r="12" spans="2:24" ht="18" x14ac:dyDescent="0.2">
      <c r="B12" s="66" t="s">
        <v>949</v>
      </c>
      <c r="C12" s="66" t="s">
        <v>14</v>
      </c>
      <c r="D12" s="66" t="s">
        <v>144</v>
      </c>
      <c r="E12" s="66" t="s">
        <v>965</v>
      </c>
      <c r="F12" s="67">
        <v>46149</v>
      </c>
      <c r="G12" s="66" t="s">
        <v>966</v>
      </c>
      <c r="H12" s="66" t="s">
        <v>952</v>
      </c>
      <c r="I12" s="66">
        <v>40</v>
      </c>
      <c r="J12" s="66">
        <v>1</v>
      </c>
      <c r="K12" s="66"/>
      <c r="L12" s="142">
        <f t="shared" si="0"/>
        <v>2.5</v>
      </c>
      <c r="M12" s="68">
        <f t="shared" si="1"/>
        <v>0</v>
      </c>
      <c r="N12" s="66"/>
      <c r="O12" s="66"/>
      <c r="P12" s="66"/>
      <c r="Q12" s="142">
        <f t="shared" si="2"/>
        <v>0</v>
      </c>
      <c r="R12" s="68">
        <f t="shared" si="3"/>
        <v>0</v>
      </c>
      <c r="S12" s="64"/>
      <c r="T12" s="64" t="str">
        <f t="shared" si="5"/>
        <v>Belum Melakukan Deteksi</v>
      </c>
      <c r="X12" s="49" t="str">
        <f t="shared" si="4"/>
        <v>Jamaludin</v>
      </c>
    </row>
    <row r="13" spans="2:24" ht="18" x14ac:dyDescent="0.2">
      <c r="B13" s="66" t="s">
        <v>949</v>
      </c>
      <c r="C13" s="66" t="s">
        <v>14</v>
      </c>
      <c r="D13" s="66" t="s">
        <v>144</v>
      </c>
      <c r="E13" s="66" t="s">
        <v>967</v>
      </c>
      <c r="F13" s="67">
        <v>46149</v>
      </c>
      <c r="G13" s="66" t="s">
        <v>968</v>
      </c>
      <c r="H13" s="66" t="s">
        <v>952</v>
      </c>
      <c r="I13" s="66">
        <v>84</v>
      </c>
      <c r="J13" s="66">
        <v>4</v>
      </c>
      <c r="K13" s="66"/>
      <c r="L13" s="68">
        <f t="shared" si="0"/>
        <v>4.7619047619047619</v>
      </c>
      <c r="M13" s="68">
        <f t="shared" si="1"/>
        <v>0</v>
      </c>
      <c r="N13" s="66"/>
      <c r="O13" s="66"/>
      <c r="P13" s="66"/>
      <c r="Q13" s="68">
        <f t="shared" si="2"/>
        <v>0</v>
      </c>
      <c r="R13" s="68">
        <f t="shared" si="3"/>
        <v>0</v>
      </c>
      <c r="S13" s="64"/>
      <c r="T13" s="64" t="str">
        <f t="shared" si="5"/>
        <v>Belum Melakukan Deteksi</v>
      </c>
      <c r="X13" s="49" t="str">
        <f t="shared" si="4"/>
        <v>Andre</v>
      </c>
    </row>
    <row r="14" spans="2:24" ht="18" x14ac:dyDescent="0.2">
      <c r="B14" s="66" t="s">
        <v>949</v>
      </c>
      <c r="C14" s="66" t="s">
        <v>14</v>
      </c>
      <c r="D14" s="66" t="s">
        <v>144</v>
      </c>
      <c r="E14" s="66" t="s">
        <v>969</v>
      </c>
      <c r="F14" s="67">
        <v>46149</v>
      </c>
      <c r="G14" s="66" t="s">
        <v>970</v>
      </c>
      <c r="H14" s="66" t="s">
        <v>964</v>
      </c>
      <c r="I14" s="66"/>
      <c r="J14" s="66"/>
      <c r="K14" s="66"/>
      <c r="L14" s="68">
        <f t="shared" si="0"/>
        <v>0</v>
      </c>
      <c r="M14" s="68">
        <f t="shared" si="1"/>
        <v>0</v>
      </c>
      <c r="N14" s="66">
        <v>160</v>
      </c>
      <c r="O14" s="66">
        <v>5</v>
      </c>
      <c r="P14" s="66"/>
      <c r="Q14" s="68">
        <f t="shared" si="2"/>
        <v>3.125</v>
      </c>
      <c r="R14" s="68">
        <f t="shared" si="3"/>
        <v>0</v>
      </c>
      <c r="S14" s="64"/>
      <c r="T14" s="64" t="str">
        <f t="shared" si="5"/>
        <v>Belum Melakukan Deteksi</v>
      </c>
      <c r="X14" s="49" t="str">
        <f t="shared" si="4"/>
        <v>Jepri</v>
      </c>
    </row>
    <row r="15" spans="2:24" ht="18" x14ac:dyDescent="0.2">
      <c r="B15" s="66" t="s">
        <v>949</v>
      </c>
      <c r="C15" s="66" t="s">
        <v>14</v>
      </c>
      <c r="D15" s="66" t="s">
        <v>14</v>
      </c>
      <c r="E15" s="66" t="s">
        <v>971</v>
      </c>
      <c r="F15" s="67">
        <v>46150</v>
      </c>
      <c r="G15" s="66" t="s">
        <v>972</v>
      </c>
      <c r="H15" s="66" t="s">
        <v>964</v>
      </c>
      <c r="I15" s="66"/>
      <c r="J15" s="66"/>
      <c r="K15" s="66"/>
      <c r="L15" s="68">
        <f t="shared" si="0"/>
        <v>0</v>
      </c>
      <c r="M15" s="68">
        <f t="shared" si="1"/>
        <v>0</v>
      </c>
      <c r="N15" s="66">
        <v>243</v>
      </c>
      <c r="O15" s="66">
        <v>3</v>
      </c>
      <c r="P15" s="66"/>
      <c r="Q15" s="68">
        <f t="shared" si="2"/>
        <v>1.2345679012345678</v>
      </c>
      <c r="R15" s="68">
        <f t="shared" si="3"/>
        <v>0</v>
      </c>
      <c r="S15" s="64"/>
      <c r="T15" s="64" t="str">
        <f t="shared" si="5"/>
        <v>Belum Melakukan Deteksi</v>
      </c>
      <c r="X15" s="49" t="str">
        <f t="shared" si="4"/>
        <v>Bangga</v>
      </c>
    </row>
    <row r="16" spans="2:24" ht="18" x14ac:dyDescent="0.2">
      <c r="B16" s="66" t="s">
        <v>949</v>
      </c>
      <c r="C16" s="66" t="s">
        <v>14</v>
      </c>
      <c r="D16" s="66" t="s">
        <v>14</v>
      </c>
      <c r="E16" s="66" t="s">
        <v>973</v>
      </c>
      <c r="F16" s="67">
        <v>46150</v>
      </c>
      <c r="G16" s="66" t="s">
        <v>974</v>
      </c>
      <c r="H16" s="66" t="s">
        <v>952</v>
      </c>
      <c r="I16" s="66">
        <v>26</v>
      </c>
      <c r="J16" s="66">
        <v>2</v>
      </c>
      <c r="K16" s="66"/>
      <c r="L16" s="68">
        <f t="shared" si="0"/>
        <v>7.6923076923076916</v>
      </c>
      <c r="M16" s="68">
        <f t="shared" si="1"/>
        <v>0</v>
      </c>
      <c r="N16" s="66"/>
      <c r="O16" s="66"/>
      <c r="P16" s="66"/>
      <c r="Q16" s="68">
        <f t="shared" si="2"/>
        <v>0</v>
      </c>
      <c r="R16" s="68">
        <f t="shared" si="3"/>
        <v>0</v>
      </c>
      <c r="S16" s="64"/>
      <c r="T16" s="64" t="str">
        <f t="shared" si="5"/>
        <v>Belum Melakukan Deteksi</v>
      </c>
      <c r="X16" s="49" t="str">
        <f t="shared" si="4"/>
        <v>Andri</v>
      </c>
    </row>
    <row r="17" spans="2:24" ht="18" x14ac:dyDescent="0.2">
      <c r="B17" s="66" t="s">
        <v>949</v>
      </c>
      <c r="C17" s="66" t="s">
        <v>14</v>
      </c>
      <c r="D17" s="66" t="s">
        <v>14</v>
      </c>
      <c r="E17" s="66" t="s">
        <v>975</v>
      </c>
      <c r="F17" s="67">
        <v>46150</v>
      </c>
      <c r="G17" s="66" t="s">
        <v>976</v>
      </c>
      <c r="H17" s="66" t="s">
        <v>952</v>
      </c>
      <c r="I17" s="66">
        <v>78</v>
      </c>
      <c r="J17" s="66">
        <v>1</v>
      </c>
      <c r="K17" s="66"/>
      <c r="L17" s="68">
        <f t="shared" si="0"/>
        <v>1.2820512820512819</v>
      </c>
      <c r="M17" s="68">
        <f t="shared" si="1"/>
        <v>0</v>
      </c>
      <c r="N17" s="66"/>
      <c r="O17" s="66"/>
      <c r="P17" s="66"/>
      <c r="Q17" s="68">
        <f t="shared" si="2"/>
        <v>0</v>
      </c>
      <c r="R17" s="68">
        <f t="shared" si="3"/>
        <v>0</v>
      </c>
      <c r="S17" s="64"/>
      <c r="T17" s="64" t="str">
        <f t="shared" si="5"/>
        <v>Belum Melakukan Deteksi</v>
      </c>
      <c r="X17" s="49" t="str">
        <f t="shared" si="4"/>
        <v>Sontat</v>
      </c>
    </row>
    <row r="18" spans="2:24" ht="18" x14ac:dyDescent="0.2">
      <c r="B18" s="66" t="s">
        <v>949</v>
      </c>
      <c r="C18" s="66" t="s">
        <v>14</v>
      </c>
      <c r="D18" s="66" t="s">
        <v>47</v>
      </c>
      <c r="E18" s="66" t="s">
        <v>977</v>
      </c>
      <c r="F18" s="67">
        <v>46150</v>
      </c>
      <c r="G18" s="66" t="s">
        <v>978</v>
      </c>
      <c r="H18" s="66" t="s">
        <v>952</v>
      </c>
      <c r="I18" s="66">
        <v>24</v>
      </c>
      <c r="J18" s="66">
        <v>1</v>
      </c>
      <c r="K18" s="66"/>
      <c r="L18" s="142">
        <f t="shared" si="0"/>
        <v>4.166666666666667</v>
      </c>
      <c r="M18" s="68">
        <f t="shared" si="1"/>
        <v>0</v>
      </c>
      <c r="N18" s="66"/>
      <c r="O18" s="66"/>
      <c r="P18" s="66"/>
      <c r="Q18" s="142">
        <f t="shared" si="2"/>
        <v>0</v>
      </c>
      <c r="R18" s="68">
        <f t="shared" si="3"/>
        <v>0</v>
      </c>
      <c r="S18" s="64"/>
      <c r="T18" s="64" t="str">
        <f t="shared" si="5"/>
        <v>Belum Melakukan Deteksi</v>
      </c>
      <c r="X18" s="49" t="str">
        <f t="shared" si="4"/>
        <v>Aditya</v>
      </c>
    </row>
    <row r="19" spans="2:24" ht="18" x14ac:dyDescent="0.2">
      <c r="B19" s="66" t="s">
        <v>949</v>
      </c>
      <c r="C19" s="66" t="s">
        <v>14</v>
      </c>
      <c r="D19" s="66" t="s">
        <v>47</v>
      </c>
      <c r="E19" s="66" t="s">
        <v>979</v>
      </c>
      <c r="F19" s="67">
        <v>46150</v>
      </c>
      <c r="G19" s="66" t="s">
        <v>980</v>
      </c>
      <c r="H19" s="66" t="s">
        <v>964</v>
      </c>
      <c r="I19" s="66"/>
      <c r="J19" s="66"/>
      <c r="K19" s="66"/>
      <c r="L19" s="68">
        <f t="shared" si="0"/>
        <v>0</v>
      </c>
      <c r="M19" s="68">
        <f t="shared" si="1"/>
        <v>0</v>
      </c>
      <c r="N19" s="66">
        <v>236</v>
      </c>
      <c r="O19" s="66">
        <v>8</v>
      </c>
      <c r="P19" s="66"/>
      <c r="Q19" s="68">
        <f t="shared" si="2"/>
        <v>3.3898305084745766</v>
      </c>
      <c r="R19" s="68">
        <f t="shared" si="3"/>
        <v>0</v>
      </c>
      <c r="S19" s="64"/>
      <c r="T19" s="64" t="str">
        <f t="shared" si="5"/>
        <v>Belum Melakukan Deteksi</v>
      </c>
      <c r="X19" s="49" t="str">
        <f t="shared" si="4"/>
        <v>Ribas</v>
      </c>
    </row>
    <row r="20" spans="2:24" ht="18" x14ac:dyDescent="0.2">
      <c r="B20" s="66" t="s">
        <v>949</v>
      </c>
      <c r="C20" s="66" t="s">
        <v>14</v>
      </c>
      <c r="D20" s="66" t="s">
        <v>47</v>
      </c>
      <c r="E20" s="66" t="s">
        <v>981</v>
      </c>
      <c r="F20" s="67">
        <v>46150</v>
      </c>
      <c r="G20" s="66" t="s">
        <v>982</v>
      </c>
      <c r="H20" s="66" t="s">
        <v>964</v>
      </c>
      <c r="I20" s="66"/>
      <c r="J20" s="66"/>
      <c r="K20" s="66"/>
      <c r="L20" s="68">
        <f t="shared" si="0"/>
        <v>0</v>
      </c>
      <c r="M20" s="68">
        <f t="shared" si="1"/>
        <v>0</v>
      </c>
      <c r="N20" s="66">
        <v>253</v>
      </c>
      <c r="O20" s="66">
        <v>7</v>
      </c>
      <c r="P20" s="66"/>
      <c r="Q20" s="68">
        <f t="shared" si="2"/>
        <v>2.766798418972332</v>
      </c>
      <c r="R20" s="68">
        <f t="shared" si="3"/>
        <v>0</v>
      </c>
      <c r="S20" s="64"/>
      <c r="T20" s="64" t="str">
        <f t="shared" si="5"/>
        <v>Belum Melakukan Deteksi</v>
      </c>
      <c r="X20" s="49" t="str">
        <f t="shared" si="4"/>
        <v>Simamora</v>
      </c>
    </row>
    <row r="21" spans="2:24" ht="18" x14ac:dyDescent="0.2">
      <c r="B21" s="66" t="s">
        <v>949</v>
      </c>
      <c r="C21" s="66" t="s">
        <v>14</v>
      </c>
      <c r="D21" s="66" t="s">
        <v>47</v>
      </c>
      <c r="E21" s="66" t="s">
        <v>977</v>
      </c>
      <c r="F21" s="67">
        <v>46150</v>
      </c>
      <c r="G21" s="66" t="s">
        <v>983</v>
      </c>
      <c r="H21" s="66" t="s">
        <v>952</v>
      </c>
      <c r="I21" s="66">
        <v>20</v>
      </c>
      <c r="J21" s="66">
        <v>0</v>
      </c>
      <c r="K21" s="66"/>
      <c r="L21" s="142">
        <f t="shared" si="0"/>
        <v>0</v>
      </c>
      <c r="M21" s="68">
        <f t="shared" si="1"/>
        <v>0</v>
      </c>
      <c r="N21" s="66"/>
      <c r="O21" s="66"/>
      <c r="P21" s="66"/>
      <c r="Q21" s="142">
        <f t="shared" si="2"/>
        <v>0</v>
      </c>
      <c r="R21" s="68">
        <f t="shared" si="3"/>
        <v>0</v>
      </c>
      <c r="S21" s="64"/>
      <c r="T21" s="64" t="str">
        <f t="shared" si="5"/>
        <v>Belum Melakukan Deteksi</v>
      </c>
      <c r="X21" s="49" t="str">
        <f t="shared" si="4"/>
        <v>Benri</v>
      </c>
    </row>
    <row r="22" spans="2:24" ht="18" x14ac:dyDescent="0.2">
      <c r="B22" s="66" t="s">
        <v>949</v>
      </c>
      <c r="C22" s="66" t="s">
        <v>14</v>
      </c>
      <c r="D22" s="66" t="s">
        <v>47</v>
      </c>
      <c r="E22" s="66" t="s">
        <v>984</v>
      </c>
      <c r="F22" s="67">
        <v>46150</v>
      </c>
      <c r="G22" s="66" t="s">
        <v>985</v>
      </c>
      <c r="H22" s="66" t="s">
        <v>952</v>
      </c>
      <c r="I22" s="66">
        <v>98</v>
      </c>
      <c r="J22" s="66">
        <v>5</v>
      </c>
      <c r="K22" s="66"/>
      <c r="L22" s="68">
        <f t="shared" si="0"/>
        <v>5.1020408163265305</v>
      </c>
      <c r="M22" s="68">
        <f t="shared" si="1"/>
        <v>0</v>
      </c>
      <c r="N22" s="66"/>
      <c r="O22" s="66"/>
      <c r="P22" s="66"/>
      <c r="Q22" s="68">
        <f t="shared" si="2"/>
        <v>0</v>
      </c>
      <c r="R22" s="68">
        <f t="shared" si="3"/>
        <v>0</v>
      </c>
      <c r="S22" s="64"/>
      <c r="T22" s="64" t="str">
        <f t="shared" si="5"/>
        <v>Belum Melakukan Deteksi</v>
      </c>
      <c r="X22" s="49" t="str">
        <f t="shared" si="4"/>
        <v>Jeruman</v>
      </c>
    </row>
    <row r="23" spans="2:24" ht="18" x14ac:dyDescent="0.2">
      <c r="B23" s="66" t="s">
        <v>949</v>
      </c>
      <c r="C23" s="66" t="s">
        <v>14</v>
      </c>
      <c r="D23" s="66" t="s">
        <v>79</v>
      </c>
      <c r="E23" s="66" t="s">
        <v>950</v>
      </c>
      <c r="F23" s="67">
        <v>46150</v>
      </c>
      <c r="G23" s="66" t="s">
        <v>951</v>
      </c>
      <c r="H23" s="66" t="s">
        <v>952</v>
      </c>
      <c r="I23" s="66">
        <v>18</v>
      </c>
      <c r="J23" s="66">
        <v>0</v>
      </c>
      <c r="K23" s="66"/>
      <c r="L23" s="142">
        <f t="shared" si="0"/>
        <v>0</v>
      </c>
      <c r="M23" s="68">
        <f t="shared" si="1"/>
        <v>0</v>
      </c>
      <c r="N23" s="66"/>
      <c r="O23" s="66"/>
      <c r="P23" s="66"/>
      <c r="Q23" s="142">
        <f t="shared" si="2"/>
        <v>0</v>
      </c>
      <c r="R23" s="68">
        <f t="shared" si="3"/>
        <v>0</v>
      </c>
      <c r="S23" s="64"/>
      <c r="T23" s="64" t="str">
        <f t="shared" si="5"/>
        <v>Belum Melakukan Deteksi</v>
      </c>
      <c r="X23" s="49" t="str">
        <f t="shared" si="4"/>
        <v>Faisal</v>
      </c>
    </row>
    <row r="24" spans="2:24" ht="18" x14ac:dyDescent="0.2">
      <c r="B24" s="66" t="s">
        <v>949</v>
      </c>
      <c r="C24" s="66" t="s">
        <v>14</v>
      </c>
      <c r="D24" s="66" t="s">
        <v>79</v>
      </c>
      <c r="E24" s="66" t="s">
        <v>986</v>
      </c>
      <c r="F24" s="67">
        <v>46150</v>
      </c>
      <c r="G24" s="66" t="s">
        <v>955</v>
      </c>
      <c r="H24" s="66" t="s">
        <v>964</v>
      </c>
      <c r="I24" s="66"/>
      <c r="J24" s="66"/>
      <c r="K24" s="66"/>
      <c r="L24" s="68">
        <f t="shared" si="0"/>
        <v>0</v>
      </c>
      <c r="M24" s="68">
        <f t="shared" si="1"/>
        <v>0</v>
      </c>
      <c r="N24" s="66">
        <v>15</v>
      </c>
      <c r="O24" s="66">
        <v>1</v>
      </c>
      <c r="P24" s="66"/>
      <c r="Q24" s="68">
        <f t="shared" si="2"/>
        <v>6.666666666666667</v>
      </c>
      <c r="R24" s="68">
        <f t="shared" si="3"/>
        <v>0</v>
      </c>
      <c r="S24" s="64"/>
      <c r="T24" s="64" t="str">
        <f t="shared" si="5"/>
        <v>Belum Melakukan Deteksi</v>
      </c>
      <c r="X24" s="49" t="str">
        <f t="shared" si="4"/>
        <v>Petrus Ahau</v>
      </c>
    </row>
    <row r="25" spans="2:24" ht="18" x14ac:dyDescent="0.2">
      <c r="B25" s="66" t="s">
        <v>949</v>
      </c>
      <c r="C25" s="66" t="s">
        <v>14</v>
      </c>
      <c r="D25" s="66" t="s">
        <v>107</v>
      </c>
      <c r="E25" s="66" t="s">
        <v>987</v>
      </c>
      <c r="F25" s="67">
        <v>46150</v>
      </c>
      <c r="G25" s="66" t="s">
        <v>988</v>
      </c>
      <c r="H25" s="66" t="s">
        <v>964</v>
      </c>
      <c r="I25" s="66"/>
      <c r="J25" s="66"/>
      <c r="K25" s="66"/>
      <c r="L25" s="68">
        <f t="shared" si="0"/>
        <v>0</v>
      </c>
      <c r="M25" s="68">
        <f t="shared" si="1"/>
        <v>0</v>
      </c>
      <c r="N25" s="66">
        <v>70</v>
      </c>
      <c r="O25" s="66">
        <v>3</v>
      </c>
      <c r="P25" s="66"/>
      <c r="Q25" s="68">
        <f t="shared" si="2"/>
        <v>4.2857142857142856</v>
      </c>
      <c r="R25" s="68">
        <f t="shared" si="3"/>
        <v>0</v>
      </c>
      <c r="S25" s="64"/>
      <c r="T25" s="64" t="str">
        <f t="shared" si="5"/>
        <v>Belum Melakukan Deteksi</v>
      </c>
      <c r="X25" s="49" t="str">
        <f t="shared" si="4"/>
        <v>Jumadi</v>
      </c>
    </row>
    <row r="26" spans="2:24" ht="18" x14ac:dyDescent="0.2">
      <c r="B26" s="66" t="s">
        <v>949</v>
      </c>
      <c r="C26" s="66" t="s">
        <v>14</v>
      </c>
      <c r="D26" s="66" t="s">
        <v>144</v>
      </c>
      <c r="E26" s="66" t="s">
        <v>989</v>
      </c>
      <c r="F26" s="67">
        <v>46150</v>
      </c>
      <c r="G26" s="66" t="s">
        <v>968</v>
      </c>
      <c r="H26" s="66" t="s">
        <v>952</v>
      </c>
      <c r="I26" s="66">
        <v>26</v>
      </c>
      <c r="J26" s="66">
        <v>1</v>
      </c>
      <c r="K26" s="66"/>
      <c r="L26" s="68">
        <f t="shared" si="0"/>
        <v>3.8461538461538458</v>
      </c>
      <c r="M26" s="68">
        <f t="shared" si="1"/>
        <v>0</v>
      </c>
      <c r="N26" s="66"/>
      <c r="O26" s="66"/>
      <c r="P26" s="66"/>
      <c r="Q26" s="68">
        <f t="shared" si="2"/>
        <v>0</v>
      </c>
      <c r="R26" s="68">
        <f t="shared" si="3"/>
        <v>0</v>
      </c>
      <c r="S26" s="64"/>
      <c r="T26" s="64" t="str">
        <f t="shared" si="5"/>
        <v>Belum Melakukan Deteksi</v>
      </c>
      <c r="X26" s="49" t="str">
        <f t="shared" si="4"/>
        <v>Andre</v>
      </c>
    </row>
    <row r="27" spans="2:24" ht="18" x14ac:dyDescent="0.2">
      <c r="B27" s="66" t="s">
        <v>949</v>
      </c>
      <c r="C27" s="66" t="s">
        <v>14</v>
      </c>
      <c r="D27" s="66" t="s">
        <v>144</v>
      </c>
      <c r="E27" s="66" t="s">
        <v>990</v>
      </c>
      <c r="F27" s="67">
        <v>46150</v>
      </c>
      <c r="G27" s="66" t="s">
        <v>966</v>
      </c>
      <c r="H27" s="66" t="s">
        <v>952</v>
      </c>
      <c r="I27" s="66">
        <v>50</v>
      </c>
      <c r="J27" s="66">
        <v>2</v>
      </c>
      <c r="K27" s="66"/>
      <c r="L27" s="68">
        <f t="shared" si="0"/>
        <v>4</v>
      </c>
      <c r="M27" s="68">
        <f t="shared" si="1"/>
        <v>0</v>
      </c>
      <c r="N27" s="66"/>
      <c r="O27" s="66"/>
      <c r="P27" s="66"/>
      <c r="Q27" s="68">
        <f t="shared" si="2"/>
        <v>0</v>
      </c>
      <c r="R27" s="68">
        <f t="shared" si="3"/>
        <v>0</v>
      </c>
      <c r="S27" s="64"/>
      <c r="T27" s="64" t="str">
        <f t="shared" si="5"/>
        <v>Belum Melakukan Deteksi</v>
      </c>
      <c r="X27" s="49" t="str">
        <f t="shared" si="4"/>
        <v>Jamaludin</v>
      </c>
    </row>
    <row r="28" spans="2:24" ht="18" x14ac:dyDescent="0.2">
      <c r="B28" s="66" t="s">
        <v>949</v>
      </c>
      <c r="C28" s="66" t="s">
        <v>14</v>
      </c>
      <c r="D28" s="66" t="s">
        <v>144</v>
      </c>
      <c r="E28" s="66" t="s">
        <v>960</v>
      </c>
      <c r="F28" s="67">
        <v>46150</v>
      </c>
      <c r="G28" s="66" t="s">
        <v>961</v>
      </c>
      <c r="H28" s="66" t="s">
        <v>952</v>
      </c>
      <c r="I28" s="66">
        <v>26</v>
      </c>
      <c r="J28" s="66">
        <v>1</v>
      </c>
      <c r="K28" s="66"/>
      <c r="L28" s="142">
        <f t="shared" si="0"/>
        <v>3.8461538461538458</v>
      </c>
      <c r="M28" s="68">
        <f t="shared" si="1"/>
        <v>0</v>
      </c>
      <c r="N28" s="66"/>
      <c r="O28" s="66"/>
      <c r="P28" s="66"/>
      <c r="Q28" s="142">
        <f t="shared" si="2"/>
        <v>0</v>
      </c>
      <c r="R28" s="68">
        <f t="shared" si="3"/>
        <v>0</v>
      </c>
      <c r="S28" s="64"/>
      <c r="T28" s="64" t="str">
        <f t="shared" si="5"/>
        <v>Belum Melakukan Deteksi</v>
      </c>
      <c r="X28" s="49" t="str">
        <f t="shared" si="4"/>
        <v>Anung</v>
      </c>
    </row>
    <row r="29" spans="2:24" ht="18" x14ac:dyDescent="0.2">
      <c r="B29" s="66" t="s">
        <v>949</v>
      </c>
      <c r="C29" s="66" t="s">
        <v>14</v>
      </c>
      <c r="D29" s="66" t="s">
        <v>144</v>
      </c>
      <c r="E29" s="66" t="s">
        <v>965</v>
      </c>
      <c r="F29" s="67">
        <v>46150</v>
      </c>
      <c r="G29" s="66" t="s">
        <v>970</v>
      </c>
      <c r="H29" s="66" t="s">
        <v>964</v>
      </c>
      <c r="I29" s="66"/>
      <c r="J29" s="66"/>
      <c r="K29" s="66"/>
      <c r="L29" s="142">
        <f t="shared" si="0"/>
        <v>0</v>
      </c>
      <c r="M29" s="68">
        <f t="shared" si="1"/>
        <v>0</v>
      </c>
      <c r="N29" s="66">
        <v>141</v>
      </c>
      <c r="O29" s="66">
        <v>5</v>
      </c>
      <c r="P29" s="66"/>
      <c r="Q29" s="142">
        <f t="shared" si="2"/>
        <v>3.5460992907801421</v>
      </c>
      <c r="R29" s="68">
        <f t="shared" si="3"/>
        <v>0</v>
      </c>
      <c r="S29" s="64"/>
      <c r="T29" s="64" t="str">
        <f t="shared" si="5"/>
        <v>Belum Melakukan Deteksi</v>
      </c>
      <c r="X29" s="49" t="str">
        <f t="shared" si="4"/>
        <v>Jepri</v>
      </c>
    </row>
    <row r="30" spans="2:24" ht="18" x14ac:dyDescent="0.2">
      <c r="B30" s="66" t="s">
        <v>949</v>
      </c>
      <c r="C30" s="66" t="s">
        <v>14</v>
      </c>
      <c r="D30" s="66" t="s">
        <v>144</v>
      </c>
      <c r="E30" s="66" t="s">
        <v>962</v>
      </c>
      <c r="F30" s="67">
        <v>46150</v>
      </c>
      <c r="G30" s="66" t="s">
        <v>991</v>
      </c>
      <c r="H30" s="66" t="s">
        <v>964</v>
      </c>
      <c r="I30" s="66"/>
      <c r="J30" s="66"/>
      <c r="K30" s="66"/>
      <c r="L30" s="142">
        <f t="shared" si="0"/>
        <v>0</v>
      </c>
      <c r="M30" s="68">
        <f t="shared" si="1"/>
        <v>0</v>
      </c>
      <c r="N30" s="66">
        <v>106</v>
      </c>
      <c r="O30" s="66">
        <v>4</v>
      </c>
      <c r="P30" s="66"/>
      <c r="Q30" s="142">
        <f t="shared" si="2"/>
        <v>3.773584905660377</v>
      </c>
      <c r="R30" s="68">
        <f t="shared" si="3"/>
        <v>0</v>
      </c>
      <c r="S30" s="64"/>
      <c r="T30" s="64" t="str">
        <f t="shared" si="5"/>
        <v>Belum Melakukan Deteksi</v>
      </c>
      <c r="X30" s="49" t="str">
        <f t="shared" si="4"/>
        <v>Sutendi</v>
      </c>
    </row>
    <row r="31" spans="2:24" ht="18" x14ac:dyDescent="0.2">
      <c r="B31" s="66" t="s">
        <v>949</v>
      </c>
      <c r="C31" s="66" t="s">
        <v>14</v>
      </c>
      <c r="D31" s="66" t="s">
        <v>380</v>
      </c>
      <c r="E31" s="66" t="s">
        <v>992</v>
      </c>
      <c r="F31" s="67">
        <v>46150</v>
      </c>
      <c r="G31" s="66" t="s">
        <v>993</v>
      </c>
      <c r="H31" s="66" t="s">
        <v>952</v>
      </c>
      <c r="I31" s="66">
        <v>20</v>
      </c>
      <c r="J31" s="66">
        <v>0</v>
      </c>
      <c r="K31" s="66"/>
      <c r="L31" s="68">
        <f t="shared" si="0"/>
        <v>0</v>
      </c>
      <c r="M31" s="68">
        <f t="shared" si="1"/>
        <v>0</v>
      </c>
      <c r="N31" s="66"/>
      <c r="O31" s="66"/>
      <c r="P31" s="66"/>
      <c r="Q31" s="68">
        <f t="shared" si="2"/>
        <v>0</v>
      </c>
      <c r="R31" s="68">
        <f t="shared" si="3"/>
        <v>0</v>
      </c>
      <c r="S31" s="64"/>
      <c r="T31" s="64" t="str">
        <f t="shared" si="5"/>
        <v>Belum Melakukan Deteksi</v>
      </c>
      <c r="X31" s="49" t="str">
        <f t="shared" si="4"/>
        <v>Simon</v>
      </c>
    </row>
    <row r="32" spans="2:24" ht="18" x14ac:dyDescent="0.2">
      <c r="B32" s="66" t="s">
        <v>949</v>
      </c>
      <c r="C32" s="66" t="s">
        <v>47</v>
      </c>
      <c r="D32" s="66" t="s">
        <v>290</v>
      </c>
      <c r="E32" s="66" t="s">
        <v>994</v>
      </c>
      <c r="F32" s="67">
        <v>46148</v>
      </c>
      <c r="G32" s="66" t="s">
        <v>995</v>
      </c>
      <c r="H32" s="66" t="s">
        <v>952</v>
      </c>
      <c r="I32" s="66">
        <v>98</v>
      </c>
      <c r="J32" s="66">
        <v>4</v>
      </c>
      <c r="K32" s="66"/>
      <c r="L32" s="68">
        <f t="shared" si="0"/>
        <v>4.0816326530612246</v>
      </c>
      <c r="M32" s="68">
        <f t="shared" si="1"/>
        <v>0</v>
      </c>
      <c r="N32" s="66"/>
      <c r="O32" s="66"/>
      <c r="P32" s="66"/>
      <c r="Q32" s="68">
        <f t="shared" si="2"/>
        <v>0</v>
      </c>
      <c r="R32" s="68">
        <f t="shared" si="3"/>
        <v>0</v>
      </c>
      <c r="S32" s="64"/>
      <c r="T32" s="64" t="str">
        <f t="shared" si="5"/>
        <v>Belum Melakukan Deteksi</v>
      </c>
      <c r="X32" s="49" t="str">
        <f t="shared" si="4"/>
        <v>Viang Stepanus</v>
      </c>
    </row>
    <row r="33" spans="2:24" ht="18" x14ac:dyDescent="0.2">
      <c r="B33" s="66" t="s">
        <v>949</v>
      </c>
      <c r="C33" s="66" t="s">
        <v>47</v>
      </c>
      <c r="D33" s="66" t="s">
        <v>290</v>
      </c>
      <c r="E33" s="66" t="s">
        <v>996</v>
      </c>
      <c r="F33" s="67">
        <v>46149</v>
      </c>
      <c r="G33" s="66" t="s">
        <v>997</v>
      </c>
      <c r="H33" s="66" t="s">
        <v>964</v>
      </c>
      <c r="I33" s="66"/>
      <c r="J33" s="66"/>
      <c r="K33" s="66"/>
      <c r="L33" s="68">
        <f t="shared" si="0"/>
        <v>0</v>
      </c>
      <c r="M33" s="68">
        <f t="shared" si="1"/>
        <v>0</v>
      </c>
      <c r="N33" s="66">
        <v>125</v>
      </c>
      <c r="O33" s="66">
        <v>2</v>
      </c>
      <c r="P33" s="66">
        <v>1</v>
      </c>
      <c r="Q33" s="68">
        <f t="shared" si="2"/>
        <v>1.6</v>
      </c>
      <c r="R33" s="68">
        <f t="shared" si="3"/>
        <v>0.8</v>
      </c>
      <c r="S33" s="64"/>
      <c r="T33" s="64" t="str">
        <f t="shared" si="5"/>
        <v>Belum Melakukan Deteksi</v>
      </c>
      <c r="X33" s="49" t="str">
        <f t="shared" si="4"/>
        <v>Yosia Siahaan</v>
      </c>
    </row>
    <row r="34" spans="2:24" ht="18" x14ac:dyDescent="0.2">
      <c r="B34" s="66" t="s">
        <v>949</v>
      </c>
      <c r="C34" s="66" t="s">
        <v>47</v>
      </c>
      <c r="D34" s="66" t="s">
        <v>290</v>
      </c>
      <c r="E34" s="66" t="s">
        <v>998</v>
      </c>
      <c r="F34" s="67">
        <v>46149</v>
      </c>
      <c r="G34" s="66" t="s">
        <v>999</v>
      </c>
      <c r="H34" s="66" t="s">
        <v>952</v>
      </c>
      <c r="I34" s="66">
        <v>84</v>
      </c>
      <c r="J34" s="66">
        <v>1</v>
      </c>
      <c r="K34" s="66">
        <v>2</v>
      </c>
      <c r="L34" s="68">
        <f t="shared" si="0"/>
        <v>1.1904761904761905</v>
      </c>
      <c r="M34" s="68">
        <f t="shared" si="1"/>
        <v>2.3809523809523809</v>
      </c>
      <c r="N34" s="66"/>
      <c r="O34" s="66"/>
      <c r="P34" s="66"/>
      <c r="Q34" s="68">
        <f t="shared" si="2"/>
        <v>0</v>
      </c>
      <c r="R34" s="68">
        <f t="shared" si="3"/>
        <v>0</v>
      </c>
      <c r="S34" s="64"/>
      <c r="T34" s="64" t="str">
        <f t="shared" si="5"/>
        <v>Belum Melakukan Deteksi</v>
      </c>
      <c r="X34" s="49" t="str">
        <f t="shared" si="4"/>
        <v>Ipui</v>
      </c>
    </row>
    <row r="35" spans="2:24" ht="18" x14ac:dyDescent="0.2">
      <c r="B35" s="66" t="s">
        <v>949</v>
      </c>
      <c r="C35" s="66" t="s">
        <v>47</v>
      </c>
      <c r="D35" s="66" t="s">
        <v>290</v>
      </c>
      <c r="E35" s="66" t="s">
        <v>1000</v>
      </c>
      <c r="F35" s="67">
        <v>46149</v>
      </c>
      <c r="G35" s="66" t="s">
        <v>995</v>
      </c>
      <c r="H35" s="66" t="s">
        <v>952</v>
      </c>
      <c r="I35" s="66">
        <v>110</v>
      </c>
      <c r="J35" s="66">
        <v>3</v>
      </c>
      <c r="K35" s="66"/>
      <c r="L35" s="68">
        <f t="shared" si="0"/>
        <v>2.7272727272727271</v>
      </c>
      <c r="M35" s="68">
        <f t="shared" si="1"/>
        <v>0</v>
      </c>
      <c r="N35" s="66"/>
      <c r="O35" s="66"/>
      <c r="P35" s="66"/>
      <c r="Q35" s="68">
        <f t="shared" si="2"/>
        <v>0</v>
      </c>
      <c r="R35" s="68">
        <f t="shared" si="3"/>
        <v>0</v>
      </c>
      <c r="S35" s="64"/>
      <c r="T35" s="64" t="str">
        <f t="shared" si="5"/>
        <v>Belum Melakukan Deteksi</v>
      </c>
      <c r="X35" s="49" t="str">
        <f t="shared" si="4"/>
        <v>Viang Stepanus</v>
      </c>
    </row>
    <row r="36" spans="2:24" ht="18" x14ac:dyDescent="0.2">
      <c r="B36" s="66" t="s">
        <v>949</v>
      </c>
      <c r="C36" s="66" t="s">
        <v>47</v>
      </c>
      <c r="D36" s="66" t="s">
        <v>290</v>
      </c>
      <c r="E36" s="66" t="s">
        <v>1001</v>
      </c>
      <c r="F36" s="67">
        <v>46149</v>
      </c>
      <c r="G36" s="66" t="s">
        <v>995</v>
      </c>
      <c r="H36" s="66" t="s">
        <v>964</v>
      </c>
      <c r="I36" s="66"/>
      <c r="J36" s="66"/>
      <c r="K36" s="66"/>
      <c r="L36" s="68">
        <f t="shared" si="0"/>
        <v>0</v>
      </c>
      <c r="M36" s="68">
        <f t="shared" si="1"/>
        <v>0</v>
      </c>
      <c r="N36" s="66">
        <v>143</v>
      </c>
      <c r="O36" s="66">
        <v>3</v>
      </c>
      <c r="P36" s="66">
        <v>2</v>
      </c>
      <c r="Q36" s="68">
        <f t="shared" si="2"/>
        <v>2.0979020979020979</v>
      </c>
      <c r="R36" s="68">
        <f t="shared" si="3"/>
        <v>1.3986013986013988</v>
      </c>
      <c r="S36" s="64"/>
      <c r="T36" s="64" t="str">
        <f t="shared" si="5"/>
        <v>Belum Melakukan Deteksi</v>
      </c>
      <c r="X36" s="49" t="str">
        <f t="shared" si="4"/>
        <v>Viang Stepanus</v>
      </c>
    </row>
    <row r="37" spans="2:24" ht="18" x14ac:dyDescent="0.2">
      <c r="B37" s="66" t="s">
        <v>949</v>
      </c>
      <c r="C37" s="66" t="s">
        <v>47</v>
      </c>
      <c r="D37" s="66" t="s">
        <v>173</v>
      </c>
      <c r="E37" s="66" t="s">
        <v>1002</v>
      </c>
      <c r="F37" s="67">
        <v>46150</v>
      </c>
      <c r="G37" s="66" t="s">
        <v>1003</v>
      </c>
      <c r="H37" s="66" t="s">
        <v>952</v>
      </c>
      <c r="I37" s="66">
        <v>87</v>
      </c>
      <c r="J37" s="66">
        <v>1</v>
      </c>
      <c r="K37" s="66">
        <v>3</v>
      </c>
      <c r="L37" s="68">
        <f t="shared" si="0"/>
        <v>1.1494252873563218</v>
      </c>
      <c r="M37" s="68">
        <f t="shared" si="1"/>
        <v>3.4482758620689657</v>
      </c>
      <c r="N37" s="66"/>
      <c r="O37" s="66"/>
      <c r="P37" s="66"/>
      <c r="Q37" s="68">
        <f t="shared" si="2"/>
        <v>0</v>
      </c>
      <c r="R37" s="68">
        <f t="shared" si="3"/>
        <v>0</v>
      </c>
      <c r="S37" s="64"/>
      <c r="T37" s="64" t="str">
        <f t="shared" si="5"/>
        <v>Belum Melakukan Deteksi</v>
      </c>
      <c r="X37" s="49" t="str">
        <f t="shared" si="4"/>
        <v>Junius Jondi</v>
      </c>
    </row>
    <row r="38" spans="2:24" ht="18" x14ac:dyDescent="0.2">
      <c r="B38" s="66" t="s">
        <v>949</v>
      </c>
      <c r="C38" s="66" t="s">
        <v>47</v>
      </c>
      <c r="D38" s="66" t="s">
        <v>173</v>
      </c>
      <c r="E38" s="66" t="s">
        <v>1004</v>
      </c>
      <c r="F38" s="67">
        <v>46150</v>
      </c>
      <c r="G38" s="66" t="s">
        <v>1003</v>
      </c>
      <c r="H38" s="66" t="s">
        <v>952</v>
      </c>
      <c r="I38" s="66">
        <v>79</v>
      </c>
      <c r="J38" s="66">
        <v>2</v>
      </c>
      <c r="K38" s="66"/>
      <c r="L38" s="68">
        <f t="shared" si="0"/>
        <v>2.5316455696202529</v>
      </c>
      <c r="M38" s="68">
        <f t="shared" si="1"/>
        <v>0</v>
      </c>
      <c r="N38" s="66"/>
      <c r="O38" s="66"/>
      <c r="P38" s="66"/>
      <c r="Q38" s="68">
        <f t="shared" si="2"/>
        <v>0</v>
      </c>
      <c r="R38" s="68">
        <f t="shared" si="3"/>
        <v>0</v>
      </c>
      <c r="S38" s="64"/>
      <c r="T38" s="64" t="str">
        <f t="shared" si="5"/>
        <v>Belum Melakukan Deteksi</v>
      </c>
      <c r="X38" s="49" t="str">
        <f t="shared" si="4"/>
        <v>Junius Jondi</v>
      </c>
    </row>
    <row r="39" spans="2:24" ht="18" x14ac:dyDescent="0.2">
      <c r="B39" s="66" t="s">
        <v>949</v>
      </c>
      <c r="C39" s="66" t="s">
        <v>47</v>
      </c>
      <c r="D39" s="66" t="s">
        <v>173</v>
      </c>
      <c r="E39" s="66" t="s">
        <v>1005</v>
      </c>
      <c r="F39" s="67">
        <v>46150</v>
      </c>
      <c r="G39" s="66" t="s">
        <v>1006</v>
      </c>
      <c r="H39" s="66" t="s">
        <v>952</v>
      </c>
      <c r="I39" s="66">
        <v>88</v>
      </c>
      <c r="J39" s="66">
        <v>3</v>
      </c>
      <c r="K39" s="66"/>
      <c r="L39" s="68">
        <f t="shared" si="0"/>
        <v>3.4090909090909092</v>
      </c>
      <c r="M39" s="68">
        <f t="shared" si="1"/>
        <v>0</v>
      </c>
      <c r="N39" s="66"/>
      <c r="O39" s="66"/>
      <c r="P39" s="66"/>
      <c r="Q39" s="68">
        <f t="shared" si="2"/>
        <v>0</v>
      </c>
      <c r="R39" s="68">
        <f t="shared" si="3"/>
        <v>0</v>
      </c>
      <c r="S39" s="64"/>
      <c r="T39" s="64" t="str">
        <f t="shared" si="5"/>
        <v>Belum Melakukan Deteksi</v>
      </c>
      <c r="X39" s="49" t="str">
        <f t="shared" si="4"/>
        <v>Wedha Saputra</v>
      </c>
    </row>
    <row r="40" spans="2:24" ht="18" x14ac:dyDescent="0.2">
      <c r="B40" s="66" t="s">
        <v>949</v>
      </c>
      <c r="C40" s="66" t="s">
        <v>47</v>
      </c>
      <c r="D40" s="66" t="s">
        <v>173</v>
      </c>
      <c r="E40" s="66" t="s">
        <v>1007</v>
      </c>
      <c r="F40" s="67">
        <v>46150</v>
      </c>
      <c r="G40" s="66" t="s">
        <v>1008</v>
      </c>
      <c r="H40" s="66" t="s">
        <v>964</v>
      </c>
      <c r="I40" s="66"/>
      <c r="J40" s="66"/>
      <c r="K40" s="66"/>
      <c r="L40" s="68">
        <f t="shared" si="0"/>
        <v>0</v>
      </c>
      <c r="M40" s="68">
        <f t="shared" si="1"/>
        <v>0</v>
      </c>
      <c r="N40" s="66">
        <v>92</v>
      </c>
      <c r="O40" s="66">
        <v>4</v>
      </c>
      <c r="P40" s="66">
        <v>1</v>
      </c>
      <c r="Q40" s="68">
        <f t="shared" si="2"/>
        <v>4.3478260869565215</v>
      </c>
      <c r="R40" s="68">
        <f t="shared" si="3"/>
        <v>1.0869565217391304</v>
      </c>
      <c r="S40" s="64"/>
      <c r="T40" s="64" t="str">
        <f t="shared" si="5"/>
        <v>Belum Melakukan Deteksi</v>
      </c>
      <c r="X40" s="49" t="str">
        <f t="shared" si="4"/>
        <v>Bewanaha T</v>
      </c>
    </row>
    <row r="41" spans="2:24" ht="18" x14ac:dyDescent="0.2">
      <c r="B41" s="66" t="s">
        <v>949</v>
      </c>
      <c r="C41" s="66" t="s">
        <v>47</v>
      </c>
      <c r="D41" s="66" t="s">
        <v>173</v>
      </c>
      <c r="E41" s="66" t="s">
        <v>1009</v>
      </c>
      <c r="F41" s="67">
        <v>46150</v>
      </c>
      <c r="G41" s="66" t="s">
        <v>1010</v>
      </c>
      <c r="H41" s="66" t="s">
        <v>952</v>
      </c>
      <c r="I41" s="66">
        <v>79</v>
      </c>
      <c r="J41" s="66">
        <v>2</v>
      </c>
      <c r="K41" s="66"/>
      <c r="L41" s="68">
        <f t="shared" si="0"/>
        <v>2.5316455696202529</v>
      </c>
      <c r="M41" s="68">
        <f t="shared" si="1"/>
        <v>0</v>
      </c>
      <c r="N41" s="66"/>
      <c r="O41" s="66"/>
      <c r="P41" s="66"/>
      <c r="Q41" s="68">
        <f t="shared" si="2"/>
        <v>0</v>
      </c>
      <c r="R41" s="68">
        <f t="shared" si="3"/>
        <v>0</v>
      </c>
      <c r="S41" s="64"/>
      <c r="T41" s="64" t="str">
        <f t="shared" si="5"/>
        <v>Belum Melakukan Deteksi</v>
      </c>
      <c r="X41" s="49" t="str">
        <f t="shared" si="4"/>
        <v>Arman Vani</v>
      </c>
    </row>
    <row r="42" spans="2:24" ht="18" x14ac:dyDescent="0.2">
      <c r="B42" s="66" t="s">
        <v>949</v>
      </c>
      <c r="C42" s="66" t="s">
        <v>47</v>
      </c>
      <c r="D42" s="66" t="s">
        <v>173</v>
      </c>
      <c r="E42" s="66" t="s">
        <v>1011</v>
      </c>
      <c r="F42" s="67">
        <v>46150</v>
      </c>
      <c r="G42" s="66" t="s">
        <v>1010</v>
      </c>
      <c r="H42" s="66" t="s">
        <v>952</v>
      </c>
      <c r="I42" s="66">
        <v>83</v>
      </c>
      <c r="J42" s="66"/>
      <c r="K42" s="66">
        <v>1</v>
      </c>
      <c r="L42" s="68">
        <f t="shared" si="0"/>
        <v>0</v>
      </c>
      <c r="M42" s="68">
        <f t="shared" si="1"/>
        <v>1.2048192771084338</v>
      </c>
      <c r="N42" s="66"/>
      <c r="O42" s="66"/>
      <c r="P42" s="66"/>
      <c r="Q42" s="68">
        <f t="shared" si="2"/>
        <v>0</v>
      </c>
      <c r="R42" s="68">
        <f t="shared" si="3"/>
        <v>0</v>
      </c>
      <c r="S42" s="64"/>
      <c r="T42" s="64" t="str">
        <f t="shared" si="5"/>
        <v>Belum Melakukan Deteksi</v>
      </c>
      <c r="X42" s="49" t="str">
        <f t="shared" si="4"/>
        <v>Arman Vani</v>
      </c>
    </row>
    <row r="43" spans="2:24" ht="18" x14ac:dyDescent="0.2">
      <c r="B43" s="66" t="s">
        <v>949</v>
      </c>
      <c r="C43" s="66" t="s">
        <v>47</v>
      </c>
      <c r="D43" s="66" t="s">
        <v>216</v>
      </c>
      <c r="E43" s="66" t="s">
        <v>1012</v>
      </c>
      <c r="F43" s="67">
        <v>46150</v>
      </c>
      <c r="G43" s="66" t="s">
        <v>1013</v>
      </c>
      <c r="H43" s="66" t="s">
        <v>952</v>
      </c>
      <c r="I43" s="66">
        <v>78</v>
      </c>
      <c r="J43" s="66">
        <v>3</v>
      </c>
      <c r="K43" s="66"/>
      <c r="L43" s="68">
        <f t="shared" si="0"/>
        <v>3.8461538461538458</v>
      </c>
      <c r="M43" s="68">
        <f t="shared" si="1"/>
        <v>0</v>
      </c>
      <c r="N43" s="66"/>
      <c r="O43" s="66"/>
      <c r="P43" s="66"/>
      <c r="Q43" s="68">
        <f t="shared" si="2"/>
        <v>0</v>
      </c>
      <c r="R43" s="68">
        <f t="shared" si="3"/>
        <v>0</v>
      </c>
      <c r="S43" s="64"/>
      <c r="T43" s="64" t="str">
        <f t="shared" si="5"/>
        <v>Belum Melakukan Deteksi</v>
      </c>
      <c r="X43" s="49" t="str">
        <f t="shared" si="4"/>
        <v>Tobi Ardianto</v>
      </c>
    </row>
    <row r="44" spans="2:24" ht="18" x14ac:dyDescent="0.2">
      <c r="B44" s="66" t="s">
        <v>949</v>
      </c>
      <c r="C44" s="66" t="s">
        <v>47</v>
      </c>
      <c r="D44" s="66" t="s">
        <v>216</v>
      </c>
      <c r="E44" s="66" t="s">
        <v>1014</v>
      </c>
      <c r="F44" s="67">
        <v>46150</v>
      </c>
      <c r="G44" s="66" t="s">
        <v>1015</v>
      </c>
      <c r="H44" s="66" t="s">
        <v>952</v>
      </c>
      <c r="I44" s="66">
        <v>91</v>
      </c>
      <c r="J44" s="66">
        <v>1</v>
      </c>
      <c r="K44" s="66">
        <v>1</v>
      </c>
      <c r="L44" s="142">
        <f t="shared" si="0"/>
        <v>1.0989010989010988</v>
      </c>
      <c r="M44" s="68">
        <f t="shared" si="1"/>
        <v>1.0989010989010988</v>
      </c>
      <c r="N44" s="66"/>
      <c r="O44" s="66"/>
      <c r="P44" s="66"/>
      <c r="Q44" s="142">
        <f t="shared" si="2"/>
        <v>0</v>
      </c>
      <c r="R44" s="68">
        <f t="shared" si="3"/>
        <v>0</v>
      </c>
      <c r="S44" s="64"/>
      <c r="T44" s="64" t="str">
        <f t="shared" si="5"/>
        <v>Belum Melakukan Deteksi</v>
      </c>
      <c r="X44" s="49" t="str">
        <f t="shared" si="4"/>
        <v>Fransiskus Macho</v>
      </c>
    </row>
    <row r="45" spans="2:24" ht="18" x14ac:dyDescent="0.2">
      <c r="B45" s="66" t="s">
        <v>949</v>
      </c>
      <c r="C45" s="66" t="s">
        <v>47</v>
      </c>
      <c r="D45" s="66" t="s">
        <v>216</v>
      </c>
      <c r="E45" s="66" t="s">
        <v>1016</v>
      </c>
      <c r="F45" s="67">
        <v>46148</v>
      </c>
      <c r="G45" s="66" t="s">
        <v>1017</v>
      </c>
      <c r="H45" s="66" t="s">
        <v>952</v>
      </c>
      <c r="I45" s="66">
        <v>112</v>
      </c>
      <c r="J45" s="66">
        <v>2</v>
      </c>
      <c r="K45" s="66">
        <v>3</v>
      </c>
      <c r="L45" s="68">
        <f t="shared" si="0"/>
        <v>1.7857142857142856</v>
      </c>
      <c r="M45" s="68">
        <f t="shared" si="1"/>
        <v>2.6785714285714284</v>
      </c>
      <c r="N45" s="66"/>
      <c r="O45" s="66"/>
      <c r="P45" s="66"/>
      <c r="Q45" s="68">
        <f t="shared" si="2"/>
        <v>0</v>
      </c>
      <c r="R45" s="68">
        <f t="shared" si="3"/>
        <v>0</v>
      </c>
      <c r="S45" s="64"/>
      <c r="T45" s="64" t="str">
        <f t="shared" si="5"/>
        <v>Belum Melakukan Deteksi</v>
      </c>
      <c r="X45" s="49" t="str">
        <f t="shared" si="4"/>
        <v>Sunan Afandi</v>
      </c>
    </row>
    <row r="46" spans="2:24" ht="18" x14ac:dyDescent="0.2">
      <c r="B46" s="66" t="s">
        <v>949</v>
      </c>
      <c r="C46" s="66" t="s">
        <v>47</v>
      </c>
      <c r="D46" s="66" t="s">
        <v>216</v>
      </c>
      <c r="E46" s="66" t="s">
        <v>1014</v>
      </c>
      <c r="F46" s="67">
        <v>46149</v>
      </c>
      <c r="G46" s="66" t="s">
        <v>1013</v>
      </c>
      <c r="H46" s="66" t="s">
        <v>952</v>
      </c>
      <c r="I46" s="66">
        <v>85</v>
      </c>
      <c r="J46" s="66">
        <v>1</v>
      </c>
      <c r="K46" s="66"/>
      <c r="L46" s="142">
        <f t="shared" si="0"/>
        <v>1.1764705882352942</v>
      </c>
      <c r="M46" s="68">
        <f t="shared" si="1"/>
        <v>0</v>
      </c>
      <c r="N46" s="66"/>
      <c r="O46" s="66"/>
      <c r="P46" s="66"/>
      <c r="Q46" s="142">
        <f t="shared" si="2"/>
        <v>0</v>
      </c>
      <c r="R46" s="68">
        <f t="shared" si="3"/>
        <v>0</v>
      </c>
      <c r="S46" s="64"/>
      <c r="T46" s="64" t="str">
        <f t="shared" si="5"/>
        <v>Belum Melakukan Deteksi</v>
      </c>
      <c r="X46" s="49" t="str">
        <f t="shared" si="4"/>
        <v>Tobi Ardianto</v>
      </c>
    </row>
    <row r="47" spans="2:24" ht="18" x14ac:dyDescent="0.2">
      <c r="B47" s="66" t="s">
        <v>949</v>
      </c>
      <c r="C47" s="66" t="s">
        <v>47</v>
      </c>
      <c r="D47" s="66" t="s">
        <v>216</v>
      </c>
      <c r="E47" s="66" t="s">
        <v>1018</v>
      </c>
      <c r="F47" s="67">
        <v>46149</v>
      </c>
      <c r="G47" s="66" t="s">
        <v>1017</v>
      </c>
      <c r="H47" s="66" t="s">
        <v>964</v>
      </c>
      <c r="I47" s="66"/>
      <c r="J47" s="66"/>
      <c r="K47" s="66"/>
      <c r="L47" s="142">
        <f t="shared" si="0"/>
        <v>0</v>
      </c>
      <c r="M47" s="68">
        <f t="shared" si="1"/>
        <v>0</v>
      </c>
      <c r="N47" s="66">
        <v>63</v>
      </c>
      <c r="O47" s="66">
        <v>2</v>
      </c>
      <c r="P47" s="66"/>
      <c r="Q47" s="142">
        <f t="shared" si="2"/>
        <v>3.1746031746031744</v>
      </c>
      <c r="R47" s="68">
        <f t="shared" si="3"/>
        <v>0</v>
      </c>
      <c r="S47" s="64"/>
      <c r="T47" s="64" t="str">
        <f t="shared" si="5"/>
        <v>Belum Melakukan Deteksi</v>
      </c>
      <c r="X47" s="49" t="str">
        <f t="shared" si="4"/>
        <v>Sunan Afandi</v>
      </c>
    </row>
    <row r="48" spans="2:24" ht="18" x14ac:dyDescent="0.2">
      <c r="B48" s="66" t="s">
        <v>949</v>
      </c>
      <c r="C48" s="66" t="s">
        <v>47</v>
      </c>
      <c r="D48" s="66" t="s">
        <v>216</v>
      </c>
      <c r="E48" s="66" t="s">
        <v>1018</v>
      </c>
      <c r="F48" s="67">
        <v>46149</v>
      </c>
      <c r="G48" s="66" t="s">
        <v>1015</v>
      </c>
      <c r="H48" s="66" t="s">
        <v>952</v>
      </c>
      <c r="I48" s="66">
        <v>98</v>
      </c>
      <c r="J48" s="66">
        <v>1</v>
      </c>
      <c r="K48" s="66">
        <v>2</v>
      </c>
      <c r="L48" s="142">
        <f t="shared" si="0"/>
        <v>1.0204081632653061</v>
      </c>
      <c r="M48" s="68">
        <f t="shared" si="1"/>
        <v>2.0408163265306123</v>
      </c>
      <c r="N48" s="66"/>
      <c r="O48" s="66"/>
      <c r="P48" s="66"/>
      <c r="Q48" s="142">
        <f t="shared" si="2"/>
        <v>0</v>
      </c>
      <c r="R48" s="68">
        <f t="shared" si="3"/>
        <v>0</v>
      </c>
      <c r="S48" s="64"/>
      <c r="T48" s="64" t="str">
        <f t="shared" si="5"/>
        <v>Belum Melakukan Deteksi</v>
      </c>
      <c r="X48" s="49" t="str">
        <f t="shared" si="4"/>
        <v>Fransiskus Macho</v>
      </c>
    </row>
    <row r="49" spans="2:24" ht="18" x14ac:dyDescent="0.2">
      <c r="B49" s="66" t="s">
        <v>949</v>
      </c>
      <c r="C49" s="66" t="s">
        <v>47</v>
      </c>
      <c r="D49" s="66" t="s">
        <v>252</v>
      </c>
      <c r="E49" s="66" t="s">
        <v>1019</v>
      </c>
      <c r="F49" s="67">
        <v>46148</v>
      </c>
      <c r="G49" s="66" t="s">
        <v>1020</v>
      </c>
      <c r="H49" s="66" t="s">
        <v>952</v>
      </c>
      <c r="I49" s="66">
        <v>115</v>
      </c>
      <c r="J49" s="66">
        <v>3</v>
      </c>
      <c r="K49" s="66"/>
      <c r="L49" s="142">
        <f t="shared" si="0"/>
        <v>2.6086956521739131</v>
      </c>
      <c r="M49" s="68">
        <f t="shared" si="1"/>
        <v>0</v>
      </c>
      <c r="N49" s="66"/>
      <c r="O49" s="66"/>
      <c r="P49" s="66"/>
      <c r="Q49" s="142">
        <f t="shared" si="2"/>
        <v>0</v>
      </c>
      <c r="R49" s="68">
        <f t="shared" si="3"/>
        <v>0</v>
      </c>
      <c r="S49" s="64"/>
      <c r="T49" s="64" t="str">
        <f t="shared" si="5"/>
        <v>Belum Melakukan Deteksi</v>
      </c>
      <c r="X49" s="49" t="str">
        <f t="shared" si="4"/>
        <v>Riko Ansara</v>
      </c>
    </row>
    <row r="50" spans="2:24" ht="18" x14ac:dyDescent="0.2">
      <c r="B50" s="66" t="s">
        <v>949</v>
      </c>
      <c r="C50" s="66" t="s">
        <v>47</v>
      </c>
      <c r="D50" s="66" t="s">
        <v>252</v>
      </c>
      <c r="E50" s="66" t="s">
        <v>1019</v>
      </c>
      <c r="F50" s="67">
        <v>46150</v>
      </c>
      <c r="G50" s="66" t="s">
        <v>1020</v>
      </c>
      <c r="H50" s="66" t="s">
        <v>964</v>
      </c>
      <c r="I50" s="66"/>
      <c r="J50" s="66"/>
      <c r="K50" s="66"/>
      <c r="L50" s="142">
        <f t="shared" si="0"/>
        <v>0</v>
      </c>
      <c r="M50" s="68">
        <f t="shared" si="1"/>
        <v>0</v>
      </c>
      <c r="N50" s="66">
        <v>82</v>
      </c>
      <c r="O50" s="66">
        <v>2</v>
      </c>
      <c r="P50" s="66"/>
      <c r="Q50" s="142">
        <f t="shared" si="2"/>
        <v>2.4390243902439024</v>
      </c>
      <c r="R50" s="68">
        <f t="shared" si="3"/>
        <v>0</v>
      </c>
      <c r="S50" s="64"/>
      <c r="T50" s="64" t="str">
        <f t="shared" si="5"/>
        <v>Belum Melakukan Deteksi</v>
      </c>
      <c r="X50" s="49" t="str">
        <f t="shared" si="4"/>
        <v>Riko Ansara</v>
      </c>
    </row>
    <row r="51" spans="2:24" ht="18" x14ac:dyDescent="0.2">
      <c r="B51" s="66" t="s">
        <v>949</v>
      </c>
      <c r="C51" s="66" t="s">
        <v>47</v>
      </c>
      <c r="D51" s="66" t="s">
        <v>252</v>
      </c>
      <c r="E51" s="66" t="s">
        <v>1021</v>
      </c>
      <c r="F51" s="67">
        <v>46148</v>
      </c>
      <c r="G51" s="66" t="s">
        <v>1022</v>
      </c>
      <c r="H51" s="66" t="s">
        <v>952</v>
      </c>
      <c r="I51" s="66">
        <v>92</v>
      </c>
      <c r="J51" s="66">
        <v>1</v>
      </c>
      <c r="K51" s="66">
        <v>2</v>
      </c>
      <c r="L51" s="68">
        <f t="shared" si="0"/>
        <v>1.0869565217391304</v>
      </c>
      <c r="M51" s="68">
        <f t="shared" si="1"/>
        <v>2.1739130434782608</v>
      </c>
      <c r="N51" s="66"/>
      <c r="O51" s="66"/>
      <c r="P51" s="66"/>
      <c r="Q51" s="68">
        <f t="shared" si="2"/>
        <v>0</v>
      </c>
      <c r="R51" s="68">
        <f t="shared" si="3"/>
        <v>0</v>
      </c>
      <c r="S51" s="64"/>
      <c r="T51" s="64" t="str">
        <f t="shared" si="5"/>
        <v>Belum Melakukan Deteksi</v>
      </c>
      <c r="X51" s="49" t="str">
        <f t="shared" si="4"/>
        <v xml:space="preserve">Abdul </v>
      </c>
    </row>
    <row r="52" spans="2:24" ht="18" x14ac:dyDescent="0.2">
      <c r="B52" s="66" t="s">
        <v>949</v>
      </c>
      <c r="C52" s="66" t="s">
        <v>47</v>
      </c>
      <c r="D52" s="66" t="s">
        <v>252</v>
      </c>
      <c r="E52" s="66" t="s">
        <v>1023</v>
      </c>
      <c r="F52" s="67">
        <v>46148</v>
      </c>
      <c r="G52" s="66" t="s">
        <v>1024</v>
      </c>
      <c r="H52" s="66" t="s">
        <v>952</v>
      </c>
      <c r="I52" s="66">
        <v>87</v>
      </c>
      <c r="J52" s="66">
        <v>1</v>
      </c>
      <c r="K52" s="66">
        <v>1</v>
      </c>
      <c r="L52" s="68">
        <f t="shared" si="0"/>
        <v>1.1494252873563218</v>
      </c>
      <c r="M52" s="68">
        <f t="shared" si="1"/>
        <v>1.1494252873563218</v>
      </c>
      <c r="N52" s="66"/>
      <c r="O52" s="66"/>
      <c r="P52" s="66"/>
      <c r="Q52" s="68">
        <f t="shared" si="2"/>
        <v>0</v>
      </c>
      <c r="R52" s="68">
        <f t="shared" si="3"/>
        <v>0</v>
      </c>
      <c r="S52" s="64"/>
      <c r="T52" s="64" t="str">
        <f t="shared" si="5"/>
        <v>Belum Melakukan Deteksi</v>
      </c>
      <c r="X52" s="49" t="str">
        <f t="shared" si="4"/>
        <v>Jp Pandi</v>
      </c>
    </row>
    <row r="53" spans="2:24" ht="18" x14ac:dyDescent="0.2">
      <c r="B53" s="66" t="s">
        <v>949</v>
      </c>
      <c r="C53" s="66" t="s">
        <v>47</v>
      </c>
      <c r="D53" s="66" t="s">
        <v>252</v>
      </c>
      <c r="E53" s="66" t="s">
        <v>1025</v>
      </c>
      <c r="F53" s="67">
        <v>46150</v>
      </c>
      <c r="G53" s="66" t="s">
        <v>1026</v>
      </c>
      <c r="H53" s="66" t="s">
        <v>964</v>
      </c>
      <c r="I53" s="66"/>
      <c r="J53" s="66"/>
      <c r="K53" s="66"/>
      <c r="L53" s="68">
        <f t="shared" si="0"/>
        <v>0</v>
      </c>
      <c r="M53" s="68">
        <f t="shared" si="1"/>
        <v>0</v>
      </c>
      <c r="N53" s="66">
        <v>64</v>
      </c>
      <c r="O53" s="66">
        <v>2</v>
      </c>
      <c r="P53" s="66">
        <v>1</v>
      </c>
      <c r="Q53" s="68">
        <f t="shared" si="2"/>
        <v>3.125</v>
      </c>
      <c r="R53" s="68">
        <f t="shared" si="3"/>
        <v>1.5625</v>
      </c>
      <c r="S53" s="64"/>
      <c r="T53" s="64" t="str">
        <f t="shared" si="5"/>
        <v>Belum Melakukan Deteksi</v>
      </c>
      <c r="X53" s="49" t="str">
        <f t="shared" si="4"/>
        <v>Armin</v>
      </c>
    </row>
    <row r="54" spans="2:24" ht="18" x14ac:dyDescent="0.2">
      <c r="B54" s="66" t="s">
        <v>949</v>
      </c>
      <c r="C54" s="66" t="s">
        <v>47</v>
      </c>
      <c r="D54" s="66" t="s">
        <v>252</v>
      </c>
      <c r="E54" s="66" t="s">
        <v>1027</v>
      </c>
      <c r="F54" s="67">
        <v>46150</v>
      </c>
      <c r="G54" s="66" t="s">
        <v>1020</v>
      </c>
      <c r="H54" s="66" t="s">
        <v>964</v>
      </c>
      <c r="I54" s="66"/>
      <c r="J54" s="66"/>
      <c r="K54" s="66"/>
      <c r="L54" s="68">
        <f t="shared" si="0"/>
        <v>0</v>
      </c>
      <c r="M54" s="68">
        <f t="shared" si="1"/>
        <v>0</v>
      </c>
      <c r="N54" s="66">
        <v>72</v>
      </c>
      <c r="O54" s="66">
        <v>2</v>
      </c>
      <c r="P54" s="66">
        <v>3</v>
      </c>
      <c r="Q54" s="68">
        <f t="shared" si="2"/>
        <v>2.7777777777777777</v>
      </c>
      <c r="R54" s="68">
        <f t="shared" si="3"/>
        <v>4.166666666666667</v>
      </c>
      <c r="S54" s="64"/>
      <c r="T54" s="64" t="str">
        <f t="shared" si="5"/>
        <v>Belum Melakukan Deteksi</v>
      </c>
      <c r="X54" s="49" t="str">
        <f t="shared" si="4"/>
        <v>Riko Ansara</v>
      </c>
    </row>
    <row r="55" spans="2:24" ht="18" x14ac:dyDescent="0.2">
      <c r="B55" s="66" t="s">
        <v>949</v>
      </c>
      <c r="C55" s="66" t="s">
        <v>47</v>
      </c>
      <c r="D55" s="66" t="s">
        <v>252</v>
      </c>
      <c r="E55" s="66" t="s">
        <v>1028</v>
      </c>
      <c r="F55" s="67">
        <v>46150</v>
      </c>
      <c r="G55" s="66" t="s">
        <v>1022</v>
      </c>
      <c r="H55" s="66" t="s">
        <v>952</v>
      </c>
      <c r="I55" s="66">
        <v>91</v>
      </c>
      <c r="J55" s="66">
        <v>2</v>
      </c>
      <c r="K55" s="66">
        <v>2</v>
      </c>
      <c r="L55" s="68">
        <f t="shared" si="0"/>
        <v>2.1978021978021975</v>
      </c>
      <c r="M55" s="68">
        <f t="shared" si="1"/>
        <v>2.1978021978021975</v>
      </c>
      <c r="N55" s="66"/>
      <c r="O55" s="66"/>
      <c r="P55" s="66"/>
      <c r="Q55" s="68">
        <f t="shared" si="2"/>
        <v>0</v>
      </c>
      <c r="R55" s="68">
        <f t="shared" si="3"/>
        <v>0</v>
      </c>
      <c r="S55" s="64"/>
      <c r="T55" s="64" t="str">
        <f t="shared" si="5"/>
        <v>Belum Melakukan Deteksi</v>
      </c>
      <c r="X55" s="49" t="str">
        <f t="shared" si="4"/>
        <v xml:space="preserve">Abdul </v>
      </c>
    </row>
    <row r="56" spans="2:24" ht="18" x14ac:dyDescent="0.2">
      <c r="B56" s="66" t="s">
        <v>949</v>
      </c>
      <c r="C56" s="66" t="s">
        <v>47</v>
      </c>
      <c r="D56" s="66" t="s">
        <v>323</v>
      </c>
      <c r="E56" s="66" t="s">
        <v>1029</v>
      </c>
      <c r="F56" s="67">
        <v>46150</v>
      </c>
      <c r="G56" s="66" t="s">
        <v>1030</v>
      </c>
      <c r="H56" s="66" t="s">
        <v>952</v>
      </c>
      <c r="I56" s="66">
        <v>121</v>
      </c>
      <c r="J56" s="66">
        <v>2</v>
      </c>
      <c r="K56" s="66">
        <v>3</v>
      </c>
      <c r="L56" s="68">
        <f t="shared" si="0"/>
        <v>1.6528925619834711</v>
      </c>
      <c r="M56" s="68">
        <f t="shared" si="1"/>
        <v>2.4793388429752068</v>
      </c>
      <c r="N56" s="66"/>
      <c r="O56" s="66"/>
      <c r="P56" s="66"/>
      <c r="Q56" s="68">
        <f t="shared" si="2"/>
        <v>0</v>
      </c>
      <c r="R56" s="68">
        <f t="shared" si="3"/>
        <v>0</v>
      </c>
      <c r="S56" s="64"/>
      <c r="T56" s="64" t="str">
        <f t="shared" si="5"/>
        <v>Belum Melakukan Deteksi</v>
      </c>
      <c r="X56" s="49" t="str">
        <f t="shared" si="4"/>
        <v>Raven Simarmata</v>
      </c>
    </row>
    <row r="57" spans="2:24" ht="18" x14ac:dyDescent="0.2">
      <c r="B57" s="66" t="s">
        <v>949</v>
      </c>
      <c r="C57" s="66" t="s">
        <v>47</v>
      </c>
      <c r="D57" s="66" t="s">
        <v>323</v>
      </c>
      <c r="E57" s="66" t="s">
        <v>1031</v>
      </c>
      <c r="F57" s="67">
        <v>46150</v>
      </c>
      <c r="G57" s="66" t="s">
        <v>1032</v>
      </c>
      <c r="H57" s="66" t="s">
        <v>952</v>
      </c>
      <c r="I57" s="66">
        <v>84</v>
      </c>
      <c r="J57" s="66">
        <v>1</v>
      </c>
      <c r="K57" s="66">
        <v>1</v>
      </c>
      <c r="L57" s="142">
        <f t="shared" si="0"/>
        <v>1.1904761904761905</v>
      </c>
      <c r="M57" s="68">
        <f t="shared" si="1"/>
        <v>1.1904761904761905</v>
      </c>
      <c r="N57" s="66"/>
      <c r="O57" s="66"/>
      <c r="P57" s="66"/>
      <c r="Q57" s="142">
        <f t="shared" si="2"/>
        <v>0</v>
      </c>
      <c r="R57" s="68">
        <f t="shared" si="3"/>
        <v>0</v>
      </c>
      <c r="S57" s="64"/>
      <c r="T57" s="64" t="str">
        <f t="shared" si="5"/>
        <v>Belum Melakukan Deteksi</v>
      </c>
      <c r="X57" s="49" t="str">
        <f t="shared" si="4"/>
        <v>Tarsius Gagas</v>
      </c>
    </row>
    <row r="58" spans="2:24" ht="18" x14ac:dyDescent="0.2">
      <c r="B58" s="66" t="s">
        <v>949</v>
      </c>
      <c r="C58" s="66" t="s">
        <v>47</v>
      </c>
      <c r="D58" s="66" t="s">
        <v>323</v>
      </c>
      <c r="E58" s="66" t="s">
        <v>1031</v>
      </c>
      <c r="F58" s="67">
        <v>46150</v>
      </c>
      <c r="G58" s="66" t="s">
        <v>1030</v>
      </c>
      <c r="H58" s="66" t="s">
        <v>964</v>
      </c>
      <c r="I58" s="66"/>
      <c r="J58" s="66"/>
      <c r="K58" s="66"/>
      <c r="L58" s="142">
        <f t="shared" si="0"/>
        <v>0</v>
      </c>
      <c r="M58" s="68">
        <f t="shared" si="1"/>
        <v>0</v>
      </c>
      <c r="N58" s="66">
        <v>75</v>
      </c>
      <c r="O58" s="66">
        <v>2</v>
      </c>
      <c r="P58" s="66">
        <v>1</v>
      </c>
      <c r="Q58" s="142">
        <f t="shared" si="2"/>
        <v>2.6666666666666665</v>
      </c>
      <c r="R58" s="68">
        <f t="shared" si="3"/>
        <v>1.3333333333333333</v>
      </c>
      <c r="S58" s="64"/>
      <c r="T58" s="64" t="str">
        <f t="shared" si="5"/>
        <v>Belum Melakukan Deteksi</v>
      </c>
      <c r="X58" s="49" t="str">
        <f t="shared" si="4"/>
        <v>Raven Simarmata</v>
      </c>
    </row>
    <row r="59" spans="2:24" ht="18" x14ac:dyDescent="0.2">
      <c r="B59" s="66" t="s">
        <v>949</v>
      </c>
      <c r="C59" s="66" t="s">
        <v>47</v>
      </c>
      <c r="D59" s="66" t="s">
        <v>323</v>
      </c>
      <c r="E59" s="66" t="s">
        <v>1033</v>
      </c>
      <c r="F59" s="67">
        <v>46149</v>
      </c>
      <c r="G59" s="66" t="s">
        <v>1034</v>
      </c>
      <c r="H59" s="66" t="s">
        <v>952</v>
      </c>
      <c r="I59" s="66">
        <v>92</v>
      </c>
      <c r="J59" s="66">
        <v>2</v>
      </c>
      <c r="K59" s="66">
        <v>3</v>
      </c>
      <c r="L59" s="142">
        <f t="shared" si="0"/>
        <v>2.1739130434782608</v>
      </c>
      <c r="M59" s="68">
        <f t="shared" si="1"/>
        <v>3.2608695652173911</v>
      </c>
      <c r="N59" s="66"/>
      <c r="O59" s="66"/>
      <c r="P59" s="66"/>
      <c r="Q59" s="142">
        <f t="shared" si="2"/>
        <v>0</v>
      </c>
      <c r="R59" s="68">
        <f t="shared" si="3"/>
        <v>0</v>
      </c>
      <c r="S59" s="64"/>
      <c r="T59" s="64" t="str">
        <f t="shared" si="5"/>
        <v>Belum Melakukan Deteksi</v>
      </c>
      <c r="X59" s="49" t="str">
        <f t="shared" si="4"/>
        <v>Yohanes Yakson</v>
      </c>
    </row>
    <row r="60" spans="2:24" ht="18" x14ac:dyDescent="0.2">
      <c r="B60" s="66" t="s">
        <v>949</v>
      </c>
      <c r="C60" s="66" t="s">
        <v>47</v>
      </c>
      <c r="D60" s="66" t="s">
        <v>323</v>
      </c>
      <c r="E60" s="66" t="s">
        <v>1033</v>
      </c>
      <c r="F60" s="67">
        <v>46149</v>
      </c>
      <c r="G60" s="66" t="s">
        <v>1032</v>
      </c>
      <c r="H60" s="66" t="s">
        <v>952</v>
      </c>
      <c r="I60" s="66">
        <v>81</v>
      </c>
      <c r="J60" s="66">
        <v>1</v>
      </c>
      <c r="K60" s="66">
        <v>2</v>
      </c>
      <c r="L60" s="142">
        <f t="shared" si="0"/>
        <v>1.2345679012345678</v>
      </c>
      <c r="M60" s="68">
        <f t="shared" si="1"/>
        <v>2.4691358024691357</v>
      </c>
      <c r="N60" s="66"/>
      <c r="O60" s="66"/>
      <c r="P60" s="66"/>
      <c r="Q60" s="142">
        <f t="shared" si="2"/>
        <v>0</v>
      </c>
      <c r="R60" s="68">
        <f t="shared" si="3"/>
        <v>0</v>
      </c>
      <c r="S60" s="64"/>
      <c r="T60" s="64" t="str">
        <f t="shared" si="5"/>
        <v>Belum Melakukan Deteksi</v>
      </c>
      <c r="X60" s="49" t="str">
        <f t="shared" si="4"/>
        <v>Tarsius Gagas</v>
      </c>
    </row>
    <row r="61" spans="2:24" ht="18" x14ac:dyDescent="0.2">
      <c r="B61" s="66" t="s">
        <v>949</v>
      </c>
      <c r="C61" s="66" t="s">
        <v>47</v>
      </c>
      <c r="D61" s="66" t="s">
        <v>345</v>
      </c>
      <c r="E61" s="66" t="s">
        <v>1035</v>
      </c>
      <c r="F61" s="67">
        <v>46148</v>
      </c>
      <c r="G61" s="66" t="s">
        <v>1036</v>
      </c>
      <c r="H61" s="66" t="s">
        <v>952</v>
      </c>
      <c r="I61" s="66">
        <v>98</v>
      </c>
      <c r="J61" s="66">
        <v>1</v>
      </c>
      <c r="K61" s="66">
        <v>1</v>
      </c>
      <c r="L61" s="68">
        <f t="shared" si="0"/>
        <v>1.0204081632653061</v>
      </c>
      <c r="M61" s="68">
        <f t="shared" si="1"/>
        <v>1.0204081632653061</v>
      </c>
      <c r="N61" s="66"/>
      <c r="O61" s="66"/>
      <c r="P61" s="66"/>
      <c r="Q61" s="68">
        <f t="shared" si="2"/>
        <v>0</v>
      </c>
      <c r="R61" s="68">
        <f t="shared" si="3"/>
        <v>0</v>
      </c>
      <c r="S61" s="64"/>
      <c r="T61" s="64" t="str">
        <f t="shared" si="5"/>
        <v>Belum Melakukan Deteksi</v>
      </c>
      <c r="X61" s="49" t="str">
        <f t="shared" si="4"/>
        <v>Sudarso</v>
      </c>
    </row>
    <row r="62" spans="2:24" ht="18" x14ac:dyDescent="0.2">
      <c r="B62" s="66" t="s">
        <v>949</v>
      </c>
      <c r="C62" s="66" t="s">
        <v>47</v>
      </c>
      <c r="D62" s="66" t="s">
        <v>345</v>
      </c>
      <c r="E62" s="66" t="s">
        <v>1037</v>
      </c>
      <c r="F62" s="67">
        <v>46148</v>
      </c>
      <c r="G62" s="66" t="s">
        <v>1036</v>
      </c>
      <c r="H62" s="66" t="s">
        <v>952</v>
      </c>
      <c r="I62" s="66">
        <v>75</v>
      </c>
      <c r="J62" s="66">
        <v>2</v>
      </c>
      <c r="K62" s="66">
        <v>1</v>
      </c>
      <c r="L62" s="68">
        <f t="shared" si="0"/>
        <v>2.6666666666666665</v>
      </c>
      <c r="M62" s="68">
        <f t="shared" si="1"/>
        <v>1.3333333333333333</v>
      </c>
      <c r="N62" s="66"/>
      <c r="O62" s="66"/>
      <c r="P62" s="66"/>
      <c r="Q62" s="68">
        <f t="shared" si="2"/>
        <v>0</v>
      </c>
      <c r="R62" s="68">
        <f t="shared" si="3"/>
        <v>0</v>
      </c>
      <c r="S62" s="64"/>
      <c r="T62" s="64" t="str">
        <f t="shared" si="5"/>
        <v>Belum Melakukan Deteksi</v>
      </c>
      <c r="X62" s="49" t="str">
        <f t="shared" si="4"/>
        <v>Sudarso</v>
      </c>
    </row>
    <row r="63" spans="2:24" ht="18" x14ac:dyDescent="0.2">
      <c r="B63" s="66" t="s">
        <v>949</v>
      </c>
      <c r="C63" s="66" t="s">
        <v>47</v>
      </c>
      <c r="D63" s="66" t="s">
        <v>345</v>
      </c>
      <c r="E63" s="66" t="s">
        <v>1038</v>
      </c>
      <c r="F63" s="67">
        <v>46148</v>
      </c>
      <c r="G63" s="66" t="s">
        <v>1039</v>
      </c>
      <c r="H63" s="66" t="s">
        <v>964</v>
      </c>
      <c r="I63" s="66"/>
      <c r="J63" s="66"/>
      <c r="K63" s="66"/>
      <c r="L63" s="68">
        <f t="shared" si="0"/>
        <v>0</v>
      </c>
      <c r="M63" s="68">
        <f t="shared" si="1"/>
        <v>0</v>
      </c>
      <c r="N63" s="66">
        <v>66</v>
      </c>
      <c r="O63" s="66">
        <v>1</v>
      </c>
      <c r="P63" s="66">
        <v>1</v>
      </c>
      <c r="Q63" s="68">
        <f t="shared" si="2"/>
        <v>1.5151515151515151</v>
      </c>
      <c r="R63" s="68">
        <f t="shared" si="3"/>
        <v>1.5151515151515151</v>
      </c>
      <c r="S63" s="64"/>
      <c r="T63" s="64" t="str">
        <f t="shared" si="5"/>
        <v>Belum Melakukan Deteksi</v>
      </c>
      <c r="X63" s="49" t="str">
        <f t="shared" si="4"/>
        <v>Fransiskus Nau</v>
      </c>
    </row>
    <row r="64" spans="2:24" ht="18" x14ac:dyDescent="0.2">
      <c r="B64" s="66" t="s">
        <v>949</v>
      </c>
      <c r="C64" s="66" t="s">
        <v>47</v>
      </c>
      <c r="D64" s="66" t="s">
        <v>345</v>
      </c>
      <c r="E64" s="66" t="s">
        <v>1040</v>
      </c>
      <c r="F64" s="67">
        <v>46148</v>
      </c>
      <c r="G64" s="66" t="s">
        <v>1039</v>
      </c>
      <c r="H64" s="66" t="s">
        <v>964</v>
      </c>
      <c r="I64" s="66"/>
      <c r="J64" s="66"/>
      <c r="K64" s="66"/>
      <c r="L64" s="68">
        <f t="shared" si="0"/>
        <v>0</v>
      </c>
      <c r="M64" s="68">
        <f t="shared" si="1"/>
        <v>0</v>
      </c>
      <c r="N64" s="66">
        <v>72</v>
      </c>
      <c r="O64" s="66">
        <v>1</v>
      </c>
      <c r="P64" s="66">
        <v>2</v>
      </c>
      <c r="Q64" s="68">
        <f t="shared" si="2"/>
        <v>1.3888888888888888</v>
      </c>
      <c r="R64" s="68">
        <f t="shared" si="3"/>
        <v>2.7777777777777777</v>
      </c>
      <c r="S64" s="64"/>
      <c r="T64" s="64" t="str">
        <f t="shared" si="5"/>
        <v>Belum Melakukan Deteksi</v>
      </c>
      <c r="X64" s="49" t="str">
        <f t="shared" si="4"/>
        <v>Fransiskus Nau</v>
      </c>
    </row>
    <row r="65" spans="2:24" ht="18" x14ac:dyDescent="0.2">
      <c r="B65" s="70" t="s">
        <v>949</v>
      </c>
      <c r="C65" s="70" t="s">
        <v>47</v>
      </c>
      <c r="D65" s="70" t="s">
        <v>345</v>
      </c>
      <c r="E65" s="70" t="s">
        <v>1041</v>
      </c>
      <c r="F65" s="71">
        <v>46149</v>
      </c>
      <c r="G65" s="70" t="s">
        <v>1036</v>
      </c>
      <c r="H65" s="70" t="s">
        <v>952</v>
      </c>
      <c r="I65" s="70">
        <v>94</v>
      </c>
      <c r="J65" s="70">
        <v>2</v>
      </c>
      <c r="K65" s="70">
        <v>3</v>
      </c>
      <c r="L65" s="72">
        <f t="shared" si="0"/>
        <v>2.1276595744680851</v>
      </c>
      <c r="M65" s="72">
        <f t="shared" si="1"/>
        <v>3.191489361702128</v>
      </c>
      <c r="N65" s="70"/>
      <c r="O65" s="70"/>
      <c r="P65" s="70"/>
      <c r="Q65" s="72">
        <f t="shared" si="2"/>
        <v>0</v>
      </c>
      <c r="R65" s="72">
        <f t="shared" si="3"/>
        <v>0</v>
      </c>
      <c r="S65" s="64"/>
      <c r="T65" s="64" t="str">
        <f t="shared" si="5"/>
        <v>Belum Melakukan Deteksi</v>
      </c>
      <c r="X65" s="49" t="str">
        <f t="shared" si="4"/>
        <v>Sudarso</v>
      </c>
    </row>
    <row r="66" spans="2:24" ht="18" x14ac:dyDescent="0.2">
      <c r="B66" s="73" t="s">
        <v>949</v>
      </c>
      <c r="C66" s="73"/>
      <c r="D66" s="73"/>
      <c r="E66" s="73"/>
      <c r="F66" s="74"/>
      <c r="G66" s="73"/>
      <c r="H66" s="73"/>
      <c r="I66" s="73"/>
      <c r="J66" s="73"/>
      <c r="K66" s="73"/>
      <c r="L66" s="75">
        <f t="shared" si="0"/>
        <v>0</v>
      </c>
      <c r="M66" s="75">
        <f t="shared" si="1"/>
        <v>0</v>
      </c>
      <c r="N66" s="73"/>
      <c r="O66" s="73"/>
      <c r="P66" s="73"/>
      <c r="Q66" s="75">
        <f t="shared" si="2"/>
        <v>0</v>
      </c>
      <c r="R66" s="75">
        <f t="shared" si="3"/>
        <v>0</v>
      </c>
      <c r="S66" s="64"/>
      <c r="T66" s="64" t="str">
        <f t="shared" si="5"/>
        <v>Belum Melakukan Deteksi</v>
      </c>
    </row>
    <row r="67" spans="2:24" ht="18" x14ac:dyDescent="0.2">
      <c r="B67" s="73" t="s">
        <v>949</v>
      </c>
      <c r="C67" s="73"/>
      <c r="D67" s="73"/>
      <c r="E67" s="73"/>
      <c r="F67" s="74"/>
      <c r="G67" s="73"/>
      <c r="H67" s="73"/>
      <c r="I67" s="73"/>
      <c r="J67" s="73"/>
      <c r="K67" s="73"/>
      <c r="L67" s="75">
        <f t="shared" si="0"/>
        <v>0</v>
      </c>
      <c r="M67" s="75">
        <f t="shared" si="1"/>
        <v>0</v>
      </c>
      <c r="N67" s="73"/>
      <c r="O67" s="73"/>
      <c r="P67" s="73"/>
      <c r="Q67" s="75">
        <f t="shared" si="2"/>
        <v>0</v>
      </c>
      <c r="R67" s="75">
        <f t="shared" si="3"/>
        <v>0</v>
      </c>
      <c r="S67" s="64"/>
      <c r="T67" s="64" t="str">
        <f t="shared" si="5"/>
        <v>Belum Melakukan Deteksi</v>
      </c>
    </row>
    <row r="68" spans="2:24" ht="18" x14ac:dyDescent="0.2">
      <c r="B68" s="73" t="s">
        <v>949</v>
      </c>
      <c r="C68" s="73"/>
      <c r="D68" s="73"/>
      <c r="E68" s="73"/>
      <c r="F68" s="74"/>
      <c r="G68" s="73"/>
      <c r="H68" s="73"/>
      <c r="I68" s="73"/>
      <c r="J68" s="73"/>
      <c r="K68" s="73"/>
      <c r="L68" s="75">
        <f t="shared" si="0"/>
        <v>0</v>
      </c>
      <c r="M68" s="75">
        <f t="shared" si="1"/>
        <v>0</v>
      </c>
      <c r="N68" s="73"/>
      <c r="O68" s="73"/>
      <c r="P68" s="73"/>
      <c r="Q68" s="75">
        <f t="shared" si="2"/>
        <v>0</v>
      </c>
      <c r="R68" s="75">
        <f t="shared" si="3"/>
        <v>0</v>
      </c>
      <c r="S68" s="64"/>
      <c r="T68" s="64" t="str">
        <f t="shared" si="5"/>
        <v>Belum Melakukan Deteksi</v>
      </c>
    </row>
    <row r="69" spans="2:24" ht="18" x14ac:dyDescent="0.2">
      <c r="B69" s="73" t="s">
        <v>949</v>
      </c>
      <c r="C69" s="73"/>
      <c r="D69" s="73"/>
      <c r="E69" s="73"/>
      <c r="F69" s="74"/>
      <c r="G69" s="73"/>
      <c r="H69" s="73"/>
      <c r="I69" s="73"/>
      <c r="J69" s="73"/>
      <c r="K69" s="73"/>
      <c r="L69" s="75">
        <f t="shared" si="0"/>
        <v>0</v>
      </c>
      <c r="M69" s="75">
        <f t="shared" si="1"/>
        <v>0</v>
      </c>
      <c r="N69" s="73"/>
      <c r="O69" s="73"/>
      <c r="P69" s="73"/>
      <c r="Q69" s="75">
        <f t="shared" si="2"/>
        <v>0</v>
      </c>
      <c r="R69" s="75">
        <f t="shared" si="3"/>
        <v>0</v>
      </c>
      <c r="S69" s="64"/>
      <c r="T69" s="64" t="str">
        <f t="shared" si="5"/>
        <v>Belum Melakukan Deteksi</v>
      </c>
    </row>
    <row r="70" spans="2:24" ht="18" x14ac:dyDescent="0.2">
      <c r="B70" s="73" t="s">
        <v>949</v>
      </c>
      <c r="C70" s="73"/>
      <c r="D70" s="73"/>
      <c r="E70" s="73"/>
      <c r="F70" s="74"/>
      <c r="G70" s="73"/>
      <c r="H70" s="73"/>
      <c r="I70" s="73"/>
      <c r="J70" s="73"/>
      <c r="K70" s="73"/>
      <c r="L70" s="75">
        <f t="shared" si="0"/>
        <v>0</v>
      </c>
      <c r="M70" s="75">
        <f t="shared" si="1"/>
        <v>0</v>
      </c>
      <c r="N70" s="73"/>
      <c r="O70" s="73"/>
      <c r="P70" s="73"/>
      <c r="Q70" s="75">
        <f t="shared" si="2"/>
        <v>0</v>
      </c>
      <c r="R70" s="75">
        <f t="shared" si="3"/>
        <v>0</v>
      </c>
      <c r="S70" s="64"/>
      <c r="T70" s="64" t="str">
        <f t="shared" si="5"/>
        <v>Belum Melakukan Deteksi</v>
      </c>
    </row>
    <row r="71" spans="2:24" ht="18" x14ac:dyDescent="0.2">
      <c r="B71" s="73" t="s">
        <v>949</v>
      </c>
      <c r="C71" s="73"/>
      <c r="D71" s="73"/>
      <c r="E71" s="73"/>
      <c r="F71" s="74"/>
      <c r="G71" s="73"/>
      <c r="H71" s="73"/>
      <c r="I71" s="73"/>
      <c r="J71" s="73"/>
      <c r="K71" s="73"/>
      <c r="L71" s="75">
        <f t="shared" ref="L71:L134" si="6">IFERROR(J71/I71%,0)</f>
        <v>0</v>
      </c>
      <c r="M71" s="75">
        <f t="shared" ref="M71:M134" si="7">IFERROR(K71/I71%,0)</f>
        <v>0</v>
      </c>
      <c r="N71" s="73"/>
      <c r="O71" s="73"/>
      <c r="P71" s="73"/>
      <c r="Q71" s="75">
        <f t="shared" ref="Q71:Q134" si="8">IFERROR(O71/N71%,0)</f>
        <v>0</v>
      </c>
      <c r="R71" s="75">
        <f t="shared" ref="R71:R134" si="9">IFERROR(P71/N71%,0)</f>
        <v>0</v>
      </c>
      <c r="S71" s="64"/>
      <c r="T71" s="64" t="str">
        <f t="shared" si="5"/>
        <v>Belum Melakukan Deteksi</v>
      </c>
    </row>
    <row r="72" spans="2:24" ht="18" x14ac:dyDescent="0.2">
      <c r="B72" s="73" t="s">
        <v>949</v>
      </c>
      <c r="C72" s="73"/>
      <c r="D72" s="73"/>
      <c r="E72" s="73"/>
      <c r="F72" s="74"/>
      <c r="G72" s="73"/>
      <c r="H72" s="73"/>
      <c r="I72" s="73"/>
      <c r="J72" s="73"/>
      <c r="K72" s="73"/>
      <c r="L72" s="75">
        <f t="shared" si="6"/>
        <v>0</v>
      </c>
      <c r="M72" s="75">
        <f t="shared" si="7"/>
        <v>0</v>
      </c>
      <c r="N72" s="73"/>
      <c r="O72" s="73"/>
      <c r="P72" s="73"/>
      <c r="Q72" s="75">
        <f t="shared" si="8"/>
        <v>0</v>
      </c>
      <c r="R72" s="75">
        <f t="shared" si="9"/>
        <v>0</v>
      </c>
      <c r="S72" s="64"/>
      <c r="T72" s="64" t="str">
        <f t="shared" si="5"/>
        <v>Belum Melakukan Deteksi</v>
      </c>
    </row>
    <row r="73" spans="2:24" ht="18" x14ac:dyDescent="0.2">
      <c r="B73" s="73" t="s">
        <v>949</v>
      </c>
      <c r="C73" s="73"/>
      <c r="D73" s="73"/>
      <c r="E73" s="73"/>
      <c r="F73" s="74"/>
      <c r="G73" s="73"/>
      <c r="H73" s="73"/>
      <c r="I73" s="73"/>
      <c r="J73" s="73"/>
      <c r="K73" s="73"/>
      <c r="L73" s="75">
        <f t="shared" si="6"/>
        <v>0</v>
      </c>
      <c r="M73" s="75">
        <f t="shared" si="7"/>
        <v>0</v>
      </c>
      <c r="N73" s="73"/>
      <c r="O73" s="73"/>
      <c r="P73" s="73"/>
      <c r="Q73" s="75">
        <f t="shared" si="8"/>
        <v>0</v>
      </c>
      <c r="R73" s="75">
        <f t="shared" si="9"/>
        <v>0</v>
      </c>
      <c r="S73" s="64"/>
      <c r="T73" s="64" t="str">
        <f t="shared" si="5"/>
        <v>Belum Melakukan Deteksi</v>
      </c>
    </row>
    <row r="74" spans="2:24" ht="18" x14ac:dyDescent="0.2">
      <c r="B74" s="73" t="s">
        <v>949</v>
      </c>
      <c r="C74" s="73"/>
      <c r="D74" s="73"/>
      <c r="E74" s="73"/>
      <c r="F74" s="74"/>
      <c r="G74" s="73"/>
      <c r="H74" s="73"/>
      <c r="I74" s="73"/>
      <c r="J74" s="73"/>
      <c r="K74" s="73"/>
      <c r="L74" s="75">
        <f t="shared" si="6"/>
        <v>0</v>
      </c>
      <c r="M74" s="75">
        <f t="shared" si="7"/>
        <v>0</v>
      </c>
      <c r="N74" s="73"/>
      <c r="O74" s="73"/>
      <c r="P74" s="73"/>
      <c r="Q74" s="75">
        <f t="shared" si="8"/>
        <v>0</v>
      </c>
      <c r="R74" s="75">
        <f t="shared" si="9"/>
        <v>0</v>
      </c>
      <c r="S74" s="64"/>
      <c r="T74" s="64" t="str">
        <f t="shared" si="5"/>
        <v>Belum Melakukan Deteksi</v>
      </c>
    </row>
    <row r="75" spans="2:24" ht="18" x14ac:dyDescent="0.2">
      <c r="B75" s="73" t="s">
        <v>949</v>
      </c>
      <c r="C75" s="73"/>
      <c r="D75" s="73"/>
      <c r="E75" s="73"/>
      <c r="F75" s="74"/>
      <c r="G75" s="73"/>
      <c r="H75" s="73"/>
      <c r="I75" s="73"/>
      <c r="J75" s="73"/>
      <c r="K75" s="73"/>
      <c r="L75" s="75">
        <f t="shared" si="6"/>
        <v>0</v>
      </c>
      <c r="M75" s="75">
        <f t="shared" si="7"/>
        <v>0</v>
      </c>
      <c r="N75" s="73"/>
      <c r="O75" s="73"/>
      <c r="P75" s="73"/>
      <c r="Q75" s="75">
        <f t="shared" si="8"/>
        <v>0</v>
      </c>
      <c r="R75" s="75">
        <f t="shared" si="9"/>
        <v>0</v>
      </c>
      <c r="S75" s="64"/>
      <c r="T75" s="64" t="str">
        <f t="shared" ref="T75:T138" si="10">IF(S75=0,"Belum Melakukan Deteksi",IF(S75="TIDAK ADA","Lanjutkan Kegiatan Deteksi Setiap Minggu","Segera Lakukan Kegiatan Sensus"))</f>
        <v>Belum Melakukan Deteksi</v>
      </c>
    </row>
    <row r="76" spans="2:24" ht="18" x14ac:dyDescent="0.2">
      <c r="B76" s="73" t="s">
        <v>949</v>
      </c>
      <c r="C76" s="73"/>
      <c r="D76" s="73"/>
      <c r="E76" s="73"/>
      <c r="F76" s="74"/>
      <c r="G76" s="73"/>
      <c r="H76" s="73"/>
      <c r="I76" s="73"/>
      <c r="J76" s="73"/>
      <c r="K76" s="73"/>
      <c r="L76" s="75">
        <f t="shared" si="6"/>
        <v>0</v>
      </c>
      <c r="M76" s="75">
        <f t="shared" si="7"/>
        <v>0</v>
      </c>
      <c r="N76" s="73"/>
      <c r="O76" s="73"/>
      <c r="P76" s="73"/>
      <c r="Q76" s="75">
        <f t="shared" si="8"/>
        <v>0</v>
      </c>
      <c r="R76" s="75">
        <f t="shared" si="9"/>
        <v>0</v>
      </c>
      <c r="S76" s="64"/>
      <c r="T76" s="64" t="str">
        <f t="shared" si="10"/>
        <v>Belum Melakukan Deteksi</v>
      </c>
    </row>
    <row r="77" spans="2:24" ht="18" x14ac:dyDescent="0.2">
      <c r="B77" s="73" t="s">
        <v>949</v>
      </c>
      <c r="C77" s="73"/>
      <c r="D77" s="73"/>
      <c r="E77" s="73"/>
      <c r="F77" s="74"/>
      <c r="G77" s="73"/>
      <c r="H77" s="73"/>
      <c r="I77" s="73"/>
      <c r="J77" s="73"/>
      <c r="K77" s="73"/>
      <c r="L77" s="75">
        <f t="shared" si="6"/>
        <v>0</v>
      </c>
      <c r="M77" s="75">
        <f t="shared" si="7"/>
        <v>0</v>
      </c>
      <c r="N77" s="73"/>
      <c r="O77" s="73"/>
      <c r="P77" s="73"/>
      <c r="Q77" s="75">
        <f t="shared" si="8"/>
        <v>0</v>
      </c>
      <c r="R77" s="75">
        <f t="shared" si="9"/>
        <v>0</v>
      </c>
      <c r="S77" s="64"/>
      <c r="T77" s="64" t="str">
        <f t="shared" si="10"/>
        <v>Belum Melakukan Deteksi</v>
      </c>
    </row>
    <row r="78" spans="2:24" ht="18" x14ac:dyDescent="0.2">
      <c r="B78" s="73" t="s">
        <v>949</v>
      </c>
      <c r="C78" s="73"/>
      <c r="D78" s="73"/>
      <c r="E78" s="73"/>
      <c r="F78" s="74"/>
      <c r="G78" s="73"/>
      <c r="H78" s="73"/>
      <c r="I78" s="73"/>
      <c r="J78" s="73"/>
      <c r="K78" s="73"/>
      <c r="L78" s="75">
        <f t="shared" si="6"/>
        <v>0</v>
      </c>
      <c r="M78" s="75">
        <f t="shared" si="7"/>
        <v>0</v>
      </c>
      <c r="N78" s="73"/>
      <c r="O78" s="73"/>
      <c r="P78" s="73"/>
      <c r="Q78" s="75">
        <f t="shared" si="8"/>
        <v>0</v>
      </c>
      <c r="R78" s="75">
        <f t="shared" si="9"/>
        <v>0</v>
      </c>
      <c r="S78" s="64"/>
      <c r="T78" s="64" t="str">
        <f t="shared" si="10"/>
        <v>Belum Melakukan Deteksi</v>
      </c>
    </row>
    <row r="79" spans="2:24" ht="18" x14ac:dyDescent="0.2">
      <c r="B79" s="73" t="s">
        <v>949</v>
      </c>
      <c r="C79" s="73"/>
      <c r="D79" s="73"/>
      <c r="E79" s="73"/>
      <c r="F79" s="74"/>
      <c r="G79" s="73"/>
      <c r="H79" s="73"/>
      <c r="I79" s="73"/>
      <c r="J79" s="73"/>
      <c r="K79" s="73"/>
      <c r="L79" s="75">
        <f t="shared" si="6"/>
        <v>0</v>
      </c>
      <c r="M79" s="75">
        <f t="shared" si="7"/>
        <v>0</v>
      </c>
      <c r="N79" s="73"/>
      <c r="O79" s="73"/>
      <c r="P79" s="73"/>
      <c r="Q79" s="75">
        <f t="shared" si="8"/>
        <v>0</v>
      </c>
      <c r="R79" s="75">
        <f t="shared" si="9"/>
        <v>0</v>
      </c>
      <c r="S79" s="64"/>
      <c r="T79" s="64" t="str">
        <f t="shared" si="10"/>
        <v>Belum Melakukan Deteksi</v>
      </c>
    </row>
    <row r="80" spans="2:24" ht="18" x14ac:dyDescent="0.2">
      <c r="B80" s="73" t="s">
        <v>949</v>
      </c>
      <c r="C80" s="73"/>
      <c r="D80" s="73"/>
      <c r="E80" s="73"/>
      <c r="F80" s="74"/>
      <c r="G80" s="73"/>
      <c r="H80" s="73"/>
      <c r="I80" s="73"/>
      <c r="J80" s="73"/>
      <c r="K80" s="73"/>
      <c r="L80" s="75">
        <f t="shared" si="6"/>
        <v>0</v>
      </c>
      <c r="M80" s="75">
        <f t="shared" si="7"/>
        <v>0</v>
      </c>
      <c r="N80" s="73"/>
      <c r="O80" s="73"/>
      <c r="P80" s="73"/>
      <c r="Q80" s="75">
        <f t="shared" si="8"/>
        <v>0</v>
      </c>
      <c r="R80" s="75">
        <f t="shared" si="9"/>
        <v>0</v>
      </c>
      <c r="S80" s="64"/>
      <c r="T80" s="64" t="str">
        <f t="shared" si="10"/>
        <v>Belum Melakukan Deteksi</v>
      </c>
    </row>
    <row r="81" spans="2:20" ht="18" x14ac:dyDescent="0.2">
      <c r="B81" s="73" t="s">
        <v>949</v>
      </c>
      <c r="C81" s="73"/>
      <c r="D81" s="73"/>
      <c r="E81" s="73"/>
      <c r="F81" s="74"/>
      <c r="G81" s="73"/>
      <c r="H81" s="73"/>
      <c r="I81" s="73"/>
      <c r="J81" s="73"/>
      <c r="K81" s="73"/>
      <c r="L81" s="75">
        <f t="shared" si="6"/>
        <v>0</v>
      </c>
      <c r="M81" s="75">
        <f t="shared" si="7"/>
        <v>0</v>
      </c>
      <c r="N81" s="73"/>
      <c r="O81" s="73"/>
      <c r="P81" s="73"/>
      <c r="Q81" s="75">
        <f t="shared" si="8"/>
        <v>0</v>
      </c>
      <c r="R81" s="75">
        <f t="shared" si="9"/>
        <v>0</v>
      </c>
      <c r="S81" s="64"/>
      <c r="T81" s="64" t="str">
        <f t="shared" si="10"/>
        <v>Belum Melakukan Deteksi</v>
      </c>
    </row>
    <row r="82" spans="2:20" ht="18" x14ac:dyDescent="0.2">
      <c r="B82" s="73" t="s">
        <v>949</v>
      </c>
      <c r="C82" s="73"/>
      <c r="D82" s="73"/>
      <c r="E82" s="73"/>
      <c r="F82" s="74"/>
      <c r="G82" s="73"/>
      <c r="H82" s="73"/>
      <c r="I82" s="73"/>
      <c r="J82" s="73"/>
      <c r="K82" s="73"/>
      <c r="L82" s="75">
        <f t="shared" si="6"/>
        <v>0</v>
      </c>
      <c r="M82" s="75">
        <f t="shared" si="7"/>
        <v>0</v>
      </c>
      <c r="N82" s="73"/>
      <c r="O82" s="73"/>
      <c r="P82" s="73"/>
      <c r="Q82" s="75">
        <f t="shared" si="8"/>
        <v>0</v>
      </c>
      <c r="R82" s="75">
        <f t="shared" si="9"/>
        <v>0</v>
      </c>
      <c r="S82" s="64"/>
      <c r="T82" s="64" t="str">
        <f t="shared" si="10"/>
        <v>Belum Melakukan Deteksi</v>
      </c>
    </row>
    <row r="83" spans="2:20" ht="18" x14ac:dyDescent="0.2">
      <c r="B83" s="73" t="s">
        <v>949</v>
      </c>
      <c r="C83" s="73"/>
      <c r="D83" s="73"/>
      <c r="E83" s="73"/>
      <c r="F83" s="74"/>
      <c r="G83" s="73"/>
      <c r="H83" s="73"/>
      <c r="I83" s="73"/>
      <c r="J83" s="73"/>
      <c r="K83" s="73"/>
      <c r="L83" s="75">
        <f t="shared" si="6"/>
        <v>0</v>
      </c>
      <c r="M83" s="75">
        <f t="shared" si="7"/>
        <v>0</v>
      </c>
      <c r="N83" s="73"/>
      <c r="O83" s="73"/>
      <c r="P83" s="73"/>
      <c r="Q83" s="75">
        <f t="shared" si="8"/>
        <v>0</v>
      </c>
      <c r="R83" s="75">
        <f t="shared" si="9"/>
        <v>0</v>
      </c>
      <c r="S83" s="64"/>
      <c r="T83" s="64" t="str">
        <f t="shared" si="10"/>
        <v>Belum Melakukan Deteksi</v>
      </c>
    </row>
    <row r="84" spans="2:20" ht="18" x14ac:dyDescent="0.2">
      <c r="B84" s="73" t="s">
        <v>949</v>
      </c>
      <c r="C84" s="73"/>
      <c r="D84" s="73"/>
      <c r="E84" s="73"/>
      <c r="F84" s="74"/>
      <c r="G84" s="73"/>
      <c r="H84" s="73"/>
      <c r="I84" s="73"/>
      <c r="J84" s="73"/>
      <c r="K84" s="73"/>
      <c r="L84" s="75">
        <f t="shared" si="6"/>
        <v>0</v>
      </c>
      <c r="M84" s="75">
        <f t="shared" si="7"/>
        <v>0</v>
      </c>
      <c r="N84" s="73"/>
      <c r="O84" s="73"/>
      <c r="P84" s="73"/>
      <c r="Q84" s="75">
        <f t="shared" si="8"/>
        <v>0</v>
      </c>
      <c r="R84" s="75">
        <f t="shared" si="9"/>
        <v>0</v>
      </c>
      <c r="S84" s="64"/>
      <c r="T84" s="64" t="str">
        <f t="shared" si="10"/>
        <v>Belum Melakukan Deteksi</v>
      </c>
    </row>
    <row r="85" spans="2:20" ht="18" x14ac:dyDescent="0.2">
      <c r="B85" s="73" t="s">
        <v>949</v>
      </c>
      <c r="C85" s="73"/>
      <c r="D85" s="73"/>
      <c r="E85" s="73"/>
      <c r="F85" s="74"/>
      <c r="G85" s="73"/>
      <c r="H85" s="73"/>
      <c r="I85" s="73"/>
      <c r="J85" s="73"/>
      <c r="K85" s="73"/>
      <c r="L85" s="75">
        <f t="shared" si="6"/>
        <v>0</v>
      </c>
      <c r="M85" s="75">
        <f t="shared" si="7"/>
        <v>0</v>
      </c>
      <c r="N85" s="73"/>
      <c r="O85" s="73"/>
      <c r="P85" s="73"/>
      <c r="Q85" s="75">
        <f t="shared" si="8"/>
        <v>0</v>
      </c>
      <c r="R85" s="75">
        <f t="shared" si="9"/>
        <v>0</v>
      </c>
      <c r="S85" s="64"/>
      <c r="T85" s="64" t="str">
        <f t="shared" si="10"/>
        <v>Belum Melakukan Deteksi</v>
      </c>
    </row>
    <row r="86" spans="2:20" ht="18" x14ac:dyDescent="0.2">
      <c r="B86" s="73" t="s">
        <v>949</v>
      </c>
      <c r="C86" s="73"/>
      <c r="D86" s="73"/>
      <c r="E86" s="73"/>
      <c r="F86" s="74"/>
      <c r="G86" s="73"/>
      <c r="H86" s="73"/>
      <c r="I86" s="73"/>
      <c r="J86" s="73"/>
      <c r="K86" s="73"/>
      <c r="L86" s="75">
        <f t="shared" si="6"/>
        <v>0</v>
      </c>
      <c r="M86" s="75">
        <f t="shared" si="7"/>
        <v>0</v>
      </c>
      <c r="N86" s="73"/>
      <c r="O86" s="73"/>
      <c r="P86" s="73"/>
      <c r="Q86" s="75">
        <f t="shared" si="8"/>
        <v>0</v>
      </c>
      <c r="R86" s="75">
        <f t="shared" si="9"/>
        <v>0</v>
      </c>
      <c r="S86" s="64"/>
      <c r="T86" s="64" t="str">
        <f t="shared" si="10"/>
        <v>Belum Melakukan Deteksi</v>
      </c>
    </row>
    <row r="87" spans="2:20" ht="18" x14ac:dyDescent="0.2">
      <c r="B87" s="73" t="s">
        <v>949</v>
      </c>
      <c r="C87" s="73"/>
      <c r="D87" s="73"/>
      <c r="E87" s="73"/>
      <c r="F87" s="74"/>
      <c r="G87" s="73"/>
      <c r="H87" s="73"/>
      <c r="I87" s="73"/>
      <c r="J87" s="73"/>
      <c r="K87" s="73"/>
      <c r="L87" s="75">
        <f t="shared" si="6"/>
        <v>0</v>
      </c>
      <c r="M87" s="75">
        <f t="shared" si="7"/>
        <v>0</v>
      </c>
      <c r="N87" s="73"/>
      <c r="O87" s="73"/>
      <c r="P87" s="73"/>
      <c r="Q87" s="75">
        <f t="shared" si="8"/>
        <v>0</v>
      </c>
      <c r="R87" s="75">
        <f t="shared" si="9"/>
        <v>0</v>
      </c>
      <c r="S87" s="64"/>
      <c r="T87" s="64" t="str">
        <f t="shared" si="10"/>
        <v>Belum Melakukan Deteksi</v>
      </c>
    </row>
    <row r="88" spans="2:20" ht="18" x14ac:dyDescent="0.2">
      <c r="B88" s="73" t="s">
        <v>949</v>
      </c>
      <c r="C88" s="73"/>
      <c r="D88" s="73"/>
      <c r="E88" s="73"/>
      <c r="F88" s="74"/>
      <c r="G88" s="73"/>
      <c r="H88" s="73"/>
      <c r="I88" s="73"/>
      <c r="J88" s="73"/>
      <c r="K88" s="73"/>
      <c r="L88" s="75">
        <f t="shared" si="6"/>
        <v>0</v>
      </c>
      <c r="M88" s="75">
        <f t="shared" si="7"/>
        <v>0</v>
      </c>
      <c r="N88" s="73"/>
      <c r="O88" s="73"/>
      <c r="P88" s="73"/>
      <c r="Q88" s="75">
        <f t="shared" si="8"/>
        <v>0</v>
      </c>
      <c r="R88" s="75">
        <f t="shared" si="9"/>
        <v>0</v>
      </c>
      <c r="S88" s="64"/>
      <c r="T88" s="64" t="str">
        <f t="shared" si="10"/>
        <v>Belum Melakukan Deteksi</v>
      </c>
    </row>
    <row r="89" spans="2:20" ht="18" x14ac:dyDescent="0.2">
      <c r="B89" s="73" t="s">
        <v>949</v>
      </c>
      <c r="C89" s="73"/>
      <c r="D89" s="73"/>
      <c r="E89" s="73"/>
      <c r="F89" s="74"/>
      <c r="G89" s="73"/>
      <c r="H89" s="73"/>
      <c r="I89" s="73"/>
      <c r="J89" s="73"/>
      <c r="K89" s="73"/>
      <c r="L89" s="75">
        <f t="shared" si="6"/>
        <v>0</v>
      </c>
      <c r="M89" s="75">
        <f t="shared" si="7"/>
        <v>0</v>
      </c>
      <c r="N89" s="73"/>
      <c r="O89" s="73"/>
      <c r="P89" s="73"/>
      <c r="Q89" s="75">
        <f t="shared" si="8"/>
        <v>0</v>
      </c>
      <c r="R89" s="75">
        <f t="shared" si="9"/>
        <v>0</v>
      </c>
      <c r="S89" s="64"/>
      <c r="T89" s="64" t="str">
        <f t="shared" si="10"/>
        <v>Belum Melakukan Deteksi</v>
      </c>
    </row>
    <row r="90" spans="2:20" ht="18" x14ac:dyDescent="0.2">
      <c r="B90" s="73" t="s">
        <v>949</v>
      </c>
      <c r="C90" s="73"/>
      <c r="D90" s="73"/>
      <c r="E90" s="73"/>
      <c r="F90" s="74"/>
      <c r="G90" s="73"/>
      <c r="H90" s="73"/>
      <c r="I90" s="73"/>
      <c r="J90" s="73"/>
      <c r="K90" s="73"/>
      <c r="L90" s="75">
        <f t="shared" si="6"/>
        <v>0</v>
      </c>
      <c r="M90" s="75">
        <f t="shared" si="7"/>
        <v>0</v>
      </c>
      <c r="N90" s="73"/>
      <c r="O90" s="73"/>
      <c r="P90" s="73"/>
      <c r="Q90" s="75">
        <f t="shared" si="8"/>
        <v>0</v>
      </c>
      <c r="R90" s="75">
        <f t="shared" si="9"/>
        <v>0</v>
      </c>
      <c r="S90" s="64"/>
      <c r="T90" s="64" t="str">
        <f t="shared" si="10"/>
        <v>Belum Melakukan Deteksi</v>
      </c>
    </row>
    <row r="91" spans="2:20" ht="18" x14ac:dyDescent="0.2">
      <c r="B91" s="73" t="s">
        <v>949</v>
      </c>
      <c r="C91" s="73"/>
      <c r="D91" s="73"/>
      <c r="E91" s="73"/>
      <c r="F91" s="74"/>
      <c r="G91" s="73"/>
      <c r="H91" s="73"/>
      <c r="I91" s="73"/>
      <c r="J91" s="73"/>
      <c r="K91" s="73"/>
      <c r="L91" s="75">
        <f t="shared" si="6"/>
        <v>0</v>
      </c>
      <c r="M91" s="75">
        <f t="shared" si="7"/>
        <v>0</v>
      </c>
      <c r="N91" s="73"/>
      <c r="O91" s="73"/>
      <c r="P91" s="73"/>
      <c r="Q91" s="75">
        <f t="shared" si="8"/>
        <v>0</v>
      </c>
      <c r="R91" s="75">
        <f t="shared" si="9"/>
        <v>0</v>
      </c>
      <c r="S91" s="64"/>
      <c r="T91" s="64" t="str">
        <f t="shared" si="10"/>
        <v>Belum Melakukan Deteksi</v>
      </c>
    </row>
    <row r="92" spans="2:20" ht="18" x14ac:dyDescent="0.2">
      <c r="B92" s="73" t="s">
        <v>949</v>
      </c>
      <c r="C92" s="73"/>
      <c r="D92" s="73"/>
      <c r="E92" s="73"/>
      <c r="F92" s="74"/>
      <c r="G92" s="73"/>
      <c r="H92" s="73"/>
      <c r="I92" s="73"/>
      <c r="J92" s="73"/>
      <c r="K92" s="73"/>
      <c r="L92" s="75">
        <f t="shared" si="6"/>
        <v>0</v>
      </c>
      <c r="M92" s="75">
        <f t="shared" si="7"/>
        <v>0</v>
      </c>
      <c r="N92" s="73"/>
      <c r="O92" s="73"/>
      <c r="P92" s="73"/>
      <c r="Q92" s="75">
        <f t="shared" si="8"/>
        <v>0</v>
      </c>
      <c r="R92" s="75">
        <f t="shared" si="9"/>
        <v>0</v>
      </c>
      <c r="S92" s="64"/>
      <c r="T92" s="64" t="str">
        <f t="shared" si="10"/>
        <v>Belum Melakukan Deteksi</v>
      </c>
    </row>
    <row r="93" spans="2:20" ht="18" x14ac:dyDescent="0.2">
      <c r="B93" s="73" t="s">
        <v>949</v>
      </c>
      <c r="C93" s="73"/>
      <c r="D93" s="73"/>
      <c r="E93" s="73"/>
      <c r="F93" s="74"/>
      <c r="G93" s="73"/>
      <c r="H93" s="73"/>
      <c r="I93" s="73"/>
      <c r="J93" s="73"/>
      <c r="K93" s="73"/>
      <c r="L93" s="75">
        <f t="shared" si="6"/>
        <v>0</v>
      </c>
      <c r="M93" s="75">
        <f t="shared" si="7"/>
        <v>0</v>
      </c>
      <c r="N93" s="73"/>
      <c r="O93" s="73"/>
      <c r="P93" s="73"/>
      <c r="Q93" s="75">
        <f t="shared" si="8"/>
        <v>0</v>
      </c>
      <c r="R93" s="75">
        <f t="shared" si="9"/>
        <v>0</v>
      </c>
      <c r="S93" s="64"/>
      <c r="T93" s="64" t="str">
        <f t="shared" si="10"/>
        <v>Belum Melakukan Deteksi</v>
      </c>
    </row>
    <row r="94" spans="2:20" ht="18" x14ac:dyDescent="0.2">
      <c r="B94" s="73" t="s">
        <v>949</v>
      </c>
      <c r="C94" s="73"/>
      <c r="D94" s="73"/>
      <c r="E94" s="73"/>
      <c r="F94" s="74"/>
      <c r="G94" s="73"/>
      <c r="H94" s="73"/>
      <c r="I94" s="73"/>
      <c r="J94" s="73"/>
      <c r="K94" s="73"/>
      <c r="L94" s="75">
        <f t="shared" si="6"/>
        <v>0</v>
      </c>
      <c r="M94" s="75">
        <f t="shared" si="7"/>
        <v>0</v>
      </c>
      <c r="N94" s="73"/>
      <c r="O94" s="73"/>
      <c r="P94" s="73"/>
      <c r="Q94" s="75">
        <f t="shared" si="8"/>
        <v>0</v>
      </c>
      <c r="R94" s="75">
        <f t="shared" si="9"/>
        <v>0</v>
      </c>
      <c r="S94" s="64"/>
      <c r="T94" s="64" t="str">
        <f t="shared" si="10"/>
        <v>Belum Melakukan Deteksi</v>
      </c>
    </row>
    <row r="95" spans="2:20" ht="18" x14ac:dyDescent="0.2">
      <c r="B95" s="73" t="s">
        <v>949</v>
      </c>
      <c r="C95" s="73"/>
      <c r="D95" s="73"/>
      <c r="E95" s="73"/>
      <c r="F95" s="74"/>
      <c r="G95" s="73"/>
      <c r="H95" s="73"/>
      <c r="I95" s="73"/>
      <c r="J95" s="73"/>
      <c r="K95" s="73"/>
      <c r="L95" s="75">
        <f t="shared" si="6"/>
        <v>0</v>
      </c>
      <c r="M95" s="75">
        <f t="shared" si="7"/>
        <v>0</v>
      </c>
      <c r="N95" s="73"/>
      <c r="O95" s="73"/>
      <c r="P95" s="73"/>
      <c r="Q95" s="75">
        <f t="shared" si="8"/>
        <v>0</v>
      </c>
      <c r="R95" s="75">
        <f t="shared" si="9"/>
        <v>0</v>
      </c>
      <c r="S95" s="64"/>
      <c r="T95" s="64" t="str">
        <f t="shared" si="10"/>
        <v>Belum Melakukan Deteksi</v>
      </c>
    </row>
    <row r="96" spans="2:20" ht="18" x14ac:dyDescent="0.2">
      <c r="B96" s="73" t="s">
        <v>949</v>
      </c>
      <c r="C96" s="73"/>
      <c r="D96" s="73"/>
      <c r="E96" s="73"/>
      <c r="F96" s="74"/>
      <c r="G96" s="73"/>
      <c r="H96" s="73"/>
      <c r="I96" s="73"/>
      <c r="J96" s="73"/>
      <c r="K96" s="73"/>
      <c r="L96" s="75">
        <f t="shared" si="6"/>
        <v>0</v>
      </c>
      <c r="M96" s="75">
        <f t="shared" si="7"/>
        <v>0</v>
      </c>
      <c r="N96" s="73"/>
      <c r="O96" s="73"/>
      <c r="P96" s="73"/>
      <c r="Q96" s="75">
        <f t="shared" si="8"/>
        <v>0</v>
      </c>
      <c r="R96" s="75">
        <f t="shared" si="9"/>
        <v>0</v>
      </c>
      <c r="S96" s="64"/>
      <c r="T96" s="64" t="str">
        <f t="shared" si="10"/>
        <v>Belum Melakukan Deteksi</v>
      </c>
    </row>
    <row r="97" spans="2:20" ht="18" x14ac:dyDescent="0.2">
      <c r="B97" s="73" t="s">
        <v>949</v>
      </c>
      <c r="C97" s="73"/>
      <c r="D97" s="73"/>
      <c r="E97" s="73"/>
      <c r="F97" s="74"/>
      <c r="G97" s="73"/>
      <c r="H97" s="73"/>
      <c r="I97" s="73"/>
      <c r="J97" s="73"/>
      <c r="K97" s="73"/>
      <c r="L97" s="75">
        <f t="shared" si="6"/>
        <v>0</v>
      </c>
      <c r="M97" s="75">
        <f t="shared" si="7"/>
        <v>0</v>
      </c>
      <c r="N97" s="73"/>
      <c r="O97" s="73"/>
      <c r="P97" s="73"/>
      <c r="Q97" s="75">
        <f t="shared" si="8"/>
        <v>0</v>
      </c>
      <c r="R97" s="75">
        <f t="shared" si="9"/>
        <v>0</v>
      </c>
      <c r="S97" s="64"/>
      <c r="T97" s="64" t="str">
        <f t="shared" si="10"/>
        <v>Belum Melakukan Deteksi</v>
      </c>
    </row>
    <row r="98" spans="2:20" ht="18" x14ac:dyDescent="0.2">
      <c r="B98" s="73" t="s">
        <v>949</v>
      </c>
      <c r="C98" s="73"/>
      <c r="D98" s="73"/>
      <c r="E98" s="73"/>
      <c r="F98" s="74"/>
      <c r="G98" s="73"/>
      <c r="H98" s="73"/>
      <c r="I98" s="73"/>
      <c r="J98" s="73"/>
      <c r="K98" s="73"/>
      <c r="L98" s="75">
        <f t="shared" si="6"/>
        <v>0</v>
      </c>
      <c r="M98" s="75">
        <f t="shared" si="7"/>
        <v>0</v>
      </c>
      <c r="N98" s="73"/>
      <c r="O98" s="73"/>
      <c r="P98" s="73"/>
      <c r="Q98" s="75">
        <f t="shared" si="8"/>
        <v>0</v>
      </c>
      <c r="R98" s="75">
        <f t="shared" si="9"/>
        <v>0</v>
      </c>
      <c r="S98" s="64"/>
      <c r="T98" s="64" t="str">
        <f t="shared" si="10"/>
        <v>Belum Melakukan Deteksi</v>
      </c>
    </row>
    <row r="99" spans="2:20" ht="18" x14ac:dyDescent="0.2">
      <c r="B99" s="73" t="s">
        <v>949</v>
      </c>
      <c r="C99" s="73"/>
      <c r="D99" s="73"/>
      <c r="E99" s="73"/>
      <c r="F99" s="74"/>
      <c r="G99" s="73"/>
      <c r="H99" s="73"/>
      <c r="I99" s="73"/>
      <c r="J99" s="73"/>
      <c r="K99" s="73"/>
      <c r="L99" s="75">
        <f t="shared" si="6"/>
        <v>0</v>
      </c>
      <c r="M99" s="75">
        <f t="shared" si="7"/>
        <v>0</v>
      </c>
      <c r="N99" s="73"/>
      <c r="O99" s="73"/>
      <c r="P99" s="73"/>
      <c r="Q99" s="75">
        <f t="shared" si="8"/>
        <v>0</v>
      </c>
      <c r="R99" s="75">
        <f t="shared" si="9"/>
        <v>0</v>
      </c>
      <c r="S99" s="64"/>
      <c r="T99" s="64" t="str">
        <f t="shared" si="10"/>
        <v>Belum Melakukan Deteksi</v>
      </c>
    </row>
    <row r="100" spans="2:20" ht="18" x14ac:dyDescent="0.2">
      <c r="B100" s="73" t="s">
        <v>949</v>
      </c>
      <c r="C100" s="73"/>
      <c r="D100" s="73"/>
      <c r="E100" s="73"/>
      <c r="F100" s="74"/>
      <c r="G100" s="73"/>
      <c r="H100" s="73"/>
      <c r="I100" s="73"/>
      <c r="J100" s="73"/>
      <c r="K100" s="73"/>
      <c r="L100" s="75">
        <f t="shared" si="6"/>
        <v>0</v>
      </c>
      <c r="M100" s="75">
        <f t="shared" si="7"/>
        <v>0</v>
      </c>
      <c r="N100" s="73"/>
      <c r="O100" s="73"/>
      <c r="P100" s="73"/>
      <c r="Q100" s="75">
        <f t="shared" si="8"/>
        <v>0</v>
      </c>
      <c r="R100" s="75">
        <f t="shared" si="9"/>
        <v>0</v>
      </c>
      <c r="S100" s="64"/>
      <c r="T100" s="64" t="str">
        <f t="shared" si="10"/>
        <v>Belum Melakukan Deteksi</v>
      </c>
    </row>
    <row r="101" spans="2:20" ht="18" x14ac:dyDescent="0.2">
      <c r="B101" s="73" t="s">
        <v>949</v>
      </c>
      <c r="C101" s="73"/>
      <c r="D101" s="73"/>
      <c r="E101" s="73"/>
      <c r="F101" s="74"/>
      <c r="G101" s="73"/>
      <c r="H101" s="73"/>
      <c r="I101" s="73"/>
      <c r="J101" s="73"/>
      <c r="K101" s="73"/>
      <c r="L101" s="75">
        <f t="shared" si="6"/>
        <v>0</v>
      </c>
      <c r="M101" s="75">
        <f t="shared" si="7"/>
        <v>0</v>
      </c>
      <c r="N101" s="73"/>
      <c r="O101" s="73"/>
      <c r="P101" s="73"/>
      <c r="Q101" s="75">
        <f t="shared" si="8"/>
        <v>0</v>
      </c>
      <c r="R101" s="75">
        <f t="shared" si="9"/>
        <v>0</v>
      </c>
      <c r="S101" s="64"/>
      <c r="T101" s="64" t="str">
        <f t="shared" si="10"/>
        <v>Belum Melakukan Deteksi</v>
      </c>
    </row>
    <row r="102" spans="2:20" ht="18" x14ac:dyDescent="0.2">
      <c r="B102" s="73" t="s">
        <v>949</v>
      </c>
      <c r="C102" s="73"/>
      <c r="D102" s="73"/>
      <c r="E102" s="73"/>
      <c r="F102" s="74"/>
      <c r="G102" s="73"/>
      <c r="H102" s="73"/>
      <c r="I102" s="73"/>
      <c r="J102" s="73"/>
      <c r="K102" s="73"/>
      <c r="L102" s="75">
        <f t="shared" si="6"/>
        <v>0</v>
      </c>
      <c r="M102" s="75">
        <f t="shared" si="7"/>
        <v>0</v>
      </c>
      <c r="N102" s="73"/>
      <c r="O102" s="73"/>
      <c r="P102" s="73"/>
      <c r="Q102" s="75">
        <f t="shared" si="8"/>
        <v>0</v>
      </c>
      <c r="R102" s="75">
        <f t="shared" si="9"/>
        <v>0</v>
      </c>
      <c r="S102" s="64"/>
      <c r="T102" s="64" t="str">
        <f t="shared" si="10"/>
        <v>Belum Melakukan Deteksi</v>
      </c>
    </row>
    <row r="103" spans="2:20" ht="18" x14ac:dyDescent="0.2">
      <c r="B103" s="73" t="s">
        <v>949</v>
      </c>
      <c r="C103" s="73"/>
      <c r="D103" s="73"/>
      <c r="E103" s="73"/>
      <c r="F103" s="74"/>
      <c r="G103" s="73"/>
      <c r="H103" s="73"/>
      <c r="I103" s="73"/>
      <c r="J103" s="73"/>
      <c r="K103" s="73"/>
      <c r="L103" s="75">
        <f t="shared" si="6"/>
        <v>0</v>
      </c>
      <c r="M103" s="75">
        <f t="shared" si="7"/>
        <v>0</v>
      </c>
      <c r="N103" s="73"/>
      <c r="O103" s="73"/>
      <c r="P103" s="73"/>
      <c r="Q103" s="75">
        <f t="shared" si="8"/>
        <v>0</v>
      </c>
      <c r="R103" s="75">
        <f t="shared" si="9"/>
        <v>0</v>
      </c>
      <c r="S103" s="64"/>
      <c r="T103" s="64" t="str">
        <f t="shared" si="10"/>
        <v>Belum Melakukan Deteksi</v>
      </c>
    </row>
    <row r="104" spans="2:20" ht="18" x14ac:dyDescent="0.2">
      <c r="B104" s="73" t="s">
        <v>949</v>
      </c>
      <c r="C104" s="73"/>
      <c r="D104" s="73"/>
      <c r="E104" s="73"/>
      <c r="F104" s="74"/>
      <c r="G104" s="73"/>
      <c r="H104" s="73"/>
      <c r="I104" s="73"/>
      <c r="J104" s="73"/>
      <c r="K104" s="73"/>
      <c r="L104" s="75">
        <f t="shared" si="6"/>
        <v>0</v>
      </c>
      <c r="M104" s="75">
        <f t="shared" si="7"/>
        <v>0</v>
      </c>
      <c r="N104" s="73"/>
      <c r="O104" s="73"/>
      <c r="P104" s="73"/>
      <c r="Q104" s="75">
        <f t="shared" si="8"/>
        <v>0</v>
      </c>
      <c r="R104" s="75">
        <f t="shared" si="9"/>
        <v>0</v>
      </c>
      <c r="S104" s="64"/>
      <c r="T104" s="64" t="str">
        <f t="shared" si="10"/>
        <v>Belum Melakukan Deteksi</v>
      </c>
    </row>
    <row r="105" spans="2:20" ht="18" x14ac:dyDescent="0.2">
      <c r="B105" s="73" t="s">
        <v>949</v>
      </c>
      <c r="C105" s="73"/>
      <c r="D105" s="73"/>
      <c r="E105" s="73"/>
      <c r="F105" s="74"/>
      <c r="G105" s="73"/>
      <c r="H105" s="73"/>
      <c r="I105" s="73"/>
      <c r="J105" s="73"/>
      <c r="K105" s="73"/>
      <c r="L105" s="75">
        <f t="shared" si="6"/>
        <v>0</v>
      </c>
      <c r="M105" s="75">
        <f t="shared" si="7"/>
        <v>0</v>
      </c>
      <c r="N105" s="73"/>
      <c r="O105" s="73"/>
      <c r="P105" s="73"/>
      <c r="Q105" s="75">
        <f t="shared" si="8"/>
        <v>0</v>
      </c>
      <c r="R105" s="75">
        <f t="shared" si="9"/>
        <v>0</v>
      </c>
      <c r="S105" s="64"/>
      <c r="T105" s="64" t="str">
        <f t="shared" si="10"/>
        <v>Belum Melakukan Deteksi</v>
      </c>
    </row>
    <row r="106" spans="2:20" ht="18" x14ac:dyDescent="0.2">
      <c r="B106" s="73" t="s">
        <v>949</v>
      </c>
      <c r="C106" s="73"/>
      <c r="D106" s="73"/>
      <c r="E106" s="73"/>
      <c r="F106" s="74"/>
      <c r="G106" s="73"/>
      <c r="H106" s="73"/>
      <c r="I106" s="73"/>
      <c r="J106" s="73"/>
      <c r="K106" s="73"/>
      <c r="L106" s="75">
        <f t="shared" si="6"/>
        <v>0</v>
      </c>
      <c r="M106" s="75">
        <f t="shared" si="7"/>
        <v>0</v>
      </c>
      <c r="N106" s="73"/>
      <c r="O106" s="73"/>
      <c r="P106" s="73"/>
      <c r="Q106" s="75">
        <f t="shared" si="8"/>
        <v>0</v>
      </c>
      <c r="R106" s="75">
        <f t="shared" si="9"/>
        <v>0</v>
      </c>
      <c r="S106" s="64"/>
      <c r="T106" s="64" t="str">
        <f t="shared" si="10"/>
        <v>Belum Melakukan Deteksi</v>
      </c>
    </row>
    <row r="107" spans="2:20" ht="18" x14ac:dyDescent="0.2">
      <c r="B107" s="73" t="s">
        <v>949</v>
      </c>
      <c r="C107" s="73"/>
      <c r="D107" s="73"/>
      <c r="E107" s="73"/>
      <c r="F107" s="74"/>
      <c r="G107" s="73"/>
      <c r="H107" s="73"/>
      <c r="I107" s="73"/>
      <c r="J107" s="73"/>
      <c r="K107" s="73"/>
      <c r="L107" s="75">
        <f t="shared" si="6"/>
        <v>0</v>
      </c>
      <c r="M107" s="75">
        <f t="shared" si="7"/>
        <v>0</v>
      </c>
      <c r="N107" s="73"/>
      <c r="O107" s="73"/>
      <c r="P107" s="73"/>
      <c r="Q107" s="75">
        <f t="shared" si="8"/>
        <v>0</v>
      </c>
      <c r="R107" s="75">
        <f t="shared" si="9"/>
        <v>0</v>
      </c>
      <c r="S107" s="64"/>
      <c r="T107" s="64" t="str">
        <f t="shared" si="10"/>
        <v>Belum Melakukan Deteksi</v>
      </c>
    </row>
    <row r="108" spans="2:20" ht="18" x14ac:dyDescent="0.2">
      <c r="B108" s="73" t="s">
        <v>949</v>
      </c>
      <c r="C108" s="73"/>
      <c r="D108" s="73"/>
      <c r="E108" s="73"/>
      <c r="F108" s="74"/>
      <c r="G108" s="73"/>
      <c r="H108" s="73"/>
      <c r="I108" s="73"/>
      <c r="J108" s="73"/>
      <c r="K108" s="73"/>
      <c r="L108" s="75">
        <f t="shared" si="6"/>
        <v>0</v>
      </c>
      <c r="M108" s="75">
        <f t="shared" si="7"/>
        <v>0</v>
      </c>
      <c r="N108" s="73"/>
      <c r="O108" s="73"/>
      <c r="P108" s="73"/>
      <c r="Q108" s="75">
        <f t="shared" si="8"/>
        <v>0</v>
      </c>
      <c r="R108" s="75">
        <f t="shared" si="9"/>
        <v>0</v>
      </c>
      <c r="S108" s="64"/>
      <c r="T108" s="64" t="str">
        <f t="shared" si="10"/>
        <v>Belum Melakukan Deteksi</v>
      </c>
    </row>
    <row r="109" spans="2:20" ht="18" x14ac:dyDescent="0.2">
      <c r="B109" s="73" t="s">
        <v>949</v>
      </c>
      <c r="C109" s="73"/>
      <c r="D109" s="73"/>
      <c r="E109" s="73"/>
      <c r="F109" s="74"/>
      <c r="G109" s="73"/>
      <c r="H109" s="73"/>
      <c r="I109" s="73"/>
      <c r="J109" s="73"/>
      <c r="K109" s="73"/>
      <c r="L109" s="75">
        <f t="shared" si="6"/>
        <v>0</v>
      </c>
      <c r="M109" s="75">
        <f t="shared" si="7"/>
        <v>0</v>
      </c>
      <c r="N109" s="73"/>
      <c r="O109" s="73"/>
      <c r="P109" s="73"/>
      <c r="Q109" s="75">
        <f t="shared" si="8"/>
        <v>0</v>
      </c>
      <c r="R109" s="75">
        <f t="shared" si="9"/>
        <v>0</v>
      </c>
      <c r="S109" s="64"/>
      <c r="T109" s="64" t="str">
        <f t="shared" si="10"/>
        <v>Belum Melakukan Deteksi</v>
      </c>
    </row>
    <row r="110" spans="2:20" ht="18" x14ac:dyDescent="0.2">
      <c r="B110" s="73" t="s">
        <v>949</v>
      </c>
      <c r="C110" s="73"/>
      <c r="D110" s="73"/>
      <c r="E110" s="73"/>
      <c r="F110" s="74"/>
      <c r="G110" s="73"/>
      <c r="H110" s="73"/>
      <c r="I110" s="73"/>
      <c r="J110" s="73"/>
      <c r="K110" s="73"/>
      <c r="L110" s="75">
        <f t="shared" si="6"/>
        <v>0</v>
      </c>
      <c r="M110" s="75">
        <f t="shared" si="7"/>
        <v>0</v>
      </c>
      <c r="N110" s="73"/>
      <c r="O110" s="73"/>
      <c r="P110" s="73"/>
      <c r="Q110" s="75">
        <f t="shared" si="8"/>
        <v>0</v>
      </c>
      <c r="R110" s="75">
        <f t="shared" si="9"/>
        <v>0</v>
      </c>
      <c r="S110" s="64"/>
      <c r="T110" s="64" t="str">
        <f t="shared" si="10"/>
        <v>Belum Melakukan Deteksi</v>
      </c>
    </row>
    <row r="111" spans="2:20" ht="18" x14ac:dyDescent="0.2">
      <c r="B111" s="73" t="s">
        <v>949</v>
      </c>
      <c r="C111" s="73"/>
      <c r="D111" s="73"/>
      <c r="E111" s="73"/>
      <c r="F111" s="74"/>
      <c r="G111" s="73"/>
      <c r="H111" s="73"/>
      <c r="I111" s="73"/>
      <c r="J111" s="73"/>
      <c r="K111" s="73"/>
      <c r="L111" s="75">
        <f t="shared" si="6"/>
        <v>0</v>
      </c>
      <c r="M111" s="75">
        <f t="shared" si="7"/>
        <v>0</v>
      </c>
      <c r="N111" s="73"/>
      <c r="O111" s="73"/>
      <c r="P111" s="73"/>
      <c r="Q111" s="75">
        <f t="shared" si="8"/>
        <v>0</v>
      </c>
      <c r="R111" s="75">
        <f t="shared" si="9"/>
        <v>0</v>
      </c>
      <c r="S111" s="64"/>
      <c r="T111" s="64" t="str">
        <f t="shared" si="10"/>
        <v>Belum Melakukan Deteksi</v>
      </c>
    </row>
    <row r="112" spans="2:20" ht="18" x14ac:dyDescent="0.2">
      <c r="B112" s="73" t="s">
        <v>949</v>
      </c>
      <c r="C112" s="73"/>
      <c r="D112" s="73"/>
      <c r="E112" s="73"/>
      <c r="F112" s="74"/>
      <c r="G112" s="73"/>
      <c r="H112" s="73"/>
      <c r="I112" s="73"/>
      <c r="J112" s="73"/>
      <c r="K112" s="73"/>
      <c r="L112" s="75">
        <f t="shared" si="6"/>
        <v>0</v>
      </c>
      <c r="M112" s="75">
        <f t="shared" si="7"/>
        <v>0</v>
      </c>
      <c r="N112" s="73"/>
      <c r="O112" s="73"/>
      <c r="P112" s="73"/>
      <c r="Q112" s="75">
        <f t="shared" si="8"/>
        <v>0</v>
      </c>
      <c r="R112" s="75">
        <f t="shared" si="9"/>
        <v>0</v>
      </c>
      <c r="S112" s="64"/>
      <c r="T112" s="64" t="str">
        <f t="shared" si="10"/>
        <v>Belum Melakukan Deteksi</v>
      </c>
    </row>
    <row r="113" spans="2:20" ht="18" x14ac:dyDescent="0.2">
      <c r="B113" s="73" t="s">
        <v>949</v>
      </c>
      <c r="C113" s="73"/>
      <c r="D113" s="73"/>
      <c r="E113" s="73"/>
      <c r="F113" s="74"/>
      <c r="G113" s="73"/>
      <c r="H113" s="73"/>
      <c r="I113" s="73"/>
      <c r="J113" s="73"/>
      <c r="K113" s="73"/>
      <c r="L113" s="75">
        <f t="shared" si="6"/>
        <v>0</v>
      </c>
      <c r="M113" s="75">
        <f t="shared" si="7"/>
        <v>0</v>
      </c>
      <c r="N113" s="73"/>
      <c r="O113" s="73"/>
      <c r="P113" s="73"/>
      <c r="Q113" s="75">
        <f t="shared" si="8"/>
        <v>0</v>
      </c>
      <c r="R113" s="75">
        <f t="shared" si="9"/>
        <v>0</v>
      </c>
      <c r="S113" s="64"/>
      <c r="T113" s="64" t="str">
        <f t="shared" si="10"/>
        <v>Belum Melakukan Deteksi</v>
      </c>
    </row>
    <row r="114" spans="2:20" ht="18" x14ac:dyDescent="0.2">
      <c r="B114" s="73" t="s">
        <v>949</v>
      </c>
      <c r="C114" s="73"/>
      <c r="D114" s="73"/>
      <c r="E114" s="73"/>
      <c r="F114" s="74"/>
      <c r="G114" s="73"/>
      <c r="H114" s="73"/>
      <c r="I114" s="73"/>
      <c r="J114" s="73"/>
      <c r="K114" s="73"/>
      <c r="L114" s="75">
        <f t="shared" si="6"/>
        <v>0</v>
      </c>
      <c r="M114" s="75">
        <f t="shared" si="7"/>
        <v>0</v>
      </c>
      <c r="N114" s="73"/>
      <c r="O114" s="73"/>
      <c r="P114" s="73"/>
      <c r="Q114" s="75">
        <f t="shared" si="8"/>
        <v>0</v>
      </c>
      <c r="R114" s="75">
        <f t="shared" si="9"/>
        <v>0</v>
      </c>
      <c r="S114" s="64"/>
      <c r="T114" s="64" t="str">
        <f t="shared" si="10"/>
        <v>Belum Melakukan Deteksi</v>
      </c>
    </row>
    <row r="115" spans="2:20" ht="18" x14ac:dyDescent="0.2">
      <c r="B115" s="73" t="s">
        <v>949</v>
      </c>
      <c r="C115" s="73"/>
      <c r="D115" s="73"/>
      <c r="E115" s="73"/>
      <c r="F115" s="74"/>
      <c r="G115" s="73"/>
      <c r="H115" s="73"/>
      <c r="I115" s="73"/>
      <c r="J115" s="73"/>
      <c r="K115" s="73"/>
      <c r="L115" s="75">
        <f t="shared" si="6"/>
        <v>0</v>
      </c>
      <c r="M115" s="75">
        <f t="shared" si="7"/>
        <v>0</v>
      </c>
      <c r="N115" s="73"/>
      <c r="O115" s="73"/>
      <c r="P115" s="73"/>
      <c r="Q115" s="75">
        <f t="shared" si="8"/>
        <v>0</v>
      </c>
      <c r="R115" s="75">
        <f t="shared" si="9"/>
        <v>0</v>
      </c>
      <c r="S115" s="64"/>
      <c r="T115" s="64" t="str">
        <f t="shared" si="10"/>
        <v>Belum Melakukan Deteksi</v>
      </c>
    </row>
    <row r="116" spans="2:20" ht="18" x14ac:dyDescent="0.2">
      <c r="B116" s="73" t="s">
        <v>949</v>
      </c>
      <c r="C116" s="73"/>
      <c r="D116" s="73"/>
      <c r="E116" s="73"/>
      <c r="F116" s="74"/>
      <c r="G116" s="73"/>
      <c r="H116" s="73"/>
      <c r="I116" s="73"/>
      <c r="J116" s="73"/>
      <c r="K116" s="73"/>
      <c r="L116" s="75">
        <f t="shared" si="6"/>
        <v>0</v>
      </c>
      <c r="M116" s="75">
        <f t="shared" si="7"/>
        <v>0</v>
      </c>
      <c r="N116" s="73"/>
      <c r="O116" s="73"/>
      <c r="P116" s="73"/>
      <c r="Q116" s="75">
        <f t="shared" si="8"/>
        <v>0</v>
      </c>
      <c r="R116" s="75">
        <f t="shared" si="9"/>
        <v>0</v>
      </c>
      <c r="S116" s="64"/>
      <c r="T116" s="64" t="str">
        <f t="shared" si="10"/>
        <v>Belum Melakukan Deteksi</v>
      </c>
    </row>
    <row r="117" spans="2:20" ht="18" x14ac:dyDescent="0.2">
      <c r="B117" s="73" t="s">
        <v>949</v>
      </c>
      <c r="C117" s="73"/>
      <c r="D117" s="73"/>
      <c r="E117" s="73"/>
      <c r="F117" s="74"/>
      <c r="G117" s="73"/>
      <c r="H117" s="73"/>
      <c r="I117" s="73"/>
      <c r="J117" s="73"/>
      <c r="K117" s="73"/>
      <c r="L117" s="75">
        <f t="shared" si="6"/>
        <v>0</v>
      </c>
      <c r="M117" s="75">
        <f t="shared" si="7"/>
        <v>0</v>
      </c>
      <c r="N117" s="73"/>
      <c r="O117" s="73"/>
      <c r="P117" s="73"/>
      <c r="Q117" s="75">
        <f t="shared" si="8"/>
        <v>0</v>
      </c>
      <c r="R117" s="75">
        <f t="shared" si="9"/>
        <v>0</v>
      </c>
      <c r="S117" s="64"/>
      <c r="T117" s="64" t="str">
        <f t="shared" si="10"/>
        <v>Belum Melakukan Deteksi</v>
      </c>
    </row>
    <row r="118" spans="2:20" ht="18" x14ac:dyDescent="0.2">
      <c r="B118" s="73" t="s">
        <v>949</v>
      </c>
      <c r="C118" s="73"/>
      <c r="D118" s="73"/>
      <c r="E118" s="73"/>
      <c r="F118" s="74"/>
      <c r="G118" s="73"/>
      <c r="H118" s="73"/>
      <c r="I118" s="73"/>
      <c r="J118" s="73"/>
      <c r="K118" s="73"/>
      <c r="L118" s="75">
        <f t="shared" si="6"/>
        <v>0</v>
      </c>
      <c r="M118" s="75">
        <f t="shared" si="7"/>
        <v>0</v>
      </c>
      <c r="N118" s="73"/>
      <c r="O118" s="73"/>
      <c r="P118" s="73"/>
      <c r="Q118" s="75">
        <f t="shared" si="8"/>
        <v>0</v>
      </c>
      <c r="R118" s="75">
        <f t="shared" si="9"/>
        <v>0</v>
      </c>
      <c r="S118" s="64"/>
      <c r="T118" s="64" t="str">
        <f t="shared" si="10"/>
        <v>Belum Melakukan Deteksi</v>
      </c>
    </row>
    <row r="119" spans="2:20" ht="18" x14ac:dyDescent="0.2">
      <c r="B119" s="73" t="s">
        <v>949</v>
      </c>
      <c r="C119" s="73"/>
      <c r="D119" s="73"/>
      <c r="E119" s="73"/>
      <c r="F119" s="74"/>
      <c r="G119" s="73"/>
      <c r="H119" s="73"/>
      <c r="I119" s="73"/>
      <c r="J119" s="73"/>
      <c r="K119" s="73"/>
      <c r="L119" s="75">
        <f t="shared" si="6"/>
        <v>0</v>
      </c>
      <c r="M119" s="75">
        <f t="shared" si="7"/>
        <v>0</v>
      </c>
      <c r="N119" s="73"/>
      <c r="O119" s="73"/>
      <c r="P119" s="73"/>
      <c r="Q119" s="75">
        <f t="shared" si="8"/>
        <v>0</v>
      </c>
      <c r="R119" s="75">
        <f t="shared" si="9"/>
        <v>0</v>
      </c>
      <c r="S119" s="64"/>
      <c r="T119" s="64" t="str">
        <f t="shared" si="10"/>
        <v>Belum Melakukan Deteksi</v>
      </c>
    </row>
    <row r="120" spans="2:20" ht="18" x14ac:dyDescent="0.2">
      <c r="B120" s="73" t="s">
        <v>949</v>
      </c>
      <c r="C120" s="73"/>
      <c r="D120" s="73"/>
      <c r="E120" s="73"/>
      <c r="F120" s="74"/>
      <c r="G120" s="73"/>
      <c r="H120" s="73"/>
      <c r="I120" s="73"/>
      <c r="J120" s="73"/>
      <c r="K120" s="73"/>
      <c r="L120" s="75">
        <f t="shared" si="6"/>
        <v>0</v>
      </c>
      <c r="M120" s="75">
        <f t="shared" si="7"/>
        <v>0</v>
      </c>
      <c r="N120" s="73"/>
      <c r="O120" s="73"/>
      <c r="P120" s="73"/>
      <c r="Q120" s="75">
        <f t="shared" si="8"/>
        <v>0</v>
      </c>
      <c r="R120" s="75">
        <f t="shared" si="9"/>
        <v>0</v>
      </c>
      <c r="S120" s="64"/>
      <c r="T120" s="64" t="str">
        <f t="shared" si="10"/>
        <v>Belum Melakukan Deteksi</v>
      </c>
    </row>
    <row r="121" spans="2:20" ht="18" x14ac:dyDescent="0.2">
      <c r="B121" s="73" t="s">
        <v>949</v>
      </c>
      <c r="C121" s="73"/>
      <c r="D121" s="73"/>
      <c r="E121" s="73"/>
      <c r="F121" s="74"/>
      <c r="G121" s="73"/>
      <c r="H121" s="73"/>
      <c r="I121" s="73"/>
      <c r="J121" s="73"/>
      <c r="K121" s="73"/>
      <c r="L121" s="75">
        <f t="shared" si="6"/>
        <v>0</v>
      </c>
      <c r="M121" s="75">
        <f t="shared" si="7"/>
        <v>0</v>
      </c>
      <c r="N121" s="73"/>
      <c r="O121" s="73"/>
      <c r="P121" s="73"/>
      <c r="Q121" s="75">
        <f t="shared" si="8"/>
        <v>0</v>
      </c>
      <c r="R121" s="75">
        <f t="shared" si="9"/>
        <v>0</v>
      </c>
      <c r="S121" s="64"/>
      <c r="T121" s="64" t="str">
        <f t="shared" si="10"/>
        <v>Belum Melakukan Deteksi</v>
      </c>
    </row>
    <row r="122" spans="2:20" ht="18" x14ac:dyDescent="0.2">
      <c r="B122" s="73" t="s">
        <v>949</v>
      </c>
      <c r="C122" s="73"/>
      <c r="D122" s="73"/>
      <c r="E122" s="73"/>
      <c r="F122" s="74"/>
      <c r="G122" s="73"/>
      <c r="H122" s="73"/>
      <c r="I122" s="73"/>
      <c r="J122" s="73"/>
      <c r="K122" s="73"/>
      <c r="L122" s="75">
        <f t="shared" si="6"/>
        <v>0</v>
      </c>
      <c r="M122" s="75">
        <f t="shared" si="7"/>
        <v>0</v>
      </c>
      <c r="N122" s="73"/>
      <c r="O122" s="73"/>
      <c r="P122" s="73"/>
      <c r="Q122" s="75">
        <f t="shared" si="8"/>
        <v>0</v>
      </c>
      <c r="R122" s="75">
        <f t="shared" si="9"/>
        <v>0</v>
      </c>
      <c r="S122" s="64"/>
      <c r="T122" s="64" t="str">
        <f t="shared" si="10"/>
        <v>Belum Melakukan Deteksi</v>
      </c>
    </row>
    <row r="123" spans="2:20" ht="18" x14ac:dyDescent="0.2">
      <c r="B123" s="73" t="s">
        <v>949</v>
      </c>
      <c r="C123" s="73"/>
      <c r="D123" s="73"/>
      <c r="E123" s="73"/>
      <c r="F123" s="74"/>
      <c r="G123" s="73"/>
      <c r="H123" s="73"/>
      <c r="I123" s="73"/>
      <c r="J123" s="73"/>
      <c r="K123" s="73"/>
      <c r="L123" s="75">
        <f t="shared" si="6"/>
        <v>0</v>
      </c>
      <c r="M123" s="75">
        <f t="shared" si="7"/>
        <v>0</v>
      </c>
      <c r="N123" s="73"/>
      <c r="O123" s="73"/>
      <c r="P123" s="73"/>
      <c r="Q123" s="75">
        <f t="shared" si="8"/>
        <v>0</v>
      </c>
      <c r="R123" s="75">
        <f t="shared" si="9"/>
        <v>0</v>
      </c>
      <c r="S123" s="64"/>
      <c r="T123" s="64" t="str">
        <f t="shared" si="10"/>
        <v>Belum Melakukan Deteksi</v>
      </c>
    </row>
    <row r="124" spans="2:20" ht="18" x14ac:dyDescent="0.2">
      <c r="B124" s="73" t="s">
        <v>949</v>
      </c>
      <c r="C124" s="73"/>
      <c r="D124" s="73"/>
      <c r="E124" s="73"/>
      <c r="F124" s="74"/>
      <c r="G124" s="73"/>
      <c r="H124" s="73"/>
      <c r="I124" s="73"/>
      <c r="J124" s="73"/>
      <c r="K124" s="73"/>
      <c r="L124" s="75">
        <f t="shared" si="6"/>
        <v>0</v>
      </c>
      <c r="M124" s="75">
        <f t="shared" si="7"/>
        <v>0</v>
      </c>
      <c r="N124" s="73"/>
      <c r="O124" s="73"/>
      <c r="P124" s="73"/>
      <c r="Q124" s="75">
        <f t="shared" si="8"/>
        <v>0</v>
      </c>
      <c r="R124" s="75">
        <f t="shared" si="9"/>
        <v>0</v>
      </c>
      <c r="S124" s="64"/>
      <c r="T124" s="64" t="str">
        <f t="shared" si="10"/>
        <v>Belum Melakukan Deteksi</v>
      </c>
    </row>
    <row r="125" spans="2:20" ht="18" x14ac:dyDescent="0.2">
      <c r="B125" s="73" t="s">
        <v>949</v>
      </c>
      <c r="C125" s="73"/>
      <c r="D125" s="73"/>
      <c r="E125" s="73"/>
      <c r="F125" s="74"/>
      <c r="G125" s="73"/>
      <c r="H125" s="73"/>
      <c r="I125" s="73"/>
      <c r="J125" s="73"/>
      <c r="K125" s="73"/>
      <c r="L125" s="75">
        <f t="shared" si="6"/>
        <v>0</v>
      </c>
      <c r="M125" s="75">
        <f t="shared" si="7"/>
        <v>0</v>
      </c>
      <c r="N125" s="73"/>
      <c r="O125" s="73"/>
      <c r="P125" s="73"/>
      <c r="Q125" s="75">
        <f t="shared" si="8"/>
        <v>0</v>
      </c>
      <c r="R125" s="75">
        <f t="shared" si="9"/>
        <v>0</v>
      </c>
      <c r="S125" s="64"/>
      <c r="T125" s="64" t="str">
        <f t="shared" si="10"/>
        <v>Belum Melakukan Deteksi</v>
      </c>
    </row>
    <row r="126" spans="2:20" ht="18" x14ac:dyDescent="0.2">
      <c r="B126" s="73" t="s">
        <v>949</v>
      </c>
      <c r="C126" s="73"/>
      <c r="D126" s="73"/>
      <c r="E126" s="73"/>
      <c r="F126" s="74"/>
      <c r="G126" s="73"/>
      <c r="H126" s="73"/>
      <c r="I126" s="73"/>
      <c r="J126" s="73"/>
      <c r="K126" s="73"/>
      <c r="L126" s="75">
        <f t="shared" si="6"/>
        <v>0</v>
      </c>
      <c r="M126" s="75">
        <f t="shared" si="7"/>
        <v>0</v>
      </c>
      <c r="N126" s="73"/>
      <c r="O126" s="73"/>
      <c r="P126" s="73"/>
      <c r="Q126" s="75">
        <f t="shared" si="8"/>
        <v>0</v>
      </c>
      <c r="R126" s="75">
        <f t="shared" si="9"/>
        <v>0</v>
      </c>
      <c r="S126" s="64"/>
      <c r="T126" s="64" t="str">
        <f t="shared" si="10"/>
        <v>Belum Melakukan Deteksi</v>
      </c>
    </row>
    <row r="127" spans="2:20" ht="18" x14ac:dyDescent="0.2">
      <c r="B127" s="73" t="s">
        <v>949</v>
      </c>
      <c r="C127" s="73"/>
      <c r="D127" s="73"/>
      <c r="E127" s="73"/>
      <c r="F127" s="74"/>
      <c r="G127" s="73"/>
      <c r="H127" s="73"/>
      <c r="I127" s="73"/>
      <c r="J127" s="73"/>
      <c r="K127" s="73"/>
      <c r="L127" s="75">
        <f t="shared" si="6"/>
        <v>0</v>
      </c>
      <c r="M127" s="75">
        <f t="shared" si="7"/>
        <v>0</v>
      </c>
      <c r="N127" s="73"/>
      <c r="O127" s="73"/>
      <c r="P127" s="73"/>
      <c r="Q127" s="75">
        <f t="shared" si="8"/>
        <v>0</v>
      </c>
      <c r="R127" s="75">
        <f t="shared" si="9"/>
        <v>0</v>
      </c>
      <c r="S127" s="64"/>
      <c r="T127" s="64" t="str">
        <f t="shared" si="10"/>
        <v>Belum Melakukan Deteksi</v>
      </c>
    </row>
    <row r="128" spans="2:20" ht="18" x14ac:dyDescent="0.2">
      <c r="B128" s="73" t="s">
        <v>949</v>
      </c>
      <c r="C128" s="73"/>
      <c r="D128" s="73"/>
      <c r="E128" s="73"/>
      <c r="F128" s="74"/>
      <c r="G128" s="73"/>
      <c r="H128" s="73"/>
      <c r="I128" s="73"/>
      <c r="J128" s="73"/>
      <c r="K128" s="73"/>
      <c r="L128" s="75">
        <f t="shared" si="6"/>
        <v>0</v>
      </c>
      <c r="M128" s="75">
        <f t="shared" si="7"/>
        <v>0</v>
      </c>
      <c r="N128" s="73"/>
      <c r="O128" s="73"/>
      <c r="P128" s="73"/>
      <c r="Q128" s="75">
        <f t="shared" si="8"/>
        <v>0</v>
      </c>
      <c r="R128" s="75">
        <f t="shared" si="9"/>
        <v>0</v>
      </c>
      <c r="S128" s="64"/>
      <c r="T128" s="64" t="str">
        <f t="shared" si="10"/>
        <v>Belum Melakukan Deteksi</v>
      </c>
    </row>
    <row r="129" spans="2:20" ht="18" x14ac:dyDescent="0.2">
      <c r="B129" s="73" t="s">
        <v>949</v>
      </c>
      <c r="C129" s="73"/>
      <c r="D129" s="73"/>
      <c r="E129" s="73"/>
      <c r="F129" s="74"/>
      <c r="G129" s="73"/>
      <c r="H129" s="73"/>
      <c r="I129" s="73"/>
      <c r="J129" s="73"/>
      <c r="K129" s="73"/>
      <c r="L129" s="75">
        <f t="shared" si="6"/>
        <v>0</v>
      </c>
      <c r="M129" s="75">
        <f t="shared" si="7"/>
        <v>0</v>
      </c>
      <c r="N129" s="73"/>
      <c r="O129" s="73"/>
      <c r="P129" s="73"/>
      <c r="Q129" s="75">
        <f t="shared" si="8"/>
        <v>0</v>
      </c>
      <c r="R129" s="75">
        <f t="shared" si="9"/>
        <v>0</v>
      </c>
      <c r="S129" s="64"/>
      <c r="T129" s="64" t="str">
        <f t="shared" si="10"/>
        <v>Belum Melakukan Deteksi</v>
      </c>
    </row>
    <row r="130" spans="2:20" ht="18" x14ac:dyDescent="0.2">
      <c r="B130" s="73" t="s">
        <v>949</v>
      </c>
      <c r="C130" s="73"/>
      <c r="D130" s="73"/>
      <c r="E130" s="73"/>
      <c r="F130" s="74"/>
      <c r="G130" s="73"/>
      <c r="H130" s="73"/>
      <c r="I130" s="73"/>
      <c r="J130" s="73"/>
      <c r="K130" s="73"/>
      <c r="L130" s="75">
        <f t="shared" si="6"/>
        <v>0</v>
      </c>
      <c r="M130" s="75">
        <f t="shared" si="7"/>
        <v>0</v>
      </c>
      <c r="N130" s="73"/>
      <c r="O130" s="73"/>
      <c r="P130" s="73"/>
      <c r="Q130" s="75">
        <f t="shared" si="8"/>
        <v>0</v>
      </c>
      <c r="R130" s="75">
        <f t="shared" si="9"/>
        <v>0</v>
      </c>
      <c r="S130" s="64"/>
      <c r="T130" s="64" t="str">
        <f t="shared" si="10"/>
        <v>Belum Melakukan Deteksi</v>
      </c>
    </row>
    <row r="131" spans="2:20" ht="18" x14ac:dyDescent="0.2">
      <c r="B131" s="73" t="s">
        <v>949</v>
      </c>
      <c r="C131" s="73"/>
      <c r="D131" s="73"/>
      <c r="E131" s="73"/>
      <c r="F131" s="74"/>
      <c r="G131" s="73"/>
      <c r="H131" s="73"/>
      <c r="I131" s="73"/>
      <c r="J131" s="73"/>
      <c r="K131" s="73"/>
      <c r="L131" s="75">
        <f t="shared" si="6"/>
        <v>0</v>
      </c>
      <c r="M131" s="75">
        <f t="shared" si="7"/>
        <v>0</v>
      </c>
      <c r="N131" s="73"/>
      <c r="O131" s="73"/>
      <c r="P131" s="73"/>
      <c r="Q131" s="75">
        <f t="shared" si="8"/>
        <v>0</v>
      </c>
      <c r="R131" s="75">
        <f t="shared" si="9"/>
        <v>0</v>
      </c>
      <c r="S131" s="64"/>
      <c r="T131" s="64" t="str">
        <f t="shared" si="10"/>
        <v>Belum Melakukan Deteksi</v>
      </c>
    </row>
    <row r="132" spans="2:20" ht="18" x14ac:dyDescent="0.2">
      <c r="B132" s="73" t="s">
        <v>949</v>
      </c>
      <c r="C132" s="73"/>
      <c r="D132" s="73"/>
      <c r="E132" s="73"/>
      <c r="F132" s="74"/>
      <c r="G132" s="73"/>
      <c r="H132" s="73"/>
      <c r="I132" s="73"/>
      <c r="J132" s="73"/>
      <c r="K132" s="73"/>
      <c r="L132" s="75">
        <f t="shared" si="6"/>
        <v>0</v>
      </c>
      <c r="M132" s="75">
        <f t="shared" si="7"/>
        <v>0</v>
      </c>
      <c r="N132" s="73"/>
      <c r="O132" s="73"/>
      <c r="P132" s="73"/>
      <c r="Q132" s="75">
        <f t="shared" si="8"/>
        <v>0</v>
      </c>
      <c r="R132" s="75">
        <f t="shared" si="9"/>
        <v>0</v>
      </c>
      <c r="S132" s="64"/>
      <c r="T132" s="64" t="str">
        <f t="shared" si="10"/>
        <v>Belum Melakukan Deteksi</v>
      </c>
    </row>
    <row r="133" spans="2:20" ht="18" x14ac:dyDescent="0.2">
      <c r="B133" s="73" t="s">
        <v>949</v>
      </c>
      <c r="C133" s="73"/>
      <c r="D133" s="73"/>
      <c r="E133" s="73"/>
      <c r="F133" s="74"/>
      <c r="G133" s="73"/>
      <c r="H133" s="73"/>
      <c r="I133" s="73"/>
      <c r="J133" s="73"/>
      <c r="K133" s="73"/>
      <c r="L133" s="75">
        <f t="shared" si="6"/>
        <v>0</v>
      </c>
      <c r="M133" s="75">
        <f t="shared" si="7"/>
        <v>0</v>
      </c>
      <c r="N133" s="73"/>
      <c r="O133" s="73"/>
      <c r="P133" s="73"/>
      <c r="Q133" s="75">
        <f t="shared" si="8"/>
        <v>0</v>
      </c>
      <c r="R133" s="75">
        <f t="shared" si="9"/>
        <v>0</v>
      </c>
      <c r="S133" s="64"/>
      <c r="T133" s="64" t="str">
        <f t="shared" si="10"/>
        <v>Belum Melakukan Deteksi</v>
      </c>
    </row>
    <row r="134" spans="2:20" ht="18" x14ac:dyDescent="0.2">
      <c r="B134" s="73" t="s">
        <v>949</v>
      </c>
      <c r="C134" s="73"/>
      <c r="D134" s="73"/>
      <c r="E134" s="73"/>
      <c r="F134" s="74"/>
      <c r="G134" s="73"/>
      <c r="H134" s="73"/>
      <c r="I134" s="73"/>
      <c r="J134" s="73"/>
      <c r="K134" s="73"/>
      <c r="L134" s="75">
        <f t="shared" si="6"/>
        <v>0</v>
      </c>
      <c r="M134" s="75">
        <f t="shared" si="7"/>
        <v>0</v>
      </c>
      <c r="N134" s="73"/>
      <c r="O134" s="73"/>
      <c r="P134" s="73"/>
      <c r="Q134" s="75">
        <f t="shared" si="8"/>
        <v>0</v>
      </c>
      <c r="R134" s="75">
        <f t="shared" si="9"/>
        <v>0</v>
      </c>
      <c r="S134" s="64"/>
      <c r="T134" s="64" t="str">
        <f t="shared" si="10"/>
        <v>Belum Melakukan Deteksi</v>
      </c>
    </row>
    <row r="135" spans="2:20" ht="18" x14ac:dyDescent="0.2">
      <c r="B135" s="73" t="s">
        <v>949</v>
      </c>
      <c r="C135" s="73"/>
      <c r="D135" s="73"/>
      <c r="E135" s="73"/>
      <c r="F135" s="74"/>
      <c r="G135" s="73"/>
      <c r="H135" s="73"/>
      <c r="I135" s="73"/>
      <c r="J135" s="73"/>
      <c r="K135" s="73"/>
      <c r="L135" s="75">
        <f t="shared" ref="L135:L187" si="11">IFERROR(J135/I135%,0)</f>
        <v>0</v>
      </c>
      <c r="M135" s="75">
        <f t="shared" ref="M135:M187" si="12">IFERROR(K135/I135%,0)</f>
        <v>0</v>
      </c>
      <c r="N135" s="73"/>
      <c r="O135" s="73"/>
      <c r="P135" s="73"/>
      <c r="Q135" s="75">
        <f t="shared" ref="Q135:Q187" si="13">IFERROR(O135/N135%,0)</f>
        <v>0</v>
      </c>
      <c r="R135" s="75">
        <f t="shared" ref="R135:R187" si="14">IFERROR(P135/N135%,0)</f>
        <v>0</v>
      </c>
      <c r="S135" s="64"/>
      <c r="T135" s="64" t="str">
        <f t="shared" si="10"/>
        <v>Belum Melakukan Deteksi</v>
      </c>
    </row>
    <row r="136" spans="2:20" ht="18" x14ac:dyDescent="0.2">
      <c r="B136" s="73" t="s">
        <v>949</v>
      </c>
      <c r="C136" s="73"/>
      <c r="D136" s="73"/>
      <c r="E136" s="73"/>
      <c r="F136" s="74"/>
      <c r="G136" s="73"/>
      <c r="H136" s="73"/>
      <c r="I136" s="73"/>
      <c r="J136" s="73"/>
      <c r="K136" s="73"/>
      <c r="L136" s="75">
        <f t="shared" si="11"/>
        <v>0</v>
      </c>
      <c r="M136" s="75">
        <f t="shared" si="12"/>
        <v>0</v>
      </c>
      <c r="N136" s="73"/>
      <c r="O136" s="73"/>
      <c r="P136" s="73"/>
      <c r="Q136" s="75">
        <f t="shared" si="13"/>
        <v>0</v>
      </c>
      <c r="R136" s="75">
        <f t="shared" si="14"/>
        <v>0</v>
      </c>
      <c r="S136" s="64"/>
      <c r="T136" s="64" t="str">
        <f t="shared" si="10"/>
        <v>Belum Melakukan Deteksi</v>
      </c>
    </row>
    <row r="137" spans="2:20" ht="18" x14ac:dyDescent="0.2">
      <c r="B137" s="73" t="s">
        <v>949</v>
      </c>
      <c r="C137" s="73"/>
      <c r="D137" s="73"/>
      <c r="E137" s="73"/>
      <c r="F137" s="74"/>
      <c r="G137" s="73"/>
      <c r="H137" s="73"/>
      <c r="I137" s="73"/>
      <c r="J137" s="73"/>
      <c r="K137" s="73"/>
      <c r="L137" s="75">
        <f t="shared" si="11"/>
        <v>0</v>
      </c>
      <c r="M137" s="75">
        <f t="shared" si="12"/>
        <v>0</v>
      </c>
      <c r="N137" s="73"/>
      <c r="O137" s="73"/>
      <c r="P137" s="73"/>
      <c r="Q137" s="75">
        <f t="shared" si="13"/>
        <v>0</v>
      </c>
      <c r="R137" s="75">
        <f t="shared" si="14"/>
        <v>0</v>
      </c>
      <c r="S137" s="64"/>
      <c r="T137" s="64" t="str">
        <f t="shared" si="10"/>
        <v>Belum Melakukan Deteksi</v>
      </c>
    </row>
    <row r="138" spans="2:20" ht="18" x14ac:dyDescent="0.2">
      <c r="B138" s="73" t="s">
        <v>949</v>
      </c>
      <c r="C138" s="73"/>
      <c r="D138" s="73"/>
      <c r="E138" s="73"/>
      <c r="F138" s="74"/>
      <c r="G138" s="73"/>
      <c r="H138" s="73"/>
      <c r="I138" s="73"/>
      <c r="J138" s="73"/>
      <c r="K138" s="73"/>
      <c r="L138" s="75">
        <f t="shared" si="11"/>
        <v>0</v>
      </c>
      <c r="M138" s="75">
        <f t="shared" si="12"/>
        <v>0</v>
      </c>
      <c r="N138" s="73"/>
      <c r="O138" s="73"/>
      <c r="P138" s="73"/>
      <c r="Q138" s="75">
        <f t="shared" si="13"/>
        <v>0</v>
      </c>
      <c r="R138" s="75">
        <f t="shared" si="14"/>
        <v>0</v>
      </c>
      <c r="S138" s="64"/>
      <c r="T138" s="64" t="str">
        <f t="shared" si="10"/>
        <v>Belum Melakukan Deteksi</v>
      </c>
    </row>
    <row r="139" spans="2:20" ht="18" x14ac:dyDescent="0.2">
      <c r="B139" s="73" t="s">
        <v>949</v>
      </c>
      <c r="C139" s="73"/>
      <c r="D139" s="73"/>
      <c r="E139" s="73"/>
      <c r="F139" s="74"/>
      <c r="G139" s="73"/>
      <c r="H139" s="73"/>
      <c r="I139" s="73"/>
      <c r="J139" s="73"/>
      <c r="K139" s="73"/>
      <c r="L139" s="75">
        <f t="shared" si="11"/>
        <v>0</v>
      </c>
      <c r="M139" s="75">
        <f t="shared" si="12"/>
        <v>0</v>
      </c>
      <c r="N139" s="73"/>
      <c r="O139" s="73"/>
      <c r="P139" s="73"/>
      <c r="Q139" s="75">
        <f t="shared" si="13"/>
        <v>0</v>
      </c>
      <c r="R139" s="75">
        <f t="shared" si="14"/>
        <v>0</v>
      </c>
      <c r="S139" s="64"/>
      <c r="T139" s="64" t="str">
        <f t="shared" ref="T139:T187" si="15">IF(S139=0,"Belum Melakukan Deteksi",IF(S139="TIDAK ADA","Lanjutkan Kegiatan Deteksi Setiap Minggu","Segera Lakukan Kegiatan Sensus"))</f>
        <v>Belum Melakukan Deteksi</v>
      </c>
    </row>
    <row r="140" spans="2:20" ht="18" x14ac:dyDescent="0.2">
      <c r="B140" s="73" t="s">
        <v>949</v>
      </c>
      <c r="C140" s="73"/>
      <c r="D140" s="73"/>
      <c r="E140" s="73"/>
      <c r="F140" s="74"/>
      <c r="G140" s="73"/>
      <c r="H140" s="73"/>
      <c r="I140" s="73"/>
      <c r="J140" s="73"/>
      <c r="K140" s="73"/>
      <c r="L140" s="75">
        <f t="shared" si="11"/>
        <v>0</v>
      </c>
      <c r="M140" s="75">
        <f t="shared" si="12"/>
        <v>0</v>
      </c>
      <c r="N140" s="73"/>
      <c r="O140" s="73"/>
      <c r="P140" s="73"/>
      <c r="Q140" s="75">
        <f t="shared" si="13"/>
        <v>0</v>
      </c>
      <c r="R140" s="75">
        <f t="shared" si="14"/>
        <v>0</v>
      </c>
      <c r="S140" s="64"/>
      <c r="T140" s="64" t="str">
        <f t="shared" si="15"/>
        <v>Belum Melakukan Deteksi</v>
      </c>
    </row>
    <row r="141" spans="2:20" ht="18" x14ac:dyDescent="0.2">
      <c r="B141" s="73" t="s">
        <v>949</v>
      </c>
      <c r="C141" s="73"/>
      <c r="D141" s="73"/>
      <c r="E141" s="73"/>
      <c r="F141" s="74"/>
      <c r="G141" s="73"/>
      <c r="H141" s="73"/>
      <c r="I141" s="73"/>
      <c r="J141" s="73"/>
      <c r="K141" s="73"/>
      <c r="L141" s="75">
        <f t="shared" si="11"/>
        <v>0</v>
      </c>
      <c r="M141" s="75">
        <f t="shared" si="12"/>
        <v>0</v>
      </c>
      <c r="N141" s="73"/>
      <c r="O141" s="73"/>
      <c r="P141" s="73"/>
      <c r="Q141" s="75">
        <f t="shared" si="13"/>
        <v>0</v>
      </c>
      <c r="R141" s="75">
        <f t="shared" si="14"/>
        <v>0</v>
      </c>
      <c r="S141" s="64"/>
      <c r="T141" s="64" t="str">
        <f t="shared" si="15"/>
        <v>Belum Melakukan Deteksi</v>
      </c>
    </row>
    <row r="142" spans="2:20" ht="18" x14ac:dyDescent="0.2">
      <c r="B142" s="73" t="s">
        <v>949</v>
      </c>
      <c r="C142" s="73"/>
      <c r="D142" s="73"/>
      <c r="E142" s="73"/>
      <c r="F142" s="74"/>
      <c r="G142" s="73"/>
      <c r="H142" s="73"/>
      <c r="I142" s="73"/>
      <c r="J142" s="73"/>
      <c r="K142" s="73"/>
      <c r="L142" s="75">
        <f t="shared" si="11"/>
        <v>0</v>
      </c>
      <c r="M142" s="75">
        <f t="shared" si="12"/>
        <v>0</v>
      </c>
      <c r="N142" s="73"/>
      <c r="O142" s="73"/>
      <c r="P142" s="73"/>
      <c r="Q142" s="75">
        <f t="shared" si="13"/>
        <v>0</v>
      </c>
      <c r="R142" s="75">
        <f t="shared" si="14"/>
        <v>0</v>
      </c>
      <c r="S142" s="64"/>
      <c r="T142" s="64" t="str">
        <f t="shared" si="15"/>
        <v>Belum Melakukan Deteksi</v>
      </c>
    </row>
    <row r="143" spans="2:20" ht="18" x14ac:dyDescent="0.2">
      <c r="B143" s="73" t="s">
        <v>949</v>
      </c>
      <c r="C143" s="73"/>
      <c r="D143" s="73"/>
      <c r="E143" s="73"/>
      <c r="F143" s="74"/>
      <c r="G143" s="73"/>
      <c r="H143" s="73"/>
      <c r="I143" s="73"/>
      <c r="J143" s="73"/>
      <c r="K143" s="73"/>
      <c r="L143" s="75">
        <f t="shared" si="11"/>
        <v>0</v>
      </c>
      <c r="M143" s="75">
        <f t="shared" si="12"/>
        <v>0</v>
      </c>
      <c r="N143" s="73"/>
      <c r="O143" s="73"/>
      <c r="P143" s="73"/>
      <c r="Q143" s="75">
        <f t="shared" si="13"/>
        <v>0</v>
      </c>
      <c r="R143" s="75">
        <f t="shared" si="14"/>
        <v>0</v>
      </c>
      <c r="S143" s="64"/>
      <c r="T143" s="64" t="str">
        <f t="shared" si="15"/>
        <v>Belum Melakukan Deteksi</v>
      </c>
    </row>
    <row r="144" spans="2:20" ht="18" x14ac:dyDescent="0.2">
      <c r="B144" s="73" t="s">
        <v>949</v>
      </c>
      <c r="C144" s="73"/>
      <c r="D144" s="73"/>
      <c r="E144" s="73"/>
      <c r="F144" s="74"/>
      <c r="G144" s="73"/>
      <c r="H144" s="73"/>
      <c r="I144" s="73"/>
      <c r="J144" s="73"/>
      <c r="K144" s="73"/>
      <c r="L144" s="75">
        <f t="shared" si="11"/>
        <v>0</v>
      </c>
      <c r="M144" s="75">
        <f t="shared" si="12"/>
        <v>0</v>
      </c>
      <c r="N144" s="73"/>
      <c r="O144" s="73"/>
      <c r="P144" s="73"/>
      <c r="Q144" s="75">
        <f t="shared" si="13"/>
        <v>0</v>
      </c>
      <c r="R144" s="75">
        <f t="shared" si="14"/>
        <v>0</v>
      </c>
      <c r="S144" s="64"/>
      <c r="T144" s="64" t="str">
        <f t="shared" si="15"/>
        <v>Belum Melakukan Deteksi</v>
      </c>
    </row>
    <row r="145" spans="2:20" ht="18" x14ac:dyDescent="0.2">
      <c r="B145" s="73" t="s">
        <v>949</v>
      </c>
      <c r="C145" s="73"/>
      <c r="D145" s="73"/>
      <c r="E145" s="73"/>
      <c r="F145" s="74"/>
      <c r="G145" s="73"/>
      <c r="H145" s="73"/>
      <c r="I145" s="73"/>
      <c r="J145" s="73"/>
      <c r="K145" s="73"/>
      <c r="L145" s="75">
        <f t="shared" si="11"/>
        <v>0</v>
      </c>
      <c r="M145" s="75">
        <f t="shared" si="12"/>
        <v>0</v>
      </c>
      <c r="N145" s="73"/>
      <c r="O145" s="73"/>
      <c r="P145" s="73"/>
      <c r="Q145" s="75">
        <f t="shared" si="13"/>
        <v>0</v>
      </c>
      <c r="R145" s="75">
        <f t="shared" si="14"/>
        <v>0</v>
      </c>
      <c r="S145" s="64"/>
      <c r="T145" s="64" t="str">
        <f t="shared" si="15"/>
        <v>Belum Melakukan Deteksi</v>
      </c>
    </row>
    <row r="146" spans="2:20" ht="18" x14ac:dyDescent="0.2">
      <c r="B146" s="73" t="s">
        <v>949</v>
      </c>
      <c r="C146" s="73"/>
      <c r="D146" s="73"/>
      <c r="E146" s="73"/>
      <c r="F146" s="74"/>
      <c r="G146" s="73"/>
      <c r="H146" s="73"/>
      <c r="I146" s="73"/>
      <c r="J146" s="73"/>
      <c r="K146" s="73"/>
      <c r="L146" s="75">
        <f t="shared" si="11"/>
        <v>0</v>
      </c>
      <c r="M146" s="75">
        <f t="shared" si="12"/>
        <v>0</v>
      </c>
      <c r="N146" s="73"/>
      <c r="O146" s="73"/>
      <c r="P146" s="73"/>
      <c r="Q146" s="75">
        <f t="shared" si="13"/>
        <v>0</v>
      </c>
      <c r="R146" s="75">
        <f t="shared" si="14"/>
        <v>0</v>
      </c>
      <c r="S146" s="64"/>
      <c r="T146" s="64" t="str">
        <f t="shared" si="15"/>
        <v>Belum Melakukan Deteksi</v>
      </c>
    </row>
    <row r="147" spans="2:20" ht="18" x14ac:dyDescent="0.2">
      <c r="B147" s="73" t="s">
        <v>949</v>
      </c>
      <c r="C147" s="73"/>
      <c r="D147" s="73"/>
      <c r="E147" s="73"/>
      <c r="F147" s="74"/>
      <c r="G147" s="73"/>
      <c r="H147" s="73"/>
      <c r="I147" s="73"/>
      <c r="J147" s="73"/>
      <c r="K147" s="73"/>
      <c r="L147" s="75">
        <f t="shared" si="11"/>
        <v>0</v>
      </c>
      <c r="M147" s="75">
        <f t="shared" si="12"/>
        <v>0</v>
      </c>
      <c r="N147" s="73"/>
      <c r="O147" s="73"/>
      <c r="P147" s="73"/>
      <c r="Q147" s="75">
        <f t="shared" si="13"/>
        <v>0</v>
      </c>
      <c r="R147" s="75">
        <f t="shared" si="14"/>
        <v>0</v>
      </c>
      <c r="S147" s="64"/>
      <c r="T147" s="64" t="str">
        <f t="shared" si="15"/>
        <v>Belum Melakukan Deteksi</v>
      </c>
    </row>
    <row r="148" spans="2:20" ht="18" x14ac:dyDescent="0.2">
      <c r="B148" s="73" t="s">
        <v>949</v>
      </c>
      <c r="C148" s="73"/>
      <c r="D148" s="73"/>
      <c r="E148" s="73"/>
      <c r="F148" s="74"/>
      <c r="G148" s="73"/>
      <c r="H148" s="73"/>
      <c r="I148" s="73"/>
      <c r="J148" s="73"/>
      <c r="K148" s="73"/>
      <c r="L148" s="75">
        <f t="shared" si="11"/>
        <v>0</v>
      </c>
      <c r="M148" s="75">
        <f t="shared" si="12"/>
        <v>0</v>
      </c>
      <c r="N148" s="73"/>
      <c r="O148" s="73"/>
      <c r="P148" s="73"/>
      <c r="Q148" s="75">
        <f t="shared" si="13"/>
        <v>0</v>
      </c>
      <c r="R148" s="75">
        <f t="shared" si="14"/>
        <v>0</v>
      </c>
      <c r="S148" s="64"/>
      <c r="T148" s="64" t="str">
        <f t="shared" si="15"/>
        <v>Belum Melakukan Deteksi</v>
      </c>
    </row>
    <row r="149" spans="2:20" ht="18" x14ac:dyDescent="0.2">
      <c r="B149" s="73" t="s">
        <v>949</v>
      </c>
      <c r="C149" s="73"/>
      <c r="D149" s="73"/>
      <c r="E149" s="73"/>
      <c r="F149" s="74"/>
      <c r="G149" s="73"/>
      <c r="H149" s="73"/>
      <c r="I149" s="73"/>
      <c r="J149" s="73"/>
      <c r="K149" s="73"/>
      <c r="L149" s="75">
        <f t="shared" si="11"/>
        <v>0</v>
      </c>
      <c r="M149" s="75">
        <f t="shared" si="12"/>
        <v>0</v>
      </c>
      <c r="N149" s="73"/>
      <c r="O149" s="73"/>
      <c r="P149" s="73"/>
      <c r="Q149" s="75">
        <f t="shared" si="13"/>
        <v>0</v>
      </c>
      <c r="R149" s="75">
        <f t="shared" si="14"/>
        <v>0</v>
      </c>
      <c r="S149" s="64"/>
      <c r="T149" s="64" t="str">
        <f t="shared" si="15"/>
        <v>Belum Melakukan Deteksi</v>
      </c>
    </row>
    <row r="150" spans="2:20" ht="18" x14ac:dyDescent="0.2">
      <c r="B150" s="73" t="s">
        <v>949</v>
      </c>
      <c r="C150" s="73"/>
      <c r="D150" s="73"/>
      <c r="E150" s="73"/>
      <c r="F150" s="74"/>
      <c r="G150" s="73"/>
      <c r="H150" s="73"/>
      <c r="I150" s="73"/>
      <c r="J150" s="73"/>
      <c r="K150" s="73"/>
      <c r="L150" s="75">
        <f t="shared" si="11"/>
        <v>0</v>
      </c>
      <c r="M150" s="75">
        <f t="shared" si="12"/>
        <v>0</v>
      </c>
      <c r="N150" s="73"/>
      <c r="O150" s="73"/>
      <c r="P150" s="73"/>
      <c r="Q150" s="75">
        <f t="shared" si="13"/>
        <v>0</v>
      </c>
      <c r="R150" s="75">
        <f t="shared" si="14"/>
        <v>0</v>
      </c>
      <c r="S150" s="64"/>
      <c r="T150" s="64" t="str">
        <f t="shared" si="15"/>
        <v>Belum Melakukan Deteksi</v>
      </c>
    </row>
    <row r="151" spans="2:20" ht="18" x14ac:dyDescent="0.2">
      <c r="B151" s="73" t="s">
        <v>949</v>
      </c>
      <c r="C151" s="73"/>
      <c r="D151" s="73"/>
      <c r="E151" s="73"/>
      <c r="F151" s="74"/>
      <c r="G151" s="73"/>
      <c r="H151" s="73"/>
      <c r="I151" s="73"/>
      <c r="J151" s="73"/>
      <c r="K151" s="73"/>
      <c r="L151" s="75">
        <f t="shared" si="11"/>
        <v>0</v>
      </c>
      <c r="M151" s="75">
        <f t="shared" si="12"/>
        <v>0</v>
      </c>
      <c r="N151" s="73"/>
      <c r="O151" s="73"/>
      <c r="P151" s="73"/>
      <c r="Q151" s="75">
        <f t="shared" si="13"/>
        <v>0</v>
      </c>
      <c r="R151" s="75">
        <f t="shared" si="14"/>
        <v>0</v>
      </c>
      <c r="S151" s="64"/>
      <c r="T151" s="64" t="str">
        <f t="shared" si="15"/>
        <v>Belum Melakukan Deteksi</v>
      </c>
    </row>
    <row r="152" spans="2:20" ht="18" x14ac:dyDescent="0.2">
      <c r="B152" s="73" t="s">
        <v>949</v>
      </c>
      <c r="C152" s="73"/>
      <c r="D152" s="73"/>
      <c r="E152" s="73"/>
      <c r="F152" s="74"/>
      <c r="G152" s="73"/>
      <c r="H152" s="73"/>
      <c r="I152" s="73"/>
      <c r="J152" s="73"/>
      <c r="K152" s="73"/>
      <c r="L152" s="75">
        <f t="shared" si="11"/>
        <v>0</v>
      </c>
      <c r="M152" s="75">
        <f t="shared" si="12"/>
        <v>0</v>
      </c>
      <c r="N152" s="73"/>
      <c r="O152" s="73"/>
      <c r="P152" s="73"/>
      <c r="Q152" s="75">
        <f t="shared" si="13"/>
        <v>0</v>
      </c>
      <c r="R152" s="75">
        <f t="shared" si="14"/>
        <v>0</v>
      </c>
      <c r="S152" s="64"/>
      <c r="T152" s="64" t="str">
        <f t="shared" si="15"/>
        <v>Belum Melakukan Deteksi</v>
      </c>
    </row>
    <row r="153" spans="2:20" ht="18" x14ac:dyDescent="0.2">
      <c r="B153" s="73" t="s">
        <v>949</v>
      </c>
      <c r="C153" s="73"/>
      <c r="D153" s="73"/>
      <c r="E153" s="73"/>
      <c r="F153" s="74"/>
      <c r="G153" s="73"/>
      <c r="H153" s="73"/>
      <c r="I153" s="73"/>
      <c r="J153" s="73"/>
      <c r="K153" s="73"/>
      <c r="L153" s="75">
        <f t="shared" si="11"/>
        <v>0</v>
      </c>
      <c r="M153" s="75">
        <f t="shared" si="12"/>
        <v>0</v>
      </c>
      <c r="N153" s="73"/>
      <c r="O153" s="73"/>
      <c r="P153" s="73"/>
      <c r="Q153" s="75">
        <f t="shared" si="13"/>
        <v>0</v>
      </c>
      <c r="R153" s="75">
        <f t="shared" si="14"/>
        <v>0</v>
      </c>
      <c r="S153" s="64"/>
      <c r="T153" s="64" t="str">
        <f t="shared" si="15"/>
        <v>Belum Melakukan Deteksi</v>
      </c>
    </row>
    <row r="154" spans="2:20" ht="18" x14ac:dyDescent="0.2">
      <c r="B154" s="73" t="s">
        <v>949</v>
      </c>
      <c r="C154" s="73"/>
      <c r="D154" s="73"/>
      <c r="E154" s="73"/>
      <c r="F154" s="74"/>
      <c r="G154" s="73"/>
      <c r="H154" s="73"/>
      <c r="I154" s="73"/>
      <c r="J154" s="73"/>
      <c r="K154" s="73"/>
      <c r="L154" s="75">
        <f t="shared" si="11"/>
        <v>0</v>
      </c>
      <c r="M154" s="75">
        <f t="shared" si="12"/>
        <v>0</v>
      </c>
      <c r="N154" s="73"/>
      <c r="O154" s="73"/>
      <c r="P154" s="73"/>
      <c r="Q154" s="75">
        <f t="shared" si="13"/>
        <v>0</v>
      </c>
      <c r="R154" s="75">
        <f t="shared" si="14"/>
        <v>0</v>
      </c>
      <c r="S154" s="64"/>
      <c r="T154" s="64" t="str">
        <f t="shared" si="15"/>
        <v>Belum Melakukan Deteksi</v>
      </c>
    </row>
    <row r="155" spans="2:20" ht="18" x14ac:dyDescent="0.2">
      <c r="B155" s="73" t="s">
        <v>949</v>
      </c>
      <c r="C155" s="73"/>
      <c r="D155" s="73"/>
      <c r="E155" s="73"/>
      <c r="F155" s="74"/>
      <c r="G155" s="73"/>
      <c r="H155" s="73"/>
      <c r="I155" s="73"/>
      <c r="J155" s="73"/>
      <c r="K155" s="73"/>
      <c r="L155" s="75">
        <f t="shared" si="11"/>
        <v>0</v>
      </c>
      <c r="M155" s="75">
        <f t="shared" si="12"/>
        <v>0</v>
      </c>
      <c r="N155" s="73"/>
      <c r="O155" s="73"/>
      <c r="P155" s="73"/>
      <c r="Q155" s="75">
        <f t="shared" si="13"/>
        <v>0</v>
      </c>
      <c r="R155" s="75">
        <f t="shared" si="14"/>
        <v>0</v>
      </c>
      <c r="S155" s="64"/>
      <c r="T155" s="64" t="str">
        <f t="shared" si="15"/>
        <v>Belum Melakukan Deteksi</v>
      </c>
    </row>
    <row r="156" spans="2:20" ht="18" x14ac:dyDescent="0.2">
      <c r="B156" s="73" t="s">
        <v>949</v>
      </c>
      <c r="C156" s="73"/>
      <c r="D156" s="73"/>
      <c r="E156" s="73"/>
      <c r="F156" s="74"/>
      <c r="G156" s="73"/>
      <c r="H156" s="73"/>
      <c r="I156" s="73"/>
      <c r="J156" s="73"/>
      <c r="K156" s="73"/>
      <c r="L156" s="75">
        <f t="shared" si="11"/>
        <v>0</v>
      </c>
      <c r="M156" s="75">
        <f t="shared" si="12"/>
        <v>0</v>
      </c>
      <c r="N156" s="73"/>
      <c r="O156" s="73"/>
      <c r="P156" s="73"/>
      <c r="Q156" s="75">
        <f t="shared" si="13"/>
        <v>0</v>
      </c>
      <c r="R156" s="75">
        <f t="shared" si="14"/>
        <v>0</v>
      </c>
      <c r="S156" s="64"/>
      <c r="T156" s="64" t="str">
        <f t="shared" si="15"/>
        <v>Belum Melakukan Deteksi</v>
      </c>
    </row>
    <row r="157" spans="2:20" ht="18" x14ac:dyDescent="0.2">
      <c r="B157" s="73" t="s">
        <v>949</v>
      </c>
      <c r="C157" s="73"/>
      <c r="D157" s="73"/>
      <c r="E157" s="73"/>
      <c r="F157" s="74"/>
      <c r="G157" s="73"/>
      <c r="H157" s="73"/>
      <c r="I157" s="73"/>
      <c r="J157" s="73"/>
      <c r="K157" s="73"/>
      <c r="L157" s="75">
        <f t="shared" si="11"/>
        <v>0</v>
      </c>
      <c r="M157" s="75">
        <f t="shared" si="12"/>
        <v>0</v>
      </c>
      <c r="N157" s="73"/>
      <c r="O157" s="73"/>
      <c r="P157" s="73"/>
      <c r="Q157" s="75">
        <f t="shared" si="13"/>
        <v>0</v>
      </c>
      <c r="R157" s="75">
        <f t="shared" si="14"/>
        <v>0</v>
      </c>
      <c r="S157" s="64"/>
      <c r="T157" s="64" t="str">
        <f t="shared" si="15"/>
        <v>Belum Melakukan Deteksi</v>
      </c>
    </row>
    <row r="158" spans="2:20" ht="18" x14ac:dyDescent="0.2">
      <c r="B158" s="73" t="s">
        <v>949</v>
      </c>
      <c r="C158" s="73"/>
      <c r="D158" s="73"/>
      <c r="E158" s="73"/>
      <c r="F158" s="74"/>
      <c r="G158" s="73"/>
      <c r="H158" s="73"/>
      <c r="I158" s="73"/>
      <c r="J158" s="73"/>
      <c r="K158" s="73"/>
      <c r="L158" s="75">
        <f t="shared" si="11"/>
        <v>0</v>
      </c>
      <c r="M158" s="75">
        <f t="shared" si="12"/>
        <v>0</v>
      </c>
      <c r="N158" s="73"/>
      <c r="O158" s="73"/>
      <c r="P158" s="73"/>
      <c r="Q158" s="75">
        <f t="shared" si="13"/>
        <v>0</v>
      </c>
      <c r="R158" s="75">
        <f t="shared" si="14"/>
        <v>0</v>
      </c>
      <c r="S158" s="64"/>
      <c r="T158" s="64" t="str">
        <f t="shared" si="15"/>
        <v>Belum Melakukan Deteksi</v>
      </c>
    </row>
    <row r="159" spans="2:20" ht="18" x14ac:dyDescent="0.2">
      <c r="B159" s="73" t="s">
        <v>949</v>
      </c>
      <c r="C159" s="73"/>
      <c r="D159" s="73"/>
      <c r="E159" s="73"/>
      <c r="F159" s="74"/>
      <c r="G159" s="73"/>
      <c r="H159" s="73"/>
      <c r="I159" s="73"/>
      <c r="J159" s="73"/>
      <c r="K159" s="73"/>
      <c r="L159" s="75">
        <f t="shared" si="11"/>
        <v>0</v>
      </c>
      <c r="M159" s="75">
        <f t="shared" si="12"/>
        <v>0</v>
      </c>
      <c r="N159" s="73"/>
      <c r="O159" s="73"/>
      <c r="P159" s="73"/>
      <c r="Q159" s="75">
        <f t="shared" si="13"/>
        <v>0</v>
      </c>
      <c r="R159" s="75">
        <f t="shared" si="14"/>
        <v>0</v>
      </c>
      <c r="S159" s="64"/>
      <c r="T159" s="64" t="str">
        <f t="shared" si="15"/>
        <v>Belum Melakukan Deteksi</v>
      </c>
    </row>
    <row r="160" spans="2:20" ht="18" x14ac:dyDescent="0.2">
      <c r="B160" s="73" t="s">
        <v>949</v>
      </c>
      <c r="C160" s="73"/>
      <c r="D160" s="73"/>
      <c r="E160" s="73"/>
      <c r="F160" s="74"/>
      <c r="G160" s="73"/>
      <c r="H160" s="73"/>
      <c r="I160" s="73"/>
      <c r="J160" s="73"/>
      <c r="K160" s="73"/>
      <c r="L160" s="75">
        <f t="shared" si="11"/>
        <v>0</v>
      </c>
      <c r="M160" s="75">
        <f t="shared" si="12"/>
        <v>0</v>
      </c>
      <c r="N160" s="73"/>
      <c r="O160" s="73"/>
      <c r="P160" s="73"/>
      <c r="Q160" s="75">
        <f t="shared" si="13"/>
        <v>0</v>
      </c>
      <c r="R160" s="75">
        <f t="shared" si="14"/>
        <v>0</v>
      </c>
      <c r="S160" s="64"/>
      <c r="T160" s="64" t="str">
        <f t="shared" si="15"/>
        <v>Belum Melakukan Deteksi</v>
      </c>
    </row>
    <row r="161" spans="2:20" ht="18" x14ac:dyDescent="0.2">
      <c r="B161" s="73" t="s">
        <v>949</v>
      </c>
      <c r="C161" s="73"/>
      <c r="D161" s="73"/>
      <c r="E161" s="73"/>
      <c r="F161" s="74"/>
      <c r="G161" s="73"/>
      <c r="H161" s="73"/>
      <c r="I161" s="73"/>
      <c r="J161" s="73"/>
      <c r="K161" s="73"/>
      <c r="L161" s="75">
        <f t="shared" si="11"/>
        <v>0</v>
      </c>
      <c r="M161" s="75">
        <f t="shared" si="12"/>
        <v>0</v>
      </c>
      <c r="N161" s="73"/>
      <c r="O161" s="73"/>
      <c r="P161" s="73"/>
      <c r="Q161" s="75">
        <f t="shared" si="13"/>
        <v>0</v>
      </c>
      <c r="R161" s="75">
        <f t="shared" si="14"/>
        <v>0</v>
      </c>
      <c r="S161" s="64"/>
      <c r="T161" s="64" t="str">
        <f t="shared" si="15"/>
        <v>Belum Melakukan Deteksi</v>
      </c>
    </row>
    <row r="162" spans="2:20" ht="18" x14ac:dyDescent="0.2">
      <c r="B162" s="73" t="s">
        <v>949</v>
      </c>
      <c r="C162" s="73"/>
      <c r="D162" s="73"/>
      <c r="E162" s="73"/>
      <c r="F162" s="74"/>
      <c r="G162" s="73"/>
      <c r="H162" s="73"/>
      <c r="I162" s="73"/>
      <c r="J162" s="73"/>
      <c r="K162" s="73"/>
      <c r="L162" s="75">
        <f t="shared" si="11"/>
        <v>0</v>
      </c>
      <c r="M162" s="75">
        <f t="shared" si="12"/>
        <v>0</v>
      </c>
      <c r="N162" s="73"/>
      <c r="O162" s="73"/>
      <c r="P162" s="73"/>
      <c r="Q162" s="75">
        <f t="shared" si="13"/>
        <v>0</v>
      </c>
      <c r="R162" s="75">
        <f t="shared" si="14"/>
        <v>0</v>
      </c>
      <c r="S162" s="64"/>
      <c r="T162" s="64" t="str">
        <f t="shared" si="15"/>
        <v>Belum Melakukan Deteksi</v>
      </c>
    </row>
    <row r="163" spans="2:20" ht="18" x14ac:dyDescent="0.2">
      <c r="B163" s="73" t="s">
        <v>949</v>
      </c>
      <c r="C163" s="73"/>
      <c r="D163" s="73"/>
      <c r="E163" s="73"/>
      <c r="F163" s="74"/>
      <c r="G163" s="73"/>
      <c r="H163" s="73"/>
      <c r="I163" s="73"/>
      <c r="J163" s="73"/>
      <c r="K163" s="73"/>
      <c r="L163" s="75">
        <f t="shared" si="11"/>
        <v>0</v>
      </c>
      <c r="M163" s="75">
        <f t="shared" si="12"/>
        <v>0</v>
      </c>
      <c r="N163" s="73"/>
      <c r="O163" s="73"/>
      <c r="P163" s="73"/>
      <c r="Q163" s="75">
        <f t="shared" si="13"/>
        <v>0</v>
      </c>
      <c r="R163" s="75">
        <f t="shared" si="14"/>
        <v>0</v>
      </c>
      <c r="S163" s="64"/>
      <c r="T163" s="64" t="str">
        <f t="shared" si="15"/>
        <v>Belum Melakukan Deteksi</v>
      </c>
    </row>
    <row r="164" spans="2:20" ht="18" x14ac:dyDescent="0.2">
      <c r="B164" s="73" t="s">
        <v>949</v>
      </c>
      <c r="C164" s="73"/>
      <c r="D164" s="73"/>
      <c r="E164" s="73"/>
      <c r="F164" s="74"/>
      <c r="G164" s="73"/>
      <c r="H164" s="73"/>
      <c r="I164" s="73"/>
      <c r="J164" s="73"/>
      <c r="K164" s="73"/>
      <c r="L164" s="75">
        <f t="shared" si="11"/>
        <v>0</v>
      </c>
      <c r="M164" s="75">
        <f t="shared" si="12"/>
        <v>0</v>
      </c>
      <c r="N164" s="73"/>
      <c r="O164" s="73"/>
      <c r="P164" s="73"/>
      <c r="Q164" s="75">
        <f t="shared" si="13"/>
        <v>0</v>
      </c>
      <c r="R164" s="75">
        <f t="shared" si="14"/>
        <v>0</v>
      </c>
      <c r="S164" s="64"/>
      <c r="T164" s="64" t="str">
        <f t="shared" si="15"/>
        <v>Belum Melakukan Deteksi</v>
      </c>
    </row>
    <row r="165" spans="2:20" ht="18" x14ac:dyDescent="0.2">
      <c r="B165" s="73" t="s">
        <v>949</v>
      </c>
      <c r="C165" s="73"/>
      <c r="D165" s="73"/>
      <c r="E165" s="73"/>
      <c r="F165" s="74"/>
      <c r="G165" s="73"/>
      <c r="H165" s="73"/>
      <c r="I165" s="73"/>
      <c r="J165" s="73"/>
      <c r="K165" s="73"/>
      <c r="L165" s="75">
        <f t="shared" si="11"/>
        <v>0</v>
      </c>
      <c r="M165" s="75">
        <f t="shared" si="12"/>
        <v>0</v>
      </c>
      <c r="N165" s="73"/>
      <c r="O165" s="73"/>
      <c r="P165" s="73"/>
      <c r="Q165" s="75">
        <f t="shared" si="13"/>
        <v>0</v>
      </c>
      <c r="R165" s="75">
        <f t="shared" si="14"/>
        <v>0</v>
      </c>
      <c r="S165" s="64"/>
      <c r="T165" s="64" t="str">
        <f t="shared" si="15"/>
        <v>Belum Melakukan Deteksi</v>
      </c>
    </row>
    <row r="166" spans="2:20" ht="18" x14ac:dyDescent="0.2">
      <c r="B166" s="73" t="s">
        <v>949</v>
      </c>
      <c r="C166" s="73"/>
      <c r="D166" s="73"/>
      <c r="E166" s="73"/>
      <c r="F166" s="74"/>
      <c r="G166" s="73"/>
      <c r="H166" s="73"/>
      <c r="I166" s="73"/>
      <c r="J166" s="73"/>
      <c r="K166" s="73"/>
      <c r="L166" s="75">
        <f t="shared" si="11"/>
        <v>0</v>
      </c>
      <c r="M166" s="75">
        <f t="shared" si="12"/>
        <v>0</v>
      </c>
      <c r="N166" s="73"/>
      <c r="O166" s="73"/>
      <c r="P166" s="73"/>
      <c r="Q166" s="75">
        <f t="shared" si="13"/>
        <v>0</v>
      </c>
      <c r="R166" s="75">
        <f t="shared" si="14"/>
        <v>0</v>
      </c>
      <c r="S166" s="64"/>
      <c r="T166" s="64" t="str">
        <f t="shared" si="15"/>
        <v>Belum Melakukan Deteksi</v>
      </c>
    </row>
    <row r="167" spans="2:20" ht="18" x14ac:dyDescent="0.2">
      <c r="B167" s="73" t="s">
        <v>949</v>
      </c>
      <c r="C167" s="73"/>
      <c r="D167" s="73"/>
      <c r="E167" s="73"/>
      <c r="F167" s="74"/>
      <c r="G167" s="73"/>
      <c r="H167" s="73"/>
      <c r="I167" s="73"/>
      <c r="J167" s="73"/>
      <c r="K167" s="73"/>
      <c r="L167" s="75">
        <f t="shared" si="11"/>
        <v>0</v>
      </c>
      <c r="M167" s="75">
        <f t="shared" si="12"/>
        <v>0</v>
      </c>
      <c r="N167" s="73"/>
      <c r="O167" s="73"/>
      <c r="P167" s="73"/>
      <c r="Q167" s="75">
        <f t="shared" si="13"/>
        <v>0</v>
      </c>
      <c r="R167" s="75">
        <f t="shared" si="14"/>
        <v>0</v>
      </c>
      <c r="S167" s="64"/>
      <c r="T167" s="64" t="str">
        <f t="shared" si="15"/>
        <v>Belum Melakukan Deteksi</v>
      </c>
    </row>
    <row r="168" spans="2:20" ht="18" x14ac:dyDescent="0.2">
      <c r="B168" s="73" t="s">
        <v>949</v>
      </c>
      <c r="C168" s="73"/>
      <c r="D168" s="73"/>
      <c r="E168" s="73"/>
      <c r="F168" s="74"/>
      <c r="G168" s="73"/>
      <c r="H168" s="73"/>
      <c r="I168" s="73"/>
      <c r="J168" s="73"/>
      <c r="K168" s="73"/>
      <c r="L168" s="75">
        <f t="shared" si="11"/>
        <v>0</v>
      </c>
      <c r="M168" s="75">
        <f t="shared" si="12"/>
        <v>0</v>
      </c>
      <c r="N168" s="73"/>
      <c r="O168" s="73"/>
      <c r="P168" s="73"/>
      <c r="Q168" s="75">
        <f t="shared" si="13"/>
        <v>0</v>
      </c>
      <c r="R168" s="75">
        <f t="shared" si="14"/>
        <v>0</v>
      </c>
      <c r="S168" s="64"/>
      <c r="T168" s="64" t="str">
        <f t="shared" si="15"/>
        <v>Belum Melakukan Deteksi</v>
      </c>
    </row>
    <row r="169" spans="2:20" ht="18" x14ac:dyDescent="0.2">
      <c r="B169" s="73" t="s">
        <v>949</v>
      </c>
      <c r="C169" s="73"/>
      <c r="D169" s="73"/>
      <c r="E169" s="73"/>
      <c r="F169" s="74"/>
      <c r="G169" s="73"/>
      <c r="H169" s="73"/>
      <c r="I169" s="73"/>
      <c r="J169" s="73"/>
      <c r="K169" s="73"/>
      <c r="L169" s="75">
        <f t="shared" si="11"/>
        <v>0</v>
      </c>
      <c r="M169" s="75">
        <f t="shared" si="12"/>
        <v>0</v>
      </c>
      <c r="N169" s="73"/>
      <c r="O169" s="73"/>
      <c r="P169" s="73"/>
      <c r="Q169" s="75">
        <f t="shared" si="13"/>
        <v>0</v>
      </c>
      <c r="R169" s="75">
        <f t="shared" si="14"/>
        <v>0</v>
      </c>
      <c r="S169" s="64"/>
      <c r="T169" s="64" t="str">
        <f t="shared" si="15"/>
        <v>Belum Melakukan Deteksi</v>
      </c>
    </row>
    <row r="170" spans="2:20" ht="18" x14ac:dyDescent="0.2">
      <c r="B170" s="73" t="s">
        <v>949</v>
      </c>
      <c r="C170" s="73"/>
      <c r="D170" s="73"/>
      <c r="E170" s="73"/>
      <c r="F170" s="74"/>
      <c r="G170" s="73"/>
      <c r="H170" s="73"/>
      <c r="I170" s="73"/>
      <c r="J170" s="73"/>
      <c r="K170" s="73"/>
      <c r="L170" s="75">
        <f t="shared" si="11"/>
        <v>0</v>
      </c>
      <c r="M170" s="75">
        <f t="shared" si="12"/>
        <v>0</v>
      </c>
      <c r="N170" s="73"/>
      <c r="O170" s="73"/>
      <c r="P170" s="73"/>
      <c r="Q170" s="75">
        <f t="shared" si="13"/>
        <v>0</v>
      </c>
      <c r="R170" s="75">
        <f t="shared" si="14"/>
        <v>0</v>
      </c>
      <c r="S170" s="64"/>
      <c r="T170" s="64" t="str">
        <f t="shared" si="15"/>
        <v>Belum Melakukan Deteksi</v>
      </c>
    </row>
    <row r="171" spans="2:20" ht="18" x14ac:dyDescent="0.2">
      <c r="B171" s="73" t="s">
        <v>949</v>
      </c>
      <c r="C171" s="73"/>
      <c r="D171" s="73"/>
      <c r="E171" s="73"/>
      <c r="F171" s="74"/>
      <c r="G171" s="73"/>
      <c r="H171" s="73"/>
      <c r="I171" s="73"/>
      <c r="J171" s="73"/>
      <c r="K171" s="73"/>
      <c r="L171" s="75">
        <f t="shared" si="11"/>
        <v>0</v>
      </c>
      <c r="M171" s="75">
        <f t="shared" si="12"/>
        <v>0</v>
      </c>
      <c r="N171" s="73"/>
      <c r="O171" s="73"/>
      <c r="P171" s="73"/>
      <c r="Q171" s="75">
        <f t="shared" si="13"/>
        <v>0</v>
      </c>
      <c r="R171" s="75">
        <f t="shared" si="14"/>
        <v>0</v>
      </c>
      <c r="S171" s="64"/>
      <c r="T171" s="64" t="str">
        <f t="shared" si="15"/>
        <v>Belum Melakukan Deteksi</v>
      </c>
    </row>
    <row r="172" spans="2:20" ht="18" x14ac:dyDescent="0.2">
      <c r="B172" s="73" t="s">
        <v>949</v>
      </c>
      <c r="C172" s="73"/>
      <c r="D172" s="73"/>
      <c r="E172" s="73"/>
      <c r="F172" s="74"/>
      <c r="G172" s="73"/>
      <c r="H172" s="73"/>
      <c r="I172" s="73"/>
      <c r="J172" s="73"/>
      <c r="K172" s="73"/>
      <c r="L172" s="75">
        <f t="shared" si="11"/>
        <v>0</v>
      </c>
      <c r="M172" s="75">
        <f t="shared" si="12"/>
        <v>0</v>
      </c>
      <c r="N172" s="73"/>
      <c r="O172" s="73"/>
      <c r="P172" s="73"/>
      <c r="Q172" s="75">
        <f t="shared" si="13"/>
        <v>0</v>
      </c>
      <c r="R172" s="75">
        <f t="shared" si="14"/>
        <v>0</v>
      </c>
      <c r="S172" s="64"/>
      <c r="T172" s="64" t="str">
        <f t="shared" si="15"/>
        <v>Belum Melakukan Deteksi</v>
      </c>
    </row>
    <row r="173" spans="2:20" ht="18" x14ac:dyDescent="0.2">
      <c r="B173" s="73" t="s">
        <v>949</v>
      </c>
      <c r="C173" s="73"/>
      <c r="D173" s="73"/>
      <c r="E173" s="73"/>
      <c r="F173" s="74"/>
      <c r="G173" s="73"/>
      <c r="H173" s="73"/>
      <c r="I173" s="73"/>
      <c r="J173" s="73"/>
      <c r="K173" s="73"/>
      <c r="L173" s="75">
        <f t="shared" si="11"/>
        <v>0</v>
      </c>
      <c r="M173" s="75">
        <f t="shared" si="12"/>
        <v>0</v>
      </c>
      <c r="N173" s="73"/>
      <c r="O173" s="73"/>
      <c r="P173" s="73"/>
      <c r="Q173" s="75">
        <f t="shared" si="13"/>
        <v>0</v>
      </c>
      <c r="R173" s="75">
        <f t="shared" si="14"/>
        <v>0</v>
      </c>
      <c r="S173" s="64"/>
      <c r="T173" s="64" t="str">
        <f t="shared" si="15"/>
        <v>Belum Melakukan Deteksi</v>
      </c>
    </row>
    <row r="174" spans="2:20" ht="18" x14ac:dyDescent="0.2">
      <c r="B174" s="73" t="s">
        <v>949</v>
      </c>
      <c r="C174" s="73"/>
      <c r="D174" s="73"/>
      <c r="E174" s="73"/>
      <c r="F174" s="74"/>
      <c r="G174" s="73"/>
      <c r="H174" s="73"/>
      <c r="I174" s="73"/>
      <c r="J174" s="73"/>
      <c r="K174" s="73"/>
      <c r="L174" s="75">
        <f t="shared" si="11"/>
        <v>0</v>
      </c>
      <c r="M174" s="75">
        <f t="shared" si="12"/>
        <v>0</v>
      </c>
      <c r="N174" s="73"/>
      <c r="O174" s="73"/>
      <c r="P174" s="73"/>
      <c r="Q174" s="75">
        <f t="shared" si="13"/>
        <v>0</v>
      </c>
      <c r="R174" s="75">
        <f t="shared" si="14"/>
        <v>0</v>
      </c>
      <c r="S174" s="64"/>
      <c r="T174" s="64" t="str">
        <f t="shared" si="15"/>
        <v>Belum Melakukan Deteksi</v>
      </c>
    </row>
    <row r="175" spans="2:20" ht="18" x14ac:dyDescent="0.2">
      <c r="B175" s="73" t="s">
        <v>949</v>
      </c>
      <c r="C175" s="73"/>
      <c r="D175" s="73"/>
      <c r="E175" s="73"/>
      <c r="F175" s="74"/>
      <c r="G175" s="73"/>
      <c r="H175" s="73"/>
      <c r="I175" s="73"/>
      <c r="J175" s="73"/>
      <c r="K175" s="73"/>
      <c r="L175" s="75">
        <f t="shared" si="11"/>
        <v>0</v>
      </c>
      <c r="M175" s="75">
        <f t="shared" si="12"/>
        <v>0</v>
      </c>
      <c r="N175" s="73"/>
      <c r="O175" s="73"/>
      <c r="P175" s="73"/>
      <c r="Q175" s="75">
        <f t="shared" si="13"/>
        <v>0</v>
      </c>
      <c r="R175" s="75">
        <f t="shared" si="14"/>
        <v>0</v>
      </c>
      <c r="S175" s="64"/>
      <c r="T175" s="64" t="str">
        <f t="shared" si="15"/>
        <v>Belum Melakukan Deteksi</v>
      </c>
    </row>
    <row r="176" spans="2:20" ht="18" x14ac:dyDescent="0.2">
      <c r="B176" s="73" t="s">
        <v>949</v>
      </c>
      <c r="C176" s="73"/>
      <c r="D176" s="73"/>
      <c r="E176" s="73"/>
      <c r="F176" s="74"/>
      <c r="G176" s="73"/>
      <c r="H176" s="73"/>
      <c r="I176" s="73"/>
      <c r="J176" s="73"/>
      <c r="K176" s="73"/>
      <c r="L176" s="75">
        <f t="shared" si="11"/>
        <v>0</v>
      </c>
      <c r="M176" s="75">
        <f t="shared" si="12"/>
        <v>0</v>
      </c>
      <c r="N176" s="73"/>
      <c r="O176" s="73"/>
      <c r="P176" s="73"/>
      <c r="Q176" s="75">
        <f t="shared" si="13"/>
        <v>0</v>
      </c>
      <c r="R176" s="75">
        <f t="shared" si="14"/>
        <v>0</v>
      </c>
      <c r="S176" s="64"/>
      <c r="T176" s="64" t="str">
        <f t="shared" si="15"/>
        <v>Belum Melakukan Deteksi</v>
      </c>
    </row>
    <row r="177" spans="2:20" ht="18" x14ac:dyDescent="0.2">
      <c r="B177" s="73" t="s">
        <v>949</v>
      </c>
      <c r="C177" s="73"/>
      <c r="D177" s="73"/>
      <c r="E177" s="73"/>
      <c r="F177" s="74"/>
      <c r="G177" s="73"/>
      <c r="H177" s="73"/>
      <c r="I177" s="73"/>
      <c r="J177" s="73"/>
      <c r="K177" s="73"/>
      <c r="L177" s="75">
        <f t="shared" si="11"/>
        <v>0</v>
      </c>
      <c r="M177" s="75">
        <f t="shared" si="12"/>
        <v>0</v>
      </c>
      <c r="N177" s="73"/>
      <c r="O177" s="73"/>
      <c r="P177" s="73"/>
      <c r="Q177" s="75">
        <f t="shared" si="13"/>
        <v>0</v>
      </c>
      <c r="R177" s="75">
        <f t="shared" si="14"/>
        <v>0</v>
      </c>
      <c r="S177" s="64"/>
      <c r="T177" s="64" t="str">
        <f t="shared" si="15"/>
        <v>Belum Melakukan Deteksi</v>
      </c>
    </row>
    <row r="178" spans="2:20" ht="18" x14ac:dyDescent="0.2">
      <c r="B178" s="73" t="s">
        <v>949</v>
      </c>
      <c r="C178" s="73"/>
      <c r="D178" s="73"/>
      <c r="E178" s="73"/>
      <c r="F178" s="74"/>
      <c r="G178" s="73"/>
      <c r="H178" s="73"/>
      <c r="I178" s="73"/>
      <c r="J178" s="73"/>
      <c r="K178" s="73"/>
      <c r="L178" s="75">
        <f t="shared" si="11"/>
        <v>0</v>
      </c>
      <c r="M178" s="75">
        <f t="shared" si="12"/>
        <v>0</v>
      </c>
      <c r="N178" s="73"/>
      <c r="O178" s="73"/>
      <c r="P178" s="73"/>
      <c r="Q178" s="75">
        <f t="shared" si="13"/>
        <v>0</v>
      </c>
      <c r="R178" s="75">
        <f t="shared" si="14"/>
        <v>0</v>
      </c>
      <c r="S178" s="64"/>
      <c r="T178" s="64" t="str">
        <f t="shared" si="15"/>
        <v>Belum Melakukan Deteksi</v>
      </c>
    </row>
    <row r="179" spans="2:20" ht="18" x14ac:dyDescent="0.2">
      <c r="B179" s="73" t="s">
        <v>949</v>
      </c>
      <c r="C179" s="73"/>
      <c r="D179" s="73"/>
      <c r="E179" s="73"/>
      <c r="F179" s="74"/>
      <c r="G179" s="73"/>
      <c r="H179" s="73"/>
      <c r="I179" s="73"/>
      <c r="J179" s="73"/>
      <c r="K179" s="73"/>
      <c r="L179" s="75">
        <f t="shared" si="11"/>
        <v>0</v>
      </c>
      <c r="M179" s="75">
        <f t="shared" si="12"/>
        <v>0</v>
      </c>
      <c r="N179" s="73"/>
      <c r="O179" s="73"/>
      <c r="P179" s="73"/>
      <c r="Q179" s="75">
        <f t="shared" si="13"/>
        <v>0</v>
      </c>
      <c r="R179" s="75">
        <f t="shared" si="14"/>
        <v>0</v>
      </c>
      <c r="S179" s="64"/>
      <c r="T179" s="64" t="str">
        <f t="shared" si="15"/>
        <v>Belum Melakukan Deteksi</v>
      </c>
    </row>
    <row r="180" spans="2:20" ht="18" x14ac:dyDescent="0.2">
      <c r="B180" s="73" t="s">
        <v>949</v>
      </c>
      <c r="C180" s="73"/>
      <c r="D180" s="73"/>
      <c r="E180" s="73"/>
      <c r="F180" s="74"/>
      <c r="G180" s="73"/>
      <c r="H180" s="73"/>
      <c r="I180" s="73"/>
      <c r="J180" s="73"/>
      <c r="K180" s="73"/>
      <c r="L180" s="75">
        <f t="shared" si="11"/>
        <v>0</v>
      </c>
      <c r="M180" s="75">
        <f t="shared" si="12"/>
        <v>0</v>
      </c>
      <c r="N180" s="73"/>
      <c r="O180" s="73"/>
      <c r="P180" s="73"/>
      <c r="Q180" s="75">
        <f t="shared" si="13"/>
        <v>0</v>
      </c>
      <c r="R180" s="75">
        <f t="shared" si="14"/>
        <v>0</v>
      </c>
      <c r="S180" s="64"/>
      <c r="T180" s="64" t="str">
        <f t="shared" si="15"/>
        <v>Belum Melakukan Deteksi</v>
      </c>
    </row>
    <row r="181" spans="2:20" ht="18" x14ac:dyDescent="0.2">
      <c r="B181" s="73" t="s">
        <v>949</v>
      </c>
      <c r="C181" s="73"/>
      <c r="D181" s="73"/>
      <c r="E181" s="73"/>
      <c r="F181" s="74"/>
      <c r="G181" s="73"/>
      <c r="H181" s="73"/>
      <c r="I181" s="73"/>
      <c r="J181" s="73"/>
      <c r="K181" s="73"/>
      <c r="L181" s="75">
        <f t="shared" si="11"/>
        <v>0</v>
      </c>
      <c r="M181" s="75">
        <f t="shared" si="12"/>
        <v>0</v>
      </c>
      <c r="N181" s="73"/>
      <c r="O181" s="73"/>
      <c r="P181" s="73"/>
      <c r="Q181" s="75">
        <f t="shared" si="13"/>
        <v>0</v>
      </c>
      <c r="R181" s="75">
        <f t="shared" si="14"/>
        <v>0</v>
      </c>
      <c r="S181" s="64"/>
      <c r="T181" s="64" t="str">
        <f t="shared" si="15"/>
        <v>Belum Melakukan Deteksi</v>
      </c>
    </row>
    <row r="182" spans="2:20" ht="18" x14ac:dyDescent="0.2">
      <c r="B182" s="73" t="s">
        <v>949</v>
      </c>
      <c r="C182" s="73"/>
      <c r="D182" s="73"/>
      <c r="E182" s="73"/>
      <c r="F182" s="74"/>
      <c r="G182" s="73"/>
      <c r="H182" s="73"/>
      <c r="I182" s="73"/>
      <c r="J182" s="73"/>
      <c r="K182" s="73"/>
      <c r="L182" s="75">
        <f t="shared" si="11"/>
        <v>0</v>
      </c>
      <c r="M182" s="75">
        <f t="shared" si="12"/>
        <v>0</v>
      </c>
      <c r="N182" s="73"/>
      <c r="O182" s="73"/>
      <c r="P182" s="73"/>
      <c r="Q182" s="75">
        <f t="shared" si="13"/>
        <v>0</v>
      </c>
      <c r="R182" s="75">
        <f t="shared" si="14"/>
        <v>0</v>
      </c>
      <c r="S182" s="64"/>
      <c r="T182" s="64" t="str">
        <f t="shared" si="15"/>
        <v>Belum Melakukan Deteksi</v>
      </c>
    </row>
    <row r="183" spans="2:20" ht="18" x14ac:dyDescent="0.2">
      <c r="B183" s="73" t="s">
        <v>949</v>
      </c>
      <c r="C183" s="73"/>
      <c r="D183" s="73"/>
      <c r="E183" s="73"/>
      <c r="F183" s="74"/>
      <c r="G183" s="73"/>
      <c r="H183" s="73"/>
      <c r="I183" s="73"/>
      <c r="J183" s="73"/>
      <c r="K183" s="73"/>
      <c r="L183" s="75">
        <f t="shared" si="11"/>
        <v>0</v>
      </c>
      <c r="M183" s="75">
        <f t="shared" si="12"/>
        <v>0</v>
      </c>
      <c r="N183" s="73"/>
      <c r="O183" s="73"/>
      <c r="P183" s="73"/>
      <c r="Q183" s="75">
        <f t="shared" si="13"/>
        <v>0</v>
      </c>
      <c r="R183" s="75">
        <f t="shared" si="14"/>
        <v>0</v>
      </c>
      <c r="S183" s="64"/>
      <c r="T183" s="64" t="str">
        <f t="shared" si="15"/>
        <v>Belum Melakukan Deteksi</v>
      </c>
    </row>
    <row r="184" spans="2:20" ht="18" x14ac:dyDescent="0.2">
      <c r="B184" s="73" t="s">
        <v>949</v>
      </c>
      <c r="C184" s="73"/>
      <c r="D184" s="73"/>
      <c r="E184" s="73"/>
      <c r="F184" s="74"/>
      <c r="G184" s="73"/>
      <c r="H184" s="73"/>
      <c r="I184" s="73"/>
      <c r="J184" s="73"/>
      <c r="K184" s="73"/>
      <c r="L184" s="75">
        <f t="shared" si="11"/>
        <v>0</v>
      </c>
      <c r="M184" s="75">
        <f t="shared" si="12"/>
        <v>0</v>
      </c>
      <c r="N184" s="73"/>
      <c r="O184" s="73"/>
      <c r="P184" s="73"/>
      <c r="Q184" s="75">
        <f t="shared" si="13"/>
        <v>0</v>
      </c>
      <c r="R184" s="75">
        <f t="shared" si="14"/>
        <v>0</v>
      </c>
      <c r="S184" s="64"/>
      <c r="T184" s="64" t="str">
        <f t="shared" si="15"/>
        <v>Belum Melakukan Deteksi</v>
      </c>
    </row>
    <row r="185" spans="2:20" ht="18" x14ac:dyDescent="0.2">
      <c r="B185" s="73" t="s">
        <v>949</v>
      </c>
      <c r="C185" s="73"/>
      <c r="D185" s="73"/>
      <c r="E185" s="73"/>
      <c r="F185" s="74"/>
      <c r="G185" s="73"/>
      <c r="H185" s="73"/>
      <c r="I185" s="73"/>
      <c r="J185" s="73"/>
      <c r="K185" s="73"/>
      <c r="L185" s="75">
        <f t="shared" si="11"/>
        <v>0</v>
      </c>
      <c r="M185" s="75">
        <f t="shared" si="12"/>
        <v>0</v>
      </c>
      <c r="N185" s="73"/>
      <c r="O185" s="73"/>
      <c r="P185" s="73"/>
      <c r="Q185" s="75">
        <f t="shared" si="13"/>
        <v>0</v>
      </c>
      <c r="R185" s="75">
        <f t="shared" si="14"/>
        <v>0</v>
      </c>
      <c r="S185" s="64"/>
      <c r="T185" s="64" t="str">
        <f t="shared" si="15"/>
        <v>Belum Melakukan Deteksi</v>
      </c>
    </row>
    <row r="186" spans="2:20" ht="18" x14ac:dyDescent="0.2">
      <c r="B186" s="73" t="s">
        <v>949</v>
      </c>
      <c r="C186" s="73"/>
      <c r="D186" s="73"/>
      <c r="E186" s="73"/>
      <c r="F186" s="74"/>
      <c r="G186" s="73"/>
      <c r="H186" s="73"/>
      <c r="I186" s="73"/>
      <c r="J186" s="73"/>
      <c r="K186" s="73"/>
      <c r="L186" s="75">
        <f t="shared" si="11"/>
        <v>0</v>
      </c>
      <c r="M186" s="75">
        <f t="shared" si="12"/>
        <v>0</v>
      </c>
      <c r="N186" s="73"/>
      <c r="O186" s="73"/>
      <c r="P186" s="73"/>
      <c r="Q186" s="75">
        <f t="shared" si="13"/>
        <v>0</v>
      </c>
      <c r="R186" s="75">
        <f t="shared" si="14"/>
        <v>0</v>
      </c>
      <c r="S186" s="64"/>
      <c r="T186" s="64" t="str">
        <f t="shared" si="15"/>
        <v>Belum Melakukan Deteksi</v>
      </c>
    </row>
    <row r="187" spans="2:20" ht="18" x14ac:dyDescent="0.2">
      <c r="B187" s="73" t="s">
        <v>949</v>
      </c>
      <c r="C187" s="73"/>
      <c r="D187" s="73"/>
      <c r="E187" s="73"/>
      <c r="F187" s="74"/>
      <c r="G187" s="73"/>
      <c r="H187" s="73"/>
      <c r="I187" s="73"/>
      <c r="J187" s="73"/>
      <c r="K187" s="73"/>
      <c r="L187" s="75">
        <f t="shared" si="11"/>
        <v>0</v>
      </c>
      <c r="M187" s="75">
        <f t="shared" si="12"/>
        <v>0</v>
      </c>
      <c r="N187" s="73"/>
      <c r="O187" s="73"/>
      <c r="P187" s="73"/>
      <c r="Q187" s="75">
        <f t="shared" si="13"/>
        <v>0</v>
      </c>
      <c r="R187" s="75">
        <f t="shared" si="14"/>
        <v>0</v>
      </c>
      <c r="S187" s="64"/>
      <c r="T187" s="64" t="str">
        <f t="shared" si="15"/>
        <v>Belum Melakukan Deteksi</v>
      </c>
    </row>
  </sheetData>
  <autoFilter ref="B5:R187" xr:uid="{CD3F9A20-22A4-F748-89A1-38DB66FB3738}"/>
  <mergeCells count="7">
    <mergeCell ref="N3:R3"/>
    <mergeCell ref="B3:B4"/>
    <mergeCell ref="C3:C4"/>
    <mergeCell ref="D3:D4"/>
    <mergeCell ref="E3:E4"/>
    <mergeCell ref="G3:G4"/>
    <mergeCell ref="I3:M3"/>
  </mergeCells>
  <conditionalFormatting sqref="E1:E1048576">
    <cfRule type="duplicateValues" dxfId="338" priority="2"/>
  </conditionalFormatting>
  <conditionalFormatting sqref="Q6:Q64 L6:L65">
    <cfRule type="cellIs" dxfId="337" priority="1" operator="greaterThan">
      <formula>5</formula>
    </cfRule>
  </conditionalFormatting>
  <conditionalFormatting sqref="T1:T1048576">
    <cfRule type="containsText" dxfId="336" priority="3" operator="containsText" text="belum">
      <formula>NOT(ISERROR(SEARCH("belum",T1)))</formula>
    </cfRule>
    <cfRule type="containsText" dxfId="335" priority="4" operator="containsText" text="segera">
      <formula>NOT(ISERROR(SEARCH("segera",T1)))</formula>
    </cfRule>
    <cfRule type="containsText" dxfId="334" priority="5" operator="containsText" text="Lanjutkan">
      <formula>NOT(ISERROR(SEARCH("Lanjutkan",T1)))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9698-9E69-4D26-8E88-F031B8EB22DA}">
  <sheetPr>
    <tabColor rgb="FF92D050"/>
  </sheetPr>
  <dimension ref="A2:O631"/>
  <sheetViews>
    <sheetView zoomScale="70" zoomScaleNormal="70" workbookViewId="0">
      <pane xSplit="1" ySplit="5" topLeftCell="B195" activePane="bottomRight" state="frozen"/>
      <selection activeCell="I17" sqref="I17"/>
      <selection pane="topRight" activeCell="I17" sqref="I17"/>
      <selection pane="bottomLeft" activeCell="I17" sqref="I17"/>
      <selection pane="bottomRight" activeCell="I17" sqref="I17"/>
    </sheetView>
  </sheetViews>
  <sheetFormatPr baseColWidth="10" defaultColWidth="8.6640625" defaultRowHeight="14" outlineLevelRow="1" outlineLevelCol="1" x14ac:dyDescent="0.15"/>
  <cols>
    <col min="1" max="1" width="12.5" style="3" customWidth="1"/>
    <col min="2" max="2" width="9.83203125" style="3" bestFit="1" customWidth="1" outlineLevel="1"/>
    <col min="3" max="3" width="16.33203125" style="3" customWidth="1"/>
    <col min="4" max="4" width="10.33203125" style="3" customWidth="1"/>
    <col min="5" max="5" width="10.6640625" style="3" customWidth="1"/>
    <col min="6" max="6" width="18.33203125" style="3" customWidth="1" outlineLevel="1"/>
    <col min="7" max="7" width="15.83203125" style="3" customWidth="1"/>
    <col min="8" max="8" width="13.5" style="2" customWidth="1"/>
    <col min="9" max="9" width="14.1640625" style="2" customWidth="1"/>
    <col min="10" max="10" width="17.1640625" style="2" customWidth="1"/>
    <col min="11" max="11" width="21.5" style="2" customWidth="1"/>
    <col min="12" max="12" width="11.1640625" style="3" customWidth="1"/>
    <col min="13" max="13" width="26.6640625" style="3" bestFit="1" customWidth="1"/>
    <col min="14" max="14" width="21.5" style="2" customWidth="1"/>
    <col min="15" max="15" width="11.1640625" style="3" customWidth="1"/>
    <col min="16" max="16384" width="8.6640625" style="3"/>
  </cols>
  <sheetData>
    <row r="2" spans="1:15" ht="16" x14ac:dyDescent="0.2">
      <c r="A2" s="1" t="s">
        <v>0</v>
      </c>
      <c r="B2" s="2"/>
      <c r="C2" s="2"/>
      <c r="D2" s="2"/>
      <c r="E2" s="2"/>
      <c r="F2" s="2"/>
      <c r="G2" s="2"/>
    </row>
    <row r="3" spans="1:15" x14ac:dyDescent="0.15">
      <c r="A3" s="276" t="s">
        <v>1</v>
      </c>
      <c r="B3" s="276" t="s">
        <v>2</v>
      </c>
      <c r="C3" s="276" t="s">
        <v>3</v>
      </c>
      <c r="D3" s="276" t="s">
        <v>4</v>
      </c>
      <c r="E3" s="276" t="s">
        <v>5</v>
      </c>
      <c r="F3" s="276" t="s">
        <v>6</v>
      </c>
      <c r="G3" s="284" t="s">
        <v>7</v>
      </c>
      <c r="H3" s="275" t="s">
        <v>8</v>
      </c>
      <c r="I3" s="275" t="s">
        <v>9</v>
      </c>
      <c r="J3" s="275" t="s">
        <v>626</v>
      </c>
      <c r="K3" s="275" t="s">
        <v>627</v>
      </c>
      <c r="L3" s="275" t="s">
        <v>10</v>
      </c>
      <c r="M3" s="276" t="s">
        <v>11</v>
      </c>
      <c r="N3" s="275" t="s">
        <v>2096</v>
      </c>
      <c r="O3" s="275" t="s">
        <v>10</v>
      </c>
    </row>
    <row r="4" spans="1:15" x14ac:dyDescent="0.15">
      <c r="A4" s="276"/>
      <c r="B4" s="276"/>
      <c r="C4" s="276"/>
      <c r="D4" s="276"/>
      <c r="E4" s="276"/>
      <c r="F4" s="276"/>
      <c r="G4" s="284"/>
      <c r="H4" s="275"/>
      <c r="I4" s="275"/>
      <c r="J4" s="275"/>
      <c r="K4" s="275"/>
      <c r="L4" s="275"/>
      <c r="M4" s="276"/>
      <c r="N4" s="275"/>
      <c r="O4" s="275"/>
    </row>
    <row r="5" spans="1:15" ht="10.5" customHeight="1" x14ac:dyDescent="0.15">
      <c r="A5" s="4"/>
      <c r="B5" s="4"/>
      <c r="C5" s="4"/>
      <c r="D5" s="4"/>
      <c r="E5" s="4"/>
      <c r="F5" s="4"/>
      <c r="G5" s="5"/>
      <c r="H5" s="6"/>
      <c r="I5" s="6"/>
      <c r="J5" s="6"/>
      <c r="K5" s="6"/>
      <c r="L5" s="6"/>
      <c r="M5" s="7"/>
      <c r="N5" s="6"/>
      <c r="O5" s="6"/>
    </row>
    <row r="6" spans="1:15" outlineLevel="1" x14ac:dyDescent="0.15">
      <c r="A6" s="8" t="s">
        <v>1914</v>
      </c>
      <c r="B6" s="8"/>
      <c r="C6" s="8" t="s">
        <v>14</v>
      </c>
      <c r="D6" s="186" t="s">
        <v>1915</v>
      </c>
      <c r="E6" s="9">
        <v>43.17</v>
      </c>
      <c r="F6" s="8" t="s">
        <v>1740</v>
      </c>
      <c r="G6" s="10">
        <v>5343</v>
      </c>
      <c r="H6" s="11"/>
      <c r="I6" s="143"/>
      <c r="J6" s="9">
        <f t="array" ref="J6">IFERROR(I6/G6*100,0)</f>
        <v>0</v>
      </c>
      <c r="K6" s="143"/>
      <c r="L6" s="9">
        <f t="shared" ref="L6:L69" si="0">IFERROR(K6/I6*100,0)</f>
        <v>0</v>
      </c>
      <c r="M6" s="8" t="str">
        <f t="array" ref="M6">IF(L6&gt;5,"Perlu Pengendalian",IF(AND(L6&gt;=0,I6&gt;0),"Tidak Perlu Pengendalian","Belum Sensus"))</f>
        <v>Belum Sensus</v>
      </c>
      <c r="N6" s="143"/>
      <c r="O6" s="9">
        <f t="array" ref="O6">IFERROR(N6/I6*100,0)</f>
        <v>0</v>
      </c>
    </row>
    <row r="7" spans="1:15" outlineLevel="1" x14ac:dyDescent="0.15">
      <c r="A7" s="8" t="s">
        <v>1914</v>
      </c>
      <c r="B7" s="8"/>
      <c r="C7" s="8" t="s">
        <v>14</v>
      </c>
      <c r="D7" s="186" t="s">
        <v>1916</v>
      </c>
      <c r="E7" s="9">
        <v>32</v>
      </c>
      <c r="F7" s="8" t="s">
        <v>1740</v>
      </c>
      <c r="G7" s="10">
        <v>4340</v>
      </c>
      <c r="H7" s="11"/>
      <c r="I7" s="143"/>
      <c r="J7" s="9">
        <f t="array" ref="J7">IFERROR(I7/G7*100,0)</f>
        <v>0</v>
      </c>
      <c r="K7" s="143"/>
      <c r="L7" s="9">
        <f t="shared" si="0"/>
        <v>0</v>
      </c>
      <c r="M7" s="8" t="str">
        <f t="array" ref="M7">IF(L7&gt;5,"Perlu Pengendalian",IF(AND(L7&gt;=0,I7&gt;0),"Tidak Perlu Pengendalian","Belum Sensus"))</f>
        <v>Belum Sensus</v>
      </c>
      <c r="N7" s="143"/>
      <c r="O7" s="9">
        <f t="array" ref="O7">IFERROR(N7/I7*100,0)</f>
        <v>0</v>
      </c>
    </row>
    <row r="8" spans="1:15" outlineLevel="1" x14ac:dyDescent="0.15">
      <c r="A8" s="8" t="s">
        <v>1914</v>
      </c>
      <c r="B8" s="8"/>
      <c r="C8" s="8" t="s">
        <v>14</v>
      </c>
      <c r="D8" s="186" t="s">
        <v>1917</v>
      </c>
      <c r="E8" s="9">
        <v>33.97</v>
      </c>
      <c r="F8" s="8" t="s">
        <v>1740</v>
      </c>
      <c r="G8" s="10">
        <v>4256</v>
      </c>
      <c r="H8" s="11"/>
      <c r="I8" s="143"/>
      <c r="J8" s="9">
        <f t="array" ref="J8">IFERROR(I8/G8*100,0)</f>
        <v>0</v>
      </c>
      <c r="K8" s="143"/>
      <c r="L8" s="9">
        <f t="shared" si="0"/>
        <v>0</v>
      </c>
      <c r="M8" s="8" t="str">
        <f t="array" ref="M8">IF(L8&gt;5,"Perlu Pengendalian",IF(AND(L8&gt;=0,I8&gt;0),"Tidak Perlu Pengendalian","Belum Sensus"))</f>
        <v>Belum Sensus</v>
      </c>
      <c r="N8" s="143"/>
      <c r="O8" s="9">
        <f t="array" ref="O8">IFERROR(N8/I8*100,0)</f>
        <v>0</v>
      </c>
    </row>
    <row r="9" spans="1:15" outlineLevel="1" x14ac:dyDescent="0.15">
      <c r="A9" s="8" t="s">
        <v>1914</v>
      </c>
      <c r="B9" s="8"/>
      <c r="C9" s="8" t="s">
        <v>14</v>
      </c>
      <c r="D9" s="186" t="s">
        <v>1830</v>
      </c>
      <c r="E9" s="9">
        <v>40.46</v>
      </c>
      <c r="F9" s="8" t="s">
        <v>1740</v>
      </c>
      <c r="G9" s="10">
        <v>5130</v>
      </c>
      <c r="H9" s="11"/>
      <c r="I9" s="143"/>
      <c r="J9" s="9">
        <f t="array" ref="J9">IFERROR(I9/G9*100,0)</f>
        <v>0</v>
      </c>
      <c r="K9" s="143"/>
      <c r="L9" s="9">
        <f t="shared" si="0"/>
        <v>0</v>
      </c>
      <c r="M9" s="8" t="str">
        <f t="array" ref="M9">IF(L9&gt;5,"Perlu Pengendalian",IF(AND(L9&gt;=0,I9&gt;0),"Tidak Perlu Pengendalian","Belum Sensus"))</f>
        <v>Belum Sensus</v>
      </c>
      <c r="N9" s="143"/>
      <c r="O9" s="9">
        <f t="array" ref="O9">IFERROR(N9/I9*100,0)</f>
        <v>0</v>
      </c>
    </row>
    <row r="10" spans="1:15" outlineLevel="1" x14ac:dyDescent="0.15">
      <c r="A10" s="8" t="s">
        <v>1914</v>
      </c>
      <c r="B10" s="8"/>
      <c r="C10" s="8" t="s">
        <v>14</v>
      </c>
      <c r="D10" s="186" t="s">
        <v>1798</v>
      </c>
      <c r="E10" s="9">
        <v>32.07</v>
      </c>
      <c r="F10" s="8" t="s">
        <v>1740</v>
      </c>
      <c r="G10" s="10">
        <v>3686</v>
      </c>
      <c r="H10" s="11"/>
      <c r="I10" s="143"/>
      <c r="J10" s="9">
        <f t="array" ref="J10">IFERROR(I10/G10*100,0)</f>
        <v>0</v>
      </c>
      <c r="K10" s="143"/>
      <c r="L10" s="9">
        <f t="shared" si="0"/>
        <v>0</v>
      </c>
      <c r="M10" s="8" t="str">
        <f t="array" ref="M10">IF(L10&gt;5,"Perlu Pengendalian",IF(AND(L10&gt;=0,I10&gt;0),"Tidak Perlu Pengendalian","Belum Sensus"))</f>
        <v>Belum Sensus</v>
      </c>
      <c r="N10" s="143"/>
      <c r="O10" s="9">
        <f t="array" ref="O10">IFERROR(N10/I10*100,0)</f>
        <v>0</v>
      </c>
    </row>
    <row r="11" spans="1:15" outlineLevel="1" x14ac:dyDescent="0.15">
      <c r="A11" s="8" t="s">
        <v>1914</v>
      </c>
      <c r="B11" s="8"/>
      <c r="C11" s="8" t="s">
        <v>14</v>
      </c>
      <c r="D11" s="186" t="s">
        <v>1829</v>
      </c>
      <c r="E11" s="9">
        <v>30.14</v>
      </c>
      <c r="F11" s="8" t="s">
        <v>1740</v>
      </c>
      <c r="G11" s="10">
        <v>2898</v>
      </c>
      <c r="H11" s="11"/>
      <c r="I11" s="143"/>
      <c r="J11" s="9">
        <f t="array" ref="J11">IFERROR(I11/G11*100,0)</f>
        <v>0</v>
      </c>
      <c r="K11" s="143"/>
      <c r="L11" s="9">
        <f t="shared" si="0"/>
        <v>0</v>
      </c>
      <c r="M11" s="8" t="str">
        <f t="array" ref="M11">IF(L11&gt;5,"Perlu Pengendalian",IF(AND(L11&gt;=0,I11&gt;0),"Tidak Perlu Pengendalian","Belum Sensus"))</f>
        <v>Belum Sensus</v>
      </c>
      <c r="N11" s="143"/>
      <c r="O11" s="9">
        <f t="array" ref="O11">IFERROR(N11/I11*100,0)</f>
        <v>0</v>
      </c>
    </row>
    <row r="12" spans="1:15" outlineLevel="1" x14ac:dyDescent="0.15">
      <c r="A12" s="8" t="s">
        <v>1914</v>
      </c>
      <c r="B12" s="8"/>
      <c r="C12" s="8" t="s">
        <v>14</v>
      </c>
      <c r="D12" s="181" t="s">
        <v>1000</v>
      </c>
      <c r="E12" s="9">
        <v>24.73</v>
      </c>
      <c r="F12" s="8" t="s">
        <v>1740</v>
      </c>
      <c r="G12" s="10">
        <v>3163</v>
      </c>
      <c r="H12" s="11"/>
      <c r="I12" s="143"/>
      <c r="J12" s="9">
        <f t="array" ref="J12">IFERROR(I12/G12*100,0)</f>
        <v>0</v>
      </c>
      <c r="K12" s="143"/>
      <c r="L12" s="9">
        <f t="shared" si="0"/>
        <v>0</v>
      </c>
      <c r="M12" s="8" t="str">
        <f t="array" ref="M12">IF(L12&gt;5,"Perlu Pengendalian",IF(AND(L12&gt;=0,I12&gt;0),"Tidak Perlu Pengendalian","Belum Sensus"))</f>
        <v>Belum Sensus</v>
      </c>
      <c r="N12" s="143"/>
      <c r="O12" s="9">
        <f t="array" ref="O12">IFERROR(N12/I12*100,0)</f>
        <v>0</v>
      </c>
    </row>
    <row r="13" spans="1:15" outlineLevel="1" x14ac:dyDescent="0.15">
      <c r="A13" s="8" t="s">
        <v>1914</v>
      </c>
      <c r="B13" s="8"/>
      <c r="C13" s="8" t="s">
        <v>14</v>
      </c>
      <c r="D13" s="181" t="s">
        <v>1776</v>
      </c>
      <c r="E13" s="9">
        <v>27.71</v>
      </c>
      <c r="F13" s="8" t="s">
        <v>1740</v>
      </c>
      <c r="G13" s="10">
        <v>2983</v>
      </c>
      <c r="H13" s="11"/>
      <c r="I13" s="143"/>
      <c r="J13" s="9">
        <f t="array" ref="J13">IFERROR(I13/G13*100,0)</f>
        <v>0</v>
      </c>
      <c r="K13" s="143"/>
      <c r="L13" s="9">
        <f t="shared" si="0"/>
        <v>0</v>
      </c>
      <c r="M13" s="8" t="str">
        <f t="array" ref="M13">IF(L13&gt;5,"Perlu Pengendalian",IF(AND(L13&gt;=0,I13&gt;0),"Tidak Perlu Pengendalian","Belum Sensus"))</f>
        <v>Belum Sensus</v>
      </c>
      <c r="N13" s="143"/>
      <c r="O13" s="9">
        <f t="array" ref="O13">IFERROR(N13/I13*100,0)</f>
        <v>0</v>
      </c>
    </row>
    <row r="14" spans="1:15" outlineLevel="1" x14ac:dyDescent="0.15">
      <c r="A14" s="8" t="s">
        <v>1914</v>
      </c>
      <c r="B14" s="8"/>
      <c r="C14" s="8" t="s">
        <v>14</v>
      </c>
      <c r="D14" s="186" t="s">
        <v>1910</v>
      </c>
      <c r="E14" s="9">
        <v>32.370000000000005</v>
      </c>
      <c r="F14" s="8" t="s">
        <v>1740</v>
      </c>
      <c r="G14" s="10">
        <v>2862</v>
      </c>
      <c r="H14" s="11"/>
      <c r="I14" s="143"/>
      <c r="J14" s="9">
        <f t="array" ref="J14">IFERROR(I14/G14*100,0)</f>
        <v>0</v>
      </c>
      <c r="K14" s="143"/>
      <c r="L14" s="9">
        <f t="shared" si="0"/>
        <v>0</v>
      </c>
      <c r="M14" s="8" t="str">
        <f t="array" ref="M14">IF(L14&gt;5,"Perlu Pengendalian",IF(AND(L14&gt;=0,I14&gt;0),"Tidak Perlu Pengendalian","Belum Sensus"))</f>
        <v>Belum Sensus</v>
      </c>
      <c r="N14" s="143"/>
      <c r="O14" s="9">
        <f t="array" ref="O14">IFERROR(N14/I14*100,0)</f>
        <v>0</v>
      </c>
    </row>
    <row r="15" spans="1:15" outlineLevel="1" x14ac:dyDescent="0.15">
      <c r="A15" s="8" t="s">
        <v>1914</v>
      </c>
      <c r="B15" s="8"/>
      <c r="C15" s="8" t="s">
        <v>14</v>
      </c>
      <c r="D15" s="186" t="s">
        <v>1918</v>
      </c>
      <c r="E15" s="9">
        <v>30.61</v>
      </c>
      <c r="F15" s="8" t="s">
        <v>1740</v>
      </c>
      <c r="G15" s="10">
        <v>3531</v>
      </c>
      <c r="H15" s="11"/>
      <c r="I15" s="143"/>
      <c r="J15" s="9">
        <f t="array" ref="J15">IFERROR(I15/G15*100,0)</f>
        <v>0</v>
      </c>
      <c r="K15" s="143"/>
      <c r="L15" s="9">
        <f t="shared" si="0"/>
        <v>0</v>
      </c>
      <c r="M15" s="8" t="str">
        <f t="array" ref="M15">IF(L15&gt;5,"Perlu Pengendalian",IF(AND(L15&gt;=0,I15&gt;0),"Tidak Perlu Pengendalian","Belum Sensus"))</f>
        <v>Belum Sensus</v>
      </c>
      <c r="N15" s="143"/>
      <c r="O15" s="9">
        <f t="array" ref="O15">IFERROR(N15/I15*100,0)</f>
        <v>0</v>
      </c>
    </row>
    <row r="16" spans="1:15" outlineLevel="1" x14ac:dyDescent="0.15">
      <c r="A16" s="8" t="s">
        <v>1914</v>
      </c>
      <c r="B16" s="8"/>
      <c r="C16" s="8" t="s">
        <v>14</v>
      </c>
      <c r="D16" s="186" t="s">
        <v>1799</v>
      </c>
      <c r="E16" s="9">
        <v>31.200000000000003</v>
      </c>
      <c r="F16" s="8" t="s">
        <v>1740</v>
      </c>
      <c r="G16" s="10">
        <v>3603</v>
      </c>
      <c r="H16" s="11"/>
      <c r="I16" s="143"/>
      <c r="J16" s="9">
        <f t="array" ref="J16">IFERROR(I16/G16*100,0)</f>
        <v>0</v>
      </c>
      <c r="K16" s="143"/>
      <c r="L16" s="9">
        <f t="shared" si="0"/>
        <v>0</v>
      </c>
      <c r="M16" s="8" t="str">
        <f t="array" ref="M16">IF(L16&gt;5,"Perlu Pengendalian",IF(AND(L16&gt;=0,I16&gt;0),"Tidak Perlu Pengendalian","Belum Sensus"))</f>
        <v>Belum Sensus</v>
      </c>
      <c r="N16" s="143"/>
      <c r="O16" s="9">
        <f t="array" ref="O16">IFERROR(N16/I16*100,0)</f>
        <v>0</v>
      </c>
    </row>
    <row r="17" spans="1:15" outlineLevel="1" x14ac:dyDescent="0.15">
      <c r="A17" s="8" t="s">
        <v>1914</v>
      </c>
      <c r="B17" s="8"/>
      <c r="C17" s="8" t="s">
        <v>14</v>
      </c>
      <c r="D17" s="186" t="s">
        <v>1019</v>
      </c>
      <c r="E17" s="9">
        <v>37.35</v>
      </c>
      <c r="F17" s="8" t="s">
        <v>1740</v>
      </c>
      <c r="G17" s="10">
        <v>4571</v>
      </c>
      <c r="H17" s="11"/>
      <c r="I17" s="143"/>
      <c r="J17" s="9">
        <f t="array" ref="J17">IFERROR(I17/G17*100,0)</f>
        <v>0</v>
      </c>
      <c r="K17" s="143"/>
      <c r="L17" s="9">
        <f t="shared" si="0"/>
        <v>0</v>
      </c>
      <c r="M17" s="8" t="str">
        <f t="array" ref="M17">IF(L17&gt;5,"Perlu Pengendalian",IF(AND(L17&gt;=0,I17&gt;0),"Tidak Perlu Pengendalian","Belum Sensus"))</f>
        <v>Belum Sensus</v>
      </c>
      <c r="N17" s="143"/>
      <c r="O17" s="9">
        <f t="array" ref="O17">IFERROR(N17/I17*100,0)</f>
        <v>0</v>
      </c>
    </row>
    <row r="18" spans="1:15" outlineLevel="1" x14ac:dyDescent="0.15">
      <c r="A18" s="8" t="s">
        <v>1914</v>
      </c>
      <c r="B18" s="8"/>
      <c r="C18" s="8" t="s">
        <v>14</v>
      </c>
      <c r="D18" s="181" t="s">
        <v>1919</v>
      </c>
      <c r="E18" s="9">
        <v>44.55</v>
      </c>
      <c r="F18" s="8" t="s">
        <v>1740</v>
      </c>
      <c r="G18" s="10">
        <v>4033</v>
      </c>
      <c r="H18" s="11"/>
      <c r="I18" s="143"/>
      <c r="J18" s="9">
        <f t="array" ref="J18">IFERROR(I18/G18*100,0)</f>
        <v>0</v>
      </c>
      <c r="K18" s="143"/>
      <c r="L18" s="9">
        <f t="shared" si="0"/>
        <v>0</v>
      </c>
      <c r="M18" s="8" t="str">
        <f t="array" ref="M18">IF(L18&gt;5,"Perlu Pengendalian",IF(AND(L18&gt;=0,I18&gt;0),"Tidak Perlu Pengendalian","Belum Sensus"))</f>
        <v>Belum Sensus</v>
      </c>
      <c r="N18" s="143"/>
      <c r="O18" s="9">
        <f t="array" ref="O18">IFERROR(N18/I18*100,0)</f>
        <v>0</v>
      </c>
    </row>
    <row r="19" spans="1:15" outlineLevel="1" x14ac:dyDescent="0.15">
      <c r="A19" s="8" t="s">
        <v>1914</v>
      </c>
      <c r="B19" s="8"/>
      <c r="C19" s="8" t="s">
        <v>14</v>
      </c>
      <c r="D19" s="181" t="s">
        <v>1920</v>
      </c>
      <c r="E19" s="9">
        <v>24.84</v>
      </c>
      <c r="F19" s="8" t="s">
        <v>1740</v>
      </c>
      <c r="G19" s="10">
        <v>2687</v>
      </c>
      <c r="H19" s="11"/>
      <c r="I19" s="143"/>
      <c r="J19" s="9">
        <f t="array" ref="J19">IFERROR(I19/G19*100,0)</f>
        <v>0</v>
      </c>
      <c r="K19" s="143"/>
      <c r="L19" s="9">
        <f t="shared" si="0"/>
        <v>0</v>
      </c>
      <c r="M19" s="8" t="str">
        <f t="array" ref="M19">IF(L19&gt;5,"Perlu Pengendalian",IF(AND(L19&gt;=0,I19&gt;0),"Tidak Perlu Pengendalian","Belum Sensus"))</f>
        <v>Belum Sensus</v>
      </c>
      <c r="N19" s="143"/>
      <c r="O19" s="9">
        <f t="array" ref="O19">IFERROR(N19/I19*100,0)</f>
        <v>0</v>
      </c>
    </row>
    <row r="20" spans="1:15" outlineLevel="1" x14ac:dyDescent="0.15">
      <c r="A20" s="8" t="s">
        <v>1914</v>
      </c>
      <c r="B20" s="8"/>
      <c r="C20" s="8" t="s">
        <v>14</v>
      </c>
      <c r="D20" s="186" t="s">
        <v>1921</v>
      </c>
      <c r="E20" s="9">
        <v>24.61</v>
      </c>
      <c r="F20" s="8" t="s">
        <v>1740</v>
      </c>
      <c r="G20" s="10">
        <v>3029</v>
      </c>
      <c r="H20" s="11"/>
      <c r="I20" s="143"/>
      <c r="J20" s="9">
        <f t="array" ref="J20">IFERROR(I20/G20*100,0)</f>
        <v>0</v>
      </c>
      <c r="K20" s="143"/>
      <c r="L20" s="9">
        <f t="shared" si="0"/>
        <v>0</v>
      </c>
      <c r="M20" s="8" t="str">
        <f t="array" ref="M20">IF(L20&gt;5,"Perlu Pengendalian",IF(AND(L20&gt;=0,I20&gt;0),"Tidak Perlu Pengendalian","Belum Sensus"))</f>
        <v>Belum Sensus</v>
      </c>
      <c r="N20" s="143"/>
      <c r="O20" s="9">
        <f t="array" ref="O20">IFERROR(N20/I20*100,0)</f>
        <v>0</v>
      </c>
    </row>
    <row r="21" spans="1:15" outlineLevel="1" x14ac:dyDescent="0.15">
      <c r="A21" s="8" t="s">
        <v>1914</v>
      </c>
      <c r="B21" s="8"/>
      <c r="C21" s="8" t="s">
        <v>14</v>
      </c>
      <c r="D21" s="186" t="s">
        <v>1812</v>
      </c>
      <c r="E21" s="9">
        <v>41.010000000000005</v>
      </c>
      <c r="F21" s="8" t="s">
        <v>1740</v>
      </c>
      <c r="G21" s="10">
        <v>4064</v>
      </c>
      <c r="H21" s="11"/>
      <c r="I21" s="143"/>
      <c r="J21" s="9">
        <f t="array" ref="J21">IFERROR(I21/G21*100,0)</f>
        <v>0</v>
      </c>
      <c r="K21" s="143"/>
      <c r="L21" s="9">
        <f t="shared" si="0"/>
        <v>0</v>
      </c>
      <c r="M21" s="8" t="str">
        <f t="array" ref="M21">IF(L21&gt;5,"Perlu Pengendalian",IF(AND(L21&gt;=0,I21&gt;0),"Tidak Perlu Pengendalian","Belum Sensus"))</f>
        <v>Belum Sensus</v>
      </c>
      <c r="N21" s="143"/>
      <c r="O21" s="9">
        <f t="array" ref="O21">IFERROR(N21/I21*100,0)</f>
        <v>0</v>
      </c>
    </row>
    <row r="22" spans="1:15" outlineLevel="1" x14ac:dyDescent="0.15">
      <c r="A22" s="8" t="s">
        <v>1914</v>
      </c>
      <c r="B22" s="8"/>
      <c r="C22" s="8" t="s">
        <v>14</v>
      </c>
      <c r="D22" s="186" t="s">
        <v>1922</v>
      </c>
      <c r="E22" s="9">
        <v>32.89</v>
      </c>
      <c r="F22" s="8" t="s">
        <v>1740</v>
      </c>
      <c r="G22" s="10">
        <v>4528</v>
      </c>
      <c r="H22" s="11"/>
      <c r="I22" s="143"/>
      <c r="J22" s="9">
        <f t="array" ref="J22">IFERROR(I22/G22*100,0)</f>
        <v>0</v>
      </c>
      <c r="K22" s="143"/>
      <c r="L22" s="9">
        <f t="shared" si="0"/>
        <v>0</v>
      </c>
      <c r="M22" s="8" t="str">
        <f t="array" ref="M22">IF(L22&gt;5,"Perlu Pengendalian",IF(AND(L22&gt;=0,I22&gt;0),"Tidak Perlu Pengendalian","Belum Sensus"))</f>
        <v>Belum Sensus</v>
      </c>
      <c r="N22" s="143"/>
      <c r="O22" s="9">
        <f t="array" ref="O22">IFERROR(N22/I22*100,0)</f>
        <v>0</v>
      </c>
    </row>
    <row r="23" spans="1:15" outlineLevel="1" x14ac:dyDescent="0.15">
      <c r="A23" s="8" t="s">
        <v>1914</v>
      </c>
      <c r="B23" s="8"/>
      <c r="C23" s="8" t="s">
        <v>14</v>
      </c>
      <c r="D23" s="186" t="s">
        <v>1923</v>
      </c>
      <c r="E23" s="9">
        <v>42.180000000000007</v>
      </c>
      <c r="F23" s="8" t="s">
        <v>1740</v>
      </c>
      <c r="G23" s="10">
        <v>3995</v>
      </c>
      <c r="H23" s="11"/>
      <c r="I23" s="143"/>
      <c r="J23" s="9">
        <f t="array" ref="J23">IFERROR(I23/G23*100,0)</f>
        <v>0</v>
      </c>
      <c r="K23" s="143"/>
      <c r="L23" s="9">
        <f t="shared" si="0"/>
        <v>0</v>
      </c>
      <c r="M23" s="8" t="str">
        <f t="array" ref="M23">IF(L23&gt;5,"Perlu Pengendalian",IF(AND(L23&gt;=0,I23&gt;0),"Tidak Perlu Pengendalian","Belum Sensus"))</f>
        <v>Belum Sensus</v>
      </c>
      <c r="N23" s="143"/>
      <c r="O23" s="9">
        <f t="array" ref="O23">IFERROR(N23/I23*100,0)</f>
        <v>0</v>
      </c>
    </row>
    <row r="24" spans="1:15" outlineLevel="1" x14ac:dyDescent="0.15">
      <c r="A24" s="8" t="s">
        <v>1914</v>
      </c>
      <c r="B24" s="8"/>
      <c r="C24" s="8" t="s">
        <v>14</v>
      </c>
      <c r="D24" s="186" t="s">
        <v>1828</v>
      </c>
      <c r="E24" s="9">
        <v>40.22</v>
      </c>
      <c r="F24" s="8" t="s">
        <v>1740</v>
      </c>
      <c r="G24" s="10">
        <v>4043</v>
      </c>
      <c r="H24" s="11"/>
      <c r="I24" s="143"/>
      <c r="J24" s="9">
        <f t="array" ref="J24">IFERROR(I24/G24*100,0)</f>
        <v>0</v>
      </c>
      <c r="K24" s="143"/>
      <c r="L24" s="9">
        <f t="shared" si="0"/>
        <v>0</v>
      </c>
      <c r="M24" s="8" t="str">
        <f t="array" ref="M24">IF(L24&gt;5,"Perlu Pengendalian",IF(AND(L24&gt;=0,I24&gt;0),"Tidak Perlu Pengendalian","Belum Sensus"))</f>
        <v>Belum Sensus</v>
      </c>
      <c r="N24" s="143"/>
      <c r="O24" s="9">
        <f t="array" ref="O24">IFERROR(N24/I24*100,0)</f>
        <v>0</v>
      </c>
    </row>
    <row r="25" spans="1:15" outlineLevel="1" x14ac:dyDescent="0.15">
      <c r="A25" s="8" t="s">
        <v>1914</v>
      </c>
      <c r="B25" s="8"/>
      <c r="C25" s="8" t="s">
        <v>47</v>
      </c>
      <c r="D25" s="181" t="s">
        <v>1810</v>
      </c>
      <c r="E25" s="9">
        <v>26.459999999999997</v>
      </c>
      <c r="F25" s="8" t="s">
        <v>1740</v>
      </c>
      <c r="G25" s="10">
        <v>3447.0000000000005</v>
      </c>
      <c r="H25" s="11"/>
      <c r="I25" s="143"/>
      <c r="J25" s="9">
        <f t="array" ref="J25">IFERROR(I25/G25*100,0)</f>
        <v>0</v>
      </c>
      <c r="K25" s="143"/>
      <c r="L25" s="9">
        <f t="shared" si="0"/>
        <v>0</v>
      </c>
      <c r="M25" s="8" t="str">
        <f t="array" ref="M25">IF(L25&gt;5,"Perlu Pengendalian",IF(AND(L25&gt;=0,I25&gt;0),"Tidak Perlu Pengendalian","Belum Sensus"))</f>
        <v>Belum Sensus</v>
      </c>
      <c r="N25" s="143"/>
      <c r="O25" s="9">
        <f t="array" ref="O25">IFERROR(N25/I25*100,0)</f>
        <v>0</v>
      </c>
    </row>
    <row r="26" spans="1:15" outlineLevel="1" x14ac:dyDescent="0.15">
      <c r="A26" s="8" t="s">
        <v>1914</v>
      </c>
      <c r="B26" s="8"/>
      <c r="C26" s="8" t="s">
        <v>47</v>
      </c>
      <c r="D26" s="181" t="s">
        <v>1771</v>
      </c>
      <c r="E26" s="9">
        <v>31.610000000000003</v>
      </c>
      <c r="F26" s="8" t="s">
        <v>1740</v>
      </c>
      <c r="G26" s="10">
        <v>3661</v>
      </c>
      <c r="H26" s="11"/>
      <c r="I26" s="143"/>
      <c r="J26" s="9">
        <f t="array" ref="J26">IFERROR(I26/G26*100,0)</f>
        <v>0</v>
      </c>
      <c r="K26" s="143"/>
      <c r="L26" s="9">
        <f t="shared" si="0"/>
        <v>0</v>
      </c>
      <c r="M26" s="8" t="str">
        <f t="array" ref="M26">IF(L26&gt;5,"Perlu Pengendalian",IF(AND(L26&gt;=0,I26&gt;0),"Tidak Perlu Pengendalian","Belum Sensus"))</f>
        <v>Belum Sensus</v>
      </c>
      <c r="N26" s="143"/>
      <c r="O26" s="9">
        <f t="array" ref="O26">IFERROR(N26/I26*100,0)</f>
        <v>0</v>
      </c>
    </row>
    <row r="27" spans="1:15" outlineLevel="1" x14ac:dyDescent="0.15">
      <c r="A27" s="8" t="s">
        <v>1914</v>
      </c>
      <c r="B27" s="8"/>
      <c r="C27" s="8" t="s">
        <v>47</v>
      </c>
      <c r="D27" s="186" t="s">
        <v>1806</v>
      </c>
      <c r="E27" s="9">
        <v>29.28</v>
      </c>
      <c r="F27" s="8" t="s">
        <v>1740</v>
      </c>
      <c r="G27" s="10">
        <v>4039.0000000000005</v>
      </c>
      <c r="H27" s="11"/>
      <c r="I27" s="143"/>
      <c r="J27" s="9">
        <f t="array" ref="J27">IFERROR(I27/G27*100,0)</f>
        <v>0</v>
      </c>
      <c r="K27" s="143"/>
      <c r="L27" s="9">
        <f t="shared" si="0"/>
        <v>0</v>
      </c>
      <c r="M27" s="8" t="str">
        <f t="array" ref="M27">IF(L27&gt;5,"Perlu Pengendalian",IF(AND(L27&gt;=0,I27&gt;0),"Tidak Perlu Pengendalian","Belum Sensus"))</f>
        <v>Belum Sensus</v>
      </c>
      <c r="N27" s="143"/>
      <c r="O27" s="9">
        <f t="array" ref="O27">IFERROR(N27/I27*100,0)</f>
        <v>0</v>
      </c>
    </row>
    <row r="28" spans="1:15" outlineLevel="1" x14ac:dyDescent="0.15">
      <c r="A28" s="8" t="s">
        <v>1914</v>
      </c>
      <c r="B28" s="8"/>
      <c r="C28" s="8" t="s">
        <v>47</v>
      </c>
      <c r="D28" s="186" t="s">
        <v>1037</v>
      </c>
      <c r="E28" s="9">
        <v>25.589999999999996</v>
      </c>
      <c r="F28" s="8" t="s">
        <v>1740</v>
      </c>
      <c r="G28" s="10">
        <v>3457.9999999999995</v>
      </c>
      <c r="H28" s="11"/>
      <c r="I28" s="143"/>
      <c r="J28" s="9">
        <f t="array" ref="J28">IFERROR(I28/G28*100,0)</f>
        <v>0</v>
      </c>
      <c r="K28" s="143"/>
      <c r="L28" s="9">
        <f t="shared" si="0"/>
        <v>0</v>
      </c>
      <c r="M28" s="8" t="str">
        <f t="array" ref="M28">IF(L28&gt;5,"Perlu Pengendalian",IF(AND(L28&gt;=0,I28&gt;0),"Tidak Perlu Pengendalian","Belum Sensus"))</f>
        <v>Belum Sensus</v>
      </c>
      <c r="N28" s="143"/>
      <c r="O28" s="9">
        <f t="array" ref="O28">IFERROR(N28/I28*100,0)</f>
        <v>0</v>
      </c>
    </row>
    <row r="29" spans="1:15" outlineLevel="1" x14ac:dyDescent="0.15">
      <c r="A29" s="8" t="s">
        <v>1914</v>
      </c>
      <c r="B29" s="8"/>
      <c r="C29" s="8" t="s">
        <v>47</v>
      </c>
      <c r="D29" s="186" t="s">
        <v>1773</v>
      </c>
      <c r="E29" s="9">
        <v>39.419999999999995</v>
      </c>
      <c r="F29" s="8" t="s">
        <v>1740</v>
      </c>
      <c r="G29" s="10">
        <v>4893</v>
      </c>
      <c r="H29" s="11"/>
      <c r="I29" s="143"/>
      <c r="J29" s="9">
        <f t="array" ref="J29">IFERROR(I29/G29*100,0)</f>
        <v>0</v>
      </c>
      <c r="K29" s="143"/>
      <c r="L29" s="9">
        <f t="shared" si="0"/>
        <v>0</v>
      </c>
      <c r="M29" s="8" t="str">
        <f t="array" ref="M29">IF(L29&gt;5,"Perlu Pengendalian",IF(AND(L29&gt;=0,I29&gt;0),"Tidak Perlu Pengendalian","Belum Sensus"))</f>
        <v>Belum Sensus</v>
      </c>
      <c r="N29" s="143"/>
      <c r="O29" s="9">
        <f t="array" ref="O29">IFERROR(N29/I29*100,0)</f>
        <v>0</v>
      </c>
    </row>
    <row r="30" spans="1:15" outlineLevel="1" x14ac:dyDescent="0.15">
      <c r="A30" s="8" t="s">
        <v>1914</v>
      </c>
      <c r="B30" s="8"/>
      <c r="C30" s="8" t="s">
        <v>47</v>
      </c>
      <c r="D30" s="186" t="s">
        <v>1774</v>
      </c>
      <c r="E30" s="9">
        <v>28.509999999999998</v>
      </c>
      <c r="F30" s="8" t="s">
        <v>1740</v>
      </c>
      <c r="G30" s="10">
        <v>3554</v>
      </c>
      <c r="H30" s="11"/>
      <c r="I30" s="143"/>
      <c r="J30" s="9">
        <f t="array" ref="J30">IFERROR(I30/G30*100,0)</f>
        <v>0</v>
      </c>
      <c r="K30" s="143"/>
      <c r="L30" s="9">
        <f t="shared" si="0"/>
        <v>0</v>
      </c>
      <c r="M30" s="8" t="str">
        <f t="array" ref="M30">IF(L30&gt;5,"Perlu Pengendalian",IF(AND(L30&gt;=0,I30&gt;0),"Tidak Perlu Pengendalian","Belum Sensus"))</f>
        <v>Belum Sensus</v>
      </c>
      <c r="N30" s="143"/>
      <c r="O30" s="9">
        <f t="array" ref="O30">IFERROR(N30/I30*100,0)</f>
        <v>0</v>
      </c>
    </row>
    <row r="31" spans="1:15" outlineLevel="1" x14ac:dyDescent="0.15">
      <c r="A31" s="8" t="s">
        <v>1914</v>
      </c>
      <c r="B31" s="8"/>
      <c r="C31" s="8" t="s">
        <v>47</v>
      </c>
      <c r="D31" s="186" t="s">
        <v>1775</v>
      </c>
      <c r="E31" s="9">
        <v>32.85</v>
      </c>
      <c r="F31" s="8" t="s">
        <v>1740</v>
      </c>
      <c r="G31" s="10">
        <v>4289</v>
      </c>
      <c r="H31" s="11"/>
      <c r="I31" s="143"/>
      <c r="J31" s="9">
        <f t="array" ref="J31">IFERROR(I31/G31*100,0)</f>
        <v>0</v>
      </c>
      <c r="K31" s="143"/>
      <c r="L31" s="9">
        <f t="shared" si="0"/>
        <v>0</v>
      </c>
      <c r="M31" s="8" t="str">
        <f t="array" ref="M31">IF(L31&gt;5,"Perlu Pengendalian",IF(AND(L31&gt;=0,I31&gt;0),"Tidak Perlu Pengendalian","Belum Sensus"))</f>
        <v>Belum Sensus</v>
      </c>
      <c r="N31" s="143"/>
      <c r="O31" s="9">
        <f t="array" ref="O31">IFERROR(N31/I31*100,0)</f>
        <v>0</v>
      </c>
    </row>
    <row r="32" spans="1:15" outlineLevel="1" x14ac:dyDescent="0.15">
      <c r="A32" s="8" t="s">
        <v>1914</v>
      </c>
      <c r="B32" s="8"/>
      <c r="C32" s="8" t="s">
        <v>47</v>
      </c>
      <c r="D32" s="186" t="s">
        <v>1031</v>
      </c>
      <c r="E32" s="9">
        <v>42.36</v>
      </c>
      <c r="F32" s="8" t="s">
        <v>1740</v>
      </c>
      <c r="G32" s="10">
        <v>4758</v>
      </c>
      <c r="H32" s="11"/>
      <c r="I32" s="143"/>
      <c r="J32" s="9">
        <f t="array" ref="J32">IFERROR(I32/G32*100,0)</f>
        <v>0</v>
      </c>
      <c r="K32" s="143"/>
      <c r="L32" s="9">
        <f t="shared" si="0"/>
        <v>0</v>
      </c>
      <c r="M32" s="8" t="str">
        <f t="array" ref="M32">IF(L32&gt;5,"Perlu Pengendalian",IF(AND(L32&gt;=0,I32&gt;0),"Tidak Perlu Pengendalian","Belum Sensus"))</f>
        <v>Belum Sensus</v>
      </c>
      <c r="N32" s="143"/>
      <c r="O32" s="9">
        <f t="array" ref="O32">IFERROR(N32/I32*100,0)</f>
        <v>0</v>
      </c>
    </row>
    <row r="33" spans="1:15" outlineLevel="1" x14ac:dyDescent="0.15">
      <c r="A33" s="8" t="s">
        <v>1914</v>
      </c>
      <c r="B33" s="8"/>
      <c r="C33" s="8" t="s">
        <v>47</v>
      </c>
      <c r="D33" s="186" t="s">
        <v>1778</v>
      </c>
      <c r="E33" s="9">
        <v>40.29</v>
      </c>
      <c r="F33" s="8" t="s">
        <v>1740</v>
      </c>
      <c r="G33" s="10">
        <v>4897</v>
      </c>
      <c r="H33" s="11"/>
      <c r="I33" s="143"/>
      <c r="J33" s="9">
        <f t="array" ref="J33">IFERROR(I33/G33*100,0)</f>
        <v>0</v>
      </c>
      <c r="K33" s="143"/>
      <c r="L33" s="9">
        <f t="shared" si="0"/>
        <v>0</v>
      </c>
      <c r="M33" s="8" t="str">
        <f t="array" ref="M33">IF(L33&gt;5,"Perlu Pengendalian",IF(AND(L33&gt;=0,I33&gt;0),"Tidak Perlu Pengendalian","Belum Sensus"))</f>
        <v>Belum Sensus</v>
      </c>
      <c r="N33" s="143"/>
      <c r="O33" s="9">
        <f t="array" ref="O33">IFERROR(N33/I33*100,0)</f>
        <v>0</v>
      </c>
    </row>
    <row r="34" spans="1:15" outlineLevel="1" x14ac:dyDescent="0.15">
      <c r="A34" s="8" t="s">
        <v>1914</v>
      </c>
      <c r="B34" s="8"/>
      <c r="C34" s="8" t="s">
        <v>47</v>
      </c>
      <c r="D34" s="186" t="s">
        <v>1752</v>
      </c>
      <c r="E34" s="9">
        <v>44.550000000000004</v>
      </c>
      <c r="F34" s="8" t="s">
        <v>1740</v>
      </c>
      <c r="G34" s="10">
        <v>5876</v>
      </c>
      <c r="H34" s="11"/>
      <c r="I34" s="143"/>
      <c r="J34" s="9">
        <f t="array" ref="J34">IFERROR(I34/G34*100,0)</f>
        <v>0</v>
      </c>
      <c r="K34" s="143"/>
      <c r="L34" s="9">
        <f t="shared" si="0"/>
        <v>0</v>
      </c>
      <c r="M34" s="8" t="str">
        <f t="array" ref="M34">IF(L34&gt;5,"Perlu Pengendalian",IF(AND(L34&gt;=0,I34&gt;0),"Tidak Perlu Pengendalian","Belum Sensus"))</f>
        <v>Belum Sensus</v>
      </c>
      <c r="N34" s="143"/>
      <c r="O34" s="9">
        <f t="array" ref="O34">IFERROR(N34/I34*100,0)</f>
        <v>0</v>
      </c>
    </row>
    <row r="35" spans="1:15" outlineLevel="1" x14ac:dyDescent="0.15">
      <c r="A35" s="8" t="s">
        <v>1914</v>
      </c>
      <c r="B35" s="8"/>
      <c r="C35" s="8" t="s">
        <v>47</v>
      </c>
      <c r="D35" s="181" t="s">
        <v>1801</v>
      </c>
      <c r="E35" s="9">
        <v>39.799999999999997</v>
      </c>
      <c r="F35" s="8" t="s">
        <v>1740</v>
      </c>
      <c r="G35" s="10">
        <v>4766</v>
      </c>
      <c r="H35" s="11"/>
      <c r="I35" s="143"/>
      <c r="J35" s="9">
        <f t="array" ref="J35">IFERROR(I35/G35*100,0)</f>
        <v>0</v>
      </c>
      <c r="K35" s="143"/>
      <c r="L35" s="9">
        <f t="shared" si="0"/>
        <v>0</v>
      </c>
      <c r="M35" s="8" t="str">
        <f t="array" ref="M35">IF(L35&gt;5,"Perlu Pengendalian",IF(AND(L35&gt;=0,I35&gt;0),"Tidak Perlu Pengendalian","Belum Sensus"))</f>
        <v>Belum Sensus</v>
      </c>
      <c r="N35" s="143"/>
      <c r="O35" s="9">
        <f t="array" ref="O35">IFERROR(N35/I35*100,0)</f>
        <v>0</v>
      </c>
    </row>
    <row r="36" spans="1:15" outlineLevel="1" x14ac:dyDescent="0.15">
      <c r="A36" s="8" t="s">
        <v>1914</v>
      </c>
      <c r="B36" s="8"/>
      <c r="C36" s="8" t="s">
        <v>47</v>
      </c>
      <c r="D36" s="186" t="s">
        <v>1807</v>
      </c>
      <c r="E36" s="9">
        <v>29.090000000000003</v>
      </c>
      <c r="F36" s="8" t="s">
        <v>1740</v>
      </c>
      <c r="G36" s="10">
        <v>3917</v>
      </c>
      <c r="H36" s="11"/>
      <c r="I36" s="143"/>
      <c r="J36" s="9">
        <f t="array" ref="J36">IFERROR(I36/G36*100,0)</f>
        <v>0</v>
      </c>
      <c r="K36" s="143"/>
      <c r="L36" s="9">
        <f t="shared" si="0"/>
        <v>0</v>
      </c>
      <c r="M36" s="8" t="str">
        <f t="array" ref="M36">IF(L36&gt;5,"Perlu Pengendalian",IF(AND(L36&gt;=0,I36&gt;0),"Tidak Perlu Pengendalian","Belum Sensus"))</f>
        <v>Belum Sensus</v>
      </c>
      <c r="N36" s="143"/>
      <c r="O36" s="9">
        <f t="array" ref="O36">IFERROR(N36/I36*100,0)</f>
        <v>0</v>
      </c>
    </row>
    <row r="37" spans="1:15" outlineLevel="1" x14ac:dyDescent="0.15">
      <c r="A37" s="8" t="s">
        <v>1914</v>
      </c>
      <c r="B37" s="8"/>
      <c r="C37" s="8" t="s">
        <v>47</v>
      </c>
      <c r="D37" s="186" t="s">
        <v>1924</v>
      </c>
      <c r="E37" s="9">
        <v>45.21</v>
      </c>
      <c r="F37" s="8" t="s">
        <v>1740</v>
      </c>
      <c r="G37" s="10">
        <v>5168</v>
      </c>
      <c r="H37" s="11"/>
      <c r="I37" s="143"/>
      <c r="J37" s="9">
        <f t="array" ref="J37">IFERROR(I37/G37*100,0)</f>
        <v>0</v>
      </c>
      <c r="K37" s="143"/>
      <c r="L37" s="9">
        <f t="shared" si="0"/>
        <v>0</v>
      </c>
      <c r="M37" s="8" t="str">
        <f t="array" ref="M37">IF(L37&gt;5,"Perlu Pengendalian",IF(AND(L37&gt;=0,I37&gt;0),"Tidak Perlu Pengendalian","Belum Sensus"))</f>
        <v>Belum Sensus</v>
      </c>
      <c r="N37" s="143"/>
      <c r="O37" s="9">
        <f t="array" ref="O37">IFERROR(N37/I37*100,0)</f>
        <v>0</v>
      </c>
    </row>
    <row r="38" spans="1:15" outlineLevel="1" x14ac:dyDescent="0.15">
      <c r="A38" s="8" t="s">
        <v>1914</v>
      </c>
      <c r="B38" s="8"/>
      <c r="C38" s="8" t="s">
        <v>47</v>
      </c>
      <c r="D38" s="186" t="s">
        <v>1001</v>
      </c>
      <c r="E38" s="9">
        <v>35.549999999999997</v>
      </c>
      <c r="F38" s="8" t="s">
        <v>1740</v>
      </c>
      <c r="G38" s="10">
        <v>3936</v>
      </c>
      <c r="H38" s="11"/>
      <c r="I38" s="143"/>
      <c r="J38" s="9">
        <f t="array" ref="J38">IFERROR(I38/G38*100,0)</f>
        <v>0</v>
      </c>
      <c r="K38" s="143"/>
      <c r="L38" s="9">
        <f t="shared" si="0"/>
        <v>0</v>
      </c>
      <c r="M38" s="8" t="str">
        <f t="array" ref="M38">IF(L38&gt;5,"Perlu Pengendalian",IF(AND(L38&gt;=0,I38&gt;0),"Tidak Perlu Pengendalian","Belum Sensus"))</f>
        <v>Belum Sensus</v>
      </c>
      <c r="N38" s="143"/>
      <c r="O38" s="9">
        <f t="array" ref="O38">IFERROR(N38/I38*100,0)</f>
        <v>0</v>
      </c>
    </row>
    <row r="39" spans="1:15" outlineLevel="1" x14ac:dyDescent="0.15">
      <c r="A39" s="8" t="s">
        <v>1914</v>
      </c>
      <c r="B39" s="8"/>
      <c r="C39" s="8" t="s">
        <v>47</v>
      </c>
      <c r="D39" s="8" t="s">
        <v>1832</v>
      </c>
      <c r="E39" s="9">
        <v>34.480000000000004</v>
      </c>
      <c r="F39" s="8" t="s">
        <v>1740</v>
      </c>
      <c r="G39" s="10">
        <v>4187</v>
      </c>
      <c r="H39" s="11"/>
      <c r="I39" s="143"/>
      <c r="J39" s="9">
        <f t="array" ref="J39">IFERROR(I39/G39*100,0)</f>
        <v>0</v>
      </c>
      <c r="K39" s="143"/>
      <c r="L39" s="9">
        <f t="shared" si="0"/>
        <v>0</v>
      </c>
      <c r="M39" s="8" t="str">
        <f t="array" ref="M39">IF(L39&gt;5,"Perlu Pengendalian",IF(AND(L39&gt;=0,I39&gt;0),"Tidak Perlu Pengendalian","Belum Sensus"))</f>
        <v>Belum Sensus</v>
      </c>
      <c r="N39" s="143"/>
      <c r="O39" s="9">
        <f t="array" ref="O39">IFERROR(N39/I39*100,0)</f>
        <v>0</v>
      </c>
    </row>
    <row r="40" spans="1:15" outlineLevel="1" x14ac:dyDescent="0.15">
      <c r="A40" s="8" t="s">
        <v>1914</v>
      </c>
      <c r="B40" s="8"/>
      <c r="C40" s="8" t="s">
        <v>47</v>
      </c>
      <c r="D40" s="186" t="s">
        <v>1805</v>
      </c>
      <c r="E40" s="9">
        <v>42.169999999999995</v>
      </c>
      <c r="F40" s="8" t="s">
        <v>1740</v>
      </c>
      <c r="G40" s="10">
        <v>5079</v>
      </c>
      <c r="H40" s="11"/>
      <c r="I40" s="143"/>
      <c r="J40" s="9">
        <f t="array" ref="J40">IFERROR(I40/G40*100,0)</f>
        <v>0</v>
      </c>
      <c r="K40" s="143"/>
      <c r="L40" s="9">
        <f t="shared" si="0"/>
        <v>0</v>
      </c>
      <c r="M40" s="8" t="str">
        <f t="array" ref="M40">IF(L40&gt;5,"Perlu Pengendalian",IF(AND(L40&gt;=0,I40&gt;0),"Tidak Perlu Pengendalian","Belum Sensus"))</f>
        <v>Belum Sensus</v>
      </c>
      <c r="N40" s="143"/>
      <c r="O40" s="9">
        <f t="array" ref="O40">IFERROR(N40/I40*100,0)</f>
        <v>0</v>
      </c>
    </row>
    <row r="41" spans="1:15" outlineLevel="1" x14ac:dyDescent="0.15">
      <c r="A41" s="8" t="s">
        <v>1914</v>
      </c>
      <c r="B41" s="8"/>
      <c r="C41" s="8" t="s">
        <v>47</v>
      </c>
      <c r="D41" s="186" t="s">
        <v>1777</v>
      </c>
      <c r="E41" s="9">
        <v>45.63</v>
      </c>
      <c r="F41" s="8" t="s">
        <v>1740</v>
      </c>
      <c r="G41" s="10">
        <v>5344</v>
      </c>
      <c r="H41" s="11"/>
      <c r="I41" s="143"/>
      <c r="J41" s="9">
        <f t="array" ref="J41">IFERROR(I41/G41*100,0)</f>
        <v>0</v>
      </c>
      <c r="K41" s="143"/>
      <c r="L41" s="9">
        <f t="shared" si="0"/>
        <v>0</v>
      </c>
      <c r="M41" s="8" t="str">
        <f t="array" ref="M41">IF(L41&gt;5,"Perlu Pengendalian",IF(AND(L41&gt;=0,I41&gt;0),"Tidak Perlu Pengendalian","Belum Sensus"))</f>
        <v>Belum Sensus</v>
      </c>
      <c r="N41" s="143"/>
      <c r="O41" s="9">
        <f t="array" ref="O41">IFERROR(N41/I41*100,0)</f>
        <v>0</v>
      </c>
    </row>
    <row r="42" spans="1:15" outlineLevel="1" x14ac:dyDescent="0.15">
      <c r="A42" s="8" t="s">
        <v>1914</v>
      </c>
      <c r="B42" s="8"/>
      <c r="C42" s="8" t="s">
        <v>47</v>
      </c>
      <c r="D42" s="186" t="s">
        <v>1825</v>
      </c>
      <c r="E42" s="9">
        <v>39.1</v>
      </c>
      <c r="F42" s="8" t="s">
        <v>1740</v>
      </c>
      <c r="G42" s="10">
        <v>4937</v>
      </c>
      <c r="H42" s="11"/>
      <c r="I42" s="143"/>
      <c r="J42" s="9">
        <f t="array" ref="J42">IFERROR(I42/G42*100,0)</f>
        <v>0</v>
      </c>
      <c r="K42" s="143"/>
      <c r="L42" s="9">
        <f t="shared" si="0"/>
        <v>0</v>
      </c>
      <c r="M42" s="8" t="str">
        <f t="array" ref="M42">IF(L42&gt;5,"Perlu Pengendalian",IF(AND(L42&gt;=0,I42&gt;0),"Tidak Perlu Pengendalian","Belum Sensus"))</f>
        <v>Belum Sensus</v>
      </c>
      <c r="N42" s="143"/>
      <c r="O42" s="9">
        <f t="array" ref="O42">IFERROR(N42/I42*100,0)</f>
        <v>0</v>
      </c>
    </row>
    <row r="43" spans="1:15" outlineLevel="1" x14ac:dyDescent="0.15">
      <c r="A43" s="8" t="s">
        <v>1914</v>
      </c>
      <c r="B43" s="8"/>
      <c r="C43" s="8" t="s">
        <v>47</v>
      </c>
      <c r="D43" s="186" t="s">
        <v>1033</v>
      </c>
      <c r="E43" s="9">
        <v>33.410000000000004</v>
      </c>
      <c r="F43" s="8" t="s">
        <v>1740</v>
      </c>
      <c r="G43" s="10">
        <v>4061</v>
      </c>
      <c r="H43" s="11"/>
      <c r="I43" s="143"/>
      <c r="J43" s="9">
        <f t="array" ref="J43">IFERROR(I43/G43*100,0)</f>
        <v>0</v>
      </c>
      <c r="K43" s="143"/>
      <c r="L43" s="9">
        <f t="shared" si="0"/>
        <v>0</v>
      </c>
      <c r="M43" s="8" t="str">
        <f t="array" ref="M43">IF(L43&gt;5,"Perlu Pengendalian",IF(AND(L43&gt;=0,I43&gt;0),"Tidak Perlu Pengendalian","Belum Sensus"))</f>
        <v>Belum Sensus</v>
      </c>
      <c r="N43" s="143"/>
      <c r="O43" s="9">
        <f t="array" ref="O43">IFERROR(N43/I43*100,0)</f>
        <v>0</v>
      </c>
    </row>
    <row r="44" spans="1:15" outlineLevel="1" x14ac:dyDescent="0.15">
      <c r="A44" s="8" t="s">
        <v>1914</v>
      </c>
      <c r="B44" s="8"/>
      <c r="C44" s="8" t="s">
        <v>47</v>
      </c>
      <c r="D44" s="186" t="s">
        <v>1826</v>
      </c>
      <c r="E44" s="9">
        <v>35.17</v>
      </c>
      <c r="F44" s="8" t="s">
        <v>1740</v>
      </c>
      <c r="G44" s="10">
        <v>3815</v>
      </c>
      <c r="H44" s="11"/>
      <c r="I44" s="143"/>
      <c r="J44" s="9">
        <f t="array" ref="J44">IFERROR(I44/G44*100,0)</f>
        <v>0</v>
      </c>
      <c r="K44" s="143"/>
      <c r="L44" s="9">
        <f t="shared" si="0"/>
        <v>0</v>
      </c>
      <c r="M44" s="8" t="str">
        <f t="array" ref="M44">IF(L44&gt;5,"Perlu Pengendalian",IF(AND(L44&gt;=0,I44&gt;0),"Tidak Perlu Pengendalian","Belum Sensus"))</f>
        <v>Belum Sensus</v>
      </c>
      <c r="N44" s="143"/>
      <c r="O44" s="9">
        <f t="array" ref="O44">IFERROR(N44/I44*100,0)</f>
        <v>0</v>
      </c>
    </row>
    <row r="45" spans="1:15" outlineLevel="1" x14ac:dyDescent="0.15">
      <c r="A45" s="8" t="s">
        <v>1914</v>
      </c>
      <c r="B45" s="8"/>
      <c r="C45" s="8" t="s">
        <v>79</v>
      </c>
      <c r="D45" s="186" t="s">
        <v>1827</v>
      </c>
      <c r="E45" s="9">
        <v>34</v>
      </c>
      <c r="F45" s="8" t="s">
        <v>1740</v>
      </c>
      <c r="G45" s="10">
        <v>4453</v>
      </c>
      <c r="H45" s="11"/>
      <c r="I45" s="143"/>
      <c r="J45" s="9">
        <f t="array" ref="J45">IFERROR(I45/G45*100,0)</f>
        <v>0</v>
      </c>
      <c r="K45" s="143"/>
      <c r="L45" s="9">
        <f t="shared" si="0"/>
        <v>0</v>
      </c>
      <c r="M45" s="8" t="str">
        <f t="array" ref="M45">IF(L45&gt;5,"Perlu Pengendalian",IF(AND(L45&gt;=0,I45&gt;0),"Tidak Perlu Pengendalian","Belum Sensus"))</f>
        <v>Belum Sensus</v>
      </c>
      <c r="N45" s="143"/>
      <c r="O45" s="9">
        <f t="array" ref="O45">IFERROR(N45/I45*100,0)</f>
        <v>0</v>
      </c>
    </row>
    <row r="46" spans="1:15" outlineLevel="1" x14ac:dyDescent="0.15">
      <c r="A46" s="8" t="s">
        <v>1914</v>
      </c>
      <c r="B46" s="8"/>
      <c r="C46" s="8" t="s">
        <v>79</v>
      </c>
      <c r="D46" s="186" t="s">
        <v>1796</v>
      </c>
      <c r="E46" s="9">
        <v>25.92</v>
      </c>
      <c r="F46" s="8" t="s">
        <v>1740</v>
      </c>
      <c r="G46" s="10">
        <v>3240</v>
      </c>
      <c r="H46" s="11"/>
      <c r="I46" s="143"/>
      <c r="J46" s="9">
        <f t="array" ref="J46">IFERROR(I46/G46*100,0)</f>
        <v>0</v>
      </c>
      <c r="K46" s="143"/>
      <c r="L46" s="9">
        <f t="shared" si="0"/>
        <v>0</v>
      </c>
      <c r="M46" s="8" t="str">
        <f t="array" ref="M46">IF(L46&gt;5,"Perlu Pengendalian",IF(AND(L46&gt;=0,I46&gt;0),"Tidak Perlu Pengendalian","Belum Sensus"))</f>
        <v>Belum Sensus</v>
      </c>
      <c r="N46" s="143"/>
      <c r="O46" s="9">
        <f t="array" ref="O46">IFERROR(N46/I46*100,0)</f>
        <v>0</v>
      </c>
    </row>
    <row r="47" spans="1:15" outlineLevel="1" x14ac:dyDescent="0.15">
      <c r="A47" s="8" t="s">
        <v>1914</v>
      </c>
      <c r="B47" s="8"/>
      <c r="C47" s="8" t="s">
        <v>79</v>
      </c>
      <c r="D47" s="186" t="s">
        <v>1029</v>
      </c>
      <c r="E47" s="9">
        <v>27.31</v>
      </c>
      <c r="F47" s="8" t="s">
        <v>1740</v>
      </c>
      <c r="G47" s="10">
        <v>3650.0000000000005</v>
      </c>
      <c r="H47" s="11"/>
      <c r="I47" s="143"/>
      <c r="J47" s="9">
        <f t="array" ref="J47">IFERROR(I47/G47*100,0)</f>
        <v>0</v>
      </c>
      <c r="K47" s="143"/>
      <c r="L47" s="9">
        <f t="shared" si="0"/>
        <v>0</v>
      </c>
      <c r="M47" s="8" t="str">
        <f t="array" ref="M47">IF(L47&gt;5,"Perlu Pengendalian",IF(AND(L47&gt;=0,I47&gt;0),"Tidak Perlu Pengendalian","Belum Sensus"))</f>
        <v>Belum Sensus</v>
      </c>
      <c r="N47" s="143"/>
      <c r="O47" s="9">
        <f t="array" ref="O47">IFERROR(N47/I47*100,0)</f>
        <v>0</v>
      </c>
    </row>
    <row r="48" spans="1:15" outlineLevel="1" x14ac:dyDescent="0.15">
      <c r="A48" s="8" t="s">
        <v>1914</v>
      </c>
      <c r="B48" s="8"/>
      <c r="C48" s="8" t="s">
        <v>79</v>
      </c>
      <c r="D48" s="186" t="s">
        <v>1819</v>
      </c>
      <c r="E48" s="9">
        <v>36.58</v>
      </c>
      <c r="F48" s="8" t="s">
        <v>1740</v>
      </c>
      <c r="G48" s="10">
        <v>4879</v>
      </c>
      <c r="H48" s="11"/>
      <c r="I48" s="143"/>
      <c r="J48" s="9">
        <f t="array" ref="J48">IFERROR(I48/G48*100,0)</f>
        <v>0</v>
      </c>
      <c r="K48" s="143"/>
      <c r="L48" s="9">
        <f t="shared" si="0"/>
        <v>0</v>
      </c>
      <c r="M48" s="8" t="str">
        <f t="array" ref="M48">IF(L48&gt;5,"Perlu Pengendalian",IF(AND(L48&gt;=0,I48&gt;0),"Tidak Perlu Pengendalian","Belum Sensus"))</f>
        <v>Belum Sensus</v>
      </c>
      <c r="N48" s="143"/>
      <c r="O48" s="9">
        <f t="array" ref="O48">IFERROR(N48/I48*100,0)</f>
        <v>0</v>
      </c>
    </row>
    <row r="49" spans="1:15" outlineLevel="1" x14ac:dyDescent="0.15">
      <c r="A49" s="8" t="s">
        <v>1914</v>
      </c>
      <c r="B49" s="8"/>
      <c r="C49" s="8" t="s">
        <v>79</v>
      </c>
      <c r="D49" s="186" t="s">
        <v>1925</v>
      </c>
      <c r="E49" s="9">
        <v>24.35</v>
      </c>
      <c r="F49" s="8" t="s">
        <v>1740</v>
      </c>
      <c r="G49" s="10">
        <v>3224</v>
      </c>
      <c r="H49" s="11"/>
      <c r="I49" s="143"/>
      <c r="J49" s="9">
        <f t="array" ref="J49">IFERROR(I49/G49*100,0)</f>
        <v>0</v>
      </c>
      <c r="K49" s="143"/>
      <c r="L49" s="9">
        <f t="shared" si="0"/>
        <v>0</v>
      </c>
      <c r="M49" s="8" t="str">
        <f t="array" ref="M49">IF(L49&gt;5,"Perlu Pengendalian",IF(AND(L49&gt;=0,I49&gt;0),"Tidak Perlu Pengendalian","Belum Sensus"))</f>
        <v>Belum Sensus</v>
      </c>
      <c r="N49" s="143"/>
      <c r="O49" s="9">
        <f t="array" ref="O49">IFERROR(N49/I49*100,0)</f>
        <v>0</v>
      </c>
    </row>
    <row r="50" spans="1:15" outlineLevel="1" x14ac:dyDescent="0.15">
      <c r="A50" s="8" t="s">
        <v>1914</v>
      </c>
      <c r="B50" s="8"/>
      <c r="C50" s="8" t="s">
        <v>79</v>
      </c>
      <c r="D50" s="186" t="s">
        <v>1817</v>
      </c>
      <c r="E50" s="9">
        <v>24.84</v>
      </c>
      <c r="F50" s="8" t="s">
        <v>1740</v>
      </c>
      <c r="G50" s="10">
        <v>2975</v>
      </c>
      <c r="H50" s="11"/>
      <c r="I50" s="143"/>
      <c r="J50" s="9">
        <f t="array" ref="J50">IFERROR(I50/G50*100,0)</f>
        <v>0</v>
      </c>
      <c r="K50" s="143"/>
      <c r="L50" s="9">
        <f t="shared" si="0"/>
        <v>0</v>
      </c>
      <c r="M50" s="8" t="str">
        <f t="array" ref="M50">IF(L50&gt;5,"Perlu Pengendalian",IF(AND(L50&gt;=0,I50&gt;0),"Tidak Perlu Pengendalian","Belum Sensus"))</f>
        <v>Belum Sensus</v>
      </c>
      <c r="N50" s="143"/>
      <c r="O50" s="9">
        <f t="array" ref="O50">IFERROR(N50/I50*100,0)</f>
        <v>0</v>
      </c>
    </row>
    <row r="51" spans="1:15" outlineLevel="1" x14ac:dyDescent="0.15">
      <c r="A51" s="8" t="s">
        <v>1914</v>
      </c>
      <c r="B51" s="8"/>
      <c r="C51" s="8" t="s">
        <v>79</v>
      </c>
      <c r="D51" s="186" t="s">
        <v>1750</v>
      </c>
      <c r="E51" s="9">
        <v>29.330000000000002</v>
      </c>
      <c r="F51" s="8" t="s">
        <v>1740</v>
      </c>
      <c r="G51" s="10">
        <v>3924.0000000000005</v>
      </c>
      <c r="H51" s="11"/>
      <c r="I51" s="143"/>
      <c r="J51" s="9">
        <f t="array" ref="J51">IFERROR(I51/G51*100,0)</f>
        <v>0</v>
      </c>
      <c r="K51" s="143"/>
      <c r="L51" s="9">
        <f t="shared" si="0"/>
        <v>0</v>
      </c>
      <c r="M51" s="8" t="str">
        <f t="array" ref="M51">IF(L51&gt;5,"Perlu Pengendalian",IF(AND(L51&gt;=0,I51&gt;0),"Tidak Perlu Pengendalian","Belum Sensus"))</f>
        <v>Belum Sensus</v>
      </c>
      <c r="N51" s="143"/>
      <c r="O51" s="9">
        <f t="array" ref="O51">IFERROR(N51/I51*100,0)</f>
        <v>0</v>
      </c>
    </row>
    <row r="52" spans="1:15" outlineLevel="1" x14ac:dyDescent="0.15">
      <c r="A52" s="8" t="s">
        <v>1914</v>
      </c>
      <c r="B52" s="8"/>
      <c r="C52" s="8" t="s">
        <v>79</v>
      </c>
      <c r="D52" s="186" t="s">
        <v>1751</v>
      </c>
      <c r="E52" s="9">
        <v>35.86</v>
      </c>
      <c r="F52" s="8" t="s">
        <v>1740</v>
      </c>
      <c r="G52" s="10">
        <v>4757</v>
      </c>
      <c r="H52" s="11"/>
      <c r="I52" s="143"/>
      <c r="J52" s="9">
        <f t="array" ref="J52">IFERROR(I52/G52*100,0)</f>
        <v>0</v>
      </c>
      <c r="K52" s="143"/>
      <c r="L52" s="9">
        <f t="shared" si="0"/>
        <v>0</v>
      </c>
      <c r="M52" s="8" t="str">
        <f t="array" ref="M52">IF(L52&gt;5,"Perlu Pengendalian",IF(AND(L52&gt;=0,I52&gt;0),"Tidak Perlu Pengendalian","Belum Sensus"))</f>
        <v>Belum Sensus</v>
      </c>
      <c r="N52" s="143"/>
      <c r="O52" s="9">
        <f t="array" ref="O52">IFERROR(N52/I52*100,0)</f>
        <v>0</v>
      </c>
    </row>
    <row r="53" spans="1:15" outlineLevel="1" x14ac:dyDescent="0.15">
      <c r="A53" s="8" t="s">
        <v>1914</v>
      </c>
      <c r="B53" s="8"/>
      <c r="C53" s="8" t="s">
        <v>79</v>
      </c>
      <c r="D53" s="186" t="s">
        <v>1818</v>
      </c>
      <c r="E53" s="9">
        <v>29.27</v>
      </c>
      <c r="F53" s="8" t="s">
        <v>1740</v>
      </c>
      <c r="G53" s="10">
        <v>4116</v>
      </c>
      <c r="H53" s="11"/>
      <c r="I53" s="143"/>
      <c r="J53" s="9">
        <f t="array" ref="J53">IFERROR(I53/G53*100,0)</f>
        <v>0</v>
      </c>
      <c r="K53" s="143"/>
      <c r="L53" s="9">
        <f t="shared" si="0"/>
        <v>0</v>
      </c>
      <c r="M53" s="8" t="str">
        <f t="array" ref="M53">IF(L53&gt;5,"Perlu Pengendalian",IF(AND(L53&gt;=0,I53&gt;0),"Tidak Perlu Pengendalian","Belum Sensus"))</f>
        <v>Belum Sensus</v>
      </c>
      <c r="N53" s="143"/>
      <c r="O53" s="9">
        <f t="array" ref="O53">IFERROR(N53/I53*100,0)</f>
        <v>0</v>
      </c>
    </row>
    <row r="54" spans="1:15" outlineLevel="1" x14ac:dyDescent="0.15">
      <c r="A54" s="8" t="s">
        <v>1914</v>
      </c>
      <c r="B54" s="8"/>
      <c r="C54" s="8" t="s">
        <v>79</v>
      </c>
      <c r="D54" s="186" t="s">
        <v>1336</v>
      </c>
      <c r="E54" s="9">
        <v>29.52</v>
      </c>
      <c r="F54" s="8" t="s">
        <v>1740</v>
      </c>
      <c r="G54" s="10">
        <v>4107</v>
      </c>
      <c r="H54" s="11"/>
      <c r="I54" s="143"/>
      <c r="J54" s="9">
        <f t="array" ref="J54">IFERROR(I54/G54*100,0)</f>
        <v>0</v>
      </c>
      <c r="K54" s="143"/>
      <c r="L54" s="9">
        <f t="shared" si="0"/>
        <v>0</v>
      </c>
      <c r="M54" s="8" t="str">
        <f t="array" ref="M54">IF(L54&gt;5,"Perlu Pengendalian",IF(AND(L54&gt;=0,I54&gt;0),"Tidak Perlu Pengendalian","Belum Sensus"))</f>
        <v>Belum Sensus</v>
      </c>
      <c r="N54" s="143"/>
      <c r="O54" s="9">
        <f t="array" ref="O54">IFERROR(N54/I54*100,0)</f>
        <v>0</v>
      </c>
    </row>
    <row r="55" spans="1:15" outlineLevel="1" x14ac:dyDescent="0.15">
      <c r="A55" s="8" t="s">
        <v>1914</v>
      </c>
      <c r="B55" s="8"/>
      <c r="C55" s="8" t="s">
        <v>79</v>
      </c>
      <c r="D55" s="186" t="s">
        <v>1337</v>
      </c>
      <c r="E55" s="9">
        <v>25</v>
      </c>
      <c r="F55" s="8" t="s">
        <v>1740</v>
      </c>
      <c r="G55" s="10">
        <v>3819</v>
      </c>
      <c r="H55" s="11"/>
      <c r="I55" s="143"/>
      <c r="J55" s="9">
        <f t="array" ref="J55">IFERROR(I55/G55*100,0)</f>
        <v>0</v>
      </c>
      <c r="K55" s="143"/>
      <c r="L55" s="9">
        <f t="shared" si="0"/>
        <v>0</v>
      </c>
      <c r="M55" s="8" t="str">
        <f t="array" ref="M55">IF(L55&gt;5,"Perlu Pengendalian",IF(AND(L55&gt;=0,I55&gt;0),"Tidak Perlu Pengendalian","Belum Sensus"))</f>
        <v>Belum Sensus</v>
      </c>
      <c r="N55" s="143"/>
      <c r="O55" s="9">
        <f t="array" ref="O55">IFERROR(N55/I55*100,0)</f>
        <v>0</v>
      </c>
    </row>
    <row r="56" spans="1:15" outlineLevel="1" x14ac:dyDescent="0.15">
      <c r="A56" s="8" t="s">
        <v>1914</v>
      </c>
      <c r="B56" s="8"/>
      <c r="C56" s="8" t="s">
        <v>79</v>
      </c>
      <c r="D56" s="186" t="s">
        <v>1338</v>
      </c>
      <c r="E56" s="9">
        <v>30.22</v>
      </c>
      <c r="F56" s="8" t="s">
        <v>1740</v>
      </c>
      <c r="G56" s="10">
        <v>3920.0000000000005</v>
      </c>
      <c r="H56" s="11"/>
      <c r="I56" s="143"/>
      <c r="J56" s="9">
        <f t="array" ref="J56">IFERROR(I56/G56*100,0)</f>
        <v>0</v>
      </c>
      <c r="K56" s="143"/>
      <c r="L56" s="9">
        <f t="shared" si="0"/>
        <v>0</v>
      </c>
      <c r="M56" s="8" t="str">
        <f t="array" ref="M56">IF(L56&gt;5,"Perlu Pengendalian",IF(AND(L56&gt;=0,I56&gt;0),"Tidak Perlu Pengendalian","Belum Sensus"))</f>
        <v>Belum Sensus</v>
      </c>
      <c r="N56" s="143"/>
      <c r="O56" s="9">
        <f t="array" ref="O56">IFERROR(N56/I56*100,0)</f>
        <v>0</v>
      </c>
    </row>
    <row r="57" spans="1:15" outlineLevel="1" x14ac:dyDescent="0.15">
      <c r="A57" s="8" t="s">
        <v>1914</v>
      </c>
      <c r="B57" s="8"/>
      <c r="C57" s="8" t="s">
        <v>79</v>
      </c>
      <c r="D57" s="186" t="s">
        <v>1820</v>
      </c>
      <c r="E57" s="9">
        <v>24.1</v>
      </c>
      <c r="F57" s="8" t="s">
        <v>1740</v>
      </c>
      <c r="G57" s="10">
        <v>3162.9999999999995</v>
      </c>
      <c r="H57" s="11"/>
      <c r="I57" s="143"/>
      <c r="J57" s="9">
        <f t="array" ref="J57">IFERROR(I57/G57*100,0)</f>
        <v>0</v>
      </c>
      <c r="K57" s="143"/>
      <c r="L57" s="9">
        <f t="shared" si="0"/>
        <v>0</v>
      </c>
      <c r="M57" s="8" t="str">
        <f t="array" ref="M57">IF(L57&gt;5,"Perlu Pengendalian",IF(AND(L57&gt;=0,I57&gt;0),"Tidak Perlu Pengendalian","Belum Sensus"))</f>
        <v>Belum Sensus</v>
      </c>
      <c r="N57" s="143"/>
      <c r="O57" s="9">
        <f t="array" ref="O57">IFERROR(N57/I57*100,0)</f>
        <v>0</v>
      </c>
    </row>
    <row r="58" spans="1:15" outlineLevel="1" x14ac:dyDescent="0.15">
      <c r="A58" s="8" t="s">
        <v>1914</v>
      </c>
      <c r="B58" s="8"/>
      <c r="C58" s="8" t="s">
        <v>79</v>
      </c>
      <c r="D58" s="186" t="s">
        <v>1753</v>
      </c>
      <c r="E58" s="9">
        <v>46.109999999999992</v>
      </c>
      <c r="F58" s="8" t="s">
        <v>1740</v>
      </c>
      <c r="G58" s="10">
        <v>6140</v>
      </c>
      <c r="H58" s="11"/>
      <c r="I58" s="143"/>
      <c r="J58" s="9">
        <f t="array" ref="J58">IFERROR(I58/G58*100,0)</f>
        <v>0</v>
      </c>
      <c r="K58" s="143"/>
      <c r="L58" s="9">
        <f t="shared" si="0"/>
        <v>0</v>
      </c>
      <c r="M58" s="8" t="str">
        <f t="array" ref="M58">IF(L58&gt;5,"Perlu Pengendalian",IF(AND(L58&gt;=0,I58&gt;0),"Tidak Perlu Pengendalian","Belum Sensus"))</f>
        <v>Belum Sensus</v>
      </c>
      <c r="N58" s="143"/>
      <c r="O58" s="9">
        <f t="array" ref="O58">IFERROR(N58/I58*100,0)</f>
        <v>0</v>
      </c>
    </row>
    <row r="59" spans="1:15" outlineLevel="1" x14ac:dyDescent="0.15">
      <c r="A59" s="8" t="s">
        <v>1914</v>
      </c>
      <c r="B59" s="8"/>
      <c r="C59" s="8" t="s">
        <v>79</v>
      </c>
      <c r="D59" s="186" t="s">
        <v>1339</v>
      </c>
      <c r="E59" s="9">
        <v>35.56</v>
      </c>
      <c r="F59" s="8" t="s">
        <v>1740</v>
      </c>
      <c r="G59" s="10">
        <v>5433</v>
      </c>
      <c r="H59" s="11"/>
      <c r="I59" s="143"/>
      <c r="J59" s="9">
        <f t="array" ref="J59">IFERROR(I59/G59*100,0)</f>
        <v>0</v>
      </c>
      <c r="K59" s="143"/>
      <c r="L59" s="9">
        <f t="shared" si="0"/>
        <v>0</v>
      </c>
      <c r="M59" s="8" t="str">
        <f t="array" ref="M59">IF(L59&gt;5,"Perlu Pengendalian",IF(AND(L59&gt;=0,I59&gt;0),"Tidak Perlu Pengendalian","Belum Sensus"))</f>
        <v>Belum Sensus</v>
      </c>
      <c r="N59" s="143"/>
      <c r="O59" s="9">
        <f t="array" ref="O59">IFERROR(N59/I59*100,0)</f>
        <v>0</v>
      </c>
    </row>
    <row r="60" spans="1:15" outlineLevel="1" x14ac:dyDescent="0.15">
      <c r="A60" s="8" t="s">
        <v>1914</v>
      </c>
      <c r="B60" s="8"/>
      <c r="C60" s="8" t="s">
        <v>79</v>
      </c>
      <c r="D60" s="8" t="s">
        <v>1341</v>
      </c>
      <c r="E60" s="9">
        <v>39.21</v>
      </c>
      <c r="F60" s="8" t="s">
        <v>1740</v>
      </c>
      <c r="G60" s="10">
        <v>5910</v>
      </c>
      <c r="H60" s="11"/>
      <c r="I60" s="143"/>
      <c r="J60" s="9">
        <f t="array" ref="J60">IFERROR(I60/G60*100,0)</f>
        <v>0</v>
      </c>
      <c r="K60" s="143"/>
      <c r="L60" s="9">
        <f t="shared" si="0"/>
        <v>0</v>
      </c>
      <c r="M60" s="8" t="str">
        <f t="array" ref="M60">IF(L60&gt;5,"Perlu Pengendalian",IF(AND(L60&gt;=0,I60&gt;0),"Tidak Perlu Pengendalian","Belum Sensus"))</f>
        <v>Belum Sensus</v>
      </c>
      <c r="N60" s="143"/>
      <c r="O60" s="9">
        <f t="array" ref="O60">IFERROR(N60/I60*100,0)</f>
        <v>0</v>
      </c>
    </row>
    <row r="61" spans="1:15" outlineLevel="1" x14ac:dyDescent="0.15">
      <c r="A61" s="8" t="s">
        <v>1914</v>
      </c>
      <c r="B61" s="8"/>
      <c r="C61" s="8" t="s">
        <v>79</v>
      </c>
      <c r="D61" s="186" t="s">
        <v>1340</v>
      </c>
      <c r="E61" s="9">
        <v>35.43</v>
      </c>
      <c r="F61" s="8" t="s">
        <v>1740</v>
      </c>
      <c r="G61" s="10">
        <v>4924</v>
      </c>
      <c r="H61" s="11"/>
      <c r="I61" s="143"/>
      <c r="J61" s="9">
        <f t="array" ref="J61">IFERROR(I61/G61*100,0)</f>
        <v>0</v>
      </c>
      <c r="K61" s="143"/>
      <c r="L61" s="9">
        <f t="shared" si="0"/>
        <v>0</v>
      </c>
      <c r="M61" s="8" t="str">
        <f t="array" ref="M61">IF(L61&gt;5,"Perlu Pengendalian",IF(AND(L61&gt;=0,I61&gt;0),"Tidak Perlu Pengendalian","Belum Sensus"))</f>
        <v>Belum Sensus</v>
      </c>
      <c r="N61" s="143"/>
      <c r="O61" s="9">
        <f t="array" ref="O61">IFERROR(N61/I61*100,0)</f>
        <v>0</v>
      </c>
    </row>
    <row r="62" spans="1:15" outlineLevel="1" x14ac:dyDescent="0.15">
      <c r="A62" s="8" t="s">
        <v>1914</v>
      </c>
      <c r="B62" s="8"/>
      <c r="C62" s="8" t="s">
        <v>107</v>
      </c>
      <c r="D62" s="186" t="s">
        <v>1333</v>
      </c>
      <c r="E62" s="9">
        <v>38.540000000000006</v>
      </c>
      <c r="F62" s="8" t="s">
        <v>1740</v>
      </c>
      <c r="G62" s="10">
        <v>4905</v>
      </c>
      <c r="H62" s="11"/>
      <c r="I62" s="143"/>
      <c r="J62" s="9">
        <f t="array" ref="J62">IFERROR(I62/G62*100,0)</f>
        <v>0</v>
      </c>
      <c r="K62" s="143"/>
      <c r="L62" s="9">
        <f t="shared" si="0"/>
        <v>0</v>
      </c>
      <c r="M62" s="8" t="str">
        <f t="array" ref="M62">IF(L62&gt;5,"Perlu Pengendalian",IF(AND(L62&gt;=0,I62&gt;0),"Tidak Perlu Pengendalian","Belum Sensus"))</f>
        <v>Belum Sensus</v>
      </c>
      <c r="N62" s="143"/>
      <c r="O62" s="9">
        <f t="array" ref="O62">IFERROR(N62/I62*100,0)</f>
        <v>0</v>
      </c>
    </row>
    <row r="63" spans="1:15" outlineLevel="1" x14ac:dyDescent="0.15">
      <c r="A63" s="8" t="s">
        <v>1914</v>
      </c>
      <c r="B63" s="8"/>
      <c r="C63" s="8" t="s">
        <v>107</v>
      </c>
      <c r="D63" s="186" t="s">
        <v>1372</v>
      </c>
      <c r="E63" s="9">
        <v>38.5</v>
      </c>
      <c r="F63" s="8" t="s">
        <v>1740</v>
      </c>
      <c r="G63" s="10">
        <v>4520</v>
      </c>
      <c r="H63" s="11"/>
      <c r="I63" s="143"/>
      <c r="J63" s="9">
        <f t="array" ref="J63">IFERROR(I63/G63*100,0)</f>
        <v>0</v>
      </c>
      <c r="K63" s="143"/>
      <c r="L63" s="9">
        <f t="shared" si="0"/>
        <v>0</v>
      </c>
      <c r="M63" s="8" t="str">
        <f t="array" ref="M63">IF(L63&gt;5,"Perlu Pengendalian",IF(AND(L63&gt;=0,I63&gt;0),"Tidak Perlu Pengendalian","Belum Sensus"))</f>
        <v>Belum Sensus</v>
      </c>
      <c r="N63" s="143"/>
      <c r="O63" s="9">
        <f t="array" ref="O63">IFERROR(N63/I63*100,0)</f>
        <v>0</v>
      </c>
    </row>
    <row r="64" spans="1:15" outlineLevel="1" x14ac:dyDescent="0.15">
      <c r="A64" s="8" t="s">
        <v>1914</v>
      </c>
      <c r="B64" s="8"/>
      <c r="C64" s="8" t="s">
        <v>107</v>
      </c>
      <c r="D64" s="186" t="s">
        <v>956</v>
      </c>
      <c r="E64" s="9">
        <v>29.11</v>
      </c>
      <c r="F64" s="8" t="s">
        <v>1740</v>
      </c>
      <c r="G64" s="10">
        <v>3457</v>
      </c>
      <c r="H64" s="11"/>
      <c r="I64" s="143"/>
      <c r="J64" s="9">
        <f t="array" ref="J64">IFERROR(I64/G64*100,0)</f>
        <v>0</v>
      </c>
      <c r="K64" s="143"/>
      <c r="L64" s="9">
        <f t="shared" si="0"/>
        <v>0</v>
      </c>
      <c r="M64" s="8" t="str">
        <f t="array" ref="M64">IF(L64&gt;5,"Perlu Pengendalian",IF(AND(L64&gt;=0,I64&gt;0),"Tidak Perlu Pengendalian","Belum Sensus"))</f>
        <v>Belum Sensus</v>
      </c>
      <c r="N64" s="143"/>
      <c r="O64" s="9">
        <f t="array" ref="O64">IFERROR(N64/I64*100,0)</f>
        <v>0</v>
      </c>
    </row>
    <row r="65" spans="1:15" outlineLevel="1" x14ac:dyDescent="0.15">
      <c r="A65" s="8" t="s">
        <v>1914</v>
      </c>
      <c r="B65" s="8"/>
      <c r="C65" s="8" t="s">
        <v>107</v>
      </c>
      <c r="D65" s="186" t="s">
        <v>1363</v>
      </c>
      <c r="E65" s="9">
        <v>37.25</v>
      </c>
      <c r="F65" s="8" t="s">
        <v>1740</v>
      </c>
      <c r="G65" s="10">
        <v>4633</v>
      </c>
      <c r="H65" s="11"/>
      <c r="I65" s="143"/>
      <c r="J65" s="9">
        <f t="array" ref="J65">IFERROR(I65/G65*100,0)</f>
        <v>0</v>
      </c>
      <c r="K65" s="143"/>
      <c r="L65" s="9">
        <f t="shared" si="0"/>
        <v>0</v>
      </c>
      <c r="M65" s="8" t="str">
        <f t="array" ref="M65">IF(L65&gt;5,"Perlu Pengendalian",IF(AND(L65&gt;=0,I65&gt;0),"Tidak Perlu Pengendalian","Belum Sensus"))</f>
        <v>Belum Sensus</v>
      </c>
      <c r="N65" s="143"/>
      <c r="O65" s="9">
        <f t="array" ref="O65">IFERROR(N65/I65*100,0)</f>
        <v>0</v>
      </c>
    </row>
    <row r="66" spans="1:15" outlineLevel="1" x14ac:dyDescent="0.15">
      <c r="A66" s="8" t="s">
        <v>1914</v>
      </c>
      <c r="B66" s="8"/>
      <c r="C66" s="8" t="s">
        <v>107</v>
      </c>
      <c r="D66" s="186" t="s">
        <v>1364</v>
      </c>
      <c r="E66" s="9">
        <v>29.28</v>
      </c>
      <c r="F66" s="8" t="s">
        <v>1740</v>
      </c>
      <c r="G66" s="10">
        <v>3795</v>
      </c>
      <c r="H66" s="11"/>
      <c r="I66" s="143"/>
      <c r="J66" s="9">
        <f t="array" ref="J66">IFERROR(I66/G66*100,0)</f>
        <v>0</v>
      </c>
      <c r="K66" s="143"/>
      <c r="L66" s="9">
        <f t="shared" si="0"/>
        <v>0</v>
      </c>
      <c r="M66" s="8" t="str">
        <f t="array" ref="M66">IF(L66&gt;5,"Perlu Pengendalian",IF(AND(L66&gt;=0,I66&gt;0),"Tidak Perlu Pengendalian","Belum Sensus"))</f>
        <v>Belum Sensus</v>
      </c>
      <c r="N66" s="143"/>
      <c r="O66" s="9">
        <f t="array" ref="O66">IFERROR(N66/I66*100,0)</f>
        <v>0</v>
      </c>
    </row>
    <row r="67" spans="1:15" outlineLevel="1" x14ac:dyDescent="0.15">
      <c r="A67" s="8" t="s">
        <v>1914</v>
      </c>
      <c r="B67" s="8"/>
      <c r="C67" s="8" t="s">
        <v>107</v>
      </c>
      <c r="D67" s="186" t="s">
        <v>1365</v>
      </c>
      <c r="E67" s="9">
        <v>35.83</v>
      </c>
      <c r="F67" s="8" t="s">
        <v>1740</v>
      </c>
      <c r="G67" s="10">
        <v>4298</v>
      </c>
      <c r="H67" s="11"/>
      <c r="I67" s="143"/>
      <c r="J67" s="9">
        <f t="array" ref="J67">IFERROR(I67/G67*100,0)</f>
        <v>0</v>
      </c>
      <c r="K67" s="143"/>
      <c r="L67" s="9">
        <f t="shared" si="0"/>
        <v>0</v>
      </c>
      <c r="M67" s="8" t="str">
        <f t="array" ref="M67">IF(L67&gt;5,"Perlu Pengendalian",IF(AND(L67&gt;=0,I67&gt;0),"Tidak Perlu Pengendalian","Belum Sensus"))</f>
        <v>Belum Sensus</v>
      </c>
      <c r="N67" s="143"/>
      <c r="O67" s="9">
        <f t="array" ref="O67">IFERROR(N67/I67*100,0)</f>
        <v>0</v>
      </c>
    </row>
    <row r="68" spans="1:15" outlineLevel="1" x14ac:dyDescent="0.15">
      <c r="A68" s="8" t="s">
        <v>1914</v>
      </c>
      <c r="B68" s="8"/>
      <c r="C68" s="8" t="s">
        <v>107</v>
      </c>
      <c r="D68" s="186" t="s">
        <v>1334</v>
      </c>
      <c r="E68" s="9">
        <v>32.1</v>
      </c>
      <c r="F68" s="8" t="s">
        <v>1740</v>
      </c>
      <c r="G68" s="10">
        <v>4153</v>
      </c>
      <c r="H68" s="11"/>
      <c r="I68" s="143"/>
      <c r="J68" s="9">
        <f t="array" ref="J68">IFERROR(I68/G68*100,0)</f>
        <v>0</v>
      </c>
      <c r="K68" s="143"/>
      <c r="L68" s="9">
        <f t="shared" si="0"/>
        <v>0</v>
      </c>
      <c r="M68" s="8" t="str">
        <f t="array" ref="M68">IF(L68&gt;5,"Perlu Pengendalian",IF(AND(L68&gt;=0,I68&gt;0),"Tidak Perlu Pengendalian","Belum Sensus"))</f>
        <v>Belum Sensus</v>
      </c>
      <c r="N68" s="143"/>
      <c r="O68" s="9">
        <f t="array" ref="O68">IFERROR(N68/I68*100,0)</f>
        <v>0</v>
      </c>
    </row>
    <row r="69" spans="1:15" outlineLevel="1" x14ac:dyDescent="0.15">
      <c r="A69" s="8" t="s">
        <v>1914</v>
      </c>
      <c r="B69" s="8"/>
      <c r="C69" s="8" t="s">
        <v>107</v>
      </c>
      <c r="D69" s="186" t="s">
        <v>1335</v>
      </c>
      <c r="E69" s="9">
        <v>33.49</v>
      </c>
      <c r="F69" s="8" t="s">
        <v>1740</v>
      </c>
      <c r="G69" s="10">
        <v>4900</v>
      </c>
      <c r="H69" s="11"/>
      <c r="I69" s="143"/>
      <c r="J69" s="9">
        <f t="array" ref="J69">IFERROR(I69/G69*100,0)</f>
        <v>0</v>
      </c>
      <c r="K69" s="143"/>
      <c r="L69" s="9">
        <f t="shared" si="0"/>
        <v>0</v>
      </c>
      <c r="M69" s="8" t="str">
        <f t="array" ref="M69">IF(L69&gt;5,"Perlu Pengendalian",IF(AND(L69&gt;=0,I69&gt;0),"Tidak Perlu Pengendalian","Belum Sensus"))</f>
        <v>Belum Sensus</v>
      </c>
      <c r="N69" s="143"/>
      <c r="O69" s="9">
        <f t="array" ref="O69">IFERROR(N69/I69*100,0)</f>
        <v>0</v>
      </c>
    </row>
    <row r="70" spans="1:15" outlineLevel="1" x14ac:dyDescent="0.15">
      <c r="A70" s="8" t="s">
        <v>1914</v>
      </c>
      <c r="B70" s="8"/>
      <c r="C70" s="8" t="s">
        <v>107</v>
      </c>
      <c r="D70" s="186" t="s">
        <v>1346</v>
      </c>
      <c r="E70" s="9">
        <v>25.96</v>
      </c>
      <c r="F70" s="8" t="s">
        <v>1740</v>
      </c>
      <c r="G70" s="10">
        <v>3153</v>
      </c>
      <c r="H70" s="11"/>
      <c r="I70" s="143"/>
      <c r="J70" s="9">
        <f t="array" ref="J70">IFERROR(I70/G70*100,0)</f>
        <v>0</v>
      </c>
      <c r="K70" s="143"/>
      <c r="L70" s="9">
        <f t="shared" ref="L70:L133" si="1">IFERROR(K70/I70*100,0)</f>
        <v>0</v>
      </c>
      <c r="M70" s="8" t="str">
        <f t="array" ref="M70">IF(L70&gt;5,"Perlu Pengendalian",IF(AND(L70&gt;=0,I70&gt;0),"Tidak Perlu Pengendalian","Belum Sensus"))</f>
        <v>Belum Sensus</v>
      </c>
      <c r="N70" s="143"/>
      <c r="O70" s="9">
        <f t="array" ref="O70">IFERROR(N70/I70*100,0)</f>
        <v>0</v>
      </c>
    </row>
    <row r="71" spans="1:15" outlineLevel="1" x14ac:dyDescent="0.15">
      <c r="A71" s="8" t="s">
        <v>1914</v>
      </c>
      <c r="B71" s="8"/>
      <c r="C71" s="8" t="s">
        <v>107</v>
      </c>
      <c r="D71" s="186" t="s">
        <v>1347</v>
      </c>
      <c r="E71" s="9">
        <v>45.239999999999995</v>
      </c>
      <c r="F71" s="8" t="s">
        <v>1740</v>
      </c>
      <c r="G71" s="10">
        <v>5645</v>
      </c>
      <c r="H71" s="11"/>
      <c r="I71" s="143"/>
      <c r="J71" s="9">
        <f t="array" ref="J71">IFERROR(I71/G71*100,0)</f>
        <v>0</v>
      </c>
      <c r="K71" s="143"/>
      <c r="L71" s="9">
        <f t="shared" si="1"/>
        <v>0</v>
      </c>
      <c r="M71" s="8" t="str">
        <f t="array" ref="M71">IF(L71&gt;5,"Perlu Pengendalian",IF(AND(L71&gt;=0,I71&gt;0),"Tidak Perlu Pengendalian","Belum Sensus"))</f>
        <v>Belum Sensus</v>
      </c>
      <c r="N71" s="143"/>
      <c r="O71" s="9">
        <f t="array" ref="O71">IFERROR(N71/I71*100,0)</f>
        <v>0</v>
      </c>
    </row>
    <row r="72" spans="1:15" outlineLevel="1" x14ac:dyDescent="0.15">
      <c r="A72" s="8" t="s">
        <v>1914</v>
      </c>
      <c r="B72" s="8"/>
      <c r="C72" s="8" t="s">
        <v>107</v>
      </c>
      <c r="D72" s="181" t="s">
        <v>1005</v>
      </c>
      <c r="E72" s="9">
        <v>43.989999999999995</v>
      </c>
      <c r="F72" s="8" t="s">
        <v>1740</v>
      </c>
      <c r="G72" s="10">
        <v>5720</v>
      </c>
      <c r="H72" s="11"/>
      <c r="I72" s="143"/>
      <c r="J72" s="9">
        <f t="array" ref="J72">IFERROR(I72/G72*100,0)</f>
        <v>0</v>
      </c>
      <c r="K72" s="143"/>
      <c r="L72" s="9">
        <f t="shared" si="1"/>
        <v>0</v>
      </c>
      <c r="M72" s="8" t="str">
        <f t="array" ref="M72">IF(L72&gt;5,"Perlu Pengendalian",IF(AND(L72&gt;=0,I72&gt;0),"Tidak Perlu Pengendalian","Belum Sensus"))</f>
        <v>Belum Sensus</v>
      </c>
      <c r="N72" s="143"/>
      <c r="O72" s="9">
        <f t="array" ref="O72">IFERROR(N72/I72*100,0)</f>
        <v>0</v>
      </c>
    </row>
    <row r="73" spans="1:15" outlineLevel="1" x14ac:dyDescent="0.15">
      <c r="A73" s="8" t="s">
        <v>1914</v>
      </c>
      <c r="B73" s="8"/>
      <c r="C73" s="8" t="s">
        <v>107</v>
      </c>
      <c r="D73" s="186" t="s">
        <v>1376</v>
      </c>
      <c r="E73" s="9">
        <v>25.330000000000002</v>
      </c>
      <c r="F73" s="8" t="s">
        <v>1740</v>
      </c>
      <c r="G73" s="10">
        <v>3425</v>
      </c>
      <c r="H73" s="11"/>
      <c r="I73" s="143"/>
      <c r="J73" s="9">
        <f t="array" ref="J73">IFERROR(I73/G73*100,0)</f>
        <v>0</v>
      </c>
      <c r="K73" s="143"/>
      <c r="L73" s="9">
        <f t="shared" si="1"/>
        <v>0</v>
      </c>
      <c r="M73" s="8" t="str">
        <f t="array" ref="M73">IF(L73&gt;5,"Perlu Pengendalian",IF(AND(L73&gt;=0,I73&gt;0),"Tidak Perlu Pengendalian","Belum Sensus"))</f>
        <v>Belum Sensus</v>
      </c>
      <c r="N73" s="143"/>
      <c r="O73" s="9">
        <f t="array" ref="O73">IFERROR(N73/I73*100,0)</f>
        <v>0</v>
      </c>
    </row>
    <row r="74" spans="1:15" outlineLevel="1" x14ac:dyDescent="0.15">
      <c r="A74" s="8" t="s">
        <v>1914</v>
      </c>
      <c r="B74" s="8"/>
      <c r="C74" s="8" t="s">
        <v>107</v>
      </c>
      <c r="D74" s="186" t="s">
        <v>1377</v>
      </c>
      <c r="E74" s="9">
        <v>37.47</v>
      </c>
      <c r="F74" s="8" t="s">
        <v>1740</v>
      </c>
      <c r="G74" s="10">
        <v>4480</v>
      </c>
      <c r="H74" s="11"/>
      <c r="I74" s="143"/>
      <c r="J74" s="9">
        <f t="array" ref="J74">IFERROR(I74/G74*100,0)</f>
        <v>0</v>
      </c>
      <c r="K74" s="143"/>
      <c r="L74" s="9">
        <f t="shared" si="1"/>
        <v>0</v>
      </c>
      <c r="M74" s="8" t="str">
        <f t="array" ref="M74">IF(L74&gt;5,"Perlu Pengendalian",IF(AND(L74&gt;=0,I74&gt;0),"Tidak Perlu Pengendalian","Belum Sensus"))</f>
        <v>Belum Sensus</v>
      </c>
      <c r="N74" s="143"/>
      <c r="O74" s="9">
        <f t="array" ref="O74">IFERROR(N74/I74*100,0)</f>
        <v>0</v>
      </c>
    </row>
    <row r="75" spans="1:15" outlineLevel="1" x14ac:dyDescent="0.15">
      <c r="A75" s="8" t="s">
        <v>1914</v>
      </c>
      <c r="B75" s="8"/>
      <c r="C75" s="8" t="s">
        <v>107</v>
      </c>
      <c r="D75" s="186" t="s">
        <v>1348</v>
      </c>
      <c r="E75" s="9">
        <v>37.58</v>
      </c>
      <c r="F75" s="8" t="s">
        <v>1740</v>
      </c>
      <c r="G75" s="10">
        <v>5272.9999999999991</v>
      </c>
      <c r="H75" s="11"/>
      <c r="I75" s="143"/>
      <c r="J75" s="9">
        <f t="array" ref="J75">IFERROR(I75/G75*100,0)</f>
        <v>0</v>
      </c>
      <c r="K75" s="143"/>
      <c r="L75" s="9">
        <f t="shared" si="1"/>
        <v>0</v>
      </c>
      <c r="M75" s="8" t="str">
        <f t="array" ref="M75">IF(L75&gt;5,"Perlu Pengendalian",IF(AND(L75&gt;=0,I75&gt;0),"Tidak Perlu Pengendalian","Belum Sensus"))</f>
        <v>Belum Sensus</v>
      </c>
      <c r="N75" s="143"/>
      <c r="O75" s="9">
        <f t="array" ref="O75">IFERROR(N75/I75*100,0)</f>
        <v>0</v>
      </c>
    </row>
    <row r="76" spans="1:15" outlineLevel="1" x14ac:dyDescent="0.15">
      <c r="A76" s="8" t="s">
        <v>1914</v>
      </c>
      <c r="B76" s="8"/>
      <c r="C76" s="8" t="s">
        <v>107</v>
      </c>
      <c r="D76" s="186" t="s">
        <v>1374</v>
      </c>
      <c r="E76" s="9">
        <v>26.55</v>
      </c>
      <c r="F76" s="8" t="s">
        <v>1740</v>
      </c>
      <c r="G76" s="10">
        <v>3900</v>
      </c>
      <c r="H76" s="11"/>
      <c r="I76" s="143"/>
      <c r="J76" s="9">
        <f t="array" ref="J76">IFERROR(I76/G76*100,0)</f>
        <v>0</v>
      </c>
      <c r="K76" s="143"/>
      <c r="L76" s="9">
        <f t="shared" si="1"/>
        <v>0</v>
      </c>
      <c r="M76" s="8" t="str">
        <f t="array" ref="M76">IF(L76&gt;5,"Perlu Pengendalian",IF(AND(L76&gt;=0,I76&gt;0),"Tidak Perlu Pengendalian","Belum Sensus"))</f>
        <v>Belum Sensus</v>
      </c>
      <c r="N76" s="143"/>
      <c r="O76" s="9">
        <f t="array" ref="O76">IFERROR(N76/I76*100,0)</f>
        <v>0</v>
      </c>
    </row>
    <row r="77" spans="1:15" outlineLevel="1" x14ac:dyDescent="0.15">
      <c r="A77" s="8" t="s">
        <v>1914</v>
      </c>
      <c r="B77" s="8"/>
      <c r="C77" s="8" t="s">
        <v>107</v>
      </c>
      <c r="D77" s="181" t="s">
        <v>1375</v>
      </c>
      <c r="E77" s="9">
        <v>35.440000000000005</v>
      </c>
      <c r="F77" s="8" t="s">
        <v>1740</v>
      </c>
      <c r="G77" s="10">
        <v>4859</v>
      </c>
      <c r="H77" s="11"/>
      <c r="I77" s="143"/>
      <c r="J77" s="9">
        <f t="array" ref="J77">IFERROR(I77/G77*100,0)</f>
        <v>0</v>
      </c>
      <c r="K77" s="143"/>
      <c r="L77" s="9">
        <f t="shared" si="1"/>
        <v>0</v>
      </c>
      <c r="M77" s="8" t="str">
        <f t="array" ref="M77">IF(L77&gt;5,"Perlu Pengendalian",IF(AND(L77&gt;=0,I77&gt;0),"Tidak Perlu Pengendalian","Belum Sensus"))</f>
        <v>Belum Sensus</v>
      </c>
      <c r="N77" s="143"/>
      <c r="O77" s="9">
        <f t="array" ref="O77">IFERROR(N77/I77*100,0)</f>
        <v>0</v>
      </c>
    </row>
    <row r="78" spans="1:15" outlineLevel="1" x14ac:dyDescent="0.15">
      <c r="A78" s="8" t="s">
        <v>1914</v>
      </c>
      <c r="B78" s="8"/>
      <c r="C78" s="8" t="s">
        <v>144</v>
      </c>
      <c r="D78" s="186" t="s">
        <v>1007</v>
      </c>
      <c r="E78" s="9">
        <v>33.14</v>
      </c>
      <c r="F78" s="8" t="s">
        <v>1740</v>
      </c>
      <c r="G78" s="10">
        <v>3850</v>
      </c>
      <c r="H78" s="11"/>
      <c r="I78" s="143"/>
      <c r="J78" s="9">
        <f t="array" ref="J78">IFERROR(I78/G78*100,0)</f>
        <v>0</v>
      </c>
      <c r="K78" s="143"/>
      <c r="L78" s="9">
        <f t="shared" si="1"/>
        <v>0</v>
      </c>
      <c r="M78" s="8" t="str">
        <f t="array" ref="M78">IF(L78&gt;5,"Perlu Pengendalian",IF(AND(L78&gt;=0,I78&gt;0),"Tidak Perlu Pengendalian","Belum Sensus"))</f>
        <v>Belum Sensus</v>
      </c>
      <c r="N78" s="143"/>
      <c r="O78" s="9">
        <f t="array" ref="O78">IFERROR(N78/I78*100,0)</f>
        <v>0</v>
      </c>
    </row>
    <row r="79" spans="1:15" outlineLevel="1" x14ac:dyDescent="0.15">
      <c r="A79" s="8" t="s">
        <v>1914</v>
      </c>
      <c r="B79" s="8"/>
      <c r="C79" s="8" t="s">
        <v>144</v>
      </c>
      <c r="D79" s="186" t="s">
        <v>1394</v>
      </c>
      <c r="E79" s="9">
        <v>27.29</v>
      </c>
      <c r="F79" s="8" t="s">
        <v>1740</v>
      </c>
      <c r="G79" s="10">
        <v>3082</v>
      </c>
      <c r="H79" s="11"/>
      <c r="I79" s="143"/>
      <c r="J79" s="9">
        <f t="array" ref="J79">IFERROR(I79/G79*100,0)</f>
        <v>0</v>
      </c>
      <c r="K79" s="143"/>
      <c r="L79" s="9">
        <f t="shared" si="1"/>
        <v>0</v>
      </c>
      <c r="M79" s="8" t="str">
        <f t="array" ref="M79">IF(L79&gt;5,"Perlu Pengendalian",IF(AND(L79&gt;=0,I79&gt;0),"Tidak Perlu Pengendalian","Belum Sensus"))</f>
        <v>Belum Sensus</v>
      </c>
      <c r="N79" s="143"/>
      <c r="O79" s="9">
        <f t="array" ref="O79">IFERROR(N79/I79*100,0)</f>
        <v>0</v>
      </c>
    </row>
    <row r="80" spans="1:15" outlineLevel="1" x14ac:dyDescent="0.15">
      <c r="A80" s="8" t="s">
        <v>1914</v>
      </c>
      <c r="B80" s="8"/>
      <c r="C80" s="8" t="s">
        <v>144</v>
      </c>
      <c r="D80" s="186" t="s">
        <v>1392</v>
      </c>
      <c r="E80" s="9">
        <v>28.23</v>
      </c>
      <c r="F80" s="8" t="s">
        <v>1740</v>
      </c>
      <c r="G80" s="10">
        <v>3378</v>
      </c>
      <c r="H80" s="11"/>
      <c r="I80" s="143"/>
      <c r="J80" s="9">
        <f t="array" ref="J80">IFERROR(I80/G80*100,0)</f>
        <v>0</v>
      </c>
      <c r="K80" s="143"/>
      <c r="L80" s="9">
        <f t="shared" si="1"/>
        <v>0</v>
      </c>
      <c r="M80" s="8" t="str">
        <f t="array" ref="M80">IF(L80&gt;5,"Perlu Pengendalian",IF(AND(L80&gt;=0,I80&gt;0),"Tidak Perlu Pengendalian","Belum Sensus"))</f>
        <v>Belum Sensus</v>
      </c>
      <c r="N80" s="143"/>
      <c r="O80" s="9">
        <f t="array" ref="O80">IFERROR(N80/I80*100,0)</f>
        <v>0</v>
      </c>
    </row>
    <row r="81" spans="1:15" outlineLevel="1" x14ac:dyDescent="0.15">
      <c r="A81" s="8" t="s">
        <v>1914</v>
      </c>
      <c r="B81" s="8"/>
      <c r="C81" s="8" t="s">
        <v>144</v>
      </c>
      <c r="D81" s="8" t="s">
        <v>1393</v>
      </c>
      <c r="E81" s="9">
        <v>30.55</v>
      </c>
      <c r="F81" s="8" t="s">
        <v>1740</v>
      </c>
      <c r="G81" s="10">
        <v>3471</v>
      </c>
      <c r="H81" s="11"/>
      <c r="I81" s="143"/>
      <c r="J81" s="9">
        <f t="array" ref="J81">IFERROR(I81/G81*100,0)</f>
        <v>0</v>
      </c>
      <c r="K81" s="143"/>
      <c r="L81" s="9">
        <f t="shared" si="1"/>
        <v>0</v>
      </c>
      <c r="M81" s="8" t="str">
        <f t="array" ref="M81">IF(L81&gt;5,"Perlu Pengendalian",IF(AND(L81&gt;=0,I81&gt;0),"Tidak Perlu Pengendalian","Belum Sensus"))</f>
        <v>Belum Sensus</v>
      </c>
      <c r="N81" s="143"/>
      <c r="O81" s="9">
        <f t="array" ref="O81">IFERROR(N81/I81*100,0)</f>
        <v>0</v>
      </c>
    </row>
    <row r="82" spans="1:15" outlineLevel="1" x14ac:dyDescent="0.15">
      <c r="A82" s="8" t="s">
        <v>1914</v>
      </c>
      <c r="B82" s="8"/>
      <c r="C82" s="8" t="s">
        <v>144</v>
      </c>
      <c r="D82" s="186" t="s">
        <v>1009</v>
      </c>
      <c r="E82" s="9">
        <v>26.23</v>
      </c>
      <c r="F82" s="8" t="s">
        <v>1740</v>
      </c>
      <c r="G82" s="10">
        <v>2978</v>
      </c>
      <c r="H82" s="11"/>
      <c r="I82" s="143"/>
      <c r="J82" s="9">
        <f t="array" ref="J82">IFERROR(I82/G82*100,0)</f>
        <v>0</v>
      </c>
      <c r="K82" s="143"/>
      <c r="L82" s="9">
        <f t="shared" si="1"/>
        <v>0</v>
      </c>
      <c r="M82" s="8" t="str">
        <f t="array" ref="M82">IF(L82&gt;5,"Perlu Pengendalian",IF(AND(L82&gt;=0,I82&gt;0),"Tidak Perlu Pengendalian","Belum Sensus"))</f>
        <v>Belum Sensus</v>
      </c>
      <c r="N82" s="143"/>
      <c r="O82" s="9">
        <f t="array" ref="O82">IFERROR(N82/I82*100,0)</f>
        <v>0</v>
      </c>
    </row>
    <row r="83" spans="1:15" outlineLevel="1" x14ac:dyDescent="0.15">
      <c r="A83" s="8" t="s">
        <v>1914</v>
      </c>
      <c r="B83" s="8"/>
      <c r="C83" s="8" t="s">
        <v>144</v>
      </c>
      <c r="D83" s="186" t="s">
        <v>1367</v>
      </c>
      <c r="E83" s="9">
        <v>40.26</v>
      </c>
      <c r="F83" s="8" t="s">
        <v>1740</v>
      </c>
      <c r="G83" s="10">
        <v>4789</v>
      </c>
      <c r="H83" s="11"/>
      <c r="I83" s="143"/>
      <c r="J83" s="9">
        <f t="array" ref="J83">IFERROR(I83/G83*100,0)</f>
        <v>0</v>
      </c>
      <c r="K83" s="143"/>
      <c r="L83" s="9">
        <f t="shared" si="1"/>
        <v>0</v>
      </c>
      <c r="M83" s="8" t="str">
        <f t="array" ref="M83">IF(L83&gt;5,"Perlu Pengendalian",IF(AND(L83&gt;=0,I83&gt;0),"Tidak Perlu Pengendalian","Belum Sensus"))</f>
        <v>Belum Sensus</v>
      </c>
      <c r="N83" s="143"/>
      <c r="O83" s="9">
        <f t="array" ref="O83">IFERROR(N83/I83*100,0)</f>
        <v>0</v>
      </c>
    </row>
    <row r="84" spans="1:15" outlineLevel="1" x14ac:dyDescent="0.15">
      <c r="A84" s="8" t="s">
        <v>1914</v>
      </c>
      <c r="B84" s="8"/>
      <c r="C84" s="8" t="s">
        <v>144</v>
      </c>
      <c r="D84" s="186" t="s">
        <v>1391</v>
      </c>
      <c r="E84" s="9">
        <v>25.2</v>
      </c>
      <c r="F84" s="8" t="s">
        <v>1740</v>
      </c>
      <c r="G84" s="10">
        <v>3339</v>
      </c>
      <c r="H84" s="11"/>
      <c r="I84" s="143"/>
      <c r="J84" s="9">
        <f t="array" ref="J84">IFERROR(I84/G84*100,0)</f>
        <v>0</v>
      </c>
      <c r="K84" s="143"/>
      <c r="L84" s="9">
        <f t="shared" si="1"/>
        <v>0</v>
      </c>
      <c r="M84" s="8" t="str">
        <f t="array" ref="M84">IF(L84&gt;5,"Perlu Pengendalian",IF(AND(L84&gt;=0,I84&gt;0),"Tidak Perlu Pengendalian","Belum Sensus"))</f>
        <v>Belum Sensus</v>
      </c>
      <c r="N84" s="143"/>
      <c r="O84" s="9">
        <f t="array" ref="O84">IFERROR(N84/I84*100,0)</f>
        <v>0</v>
      </c>
    </row>
    <row r="85" spans="1:15" outlineLevel="1" x14ac:dyDescent="0.15">
      <c r="A85" s="8" t="s">
        <v>1914</v>
      </c>
      <c r="B85" s="8"/>
      <c r="C85" s="8" t="s">
        <v>144</v>
      </c>
      <c r="D85" s="186" t="s">
        <v>1373</v>
      </c>
      <c r="E85" s="9">
        <v>39.08</v>
      </c>
      <c r="F85" s="8" t="s">
        <v>1740</v>
      </c>
      <c r="G85" s="10">
        <v>5306</v>
      </c>
      <c r="H85" s="11"/>
      <c r="I85" s="143"/>
      <c r="J85" s="9">
        <f t="array" ref="J85">IFERROR(I85/G85*100,0)</f>
        <v>0</v>
      </c>
      <c r="K85" s="143"/>
      <c r="L85" s="9">
        <f t="shared" si="1"/>
        <v>0</v>
      </c>
      <c r="M85" s="8" t="str">
        <f t="array" ref="M85">IF(L85&gt;5,"Perlu Pengendalian",IF(AND(L85&gt;=0,I85&gt;0),"Tidak Perlu Pengendalian","Belum Sensus"))</f>
        <v>Belum Sensus</v>
      </c>
      <c r="N85" s="143"/>
      <c r="O85" s="9">
        <f t="array" ref="O85">IFERROR(N85/I85*100,0)</f>
        <v>0</v>
      </c>
    </row>
    <row r="86" spans="1:15" outlineLevel="1" x14ac:dyDescent="0.15">
      <c r="A86" s="8" t="s">
        <v>1914</v>
      </c>
      <c r="B86" s="8"/>
      <c r="C86" s="8" t="s">
        <v>144</v>
      </c>
      <c r="D86" s="186" t="s">
        <v>1002</v>
      </c>
      <c r="E86" s="9">
        <v>49.580000000000005</v>
      </c>
      <c r="F86" s="8" t="s">
        <v>1740</v>
      </c>
      <c r="G86" s="10">
        <v>5977</v>
      </c>
      <c r="H86" s="11"/>
      <c r="I86" s="143"/>
      <c r="J86" s="9">
        <f t="array" ref="J86">IFERROR(I86/G86*100,0)</f>
        <v>0</v>
      </c>
      <c r="K86" s="143"/>
      <c r="L86" s="9">
        <f t="shared" si="1"/>
        <v>0</v>
      </c>
      <c r="M86" s="8" t="str">
        <f t="array" ref="M86">IF(L86&gt;5,"Perlu Pengendalian",IF(AND(L86&gt;=0,I86&gt;0),"Tidak Perlu Pengendalian","Belum Sensus"))</f>
        <v>Belum Sensus</v>
      </c>
      <c r="N86" s="143"/>
      <c r="O86" s="9">
        <f t="array" ref="O86">IFERROR(N86/I86*100,0)</f>
        <v>0</v>
      </c>
    </row>
    <row r="87" spans="1:15" outlineLevel="1" x14ac:dyDescent="0.15">
      <c r="A87" s="8" t="s">
        <v>1914</v>
      </c>
      <c r="B87" s="8"/>
      <c r="C87" s="8" t="s">
        <v>144</v>
      </c>
      <c r="D87" s="186" t="s">
        <v>1362</v>
      </c>
      <c r="E87" s="9">
        <v>54.38000000000001</v>
      </c>
      <c r="F87" s="8" t="s">
        <v>1740</v>
      </c>
      <c r="G87" s="10">
        <v>6184</v>
      </c>
      <c r="H87" s="11"/>
      <c r="I87" s="143"/>
      <c r="J87" s="9">
        <f t="array" ref="J87">IFERROR(I87/G87*100,0)</f>
        <v>0</v>
      </c>
      <c r="K87" s="143"/>
      <c r="L87" s="9">
        <f t="shared" si="1"/>
        <v>0</v>
      </c>
      <c r="M87" s="8" t="str">
        <f t="array" ref="M87">IF(L87&gt;5,"Perlu Pengendalian",IF(AND(L87&gt;=0,I87&gt;0),"Tidak Perlu Pengendalian","Belum Sensus"))</f>
        <v>Belum Sensus</v>
      </c>
      <c r="N87" s="143"/>
      <c r="O87" s="9">
        <f t="array" ref="O87">IFERROR(N87/I87*100,0)</f>
        <v>0</v>
      </c>
    </row>
    <row r="88" spans="1:15" outlineLevel="1" x14ac:dyDescent="0.15">
      <c r="A88" s="8" t="s">
        <v>1914</v>
      </c>
      <c r="B88" s="8"/>
      <c r="C88" s="8" t="s">
        <v>144</v>
      </c>
      <c r="D88" s="186" t="s">
        <v>1368</v>
      </c>
      <c r="E88" s="9">
        <v>31.79</v>
      </c>
      <c r="F88" s="8" t="s">
        <v>1740</v>
      </c>
      <c r="G88" s="10">
        <v>4189</v>
      </c>
      <c r="H88" s="11"/>
      <c r="I88" s="143"/>
      <c r="J88" s="9">
        <f t="array" ref="J88">IFERROR(I88/G88*100,0)</f>
        <v>0</v>
      </c>
      <c r="K88" s="143"/>
      <c r="L88" s="9">
        <f t="shared" si="1"/>
        <v>0</v>
      </c>
      <c r="M88" s="8" t="str">
        <f t="array" ref="M88">IF(L88&gt;5,"Perlu Pengendalian",IF(AND(L88&gt;=0,I88&gt;0),"Tidak Perlu Pengendalian","Belum Sensus"))</f>
        <v>Belum Sensus</v>
      </c>
      <c r="N88" s="143"/>
      <c r="O88" s="9">
        <f t="array" ref="O88">IFERROR(N88/I88*100,0)</f>
        <v>0</v>
      </c>
    </row>
    <row r="89" spans="1:15" outlineLevel="1" x14ac:dyDescent="0.15">
      <c r="A89" s="8" t="s">
        <v>1914</v>
      </c>
      <c r="B89" s="8"/>
      <c r="C89" s="8" t="s">
        <v>144</v>
      </c>
      <c r="D89" s="181" t="s">
        <v>1370</v>
      </c>
      <c r="E89" s="9">
        <v>42.17</v>
      </c>
      <c r="F89" s="8" t="s">
        <v>1740</v>
      </c>
      <c r="G89" s="10">
        <v>4546</v>
      </c>
      <c r="H89" s="11"/>
      <c r="I89" s="143"/>
      <c r="J89" s="9">
        <f t="array" ref="J89">IFERROR(I89/G89*100,0)</f>
        <v>0</v>
      </c>
      <c r="K89" s="143"/>
      <c r="L89" s="9">
        <f t="shared" si="1"/>
        <v>0</v>
      </c>
      <c r="M89" s="8" t="str">
        <f t="array" ref="M89">IF(L89&gt;5,"Perlu Pengendalian",IF(AND(L89&gt;=0,I89&gt;0),"Tidak Perlu Pengendalian","Belum Sensus"))</f>
        <v>Belum Sensus</v>
      </c>
      <c r="N89" s="143"/>
      <c r="O89" s="9">
        <f t="array" ref="O89">IFERROR(N89/I89*100,0)</f>
        <v>0</v>
      </c>
    </row>
    <row r="90" spans="1:15" outlineLevel="1" x14ac:dyDescent="0.15">
      <c r="A90" s="8" t="s">
        <v>1914</v>
      </c>
      <c r="B90" s="8"/>
      <c r="C90" s="8" t="s">
        <v>144</v>
      </c>
      <c r="D90" s="181" t="s">
        <v>1371</v>
      </c>
      <c r="E90" s="9">
        <v>25.4</v>
      </c>
      <c r="F90" s="8" t="s">
        <v>1740</v>
      </c>
      <c r="G90" s="10">
        <v>3103</v>
      </c>
      <c r="H90" s="11"/>
      <c r="I90" s="143"/>
      <c r="J90" s="9">
        <f t="array" ref="J90">IFERROR(I90/G90*100,0)</f>
        <v>0</v>
      </c>
      <c r="K90" s="143"/>
      <c r="L90" s="9">
        <f t="shared" si="1"/>
        <v>0</v>
      </c>
      <c r="M90" s="8" t="str">
        <f t="array" ref="M90">IF(L90&gt;5,"Perlu Pengendalian",IF(AND(L90&gt;=0,I90&gt;0),"Tidak Perlu Pengendalian","Belum Sensus"))</f>
        <v>Belum Sensus</v>
      </c>
      <c r="N90" s="143"/>
      <c r="O90" s="9">
        <f t="array" ref="O90">IFERROR(N90/I90*100,0)</f>
        <v>0</v>
      </c>
    </row>
    <row r="91" spans="1:15" outlineLevel="1" x14ac:dyDescent="0.15">
      <c r="A91" s="8" t="s">
        <v>1914</v>
      </c>
      <c r="B91" s="8"/>
      <c r="C91" s="8" t="s">
        <v>144</v>
      </c>
      <c r="D91" s="186" t="s">
        <v>1366</v>
      </c>
      <c r="E91" s="9">
        <v>46.31</v>
      </c>
      <c r="F91" s="8" t="s">
        <v>1740</v>
      </c>
      <c r="G91" s="10">
        <v>4940</v>
      </c>
      <c r="H91" s="11"/>
      <c r="I91" s="143"/>
      <c r="J91" s="9">
        <f t="array" ref="J91">IFERROR(I91/G91*100,0)</f>
        <v>0</v>
      </c>
      <c r="K91" s="143"/>
      <c r="L91" s="9">
        <f t="shared" si="1"/>
        <v>0</v>
      </c>
      <c r="M91" s="8" t="str">
        <f t="array" ref="M91">IF(L91&gt;5,"Perlu Pengendalian",IF(AND(L91&gt;=0,I91&gt;0),"Tidak Perlu Pengendalian","Belum Sensus"))</f>
        <v>Belum Sensus</v>
      </c>
      <c r="N91" s="143"/>
      <c r="O91" s="9">
        <f t="array" ref="O91">IFERROR(N91/I91*100,0)</f>
        <v>0</v>
      </c>
    </row>
    <row r="92" spans="1:15" outlineLevel="1" x14ac:dyDescent="0.15">
      <c r="A92" s="8" t="s">
        <v>1914</v>
      </c>
      <c r="B92" s="8"/>
      <c r="C92" s="8" t="s">
        <v>144</v>
      </c>
      <c r="D92" s="186" t="s">
        <v>1369</v>
      </c>
      <c r="E92" s="9">
        <v>38.75</v>
      </c>
      <c r="F92" s="8" t="s">
        <v>1740</v>
      </c>
      <c r="G92" s="10">
        <v>4909</v>
      </c>
      <c r="H92" s="11"/>
      <c r="I92" s="143"/>
      <c r="J92" s="9">
        <f t="array" ref="J92">IFERROR(I92/G92*100,0)</f>
        <v>0</v>
      </c>
      <c r="K92" s="143"/>
      <c r="L92" s="9">
        <f t="shared" si="1"/>
        <v>0</v>
      </c>
      <c r="M92" s="8" t="str">
        <f t="array" ref="M92">IF(L92&gt;5,"Perlu Pengendalian",IF(AND(L92&gt;=0,I92&gt;0),"Tidak Perlu Pengendalian","Belum Sensus"))</f>
        <v>Belum Sensus</v>
      </c>
      <c r="N92" s="143"/>
      <c r="O92" s="9">
        <f t="array" ref="O92">IFERROR(N92/I92*100,0)</f>
        <v>0</v>
      </c>
    </row>
    <row r="93" spans="1:15" outlineLevel="1" x14ac:dyDescent="0.15">
      <c r="A93" s="8" t="s">
        <v>1914</v>
      </c>
      <c r="B93" s="8"/>
      <c r="C93" s="8" t="s">
        <v>144</v>
      </c>
      <c r="D93" s="186" t="s">
        <v>1004</v>
      </c>
      <c r="E93" s="9">
        <v>32.29</v>
      </c>
      <c r="F93" s="8" t="s">
        <v>1740</v>
      </c>
      <c r="G93" s="10">
        <v>3362</v>
      </c>
      <c r="H93" s="11"/>
      <c r="I93" s="143"/>
      <c r="J93" s="9">
        <f t="array" ref="J93">IFERROR(I93/G93*100,0)</f>
        <v>0</v>
      </c>
      <c r="K93" s="143"/>
      <c r="L93" s="9">
        <f t="shared" si="1"/>
        <v>0</v>
      </c>
      <c r="M93" s="8" t="str">
        <f t="array" ref="M93">IF(L93&gt;5,"Perlu Pengendalian",IF(AND(L93&gt;=0,I93&gt;0),"Tidak Perlu Pengendalian","Belum Sensus"))</f>
        <v>Belum Sensus</v>
      </c>
      <c r="N93" s="143"/>
      <c r="O93" s="9">
        <f t="array" ref="O93">IFERROR(N93/I93*100,0)</f>
        <v>0</v>
      </c>
    </row>
    <row r="94" spans="1:15" outlineLevel="1" x14ac:dyDescent="0.15">
      <c r="A94" s="8" t="s">
        <v>1914</v>
      </c>
      <c r="B94" s="8"/>
      <c r="C94" s="8" t="s">
        <v>144</v>
      </c>
      <c r="D94" s="186" t="s">
        <v>1011</v>
      </c>
      <c r="E94" s="9">
        <v>29.04</v>
      </c>
      <c r="F94" s="8" t="s">
        <v>1740</v>
      </c>
      <c r="G94" s="10">
        <v>3580</v>
      </c>
      <c r="H94" s="11"/>
      <c r="I94" s="143"/>
      <c r="J94" s="9">
        <f t="array" ref="J94">IFERROR(I94/G94*100,0)</f>
        <v>0</v>
      </c>
      <c r="K94" s="143"/>
      <c r="L94" s="9">
        <f t="shared" si="1"/>
        <v>0</v>
      </c>
      <c r="M94" s="8" t="str">
        <f t="array" ref="M94">IF(L94&gt;5,"Perlu Pengendalian",IF(AND(L94&gt;=0,I94&gt;0),"Tidak Perlu Pengendalian","Belum Sensus"))</f>
        <v>Belum Sensus</v>
      </c>
      <c r="N94" s="143"/>
      <c r="O94" s="9">
        <f t="array" ref="O94">IFERROR(N94/I94*100,0)</f>
        <v>0</v>
      </c>
    </row>
    <row r="95" spans="1:15" outlineLevel="1" x14ac:dyDescent="0.15">
      <c r="A95" s="8" t="s">
        <v>1914</v>
      </c>
      <c r="B95" s="8"/>
      <c r="C95" s="8" t="s">
        <v>173</v>
      </c>
      <c r="D95" s="181" t="s">
        <v>1382</v>
      </c>
      <c r="E95" s="9">
        <v>27.76</v>
      </c>
      <c r="F95" s="8" t="s">
        <v>1740</v>
      </c>
      <c r="G95" s="10">
        <v>3505</v>
      </c>
      <c r="H95" s="11"/>
      <c r="I95" s="143"/>
      <c r="J95" s="9">
        <f t="array" ref="J95">IFERROR(I95/G95*100,0)</f>
        <v>0</v>
      </c>
      <c r="K95" s="143"/>
      <c r="L95" s="9">
        <f t="shared" si="1"/>
        <v>0</v>
      </c>
      <c r="M95" s="8" t="str">
        <f t="array" ref="M95">IF(L95&gt;5,"Perlu Pengendalian",IF(AND(L95&gt;=0,I95&gt;0),"Tidak Perlu Pengendalian","Belum Sensus"))</f>
        <v>Belum Sensus</v>
      </c>
      <c r="N95" s="143"/>
      <c r="O95" s="9">
        <f t="array" ref="O95">IFERROR(N95/I95*100,0)</f>
        <v>0</v>
      </c>
    </row>
    <row r="96" spans="1:15" outlineLevel="1" x14ac:dyDescent="0.15">
      <c r="A96" s="8" t="s">
        <v>1914</v>
      </c>
      <c r="B96" s="8"/>
      <c r="C96" s="8" t="s">
        <v>173</v>
      </c>
      <c r="D96" s="186" t="s">
        <v>1422</v>
      </c>
      <c r="E96" s="9">
        <v>37.660000000000004</v>
      </c>
      <c r="F96" s="8" t="s">
        <v>1740</v>
      </c>
      <c r="G96" s="10">
        <v>4115</v>
      </c>
      <c r="H96" s="11"/>
      <c r="I96" s="143"/>
      <c r="J96" s="9">
        <f t="array" ref="J96">IFERROR(I96/G96*100,0)</f>
        <v>0</v>
      </c>
      <c r="K96" s="143"/>
      <c r="L96" s="9">
        <f t="shared" si="1"/>
        <v>0</v>
      </c>
      <c r="M96" s="8" t="str">
        <f t="array" ref="M96">IF(L96&gt;5,"Perlu Pengendalian",IF(AND(L96&gt;=0,I96&gt;0),"Tidak Perlu Pengendalian","Belum Sensus"))</f>
        <v>Belum Sensus</v>
      </c>
      <c r="N96" s="143"/>
      <c r="O96" s="9">
        <f t="array" ref="O96">IFERROR(N96/I96*100,0)</f>
        <v>0</v>
      </c>
    </row>
    <row r="97" spans="1:15" outlineLevel="1" x14ac:dyDescent="0.15">
      <c r="A97" s="8" t="s">
        <v>1914</v>
      </c>
      <c r="B97" s="8"/>
      <c r="C97" s="8" t="s">
        <v>173</v>
      </c>
      <c r="D97" s="186" t="s">
        <v>1385</v>
      </c>
      <c r="E97" s="9">
        <v>21.16</v>
      </c>
      <c r="F97" s="8" t="s">
        <v>1740</v>
      </c>
      <c r="G97" s="10">
        <v>2017.9999999999998</v>
      </c>
      <c r="H97" s="11"/>
      <c r="I97" s="143"/>
      <c r="J97" s="9">
        <f t="array" ref="J97">IFERROR(I97/G97*100,0)</f>
        <v>0</v>
      </c>
      <c r="K97" s="143"/>
      <c r="L97" s="9">
        <f t="shared" si="1"/>
        <v>0</v>
      </c>
      <c r="M97" s="8" t="str">
        <f t="array" ref="M97">IF(L97&gt;5,"Perlu Pengendalian",IF(AND(L97&gt;=0,I97&gt;0),"Tidak Perlu Pengendalian","Belum Sensus"))</f>
        <v>Belum Sensus</v>
      </c>
      <c r="N97" s="143"/>
      <c r="O97" s="9">
        <f t="array" ref="O97">IFERROR(N97/I97*100,0)</f>
        <v>0</v>
      </c>
    </row>
    <row r="98" spans="1:15" outlineLevel="1" x14ac:dyDescent="0.15">
      <c r="A98" s="8" t="s">
        <v>1914</v>
      </c>
      <c r="B98" s="8"/>
      <c r="C98" s="8" t="s">
        <v>173</v>
      </c>
      <c r="D98" s="181" t="s">
        <v>1427</v>
      </c>
      <c r="E98" s="9">
        <v>27.029999999999998</v>
      </c>
      <c r="F98" s="8" t="s">
        <v>1740</v>
      </c>
      <c r="G98" s="10">
        <v>2812</v>
      </c>
      <c r="H98" s="11"/>
      <c r="I98" s="143"/>
      <c r="J98" s="9">
        <f t="array" ref="J98">IFERROR(I98/G98*100,0)</f>
        <v>0</v>
      </c>
      <c r="K98" s="143"/>
      <c r="L98" s="9">
        <f t="shared" si="1"/>
        <v>0</v>
      </c>
      <c r="M98" s="8" t="str">
        <f t="array" ref="M98">IF(L98&gt;5,"Perlu Pengendalian",IF(AND(L98&gt;=0,I98&gt;0),"Tidak Perlu Pengendalian","Belum Sensus"))</f>
        <v>Belum Sensus</v>
      </c>
      <c r="N98" s="143"/>
      <c r="O98" s="9">
        <f t="array" ref="O98">IFERROR(N98/I98*100,0)</f>
        <v>0</v>
      </c>
    </row>
    <row r="99" spans="1:15" outlineLevel="1" x14ac:dyDescent="0.15">
      <c r="A99" s="8" t="s">
        <v>1914</v>
      </c>
      <c r="B99" s="8"/>
      <c r="C99" s="8" t="s">
        <v>173</v>
      </c>
      <c r="D99" s="186" t="s">
        <v>1421</v>
      </c>
      <c r="E99" s="9">
        <v>35.57</v>
      </c>
      <c r="F99" s="8" t="s">
        <v>1740</v>
      </c>
      <c r="G99" s="10">
        <v>3382</v>
      </c>
      <c r="H99" s="11"/>
      <c r="I99" s="143"/>
      <c r="J99" s="9">
        <f t="array" ref="J99">IFERROR(I99/G99*100,0)</f>
        <v>0</v>
      </c>
      <c r="K99" s="143"/>
      <c r="L99" s="9">
        <f t="shared" si="1"/>
        <v>0</v>
      </c>
      <c r="M99" s="8" t="str">
        <f t="array" ref="M99">IF(L99&gt;5,"Perlu Pengendalian",IF(AND(L99&gt;=0,I99&gt;0),"Tidak Perlu Pengendalian","Belum Sensus"))</f>
        <v>Belum Sensus</v>
      </c>
      <c r="N99" s="143"/>
      <c r="O99" s="9">
        <f t="array" ref="O99">IFERROR(N99/I99*100,0)</f>
        <v>0</v>
      </c>
    </row>
    <row r="100" spans="1:15" outlineLevel="1" x14ac:dyDescent="0.15">
      <c r="A100" s="8" t="s">
        <v>1914</v>
      </c>
      <c r="B100" s="8"/>
      <c r="C100" s="8" t="s">
        <v>173</v>
      </c>
      <c r="D100" s="186" t="s">
        <v>1383</v>
      </c>
      <c r="E100" s="9">
        <v>45.23</v>
      </c>
      <c r="F100" s="8" t="s">
        <v>1740</v>
      </c>
      <c r="G100" s="10">
        <v>6082</v>
      </c>
      <c r="H100" s="11"/>
      <c r="I100" s="143"/>
      <c r="J100" s="9">
        <f t="array" ref="J100">IFERROR(I100/G100*100,0)</f>
        <v>0</v>
      </c>
      <c r="K100" s="143"/>
      <c r="L100" s="9">
        <f t="shared" si="1"/>
        <v>0</v>
      </c>
      <c r="M100" s="8" t="str">
        <f t="array" ref="M100">IF(L100&gt;5,"Perlu Pengendalian",IF(AND(L100&gt;=0,I100&gt;0),"Tidak Perlu Pengendalian","Belum Sensus"))</f>
        <v>Belum Sensus</v>
      </c>
      <c r="N100" s="143"/>
      <c r="O100" s="9">
        <f t="array" ref="O100">IFERROR(N100/I100*100,0)</f>
        <v>0</v>
      </c>
    </row>
    <row r="101" spans="1:15" outlineLevel="1" x14ac:dyDescent="0.15">
      <c r="A101" s="8" t="s">
        <v>1914</v>
      </c>
      <c r="B101" s="8"/>
      <c r="C101" s="8" t="s">
        <v>173</v>
      </c>
      <c r="D101" s="186" t="s">
        <v>1384</v>
      </c>
      <c r="E101" s="9">
        <v>37.28</v>
      </c>
      <c r="F101" s="8" t="s">
        <v>1740</v>
      </c>
      <c r="G101" s="10">
        <v>5048.0000000000009</v>
      </c>
      <c r="H101" s="11"/>
      <c r="I101" s="143"/>
      <c r="J101" s="9">
        <f t="array" ref="J101">IFERROR(I101/G101*100,0)</f>
        <v>0</v>
      </c>
      <c r="K101" s="143"/>
      <c r="L101" s="9">
        <f t="shared" si="1"/>
        <v>0</v>
      </c>
      <c r="M101" s="8" t="str">
        <f t="array" ref="M101">IF(L101&gt;5,"Perlu Pengendalian",IF(AND(L101&gt;=0,I101&gt;0),"Tidak Perlu Pengendalian","Belum Sensus"))</f>
        <v>Belum Sensus</v>
      </c>
      <c r="N101" s="143"/>
      <c r="O101" s="9">
        <f t="array" ref="O101">IFERROR(N101/I101*100,0)</f>
        <v>0</v>
      </c>
    </row>
    <row r="102" spans="1:15" outlineLevel="1" x14ac:dyDescent="0.15">
      <c r="A102" s="8" t="s">
        <v>1914</v>
      </c>
      <c r="B102" s="8"/>
      <c r="C102" s="8" t="s">
        <v>173</v>
      </c>
      <c r="D102" s="186" t="s">
        <v>1381</v>
      </c>
      <c r="E102" s="9">
        <v>26.650000000000002</v>
      </c>
      <c r="F102" s="8" t="s">
        <v>1740</v>
      </c>
      <c r="G102" s="10">
        <v>3416</v>
      </c>
      <c r="H102" s="11"/>
      <c r="I102" s="143"/>
      <c r="J102" s="9">
        <f t="array" ref="J102">IFERROR(I102/G102*100,0)</f>
        <v>0</v>
      </c>
      <c r="K102" s="143"/>
      <c r="L102" s="9">
        <f t="shared" si="1"/>
        <v>0</v>
      </c>
      <c r="M102" s="8" t="str">
        <f t="array" ref="M102">IF(L102&gt;5,"Perlu Pengendalian",IF(AND(L102&gt;=0,I102&gt;0),"Tidak Perlu Pengendalian","Belum Sensus"))</f>
        <v>Belum Sensus</v>
      </c>
      <c r="N102" s="143"/>
      <c r="O102" s="9">
        <f t="array" ref="O102">IFERROR(N102/I102*100,0)</f>
        <v>0</v>
      </c>
    </row>
    <row r="103" spans="1:15" outlineLevel="1" x14ac:dyDescent="0.15">
      <c r="A103" s="8" t="s">
        <v>1914</v>
      </c>
      <c r="B103" s="8"/>
      <c r="C103" s="8" t="s">
        <v>173</v>
      </c>
      <c r="D103" s="186" t="s">
        <v>1428</v>
      </c>
      <c r="E103" s="9">
        <v>36.010000000000005</v>
      </c>
      <c r="F103" s="8" t="s">
        <v>1740</v>
      </c>
      <c r="G103" s="10">
        <v>4529</v>
      </c>
      <c r="H103" s="11"/>
      <c r="I103" s="143"/>
      <c r="J103" s="9">
        <f t="array" ref="J103">IFERROR(I103/G103*100,0)</f>
        <v>0</v>
      </c>
      <c r="K103" s="143"/>
      <c r="L103" s="9">
        <f t="shared" si="1"/>
        <v>0</v>
      </c>
      <c r="M103" s="8" t="str">
        <f t="array" ref="M103">IF(L103&gt;5,"Perlu Pengendalian",IF(AND(L103&gt;=0,I103&gt;0),"Tidak Perlu Pengendalian","Belum Sensus"))</f>
        <v>Belum Sensus</v>
      </c>
      <c r="N103" s="143"/>
      <c r="O103" s="9">
        <f t="array" ref="O103">IFERROR(N103/I103*100,0)</f>
        <v>0</v>
      </c>
    </row>
    <row r="104" spans="1:15" outlineLevel="1" x14ac:dyDescent="0.15">
      <c r="A104" s="8" t="s">
        <v>1914</v>
      </c>
      <c r="B104" s="8"/>
      <c r="C104" s="8" t="s">
        <v>173</v>
      </c>
      <c r="D104" s="8" t="s">
        <v>1412</v>
      </c>
      <c r="E104" s="9">
        <v>28.26</v>
      </c>
      <c r="F104" s="8" t="s">
        <v>1740</v>
      </c>
      <c r="G104" s="10">
        <v>3220</v>
      </c>
      <c r="H104" s="11"/>
      <c r="I104" s="143"/>
      <c r="J104" s="9">
        <f t="array" ref="J104">IFERROR(I104/G104*100,0)</f>
        <v>0</v>
      </c>
      <c r="K104" s="143"/>
      <c r="L104" s="9">
        <f t="shared" si="1"/>
        <v>0</v>
      </c>
      <c r="M104" s="8" t="str">
        <f t="array" ref="M104">IF(L104&gt;5,"Perlu Pengendalian",IF(AND(L104&gt;=0,I104&gt;0),"Tidak Perlu Pengendalian","Belum Sensus"))</f>
        <v>Belum Sensus</v>
      </c>
      <c r="N104" s="143"/>
      <c r="O104" s="9">
        <f t="array" ref="O104">IFERROR(N104/I104*100,0)</f>
        <v>0</v>
      </c>
    </row>
    <row r="105" spans="1:15" outlineLevel="1" x14ac:dyDescent="0.15">
      <c r="A105" s="8" t="s">
        <v>1914</v>
      </c>
      <c r="B105" s="8"/>
      <c r="C105" s="8" t="s">
        <v>173</v>
      </c>
      <c r="D105" s="186" t="s">
        <v>1420</v>
      </c>
      <c r="E105" s="9">
        <v>35.549999999999997</v>
      </c>
      <c r="F105" s="8" t="s">
        <v>1740</v>
      </c>
      <c r="G105" s="10">
        <v>4304</v>
      </c>
      <c r="H105" s="11"/>
      <c r="I105" s="143"/>
      <c r="J105" s="9">
        <f t="array" ref="J105">IFERROR(I105/G105*100,0)</f>
        <v>0</v>
      </c>
      <c r="K105" s="143"/>
      <c r="L105" s="9">
        <f t="shared" si="1"/>
        <v>0</v>
      </c>
      <c r="M105" s="8" t="str">
        <f t="array" ref="M105">IF(L105&gt;5,"Perlu Pengendalian",IF(AND(L105&gt;=0,I105&gt;0),"Tidak Perlu Pengendalian","Belum Sensus"))</f>
        <v>Belum Sensus</v>
      </c>
      <c r="N105" s="143"/>
      <c r="O105" s="9">
        <f t="array" ref="O105">IFERROR(N105/I105*100,0)</f>
        <v>0</v>
      </c>
    </row>
    <row r="106" spans="1:15" outlineLevel="1" x14ac:dyDescent="0.15">
      <c r="A106" s="8" t="s">
        <v>1914</v>
      </c>
      <c r="B106" s="8"/>
      <c r="C106" s="8" t="s">
        <v>173</v>
      </c>
      <c r="D106" s="8" t="s">
        <v>1413</v>
      </c>
      <c r="E106" s="9">
        <v>31.540000000000003</v>
      </c>
      <c r="F106" s="8" t="s">
        <v>1740</v>
      </c>
      <c r="G106" s="10">
        <v>3604</v>
      </c>
      <c r="H106" s="11"/>
      <c r="I106" s="143"/>
      <c r="J106" s="9">
        <f t="array" ref="J106">IFERROR(I106/G106*100,0)</f>
        <v>0</v>
      </c>
      <c r="K106" s="143"/>
      <c r="L106" s="9">
        <f t="shared" si="1"/>
        <v>0</v>
      </c>
      <c r="M106" s="8" t="str">
        <f t="array" ref="M106">IF(L106&gt;5,"Perlu Pengendalian",IF(AND(L106&gt;=0,I106&gt;0),"Tidak Perlu Pengendalian","Belum Sensus"))</f>
        <v>Belum Sensus</v>
      </c>
      <c r="N106" s="143"/>
      <c r="O106" s="9">
        <f t="array" ref="O106">IFERROR(N106/I106*100,0)</f>
        <v>0</v>
      </c>
    </row>
    <row r="107" spans="1:15" outlineLevel="1" x14ac:dyDescent="0.15">
      <c r="A107" s="8" t="s">
        <v>1914</v>
      </c>
      <c r="B107" s="8"/>
      <c r="C107" s="8" t="s">
        <v>173</v>
      </c>
      <c r="D107" s="186" t="s">
        <v>1433</v>
      </c>
      <c r="E107" s="9">
        <v>34.059999999999995</v>
      </c>
      <c r="F107" s="8" t="s">
        <v>1740</v>
      </c>
      <c r="G107" s="10">
        <v>4421</v>
      </c>
      <c r="H107" s="11"/>
      <c r="I107" s="143"/>
      <c r="J107" s="9">
        <f t="array" ref="J107">IFERROR(I107/G107*100,0)</f>
        <v>0</v>
      </c>
      <c r="K107" s="143"/>
      <c r="L107" s="9">
        <f t="shared" si="1"/>
        <v>0</v>
      </c>
      <c r="M107" s="8" t="str">
        <f t="array" ref="M107">IF(L107&gt;5,"Perlu Pengendalian",IF(AND(L107&gt;=0,I107&gt;0),"Tidak Perlu Pengendalian","Belum Sensus"))</f>
        <v>Belum Sensus</v>
      </c>
      <c r="N107" s="143"/>
      <c r="O107" s="9">
        <f t="array" ref="O107">IFERROR(N107/I107*100,0)</f>
        <v>0</v>
      </c>
    </row>
    <row r="108" spans="1:15" outlineLevel="1" x14ac:dyDescent="0.15">
      <c r="A108" s="8" t="s">
        <v>1914</v>
      </c>
      <c r="B108" s="8"/>
      <c r="C108" s="8" t="s">
        <v>173</v>
      </c>
      <c r="D108" s="186" t="s">
        <v>1445</v>
      </c>
      <c r="E108" s="9">
        <v>23.67</v>
      </c>
      <c r="F108" s="8" t="s">
        <v>1740</v>
      </c>
      <c r="G108" s="10">
        <v>2279</v>
      </c>
      <c r="H108" s="11"/>
      <c r="I108" s="143"/>
      <c r="J108" s="9">
        <f t="array" ref="J108">IFERROR(I108/G108*100,0)</f>
        <v>0</v>
      </c>
      <c r="K108" s="143"/>
      <c r="L108" s="9">
        <f t="shared" si="1"/>
        <v>0</v>
      </c>
      <c r="M108" s="8" t="str">
        <f t="array" ref="M108">IF(L108&gt;5,"Perlu Pengendalian",IF(AND(L108&gt;=0,I108&gt;0),"Tidak Perlu Pengendalian","Belum Sensus"))</f>
        <v>Belum Sensus</v>
      </c>
      <c r="N108" s="143"/>
      <c r="O108" s="9">
        <f t="array" ref="O108">IFERROR(N108/I108*100,0)</f>
        <v>0</v>
      </c>
    </row>
    <row r="109" spans="1:15" outlineLevel="1" x14ac:dyDescent="0.15">
      <c r="A109" s="8" t="s">
        <v>1914</v>
      </c>
      <c r="B109" s="8"/>
      <c r="C109" s="8" t="s">
        <v>173</v>
      </c>
      <c r="D109" s="186" t="s">
        <v>1444</v>
      </c>
      <c r="E109" s="9">
        <v>34.049999999999997</v>
      </c>
      <c r="F109" s="8" t="s">
        <v>1740</v>
      </c>
      <c r="G109" s="10">
        <v>4034</v>
      </c>
      <c r="H109" s="11"/>
      <c r="I109" s="143"/>
      <c r="J109" s="9">
        <f t="array" ref="J109">IFERROR(I109/G109*100,0)</f>
        <v>0</v>
      </c>
      <c r="K109" s="143"/>
      <c r="L109" s="9">
        <f t="shared" si="1"/>
        <v>0</v>
      </c>
      <c r="M109" s="8" t="str">
        <f t="array" ref="M109">IF(L109&gt;5,"Perlu Pengendalian",IF(AND(L109&gt;=0,I109&gt;0),"Tidak Perlu Pengendalian","Belum Sensus"))</f>
        <v>Belum Sensus</v>
      </c>
      <c r="N109" s="143"/>
      <c r="O109" s="9">
        <f t="array" ref="O109">IFERROR(N109/I109*100,0)</f>
        <v>0</v>
      </c>
    </row>
    <row r="110" spans="1:15" outlineLevel="1" x14ac:dyDescent="0.15">
      <c r="A110" s="8" t="s">
        <v>1914</v>
      </c>
      <c r="B110" s="8"/>
      <c r="C110" s="8" t="s">
        <v>173</v>
      </c>
      <c r="D110" s="186" t="s">
        <v>1096</v>
      </c>
      <c r="E110" s="9">
        <v>25.81</v>
      </c>
      <c r="F110" s="8" t="s">
        <v>1740</v>
      </c>
      <c r="G110" s="10">
        <v>3265</v>
      </c>
      <c r="H110" s="11"/>
      <c r="I110" s="143"/>
      <c r="J110" s="9">
        <f t="array" ref="J110">IFERROR(I110/G110*100,0)</f>
        <v>0</v>
      </c>
      <c r="K110" s="143"/>
      <c r="L110" s="9">
        <f t="shared" si="1"/>
        <v>0</v>
      </c>
      <c r="M110" s="8" t="str">
        <f t="array" ref="M110">IF(L110&gt;5,"Perlu Pengendalian",IF(AND(L110&gt;=0,I110&gt;0),"Tidak Perlu Pengendalian","Belum Sensus"))</f>
        <v>Belum Sensus</v>
      </c>
      <c r="N110" s="143"/>
      <c r="O110" s="9">
        <f t="array" ref="O110">IFERROR(N110/I110*100,0)</f>
        <v>0</v>
      </c>
    </row>
    <row r="111" spans="1:15" outlineLevel="1" x14ac:dyDescent="0.15">
      <c r="A111" s="8" t="s">
        <v>1914</v>
      </c>
      <c r="B111" s="8"/>
      <c r="C111" s="8" t="s">
        <v>173</v>
      </c>
      <c r="D111" s="186" t="s">
        <v>1446</v>
      </c>
      <c r="E111" s="9">
        <v>23.83</v>
      </c>
      <c r="F111" s="8" t="s">
        <v>1740</v>
      </c>
      <c r="G111" s="10">
        <v>2605</v>
      </c>
      <c r="H111" s="11"/>
      <c r="I111" s="143"/>
      <c r="J111" s="9">
        <f t="array" ref="J111">IFERROR(I111/G111*100,0)</f>
        <v>0</v>
      </c>
      <c r="K111" s="143"/>
      <c r="L111" s="9">
        <f t="shared" si="1"/>
        <v>0</v>
      </c>
      <c r="M111" s="8" t="str">
        <f t="array" ref="M111">IF(L111&gt;5,"Perlu Pengendalian",IF(AND(L111&gt;=0,I111&gt;0),"Tidak Perlu Pengendalian","Belum Sensus"))</f>
        <v>Belum Sensus</v>
      </c>
      <c r="N111" s="143"/>
      <c r="O111" s="9">
        <f t="array" ref="O111">IFERROR(N111/I111*100,0)</f>
        <v>0</v>
      </c>
    </row>
    <row r="112" spans="1:15" outlineLevel="1" x14ac:dyDescent="0.15">
      <c r="A112" s="8" t="s">
        <v>1914</v>
      </c>
      <c r="B112" s="8"/>
      <c r="C112" s="8" t="s">
        <v>173</v>
      </c>
      <c r="D112" s="186" t="s">
        <v>1434</v>
      </c>
      <c r="E112" s="9">
        <v>35.650000000000006</v>
      </c>
      <c r="F112" s="8" t="s">
        <v>1740</v>
      </c>
      <c r="G112" s="10">
        <v>4174</v>
      </c>
      <c r="H112" s="11"/>
      <c r="I112" s="143"/>
      <c r="J112" s="9">
        <f t="array" ref="J112">IFERROR(I112/G112*100,0)</f>
        <v>0</v>
      </c>
      <c r="K112" s="143"/>
      <c r="L112" s="9">
        <f t="shared" si="1"/>
        <v>0</v>
      </c>
      <c r="M112" s="8" t="str">
        <f t="array" ref="M112">IF(L112&gt;5,"Perlu Pengendalian",IF(AND(L112&gt;=0,I112&gt;0),"Tidak Perlu Pengendalian","Belum Sensus"))</f>
        <v>Belum Sensus</v>
      </c>
      <c r="N112" s="143"/>
      <c r="O112" s="9">
        <f t="array" ref="O112">IFERROR(N112/I112*100,0)</f>
        <v>0</v>
      </c>
    </row>
    <row r="113" spans="1:15" outlineLevel="1" x14ac:dyDescent="0.15">
      <c r="A113" s="8" t="s">
        <v>1914</v>
      </c>
      <c r="B113" s="8"/>
      <c r="C113" s="8" t="s">
        <v>173</v>
      </c>
      <c r="D113" s="186" t="s">
        <v>1435</v>
      </c>
      <c r="E113" s="9">
        <v>27.599999999999994</v>
      </c>
      <c r="F113" s="8" t="s">
        <v>1740</v>
      </c>
      <c r="G113" s="10">
        <v>3127</v>
      </c>
      <c r="H113" s="11"/>
      <c r="I113" s="143"/>
      <c r="J113" s="9">
        <f t="array" ref="J113">IFERROR(I113/G113*100,0)</f>
        <v>0</v>
      </c>
      <c r="K113" s="143"/>
      <c r="L113" s="9">
        <f t="shared" si="1"/>
        <v>0</v>
      </c>
      <c r="M113" s="8" t="str">
        <f t="array" ref="M113">IF(L113&gt;5,"Perlu Pengendalian",IF(AND(L113&gt;=0,I113&gt;0),"Tidak Perlu Pengendalian","Belum Sensus"))</f>
        <v>Belum Sensus</v>
      </c>
      <c r="N113" s="143"/>
      <c r="O113" s="9">
        <f t="array" ref="O113">IFERROR(N113/I113*100,0)</f>
        <v>0</v>
      </c>
    </row>
    <row r="114" spans="1:15" outlineLevel="1" x14ac:dyDescent="0.15">
      <c r="A114" s="8" t="s">
        <v>1914</v>
      </c>
      <c r="B114" s="8"/>
      <c r="C114" s="8" t="s">
        <v>173</v>
      </c>
      <c r="D114" s="186" t="s">
        <v>1097</v>
      </c>
      <c r="E114" s="9">
        <v>39.089999999999996</v>
      </c>
      <c r="F114" s="8" t="s">
        <v>1740</v>
      </c>
      <c r="G114" s="10">
        <v>4423</v>
      </c>
      <c r="H114" s="11"/>
      <c r="I114" s="143"/>
      <c r="J114" s="9">
        <f t="array" ref="J114">IFERROR(I114/G114*100,0)</f>
        <v>0</v>
      </c>
      <c r="K114" s="143"/>
      <c r="L114" s="9">
        <f t="shared" si="1"/>
        <v>0</v>
      </c>
      <c r="M114" s="8" t="str">
        <f t="array" ref="M114">IF(L114&gt;5,"Perlu Pengendalian",IF(AND(L114&gt;=0,I114&gt;0),"Tidak Perlu Pengendalian","Belum Sensus"))</f>
        <v>Belum Sensus</v>
      </c>
      <c r="N114" s="143"/>
      <c r="O114" s="9">
        <f t="array" ref="O114">IFERROR(N114/I114*100,0)</f>
        <v>0</v>
      </c>
    </row>
    <row r="115" spans="1:15" outlineLevel="1" x14ac:dyDescent="0.15">
      <c r="A115" s="8" t="s">
        <v>1914</v>
      </c>
      <c r="B115" s="8"/>
      <c r="C115" s="8" t="s">
        <v>216</v>
      </c>
      <c r="D115" s="186" t="s">
        <v>1431</v>
      </c>
      <c r="E115" s="9">
        <v>35.300000000000004</v>
      </c>
      <c r="F115" s="8" t="s">
        <v>1740</v>
      </c>
      <c r="G115" s="10">
        <v>4585</v>
      </c>
      <c r="H115" s="11"/>
      <c r="I115" s="143"/>
      <c r="J115" s="9">
        <f t="array" ref="J115">IFERROR(I115/G115*100,0)</f>
        <v>0</v>
      </c>
      <c r="K115" s="143"/>
      <c r="L115" s="9">
        <f t="shared" si="1"/>
        <v>0</v>
      </c>
      <c r="M115" s="8" t="str">
        <f t="array" ref="M115">IF(L115&gt;5,"Perlu Pengendalian",IF(AND(L115&gt;=0,I115&gt;0),"Tidak Perlu Pengendalian","Belum Sensus"))</f>
        <v>Belum Sensus</v>
      </c>
      <c r="N115" s="143"/>
      <c r="O115" s="9">
        <f t="array" ref="O115">IFERROR(N115/I115*100,0)</f>
        <v>0</v>
      </c>
    </row>
    <row r="116" spans="1:15" outlineLevel="1" x14ac:dyDescent="0.15">
      <c r="A116" s="8" t="s">
        <v>1914</v>
      </c>
      <c r="B116" s="8"/>
      <c r="C116" s="8" t="s">
        <v>216</v>
      </c>
      <c r="D116" s="186" t="s">
        <v>1443</v>
      </c>
      <c r="E116" s="9">
        <v>32.29</v>
      </c>
      <c r="F116" s="8" t="s">
        <v>1740</v>
      </c>
      <c r="G116" s="10">
        <v>4046</v>
      </c>
      <c r="H116" s="11"/>
      <c r="I116" s="143"/>
      <c r="J116" s="9">
        <f t="array" ref="J116">IFERROR(I116/G116*100,0)</f>
        <v>0</v>
      </c>
      <c r="K116" s="143"/>
      <c r="L116" s="9">
        <f t="shared" si="1"/>
        <v>0</v>
      </c>
      <c r="M116" s="8" t="str">
        <f t="array" ref="M116">IF(L116&gt;5,"Perlu Pengendalian",IF(AND(L116&gt;=0,I116&gt;0),"Tidak Perlu Pengendalian","Belum Sensus"))</f>
        <v>Belum Sensus</v>
      </c>
      <c r="N116" s="143"/>
      <c r="O116" s="9">
        <f t="array" ref="O116">IFERROR(N116/I116*100,0)</f>
        <v>0</v>
      </c>
    </row>
    <row r="117" spans="1:15" outlineLevel="1" x14ac:dyDescent="0.15">
      <c r="A117" s="8" t="s">
        <v>1914</v>
      </c>
      <c r="B117" s="8"/>
      <c r="C117" s="8" t="s">
        <v>216</v>
      </c>
      <c r="D117" s="186" t="s">
        <v>1426</v>
      </c>
      <c r="E117" s="9">
        <v>40.56</v>
      </c>
      <c r="F117" s="8" t="s">
        <v>1740</v>
      </c>
      <c r="G117" s="10">
        <v>5033</v>
      </c>
      <c r="H117" s="11"/>
      <c r="I117" s="143"/>
      <c r="J117" s="9">
        <f t="array" ref="J117">IFERROR(I117/G117*100,0)</f>
        <v>0</v>
      </c>
      <c r="K117" s="143"/>
      <c r="L117" s="9">
        <f t="shared" si="1"/>
        <v>0</v>
      </c>
      <c r="M117" s="8" t="str">
        <f t="array" ref="M117">IF(L117&gt;5,"Perlu Pengendalian",IF(AND(L117&gt;=0,I117&gt;0),"Tidak Perlu Pengendalian","Belum Sensus"))</f>
        <v>Belum Sensus</v>
      </c>
      <c r="N117" s="143"/>
      <c r="O117" s="9">
        <f t="array" ref="O117">IFERROR(N117/I117*100,0)</f>
        <v>0</v>
      </c>
    </row>
    <row r="118" spans="1:15" outlineLevel="1" x14ac:dyDescent="0.15">
      <c r="A118" s="8" t="s">
        <v>1914</v>
      </c>
      <c r="B118" s="8"/>
      <c r="C118" s="8" t="s">
        <v>216</v>
      </c>
      <c r="D118" s="186" t="s">
        <v>1432</v>
      </c>
      <c r="E118" s="9">
        <v>36.230000000000004</v>
      </c>
      <c r="F118" s="8" t="s">
        <v>1740</v>
      </c>
      <c r="G118" s="10">
        <v>5018</v>
      </c>
      <c r="H118" s="11"/>
      <c r="I118" s="143"/>
      <c r="J118" s="9">
        <f t="array" ref="J118">IFERROR(I118/G118*100,0)</f>
        <v>0</v>
      </c>
      <c r="K118" s="143"/>
      <c r="L118" s="9">
        <f t="shared" si="1"/>
        <v>0</v>
      </c>
      <c r="M118" s="8" t="str">
        <f t="array" ref="M118">IF(L118&gt;5,"Perlu Pengendalian",IF(AND(L118&gt;=0,I118&gt;0),"Tidak Perlu Pengendalian","Belum Sensus"))</f>
        <v>Belum Sensus</v>
      </c>
      <c r="N118" s="143"/>
      <c r="O118" s="9">
        <f t="array" ref="O118">IFERROR(N118/I118*100,0)</f>
        <v>0</v>
      </c>
    </row>
    <row r="119" spans="1:15" outlineLevel="1" x14ac:dyDescent="0.15">
      <c r="A119" s="8" t="s">
        <v>1914</v>
      </c>
      <c r="B119" s="8"/>
      <c r="C119" s="8" t="s">
        <v>216</v>
      </c>
      <c r="D119" s="186" t="s">
        <v>1441</v>
      </c>
      <c r="E119" s="9">
        <v>40.49</v>
      </c>
      <c r="F119" s="8" t="s">
        <v>1740</v>
      </c>
      <c r="G119" s="10">
        <v>5470</v>
      </c>
      <c r="H119" s="11"/>
      <c r="I119" s="143"/>
      <c r="J119" s="9">
        <f t="array" ref="J119">IFERROR(I119/G119*100,0)</f>
        <v>0</v>
      </c>
      <c r="K119" s="143"/>
      <c r="L119" s="9">
        <f t="shared" si="1"/>
        <v>0</v>
      </c>
      <c r="M119" s="8" t="str">
        <f t="array" ref="M119">IF(L119&gt;5,"Perlu Pengendalian",IF(AND(L119&gt;=0,I119&gt;0),"Tidak Perlu Pengendalian","Belum Sensus"))</f>
        <v>Belum Sensus</v>
      </c>
      <c r="N119" s="143"/>
      <c r="O119" s="9">
        <f t="array" ref="O119">IFERROR(N119/I119*100,0)</f>
        <v>0</v>
      </c>
    </row>
    <row r="120" spans="1:15" outlineLevel="1" x14ac:dyDescent="0.15">
      <c r="A120" s="8" t="s">
        <v>1914</v>
      </c>
      <c r="B120" s="8"/>
      <c r="C120" s="8" t="s">
        <v>216</v>
      </c>
      <c r="D120" s="186" t="s">
        <v>1442</v>
      </c>
      <c r="E120" s="9">
        <v>25.980000000000004</v>
      </c>
      <c r="F120" s="8" t="s">
        <v>1740</v>
      </c>
      <c r="G120" s="10">
        <v>2967</v>
      </c>
      <c r="H120" s="11"/>
      <c r="I120" s="143"/>
      <c r="J120" s="9">
        <f t="array" ref="J120">IFERROR(I120/G120*100,0)</f>
        <v>0</v>
      </c>
      <c r="K120" s="143"/>
      <c r="L120" s="9">
        <f t="shared" si="1"/>
        <v>0</v>
      </c>
      <c r="M120" s="8" t="str">
        <f t="array" ref="M120">IF(L120&gt;5,"Perlu Pengendalian",IF(AND(L120&gt;=0,I120&gt;0),"Tidak Perlu Pengendalian","Belum Sensus"))</f>
        <v>Belum Sensus</v>
      </c>
      <c r="N120" s="143"/>
      <c r="O120" s="9">
        <f t="array" ref="O120">IFERROR(N120/I120*100,0)</f>
        <v>0</v>
      </c>
    </row>
    <row r="121" spans="1:15" outlineLevel="1" x14ac:dyDescent="0.15">
      <c r="A121" s="8" t="s">
        <v>1914</v>
      </c>
      <c r="B121" s="8"/>
      <c r="C121" s="8" t="s">
        <v>216</v>
      </c>
      <c r="D121" s="186" t="s">
        <v>1424</v>
      </c>
      <c r="E121" s="9">
        <v>34.61</v>
      </c>
      <c r="F121" s="8" t="s">
        <v>1740</v>
      </c>
      <c r="G121" s="10">
        <v>4644</v>
      </c>
      <c r="H121" s="11"/>
      <c r="I121" s="143"/>
      <c r="J121" s="9">
        <f t="array" ref="J121">IFERROR(I121/G121*100,0)</f>
        <v>0</v>
      </c>
      <c r="K121" s="143"/>
      <c r="L121" s="9">
        <f t="shared" si="1"/>
        <v>0</v>
      </c>
      <c r="M121" s="8" t="str">
        <f t="array" ref="M121">IF(L121&gt;5,"Perlu Pengendalian",IF(AND(L121&gt;=0,I121&gt;0),"Tidak Perlu Pengendalian","Belum Sensus"))</f>
        <v>Belum Sensus</v>
      </c>
      <c r="N121" s="143"/>
      <c r="O121" s="9">
        <f t="array" ref="O121">IFERROR(N121/I121*100,0)</f>
        <v>0</v>
      </c>
    </row>
    <row r="122" spans="1:15" outlineLevel="1" x14ac:dyDescent="0.15">
      <c r="A122" s="8" t="s">
        <v>1914</v>
      </c>
      <c r="B122" s="8"/>
      <c r="C122" s="8" t="s">
        <v>216</v>
      </c>
      <c r="D122" s="186" t="s">
        <v>1438</v>
      </c>
      <c r="E122" s="9">
        <v>27.150000000000002</v>
      </c>
      <c r="F122" s="8" t="s">
        <v>1740</v>
      </c>
      <c r="G122" s="10">
        <v>3308</v>
      </c>
      <c r="H122" s="11"/>
      <c r="I122" s="143"/>
      <c r="J122" s="9">
        <f t="array" ref="J122">IFERROR(I122/G122*100,0)</f>
        <v>0</v>
      </c>
      <c r="K122" s="143"/>
      <c r="L122" s="9">
        <f t="shared" si="1"/>
        <v>0</v>
      </c>
      <c r="M122" s="8" t="str">
        <f t="array" ref="M122">IF(L122&gt;5,"Perlu Pengendalian",IF(AND(L122&gt;=0,I122&gt;0),"Tidak Perlu Pengendalian","Belum Sensus"))</f>
        <v>Belum Sensus</v>
      </c>
      <c r="N122" s="143"/>
      <c r="O122" s="9">
        <f t="array" ref="O122">IFERROR(N122/I122*100,0)</f>
        <v>0</v>
      </c>
    </row>
    <row r="123" spans="1:15" outlineLevel="1" x14ac:dyDescent="0.15">
      <c r="A123" s="8" t="s">
        <v>1914</v>
      </c>
      <c r="B123" s="8"/>
      <c r="C123" s="8" t="s">
        <v>216</v>
      </c>
      <c r="D123" s="186" t="s">
        <v>1439</v>
      </c>
      <c r="E123" s="9">
        <v>47.43</v>
      </c>
      <c r="F123" s="8" t="s">
        <v>1740</v>
      </c>
      <c r="G123" s="10">
        <v>5366</v>
      </c>
      <c r="H123" s="11"/>
      <c r="I123" s="143"/>
      <c r="J123" s="9">
        <f t="array" ref="J123">IFERROR(I123/G123*100,0)</f>
        <v>0</v>
      </c>
      <c r="K123" s="143"/>
      <c r="L123" s="9">
        <f t="shared" si="1"/>
        <v>0</v>
      </c>
      <c r="M123" s="8" t="str">
        <f t="array" ref="M123">IF(L123&gt;5,"Perlu Pengendalian",IF(AND(L123&gt;=0,I123&gt;0),"Tidak Perlu Pengendalian","Belum Sensus"))</f>
        <v>Belum Sensus</v>
      </c>
      <c r="N123" s="143"/>
      <c r="O123" s="9">
        <f t="array" ref="O123">IFERROR(N123/I123*100,0)</f>
        <v>0</v>
      </c>
    </row>
    <row r="124" spans="1:15" outlineLevel="1" x14ac:dyDescent="0.15">
      <c r="A124" s="8" t="s">
        <v>1914</v>
      </c>
      <c r="B124" s="8"/>
      <c r="C124" s="8" t="s">
        <v>216</v>
      </c>
      <c r="D124" s="186" t="s">
        <v>1416</v>
      </c>
      <c r="E124" s="9">
        <v>52.83</v>
      </c>
      <c r="F124" s="8" t="s">
        <v>1740</v>
      </c>
      <c r="G124" s="10">
        <v>7725.0000000000009</v>
      </c>
      <c r="H124" s="11"/>
      <c r="I124" s="143"/>
      <c r="J124" s="9">
        <f t="array" ref="J124">IFERROR(I124/G124*100,0)</f>
        <v>0</v>
      </c>
      <c r="K124" s="143"/>
      <c r="L124" s="9">
        <f t="shared" si="1"/>
        <v>0</v>
      </c>
      <c r="M124" s="8" t="str">
        <f t="array" ref="M124">IF(L124&gt;5,"Perlu Pengendalian",IF(AND(L124&gt;=0,I124&gt;0),"Tidak Perlu Pengendalian","Belum Sensus"))</f>
        <v>Belum Sensus</v>
      </c>
      <c r="N124" s="143"/>
      <c r="O124" s="9">
        <f t="array" ref="O124">IFERROR(N124/I124*100,0)</f>
        <v>0</v>
      </c>
    </row>
    <row r="125" spans="1:15" outlineLevel="1" x14ac:dyDescent="0.15">
      <c r="A125" s="8" t="s">
        <v>1914</v>
      </c>
      <c r="B125" s="8"/>
      <c r="C125" s="8" t="s">
        <v>216</v>
      </c>
      <c r="D125" s="186" t="s">
        <v>1425</v>
      </c>
      <c r="E125" s="9">
        <v>31.97</v>
      </c>
      <c r="F125" s="8" t="s">
        <v>1740</v>
      </c>
      <c r="G125" s="10">
        <v>3888</v>
      </c>
      <c r="H125" s="11"/>
      <c r="I125" s="143"/>
      <c r="J125" s="9">
        <f t="array" ref="J125">IFERROR(I125/G125*100,0)</f>
        <v>0</v>
      </c>
      <c r="K125" s="143"/>
      <c r="L125" s="9">
        <f t="shared" si="1"/>
        <v>0</v>
      </c>
      <c r="M125" s="8" t="str">
        <f t="array" ref="M125">IF(L125&gt;5,"Perlu Pengendalian",IF(AND(L125&gt;=0,I125&gt;0),"Tidak Perlu Pengendalian","Belum Sensus"))</f>
        <v>Belum Sensus</v>
      </c>
      <c r="N125" s="143"/>
      <c r="O125" s="9">
        <f t="array" ref="O125">IFERROR(N125/I125*100,0)</f>
        <v>0</v>
      </c>
    </row>
    <row r="126" spans="1:15" outlineLevel="1" x14ac:dyDescent="0.15">
      <c r="A126" s="8" t="s">
        <v>1914</v>
      </c>
      <c r="B126" s="8"/>
      <c r="C126" s="8" t="s">
        <v>216</v>
      </c>
      <c r="D126" s="186" t="s">
        <v>1849</v>
      </c>
      <c r="E126" s="9">
        <v>23.670000000000005</v>
      </c>
      <c r="F126" s="8" t="s">
        <v>1740</v>
      </c>
      <c r="G126" s="10">
        <v>2996</v>
      </c>
      <c r="H126" s="11"/>
      <c r="I126" s="143"/>
      <c r="J126" s="9">
        <f t="array" ref="J126">IFERROR(I126/G126*100,0)</f>
        <v>0</v>
      </c>
      <c r="K126" s="143"/>
      <c r="L126" s="9">
        <f t="shared" si="1"/>
        <v>0</v>
      </c>
      <c r="M126" s="8" t="str">
        <f t="array" ref="M126">IF(L126&gt;5,"Perlu Pengendalian",IF(AND(L126&gt;=0,I126&gt;0),"Tidak Perlu Pengendalian","Belum Sensus"))</f>
        <v>Belum Sensus</v>
      </c>
      <c r="N126" s="143"/>
      <c r="O126" s="9">
        <f t="array" ref="O126">IFERROR(N126/I126*100,0)</f>
        <v>0</v>
      </c>
    </row>
    <row r="127" spans="1:15" outlineLevel="1" x14ac:dyDescent="0.15">
      <c r="A127" s="8" t="s">
        <v>1914</v>
      </c>
      <c r="B127" s="8"/>
      <c r="C127" s="8" t="s">
        <v>216</v>
      </c>
      <c r="D127" s="186" t="s">
        <v>1834</v>
      </c>
      <c r="E127" s="9">
        <v>41.800000000000004</v>
      </c>
      <c r="F127" s="8" t="s">
        <v>1740</v>
      </c>
      <c r="G127" s="10">
        <v>5611</v>
      </c>
      <c r="H127" s="11"/>
      <c r="I127" s="143"/>
      <c r="J127" s="9">
        <f t="array" ref="J127">IFERROR(I127/G127*100,0)</f>
        <v>0</v>
      </c>
      <c r="K127" s="143"/>
      <c r="L127" s="9">
        <f t="shared" si="1"/>
        <v>0</v>
      </c>
      <c r="M127" s="8" t="str">
        <f t="array" ref="M127">IF(L127&gt;5,"Perlu Pengendalian",IF(AND(L127&gt;=0,I127&gt;0),"Tidak Perlu Pengendalian","Belum Sensus"))</f>
        <v>Belum Sensus</v>
      </c>
      <c r="N127" s="143"/>
      <c r="O127" s="9">
        <f t="array" ref="O127">IFERROR(N127/I127*100,0)</f>
        <v>0</v>
      </c>
    </row>
    <row r="128" spans="1:15" outlineLevel="1" x14ac:dyDescent="0.15">
      <c r="A128" s="8" t="s">
        <v>1914</v>
      </c>
      <c r="B128" s="8"/>
      <c r="C128" s="8" t="s">
        <v>216</v>
      </c>
      <c r="D128" s="186" t="s">
        <v>1440</v>
      </c>
      <c r="E128" s="9">
        <v>43.24</v>
      </c>
      <c r="F128" s="8" t="s">
        <v>1740</v>
      </c>
      <c r="G128" s="10">
        <v>5005</v>
      </c>
      <c r="H128" s="11"/>
      <c r="I128" s="143"/>
      <c r="J128" s="9">
        <f t="array" ref="J128">IFERROR(I128/G128*100,0)</f>
        <v>0</v>
      </c>
      <c r="K128" s="143"/>
      <c r="L128" s="9">
        <f t="shared" si="1"/>
        <v>0</v>
      </c>
      <c r="M128" s="8" t="str">
        <f t="array" ref="M128">IF(L128&gt;5,"Perlu Pengendalian",IF(AND(L128&gt;=0,I128&gt;0),"Tidak Perlu Pengendalian","Belum Sensus"))</f>
        <v>Belum Sensus</v>
      </c>
      <c r="N128" s="143"/>
      <c r="O128" s="9">
        <f t="array" ref="O128">IFERROR(N128/I128*100,0)</f>
        <v>0</v>
      </c>
    </row>
    <row r="129" spans="1:15" outlineLevel="1" x14ac:dyDescent="0.15">
      <c r="A129" s="8" t="s">
        <v>1914</v>
      </c>
      <c r="B129" s="8"/>
      <c r="C129" s="8" t="s">
        <v>216</v>
      </c>
      <c r="D129" s="186" t="s">
        <v>1847</v>
      </c>
      <c r="E129" s="9">
        <v>30.58</v>
      </c>
      <c r="F129" s="8" t="s">
        <v>1740</v>
      </c>
      <c r="G129" s="10">
        <v>3206</v>
      </c>
      <c r="H129" s="11"/>
      <c r="I129" s="143"/>
      <c r="J129" s="9">
        <f t="array" ref="J129">IFERROR(I129/G129*100,0)</f>
        <v>0</v>
      </c>
      <c r="K129" s="143"/>
      <c r="L129" s="9">
        <f t="shared" si="1"/>
        <v>0</v>
      </c>
      <c r="M129" s="8" t="str">
        <f t="array" ref="M129">IF(L129&gt;5,"Perlu Pengendalian",IF(AND(L129&gt;=0,I129&gt;0),"Tidak Perlu Pengendalian","Belum Sensus"))</f>
        <v>Belum Sensus</v>
      </c>
      <c r="N129" s="143"/>
      <c r="O129" s="9">
        <f t="array" ref="O129">IFERROR(N129/I129*100,0)</f>
        <v>0</v>
      </c>
    </row>
    <row r="130" spans="1:15" outlineLevel="1" x14ac:dyDescent="0.15">
      <c r="A130" s="8" t="s">
        <v>1914</v>
      </c>
      <c r="B130" s="8"/>
      <c r="C130" s="8" t="s">
        <v>216</v>
      </c>
      <c r="D130" s="186" t="s">
        <v>1016</v>
      </c>
      <c r="E130" s="9">
        <v>38.190000000000005</v>
      </c>
      <c r="F130" s="8" t="s">
        <v>1740</v>
      </c>
      <c r="G130" s="10">
        <v>4062</v>
      </c>
      <c r="H130" s="11"/>
      <c r="I130" s="143"/>
      <c r="J130" s="9">
        <f t="array" ref="J130">IFERROR(I130/G130*100,0)</f>
        <v>0</v>
      </c>
      <c r="K130" s="143"/>
      <c r="L130" s="9">
        <f t="shared" si="1"/>
        <v>0</v>
      </c>
      <c r="M130" s="8" t="str">
        <f t="array" ref="M130">IF(L130&gt;5,"Perlu Pengendalian",IF(AND(L130&gt;=0,I130&gt;0),"Tidak Perlu Pengendalian","Belum Sensus"))</f>
        <v>Belum Sensus</v>
      </c>
      <c r="N130" s="143"/>
      <c r="O130" s="9">
        <f t="array" ref="O130">IFERROR(N130/I130*100,0)</f>
        <v>0</v>
      </c>
    </row>
    <row r="131" spans="1:15" outlineLevel="1" x14ac:dyDescent="0.15">
      <c r="A131" s="8" t="s">
        <v>1914</v>
      </c>
      <c r="B131" s="8"/>
      <c r="C131" s="8" t="s">
        <v>252</v>
      </c>
      <c r="D131" s="186" t="s">
        <v>1453</v>
      </c>
      <c r="E131" s="9">
        <v>23.580000000000002</v>
      </c>
      <c r="F131" s="8" t="s">
        <v>1740</v>
      </c>
      <c r="G131" s="10">
        <v>3228.0000000000005</v>
      </c>
      <c r="H131" s="11"/>
      <c r="I131" s="143"/>
      <c r="J131" s="9">
        <f t="array" ref="J131">IFERROR(I131/G131*100,0)</f>
        <v>0</v>
      </c>
      <c r="K131" s="143"/>
      <c r="L131" s="9">
        <f t="shared" si="1"/>
        <v>0</v>
      </c>
      <c r="M131" s="8" t="str">
        <f t="array" ref="M131">IF(L131&gt;5,"Perlu Pengendalian",IF(AND(L131&gt;=0,I131&gt;0),"Tidak Perlu Pengendalian","Belum Sensus"))</f>
        <v>Belum Sensus</v>
      </c>
      <c r="N131" s="143"/>
      <c r="O131" s="9">
        <f t="array" ref="O131">IFERROR(N131/I131*100,0)</f>
        <v>0</v>
      </c>
    </row>
    <row r="132" spans="1:15" outlineLevel="1" x14ac:dyDescent="0.15">
      <c r="A132" s="8" t="s">
        <v>1914</v>
      </c>
      <c r="B132" s="8"/>
      <c r="C132" s="8" t="s">
        <v>252</v>
      </c>
      <c r="D132" s="186" t="s">
        <v>1101</v>
      </c>
      <c r="E132" s="9">
        <v>25.97</v>
      </c>
      <c r="F132" s="8" t="s">
        <v>1740</v>
      </c>
      <c r="G132" s="10">
        <v>3481</v>
      </c>
      <c r="H132" s="11"/>
      <c r="I132" s="143"/>
      <c r="J132" s="9">
        <f t="array" ref="J132">IFERROR(I132/G132*100,0)</f>
        <v>0</v>
      </c>
      <c r="K132" s="143"/>
      <c r="L132" s="9">
        <f t="shared" si="1"/>
        <v>0</v>
      </c>
      <c r="M132" s="8" t="str">
        <f t="array" ref="M132">IF(L132&gt;5,"Perlu Pengendalian",IF(AND(L132&gt;=0,I132&gt;0),"Tidak Perlu Pengendalian","Belum Sensus"))</f>
        <v>Belum Sensus</v>
      </c>
      <c r="N132" s="143"/>
      <c r="O132" s="9">
        <f t="array" ref="O132">IFERROR(N132/I132*100,0)</f>
        <v>0</v>
      </c>
    </row>
    <row r="133" spans="1:15" outlineLevel="1" x14ac:dyDescent="0.15">
      <c r="A133" s="8" t="s">
        <v>1914</v>
      </c>
      <c r="B133" s="8"/>
      <c r="C133" s="8" t="s">
        <v>252</v>
      </c>
      <c r="D133" s="181" t="s">
        <v>1102</v>
      </c>
      <c r="E133" s="9">
        <v>26.89</v>
      </c>
      <c r="F133" s="8" t="s">
        <v>1740</v>
      </c>
      <c r="G133" s="10">
        <v>3531</v>
      </c>
      <c r="H133" s="11"/>
      <c r="I133" s="143"/>
      <c r="J133" s="9">
        <f t="array" ref="J133">IFERROR(I133/G133*100,0)</f>
        <v>0</v>
      </c>
      <c r="K133" s="143"/>
      <c r="L133" s="9">
        <f t="shared" si="1"/>
        <v>0</v>
      </c>
      <c r="M133" s="8" t="str">
        <f t="array" ref="M133">IF(L133&gt;5,"Perlu Pengendalian",IF(AND(L133&gt;=0,I133&gt;0),"Tidak Perlu Pengendalian","Belum Sensus"))</f>
        <v>Belum Sensus</v>
      </c>
      <c r="N133" s="143"/>
      <c r="O133" s="9">
        <f t="array" ref="O133">IFERROR(N133/I133*100,0)</f>
        <v>0</v>
      </c>
    </row>
    <row r="134" spans="1:15" outlineLevel="1" x14ac:dyDescent="0.15">
      <c r="A134" s="8" t="s">
        <v>1914</v>
      </c>
      <c r="B134" s="8"/>
      <c r="C134" s="8" t="s">
        <v>252</v>
      </c>
      <c r="D134" s="181" t="s">
        <v>1103</v>
      </c>
      <c r="E134" s="9">
        <v>25.74</v>
      </c>
      <c r="F134" s="8" t="s">
        <v>1740</v>
      </c>
      <c r="G134" s="10">
        <v>3396.0000000000005</v>
      </c>
      <c r="H134" s="11"/>
      <c r="I134" s="143"/>
      <c r="J134" s="9">
        <f t="array" ref="J134">IFERROR(I134/G134*100,0)</f>
        <v>0</v>
      </c>
      <c r="K134" s="143"/>
      <c r="L134" s="9">
        <f t="shared" ref="L134:L159" si="2">IFERROR(K134/I134*100,0)</f>
        <v>0</v>
      </c>
      <c r="M134" s="8" t="str">
        <f t="array" ref="M134">IF(L134&gt;5,"Perlu Pengendalian",IF(AND(L134&gt;=0,I134&gt;0),"Tidak Perlu Pengendalian","Belum Sensus"))</f>
        <v>Belum Sensus</v>
      </c>
      <c r="N134" s="143"/>
      <c r="O134" s="9">
        <f t="array" ref="O134">IFERROR(N134/I134*100,0)</f>
        <v>0</v>
      </c>
    </row>
    <row r="135" spans="1:15" outlineLevel="1" x14ac:dyDescent="0.15">
      <c r="A135" s="8" t="s">
        <v>1914</v>
      </c>
      <c r="B135" s="8"/>
      <c r="C135" s="8" t="s">
        <v>252</v>
      </c>
      <c r="D135" s="181" t="s">
        <v>1105</v>
      </c>
      <c r="E135" s="9">
        <v>36.629999999999995</v>
      </c>
      <c r="F135" s="8" t="s">
        <v>1740</v>
      </c>
      <c r="G135" s="10">
        <v>4170</v>
      </c>
      <c r="H135" s="11"/>
      <c r="I135" s="143"/>
      <c r="J135" s="9">
        <f t="array" ref="J135">IFERROR(I135/G135*100,0)</f>
        <v>0</v>
      </c>
      <c r="K135" s="143"/>
      <c r="L135" s="9">
        <f t="shared" si="2"/>
        <v>0</v>
      </c>
      <c r="M135" s="8" t="str">
        <f t="array" ref="M135">IF(L135&gt;5,"Perlu Pengendalian",IF(AND(L135&gt;=0,I135&gt;0),"Tidak Perlu Pengendalian","Belum Sensus"))</f>
        <v>Belum Sensus</v>
      </c>
      <c r="N135" s="143"/>
      <c r="O135" s="9">
        <f t="array" ref="O135">IFERROR(N135/I135*100,0)</f>
        <v>0</v>
      </c>
    </row>
    <row r="136" spans="1:15" outlineLevel="1" x14ac:dyDescent="0.15">
      <c r="A136" s="8" t="s">
        <v>1914</v>
      </c>
      <c r="B136" s="8"/>
      <c r="C136" s="8" t="s">
        <v>252</v>
      </c>
      <c r="D136" s="186" t="s">
        <v>1462</v>
      </c>
      <c r="E136" s="9">
        <v>27.6</v>
      </c>
      <c r="F136" s="8" t="s">
        <v>1740</v>
      </c>
      <c r="G136" s="10">
        <v>3703</v>
      </c>
      <c r="H136" s="11"/>
      <c r="I136" s="143"/>
      <c r="J136" s="9">
        <f t="array" ref="J136">IFERROR(I136/G136*100,0)</f>
        <v>0</v>
      </c>
      <c r="K136" s="143"/>
      <c r="L136" s="9">
        <f t="shared" si="2"/>
        <v>0</v>
      </c>
      <c r="M136" s="8" t="str">
        <f t="array" ref="M136">IF(L136&gt;5,"Perlu Pengendalian",IF(AND(L136&gt;=0,I136&gt;0),"Tidak Perlu Pengendalian","Belum Sensus"))</f>
        <v>Belum Sensus</v>
      </c>
      <c r="N136" s="143"/>
      <c r="O136" s="9">
        <f t="array" ref="O136">IFERROR(N136/I136*100,0)</f>
        <v>0</v>
      </c>
    </row>
    <row r="137" spans="1:15" outlineLevel="1" x14ac:dyDescent="0.15">
      <c r="A137" s="8" t="s">
        <v>1914</v>
      </c>
      <c r="B137" s="8"/>
      <c r="C137" s="8" t="s">
        <v>252</v>
      </c>
      <c r="D137" s="186" t="s">
        <v>1107</v>
      </c>
      <c r="E137" s="9">
        <v>32.9</v>
      </c>
      <c r="F137" s="8" t="s">
        <v>1740</v>
      </c>
      <c r="G137" s="10">
        <v>4432</v>
      </c>
      <c r="H137" s="11"/>
      <c r="I137" s="143"/>
      <c r="J137" s="9">
        <f t="array" ref="J137">IFERROR(I137/G137*100,0)</f>
        <v>0</v>
      </c>
      <c r="K137" s="143"/>
      <c r="L137" s="9">
        <f t="shared" si="2"/>
        <v>0</v>
      </c>
      <c r="M137" s="8" t="str">
        <f t="array" ref="M137">IF(L137&gt;5,"Perlu Pengendalian",IF(AND(L137&gt;=0,I137&gt;0),"Tidak Perlu Pengendalian","Belum Sensus"))</f>
        <v>Belum Sensus</v>
      </c>
      <c r="N137" s="143"/>
      <c r="O137" s="9">
        <f t="array" ref="O137">IFERROR(N137/I137*100,0)</f>
        <v>0</v>
      </c>
    </row>
    <row r="138" spans="1:15" outlineLevel="1" x14ac:dyDescent="0.15">
      <c r="A138" s="8" t="s">
        <v>1914</v>
      </c>
      <c r="B138" s="8"/>
      <c r="C138" s="8" t="s">
        <v>252</v>
      </c>
      <c r="D138" s="186" t="s">
        <v>1108</v>
      </c>
      <c r="E138" s="9">
        <v>30.9</v>
      </c>
      <c r="F138" s="8" t="s">
        <v>1740</v>
      </c>
      <c r="G138" s="10">
        <v>3867</v>
      </c>
      <c r="H138" s="11"/>
      <c r="I138" s="143"/>
      <c r="J138" s="9">
        <f t="array" ref="J138">IFERROR(I138/G138*100,0)</f>
        <v>0</v>
      </c>
      <c r="K138" s="143"/>
      <c r="L138" s="9">
        <f t="shared" si="2"/>
        <v>0</v>
      </c>
      <c r="M138" s="8" t="str">
        <f t="array" ref="M138">IF(L138&gt;5,"Perlu Pengendalian",IF(AND(L138&gt;=0,I138&gt;0),"Tidak Perlu Pengendalian","Belum Sensus"))</f>
        <v>Belum Sensus</v>
      </c>
      <c r="N138" s="143"/>
      <c r="O138" s="9">
        <f t="array" ref="O138">IFERROR(N138/I138*100,0)</f>
        <v>0</v>
      </c>
    </row>
    <row r="139" spans="1:15" outlineLevel="1" x14ac:dyDescent="0.15">
      <c r="A139" s="8" t="s">
        <v>1914</v>
      </c>
      <c r="B139" s="8"/>
      <c r="C139" s="8" t="s">
        <v>252</v>
      </c>
      <c r="D139" s="186" t="s">
        <v>1110</v>
      </c>
      <c r="E139" s="9">
        <v>28.58</v>
      </c>
      <c r="F139" s="8" t="s">
        <v>1740</v>
      </c>
      <c r="G139" s="10">
        <v>3592</v>
      </c>
      <c r="H139" s="11"/>
      <c r="I139" s="143"/>
      <c r="J139" s="9">
        <f t="array" ref="J139">IFERROR(I139/G139*100,0)</f>
        <v>0</v>
      </c>
      <c r="K139" s="143"/>
      <c r="L139" s="9">
        <f t="shared" si="2"/>
        <v>0</v>
      </c>
      <c r="M139" s="8" t="str">
        <f t="array" ref="M139">IF(L139&gt;5,"Perlu Pengendalian",IF(AND(L139&gt;=0,I139&gt;0),"Tidak Perlu Pengendalian","Belum Sensus"))</f>
        <v>Belum Sensus</v>
      </c>
      <c r="N139" s="143"/>
      <c r="O139" s="9">
        <f t="array" ref="O139">IFERROR(N139/I139*100,0)</f>
        <v>0</v>
      </c>
    </row>
    <row r="140" spans="1:15" outlineLevel="1" x14ac:dyDescent="0.15">
      <c r="A140" s="8" t="s">
        <v>1914</v>
      </c>
      <c r="B140" s="8"/>
      <c r="C140" s="8" t="s">
        <v>252</v>
      </c>
      <c r="D140" s="186" t="s">
        <v>1139</v>
      </c>
      <c r="E140" s="9">
        <v>24.97</v>
      </c>
      <c r="F140" s="8" t="s">
        <v>1740</v>
      </c>
      <c r="G140" s="10">
        <v>3185</v>
      </c>
      <c r="H140" s="11"/>
      <c r="I140" s="143"/>
      <c r="J140" s="9">
        <f t="array" ref="J140">IFERROR(I140/G140*100,0)</f>
        <v>0</v>
      </c>
      <c r="K140" s="143"/>
      <c r="L140" s="9">
        <f t="shared" si="2"/>
        <v>0</v>
      </c>
      <c r="M140" s="8" t="str">
        <f t="array" ref="M140">IF(L140&gt;5,"Perlu Pengendalian",IF(AND(L140&gt;=0,I140&gt;0),"Tidak Perlu Pengendalian","Belum Sensus"))</f>
        <v>Belum Sensus</v>
      </c>
      <c r="N140" s="143"/>
      <c r="O140" s="9">
        <f t="array" ref="O140">IFERROR(N140/I140*100,0)</f>
        <v>0</v>
      </c>
    </row>
    <row r="141" spans="1:15" outlineLevel="1" x14ac:dyDescent="0.15">
      <c r="A141" s="8" t="s">
        <v>1914</v>
      </c>
      <c r="B141" s="8"/>
      <c r="C141" s="8" t="s">
        <v>252</v>
      </c>
      <c r="D141" s="186" t="s">
        <v>1450</v>
      </c>
      <c r="E141" s="9">
        <v>35.94</v>
      </c>
      <c r="F141" s="8" t="s">
        <v>1740</v>
      </c>
      <c r="G141" s="10">
        <v>4684</v>
      </c>
      <c r="H141" s="11"/>
      <c r="I141" s="143"/>
      <c r="J141" s="9">
        <f t="array" ref="J141">IFERROR(I141/G141*100,0)</f>
        <v>0</v>
      </c>
      <c r="K141" s="143"/>
      <c r="L141" s="9">
        <f t="shared" si="2"/>
        <v>0</v>
      </c>
      <c r="M141" s="8" t="str">
        <f t="array" ref="M141">IF(L141&gt;5,"Perlu Pengendalian",IF(AND(L141&gt;=0,I141&gt;0),"Tidak Perlu Pengendalian","Belum Sensus"))</f>
        <v>Belum Sensus</v>
      </c>
      <c r="N141" s="143"/>
      <c r="O141" s="9">
        <f t="array" ref="O141">IFERROR(N141/I141*100,0)</f>
        <v>0</v>
      </c>
    </row>
    <row r="142" spans="1:15" outlineLevel="1" x14ac:dyDescent="0.15">
      <c r="A142" s="8" t="s">
        <v>1914</v>
      </c>
      <c r="B142" s="8"/>
      <c r="C142" s="8" t="s">
        <v>252</v>
      </c>
      <c r="D142" s="186" t="s">
        <v>1452</v>
      </c>
      <c r="E142" s="9">
        <v>23.4</v>
      </c>
      <c r="F142" s="8" t="s">
        <v>1740</v>
      </c>
      <c r="G142" s="10">
        <v>3261</v>
      </c>
      <c r="H142" s="11"/>
      <c r="I142" s="143"/>
      <c r="J142" s="9">
        <f t="array" ref="J142">IFERROR(I142/G142*100,0)</f>
        <v>0</v>
      </c>
      <c r="K142" s="143"/>
      <c r="L142" s="9">
        <f t="shared" si="2"/>
        <v>0</v>
      </c>
      <c r="M142" s="8" t="str">
        <f t="array" ref="M142">IF(L142&gt;5,"Perlu Pengendalian",IF(AND(L142&gt;=0,I142&gt;0),"Tidak Perlu Pengendalian","Belum Sensus"))</f>
        <v>Belum Sensus</v>
      </c>
      <c r="N142" s="143"/>
      <c r="O142" s="9">
        <f t="array" ref="O142">IFERROR(N142/I142*100,0)</f>
        <v>0</v>
      </c>
    </row>
    <row r="143" spans="1:15" outlineLevel="1" x14ac:dyDescent="0.15">
      <c r="A143" s="8" t="s">
        <v>1914</v>
      </c>
      <c r="B143" s="8"/>
      <c r="C143" s="8" t="s">
        <v>252</v>
      </c>
      <c r="D143" s="186" t="s">
        <v>1454</v>
      </c>
      <c r="E143" s="9">
        <v>39.700000000000003</v>
      </c>
      <c r="F143" s="8" t="s">
        <v>1740</v>
      </c>
      <c r="G143" s="10">
        <v>5003</v>
      </c>
      <c r="H143" s="11"/>
      <c r="I143" s="143"/>
      <c r="J143" s="9">
        <f t="array" ref="J143">IFERROR(I143/G143*100,0)</f>
        <v>0</v>
      </c>
      <c r="K143" s="143"/>
      <c r="L143" s="9">
        <f t="shared" si="2"/>
        <v>0</v>
      </c>
      <c r="M143" s="8" t="str">
        <f t="array" ref="M143">IF(L143&gt;5,"Perlu Pengendalian",IF(AND(L143&gt;=0,I143&gt;0),"Tidak Perlu Pengendalian","Belum Sensus"))</f>
        <v>Belum Sensus</v>
      </c>
      <c r="N143" s="143"/>
      <c r="O143" s="9">
        <f t="array" ref="O143">IFERROR(N143/I143*100,0)</f>
        <v>0</v>
      </c>
    </row>
    <row r="144" spans="1:15" outlineLevel="1" x14ac:dyDescent="0.15">
      <c r="A144" s="8" t="s">
        <v>1914</v>
      </c>
      <c r="B144" s="8"/>
      <c r="C144" s="8" t="s">
        <v>252</v>
      </c>
      <c r="D144" s="186" t="s">
        <v>1455</v>
      </c>
      <c r="E144" s="9">
        <v>23.65</v>
      </c>
      <c r="F144" s="8" t="s">
        <v>1740</v>
      </c>
      <c r="G144" s="10">
        <v>3206.0000000000005</v>
      </c>
      <c r="H144" s="11"/>
      <c r="I144" s="143"/>
      <c r="J144" s="9">
        <f t="array" ref="J144">IFERROR(I144/G144*100,0)</f>
        <v>0</v>
      </c>
      <c r="K144" s="143"/>
      <c r="L144" s="9">
        <f t="shared" si="2"/>
        <v>0</v>
      </c>
      <c r="M144" s="8" t="str">
        <f t="array" ref="M144">IF(L144&gt;5,"Perlu Pengendalian",IF(AND(L144&gt;=0,I144&gt;0),"Tidak Perlu Pengendalian","Belum Sensus"))</f>
        <v>Belum Sensus</v>
      </c>
      <c r="N144" s="143"/>
      <c r="O144" s="9">
        <f t="array" ref="O144">IFERROR(N144/I144*100,0)</f>
        <v>0</v>
      </c>
    </row>
    <row r="145" spans="1:15" outlineLevel="1" x14ac:dyDescent="0.15">
      <c r="A145" s="8" t="s">
        <v>1914</v>
      </c>
      <c r="B145" s="8"/>
      <c r="C145" s="8" t="s">
        <v>252</v>
      </c>
      <c r="D145" s="186" t="s">
        <v>1104</v>
      </c>
      <c r="E145" s="9">
        <v>26.97</v>
      </c>
      <c r="F145" s="8" t="s">
        <v>1740</v>
      </c>
      <c r="G145" s="10">
        <v>3258</v>
      </c>
      <c r="H145" s="11"/>
      <c r="I145" s="143"/>
      <c r="J145" s="9">
        <f t="array" ref="J145">IFERROR(I145/G145*100,0)</f>
        <v>0</v>
      </c>
      <c r="K145" s="143"/>
      <c r="L145" s="9">
        <f t="shared" si="2"/>
        <v>0</v>
      </c>
      <c r="M145" s="8" t="str">
        <f t="array" ref="M145">IF(L145&gt;5,"Perlu Pengendalian",IF(AND(L145&gt;=0,I145&gt;0),"Tidak Perlu Pengendalian","Belum Sensus"))</f>
        <v>Belum Sensus</v>
      </c>
      <c r="N145" s="143"/>
      <c r="O145" s="9">
        <f t="array" ref="O145">IFERROR(N145/I145*100,0)</f>
        <v>0</v>
      </c>
    </row>
    <row r="146" spans="1:15" outlineLevel="1" x14ac:dyDescent="0.15">
      <c r="A146" s="8" t="s">
        <v>1914</v>
      </c>
      <c r="B146" s="8"/>
      <c r="C146" s="8" t="s">
        <v>252</v>
      </c>
      <c r="D146" s="181" t="s">
        <v>1459</v>
      </c>
      <c r="E146" s="9">
        <v>46.84</v>
      </c>
      <c r="F146" s="8" t="s">
        <v>1740</v>
      </c>
      <c r="G146" s="10">
        <v>5838</v>
      </c>
      <c r="H146" s="11"/>
      <c r="I146" s="143"/>
      <c r="J146" s="9">
        <f t="array" ref="J146">IFERROR(I146/G146*100,0)</f>
        <v>0</v>
      </c>
      <c r="K146" s="143"/>
      <c r="L146" s="9">
        <f t="shared" si="2"/>
        <v>0</v>
      </c>
      <c r="M146" s="8" t="str">
        <f t="array" ref="M146">IF(L146&gt;5,"Perlu Pengendalian",IF(AND(L146&gt;=0,I146&gt;0),"Tidak Perlu Pengendalian","Belum Sensus"))</f>
        <v>Belum Sensus</v>
      </c>
      <c r="N146" s="143"/>
      <c r="O146" s="9">
        <f t="array" ref="O146">IFERROR(N146/I146*100,0)</f>
        <v>0</v>
      </c>
    </row>
    <row r="147" spans="1:15" outlineLevel="1" x14ac:dyDescent="0.15">
      <c r="A147" s="8" t="s">
        <v>1914</v>
      </c>
      <c r="B147" s="8"/>
      <c r="C147" s="8" t="s">
        <v>252</v>
      </c>
      <c r="D147" s="186" t="s">
        <v>1460</v>
      </c>
      <c r="E147" s="9">
        <v>26.5</v>
      </c>
      <c r="F147" s="8" t="s">
        <v>1740</v>
      </c>
      <c r="G147" s="10">
        <v>3388</v>
      </c>
      <c r="H147" s="11"/>
      <c r="I147" s="143"/>
      <c r="J147" s="9">
        <f t="array" ref="J147">IFERROR(I147/G147*100,0)</f>
        <v>0</v>
      </c>
      <c r="K147" s="143"/>
      <c r="L147" s="9">
        <f t="shared" si="2"/>
        <v>0</v>
      </c>
      <c r="M147" s="8" t="str">
        <f t="array" ref="M147">IF(L147&gt;5,"Perlu Pengendalian",IF(AND(L147&gt;=0,I147&gt;0),"Tidak Perlu Pengendalian","Belum Sensus"))</f>
        <v>Belum Sensus</v>
      </c>
      <c r="N147" s="143"/>
      <c r="O147" s="9">
        <f t="array" ref="O147">IFERROR(N147/I147*100,0)</f>
        <v>0</v>
      </c>
    </row>
    <row r="148" spans="1:15" outlineLevel="1" x14ac:dyDescent="0.15">
      <c r="A148" s="8" t="s">
        <v>1914</v>
      </c>
      <c r="B148" s="8"/>
      <c r="C148" s="8" t="s">
        <v>252</v>
      </c>
      <c r="D148" s="186" t="s">
        <v>1461</v>
      </c>
      <c r="E148" s="9">
        <v>28.72</v>
      </c>
      <c r="F148" s="8" t="s">
        <v>1740</v>
      </c>
      <c r="G148" s="10">
        <v>3812</v>
      </c>
      <c r="H148" s="11"/>
      <c r="I148" s="143"/>
      <c r="J148" s="9">
        <f t="array" ref="J148">IFERROR(I148/G148*100,0)</f>
        <v>0</v>
      </c>
      <c r="K148" s="143"/>
      <c r="L148" s="9">
        <f t="shared" si="2"/>
        <v>0</v>
      </c>
      <c r="M148" s="8" t="str">
        <f t="array" ref="M148">IF(L148&gt;5,"Perlu Pengendalian",IF(AND(L148&gt;=0,I148&gt;0),"Tidak Perlu Pengendalian","Belum Sensus"))</f>
        <v>Belum Sensus</v>
      </c>
      <c r="N148" s="143"/>
      <c r="O148" s="9">
        <f t="array" ref="O148">IFERROR(N148/I148*100,0)</f>
        <v>0</v>
      </c>
    </row>
    <row r="149" spans="1:15" outlineLevel="1" x14ac:dyDescent="0.15">
      <c r="A149" s="8" t="s">
        <v>1914</v>
      </c>
      <c r="B149" s="8"/>
      <c r="C149" s="8" t="s">
        <v>252</v>
      </c>
      <c r="D149" s="186" t="s">
        <v>1109</v>
      </c>
      <c r="E149" s="9">
        <v>32.49</v>
      </c>
      <c r="F149" s="8" t="s">
        <v>1740</v>
      </c>
      <c r="G149" s="10">
        <v>4211</v>
      </c>
      <c r="H149" s="11"/>
      <c r="I149" s="143"/>
      <c r="J149" s="9">
        <f t="array" ref="J149">IFERROR(I149/G149*100,0)</f>
        <v>0</v>
      </c>
      <c r="K149" s="143"/>
      <c r="L149" s="9">
        <f t="shared" si="2"/>
        <v>0</v>
      </c>
      <c r="M149" s="8" t="str">
        <f t="array" ref="M149">IF(L149&gt;5,"Perlu Pengendalian",IF(AND(L149&gt;=0,I149&gt;0),"Tidak Perlu Pengendalian","Belum Sensus"))</f>
        <v>Belum Sensus</v>
      </c>
      <c r="N149" s="143"/>
      <c r="O149" s="9">
        <f t="array" ref="O149">IFERROR(N149/I149*100,0)</f>
        <v>0</v>
      </c>
    </row>
    <row r="150" spans="1:15" outlineLevel="1" x14ac:dyDescent="0.15">
      <c r="A150" s="8" t="s">
        <v>1914</v>
      </c>
      <c r="B150" s="8"/>
      <c r="C150" s="8" t="s">
        <v>252</v>
      </c>
      <c r="D150" s="186" t="s">
        <v>1137</v>
      </c>
      <c r="E150" s="9">
        <v>27.42</v>
      </c>
      <c r="F150" s="8" t="s">
        <v>1740</v>
      </c>
      <c r="G150" s="10">
        <v>3817</v>
      </c>
      <c r="H150" s="11"/>
      <c r="I150" s="143"/>
      <c r="J150" s="9">
        <f t="array" ref="J150">IFERROR(I150/G150*100,0)</f>
        <v>0</v>
      </c>
      <c r="K150" s="143"/>
      <c r="L150" s="9">
        <f t="shared" si="2"/>
        <v>0</v>
      </c>
      <c r="M150" s="8" t="str">
        <f t="array" ref="M150">IF(L150&gt;5,"Perlu Pengendalian",IF(AND(L150&gt;=0,I150&gt;0),"Tidak Perlu Pengendalian","Belum Sensus"))</f>
        <v>Belum Sensus</v>
      </c>
      <c r="N150" s="143"/>
      <c r="O150" s="9">
        <f t="array" ref="O150">IFERROR(N150/I150*100,0)</f>
        <v>0</v>
      </c>
    </row>
    <row r="151" spans="1:15" outlineLevel="1" x14ac:dyDescent="0.15">
      <c r="A151" s="8" t="s">
        <v>1914</v>
      </c>
      <c r="B151" s="8"/>
      <c r="C151" s="8" t="s">
        <v>252</v>
      </c>
      <c r="D151" s="186" t="s">
        <v>1138</v>
      </c>
      <c r="E151" s="9">
        <v>24.65</v>
      </c>
      <c r="F151" s="8" t="s">
        <v>1740</v>
      </c>
      <c r="G151" s="10">
        <v>3276.9999999999995</v>
      </c>
      <c r="H151" s="11"/>
      <c r="I151" s="143"/>
      <c r="J151" s="9">
        <f t="array" ref="J151">IFERROR(I151/G151*100,0)</f>
        <v>0</v>
      </c>
      <c r="K151" s="143"/>
      <c r="L151" s="9">
        <f t="shared" si="2"/>
        <v>0</v>
      </c>
      <c r="M151" s="8" t="str">
        <f t="array" ref="M151">IF(L151&gt;5,"Perlu Pengendalian",IF(AND(L151&gt;=0,I151&gt;0),"Tidak Perlu Pengendalian","Belum Sensus"))</f>
        <v>Belum Sensus</v>
      </c>
      <c r="N151" s="143"/>
      <c r="O151" s="9">
        <f t="array" ref="O151">IFERROR(N151/I151*100,0)</f>
        <v>0</v>
      </c>
    </row>
    <row r="152" spans="1:15" outlineLevel="1" x14ac:dyDescent="0.15">
      <c r="A152" s="8" t="s">
        <v>1914</v>
      </c>
      <c r="B152" s="8"/>
      <c r="C152" s="8" t="s">
        <v>252</v>
      </c>
      <c r="D152" s="186" t="s">
        <v>1161</v>
      </c>
      <c r="E152" s="9">
        <v>25.08</v>
      </c>
      <c r="F152" s="8" t="s">
        <v>1740</v>
      </c>
      <c r="G152" s="10">
        <v>3255.0000000000005</v>
      </c>
      <c r="H152" s="11"/>
      <c r="I152" s="143"/>
      <c r="J152" s="9">
        <f t="array" ref="J152">IFERROR(I152/G152*100,0)</f>
        <v>0</v>
      </c>
      <c r="K152" s="143"/>
      <c r="L152" s="9">
        <f t="shared" si="2"/>
        <v>0</v>
      </c>
      <c r="M152" s="8" t="str">
        <f t="array" ref="M152">IF(L152&gt;5,"Perlu Pengendalian",IF(AND(L152&gt;=0,I152&gt;0),"Tidak Perlu Pengendalian","Belum Sensus"))</f>
        <v>Belum Sensus</v>
      </c>
      <c r="N152" s="143"/>
      <c r="O152" s="9">
        <f t="array" ref="O152">IFERROR(N152/I152*100,0)</f>
        <v>0</v>
      </c>
    </row>
    <row r="153" spans="1:15" outlineLevel="1" x14ac:dyDescent="0.15">
      <c r="A153" s="8" t="s">
        <v>1914</v>
      </c>
      <c r="B153" s="8"/>
      <c r="C153" s="8" t="s">
        <v>252</v>
      </c>
      <c r="D153" s="186" t="s">
        <v>1226</v>
      </c>
      <c r="E153" s="9">
        <v>25.25</v>
      </c>
      <c r="F153" s="8" t="s">
        <v>1740</v>
      </c>
      <c r="G153" s="10">
        <v>3196</v>
      </c>
      <c r="H153" s="11"/>
      <c r="I153" s="143"/>
      <c r="J153" s="9">
        <f t="array" ref="J153">IFERROR(I153/G153*100,0)</f>
        <v>0</v>
      </c>
      <c r="K153" s="143"/>
      <c r="L153" s="9">
        <f t="shared" si="2"/>
        <v>0</v>
      </c>
      <c r="M153" s="8" t="str">
        <f t="array" ref="M153">IF(L153&gt;5,"Perlu Pengendalian",IF(AND(L153&gt;=0,I153&gt;0),"Tidak Perlu Pengendalian","Belum Sensus"))</f>
        <v>Belum Sensus</v>
      </c>
      <c r="N153" s="143"/>
      <c r="O153" s="9">
        <f t="array" ref="O153">IFERROR(N153/I153*100,0)</f>
        <v>0</v>
      </c>
    </row>
    <row r="154" spans="1:15" outlineLevel="1" x14ac:dyDescent="0.15">
      <c r="A154" s="8" t="s">
        <v>1914</v>
      </c>
      <c r="B154" s="8"/>
      <c r="C154" s="8" t="s">
        <v>252</v>
      </c>
      <c r="D154" s="181" t="s">
        <v>1449</v>
      </c>
      <c r="E154" s="9">
        <v>38.39</v>
      </c>
      <c r="F154" s="8" t="s">
        <v>1740</v>
      </c>
      <c r="G154" s="10">
        <v>4561</v>
      </c>
      <c r="H154" s="11"/>
      <c r="I154" s="143"/>
      <c r="J154" s="9">
        <f t="array" ref="J154">IFERROR(I154/G154*100,0)</f>
        <v>0</v>
      </c>
      <c r="K154" s="143"/>
      <c r="L154" s="9">
        <f t="shared" si="2"/>
        <v>0</v>
      </c>
      <c r="M154" s="8" t="str">
        <f t="array" ref="M154">IF(L154&gt;5,"Perlu Pengendalian",IF(AND(L154&gt;=0,I154&gt;0),"Tidak Perlu Pengendalian","Belum Sensus"))</f>
        <v>Belum Sensus</v>
      </c>
      <c r="N154" s="143"/>
      <c r="O154" s="9">
        <f t="array" ref="O154">IFERROR(N154/I154*100,0)</f>
        <v>0</v>
      </c>
    </row>
    <row r="155" spans="1:15" outlineLevel="1" x14ac:dyDescent="0.15">
      <c r="A155" s="8" t="s">
        <v>1914</v>
      </c>
      <c r="B155" s="8"/>
      <c r="C155" s="8" t="s">
        <v>252</v>
      </c>
      <c r="D155" s="186" t="s">
        <v>1451</v>
      </c>
      <c r="E155" s="9">
        <v>29.08</v>
      </c>
      <c r="F155" s="8" t="s">
        <v>1740</v>
      </c>
      <c r="G155" s="10">
        <v>3766.0000000000005</v>
      </c>
      <c r="H155" s="11"/>
      <c r="I155" s="143"/>
      <c r="J155" s="9">
        <f t="array" ref="J155">IFERROR(I155/G155*100,0)</f>
        <v>0</v>
      </c>
      <c r="K155" s="143"/>
      <c r="L155" s="9">
        <f t="shared" si="2"/>
        <v>0</v>
      </c>
      <c r="M155" s="8" t="str">
        <f t="array" ref="M155">IF(L155&gt;5,"Perlu Pengendalian",IF(AND(L155&gt;=0,I155&gt;0),"Tidak Perlu Pengendalian","Belum Sensus"))</f>
        <v>Belum Sensus</v>
      </c>
      <c r="N155" s="143"/>
      <c r="O155" s="9">
        <f t="array" ref="O155">IFERROR(N155/I155*100,0)</f>
        <v>0</v>
      </c>
    </row>
    <row r="156" spans="1:15" outlineLevel="1" x14ac:dyDescent="0.15">
      <c r="A156" s="8" t="s">
        <v>1914</v>
      </c>
      <c r="B156" s="8"/>
      <c r="C156" s="8" t="s">
        <v>252</v>
      </c>
      <c r="D156" s="186" t="s">
        <v>1136</v>
      </c>
      <c r="E156" s="9">
        <v>34.510000000000005</v>
      </c>
      <c r="F156" s="8" t="s">
        <v>1740</v>
      </c>
      <c r="G156" s="10">
        <v>4755</v>
      </c>
      <c r="H156" s="11"/>
      <c r="I156" s="143"/>
      <c r="J156" s="9">
        <f t="array" ref="J156">IFERROR(I156/G156*100,0)</f>
        <v>0</v>
      </c>
      <c r="K156" s="143"/>
      <c r="L156" s="9">
        <f t="shared" si="2"/>
        <v>0</v>
      </c>
      <c r="M156" s="8" t="str">
        <f t="array" ref="M156">IF(L156&gt;5,"Perlu Pengendalian",IF(AND(L156&gt;=0,I156&gt;0),"Tidak Perlu Pengendalian","Belum Sensus"))</f>
        <v>Belum Sensus</v>
      </c>
      <c r="N156" s="143"/>
      <c r="O156" s="9">
        <f t="array" ref="O156">IFERROR(N156/I156*100,0)</f>
        <v>0</v>
      </c>
    </row>
    <row r="157" spans="1:15" outlineLevel="1" x14ac:dyDescent="0.15">
      <c r="A157" s="8" t="s">
        <v>1914</v>
      </c>
      <c r="B157" s="8"/>
      <c r="C157" s="8" t="s">
        <v>252</v>
      </c>
      <c r="D157" s="186" t="s">
        <v>1162</v>
      </c>
      <c r="E157" s="9">
        <v>36.56</v>
      </c>
      <c r="F157" s="8" t="s">
        <v>1740</v>
      </c>
      <c r="G157" s="10">
        <v>4334</v>
      </c>
      <c r="H157" s="11"/>
      <c r="I157" s="143"/>
      <c r="J157" s="9">
        <f t="array" ref="J157">IFERROR(I157/G157*100,0)</f>
        <v>0</v>
      </c>
      <c r="K157" s="143"/>
      <c r="L157" s="9">
        <f t="shared" si="2"/>
        <v>0</v>
      </c>
      <c r="M157" s="8" t="str">
        <f t="array" ref="M157">IF(L157&gt;5,"Perlu Pengendalian",IF(AND(L157&gt;=0,I157&gt;0),"Tidak Perlu Pengendalian","Belum Sensus"))</f>
        <v>Belum Sensus</v>
      </c>
      <c r="N157" s="143"/>
      <c r="O157" s="9">
        <f t="array" ref="O157">IFERROR(N157/I157*100,0)</f>
        <v>0</v>
      </c>
    </row>
    <row r="158" spans="1:15" outlineLevel="1" x14ac:dyDescent="0.15">
      <c r="A158" s="8" t="s">
        <v>1914</v>
      </c>
      <c r="B158" s="8"/>
      <c r="C158" s="8" t="s">
        <v>252</v>
      </c>
      <c r="D158" s="186" t="s">
        <v>1448</v>
      </c>
      <c r="E158" s="9">
        <v>50.519999999999996</v>
      </c>
      <c r="F158" s="8" t="s">
        <v>1740</v>
      </c>
      <c r="G158" s="10">
        <v>5776</v>
      </c>
      <c r="H158" s="11"/>
      <c r="I158" s="143"/>
      <c r="J158" s="9">
        <f t="array" ref="J158">IFERROR(I158/G158*100,0)</f>
        <v>0</v>
      </c>
      <c r="K158" s="143"/>
      <c r="L158" s="9">
        <f t="shared" si="2"/>
        <v>0</v>
      </c>
      <c r="M158" s="8" t="str">
        <f t="array" ref="M158">IF(L158&gt;5,"Perlu Pengendalian",IF(AND(L158&gt;=0,I158&gt;0),"Tidak Perlu Pengendalian","Belum Sensus"))</f>
        <v>Belum Sensus</v>
      </c>
      <c r="N158" s="143"/>
      <c r="O158" s="9">
        <f t="array" ref="O158">IFERROR(N158/I158*100,0)</f>
        <v>0</v>
      </c>
    </row>
    <row r="159" spans="1:15" outlineLevel="1" x14ac:dyDescent="0.15">
      <c r="A159" s="8" t="s">
        <v>1914</v>
      </c>
      <c r="B159" s="8"/>
      <c r="C159" s="8" t="s">
        <v>252</v>
      </c>
      <c r="D159" s="181" t="s">
        <v>1926</v>
      </c>
      <c r="E159" s="9">
        <v>38.32</v>
      </c>
      <c r="F159" s="8" t="s">
        <v>1740</v>
      </c>
      <c r="G159" s="10">
        <v>4427</v>
      </c>
      <c r="H159" s="11"/>
      <c r="I159" s="143"/>
      <c r="J159" s="9">
        <f t="array" ref="J159">IFERROR(I159/G159*100,0)</f>
        <v>0</v>
      </c>
      <c r="K159" s="143"/>
      <c r="L159" s="9">
        <f t="shared" si="2"/>
        <v>0</v>
      </c>
      <c r="M159" s="8" t="str">
        <f t="array" ref="M159">IF(L159&gt;5,"Perlu Pengendalian",IF(AND(L159&gt;=0,I159&gt;0),"Tidak Perlu Pengendalian","Belum Sensus"))</f>
        <v>Belum Sensus</v>
      </c>
      <c r="N159" s="143"/>
      <c r="O159" s="9">
        <f t="array" ref="O159">IFERROR(N159/I159*100,0)</f>
        <v>0</v>
      </c>
    </row>
    <row r="160" spans="1:15" outlineLevel="1" x14ac:dyDescent="0.15">
      <c r="A160" s="8"/>
      <c r="B160" s="8"/>
      <c r="C160" s="8"/>
      <c r="D160" s="8"/>
      <c r="E160" s="9"/>
      <c r="F160" s="8"/>
      <c r="G160" s="10"/>
      <c r="H160" s="11"/>
      <c r="I160" s="143"/>
      <c r="J160" s="9"/>
      <c r="K160" s="143"/>
      <c r="L160" s="9"/>
      <c r="M160" s="8"/>
      <c r="N160" s="143"/>
      <c r="O160" s="9"/>
    </row>
    <row r="161" spans="1:15" outlineLevel="1" x14ac:dyDescent="0.15">
      <c r="A161" s="8"/>
      <c r="B161" s="8"/>
      <c r="C161" s="8"/>
      <c r="D161" s="8"/>
      <c r="E161" s="9"/>
      <c r="F161" s="8"/>
      <c r="G161" s="10"/>
      <c r="H161" s="11"/>
      <c r="I161" s="143"/>
      <c r="J161" s="9"/>
      <c r="K161" s="143"/>
      <c r="L161" s="9"/>
      <c r="M161" s="8"/>
      <c r="N161" s="143"/>
      <c r="O161" s="9"/>
    </row>
    <row r="162" spans="1:15" outlineLevel="1" x14ac:dyDescent="0.15">
      <c r="A162" s="8"/>
      <c r="B162" s="8"/>
      <c r="C162" s="8"/>
      <c r="D162" s="8"/>
      <c r="E162" s="9"/>
      <c r="F162" s="8"/>
      <c r="G162" s="10"/>
      <c r="H162" s="11"/>
      <c r="I162" s="143"/>
      <c r="J162" s="9"/>
      <c r="K162" s="143"/>
      <c r="L162" s="9"/>
      <c r="M162" s="8"/>
      <c r="N162" s="143"/>
      <c r="O162" s="9"/>
    </row>
    <row r="163" spans="1:15" outlineLevel="1" x14ac:dyDescent="0.15">
      <c r="A163" s="8"/>
      <c r="B163" s="8"/>
      <c r="C163" s="8"/>
      <c r="D163" s="8"/>
      <c r="E163" s="9"/>
      <c r="F163" s="8"/>
      <c r="G163" s="10"/>
      <c r="H163" s="11"/>
      <c r="I163" s="143"/>
      <c r="J163" s="9"/>
      <c r="K163" s="143"/>
      <c r="L163" s="9"/>
      <c r="M163" s="8"/>
      <c r="N163" s="143"/>
      <c r="O163" s="9"/>
    </row>
    <row r="164" spans="1:15" outlineLevel="1" x14ac:dyDescent="0.15">
      <c r="A164" s="8"/>
      <c r="B164" s="8"/>
      <c r="C164" s="8"/>
      <c r="D164" s="8"/>
      <c r="E164" s="9"/>
      <c r="F164" s="8"/>
      <c r="G164" s="10"/>
      <c r="H164" s="11"/>
      <c r="I164" s="143"/>
      <c r="J164" s="9"/>
      <c r="K164" s="143"/>
      <c r="L164" s="9"/>
      <c r="M164" s="8"/>
      <c r="N164" s="143"/>
      <c r="O164" s="9"/>
    </row>
    <row r="165" spans="1:15" outlineLevel="1" x14ac:dyDescent="0.15">
      <c r="A165" s="8"/>
      <c r="B165" s="8"/>
      <c r="C165" s="8"/>
      <c r="D165" s="8"/>
      <c r="E165" s="9"/>
      <c r="F165" s="8"/>
      <c r="G165" s="10"/>
      <c r="H165" s="11"/>
      <c r="I165" s="143"/>
      <c r="J165" s="9"/>
      <c r="K165" s="143"/>
      <c r="L165" s="9"/>
      <c r="M165" s="8"/>
      <c r="N165" s="143"/>
      <c r="O165" s="9"/>
    </row>
    <row r="166" spans="1:15" outlineLevel="1" x14ac:dyDescent="0.15">
      <c r="A166" s="8"/>
      <c r="B166" s="8"/>
      <c r="C166" s="8"/>
      <c r="D166" s="8"/>
      <c r="E166" s="9"/>
      <c r="F166" s="8"/>
      <c r="G166" s="10"/>
      <c r="H166" s="11"/>
      <c r="I166" s="143"/>
      <c r="J166" s="9"/>
      <c r="K166" s="143"/>
      <c r="L166" s="9"/>
      <c r="M166" s="8"/>
      <c r="N166" s="143"/>
      <c r="O166" s="9"/>
    </row>
    <row r="167" spans="1:15" outlineLevel="1" x14ac:dyDescent="0.15">
      <c r="A167" s="8"/>
      <c r="B167" s="8"/>
      <c r="C167" s="8"/>
      <c r="D167" s="8"/>
      <c r="E167" s="179"/>
      <c r="F167" s="8"/>
      <c r="G167" s="10"/>
      <c r="H167" s="11"/>
      <c r="I167" s="143"/>
      <c r="J167" s="9"/>
      <c r="K167" s="143"/>
      <c r="L167" s="9"/>
      <c r="M167" s="8"/>
      <c r="N167" s="143"/>
      <c r="O167" s="9"/>
    </row>
    <row r="168" spans="1:15" outlineLevel="1" x14ac:dyDescent="0.15">
      <c r="A168" s="8"/>
      <c r="B168" s="8"/>
      <c r="C168" s="8"/>
      <c r="D168" s="8"/>
      <c r="E168" s="179"/>
      <c r="F168" s="8"/>
      <c r="G168" s="10"/>
      <c r="H168" s="11"/>
      <c r="I168" s="143"/>
      <c r="J168" s="9"/>
      <c r="K168" s="143"/>
      <c r="L168" s="9"/>
      <c r="M168" s="8"/>
      <c r="N168" s="143"/>
      <c r="O168" s="9"/>
    </row>
    <row r="169" spans="1:15" outlineLevel="1" x14ac:dyDescent="0.15">
      <c r="A169" s="8"/>
      <c r="B169" s="8"/>
      <c r="C169" s="8"/>
      <c r="D169" s="8"/>
      <c r="E169" s="179"/>
      <c r="F169" s="8"/>
      <c r="G169" s="10"/>
      <c r="H169" s="11"/>
      <c r="I169" s="143"/>
      <c r="J169" s="9"/>
      <c r="K169" s="143"/>
      <c r="L169" s="9"/>
      <c r="M169" s="8"/>
      <c r="N169" s="143"/>
      <c r="O169" s="9"/>
    </row>
    <row r="170" spans="1:15" outlineLevel="1" x14ac:dyDescent="0.15">
      <c r="A170" s="8"/>
      <c r="B170" s="8"/>
      <c r="C170" s="8"/>
      <c r="D170" s="8"/>
      <c r="E170" s="179"/>
      <c r="F170" s="8"/>
      <c r="G170" s="10"/>
      <c r="H170" s="11"/>
      <c r="I170" s="143"/>
      <c r="J170" s="9"/>
      <c r="K170" s="143"/>
      <c r="L170" s="9"/>
      <c r="M170" s="8"/>
      <c r="N170" s="143"/>
      <c r="O170" s="9"/>
    </row>
    <row r="171" spans="1:15" outlineLevel="1" x14ac:dyDescent="0.15">
      <c r="A171" s="8"/>
      <c r="B171" s="8"/>
      <c r="C171" s="8"/>
      <c r="D171" s="8"/>
      <c r="E171" s="9"/>
      <c r="F171" s="8"/>
      <c r="G171" s="10"/>
      <c r="H171" s="11"/>
      <c r="I171" s="143"/>
      <c r="J171" s="9"/>
      <c r="K171" s="143"/>
      <c r="L171" s="9"/>
      <c r="M171" s="8"/>
      <c r="N171" s="143"/>
      <c r="O171" s="9"/>
    </row>
    <row r="172" spans="1:15" outlineLevel="1" x14ac:dyDescent="0.15">
      <c r="A172" s="8"/>
      <c r="B172" s="8"/>
      <c r="C172" s="8"/>
      <c r="D172" s="8"/>
      <c r="E172" s="9"/>
      <c r="F172" s="8"/>
      <c r="G172" s="10"/>
      <c r="H172" s="11"/>
      <c r="I172" s="143"/>
      <c r="J172" s="9"/>
      <c r="K172" s="143"/>
      <c r="L172" s="9"/>
      <c r="M172" s="8"/>
      <c r="N172" s="143"/>
      <c r="O172" s="9"/>
    </row>
    <row r="173" spans="1:15" outlineLevel="1" x14ac:dyDescent="0.15">
      <c r="A173" s="8"/>
      <c r="B173" s="8"/>
      <c r="C173" s="8"/>
      <c r="D173" s="8"/>
      <c r="E173" s="9"/>
      <c r="F173" s="8"/>
      <c r="G173" s="10"/>
      <c r="H173" s="11"/>
      <c r="I173" s="143"/>
      <c r="J173" s="9"/>
      <c r="K173" s="143"/>
      <c r="L173" s="9"/>
      <c r="M173" s="8"/>
      <c r="N173" s="143"/>
      <c r="O173" s="9"/>
    </row>
    <row r="174" spans="1:15" outlineLevel="1" x14ac:dyDescent="0.15">
      <c r="A174" s="8"/>
      <c r="B174" s="8"/>
      <c r="C174" s="8"/>
      <c r="D174" s="8"/>
      <c r="E174" s="9"/>
      <c r="F174" s="8"/>
      <c r="G174" s="10"/>
      <c r="H174" s="11"/>
      <c r="I174" s="143"/>
      <c r="J174" s="9"/>
      <c r="K174" s="143"/>
      <c r="L174" s="9"/>
      <c r="M174" s="8"/>
      <c r="N174" s="143"/>
      <c r="O174" s="9"/>
    </row>
    <row r="175" spans="1:15" outlineLevel="1" x14ac:dyDescent="0.15">
      <c r="A175" s="8"/>
      <c r="B175" s="8"/>
      <c r="C175" s="8"/>
      <c r="D175" s="8"/>
      <c r="E175" s="179"/>
      <c r="F175" s="8"/>
      <c r="G175" s="10"/>
      <c r="H175" s="11"/>
      <c r="I175" s="143"/>
      <c r="J175" s="9"/>
      <c r="K175" s="143"/>
      <c r="L175" s="9"/>
      <c r="M175" s="8"/>
      <c r="N175" s="143"/>
      <c r="O175" s="9"/>
    </row>
    <row r="176" spans="1:15" outlineLevel="1" x14ac:dyDescent="0.15">
      <c r="A176" s="8"/>
      <c r="B176" s="8"/>
      <c r="C176" s="8"/>
      <c r="D176" s="8"/>
      <c r="E176" s="179"/>
      <c r="F176" s="8"/>
      <c r="G176" s="10"/>
      <c r="H176" s="11"/>
      <c r="I176" s="143"/>
      <c r="J176" s="9"/>
      <c r="K176" s="143"/>
      <c r="L176" s="9"/>
      <c r="M176" s="8"/>
      <c r="N176" s="143"/>
      <c r="O176" s="9"/>
    </row>
    <row r="177" spans="1:15" outlineLevel="1" x14ac:dyDescent="0.15">
      <c r="A177" s="8"/>
      <c r="B177" s="8"/>
      <c r="C177" s="8"/>
      <c r="D177" s="8"/>
      <c r="E177" s="179"/>
      <c r="F177" s="8"/>
      <c r="G177" s="10"/>
      <c r="H177" s="11"/>
      <c r="I177" s="143"/>
      <c r="J177" s="9"/>
      <c r="K177" s="143"/>
      <c r="L177" s="9"/>
      <c r="M177" s="8"/>
      <c r="N177" s="143"/>
      <c r="O177" s="9"/>
    </row>
    <row r="178" spans="1:15" outlineLevel="1" x14ac:dyDescent="0.15">
      <c r="A178" s="8"/>
      <c r="B178" s="8"/>
      <c r="C178" s="8"/>
      <c r="D178" s="8"/>
      <c r="E178" s="180"/>
      <c r="F178" s="8"/>
      <c r="G178" s="10"/>
      <c r="H178" s="11"/>
      <c r="I178" s="143"/>
      <c r="J178" s="9"/>
      <c r="K178" s="143"/>
      <c r="L178" s="9"/>
      <c r="M178" s="8"/>
      <c r="N178" s="143"/>
      <c r="O178" s="9"/>
    </row>
    <row r="179" spans="1:15" outlineLevel="1" x14ac:dyDescent="0.15">
      <c r="A179" s="8"/>
      <c r="B179" s="8"/>
      <c r="C179" s="8"/>
      <c r="D179" s="8"/>
      <c r="E179" s="179"/>
      <c r="F179" s="8"/>
      <c r="G179" s="10"/>
      <c r="H179" s="11"/>
      <c r="I179" s="143"/>
      <c r="J179" s="9"/>
      <c r="K179" s="143"/>
      <c r="L179" s="9"/>
      <c r="M179" s="8"/>
      <c r="N179" s="143"/>
      <c r="O179" s="9"/>
    </row>
    <row r="180" spans="1:15" outlineLevel="1" x14ac:dyDescent="0.15">
      <c r="A180" s="8"/>
      <c r="B180" s="8"/>
      <c r="C180" s="8"/>
      <c r="D180" s="8"/>
      <c r="E180" s="179"/>
      <c r="F180" s="8"/>
      <c r="G180" s="10"/>
      <c r="H180" s="11"/>
      <c r="I180" s="11"/>
      <c r="J180" s="9"/>
      <c r="K180" s="143"/>
      <c r="L180" s="9"/>
      <c r="M180" s="8"/>
      <c r="N180" s="143"/>
      <c r="O180" s="9"/>
    </row>
    <row r="181" spans="1:15" outlineLevel="1" x14ac:dyDescent="0.15">
      <c r="A181" s="8"/>
      <c r="B181" s="8"/>
      <c r="C181" s="8"/>
      <c r="D181" s="8"/>
      <c r="E181" s="9"/>
      <c r="F181" s="8"/>
      <c r="G181" s="10"/>
      <c r="H181" s="11"/>
      <c r="I181" s="11"/>
      <c r="J181" s="9"/>
      <c r="K181" s="143"/>
      <c r="L181" s="9"/>
      <c r="M181" s="8"/>
      <c r="N181" s="143"/>
      <c r="O181" s="9"/>
    </row>
    <row r="182" spans="1:15" outlineLevel="1" x14ac:dyDescent="0.15">
      <c r="A182" s="8"/>
      <c r="B182" s="8"/>
      <c r="C182" s="8"/>
      <c r="D182" s="8"/>
      <c r="E182" s="9"/>
      <c r="F182" s="8"/>
      <c r="G182" s="10"/>
      <c r="H182" s="11"/>
      <c r="I182" s="11"/>
      <c r="J182" s="9"/>
      <c r="K182" s="143"/>
      <c r="L182" s="9"/>
      <c r="M182" s="8"/>
      <c r="N182" s="143"/>
      <c r="O182" s="9"/>
    </row>
    <row r="183" spans="1:15" outlineLevel="1" x14ac:dyDescent="0.15">
      <c r="A183" s="8"/>
      <c r="B183" s="8"/>
      <c r="C183" s="8"/>
      <c r="D183" s="8"/>
      <c r="E183" s="9"/>
      <c r="F183" s="8"/>
      <c r="G183" s="10"/>
      <c r="H183" s="11"/>
      <c r="I183" s="11"/>
      <c r="J183" s="9"/>
      <c r="K183" s="143"/>
      <c r="L183" s="9"/>
      <c r="M183" s="8"/>
      <c r="N183" s="143"/>
      <c r="O183" s="9"/>
    </row>
    <row r="184" spans="1:15" outlineLevel="1" x14ac:dyDescent="0.15">
      <c r="A184" s="8"/>
      <c r="B184" s="8"/>
      <c r="C184" s="8"/>
      <c r="D184" s="8"/>
      <c r="E184" s="9"/>
      <c r="F184" s="8"/>
      <c r="G184" s="10"/>
      <c r="H184" s="11"/>
      <c r="I184" s="11"/>
      <c r="J184" s="9"/>
      <c r="K184" s="143"/>
      <c r="L184" s="9"/>
      <c r="M184" s="8"/>
      <c r="N184" s="143"/>
      <c r="O184" s="9"/>
    </row>
    <row r="185" spans="1:15" outlineLevel="1" x14ac:dyDescent="0.15">
      <c r="A185" s="8"/>
      <c r="B185" s="8"/>
      <c r="C185" s="8"/>
      <c r="D185" s="8"/>
      <c r="E185" s="9"/>
      <c r="F185" s="8"/>
      <c r="G185" s="10"/>
      <c r="H185" s="11"/>
      <c r="I185" s="11"/>
      <c r="J185" s="9"/>
      <c r="K185" s="143"/>
      <c r="L185" s="9"/>
      <c r="M185" s="8"/>
      <c r="N185" s="143"/>
      <c r="O185" s="9"/>
    </row>
    <row r="186" spans="1:15" outlineLevel="1" x14ac:dyDescent="0.15">
      <c r="A186" s="8"/>
      <c r="B186" s="8"/>
      <c r="C186" s="8"/>
      <c r="D186" s="8"/>
      <c r="E186" s="9"/>
      <c r="F186" s="8"/>
      <c r="G186" s="10"/>
      <c r="H186" s="11"/>
      <c r="I186" s="11"/>
      <c r="J186" s="9"/>
      <c r="K186" s="143"/>
      <c r="L186" s="9"/>
      <c r="M186" s="8"/>
      <c r="N186" s="143"/>
      <c r="O186" s="9"/>
    </row>
    <row r="187" spans="1:15" outlineLevel="1" x14ac:dyDescent="0.15">
      <c r="A187" s="8"/>
      <c r="B187" s="8"/>
      <c r="C187" s="8"/>
      <c r="D187" s="8"/>
      <c r="E187" s="9"/>
      <c r="F187" s="8"/>
      <c r="G187" s="10"/>
      <c r="H187" s="11"/>
      <c r="I187" s="11"/>
      <c r="J187" s="9"/>
      <c r="K187" s="143"/>
      <c r="L187" s="9"/>
      <c r="M187" s="8"/>
      <c r="N187" s="143"/>
      <c r="O187" s="9"/>
    </row>
    <row r="188" spans="1:15" outlineLevel="1" x14ac:dyDescent="0.15">
      <c r="A188" s="8"/>
      <c r="B188" s="8"/>
      <c r="C188" s="8"/>
      <c r="D188" s="8"/>
      <c r="E188" s="179"/>
      <c r="F188" s="8"/>
      <c r="G188" s="10"/>
      <c r="H188" s="11"/>
      <c r="I188" s="11"/>
      <c r="J188" s="9"/>
      <c r="K188" s="143"/>
      <c r="L188" s="9"/>
      <c r="M188" s="8"/>
      <c r="N188" s="143"/>
      <c r="O188" s="9"/>
    </row>
    <row r="189" spans="1:15" outlineLevel="1" x14ac:dyDescent="0.15">
      <c r="A189" s="8"/>
      <c r="B189" s="8"/>
      <c r="C189" s="8"/>
      <c r="D189" s="8"/>
      <c r="E189" s="9"/>
      <c r="F189" s="8"/>
      <c r="G189" s="10"/>
      <c r="H189" s="11"/>
      <c r="I189" s="11"/>
      <c r="J189" s="9"/>
      <c r="K189" s="143"/>
      <c r="L189" s="9"/>
      <c r="M189" s="8"/>
      <c r="N189" s="143"/>
      <c r="O189" s="9"/>
    </row>
    <row r="190" spans="1:15" outlineLevel="1" x14ac:dyDescent="0.15">
      <c r="A190" s="8"/>
      <c r="B190" s="8"/>
      <c r="C190" s="8"/>
      <c r="D190" s="8"/>
      <c r="E190" s="9"/>
      <c r="F190" s="8"/>
      <c r="G190" s="10"/>
      <c r="H190" s="11"/>
      <c r="I190" s="11"/>
      <c r="J190" s="9"/>
      <c r="K190" s="143"/>
      <c r="L190" s="9"/>
      <c r="M190" s="8"/>
      <c r="N190" s="143"/>
      <c r="O190" s="9"/>
    </row>
    <row r="191" spans="1:15" outlineLevel="1" x14ac:dyDescent="0.15">
      <c r="A191" s="8"/>
      <c r="B191" s="8"/>
      <c r="C191" s="8"/>
      <c r="D191" s="8"/>
      <c r="E191" s="9"/>
      <c r="F191" s="8"/>
      <c r="G191" s="10"/>
      <c r="H191" s="11"/>
      <c r="I191" s="11"/>
      <c r="J191" s="9"/>
      <c r="K191" s="143"/>
      <c r="L191" s="9"/>
      <c r="M191" s="8"/>
      <c r="N191" s="143"/>
      <c r="O191" s="9"/>
    </row>
    <row r="192" spans="1:15" outlineLevel="1" x14ac:dyDescent="0.15">
      <c r="A192" s="8"/>
      <c r="B192" s="8"/>
      <c r="C192" s="8"/>
      <c r="D192" s="8"/>
      <c r="E192" s="9"/>
      <c r="F192" s="8"/>
      <c r="G192" s="10"/>
      <c r="H192" s="11"/>
      <c r="I192" s="11"/>
      <c r="J192" s="9"/>
      <c r="K192" s="143"/>
      <c r="L192" s="9"/>
      <c r="M192" s="8"/>
      <c r="N192" s="143"/>
      <c r="O192" s="9"/>
    </row>
    <row r="193" spans="1:15" outlineLevel="1" x14ac:dyDescent="0.15">
      <c r="A193" s="8"/>
      <c r="B193" s="8"/>
      <c r="C193" s="8"/>
      <c r="D193" s="8"/>
      <c r="E193" s="9"/>
      <c r="F193" s="8"/>
      <c r="G193" s="10"/>
      <c r="H193" s="11"/>
      <c r="I193" s="11"/>
      <c r="J193" s="9"/>
      <c r="K193" s="143"/>
      <c r="L193" s="9"/>
      <c r="M193" s="8"/>
      <c r="N193" s="143"/>
      <c r="O193" s="9"/>
    </row>
    <row r="194" spans="1:15" outlineLevel="1" x14ac:dyDescent="0.15">
      <c r="A194" s="8"/>
      <c r="B194" s="8"/>
      <c r="C194" s="8"/>
      <c r="D194" s="8"/>
      <c r="E194" s="9"/>
      <c r="F194" s="8"/>
      <c r="G194" s="10"/>
      <c r="H194" s="11"/>
      <c r="I194" s="11"/>
      <c r="J194" s="9"/>
      <c r="K194" s="143"/>
      <c r="L194" s="9"/>
      <c r="M194" s="8"/>
      <c r="N194" s="143"/>
      <c r="O194" s="9"/>
    </row>
    <row r="195" spans="1:15" outlineLevel="1" x14ac:dyDescent="0.15">
      <c r="A195" s="8"/>
      <c r="B195" s="8"/>
      <c r="C195" s="8"/>
      <c r="D195" s="8"/>
      <c r="E195" s="179"/>
      <c r="F195" s="8"/>
      <c r="G195" s="10"/>
      <c r="H195" s="11"/>
      <c r="I195" s="11"/>
      <c r="J195" s="9"/>
      <c r="K195" s="143"/>
      <c r="L195" s="9"/>
      <c r="M195" s="8"/>
      <c r="N195" s="143"/>
      <c r="O195" s="9"/>
    </row>
    <row r="196" spans="1:15" outlineLevel="1" x14ac:dyDescent="0.15">
      <c r="A196" s="8"/>
      <c r="B196" s="8"/>
      <c r="C196" s="8"/>
      <c r="D196" s="8"/>
      <c r="E196" s="9"/>
      <c r="F196" s="8"/>
      <c r="G196" s="10"/>
      <c r="H196" s="11"/>
      <c r="I196" s="11"/>
      <c r="J196" s="9"/>
      <c r="K196" s="143"/>
      <c r="L196" s="9"/>
      <c r="M196" s="8"/>
      <c r="N196" s="143"/>
      <c r="O196" s="9"/>
    </row>
    <row r="197" spans="1:15" outlineLevel="1" x14ac:dyDescent="0.15">
      <c r="A197" s="8"/>
      <c r="B197" s="8"/>
      <c r="C197" s="8"/>
      <c r="D197" s="8"/>
      <c r="E197" s="9"/>
      <c r="F197" s="8"/>
      <c r="G197" s="10"/>
      <c r="H197" s="11"/>
      <c r="I197" s="11"/>
      <c r="J197" s="9"/>
      <c r="K197" s="143"/>
      <c r="L197" s="9"/>
      <c r="M197" s="8"/>
      <c r="N197" s="143"/>
      <c r="O197" s="9"/>
    </row>
    <row r="198" spans="1:15" outlineLevel="1" x14ac:dyDescent="0.15">
      <c r="A198" s="8"/>
      <c r="B198" s="8"/>
      <c r="C198" s="8"/>
      <c r="D198" s="8"/>
      <c r="E198" s="9"/>
      <c r="F198" s="8"/>
      <c r="G198" s="10"/>
      <c r="H198" s="11"/>
      <c r="I198" s="11"/>
      <c r="J198" s="9"/>
      <c r="K198" s="143"/>
      <c r="L198" s="9"/>
      <c r="M198" s="8"/>
      <c r="N198" s="143"/>
      <c r="O198" s="9"/>
    </row>
    <row r="199" spans="1:15" outlineLevel="1" x14ac:dyDescent="0.15">
      <c r="A199" s="8"/>
      <c r="B199" s="8"/>
      <c r="C199" s="8"/>
      <c r="D199" s="8"/>
      <c r="E199" s="9"/>
      <c r="F199" s="8"/>
      <c r="G199" s="10"/>
      <c r="H199" s="11"/>
      <c r="I199" s="11"/>
      <c r="J199" s="9"/>
      <c r="K199" s="143"/>
      <c r="L199" s="9"/>
      <c r="M199" s="8"/>
      <c r="N199" s="143"/>
      <c r="O199" s="9"/>
    </row>
    <row r="200" spans="1:15" outlineLevel="1" x14ac:dyDescent="0.15">
      <c r="A200" s="8"/>
      <c r="B200" s="8"/>
      <c r="C200" s="8"/>
      <c r="D200" s="8"/>
      <c r="E200" s="9"/>
      <c r="F200" s="8"/>
      <c r="G200" s="10"/>
      <c r="H200" s="11"/>
      <c r="I200" s="11"/>
      <c r="J200" s="9"/>
      <c r="K200" s="143"/>
      <c r="L200" s="9"/>
      <c r="M200" s="8"/>
      <c r="N200" s="143"/>
      <c r="O200" s="9"/>
    </row>
    <row r="201" spans="1:15" outlineLevel="1" x14ac:dyDescent="0.15">
      <c r="A201" s="8"/>
      <c r="B201" s="8"/>
      <c r="C201" s="8"/>
      <c r="D201" s="8"/>
      <c r="E201" s="9"/>
      <c r="F201" s="8"/>
      <c r="G201" s="10"/>
      <c r="H201" s="11"/>
      <c r="I201" s="11"/>
      <c r="J201" s="9"/>
      <c r="K201" s="143"/>
      <c r="L201" s="9"/>
      <c r="M201" s="8"/>
      <c r="N201" s="143"/>
      <c r="O201" s="9"/>
    </row>
    <row r="202" spans="1:15" outlineLevel="1" x14ac:dyDescent="0.15">
      <c r="A202" s="8"/>
      <c r="B202" s="8"/>
      <c r="C202" s="8"/>
      <c r="D202" s="8"/>
      <c r="E202" s="9"/>
      <c r="F202" s="8"/>
      <c r="G202" s="10"/>
      <c r="H202" s="11"/>
      <c r="I202" s="11"/>
      <c r="J202" s="9"/>
      <c r="K202" s="143"/>
      <c r="L202" s="9"/>
      <c r="M202" s="8"/>
      <c r="N202" s="143"/>
      <c r="O202" s="9"/>
    </row>
    <row r="203" spans="1:15" outlineLevel="1" x14ac:dyDescent="0.15">
      <c r="A203" s="8"/>
      <c r="B203" s="8"/>
      <c r="C203" s="8"/>
      <c r="D203" s="8"/>
      <c r="E203" s="180"/>
      <c r="F203" s="8"/>
      <c r="G203" s="10"/>
      <c r="H203" s="11"/>
      <c r="I203" s="11"/>
      <c r="J203" s="9"/>
      <c r="K203" s="143"/>
      <c r="L203" s="9"/>
      <c r="M203" s="8"/>
      <c r="N203" s="143"/>
      <c r="O203" s="9"/>
    </row>
    <row r="204" spans="1:15" outlineLevel="1" x14ac:dyDescent="0.15">
      <c r="A204" s="8"/>
      <c r="B204" s="8"/>
      <c r="C204" s="8"/>
      <c r="D204" s="8"/>
      <c r="E204" s="9"/>
      <c r="F204" s="8"/>
      <c r="G204" s="10"/>
      <c r="H204" s="11"/>
      <c r="I204" s="11"/>
      <c r="J204" s="9"/>
      <c r="K204" s="143"/>
      <c r="L204" s="9"/>
      <c r="M204" s="8"/>
      <c r="N204" s="143"/>
      <c r="O204" s="9"/>
    </row>
    <row r="205" spans="1:15" outlineLevel="1" x14ac:dyDescent="0.15">
      <c r="A205" s="8"/>
      <c r="B205" s="8"/>
      <c r="C205" s="8"/>
      <c r="D205" s="8"/>
      <c r="E205" s="179"/>
      <c r="F205" s="8"/>
      <c r="G205" s="10"/>
      <c r="H205" s="11"/>
      <c r="I205" s="11"/>
      <c r="J205" s="9"/>
      <c r="K205" s="143"/>
      <c r="L205" s="9"/>
      <c r="M205" s="8"/>
      <c r="N205" s="143"/>
      <c r="O205" s="9"/>
    </row>
    <row r="206" spans="1:15" outlineLevel="1" x14ac:dyDescent="0.15">
      <c r="A206" s="8"/>
      <c r="B206" s="8"/>
      <c r="C206" s="8"/>
      <c r="D206" s="8"/>
      <c r="E206" s="179"/>
      <c r="F206" s="8"/>
      <c r="G206" s="10"/>
      <c r="H206" s="11"/>
      <c r="I206" s="11"/>
      <c r="J206" s="9"/>
      <c r="K206" s="143"/>
      <c r="L206" s="9"/>
      <c r="M206" s="8"/>
      <c r="N206" s="143"/>
      <c r="O206" s="9"/>
    </row>
    <row r="207" spans="1:15" outlineLevel="1" x14ac:dyDescent="0.15">
      <c r="A207" s="8"/>
      <c r="B207" s="8"/>
      <c r="C207" s="8"/>
      <c r="D207" s="8"/>
      <c r="E207" s="9"/>
      <c r="F207" s="8"/>
      <c r="G207" s="10"/>
      <c r="H207" s="11"/>
      <c r="I207" s="11"/>
      <c r="J207" s="9"/>
      <c r="K207" s="143"/>
      <c r="L207" s="9"/>
      <c r="M207" s="8"/>
      <c r="N207" s="143"/>
      <c r="O207" s="9"/>
    </row>
    <row r="208" spans="1:15" outlineLevel="1" x14ac:dyDescent="0.15">
      <c r="A208" s="8"/>
      <c r="B208" s="8"/>
      <c r="C208" s="8"/>
      <c r="D208" s="8"/>
      <c r="E208" s="179"/>
      <c r="F208" s="8"/>
      <c r="G208" s="10"/>
      <c r="H208" s="11"/>
      <c r="I208" s="11"/>
      <c r="J208" s="9"/>
      <c r="K208" s="143"/>
      <c r="L208" s="9"/>
      <c r="M208" s="8"/>
      <c r="N208" s="143"/>
      <c r="O208" s="9"/>
    </row>
    <row r="209" spans="1:15" outlineLevel="1" x14ac:dyDescent="0.15">
      <c r="A209" s="8"/>
      <c r="B209" s="8"/>
      <c r="C209" s="8"/>
      <c r="D209" s="8"/>
      <c r="E209" s="9"/>
      <c r="F209" s="8"/>
      <c r="G209" s="10"/>
      <c r="H209" s="11"/>
      <c r="I209" s="11"/>
      <c r="J209" s="9"/>
      <c r="K209" s="143"/>
      <c r="L209" s="9"/>
      <c r="M209" s="8"/>
      <c r="N209" s="143"/>
      <c r="O209" s="9"/>
    </row>
    <row r="210" spans="1:15" outlineLevel="1" x14ac:dyDescent="0.15">
      <c r="A210" s="8"/>
      <c r="B210" s="8"/>
      <c r="C210" s="8"/>
      <c r="D210" s="8"/>
      <c r="E210" s="179"/>
      <c r="F210" s="8"/>
      <c r="G210" s="10"/>
      <c r="H210" s="11"/>
      <c r="I210" s="11"/>
      <c r="J210" s="9"/>
      <c r="K210" s="143"/>
      <c r="L210" s="9"/>
      <c r="M210" s="8"/>
      <c r="N210" s="143"/>
      <c r="O210" s="9"/>
    </row>
    <row r="211" spans="1:15" outlineLevel="1" x14ac:dyDescent="0.15">
      <c r="A211" s="8"/>
      <c r="B211" s="8"/>
      <c r="C211" s="8"/>
      <c r="D211" s="8"/>
      <c r="E211" s="179"/>
      <c r="F211" s="8"/>
      <c r="G211" s="10"/>
      <c r="H211" s="11"/>
      <c r="I211" s="11"/>
      <c r="J211" s="9"/>
      <c r="K211" s="143"/>
      <c r="L211" s="9"/>
      <c r="M211" s="8"/>
      <c r="N211" s="143"/>
      <c r="O211" s="9"/>
    </row>
    <row r="212" spans="1:15" outlineLevel="1" x14ac:dyDescent="0.15">
      <c r="A212" s="8"/>
      <c r="B212" s="8"/>
      <c r="C212" s="8"/>
      <c r="D212" s="8"/>
      <c r="E212" s="9"/>
      <c r="F212" s="8"/>
      <c r="G212" s="10"/>
      <c r="H212" s="11"/>
      <c r="I212" s="143"/>
      <c r="J212" s="9"/>
      <c r="K212" s="143"/>
      <c r="L212" s="9"/>
      <c r="M212" s="8"/>
      <c r="N212" s="143"/>
      <c r="O212" s="9"/>
    </row>
    <row r="213" spans="1:15" outlineLevel="1" x14ac:dyDescent="0.15">
      <c r="A213" s="8"/>
      <c r="B213" s="8"/>
      <c r="C213" s="8"/>
      <c r="D213" s="8"/>
      <c r="E213" s="9"/>
      <c r="F213" s="8"/>
      <c r="G213" s="10"/>
      <c r="H213" s="11"/>
      <c r="I213" s="11"/>
      <c r="J213" s="9"/>
      <c r="K213" s="143"/>
      <c r="L213" s="9"/>
      <c r="M213" s="8"/>
      <c r="N213" s="143"/>
      <c r="O213" s="9"/>
    </row>
    <row r="214" spans="1:15" outlineLevel="1" x14ac:dyDescent="0.15">
      <c r="A214" s="8"/>
      <c r="B214" s="8"/>
      <c r="C214" s="8"/>
      <c r="D214" s="8"/>
      <c r="E214" s="179"/>
      <c r="F214" s="8"/>
      <c r="G214" s="10"/>
      <c r="H214" s="11"/>
      <c r="I214" s="11"/>
      <c r="J214" s="9"/>
      <c r="K214" s="143"/>
      <c r="L214" s="9"/>
      <c r="M214" s="8"/>
      <c r="N214" s="143"/>
      <c r="O214" s="9"/>
    </row>
    <row r="215" spans="1:15" outlineLevel="1" x14ac:dyDescent="0.15">
      <c r="A215" s="8"/>
      <c r="B215" s="8"/>
      <c r="C215" s="8"/>
      <c r="D215" s="8"/>
      <c r="E215" s="179"/>
      <c r="F215" s="8"/>
      <c r="G215" s="10"/>
      <c r="H215" s="11"/>
      <c r="I215" s="11"/>
      <c r="J215" s="9"/>
      <c r="K215" s="143"/>
      <c r="L215" s="9"/>
      <c r="M215" s="8"/>
      <c r="N215" s="143"/>
      <c r="O215" s="9"/>
    </row>
    <row r="216" spans="1:15" outlineLevel="1" x14ac:dyDescent="0.15">
      <c r="A216" s="8"/>
      <c r="B216" s="8"/>
      <c r="C216" s="8"/>
      <c r="D216" s="8"/>
      <c r="E216" s="9"/>
      <c r="F216" s="8"/>
      <c r="G216" s="10"/>
      <c r="H216" s="11"/>
      <c r="I216" s="143"/>
      <c r="J216" s="9"/>
      <c r="K216" s="143"/>
      <c r="L216" s="9"/>
      <c r="M216" s="8"/>
      <c r="N216" s="143"/>
      <c r="O216" s="9"/>
    </row>
    <row r="217" spans="1:15" outlineLevel="1" x14ac:dyDescent="0.15">
      <c r="A217" s="8"/>
      <c r="B217" s="8"/>
      <c r="C217" s="8"/>
      <c r="D217" s="8"/>
      <c r="E217" s="9"/>
      <c r="F217" s="8"/>
      <c r="G217" s="10"/>
      <c r="H217" s="11"/>
      <c r="I217" s="143"/>
      <c r="J217" s="9"/>
      <c r="K217" s="143"/>
      <c r="L217" s="9"/>
      <c r="M217" s="8"/>
      <c r="N217" s="143"/>
      <c r="O217" s="9"/>
    </row>
    <row r="218" spans="1:15" outlineLevel="1" x14ac:dyDescent="0.15">
      <c r="A218" s="8"/>
      <c r="B218" s="8"/>
      <c r="C218" s="8"/>
      <c r="D218" s="8"/>
      <c r="E218" s="9"/>
      <c r="F218" s="8"/>
      <c r="G218" s="10"/>
      <c r="H218" s="11"/>
      <c r="I218" s="143"/>
      <c r="J218" s="9"/>
      <c r="K218" s="143"/>
      <c r="L218" s="9"/>
      <c r="M218" s="8"/>
      <c r="N218" s="143"/>
      <c r="O218" s="9"/>
    </row>
    <row r="219" spans="1:15" outlineLevel="1" x14ac:dyDescent="0.15">
      <c r="A219" s="8"/>
      <c r="B219" s="8"/>
      <c r="C219" s="8"/>
      <c r="D219" s="8"/>
      <c r="E219" s="9"/>
      <c r="F219" s="8"/>
      <c r="G219" s="10"/>
      <c r="H219" s="11"/>
      <c r="I219" s="143"/>
      <c r="J219" s="9"/>
      <c r="K219" s="143"/>
      <c r="L219" s="9"/>
      <c r="M219" s="8"/>
      <c r="N219" s="143"/>
      <c r="O219" s="9"/>
    </row>
    <row r="220" spans="1:15" outlineLevel="1" x14ac:dyDescent="0.15">
      <c r="A220" s="8"/>
      <c r="B220" s="8"/>
      <c r="C220" s="8"/>
      <c r="D220" s="8"/>
      <c r="E220" s="9"/>
      <c r="F220" s="8"/>
      <c r="G220" s="10"/>
      <c r="H220" s="11"/>
      <c r="I220" s="143"/>
      <c r="J220" s="9"/>
      <c r="K220" s="143"/>
      <c r="L220" s="9"/>
      <c r="M220" s="8"/>
      <c r="N220" s="143"/>
      <c r="O220" s="9"/>
    </row>
    <row r="221" spans="1:15" outlineLevel="1" x14ac:dyDescent="0.15">
      <c r="A221" s="8"/>
      <c r="B221" s="8"/>
      <c r="C221" s="8"/>
      <c r="D221" s="8"/>
      <c r="E221" s="9"/>
      <c r="F221" s="8"/>
      <c r="G221" s="10"/>
      <c r="H221" s="11"/>
      <c r="I221" s="143"/>
      <c r="J221" s="9"/>
      <c r="K221" s="143"/>
      <c r="L221" s="9"/>
      <c r="M221" s="8"/>
      <c r="N221" s="143"/>
      <c r="O221" s="9"/>
    </row>
    <row r="222" spans="1:15" outlineLevel="1" x14ac:dyDescent="0.15">
      <c r="A222" s="8"/>
      <c r="B222" s="8"/>
      <c r="C222" s="8"/>
      <c r="D222" s="8"/>
      <c r="E222" s="9"/>
      <c r="F222" s="8"/>
      <c r="G222" s="10"/>
      <c r="H222" s="11"/>
      <c r="I222" s="143"/>
      <c r="J222" s="9"/>
      <c r="K222" s="143"/>
      <c r="L222" s="9"/>
      <c r="M222" s="8"/>
      <c r="N222" s="143"/>
      <c r="O222" s="9"/>
    </row>
    <row r="223" spans="1:15" outlineLevel="1" x14ac:dyDescent="0.15">
      <c r="A223" s="8"/>
      <c r="B223" s="8"/>
      <c r="C223" s="8"/>
      <c r="D223" s="8"/>
      <c r="E223" s="9"/>
      <c r="F223" s="8"/>
      <c r="G223" s="10"/>
      <c r="H223" s="11"/>
      <c r="I223" s="143"/>
      <c r="J223" s="9"/>
      <c r="K223" s="143"/>
      <c r="L223" s="9"/>
      <c r="M223" s="8"/>
      <c r="N223" s="143"/>
      <c r="O223" s="9"/>
    </row>
    <row r="224" spans="1:15" outlineLevel="1" x14ac:dyDescent="0.15">
      <c r="A224" s="8"/>
      <c r="B224" s="8"/>
      <c r="C224" s="8"/>
      <c r="D224" s="8"/>
      <c r="E224" s="9"/>
      <c r="F224" s="8"/>
      <c r="G224" s="10"/>
      <c r="H224" s="11"/>
      <c r="I224" s="143"/>
      <c r="J224" s="9"/>
      <c r="K224" s="143"/>
      <c r="L224" s="9"/>
      <c r="M224" s="8"/>
      <c r="N224" s="143"/>
      <c r="O224" s="9"/>
    </row>
    <row r="225" spans="1:15" outlineLevel="1" x14ac:dyDescent="0.15">
      <c r="A225" s="8"/>
      <c r="B225" s="8"/>
      <c r="C225" s="8"/>
      <c r="D225" s="8"/>
      <c r="E225" s="9"/>
      <c r="F225" s="8"/>
      <c r="G225" s="10"/>
      <c r="H225" s="11"/>
      <c r="I225" s="143"/>
      <c r="J225" s="9"/>
      <c r="K225" s="143"/>
      <c r="L225" s="9"/>
      <c r="M225" s="8"/>
      <c r="N225" s="143"/>
      <c r="O225" s="9"/>
    </row>
    <row r="226" spans="1:15" outlineLevel="1" x14ac:dyDescent="0.15">
      <c r="A226" s="8"/>
      <c r="B226" s="8"/>
      <c r="C226" s="8"/>
      <c r="D226" s="8"/>
      <c r="E226" s="9"/>
      <c r="F226" s="8"/>
      <c r="G226" s="10"/>
      <c r="H226" s="11"/>
      <c r="I226" s="143"/>
      <c r="J226" s="9"/>
      <c r="K226" s="143"/>
      <c r="L226" s="9"/>
      <c r="M226" s="8"/>
      <c r="N226" s="143"/>
      <c r="O226" s="9"/>
    </row>
    <row r="227" spans="1:15" outlineLevel="1" x14ac:dyDescent="0.15">
      <c r="A227" s="8"/>
      <c r="B227" s="8"/>
      <c r="C227" s="8"/>
      <c r="D227" s="8"/>
      <c r="E227" s="9"/>
      <c r="F227" s="8"/>
      <c r="G227" s="10"/>
      <c r="H227" s="11"/>
      <c r="I227" s="143"/>
      <c r="J227" s="9"/>
      <c r="K227" s="143"/>
      <c r="L227" s="9"/>
      <c r="M227" s="8"/>
      <c r="N227" s="143"/>
      <c r="O227" s="9"/>
    </row>
    <row r="228" spans="1:15" outlineLevel="1" x14ac:dyDescent="0.15">
      <c r="A228" s="8"/>
      <c r="B228" s="8"/>
      <c r="C228" s="8"/>
      <c r="D228" s="8"/>
      <c r="E228" s="9"/>
      <c r="F228" s="8"/>
      <c r="G228" s="10"/>
      <c r="H228" s="11"/>
      <c r="I228" s="143"/>
      <c r="J228" s="9"/>
      <c r="K228" s="143"/>
      <c r="L228" s="9"/>
      <c r="M228" s="8"/>
      <c r="N228" s="143"/>
      <c r="O228" s="9"/>
    </row>
    <row r="229" spans="1:15" outlineLevel="1" x14ac:dyDescent="0.15">
      <c r="A229" s="8"/>
      <c r="B229" s="8"/>
      <c r="C229" s="8"/>
      <c r="D229" s="8"/>
      <c r="E229" s="9"/>
      <c r="F229" s="8"/>
      <c r="G229" s="10"/>
      <c r="H229" s="11"/>
      <c r="I229" s="143"/>
      <c r="J229" s="9"/>
      <c r="K229" s="143"/>
      <c r="L229" s="9"/>
      <c r="M229" s="8"/>
      <c r="N229" s="143"/>
      <c r="O229" s="9"/>
    </row>
    <row r="230" spans="1:15" outlineLevel="1" x14ac:dyDescent="0.15">
      <c r="A230" s="8"/>
      <c r="B230" s="8"/>
      <c r="C230" s="8"/>
      <c r="D230" s="8"/>
      <c r="E230" s="9"/>
      <c r="F230" s="8"/>
      <c r="G230" s="10"/>
      <c r="H230" s="11"/>
      <c r="I230" s="143"/>
      <c r="J230" s="9"/>
      <c r="K230" s="143"/>
      <c r="L230" s="9"/>
      <c r="M230" s="8"/>
      <c r="N230" s="143"/>
      <c r="O230" s="9"/>
    </row>
    <row r="231" spans="1:15" outlineLevel="1" x14ac:dyDescent="0.15">
      <c r="A231" s="8"/>
      <c r="B231" s="8"/>
      <c r="C231" s="8"/>
      <c r="D231" s="8"/>
      <c r="E231" s="9"/>
      <c r="F231" s="8"/>
      <c r="G231" s="10"/>
      <c r="H231" s="11"/>
      <c r="I231" s="143"/>
      <c r="J231" s="9"/>
      <c r="K231" s="143"/>
      <c r="L231" s="9"/>
      <c r="M231" s="8"/>
      <c r="N231" s="143"/>
      <c r="O231" s="9"/>
    </row>
    <row r="232" spans="1:15" outlineLevel="1" x14ac:dyDescent="0.15">
      <c r="A232" s="8"/>
      <c r="B232" s="8"/>
      <c r="C232" s="8"/>
      <c r="D232" s="8"/>
      <c r="E232" s="9"/>
      <c r="F232" s="8"/>
      <c r="G232" s="10"/>
      <c r="H232" s="11"/>
      <c r="I232" s="143"/>
      <c r="J232" s="9"/>
      <c r="K232" s="143"/>
      <c r="L232" s="9"/>
      <c r="M232" s="8"/>
      <c r="N232" s="143"/>
      <c r="O232" s="9"/>
    </row>
    <row r="233" spans="1:15" outlineLevel="1" x14ac:dyDescent="0.15">
      <c r="A233" s="8"/>
      <c r="B233" s="8"/>
      <c r="C233" s="8"/>
      <c r="D233" s="8"/>
      <c r="E233" s="9"/>
      <c r="F233" s="8"/>
      <c r="G233" s="10"/>
      <c r="H233" s="11"/>
      <c r="I233" s="143"/>
      <c r="J233" s="9"/>
      <c r="K233" s="143"/>
      <c r="L233" s="9"/>
      <c r="M233" s="8"/>
      <c r="N233" s="143"/>
      <c r="O233" s="9"/>
    </row>
    <row r="234" spans="1:15" outlineLevel="1" x14ac:dyDescent="0.15">
      <c r="A234" s="8"/>
      <c r="B234" s="8"/>
      <c r="C234" s="8"/>
      <c r="D234" s="8"/>
      <c r="E234" s="9"/>
      <c r="F234" s="8"/>
      <c r="G234" s="10"/>
      <c r="H234" s="11"/>
      <c r="I234" s="143"/>
      <c r="J234" s="9"/>
      <c r="K234" s="143"/>
      <c r="L234" s="9"/>
      <c r="M234" s="8"/>
      <c r="N234" s="143"/>
      <c r="O234" s="9"/>
    </row>
    <row r="235" spans="1:15" outlineLevel="1" x14ac:dyDescent="0.15">
      <c r="A235" s="8"/>
      <c r="B235" s="8"/>
      <c r="C235" s="8"/>
      <c r="D235" s="8"/>
      <c r="E235" s="9"/>
      <c r="F235" s="8"/>
      <c r="G235" s="10"/>
      <c r="H235" s="11"/>
      <c r="I235" s="143"/>
      <c r="J235" s="9"/>
      <c r="K235" s="143"/>
      <c r="L235" s="9"/>
      <c r="M235" s="8"/>
      <c r="N235" s="143"/>
      <c r="O235" s="9"/>
    </row>
    <row r="236" spans="1:15" outlineLevel="1" x14ac:dyDescent="0.15">
      <c r="A236" s="8"/>
      <c r="B236" s="8"/>
      <c r="C236" s="8"/>
      <c r="D236" s="8"/>
      <c r="E236" s="9"/>
      <c r="F236" s="8"/>
      <c r="G236" s="10"/>
      <c r="H236" s="11"/>
      <c r="I236" s="143"/>
      <c r="J236" s="9"/>
      <c r="K236" s="143"/>
      <c r="L236" s="9"/>
      <c r="M236" s="8"/>
      <c r="N236" s="143"/>
      <c r="O236" s="9"/>
    </row>
    <row r="237" spans="1:15" outlineLevel="1" x14ac:dyDescent="0.15">
      <c r="A237" s="8"/>
      <c r="B237" s="8"/>
      <c r="C237" s="8"/>
      <c r="D237" s="8"/>
      <c r="E237" s="9"/>
      <c r="F237" s="8"/>
      <c r="G237" s="10"/>
      <c r="H237" s="11"/>
      <c r="I237" s="143"/>
      <c r="J237" s="9"/>
      <c r="K237" s="143"/>
      <c r="L237" s="9"/>
      <c r="M237" s="8"/>
      <c r="N237" s="143"/>
      <c r="O237" s="9"/>
    </row>
    <row r="238" spans="1:15" outlineLevel="1" x14ac:dyDescent="0.15">
      <c r="A238" s="8"/>
      <c r="B238" s="8"/>
      <c r="C238" s="8"/>
      <c r="D238" s="8"/>
      <c r="E238" s="9"/>
      <c r="F238" s="8"/>
      <c r="G238" s="10"/>
      <c r="H238" s="11"/>
      <c r="I238" s="143"/>
      <c r="J238" s="9"/>
      <c r="K238" s="143"/>
      <c r="L238" s="9"/>
      <c r="M238" s="8"/>
      <c r="N238" s="143"/>
      <c r="O238" s="9"/>
    </row>
    <row r="239" spans="1:15" outlineLevel="1" x14ac:dyDescent="0.15">
      <c r="A239" s="8"/>
      <c r="B239" s="8"/>
      <c r="C239" s="8"/>
      <c r="D239" s="8"/>
      <c r="E239" s="9"/>
      <c r="F239" s="8"/>
      <c r="G239" s="10"/>
      <c r="H239" s="11"/>
      <c r="I239" s="143"/>
      <c r="J239" s="9"/>
      <c r="K239" s="143"/>
      <c r="L239" s="9"/>
      <c r="M239" s="8"/>
      <c r="N239" s="143"/>
      <c r="O239" s="9"/>
    </row>
    <row r="240" spans="1:15" outlineLevel="1" x14ac:dyDescent="0.15">
      <c r="A240" s="8"/>
      <c r="B240" s="8"/>
      <c r="C240" s="8"/>
      <c r="D240" s="8"/>
      <c r="E240" s="9"/>
      <c r="F240" s="8"/>
      <c r="G240" s="10"/>
      <c r="H240" s="11"/>
      <c r="I240" s="143"/>
      <c r="J240" s="9"/>
      <c r="K240" s="143"/>
      <c r="L240" s="9"/>
      <c r="M240" s="8"/>
      <c r="N240" s="143"/>
      <c r="O240" s="9"/>
    </row>
    <row r="241" spans="1:15" outlineLevel="1" x14ac:dyDescent="0.15">
      <c r="A241" s="8"/>
      <c r="B241" s="8"/>
      <c r="C241" s="8"/>
      <c r="D241" s="8"/>
      <c r="E241" s="9"/>
      <c r="F241" s="8"/>
      <c r="G241" s="10"/>
      <c r="H241" s="11"/>
      <c r="I241" s="143"/>
      <c r="J241" s="9"/>
      <c r="K241" s="143"/>
      <c r="L241" s="9"/>
      <c r="M241" s="8"/>
      <c r="N241" s="143"/>
      <c r="O241" s="9"/>
    </row>
    <row r="242" spans="1:15" outlineLevel="1" x14ac:dyDescent="0.15">
      <c r="A242" s="8"/>
      <c r="B242" s="8"/>
      <c r="C242" s="8"/>
      <c r="D242" s="8"/>
      <c r="E242" s="9"/>
      <c r="F242" s="8"/>
      <c r="G242" s="10"/>
      <c r="H242" s="11"/>
      <c r="I242" s="143"/>
      <c r="J242" s="9"/>
      <c r="K242" s="143"/>
      <c r="L242" s="9"/>
      <c r="M242" s="8"/>
      <c r="N242" s="143"/>
      <c r="O242" s="9"/>
    </row>
    <row r="243" spans="1:15" outlineLevel="1" x14ac:dyDescent="0.15">
      <c r="A243" s="8"/>
      <c r="B243" s="8"/>
      <c r="C243" s="8"/>
      <c r="D243" s="8"/>
      <c r="E243" s="9"/>
      <c r="F243" s="8"/>
      <c r="G243" s="10"/>
      <c r="H243" s="11"/>
      <c r="I243" s="143"/>
      <c r="J243" s="9"/>
      <c r="K243" s="143"/>
      <c r="L243" s="9"/>
      <c r="M243" s="8"/>
      <c r="N243" s="143"/>
      <c r="O243" s="9"/>
    </row>
    <row r="244" spans="1:15" outlineLevel="1" x14ac:dyDescent="0.15">
      <c r="A244" s="8"/>
      <c r="B244" s="8"/>
      <c r="C244" s="8"/>
      <c r="D244" s="8"/>
      <c r="E244" s="9"/>
      <c r="F244" s="8"/>
      <c r="G244" s="10"/>
      <c r="H244" s="11"/>
      <c r="I244" s="143"/>
      <c r="J244" s="9"/>
      <c r="K244" s="143"/>
      <c r="L244" s="9"/>
      <c r="M244" s="8"/>
      <c r="N244" s="143"/>
      <c r="O244" s="9"/>
    </row>
    <row r="245" spans="1:15" outlineLevel="1" x14ac:dyDescent="0.15">
      <c r="A245" s="8"/>
      <c r="B245" s="8"/>
      <c r="C245" s="8"/>
      <c r="D245" s="8"/>
      <c r="E245" s="9"/>
      <c r="F245" s="8"/>
      <c r="G245" s="10"/>
      <c r="H245" s="11"/>
      <c r="I245" s="143"/>
      <c r="J245" s="9"/>
      <c r="K245" s="143"/>
      <c r="L245" s="9"/>
      <c r="M245" s="8"/>
      <c r="N245" s="143"/>
      <c r="O245" s="9"/>
    </row>
    <row r="246" spans="1:15" outlineLevel="1" x14ac:dyDescent="0.15">
      <c r="A246" s="8"/>
      <c r="B246" s="8"/>
      <c r="C246" s="8"/>
      <c r="D246" s="8"/>
      <c r="E246" s="9"/>
      <c r="F246" s="8"/>
      <c r="G246" s="10"/>
      <c r="H246" s="11"/>
      <c r="I246" s="143"/>
      <c r="J246" s="9"/>
      <c r="K246" s="143"/>
      <c r="L246" s="9"/>
      <c r="M246" s="8"/>
      <c r="N246" s="143"/>
      <c r="O246" s="9"/>
    </row>
    <row r="247" spans="1:15" outlineLevel="1" x14ac:dyDescent="0.15">
      <c r="A247" s="8"/>
      <c r="B247" s="8"/>
      <c r="C247" s="8"/>
      <c r="D247" s="8"/>
      <c r="E247" s="9"/>
      <c r="F247" s="8"/>
      <c r="G247" s="10"/>
      <c r="H247" s="11"/>
      <c r="I247" s="143"/>
      <c r="J247" s="9"/>
      <c r="K247" s="143"/>
      <c r="L247" s="9"/>
      <c r="M247" s="8"/>
      <c r="N247" s="143"/>
      <c r="O247" s="9"/>
    </row>
    <row r="248" spans="1:15" outlineLevel="1" x14ac:dyDescent="0.15">
      <c r="A248" s="8"/>
      <c r="B248" s="8"/>
      <c r="C248" s="8"/>
      <c r="D248" s="8"/>
      <c r="E248" s="9"/>
      <c r="F248" s="8"/>
      <c r="G248" s="10"/>
      <c r="H248" s="11"/>
      <c r="I248" s="143"/>
      <c r="J248" s="9"/>
      <c r="K248" s="143"/>
      <c r="L248" s="9"/>
      <c r="M248" s="8"/>
      <c r="N248" s="143"/>
      <c r="O248" s="9"/>
    </row>
    <row r="249" spans="1:15" outlineLevel="1" x14ac:dyDescent="0.15">
      <c r="A249" s="8"/>
      <c r="B249" s="8"/>
      <c r="C249" s="8"/>
      <c r="D249" s="8"/>
      <c r="E249" s="9"/>
      <c r="F249" s="8"/>
      <c r="G249" s="10"/>
      <c r="H249" s="11"/>
      <c r="I249" s="143"/>
      <c r="J249" s="9"/>
      <c r="K249" s="143"/>
      <c r="L249" s="9"/>
      <c r="M249" s="8"/>
      <c r="N249" s="143"/>
      <c r="O249" s="9"/>
    </row>
    <row r="250" spans="1:15" outlineLevel="1" x14ac:dyDescent="0.15">
      <c r="A250" s="8"/>
      <c r="B250" s="8"/>
      <c r="C250" s="8"/>
      <c r="D250" s="8"/>
      <c r="E250" s="9"/>
      <c r="F250" s="8"/>
      <c r="G250" s="10"/>
      <c r="H250" s="11"/>
      <c r="I250" s="143"/>
      <c r="J250" s="9"/>
      <c r="K250" s="143"/>
      <c r="L250" s="9"/>
      <c r="M250" s="8"/>
      <c r="N250" s="143"/>
      <c r="O250" s="9"/>
    </row>
    <row r="251" spans="1:15" outlineLevel="1" x14ac:dyDescent="0.15">
      <c r="A251" s="8"/>
      <c r="B251" s="8"/>
      <c r="C251" s="8"/>
      <c r="D251" s="8"/>
      <c r="E251" s="9"/>
      <c r="F251" s="8"/>
      <c r="G251" s="10"/>
      <c r="H251" s="11"/>
      <c r="I251" s="143"/>
      <c r="J251" s="9"/>
      <c r="K251" s="143"/>
      <c r="L251" s="9"/>
      <c r="M251" s="8"/>
      <c r="N251" s="143"/>
      <c r="O251" s="9"/>
    </row>
    <row r="252" spans="1:15" outlineLevel="1" x14ac:dyDescent="0.15">
      <c r="A252" s="8"/>
      <c r="B252" s="8"/>
      <c r="C252" s="8"/>
      <c r="D252" s="8"/>
      <c r="E252" s="9"/>
      <c r="F252" s="8"/>
      <c r="G252" s="10"/>
      <c r="H252" s="11"/>
      <c r="I252" s="143"/>
      <c r="J252" s="9"/>
      <c r="K252" s="143"/>
      <c r="L252" s="9"/>
      <c r="M252" s="8"/>
      <c r="N252" s="143"/>
      <c r="O252" s="9"/>
    </row>
    <row r="253" spans="1:15" outlineLevel="1" x14ac:dyDescent="0.15">
      <c r="A253" s="8"/>
      <c r="B253" s="8"/>
      <c r="C253" s="8"/>
      <c r="D253" s="8"/>
      <c r="E253" s="9"/>
      <c r="F253" s="8"/>
      <c r="G253" s="10"/>
      <c r="H253" s="11"/>
      <c r="I253" s="143"/>
      <c r="J253" s="9"/>
      <c r="K253" s="143"/>
      <c r="L253" s="9"/>
      <c r="M253" s="8"/>
      <c r="N253" s="143"/>
      <c r="O253" s="9"/>
    </row>
    <row r="254" spans="1:15" outlineLevel="1" x14ac:dyDescent="0.15">
      <c r="A254" s="8"/>
      <c r="B254" s="8"/>
      <c r="C254" s="8"/>
      <c r="D254" s="8"/>
      <c r="E254" s="9"/>
      <c r="F254" s="8"/>
      <c r="G254" s="10"/>
      <c r="H254" s="11"/>
      <c r="I254" s="143"/>
      <c r="J254" s="9"/>
      <c r="K254" s="143"/>
      <c r="L254" s="9"/>
      <c r="M254" s="8"/>
      <c r="N254" s="143"/>
      <c r="O254" s="9"/>
    </row>
    <row r="255" spans="1:15" outlineLevel="1" x14ac:dyDescent="0.15">
      <c r="A255" s="8"/>
      <c r="B255" s="8"/>
      <c r="C255" s="8"/>
      <c r="D255" s="8"/>
      <c r="E255" s="9"/>
      <c r="F255" s="8"/>
      <c r="G255" s="10"/>
      <c r="H255" s="11"/>
      <c r="I255" s="143"/>
      <c r="J255" s="9"/>
      <c r="K255" s="143"/>
      <c r="L255" s="9"/>
      <c r="M255" s="8"/>
      <c r="N255" s="143"/>
      <c r="O255" s="9"/>
    </row>
    <row r="256" spans="1:15" outlineLevel="1" x14ac:dyDescent="0.15">
      <c r="A256" s="8"/>
      <c r="B256" s="8"/>
      <c r="C256" s="8"/>
      <c r="D256" s="8"/>
      <c r="E256" s="9"/>
      <c r="F256" s="8"/>
      <c r="G256" s="10"/>
      <c r="H256" s="11"/>
      <c r="I256" s="143"/>
      <c r="J256" s="9"/>
      <c r="K256" s="143"/>
      <c r="L256" s="9"/>
      <c r="M256" s="8"/>
      <c r="N256" s="143"/>
      <c r="O256" s="9"/>
    </row>
    <row r="257" spans="1:15" outlineLevel="1" x14ac:dyDescent="0.15">
      <c r="A257" s="8"/>
      <c r="B257" s="8"/>
      <c r="C257" s="8"/>
      <c r="D257" s="8"/>
      <c r="E257" s="9"/>
      <c r="F257" s="8"/>
      <c r="G257" s="10"/>
      <c r="H257" s="11"/>
      <c r="I257" s="143"/>
      <c r="J257" s="9"/>
      <c r="K257" s="143"/>
      <c r="L257" s="9"/>
      <c r="M257" s="8"/>
      <c r="N257" s="143"/>
      <c r="O257" s="9"/>
    </row>
    <row r="258" spans="1:15" outlineLevel="1" x14ac:dyDescent="0.15">
      <c r="A258" s="8"/>
      <c r="B258" s="8"/>
      <c r="C258" s="8"/>
      <c r="D258" s="8"/>
      <c r="E258" s="9"/>
      <c r="F258" s="8"/>
      <c r="G258" s="10"/>
      <c r="H258" s="11"/>
      <c r="I258" s="143"/>
      <c r="J258" s="9"/>
      <c r="K258" s="143"/>
      <c r="L258" s="9"/>
      <c r="M258" s="8"/>
      <c r="N258" s="143"/>
      <c r="O258" s="9"/>
    </row>
    <row r="259" spans="1:15" outlineLevel="1" x14ac:dyDescent="0.15">
      <c r="A259" s="8"/>
      <c r="B259" s="8"/>
      <c r="C259" s="8"/>
      <c r="D259" s="8"/>
      <c r="E259" s="9"/>
      <c r="F259" s="8"/>
      <c r="G259" s="10"/>
      <c r="H259" s="11"/>
      <c r="I259" s="143"/>
      <c r="J259" s="9"/>
      <c r="K259" s="143"/>
      <c r="L259" s="9"/>
      <c r="M259" s="8"/>
      <c r="N259" s="143"/>
      <c r="O259" s="9"/>
    </row>
    <row r="260" spans="1:15" outlineLevel="1" x14ac:dyDescent="0.15">
      <c r="A260" s="8"/>
      <c r="B260" s="8"/>
      <c r="C260" s="8"/>
      <c r="D260" s="8"/>
      <c r="E260" s="9"/>
      <c r="F260" s="8"/>
      <c r="G260" s="10"/>
      <c r="H260" s="11"/>
      <c r="I260" s="143"/>
      <c r="J260" s="9"/>
      <c r="K260" s="143"/>
      <c r="L260" s="9"/>
      <c r="M260" s="8"/>
      <c r="N260" s="143"/>
      <c r="O260" s="9"/>
    </row>
    <row r="261" spans="1:15" outlineLevel="1" x14ac:dyDescent="0.15">
      <c r="A261" s="8"/>
      <c r="B261" s="8"/>
      <c r="C261" s="8"/>
      <c r="D261" s="8"/>
      <c r="E261" s="9"/>
      <c r="F261" s="8"/>
      <c r="G261" s="10"/>
      <c r="H261" s="11"/>
      <c r="I261" s="143"/>
      <c r="J261" s="9"/>
      <c r="K261" s="143"/>
      <c r="L261" s="9"/>
      <c r="M261" s="8"/>
      <c r="N261" s="143"/>
      <c r="O261" s="9"/>
    </row>
    <row r="262" spans="1:15" outlineLevel="1" x14ac:dyDescent="0.15">
      <c r="A262" s="8"/>
      <c r="B262" s="8"/>
      <c r="C262" s="8"/>
      <c r="D262" s="8"/>
      <c r="E262" s="9"/>
      <c r="F262" s="8"/>
      <c r="G262" s="10"/>
      <c r="H262" s="11"/>
      <c r="I262" s="143"/>
      <c r="J262" s="9"/>
      <c r="K262" s="143"/>
      <c r="L262" s="9"/>
      <c r="M262" s="8"/>
      <c r="N262" s="143"/>
      <c r="O262" s="9"/>
    </row>
    <row r="263" spans="1:15" outlineLevel="1" x14ac:dyDescent="0.15">
      <c r="A263" s="8"/>
      <c r="B263" s="8"/>
      <c r="C263" s="8"/>
      <c r="D263" s="8"/>
      <c r="E263" s="9"/>
      <c r="F263" s="8"/>
      <c r="G263" s="10"/>
      <c r="H263" s="11"/>
      <c r="I263" s="143"/>
      <c r="J263" s="9"/>
      <c r="K263" s="143"/>
      <c r="L263" s="9"/>
      <c r="M263" s="8"/>
      <c r="N263" s="143"/>
      <c r="O263" s="9"/>
    </row>
    <row r="264" spans="1:15" outlineLevel="1" x14ac:dyDescent="0.15">
      <c r="A264" s="8"/>
      <c r="B264" s="8"/>
      <c r="C264" s="8"/>
      <c r="D264" s="8"/>
      <c r="E264" s="9"/>
      <c r="F264" s="8"/>
      <c r="G264" s="10"/>
      <c r="H264" s="11"/>
      <c r="I264" s="143"/>
      <c r="J264" s="9"/>
      <c r="K264" s="143"/>
      <c r="L264" s="9"/>
      <c r="M264" s="8"/>
      <c r="N264" s="143"/>
      <c r="O264" s="9"/>
    </row>
    <row r="265" spans="1:15" outlineLevel="1" x14ac:dyDescent="0.15">
      <c r="A265" s="8"/>
      <c r="B265" s="8"/>
      <c r="C265" s="8"/>
      <c r="D265" s="8"/>
      <c r="E265" s="9"/>
      <c r="F265" s="8"/>
      <c r="G265" s="10"/>
      <c r="H265" s="11"/>
      <c r="I265" s="143"/>
      <c r="J265" s="9"/>
      <c r="K265" s="143"/>
      <c r="L265" s="9"/>
      <c r="M265" s="8"/>
      <c r="N265" s="143"/>
      <c r="O265" s="9"/>
    </row>
    <row r="266" spans="1:15" outlineLevel="1" x14ac:dyDescent="0.15">
      <c r="A266" s="8"/>
      <c r="B266" s="8"/>
      <c r="C266" s="8"/>
      <c r="D266" s="8"/>
      <c r="E266" s="9"/>
      <c r="F266" s="8"/>
      <c r="G266" s="10"/>
      <c r="H266" s="11"/>
      <c r="I266" s="143"/>
      <c r="J266" s="9"/>
      <c r="K266" s="143"/>
      <c r="L266" s="9"/>
      <c r="M266" s="8"/>
      <c r="N266" s="143"/>
      <c r="O266" s="9"/>
    </row>
    <row r="267" spans="1:15" outlineLevel="1" x14ac:dyDescent="0.15">
      <c r="A267" s="8"/>
      <c r="B267" s="8"/>
      <c r="C267" s="8"/>
      <c r="D267" s="8"/>
      <c r="E267" s="9"/>
      <c r="F267" s="8"/>
      <c r="G267" s="10"/>
      <c r="H267" s="11"/>
      <c r="I267" s="143"/>
      <c r="J267" s="9"/>
      <c r="K267" s="143"/>
      <c r="L267" s="9"/>
      <c r="M267" s="8"/>
      <c r="N267" s="143"/>
      <c r="O267" s="9"/>
    </row>
    <row r="268" spans="1:15" outlineLevel="1" x14ac:dyDescent="0.15">
      <c r="A268" s="8"/>
      <c r="B268" s="8"/>
      <c r="C268" s="8"/>
      <c r="D268" s="8"/>
      <c r="E268" s="9"/>
      <c r="F268" s="8"/>
      <c r="G268" s="10"/>
      <c r="H268" s="11"/>
      <c r="I268" s="143"/>
      <c r="J268" s="9"/>
      <c r="K268" s="143"/>
      <c r="L268" s="9"/>
      <c r="M268" s="8"/>
      <c r="N268" s="143"/>
      <c r="O268" s="9"/>
    </row>
    <row r="269" spans="1:15" outlineLevel="1" x14ac:dyDescent="0.15">
      <c r="A269" s="8"/>
      <c r="B269" s="8"/>
      <c r="C269" s="8"/>
      <c r="D269" s="8"/>
      <c r="E269" s="9"/>
      <c r="F269" s="8"/>
      <c r="G269" s="10"/>
      <c r="H269" s="11"/>
      <c r="I269" s="143"/>
      <c r="J269" s="9"/>
      <c r="K269" s="143"/>
      <c r="L269" s="9"/>
      <c r="M269" s="8"/>
      <c r="N269" s="143"/>
      <c r="O269" s="9"/>
    </row>
    <row r="270" spans="1:15" outlineLevel="1" x14ac:dyDescent="0.15">
      <c r="A270" s="8"/>
      <c r="B270" s="8"/>
      <c r="C270" s="8"/>
      <c r="D270" s="8"/>
      <c r="E270" s="9"/>
      <c r="F270" s="8"/>
      <c r="G270" s="10"/>
      <c r="H270" s="11"/>
      <c r="I270" s="143"/>
      <c r="J270" s="9"/>
      <c r="K270" s="143"/>
      <c r="L270" s="9"/>
      <c r="M270" s="8"/>
      <c r="N270" s="143"/>
      <c r="O270" s="9"/>
    </row>
    <row r="271" spans="1:15" outlineLevel="1" x14ac:dyDescent="0.15">
      <c r="A271" s="8"/>
      <c r="B271" s="8"/>
      <c r="C271" s="8"/>
      <c r="D271" s="8"/>
      <c r="E271" s="9"/>
      <c r="F271" s="8"/>
      <c r="G271" s="10"/>
      <c r="H271" s="11"/>
      <c r="I271" s="143"/>
      <c r="J271" s="9"/>
      <c r="K271" s="143"/>
      <c r="L271" s="9"/>
      <c r="M271" s="8"/>
      <c r="N271" s="143"/>
      <c r="O271" s="9"/>
    </row>
    <row r="272" spans="1:15" outlineLevel="1" x14ac:dyDescent="0.15">
      <c r="A272" s="8"/>
      <c r="B272" s="8"/>
      <c r="C272" s="8"/>
      <c r="D272" s="8"/>
      <c r="E272" s="9"/>
      <c r="F272" s="8"/>
      <c r="G272" s="10"/>
      <c r="H272" s="11"/>
      <c r="I272" s="143"/>
      <c r="J272" s="9"/>
      <c r="K272" s="143"/>
      <c r="L272" s="9"/>
      <c r="M272" s="8"/>
      <c r="N272" s="143"/>
      <c r="O272" s="9"/>
    </row>
    <row r="273" spans="1:15" outlineLevel="1" x14ac:dyDescent="0.15">
      <c r="A273" s="8"/>
      <c r="B273" s="8"/>
      <c r="C273" s="8"/>
      <c r="D273" s="8"/>
      <c r="E273" s="9"/>
      <c r="F273" s="8"/>
      <c r="G273" s="10"/>
      <c r="H273" s="11"/>
      <c r="I273" s="143"/>
      <c r="J273" s="9"/>
      <c r="K273" s="143"/>
      <c r="L273" s="9"/>
      <c r="M273" s="8"/>
      <c r="N273" s="143"/>
      <c r="O273" s="9"/>
    </row>
    <row r="274" spans="1:15" outlineLevel="1" x14ac:dyDescent="0.15">
      <c r="A274" s="8"/>
      <c r="B274" s="8"/>
      <c r="C274" s="8"/>
      <c r="D274" s="8"/>
      <c r="E274" s="9"/>
      <c r="F274" s="8"/>
      <c r="G274" s="10"/>
      <c r="H274" s="11"/>
      <c r="I274" s="143"/>
      <c r="J274" s="9"/>
      <c r="K274" s="143"/>
      <c r="L274" s="9"/>
      <c r="M274" s="8"/>
      <c r="N274" s="143"/>
      <c r="O274" s="9"/>
    </row>
    <row r="275" spans="1:15" outlineLevel="1" x14ac:dyDescent="0.15">
      <c r="A275" s="8"/>
      <c r="B275" s="8"/>
      <c r="C275" s="8"/>
      <c r="D275" s="8"/>
      <c r="E275" s="9"/>
      <c r="F275" s="8"/>
      <c r="G275" s="10"/>
      <c r="H275" s="11"/>
      <c r="I275" s="143"/>
      <c r="J275" s="9"/>
      <c r="K275" s="143"/>
      <c r="L275" s="9"/>
      <c r="M275" s="8"/>
      <c r="N275" s="143"/>
      <c r="O275" s="9"/>
    </row>
    <row r="276" spans="1:15" outlineLevel="1" x14ac:dyDescent="0.15">
      <c r="A276" s="8"/>
      <c r="B276" s="8"/>
      <c r="C276" s="8"/>
      <c r="D276" s="8"/>
      <c r="E276" s="9"/>
      <c r="F276" s="8"/>
      <c r="G276" s="10"/>
      <c r="H276" s="11"/>
      <c r="I276" s="143"/>
      <c r="J276" s="9"/>
      <c r="K276" s="143"/>
      <c r="L276" s="9"/>
      <c r="M276" s="8"/>
      <c r="N276" s="143"/>
      <c r="O276" s="9"/>
    </row>
    <row r="277" spans="1:15" outlineLevel="1" x14ac:dyDescent="0.15">
      <c r="A277" s="8"/>
      <c r="B277" s="8"/>
      <c r="C277" s="8"/>
      <c r="D277" s="8"/>
      <c r="E277" s="9"/>
      <c r="F277" s="8"/>
      <c r="G277" s="10"/>
      <c r="H277" s="11"/>
      <c r="I277" s="143"/>
      <c r="J277" s="9"/>
      <c r="K277" s="143"/>
      <c r="L277" s="9"/>
      <c r="M277" s="8"/>
      <c r="N277" s="143"/>
      <c r="O277" s="9"/>
    </row>
    <row r="278" spans="1:15" outlineLevel="1" x14ac:dyDescent="0.15">
      <c r="A278" s="8"/>
      <c r="B278" s="8"/>
      <c r="C278" s="8"/>
      <c r="D278" s="8"/>
      <c r="E278" s="9"/>
      <c r="F278" s="8"/>
      <c r="G278" s="10"/>
      <c r="H278" s="11"/>
      <c r="I278" s="143"/>
      <c r="J278" s="9"/>
      <c r="K278" s="143"/>
      <c r="L278" s="9"/>
      <c r="M278" s="8"/>
      <c r="N278" s="143"/>
      <c r="O278" s="9"/>
    </row>
    <row r="279" spans="1:15" outlineLevel="1" x14ac:dyDescent="0.15">
      <c r="A279" s="8"/>
      <c r="B279" s="8"/>
      <c r="C279" s="8"/>
      <c r="D279" s="8"/>
      <c r="E279" s="9"/>
      <c r="F279" s="8"/>
      <c r="G279" s="10"/>
      <c r="H279" s="11"/>
      <c r="I279" s="143"/>
      <c r="J279" s="9"/>
      <c r="K279" s="143"/>
      <c r="L279" s="9"/>
      <c r="M279" s="8"/>
      <c r="N279" s="143"/>
      <c r="O279" s="9"/>
    </row>
    <row r="280" spans="1:15" outlineLevel="1" x14ac:dyDescent="0.15">
      <c r="A280" s="8"/>
      <c r="B280" s="8"/>
      <c r="C280" s="8"/>
      <c r="D280" s="8"/>
      <c r="E280" s="9"/>
      <c r="F280" s="8"/>
      <c r="G280" s="10"/>
      <c r="H280" s="11"/>
      <c r="I280" s="143"/>
      <c r="J280" s="9"/>
      <c r="K280" s="143"/>
      <c r="L280" s="9"/>
      <c r="M280" s="8"/>
      <c r="N280" s="143"/>
      <c r="O280" s="9"/>
    </row>
    <row r="281" spans="1:15" outlineLevel="1" x14ac:dyDescent="0.15">
      <c r="A281" s="8"/>
      <c r="B281" s="8"/>
      <c r="C281" s="8"/>
      <c r="D281" s="8"/>
      <c r="E281" s="9"/>
      <c r="F281" s="8"/>
      <c r="G281" s="10"/>
      <c r="H281" s="11"/>
      <c r="I281" s="143"/>
      <c r="J281" s="9"/>
      <c r="K281" s="143"/>
      <c r="L281" s="9"/>
      <c r="M281" s="8"/>
      <c r="N281" s="143"/>
      <c r="O281" s="9"/>
    </row>
    <row r="282" spans="1:15" outlineLevel="1" x14ac:dyDescent="0.15">
      <c r="A282" s="8"/>
      <c r="B282" s="8"/>
      <c r="C282" s="8"/>
      <c r="D282" s="8"/>
      <c r="E282" s="9"/>
      <c r="F282" s="8"/>
      <c r="G282" s="10"/>
      <c r="H282" s="11"/>
      <c r="I282" s="143"/>
      <c r="J282" s="9"/>
      <c r="K282" s="143"/>
      <c r="L282" s="9"/>
      <c r="M282" s="8"/>
      <c r="N282" s="143"/>
      <c r="O282" s="9"/>
    </row>
    <row r="283" spans="1:15" outlineLevel="1" x14ac:dyDescent="0.15">
      <c r="A283" s="8"/>
      <c r="B283" s="8"/>
      <c r="C283" s="8"/>
      <c r="D283" s="8"/>
      <c r="E283" s="9"/>
      <c r="F283" s="8"/>
      <c r="G283" s="10"/>
      <c r="H283" s="11"/>
      <c r="I283" s="143"/>
      <c r="J283" s="9"/>
      <c r="K283" s="143"/>
      <c r="L283" s="9"/>
      <c r="M283" s="8"/>
      <c r="N283" s="143"/>
      <c r="O283" s="9"/>
    </row>
    <row r="284" spans="1:15" outlineLevel="1" x14ac:dyDescent="0.15">
      <c r="A284" s="8"/>
      <c r="B284" s="8"/>
      <c r="C284" s="8"/>
      <c r="D284" s="8"/>
      <c r="E284" s="9"/>
      <c r="F284" s="8"/>
      <c r="G284" s="10"/>
      <c r="H284" s="11"/>
      <c r="I284" s="143"/>
      <c r="J284" s="9"/>
      <c r="K284" s="143"/>
      <c r="L284" s="9"/>
      <c r="M284" s="8"/>
      <c r="N284" s="143"/>
      <c r="O284" s="9"/>
    </row>
    <row r="285" spans="1:15" outlineLevel="1" x14ac:dyDescent="0.15">
      <c r="A285" s="8"/>
      <c r="B285" s="8"/>
      <c r="C285" s="8"/>
      <c r="D285" s="8"/>
      <c r="E285" s="9"/>
      <c r="F285" s="8"/>
      <c r="G285" s="10"/>
      <c r="H285" s="11"/>
      <c r="I285" s="143"/>
      <c r="J285" s="9"/>
      <c r="K285" s="143"/>
      <c r="L285" s="9"/>
      <c r="M285" s="8"/>
      <c r="N285" s="143"/>
      <c r="O285" s="9"/>
    </row>
    <row r="286" spans="1:15" outlineLevel="1" x14ac:dyDescent="0.15">
      <c r="A286" s="8"/>
      <c r="B286" s="8"/>
      <c r="C286" s="8"/>
      <c r="D286" s="8"/>
      <c r="E286" s="9"/>
      <c r="F286" s="8"/>
      <c r="G286" s="10"/>
      <c r="H286" s="11"/>
      <c r="I286" s="143"/>
      <c r="J286" s="9"/>
      <c r="K286" s="143"/>
      <c r="L286" s="9"/>
      <c r="M286" s="8"/>
      <c r="N286" s="143"/>
      <c r="O286" s="9"/>
    </row>
    <row r="287" spans="1:15" outlineLevel="1" x14ac:dyDescent="0.15">
      <c r="A287" s="8"/>
      <c r="B287" s="8"/>
      <c r="C287" s="8"/>
      <c r="D287" s="8"/>
      <c r="E287" s="9"/>
      <c r="F287" s="8"/>
      <c r="G287" s="10"/>
      <c r="H287" s="11"/>
      <c r="I287" s="143"/>
      <c r="J287" s="9"/>
      <c r="K287" s="143"/>
      <c r="L287" s="9"/>
      <c r="M287" s="8"/>
      <c r="N287" s="143"/>
      <c r="O287" s="9"/>
    </row>
    <row r="288" spans="1:15" outlineLevel="1" x14ac:dyDescent="0.15">
      <c r="A288" s="8"/>
      <c r="B288" s="8"/>
      <c r="C288" s="8"/>
      <c r="D288" s="8"/>
      <c r="E288" s="9"/>
      <c r="F288" s="8"/>
      <c r="G288" s="10"/>
      <c r="H288" s="11"/>
      <c r="I288" s="143"/>
      <c r="J288" s="9"/>
      <c r="K288" s="143"/>
      <c r="L288" s="9"/>
      <c r="M288" s="8"/>
      <c r="N288" s="143"/>
      <c r="O288" s="9"/>
    </row>
    <row r="289" spans="1:15" outlineLevel="1" x14ac:dyDescent="0.15">
      <c r="A289" s="8"/>
      <c r="B289" s="8"/>
      <c r="C289" s="8"/>
      <c r="D289" s="8"/>
      <c r="E289" s="9"/>
      <c r="F289" s="8"/>
      <c r="G289" s="10"/>
      <c r="H289" s="11"/>
      <c r="I289" s="143"/>
      <c r="J289" s="9"/>
      <c r="K289" s="143"/>
      <c r="L289" s="9"/>
      <c r="M289" s="8"/>
      <c r="N289" s="143"/>
      <c r="O289" s="9"/>
    </row>
    <row r="290" spans="1:15" outlineLevel="1" x14ac:dyDescent="0.15">
      <c r="A290" s="8"/>
      <c r="B290" s="8"/>
      <c r="C290" s="8"/>
      <c r="D290" s="8"/>
      <c r="E290" s="9"/>
      <c r="F290" s="8"/>
      <c r="G290" s="10"/>
      <c r="H290" s="11"/>
      <c r="I290" s="143"/>
      <c r="J290" s="9"/>
      <c r="K290" s="143"/>
      <c r="L290" s="9"/>
      <c r="M290" s="8"/>
      <c r="N290" s="143"/>
      <c r="O290" s="9"/>
    </row>
    <row r="291" spans="1:15" outlineLevel="1" x14ac:dyDescent="0.15">
      <c r="A291" s="8"/>
      <c r="B291" s="8"/>
      <c r="C291" s="8"/>
      <c r="D291" s="8"/>
      <c r="E291" s="9"/>
      <c r="F291" s="8"/>
      <c r="G291" s="10"/>
      <c r="H291" s="11"/>
      <c r="I291" s="143"/>
      <c r="J291" s="9"/>
      <c r="K291" s="143"/>
      <c r="L291" s="9"/>
      <c r="M291" s="8"/>
      <c r="N291" s="143"/>
      <c r="O291" s="9"/>
    </row>
    <row r="292" spans="1:15" outlineLevel="1" x14ac:dyDescent="0.15">
      <c r="A292" s="8"/>
      <c r="B292" s="8"/>
      <c r="C292" s="8"/>
      <c r="D292" s="8"/>
      <c r="E292" s="9"/>
      <c r="F292" s="8"/>
      <c r="G292" s="10"/>
      <c r="H292" s="11"/>
      <c r="I292" s="143"/>
      <c r="J292" s="9"/>
      <c r="K292" s="143"/>
      <c r="L292" s="9"/>
      <c r="M292" s="8"/>
      <c r="N292" s="143"/>
      <c r="O292" s="9"/>
    </row>
    <row r="293" spans="1:15" outlineLevel="1" x14ac:dyDescent="0.15">
      <c r="A293" s="8"/>
      <c r="B293" s="8"/>
      <c r="C293" s="8"/>
      <c r="D293" s="8"/>
      <c r="E293" s="9"/>
      <c r="F293" s="8"/>
      <c r="G293" s="10"/>
      <c r="H293" s="11"/>
      <c r="I293" s="143"/>
      <c r="J293" s="9"/>
      <c r="K293" s="143"/>
      <c r="L293" s="9"/>
      <c r="M293" s="8"/>
      <c r="N293" s="143"/>
      <c r="O293" s="9"/>
    </row>
    <row r="294" spans="1:15" outlineLevel="1" x14ac:dyDescent="0.15">
      <c r="A294" s="8"/>
      <c r="B294" s="8"/>
      <c r="C294" s="8"/>
      <c r="D294" s="8"/>
      <c r="E294" s="9"/>
      <c r="F294" s="8"/>
      <c r="G294" s="10"/>
      <c r="H294" s="11"/>
      <c r="I294" s="143"/>
      <c r="J294" s="9"/>
      <c r="K294" s="143"/>
      <c r="L294" s="9"/>
      <c r="M294" s="8"/>
      <c r="N294" s="143"/>
      <c r="O294" s="9"/>
    </row>
    <row r="295" spans="1:15" outlineLevel="1" x14ac:dyDescent="0.15">
      <c r="A295" s="8"/>
      <c r="B295" s="8"/>
      <c r="C295" s="8"/>
      <c r="D295" s="8"/>
      <c r="E295" s="9"/>
      <c r="F295" s="8"/>
      <c r="G295" s="10"/>
      <c r="H295" s="11"/>
      <c r="I295" s="143"/>
      <c r="J295" s="9"/>
      <c r="K295" s="143"/>
      <c r="L295" s="9"/>
      <c r="M295" s="8"/>
      <c r="N295" s="143"/>
      <c r="O295" s="9"/>
    </row>
    <row r="296" spans="1:15" outlineLevel="1" x14ac:dyDescent="0.15">
      <c r="A296" s="8"/>
      <c r="B296" s="8"/>
      <c r="C296" s="8"/>
      <c r="D296" s="8"/>
      <c r="E296" s="9"/>
      <c r="F296" s="8"/>
      <c r="G296" s="10"/>
      <c r="H296" s="11"/>
      <c r="I296" s="143"/>
      <c r="J296" s="9"/>
      <c r="K296" s="143"/>
      <c r="L296" s="9"/>
      <c r="M296" s="8"/>
      <c r="N296" s="143"/>
      <c r="O296" s="9"/>
    </row>
    <row r="297" spans="1:15" outlineLevel="1" x14ac:dyDescent="0.15">
      <c r="A297" s="8"/>
      <c r="B297" s="8"/>
      <c r="C297" s="8"/>
      <c r="D297" s="8"/>
      <c r="E297" s="9"/>
      <c r="F297" s="8"/>
      <c r="G297" s="10"/>
      <c r="H297" s="11"/>
      <c r="I297" s="143"/>
      <c r="J297" s="9"/>
      <c r="K297" s="143"/>
      <c r="L297" s="9"/>
      <c r="M297" s="8"/>
      <c r="N297" s="143"/>
      <c r="O297" s="9"/>
    </row>
    <row r="298" spans="1:15" outlineLevel="1" x14ac:dyDescent="0.15">
      <c r="A298" s="8"/>
      <c r="B298" s="8"/>
      <c r="C298" s="8"/>
      <c r="D298" s="8"/>
      <c r="E298" s="9"/>
      <c r="F298" s="8"/>
      <c r="G298" s="10"/>
      <c r="H298" s="11"/>
      <c r="I298" s="143"/>
      <c r="J298" s="9"/>
      <c r="K298" s="143"/>
      <c r="L298" s="9"/>
      <c r="M298" s="8"/>
      <c r="N298" s="143"/>
      <c r="O298" s="9"/>
    </row>
    <row r="299" spans="1:15" outlineLevel="1" x14ac:dyDescent="0.15">
      <c r="A299" s="8"/>
      <c r="B299" s="8"/>
      <c r="C299" s="8"/>
      <c r="D299" s="8"/>
      <c r="E299" s="9"/>
      <c r="F299" s="8"/>
      <c r="G299" s="10"/>
      <c r="H299" s="11"/>
      <c r="I299" s="143"/>
      <c r="J299" s="9"/>
      <c r="K299" s="143"/>
      <c r="L299" s="9"/>
      <c r="M299" s="8"/>
      <c r="N299" s="143"/>
      <c r="O299" s="9"/>
    </row>
    <row r="300" spans="1:15" outlineLevel="1" x14ac:dyDescent="0.15">
      <c r="A300" s="8"/>
      <c r="B300" s="8"/>
      <c r="C300" s="8"/>
      <c r="D300" s="8"/>
      <c r="E300" s="9"/>
      <c r="F300" s="8"/>
      <c r="G300" s="10"/>
      <c r="H300" s="11"/>
      <c r="I300" s="143"/>
      <c r="J300" s="9"/>
      <c r="K300" s="143"/>
      <c r="L300" s="9"/>
      <c r="M300" s="8"/>
      <c r="N300" s="143"/>
      <c r="O300" s="9"/>
    </row>
    <row r="301" spans="1:15" outlineLevel="1" x14ac:dyDescent="0.15">
      <c r="A301" s="8"/>
      <c r="B301" s="8"/>
      <c r="C301" s="8"/>
      <c r="D301" s="8"/>
      <c r="E301" s="9"/>
      <c r="F301" s="8"/>
      <c r="G301" s="10"/>
      <c r="H301" s="11"/>
      <c r="I301" s="143"/>
      <c r="J301" s="9"/>
      <c r="K301" s="143"/>
      <c r="L301" s="9"/>
      <c r="M301" s="8"/>
      <c r="N301" s="143"/>
      <c r="O301" s="9"/>
    </row>
    <row r="302" spans="1:15" outlineLevel="1" x14ac:dyDescent="0.15">
      <c r="A302" s="8"/>
      <c r="B302" s="8"/>
      <c r="C302" s="8"/>
      <c r="D302" s="8"/>
      <c r="E302" s="9"/>
      <c r="F302" s="8"/>
      <c r="G302" s="10"/>
      <c r="H302" s="11"/>
      <c r="I302" s="143"/>
      <c r="J302" s="9"/>
      <c r="K302" s="143"/>
      <c r="L302" s="9"/>
      <c r="M302" s="8"/>
      <c r="N302" s="143"/>
      <c r="O302" s="9"/>
    </row>
    <row r="303" spans="1:15" x14ac:dyDescent="0.15">
      <c r="A303" s="8"/>
      <c r="B303" s="8"/>
      <c r="C303" s="8"/>
      <c r="D303" s="8"/>
      <c r="E303" s="9"/>
      <c r="F303" s="8"/>
      <c r="G303" s="10"/>
      <c r="H303" s="11"/>
      <c r="I303" s="143"/>
      <c r="J303" s="9"/>
      <c r="K303" s="143"/>
      <c r="L303" s="9"/>
      <c r="M303" s="8"/>
      <c r="N303" s="143"/>
      <c r="O303" s="9"/>
    </row>
    <row r="304" spans="1:15" x14ac:dyDescent="0.15">
      <c r="A304" s="8"/>
      <c r="B304" s="8"/>
      <c r="C304" s="8"/>
      <c r="D304" s="8"/>
      <c r="E304" s="9"/>
      <c r="F304" s="8"/>
      <c r="G304" s="10"/>
      <c r="H304" s="11"/>
      <c r="I304" s="143"/>
      <c r="J304" s="9"/>
      <c r="K304" s="143"/>
      <c r="L304" s="9"/>
      <c r="M304" s="8"/>
      <c r="N304" s="143"/>
      <c r="O304" s="9"/>
    </row>
    <row r="305" spans="1:15" x14ac:dyDescent="0.15">
      <c r="A305" s="8"/>
      <c r="B305" s="8"/>
      <c r="C305" s="8"/>
      <c r="D305" s="8"/>
      <c r="E305" s="9"/>
      <c r="F305" s="8"/>
      <c r="G305" s="10"/>
      <c r="H305" s="11"/>
      <c r="I305" s="143"/>
      <c r="J305" s="9"/>
      <c r="K305" s="143"/>
      <c r="L305" s="9"/>
      <c r="M305" s="8"/>
      <c r="N305" s="143"/>
      <c r="O305" s="9"/>
    </row>
    <row r="306" spans="1:15" x14ac:dyDescent="0.15">
      <c r="A306" s="8"/>
      <c r="B306" s="8"/>
      <c r="C306" s="8"/>
      <c r="D306" s="8"/>
      <c r="E306" s="9"/>
      <c r="F306" s="8"/>
      <c r="G306" s="10"/>
      <c r="H306" s="11"/>
      <c r="I306" s="143"/>
      <c r="J306" s="9"/>
      <c r="K306" s="143"/>
      <c r="L306" s="9"/>
      <c r="M306" s="8"/>
      <c r="N306" s="143"/>
      <c r="O306" s="9"/>
    </row>
    <row r="307" spans="1:15" x14ac:dyDescent="0.15">
      <c r="A307" s="8"/>
      <c r="B307" s="8"/>
      <c r="C307" s="8"/>
      <c r="D307" s="8"/>
      <c r="E307" s="9"/>
      <c r="F307" s="8"/>
      <c r="G307" s="10"/>
      <c r="H307" s="11"/>
      <c r="I307" s="143"/>
      <c r="J307" s="9"/>
      <c r="K307" s="143"/>
      <c r="L307" s="9"/>
      <c r="M307" s="8"/>
      <c r="N307" s="143"/>
      <c r="O307" s="9"/>
    </row>
    <row r="308" spans="1:15" x14ac:dyDescent="0.15">
      <c r="A308" s="8"/>
      <c r="B308" s="8"/>
      <c r="C308" s="8"/>
      <c r="D308" s="8"/>
      <c r="E308" s="9"/>
      <c r="F308" s="8"/>
      <c r="G308" s="10"/>
      <c r="H308" s="11"/>
      <c r="I308" s="143"/>
      <c r="J308" s="9"/>
      <c r="K308" s="143"/>
      <c r="L308" s="9"/>
      <c r="M308" s="8"/>
      <c r="N308" s="143"/>
      <c r="O308" s="9"/>
    </row>
    <row r="309" spans="1:15" x14ac:dyDescent="0.15">
      <c r="A309" s="8"/>
      <c r="B309" s="8"/>
      <c r="C309" s="8"/>
      <c r="D309" s="8"/>
      <c r="E309" s="9"/>
      <c r="F309" s="8"/>
      <c r="G309" s="10"/>
      <c r="H309" s="11"/>
      <c r="I309" s="143"/>
      <c r="J309" s="9"/>
      <c r="K309" s="143"/>
      <c r="L309" s="9"/>
      <c r="M309" s="8"/>
      <c r="N309" s="143"/>
      <c r="O309" s="9"/>
    </row>
    <row r="310" spans="1:15" x14ac:dyDescent="0.15">
      <c r="A310" s="8"/>
      <c r="B310" s="8"/>
      <c r="C310" s="8"/>
      <c r="D310" s="8"/>
      <c r="E310" s="9"/>
      <c r="F310" s="8"/>
      <c r="G310" s="10"/>
      <c r="H310" s="11"/>
      <c r="I310" s="143"/>
      <c r="J310" s="9"/>
      <c r="K310" s="143"/>
      <c r="L310" s="9"/>
      <c r="M310" s="8"/>
      <c r="N310" s="143"/>
      <c r="O310" s="9"/>
    </row>
    <row r="311" spans="1:15" x14ac:dyDescent="0.15">
      <c r="A311" s="8"/>
      <c r="B311" s="8"/>
      <c r="C311" s="8"/>
      <c r="D311" s="8"/>
      <c r="E311" s="9"/>
      <c r="F311" s="8"/>
      <c r="G311" s="10"/>
      <c r="H311" s="11"/>
      <c r="I311" s="143"/>
      <c r="J311" s="9"/>
      <c r="K311" s="143"/>
      <c r="L311" s="9"/>
      <c r="M311" s="8"/>
      <c r="N311" s="143"/>
      <c r="O311" s="9"/>
    </row>
    <row r="312" spans="1:15" x14ac:dyDescent="0.15">
      <c r="A312" s="8"/>
      <c r="B312" s="8"/>
      <c r="C312" s="8"/>
      <c r="D312" s="8"/>
      <c r="E312" s="9"/>
      <c r="F312" s="8"/>
      <c r="G312" s="10"/>
      <c r="H312" s="11"/>
      <c r="I312" s="143"/>
      <c r="J312" s="9"/>
      <c r="K312" s="143"/>
      <c r="L312" s="9"/>
      <c r="M312" s="8"/>
      <c r="N312" s="143"/>
      <c r="O312" s="9"/>
    </row>
    <row r="313" spans="1:15" x14ac:dyDescent="0.15">
      <c r="A313" s="8"/>
      <c r="B313" s="8"/>
      <c r="C313" s="8"/>
      <c r="D313" s="8"/>
      <c r="E313" s="9"/>
      <c r="F313" s="8"/>
      <c r="G313" s="10"/>
      <c r="H313" s="11"/>
      <c r="I313" s="143"/>
      <c r="J313" s="9"/>
      <c r="K313" s="143"/>
      <c r="L313" s="9"/>
      <c r="M313" s="8"/>
      <c r="N313" s="143"/>
      <c r="O313" s="9"/>
    </row>
    <row r="314" spans="1:15" x14ac:dyDescent="0.15">
      <c r="A314" s="8"/>
      <c r="B314" s="8"/>
      <c r="C314" s="8"/>
      <c r="D314" s="8"/>
      <c r="E314" s="9"/>
      <c r="F314" s="8"/>
      <c r="G314" s="10"/>
      <c r="H314" s="11"/>
      <c r="I314" s="143"/>
      <c r="J314" s="9"/>
      <c r="K314" s="143"/>
      <c r="L314" s="9"/>
      <c r="M314" s="8"/>
      <c r="N314" s="143"/>
      <c r="O314" s="9"/>
    </row>
    <row r="315" spans="1:15" x14ac:dyDescent="0.15">
      <c r="A315" s="8"/>
      <c r="B315" s="8"/>
      <c r="C315" s="8"/>
      <c r="D315" s="8"/>
      <c r="E315" s="9"/>
      <c r="F315" s="8"/>
      <c r="G315" s="10"/>
      <c r="H315" s="11"/>
      <c r="I315" s="143"/>
      <c r="J315" s="9"/>
      <c r="K315" s="143"/>
      <c r="L315" s="9"/>
      <c r="M315" s="8"/>
      <c r="N315" s="143"/>
      <c r="O315" s="9"/>
    </row>
    <row r="316" spans="1:15" x14ac:dyDescent="0.15">
      <c r="A316" s="8"/>
      <c r="B316" s="8"/>
      <c r="C316" s="8"/>
      <c r="D316" s="8"/>
      <c r="E316" s="9"/>
      <c r="F316" s="8"/>
      <c r="G316" s="10"/>
      <c r="H316" s="11"/>
      <c r="I316" s="143"/>
      <c r="J316" s="9"/>
      <c r="K316" s="143"/>
      <c r="L316" s="9"/>
      <c r="M316" s="8"/>
      <c r="N316" s="143"/>
      <c r="O316" s="9"/>
    </row>
    <row r="317" spans="1:15" x14ac:dyDescent="0.15">
      <c r="A317" s="8"/>
      <c r="B317" s="8"/>
      <c r="C317" s="8"/>
      <c r="D317" s="8"/>
      <c r="E317" s="9"/>
      <c r="F317" s="8"/>
      <c r="G317" s="10"/>
      <c r="H317" s="11"/>
      <c r="I317" s="143"/>
      <c r="J317" s="9"/>
      <c r="K317" s="143"/>
      <c r="L317" s="9"/>
      <c r="M317" s="8"/>
      <c r="N317" s="143"/>
      <c r="O317" s="9"/>
    </row>
    <row r="318" spans="1:15" x14ac:dyDescent="0.15">
      <c r="A318" s="8"/>
      <c r="B318" s="8"/>
      <c r="C318" s="8"/>
      <c r="D318" s="8"/>
      <c r="E318" s="9"/>
      <c r="F318" s="8"/>
      <c r="G318" s="10"/>
      <c r="H318" s="11"/>
      <c r="I318" s="143"/>
      <c r="J318" s="9"/>
      <c r="K318" s="143"/>
      <c r="L318" s="9"/>
      <c r="M318" s="8"/>
      <c r="N318" s="143"/>
      <c r="O318" s="9"/>
    </row>
    <row r="319" spans="1:15" x14ac:dyDescent="0.15">
      <c r="A319" s="8"/>
      <c r="B319" s="8"/>
      <c r="C319" s="8"/>
      <c r="D319" s="8"/>
      <c r="E319" s="9"/>
      <c r="F319" s="8"/>
      <c r="G319" s="10"/>
      <c r="H319" s="11"/>
      <c r="I319" s="143"/>
      <c r="J319" s="9"/>
      <c r="K319" s="143"/>
      <c r="L319" s="9"/>
      <c r="M319" s="8"/>
      <c r="N319" s="143"/>
      <c r="O319" s="9"/>
    </row>
    <row r="320" spans="1:15" x14ac:dyDescent="0.15">
      <c r="A320" s="8"/>
      <c r="B320" s="8"/>
      <c r="C320" s="8"/>
      <c r="D320" s="8"/>
      <c r="E320" s="9"/>
      <c r="F320" s="8"/>
      <c r="G320" s="10"/>
      <c r="H320" s="11"/>
      <c r="I320" s="143"/>
      <c r="J320" s="9"/>
      <c r="K320" s="143"/>
      <c r="L320" s="9"/>
      <c r="M320" s="8"/>
      <c r="N320" s="143"/>
      <c r="O320" s="9"/>
    </row>
    <row r="321" spans="1:15" x14ac:dyDescent="0.15">
      <c r="A321" s="8"/>
      <c r="B321" s="8"/>
      <c r="C321" s="8"/>
      <c r="D321" s="8"/>
      <c r="E321" s="9"/>
      <c r="F321" s="8"/>
      <c r="G321" s="10"/>
      <c r="H321" s="11"/>
      <c r="I321" s="143"/>
      <c r="J321" s="9"/>
      <c r="K321" s="143"/>
      <c r="L321" s="9"/>
      <c r="M321" s="8"/>
      <c r="N321" s="143"/>
      <c r="O321" s="9"/>
    </row>
    <row r="322" spans="1:15" x14ac:dyDescent="0.15">
      <c r="A322" s="8"/>
      <c r="B322" s="8"/>
      <c r="C322" s="8"/>
      <c r="D322" s="8"/>
      <c r="E322" s="9"/>
      <c r="F322" s="8"/>
      <c r="G322" s="10"/>
      <c r="H322" s="11"/>
      <c r="I322" s="143"/>
      <c r="J322" s="9"/>
      <c r="K322" s="143"/>
      <c r="L322" s="9"/>
      <c r="M322" s="8"/>
      <c r="N322" s="143"/>
      <c r="O322" s="9"/>
    </row>
    <row r="323" spans="1:15" x14ac:dyDescent="0.15">
      <c r="A323" s="8"/>
      <c r="B323" s="8"/>
      <c r="C323" s="8"/>
      <c r="D323" s="8"/>
      <c r="E323" s="9"/>
      <c r="F323" s="8"/>
      <c r="G323" s="10"/>
      <c r="H323" s="11"/>
      <c r="I323" s="143"/>
      <c r="J323" s="9"/>
      <c r="K323" s="143"/>
      <c r="L323" s="9"/>
      <c r="M323" s="8"/>
      <c r="N323" s="143"/>
      <c r="O323" s="9"/>
    </row>
    <row r="324" spans="1:15" x14ac:dyDescent="0.15">
      <c r="A324" s="8"/>
      <c r="B324" s="8"/>
      <c r="C324" s="8"/>
      <c r="D324" s="8"/>
      <c r="E324" s="9"/>
      <c r="F324" s="8"/>
      <c r="G324" s="10"/>
      <c r="H324" s="11"/>
      <c r="I324" s="143"/>
      <c r="J324" s="9"/>
      <c r="K324" s="143"/>
      <c r="L324" s="9"/>
      <c r="M324" s="8"/>
      <c r="N324" s="143"/>
      <c r="O324" s="9"/>
    </row>
    <row r="325" spans="1:15" x14ac:dyDescent="0.15">
      <c r="A325" s="8"/>
      <c r="B325" s="8"/>
      <c r="C325" s="8"/>
      <c r="D325" s="8"/>
      <c r="E325" s="9"/>
      <c r="F325" s="8"/>
      <c r="G325" s="10"/>
      <c r="H325" s="11"/>
      <c r="I325" s="143"/>
      <c r="J325" s="9"/>
      <c r="K325" s="143"/>
      <c r="L325" s="9"/>
      <c r="M325" s="8"/>
      <c r="N325" s="143"/>
      <c r="O325" s="9"/>
    </row>
    <row r="326" spans="1:15" x14ac:dyDescent="0.15">
      <c r="A326" s="8"/>
      <c r="B326" s="8"/>
      <c r="C326" s="8"/>
      <c r="D326" s="8"/>
      <c r="E326" s="9"/>
      <c r="F326" s="8"/>
      <c r="G326" s="10"/>
      <c r="H326" s="11"/>
      <c r="I326" s="143"/>
      <c r="J326" s="9"/>
      <c r="K326" s="143"/>
      <c r="L326" s="9"/>
      <c r="M326" s="8"/>
      <c r="N326" s="143"/>
      <c r="O326" s="9"/>
    </row>
    <row r="327" spans="1:15" x14ac:dyDescent="0.15">
      <c r="A327" s="8"/>
      <c r="B327" s="8"/>
      <c r="C327" s="8"/>
      <c r="D327" s="8"/>
      <c r="E327" s="9"/>
      <c r="F327" s="8"/>
      <c r="G327" s="10"/>
      <c r="H327" s="11"/>
      <c r="I327" s="143"/>
      <c r="J327" s="9"/>
      <c r="K327" s="143"/>
      <c r="L327" s="9"/>
      <c r="M327" s="8"/>
      <c r="N327" s="143"/>
      <c r="O327" s="9"/>
    </row>
    <row r="328" spans="1:15" x14ac:dyDescent="0.15">
      <c r="A328" s="8"/>
      <c r="B328" s="8"/>
      <c r="C328" s="8"/>
      <c r="D328" s="8"/>
      <c r="E328" s="9"/>
      <c r="F328" s="8"/>
      <c r="G328" s="10"/>
      <c r="H328" s="11"/>
      <c r="I328" s="143"/>
      <c r="J328" s="9"/>
      <c r="K328" s="143"/>
      <c r="L328" s="9"/>
      <c r="M328" s="8"/>
      <c r="N328" s="143"/>
      <c r="O328" s="9"/>
    </row>
    <row r="329" spans="1:15" x14ac:dyDescent="0.15">
      <c r="A329" s="8"/>
      <c r="B329" s="8"/>
      <c r="C329" s="8"/>
      <c r="D329" s="8"/>
      <c r="E329" s="9"/>
      <c r="F329" s="8"/>
      <c r="G329" s="10"/>
      <c r="H329" s="11"/>
      <c r="I329" s="143"/>
      <c r="J329" s="9"/>
      <c r="K329" s="143"/>
      <c r="L329" s="9"/>
      <c r="M329" s="8"/>
      <c r="N329" s="143"/>
      <c r="O329" s="9"/>
    </row>
    <row r="330" spans="1:15" x14ac:dyDescent="0.15">
      <c r="A330" s="8"/>
      <c r="B330" s="8"/>
      <c r="C330" s="8"/>
      <c r="D330" s="8"/>
      <c r="E330" s="9"/>
      <c r="F330" s="8"/>
      <c r="G330" s="10"/>
      <c r="H330" s="11"/>
      <c r="I330" s="143"/>
      <c r="J330" s="9"/>
      <c r="K330" s="143"/>
      <c r="L330" s="9"/>
      <c r="M330" s="8"/>
      <c r="N330" s="143"/>
      <c r="O330" s="9"/>
    </row>
    <row r="331" spans="1:15" x14ac:dyDescent="0.15">
      <c r="A331" s="8"/>
      <c r="B331" s="8"/>
      <c r="C331" s="8"/>
      <c r="D331" s="8"/>
      <c r="E331" s="9"/>
      <c r="F331" s="8"/>
      <c r="G331" s="10"/>
      <c r="H331" s="11"/>
      <c r="I331" s="143"/>
      <c r="J331" s="9"/>
      <c r="K331" s="143"/>
      <c r="L331" s="9"/>
      <c r="M331" s="8"/>
      <c r="N331" s="143"/>
      <c r="O331" s="9"/>
    </row>
    <row r="332" spans="1:15" x14ac:dyDescent="0.15">
      <c r="A332" s="8"/>
      <c r="B332" s="8"/>
      <c r="C332" s="8"/>
      <c r="D332" s="8"/>
      <c r="E332" s="9"/>
      <c r="F332" s="8"/>
      <c r="G332" s="10"/>
      <c r="H332" s="11"/>
      <c r="I332" s="143"/>
      <c r="J332" s="9"/>
      <c r="K332" s="143"/>
      <c r="L332" s="9"/>
      <c r="M332" s="8"/>
      <c r="N332" s="143"/>
      <c r="O332" s="9"/>
    </row>
    <row r="333" spans="1:15" x14ac:dyDescent="0.15">
      <c r="A333" s="8"/>
      <c r="B333" s="8"/>
      <c r="C333" s="8"/>
      <c r="D333" s="8"/>
      <c r="E333" s="9"/>
      <c r="F333" s="8"/>
      <c r="G333" s="10"/>
      <c r="H333" s="11"/>
      <c r="I333" s="143"/>
      <c r="J333" s="9"/>
      <c r="K333" s="143"/>
      <c r="L333" s="9"/>
      <c r="M333" s="8"/>
      <c r="N333" s="143"/>
      <c r="O333" s="9"/>
    </row>
    <row r="334" spans="1:15" x14ac:dyDescent="0.15">
      <c r="A334" s="8"/>
      <c r="B334" s="8"/>
      <c r="C334" s="8"/>
      <c r="D334" s="8"/>
      <c r="E334" s="9"/>
      <c r="F334" s="8"/>
      <c r="G334" s="10"/>
      <c r="H334" s="11"/>
      <c r="I334" s="143"/>
      <c r="J334" s="9"/>
      <c r="K334" s="143"/>
      <c r="L334" s="9"/>
      <c r="M334" s="8"/>
      <c r="N334" s="143"/>
      <c r="O334" s="9"/>
    </row>
    <row r="335" spans="1:15" x14ac:dyDescent="0.15">
      <c r="A335" s="8"/>
      <c r="B335" s="8"/>
      <c r="C335" s="8"/>
      <c r="D335" s="8"/>
      <c r="E335" s="9"/>
      <c r="F335" s="8"/>
      <c r="G335" s="10"/>
      <c r="H335" s="11"/>
      <c r="I335" s="143"/>
      <c r="J335" s="9"/>
      <c r="K335" s="143"/>
      <c r="L335" s="9"/>
      <c r="M335" s="8"/>
      <c r="N335" s="143"/>
      <c r="O335" s="9"/>
    </row>
    <row r="336" spans="1:15" x14ac:dyDescent="0.15">
      <c r="A336" s="8"/>
      <c r="B336" s="8"/>
      <c r="C336" s="8"/>
      <c r="D336" s="8"/>
      <c r="E336" s="9"/>
      <c r="F336" s="8"/>
      <c r="G336" s="10"/>
      <c r="H336" s="11"/>
      <c r="I336" s="143"/>
      <c r="J336" s="9"/>
      <c r="K336" s="143"/>
      <c r="L336" s="9"/>
      <c r="M336" s="8"/>
      <c r="N336" s="143"/>
      <c r="O336" s="9"/>
    </row>
    <row r="337" spans="1:15" x14ac:dyDescent="0.15">
      <c r="A337" s="8"/>
      <c r="B337" s="8"/>
      <c r="C337" s="8"/>
      <c r="D337" s="8"/>
      <c r="E337" s="9"/>
      <c r="F337" s="8"/>
      <c r="G337" s="10"/>
      <c r="H337" s="11"/>
      <c r="I337" s="143"/>
      <c r="J337" s="9"/>
      <c r="K337" s="143"/>
      <c r="L337" s="9"/>
      <c r="M337" s="8"/>
      <c r="N337" s="143"/>
      <c r="O337" s="9"/>
    </row>
    <row r="338" spans="1:15" x14ac:dyDescent="0.15">
      <c r="A338" s="8"/>
      <c r="B338" s="8"/>
      <c r="C338" s="8"/>
      <c r="D338" s="8"/>
      <c r="E338" s="9"/>
      <c r="F338" s="8"/>
      <c r="G338" s="10"/>
      <c r="H338" s="11"/>
      <c r="I338" s="143"/>
      <c r="J338" s="9"/>
      <c r="K338" s="143"/>
      <c r="L338" s="9"/>
      <c r="M338" s="8"/>
      <c r="N338" s="143"/>
      <c r="O338" s="9"/>
    </row>
    <row r="339" spans="1:15" x14ac:dyDescent="0.15">
      <c r="A339" s="8"/>
      <c r="B339" s="8"/>
      <c r="C339" s="8"/>
      <c r="D339" s="8"/>
      <c r="E339" s="9"/>
      <c r="F339" s="8"/>
      <c r="G339" s="10"/>
      <c r="H339" s="11"/>
      <c r="I339" s="143"/>
      <c r="J339" s="9"/>
      <c r="K339" s="143"/>
      <c r="L339" s="9"/>
      <c r="M339" s="8"/>
      <c r="N339" s="143"/>
      <c r="O339" s="9"/>
    </row>
    <row r="340" spans="1:15" x14ac:dyDescent="0.15">
      <c r="A340" s="8"/>
      <c r="B340" s="8"/>
      <c r="C340" s="8"/>
      <c r="D340" s="8"/>
      <c r="E340" s="9"/>
      <c r="F340" s="8"/>
      <c r="G340" s="10"/>
      <c r="H340" s="11"/>
      <c r="I340" s="143"/>
      <c r="J340" s="9"/>
      <c r="K340" s="143"/>
      <c r="L340" s="9"/>
      <c r="M340" s="8"/>
      <c r="N340" s="143"/>
      <c r="O340" s="9"/>
    </row>
    <row r="341" spans="1:15" x14ac:dyDescent="0.15">
      <c r="A341" s="8"/>
      <c r="B341" s="8"/>
      <c r="C341" s="8"/>
      <c r="D341" s="8"/>
      <c r="E341" s="9"/>
      <c r="F341" s="8"/>
      <c r="G341" s="10"/>
      <c r="H341" s="11"/>
      <c r="I341" s="143"/>
      <c r="J341" s="9"/>
      <c r="K341" s="143"/>
      <c r="L341" s="9"/>
      <c r="M341" s="8"/>
      <c r="N341" s="143"/>
      <c r="O341" s="9"/>
    </row>
    <row r="342" spans="1:15" x14ac:dyDescent="0.15">
      <c r="A342" s="8"/>
      <c r="B342" s="8"/>
      <c r="C342" s="8"/>
      <c r="D342" s="8"/>
      <c r="E342" s="9"/>
      <c r="F342" s="8"/>
      <c r="G342" s="10"/>
      <c r="H342" s="11"/>
      <c r="I342" s="143"/>
      <c r="J342" s="9"/>
      <c r="K342" s="143"/>
      <c r="L342" s="9"/>
      <c r="M342" s="8"/>
      <c r="N342" s="143"/>
      <c r="O342" s="9"/>
    </row>
    <row r="343" spans="1:15" x14ac:dyDescent="0.15">
      <c r="A343" s="8"/>
      <c r="B343" s="8"/>
      <c r="C343" s="8"/>
      <c r="D343" s="8"/>
      <c r="E343" s="9"/>
      <c r="F343" s="8"/>
      <c r="G343" s="10"/>
      <c r="H343" s="11"/>
      <c r="I343" s="143"/>
      <c r="J343" s="9"/>
      <c r="K343" s="143"/>
      <c r="L343" s="9"/>
      <c r="M343" s="8"/>
      <c r="N343" s="143"/>
      <c r="O343" s="9"/>
    </row>
    <row r="344" spans="1:15" x14ac:dyDescent="0.15">
      <c r="A344" s="8"/>
      <c r="B344" s="8"/>
      <c r="C344" s="8"/>
      <c r="D344" s="8"/>
      <c r="E344" s="9"/>
      <c r="F344" s="8"/>
      <c r="G344" s="10"/>
      <c r="H344" s="11"/>
      <c r="I344" s="143"/>
      <c r="J344" s="9"/>
      <c r="K344" s="143"/>
      <c r="L344" s="9"/>
      <c r="M344" s="8"/>
      <c r="N344" s="143"/>
      <c r="O344" s="9"/>
    </row>
    <row r="345" spans="1:15" x14ac:dyDescent="0.15">
      <c r="A345" s="8"/>
      <c r="B345" s="8"/>
      <c r="C345" s="8"/>
      <c r="D345" s="8"/>
      <c r="E345" s="9"/>
      <c r="F345" s="8"/>
      <c r="G345" s="10"/>
      <c r="H345" s="11"/>
      <c r="I345" s="143"/>
      <c r="J345" s="9"/>
      <c r="K345" s="143"/>
      <c r="L345" s="9"/>
      <c r="M345" s="8"/>
      <c r="N345" s="143"/>
      <c r="O345" s="9"/>
    </row>
    <row r="346" spans="1:15" x14ac:dyDescent="0.15">
      <c r="A346" s="8"/>
      <c r="B346" s="8"/>
      <c r="C346" s="8"/>
      <c r="D346" s="8"/>
      <c r="E346" s="9"/>
      <c r="F346" s="8"/>
      <c r="G346" s="10"/>
      <c r="H346" s="11"/>
      <c r="I346" s="143"/>
      <c r="J346" s="9"/>
      <c r="K346" s="143"/>
      <c r="L346" s="9"/>
      <c r="M346" s="8"/>
      <c r="N346" s="143"/>
      <c r="O346" s="9"/>
    </row>
    <row r="347" spans="1:15" x14ac:dyDescent="0.15">
      <c r="A347" s="8"/>
      <c r="B347" s="8"/>
      <c r="C347" s="8"/>
      <c r="D347" s="8"/>
      <c r="E347" s="9"/>
      <c r="F347" s="8"/>
      <c r="G347" s="10"/>
      <c r="H347" s="11"/>
      <c r="I347" s="143"/>
      <c r="J347" s="9"/>
      <c r="K347" s="143"/>
      <c r="L347" s="9"/>
      <c r="M347" s="8"/>
      <c r="N347" s="143"/>
      <c r="O347" s="9"/>
    </row>
    <row r="348" spans="1:15" x14ac:dyDescent="0.15">
      <c r="A348" s="8"/>
      <c r="B348" s="8"/>
      <c r="C348" s="8"/>
      <c r="D348" s="8"/>
      <c r="E348" s="9"/>
      <c r="F348" s="8"/>
      <c r="G348" s="10"/>
      <c r="H348" s="11"/>
      <c r="I348" s="143"/>
      <c r="J348" s="9"/>
      <c r="K348" s="143"/>
      <c r="L348" s="9"/>
      <c r="M348" s="8"/>
      <c r="N348" s="143"/>
      <c r="O348" s="9"/>
    </row>
    <row r="349" spans="1:15" x14ac:dyDescent="0.15">
      <c r="A349" s="8"/>
      <c r="B349" s="8"/>
      <c r="C349" s="8"/>
      <c r="D349" s="8"/>
      <c r="E349" s="9"/>
      <c r="F349" s="8"/>
      <c r="G349" s="10"/>
      <c r="H349" s="11"/>
      <c r="I349" s="143"/>
      <c r="J349" s="9"/>
      <c r="K349" s="143"/>
      <c r="L349" s="9"/>
      <c r="M349" s="8"/>
      <c r="N349" s="143"/>
      <c r="O349" s="9"/>
    </row>
    <row r="350" spans="1:15" x14ac:dyDescent="0.15">
      <c r="A350" s="8"/>
      <c r="B350" s="8"/>
      <c r="C350" s="8"/>
      <c r="D350" s="8"/>
      <c r="E350" s="9"/>
      <c r="F350" s="8"/>
      <c r="G350" s="10"/>
      <c r="H350" s="11"/>
      <c r="I350" s="143"/>
      <c r="J350" s="9"/>
      <c r="K350" s="143"/>
      <c r="L350" s="9"/>
      <c r="M350" s="8"/>
      <c r="N350" s="143"/>
      <c r="O350" s="9"/>
    </row>
    <row r="351" spans="1:15" x14ac:dyDescent="0.15">
      <c r="A351" s="8"/>
      <c r="B351" s="8"/>
      <c r="C351" s="8"/>
      <c r="D351" s="8"/>
      <c r="E351" s="9"/>
      <c r="F351" s="8"/>
      <c r="G351" s="10"/>
      <c r="H351" s="11"/>
      <c r="I351" s="143"/>
      <c r="J351" s="9"/>
      <c r="K351" s="143"/>
      <c r="L351" s="9"/>
      <c r="M351" s="8"/>
      <c r="N351" s="143"/>
      <c r="O351" s="9"/>
    </row>
    <row r="352" spans="1:15" x14ac:dyDescent="0.15">
      <c r="A352" s="8"/>
      <c r="B352" s="8"/>
      <c r="C352" s="8"/>
      <c r="D352" s="8"/>
      <c r="E352" s="9"/>
      <c r="F352" s="8"/>
      <c r="G352" s="10"/>
      <c r="H352" s="11"/>
      <c r="I352" s="143"/>
      <c r="J352" s="9"/>
      <c r="K352" s="143"/>
      <c r="L352" s="9"/>
      <c r="M352" s="8"/>
      <c r="N352" s="143"/>
      <c r="O352" s="9"/>
    </row>
    <row r="353" spans="1:15" x14ac:dyDescent="0.15">
      <c r="A353" s="8"/>
      <c r="B353" s="8"/>
      <c r="C353" s="8"/>
      <c r="D353" s="8"/>
      <c r="E353" s="9"/>
      <c r="F353" s="8"/>
      <c r="G353" s="10"/>
      <c r="H353" s="11"/>
      <c r="I353" s="143"/>
      <c r="J353" s="9"/>
      <c r="K353" s="143"/>
      <c r="L353" s="9"/>
      <c r="M353" s="8"/>
      <c r="N353" s="143"/>
      <c r="O353" s="9"/>
    </row>
    <row r="354" spans="1:15" x14ac:dyDescent="0.15">
      <c r="A354" s="8"/>
      <c r="B354" s="8"/>
      <c r="C354" s="8"/>
      <c r="D354" s="8"/>
      <c r="E354" s="9"/>
      <c r="F354" s="8"/>
      <c r="G354" s="10"/>
      <c r="H354" s="11"/>
      <c r="I354" s="143"/>
      <c r="J354" s="9"/>
      <c r="K354" s="143"/>
      <c r="L354" s="9"/>
      <c r="M354" s="8"/>
      <c r="N354" s="143"/>
      <c r="O354" s="9"/>
    </row>
    <row r="355" spans="1:15" x14ac:dyDescent="0.15">
      <c r="A355" s="8"/>
      <c r="B355" s="8"/>
      <c r="C355" s="8"/>
      <c r="D355" s="8"/>
      <c r="E355" s="9"/>
      <c r="F355" s="8"/>
      <c r="G355" s="10"/>
      <c r="H355" s="11"/>
      <c r="I355" s="143"/>
      <c r="J355" s="9"/>
      <c r="K355" s="143"/>
      <c r="L355" s="9"/>
      <c r="M355" s="8"/>
      <c r="N355" s="143"/>
      <c r="O355" s="9"/>
    </row>
    <row r="356" spans="1:15" x14ac:dyDescent="0.15">
      <c r="A356" s="8"/>
      <c r="B356" s="8"/>
      <c r="C356" s="8"/>
      <c r="D356" s="8"/>
      <c r="E356" s="9"/>
      <c r="F356" s="8"/>
      <c r="G356" s="10"/>
      <c r="H356" s="11"/>
      <c r="I356" s="143"/>
      <c r="J356" s="9"/>
      <c r="K356" s="143"/>
      <c r="L356" s="9"/>
      <c r="M356" s="8"/>
      <c r="N356" s="143"/>
      <c r="O356" s="9"/>
    </row>
    <row r="357" spans="1:15" x14ac:dyDescent="0.15">
      <c r="A357" s="8"/>
      <c r="B357" s="8"/>
      <c r="C357" s="8"/>
      <c r="D357" s="8"/>
      <c r="E357" s="9"/>
      <c r="F357" s="8"/>
      <c r="G357" s="10"/>
      <c r="H357" s="11"/>
      <c r="I357" s="143"/>
      <c r="J357" s="9"/>
      <c r="K357" s="143"/>
      <c r="L357" s="9"/>
      <c r="M357" s="8"/>
      <c r="N357" s="143"/>
      <c r="O357" s="9"/>
    </row>
    <row r="358" spans="1:15" x14ac:dyDescent="0.15">
      <c r="A358" s="8"/>
      <c r="B358" s="8"/>
      <c r="C358" s="8"/>
      <c r="D358" s="8"/>
      <c r="E358" s="9"/>
      <c r="F358" s="8"/>
      <c r="G358" s="10"/>
      <c r="H358" s="11"/>
      <c r="I358" s="143"/>
      <c r="J358" s="9"/>
      <c r="K358" s="143"/>
      <c r="L358" s="9"/>
      <c r="M358" s="8"/>
      <c r="N358" s="143"/>
      <c r="O358" s="9"/>
    </row>
    <row r="359" spans="1:15" x14ac:dyDescent="0.15">
      <c r="A359" s="8"/>
      <c r="B359" s="8"/>
      <c r="C359" s="8"/>
      <c r="D359" s="8"/>
      <c r="E359" s="9"/>
      <c r="F359" s="8"/>
      <c r="G359" s="10"/>
      <c r="H359" s="11"/>
      <c r="I359" s="143"/>
      <c r="J359" s="9"/>
      <c r="K359" s="143"/>
      <c r="L359" s="9"/>
      <c r="M359" s="8"/>
      <c r="N359" s="143"/>
      <c r="O359" s="9"/>
    </row>
    <row r="360" spans="1:15" x14ac:dyDescent="0.15">
      <c r="A360" s="8"/>
      <c r="B360" s="8"/>
      <c r="C360" s="8"/>
      <c r="D360" s="8"/>
      <c r="E360" s="9"/>
      <c r="F360" s="8"/>
      <c r="G360" s="10"/>
      <c r="H360" s="11"/>
      <c r="I360" s="143"/>
      <c r="J360" s="9"/>
      <c r="K360" s="143"/>
      <c r="L360" s="9"/>
      <c r="M360" s="8"/>
      <c r="N360" s="143"/>
      <c r="O360" s="9"/>
    </row>
    <row r="361" spans="1:15" x14ac:dyDescent="0.15">
      <c r="A361" s="8"/>
      <c r="B361" s="8"/>
      <c r="C361" s="8"/>
      <c r="D361" s="8"/>
      <c r="E361" s="9"/>
      <c r="F361" s="8"/>
      <c r="G361" s="10"/>
      <c r="H361" s="11"/>
      <c r="I361" s="143"/>
      <c r="J361" s="9"/>
      <c r="K361" s="143"/>
      <c r="L361" s="9"/>
      <c r="M361" s="8"/>
      <c r="N361" s="143"/>
      <c r="O361" s="9"/>
    </row>
    <row r="362" spans="1:15" x14ac:dyDescent="0.15">
      <c r="A362" s="8"/>
      <c r="B362" s="8"/>
      <c r="C362" s="8"/>
      <c r="D362" s="8"/>
      <c r="E362" s="9"/>
      <c r="F362" s="8"/>
      <c r="G362" s="10"/>
      <c r="H362" s="11"/>
      <c r="I362" s="143"/>
      <c r="J362" s="9"/>
      <c r="K362" s="143"/>
      <c r="L362" s="9"/>
      <c r="M362" s="8"/>
      <c r="N362" s="143"/>
      <c r="O362" s="9"/>
    </row>
    <row r="363" spans="1:15" x14ac:dyDescent="0.15">
      <c r="A363" s="8"/>
      <c r="B363" s="8"/>
      <c r="C363" s="8"/>
      <c r="D363" s="8"/>
      <c r="E363" s="9"/>
      <c r="F363" s="8"/>
      <c r="G363" s="10"/>
      <c r="H363" s="11"/>
      <c r="I363" s="143"/>
      <c r="J363" s="9"/>
      <c r="K363" s="143"/>
      <c r="L363" s="9"/>
      <c r="M363" s="8"/>
      <c r="N363" s="143"/>
      <c r="O363" s="9"/>
    </row>
    <row r="364" spans="1:15" x14ac:dyDescent="0.15">
      <c r="A364" s="8"/>
      <c r="B364" s="8"/>
      <c r="C364" s="8"/>
      <c r="D364" s="8"/>
      <c r="E364" s="9"/>
      <c r="F364" s="8"/>
      <c r="G364" s="10"/>
      <c r="H364" s="11"/>
      <c r="I364" s="143"/>
      <c r="J364" s="9"/>
      <c r="K364" s="143"/>
      <c r="L364" s="9"/>
      <c r="M364" s="8"/>
      <c r="N364" s="143"/>
      <c r="O364" s="9"/>
    </row>
    <row r="365" spans="1:15" x14ac:dyDescent="0.15">
      <c r="A365" s="8"/>
      <c r="B365" s="8"/>
      <c r="C365" s="8"/>
      <c r="D365" s="8"/>
      <c r="E365" s="9"/>
      <c r="F365" s="8"/>
      <c r="G365" s="10"/>
      <c r="H365" s="11"/>
      <c r="I365" s="143"/>
      <c r="J365" s="9"/>
      <c r="K365" s="143"/>
      <c r="L365" s="9"/>
      <c r="M365" s="8"/>
      <c r="N365" s="143"/>
      <c r="O365" s="9"/>
    </row>
    <row r="366" spans="1:15" x14ac:dyDescent="0.15">
      <c r="A366" s="8"/>
      <c r="B366" s="8"/>
      <c r="C366" s="8"/>
      <c r="D366" s="8"/>
      <c r="E366" s="9"/>
      <c r="F366" s="8"/>
      <c r="G366" s="10"/>
      <c r="H366" s="11"/>
      <c r="I366" s="143"/>
      <c r="J366" s="9"/>
      <c r="K366" s="143"/>
      <c r="L366" s="9"/>
      <c r="M366" s="8"/>
      <c r="N366" s="143"/>
      <c r="O366" s="9"/>
    </row>
    <row r="367" spans="1:15" x14ac:dyDescent="0.15">
      <c r="A367" s="8"/>
      <c r="B367" s="8"/>
      <c r="C367" s="8"/>
      <c r="D367" s="8"/>
      <c r="E367" s="9"/>
      <c r="F367" s="8"/>
      <c r="G367" s="10"/>
      <c r="H367" s="11"/>
      <c r="I367" s="143"/>
      <c r="J367" s="9"/>
      <c r="K367" s="143"/>
      <c r="L367" s="9"/>
      <c r="M367" s="8"/>
      <c r="N367" s="143"/>
      <c r="O367" s="9"/>
    </row>
    <row r="368" spans="1:15" x14ac:dyDescent="0.15">
      <c r="A368" s="8"/>
      <c r="B368" s="8"/>
      <c r="C368" s="8"/>
      <c r="D368" s="8"/>
      <c r="E368" s="9"/>
      <c r="F368" s="8"/>
      <c r="G368" s="10"/>
      <c r="H368" s="11"/>
      <c r="I368" s="143"/>
      <c r="J368" s="9"/>
      <c r="K368" s="143"/>
      <c r="L368" s="9"/>
      <c r="M368" s="8"/>
      <c r="N368" s="143"/>
      <c r="O368" s="9"/>
    </row>
    <row r="369" spans="1:15" x14ac:dyDescent="0.15">
      <c r="A369" s="8"/>
      <c r="B369" s="8"/>
      <c r="C369" s="8"/>
      <c r="D369" s="8"/>
      <c r="E369" s="9"/>
      <c r="F369" s="8"/>
      <c r="G369" s="10"/>
      <c r="H369" s="11"/>
      <c r="I369" s="143"/>
      <c r="J369" s="9"/>
      <c r="K369" s="143"/>
      <c r="L369" s="9"/>
      <c r="M369" s="8"/>
      <c r="N369" s="143"/>
      <c r="O369" s="9"/>
    </row>
    <row r="370" spans="1:15" x14ac:dyDescent="0.15">
      <c r="A370" s="8"/>
      <c r="B370" s="8"/>
      <c r="C370" s="8"/>
      <c r="D370" s="8"/>
      <c r="E370" s="9"/>
      <c r="F370" s="8"/>
      <c r="G370" s="10"/>
      <c r="H370" s="11"/>
      <c r="I370" s="143"/>
      <c r="J370" s="9"/>
      <c r="K370" s="143"/>
      <c r="L370" s="9"/>
      <c r="M370" s="8"/>
      <c r="N370" s="143"/>
      <c r="O370" s="9"/>
    </row>
    <row r="371" spans="1:15" x14ac:dyDescent="0.15">
      <c r="A371" s="8"/>
      <c r="B371" s="8"/>
      <c r="C371" s="8"/>
      <c r="D371" s="8"/>
      <c r="E371" s="9"/>
      <c r="F371" s="8"/>
      <c r="G371" s="10"/>
      <c r="H371" s="11"/>
      <c r="I371" s="143"/>
      <c r="J371" s="9"/>
      <c r="K371" s="143"/>
      <c r="L371" s="9"/>
      <c r="M371" s="8"/>
      <c r="N371" s="143"/>
      <c r="O371" s="9"/>
    </row>
    <row r="372" spans="1:15" x14ac:dyDescent="0.15">
      <c r="A372" s="8"/>
      <c r="B372" s="8"/>
      <c r="C372" s="8"/>
      <c r="D372" s="8"/>
      <c r="E372" s="9"/>
      <c r="F372" s="8"/>
      <c r="G372" s="10"/>
      <c r="H372" s="11"/>
      <c r="I372" s="143"/>
      <c r="J372" s="9"/>
      <c r="K372" s="143"/>
      <c r="L372" s="9"/>
      <c r="M372" s="8"/>
      <c r="N372" s="143"/>
      <c r="O372" s="9"/>
    </row>
    <row r="373" spans="1:15" x14ac:dyDescent="0.15">
      <c r="A373" s="8"/>
      <c r="B373" s="8"/>
      <c r="C373" s="8"/>
      <c r="D373" s="8"/>
      <c r="E373" s="9"/>
      <c r="F373" s="8"/>
      <c r="G373" s="10"/>
      <c r="H373" s="11"/>
      <c r="I373" s="143"/>
      <c r="J373" s="9"/>
      <c r="K373" s="143"/>
      <c r="L373" s="9"/>
      <c r="M373" s="8"/>
      <c r="N373" s="143"/>
      <c r="O373" s="9"/>
    </row>
    <row r="374" spans="1:15" x14ac:dyDescent="0.15">
      <c r="A374" s="8"/>
      <c r="B374" s="8"/>
      <c r="C374" s="8"/>
      <c r="D374" s="8"/>
      <c r="E374" s="9"/>
      <c r="F374" s="8"/>
      <c r="G374" s="10"/>
      <c r="H374" s="11"/>
      <c r="I374" s="143"/>
      <c r="J374" s="9"/>
      <c r="K374" s="143"/>
      <c r="L374" s="9"/>
      <c r="M374" s="8"/>
      <c r="N374" s="143"/>
      <c r="O374" s="9"/>
    </row>
    <row r="375" spans="1:15" x14ac:dyDescent="0.15">
      <c r="A375" s="8"/>
      <c r="B375" s="8"/>
      <c r="C375" s="8"/>
      <c r="D375" s="8"/>
      <c r="E375" s="9"/>
      <c r="F375" s="8"/>
      <c r="G375" s="10"/>
      <c r="H375" s="11"/>
      <c r="I375" s="143"/>
      <c r="J375" s="9"/>
      <c r="K375" s="143"/>
      <c r="L375" s="9"/>
      <c r="M375" s="8"/>
      <c r="N375" s="143"/>
      <c r="O375" s="9"/>
    </row>
    <row r="376" spans="1:15" x14ac:dyDescent="0.15">
      <c r="A376" s="8"/>
      <c r="B376" s="8"/>
      <c r="C376" s="8"/>
      <c r="D376" s="8"/>
      <c r="E376" s="9"/>
      <c r="F376" s="8"/>
      <c r="G376" s="10"/>
      <c r="H376" s="11"/>
      <c r="I376" s="143"/>
      <c r="J376" s="9"/>
      <c r="K376" s="143"/>
      <c r="L376" s="9"/>
      <c r="M376" s="8"/>
      <c r="N376" s="143"/>
      <c r="O376" s="9"/>
    </row>
    <row r="377" spans="1:15" x14ac:dyDescent="0.15">
      <c r="A377" s="8"/>
      <c r="B377" s="8"/>
      <c r="C377" s="8"/>
      <c r="D377" s="8"/>
      <c r="E377" s="9"/>
      <c r="F377" s="8"/>
      <c r="G377" s="10"/>
      <c r="H377" s="11"/>
      <c r="I377" s="143"/>
      <c r="J377" s="9"/>
      <c r="K377" s="143"/>
      <c r="L377" s="9"/>
      <c r="M377" s="8"/>
      <c r="N377" s="143"/>
      <c r="O377" s="9"/>
    </row>
    <row r="378" spans="1:15" x14ac:dyDescent="0.15">
      <c r="A378" s="8"/>
      <c r="B378" s="8"/>
      <c r="C378" s="8"/>
      <c r="D378" s="8"/>
      <c r="E378" s="9"/>
      <c r="F378" s="8"/>
      <c r="G378" s="10"/>
      <c r="H378" s="11"/>
      <c r="I378" s="143"/>
      <c r="J378" s="9"/>
      <c r="K378" s="143"/>
      <c r="L378" s="9"/>
      <c r="M378" s="8"/>
      <c r="N378" s="143"/>
      <c r="O378" s="9"/>
    </row>
    <row r="379" spans="1:15" x14ac:dyDescent="0.15">
      <c r="A379" s="8"/>
      <c r="B379" s="8"/>
      <c r="C379" s="8"/>
      <c r="D379" s="8"/>
      <c r="E379" s="9"/>
      <c r="F379" s="8"/>
      <c r="G379" s="10"/>
      <c r="H379" s="11"/>
      <c r="I379" s="143"/>
      <c r="J379" s="9"/>
      <c r="K379" s="143"/>
      <c r="L379" s="9"/>
      <c r="M379" s="8"/>
      <c r="N379" s="143"/>
      <c r="O379" s="9"/>
    </row>
    <row r="380" spans="1:15" x14ac:dyDescent="0.15">
      <c r="A380" s="8"/>
      <c r="B380" s="8"/>
      <c r="C380" s="8"/>
      <c r="D380" s="8"/>
      <c r="E380" s="9"/>
      <c r="F380" s="8"/>
      <c r="G380" s="10"/>
      <c r="H380" s="11"/>
      <c r="I380" s="143"/>
      <c r="J380" s="9"/>
      <c r="K380" s="143"/>
      <c r="L380" s="9"/>
      <c r="M380" s="8"/>
      <c r="N380" s="143"/>
      <c r="O380" s="9"/>
    </row>
    <row r="381" spans="1:15" x14ac:dyDescent="0.15">
      <c r="A381" s="8"/>
      <c r="B381" s="8"/>
      <c r="C381" s="8"/>
      <c r="D381" s="8"/>
      <c r="E381" s="9"/>
      <c r="F381" s="8"/>
      <c r="G381" s="10"/>
      <c r="H381" s="11"/>
      <c r="I381" s="143"/>
      <c r="J381" s="9"/>
      <c r="K381" s="143"/>
      <c r="L381" s="9"/>
      <c r="M381" s="8"/>
      <c r="N381" s="143"/>
      <c r="O381" s="9"/>
    </row>
    <row r="382" spans="1:15" x14ac:dyDescent="0.15">
      <c r="A382" s="8"/>
      <c r="B382" s="8"/>
      <c r="C382" s="8"/>
      <c r="D382" s="8"/>
      <c r="E382" s="9"/>
      <c r="F382" s="8"/>
      <c r="G382" s="10"/>
      <c r="H382" s="11"/>
      <c r="I382" s="143"/>
      <c r="J382" s="9"/>
      <c r="K382" s="143"/>
      <c r="L382" s="9"/>
      <c r="M382" s="8"/>
      <c r="N382" s="143"/>
      <c r="O382" s="9"/>
    </row>
    <row r="383" spans="1:15" x14ac:dyDescent="0.15">
      <c r="A383" s="8"/>
      <c r="B383" s="8"/>
      <c r="C383" s="8"/>
      <c r="D383" s="8"/>
      <c r="E383" s="9"/>
      <c r="F383" s="8"/>
      <c r="G383" s="10"/>
      <c r="H383" s="11"/>
      <c r="I383" s="143"/>
      <c r="J383" s="9"/>
      <c r="K383" s="143"/>
      <c r="L383" s="9"/>
      <c r="M383" s="8"/>
      <c r="N383" s="143"/>
      <c r="O383" s="9"/>
    </row>
    <row r="384" spans="1:15" x14ac:dyDescent="0.15">
      <c r="A384" s="8"/>
      <c r="B384" s="8"/>
      <c r="C384" s="8"/>
      <c r="D384" s="8"/>
      <c r="E384" s="9"/>
      <c r="F384" s="8"/>
      <c r="G384" s="10"/>
      <c r="H384" s="11"/>
      <c r="I384" s="143"/>
      <c r="J384" s="9"/>
      <c r="K384" s="143"/>
      <c r="L384" s="9"/>
      <c r="M384" s="8"/>
      <c r="N384" s="143"/>
      <c r="O384" s="9"/>
    </row>
    <row r="385" spans="1:15" x14ac:dyDescent="0.15">
      <c r="A385" s="8"/>
      <c r="B385" s="8"/>
      <c r="C385" s="8"/>
      <c r="D385" s="8"/>
      <c r="E385" s="9"/>
      <c r="F385" s="8"/>
      <c r="G385" s="10"/>
      <c r="H385" s="11"/>
      <c r="I385" s="143"/>
      <c r="J385" s="9"/>
      <c r="K385" s="143"/>
      <c r="L385" s="9"/>
      <c r="M385" s="8"/>
      <c r="N385" s="143"/>
      <c r="O385" s="9"/>
    </row>
    <row r="386" spans="1:15" x14ac:dyDescent="0.15">
      <c r="A386" s="8"/>
      <c r="B386" s="8"/>
      <c r="C386" s="8"/>
      <c r="D386" s="8"/>
      <c r="E386" s="9"/>
      <c r="F386" s="8"/>
      <c r="G386" s="10"/>
      <c r="H386" s="11"/>
      <c r="I386" s="143"/>
      <c r="J386" s="9"/>
      <c r="K386" s="143"/>
      <c r="L386" s="9"/>
      <c r="M386" s="8"/>
      <c r="N386" s="143"/>
      <c r="O386" s="9"/>
    </row>
    <row r="387" spans="1:15" x14ac:dyDescent="0.15">
      <c r="A387" s="8"/>
      <c r="B387" s="8"/>
      <c r="C387" s="8"/>
      <c r="D387" s="8"/>
      <c r="E387" s="9"/>
      <c r="F387" s="8"/>
      <c r="G387" s="10"/>
      <c r="H387" s="11"/>
      <c r="I387" s="143"/>
      <c r="J387" s="9"/>
      <c r="K387" s="143"/>
      <c r="L387" s="9"/>
      <c r="M387" s="8"/>
      <c r="N387" s="143"/>
      <c r="O387" s="9"/>
    </row>
    <row r="388" spans="1:15" x14ac:dyDescent="0.15">
      <c r="A388" s="8"/>
      <c r="B388" s="8"/>
      <c r="C388" s="8"/>
      <c r="D388" s="8"/>
      <c r="E388" s="9"/>
      <c r="F388" s="8"/>
      <c r="G388" s="10"/>
      <c r="H388" s="11"/>
      <c r="I388" s="143"/>
      <c r="J388" s="9"/>
      <c r="K388" s="143"/>
      <c r="L388" s="9"/>
      <c r="M388" s="8"/>
      <c r="N388" s="143"/>
      <c r="O388" s="9"/>
    </row>
    <row r="389" spans="1:15" x14ac:dyDescent="0.15">
      <c r="A389" s="8"/>
      <c r="B389" s="8"/>
      <c r="C389" s="8"/>
      <c r="D389" s="8"/>
      <c r="E389" s="9"/>
      <c r="F389" s="8"/>
      <c r="G389" s="10"/>
      <c r="H389" s="11"/>
      <c r="I389" s="143"/>
      <c r="J389" s="9"/>
      <c r="K389" s="143"/>
      <c r="L389" s="9"/>
      <c r="M389" s="8"/>
      <c r="N389" s="143"/>
      <c r="O389" s="9"/>
    </row>
    <row r="390" spans="1:15" x14ac:dyDescent="0.15">
      <c r="A390" s="8"/>
      <c r="B390" s="8"/>
      <c r="C390" s="8"/>
      <c r="D390" s="8"/>
      <c r="E390" s="9"/>
      <c r="F390" s="8"/>
      <c r="G390" s="10"/>
      <c r="H390" s="11"/>
      <c r="I390" s="143"/>
      <c r="J390" s="9"/>
      <c r="K390" s="143"/>
      <c r="L390" s="9"/>
      <c r="M390" s="8"/>
      <c r="N390" s="143"/>
      <c r="O390" s="9"/>
    </row>
    <row r="391" spans="1:15" x14ac:dyDescent="0.15">
      <c r="A391" s="8"/>
      <c r="B391" s="8"/>
      <c r="C391" s="8"/>
      <c r="D391" s="8"/>
      <c r="E391" s="9"/>
      <c r="F391" s="8"/>
      <c r="G391" s="10"/>
      <c r="H391" s="11"/>
      <c r="I391" s="143"/>
      <c r="J391" s="9"/>
      <c r="K391" s="143"/>
      <c r="L391" s="9"/>
      <c r="M391" s="8"/>
      <c r="N391" s="143"/>
      <c r="O391" s="9"/>
    </row>
    <row r="392" spans="1:15" x14ac:dyDescent="0.15">
      <c r="A392" s="8"/>
      <c r="B392" s="8"/>
      <c r="C392" s="8"/>
      <c r="D392" s="8"/>
      <c r="E392" s="9"/>
      <c r="F392" s="8"/>
      <c r="G392" s="10"/>
      <c r="H392" s="11"/>
      <c r="I392" s="143"/>
      <c r="J392" s="9"/>
      <c r="K392" s="143"/>
      <c r="L392" s="9"/>
      <c r="M392" s="8"/>
      <c r="N392" s="143"/>
      <c r="O392" s="9"/>
    </row>
    <row r="393" spans="1:15" x14ac:dyDescent="0.15">
      <c r="A393" s="8"/>
      <c r="B393" s="8"/>
      <c r="C393" s="8"/>
      <c r="D393" s="8"/>
      <c r="E393" s="9"/>
      <c r="F393" s="8"/>
      <c r="G393" s="10"/>
      <c r="H393" s="11"/>
      <c r="I393" s="143"/>
      <c r="J393" s="9"/>
      <c r="K393" s="143"/>
      <c r="L393" s="9"/>
      <c r="M393" s="8"/>
      <c r="N393" s="143"/>
      <c r="O393" s="9"/>
    </row>
    <row r="394" spans="1:15" x14ac:dyDescent="0.15">
      <c r="A394" s="8"/>
      <c r="B394" s="8"/>
      <c r="C394" s="8"/>
      <c r="D394" s="8"/>
      <c r="E394" s="9"/>
      <c r="F394" s="8"/>
      <c r="G394" s="10"/>
      <c r="H394" s="11"/>
      <c r="I394" s="8"/>
      <c r="J394" s="9"/>
      <c r="K394" s="8"/>
      <c r="L394" s="9"/>
      <c r="M394" s="8"/>
      <c r="N394" s="8"/>
      <c r="O394" s="9"/>
    </row>
    <row r="395" spans="1:15" x14ac:dyDescent="0.15">
      <c r="A395" s="8"/>
      <c r="B395" s="8"/>
      <c r="C395" s="8"/>
      <c r="D395" s="8"/>
      <c r="E395" s="9"/>
      <c r="F395" s="8"/>
      <c r="G395" s="10"/>
      <c r="H395" s="11"/>
      <c r="I395" s="8"/>
      <c r="J395" s="9"/>
      <c r="K395" s="8"/>
      <c r="L395" s="9"/>
      <c r="M395" s="8"/>
      <c r="N395" s="8"/>
      <c r="O395" s="9"/>
    </row>
    <row r="396" spans="1:15" x14ac:dyDescent="0.15">
      <c r="A396" s="8"/>
      <c r="B396" s="8"/>
      <c r="C396" s="8"/>
      <c r="D396" s="8"/>
      <c r="E396" s="9"/>
      <c r="F396" s="8"/>
      <c r="G396" s="10"/>
      <c r="H396" s="11"/>
      <c r="I396" s="8"/>
      <c r="J396" s="9"/>
      <c r="K396" s="8"/>
      <c r="L396" s="9"/>
      <c r="M396" s="8"/>
      <c r="N396" s="8"/>
      <c r="O396" s="9"/>
    </row>
    <row r="397" spans="1:15" x14ac:dyDescent="0.15">
      <c r="A397" s="8"/>
      <c r="B397" s="8"/>
      <c r="C397" s="8"/>
      <c r="D397" s="8"/>
      <c r="E397" s="9"/>
      <c r="F397" s="8"/>
      <c r="G397" s="10"/>
      <c r="H397" s="11"/>
      <c r="I397" s="8"/>
      <c r="J397" s="9"/>
      <c r="K397" s="8"/>
      <c r="L397" s="9"/>
      <c r="M397" s="8"/>
      <c r="N397" s="8"/>
      <c r="O397" s="9"/>
    </row>
    <row r="398" spans="1:15" x14ac:dyDescent="0.15">
      <c r="A398" s="8"/>
      <c r="B398" s="8"/>
      <c r="C398" s="8"/>
      <c r="D398" s="8"/>
      <c r="E398" s="9"/>
      <c r="F398" s="8"/>
      <c r="G398" s="10"/>
      <c r="H398" s="11"/>
      <c r="I398" s="8"/>
      <c r="J398" s="9"/>
      <c r="K398" s="8"/>
      <c r="L398" s="9"/>
      <c r="M398" s="8"/>
      <c r="N398" s="8"/>
      <c r="O398" s="9"/>
    </row>
    <row r="399" spans="1:15" x14ac:dyDescent="0.15">
      <c r="A399" s="8"/>
      <c r="B399" s="8"/>
      <c r="C399" s="8"/>
      <c r="D399" s="8"/>
      <c r="E399" s="9"/>
      <c r="F399" s="8"/>
      <c r="G399" s="10"/>
      <c r="H399" s="11"/>
      <c r="I399" s="8"/>
      <c r="J399" s="9"/>
      <c r="K399" s="8"/>
      <c r="L399" s="9"/>
      <c r="M399" s="8"/>
      <c r="N399" s="8"/>
      <c r="O399" s="9"/>
    </row>
    <row r="400" spans="1:15" x14ac:dyDescent="0.15">
      <c r="A400" s="8"/>
      <c r="B400" s="8"/>
      <c r="C400" s="8"/>
      <c r="D400" s="8"/>
      <c r="E400" s="9"/>
      <c r="F400" s="8"/>
      <c r="G400" s="10"/>
      <c r="H400" s="11"/>
      <c r="I400" s="8"/>
      <c r="J400" s="9"/>
      <c r="K400" s="8"/>
      <c r="L400" s="9"/>
      <c r="M400" s="8"/>
      <c r="N400" s="8"/>
      <c r="O400" s="9"/>
    </row>
    <row r="401" spans="1:15" x14ac:dyDescent="0.15">
      <c r="A401" s="8"/>
      <c r="B401" s="8"/>
      <c r="C401" s="8"/>
      <c r="D401" s="8"/>
      <c r="E401" s="9"/>
      <c r="F401" s="8"/>
      <c r="G401" s="10"/>
      <c r="H401" s="11"/>
      <c r="I401" s="8"/>
      <c r="J401" s="9"/>
      <c r="K401" s="8"/>
      <c r="L401" s="9"/>
      <c r="M401" s="8"/>
      <c r="N401" s="8"/>
      <c r="O401" s="9"/>
    </row>
    <row r="402" spans="1:15" x14ac:dyDescent="0.15">
      <c r="A402" s="8"/>
      <c r="B402" s="8"/>
      <c r="C402" s="8"/>
      <c r="D402" s="8"/>
      <c r="E402" s="9"/>
      <c r="F402" s="8"/>
      <c r="G402" s="10"/>
      <c r="H402" s="11"/>
      <c r="I402" s="8"/>
      <c r="J402" s="9"/>
      <c r="K402" s="8"/>
      <c r="L402" s="9"/>
      <c r="M402" s="8"/>
      <c r="N402" s="8"/>
      <c r="O402" s="9"/>
    </row>
    <row r="403" spans="1:15" x14ac:dyDescent="0.15">
      <c r="A403" s="8"/>
      <c r="B403" s="8"/>
      <c r="C403" s="8"/>
      <c r="D403" s="8"/>
      <c r="E403" s="9"/>
      <c r="F403" s="8"/>
      <c r="G403" s="10"/>
      <c r="H403" s="11"/>
      <c r="I403" s="8"/>
      <c r="J403" s="9"/>
      <c r="K403" s="8"/>
      <c r="L403" s="9"/>
      <c r="M403" s="8"/>
      <c r="N403" s="8"/>
      <c r="O403" s="9"/>
    </row>
    <row r="404" spans="1:15" x14ac:dyDescent="0.15">
      <c r="A404" s="8"/>
      <c r="B404" s="8"/>
      <c r="C404" s="8"/>
      <c r="D404" s="8"/>
      <c r="E404" s="9"/>
      <c r="F404" s="8"/>
      <c r="G404" s="10"/>
      <c r="H404" s="11"/>
      <c r="I404" s="8"/>
      <c r="J404" s="9"/>
      <c r="K404" s="8"/>
      <c r="L404" s="9"/>
      <c r="M404" s="8"/>
      <c r="N404" s="8"/>
      <c r="O404" s="9"/>
    </row>
    <row r="405" spans="1:15" x14ac:dyDescent="0.15">
      <c r="A405" s="8"/>
      <c r="B405" s="8"/>
      <c r="C405" s="8"/>
      <c r="D405" s="8"/>
      <c r="E405" s="9"/>
      <c r="F405" s="8"/>
      <c r="G405" s="10"/>
      <c r="H405" s="11"/>
      <c r="I405" s="8"/>
      <c r="J405" s="9"/>
      <c r="K405" s="8"/>
      <c r="L405" s="9"/>
      <c r="M405" s="8"/>
      <c r="N405" s="8"/>
      <c r="O405" s="9"/>
    </row>
    <row r="406" spans="1:15" x14ac:dyDescent="0.15">
      <c r="A406" s="8"/>
      <c r="B406" s="8"/>
      <c r="C406" s="8"/>
      <c r="D406" s="8"/>
      <c r="E406" s="9"/>
      <c r="F406" s="8"/>
      <c r="G406" s="10"/>
      <c r="H406" s="11"/>
      <c r="I406" s="8"/>
      <c r="J406" s="9"/>
      <c r="K406" s="8"/>
      <c r="L406" s="9"/>
      <c r="M406" s="8"/>
      <c r="N406" s="8"/>
      <c r="O406" s="9"/>
    </row>
    <row r="407" spans="1:15" x14ac:dyDescent="0.15">
      <c r="A407" s="8"/>
      <c r="B407" s="8"/>
      <c r="C407" s="8"/>
      <c r="D407" s="8"/>
      <c r="E407" s="9"/>
      <c r="F407" s="8"/>
      <c r="G407" s="10"/>
      <c r="H407" s="11"/>
      <c r="I407" s="8"/>
      <c r="J407" s="9"/>
      <c r="K407" s="8"/>
      <c r="L407" s="9"/>
      <c r="M407" s="8"/>
      <c r="N407" s="8"/>
      <c r="O407" s="9"/>
    </row>
    <row r="408" spans="1:15" x14ac:dyDescent="0.15">
      <c r="A408" s="8"/>
      <c r="B408" s="8"/>
      <c r="C408" s="8"/>
      <c r="D408" s="8"/>
      <c r="E408" s="9"/>
      <c r="F408" s="8"/>
      <c r="G408" s="10"/>
      <c r="H408" s="11"/>
      <c r="I408" s="8"/>
      <c r="J408" s="9"/>
      <c r="K408" s="8"/>
      <c r="L408" s="9"/>
      <c r="M408" s="8"/>
      <c r="N408" s="8"/>
      <c r="O408" s="9"/>
    </row>
    <row r="409" spans="1:15" x14ac:dyDescent="0.15">
      <c r="A409" s="8"/>
      <c r="B409" s="8"/>
      <c r="C409" s="8"/>
      <c r="D409" s="8"/>
      <c r="E409" s="9"/>
      <c r="F409" s="8"/>
      <c r="G409" s="10"/>
      <c r="H409" s="11"/>
      <c r="I409" s="8"/>
      <c r="J409" s="9"/>
      <c r="K409" s="8"/>
      <c r="L409" s="9"/>
      <c r="M409" s="8"/>
      <c r="N409" s="8"/>
      <c r="O409" s="9"/>
    </row>
    <row r="410" spans="1:15" x14ac:dyDescent="0.15">
      <c r="A410" s="8"/>
      <c r="B410" s="8"/>
      <c r="C410" s="8"/>
      <c r="D410" s="8"/>
      <c r="E410" s="9"/>
      <c r="F410" s="8"/>
      <c r="G410" s="10"/>
      <c r="H410" s="11"/>
      <c r="I410" s="8"/>
      <c r="J410" s="9"/>
      <c r="K410" s="8"/>
      <c r="L410" s="9"/>
      <c r="M410" s="8"/>
      <c r="N410" s="8"/>
      <c r="O410" s="9"/>
    </row>
    <row r="411" spans="1:15" x14ac:dyDescent="0.15">
      <c r="A411" s="8"/>
      <c r="B411" s="8"/>
      <c r="C411" s="8"/>
      <c r="D411" s="8"/>
      <c r="E411" s="9"/>
      <c r="F411" s="8"/>
      <c r="G411" s="10"/>
      <c r="H411" s="11"/>
      <c r="I411" s="8"/>
      <c r="J411" s="9"/>
      <c r="K411" s="8"/>
      <c r="L411" s="9"/>
      <c r="M411" s="8"/>
      <c r="N411" s="8"/>
      <c r="O411" s="9"/>
    </row>
    <row r="412" spans="1:15" x14ac:dyDescent="0.15">
      <c r="A412" s="8"/>
      <c r="B412" s="8"/>
      <c r="C412" s="8"/>
      <c r="D412" s="8"/>
      <c r="E412" s="9"/>
      <c r="F412" s="8"/>
      <c r="G412" s="10"/>
      <c r="H412" s="11"/>
      <c r="I412" s="8"/>
      <c r="J412" s="9"/>
      <c r="K412" s="8"/>
      <c r="L412" s="9"/>
      <c r="M412" s="8"/>
      <c r="N412" s="8"/>
      <c r="O412" s="9"/>
    </row>
    <row r="413" spans="1:15" x14ac:dyDescent="0.15">
      <c r="A413" s="8"/>
      <c r="B413" s="8"/>
      <c r="C413" s="8"/>
      <c r="D413" s="8"/>
      <c r="E413" s="9"/>
      <c r="F413" s="8"/>
      <c r="G413" s="10"/>
      <c r="H413" s="11"/>
      <c r="I413" s="8"/>
      <c r="J413" s="9"/>
      <c r="K413" s="8"/>
      <c r="L413" s="9"/>
      <c r="M413" s="8"/>
      <c r="N413" s="8"/>
      <c r="O413" s="9"/>
    </row>
    <row r="414" spans="1:15" x14ac:dyDescent="0.15">
      <c r="A414" s="8"/>
      <c r="B414" s="8"/>
      <c r="C414" s="8"/>
      <c r="D414" s="8"/>
      <c r="E414" s="9"/>
      <c r="F414" s="8"/>
      <c r="G414" s="10"/>
      <c r="H414" s="11"/>
      <c r="I414" s="8"/>
      <c r="J414" s="9"/>
      <c r="K414" s="8"/>
      <c r="L414" s="9"/>
      <c r="M414" s="8"/>
      <c r="N414" s="8"/>
      <c r="O414" s="9"/>
    </row>
    <row r="415" spans="1:15" x14ac:dyDescent="0.15">
      <c r="A415" s="8"/>
      <c r="B415" s="8"/>
      <c r="C415" s="8"/>
      <c r="D415" s="8"/>
      <c r="E415" s="9"/>
      <c r="F415" s="8"/>
      <c r="G415" s="10"/>
      <c r="H415" s="11"/>
      <c r="I415" s="8"/>
      <c r="J415" s="9"/>
      <c r="K415" s="8"/>
      <c r="L415" s="9"/>
      <c r="M415" s="8"/>
      <c r="N415" s="8"/>
      <c r="O415" s="9"/>
    </row>
    <row r="416" spans="1:15" x14ac:dyDescent="0.15">
      <c r="A416" s="8"/>
      <c r="B416" s="8"/>
      <c r="C416" s="8"/>
      <c r="D416" s="8"/>
      <c r="E416" s="9"/>
      <c r="F416" s="8"/>
      <c r="G416" s="10"/>
      <c r="H416" s="11"/>
      <c r="I416" s="8"/>
      <c r="J416" s="9"/>
      <c r="K416" s="8"/>
      <c r="L416" s="9"/>
      <c r="M416" s="8"/>
      <c r="N416" s="8"/>
      <c r="O416" s="9"/>
    </row>
    <row r="417" spans="1:15" x14ac:dyDescent="0.15">
      <c r="A417" s="8"/>
      <c r="B417" s="8"/>
      <c r="C417" s="8"/>
      <c r="D417" s="8"/>
      <c r="E417" s="9"/>
      <c r="F417" s="8"/>
      <c r="G417" s="10"/>
      <c r="H417" s="11"/>
      <c r="I417" s="8"/>
      <c r="J417" s="9"/>
      <c r="K417" s="8"/>
      <c r="L417" s="9"/>
      <c r="M417" s="8"/>
      <c r="N417" s="8"/>
      <c r="O417" s="9"/>
    </row>
    <row r="418" spans="1:15" x14ac:dyDescent="0.15">
      <c r="A418" s="8"/>
      <c r="B418" s="8"/>
      <c r="C418" s="8"/>
      <c r="D418" s="8"/>
      <c r="E418" s="9"/>
      <c r="F418" s="8"/>
      <c r="G418" s="10"/>
      <c r="H418" s="11"/>
      <c r="I418" s="8"/>
      <c r="J418" s="9"/>
      <c r="K418" s="8"/>
      <c r="L418" s="9"/>
      <c r="M418" s="8"/>
      <c r="N418" s="8"/>
      <c r="O418" s="9"/>
    </row>
    <row r="419" spans="1:15" x14ac:dyDescent="0.15">
      <c r="A419" s="8"/>
      <c r="B419" s="8"/>
      <c r="C419" s="8"/>
      <c r="D419" s="8"/>
      <c r="E419" s="9"/>
      <c r="F419" s="8"/>
      <c r="G419" s="10"/>
      <c r="H419" s="11"/>
      <c r="I419" s="8"/>
      <c r="J419" s="9"/>
      <c r="K419" s="8"/>
      <c r="L419" s="9"/>
      <c r="M419" s="8"/>
      <c r="N419" s="8"/>
      <c r="O419" s="9"/>
    </row>
    <row r="420" spans="1:15" x14ac:dyDescent="0.15">
      <c r="A420" s="8"/>
      <c r="B420" s="8"/>
      <c r="C420" s="8"/>
      <c r="D420" s="8"/>
      <c r="E420" s="9"/>
      <c r="F420" s="8"/>
      <c r="G420" s="10"/>
      <c r="H420" s="11"/>
      <c r="I420" s="8"/>
      <c r="J420" s="9"/>
      <c r="K420" s="8"/>
      <c r="L420" s="9"/>
      <c r="M420" s="8"/>
      <c r="N420" s="8"/>
      <c r="O420" s="9"/>
    </row>
    <row r="421" spans="1:15" x14ac:dyDescent="0.15">
      <c r="A421" s="8"/>
      <c r="B421" s="8"/>
      <c r="C421" s="8"/>
      <c r="D421" s="8"/>
      <c r="E421" s="9"/>
      <c r="F421" s="8"/>
      <c r="G421" s="10"/>
      <c r="H421" s="11"/>
      <c r="I421" s="8"/>
      <c r="J421" s="9"/>
      <c r="K421" s="8"/>
      <c r="L421" s="9"/>
      <c r="M421" s="8"/>
      <c r="N421" s="8"/>
      <c r="O421" s="9"/>
    </row>
    <row r="422" spans="1:15" x14ac:dyDescent="0.15">
      <c r="A422" s="8"/>
      <c r="B422" s="8"/>
      <c r="C422" s="8"/>
      <c r="D422" s="8"/>
      <c r="E422" s="9"/>
      <c r="F422" s="8"/>
      <c r="G422" s="10"/>
      <c r="H422" s="11"/>
      <c r="I422" s="8"/>
      <c r="J422" s="9"/>
      <c r="K422" s="8"/>
      <c r="L422" s="9"/>
      <c r="M422" s="8"/>
      <c r="N422" s="8"/>
      <c r="O422" s="9"/>
    </row>
    <row r="423" spans="1:15" x14ac:dyDescent="0.15">
      <c r="A423" s="8"/>
      <c r="B423" s="8"/>
      <c r="C423" s="8"/>
      <c r="D423" s="8"/>
      <c r="E423" s="9"/>
      <c r="F423" s="8"/>
      <c r="G423" s="10"/>
      <c r="H423" s="11"/>
      <c r="I423" s="8"/>
      <c r="J423" s="9"/>
      <c r="K423" s="8"/>
      <c r="L423" s="9"/>
      <c r="M423" s="8"/>
      <c r="N423" s="8"/>
      <c r="O423" s="9"/>
    </row>
    <row r="424" spans="1:15" x14ac:dyDescent="0.15">
      <c r="A424" s="8"/>
      <c r="B424" s="8"/>
      <c r="C424" s="8"/>
      <c r="D424" s="8"/>
      <c r="E424" s="9"/>
      <c r="F424" s="8"/>
      <c r="G424" s="10"/>
      <c r="H424" s="11"/>
      <c r="I424" s="8"/>
      <c r="J424" s="9"/>
      <c r="K424" s="8"/>
      <c r="L424" s="9"/>
      <c r="M424" s="8"/>
      <c r="N424" s="8"/>
      <c r="O424" s="9"/>
    </row>
    <row r="425" spans="1:15" x14ac:dyDescent="0.15">
      <c r="A425" s="8"/>
      <c r="B425" s="8"/>
      <c r="C425" s="8"/>
      <c r="D425" s="8"/>
      <c r="E425" s="9"/>
      <c r="F425" s="8"/>
      <c r="G425" s="10"/>
      <c r="H425" s="11"/>
      <c r="I425" s="8"/>
      <c r="J425" s="9"/>
      <c r="K425" s="8"/>
      <c r="L425" s="9"/>
      <c r="M425" s="8"/>
      <c r="N425" s="8"/>
      <c r="O425" s="9"/>
    </row>
    <row r="426" spans="1:15" x14ac:dyDescent="0.15">
      <c r="A426" s="8"/>
      <c r="B426" s="8"/>
      <c r="C426" s="8"/>
      <c r="D426" s="8"/>
      <c r="E426" s="9"/>
      <c r="F426" s="8"/>
      <c r="G426" s="10"/>
      <c r="H426" s="11"/>
      <c r="I426" s="8"/>
      <c r="J426" s="9"/>
      <c r="K426" s="8"/>
      <c r="L426" s="9"/>
      <c r="M426" s="8"/>
      <c r="N426" s="8"/>
      <c r="O426" s="9"/>
    </row>
    <row r="427" spans="1:15" x14ac:dyDescent="0.15">
      <c r="A427" s="8"/>
      <c r="B427" s="8"/>
      <c r="C427" s="8"/>
      <c r="D427" s="8"/>
      <c r="E427" s="9"/>
      <c r="F427" s="8"/>
      <c r="G427" s="10"/>
      <c r="H427" s="11"/>
      <c r="I427" s="8"/>
      <c r="J427" s="9"/>
      <c r="K427" s="8"/>
      <c r="L427" s="9"/>
      <c r="M427" s="8"/>
      <c r="N427" s="8"/>
      <c r="O427" s="9"/>
    </row>
    <row r="428" spans="1:15" x14ac:dyDescent="0.15">
      <c r="A428" s="8"/>
      <c r="B428" s="8"/>
      <c r="C428" s="8"/>
      <c r="D428" s="8"/>
      <c r="E428" s="9"/>
      <c r="F428" s="8"/>
      <c r="G428" s="10"/>
      <c r="H428" s="11"/>
      <c r="I428" s="8"/>
      <c r="J428" s="9"/>
      <c r="K428" s="8"/>
      <c r="L428" s="9"/>
      <c r="M428" s="8"/>
      <c r="N428" s="8"/>
      <c r="O428" s="9"/>
    </row>
    <row r="429" spans="1:15" x14ac:dyDescent="0.15">
      <c r="A429" s="8"/>
      <c r="B429" s="8"/>
      <c r="C429" s="8"/>
      <c r="D429" s="8"/>
      <c r="E429" s="9"/>
      <c r="F429" s="8"/>
      <c r="G429" s="10"/>
      <c r="H429" s="11"/>
      <c r="I429" s="8"/>
      <c r="J429" s="9"/>
      <c r="K429" s="8"/>
      <c r="L429" s="9"/>
      <c r="M429" s="8"/>
      <c r="N429" s="8"/>
      <c r="O429" s="9"/>
    </row>
    <row r="430" spans="1:15" x14ac:dyDescent="0.15">
      <c r="A430" s="8"/>
      <c r="B430" s="8"/>
      <c r="C430" s="8"/>
      <c r="D430" s="8"/>
      <c r="E430" s="9"/>
      <c r="F430" s="8"/>
      <c r="G430" s="10"/>
      <c r="H430" s="11"/>
      <c r="I430" s="8"/>
      <c r="J430" s="9"/>
      <c r="K430" s="8"/>
      <c r="L430" s="9"/>
      <c r="M430" s="8"/>
      <c r="N430" s="8"/>
      <c r="O430" s="9"/>
    </row>
    <row r="431" spans="1:15" x14ac:dyDescent="0.15">
      <c r="A431" s="8"/>
      <c r="B431" s="8"/>
      <c r="C431" s="8"/>
      <c r="D431" s="8"/>
      <c r="E431" s="9"/>
      <c r="F431" s="8"/>
      <c r="G431" s="10"/>
      <c r="H431" s="11"/>
      <c r="I431" s="8"/>
      <c r="J431" s="9"/>
      <c r="K431" s="8"/>
      <c r="L431" s="9"/>
      <c r="M431" s="8"/>
      <c r="N431" s="8"/>
      <c r="O431" s="9"/>
    </row>
    <row r="432" spans="1:15" x14ac:dyDescent="0.15">
      <c r="A432" s="8"/>
      <c r="B432" s="8"/>
      <c r="C432" s="8"/>
      <c r="D432" s="8"/>
      <c r="E432" s="9"/>
      <c r="F432" s="8"/>
      <c r="G432" s="10"/>
      <c r="H432" s="11"/>
      <c r="I432" s="8"/>
      <c r="J432" s="9"/>
      <c r="K432" s="8"/>
      <c r="L432" s="9"/>
      <c r="M432" s="8"/>
      <c r="N432" s="8"/>
      <c r="O432" s="9"/>
    </row>
    <row r="433" spans="1:15" x14ac:dyDescent="0.15">
      <c r="A433" s="8"/>
      <c r="B433" s="8"/>
      <c r="C433" s="8"/>
      <c r="D433" s="8"/>
      <c r="E433" s="9"/>
      <c r="F433" s="8"/>
      <c r="G433" s="10"/>
      <c r="H433" s="11"/>
      <c r="I433" s="8"/>
      <c r="J433" s="9"/>
      <c r="K433" s="8"/>
      <c r="L433" s="9"/>
      <c r="M433" s="8"/>
      <c r="N433" s="8"/>
      <c r="O433" s="9"/>
    </row>
    <row r="434" spans="1:15" x14ac:dyDescent="0.15">
      <c r="A434" s="8"/>
      <c r="B434" s="8"/>
      <c r="C434" s="8"/>
      <c r="D434" s="8"/>
      <c r="E434" s="9"/>
      <c r="F434" s="8"/>
      <c r="G434" s="10"/>
      <c r="H434" s="11"/>
      <c r="I434" s="8"/>
      <c r="J434" s="9"/>
      <c r="K434" s="8"/>
      <c r="L434" s="9"/>
      <c r="M434" s="8"/>
      <c r="N434" s="8"/>
      <c r="O434" s="9"/>
    </row>
    <row r="435" spans="1:15" x14ac:dyDescent="0.15">
      <c r="A435" s="8"/>
      <c r="B435" s="8"/>
      <c r="C435" s="8"/>
      <c r="D435" s="8"/>
      <c r="E435" s="9"/>
      <c r="F435" s="8"/>
      <c r="G435" s="10"/>
      <c r="H435" s="11"/>
      <c r="I435" s="8"/>
      <c r="J435" s="9"/>
      <c r="K435" s="8"/>
      <c r="L435" s="9"/>
      <c r="M435" s="8"/>
      <c r="N435" s="8"/>
      <c r="O435" s="9"/>
    </row>
    <row r="436" spans="1:15" x14ac:dyDescent="0.15">
      <c r="A436" s="8"/>
      <c r="B436" s="8"/>
      <c r="C436" s="8"/>
      <c r="D436" s="8"/>
      <c r="E436" s="9"/>
      <c r="F436" s="8"/>
      <c r="G436" s="10"/>
      <c r="H436" s="11"/>
      <c r="I436" s="8"/>
      <c r="J436" s="9"/>
      <c r="K436" s="8"/>
      <c r="L436" s="9"/>
      <c r="M436" s="8"/>
      <c r="N436" s="8"/>
      <c r="O436" s="9"/>
    </row>
    <row r="437" spans="1:15" x14ac:dyDescent="0.15">
      <c r="A437" s="8"/>
      <c r="B437" s="8"/>
      <c r="C437" s="8"/>
      <c r="D437" s="8"/>
      <c r="E437" s="9"/>
      <c r="F437" s="8"/>
      <c r="G437" s="10"/>
      <c r="H437" s="11"/>
      <c r="I437" s="8"/>
      <c r="J437" s="9"/>
      <c r="K437" s="8"/>
      <c r="L437" s="9"/>
      <c r="M437" s="8"/>
      <c r="N437" s="8"/>
      <c r="O437" s="9"/>
    </row>
    <row r="438" spans="1:15" x14ac:dyDescent="0.15">
      <c r="A438" s="8"/>
      <c r="B438" s="8"/>
      <c r="C438" s="8"/>
      <c r="D438" s="8"/>
      <c r="E438" s="9"/>
      <c r="F438" s="8"/>
      <c r="G438" s="10"/>
      <c r="H438" s="11"/>
      <c r="I438" s="8"/>
      <c r="J438" s="9"/>
      <c r="K438" s="8"/>
      <c r="L438" s="9"/>
      <c r="M438" s="8"/>
      <c r="N438" s="8"/>
      <c r="O438" s="9"/>
    </row>
    <row r="439" spans="1:15" x14ac:dyDescent="0.15">
      <c r="A439" s="8"/>
      <c r="B439" s="8"/>
      <c r="C439" s="8"/>
      <c r="D439" s="8"/>
      <c r="E439" s="9"/>
      <c r="F439" s="8"/>
      <c r="G439" s="10"/>
      <c r="H439" s="11"/>
      <c r="I439" s="8"/>
      <c r="J439" s="9"/>
      <c r="K439" s="8"/>
      <c r="L439" s="9"/>
      <c r="M439" s="8"/>
      <c r="N439" s="8"/>
      <c r="O439" s="9"/>
    </row>
    <row r="440" spans="1:15" x14ac:dyDescent="0.15">
      <c r="A440" s="8"/>
      <c r="B440" s="8"/>
      <c r="C440" s="8"/>
      <c r="D440" s="8"/>
      <c r="E440" s="9"/>
      <c r="F440" s="8"/>
      <c r="G440" s="10"/>
      <c r="H440" s="11"/>
      <c r="I440" s="8"/>
      <c r="J440" s="9"/>
      <c r="K440" s="8"/>
      <c r="L440" s="9"/>
      <c r="M440" s="8"/>
      <c r="N440" s="8"/>
      <c r="O440" s="9"/>
    </row>
    <row r="441" spans="1:15" x14ac:dyDescent="0.15">
      <c r="A441" s="8"/>
      <c r="B441" s="8"/>
      <c r="C441" s="8"/>
      <c r="D441" s="8"/>
      <c r="E441" s="9"/>
      <c r="F441" s="8"/>
      <c r="G441" s="10"/>
      <c r="H441" s="11"/>
      <c r="I441" s="8"/>
      <c r="J441" s="9"/>
      <c r="K441" s="8"/>
      <c r="L441" s="9"/>
      <c r="M441" s="8"/>
      <c r="N441" s="8"/>
      <c r="O441" s="9"/>
    </row>
    <row r="442" spans="1:15" x14ac:dyDescent="0.15">
      <c r="A442" s="8"/>
      <c r="B442" s="8"/>
      <c r="C442" s="8"/>
      <c r="D442" s="8"/>
      <c r="E442" s="9"/>
      <c r="F442" s="8"/>
      <c r="G442" s="10"/>
      <c r="H442" s="11"/>
      <c r="I442" s="8"/>
      <c r="J442" s="9"/>
      <c r="K442" s="8"/>
      <c r="L442" s="9"/>
      <c r="M442" s="8"/>
      <c r="N442" s="8"/>
      <c r="O442" s="9"/>
    </row>
    <row r="443" spans="1:15" x14ac:dyDescent="0.15">
      <c r="A443" s="8"/>
      <c r="B443" s="8"/>
      <c r="C443" s="8"/>
      <c r="D443" s="8"/>
      <c r="E443" s="9"/>
      <c r="F443" s="8"/>
      <c r="G443" s="10"/>
      <c r="H443" s="11"/>
      <c r="I443" s="8"/>
      <c r="J443" s="9"/>
      <c r="K443" s="8"/>
      <c r="L443" s="9"/>
      <c r="M443" s="8"/>
      <c r="N443" s="8"/>
      <c r="O443" s="9"/>
    </row>
    <row r="444" spans="1:15" x14ac:dyDescent="0.15">
      <c r="A444" s="8"/>
      <c r="B444" s="8"/>
      <c r="C444" s="8"/>
      <c r="D444" s="8"/>
      <c r="E444" s="9"/>
      <c r="F444" s="8"/>
      <c r="G444" s="10"/>
      <c r="H444" s="11"/>
      <c r="I444" s="8"/>
      <c r="J444" s="9"/>
      <c r="K444" s="8"/>
      <c r="L444" s="9"/>
      <c r="M444" s="8"/>
      <c r="N444" s="8"/>
      <c r="O444" s="9"/>
    </row>
    <row r="445" spans="1:15" x14ac:dyDescent="0.15">
      <c r="A445" s="8"/>
      <c r="B445" s="8"/>
      <c r="C445" s="8"/>
      <c r="D445" s="8"/>
      <c r="E445" s="9"/>
      <c r="F445" s="8"/>
      <c r="G445" s="10"/>
      <c r="H445" s="11"/>
      <c r="I445" s="8"/>
      <c r="J445" s="9"/>
      <c r="K445" s="8"/>
      <c r="L445" s="9"/>
      <c r="M445" s="8"/>
      <c r="N445" s="8"/>
      <c r="O445" s="9"/>
    </row>
    <row r="446" spans="1:15" x14ac:dyDescent="0.15">
      <c r="A446" s="8"/>
      <c r="B446" s="8"/>
      <c r="C446" s="8"/>
      <c r="D446" s="8"/>
      <c r="E446" s="9"/>
      <c r="F446" s="8"/>
      <c r="G446" s="10"/>
      <c r="H446" s="11"/>
      <c r="I446" s="8"/>
      <c r="J446" s="9"/>
      <c r="K446" s="8"/>
      <c r="L446" s="9"/>
      <c r="M446" s="8"/>
      <c r="N446" s="8"/>
      <c r="O446" s="9"/>
    </row>
    <row r="447" spans="1:15" x14ac:dyDescent="0.15">
      <c r="A447" s="8"/>
      <c r="B447" s="8"/>
      <c r="C447" s="8"/>
      <c r="D447" s="8"/>
      <c r="E447" s="9"/>
      <c r="F447" s="8"/>
      <c r="G447" s="10"/>
      <c r="H447" s="11"/>
      <c r="I447" s="8"/>
      <c r="J447" s="9"/>
      <c r="K447" s="8"/>
      <c r="L447" s="9"/>
      <c r="M447" s="8"/>
      <c r="N447" s="8"/>
      <c r="O447" s="9"/>
    </row>
    <row r="448" spans="1:15" x14ac:dyDescent="0.15">
      <c r="A448" s="8"/>
      <c r="B448" s="8"/>
      <c r="C448" s="8"/>
      <c r="D448" s="8"/>
      <c r="E448" s="9"/>
      <c r="F448" s="8"/>
      <c r="G448" s="10"/>
      <c r="H448" s="11"/>
      <c r="I448" s="8"/>
      <c r="J448" s="9"/>
      <c r="K448" s="8"/>
      <c r="L448" s="9"/>
      <c r="M448" s="8"/>
      <c r="N448" s="8"/>
      <c r="O448" s="9"/>
    </row>
    <row r="449" spans="1:15" x14ac:dyDescent="0.15">
      <c r="A449" s="8"/>
      <c r="B449" s="8"/>
      <c r="C449" s="8"/>
      <c r="D449" s="8"/>
      <c r="E449" s="9"/>
      <c r="F449" s="8"/>
      <c r="G449" s="10"/>
      <c r="H449" s="11"/>
      <c r="I449" s="8"/>
      <c r="J449" s="9"/>
      <c r="K449" s="8"/>
      <c r="L449" s="9"/>
      <c r="M449" s="8"/>
      <c r="N449" s="8"/>
      <c r="O449" s="9"/>
    </row>
    <row r="450" spans="1:15" x14ac:dyDescent="0.15">
      <c r="A450" s="8"/>
      <c r="B450" s="8"/>
      <c r="C450" s="8"/>
      <c r="D450" s="8"/>
      <c r="E450" s="9"/>
      <c r="F450" s="8"/>
      <c r="G450" s="10"/>
      <c r="H450" s="11"/>
      <c r="I450" s="8"/>
      <c r="J450" s="9"/>
      <c r="K450" s="8"/>
      <c r="L450" s="9"/>
      <c r="M450" s="8"/>
      <c r="N450" s="8"/>
      <c r="O450" s="9"/>
    </row>
    <row r="451" spans="1:15" x14ac:dyDescent="0.15">
      <c r="A451" s="8"/>
      <c r="B451" s="8"/>
      <c r="C451" s="8"/>
      <c r="D451" s="8"/>
      <c r="E451" s="9"/>
      <c r="F451" s="8"/>
      <c r="G451" s="10"/>
      <c r="H451" s="11"/>
      <c r="I451" s="8"/>
      <c r="J451" s="9"/>
      <c r="K451" s="8"/>
      <c r="L451" s="9"/>
      <c r="M451" s="8"/>
      <c r="N451" s="8"/>
      <c r="O451" s="9"/>
    </row>
    <row r="452" spans="1:15" x14ac:dyDescent="0.15">
      <c r="A452" s="8"/>
      <c r="B452" s="8"/>
      <c r="C452" s="8"/>
      <c r="D452" s="8"/>
      <c r="E452" s="9"/>
      <c r="F452" s="8"/>
      <c r="G452" s="10"/>
      <c r="H452" s="11"/>
      <c r="I452" s="8"/>
      <c r="J452" s="9"/>
      <c r="K452" s="8"/>
      <c r="L452" s="9"/>
      <c r="M452" s="8"/>
      <c r="N452" s="8"/>
      <c r="O452" s="9"/>
    </row>
    <row r="453" spans="1:15" x14ac:dyDescent="0.15">
      <c r="A453" s="8"/>
      <c r="B453" s="8"/>
      <c r="C453" s="8"/>
      <c r="D453" s="8"/>
      <c r="E453" s="9"/>
      <c r="F453" s="8"/>
      <c r="G453" s="10"/>
      <c r="H453" s="11"/>
      <c r="I453" s="8"/>
      <c r="J453" s="9"/>
      <c r="K453" s="8"/>
      <c r="L453" s="9"/>
      <c r="M453" s="8"/>
      <c r="N453" s="8"/>
      <c r="O453" s="9"/>
    </row>
    <row r="454" spans="1:15" x14ac:dyDescent="0.15">
      <c r="A454" s="8"/>
      <c r="B454" s="8"/>
      <c r="C454" s="8"/>
      <c r="D454" s="8"/>
      <c r="E454" s="9"/>
      <c r="F454" s="8"/>
      <c r="G454" s="10"/>
      <c r="H454" s="11"/>
      <c r="I454" s="8"/>
      <c r="J454" s="9"/>
      <c r="K454" s="8"/>
      <c r="L454" s="9"/>
      <c r="M454" s="8"/>
      <c r="N454" s="8"/>
      <c r="O454" s="9"/>
    </row>
    <row r="455" spans="1:15" x14ac:dyDescent="0.15">
      <c r="A455" s="8"/>
      <c r="B455" s="8"/>
      <c r="C455" s="8"/>
      <c r="D455" s="8"/>
      <c r="E455" s="9"/>
      <c r="F455" s="8"/>
      <c r="G455" s="10"/>
      <c r="H455" s="11"/>
      <c r="I455" s="8"/>
      <c r="J455" s="9"/>
      <c r="K455" s="8"/>
      <c r="L455" s="9"/>
      <c r="M455" s="8"/>
      <c r="N455" s="8"/>
      <c r="O455" s="9"/>
    </row>
    <row r="456" spans="1:15" x14ac:dyDescent="0.15">
      <c r="A456" s="8"/>
      <c r="B456" s="8"/>
      <c r="C456" s="8"/>
      <c r="D456" s="8"/>
      <c r="E456" s="9"/>
      <c r="F456" s="8"/>
      <c r="G456" s="10"/>
      <c r="H456" s="11"/>
      <c r="I456" s="8"/>
      <c r="J456" s="9"/>
      <c r="K456" s="8"/>
      <c r="L456" s="9"/>
      <c r="M456" s="8"/>
      <c r="N456" s="8"/>
      <c r="O456" s="9"/>
    </row>
    <row r="457" spans="1:15" x14ac:dyDescent="0.15">
      <c r="A457" s="8"/>
      <c r="B457" s="8"/>
      <c r="C457" s="8"/>
      <c r="D457" s="8"/>
      <c r="E457" s="9"/>
      <c r="F457" s="8"/>
      <c r="G457" s="10"/>
      <c r="H457" s="11"/>
      <c r="I457" s="8"/>
      <c r="J457" s="9"/>
      <c r="K457" s="8"/>
      <c r="L457" s="9"/>
      <c r="M457" s="8"/>
      <c r="N457" s="8"/>
      <c r="O457" s="9"/>
    </row>
    <row r="458" spans="1:15" x14ac:dyDescent="0.15">
      <c r="A458" s="8"/>
      <c r="B458" s="8"/>
      <c r="C458" s="8"/>
      <c r="D458" s="8"/>
      <c r="E458" s="9"/>
      <c r="F458" s="8"/>
      <c r="G458" s="10"/>
      <c r="H458" s="11"/>
      <c r="I458" s="8"/>
      <c r="J458" s="9"/>
      <c r="K458" s="8"/>
      <c r="L458" s="9"/>
      <c r="M458" s="8"/>
      <c r="N458" s="8"/>
      <c r="O458" s="9"/>
    </row>
    <row r="459" spans="1:15" x14ac:dyDescent="0.15">
      <c r="A459" s="8"/>
      <c r="B459" s="8"/>
      <c r="C459" s="8"/>
      <c r="D459" s="8"/>
      <c r="E459" s="9"/>
      <c r="F459" s="8"/>
      <c r="G459" s="10"/>
      <c r="H459" s="11"/>
      <c r="I459" s="8"/>
      <c r="J459" s="9"/>
      <c r="K459" s="8"/>
      <c r="L459" s="9"/>
      <c r="M459" s="8"/>
      <c r="N459" s="8"/>
      <c r="O459" s="9"/>
    </row>
    <row r="460" spans="1:15" x14ac:dyDescent="0.15">
      <c r="A460" s="8"/>
      <c r="B460" s="8"/>
      <c r="C460" s="8"/>
      <c r="D460" s="8"/>
      <c r="E460" s="9"/>
      <c r="F460" s="8"/>
      <c r="G460" s="10"/>
      <c r="H460" s="11"/>
      <c r="I460" s="8"/>
      <c r="J460" s="9"/>
      <c r="K460" s="8"/>
      <c r="L460" s="9"/>
      <c r="M460" s="8"/>
      <c r="N460" s="8"/>
      <c r="O460" s="9"/>
    </row>
    <row r="461" spans="1:15" x14ac:dyDescent="0.15">
      <c r="A461" s="8"/>
      <c r="B461" s="8"/>
      <c r="C461" s="8"/>
      <c r="D461" s="8"/>
      <c r="E461" s="9"/>
      <c r="F461" s="8"/>
      <c r="G461" s="10"/>
      <c r="H461" s="11"/>
      <c r="I461" s="8"/>
      <c r="J461" s="9"/>
      <c r="K461" s="8"/>
      <c r="L461" s="9"/>
      <c r="M461" s="8"/>
      <c r="N461" s="8"/>
      <c r="O461" s="9"/>
    </row>
    <row r="462" spans="1:15" x14ac:dyDescent="0.15">
      <c r="A462" s="8"/>
      <c r="B462" s="8"/>
      <c r="C462" s="8"/>
      <c r="D462" s="8"/>
      <c r="E462" s="9"/>
      <c r="F462" s="8"/>
      <c r="G462" s="10"/>
      <c r="H462" s="11"/>
      <c r="I462" s="8"/>
      <c r="J462" s="9"/>
      <c r="K462" s="8"/>
      <c r="L462" s="9"/>
      <c r="M462" s="8"/>
      <c r="N462" s="8"/>
      <c r="O462" s="9"/>
    </row>
    <row r="463" spans="1:15" x14ac:dyDescent="0.15">
      <c r="A463" s="8"/>
      <c r="B463" s="8"/>
      <c r="C463" s="8"/>
      <c r="D463" s="8"/>
      <c r="E463" s="9"/>
      <c r="F463" s="8"/>
      <c r="G463" s="10"/>
      <c r="H463" s="11"/>
      <c r="I463" s="8"/>
      <c r="J463" s="9"/>
      <c r="K463" s="8"/>
      <c r="L463" s="9"/>
      <c r="M463" s="8"/>
      <c r="N463" s="8"/>
      <c r="O463" s="9"/>
    </row>
    <row r="464" spans="1:15" x14ac:dyDescent="0.15">
      <c r="A464" s="8"/>
      <c r="B464" s="8"/>
      <c r="C464" s="8"/>
      <c r="D464" s="8"/>
      <c r="E464" s="9"/>
      <c r="F464" s="8"/>
      <c r="G464" s="10"/>
      <c r="H464" s="11"/>
      <c r="I464" s="8"/>
      <c r="J464" s="9"/>
      <c r="K464" s="8"/>
      <c r="L464" s="9"/>
      <c r="M464" s="8"/>
      <c r="N464" s="8"/>
      <c r="O464" s="9"/>
    </row>
    <row r="465" spans="1:15" x14ac:dyDescent="0.15">
      <c r="A465" s="8"/>
      <c r="B465" s="8"/>
      <c r="C465" s="8"/>
      <c r="D465" s="8"/>
      <c r="E465" s="9"/>
      <c r="F465" s="8"/>
      <c r="G465" s="10"/>
      <c r="H465" s="11"/>
      <c r="I465" s="8"/>
      <c r="J465" s="9"/>
      <c r="K465" s="8"/>
      <c r="L465" s="9"/>
      <c r="M465" s="8"/>
      <c r="N465" s="8"/>
      <c r="O465" s="9"/>
    </row>
    <row r="466" spans="1:15" x14ac:dyDescent="0.15">
      <c r="A466" s="8"/>
      <c r="B466" s="8"/>
      <c r="C466" s="8"/>
      <c r="D466" s="8"/>
      <c r="E466" s="9"/>
      <c r="F466" s="8"/>
      <c r="G466" s="10"/>
      <c r="H466" s="11"/>
      <c r="I466" s="8"/>
      <c r="J466" s="9"/>
      <c r="K466" s="8"/>
      <c r="L466" s="9"/>
      <c r="M466" s="8"/>
      <c r="N466" s="8"/>
      <c r="O466" s="9"/>
    </row>
    <row r="467" spans="1:15" x14ac:dyDescent="0.15">
      <c r="A467" s="8"/>
      <c r="B467" s="8"/>
      <c r="C467" s="8"/>
      <c r="D467" s="8"/>
      <c r="E467" s="9"/>
      <c r="F467" s="8"/>
      <c r="G467" s="10"/>
      <c r="H467" s="11"/>
      <c r="I467" s="8"/>
      <c r="J467" s="9"/>
      <c r="K467" s="8"/>
      <c r="L467" s="9"/>
      <c r="M467" s="8"/>
      <c r="N467" s="8"/>
      <c r="O467" s="9"/>
    </row>
    <row r="468" spans="1:15" x14ac:dyDescent="0.15">
      <c r="A468" s="8"/>
      <c r="B468" s="8"/>
      <c r="C468" s="8"/>
      <c r="D468" s="8"/>
      <c r="E468" s="9"/>
      <c r="F468" s="8"/>
      <c r="G468" s="10"/>
      <c r="H468" s="11"/>
      <c r="I468" s="8"/>
      <c r="J468" s="9"/>
      <c r="K468" s="8"/>
      <c r="L468" s="9"/>
      <c r="M468" s="8"/>
      <c r="N468" s="8"/>
      <c r="O468" s="9"/>
    </row>
    <row r="469" spans="1:15" x14ac:dyDescent="0.15">
      <c r="A469" s="8"/>
      <c r="B469" s="8"/>
      <c r="C469" s="8"/>
      <c r="D469" s="8"/>
      <c r="E469" s="9"/>
      <c r="F469" s="8"/>
      <c r="G469" s="10"/>
      <c r="H469" s="11"/>
      <c r="I469" s="8"/>
      <c r="J469" s="9"/>
      <c r="K469" s="8"/>
      <c r="L469" s="9"/>
      <c r="M469" s="8"/>
      <c r="N469" s="8"/>
      <c r="O469" s="9"/>
    </row>
    <row r="470" spans="1:15" x14ac:dyDescent="0.15">
      <c r="A470" s="8"/>
      <c r="B470" s="8"/>
      <c r="C470" s="8"/>
      <c r="D470" s="8"/>
      <c r="E470" s="9"/>
      <c r="F470" s="8"/>
      <c r="G470" s="10"/>
      <c r="H470" s="11"/>
      <c r="I470" s="8"/>
      <c r="J470" s="9"/>
      <c r="K470" s="8"/>
      <c r="L470" s="9"/>
      <c r="M470" s="8"/>
      <c r="N470" s="8"/>
      <c r="O470" s="9"/>
    </row>
    <row r="471" spans="1:15" x14ac:dyDescent="0.15">
      <c r="A471" s="8"/>
      <c r="B471" s="8"/>
      <c r="C471" s="8"/>
      <c r="D471" s="8"/>
      <c r="E471" s="9"/>
      <c r="F471" s="8"/>
      <c r="G471" s="10"/>
      <c r="H471" s="11"/>
      <c r="I471" s="8"/>
      <c r="J471" s="9"/>
      <c r="K471" s="8"/>
      <c r="L471" s="9"/>
      <c r="M471" s="8"/>
      <c r="N471" s="8"/>
      <c r="O471" s="9"/>
    </row>
    <row r="472" spans="1:15" x14ac:dyDescent="0.15">
      <c r="A472" s="8"/>
      <c r="B472" s="8"/>
      <c r="C472" s="8"/>
      <c r="D472" s="8"/>
      <c r="E472" s="9"/>
      <c r="F472" s="8"/>
      <c r="G472" s="10"/>
      <c r="H472" s="11"/>
      <c r="I472" s="8"/>
      <c r="J472" s="9"/>
      <c r="K472" s="8"/>
      <c r="L472" s="9"/>
      <c r="M472" s="8"/>
      <c r="N472" s="8"/>
      <c r="O472" s="9"/>
    </row>
    <row r="473" spans="1:15" x14ac:dyDescent="0.15">
      <c r="A473" s="8"/>
      <c r="B473" s="8"/>
      <c r="C473" s="8"/>
      <c r="D473" s="8"/>
      <c r="E473" s="9"/>
      <c r="F473" s="8"/>
      <c r="G473" s="10"/>
      <c r="H473" s="11"/>
      <c r="I473" s="8"/>
      <c r="J473" s="9"/>
      <c r="K473" s="8"/>
      <c r="L473" s="9"/>
      <c r="M473" s="8"/>
      <c r="N473" s="8"/>
      <c r="O473" s="9"/>
    </row>
    <row r="474" spans="1:15" x14ac:dyDescent="0.15">
      <c r="A474" s="8"/>
      <c r="B474" s="8"/>
      <c r="C474" s="8"/>
      <c r="D474" s="8"/>
      <c r="E474" s="9"/>
      <c r="F474" s="8"/>
      <c r="G474" s="10"/>
      <c r="H474" s="11"/>
      <c r="I474" s="8"/>
      <c r="J474" s="9"/>
      <c r="K474" s="8"/>
      <c r="L474" s="9"/>
      <c r="M474" s="8"/>
      <c r="N474" s="8"/>
      <c r="O474" s="9"/>
    </row>
    <row r="475" spans="1:15" x14ac:dyDescent="0.15">
      <c r="A475" s="8"/>
      <c r="B475" s="8"/>
      <c r="C475" s="8"/>
      <c r="D475" s="8"/>
      <c r="E475" s="9"/>
      <c r="F475" s="8"/>
      <c r="G475" s="10"/>
      <c r="H475" s="11"/>
      <c r="I475" s="8"/>
      <c r="J475" s="9"/>
      <c r="K475" s="8"/>
      <c r="L475" s="9"/>
      <c r="M475" s="8"/>
      <c r="N475" s="8"/>
      <c r="O475" s="9"/>
    </row>
    <row r="476" spans="1:15" x14ac:dyDescent="0.15">
      <c r="A476" s="8"/>
      <c r="B476" s="8"/>
      <c r="C476" s="8"/>
      <c r="D476" s="8"/>
      <c r="E476" s="9"/>
      <c r="F476" s="8"/>
      <c r="G476" s="10"/>
      <c r="H476" s="11"/>
      <c r="I476" s="8"/>
      <c r="J476" s="9"/>
      <c r="K476" s="8"/>
      <c r="L476" s="9"/>
      <c r="M476" s="8"/>
      <c r="N476" s="8"/>
      <c r="O476" s="9"/>
    </row>
    <row r="477" spans="1:15" x14ac:dyDescent="0.15">
      <c r="A477" s="8"/>
      <c r="B477" s="8"/>
      <c r="C477" s="8"/>
      <c r="D477" s="8"/>
      <c r="E477" s="9"/>
      <c r="F477" s="8"/>
      <c r="G477" s="10"/>
      <c r="H477" s="11"/>
      <c r="I477" s="8"/>
      <c r="J477" s="9"/>
      <c r="K477" s="8"/>
      <c r="L477" s="9"/>
      <c r="M477" s="8"/>
      <c r="N477" s="8"/>
      <c r="O477" s="9"/>
    </row>
    <row r="478" spans="1:15" x14ac:dyDescent="0.15">
      <c r="A478" s="8"/>
      <c r="B478" s="8"/>
      <c r="C478" s="8"/>
      <c r="D478" s="8"/>
      <c r="E478" s="9"/>
      <c r="F478" s="8"/>
      <c r="G478" s="10"/>
      <c r="H478" s="11"/>
      <c r="I478" s="8"/>
      <c r="J478" s="9"/>
      <c r="K478" s="8"/>
      <c r="L478" s="9"/>
      <c r="M478" s="8"/>
      <c r="N478" s="8"/>
      <c r="O478" s="9"/>
    </row>
    <row r="479" spans="1:15" x14ac:dyDescent="0.15">
      <c r="A479" s="8"/>
      <c r="B479" s="8"/>
      <c r="C479" s="8"/>
      <c r="D479" s="8"/>
      <c r="E479" s="9"/>
      <c r="F479" s="8"/>
      <c r="G479" s="10"/>
      <c r="H479" s="11"/>
      <c r="I479" s="8"/>
      <c r="J479" s="9"/>
      <c r="K479" s="8"/>
      <c r="L479" s="9"/>
      <c r="M479" s="8"/>
      <c r="N479" s="8"/>
      <c r="O479" s="9"/>
    </row>
    <row r="480" spans="1:15" x14ac:dyDescent="0.15">
      <c r="A480" s="8"/>
      <c r="B480" s="8"/>
      <c r="C480" s="8"/>
      <c r="D480" s="8"/>
      <c r="E480" s="9"/>
      <c r="F480" s="8"/>
      <c r="G480" s="10"/>
      <c r="H480" s="11"/>
      <c r="I480" s="8"/>
      <c r="J480" s="9"/>
      <c r="K480" s="8"/>
      <c r="L480" s="9"/>
      <c r="M480" s="8"/>
      <c r="N480" s="8"/>
      <c r="O480" s="9"/>
    </row>
    <row r="481" spans="1:15" x14ac:dyDescent="0.15">
      <c r="A481" s="8"/>
      <c r="B481" s="8"/>
      <c r="C481" s="8"/>
      <c r="D481" s="8"/>
      <c r="E481" s="9"/>
      <c r="F481" s="8"/>
      <c r="G481" s="10"/>
      <c r="H481" s="11"/>
      <c r="I481" s="8"/>
      <c r="J481" s="9"/>
      <c r="K481" s="8"/>
      <c r="L481" s="9"/>
      <c r="M481" s="8"/>
      <c r="N481" s="8"/>
      <c r="O481" s="9"/>
    </row>
    <row r="482" spans="1:15" x14ac:dyDescent="0.15">
      <c r="A482" s="8"/>
      <c r="B482" s="8"/>
      <c r="C482" s="8"/>
      <c r="D482" s="8"/>
      <c r="E482" s="9"/>
      <c r="F482" s="8"/>
      <c r="G482" s="10"/>
      <c r="H482" s="11"/>
      <c r="I482" s="8"/>
      <c r="J482" s="9"/>
      <c r="K482" s="8"/>
      <c r="L482" s="9"/>
      <c r="M482" s="8"/>
      <c r="N482" s="8"/>
      <c r="O482" s="9"/>
    </row>
    <row r="483" spans="1:15" x14ac:dyDescent="0.15">
      <c r="A483" s="8"/>
      <c r="B483" s="8"/>
      <c r="C483" s="8"/>
      <c r="D483" s="8"/>
      <c r="E483" s="9"/>
      <c r="F483" s="8"/>
      <c r="G483" s="10"/>
      <c r="H483" s="11"/>
      <c r="I483" s="8"/>
      <c r="J483" s="9"/>
      <c r="K483" s="8"/>
      <c r="L483" s="9"/>
      <c r="M483" s="8"/>
      <c r="N483" s="8"/>
      <c r="O483" s="9"/>
    </row>
    <row r="484" spans="1:15" x14ac:dyDescent="0.15">
      <c r="A484" s="8"/>
      <c r="B484" s="8"/>
      <c r="C484" s="8"/>
      <c r="D484" s="8"/>
      <c r="E484" s="9"/>
      <c r="F484" s="8"/>
      <c r="G484" s="10"/>
      <c r="H484" s="11"/>
      <c r="I484" s="8"/>
      <c r="J484" s="9"/>
      <c r="K484" s="8"/>
      <c r="L484" s="9"/>
      <c r="M484" s="8"/>
      <c r="N484" s="8"/>
      <c r="O484" s="9"/>
    </row>
    <row r="485" spans="1:15" x14ac:dyDescent="0.15">
      <c r="A485" s="8"/>
      <c r="B485" s="8"/>
      <c r="C485" s="8"/>
      <c r="D485" s="8"/>
      <c r="E485" s="9"/>
      <c r="F485" s="8"/>
      <c r="G485" s="10"/>
      <c r="H485" s="11"/>
      <c r="I485" s="8"/>
      <c r="J485" s="9"/>
      <c r="K485" s="8"/>
      <c r="L485" s="9"/>
      <c r="M485" s="8"/>
      <c r="N485" s="8"/>
      <c r="O485" s="9"/>
    </row>
    <row r="486" spans="1:15" x14ac:dyDescent="0.15">
      <c r="A486" s="8"/>
      <c r="B486" s="8"/>
      <c r="C486" s="8"/>
      <c r="D486" s="8"/>
      <c r="E486" s="9"/>
      <c r="F486" s="8"/>
      <c r="G486" s="10"/>
      <c r="H486" s="11"/>
      <c r="I486" s="8"/>
      <c r="J486" s="9"/>
      <c r="K486" s="8"/>
      <c r="L486" s="9"/>
      <c r="M486" s="8"/>
      <c r="N486" s="8"/>
      <c r="O486" s="9"/>
    </row>
    <row r="487" spans="1:15" x14ac:dyDescent="0.15">
      <c r="A487" s="8"/>
      <c r="B487" s="8"/>
      <c r="C487" s="8"/>
      <c r="D487" s="8"/>
      <c r="E487" s="9"/>
      <c r="F487" s="8"/>
      <c r="G487" s="10"/>
      <c r="H487" s="11"/>
      <c r="I487" s="8"/>
      <c r="J487" s="9"/>
      <c r="K487" s="8"/>
      <c r="L487" s="9"/>
      <c r="M487" s="8"/>
      <c r="N487" s="8"/>
      <c r="O487" s="9"/>
    </row>
    <row r="488" spans="1:15" x14ac:dyDescent="0.15">
      <c r="A488" s="8"/>
      <c r="B488" s="8"/>
      <c r="C488" s="8"/>
      <c r="D488" s="8"/>
      <c r="E488" s="9"/>
      <c r="F488" s="8"/>
      <c r="G488" s="10"/>
      <c r="H488" s="11"/>
      <c r="I488" s="8"/>
      <c r="J488" s="9"/>
      <c r="K488" s="8"/>
      <c r="L488" s="9"/>
      <c r="M488" s="8"/>
      <c r="N488" s="8"/>
      <c r="O488" s="9"/>
    </row>
    <row r="489" spans="1:15" x14ac:dyDescent="0.15">
      <c r="A489" s="8"/>
      <c r="B489" s="8"/>
      <c r="C489" s="8"/>
      <c r="D489" s="8"/>
      <c r="E489" s="9"/>
      <c r="F489" s="8"/>
      <c r="G489" s="10"/>
      <c r="H489" s="11"/>
      <c r="I489" s="8"/>
      <c r="J489" s="9"/>
      <c r="K489" s="8"/>
      <c r="L489" s="9"/>
      <c r="M489" s="8"/>
      <c r="N489" s="8"/>
      <c r="O489" s="9"/>
    </row>
    <row r="490" spans="1:15" x14ac:dyDescent="0.15">
      <c r="A490" s="8"/>
      <c r="B490" s="8"/>
      <c r="C490" s="8"/>
      <c r="D490" s="8"/>
      <c r="E490" s="9"/>
      <c r="F490" s="8"/>
      <c r="G490" s="10"/>
      <c r="H490" s="11"/>
      <c r="I490" s="8"/>
      <c r="J490" s="9"/>
      <c r="K490" s="8"/>
      <c r="L490" s="9"/>
      <c r="M490" s="8"/>
      <c r="N490" s="8"/>
      <c r="O490" s="9"/>
    </row>
    <row r="491" spans="1:15" x14ac:dyDescent="0.15">
      <c r="A491" s="8"/>
      <c r="B491" s="8"/>
      <c r="C491" s="8"/>
      <c r="D491" s="8"/>
      <c r="E491" s="9"/>
      <c r="F491" s="8"/>
      <c r="G491" s="10"/>
      <c r="H491" s="11"/>
      <c r="I491" s="8"/>
      <c r="J491" s="9"/>
      <c r="K491" s="8"/>
      <c r="L491" s="9"/>
      <c r="M491" s="8"/>
      <c r="N491" s="8"/>
      <c r="O491" s="9"/>
    </row>
    <row r="492" spans="1:15" x14ac:dyDescent="0.15">
      <c r="A492" s="8"/>
      <c r="B492" s="8"/>
      <c r="C492" s="8"/>
      <c r="D492" s="8"/>
      <c r="E492" s="9"/>
      <c r="F492" s="8"/>
      <c r="G492" s="10"/>
      <c r="H492" s="11"/>
      <c r="I492" s="8"/>
      <c r="J492" s="9"/>
      <c r="K492" s="8"/>
      <c r="L492" s="9"/>
      <c r="M492" s="8"/>
      <c r="N492" s="8"/>
      <c r="O492" s="9"/>
    </row>
    <row r="493" spans="1:15" x14ac:dyDescent="0.15">
      <c r="A493" s="8"/>
      <c r="B493" s="8"/>
      <c r="C493" s="8"/>
      <c r="D493" s="8"/>
      <c r="E493" s="9"/>
      <c r="F493" s="8"/>
      <c r="G493" s="10"/>
      <c r="H493" s="11"/>
      <c r="I493" s="8"/>
      <c r="J493" s="9"/>
      <c r="K493" s="8"/>
      <c r="L493" s="9"/>
      <c r="M493" s="8"/>
      <c r="N493" s="8"/>
      <c r="O493" s="9"/>
    </row>
    <row r="494" spans="1:15" x14ac:dyDescent="0.15">
      <c r="A494" s="8"/>
      <c r="B494" s="8"/>
      <c r="C494" s="8"/>
      <c r="D494" s="8"/>
      <c r="E494" s="9"/>
      <c r="F494" s="8"/>
      <c r="G494" s="10"/>
      <c r="H494" s="11"/>
      <c r="I494" s="8"/>
      <c r="J494" s="9"/>
      <c r="K494" s="8"/>
      <c r="L494" s="9"/>
      <c r="M494" s="8"/>
      <c r="N494" s="8"/>
      <c r="O494" s="9"/>
    </row>
    <row r="495" spans="1:15" x14ac:dyDescent="0.15">
      <c r="A495" s="8"/>
      <c r="B495" s="8"/>
      <c r="C495" s="8"/>
      <c r="D495" s="8"/>
      <c r="E495" s="9"/>
      <c r="F495" s="8"/>
      <c r="G495" s="10"/>
      <c r="H495" s="11"/>
      <c r="I495" s="8"/>
      <c r="J495" s="9"/>
      <c r="K495" s="8"/>
      <c r="L495" s="9"/>
      <c r="M495" s="8"/>
      <c r="N495" s="8"/>
      <c r="O495" s="9"/>
    </row>
    <row r="496" spans="1:15" x14ac:dyDescent="0.15">
      <c r="A496" s="8"/>
      <c r="B496" s="8"/>
      <c r="C496" s="8"/>
      <c r="D496" s="8"/>
      <c r="E496" s="9"/>
      <c r="F496" s="8"/>
      <c r="G496" s="10"/>
      <c r="H496" s="11"/>
      <c r="I496" s="8"/>
      <c r="J496" s="9"/>
      <c r="K496" s="8"/>
      <c r="L496" s="9"/>
      <c r="M496" s="8"/>
      <c r="N496" s="8"/>
      <c r="O496" s="9"/>
    </row>
    <row r="497" spans="1:15" x14ac:dyDescent="0.15">
      <c r="A497" s="8"/>
      <c r="B497" s="8"/>
      <c r="C497" s="8"/>
      <c r="D497" s="8"/>
      <c r="E497" s="9"/>
      <c r="F497" s="8"/>
      <c r="G497" s="10"/>
      <c r="H497" s="11"/>
      <c r="I497" s="8"/>
      <c r="J497" s="9"/>
      <c r="K497" s="8"/>
      <c r="L497" s="9"/>
      <c r="M497" s="8"/>
      <c r="N497" s="8"/>
      <c r="O497" s="9"/>
    </row>
    <row r="498" spans="1:15" x14ac:dyDescent="0.15">
      <c r="A498" s="8"/>
      <c r="B498" s="8"/>
      <c r="C498" s="8"/>
      <c r="D498" s="8"/>
      <c r="E498" s="9"/>
      <c r="F498" s="8"/>
      <c r="G498" s="10"/>
      <c r="H498" s="11"/>
      <c r="I498" s="8"/>
      <c r="J498" s="9"/>
      <c r="K498" s="8"/>
      <c r="L498" s="9"/>
      <c r="M498" s="8"/>
      <c r="N498" s="8"/>
      <c r="O498" s="9"/>
    </row>
    <row r="499" spans="1:15" x14ac:dyDescent="0.15">
      <c r="A499" s="8"/>
      <c r="B499" s="8"/>
      <c r="C499" s="8"/>
      <c r="D499" s="8"/>
      <c r="E499" s="9"/>
      <c r="F499" s="8"/>
      <c r="G499" s="10"/>
      <c r="H499" s="11"/>
      <c r="I499" s="8"/>
      <c r="J499" s="9"/>
      <c r="K499" s="8"/>
      <c r="L499" s="9"/>
      <c r="M499" s="8"/>
      <c r="N499" s="8"/>
      <c r="O499" s="9"/>
    </row>
    <row r="500" spans="1:15" x14ac:dyDescent="0.15">
      <c r="A500" s="8"/>
      <c r="B500" s="8"/>
      <c r="C500" s="8"/>
      <c r="D500" s="8"/>
      <c r="E500" s="9"/>
      <c r="F500" s="8"/>
      <c r="G500" s="10"/>
      <c r="H500" s="11"/>
      <c r="I500" s="8"/>
      <c r="J500" s="9"/>
      <c r="K500" s="8"/>
      <c r="L500" s="9"/>
      <c r="M500" s="8"/>
      <c r="N500" s="8"/>
      <c r="O500" s="9"/>
    </row>
    <row r="501" spans="1:15" x14ac:dyDescent="0.15">
      <c r="A501" s="8"/>
      <c r="B501" s="8"/>
      <c r="C501" s="8"/>
      <c r="D501" s="8"/>
      <c r="E501" s="9"/>
      <c r="F501" s="8"/>
      <c r="G501" s="10"/>
      <c r="H501" s="11"/>
      <c r="I501" s="8"/>
      <c r="J501" s="9"/>
      <c r="K501" s="8"/>
      <c r="L501" s="9"/>
      <c r="M501" s="8"/>
      <c r="N501" s="8"/>
      <c r="O501" s="9"/>
    </row>
    <row r="502" spans="1:15" x14ac:dyDescent="0.15">
      <c r="A502" s="8"/>
      <c r="B502" s="8"/>
      <c r="C502" s="8"/>
      <c r="D502" s="8"/>
      <c r="E502" s="9"/>
      <c r="F502" s="8"/>
      <c r="G502" s="10"/>
      <c r="H502" s="11"/>
      <c r="I502" s="8"/>
      <c r="J502" s="9"/>
      <c r="K502" s="8"/>
      <c r="L502" s="9"/>
      <c r="M502" s="8"/>
      <c r="N502" s="8"/>
      <c r="O502" s="9"/>
    </row>
    <row r="503" spans="1:15" x14ac:dyDescent="0.15">
      <c r="A503" s="8"/>
      <c r="B503" s="8"/>
      <c r="C503" s="8"/>
      <c r="D503" s="8"/>
      <c r="E503" s="9"/>
      <c r="F503" s="8"/>
      <c r="G503" s="10"/>
      <c r="H503" s="11"/>
      <c r="I503" s="8"/>
      <c r="J503" s="9"/>
      <c r="K503" s="8"/>
      <c r="L503" s="9"/>
      <c r="M503" s="8"/>
      <c r="N503" s="8"/>
      <c r="O503" s="9"/>
    </row>
    <row r="504" spans="1:15" x14ac:dyDescent="0.15">
      <c r="A504" s="8"/>
      <c r="B504" s="8"/>
      <c r="C504" s="8"/>
      <c r="D504" s="8"/>
      <c r="E504" s="9"/>
      <c r="F504" s="8"/>
      <c r="G504" s="10"/>
      <c r="H504" s="11"/>
      <c r="I504" s="8"/>
      <c r="J504" s="9"/>
      <c r="K504" s="8"/>
      <c r="L504" s="9"/>
      <c r="M504" s="8"/>
      <c r="N504" s="8"/>
      <c r="O504" s="9"/>
    </row>
    <row r="505" spans="1:15" x14ac:dyDescent="0.15">
      <c r="A505" s="8"/>
      <c r="B505" s="8"/>
      <c r="C505" s="8"/>
      <c r="D505" s="8"/>
      <c r="E505" s="9"/>
      <c r="F505" s="8"/>
      <c r="G505" s="10"/>
      <c r="H505" s="11"/>
      <c r="I505" s="8"/>
      <c r="J505" s="9"/>
      <c r="K505" s="8"/>
      <c r="L505" s="9"/>
      <c r="M505" s="8"/>
      <c r="N505" s="8"/>
      <c r="O505" s="9"/>
    </row>
    <row r="506" spans="1:15" x14ac:dyDescent="0.15">
      <c r="A506" s="8"/>
      <c r="B506" s="8"/>
      <c r="C506" s="8"/>
      <c r="D506" s="8"/>
      <c r="E506" s="9"/>
      <c r="F506" s="8"/>
      <c r="G506" s="10"/>
      <c r="H506" s="11"/>
      <c r="I506" s="8"/>
      <c r="J506" s="9"/>
      <c r="K506" s="8"/>
      <c r="L506" s="9"/>
      <c r="M506" s="8"/>
      <c r="N506" s="8"/>
      <c r="O506" s="9"/>
    </row>
    <row r="507" spans="1:15" x14ac:dyDescent="0.15">
      <c r="A507" s="8"/>
      <c r="B507" s="8"/>
      <c r="C507" s="8"/>
      <c r="D507" s="8"/>
      <c r="E507" s="9"/>
      <c r="F507" s="8"/>
      <c r="G507" s="10"/>
      <c r="H507" s="11"/>
      <c r="I507" s="8"/>
      <c r="J507" s="9"/>
      <c r="K507" s="8"/>
      <c r="L507" s="9"/>
      <c r="M507" s="8"/>
      <c r="N507" s="8"/>
      <c r="O507" s="9"/>
    </row>
    <row r="508" spans="1:15" x14ac:dyDescent="0.15">
      <c r="A508" s="8"/>
      <c r="B508" s="8"/>
      <c r="C508" s="8"/>
      <c r="D508" s="8"/>
      <c r="E508" s="9"/>
      <c r="F508" s="8"/>
      <c r="G508" s="10"/>
      <c r="H508" s="11"/>
      <c r="I508" s="8"/>
      <c r="J508" s="9"/>
      <c r="K508" s="8"/>
      <c r="L508" s="9"/>
      <c r="M508" s="8"/>
      <c r="N508" s="8"/>
      <c r="O508" s="9"/>
    </row>
    <row r="509" spans="1:15" x14ac:dyDescent="0.15">
      <c r="A509" s="8"/>
      <c r="B509" s="8"/>
      <c r="C509" s="8"/>
      <c r="D509" s="8"/>
      <c r="E509" s="9"/>
      <c r="F509" s="8"/>
      <c r="G509" s="10"/>
      <c r="H509" s="11"/>
      <c r="I509" s="8"/>
      <c r="J509" s="9"/>
      <c r="K509" s="8"/>
      <c r="L509" s="9"/>
      <c r="M509" s="8"/>
      <c r="N509" s="8"/>
      <c r="O509" s="9"/>
    </row>
    <row r="510" spans="1:15" x14ac:dyDescent="0.15">
      <c r="A510" s="8"/>
      <c r="B510" s="8"/>
      <c r="C510" s="8"/>
      <c r="D510" s="8"/>
      <c r="E510" s="9"/>
      <c r="F510" s="8"/>
      <c r="G510" s="10"/>
      <c r="H510" s="11"/>
      <c r="I510" s="8"/>
      <c r="J510" s="9"/>
      <c r="K510" s="8"/>
      <c r="L510" s="9"/>
      <c r="M510" s="8"/>
      <c r="N510" s="8"/>
      <c r="O510" s="9"/>
    </row>
    <row r="511" spans="1:15" x14ac:dyDescent="0.15">
      <c r="A511" s="8"/>
      <c r="B511" s="8"/>
      <c r="C511" s="8"/>
      <c r="D511" s="8"/>
      <c r="E511" s="9"/>
      <c r="F511" s="8"/>
      <c r="G511" s="10"/>
      <c r="H511" s="11"/>
      <c r="I511" s="8"/>
      <c r="J511" s="9"/>
      <c r="K511" s="8"/>
      <c r="L511" s="9"/>
      <c r="M511" s="8"/>
      <c r="N511" s="8"/>
      <c r="O511" s="9"/>
    </row>
    <row r="512" spans="1:15" x14ac:dyDescent="0.15">
      <c r="A512" s="8"/>
      <c r="B512" s="8"/>
      <c r="C512" s="8"/>
      <c r="D512" s="8"/>
      <c r="E512" s="9"/>
      <c r="F512" s="8"/>
      <c r="G512" s="10"/>
      <c r="H512" s="11"/>
      <c r="I512" s="8"/>
      <c r="J512" s="9"/>
      <c r="K512" s="8"/>
      <c r="L512" s="9"/>
      <c r="M512" s="8"/>
      <c r="N512" s="8"/>
      <c r="O512" s="9"/>
    </row>
    <row r="513" spans="1:15" x14ac:dyDescent="0.15">
      <c r="A513" s="8"/>
      <c r="B513" s="8"/>
      <c r="C513" s="8"/>
      <c r="D513" s="8"/>
      <c r="E513" s="9"/>
      <c r="F513" s="8"/>
      <c r="G513" s="10"/>
      <c r="H513" s="11"/>
      <c r="I513" s="8"/>
      <c r="J513" s="9"/>
      <c r="K513" s="8"/>
      <c r="L513" s="9"/>
      <c r="M513" s="8"/>
      <c r="N513" s="8"/>
      <c r="O513" s="9"/>
    </row>
    <row r="514" spans="1:15" x14ac:dyDescent="0.15">
      <c r="A514" s="8"/>
      <c r="B514" s="8"/>
      <c r="C514" s="8"/>
      <c r="D514" s="8"/>
      <c r="E514" s="9"/>
      <c r="F514" s="8"/>
      <c r="G514" s="10"/>
      <c r="H514" s="11"/>
      <c r="I514" s="8"/>
      <c r="J514" s="9"/>
      <c r="K514" s="8"/>
      <c r="L514" s="9"/>
      <c r="M514" s="8"/>
      <c r="N514" s="8"/>
      <c r="O514" s="9"/>
    </row>
    <row r="515" spans="1:15" x14ac:dyDescent="0.15">
      <c r="A515" s="8"/>
      <c r="B515" s="8"/>
      <c r="C515" s="8"/>
      <c r="D515" s="8"/>
      <c r="E515" s="9"/>
      <c r="F515" s="8"/>
      <c r="G515" s="10"/>
      <c r="H515" s="11"/>
      <c r="I515" s="8"/>
      <c r="J515" s="9"/>
      <c r="K515" s="8"/>
      <c r="L515" s="9"/>
      <c r="M515" s="8"/>
      <c r="N515" s="8"/>
      <c r="O515" s="9"/>
    </row>
    <row r="516" spans="1:15" x14ac:dyDescent="0.15">
      <c r="A516" s="8"/>
      <c r="B516" s="8"/>
      <c r="C516" s="8"/>
      <c r="D516" s="8"/>
      <c r="E516" s="9"/>
      <c r="F516" s="8"/>
      <c r="G516" s="10"/>
      <c r="H516" s="11"/>
      <c r="I516" s="8"/>
      <c r="J516" s="9"/>
      <c r="K516" s="8"/>
      <c r="L516" s="9"/>
      <c r="M516" s="8"/>
      <c r="N516" s="8"/>
      <c r="O516" s="9"/>
    </row>
    <row r="517" spans="1:15" x14ac:dyDescent="0.15">
      <c r="A517" s="8"/>
      <c r="B517" s="8"/>
      <c r="C517" s="8"/>
      <c r="D517" s="8"/>
      <c r="E517" s="9"/>
      <c r="F517" s="8"/>
      <c r="G517" s="10"/>
      <c r="H517" s="11"/>
      <c r="I517" s="8"/>
      <c r="J517" s="9"/>
      <c r="K517" s="8"/>
      <c r="L517" s="9"/>
      <c r="M517" s="8"/>
      <c r="N517" s="8"/>
      <c r="O517" s="9"/>
    </row>
    <row r="518" spans="1:15" x14ac:dyDescent="0.15">
      <c r="A518" s="8"/>
      <c r="B518" s="8"/>
      <c r="C518" s="8"/>
      <c r="D518" s="8"/>
      <c r="E518" s="9"/>
      <c r="F518" s="8"/>
      <c r="G518" s="10"/>
      <c r="H518" s="11"/>
      <c r="I518" s="8"/>
      <c r="J518" s="9"/>
      <c r="K518" s="8"/>
      <c r="L518" s="9"/>
      <c r="M518" s="8"/>
      <c r="N518" s="8"/>
      <c r="O518" s="9"/>
    </row>
    <row r="519" spans="1:15" x14ac:dyDescent="0.15">
      <c r="A519" s="8"/>
      <c r="B519" s="8"/>
      <c r="C519" s="8"/>
      <c r="D519" s="8"/>
      <c r="E519" s="8"/>
      <c r="F519" s="8"/>
      <c r="G519" s="10"/>
      <c r="H519" s="11"/>
      <c r="I519" s="8"/>
      <c r="J519" s="9"/>
      <c r="K519" s="8"/>
      <c r="L519" s="9"/>
      <c r="M519" s="8"/>
      <c r="N519" s="8"/>
      <c r="O519" s="9"/>
    </row>
    <row r="520" spans="1:15" x14ac:dyDescent="0.15">
      <c r="A520" s="8"/>
      <c r="B520" s="8"/>
      <c r="C520" s="8"/>
      <c r="D520" s="8"/>
      <c r="E520" s="8"/>
      <c r="F520" s="8"/>
      <c r="G520" s="10"/>
      <c r="H520" s="11"/>
      <c r="I520" s="8"/>
      <c r="J520" s="9"/>
      <c r="K520" s="8"/>
      <c r="L520" s="9"/>
      <c r="M520" s="8"/>
      <c r="N520" s="8"/>
      <c r="O520" s="9"/>
    </row>
    <row r="521" spans="1:15" x14ac:dyDescent="0.15">
      <c r="A521" s="8"/>
      <c r="B521" s="8"/>
      <c r="C521" s="8"/>
      <c r="D521" s="8"/>
      <c r="E521" s="8"/>
      <c r="F521" s="8"/>
      <c r="G521" s="10"/>
      <c r="H521" s="11"/>
      <c r="I521" s="8"/>
      <c r="J521" s="9"/>
      <c r="K521" s="8"/>
      <c r="L521" s="9"/>
      <c r="M521" s="8"/>
      <c r="N521" s="8"/>
      <c r="O521" s="9"/>
    </row>
    <row r="522" spans="1:15" x14ac:dyDescent="0.15">
      <c r="A522" s="8"/>
      <c r="B522" s="8"/>
      <c r="C522" s="8"/>
      <c r="D522" s="8"/>
      <c r="E522" s="8"/>
      <c r="F522" s="8"/>
      <c r="G522" s="10"/>
      <c r="H522" s="11"/>
      <c r="I522" s="8"/>
      <c r="J522" s="9"/>
      <c r="K522" s="8"/>
      <c r="L522" s="9"/>
      <c r="M522" s="8"/>
      <c r="N522" s="8"/>
      <c r="O522" s="9"/>
    </row>
    <row r="523" spans="1:15" x14ac:dyDescent="0.15">
      <c r="A523" s="8"/>
      <c r="B523" s="8"/>
      <c r="C523" s="8"/>
      <c r="D523" s="8"/>
      <c r="E523" s="8"/>
      <c r="F523" s="8"/>
      <c r="G523" s="10"/>
      <c r="H523" s="11"/>
      <c r="I523" s="8"/>
      <c r="J523" s="9"/>
      <c r="K523" s="8"/>
      <c r="L523" s="9"/>
      <c r="M523" s="8"/>
      <c r="N523" s="8"/>
      <c r="O523" s="9"/>
    </row>
    <row r="524" spans="1:15" x14ac:dyDescent="0.15">
      <c r="A524" s="8"/>
      <c r="B524" s="8"/>
      <c r="C524" s="8"/>
      <c r="D524" s="8"/>
      <c r="E524" s="8"/>
      <c r="F524" s="8"/>
      <c r="G524" s="10"/>
      <c r="H524" s="11"/>
      <c r="I524" s="8"/>
      <c r="J524" s="9"/>
      <c r="K524" s="8"/>
      <c r="L524" s="9"/>
      <c r="M524" s="8"/>
      <c r="N524" s="8"/>
      <c r="O524" s="9"/>
    </row>
    <row r="525" spans="1:15" x14ac:dyDescent="0.15">
      <c r="A525" s="8"/>
      <c r="B525" s="8"/>
      <c r="C525" s="8"/>
      <c r="D525" s="8"/>
      <c r="E525" s="8"/>
      <c r="F525" s="8"/>
      <c r="G525" s="10"/>
      <c r="H525" s="11"/>
      <c r="I525" s="8"/>
      <c r="J525" s="9"/>
      <c r="K525" s="8"/>
      <c r="L525" s="9"/>
      <c r="M525" s="8"/>
      <c r="N525" s="8"/>
      <c r="O525" s="9"/>
    </row>
    <row r="526" spans="1:15" x14ac:dyDescent="0.15">
      <c r="A526" s="8"/>
      <c r="B526" s="8"/>
      <c r="C526" s="8"/>
      <c r="D526" s="8"/>
      <c r="E526" s="8"/>
      <c r="F526" s="8"/>
      <c r="G526" s="10"/>
      <c r="H526" s="11"/>
      <c r="I526" s="8"/>
      <c r="J526" s="9"/>
      <c r="K526" s="8"/>
      <c r="L526" s="9"/>
      <c r="M526" s="8"/>
      <c r="N526" s="8"/>
      <c r="O526" s="9"/>
    </row>
    <row r="527" spans="1:15" x14ac:dyDescent="0.15">
      <c r="A527" s="8"/>
      <c r="B527" s="8"/>
      <c r="C527" s="8"/>
      <c r="D527" s="8"/>
      <c r="E527" s="8"/>
      <c r="F527" s="8"/>
      <c r="G527" s="10"/>
      <c r="H527" s="11"/>
      <c r="I527" s="8"/>
      <c r="J527" s="9"/>
      <c r="K527" s="8"/>
      <c r="L527" s="9"/>
      <c r="M527" s="8"/>
      <c r="N527" s="8"/>
      <c r="O527" s="9"/>
    </row>
    <row r="528" spans="1:15" x14ac:dyDescent="0.15">
      <c r="A528" s="8"/>
      <c r="B528" s="8"/>
      <c r="C528" s="8"/>
      <c r="D528" s="8"/>
      <c r="E528" s="8"/>
      <c r="F528" s="8"/>
      <c r="G528" s="10"/>
      <c r="H528" s="11"/>
      <c r="I528" s="8"/>
      <c r="J528" s="9"/>
      <c r="K528" s="8"/>
      <c r="L528" s="9"/>
      <c r="M528" s="8"/>
      <c r="N528" s="8"/>
      <c r="O528" s="9"/>
    </row>
    <row r="529" spans="1:15" x14ac:dyDescent="0.15">
      <c r="A529" s="8"/>
      <c r="B529" s="8"/>
      <c r="C529" s="8"/>
      <c r="D529" s="8"/>
      <c r="E529" s="8"/>
      <c r="F529" s="8"/>
      <c r="G529" s="10"/>
      <c r="H529" s="11"/>
      <c r="I529" s="8"/>
      <c r="J529" s="9"/>
      <c r="K529" s="8"/>
      <c r="L529" s="9"/>
      <c r="M529" s="8"/>
      <c r="N529" s="8"/>
      <c r="O529" s="9"/>
    </row>
    <row r="530" spans="1:15" x14ac:dyDescent="0.15">
      <c r="A530" s="8"/>
      <c r="B530" s="8"/>
      <c r="C530" s="8"/>
      <c r="D530" s="8"/>
      <c r="E530" s="8"/>
      <c r="F530" s="8"/>
      <c r="G530" s="10"/>
      <c r="H530" s="11"/>
      <c r="I530" s="8"/>
      <c r="J530" s="9"/>
      <c r="K530" s="8"/>
      <c r="L530" s="9"/>
      <c r="M530" s="8"/>
      <c r="N530" s="8"/>
      <c r="O530" s="9"/>
    </row>
    <row r="531" spans="1:15" x14ac:dyDescent="0.15">
      <c r="A531" s="8"/>
      <c r="B531" s="8"/>
      <c r="C531" s="8"/>
      <c r="D531" s="8"/>
      <c r="E531" s="8"/>
      <c r="F531" s="8"/>
      <c r="G531" s="10"/>
      <c r="H531" s="11"/>
      <c r="I531" s="8"/>
      <c r="J531" s="9"/>
      <c r="K531" s="8"/>
      <c r="L531" s="9"/>
      <c r="M531" s="8"/>
      <c r="N531" s="8"/>
      <c r="O531" s="9"/>
    </row>
    <row r="532" spans="1:15" x14ac:dyDescent="0.15">
      <c r="A532" s="8"/>
      <c r="B532" s="8"/>
      <c r="C532" s="8"/>
      <c r="D532" s="8"/>
      <c r="E532" s="8"/>
      <c r="F532" s="8"/>
      <c r="G532" s="10"/>
      <c r="H532" s="11"/>
      <c r="I532" s="8"/>
      <c r="J532" s="9"/>
      <c r="K532" s="8"/>
      <c r="L532" s="9"/>
      <c r="M532" s="8"/>
      <c r="N532" s="8"/>
      <c r="O532" s="9"/>
    </row>
    <row r="533" spans="1:15" x14ac:dyDescent="0.15">
      <c r="A533" s="8"/>
      <c r="B533" s="8"/>
      <c r="C533" s="8"/>
      <c r="D533" s="8"/>
      <c r="E533" s="8"/>
      <c r="F533" s="8"/>
      <c r="G533" s="10"/>
      <c r="H533" s="11"/>
      <c r="I533" s="8"/>
      <c r="J533" s="9"/>
      <c r="K533" s="8"/>
      <c r="L533" s="9"/>
      <c r="M533" s="8"/>
      <c r="N533" s="8"/>
      <c r="O533" s="9"/>
    </row>
    <row r="534" spans="1:15" x14ac:dyDescent="0.15">
      <c r="A534" s="8"/>
      <c r="B534" s="8"/>
      <c r="C534" s="8"/>
      <c r="D534" s="8"/>
      <c r="E534" s="8"/>
      <c r="F534" s="8"/>
      <c r="G534" s="10"/>
      <c r="H534" s="11"/>
      <c r="I534" s="8"/>
      <c r="J534" s="9"/>
      <c r="K534" s="8"/>
      <c r="L534" s="9"/>
      <c r="M534" s="8"/>
      <c r="N534" s="8"/>
      <c r="O534" s="9"/>
    </row>
    <row r="535" spans="1:15" x14ac:dyDescent="0.15">
      <c r="A535" s="8"/>
      <c r="B535" s="8"/>
      <c r="C535" s="8"/>
      <c r="D535" s="8"/>
      <c r="E535" s="8"/>
      <c r="F535" s="8"/>
      <c r="G535" s="10"/>
      <c r="H535" s="11"/>
      <c r="I535" s="8"/>
      <c r="J535" s="9"/>
      <c r="K535" s="8"/>
      <c r="L535" s="9"/>
      <c r="M535" s="8"/>
      <c r="N535" s="8"/>
      <c r="O535" s="9"/>
    </row>
    <row r="536" spans="1:15" x14ac:dyDescent="0.15">
      <c r="A536" s="8"/>
      <c r="B536" s="8"/>
      <c r="C536" s="8"/>
      <c r="D536" s="8"/>
      <c r="E536" s="8"/>
      <c r="F536" s="8"/>
      <c r="G536" s="10"/>
      <c r="H536" s="11"/>
      <c r="I536" s="8"/>
      <c r="J536" s="9"/>
      <c r="K536" s="8"/>
      <c r="L536" s="9"/>
      <c r="M536" s="8"/>
      <c r="N536" s="8"/>
      <c r="O536" s="9"/>
    </row>
    <row r="537" spans="1:15" x14ac:dyDescent="0.15">
      <c r="A537" s="8"/>
      <c r="B537" s="8"/>
      <c r="C537" s="8"/>
      <c r="D537" s="8"/>
      <c r="E537" s="8"/>
      <c r="F537" s="8"/>
      <c r="G537" s="10"/>
      <c r="H537" s="11"/>
      <c r="I537" s="8"/>
      <c r="J537" s="9"/>
      <c r="K537" s="8"/>
      <c r="L537" s="9"/>
      <c r="M537" s="8"/>
      <c r="N537" s="8"/>
      <c r="O537" s="9"/>
    </row>
    <row r="538" spans="1:15" x14ac:dyDescent="0.15">
      <c r="A538" s="8"/>
      <c r="B538" s="8"/>
      <c r="C538" s="8"/>
      <c r="D538" s="8"/>
      <c r="E538" s="8"/>
      <c r="F538" s="8"/>
      <c r="G538" s="10"/>
      <c r="H538" s="11"/>
      <c r="I538" s="8"/>
      <c r="J538" s="9"/>
      <c r="K538" s="8"/>
      <c r="L538" s="9"/>
      <c r="M538" s="8"/>
      <c r="N538" s="8"/>
      <c r="O538" s="9"/>
    </row>
    <row r="539" spans="1:15" x14ac:dyDescent="0.15">
      <c r="A539" s="8"/>
      <c r="B539" s="8"/>
      <c r="C539" s="8"/>
      <c r="D539" s="8"/>
      <c r="E539" s="8"/>
      <c r="F539" s="8"/>
      <c r="G539" s="10"/>
      <c r="H539" s="11"/>
      <c r="I539" s="8"/>
      <c r="J539" s="9"/>
      <c r="K539" s="8"/>
      <c r="L539" s="9"/>
      <c r="M539" s="8"/>
      <c r="N539" s="8"/>
      <c r="O539" s="9"/>
    </row>
    <row r="540" spans="1:15" x14ac:dyDescent="0.15">
      <c r="A540" s="8"/>
      <c r="B540" s="8"/>
      <c r="C540" s="8"/>
      <c r="D540" s="8"/>
      <c r="E540" s="8"/>
      <c r="F540" s="8"/>
      <c r="G540" s="10"/>
      <c r="H540" s="11"/>
      <c r="I540" s="8"/>
      <c r="J540" s="9"/>
      <c r="K540" s="8"/>
      <c r="L540" s="9"/>
      <c r="M540" s="8"/>
      <c r="N540" s="8"/>
      <c r="O540" s="9"/>
    </row>
    <row r="541" spans="1:15" x14ac:dyDescent="0.15">
      <c r="A541" s="8"/>
      <c r="B541" s="8"/>
      <c r="C541" s="8"/>
      <c r="D541" s="8"/>
      <c r="E541" s="8"/>
      <c r="F541" s="8"/>
      <c r="G541" s="10"/>
      <c r="H541" s="11"/>
      <c r="I541" s="8"/>
      <c r="J541" s="9"/>
      <c r="K541" s="8"/>
      <c r="L541" s="9"/>
      <c r="M541" s="8"/>
      <c r="N541" s="8"/>
      <c r="O541" s="9"/>
    </row>
    <row r="542" spans="1:15" x14ac:dyDescent="0.15">
      <c r="A542" s="8"/>
      <c r="B542" s="8"/>
      <c r="C542" s="8"/>
      <c r="D542" s="8"/>
      <c r="E542" s="8"/>
      <c r="F542" s="8"/>
      <c r="G542" s="10"/>
      <c r="H542" s="11"/>
      <c r="I542" s="8"/>
      <c r="J542" s="9"/>
      <c r="K542" s="8"/>
      <c r="L542" s="9"/>
      <c r="M542" s="8"/>
      <c r="N542" s="8"/>
      <c r="O542" s="9"/>
    </row>
    <row r="543" spans="1:15" x14ac:dyDescent="0.15">
      <c r="A543" s="8"/>
      <c r="B543" s="8"/>
      <c r="C543" s="8"/>
      <c r="D543" s="8"/>
      <c r="E543" s="8"/>
      <c r="F543" s="8"/>
      <c r="G543" s="10"/>
      <c r="H543" s="11"/>
      <c r="I543" s="8"/>
      <c r="J543" s="9"/>
      <c r="K543" s="8"/>
      <c r="L543" s="9"/>
      <c r="M543" s="8"/>
      <c r="N543" s="8"/>
      <c r="O543" s="9"/>
    </row>
    <row r="544" spans="1:15" x14ac:dyDescent="0.15">
      <c r="A544" s="8"/>
      <c r="B544" s="8"/>
      <c r="C544" s="8"/>
      <c r="D544" s="8"/>
      <c r="E544" s="8"/>
      <c r="F544" s="8"/>
      <c r="G544" s="10"/>
      <c r="H544" s="11"/>
      <c r="I544" s="8"/>
      <c r="J544" s="9"/>
      <c r="K544" s="8"/>
      <c r="L544" s="9"/>
      <c r="M544" s="8"/>
      <c r="N544" s="8"/>
      <c r="O544" s="9"/>
    </row>
    <row r="545" spans="1:15" x14ac:dyDescent="0.15">
      <c r="A545" s="8"/>
      <c r="B545" s="8"/>
      <c r="C545" s="8"/>
      <c r="D545" s="8"/>
      <c r="E545" s="8"/>
      <c r="F545" s="8"/>
      <c r="G545" s="10"/>
      <c r="H545" s="11"/>
      <c r="I545" s="8"/>
      <c r="J545" s="9"/>
      <c r="K545" s="8"/>
      <c r="L545" s="9"/>
      <c r="M545" s="8"/>
      <c r="N545" s="8"/>
      <c r="O545" s="9"/>
    </row>
    <row r="546" spans="1:15" x14ac:dyDescent="0.15">
      <c r="A546" s="8"/>
      <c r="B546" s="8"/>
      <c r="C546" s="8"/>
      <c r="D546" s="8"/>
      <c r="E546" s="8"/>
      <c r="F546" s="8"/>
      <c r="G546" s="10"/>
      <c r="H546" s="11"/>
      <c r="I546" s="8"/>
      <c r="J546" s="9"/>
      <c r="K546" s="8"/>
      <c r="L546" s="9"/>
      <c r="M546" s="8"/>
      <c r="N546" s="8"/>
      <c r="O546" s="9"/>
    </row>
    <row r="547" spans="1:15" x14ac:dyDescent="0.15">
      <c r="A547" s="8"/>
      <c r="B547" s="8"/>
      <c r="C547" s="8"/>
      <c r="D547" s="8"/>
      <c r="E547" s="8"/>
      <c r="F547" s="8"/>
      <c r="G547" s="10"/>
      <c r="H547" s="11"/>
      <c r="I547" s="8"/>
      <c r="J547" s="9"/>
      <c r="K547" s="8"/>
      <c r="L547" s="9"/>
      <c r="M547" s="8"/>
      <c r="N547" s="8"/>
      <c r="O547" s="9"/>
    </row>
    <row r="548" spans="1:15" x14ac:dyDescent="0.15">
      <c r="A548" s="8"/>
      <c r="B548" s="8"/>
      <c r="C548" s="8"/>
      <c r="D548" s="8"/>
      <c r="E548" s="8"/>
      <c r="F548" s="8"/>
      <c r="G548" s="10"/>
      <c r="H548" s="11"/>
      <c r="I548" s="8"/>
      <c r="J548" s="9"/>
      <c r="K548" s="8"/>
      <c r="L548" s="9"/>
      <c r="M548" s="8"/>
      <c r="N548" s="8"/>
      <c r="O548" s="9"/>
    </row>
    <row r="549" spans="1:15" x14ac:dyDescent="0.15">
      <c r="A549" s="8"/>
      <c r="B549" s="8"/>
      <c r="C549" s="8"/>
      <c r="D549" s="8"/>
      <c r="E549" s="8"/>
      <c r="F549" s="8"/>
      <c r="G549" s="10"/>
      <c r="H549" s="11"/>
      <c r="I549" s="8"/>
      <c r="J549" s="9"/>
      <c r="K549" s="8"/>
      <c r="L549" s="9"/>
      <c r="M549" s="8"/>
      <c r="N549" s="8"/>
      <c r="O549" s="9"/>
    </row>
    <row r="550" spans="1:15" x14ac:dyDescent="0.15">
      <c r="A550" s="8"/>
      <c r="B550" s="8"/>
      <c r="C550" s="8"/>
      <c r="D550" s="8"/>
      <c r="E550" s="8"/>
      <c r="F550" s="8"/>
      <c r="G550" s="10"/>
      <c r="H550" s="11"/>
      <c r="I550" s="8"/>
      <c r="J550" s="9"/>
      <c r="K550" s="8"/>
      <c r="L550" s="9"/>
      <c r="M550" s="8"/>
      <c r="N550" s="8"/>
      <c r="O550" s="9"/>
    </row>
    <row r="551" spans="1:15" x14ac:dyDescent="0.15">
      <c r="A551" s="8"/>
      <c r="B551" s="8"/>
      <c r="C551" s="8"/>
      <c r="D551" s="8"/>
      <c r="E551" s="8"/>
      <c r="F551" s="8"/>
      <c r="G551" s="10"/>
      <c r="H551" s="11"/>
      <c r="I551" s="8"/>
      <c r="J551" s="9"/>
      <c r="K551" s="8"/>
      <c r="L551" s="9"/>
      <c r="M551" s="8"/>
      <c r="N551" s="8"/>
      <c r="O551" s="9"/>
    </row>
    <row r="552" spans="1:15" x14ac:dyDescent="0.15">
      <c r="A552" s="8"/>
      <c r="B552" s="8"/>
      <c r="C552" s="8"/>
      <c r="D552" s="8"/>
      <c r="E552" s="8"/>
      <c r="F552" s="8"/>
      <c r="G552" s="10"/>
      <c r="H552" s="11"/>
      <c r="I552" s="8"/>
      <c r="J552" s="9"/>
      <c r="K552" s="8"/>
      <c r="L552" s="9"/>
      <c r="M552" s="8"/>
      <c r="N552" s="8"/>
      <c r="O552" s="9"/>
    </row>
    <row r="553" spans="1:15" x14ac:dyDescent="0.15">
      <c r="A553" s="8"/>
      <c r="B553" s="8"/>
      <c r="C553" s="8"/>
      <c r="D553" s="8"/>
      <c r="E553" s="8"/>
      <c r="F553" s="8"/>
      <c r="G553" s="10"/>
      <c r="H553" s="11"/>
      <c r="I553" s="8"/>
      <c r="J553" s="9"/>
      <c r="K553" s="8"/>
      <c r="L553" s="9"/>
      <c r="M553" s="8"/>
      <c r="N553" s="8"/>
      <c r="O553" s="9"/>
    </row>
    <row r="554" spans="1:15" x14ac:dyDescent="0.15">
      <c r="A554" s="8"/>
      <c r="B554" s="8"/>
      <c r="C554" s="8"/>
      <c r="D554" s="8"/>
      <c r="E554" s="8"/>
      <c r="F554" s="8"/>
      <c r="G554" s="10"/>
      <c r="H554" s="11"/>
      <c r="I554" s="8"/>
      <c r="J554" s="9"/>
      <c r="K554" s="8"/>
      <c r="L554" s="9"/>
      <c r="M554" s="8"/>
      <c r="N554" s="8"/>
      <c r="O554" s="9"/>
    </row>
    <row r="555" spans="1:15" x14ac:dyDescent="0.15">
      <c r="A555" s="8"/>
      <c r="B555" s="8"/>
      <c r="C555" s="8"/>
      <c r="D555" s="8"/>
      <c r="E555" s="8"/>
      <c r="F555" s="8"/>
      <c r="G555" s="10"/>
      <c r="H555" s="11"/>
      <c r="I555" s="8"/>
      <c r="J555" s="9"/>
      <c r="K555" s="8"/>
      <c r="L555" s="9"/>
      <c r="M555" s="8"/>
      <c r="N555" s="8"/>
      <c r="O555" s="9"/>
    </row>
    <row r="556" spans="1:15" x14ac:dyDescent="0.15">
      <c r="A556" s="8"/>
      <c r="B556" s="8"/>
      <c r="C556" s="8"/>
      <c r="D556" s="8"/>
      <c r="E556" s="8"/>
      <c r="F556" s="8"/>
      <c r="G556" s="10"/>
      <c r="H556" s="11"/>
      <c r="I556" s="8"/>
      <c r="J556" s="9"/>
      <c r="K556" s="8"/>
      <c r="L556" s="9"/>
      <c r="M556" s="8"/>
      <c r="N556" s="8"/>
      <c r="O556" s="9"/>
    </row>
    <row r="557" spans="1:15" x14ac:dyDescent="0.15">
      <c r="A557" s="8"/>
      <c r="B557" s="8"/>
      <c r="C557" s="8"/>
      <c r="D557" s="8"/>
      <c r="E557" s="8"/>
      <c r="F557" s="8"/>
      <c r="G557" s="10"/>
      <c r="H557" s="11"/>
      <c r="I557" s="8"/>
      <c r="J557" s="9"/>
      <c r="K557" s="8"/>
      <c r="L557" s="9"/>
      <c r="M557" s="8"/>
      <c r="N557" s="8"/>
      <c r="O557" s="9"/>
    </row>
    <row r="558" spans="1:15" x14ac:dyDescent="0.15">
      <c r="A558" s="8"/>
      <c r="B558" s="8"/>
      <c r="C558" s="8"/>
      <c r="D558" s="8"/>
      <c r="E558" s="8"/>
      <c r="F558" s="8"/>
      <c r="G558" s="10"/>
      <c r="H558" s="11"/>
      <c r="I558" s="8"/>
      <c r="J558" s="9"/>
      <c r="K558" s="8"/>
      <c r="L558" s="9"/>
      <c r="M558" s="8"/>
      <c r="N558" s="8"/>
      <c r="O558" s="9"/>
    </row>
    <row r="559" spans="1:15" x14ac:dyDescent="0.15">
      <c r="A559" s="8"/>
      <c r="B559" s="8"/>
      <c r="C559" s="8"/>
      <c r="D559" s="8"/>
      <c r="E559" s="8"/>
      <c r="F559" s="8"/>
      <c r="G559" s="10"/>
      <c r="H559" s="11"/>
      <c r="I559" s="8"/>
      <c r="J559" s="9"/>
      <c r="K559" s="8"/>
      <c r="L559" s="9"/>
      <c r="M559" s="8"/>
      <c r="N559" s="8"/>
      <c r="O559" s="9"/>
    </row>
    <row r="560" spans="1:15" x14ac:dyDescent="0.15">
      <c r="A560" s="8"/>
      <c r="B560" s="8"/>
      <c r="C560" s="8"/>
      <c r="D560" s="8"/>
      <c r="E560" s="8"/>
      <c r="F560" s="8"/>
      <c r="G560" s="10"/>
      <c r="H560" s="11"/>
      <c r="I560" s="8"/>
      <c r="J560" s="9"/>
      <c r="K560" s="8"/>
      <c r="L560" s="9"/>
      <c r="M560" s="8"/>
      <c r="N560" s="8"/>
      <c r="O560" s="9"/>
    </row>
    <row r="561" spans="1:15" x14ac:dyDescent="0.15">
      <c r="A561" s="8"/>
      <c r="B561" s="8"/>
      <c r="C561" s="8"/>
      <c r="D561" s="8"/>
      <c r="E561" s="8"/>
      <c r="F561" s="8"/>
      <c r="G561" s="10"/>
      <c r="H561" s="11"/>
      <c r="I561" s="8"/>
      <c r="J561" s="9"/>
      <c r="K561" s="8"/>
      <c r="L561" s="9"/>
      <c r="M561" s="8"/>
      <c r="N561" s="8"/>
      <c r="O561" s="9"/>
    </row>
    <row r="562" spans="1:15" x14ac:dyDescent="0.15">
      <c r="A562" s="8"/>
      <c r="B562" s="8"/>
      <c r="C562" s="8"/>
      <c r="D562" s="8"/>
      <c r="E562" s="8"/>
      <c r="F562" s="8"/>
      <c r="G562" s="10"/>
      <c r="H562" s="11"/>
      <c r="I562" s="8"/>
      <c r="J562" s="9"/>
      <c r="K562" s="8"/>
      <c r="L562" s="9"/>
      <c r="M562" s="8"/>
      <c r="N562" s="8"/>
      <c r="O562" s="9"/>
    </row>
    <row r="563" spans="1:15" x14ac:dyDescent="0.15">
      <c r="A563" s="8"/>
      <c r="B563" s="8"/>
      <c r="C563" s="8"/>
      <c r="D563" s="8"/>
      <c r="E563" s="8"/>
      <c r="F563" s="8"/>
      <c r="G563" s="10"/>
      <c r="H563" s="11"/>
      <c r="I563" s="8"/>
      <c r="J563" s="9"/>
      <c r="K563" s="8"/>
      <c r="L563" s="9"/>
      <c r="M563" s="8"/>
      <c r="N563" s="8"/>
      <c r="O563" s="9"/>
    </row>
    <row r="564" spans="1:15" x14ac:dyDescent="0.15">
      <c r="A564" s="8"/>
      <c r="B564" s="8"/>
      <c r="C564" s="8"/>
      <c r="D564" s="8"/>
      <c r="E564" s="8"/>
      <c r="F564" s="8"/>
      <c r="G564" s="10"/>
      <c r="H564" s="11"/>
      <c r="I564" s="8"/>
      <c r="J564" s="9"/>
      <c r="K564" s="8"/>
      <c r="L564" s="9"/>
      <c r="M564" s="8"/>
      <c r="N564" s="8"/>
      <c r="O564" s="9"/>
    </row>
    <row r="565" spans="1:15" x14ac:dyDescent="0.15">
      <c r="A565" s="8"/>
      <c r="B565" s="8"/>
      <c r="C565" s="8"/>
      <c r="D565" s="8"/>
      <c r="E565" s="8"/>
      <c r="F565" s="8"/>
      <c r="G565" s="10"/>
      <c r="H565" s="11"/>
      <c r="I565" s="8"/>
      <c r="J565" s="9"/>
      <c r="K565" s="8"/>
      <c r="L565" s="9"/>
      <c r="M565" s="8"/>
      <c r="N565" s="8"/>
      <c r="O565" s="9"/>
    </row>
    <row r="566" spans="1:15" x14ac:dyDescent="0.15">
      <c r="A566" s="8"/>
      <c r="B566" s="8"/>
      <c r="C566" s="8"/>
      <c r="D566" s="8"/>
      <c r="E566" s="8"/>
      <c r="F566" s="8"/>
      <c r="G566" s="10"/>
      <c r="H566" s="11"/>
      <c r="I566" s="8"/>
      <c r="J566" s="9"/>
      <c r="K566" s="8"/>
      <c r="L566" s="9"/>
      <c r="M566" s="8"/>
      <c r="N566" s="8"/>
      <c r="O566" s="9"/>
    </row>
    <row r="567" spans="1:15" x14ac:dyDescent="0.15">
      <c r="A567" s="8"/>
      <c r="B567" s="8"/>
      <c r="C567" s="8"/>
      <c r="D567" s="8"/>
      <c r="E567" s="8"/>
      <c r="F567" s="8"/>
      <c r="G567" s="10"/>
      <c r="H567" s="11"/>
      <c r="I567" s="8"/>
      <c r="J567" s="9"/>
      <c r="K567" s="8"/>
      <c r="L567" s="9"/>
      <c r="M567" s="8"/>
      <c r="N567" s="8"/>
      <c r="O567" s="9"/>
    </row>
    <row r="568" spans="1:15" x14ac:dyDescent="0.15">
      <c r="A568" s="8"/>
      <c r="B568" s="8"/>
      <c r="C568" s="8"/>
      <c r="D568" s="8"/>
      <c r="E568" s="8"/>
      <c r="F568" s="8"/>
      <c r="G568" s="10"/>
      <c r="H568" s="11"/>
      <c r="I568" s="8"/>
      <c r="J568" s="9"/>
      <c r="K568" s="8"/>
      <c r="L568" s="9"/>
      <c r="M568" s="8"/>
      <c r="N568" s="8"/>
      <c r="O568" s="9"/>
    </row>
    <row r="569" spans="1:15" x14ac:dyDescent="0.15">
      <c r="A569" s="8"/>
      <c r="B569" s="8"/>
      <c r="C569" s="8"/>
      <c r="D569" s="8"/>
      <c r="E569" s="8"/>
      <c r="F569" s="8"/>
      <c r="G569" s="10"/>
      <c r="H569" s="11"/>
      <c r="I569" s="8"/>
      <c r="J569" s="9"/>
      <c r="K569" s="8"/>
      <c r="L569" s="9"/>
      <c r="M569" s="8"/>
      <c r="N569" s="8"/>
      <c r="O569" s="9"/>
    </row>
    <row r="570" spans="1:15" x14ac:dyDescent="0.15">
      <c r="A570" s="8"/>
      <c r="B570" s="8"/>
      <c r="C570" s="8"/>
      <c r="D570" s="8"/>
      <c r="E570" s="8"/>
      <c r="F570" s="8"/>
      <c r="G570" s="10"/>
      <c r="H570" s="11"/>
      <c r="I570" s="8"/>
      <c r="J570" s="9"/>
      <c r="K570" s="8"/>
      <c r="L570" s="9"/>
      <c r="M570" s="8"/>
      <c r="N570" s="8"/>
      <c r="O570" s="9"/>
    </row>
    <row r="571" spans="1:15" x14ac:dyDescent="0.15">
      <c r="A571" s="8"/>
      <c r="B571" s="8"/>
      <c r="C571" s="8"/>
      <c r="D571" s="8"/>
      <c r="E571" s="8"/>
      <c r="F571" s="8"/>
      <c r="G571" s="10"/>
      <c r="H571" s="11"/>
      <c r="I571" s="8"/>
      <c r="J571" s="9"/>
      <c r="K571" s="8"/>
      <c r="L571" s="9"/>
      <c r="M571" s="8"/>
      <c r="N571" s="8"/>
      <c r="O571" s="9"/>
    </row>
    <row r="572" spans="1:15" x14ac:dyDescent="0.15">
      <c r="A572" s="8"/>
      <c r="B572" s="8"/>
      <c r="C572" s="8"/>
      <c r="D572" s="8"/>
      <c r="E572" s="8"/>
      <c r="F572" s="8"/>
      <c r="G572" s="10"/>
      <c r="H572" s="11"/>
      <c r="I572" s="8"/>
      <c r="J572" s="9"/>
      <c r="K572" s="8"/>
      <c r="L572" s="9"/>
      <c r="M572" s="8"/>
      <c r="N572" s="8"/>
      <c r="O572" s="9"/>
    </row>
    <row r="573" spans="1:15" x14ac:dyDescent="0.15">
      <c r="A573" s="8"/>
      <c r="B573" s="8"/>
      <c r="C573" s="8"/>
      <c r="D573" s="8"/>
      <c r="E573" s="8"/>
      <c r="F573" s="8"/>
      <c r="G573" s="10"/>
      <c r="H573" s="11"/>
      <c r="I573" s="8"/>
      <c r="J573" s="9"/>
      <c r="K573" s="8"/>
      <c r="L573" s="9"/>
      <c r="M573" s="8"/>
      <c r="N573" s="8"/>
      <c r="O573" s="9"/>
    </row>
    <row r="574" spans="1:15" x14ac:dyDescent="0.15">
      <c r="A574" s="8"/>
      <c r="B574" s="8"/>
      <c r="C574" s="8"/>
      <c r="D574" s="8"/>
      <c r="E574" s="8"/>
      <c r="F574" s="8"/>
      <c r="G574" s="10"/>
      <c r="H574" s="11"/>
      <c r="I574" s="8"/>
      <c r="J574" s="9"/>
      <c r="K574" s="8"/>
      <c r="L574" s="9"/>
      <c r="M574" s="8"/>
      <c r="N574" s="8"/>
      <c r="O574" s="9"/>
    </row>
    <row r="575" spans="1:15" x14ac:dyDescent="0.15">
      <c r="A575" s="8"/>
      <c r="B575" s="8"/>
      <c r="C575" s="8"/>
      <c r="D575" s="8"/>
      <c r="E575" s="8"/>
      <c r="F575" s="8"/>
      <c r="G575" s="10"/>
      <c r="H575" s="11"/>
      <c r="I575" s="8"/>
      <c r="J575" s="9"/>
      <c r="K575" s="8"/>
      <c r="L575" s="9"/>
      <c r="M575" s="8"/>
      <c r="N575" s="8"/>
      <c r="O575" s="9"/>
    </row>
    <row r="576" spans="1:15" x14ac:dyDescent="0.15">
      <c r="A576" s="8"/>
      <c r="B576" s="8"/>
      <c r="C576" s="8"/>
      <c r="D576" s="8"/>
      <c r="E576" s="8"/>
      <c r="F576" s="8"/>
      <c r="G576" s="10"/>
      <c r="H576" s="11"/>
      <c r="I576" s="8"/>
      <c r="J576" s="9"/>
      <c r="K576" s="8"/>
      <c r="L576" s="9"/>
      <c r="M576" s="8"/>
      <c r="N576" s="8"/>
      <c r="O576" s="9"/>
    </row>
    <row r="577" spans="1:15" x14ac:dyDescent="0.15">
      <c r="A577" s="8"/>
      <c r="B577" s="8"/>
      <c r="C577" s="8"/>
      <c r="D577" s="8"/>
      <c r="E577" s="8"/>
      <c r="F577" s="8"/>
      <c r="G577" s="10"/>
      <c r="H577" s="11"/>
      <c r="I577" s="8"/>
      <c r="J577" s="9"/>
      <c r="K577" s="8"/>
      <c r="L577" s="9"/>
      <c r="M577" s="8"/>
      <c r="N577" s="8"/>
      <c r="O577" s="9"/>
    </row>
    <row r="578" spans="1:15" x14ac:dyDescent="0.15">
      <c r="A578" s="8"/>
      <c r="B578" s="8"/>
      <c r="C578" s="8"/>
      <c r="D578" s="8"/>
      <c r="E578" s="8"/>
      <c r="F578" s="8"/>
      <c r="G578" s="10"/>
      <c r="H578" s="11"/>
      <c r="I578" s="8"/>
      <c r="J578" s="9"/>
      <c r="K578" s="8"/>
      <c r="L578" s="9"/>
      <c r="M578" s="8"/>
      <c r="N578" s="8"/>
      <c r="O578" s="9"/>
    </row>
    <row r="579" spans="1:15" outlineLevel="1" x14ac:dyDescent="0.15">
      <c r="A579" s="8"/>
      <c r="B579" s="8"/>
      <c r="C579" s="8"/>
      <c r="D579" s="8"/>
      <c r="E579" s="8"/>
      <c r="F579" s="8"/>
      <c r="G579" s="10"/>
      <c r="H579" s="11"/>
      <c r="I579" s="8"/>
      <c r="J579" s="9"/>
      <c r="K579" s="8"/>
      <c r="L579" s="9"/>
      <c r="M579" s="8"/>
      <c r="N579" s="8"/>
      <c r="O579" s="9"/>
    </row>
    <row r="580" spans="1:15" outlineLevel="1" x14ac:dyDescent="0.15">
      <c r="A580" s="8"/>
      <c r="B580" s="8"/>
      <c r="C580" s="8"/>
      <c r="D580" s="8"/>
      <c r="E580" s="8"/>
      <c r="F580" s="8"/>
      <c r="G580" s="10"/>
      <c r="H580" s="11"/>
      <c r="I580" s="8"/>
      <c r="J580" s="9"/>
      <c r="K580" s="8"/>
      <c r="L580" s="9"/>
      <c r="M580" s="8"/>
      <c r="N580" s="8"/>
      <c r="O580" s="9"/>
    </row>
    <row r="581" spans="1:15" outlineLevel="1" x14ac:dyDescent="0.15">
      <c r="A581" s="8"/>
      <c r="B581" s="8"/>
      <c r="C581" s="8"/>
      <c r="D581" s="8"/>
      <c r="E581" s="8"/>
      <c r="F581" s="8"/>
      <c r="G581" s="10"/>
      <c r="H581" s="11"/>
      <c r="I581" s="8"/>
      <c r="J581" s="9"/>
      <c r="K581" s="8"/>
      <c r="L581" s="9"/>
      <c r="M581" s="8"/>
      <c r="N581" s="8"/>
      <c r="O581" s="9"/>
    </row>
    <row r="582" spans="1:15" outlineLevel="1" x14ac:dyDescent="0.15">
      <c r="A582" s="8"/>
      <c r="B582" s="8"/>
      <c r="C582" s="8"/>
      <c r="D582" s="8"/>
      <c r="E582" s="8"/>
      <c r="F582" s="8"/>
      <c r="G582" s="10"/>
      <c r="H582" s="11"/>
      <c r="I582" s="8"/>
      <c r="J582" s="9"/>
      <c r="K582" s="8"/>
      <c r="L582" s="9"/>
      <c r="M582" s="8"/>
      <c r="N582" s="8"/>
      <c r="O582" s="9"/>
    </row>
    <row r="583" spans="1:15" outlineLevel="1" x14ac:dyDescent="0.15">
      <c r="A583" s="8"/>
      <c r="B583" s="8"/>
      <c r="C583" s="8"/>
      <c r="D583" s="8"/>
      <c r="E583" s="8"/>
      <c r="F583" s="8"/>
      <c r="G583" s="10"/>
      <c r="H583" s="11"/>
      <c r="I583" s="8"/>
      <c r="J583" s="9"/>
      <c r="K583" s="8"/>
      <c r="L583" s="9"/>
      <c r="M583" s="8"/>
      <c r="N583" s="8"/>
      <c r="O583" s="9"/>
    </row>
    <row r="584" spans="1:15" outlineLevel="1" x14ac:dyDescent="0.15">
      <c r="A584" s="8"/>
      <c r="B584" s="8"/>
      <c r="C584" s="8"/>
      <c r="D584" s="8"/>
      <c r="E584" s="8"/>
      <c r="F584" s="8"/>
      <c r="G584" s="10"/>
      <c r="H584" s="11"/>
      <c r="I584" s="8"/>
      <c r="J584" s="9"/>
      <c r="K584" s="8"/>
      <c r="L584" s="9"/>
      <c r="M584" s="8"/>
      <c r="N584" s="8"/>
      <c r="O584" s="9"/>
    </row>
    <row r="585" spans="1:15" outlineLevel="1" x14ac:dyDescent="0.15">
      <c r="A585" s="8"/>
      <c r="B585" s="8"/>
      <c r="C585" s="8"/>
      <c r="D585" s="8"/>
      <c r="E585" s="8"/>
      <c r="F585" s="8"/>
      <c r="G585" s="10"/>
      <c r="H585" s="11"/>
      <c r="I585" s="8"/>
      <c r="J585" s="9"/>
      <c r="K585" s="8"/>
      <c r="L585" s="9"/>
      <c r="M585" s="8"/>
      <c r="N585" s="8"/>
      <c r="O585" s="9"/>
    </row>
    <row r="586" spans="1:15" outlineLevel="1" x14ac:dyDescent="0.15">
      <c r="A586" s="8"/>
      <c r="B586" s="8"/>
      <c r="C586" s="8"/>
      <c r="D586" s="8"/>
      <c r="E586" s="8"/>
      <c r="F586" s="8"/>
      <c r="G586" s="10"/>
      <c r="H586" s="11"/>
      <c r="I586" s="8"/>
      <c r="J586" s="9"/>
      <c r="K586" s="8"/>
      <c r="L586" s="9"/>
      <c r="M586" s="8"/>
      <c r="N586" s="8"/>
      <c r="O586" s="9"/>
    </row>
    <row r="587" spans="1:15" outlineLevel="1" x14ac:dyDescent="0.15">
      <c r="A587" s="8"/>
      <c r="B587" s="8"/>
      <c r="C587" s="8"/>
      <c r="D587" s="8"/>
      <c r="E587" s="8"/>
      <c r="F587" s="8"/>
      <c r="G587" s="10"/>
      <c r="H587" s="11"/>
      <c r="I587" s="8"/>
      <c r="J587" s="9"/>
      <c r="K587" s="8"/>
      <c r="L587" s="9"/>
      <c r="M587" s="8"/>
      <c r="N587" s="8"/>
      <c r="O587" s="9"/>
    </row>
    <row r="588" spans="1:15" x14ac:dyDescent="0.15">
      <c r="A588" s="8"/>
      <c r="B588" s="8"/>
      <c r="C588" s="8"/>
      <c r="D588" s="8"/>
      <c r="E588" s="8"/>
      <c r="F588" s="8"/>
      <c r="G588" s="10"/>
      <c r="H588" s="11"/>
      <c r="I588" s="8"/>
      <c r="J588" s="9"/>
      <c r="K588" s="8"/>
      <c r="L588" s="9"/>
      <c r="M588" s="8"/>
      <c r="N588" s="8"/>
      <c r="O588" s="9"/>
    </row>
    <row r="589" spans="1:15" x14ac:dyDescent="0.15">
      <c r="A589" s="8"/>
      <c r="B589" s="8"/>
      <c r="C589" s="8"/>
      <c r="D589" s="8"/>
      <c r="E589" s="8"/>
      <c r="F589" s="8"/>
      <c r="G589" s="10"/>
      <c r="H589" s="11"/>
      <c r="I589" s="8"/>
      <c r="J589" s="9"/>
      <c r="K589" s="8"/>
      <c r="L589" s="9"/>
      <c r="M589" s="8"/>
      <c r="N589" s="8"/>
      <c r="O589" s="9"/>
    </row>
    <row r="590" spans="1:15" x14ac:dyDescent="0.15">
      <c r="A590" s="8"/>
      <c r="B590" s="8"/>
      <c r="C590" s="8"/>
      <c r="D590" s="8"/>
      <c r="E590" s="8"/>
      <c r="F590" s="8"/>
      <c r="G590" s="10"/>
      <c r="H590" s="11"/>
      <c r="I590" s="8"/>
      <c r="J590" s="9"/>
      <c r="K590" s="8"/>
      <c r="L590" s="9"/>
      <c r="M590" s="8"/>
      <c r="N590" s="8"/>
      <c r="O590" s="9"/>
    </row>
    <row r="591" spans="1:15" x14ac:dyDescent="0.15">
      <c r="A591" s="8"/>
      <c r="B591" s="8"/>
      <c r="C591" s="8"/>
      <c r="D591" s="8"/>
      <c r="E591" s="8"/>
      <c r="F591" s="8"/>
      <c r="G591" s="10"/>
      <c r="H591" s="11"/>
      <c r="I591" s="8"/>
      <c r="J591" s="9"/>
      <c r="K591" s="8"/>
      <c r="L591" s="9"/>
      <c r="M591" s="8"/>
      <c r="N591" s="8"/>
      <c r="O591" s="9"/>
    </row>
    <row r="592" spans="1:15" x14ac:dyDescent="0.15">
      <c r="A592" s="8"/>
      <c r="B592" s="8"/>
      <c r="C592" s="8"/>
      <c r="D592" s="8"/>
      <c r="E592" s="8"/>
      <c r="F592" s="8"/>
      <c r="G592" s="10"/>
      <c r="H592" s="11"/>
      <c r="I592" s="8"/>
      <c r="J592" s="9"/>
      <c r="K592" s="8"/>
      <c r="L592" s="9"/>
      <c r="M592" s="8"/>
      <c r="N592" s="8"/>
      <c r="O592" s="9"/>
    </row>
    <row r="593" spans="1:15" x14ac:dyDescent="0.15">
      <c r="A593" s="8"/>
      <c r="B593" s="8"/>
      <c r="C593" s="8"/>
      <c r="D593" s="8"/>
      <c r="E593" s="8"/>
      <c r="F593" s="8"/>
      <c r="G593" s="10"/>
      <c r="H593" s="11"/>
      <c r="I593" s="8"/>
      <c r="J593" s="9"/>
      <c r="K593" s="8"/>
      <c r="L593" s="9"/>
      <c r="M593" s="8"/>
      <c r="N593" s="8"/>
      <c r="O593" s="9"/>
    </row>
    <row r="594" spans="1:15" x14ac:dyDescent="0.15">
      <c r="A594" s="8"/>
      <c r="B594" s="8"/>
      <c r="C594" s="8"/>
      <c r="D594" s="8"/>
      <c r="E594" s="8"/>
      <c r="F594" s="8"/>
      <c r="G594" s="10"/>
      <c r="H594" s="11"/>
      <c r="I594" s="8"/>
      <c r="J594" s="9"/>
      <c r="K594" s="8"/>
      <c r="L594" s="9"/>
      <c r="M594" s="8"/>
      <c r="N594" s="8"/>
      <c r="O594" s="9"/>
    </row>
    <row r="595" spans="1:15" x14ac:dyDescent="0.15">
      <c r="A595" s="8"/>
      <c r="B595" s="8"/>
      <c r="C595" s="8"/>
      <c r="D595" s="8"/>
      <c r="E595" s="8"/>
      <c r="F595" s="8"/>
      <c r="G595" s="10"/>
      <c r="H595" s="11"/>
      <c r="I595" s="8"/>
      <c r="J595" s="9"/>
      <c r="K595" s="8"/>
      <c r="L595" s="9"/>
      <c r="M595" s="8"/>
      <c r="N595" s="8"/>
      <c r="O595" s="9"/>
    </row>
    <row r="596" spans="1:15" x14ac:dyDescent="0.15">
      <c r="A596" s="8"/>
      <c r="B596" s="8"/>
      <c r="C596" s="8"/>
      <c r="D596" s="8"/>
      <c r="E596" s="8"/>
      <c r="F596" s="8"/>
      <c r="G596" s="10"/>
      <c r="H596" s="11"/>
      <c r="I596" s="8"/>
      <c r="J596" s="9"/>
      <c r="K596" s="8"/>
      <c r="L596" s="9"/>
      <c r="M596" s="8"/>
      <c r="N596" s="8"/>
      <c r="O596" s="9"/>
    </row>
    <row r="597" spans="1:15" outlineLevel="1" x14ac:dyDescent="0.15">
      <c r="A597" s="8"/>
      <c r="B597" s="8"/>
      <c r="C597" s="8"/>
      <c r="D597" s="8"/>
      <c r="E597" s="8"/>
      <c r="F597" s="8"/>
      <c r="G597" s="10"/>
      <c r="H597" s="11"/>
      <c r="I597" s="8"/>
      <c r="J597" s="9"/>
      <c r="K597" s="8"/>
      <c r="L597" s="9"/>
      <c r="M597" s="8"/>
      <c r="N597" s="8"/>
      <c r="O597" s="9"/>
    </row>
    <row r="598" spans="1:15" outlineLevel="1" x14ac:dyDescent="0.15">
      <c r="A598" s="8"/>
      <c r="B598" s="8"/>
      <c r="C598" s="8"/>
      <c r="D598" s="8"/>
      <c r="E598" s="8"/>
      <c r="F598" s="8"/>
      <c r="G598" s="10"/>
      <c r="H598" s="11"/>
      <c r="I598" s="8"/>
      <c r="J598" s="9"/>
      <c r="K598" s="8"/>
      <c r="L598" s="9"/>
      <c r="M598" s="8"/>
      <c r="N598" s="8"/>
      <c r="O598" s="9"/>
    </row>
    <row r="599" spans="1:15" outlineLevel="1" x14ac:dyDescent="0.15">
      <c r="A599" s="8"/>
      <c r="B599" s="8"/>
      <c r="C599" s="8"/>
      <c r="D599" s="8"/>
      <c r="E599" s="8"/>
      <c r="F599" s="8"/>
      <c r="G599" s="10"/>
      <c r="H599" s="11"/>
      <c r="I599" s="8"/>
      <c r="J599" s="9"/>
      <c r="K599" s="8"/>
      <c r="L599" s="9"/>
      <c r="M599" s="8"/>
      <c r="N599" s="8"/>
      <c r="O599" s="9"/>
    </row>
    <row r="600" spans="1:15" outlineLevel="1" x14ac:dyDescent="0.15">
      <c r="A600" s="8"/>
      <c r="B600" s="8"/>
      <c r="C600" s="8"/>
      <c r="D600" s="8"/>
      <c r="E600" s="8"/>
      <c r="F600" s="8"/>
      <c r="G600" s="10"/>
      <c r="H600" s="11"/>
      <c r="I600" s="8"/>
      <c r="J600" s="9"/>
      <c r="K600" s="8"/>
      <c r="L600" s="9"/>
      <c r="M600" s="8"/>
      <c r="N600" s="8"/>
      <c r="O600" s="9"/>
    </row>
    <row r="601" spans="1:15" x14ac:dyDescent="0.15">
      <c r="A601" s="8"/>
      <c r="B601" s="8"/>
      <c r="C601" s="8"/>
      <c r="D601" s="8"/>
      <c r="E601" s="8"/>
      <c r="F601" s="8"/>
      <c r="G601" s="10"/>
      <c r="H601" s="11"/>
      <c r="I601" s="8"/>
      <c r="J601" s="9"/>
      <c r="K601" s="8"/>
      <c r="L601" s="9"/>
      <c r="M601" s="8"/>
      <c r="N601" s="8"/>
      <c r="O601" s="9"/>
    </row>
    <row r="602" spans="1:15" x14ac:dyDescent="0.15">
      <c r="A602" s="8"/>
      <c r="B602" s="8"/>
      <c r="C602" s="8"/>
      <c r="D602" s="8"/>
      <c r="E602" s="8"/>
      <c r="F602" s="8"/>
      <c r="G602" s="10"/>
      <c r="H602" s="11"/>
      <c r="I602" s="8"/>
      <c r="J602" s="9"/>
      <c r="K602" s="8"/>
      <c r="L602" s="9"/>
      <c r="M602" s="8"/>
      <c r="N602" s="8"/>
      <c r="O602" s="9"/>
    </row>
    <row r="603" spans="1:15" x14ac:dyDescent="0.15">
      <c r="A603" s="8"/>
      <c r="B603" s="8"/>
      <c r="C603" s="8"/>
      <c r="D603" s="8"/>
      <c r="E603" s="8"/>
      <c r="F603" s="8"/>
      <c r="G603" s="10"/>
      <c r="H603" s="11"/>
      <c r="I603" s="8"/>
      <c r="J603" s="9"/>
      <c r="K603" s="8"/>
      <c r="L603" s="9"/>
      <c r="M603" s="8"/>
      <c r="N603" s="8"/>
      <c r="O603" s="9"/>
    </row>
    <row r="604" spans="1:15" x14ac:dyDescent="0.15">
      <c r="A604" s="8"/>
      <c r="B604" s="8"/>
      <c r="C604" s="8"/>
      <c r="D604" s="8"/>
      <c r="E604" s="8"/>
      <c r="F604" s="8"/>
      <c r="G604" s="10"/>
      <c r="H604" s="11"/>
      <c r="I604" s="8"/>
      <c r="J604" s="9"/>
      <c r="K604" s="8"/>
      <c r="L604" s="9"/>
      <c r="M604" s="8"/>
      <c r="N604" s="8"/>
      <c r="O604" s="9"/>
    </row>
    <row r="605" spans="1:15" outlineLevel="1" x14ac:dyDescent="0.15">
      <c r="A605" s="8"/>
      <c r="B605" s="8"/>
      <c r="C605" s="8"/>
      <c r="D605" s="8"/>
      <c r="E605" s="8"/>
      <c r="F605" s="8"/>
      <c r="G605" s="10"/>
      <c r="H605" s="11"/>
      <c r="I605" s="8"/>
      <c r="J605" s="9"/>
      <c r="K605" s="8"/>
      <c r="L605" s="9"/>
      <c r="M605" s="8"/>
      <c r="N605" s="8"/>
      <c r="O605" s="9"/>
    </row>
    <row r="606" spans="1:15" outlineLevel="1" x14ac:dyDescent="0.15">
      <c r="A606" s="8"/>
      <c r="B606" s="8"/>
      <c r="C606" s="8"/>
      <c r="D606" s="8"/>
      <c r="E606" s="8"/>
      <c r="F606" s="8"/>
      <c r="G606" s="10"/>
      <c r="H606" s="11"/>
      <c r="I606" s="8"/>
      <c r="J606" s="9"/>
      <c r="K606" s="8"/>
      <c r="L606" s="9"/>
      <c r="M606" s="8"/>
      <c r="N606" s="8"/>
      <c r="O606" s="9"/>
    </row>
    <row r="607" spans="1:15" x14ac:dyDescent="0.15">
      <c r="A607" s="8"/>
      <c r="B607" s="8"/>
      <c r="C607" s="8"/>
      <c r="D607" s="8"/>
      <c r="E607" s="8"/>
      <c r="F607" s="8"/>
      <c r="G607" s="10"/>
      <c r="H607" s="11"/>
      <c r="I607" s="8"/>
      <c r="J607" s="9"/>
      <c r="K607" s="8"/>
      <c r="L607" s="9"/>
      <c r="M607" s="8"/>
      <c r="N607" s="8"/>
      <c r="O607" s="9"/>
    </row>
    <row r="608" spans="1:15" x14ac:dyDescent="0.15">
      <c r="A608" s="8"/>
      <c r="B608" s="8"/>
      <c r="C608" s="8"/>
      <c r="D608" s="8"/>
      <c r="E608" s="8"/>
      <c r="F608" s="8"/>
      <c r="G608" s="10"/>
      <c r="H608" s="11"/>
      <c r="I608" s="8"/>
      <c r="J608" s="9"/>
      <c r="K608" s="8"/>
      <c r="L608" s="9"/>
      <c r="M608" s="8"/>
      <c r="N608" s="8"/>
      <c r="O608" s="9"/>
    </row>
    <row r="609" spans="1:15" x14ac:dyDescent="0.15">
      <c r="A609" s="8"/>
      <c r="B609" s="8"/>
      <c r="C609" s="8"/>
      <c r="D609" s="8"/>
      <c r="E609" s="8"/>
      <c r="F609" s="8"/>
      <c r="G609" s="10"/>
      <c r="H609" s="11"/>
      <c r="I609" s="8"/>
      <c r="J609" s="9"/>
      <c r="K609" s="8"/>
      <c r="L609" s="9"/>
      <c r="M609" s="8"/>
      <c r="N609" s="8"/>
      <c r="O609" s="9"/>
    </row>
    <row r="621" spans="1:15" x14ac:dyDescent="0.15">
      <c r="A621" s="41"/>
    </row>
    <row r="631" spans="7:7" x14ac:dyDescent="0.15">
      <c r="G631" s="42"/>
    </row>
  </sheetData>
  <autoFilter ref="A5:S393" xr:uid="{214A2682-59FC-42C5-BF35-57251B40A73C}"/>
  <mergeCells count="15">
    <mergeCell ref="F3:F4"/>
    <mergeCell ref="A3:A4"/>
    <mergeCell ref="B3:B4"/>
    <mergeCell ref="C3:C4"/>
    <mergeCell ref="D3:D4"/>
    <mergeCell ref="E3:E4"/>
    <mergeCell ref="M3:M4"/>
    <mergeCell ref="N3:N4"/>
    <mergeCell ref="O3:O4"/>
    <mergeCell ref="G3:G4"/>
    <mergeCell ref="H3:H4"/>
    <mergeCell ref="I3:I4"/>
    <mergeCell ref="J3:J4"/>
    <mergeCell ref="K3:K4"/>
    <mergeCell ref="L3:L4"/>
  </mergeCells>
  <conditionalFormatting sqref="L6:L609">
    <cfRule type="cellIs" dxfId="333" priority="5" operator="equal">
      <formula>"-"</formula>
    </cfRule>
    <cfRule type="cellIs" dxfId="332" priority="6" operator="greaterThan">
      <formula>5</formula>
    </cfRule>
    <cfRule type="cellIs" dxfId="331" priority="7" operator="between">
      <formula>2</formula>
      <formula>5</formula>
    </cfRule>
    <cfRule type="cellIs" dxfId="330" priority="8" operator="lessThan">
      <formula>2</formula>
    </cfRule>
  </conditionalFormatting>
  <conditionalFormatting sqref="O6:O609">
    <cfRule type="cellIs" dxfId="329" priority="1" operator="equal">
      <formula>"-"</formula>
    </cfRule>
    <cfRule type="cellIs" dxfId="328" priority="2" operator="greaterThan">
      <formula>5</formula>
    </cfRule>
    <cfRule type="cellIs" dxfId="327" priority="3" operator="between">
      <formula>2</formula>
      <formula>5</formula>
    </cfRule>
    <cfRule type="cellIs" dxfId="326" priority="4" operator="lessThan">
      <formula>2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BBC5-CF5E-4A09-88A2-C828E1DA45F7}">
  <sheetPr>
    <tabColor rgb="FF92D050"/>
  </sheetPr>
  <dimension ref="A1:AA631"/>
  <sheetViews>
    <sheetView zoomScale="70" zoomScaleNormal="70" workbookViewId="0">
      <pane xSplit="1" ySplit="5" topLeftCell="B93" activePane="bottomRight" state="frozen"/>
      <selection activeCell="I17" sqref="I17"/>
      <selection pane="topRight" activeCell="I17" sqref="I17"/>
      <selection pane="bottomLeft" activeCell="I17" sqref="I17"/>
      <selection pane="bottomRight" activeCell="W93" sqref="W93:W100"/>
    </sheetView>
  </sheetViews>
  <sheetFormatPr baseColWidth="10" defaultColWidth="8.6640625" defaultRowHeight="14" outlineLevelRow="1" outlineLevelCol="1" x14ac:dyDescent="0.15"/>
  <cols>
    <col min="1" max="1" width="12.5" style="3" customWidth="1"/>
    <col min="2" max="2" width="12.5" style="3" bestFit="1" customWidth="1" outlineLevel="1"/>
    <col min="3" max="3" width="16.33203125" style="3" customWidth="1"/>
    <col min="4" max="4" width="10.33203125" style="3" customWidth="1"/>
    <col min="5" max="5" width="10.6640625" style="3" customWidth="1"/>
    <col min="6" max="6" width="18.33203125" style="3" customWidth="1" outlineLevel="1"/>
    <col min="7" max="7" width="15.83203125" style="3" customWidth="1"/>
    <col min="8" max="8" width="13.5" style="2" customWidth="1"/>
    <col min="9" max="9" width="14.1640625" style="2" customWidth="1"/>
    <col min="10" max="10" width="17.1640625" style="2" customWidth="1"/>
    <col min="11" max="11" width="21.5" style="2" customWidth="1"/>
    <col min="12" max="12" width="11.1640625" style="3" customWidth="1"/>
    <col min="13" max="15" width="24.6640625" style="3" customWidth="1"/>
    <col min="16" max="16384" width="8.6640625" style="3"/>
  </cols>
  <sheetData>
    <row r="1" spans="1:27" x14ac:dyDescent="0.15"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</row>
    <row r="2" spans="1:27" ht="16" x14ac:dyDescent="0.2">
      <c r="A2" s="1" t="s">
        <v>0</v>
      </c>
      <c r="B2" s="2"/>
      <c r="C2" s="2"/>
      <c r="D2" s="2"/>
      <c r="E2" s="2"/>
      <c r="F2" s="2"/>
      <c r="G2" s="2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</row>
    <row r="3" spans="1:27" x14ac:dyDescent="0.15">
      <c r="A3" s="276" t="s">
        <v>1</v>
      </c>
      <c r="B3" s="276" t="s">
        <v>2</v>
      </c>
      <c r="C3" s="276" t="s">
        <v>3</v>
      </c>
      <c r="D3" s="276" t="s">
        <v>4</v>
      </c>
      <c r="E3" s="276" t="s">
        <v>5</v>
      </c>
      <c r="F3" s="276" t="s">
        <v>6</v>
      </c>
      <c r="G3" s="284" t="s">
        <v>7</v>
      </c>
      <c r="H3" s="275" t="s">
        <v>8</v>
      </c>
      <c r="I3" s="275" t="s">
        <v>9</v>
      </c>
      <c r="J3" s="275" t="s">
        <v>626</v>
      </c>
      <c r="K3" s="275" t="s">
        <v>627</v>
      </c>
      <c r="L3" s="275" t="s">
        <v>10</v>
      </c>
      <c r="M3" s="276" t="s">
        <v>11</v>
      </c>
      <c r="N3" s="275" t="s">
        <v>2096</v>
      </c>
      <c r="O3" s="275" t="s">
        <v>10</v>
      </c>
      <c r="Q3" s="275" t="s">
        <v>2130</v>
      </c>
      <c r="R3" s="275" t="s">
        <v>2173</v>
      </c>
      <c r="T3" s="275" t="s">
        <v>2219</v>
      </c>
      <c r="U3" s="275" t="s">
        <v>2277</v>
      </c>
      <c r="V3" s="275" t="s">
        <v>2281</v>
      </c>
    </row>
    <row r="4" spans="1:27" x14ac:dyDescent="0.15">
      <c r="A4" s="276"/>
      <c r="B4" s="276"/>
      <c r="C4" s="276"/>
      <c r="D4" s="276"/>
      <c r="E4" s="276"/>
      <c r="F4" s="276"/>
      <c r="G4" s="284"/>
      <c r="H4" s="275"/>
      <c r="I4" s="275"/>
      <c r="J4" s="275"/>
      <c r="K4" s="275"/>
      <c r="L4" s="275"/>
      <c r="M4" s="276"/>
      <c r="N4" s="275"/>
      <c r="O4" s="275"/>
      <c r="Q4" s="275"/>
      <c r="R4" s="275"/>
      <c r="T4" s="275"/>
      <c r="U4" s="275"/>
      <c r="V4" s="275"/>
    </row>
    <row r="5" spans="1:27" ht="10.5" customHeight="1" x14ac:dyDescent="0.15">
      <c r="A5" s="4"/>
      <c r="B5" s="4"/>
      <c r="C5" s="4"/>
      <c r="D5" s="4"/>
      <c r="E5" s="4"/>
      <c r="F5" s="4"/>
      <c r="G5" s="5"/>
      <c r="H5" s="6"/>
      <c r="I5" s="6"/>
      <c r="J5" s="6"/>
      <c r="K5" s="6"/>
      <c r="L5" s="6"/>
      <c r="M5" s="7"/>
      <c r="N5" s="6"/>
      <c r="O5" s="6"/>
    </row>
    <row r="6" spans="1:27" outlineLevel="1" x14ac:dyDescent="0.15">
      <c r="A6" s="8" t="s">
        <v>1927</v>
      </c>
      <c r="B6" s="8"/>
      <c r="C6" s="8" t="s">
        <v>1928</v>
      </c>
      <c r="D6" s="8" t="s">
        <v>1431</v>
      </c>
      <c r="E6" s="9">
        <v>27.97</v>
      </c>
      <c r="F6" s="8" t="s">
        <v>1740</v>
      </c>
      <c r="G6" s="143">
        <v>3204</v>
      </c>
      <c r="H6" s="11"/>
      <c r="I6" s="143"/>
      <c r="J6" s="9">
        <f t="array" ref="J6">IFERROR(I6/G6*100,0)</f>
        <v>0</v>
      </c>
      <c r="K6" s="143"/>
      <c r="L6" s="9">
        <f t="shared" ref="L6:L18" si="0">IFERROR(K6/I6*100,0)</f>
        <v>0</v>
      </c>
      <c r="M6" s="8" t="str">
        <f t="array" ref="M6">IF(L6&gt;5,"Perlu Pengendalian",IF(AND(L6&gt;=0,I6&gt;0),"Tidak Perlu Pengendalian","Belum Sensus"))</f>
        <v>Belum Sensus</v>
      </c>
      <c r="N6" s="143"/>
      <c r="O6" s="9"/>
      <c r="Q6" s="9">
        <v>4.2553191489361701</v>
      </c>
      <c r="R6" s="206">
        <v>3.3333333333333335</v>
      </c>
      <c r="T6" s="206">
        <v>3.3333333333333335</v>
      </c>
      <c r="U6" s="206">
        <v>5.6910569105691051</v>
      </c>
      <c r="V6" s="206">
        <v>3.2520325203252036</v>
      </c>
      <c r="W6" s="3" t="s">
        <v>2040</v>
      </c>
    </row>
    <row r="7" spans="1:27" outlineLevel="1" x14ac:dyDescent="0.15">
      <c r="A7" s="8" t="s">
        <v>1927</v>
      </c>
      <c r="B7" s="8"/>
      <c r="C7" s="8" t="s">
        <v>1928</v>
      </c>
      <c r="D7" s="8" t="s">
        <v>1439</v>
      </c>
      <c r="E7" s="9">
        <v>42.620000000000005</v>
      </c>
      <c r="F7" s="8" t="s">
        <v>1740</v>
      </c>
      <c r="G7" s="143">
        <v>5392</v>
      </c>
      <c r="H7" s="11"/>
      <c r="I7" s="143"/>
      <c r="J7" s="9">
        <f t="array" ref="J7">IFERROR(I7/G7*100,0)</f>
        <v>0</v>
      </c>
      <c r="K7" s="143"/>
      <c r="L7" s="9">
        <f t="shared" si="0"/>
        <v>0</v>
      </c>
      <c r="M7" s="8" t="str">
        <f t="array" ref="M7">IF(L7&gt;5,"Perlu Pengendalian",IF(AND(L7&gt;=0,I7&gt;0),"Tidak Perlu Pengendalian","Belum Sensus"))</f>
        <v>Belum Sensus</v>
      </c>
      <c r="N7" s="143"/>
      <c r="O7" s="9"/>
      <c r="Q7" s="9">
        <v>3.125</v>
      </c>
      <c r="R7" s="206">
        <v>3.050847457627119</v>
      </c>
      <c r="T7" s="206">
        <v>3.050847457627119</v>
      </c>
      <c r="U7" s="206">
        <v>0</v>
      </c>
      <c r="V7" s="206">
        <v>4.5112781954887211</v>
      </c>
    </row>
    <row r="8" spans="1:27" outlineLevel="1" x14ac:dyDescent="0.15">
      <c r="A8" s="8" t="s">
        <v>1927</v>
      </c>
      <c r="B8" s="8"/>
      <c r="C8" s="8" t="s">
        <v>1928</v>
      </c>
      <c r="D8" s="8" t="s">
        <v>1443</v>
      </c>
      <c r="E8" s="9">
        <v>38.29</v>
      </c>
      <c r="F8" s="8" t="s">
        <v>1740</v>
      </c>
      <c r="G8" s="143">
        <v>4436</v>
      </c>
      <c r="H8" s="11">
        <v>46165</v>
      </c>
      <c r="I8" s="143">
        <f t="array" ref="I8">INDEX([27]Sheet1!$F$6:$F$82,MATCH(1,([27]Sheet1!$C$6:$C$82=$D8)*([27]Sheet1!$C$6:$C$82=$D8),0))</f>
        <v>503</v>
      </c>
      <c r="J8" s="9">
        <f t="array" ref="J8">IFERROR(I8/G8*100,0)</f>
        <v>11.339044183949504</v>
      </c>
      <c r="K8" s="143">
        <f t="array" ref="K8">INDEX([27]Sheet1!$H$6:$H$82,MATCH(1,([27]Sheet1!$C$6:$C$82=$D8)*([27]Sheet1!$C$6:$C$82=$D8),0))</f>
        <v>17</v>
      </c>
      <c r="L8" s="9">
        <f t="shared" si="0"/>
        <v>3.3797216699801194</v>
      </c>
      <c r="M8" s="8" t="str">
        <f t="array" ref="M8">IF(L8&gt;5,"Perlu Pengendalian",IF(AND(L8&gt;=0,I8&gt;0),"Tidak Perlu Pengendalian","Belum Sensus"))</f>
        <v>Tidak Perlu Pengendalian</v>
      </c>
      <c r="N8" s="143"/>
      <c r="O8" s="9"/>
      <c r="Q8" s="9">
        <v>1.6556291390728477</v>
      </c>
      <c r="R8" s="206">
        <v>3.225806451612903</v>
      </c>
      <c r="T8" s="206">
        <v>3.225806451612903</v>
      </c>
      <c r="U8" s="206">
        <v>0</v>
      </c>
      <c r="V8" s="206">
        <v>3.0303030303030303</v>
      </c>
    </row>
    <row r="9" spans="1:27" outlineLevel="1" x14ac:dyDescent="0.15">
      <c r="A9" s="8" t="s">
        <v>1927</v>
      </c>
      <c r="B9" s="8"/>
      <c r="C9" s="8" t="s">
        <v>1928</v>
      </c>
      <c r="D9" s="8" t="s">
        <v>1078</v>
      </c>
      <c r="E9" s="9">
        <v>29.62</v>
      </c>
      <c r="F9" s="8" t="s">
        <v>1740</v>
      </c>
      <c r="G9" s="143">
        <v>2114</v>
      </c>
      <c r="H9" s="11">
        <v>46165</v>
      </c>
      <c r="I9" s="143">
        <f t="array" ref="I9">INDEX([27]Sheet1!$F$6:$F$82,MATCH(1,([27]Sheet1!$C$6:$C$82=$D9)*([27]Sheet1!$C$6:$C$82=$D9),0))</f>
        <v>213</v>
      </c>
      <c r="J9" s="9">
        <f t="array" ref="J9">IFERROR(I9/G9*100,0)</f>
        <v>10.075685903500473</v>
      </c>
      <c r="K9" s="143">
        <f t="array" ref="K9">INDEX([27]Sheet1!$H$6:$H$82,MATCH(1,([27]Sheet1!$C$6:$C$82=$D9)*([27]Sheet1!$C$6:$C$82=$D9),0))</f>
        <v>7</v>
      </c>
      <c r="L9" s="9">
        <f t="shared" si="0"/>
        <v>3.286384976525822</v>
      </c>
      <c r="M9" s="8" t="str">
        <f t="array" ref="M9">IF(L9&gt;5,"Perlu Pengendalian",IF(AND(L9&gt;=0,I9&gt;0),"Tidak Perlu Pengendalian","Belum Sensus"))</f>
        <v>Tidak Perlu Pengendalian</v>
      </c>
      <c r="N9" s="143"/>
      <c r="O9" s="9"/>
      <c r="Q9" s="9">
        <v>1.8495684340320593</v>
      </c>
      <c r="R9" s="206">
        <v>18</v>
      </c>
      <c r="T9" s="206">
        <v>18</v>
      </c>
      <c r="U9" s="206">
        <v>0</v>
      </c>
      <c r="V9" s="206">
        <v>1.1235955056179776</v>
      </c>
    </row>
    <row r="10" spans="1:27" outlineLevel="1" x14ac:dyDescent="0.15">
      <c r="A10" s="8" t="s">
        <v>1927</v>
      </c>
      <c r="B10" s="8"/>
      <c r="C10" s="8" t="s">
        <v>1928</v>
      </c>
      <c r="D10" s="8" t="s">
        <v>1432</v>
      </c>
      <c r="E10" s="9">
        <v>34.07</v>
      </c>
      <c r="F10" s="8" t="s">
        <v>1740</v>
      </c>
      <c r="G10" s="143">
        <v>4566</v>
      </c>
      <c r="H10" s="11">
        <v>46165</v>
      </c>
      <c r="I10" s="143">
        <f t="array" ref="I10">INDEX([27]Sheet1!$F$6:$F$82,MATCH(1,([27]Sheet1!$C$6:$C$82=$D10)*([27]Sheet1!$C$6:$C$82=$D10),0))</f>
        <v>490</v>
      </c>
      <c r="J10" s="9">
        <f t="array" ref="J10">IFERROR(I10/G10*100,0)</f>
        <v>10.73149364870784</v>
      </c>
      <c r="K10" s="143">
        <f t="array" ref="K10">INDEX([27]Sheet1!$H$6:$H$82,MATCH(1,([27]Sheet1!$C$6:$C$82=$D10)*([27]Sheet1!$C$6:$C$82=$D10),0))</f>
        <v>21</v>
      </c>
      <c r="L10" s="9">
        <f t="shared" si="0"/>
        <v>4.2857142857142856</v>
      </c>
      <c r="M10" s="8" t="str">
        <f t="array" ref="M10">IF(L10&gt;5,"Perlu Pengendalian",IF(AND(L10&gt;=0,I10&gt;0),"Tidak Perlu Pengendalian","Belum Sensus"))</f>
        <v>Tidak Perlu Pengendalian</v>
      </c>
      <c r="N10" s="143"/>
      <c r="O10" s="9"/>
      <c r="Q10" s="9">
        <v>2.5943396226415096</v>
      </c>
      <c r="R10" s="206">
        <v>1.5151515151515151</v>
      </c>
      <c r="T10" s="206">
        <v>3.7037037037037033</v>
      </c>
      <c r="U10" s="206">
        <v>1.4354066985645932</v>
      </c>
      <c r="V10" s="206">
        <v>4.5454545454545459</v>
      </c>
    </row>
    <row r="11" spans="1:27" outlineLevel="1" x14ac:dyDescent="0.15">
      <c r="A11" s="8" t="s">
        <v>1927</v>
      </c>
      <c r="B11" s="8"/>
      <c r="C11" s="8" t="s">
        <v>1928</v>
      </c>
      <c r="D11" s="8" t="s">
        <v>1441</v>
      </c>
      <c r="E11" s="9">
        <v>34.25</v>
      </c>
      <c r="F11" s="8" t="s">
        <v>1740</v>
      </c>
      <c r="G11" s="143">
        <v>4416</v>
      </c>
      <c r="H11" s="11"/>
      <c r="I11" s="143"/>
      <c r="J11" s="9">
        <f t="array" ref="J11">IFERROR(I11/G11*100,0)</f>
        <v>0</v>
      </c>
      <c r="K11" s="143"/>
      <c r="L11" s="9">
        <f t="shared" si="0"/>
        <v>0</v>
      </c>
      <c r="M11" s="8" t="str">
        <f t="array" ref="M11">IF(L11&gt;5,"Perlu Pengendalian",IF(AND(L11&gt;=0,I11&gt;0),"Tidak Perlu Pengendalian","Belum Sensus"))</f>
        <v>Belum Sensus</v>
      </c>
      <c r="N11" s="143"/>
      <c r="O11" s="9"/>
      <c r="Q11" s="9">
        <v>2.8792912513842746</v>
      </c>
      <c r="R11" s="206">
        <v>3.050847457627119</v>
      </c>
      <c r="T11" s="206">
        <v>4.2801556420233462</v>
      </c>
      <c r="U11" s="206">
        <v>2</v>
      </c>
      <c r="V11" s="206">
        <v>4.2654028436018958</v>
      </c>
    </row>
    <row r="12" spans="1:27" outlineLevel="1" x14ac:dyDescent="0.15">
      <c r="A12" s="8" t="s">
        <v>1927</v>
      </c>
      <c r="B12" s="8"/>
      <c r="C12" s="8" t="s">
        <v>1928</v>
      </c>
      <c r="D12" s="8" t="s">
        <v>1429</v>
      </c>
      <c r="E12" s="9">
        <v>34.18</v>
      </c>
      <c r="F12" s="8" t="s">
        <v>1740</v>
      </c>
      <c r="G12" s="143">
        <v>4404</v>
      </c>
      <c r="H12" s="11">
        <v>46165</v>
      </c>
      <c r="I12" s="143">
        <f t="array" ref="I12">INDEX([27]Sheet1!$F$6:$F$82,MATCH(1,([27]Sheet1!$C$6:$C$82=$D12)*([27]Sheet1!$C$6:$C$82=$D12),0))</f>
        <v>359</v>
      </c>
      <c r="J12" s="9">
        <f t="array" ref="J12">IFERROR(I12/G12*100,0)</f>
        <v>8.1516802906448671</v>
      </c>
      <c r="K12" s="143">
        <f t="array" ref="K12">INDEX([27]Sheet1!$H$6:$H$82,MATCH(1,([27]Sheet1!$C$6:$C$82=$D12)*([27]Sheet1!$C$6:$C$82=$D12),0))</f>
        <v>65</v>
      </c>
      <c r="L12" s="9">
        <f t="shared" si="0"/>
        <v>18.105849582172702</v>
      </c>
      <c r="M12" s="8" t="str">
        <f t="array" ref="M12">IF(L12&gt;5,"Perlu Pengendalian",IF(AND(L12&gt;=0,I12&gt;0),"Tidak Perlu Pengendalian","Belum Sensus"))</f>
        <v>Perlu Pengendalian</v>
      </c>
      <c r="N12" s="143"/>
      <c r="O12" s="9"/>
      <c r="Q12" s="9">
        <v>2.2944550669216062</v>
      </c>
      <c r="R12" s="206">
        <v>1.7857142857142856</v>
      </c>
      <c r="T12" s="206">
        <v>4.2801556420233462</v>
      </c>
      <c r="U12" s="206">
        <v>4.2801556420233462</v>
      </c>
      <c r="V12" s="206">
        <v>4.2801556420233462</v>
      </c>
    </row>
    <row r="13" spans="1:27" outlineLevel="1" x14ac:dyDescent="0.15">
      <c r="A13" s="8" t="s">
        <v>1927</v>
      </c>
      <c r="B13" s="8"/>
      <c r="C13" s="8" t="s">
        <v>1928</v>
      </c>
      <c r="D13" s="8" t="s">
        <v>1079</v>
      </c>
      <c r="E13" s="9">
        <v>35.080000000000005</v>
      </c>
      <c r="F13" s="8" t="s">
        <v>1740</v>
      </c>
      <c r="G13" s="143">
        <v>2148</v>
      </c>
      <c r="H13" s="11"/>
      <c r="I13" s="143"/>
      <c r="J13" s="9">
        <f t="array" ref="J13">IFERROR(I13/G13*100,0)</f>
        <v>0</v>
      </c>
      <c r="K13" s="143"/>
      <c r="L13" s="9">
        <f t="shared" si="0"/>
        <v>0</v>
      </c>
      <c r="M13" s="8" t="str">
        <f t="array" ref="M13">IF(L13&gt;5,"Perlu Pengendalian",IF(AND(L13&gt;=0,I13&gt;0),"Tidak Perlu Pengendalian","Belum Sensus"))</f>
        <v>Belum Sensus</v>
      </c>
      <c r="N13" s="143"/>
      <c r="O13" s="9"/>
      <c r="Q13" s="9">
        <v>1.0781671159029651</v>
      </c>
      <c r="R13" s="206">
        <v>3.125</v>
      </c>
      <c r="T13" s="206">
        <v>3.125</v>
      </c>
      <c r="U13" s="206">
        <v>0</v>
      </c>
      <c r="V13" s="206">
        <v>1.9230769230769231</v>
      </c>
    </row>
    <row r="14" spans="1:27" outlineLevel="1" x14ac:dyDescent="0.15">
      <c r="A14" s="8" t="s">
        <v>1927</v>
      </c>
      <c r="B14" s="8"/>
      <c r="C14" s="8" t="s">
        <v>1928</v>
      </c>
      <c r="D14" s="8" t="s">
        <v>1834</v>
      </c>
      <c r="E14" s="9">
        <v>35.269999999999996</v>
      </c>
      <c r="F14" s="8" t="s">
        <v>1740</v>
      </c>
      <c r="G14" s="143">
        <v>4109</v>
      </c>
      <c r="H14" s="11">
        <v>46165</v>
      </c>
      <c r="I14" s="143">
        <f t="array" ref="I14">INDEX([27]Sheet1!$F$6:$F$82,MATCH(1,([27]Sheet1!$C$6:$C$82=$D14)*([27]Sheet1!$C$6:$C$82=$D14),0))</f>
        <v>242</v>
      </c>
      <c r="J14" s="9">
        <f t="array" ref="J14">IFERROR(I14/G14*100,0)</f>
        <v>5.8895108298856167</v>
      </c>
      <c r="K14" s="143">
        <f t="array" ref="K14">INDEX([27]Sheet1!$H$6:$H$82,MATCH(1,([27]Sheet1!$C$6:$C$82=$D14)*([27]Sheet1!$C$6:$C$82=$D14),0))</f>
        <v>15</v>
      </c>
      <c r="L14" s="9">
        <f t="shared" si="0"/>
        <v>6.1983471074380168</v>
      </c>
      <c r="M14" s="8" t="str">
        <f t="array" ref="M14">IF(L14&gt;5,"Perlu Pengendalian",IF(AND(L14&gt;=0,I14&gt;0),"Tidak Perlu Pengendalian","Belum Sensus"))</f>
        <v>Perlu Pengendalian</v>
      </c>
      <c r="N14" s="143"/>
      <c r="O14" s="9"/>
      <c r="Q14" s="9">
        <v>3.75</v>
      </c>
      <c r="R14" s="206">
        <v>5.2631578947368416</v>
      </c>
      <c r="T14" s="206">
        <v>5.2631578947368416</v>
      </c>
      <c r="U14" s="206">
        <v>0</v>
      </c>
      <c r="V14" s="206">
        <v>4.5454545454545459</v>
      </c>
    </row>
    <row r="15" spans="1:27" outlineLevel="1" x14ac:dyDescent="0.15">
      <c r="A15" s="8" t="s">
        <v>1927</v>
      </c>
      <c r="B15" s="8"/>
      <c r="C15" s="8" t="s">
        <v>1928</v>
      </c>
      <c r="D15" s="8" t="s">
        <v>1455</v>
      </c>
      <c r="E15" s="9">
        <v>47.09</v>
      </c>
      <c r="F15" s="8" t="s">
        <v>1740</v>
      </c>
      <c r="G15" s="143">
        <v>5844</v>
      </c>
      <c r="H15" s="11"/>
      <c r="I15" s="143"/>
      <c r="J15" s="9">
        <f t="array" ref="J15">IFERROR(I15/G15*100,0)</f>
        <v>0</v>
      </c>
      <c r="K15" s="143"/>
      <c r="L15" s="9">
        <f t="shared" si="0"/>
        <v>0</v>
      </c>
      <c r="M15" s="8" t="str">
        <f t="array" ref="M15">IF(L15&gt;5,"Perlu Pengendalian",IF(AND(L15&gt;=0,I15&gt;0),"Tidak Perlu Pengendalian","Belum Sensus"))</f>
        <v>Belum Sensus</v>
      </c>
      <c r="N15" s="143"/>
      <c r="O15" s="9"/>
      <c r="Q15" s="9">
        <v>4.6511627906976747</v>
      </c>
      <c r="R15" s="206">
        <v>2.1052631578947367</v>
      </c>
      <c r="T15" s="206">
        <v>2.1423106350420813</v>
      </c>
      <c r="U15" s="206">
        <v>4</v>
      </c>
      <c r="V15" s="206">
        <v>4.895104895104895</v>
      </c>
    </row>
    <row r="16" spans="1:27" outlineLevel="1" x14ac:dyDescent="0.15">
      <c r="A16" s="8" t="s">
        <v>1927</v>
      </c>
      <c r="B16" s="8"/>
      <c r="C16" s="8" t="s">
        <v>1928</v>
      </c>
      <c r="D16" s="8" t="s">
        <v>1430</v>
      </c>
      <c r="E16" s="9">
        <v>28.35</v>
      </c>
      <c r="F16" s="8" t="s">
        <v>1740</v>
      </c>
      <c r="G16" s="143">
        <v>3662.0000000000005</v>
      </c>
      <c r="H16" s="11"/>
      <c r="I16" s="143"/>
      <c r="J16" s="9">
        <f t="array" ref="J16">IFERROR(I16/G16*100,0)</f>
        <v>0</v>
      </c>
      <c r="K16" s="143"/>
      <c r="L16" s="9">
        <f t="shared" si="0"/>
        <v>0</v>
      </c>
      <c r="M16" s="8" t="str">
        <f t="array" ref="M16">IF(L16&gt;5,"Perlu Pengendalian",IF(AND(L16&gt;=0,I16&gt;0),"Tidak Perlu Pengendalian","Belum Sensus"))</f>
        <v>Belum Sensus</v>
      </c>
      <c r="N16" s="143"/>
      <c r="O16" s="9"/>
      <c r="Q16" s="9">
        <v>1.8394648829431439</v>
      </c>
      <c r="R16" s="206">
        <v>4.1666666666666661</v>
      </c>
      <c r="T16" s="206">
        <v>4.1666666666666661</v>
      </c>
      <c r="U16" s="206">
        <v>11.111111111111111</v>
      </c>
      <c r="V16" s="206">
        <v>4.1958041958041958</v>
      </c>
      <c r="W16" s="3" t="s">
        <v>2040</v>
      </c>
    </row>
    <row r="17" spans="1:23" outlineLevel="1" x14ac:dyDescent="0.15">
      <c r="A17" s="8" t="s">
        <v>1927</v>
      </c>
      <c r="B17" s="8"/>
      <c r="C17" s="8" t="s">
        <v>1928</v>
      </c>
      <c r="D17" s="8" t="s">
        <v>1433</v>
      </c>
      <c r="E17" s="9">
        <v>36.25</v>
      </c>
      <c r="F17" s="8" t="s">
        <v>1740</v>
      </c>
      <c r="G17" s="143">
        <v>4035</v>
      </c>
      <c r="H17" s="11">
        <v>46165</v>
      </c>
      <c r="I17" s="143">
        <f t="array" ref="I17">INDEX([27]Sheet1!$F$6:$F$82,MATCH(1,([27]Sheet1!$C$6:$C$82=$D17)*([27]Sheet1!$C$6:$C$82=$D17),0))</f>
        <v>500</v>
      </c>
      <c r="J17" s="9">
        <f t="array" ref="J17">IFERROR(I17/G17*100,0)</f>
        <v>12.391573729863694</v>
      </c>
      <c r="K17" s="143">
        <f t="array" ref="K17">INDEX([27]Sheet1!$H$6:$H$82,MATCH(1,([27]Sheet1!$C$6:$C$82=$D17)*([27]Sheet1!$C$6:$C$82=$D17),0))</f>
        <v>15</v>
      </c>
      <c r="L17" s="9">
        <f t="shared" si="0"/>
        <v>3</v>
      </c>
      <c r="M17" s="8" t="str">
        <f t="array" ref="M17">IF(L17&gt;5,"Perlu Pengendalian",IF(AND(L17&gt;=0,I17&gt;0),"Tidak Perlu Pengendalian","Belum Sensus"))</f>
        <v>Tidak Perlu Pengendalian</v>
      </c>
      <c r="N17" s="143"/>
      <c r="O17" s="9"/>
      <c r="Q17" s="9">
        <v>5.9701492537313428</v>
      </c>
      <c r="R17" s="206">
        <v>6.1538461538461542</v>
      </c>
      <c r="T17" s="206">
        <v>6.1538461538461542</v>
      </c>
      <c r="U17" s="206">
        <v>2.3084994753410282</v>
      </c>
      <c r="V17" s="206">
        <v>2.2727272727272729</v>
      </c>
    </row>
    <row r="18" spans="1:23" outlineLevel="1" x14ac:dyDescent="0.15">
      <c r="A18" s="8" t="s">
        <v>1927</v>
      </c>
      <c r="B18" s="8"/>
      <c r="C18" s="8" t="s">
        <v>1928</v>
      </c>
      <c r="D18" s="8" t="s">
        <v>1436</v>
      </c>
      <c r="E18" s="9">
        <v>28.34</v>
      </c>
      <c r="F18" s="8" t="s">
        <v>1740</v>
      </c>
      <c r="G18" s="143">
        <v>2649</v>
      </c>
      <c r="H18" s="11"/>
      <c r="I18" s="143"/>
      <c r="J18" s="9">
        <f t="array" ref="J18">IFERROR(I18/G18*100,0)</f>
        <v>0</v>
      </c>
      <c r="K18" s="143"/>
      <c r="L18" s="9">
        <f t="shared" si="0"/>
        <v>0</v>
      </c>
      <c r="M18" s="8" t="str">
        <f t="array" ref="M18">IF(L18&gt;5,"Perlu Pengendalian",IF(AND(L18&gt;=0,I18&gt;0),"Tidak Perlu Pengendalian","Belum Sensus"))</f>
        <v>Belum Sensus</v>
      </c>
      <c r="N18" s="143"/>
      <c r="O18" s="9"/>
      <c r="Q18" s="9">
        <v>3.7037037037037033</v>
      </c>
      <c r="R18" s="206">
        <v>3.7433155080213902</v>
      </c>
      <c r="T18" s="206">
        <v>3.7433155080213902</v>
      </c>
      <c r="U18" s="206">
        <v>0</v>
      </c>
      <c r="V18" s="206">
        <v>3.3707865168539324</v>
      </c>
    </row>
    <row r="19" spans="1:23" outlineLevel="1" x14ac:dyDescent="0.15">
      <c r="A19" s="8" t="s">
        <v>1927</v>
      </c>
      <c r="B19" s="8"/>
      <c r="C19" s="8" t="s">
        <v>1928</v>
      </c>
      <c r="D19" s="8" t="s">
        <v>1438</v>
      </c>
      <c r="E19" s="9">
        <v>31.9</v>
      </c>
      <c r="F19" s="8" t="s">
        <v>1740</v>
      </c>
      <c r="G19" s="143">
        <v>3654</v>
      </c>
      <c r="H19" s="11"/>
      <c r="I19" s="143"/>
      <c r="J19" s="9">
        <f t="array" ref="J19">IFERROR(I19/G19*100,0)</f>
        <v>0</v>
      </c>
      <c r="K19" s="143"/>
      <c r="L19" s="9">
        <f>IFERROR(K19/I19*100,0)</f>
        <v>0</v>
      </c>
      <c r="M19" s="8" t="str">
        <f t="array" ref="M19">IF(L19&gt;5,"Perlu Pengendalian",IF(AND(L19&gt;=0,I19&gt;0),"Tidak Perlu Pengendalian","Belum Sensus"))</f>
        <v>Belum Sensus</v>
      </c>
      <c r="N19" s="143"/>
      <c r="O19" s="9"/>
      <c r="Q19" s="9">
        <v>2.826379542395693</v>
      </c>
      <c r="R19" s="206">
        <v>2.1428571428571428</v>
      </c>
      <c r="T19" s="206">
        <v>2.1651964715316758</v>
      </c>
      <c r="U19" s="206">
        <v>4.6153846153846159</v>
      </c>
      <c r="V19" s="206">
        <v>4.6153846153846159</v>
      </c>
    </row>
    <row r="20" spans="1:23" outlineLevel="1" x14ac:dyDescent="0.15">
      <c r="A20" s="8" t="s">
        <v>1927</v>
      </c>
      <c r="B20" s="8"/>
      <c r="C20" s="8" t="s">
        <v>1928</v>
      </c>
      <c r="D20" s="8" t="s">
        <v>1440</v>
      </c>
      <c r="E20" s="9">
        <v>35.380000000000003</v>
      </c>
      <c r="F20" s="8" t="s">
        <v>1740</v>
      </c>
      <c r="G20" s="143">
        <v>4717</v>
      </c>
      <c r="H20" s="11"/>
      <c r="I20" s="143"/>
      <c r="J20" s="9">
        <f t="array" ref="J20">IFERROR(I20/G20*100,0)</f>
        <v>0</v>
      </c>
      <c r="K20" s="143"/>
      <c r="L20" s="9">
        <f t="shared" ref="L20:L83" si="1">IFERROR(K20/I20*100,0)</f>
        <v>0</v>
      </c>
      <c r="M20" s="8" t="str">
        <f t="array" ref="M20">IF(L20&gt;5,"Perlu Pengendalian",IF(AND(L20&gt;=0,I20&gt;0),"Tidak Perlu Pengendalian","Belum Sensus"))</f>
        <v>Belum Sensus</v>
      </c>
      <c r="N20" s="143"/>
      <c r="O20" s="9"/>
      <c r="Q20" s="9">
        <v>1.4629542236904201</v>
      </c>
      <c r="R20" s="206">
        <v>2.2268254790264113</v>
      </c>
      <c r="T20" s="206">
        <v>2.0463847203274219</v>
      </c>
      <c r="U20" s="206">
        <v>0</v>
      </c>
      <c r="V20" s="206">
        <v>0.84033613445378152</v>
      </c>
    </row>
    <row r="21" spans="1:23" outlineLevel="1" x14ac:dyDescent="0.15">
      <c r="A21" s="8" t="s">
        <v>1927</v>
      </c>
      <c r="B21" s="8"/>
      <c r="C21" s="8" t="s">
        <v>1928</v>
      </c>
      <c r="D21" s="8" t="s">
        <v>1442</v>
      </c>
      <c r="E21" s="9">
        <v>25.740000000000002</v>
      </c>
      <c r="F21" s="8" t="s">
        <v>1740</v>
      </c>
      <c r="G21" s="143">
        <v>3108</v>
      </c>
      <c r="H21" s="11">
        <v>46157</v>
      </c>
      <c r="I21" s="143">
        <v>308</v>
      </c>
      <c r="J21" s="9">
        <f t="array" ref="J21">IFERROR(I21/G21*100,0)</f>
        <v>9.9099099099099099</v>
      </c>
      <c r="K21" s="143">
        <v>27</v>
      </c>
      <c r="L21" s="9">
        <f t="shared" si="1"/>
        <v>8.7662337662337659</v>
      </c>
      <c r="M21" s="8" t="str">
        <f t="array" ref="M21">IF(L21&gt;5,"Perlu Pengendalian",IF(AND(L21&gt;=0,I21&gt;0),"Tidak Perlu Pengendalian","Belum Sensus"))</f>
        <v>Perlu Pengendalian</v>
      </c>
      <c r="N21" s="143"/>
      <c r="O21" s="9"/>
      <c r="Q21" s="9">
        <v>3.0769230769230771</v>
      </c>
      <c r="R21" s="206">
        <v>3.050847457627119</v>
      </c>
      <c r="T21" s="206">
        <v>3.050847457627119</v>
      </c>
      <c r="U21" s="206">
        <v>0</v>
      </c>
      <c r="V21" s="206">
        <v>4.7619047619047619</v>
      </c>
    </row>
    <row r="22" spans="1:23" outlineLevel="1" x14ac:dyDescent="0.15">
      <c r="A22" s="8" t="s">
        <v>1927</v>
      </c>
      <c r="B22" s="8"/>
      <c r="C22" s="8" t="s">
        <v>1928</v>
      </c>
      <c r="D22" s="8" t="s">
        <v>1444</v>
      </c>
      <c r="E22" s="9">
        <v>37.43</v>
      </c>
      <c r="F22" s="8" t="s">
        <v>1740</v>
      </c>
      <c r="G22" s="143">
        <v>4585</v>
      </c>
      <c r="H22" s="11"/>
      <c r="I22" s="143"/>
      <c r="J22" s="9">
        <f t="array" ref="J22">IFERROR(I22/G22*100,0)</f>
        <v>0</v>
      </c>
      <c r="K22" s="143"/>
      <c r="L22" s="9">
        <f t="shared" si="1"/>
        <v>0</v>
      </c>
      <c r="M22" s="8" t="str">
        <f t="array" ref="M22">IF(L22&gt;5,"Perlu Pengendalian",IF(AND(L22&gt;=0,I22&gt;0),"Tidak Perlu Pengendalian","Belum Sensus"))</f>
        <v>Belum Sensus</v>
      </c>
      <c r="N22" s="143"/>
      <c r="O22" s="9"/>
      <c r="Q22" s="9">
        <v>3.225806451612903</v>
      </c>
      <c r="R22" s="206">
        <v>4.9504950495049505</v>
      </c>
      <c r="T22" s="206">
        <v>4.9504950495049505</v>
      </c>
      <c r="U22" s="206">
        <v>0</v>
      </c>
      <c r="V22" s="206">
        <v>1.9801980198019802</v>
      </c>
    </row>
    <row r="23" spans="1:23" outlineLevel="1" x14ac:dyDescent="0.15">
      <c r="A23" s="8" t="s">
        <v>1927</v>
      </c>
      <c r="B23" s="8"/>
      <c r="C23" s="8" t="s">
        <v>1928</v>
      </c>
      <c r="D23" s="8" t="s">
        <v>1434</v>
      </c>
      <c r="E23" s="9">
        <v>27.029999999999998</v>
      </c>
      <c r="F23" s="8" t="s">
        <v>1740</v>
      </c>
      <c r="G23" s="143">
        <v>3085</v>
      </c>
      <c r="H23" s="11"/>
      <c r="I23" s="143"/>
      <c r="J23" s="9">
        <f t="array" ref="J23">IFERROR(I23/G23*100,0)</f>
        <v>0</v>
      </c>
      <c r="K23" s="143"/>
      <c r="L23" s="9">
        <f t="shared" si="1"/>
        <v>0</v>
      </c>
      <c r="M23" s="8" t="str">
        <f t="array" ref="M23">IF(L23&gt;5,"Perlu Pengendalian",IF(AND(L23&gt;=0,I23&gt;0),"Tidak Perlu Pengendalian","Belum Sensus"))</f>
        <v>Belum Sensus</v>
      </c>
      <c r="N23" s="143"/>
      <c r="O23" s="9"/>
      <c r="Q23" s="9">
        <v>2.2360248447204971</v>
      </c>
      <c r="R23" s="206">
        <v>4.9645390070921991</v>
      </c>
      <c r="T23" s="206">
        <v>4.9645390070921991</v>
      </c>
      <c r="U23" s="206">
        <v>0</v>
      </c>
      <c r="V23" s="206">
        <v>4.1322314049586781</v>
      </c>
    </row>
    <row r="24" spans="1:23" outlineLevel="1" x14ac:dyDescent="0.15">
      <c r="A24" s="8" t="s">
        <v>1927</v>
      </c>
      <c r="B24" s="8"/>
      <c r="C24" s="8" t="s">
        <v>1928</v>
      </c>
      <c r="D24" s="8" t="s">
        <v>1435</v>
      </c>
      <c r="E24" s="9">
        <v>26.560000000000002</v>
      </c>
      <c r="F24" s="8" t="s">
        <v>1740</v>
      </c>
      <c r="G24" s="143">
        <v>2435</v>
      </c>
      <c r="H24" s="11"/>
      <c r="I24" s="143"/>
      <c r="J24" s="9">
        <f t="array" ref="J24">IFERROR(I24/G24*100,0)</f>
        <v>0</v>
      </c>
      <c r="K24" s="143"/>
      <c r="L24" s="9">
        <f t="shared" si="1"/>
        <v>0</v>
      </c>
      <c r="M24" s="8" t="str">
        <f t="array" ref="M24">IF(L24&gt;5,"Perlu Pengendalian",IF(AND(L24&gt;=0,I24&gt;0),"Tidak Perlu Pengendalian","Belum Sensus"))</f>
        <v>Belum Sensus</v>
      </c>
      <c r="N24" s="143"/>
      <c r="O24" s="9"/>
      <c r="Q24" s="9">
        <v>5</v>
      </c>
      <c r="R24" s="206">
        <v>5.343511450381679</v>
      </c>
      <c r="S24" s="3" t="s">
        <v>2220</v>
      </c>
      <c r="T24" s="206">
        <v>5.343511450381679</v>
      </c>
      <c r="U24" s="206">
        <v>0</v>
      </c>
      <c r="V24" s="206">
        <v>4.225352112676056</v>
      </c>
    </row>
    <row r="25" spans="1:23" outlineLevel="1" x14ac:dyDescent="0.15">
      <c r="A25" s="8" t="s">
        <v>1927</v>
      </c>
      <c r="B25" s="8"/>
      <c r="C25" s="8" t="s">
        <v>1929</v>
      </c>
      <c r="D25" s="8" t="s">
        <v>1103</v>
      </c>
      <c r="E25" s="9">
        <v>38.840000000000003</v>
      </c>
      <c r="F25" s="8" t="s">
        <v>1740</v>
      </c>
      <c r="G25" s="143">
        <v>5317</v>
      </c>
      <c r="H25" s="11"/>
      <c r="I25" s="143"/>
      <c r="J25" s="9">
        <f t="array" ref="J25">IFERROR(I25/G25*100,0)</f>
        <v>0</v>
      </c>
      <c r="K25" s="143"/>
      <c r="L25" s="9">
        <f t="shared" si="1"/>
        <v>0</v>
      </c>
      <c r="M25" s="8" t="str">
        <f t="array" ref="M25">IF(L25&gt;5,"Perlu Pengendalian",IF(AND(L25&gt;=0,I25&gt;0),"Tidak Perlu Pengendalian","Belum Sensus"))</f>
        <v>Belum Sensus</v>
      </c>
      <c r="N25" s="143"/>
      <c r="O25" s="9"/>
      <c r="Q25" s="9">
        <v>2.2471910112359552</v>
      </c>
      <c r="R25" s="206">
        <v>3.0612244897959182</v>
      </c>
      <c r="T25" s="206">
        <v>3.0612244897959182</v>
      </c>
      <c r="U25" s="206">
        <v>7.1428571428571423</v>
      </c>
      <c r="V25" s="206">
        <v>1.7857142857142856</v>
      </c>
      <c r="W25" s="3" t="s">
        <v>2040</v>
      </c>
    </row>
    <row r="26" spans="1:23" outlineLevel="1" x14ac:dyDescent="0.15">
      <c r="A26" s="8" t="s">
        <v>1927</v>
      </c>
      <c r="B26" s="8"/>
      <c r="C26" s="8" t="s">
        <v>1929</v>
      </c>
      <c r="D26" s="8" t="s">
        <v>1161</v>
      </c>
      <c r="E26" s="9">
        <v>41.849999999999994</v>
      </c>
      <c r="F26" s="8" t="s">
        <v>1740</v>
      </c>
      <c r="G26" s="143">
        <v>4765</v>
      </c>
      <c r="H26" s="11"/>
      <c r="I26" s="143"/>
      <c r="J26" s="9">
        <f t="array" ref="J26">IFERROR(I26/G26*100,0)</f>
        <v>0</v>
      </c>
      <c r="K26" s="143"/>
      <c r="L26" s="9">
        <f t="shared" si="1"/>
        <v>0</v>
      </c>
      <c r="M26" s="8" t="str">
        <f t="array" ref="M26">IF(L26&gt;5,"Perlu Pengendalian",IF(AND(L26&gt;=0,I26&gt;0),"Tidak Perlu Pengendalian","Belum Sensus"))</f>
        <v>Belum Sensus</v>
      </c>
      <c r="N26" s="143"/>
      <c r="O26" s="9"/>
      <c r="Q26" s="9">
        <v>1.2778235779060181</v>
      </c>
      <c r="R26" s="206">
        <v>2.6785714285714284</v>
      </c>
      <c r="T26" s="206">
        <v>2.6785714285714284</v>
      </c>
      <c r="U26" s="206">
        <v>1.0416666666666668E-2</v>
      </c>
      <c r="V26" s="206">
        <v>1.1627906976744187</v>
      </c>
    </row>
    <row r="27" spans="1:23" outlineLevel="1" x14ac:dyDescent="0.15">
      <c r="A27" s="8" t="s">
        <v>1927</v>
      </c>
      <c r="B27" s="8"/>
      <c r="C27" s="8" t="s">
        <v>1929</v>
      </c>
      <c r="D27" s="8" t="s">
        <v>1162</v>
      </c>
      <c r="E27" s="9">
        <v>27.48</v>
      </c>
      <c r="F27" s="8" t="s">
        <v>1740</v>
      </c>
      <c r="G27" s="143">
        <v>2571</v>
      </c>
      <c r="H27" s="11">
        <v>46165</v>
      </c>
      <c r="I27" s="143">
        <f t="array" ref="I27">INDEX([27]Sheet1!$F$6:$F$82,MATCH(1,([27]Sheet1!$C$6:$C$82=$D27)*([27]Sheet1!$C$6:$C$82=$D27),0))</f>
        <v>265</v>
      </c>
      <c r="J27" s="9">
        <f t="array" ref="J27">IFERROR(I27/G27*100,0)</f>
        <v>10.307273434461299</v>
      </c>
      <c r="K27" s="143">
        <f t="array" ref="K27">INDEX([27]Sheet1!$H$6:$H$82,MATCH(1,([27]Sheet1!$C$6:$C$82=$D27)*([27]Sheet1!$C$6:$C$82=$D27),0))</f>
        <v>21</v>
      </c>
      <c r="L27" s="9">
        <f t="shared" si="1"/>
        <v>7.9245283018867925</v>
      </c>
      <c r="M27" s="8" t="str">
        <f t="array" ref="M27">IF(L27&gt;5,"Perlu Pengendalian",IF(AND(L27&gt;=0,I27&gt;0),"Tidak Perlu Pengendalian","Belum Sensus"))</f>
        <v>Perlu Pengendalian</v>
      </c>
      <c r="N27" s="143"/>
      <c r="O27" s="9"/>
      <c r="Q27" s="9">
        <v>3.79746835443038</v>
      </c>
      <c r="R27" s="206">
        <v>5.2238805970149249</v>
      </c>
      <c r="T27" s="206">
        <v>5.2238805970149249</v>
      </c>
      <c r="U27" s="206">
        <v>0</v>
      </c>
      <c r="V27" s="206">
        <v>1.9801980198019802</v>
      </c>
    </row>
    <row r="28" spans="1:23" outlineLevel="1" x14ac:dyDescent="0.15">
      <c r="A28" s="8" t="s">
        <v>1927</v>
      </c>
      <c r="B28" s="8"/>
      <c r="C28" s="8" t="s">
        <v>1929</v>
      </c>
      <c r="D28" s="8" t="s">
        <v>1098</v>
      </c>
      <c r="E28" s="9">
        <v>34.270000000000003</v>
      </c>
      <c r="F28" s="8" t="s">
        <v>1740</v>
      </c>
      <c r="G28" s="143">
        <v>3799</v>
      </c>
      <c r="H28" s="11"/>
      <c r="I28" s="143"/>
      <c r="J28" s="9">
        <f t="array" ref="J28">IFERROR(I28/G28*100,0)</f>
        <v>0</v>
      </c>
      <c r="K28" s="143"/>
      <c r="L28" s="9">
        <f t="shared" si="1"/>
        <v>0</v>
      </c>
      <c r="M28" s="8" t="str">
        <f t="array" ref="M28">IF(L28&gt;5,"Perlu Pengendalian",IF(AND(L28&gt;=0,I28&gt;0),"Tidak Perlu Pengendalian","Belum Sensus"))</f>
        <v>Belum Sensus</v>
      </c>
      <c r="N28" s="143"/>
      <c r="O28" s="9"/>
      <c r="Q28" s="9">
        <v>2.9411764705882351</v>
      </c>
      <c r="R28" s="206">
        <v>2.459016393442623</v>
      </c>
      <c r="T28" s="206">
        <v>1.9801980198019802</v>
      </c>
      <c r="U28" s="206">
        <v>6.5789473684210522</v>
      </c>
      <c r="V28" s="206">
        <v>1.639344262295082</v>
      </c>
      <c r="W28" s="3" t="s">
        <v>2040</v>
      </c>
    </row>
    <row r="29" spans="1:23" outlineLevel="1" x14ac:dyDescent="0.15">
      <c r="A29" s="8" t="s">
        <v>1927</v>
      </c>
      <c r="B29" s="8"/>
      <c r="C29" s="8" t="s">
        <v>1929</v>
      </c>
      <c r="D29" s="8" t="s">
        <v>1138</v>
      </c>
      <c r="E29" s="9">
        <v>41.88</v>
      </c>
      <c r="F29" s="8" t="s">
        <v>1740</v>
      </c>
      <c r="G29" s="143">
        <v>5052</v>
      </c>
      <c r="H29" s="11"/>
      <c r="I29" s="143"/>
      <c r="J29" s="9">
        <f t="array" ref="J29">IFERROR(I29/G29*100,0)</f>
        <v>0</v>
      </c>
      <c r="K29" s="143"/>
      <c r="L29" s="9">
        <f t="shared" si="1"/>
        <v>0</v>
      </c>
      <c r="M29" s="8" t="str">
        <f t="array" ref="M29">IF(L29&gt;5,"Perlu Pengendalian",IF(AND(L29&gt;=0,I29&gt;0),"Tidak Perlu Pengendalian","Belum Sensus"))</f>
        <v>Belum Sensus</v>
      </c>
      <c r="N29" s="143"/>
      <c r="O29" s="9"/>
      <c r="Q29" s="9">
        <v>2.197802197802198</v>
      </c>
      <c r="R29" s="206">
        <v>2.3255813953488373</v>
      </c>
      <c r="T29" s="206">
        <v>2.3255813953488373</v>
      </c>
      <c r="U29" s="206">
        <v>0.97087378640776689</v>
      </c>
      <c r="V29" s="206">
        <v>1.6528925619834711</v>
      </c>
    </row>
    <row r="30" spans="1:23" outlineLevel="1" x14ac:dyDescent="0.15">
      <c r="A30" s="8" t="s">
        <v>1927</v>
      </c>
      <c r="B30" s="8"/>
      <c r="C30" s="8" t="s">
        <v>1929</v>
      </c>
      <c r="D30" s="8" t="s">
        <v>1437</v>
      </c>
      <c r="E30" s="9">
        <v>39.36</v>
      </c>
      <c r="F30" s="8" t="s">
        <v>1740</v>
      </c>
      <c r="G30" s="143">
        <v>4067</v>
      </c>
      <c r="H30" s="11"/>
      <c r="I30" s="143"/>
      <c r="J30" s="9">
        <f t="array" ref="J30">IFERROR(I30/G30*100,0)</f>
        <v>0</v>
      </c>
      <c r="K30" s="143"/>
      <c r="L30" s="9">
        <f t="shared" si="1"/>
        <v>0</v>
      </c>
      <c r="M30" s="8" t="str">
        <f t="array" ref="M30">IF(L30&gt;5,"Perlu Pengendalian",IF(AND(L30&gt;=0,I30&gt;0),"Tidak Perlu Pengendalian","Belum Sensus"))</f>
        <v>Belum Sensus</v>
      </c>
      <c r="N30" s="143"/>
      <c r="O30" s="9"/>
      <c r="Q30" s="9">
        <v>3.7037037037037033</v>
      </c>
      <c r="R30" s="206">
        <v>2.8985507246376812</v>
      </c>
      <c r="T30" s="206">
        <v>1.4925373134328357</v>
      </c>
      <c r="U30" s="206">
        <v>1.0736196319018405</v>
      </c>
      <c r="V30" s="206">
        <v>1.098901098901099</v>
      </c>
    </row>
    <row r="31" spans="1:23" outlineLevel="1" x14ac:dyDescent="0.15">
      <c r="A31" s="8" t="s">
        <v>1927</v>
      </c>
      <c r="B31" s="8"/>
      <c r="C31" s="8" t="s">
        <v>1929</v>
      </c>
      <c r="D31" s="8" t="s">
        <v>1096</v>
      </c>
      <c r="E31" s="9">
        <v>30.76</v>
      </c>
      <c r="F31" s="8" t="s">
        <v>1740</v>
      </c>
      <c r="G31" s="143">
        <v>2660</v>
      </c>
      <c r="H31" s="11">
        <v>46165</v>
      </c>
      <c r="I31" s="143">
        <f t="array" ref="I31">INDEX([27]Sheet1!$F$6:$F$82,MATCH(1,([27]Sheet1!$C$6:$C$82=$D31)*([27]Sheet1!$C$6:$C$82=$D31),0))</f>
        <v>281</v>
      </c>
      <c r="J31" s="9">
        <f t="array" ref="J31">IFERROR(I31/G31*100,0)</f>
        <v>10.563909774436091</v>
      </c>
      <c r="K31" s="143">
        <f t="array" ref="K31">INDEX([27]Sheet1!$H$6:$H$82,MATCH(1,([27]Sheet1!$C$6:$C$82=$D31)*([27]Sheet1!$C$6:$C$82=$D31),0))</f>
        <v>101</v>
      </c>
      <c r="L31" s="9">
        <f t="shared" si="1"/>
        <v>35.943060498220639</v>
      </c>
      <c r="M31" s="8" t="str">
        <f t="array" ref="M31">IF(L31&gt;5,"Perlu Pengendalian",IF(AND(L31&gt;=0,I31&gt;0),"Tidak Perlu Pengendalian","Belum Sensus"))</f>
        <v>Perlu Pengendalian</v>
      </c>
      <c r="N31" s="143"/>
      <c r="O31" s="9"/>
      <c r="Q31" s="9">
        <v>4.9079754601226995</v>
      </c>
      <c r="R31" s="206">
        <v>4.3701799485861184</v>
      </c>
      <c r="T31" s="206">
        <v>1.0526315789473684</v>
      </c>
      <c r="U31" s="206">
        <v>1.0810810810810811</v>
      </c>
      <c r="V31" s="206">
        <v>1.9801980198019802</v>
      </c>
    </row>
    <row r="32" spans="1:23" outlineLevel="1" x14ac:dyDescent="0.15">
      <c r="A32" s="8" t="s">
        <v>1927</v>
      </c>
      <c r="B32" s="8"/>
      <c r="C32" s="8" t="s">
        <v>1929</v>
      </c>
      <c r="D32" s="8" t="s">
        <v>1930</v>
      </c>
      <c r="E32" s="9">
        <v>34.93</v>
      </c>
      <c r="F32" s="8" t="s">
        <v>1740</v>
      </c>
      <c r="G32" s="143">
        <v>3831</v>
      </c>
      <c r="H32" s="11"/>
      <c r="I32" s="143"/>
      <c r="J32" s="9">
        <f t="array" ref="J32">IFERROR(I32/G32*100,0)</f>
        <v>0</v>
      </c>
      <c r="K32" s="143"/>
      <c r="L32" s="9">
        <f t="shared" si="1"/>
        <v>0</v>
      </c>
      <c r="M32" s="8" t="str">
        <f t="array" ref="M32">IF(L32&gt;5,"Perlu Pengendalian",IF(AND(L32&gt;=0,I32&gt;0),"Tidak Perlu Pengendalian","Belum Sensus"))</f>
        <v>Belum Sensus</v>
      </c>
      <c r="N32" s="143"/>
      <c r="O32" s="9"/>
      <c r="Q32" s="9">
        <v>4.0816326530612246</v>
      </c>
      <c r="R32" s="206">
        <v>0.98039215686274506</v>
      </c>
      <c r="T32" s="206">
        <v>2.6086956521739131</v>
      </c>
      <c r="U32" s="206">
        <v>1.4593467685892982</v>
      </c>
      <c r="V32" s="206">
        <v>2.5</v>
      </c>
    </row>
    <row r="33" spans="1:22" outlineLevel="1" x14ac:dyDescent="0.15">
      <c r="A33" s="8" t="s">
        <v>1927</v>
      </c>
      <c r="B33" s="8"/>
      <c r="C33" s="8" t="s">
        <v>1929</v>
      </c>
      <c r="D33" s="8" t="s">
        <v>1087</v>
      </c>
      <c r="E33" s="9">
        <v>29.18</v>
      </c>
      <c r="F33" s="8" t="s">
        <v>1740</v>
      </c>
      <c r="G33" s="143">
        <v>2366</v>
      </c>
      <c r="H33" s="11">
        <v>46165</v>
      </c>
      <c r="I33" s="143">
        <f t="array" ref="I33">INDEX([27]Sheet1!$F$6:$F$82,MATCH(1,([27]Sheet1!$C$6:$C$82=$D33)*([27]Sheet1!$C$6:$C$82=$D33),0))</f>
        <v>250</v>
      </c>
      <c r="J33" s="9">
        <f t="array" ref="J33">IFERROR(I33/G33*100,0)</f>
        <v>10.566356720202874</v>
      </c>
      <c r="K33" s="143">
        <f t="array" ref="K33">INDEX([27]Sheet1!$H$6:$H$82,MATCH(1,([27]Sheet1!$C$6:$C$82=$D33)*([27]Sheet1!$C$6:$C$82=$D33),0))</f>
        <v>32</v>
      </c>
      <c r="L33" s="9">
        <f t="shared" si="1"/>
        <v>12.8</v>
      </c>
      <c r="M33" s="8" t="str">
        <f t="array" ref="M33">IF(L33&gt;5,"Perlu Pengendalian",IF(AND(L33&gt;=0,I33&gt;0),"Tidak Perlu Pengendalian","Belum Sensus"))</f>
        <v>Perlu Pengendalian</v>
      </c>
      <c r="N33" s="143"/>
      <c r="O33" s="9"/>
      <c r="Q33" s="9">
        <v>16.666666666666664</v>
      </c>
      <c r="R33" s="206">
        <v>1.7857142857142856</v>
      </c>
      <c r="T33" s="206">
        <v>2.2727272727272729</v>
      </c>
      <c r="U33" s="206">
        <v>1.1885895404120443</v>
      </c>
      <c r="V33" s="206">
        <v>4.7244094488188972</v>
      </c>
    </row>
    <row r="34" spans="1:22" outlineLevel="1" x14ac:dyDescent="0.15">
      <c r="A34" s="8" t="s">
        <v>1927</v>
      </c>
      <c r="B34" s="8"/>
      <c r="C34" s="8" t="s">
        <v>1929</v>
      </c>
      <c r="D34" s="8" t="s">
        <v>1099</v>
      </c>
      <c r="E34" s="9">
        <v>54.219999999999992</v>
      </c>
      <c r="F34" s="8" t="s">
        <v>1740</v>
      </c>
      <c r="G34" s="143">
        <v>3877</v>
      </c>
      <c r="H34" s="11"/>
      <c r="I34" s="143"/>
      <c r="J34" s="9">
        <f t="array" ref="J34">IFERROR(I34/G34*100,0)</f>
        <v>0</v>
      </c>
      <c r="K34" s="143"/>
      <c r="L34" s="9">
        <f t="shared" si="1"/>
        <v>0</v>
      </c>
      <c r="M34" s="8" t="str">
        <f t="array" ref="M34">IF(L34&gt;5,"Perlu Pengendalian",IF(AND(L34&gt;=0,I34&gt;0),"Tidak Perlu Pengendalian","Belum Sensus"))</f>
        <v>Belum Sensus</v>
      </c>
      <c r="N34" s="143"/>
      <c r="O34" s="9"/>
      <c r="Q34" s="9">
        <v>2.5316455696202533</v>
      </c>
      <c r="R34" s="206">
        <v>1.7857142857142856</v>
      </c>
      <c r="T34" s="206">
        <v>1.6949152542372881</v>
      </c>
      <c r="U34" s="206">
        <v>1.2587412587412588</v>
      </c>
      <c r="V34" s="206">
        <v>1.0204081632653061</v>
      </c>
    </row>
    <row r="35" spans="1:22" outlineLevel="1" x14ac:dyDescent="0.15">
      <c r="A35" s="8" t="s">
        <v>1927</v>
      </c>
      <c r="B35" s="8"/>
      <c r="C35" s="8" t="s">
        <v>1929</v>
      </c>
      <c r="D35" s="8" t="s">
        <v>1104</v>
      </c>
      <c r="E35" s="9">
        <v>35.800000000000004</v>
      </c>
      <c r="F35" s="8" t="s">
        <v>1740</v>
      </c>
      <c r="G35" s="143">
        <v>3670</v>
      </c>
      <c r="H35" s="11"/>
      <c r="I35" s="143"/>
      <c r="J35" s="9">
        <f t="array" ref="J35">IFERROR(I35/G35*100,0)</f>
        <v>0</v>
      </c>
      <c r="K35" s="143"/>
      <c r="L35" s="9">
        <f t="shared" si="1"/>
        <v>0</v>
      </c>
      <c r="M35" s="8" t="str">
        <f t="array" ref="M35">IF(L35&gt;5,"Perlu Pengendalian",IF(AND(L35&gt;=0,I35&gt;0),"Tidak Perlu Pengendalian","Belum Sensus"))</f>
        <v>Belum Sensus</v>
      </c>
      <c r="N35" s="143"/>
      <c r="O35" s="9"/>
      <c r="Q35" s="9">
        <v>4.2372881355932197</v>
      </c>
      <c r="R35" s="206">
        <v>2.2988505747126435</v>
      </c>
      <c r="T35" s="206">
        <v>2.2988505747126435</v>
      </c>
      <c r="U35" s="206">
        <v>3.4482758620689653</v>
      </c>
      <c r="V35" s="206">
        <v>2.197802197802198</v>
      </c>
    </row>
    <row r="36" spans="1:22" outlineLevel="1" x14ac:dyDescent="0.15">
      <c r="A36" s="8" t="s">
        <v>1927</v>
      </c>
      <c r="B36" s="8"/>
      <c r="C36" s="8" t="s">
        <v>1929</v>
      </c>
      <c r="D36" s="8" t="s">
        <v>1445</v>
      </c>
      <c r="E36" s="9">
        <v>23.689999999999998</v>
      </c>
      <c r="F36" s="8" t="s">
        <v>1740</v>
      </c>
      <c r="G36" s="143">
        <v>2155</v>
      </c>
      <c r="H36" s="11">
        <v>46165</v>
      </c>
      <c r="I36" s="143">
        <f t="array" ref="I36">INDEX([27]Sheet1!$F$6:$F$82,MATCH(1,([27]Sheet1!$C$6:$C$82=$D36)*([27]Sheet1!$C$6:$C$82=$D36),0))</f>
        <v>232</v>
      </c>
      <c r="J36" s="9">
        <f t="array" ref="J36">IFERROR(I36/G36*100,0)</f>
        <v>10.765661252900232</v>
      </c>
      <c r="K36" s="143">
        <f t="array" ref="K36">INDEX([27]Sheet1!$H$6:$H$82,MATCH(1,([27]Sheet1!$C$6:$C$82=$D36)*([27]Sheet1!$C$6:$C$82=$D36),0))</f>
        <v>28</v>
      </c>
      <c r="L36" s="9">
        <f t="shared" si="1"/>
        <v>12.068965517241379</v>
      </c>
      <c r="M36" s="8" t="str">
        <f t="array" ref="M36">IF(L36&gt;5,"Perlu Pengendalian",IF(AND(L36&gt;=0,I36&gt;0),"Tidak Perlu Pengendalian","Belum Sensus"))</f>
        <v>Perlu Pengendalian</v>
      </c>
      <c r="N36" s="143"/>
      <c r="O36" s="9"/>
      <c r="Q36" s="9">
        <v>40.74074074074074</v>
      </c>
      <c r="R36" s="206">
        <v>2.4096385542168677</v>
      </c>
      <c r="T36" s="206">
        <v>0.99009900990099009</v>
      </c>
      <c r="U36" s="206">
        <v>9.4736842105263168</v>
      </c>
      <c r="V36" s="206">
        <v>1.2121212121212122</v>
      </c>
    </row>
    <row r="37" spans="1:22" outlineLevel="1" x14ac:dyDescent="0.15">
      <c r="A37" s="8" t="s">
        <v>1927</v>
      </c>
      <c r="B37" s="8"/>
      <c r="C37" s="8" t="s">
        <v>1931</v>
      </c>
      <c r="D37" s="8" t="s">
        <v>1181</v>
      </c>
      <c r="E37" s="9">
        <v>39.369999999999997</v>
      </c>
      <c r="F37" s="8" t="s">
        <v>1740</v>
      </c>
      <c r="G37" s="143">
        <v>4222</v>
      </c>
      <c r="H37" s="11"/>
      <c r="I37" s="143"/>
      <c r="J37" s="9">
        <f t="array" ref="J37">IFERROR(I37/G37*100,0)</f>
        <v>0</v>
      </c>
      <c r="K37" s="143"/>
      <c r="L37" s="9">
        <f t="shared" si="1"/>
        <v>0</v>
      </c>
      <c r="M37" s="8" t="str">
        <f t="array" ref="M37">IF(L37&gt;5,"Perlu Pengendalian",IF(AND(L37&gt;=0,I37&gt;0),"Tidak Perlu Pengendalian","Belum Sensus"))</f>
        <v>Belum Sensus</v>
      </c>
      <c r="N37" s="143"/>
      <c r="O37" s="9"/>
      <c r="Q37" s="9">
        <v>2.604166666666667</v>
      </c>
      <c r="R37" s="206">
        <v>4.4117647058823533</v>
      </c>
      <c r="T37" s="206">
        <v>4.4117647058823533</v>
      </c>
      <c r="U37" s="206">
        <v>2.2113022113022112</v>
      </c>
      <c r="V37" s="206">
        <v>4.716981132075472</v>
      </c>
    </row>
    <row r="38" spans="1:22" outlineLevel="1" x14ac:dyDescent="0.15">
      <c r="A38" s="8" t="s">
        <v>1927</v>
      </c>
      <c r="B38" s="8"/>
      <c r="C38" s="8" t="s">
        <v>1931</v>
      </c>
      <c r="D38" s="8" t="s">
        <v>1184</v>
      </c>
      <c r="E38" s="9">
        <v>31.349999999999998</v>
      </c>
      <c r="F38" s="8" t="s">
        <v>1740</v>
      </c>
      <c r="G38" s="143">
        <v>3951</v>
      </c>
      <c r="H38" s="11">
        <v>46165</v>
      </c>
      <c r="I38" s="143">
        <f t="array" ref="I38">INDEX([27]Sheet1!$F$6:$F$82,MATCH(1,([27]Sheet1!$C$6:$C$82=$D38)*([27]Sheet1!$C$6:$C$82=$D38),0))</f>
        <v>468</v>
      </c>
      <c r="J38" s="9">
        <f t="array" ref="J38">IFERROR(I38/G38*100,0)</f>
        <v>11.845102505694761</v>
      </c>
      <c r="K38" s="143">
        <f t="array" ref="K38">INDEX([27]Sheet1!$H$6:$H$82,MATCH(1,([27]Sheet1!$C$6:$C$82=$D38)*([27]Sheet1!$C$6:$C$82=$D38),0))</f>
        <v>51</v>
      </c>
      <c r="L38" s="9">
        <f t="shared" si="1"/>
        <v>10.897435897435898</v>
      </c>
      <c r="M38" s="8" t="str">
        <f t="array" ref="M38">IF(L38&gt;5,"Perlu Pengendalian",IF(AND(L38&gt;=0,I38&gt;0),"Tidak Perlu Pengendalian","Belum Sensus"))</f>
        <v>Perlu Pengendalian</v>
      </c>
      <c r="N38" s="143"/>
      <c r="O38" s="9"/>
      <c r="Q38" s="9">
        <v>8.3333333333333321</v>
      </c>
      <c r="R38" s="206">
        <v>4.4943820224719104</v>
      </c>
      <c r="T38" s="206">
        <v>3.4682080924855487</v>
      </c>
      <c r="U38" s="206">
        <v>4.9019607843137258</v>
      </c>
      <c r="V38" s="206">
        <v>2.9411764705882351</v>
      </c>
    </row>
    <row r="39" spans="1:22" outlineLevel="1" x14ac:dyDescent="0.15">
      <c r="A39" s="8" t="s">
        <v>1927</v>
      </c>
      <c r="B39" s="8"/>
      <c r="C39" s="8" t="s">
        <v>1931</v>
      </c>
      <c r="D39" s="8" t="s">
        <v>1229</v>
      </c>
      <c r="E39" s="9">
        <v>37.74</v>
      </c>
      <c r="F39" s="8" t="s">
        <v>1740</v>
      </c>
      <c r="G39" s="143">
        <v>4638</v>
      </c>
      <c r="H39" s="11">
        <v>46165</v>
      </c>
      <c r="I39" s="143">
        <f t="array" ref="I39">INDEX([27]Sheet1!$F$6:$F$82,MATCH(1,([27]Sheet1!$C$6:$C$82=$D39)*([27]Sheet1!$C$6:$C$82=$D39),0))</f>
        <v>432</v>
      </c>
      <c r="J39" s="9">
        <f t="array" ref="J39">IFERROR(I39/G39*100,0)</f>
        <v>9.3143596377749027</v>
      </c>
      <c r="K39" s="143">
        <f t="array" ref="K39">INDEX([27]Sheet1!$H$6:$H$82,MATCH(1,([27]Sheet1!$C$6:$C$82=$D39)*([27]Sheet1!$C$6:$C$82=$D39),0))</f>
        <v>34</v>
      </c>
      <c r="L39" s="9">
        <f t="shared" si="1"/>
        <v>7.8703703703703702</v>
      </c>
      <c r="M39" s="8" t="str">
        <f t="array" ref="M39">IF(L39&gt;5,"Perlu Pengendalian",IF(AND(L39&gt;=0,I39&gt;0),"Tidak Perlu Pengendalian","Belum Sensus"))</f>
        <v>Perlu Pengendalian</v>
      </c>
      <c r="N39" s="143"/>
      <c r="O39" s="9"/>
      <c r="Q39" s="9">
        <v>5.298013245033113</v>
      </c>
      <c r="R39" s="206">
        <v>6.5789473684210522</v>
      </c>
      <c r="T39" s="206">
        <v>4.225352112676056</v>
      </c>
      <c r="U39" s="206">
        <v>8.3333333333333321</v>
      </c>
      <c r="V39" s="206">
        <v>3.9370078740157481</v>
      </c>
    </row>
    <row r="40" spans="1:22" outlineLevel="1" x14ac:dyDescent="0.15">
      <c r="A40" s="8" t="s">
        <v>1927</v>
      </c>
      <c r="B40" s="8"/>
      <c r="C40" s="8" t="s">
        <v>1931</v>
      </c>
      <c r="D40" s="8" t="s">
        <v>1193</v>
      </c>
      <c r="E40" s="9">
        <v>34.589999999999996</v>
      </c>
      <c r="F40" s="8" t="s">
        <v>1740</v>
      </c>
      <c r="G40" s="143">
        <v>4654.9999999999991</v>
      </c>
      <c r="H40" s="11">
        <v>46155</v>
      </c>
      <c r="I40" s="143">
        <v>467</v>
      </c>
      <c r="J40" s="9">
        <f t="array" ref="J40">IFERROR(I40/G40*100,0)</f>
        <v>10.032223415682063</v>
      </c>
      <c r="K40" s="143">
        <v>24</v>
      </c>
      <c r="L40" s="9">
        <f t="shared" si="1"/>
        <v>5.1391862955032117</v>
      </c>
      <c r="M40" s="8" t="str">
        <f t="array" ref="M40">IF(L40&gt;5,"Perlu Pengendalian",IF(AND(L40&gt;=0,I40&gt;0),"Tidak Perlu Pengendalian","Belum Sensus"))</f>
        <v>Perlu Pengendalian</v>
      </c>
      <c r="N40" s="143"/>
      <c r="O40" s="9"/>
      <c r="Q40" s="9">
        <v>8.59375</v>
      </c>
      <c r="R40" s="206">
        <v>1.6545012165450119</v>
      </c>
      <c r="T40" s="206">
        <v>4.8192771084337354</v>
      </c>
      <c r="U40" s="206">
        <v>4.1666666666666661</v>
      </c>
      <c r="V40" s="206">
        <v>4.1666666666666661</v>
      </c>
    </row>
    <row r="41" spans="1:22" outlineLevel="1" x14ac:dyDescent="0.15">
      <c r="A41" s="8" t="s">
        <v>1927</v>
      </c>
      <c r="B41" s="8"/>
      <c r="C41" s="8" t="s">
        <v>1931</v>
      </c>
      <c r="D41" s="8" t="s">
        <v>1201</v>
      </c>
      <c r="E41" s="9">
        <v>24.47</v>
      </c>
      <c r="F41" s="8" t="s">
        <v>1740</v>
      </c>
      <c r="G41" s="143">
        <v>2692</v>
      </c>
      <c r="H41" s="11">
        <v>46165</v>
      </c>
      <c r="I41" s="143">
        <f t="array" ref="I41">INDEX([27]Sheet1!$F$6:$F$82,MATCH(1,([27]Sheet1!$C$6:$C$82=$D41)*([27]Sheet1!$C$6:$C$82=$D41),0))</f>
        <v>283</v>
      </c>
      <c r="J41" s="9">
        <f t="array" ref="J41">IFERROR(I41/G41*100,0)</f>
        <v>10.512630014858841</v>
      </c>
      <c r="K41" s="143">
        <f t="array" ref="K41">INDEX([27]Sheet1!$H$6:$H$82,MATCH(1,([27]Sheet1!$C$6:$C$82=$D41)*([27]Sheet1!$C$6:$C$82=$D41),0))</f>
        <v>68</v>
      </c>
      <c r="L41" s="9">
        <f t="shared" si="1"/>
        <v>24.028268551236749</v>
      </c>
      <c r="M41" s="8" t="str">
        <f t="array" ref="M41">IF(L41&gt;5,"Perlu Pengendalian",IF(AND(L41&gt;=0,I41&gt;0),"Tidak Perlu Pengendalian","Belum Sensus"))</f>
        <v>Perlu Pengendalian</v>
      </c>
      <c r="N41" s="143"/>
      <c r="O41" s="9"/>
      <c r="Q41" s="9">
        <v>8.9552238805970141</v>
      </c>
      <c r="R41" s="206">
        <v>4.1666666666666661</v>
      </c>
      <c r="T41" s="206">
        <v>5.4054054054054053</v>
      </c>
      <c r="U41" s="206">
        <v>2.4774774774774775</v>
      </c>
      <c r="V41" s="206">
        <v>3.7735849056603774</v>
      </c>
    </row>
    <row r="42" spans="1:22" outlineLevel="1" x14ac:dyDescent="0.15">
      <c r="A42" s="8" t="s">
        <v>1927</v>
      </c>
      <c r="B42" s="8"/>
      <c r="C42" s="8" t="s">
        <v>1931</v>
      </c>
      <c r="D42" s="8" t="s">
        <v>1194</v>
      </c>
      <c r="E42" s="9">
        <v>32.56</v>
      </c>
      <c r="F42" s="8" t="s">
        <v>1740</v>
      </c>
      <c r="G42" s="143">
        <v>4366</v>
      </c>
      <c r="H42" s="11">
        <v>46165</v>
      </c>
      <c r="I42" s="143">
        <f t="array" ref="I42">INDEX([27]Sheet1!$F$6:$F$82,MATCH(1,([27]Sheet1!$C$6:$C$82=$D42)*([27]Sheet1!$C$6:$C$82=$D42),0))</f>
        <v>412</v>
      </c>
      <c r="J42" s="9">
        <f t="array" ref="J42">IFERROR(I42/G42*100,0)</f>
        <v>9.4365551992670635</v>
      </c>
      <c r="K42" s="143">
        <f t="array" ref="K42">INDEX([27]Sheet1!$H$6:$H$82,MATCH(1,([27]Sheet1!$C$6:$C$82=$D42)*([27]Sheet1!$C$6:$C$82=$D42),0))</f>
        <v>49</v>
      </c>
      <c r="L42" s="9">
        <f t="shared" si="1"/>
        <v>11.893203883495145</v>
      </c>
      <c r="M42" s="8" t="str">
        <f t="array" ref="M42">IF(L42&gt;5,"Perlu Pengendalian",IF(AND(L42&gt;=0,I42&gt;0),"Tidak Perlu Pengendalian","Belum Sensus"))</f>
        <v>Perlu Pengendalian</v>
      </c>
      <c r="N42" s="143"/>
      <c r="O42" s="9"/>
      <c r="Q42" s="9">
        <v>10.852713178294573</v>
      </c>
      <c r="R42" s="206">
        <v>4.1666666666666661</v>
      </c>
      <c r="T42" s="206">
        <v>8.5271317829457356</v>
      </c>
      <c r="U42" s="206">
        <v>2.4713150926743159</v>
      </c>
      <c r="V42" s="206">
        <v>3.4090909090909087</v>
      </c>
    </row>
    <row r="43" spans="1:22" outlineLevel="1" x14ac:dyDescent="0.15">
      <c r="A43" s="8" t="s">
        <v>1927</v>
      </c>
      <c r="B43" s="8"/>
      <c r="C43" s="8" t="s">
        <v>1931</v>
      </c>
      <c r="D43" s="8" t="s">
        <v>1214</v>
      </c>
      <c r="E43" s="9">
        <v>45.260000000000005</v>
      </c>
      <c r="F43" s="8" t="s">
        <v>1740</v>
      </c>
      <c r="G43" s="143">
        <v>6056</v>
      </c>
      <c r="H43" s="11">
        <v>46159</v>
      </c>
      <c r="I43" s="143">
        <v>602</v>
      </c>
      <c r="J43" s="9">
        <f t="array" ref="J43">IFERROR(I43/G43*100,0)</f>
        <v>9.940554821664465</v>
      </c>
      <c r="K43" s="143">
        <v>32</v>
      </c>
      <c r="L43" s="9">
        <f t="shared" si="1"/>
        <v>5.3156146179401995</v>
      </c>
      <c r="M43" s="8" t="str">
        <f t="array" ref="M43">IF(L43&gt;5,"Perlu Pengendalian",IF(AND(L43&gt;=0,I43&gt;0),"Tidak Perlu Pengendalian","Belum Sensus"))</f>
        <v>Perlu Pengendalian</v>
      </c>
      <c r="N43" s="143"/>
      <c r="O43" s="9"/>
      <c r="Q43" s="9">
        <v>2.8037383177570092</v>
      </c>
      <c r="R43" s="206">
        <v>3.669724770642202</v>
      </c>
      <c r="T43" s="206">
        <v>4.6153846153846159</v>
      </c>
      <c r="U43" s="206">
        <v>0</v>
      </c>
      <c r="V43" s="206">
        <v>4.8192771084337354</v>
      </c>
    </row>
    <row r="44" spans="1:22" outlineLevel="1" x14ac:dyDescent="0.15">
      <c r="A44" s="8" t="s">
        <v>1927</v>
      </c>
      <c r="B44" s="8"/>
      <c r="C44" s="8" t="s">
        <v>1931</v>
      </c>
      <c r="D44" s="8" t="s">
        <v>1207</v>
      </c>
      <c r="E44" s="9">
        <v>35.28</v>
      </c>
      <c r="F44" s="8" t="s">
        <v>1740</v>
      </c>
      <c r="G44" s="143">
        <v>4196</v>
      </c>
      <c r="H44" s="11">
        <v>46165</v>
      </c>
      <c r="I44" s="143">
        <v>422</v>
      </c>
      <c r="J44" s="9">
        <f t="array" ref="J44">IFERROR(I44/G44*100,0)</f>
        <v>10.057197330791229</v>
      </c>
      <c r="K44" s="143">
        <v>24</v>
      </c>
      <c r="L44" s="9">
        <f t="shared" si="1"/>
        <v>5.6872037914691944</v>
      </c>
      <c r="M44" s="8" t="str">
        <f t="array" ref="M44">IF(L44&gt;5,"Perlu Pengendalian",IF(AND(L44&gt;=0,I44&gt;0),"Tidak Perlu Pengendalian","Belum Sensus"))</f>
        <v>Perlu Pengendalian</v>
      </c>
      <c r="N44" s="143"/>
      <c r="O44" s="9"/>
      <c r="Q44" s="9">
        <v>6.1538461538461542</v>
      </c>
      <c r="R44" s="206">
        <v>4.8543689320388346</v>
      </c>
      <c r="T44" s="206">
        <v>4.8543689320388346</v>
      </c>
      <c r="U44" s="206">
        <v>1.9728729963008631</v>
      </c>
      <c r="V44" s="206">
        <v>4.2372881355932197</v>
      </c>
    </row>
    <row r="45" spans="1:22" outlineLevel="1" x14ac:dyDescent="0.15">
      <c r="A45" s="8" t="s">
        <v>1927</v>
      </c>
      <c r="B45" s="8"/>
      <c r="C45" s="8" t="s">
        <v>1931</v>
      </c>
      <c r="D45" s="8" t="s">
        <v>1153</v>
      </c>
      <c r="E45" s="9">
        <v>45.86</v>
      </c>
      <c r="F45" s="8" t="s">
        <v>1740</v>
      </c>
      <c r="G45" s="143">
        <v>5032</v>
      </c>
      <c r="H45" s="11">
        <v>46165</v>
      </c>
      <c r="I45" s="143">
        <f t="array" ref="I45">INDEX([27]Sheet1!$F$6:$F$82,MATCH(1,([27]Sheet1!$C$6:$C$82=$D45)*([27]Sheet1!$C$6:$C$82=$D45),0))</f>
        <v>650</v>
      </c>
      <c r="J45" s="9">
        <f t="array" ref="J45">IFERROR(I45/G45*100,0)</f>
        <v>12.917329093799681</v>
      </c>
      <c r="K45" s="143">
        <f t="array" ref="K45">INDEX([27]Sheet1!$H$6:$H$82,MATCH(1,([27]Sheet1!$C$6:$C$82=$D45)*([27]Sheet1!$C$6:$C$82=$D45),0))</f>
        <v>200</v>
      </c>
      <c r="L45" s="9">
        <f t="shared" si="1"/>
        <v>30.76923076923077</v>
      </c>
      <c r="M45" s="8" t="str">
        <f t="array" ref="M45">IF(L45&gt;5,"Perlu Pengendalian",IF(AND(L45&gt;=0,I45&gt;0),"Tidak Perlu Pengendalian","Belum Sensus"))</f>
        <v>Perlu Pengendalian</v>
      </c>
      <c r="N45" s="143"/>
      <c r="O45" s="9"/>
      <c r="Q45" s="9">
        <v>5.6074766355140184</v>
      </c>
      <c r="R45" s="206">
        <v>4.2372881355932197</v>
      </c>
      <c r="T45" s="206">
        <v>5.4545454545454541</v>
      </c>
      <c r="U45" s="206">
        <v>2.0674646354733408</v>
      </c>
      <c r="V45" s="206">
        <v>2.1276595744680851</v>
      </c>
    </row>
    <row r="46" spans="1:22" outlineLevel="1" x14ac:dyDescent="0.15">
      <c r="A46" s="8" t="s">
        <v>1927</v>
      </c>
      <c r="B46" s="8"/>
      <c r="C46" s="8" t="s">
        <v>1931</v>
      </c>
      <c r="D46" s="8" t="s">
        <v>1932</v>
      </c>
      <c r="E46" s="9">
        <v>40.380000000000003</v>
      </c>
      <c r="F46" s="8" t="s">
        <v>1740</v>
      </c>
      <c r="G46" s="143">
        <v>4991</v>
      </c>
      <c r="H46" s="11">
        <v>46165</v>
      </c>
      <c r="I46" s="143">
        <f t="array" ref="I46">INDEX([27]Sheet1!$F$6:$F$82,MATCH(1,([27]Sheet1!$C$6:$C$82=$D46)*([27]Sheet1!$C$6:$C$82=$D46),0))</f>
        <v>576</v>
      </c>
      <c r="J46" s="9">
        <f t="array" ref="J46">IFERROR(I46/G46*100,0)</f>
        <v>11.540773392105791</v>
      </c>
      <c r="K46" s="143">
        <f t="array" ref="K46">INDEX([27]Sheet1!$H$6:$H$82,MATCH(1,([27]Sheet1!$C$6:$C$82=$D46)*([27]Sheet1!$C$6:$C$82=$D46),0))</f>
        <v>34</v>
      </c>
      <c r="L46" s="9">
        <f t="shared" si="1"/>
        <v>5.9027777777777777</v>
      </c>
      <c r="M46" s="8" t="str">
        <f t="array" ref="M46">IF(L46&gt;5,"Perlu Pengendalian",IF(AND(L46&gt;=0,I46&gt;0),"Tidak Perlu Pengendalian","Belum Sensus"))</f>
        <v>Perlu Pengendalian</v>
      </c>
      <c r="N46" s="143"/>
      <c r="O46" s="9"/>
      <c r="Q46" s="9">
        <v>2.1897810218978102</v>
      </c>
      <c r="R46" s="206">
        <v>3.7037037037037033</v>
      </c>
      <c r="T46" s="206">
        <v>4.6511627906976747</v>
      </c>
      <c r="U46" s="206">
        <v>0</v>
      </c>
      <c r="V46" s="206">
        <v>4.1916167664670656</v>
      </c>
    </row>
    <row r="47" spans="1:22" outlineLevel="1" x14ac:dyDescent="0.15">
      <c r="A47" s="8" t="s">
        <v>1927</v>
      </c>
      <c r="B47" s="8"/>
      <c r="C47" s="8" t="s">
        <v>1931</v>
      </c>
      <c r="D47" s="8" t="s">
        <v>1713</v>
      </c>
      <c r="E47" s="9">
        <v>31.520000000000003</v>
      </c>
      <c r="F47" s="8" t="s">
        <v>1740</v>
      </c>
      <c r="G47" s="143">
        <v>4176</v>
      </c>
      <c r="H47" s="11">
        <v>46153</v>
      </c>
      <c r="I47" s="143">
        <v>421</v>
      </c>
      <c r="J47" s="9">
        <f t="array" ref="J47">IFERROR(I47/G47*100,0)</f>
        <v>10.081417624521073</v>
      </c>
      <c r="K47" s="143">
        <v>25</v>
      </c>
      <c r="L47" s="9">
        <f t="shared" si="1"/>
        <v>5.938242280285035</v>
      </c>
      <c r="M47" s="8" t="str">
        <f t="array" ref="M47">IF(L47&gt;5,"Perlu Pengendalian",IF(AND(L47&gt;=0,I47&gt;0),"Tidak Perlu Pengendalian","Belum Sensus"))</f>
        <v>Perlu Pengendalian</v>
      </c>
      <c r="N47" s="143"/>
      <c r="O47" s="9"/>
      <c r="Q47" s="9">
        <v>6.7961165048543686</v>
      </c>
      <c r="R47" s="206">
        <v>4.716981132075472</v>
      </c>
      <c r="T47" s="206">
        <v>4.716981132075472</v>
      </c>
      <c r="U47" s="206">
        <v>8.4905660377358494</v>
      </c>
      <c r="V47" s="206">
        <v>0</v>
      </c>
    </row>
    <row r="48" spans="1:22" outlineLevel="1" x14ac:dyDescent="0.15">
      <c r="A48" s="8" t="s">
        <v>1927</v>
      </c>
      <c r="B48" s="8"/>
      <c r="C48" s="8" t="s">
        <v>1931</v>
      </c>
      <c r="D48" s="8" t="s">
        <v>1228</v>
      </c>
      <c r="E48" s="9">
        <v>40.520000000000003</v>
      </c>
      <c r="F48" s="8" t="s">
        <v>1740</v>
      </c>
      <c r="G48" s="143">
        <v>5057</v>
      </c>
      <c r="H48" s="11">
        <v>46165</v>
      </c>
      <c r="I48" s="143">
        <f t="array" ref="I48">INDEX([27]Sheet1!$F$6:$F$82,MATCH(1,([27]Sheet1!$C$6:$C$82=$D48)*([27]Sheet1!$C$6:$C$82=$D48),0))</f>
        <v>520</v>
      </c>
      <c r="J48" s="9">
        <f t="array" ref="J48">IFERROR(I48/G48*100,0)</f>
        <v>10.282776349614396</v>
      </c>
      <c r="K48" s="143">
        <f t="array" ref="K48">INDEX([27]Sheet1!$H$6:$H$82,MATCH(1,([27]Sheet1!$C$6:$C$82=$D48)*([27]Sheet1!$C$6:$C$82=$D48),0))</f>
        <v>34</v>
      </c>
      <c r="L48" s="9">
        <f t="shared" si="1"/>
        <v>6.5384615384615392</v>
      </c>
      <c r="M48" s="8" t="str">
        <f t="array" ref="M48">IF(L48&gt;5,"Perlu Pengendalian",IF(AND(L48&gt;=0,I48&gt;0),"Tidak Perlu Pengendalian","Belum Sensus"))</f>
        <v>Perlu Pengendalian</v>
      </c>
      <c r="N48" s="143"/>
      <c r="O48" s="9"/>
      <c r="Q48" s="9">
        <v>8.7301587301587293</v>
      </c>
      <c r="R48" s="206">
        <v>5.6962025316455698</v>
      </c>
      <c r="T48" s="206">
        <v>5.6962025316455698</v>
      </c>
      <c r="U48" s="206">
        <v>0</v>
      </c>
      <c r="V48" s="206">
        <v>0</v>
      </c>
    </row>
    <row r="49" spans="1:23" outlineLevel="1" x14ac:dyDescent="0.15">
      <c r="A49" s="8" t="s">
        <v>1927</v>
      </c>
      <c r="B49" s="8"/>
      <c r="C49" s="8" t="s">
        <v>1931</v>
      </c>
      <c r="D49" s="8" t="s">
        <v>1208</v>
      </c>
      <c r="E49" s="9">
        <v>29.96</v>
      </c>
      <c r="F49" s="8" t="s">
        <v>1740</v>
      </c>
      <c r="G49" s="143">
        <v>2815</v>
      </c>
      <c r="H49" s="11">
        <v>46157</v>
      </c>
      <c r="I49" s="143">
        <v>286</v>
      </c>
      <c r="J49" s="9">
        <f t="array" ref="J49">IFERROR(I49/G49*100,0)</f>
        <v>10.159857904085259</v>
      </c>
      <c r="K49" s="143">
        <v>27</v>
      </c>
      <c r="L49" s="9">
        <f t="shared" si="1"/>
        <v>9.44055944055944</v>
      </c>
      <c r="M49" s="8" t="str">
        <f t="array" ref="M49">IF(L49&gt;5,"Perlu Pengendalian",IF(AND(L49&gt;=0,I49&gt;0),"Tidak Perlu Pengendalian","Belum Sensus"))</f>
        <v>Perlu Pengendalian</v>
      </c>
      <c r="N49" s="143"/>
      <c r="O49" s="9"/>
      <c r="Q49" s="9">
        <v>7.0000000000000009</v>
      </c>
      <c r="R49" s="206">
        <v>3.7037037037037033</v>
      </c>
      <c r="T49" s="206">
        <v>3.7037037037037033</v>
      </c>
      <c r="U49" s="206">
        <v>2.574002574002574</v>
      </c>
      <c r="V49" s="206">
        <v>3.4482758620689653</v>
      </c>
    </row>
    <row r="50" spans="1:23" outlineLevel="1" x14ac:dyDescent="0.15">
      <c r="A50" s="8" t="s">
        <v>1927</v>
      </c>
      <c r="B50" s="8"/>
      <c r="C50" s="8" t="s">
        <v>1931</v>
      </c>
      <c r="D50" s="8" t="s">
        <v>1933</v>
      </c>
      <c r="E50" s="9">
        <v>24.68</v>
      </c>
      <c r="F50" s="8" t="s">
        <v>1740</v>
      </c>
      <c r="G50" s="143">
        <v>2831</v>
      </c>
      <c r="H50" s="11"/>
      <c r="I50" s="143"/>
      <c r="J50" s="9">
        <f t="array" ref="J50">IFERROR(I50/G50*100,0)</f>
        <v>0</v>
      </c>
      <c r="K50" s="143"/>
      <c r="L50" s="9">
        <f t="shared" si="1"/>
        <v>0</v>
      </c>
      <c r="M50" s="8" t="str">
        <f t="array" ref="M50">IF(L50&gt;5,"Perlu Pengendalian",IF(AND(L50&gt;=0,I50&gt;0),"Tidak Perlu Pengendalian","Belum Sensus"))</f>
        <v>Belum Sensus</v>
      </c>
      <c r="N50" s="143"/>
      <c r="O50" s="9"/>
      <c r="Q50" s="9">
        <v>2.6086956521739131</v>
      </c>
      <c r="R50" s="206">
        <v>5.3191489361702127</v>
      </c>
      <c r="S50" s="3" t="s">
        <v>2220</v>
      </c>
      <c r="T50" s="206">
        <v>5.3191489361702127</v>
      </c>
      <c r="U50" s="206">
        <v>7.4468085106382977</v>
      </c>
      <c r="V50" s="206">
        <v>0</v>
      </c>
      <c r="W50" s="3" t="s">
        <v>2040</v>
      </c>
    </row>
    <row r="51" spans="1:23" outlineLevel="1" x14ac:dyDescent="0.15">
      <c r="A51" s="8" t="s">
        <v>1927</v>
      </c>
      <c r="B51" s="8"/>
      <c r="C51" s="8" t="s">
        <v>1931</v>
      </c>
      <c r="D51" s="8" t="s">
        <v>1206</v>
      </c>
      <c r="E51" s="9">
        <v>27.160000000000004</v>
      </c>
      <c r="F51" s="8" t="s">
        <v>1740</v>
      </c>
      <c r="G51" s="143">
        <v>3294</v>
      </c>
      <c r="H51" s="11">
        <v>46165</v>
      </c>
      <c r="I51" s="143">
        <f t="array" ref="I51">INDEX([27]Sheet1!$F$6:$F$82,MATCH(1,([27]Sheet1!$C$6:$C$82=$D51)*([27]Sheet1!$C$6:$C$82=$D51),0))</f>
        <v>300</v>
      </c>
      <c r="J51" s="9">
        <f t="array" ref="J51">IFERROR(I51/G51*100,0)</f>
        <v>9.1074681238615653</v>
      </c>
      <c r="K51" s="143">
        <f t="array" ref="K51">INDEX([27]Sheet1!$H$6:$H$82,MATCH(1,([27]Sheet1!$C$6:$C$82=$D51)*([27]Sheet1!$C$6:$C$82=$D51),0))</f>
        <v>15</v>
      </c>
      <c r="L51" s="9">
        <f t="shared" si="1"/>
        <v>5</v>
      </c>
      <c r="M51" s="8" t="str">
        <f t="array" ref="M51">IF(L51&gt;5,"Perlu Pengendalian",IF(AND(L51&gt;=0,I51&gt;0),"Tidak Perlu Pengendalian","Belum Sensus"))</f>
        <v>Tidak Perlu Pengendalian</v>
      </c>
      <c r="N51" s="143"/>
      <c r="O51" s="9"/>
      <c r="Q51" s="9">
        <v>8.0459770114942533</v>
      </c>
      <c r="R51" s="206">
        <v>0</v>
      </c>
      <c r="T51" s="206">
        <v>4.9382716049382713</v>
      </c>
      <c r="U51" s="206">
        <v>2.1739130434782608</v>
      </c>
      <c r="V51" s="206">
        <v>2.1505376344086025</v>
      </c>
    </row>
    <row r="52" spans="1:23" outlineLevel="1" x14ac:dyDescent="0.15">
      <c r="A52" s="8" t="s">
        <v>1927</v>
      </c>
      <c r="B52" s="8"/>
      <c r="C52" s="8" t="s">
        <v>1934</v>
      </c>
      <c r="D52" s="8" t="s">
        <v>1350</v>
      </c>
      <c r="E52" s="9">
        <v>23.759999999999998</v>
      </c>
      <c r="F52" s="8" t="s">
        <v>1740</v>
      </c>
      <c r="G52" s="143">
        <v>2328</v>
      </c>
      <c r="H52" s="11"/>
      <c r="I52" s="143"/>
      <c r="J52" s="9">
        <f t="array" ref="J52">IFERROR(I52/G52*100,0)</f>
        <v>0</v>
      </c>
      <c r="K52" s="143"/>
      <c r="L52" s="9">
        <f t="shared" si="1"/>
        <v>0</v>
      </c>
      <c r="M52" s="8" t="str">
        <f t="array" ref="M52">IF(L52&gt;5,"Perlu Pengendalian",IF(AND(L52&gt;=0,I52&gt;0),"Tidak Perlu Pengendalian","Belum Sensus"))</f>
        <v>Belum Sensus</v>
      </c>
      <c r="N52" s="143"/>
      <c r="O52" s="9"/>
      <c r="Q52" s="9"/>
      <c r="R52" s="209"/>
      <c r="T52" s="209"/>
      <c r="U52" s="209"/>
      <c r="V52" s="209"/>
    </row>
    <row r="53" spans="1:23" outlineLevel="1" x14ac:dyDescent="0.15">
      <c r="A53" s="8" t="s">
        <v>1927</v>
      </c>
      <c r="B53" s="8"/>
      <c r="C53" s="8" t="s">
        <v>1934</v>
      </c>
      <c r="D53" s="8" t="s">
        <v>1756</v>
      </c>
      <c r="E53" s="9">
        <v>25.17</v>
      </c>
      <c r="F53" s="8" t="s">
        <v>1740</v>
      </c>
      <c r="G53" s="143">
        <v>2233</v>
      </c>
      <c r="H53" s="11"/>
      <c r="I53" s="143"/>
      <c r="J53" s="9">
        <f t="array" ref="J53">IFERROR(I53/G53*100,0)</f>
        <v>0</v>
      </c>
      <c r="K53" s="143"/>
      <c r="L53" s="9">
        <f t="shared" si="1"/>
        <v>0</v>
      </c>
      <c r="M53" s="8" t="str">
        <f t="array" ref="M53">IF(L53&gt;5,"Perlu Pengendalian",IF(AND(L53&gt;=0,I53&gt;0),"Tidak Perlu Pengendalian","Belum Sensus"))</f>
        <v>Belum Sensus</v>
      </c>
      <c r="N53" s="143"/>
      <c r="O53" s="9"/>
      <c r="Q53" s="9"/>
      <c r="R53" s="209"/>
      <c r="T53" s="209"/>
      <c r="U53" s="209"/>
      <c r="V53" s="209"/>
    </row>
    <row r="54" spans="1:23" outlineLevel="1" x14ac:dyDescent="0.15">
      <c r="A54" s="8" t="s">
        <v>1927</v>
      </c>
      <c r="B54" s="8"/>
      <c r="C54" s="8" t="s">
        <v>1934</v>
      </c>
      <c r="D54" s="8" t="s">
        <v>1354</v>
      </c>
      <c r="E54" s="9">
        <v>23.55</v>
      </c>
      <c r="F54" s="8" t="s">
        <v>1740</v>
      </c>
      <c r="G54" s="143">
        <v>2205</v>
      </c>
      <c r="H54" s="11"/>
      <c r="I54" s="143"/>
      <c r="J54" s="9">
        <f t="array" ref="J54">IFERROR(I54/G54*100,0)</f>
        <v>0</v>
      </c>
      <c r="K54" s="143"/>
      <c r="L54" s="9">
        <f t="shared" si="1"/>
        <v>0</v>
      </c>
      <c r="M54" s="8" t="str">
        <f t="array" ref="M54">IF(L54&gt;5,"Perlu Pengendalian",IF(AND(L54&gt;=0,I54&gt;0),"Tidak Perlu Pengendalian","Belum Sensus"))</f>
        <v>Belum Sensus</v>
      </c>
      <c r="N54" s="143"/>
      <c r="O54" s="9"/>
      <c r="Q54" s="9"/>
      <c r="R54" s="209"/>
      <c r="T54" s="209"/>
      <c r="U54" s="209"/>
      <c r="V54" s="209"/>
    </row>
    <row r="55" spans="1:23" outlineLevel="1" x14ac:dyDescent="0.15">
      <c r="A55" s="8" t="s">
        <v>1927</v>
      </c>
      <c r="B55" s="8"/>
      <c r="C55" s="8" t="s">
        <v>1934</v>
      </c>
      <c r="D55" s="8" t="s">
        <v>1335</v>
      </c>
      <c r="E55" s="9">
        <v>49.719999999999985</v>
      </c>
      <c r="F55" s="8" t="s">
        <v>1740</v>
      </c>
      <c r="G55" s="143">
        <v>4247</v>
      </c>
      <c r="H55" s="11"/>
      <c r="I55" s="143"/>
      <c r="J55" s="9">
        <f t="array" ref="J55">IFERROR(I55/G55*100,0)</f>
        <v>0</v>
      </c>
      <c r="K55" s="143"/>
      <c r="L55" s="9">
        <f t="shared" si="1"/>
        <v>0</v>
      </c>
      <c r="M55" s="8" t="str">
        <f t="array" ref="M55">IF(L55&gt;5,"Perlu Pengendalian",IF(AND(L55&gt;=0,I55&gt;0),"Tidak Perlu Pengendalian","Belum Sensus"))</f>
        <v>Belum Sensus</v>
      </c>
      <c r="N55" s="143"/>
      <c r="O55" s="9"/>
      <c r="Q55" s="9"/>
      <c r="R55" s="209"/>
      <c r="T55" s="209"/>
      <c r="U55" s="209"/>
      <c r="V55" s="209"/>
    </row>
    <row r="56" spans="1:23" outlineLevel="1" x14ac:dyDescent="0.15">
      <c r="A56" s="8" t="s">
        <v>1927</v>
      </c>
      <c r="B56" s="8"/>
      <c r="C56" s="8" t="s">
        <v>1934</v>
      </c>
      <c r="D56" s="8" t="s">
        <v>1935</v>
      </c>
      <c r="E56" s="9">
        <v>26.200000000000003</v>
      </c>
      <c r="F56" s="8" t="s">
        <v>1740</v>
      </c>
      <c r="G56" s="143">
        <v>3509</v>
      </c>
      <c r="H56" s="11"/>
      <c r="I56" s="143"/>
      <c r="J56" s="9">
        <f t="array" ref="J56">IFERROR(I56/G56*100,0)</f>
        <v>0</v>
      </c>
      <c r="K56" s="143"/>
      <c r="L56" s="9">
        <f t="shared" si="1"/>
        <v>0</v>
      </c>
      <c r="M56" s="8" t="str">
        <f t="array" ref="M56">IF(L56&gt;5,"Perlu Pengendalian",IF(AND(L56&gt;=0,I56&gt;0),"Tidak Perlu Pengendalian","Belum Sensus"))</f>
        <v>Belum Sensus</v>
      </c>
      <c r="N56" s="143"/>
      <c r="O56" s="9"/>
      <c r="Q56" s="9"/>
      <c r="R56" s="209"/>
      <c r="T56" s="209"/>
      <c r="U56" s="209"/>
      <c r="V56" s="209"/>
    </row>
    <row r="57" spans="1:23" outlineLevel="1" x14ac:dyDescent="0.15">
      <c r="A57" s="8" t="s">
        <v>1927</v>
      </c>
      <c r="B57" s="8"/>
      <c r="C57" s="8" t="s">
        <v>1934</v>
      </c>
      <c r="D57" s="8" t="s">
        <v>1353</v>
      </c>
      <c r="E57" s="9">
        <v>23.5</v>
      </c>
      <c r="F57" s="8" t="s">
        <v>1740</v>
      </c>
      <c r="G57" s="143">
        <v>2187</v>
      </c>
      <c r="H57" s="11"/>
      <c r="I57" s="143"/>
      <c r="J57" s="9">
        <f t="array" ref="J57">IFERROR(I57/G57*100,0)</f>
        <v>0</v>
      </c>
      <c r="K57" s="143"/>
      <c r="L57" s="9">
        <f t="shared" si="1"/>
        <v>0</v>
      </c>
      <c r="M57" s="8" t="str">
        <f t="array" ref="M57">IF(L57&gt;5,"Perlu Pengendalian",IF(AND(L57&gt;=0,I57&gt;0),"Tidak Perlu Pengendalian","Belum Sensus"))</f>
        <v>Belum Sensus</v>
      </c>
      <c r="N57" s="143"/>
      <c r="O57" s="9"/>
      <c r="Q57" s="9"/>
      <c r="R57" s="209"/>
      <c r="T57" s="209"/>
      <c r="U57" s="209"/>
      <c r="V57" s="209"/>
    </row>
    <row r="58" spans="1:23" outlineLevel="1" x14ac:dyDescent="0.15">
      <c r="A58" s="8" t="s">
        <v>1927</v>
      </c>
      <c r="B58" s="8"/>
      <c r="C58" s="8" t="s">
        <v>1934</v>
      </c>
      <c r="D58" s="8" t="s">
        <v>1355</v>
      </c>
      <c r="E58" s="9">
        <v>35.44</v>
      </c>
      <c r="F58" s="8" t="s">
        <v>1740</v>
      </c>
      <c r="G58" s="143">
        <v>2794</v>
      </c>
      <c r="H58" s="11"/>
      <c r="I58" s="143"/>
      <c r="J58" s="9">
        <f t="array" ref="J58">IFERROR(I58/G58*100,0)</f>
        <v>0</v>
      </c>
      <c r="K58" s="143"/>
      <c r="L58" s="9">
        <f t="shared" si="1"/>
        <v>0</v>
      </c>
      <c r="M58" s="8" t="str">
        <f t="array" ref="M58">IF(L58&gt;5,"Perlu Pengendalian",IF(AND(L58&gt;=0,I58&gt;0),"Tidak Perlu Pengendalian","Belum Sensus"))</f>
        <v>Belum Sensus</v>
      </c>
      <c r="N58" s="143"/>
      <c r="O58" s="9"/>
      <c r="Q58" s="9"/>
      <c r="R58" s="209"/>
      <c r="T58" s="209"/>
      <c r="U58" s="209"/>
      <c r="V58" s="209"/>
    </row>
    <row r="59" spans="1:23" outlineLevel="1" x14ac:dyDescent="0.15">
      <c r="A59" s="8" t="s">
        <v>1927</v>
      </c>
      <c r="B59" s="8"/>
      <c r="C59" s="8" t="s">
        <v>1934</v>
      </c>
      <c r="D59" s="8" t="s">
        <v>1358</v>
      </c>
      <c r="E59" s="9">
        <v>28.040000000000003</v>
      </c>
      <c r="F59" s="8" t="s">
        <v>1740</v>
      </c>
      <c r="G59" s="143">
        <v>2242</v>
      </c>
      <c r="H59" s="11"/>
      <c r="I59" s="143"/>
      <c r="J59" s="9">
        <f t="array" ref="J59">IFERROR(I59/G59*100,0)</f>
        <v>0</v>
      </c>
      <c r="K59" s="143"/>
      <c r="L59" s="9">
        <f t="shared" si="1"/>
        <v>0</v>
      </c>
      <c r="M59" s="8" t="str">
        <f t="array" ref="M59">IF(L59&gt;5,"Perlu Pengendalian",IF(AND(L59&gt;=0,I59&gt;0),"Tidak Perlu Pengendalian","Belum Sensus"))</f>
        <v>Belum Sensus</v>
      </c>
      <c r="N59" s="143"/>
      <c r="O59" s="9"/>
      <c r="Q59" s="9"/>
      <c r="R59" s="209"/>
      <c r="T59" s="209"/>
      <c r="U59" s="209"/>
      <c r="V59" s="209"/>
    </row>
    <row r="60" spans="1:23" outlineLevel="1" x14ac:dyDescent="0.15">
      <c r="A60" s="8" t="s">
        <v>1927</v>
      </c>
      <c r="B60" s="8"/>
      <c r="C60" s="8" t="s">
        <v>1934</v>
      </c>
      <c r="D60" s="8" t="s">
        <v>1936</v>
      </c>
      <c r="E60" s="9">
        <v>44.82</v>
      </c>
      <c r="F60" s="8" t="s">
        <v>1740</v>
      </c>
      <c r="G60" s="143">
        <v>4255</v>
      </c>
      <c r="H60" s="11"/>
      <c r="I60" s="143"/>
      <c r="J60" s="9">
        <f t="array" ref="J60">IFERROR(I60/G60*100,0)</f>
        <v>0</v>
      </c>
      <c r="K60" s="143"/>
      <c r="L60" s="9">
        <f t="shared" si="1"/>
        <v>0</v>
      </c>
      <c r="M60" s="8" t="str">
        <f t="array" ref="M60">IF(L60&gt;5,"Perlu Pengendalian",IF(AND(L60&gt;=0,I60&gt;0),"Tidak Perlu Pengendalian","Belum Sensus"))</f>
        <v>Belum Sensus</v>
      </c>
      <c r="N60" s="143"/>
      <c r="O60" s="9"/>
      <c r="Q60" s="9"/>
      <c r="R60" s="209"/>
      <c r="T60" s="209"/>
      <c r="U60" s="209"/>
      <c r="V60" s="209"/>
    </row>
    <row r="61" spans="1:23" outlineLevel="1" x14ac:dyDescent="0.15">
      <c r="A61" s="8" t="s">
        <v>1927</v>
      </c>
      <c r="B61" s="8"/>
      <c r="C61" s="8" t="s">
        <v>1934</v>
      </c>
      <c r="D61" s="8" t="s">
        <v>1356</v>
      </c>
      <c r="E61" s="9">
        <v>32.18</v>
      </c>
      <c r="F61" s="8" t="s">
        <v>1740</v>
      </c>
      <c r="G61" s="143">
        <v>3169</v>
      </c>
      <c r="H61" s="11"/>
      <c r="I61" s="143"/>
      <c r="J61" s="9">
        <f t="array" ref="J61">IFERROR(I61/G61*100,0)</f>
        <v>0</v>
      </c>
      <c r="K61" s="143"/>
      <c r="L61" s="9">
        <f t="shared" si="1"/>
        <v>0</v>
      </c>
      <c r="M61" s="8" t="str">
        <f t="array" ref="M61">IF(L61&gt;5,"Perlu Pengendalian",IF(AND(L61&gt;=0,I61&gt;0),"Tidak Perlu Pengendalian","Belum Sensus"))</f>
        <v>Belum Sensus</v>
      </c>
      <c r="N61" s="143"/>
      <c r="O61" s="9"/>
      <c r="Q61" s="9"/>
      <c r="R61" s="209"/>
      <c r="T61" s="209"/>
      <c r="U61" s="209"/>
      <c r="V61" s="209"/>
    </row>
    <row r="62" spans="1:23" outlineLevel="1" x14ac:dyDescent="0.15">
      <c r="A62" s="8" t="s">
        <v>1927</v>
      </c>
      <c r="B62" s="8"/>
      <c r="C62" s="8" t="s">
        <v>1934</v>
      </c>
      <c r="D62" s="8" t="s">
        <v>1387</v>
      </c>
      <c r="E62" s="9">
        <v>25.74</v>
      </c>
      <c r="F62" s="8" t="s">
        <v>1740</v>
      </c>
      <c r="G62" s="143">
        <v>3605</v>
      </c>
      <c r="H62" s="11"/>
      <c r="I62" s="143"/>
      <c r="J62" s="9">
        <f t="array" ref="J62">IFERROR(I62/G62*100,0)</f>
        <v>0</v>
      </c>
      <c r="K62" s="143"/>
      <c r="L62" s="9">
        <f t="shared" si="1"/>
        <v>0</v>
      </c>
      <c r="M62" s="8" t="str">
        <f t="array" ref="M62">IF(L62&gt;5,"Perlu Pengendalian",IF(AND(L62&gt;=0,I62&gt;0),"Tidak Perlu Pengendalian","Belum Sensus"))</f>
        <v>Belum Sensus</v>
      </c>
      <c r="N62" s="143"/>
      <c r="O62" s="9"/>
      <c r="Q62" s="9"/>
      <c r="R62" s="209"/>
      <c r="T62" s="209"/>
      <c r="U62" s="209"/>
      <c r="V62" s="209"/>
    </row>
    <row r="63" spans="1:23" outlineLevel="1" x14ac:dyDescent="0.15">
      <c r="A63" s="8" t="s">
        <v>1927</v>
      </c>
      <c r="B63" s="8"/>
      <c r="C63" s="8" t="s">
        <v>1934</v>
      </c>
      <c r="D63" s="8" t="s">
        <v>1389</v>
      </c>
      <c r="E63" s="9">
        <v>24.189999999999998</v>
      </c>
      <c r="F63" s="8" t="s">
        <v>1740</v>
      </c>
      <c r="G63" s="143">
        <v>2264</v>
      </c>
      <c r="H63" s="11"/>
      <c r="I63" s="143"/>
      <c r="J63" s="9">
        <f t="array" ref="J63">IFERROR(I63/G63*100,0)</f>
        <v>0</v>
      </c>
      <c r="K63" s="143"/>
      <c r="L63" s="9">
        <f t="shared" si="1"/>
        <v>0</v>
      </c>
      <c r="M63" s="8" t="str">
        <f t="array" ref="M63">IF(L63&gt;5,"Perlu Pengendalian",IF(AND(L63&gt;=0,I63&gt;0),"Tidak Perlu Pengendalian","Belum Sensus"))</f>
        <v>Belum Sensus</v>
      </c>
      <c r="N63" s="143"/>
      <c r="O63" s="9"/>
      <c r="Q63" s="9"/>
      <c r="R63" s="209"/>
      <c r="T63" s="209"/>
      <c r="U63" s="209"/>
      <c r="V63" s="209"/>
    </row>
    <row r="64" spans="1:23" outlineLevel="1" x14ac:dyDescent="0.15">
      <c r="A64" s="8" t="s">
        <v>1927</v>
      </c>
      <c r="B64" s="8"/>
      <c r="C64" s="8" t="s">
        <v>1934</v>
      </c>
      <c r="D64" s="8" t="s">
        <v>1118</v>
      </c>
      <c r="E64" s="9">
        <v>25.15</v>
      </c>
      <c r="F64" s="8" t="s">
        <v>1740</v>
      </c>
      <c r="G64" s="143">
        <v>3020</v>
      </c>
      <c r="H64" s="11"/>
      <c r="I64" s="143"/>
      <c r="J64" s="9">
        <f t="array" ref="J64">IFERROR(I64/G64*100,0)</f>
        <v>0</v>
      </c>
      <c r="K64" s="143"/>
      <c r="L64" s="9">
        <f t="shared" si="1"/>
        <v>0</v>
      </c>
      <c r="M64" s="8" t="str">
        <f t="array" ref="M64">IF(L64&gt;5,"Perlu Pengendalian",IF(AND(L64&gt;=0,I64&gt;0),"Tidak Perlu Pengendalian","Belum Sensus"))</f>
        <v>Belum Sensus</v>
      </c>
      <c r="N64" s="143"/>
      <c r="O64" s="9"/>
      <c r="Q64" s="9"/>
      <c r="R64" s="209"/>
      <c r="T64" s="209"/>
      <c r="U64" s="209"/>
      <c r="V64" s="209"/>
    </row>
    <row r="65" spans="1:23" outlineLevel="1" x14ac:dyDescent="0.15">
      <c r="A65" s="8" t="s">
        <v>1927</v>
      </c>
      <c r="B65" s="8"/>
      <c r="C65" s="8" t="s">
        <v>1934</v>
      </c>
      <c r="D65" s="8" t="s">
        <v>1314</v>
      </c>
      <c r="E65" s="9">
        <v>30.78</v>
      </c>
      <c r="F65" s="8" t="s">
        <v>1740</v>
      </c>
      <c r="G65" s="143">
        <v>3021</v>
      </c>
      <c r="H65" s="11"/>
      <c r="I65" s="143"/>
      <c r="J65" s="9">
        <f t="array" ref="J65">IFERROR(I65/G65*100,0)</f>
        <v>0</v>
      </c>
      <c r="K65" s="143"/>
      <c r="L65" s="9">
        <f t="shared" si="1"/>
        <v>0</v>
      </c>
      <c r="M65" s="8" t="str">
        <f t="array" ref="M65">IF(L65&gt;5,"Perlu Pengendalian",IF(AND(L65&gt;=0,I65&gt;0),"Tidak Perlu Pengendalian","Belum Sensus"))</f>
        <v>Belum Sensus</v>
      </c>
      <c r="N65" s="143"/>
      <c r="O65" s="9"/>
      <c r="Q65" s="9"/>
      <c r="R65" s="209"/>
      <c r="T65" s="209"/>
      <c r="U65" s="209"/>
      <c r="V65" s="209"/>
    </row>
    <row r="66" spans="1:23" outlineLevel="1" x14ac:dyDescent="0.15">
      <c r="A66" s="8" t="s">
        <v>1927</v>
      </c>
      <c r="B66" s="8"/>
      <c r="C66" s="8" t="s">
        <v>1934</v>
      </c>
      <c r="D66" s="8" t="s">
        <v>1328</v>
      </c>
      <c r="E66" s="9">
        <v>35.01</v>
      </c>
      <c r="F66" s="8" t="s">
        <v>1740</v>
      </c>
      <c r="G66" s="143">
        <v>2647</v>
      </c>
      <c r="H66" s="11"/>
      <c r="I66" s="143"/>
      <c r="J66" s="9">
        <f t="array" ref="J66">IFERROR(I66/G66*100,0)</f>
        <v>0</v>
      </c>
      <c r="K66" s="143"/>
      <c r="L66" s="9">
        <f t="shared" si="1"/>
        <v>0</v>
      </c>
      <c r="M66" s="8" t="str">
        <f t="array" ref="M66">IF(L66&gt;5,"Perlu Pengendalian",IF(AND(L66&gt;=0,I66&gt;0),"Tidak Perlu Pengendalian","Belum Sensus"))</f>
        <v>Belum Sensus</v>
      </c>
      <c r="N66" s="143"/>
      <c r="O66" s="9"/>
      <c r="Q66" s="9"/>
      <c r="R66" s="209"/>
      <c r="T66" s="209"/>
      <c r="U66" s="209"/>
      <c r="V66" s="209"/>
    </row>
    <row r="67" spans="1:23" outlineLevel="1" x14ac:dyDescent="0.15">
      <c r="A67" s="8" t="s">
        <v>1927</v>
      </c>
      <c r="B67" s="8"/>
      <c r="C67" s="8" t="s">
        <v>1934</v>
      </c>
      <c r="D67" s="8" t="s">
        <v>1340</v>
      </c>
      <c r="E67" s="9">
        <v>32.9</v>
      </c>
      <c r="F67" s="8" t="s">
        <v>1740</v>
      </c>
      <c r="G67" s="143">
        <v>2519.0000000000005</v>
      </c>
      <c r="H67" s="11"/>
      <c r="I67" s="143"/>
      <c r="J67" s="9">
        <f t="array" ref="J67">IFERROR(I67/G67*100,0)</f>
        <v>0</v>
      </c>
      <c r="K67" s="143"/>
      <c r="L67" s="9">
        <f t="shared" si="1"/>
        <v>0</v>
      </c>
      <c r="M67" s="8" t="str">
        <f t="array" ref="M67">IF(L67&gt;5,"Perlu Pengendalian",IF(AND(L67&gt;=0,I67&gt;0),"Tidak Perlu Pengendalian","Belum Sensus"))</f>
        <v>Belum Sensus</v>
      </c>
      <c r="N67" s="143"/>
      <c r="O67" s="9"/>
      <c r="Q67" s="9"/>
      <c r="R67" s="209"/>
      <c r="T67" s="209"/>
      <c r="U67" s="209"/>
      <c r="V67" s="209"/>
    </row>
    <row r="68" spans="1:23" outlineLevel="1" x14ac:dyDescent="0.15">
      <c r="A68" s="8" t="s">
        <v>1927</v>
      </c>
      <c r="B68" s="8"/>
      <c r="C68" s="8" t="s">
        <v>1934</v>
      </c>
      <c r="D68" s="8" t="s">
        <v>1811</v>
      </c>
      <c r="E68" s="9">
        <v>27.18</v>
      </c>
      <c r="F68" s="8" t="s">
        <v>1740</v>
      </c>
      <c r="G68" s="143">
        <v>3108</v>
      </c>
      <c r="H68" s="11"/>
      <c r="I68" s="143"/>
      <c r="J68" s="9">
        <f t="array" ref="J68">IFERROR(I68/G68*100,0)</f>
        <v>0</v>
      </c>
      <c r="K68" s="143"/>
      <c r="L68" s="9">
        <f t="shared" si="1"/>
        <v>0</v>
      </c>
      <c r="M68" s="8" t="str">
        <f t="array" ref="M68">IF(L68&gt;5,"Perlu Pengendalian",IF(AND(L68&gt;=0,I68&gt;0),"Tidak Perlu Pengendalian","Belum Sensus"))</f>
        <v>Belum Sensus</v>
      </c>
      <c r="N68" s="143"/>
      <c r="O68" s="9"/>
      <c r="Q68" s="9"/>
      <c r="R68" s="209"/>
      <c r="T68" s="209"/>
      <c r="U68" s="209"/>
      <c r="V68" s="209"/>
    </row>
    <row r="69" spans="1:23" outlineLevel="1" x14ac:dyDescent="0.15">
      <c r="A69" s="8" t="s">
        <v>1927</v>
      </c>
      <c r="B69" s="8"/>
      <c r="C69" s="8" t="s">
        <v>1934</v>
      </c>
      <c r="D69" s="8" t="s">
        <v>1305</v>
      </c>
      <c r="E69" s="9">
        <v>42.359999999999992</v>
      </c>
      <c r="F69" s="8" t="s">
        <v>1740</v>
      </c>
      <c r="G69" s="143">
        <v>4709</v>
      </c>
      <c r="H69" s="11"/>
      <c r="I69" s="143"/>
      <c r="J69" s="9">
        <f t="array" ref="J69">IFERROR(I69/G69*100,0)</f>
        <v>0</v>
      </c>
      <c r="K69" s="143"/>
      <c r="L69" s="9">
        <f t="shared" si="1"/>
        <v>0</v>
      </c>
      <c r="M69" s="8" t="str">
        <f t="array" ref="M69">IF(L69&gt;5,"Perlu Pengendalian",IF(AND(L69&gt;=0,I69&gt;0),"Tidak Perlu Pengendalian","Belum Sensus"))</f>
        <v>Belum Sensus</v>
      </c>
      <c r="N69" s="143"/>
      <c r="O69" s="9"/>
      <c r="Q69" s="9"/>
      <c r="R69" s="209"/>
      <c r="T69" s="209"/>
      <c r="U69" s="209"/>
      <c r="V69" s="209"/>
    </row>
    <row r="70" spans="1:23" outlineLevel="1" x14ac:dyDescent="0.15">
      <c r="A70" s="8" t="s">
        <v>1927</v>
      </c>
      <c r="B70" s="8"/>
      <c r="C70" s="8" t="s">
        <v>1937</v>
      </c>
      <c r="D70" s="8" t="s">
        <v>1938</v>
      </c>
      <c r="E70" s="9">
        <v>24.08</v>
      </c>
      <c r="F70" s="8" t="s">
        <v>1740</v>
      </c>
      <c r="G70" s="143">
        <v>3086.0000000000005</v>
      </c>
      <c r="H70" s="11"/>
      <c r="I70" s="143"/>
      <c r="J70" s="9">
        <f t="array" ref="J70">IFERROR(I70/G70*100,0)</f>
        <v>0</v>
      </c>
      <c r="K70" s="143"/>
      <c r="L70" s="9">
        <f t="shared" si="1"/>
        <v>0</v>
      </c>
      <c r="M70" s="8" t="str">
        <f t="array" ref="M70">IF(L70&gt;5,"Perlu Pengendalian",IF(AND(L70&gt;=0,I70&gt;0),"Tidak Perlu Pengendalian","Belum Sensus"))</f>
        <v>Belum Sensus</v>
      </c>
      <c r="N70" s="143"/>
      <c r="O70" s="9"/>
      <c r="Q70" s="9">
        <v>18.032786885245901</v>
      </c>
      <c r="R70" s="206">
        <v>38.095238095238095</v>
      </c>
      <c r="S70" s="3" t="s">
        <v>2220</v>
      </c>
      <c r="T70" s="206">
        <v>38.095238095238095</v>
      </c>
      <c r="U70" s="206">
        <v>0</v>
      </c>
      <c r="V70" s="206">
        <v>4.4776119402985071</v>
      </c>
    </row>
    <row r="71" spans="1:23" outlineLevel="1" x14ac:dyDescent="0.15">
      <c r="A71" s="8" t="s">
        <v>1927</v>
      </c>
      <c r="B71" s="8"/>
      <c r="C71" s="8" t="s">
        <v>1937</v>
      </c>
      <c r="D71" s="8" t="s">
        <v>1939</v>
      </c>
      <c r="E71" s="9">
        <v>21.88</v>
      </c>
      <c r="F71" s="8" t="s">
        <v>1740</v>
      </c>
      <c r="G71" s="143">
        <v>2734</v>
      </c>
      <c r="H71" s="11"/>
      <c r="I71" s="143"/>
      <c r="J71" s="9">
        <f t="array" ref="J71">IFERROR(I71/G71*100,0)</f>
        <v>0</v>
      </c>
      <c r="K71" s="143"/>
      <c r="L71" s="9">
        <f t="shared" si="1"/>
        <v>0</v>
      </c>
      <c r="M71" s="8" t="str">
        <f t="array" ref="M71">IF(L71&gt;5,"Perlu Pengendalian",IF(AND(L71&gt;=0,I71&gt;0),"Tidak Perlu Pengendalian","Belum Sensus"))</f>
        <v>Belum Sensus</v>
      </c>
      <c r="N71" s="143"/>
      <c r="O71" s="9"/>
      <c r="Q71" s="9">
        <v>14.285714285714285</v>
      </c>
      <c r="R71" s="206">
        <v>4.2857142857142856</v>
      </c>
      <c r="T71" s="206">
        <v>4.2857142857142856</v>
      </c>
      <c r="U71" s="206">
        <v>5.7142857142857144</v>
      </c>
      <c r="V71" s="206">
        <v>3.8461538461538463</v>
      </c>
      <c r="W71" s="3" t="s">
        <v>2040</v>
      </c>
    </row>
    <row r="72" spans="1:23" outlineLevel="1" x14ac:dyDescent="0.15">
      <c r="A72" s="8" t="s">
        <v>1927</v>
      </c>
      <c r="B72" s="8"/>
      <c r="C72" s="8" t="s">
        <v>1937</v>
      </c>
      <c r="D72" s="8" t="s">
        <v>1940</v>
      </c>
      <c r="E72" s="9">
        <v>36.06</v>
      </c>
      <c r="F72" s="8" t="s">
        <v>1740</v>
      </c>
      <c r="G72" s="143">
        <v>4542</v>
      </c>
      <c r="H72" s="11">
        <v>46165</v>
      </c>
      <c r="I72" s="143">
        <f t="array" ref="I72">INDEX([27]Sheet1!$F$6:$F$82,MATCH(1,([27]Sheet1!$C$6:$C$82=$D72)*([27]Sheet1!$C$6:$C$82=$D72),0))</f>
        <v>421</v>
      </c>
      <c r="J72" s="9">
        <f t="array" ref="J72">IFERROR(I72/G72*100,0)</f>
        <v>9.2690444738000881</v>
      </c>
      <c r="K72" s="143">
        <f t="array" ref="K72">INDEX([27]Sheet1!$H$6:$H$82,MATCH(1,([27]Sheet1!$C$6:$C$82=$D72)*([27]Sheet1!$C$6:$C$82=$D72),0))</f>
        <v>24</v>
      </c>
      <c r="L72" s="9">
        <f t="shared" si="1"/>
        <v>5.7007125890736345</v>
      </c>
      <c r="M72" s="8" t="str">
        <f t="array" ref="M72">IF(L72&gt;5,"Perlu Pengendalian",IF(AND(L72&gt;=0,I72&gt;0),"Tidak Perlu Pengendalian","Belum Sensus"))</f>
        <v>Perlu Pengendalian</v>
      </c>
      <c r="N72" s="143"/>
      <c r="O72" s="9"/>
      <c r="Q72" s="9">
        <v>8.6021505376344098</v>
      </c>
      <c r="R72" s="206">
        <v>29.310344827586203</v>
      </c>
      <c r="T72" s="206">
        <v>15.517241379310345</v>
      </c>
      <c r="U72" s="206">
        <v>5.5555555555555554</v>
      </c>
      <c r="V72" s="206">
        <v>2.2222222222222223</v>
      </c>
    </row>
    <row r="73" spans="1:23" outlineLevel="1" x14ac:dyDescent="0.15">
      <c r="A73" s="8" t="s">
        <v>1927</v>
      </c>
      <c r="B73" s="8"/>
      <c r="C73" s="8" t="s">
        <v>1937</v>
      </c>
      <c r="D73" s="8" t="s">
        <v>1941</v>
      </c>
      <c r="E73" s="9">
        <v>33.51</v>
      </c>
      <c r="F73" s="8" t="s">
        <v>1740</v>
      </c>
      <c r="G73" s="143">
        <v>4098</v>
      </c>
      <c r="H73" s="11"/>
      <c r="I73" s="143"/>
      <c r="J73" s="9">
        <f t="array" ref="J73">IFERROR(I73/G73*100,0)</f>
        <v>0</v>
      </c>
      <c r="K73" s="143"/>
      <c r="L73" s="9">
        <f t="shared" si="1"/>
        <v>0</v>
      </c>
      <c r="M73" s="8" t="str">
        <f t="array" ref="M73">IF(L73&gt;5,"Perlu Pengendalian",IF(AND(L73&gt;=0,I73&gt;0),"Tidak Perlu Pengendalian","Belum Sensus"))</f>
        <v>Belum Sensus</v>
      </c>
      <c r="N73" s="143"/>
      <c r="O73" s="9"/>
      <c r="Q73" s="9">
        <v>1.3729977116704806</v>
      </c>
      <c r="R73" s="206">
        <v>3.4883720930232558</v>
      </c>
      <c r="T73" s="206">
        <v>3.4883720930232558</v>
      </c>
      <c r="U73" s="206">
        <v>0</v>
      </c>
      <c r="V73" s="206">
        <v>2.8571428571428572</v>
      </c>
    </row>
    <row r="74" spans="1:23" outlineLevel="1" x14ac:dyDescent="0.15">
      <c r="A74" s="8" t="s">
        <v>1927</v>
      </c>
      <c r="B74" s="8"/>
      <c r="C74" s="8" t="s">
        <v>1937</v>
      </c>
      <c r="D74" s="8" t="s">
        <v>1942</v>
      </c>
      <c r="E74" s="9">
        <v>18.8</v>
      </c>
      <c r="F74" s="8" t="s">
        <v>1740</v>
      </c>
      <c r="G74" s="143">
        <v>2555.0000000000005</v>
      </c>
      <c r="H74" s="11"/>
      <c r="I74" s="143"/>
      <c r="J74" s="9">
        <f t="array" ref="J74">IFERROR(I74/G74*100,0)</f>
        <v>0</v>
      </c>
      <c r="K74" s="143"/>
      <c r="L74" s="9">
        <f t="shared" si="1"/>
        <v>0</v>
      </c>
      <c r="M74" s="8" t="str">
        <f t="array" ref="M74">IF(L74&gt;5,"Perlu Pengendalian",IF(AND(L74&gt;=0,I74&gt;0),"Tidak Perlu Pengendalian","Belum Sensus"))</f>
        <v>Belum Sensus</v>
      </c>
      <c r="N74" s="143"/>
      <c r="O74" s="9"/>
      <c r="Q74" s="9">
        <v>1.680672268907563</v>
      </c>
      <c r="R74" s="206">
        <v>9.67741935483871</v>
      </c>
      <c r="S74" s="3" t="s">
        <v>2220</v>
      </c>
      <c r="T74" s="206">
        <v>9.67741935483871</v>
      </c>
      <c r="U74" s="206">
        <v>0</v>
      </c>
      <c r="V74" s="206">
        <v>3.4482758620689653</v>
      </c>
    </row>
    <row r="75" spans="1:23" outlineLevel="1" x14ac:dyDescent="0.15">
      <c r="A75" s="8" t="s">
        <v>1927</v>
      </c>
      <c r="B75" s="8"/>
      <c r="C75" s="8" t="s">
        <v>1937</v>
      </c>
      <c r="D75" s="8" t="s">
        <v>1943</v>
      </c>
      <c r="E75" s="9">
        <v>39.590000000000003</v>
      </c>
      <c r="F75" s="8" t="s">
        <v>1740</v>
      </c>
      <c r="G75" s="143">
        <v>5106</v>
      </c>
      <c r="H75" s="11"/>
      <c r="I75" s="143"/>
      <c r="J75" s="9">
        <f t="array" ref="J75">IFERROR(I75/G75*100,0)</f>
        <v>0</v>
      </c>
      <c r="K75" s="143"/>
      <c r="L75" s="9">
        <f t="shared" si="1"/>
        <v>0</v>
      </c>
      <c r="M75" s="8" t="str">
        <f t="array" ref="M75">IF(L75&gt;5,"Perlu Pengendalian",IF(AND(L75&gt;=0,I75&gt;0),"Tidak Perlu Pengendalian","Belum Sensus"))</f>
        <v>Belum Sensus</v>
      </c>
      <c r="N75" s="143"/>
      <c r="O75" s="9"/>
      <c r="Q75" s="9">
        <v>8</v>
      </c>
      <c r="R75" s="206">
        <v>2.5210084033613445</v>
      </c>
      <c r="T75" s="206">
        <v>2.5210084033613445</v>
      </c>
      <c r="U75" s="206">
        <v>2.5917926565874732</v>
      </c>
      <c r="V75" s="206">
        <v>3.7313432835820892</v>
      </c>
    </row>
    <row r="76" spans="1:23" outlineLevel="1" x14ac:dyDescent="0.15">
      <c r="A76" s="8" t="s">
        <v>1927</v>
      </c>
      <c r="B76" s="8"/>
      <c r="C76" s="8" t="s">
        <v>1937</v>
      </c>
      <c r="D76" s="8" t="s">
        <v>1944</v>
      </c>
      <c r="E76" s="9">
        <v>24.709999999999997</v>
      </c>
      <c r="F76" s="8" t="s">
        <v>1740</v>
      </c>
      <c r="G76" s="143">
        <v>3060</v>
      </c>
      <c r="H76" s="11">
        <v>46165</v>
      </c>
      <c r="I76" s="143">
        <f t="array" ref="I76">INDEX([27]Sheet1!$F$6:$F$82,MATCH(1,([27]Sheet1!$C$6:$C$82=$D76)*([27]Sheet1!$C$6:$C$82=$D76),0))</f>
        <v>298</v>
      </c>
      <c r="J76" s="9">
        <f t="array" ref="J76">IFERROR(I76/G76*100,0)</f>
        <v>9.7385620915032689</v>
      </c>
      <c r="K76" s="143">
        <f t="array" ref="K76">INDEX([27]Sheet1!$H$6:$H$82,MATCH(1,([27]Sheet1!$C$6:$C$82=$D76)*([27]Sheet1!$C$6:$C$82=$D76),0))</f>
        <v>19</v>
      </c>
      <c r="L76" s="9">
        <f t="shared" si="1"/>
        <v>6.375838926174497</v>
      </c>
      <c r="M76" s="8" t="str">
        <f t="array" ref="M76">IF(L76&gt;5,"Perlu Pengendalian",IF(AND(L76&gt;=0,I76&gt;0),"Tidak Perlu Pengendalian","Belum Sensus"))</f>
        <v>Perlu Pengendalian</v>
      </c>
      <c r="N76" s="143"/>
      <c r="O76" s="9"/>
      <c r="Q76" s="9">
        <v>3.75</v>
      </c>
      <c r="R76" s="206">
        <v>4.2857142857142856</v>
      </c>
      <c r="T76" s="206">
        <v>4.2857142857142856</v>
      </c>
      <c r="U76" s="206">
        <v>3.8961038961038961</v>
      </c>
      <c r="V76" s="206">
        <v>0.81300813008130091</v>
      </c>
    </row>
    <row r="77" spans="1:23" outlineLevel="1" x14ac:dyDescent="0.15">
      <c r="A77" s="8" t="s">
        <v>1927</v>
      </c>
      <c r="B77" s="8"/>
      <c r="C77" s="8" t="s">
        <v>1937</v>
      </c>
      <c r="D77" s="8" t="s">
        <v>1945</v>
      </c>
      <c r="E77" s="9">
        <v>28.72</v>
      </c>
      <c r="F77" s="8" t="s">
        <v>1740</v>
      </c>
      <c r="G77" s="143">
        <v>3648</v>
      </c>
      <c r="H77" s="11">
        <v>46165</v>
      </c>
      <c r="I77" s="143">
        <v>361</v>
      </c>
      <c r="J77" s="9">
        <f t="array" ref="J77">IFERROR(I77/G77*100,0)</f>
        <v>9.8958333333333321</v>
      </c>
      <c r="K77" s="143">
        <v>21</v>
      </c>
      <c r="L77" s="9">
        <f t="shared" si="1"/>
        <v>5.8171745152354575</v>
      </c>
      <c r="M77" s="8" t="str">
        <f t="array" ref="M77">IF(L77&gt;5,"Perlu Pengendalian",IF(AND(L77&gt;=0,I77&gt;0),"Tidak Perlu Pengendalian","Belum Sensus"))</f>
        <v>Perlu Pengendalian</v>
      </c>
      <c r="N77" s="143"/>
      <c r="O77" s="9"/>
      <c r="Q77" s="9">
        <v>7.5757575757575761</v>
      </c>
      <c r="R77" s="206">
        <v>9.4117647058823533</v>
      </c>
      <c r="T77" s="206">
        <v>9.4117647058823533</v>
      </c>
      <c r="U77" s="206">
        <v>1.6822429906542056</v>
      </c>
      <c r="V77" s="206">
        <v>2.4793388429752068</v>
      </c>
    </row>
    <row r="78" spans="1:23" outlineLevel="1" x14ac:dyDescent="0.15">
      <c r="A78" s="8" t="s">
        <v>1927</v>
      </c>
      <c r="B78" s="8"/>
      <c r="C78" s="8" t="s">
        <v>1937</v>
      </c>
      <c r="D78" s="8" t="s">
        <v>1946</v>
      </c>
      <c r="E78" s="9">
        <v>28.18</v>
      </c>
      <c r="F78" s="8" t="s">
        <v>1740</v>
      </c>
      <c r="G78" s="143">
        <v>3574</v>
      </c>
      <c r="H78" s="11"/>
      <c r="I78" s="143"/>
      <c r="J78" s="9">
        <f t="array" ref="J78">IFERROR(I78/G78*100,0)</f>
        <v>0</v>
      </c>
      <c r="K78" s="143"/>
      <c r="L78" s="9">
        <f t="shared" si="1"/>
        <v>0</v>
      </c>
      <c r="M78" s="8" t="str">
        <f t="array" ref="M78">IF(L78&gt;5,"Perlu Pengendalian",IF(AND(L78&gt;=0,I78&gt;0),"Tidak Perlu Pengendalian","Belum Sensus"))</f>
        <v>Belum Sensus</v>
      </c>
      <c r="N78" s="143"/>
      <c r="O78" s="9"/>
      <c r="Q78" s="9">
        <v>1.5625</v>
      </c>
      <c r="R78" s="206">
        <v>33.87096774193548</v>
      </c>
      <c r="S78" s="3" t="s">
        <v>2220</v>
      </c>
      <c r="T78" s="206">
        <v>7.216494845360824</v>
      </c>
      <c r="U78" s="206">
        <v>0</v>
      </c>
      <c r="V78" s="206">
        <v>3.0534351145038165</v>
      </c>
    </row>
    <row r="79" spans="1:23" outlineLevel="1" x14ac:dyDescent="0.15">
      <c r="A79" s="8" t="s">
        <v>1927</v>
      </c>
      <c r="B79" s="8"/>
      <c r="C79" s="8" t="s">
        <v>1937</v>
      </c>
      <c r="D79" s="8" t="s">
        <v>1947</v>
      </c>
      <c r="E79" s="9">
        <v>30.74</v>
      </c>
      <c r="F79" s="8" t="s">
        <v>1740</v>
      </c>
      <c r="G79" s="143">
        <v>3920</v>
      </c>
      <c r="H79" s="11"/>
      <c r="I79" s="143"/>
      <c r="J79" s="9">
        <f t="array" ref="J79">IFERROR(I79/G79*100,0)</f>
        <v>0</v>
      </c>
      <c r="K79" s="143"/>
      <c r="L79" s="9">
        <f t="shared" si="1"/>
        <v>0</v>
      </c>
      <c r="M79" s="8" t="str">
        <f t="array" ref="M79">IF(L79&gt;5,"Perlu Pengendalian",IF(AND(L79&gt;=0,I79&gt;0),"Tidak Perlu Pengendalian","Belum Sensus"))</f>
        <v>Belum Sensus</v>
      </c>
      <c r="N79" s="143"/>
      <c r="O79" s="9"/>
      <c r="Q79" s="9">
        <v>1.2820512820512819</v>
      </c>
      <c r="R79" s="206">
        <v>7.4626865671641784</v>
      </c>
      <c r="S79" s="3" t="s">
        <v>2220</v>
      </c>
      <c r="T79" s="206">
        <v>7.4626865671641784</v>
      </c>
      <c r="U79" s="206">
        <v>0</v>
      </c>
      <c r="V79" s="206">
        <v>3.4482758620689653</v>
      </c>
    </row>
    <row r="80" spans="1:23" outlineLevel="1" x14ac:dyDescent="0.15">
      <c r="A80" s="8" t="s">
        <v>1927</v>
      </c>
      <c r="B80" s="8"/>
      <c r="C80" s="8" t="s">
        <v>1937</v>
      </c>
      <c r="D80" s="8" t="s">
        <v>1948</v>
      </c>
      <c r="E80" s="9">
        <v>43.780000000000008</v>
      </c>
      <c r="F80" s="8" t="s">
        <v>1740</v>
      </c>
      <c r="G80" s="143">
        <v>4990</v>
      </c>
      <c r="H80" s="11"/>
      <c r="I80" s="143"/>
      <c r="J80" s="9">
        <f t="array" ref="J80">IFERROR(I80/G80*100,0)</f>
        <v>0</v>
      </c>
      <c r="K80" s="143"/>
      <c r="L80" s="9">
        <f t="shared" si="1"/>
        <v>0</v>
      </c>
      <c r="M80" s="8" t="str">
        <f t="array" ref="M80">IF(L80&gt;5,"Perlu Pengendalian",IF(AND(L80&gt;=0,I80&gt;0),"Tidak Perlu Pengendalian","Belum Sensus"))</f>
        <v>Belum Sensus</v>
      </c>
      <c r="N80" s="143"/>
      <c r="O80" s="9"/>
      <c r="Q80" s="9">
        <v>4.225352112676056</v>
      </c>
      <c r="R80" s="206">
        <v>0</v>
      </c>
      <c r="T80" s="206">
        <v>2.6204564666103125</v>
      </c>
      <c r="U80" s="206">
        <v>3.4965034965034967</v>
      </c>
      <c r="V80" s="206">
        <v>3.75</v>
      </c>
    </row>
    <row r="81" spans="1:23" outlineLevel="1" x14ac:dyDescent="0.15">
      <c r="A81" s="8" t="s">
        <v>1927</v>
      </c>
      <c r="B81" s="8"/>
      <c r="C81" s="8" t="s">
        <v>1937</v>
      </c>
      <c r="D81" s="8" t="s">
        <v>1949</v>
      </c>
      <c r="E81" s="9">
        <v>31.97</v>
      </c>
      <c r="F81" s="8" t="s">
        <v>1740</v>
      </c>
      <c r="G81" s="143">
        <v>4090</v>
      </c>
      <c r="H81" s="11">
        <v>46165</v>
      </c>
      <c r="I81" s="143">
        <f t="array" ref="I81">INDEX([27]Sheet1!$F$6:$F$82,MATCH(1,([27]Sheet1!$C$6:$C$82=$D81)*([27]Sheet1!$C$6:$C$82=$D81),0))</f>
        <v>456</v>
      </c>
      <c r="J81" s="9">
        <f t="array" ref="J81">IFERROR(I81/G81*100,0)</f>
        <v>11.149144254278728</v>
      </c>
      <c r="K81" s="143">
        <f t="array" ref="K81">INDEX([27]Sheet1!$H$6:$H$82,MATCH(1,([27]Sheet1!$C$6:$C$82=$D81)*([27]Sheet1!$C$6:$C$82=$D81),0))</f>
        <v>93</v>
      </c>
      <c r="L81" s="9">
        <f t="shared" si="1"/>
        <v>20.394736842105264</v>
      </c>
      <c r="M81" s="8" t="str">
        <f t="array" ref="M81">IF(L81&gt;5,"Perlu Pengendalian",IF(AND(L81&gt;=0,I81&gt;0),"Tidak Perlu Pengendalian","Belum Sensus"))</f>
        <v>Perlu Pengendalian</v>
      </c>
      <c r="N81" s="143"/>
      <c r="O81" s="9"/>
      <c r="Q81" s="9">
        <v>1.5384615384615385</v>
      </c>
      <c r="R81" s="206">
        <v>3.4883720930232558</v>
      </c>
      <c r="T81" s="206">
        <v>3.4883720930232558</v>
      </c>
      <c r="U81" s="206">
        <v>2.064516129032258</v>
      </c>
      <c r="V81" s="206">
        <v>1.9607843137254901</v>
      </c>
    </row>
    <row r="82" spans="1:23" outlineLevel="1" x14ac:dyDescent="0.15">
      <c r="A82" s="8" t="s">
        <v>1927</v>
      </c>
      <c r="B82" s="8"/>
      <c r="C82" s="8" t="s">
        <v>1937</v>
      </c>
      <c r="D82" s="8" t="s">
        <v>1950</v>
      </c>
      <c r="E82" s="9">
        <v>26.73</v>
      </c>
      <c r="F82" s="8" t="s">
        <v>1740</v>
      </c>
      <c r="G82" s="143">
        <v>3218</v>
      </c>
      <c r="H82" s="11">
        <v>46165</v>
      </c>
      <c r="I82" s="143">
        <f t="array" ref="I82">INDEX([27]Sheet1!$F$6:$F$82,MATCH(1,([27]Sheet1!$C$6:$C$82=$D82)*([27]Sheet1!$C$6:$C$82=$D82),0))</f>
        <v>398</v>
      </c>
      <c r="J82" s="9">
        <f t="array" ref="J82">IFERROR(I82/G82*100,0)</f>
        <v>12.367930391547546</v>
      </c>
      <c r="K82" s="143">
        <f t="array" ref="K82">INDEX([27]Sheet1!$H$6:$H$82,MATCH(1,([27]Sheet1!$C$6:$C$82=$D82)*([27]Sheet1!$C$6:$C$82=$D82),0))</f>
        <v>7</v>
      </c>
      <c r="L82" s="9">
        <f t="shared" si="1"/>
        <v>1.7587939698492463</v>
      </c>
      <c r="M82" s="8" t="str">
        <f t="array" ref="M82">IF(L82&gt;5,"Perlu Pengendalian",IF(AND(L82&gt;=0,I82&gt;0),"Tidak Perlu Pengendalian","Belum Sensus"))</f>
        <v>Tidak Perlu Pengendalian</v>
      </c>
      <c r="N82" s="143"/>
      <c r="O82" s="9"/>
      <c r="Q82" s="9">
        <v>4.918032786885246</v>
      </c>
      <c r="R82" s="206">
        <v>6.756756756756757</v>
      </c>
      <c r="T82" s="206">
        <v>6.756756756756757</v>
      </c>
      <c r="U82" s="206">
        <v>3.3096926713947989</v>
      </c>
      <c r="V82" s="206">
        <v>4.032258064516129</v>
      </c>
    </row>
    <row r="83" spans="1:23" outlineLevel="1" x14ac:dyDescent="0.15">
      <c r="A83" s="8" t="s">
        <v>1927</v>
      </c>
      <c r="B83" s="8"/>
      <c r="C83" s="8" t="s">
        <v>1937</v>
      </c>
      <c r="D83" s="8" t="s">
        <v>1215</v>
      </c>
      <c r="E83" s="9">
        <v>28.119999999999997</v>
      </c>
      <c r="F83" s="8" t="s">
        <v>1740</v>
      </c>
      <c r="G83" s="143">
        <v>3820</v>
      </c>
      <c r="H83" s="11">
        <v>46165</v>
      </c>
      <c r="I83" s="143">
        <f t="array" ref="I83">INDEX([27]Sheet1!$F$6:$F$82,MATCH(1,([27]Sheet1!$C$6:$C$82=$D83)*([27]Sheet1!$C$6:$C$82=$D83),0))</f>
        <v>423</v>
      </c>
      <c r="J83" s="9">
        <f t="array" ref="J83">IFERROR(I83/G83*100,0)</f>
        <v>11.073298429319371</v>
      </c>
      <c r="K83" s="143">
        <f t="array" ref="K83">INDEX([27]Sheet1!$H$6:$H$82,MATCH(1,([27]Sheet1!$C$6:$C$82=$D83)*([27]Sheet1!$C$6:$C$82=$D83),0))</f>
        <v>32</v>
      </c>
      <c r="L83" s="9">
        <f t="shared" si="1"/>
        <v>7.5650118203309695</v>
      </c>
      <c r="M83" s="8" t="str">
        <f t="array" ref="M83">IF(L83&gt;5,"Perlu Pengendalian",IF(AND(L83&gt;=0,I83&gt;0),"Tidak Perlu Pengendalian","Belum Sensus"))</f>
        <v>Perlu Pengendalian</v>
      </c>
      <c r="N83" s="143"/>
      <c r="O83" s="9"/>
      <c r="Q83" s="9">
        <v>10.526315789473683</v>
      </c>
      <c r="R83" s="206">
        <v>11.25</v>
      </c>
      <c r="T83" s="206">
        <v>11.25</v>
      </c>
      <c r="U83" s="206">
        <v>0</v>
      </c>
      <c r="V83" s="206">
        <v>2.9411764705882351</v>
      </c>
    </row>
    <row r="84" spans="1:23" outlineLevel="1" x14ac:dyDescent="0.15">
      <c r="A84" s="8" t="s">
        <v>1927</v>
      </c>
      <c r="B84" s="8"/>
      <c r="C84" s="8" t="s">
        <v>1951</v>
      </c>
      <c r="D84" s="8" t="s">
        <v>1952</v>
      </c>
      <c r="E84" s="9">
        <v>44.169999999999995</v>
      </c>
      <c r="F84" s="8" t="s">
        <v>1740</v>
      </c>
      <c r="G84" s="143">
        <v>5433</v>
      </c>
      <c r="H84" s="11"/>
      <c r="I84" s="143"/>
      <c r="J84" s="9">
        <f t="array" ref="J84">IFERROR(I84/G84*100,0)</f>
        <v>0</v>
      </c>
      <c r="K84" s="143"/>
      <c r="L84" s="9">
        <f t="shared" ref="L84:L100" si="2">IFERROR(K84/I84*100,0)</f>
        <v>0</v>
      </c>
      <c r="M84" s="8" t="str">
        <f t="array" ref="M84">IF(L84&gt;5,"Perlu Pengendalian",IF(AND(L84&gt;=0,I84&gt;0),"Tidak Perlu Pengendalian","Belum Sensus"))</f>
        <v>Belum Sensus</v>
      </c>
      <c r="N84" s="143"/>
      <c r="O84" s="9"/>
      <c r="Q84" s="9">
        <v>2.6785714285714284</v>
      </c>
      <c r="R84" s="206">
        <v>3.4482758620689653</v>
      </c>
      <c r="T84" s="206">
        <v>2.2471910112359552</v>
      </c>
      <c r="U84" s="206">
        <v>1.7523364485981308</v>
      </c>
      <c r="V84" s="206">
        <v>4.1322314049586781</v>
      </c>
    </row>
    <row r="85" spans="1:23" outlineLevel="1" x14ac:dyDescent="0.15">
      <c r="A85" s="8" t="s">
        <v>1927</v>
      </c>
      <c r="B85" s="8"/>
      <c r="C85" s="8" t="s">
        <v>1951</v>
      </c>
      <c r="D85" s="8" t="s">
        <v>1953</v>
      </c>
      <c r="E85" s="9">
        <v>34.64</v>
      </c>
      <c r="F85" s="8" t="s">
        <v>1740</v>
      </c>
      <c r="G85" s="143">
        <v>4244</v>
      </c>
      <c r="H85" s="11"/>
      <c r="I85" s="143"/>
      <c r="J85" s="9">
        <f t="array" ref="J85">IFERROR(I85/G85*100,0)</f>
        <v>0</v>
      </c>
      <c r="K85" s="143"/>
      <c r="L85" s="9">
        <f t="shared" si="2"/>
        <v>0</v>
      </c>
      <c r="M85" s="8" t="str">
        <f t="array" ref="M85">IF(L85&gt;5,"Perlu Pengendalian",IF(AND(L85&gt;=0,I85&gt;0),"Tidak Perlu Pengendalian","Belum Sensus"))</f>
        <v>Belum Sensus</v>
      </c>
      <c r="N85" s="143"/>
      <c r="O85" s="9"/>
      <c r="Q85" s="9">
        <v>1.1111111111111112</v>
      </c>
      <c r="R85" s="206">
        <v>1.8518518518518516</v>
      </c>
      <c r="T85" s="206">
        <v>1.6949152542372881</v>
      </c>
      <c r="U85" s="206">
        <v>1.7045454545454544</v>
      </c>
      <c r="V85" s="206">
        <v>3.125</v>
      </c>
    </row>
    <row r="86" spans="1:23" outlineLevel="1" x14ac:dyDescent="0.15">
      <c r="A86" s="8" t="s">
        <v>1927</v>
      </c>
      <c r="B86" s="8"/>
      <c r="C86" s="8" t="s">
        <v>1951</v>
      </c>
      <c r="D86" s="8" t="s">
        <v>1954</v>
      </c>
      <c r="E86" s="9">
        <v>31.310000000000002</v>
      </c>
      <c r="F86" s="8" t="s">
        <v>1740</v>
      </c>
      <c r="G86" s="143">
        <v>1783</v>
      </c>
      <c r="H86" s="11"/>
      <c r="I86" s="143"/>
      <c r="J86" s="9">
        <f t="array" ref="J86">IFERROR(I86/G86*100,0)</f>
        <v>0</v>
      </c>
      <c r="K86" s="143"/>
      <c r="L86" s="9">
        <f t="shared" si="2"/>
        <v>0</v>
      </c>
      <c r="M86" s="8" t="str">
        <f t="array" ref="M86">IF(L86&gt;5,"Perlu Pengendalian",IF(AND(L86&gt;=0,I86&gt;0),"Tidak Perlu Pengendalian","Belum Sensus"))</f>
        <v>Belum Sensus</v>
      </c>
      <c r="N86" s="143"/>
      <c r="O86" s="9"/>
      <c r="Q86" s="9">
        <v>1.0416666666666665</v>
      </c>
      <c r="R86" s="206">
        <v>2.3809523809523809</v>
      </c>
      <c r="T86" s="206">
        <v>2.3809523809523809</v>
      </c>
      <c r="U86" s="206">
        <v>0</v>
      </c>
      <c r="V86" s="206">
        <v>3.125</v>
      </c>
    </row>
    <row r="87" spans="1:23" outlineLevel="1" x14ac:dyDescent="0.15">
      <c r="A87" s="8" t="s">
        <v>1927</v>
      </c>
      <c r="B87" s="8"/>
      <c r="C87" s="8" t="s">
        <v>1951</v>
      </c>
      <c r="D87" s="8" t="s">
        <v>1955</v>
      </c>
      <c r="E87" s="9">
        <v>17.920000000000002</v>
      </c>
      <c r="F87" s="8" t="s">
        <v>1740</v>
      </c>
      <c r="G87" s="143">
        <v>2283</v>
      </c>
      <c r="H87" s="11">
        <v>46159</v>
      </c>
      <c r="I87" s="143">
        <v>226</v>
      </c>
      <c r="J87" s="9">
        <f t="array" ref="J87">IFERROR(I87/G87*100,0)</f>
        <v>9.899255365746825</v>
      </c>
      <c r="K87" s="143">
        <v>13</v>
      </c>
      <c r="L87" s="9">
        <f t="shared" si="2"/>
        <v>5.7522123893805306</v>
      </c>
      <c r="M87" s="8" t="str">
        <f t="array" ref="M87">IF(L87&gt;5,"Perlu Pengendalian",IF(AND(L87&gt;=0,I87&gt;0),"Tidak Perlu Pengendalian","Belum Sensus"))</f>
        <v>Perlu Pengendalian</v>
      </c>
      <c r="N87" s="143"/>
      <c r="O87" s="9"/>
      <c r="Q87" s="9">
        <v>2.3809523809523809</v>
      </c>
      <c r="R87" s="206">
        <v>4.3478260869565215</v>
      </c>
      <c r="T87" s="206">
        <v>4.3478260869565215</v>
      </c>
      <c r="U87" s="206">
        <v>4.3478260869565215</v>
      </c>
      <c r="V87" s="206">
        <v>4.5454545454545459</v>
      </c>
    </row>
    <row r="88" spans="1:23" outlineLevel="1" x14ac:dyDescent="0.15">
      <c r="A88" s="8" t="s">
        <v>1927</v>
      </c>
      <c r="B88" s="8"/>
      <c r="C88" s="8" t="s">
        <v>1951</v>
      </c>
      <c r="D88" s="8" t="s">
        <v>1956</v>
      </c>
      <c r="E88" s="9">
        <v>24.29</v>
      </c>
      <c r="F88" s="8" t="s">
        <v>1740</v>
      </c>
      <c r="G88" s="143">
        <v>2837</v>
      </c>
      <c r="H88" s="11">
        <v>46165</v>
      </c>
      <c r="I88" s="143">
        <f t="array" ref="I88">INDEX([27]Sheet1!$F$6:$F$82,MATCH(1,([27]Sheet1!$C$6:$C$82=$D88)*([27]Sheet1!$C$6:$C$82=$D88),0))</f>
        <v>267</v>
      </c>
      <c r="J88" s="9">
        <f t="array" ref="J88">IFERROR(I88/G88*100,0)</f>
        <v>9.4113500176242511</v>
      </c>
      <c r="K88" s="143">
        <f t="array" ref="K88">INDEX([27]Sheet1!$H$6:$H$82,MATCH(1,([27]Sheet1!$C$6:$C$82=$D88)*([27]Sheet1!$C$6:$C$82=$D88),0))</f>
        <v>17</v>
      </c>
      <c r="L88" s="9">
        <f t="shared" si="2"/>
        <v>6.3670411985018731</v>
      </c>
      <c r="M88" s="8" t="str">
        <f t="array" ref="M88">IF(L88&gt;5,"Perlu Pengendalian",IF(AND(L88&gt;=0,I88&gt;0),"Tidak Perlu Pengendalian","Belum Sensus"))</f>
        <v>Perlu Pengendalian</v>
      </c>
      <c r="N88" s="143"/>
      <c r="O88" s="9"/>
      <c r="Q88" s="9">
        <v>1.7857142857142856</v>
      </c>
      <c r="R88" s="206">
        <v>2.5423728813559325</v>
      </c>
      <c r="T88" s="206">
        <v>2.5423728813559325</v>
      </c>
      <c r="U88" s="206">
        <v>1.1915673693858846</v>
      </c>
      <c r="V88" s="206">
        <v>3.0927835051546393</v>
      </c>
    </row>
    <row r="89" spans="1:23" outlineLevel="1" x14ac:dyDescent="0.15">
      <c r="A89" s="8" t="s">
        <v>1927</v>
      </c>
      <c r="B89" s="8"/>
      <c r="C89" s="8" t="s">
        <v>1951</v>
      </c>
      <c r="D89" s="8" t="s">
        <v>1957</v>
      </c>
      <c r="E89" s="9">
        <v>50.07</v>
      </c>
      <c r="F89" s="8" t="s">
        <v>1740</v>
      </c>
      <c r="G89" s="143">
        <v>4633</v>
      </c>
      <c r="H89" s="11"/>
      <c r="I89" s="143"/>
      <c r="J89" s="9">
        <f t="array" ref="J89">IFERROR(I89/G89*100,0)</f>
        <v>0</v>
      </c>
      <c r="K89" s="143"/>
      <c r="L89" s="9">
        <f t="shared" si="2"/>
        <v>0</v>
      </c>
      <c r="M89" s="8" t="str">
        <f t="array" ref="M89">IF(L89&gt;5,"Perlu Pengendalian",IF(AND(L89&gt;=0,I89&gt;0),"Tidak Perlu Pengendalian","Belum Sensus"))</f>
        <v>Belum Sensus</v>
      </c>
      <c r="N89" s="143"/>
      <c r="O89" s="9"/>
      <c r="Q89" s="9">
        <v>1.6949152542372881</v>
      </c>
      <c r="R89" s="206">
        <v>1.9230769230769231</v>
      </c>
      <c r="T89" s="206">
        <v>1.9230769230769231</v>
      </c>
      <c r="U89" s="206">
        <v>0</v>
      </c>
      <c r="V89" s="206">
        <v>3.0303030303030303</v>
      </c>
    </row>
    <row r="90" spans="1:23" outlineLevel="1" x14ac:dyDescent="0.15">
      <c r="A90" s="8" t="s">
        <v>1927</v>
      </c>
      <c r="B90" s="8"/>
      <c r="C90" s="8" t="s">
        <v>1951</v>
      </c>
      <c r="D90" s="8" t="s">
        <v>1958</v>
      </c>
      <c r="E90" s="9">
        <v>36.69</v>
      </c>
      <c r="F90" s="8" t="s">
        <v>1740</v>
      </c>
      <c r="G90" s="143">
        <v>4223</v>
      </c>
      <c r="H90" s="11"/>
      <c r="I90" s="143"/>
      <c r="J90" s="9">
        <f t="array" ref="J90">IFERROR(I90/G90*100,0)</f>
        <v>0</v>
      </c>
      <c r="K90" s="143"/>
      <c r="L90" s="9">
        <f t="shared" si="2"/>
        <v>0</v>
      </c>
      <c r="M90" s="8" t="str">
        <f t="array" ref="M90">IF(L90&gt;5,"Perlu Pengendalian",IF(AND(L90&gt;=0,I90&gt;0),"Tidak Perlu Pengendalian","Belum Sensus"))</f>
        <v>Belum Sensus</v>
      </c>
      <c r="N90" s="143"/>
      <c r="O90" s="9"/>
      <c r="Q90" s="9">
        <v>2.2727272727272729</v>
      </c>
      <c r="R90" s="206">
        <v>3.4482758620689653</v>
      </c>
      <c r="T90" s="206">
        <v>3.5714285714285712</v>
      </c>
      <c r="U90" s="206">
        <v>0</v>
      </c>
      <c r="V90" s="206">
        <v>4.5801526717557248</v>
      </c>
    </row>
    <row r="91" spans="1:23" outlineLevel="1" x14ac:dyDescent="0.15">
      <c r="A91" s="8" t="s">
        <v>1927</v>
      </c>
      <c r="B91" s="8"/>
      <c r="C91" s="8" t="s">
        <v>1951</v>
      </c>
      <c r="D91" s="8" t="s">
        <v>1959</v>
      </c>
      <c r="E91" s="9">
        <v>28.5</v>
      </c>
      <c r="F91" s="8" t="s">
        <v>1740</v>
      </c>
      <c r="G91" s="143">
        <v>2981</v>
      </c>
      <c r="H91" s="11"/>
      <c r="I91" s="143"/>
      <c r="J91" s="9">
        <f t="array" ref="J91">IFERROR(I91/G91*100,0)</f>
        <v>0</v>
      </c>
      <c r="K91" s="143"/>
      <c r="L91" s="9">
        <f t="shared" si="2"/>
        <v>0</v>
      </c>
      <c r="M91" s="8" t="str">
        <f t="array" ref="M91">IF(L91&gt;5,"Perlu Pengendalian",IF(AND(L91&gt;=0,I91&gt;0),"Tidak Perlu Pengendalian","Belum Sensus"))</f>
        <v>Belum Sensus</v>
      </c>
      <c r="N91" s="143"/>
      <c r="O91" s="9"/>
      <c r="Q91" s="9">
        <v>2.2727272727272729</v>
      </c>
      <c r="R91" s="206">
        <v>2.5974025974025974</v>
      </c>
      <c r="T91" s="206">
        <v>2.5974025974025974</v>
      </c>
      <c r="U91" s="206">
        <v>0</v>
      </c>
      <c r="V91" s="206">
        <v>4.5871559633027523</v>
      </c>
    </row>
    <row r="92" spans="1:23" outlineLevel="1" x14ac:dyDescent="0.15">
      <c r="A92" s="8" t="s">
        <v>1927</v>
      </c>
      <c r="B92" s="8"/>
      <c r="C92" s="8" t="s">
        <v>1951</v>
      </c>
      <c r="D92" s="8" t="s">
        <v>1960</v>
      </c>
      <c r="E92" s="9">
        <v>23.580000000000002</v>
      </c>
      <c r="F92" s="8" t="s">
        <v>1740</v>
      </c>
      <c r="G92" s="143">
        <v>2622</v>
      </c>
      <c r="H92" s="11">
        <v>46165</v>
      </c>
      <c r="I92" s="143">
        <f t="array" ref="I92">INDEX([27]Sheet1!$F$6:$F$82,MATCH(1,([27]Sheet1!$C$6:$C$82=$D92)*([27]Sheet1!$C$6:$C$82=$D92),0))</f>
        <v>329</v>
      </c>
      <c r="J92" s="9">
        <f t="array" ref="J92">IFERROR(I92/G92*100,0)</f>
        <v>12.547673531655226</v>
      </c>
      <c r="K92" s="143">
        <f t="array" ref="K92">INDEX([27]Sheet1!$H$6:$H$82,MATCH(1,([27]Sheet1!$C$6:$C$82=$D92)*([27]Sheet1!$C$6:$C$82=$D92),0))</f>
        <v>60</v>
      </c>
      <c r="L92" s="9">
        <f t="shared" si="2"/>
        <v>18.237082066869302</v>
      </c>
      <c r="M92" s="8" t="str">
        <f t="array" ref="M92">IF(L92&gt;5,"Perlu Pengendalian",IF(AND(L92&gt;=0,I92&gt;0),"Tidak Perlu Pengendalian","Belum Sensus"))</f>
        <v>Perlu Pengendalian</v>
      </c>
      <c r="N92" s="143"/>
      <c r="O92" s="9"/>
      <c r="Q92" s="9">
        <v>0.94339622641509435</v>
      </c>
      <c r="R92" s="206">
        <v>1.1111111111111112</v>
      </c>
      <c r="T92" s="206">
        <v>1.1111111111111112</v>
      </c>
      <c r="U92" s="206">
        <v>8.8235294117647065</v>
      </c>
      <c r="V92" s="206">
        <v>3.9215686274509802</v>
      </c>
    </row>
    <row r="93" spans="1:23" outlineLevel="1" x14ac:dyDescent="0.15">
      <c r="A93" s="8" t="s">
        <v>1927</v>
      </c>
      <c r="B93" s="8"/>
      <c r="C93" s="8" t="s">
        <v>1961</v>
      </c>
      <c r="D93" s="8" t="s">
        <v>1962</v>
      </c>
      <c r="E93" s="9">
        <v>37.299999999999997</v>
      </c>
      <c r="F93" s="8" t="s">
        <v>1740</v>
      </c>
      <c r="G93" s="143">
        <v>4655</v>
      </c>
      <c r="H93" s="11"/>
      <c r="I93" s="143"/>
      <c r="J93" s="9">
        <f t="array" ref="J93">IFERROR(I93/G93*100,0)</f>
        <v>0</v>
      </c>
      <c r="K93" s="143"/>
      <c r="L93" s="9">
        <f t="shared" si="2"/>
        <v>0</v>
      </c>
      <c r="M93" s="8" t="str">
        <f t="array" ref="M93">IF(L93&gt;5,"Perlu Pengendalian",IF(AND(L93&gt;=0,I93&gt;0),"Tidak Perlu Pengendalian","Belum Sensus"))</f>
        <v>Belum Sensus</v>
      </c>
      <c r="N93" s="143"/>
      <c r="O93" s="9"/>
      <c r="Q93" s="9">
        <v>1.5037593984962405</v>
      </c>
      <c r="R93" s="206">
        <v>4.225352112676056</v>
      </c>
      <c r="T93" s="206">
        <v>1.25</v>
      </c>
      <c r="U93" s="206">
        <v>7.1428571428571423</v>
      </c>
      <c r="V93" s="206">
        <v>3.3613445378151261</v>
      </c>
      <c r="W93" s="3" t="s">
        <v>2040</v>
      </c>
    </row>
    <row r="94" spans="1:23" outlineLevel="1" x14ac:dyDescent="0.15">
      <c r="A94" s="8" t="s">
        <v>1927</v>
      </c>
      <c r="B94" s="8"/>
      <c r="C94" s="8" t="s">
        <v>1961</v>
      </c>
      <c r="D94" s="8" t="s">
        <v>1963</v>
      </c>
      <c r="E94" s="9">
        <v>36.99</v>
      </c>
      <c r="F94" s="8" t="s">
        <v>1740</v>
      </c>
      <c r="G94" s="143">
        <v>4362</v>
      </c>
      <c r="H94" s="11"/>
      <c r="I94" s="143"/>
      <c r="J94" s="9">
        <f t="array" ref="J94">IFERROR(I94/G94*100,0)</f>
        <v>0</v>
      </c>
      <c r="K94" s="143"/>
      <c r="L94" s="9">
        <f t="shared" si="2"/>
        <v>0</v>
      </c>
      <c r="M94" s="8" t="str">
        <f t="array" ref="M94">IF(L94&gt;5,"Perlu Pengendalian",IF(AND(L94&gt;=0,I94&gt;0),"Tidak Perlu Pengendalian","Belum Sensus"))</f>
        <v>Belum Sensus</v>
      </c>
      <c r="N94" s="143"/>
      <c r="O94" s="9"/>
      <c r="Q94" s="9">
        <v>1.1608623548922055</v>
      </c>
      <c r="R94" s="206">
        <v>3.75</v>
      </c>
      <c r="T94" s="206">
        <v>1.1363636363636365</v>
      </c>
      <c r="U94" s="206">
        <v>1.8404907975460123</v>
      </c>
      <c r="V94" s="206">
        <v>2.3809523809523809</v>
      </c>
      <c r="W94" s="3" t="s">
        <v>2040</v>
      </c>
    </row>
    <row r="95" spans="1:23" outlineLevel="1" x14ac:dyDescent="0.15">
      <c r="A95" s="8" t="s">
        <v>1927</v>
      </c>
      <c r="B95" s="8"/>
      <c r="C95" s="8" t="s">
        <v>1961</v>
      </c>
      <c r="D95" s="8" t="s">
        <v>1964</v>
      </c>
      <c r="E95" s="9">
        <v>32.01</v>
      </c>
      <c r="F95" s="8" t="s">
        <v>1740</v>
      </c>
      <c r="G95" s="143">
        <v>3088</v>
      </c>
      <c r="H95" s="11"/>
      <c r="I95" s="143"/>
      <c r="J95" s="9">
        <f t="array" ref="J95">IFERROR(I95/G95*100,0)</f>
        <v>0</v>
      </c>
      <c r="K95" s="143"/>
      <c r="L95" s="9">
        <f t="shared" si="2"/>
        <v>0</v>
      </c>
      <c r="M95" s="8" t="str">
        <f t="array" ref="M95">IF(L95&gt;5,"Perlu Pengendalian",IF(AND(L95&gt;=0,I95&gt;0),"Tidak Perlu Pengendalian","Belum Sensus"))</f>
        <v>Belum Sensus</v>
      </c>
      <c r="N95" s="143"/>
      <c r="O95" s="9"/>
      <c r="Q95" s="9">
        <v>4.2857142857142856</v>
      </c>
      <c r="R95" s="206">
        <v>2.5974025974025974</v>
      </c>
      <c r="T95" s="206">
        <v>2.8571428571428572</v>
      </c>
      <c r="U95" s="206">
        <v>0</v>
      </c>
      <c r="V95" s="206">
        <v>3.3707865168539324</v>
      </c>
      <c r="W95" s="3" t="s">
        <v>2040</v>
      </c>
    </row>
    <row r="96" spans="1:23" outlineLevel="1" x14ac:dyDescent="0.15">
      <c r="A96" s="8" t="s">
        <v>1927</v>
      </c>
      <c r="B96" s="8"/>
      <c r="C96" s="8" t="s">
        <v>1961</v>
      </c>
      <c r="D96" s="8" t="s">
        <v>1965</v>
      </c>
      <c r="E96" s="9">
        <v>45.82</v>
      </c>
      <c r="F96" s="8" t="s">
        <v>1740</v>
      </c>
      <c r="G96" s="143">
        <v>4930</v>
      </c>
      <c r="H96" s="11">
        <v>46165</v>
      </c>
      <c r="I96" s="143">
        <v>503</v>
      </c>
      <c r="J96" s="9">
        <f t="array" ref="J96">IFERROR(I96/G96*100,0)</f>
        <v>10.202839756592292</v>
      </c>
      <c r="K96" s="143">
        <v>33</v>
      </c>
      <c r="L96" s="9">
        <f t="shared" si="2"/>
        <v>6.5606361829025852</v>
      </c>
      <c r="M96" s="8" t="str">
        <f t="array" ref="M96">IF(L96&gt;5,"Perlu Pengendalian",IF(AND(L96&gt;=0,I96&gt;0),"Tidak Perlu Pengendalian","Belum Sensus"))</f>
        <v>Perlu Pengendalian</v>
      </c>
      <c r="N96" s="143"/>
      <c r="O96" s="9"/>
      <c r="Q96" s="9">
        <v>6.8965517241379306</v>
      </c>
      <c r="R96" s="206">
        <v>1.8518518518518516</v>
      </c>
      <c r="T96" s="206">
        <v>5.1948051948051948</v>
      </c>
      <c r="U96" s="206">
        <v>1.5517241379310345</v>
      </c>
      <c r="V96" s="206">
        <v>2.4193548387096775</v>
      </c>
      <c r="W96" s="3" t="s">
        <v>2040</v>
      </c>
    </row>
    <row r="97" spans="1:23" outlineLevel="1" x14ac:dyDescent="0.15">
      <c r="A97" s="8" t="s">
        <v>1927</v>
      </c>
      <c r="B97" s="8"/>
      <c r="C97" s="8" t="s">
        <v>1961</v>
      </c>
      <c r="D97" s="8" t="s">
        <v>1966</v>
      </c>
      <c r="E97" s="9">
        <v>42.81</v>
      </c>
      <c r="F97" s="8" t="s">
        <v>1740</v>
      </c>
      <c r="G97" s="143">
        <v>5842.9999999999991</v>
      </c>
      <c r="H97" s="11">
        <v>46165</v>
      </c>
      <c r="I97" s="143">
        <f t="array" ref="I97">INDEX([27]Sheet1!$F$6:$F$82,MATCH(1,([27]Sheet1!$C$6:$C$82=$D97)*([27]Sheet1!$C$6:$C$82=$D97),0))</f>
        <v>640</v>
      </c>
      <c r="J97" s="9">
        <f t="array" ref="J97">IFERROR(I97/G97*100,0)</f>
        <v>10.953277425979808</v>
      </c>
      <c r="K97" s="143">
        <f t="array" ref="K97">INDEX([27]Sheet1!$H$6:$H$82,MATCH(1,([27]Sheet1!$C$6:$C$82=$D97)*([27]Sheet1!$C$6:$C$82=$D97),0))</f>
        <v>27</v>
      </c>
      <c r="L97" s="9">
        <f t="shared" si="2"/>
        <v>4.21875</v>
      </c>
      <c r="M97" s="8" t="str">
        <f t="array" ref="M97">IF(L97&gt;5,"Perlu Pengendalian",IF(AND(L97&gt;=0,I97&gt;0),"Tidak Perlu Pengendalian","Belum Sensus"))</f>
        <v>Tidak Perlu Pengendalian</v>
      </c>
      <c r="N97" s="143"/>
      <c r="O97" s="9"/>
      <c r="Q97" s="9">
        <v>3.4883720930232558</v>
      </c>
      <c r="R97" s="206">
        <v>2.9233870967741935</v>
      </c>
      <c r="T97" s="206">
        <v>4.7058823529411766</v>
      </c>
      <c r="U97" s="206">
        <v>4.7058823529411766</v>
      </c>
      <c r="V97" s="206">
        <v>2.1276595744680851</v>
      </c>
      <c r="W97" s="3" t="s">
        <v>2040</v>
      </c>
    </row>
    <row r="98" spans="1:23" outlineLevel="1" x14ac:dyDescent="0.15">
      <c r="A98" s="8" t="s">
        <v>1927</v>
      </c>
      <c r="B98" s="8"/>
      <c r="C98" s="8" t="s">
        <v>1961</v>
      </c>
      <c r="D98" s="8" t="s">
        <v>1967</v>
      </c>
      <c r="E98" s="9">
        <v>28.47</v>
      </c>
      <c r="F98" s="8" t="s">
        <v>1740</v>
      </c>
      <c r="G98" s="143">
        <v>3535</v>
      </c>
      <c r="H98" s="11"/>
      <c r="I98" s="143"/>
      <c r="J98" s="9">
        <f t="array" ref="J98">IFERROR(I98/G98*100,0)</f>
        <v>0</v>
      </c>
      <c r="K98" s="143"/>
      <c r="L98" s="9">
        <f t="shared" si="2"/>
        <v>0</v>
      </c>
      <c r="M98" s="8" t="str">
        <f t="array" ref="M98">IF(L98&gt;5,"Perlu Pengendalian",IF(AND(L98&gt;=0,I98&gt;0),"Tidak Perlu Pengendalian","Belum Sensus"))</f>
        <v>Belum Sensus</v>
      </c>
      <c r="N98" s="143"/>
      <c r="O98" s="9"/>
      <c r="Q98" s="9">
        <v>3.9215686274509802</v>
      </c>
      <c r="R98" s="206">
        <v>1.7241379310344827</v>
      </c>
      <c r="T98" s="206">
        <v>1.7241379310344827</v>
      </c>
      <c r="U98" s="206">
        <v>0</v>
      </c>
      <c r="V98" s="206">
        <v>3.5928143712574849</v>
      </c>
      <c r="W98" s="3" t="s">
        <v>2040</v>
      </c>
    </row>
    <row r="99" spans="1:23" outlineLevel="1" x14ac:dyDescent="0.15">
      <c r="A99" s="8" t="s">
        <v>1927</v>
      </c>
      <c r="B99" s="8"/>
      <c r="C99" s="8" t="s">
        <v>1961</v>
      </c>
      <c r="D99" s="8" t="s">
        <v>1968</v>
      </c>
      <c r="E99" s="9">
        <v>37.08</v>
      </c>
      <c r="F99" s="8" t="s">
        <v>1740</v>
      </c>
      <c r="G99" s="143">
        <v>4375</v>
      </c>
      <c r="H99" s="11"/>
      <c r="I99" s="143"/>
      <c r="J99" s="9">
        <f t="array" ref="J99">IFERROR(I99/G99*100,0)</f>
        <v>0</v>
      </c>
      <c r="K99" s="143"/>
      <c r="L99" s="9">
        <f t="shared" si="2"/>
        <v>0</v>
      </c>
      <c r="M99" s="8" t="str">
        <f t="array" ref="M99">IF(L99&gt;5,"Perlu Pengendalian",IF(AND(L99&gt;=0,I99&gt;0),"Tidak Perlu Pengendalian","Belum Sensus"))</f>
        <v>Belum Sensus</v>
      </c>
      <c r="N99" s="143"/>
      <c r="O99" s="9"/>
      <c r="Q99" s="9">
        <v>1.9230769230769231</v>
      </c>
      <c r="R99" s="206">
        <v>2.5</v>
      </c>
      <c r="T99" s="206">
        <v>2.5</v>
      </c>
      <c r="U99" s="206">
        <v>1.8072289156626504</v>
      </c>
      <c r="V99" s="206">
        <v>2.2471910112359552</v>
      </c>
      <c r="W99" s="3" t="s">
        <v>2040</v>
      </c>
    </row>
    <row r="100" spans="1:23" outlineLevel="1" x14ac:dyDescent="0.15">
      <c r="A100" s="8" t="s">
        <v>1927</v>
      </c>
      <c r="B100" s="8"/>
      <c r="C100" s="8" t="s">
        <v>1961</v>
      </c>
      <c r="D100" s="8" t="s">
        <v>1969</v>
      </c>
      <c r="E100" s="9">
        <v>34.1</v>
      </c>
      <c r="F100" s="8" t="s">
        <v>1740</v>
      </c>
      <c r="G100" s="143">
        <v>3481</v>
      </c>
      <c r="H100" s="11"/>
      <c r="I100" s="143"/>
      <c r="J100" s="9">
        <f t="array" ref="J100">IFERROR(I100/G100*100,0)</f>
        <v>0</v>
      </c>
      <c r="K100" s="143"/>
      <c r="L100" s="9">
        <f t="shared" si="2"/>
        <v>0</v>
      </c>
      <c r="M100" s="8" t="str">
        <f t="array" ref="M100">IF(L100&gt;5,"Perlu Pengendalian",IF(AND(L100&gt;=0,I100&gt;0),"Tidak Perlu Pengendalian","Belum Sensus"))</f>
        <v>Belum Sensus</v>
      </c>
      <c r="N100" s="143"/>
      <c r="O100" s="9"/>
      <c r="Q100" s="9">
        <v>1.7543859649122806</v>
      </c>
      <c r="R100" s="206">
        <v>2.666666666666667</v>
      </c>
      <c r="T100" s="206">
        <v>1.2987012987012987</v>
      </c>
      <c r="U100" s="206">
        <v>1.4598540145985401</v>
      </c>
      <c r="V100" s="206">
        <v>2.459016393442623</v>
      </c>
      <c r="W100" s="3" t="s">
        <v>2040</v>
      </c>
    </row>
    <row r="101" spans="1:23" outlineLevel="1" x14ac:dyDescent="0.15">
      <c r="A101" s="8"/>
      <c r="B101" s="8"/>
      <c r="C101" s="8"/>
      <c r="D101" s="8"/>
      <c r="E101" s="9"/>
      <c r="F101" s="8"/>
      <c r="G101" s="143"/>
      <c r="H101" s="11"/>
      <c r="I101" s="143"/>
      <c r="J101" s="9"/>
      <c r="K101" s="143"/>
      <c r="L101" s="9"/>
      <c r="M101" s="8"/>
      <c r="N101" s="2"/>
      <c r="O101" s="2"/>
    </row>
    <row r="102" spans="1:23" outlineLevel="1" x14ac:dyDescent="0.15">
      <c r="A102" s="8"/>
      <c r="B102" s="8"/>
      <c r="C102" s="8"/>
      <c r="D102" s="8"/>
      <c r="E102" s="9"/>
      <c r="F102" s="8"/>
      <c r="G102" s="143"/>
      <c r="H102" s="11"/>
      <c r="I102" s="143"/>
      <c r="J102" s="9"/>
      <c r="K102" s="143"/>
      <c r="L102" s="9"/>
      <c r="M102" s="8"/>
      <c r="N102" s="2"/>
      <c r="O102" s="2"/>
    </row>
    <row r="103" spans="1:23" outlineLevel="1" x14ac:dyDescent="0.15">
      <c r="A103" s="8"/>
      <c r="B103" s="8"/>
      <c r="C103" s="8"/>
      <c r="D103" s="8"/>
      <c r="E103" s="9"/>
      <c r="F103" s="8"/>
      <c r="G103" s="143"/>
      <c r="H103" s="11"/>
      <c r="I103" s="143"/>
      <c r="J103" s="9"/>
      <c r="K103" s="143"/>
      <c r="L103" s="9"/>
      <c r="M103" s="8"/>
      <c r="N103" s="2"/>
      <c r="O103" s="2"/>
    </row>
    <row r="104" spans="1:23" outlineLevel="1" x14ac:dyDescent="0.15">
      <c r="A104" s="8"/>
      <c r="B104" s="8"/>
      <c r="C104" s="8"/>
      <c r="D104" s="8"/>
      <c r="E104" s="9"/>
      <c r="F104" s="8"/>
      <c r="G104" s="143"/>
      <c r="H104" s="11"/>
      <c r="I104" s="143"/>
      <c r="J104" s="9"/>
      <c r="K104" s="143"/>
      <c r="L104" s="9"/>
      <c r="M104" s="8"/>
      <c r="N104" s="2"/>
      <c r="O104" s="2"/>
    </row>
    <row r="105" spans="1:23" outlineLevel="1" x14ac:dyDescent="0.15">
      <c r="A105" s="8"/>
      <c r="B105" s="8"/>
      <c r="C105" s="8"/>
      <c r="D105" s="8"/>
      <c r="E105" s="9"/>
      <c r="F105" s="8"/>
      <c r="G105" s="143"/>
      <c r="H105" s="11"/>
      <c r="I105" s="143"/>
      <c r="J105" s="9"/>
      <c r="K105" s="143"/>
      <c r="L105" s="9"/>
      <c r="M105" s="8"/>
      <c r="N105" s="2"/>
      <c r="O105" s="2"/>
    </row>
    <row r="106" spans="1:23" outlineLevel="1" x14ac:dyDescent="0.15">
      <c r="A106" s="8"/>
      <c r="B106" s="8"/>
      <c r="C106" s="8"/>
      <c r="D106" s="8"/>
      <c r="E106" s="9"/>
      <c r="F106" s="8"/>
      <c r="G106" s="143"/>
      <c r="H106" s="11"/>
      <c r="I106" s="143"/>
      <c r="J106" s="9"/>
      <c r="K106" s="143"/>
      <c r="L106" s="9"/>
      <c r="M106" s="8"/>
      <c r="N106" s="2"/>
      <c r="O106" s="2"/>
    </row>
    <row r="107" spans="1:23" outlineLevel="1" x14ac:dyDescent="0.15">
      <c r="A107" s="8"/>
      <c r="B107" s="8"/>
      <c r="C107" s="8"/>
      <c r="D107" s="8"/>
      <c r="E107" s="9"/>
      <c r="F107" s="8"/>
      <c r="G107" s="143"/>
      <c r="H107" s="11"/>
      <c r="I107" s="143"/>
      <c r="J107" s="9"/>
      <c r="K107" s="143"/>
      <c r="L107" s="9"/>
      <c r="M107" s="8"/>
      <c r="N107" s="2"/>
      <c r="O107" s="2"/>
    </row>
    <row r="108" spans="1:23" outlineLevel="1" x14ac:dyDescent="0.15">
      <c r="A108" s="8"/>
      <c r="B108" s="8"/>
      <c r="C108" s="8"/>
      <c r="D108" s="8"/>
      <c r="E108" s="9"/>
      <c r="F108" s="8"/>
      <c r="G108" s="143"/>
      <c r="H108" s="11"/>
      <c r="I108" s="143"/>
      <c r="J108" s="9"/>
      <c r="K108" s="143"/>
      <c r="L108" s="9"/>
      <c r="M108" s="8"/>
      <c r="N108" s="2"/>
      <c r="O108" s="2"/>
    </row>
    <row r="109" spans="1:23" outlineLevel="1" x14ac:dyDescent="0.15">
      <c r="A109" s="8"/>
      <c r="B109" s="8"/>
      <c r="C109" s="8"/>
      <c r="D109" s="8"/>
      <c r="E109" s="9"/>
      <c r="F109" s="8"/>
      <c r="G109" s="143"/>
      <c r="H109" s="11"/>
      <c r="I109" s="143"/>
      <c r="J109" s="9"/>
      <c r="K109" s="143"/>
      <c r="L109" s="9"/>
      <c r="M109" s="8"/>
      <c r="N109" s="2"/>
      <c r="O109" s="2"/>
    </row>
    <row r="110" spans="1:23" outlineLevel="1" x14ac:dyDescent="0.15">
      <c r="A110" s="8"/>
      <c r="B110" s="8"/>
      <c r="C110" s="8"/>
      <c r="D110" s="8"/>
      <c r="E110" s="9"/>
      <c r="F110" s="8"/>
      <c r="G110" s="143"/>
      <c r="H110" s="11"/>
      <c r="I110" s="143"/>
      <c r="J110" s="9"/>
      <c r="K110" s="143"/>
      <c r="L110" s="9"/>
      <c r="M110" s="8"/>
      <c r="N110" s="2"/>
      <c r="O110" s="2"/>
    </row>
    <row r="111" spans="1:23" outlineLevel="1" x14ac:dyDescent="0.15">
      <c r="A111" s="8"/>
      <c r="B111" s="8"/>
      <c r="C111" s="8"/>
      <c r="D111" s="8"/>
      <c r="E111" s="9"/>
      <c r="F111" s="8"/>
      <c r="G111" s="143"/>
      <c r="H111" s="11"/>
      <c r="I111" s="143"/>
      <c r="J111" s="9"/>
      <c r="K111" s="143"/>
      <c r="L111" s="9"/>
      <c r="M111" s="8"/>
      <c r="N111" s="2"/>
      <c r="O111" s="2"/>
    </row>
    <row r="112" spans="1:23" outlineLevel="1" x14ac:dyDescent="0.15">
      <c r="A112" s="8"/>
      <c r="B112" s="8"/>
      <c r="C112" s="8"/>
      <c r="D112" s="8"/>
      <c r="E112" s="9"/>
      <c r="F112" s="8"/>
      <c r="G112" s="143"/>
      <c r="H112" s="11"/>
      <c r="I112" s="143"/>
      <c r="J112" s="9"/>
      <c r="K112" s="143"/>
      <c r="L112" s="9"/>
      <c r="M112" s="8"/>
      <c r="N112" s="2"/>
      <c r="O112" s="2"/>
    </row>
    <row r="113" spans="1:15" outlineLevel="1" x14ac:dyDescent="0.15">
      <c r="A113" s="8"/>
      <c r="B113" s="8"/>
      <c r="C113" s="8"/>
      <c r="D113" s="8"/>
      <c r="E113" s="9"/>
      <c r="F113" s="8"/>
      <c r="G113" s="143"/>
      <c r="H113" s="11"/>
      <c r="I113" s="143"/>
      <c r="J113" s="9"/>
      <c r="K113" s="143"/>
      <c r="L113" s="9"/>
      <c r="M113" s="8"/>
      <c r="N113" s="2"/>
      <c r="O113" s="2"/>
    </row>
    <row r="114" spans="1:15" outlineLevel="1" x14ac:dyDescent="0.15">
      <c r="A114" s="8"/>
      <c r="B114" s="8"/>
      <c r="C114" s="8"/>
      <c r="D114" s="8"/>
      <c r="E114" s="9"/>
      <c r="F114" s="8"/>
      <c r="G114" s="143"/>
      <c r="H114" s="11"/>
      <c r="I114" s="143"/>
      <c r="J114" s="9"/>
      <c r="K114" s="143"/>
      <c r="L114" s="9"/>
      <c r="M114" s="8"/>
      <c r="N114" s="2"/>
      <c r="O114" s="2"/>
    </row>
    <row r="115" spans="1:15" outlineLevel="1" x14ac:dyDescent="0.15">
      <c r="A115" s="8"/>
      <c r="B115" s="8"/>
      <c r="C115" s="8"/>
      <c r="D115" s="8"/>
      <c r="E115" s="9"/>
      <c r="F115" s="8"/>
      <c r="G115" s="143"/>
      <c r="H115" s="11"/>
      <c r="I115" s="143"/>
      <c r="J115" s="9"/>
      <c r="K115" s="143"/>
      <c r="L115" s="9"/>
      <c r="M115" s="8"/>
      <c r="N115" s="2"/>
      <c r="O115" s="2"/>
    </row>
    <row r="116" spans="1:15" outlineLevel="1" x14ac:dyDescent="0.15">
      <c r="A116" s="8"/>
      <c r="B116" s="8"/>
      <c r="C116" s="8"/>
      <c r="D116" s="8"/>
      <c r="E116" s="9"/>
      <c r="F116" s="8"/>
      <c r="G116" s="143"/>
      <c r="H116" s="11"/>
      <c r="I116" s="143"/>
      <c r="J116" s="9"/>
      <c r="K116" s="143"/>
      <c r="L116" s="9"/>
      <c r="M116" s="8"/>
      <c r="N116" s="2"/>
      <c r="O116" s="2"/>
    </row>
    <row r="117" spans="1:15" outlineLevel="1" x14ac:dyDescent="0.15">
      <c r="A117" s="8"/>
      <c r="B117" s="8"/>
      <c r="C117" s="8"/>
      <c r="D117" s="8"/>
      <c r="E117" s="9"/>
      <c r="F117" s="8"/>
      <c r="G117" s="143"/>
      <c r="H117" s="11"/>
      <c r="I117" s="143"/>
      <c r="J117" s="9"/>
      <c r="K117" s="143"/>
      <c r="L117" s="9"/>
      <c r="M117" s="8"/>
      <c r="N117" s="2"/>
      <c r="O117" s="2"/>
    </row>
    <row r="118" spans="1:15" outlineLevel="1" x14ac:dyDescent="0.15">
      <c r="A118" s="8"/>
      <c r="B118" s="8"/>
      <c r="C118" s="8"/>
      <c r="D118" s="8"/>
      <c r="E118" s="9"/>
      <c r="F118" s="8"/>
      <c r="G118" s="143"/>
      <c r="H118" s="11"/>
      <c r="I118" s="143"/>
      <c r="J118" s="9"/>
      <c r="K118" s="143"/>
      <c r="L118" s="9"/>
      <c r="M118" s="8"/>
      <c r="N118" s="2"/>
      <c r="O118" s="2"/>
    </row>
    <row r="119" spans="1:15" outlineLevel="1" x14ac:dyDescent="0.15">
      <c r="A119" s="8"/>
      <c r="B119" s="8"/>
      <c r="C119" s="8"/>
      <c r="D119" s="8"/>
      <c r="E119" s="9"/>
      <c r="F119" s="8"/>
      <c r="G119" s="143"/>
      <c r="H119" s="11"/>
      <c r="I119" s="143"/>
      <c r="J119" s="9"/>
      <c r="K119" s="143"/>
      <c r="L119" s="9"/>
      <c r="M119" s="8"/>
      <c r="N119" s="2"/>
      <c r="O119" s="2"/>
    </row>
    <row r="120" spans="1:15" outlineLevel="1" x14ac:dyDescent="0.15">
      <c r="A120" s="8"/>
      <c r="B120" s="8"/>
      <c r="C120" s="8"/>
      <c r="D120" s="8"/>
      <c r="E120" s="9"/>
      <c r="F120" s="8"/>
      <c r="G120" s="143"/>
      <c r="H120" s="11"/>
      <c r="I120" s="143"/>
      <c r="J120" s="9"/>
      <c r="K120" s="143"/>
      <c r="L120" s="9"/>
      <c r="M120" s="8"/>
      <c r="N120" s="2"/>
      <c r="O120" s="2"/>
    </row>
    <row r="121" spans="1:15" outlineLevel="1" x14ac:dyDescent="0.15">
      <c r="A121" s="8"/>
      <c r="B121" s="8"/>
      <c r="C121" s="8"/>
      <c r="D121" s="8"/>
      <c r="E121" s="9"/>
      <c r="F121" s="8"/>
      <c r="G121" s="143"/>
      <c r="H121" s="11"/>
      <c r="I121" s="143"/>
      <c r="J121" s="9"/>
      <c r="K121" s="143"/>
      <c r="L121" s="9"/>
      <c r="M121" s="8"/>
      <c r="N121" s="2"/>
      <c r="O121" s="2"/>
    </row>
    <row r="122" spans="1:15" outlineLevel="1" x14ac:dyDescent="0.15">
      <c r="A122" s="8"/>
      <c r="B122" s="8"/>
      <c r="C122" s="8"/>
      <c r="D122" s="8"/>
      <c r="E122" s="9"/>
      <c r="F122" s="8"/>
      <c r="G122" s="143"/>
      <c r="H122" s="11"/>
      <c r="I122" s="143"/>
      <c r="J122" s="9"/>
      <c r="K122" s="143"/>
      <c r="L122" s="9"/>
      <c r="M122" s="8"/>
      <c r="N122" s="2"/>
      <c r="O122" s="2"/>
    </row>
    <row r="123" spans="1:15" outlineLevel="1" x14ac:dyDescent="0.15">
      <c r="A123" s="8"/>
      <c r="B123" s="8"/>
      <c r="C123" s="8"/>
      <c r="D123" s="8"/>
      <c r="E123" s="9"/>
      <c r="F123" s="8"/>
      <c r="G123" s="143"/>
      <c r="H123" s="11"/>
      <c r="I123" s="143"/>
      <c r="J123" s="9"/>
      <c r="K123" s="143"/>
      <c r="L123" s="9"/>
      <c r="M123" s="8"/>
      <c r="N123" s="2"/>
      <c r="O123" s="2"/>
    </row>
    <row r="124" spans="1:15" outlineLevel="1" x14ac:dyDescent="0.15">
      <c r="A124" s="8"/>
      <c r="B124" s="8"/>
      <c r="C124" s="8"/>
      <c r="D124" s="8"/>
      <c r="E124" s="9"/>
      <c r="F124" s="8"/>
      <c r="G124" s="143"/>
      <c r="H124" s="11"/>
      <c r="I124" s="143"/>
      <c r="J124" s="9"/>
      <c r="K124" s="143"/>
      <c r="L124" s="9"/>
      <c r="M124" s="8"/>
      <c r="N124" s="2"/>
      <c r="O124" s="2"/>
    </row>
    <row r="125" spans="1:15" outlineLevel="1" x14ac:dyDescent="0.15">
      <c r="A125" s="8"/>
      <c r="B125" s="8"/>
      <c r="C125" s="8"/>
      <c r="D125" s="8"/>
      <c r="E125" s="9"/>
      <c r="F125" s="8"/>
      <c r="G125" s="143"/>
      <c r="H125" s="11"/>
      <c r="I125" s="143"/>
      <c r="J125" s="9"/>
      <c r="K125" s="143"/>
      <c r="L125" s="9"/>
      <c r="M125" s="8"/>
      <c r="N125" s="2"/>
      <c r="O125" s="2"/>
    </row>
    <row r="126" spans="1:15" outlineLevel="1" x14ac:dyDescent="0.15">
      <c r="A126" s="8"/>
      <c r="B126" s="8"/>
      <c r="C126" s="8"/>
      <c r="D126" s="8"/>
      <c r="E126" s="9"/>
      <c r="F126" s="8"/>
      <c r="G126" s="143"/>
      <c r="H126" s="11"/>
      <c r="I126" s="143"/>
      <c r="J126" s="9"/>
      <c r="K126" s="143"/>
      <c r="L126" s="9"/>
      <c r="M126" s="8"/>
      <c r="N126" s="2"/>
      <c r="O126" s="2"/>
    </row>
    <row r="127" spans="1:15" outlineLevel="1" x14ac:dyDescent="0.15">
      <c r="A127" s="8"/>
      <c r="B127" s="8"/>
      <c r="C127" s="8"/>
      <c r="D127" s="8"/>
      <c r="E127" s="9"/>
      <c r="F127" s="8"/>
      <c r="G127" s="143"/>
      <c r="H127" s="11"/>
      <c r="I127" s="143"/>
      <c r="J127" s="9"/>
      <c r="K127" s="143"/>
      <c r="L127" s="9"/>
      <c r="M127" s="8"/>
      <c r="N127" s="2"/>
      <c r="O127" s="2"/>
    </row>
    <row r="128" spans="1:15" outlineLevel="1" x14ac:dyDescent="0.15">
      <c r="A128" s="8"/>
      <c r="B128" s="8"/>
      <c r="C128" s="8"/>
      <c r="D128" s="8"/>
      <c r="E128" s="9"/>
      <c r="F128" s="8"/>
      <c r="G128" s="143"/>
      <c r="H128" s="11"/>
      <c r="I128" s="143"/>
      <c r="J128" s="9"/>
      <c r="K128" s="143"/>
      <c r="L128" s="9"/>
      <c r="M128" s="8"/>
      <c r="N128" s="2"/>
      <c r="O128" s="2"/>
    </row>
    <row r="129" spans="1:15" outlineLevel="1" x14ac:dyDescent="0.15">
      <c r="A129" s="8"/>
      <c r="B129" s="8"/>
      <c r="C129" s="8"/>
      <c r="D129" s="8"/>
      <c r="E129" s="9"/>
      <c r="F129" s="8"/>
      <c r="G129" s="143"/>
      <c r="H129" s="11"/>
      <c r="I129" s="143"/>
      <c r="J129" s="9"/>
      <c r="K129" s="143"/>
      <c r="L129" s="9"/>
      <c r="M129" s="8"/>
      <c r="N129" s="2"/>
      <c r="O129" s="2"/>
    </row>
    <row r="130" spans="1:15" outlineLevel="1" x14ac:dyDescent="0.15">
      <c r="A130" s="8"/>
      <c r="B130" s="8"/>
      <c r="C130" s="8"/>
      <c r="D130" s="8"/>
      <c r="E130" s="9"/>
      <c r="F130" s="8"/>
      <c r="G130" s="143"/>
      <c r="H130" s="11"/>
      <c r="I130" s="143"/>
      <c r="J130" s="9"/>
      <c r="K130" s="143"/>
      <c r="L130" s="9"/>
      <c r="M130" s="8"/>
      <c r="N130" s="2"/>
      <c r="O130" s="2"/>
    </row>
    <row r="131" spans="1:15" outlineLevel="1" x14ac:dyDescent="0.15">
      <c r="A131" s="8"/>
      <c r="B131" s="8"/>
      <c r="C131" s="8"/>
      <c r="D131" s="8"/>
      <c r="E131" s="9"/>
      <c r="F131" s="8"/>
      <c r="G131" s="143"/>
      <c r="H131" s="11"/>
      <c r="I131" s="143"/>
      <c r="J131" s="9"/>
      <c r="K131" s="143"/>
      <c r="L131" s="9"/>
      <c r="M131" s="8"/>
      <c r="N131" s="2"/>
      <c r="O131" s="2"/>
    </row>
    <row r="132" spans="1:15" outlineLevel="1" x14ac:dyDescent="0.15">
      <c r="A132" s="8"/>
      <c r="B132" s="8"/>
      <c r="C132" s="8"/>
      <c r="D132" s="8"/>
      <c r="E132" s="9"/>
      <c r="F132" s="8"/>
      <c r="G132" s="143"/>
      <c r="H132" s="11"/>
      <c r="I132" s="143"/>
      <c r="J132" s="9"/>
      <c r="K132" s="143"/>
      <c r="L132" s="9"/>
      <c r="M132" s="8"/>
      <c r="N132" s="2"/>
      <c r="O132" s="2"/>
    </row>
    <row r="133" spans="1:15" outlineLevel="1" x14ac:dyDescent="0.15">
      <c r="A133" s="8"/>
      <c r="B133" s="8"/>
      <c r="C133" s="8"/>
      <c r="D133" s="8"/>
      <c r="E133" s="9"/>
      <c r="F133" s="8"/>
      <c r="G133" s="143"/>
      <c r="H133" s="11"/>
      <c r="I133" s="143"/>
      <c r="J133" s="9"/>
      <c r="K133" s="143"/>
      <c r="L133" s="9"/>
      <c r="M133" s="8"/>
      <c r="N133" s="2"/>
      <c r="O133" s="2"/>
    </row>
    <row r="134" spans="1:15" outlineLevel="1" x14ac:dyDescent="0.15">
      <c r="A134" s="8"/>
      <c r="B134" s="8"/>
      <c r="C134" s="8"/>
      <c r="D134" s="8"/>
      <c r="E134" s="9"/>
      <c r="F134" s="8"/>
      <c r="G134" s="143"/>
      <c r="H134" s="11"/>
      <c r="I134" s="143"/>
      <c r="J134" s="9"/>
      <c r="K134" s="143"/>
      <c r="L134" s="9"/>
      <c r="M134" s="8"/>
      <c r="N134" s="2"/>
      <c r="O134" s="2"/>
    </row>
    <row r="135" spans="1:15" outlineLevel="1" x14ac:dyDescent="0.15">
      <c r="A135" s="8"/>
      <c r="B135" s="8"/>
      <c r="C135" s="8"/>
      <c r="D135" s="8"/>
      <c r="E135" s="9"/>
      <c r="F135" s="8"/>
      <c r="G135" s="143"/>
      <c r="H135" s="11"/>
      <c r="I135" s="143"/>
      <c r="J135" s="9"/>
      <c r="K135" s="143"/>
      <c r="L135" s="9"/>
      <c r="M135" s="8"/>
      <c r="N135" s="2"/>
      <c r="O135" s="2"/>
    </row>
    <row r="136" spans="1:15" outlineLevel="1" x14ac:dyDescent="0.15">
      <c r="A136" s="8"/>
      <c r="B136" s="8"/>
      <c r="C136" s="8"/>
      <c r="D136" s="8"/>
      <c r="E136" s="9"/>
      <c r="F136" s="8"/>
      <c r="G136" s="143"/>
      <c r="H136" s="11"/>
      <c r="I136" s="143"/>
      <c r="J136" s="9"/>
      <c r="K136" s="143"/>
      <c r="L136" s="9"/>
      <c r="M136" s="8"/>
      <c r="N136" s="2"/>
      <c r="O136" s="2"/>
    </row>
    <row r="137" spans="1:15" outlineLevel="1" x14ac:dyDescent="0.15">
      <c r="A137" s="8"/>
      <c r="B137" s="8"/>
      <c r="C137" s="8"/>
      <c r="D137" s="8"/>
      <c r="E137" s="9"/>
      <c r="F137" s="8"/>
      <c r="G137" s="143"/>
      <c r="H137" s="11"/>
      <c r="I137" s="143"/>
      <c r="J137" s="9"/>
      <c r="K137" s="143"/>
      <c r="L137" s="9"/>
      <c r="M137" s="8"/>
      <c r="N137" s="2"/>
      <c r="O137" s="2"/>
    </row>
    <row r="138" spans="1:15" outlineLevel="1" x14ac:dyDescent="0.15">
      <c r="A138" s="8"/>
      <c r="B138" s="8"/>
      <c r="C138" s="8"/>
      <c r="D138" s="8"/>
      <c r="E138" s="9"/>
      <c r="F138" s="8"/>
      <c r="G138" s="143"/>
      <c r="H138" s="11"/>
      <c r="I138" s="143"/>
      <c r="J138" s="9"/>
      <c r="K138" s="143"/>
      <c r="L138" s="9"/>
      <c r="M138" s="8"/>
      <c r="N138" s="2"/>
      <c r="O138" s="2"/>
    </row>
    <row r="139" spans="1:15" outlineLevel="1" x14ac:dyDescent="0.15">
      <c r="A139" s="8"/>
      <c r="B139" s="8"/>
      <c r="C139" s="8"/>
      <c r="D139" s="8"/>
      <c r="E139" s="9"/>
      <c r="F139" s="8"/>
      <c r="G139" s="143"/>
      <c r="H139" s="11"/>
      <c r="I139" s="143"/>
      <c r="J139" s="9"/>
      <c r="K139" s="143"/>
      <c r="L139" s="9"/>
      <c r="M139" s="8"/>
      <c r="N139" s="2"/>
      <c r="O139" s="2"/>
    </row>
    <row r="140" spans="1:15" outlineLevel="1" x14ac:dyDescent="0.15">
      <c r="A140" s="8"/>
      <c r="B140" s="8"/>
      <c r="C140" s="8"/>
      <c r="D140" s="8"/>
      <c r="E140" s="9"/>
      <c r="F140" s="8"/>
      <c r="G140" s="143"/>
      <c r="H140" s="11"/>
      <c r="I140" s="143"/>
      <c r="J140" s="9"/>
      <c r="K140" s="143"/>
      <c r="L140" s="9"/>
      <c r="M140" s="8"/>
      <c r="N140" s="2"/>
      <c r="O140" s="2"/>
    </row>
    <row r="141" spans="1:15" outlineLevel="1" x14ac:dyDescent="0.15">
      <c r="A141" s="8"/>
      <c r="B141" s="8"/>
      <c r="C141" s="8"/>
      <c r="D141" s="8"/>
      <c r="E141" s="9"/>
      <c r="F141" s="8"/>
      <c r="G141" s="143"/>
      <c r="H141" s="11"/>
      <c r="I141" s="143"/>
      <c r="J141" s="9"/>
      <c r="K141" s="143"/>
      <c r="L141" s="9"/>
      <c r="M141" s="8"/>
      <c r="N141" s="2"/>
      <c r="O141" s="2"/>
    </row>
    <row r="142" spans="1:15" outlineLevel="1" x14ac:dyDescent="0.15">
      <c r="A142" s="8"/>
      <c r="B142" s="8"/>
      <c r="C142" s="8"/>
      <c r="D142" s="8"/>
      <c r="E142" s="9"/>
      <c r="F142" s="8"/>
      <c r="G142" s="143"/>
      <c r="H142" s="11"/>
      <c r="I142" s="143"/>
      <c r="J142" s="9"/>
      <c r="K142" s="143"/>
      <c r="L142" s="9"/>
      <c r="M142" s="8"/>
      <c r="N142" s="2"/>
      <c r="O142" s="2"/>
    </row>
    <row r="143" spans="1:15" outlineLevel="1" x14ac:dyDescent="0.15">
      <c r="A143" s="8"/>
      <c r="B143" s="8"/>
      <c r="C143" s="8"/>
      <c r="D143" s="8"/>
      <c r="E143" s="9"/>
      <c r="F143" s="8"/>
      <c r="G143" s="143"/>
      <c r="H143" s="11"/>
      <c r="I143" s="143"/>
      <c r="J143" s="9"/>
      <c r="K143" s="143"/>
      <c r="L143" s="9"/>
      <c r="M143" s="8"/>
      <c r="N143" s="2"/>
      <c r="O143" s="2"/>
    </row>
    <row r="144" spans="1:15" outlineLevel="1" x14ac:dyDescent="0.15">
      <c r="A144" s="8"/>
      <c r="B144" s="8"/>
      <c r="C144" s="8"/>
      <c r="D144" s="8"/>
      <c r="E144" s="9"/>
      <c r="F144" s="8"/>
      <c r="G144" s="143"/>
      <c r="H144" s="11"/>
      <c r="I144" s="143"/>
      <c r="J144" s="9"/>
      <c r="K144" s="143"/>
      <c r="L144" s="9"/>
      <c r="M144" s="8"/>
      <c r="N144" s="2"/>
      <c r="O144" s="2"/>
    </row>
    <row r="145" spans="1:15" outlineLevel="1" x14ac:dyDescent="0.15">
      <c r="A145" s="8"/>
      <c r="B145" s="8"/>
      <c r="C145" s="8"/>
      <c r="D145" s="8"/>
      <c r="E145" s="9"/>
      <c r="F145" s="8"/>
      <c r="G145" s="143"/>
      <c r="H145" s="11"/>
      <c r="I145" s="143"/>
      <c r="J145" s="9"/>
      <c r="K145" s="143"/>
      <c r="L145" s="9"/>
      <c r="M145" s="8"/>
      <c r="N145" s="2"/>
      <c r="O145" s="2"/>
    </row>
    <row r="146" spans="1:15" outlineLevel="1" x14ac:dyDescent="0.15">
      <c r="A146" s="8"/>
      <c r="B146" s="8"/>
      <c r="C146" s="8"/>
      <c r="D146" s="8"/>
      <c r="E146" s="9"/>
      <c r="F146" s="8"/>
      <c r="G146" s="143"/>
      <c r="H146" s="11"/>
      <c r="I146" s="143"/>
      <c r="J146" s="9"/>
      <c r="K146" s="143"/>
      <c r="L146" s="9"/>
      <c r="M146" s="8"/>
      <c r="N146" s="2"/>
      <c r="O146" s="2"/>
    </row>
    <row r="147" spans="1:15" outlineLevel="1" x14ac:dyDescent="0.15">
      <c r="A147" s="8"/>
      <c r="B147" s="8"/>
      <c r="C147" s="8"/>
      <c r="D147" s="8"/>
      <c r="E147" s="9"/>
      <c r="F147" s="8"/>
      <c r="G147" s="143"/>
      <c r="H147" s="11"/>
      <c r="I147" s="143"/>
      <c r="J147" s="9"/>
      <c r="K147" s="143"/>
      <c r="L147" s="9"/>
      <c r="M147" s="8"/>
      <c r="N147" s="2"/>
      <c r="O147" s="2"/>
    </row>
    <row r="148" spans="1:15" outlineLevel="1" x14ac:dyDescent="0.15">
      <c r="A148" s="8"/>
      <c r="B148" s="8"/>
      <c r="C148" s="8"/>
      <c r="D148" s="8"/>
      <c r="E148" s="9"/>
      <c r="F148" s="8"/>
      <c r="G148" s="143"/>
      <c r="H148" s="11"/>
      <c r="I148" s="143"/>
      <c r="J148" s="9"/>
      <c r="K148" s="143"/>
      <c r="L148" s="9"/>
      <c r="M148" s="8"/>
      <c r="N148" s="2"/>
      <c r="O148" s="2"/>
    </row>
    <row r="149" spans="1:15" outlineLevel="1" x14ac:dyDescent="0.15">
      <c r="A149" s="8"/>
      <c r="B149" s="8"/>
      <c r="C149" s="8"/>
      <c r="D149" s="8"/>
      <c r="E149" s="9"/>
      <c r="F149" s="8"/>
      <c r="G149" s="143"/>
      <c r="H149" s="11"/>
      <c r="I149" s="143"/>
      <c r="J149" s="9"/>
      <c r="K149" s="143"/>
      <c r="L149" s="9"/>
      <c r="M149" s="8"/>
      <c r="N149" s="2"/>
      <c r="O149" s="2"/>
    </row>
    <row r="150" spans="1:15" outlineLevel="1" x14ac:dyDescent="0.15">
      <c r="A150" s="8"/>
      <c r="B150" s="8"/>
      <c r="C150" s="8"/>
      <c r="D150" s="8"/>
      <c r="E150" s="9"/>
      <c r="F150" s="8"/>
      <c r="G150" s="143"/>
      <c r="H150" s="11"/>
      <c r="I150" s="143"/>
      <c r="J150" s="9"/>
      <c r="K150" s="143"/>
      <c r="L150" s="9"/>
      <c r="M150" s="8"/>
      <c r="N150" s="2"/>
      <c r="O150" s="2"/>
    </row>
    <row r="151" spans="1:15" outlineLevel="1" x14ac:dyDescent="0.15">
      <c r="A151" s="8"/>
      <c r="B151" s="8"/>
      <c r="C151" s="8"/>
      <c r="D151" s="8"/>
      <c r="E151" s="9"/>
      <c r="F151" s="8"/>
      <c r="G151" s="143"/>
      <c r="H151" s="11"/>
      <c r="I151" s="143"/>
      <c r="J151" s="9"/>
      <c r="K151" s="143"/>
      <c r="L151" s="9"/>
      <c r="M151" s="8"/>
      <c r="N151" s="2"/>
      <c r="O151" s="2"/>
    </row>
    <row r="152" spans="1:15" outlineLevel="1" x14ac:dyDescent="0.15">
      <c r="A152" s="8"/>
      <c r="B152" s="8"/>
      <c r="C152" s="8"/>
      <c r="D152" s="8"/>
      <c r="E152" s="9"/>
      <c r="F152" s="8"/>
      <c r="G152" s="143"/>
      <c r="H152" s="11"/>
      <c r="I152" s="143"/>
      <c r="J152" s="9"/>
      <c r="K152" s="143"/>
      <c r="L152" s="9"/>
      <c r="M152" s="8"/>
      <c r="N152" s="2"/>
      <c r="O152" s="2"/>
    </row>
    <row r="153" spans="1:15" outlineLevel="1" x14ac:dyDescent="0.15">
      <c r="A153" s="8"/>
      <c r="B153" s="8"/>
      <c r="C153" s="8"/>
      <c r="D153" s="8"/>
      <c r="E153" s="9"/>
      <c r="F153" s="8"/>
      <c r="G153" s="143"/>
      <c r="H153" s="11"/>
      <c r="I153" s="143"/>
      <c r="J153" s="9"/>
      <c r="K153" s="143"/>
      <c r="L153" s="9"/>
      <c r="M153" s="8"/>
      <c r="N153" s="2"/>
      <c r="O153" s="2"/>
    </row>
    <row r="154" spans="1:15" outlineLevel="1" x14ac:dyDescent="0.15">
      <c r="A154" s="8"/>
      <c r="B154" s="8"/>
      <c r="C154" s="8"/>
      <c r="D154" s="8"/>
      <c r="E154" s="9"/>
      <c r="F154" s="8"/>
      <c r="G154" s="143"/>
      <c r="H154" s="11"/>
      <c r="I154" s="143"/>
      <c r="J154" s="9"/>
      <c r="K154" s="143"/>
      <c r="L154" s="9"/>
      <c r="M154" s="8"/>
      <c r="N154" s="2"/>
      <c r="O154" s="2"/>
    </row>
    <row r="155" spans="1:15" outlineLevel="1" x14ac:dyDescent="0.15">
      <c r="A155" s="8"/>
      <c r="B155" s="8"/>
      <c r="C155" s="8"/>
      <c r="D155" s="8"/>
      <c r="E155" s="9"/>
      <c r="F155" s="8"/>
      <c r="G155" s="143"/>
      <c r="H155" s="11"/>
      <c r="I155" s="143"/>
      <c r="J155" s="9"/>
      <c r="K155" s="143"/>
      <c r="L155" s="9"/>
      <c r="M155" s="8"/>
      <c r="N155" s="2"/>
      <c r="O155" s="2"/>
    </row>
    <row r="156" spans="1:15" outlineLevel="1" x14ac:dyDescent="0.15">
      <c r="A156" s="8"/>
      <c r="B156" s="8"/>
      <c r="C156" s="8"/>
      <c r="D156" s="8"/>
      <c r="E156" s="9"/>
      <c r="F156" s="8"/>
      <c r="G156" s="143"/>
      <c r="H156" s="11"/>
      <c r="I156" s="143"/>
      <c r="J156" s="9"/>
      <c r="K156" s="143"/>
      <c r="L156" s="9"/>
      <c r="M156" s="8"/>
      <c r="N156" s="2"/>
      <c r="O156" s="2"/>
    </row>
    <row r="157" spans="1:15" outlineLevel="1" x14ac:dyDescent="0.15">
      <c r="A157" s="8"/>
      <c r="B157" s="8"/>
      <c r="C157" s="8"/>
      <c r="D157" s="8"/>
      <c r="E157" s="9"/>
      <c r="F157" s="8"/>
      <c r="G157" s="143"/>
      <c r="H157" s="11"/>
      <c r="I157" s="143"/>
      <c r="J157" s="9"/>
      <c r="K157" s="143"/>
      <c r="L157" s="9"/>
      <c r="M157" s="8"/>
      <c r="N157" s="2"/>
      <c r="O157" s="2"/>
    </row>
    <row r="158" spans="1:15" outlineLevel="1" x14ac:dyDescent="0.15">
      <c r="A158" s="8"/>
      <c r="B158" s="8"/>
      <c r="C158" s="8"/>
      <c r="D158" s="8"/>
      <c r="E158" s="9"/>
      <c r="F158" s="8"/>
      <c r="G158" s="143"/>
      <c r="H158" s="11"/>
      <c r="I158" s="143"/>
      <c r="J158" s="9"/>
      <c r="K158" s="143"/>
      <c r="L158" s="9"/>
      <c r="M158" s="8"/>
      <c r="N158" s="2"/>
      <c r="O158" s="2"/>
    </row>
    <row r="159" spans="1:15" outlineLevel="1" x14ac:dyDescent="0.15">
      <c r="A159" s="8"/>
      <c r="B159" s="8"/>
      <c r="C159" s="8"/>
      <c r="D159" s="8"/>
      <c r="E159" s="9"/>
      <c r="F159" s="8"/>
      <c r="G159" s="143"/>
      <c r="H159" s="11"/>
      <c r="I159" s="143"/>
      <c r="J159" s="9"/>
      <c r="K159" s="143"/>
      <c r="L159" s="9"/>
      <c r="M159" s="8"/>
      <c r="N159" s="2"/>
      <c r="O159" s="2"/>
    </row>
    <row r="160" spans="1:15" outlineLevel="1" x14ac:dyDescent="0.15">
      <c r="A160" s="8"/>
      <c r="B160" s="8"/>
      <c r="C160" s="8"/>
      <c r="D160" s="8"/>
      <c r="E160" s="9"/>
      <c r="F160" s="8"/>
      <c r="G160" s="143"/>
      <c r="H160" s="11"/>
      <c r="I160" s="143"/>
      <c r="J160" s="9"/>
      <c r="K160" s="143"/>
      <c r="L160" s="9"/>
      <c r="M160" s="8"/>
      <c r="N160" s="2"/>
      <c r="O160" s="2"/>
    </row>
    <row r="161" spans="1:15" outlineLevel="1" x14ac:dyDescent="0.15">
      <c r="A161" s="8"/>
      <c r="B161" s="8"/>
      <c r="C161" s="8"/>
      <c r="D161" s="8"/>
      <c r="E161" s="9"/>
      <c r="F161" s="8"/>
      <c r="G161" s="143"/>
      <c r="H161" s="11"/>
      <c r="I161" s="143"/>
      <c r="J161" s="9"/>
      <c r="K161" s="143"/>
      <c r="L161" s="9"/>
      <c r="M161" s="8"/>
      <c r="N161" s="2"/>
      <c r="O161" s="2"/>
    </row>
    <row r="162" spans="1:15" outlineLevel="1" x14ac:dyDescent="0.15">
      <c r="A162" s="8"/>
      <c r="B162" s="8"/>
      <c r="C162" s="8"/>
      <c r="D162" s="8"/>
      <c r="E162" s="9"/>
      <c r="F162" s="8"/>
      <c r="G162" s="143"/>
      <c r="H162" s="11"/>
      <c r="I162" s="143"/>
      <c r="J162" s="9"/>
      <c r="K162" s="143"/>
      <c r="L162" s="9"/>
      <c r="M162" s="8"/>
      <c r="N162" s="2"/>
      <c r="O162" s="2"/>
    </row>
    <row r="163" spans="1:15" outlineLevel="1" x14ac:dyDescent="0.15">
      <c r="A163" s="8"/>
      <c r="B163" s="8"/>
      <c r="C163" s="8"/>
      <c r="D163" s="8"/>
      <c r="E163" s="9"/>
      <c r="F163" s="8"/>
      <c r="G163" s="143"/>
      <c r="H163" s="11"/>
      <c r="I163" s="143"/>
      <c r="J163" s="9"/>
      <c r="K163" s="143"/>
      <c r="L163" s="9"/>
      <c r="M163" s="8"/>
      <c r="N163" s="2"/>
      <c r="O163" s="2"/>
    </row>
    <row r="164" spans="1:15" outlineLevel="1" x14ac:dyDescent="0.15">
      <c r="A164" s="8"/>
      <c r="B164" s="8"/>
      <c r="C164" s="8"/>
      <c r="D164" s="8"/>
      <c r="E164" s="9"/>
      <c r="F164" s="8"/>
      <c r="G164" s="143"/>
      <c r="H164" s="11"/>
      <c r="I164" s="143"/>
      <c r="J164" s="9"/>
      <c r="K164" s="143"/>
      <c r="L164" s="9"/>
      <c r="M164" s="8"/>
      <c r="N164" s="2"/>
      <c r="O164" s="2"/>
    </row>
    <row r="165" spans="1:15" outlineLevel="1" x14ac:dyDescent="0.15">
      <c r="A165" s="8"/>
      <c r="B165" s="8"/>
      <c r="C165" s="8"/>
      <c r="D165" s="8"/>
      <c r="E165" s="9"/>
      <c r="F165" s="8"/>
      <c r="G165" s="143"/>
      <c r="H165" s="11"/>
      <c r="I165" s="143"/>
      <c r="J165" s="9"/>
      <c r="K165" s="143"/>
      <c r="L165" s="9"/>
      <c r="M165" s="8"/>
      <c r="N165" s="2"/>
      <c r="O165" s="2"/>
    </row>
    <row r="166" spans="1:15" outlineLevel="1" x14ac:dyDescent="0.15">
      <c r="A166" s="8"/>
      <c r="B166" s="8"/>
      <c r="C166" s="8"/>
      <c r="D166" s="8"/>
      <c r="E166" s="9"/>
      <c r="F166" s="8"/>
      <c r="G166" s="143"/>
      <c r="H166" s="11"/>
      <c r="I166" s="143"/>
      <c r="J166" s="9"/>
      <c r="K166" s="143"/>
      <c r="L166" s="9"/>
      <c r="M166" s="8"/>
      <c r="N166" s="2"/>
      <c r="O166" s="2"/>
    </row>
    <row r="167" spans="1:15" outlineLevel="1" x14ac:dyDescent="0.15">
      <c r="A167" s="8"/>
      <c r="B167" s="8"/>
      <c r="C167" s="8"/>
      <c r="D167" s="8"/>
      <c r="E167" s="9"/>
      <c r="F167" s="8"/>
      <c r="G167" s="143"/>
      <c r="H167" s="11"/>
      <c r="I167" s="143"/>
      <c r="J167" s="9"/>
      <c r="K167" s="143"/>
      <c r="L167" s="9"/>
      <c r="M167" s="8"/>
      <c r="N167" s="2"/>
      <c r="O167" s="2"/>
    </row>
    <row r="168" spans="1:15" outlineLevel="1" x14ac:dyDescent="0.15">
      <c r="A168" s="8"/>
      <c r="B168" s="8"/>
      <c r="C168" s="8"/>
      <c r="D168" s="8"/>
      <c r="E168" s="9"/>
      <c r="F168" s="8"/>
      <c r="G168" s="143"/>
      <c r="H168" s="11"/>
      <c r="I168" s="143"/>
      <c r="J168" s="9"/>
      <c r="K168" s="143"/>
      <c r="L168" s="9"/>
      <c r="M168" s="8"/>
      <c r="N168" s="2"/>
      <c r="O168" s="2"/>
    </row>
    <row r="169" spans="1:15" outlineLevel="1" x14ac:dyDescent="0.15">
      <c r="A169" s="8"/>
      <c r="B169" s="8"/>
      <c r="C169" s="8"/>
      <c r="D169" s="8"/>
      <c r="E169" s="9"/>
      <c r="F169" s="8"/>
      <c r="G169" s="143"/>
      <c r="H169" s="11"/>
      <c r="I169" s="143"/>
      <c r="J169" s="9"/>
      <c r="K169" s="143"/>
      <c r="L169" s="9"/>
      <c r="M169" s="8"/>
      <c r="N169" s="2"/>
      <c r="O169" s="2"/>
    </row>
    <row r="170" spans="1:15" outlineLevel="1" x14ac:dyDescent="0.15">
      <c r="A170" s="8"/>
      <c r="B170" s="8"/>
      <c r="C170" s="8"/>
      <c r="D170" s="8"/>
      <c r="E170" s="9"/>
      <c r="F170" s="8"/>
      <c r="G170" s="143"/>
      <c r="H170" s="11"/>
      <c r="I170" s="143"/>
      <c r="J170" s="9"/>
      <c r="K170" s="143"/>
      <c r="L170" s="9"/>
      <c r="M170" s="8"/>
      <c r="N170" s="2"/>
      <c r="O170" s="2"/>
    </row>
    <row r="171" spans="1:15" outlineLevel="1" x14ac:dyDescent="0.15">
      <c r="A171" s="8"/>
      <c r="B171" s="8"/>
      <c r="C171" s="8"/>
      <c r="D171" s="8"/>
      <c r="E171" s="9"/>
      <c r="F171" s="8"/>
      <c r="G171" s="143"/>
      <c r="H171" s="11"/>
      <c r="I171" s="143"/>
      <c r="J171" s="9"/>
      <c r="K171" s="143"/>
      <c r="L171" s="9"/>
      <c r="M171" s="8"/>
      <c r="N171" s="2"/>
      <c r="O171" s="2"/>
    </row>
    <row r="172" spans="1:15" outlineLevel="1" x14ac:dyDescent="0.15">
      <c r="A172" s="8"/>
      <c r="B172" s="8"/>
      <c r="C172" s="8"/>
      <c r="D172" s="8"/>
      <c r="E172" s="9"/>
      <c r="F172" s="8"/>
      <c r="G172" s="143"/>
      <c r="H172" s="11"/>
      <c r="I172" s="143"/>
      <c r="J172" s="9"/>
      <c r="K172" s="143"/>
      <c r="L172" s="9"/>
      <c r="M172" s="8"/>
      <c r="N172" s="2"/>
      <c r="O172" s="2"/>
    </row>
    <row r="173" spans="1:15" outlineLevel="1" x14ac:dyDescent="0.15">
      <c r="A173" s="8"/>
      <c r="B173" s="8"/>
      <c r="C173" s="8"/>
      <c r="D173" s="8"/>
      <c r="E173" s="9"/>
      <c r="F173" s="8"/>
      <c r="G173" s="143"/>
      <c r="H173" s="11"/>
      <c r="I173" s="143"/>
      <c r="J173" s="9"/>
      <c r="K173" s="143"/>
      <c r="L173" s="9"/>
      <c r="M173" s="8"/>
      <c r="N173" s="2"/>
      <c r="O173" s="2"/>
    </row>
    <row r="174" spans="1:15" outlineLevel="1" x14ac:dyDescent="0.15">
      <c r="A174" s="8"/>
      <c r="B174" s="8"/>
      <c r="C174" s="8"/>
      <c r="D174" s="8"/>
      <c r="E174" s="9"/>
      <c r="F174" s="8"/>
      <c r="G174" s="143"/>
      <c r="H174" s="11"/>
      <c r="I174" s="143"/>
      <c r="J174" s="9"/>
      <c r="K174" s="143"/>
      <c r="L174" s="9"/>
      <c r="M174" s="8"/>
      <c r="N174" s="2"/>
      <c r="O174" s="2"/>
    </row>
    <row r="175" spans="1:15" outlineLevel="1" x14ac:dyDescent="0.15">
      <c r="A175" s="8"/>
      <c r="B175" s="8"/>
      <c r="C175" s="8"/>
      <c r="D175" s="8"/>
      <c r="E175" s="9"/>
      <c r="F175" s="8"/>
      <c r="G175" s="143"/>
      <c r="H175" s="11"/>
      <c r="I175" s="143"/>
      <c r="J175" s="9"/>
      <c r="K175" s="143"/>
      <c r="L175" s="9"/>
      <c r="M175" s="8"/>
      <c r="N175" s="2"/>
      <c r="O175" s="2"/>
    </row>
    <row r="176" spans="1:15" outlineLevel="1" x14ac:dyDescent="0.15">
      <c r="A176" s="8"/>
      <c r="B176" s="8"/>
      <c r="C176" s="8"/>
      <c r="D176" s="8"/>
      <c r="E176" s="9"/>
      <c r="F176" s="8"/>
      <c r="G176" s="143"/>
      <c r="H176" s="11"/>
      <c r="I176" s="143"/>
      <c r="J176" s="9"/>
      <c r="K176" s="143"/>
      <c r="L176" s="9"/>
      <c r="M176" s="8"/>
      <c r="N176" s="2"/>
      <c r="O176" s="2"/>
    </row>
    <row r="177" spans="1:15" outlineLevel="1" x14ac:dyDescent="0.15">
      <c r="A177" s="8"/>
      <c r="B177" s="8"/>
      <c r="C177" s="8"/>
      <c r="D177" s="8"/>
      <c r="E177" s="9"/>
      <c r="F177" s="8"/>
      <c r="G177" s="143"/>
      <c r="H177" s="11"/>
      <c r="I177" s="143"/>
      <c r="J177" s="9"/>
      <c r="K177" s="143"/>
      <c r="L177" s="9"/>
      <c r="M177" s="8"/>
      <c r="N177" s="2"/>
      <c r="O177" s="2"/>
    </row>
    <row r="178" spans="1:15" outlineLevel="1" x14ac:dyDescent="0.15">
      <c r="A178" s="8"/>
      <c r="B178" s="8"/>
      <c r="C178" s="8"/>
      <c r="D178" s="8"/>
      <c r="E178" s="9"/>
      <c r="F178" s="8"/>
      <c r="G178" s="143"/>
      <c r="H178" s="11"/>
      <c r="I178" s="143"/>
      <c r="J178" s="9"/>
      <c r="K178" s="143"/>
      <c r="L178" s="9"/>
      <c r="M178" s="8"/>
      <c r="N178" s="2"/>
      <c r="O178" s="2"/>
    </row>
    <row r="179" spans="1:15" outlineLevel="1" x14ac:dyDescent="0.15">
      <c r="A179" s="8"/>
      <c r="B179" s="8"/>
      <c r="C179" s="8"/>
      <c r="D179" s="8"/>
      <c r="E179" s="9"/>
      <c r="F179" s="8"/>
      <c r="G179" s="143"/>
      <c r="H179" s="11"/>
      <c r="I179" s="143"/>
      <c r="J179" s="9"/>
      <c r="K179" s="143"/>
      <c r="L179" s="9"/>
      <c r="M179" s="8"/>
      <c r="N179" s="2"/>
      <c r="O179" s="2"/>
    </row>
    <row r="180" spans="1:15" outlineLevel="1" x14ac:dyDescent="0.15">
      <c r="A180" s="8"/>
      <c r="B180" s="8"/>
      <c r="C180" s="8"/>
      <c r="D180" s="8"/>
      <c r="E180" s="9"/>
      <c r="F180" s="8"/>
      <c r="G180" s="143"/>
      <c r="H180" s="11"/>
      <c r="I180" s="143"/>
      <c r="J180" s="9"/>
      <c r="K180" s="143"/>
      <c r="L180" s="9"/>
      <c r="M180" s="8"/>
      <c r="N180" s="2"/>
      <c r="O180" s="2"/>
    </row>
    <row r="181" spans="1:15" outlineLevel="1" x14ac:dyDescent="0.15">
      <c r="A181" s="8"/>
      <c r="B181" s="8"/>
      <c r="C181" s="8"/>
      <c r="D181" s="8"/>
      <c r="E181" s="9"/>
      <c r="F181" s="8"/>
      <c r="G181" s="143"/>
      <c r="H181" s="11"/>
      <c r="I181" s="143"/>
      <c r="J181" s="9"/>
      <c r="K181" s="143"/>
      <c r="L181" s="9"/>
      <c r="M181" s="8"/>
      <c r="N181" s="2"/>
      <c r="O181" s="2"/>
    </row>
    <row r="182" spans="1:15" outlineLevel="1" x14ac:dyDescent="0.15">
      <c r="A182" s="8"/>
      <c r="B182" s="8"/>
      <c r="C182" s="8"/>
      <c r="D182" s="8"/>
      <c r="E182" s="9"/>
      <c r="F182" s="8"/>
      <c r="G182" s="143"/>
      <c r="H182" s="11"/>
      <c r="I182" s="143"/>
      <c r="J182" s="9"/>
      <c r="K182" s="143"/>
      <c r="L182" s="9"/>
      <c r="M182" s="8"/>
      <c r="N182" s="2"/>
      <c r="O182" s="2"/>
    </row>
    <row r="183" spans="1:15" outlineLevel="1" x14ac:dyDescent="0.15">
      <c r="A183" s="8"/>
      <c r="B183" s="8"/>
      <c r="C183" s="8"/>
      <c r="D183" s="8"/>
      <c r="E183" s="9"/>
      <c r="F183" s="8"/>
      <c r="G183" s="143"/>
      <c r="H183" s="11"/>
      <c r="I183" s="143"/>
      <c r="J183" s="9"/>
      <c r="K183" s="143"/>
      <c r="L183" s="9"/>
      <c r="M183" s="8"/>
      <c r="N183" s="2"/>
      <c r="O183" s="2"/>
    </row>
    <row r="184" spans="1:15" outlineLevel="1" x14ac:dyDescent="0.15">
      <c r="A184" s="8"/>
      <c r="B184" s="8"/>
      <c r="C184" s="8"/>
      <c r="D184" s="8"/>
      <c r="E184" s="9"/>
      <c r="F184" s="8"/>
      <c r="G184" s="143"/>
      <c r="H184" s="11"/>
      <c r="I184" s="143"/>
      <c r="J184" s="9"/>
      <c r="K184" s="143"/>
      <c r="L184" s="9"/>
      <c r="M184" s="8"/>
      <c r="N184" s="2"/>
      <c r="O184" s="2"/>
    </row>
    <row r="185" spans="1:15" outlineLevel="1" x14ac:dyDescent="0.15">
      <c r="A185" s="8"/>
      <c r="B185" s="8"/>
      <c r="C185" s="8"/>
      <c r="D185" s="8"/>
      <c r="E185" s="9"/>
      <c r="F185" s="8"/>
      <c r="G185" s="143"/>
      <c r="H185" s="11"/>
      <c r="I185" s="143"/>
      <c r="J185" s="9"/>
      <c r="K185" s="143"/>
      <c r="L185" s="9"/>
      <c r="M185" s="8"/>
      <c r="N185" s="2"/>
      <c r="O185" s="2"/>
    </row>
    <row r="186" spans="1:15" outlineLevel="1" x14ac:dyDescent="0.15">
      <c r="A186" s="8"/>
      <c r="B186" s="8"/>
      <c r="C186" s="8"/>
      <c r="D186" s="8"/>
      <c r="E186" s="9"/>
      <c r="F186" s="8"/>
      <c r="G186" s="143"/>
      <c r="H186" s="11"/>
      <c r="I186" s="143"/>
      <c r="J186" s="9"/>
      <c r="K186" s="143"/>
      <c r="L186" s="9"/>
      <c r="M186" s="8"/>
      <c r="N186" s="2"/>
      <c r="O186" s="2"/>
    </row>
    <row r="187" spans="1:15" outlineLevel="1" x14ac:dyDescent="0.15">
      <c r="A187" s="8"/>
      <c r="B187" s="8"/>
      <c r="C187" s="8"/>
      <c r="D187" s="8"/>
      <c r="E187" s="9"/>
      <c r="F187" s="8"/>
      <c r="G187" s="143"/>
      <c r="H187" s="11"/>
      <c r="I187" s="143"/>
      <c r="J187" s="9"/>
      <c r="K187" s="143"/>
      <c r="L187" s="9"/>
      <c r="M187" s="8"/>
      <c r="N187" s="2"/>
      <c r="O187" s="2"/>
    </row>
    <row r="188" spans="1:15" outlineLevel="1" x14ac:dyDescent="0.15">
      <c r="A188" s="8"/>
      <c r="B188" s="8"/>
      <c r="C188" s="8"/>
      <c r="D188" s="8"/>
      <c r="E188" s="9"/>
      <c r="F188" s="8"/>
      <c r="G188" s="143"/>
      <c r="H188" s="11"/>
      <c r="I188" s="143"/>
      <c r="J188" s="9"/>
      <c r="K188" s="143"/>
      <c r="L188" s="9"/>
      <c r="M188" s="8"/>
      <c r="N188" s="2"/>
      <c r="O188" s="2"/>
    </row>
    <row r="189" spans="1:15" outlineLevel="1" x14ac:dyDescent="0.15">
      <c r="A189" s="8"/>
      <c r="B189" s="8"/>
      <c r="C189" s="8"/>
      <c r="D189" s="8"/>
      <c r="E189" s="9"/>
      <c r="F189" s="8"/>
      <c r="G189" s="143"/>
      <c r="H189" s="11"/>
      <c r="I189" s="143"/>
      <c r="J189" s="9"/>
      <c r="K189" s="143"/>
      <c r="L189" s="9"/>
      <c r="M189" s="8"/>
      <c r="N189" s="2"/>
      <c r="O189" s="2"/>
    </row>
    <row r="190" spans="1:15" outlineLevel="1" x14ac:dyDescent="0.15">
      <c r="A190" s="8"/>
      <c r="B190" s="8"/>
      <c r="C190" s="8"/>
      <c r="D190" s="8"/>
      <c r="E190" s="9"/>
      <c r="F190" s="8"/>
      <c r="G190" s="143"/>
      <c r="H190" s="11"/>
      <c r="I190" s="143"/>
      <c r="J190" s="9"/>
      <c r="K190" s="143"/>
      <c r="L190" s="9"/>
      <c r="M190" s="8"/>
      <c r="N190" s="2"/>
      <c r="O190" s="2"/>
    </row>
    <row r="191" spans="1:15" outlineLevel="1" x14ac:dyDescent="0.15">
      <c r="A191" s="8"/>
      <c r="B191" s="8"/>
      <c r="C191" s="8"/>
      <c r="D191" s="8"/>
      <c r="E191" s="9"/>
      <c r="F191" s="8"/>
      <c r="G191" s="143"/>
      <c r="H191" s="11"/>
      <c r="I191" s="143"/>
      <c r="J191" s="9"/>
      <c r="K191" s="143"/>
      <c r="L191" s="9"/>
      <c r="M191" s="8"/>
      <c r="N191" s="2"/>
      <c r="O191" s="2"/>
    </row>
    <row r="192" spans="1:15" outlineLevel="1" x14ac:dyDescent="0.15">
      <c r="A192" s="8"/>
      <c r="B192" s="8"/>
      <c r="C192" s="8"/>
      <c r="D192" s="8"/>
      <c r="E192" s="9"/>
      <c r="F192" s="8"/>
      <c r="G192" s="143"/>
      <c r="H192" s="11"/>
      <c r="I192" s="143"/>
      <c r="J192" s="9"/>
      <c r="K192" s="143"/>
      <c r="L192" s="9"/>
      <c r="M192" s="8"/>
      <c r="N192" s="2"/>
      <c r="O192" s="2"/>
    </row>
    <row r="193" spans="1:15" outlineLevel="1" x14ac:dyDescent="0.15">
      <c r="A193" s="8"/>
      <c r="B193" s="8"/>
      <c r="C193" s="8"/>
      <c r="D193" s="8"/>
      <c r="E193" s="9"/>
      <c r="F193" s="8"/>
      <c r="G193" s="143"/>
      <c r="H193" s="11"/>
      <c r="I193" s="143"/>
      <c r="J193" s="9"/>
      <c r="K193" s="143"/>
      <c r="L193" s="9"/>
      <c r="M193" s="8"/>
      <c r="N193" s="2"/>
      <c r="O193" s="2"/>
    </row>
    <row r="194" spans="1:15" outlineLevel="1" x14ac:dyDescent="0.15">
      <c r="A194" s="8"/>
      <c r="B194" s="8"/>
      <c r="C194" s="8"/>
      <c r="D194" s="8"/>
      <c r="E194" s="9"/>
      <c r="F194" s="8"/>
      <c r="G194" s="143"/>
      <c r="H194" s="11"/>
      <c r="I194" s="143"/>
      <c r="J194" s="9"/>
      <c r="K194" s="143"/>
      <c r="L194" s="9"/>
      <c r="M194" s="8"/>
      <c r="N194" s="2"/>
      <c r="O194" s="2"/>
    </row>
    <row r="195" spans="1:15" outlineLevel="1" x14ac:dyDescent="0.15">
      <c r="A195" s="8"/>
      <c r="B195" s="8"/>
      <c r="C195" s="8"/>
      <c r="D195" s="8"/>
      <c r="E195" s="9"/>
      <c r="F195" s="8"/>
      <c r="G195" s="143"/>
      <c r="H195" s="11"/>
      <c r="I195" s="143"/>
      <c r="J195" s="9"/>
      <c r="K195" s="143"/>
      <c r="L195" s="9"/>
      <c r="M195" s="8"/>
      <c r="N195" s="2"/>
      <c r="O195" s="2"/>
    </row>
    <row r="196" spans="1:15" outlineLevel="1" x14ac:dyDescent="0.15">
      <c r="A196" s="8"/>
      <c r="B196" s="8"/>
      <c r="C196" s="8"/>
      <c r="D196" s="8"/>
      <c r="E196" s="9"/>
      <c r="F196" s="8"/>
      <c r="G196" s="143"/>
      <c r="H196" s="11"/>
      <c r="I196" s="143"/>
      <c r="J196" s="9"/>
      <c r="K196" s="143"/>
      <c r="L196" s="9"/>
      <c r="M196" s="8"/>
      <c r="N196" s="2"/>
      <c r="O196" s="2"/>
    </row>
    <row r="197" spans="1:15" outlineLevel="1" x14ac:dyDescent="0.15">
      <c r="A197" s="8"/>
      <c r="B197" s="8"/>
      <c r="C197" s="8"/>
      <c r="D197" s="8"/>
      <c r="E197" s="9"/>
      <c r="F197" s="8"/>
      <c r="G197" s="143"/>
      <c r="H197" s="11"/>
      <c r="I197" s="143"/>
      <c r="J197" s="9"/>
      <c r="K197" s="143"/>
      <c r="L197" s="9"/>
      <c r="M197" s="8"/>
      <c r="N197" s="2"/>
      <c r="O197" s="2"/>
    </row>
    <row r="198" spans="1:15" outlineLevel="1" x14ac:dyDescent="0.15">
      <c r="A198" s="8"/>
      <c r="B198" s="8"/>
      <c r="C198" s="8"/>
      <c r="D198" s="8"/>
      <c r="E198" s="9"/>
      <c r="F198" s="8"/>
      <c r="G198" s="143"/>
      <c r="H198" s="11"/>
      <c r="I198" s="143"/>
      <c r="J198" s="9"/>
      <c r="K198" s="143"/>
      <c r="L198" s="9"/>
      <c r="M198" s="8"/>
      <c r="N198" s="2"/>
      <c r="O198" s="2"/>
    </row>
    <row r="199" spans="1:15" outlineLevel="1" x14ac:dyDescent="0.15">
      <c r="A199" s="8"/>
      <c r="B199" s="8"/>
      <c r="C199" s="8"/>
      <c r="D199" s="8"/>
      <c r="E199" s="9"/>
      <c r="F199" s="8"/>
      <c r="G199" s="143"/>
      <c r="H199" s="11"/>
      <c r="I199" s="143"/>
      <c r="J199" s="9"/>
      <c r="K199" s="143"/>
      <c r="L199" s="9"/>
      <c r="M199" s="8"/>
      <c r="N199" s="2"/>
      <c r="O199" s="2"/>
    </row>
    <row r="200" spans="1:15" outlineLevel="1" x14ac:dyDescent="0.15">
      <c r="A200" s="8"/>
      <c r="B200" s="8"/>
      <c r="C200" s="8"/>
      <c r="D200" s="8"/>
      <c r="E200" s="9"/>
      <c r="F200" s="8"/>
      <c r="G200" s="143"/>
      <c r="H200" s="11"/>
      <c r="I200" s="143"/>
      <c r="J200" s="9"/>
      <c r="K200" s="143"/>
      <c r="L200" s="9"/>
      <c r="M200" s="8"/>
      <c r="N200" s="2"/>
      <c r="O200" s="2"/>
    </row>
    <row r="201" spans="1:15" outlineLevel="1" x14ac:dyDescent="0.15">
      <c r="A201" s="8"/>
      <c r="B201" s="8"/>
      <c r="C201" s="8"/>
      <c r="D201" s="8"/>
      <c r="E201" s="9"/>
      <c r="F201" s="8"/>
      <c r="G201" s="143"/>
      <c r="H201" s="11"/>
      <c r="I201" s="143"/>
      <c r="J201" s="9"/>
      <c r="K201" s="143"/>
      <c r="L201" s="9"/>
      <c r="M201" s="8"/>
      <c r="N201" s="2"/>
      <c r="O201" s="2"/>
    </row>
    <row r="202" spans="1:15" outlineLevel="1" x14ac:dyDescent="0.15">
      <c r="A202" s="8"/>
      <c r="B202" s="8"/>
      <c r="C202" s="8"/>
      <c r="D202" s="8"/>
      <c r="E202" s="9"/>
      <c r="F202" s="8"/>
      <c r="G202" s="143"/>
      <c r="H202" s="11"/>
      <c r="I202" s="143"/>
      <c r="J202" s="9"/>
      <c r="K202" s="143"/>
      <c r="L202" s="9"/>
      <c r="M202" s="8"/>
      <c r="N202" s="2"/>
      <c r="O202" s="2"/>
    </row>
    <row r="203" spans="1:15" outlineLevel="1" x14ac:dyDescent="0.15">
      <c r="A203" s="8"/>
      <c r="B203" s="8"/>
      <c r="C203" s="8"/>
      <c r="D203" s="8"/>
      <c r="E203" s="9"/>
      <c r="F203" s="8"/>
      <c r="G203" s="143"/>
      <c r="H203" s="11"/>
      <c r="I203" s="143"/>
      <c r="J203" s="9"/>
      <c r="K203" s="143"/>
      <c r="L203" s="9"/>
      <c r="M203" s="8"/>
      <c r="N203" s="2"/>
      <c r="O203" s="2"/>
    </row>
    <row r="204" spans="1:15" outlineLevel="1" x14ac:dyDescent="0.15">
      <c r="A204" s="8"/>
      <c r="B204" s="8"/>
      <c r="C204" s="8"/>
      <c r="D204" s="8"/>
      <c r="E204" s="9"/>
      <c r="F204" s="8"/>
      <c r="G204" s="143"/>
      <c r="H204" s="11"/>
      <c r="I204" s="143"/>
      <c r="J204" s="9"/>
      <c r="K204" s="143"/>
      <c r="L204" s="9"/>
      <c r="M204" s="8"/>
      <c r="N204" s="2"/>
      <c r="O204" s="2"/>
    </row>
    <row r="205" spans="1:15" outlineLevel="1" x14ac:dyDescent="0.15">
      <c r="A205" s="8"/>
      <c r="B205" s="8"/>
      <c r="C205" s="8"/>
      <c r="D205" s="8"/>
      <c r="E205" s="9"/>
      <c r="F205" s="8"/>
      <c r="G205" s="143"/>
      <c r="H205" s="11"/>
      <c r="I205" s="143"/>
      <c r="J205" s="9"/>
      <c r="K205" s="143"/>
      <c r="L205" s="9"/>
      <c r="M205" s="8"/>
      <c r="N205" s="2"/>
      <c r="O205" s="2"/>
    </row>
    <row r="206" spans="1:15" outlineLevel="1" x14ac:dyDescent="0.15">
      <c r="A206" s="8"/>
      <c r="B206" s="8"/>
      <c r="C206" s="8"/>
      <c r="D206" s="8"/>
      <c r="E206" s="9"/>
      <c r="F206" s="8"/>
      <c r="G206" s="143"/>
      <c r="H206" s="11"/>
      <c r="I206" s="143"/>
      <c r="J206" s="9"/>
      <c r="K206" s="143"/>
      <c r="L206" s="9"/>
      <c r="M206" s="8"/>
      <c r="N206" s="2"/>
      <c r="O206" s="2"/>
    </row>
    <row r="207" spans="1:15" outlineLevel="1" x14ac:dyDescent="0.15">
      <c r="A207" s="8"/>
      <c r="B207" s="8"/>
      <c r="C207" s="8"/>
      <c r="D207" s="8"/>
      <c r="E207" s="9"/>
      <c r="F207" s="8"/>
      <c r="G207" s="143"/>
      <c r="H207" s="11"/>
      <c r="I207" s="143"/>
      <c r="J207" s="9"/>
      <c r="K207" s="143"/>
      <c r="L207" s="9"/>
      <c r="M207" s="8"/>
      <c r="N207" s="2"/>
      <c r="O207" s="2"/>
    </row>
    <row r="208" spans="1:15" outlineLevel="1" x14ac:dyDescent="0.15">
      <c r="A208" s="8"/>
      <c r="B208" s="8"/>
      <c r="C208" s="8"/>
      <c r="D208" s="8"/>
      <c r="E208" s="9"/>
      <c r="F208" s="8"/>
      <c r="G208" s="143"/>
      <c r="H208" s="11"/>
      <c r="I208" s="143"/>
      <c r="J208" s="9"/>
      <c r="K208" s="143"/>
      <c r="L208" s="9"/>
      <c r="M208" s="8"/>
      <c r="N208" s="2"/>
      <c r="O208" s="2"/>
    </row>
    <row r="209" spans="1:15" outlineLevel="1" x14ac:dyDescent="0.15">
      <c r="A209" s="8"/>
      <c r="B209" s="8"/>
      <c r="C209" s="8"/>
      <c r="D209" s="8"/>
      <c r="E209" s="9"/>
      <c r="F209" s="8"/>
      <c r="G209" s="143"/>
      <c r="H209" s="11"/>
      <c r="I209" s="143"/>
      <c r="J209" s="9"/>
      <c r="K209" s="143"/>
      <c r="L209" s="9"/>
      <c r="M209" s="8"/>
      <c r="N209" s="2"/>
      <c r="O209" s="2"/>
    </row>
    <row r="210" spans="1:15" outlineLevel="1" x14ac:dyDescent="0.15">
      <c r="A210" s="8"/>
      <c r="B210" s="8"/>
      <c r="C210" s="8"/>
      <c r="D210" s="8"/>
      <c r="E210" s="9"/>
      <c r="F210" s="8"/>
      <c r="G210" s="143"/>
      <c r="H210" s="11"/>
      <c r="I210" s="143"/>
      <c r="J210" s="9"/>
      <c r="K210" s="143"/>
      <c r="L210" s="9"/>
      <c r="M210" s="8"/>
      <c r="N210" s="2"/>
      <c r="O210" s="2"/>
    </row>
    <row r="211" spans="1:15" outlineLevel="1" x14ac:dyDescent="0.15">
      <c r="A211" s="8"/>
      <c r="B211" s="8"/>
      <c r="C211" s="8"/>
      <c r="D211" s="8"/>
      <c r="E211" s="9"/>
      <c r="F211" s="8"/>
      <c r="G211" s="143"/>
      <c r="H211" s="11"/>
      <c r="I211" s="143"/>
      <c r="J211" s="9"/>
      <c r="K211" s="143"/>
      <c r="L211" s="9"/>
      <c r="M211" s="8"/>
      <c r="N211" s="2"/>
      <c r="O211" s="2"/>
    </row>
    <row r="212" spans="1:15" outlineLevel="1" x14ac:dyDescent="0.15">
      <c r="A212" s="8"/>
      <c r="B212" s="8"/>
      <c r="C212" s="8"/>
      <c r="D212" s="8"/>
      <c r="E212" s="9"/>
      <c r="F212" s="8"/>
      <c r="G212" s="143"/>
      <c r="H212" s="11"/>
      <c r="I212" s="143"/>
      <c r="J212" s="9"/>
      <c r="K212" s="143"/>
      <c r="L212" s="9"/>
      <c r="M212" s="8"/>
      <c r="N212" s="2"/>
      <c r="O212" s="2"/>
    </row>
    <row r="213" spans="1:15" outlineLevel="1" x14ac:dyDescent="0.15">
      <c r="A213" s="8"/>
      <c r="B213" s="8"/>
      <c r="C213" s="8"/>
      <c r="D213" s="8"/>
      <c r="E213" s="9"/>
      <c r="F213" s="8"/>
      <c r="G213" s="143"/>
      <c r="H213" s="11"/>
      <c r="I213" s="143"/>
      <c r="J213" s="9"/>
      <c r="K213" s="143"/>
      <c r="L213" s="9"/>
      <c r="M213" s="8"/>
      <c r="N213" s="2"/>
      <c r="O213" s="2"/>
    </row>
    <row r="214" spans="1:15" outlineLevel="1" x14ac:dyDescent="0.15">
      <c r="A214" s="8"/>
      <c r="B214" s="8"/>
      <c r="C214" s="8"/>
      <c r="D214" s="8"/>
      <c r="E214" s="9"/>
      <c r="F214" s="8"/>
      <c r="G214" s="143"/>
      <c r="H214" s="11"/>
      <c r="I214" s="143"/>
      <c r="J214" s="9"/>
      <c r="K214" s="143"/>
      <c r="L214" s="9"/>
      <c r="M214" s="8"/>
      <c r="N214" s="2"/>
      <c r="O214" s="2"/>
    </row>
    <row r="215" spans="1:15" outlineLevel="1" x14ac:dyDescent="0.15">
      <c r="A215" s="8"/>
      <c r="B215" s="8"/>
      <c r="C215" s="8"/>
      <c r="D215" s="8"/>
      <c r="E215" s="9"/>
      <c r="F215" s="8"/>
      <c r="G215" s="143"/>
      <c r="H215" s="11"/>
      <c r="I215" s="143"/>
      <c r="J215" s="9"/>
      <c r="K215" s="143"/>
      <c r="L215" s="9"/>
      <c r="M215" s="8"/>
      <c r="N215" s="2"/>
      <c r="O215" s="2"/>
    </row>
    <row r="216" spans="1:15" outlineLevel="1" x14ac:dyDescent="0.15">
      <c r="A216" s="8"/>
      <c r="B216" s="8"/>
      <c r="C216" s="8"/>
      <c r="D216" s="8"/>
      <c r="E216" s="9"/>
      <c r="F216" s="8"/>
      <c r="G216" s="143"/>
      <c r="H216" s="11"/>
      <c r="I216" s="143"/>
      <c r="J216" s="9"/>
      <c r="K216" s="143"/>
      <c r="L216" s="9"/>
      <c r="M216" s="8"/>
      <c r="N216" s="2"/>
      <c r="O216" s="2"/>
    </row>
    <row r="217" spans="1:15" outlineLevel="1" x14ac:dyDescent="0.15">
      <c r="A217" s="8"/>
      <c r="B217" s="8"/>
      <c r="C217" s="8"/>
      <c r="D217" s="8"/>
      <c r="E217" s="9"/>
      <c r="F217" s="8"/>
      <c r="G217" s="143"/>
      <c r="H217" s="11"/>
      <c r="I217" s="143"/>
      <c r="J217" s="9"/>
      <c r="K217" s="143"/>
      <c r="L217" s="9"/>
      <c r="M217" s="8"/>
      <c r="N217" s="2"/>
      <c r="O217" s="2"/>
    </row>
    <row r="218" spans="1:15" outlineLevel="1" x14ac:dyDescent="0.15">
      <c r="A218" s="8"/>
      <c r="B218" s="8"/>
      <c r="C218" s="8"/>
      <c r="D218" s="8"/>
      <c r="E218" s="9"/>
      <c r="F218" s="8"/>
      <c r="G218" s="143"/>
      <c r="H218" s="11"/>
      <c r="I218" s="143"/>
      <c r="J218" s="9"/>
      <c r="K218" s="143"/>
      <c r="L218" s="9"/>
      <c r="M218" s="8"/>
      <c r="N218" s="2"/>
      <c r="O218" s="2"/>
    </row>
    <row r="219" spans="1:15" outlineLevel="1" x14ac:dyDescent="0.15">
      <c r="A219" s="8"/>
      <c r="B219" s="8"/>
      <c r="C219" s="8"/>
      <c r="D219" s="8"/>
      <c r="E219" s="9"/>
      <c r="F219" s="8"/>
      <c r="G219" s="143"/>
      <c r="H219" s="11"/>
      <c r="I219" s="143"/>
      <c r="J219" s="9"/>
      <c r="K219" s="143"/>
      <c r="L219" s="9"/>
      <c r="M219" s="8"/>
      <c r="N219" s="2"/>
      <c r="O219" s="2"/>
    </row>
    <row r="220" spans="1:15" outlineLevel="1" x14ac:dyDescent="0.15">
      <c r="A220" s="8"/>
      <c r="B220" s="8"/>
      <c r="C220" s="8"/>
      <c r="D220" s="8"/>
      <c r="E220" s="9"/>
      <c r="F220" s="8"/>
      <c r="G220" s="143"/>
      <c r="H220" s="11"/>
      <c r="I220" s="143"/>
      <c r="J220" s="9"/>
      <c r="K220" s="143"/>
      <c r="L220" s="9"/>
      <c r="M220" s="8"/>
      <c r="N220" s="2"/>
      <c r="O220" s="2"/>
    </row>
    <row r="221" spans="1:15" outlineLevel="1" x14ac:dyDescent="0.15">
      <c r="A221" s="8"/>
      <c r="B221" s="8"/>
      <c r="C221" s="8"/>
      <c r="D221" s="8"/>
      <c r="E221" s="9"/>
      <c r="F221" s="8"/>
      <c r="G221" s="143"/>
      <c r="H221" s="11"/>
      <c r="I221" s="143"/>
      <c r="J221" s="9"/>
      <c r="K221" s="143"/>
      <c r="L221" s="9"/>
      <c r="M221" s="8"/>
      <c r="N221" s="2"/>
      <c r="O221" s="2"/>
    </row>
    <row r="222" spans="1:15" outlineLevel="1" x14ac:dyDescent="0.15">
      <c r="A222" s="8"/>
      <c r="B222" s="8"/>
      <c r="C222" s="8"/>
      <c r="D222" s="8"/>
      <c r="E222" s="9"/>
      <c r="F222" s="8"/>
      <c r="G222" s="143"/>
      <c r="H222" s="11"/>
      <c r="I222" s="143"/>
      <c r="J222" s="9"/>
      <c r="K222" s="143"/>
      <c r="L222" s="9"/>
      <c r="M222" s="8"/>
      <c r="N222" s="2"/>
      <c r="O222" s="2"/>
    </row>
    <row r="223" spans="1:15" outlineLevel="1" x14ac:dyDescent="0.15">
      <c r="A223" s="8"/>
      <c r="B223" s="8"/>
      <c r="C223" s="8"/>
      <c r="D223" s="8"/>
      <c r="E223" s="9"/>
      <c r="F223" s="8"/>
      <c r="G223" s="143"/>
      <c r="H223" s="11"/>
      <c r="I223" s="143"/>
      <c r="J223" s="9"/>
      <c r="K223" s="143"/>
      <c r="L223" s="9"/>
      <c r="M223" s="8"/>
      <c r="N223" s="2"/>
      <c r="O223" s="2"/>
    </row>
    <row r="224" spans="1:15" outlineLevel="1" x14ac:dyDescent="0.15">
      <c r="A224" s="8"/>
      <c r="B224" s="8"/>
      <c r="C224" s="8"/>
      <c r="D224" s="8"/>
      <c r="E224" s="9"/>
      <c r="F224" s="8"/>
      <c r="G224" s="143"/>
      <c r="H224" s="11"/>
      <c r="I224" s="143"/>
      <c r="J224" s="9"/>
      <c r="K224" s="143"/>
      <c r="L224" s="9"/>
      <c r="M224" s="8"/>
      <c r="N224" s="2"/>
      <c r="O224" s="2"/>
    </row>
    <row r="225" spans="1:15" outlineLevel="1" x14ac:dyDescent="0.15">
      <c r="A225" s="8"/>
      <c r="B225" s="8"/>
      <c r="C225" s="8"/>
      <c r="D225" s="8"/>
      <c r="E225" s="9"/>
      <c r="F225" s="8"/>
      <c r="G225" s="143"/>
      <c r="H225" s="11"/>
      <c r="I225" s="143"/>
      <c r="J225" s="9"/>
      <c r="K225" s="143"/>
      <c r="L225" s="9"/>
      <c r="M225" s="8"/>
      <c r="N225" s="2"/>
      <c r="O225" s="2"/>
    </row>
    <row r="226" spans="1:15" outlineLevel="1" x14ac:dyDescent="0.15">
      <c r="A226" s="8"/>
      <c r="B226" s="8"/>
      <c r="C226" s="8"/>
      <c r="D226" s="8"/>
      <c r="E226" s="9"/>
      <c r="F226" s="8"/>
      <c r="G226" s="143"/>
      <c r="H226" s="11"/>
      <c r="I226" s="143"/>
      <c r="J226" s="9"/>
      <c r="K226" s="143"/>
      <c r="L226" s="9"/>
      <c r="M226" s="8"/>
      <c r="N226" s="2"/>
      <c r="O226" s="2"/>
    </row>
    <row r="227" spans="1:15" outlineLevel="1" x14ac:dyDescent="0.15">
      <c r="A227" s="8"/>
      <c r="B227" s="8"/>
      <c r="C227" s="8"/>
      <c r="D227" s="8"/>
      <c r="E227" s="9"/>
      <c r="F227" s="8"/>
      <c r="G227" s="143"/>
      <c r="H227" s="11"/>
      <c r="I227" s="143"/>
      <c r="J227" s="9"/>
      <c r="K227" s="143"/>
      <c r="L227" s="9"/>
      <c r="M227" s="8"/>
      <c r="N227" s="2"/>
      <c r="O227" s="2"/>
    </row>
    <row r="228" spans="1:15" outlineLevel="1" x14ac:dyDescent="0.15">
      <c r="A228" s="8"/>
      <c r="B228" s="8"/>
      <c r="C228" s="8"/>
      <c r="D228" s="8"/>
      <c r="E228" s="9"/>
      <c r="F228" s="8"/>
      <c r="G228" s="143"/>
      <c r="H228" s="11"/>
      <c r="I228" s="143"/>
      <c r="J228" s="9"/>
      <c r="K228" s="143"/>
      <c r="L228" s="9"/>
      <c r="M228" s="8"/>
      <c r="N228" s="2"/>
      <c r="O228" s="2"/>
    </row>
    <row r="229" spans="1:15" outlineLevel="1" x14ac:dyDescent="0.15">
      <c r="A229" s="8"/>
      <c r="B229" s="8"/>
      <c r="C229" s="8"/>
      <c r="D229" s="8"/>
      <c r="E229" s="9"/>
      <c r="F229" s="8"/>
      <c r="G229" s="143"/>
      <c r="H229" s="11"/>
      <c r="I229" s="143"/>
      <c r="J229" s="9"/>
      <c r="K229" s="143"/>
      <c r="L229" s="9"/>
      <c r="M229" s="8"/>
      <c r="N229" s="2"/>
      <c r="O229" s="2"/>
    </row>
    <row r="230" spans="1:15" outlineLevel="1" x14ac:dyDescent="0.15">
      <c r="A230" s="8"/>
      <c r="B230" s="8"/>
      <c r="C230" s="8"/>
      <c r="D230" s="8"/>
      <c r="E230" s="9"/>
      <c r="F230" s="8"/>
      <c r="G230" s="143"/>
      <c r="H230" s="11"/>
      <c r="I230" s="143"/>
      <c r="J230" s="9"/>
      <c r="K230" s="143"/>
      <c r="L230" s="9"/>
      <c r="M230" s="8"/>
      <c r="N230" s="2"/>
      <c r="O230" s="2"/>
    </row>
    <row r="231" spans="1:15" outlineLevel="1" x14ac:dyDescent="0.15">
      <c r="A231" s="8"/>
      <c r="B231" s="8"/>
      <c r="C231" s="8"/>
      <c r="D231" s="8"/>
      <c r="E231" s="9"/>
      <c r="F231" s="8"/>
      <c r="G231" s="143"/>
      <c r="H231" s="11"/>
      <c r="I231" s="143"/>
      <c r="J231" s="9"/>
      <c r="K231" s="143"/>
      <c r="L231" s="9"/>
      <c r="M231" s="8"/>
      <c r="N231" s="2"/>
      <c r="O231" s="2"/>
    </row>
    <row r="232" spans="1:15" outlineLevel="1" x14ac:dyDescent="0.15">
      <c r="A232" s="8"/>
      <c r="B232" s="8"/>
      <c r="C232" s="8"/>
      <c r="D232" s="8"/>
      <c r="E232" s="9"/>
      <c r="F232" s="8"/>
      <c r="G232" s="143"/>
      <c r="H232" s="11"/>
      <c r="I232" s="143"/>
      <c r="J232" s="9"/>
      <c r="K232" s="143"/>
      <c r="L232" s="9"/>
      <c r="M232" s="8"/>
      <c r="N232" s="2"/>
      <c r="O232" s="2"/>
    </row>
    <row r="233" spans="1:15" outlineLevel="1" x14ac:dyDescent="0.15">
      <c r="A233" s="8"/>
      <c r="B233" s="8"/>
      <c r="C233" s="8"/>
      <c r="D233" s="8"/>
      <c r="E233" s="9"/>
      <c r="F233" s="8"/>
      <c r="G233" s="143"/>
      <c r="H233" s="11"/>
      <c r="I233" s="143"/>
      <c r="J233" s="9"/>
      <c r="K233" s="143"/>
      <c r="L233" s="9"/>
      <c r="M233" s="8"/>
      <c r="N233" s="2"/>
      <c r="O233" s="2"/>
    </row>
    <row r="234" spans="1:15" outlineLevel="1" x14ac:dyDescent="0.15">
      <c r="A234" s="8"/>
      <c r="B234" s="8"/>
      <c r="C234" s="8"/>
      <c r="D234" s="8"/>
      <c r="E234" s="9"/>
      <c r="F234" s="8"/>
      <c r="G234" s="143"/>
      <c r="H234" s="11"/>
      <c r="I234" s="143"/>
      <c r="J234" s="9"/>
      <c r="K234" s="143"/>
      <c r="L234" s="9"/>
      <c r="M234" s="8"/>
      <c r="N234" s="2"/>
      <c r="O234" s="2"/>
    </row>
    <row r="235" spans="1:15" outlineLevel="1" x14ac:dyDescent="0.15">
      <c r="A235" s="8"/>
      <c r="B235" s="8"/>
      <c r="C235" s="8"/>
      <c r="D235" s="8"/>
      <c r="E235" s="9"/>
      <c r="F235" s="8"/>
      <c r="G235" s="143"/>
      <c r="H235" s="11"/>
      <c r="I235" s="143"/>
      <c r="J235" s="9"/>
      <c r="K235" s="143"/>
      <c r="L235" s="9"/>
      <c r="M235" s="8"/>
      <c r="N235" s="2"/>
      <c r="O235" s="2"/>
    </row>
    <row r="236" spans="1:15" outlineLevel="1" x14ac:dyDescent="0.15">
      <c r="A236" s="8"/>
      <c r="B236" s="8"/>
      <c r="C236" s="8"/>
      <c r="D236" s="8"/>
      <c r="E236" s="9"/>
      <c r="F236" s="8"/>
      <c r="G236" s="143"/>
      <c r="H236" s="11"/>
      <c r="I236" s="143"/>
      <c r="J236" s="9"/>
      <c r="K236" s="143"/>
      <c r="L236" s="9"/>
      <c r="M236" s="8"/>
      <c r="N236" s="2"/>
      <c r="O236" s="2"/>
    </row>
    <row r="237" spans="1:15" outlineLevel="1" x14ac:dyDescent="0.15">
      <c r="A237" s="8"/>
      <c r="B237" s="8"/>
      <c r="C237" s="8"/>
      <c r="D237" s="8"/>
      <c r="E237" s="9"/>
      <c r="F237" s="8"/>
      <c r="G237" s="143"/>
      <c r="H237" s="11"/>
      <c r="I237" s="143"/>
      <c r="J237" s="9"/>
      <c r="K237" s="143"/>
      <c r="L237" s="9"/>
      <c r="M237" s="8"/>
      <c r="N237" s="2"/>
      <c r="O237" s="2"/>
    </row>
    <row r="238" spans="1:15" outlineLevel="1" x14ac:dyDescent="0.15">
      <c r="A238" s="8"/>
      <c r="B238" s="8"/>
      <c r="C238" s="8"/>
      <c r="D238" s="8"/>
      <c r="E238" s="9"/>
      <c r="F238" s="8"/>
      <c r="G238" s="143"/>
      <c r="H238" s="11"/>
      <c r="I238" s="143"/>
      <c r="J238" s="9"/>
      <c r="K238" s="143"/>
      <c r="L238" s="9"/>
      <c r="M238" s="8"/>
      <c r="N238" s="2"/>
      <c r="O238" s="2"/>
    </row>
    <row r="239" spans="1:15" outlineLevel="1" x14ac:dyDescent="0.15">
      <c r="A239" s="8"/>
      <c r="B239" s="8"/>
      <c r="C239" s="8"/>
      <c r="D239" s="8"/>
      <c r="E239" s="9"/>
      <c r="F239" s="8"/>
      <c r="G239" s="143"/>
      <c r="H239" s="11"/>
      <c r="I239" s="143"/>
      <c r="J239" s="9"/>
      <c r="K239" s="143"/>
      <c r="L239" s="9"/>
      <c r="M239" s="8"/>
      <c r="N239" s="2"/>
      <c r="O239" s="2"/>
    </row>
    <row r="240" spans="1:15" outlineLevel="1" x14ac:dyDescent="0.15">
      <c r="A240" s="8"/>
      <c r="B240" s="8"/>
      <c r="C240" s="8"/>
      <c r="D240" s="8"/>
      <c r="E240" s="9"/>
      <c r="F240" s="8"/>
      <c r="G240" s="143"/>
      <c r="H240" s="11"/>
      <c r="I240" s="143"/>
      <c r="J240" s="9"/>
      <c r="K240" s="143"/>
      <c r="L240" s="9"/>
      <c r="M240" s="8"/>
      <c r="N240" s="2"/>
      <c r="O240" s="2"/>
    </row>
    <row r="241" spans="1:15" outlineLevel="1" x14ac:dyDescent="0.15">
      <c r="A241" s="8"/>
      <c r="B241" s="8"/>
      <c r="C241" s="8"/>
      <c r="D241" s="8"/>
      <c r="E241" s="9"/>
      <c r="F241" s="8"/>
      <c r="G241" s="143"/>
      <c r="H241" s="11"/>
      <c r="I241" s="143"/>
      <c r="J241" s="9"/>
      <c r="K241" s="143"/>
      <c r="L241" s="9"/>
      <c r="M241" s="8"/>
      <c r="N241" s="2"/>
      <c r="O241" s="2"/>
    </row>
    <row r="242" spans="1:15" outlineLevel="1" x14ac:dyDescent="0.15">
      <c r="A242" s="8"/>
      <c r="B242" s="8"/>
      <c r="C242" s="8"/>
      <c r="D242" s="8"/>
      <c r="E242" s="9"/>
      <c r="F242" s="8"/>
      <c r="G242" s="143"/>
      <c r="H242" s="11"/>
      <c r="I242" s="143"/>
      <c r="J242" s="9"/>
      <c r="K242" s="143"/>
      <c r="L242" s="9"/>
      <c r="M242" s="8"/>
      <c r="N242" s="2"/>
      <c r="O242" s="2"/>
    </row>
    <row r="243" spans="1:15" outlineLevel="1" x14ac:dyDescent="0.15">
      <c r="A243" s="8"/>
      <c r="B243" s="8"/>
      <c r="C243" s="8"/>
      <c r="D243" s="8"/>
      <c r="E243" s="9"/>
      <c r="F243" s="8"/>
      <c r="G243" s="143"/>
      <c r="H243" s="11"/>
      <c r="I243" s="143"/>
      <c r="J243" s="9"/>
      <c r="K243" s="143"/>
      <c r="L243" s="9"/>
      <c r="M243" s="8"/>
      <c r="N243" s="2"/>
      <c r="O243" s="2"/>
    </row>
    <row r="244" spans="1:15" outlineLevel="1" x14ac:dyDescent="0.15">
      <c r="A244" s="8"/>
      <c r="B244" s="8"/>
      <c r="C244" s="8"/>
      <c r="D244" s="8"/>
      <c r="E244" s="9"/>
      <c r="F244" s="8"/>
      <c r="G244" s="143"/>
      <c r="H244" s="11"/>
      <c r="I244" s="143"/>
      <c r="J244" s="9"/>
      <c r="K244" s="143"/>
      <c r="L244" s="9"/>
      <c r="M244" s="8"/>
      <c r="N244" s="2"/>
      <c r="O244" s="2"/>
    </row>
    <row r="245" spans="1:15" outlineLevel="1" x14ac:dyDescent="0.15">
      <c r="A245" s="8"/>
      <c r="B245" s="8"/>
      <c r="C245" s="8"/>
      <c r="D245" s="8"/>
      <c r="E245" s="9"/>
      <c r="F245" s="8"/>
      <c r="G245" s="143"/>
      <c r="H245" s="11"/>
      <c r="I245" s="143"/>
      <c r="J245" s="9"/>
      <c r="K245" s="143"/>
      <c r="L245" s="9"/>
      <c r="M245" s="8"/>
      <c r="N245" s="2"/>
      <c r="O245" s="2"/>
    </row>
    <row r="246" spans="1:15" outlineLevel="1" x14ac:dyDescent="0.15">
      <c r="A246" s="8"/>
      <c r="B246" s="8"/>
      <c r="C246" s="8"/>
      <c r="D246" s="8"/>
      <c r="E246" s="9"/>
      <c r="F246" s="8"/>
      <c r="G246" s="143"/>
      <c r="H246" s="11"/>
      <c r="I246" s="143"/>
      <c r="J246" s="9"/>
      <c r="K246" s="143"/>
      <c r="L246" s="9"/>
      <c r="M246" s="8"/>
      <c r="N246" s="2"/>
      <c r="O246" s="2"/>
    </row>
    <row r="247" spans="1:15" outlineLevel="1" x14ac:dyDescent="0.15">
      <c r="A247" s="8"/>
      <c r="B247" s="8"/>
      <c r="C247" s="8"/>
      <c r="D247" s="8"/>
      <c r="E247" s="9"/>
      <c r="F247" s="8"/>
      <c r="G247" s="143"/>
      <c r="H247" s="11"/>
      <c r="I247" s="143"/>
      <c r="J247" s="9"/>
      <c r="K247" s="143"/>
      <c r="L247" s="9"/>
      <c r="M247" s="8"/>
      <c r="N247" s="2"/>
      <c r="O247" s="2"/>
    </row>
    <row r="248" spans="1:15" outlineLevel="1" x14ac:dyDescent="0.15">
      <c r="A248" s="8"/>
      <c r="B248" s="8"/>
      <c r="C248" s="8"/>
      <c r="D248" s="8"/>
      <c r="E248" s="9"/>
      <c r="F248" s="8"/>
      <c r="G248" s="143"/>
      <c r="H248" s="11"/>
      <c r="I248" s="143"/>
      <c r="J248" s="9"/>
      <c r="K248" s="143"/>
      <c r="L248" s="9"/>
      <c r="M248" s="8"/>
      <c r="N248" s="2"/>
      <c r="O248" s="2"/>
    </row>
    <row r="249" spans="1:15" outlineLevel="1" x14ac:dyDescent="0.15">
      <c r="A249" s="8"/>
      <c r="B249" s="8"/>
      <c r="C249" s="8"/>
      <c r="D249" s="8"/>
      <c r="E249" s="9"/>
      <c r="F249" s="8"/>
      <c r="G249" s="143"/>
      <c r="H249" s="11"/>
      <c r="I249" s="143"/>
      <c r="J249" s="9"/>
      <c r="K249" s="143"/>
      <c r="L249" s="9"/>
      <c r="M249" s="8"/>
      <c r="N249" s="2"/>
      <c r="O249" s="2"/>
    </row>
    <row r="250" spans="1:15" outlineLevel="1" x14ac:dyDescent="0.15">
      <c r="A250" s="8"/>
      <c r="B250" s="8"/>
      <c r="C250" s="8"/>
      <c r="D250" s="8"/>
      <c r="E250" s="9"/>
      <c r="F250" s="8"/>
      <c r="G250" s="143"/>
      <c r="H250" s="11"/>
      <c r="I250" s="143"/>
      <c r="J250" s="9"/>
      <c r="K250" s="143"/>
      <c r="L250" s="9"/>
      <c r="M250" s="8"/>
      <c r="N250" s="2"/>
      <c r="O250" s="2"/>
    </row>
    <row r="251" spans="1:15" outlineLevel="1" x14ac:dyDescent="0.15">
      <c r="A251" s="8"/>
      <c r="B251" s="8"/>
      <c r="C251" s="8"/>
      <c r="D251" s="8"/>
      <c r="E251" s="9"/>
      <c r="F251" s="8"/>
      <c r="G251" s="143"/>
      <c r="H251" s="11"/>
      <c r="I251" s="143"/>
      <c r="J251" s="9"/>
      <c r="K251" s="143"/>
      <c r="L251" s="9"/>
      <c r="M251" s="8"/>
      <c r="N251" s="2"/>
      <c r="O251" s="2"/>
    </row>
    <row r="252" spans="1:15" outlineLevel="1" x14ac:dyDescent="0.15">
      <c r="A252" s="8"/>
      <c r="B252" s="8"/>
      <c r="C252" s="8"/>
      <c r="D252" s="8"/>
      <c r="E252" s="9"/>
      <c r="F252" s="8"/>
      <c r="G252" s="143"/>
      <c r="H252" s="11"/>
      <c r="I252" s="143"/>
      <c r="J252" s="9"/>
      <c r="K252" s="143"/>
      <c r="L252" s="9"/>
      <c r="M252" s="8"/>
      <c r="N252" s="2"/>
      <c r="O252" s="2"/>
    </row>
    <row r="253" spans="1:15" outlineLevel="1" x14ac:dyDescent="0.15">
      <c r="A253" s="8"/>
      <c r="B253" s="8"/>
      <c r="C253" s="8"/>
      <c r="D253" s="8"/>
      <c r="E253" s="9"/>
      <c r="F253" s="8"/>
      <c r="G253" s="143"/>
      <c r="H253" s="11"/>
      <c r="I253" s="143"/>
      <c r="J253" s="9"/>
      <c r="K253" s="143"/>
      <c r="L253" s="9"/>
      <c r="M253" s="8"/>
      <c r="N253" s="2"/>
      <c r="O253" s="2"/>
    </row>
    <row r="254" spans="1:15" outlineLevel="1" x14ac:dyDescent="0.15">
      <c r="A254" s="8"/>
      <c r="B254" s="8"/>
      <c r="C254" s="8"/>
      <c r="D254" s="8"/>
      <c r="E254" s="9"/>
      <c r="F254" s="8"/>
      <c r="G254" s="143"/>
      <c r="H254" s="11"/>
      <c r="I254" s="143"/>
      <c r="J254" s="9"/>
      <c r="K254" s="143"/>
      <c r="L254" s="9"/>
      <c r="M254" s="8"/>
      <c r="N254" s="2"/>
      <c r="O254" s="2"/>
    </row>
    <row r="255" spans="1:15" outlineLevel="1" x14ac:dyDescent="0.15">
      <c r="A255" s="8"/>
      <c r="B255" s="8"/>
      <c r="C255" s="8"/>
      <c r="D255" s="8"/>
      <c r="E255" s="9"/>
      <c r="F255" s="8"/>
      <c r="G255" s="143"/>
      <c r="H255" s="11"/>
      <c r="I255" s="143"/>
      <c r="J255" s="9"/>
      <c r="K255" s="143"/>
      <c r="L255" s="9"/>
      <c r="M255" s="8"/>
      <c r="N255" s="2"/>
      <c r="O255" s="2"/>
    </row>
    <row r="256" spans="1:15" outlineLevel="1" x14ac:dyDescent="0.15">
      <c r="A256" s="8"/>
      <c r="B256" s="8"/>
      <c r="C256" s="8"/>
      <c r="D256" s="8"/>
      <c r="E256" s="9"/>
      <c r="F256" s="8"/>
      <c r="G256" s="143"/>
      <c r="H256" s="11"/>
      <c r="I256" s="143"/>
      <c r="J256" s="9"/>
      <c r="K256" s="143"/>
      <c r="L256" s="9"/>
      <c r="M256" s="8"/>
      <c r="N256" s="2"/>
      <c r="O256" s="2"/>
    </row>
    <row r="257" spans="1:15" outlineLevel="1" x14ac:dyDescent="0.15">
      <c r="A257" s="8"/>
      <c r="B257" s="8"/>
      <c r="C257" s="8"/>
      <c r="D257" s="8"/>
      <c r="E257" s="9"/>
      <c r="F257" s="8"/>
      <c r="G257" s="143"/>
      <c r="H257" s="11"/>
      <c r="I257" s="143"/>
      <c r="J257" s="9"/>
      <c r="K257" s="143"/>
      <c r="L257" s="9"/>
      <c r="M257" s="8"/>
      <c r="N257" s="2"/>
      <c r="O257" s="2"/>
    </row>
    <row r="258" spans="1:15" outlineLevel="1" x14ac:dyDescent="0.15">
      <c r="A258" s="8"/>
      <c r="B258" s="8"/>
      <c r="C258" s="8"/>
      <c r="D258" s="8"/>
      <c r="E258" s="9"/>
      <c r="F258" s="8"/>
      <c r="G258" s="143"/>
      <c r="H258" s="11"/>
      <c r="I258" s="143"/>
      <c r="J258" s="9"/>
      <c r="K258" s="143"/>
      <c r="L258" s="9"/>
      <c r="M258" s="8"/>
      <c r="N258" s="2"/>
      <c r="O258" s="2"/>
    </row>
    <row r="259" spans="1:15" outlineLevel="1" x14ac:dyDescent="0.15">
      <c r="A259" s="8"/>
      <c r="B259" s="8"/>
      <c r="C259" s="8"/>
      <c r="D259" s="8"/>
      <c r="E259" s="9"/>
      <c r="F259" s="8"/>
      <c r="G259" s="143"/>
      <c r="H259" s="11"/>
      <c r="I259" s="143"/>
      <c r="J259" s="9"/>
      <c r="K259" s="143"/>
      <c r="L259" s="9"/>
      <c r="M259" s="8"/>
      <c r="N259" s="2"/>
      <c r="O259" s="2"/>
    </row>
    <row r="260" spans="1:15" outlineLevel="1" x14ac:dyDescent="0.15">
      <c r="A260" s="8"/>
      <c r="B260" s="8"/>
      <c r="C260" s="8"/>
      <c r="D260" s="8"/>
      <c r="E260" s="9"/>
      <c r="F260" s="8"/>
      <c r="G260" s="143"/>
      <c r="H260" s="11"/>
      <c r="I260" s="143"/>
      <c r="J260" s="9"/>
      <c r="K260" s="143"/>
      <c r="L260" s="9"/>
      <c r="M260" s="8"/>
      <c r="N260" s="2"/>
      <c r="O260" s="2"/>
    </row>
    <row r="261" spans="1:15" outlineLevel="1" x14ac:dyDescent="0.15">
      <c r="A261" s="8"/>
      <c r="B261" s="8"/>
      <c r="C261" s="8"/>
      <c r="D261" s="8"/>
      <c r="E261" s="9"/>
      <c r="F261" s="8"/>
      <c r="G261" s="143"/>
      <c r="H261" s="11"/>
      <c r="I261" s="143"/>
      <c r="J261" s="9"/>
      <c r="K261" s="143"/>
      <c r="L261" s="9"/>
      <c r="M261" s="8"/>
      <c r="N261" s="2"/>
      <c r="O261" s="2"/>
    </row>
    <row r="262" spans="1:15" outlineLevel="1" x14ac:dyDescent="0.15">
      <c r="A262" s="8"/>
      <c r="B262" s="8"/>
      <c r="C262" s="8"/>
      <c r="D262" s="8"/>
      <c r="E262" s="9"/>
      <c r="F262" s="8"/>
      <c r="G262" s="143"/>
      <c r="H262" s="11"/>
      <c r="I262" s="143"/>
      <c r="J262" s="9"/>
      <c r="K262" s="143"/>
      <c r="L262" s="9"/>
      <c r="M262" s="8"/>
      <c r="N262" s="2"/>
      <c r="O262" s="2"/>
    </row>
    <row r="263" spans="1:15" outlineLevel="1" x14ac:dyDescent="0.15">
      <c r="A263" s="8"/>
      <c r="B263" s="8"/>
      <c r="C263" s="8"/>
      <c r="D263" s="8"/>
      <c r="E263" s="9"/>
      <c r="F263" s="8"/>
      <c r="G263" s="143"/>
      <c r="H263" s="11"/>
      <c r="I263" s="143"/>
      <c r="J263" s="9"/>
      <c r="K263" s="143"/>
      <c r="L263" s="9"/>
      <c r="M263" s="8"/>
      <c r="N263" s="2"/>
      <c r="O263" s="2"/>
    </row>
    <row r="264" spans="1:15" outlineLevel="1" x14ac:dyDescent="0.15">
      <c r="A264" s="8"/>
      <c r="B264" s="8"/>
      <c r="C264" s="8"/>
      <c r="D264" s="8"/>
      <c r="E264" s="9"/>
      <c r="F264" s="8"/>
      <c r="G264" s="143"/>
      <c r="H264" s="11"/>
      <c r="I264" s="143"/>
      <c r="J264" s="9"/>
      <c r="K264" s="143"/>
      <c r="L264" s="9"/>
      <c r="M264" s="8"/>
      <c r="N264" s="2"/>
      <c r="O264" s="2"/>
    </row>
    <row r="265" spans="1:15" outlineLevel="1" x14ac:dyDescent="0.15">
      <c r="A265" s="8"/>
      <c r="B265" s="8"/>
      <c r="C265" s="8"/>
      <c r="D265" s="8"/>
      <c r="E265" s="9"/>
      <c r="F265" s="8"/>
      <c r="G265" s="143"/>
      <c r="H265" s="11"/>
      <c r="I265" s="143"/>
      <c r="J265" s="9"/>
      <c r="K265" s="143"/>
      <c r="L265" s="9"/>
      <c r="M265" s="8"/>
      <c r="N265" s="2"/>
      <c r="O265" s="2"/>
    </row>
    <row r="266" spans="1:15" outlineLevel="1" x14ac:dyDescent="0.15">
      <c r="A266" s="8"/>
      <c r="B266" s="8"/>
      <c r="C266" s="8"/>
      <c r="D266" s="8"/>
      <c r="E266" s="9"/>
      <c r="F266" s="8"/>
      <c r="G266" s="143"/>
      <c r="H266" s="11"/>
      <c r="I266" s="143"/>
      <c r="J266" s="9"/>
      <c r="K266" s="143"/>
      <c r="L266" s="9"/>
      <c r="M266" s="8"/>
      <c r="N266" s="2"/>
      <c r="O266" s="2"/>
    </row>
    <row r="267" spans="1:15" outlineLevel="1" x14ac:dyDescent="0.15">
      <c r="A267" s="8"/>
      <c r="B267" s="8"/>
      <c r="C267" s="8"/>
      <c r="D267" s="8"/>
      <c r="E267" s="9"/>
      <c r="F267" s="8"/>
      <c r="G267" s="143"/>
      <c r="H267" s="11"/>
      <c r="I267" s="143"/>
      <c r="J267" s="9"/>
      <c r="K267" s="143"/>
      <c r="L267" s="9"/>
      <c r="M267" s="8"/>
      <c r="N267" s="2"/>
      <c r="O267" s="2"/>
    </row>
    <row r="268" spans="1:15" outlineLevel="1" x14ac:dyDescent="0.15">
      <c r="A268" s="8"/>
      <c r="B268" s="8"/>
      <c r="C268" s="8"/>
      <c r="D268" s="8"/>
      <c r="E268" s="9"/>
      <c r="F268" s="8"/>
      <c r="G268" s="143"/>
      <c r="H268" s="11"/>
      <c r="I268" s="143"/>
      <c r="J268" s="9"/>
      <c r="K268" s="143"/>
      <c r="L268" s="9"/>
      <c r="M268" s="8"/>
      <c r="N268" s="2"/>
      <c r="O268" s="2"/>
    </row>
    <row r="269" spans="1:15" outlineLevel="1" x14ac:dyDescent="0.15">
      <c r="A269" s="8"/>
      <c r="B269" s="8"/>
      <c r="C269" s="8"/>
      <c r="D269" s="8"/>
      <c r="E269" s="9"/>
      <c r="F269" s="8"/>
      <c r="G269" s="143"/>
      <c r="H269" s="11"/>
      <c r="I269" s="143"/>
      <c r="J269" s="9"/>
      <c r="K269" s="143"/>
      <c r="L269" s="9"/>
      <c r="M269" s="8"/>
      <c r="N269" s="2"/>
      <c r="O269" s="2"/>
    </row>
    <row r="270" spans="1:15" outlineLevel="1" x14ac:dyDescent="0.15">
      <c r="A270" s="8"/>
      <c r="B270" s="8"/>
      <c r="C270" s="8"/>
      <c r="D270" s="8"/>
      <c r="E270" s="9"/>
      <c r="F270" s="8"/>
      <c r="G270" s="143"/>
      <c r="H270" s="11"/>
      <c r="I270" s="143"/>
      <c r="J270" s="9"/>
      <c r="K270" s="143"/>
      <c r="L270" s="9"/>
      <c r="M270" s="8"/>
      <c r="N270" s="2"/>
      <c r="O270" s="2"/>
    </row>
    <row r="271" spans="1:15" outlineLevel="1" x14ac:dyDescent="0.15">
      <c r="A271" s="8"/>
      <c r="B271" s="8"/>
      <c r="C271" s="8"/>
      <c r="D271" s="8"/>
      <c r="E271" s="9"/>
      <c r="F271" s="8"/>
      <c r="G271" s="143"/>
      <c r="H271" s="11"/>
      <c r="I271" s="143"/>
      <c r="J271" s="9"/>
      <c r="K271" s="143"/>
      <c r="L271" s="9"/>
      <c r="M271" s="8"/>
      <c r="N271" s="2"/>
      <c r="O271" s="2"/>
    </row>
    <row r="272" spans="1:15" outlineLevel="1" x14ac:dyDescent="0.15">
      <c r="A272" s="8"/>
      <c r="B272" s="8"/>
      <c r="C272" s="8"/>
      <c r="D272" s="8"/>
      <c r="E272" s="9"/>
      <c r="F272" s="8"/>
      <c r="G272" s="143"/>
      <c r="H272" s="11"/>
      <c r="I272" s="143"/>
      <c r="J272" s="9"/>
      <c r="K272" s="143"/>
      <c r="L272" s="9"/>
      <c r="M272" s="8"/>
      <c r="N272" s="2"/>
      <c r="O272" s="2"/>
    </row>
    <row r="273" spans="1:15" outlineLevel="1" x14ac:dyDescent="0.15">
      <c r="A273" s="8"/>
      <c r="B273" s="8"/>
      <c r="C273" s="8"/>
      <c r="D273" s="8"/>
      <c r="E273" s="9"/>
      <c r="F273" s="8"/>
      <c r="G273" s="143"/>
      <c r="H273" s="11"/>
      <c r="I273" s="143"/>
      <c r="J273" s="9"/>
      <c r="K273" s="143"/>
      <c r="L273" s="9"/>
      <c r="M273" s="8"/>
      <c r="N273" s="2"/>
      <c r="O273" s="2"/>
    </row>
    <row r="274" spans="1:15" outlineLevel="1" x14ac:dyDescent="0.15">
      <c r="A274" s="8"/>
      <c r="B274" s="8"/>
      <c r="C274" s="8"/>
      <c r="D274" s="8"/>
      <c r="E274" s="9"/>
      <c r="F274" s="8"/>
      <c r="G274" s="143"/>
      <c r="H274" s="11"/>
      <c r="I274" s="143"/>
      <c r="J274" s="9"/>
      <c r="K274" s="143"/>
      <c r="L274" s="9"/>
      <c r="M274" s="8"/>
      <c r="N274" s="2"/>
      <c r="O274" s="2"/>
    </row>
    <row r="275" spans="1:15" outlineLevel="1" x14ac:dyDescent="0.15">
      <c r="A275" s="8"/>
      <c r="B275" s="8"/>
      <c r="C275" s="8"/>
      <c r="D275" s="8"/>
      <c r="E275" s="9"/>
      <c r="F275" s="8"/>
      <c r="G275" s="143"/>
      <c r="H275" s="11"/>
      <c r="I275" s="143"/>
      <c r="J275" s="9"/>
      <c r="K275" s="143"/>
      <c r="L275" s="9"/>
      <c r="M275" s="8"/>
      <c r="N275" s="2"/>
      <c r="O275" s="2"/>
    </row>
    <row r="276" spans="1:15" outlineLevel="1" x14ac:dyDescent="0.15">
      <c r="A276" s="8"/>
      <c r="B276" s="8"/>
      <c r="C276" s="8"/>
      <c r="D276" s="8"/>
      <c r="E276" s="9"/>
      <c r="F276" s="8"/>
      <c r="G276" s="143"/>
      <c r="H276" s="11"/>
      <c r="I276" s="143"/>
      <c r="J276" s="9"/>
      <c r="K276" s="143"/>
      <c r="L276" s="9"/>
      <c r="M276" s="8"/>
      <c r="N276" s="2"/>
      <c r="O276" s="2"/>
    </row>
    <row r="277" spans="1:15" outlineLevel="1" x14ac:dyDescent="0.15">
      <c r="A277" s="8"/>
      <c r="B277" s="8"/>
      <c r="C277" s="8"/>
      <c r="D277" s="8"/>
      <c r="E277" s="9"/>
      <c r="F277" s="8"/>
      <c r="G277" s="143"/>
      <c r="H277" s="11"/>
      <c r="I277" s="143"/>
      <c r="J277" s="9"/>
      <c r="K277" s="143"/>
      <c r="L277" s="9"/>
      <c r="M277" s="8"/>
      <c r="N277" s="2"/>
      <c r="O277" s="2"/>
    </row>
    <row r="278" spans="1:15" outlineLevel="1" x14ac:dyDescent="0.15">
      <c r="A278" s="8"/>
      <c r="B278" s="8"/>
      <c r="C278" s="8"/>
      <c r="D278" s="8"/>
      <c r="E278" s="9"/>
      <c r="F278" s="8"/>
      <c r="G278" s="143"/>
      <c r="H278" s="11"/>
      <c r="I278" s="143"/>
      <c r="J278" s="9"/>
      <c r="K278" s="143"/>
      <c r="L278" s="9"/>
      <c r="M278" s="8"/>
      <c r="N278" s="2"/>
      <c r="O278" s="2"/>
    </row>
    <row r="279" spans="1:15" outlineLevel="1" x14ac:dyDescent="0.15">
      <c r="A279" s="8"/>
      <c r="B279" s="8"/>
      <c r="C279" s="8"/>
      <c r="D279" s="8"/>
      <c r="E279" s="9"/>
      <c r="F279" s="8"/>
      <c r="G279" s="143"/>
      <c r="H279" s="11"/>
      <c r="I279" s="143"/>
      <c r="J279" s="9"/>
      <c r="K279" s="143"/>
      <c r="L279" s="9"/>
      <c r="M279" s="8"/>
      <c r="N279" s="2"/>
      <c r="O279" s="2"/>
    </row>
    <row r="280" spans="1:15" outlineLevel="1" x14ac:dyDescent="0.15">
      <c r="A280" s="8"/>
      <c r="B280" s="8"/>
      <c r="C280" s="8"/>
      <c r="D280" s="8"/>
      <c r="E280" s="9"/>
      <c r="F280" s="8"/>
      <c r="G280" s="143"/>
      <c r="H280" s="11"/>
      <c r="I280" s="143"/>
      <c r="J280" s="9"/>
      <c r="K280" s="143"/>
      <c r="L280" s="9"/>
      <c r="M280" s="8"/>
      <c r="N280" s="2"/>
      <c r="O280" s="2"/>
    </row>
    <row r="281" spans="1:15" outlineLevel="1" x14ac:dyDescent="0.15">
      <c r="A281" s="8"/>
      <c r="B281" s="8"/>
      <c r="C281" s="8"/>
      <c r="D281" s="8"/>
      <c r="E281" s="9"/>
      <c r="F281" s="8"/>
      <c r="G281" s="143"/>
      <c r="H281" s="11"/>
      <c r="I281" s="143"/>
      <c r="J281" s="9"/>
      <c r="K281" s="143"/>
      <c r="L281" s="9"/>
      <c r="M281" s="8"/>
      <c r="N281" s="2"/>
      <c r="O281" s="2"/>
    </row>
    <row r="282" spans="1:15" outlineLevel="1" x14ac:dyDescent="0.15">
      <c r="A282" s="8"/>
      <c r="B282" s="8"/>
      <c r="C282" s="8"/>
      <c r="D282" s="8"/>
      <c r="E282" s="9"/>
      <c r="F282" s="8"/>
      <c r="G282" s="143"/>
      <c r="H282" s="11"/>
      <c r="I282" s="143"/>
      <c r="J282" s="9"/>
      <c r="K282" s="143"/>
      <c r="L282" s="9"/>
      <c r="M282" s="8"/>
      <c r="N282" s="2"/>
      <c r="O282" s="2"/>
    </row>
    <row r="283" spans="1:15" outlineLevel="1" x14ac:dyDescent="0.15">
      <c r="A283" s="8"/>
      <c r="B283" s="8"/>
      <c r="C283" s="8"/>
      <c r="D283" s="8"/>
      <c r="E283" s="9"/>
      <c r="F283" s="8"/>
      <c r="G283" s="143"/>
      <c r="H283" s="11"/>
      <c r="I283" s="143"/>
      <c r="J283" s="9"/>
      <c r="K283" s="143"/>
      <c r="L283" s="9"/>
      <c r="M283" s="8"/>
      <c r="N283" s="2"/>
      <c r="O283" s="2"/>
    </row>
    <row r="284" spans="1:15" outlineLevel="1" x14ac:dyDescent="0.15">
      <c r="A284" s="8"/>
      <c r="B284" s="8"/>
      <c r="C284" s="8"/>
      <c r="D284" s="8"/>
      <c r="E284" s="9"/>
      <c r="F284" s="8"/>
      <c r="G284" s="143"/>
      <c r="H284" s="11"/>
      <c r="I284" s="143"/>
      <c r="J284" s="9"/>
      <c r="K284" s="143"/>
      <c r="L284" s="9"/>
      <c r="M284" s="8"/>
      <c r="N284" s="2"/>
      <c r="O284" s="2"/>
    </row>
    <row r="285" spans="1:15" outlineLevel="1" x14ac:dyDescent="0.15">
      <c r="A285" s="8"/>
      <c r="B285" s="8"/>
      <c r="C285" s="8"/>
      <c r="D285" s="8"/>
      <c r="E285" s="9"/>
      <c r="F285" s="8"/>
      <c r="G285" s="143"/>
      <c r="H285" s="11"/>
      <c r="I285" s="143"/>
      <c r="J285" s="9"/>
      <c r="K285" s="143"/>
      <c r="L285" s="9"/>
      <c r="M285" s="8"/>
      <c r="N285" s="2"/>
      <c r="O285" s="2"/>
    </row>
    <row r="286" spans="1:15" outlineLevel="1" x14ac:dyDescent="0.15">
      <c r="A286" s="8"/>
      <c r="B286" s="8"/>
      <c r="C286" s="8"/>
      <c r="D286" s="8"/>
      <c r="E286" s="9"/>
      <c r="F286" s="8"/>
      <c r="G286" s="143"/>
      <c r="H286" s="11"/>
      <c r="I286" s="143"/>
      <c r="J286" s="9"/>
      <c r="K286" s="143"/>
      <c r="L286" s="9"/>
      <c r="M286" s="8"/>
      <c r="N286" s="2"/>
      <c r="O286" s="2"/>
    </row>
    <row r="287" spans="1:15" outlineLevel="1" x14ac:dyDescent="0.15">
      <c r="A287" s="8"/>
      <c r="B287" s="8"/>
      <c r="C287" s="8"/>
      <c r="D287" s="8"/>
      <c r="E287" s="9"/>
      <c r="F287" s="8"/>
      <c r="G287" s="143"/>
      <c r="H287" s="11"/>
      <c r="I287" s="143"/>
      <c r="J287" s="9"/>
      <c r="K287" s="143"/>
      <c r="L287" s="9"/>
      <c r="M287" s="8"/>
      <c r="N287" s="2"/>
      <c r="O287" s="2"/>
    </row>
    <row r="288" spans="1:15" outlineLevel="1" x14ac:dyDescent="0.15">
      <c r="A288" s="8"/>
      <c r="B288" s="8"/>
      <c r="C288" s="8"/>
      <c r="D288" s="8"/>
      <c r="E288" s="9"/>
      <c r="F288" s="8"/>
      <c r="G288" s="143"/>
      <c r="H288" s="11"/>
      <c r="I288" s="143"/>
      <c r="J288" s="9"/>
      <c r="K288" s="143"/>
      <c r="L288" s="9"/>
      <c r="M288" s="8"/>
      <c r="N288" s="2"/>
      <c r="O288" s="2"/>
    </row>
    <row r="289" spans="1:15" outlineLevel="1" x14ac:dyDescent="0.15">
      <c r="A289" s="8"/>
      <c r="B289" s="8"/>
      <c r="C289" s="8"/>
      <c r="D289" s="8"/>
      <c r="E289" s="9"/>
      <c r="F289" s="8"/>
      <c r="G289" s="143"/>
      <c r="H289" s="11"/>
      <c r="I289" s="143"/>
      <c r="J289" s="9"/>
      <c r="K289" s="143"/>
      <c r="L289" s="9"/>
      <c r="M289" s="8"/>
      <c r="N289" s="2"/>
      <c r="O289" s="2"/>
    </row>
    <row r="290" spans="1:15" outlineLevel="1" x14ac:dyDescent="0.15">
      <c r="A290" s="8"/>
      <c r="B290" s="8"/>
      <c r="C290" s="8"/>
      <c r="D290" s="8"/>
      <c r="E290" s="9"/>
      <c r="F290" s="8"/>
      <c r="G290" s="143"/>
      <c r="H290" s="11"/>
      <c r="I290" s="143"/>
      <c r="J290" s="9"/>
      <c r="K290" s="143"/>
      <c r="L290" s="9"/>
      <c r="M290" s="8"/>
      <c r="N290" s="2"/>
      <c r="O290" s="2"/>
    </row>
    <row r="291" spans="1:15" outlineLevel="1" x14ac:dyDescent="0.15">
      <c r="A291" s="8"/>
      <c r="B291" s="8"/>
      <c r="C291" s="8"/>
      <c r="D291" s="8"/>
      <c r="E291" s="9"/>
      <c r="F291" s="8"/>
      <c r="G291" s="143"/>
      <c r="H291" s="11"/>
      <c r="I291" s="143"/>
      <c r="J291" s="9"/>
      <c r="K291" s="143"/>
      <c r="L291" s="9"/>
      <c r="M291" s="8"/>
      <c r="N291" s="2"/>
      <c r="O291" s="2"/>
    </row>
    <row r="292" spans="1:15" outlineLevel="1" x14ac:dyDescent="0.15">
      <c r="A292" s="8"/>
      <c r="B292" s="8"/>
      <c r="C292" s="8"/>
      <c r="D292" s="8"/>
      <c r="E292" s="9"/>
      <c r="F292" s="8"/>
      <c r="G292" s="143"/>
      <c r="H292" s="11"/>
      <c r="I292" s="143"/>
      <c r="J292" s="9"/>
      <c r="K292" s="143"/>
      <c r="L292" s="9"/>
      <c r="M292" s="8"/>
      <c r="N292" s="2"/>
      <c r="O292" s="2"/>
    </row>
    <row r="293" spans="1:15" outlineLevel="1" x14ac:dyDescent="0.15">
      <c r="A293" s="8"/>
      <c r="B293" s="8"/>
      <c r="C293" s="8"/>
      <c r="D293" s="8"/>
      <c r="E293" s="9"/>
      <c r="F293" s="8"/>
      <c r="G293" s="143"/>
      <c r="H293" s="11"/>
      <c r="I293" s="143"/>
      <c r="J293" s="9"/>
      <c r="K293" s="143"/>
      <c r="L293" s="9"/>
      <c r="M293" s="8"/>
      <c r="N293" s="2"/>
      <c r="O293" s="2"/>
    </row>
    <row r="294" spans="1:15" outlineLevel="1" x14ac:dyDescent="0.15">
      <c r="A294" s="8"/>
      <c r="B294" s="8"/>
      <c r="C294" s="8"/>
      <c r="D294" s="8"/>
      <c r="E294" s="9"/>
      <c r="F294" s="8"/>
      <c r="G294" s="143"/>
      <c r="H294" s="11"/>
      <c r="I294" s="143"/>
      <c r="J294" s="9"/>
      <c r="K294" s="143"/>
      <c r="L294" s="9"/>
      <c r="M294" s="8"/>
      <c r="N294" s="2"/>
      <c r="O294" s="2"/>
    </row>
    <row r="295" spans="1:15" outlineLevel="1" x14ac:dyDescent="0.15">
      <c r="A295" s="8"/>
      <c r="B295" s="8"/>
      <c r="C295" s="8"/>
      <c r="D295" s="8"/>
      <c r="E295" s="9"/>
      <c r="F295" s="8"/>
      <c r="G295" s="143"/>
      <c r="H295" s="11"/>
      <c r="I295" s="143"/>
      <c r="J295" s="9"/>
      <c r="K295" s="143"/>
      <c r="L295" s="9"/>
      <c r="M295" s="8"/>
      <c r="N295" s="2"/>
      <c r="O295" s="2"/>
    </row>
    <row r="296" spans="1:15" outlineLevel="1" x14ac:dyDescent="0.15">
      <c r="A296" s="8"/>
      <c r="B296" s="8"/>
      <c r="C296" s="8"/>
      <c r="D296" s="8"/>
      <c r="E296" s="9"/>
      <c r="F296" s="8"/>
      <c r="G296" s="143"/>
      <c r="H296" s="11"/>
      <c r="I296" s="143"/>
      <c r="J296" s="9"/>
      <c r="K296" s="143"/>
      <c r="L296" s="9"/>
      <c r="M296" s="8"/>
      <c r="N296" s="2"/>
      <c r="O296" s="2"/>
    </row>
    <row r="297" spans="1:15" outlineLevel="1" x14ac:dyDescent="0.15">
      <c r="A297" s="8"/>
      <c r="B297" s="8"/>
      <c r="C297" s="8"/>
      <c r="D297" s="8"/>
      <c r="E297" s="9"/>
      <c r="F297" s="8"/>
      <c r="G297" s="143"/>
      <c r="H297" s="11"/>
      <c r="I297" s="143"/>
      <c r="J297" s="9"/>
      <c r="K297" s="143"/>
      <c r="L297" s="9"/>
      <c r="M297" s="8"/>
      <c r="N297" s="2"/>
      <c r="O297" s="2"/>
    </row>
    <row r="298" spans="1:15" outlineLevel="1" x14ac:dyDescent="0.15">
      <c r="A298" s="8"/>
      <c r="B298" s="8"/>
      <c r="C298" s="8"/>
      <c r="D298" s="8"/>
      <c r="E298" s="9"/>
      <c r="F298" s="8"/>
      <c r="G298" s="143"/>
      <c r="H298" s="11"/>
      <c r="I298" s="143"/>
      <c r="J298" s="9"/>
      <c r="K298" s="143"/>
      <c r="L298" s="9"/>
      <c r="M298" s="8"/>
      <c r="N298" s="2"/>
      <c r="O298" s="2"/>
    </row>
    <row r="299" spans="1:15" outlineLevel="1" x14ac:dyDescent="0.15">
      <c r="A299" s="8"/>
      <c r="B299" s="8"/>
      <c r="C299" s="8"/>
      <c r="D299" s="8"/>
      <c r="E299" s="9"/>
      <c r="F299" s="8"/>
      <c r="G299" s="143"/>
      <c r="H299" s="11"/>
      <c r="I299" s="143"/>
      <c r="J299" s="9"/>
      <c r="K299" s="143"/>
      <c r="L299" s="9"/>
      <c r="M299" s="8"/>
      <c r="N299" s="2"/>
      <c r="O299" s="2"/>
    </row>
    <row r="300" spans="1:15" outlineLevel="1" x14ac:dyDescent="0.15">
      <c r="A300" s="8"/>
      <c r="B300" s="8"/>
      <c r="C300" s="8"/>
      <c r="D300" s="8"/>
      <c r="E300" s="9"/>
      <c r="F300" s="8"/>
      <c r="G300" s="143"/>
      <c r="H300" s="11"/>
      <c r="I300" s="143"/>
      <c r="J300" s="9"/>
      <c r="K300" s="143"/>
      <c r="L300" s="9"/>
      <c r="M300" s="8"/>
      <c r="N300" s="2"/>
      <c r="O300" s="2"/>
    </row>
    <row r="301" spans="1:15" outlineLevel="1" x14ac:dyDescent="0.15">
      <c r="A301" s="8"/>
      <c r="B301" s="8"/>
      <c r="C301" s="8"/>
      <c r="D301" s="8"/>
      <c r="E301" s="9"/>
      <c r="F301" s="8"/>
      <c r="G301" s="143"/>
      <c r="H301" s="11"/>
      <c r="I301" s="143"/>
      <c r="J301" s="9"/>
      <c r="K301" s="143"/>
      <c r="L301" s="9"/>
      <c r="M301" s="8"/>
      <c r="N301" s="2"/>
      <c r="O301" s="2"/>
    </row>
    <row r="302" spans="1:15" outlineLevel="1" x14ac:dyDescent="0.15">
      <c r="A302" s="8"/>
      <c r="B302" s="8"/>
      <c r="C302" s="8"/>
      <c r="D302" s="8"/>
      <c r="E302" s="9"/>
      <c r="F302" s="8"/>
      <c r="G302" s="143"/>
      <c r="H302" s="11"/>
      <c r="I302" s="143"/>
      <c r="J302" s="9"/>
      <c r="K302" s="143"/>
      <c r="L302" s="9"/>
      <c r="M302" s="8"/>
      <c r="N302" s="2"/>
      <c r="O302" s="2"/>
    </row>
    <row r="303" spans="1:15" x14ac:dyDescent="0.15">
      <c r="A303" s="8"/>
      <c r="B303" s="8"/>
      <c r="C303" s="8"/>
      <c r="D303" s="8"/>
      <c r="E303" s="9"/>
      <c r="F303" s="8"/>
      <c r="G303" s="143"/>
      <c r="H303" s="11"/>
      <c r="I303" s="143"/>
      <c r="J303" s="9"/>
      <c r="K303" s="143"/>
      <c r="L303" s="9"/>
      <c r="M303" s="8"/>
      <c r="N303" s="2"/>
      <c r="O303" s="2"/>
    </row>
    <row r="304" spans="1:15" x14ac:dyDescent="0.15">
      <c r="A304" s="8"/>
      <c r="B304" s="8"/>
      <c r="C304" s="8"/>
      <c r="D304" s="8"/>
      <c r="E304" s="9"/>
      <c r="F304" s="8"/>
      <c r="G304" s="143"/>
      <c r="H304" s="11"/>
      <c r="I304" s="143"/>
      <c r="J304" s="9"/>
      <c r="K304" s="143"/>
      <c r="L304" s="9"/>
      <c r="M304" s="8"/>
      <c r="N304" s="2"/>
      <c r="O304" s="2"/>
    </row>
    <row r="305" spans="1:15" x14ac:dyDescent="0.15">
      <c r="A305" s="8"/>
      <c r="B305" s="8"/>
      <c r="C305" s="8"/>
      <c r="D305" s="8"/>
      <c r="E305" s="9"/>
      <c r="F305" s="8"/>
      <c r="G305" s="143"/>
      <c r="H305" s="11"/>
      <c r="I305" s="143"/>
      <c r="J305" s="9"/>
      <c r="K305" s="143"/>
      <c r="L305" s="9"/>
      <c r="M305" s="8"/>
      <c r="N305" s="2"/>
      <c r="O305" s="2"/>
    </row>
    <row r="306" spans="1:15" x14ac:dyDescent="0.15">
      <c r="A306" s="8"/>
      <c r="B306" s="8"/>
      <c r="C306" s="8"/>
      <c r="D306" s="8"/>
      <c r="E306" s="9"/>
      <c r="F306" s="8"/>
      <c r="G306" s="143"/>
      <c r="H306" s="11"/>
      <c r="I306" s="143"/>
      <c r="J306" s="9"/>
      <c r="K306" s="143"/>
      <c r="L306" s="9"/>
      <c r="M306" s="8"/>
      <c r="N306" s="2"/>
      <c r="O306" s="2"/>
    </row>
    <row r="307" spans="1:15" x14ac:dyDescent="0.15">
      <c r="A307" s="8"/>
      <c r="B307" s="8"/>
      <c r="C307" s="8"/>
      <c r="D307" s="8"/>
      <c r="E307" s="9"/>
      <c r="F307" s="8"/>
      <c r="G307" s="143"/>
      <c r="H307" s="11"/>
      <c r="I307" s="143"/>
      <c r="J307" s="9"/>
      <c r="K307" s="143"/>
      <c r="L307" s="9"/>
      <c r="M307" s="8"/>
      <c r="N307" s="2"/>
      <c r="O307" s="2"/>
    </row>
    <row r="308" spans="1:15" x14ac:dyDescent="0.15">
      <c r="A308" s="8"/>
      <c r="B308" s="8"/>
      <c r="C308" s="8"/>
      <c r="D308" s="8"/>
      <c r="E308" s="9"/>
      <c r="F308" s="8"/>
      <c r="G308" s="143"/>
      <c r="H308" s="11"/>
      <c r="I308" s="143"/>
      <c r="J308" s="9"/>
      <c r="K308" s="143"/>
      <c r="L308" s="9"/>
      <c r="M308" s="8"/>
      <c r="N308" s="2"/>
      <c r="O308" s="2"/>
    </row>
    <row r="309" spans="1:15" x14ac:dyDescent="0.15">
      <c r="A309" s="8"/>
      <c r="B309" s="8"/>
      <c r="C309" s="8"/>
      <c r="D309" s="8"/>
      <c r="E309" s="9"/>
      <c r="F309" s="8"/>
      <c r="G309" s="143"/>
      <c r="H309" s="11"/>
      <c r="I309" s="143"/>
      <c r="J309" s="9"/>
      <c r="K309" s="143"/>
      <c r="L309" s="9"/>
      <c r="M309" s="8"/>
      <c r="N309" s="2"/>
      <c r="O309" s="2"/>
    </row>
    <row r="310" spans="1:15" x14ac:dyDescent="0.15">
      <c r="A310" s="8"/>
      <c r="B310" s="8"/>
      <c r="C310" s="8"/>
      <c r="D310" s="8"/>
      <c r="E310" s="9"/>
      <c r="F310" s="8"/>
      <c r="G310" s="143"/>
      <c r="H310" s="11"/>
      <c r="I310" s="143"/>
      <c r="J310" s="9"/>
      <c r="K310" s="143"/>
      <c r="L310" s="9"/>
      <c r="M310" s="8"/>
      <c r="N310" s="2"/>
      <c r="O310" s="2"/>
    </row>
    <row r="311" spans="1:15" x14ac:dyDescent="0.15">
      <c r="A311" s="8"/>
      <c r="B311" s="8"/>
      <c r="C311" s="8"/>
      <c r="D311" s="8"/>
      <c r="E311" s="9"/>
      <c r="F311" s="8"/>
      <c r="G311" s="143"/>
      <c r="H311" s="11"/>
      <c r="I311" s="143"/>
      <c r="J311" s="9"/>
      <c r="K311" s="143"/>
      <c r="L311" s="9"/>
      <c r="M311" s="8"/>
      <c r="N311" s="2"/>
      <c r="O311" s="2"/>
    </row>
    <row r="312" spans="1:15" x14ac:dyDescent="0.15">
      <c r="A312" s="8"/>
      <c r="B312" s="8"/>
      <c r="C312" s="8"/>
      <c r="D312" s="8"/>
      <c r="E312" s="9"/>
      <c r="F312" s="8"/>
      <c r="G312" s="143"/>
      <c r="H312" s="11"/>
      <c r="I312" s="143"/>
      <c r="J312" s="9"/>
      <c r="K312" s="143"/>
      <c r="L312" s="9"/>
      <c r="M312" s="8"/>
      <c r="N312" s="2"/>
      <c r="O312" s="2"/>
    </row>
    <row r="313" spans="1:15" x14ac:dyDescent="0.15">
      <c r="A313" s="8"/>
      <c r="B313" s="8"/>
      <c r="C313" s="8"/>
      <c r="D313" s="8"/>
      <c r="E313" s="9"/>
      <c r="F313" s="8"/>
      <c r="G313" s="143"/>
      <c r="H313" s="11"/>
      <c r="I313" s="143"/>
      <c r="J313" s="9"/>
      <c r="K313" s="143"/>
      <c r="L313" s="9"/>
      <c r="M313" s="8"/>
      <c r="N313" s="2"/>
      <c r="O313" s="2"/>
    </row>
    <row r="314" spans="1:15" x14ac:dyDescent="0.15">
      <c r="A314" s="8"/>
      <c r="B314" s="8"/>
      <c r="C314" s="8"/>
      <c r="D314" s="8"/>
      <c r="E314" s="9"/>
      <c r="F314" s="8"/>
      <c r="G314" s="143"/>
      <c r="H314" s="11"/>
      <c r="I314" s="143"/>
      <c r="J314" s="9"/>
      <c r="K314" s="143"/>
      <c r="L314" s="9"/>
      <c r="M314" s="8"/>
      <c r="N314" s="2"/>
      <c r="O314" s="2"/>
    </row>
    <row r="315" spans="1:15" x14ac:dyDescent="0.15">
      <c r="A315" s="8"/>
      <c r="B315" s="8"/>
      <c r="C315" s="8"/>
      <c r="D315" s="8"/>
      <c r="E315" s="9"/>
      <c r="F315" s="8"/>
      <c r="G315" s="143"/>
      <c r="H315" s="11"/>
      <c r="I315" s="143"/>
      <c r="J315" s="9"/>
      <c r="K315" s="143"/>
      <c r="L315" s="9"/>
      <c r="M315" s="8"/>
      <c r="N315" s="2"/>
      <c r="O315" s="2"/>
    </row>
    <row r="316" spans="1:15" x14ac:dyDescent="0.15">
      <c r="A316" s="8"/>
      <c r="B316" s="8"/>
      <c r="C316" s="8"/>
      <c r="D316" s="8"/>
      <c r="E316" s="9"/>
      <c r="F316" s="8"/>
      <c r="G316" s="143"/>
      <c r="H316" s="11"/>
      <c r="I316" s="143"/>
      <c r="J316" s="9"/>
      <c r="K316" s="143"/>
      <c r="L316" s="9"/>
      <c r="M316" s="8"/>
      <c r="N316" s="2"/>
      <c r="O316" s="2"/>
    </row>
    <row r="317" spans="1:15" x14ac:dyDescent="0.15">
      <c r="A317" s="8"/>
      <c r="B317" s="8"/>
      <c r="C317" s="8"/>
      <c r="D317" s="8"/>
      <c r="E317" s="9"/>
      <c r="F317" s="8"/>
      <c r="G317" s="143"/>
      <c r="H317" s="11"/>
      <c r="I317" s="143"/>
      <c r="J317" s="9"/>
      <c r="K317" s="143"/>
      <c r="L317" s="9"/>
      <c r="M317" s="8"/>
      <c r="N317" s="2"/>
      <c r="O317" s="2"/>
    </row>
    <row r="318" spans="1:15" x14ac:dyDescent="0.15">
      <c r="A318" s="8"/>
      <c r="B318" s="8"/>
      <c r="C318" s="8"/>
      <c r="D318" s="8"/>
      <c r="E318" s="9"/>
      <c r="F318" s="8"/>
      <c r="G318" s="143"/>
      <c r="H318" s="11"/>
      <c r="I318" s="143"/>
      <c r="J318" s="9"/>
      <c r="K318" s="143"/>
      <c r="L318" s="9"/>
      <c r="M318" s="8"/>
      <c r="N318" s="2"/>
      <c r="O318" s="2"/>
    </row>
    <row r="319" spans="1:15" x14ac:dyDescent="0.15">
      <c r="A319" s="8"/>
      <c r="B319" s="8"/>
      <c r="C319" s="8"/>
      <c r="D319" s="8"/>
      <c r="E319" s="9"/>
      <c r="F319" s="8"/>
      <c r="G319" s="143"/>
      <c r="H319" s="11"/>
      <c r="I319" s="143"/>
      <c r="J319" s="9"/>
      <c r="K319" s="143"/>
      <c r="L319" s="9"/>
      <c r="M319" s="8"/>
      <c r="N319" s="2"/>
      <c r="O319" s="2"/>
    </row>
    <row r="320" spans="1:15" x14ac:dyDescent="0.15">
      <c r="A320" s="8"/>
      <c r="B320" s="8"/>
      <c r="C320" s="8"/>
      <c r="D320" s="8"/>
      <c r="E320" s="9"/>
      <c r="F320" s="8"/>
      <c r="G320" s="143"/>
      <c r="H320" s="11"/>
      <c r="I320" s="143"/>
      <c r="J320" s="9"/>
      <c r="K320" s="143"/>
      <c r="L320" s="9"/>
      <c r="M320" s="8"/>
      <c r="N320" s="2"/>
      <c r="O320" s="2"/>
    </row>
    <row r="321" spans="1:15" x14ac:dyDescent="0.15">
      <c r="A321" s="8"/>
      <c r="B321" s="8"/>
      <c r="C321" s="8"/>
      <c r="D321" s="8"/>
      <c r="E321" s="9"/>
      <c r="F321" s="8"/>
      <c r="G321" s="143"/>
      <c r="H321" s="11"/>
      <c r="I321" s="143"/>
      <c r="J321" s="9"/>
      <c r="K321" s="143"/>
      <c r="L321" s="9"/>
      <c r="M321" s="8"/>
      <c r="N321" s="2"/>
      <c r="O321" s="2"/>
    </row>
    <row r="322" spans="1:15" x14ac:dyDescent="0.15">
      <c r="A322" s="8"/>
      <c r="B322" s="8"/>
      <c r="C322" s="8"/>
      <c r="D322" s="8"/>
      <c r="E322" s="9"/>
      <c r="F322" s="8"/>
      <c r="G322" s="143"/>
      <c r="H322" s="11"/>
      <c r="I322" s="143"/>
      <c r="J322" s="9"/>
      <c r="K322" s="143"/>
      <c r="L322" s="9"/>
      <c r="M322" s="8"/>
      <c r="N322" s="2"/>
      <c r="O322" s="2"/>
    </row>
    <row r="323" spans="1:15" x14ac:dyDescent="0.15">
      <c r="A323" s="8"/>
      <c r="B323" s="8"/>
      <c r="C323" s="8"/>
      <c r="D323" s="8"/>
      <c r="E323" s="9"/>
      <c r="F323" s="8"/>
      <c r="G323" s="143"/>
      <c r="H323" s="11"/>
      <c r="I323" s="143"/>
      <c r="J323" s="9"/>
      <c r="K323" s="143"/>
      <c r="L323" s="9"/>
      <c r="M323" s="8"/>
      <c r="N323" s="2"/>
      <c r="O323" s="2"/>
    </row>
    <row r="324" spans="1:15" x14ac:dyDescent="0.15">
      <c r="A324" s="8"/>
      <c r="B324" s="8"/>
      <c r="C324" s="8"/>
      <c r="D324" s="8"/>
      <c r="E324" s="9"/>
      <c r="F324" s="8"/>
      <c r="G324" s="143"/>
      <c r="H324" s="11"/>
      <c r="I324" s="143"/>
      <c r="J324" s="9"/>
      <c r="K324" s="143"/>
      <c r="L324" s="9"/>
      <c r="M324" s="8"/>
      <c r="N324" s="2"/>
      <c r="O324" s="2"/>
    </row>
    <row r="325" spans="1:15" x14ac:dyDescent="0.15">
      <c r="A325" s="8"/>
      <c r="B325" s="8"/>
      <c r="C325" s="8"/>
      <c r="D325" s="8"/>
      <c r="E325" s="9"/>
      <c r="F325" s="8"/>
      <c r="G325" s="143"/>
      <c r="H325" s="11"/>
      <c r="I325" s="143"/>
      <c r="J325" s="9"/>
      <c r="K325" s="143"/>
      <c r="L325" s="9"/>
      <c r="M325" s="8"/>
      <c r="N325" s="2"/>
      <c r="O325" s="2"/>
    </row>
    <row r="326" spans="1:15" x14ac:dyDescent="0.15">
      <c r="A326" s="8"/>
      <c r="B326" s="8"/>
      <c r="C326" s="8"/>
      <c r="D326" s="8"/>
      <c r="E326" s="9"/>
      <c r="F326" s="8"/>
      <c r="G326" s="143"/>
      <c r="H326" s="11"/>
      <c r="I326" s="143"/>
      <c r="J326" s="9"/>
      <c r="K326" s="143"/>
      <c r="L326" s="9"/>
      <c r="M326" s="8"/>
      <c r="N326" s="2"/>
      <c r="O326" s="2"/>
    </row>
    <row r="327" spans="1:15" x14ac:dyDescent="0.15">
      <c r="A327" s="8"/>
      <c r="B327" s="8"/>
      <c r="C327" s="8"/>
      <c r="D327" s="8"/>
      <c r="E327" s="9"/>
      <c r="F327" s="8"/>
      <c r="G327" s="143"/>
      <c r="H327" s="11"/>
      <c r="I327" s="143"/>
      <c r="J327" s="9"/>
      <c r="K327" s="143"/>
      <c r="L327" s="9"/>
      <c r="M327" s="8"/>
      <c r="N327" s="2"/>
      <c r="O327" s="2"/>
    </row>
    <row r="328" spans="1:15" x14ac:dyDescent="0.15">
      <c r="A328" s="8"/>
      <c r="B328" s="8"/>
      <c r="C328" s="8"/>
      <c r="D328" s="8"/>
      <c r="E328" s="9"/>
      <c r="F328" s="8"/>
      <c r="G328" s="143"/>
      <c r="H328" s="11"/>
      <c r="I328" s="143"/>
      <c r="J328" s="9"/>
      <c r="K328" s="143"/>
      <c r="L328" s="9"/>
      <c r="M328" s="8"/>
      <c r="N328" s="2"/>
      <c r="O328" s="2"/>
    </row>
    <row r="329" spans="1:15" x14ac:dyDescent="0.15">
      <c r="A329" s="8"/>
      <c r="B329" s="8"/>
      <c r="C329" s="8"/>
      <c r="D329" s="8"/>
      <c r="E329" s="9"/>
      <c r="F329" s="8"/>
      <c r="G329" s="143"/>
      <c r="H329" s="11"/>
      <c r="I329" s="143"/>
      <c r="J329" s="9"/>
      <c r="K329" s="143"/>
      <c r="L329" s="9"/>
      <c r="M329" s="8"/>
      <c r="N329" s="2"/>
      <c r="O329" s="2"/>
    </row>
    <row r="330" spans="1:15" x14ac:dyDescent="0.15">
      <c r="A330" s="8"/>
      <c r="B330" s="8"/>
      <c r="C330" s="8"/>
      <c r="D330" s="8"/>
      <c r="E330" s="9"/>
      <c r="F330" s="8"/>
      <c r="G330" s="143"/>
      <c r="H330" s="11"/>
      <c r="I330" s="143"/>
      <c r="J330" s="9"/>
      <c r="K330" s="143"/>
      <c r="L330" s="9"/>
      <c r="M330" s="8"/>
      <c r="N330" s="2"/>
      <c r="O330" s="2"/>
    </row>
    <row r="331" spans="1:15" x14ac:dyDescent="0.15">
      <c r="A331" s="8"/>
      <c r="B331" s="8"/>
      <c r="C331" s="8"/>
      <c r="D331" s="8"/>
      <c r="E331" s="9"/>
      <c r="F331" s="8"/>
      <c r="G331" s="143"/>
      <c r="H331" s="11"/>
      <c r="I331" s="143"/>
      <c r="J331" s="9"/>
      <c r="K331" s="143"/>
      <c r="L331" s="9"/>
      <c r="M331" s="8"/>
      <c r="N331" s="2"/>
      <c r="O331" s="2"/>
    </row>
    <row r="332" spans="1:15" x14ac:dyDescent="0.15">
      <c r="A332" s="8"/>
      <c r="B332" s="8"/>
      <c r="C332" s="8"/>
      <c r="D332" s="8"/>
      <c r="E332" s="9"/>
      <c r="F332" s="8"/>
      <c r="G332" s="143"/>
      <c r="H332" s="11"/>
      <c r="I332" s="143"/>
      <c r="J332" s="9"/>
      <c r="K332" s="143"/>
      <c r="L332" s="9"/>
      <c r="M332" s="8"/>
      <c r="N332" s="2"/>
      <c r="O332" s="2"/>
    </row>
    <row r="333" spans="1:15" x14ac:dyDescent="0.15">
      <c r="A333" s="8"/>
      <c r="B333" s="8"/>
      <c r="C333" s="8"/>
      <c r="D333" s="8"/>
      <c r="E333" s="9"/>
      <c r="F333" s="8"/>
      <c r="G333" s="143"/>
      <c r="H333" s="11"/>
      <c r="I333" s="143"/>
      <c r="J333" s="9"/>
      <c r="K333" s="143"/>
      <c r="L333" s="9"/>
      <c r="M333" s="8"/>
      <c r="N333" s="2"/>
      <c r="O333" s="2"/>
    </row>
    <row r="334" spans="1:15" x14ac:dyDescent="0.15">
      <c r="A334" s="8"/>
      <c r="B334" s="8"/>
      <c r="C334" s="8"/>
      <c r="D334" s="8"/>
      <c r="E334" s="9"/>
      <c r="F334" s="8"/>
      <c r="G334" s="143"/>
      <c r="H334" s="11"/>
      <c r="I334" s="143"/>
      <c r="J334" s="9"/>
      <c r="K334" s="143"/>
      <c r="L334" s="9"/>
      <c r="M334" s="8"/>
      <c r="N334" s="2"/>
      <c r="O334" s="2"/>
    </row>
    <row r="335" spans="1:15" x14ac:dyDescent="0.15">
      <c r="A335" s="8"/>
      <c r="B335" s="8"/>
      <c r="C335" s="8"/>
      <c r="D335" s="8"/>
      <c r="E335" s="9"/>
      <c r="F335" s="8"/>
      <c r="G335" s="143"/>
      <c r="H335" s="11"/>
      <c r="I335" s="143"/>
      <c r="J335" s="9"/>
      <c r="K335" s="143"/>
      <c r="L335" s="9"/>
      <c r="M335" s="8"/>
      <c r="N335" s="2"/>
      <c r="O335" s="2"/>
    </row>
    <row r="336" spans="1:15" x14ac:dyDescent="0.15">
      <c r="A336" s="8"/>
      <c r="B336" s="8"/>
      <c r="C336" s="8"/>
      <c r="D336" s="8"/>
      <c r="E336" s="9"/>
      <c r="F336" s="8"/>
      <c r="G336" s="143"/>
      <c r="H336" s="11"/>
      <c r="I336" s="143"/>
      <c r="J336" s="9"/>
      <c r="K336" s="143"/>
      <c r="L336" s="9"/>
      <c r="M336" s="8"/>
      <c r="N336" s="2"/>
      <c r="O336" s="2"/>
    </row>
    <row r="337" spans="1:15" x14ac:dyDescent="0.15">
      <c r="A337" s="8"/>
      <c r="B337" s="8"/>
      <c r="C337" s="8"/>
      <c r="D337" s="8"/>
      <c r="E337" s="9"/>
      <c r="F337" s="8"/>
      <c r="G337" s="143"/>
      <c r="H337" s="11"/>
      <c r="I337" s="143"/>
      <c r="J337" s="9"/>
      <c r="K337" s="143"/>
      <c r="L337" s="9"/>
      <c r="M337" s="8"/>
      <c r="N337" s="2"/>
      <c r="O337" s="2"/>
    </row>
    <row r="338" spans="1:15" x14ac:dyDescent="0.15">
      <c r="A338" s="8"/>
      <c r="B338" s="8"/>
      <c r="C338" s="8"/>
      <c r="D338" s="8"/>
      <c r="E338" s="9"/>
      <c r="F338" s="8"/>
      <c r="G338" s="143"/>
      <c r="H338" s="11"/>
      <c r="I338" s="143"/>
      <c r="J338" s="9"/>
      <c r="K338" s="143"/>
      <c r="L338" s="9"/>
      <c r="M338" s="8"/>
      <c r="N338" s="2"/>
      <c r="O338" s="2"/>
    </row>
    <row r="339" spans="1:15" x14ac:dyDescent="0.15">
      <c r="A339" s="8"/>
      <c r="B339" s="8"/>
      <c r="C339" s="8"/>
      <c r="D339" s="8"/>
      <c r="E339" s="9"/>
      <c r="F339" s="8"/>
      <c r="G339" s="143"/>
      <c r="H339" s="11"/>
      <c r="I339" s="143"/>
      <c r="J339" s="9"/>
      <c r="K339" s="143"/>
      <c r="L339" s="9"/>
      <c r="M339" s="8"/>
      <c r="N339" s="2"/>
      <c r="O339" s="2"/>
    </row>
    <row r="340" spans="1:15" x14ac:dyDescent="0.15">
      <c r="A340" s="8"/>
      <c r="B340" s="8"/>
      <c r="C340" s="8"/>
      <c r="D340" s="8"/>
      <c r="E340" s="9"/>
      <c r="F340" s="8"/>
      <c r="G340" s="143"/>
      <c r="H340" s="11"/>
      <c r="I340" s="143"/>
      <c r="J340" s="9"/>
      <c r="K340" s="143"/>
      <c r="L340" s="9"/>
      <c r="M340" s="8"/>
      <c r="N340" s="2"/>
      <c r="O340" s="2"/>
    </row>
    <row r="341" spans="1:15" x14ac:dyDescent="0.15">
      <c r="A341" s="8"/>
      <c r="B341" s="8"/>
      <c r="C341" s="8"/>
      <c r="D341" s="8"/>
      <c r="E341" s="9"/>
      <c r="F341" s="8"/>
      <c r="G341" s="143"/>
      <c r="H341" s="11"/>
      <c r="I341" s="143"/>
      <c r="J341" s="9"/>
      <c r="K341" s="143"/>
      <c r="L341" s="9"/>
      <c r="M341" s="8"/>
      <c r="N341" s="2"/>
      <c r="O341" s="2"/>
    </row>
    <row r="342" spans="1:15" x14ac:dyDescent="0.15">
      <c r="A342" s="8"/>
      <c r="B342" s="8"/>
      <c r="C342" s="8"/>
      <c r="D342" s="8"/>
      <c r="E342" s="9"/>
      <c r="F342" s="8"/>
      <c r="G342" s="143"/>
      <c r="H342" s="11"/>
      <c r="I342" s="143"/>
      <c r="J342" s="9"/>
      <c r="K342" s="143"/>
      <c r="L342" s="9"/>
      <c r="M342" s="8"/>
      <c r="N342" s="2"/>
      <c r="O342" s="2"/>
    </row>
    <row r="343" spans="1:15" x14ac:dyDescent="0.15">
      <c r="A343" s="8"/>
      <c r="B343" s="8"/>
      <c r="C343" s="8"/>
      <c r="D343" s="8"/>
      <c r="E343" s="9"/>
      <c r="F343" s="8"/>
      <c r="G343" s="143"/>
      <c r="H343" s="11"/>
      <c r="I343" s="143"/>
      <c r="J343" s="9"/>
      <c r="K343" s="143"/>
      <c r="L343" s="9"/>
      <c r="M343" s="8"/>
      <c r="N343" s="2"/>
      <c r="O343" s="2"/>
    </row>
    <row r="344" spans="1:15" x14ac:dyDescent="0.15">
      <c r="A344" s="8"/>
      <c r="B344" s="8"/>
      <c r="C344" s="8"/>
      <c r="D344" s="8"/>
      <c r="E344" s="9"/>
      <c r="F344" s="8"/>
      <c r="G344" s="143"/>
      <c r="H344" s="11"/>
      <c r="I344" s="143"/>
      <c r="J344" s="9"/>
      <c r="K344" s="143"/>
      <c r="L344" s="9"/>
      <c r="M344" s="8"/>
      <c r="N344" s="2"/>
      <c r="O344" s="2"/>
    </row>
    <row r="345" spans="1:15" x14ac:dyDescent="0.15">
      <c r="A345" s="8"/>
      <c r="B345" s="8"/>
      <c r="C345" s="8"/>
      <c r="D345" s="8"/>
      <c r="E345" s="9"/>
      <c r="F345" s="8"/>
      <c r="G345" s="143"/>
      <c r="H345" s="11"/>
      <c r="I345" s="143"/>
      <c r="J345" s="9"/>
      <c r="K345" s="143"/>
      <c r="L345" s="9"/>
      <c r="M345" s="8"/>
      <c r="N345" s="2"/>
      <c r="O345" s="2"/>
    </row>
    <row r="346" spans="1:15" x14ac:dyDescent="0.15">
      <c r="A346" s="8"/>
      <c r="B346" s="8"/>
      <c r="C346" s="8"/>
      <c r="D346" s="8"/>
      <c r="E346" s="9"/>
      <c r="F346" s="8"/>
      <c r="G346" s="143"/>
      <c r="H346" s="11"/>
      <c r="I346" s="143"/>
      <c r="J346" s="9"/>
      <c r="K346" s="143"/>
      <c r="L346" s="9"/>
      <c r="M346" s="8"/>
      <c r="N346" s="2"/>
      <c r="O346" s="2"/>
    </row>
    <row r="347" spans="1:15" x14ac:dyDescent="0.15">
      <c r="A347" s="8"/>
      <c r="B347" s="8"/>
      <c r="C347" s="8"/>
      <c r="D347" s="8"/>
      <c r="E347" s="9"/>
      <c r="F347" s="8"/>
      <c r="G347" s="143"/>
      <c r="H347" s="11"/>
      <c r="I347" s="143"/>
      <c r="J347" s="9"/>
      <c r="K347" s="143"/>
      <c r="L347" s="9"/>
      <c r="M347" s="8"/>
      <c r="N347" s="2"/>
      <c r="O347" s="2"/>
    </row>
    <row r="348" spans="1:15" x14ac:dyDescent="0.15">
      <c r="A348" s="8"/>
      <c r="B348" s="8"/>
      <c r="C348" s="8"/>
      <c r="D348" s="8"/>
      <c r="E348" s="9"/>
      <c r="F348" s="8"/>
      <c r="G348" s="143"/>
      <c r="H348" s="11"/>
      <c r="I348" s="143"/>
      <c r="J348" s="9"/>
      <c r="K348" s="143"/>
      <c r="L348" s="9"/>
      <c r="M348" s="8"/>
      <c r="N348" s="2"/>
      <c r="O348" s="2"/>
    </row>
    <row r="349" spans="1:15" x14ac:dyDescent="0.15">
      <c r="A349" s="8"/>
      <c r="B349" s="8"/>
      <c r="C349" s="8"/>
      <c r="D349" s="8"/>
      <c r="E349" s="9"/>
      <c r="F349" s="8"/>
      <c r="G349" s="143"/>
      <c r="H349" s="11"/>
      <c r="I349" s="143"/>
      <c r="J349" s="9"/>
      <c r="K349" s="143"/>
      <c r="L349" s="9"/>
      <c r="M349" s="8"/>
      <c r="N349" s="2"/>
      <c r="O349" s="2"/>
    </row>
    <row r="350" spans="1:15" x14ac:dyDescent="0.15">
      <c r="A350" s="8"/>
      <c r="B350" s="8"/>
      <c r="C350" s="8"/>
      <c r="D350" s="8"/>
      <c r="E350" s="9"/>
      <c r="F350" s="8"/>
      <c r="G350" s="143"/>
      <c r="H350" s="11"/>
      <c r="I350" s="143"/>
      <c r="J350" s="9"/>
      <c r="K350" s="143"/>
      <c r="L350" s="9"/>
      <c r="M350" s="8"/>
      <c r="N350" s="2"/>
      <c r="O350" s="2"/>
    </row>
    <row r="351" spans="1:15" x14ac:dyDescent="0.15">
      <c r="A351" s="8"/>
      <c r="B351" s="8"/>
      <c r="C351" s="8"/>
      <c r="D351" s="8"/>
      <c r="E351" s="9"/>
      <c r="F351" s="8"/>
      <c r="G351" s="143"/>
      <c r="H351" s="11"/>
      <c r="I351" s="143"/>
      <c r="J351" s="9"/>
      <c r="K351" s="143"/>
      <c r="L351" s="9"/>
      <c r="M351" s="8"/>
      <c r="N351" s="2"/>
      <c r="O351" s="2"/>
    </row>
    <row r="352" spans="1:15" x14ac:dyDescent="0.15">
      <c r="A352" s="8"/>
      <c r="B352" s="8"/>
      <c r="C352" s="8"/>
      <c r="D352" s="8"/>
      <c r="E352" s="9"/>
      <c r="F352" s="8"/>
      <c r="G352" s="143"/>
      <c r="H352" s="11"/>
      <c r="I352" s="143"/>
      <c r="J352" s="9"/>
      <c r="K352" s="143"/>
      <c r="L352" s="9"/>
      <c r="M352" s="8"/>
      <c r="N352" s="2"/>
      <c r="O352" s="2"/>
    </row>
    <row r="353" spans="1:15" x14ac:dyDescent="0.15">
      <c r="A353" s="8"/>
      <c r="B353" s="8"/>
      <c r="C353" s="8"/>
      <c r="D353" s="8"/>
      <c r="E353" s="9"/>
      <c r="F353" s="8"/>
      <c r="G353" s="143"/>
      <c r="H353" s="11"/>
      <c r="I353" s="143"/>
      <c r="J353" s="9"/>
      <c r="K353" s="143"/>
      <c r="L353" s="9"/>
      <c r="M353" s="8"/>
      <c r="N353" s="2"/>
      <c r="O353" s="2"/>
    </row>
    <row r="354" spans="1:15" x14ac:dyDescent="0.15">
      <c r="A354" s="8"/>
      <c r="B354" s="8"/>
      <c r="C354" s="8"/>
      <c r="D354" s="8"/>
      <c r="E354" s="9"/>
      <c r="F354" s="8"/>
      <c r="G354" s="143"/>
      <c r="H354" s="11"/>
      <c r="I354" s="143"/>
      <c r="J354" s="9"/>
      <c r="K354" s="143"/>
      <c r="L354" s="9"/>
      <c r="M354" s="8"/>
      <c r="N354" s="2"/>
      <c r="O354" s="2"/>
    </row>
    <row r="355" spans="1:15" x14ac:dyDescent="0.15">
      <c r="A355" s="8"/>
      <c r="B355" s="8"/>
      <c r="C355" s="8"/>
      <c r="D355" s="8"/>
      <c r="E355" s="9"/>
      <c r="F355" s="8"/>
      <c r="G355" s="143"/>
      <c r="H355" s="11"/>
      <c r="I355" s="143"/>
      <c r="J355" s="9"/>
      <c r="K355" s="143"/>
      <c r="L355" s="9"/>
      <c r="M355" s="8"/>
      <c r="N355" s="2"/>
      <c r="O355" s="2"/>
    </row>
    <row r="356" spans="1:15" x14ac:dyDescent="0.15">
      <c r="A356" s="8"/>
      <c r="B356" s="8"/>
      <c r="C356" s="8"/>
      <c r="D356" s="8"/>
      <c r="E356" s="9"/>
      <c r="F356" s="8"/>
      <c r="G356" s="143"/>
      <c r="H356" s="11"/>
      <c r="I356" s="143"/>
      <c r="J356" s="9"/>
      <c r="K356" s="143"/>
      <c r="L356" s="9"/>
      <c r="M356" s="8"/>
      <c r="N356" s="2"/>
      <c r="O356" s="2"/>
    </row>
    <row r="357" spans="1:15" x14ac:dyDescent="0.15">
      <c r="A357" s="8"/>
      <c r="B357" s="8"/>
      <c r="C357" s="8"/>
      <c r="D357" s="8"/>
      <c r="E357" s="9"/>
      <c r="F357" s="8"/>
      <c r="G357" s="143"/>
      <c r="H357" s="11"/>
      <c r="I357" s="143"/>
      <c r="J357" s="9"/>
      <c r="K357" s="143"/>
      <c r="L357" s="9"/>
      <c r="M357" s="8"/>
      <c r="N357" s="2"/>
      <c r="O357" s="2"/>
    </row>
    <row r="358" spans="1:15" x14ac:dyDescent="0.15">
      <c r="A358" s="8"/>
      <c r="B358" s="8"/>
      <c r="C358" s="8"/>
      <c r="D358" s="8"/>
      <c r="E358" s="9"/>
      <c r="F358" s="8"/>
      <c r="G358" s="143"/>
      <c r="H358" s="11"/>
      <c r="I358" s="143"/>
      <c r="J358" s="9"/>
      <c r="K358" s="143"/>
      <c r="L358" s="9"/>
      <c r="M358" s="8"/>
      <c r="N358" s="2"/>
      <c r="O358" s="2"/>
    </row>
    <row r="359" spans="1:15" x14ac:dyDescent="0.15">
      <c r="A359" s="8"/>
      <c r="B359" s="8"/>
      <c r="C359" s="8"/>
      <c r="D359" s="8"/>
      <c r="E359" s="9"/>
      <c r="F359" s="8"/>
      <c r="G359" s="143"/>
      <c r="H359" s="11"/>
      <c r="I359" s="143"/>
      <c r="J359" s="9"/>
      <c r="K359" s="143"/>
      <c r="L359" s="9"/>
      <c r="M359" s="8"/>
      <c r="N359" s="2"/>
      <c r="O359" s="2"/>
    </row>
    <row r="360" spans="1:15" x14ac:dyDescent="0.15">
      <c r="A360" s="8"/>
      <c r="B360" s="8"/>
      <c r="C360" s="8"/>
      <c r="D360" s="8"/>
      <c r="E360" s="9"/>
      <c r="F360" s="8"/>
      <c r="G360" s="143"/>
      <c r="H360" s="11"/>
      <c r="I360" s="143"/>
      <c r="J360" s="9"/>
      <c r="K360" s="143"/>
      <c r="L360" s="9"/>
      <c r="M360" s="8"/>
      <c r="N360" s="2"/>
      <c r="O360" s="2"/>
    </row>
    <row r="361" spans="1:15" x14ac:dyDescent="0.15">
      <c r="A361" s="8"/>
      <c r="B361" s="8"/>
      <c r="C361" s="8"/>
      <c r="D361" s="8"/>
      <c r="E361" s="9"/>
      <c r="F361" s="8"/>
      <c r="G361" s="143"/>
      <c r="H361" s="11"/>
      <c r="I361" s="143"/>
      <c r="J361" s="9"/>
      <c r="K361" s="143"/>
      <c r="L361" s="9"/>
      <c r="M361" s="8"/>
      <c r="N361" s="2"/>
      <c r="O361" s="2"/>
    </row>
    <row r="362" spans="1:15" x14ac:dyDescent="0.15">
      <c r="A362" s="8"/>
      <c r="B362" s="8"/>
      <c r="C362" s="8"/>
      <c r="D362" s="8"/>
      <c r="E362" s="9"/>
      <c r="F362" s="8"/>
      <c r="G362" s="143"/>
      <c r="H362" s="11"/>
      <c r="I362" s="143"/>
      <c r="J362" s="9"/>
      <c r="K362" s="143"/>
      <c r="L362" s="9"/>
      <c r="M362" s="8"/>
      <c r="N362" s="2"/>
      <c r="O362" s="2"/>
    </row>
    <row r="363" spans="1:15" x14ac:dyDescent="0.15">
      <c r="A363" s="8"/>
      <c r="B363" s="8"/>
      <c r="C363" s="8"/>
      <c r="D363" s="8"/>
      <c r="E363" s="9"/>
      <c r="F363" s="8"/>
      <c r="G363" s="143"/>
      <c r="H363" s="11"/>
      <c r="I363" s="143"/>
      <c r="J363" s="9"/>
      <c r="K363" s="143"/>
      <c r="L363" s="9"/>
      <c r="M363" s="8"/>
      <c r="N363" s="2"/>
      <c r="O363" s="2"/>
    </row>
    <row r="364" spans="1:15" x14ac:dyDescent="0.15">
      <c r="A364" s="8"/>
      <c r="B364" s="8"/>
      <c r="C364" s="8"/>
      <c r="D364" s="8"/>
      <c r="E364" s="9"/>
      <c r="F364" s="8"/>
      <c r="G364" s="143"/>
      <c r="H364" s="11"/>
      <c r="I364" s="143"/>
      <c r="J364" s="9"/>
      <c r="K364" s="143"/>
      <c r="L364" s="9"/>
      <c r="M364" s="8"/>
      <c r="N364" s="2"/>
      <c r="O364" s="2"/>
    </row>
    <row r="365" spans="1:15" x14ac:dyDescent="0.15">
      <c r="A365" s="8"/>
      <c r="B365" s="8"/>
      <c r="C365" s="8"/>
      <c r="D365" s="8"/>
      <c r="E365" s="9"/>
      <c r="F365" s="8"/>
      <c r="G365" s="143"/>
      <c r="H365" s="11"/>
      <c r="I365" s="143"/>
      <c r="J365" s="9"/>
      <c r="K365" s="143"/>
      <c r="L365" s="9"/>
      <c r="M365" s="8"/>
      <c r="N365" s="2"/>
      <c r="O365" s="2"/>
    </row>
    <row r="366" spans="1:15" x14ac:dyDescent="0.15">
      <c r="A366" s="8"/>
      <c r="B366" s="8"/>
      <c r="C366" s="8"/>
      <c r="D366" s="8"/>
      <c r="E366" s="9"/>
      <c r="F366" s="8"/>
      <c r="G366" s="143"/>
      <c r="H366" s="11"/>
      <c r="I366" s="143"/>
      <c r="J366" s="9"/>
      <c r="K366" s="143"/>
      <c r="L366" s="9"/>
      <c r="M366" s="8"/>
      <c r="N366" s="2"/>
      <c r="O366" s="2"/>
    </row>
    <row r="367" spans="1:15" x14ac:dyDescent="0.15">
      <c r="A367" s="8"/>
      <c r="B367" s="8"/>
      <c r="C367" s="8"/>
      <c r="D367" s="8"/>
      <c r="E367" s="9"/>
      <c r="F367" s="8"/>
      <c r="G367" s="143"/>
      <c r="H367" s="11"/>
      <c r="I367" s="143"/>
      <c r="J367" s="9"/>
      <c r="K367" s="143"/>
      <c r="L367" s="9"/>
      <c r="M367" s="8"/>
      <c r="N367" s="2"/>
      <c r="O367" s="2"/>
    </row>
    <row r="368" spans="1:15" x14ac:dyDescent="0.15">
      <c r="A368" s="8"/>
      <c r="B368" s="8"/>
      <c r="C368" s="8"/>
      <c r="D368" s="8"/>
      <c r="E368" s="9"/>
      <c r="F368" s="8"/>
      <c r="G368" s="143"/>
      <c r="H368" s="11"/>
      <c r="I368" s="143"/>
      <c r="J368" s="9"/>
      <c r="K368" s="143"/>
      <c r="L368" s="9"/>
      <c r="M368" s="8"/>
      <c r="N368" s="2"/>
      <c r="O368" s="2"/>
    </row>
    <row r="369" spans="1:15" x14ac:dyDescent="0.15">
      <c r="A369" s="8"/>
      <c r="B369" s="8"/>
      <c r="C369" s="8"/>
      <c r="D369" s="8"/>
      <c r="E369" s="9"/>
      <c r="F369" s="8"/>
      <c r="G369" s="143"/>
      <c r="H369" s="11"/>
      <c r="I369" s="143"/>
      <c r="J369" s="9"/>
      <c r="K369" s="143"/>
      <c r="L369" s="9"/>
      <c r="M369" s="8"/>
      <c r="N369" s="2"/>
      <c r="O369" s="2"/>
    </row>
    <row r="370" spans="1:15" x14ac:dyDescent="0.15">
      <c r="A370" s="8"/>
      <c r="B370" s="8"/>
      <c r="C370" s="8"/>
      <c r="D370" s="8"/>
      <c r="E370" s="9"/>
      <c r="F370" s="8"/>
      <c r="G370" s="143"/>
      <c r="H370" s="11"/>
      <c r="I370" s="143"/>
      <c r="J370" s="9"/>
      <c r="K370" s="143"/>
      <c r="L370" s="9"/>
      <c r="M370" s="8"/>
      <c r="N370" s="2"/>
      <c r="O370" s="2"/>
    </row>
    <row r="371" spans="1:15" x14ac:dyDescent="0.15">
      <c r="A371" s="8"/>
      <c r="B371" s="8"/>
      <c r="C371" s="8"/>
      <c r="D371" s="8"/>
      <c r="E371" s="9"/>
      <c r="F371" s="8"/>
      <c r="G371" s="143"/>
      <c r="H371" s="11"/>
      <c r="I371" s="143"/>
      <c r="J371" s="9"/>
      <c r="K371" s="143"/>
      <c r="L371" s="9"/>
      <c r="M371" s="8"/>
      <c r="N371" s="2"/>
      <c r="O371" s="2"/>
    </row>
    <row r="372" spans="1:15" x14ac:dyDescent="0.15">
      <c r="A372" s="8"/>
      <c r="B372" s="8"/>
      <c r="C372" s="8"/>
      <c r="D372" s="8"/>
      <c r="E372" s="9"/>
      <c r="F372" s="8"/>
      <c r="G372" s="143"/>
      <c r="H372" s="11"/>
      <c r="I372" s="143"/>
      <c r="J372" s="9"/>
      <c r="K372" s="143"/>
      <c r="L372" s="9"/>
      <c r="M372" s="8"/>
      <c r="N372" s="2"/>
      <c r="O372" s="2"/>
    </row>
    <row r="373" spans="1:15" x14ac:dyDescent="0.15">
      <c r="A373" s="8"/>
      <c r="B373" s="8"/>
      <c r="C373" s="8"/>
      <c r="D373" s="8"/>
      <c r="E373" s="9"/>
      <c r="F373" s="8"/>
      <c r="G373" s="143"/>
      <c r="H373" s="11"/>
      <c r="I373" s="143"/>
      <c r="J373" s="9"/>
      <c r="K373" s="143"/>
      <c r="L373" s="9"/>
      <c r="M373" s="8"/>
      <c r="N373" s="2"/>
      <c r="O373" s="2"/>
    </row>
    <row r="374" spans="1:15" x14ac:dyDescent="0.15">
      <c r="A374" s="8"/>
      <c r="B374" s="8"/>
      <c r="C374" s="8"/>
      <c r="D374" s="8"/>
      <c r="E374" s="9"/>
      <c r="F374" s="8"/>
      <c r="G374" s="143"/>
      <c r="H374" s="11"/>
      <c r="I374" s="143"/>
      <c r="J374" s="9"/>
      <c r="K374" s="143"/>
      <c r="L374" s="9"/>
      <c r="M374" s="8"/>
      <c r="N374" s="2"/>
      <c r="O374" s="2"/>
    </row>
    <row r="375" spans="1:15" x14ac:dyDescent="0.15">
      <c r="A375" s="8"/>
      <c r="B375" s="8"/>
      <c r="C375" s="8"/>
      <c r="D375" s="8"/>
      <c r="E375" s="9"/>
      <c r="F375" s="8"/>
      <c r="G375" s="143"/>
      <c r="H375" s="11"/>
      <c r="I375" s="143"/>
      <c r="J375" s="9"/>
      <c r="K375" s="143"/>
      <c r="L375" s="9"/>
      <c r="M375" s="8"/>
      <c r="N375" s="2"/>
      <c r="O375" s="2"/>
    </row>
    <row r="376" spans="1:15" x14ac:dyDescent="0.15">
      <c r="A376" s="8"/>
      <c r="B376" s="8"/>
      <c r="C376" s="8"/>
      <c r="D376" s="8"/>
      <c r="E376" s="9"/>
      <c r="F376" s="8"/>
      <c r="G376" s="143"/>
      <c r="H376" s="11"/>
      <c r="I376" s="143"/>
      <c r="J376" s="9"/>
      <c r="K376" s="143"/>
      <c r="L376" s="9"/>
      <c r="M376" s="8"/>
      <c r="N376" s="2"/>
      <c r="O376" s="2"/>
    </row>
    <row r="377" spans="1:15" x14ac:dyDescent="0.15">
      <c r="A377" s="8"/>
      <c r="B377" s="8"/>
      <c r="C377" s="8"/>
      <c r="D377" s="8"/>
      <c r="E377" s="9"/>
      <c r="F377" s="8"/>
      <c r="G377" s="143"/>
      <c r="H377" s="11"/>
      <c r="I377" s="143"/>
      <c r="J377" s="9"/>
      <c r="K377" s="143"/>
      <c r="L377" s="9"/>
      <c r="M377" s="8"/>
      <c r="N377" s="2"/>
      <c r="O377" s="2"/>
    </row>
    <row r="378" spans="1:15" x14ac:dyDescent="0.15">
      <c r="A378" s="8"/>
      <c r="B378" s="8"/>
      <c r="C378" s="8"/>
      <c r="D378" s="8"/>
      <c r="E378" s="9"/>
      <c r="F378" s="8"/>
      <c r="G378" s="143"/>
      <c r="H378" s="11"/>
      <c r="I378" s="143"/>
      <c r="J378" s="9"/>
      <c r="K378" s="143"/>
      <c r="L378" s="9"/>
      <c r="M378" s="8"/>
      <c r="N378" s="2"/>
      <c r="O378" s="2"/>
    </row>
    <row r="379" spans="1:15" x14ac:dyDescent="0.15">
      <c r="A379" s="8"/>
      <c r="B379" s="8"/>
      <c r="C379" s="8"/>
      <c r="D379" s="8"/>
      <c r="E379" s="9"/>
      <c r="F379" s="8"/>
      <c r="G379" s="143"/>
      <c r="H379" s="11"/>
      <c r="I379" s="143"/>
      <c r="J379" s="9"/>
      <c r="K379" s="143"/>
      <c r="L379" s="9"/>
      <c r="M379" s="8"/>
      <c r="N379" s="2"/>
      <c r="O379" s="2"/>
    </row>
    <row r="380" spans="1:15" x14ac:dyDescent="0.15">
      <c r="A380" s="8"/>
      <c r="B380" s="8"/>
      <c r="C380" s="8"/>
      <c r="D380" s="8"/>
      <c r="E380" s="9"/>
      <c r="F380" s="8"/>
      <c r="G380" s="143"/>
      <c r="H380" s="11"/>
      <c r="I380" s="143"/>
      <c r="J380" s="9"/>
      <c r="K380" s="143"/>
      <c r="L380" s="9"/>
      <c r="M380" s="8"/>
      <c r="N380" s="2"/>
      <c r="O380" s="2"/>
    </row>
    <row r="381" spans="1:15" x14ac:dyDescent="0.15">
      <c r="A381" s="8"/>
      <c r="B381" s="8"/>
      <c r="C381" s="8"/>
      <c r="D381" s="8"/>
      <c r="E381" s="9"/>
      <c r="F381" s="8"/>
      <c r="G381" s="143"/>
      <c r="H381" s="11"/>
      <c r="I381" s="143"/>
      <c r="J381" s="9"/>
      <c r="K381" s="143"/>
      <c r="L381" s="9"/>
      <c r="M381" s="8"/>
      <c r="N381" s="2"/>
      <c r="O381" s="2"/>
    </row>
    <row r="382" spans="1:15" x14ac:dyDescent="0.15">
      <c r="A382" s="8"/>
      <c r="B382" s="8"/>
      <c r="C382" s="8"/>
      <c r="D382" s="8"/>
      <c r="E382" s="9"/>
      <c r="F382" s="8"/>
      <c r="G382" s="143"/>
      <c r="H382" s="11"/>
      <c r="I382" s="143"/>
      <c r="J382" s="9"/>
      <c r="K382" s="143"/>
      <c r="L382" s="9"/>
      <c r="M382" s="8"/>
      <c r="N382" s="2"/>
      <c r="O382" s="2"/>
    </row>
    <row r="383" spans="1:15" x14ac:dyDescent="0.15">
      <c r="A383" s="8"/>
      <c r="B383" s="8"/>
      <c r="C383" s="8"/>
      <c r="D383" s="8"/>
      <c r="E383" s="9"/>
      <c r="F383" s="8"/>
      <c r="G383" s="143"/>
      <c r="H383" s="11"/>
      <c r="I383" s="143"/>
      <c r="J383" s="9"/>
      <c r="K383" s="143"/>
      <c r="L383" s="9"/>
      <c r="M383" s="8"/>
      <c r="N383" s="2"/>
      <c r="O383" s="2"/>
    </row>
    <row r="384" spans="1:15" x14ac:dyDescent="0.15">
      <c r="A384" s="8"/>
      <c r="B384" s="8"/>
      <c r="C384" s="8"/>
      <c r="D384" s="8"/>
      <c r="E384" s="9"/>
      <c r="F384" s="8"/>
      <c r="G384" s="143"/>
      <c r="H384" s="11"/>
      <c r="I384" s="143"/>
      <c r="J384" s="9"/>
      <c r="K384" s="143"/>
      <c r="L384" s="9"/>
      <c r="M384" s="8"/>
      <c r="N384" s="2"/>
      <c r="O384" s="2"/>
    </row>
    <row r="385" spans="1:15" x14ac:dyDescent="0.15">
      <c r="A385" s="8"/>
      <c r="B385" s="8"/>
      <c r="C385" s="8"/>
      <c r="D385" s="8"/>
      <c r="E385" s="9"/>
      <c r="F385" s="8"/>
      <c r="G385" s="143"/>
      <c r="H385" s="11"/>
      <c r="I385" s="143"/>
      <c r="J385" s="9"/>
      <c r="K385" s="143"/>
      <c r="L385" s="9"/>
      <c r="M385" s="8"/>
      <c r="N385" s="2"/>
      <c r="O385" s="2"/>
    </row>
    <row r="386" spans="1:15" x14ac:dyDescent="0.15">
      <c r="A386" s="8"/>
      <c r="B386" s="8"/>
      <c r="C386" s="8"/>
      <c r="D386" s="8"/>
      <c r="E386" s="9"/>
      <c r="F386" s="8"/>
      <c r="G386" s="143"/>
      <c r="H386" s="11"/>
      <c r="I386" s="143"/>
      <c r="J386" s="9"/>
      <c r="K386" s="143"/>
      <c r="L386" s="9"/>
      <c r="M386" s="8"/>
      <c r="N386" s="2"/>
      <c r="O386" s="2"/>
    </row>
    <row r="387" spans="1:15" x14ac:dyDescent="0.15">
      <c r="A387" s="8"/>
      <c r="B387" s="8"/>
      <c r="C387" s="8"/>
      <c r="D387" s="8"/>
      <c r="E387" s="9"/>
      <c r="F387" s="8"/>
      <c r="G387" s="143"/>
      <c r="H387" s="11"/>
      <c r="I387" s="143"/>
      <c r="J387" s="9"/>
      <c r="K387" s="143"/>
      <c r="L387" s="9"/>
      <c r="M387" s="8"/>
      <c r="N387" s="2"/>
      <c r="O387" s="2"/>
    </row>
    <row r="388" spans="1:15" x14ac:dyDescent="0.15">
      <c r="A388" s="8"/>
      <c r="B388" s="8"/>
      <c r="C388" s="8"/>
      <c r="D388" s="8"/>
      <c r="E388" s="9"/>
      <c r="F388" s="8"/>
      <c r="G388" s="143"/>
      <c r="H388" s="11"/>
      <c r="I388" s="143"/>
      <c r="J388" s="9"/>
      <c r="K388" s="143"/>
      <c r="L388" s="9"/>
      <c r="M388" s="8"/>
      <c r="N388" s="2"/>
      <c r="O388" s="2"/>
    </row>
    <row r="389" spans="1:15" x14ac:dyDescent="0.15">
      <c r="A389" s="8"/>
      <c r="B389" s="8"/>
      <c r="C389" s="8"/>
      <c r="D389" s="8"/>
      <c r="E389" s="9"/>
      <c r="F389" s="8"/>
      <c r="G389" s="143"/>
      <c r="H389" s="11"/>
      <c r="I389" s="143"/>
      <c r="J389" s="9"/>
      <c r="K389" s="143"/>
      <c r="L389" s="9"/>
      <c r="M389" s="8"/>
      <c r="N389" s="2"/>
      <c r="O389" s="2"/>
    </row>
    <row r="390" spans="1:15" x14ac:dyDescent="0.15">
      <c r="A390" s="8"/>
      <c r="B390" s="8"/>
      <c r="C390" s="8"/>
      <c r="D390" s="8"/>
      <c r="E390" s="9"/>
      <c r="F390" s="8"/>
      <c r="G390" s="143"/>
      <c r="H390" s="11"/>
      <c r="I390" s="143"/>
      <c r="J390" s="9"/>
      <c r="K390" s="143"/>
      <c r="L390" s="9"/>
      <c r="M390" s="8"/>
      <c r="N390" s="2"/>
      <c r="O390" s="2"/>
    </row>
    <row r="391" spans="1:15" x14ac:dyDescent="0.15">
      <c r="A391" s="8"/>
      <c r="B391" s="8"/>
      <c r="C391" s="8"/>
      <c r="D391" s="8"/>
      <c r="E391" s="9"/>
      <c r="F391" s="8"/>
      <c r="G391" s="143"/>
      <c r="H391" s="11"/>
      <c r="I391" s="143"/>
      <c r="J391" s="9"/>
      <c r="K391" s="143"/>
      <c r="L391" s="9"/>
      <c r="M391" s="8"/>
      <c r="N391" s="2"/>
      <c r="O391" s="2"/>
    </row>
    <row r="392" spans="1:15" x14ac:dyDescent="0.15">
      <c r="A392" s="8"/>
      <c r="B392" s="8"/>
      <c r="C392" s="8"/>
      <c r="D392" s="8"/>
      <c r="E392" s="9"/>
      <c r="F392" s="8"/>
      <c r="G392" s="143"/>
      <c r="H392" s="11"/>
      <c r="I392" s="143"/>
      <c r="J392" s="9"/>
      <c r="K392" s="143"/>
      <c r="L392" s="9"/>
      <c r="M392" s="8"/>
      <c r="N392" s="2"/>
      <c r="O392" s="2"/>
    </row>
    <row r="393" spans="1:15" x14ac:dyDescent="0.15">
      <c r="A393" s="8"/>
      <c r="B393" s="8"/>
      <c r="C393" s="8"/>
      <c r="D393" s="8"/>
      <c r="E393" s="9"/>
      <c r="F393" s="8"/>
      <c r="G393" s="143"/>
      <c r="H393" s="11"/>
      <c r="I393" s="143"/>
      <c r="J393" s="9"/>
      <c r="K393" s="143"/>
      <c r="L393" s="9"/>
      <c r="M393" s="8"/>
      <c r="N393" s="2"/>
      <c r="O393" s="2"/>
    </row>
    <row r="394" spans="1:15" x14ac:dyDescent="0.15">
      <c r="A394" s="8"/>
      <c r="B394" s="8"/>
      <c r="C394" s="8"/>
      <c r="D394" s="8"/>
      <c r="E394" s="9"/>
      <c r="F394" s="8"/>
      <c r="G394" s="143"/>
      <c r="H394" s="11"/>
      <c r="I394" s="143"/>
      <c r="J394" s="9"/>
      <c r="K394" s="143"/>
      <c r="L394" s="9"/>
      <c r="M394" s="8"/>
      <c r="N394" s="2"/>
      <c r="O394" s="2"/>
    </row>
    <row r="395" spans="1:15" x14ac:dyDescent="0.15">
      <c r="A395" s="8"/>
      <c r="B395" s="8"/>
      <c r="C395" s="8"/>
      <c r="D395" s="8"/>
      <c r="E395" s="9"/>
      <c r="F395" s="8"/>
      <c r="G395" s="143"/>
      <c r="H395" s="11"/>
      <c r="I395" s="143"/>
      <c r="J395" s="9"/>
      <c r="K395" s="143"/>
      <c r="L395" s="9"/>
      <c r="M395" s="8"/>
      <c r="N395" s="2"/>
      <c r="O395" s="2"/>
    </row>
    <row r="396" spans="1:15" x14ac:dyDescent="0.15">
      <c r="A396" s="8"/>
      <c r="B396" s="8"/>
      <c r="C396" s="8"/>
      <c r="D396" s="8"/>
      <c r="E396" s="9"/>
      <c r="F396" s="8"/>
      <c r="G396" s="143"/>
      <c r="H396" s="11"/>
      <c r="I396" s="143"/>
      <c r="J396" s="9"/>
      <c r="K396" s="143"/>
      <c r="L396" s="9"/>
      <c r="M396" s="8"/>
      <c r="N396" s="2"/>
      <c r="O396" s="2"/>
    </row>
    <row r="397" spans="1:15" x14ac:dyDescent="0.15">
      <c r="A397" s="8"/>
      <c r="B397" s="8"/>
      <c r="C397" s="8"/>
      <c r="D397" s="8"/>
      <c r="E397" s="9"/>
      <c r="F397" s="8"/>
      <c r="G397" s="143"/>
      <c r="H397" s="11"/>
      <c r="I397" s="143"/>
      <c r="J397" s="9"/>
      <c r="K397" s="143"/>
      <c r="L397" s="9"/>
      <c r="M397" s="8"/>
      <c r="N397" s="2"/>
      <c r="O397" s="2"/>
    </row>
    <row r="398" spans="1:15" x14ac:dyDescent="0.15">
      <c r="A398" s="8"/>
      <c r="B398" s="8"/>
      <c r="C398" s="8"/>
      <c r="D398" s="8"/>
      <c r="E398" s="9"/>
      <c r="F398" s="8"/>
      <c r="G398" s="143"/>
      <c r="H398" s="11"/>
      <c r="I398" s="143"/>
      <c r="J398" s="9"/>
      <c r="K398" s="143"/>
      <c r="L398" s="9"/>
      <c r="M398" s="8"/>
      <c r="N398" s="2"/>
      <c r="O398" s="2"/>
    </row>
    <row r="399" spans="1:15" x14ac:dyDescent="0.15">
      <c r="A399" s="8"/>
      <c r="B399" s="8"/>
      <c r="C399" s="8"/>
      <c r="D399" s="8"/>
      <c r="E399" s="9"/>
      <c r="F399" s="8"/>
      <c r="G399" s="143"/>
      <c r="H399" s="11"/>
      <c r="I399" s="143"/>
      <c r="J399" s="9"/>
      <c r="K399" s="143"/>
      <c r="L399" s="9"/>
      <c r="M399" s="8"/>
      <c r="N399" s="2"/>
      <c r="O399" s="2"/>
    </row>
    <row r="400" spans="1:15" x14ac:dyDescent="0.15">
      <c r="A400" s="8"/>
      <c r="B400" s="8"/>
      <c r="C400" s="8"/>
      <c r="D400" s="8"/>
      <c r="E400" s="9"/>
      <c r="F400" s="8"/>
      <c r="G400" s="143"/>
      <c r="H400" s="11"/>
      <c r="I400" s="143"/>
      <c r="J400" s="9"/>
      <c r="K400" s="143"/>
      <c r="L400" s="9"/>
      <c r="M400" s="8"/>
      <c r="N400" s="2"/>
      <c r="O400" s="2"/>
    </row>
    <row r="401" spans="1:15" x14ac:dyDescent="0.15">
      <c r="A401" s="8"/>
      <c r="B401" s="8"/>
      <c r="C401" s="8"/>
      <c r="D401" s="8"/>
      <c r="E401" s="9"/>
      <c r="F401" s="8"/>
      <c r="G401" s="143"/>
      <c r="H401" s="11"/>
      <c r="I401" s="143"/>
      <c r="J401" s="9"/>
      <c r="K401" s="143"/>
      <c r="L401" s="9"/>
      <c r="M401" s="8"/>
      <c r="N401" s="2"/>
      <c r="O401" s="2"/>
    </row>
    <row r="402" spans="1:15" x14ac:dyDescent="0.15">
      <c r="A402" s="8"/>
      <c r="B402" s="8"/>
      <c r="C402" s="8"/>
      <c r="D402" s="8"/>
      <c r="E402" s="9"/>
      <c r="F402" s="8"/>
      <c r="G402" s="143"/>
      <c r="H402" s="11"/>
      <c r="I402" s="143"/>
      <c r="J402" s="9"/>
      <c r="K402" s="143"/>
      <c r="L402" s="9"/>
      <c r="M402" s="8"/>
      <c r="N402" s="2"/>
      <c r="O402" s="2"/>
    </row>
    <row r="403" spans="1:15" x14ac:dyDescent="0.15">
      <c r="A403" s="8"/>
      <c r="B403" s="8"/>
      <c r="C403" s="8"/>
      <c r="D403" s="8"/>
      <c r="E403" s="9"/>
      <c r="F403" s="8"/>
      <c r="G403" s="143"/>
      <c r="H403" s="11"/>
      <c r="I403" s="143"/>
      <c r="J403" s="9"/>
      <c r="K403" s="143"/>
      <c r="L403" s="9"/>
      <c r="M403" s="8"/>
      <c r="N403" s="2"/>
      <c r="O403" s="2"/>
    </row>
    <row r="404" spans="1:15" x14ac:dyDescent="0.15">
      <c r="A404" s="8"/>
      <c r="B404" s="8"/>
      <c r="C404" s="8"/>
      <c r="D404" s="8"/>
      <c r="E404" s="9"/>
      <c r="F404" s="8"/>
      <c r="G404" s="143"/>
      <c r="H404" s="11"/>
      <c r="I404" s="143"/>
      <c r="J404" s="9"/>
      <c r="K404" s="143"/>
      <c r="L404" s="9"/>
      <c r="M404" s="8"/>
      <c r="N404" s="2"/>
      <c r="O404" s="2"/>
    </row>
    <row r="405" spans="1:15" x14ac:dyDescent="0.15">
      <c r="A405" s="8"/>
      <c r="B405" s="8"/>
      <c r="C405" s="8"/>
      <c r="D405" s="8"/>
      <c r="E405" s="9"/>
      <c r="F405" s="8"/>
      <c r="G405" s="143"/>
      <c r="H405" s="11"/>
      <c r="I405" s="143"/>
      <c r="J405" s="9"/>
      <c r="K405" s="143"/>
      <c r="L405" s="9"/>
      <c r="M405" s="8"/>
      <c r="N405" s="2"/>
      <c r="O405" s="2"/>
    </row>
    <row r="406" spans="1:15" x14ac:dyDescent="0.15">
      <c r="A406" s="8"/>
      <c r="B406" s="8"/>
      <c r="C406" s="8"/>
      <c r="D406" s="8"/>
      <c r="E406" s="9"/>
      <c r="F406" s="8"/>
      <c r="G406" s="143"/>
      <c r="H406" s="11"/>
      <c r="I406" s="143"/>
      <c r="J406" s="9"/>
      <c r="K406" s="143"/>
      <c r="L406" s="9"/>
      <c r="M406" s="8"/>
      <c r="N406" s="2"/>
      <c r="O406" s="2"/>
    </row>
    <row r="407" spans="1:15" x14ac:dyDescent="0.15">
      <c r="A407" s="8"/>
      <c r="B407" s="8"/>
      <c r="C407" s="8"/>
      <c r="D407" s="8"/>
      <c r="E407" s="9"/>
      <c r="F407" s="8"/>
      <c r="G407" s="143"/>
      <c r="H407" s="11"/>
      <c r="I407" s="143"/>
      <c r="J407" s="9"/>
      <c r="K407" s="143"/>
      <c r="L407" s="9"/>
      <c r="M407" s="8"/>
      <c r="N407" s="2"/>
      <c r="O407" s="2"/>
    </row>
    <row r="408" spans="1:15" x14ac:dyDescent="0.15">
      <c r="A408" s="8"/>
      <c r="B408" s="8"/>
      <c r="C408" s="8"/>
      <c r="D408" s="8"/>
      <c r="E408" s="9"/>
      <c r="F408" s="8"/>
      <c r="G408" s="143"/>
      <c r="H408" s="11"/>
      <c r="I408" s="143"/>
      <c r="J408" s="9"/>
      <c r="K408" s="143"/>
      <c r="L408" s="9"/>
      <c r="M408" s="8"/>
      <c r="N408" s="2"/>
      <c r="O408" s="2"/>
    </row>
    <row r="409" spans="1:15" x14ac:dyDescent="0.15">
      <c r="A409" s="8"/>
      <c r="B409" s="8"/>
      <c r="C409" s="8"/>
      <c r="D409" s="8"/>
      <c r="E409" s="9"/>
      <c r="F409" s="8"/>
      <c r="G409" s="143"/>
      <c r="H409" s="11"/>
      <c r="I409" s="143"/>
      <c r="J409" s="9"/>
      <c r="K409" s="143"/>
      <c r="L409" s="9"/>
      <c r="M409" s="8"/>
      <c r="N409" s="2"/>
      <c r="O409" s="2"/>
    </row>
    <row r="410" spans="1:15" x14ac:dyDescent="0.15">
      <c r="A410" s="8"/>
      <c r="B410" s="8"/>
      <c r="C410" s="8"/>
      <c r="D410" s="8"/>
      <c r="E410" s="9"/>
      <c r="F410" s="8"/>
      <c r="G410" s="143"/>
      <c r="H410" s="11"/>
      <c r="I410" s="143"/>
      <c r="J410" s="9"/>
      <c r="K410" s="143"/>
      <c r="L410" s="9"/>
      <c r="M410" s="8"/>
      <c r="N410" s="2"/>
      <c r="O410" s="2"/>
    </row>
    <row r="411" spans="1:15" x14ac:dyDescent="0.15">
      <c r="A411" s="8"/>
      <c r="B411" s="8"/>
      <c r="C411" s="8"/>
      <c r="D411" s="8"/>
      <c r="E411" s="9"/>
      <c r="F411" s="8"/>
      <c r="G411" s="143"/>
      <c r="H411" s="11"/>
      <c r="I411" s="143"/>
      <c r="J411" s="9"/>
      <c r="K411" s="143"/>
      <c r="L411" s="9"/>
      <c r="M411" s="8"/>
      <c r="N411" s="2"/>
      <c r="O411" s="2"/>
    </row>
    <row r="412" spans="1:15" x14ac:dyDescent="0.15">
      <c r="A412" s="8"/>
      <c r="B412" s="8"/>
      <c r="C412" s="8"/>
      <c r="D412" s="8"/>
      <c r="E412" s="9"/>
      <c r="F412" s="8"/>
      <c r="G412" s="143"/>
      <c r="H412" s="11"/>
      <c r="I412" s="143"/>
      <c r="J412" s="9"/>
      <c r="K412" s="143"/>
      <c r="L412" s="9"/>
      <c r="M412" s="8"/>
      <c r="N412" s="2"/>
      <c r="O412" s="2"/>
    </row>
    <row r="413" spans="1:15" x14ac:dyDescent="0.15">
      <c r="A413" s="8"/>
      <c r="B413" s="8"/>
      <c r="C413" s="8"/>
      <c r="D413" s="8"/>
      <c r="E413" s="9"/>
      <c r="F413" s="8"/>
      <c r="G413" s="143"/>
      <c r="H413" s="11"/>
      <c r="I413" s="143"/>
      <c r="J413" s="9"/>
      <c r="K413" s="143"/>
      <c r="L413" s="9"/>
      <c r="M413" s="8"/>
      <c r="N413" s="2"/>
      <c r="O413" s="2"/>
    </row>
    <row r="414" spans="1:15" x14ac:dyDescent="0.15">
      <c r="A414" s="8"/>
      <c r="B414" s="8"/>
      <c r="C414" s="8"/>
      <c r="D414" s="8"/>
      <c r="E414" s="9"/>
      <c r="F414" s="8"/>
      <c r="G414" s="143"/>
      <c r="H414" s="11"/>
      <c r="I414" s="143"/>
      <c r="J414" s="9"/>
      <c r="K414" s="143"/>
      <c r="L414" s="9"/>
      <c r="M414" s="8"/>
      <c r="N414" s="2"/>
      <c r="O414" s="2"/>
    </row>
    <row r="415" spans="1:15" x14ac:dyDescent="0.15">
      <c r="A415" s="8"/>
      <c r="B415" s="8"/>
      <c r="C415" s="8"/>
      <c r="D415" s="8"/>
      <c r="E415" s="9"/>
      <c r="F415" s="8"/>
      <c r="G415" s="143"/>
      <c r="H415" s="11"/>
      <c r="I415" s="143"/>
      <c r="J415" s="9"/>
      <c r="K415" s="143"/>
      <c r="L415" s="9"/>
      <c r="M415" s="8"/>
      <c r="N415" s="2"/>
      <c r="O415" s="2"/>
    </row>
    <row r="416" spans="1:15" x14ac:dyDescent="0.15">
      <c r="A416" s="8"/>
      <c r="B416" s="8"/>
      <c r="C416" s="8"/>
      <c r="D416" s="8"/>
      <c r="E416" s="9"/>
      <c r="F416" s="8"/>
      <c r="G416" s="143"/>
      <c r="H416" s="11"/>
      <c r="I416" s="143"/>
      <c r="J416" s="9"/>
      <c r="K416" s="143"/>
      <c r="L416" s="9"/>
      <c r="M416" s="8"/>
      <c r="N416" s="2"/>
      <c r="O416" s="2"/>
    </row>
    <row r="417" spans="1:15" x14ac:dyDescent="0.15">
      <c r="A417" s="8"/>
      <c r="B417" s="8"/>
      <c r="C417" s="8"/>
      <c r="D417" s="8"/>
      <c r="E417" s="9"/>
      <c r="F417" s="8"/>
      <c r="G417" s="143"/>
      <c r="H417" s="11"/>
      <c r="I417" s="143"/>
      <c r="J417" s="9"/>
      <c r="K417" s="143"/>
      <c r="L417" s="9"/>
      <c r="M417" s="8"/>
      <c r="N417" s="2"/>
      <c r="O417" s="2"/>
    </row>
    <row r="418" spans="1:15" x14ac:dyDescent="0.15">
      <c r="A418" s="8"/>
      <c r="B418" s="8"/>
      <c r="C418" s="8"/>
      <c r="D418" s="8"/>
      <c r="E418" s="9"/>
      <c r="F418" s="8"/>
      <c r="G418" s="143"/>
      <c r="H418" s="11"/>
      <c r="I418" s="143"/>
      <c r="J418" s="9"/>
      <c r="K418" s="143"/>
      <c r="L418" s="9"/>
      <c r="M418" s="8"/>
      <c r="N418" s="2"/>
      <c r="O418" s="2"/>
    </row>
    <row r="419" spans="1:15" x14ac:dyDescent="0.15">
      <c r="A419" s="8"/>
      <c r="B419" s="8"/>
      <c r="C419" s="8"/>
      <c r="D419" s="8"/>
      <c r="E419" s="9"/>
      <c r="F419" s="8"/>
      <c r="G419" s="143"/>
      <c r="H419" s="11"/>
      <c r="I419" s="143"/>
      <c r="J419" s="9"/>
      <c r="K419" s="143"/>
      <c r="L419" s="9"/>
      <c r="M419" s="8"/>
      <c r="N419" s="2"/>
      <c r="O419" s="2"/>
    </row>
    <row r="420" spans="1:15" x14ac:dyDescent="0.15">
      <c r="A420" s="8"/>
      <c r="B420" s="8"/>
      <c r="C420" s="8"/>
      <c r="D420" s="8"/>
      <c r="E420" s="9"/>
      <c r="F420" s="8"/>
      <c r="G420" s="143"/>
      <c r="H420" s="11"/>
      <c r="I420" s="143"/>
      <c r="J420" s="9"/>
      <c r="K420" s="143"/>
      <c r="L420" s="9"/>
      <c r="M420" s="8"/>
      <c r="N420" s="2"/>
      <c r="O420" s="2"/>
    </row>
    <row r="421" spans="1:15" x14ac:dyDescent="0.15">
      <c r="A421" s="8"/>
      <c r="B421" s="8"/>
      <c r="C421" s="8"/>
      <c r="D421" s="8"/>
      <c r="E421" s="9"/>
      <c r="F421" s="8"/>
      <c r="G421" s="143"/>
      <c r="H421" s="11"/>
      <c r="I421" s="143"/>
      <c r="J421" s="9"/>
      <c r="K421" s="143"/>
      <c r="L421" s="9"/>
      <c r="M421" s="8"/>
      <c r="N421" s="2"/>
      <c r="O421" s="2"/>
    </row>
    <row r="422" spans="1:15" x14ac:dyDescent="0.15">
      <c r="A422" s="8"/>
      <c r="B422" s="8"/>
      <c r="C422" s="8"/>
      <c r="D422" s="8"/>
      <c r="E422" s="9"/>
      <c r="F422" s="8"/>
      <c r="G422" s="143"/>
      <c r="H422" s="11"/>
      <c r="I422" s="143"/>
      <c r="J422" s="9"/>
      <c r="K422" s="143"/>
      <c r="L422" s="9"/>
      <c r="M422" s="8"/>
      <c r="N422" s="2"/>
      <c r="O422" s="2"/>
    </row>
    <row r="423" spans="1:15" x14ac:dyDescent="0.15">
      <c r="A423" s="8"/>
      <c r="B423" s="8"/>
      <c r="C423" s="8"/>
      <c r="D423" s="8"/>
      <c r="E423" s="9"/>
      <c r="F423" s="8"/>
      <c r="G423" s="143"/>
      <c r="H423" s="11"/>
      <c r="I423" s="143"/>
      <c r="J423" s="9"/>
      <c r="K423" s="143"/>
      <c r="L423" s="9"/>
      <c r="M423" s="8"/>
      <c r="N423" s="2"/>
      <c r="O423" s="2"/>
    </row>
    <row r="424" spans="1:15" x14ac:dyDescent="0.15">
      <c r="A424" s="8"/>
      <c r="B424" s="8"/>
      <c r="C424" s="8"/>
      <c r="D424" s="8"/>
      <c r="E424" s="9"/>
      <c r="F424" s="8"/>
      <c r="G424" s="143"/>
      <c r="H424" s="11"/>
      <c r="I424" s="143"/>
      <c r="J424" s="9"/>
      <c r="K424" s="143"/>
      <c r="L424" s="9"/>
      <c r="M424" s="8"/>
      <c r="N424" s="2"/>
      <c r="O424" s="2"/>
    </row>
    <row r="425" spans="1:15" x14ac:dyDescent="0.15">
      <c r="A425" s="8"/>
      <c r="B425" s="8"/>
      <c r="C425" s="8"/>
      <c r="D425" s="8"/>
      <c r="E425" s="9"/>
      <c r="F425" s="8"/>
      <c r="G425" s="143"/>
      <c r="H425" s="11"/>
      <c r="I425" s="143"/>
      <c r="J425" s="9"/>
      <c r="K425" s="143"/>
      <c r="L425" s="9"/>
      <c r="M425" s="8"/>
      <c r="N425" s="2"/>
      <c r="O425" s="2"/>
    </row>
    <row r="426" spans="1:15" x14ac:dyDescent="0.15">
      <c r="A426" s="8"/>
      <c r="B426" s="8"/>
      <c r="C426" s="8"/>
      <c r="D426" s="8"/>
      <c r="E426" s="9"/>
      <c r="F426" s="8"/>
      <c r="G426" s="143"/>
      <c r="H426" s="11"/>
      <c r="I426" s="143"/>
      <c r="J426" s="9"/>
      <c r="K426" s="143"/>
      <c r="L426" s="9"/>
      <c r="M426" s="8"/>
      <c r="N426" s="2"/>
      <c r="O426" s="2"/>
    </row>
    <row r="427" spans="1:15" x14ac:dyDescent="0.15">
      <c r="A427" s="8"/>
      <c r="B427" s="8"/>
      <c r="C427" s="8"/>
      <c r="D427" s="8"/>
      <c r="E427" s="9"/>
      <c r="F427" s="8"/>
      <c r="G427" s="143"/>
      <c r="H427" s="11"/>
      <c r="I427" s="143"/>
      <c r="J427" s="9"/>
      <c r="K427" s="143"/>
      <c r="L427" s="9"/>
      <c r="M427" s="8"/>
      <c r="N427" s="2"/>
      <c r="O427" s="2"/>
    </row>
    <row r="428" spans="1:15" x14ac:dyDescent="0.15">
      <c r="A428" s="8"/>
      <c r="B428" s="8"/>
      <c r="C428" s="8"/>
      <c r="D428" s="8"/>
      <c r="E428" s="9"/>
      <c r="F428" s="8"/>
      <c r="G428" s="143"/>
      <c r="H428" s="11"/>
      <c r="I428" s="143"/>
      <c r="J428" s="9"/>
      <c r="K428" s="143"/>
      <c r="L428" s="9"/>
      <c r="M428" s="8"/>
      <c r="N428" s="2"/>
      <c r="O428" s="2"/>
    </row>
    <row r="429" spans="1:15" x14ac:dyDescent="0.15">
      <c r="A429" s="8"/>
      <c r="B429" s="8"/>
      <c r="C429" s="8"/>
      <c r="D429" s="8"/>
      <c r="E429" s="9"/>
      <c r="F429" s="8"/>
      <c r="G429" s="143"/>
      <c r="H429" s="11"/>
      <c r="I429" s="143"/>
      <c r="J429" s="9"/>
      <c r="K429" s="143"/>
      <c r="L429" s="9"/>
      <c r="M429" s="8"/>
      <c r="N429" s="2"/>
      <c r="O429" s="2"/>
    </row>
    <row r="430" spans="1:15" x14ac:dyDescent="0.15">
      <c r="A430" s="8"/>
      <c r="B430" s="8"/>
      <c r="C430" s="8"/>
      <c r="D430" s="8"/>
      <c r="E430" s="9"/>
      <c r="F430" s="8"/>
      <c r="G430" s="143"/>
      <c r="H430" s="11"/>
      <c r="I430" s="143"/>
      <c r="J430" s="9"/>
      <c r="K430" s="143"/>
      <c r="L430" s="9"/>
      <c r="M430" s="8"/>
      <c r="N430" s="2"/>
      <c r="O430" s="2"/>
    </row>
    <row r="431" spans="1:15" x14ac:dyDescent="0.15">
      <c r="A431" s="8"/>
      <c r="B431" s="8"/>
      <c r="C431" s="8"/>
      <c r="D431" s="8"/>
      <c r="E431" s="9"/>
      <c r="F431" s="8"/>
      <c r="G431" s="143"/>
      <c r="H431" s="11"/>
      <c r="I431" s="143"/>
      <c r="J431" s="9"/>
      <c r="K431" s="143"/>
      <c r="L431" s="9"/>
      <c r="M431" s="8"/>
      <c r="N431" s="2"/>
      <c r="O431" s="2"/>
    </row>
    <row r="432" spans="1:15" x14ac:dyDescent="0.15">
      <c r="A432" s="8"/>
      <c r="B432" s="8"/>
      <c r="C432" s="8"/>
      <c r="D432" s="8"/>
      <c r="E432" s="9"/>
      <c r="F432" s="8"/>
      <c r="G432" s="143"/>
      <c r="H432" s="11"/>
      <c r="I432" s="143"/>
      <c r="J432" s="9"/>
      <c r="K432" s="143"/>
      <c r="L432" s="9"/>
      <c r="M432" s="8"/>
      <c r="N432" s="2"/>
      <c r="O432" s="2"/>
    </row>
    <row r="433" spans="1:15" x14ac:dyDescent="0.15">
      <c r="A433" s="8"/>
      <c r="B433" s="8"/>
      <c r="C433" s="8"/>
      <c r="D433" s="8"/>
      <c r="E433" s="9"/>
      <c r="F433" s="8"/>
      <c r="G433" s="143"/>
      <c r="H433" s="11"/>
      <c r="I433" s="143"/>
      <c r="J433" s="9"/>
      <c r="K433" s="143"/>
      <c r="L433" s="9"/>
      <c r="M433" s="8"/>
      <c r="N433" s="2"/>
      <c r="O433" s="2"/>
    </row>
    <row r="434" spans="1:15" x14ac:dyDescent="0.15">
      <c r="A434" s="8"/>
      <c r="B434" s="8"/>
      <c r="C434" s="8"/>
      <c r="D434" s="8"/>
      <c r="E434" s="9"/>
      <c r="F434" s="8"/>
      <c r="G434" s="143"/>
      <c r="H434" s="11"/>
      <c r="I434" s="143"/>
      <c r="J434" s="9"/>
      <c r="K434" s="143"/>
      <c r="L434" s="9"/>
      <c r="M434" s="8"/>
      <c r="N434" s="2"/>
      <c r="O434" s="2"/>
    </row>
    <row r="435" spans="1:15" x14ac:dyDescent="0.15">
      <c r="A435" s="8"/>
      <c r="B435" s="8"/>
      <c r="C435" s="8"/>
      <c r="D435" s="8"/>
      <c r="E435" s="9"/>
      <c r="F435" s="8"/>
      <c r="G435" s="143"/>
      <c r="H435" s="11"/>
      <c r="I435" s="143"/>
      <c r="J435" s="9"/>
      <c r="K435" s="143"/>
      <c r="L435" s="9"/>
      <c r="M435" s="8"/>
      <c r="N435" s="2"/>
      <c r="O435" s="2"/>
    </row>
    <row r="436" spans="1:15" outlineLevel="1" x14ac:dyDescent="0.15">
      <c r="A436" s="8"/>
      <c r="B436" s="8"/>
      <c r="C436" s="8"/>
      <c r="D436" s="8"/>
      <c r="E436" s="9"/>
      <c r="F436" s="8"/>
      <c r="G436" s="10"/>
      <c r="H436" s="11"/>
      <c r="I436" s="8"/>
      <c r="J436" s="9"/>
      <c r="K436" s="8"/>
      <c r="L436" s="9"/>
      <c r="M436" s="8"/>
      <c r="N436" s="2"/>
      <c r="O436" s="2"/>
    </row>
    <row r="437" spans="1:15" outlineLevel="1" x14ac:dyDescent="0.15">
      <c r="A437" s="8"/>
      <c r="B437" s="8"/>
      <c r="C437" s="8"/>
      <c r="D437" s="8"/>
      <c r="E437" s="9"/>
      <c r="F437" s="8"/>
      <c r="G437" s="10"/>
      <c r="H437" s="11"/>
      <c r="I437" s="8"/>
      <c r="J437" s="9"/>
      <c r="K437" s="8"/>
      <c r="L437" s="9"/>
      <c r="M437" s="8"/>
      <c r="N437" s="2"/>
      <c r="O437" s="2"/>
    </row>
    <row r="438" spans="1:15" outlineLevel="1" x14ac:dyDescent="0.15">
      <c r="A438" s="8"/>
      <c r="B438" s="8"/>
      <c r="C438" s="8"/>
      <c r="D438" s="8"/>
      <c r="E438" s="9"/>
      <c r="F438" s="8"/>
      <c r="G438" s="10"/>
      <c r="H438" s="11"/>
      <c r="I438" s="8"/>
      <c r="J438" s="9"/>
      <c r="K438" s="8"/>
      <c r="L438" s="9"/>
      <c r="M438" s="8"/>
      <c r="N438" s="2"/>
      <c r="O438" s="2"/>
    </row>
    <row r="439" spans="1:15" outlineLevel="1" x14ac:dyDescent="0.15">
      <c r="A439" s="8"/>
      <c r="B439" s="8"/>
      <c r="C439" s="8"/>
      <c r="D439" s="8"/>
      <c r="E439" s="9"/>
      <c r="F439" s="8"/>
      <c r="G439" s="10"/>
      <c r="H439" s="11"/>
      <c r="I439" s="8"/>
      <c r="J439" s="9"/>
      <c r="K439" s="8"/>
      <c r="L439" s="9"/>
      <c r="M439" s="8"/>
      <c r="N439" s="2"/>
      <c r="O439" s="2"/>
    </row>
    <row r="440" spans="1:15" outlineLevel="1" x14ac:dyDescent="0.15">
      <c r="A440" s="8"/>
      <c r="B440" s="8"/>
      <c r="C440" s="8"/>
      <c r="D440" s="8"/>
      <c r="E440" s="9"/>
      <c r="F440" s="8"/>
      <c r="G440" s="10"/>
      <c r="H440" s="11"/>
      <c r="I440" s="8"/>
      <c r="J440" s="9"/>
      <c r="K440" s="8"/>
      <c r="L440" s="9"/>
      <c r="M440" s="8"/>
      <c r="N440" s="2"/>
      <c r="O440" s="2"/>
    </row>
    <row r="441" spans="1:15" outlineLevel="1" x14ac:dyDescent="0.15">
      <c r="A441" s="8"/>
      <c r="B441" s="8"/>
      <c r="C441" s="8"/>
      <c r="D441" s="8"/>
      <c r="E441" s="9"/>
      <c r="F441" s="8"/>
      <c r="G441" s="10"/>
      <c r="H441" s="11"/>
      <c r="I441" s="8"/>
      <c r="J441" s="9"/>
      <c r="K441" s="8"/>
      <c r="L441" s="9"/>
      <c r="M441" s="8"/>
      <c r="N441" s="2"/>
      <c r="O441" s="2"/>
    </row>
    <row r="442" spans="1:15" outlineLevel="1" x14ac:dyDescent="0.15">
      <c r="A442" s="8"/>
      <c r="B442" s="8"/>
      <c r="C442" s="8"/>
      <c r="D442" s="8"/>
      <c r="E442" s="9"/>
      <c r="F442" s="8"/>
      <c r="G442" s="10"/>
      <c r="H442" s="11"/>
      <c r="I442" s="8"/>
      <c r="J442" s="9"/>
      <c r="K442" s="8"/>
      <c r="L442" s="9"/>
      <c r="M442" s="8"/>
      <c r="N442" s="2"/>
      <c r="O442" s="2"/>
    </row>
    <row r="443" spans="1:15" outlineLevel="1" x14ac:dyDescent="0.15">
      <c r="A443" s="8"/>
      <c r="B443" s="8"/>
      <c r="C443" s="8"/>
      <c r="D443" s="8"/>
      <c r="E443" s="9"/>
      <c r="F443" s="8"/>
      <c r="G443" s="10"/>
      <c r="H443" s="11"/>
      <c r="I443" s="8"/>
      <c r="J443" s="9"/>
      <c r="K443" s="8"/>
      <c r="L443" s="9"/>
      <c r="M443" s="8"/>
      <c r="N443" s="2"/>
      <c r="O443" s="2"/>
    </row>
    <row r="444" spans="1:15" outlineLevel="1" x14ac:dyDescent="0.15">
      <c r="A444" s="8"/>
      <c r="B444" s="8"/>
      <c r="C444" s="8"/>
      <c r="D444" s="8"/>
      <c r="E444" s="9"/>
      <c r="F444" s="8"/>
      <c r="G444" s="10"/>
      <c r="H444" s="11"/>
      <c r="I444" s="8"/>
      <c r="J444" s="9"/>
      <c r="K444" s="8"/>
      <c r="L444" s="9"/>
      <c r="M444" s="8"/>
      <c r="N444" s="2"/>
      <c r="O444" s="2"/>
    </row>
    <row r="445" spans="1:15" outlineLevel="1" x14ac:dyDescent="0.15">
      <c r="A445" s="8"/>
      <c r="B445" s="8"/>
      <c r="C445" s="8"/>
      <c r="D445" s="8"/>
      <c r="E445" s="9"/>
      <c r="F445" s="8"/>
      <c r="G445" s="10"/>
      <c r="H445" s="11"/>
      <c r="I445" s="8"/>
      <c r="J445" s="9"/>
      <c r="K445" s="8"/>
      <c r="L445" s="9"/>
      <c r="M445" s="8"/>
      <c r="N445" s="2"/>
      <c r="O445" s="2"/>
    </row>
    <row r="446" spans="1:15" outlineLevel="1" x14ac:dyDescent="0.15">
      <c r="A446" s="8"/>
      <c r="B446" s="8"/>
      <c r="C446" s="8"/>
      <c r="D446" s="8"/>
      <c r="E446" s="9"/>
      <c r="F446" s="8"/>
      <c r="G446" s="10"/>
      <c r="H446" s="11"/>
      <c r="I446" s="8"/>
      <c r="J446" s="9"/>
      <c r="K446" s="8"/>
      <c r="L446" s="9"/>
      <c r="M446" s="8"/>
      <c r="N446" s="2"/>
      <c r="O446" s="2"/>
    </row>
    <row r="447" spans="1:15" outlineLevel="1" x14ac:dyDescent="0.15">
      <c r="A447" s="8"/>
      <c r="B447" s="8"/>
      <c r="C447" s="8"/>
      <c r="D447" s="8"/>
      <c r="E447" s="9"/>
      <c r="F447" s="8"/>
      <c r="G447" s="10"/>
      <c r="H447" s="11"/>
      <c r="I447" s="8"/>
      <c r="J447" s="9"/>
      <c r="K447" s="8"/>
      <c r="L447" s="9"/>
      <c r="M447" s="8"/>
      <c r="N447" s="2"/>
      <c r="O447" s="2"/>
    </row>
    <row r="448" spans="1:15" outlineLevel="1" x14ac:dyDescent="0.15">
      <c r="A448" s="8"/>
      <c r="B448" s="8"/>
      <c r="C448" s="8"/>
      <c r="D448" s="8"/>
      <c r="E448" s="9"/>
      <c r="F448" s="8"/>
      <c r="G448" s="10"/>
      <c r="H448" s="11"/>
      <c r="I448" s="8"/>
      <c r="J448" s="9"/>
      <c r="K448" s="8"/>
      <c r="L448" s="9"/>
      <c r="M448" s="8"/>
      <c r="N448" s="2"/>
      <c r="O448" s="2"/>
    </row>
    <row r="449" spans="1:15" outlineLevel="1" x14ac:dyDescent="0.15">
      <c r="A449" s="8"/>
      <c r="B449" s="8"/>
      <c r="C449" s="8"/>
      <c r="D449" s="8"/>
      <c r="E449" s="9"/>
      <c r="F449" s="8"/>
      <c r="G449" s="10"/>
      <c r="H449" s="11"/>
      <c r="I449" s="8"/>
      <c r="J449" s="9"/>
      <c r="K449" s="8"/>
      <c r="L449" s="9"/>
      <c r="M449" s="8"/>
      <c r="N449" s="2"/>
      <c r="O449" s="2"/>
    </row>
    <row r="450" spans="1:15" outlineLevel="1" x14ac:dyDescent="0.15">
      <c r="A450" s="8"/>
      <c r="B450" s="8"/>
      <c r="C450" s="8"/>
      <c r="D450" s="8"/>
      <c r="E450" s="9"/>
      <c r="F450" s="8"/>
      <c r="G450" s="10"/>
      <c r="H450" s="11"/>
      <c r="I450" s="8"/>
      <c r="J450" s="9"/>
      <c r="K450" s="8"/>
      <c r="L450" s="9"/>
      <c r="M450" s="8"/>
      <c r="N450" s="2"/>
      <c r="O450" s="2"/>
    </row>
    <row r="451" spans="1:15" outlineLevel="1" x14ac:dyDescent="0.15">
      <c r="A451" s="8"/>
      <c r="B451" s="8"/>
      <c r="C451" s="8"/>
      <c r="D451" s="8"/>
      <c r="E451" s="9"/>
      <c r="F451" s="8"/>
      <c r="G451" s="10"/>
      <c r="H451" s="11"/>
      <c r="I451" s="8"/>
      <c r="J451" s="9"/>
      <c r="K451" s="8"/>
      <c r="L451" s="9"/>
      <c r="M451" s="8"/>
      <c r="N451" s="2"/>
      <c r="O451" s="2"/>
    </row>
    <row r="452" spans="1:15" outlineLevel="1" x14ac:dyDescent="0.15">
      <c r="A452" s="8"/>
      <c r="B452" s="8"/>
      <c r="C452" s="8"/>
      <c r="D452" s="8"/>
      <c r="E452" s="9"/>
      <c r="F452" s="8"/>
      <c r="G452" s="10"/>
      <c r="H452" s="11"/>
      <c r="I452" s="8"/>
      <c r="J452" s="9"/>
      <c r="K452" s="8"/>
      <c r="L452" s="9"/>
      <c r="M452" s="8"/>
      <c r="N452" s="2"/>
      <c r="O452" s="2"/>
    </row>
    <row r="453" spans="1:15" outlineLevel="1" x14ac:dyDescent="0.15">
      <c r="A453" s="8"/>
      <c r="B453" s="8"/>
      <c r="C453" s="8"/>
      <c r="D453" s="8"/>
      <c r="E453" s="9"/>
      <c r="F453" s="8"/>
      <c r="G453" s="10"/>
      <c r="H453" s="11"/>
      <c r="I453" s="8"/>
      <c r="J453" s="9"/>
      <c r="K453" s="8"/>
      <c r="L453" s="9"/>
      <c r="M453" s="8"/>
      <c r="N453" s="2"/>
      <c r="O453" s="2"/>
    </row>
    <row r="454" spans="1:15" outlineLevel="1" x14ac:dyDescent="0.15">
      <c r="A454" s="8"/>
      <c r="B454" s="8"/>
      <c r="C454" s="8"/>
      <c r="D454" s="8"/>
      <c r="E454" s="9"/>
      <c r="F454" s="8"/>
      <c r="G454" s="10"/>
      <c r="H454" s="11"/>
      <c r="I454" s="8"/>
      <c r="J454" s="9"/>
      <c r="K454" s="8"/>
      <c r="L454" s="9"/>
      <c r="M454" s="8"/>
      <c r="N454" s="2"/>
      <c r="O454" s="2"/>
    </row>
    <row r="455" spans="1:15" outlineLevel="1" x14ac:dyDescent="0.15">
      <c r="A455" s="8"/>
      <c r="B455" s="8"/>
      <c r="C455" s="8"/>
      <c r="D455" s="8"/>
      <c r="E455" s="9"/>
      <c r="F455" s="8"/>
      <c r="G455" s="10"/>
      <c r="H455" s="11"/>
      <c r="I455" s="8"/>
      <c r="J455" s="9"/>
      <c r="K455" s="8"/>
      <c r="L455" s="9"/>
      <c r="M455" s="8"/>
      <c r="N455" s="2"/>
      <c r="O455" s="2"/>
    </row>
    <row r="456" spans="1:15" outlineLevel="1" x14ac:dyDescent="0.15">
      <c r="A456" s="8"/>
      <c r="B456" s="8"/>
      <c r="C456" s="8"/>
      <c r="D456" s="8"/>
      <c r="E456" s="9"/>
      <c r="F456" s="8"/>
      <c r="G456" s="10"/>
      <c r="H456" s="11"/>
      <c r="I456" s="8"/>
      <c r="J456" s="9"/>
      <c r="K456" s="8"/>
      <c r="L456" s="9"/>
      <c r="M456" s="8"/>
      <c r="N456" s="2"/>
      <c r="O456" s="2"/>
    </row>
    <row r="457" spans="1:15" outlineLevel="1" x14ac:dyDescent="0.15">
      <c r="A457" s="8"/>
      <c r="B457" s="8"/>
      <c r="C457" s="8"/>
      <c r="D457" s="8"/>
      <c r="E457" s="9"/>
      <c r="F457" s="8"/>
      <c r="G457" s="10"/>
      <c r="H457" s="11"/>
      <c r="I457" s="8"/>
      <c r="J457" s="9"/>
      <c r="K457" s="8"/>
      <c r="L457" s="9"/>
      <c r="M457" s="8"/>
      <c r="N457" s="2"/>
      <c r="O457" s="2"/>
    </row>
    <row r="458" spans="1:15" outlineLevel="1" x14ac:dyDescent="0.15">
      <c r="A458" s="8"/>
      <c r="B458" s="8"/>
      <c r="C458" s="8"/>
      <c r="D458" s="8"/>
      <c r="E458" s="9"/>
      <c r="F458" s="8"/>
      <c r="G458" s="10"/>
      <c r="H458" s="11"/>
      <c r="I458" s="8"/>
      <c r="J458" s="9"/>
      <c r="K458" s="8"/>
      <c r="L458" s="9"/>
      <c r="M458" s="8"/>
      <c r="N458" s="2"/>
      <c r="O458" s="2"/>
    </row>
    <row r="459" spans="1:15" outlineLevel="1" x14ac:dyDescent="0.15">
      <c r="A459" s="8"/>
      <c r="B459" s="8"/>
      <c r="C459" s="8"/>
      <c r="D459" s="8"/>
      <c r="E459" s="9"/>
      <c r="F459" s="8"/>
      <c r="G459" s="10"/>
      <c r="H459" s="11"/>
      <c r="I459" s="8"/>
      <c r="J459" s="9"/>
      <c r="K459" s="8"/>
      <c r="L459" s="9"/>
      <c r="M459" s="8"/>
      <c r="N459" s="2"/>
      <c r="O459" s="2"/>
    </row>
    <row r="460" spans="1:15" outlineLevel="1" x14ac:dyDescent="0.15">
      <c r="A460" s="8"/>
      <c r="B460" s="8"/>
      <c r="C460" s="8"/>
      <c r="D460" s="8"/>
      <c r="E460" s="9"/>
      <c r="F460" s="8"/>
      <c r="G460" s="10"/>
      <c r="H460" s="11"/>
      <c r="I460" s="8"/>
      <c r="J460" s="9"/>
      <c r="K460" s="8"/>
      <c r="L460" s="9"/>
      <c r="M460" s="8"/>
      <c r="N460" s="2"/>
      <c r="O460" s="2"/>
    </row>
    <row r="461" spans="1:15" outlineLevel="1" x14ac:dyDescent="0.15">
      <c r="A461" s="8"/>
      <c r="B461" s="8"/>
      <c r="C461" s="8"/>
      <c r="D461" s="8"/>
      <c r="E461" s="9"/>
      <c r="F461" s="8"/>
      <c r="G461" s="10"/>
      <c r="H461" s="11"/>
      <c r="I461" s="8"/>
      <c r="J461" s="9"/>
      <c r="K461" s="8"/>
      <c r="L461" s="9"/>
      <c r="M461" s="8"/>
      <c r="N461" s="2"/>
      <c r="O461" s="2"/>
    </row>
    <row r="462" spans="1:15" outlineLevel="1" x14ac:dyDescent="0.15">
      <c r="A462" s="8"/>
      <c r="B462" s="8"/>
      <c r="C462" s="8"/>
      <c r="D462" s="8"/>
      <c r="E462" s="9"/>
      <c r="F462" s="8"/>
      <c r="G462" s="10"/>
      <c r="H462" s="11"/>
      <c r="I462" s="8"/>
      <c r="J462" s="9"/>
      <c r="K462" s="8"/>
      <c r="L462" s="9"/>
      <c r="M462" s="8"/>
      <c r="N462" s="2"/>
      <c r="O462" s="2"/>
    </row>
    <row r="463" spans="1:15" outlineLevel="1" x14ac:dyDescent="0.15">
      <c r="A463" s="8"/>
      <c r="B463" s="8"/>
      <c r="C463" s="8"/>
      <c r="D463" s="8"/>
      <c r="E463" s="9"/>
      <c r="F463" s="8"/>
      <c r="G463" s="10"/>
      <c r="H463" s="11"/>
      <c r="I463" s="8"/>
      <c r="J463" s="9"/>
      <c r="K463" s="8"/>
      <c r="L463" s="9"/>
      <c r="M463" s="8"/>
      <c r="N463" s="2"/>
      <c r="O463" s="2"/>
    </row>
    <row r="464" spans="1:15" outlineLevel="1" x14ac:dyDescent="0.15">
      <c r="A464" s="8"/>
      <c r="B464" s="8"/>
      <c r="C464" s="8"/>
      <c r="D464" s="8"/>
      <c r="E464" s="9"/>
      <c r="F464" s="8"/>
      <c r="G464" s="10"/>
      <c r="H464" s="11"/>
      <c r="I464" s="8"/>
      <c r="J464" s="9"/>
      <c r="K464" s="8"/>
      <c r="L464" s="9"/>
      <c r="M464" s="8"/>
      <c r="N464" s="2"/>
      <c r="O464" s="2"/>
    </row>
    <row r="465" spans="1:15" outlineLevel="1" x14ac:dyDescent="0.15">
      <c r="A465" s="8"/>
      <c r="B465" s="8"/>
      <c r="C465" s="8"/>
      <c r="D465" s="8"/>
      <c r="E465" s="9"/>
      <c r="F465" s="8"/>
      <c r="G465" s="10"/>
      <c r="H465" s="11"/>
      <c r="I465" s="8"/>
      <c r="J465" s="9"/>
      <c r="K465" s="8"/>
      <c r="L465" s="9"/>
      <c r="M465" s="8"/>
      <c r="N465" s="2"/>
      <c r="O465" s="2"/>
    </row>
    <row r="466" spans="1:15" outlineLevel="1" x14ac:dyDescent="0.15">
      <c r="A466" s="8"/>
      <c r="B466" s="8"/>
      <c r="C466" s="8"/>
      <c r="D466" s="8"/>
      <c r="E466" s="9"/>
      <c r="F466" s="8"/>
      <c r="G466" s="10"/>
      <c r="H466" s="11"/>
      <c r="I466" s="8"/>
      <c r="J466" s="9"/>
      <c r="K466" s="8"/>
      <c r="L466" s="9"/>
      <c r="M466" s="8"/>
      <c r="N466" s="2"/>
      <c r="O466" s="2"/>
    </row>
    <row r="467" spans="1:15" outlineLevel="1" x14ac:dyDescent="0.15">
      <c r="A467" s="8"/>
      <c r="B467" s="8"/>
      <c r="C467" s="8"/>
      <c r="D467" s="8"/>
      <c r="E467" s="9"/>
      <c r="F467" s="8"/>
      <c r="G467" s="10"/>
      <c r="H467" s="11"/>
      <c r="I467" s="8"/>
      <c r="J467" s="9"/>
      <c r="K467" s="8"/>
      <c r="L467" s="9"/>
      <c r="M467" s="8"/>
      <c r="N467" s="2"/>
      <c r="O467" s="2"/>
    </row>
    <row r="468" spans="1:15" outlineLevel="1" x14ac:dyDescent="0.15">
      <c r="A468" s="8"/>
      <c r="B468" s="8"/>
      <c r="C468" s="8"/>
      <c r="D468" s="8"/>
      <c r="E468" s="9"/>
      <c r="F468" s="8"/>
      <c r="G468" s="10"/>
      <c r="H468" s="11"/>
      <c r="I468" s="8"/>
      <c r="J468" s="9"/>
      <c r="K468" s="8"/>
      <c r="L468" s="9"/>
      <c r="M468" s="8"/>
      <c r="N468" s="2"/>
      <c r="O468" s="2"/>
    </row>
    <row r="469" spans="1:15" outlineLevel="1" x14ac:dyDescent="0.15">
      <c r="A469" s="8"/>
      <c r="B469" s="8"/>
      <c r="C469" s="8"/>
      <c r="D469" s="8"/>
      <c r="E469" s="9"/>
      <c r="F469" s="8"/>
      <c r="G469" s="10"/>
      <c r="H469" s="11"/>
      <c r="I469" s="8"/>
      <c r="J469" s="9"/>
      <c r="K469" s="8"/>
      <c r="L469" s="9"/>
      <c r="M469" s="8"/>
      <c r="N469" s="2"/>
      <c r="O469" s="2"/>
    </row>
    <row r="470" spans="1:15" outlineLevel="1" x14ac:dyDescent="0.15">
      <c r="A470" s="8"/>
      <c r="B470" s="8"/>
      <c r="C470" s="8"/>
      <c r="D470" s="8"/>
      <c r="E470" s="9"/>
      <c r="F470" s="8"/>
      <c r="G470" s="10"/>
      <c r="H470" s="11"/>
      <c r="I470" s="8"/>
      <c r="J470" s="9"/>
      <c r="K470" s="8"/>
      <c r="L470" s="9"/>
      <c r="M470" s="8"/>
      <c r="N470" s="2"/>
      <c r="O470" s="2"/>
    </row>
    <row r="471" spans="1:15" outlineLevel="1" x14ac:dyDescent="0.15">
      <c r="A471" s="8"/>
      <c r="B471" s="8"/>
      <c r="C471" s="8"/>
      <c r="D471" s="8"/>
      <c r="E471" s="9"/>
      <c r="F471" s="8"/>
      <c r="G471" s="10"/>
      <c r="H471" s="11"/>
      <c r="I471" s="8"/>
      <c r="J471" s="9"/>
      <c r="K471" s="8"/>
      <c r="L471" s="9"/>
      <c r="M471" s="8"/>
      <c r="N471" s="2"/>
      <c r="O471" s="2"/>
    </row>
    <row r="472" spans="1:15" outlineLevel="1" x14ac:dyDescent="0.15">
      <c r="A472" s="8"/>
      <c r="B472" s="8"/>
      <c r="C472" s="8"/>
      <c r="D472" s="8"/>
      <c r="E472" s="9"/>
      <c r="F472" s="8"/>
      <c r="G472" s="10"/>
      <c r="H472" s="11"/>
      <c r="I472" s="8"/>
      <c r="J472" s="9"/>
      <c r="K472" s="8"/>
      <c r="L472" s="9"/>
      <c r="M472" s="8"/>
      <c r="N472" s="2"/>
      <c r="O472" s="2"/>
    </row>
    <row r="473" spans="1:15" outlineLevel="1" x14ac:dyDescent="0.15">
      <c r="A473" s="8"/>
      <c r="B473" s="8"/>
      <c r="C473" s="8"/>
      <c r="D473" s="8"/>
      <c r="E473" s="9"/>
      <c r="F473" s="8"/>
      <c r="G473" s="10"/>
      <c r="H473" s="11"/>
      <c r="I473" s="8"/>
      <c r="J473" s="9"/>
      <c r="K473" s="8"/>
      <c r="L473" s="9"/>
      <c r="M473" s="8"/>
      <c r="N473" s="2"/>
      <c r="O473" s="2"/>
    </row>
    <row r="474" spans="1:15" outlineLevel="1" x14ac:dyDescent="0.15">
      <c r="A474" s="8"/>
      <c r="B474" s="8"/>
      <c r="C474" s="8"/>
      <c r="D474" s="8"/>
      <c r="E474" s="9"/>
      <c r="F474" s="8"/>
      <c r="G474" s="10"/>
      <c r="H474" s="11"/>
      <c r="I474" s="8"/>
      <c r="J474" s="9"/>
      <c r="K474" s="8"/>
      <c r="L474" s="9"/>
      <c r="M474" s="8"/>
      <c r="N474" s="2"/>
      <c r="O474" s="2"/>
    </row>
    <row r="475" spans="1:15" outlineLevel="1" x14ac:dyDescent="0.15">
      <c r="A475" s="8"/>
      <c r="B475" s="8"/>
      <c r="C475" s="8"/>
      <c r="D475" s="8"/>
      <c r="E475" s="9"/>
      <c r="F475" s="8"/>
      <c r="G475" s="10"/>
      <c r="H475" s="11"/>
      <c r="I475" s="8"/>
      <c r="J475" s="9"/>
      <c r="K475" s="8"/>
      <c r="L475" s="9"/>
      <c r="M475" s="8"/>
      <c r="N475" s="2"/>
      <c r="O475" s="2"/>
    </row>
    <row r="476" spans="1:15" outlineLevel="1" x14ac:dyDescent="0.15">
      <c r="A476" s="8"/>
      <c r="B476" s="8"/>
      <c r="C476" s="8"/>
      <c r="D476" s="8"/>
      <c r="E476" s="9"/>
      <c r="F476" s="8"/>
      <c r="G476" s="10"/>
      <c r="H476" s="11"/>
      <c r="I476" s="8"/>
      <c r="J476" s="9"/>
      <c r="K476" s="8"/>
      <c r="L476" s="9"/>
      <c r="M476" s="8"/>
      <c r="N476" s="2"/>
      <c r="O476" s="2"/>
    </row>
    <row r="477" spans="1:15" outlineLevel="1" x14ac:dyDescent="0.15">
      <c r="A477" s="8"/>
      <c r="B477" s="8"/>
      <c r="C477" s="8"/>
      <c r="D477" s="8"/>
      <c r="E477" s="9"/>
      <c r="F477" s="8"/>
      <c r="G477" s="10"/>
      <c r="H477" s="11"/>
      <c r="I477" s="8"/>
      <c r="J477" s="9"/>
      <c r="K477" s="8"/>
      <c r="L477" s="9"/>
      <c r="M477" s="8"/>
      <c r="N477" s="2"/>
      <c r="O477" s="2"/>
    </row>
    <row r="478" spans="1:15" outlineLevel="1" x14ac:dyDescent="0.15">
      <c r="A478" s="8"/>
      <c r="B478" s="8"/>
      <c r="C478" s="8"/>
      <c r="D478" s="8"/>
      <c r="E478" s="9"/>
      <c r="F478" s="8"/>
      <c r="G478" s="10"/>
      <c r="H478" s="11"/>
      <c r="I478" s="8"/>
      <c r="J478" s="9"/>
      <c r="K478" s="8"/>
      <c r="L478" s="9"/>
      <c r="M478" s="8"/>
      <c r="N478" s="2"/>
      <c r="O478" s="2"/>
    </row>
    <row r="479" spans="1:15" outlineLevel="1" x14ac:dyDescent="0.15">
      <c r="A479" s="8"/>
      <c r="B479" s="8"/>
      <c r="C479" s="8"/>
      <c r="D479" s="8"/>
      <c r="E479" s="9"/>
      <c r="F479" s="8"/>
      <c r="G479" s="10"/>
      <c r="H479" s="11"/>
      <c r="I479" s="8"/>
      <c r="J479" s="9"/>
      <c r="K479" s="8"/>
      <c r="L479" s="9"/>
      <c r="M479" s="8"/>
      <c r="N479" s="2"/>
      <c r="O479" s="2"/>
    </row>
    <row r="480" spans="1:15" outlineLevel="1" x14ac:dyDescent="0.15">
      <c r="A480" s="8"/>
      <c r="B480" s="8"/>
      <c r="C480" s="8"/>
      <c r="D480" s="8"/>
      <c r="E480" s="9"/>
      <c r="F480" s="8"/>
      <c r="G480" s="10"/>
      <c r="H480" s="11"/>
      <c r="I480" s="8"/>
      <c r="J480" s="9"/>
      <c r="K480" s="8"/>
      <c r="L480" s="9"/>
      <c r="M480" s="8"/>
      <c r="N480" s="2"/>
      <c r="O480" s="2"/>
    </row>
    <row r="481" spans="1:15" outlineLevel="1" x14ac:dyDescent="0.15">
      <c r="A481" s="8"/>
      <c r="B481" s="8"/>
      <c r="C481" s="8"/>
      <c r="D481" s="8"/>
      <c r="E481" s="9"/>
      <c r="F481" s="8"/>
      <c r="G481" s="10"/>
      <c r="H481" s="11"/>
      <c r="I481" s="8"/>
      <c r="J481" s="9"/>
      <c r="K481" s="8"/>
      <c r="L481" s="9"/>
      <c r="M481" s="8"/>
      <c r="N481" s="2"/>
      <c r="O481" s="2"/>
    </row>
    <row r="482" spans="1:15" outlineLevel="1" x14ac:dyDescent="0.15">
      <c r="A482" s="8"/>
      <c r="B482" s="8"/>
      <c r="C482" s="8"/>
      <c r="D482" s="8"/>
      <c r="E482" s="9"/>
      <c r="F482" s="8"/>
      <c r="G482" s="10"/>
      <c r="H482" s="11"/>
      <c r="I482" s="8"/>
      <c r="J482" s="9"/>
      <c r="K482" s="8"/>
      <c r="L482" s="9"/>
      <c r="M482" s="8"/>
      <c r="N482" s="2"/>
      <c r="O482" s="2"/>
    </row>
    <row r="483" spans="1:15" outlineLevel="1" x14ac:dyDescent="0.15">
      <c r="A483" s="8"/>
      <c r="B483" s="8"/>
      <c r="C483" s="8"/>
      <c r="D483" s="8"/>
      <c r="E483" s="9"/>
      <c r="F483" s="8"/>
      <c r="G483" s="10"/>
      <c r="H483" s="11"/>
      <c r="I483" s="8"/>
      <c r="J483" s="9"/>
      <c r="K483" s="8"/>
      <c r="L483" s="9"/>
      <c r="M483" s="8"/>
      <c r="N483" s="2"/>
      <c r="O483" s="2"/>
    </row>
    <row r="484" spans="1:15" outlineLevel="1" x14ac:dyDescent="0.15">
      <c r="A484" s="8"/>
      <c r="B484" s="8"/>
      <c r="C484" s="8"/>
      <c r="D484" s="8"/>
      <c r="E484" s="9"/>
      <c r="F484" s="8"/>
      <c r="G484" s="10"/>
      <c r="H484" s="11"/>
      <c r="I484" s="8"/>
      <c r="J484" s="9"/>
      <c r="K484" s="8"/>
      <c r="L484" s="9"/>
      <c r="M484" s="8"/>
      <c r="N484" s="2"/>
      <c r="O484" s="2"/>
    </row>
    <row r="485" spans="1:15" outlineLevel="1" x14ac:dyDescent="0.15">
      <c r="A485" s="8"/>
      <c r="B485" s="8"/>
      <c r="C485" s="8"/>
      <c r="D485" s="8"/>
      <c r="E485" s="9"/>
      <c r="F485" s="8"/>
      <c r="G485" s="10"/>
      <c r="H485" s="11"/>
      <c r="I485" s="8"/>
      <c r="J485" s="9"/>
      <c r="K485" s="8"/>
      <c r="L485" s="9"/>
      <c r="M485" s="8"/>
      <c r="N485" s="2"/>
      <c r="O485" s="2"/>
    </row>
    <row r="486" spans="1:15" outlineLevel="1" x14ac:dyDescent="0.15">
      <c r="A486" s="8"/>
      <c r="B486" s="8"/>
      <c r="C486" s="8"/>
      <c r="D486" s="8"/>
      <c r="E486" s="9"/>
      <c r="F486" s="8"/>
      <c r="G486" s="10"/>
      <c r="H486" s="11"/>
      <c r="I486" s="8"/>
      <c r="J486" s="9"/>
      <c r="K486" s="8"/>
      <c r="L486" s="9"/>
      <c r="M486" s="8"/>
      <c r="N486" s="2"/>
      <c r="O486" s="2"/>
    </row>
    <row r="487" spans="1:15" outlineLevel="1" x14ac:dyDescent="0.15">
      <c r="A487" s="8"/>
      <c r="B487" s="8"/>
      <c r="C487" s="8"/>
      <c r="D487" s="8"/>
      <c r="E487" s="9"/>
      <c r="F487" s="8"/>
      <c r="G487" s="10"/>
      <c r="H487" s="11"/>
      <c r="I487" s="8"/>
      <c r="J487" s="9"/>
      <c r="K487" s="8"/>
      <c r="L487" s="9"/>
      <c r="M487" s="8"/>
      <c r="N487" s="2"/>
      <c r="O487" s="2"/>
    </row>
    <row r="488" spans="1:15" outlineLevel="1" x14ac:dyDescent="0.15">
      <c r="A488" s="8"/>
      <c r="B488" s="8"/>
      <c r="C488" s="8"/>
      <c r="D488" s="8"/>
      <c r="E488" s="9"/>
      <c r="F488" s="8"/>
      <c r="G488" s="10"/>
      <c r="H488" s="11"/>
      <c r="I488" s="8"/>
      <c r="J488" s="9"/>
      <c r="K488" s="8"/>
      <c r="L488" s="9"/>
      <c r="M488" s="8"/>
      <c r="N488" s="2"/>
      <c r="O488" s="2"/>
    </row>
    <row r="489" spans="1:15" outlineLevel="1" x14ac:dyDescent="0.15">
      <c r="A489" s="8"/>
      <c r="B489" s="8"/>
      <c r="C489" s="8"/>
      <c r="D489" s="8"/>
      <c r="E489" s="9"/>
      <c r="F489" s="8"/>
      <c r="G489" s="10"/>
      <c r="H489" s="11"/>
      <c r="I489" s="8"/>
      <c r="J489" s="9"/>
      <c r="K489" s="8"/>
      <c r="L489" s="9"/>
      <c r="M489" s="8"/>
      <c r="N489" s="2"/>
      <c r="O489" s="2"/>
    </row>
    <row r="490" spans="1:15" outlineLevel="1" x14ac:dyDescent="0.15">
      <c r="A490" s="8"/>
      <c r="B490" s="8"/>
      <c r="C490" s="8"/>
      <c r="D490" s="8"/>
      <c r="E490" s="9"/>
      <c r="F490" s="8"/>
      <c r="G490" s="10"/>
      <c r="H490" s="11"/>
      <c r="I490" s="8"/>
      <c r="J490" s="9"/>
      <c r="K490" s="8"/>
      <c r="L490" s="9"/>
      <c r="M490" s="8"/>
      <c r="N490" s="2"/>
      <c r="O490" s="2"/>
    </row>
    <row r="491" spans="1:15" outlineLevel="1" x14ac:dyDescent="0.15">
      <c r="A491" s="8"/>
      <c r="B491" s="8"/>
      <c r="C491" s="8"/>
      <c r="D491" s="8"/>
      <c r="E491" s="9"/>
      <c r="F491" s="8"/>
      <c r="G491" s="10"/>
      <c r="H491" s="11"/>
      <c r="I491" s="8"/>
      <c r="J491" s="9"/>
      <c r="K491" s="8"/>
      <c r="L491" s="9"/>
      <c r="M491" s="8"/>
      <c r="N491" s="2"/>
      <c r="O491" s="2"/>
    </row>
    <row r="492" spans="1:15" outlineLevel="1" x14ac:dyDescent="0.15">
      <c r="A492" s="8"/>
      <c r="B492" s="8"/>
      <c r="C492" s="8"/>
      <c r="D492" s="8"/>
      <c r="E492" s="9"/>
      <c r="F492" s="8"/>
      <c r="G492" s="10"/>
      <c r="H492" s="11"/>
      <c r="I492" s="8"/>
      <c r="J492" s="9"/>
      <c r="K492" s="8"/>
      <c r="L492" s="9"/>
      <c r="M492" s="8"/>
      <c r="N492" s="2"/>
      <c r="O492" s="2"/>
    </row>
    <row r="493" spans="1:15" outlineLevel="1" x14ac:dyDescent="0.15">
      <c r="A493" s="8"/>
      <c r="B493" s="8"/>
      <c r="C493" s="8"/>
      <c r="D493" s="8"/>
      <c r="E493" s="9"/>
      <c r="F493" s="8"/>
      <c r="G493" s="10"/>
      <c r="H493" s="11"/>
      <c r="I493" s="8"/>
      <c r="J493" s="9"/>
      <c r="K493" s="8"/>
      <c r="L493" s="9"/>
      <c r="M493" s="8"/>
      <c r="N493" s="2"/>
      <c r="O493" s="2"/>
    </row>
    <row r="494" spans="1:15" outlineLevel="1" x14ac:dyDescent="0.15">
      <c r="A494" s="8"/>
      <c r="B494" s="8"/>
      <c r="C494" s="8"/>
      <c r="D494" s="8"/>
      <c r="E494" s="9"/>
      <c r="F494" s="8"/>
      <c r="G494" s="10"/>
      <c r="H494" s="11"/>
      <c r="I494" s="8"/>
      <c r="J494" s="9"/>
      <c r="K494" s="8"/>
      <c r="L494" s="9"/>
      <c r="M494" s="8"/>
      <c r="N494" s="2"/>
      <c r="O494" s="2"/>
    </row>
    <row r="495" spans="1:15" outlineLevel="1" x14ac:dyDescent="0.15">
      <c r="A495" s="8"/>
      <c r="B495" s="8"/>
      <c r="C495" s="8"/>
      <c r="D495" s="8"/>
      <c r="E495" s="9"/>
      <c r="F495" s="8"/>
      <c r="G495" s="10"/>
      <c r="H495" s="11"/>
      <c r="I495" s="8"/>
      <c r="J495" s="9"/>
      <c r="K495" s="8"/>
      <c r="L495" s="9"/>
      <c r="M495" s="8"/>
      <c r="N495" s="2"/>
      <c r="O495" s="2"/>
    </row>
    <row r="496" spans="1:15" outlineLevel="1" x14ac:dyDescent="0.15">
      <c r="A496" s="8"/>
      <c r="B496" s="8"/>
      <c r="C496" s="8"/>
      <c r="D496" s="8"/>
      <c r="E496" s="9"/>
      <c r="F496" s="8"/>
      <c r="G496" s="10"/>
      <c r="H496" s="11"/>
      <c r="I496" s="8"/>
      <c r="J496" s="9"/>
      <c r="K496" s="8"/>
      <c r="L496" s="9"/>
      <c r="M496" s="8"/>
      <c r="N496" s="2"/>
      <c r="O496" s="2"/>
    </row>
    <row r="497" spans="1:15" outlineLevel="1" x14ac:dyDescent="0.15">
      <c r="A497" s="8"/>
      <c r="B497" s="8"/>
      <c r="C497" s="8"/>
      <c r="D497" s="8"/>
      <c r="E497" s="9"/>
      <c r="F497" s="8"/>
      <c r="G497" s="10"/>
      <c r="H497" s="11"/>
      <c r="I497" s="8"/>
      <c r="J497" s="9"/>
      <c r="K497" s="8"/>
      <c r="L497" s="9"/>
      <c r="M497" s="8"/>
      <c r="N497" s="2"/>
      <c r="O497" s="2"/>
    </row>
    <row r="498" spans="1:15" outlineLevel="1" x14ac:dyDescent="0.15">
      <c r="A498" s="8"/>
      <c r="B498" s="8"/>
      <c r="C498" s="8"/>
      <c r="D498" s="8"/>
      <c r="E498" s="9"/>
      <c r="F498" s="8"/>
      <c r="G498" s="10"/>
      <c r="H498" s="11"/>
      <c r="I498" s="8"/>
      <c r="J498" s="9"/>
      <c r="K498" s="8"/>
      <c r="L498" s="9"/>
      <c r="M498" s="8"/>
      <c r="N498" s="2"/>
      <c r="O498" s="2"/>
    </row>
    <row r="499" spans="1:15" outlineLevel="1" x14ac:dyDescent="0.15">
      <c r="A499" s="8"/>
      <c r="B499" s="8"/>
      <c r="C499" s="8"/>
      <c r="D499" s="8"/>
      <c r="E499" s="9"/>
      <c r="F499" s="8"/>
      <c r="G499" s="10"/>
      <c r="H499" s="11"/>
      <c r="I499" s="8"/>
      <c r="J499" s="9"/>
      <c r="K499" s="8"/>
      <c r="L499" s="9"/>
      <c r="M499" s="8"/>
      <c r="N499" s="2"/>
      <c r="O499" s="2"/>
    </row>
    <row r="500" spans="1:15" outlineLevel="1" x14ac:dyDescent="0.15">
      <c r="A500" s="8"/>
      <c r="B500" s="8"/>
      <c r="C500" s="8"/>
      <c r="D500" s="8"/>
      <c r="E500" s="9"/>
      <c r="F500" s="8"/>
      <c r="G500" s="10"/>
      <c r="H500" s="11"/>
      <c r="I500" s="8"/>
      <c r="J500" s="9"/>
      <c r="K500" s="8"/>
      <c r="L500" s="9"/>
      <c r="M500" s="8"/>
      <c r="N500" s="2"/>
      <c r="O500" s="2"/>
    </row>
    <row r="501" spans="1:15" outlineLevel="1" x14ac:dyDescent="0.15">
      <c r="A501" s="8"/>
      <c r="B501" s="8"/>
      <c r="C501" s="8"/>
      <c r="D501" s="8"/>
      <c r="E501" s="9"/>
      <c r="F501" s="8"/>
      <c r="G501" s="10"/>
      <c r="H501" s="11"/>
      <c r="I501" s="8"/>
      <c r="J501" s="9"/>
      <c r="K501" s="8"/>
      <c r="L501" s="9"/>
      <c r="M501" s="8"/>
      <c r="N501" s="2"/>
      <c r="O501" s="2"/>
    </row>
    <row r="502" spans="1:15" outlineLevel="1" x14ac:dyDescent="0.15">
      <c r="A502" s="8"/>
      <c r="B502" s="8"/>
      <c r="C502" s="8"/>
      <c r="D502" s="8"/>
      <c r="E502" s="9"/>
      <c r="F502" s="8"/>
      <c r="G502" s="10"/>
      <c r="H502" s="11"/>
      <c r="I502" s="8"/>
      <c r="J502" s="9"/>
      <c r="K502" s="8"/>
      <c r="L502" s="9"/>
      <c r="M502" s="8"/>
      <c r="N502" s="2"/>
      <c r="O502" s="2"/>
    </row>
    <row r="503" spans="1:15" outlineLevel="1" x14ac:dyDescent="0.15">
      <c r="A503" s="8"/>
      <c r="B503" s="8"/>
      <c r="C503" s="8"/>
      <c r="D503" s="8"/>
      <c r="E503" s="9"/>
      <c r="F503" s="8"/>
      <c r="G503" s="10"/>
      <c r="H503" s="11"/>
      <c r="I503" s="8"/>
      <c r="J503" s="9"/>
      <c r="K503" s="8"/>
      <c r="L503" s="9"/>
      <c r="M503" s="8"/>
      <c r="N503" s="2"/>
      <c r="O503" s="2"/>
    </row>
    <row r="504" spans="1:15" outlineLevel="1" x14ac:dyDescent="0.15">
      <c r="A504" s="8"/>
      <c r="B504" s="8"/>
      <c r="C504" s="8"/>
      <c r="D504" s="8"/>
      <c r="E504" s="9"/>
      <c r="F504" s="8"/>
      <c r="G504" s="10"/>
      <c r="H504" s="11"/>
      <c r="I504" s="8"/>
      <c r="J504" s="9"/>
      <c r="K504" s="8"/>
      <c r="L504" s="9"/>
      <c r="M504" s="8"/>
      <c r="N504" s="2"/>
      <c r="O504" s="2"/>
    </row>
    <row r="505" spans="1:15" outlineLevel="1" x14ac:dyDescent="0.15">
      <c r="A505" s="8"/>
      <c r="B505" s="8"/>
      <c r="C505" s="8"/>
      <c r="D505" s="8"/>
      <c r="E505" s="9"/>
      <c r="F505" s="8"/>
      <c r="G505" s="10"/>
      <c r="H505" s="11"/>
      <c r="I505" s="8"/>
      <c r="J505" s="9"/>
      <c r="K505" s="8"/>
      <c r="L505" s="9"/>
      <c r="M505" s="8"/>
      <c r="N505" s="2"/>
      <c r="O505" s="2"/>
    </row>
    <row r="506" spans="1:15" outlineLevel="1" x14ac:dyDescent="0.15">
      <c r="A506" s="8"/>
      <c r="B506" s="8"/>
      <c r="C506" s="8"/>
      <c r="D506" s="8"/>
      <c r="E506" s="9"/>
      <c r="F506" s="8"/>
      <c r="G506" s="10"/>
      <c r="H506" s="11"/>
      <c r="I506" s="8"/>
      <c r="J506" s="9"/>
      <c r="K506" s="8"/>
      <c r="L506" s="9"/>
      <c r="M506" s="8"/>
      <c r="N506" s="2"/>
      <c r="O506" s="2"/>
    </row>
    <row r="507" spans="1:15" outlineLevel="1" x14ac:dyDescent="0.15">
      <c r="A507" s="8"/>
      <c r="B507" s="8"/>
      <c r="C507" s="8"/>
      <c r="D507" s="8"/>
      <c r="E507" s="9"/>
      <c r="F507" s="8"/>
      <c r="G507" s="10"/>
      <c r="H507" s="11"/>
      <c r="I507" s="8"/>
      <c r="J507" s="9"/>
      <c r="K507" s="8"/>
      <c r="L507" s="9"/>
      <c r="M507" s="8"/>
      <c r="N507" s="2"/>
      <c r="O507" s="2"/>
    </row>
    <row r="508" spans="1:15" outlineLevel="1" x14ac:dyDescent="0.15">
      <c r="A508" s="8"/>
      <c r="B508" s="8"/>
      <c r="C508" s="8"/>
      <c r="D508" s="8"/>
      <c r="E508" s="9"/>
      <c r="F508" s="8"/>
      <c r="G508" s="10"/>
      <c r="H508" s="11"/>
      <c r="I508" s="8"/>
      <c r="J508" s="9"/>
      <c r="K508" s="8"/>
      <c r="L508" s="9"/>
      <c r="M508" s="8"/>
      <c r="N508" s="2"/>
      <c r="O508" s="2"/>
    </row>
    <row r="509" spans="1:15" outlineLevel="1" x14ac:dyDescent="0.15">
      <c r="A509" s="8"/>
      <c r="B509" s="8"/>
      <c r="C509" s="8"/>
      <c r="D509" s="8"/>
      <c r="E509" s="9"/>
      <c r="F509" s="8"/>
      <c r="G509" s="10"/>
      <c r="H509" s="11"/>
      <c r="I509" s="8"/>
      <c r="J509" s="9"/>
      <c r="K509" s="8"/>
      <c r="L509" s="9"/>
      <c r="M509" s="8"/>
      <c r="N509" s="2"/>
      <c r="O509" s="2"/>
    </row>
    <row r="510" spans="1:15" outlineLevel="1" x14ac:dyDescent="0.15">
      <c r="A510" s="8"/>
      <c r="B510" s="8"/>
      <c r="C510" s="8"/>
      <c r="D510" s="8"/>
      <c r="E510" s="9"/>
      <c r="F510" s="8"/>
      <c r="G510" s="10"/>
      <c r="H510" s="11"/>
      <c r="I510" s="8"/>
      <c r="J510" s="9"/>
      <c r="K510" s="8"/>
      <c r="L510" s="9"/>
      <c r="M510" s="8"/>
      <c r="N510" s="2"/>
      <c r="O510" s="2"/>
    </row>
    <row r="511" spans="1:15" outlineLevel="1" x14ac:dyDescent="0.15">
      <c r="A511" s="8"/>
      <c r="B511" s="8"/>
      <c r="C511" s="8"/>
      <c r="D511" s="8"/>
      <c r="E511" s="9"/>
      <c r="F511" s="8"/>
      <c r="G511" s="10"/>
      <c r="H511" s="11"/>
      <c r="I511" s="8"/>
      <c r="J511" s="9"/>
      <c r="K511" s="8"/>
      <c r="L511" s="9"/>
      <c r="M511" s="8"/>
      <c r="N511" s="2"/>
      <c r="O511" s="2"/>
    </row>
    <row r="512" spans="1:15" outlineLevel="1" x14ac:dyDescent="0.15">
      <c r="A512" s="8"/>
      <c r="B512" s="8"/>
      <c r="C512" s="8"/>
      <c r="D512" s="8"/>
      <c r="E512" s="9"/>
      <c r="F512" s="8"/>
      <c r="G512" s="10"/>
      <c r="H512" s="11"/>
      <c r="I512" s="8"/>
      <c r="J512" s="9"/>
      <c r="K512" s="8"/>
      <c r="L512" s="9"/>
      <c r="M512" s="8"/>
      <c r="N512" s="2"/>
      <c r="O512" s="2"/>
    </row>
    <row r="513" spans="1:15" outlineLevel="1" x14ac:dyDescent="0.15">
      <c r="A513" s="8"/>
      <c r="B513" s="8"/>
      <c r="C513" s="8"/>
      <c r="D513" s="8"/>
      <c r="E513" s="9"/>
      <c r="F513" s="8"/>
      <c r="G513" s="10"/>
      <c r="H513" s="11"/>
      <c r="I513" s="8"/>
      <c r="J513" s="9"/>
      <c r="K513" s="8"/>
      <c r="L513" s="9"/>
      <c r="M513" s="8"/>
      <c r="N513" s="2"/>
      <c r="O513" s="2"/>
    </row>
    <row r="514" spans="1:15" outlineLevel="1" x14ac:dyDescent="0.15">
      <c r="A514" s="8"/>
      <c r="B514" s="8"/>
      <c r="C514" s="8"/>
      <c r="D514" s="8"/>
      <c r="E514" s="9"/>
      <c r="F514" s="8"/>
      <c r="G514" s="10"/>
      <c r="H514" s="11"/>
      <c r="I514" s="8"/>
      <c r="J514" s="9"/>
      <c r="K514" s="8"/>
      <c r="L514" s="9"/>
      <c r="M514" s="8"/>
      <c r="N514" s="2"/>
      <c r="O514" s="2"/>
    </row>
    <row r="515" spans="1:15" outlineLevel="1" x14ac:dyDescent="0.15">
      <c r="A515" s="8"/>
      <c r="B515" s="8"/>
      <c r="C515" s="8"/>
      <c r="D515" s="8"/>
      <c r="E515" s="9"/>
      <c r="F515" s="8"/>
      <c r="G515" s="10"/>
      <c r="H515" s="11"/>
      <c r="I515" s="8"/>
      <c r="J515" s="9"/>
      <c r="K515" s="8"/>
      <c r="L515" s="9"/>
      <c r="M515" s="8"/>
      <c r="N515" s="2"/>
      <c r="O515" s="2"/>
    </row>
    <row r="516" spans="1:15" outlineLevel="1" x14ac:dyDescent="0.15">
      <c r="A516" s="8"/>
      <c r="B516" s="8"/>
      <c r="C516" s="8"/>
      <c r="D516" s="8"/>
      <c r="E516" s="9"/>
      <c r="F516" s="8"/>
      <c r="G516" s="10"/>
      <c r="H516" s="11"/>
      <c r="I516" s="8"/>
      <c r="J516" s="9"/>
      <c r="K516" s="8"/>
      <c r="L516" s="9"/>
      <c r="M516" s="8"/>
      <c r="N516" s="2"/>
      <c r="O516" s="2"/>
    </row>
    <row r="517" spans="1:15" outlineLevel="1" x14ac:dyDescent="0.15">
      <c r="A517" s="8"/>
      <c r="B517" s="8"/>
      <c r="C517" s="8"/>
      <c r="D517" s="8"/>
      <c r="E517" s="9"/>
      <c r="F517" s="8"/>
      <c r="G517" s="10"/>
      <c r="H517" s="11"/>
      <c r="I517" s="8"/>
      <c r="J517" s="9"/>
      <c r="K517" s="8"/>
      <c r="L517" s="9"/>
      <c r="M517" s="8"/>
      <c r="N517" s="2"/>
      <c r="O517" s="2"/>
    </row>
    <row r="518" spans="1:15" outlineLevel="1" x14ac:dyDescent="0.15">
      <c r="A518" s="8"/>
      <c r="B518" s="8"/>
      <c r="C518" s="8"/>
      <c r="D518" s="8"/>
      <c r="E518" s="9"/>
      <c r="F518" s="8"/>
      <c r="G518" s="10"/>
      <c r="H518" s="11"/>
      <c r="I518" s="8"/>
      <c r="J518" s="9"/>
      <c r="K518" s="8"/>
      <c r="L518" s="9"/>
      <c r="M518" s="8"/>
      <c r="N518" s="2"/>
      <c r="O518" s="2"/>
    </row>
    <row r="519" spans="1:15" outlineLevel="1" x14ac:dyDescent="0.15">
      <c r="A519" s="8"/>
      <c r="B519" s="8"/>
      <c r="C519" s="8"/>
      <c r="D519" s="8"/>
      <c r="E519" s="8"/>
      <c r="F519" s="8"/>
      <c r="G519" s="10"/>
      <c r="H519" s="11"/>
      <c r="I519" s="8"/>
      <c r="J519" s="9"/>
      <c r="K519" s="8"/>
      <c r="L519" s="9"/>
      <c r="M519" s="8"/>
      <c r="N519" s="2"/>
      <c r="O519" s="2"/>
    </row>
    <row r="520" spans="1:15" outlineLevel="1" x14ac:dyDescent="0.15">
      <c r="A520" s="8"/>
      <c r="B520" s="8"/>
      <c r="C520" s="8"/>
      <c r="D520" s="8"/>
      <c r="E520" s="8"/>
      <c r="F520" s="8"/>
      <c r="G520" s="10"/>
      <c r="H520" s="11"/>
      <c r="I520" s="8"/>
      <c r="J520" s="9"/>
      <c r="K520" s="8"/>
      <c r="L520" s="9"/>
      <c r="M520" s="8"/>
      <c r="N520" s="2"/>
      <c r="O520" s="2"/>
    </row>
    <row r="521" spans="1:15" outlineLevel="1" x14ac:dyDescent="0.15">
      <c r="A521" s="8"/>
      <c r="B521" s="8"/>
      <c r="C521" s="8"/>
      <c r="D521" s="8"/>
      <c r="E521" s="8"/>
      <c r="F521" s="8"/>
      <c r="G521" s="10"/>
      <c r="H521" s="11"/>
      <c r="I521" s="8"/>
      <c r="J521" s="9"/>
      <c r="K521" s="8"/>
      <c r="L521" s="9"/>
      <c r="M521" s="8"/>
      <c r="N521" s="2"/>
      <c r="O521" s="2"/>
    </row>
    <row r="522" spans="1:15" outlineLevel="1" x14ac:dyDescent="0.15">
      <c r="A522" s="8"/>
      <c r="B522" s="8"/>
      <c r="C522" s="8"/>
      <c r="D522" s="8"/>
      <c r="E522" s="8"/>
      <c r="F522" s="8"/>
      <c r="G522" s="10"/>
      <c r="H522" s="11"/>
      <c r="I522" s="8"/>
      <c r="J522" s="9"/>
      <c r="K522" s="8"/>
      <c r="L522" s="9"/>
      <c r="M522" s="8"/>
      <c r="N522" s="2"/>
      <c r="O522" s="2"/>
    </row>
    <row r="523" spans="1:15" outlineLevel="1" x14ac:dyDescent="0.15">
      <c r="A523" s="8"/>
      <c r="B523" s="8"/>
      <c r="C523" s="8"/>
      <c r="D523" s="8"/>
      <c r="E523" s="8"/>
      <c r="F523" s="8"/>
      <c r="G523" s="10"/>
      <c r="H523" s="11"/>
      <c r="I523" s="8"/>
      <c r="J523" s="9"/>
      <c r="K523" s="8"/>
      <c r="L523" s="9"/>
      <c r="M523" s="8"/>
      <c r="N523" s="2"/>
      <c r="O523" s="2"/>
    </row>
    <row r="524" spans="1:15" outlineLevel="1" x14ac:dyDescent="0.15">
      <c r="A524" s="8"/>
      <c r="B524" s="8"/>
      <c r="C524" s="8"/>
      <c r="D524" s="8"/>
      <c r="E524" s="8"/>
      <c r="F524" s="8"/>
      <c r="G524" s="10"/>
      <c r="H524" s="11"/>
      <c r="I524" s="8"/>
      <c r="J524" s="9"/>
      <c r="K524" s="8"/>
      <c r="L524" s="9"/>
      <c r="M524" s="8"/>
      <c r="N524" s="2"/>
      <c r="O524" s="2"/>
    </row>
    <row r="525" spans="1:15" outlineLevel="1" x14ac:dyDescent="0.15">
      <c r="A525" s="8"/>
      <c r="B525" s="8"/>
      <c r="C525" s="8"/>
      <c r="D525" s="8"/>
      <c r="E525" s="8"/>
      <c r="F525" s="8"/>
      <c r="G525" s="10"/>
      <c r="H525" s="11"/>
      <c r="I525" s="8"/>
      <c r="J525" s="9"/>
      <c r="K525" s="8"/>
      <c r="L525" s="9"/>
      <c r="M525" s="8"/>
      <c r="N525" s="2"/>
      <c r="O525" s="2"/>
    </row>
    <row r="526" spans="1:15" outlineLevel="1" x14ac:dyDescent="0.15">
      <c r="A526" s="8"/>
      <c r="B526" s="8"/>
      <c r="C526" s="8"/>
      <c r="D526" s="8"/>
      <c r="E526" s="8"/>
      <c r="F526" s="8"/>
      <c r="G526" s="10"/>
      <c r="H526" s="11"/>
      <c r="I526" s="8"/>
      <c r="J526" s="9"/>
      <c r="K526" s="8"/>
      <c r="L526" s="9"/>
      <c r="M526" s="8"/>
      <c r="N526" s="2"/>
      <c r="O526" s="2"/>
    </row>
    <row r="527" spans="1:15" outlineLevel="1" x14ac:dyDescent="0.15">
      <c r="A527" s="8"/>
      <c r="B527" s="8"/>
      <c r="C527" s="8"/>
      <c r="D527" s="8"/>
      <c r="E527" s="8"/>
      <c r="F527" s="8"/>
      <c r="G527" s="10"/>
      <c r="H527" s="11"/>
      <c r="I527" s="8"/>
      <c r="J527" s="9"/>
      <c r="K527" s="8"/>
      <c r="L527" s="9"/>
      <c r="M527" s="8"/>
      <c r="N527" s="2"/>
      <c r="O527" s="2"/>
    </row>
    <row r="528" spans="1:15" outlineLevel="1" x14ac:dyDescent="0.15">
      <c r="A528" s="8"/>
      <c r="B528" s="8"/>
      <c r="C528" s="8"/>
      <c r="D528" s="8"/>
      <c r="E528" s="8"/>
      <c r="F528" s="8"/>
      <c r="G528" s="10"/>
      <c r="H528" s="11"/>
      <c r="I528" s="8"/>
      <c r="J528" s="9"/>
      <c r="K528" s="8"/>
      <c r="L528" s="9"/>
      <c r="M528" s="8"/>
      <c r="N528" s="2"/>
      <c r="O528" s="2"/>
    </row>
    <row r="529" spans="1:15" outlineLevel="1" x14ac:dyDescent="0.15">
      <c r="A529" s="8"/>
      <c r="B529" s="8"/>
      <c r="C529" s="8"/>
      <c r="D529" s="8"/>
      <c r="E529" s="8"/>
      <c r="F529" s="8"/>
      <c r="G529" s="10"/>
      <c r="H529" s="11"/>
      <c r="I529" s="8"/>
      <c r="J529" s="9"/>
      <c r="K529" s="8"/>
      <c r="L529" s="9"/>
      <c r="M529" s="8"/>
      <c r="N529" s="2"/>
      <c r="O529" s="2"/>
    </row>
    <row r="530" spans="1:15" outlineLevel="1" x14ac:dyDescent="0.15">
      <c r="A530" s="8"/>
      <c r="B530" s="8"/>
      <c r="C530" s="8"/>
      <c r="D530" s="8"/>
      <c r="E530" s="8"/>
      <c r="F530" s="8"/>
      <c r="G530" s="10"/>
      <c r="H530" s="11"/>
      <c r="I530" s="8"/>
      <c r="J530" s="9"/>
      <c r="K530" s="8"/>
      <c r="L530" s="9"/>
      <c r="M530" s="8"/>
      <c r="N530" s="2"/>
      <c r="O530" s="2"/>
    </row>
    <row r="531" spans="1:15" outlineLevel="1" x14ac:dyDescent="0.15">
      <c r="A531" s="8"/>
      <c r="B531" s="8"/>
      <c r="C531" s="8"/>
      <c r="D531" s="8"/>
      <c r="E531" s="8"/>
      <c r="F531" s="8"/>
      <c r="G531" s="10"/>
      <c r="H531" s="11"/>
      <c r="I531" s="8"/>
      <c r="J531" s="9"/>
      <c r="K531" s="8"/>
      <c r="L531" s="9"/>
      <c r="M531" s="8"/>
      <c r="N531" s="2"/>
      <c r="O531" s="2"/>
    </row>
    <row r="532" spans="1:15" outlineLevel="1" x14ac:dyDescent="0.15">
      <c r="A532" s="8"/>
      <c r="B532" s="8"/>
      <c r="C532" s="8"/>
      <c r="D532" s="8"/>
      <c r="E532" s="8"/>
      <c r="F532" s="8"/>
      <c r="G532" s="10"/>
      <c r="H532" s="11"/>
      <c r="I532" s="8"/>
      <c r="J532" s="9"/>
      <c r="K532" s="8"/>
      <c r="L532" s="9"/>
      <c r="M532" s="8"/>
      <c r="N532" s="2"/>
      <c r="O532" s="2"/>
    </row>
    <row r="533" spans="1:15" outlineLevel="1" x14ac:dyDescent="0.15">
      <c r="A533" s="8"/>
      <c r="B533" s="8"/>
      <c r="C533" s="8"/>
      <c r="D533" s="8"/>
      <c r="E533" s="8"/>
      <c r="F533" s="8"/>
      <c r="G533" s="10"/>
      <c r="H533" s="11"/>
      <c r="I533" s="8"/>
      <c r="J533" s="9"/>
      <c r="K533" s="8"/>
      <c r="L533" s="9"/>
      <c r="M533" s="8"/>
      <c r="N533" s="2"/>
      <c r="O533" s="2"/>
    </row>
    <row r="534" spans="1:15" outlineLevel="1" x14ac:dyDescent="0.15">
      <c r="A534" s="8"/>
      <c r="B534" s="8"/>
      <c r="C534" s="8"/>
      <c r="D534" s="8"/>
      <c r="E534" s="8"/>
      <c r="F534" s="8"/>
      <c r="G534" s="10"/>
      <c r="H534" s="11"/>
      <c r="I534" s="8"/>
      <c r="J534" s="9"/>
      <c r="K534" s="8"/>
      <c r="L534" s="9"/>
      <c r="M534" s="8"/>
      <c r="N534" s="2"/>
      <c r="O534" s="2"/>
    </row>
    <row r="535" spans="1:15" outlineLevel="1" x14ac:dyDescent="0.15">
      <c r="A535" s="8"/>
      <c r="B535" s="8"/>
      <c r="C535" s="8"/>
      <c r="D535" s="8"/>
      <c r="E535" s="8"/>
      <c r="F535" s="8"/>
      <c r="G535" s="10"/>
      <c r="H535" s="11"/>
      <c r="I535" s="8"/>
      <c r="J535" s="9"/>
      <c r="K535" s="8"/>
      <c r="L535" s="9"/>
      <c r="M535" s="8"/>
      <c r="N535" s="2"/>
      <c r="O535" s="2"/>
    </row>
    <row r="536" spans="1:15" outlineLevel="1" x14ac:dyDescent="0.15">
      <c r="A536" s="8"/>
      <c r="B536" s="8"/>
      <c r="C536" s="8"/>
      <c r="D536" s="8"/>
      <c r="E536" s="8"/>
      <c r="F536" s="8"/>
      <c r="G536" s="10"/>
      <c r="H536" s="11"/>
      <c r="I536" s="8"/>
      <c r="J536" s="9"/>
      <c r="K536" s="8"/>
      <c r="L536" s="9"/>
      <c r="M536" s="8"/>
      <c r="N536" s="2"/>
      <c r="O536" s="2"/>
    </row>
    <row r="537" spans="1:15" outlineLevel="1" x14ac:dyDescent="0.15">
      <c r="A537" s="8"/>
      <c r="B537" s="8"/>
      <c r="C537" s="8"/>
      <c r="D537" s="8"/>
      <c r="E537" s="8"/>
      <c r="F537" s="8"/>
      <c r="G537" s="10"/>
      <c r="H537" s="11"/>
      <c r="I537" s="8"/>
      <c r="J537" s="9"/>
      <c r="K537" s="8"/>
      <c r="L537" s="9"/>
      <c r="M537" s="8"/>
      <c r="N537" s="2"/>
      <c r="O537" s="2"/>
    </row>
    <row r="538" spans="1:15" outlineLevel="1" x14ac:dyDescent="0.15">
      <c r="A538" s="8"/>
      <c r="B538" s="8"/>
      <c r="C538" s="8"/>
      <c r="D538" s="8"/>
      <c r="E538" s="8"/>
      <c r="F538" s="8"/>
      <c r="G538" s="10"/>
      <c r="H538" s="11"/>
      <c r="I538" s="8"/>
      <c r="J538" s="9"/>
      <c r="K538" s="8"/>
      <c r="L538" s="9"/>
      <c r="M538" s="8"/>
      <c r="N538" s="2"/>
      <c r="O538" s="2"/>
    </row>
    <row r="539" spans="1:15" outlineLevel="1" x14ac:dyDescent="0.15">
      <c r="A539" s="8"/>
      <c r="B539" s="8"/>
      <c r="C539" s="8"/>
      <c r="D539" s="8"/>
      <c r="E539" s="8"/>
      <c r="F539" s="8"/>
      <c r="G539" s="10"/>
      <c r="H539" s="11"/>
      <c r="I539" s="8"/>
      <c r="J539" s="9"/>
      <c r="K539" s="8"/>
      <c r="L539" s="9"/>
      <c r="M539" s="8"/>
      <c r="N539" s="2"/>
      <c r="O539" s="2"/>
    </row>
    <row r="540" spans="1:15" outlineLevel="1" x14ac:dyDescent="0.15">
      <c r="A540" s="8"/>
      <c r="B540" s="8"/>
      <c r="C540" s="8"/>
      <c r="D540" s="8"/>
      <c r="E540" s="8"/>
      <c r="F540" s="8"/>
      <c r="G540" s="10"/>
      <c r="H540" s="11"/>
      <c r="I540" s="8"/>
      <c r="J540" s="9"/>
      <c r="K540" s="8"/>
      <c r="L540" s="9"/>
      <c r="M540" s="8"/>
      <c r="N540" s="2"/>
      <c r="O540" s="2"/>
    </row>
    <row r="541" spans="1:15" outlineLevel="1" x14ac:dyDescent="0.15">
      <c r="A541" s="8"/>
      <c r="B541" s="8"/>
      <c r="C541" s="8"/>
      <c r="D541" s="8"/>
      <c r="E541" s="8"/>
      <c r="F541" s="8"/>
      <c r="G541" s="10"/>
      <c r="H541" s="11"/>
      <c r="I541" s="8"/>
      <c r="J541" s="9"/>
      <c r="K541" s="8"/>
      <c r="L541" s="9"/>
      <c r="M541" s="8"/>
      <c r="N541" s="2"/>
      <c r="O541" s="2"/>
    </row>
    <row r="542" spans="1:15" outlineLevel="1" x14ac:dyDescent="0.15">
      <c r="A542" s="8"/>
      <c r="B542" s="8"/>
      <c r="C542" s="8"/>
      <c r="D542" s="8"/>
      <c r="E542" s="8"/>
      <c r="F542" s="8"/>
      <c r="G542" s="10"/>
      <c r="H542" s="11"/>
      <c r="I542" s="8"/>
      <c r="J542" s="9"/>
      <c r="K542" s="8"/>
      <c r="L542" s="9"/>
      <c r="M542" s="8"/>
      <c r="N542" s="2"/>
      <c r="O542" s="2"/>
    </row>
    <row r="543" spans="1:15" outlineLevel="1" x14ac:dyDescent="0.15">
      <c r="A543" s="8"/>
      <c r="B543" s="8"/>
      <c r="C543" s="8"/>
      <c r="D543" s="8"/>
      <c r="E543" s="8"/>
      <c r="F543" s="8"/>
      <c r="G543" s="10"/>
      <c r="H543" s="11"/>
      <c r="I543" s="8"/>
      <c r="J543" s="9"/>
      <c r="K543" s="8"/>
      <c r="L543" s="9"/>
      <c r="M543" s="8"/>
      <c r="N543" s="2"/>
      <c r="O543" s="2"/>
    </row>
    <row r="544" spans="1:15" outlineLevel="1" x14ac:dyDescent="0.15">
      <c r="A544" s="8"/>
      <c r="B544" s="8"/>
      <c r="C544" s="8"/>
      <c r="D544" s="8"/>
      <c r="E544" s="8"/>
      <c r="F544" s="8"/>
      <c r="G544" s="10"/>
      <c r="H544" s="11"/>
      <c r="I544" s="8"/>
      <c r="J544" s="9"/>
      <c r="K544" s="8"/>
      <c r="L544" s="9"/>
      <c r="M544" s="8"/>
      <c r="N544" s="2"/>
      <c r="O544" s="2"/>
    </row>
    <row r="545" spans="1:15" outlineLevel="1" x14ac:dyDescent="0.15">
      <c r="A545" s="8"/>
      <c r="B545" s="8"/>
      <c r="C545" s="8"/>
      <c r="D545" s="8"/>
      <c r="E545" s="8"/>
      <c r="F545" s="8"/>
      <c r="G545" s="10"/>
      <c r="H545" s="11"/>
      <c r="I545" s="8"/>
      <c r="J545" s="9"/>
      <c r="K545" s="8"/>
      <c r="L545" s="9"/>
      <c r="M545" s="8"/>
      <c r="N545" s="2"/>
      <c r="O545" s="2"/>
    </row>
    <row r="546" spans="1:15" outlineLevel="1" x14ac:dyDescent="0.15">
      <c r="A546" s="8"/>
      <c r="B546" s="8"/>
      <c r="C546" s="8"/>
      <c r="D546" s="8"/>
      <c r="E546" s="8"/>
      <c r="F546" s="8"/>
      <c r="G546" s="10"/>
      <c r="H546" s="11"/>
      <c r="I546" s="8"/>
      <c r="J546" s="9"/>
      <c r="K546" s="8"/>
      <c r="L546" s="9"/>
      <c r="M546" s="8"/>
      <c r="N546" s="2"/>
      <c r="O546" s="2"/>
    </row>
    <row r="547" spans="1:15" outlineLevel="1" x14ac:dyDescent="0.15">
      <c r="A547" s="8"/>
      <c r="B547" s="8"/>
      <c r="C547" s="8"/>
      <c r="D547" s="8"/>
      <c r="E547" s="8"/>
      <c r="F547" s="8"/>
      <c r="G547" s="10"/>
      <c r="H547" s="11"/>
      <c r="I547" s="8"/>
      <c r="J547" s="9"/>
      <c r="K547" s="8"/>
      <c r="L547" s="9"/>
      <c r="M547" s="8"/>
      <c r="N547" s="2"/>
      <c r="O547" s="2"/>
    </row>
    <row r="548" spans="1:15" outlineLevel="1" x14ac:dyDescent="0.15">
      <c r="A548" s="8"/>
      <c r="B548" s="8"/>
      <c r="C548" s="8"/>
      <c r="D548" s="8"/>
      <c r="E548" s="8"/>
      <c r="F548" s="8"/>
      <c r="G548" s="10"/>
      <c r="H548" s="11"/>
      <c r="I548" s="8"/>
      <c r="J548" s="9"/>
      <c r="K548" s="8"/>
      <c r="L548" s="9"/>
      <c r="M548" s="8"/>
      <c r="N548" s="2"/>
      <c r="O548" s="2"/>
    </row>
    <row r="549" spans="1:15" outlineLevel="1" x14ac:dyDescent="0.15">
      <c r="A549" s="8"/>
      <c r="B549" s="8"/>
      <c r="C549" s="8"/>
      <c r="D549" s="8"/>
      <c r="E549" s="8"/>
      <c r="F549" s="8"/>
      <c r="G549" s="10"/>
      <c r="H549" s="11"/>
      <c r="I549" s="8"/>
      <c r="J549" s="9"/>
      <c r="K549" s="8"/>
      <c r="L549" s="9"/>
      <c r="M549" s="8"/>
      <c r="N549" s="2"/>
      <c r="O549" s="2"/>
    </row>
    <row r="550" spans="1:15" outlineLevel="1" x14ac:dyDescent="0.15">
      <c r="A550" s="8"/>
      <c r="B550" s="8"/>
      <c r="C550" s="8"/>
      <c r="D550" s="8"/>
      <c r="E550" s="8"/>
      <c r="F550" s="8"/>
      <c r="G550" s="10"/>
      <c r="H550" s="11"/>
      <c r="I550" s="8"/>
      <c r="J550" s="9"/>
      <c r="K550" s="8"/>
      <c r="L550" s="9"/>
      <c r="M550" s="8"/>
      <c r="N550" s="2"/>
      <c r="O550" s="2"/>
    </row>
    <row r="551" spans="1:15" outlineLevel="1" x14ac:dyDescent="0.15">
      <c r="A551" s="8"/>
      <c r="B551" s="8"/>
      <c r="C551" s="8"/>
      <c r="D551" s="8"/>
      <c r="E551" s="8"/>
      <c r="F551" s="8"/>
      <c r="G551" s="10"/>
      <c r="H551" s="11"/>
      <c r="I551" s="8"/>
      <c r="J551" s="9"/>
      <c r="K551" s="8"/>
      <c r="L551" s="9"/>
      <c r="M551" s="8"/>
      <c r="N551" s="2"/>
      <c r="O551" s="2"/>
    </row>
    <row r="552" spans="1:15" outlineLevel="1" x14ac:dyDescent="0.15">
      <c r="A552" s="8"/>
      <c r="B552" s="8"/>
      <c r="C552" s="8"/>
      <c r="D552" s="8"/>
      <c r="E552" s="8"/>
      <c r="F552" s="8"/>
      <c r="G552" s="10"/>
      <c r="H552" s="11"/>
      <c r="I552" s="8"/>
      <c r="J552" s="9"/>
      <c r="K552" s="8"/>
      <c r="L552" s="9"/>
      <c r="M552" s="8"/>
      <c r="N552" s="2"/>
      <c r="O552" s="2"/>
    </row>
    <row r="553" spans="1:15" outlineLevel="1" x14ac:dyDescent="0.15">
      <c r="A553" s="8"/>
      <c r="B553" s="8"/>
      <c r="C553" s="8"/>
      <c r="D553" s="8"/>
      <c r="E553" s="8"/>
      <c r="F553" s="8"/>
      <c r="G553" s="10"/>
      <c r="H553" s="11"/>
      <c r="I553" s="8"/>
      <c r="J553" s="9"/>
      <c r="K553" s="8"/>
      <c r="L553" s="9"/>
      <c r="M553" s="8"/>
      <c r="N553" s="2"/>
      <c r="O553" s="2"/>
    </row>
    <row r="554" spans="1:15" outlineLevel="1" x14ac:dyDescent="0.15">
      <c r="A554" s="8"/>
      <c r="B554" s="8"/>
      <c r="C554" s="8"/>
      <c r="D554" s="8"/>
      <c r="E554" s="8"/>
      <c r="F554" s="8"/>
      <c r="G554" s="10"/>
      <c r="H554" s="11"/>
      <c r="I554" s="8"/>
      <c r="J554" s="9"/>
      <c r="K554" s="8"/>
      <c r="L554" s="9"/>
      <c r="M554" s="8"/>
      <c r="N554" s="2"/>
      <c r="O554" s="2"/>
    </row>
    <row r="555" spans="1:15" outlineLevel="1" x14ac:dyDescent="0.15">
      <c r="A555" s="8"/>
      <c r="B555" s="8"/>
      <c r="C555" s="8"/>
      <c r="D555" s="8"/>
      <c r="E555" s="8"/>
      <c r="F555" s="8"/>
      <c r="G555" s="10"/>
      <c r="H555" s="11"/>
      <c r="I555" s="8"/>
      <c r="J555" s="9"/>
      <c r="K555" s="8"/>
      <c r="L555" s="9"/>
      <c r="M555" s="8"/>
      <c r="N555" s="2"/>
      <c r="O555" s="2"/>
    </row>
    <row r="556" spans="1:15" outlineLevel="1" x14ac:dyDescent="0.15">
      <c r="A556" s="8"/>
      <c r="B556" s="8"/>
      <c r="C556" s="8"/>
      <c r="D556" s="8"/>
      <c r="E556" s="8"/>
      <c r="F556" s="8"/>
      <c r="G556" s="10"/>
      <c r="H556" s="11"/>
      <c r="I556" s="8"/>
      <c r="J556" s="9"/>
      <c r="K556" s="8"/>
      <c r="L556" s="9"/>
      <c r="M556" s="8"/>
      <c r="N556" s="2"/>
      <c r="O556" s="2"/>
    </row>
    <row r="557" spans="1:15" outlineLevel="1" x14ac:dyDescent="0.15">
      <c r="A557" s="8"/>
      <c r="B557" s="8"/>
      <c r="C557" s="8"/>
      <c r="D557" s="8"/>
      <c r="E557" s="8"/>
      <c r="F557" s="8"/>
      <c r="G557" s="10"/>
      <c r="H557" s="11"/>
      <c r="I557" s="8"/>
      <c r="J557" s="9"/>
      <c r="K557" s="8"/>
      <c r="L557" s="9"/>
      <c r="M557" s="8"/>
      <c r="N557" s="2"/>
      <c r="O557" s="2"/>
    </row>
    <row r="558" spans="1:15" outlineLevel="1" x14ac:dyDescent="0.15">
      <c r="A558" s="8"/>
      <c r="B558" s="8"/>
      <c r="C558" s="8"/>
      <c r="D558" s="8"/>
      <c r="E558" s="8"/>
      <c r="F558" s="8"/>
      <c r="G558" s="10"/>
      <c r="H558" s="11"/>
      <c r="I558" s="8"/>
      <c r="J558" s="9"/>
      <c r="K558" s="8"/>
      <c r="L558" s="9"/>
      <c r="M558" s="8"/>
      <c r="N558" s="2"/>
      <c r="O558" s="2"/>
    </row>
    <row r="559" spans="1:15" outlineLevel="1" x14ac:dyDescent="0.15">
      <c r="A559" s="8"/>
      <c r="B559" s="8"/>
      <c r="C559" s="8"/>
      <c r="D559" s="8"/>
      <c r="E559" s="8"/>
      <c r="F559" s="8"/>
      <c r="G559" s="10"/>
      <c r="H559" s="11"/>
      <c r="I559" s="8"/>
      <c r="J559" s="9"/>
      <c r="K559" s="8"/>
      <c r="L559" s="9"/>
      <c r="M559" s="8"/>
      <c r="N559" s="2"/>
      <c r="O559" s="2"/>
    </row>
    <row r="560" spans="1:15" outlineLevel="1" x14ac:dyDescent="0.15">
      <c r="A560" s="8"/>
      <c r="B560" s="8"/>
      <c r="C560" s="8"/>
      <c r="D560" s="8"/>
      <c r="E560" s="8"/>
      <c r="F560" s="8"/>
      <c r="G560" s="10"/>
      <c r="H560" s="11"/>
      <c r="I560" s="8"/>
      <c r="J560" s="9"/>
      <c r="K560" s="8"/>
      <c r="L560" s="9"/>
      <c r="M560" s="8"/>
      <c r="N560" s="2"/>
      <c r="O560" s="2"/>
    </row>
    <row r="561" spans="1:15" outlineLevel="1" x14ac:dyDescent="0.15">
      <c r="A561" s="8"/>
      <c r="B561" s="8"/>
      <c r="C561" s="8"/>
      <c r="D561" s="8"/>
      <c r="E561" s="8"/>
      <c r="F561" s="8"/>
      <c r="G561" s="10"/>
      <c r="H561" s="11"/>
      <c r="I561" s="8"/>
      <c r="J561" s="9"/>
      <c r="K561" s="8"/>
      <c r="L561" s="9"/>
      <c r="M561" s="8"/>
      <c r="N561" s="2"/>
      <c r="O561" s="2"/>
    </row>
    <row r="562" spans="1:15" outlineLevel="1" x14ac:dyDescent="0.15">
      <c r="A562" s="8"/>
      <c r="B562" s="8"/>
      <c r="C562" s="8"/>
      <c r="D562" s="8"/>
      <c r="E562" s="8"/>
      <c r="F562" s="8"/>
      <c r="G562" s="10"/>
      <c r="H562" s="11"/>
      <c r="I562" s="8"/>
      <c r="J562" s="9"/>
      <c r="K562" s="8"/>
      <c r="L562" s="9"/>
      <c r="M562" s="8"/>
      <c r="N562" s="2"/>
      <c r="O562" s="2"/>
    </row>
    <row r="563" spans="1:15" outlineLevel="1" x14ac:dyDescent="0.15">
      <c r="A563" s="8"/>
      <c r="B563" s="8"/>
      <c r="C563" s="8"/>
      <c r="D563" s="8"/>
      <c r="E563" s="8"/>
      <c r="F563" s="8"/>
      <c r="G563" s="10"/>
      <c r="H563" s="11"/>
      <c r="I563" s="8"/>
      <c r="J563" s="9"/>
      <c r="K563" s="8"/>
      <c r="L563" s="9"/>
      <c r="M563" s="8"/>
      <c r="N563" s="2"/>
      <c r="O563" s="2"/>
    </row>
    <row r="564" spans="1:15" outlineLevel="1" x14ac:dyDescent="0.15">
      <c r="A564" s="8"/>
      <c r="B564" s="8"/>
      <c r="C564" s="8"/>
      <c r="D564" s="8"/>
      <c r="E564" s="8"/>
      <c r="F564" s="8"/>
      <c r="G564" s="10"/>
      <c r="H564" s="11"/>
      <c r="I564" s="8"/>
      <c r="J564" s="9"/>
      <c r="K564" s="8"/>
      <c r="L564" s="9"/>
      <c r="M564" s="8"/>
      <c r="N564" s="2"/>
      <c r="O564" s="2"/>
    </row>
    <row r="565" spans="1:15" outlineLevel="1" x14ac:dyDescent="0.15">
      <c r="A565" s="8"/>
      <c r="B565" s="8"/>
      <c r="C565" s="8"/>
      <c r="D565" s="8"/>
      <c r="E565" s="8"/>
      <c r="F565" s="8"/>
      <c r="G565" s="10"/>
      <c r="H565" s="11"/>
      <c r="I565" s="8"/>
      <c r="J565" s="9"/>
      <c r="K565" s="8"/>
      <c r="L565" s="9"/>
      <c r="M565" s="8"/>
      <c r="N565" s="2"/>
      <c r="O565" s="2"/>
    </row>
    <row r="566" spans="1:15" outlineLevel="1" x14ac:dyDescent="0.15">
      <c r="A566" s="8"/>
      <c r="B566" s="8"/>
      <c r="C566" s="8"/>
      <c r="D566" s="8"/>
      <c r="E566" s="8"/>
      <c r="F566" s="8"/>
      <c r="G566" s="10"/>
      <c r="H566" s="11"/>
      <c r="I566" s="8"/>
      <c r="J566" s="9"/>
      <c r="K566" s="8"/>
      <c r="L566" s="9"/>
      <c r="M566" s="8"/>
      <c r="N566" s="2"/>
      <c r="O566" s="2"/>
    </row>
    <row r="567" spans="1:15" outlineLevel="1" x14ac:dyDescent="0.15">
      <c r="A567" s="8"/>
      <c r="B567" s="8"/>
      <c r="C567" s="8"/>
      <c r="D567" s="8"/>
      <c r="E567" s="8"/>
      <c r="F567" s="8"/>
      <c r="G567" s="10"/>
      <c r="H567" s="11"/>
      <c r="I567" s="8"/>
      <c r="J567" s="9"/>
      <c r="K567" s="8"/>
      <c r="L567" s="9"/>
      <c r="M567" s="8"/>
      <c r="N567" s="2"/>
      <c r="O567" s="2"/>
    </row>
    <row r="568" spans="1:15" outlineLevel="1" x14ac:dyDescent="0.15">
      <c r="A568" s="8"/>
      <c r="B568" s="8"/>
      <c r="C568" s="8"/>
      <c r="D568" s="8"/>
      <c r="E568" s="8"/>
      <c r="F568" s="8"/>
      <c r="G568" s="10"/>
      <c r="H568" s="11"/>
      <c r="I568" s="8"/>
      <c r="J568" s="9"/>
      <c r="K568" s="8"/>
      <c r="L568" s="9"/>
      <c r="M568" s="8"/>
      <c r="N568" s="2"/>
      <c r="O568" s="2"/>
    </row>
    <row r="569" spans="1:15" outlineLevel="1" x14ac:dyDescent="0.15">
      <c r="A569" s="8"/>
      <c r="B569" s="8"/>
      <c r="C569" s="8"/>
      <c r="D569" s="8"/>
      <c r="E569" s="8"/>
      <c r="F569" s="8"/>
      <c r="G569" s="10"/>
      <c r="H569" s="11"/>
      <c r="I569" s="8"/>
      <c r="J569" s="9"/>
      <c r="K569" s="8"/>
      <c r="L569" s="9"/>
      <c r="M569" s="8"/>
      <c r="N569" s="2"/>
      <c r="O569" s="2"/>
    </row>
    <row r="570" spans="1:15" outlineLevel="1" x14ac:dyDescent="0.15">
      <c r="A570" s="8"/>
      <c r="B570" s="8"/>
      <c r="C570" s="8"/>
      <c r="D570" s="8"/>
      <c r="E570" s="8"/>
      <c r="F570" s="8"/>
      <c r="G570" s="10"/>
      <c r="H570" s="11"/>
      <c r="I570" s="8"/>
      <c r="J570" s="9"/>
      <c r="K570" s="8"/>
      <c r="L570" s="9"/>
      <c r="M570" s="8"/>
      <c r="N570" s="2"/>
      <c r="O570" s="2"/>
    </row>
    <row r="571" spans="1:15" outlineLevel="1" x14ac:dyDescent="0.15">
      <c r="A571" s="8"/>
      <c r="B571" s="8"/>
      <c r="C571" s="8"/>
      <c r="D571" s="8"/>
      <c r="E571" s="8"/>
      <c r="F571" s="8"/>
      <c r="G571" s="10"/>
      <c r="H571" s="11"/>
      <c r="I571" s="8"/>
      <c r="J571" s="9"/>
      <c r="K571" s="8"/>
      <c r="L571" s="9"/>
      <c r="M571" s="8"/>
      <c r="N571" s="2"/>
      <c r="O571" s="2"/>
    </row>
    <row r="572" spans="1:15" outlineLevel="1" x14ac:dyDescent="0.15">
      <c r="A572" s="8"/>
      <c r="B572" s="8"/>
      <c r="C572" s="8"/>
      <c r="D572" s="8"/>
      <c r="E572" s="8"/>
      <c r="F572" s="8"/>
      <c r="G572" s="10"/>
      <c r="H572" s="11"/>
      <c r="I572" s="8"/>
      <c r="J572" s="9"/>
      <c r="K572" s="8"/>
      <c r="L572" s="9"/>
      <c r="M572" s="8"/>
      <c r="N572" s="2"/>
      <c r="O572" s="2"/>
    </row>
    <row r="573" spans="1:15" outlineLevel="1" x14ac:dyDescent="0.15">
      <c r="A573" s="8"/>
      <c r="B573" s="8"/>
      <c r="C573" s="8"/>
      <c r="D573" s="8"/>
      <c r="E573" s="8"/>
      <c r="F573" s="8"/>
      <c r="G573" s="10"/>
      <c r="H573" s="11"/>
      <c r="I573" s="8"/>
      <c r="J573" s="9"/>
      <c r="K573" s="8"/>
      <c r="L573" s="9"/>
      <c r="M573" s="8"/>
      <c r="N573" s="2"/>
      <c r="O573" s="2"/>
    </row>
    <row r="574" spans="1:15" outlineLevel="1" x14ac:dyDescent="0.15">
      <c r="A574" s="8"/>
      <c r="B574" s="8"/>
      <c r="C574" s="8"/>
      <c r="D574" s="8"/>
      <c r="E574" s="8"/>
      <c r="F574" s="8"/>
      <c r="G574" s="10"/>
      <c r="H574" s="11"/>
      <c r="I574" s="8"/>
      <c r="J574" s="9"/>
      <c r="K574" s="8"/>
      <c r="L574" s="9"/>
      <c r="M574" s="8"/>
      <c r="N574" s="2"/>
      <c r="O574" s="2"/>
    </row>
    <row r="575" spans="1:15" outlineLevel="1" x14ac:dyDescent="0.15">
      <c r="A575" s="8"/>
      <c r="B575" s="8"/>
      <c r="C575" s="8"/>
      <c r="D575" s="8"/>
      <c r="E575" s="8"/>
      <c r="F575" s="8"/>
      <c r="G575" s="10"/>
      <c r="H575" s="11"/>
      <c r="I575" s="8"/>
      <c r="J575" s="9"/>
      <c r="K575" s="8"/>
      <c r="L575" s="9"/>
      <c r="M575" s="8"/>
      <c r="N575" s="2"/>
      <c r="O575" s="2"/>
    </row>
    <row r="576" spans="1:15" outlineLevel="1" x14ac:dyDescent="0.15">
      <c r="A576" s="8"/>
      <c r="B576" s="8"/>
      <c r="C576" s="8"/>
      <c r="D576" s="8"/>
      <c r="E576" s="8"/>
      <c r="F576" s="8"/>
      <c r="G576" s="10"/>
      <c r="H576" s="11"/>
      <c r="I576" s="8"/>
      <c r="J576" s="9"/>
      <c r="K576" s="8"/>
      <c r="L576" s="9"/>
      <c r="M576" s="8"/>
      <c r="N576" s="2"/>
      <c r="O576" s="2"/>
    </row>
    <row r="577" spans="1:15" outlineLevel="1" x14ac:dyDescent="0.15">
      <c r="A577" s="8"/>
      <c r="B577" s="8"/>
      <c r="C577" s="8"/>
      <c r="D577" s="8"/>
      <c r="E577" s="8"/>
      <c r="F577" s="8"/>
      <c r="G577" s="10"/>
      <c r="H577" s="11"/>
      <c r="I577" s="8"/>
      <c r="J577" s="9"/>
      <c r="K577" s="8"/>
      <c r="L577" s="9"/>
      <c r="M577" s="8"/>
      <c r="N577" s="2"/>
      <c r="O577" s="2"/>
    </row>
    <row r="578" spans="1:15" outlineLevel="1" x14ac:dyDescent="0.15">
      <c r="A578" s="8"/>
      <c r="B578" s="8"/>
      <c r="C578" s="8"/>
      <c r="D578" s="8"/>
      <c r="E578" s="8"/>
      <c r="F578" s="8"/>
      <c r="G578" s="10"/>
      <c r="H578" s="11"/>
      <c r="I578" s="8"/>
      <c r="J578" s="9"/>
      <c r="K578" s="8"/>
      <c r="L578" s="9"/>
      <c r="M578" s="8"/>
      <c r="N578" s="2"/>
      <c r="O578" s="2"/>
    </row>
    <row r="579" spans="1:15" outlineLevel="1" x14ac:dyDescent="0.15">
      <c r="A579" s="8"/>
      <c r="B579" s="8"/>
      <c r="C579" s="8"/>
      <c r="D579" s="8"/>
      <c r="E579" s="8"/>
      <c r="F579" s="8"/>
      <c r="G579" s="10"/>
      <c r="H579" s="11"/>
      <c r="I579" s="8"/>
      <c r="J579" s="9"/>
      <c r="K579" s="8"/>
      <c r="L579" s="9"/>
      <c r="M579" s="8"/>
      <c r="N579" s="2"/>
      <c r="O579" s="2"/>
    </row>
    <row r="580" spans="1:15" outlineLevel="1" x14ac:dyDescent="0.15">
      <c r="A580" s="8"/>
      <c r="B580" s="8"/>
      <c r="C580" s="8"/>
      <c r="D580" s="8"/>
      <c r="E580" s="8"/>
      <c r="F580" s="8"/>
      <c r="G580" s="10"/>
      <c r="H580" s="11"/>
      <c r="I580" s="8"/>
      <c r="J580" s="9"/>
      <c r="K580" s="8"/>
      <c r="L580" s="9"/>
      <c r="M580" s="8"/>
      <c r="N580" s="2"/>
      <c r="O580" s="2"/>
    </row>
    <row r="581" spans="1:15" outlineLevel="1" x14ac:dyDescent="0.15">
      <c r="A581" s="8"/>
      <c r="B581" s="8"/>
      <c r="C581" s="8"/>
      <c r="D581" s="8"/>
      <c r="E581" s="8"/>
      <c r="F581" s="8"/>
      <c r="G581" s="10"/>
      <c r="H581" s="11"/>
      <c r="I581" s="8"/>
      <c r="J581" s="9"/>
      <c r="K581" s="8"/>
      <c r="L581" s="9"/>
      <c r="M581" s="8"/>
      <c r="N581" s="2"/>
      <c r="O581" s="2"/>
    </row>
    <row r="582" spans="1:15" outlineLevel="1" x14ac:dyDescent="0.15">
      <c r="A582" s="8"/>
      <c r="B582" s="8"/>
      <c r="C582" s="8"/>
      <c r="D582" s="8"/>
      <c r="E582" s="8"/>
      <c r="F582" s="8"/>
      <c r="G582" s="10"/>
      <c r="H582" s="11"/>
      <c r="I582" s="8"/>
      <c r="J582" s="9"/>
      <c r="K582" s="8"/>
      <c r="L582" s="9"/>
      <c r="M582" s="8"/>
      <c r="N582" s="2"/>
      <c r="O582" s="2"/>
    </row>
    <row r="583" spans="1:15" x14ac:dyDescent="0.15">
      <c r="A583" s="18"/>
      <c r="B583" s="18"/>
      <c r="C583" s="18"/>
      <c r="D583" s="18"/>
      <c r="E583" s="150"/>
      <c r="F583" s="151"/>
      <c r="G583" s="16"/>
      <c r="H583" s="16"/>
      <c r="I583" s="16"/>
      <c r="J583" s="17"/>
      <c r="K583" s="16"/>
      <c r="L583" s="9"/>
      <c r="M583" s="8"/>
      <c r="N583" s="2"/>
      <c r="O583" s="2"/>
    </row>
    <row r="584" spans="1:15" x14ac:dyDescent="0.15">
      <c r="A584" s="18"/>
      <c r="B584" s="18"/>
      <c r="C584" s="18"/>
      <c r="D584" s="18"/>
      <c r="E584" s="150"/>
      <c r="F584" s="151"/>
      <c r="G584" s="16"/>
      <c r="H584" s="18"/>
      <c r="I584" s="16"/>
      <c r="J584" s="17"/>
      <c r="K584" s="16"/>
      <c r="L584" s="9"/>
      <c r="M584" s="8"/>
      <c r="N584" s="2"/>
      <c r="O584" s="2"/>
    </row>
    <row r="585" spans="1:15" x14ac:dyDescent="0.15">
      <c r="A585" s="18"/>
      <c r="B585" s="18"/>
      <c r="C585" s="18"/>
      <c r="D585" s="18"/>
      <c r="E585" s="150"/>
      <c r="F585" s="151"/>
      <c r="G585" s="16"/>
      <c r="H585" s="18"/>
      <c r="I585" s="16"/>
      <c r="J585" s="17"/>
      <c r="K585" s="16"/>
      <c r="L585" s="9"/>
      <c r="M585" s="8"/>
      <c r="N585" s="2"/>
      <c r="O585" s="2"/>
    </row>
    <row r="586" spans="1:15" x14ac:dyDescent="0.15">
      <c r="A586" s="18"/>
      <c r="B586" s="18"/>
      <c r="C586" s="18"/>
      <c r="D586" s="18"/>
      <c r="E586" s="150"/>
      <c r="F586" s="151"/>
      <c r="G586" s="16"/>
      <c r="H586" s="18"/>
      <c r="I586" s="16"/>
      <c r="J586" s="17"/>
      <c r="K586" s="16"/>
      <c r="L586" s="9"/>
      <c r="M586" s="8"/>
      <c r="N586" s="2"/>
      <c r="O586" s="2"/>
    </row>
    <row r="587" spans="1:15" x14ac:dyDescent="0.15">
      <c r="A587" s="18"/>
      <c r="B587" s="18"/>
      <c r="C587" s="18"/>
      <c r="D587" s="18"/>
      <c r="E587" s="150"/>
      <c r="F587" s="151"/>
      <c r="G587" s="16"/>
      <c r="H587" s="18"/>
      <c r="I587" s="16"/>
      <c r="J587" s="17"/>
      <c r="K587" s="16"/>
      <c r="L587" s="9"/>
      <c r="M587" s="8"/>
      <c r="N587" s="2"/>
      <c r="O587" s="2"/>
    </row>
    <row r="588" spans="1:15" x14ac:dyDescent="0.15">
      <c r="A588" s="18"/>
      <c r="B588" s="18"/>
      <c r="C588" s="18"/>
      <c r="D588" s="18"/>
      <c r="E588" s="150"/>
      <c r="F588" s="151"/>
      <c r="G588" s="16"/>
      <c r="H588" s="18"/>
      <c r="I588" s="16"/>
      <c r="J588" s="17"/>
      <c r="K588" s="16"/>
      <c r="L588" s="9"/>
      <c r="M588" s="8"/>
      <c r="N588" s="2"/>
      <c r="O588" s="2"/>
    </row>
    <row r="589" spans="1:15" x14ac:dyDescent="0.15">
      <c r="A589" s="18"/>
      <c r="B589" s="18"/>
      <c r="C589" s="18"/>
      <c r="D589" s="18"/>
      <c r="E589" s="150"/>
      <c r="F589" s="151"/>
      <c r="G589" s="16"/>
      <c r="H589" s="18"/>
      <c r="I589" s="16"/>
      <c r="J589" s="17"/>
      <c r="K589" s="16"/>
      <c r="L589" s="9"/>
      <c r="M589" s="8"/>
      <c r="N589" s="2"/>
      <c r="O589" s="2"/>
    </row>
    <row r="590" spans="1:15" x14ac:dyDescent="0.15">
      <c r="A590" s="18"/>
      <c r="B590" s="18"/>
      <c r="C590" s="18"/>
      <c r="D590" s="18"/>
      <c r="E590" s="150"/>
      <c r="F590" s="151"/>
      <c r="G590" s="16"/>
      <c r="H590" s="18"/>
      <c r="I590" s="16"/>
      <c r="J590" s="17"/>
      <c r="K590" s="16"/>
      <c r="L590" s="9"/>
      <c r="M590" s="8"/>
      <c r="N590" s="2"/>
      <c r="O590" s="2"/>
    </row>
    <row r="591" spans="1:15" x14ac:dyDescent="0.15">
      <c r="A591" s="18"/>
      <c r="B591" s="18"/>
      <c r="C591" s="18"/>
      <c r="D591" s="18"/>
      <c r="E591" s="150"/>
      <c r="F591" s="151"/>
      <c r="G591" s="16"/>
      <c r="H591" s="18"/>
      <c r="I591" s="16"/>
      <c r="J591" s="17"/>
      <c r="K591" s="16"/>
      <c r="L591" s="9"/>
      <c r="M591" s="8"/>
      <c r="N591" s="2"/>
      <c r="O591" s="2"/>
    </row>
    <row r="592" spans="1:15" x14ac:dyDescent="0.15">
      <c r="A592" s="18"/>
      <c r="B592" s="18"/>
      <c r="C592" s="18"/>
      <c r="D592" s="18"/>
      <c r="E592" s="150"/>
      <c r="F592" s="151"/>
      <c r="G592" s="16"/>
      <c r="H592" s="18"/>
      <c r="I592" s="16"/>
      <c r="J592" s="17"/>
      <c r="K592" s="16"/>
      <c r="L592" s="9"/>
      <c r="M592" s="8"/>
      <c r="N592" s="2"/>
      <c r="O592" s="2"/>
    </row>
    <row r="593" spans="1:15" x14ac:dyDescent="0.15">
      <c r="A593" s="18"/>
      <c r="B593" s="18"/>
      <c r="C593" s="18"/>
      <c r="D593" s="18"/>
      <c r="E593" s="150"/>
      <c r="F593" s="151"/>
      <c r="G593" s="16"/>
      <c r="H593" s="18"/>
      <c r="I593" s="16"/>
      <c r="J593" s="17"/>
      <c r="K593" s="16"/>
      <c r="L593" s="9"/>
      <c r="M593" s="8"/>
      <c r="N593" s="2"/>
      <c r="O593" s="2"/>
    </row>
    <row r="594" spans="1:15" x14ac:dyDescent="0.15">
      <c r="A594" s="18"/>
      <c r="B594" s="18"/>
      <c r="C594" s="18"/>
      <c r="D594" s="18"/>
      <c r="E594" s="150"/>
      <c r="F594" s="151"/>
      <c r="G594" s="16"/>
      <c r="H594" s="18"/>
      <c r="I594" s="16"/>
      <c r="J594" s="17"/>
      <c r="K594" s="16"/>
      <c r="L594" s="9"/>
      <c r="M594" s="8"/>
      <c r="N594" s="2"/>
      <c r="O594" s="2"/>
    </row>
    <row r="595" spans="1:15" x14ac:dyDescent="0.15">
      <c r="A595" s="18"/>
      <c r="B595" s="18"/>
      <c r="C595" s="18"/>
      <c r="D595" s="18"/>
      <c r="E595" s="150"/>
      <c r="F595" s="151"/>
      <c r="G595" s="16"/>
      <c r="H595" s="18"/>
      <c r="I595" s="16"/>
      <c r="J595" s="17"/>
      <c r="K595" s="16"/>
      <c r="L595" s="9"/>
      <c r="M595" s="8"/>
      <c r="N595" s="2"/>
      <c r="O595" s="2"/>
    </row>
    <row r="596" spans="1:15" outlineLevel="1" x14ac:dyDescent="0.15">
      <c r="A596" s="18"/>
      <c r="B596" s="18"/>
      <c r="C596" s="18"/>
      <c r="D596" s="18"/>
      <c r="E596" s="150"/>
      <c r="F596" s="151"/>
      <c r="G596" s="16"/>
      <c r="H596" s="18"/>
      <c r="I596" s="16"/>
      <c r="J596" s="17"/>
      <c r="K596" s="16"/>
      <c r="L596" s="9"/>
      <c r="M596" s="8"/>
      <c r="N596" s="2"/>
      <c r="O596" s="2"/>
    </row>
    <row r="597" spans="1:15" outlineLevel="1" x14ac:dyDescent="0.15">
      <c r="A597" s="18"/>
      <c r="B597" s="18"/>
      <c r="C597" s="18"/>
      <c r="D597" s="18"/>
      <c r="E597" s="150"/>
      <c r="F597" s="151"/>
      <c r="G597" s="16"/>
      <c r="H597" s="18"/>
      <c r="I597" s="16"/>
      <c r="J597" s="17"/>
      <c r="K597" s="16"/>
      <c r="L597" s="9"/>
      <c r="M597" s="8"/>
      <c r="N597" s="2"/>
      <c r="O597" s="2"/>
    </row>
    <row r="598" spans="1:15" outlineLevel="1" x14ac:dyDescent="0.15">
      <c r="A598" s="18"/>
      <c r="B598" s="18"/>
      <c r="C598" s="18"/>
      <c r="D598" s="18"/>
      <c r="E598" s="150"/>
      <c r="F598" s="151"/>
      <c r="G598" s="16"/>
      <c r="H598" s="18"/>
      <c r="I598" s="16"/>
      <c r="J598" s="17"/>
      <c r="K598" s="16"/>
      <c r="L598" s="9"/>
      <c r="M598" s="8"/>
      <c r="N598" s="2"/>
      <c r="O598" s="2"/>
    </row>
    <row r="599" spans="1:15" outlineLevel="1" x14ac:dyDescent="0.15">
      <c r="A599" s="18"/>
      <c r="B599" s="18"/>
      <c r="C599" s="18"/>
      <c r="D599" s="18"/>
      <c r="E599" s="150"/>
      <c r="F599" s="151"/>
      <c r="G599" s="16"/>
      <c r="H599" s="18"/>
      <c r="I599" s="16"/>
      <c r="J599" s="17"/>
      <c r="K599" s="16"/>
      <c r="L599" s="9"/>
      <c r="M599" s="8"/>
      <c r="N599" s="2"/>
      <c r="O599" s="2"/>
    </row>
    <row r="600" spans="1:15" outlineLevel="1" x14ac:dyDescent="0.15">
      <c r="A600" s="18"/>
      <c r="B600" s="18"/>
      <c r="C600" s="18"/>
      <c r="D600" s="18"/>
      <c r="E600" s="150"/>
      <c r="F600" s="151"/>
      <c r="G600" s="16"/>
      <c r="H600" s="18"/>
      <c r="I600" s="16"/>
      <c r="J600" s="17"/>
      <c r="K600" s="16"/>
      <c r="L600" s="9"/>
      <c r="M600" s="8"/>
      <c r="N600" s="2"/>
      <c r="O600" s="2"/>
    </row>
    <row r="601" spans="1:15" x14ac:dyDescent="0.15">
      <c r="A601" s="18"/>
      <c r="B601" s="152"/>
      <c r="C601" s="153"/>
      <c r="D601" s="154"/>
      <c r="E601" s="155"/>
      <c r="F601" s="156"/>
      <c r="G601" s="157"/>
      <c r="H601" s="30"/>
      <c r="I601" s="16"/>
      <c r="J601" s="17"/>
      <c r="K601" s="16"/>
      <c r="L601" s="9"/>
      <c r="M601" s="8"/>
      <c r="N601" s="2"/>
      <c r="O601" s="2"/>
    </row>
    <row r="602" spans="1:15" x14ac:dyDescent="0.15">
      <c r="A602" s="18"/>
      <c r="B602" s="152"/>
      <c r="C602" s="153"/>
      <c r="D602" s="18"/>
      <c r="E602" s="155"/>
      <c r="F602" s="156"/>
      <c r="G602" s="157"/>
      <c r="H602" s="18"/>
      <c r="I602" s="16"/>
      <c r="J602" s="17"/>
      <c r="K602" s="16"/>
      <c r="L602" s="9"/>
      <c r="M602" s="8"/>
      <c r="N602" s="2"/>
      <c r="O602" s="2"/>
    </row>
    <row r="603" spans="1:15" x14ac:dyDescent="0.15">
      <c r="A603" s="18"/>
      <c r="B603" s="152"/>
      <c r="C603" s="153"/>
      <c r="D603" s="18"/>
      <c r="E603" s="155"/>
      <c r="F603" s="156"/>
      <c r="G603" s="157"/>
      <c r="H603" s="18"/>
      <c r="I603" s="16"/>
      <c r="J603" s="17"/>
      <c r="K603" s="16"/>
      <c r="L603" s="9"/>
      <c r="M603" s="8"/>
      <c r="N603" s="2"/>
      <c r="O603" s="2"/>
    </row>
    <row r="604" spans="1:15" x14ac:dyDescent="0.15">
      <c r="A604" s="18"/>
      <c r="B604" s="152"/>
      <c r="C604" s="153"/>
      <c r="D604" s="18"/>
      <c r="E604" s="155"/>
      <c r="F604" s="156"/>
      <c r="G604" s="157"/>
      <c r="H604" s="18"/>
      <c r="I604" s="16"/>
      <c r="J604" s="17"/>
      <c r="K604" s="16"/>
      <c r="L604" s="9"/>
      <c r="M604" s="8"/>
      <c r="N604" s="2"/>
      <c r="O604" s="2"/>
    </row>
    <row r="605" spans="1:15" x14ac:dyDescent="0.15">
      <c r="A605" s="18"/>
      <c r="B605" s="152"/>
      <c r="C605" s="153"/>
      <c r="D605" s="18"/>
      <c r="E605" s="155"/>
      <c r="F605" s="156"/>
      <c r="G605" s="157"/>
      <c r="H605" s="18"/>
      <c r="I605" s="16"/>
      <c r="J605" s="17"/>
      <c r="K605" s="16"/>
      <c r="L605" s="9"/>
      <c r="M605" s="8"/>
      <c r="N605" s="2"/>
      <c r="O605" s="2"/>
    </row>
    <row r="606" spans="1:15" outlineLevel="1" x14ac:dyDescent="0.15">
      <c r="A606" s="18"/>
      <c r="B606" s="152"/>
      <c r="C606" s="153"/>
      <c r="D606" s="18"/>
      <c r="E606" s="155"/>
      <c r="F606" s="156"/>
      <c r="G606" s="157"/>
      <c r="H606" s="18"/>
      <c r="I606" s="16"/>
      <c r="J606" s="17"/>
      <c r="K606" s="16"/>
      <c r="L606" s="9"/>
      <c r="M606" s="8"/>
      <c r="N606" s="2"/>
      <c r="O606" s="2"/>
    </row>
    <row r="607" spans="1:15" outlineLevel="1" x14ac:dyDescent="0.15">
      <c r="A607" s="18"/>
      <c r="B607" s="152"/>
      <c r="C607" s="153"/>
      <c r="D607" s="18"/>
      <c r="E607" s="155"/>
      <c r="F607" s="156"/>
      <c r="G607" s="157"/>
      <c r="H607" s="18"/>
      <c r="I607" s="16"/>
      <c r="J607" s="17"/>
      <c r="K607" s="16"/>
      <c r="L607" s="9"/>
      <c r="M607" s="8"/>
      <c r="N607" s="2"/>
      <c r="O607" s="2"/>
    </row>
    <row r="608" spans="1:15" outlineLevel="1" x14ac:dyDescent="0.15">
      <c r="A608" s="18"/>
      <c r="B608" s="152"/>
      <c r="C608" s="153"/>
      <c r="D608" s="18"/>
      <c r="E608" s="155"/>
      <c r="F608" s="156"/>
      <c r="G608" s="157"/>
      <c r="H608" s="18"/>
      <c r="I608" s="16"/>
      <c r="J608" s="17"/>
      <c r="K608" s="16"/>
      <c r="L608" s="9"/>
      <c r="M608" s="8"/>
      <c r="N608" s="2"/>
      <c r="O608" s="2"/>
    </row>
    <row r="609" spans="1:15" x14ac:dyDescent="0.15">
      <c r="A609" s="18"/>
      <c r="B609" s="158"/>
      <c r="C609" s="18"/>
      <c r="D609" s="154"/>
      <c r="E609" s="150"/>
      <c r="F609" s="151"/>
      <c r="G609" s="16"/>
      <c r="H609" s="16"/>
      <c r="I609" s="16"/>
      <c r="J609" s="17"/>
      <c r="K609" s="16"/>
      <c r="L609" s="9"/>
      <c r="M609" s="8"/>
      <c r="N609" s="2"/>
      <c r="O609" s="2"/>
    </row>
    <row r="610" spans="1:15" x14ac:dyDescent="0.15">
      <c r="A610" s="18"/>
      <c r="B610" s="158"/>
      <c r="C610" s="18"/>
      <c r="D610" s="18"/>
      <c r="E610" s="150"/>
      <c r="F610" s="151"/>
      <c r="G610" s="16"/>
      <c r="H610" s="16"/>
      <c r="I610" s="16"/>
      <c r="J610" s="17"/>
      <c r="K610" s="16"/>
      <c r="L610" s="9"/>
      <c r="M610" s="8"/>
      <c r="N610" s="2"/>
      <c r="O610" s="2"/>
    </row>
    <row r="611" spans="1:15" outlineLevel="1" x14ac:dyDescent="0.15">
      <c r="A611" s="18"/>
      <c r="B611" s="158"/>
      <c r="C611" s="18"/>
      <c r="D611" s="18"/>
      <c r="E611" s="150"/>
      <c r="F611" s="151"/>
      <c r="G611" s="16"/>
      <c r="H611" s="16"/>
      <c r="I611" s="16"/>
      <c r="J611" s="17"/>
      <c r="K611" s="16"/>
      <c r="L611" s="9"/>
      <c r="M611" s="8"/>
      <c r="N611" s="2"/>
      <c r="O611" s="2"/>
    </row>
    <row r="612" spans="1:15" outlineLevel="1" x14ac:dyDescent="0.15">
      <c r="A612" s="18"/>
      <c r="B612" s="158"/>
      <c r="C612" s="18"/>
      <c r="D612" s="18"/>
      <c r="E612" s="150"/>
      <c r="F612" s="151"/>
      <c r="G612" s="16"/>
      <c r="H612" s="16"/>
      <c r="I612" s="16"/>
      <c r="J612" s="17"/>
      <c r="K612" s="16"/>
      <c r="L612" s="9"/>
      <c r="M612" s="8"/>
      <c r="N612" s="2"/>
      <c r="O612" s="2"/>
    </row>
    <row r="613" spans="1:15" x14ac:dyDescent="0.15">
      <c r="A613" s="18"/>
      <c r="B613" s="152"/>
      <c r="C613" s="153"/>
      <c r="D613" s="18"/>
      <c r="E613" s="155"/>
      <c r="F613" s="159"/>
      <c r="G613" s="16"/>
      <c r="H613" s="40"/>
      <c r="I613" s="16"/>
      <c r="J613" s="17"/>
      <c r="K613" s="16"/>
      <c r="L613" s="9"/>
      <c r="M613" s="8"/>
      <c r="N613" s="2"/>
      <c r="O613" s="2"/>
    </row>
    <row r="621" spans="1:15" x14ac:dyDescent="0.15">
      <c r="A621" s="41"/>
    </row>
    <row r="631" spans="7:7" x14ac:dyDescent="0.15">
      <c r="G631" s="42"/>
    </row>
  </sheetData>
  <autoFilter ref="A5:AA100" xr:uid="{4C00BBC5-CF5E-4A09-88A2-C828E1DA45F7}"/>
  <mergeCells count="23">
    <mergeCell ref="P1:AA1"/>
    <mergeCell ref="P2:T2"/>
    <mergeCell ref="U2:AA2"/>
    <mergeCell ref="N3:N4"/>
    <mergeCell ref="O3:O4"/>
    <mergeCell ref="Q3:Q4"/>
    <mergeCell ref="R3:R4"/>
    <mergeCell ref="T3:T4"/>
    <mergeCell ref="U3:U4"/>
    <mergeCell ref="V3:V4"/>
    <mergeCell ref="M3:M4"/>
    <mergeCell ref="G3:G4"/>
    <mergeCell ref="H3:H4"/>
    <mergeCell ref="I3:I4"/>
    <mergeCell ref="J3:J4"/>
    <mergeCell ref="K3:K4"/>
    <mergeCell ref="L3:L4"/>
    <mergeCell ref="F3:F4"/>
    <mergeCell ref="A3:A4"/>
    <mergeCell ref="B3:B4"/>
    <mergeCell ref="C3:C4"/>
    <mergeCell ref="D3:D4"/>
    <mergeCell ref="E3:E4"/>
  </mergeCells>
  <conditionalFormatting sqref="L6:L613">
    <cfRule type="cellIs" dxfId="325" priority="26" operator="equal">
      <formula>"-"</formula>
    </cfRule>
    <cfRule type="cellIs" dxfId="324" priority="27" operator="greaterThan">
      <formula>5</formula>
    </cfRule>
    <cfRule type="cellIs" dxfId="323" priority="28" operator="between">
      <formula>2</formula>
      <formula>5</formula>
    </cfRule>
    <cfRule type="cellIs" dxfId="322" priority="29" operator="lessThan">
      <formula>2</formula>
    </cfRule>
  </conditionalFormatting>
  <conditionalFormatting sqref="O6:O100">
    <cfRule type="cellIs" dxfId="321" priority="22" operator="equal">
      <formula>"-"</formula>
    </cfRule>
    <cfRule type="cellIs" dxfId="320" priority="23" operator="greaterThan">
      <formula>5</formula>
    </cfRule>
    <cfRule type="cellIs" dxfId="319" priority="24" operator="between">
      <formula>2</formula>
      <formula>5</formula>
    </cfRule>
    <cfRule type="cellIs" dxfId="318" priority="25" operator="lessThan">
      <formula>2</formula>
    </cfRule>
  </conditionalFormatting>
  <conditionalFormatting sqref="P107:R130 P104:Q106">
    <cfRule type="duplicateValues" dxfId="317" priority="21"/>
  </conditionalFormatting>
  <conditionalFormatting sqref="Q6:Q100">
    <cfRule type="cellIs" dxfId="316" priority="17" operator="equal">
      <formula>"-"</formula>
    </cfRule>
    <cfRule type="cellIs" dxfId="315" priority="18" operator="greaterThan">
      <formula>5</formula>
    </cfRule>
    <cfRule type="cellIs" dxfId="314" priority="19" operator="between">
      <formula>2</formula>
      <formula>5</formula>
    </cfRule>
    <cfRule type="cellIs" dxfId="313" priority="20" operator="lessThan">
      <formula>2</formula>
    </cfRule>
  </conditionalFormatting>
  <conditionalFormatting sqref="R6:R100">
    <cfRule type="cellIs" dxfId="312" priority="13" operator="equal">
      <formula>"-"</formula>
    </cfRule>
    <cfRule type="cellIs" dxfId="311" priority="14" operator="greaterThan">
      <formula>5</formula>
    </cfRule>
    <cfRule type="cellIs" dxfId="310" priority="15" operator="between">
      <formula>2</formula>
      <formula>5</formula>
    </cfRule>
    <cfRule type="cellIs" dxfId="309" priority="16" operator="lessThan">
      <formula>2</formula>
    </cfRule>
  </conditionalFormatting>
  <conditionalFormatting sqref="T6:V100">
    <cfRule type="cellIs" dxfId="308" priority="1" operator="equal">
      <formula>"-"</formula>
    </cfRule>
    <cfRule type="cellIs" dxfId="307" priority="2" operator="greaterThan">
      <formula>5</formula>
    </cfRule>
    <cfRule type="cellIs" dxfId="306" priority="3" operator="between">
      <formula>2</formula>
      <formula>5</formula>
    </cfRule>
    <cfRule type="cellIs" dxfId="305" priority="4" operator="lessThan">
      <formula>2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BBB83-9CE4-477E-8961-1A57CBA3F1EE}">
  <sheetPr>
    <tabColor rgb="FF92D050"/>
  </sheetPr>
  <dimension ref="A1:AQ631"/>
  <sheetViews>
    <sheetView zoomScale="61" zoomScaleNormal="115" workbookViewId="0">
      <pane xSplit="1" ySplit="5" topLeftCell="B6" activePane="bottomRight" state="frozen"/>
      <selection activeCell="A2" sqref="A2"/>
      <selection pane="topRight" activeCell="A2" sqref="A2"/>
      <selection pane="bottomLeft" activeCell="A2" sqref="A2"/>
      <selection pane="bottomRight" activeCell="A2" sqref="A2"/>
    </sheetView>
  </sheetViews>
  <sheetFormatPr baseColWidth="10" defaultColWidth="8.6640625" defaultRowHeight="14" outlineLevelRow="1" outlineLevelCol="1" x14ac:dyDescent="0.15"/>
  <cols>
    <col min="1" max="1" width="12.5" style="3" customWidth="1"/>
    <col min="2" max="2" width="9.83203125" style="3" bestFit="1" customWidth="1" outlineLevel="1"/>
    <col min="3" max="3" width="16.33203125" style="3" customWidth="1"/>
    <col min="4" max="4" width="10.33203125" style="3" customWidth="1"/>
    <col min="5" max="5" width="10.6640625" style="3" customWidth="1"/>
    <col min="6" max="6" width="18.33203125" style="3" customWidth="1" outlineLevel="1"/>
    <col min="7" max="7" width="15.83203125" style="3" customWidth="1"/>
    <col min="8" max="8" width="13.5" style="2" customWidth="1"/>
    <col min="9" max="9" width="14.1640625" style="2" customWidth="1"/>
    <col min="10" max="10" width="17.1640625" style="2" customWidth="1"/>
    <col min="11" max="11" width="21.5" style="2" customWidth="1"/>
    <col min="12" max="12" width="11.1640625" style="3" customWidth="1"/>
    <col min="13" max="13" width="26.6640625" style="3" bestFit="1" customWidth="1"/>
    <col min="14" max="14" width="13.5" style="2" customWidth="1"/>
    <col min="15" max="15" width="14.1640625" style="2" customWidth="1"/>
    <col min="16" max="16" width="17.1640625" style="2" customWidth="1"/>
    <col min="17" max="17" width="21.5" style="2" customWidth="1"/>
    <col min="18" max="18" width="11.1640625" style="3" customWidth="1"/>
    <col min="19" max="19" width="26.6640625" style="3" bestFit="1" customWidth="1"/>
    <col min="20" max="21" width="26.6640625" style="3" customWidth="1"/>
    <col min="22" max="22" width="11.83203125" style="3" customWidth="1"/>
    <col min="23" max="23" width="11.5" style="3" customWidth="1"/>
    <col min="24" max="24" width="19.1640625" style="3" customWidth="1"/>
    <col min="25" max="25" width="8.6640625" style="3"/>
    <col min="26" max="26" width="16.6640625" style="3" bestFit="1" customWidth="1"/>
    <col min="27" max="28" width="20.83203125" style="3" customWidth="1"/>
    <col min="29" max="29" width="13.5" style="2" customWidth="1"/>
    <col min="30" max="30" width="14.1640625" style="2" customWidth="1"/>
    <col min="31" max="31" width="17.1640625" style="2" customWidth="1"/>
    <col min="32" max="32" width="21.5" style="2" customWidth="1"/>
    <col min="33" max="33" width="11.1640625" style="3" customWidth="1"/>
    <col min="34" max="34" width="26.6640625" style="3" bestFit="1" customWidth="1"/>
    <col min="35" max="36" width="26.6640625" style="3" customWidth="1"/>
    <col min="37" max="37" width="11.83203125" style="3" customWidth="1"/>
    <col min="38" max="38" width="11.5" style="3" customWidth="1"/>
    <col min="39" max="39" width="19.1640625" style="3" customWidth="1"/>
    <col min="40" max="40" width="8.6640625" style="3"/>
    <col min="41" max="41" width="16.6640625" style="3" bestFit="1" customWidth="1"/>
    <col min="42" max="43" width="20.83203125" style="3" customWidth="1"/>
    <col min="44" max="16384" width="8.6640625" style="3"/>
  </cols>
  <sheetData>
    <row r="1" spans="1:43" x14ac:dyDescent="0.15">
      <c r="H1" s="297" t="s">
        <v>2278</v>
      </c>
      <c r="I1" s="297"/>
      <c r="J1" s="297"/>
      <c r="K1" s="297"/>
      <c r="L1" s="297"/>
      <c r="M1" s="297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  <c r="Z1" s="298"/>
      <c r="AA1" s="298"/>
      <c r="AB1" s="298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</row>
    <row r="2" spans="1:43" ht="16" x14ac:dyDescent="0.2">
      <c r="A2" s="1" t="s">
        <v>2293</v>
      </c>
      <c r="B2" s="2"/>
      <c r="C2" s="2"/>
      <c r="D2" s="2"/>
      <c r="E2" s="2"/>
      <c r="F2" s="2"/>
      <c r="G2" s="2"/>
      <c r="H2" s="278" t="s">
        <v>2090</v>
      </c>
      <c r="I2" s="278"/>
      <c r="J2" s="278"/>
      <c r="K2" s="278"/>
      <c r="L2" s="278"/>
      <c r="M2" s="279"/>
      <c r="N2" s="278" t="s">
        <v>938</v>
      </c>
      <c r="O2" s="278"/>
      <c r="P2" s="278"/>
      <c r="Q2" s="278"/>
      <c r="R2" s="278"/>
      <c r="S2" s="278"/>
      <c r="T2" s="278"/>
      <c r="U2" s="278"/>
      <c r="V2" s="285" t="s">
        <v>1742</v>
      </c>
      <c r="W2" s="285"/>
      <c r="X2" s="285"/>
      <c r="Y2" s="285"/>
      <c r="Z2" s="285"/>
      <c r="AA2" s="285"/>
      <c r="AB2" s="285"/>
      <c r="AC2" s="278" t="s">
        <v>938</v>
      </c>
      <c r="AD2" s="278"/>
      <c r="AE2" s="278"/>
      <c r="AF2" s="278"/>
      <c r="AG2" s="278"/>
      <c r="AH2" s="278"/>
      <c r="AI2" s="278"/>
      <c r="AJ2" s="278"/>
      <c r="AK2" s="285" t="s">
        <v>1742</v>
      </c>
      <c r="AL2" s="285"/>
      <c r="AM2" s="285"/>
      <c r="AN2" s="285"/>
      <c r="AO2" s="285"/>
      <c r="AP2" s="285"/>
      <c r="AQ2" s="285"/>
    </row>
    <row r="3" spans="1:43" ht="13.75" customHeight="1" x14ac:dyDescent="0.15">
      <c r="A3" s="276" t="s">
        <v>1</v>
      </c>
      <c r="B3" s="276" t="s">
        <v>2</v>
      </c>
      <c r="C3" s="276" t="s">
        <v>3</v>
      </c>
      <c r="D3" s="276" t="s">
        <v>4</v>
      </c>
      <c r="E3" s="276" t="s">
        <v>5</v>
      </c>
      <c r="F3" s="276" t="s">
        <v>6</v>
      </c>
      <c r="G3" s="284" t="s">
        <v>7</v>
      </c>
      <c r="H3" s="271" t="s">
        <v>8</v>
      </c>
      <c r="I3" s="271" t="s">
        <v>2091</v>
      </c>
      <c r="J3" s="271" t="s">
        <v>626</v>
      </c>
      <c r="K3" s="271" t="s">
        <v>627</v>
      </c>
      <c r="L3" s="271" t="s">
        <v>10</v>
      </c>
      <c r="M3" s="295" t="s">
        <v>11</v>
      </c>
      <c r="N3" s="275" t="s">
        <v>8</v>
      </c>
      <c r="O3" s="275" t="s">
        <v>9</v>
      </c>
      <c r="P3" s="275" t="s">
        <v>626</v>
      </c>
      <c r="Q3" s="275" t="s">
        <v>627</v>
      </c>
      <c r="R3" s="275" t="s">
        <v>10</v>
      </c>
      <c r="S3" s="276" t="s">
        <v>11</v>
      </c>
      <c r="T3" s="275" t="s">
        <v>2096</v>
      </c>
      <c r="U3" s="275" t="s">
        <v>10</v>
      </c>
      <c r="V3" s="275" t="s">
        <v>8</v>
      </c>
      <c r="W3" s="275" t="s">
        <v>1743</v>
      </c>
      <c r="X3" s="275" t="s">
        <v>1744</v>
      </c>
      <c r="Y3" s="275" t="s">
        <v>10</v>
      </c>
      <c r="Z3" s="276" t="s">
        <v>11</v>
      </c>
      <c r="AA3" s="275" t="s">
        <v>2096</v>
      </c>
      <c r="AB3" s="275" t="s">
        <v>10</v>
      </c>
      <c r="AC3" s="275" t="s">
        <v>8</v>
      </c>
      <c r="AD3" s="275" t="s">
        <v>9</v>
      </c>
      <c r="AE3" s="275" t="s">
        <v>626</v>
      </c>
      <c r="AF3" s="275" t="s">
        <v>627</v>
      </c>
      <c r="AG3" s="275" t="s">
        <v>10</v>
      </c>
      <c r="AH3" s="276" t="s">
        <v>11</v>
      </c>
      <c r="AI3" s="275" t="s">
        <v>2096</v>
      </c>
      <c r="AJ3" s="275" t="s">
        <v>10</v>
      </c>
      <c r="AK3" s="275" t="s">
        <v>8</v>
      </c>
      <c r="AL3" s="275" t="s">
        <v>1743</v>
      </c>
      <c r="AM3" s="275" t="s">
        <v>1744</v>
      </c>
      <c r="AN3" s="275" t="s">
        <v>10</v>
      </c>
      <c r="AO3" s="276" t="s">
        <v>11</v>
      </c>
      <c r="AP3" s="275" t="s">
        <v>2096</v>
      </c>
      <c r="AQ3" s="275" t="s">
        <v>10</v>
      </c>
    </row>
    <row r="4" spans="1:43" x14ac:dyDescent="0.15">
      <c r="A4" s="276"/>
      <c r="B4" s="276"/>
      <c r="C4" s="276"/>
      <c r="D4" s="276"/>
      <c r="E4" s="276"/>
      <c r="F4" s="276"/>
      <c r="G4" s="284"/>
      <c r="H4" s="272"/>
      <c r="I4" s="272"/>
      <c r="J4" s="272"/>
      <c r="K4" s="272"/>
      <c r="L4" s="272"/>
      <c r="M4" s="296"/>
      <c r="N4" s="275"/>
      <c r="O4" s="275"/>
      <c r="P4" s="275"/>
      <c r="Q4" s="275"/>
      <c r="R4" s="275"/>
      <c r="S4" s="276"/>
      <c r="T4" s="275"/>
      <c r="U4" s="275"/>
      <c r="V4" s="275"/>
      <c r="W4" s="275"/>
      <c r="X4" s="275"/>
      <c r="Y4" s="275"/>
      <c r="Z4" s="276"/>
      <c r="AA4" s="275"/>
      <c r="AB4" s="275"/>
      <c r="AC4" s="275"/>
      <c r="AD4" s="275"/>
      <c r="AE4" s="275"/>
      <c r="AF4" s="275"/>
      <c r="AG4" s="275"/>
      <c r="AH4" s="276"/>
      <c r="AI4" s="275"/>
      <c r="AJ4" s="275"/>
      <c r="AK4" s="275"/>
      <c r="AL4" s="275"/>
      <c r="AM4" s="275"/>
      <c r="AN4" s="275"/>
      <c r="AO4" s="276"/>
      <c r="AP4" s="275"/>
      <c r="AQ4" s="275"/>
    </row>
    <row r="5" spans="1:43" ht="10.5" customHeight="1" x14ac:dyDescent="0.15">
      <c r="A5" s="4"/>
      <c r="B5" s="4"/>
      <c r="C5" s="4"/>
      <c r="D5" s="4"/>
      <c r="E5" s="4"/>
      <c r="F5" s="4"/>
      <c r="G5" s="5"/>
      <c r="H5" s="6"/>
      <c r="I5" s="6"/>
      <c r="J5" s="6"/>
      <c r="K5" s="6"/>
      <c r="L5" s="6"/>
      <c r="M5" s="185"/>
      <c r="N5" s="6"/>
      <c r="O5" s="6"/>
      <c r="P5" s="6"/>
      <c r="Q5" s="6"/>
      <c r="R5" s="6"/>
      <c r="S5" s="7"/>
      <c r="T5" s="7"/>
      <c r="U5" s="7"/>
      <c r="V5" s="6"/>
      <c r="W5" s="6"/>
      <c r="X5" s="6"/>
      <c r="Y5" s="6"/>
      <c r="Z5" s="7"/>
      <c r="AA5" s="7"/>
      <c r="AB5" s="7"/>
      <c r="AC5" s="6"/>
      <c r="AD5" s="6"/>
      <c r="AE5" s="6"/>
      <c r="AF5" s="6"/>
      <c r="AG5" s="6"/>
      <c r="AH5" s="7"/>
      <c r="AI5" s="7"/>
      <c r="AJ5" s="7"/>
      <c r="AK5" s="6"/>
      <c r="AL5" s="6"/>
      <c r="AM5" s="6"/>
      <c r="AN5" s="6"/>
      <c r="AO5" s="7"/>
      <c r="AP5" s="7"/>
      <c r="AQ5" s="7"/>
    </row>
    <row r="6" spans="1:43" outlineLevel="1" x14ac:dyDescent="0.15">
      <c r="A6" s="8" t="s">
        <v>949</v>
      </c>
      <c r="B6" s="8"/>
      <c r="C6" s="8" t="s">
        <v>14</v>
      </c>
      <c r="D6" s="186" t="s">
        <v>1307</v>
      </c>
      <c r="E6" s="9">
        <v>25.06</v>
      </c>
      <c r="F6" s="8" t="s">
        <v>469</v>
      </c>
      <c r="G6" s="10">
        <v>2283</v>
      </c>
      <c r="H6" s="11">
        <f t="array" ref="H6">IF(OR(N6&gt;0,AC6&gt;0),MAX(N6,AC6),MAX(AK6,V6))</f>
        <v>46235</v>
      </c>
      <c r="I6" s="143">
        <f t="array" ref="I6">IF(SUM(O6,AD6)&gt;0,SUM(O6,AD6),SUM(AL6,W6))</f>
        <v>294.57549</v>
      </c>
      <c r="J6" s="9">
        <f t="shared" ref="J6:J69" si="0">IF(P6&gt;0,P6," ")</f>
        <v>12.903</v>
      </c>
      <c r="K6" s="143">
        <f>IF(SUM(Q6,AF6)&gt;0,SUM(Q6,AF6),SUM(AM6,X6))</f>
        <v>10.958527906444798</v>
      </c>
      <c r="L6" s="9">
        <f t="shared" ref="L6:L69" si="1">IFERROR(K6/I6*100,0)</f>
        <v>3.7201085217391303</v>
      </c>
      <c r="M6" s="8" t="str">
        <f t="array" ref="M6">IF(L6&gt;5,"Perlu Sensus",IF(AND(L6&gt;=0,I6&gt;0),"Tetap Deteksi","Belum Deteksi"))</f>
        <v>Tetap Deteksi</v>
      </c>
      <c r="N6" s="11">
        <v>46235</v>
      </c>
      <c r="O6" s="143">
        <v>294.57549</v>
      </c>
      <c r="P6" s="9">
        <f t="array" ref="P6">IFERROR(O6/$G6*100,0)</f>
        <v>12.903</v>
      </c>
      <c r="Q6" s="143">
        <v>10.958527906444798</v>
      </c>
      <c r="R6" s="9">
        <f t="shared" ref="R6:R69" si="2">IFERROR(Q6/O6*100,0)</f>
        <v>3.7201085217391303</v>
      </c>
      <c r="S6" s="8" t="str">
        <f t="array" ref="S6">IF(R6&gt;5,"Perlu Sensus",IF(AND(R6&gt;=0,O6&gt;0),"Tetap Deteksi","Belum Deteksi"))</f>
        <v>Tetap Deteksi</v>
      </c>
      <c r="T6" s="143">
        <v>6.9275086216427519</v>
      </c>
      <c r="U6" s="9">
        <f>IFERROR(T6/O6*100,0)</f>
        <v>2.351692132173913</v>
      </c>
      <c r="V6" s="11">
        <v>46235</v>
      </c>
      <c r="W6" s="143">
        <v>250.68825600000002</v>
      </c>
      <c r="X6" s="143">
        <v>7.6749719433953283</v>
      </c>
      <c r="Y6" s="9">
        <f t="shared" ref="Y6:Y69" si="3">IFERROR(X6/W6*100,0)</f>
        <v>3.0615602285714285</v>
      </c>
      <c r="Z6" s="8" t="str">
        <f t="array" ref="Z6">IF(Y6&gt;5,"Perlu Sensus",IF(AND(Y6&gt;=0,W6&gt;0),"Tetap Deteksi","Belum Deteksi"))</f>
        <v>Tetap Deteksi</v>
      </c>
      <c r="AA6" s="143">
        <v>5.0216670797019214</v>
      </c>
      <c r="AB6" s="9">
        <f>IFERROR(AA6/W6*100,0)</f>
        <v>2.0031521060571427</v>
      </c>
      <c r="AC6" s="11"/>
      <c r="AD6" s="143"/>
      <c r="AE6" s="9">
        <f t="array" ref="AE6">IFERROR(AD6/$G6*100,0)</f>
        <v>0</v>
      </c>
      <c r="AF6" s="143"/>
      <c r="AG6" s="9">
        <f t="shared" ref="AG6:AG69" si="4">IFERROR(AF6/AD6*100,0)</f>
        <v>0</v>
      </c>
      <c r="AH6" s="8" t="str">
        <f t="array" ref="AH6">IF(AG6&gt;5,"Perlu Sensus",IF(AND(AG6&gt;=0,AD6&gt;0),"Tetap Deteksi","Belum Deteksi"))</f>
        <v>Belum Deteksi</v>
      </c>
      <c r="AI6" s="143"/>
      <c r="AJ6" s="9">
        <f>IFERROR(AI6/AD6*100,0)</f>
        <v>0</v>
      </c>
      <c r="AK6" s="11"/>
      <c r="AL6" s="143"/>
      <c r="AM6" s="143"/>
      <c r="AN6" s="9">
        <f t="shared" ref="AN6:AN69" si="5">IFERROR(AM6/AL6*100,0)</f>
        <v>0</v>
      </c>
      <c r="AO6" s="8" t="str">
        <f t="array" ref="AO6">IF(AN6&gt;5,"Perlu Sensus",IF(AND(AN6&gt;=0,AL6&gt;0),"Tetap Deteksi","Belum Deteksi"))</f>
        <v>Belum Deteksi</v>
      </c>
      <c r="AP6" s="143"/>
      <c r="AQ6" s="9">
        <f>IFERROR(AP6/AL6*100,0)</f>
        <v>0</v>
      </c>
    </row>
    <row r="7" spans="1:43" outlineLevel="1" x14ac:dyDescent="0.15">
      <c r="A7" s="8" t="s">
        <v>949</v>
      </c>
      <c r="B7" s="8"/>
      <c r="C7" s="8" t="s">
        <v>14</v>
      </c>
      <c r="D7" s="186" t="s">
        <v>1308</v>
      </c>
      <c r="E7" s="9">
        <v>52.88</v>
      </c>
      <c r="F7" s="8" t="s">
        <v>469</v>
      </c>
      <c r="G7" s="10">
        <v>5893</v>
      </c>
      <c r="H7" s="11">
        <f t="array" ref="H7">IF(OR(N7&gt;0,AC7&gt;0),MAX(N7,AC7),MAX(AK7,V7))</f>
        <v>46236</v>
      </c>
      <c r="I7" s="143">
        <f t="array" ref="I7">IF(SUM(O7,AD7)&gt;0,SUM(O7,AD7),SUM(AL7,W7))</f>
        <v>854.3836404000001</v>
      </c>
      <c r="J7" s="9">
        <f t="shared" si="0"/>
        <v>14.498280000000003</v>
      </c>
      <c r="K7" s="143">
        <f t="shared" ref="K7:K70" si="6">IF(SUM(Q7,AF7)&gt;0,SUM(Q7,AF7),SUM(AM7,X7))</f>
        <v>24.262750179841543</v>
      </c>
      <c r="L7" s="9">
        <f t="shared" si="1"/>
        <v>2.8397957349092446</v>
      </c>
      <c r="M7" s="8" t="str">
        <f t="array" ref="M7">IF(L7&gt;5,"Perlu Sensus",IF(AND(L7&gt;=0,I7&gt;0),"Tetap Deteksi","Belum Deteksi"))</f>
        <v>Tetap Deteksi</v>
      </c>
      <c r="N7" s="11">
        <v>46236</v>
      </c>
      <c r="O7" s="143">
        <v>854.3836404000001</v>
      </c>
      <c r="P7" s="9">
        <f t="array" ref="P7">IFERROR(O7/$G7*100,0)</f>
        <v>14.498280000000003</v>
      </c>
      <c r="Q7" s="143">
        <v>24.262750179841543</v>
      </c>
      <c r="R7" s="9">
        <f t="shared" si="2"/>
        <v>2.8397957349092446</v>
      </c>
      <c r="S7" s="8" t="str">
        <f t="array" ref="S7">IF(R7&gt;5,"Perlu Sensus",IF(AND(R7&gt;=0,O7&gt;0),"Tetap Deteksi","Belum Deteksi"))</f>
        <v>Tetap Deteksi</v>
      </c>
      <c r="T7" s="143">
        <v>15.756169418036418</v>
      </c>
      <c r="U7" s="9">
        <f t="shared" ref="U7:U70" si="7">IFERROR(T7/O7*100,0)</f>
        <v>1.8441562634157871</v>
      </c>
      <c r="V7" s="11">
        <v>46236</v>
      </c>
      <c r="W7" s="143">
        <v>255.70202112000004</v>
      </c>
      <c r="X7" s="143">
        <v>6.9946021056505652</v>
      </c>
      <c r="Y7" s="9">
        <f t="shared" si="3"/>
        <v>2.7354504571428566</v>
      </c>
      <c r="Z7" s="8" t="str">
        <f t="array" ref="Z7">IF(Y7&gt;5,"Perlu Sensus",IF(AND(Y7&gt;=0,W7&gt;0),"Tetap Deteksi","Belum Deteksi"))</f>
        <v>Tetap Deteksi</v>
      </c>
      <c r="AA7" s="143">
        <v>7.28</v>
      </c>
      <c r="AB7" s="9">
        <f t="shared" ref="AB7:AB70" si="8">IFERROR(AA7/W7*100,0)</f>
        <v>2.8470639254679657</v>
      </c>
      <c r="AC7" s="11"/>
      <c r="AD7" s="143"/>
      <c r="AE7" s="9">
        <f t="array" ref="AE7">IFERROR(AD7/$G7*100,0)</f>
        <v>0</v>
      </c>
      <c r="AF7" s="143"/>
      <c r="AG7" s="9">
        <f t="shared" si="4"/>
        <v>0</v>
      </c>
      <c r="AH7" s="8" t="str">
        <f t="array" ref="AH7">IF(AG7&gt;5,"Perlu Sensus",IF(AND(AG7&gt;=0,AD7&gt;0),"Tetap Deteksi","Belum Deteksi"))</f>
        <v>Belum Deteksi</v>
      </c>
      <c r="AI7" s="143"/>
      <c r="AJ7" s="9">
        <f t="shared" ref="AJ7:AJ70" si="9">IFERROR(AI7/AD7*100,0)</f>
        <v>0</v>
      </c>
      <c r="AK7" s="11"/>
      <c r="AL7" s="143"/>
      <c r="AM7" s="143"/>
      <c r="AN7" s="9">
        <f t="shared" si="5"/>
        <v>0</v>
      </c>
      <c r="AO7" s="8" t="str">
        <f t="array" ref="AO7">IF(AN7&gt;5,"Perlu Sensus",IF(AND(AN7&gt;=0,AL7&gt;0),"Tetap Deteksi","Belum Deteksi"))</f>
        <v>Belum Deteksi</v>
      </c>
      <c r="AP7" s="143"/>
      <c r="AQ7" s="9">
        <f t="shared" ref="AQ7:AQ70" si="10">IFERROR(AP7/AL7*100,0)</f>
        <v>0</v>
      </c>
    </row>
    <row r="8" spans="1:43" outlineLevel="1" x14ac:dyDescent="0.15">
      <c r="A8" s="8" t="s">
        <v>949</v>
      </c>
      <c r="B8" s="8"/>
      <c r="C8" s="8" t="s">
        <v>14</v>
      </c>
      <c r="D8" s="186" t="s">
        <v>1309</v>
      </c>
      <c r="E8" s="9">
        <v>30.23</v>
      </c>
      <c r="F8" s="8" t="s">
        <v>469</v>
      </c>
      <c r="G8" s="10">
        <v>3738</v>
      </c>
      <c r="H8" s="11">
        <f t="array" ref="H8">IF(OR(N8&gt;0,AC8&gt;0),MAX(N8,AC8),MAX(AK8,V8))</f>
        <v>46237</v>
      </c>
      <c r="I8" s="143">
        <f t="array" ref="I8">IF(SUM(O8,AD8)&gt;0,SUM(O8,AD8),SUM(AL8,W8))</f>
        <v>406.45927979999993</v>
      </c>
      <c r="J8" s="9">
        <f t="shared" si="0"/>
        <v>10.873709999999997</v>
      </c>
      <c r="K8" s="143">
        <f t="shared" si="6"/>
        <v>5.2073711299209595</v>
      </c>
      <c r="L8" s="9">
        <f t="shared" si="1"/>
        <v>1.2811544449134658</v>
      </c>
      <c r="M8" s="8" t="str">
        <f t="array" ref="M8">IF(L8&gt;5,"Perlu Sensus",IF(AND(L8&gt;=0,I8&gt;0),"Tetap Deteksi","Belum Deteksi"))</f>
        <v>Tetap Deteksi</v>
      </c>
      <c r="N8" s="11">
        <v>46237</v>
      </c>
      <c r="O8" s="143">
        <v>406.45927979999993</v>
      </c>
      <c r="P8" s="9">
        <f t="array" ref="P8">IFERROR(O8/$G8*100,0)</f>
        <v>10.873709999999997</v>
      </c>
      <c r="Q8" s="143">
        <v>5.2073711299209595</v>
      </c>
      <c r="R8" s="9">
        <f t="shared" si="2"/>
        <v>1.2811544449134658</v>
      </c>
      <c r="S8" s="8" t="str">
        <f t="array" ref="S8">IF(R8&gt;5,"Perlu Sensus",IF(AND(R8&gt;=0,O8&gt;0),"Tetap Deteksi","Belum Deteksi"))</f>
        <v>Tetap Deteksi</v>
      </c>
      <c r="T8" s="143">
        <v>3.3816538165485999</v>
      </c>
      <c r="U8" s="9">
        <f t="shared" si="7"/>
        <v>0.83197849934993662</v>
      </c>
      <c r="V8" s="11">
        <v>46237</v>
      </c>
      <c r="W8" s="143">
        <v>260.81606154240006</v>
      </c>
      <c r="X8" s="143">
        <v>3.969703228515431</v>
      </c>
      <c r="Y8" s="9">
        <f t="shared" si="3"/>
        <v>1.5220317357142856</v>
      </c>
      <c r="Z8" s="8" t="str">
        <f t="array" ref="Z8">IF(Y8&gt;5,"Perlu Sensus",IF(AND(Y8&gt;=0,W8&gt;0),"Tetap Deteksi","Belum Deteksi"))</f>
        <v>Tetap Deteksi</v>
      </c>
      <c r="AA8" s="143">
        <v>2.5973421356904072</v>
      </c>
      <c r="AB8" s="9">
        <f t="shared" si="8"/>
        <v>0.99585206537142856</v>
      </c>
      <c r="AC8" s="11"/>
      <c r="AD8" s="143"/>
      <c r="AE8" s="9">
        <f t="array" ref="AE8">IFERROR(AD8/$G8*100,0)</f>
        <v>0</v>
      </c>
      <c r="AF8" s="143"/>
      <c r="AG8" s="9">
        <f t="shared" si="4"/>
        <v>0</v>
      </c>
      <c r="AH8" s="8" t="str">
        <f t="array" ref="AH8">IF(AG8&gt;5,"Perlu Sensus",IF(AND(AG8&gt;=0,AD8&gt;0),"Tetap Deteksi","Belum Deteksi"))</f>
        <v>Belum Deteksi</v>
      </c>
      <c r="AI8" s="143"/>
      <c r="AJ8" s="9">
        <f t="shared" si="9"/>
        <v>0</v>
      </c>
      <c r="AK8" s="11"/>
      <c r="AL8" s="143"/>
      <c r="AM8" s="143"/>
      <c r="AN8" s="9">
        <f t="shared" si="5"/>
        <v>0</v>
      </c>
      <c r="AO8" s="8" t="str">
        <f t="array" ref="AO8">IF(AN8&gt;5,"Perlu Sensus",IF(AND(AN8&gt;=0,AL8&gt;0),"Tetap Deteksi","Belum Deteksi"))</f>
        <v>Belum Deteksi</v>
      </c>
      <c r="AP8" s="143"/>
      <c r="AQ8" s="9">
        <f t="shared" si="10"/>
        <v>0</v>
      </c>
    </row>
    <row r="9" spans="1:43" outlineLevel="1" x14ac:dyDescent="0.15">
      <c r="A9" s="8" t="s">
        <v>949</v>
      </c>
      <c r="B9" s="8"/>
      <c r="C9" s="8" t="s">
        <v>14</v>
      </c>
      <c r="D9" s="186" t="s">
        <v>1750</v>
      </c>
      <c r="E9" s="9">
        <v>26.77</v>
      </c>
      <c r="F9" s="8" t="s">
        <v>469</v>
      </c>
      <c r="G9" s="10">
        <v>2659</v>
      </c>
      <c r="H9" s="11">
        <f t="array" ref="H9">IF(OR(N9&gt;0,AC9&gt;0),MAX(N9,AC9),MAX(AK9,V9))</f>
        <v>46238</v>
      </c>
      <c r="I9" s="143">
        <f t="array" ref="I9">IF(SUM(O9,AD9)&gt;0,SUM(O9,AD9),SUM(AL9,W9))</f>
        <v>257.00617679999999</v>
      </c>
      <c r="J9" s="9">
        <f t="shared" si="0"/>
        <v>9.665519999999999</v>
      </c>
      <c r="K9" s="143">
        <f t="shared" si="6"/>
        <v>2.8228356247956485</v>
      </c>
      <c r="L9" s="9">
        <f t="shared" si="1"/>
        <v>1.0983532224567332</v>
      </c>
      <c r="M9" s="8" t="str">
        <f t="array" ref="M9">IF(L9&gt;5,"Perlu Sensus",IF(AND(L9&gt;=0,I9&gt;0),"Tetap Deteksi","Belum Deteksi"))</f>
        <v>Tetap Deteksi</v>
      </c>
      <c r="N9" s="11">
        <v>46238</v>
      </c>
      <c r="O9" s="143">
        <v>257.00617679999999</v>
      </c>
      <c r="P9" s="9">
        <f t="array" ref="P9">IFERROR(O9/$G9*100,0)</f>
        <v>9.665519999999999</v>
      </c>
      <c r="Q9" s="143">
        <v>2.8228356247956485</v>
      </c>
      <c r="R9" s="9">
        <f t="shared" si="2"/>
        <v>1.0983532224567332</v>
      </c>
      <c r="S9" s="8" t="str">
        <f t="array" ref="S9">IF(R9&gt;5,"Perlu Sensus",IF(AND(R9&gt;=0,O9&gt;0),"Tetap Deteksi","Belum Deteksi"))</f>
        <v>Tetap Deteksi</v>
      </c>
      <c r="T9" s="143">
        <v>1.8331424102327132</v>
      </c>
      <c r="U9" s="9">
        <f t="shared" si="7"/>
        <v>0.71326784167496837</v>
      </c>
      <c r="V9" s="11">
        <v>46238</v>
      </c>
      <c r="W9" s="143">
        <v>266.03238277324806</v>
      </c>
      <c r="X9" s="143">
        <v>2.7284488302436625</v>
      </c>
      <c r="Y9" s="9">
        <f t="shared" si="3"/>
        <v>1.0256077857142858</v>
      </c>
      <c r="Z9" s="8" t="str">
        <f t="array" ref="Z9">IF(Y9&gt;5,"Perlu Sensus",IF(AND(Y9&gt;=0,W9&gt;0),"Tetap Deteksi","Belum Deteksi"))</f>
        <v>Tetap Deteksi</v>
      </c>
      <c r="AA9" s="143">
        <v>3.12</v>
      </c>
      <c r="AB9" s="9">
        <f t="shared" si="8"/>
        <v>1.1727895557208625</v>
      </c>
      <c r="AC9" s="11"/>
      <c r="AD9" s="143"/>
      <c r="AE9" s="9">
        <f t="array" ref="AE9">IFERROR(AD9/$G9*100,0)</f>
        <v>0</v>
      </c>
      <c r="AF9" s="143"/>
      <c r="AG9" s="9">
        <f t="shared" si="4"/>
        <v>0</v>
      </c>
      <c r="AH9" s="8" t="str">
        <f t="array" ref="AH9">IF(AG9&gt;5,"Perlu Sensus",IF(AND(AG9&gt;=0,AD9&gt;0),"Tetap Deteksi","Belum Deteksi"))</f>
        <v>Belum Deteksi</v>
      </c>
      <c r="AI9" s="143"/>
      <c r="AJ9" s="9">
        <f t="shared" si="9"/>
        <v>0</v>
      </c>
      <c r="AK9" s="11"/>
      <c r="AL9" s="143"/>
      <c r="AM9" s="143"/>
      <c r="AN9" s="9">
        <f t="shared" si="5"/>
        <v>0</v>
      </c>
      <c r="AO9" s="8" t="str">
        <f t="array" ref="AO9">IF(AN9&gt;5,"Perlu Sensus",IF(AND(AN9&gt;=0,AL9&gt;0),"Tetap Deteksi","Belum Deteksi"))</f>
        <v>Belum Deteksi</v>
      </c>
      <c r="AP9" s="143"/>
      <c r="AQ9" s="9">
        <f t="shared" si="10"/>
        <v>0</v>
      </c>
    </row>
    <row r="10" spans="1:43" outlineLevel="1" x14ac:dyDescent="0.15">
      <c r="A10" s="8" t="s">
        <v>949</v>
      </c>
      <c r="B10" s="8"/>
      <c r="C10" s="8" t="s">
        <v>14</v>
      </c>
      <c r="D10" s="186" t="s">
        <v>1751</v>
      </c>
      <c r="E10" s="9">
        <v>30.669999999999998</v>
      </c>
      <c r="F10" s="8" t="s">
        <v>469</v>
      </c>
      <c r="G10" s="10">
        <v>3496</v>
      </c>
      <c r="H10" s="11">
        <f t="array" ref="H10">IF(OR(N10&gt;0,AC10&gt;0),MAX(N10,AC10),MAX(AK10,V10))</f>
        <v>46239</v>
      </c>
      <c r="I10" s="143">
        <f t="array" ref="I10">IF(SUM(O10,AD10)&gt;0,SUM(O10,AD10),SUM(AL10,W10))</f>
        <v>422.38322399999998</v>
      </c>
      <c r="J10" s="9">
        <f t="shared" si="0"/>
        <v>12.081899999999999</v>
      </c>
      <c r="K10" s="143">
        <f t="shared" si="6"/>
        <v>13.712097788927998</v>
      </c>
      <c r="L10" s="9">
        <f t="shared" si="1"/>
        <v>3.2463642043056145</v>
      </c>
      <c r="M10" s="8" t="str">
        <f t="array" ref="M10">IF(L10&gt;5,"Perlu Sensus",IF(AND(L10&gt;=0,I10&gt;0),"Tetap Deteksi","Belum Deteksi"))</f>
        <v>Tetap Deteksi</v>
      </c>
      <c r="N10" s="11">
        <v>46239</v>
      </c>
      <c r="O10" s="143">
        <v>422.38322399999998</v>
      </c>
      <c r="P10" s="9">
        <f t="array" ref="P10">IFERROR(O10/$G10*100,0)</f>
        <v>12.081899999999999</v>
      </c>
      <c r="Q10" s="143">
        <v>13.712097788927998</v>
      </c>
      <c r="R10" s="9">
        <f t="shared" si="2"/>
        <v>3.2463642043056145</v>
      </c>
      <c r="S10" s="8" t="str">
        <f t="array" ref="S10">IF(R10&gt;5,"Perlu Sensus",IF(AND(R10&gt;=0,O10&gt;0),"Tetap Deteksi","Belum Deteksi"))</f>
        <v>Tetap Deteksi</v>
      </c>
      <c r="T10" s="143">
        <v>8.9046020849909748</v>
      </c>
      <c r="U10" s="9">
        <f t="shared" si="7"/>
        <v>2.1081808128324186</v>
      </c>
      <c r="V10" s="11">
        <v>46239</v>
      </c>
      <c r="W10" s="143">
        <v>271.353030428713</v>
      </c>
      <c r="X10" s="143">
        <v>6.7980000000000009</v>
      </c>
      <c r="Y10" s="9">
        <f t="shared" si="3"/>
        <v>2.5052235419150404</v>
      </c>
      <c r="Z10" s="8" t="str">
        <f t="array" ref="Z10">IF(Y10&gt;5,"Perlu Sensus",IF(AND(Y10&gt;=0,W10&gt;0),"Tetap Deteksi","Belum Deteksi"))</f>
        <v>Tetap Deteksi</v>
      </c>
      <c r="AA10" s="143">
        <v>4.4478720000000012</v>
      </c>
      <c r="AB10" s="9">
        <f t="shared" si="8"/>
        <v>1.6391458731722177</v>
      </c>
      <c r="AC10" s="11"/>
      <c r="AD10" s="143"/>
      <c r="AE10" s="9">
        <f t="array" ref="AE10">IFERROR(AD10/$G10*100,0)</f>
        <v>0</v>
      </c>
      <c r="AF10" s="143"/>
      <c r="AG10" s="9">
        <f t="shared" si="4"/>
        <v>0</v>
      </c>
      <c r="AH10" s="8" t="str">
        <f t="array" ref="AH10">IF(AG10&gt;5,"Perlu Sensus",IF(AND(AG10&gt;=0,AD10&gt;0),"Tetap Deteksi","Belum Deteksi"))</f>
        <v>Belum Deteksi</v>
      </c>
      <c r="AI10" s="143"/>
      <c r="AJ10" s="9">
        <f t="shared" si="9"/>
        <v>0</v>
      </c>
      <c r="AK10" s="11"/>
      <c r="AL10" s="143"/>
      <c r="AM10" s="143"/>
      <c r="AN10" s="9">
        <f t="shared" si="5"/>
        <v>0</v>
      </c>
      <c r="AO10" s="8" t="str">
        <f t="array" ref="AO10">IF(AN10&gt;5,"Perlu Sensus",IF(AND(AN10&gt;=0,AL10&gt;0),"Tetap Deteksi","Belum Deteksi"))</f>
        <v>Belum Deteksi</v>
      </c>
      <c r="AP10" s="143"/>
      <c r="AQ10" s="9">
        <f t="shared" si="10"/>
        <v>0</v>
      </c>
    </row>
    <row r="11" spans="1:43" outlineLevel="1" x14ac:dyDescent="0.15">
      <c r="A11" s="8" t="s">
        <v>949</v>
      </c>
      <c r="B11" s="8"/>
      <c r="C11" s="8" t="s">
        <v>14</v>
      </c>
      <c r="D11" s="186" t="s">
        <v>1752</v>
      </c>
      <c r="E11" s="9">
        <v>33.790000000000006</v>
      </c>
      <c r="F11" s="8" t="s">
        <v>469</v>
      </c>
      <c r="G11" s="10">
        <v>4049</v>
      </c>
      <c r="H11" s="11">
        <f t="array" ref="H11">IF(OR(N11&gt;0,AC11&gt;0),MAX(N11,AC11),MAX(AK11,V11))</f>
        <v>46240</v>
      </c>
      <c r="I11" s="143">
        <f t="array" ref="I11">IF(SUM(O11,AD11)&gt;0,SUM(O11,AD11),SUM(AL11,W11))</f>
        <v>440.27651789999993</v>
      </c>
      <c r="J11" s="9">
        <f t="shared" si="0"/>
        <v>10.873709999999999</v>
      </c>
      <c r="K11" s="143">
        <f t="shared" si="6"/>
        <v>19.074000000000002</v>
      </c>
      <c r="L11" s="9">
        <f t="shared" si="1"/>
        <v>4.3322773812643538</v>
      </c>
      <c r="M11" s="8" t="str">
        <f t="array" ref="M11">IF(L11&gt;5,"Perlu Sensus",IF(AND(L11&gt;=0,I11&gt;0),"Tetap Deteksi","Belum Deteksi"))</f>
        <v>Tetap Deteksi</v>
      </c>
      <c r="N11" s="11">
        <v>46240</v>
      </c>
      <c r="O11" s="143">
        <v>440.27651789999993</v>
      </c>
      <c r="P11" s="9">
        <f t="array" ref="P11">IFERROR(O11/$G11*100,0)</f>
        <v>10.873709999999999</v>
      </c>
      <c r="Q11" s="143">
        <v>19.074000000000002</v>
      </c>
      <c r="R11" s="9">
        <f t="shared" si="2"/>
        <v>4.3322773812643538</v>
      </c>
      <c r="S11" s="8" t="str">
        <f t="array" ref="S11">IF(R11&gt;5,"Perlu Sensus",IF(AND(R11&gt;=0,O11&gt;0),"Tetap Deteksi","Belum Deteksi"))</f>
        <v>Tetap Deteksi</v>
      </c>
      <c r="T11" s="143">
        <v>12.386607999999999</v>
      </c>
      <c r="U11" s="9">
        <f t="shared" si="7"/>
        <v>2.8133701200056667</v>
      </c>
      <c r="V11" s="11">
        <v>46240</v>
      </c>
      <c r="W11" s="143">
        <v>276.78009103728726</v>
      </c>
      <c r="X11" s="143">
        <v>9.0640000000000018</v>
      </c>
      <c r="Y11" s="9">
        <f t="shared" si="3"/>
        <v>3.2748020155752164</v>
      </c>
      <c r="Z11" s="8" t="str">
        <f t="array" ref="Z11">IF(Y11&gt;5,"Perlu Sensus",IF(AND(Y11&gt;=0,W11&gt;0),"Tetap Deteksi","Belum Deteksi"))</f>
        <v>Tetap Deteksi</v>
      </c>
      <c r="AA11" s="143">
        <v>5.9304960000000007</v>
      </c>
      <c r="AB11" s="9">
        <f t="shared" si="8"/>
        <v>2.1426743440159703</v>
      </c>
      <c r="AC11" s="11"/>
      <c r="AD11" s="143"/>
      <c r="AE11" s="9">
        <f t="array" ref="AE11">IFERROR(AD11/$G11*100,0)</f>
        <v>0</v>
      </c>
      <c r="AF11" s="143"/>
      <c r="AG11" s="9">
        <f t="shared" si="4"/>
        <v>0</v>
      </c>
      <c r="AH11" s="8" t="str">
        <f t="array" ref="AH11">IF(AG11&gt;5,"Perlu Sensus",IF(AND(AG11&gt;=0,AD11&gt;0),"Tetap Deteksi","Belum Deteksi"))</f>
        <v>Belum Deteksi</v>
      </c>
      <c r="AI11" s="143"/>
      <c r="AJ11" s="9">
        <f t="shared" si="9"/>
        <v>0</v>
      </c>
      <c r="AK11" s="11"/>
      <c r="AL11" s="143"/>
      <c r="AM11" s="143"/>
      <c r="AN11" s="9">
        <f t="shared" si="5"/>
        <v>0</v>
      </c>
      <c r="AO11" s="8" t="str">
        <f t="array" ref="AO11">IF(AN11&gt;5,"Perlu Sensus",IF(AND(AN11&gt;=0,AL11&gt;0),"Tetap Deteksi","Belum Deteksi"))</f>
        <v>Belum Deteksi</v>
      </c>
      <c r="AP11" s="143"/>
      <c r="AQ11" s="9">
        <f t="shared" si="10"/>
        <v>0</v>
      </c>
    </row>
    <row r="12" spans="1:43" outlineLevel="1" x14ac:dyDescent="0.15">
      <c r="A12" s="8" t="s">
        <v>949</v>
      </c>
      <c r="B12" s="8"/>
      <c r="C12" s="8" t="s">
        <v>14</v>
      </c>
      <c r="D12" s="186" t="s">
        <v>1753</v>
      </c>
      <c r="E12" s="9">
        <v>26.000000000000004</v>
      </c>
      <c r="F12" s="8" t="s">
        <v>469</v>
      </c>
      <c r="G12" s="10">
        <v>660</v>
      </c>
      <c r="H12" s="11">
        <f t="array" ref="H12">IF(OR(N12&gt;0,AC12&gt;0),MAX(N12,AC12),MAX(AK12,V12))</f>
        <v>46241</v>
      </c>
      <c r="I12" s="143">
        <f t="array" ref="I12">IF(SUM(O12,AD12)&gt;0,SUM(O12,AD12),SUM(AL12,W12))</f>
        <v>63.792431999999998</v>
      </c>
      <c r="J12" s="9">
        <f t="shared" si="0"/>
        <v>9.665519999999999</v>
      </c>
      <c r="K12" s="143">
        <f t="shared" si="6"/>
        <v>2.04</v>
      </c>
      <c r="L12" s="9">
        <f t="shared" si="1"/>
        <v>3.1978714967317754</v>
      </c>
      <c r="M12" s="8" t="str">
        <f t="array" ref="M12">IF(L12&gt;5,"Perlu Sensus",IF(AND(L12&gt;=0,I12&gt;0),"Tetap Deteksi","Belum Deteksi"))</f>
        <v>Tetap Deteksi</v>
      </c>
      <c r="N12" s="11">
        <v>46241</v>
      </c>
      <c r="O12" s="143">
        <v>63.792431999999998</v>
      </c>
      <c r="P12" s="9">
        <f t="array" ref="P12">IFERROR(O12/$G12*100,0)</f>
        <v>9.665519999999999</v>
      </c>
      <c r="Q12" s="143">
        <v>2.04</v>
      </c>
      <c r="R12" s="9">
        <f t="shared" si="2"/>
        <v>3.1978714967317754</v>
      </c>
      <c r="S12" s="8" t="str">
        <f t="array" ref="S12">IF(R12&gt;5,"Perlu Sensus",IF(AND(R12&gt;=0,O12&gt;0),"Tetap Deteksi","Belum Deteksi"))</f>
        <v>Tetap Deteksi</v>
      </c>
      <c r="T12" s="143">
        <v>0.90057576660479988</v>
      </c>
      <c r="U12" s="9">
        <f t="shared" si="7"/>
        <v>1.4117282228788517</v>
      </c>
      <c r="V12" s="11">
        <v>46241</v>
      </c>
      <c r="W12" s="143">
        <v>282.315692858033</v>
      </c>
      <c r="X12" s="143">
        <v>5.911766228722084</v>
      </c>
      <c r="Y12" s="9">
        <f t="shared" si="3"/>
        <v>2.094026785714286</v>
      </c>
      <c r="Z12" s="8" t="str">
        <f t="array" ref="Z12">IF(Y12&gt;5,"Perlu Sensus",IF(AND(Y12&gt;=0,W12&gt;0),"Tetap Deteksi","Belum Deteksi"))</f>
        <v>Tetap Deteksi</v>
      </c>
      <c r="AA12" s="143">
        <v>4.16</v>
      </c>
      <c r="AB12" s="9">
        <f t="shared" si="8"/>
        <v>1.4735277227723658</v>
      </c>
      <c r="AC12" s="11"/>
      <c r="AD12" s="143"/>
      <c r="AE12" s="9">
        <f t="array" ref="AE12">IFERROR(AD12/$G12*100,0)</f>
        <v>0</v>
      </c>
      <c r="AF12" s="143"/>
      <c r="AG12" s="9">
        <f t="shared" si="4"/>
        <v>0</v>
      </c>
      <c r="AH12" s="8" t="str">
        <f t="array" ref="AH12">IF(AG12&gt;5,"Perlu Sensus",IF(AND(AG12&gt;=0,AD12&gt;0),"Tetap Deteksi","Belum Deteksi"))</f>
        <v>Belum Deteksi</v>
      </c>
      <c r="AI12" s="143"/>
      <c r="AJ12" s="9">
        <f t="shared" si="9"/>
        <v>0</v>
      </c>
      <c r="AK12" s="11"/>
      <c r="AL12" s="143"/>
      <c r="AM12" s="143"/>
      <c r="AN12" s="9">
        <f t="shared" si="5"/>
        <v>0</v>
      </c>
      <c r="AO12" s="8" t="str">
        <f t="array" ref="AO12">IF(AN12&gt;5,"Perlu Sensus",IF(AND(AN12&gt;=0,AL12&gt;0),"Tetap Deteksi","Belum Deteksi"))</f>
        <v>Belum Deteksi</v>
      </c>
      <c r="AP12" s="143"/>
      <c r="AQ12" s="9">
        <f t="shared" si="10"/>
        <v>0</v>
      </c>
    </row>
    <row r="13" spans="1:43" outlineLevel="1" x14ac:dyDescent="0.15">
      <c r="A13" s="8" t="s">
        <v>949</v>
      </c>
      <c r="B13" s="8"/>
      <c r="C13" s="8" t="s">
        <v>14</v>
      </c>
      <c r="D13" s="186" t="s">
        <v>1754</v>
      </c>
      <c r="E13" s="9">
        <v>31.910000000000004</v>
      </c>
      <c r="F13" s="8" t="s">
        <v>469</v>
      </c>
      <c r="G13" s="10">
        <v>2796</v>
      </c>
      <c r="H13" s="11">
        <f t="array" ref="H13">IF(OR(N13&gt;0,AC13&gt;0),MAX(N13,AC13),MAX(AK13,V13))</f>
        <v>46242</v>
      </c>
      <c r="I13" s="143">
        <f t="array" ref="I13">IF(SUM(O13,AD13)&gt;0,SUM(O13,AD13),SUM(AL13,W13))</f>
        <v>371.59091640000003</v>
      </c>
      <c r="J13" s="9">
        <f t="shared" si="0"/>
        <v>13.290090000000001</v>
      </c>
      <c r="K13" s="143">
        <f t="shared" si="6"/>
        <v>9.18</v>
      </c>
      <c r="L13" s="9">
        <f t="shared" si="1"/>
        <v>2.4704586670030877</v>
      </c>
      <c r="M13" s="8" t="str">
        <f t="array" ref="M13">IF(L13&gt;5,"Perlu Sensus",IF(AND(L13&gt;=0,I13&gt;0),"Tetap Deteksi","Belum Deteksi"))</f>
        <v>Tetap Deteksi</v>
      </c>
      <c r="N13" s="11">
        <v>46242</v>
      </c>
      <c r="O13" s="143">
        <v>371.59091640000003</v>
      </c>
      <c r="P13" s="9">
        <f t="array" ref="P13">IFERROR(O13/$G13*100,0)</f>
        <v>13.290090000000001</v>
      </c>
      <c r="Q13" s="143">
        <v>9.18</v>
      </c>
      <c r="R13" s="9">
        <f t="shared" si="2"/>
        <v>2.4704586670030877</v>
      </c>
      <c r="S13" s="8" t="str">
        <f t="array" ref="S13">IF(R13&gt;5,"Perlu Sensus",IF(AND(R13&gt;=0,O13&gt;0),"Tetap Deteksi","Belum Deteksi"))</f>
        <v>Tetap Deteksi</v>
      </c>
      <c r="T13" s="143">
        <v>6.5514885741017865</v>
      </c>
      <c r="U13" s="9">
        <f t="shared" si="7"/>
        <v>1.7630916916842549</v>
      </c>
      <c r="V13" s="11">
        <v>46242</v>
      </c>
      <c r="W13" s="143">
        <v>287.9620067151937</v>
      </c>
      <c r="X13" s="143">
        <v>8.24</v>
      </c>
      <c r="Y13" s="9">
        <f t="shared" si="3"/>
        <v>2.8614886019146617</v>
      </c>
      <c r="Z13" s="8" t="str">
        <f t="array" ref="Z13">IF(Y13&gt;5,"Perlu Sensus",IF(AND(Y13&gt;=0,W13&gt;0),"Tetap Deteksi","Belum Deteksi"))</f>
        <v>Tetap Deteksi</v>
      </c>
      <c r="AA13" s="143">
        <v>6.24</v>
      </c>
      <c r="AB13" s="9">
        <f t="shared" si="8"/>
        <v>2.1669525334887729</v>
      </c>
      <c r="AC13" s="11"/>
      <c r="AD13" s="143"/>
      <c r="AE13" s="9">
        <f t="array" ref="AE13">IFERROR(AD13/$G13*100,0)</f>
        <v>0</v>
      </c>
      <c r="AF13" s="143"/>
      <c r="AG13" s="9">
        <f t="shared" si="4"/>
        <v>0</v>
      </c>
      <c r="AH13" s="8" t="str">
        <f t="array" ref="AH13">IF(AG13&gt;5,"Perlu Sensus",IF(AND(AG13&gt;=0,AD13&gt;0),"Tetap Deteksi","Belum Deteksi"))</f>
        <v>Belum Deteksi</v>
      </c>
      <c r="AI13" s="143"/>
      <c r="AJ13" s="9">
        <f t="shared" si="9"/>
        <v>0</v>
      </c>
      <c r="AK13" s="11"/>
      <c r="AL13" s="143"/>
      <c r="AM13" s="143"/>
      <c r="AN13" s="9">
        <f t="shared" si="5"/>
        <v>0</v>
      </c>
      <c r="AO13" s="8" t="str">
        <f t="array" ref="AO13">IF(AN13&gt;5,"Perlu Sensus",IF(AND(AN13&gt;=0,AL13&gt;0),"Tetap Deteksi","Belum Deteksi"))</f>
        <v>Belum Deteksi</v>
      </c>
      <c r="AP13" s="143"/>
      <c r="AQ13" s="9">
        <f t="shared" si="10"/>
        <v>0</v>
      </c>
    </row>
    <row r="14" spans="1:43" outlineLevel="1" x14ac:dyDescent="0.15">
      <c r="A14" s="8" t="s">
        <v>949</v>
      </c>
      <c r="B14" s="8"/>
      <c r="C14" s="8" t="s">
        <v>14</v>
      </c>
      <c r="D14" s="186" t="s">
        <v>1755</v>
      </c>
      <c r="E14" s="9">
        <v>32.43</v>
      </c>
      <c r="F14" s="8" t="s">
        <v>469</v>
      </c>
      <c r="G14" s="10">
        <v>3806</v>
      </c>
      <c r="H14" s="11">
        <f t="array" ref="H14">IF(OR(N14&gt;0,AC14&gt;0),MAX(N14,AC14),MAX(AK14,V14))</f>
        <v>46243</v>
      </c>
      <c r="I14" s="143">
        <f t="array" ref="I14">IF(SUM(O14,AD14)&gt;0,SUM(O14,AD14),SUM(AL14,W14))</f>
        <v>551.80453680000005</v>
      </c>
      <c r="J14" s="9">
        <f t="shared" si="0"/>
        <v>14.498280000000003</v>
      </c>
      <c r="K14" s="143">
        <f t="shared" si="6"/>
        <v>15.708000000000002</v>
      </c>
      <c r="L14" s="9">
        <f t="shared" si="1"/>
        <v>2.8466601762814649</v>
      </c>
      <c r="M14" s="8" t="str">
        <f t="array" ref="M14">IF(L14&gt;5,"Perlu Sensus",IF(AND(L14&gt;=0,I14&gt;0),"Tetap Deteksi","Belum Deteksi"))</f>
        <v>Tetap Deteksi</v>
      </c>
      <c r="N14" s="11">
        <v>46243</v>
      </c>
      <c r="O14" s="143">
        <v>551.80453680000005</v>
      </c>
      <c r="P14" s="9">
        <f t="array" ref="P14">IFERROR(O14/$G14*100,0)</f>
        <v>14.498280000000003</v>
      </c>
      <c r="Q14" s="143">
        <v>15.708000000000002</v>
      </c>
      <c r="R14" s="9">
        <f t="shared" si="2"/>
        <v>2.8466601762814649</v>
      </c>
      <c r="S14" s="8" t="str">
        <f t="array" ref="S14">IF(R14&gt;5,"Perlu Sensus",IF(AND(R14&gt;=0,O14&gt;0),"Tetap Deteksi","Belum Deteksi"))</f>
        <v>Tetap Deteksi</v>
      </c>
      <c r="T14" s="143">
        <v>10.200735999999999</v>
      </c>
      <c r="U14" s="9">
        <f t="shared" si="7"/>
        <v>1.8486140145123935</v>
      </c>
      <c r="V14" s="11">
        <v>46243</v>
      </c>
      <c r="W14" s="143">
        <v>293.72124684949756</v>
      </c>
      <c r="X14" s="143">
        <v>7.9310000000000009</v>
      </c>
      <c r="Y14" s="9">
        <f t="shared" si="3"/>
        <v>2.7001791954341785</v>
      </c>
      <c r="Z14" s="8" t="str">
        <f t="array" ref="Z14">IF(Y14&gt;5,"Perlu Sensus",IF(AND(Y14&gt;=0,W14&gt;0),"Tetap Deteksi","Belum Deteksi"))</f>
        <v>Tetap Deteksi</v>
      </c>
      <c r="AA14" s="143">
        <v>5.189184</v>
      </c>
      <c r="AB14" s="9">
        <f t="shared" si="8"/>
        <v>1.7667036537737879</v>
      </c>
      <c r="AC14" s="11"/>
      <c r="AD14" s="143"/>
      <c r="AE14" s="9">
        <f t="array" ref="AE14">IFERROR(AD14/$G14*100,0)</f>
        <v>0</v>
      </c>
      <c r="AF14" s="143"/>
      <c r="AG14" s="9">
        <f t="shared" si="4"/>
        <v>0</v>
      </c>
      <c r="AH14" s="8" t="str">
        <f t="array" ref="AH14">IF(AG14&gt;5,"Perlu Sensus",IF(AND(AG14&gt;=0,AD14&gt;0),"Tetap Deteksi","Belum Deteksi"))</f>
        <v>Belum Deteksi</v>
      </c>
      <c r="AI14" s="143"/>
      <c r="AJ14" s="9">
        <f t="shared" si="9"/>
        <v>0</v>
      </c>
      <c r="AK14" s="11"/>
      <c r="AL14" s="143"/>
      <c r="AM14" s="143"/>
      <c r="AN14" s="9">
        <f t="shared" si="5"/>
        <v>0</v>
      </c>
      <c r="AO14" s="8" t="str">
        <f t="array" ref="AO14">IF(AN14&gt;5,"Perlu Sensus",IF(AND(AN14&gt;=0,AL14&gt;0),"Tetap Deteksi","Belum Deteksi"))</f>
        <v>Belum Deteksi</v>
      </c>
      <c r="AP14" s="143"/>
      <c r="AQ14" s="9">
        <f t="shared" si="10"/>
        <v>0</v>
      </c>
    </row>
    <row r="15" spans="1:43" outlineLevel="1" x14ac:dyDescent="0.15">
      <c r="A15" s="8" t="s">
        <v>949</v>
      </c>
      <c r="B15" s="8"/>
      <c r="C15" s="8" t="s">
        <v>14</v>
      </c>
      <c r="D15" s="186" t="s">
        <v>1336</v>
      </c>
      <c r="E15" s="9">
        <v>36.200000000000003</v>
      </c>
      <c r="F15" s="8" t="s">
        <v>469</v>
      </c>
      <c r="G15" s="10">
        <v>1942</v>
      </c>
      <c r="H15" s="11">
        <f t="array" ref="H15">IF(OR(N15&gt;0,AC15&gt;0),MAX(N15,AC15),MAX(AK15,V15))</f>
        <v>46244</v>
      </c>
      <c r="I15" s="143">
        <f t="array" ref="I15">IF(SUM(O15,AD15)&gt;0,SUM(O15,AD15),SUM(AL15,W15))</f>
        <v>305.01964739999994</v>
      </c>
      <c r="J15" s="9">
        <f t="shared" si="0"/>
        <v>15.706469999999998</v>
      </c>
      <c r="K15" s="143">
        <f t="shared" si="6"/>
        <v>9.18</v>
      </c>
      <c r="L15" s="9">
        <f t="shared" si="1"/>
        <v>3.009642191331181</v>
      </c>
      <c r="M15" s="8" t="str">
        <f t="array" ref="M15">IF(L15&gt;5,"Perlu Sensus",IF(AND(L15&gt;=0,I15&gt;0),"Tetap Deteksi","Belum Deteksi"))</f>
        <v>Tetap Deteksi</v>
      </c>
      <c r="N15" s="11">
        <v>46244</v>
      </c>
      <c r="O15" s="143">
        <v>305.01964739999994</v>
      </c>
      <c r="P15" s="9">
        <f t="array" ref="P15">IFERROR(O15/$G15*100,0)</f>
        <v>15.706469999999998</v>
      </c>
      <c r="Q15" s="143">
        <v>9.18</v>
      </c>
      <c r="R15" s="9">
        <f t="shared" si="2"/>
        <v>3.009642191331181</v>
      </c>
      <c r="S15" s="8" t="str">
        <f t="array" ref="S15">IF(R15&gt;5,"Perlu Sensus",IF(AND(R15&gt;=0,O15&gt;0),"Tetap Deteksi","Belum Deteksi"))</f>
        <v>Tetap Deteksi</v>
      </c>
      <c r="T15" s="143">
        <v>5.6265699716239093</v>
      </c>
      <c r="U15" s="9">
        <f t="shared" si="7"/>
        <v>1.8446582112283665</v>
      </c>
      <c r="V15" s="11">
        <v>46244</v>
      </c>
      <c r="W15" s="143">
        <v>299.59567178648751</v>
      </c>
      <c r="X15" s="143">
        <v>7.21</v>
      </c>
      <c r="Y15" s="9">
        <f t="shared" si="3"/>
        <v>2.4065768230251141</v>
      </c>
      <c r="Z15" s="8" t="str">
        <f t="array" ref="Z15">IF(Y15&gt;5,"Perlu Sensus",IF(AND(Y15&gt;=0,W15&gt;0),"Tetap Deteksi","Belum Deteksi"))</f>
        <v>Tetap Deteksi</v>
      </c>
      <c r="AA15" s="143">
        <v>8.32</v>
      </c>
      <c r="AB15" s="9">
        <f t="shared" si="8"/>
        <v>2.7770761674852915</v>
      </c>
      <c r="AC15" s="11"/>
      <c r="AD15" s="143"/>
      <c r="AE15" s="9">
        <f t="array" ref="AE15">IFERROR(AD15/$G15*100,0)</f>
        <v>0</v>
      </c>
      <c r="AF15" s="143"/>
      <c r="AG15" s="9">
        <f t="shared" si="4"/>
        <v>0</v>
      </c>
      <c r="AH15" s="8" t="str">
        <f t="array" ref="AH15">IF(AG15&gt;5,"Perlu Sensus",IF(AND(AG15&gt;=0,AD15&gt;0),"Tetap Deteksi","Belum Deteksi"))</f>
        <v>Belum Deteksi</v>
      </c>
      <c r="AI15" s="143"/>
      <c r="AJ15" s="9">
        <f t="shared" si="9"/>
        <v>0</v>
      </c>
      <c r="AK15" s="11"/>
      <c r="AL15" s="143"/>
      <c r="AM15" s="143"/>
      <c r="AN15" s="9">
        <f t="shared" si="5"/>
        <v>0</v>
      </c>
      <c r="AO15" s="8" t="str">
        <f t="array" ref="AO15">IF(AN15&gt;5,"Perlu Sensus",IF(AND(AN15&gt;=0,AL15&gt;0),"Tetap Deteksi","Belum Deteksi"))</f>
        <v>Belum Deteksi</v>
      </c>
      <c r="AP15" s="143"/>
      <c r="AQ15" s="9">
        <f t="shared" si="10"/>
        <v>0</v>
      </c>
    </row>
    <row r="16" spans="1:43" outlineLevel="1" x14ac:dyDescent="0.15">
      <c r="A16" s="8" t="s">
        <v>949</v>
      </c>
      <c r="B16" s="8"/>
      <c r="C16" s="8" t="s">
        <v>14</v>
      </c>
      <c r="D16" s="186" t="s">
        <v>1337</v>
      </c>
      <c r="E16" s="9">
        <v>34.409999999999997</v>
      </c>
      <c r="F16" s="8" t="s">
        <v>469</v>
      </c>
      <c r="G16" s="10">
        <v>137</v>
      </c>
      <c r="H16" s="11">
        <f t="array" ref="H16">IF(OR(N16&gt;0,AC16&gt;0),MAX(N16,AC16),MAX(AK16,V16))</f>
        <v>46245</v>
      </c>
      <c r="I16" s="143">
        <f t="array" ref="I16">IF(SUM(O16,AD16)&gt;0,SUM(O16,AD16),SUM(AL16,W16))</f>
        <v>19.862643600000002</v>
      </c>
      <c r="J16" s="9">
        <f t="shared" si="0"/>
        <v>14.498280000000003</v>
      </c>
      <c r="K16" s="143">
        <f t="shared" si="6"/>
        <v>9.9999999999999995E-8</v>
      </c>
      <c r="L16" s="9">
        <f t="shared" si="1"/>
        <v>5.034576565628957E-7</v>
      </c>
      <c r="M16" s="8" t="str">
        <f t="array" ref="M16">IF(L16&gt;5,"Perlu Sensus",IF(AND(L16&gt;=0,I16&gt;0),"Tetap Deteksi","Belum Deteksi"))</f>
        <v>Tetap Deteksi</v>
      </c>
      <c r="N16" s="11">
        <v>46245</v>
      </c>
      <c r="O16" s="143">
        <v>19.862643600000002</v>
      </c>
      <c r="P16" s="9">
        <f t="array" ref="P16">IFERROR(O16/$G16*100,0)</f>
        <v>14.498280000000003</v>
      </c>
      <c r="Q16" s="143">
        <v>9.9999999999999995E-8</v>
      </c>
      <c r="R16" s="9">
        <f t="shared" si="2"/>
        <v>5.034576565628957E-7</v>
      </c>
      <c r="S16" s="8" t="str">
        <f t="array" ref="S16">IF(R16&gt;5,"Perlu Sensus",IF(AND(R16&gt;=0,O16&gt;0),"Tetap Deteksi","Belum Deteksi"))</f>
        <v>Tetap Deteksi</v>
      </c>
      <c r="T16" s="143">
        <v>0</v>
      </c>
      <c r="U16" s="9">
        <f t="shared" si="7"/>
        <v>0</v>
      </c>
      <c r="V16" s="11">
        <v>46245</v>
      </c>
      <c r="W16" s="143">
        <v>305.58758522221723</v>
      </c>
      <c r="X16" s="143">
        <v>5.665</v>
      </c>
      <c r="Y16" s="9">
        <f t="shared" si="3"/>
        <v>1.8538056759997381</v>
      </c>
      <c r="Z16" s="8" t="str">
        <f t="array" ref="Z16">IF(Y16&gt;5,"Perlu Sensus",IF(AND(Y16&gt;=0,W16&gt;0),"Tetap Deteksi","Belum Deteksi"))</f>
        <v>Tetap Deteksi</v>
      </c>
      <c r="AA16" s="143">
        <v>3.7065600000000005</v>
      </c>
      <c r="AB16" s="9">
        <f t="shared" si="8"/>
        <v>1.2129288555046056</v>
      </c>
      <c r="AC16" s="11"/>
      <c r="AD16" s="143"/>
      <c r="AE16" s="9">
        <f t="array" ref="AE16">IFERROR(AD16/$G16*100,0)</f>
        <v>0</v>
      </c>
      <c r="AF16" s="143"/>
      <c r="AG16" s="9">
        <f t="shared" si="4"/>
        <v>0</v>
      </c>
      <c r="AH16" s="8" t="str">
        <f t="array" ref="AH16">IF(AG16&gt;5,"Perlu Sensus",IF(AND(AG16&gt;=0,AD16&gt;0),"Tetap Deteksi","Belum Deteksi"))</f>
        <v>Belum Deteksi</v>
      </c>
      <c r="AI16" s="143"/>
      <c r="AJ16" s="9">
        <f t="shared" si="9"/>
        <v>0</v>
      </c>
      <c r="AK16" s="11"/>
      <c r="AL16" s="143"/>
      <c r="AM16" s="143"/>
      <c r="AN16" s="9">
        <f t="shared" si="5"/>
        <v>0</v>
      </c>
      <c r="AO16" s="8" t="str">
        <f t="array" ref="AO16">IF(AN16&gt;5,"Perlu Sensus",IF(AND(AN16&gt;=0,AL16&gt;0),"Tetap Deteksi","Belum Deteksi"))</f>
        <v>Belum Deteksi</v>
      </c>
      <c r="AP16" s="143"/>
      <c r="AQ16" s="9">
        <f t="shared" si="10"/>
        <v>0</v>
      </c>
    </row>
    <row r="17" spans="1:43" outlineLevel="1" x14ac:dyDescent="0.15">
      <c r="A17" s="8" t="s">
        <v>949</v>
      </c>
      <c r="B17" s="8"/>
      <c r="C17" s="8" t="s">
        <v>14</v>
      </c>
      <c r="D17" s="186" t="s">
        <v>1338</v>
      </c>
      <c r="E17" s="9">
        <v>24.64</v>
      </c>
      <c r="F17" s="8" t="s">
        <v>469</v>
      </c>
      <c r="G17" s="10">
        <v>1964.9999999999998</v>
      </c>
      <c r="H17" s="11">
        <f t="array" ref="H17">IF(OR(N17&gt;0,AC17&gt;0),MAX(N17,AC17),MAX(AK17,V17))</f>
        <v>46246</v>
      </c>
      <c r="I17" s="143">
        <f t="array" ref="I17">IF(SUM(O17,AD17)&gt;0,SUM(O17,AD17),SUM(AL17,W17))</f>
        <v>213.66840149999996</v>
      </c>
      <c r="J17" s="9">
        <f t="shared" si="0"/>
        <v>10.873709999999999</v>
      </c>
      <c r="K17" s="143">
        <f t="shared" si="6"/>
        <v>6.12</v>
      </c>
      <c r="L17" s="9">
        <f t="shared" si="1"/>
        <v>2.8642513151388935</v>
      </c>
      <c r="M17" s="8" t="str">
        <f t="array" ref="M17">IF(L17&gt;5,"Perlu Sensus",IF(AND(L17&gt;=0,I17&gt;0),"Tetap Deteksi","Belum Deteksi"))</f>
        <v>Tetap Deteksi</v>
      </c>
      <c r="N17" s="11">
        <v>46246</v>
      </c>
      <c r="O17" s="143">
        <v>213.66840149999996</v>
      </c>
      <c r="P17" s="9">
        <f t="array" ref="P17">IFERROR(O17/$G17*100,0)</f>
        <v>10.873709999999999</v>
      </c>
      <c r="Q17" s="143">
        <v>6.12</v>
      </c>
      <c r="R17" s="9">
        <f t="shared" si="2"/>
        <v>2.8642513151388935</v>
      </c>
      <c r="S17" s="8" t="str">
        <f t="array" ref="S17">IF(R17&gt;5,"Perlu Sensus",IF(AND(R17&gt;=0,O17&gt;0),"Tetap Deteksi","Belum Deteksi"))</f>
        <v>Tetap Deteksi</v>
      </c>
      <c r="T17" s="143">
        <v>2.3729148068483519</v>
      </c>
      <c r="U17" s="9">
        <f t="shared" si="7"/>
        <v>1.1105595353313635</v>
      </c>
      <c r="V17" s="11">
        <v>46246</v>
      </c>
      <c r="W17" s="143">
        <v>311.69933692666166</v>
      </c>
      <c r="X17" s="143">
        <v>5.15</v>
      </c>
      <c r="Y17" s="9">
        <f t="shared" si="3"/>
        <v>1.6522332228161658</v>
      </c>
      <c r="Z17" s="8" t="str">
        <f t="array" ref="Z17">IF(Y17&gt;5,"Perlu Sensus",IF(AND(Y17&gt;=0,W17&gt;0),"Tetap Deteksi","Belum Deteksi"))</f>
        <v>Tetap Deteksi</v>
      </c>
      <c r="AA17" s="143">
        <v>7.28</v>
      </c>
      <c r="AB17" s="9">
        <f t="shared" si="8"/>
        <v>2.335584050893531</v>
      </c>
      <c r="AC17" s="11"/>
      <c r="AD17" s="143"/>
      <c r="AE17" s="9">
        <f t="array" ref="AE17">IFERROR(AD17/$G17*100,0)</f>
        <v>0</v>
      </c>
      <c r="AF17" s="143"/>
      <c r="AG17" s="9">
        <f t="shared" si="4"/>
        <v>0</v>
      </c>
      <c r="AH17" s="8" t="str">
        <f t="array" ref="AH17">IF(AG17&gt;5,"Perlu Sensus",IF(AND(AG17&gt;=0,AD17&gt;0),"Tetap Deteksi","Belum Deteksi"))</f>
        <v>Belum Deteksi</v>
      </c>
      <c r="AI17" s="143"/>
      <c r="AJ17" s="9">
        <f t="shared" si="9"/>
        <v>0</v>
      </c>
      <c r="AK17" s="11"/>
      <c r="AL17" s="143"/>
      <c r="AM17" s="143"/>
      <c r="AN17" s="9">
        <f t="shared" si="5"/>
        <v>0</v>
      </c>
      <c r="AO17" s="8" t="str">
        <f t="array" ref="AO17">IF(AN17&gt;5,"Perlu Sensus",IF(AND(AN17&gt;=0,AL17&gt;0),"Tetap Deteksi","Belum Deteksi"))</f>
        <v>Belum Deteksi</v>
      </c>
      <c r="AP17" s="143"/>
      <c r="AQ17" s="9">
        <f t="shared" si="10"/>
        <v>0</v>
      </c>
    </row>
    <row r="18" spans="1:43" outlineLevel="1" x14ac:dyDescent="0.15">
      <c r="A18" s="8" t="s">
        <v>949</v>
      </c>
      <c r="B18" s="8"/>
      <c r="C18" s="8" t="s">
        <v>14</v>
      </c>
      <c r="D18" s="186" t="s">
        <v>1339</v>
      </c>
      <c r="E18" s="9">
        <v>32.409999999999997</v>
      </c>
      <c r="F18" s="8" t="s">
        <v>469</v>
      </c>
      <c r="G18" s="10">
        <v>3323</v>
      </c>
      <c r="H18" s="11">
        <f t="array" ref="H18">IF(OR(N18&gt;0,AC18&gt;0),MAX(N18,AC18),MAX(AK18,V18))</f>
        <v>46247</v>
      </c>
      <c r="I18" s="143">
        <f t="array" ref="I18">IF(SUM(O18,AD18)&gt;0,SUM(O18,AD18),SUM(AL18,W18))</f>
        <v>321.18522960000001</v>
      </c>
      <c r="J18" s="9">
        <f t="shared" si="0"/>
        <v>9.6655200000000008</v>
      </c>
      <c r="K18" s="143">
        <f t="shared" si="6"/>
        <v>12.24</v>
      </c>
      <c r="L18" s="9">
        <f t="shared" si="1"/>
        <v>3.8108850818711493</v>
      </c>
      <c r="M18" s="8" t="str">
        <f t="array" ref="M18">IF(L18&gt;5,"Perlu Sensus",IF(AND(L18&gt;=0,I18&gt;0),"Tetap Deteksi","Belum Deteksi"))</f>
        <v>Tetap Deteksi</v>
      </c>
      <c r="N18" s="11">
        <v>46247</v>
      </c>
      <c r="O18" s="143">
        <v>321.18522960000001</v>
      </c>
      <c r="P18" s="9">
        <f t="array" ref="P18">IFERROR(O18/$G18*100,0)</f>
        <v>9.6655200000000008</v>
      </c>
      <c r="Q18" s="143">
        <v>12.24</v>
      </c>
      <c r="R18" s="9">
        <f t="shared" si="2"/>
        <v>3.8108850818711493</v>
      </c>
      <c r="S18" s="8" t="str">
        <f t="array" ref="S18">IF(R18&gt;5,"Perlu Sensus",IF(AND(R18&gt;=0,O18&gt;0),"Tetap Deteksi","Belum Deteksi"))</f>
        <v>Tetap Deteksi</v>
      </c>
      <c r="T18" s="143">
        <v>8.2987080510824782</v>
      </c>
      <c r="U18" s="9">
        <f t="shared" si="7"/>
        <v>2.5837763652511612</v>
      </c>
      <c r="V18" s="11">
        <v>46247</v>
      </c>
      <c r="W18" s="143">
        <v>317.93332366519491</v>
      </c>
      <c r="X18" s="143">
        <v>13.39</v>
      </c>
      <c r="Y18" s="9">
        <f t="shared" si="3"/>
        <v>4.2115748816882643</v>
      </c>
      <c r="Z18" s="8" t="str">
        <f t="array" ref="Z18">IF(Y18&gt;5,"Perlu Sensus",IF(AND(Y18&gt;=0,W18&gt;0),"Tetap Deteksi","Belum Deteksi"))</f>
        <v>Tetap Deteksi</v>
      </c>
      <c r="AA18" s="143">
        <v>7.28</v>
      </c>
      <c r="AB18" s="9">
        <f t="shared" si="8"/>
        <v>2.2897882851897364</v>
      </c>
      <c r="AC18" s="11"/>
      <c r="AD18" s="143"/>
      <c r="AE18" s="9">
        <f t="array" ref="AE18">IFERROR(AD18/$G18*100,0)</f>
        <v>0</v>
      </c>
      <c r="AF18" s="143"/>
      <c r="AG18" s="9">
        <f t="shared" si="4"/>
        <v>0</v>
      </c>
      <c r="AH18" s="8" t="str">
        <f t="array" ref="AH18">IF(AG18&gt;5,"Perlu Sensus",IF(AND(AG18&gt;=0,AD18&gt;0),"Tetap Deteksi","Belum Deteksi"))</f>
        <v>Belum Deteksi</v>
      </c>
      <c r="AI18" s="143"/>
      <c r="AJ18" s="9">
        <f t="shared" si="9"/>
        <v>0</v>
      </c>
      <c r="AK18" s="11"/>
      <c r="AL18" s="143"/>
      <c r="AM18" s="143"/>
      <c r="AN18" s="9">
        <f t="shared" si="5"/>
        <v>0</v>
      </c>
      <c r="AO18" s="8" t="str">
        <f t="array" ref="AO18">IF(AN18&gt;5,"Perlu Sensus",IF(AND(AN18&gt;=0,AL18&gt;0),"Tetap Deteksi","Belum Deteksi"))</f>
        <v>Belum Deteksi</v>
      </c>
      <c r="AP18" s="143"/>
      <c r="AQ18" s="9">
        <f t="shared" si="10"/>
        <v>0</v>
      </c>
    </row>
    <row r="19" spans="1:43" outlineLevel="1" x14ac:dyDescent="0.15">
      <c r="A19" s="8" t="s">
        <v>949</v>
      </c>
      <c r="B19" s="8"/>
      <c r="C19" s="8" t="s">
        <v>14</v>
      </c>
      <c r="D19" s="186" t="s">
        <v>1352</v>
      </c>
      <c r="E19" s="9">
        <v>28.31</v>
      </c>
      <c r="F19" s="8" t="s">
        <v>469</v>
      </c>
      <c r="G19" s="10">
        <v>2439</v>
      </c>
      <c r="H19" s="11">
        <f t="array" ref="H19">IF(OR(N19&gt;0,AC19&gt;0),MAX(N19,AC19),MAX(AK19,V19))</f>
        <v>46248</v>
      </c>
      <c r="I19" s="143">
        <f t="array" ref="I19">IF(SUM(O19,AD19)&gt;0,SUM(O19,AD19),SUM(AL19,W19))</f>
        <v>265.20978689999993</v>
      </c>
      <c r="J19" s="9">
        <f t="shared" si="0"/>
        <v>10.873709999999997</v>
      </c>
      <c r="K19" s="143">
        <f t="shared" si="6"/>
        <v>7.854000000000001</v>
      </c>
      <c r="L19" s="9">
        <f t="shared" si="1"/>
        <v>2.9614291734118519</v>
      </c>
      <c r="M19" s="8" t="str">
        <f t="array" ref="M19">IF(L19&gt;5,"Perlu Sensus",IF(AND(L19&gt;=0,I19&gt;0),"Tetap Deteksi","Belum Deteksi"))</f>
        <v>Tetap Deteksi</v>
      </c>
      <c r="N19" s="11">
        <v>46248</v>
      </c>
      <c r="O19" s="143">
        <v>265.20978689999993</v>
      </c>
      <c r="P19" s="9">
        <f t="array" ref="P19">IFERROR(O19/$G19*100,0)</f>
        <v>10.873709999999997</v>
      </c>
      <c r="Q19" s="143">
        <v>7.854000000000001</v>
      </c>
      <c r="R19" s="9">
        <f t="shared" si="2"/>
        <v>2.9614291734118519</v>
      </c>
      <c r="S19" s="8" t="str">
        <f t="array" ref="S19">IF(R19&gt;5,"Perlu Sensus",IF(AND(R19&gt;=0,O19&gt;0),"Tetap Deteksi","Belum Deteksi"))</f>
        <v>Tetap Deteksi</v>
      </c>
      <c r="T19" s="143">
        <v>5.1003679999999996</v>
      </c>
      <c r="U19" s="9">
        <f t="shared" si="7"/>
        <v>1.9231447148378222</v>
      </c>
      <c r="V19" s="11">
        <v>46248</v>
      </c>
      <c r="W19" s="143">
        <v>324.29199013849876</v>
      </c>
      <c r="X19" s="143">
        <v>7.9310000000000009</v>
      </c>
      <c r="Y19" s="9">
        <f t="shared" si="3"/>
        <v>2.4456354893664893</v>
      </c>
      <c r="Z19" s="8" t="str">
        <f t="array" ref="Z19">IF(Y19&gt;5,"Perlu Sensus",IF(AND(Y19&gt;=0,W19&gt;0),"Tetap Deteksi","Belum Deteksi"))</f>
        <v>Tetap Deteksi</v>
      </c>
      <c r="AA19" s="143">
        <v>5.189184</v>
      </c>
      <c r="AB19" s="9">
        <f t="shared" si="8"/>
        <v>1.6001579310620042</v>
      </c>
      <c r="AC19" s="11"/>
      <c r="AD19" s="143"/>
      <c r="AE19" s="9">
        <f t="array" ref="AE19">IFERROR(AD19/$G19*100,0)</f>
        <v>0</v>
      </c>
      <c r="AF19" s="143"/>
      <c r="AG19" s="9">
        <f t="shared" si="4"/>
        <v>0</v>
      </c>
      <c r="AH19" s="8" t="str">
        <f t="array" ref="AH19">IF(AG19&gt;5,"Perlu Sensus",IF(AND(AG19&gt;=0,AD19&gt;0),"Tetap Deteksi","Belum Deteksi"))</f>
        <v>Belum Deteksi</v>
      </c>
      <c r="AI19" s="143"/>
      <c r="AJ19" s="9">
        <f t="shared" si="9"/>
        <v>0</v>
      </c>
      <c r="AK19" s="11"/>
      <c r="AL19" s="143"/>
      <c r="AM19" s="143"/>
      <c r="AN19" s="9">
        <f t="shared" si="5"/>
        <v>0</v>
      </c>
      <c r="AO19" s="8" t="str">
        <f t="array" ref="AO19">IF(AN19&gt;5,"Perlu Sensus",IF(AND(AN19&gt;=0,AL19&gt;0),"Tetap Deteksi","Belum Deteksi"))</f>
        <v>Belum Deteksi</v>
      </c>
      <c r="AP19" s="143"/>
      <c r="AQ19" s="9">
        <f t="shared" si="10"/>
        <v>0</v>
      </c>
    </row>
    <row r="20" spans="1:43" outlineLevel="1" x14ac:dyDescent="0.15">
      <c r="A20" s="8" t="s">
        <v>949</v>
      </c>
      <c r="B20" s="8"/>
      <c r="C20" s="8" t="s">
        <v>14</v>
      </c>
      <c r="D20" s="186" t="s">
        <v>1353</v>
      </c>
      <c r="E20" s="9">
        <v>25.8</v>
      </c>
      <c r="F20" s="8" t="s">
        <v>469</v>
      </c>
      <c r="G20" s="10">
        <v>2698</v>
      </c>
      <c r="H20" s="11">
        <f t="array" ref="H20">IF(OR(N20&gt;0,AC20&gt;0),MAX(N20,AC20),MAX(AK20,V20))</f>
        <v>46249</v>
      </c>
      <c r="I20" s="143">
        <f t="array" ref="I20">IF(SUM(O20,AD20)&gt;0,SUM(O20,AD20),SUM(AL20,W20))</f>
        <v>325.96966199999991</v>
      </c>
      <c r="J20" s="9">
        <f t="shared" si="0"/>
        <v>12.081899999999997</v>
      </c>
      <c r="K20" s="143">
        <f t="shared" si="6"/>
        <v>7.1400000000000006</v>
      </c>
      <c r="L20" s="9">
        <f t="shared" si="1"/>
        <v>2.190387889533107</v>
      </c>
      <c r="M20" s="8" t="str">
        <f t="array" ref="M20">IF(L20&gt;5,"Perlu Sensus",IF(AND(L20&gt;=0,I20&gt;0),"Tetap Deteksi","Belum Deteksi"))</f>
        <v>Tetap Deteksi</v>
      </c>
      <c r="N20" s="11">
        <v>46249</v>
      </c>
      <c r="O20" s="143">
        <v>325.96966199999991</v>
      </c>
      <c r="P20" s="9">
        <f t="array" ref="P20">IFERROR(O20/$G20*100,0)</f>
        <v>12.081899999999997</v>
      </c>
      <c r="Q20" s="143">
        <v>7.1400000000000006</v>
      </c>
      <c r="R20" s="9">
        <f t="shared" si="2"/>
        <v>2.190387889533107</v>
      </c>
      <c r="S20" s="8" t="str">
        <f t="array" ref="S20">IF(R20&gt;5,"Perlu Sensus",IF(AND(R20&gt;=0,O20&gt;0),"Tetap Deteksi","Belum Deteksi"))</f>
        <v>Tetap Deteksi</v>
      </c>
      <c r="T20" s="143">
        <v>3.7223495128834552</v>
      </c>
      <c r="U20" s="9">
        <f t="shared" si="7"/>
        <v>1.1419312736175602</v>
      </c>
      <c r="V20" s="11">
        <v>46249</v>
      </c>
      <c r="W20" s="143">
        <v>330.77782994126881</v>
      </c>
      <c r="X20" s="143">
        <v>6.18</v>
      </c>
      <c r="Y20" s="9">
        <f t="shared" si="3"/>
        <v>1.8683235212883791</v>
      </c>
      <c r="Z20" s="8" t="str">
        <f t="array" ref="Z20">IF(Y20&gt;5,"Perlu Sensus",IF(AND(Y20&gt;=0,W20&gt;0),"Tetap Deteksi","Belum Deteksi"))</f>
        <v>Tetap Deteksi</v>
      </c>
      <c r="AA20" s="143">
        <v>5.2</v>
      </c>
      <c r="AB20" s="9">
        <f t="shared" si="8"/>
        <v>1.5720521538348822</v>
      </c>
      <c r="AC20" s="11"/>
      <c r="AD20" s="143"/>
      <c r="AE20" s="9">
        <f t="array" ref="AE20">IFERROR(AD20/$G20*100,0)</f>
        <v>0</v>
      </c>
      <c r="AF20" s="143"/>
      <c r="AG20" s="9">
        <f t="shared" si="4"/>
        <v>0</v>
      </c>
      <c r="AH20" s="8" t="str">
        <f t="array" ref="AH20">IF(AG20&gt;5,"Perlu Sensus",IF(AND(AG20&gt;=0,AD20&gt;0),"Tetap Deteksi","Belum Deteksi"))</f>
        <v>Belum Deteksi</v>
      </c>
      <c r="AI20" s="143"/>
      <c r="AJ20" s="9">
        <f t="shared" si="9"/>
        <v>0</v>
      </c>
      <c r="AK20" s="11"/>
      <c r="AL20" s="143"/>
      <c r="AM20" s="143"/>
      <c r="AN20" s="9">
        <f t="shared" si="5"/>
        <v>0</v>
      </c>
      <c r="AO20" s="8" t="str">
        <f t="array" ref="AO20">IF(AN20&gt;5,"Perlu Sensus",IF(AND(AN20&gt;=0,AL20&gt;0),"Tetap Deteksi","Belum Deteksi"))</f>
        <v>Belum Deteksi</v>
      </c>
      <c r="AP20" s="143"/>
      <c r="AQ20" s="9">
        <f t="shared" si="10"/>
        <v>0</v>
      </c>
    </row>
    <row r="21" spans="1:43" outlineLevel="1" x14ac:dyDescent="0.15">
      <c r="A21" s="8" t="s">
        <v>949</v>
      </c>
      <c r="B21" s="8"/>
      <c r="C21" s="8" t="s">
        <v>14</v>
      </c>
      <c r="D21" s="186" t="s">
        <v>1756</v>
      </c>
      <c r="E21" s="9">
        <v>39.32</v>
      </c>
      <c r="F21" s="8" t="s">
        <v>469</v>
      </c>
      <c r="G21" s="10">
        <v>3499</v>
      </c>
      <c r="H21" s="11">
        <f t="array" ref="H21">IF(OR(N21&gt;0,AC21&gt;0),MAX(N21,AC21),MAX(AK21,V21))</f>
        <v>46235</v>
      </c>
      <c r="I21" s="143">
        <f t="array" ref="I21">IF(SUM(O21,AD21)&gt;0,SUM(O21,AD21),SUM(AL21,W21))</f>
        <v>422.74568099999999</v>
      </c>
      <c r="J21" s="9">
        <f t="shared" si="0"/>
        <v>12.081899999999999</v>
      </c>
      <c r="K21" s="143">
        <f t="shared" si="6"/>
        <v>6.7320000000000011</v>
      </c>
      <c r="L21" s="9">
        <f t="shared" si="1"/>
        <v>1.592446783625449</v>
      </c>
      <c r="M21" s="8" t="str">
        <f t="array" ref="M21">IF(L21&gt;5,"Perlu Sensus",IF(AND(L21&gt;=0,I21&gt;0),"Tetap Deteksi","Belum Deteksi"))</f>
        <v>Tetap Deteksi</v>
      </c>
      <c r="N21" s="11">
        <v>46235</v>
      </c>
      <c r="O21" s="143">
        <v>422.74568099999999</v>
      </c>
      <c r="P21" s="9">
        <f t="array" ref="P21">IFERROR(O21/$G21*100,0)</f>
        <v>12.081899999999999</v>
      </c>
      <c r="Q21" s="143">
        <v>6.7320000000000011</v>
      </c>
      <c r="R21" s="9">
        <f t="shared" si="2"/>
        <v>1.592446783625449</v>
      </c>
      <c r="S21" s="8" t="str">
        <f t="array" ref="S21">IF(R21&gt;5,"Perlu Sensus",IF(AND(R21&gt;=0,O21&gt;0),"Tetap Deteksi","Belum Deteksi"))</f>
        <v>Tetap Deteksi</v>
      </c>
      <c r="T21" s="143">
        <v>4.3717439999999987</v>
      </c>
      <c r="U21" s="9">
        <f t="shared" si="7"/>
        <v>1.0341309672658723</v>
      </c>
      <c r="V21" s="11">
        <v>46235</v>
      </c>
      <c r="W21" s="143">
        <v>337.39338654009418</v>
      </c>
      <c r="X21" s="143">
        <v>6.7980000000000009</v>
      </c>
      <c r="Y21" s="9">
        <f t="shared" si="3"/>
        <v>2.0148586994286446</v>
      </c>
      <c r="Z21" s="8" t="str">
        <f t="array" ref="Z21">IF(Y21&gt;5,"Perlu Sensus",IF(AND(Y21&gt;=0,W21&gt;0),"Tetap Deteksi","Belum Deteksi"))</f>
        <v>Tetap Deteksi</v>
      </c>
      <c r="AA21" s="143">
        <v>4.4478720000000012</v>
      </c>
      <c r="AB21" s="9">
        <f t="shared" si="8"/>
        <v>1.3183044414747109</v>
      </c>
      <c r="AC21" s="11"/>
      <c r="AD21" s="143"/>
      <c r="AE21" s="9">
        <f t="array" ref="AE21">IFERROR(AD21/$G21*100,0)</f>
        <v>0</v>
      </c>
      <c r="AF21" s="143"/>
      <c r="AG21" s="9">
        <f t="shared" si="4"/>
        <v>0</v>
      </c>
      <c r="AH21" s="8" t="str">
        <f t="array" ref="AH21">IF(AG21&gt;5,"Perlu Sensus",IF(AND(AG21&gt;=0,AD21&gt;0),"Tetap Deteksi","Belum Deteksi"))</f>
        <v>Belum Deteksi</v>
      </c>
      <c r="AI21" s="143"/>
      <c r="AJ21" s="9">
        <f t="shared" si="9"/>
        <v>0</v>
      </c>
      <c r="AK21" s="11"/>
      <c r="AL21" s="143"/>
      <c r="AM21" s="143"/>
      <c r="AN21" s="9">
        <f t="shared" si="5"/>
        <v>0</v>
      </c>
      <c r="AO21" s="8" t="str">
        <f t="array" ref="AO21">IF(AN21&gt;5,"Perlu Sensus",IF(AND(AN21&gt;=0,AL21&gt;0),"Tetap Deteksi","Belum Deteksi"))</f>
        <v>Belum Deteksi</v>
      </c>
      <c r="AP21" s="143"/>
      <c r="AQ21" s="9">
        <f t="shared" si="10"/>
        <v>0</v>
      </c>
    </row>
    <row r="22" spans="1:43" outlineLevel="1" x14ac:dyDescent="0.15">
      <c r="A22" s="8" t="s">
        <v>949</v>
      </c>
      <c r="B22" s="8"/>
      <c r="C22" s="8" t="s">
        <v>14</v>
      </c>
      <c r="D22" s="186" t="s">
        <v>1354</v>
      </c>
      <c r="E22" s="9">
        <v>38.14</v>
      </c>
      <c r="F22" s="8" t="s">
        <v>469</v>
      </c>
      <c r="G22" s="10">
        <v>4112</v>
      </c>
      <c r="H22" s="11">
        <f t="array" ref="H22">IF(OR(N22&gt;0,AC22&gt;0),MAX(N22,AC22),MAX(AK22,V22))</f>
        <v>46236</v>
      </c>
      <c r="I22" s="143">
        <f t="array" ref="I22">IF(SUM(O22,AD22)&gt;0,SUM(O22,AD22),SUM(AL22,W22))</f>
        <v>596.1692736</v>
      </c>
      <c r="J22" s="9">
        <f t="shared" si="0"/>
        <v>14.498279999999999</v>
      </c>
      <c r="K22" s="143">
        <f t="shared" si="6"/>
        <v>24.684000000000005</v>
      </c>
      <c r="L22" s="9">
        <f t="shared" si="1"/>
        <v>4.1404347880836516</v>
      </c>
      <c r="M22" s="8" t="str">
        <f t="array" ref="M22">IF(L22&gt;5,"Perlu Sensus",IF(AND(L22&gt;=0,I22&gt;0),"Tetap Deteksi","Belum Deteksi"))</f>
        <v>Tetap Deteksi</v>
      </c>
      <c r="N22" s="11">
        <v>46236</v>
      </c>
      <c r="O22" s="143">
        <v>596.1692736</v>
      </c>
      <c r="P22" s="9">
        <f t="array" ref="P22">IFERROR(O22/$G22*100,0)</f>
        <v>14.498279999999999</v>
      </c>
      <c r="Q22" s="143">
        <v>24.684000000000005</v>
      </c>
      <c r="R22" s="9">
        <f t="shared" si="2"/>
        <v>4.1404347880836516</v>
      </c>
      <c r="S22" s="8" t="str">
        <f t="array" ref="S22">IF(R22&gt;5,"Perlu Sensus",IF(AND(R22&gt;=0,O22&gt;0),"Tetap Deteksi","Belum Deteksi"))</f>
        <v>Tetap Deteksi</v>
      </c>
      <c r="T22" s="143">
        <v>16.029727999999999</v>
      </c>
      <c r="U22" s="9">
        <f t="shared" si="7"/>
        <v>2.6887880187456878</v>
      </c>
      <c r="V22" s="11">
        <v>46236</v>
      </c>
      <c r="W22" s="143">
        <v>344.14125427089607</v>
      </c>
      <c r="X22" s="143">
        <v>13.195737504852341</v>
      </c>
      <c r="Y22" s="9">
        <f t="shared" si="3"/>
        <v>3.8343957142857139</v>
      </c>
      <c r="Z22" s="8" t="str">
        <f t="array" ref="Z22">IF(Y22&gt;5,"Perlu Sensus",IF(AND(Y22&gt;=0,W22&gt;0),"Tetap Deteksi","Belum Deteksi"))</f>
        <v>Tetap Deteksi</v>
      </c>
      <c r="AA22" s="143">
        <v>8.6338557468641657</v>
      </c>
      <c r="AB22" s="9">
        <f t="shared" si="8"/>
        <v>2.5088116114285719</v>
      </c>
      <c r="AC22" s="11"/>
      <c r="AD22" s="143"/>
      <c r="AE22" s="9">
        <f t="array" ref="AE22">IFERROR(AD22/$G22*100,0)</f>
        <v>0</v>
      </c>
      <c r="AF22" s="143"/>
      <c r="AG22" s="9">
        <f t="shared" si="4"/>
        <v>0</v>
      </c>
      <c r="AH22" s="8" t="str">
        <f t="array" ref="AH22">IF(AG22&gt;5,"Perlu Sensus",IF(AND(AG22&gt;=0,AD22&gt;0),"Tetap Deteksi","Belum Deteksi"))</f>
        <v>Belum Deteksi</v>
      </c>
      <c r="AI22" s="143"/>
      <c r="AJ22" s="9">
        <f t="shared" si="9"/>
        <v>0</v>
      </c>
      <c r="AK22" s="11"/>
      <c r="AL22" s="143"/>
      <c r="AM22" s="143"/>
      <c r="AN22" s="9">
        <f t="shared" si="5"/>
        <v>0</v>
      </c>
      <c r="AO22" s="8" t="str">
        <f t="array" ref="AO22">IF(AN22&gt;5,"Perlu Sensus",IF(AND(AN22&gt;=0,AL22&gt;0),"Tetap Deteksi","Belum Deteksi"))</f>
        <v>Belum Deteksi</v>
      </c>
      <c r="AP22" s="143"/>
      <c r="AQ22" s="9">
        <f t="shared" si="10"/>
        <v>0</v>
      </c>
    </row>
    <row r="23" spans="1:43" outlineLevel="1" x14ac:dyDescent="0.15">
      <c r="A23" s="8" t="s">
        <v>949</v>
      </c>
      <c r="B23" s="8"/>
      <c r="C23" s="8" t="s">
        <v>14</v>
      </c>
      <c r="D23" s="186" t="s">
        <v>1355</v>
      </c>
      <c r="E23" s="9">
        <v>31.8</v>
      </c>
      <c r="F23" s="8" t="s">
        <v>469</v>
      </c>
      <c r="G23" s="10">
        <v>3328</v>
      </c>
      <c r="H23" s="11">
        <f t="array" ref="H23">IF(OR(N23&gt;0,AC23&gt;0),MAX(N23,AC23),MAX(AK23,V23))</f>
        <v>46237</v>
      </c>
      <c r="I23" s="143">
        <f t="array" ref="I23">IF(SUM(O23,AD23)&gt;0,SUM(O23,AD23),SUM(AL23,W23))</f>
        <v>522.71132159999991</v>
      </c>
      <c r="J23" s="9">
        <f t="shared" si="0"/>
        <v>15.706469999999998</v>
      </c>
      <c r="K23" s="143">
        <f t="shared" si="6"/>
        <v>18.837735824793604</v>
      </c>
      <c r="L23" s="9">
        <f t="shared" si="1"/>
        <v>3.6038507387083176</v>
      </c>
      <c r="M23" s="8" t="str">
        <f t="array" ref="M23">IF(L23&gt;5,"Perlu Sensus",IF(AND(L23&gt;=0,I23&gt;0),"Tetap Deteksi","Belum Deteksi"))</f>
        <v>Tetap Deteksi</v>
      </c>
      <c r="N23" s="11">
        <v>46237</v>
      </c>
      <c r="O23" s="143">
        <v>522.71132159999991</v>
      </c>
      <c r="P23" s="9">
        <f t="array" ref="P23">IFERROR(O23/$G23*100,0)</f>
        <v>15.706469999999998</v>
      </c>
      <c r="Q23" s="143">
        <v>18.837735824793604</v>
      </c>
      <c r="R23" s="9">
        <f t="shared" si="2"/>
        <v>3.6038507387083176</v>
      </c>
      <c r="S23" s="8" t="str">
        <f t="array" ref="S23">IF(R23&gt;5,"Perlu Sensus",IF(AND(R23&gt;=0,O23&gt;0),"Tetap Deteksi","Belum Deteksi"))</f>
        <v>Tetap Deteksi</v>
      </c>
      <c r="T23" s="143">
        <v>12.233178634228533</v>
      </c>
      <c r="U23" s="9">
        <f t="shared" si="7"/>
        <v>2.3403316761502753</v>
      </c>
      <c r="V23" s="11">
        <v>46237</v>
      </c>
      <c r="W23" s="143">
        <v>351.02407935631408</v>
      </c>
      <c r="X23" s="143">
        <v>12.185558958971171</v>
      </c>
      <c r="Y23" s="9">
        <f t="shared" si="3"/>
        <v>3.4714310714285714</v>
      </c>
      <c r="Z23" s="8" t="str">
        <f t="array" ref="Z23">IF(Y23&gt;5,"Perlu Sensus",IF(AND(Y23&gt;=0,W23&gt;0),"Tetap Deteksi","Belum Deteksi"))</f>
        <v>Tetap Deteksi</v>
      </c>
      <c r="AA23" s="143">
        <v>7.9729047510969435</v>
      </c>
      <c r="AB23" s="9">
        <f t="shared" si="8"/>
        <v>2.2713270171428568</v>
      </c>
      <c r="AC23" s="11"/>
      <c r="AD23" s="143"/>
      <c r="AE23" s="9">
        <f t="array" ref="AE23">IFERROR(AD23/$G23*100,0)</f>
        <v>0</v>
      </c>
      <c r="AF23" s="143"/>
      <c r="AG23" s="9">
        <f t="shared" si="4"/>
        <v>0</v>
      </c>
      <c r="AH23" s="8" t="str">
        <f t="array" ref="AH23">IF(AG23&gt;5,"Perlu Sensus",IF(AND(AG23&gt;=0,AD23&gt;0),"Tetap Deteksi","Belum Deteksi"))</f>
        <v>Belum Deteksi</v>
      </c>
      <c r="AI23" s="143"/>
      <c r="AJ23" s="9">
        <f t="shared" si="9"/>
        <v>0</v>
      </c>
      <c r="AK23" s="11"/>
      <c r="AL23" s="143"/>
      <c r="AM23" s="143"/>
      <c r="AN23" s="9">
        <f t="shared" si="5"/>
        <v>0</v>
      </c>
      <c r="AO23" s="8" t="str">
        <f t="array" ref="AO23">IF(AN23&gt;5,"Perlu Sensus",IF(AND(AN23&gt;=0,AL23&gt;0),"Tetap Deteksi","Belum Deteksi"))</f>
        <v>Belum Deteksi</v>
      </c>
      <c r="AP23" s="143"/>
      <c r="AQ23" s="9">
        <f t="shared" si="10"/>
        <v>0</v>
      </c>
    </row>
    <row r="24" spans="1:43" outlineLevel="1" x14ac:dyDescent="0.15">
      <c r="A24" s="8" t="s">
        <v>949</v>
      </c>
      <c r="B24" s="8"/>
      <c r="C24" s="8" t="s">
        <v>14</v>
      </c>
      <c r="D24" s="186" t="s">
        <v>1757</v>
      </c>
      <c r="E24" s="9">
        <v>40.64</v>
      </c>
      <c r="F24" s="8" t="s">
        <v>469</v>
      </c>
      <c r="G24" s="10">
        <v>3928</v>
      </c>
      <c r="H24" s="11">
        <f t="array" ref="H24">IF(OR(N24&gt;0,AC24&gt;0),MAX(N24,AC24),MAX(AK24,V24))</f>
        <v>46238</v>
      </c>
      <c r="I24" s="143">
        <f t="array" ref="I24">IF(SUM(O24,AD24)&gt;0,SUM(O24,AD24),SUM(AL24,W24))</f>
        <v>569.49243839999997</v>
      </c>
      <c r="J24" s="9">
        <f t="shared" si="0"/>
        <v>14.498279999999999</v>
      </c>
      <c r="K24" s="143">
        <f t="shared" si="6"/>
        <v>16.830000000000002</v>
      </c>
      <c r="L24" s="9">
        <f t="shared" si="1"/>
        <v>2.955263119433897</v>
      </c>
      <c r="M24" s="8" t="str">
        <f t="array" ref="M24">IF(L24&gt;5,"Perlu Sensus",IF(AND(L24&gt;=0,I24&gt;0),"Tetap Deteksi","Belum Deteksi"))</f>
        <v>Tetap Deteksi</v>
      </c>
      <c r="N24" s="11">
        <v>46238</v>
      </c>
      <c r="O24" s="143">
        <v>569.49243839999997</v>
      </c>
      <c r="P24" s="9">
        <f t="array" ref="P24">IFERROR(O24/$G24*100,0)</f>
        <v>14.498279999999999</v>
      </c>
      <c r="Q24" s="143">
        <v>16.830000000000002</v>
      </c>
      <c r="R24" s="9">
        <f t="shared" si="2"/>
        <v>2.955263119433897</v>
      </c>
      <c r="S24" s="8" t="str">
        <f t="array" ref="S24">IF(R24&gt;5,"Perlu Sensus",IF(AND(R24&gt;=0,O24&gt;0),"Tetap Deteksi","Belum Deteksi"))</f>
        <v>Tetap Deteksi</v>
      </c>
      <c r="T24" s="143">
        <v>10.929360000000001</v>
      </c>
      <c r="U24" s="9">
        <f t="shared" si="7"/>
        <v>1.9191404947721955</v>
      </c>
      <c r="V24" s="11">
        <v>46238</v>
      </c>
      <c r="W24" s="143">
        <v>358.04456094344039</v>
      </c>
      <c r="X24" s="143">
        <v>9.0640000000000018</v>
      </c>
      <c r="Y24" s="9">
        <f t="shared" si="3"/>
        <v>2.5315284712373622</v>
      </c>
      <c r="Z24" s="8" t="str">
        <f t="array" ref="Z24">IF(Y24&gt;5,"Perlu Sensus",IF(AND(Y24&gt;=0,W24&gt;0),"Tetap Deteksi","Belum Deteksi"))</f>
        <v>Tetap Deteksi</v>
      </c>
      <c r="AA24" s="143">
        <v>5.2</v>
      </c>
      <c r="AB24" s="9">
        <f t="shared" si="8"/>
        <v>1.4523331917954856</v>
      </c>
      <c r="AC24" s="11"/>
      <c r="AD24" s="143"/>
      <c r="AE24" s="9">
        <f t="array" ref="AE24">IFERROR(AD24/$G24*100,0)</f>
        <v>0</v>
      </c>
      <c r="AF24" s="143"/>
      <c r="AG24" s="9">
        <f t="shared" si="4"/>
        <v>0</v>
      </c>
      <c r="AH24" s="8" t="str">
        <f t="array" ref="AH24">IF(AG24&gt;5,"Perlu Sensus",IF(AND(AG24&gt;=0,AD24&gt;0),"Tetap Deteksi","Belum Deteksi"))</f>
        <v>Belum Deteksi</v>
      </c>
      <c r="AI24" s="143"/>
      <c r="AJ24" s="9">
        <f t="shared" si="9"/>
        <v>0</v>
      </c>
      <c r="AK24" s="11"/>
      <c r="AL24" s="143"/>
      <c r="AM24" s="143"/>
      <c r="AN24" s="9">
        <f t="shared" si="5"/>
        <v>0</v>
      </c>
      <c r="AO24" s="8" t="str">
        <f t="array" ref="AO24">IF(AN24&gt;5,"Perlu Sensus",IF(AND(AN24&gt;=0,AL24&gt;0),"Tetap Deteksi","Belum Deteksi"))</f>
        <v>Belum Deteksi</v>
      </c>
      <c r="AP24" s="143"/>
      <c r="AQ24" s="9">
        <f t="shared" si="10"/>
        <v>0</v>
      </c>
    </row>
    <row r="25" spans="1:43" outlineLevel="1" x14ac:dyDescent="0.15">
      <c r="A25" s="8" t="s">
        <v>949</v>
      </c>
      <c r="B25" s="8"/>
      <c r="C25" s="8" t="s">
        <v>47</v>
      </c>
      <c r="D25" s="181" t="s">
        <v>1335</v>
      </c>
      <c r="E25" s="9">
        <v>36.800000000000004</v>
      </c>
      <c r="F25" s="8" t="s">
        <v>469</v>
      </c>
      <c r="G25" s="10">
        <v>320</v>
      </c>
      <c r="H25" s="11">
        <f t="array" ref="H25">IF(OR(N25&gt;0,AC25&gt;0),MAX(N25,AC25),MAX(AK25,V25))</f>
        <v>46235</v>
      </c>
      <c r="I25" s="143">
        <f t="array" ref="I25">IF(SUM(O25,AD25)&gt;0,SUM(O25,AD25),SUM(AL25,W25))</f>
        <v>42.528288000000003</v>
      </c>
      <c r="J25" s="9">
        <f t="shared" si="0"/>
        <v>13.290090000000001</v>
      </c>
      <c r="K25" s="143">
        <f t="shared" si="6"/>
        <v>1.7234121154314241</v>
      </c>
      <c r="L25" s="9">
        <f t="shared" si="1"/>
        <v>4.0523900596032076</v>
      </c>
      <c r="M25" s="8" t="str">
        <f t="array" ref="M25">IF(L25&gt;5,"Perlu Sensus",IF(AND(L25&gt;=0,I25&gt;0),"Tetap Deteksi","Belum Deteksi"))</f>
        <v>Tetap Deteksi</v>
      </c>
      <c r="N25" s="11">
        <v>46235</v>
      </c>
      <c r="O25" s="143">
        <v>42.528288000000003</v>
      </c>
      <c r="P25" s="9">
        <f t="array" ref="P25">IFERROR(O25/$G25*100,0)</f>
        <v>13.290090000000001</v>
      </c>
      <c r="Q25" s="143">
        <v>1.7234121154314241</v>
      </c>
      <c r="R25" s="9">
        <f t="shared" si="2"/>
        <v>4.0523900596032076</v>
      </c>
      <c r="S25" s="8" t="str">
        <f t="array" ref="S25">IF(R25&gt;5,"Perlu Sensus",IF(AND(R25&gt;=0,O25&gt;0),"Tetap Deteksi","Belum Deteksi"))</f>
        <v>Tetap Deteksi</v>
      </c>
      <c r="T25" s="143">
        <v>1.1191795269109677</v>
      </c>
      <c r="U25" s="9">
        <f t="shared" si="7"/>
        <v>2.6316119917899528</v>
      </c>
      <c r="V25" s="11">
        <v>46235</v>
      </c>
      <c r="W25" s="143">
        <v>250.68825600000002</v>
      </c>
      <c r="X25" s="143">
        <v>8.0587205405650941</v>
      </c>
      <c r="Y25" s="9">
        <f t="shared" si="3"/>
        <v>3.2146382399999993</v>
      </c>
      <c r="Z25" s="8" t="str">
        <f t="array" ref="Z25">IF(Y25&gt;5,"Perlu Sensus",IF(AND(Y25&gt;=0,W25&gt;0),"Tetap Deteksi","Belum Deteksi"))</f>
        <v>Tetap Deteksi</v>
      </c>
      <c r="AA25" s="143">
        <v>5.2727504336870172</v>
      </c>
      <c r="AB25" s="9">
        <f t="shared" si="8"/>
        <v>2.1033097113599997</v>
      </c>
      <c r="AC25" s="11"/>
      <c r="AD25" s="143"/>
      <c r="AE25" s="9">
        <f t="array" ref="AE25">IFERROR(AD25/$G25*100,0)</f>
        <v>0</v>
      </c>
      <c r="AF25" s="143"/>
      <c r="AG25" s="9">
        <f t="shared" si="4"/>
        <v>0</v>
      </c>
      <c r="AH25" s="8" t="str">
        <f t="array" ref="AH25">IF(AG25&gt;5,"Perlu Sensus",IF(AND(AG25&gt;=0,AD25&gt;0),"Tetap Deteksi","Belum Deteksi"))</f>
        <v>Belum Deteksi</v>
      </c>
      <c r="AI25" s="143"/>
      <c r="AJ25" s="9">
        <f t="shared" si="9"/>
        <v>0</v>
      </c>
      <c r="AK25" s="11"/>
      <c r="AL25" s="143"/>
      <c r="AM25" s="143"/>
      <c r="AN25" s="9">
        <f t="shared" si="5"/>
        <v>0</v>
      </c>
      <c r="AO25" s="8" t="str">
        <f t="array" ref="AO25">IF(AN25&gt;5,"Perlu Sensus",IF(AND(AN25&gt;=0,AL25&gt;0),"Tetap Deteksi","Belum Deteksi"))</f>
        <v>Belum Deteksi</v>
      </c>
      <c r="AP25" s="143"/>
      <c r="AQ25" s="9">
        <f t="shared" si="10"/>
        <v>0</v>
      </c>
    </row>
    <row r="26" spans="1:43" outlineLevel="1" x14ac:dyDescent="0.15">
      <c r="A26" s="8" t="s">
        <v>949</v>
      </c>
      <c r="B26" s="8"/>
      <c r="C26" s="8" t="s">
        <v>47</v>
      </c>
      <c r="D26" s="181" t="s">
        <v>1350</v>
      </c>
      <c r="E26" s="9">
        <v>36.169999999999995</v>
      </c>
      <c r="F26" s="8" t="s">
        <v>469</v>
      </c>
      <c r="G26" s="10">
        <v>3123</v>
      </c>
      <c r="H26" s="11">
        <f t="array" ref="H26">IF(OR(N26&gt;0,AC26&gt;0),MAX(N26,AC26),MAX(AK26,V26))</f>
        <v>46236</v>
      </c>
      <c r="I26" s="143">
        <f t="array" ref="I26">IF(SUM(O26,AD26)&gt;0,SUM(O26,AD26),SUM(AL26,W26))</f>
        <v>452.78128439999995</v>
      </c>
      <c r="J26" s="9">
        <f t="shared" si="0"/>
        <v>14.498279999999999</v>
      </c>
      <c r="K26" s="143">
        <f t="shared" si="6"/>
        <v>10.228005138637442</v>
      </c>
      <c r="L26" s="9">
        <f t="shared" si="1"/>
        <v>2.2589284254959905</v>
      </c>
      <c r="M26" s="8" t="str">
        <f t="array" ref="M26">IF(L26&gt;5,"Perlu Sensus",IF(AND(L26&gt;=0,I26&gt;0),"Tetap Deteksi","Belum Deteksi"))</f>
        <v>Tetap Deteksi</v>
      </c>
      <c r="N26" s="11">
        <v>46236</v>
      </c>
      <c r="O26" s="143">
        <v>452.78128439999995</v>
      </c>
      <c r="P26" s="9">
        <f t="array" ref="P26">IFERROR(O26/$G26*100,0)</f>
        <v>14.498279999999999</v>
      </c>
      <c r="Q26" s="143">
        <v>10.228005138637442</v>
      </c>
      <c r="R26" s="9">
        <f t="shared" si="2"/>
        <v>2.2589284254959905</v>
      </c>
      <c r="S26" s="8" t="str">
        <f t="array" ref="S26">IF(R26&gt;5,"Perlu Sensus",IF(AND(R26&gt;=0,O26&gt;0),"Tetap Deteksi","Belum Deteksi"))</f>
        <v>Tetap Deteksi</v>
      </c>
      <c r="T26" s="143">
        <v>6.6420410125976526</v>
      </c>
      <c r="U26" s="9">
        <f t="shared" si="7"/>
        <v>1.4669424822625583</v>
      </c>
      <c r="V26" s="11">
        <v>46236</v>
      </c>
      <c r="W26" s="143">
        <v>255.70202112000004</v>
      </c>
      <c r="X26" s="143">
        <v>7.0740862204875032</v>
      </c>
      <c r="Y26" s="9">
        <f t="shared" si="3"/>
        <v>2.7665351214285709</v>
      </c>
      <c r="Z26" s="8" t="str">
        <f t="array" ref="Z26">IF(Y26&gt;5,"Perlu Sensus",IF(AND(Y26&gt;=0,W26&gt;0),"Tetap Deteksi","Belum Deteksi"))</f>
        <v>Tetap Deteksi</v>
      </c>
      <c r="AA26" s="143">
        <v>8.32</v>
      </c>
      <c r="AB26" s="9">
        <f t="shared" si="8"/>
        <v>3.2537873433919611</v>
      </c>
      <c r="AC26" s="11"/>
      <c r="AD26" s="143"/>
      <c r="AE26" s="9">
        <f t="array" ref="AE26">IFERROR(AD26/$G26*100,0)</f>
        <v>0</v>
      </c>
      <c r="AF26" s="143"/>
      <c r="AG26" s="9">
        <f t="shared" si="4"/>
        <v>0</v>
      </c>
      <c r="AH26" s="8" t="str">
        <f t="array" ref="AH26">IF(AG26&gt;5,"Perlu Sensus",IF(AND(AG26&gt;=0,AD26&gt;0),"Tetap Deteksi","Belum Deteksi"))</f>
        <v>Belum Deteksi</v>
      </c>
      <c r="AI26" s="143"/>
      <c r="AJ26" s="9">
        <f t="shared" si="9"/>
        <v>0</v>
      </c>
      <c r="AK26" s="11"/>
      <c r="AL26" s="143"/>
      <c r="AM26" s="143"/>
      <c r="AN26" s="9">
        <f t="shared" si="5"/>
        <v>0</v>
      </c>
      <c r="AO26" s="8" t="str">
        <f t="array" ref="AO26">IF(AN26&gt;5,"Perlu Sensus",IF(AND(AN26&gt;=0,AL26&gt;0),"Tetap Deteksi","Belum Deteksi"))</f>
        <v>Belum Deteksi</v>
      </c>
      <c r="AP26" s="143"/>
      <c r="AQ26" s="9">
        <f t="shared" si="10"/>
        <v>0</v>
      </c>
    </row>
    <row r="27" spans="1:43" outlineLevel="1" x14ac:dyDescent="0.15">
      <c r="A27" s="8" t="s">
        <v>949</v>
      </c>
      <c r="B27" s="8"/>
      <c r="C27" s="8" t="s">
        <v>47</v>
      </c>
      <c r="D27" s="186" t="s">
        <v>1351</v>
      </c>
      <c r="E27" s="9">
        <v>35.409999999999997</v>
      </c>
      <c r="F27" s="8" t="s">
        <v>469</v>
      </c>
      <c r="G27" s="10">
        <v>3072</v>
      </c>
      <c r="H27" s="11">
        <f t="array" ref="H27">IF(OR(N27&gt;0,AC27&gt;0),MAX(N27,AC27),MAX(AK27,V27))</f>
        <v>46237</v>
      </c>
      <c r="I27" s="143">
        <f t="array" ref="I27">IF(SUM(O27,AD27)&gt;0,SUM(O27,AD27),SUM(AL27,W27))</f>
        <v>334.04037119999992</v>
      </c>
      <c r="J27" s="9">
        <f t="shared" si="0"/>
        <v>10.873709999999997</v>
      </c>
      <c r="K27" s="143">
        <f t="shared" si="6"/>
        <v>4.63620415205376</v>
      </c>
      <c r="L27" s="9">
        <f t="shared" si="1"/>
        <v>1.3879173153229214</v>
      </c>
      <c r="M27" s="8" t="str">
        <f t="array" ref="M27">IF(L27&gt;5,"Perlu Sensus",IF(AND(L27&gt;=0,I27&gt;0),"Tetap Deteksi","Belum Deteksi"))</f>
        <v>Tetap Deteksi</v>
      </c>
      <c r="N27" s="11">
        <v>46237</v>
      </c>
      <c r="O27" s="143">
        <v>334.04037119999992</v>
      </c>
      <c r="P27" s="9">
        <f t="array" ref="P27">IFERROR(O27/$G27*100,0)</f>
        <v>10.873709999999997</v>
      </c>
      <c r="Q27" s="143">
        <v>4.63620415205376</v>
      </c>
      <c r="R27" s="9">
        <f t="shared" si="2"/>
        <v>1.3879173153229214</v>
      </c>
      <c r="S27" s="8" t="str">
        <f t="array" ref="S27">IF(R27&gt;5,"Perlu Sensus",IF(AND(R27&gt;=0,O27&gt;0),"Tetap Deteksi","Belum Deteksi"))</f>
        <v>Tetap Deteksi</v>
      </c>
      <c r="T27" s="143">
        <v>3.0107394064937778</v>
      </c>
      <c r="U27" s="9">
        <f t="shared" si="7"/>
        <v>0.9013100409624315</v>
      </c>
      <c r="V27" s="11">
        <v>46237</v>
      </c>
      <c r="W27" s="143">
        <v>260.81606154240006</v>
      </c>
      <c r="X27" s="143">
        <v>4.2379264196313393</v>
      </c>
      <c r="Y27" s="9">
        <f t="shared" si="3"/>
        <v>1.6248717178571432</v>
      </c>
      <c r="Z27" s="8" t="str">
        <f t="array" ref="Z27">IF(Y27&gt;5,"Perlu Sensus",IF(AND(Y27&gt;=0,W27&gt;0),"Tetap Deteksi","Belum Deteksi"))</f>
        <v>Tetap Deteksi</v>
      </c>
      <c r="AA27" s="143">
        <v>2.772838225939759</v>
      </c>
      <c r="AB27" s="9">
        <f t="shared" si="8"/>
        <v>1.0631393670857141</v>
      </c>
      <c r="AC27" s="11"/>
      <c r="AD27" s="143"/>
      <c r="AE27" s="9">
        <f t="array" ref="AE27">IFERROR(AD27/$G27*100,0)</f>
        <v>0</v>
      </c>
      <c r="AF27" s="143"/>
      <c r="AG27" s="9">
        <f t="shared" si="4"/>
        <v>0</v>
      </c>
      <c r="AH27" s="8" t="str">
        <f t="array" ref="AH27">IF(AG27&gt;5,"Perlu Sensus",IF(AND(AG27&gt;=0,AD27&gt;0),"Tetap Deteksi","Belum Deteksi"))</f>
        <v>Belum Deteksi</v>
      </c>
      <c r="AI27" s="143"/>
      <c r="AJ27" s="9">
        <f t="shared" si="9"/>
        <v>0</v>
      </c>
      <c r="AK27" s="11"/>
      <c r="AL27" s="143"/>
      <c r="AM27" s="143"/>
      <c r="AN27" s="9">
        <f t="shared" si="5"/>
        <v>0</v>
      </c>
      <c r="AO27" s="8" t="str">
        <f t="array" ref="AO27">IF(AN27&gt;5,"Perlu Sensus",IF(AND(AN27&gt;=0,AL27&gt;0),"Tetap Deteksi","Belum Deteksi"))</f>
        <v>Belum Deteksi</v>
      </c>
      <c r="AP27" s="143"/>
      <c r="AQ27" s="9">
        <f t="shared" si="10"/>
        <v>0</v>
      </c>
    </row>
    <row r="28" spans="1:43" outlineLevel="1" x14ac:dyDescent="0.15">
      <c r="A28" s="8" t="s">
        <v>949</v>
      </c>
      <c r="B28" s="8"/>
      <c r="C28" s="8" t="s">
        <v>47</v>
      </c>
      <c r="D28" s="186" t="s">
        <v>1357</v>
      </c>
      <c r="E28" s="9">
        <v>28.490000000000002</v>
      </c>
      <c r="F28" s="8" t="s">
        <v>469</v>
      </c>
      <c r="G28" s="10">
        <v>2124</v>
      </c>
      <c r="H28" s="11">
        <f t="array" ref="H28">IF(OR(N28&gt;0,AC28&gt;0),MAX(N28,AC28),MAX(AK28,V28))</f>
        <v>46238</v>
      </c>
      <c r="I28" s="143">
        <f t="array" ref="I28">IF(SUM(O28,AD28)&gt;0,SUM(O28,AD28),SUM(AL28,W28))</f>
        <v>205.29564480000002</v>
      </c>
      <c r="J28" s="9">
        <f t="shared" si="0"/>
        <v>9.6655200000000008</v>
      </c>
      <c r="K28" s="143">
        <f t="shared" si="6"/>
        <v>2.162835765725184</v>
      </c>
      <c r="L28" s="9">
        <f t="shared" si="1"/>
        <v>1.0535224786829884</v>
      </c>
      <c r="M28" s="8" t="str">
        <f t="array" ref="M28">IF(L28&gt;5,"Perlu Sensus",IF(AND(L28&gt;=0,I28&gt;0),"Tetap Deteksi","Belum Deteksi"))</f>
        <v>Tetap Deteksi</v>
      </c>
      <c r="N28" s="11">
        <v>46238</v>
      </c>
      <c r="O28" s="143">
        <v>205.29564480000002</v>
      </c>
      <c r="P28" s="9">
        <f t="array" ref="P28">IFERROR(O28/$G28*100,0)</f>
        <v>9.6655200000000008</v>
      </c>
      <c r="Q28" s="143">
        <v>2.162835765725184</v>
      </c>
      <c r="R28" s="9">
        <f t="shared" si="2"/>
        <v>1.0535224786829884</v>
      </c>
      <c r="S28" s="8" t="str">
        <f t="array" ref="S28">IF(R28&gt;5,"Perlu Sensus",IF(AND(R28&gt;=0,O28&gt;0),"Tetap Deteksi","Belum Deteksi"))</f>
        <v>Tetap Deteksi</v>
      </c>
      <c r="T28" s="143">
        <v>1.4045401488108256</v>
      </c>
      <c r="U28" s="9">
        <f t="shared" si="7"/>
        <v>0.68415486854537766</v>
      </c>
      <c r="V28" s="11">
        <v>46238</v>
      </c>
      <c r="W28" s="143">
        <v>266.03238277324806</v>
      </c>
      <c r="X28" s="143">
        <v>2.7571693442462277</v>
      </c>
      <c r="Y28" s="9">
        <f t="shared" si="3"/>
        <v>1.0364036571428572</v>
      </c>
      <c r="Z28" s="8" t="str">
        <f t="array" ref="Z28">IF(Y28&gt;5,"Perlu Sensus",IF(AND(Y28&gt;=0,W28&gt;0),"Tetap Deteksi","Belum Deteksi"))</f>
        <v>Tetap Deteksi</v>
      </c>
      <c r="AA28" s="143">
        <v>4.16</v>
      </c>
      <c r="AB28" s="9">
        <f t="shared" si="8"/>
        <v>1.5637194076278165</v>
      </c>
      <c r="AC28" s="11"/>
      <c r="AD28" s="143"/>
      <c r="AE28" s="9">
        <f t="array" ref="AE28">IFERROR(AD28/$G28*100,0)</f>
        <v>0</v>
      </c>
      <c r="AF28" s="143"/>
      <c r="AG28" s="9">
        <f t="shared" si="4"/>
        <v>0</v>
      </c>
      <c r="AH28" s="8" t="str">
        <f t="array" ref="AH28">IF(AG28&gt;5,"Perlu Sensus",IF(AND(AG28&gt;=0,AD28&gt;0),"Tetap Deteksi","Belum Deteksi"))</f>
        <v>Belum Deteksi</v>
      </c>
      <c r="AI28" s="143"/>
      <c r="AJ28" s="9">
        <f t="shared" si="9"/>
        <v>0</v>
      </c>
      <c r="AK28" s="11"/>
      <c r="AL28" s="143"/>
      <c r="AM28" s="143"/>
      <c r="AN28" s="9">
        <f t="shared" si="5"/>
        <v>0</v>
      </c>
      <c r="AO28" s="8" t="str">
        <f t="array" ref="AO28">IF(AN28&gt;5,"Perlu Sensus",IF(AND(AN28&gt;=0,AL28&gt;0),"Tetap Deteksi","Belum Deteksi"))</f>
        <v>Belum Deteksi</v>
      </c>
      <c r="AP28" s="143"/>
      <c r="AQ28" s="9">
        <f t="shared" si="10"/>
        <v>0</v>
      </c>
    </row>
    <row r="29" spans="1:43" outlineLevel="1" x14ac:dyDescent="0.15">
      <c r="A29" s="8" t="s">
        <v>949</v>
      </c>
      <c r="B29" s="8"/>
      <c r="C29" s="8" t="s">
        <v>47</v>
      </c>
      <c r="D29" s="186" t="s">
        <v>1358</v>
      </c>
      <c r="E29" s="9">
        <v>25.689999999999998</v>
      </c>
      <c r="F29" s="8" t="s">
        <v>469</v>
      </c>
      <c r="G29" s="10">
        <v>3585</v>
      </c>
      <c r="H29" s="11">
        <f t="array" ref="H29">IF(OR(N29&gt;0,AC29&gt;0),MAX(N29,AC29),MAX(AK29,V29))</f>
        <v>46239</v>
      </c>
      <c r="I29" s="143">
        <f t="array" ref="I29">IF(SUM(O29,AD29)&gt;0,SUM(O29,AD29),SUM(AL29,W29))</f>
        <v>433.1361149999999</v>
      </c>
      <c r="J29" s="9">
        <f t="shared" si="0"/>
        <v>12.081899999999997</v>
      </c>
      <c r="K29" s="143">
        <f t="shared" si="6"/>
        <v>12.342000000000002</v>
      </c>
      <c r="L29" s="9">
        <f t="shared" si="1"/>
        <v>2.8494506859581556</v>
      </c>
      <c r="M29" s="8" t="str">
        <f t="array" ref="M29">IF(L29&gt;5,"Perlu Sensus",IF(AND(L29&gt;=0,I29&gt;0),"Tetap Deteksi","Belum Deteksi"))</f>
        <v>Tetap Deteksi</v>
      </c>
      <c r="N29" s="11">
        <v>46239</v>
      </c>
      <c r="O29" s="143">
        <v>433.1361149999999</v>
      </c>
      <c r="P29" s="9">
        <f t="array" ref="P29">IFERROR(O29/$G29*100,0)</f>
        <v>12.081899999999997</v>
      </c>
      <c r="Q29" s="143">
        <v>12.342000000000002</v>
      </c>
      <c r="R29" s="9">
        <f t="shared" si="2"/>
        <v>2.8494506859581556</v>
      </c>
      <c r="S29" s="8" t="str">
        <f t="array" ref="S29">IF(R29&gt;5,"Perlu Sensus",IF(AND(R29&gt;=0,O29&gt;0),"Tetap Deteksi","Belum Deteksi"))</f>
        <v>Tetap Deteksi</v>
      </c>
      <c r="T29" s="143">
        <v>8.0148639999999993</v>
      </c>
      <c r="U29" s="9">
        <f t="shared" si="7"/>
        <v>1.8504261645325975</v>
      </c>
      <c r="V29" s="11">
        <v>46239</v>
      </c>
      <c r="W29" s="143">
        <v>271.353030428713</v>
      </c>
      <c r="X29" s="143">
        <v>5.665</v>
      </c>
      <c r="Y29" s="9">
        <f t="shared" si="3"/>
        <v>2.0876862849291999</v>
      </c>
      <c r="Z29" s="8" t="str">
        <f t="array" ref="Z29">IF(Y29&gt;5,"Perlu Sensus",IF(AND(Y29&gt;=0,W29&gt;0),"Tetap Deteksi","Belum Deteksi"))</f>
        <v>Tetap Deteksi</v>
      </c>
      <c r="AA29" s="143">
        <v>3.7065600000000005</v>
      </c>
      <c r="AB29" s="9">
        <f t="shared" si="8"/>
        <v>1.3659548943101814</v>
      </c>
      <c r="AC29" s="11"/>
      <c r="AD29" s="143"/>
      <c r="AE29" s="9">
        <f t="array" ref="AE29">IFERROR(AD29/$G29*100,0)</f>
        <v>0</v>
      </c>
      <c r="AF29" s="143"/>
      <c r="AG29" s="9">
        <f t="shared" si="4"/>
        <v>0</v>
      </c>
      <c r="AH29" s="8" t="str">
        <f t="array" ref="AH29">IF(AG29&gt;5,"Perlu Sensus",IF(AND(AG29&gt;=0,AD29&gt;0),"Tetap Deteksi","Belum Deteksi"))</f>
        <v>Belum Deteksi</v>
      </c>
      <c r="AI29" s="143"/>
      <c r="AJ29" s="9">
        <f t="shared" si="9"/>
        <v>0</v>
      </c>
      <c r="AK29" s="11"/>
      <c r="AL29" s="143"/>
      <c r="AM29" s="143"/>
      <c r="AN29" s="9">
        <f t="shared" si="5"/>
        <v>0</v>
      </c>
      <c r="AO29" s="8" t="str">
        <f t="array" ref="AO29">IF(AN29&gt;5,"Perlu Sensus",IF(AND(AN29&gt;=0,AL29&gt;0),"Tetap Deteksi","Belum Deteksi"))</f>
        <v>Belum Deteksi</v>
      </c>
      <c r="AP29" s="143"/>
      <c r="AQ29" s="9">
        <f t="shared" si="10"/>
        <v>0</v>
      </c>
    </row>
    <row r="30" spans="1:43" outlineLevel="1" x14ac:dyDescent="0.15">
      <c r="A30" s="8" t="s">
        <v>949</v>
      </c>
      <c r="B30" s="8"/>
      <c r="C30" s="8" t="s">
        <v>47</v>
      </c>
      <c r="D30" s="186" t="s">
        <v>1359</v>
      </c>
      <c r="E30" s="9">
        <v>29.04</v>
      </c>
      <c r="F30" s="8" t="s">
        <v>469</v>
      </c>
      <c r="G30" s="10">
        <v>3085</v>
      </c>
      <c r="H30" s="11">
        <f t="array" ref="H30">IF(OR(N30&gt;0,AC30&gt;0),MAX(N30,AC30),MAX(AK30,V30))</f>
        <v>46240</v>
      </c>
      <c r="I30" s="143">
        <f t="array" ref="I30">IF(SUM(O30,AD30)&gt;0,SUM(O30,AD30),SUM(AL30,W30))</f>
        <v>335.45395349999995</v>
      </c>
      <c r="J30" s="9">
        <f t="shared" si="0"/>
        <v>10.873709999999999</v>
      </c>
      <c r="K30" s="143">
        <f t="shared" si="6"/>
        <v>15.708000000000002</v>
      </c>
      <c r="L30" s="9">
        <f t="shared" si="1"/>
        <v>4.6826098891095658</v>
      </c>
      <c r="M30" s="8" t="str">
        <f t="array" ref="M30">IF(L30&gt;5,"Perlu Sensus",IF(AND(L30&gt;=0,I30&gt;0),"Tetap Deteksi","Belum Deteksi"))</f>
        <v>Tetap Deteksi</v>
      </c>
      <c r="N30" s="11">
        <v>46240</v>
      </c>
      <c r="O30" s="143">
        <v>335.45395349999995</v>
      </c>
      <c r="P30" s="9">
        <f t="array" ref="P30">IFERROR(O30/$G30*100,0)</f>
        <v>10.873709999999999</v>
      </c>
      <c r="Q30" s="143">
        <v>15.708000000000002</v>
      </c>
      <c r="R30" s="9">
        <f t="shared" si="2"/>
        <v>4.6826098891095658</v>
      </c>
      <c r="S30" s="8" t="str">
        <f t="array" ref="S30">IF(R30&gt;5,"Perlu Sensus",IF(AND(R30&gt;=0,O30&gt;0),"Tetap Deteksi","Belum Deteksi"))</f>
        <v>Tetap Deteksi</v>
      </c>
      <c r="T30" s="143">
        <v>10.200735999999999</v>
      </c>
      <c r="U30" s="9">
        <f t="shared" si="7"/>
        <v>3.0408751763302742</v>
      </c>
      <c r="V30" s="11">
        <v>46240</v>
      </c>
      <c r="W30" s="143">
        <v>276.78009103728726</v>
      </c>
      <c r="X30" s="143">
        <v>7.9310000000000009</v>
      </c>
      <c r="Y30" s="9">
        <f t="shared" si="3"/>
        <v>2.8654517636283141</v>
      </c>
      <c r="Z30" s="8" t="str">
        <f t="array" ref="Z30">IF(Y30&gt;5,"Perlu Sensus",IF(AND(Y30&gt;=0,W30&gt;0),"Tetap Deteksi","Belum Deteksi"))</f>
        <v>Tetap Deteksi</v>
      </c>
      <c r="AA30" s="143">
        <v>5.189184</v>
      </c>
      <c r="AB30" s="9">
        <f t="shared" si="8"/>
        <v>1.8748400510139738</v>
      </c>
      <c r="AC30" s="11"/>
      <c r="AD30" s="143"/>
      <c r="AE30" s="9">
        <f t="array" ref="AE30">IFERROR(AD30/$G30*100,0)</f>
        <v>0</v>
      </c>
      <c r="AF30" s="143"/>
      <c r="AG30" s="9">
        <f t="shared" si="4"/>
        <v>0</v>
      </c>
      <c r="AH30" s="8" t="str">
        <f t="array" ref="AH30">IF(AG30&gt;5,"Perlu Sensus",IF(AND(AG30&gt;=0,AD30&gt;0),"Tetap Deteksi","Belum Deteksi"))</f>
        <v>Belum Deteksi</v>
      </c>
      <c r="AI30" s="143"/>
      <c r="AJ30" s="9">
        <f t="shared" si="9"/>
        <v>0</v>
      </c>
      <c r="AK30" s="11"/>
      <c r="AL30" s="143"/>
      <c r="AM30" s="143"/>
      <c r="AN30" s="9">
        <f t="shared" si="5"/>
        <v>0</v>
      </c>
      <c r="AO30" s="8" t="str">
        <f t="array" ref="AO30">IF(AN30&gt;5,"Perlu Sensus",IF(AND(AN30&gt;=0,AL30&gt;0),"Tetap Deteksi","Belum Deteksi"))</f>
        <v>Belum Deteksi</v>
      </c>
      <c r="AP30" s="143"/>
      <c r="AQ30" s="9">
        <f t="shared" si="10"/>
        <v>0</v>
      </c>
    </row>
    <row r="31" spans="1:43" outlineLevel="1" x14ac:dyDescent="0.15">
      <c r="A31" s="8" t="s">
        <v>949</v>
      </c>
      <c r="B31" s="8"/>
      <c r="C31" s="8" t="s">
        <v>47</v>
      </c>
      <c r="D31" s="186" t="s">
        <v>1360</v>
      </c>
      <c r="E31" s="9">
        <v>29.66</v>
      </c>
      <c r="F31" s="8" t="s">
        <v>469</v>
      </c>
      <c r="G31" s="10">
        <v>3632</v>
      </c>
      <c r="H31" s="11">
        <f t="array" ref="H31">IF(OR(N31&gt;0,AC31&gt;0),MAX(N31,AC31),MAX(AK31,V31))</f>
        <v>46241</v>
      </c>
      <c r="I31" s="143">
        <f t="array" ref="I31">IF(SUM(O31,AD31)&gt;0,SUM(O31,AD31),SUM(AL31,W31))</f>
        <v>351.05168640000005</v>
      </c>
      <c r="J31" s="9">
        <f t="shared" si="0"/>
        <v>9.6655200000000008</v>
      </c>
      <c r="K31" s="143">
        <f t="shared" si="6"/>
        <v>8.16</v>
      </c>
      <c r="L31" s="9">
        <f t="shared" si="1"/>
        <v>2.3244440394746384</v>
      </c>
      <c r="M31" s="8" t="str">
        <f t="array" ref="M31">IF(L31&gt;5,"Perlu Sensus",IF(AND(L31&gt;=0,I31&gt;0),"Tetap Deteksi","Belum Deteksi"))</f>
        <v>Tetap Deteksi</v>
      </c>
      <c r="N31" s="11">
        <v>46241</v>
      </c>
      <c r="O31" s="143">
        <v>351.05168640000005</v>
      </c>
      <c r="P31" s="9">
        <f t="array" ref="P31">IFERROR(O31/$G31*100,0)</f>
        <v>9.6655200000000008</v>
      </c>
      <c r="Q31" s="143">
        <v>8.16</v>
      </c>
      <c r="R31" s="9">
        <f t="shared" si="2"/>
        <v>2.3244440394746384</v>
      </c>
      <c r="S31" s="8" t="str">
        <f t="array" ref="S31">IF(R31&gt;5,"Perlu Sensus",IF(AND(R31&gt;=0,O31&gt;0),"Tetap Deteksi","Belum Deteksi"))</f>
        <v>Tetap Deteksi</v>
      </c>
      <c r="T31" s="143">
        <v>4.9558957338009595</v>
      </c>
      <c r="U31" s="9">
        <f t="shared" si="7"/>
        <v>1.4117282228788515</v>
      </c>
      <c r="V31" s="11">
        <v>46241</v>
      </c>
      <c r="W31" s="143">
        <v>282.315692858033</v>
      </c>
      <c r="X31" s="143">
        <v>5.911766228722084</v>
      </c>
      <c r="Y31" s="9">
        <f t="shared" si="3"/>
        <v>2.094026785714286</v>
      </c>
      <c r="Z31" s="8" t="str">
        <f t="array" ref="Z31">IF(Y31&gt;5,"Perlu Sensus",IF(AND(Y31&gt;=0,W31&gt;0),"Tetap Deteksi","Belum Deteksi"))</f>
        <v>Tetap Deteksi</v>
      </c>
      <c r="AA31" s="143">
        <v>6.24</v>
      </c>
      <c r="AB31" s="9">
        <f t="shared" si="8"/>
        <v>2.2102915841585484</v>
      </c>
      <c r="AC31" s="11"/>
      <c r="AD31" s="143"/>
      <c r="AE31" s="9">
        <f t="array" ref="AE31">IFERROR(AD31/$G31*100,0)</f>
        <v>0</v>
      </c>
      <c r="AF31" s="143"/>
      <c r="AG31" s="9">
        <f t="shared" si="4"/>
        <v>0</v>
      </c>
      <c r="AH31" s="8" t="str">
        <f t="array" ref="AH31">IF(AG31&gt;5,"Perlu Sensus",IF(AND(AG31&gt;=0,AD31&gt;0),"Tetap Deteksi","Belum Deteksi"))</f>
        <v>Belum Deteksi</v>
      </c>
      <c r="AI31" s="143"/>
      <c r="AJ31" s="9">
        <f t="shared" si="9"/>
        <v>0</v>
      </c>
      <c r="AK31" s="11"/>
      <c r="AL31" s="143"/>
      <c r="AM31" s="143"/>
      <c r="AN31" s="9">
        <f t="shared" si="5"/>
        <v>0</v>
      </c>
      <c r="AO31" s="8" t="str">
        <f t="array" ref="AO31">IF(AN31&gt;5,"Perlu Sensus",IF(AND(AN31&gt;=0,AL31&gt;0),"Tetap Deteksi","Belum Deteksi"))</f>
        <v>Belum Deteksi</v>
      </c>
      <c r="AP31" s="143"/>
      <c r="AQ31" s="9">
        <f t="shared" si="10"/>
        <v>0</v>
      </c>
    </row>
    <row r="32" spans="1:43" outlineLevel="1" x14ac:dyDescent="0.15">
      <c r="A32" s="8" t="s">
        <v>949</v>
      </c>
      <c r="B32" s="8"/>
      <c r="C32" s="8" t="s">
        <v>47</v>
      </c>
      <c r="D32" s="186" t="s">
        <v>1758</v>
      </c>
      <c r="E32" s="9">
        <v>32.78</v>
      </c>
      <c r="F32" s="8" t="s">
        <v>469</v>
      </c>
      <c r="G32" s="10">
        <v>3717</v>
      </c>
      <c r="H32" s="11">
        <f t="array" ref="H32">IF(OR(N32&gt;0,AC32&gt;0),MAX(N32,AC32),MAX(AK32,V32))</f>
        <v>46242</v>
      </c>
      <c r="I32" s="143">
        <f t="array" ref="I32">IF(SUM(O32,AD32)&gt;0,SUM(O32,AD32),SUM(AL32,W32))</f>
        <v>493.99264529999999</v>
      </c>
      <c r="J32" s="9">
        <f t="shared" si="0"/>
        <v>13.290089999999999</v>
      </c>
      <c r="K32" s="143">
        <f t="shared" si="6"/>
        <v>12.24</v>
      </c>
      <c r="L32" s="9">
        <f t="shared" si="1"/>
        <v>2.4777696826977436</v>
      </c>
      <c r="M32" s="8" t="str">
        <f t="array" ref="M32">IF(L32&gt;5,"Perlu Sensus",IF(AND(L32&gt;=0,I32&gt;0),"Tetap Deteksi","Belum Deteksi"))</f>
        <v>Tetap Deteksi</v>
      </c>
      <c r="N32" s="11">
        <v>46242</v>
      </c>
      <c r="O32" s="143">
        <v>493.99264529999999</v>
      </c>
      <c r="P32" s="9">
        <f t="array" ref="P32">IFERROR(O32/$G32*100,0)</f>
        <v>13.290089999999999</v>
      </c>
      <c r="Q32" s="143">
        <v>12.24</v>
      </c>
      <c r="R32" s="9">
        <f t="shared" si="2"/>
        <v>2.4777696826977436</v>
      </c>
      <c r="S32" s="8" t="str">
        <f t="array" ref="S32">IF(R32&gt;5,"Perlu Sensus",IF(AND(R32&gt;=0,O32&gt;0),"Tetap Deteksi","Belum Deteksi"))</f>
        <v>Tetap Deteksi</v>
      </c>
      <c r="T32" s="143">
        <v>8.7095432868155722</v>
      </c>
      <c r="U32" s="9">
        <f t="shared" si="7"/>
        <v>1.7630916916842554</v>
      </c>
      <c r="V32" s="11">
        <v>46242</v>
      </c>
      <c r="W32" s="143">
        <v>287.9620067151937</v>
      </c>
      <c r="X32" s="143">
        <v>9.27</v>
      </c>
      <c r="Y32" s="9">
        <f t="shared" si="3"/>
        <v>3.2191746771539944</v>
      </c>
      <c r="Z32" s="8" t="str">
        <f t="array" ref="Z32">IF(Y32&gt;5,"Perlu Sensus",IF(AND(Y32&gt;=0,W32&gt;0),"Tetap Deteksi","Belum Deteksi"))</f>
        <v>Tetap Deteksi</v>
      </c>
      <c r="AA32" s="143">
        <v>7.28</v>
      </c>
      <c r="AB32" s="9">
        <f t="shared" si="8"/>
        <v>2.5281112890702349</v>
      </c>
      <c r="AC32" s="11"/>
      <c r="AD32" s="143"/>
      <c r="AE32" s="9">
        <f t="array" ref="AE32">IFERROR(AD32/$G32*100,0)</f>
        <v>0</v>
      </c>
      <c r="AF32" s="143"/>
      <c r="AG32" s="9">
        <f t="shared" si="4"/>
        <v>0</v>
      </c>
      <c r="AH32" s="8" t="str">
        <f t="array" ref="AH32">IF(AG32&gt;5,"Perlu Sensus",IF(AND(AG32&gt;=0,AD32&gt;0),"Tetap Deteksi","Belum Deteksi"))</f>
        <v>Belum Deteksi</v>
      </c>
      <c r="AI32" s="143"/>
      <c r="AJ32" s="9">
        <f t="shared" si="9"/>
        <v>0</v>
      </c>
      <c r="AK32" s="11"/>
      <c r="AL32" s="143"/>
      <c r="AM32" s="143"/>
      <c r="AN32" s="9">
        <f t="shared" si="5"/>
        <v>0</v>
      </c>
      <c r="AO32" s="8" t="str">
        <f t="array" ref="AO32">IF(AN32&gt;5,"Perlu Sensus",IF(AND(AN32&gt;=0,AL32&gt;0),"Tetap Deteksi","Belum Deteksi"))</f>
        <v>Belum Deteksi</v>
      </c>
      <c r="AP32" s="143"/>
      <c r="AQ32" s="9">
        <f t="shared" si="10"/>
        <v>0</v>
      </c>
    </row>
    <row r="33" spans="1:43" outlineLevel="1" x14ac:dyDescent="0.15">
      <c r="A33" s="8" t="s">
        <v>949</v>
      </c>
      <c r="B33" s="8"/>
      <c r="C33" s="8" t="s">
        <v>47</v>
      </c>
      <c r="D33" s="186" t="s">
        <v>1759</v>
      </c>
      <c r="E33" s="9">
        <v>27.48</v>
      </c>
      <c r="F33" s="8" t="s">
        <v>469</v>
      </c>
      <c r="G33" s="10">
        <v>3497</v>
      </c>
      <c r="H33" s="11">
        <f t="array" ref="H33">IF(OR(N33&gt;0,AC33&gt;0),MAX(N33,AC33),MAX(AK33,V33))</f>
        <v>46243</v>
      </c>
      <c r="I33" s="143">
        <f t="array" ref="I33">IF(SUM(O33,AD33)&gt;0,SUM(O33,AD33),SUM(AL33,W33))</f>
        <v>507.00485159999999</v>
      </c>
      <c r="J33" s="9">
        <f t="shared" si="0"/>
        <v>14.498279999999999</v>
      </c>
      <c r="K33" s="143">
        <f t="shared" si="6"/>
        <v>13.464000000000002</v>
      </c>
      <c r="L33" s="9">
        <f t="shared" si="1"/>
        <v>2.6555958897652494</v>
      </c>
      <c r="M33" s="8" t="str">
        <f t="array" ref="M33">IF(L33&gt;5,"Perlu Sensus",IF(AND(L33&gt;=0,I33&gt;0),"Tetap Deteksi","Belum Deteksi"))</f>
        <v>Tetap Deteksi</v>
      </c>
      <c r="N33" s="11">
        <v>46243</v>
      </c>
      <c r="O33" s="143">
        <v>507.00485159999999</v>
      </c>
      <c r="P33" s="9">
        <f t="array" ref="P33">IFERROR(O33/$G33*100,0)</f>
        <v>14.498279999999999</v>
      </c>
      <c r="Q33" s="143">
        <v>13.464000000000002</v>
      </c>
      <c r="R33" s="9">
        <f t="shared" si="2"/>
        <v>2.6555958897652494</v>
      </c>
      <c r="S33" s="8" t="str">
        <f t="array" ref="S33">IF(R33&gt;5,"Perlu Sensus",IF(AND(R33&gt;=0,O33&gt;0),"Tetap Deteksi","Belum Deteksi"))</f>
        <v>Tetap Deteksi</v>
      </c>
      <c r="T33" s="143">
        <v>8.7434879999999975</v>
      </c>
      <c r="U33" s="9">
        <f t="shared" si="7"/>
        <v>1.724537343658034</v>
      </c>
      <c r="V33" s="11">
        <v>46243</v>
      </c>
      <c r="W33" s="143">
        <v>293.72124684949756</v>
      </c>
      <c r="X33" s="143">
        <v>6.7980000000000009</v>
      </c>
      <c r="Y33" s="9">
        <f t="shared" si="3"/>
        <v>2.314439310372153</v>
      </c>
      <c r="Z33" s="8" t="str">
        <f t="array" ref="Z33">IF(Y33&gt;5,"Perlu Sensus",IF(AND(Y33&gt;=0,W33&gt;0),"Tetap Deteksi","Belum Deteksi"))</f>
        <v>Tetap Deteksi</v>
      </c>
      <c r="AA33" s="143">
        <v>4.4478720000000012</v>
      </c>
      <c r="AB33" s="9">
        <f t="shared" si="8"/>
        <v>1.51431741752039</v>
      </c>
      <c r="AC33" s="11"/>
      <c r="AD33" s="143"/>
      <c r="AE33" s="9">
        <f t="array" ref="AE33">IFERROR(AD33/$G33*100,0)</f>
        <v>0</v>
      </c>
      <c r="AF33" s="143"/>
      <c r="AG33" s="9">
        <f t="shared" si="4"/>
        <v>0</v>
      </c>
      <c r="AH33" s="8" t="str">
        <f t="array" ref="AH33">IF(AG33&gt;5,"Perlu Sensus",IF(AND(AG33&gt;=0,AD33&gt;0),"Tetap Deteksi","Belum Deteksi"))</f>
        <v>Belum Deteksi</v>
      </c>
      <c r="AI33" s="143"/>
      <c r="AJ33" s="9">
        <f t="shared" si="9"/>
        <v>0</v>
      </c>
      <c r="AK33" s="11"/>
      <c r="AL33" s="143"/>
      <c r="AM33" s="143"/>
      <c r="AN33" s="9">
        <f t="shared" si="5"/>
        <v>0</v>
      </c>
      <c r="AO33" s="8" t="str">
        <f t="array" ref="AO33">IF(AN33&gt;5,"Perlu Sensus",IF(AND(AN33&gt;=0,AL33&gt;0),"Tetap Deteksi","Belum Deteksi"))</f>
        <v>Belum Deteksi</v>
      </c>
      <c r="AP33" s="143"/>
      <c r="AQ33" s="9">
        <f t="shared" si="10"/>
        <v>0</v>
      </c>
    </row>
    <row r="34" spans="1:43" outlineLevel="1" x14ac:dyDescent="0.15">
      <c r="A34" s="8" t="s">
        <v>949</v>
      </c>
      <c r="B34" s="8"/>
      <c r="C34" s="8" t="s">
        <v>47</v>
      </c>
      <c r="D34" s="186" t="s">
        <v>1117</v>
      </c>
      <c r="E34" s="9">
        <v>26.93</v>
      </c>
      <c r="F34" s="8" t="s">
        <v>469</v>
      </c>
      <c r="G34" s="10">
        <v>3307</v>
      </c>
      <c r="H34" s="11">
        <f t="array" ref="H34">IF(OR(N34&gt;0,AC34&gt;0),MAX(N34,AC34),MAX(AK34,V34))</f>
        <v>46244</v>
      </c>
      <c r="I34" s="143">
        <f t="array" ref="I34">IF(SUM(O34,AD34)&gt;0,SUM(O34,AD34),SUM(AL34,W34))</f>
        <v>519.41296289999991</v>
      </c>
      <c r="J34" s="9">
        <f t="shared" si="0"/>
        <v>15.706469999999998</v>
      </c>
      <c r="K34" s="143">
        <f t="shared" si="6"/>
        <v>16.32</v>
      </c>
      <c r="L34" s="9">
        <f t="shared" si="1"/>
        <v>3.1420086069630906</v>
      </c>
      <c r="M34" s="8" t="str">
        <f t="array" ref="M34">IF(L34&gt;5,"Perlu Sensus",IF(AND(L34&gt;=0,I34&gt;0),"Tetap Deteksi","Belum Deteksi"))</f>
        <v>Tetap Deteksi</v>
      </c>
      <c r="N34" s="11">
        <v>46244</v>
      </c>
      <c r="O34" s="143">
        <v>519.41296289999991</v>
      </c>
      <c r="P34" s="9">
        <f t="array" ref="P34">IFERROR(O34/$G34*100,0)</f>
        <v>15.706469999999998</v>
      </c>
      <c r="Q34" s="143">
        <v>16.32</v>
      </c>
      <c r="R34" s="9">
        <f t="shared" si="2"/>
        <v>3.1420086069630906</v>
      </c>
      <c r="S34" s="8" t="str">
        <f t="array" ref="S34">IF(R34&gt;5,"Perlu Sensus",IF(AND(R34&gt;=0,O34&gt;0),"Tetap Deteksi","Belum Deteksi"))</f>
        <v>Tetap Deteksi</v>
      </c>
      <c r="T34" s="143">
        <v>9.5813938703193973</v>
      </c>
      <c r="U34" s="9">
        <f t="shared" si="7"/>
        <v>1.8446582112283665</v>
      </c>
      <c r="V34" s="11">
        <v>46244</v>
      </c>
      <c r="W34" s="143">
        <v>299.59567178648751</v>
      </c>
      <c r="X34" s="143">
        <v>8.24</v>
      </c>
      <c r="Y34" s="9">
        <f t="shared" si="3"/>
        <v>2.7503735120287023</v>
      </c>
      <c r="Z34" s="8" t="str">
        <f t="array" ref="Z34">IF(Y34&gt;5,"Perlu Sensus",IF(AND(Y34&gt;=0,W34&gt;0),"Tetap Deteksi","Belum Deteksi"))</f>
        <v>Tetap Deteksi</v>
      </c>
      <c r="AA34" s="143">
        <v>9.36</v>
      </c>
      <c r="AB34" s="9">
        <f t="shared" si="8"/>
        <v>3.1242106884209528</v>
      </c>
      <c r="AC34" s="11"/>
      <c r="AD34" s="143"/>
      <c r="AE34" s="9">
        <f t="array" ref="AE34">IFERROR(AD34/$G34*100,0)</f>
        <v>0</v>
      </c>
      <c r="AF34" s="143"/>
      <c r="AG34" s="9">
        <f t="shared" si="4"/>
        <v>0</v>
      </c>
      <c r="AH34" s="8" t="str">
        <f t="array" ref="AH34">IF(AG34&gt;5,"Perlu Sensus",IF(AND(AG34&gt;=0,AD34&gt;0),"Tetap Deteksi","Belum Deteksi"))</f>
        <v>Belum Deteksi</v>
      </c>
      <c r="AI34" s="143"/>
      <c r="AJ34" s="9">
        <f t="shared" si="9"/>
        <v>0</v>
      </c>
      <c r="AK34" s="11"/>
      <c r="AL34" s="143"/>
      <c r="AM34" s="143"/>
      <c r="AN34" s="9">
        <f t="shared" si="5"/>
        <v>0</v>
      </c>
      <c r="AO34" s="8" t="str">
        <f t="array" ref="AO34">IF(AN34&gt;5,"Perlu Sensus",IF(AND(AN34&gt;=0,AL34&gt;0),"Tetap Deteksi","Belum Deteksi"))</f>
        <v>Belum Deteksi</v>
      </c>
      <c r="AP34" s="143"/>
      <c r="AQ34" s="9">
        <f t="shared" si="10"/>
        <v>0</v>
      </c>
    </row>
    <row r="35" spans="1:43" outlineLevel="1" x14ac:dyDescent="0.15">
      <c r="A35" s="8" t="s">
        <v>949</v>
      </c>
      <c r="B35" s="8"/>
      <c r="C35" s="8" t="s">
        <v>47</v>
      </c>
      <c r="D35" s="181" t="s">
        <v>1142</v>
      </c>
      <c r="E35" s="9">
        <v>30.57</v>
      </c>
      <c r="F35" s="8" t="s">
        <v>469</v>
      </c>
      <c r="G35" s="10">
        <v>3810</v>
      </c>
      <c r="H35" s="11">
        <f t="array" ref="H35">IF(OR(N35&gt;0,AC35&gt;0),MAX(N35,AC35),MAX(AK35,V35))</f>
        <v>46245</v>
      </c>
      <c r="I35" s="143">
        <f t="array" ref="I35">IF(SUM(O35,AD35)&gt;0,SUM(O35,AD35),SUM(AL35,W35))</f>
        <v>552.38446800000008</v>
      </c>
      <c r="J35" s="9">
        <f t="shared" si="0"/>
        <v>14.498280000000003</v>
      </c>
      <c r="K35" s="143">
        <f t="shared" si="6"/>
        <v>7.854000000000001</v>
      </c>
      <c r="L35" s="9">
        <f t="shared" si="1"/>
        <v>1.42183577833691</v>
      </c>
      <c r="M35" s="8" t="str">
        <f t="array" ref="M35">IF(L35&gt;5,"Perlu Sensus",IF(AND(L35&gt;=0,I35&gt;0),"Tetap Deteksi","Belum Deteksi"))</f>
        <v>Tetap Deteksi</v>
      </c>
      <c r="N35" s="11">
        <v>46245</v>
      </c>
      <c r="O35" s="143">
        <v>552.38446800000008</v>
      </c>
      <c r="P35" s="9">
        <f t="array" ref="P35">IFERROR(O35/$G35*100,0)</f>
        <v>14.498280000000003</v>
      </c>
      <c r="Q35" s="143">
        <v>7.854000000000001</v>
      </c>
      <c r="R35" s="9">
        <f t="shared" si="2"/>
        <v>1.42183577833691</v>
      </c>
      <c r="S35" s="8" t="str">
        <f t="array" ref="S35">IF(R35&gt;5,"Perlu Sensus",IF(AND(R35&gt;=0,O35&gt;0),"Tetap Deteksi","Belum Deteksi"))</f>
        <v>Tetap Deteksi</v>
      </c>
      <c r="T35" s="143">
        <v>5.1003679999999996</v>
      </c>
      <c r="U35" s="9">
        <f t="shared" si="7"/>
        <v>0.92333660619870994</v>
      </c>
      <c r="V35" s="11">
        <v>46245</v>
      </c>
      <c r="W35" s="143">
        <v>305.58758522221723</v>
      </c>
      <c r="X35" s="143">
        <v>7.9310000000000009</v>
      </c>
      <c r="Y35" s="9">
        <f t="shared" si="3"/>
        <v>2.5953279463996335</v>
      </c>
      <c r="Z35" s="8" t="str">
        <f t="array" ref="Z35">IF(Y35&gt;5,"Perlu Sensus",IF(AND(Y35&gt;=0,W35&gt;0),"Tetap Deteksi","Belum Deteksi"))</f>
        <v>Tetap Deteksi</v>
      </c>
      <c r="AA35" s="143">
        <v>5.189184</v>
      </c>
      <c r="AB35" s="9">
        <f t="shared" si="8"/>
        <v>1.6981003977064475</v>
      </c>
      <c r="AC35" s="11"/>
      <c r="AD35" s="143"/>
      <c r="AE35" s="9">
        <f t="array" ref="AE35">IFERROR(AD35/$G35*100,0)</f>
        <v>0</v>
      </c>
      <c r="AF35" s="143"/>
      <c r="AG35" s="9">
        <f t="shared" si="4"/>
        <v>0</v>
      </c>
      <c r="AH35" s="8" t="str">
        <f t="array" ref="AH35">IF(AG35&gt;5,"Perlu Sensus",IF(AND(AG35&gt;=0,AD35&gt;0),"Tetap Deteksi","Belum Deteksi"))</f>
        <v>Belum Deteksi</v>
      </c>
      <c r="AI35" s="143"/>
      <c r="AJ35" s="9">
        <f t="shared" si="9"/>
        <v>0</v>
      </c>
      <c r="AK35" s="11"/>
      <c r="AL35" s="143"/>
      <c r="AM35" s="143"/>
      <c r="AN35" s="9">
        <f t="shared" si="5"/>
        <v>0</v>
      </c>
      <c r="AO35" s="8" t="str">
        <f t="array" ref="AO35">IF(AN35&gt;5,"Perlu Sensus",IF(AND(AN35&gt;=0,AL35&gt;0),"Tetap Deteksi","Belum Deteksi"))</f>
        <v>Belum Deteksi</v>
      </c>
      <c r="AP35" s="143"/>
      <c r="AQ35" s="9">
        <f t="shared" si="10"/>
        <v>0</v>
      </c>
    </row>
    <row r="36" spans="1:43" outlineLevel="1" x14ac:dyDescent="0.15">
      <c r="A36" s="8" t="s">
        <v>949</v>
      </c>
      <c r="B36" s="8"/>
      <c r="C36" s="8" t="s">
        <v>47</v>
      </c>
      <c r="D36" s="186" t="s">
        <v>1170</v>
      </c>
      <c r="E36" s="9">
        <v>37.15</v>
      </c>
      <c r="F36" s="8" t="s">
        <v>469</v>
      </c>
      <c r="G36" s="10">
        <v>4611</v>
      </c>
      <c r="H36" s="11">
        <f t="array" ref="H36">IF(OR(N36&gt;0,AC36&gt;0),MAX(N36,AC36),MAX(AK36,V36))</f>
        <v>46246</v>
      </c>
      <c r="I36" s="143">
        <f t="array" ref="I36">IF(SUM(O36,AD36)&gt;0,SUM(O36,AD36),SUM(AL36,W36))</f>
        <v>501.38676809999993</v>
      </c>
      <c r="J36" s="9">
        <f t="shared" si="0"/>
        <v>10.873709999999999</v>
      </c>
      <c r="K36" s="143">
        <f t="shared" si="6"/>
        <v>9.18</v>
      </c>
      <c r="L36" s="9">
        <f t="shared" si="1"/>
        <v>1.8309218719088891</v>
      </c>
      <c r="M36" s="8" t="str">
        <f t="array" ref="M36">IF(L36&gt;5,"Perlu Sensus",IF(AND(L36&gt;=0,I36&gt;0),"Tetap Deteksi","Belum Deteksi"))</f>
        <v>Tetap Deteksi</v>
      </c>
      <c r="N36" s="11">
        <v>46246</v>
      </c>
      <c r="O36" s="143">
        <v>501.38676809999993</v>
      </c>
      <c r="P36" s="9">
        <f t="array" ref="P36">IFERROR(O36/$G36*100,0)</f>
        <v>10.873709999999999</v>
      </c>
      <c r="Q36" s="143">
        <v>9.18</v>
      </c>
      <c r="R36" s="9">
        <f t="shared" si="2"/>
        <v>1.8309218719088891</v>
      </c>
      <c r="S36" s="8" t="str">
        <f t="array" ref="S36">IF(R36&gt;5,"Perlu Sensus",IF(AND(R36&gt;=0,O36&gt;0),"Tetap Deteksi","Belum Deteksi"))</f>
        <v>Tetap Deteksi</v>
      </c>
      <c r="T36" s="143">
        <v>5.5681985620243006</v>
      </c>
      <c r="U36" s="9">
        <f t="shared" si="7"/>
        <v>1.1105595353313635</v>
      </c>
      <c r="V36" s="11">
        <v>46246</v>
      </c>
      <c r="W36" s="143">
        <v>311.69933692666166</v>
      </c>
      <c r="X36" s="143">
        <v>5.13462651682865</v>
      </c>
      <c r="Y36" s="9">
        <f t="shared" si="3"/>
        <v>1.6473010714285714</v>
      </c>
      <c r="Z36" s="8" t="str">
        <f t="array" ref="Z36">IF(Y36&gt;5,"Perlu Sensus",IF(AND(Y36&gt;=0,W36&gt;0),"Tetap Deteksi","Belum Deteksi"))</f>
        <v>Tetap Deteksi</v>
      </c>
      <c r="AA36" s="143">
        <v>12.48</v>
      </c>
      <c r="AB36" s="9">
        <f t="shared" si="8"/>
        <v>4.0038583729603383</v>
      </c>
      <c r="AC36" s="11"/>
      <c r="AD36" s="143"/>
      <c r="AE36" s="9">
        <f t="array" ref="AE36">IFERROR(AD36/$G36*100,0)</f>
        <v>0</v>
      </c>
      <c r="AF36" s="143"/>
      <c r="AG36" s="9">
        <f t="shared" si="4"/>
        <v>0</v>
      </c>
      <c r="AH36" s="8" t="str">
        <f t="array" ref="AH36">IF(AG36&gt;5,"Perlu Sensus",IF(AND(AG36&gt;=0,AD36&gt;0),"Tetap Deteksi","Belum Deteksi"))</f>
        <v>Belum Deteksi</v>
      </c>
      <c r="AI36" s="143"/>
      <c r="AJ36" s="9">
        <f t="shared" si="9"/>
        <v>0</v>
      </c>
      <c r="AK36" s="11"/>
      <c r="AL36" s="143"/>
      <c r="AM36" s="143"/>
      <c r="AN36" s="9">
        <f t="shared" si="5"/>
        <v>0</v>
      </c>
      <c r="AO36" s="8" t="str">
        <f t="array" ref="AO36">IF(AN36&gt;5,"Perlu Sensus",IF(AND(AN36&gt;=0,AL36&gt;0),"Tetap Deteksi","Belum Deteksi"))</f>
        <v>Belum Deteksi</v>
      </c>
      <c r="AP36" s="143"/>
      <c r="AQ36" s="9">
        <f t="shared" si="10"/>
        <v>0</v>
      </c>
    </row>
    <row r="37" spans="1:43" outlineLevel="1" x14ac:dyDescent="0.15">
      <c r="A37" s="8" t="s">
        <v>949</v>
      </c>
      <c r="B37" s="8"/>
      <c r="C37" s="8" t="s">
        <v>47</v>
      </c>
      <c r="D37" s="186" t="s">
        <v>1171</v>
      </c>
      <c r="E37" s="9">
        <v>32.71</v>
      </c>
      <c r="F37" s="8" t="s">
        <v>469</v>
      </c>
      <c r="G37" s="10">
        <v>3990</v>
      </c>
      <c r="H37" s="11">
        <f t="array" ref="H37">IF(OR(N37&gt;0,AC37&gt;0),MAX(N37,AC37),MAX(AK37,V37))</f>
        <v>46247</v>
      </c>
      <c r="I37" s="143">
        <f t="array" ref="I37">IF(SUM(O37,AD37)&gt;0,SUM(O37,AD37),SUM(AL37,W37))</f>
        <v>385.65424799999994</v>
      </c>
      <c r="J37" s="9">
        <f t="shared" si="0"/>
        <v>9.665519999999999</v>
      </c>
      <c r="K37" s="143">
        <f t="shared" si="6"/>
        <v>17.34</v>
      </c>
      <c r="L37" s="9">
        <f t="shared" si="1"/>
        <v>4.4962554126980612</v>
      </c>
      <c r="M37" s="8" t="str">
        <f t="array" ref="M37">IF(L37&gt;5,"Perlu Sensus",IF(AND(L37&gt;=0,I37&gt;0),"Tetap Deteksi","Belum Deteksi"))</f>
        <v>Tetap Deteksi</v>
      </c>
      <c r="N37" s="11">
        <v>46247</v>
      </c>
      <c r="O37" s="143">
        <v>385.65424799999994</v>
      </c>
      <c r="P37" s="9">
        <f t="array" ref="P37">IFERROR(O37/$G37*100,0)</f>
        <v>9.665519999999999</v>
      </c>
      <c r="Q37" s="143">
        <v>17.34</v>
      </c>
      <c r="R37" s="9">
        <f t="shared" si="2"/>
        <v>4.4962554126980612</v>
      </c>
      <c r="S37" s="8" t="str">
        <f t="array" ref="S37">IF(R37&gt;5,"Perlu Sensus",IF(AND(R37&gt;=0,O37&gt;0),"Tetap Deteksi","Belum Deteksi"))</f>
        <v>Tetap Deteksi</v>
      </c>
      <c r="T37" s="143">
        <v>9.9644433114110971</v>
      </c>
      <c r="U37" s="9">
        <f t="shared" si="7"/>
        <v>2.5837763652511612</v>
      </c>
      <c r="V37" s="11">
        <v>46247</v>
      </c>
      <c r="W37" s="143">
        <v>317.93332366519491</v>
      </c>
      <c r="X37" s="143">
        <v>15.450000000000001</v>
      </c>
      <c r="Y37" s="9">
        <f t="shared" si="3"/>
        <v>4.8595094788710744</v>
      </c>
      <c r="Z37" s="8" t="str">
        <f t="array" ref="Z37">IF(Y37&gt;5,"Perlu Sensus",IF(AND(Y37&gt;=0,W37&gt;0),"Tetap Deteksi","Belum Deteksi"))</f>
        <v>Tetap Deteksi</v>
      </c>
      <c r="AA37" s="143">
        <v>4.16</v>
      </c>
      <c r="AB37" s="9">
        <f t="shared" si="8"/>
        <v>1.3084504486798492</v>
      </c>
      <c r="AC37" s="11"/>
      <c r="AD37" s="143"/>
      <c r="AE37" s="9">
        <f t="array" ref="AE37">IFERROR(AD37/$G37*100,0)</f>
        <v>0</v>
      </c>
      <c r="AF37" s="143"/>
      <c r="AG37" s="9">
        <f t="shared" si="4"/>
        <v>0</v>
      </c>
      <c r="AH37" s="8" t="str">
        <f t="array" ref="AH37">IF(AG37&gt;5,"Perlu Sensus",IF(AND(AG37&gt;=0,AD37&gt;0),"Tetap Deteksi","Belum Deteksi"))</f>
        <v>Belum Deteksi</v>
      </c>
      <c r="AI37" s="143"/>
      <c r="AJ37" s="9">
        <f t="shared" si="9"/>
        <v>0</v>
      </c>
      <c r="AK37" s="11"/>
      <c r="AL37" s="143"/>
      <c r="AM37" s="143"/>
      <c r="AN37" s="9">
        <f t="shared" si="5"/>
        <v>0</v>
      </c>
      <c r="AO37" s="8" t="str">
        <f t="array" ref="AO37">IF(AN37&gt;5,"Perlu Sensus",IF(AND(AN37&gt;=0,AL37&gt;0),"Tetap Deteksi","Belum Deteksi"))</f>
        <v>Belum Deteksi</v>
      </c>
      <c r="AP37" s="143"/>
      <c r="AQ37" s="9">
        <f t="shared" si="10"/>
        <v>0</v>
      </c>
    </row>
    <row r="38" spans="1:43" outlineLevel="1" x14ac:dyDescent="0.15">
      <c r="A38" s="8" t="s">
        <v>949</v>
      </c>
      <c r="B38" s="8"/>
      <c r="C38" s="8" t="s">
        <v>47</v>
      </c>
      <c r="D38" s="186" t="s">
        <v>1760</v>
      </c>
      <c r="E38" s="9">
        <v>31.94</v>
      </c>
      <c r="F38" s="8" t="s">
        <v>469</v>
      </c>
      <c r="G38" s="10">
        <v>3542</v>
      </c>
      <c r="H38" s="11">
        <f t="array" ref="H38">IF(OR(N38&gt;0,AC38&gt;0),MAX(N38,AC38),MAX(AK38,V38))</f>
        <v>46248</v>
      </c>
      <c r="I38" s="143">
        <f t="array" ref="I38">IF(SUM(O38,AD38)&gt;0,SUM(O38,AD38),SUM(AL38,W38))</f>
        <v>385.14680819999995</v>
      </c>
      <c r="J38" s="9">
        <f t="shared" si="0"/>
        <v>10.873709999999999</v>
      </c>
      <c r="K38" s="143">
        <f t="shared" si="6"/>
        <v>10.098000000000001</v>
      </c>
      <c r="L38" s="9">
        <f t="shared" si="1"/>
        <v>2.62185737620245</v>
      </c>
      <c r="M38" s="8" t="str">
        <f t="array" ref="M38">IF(L38&gt;5,"Perlu Sensus",IF(AND(L38&gt;=0,I38&gt;0),"Tetap Deteksi","Belum Deteksi"))</f>
        <v>Tetap Deteksi</v>
      </c>
      <c r="N38" s="11">
        <v>46248</v>
      </c>
      <c r="O38" s="143">
        <v>385.14680819999995</v>
      </c>
      <c r="P38" s="9">
        <f t="array" ref="P38">IFERROR(O38/$G38*100,0)</f>
        <v>10.873709999999999</v>
      </c>
      <c r="Q38" s="143">
        <v>10.098000000000001</v>
      </c>
      <c r="R38" s="9">
        <f t="shared" si="2"/>
        <v>2.62185737620245</v>
      </c>
      <c r="S38" s="8" t="str">
        <f t="array" ref="S38">IF(R38&gt;5,"Perlu Sensus",IF(AND(R38&gt;=0,O38&gt;0),"Tetap Deteksi","Belum Deteksi"))</f>
        <v>Tetap Deteksi</v>
      </c>
      <c r="T38" s="143">
        <v>6.5576159999999994</v>
      </c>
      <c r="U38" s="9">
        <f t="shared" si="7"/>
        <v>1.7026276371462867</v>
      </c>
      <c r="V38" s="11">
        <v>46248</v>
      </c>
      <c r="W38" s="143">
        <v>324.29199013849876</v>
      </c>
      <c r="X38" s="143">
        <v>5.665</v>
      </c>
      <c r="Y38" s="9">
        <f t="shared" si="3"/>
        <v>1.7468824924046351</v>
      </c>
      <c r="Z38" s="8" t="str">
        <f t="array" ref="Z38">IF(Y38&gt;5,"Perlu Sensus",IF(AND(Y38&gt;=0,W38&gt;0),"Tetap Deteksi","Belum Deteksi"))</f>
        <v>Tetap Deteksi</v>
      </c>
      <c r="AA38" s="143">
        <v>3.7065600000000005</v>
      </c>
      <c r="AB38" s="9">
        <f t="shared" si="8"/>
        <v>1.1429699507585744</v>
      </c>
      <c r="AC38" s="11"/>
      <c r="AD38" s="143"/>
      <c r="AE38" s="9">
        <f t="array" ref="AE38">IFERROR(AD38/$G38*100,0)</f>
        <v>0</v>
      </c>
      <c r="AF38" s="143"/>
      <c r="AG38" s="9">
        <f t="shared" si="4"/>
        <v>0</v>
      </c>
      <c r="AH38" s="8" t="str">
        <f t="array" ref="AH38">IF(AG38&gt;5,"Perlu Sensus",IF(AND(AG38&gt;=0,AD38&gt;0),"Tetap Deteksi","Belum Deteksi"))</f>
        <v>Belum Deteksi</v>
      </c>
      <c r="AI38" s="143"/>
      <c r="AJ38" s="9">
        <f t="shared" si="9"/>
        <v>0</v>
      </c>
      <c r="AK38" s="11"/>
      <c r="AL38" s="143"/>
      <c r="AM38" s="143"/>
      <c r="AN38" s="9">
        <f t="shared" si="5"/>
        <v>0</v>
      </c>
      <c r="AO38" s="8" t="str">
        <f t="array" ref="AO38">IF(AN38&gt;5,"Perlu Sensus",IF(AND(AN38&gt;=0,AL38&gt;0),"Tetap Deteksi","Belum Deteksi"))</f>
        <v>Belum Deteksi</v>
      </c>
      <c r="AP38" s="143"/>
      <c r="AQ38" s="9">
        <f t="shared" si="10"/>
        <v>0</v>
      </c>
    </row>
    <row r="39" spans="1:43" outlineLevel="1" x14ac:dyDescent="0.15">
      <c r="A39" s="8" t="s">
        <v>949</v>
      </c>
      <c r="B39" s="8"/>
      <c r="C39" s="8" t="s">
        <v>47</v>
      </c>
      <c r="D39" s="186" t="s">
        <v>1761</v>
      </c>
      <c r="E39" s="9">
        <v>37.89</v>
      </c>
      <c r="F39" s="8" t="s">
        <v>469</v>
      </c>
      <c r="G39" s="10">
        <v>2326</v>
      </c>
      <c r="H39" s="11">
        <f t="array" ref="H39">IF(OR(N39&gt;0,AC39&gt;0),MAX(N39,AC39),MAX(AK39,V39))</f>
        <v>46249</v>
      </c>
      <c r="I39" s="143">
        <f t="array" ref="I39">IF(SUM(O39,AD39)&gt;0,SUM(O39,AD39),SUM(AL39,W39))</f>
        <v>281.02499399999999</v>
      </c>
      <c r="J39" s="9">
        <f t="shared" si="0"/>
        <v>12.081899999999999</v>
      </c>
      <c r="K39" s="143">
        <f t="shared" si="6"/>
        <v>8.16</v>
      </c>
      <c r="L39" s="9">
        <f t="shared" si="1"/>
        <v>2.9036563203342691</v>
      </c>
      <c r="M39" s="8" t="str">
        <f t="array" ref="M39">IF(L39&gt;5,"Perlu Sensus",IF(AND(L39&gt;=0,I39&gt;0),"Tetap Deteksi","Belum Deteksi"))</f>
        <v>Tetap Deteksi</v>
      </c>
      <c r="N39" s="11">
        <v>46249</v>
      </c>
      <c r="O39" s="143">
        <v>281.02499399999999</v>
      </c>
      <c r="P39" s="9">
        <f t="array" ref="P39">IFERROR(O39/$G39*100,0)</f>
        <v>12.081899999999999</v>
      </c>
      <c r="Q39" s="143">
        <v>8.16</v>
      </c>
      <c r="R39" s="9">
        <f t="shared" si="2"/>
        <v>2.9036563203342691</v>
      </c>
      <c r="S39" s="8" t="str">
        <f t="array" ref="S39">IF(R39&gt;5,"Perlu Sensus",IF(AND(R39&gt;=0,O39&gt;0),"Tetap Deteksi","Belum Deteksi"))</f>
        <v>Tetap Deteksi</v>
      </c>
      <c r="T39" s="143">
        <v>3.2091122931678711</v>
      </c>
      <c r="U39" s="9">
        <f t="shared" si="7"/>
        <v>1.14193127361756</v>
      </c>
      <c r="V39" s="11">
        <v>46249</v>
      </c>
      <c r="W39" s="143">
        <v>330.77782994126881</v>
      </c>
      <c r="X39" s="143">
        <v>7.21</v>
      </c>
      <c r="Y39" s="9">
        <f t="shared" si="3"/>
        <v>2.1797107748364422</v>
      </c>
      <c r="Z39" s="8" t="str">
        <f t="array" ref="Z39">IF(Y39&gt;5,"Perlu Sensus",IF(AND(Y39&gt;=0,W39&gt;0),"Tetap Deteksi","Belum Deteksi"))</f>
        <v>Tetap Deteksi</v>
      </c>
      <c r="AA39" s="143">
        <v>6.24</v>
      </c>
      <c r="AB39" s="9">
        <f t="shared" si="8"/>
        <v>1.8864625846018588</v>
      </c>
      <c r="AC39" s="11"/>
      <c r="AD39" s="143"/>
      <c r="AE39" s="9">
        <f t="array" ref="AE39">IFERROR(AD39/$G39*100,0)</f>
        <v>0</v>
      </c>
      <c r="AF39" s="143"/>
      <c r="AG39" s="9">
        <f t="shared" si="4"/>
        <v>0</v>
      </c>
      <c r="AH39" s="8" t="str">
        <f t="array" ref="AH39">IF(AG39&gt;5,"Perlu Sensus",IF(AND(AG39&gt;=0,AD39&gt;0),"Tetap Deteksi","Belum Deteksi"))</f>
        <v>Belum Deteksi</v>
      </c>
      <c r="AI39" s="143"/>
      <c r="AJ39" s="9">
        <f t="shared" si="9"/>
        <v>0</v>
      </c>
      <c r="AK39" s="11"/>
      <c r="AL39" s="143"/>
      <c r="AM39" s="143"/>
      <c r="AN39" s="9">
        <f t="shared" si="5"/>
        <v>0</v>
      </c>
      <c r="AO39" s="8" t="str">
        <f t="array" ref="AO39">IF(AN39&gt;5,"Perlu Sensus",IF(AND(AN39&gt;=0,AL39&gt;0),"Tetap Deteksi","Belum Deteksi"))</f>
        <v>Belum Deteksi</v>
      </c>
      <c r="AP39" s="143"/>
      <c r="AQ39" s="9">
        <f t="shared" si="10"/>
        <v>0</v>
      </c>
    </row>
    <row r="40" spans="1:43" outlineLevel="1" x14ac:dyDescent="0.15">
      <c r="A40" s="8" t="s">
        <v>949</v>
      </c>
      <c r="B40" s="8"/>
      <c r="C40" s="8" t="s">
        <v>47</v>
      </c>
      <c r="D40" s="186" t="s">
        <v>1691</v>
      </c>
      <c r="E40" s="9">
        <v>24.310000000000002</v>
      </c>
      <c r="F40" s="8" t="s">
        <v>469</v>
      </c>
      <c r="G40" s="10">
        <v>3111</v>
      </c>
      <c r="H40" s="11">
        <f t="array" ref="H40">IF(OR(N40&gt;0,AC40&gt;0),MAX(N40,AC40),MAX(AK40,V40))</f>
        <v>46235</v>
      </c>
      <c r="I40" s="143">
        <f t="array" ref="I40">IF(SUM(O40,AD40)&gt;0,SUM(O40,AD40),SUM(AL40,W40))</f>
        <v>375.867909</v>
      </c>
      <c r="J40" s="9">
        <f t="shared" si="0"/>
        <v>12.081899999999999</v>
      </c>
      <c r="K40" s="143">
        <f t="shared" si="6"/>
        <v>8.9760000000000009</v>
      </c>
      <c r="L40" s="9">
        <f t="shared" si="1"/>
        <v>2.3880729865661401</v>
      </c>
      <c r="M40" s="8" t="str">
        <f t="array" ref="M40">IF(L40&gt;5,"Perlu Sensus",IF(AND(L40&gt;=0,I40&gt;0),"Tetap Deteksi","Belum Deteksi"))</f>
        <v>Tetap Deteksi</v>
      </c>
      <c r="N40" s="11">
        <v>46235</v>
      </c>
      <c r="O40" s="143">
        <v>375.867909</v>
      </c>
      <c r="P40" s="9">
        <f t="array" ref="P40">IFERROR(O40/$G40*100,0)</f>
        <v>12.081899999999999</v>
      </c>
      <c r="Q40" s="143">
        <v>8.9760000000000009</v>
      </c>
      <c r="R40" s="9">
        <f t="shared" si="2"/>
        <v>2.3880729865661401</v>
      </c>
      <c r="S40" s="8" t="str">
        <f t="array" ref="S40">IF(R40&gt;5,"Perlu Sensus",IF(AND(R40&gt;=0,O40&gt;0),"Tetap Deteksi","Belum Deteksi"))</f>
        <v>Tetap Deteksi</v>
      </c>
      <c r="T40" s="143">
        <v>5.8289919999999995</v>
      </c>
      <c r="U40" s="9">
        <f t="shared" si="7"/>
        <v>1.550808637935621</v>
      </c>
      <c r="V40" s="11">
        <v>46235</v>
      </c>
      <c r="W40" s="143">
        <v>337.39338654009418</v>
      </c>
      <c r="X40" s="143">
        <v>7.9310000000000009</v>
      </c>
      <c r="Y40" s="9">
        <f t="shared" si="3"/>
        <v>2.3506684826667521</v>
      </c>
      <c r="Z40" s="8" t="str">
        <f t="array" ref="Z40">IF(Y40&gt;5,"Perlu Sensus",IF(AND(Y40&gt;=0,W40&gt;0),"Tetap Deteksi","Belum Deteksi"))</f>
        <v>Tetap Deteksi</v>
      </c>
      <c r="AA40" s="143">
        <v>5.189184</v>
      </c>
      <c r="AB40" s="9">
        <f t="shared" si="8"/>
        <v>1.5380218483871624</v>
      </c>
      <c r="AC40" s="11"/>
      <c r="AD40" s="143"/>
      <c r="AE40" s="9">
        <f t="array" ref="AE40">IFERROR(AD40/$G40*100,0)</f>
        <v>0</v>
      </c>
      <c r="AF40" s="143"/>
      <c r="AG40" s="9">
        <f t="shared" si="4"/>
        <v>0</v>
      </c>
      <c r="AH40" s="8" t="str">
        <f t="array" ref="AH40">IF(AG40&gt;5,"Perlu Sensus",IF(AND(AG40&gt;=0,AD40&gt;0),"Tetap Deteksi","Belum Deteksi"))</f>
        <v>Belum Deteksi</v>
      </c>
      <c r="AI40" s="143"/>
      <c r="AJ40" s="9">
        <f t="shared" si="9"/>
        <v>0</v>
      </c>
      <c r="AK40" s="11"/>
      <c r="AL40" s="143"/>
      <c r="AM40" s="143"/>
      <c r="AN40" s="9">
        <f t="shared" si="5"/>
        <v>0</v>
      </c>
      <c r="AO40" s="8" t="str">
        <f t="array" ref="AO40">IF(AN40&gt;5,"Perlu Sensus",IF(AND(AN40&gt;=0,AL40&gt;0),"Tetap Deteksi","Belum Deteksi"))</f>
        <v>Belum Deteksi</v>
      </c>
      <c r="AP40" s="143"/>
      <c r="AQ40" s="9">
        <f t="shared" si="10"/>
        <v>0</v>
      </c>
    </row>
    <row r="41" spans="1:43" outlineLevel="1" x14ac:dyDescent="0.15">
      <c r="A41" s="8" t="s">
        <v>949</v>
      </c>
      <c r="B41" s="8"/>
      <c r="C41" s="8" t="s">
        <v>47</v>
      </c>
      <c r="D41" s="186" t="s">
        <v>1692</v>
      </c>
      <c r="E41" s="9">
        <v>22.23</v>
      </c>
      <c r="F41" s="8" t="s">
        <v>469</v>
      </c>
      <c r="G41" s="10">
        <v>1622.0000000000002</v>
      </c>
      <c r="H41" s="11">
        <f t="array" ref="H41">IF(OR(N41&gt;0,AC41&gt;0),MAX(N41,AC41),MAX(AK41,V41))</f>
        <v>46236</v>
      </c>
      <c r="I41" s="143">
        <f t="array" ref="I41">IF(SUM(O41,AD41)&gt;0,SUM(O41,AD41),SUM(AL41,W41))</f>
        <v>235.16210160000003</v>
      </c>
      <c r="J41" s="9">
        <f t="shared" si="0"/>
        <v>14.498279999999999</v>
      </c>
      <c r="K41" s="143">
        <f t="shared" si="6"/>
        <v>7.854000000000001</v>
      </c>
      <c r="L41" s="9">
        <f t="shared" si="1"/>
        <v>3.3398238689664779</v>
      </c>
      <c r="M41" s="8" t="str">
        <f t="array" ref="M41">IF(L41&gt;5,"Perlu Sensus",IF(AND(L41&gt;=0,I41&gt;0),"Tetap Deteksi","Belum Deteksi"))</f>
        <v>Tetap Deteksi</v>
      </c>
      <c r="N41" s="11">
        <v>46236</v>
      </c>
      <c r="O41" s="143">
        <v>235.16210160000003</v>
      </c>
      <c r="P41" s="9">
        <f t="array" ref="P41">IFERROR(O41/$G41*100,0)</f>
        <v>14.498279999999999</v>
      </c>
      <c r="Q41" s="143">
        <v>7.854000000000001</v>
      </c>
      <c r="R41" s="9">
        <f t="shared" si="2"/>
        <v>3.3398238689664779</v>
      </c>
      <c r="S41" s="8" t="str">
        <f t="array" ref="S41">IF(R41&gt;5,"Perlu Sensus",IF(AND(R41&gt;=0,O41&gt;0),"Tetap Deteksi","Belum Deteksi"))</f>
        <v>Tetap Deteksi</v>
      </c>
      <c r="T41" s="143">
        <v>5.1003679999999996</v>
      </c>
      <c r="U41" s="9">
        <f t="shared" si="7"/>
        <v>2.1688732858305086</v>
      </c>
      <c r="V41" s="11">
        <v>46236</v>
      </c>
      <c r="W41" s="143">
        <v>344.14125427089607</v>
      </c>
      <c r="X41" s="143">
        <v>12.463000000000001</v>
      </c>
      <c r="Y41" s="9">
        <f t="shared" si="3"/>
        <v>3.6214780545286089</v>
      </c>
      <c r="Z41" s="8" t="str">
        <f t="array" ref="Z41">IF(Y41&gt;5,"Perlu Sensus",IF(AND(Y41&gt;=0,W41&gt;0),"Tetap Deteksi","Belum Deteksi"))</f>
        <v>Tetap Deteksi</v>
      </c>
      <c r="AA41" s="143">
        <v>8.1544320000000017</v>
      </c>
      <c r="AB41" s="9">
        <f t="shared" si="8"/>
        <v>2.3695014470950686</v>
      </c>
      <c r="AC41" s="11"/>
      <c r="AD41" s="143"/>
      <c r="AE41" s="9">
        <f t="array" ref="AE41">IFERROR(AD41/$G41*100,0)</f>
        <v>0</v>
      </c>
      <c r="AF41" s="143"/>
      <c r="AG41" s="9">
        <f t="shared" si="4"/>
        <v>0</v>
      </c>
      <c r="AH41" s="8" t="str">
        <f t="array" ref="AH41">IF(AG41&gt;5,"Perlu Sensus",IF(AND(AG41&gt;=0,AD41&gt;0),"Tetap Deteksi","Belum Deteksi"))</f>
        <v>Belum Deteksi</v>
      </c>
      <c r="AI41" s="143"/>
      <c r="AJ41" s="9">
        <f t="shared" si="9"/>
        <v>0</v>
      </c>
      <c r="AK41" s="11"/>
      <c r="AL41" s="143"/>
      <c r="AM41" s="143"/>
      <c r="AN41" s="9">
        <f t="shared" si="5"/>
        <v>0</v>
      </c>
      <c r="AO41" s="8" t="str">
        <f t="array" ref="AO41">IF(AN41&gt;5,"Perlu Sensus",IF(AND(AN41&gt;=0,AL41&gt;0),"Tetap Deteksi","Belum Deteksi"))</f>
        <v>Belum Deteksi</v>
      </c>
      <c r="AP41" s="143"/>
      <c r="AQ41" s="9">
        <f t="shared" si="10"/>
        <v>0</v>
      </c>
    </row>
    <row r="42" spans="1:43" outlineLevel="1" x14ac:dyDescent="0.15">
      <c r="A42" s="8" t="s">
        <v>949</v>
      </c>
      <c r="B42" s="8"/>
      <c r="C42" s="8" t="s">
        <v>79</v>
      </c>
      <c r="D42" s="186" t="s">
        <v>1114</v>
      </c>
      <c r="E42" s="9">
        <v>34.72</v>
      </c>
      <c r="F42" s="8" t="s">
        <v>469</v>
      </c>
      <c r="G42" s="10">
        <v>3936</v>
      </c>
      <c r="H42" s="11">
        <f t="array" ref="H42">IF(OR(N42&gt;0,AC42&gt;0),MAX(N42,AC42),MAX(AK42,V42))</f>
        <v>46235</v>
      </c>
      <c r="I42" s="143">
        <f t="array" ref="I42">IF(SUM(O42,AD42)&gt;0,SUM(O42,AD42),SUM(AL42,W42))</f>
        <v>523.09794239999997</v>
      </c>
      <c r="J42" s="9">
        <f t="shared" si="0"/>
        <v>13.290089999999999</v>
      </c>
      <c r="K42" s="143">
        <f t="shared" si="6"/>
        <v>21.405792245490897</v>
      </c>
      <c r="L42" s="9">
        <f t="shared" si="1"/>
        <v>4.0921193739130448</v>
      </c>
      <c r="M42" s="8" t="str">
        <f t="array" ref="M42">IF(L42&gt;5,"Perlu Sensus",IF(AND(L42&gt;=0,I42&gt;0),"Tetap Deteksi","Belum Deteksi"))</f>
        <v>Tetap Deteksi</v>
      </c>
      <c r="N42" s="11">
        <v>46235</v>
      </c>
      <c r="O42" s="143">
        <v>523.09794239999997</v>
      </c>
      <c r="P42" s="9">
        <f t="array" ref="P42">IFERROR(O42/$G42*100,0)</f>
        <v>13.290089999999999</v>
      </c>
      <c r="Q42" s="143">
        <v>21.405792245490897</v>
      </c>
      <c r="R42" s="9">
        <f t="shared" si="2"/>
        <v>4.0921193739130448</v>
      </c>
      <c r="S42" s="8" t="str">
        <f t="array" ref="S42">IF(R42&gt;5,"Perlu Sensus",IF(AND(R42&gt;=0,O42&gt;0),"Tetap Deteksi","Belum Deteksi"))</f>
        <v>Tetap Deteksi</v>
      </c>
      <c r="T42" s="143">
        <v>13.900868065132403</v>
      </c>
      <c r="U42" s="9">
        <f t="shared" si="7"/>
        <v>2.6574121093565219</v>
      </c>
      <c r="V42" s="11">
        <v>46235</v>
      </c>
      <c r="W42" s="143">
        <v>250.68825600000002</v>
      </c>
      <c r="X42" s="143">
        <v>8.2505948391499775</v>
      </c>
      <c r="Y42" s="9">
        <f t="shared" si="3"/>
        <v>3.2911772457142852</v>
      </c>
      <c r="Z42" s="8" t="str">
        <f t="array" ref="Z42">IF(Y42&gt;5,"Perlu Sensus",IF(AND(Y42&gt;=0,W42&gt;0),"Tetap Deteksi","Belum Deteksi"))</f>
        <v>Tetap Deteksi</v>
      </c>
      <c r="AA42" s="143">
        <v>5.3982921106795656</v>
      </c>
      <c r="AB42" s="9">
        <f t="shared" si="8"/>
        <v>2.1533885140114286</v>
      </c>
      <c r="AC42" s="11"/>
      <c r="AD42" s="143"/>
      <c r="AE42" s="9">
        <f t="array" ref="AE42">IFERROR(AD42/$G42*100,0)</f>
        <v>0</v>
      </c>
      <c r="AF42" s="143"/>
      <c r="AG42" s="9">
        <f t="shared" si="4"/>
        <v>0</v>
      </c>
      <c r="AH42" s="8" t="str">
        <f t="array" ref="AH42">IF(AG42&gt;5,"Perlu Sensus",IF(AND(AG42&gt;=0,AD42&gt;0),"Tetap Deteksi","Belum Deteksi"))</f>
        <v>Belum Deteksi</v>
      </c>
      <c r="AI42" s="143"/>
      <c r="AJ42" s="9">
        <f t="shared" si="9"/>
        <v>0</v>
      </c>
      <c r="AK42" s="11"/>
      <c r="AL42" s="143"/>
      <c r="AM42" s="143"/>
      <c r="AN42" s="9">
        <f t="shared" si="5"/>
        <v>0</v>
      </c>
      <c r="AO42" s="8" t="str">
        <f t="array" ref="AO42">IF(AN42&gt;5,"Perlu Sensus",IF(AND(AN42&gt;=0,AL42&gt;0),"Tetap Deteksi","Belum Deteksi"))</f>
        <v>Belum Deteksi</v>
      </c>
      <c r="AP42" s="143"/>
      <c r="AQ42" s="9">
        <f t="shared" si="10"/>
        <v>0</v>
      </c>
    </row>
    <row r="43" spans="1:43" outlineLevel="1" x14ac:dyDescent="0.15">
      <c r="A43" s="8" t="s">
        <v>949</v>
      </c>
      <c r="B43" s="8"/>
      <c r="C43" s="8" t="s">
        <v>79</v>
      </c>
      <c r="D43" s="186" t="s">
        <v>1115</v>
      </c>
      <c r="E43" s="9">
        <v>31.47</v>
      </c>
      <c r="F43" s="8" t="s">
        <v>469</v>
      </c>
      <c r="G43" s="10">
        <v>3437</v>
      </c>
      <c r="H43" s="11">
        <f t="array" ref="H43">IF(OR(N43&gt;0,AC43&gt;0),MAX(N43,AC43),MAX(AK43,V43))</f>
        <v>46236</v>
      </c>
      <c r="I43" s="143">
        <f t="array" ref="I43">IF(SUM(O43,AD43)&gt;0,SUM(O43,AD43),SUM(AL43,W43))</f>
        <v>498.30588359999996</v>
      </c>
      <c r="J43" s="9">
        <f t="shared" si="0"/>
        <v>14.498279999999999</v>
      </c>
      <c r="K43" s="143">
        <f t="shared" si="6"/>
        <v>12.703621239916995</v>
      </c>
      <c r="L43" s="9">
        <f t="shared" si="1"/>
        <v>2.5493620802026178</v>
      </c>
      <c r="M43" s="8" t="str">
        <f t="array" ref="M43">IF(L43&gt;5,"Perlu Sensus",IF(AND(L43&gt;=0,I43&gt;0),"Tetap Deteksi","Belum Deteksi"))</f>
        <v>Tetap Deteksi</v>
      </c>
      <c r="N43" s="11">
        <v>46236</v>
      </c>
      <c r="O43" s="143">
        <v>498.30588359999996</v>
      </c>
      <c r="P43" s="9">
        <f t="array" ref="P43">IFERROR(O43/$G43*100,0)</f>
        <v>14.498279999999999</v>
      </c>
      <c r="Q43" s="143">
        <v>12.703621239916995</v>
      </c>
      <c r="R43" s="9">
        <f t="shared" si="2"/>
        <v>2.5493620802026178</v>
      </c>
      <c r="S43" s="8" t="str">
        <f t="array" ref="S43">IF(R43&gt;5,"Perlu Sensus",IF(AND(R43&gt;=0,O43&gt;0),"Tetap Deteksi","Belum Deteksi"))</f>
        <v>Tetap Deteksi</v>
      </c>
      <c r="T43" s="143">
        <v>8.2496999307604977</v>
      </c>
      <c r="U43" s="9">
        <f t="shared" si="7"/>
        <v>1.6555493728391726</v>
      </c>
      <c r="V43" s="11">
        <v>46236</v>
      </c>
      <c r="W43" s="143">
        <v>255.70202112000004</v>
      </c>
      <c r="X43" s="143">
        <v>7.4715067946721945</v>
      </c>
      <c r="Y43" s="9">
        <f t="shared" si="3"/>
        <v>2.9219584428571426</v>
      </c>
      <c r="Z43" s="8" t="str">
        <f t="array" ref="Z43">IF(Y43&gt;5,"Perlu Sensus",IF(AND(Y43&gt;=0,W43&gt;0),"Tetap Deteksi","Belum Deteksi"))</f>
        <v>Tetap Deteksi</v>
      </c>
      <c r="AA43" s="143">
        <v>3.12</v>
      </c>
      <c r="AB43" s="9">
        <f t="shared" si="8"/>
        <v>1.2201702537719854</v>
      </c>
      <c r="AC43" s="11"/>
      <c r="AD43" s="143"/>
      <c r="AE43" s="9">
        <f t="array" ref="AE43">IFERROR(AD43/$G43*100,0)</f>
        <v>0</v>
      </c>
      <c r="AF43" s="143"/>
      <c r="AG43" s="9">
        <f t="shared" si="4"/>
        <v>0</v>
      </c>
      <c r="AH43" s="8" t="str">
        <f t="array" ref="AH43">IF(AG43&gt;5,"Perlu Sensus",IF(AND(AG43&gt;=0,AD43&gt;0),"Tetap Deteksi","Belum Deteksi"))</f>
        <v>Belum Deteksi</v>
      </c>
      <c r="AI43" s="143"/>
      <c r="AJ43" s="9">
        <f t="shared" si="9"/>
        <v>0</v>
      </c>
      <c r="AK43" s="11"/>
      <c r="AL43" s="143"/>
      <c r="AM43" s="143"/>
      <c r="AN43" s="9">
        <f t="shared" si="5"/>
        <v>0</v>
      </c>
      <c r="AO43" s="8" t="str">
        <f t="array" ref="AO43">IF(AN43&gt;5,"Perlu Sensus",IF(AND(AN43&gt;=0,AL43&gt;0),"Tetap Deteksi","Belum Deteksi"))</f>
        <v>Belum Deteksi</v>
      </c>
      <c r="AP43" s="143"/>
      <c r="AQ43" s="9">
        <f t="shared" si="10"/>
        <v>0</v>
      </c>
    </row>
    <row r="44" spans="1:43" outlineLevel="1" x14ac:dyDescent="0.15">
      <c r="A44" s="8" t="s">
        <v>949</v>
      </c>
      <c r="B44" s="8"/>
      <c r="C44" s="8" t="s">
        <v>79</v>
      </c>
      <c r="D44" s="186" t="s">
        <v>1116</v>
      </c>
      <c r="E44" s="9">
        <v>28.439999999999998</v>
      </c>
      <c r="F44" s="8" t="s">
        <v>469</v>
      </c>
      <c r="G44" s="10">
        <v>2565</v>
      </c>
      <c r="H44" s="11">
        <f t="array" ref="H44">IF(OR(N44&gt;0,AC44&gt;0),MAX(N44,AC44),MAX(AK44,V44))</f>
        <v>46237</v>
      </c>
      <c r="I44" s="143">
        <f t="array" ref="I44">IF(SUM(O44,AD44)&gt;0,SUM(O44,AD44),SUM(AL44,W44))</f>
        <v>278.91066149999995</v>
      </c>
      <c r="J44" s="9">
        <f t="shared" si="0"/>
        <v>10.873709999999997</v>
      </c>
      <c r="K44" s="143">
        <f t="shared" si="6"/>
        <v>4.34748621019284</v>
      </c>
      <c r="L44" s="9">
        <f t="shared" si="1"/>
        <v>1.5587379079780501</v>
      </c>
      <c r="M44" s="8" t="str">
        <f t="array" ref="M44">IF(L44&gt;5,"Perlu Sensus",IF(AND(L44&gt;=0,I44&gt;0),"Tetap Deteksi","Belum Deteksi"))</f>
        <v>Tetap Deteksi</v>
      </c>
      <c r="N44" s="11">
        <v>46237</v>
      </c>
      <c r="O44" s="143">
        <v>278.91066149999995</v>
      </c>
      <c r="P44" s="9">
        <f t="array" ref="P44">IFERROR(O44/$G44*100,0)</f>
        <v>10.873709999999997</v>
      </c>
      <c r="Q44" s="143">
        <v>4.34748621019284</v>
      </c>
      <c r="R44" s="9">
        <f t="shared" si="2"/>
        <v>1.5587379079780501</v>
      </c>
      <c r="S44" s="8" t="str">
        <f t="array" ref="S44">IF(R44&gt;5,"Perlu Sensus",IF(AND(R44&gt;=0,O44&gt;0),"Tetap Deteksi","Belum Deteksi"))</f>
        <v>Tetap Deteksi</v>
      </c>
      <c r="T44" s="143">
        <v>2.8232466955575286</v>
      </c>
      <c r="U44" s="9">
        <f t="shared" si="7"/>
        <v>1.0122405075424228</v>
      </c>
      <c r="V44" s="11">
        <v>46237</v>
      </c>
      <c r="W44" s="143">
        <v>260.81606154240006</v>
      </c>
      <c r="X44" s="143">
        <v>3.7551246756227048</v>
      </c>
      <c r="Y44" s="9">
        <f t="shared" si="3"/>
        <v>1.4397597499999999</v>
      </c>
      <c r="Z44" s="8" t="str">
        <f t="array" ref="Z44">IF(Y44&gt;5,"Perlu Sensus",IF(AND(Y44&gt;=0,W44&gt;0),"Tetap Deteksi","Belum Deteksi"))</f>
        <v>Tetap Deteksi</v>
      </c>
      <c r="AA44" s="143">
        <v>2.4569452634909252</v>
      </c>
      <c r="AB44" s="9">
        <f t="shared" si="8"/>
        <v>0.9420222239999998</v>
      </c>
      <c r="AC44" s="11"/>
      <c r="AD44" s="143"/>
      <c r="AE44" s="9">
        <f t="array" ref="AE44">IFERROR(AD44/$G44*100,0)</f>
        <v>0</v>
      </c>
      <c r="AF44" s="143"/>
      <c r="AG44" s="9">
        <f t="shared" si="4"/>
        <v>0</v>
      </c>
      <c r="AH44" s="8" t="str">
        <f t="array" ref="AH44">IF(AG44&gt;5,"Perlu Sensus",IF(AND(AG44&gt;=0,AD44&gt;0),"Tetap Deteksi","Belum Deteksi"))</f>
        <v>Belum Deteksi</v>
      </c>
      <c r="AI44" s="143"/>
      <c r="AJ44" s="9">
        <f t="shared" si="9"/>
        <v>0</v>
      </c>
      <c r="AK44" s="11"/>
      <c r="AL44" s="143"/>
      <c r="AM44" s="143"/>
      <c r="AN44" s="9">
        <f t="shared" si="5"/>
        <v>0</v>
      </c>
      <c r="AO44" s="8" t="str">
        <f t="array" ref="AO44">IF(AN44&gt;5,"Perlu Sensus",IF(AND(AN44&gt;=0,AL44&gt;0),"Tetap Deteksi","Belum Deteksi"))</f>
        <v>Belum Deteksi</v>
      </c>
      <c r="AP44" s="143"/>
      <c r="AQ44" s="9">
        <f t="shared" si="10"/>
        <v>0</v>
      </c>
    </row>
    <row r="45" spans="1:43" outlineLevel="1" x14ac:dyDescent="0.15">
      <c r="A45" s="8" t="s">
        <v>949</v>
      </c>
      <c r="B45" s="8"/>
      <c r="C45" s="8" t="s">
        <v>79</v>
      </c>
      <c r="D45" s="186" t="s">
        <v>1762</v>
      </c>
      <c r="E45" s="9">
        <v>24.84</v>
      </c>
      <c r="F45" s="8" t="s">
        <v>469</v>
      </c>
      <c r="G45" s="10">
        <v>2665</v>
      </c>
      <c r="H45" s="11">
        <f t="array" ref="H45">IF(OR(N45&gt;0,AC45&gt;0),MAX(N45,AC45),MAX(AK45,V45))</f>
        <v>46238</v>
      </c>
      <c r="I45" s="143">
        <f t="array" ref="I45">IF(SUM(O45,AD45)&gt;0,SUM(O45,AD45),SUM(AL45,W45))</f>
        <v>257.58610800000002</v>
      </c>
      <c r="J45" s="9">
        <f t="shared" si="0"/>
        <v>9.6655200000000008</v>
      </c>
      <c r="K45" s="143">
        <f t="shared" si="6"/>
        <v>2.6559886657075205</v>
      </c>
      <c r="L45" s="9">
        <f t="shared" si="1"/>
        <v>1.0311071067961166</v>
      </c>
      <c r="M45" s="8" t="str">
        <f t="array" ref="M45">IF(L45&gt;5,"Perlu Sensus",IF(AND(L45&gt;=0,I45&gt;0),"Tetap Deteksi","Belum Deteksi"))</f>
        <v>Tetap Deteksi</v>
      </c>
      <c r="N45" s="11">
        <v>46238</v>
      </c>
      <c r="O45" s="143">
        <v>257.58610800000002</v>
      </c>
      <c r="P45" s="9">
        <f t="array" ref="P45">IFERROR(O45/$G45*100,0)</f>
        <v>9.6655200000000008</v>
      </c>
      <c r="Q45" s="143">
        <v>2.6559886657075205</v>
      </c>
      <c r="R45" s="9">
        <f t="shared" si="2"/>
        <v>1.0311071067961166</v>
      </c>
      <c r="S45" s="8" t="str">
        <f t="array" ref="S45">IF(R45&gt;5,"Perlu Sensus",IF(AND(R45&gt;=0,O45&gt;0),"Tetap Deteksi","Belum Deteksi"))</f>
        <v>Tetap Deteksi</v>
      </c>
      <c r="T45" s="143">
        <v>1.7247924113747559</v>
      </c>
      <c r="U45" s="9">
        <f t="shared" si="7"/>
        <v>0.66959838198058252</v>
      </c>
      <c r="V45" s="11">
        <v>46238</v>
      </c>
      <c r="W45" s="143">
        <v>266.03238277324806</v>
      </c>
      <c r="X45" s="143">
        <v>2.6135667742334037</v>
      </c>
      <c r="Y45" s="9">
        <f t="shared" si="3"/>
        <v>0.98242430000000036</v>
      </c>
      <c r="Z45" s="8" t="str">
        <f t="array" ref="Z45">IF(Y45&gt;5,"Perlu Sensus",IF(AND(Y45&gt;=0,W45&gt;0),"Tetap Deteksi","Belum Deteksi"))</f>
        <v>Tetap Deteksi</v>
      </c>
      <c r="AA45" s="143">
        <v>5.2</v>
      </c>
      <c r="AB45" s="9">
        <f t="shared" si="8"/>
        <v>1.9546492595347706</v>
      </c>
      <c r="AC45" s="11"/>
      <c r="AD45" s="143"/>
      <c r="AE45" s="9">
        <f t="array" ref="AE45">IFERROR(AD45/$G45*100,0)</f>
        <v>0</v>
      </c>
      <c r="AF45" s="143"/>
      <c r="AG45" s="9">
        <f t="shared" si="4"/>
        <v>0</v>
      </c>
      <c r="AH45" s="8" t="str">
        <f t="array" ref="AH45">IF(AG45&gt;5,"Perlu Sensus",IF(AND(AG45&gt;=0,AD45&gt;0),"Tetap Deteksi","Belum Deteksi"))</f>
        <v>Belum Deteksi</v>
      </c>
      <c r="AI45" s="143"/>
      <c r="AJ45" s="9">
        <f t="shared" si="9"/>
        <v>0</v>
      </c>
      <c r="AK45" s="11"/>
      <c r="AL45" s="143"/>
      <c r="AM45" s="143"/>
      <c r="AN45" s="9">
        <f t="shared" si="5"/>
        <v>0</v>
      </c>
      <c r="AO45" s="8" t="str">
        <f t="array" ref="AO45">IF(AN45&gt;5,"Perlu Sensus",IF(AND(AN45&gt;=0,AL45&gt;0),"Tetap Deteksi","Belum Deteksi"))</f>
        <v>Belum Deteksi</v>
      </c>
      <c r="AP45" s="143"/>
      <c r="AQ45" s="9">
        <f t="shared" si="10"/>
        <v>0</v>
      </c>
    </row>
    <row r="46" spans="1:43" outlineLevel="1" x14ac:dyDescent="0.15">
      <c r="A46" s="8" t="s">
        <v>949</v>
      </c>
      <c r="B46" s="8"/>
      <c r="C46" s="8" t="s">
        <v>79</v>
      </c>
      <c r="D46" s="186" t="s">
        <v>1763</v>
      </c>
      <c r="E46" s="9">
        <v>33.429999999999268</v>
      </c>
      <c r="F46" s="8" t="s">
        <v>469</v>
      </c>
      <c r="G46" s="10">
        <v>3349</v>
      </c>
      <c r="H46" s="11">
        <f t="array" ref="H46">IF(OR(N46&gt;0,AC46&gt;0),MAX(N46,AC46),MAX(AK46,V46))</f>
        <v>46239</v>
      </c>
      <c r="I46" s="143">
        <f t="array" ref="I46">IF(SUM(O46,AD46)&gt;0,SUM(O46,AD46),SUM(AL46,W46))</f>
        <v>404.62283099999996</v>
      </c>
      <c r="J46" s="9">
        <f t="shared" si="0"/>
        <v>12.081899999999997</v>
      </c>
      <c r="K46" s="143">
        <f t="shared" si="6"/>
        <v>16.830000000000002</v>
      </c>
      <c r="L46" s="9">
        <f t="shared" si="1"/>
        <v>4.1594291549010505</v>
      </c>
      <c r="M46" s="8" t="str">
        <f t="array" ref="M46">IF(L46&gt;5,"Perlu Sensus",IF(AND(L46&gt;=0,I46&gt;0),"Tetap Deteksi","Belum Deteksi"))</f>
        <v>Tetap Deteksi</v>
      </c>
      <c r="N46" s="11">
        <v>46239</v>
      </c>
      <c r="O46" s="143">
        <v>404.62283099999996</v>
      </c>
      <c r="P46" s="9">
        <f t="array" ref="P46">IFERROR(O46/$G46*100,0)</f>
        <v>12.081899999999997</v>
      </c>
      <c r="Q46" s="143">
        <v>16.830000000000002</v>
      </c>
      <c r="R46" s="9">
        <f t="shared" si="2"/>
        <v>4.1594291549010505</v>
      </c>
      <c r="S46" s="8" t="str">
        <f t="array" ref="S46">IF(R46&gt;5,"Perlu Sensus",IF(AND(R46&gt;=0,O46&gt;0),"Tetap Deteksi","Belum Deteksi"))</f>
        <v>Tetap Deteksi</v>
      </c>
      <c r="T46" s="143">
        <v>10.929360000000001</v>
      </c>
      <c r="U46" s="9">
        <f t="shared" si="7"/>
        <v>2.7011229131556349</v>
      </c>
      <c r="V46" s="11">
        <v>46239</v>
      </c>
      <c r="W46" s="143">
        <v>271.353030428713</v>
      </c>
      <c r="X46" s="143">
        <v>7.9310000000000009</v>
      </c>
      <c r="Y46" s="9">
        <f t="shared" si="3"/>
        <v>2.9227607989008804</v>
      </c>
      <c r="Z46" s="8" t="str">
        <f t="array" ref="Z46">IF(Y46&gt;5,"Perlu Sensus",IF(AND(Y46&gt;=0,W46&gt;0),"Tetap Deteksi","Belum Deteksi"))</f>
        <v>Tetap Deteksi</v>
      </c>
      <c r="AA46" s="143">
        <v>5.189184</v>
      </c>
      <c r="AB46" s="9">
        <f t="shared" si="8"/>
        <v>1.9123368520342534</v>
      </c>
      <c r="AC46" s="11"/>
      <c r="AD46" s="143"/>
      <c r="AE46" s="9">
        <f t="array" ref="AE46">IFERROR(AD46/$G46*100,0)</f>
        <v>0</v>
      </c>
      <c r="AF46" s="143"/>
      <c r="AG46" s="9">
        <f t="shared" si="4"/>
        <v>0</v>
      </c>
      <c r="AH46" s="8" t="str">
        <f t="array" ref="AH46">IF(AG46&gt;5,"Perlu Sensus",IF(AND(AG46&gt;=0,AD46&gt;0),"Tetap Deteksi","Belum Deteksi"))</f>
        <v>Belum Deteksi</v>
      </c>
      <c r="AI46" s="143"/>
      <c r="AJ46" s="9">
        <f t="shared" si="9"/>
        <v>0</v>
      </c>
      <c r="AK46" s="11"/>
      <c r="AL46" s="143"/>
      <c r="AM46" s="143"/>
      <c r="AN46" s="9">
        <f t="shared" si="5"/>
        <v>0</v>
      </c>
      <c r="AO46" s="8" t="str">
        <f t="array" ref="AO46">IF(AN46&gt;5,"Perlu Sensus",IF(AND(AN46&gt;=0,AL46&gt;0),"Tetap Deteksi","Belum Deteksi"))</f>
        <v>Belum Deteksi</v>
      </c>
      <c r="AP46" s="143"/>
      <c r="AQ46" s="9">
        <f t="shared" si="10"/>
        <v>0</v>
      </c>
    </row>
    <row r="47" spans="1:43" outlineLevel="1" x14ac:dyDescent="0.15">
      <c r="A47" s="8" t="s">
        <v>949</v>
      </c>
      <c r="B47" s="8"/>
      <c r="C47" s="8" t="s">
        <v>79</v>
      </c>
      <c r="D47" s="186" t="s">
        <v>1199</v>
      </c>
      <c r="E47" s="9">
        <v>37.19</v>
      </c>
      <c r="F47" s="8" t="s">
        <v>469</v>
      </c>
      <c r="G47" s="10">
        <v>4412</v>
      </c>
      <c r="H47" s="11">
        <f t="array" ref="H47">IF(OR(N47&gt;0,AC47&gt;0),MAX(N47,AC47),MAX(AK47,V47))</f>
        <v>46240</v>
      </c>
      <c r="I47" s="143">
        <f t="array" ref="I47">IF(SUM(O47,AD47)&gt;0,SUM(O47,AD47),SUM(AL47,W47))</f>
        <v>479.74808519999993</v>
      </c>
      <c r="J47" s="9">
        <f t="shared" si="0"/>
        <v>10.873709999999999</v>
      </c>
      <c r="K47" s="143">
        <f t="shared" si="6"/>
        <v>17.952000000000002</v>
      </c>
      <c r="L47" s="9">
        <f t="shared" si="1"/>
        <v>3.7419638668315014</v>
      </c>
      <c r="M47" s="8" t="str">
        <f t="array" ref="M47">IF(L47&gt;5,"Perlu Sensus",IF(AND(L47&gt;=0,I47&gt;0),"Tetap Deteksi","Belum Deteksi"))</f>
        <v>Tetap Deteksi</v>
      </c>
      <c r="N47" s="11">
        <v>46240</v>
      </c>
      <c r="O47" s="143">
        <v>479.74808519999993</v>
      </c>
      <c r="P47" s="9">
        <f t="array" ref="P47">IFERROR(O47/$G47*100,0)</f>
        <v>10.873709999999999</v>
      </c>
      <c r="Q47" s="143">
        <v>17.952000000000002</v>
      </c>
      <c r="R47" s="9">
        <f t="shared" si="2"/>
        <v>3.7419638668315014</v>
      </c>
      <c r="S47" s="8" t="str">
        <f t="array" ref="S47">IF(R47&gt;5,"Perlu Sensus",IF(AND(R47&gt;=0,O47&gt;0),"Tetap Deteksi","Belum Deteksi"))</f>
        <v>Tetap Deteksi</v>
      </c>
      <c r="T47" s="143">
        <v>11.657983999999999</v>
      </c>
      <c r="U47" s="9">
        <f t="shared" si="7"/>
        <v>2.4300219968861279</v>
      </c>
      <c r="V47" s="11">
        <v>46240</v>
      </c>
      <c r="W47" s="143">
        <v>276.78009103728726</v>
      </c>
      <c r="X47" s="143">
        <v>12.463000000000001</v>
      </c>
      <c r="Y47" s="9">
        <f t="shared" si="3"/>
        <v>4.5028527714159221</v>
      </c>
      <c r="Z47" s="8" t="str">
        <f t="array" ref="Z47">IF(Y47&gt;5,"Perlu Sensus",IF(AND(Y47&gt;=0,W47&gt;0),"Tetap Deteksi","Belum Deteksi"))</f>
        <v>Tetap Deteksi</v>
      </c>
      <c r="AA47" s="143">
        <v>8.1544320000000017</v>
      </c>
      <c r="AB47" s="9">
        <f t="shared" si="8"/>
        <v>2.9461772230219596</v>
      </c>
      <c r="AC47" s="11"/>
      <c r="AD47" s="143"/>
      <c r="AE47" s="9">
        <f t="array" ref="AE47">IFERROR(AD47/$G47*100,0)</f>
        <v>0</v>
      </c>
      <c r="AF47" s="143"/>
      <c r="AG47" s="9">
        <f t="shared" si="4"/>
        <v>0</v>
      </c>
      <c r="AH47" s="8" t="str">
        <f t="array" ref="AH47">IF(AG47&gt;5,"Perlu Sensus",IF(AND(AG47&gt;=0,AD47&gt;0),"Tetap Deteksi","Belum Deteksi"))</f>
        <v>Belum Deteksi</v>
      </c>
      <c r="AI47" s="143"/>
      <c r="AJ47" s="9">
        <f t="shared" si="9"/>
        <v>0</v>
      </c>
      <c r="AK47" s="11"/>
      <c r="AL47" s="143"/>
      <c r="AM47" s="143"/>
      <c r="AN47" s="9">
        <f t="shared" si="5"/>
        <v>0</v>
      </c>
      <c r="AO47" s="8" t="str">
        <f t="array" ref="AO47">IF(AN47&gt;5,"Perlu Sensus",IF(AND(AN47&gt;=0,AL47&gt;0),"Tetap Deteksi","Belum Deteksi"))</f>
        <v>Belum Deteksi</v>
      </c>
      <c r="AP47" s="143"/>
      <c r="AQ47" s="9">
        <f t="shared" si="10"/>
        <v>0</v>
      </c>
    </row>
    <row r="48" spans="1:43" outlineLevel="1" x14ac:dyDescent="0.15">
      <c r="A48" s="8" t="s">
        <v>949</v>
      </c>
      <c r="B48" s="8"/>
      <c r="C48" s="8" t="s">
        <v>79</v>
      </c>
      <c r="D48" s="186" t="s">
        <v>1713</v>
      </c>
      <c r="E48" s="9">
        <v>33.010000000000005</v>
      </c>
      <c r="F48" s="8" t="s">
        <v>469</v>
      </c>
      <c r="G48" s="10">
        <v>3576</v>
      </c>
      <c r="H48" s="11">
        <f t="array" ref="H48">IF(OR(N48&gt;0,AC48&gt;0),MAX(N48,AC48),MAX(AK48,V48))</f>
        <v>46241</v>
      </c>
      <c r="I48" s="143">
        <f t="array" ref="I48">IF(SUM(O48,AD48)&gt;0,SUM(O48,AD48),SUM(AL48,W48))</f>
        <v>345.63899520000001</v>
      </c>
      <c r="J48" s="9">
        <f t="shared" si="0"/>
        <v>9.665519999999999</v>
      </c>
      <c r="K48" s="143">
        <f t="shared" si="6"/>
        <v>9.18</v>
      </c>
      <c r="L48" s="9">
        <f t="shared" si="1"/>
        <v>2.6559503202721957</v>
      </c>
      <c r="M48" s="8" t="str">
        <f t="array" ref="M48">IF(L48&gt;5,"Perlu Sensus",IF(AND(L48&gt;=0,I48&gt;0),"Tetap Deteksi","Belum Deteksi"))</f>
        <v>Tetap Deteksi</v>
      </c>
      <c r="N48" s="11">
        <v>46241</v>
      </c>
      <c r="O48" s="143">
        <v>345.63899520000001</v>
      </c>
      <c r="P48" s="9">
        <f t="array" ref="P48">IFERROR(O48/$G48*100,0)</f>
        <v>9.665519999999999</v>
      </c>
      <c r="Q48" s="143">
        <v>9.18</v>
      </c>
      <c r="R48" s="9">
        <f t="shared" si="2"/>
        <v>2.6559503202721957</v>
      </c>
      <c r="S48" s="8" t="str">
        <f t="array" ref="S48">IF(R48&gt;5,"Perlu Sensus",IF(AND(R48&gt;=0,O48&gt;0),"Tetap Deteksi","Belum Deteksi"))</f>
        <v>Tetap Deteksi</v>
      </c>
      <c r="T48" s="143">
        <v>4.8794832445132794</v>
      </c>
      <c r="U48" s="9">
        <f t="shared" si="7"/>
        <v>1.4117282228788517</v>
      </c>
      <c r="V48" s="11">
        <v>46241</v>
      </c>
      <c r="W48" s="143">
        <v>282.315692858033</v>
      </c>
      <c r="X48" s="143">
        <v>5.911766228722084</v>
      </c>
      <c r="Y48" s="9">
        <f t="shared" si="3"/>
        <v>2.094026785714286</v>
      </c>
      <c r="Z48" s="8" t="str">
        <f t="array" ref="Z48">IF(Y48&gt;5,"Perlu Sensus",IF(AND(Y48&gt;=0,W48&gt;0),"Tetap Deteksi","Belum Deteksi"))</f>
        <v>Tetap Deteksi</v>
      </c>
      <c r="AA48" s="143">
        <v>2.08</v>
      </c>
      <c r="AB48" s="9">
        <f t="shared" si="8"/>
        <v>0.73676386138618288</v>
      </c>
      <c r="AC48" s="11"/>
      <c r="AD48" s="143"/>
      <c r="AE48" s="9">
        <f t="array" ref="AE48">IFERROR(AD48/$G48*100,0)</f>
        <v>0</v>
      </c>
      <c r="AF48" s="143"/>
      <c r="AG48" s="9">
        <f t="shared" si="4"/>
        <v>0</v>
      </c>
      <c r="AH48" s="8" t="str">
        <f t="array" ref="AH48">IF(AG48&gt;5,"Perlu Sensus",IF(AND(AG48&gt;=0,AD48&gt;0),"Tetap Deteksi","Belum Deteksi"))</f>
        <v>Belum Deteksi</v>
      </c>
      <c r="AI48" s="143"/>
      <c r="AJ48" s="9">
        <f t="shared" si="9"/>
        <v>0</v>
      </c>
      <c r="AK48" s="11"/>
      <c r="AL48" s="143"/>
      <c r="AM48" s="143"/>
      <c r="AN48" s="9">
        <f t="shared" si="5"/>
        <v>0</v>
      </c>
      <c r="AO48" s="8" t="str">
        <f t="array" ref="AO48">IF(AN48&gt;5,"Perlu Sensus",IF(AND(AN48&gt;=0,AL48&gt;0),"Tetap Deteksi","Belum Deteksi"))</f>
        <v>Belum Deteksi</v>
      </c>
      <c r="AP48" s="143"/>
      <c r="AQ48" s="9">
        <f t="shared" si="10"/>
        <v>0</v>
      </c>
    </row>
    <row r="49" spans="1:43" outlineLevel="1" x14ac:dyDescent="0.15">
      <c r="A49" s="8" t="s">
        <v>949</v>
      </c>
      <c r="B49" s="8"/>
      <c r="C49" s="8" t="s">
        <v>79</v>
      </c>
      <c r="D49" s="186" t="s">
        <v>1714</v>
      </c>
      <c r="E49" s="9">
        <v>47.19</v>
      </c>
      <c r="F49" s="8" t="s">
        <v>469</v>
      </c>
      <c r="G49" s="10">
        <v>5348</v>
      </c>
      <c r="H49" s="11">
        <f t="array" ref="H49">IF(OR(N49&gt;0,AC49&gt;0),MAX(N49,AC49),MAX(AK49,V49))</f>
        <v>46242</v>
      </c>
      <c r="I49" s="143">
        <f t="array" ref="I49">IF(SUM(O49,AD49)&gt;0,SUM(O49,AD49),SUM(AL49,W49))</f>
        <v>710.75401319999992</v>
      </c>
      <c r="J49" s="9">
        <f t="shared" si="0"/>
        <v>13.290089999999999</v>
      </c>
      <c r="K49" s="143">
        <f t="shared" si="6"/>
        <v>20.399999999999999</v>
      </c>
      <c r="L49" s="9">
        <f t="shared" si="1"/>
        <v>2.8701913209260512</v>
      </c>
      <c r="M49" s="8" t="str">
        <f t="array" ref="M49">IF(L49&gt;5,"Perlu Sensus",IF(AND(L49&gt;=0,I49&gt;0),"Tetap Deteksi","Belum Deteksi"))</f>
        <v>Tetap Deteksi</v>
      </c>
      <c r="N49" s="11">
        <v>46242</v>
      </c>
      <c r="O49" s="143">
        <v>710.75401319999992</v>
      </c>
      <c r="P49" s="9">
        <f t="array" ref="P49">IFERROR(O49/$G49*100,0)</f>
        <v>13.290089999999999</v>
      </c>
      <c r="Q49" s="143">
        <v>20.399999999999999</v>
      </c>
      <c r="R49" s="9">
        <f t="shared" si="2"/>
        <v>2.8701913209260512</v>
      </c>
      <c r="S49" s="8" t="str">
        <f t="array" ref="S49">IF(R49&gt;5,"Perlu Sensus",IF(AND(R49&gt;=0,O49&gt;0),"Tetap Deteksi","Belum Deteksi"))</f>
        <v>Tetap Deteksi</v>
      </c>
      <c r="T49" s="143">
        <v>12.531244955041615</v>
      </c>
      <c r="U49" s="9">
        <f t="shared" si="7"/>
        <v>1.7630916916842554</v>
      </c>
      <c r="V49" s="11">
        <v>46242</v>
      </c>
      <c r="W49" s="143">
        <v>287.9620067151937</v>
      </c>
      <c r="X49" s="143">
        <v>5.15</v>
      </c>
      <c r="Y49" s="9">
        <f t="shared" si="3"/>
        <v>1.7884303761966636</v>
      </c>
      <c r="Z49" s="8" t="str">
        <f t="array" ref="Z49">IF(Y49&gt;5,"Perlu Sensus",IF(AND(Y49&gt;=0,W49&gt;0),"Tetap Deteksi","Belum Deteksi"))</f>
        <v>Tetap Deteksi</v>
      </c>
      <c r="AA49" s="143">
        <v>8.32</v>
      </c>
      <c r="AB49" s="9">
        <f t="shared" si="8"/>
        <v>2.8892700446516972</v>
      </c>
      <c r="AC49" s="11"/>
      <c r="AD49" s="143"/>
      <c r="AE49" s="9">
        <f t="array" ref="AE49">IFERROR(AD49/$G49*100,0)</f>
        <v>0</v>
      </c>
      <c r="AF49" s="143"/>
      <c r="AG49" s="9">
        <f t="shared" si="4"/>
        <v>0</v>
      </c>
      <c r="AH49" s="8" t="str">
        <f t="array" ref="AH49">IF(AG49&gt;5,"Perlu Sensus",IF(AND(AG49&gt;=0,AD49&gt;0),"Tetap Deteksi","Belum Deteksi"))</f>
        <v>Belum Deteksi</v>
      </c>
      <c r="AI49" s="143"/>
      <c r="AJ49" s="9">
        <f t="shared" si="9"/>
        <v>0</v>
      </c>
      <c r="AK49" s="11"/>
      <c r="AL49" s="143"/>
      <c r="AM49" s="143"/>
      <c r="AN49" s="9">
        <f t="shared" si="5"/>
        <v>0</v>
      </c>
      <c r="AO49" s="8" t="str">
        <f t="array" ref="AO49">IF(AN49&gt;5,"Perlu Sensus",IF(AND(AN49&gt;=0,AL49&gt;0),"Tetap Deteksi","Belum Deteksi"))</f>
        <v>Belum Deteksi</v>
      </c>
      <c r="AP49" s="143"/>
      <c r="AQ49" s="9">
        <f t="shared" si="10"/>
        <v>0</v>
      </c>
    </row>
    <row r="50" spans="1:43" outlineLevel="1" x14ac:dyDescent="0.15">
      <c r="A50" s="8" t="s">
        <v>949</v>
      </c>
      <c r="B50" s="8"/>
      <c r="C50" s="8" t="s">
        <v>79</v>
      </c>
      <c r="D50" s="186" t="s">
        <v>1200</v>
      </c>
      <c r="E50" s="9">
        <v>28.580000000000002</v>
      </c>
      <c r="F50" s="8" t="s">
        <v>469</v>
      </c>
      <c r="G50" s="10">
        <v>3106</v>
      </c>
      <c r="H50" s="11">
        <f t="array" ref="H50">IF(OR(N50&gt;0,AC50&gt;0),MAX(N50,AC50),MAX(AK50,V50))</f>
        <v>46243</v>
      </c>
      <c r="I50" s="143">
        <f t="array" ref="I50">IF(SUM(O50,AD50)&gt;0,SUM(O50,AD50),SUM(AL50,W50))</f>
        <v>450.31657680000001</v>
      </c>
      <c r="J50" s="9">
        <f t="shared" si="0"/>
        <v>14.498279999999999</v>
      </c>
      <c r="K50" s="143">
        <f t="shared" si="6"/>
        <v>12.342000000000002</v>
      </c>
      <c r="L50" s="9">
        <f t="shared" si="1"/>
        <v>2.7407385461365061</v>
      </c>
      <c r="M50" s="8" t="str">
        <f t="array" ref="M50">IF(L50&gt;5,"Perlu Sensus",IF(AND(L50&gt;=0,I50&gt;0),"Tetap Deteksi","Belum Deteksi"))</f>
        <v>Tetap Deteksi</v>
      </c>
      <c r="N50" s="11">
        <v>46243</v>
      </c>
      <c r="O50" s="143">
        <v>450.31657680000001</v>
      </c>
      <c r="P50" s="9">
        <f t="array" ref="P50">IFERROR(O50/$G50*100,0)</f>
        <v>14.498279999999999</v>
      </c>
      <c r="Q50" s="143">
        <v>12.342000000000002</v>
      </c>
      <c r="R50" s="9">
        <f t="shared" si="2"/>
        <v>2.7407385461365061</v>
      </c>
      <c r="S50" s="8" t="str">
        <f t="array" ref="S50">IF(R50&gt;5,"Perlu Sensus",IF(AND(R50&gt;=0,O50&gt;0),"Tetap Deteksi","Belum Deteksi"))</f>
        <v>Tetap Deteksi</v>
      </c>
      <c r="T50" s="143">
        <v>8.0148639999999993</v>
      </c>
      <c r="U50" s="9">
        <f t="shared" si="7"/>
        <v>1.779828772228311</v>
      </c>
      <c r="V50" s="11">
        <v>46243</v>
      </c>
      <c r="W50" s="143">
        <v>293.72124684949756</v>
      </c>
      <c r="X50" s="143">
        <v>9.0640000000000018</v>
      </c>
      <c r="Y50" s="9">
        <f t="shared" si="3"/>
        <v>3.0859190804962044</v>
      </c>
      <c r="Z50" s="8" t="str">
        <f t="array" ref="Z50">IF(Y50&gt;5,"Perlu Sensus",IF(AND(Y50&gt;=0,W50&gt;0),"Tetap Deteksi","Belum Deteksi"))</f>
        <v>Tetap Deteksi</v>
      </c>
      <c r="AA50" s="143">
        <v>5.9304960000000007</v>
      </c>
      <c r="AB50" s="9">
        <f t="shared" si="8"/>
        <v>2.0190898900271863</v>
      </c>
      <c r="AC50" s="11"/>
      <c r="AD50" s="143"/>
      <c r="AE50" s="9">
        <f t="array" ref="AE50">IFERROR(AD50/$G50*100,0)</f>
        <v>0</v>
      </c>
      <c r="AF50" s="143"/>
      <c r="AG50" s="9">
        <f t="shared" si="4"/>
        <v>0</v>
      </c>
      <c r="AH50" s="8" t="str">
        <f t="array" ref="AH50">IF(AG50&gt;5,"Perlu Sensus",IF(AND(AG50&gt;=0,AD50&gt;0),"Tetap Deteksi","Belum Deteksi"))</f>
        <v>Belum Deteksi</v>
      </c>
      <c r="AI50" s="143"/>
      <c r="AJ50" s="9">
        <f t="shared" si="9"/>
        <v>0</v>
      </c>
      <c r="AK50" s="11"/>
      <c r="AL50" s="143"/>
      <c r="AM50" s="143"/>
      <c r="AN50" s="9">
        <f t="shared" si="5"/>
        <v>0</v>
      </c>
      <c r="AO50" s="8" t="str">
        <f t="array" ref="AO50">IF(AN50&gt;5,"Perlu Sensus",IF(AND(AN50&gt;=0,AL50&gt;0),"Tetap Deteksi","Belum Deteksi"))</f>
        <v>Belum Deteksi</v>
      </c>
      <c r="AP50" s="143"/>
      <c r="AQ50" s="9">
        <f t="shared" si="10"/>
        <v>0</v>
      </c>
    </row>
    <row r="51" spans="1:43" outlineLevel="1" x14ac:dyDescent="0.15">
      <c r="A51" s="8" t="s">
        <v>949</v>
      </c>
      <c r="B51" s="8"/>
      <c r="C51" s="8" t="s">
        <v>79</v>
      </c>
      <c r="D51" s="186" t="s">
        <v>1201</v>
      </c>
      <c r="E51" s="9">
        <v>23.599999999999998</v>
      </c>
      <c r="F51" s="8" t="s">
        <v>469</v>
      </c>
      <c r="G51" s="10">
        <v>2301</v>
      </c>
      <c r="H51" s="11">
        <f t="array" ref="H51">IF(OR(N51&gt;0,AC51&gt;0),MAX(N51,AC51),MAX(AK51,V51))</f>
        <v>46244</v>
      </c>
      <c r="I51" s="143">
        <f t="array" ref="I51">IF(SUM(O51,AD51)&gt;0,SUM(O51,AD51),SUM(AL51,W51))</f>
        <v>361.40587469999997</v>
      </c>
      <c r="J51" s="9">
        <f t="shared" si="0"/>
        <v>15.706469999999998</v>
      </c>
      <c r="K51" s="143">
        <f t="shared" si="6"/>
        <v>13.26</v>
      </c>
      <c r="L51" s="9">
        <f t="shared" si="1"/>
        <v>3.6690051070716594</v>
      </c>
      <c r="M51" s="8" t="str">
        <f t="array" ref="M51">IF(L51&gt;5,"Perlu Sensus",IF(AND(L51&gt;=0,I51&gt;0),"Tetap Deteksi","Belum Deteksi"))</f>
        <v>Tetap Deteksi</v>
      </c>
      <c r="N51" s="11">
        <v>46244</v>
      </c>
      <c r="O51" s="143">
        <v>361.40587469999997</v>
      </c>
      <c r="P51" s="9">
        <f t="array" ref="P51">IFERROR(O51/$G51*100,0)</f>
        <v>15.706469999999998</v>
      </c>
      <c r="Q51" s="143">
        <v>13.26</v>
      </c>
      <c r="R51" s="9">
        <f t="shared" si="2"/>
        <v>3.6690051070716594</v>
      </c>
      <c r="S51" s="8" t="str">
        <f t="array" ref="S51">IF(R51&gt;5,"Perlu Sensus",IF(AND(R51&gt;=0,O51&gt;0),"Tetap Deteksi","Belum Deteksi"))</f>
        <v>Tetap Deteksi</v>
      </c>
      <c r="T51" s="143">
        <v>6.6667031435152513</v>
      </c>
      <c r="U51" s="9">
        <f t="shared" si="7"/>
        <v>1.8446582112283665</v>
      </c>
      <c r="V51" s="11">
        <v>46244</v>
      </c>
      <c r="W51" s="143">
        <v>299.59567178648751</v>
      </c>
      <c r="X51" s="143">
        <v>9.27</v>
      </c>
      <c r="Y51" s="9">
        <f t="shared" si="3"/>
        <v>3.0941702010322896</v>
      </c>
      <c r="Z51" s="8" t="str">
        <f t="array" ref="Z51">IF(Y51&gt;5,"Perlu Sensus",IF(AND(Y51&gt;=0,W51&gt;0),"Tetap Deteksi","Belum Deteksi"))</f>
        <v>Tetap Deteksi</v>
      </c>
      <c r="AA51" s="143">
        <v>6.24</v>
      </c>
      <c r="AB51" s="9">
        <f t="shared" si="8"/>
        <v>2.0828071256139684</v>
      </c>
      <c r="AC51" s="11"/>
      <c r="AD51" s="143"/>
      <c r="AE51" s="9">
        <f t="array" ref="AE51">IFERROR(AD51/$G51*100,0)</f>
        <v>0</v>
      </c>
      <c r="AF51" s="143"/>
      <c r="AG51" s="9">
        <f t="shared" si="4"/>
        <v>0</v>
      </c>
      <c r="AH51" s="8" t="str">
        <f t="array" ref="AH51">IF(AG51&gt;5,"Perlu Sensus",IF(AND(AG51&gt;=0,AD51&gt;0),"Tetap Deteksi","Belum Deteksi"))</f>
        <v>Belum Deteksi</v>
      </c>
      <c r="AI51" s="143"/>
      <c r="AJ51" s="9">
        <f t="shared" si="9"/>
        <v>0</v>
      </c>
      <c r="AK51" s="11"/>
      <c r="AL51" s="143"/>
      <c r="AM51" s="143"/>
      <c r="AN51" s="9">
        <f t="shared" si="5"/>
        <v>0</v>
      </c>
      <c r="AO51" s="8" t="str">
        <f t="array" ref="AO51">IF(AN51&gt;5,"Perlu Sensus",IF(AND(AN51&gt;=0,AL51&gt;0),"Tetap Deteksi","Belum Deteksi"))</f>
        <v>Belum Deteksi</v>
      </c>
      <c r="AP51" s="143"/>
      <c r="AQ51" s="9">
        <f t="shared" si="10"/>
        <v>0</v>
      </c>
    </row>
    <row r="52" spans="1:43" outlineLevel="1" x14ac:dyDescent="0.15">
      <c r="A52" s="8" t="s">
        <v>949</v>
      </c>
      <c r="B52" s="8"/>
      <c r="C52" s="8" t="s">
        <v>79</v>
      </c>
      <c r="D52" s="186" t="s">
        <v>1228</v>
      </c>
      <c r="E52" s="9">
        <v>29.340000000000003</v>
      </c>
      <c r="F52" s="8" t="s">
        <v>469</v>
      </c>
      <c r="G52" s="10">
        <v>3831</v>
      </c>
      <c r="H52" s="11">
        <f t="array" ref="H52">IF(OR(N52&gt;0,AC52&gt;0),MAX(N52,AC52),MAX(AK52,V52))</f>
        <v>46245</v>
      </c>
      <c r="I52" s="143">
        <f t="array" ref="I52">IF(SUM(O52,AD52)&gt;0,SUM(O52,AD52),SUM(AL52,W52))</f>
        <v>555.4291068</v>
      </c>
      <c r="J52" s="9">
        <f t="shared" si="0"/>
        <v>14.498279999999999</v>
      </c>
      <c r="K52" s="143">
        <f t="shared" si="6"/>
        <v>8.9760000000000009</v>
      </c>
      <c r="L52" s="9">
        <f t="shared" si="1"/>
        <v>1.6160478250255073</v>
      </c>
      <c r="M52" s="8" t="str">
        <f t="array" ref="M52">IF(L52&gt;5,"Perlu Sensus",IF(AND(L52&gt;=0,I52&gt;0),"Tetap Deteksi","Belum Deteksi"))</f>
        <v>Tetap Deteksi</v>
      </c>
      <c r="N52" s="11">
        <v>46245</v>
      </c>
      <c r="O52" s="143">
        <v>555.4291068</v>
      </c>
      <c r="P52" s="9">
        <f t="array" ref="P52">IFERROR(O52/$G52*100,0)</f>
        <v>14.498279999999999</v>
      </c>
      <c r="Q52" s="143">
        <v>8.9760000000000009</v>
      </c>
      <c r="R52" s="9">
        <f t="shared" si="2"/>
        <v>1.6160478250255073</v>
      </c>
      <c r="S52" s="8" t="str">
        <f t="array" ref="S52">IF(R52&gt;5,"Perlu Sensus",IF(AND(R52&gt;=0,O52&gt;0),"Tetap Deteksi","Belum Deteksi"))</f>
        <v>Tetap Deteksi</v>
      </c>
      <c r="T52" s="143">
        <v>5.8289919999999995</v>
      </c>
      <c r="U52" s="9">
        <f t="shared" si="7"/>
        <v>1.0494574246536408</v>
      </c>
      <c r="V52" s="11">
        <v>46245</v>
      </c>
      <c r="W52" s="143">
        <v>305.58758522221723</v>
      </c>
      <c r="X52" s="143">
        <v>9.0640000000000018</v>
      </c>
      <c r="Y52" s="9">
        <f t="shared" si="3"/>
        <v>2.9660890815995815</v>
      </c>
      <c r="Z52" s="8" t="str">
        <f t="array" ref="Z52">IF(Y52&gt;5,"Perlu Sensus",IF(AND(Y52&gt;=0,W52&gt;0),"Tetap Deteksi","Belum Deteksi"))</f>
        <v>Tetap Deteksi</v>
      </c>
      <c r="AA52" s="143">
        <v>5.9304960000000007</v>
      </c>
      <c r="AB52" s="9">
        <f t="shared" si="8"/>
        <v>1.9406861688073689</v>
      </c>
      <c r="AC52" s="11"/>
      <c r="AD52" s="143"/>
      <c r="AE52" s="9">
        <f t="array" ref="AE52">IFERROR(AD52/$G52*100,0)</f>
        <v>0</v>
      </c>
      <c r="AF52" s="143"/>
      <c r="AG52" s="9">
        <f t="shared" si="4"/>
        <v>0</v>
      </c>
      <c r="AH52" s="8" t="str">
        <f t="array" ref="AH52">IF(AG52&gt;5,"Perlu Sensus",IF(AND(AG52&gt;=0,AD52&gt;0),"Tetap Deteksi","Belum Deteksi"))</f>
        <v>Belum Deteksi</v>
      </c>
      <c r="AI52" s="143"/>
      <c r="AJ52" s="9">
        <f t="shared" si="9"/>
        <v>0</v>
      </c>
      <c r="AK52" s="11"/>
      <c r="AL52" s="143"/>
      <c r="AM52" s="143"/>
      <c r="AN52" s="9">
        <f t="shared" si="5"/>
        <v>0</v>
      </c>
      <c r="AO52" s="8" t="str">
        <f t="array" ref="AO52">IF(AN52&gt;5,"Perlu Sensus",IF(AND(AN52&gt;=0,AL52&gt;0),"Tetap Deteksi","Belum Deteksi"))</f>
        <v>Belum Deteksi</v>
      </c>
      <c r="AP52" s="143"/>
      <c r="AQ52" s="9">
        <f t="shared" si="10"/>
        <v>0</v>
      </c>
    </row>
    <row r="53" spans="1:43" outlineLevel="1" x14ac:dyDescent="0.15">
      <c r="A53" s="8" t="s">
        <v>949</v>
      </c>
      <c r="B53" s="8"/>
      <c r="C53" s="8" t="s">
        <v>79</v>
      </c>
      <c r="D53" s="186" t="s">
        <v>1689</v>
      </c>
      <c r="E53" s="9">
        <v>30.14</v>
      </c>
      <c r="F53" s="8" t="s">
        <v>469</v>
      </c>
      <c r="G53" s="10">
        <v>3935.0000000000005</v>
      </c>
      <c r="H53" s="11">
        <f t="array" ref="H53">IF(OR(N53&gt;0,AC53&gt;0),MAX(N53,AC53),MAX(AK53,V53))</f>
        <v>46246</v>
      </c>
      <c r="I53" s="143">
        <f t="array" ref="I53">IF(SUM(O53,AD53)&gt;0,SUM(O53,AD53),SUM(AL53,W53))</f>
        <v>427.88048849999996</v>
      </c>
      <c r="J53" s="9">
        <f t="shared" si="0"/>
        <v>10.873709999999997</v>
      </c>
      <c r="K53" s="143">
        <f t="shared" si="6"/>
        <v>9.18</v>
      </c>
      <c r="L53" s="9">
        <f t="shared" si="1"/>
        <v>2.1454588948848508</v>
      </c>
      <c r="M53" s="8" t="str">
        <f t="array" ref="M53">IF(L53&gt;5,"Perlu Sensus",IF(AND(L53&gt;=0,I53&gt;0),"Tetap Deteksi","Belum Deteksi"))</f>
        <v>Tetap Deteksi</v>
      </c>
      <c r="N53" s="11">
        <v>46246</v>
      </c>
      <c r="O53" s="143">
        <v>427.88048849999996</v>
      </c>
      <c r="P53" s="9">
        <f t="array" ref="P53">IFERROR(O53/$G53*100,0)</f>
        <v>10.873709999999997</v>
      </c>
      <c r="Q53" s="143">
        <v>9.18</v>
      </c>
      <c r="R53" s="9">
        <f t="shared" si="2"/>
        <v>2.1454588948848508</v>
      </c>
      <c r="S53" s="8" t="str">
        <f t="array" ref="S53">IF(R53&gt;5,"Perlu Sensus",IF(AND(R53&gt;=0,O53&gt;0),"Tetap Deteksi","Belum Deteksi"))</f>
        <v>Tetap Deteksi</v>
      </c>
      <c r="T53" s="143">
        <v>4.7518675648591682</v>
      </c>
      <c r="U53" s="9">
        <f t="shared" si="7"/>
        <v>1.1105595353313635</v>
      </c>
      <c r="V53" s="11">
        <v>46246</v>
      </c>
      <c r="W53" s="143">
        <v>311.69933692666166</v>
      </c>
      <c r="X53" s="143">
        <v>7.21</v>
      </c>
      <c r="Y53" s="9">
        <f t="shared" si="3"/>
        <v>2.3131265119426319</v>
      </c>
      <c r="Z53" s="8" t="str">
        <f t="array" ref="Z53">IF(Y53&gt;5,"Perlu Sensus",IF(AND(Y53&gt;=0,W53&gt;0),"Tetap Deteksi","Belum Deteksi"))</f>
        <v>Tetap Deteksi</v>
      </c>
      <c r="AA53" s="143">
        <v>3.3595412642923925</v>
      </c>
      <c r="AB53" s="9">
        <f t="shared" si="8"/>
        <v>1.0778146971428573</v>
      </c>
      <c r="AC53" s="11"/>
      <c r="AD53" s="143"/>
      <c r="AE53" s="9">
        <f t="array" ref="AE53">IFERROR(AD53/$G53*100,0)</f>
        <v>0</v>
      </c>
      <c r="AF53" s="143"/>
      <c r="AG53" s="9">
        <f t="shared" si="4"/>
        <v>0</v>
      </c>
      <c r="AH53" s="8" t="str">
        <f t="array" ref="AH53">IF(AG53&gt;5,"Perlu Sensus",IF(AND(AG53&gt;=0,AD53&gt;0),"Tetap Deteksi","Belum Deteksi"))</f>
        <v>Belum Deteksi</v>
      </c>
      <c r="AI53" s="143"/>
      <c r="AJ53" s="9">
        <f t="shared" si="9"/>
        <v>0</v>
      </c>
      <c r="AK53" s="11"/>
      <c r="AL53" s="143"/>
      <c r="AM53" s="143"/>
      <c r="AN53" s="9">
        <f t="shared" si="5"/>
        <v>0</v>
      </c>
      <c r="AO53" s="8" t="str">
        <f t="array" ref="AO53">IF(AN53&gt;5,"Perlu Sensus",IF(AND(AN53&gt;=0,AL53&gt;0),"Tetap Deteksi","Belum Deteksi"))</f>
        <v>Belum Deteksi</v>
      </c>
      <c r="AP53" s="143"/>
      <c r="AQ53" s="9">
        <f t="shared" si="10"/>
        <v>0</v>
      </c>
    </row>
    <row r="54" spans="1:43" outlineLevel="1" x14ac:dyDescent="0.15">
      <c r="A54" s="8" t="s">
        <v>949</v>
      </c>
      <c r="B54" s="8"/>
      <c r="C54" s="8" t="s">
        <v>79</v>
      </c>
      <c r="D54" s="186" t="s">
        <v>1690</v>
      </c>
      <c r="E54" s="9">
        <v>22.83</v>
      </c>
      <c r="F54" s="8" t="s">
        <v>469</v>
      </c>
      <c r="G54" s="10">
        <v>2514</v>
      </c>
      <c r="H54" s="11">
        <f t="array" ref="H54">IF(OR(N54&gt;0,AC54&gt;0),MAX(N54,AC54),MAX(AK54,V54))</f>
        <v>46247</v>
      </c>
      <c r="I54" s="143">
        <f t="array" ref="I54">IF(SUM(O54,AD54)&gt;0,SUM(O54,AD54),SUM(AL54,W54))</f>
        <v>242.99117280000002</v>
      </c>
      <c r="J54" s="9">
        <f t="shared" si="0"/>
        <v>9.6655200000000008</v>
      </c>
      <c r="K54" s="143">
        <f t="shared" si="6"/>
        <v>11.22</v>
      </c>
      <c r="L54" s="9">
        <f t="shared" si="1"/>
        <v>4.6174516838251165</v>
      </c>
      <c r="M54" s="8" t="str">
        <f t="array" ref="M54">IF(L54&gt;5,"Perlu Sensus",IF(AND(L54&gt;=0,I54&gt;0),"Tetap Deteksi","Belum Deteksi"))</f>
        <v>Tetap Deteksi</v>
      </c>
      <c r="N54" s="11">
        <v>46247</v>
      </c>
      <c r="O54" s="143">
        <v>242.99117280000002</v>
      </c>
      <c r="P54" s="9">
        <f t="array" ref="P54">IFERROR(O54/$G54*100,0)</f>
        <v>9.6655200000000008</v>
      </c>
      <c r="Q54" s="143">
        <v>11.22</v>
      </c>
      <c r="R54" s="9">
        <f t="shared" si="2"/>
        <v>4.6174516838251165</v>
      </c>
      <c r="S54" s="8" t="str">
        <f t="array" ref="S54">IF(R54&gt;5,"Perlu Sensus",IF(AND(R54&gt;=0,O54&gt;0),"Tetap Deteksi","Belum Deteksi"))</f>
        <v>Tetap Deteksi</v>
      </c>
      <c r="T54" s="143">
        <v>6.2783484924530084</v>
      </c>
      <c r="U54" s="9">
        <f t="shared" si="7"/>
        <v>2.5837763652511612</v>
      </c>
      <c r="V54" s="11">
        <v>46247</v>
      </c>
      <c r="W54" s="143">
        <v>317.93332366519491</v>
      </c>
      <c r="X54" s="143">
        <v>15.450000000000001</v>
      </c>
      <c r="Y54" s="9">
        <f t="shared" si="3"/>
        <v>4.8595094788710744</v>
      </c>
      <c r="Z54" s="8" t="str">
        <f t="array" ref="Z54">IF(Y54&gt;5,"Perlu Sensus",IF(AND(Y54&gt;=0,W54&gt;0),"Tetap Deteksi","Belum Deteksi"))</f>
        <v>Tetap Deteksi</v>
      </c>
      <c r="AA54" s="143">
        <v>5.2</v>
      </c>
      <c r="AB54" s="9">
        <f t="shared" si="8"/>
        <v>1.6355630608498115</v>
      </c>
      <c r="AC54" s="11"/>
      <c r="AD54" s="143"/>
      <c r="AE54" s="9">
        <f t="array" ref="AE54">IFERROR(AD54/$G54*100,0)</f>
        <v>0</v>
      </c>
      <c r="AF54" s="143"/>
      <c r="AG54" s="9">
        <f t="shared" si="4"/>
        <v>0</v>
      </c>
      <c r="AH54" s="8" t="str">
        <f t="array" ref="AH54">IF(AG54&gt;5,"Perlu Sensus",IF(AND(AG54&gt;=0,AD54&gt;0),"Tetap Deteksi","Belum Deteksi"))</f>
        <v>Belum Deteksi</v>
      </c>
      <c r="AI54" s="143"/>
      <c r="AJ54" s="9">
        <f t="shared" si="9"/>
        <v>0</v>
      </c>
      <c r="AK54" s="11"/>
      <c r="AL54" s="143"/>
      <c r="AM54" s="143"/>
      <c r="AN54" s="9">
        <f t="shared" si="5"/>
        <v>0</v>
      </c>
      <c r="AO54" s="8" t="str">
        <f t="array" ref="AO54">IF(AN54&gt;5,"Perlu Sensus",IF(AND(AN54&gt;=0,AL54&gt;0),"Tetap Deteksi","Belum Deteksi"))</f>
        <v>Belum Deteksi</v>
      </c>
      <c r="AP54" s="143"/>
      <c r="AQ54" s="9">
        <f t="shared" si="10"/>
        <v>0</v>
      </c>
    </row>
    <row r="55" spans="1:43" outlineLevel="1" x14ac:dyDescent="0.15">
      <c r="A55" s="8" t="s">
        <v>949</v>
      </c>
      <c r="B55" s="8"/>
      <c r="C55" s="8" t="s">
        <v>79</v>
      </c>
      <c r="D55" s="186" t="s">
        <v>1130</v>
      </c>
      <c r="E55" s="9">
        <v>38.950000000000003</v>
      </c>
      <c r="F55" s="8" t="s">
        <v>469</v>
      </c>
      <c r="G55" s="10">
        <v>3943</v>
      </c>
      <c r="H55" s="11">
        <f t="array" ref="H55">IF(OR(N55&gt;0,AC55&gt;0),MAX(N55,AC55),MAX(AK55,V55))</f>
        <v>46248</v>
      </c>
      <c r="I55" s="143">
        <f t="array" ref="I55">IF(SUM(O55,AD55)&gt;0,SUM(O55,AD55),SUM(AL55,W55))</f>
        <v>428.75038529999995</v>
      </c>
      <c r="J55" s="9">
        <f t="shared" si="0"/>
        <v>10.873709999999999</v>
      </c>
      <c r="K55" s="143">
        <f t="shared" si="6"/>
        <v>6.7320000000000011</v>
      </c>
      <c r="L55" s="9">
        <f t="shared" si="1"/>
        <v>1.5701443615705604</v>
      </c>
      <c r="M55" s="8" t="str">
        <f t="array" ref="M55">IF(L55&gt;5,"Perlu Sensus",IF(AND(L55&gt;=0,I55&gt;0),"Tetap Deteksi","Belum Deteksi"))</f>
        <v>Tetap Deteksi</v>
      </c>
      <c r="N55" s="11">
        <v>46248</v>
      </c>
      <c r="O55" s="143">
        <v>428.75038529999995</v>
      </c>
      <c r="P55" s="9">
        <f t="array" ref="P55">IFERROR(O55/$G55*100,0)</f>
        <v>10.873709999999999</v>
      </c>
      <c r="Q55" s="143">
        <v>6.7320000000000011</v>
      </c>
      <c r="R55" s="9">
        <f t="shared" si="2"/>
        <v>1.5701443615705604</v>
      </c>
      <c r="S55" s="8" t="str">
        <f t="array" ref="S55">IF(R55&gt;5,"Perlu Sensus",IF(AND(R55&gt;=0,O55&gt;0),"Tetap Deteksi","Belum Deteksi"))</f>
        <v>Tetap Deteksi</v>
      </c>
      <c r="T55" s="143">
        <v>4.3717439999999987</v>
      </c>
      <c r="U55" s="9">
        <f t="shared" si="7"/>
        <v>1.0196478300400955</v>
      </c>
      <c r="V55" s="11">
        <v>46248</v>
      </c>
      <c r="W55" s="143">
        <v>324.29199013849876</v>
      </c>
      <c r="X55" s="143">
        <v>9.0640000000000018</v>
      </c>
      <c r="Y55" s="9">
        <f t="shared" si="3"/>
        <v>2.7950119878474164</v>
      </c>
      <c r="Z55" s="8" t="str">
        <f t="array" ref="Z55">IF(Y55&gt;5,"Perlu Sensus",IF(AND(Y55&gt;=0,W55&gt;0),"Tetap Deteksi","Belum Deteksi"))</f>
        <v>Tetap Deteksi</v>
      </c>
      <c r="AA55" s="143">
        <v>5.9304960000000007</v>
      </c>
      <c r="AB55" s="9">
        <f t="shared" si="8"/>
        <v>1.8287519212137191</v>
      </c>
      <c r="AC55" s="11"/>
      <c r="AD55" s="143"/>
      <c r="AE55" s="9">
        <f t="array" ref="AE55">IFERROR(AD55/$G55*100,0)</f>
        <v>0</v>
      </c>
      <c r="AF55" s="143"/>
      <c r="AG55" s="9">
        <f t="shared" si="4"/>
        <v>0</v>
      </c>
      <c r="AH55" s="8" t="str">
        <f t="array" ref="AH55">IF(AG55&gt;5,"Perlu Sensus",IF(AND(AG55&gt;=0,AD55&gt;0),"Tetap Deteksi","Belum Deteksi"))</f>
        <v>Belum Deteksi</v>
      </c>
      <c r="AI55" s="143"/>
      <c r="AJ55" s="9">
        <f t="shared" si="9"/>
        <v>0</v>
      </c>
      <c r="AK55" s="11"/>
      <c r="AL55" s="143"/>
      <c r="AM55" s="143"/>
      <c r="AN55" s="9">
        <f t="shared" si="5"/>
        <v>0</v>
      </c>
      <c r="AO55" s="8" t="str">
        <f t="array" ref="AO55">IF(AN55&gt;5,"Perlu Sensus",IF(AND(AN55&gt;=0,AL55&gt;0),"Tetap Deteksi","Belum Deteksi"))</f>
        <v>Belum Deteksi</v>
      </c>
      <c r="AP55" s="143"/>
      <c r="AQ55" s="9">
        <f t="shared" si="10"/>
        <v>0</v>
      </c>
    </row>
    <row r="56" spans="1:43" outlineLevel="1" x14ac:dyDescent="0.15">
      <c r="A56" s="8" t="s">
        <v>949</v>
      </c>
      <c r="B56" s="8"/>
      <c r="C56" s="8" t="s">
        <v>79</v>
      </c>
      <c r="D56" s="186" t="s">
        <v>1147</v>
      </c>
      <c r="E56" s="9">
        <v>35.269999999999996</v>
      </c>
      <c r="F56" s="8" t="s">
        <v>469</v>
      </c>
      <c r="G56" s="10">
        <v>3639</v>
      </c>
      <c r="H56" s="11">
        <f t="array" ref="H56">IF(OR(N56&gt;0,AC56&gt;0),MAX(N56,AC56),MAX(AK56,V56))</f>
        <v>46249</v>
      </c>
      <c r="I56" s="143">
        <f t="array" ref="I56">IF(SUM(O56,AD56)&gt;0,SUM(O56,AD56),SUM(AL56,W56))</f>
        <v>439.66034100000002</v>
      </c>
      <c r="J56" s="9">
        <f t="shared" si="0"/>
        <v>12.081900000000001</v>
      </c>
      <c r="K56" s="143">
        <f t="shared" si="6"/>
        <v>6.12</v>
      </c>
      <c r="L56" s="9">
        <f t="shared" si="1"/>
        <v>1.391983635840377</v>
      </c>
      <c r="M56" s="8" t="str">
        <f t="array" ref="M56">IF(L56&gt;5,"Perlu Sensus",IF(AND(L56&gt;=0,I56&gt;0),"Tetap Deteksi","Belum Deteksi"))</f>
        <v>Tetap Deteksi</v>
      </c>
      <c r="N56" s="11">
        <v>46249</v>
      </c>
      <c r="O56" s="143">
        <v>439.66034100000002</v>
      </c>
      <c r="P56" s="9">
        <f t="array" ref="P56">IFERROR(O56/$G56*100,0)</f>
        <v>12.081900000000001</v>
      </c>
      <c r="Q56" s="143">
        <v>6.12</v>
      </c>
      <c r="R56" s="9">
        <f t="shared" si="2"/>
        <v>1.391983635840377</v>
      </c>
      <c r="S56" s="8" t="str">
        <f t="array" ref="S56">IF(R56&gt;5,"Perlu Sensus",IF(AND(R56&gt;=0,O56&gt;0),"Tetap Deteksi","Belum Deteksi"))</f>
        <v>Tetap Deteksi</v>
      </c>
      <c r="T56" s="143">
        <v>5.0206189315726082</v>
      </c>
      <c r="U56" s="9">
        <f t="shared" si="7"/>
        <v>1.1419312736175602</v>
      </c>
      <c r="V56" s="11">
        <v>46249</v>
      </c>
      <c r="W56" s="143">
        <v>330.77782994126881</v>
      </c>
      <c r="X56" s="143">
        <v>8.24</v>
      </c>
      <c r="Y56" s="9">
        <f t="shared" si="3"/>
        <v>2.4910980283845059</v>
      </c>
      <c r="Z56" s="8" t="str">
        <f t="array" ref="Z56">IF(Y56&gt;5,"Perlu Sensus",IF(AND(Y56&gt;=0,W56&gt;0),"Tetap Deteksi","Belum Deteksi"))</f>
        <v>Tetap Deteksi</v>
      </c>
      <c r="AA56" s="143">
        <v>8.32</v>
      </c>
      <c r="AB56" s="9">
        <f t="shared" si="8"/>
        <v>2.5152834461358116</v>
      </c>
      <c r="AC56" s="11"/>
      <c r="AD56" s="143"/>
      <c r="AE56" s="9">
        <f t="array" ref="AE56">IFERROR(AD56/$G56*100,0)</f>
        <v>0</v>
      </c>
      <c r="AF56" s="143"/>
      <c r="AG56" s="9">
        <f t="shared" si="4"/>
        <v>0</v>
      </c>
      <c r="AH56" s="8" t="str">
        <f t="array" ref="AH56">IF(AG56&gt;5,"Perlu Sensus",IF(AND(AG56&gt;=0,AD56&gt;0),"Tetap Deteksi","Belum Deteksi"))</f>
        <v>Belum Deteksi</v>
      </c>
      <c r="AI56" s="143"/>
      <c r="AJ56" s="9">
        <f t="shared" si="9"/>
        <v>0</v>
      </c>
      <c r="AK56" s="11"/>
      <c r="AL56" s="143"/>
      <c r="AM56" s="143"/>
      <c r="AN56" s="9">
        <f t="shared" si="5"/>
        <v>0</v>
      </c>
      <c r="AO56" s="8" t="str">
        <f t="array" ref="AO56">IF(AN56&gt;5,"Perlu Sensus",IF(AND(AN56&gt;=0,AL56&gt;0),"Tetap Deteksi","Belum Deteksi"))</f>
        <v>Belum Deteksi</v>
      </c>
      <c r="AP56" s="143"/>
      <c r="AQ56" s="9">
        <f t="shared" si="10"/>
        <v>0</v>
      </c>
    </row>
    <row r="57" spans="1:43" outlineLevel="1" x14ac:dyDescent="0.15">
      <c r="A57" s="8" t="s">
        <v>949</v>
      </c>
      <c r="B57" s="8"/>
      <c r="C57" s="8" t="s">
        <v>79</v>
      </c>
      <c r="D57" s="186" t="s">
        <v>1148</v>
      </c>
      <c r="E57" s="9">
        <v>25.28</v>
      </c>
      <c r="F57" s="8" t="s">
        <v>469</v>
      </c>
      <c r="G57" s="10">
        <v>2461</v>
      </c>
      <c r="H57" s="11">
        <f t="array" ref="H57">IF(OR(N57&gt;0,AC57&gt;0),MAX(N57,AC57),MAX(AK57,V57))</f>
        <v>46235</v>
      </c>
      <c r="I57" s="143">
        <f t="array" ref="I57">IF(SUM(O57,AD57)&gt;0,SUM(O57,AD57),SUM(AL57,W57))</f>
        <v>297.33555899999999</v>
      </c>
      <c r="J57" s="9">
        <f t="shared" si="0"/>
        <v>12.081899999999999</v>
      </c>
      <c r="K57" s="143">
        <f t="shared" si="6"/>
        <v>10.098000000000001</v>
      </c>
      <c r="L57" s="9">
        <f t="shared" si="1"/>
        <v>3.3961629190809299</v>
      </c>
      <c r="M57" s="8" t="str">
        <f t="array" ref="M57">IF(L57&gt;5,"Perlu Sensus",IF(AND(L57&gt;=0,I57&gt;0),"Tetap Deteksi","Belum Deteksi"))</f>
        <v>Tetap Deteksi</v>
      </c>
      <c r="N57" s="11">
        <v>46235</v>
      </c>
      <c r="O57" s="143">
        <v>297.33555899999999</v>
      </c>
      <c r="P57" s="9">
        <f t="array" ref="P57">IFERROR(O57/$G57*100,0)</f>
        <v>12.081899999999999</v>
      </c>
      <c r="Q57" s="143">
        <v>10.098000000000001</v>
      </c>
      <c r="R57" s="9">
        <f t="shared" si="2"/>
        <v>3.3961629190809299</v>
      </c>
      <c r="S57" s="8" t="str">
        <f t="array" ref="S57">IF(R57&gt;5,"Perlu Sensus",IF(AND(R57&gt;=0,O57&gt;0),"Tetap Deteksi","Belum Deteksi"))</f>
        <v>Tetap Deteksi</v>
      </c>
      <c r="T57" s="143">
        <v>6.5576159999999994</v>
      </c>
      <c r="U57" s="9">
        <f t="shared" si="7"/>
        <v>2.2054597243782741</v>
      </c>
      <c r="V57" s="11">
        <v>46235</v>
      </c>
      <c r="W57" s="143">
        <v>337.39338654009418</v>
      </c>
      <c r="X57" s="143">
        <v>4.5320000000000009</v>
      </c>
      <c r="Y57" s="9">
        <f t="shared" si="3"/>
        <v>1.3432391329524296</v>
      </c>
      <c r="Z57" s="8" t="str">
        <f t="array" ref="Z57">IF(Y57&gt;5,"Perlu Sensus",IF(AND(Y57&gt;=0,W57&gt;0),"Tetap Deteksi","Belum Deteksi"))</f>
        <v>Tetap Deteksi</v>
      </c>
      <c r="AA57" s="143">
        <v>2.9652480000000003</v>
      </c>
      <c r="AB57" s="9">
        <f t="shared" si="8"/>
        <v>0.87886962764980714</v>
      </c>
      <c r="AC57" s="11"/>
      <c r="AD57" s="143"/>
      <c r="AE57" s="9">
        <f t="array" ref="AE57">IFERROR(AD57/$G57*100,0)</f>
        <v>0</v>
      </c>
      <c r="AF57" s="143"/>
      <c r="AG57" s="9">
        <f t="shared" si="4"/>
        <v>0</v>
      </c>
      <c r="AH57" s="8" t="str">
        <f t="array" ref="AH57">IF(AG57&gt;5,"Perlu Sensus",IF(AND(AG57&gt;=0,AD57&gt;0),"Tetap Deteksi","Belum Deteksi"))</f>
        <v>Belum Deteksi</v>
      </c>
      <c r="AI57" s="143"/>
      <c r="AJ57" s="9">
        <f t="shared" si="9"/>
        <v>0</v>
      </c>
      <c r="AK57" s="11"/>
      <c r="AL57" s="143"/>
      <c r="AM57" s="143"/>
      <c r="AN57" s="9">
        <f t="shared" si="5"/>
        <v>0</v>
      </c>
      <c r="AO57" s="8" t="str">
        <f t="array" ref="AO57">IF(AN57&gt;5,"Perlu Sensus",IF(AND(AN57&gt;=0,AL57&gt;0),"Tetap Deteksi","Belum Deteksi"))</f>
        <v>Belum Deteksi</v>
      </c>
      <c r="AP57" s="143"/>
      <c r="AQ57" s="9">
        <f t="shared" si="10"/>
        <v>0</v>
      </c>
    </row>
    <row r="58" spans="1:43" outlineLevel="1" x14ac:dyDescent="0.15">
      <c r="A58" s="8" t="s">
        <v>949</v>
      </c>
      <c r="B58" s="8"/>
      <c r="C58" s="8" t="s">
        <v>107</v>
      </c>
      <c r="D58" s="186" t="s">
        <v>1385</v>
      </c>
      <c r="E58" s="9">
        <v>29.82</v>
      </c>
      <c r="F58" s="8" t="s">
        <v>469</v>
      </c>
      <c r="G58" s="10">
        <v>2323</v>
      </c>
      <c r="H58" s="11">
        <f t="array" ref="H58">IF(OR(N58&gt;0,AC58&gt;0),MAX(N58,AC58),MAX(AK58,V58))</f>
        <v>46235</v>
      </c>
      <c r="I58" s="143">
        <f t="array" ref="I58">IF(SUM(O58,AD58)&gt;0,SUM(O58,AD58),SUM(AL58,W58))</f>
        <v>308.72879069999999</v>
      </c>
      <c r="J58" s="9">
        <f t="shared" si="0"/>
        <v>13.290089999999999</v>
      </c>
      <c r="K58" s="143">
        <f t="shared" si="6"/>
        <v>12.878862320326467</v>
      </c>
      <c r="L58" s="9">
        <f t="shared" si="1"/>
        <v>4.1715780025327156</v>
      </c>
      <c r="M58" s="8" t="str">
        <f t="array" ref="M58">IF(L58&gt;5,"Perlu Sensus",IF(AND(L58&gt;=0,I58&gt;0),"Tetap Deteksi","Belum Deteksi"))</f>
        <v>Tetap Deteksi</v>
      </c>
      <c r="N58" s="11">
        <v>46235</v>
      </c>
      <c r="O58" s="143">
        <v>308.72879069999999</v>
      </c>
      <c r="P58" s="9">
        <f t="array" ref="P58">IFERROR(O58/$G58*100,0)</f>
        <v>13.290089999999999</v>
      </c>
      <c r="Q58" s="143">
        <v>12.878862320326467</v>
      </c>
      <c r="R58" s="9">
        <f t="shared" si="2"/>
        <v>4.1715780025327156</v>
      </c>
      <c r="S58" s="8" t="str">
        <f t="array" ref="S58">IF(R58&gt;5,"Perlu Sensus",IF(AND(R58&gt;=0,O58&gt;0),"Tetap Deteksi","Belum Deteksi"))</f>
        <v>Tetap Deteksi</v>
      </c>
      <c r="T58" s="143">
        <v>8.3635010510566392</v>
      </c>
      <c r="U58" s="9">
        <f t="shared" si="7"/>
        <v>2.7090123444896581</v>
      </c>
      <c r="V58" s="11">
        <v>46235</v>
      </c>
      <c r="W58" s="143">
        <v>250.68825600000002</v>
      </c>
      <c r="X58" s="143">
        <v>7.77090909268777</v>
      </c>
      <c r="Y58" s="9">
        <f t="shared" si="3"/>
        <v>3.0998297314285712</v>
      </c>
      <c r="Z58" s="8" t="str">
        <f t="array" ref="Z58">IF(Y58&gt;5,"Perlu Sensus",IF(AND(Y58&gt;=0,W58&gt;0),"Tetap Deteksi","Belum Deteksi"))</f>
        <v>Tetap Deteksi</v>
      </c>
      <c r="AA58" s="143">
        <v>5.084437918198196</v>
      </c>
      <c r="AB58" s="9">
        <f t="shared" si="8"/>
        <v>2.0281915073828571</v>
      </c>
      <c r="AC58" s="11"/>
      <c r="AD58" s="143"/>
      <c r="AE58" s="9">
        <f t="array" ref="AE58">IFERROR(AD58/$G58*100,0)</f>
        <v>0</v>
      </c>
      <c r="AF58" s="143"/>
      <c r="AG58" s="9">
        <f t="shared" si="4"/>
        <v>0</v>
      </c>
      <c r="AH58" s="8" t="str">
        <f t="array" ref="AH58">IF(AG58&gt;5,"Perlu Sensus",IF(AND(AG58&gt;=0,AD58&gt;0),"Tetap Deteksi","Belum Deteksi"))</f>
        <v>Belum Deteksi</v>
      </c>
      <c r="AI58" s="143"/>
      <c r="AJ58" s="9">
        <f t="shared" si="9"/>
        <v>0</v>
      </c>
      <c r="AK58" s="11"/>
      <c r="AL58" s="143"/>
      <c r="AM58" s="143"/>
      <c r="AN58" s="9">
        <f t="shared" si="5"/>
        <v>0</v>
      </c>
      <c r="AO58" s="8" t="str">
        <f t="array" ref="AO58">IF(AN58&gt;5,"Perlu Sensus",IF(AND(AN58&gt;=0,AL58&gt;0),"Tetap Deteksi","Belum Deteksi"))</f>
        <v>Belum Deteksi</v>
      </c>
      <c r="AP58" s="143"/>
      <c r="AQ58" s="9">
        <f t="shared" si="10"/>
        <v>0</v>
      </c>
    </row>
    <row r="59" spans="1:43" outlineLevel="1" x14ac:dyDescent="0.15">
      <c r="A59" s="8" t="s">
        <v>949</v>
      </c>
      <c r="B59" s="8"/>
      <c r="C59" s="8" t="s">
        <v>107</v>
      </c>
      <c r="D59" s="186" t="s">
        <v>1387</v>
      </c>
      <c r="E59" s="9">
        <v>26.57</v>
      </c>
      <c r="F59" s="8" t="s">
        <v>469</v>
      </c>
      <c r="G59" s="10">
        <v>3073</v>
      </c>
      <c r="H59" s="11">
        <f t="array" ref="H59">IF(OR(N59&gt;0,AC59&gt;0),MAX(N59,AC59),MAX(AK59,V59))</f>
        <v>46236</v>
      </c>
      <c r="I59" s="143">
        <f t="array" ref="I59">IF(SUM(O59,AD59)&gt;0,SUM(O59,AD59),SUM(AL59,W59))</f>
        <v>445.53214440000005</v>
      </c>
      <c r="J59" s="9">
        <f t="shared" si="0"/>
        <v>14.498280000000003</v>
      </c>
      <c r="K59" s="143">
        <f t="shared" si="6"/>
        <v>10.783127415614404</v>
      </c>
      <c r="L59" s="9">
        <f t="shared" si="1"/>
        <v>2.4202804558885611</v>
      </c>
      <c r="M59" s="8" t="str">
        <f t="array" ref="M59">IF(L59&gt;5,"Perlu Sensus",IF(AND(L59&gt;=0,I59&gt;0),"Tetap Deteksi","Belum Deteksi"))</f>
        <v>Tetap Deteksi</v>
      </c>
      <c r="N59" s="11">
        <v>46236</v>
      </c>
      <c r="O59" s="143">
        <v>445.53214440000005</v>
      </c>
      <c r="P59" s="9">
        <f t="array" ref="P59">IFERROR(O59/$G59*100,0)</f>
        <v>14.498280000000003</v>
      </c>
      <c r="Q59" s="143">
        <v>10.783127415614404</v>
      </c>
      <c r="R59" s="9">
        <f t="shared" si="2"/>
        <v>2.4202804558885611</v>
      </c>
      <c r="S59" s="8" t="str">
        <f t="array" ref="S59">IF(R59&gt;5,"Perlu Sensus",IF(AND(R59&gt;=0,O59&gt;0),"Tetap Deteksi","Belum Deteksi"))</f>
        <v>Tetap Deteksi</v>
      </c>
      <c r="T59" s="143">
        <v>7.0025360339346063</v>
      </c>
      <c r="U59" s="9">
        <f t="shared" si="7"/>
        <v>1.5717240881384553</v>
      </c>
      <c r="V59" s="11">
        <v>46236</v>
      </c>
      <c r="W59" s="143">
        <v>255.70202112000004</v>
      </c>
      <c r="X59" s="143">
        <v>7.2330544501613803</v>
      </c>
      <c r="Y59" s="9">
        <f t="shared" si="3"/>
        <v>2.8287044499999996</v>
      </c>
      <c r="Z59" s="8" t="str">
        <f t="array" ref="Z59">IF(Y59&gt;5,"Perlu Sensus",IF(AND(Y59&gt;=0,W59&gt;0),"Tetap Deteksi","Belum Deteksi"))</f>
        <v>Tetap Deteksi</v>
      </c>
      <c r="AA59" s="143">
        <v>6.24</v>
      </c>
      <c r="AB59" s="9">
        <f t="shared" si="8"/>
        <v>2.4403405075439708</v>
      </c>
      <c r="AC59" s="11"/>
      <c r="AD59" s="143"/>
      <c r="AE59" s="9">
        <f t="array" ref="AE59">IFERROR(AD59/$G59*100,0)</f>
        <v>0</v>
      </c>
      <c r="AF59" s="143"/>
      <c r="AG59" s="9">
        <f t="shared" si="4"/>
        <v>0</v>
      </c>
      <c r="AH59" s="8" t="str">
        <f t="array" ref="AH59">IF(AG59&gt;5,"Perlu Sensus",IF(AND(AG59&gt;=0,AD59&gt;0),"Tetap Deteksi","Belum Deteksi"))</f>
        <v>Belum Deteksi</v>
      </c>
      <c r="AI59" s="143"/>
      <c r="AJ59" s="9">
        <f t="shared" si="9"/>
        <v>0</v>
      </c>
      <c r="AK59" s="11"/>
      <c r="AL59" s="143"/>
      <c r="AM59" s="143"/>
      <c r="AN59" s="9">
        <f t="shared" si="5"/>
        <v>0</v>
      </c>
      <c r="AO59" s="8" t="str">
        <f t="array" ref="AO59">IF(AN59&gt;5,"Perlu Sensus",IF(AND(AN59&gt;=0,AL59&gt;0),"Tetap Deteksi","Belum Deteksi"))</f>
        <v>Belum Deteksi</v>
      </c>
      <c r="AP59" s="143"/>
      <c r="AQ59" s="9">
        <f t="shared" si="10"/>
        <v>0</v>
      </c>
    </row>
    <row r="60" spans="1:43" outlineLevel="1" x14ac:dyDescent="0.15">
      <c r="A60" s="8" t="s">
        <v>949</v>
      </c>
      <c r="B60" s="8"/>
      <c r="C60" s="8" t="s">
        <v>107</v>
      </c>
      <c r="D60" s="8" t="s">
        <v>1388</v>
      </c>
      <c r="E60" s="9">
        <v>29.23</v>
      </c>
      <c r="F60" s="8" t="s">
        <v>469</v>
      </c>
      <c r="G60" s="10">
        <v>3439</v>
      </c>
      <c r="H60" s="11">
        <f t="array" ref="H60">IF(OR(N60&gt;0,AC60&gt;0),MAX(N60,AC60),MAX(AK60,V60))</f>
        <v>46237</v>
      </c>
      <c r="I60" s="143">
        <f t="array" ref="I60">IF(SUM(O60,AD60)&gt;0,SUM(O60,AD60),SUM(AL60,W60))</f>
        <v>373.94688689999998</v>
      </c>
      <c r="J60" s="9">
        <f t="shared" si="0"/>
        <v>10.873709999999999</v>
      </c>
      <c r="K60" s="143">
        <f t="shared" si="6"/>
        <v>6.2280883120753456</v>
      </c>
      <c r="L60" s="9">
        <f t="shared" si="1"/>
        <v>1.6655007783875058</v>
      </c>
      <c r="M60" s="8" t="str">
        <f t="array" ref="M60">IF(L60&gt;5,"Perlu Sensus",IF(AND(L60&gt;=0,I60&gt;0),"Tetap Deteksi","Belum Deteksi"))</f>
        <v>Tetap Deteksi</v>
      </c>
      <c r="N60" s="11">
        <v>46237</v>
      </c>
      <c r="O60" s="143">
        <v>373.94688689999998</v>
      </c>
      <c r="P60" s="9">
        <f t="array" ref="P60">IFERROR(O60/$G60*100,0)</f>
        <v>10.873709999999999</v>
      </c>
      <c r="Q60" s="143">
        <v>6.2280883120753456</v>
      </c>
      <c r="R60" s="9">
        <f t="shared" si="2"/>
        <v>1.6655007783875058</v>
      </c>
      <c r="S60" s="8" t="str">
        <f t="array" ref="S60">IF(R60&gt;5,"Perlu Sensus",IF(AND(R60&gt;=0,O60&gt;0),"Tetap Deteksi","Belum Deteksi"))</f>
        <v>Tetap Deteksi</v>
      </c>
      <c r="T60" s="143">
        <v>4.0445050073953528</v>
      </c>
      <c r="U60" s="9">
        <f t="shared" si="7"/>
        <v>1.0815720491549179</v>
      </c>
      <c r="V60" s="11">
        <v>46237</v>
      </c>
      <c r="W60" s="143">
        <v>260.81606154240006</v>
      </c>
      <c r="X60" s="143">
        <v>4.130637143184976</v>
      </c>
      <c r="Y60" s="9">
        <f t="shared" si="3"/>
        <v>1.5837357249999999</v>
      </c>
      <c r="Z60" s="8" t="str">
        <f t="array" ref="Z60">IF(Y60&gt;5,"Perlu Sensus",IF(AND(Y60&gt;=0,W60&gt;0),"Tetap Deteksi","Belum Deteksi"))</f>
        <v>Tetap Deteksi</v>
      </c>
      <c r="AA60" s="143">
        <v>2.7026397898400187</v>
      </c>
      <c r="AB60" s="9">
        <f t="shared" si="8"/>
        <v>1.0362244464000001</v>
      </c>
      <c r="AC60" s="11"/>
      <c r="AD60" s="143"/>
      <c r="AE60" s="9">
        <f t="array" ref="AE60">IFERROR(AD60/$G60*100,0)</f>
        <v>0</v>
      </c>
      <c r="AF60" s="143"/>
      <c r="AG60" s="9">
        <f t="shared" si="4"/>
        <v>0</v>
      </c>
      <c r="AH60" s="8" t="str">
        <f t="array" ref="AH60">IF(AG60&gt;5,"Perlu Sensus",IF(AND(AG60&gt;=0,AD60&gt;0),"Tetap Deteksi","Belum Deteksi"))</f>
        <v>Belum Deteksi</v>
      </c>
      <c r="AI60" s="143"/>
      <c r="AJ60" s="9">
        <f t="shared" si="9"/>
        <v>0</v>
      </c>
      <c r="AK60" s="11"/>
      <c r="AL60" s="143"/>
      <c r="AM60" s="143"/>
      <c r="AN60" s="9">
        <f t="shared" si="5"/>
        <v>0</v>
      </c>
      <c r="AO60" s="8" t="str">
        <f t="array" ref="AO60">IF(AN60&gt;5,"Perlu Sensus",IF(AND(AN60&gt;=0,AL60&gt;0),"Tetap Deteksi","Belum Deteksi"))</f>
        <v>Belum Deteksi</v>
      </c>
      <c r="AP60" s="143"/>
      <c r="AQ60" s="9">
        <f t="shared" si="10"/>
        <v>0</v>
      </c>
    </row>
    <row r="61" spans="1:43" outlineLevel="1" x14ac:dyDescent="0.15">
      <c r="A61" s="8" t="s">
        <v>949</v>
      </c>
      <c r="B61" s="8"/>
      <c r="C61" s="8" t="s">
        <v>107</v>
      </c>
      <c r="D61" s="186" t="s">
        <v>1389</v>
      </c>
      <c r="E61" s="9">
        <v>25.14</v>
      </c>
      <c r="F61" s="8" t="s">
        <v>469</v>
      </c>
      <c r="G61" s="10">
        <v>2515</v>
      </c>
      <c r="H61" s="11">
        <f t="array" ref="H61">IF(OR(N61&gt;0,AC61&gt;0),MAX(N61,AC61),MAX(AK61,V61))</f>
        <v>46238</v>
      </c>
      <c r="I61" s="143">
        <f t="array" ref="I61">IF(SUM(O61,AD61)&gt;0,SUM(O61,AD61),SUM(AL61,W61))</f>
        <v>243.087828</v>
      </c>
      <c r="J61" s="9">
        <f t="shared" si="0"/>
        <v>9.665519999999999</v>
      </c>
      <c r="K61" s="143">
        <f t="shared" si="6"/>
        <v>2.6427184719091201</v>
      </c>
      <c r="L61" s="9">
        <f t="shared" si="1"/>
        <v>1.0871455365132967</v>
      </c>
      <c r="M61" s="8" t="str">
        <f t="array" ref="M61">IF(L61&gt;5,"Perlu Sensus",IF(AND(L61&gt;=0,I61&gt;0),"Tetap Deteksi","Belum Deteksi"))</f>
        <v>Tetap Deteksi</v>
      </c>
      <c r="N61" s="11">
        <v>46238</v>
      </c>
      <c r="O61" s="143">
        <v>243.087828</v>
      </c>
      <c r="P61" s="9">
        <f t="array" ref="P61">IFERROR(O61/$G61*100,0)</f>
        <v>9.665519999999999</v>
      </c>
      <c r="Q61" s="143">
        <v>2.6427184719091201</v>
      </c>
      <c r="R61" s="9">
        <f t="shared" si="2"/>
        <v>1.0871455365132967</v>
      </c>
      <c r="S61" s="8" t="str">
        <f t="array" ref="S61">IF(R61&gt;5,"Perlu Sensus",IF(AND(R61&gt;=0,O61&gt;0),"Tetap Deteksi","Belum Deteksi"))</f>
        <v>Tetap Deteksi</v>
      </c>
      <c r="T61" s="143">
        <v>1.7161747806384231</v>
      </c>
      <c r="U61" s="9">
        <f t="shared" si="7"/>
        <v>0.70598959839257069</v>
      </c>
      <c r="V61" s="11">
        <v>46238</v>
      </c>
      <c r="W61" s="143">
        <v>266.03238277324806</v>
      </c>
      <c r="X61" s="143">
        <v>2.5848462602308384</v>
      </c>
      <c r="Y61" s="9">
        <f t="shared" si="3"/>
        <v>0.97162842857142873</v>
      </c>
      <c r="Z61" s="8" t="str">
        <f t="array" ref="Z61">IF(Y61&gt;5,"Perlu Sensus",IF(AND(Y61&gt;=0,W61&gt;0),"Tetap Deteksi","Belum Deteksi"))</f>
        <v>Tetap Deteksi</v>
      </c>
      <c r="AA61" s="143">
        <v>1.04</v>
      </c>
      <c r="AB61" s="9">
        <f t="shared" si="8"/>
        <v>0.39092985190695412</v>
      </c>
      <c r="AC61" s="11"/>
      <c r="AD61" s="143"/>
      <c r="AE61" s="9">
        <f t="array" ref="AE61">IFERROR(AD61/$G61*100,0)</f>
        <v>0</v>
      </c>
      <c r="AF61" s="143"/>
      <c r="AG61" s="9">
        <f t="shared" si="4"/>
        <v>0</v>
      </c>
      <c r="AH61" s="8" t="str">
        <f t="array" ref="AH61">IF(AG61&gt;5,"Perlu Sensus",IF(AND(AG61&gt;=0,AD61&gt;0),"Tetap Deteksi","Belum Deteksi"))</f>
        <v>Belum Deteksi</v>
      </c>
      <c r="AI61" s="143"/>
      <c r="AJ61" s="9">
        <f t="shared" si="9"/>
        <v>0</v>
      </c>
      <c r="AK61" s="11"/>
      <c r="AL61" s="143"/>
      <c r="AM61" s="143"/>
      <c r="AN61" s="9">
        <f t="shared" si="5"/>
        <v>0</v>
      </c>
      <c r="AO61" s="8" t="str">
        <f t="array" ref="AO61">IF(AN61&gt;5,"Perlu Sensus",IF(AND(AN61&gt;=0,AL61&gt;0),"Tetap Deteksi","Belum Deteksi"))</f>
        <v>Belum Deteksi</v>
      </c>
      <c r="AP61" s="143"/>
      <c r="AQ61" s="9">
        <f t="shared" si="10"/>
        <v>0</v>
      </c>
    </row>
    <row r="62" spans="1:43" outlineLevel="1" x14ac:dyDescent="0.15">
      <c r="A62" s="8" t="s">
        <v>949</v>
      </c>
      <c r="B62" s="8"/>
      <c r="C62" s="8" t="s">
        <v>107</v>
      </c>
      <c r="D62" s="186" t="s">
        <v>1174</v>
      </c>
      <c r="E62" s="9">
        <v>44.800000000000004</v>
      </c>
      <c r="F62" s="8" t="s">
        <v>469</v>
      </c>
      <c r="G62" s="10">
        <v>4305</v>
      </c>
      <c r="H62" s="11">
        <f t="array" ref="H62">IF(OR(N62&gt;0,AC62&gt;0),MAX(N62,AC62),MAX(AK62,V62))</f>
        <v>46239</v>
      </c>
      <c r="I62" s="143">
        <f t="array" ref="I62">IF(SUM(O62,AD62)&gt;0,SUM(O62,AD62),SUM(AL62,W62))</f>
        <v>520.12579499999993</v>
      </c>
      <c r="J62" s="9">
        <f t="shared" si="0"/>
        <v>12.081899999999997</v>
      </c>
      <c r="K62" s="143">
        <f t="shared" si="6"/>
        <v>13.464000000000002</v>
      </c>
      <c r="L62" s="9">
        <f t="shared" si="1"/>
        <v>2.5886045509432973</v>
      </c>
      <c r="M62" s="8" t="str">
        <f t="array" ref="M62">IF(L62&gt;5,"Perlu Sensus",IF(AND(L62&gt;=0,I62&gt;0),"Tetap Deteksi","Belum Deteksi"))</f>
        <v>Tetap Deteksi</v>
      </c>
      <c r="N62" s="11">
        <v>46239</v>
      </c>
      <c r="O62" s="143">
        <v>520.12579499999993</v>
      </c>
      <c r="P62" s="9">
        <f t="array" ref="P62">IFERROR(O62/$G62*100,0)</f>
        <v>12.081899999999997</v>
      </c>
      <c r="Q62" s="143">
        <v>13.464000000000002</v>
      </c>
      <c r="R62" s="9">
        <f t="shared" si="2"/>
        <v>2.5886045509432973</v>
      </c>
      <c r="S62" s="8" t="str">
        <f t="array" ref="S62">IF(R62&gt;5,"Perlu Sensus",IF(AND(R62&gt;=0,O62&gt;0),"Tetap Deteksi","Belum Deteksi"))</f>
        <v>Tetap Deteksi</v>
      </c>
      <c r="T62" s="143">
        <v>8.7434879999999975</v>
      </c>
      <c r="U62" s="9">
        <f t="shared" si="7"/>
        <v>1.6810333354068698</v>
      </c>
      <c r="V62" s="11">
        <v>46239</v>
      </c>
      <c r="W62" s="143">
        <v>271.353030428713</v>
      </c>
      <c r="X62" s="143">
        <v>9.0640000000000018</v>
      </c>
      <c r="Y62" s="9">
        <f t="shared" si="3"/>
        <v>3.3402980558867208</v>
      </c>
      <c r="Z62" s="8" t="str">
        <f t="array" ref="Z62">IF(Y62&gt;5,"Perlu Sensus",IF(AND(Y62&gt;=0,W62&gt;0),"Tetap Deteksi","Belum Deteksi"))</f>
        <v>Tetap Deteksi</v>
      </c>
      <c r="AA62" s="143">
        <v>5.9304960000000007</v>
      </c>
      <c r="AB62" s="9">
        <f t="shared" si="8"/>
        <v>2.18552783089629</v>
      </c>
      <c r="AC62" s="11"/>
      <c r="AD62" s="143"/>
      <c r="AE62" s="9">
        <f t="array" ref="AE62">IFERROR(AD62/$G62*100,0)</f>
        <v>0</v>
      </c>
      <c r="AF62" s="143"/>
      <c r="AG62" s="9">
        <f t="shared" si="4"/>
        <v>0</v>
      </c>
      <c r="AH62" s="8" t="str">
        <f t="array" ref="AH62">IF(AG62&gt;5,"Perlu Sensus",IF(AND(AG62&gt;=0,AD62&gt;0),"Tetap Deteksi","Belum Deteksi"))</f>
        <v>Belum Deteksi</v>
      </c>
      <c r="AI62" s="143"/>
      <c r="AJ62" s="9">
        <f t="shared" si="9"/>
        <v>0</v>
      </c>
      <c r="AK62" s="11"/>
      <c r="AL62" s="143"/>
      <c r="AM62" s="143"/>
      <c r="AN62" s="9">
        <f t="shared" si="5"/>
        <v>0</v>
      </c>
      <c r="AO62" s="8" t="str">
        <f t="array" ref="AO62">IF(AN62&gt;5,"Perlu Sensus",IF(AND(AN62&gt;=0,AL62&gt;0),"Tetap Deteksi","Belum Deteksi"))</f>
        <v>Belum Deteksi</v>
      </c>
      <c r="AP62" s="143"/>
      <c r="AQ62" s="9">
        <f t="shared" si="10"/>
        <v>0</v>
      </c>
    </row>
    <row r="63" spans="1:43" outlineLevel="1" x14ac:dyDescent="0.15">
      <c r="A63" s="8" t="s">
        <v>949</v>
      </c>
      <c r="B63" s="8"/>
      <c r="C63" s="8" t="s">
        <v>107</v>
      </c>
      <c r="D63" s="186" t="s">
        <v>1175</v>
      </c>
      <c r="E63" s="9">
        <v>31.33</v>
      </c>
      <c r="F63" s="8" t="s">
        <v>469</v>
      </c>
      <c r="G63" s="10">
        <v>2935</v>
      </c>
      <c r="H63" s="11">
        <f t="array" ref="H63">IF(OR(N63&gt;0,AC63&gt;0),MAX(N63,AC63),MAX(AK63,V63))</f>
        <v>46240</v>
      </c>
      <c r="I63" s="143">
        <f t="array" ref="I63">IF(SUM(O63,AD63)&gt;0,SUM(O63,AD63),SUM(AL63,W63))</f>
        <v>319.14338849999996</v>
      </c>
      <c r="J63" s="9">
        <f t="shared" si="0"/>
        <v>10.873709999999999</v>
      </c>
      <c r="K63" s="143">
        <f t="shared" si="6"/>
        <v>14.586</v>
      </c>
      <c r="L63" s="9">
        <f t="shared" si="1"/>
        <v>4.5703594451871288</v>
      </c>
      <c r="M63" s="8" t="str">
        <f t="array" ref="M63">IF(L63&gt;5,"Perlu Sensus",IF(AND(L63&gt;=0,I63&gt;0),"Tetap Deteksi","Belum Deteksi"))</f>
        <v>Tetap Deteksi</v>
      </c>
      <c r="N63" s="11">
        <v>46240</v>
      </c>
      <c r="O63" s="143">
        <v>319.14338849999996</v>
      </c>
      <c r="P63" s="9">
        <f t="array" ref="P63">IFERROR(O63/$G63*100,0)</f>
        <v>10.873709999999999</v>
      </c>
      <c r="Q63" s="143">
        <v>14.586</v>
      </c>
      <c r="R63" s="9">
        <f t="shared" si="2"/>
        <v>4.5703594451871288</v>
      </c>
      <c r="S63" s="8" t="str">
        <f t="array" ref="S63">IF(R63&gt;5,"Perlu Sensus",IF(AND(R63&gt;=0,O63&gt;0),"Tetap Deteksi","Belum Deteksi"))</f>
        <v>Tetap Deteksi</v>
      </c>
      <c r="T63" s="143">
        <v>9.4721119999999992</v>
      </c>
      <c r="U63" s="9">
        <f t="shared" si="7"/>
        <v>2.9679800181729288</v>
      </c>
      <c r="V63" s="11">
        <v>46240</v>
      </c>
      <c r="W63" s="143">
        <v>276.78009103728726</v>
      </c>
      <c r="X63" s="143">
        <v>13.596000000000002</v>
      </c>
      <c r="Y63" s="9">
        <f t="shared" si="3"/>
        <v>4.9122030233628236</v>
      </c>
      <c r="Z63" s="8" t="str">
        <f t="array" ref="Z63">IF(Y63&gt;5,"Perlu Sensus",IF(AND(Y63&gt;=0,W63&gt;0),"Tetap Deteksi","Belum Deteksi"))</f>
        <v>Tetap Deteksi</v>
      </c>
      <c r="AA63" s="143">
        <v>8.8957440000000023</v>
      </c>
      <c r="AB63" s="9">
        <f t="shared" si="8"/>
        <v>3.2140115160239562</v>
      </c>
      <c r="AC63" s="11"/>
      <c r="AD63" s="143"/>
      <c r="AE63" s="9">
        <f t="array" ref="AE63">IFERROR(AD63/$G63*100,0)</f>
        <v>0</v>
      </c>
      <c r="AF63" s="143"/>
      <c r="AG63" s="9">
        <f t="shared" si="4"/>
        <v>0</v>
      </c>
      <c r="AH63" s="8" t="str">
        <f t="array" ref="AH63">IF(AG63&gt;5,"Perlu Sensus",IF(AND(AG63&gt;=0,AD63&gt;0),"Tetap Deteksi","Belum Deteksi"))</f>
        <v>Belum Deteksi</v>
      </c>
      <c r="AI63" s="143"/>
      <c r="AJ63" s="9">
        <f t="shared" si="9"/>
        <v>0</v>
      </c>
      <c r="AK63" s="11"/>
      <c r="AL63" s="143"/>
      <c r="AM63" s="143"/>
      <c r="AN63" s="9">
        <f t="shared" si="5"/>
        <v>0</v>
      </c>
      <c r="AO63" s="8" t="str">
        <f t="array" ref="AO63">IF(AN63&gt;5,"Perlu Sensus",IF(AND(AN63&gt;=0,AL63&gt;0),"Tetap Deteksi","Belum Deteksi"))</f>
        <v>Belum Deteksi</v>
      </c>
      <c r="AP63" s="143"/>
      <c r="AQ63" s="9">
        <f t="shared" si="10"/>
        <v>0</v>
      </c>
    </row>
    <row r="64" spans="1:43" outlineLevel="1" x14ac:dyDescent="0.15">
      <c r="A64" s="8" t="s">
        <v>949</v>
      </c>
      <c r="B64" s="8"/>
      <c r="C64" s="8" t="s">
        <v>107</v>
      </c>
      <c r="D64" s="186" t="s">
        <v>1176</v>
      </c>
      <c r="E64" s="9">
        <v>23.299999999999997</v>
      </c>
      <c r="F64" s="8" t="s">
        <v>469</v>
      </c>
      <c r="G64" s="10">
        <v>2414</v>
      </c>
      <c r="H64" s="11">
        <f t="array" ref="H64">IF(OR(N64&gt;0,AC64&gt;0),MAX(N64,AC64),MAX(AK64,V64))</f>
        <v>46241</v>
      </c>
      <c r="I64" s="143">
        <f t="array" ref="I64">IF(SUM(O64,AD64)&gt;0,SUM(O64,AD64),SUM(AL64,W64))</f>
        <v>233.32565280000003</v>
      </c>
      <c r="J64" s="9">
        <f t="shared" si="0"/>
        <v>9.6655200000000008</v>
      </c>
      <c r="K64" s="143">
        <f t="shared" si="6"/>
        <v>5.0999999999999996</v>
      </c>
      <c r="L64" s="9">
        <f t="shared" si="1"/>
        <v>2.1857862343029941</v>
      </c>
      <c r="M64" s="8" t="str">
        <f t="array" ref="M64">IF(L64&gt;5,"Perlu Sensus",IF(AND(L64&gt;=0,I64&gt;0),"Tetap Deteksi","Belum Deteksi"))</f>
        <v>Tetap Deteksi</v>
      </c>
      <c r="N64" s="11">
        <v>46241</v>
      </c>
      <c r="O64" s="143">
        <v>233.32565280000003</v>
      </c>
      <c r="P64" s="9">
        <f t="array" ref="P64">IFERROR(O64/$G64*100,0)</f>
        <v>9.6655200000000008</v>
      </c>
      <c r="Q64" s="143">
        <v>5.0999999999999996</v>
      </c>
      <c r="R64" s="9">
        <f t="shared" si="2"/>
        <v>2.1857862343029941</v>
      </c>
      <c r="S64" s="8" t="str">
        <f t="array" ref="S64">IF(R64&gt;5,"Perlu Sensus",IF(AND(R64&gt;=0,O64&gt;0),"Tetap Deteksi","Belum Deteksi"))</f>
        <v>Tetap Deteksi</v>
      </c>
      <c r="T64" s="143">
        <v>3.2939240917939201</v>
      </c>
      <c r="U64" s="9">
        <f t="shared" si="7"/>
        <v>1.4117282228788517</v>
      </c>
      <c r="V64" s="11">
        <v>46241</v>
      </c>
      <c r="W64" s="143">
        <v>282.315692858033</v>
      </c>
      <c r="X64" s="143">
        <v>5.911766228722084</v>
      </c>
      <c r="Y64" s="9">
        <f t="shared" si="3"/>
        <v>2.094026785714286</v>
      </c>
      <c r="Z64" s="8" t="str">
        <f t="array" ref="Z64">IF(Y64&gt;5,"Perlu Sensus",IF(AND(Y64&gt;=0,W64&gt;0),"Tetap Deteksi","Belum Deteksi"))</f>
        <v>Tetap Deteksi</v>
      </c>
      <c r="AA64" s="143">
        <v>5.2</v>
      </c>
      <c r="AB64" s="9">
        <f t="shared" si="8"/>
        <v>1.8419096534654573</v>
      </c>
      <c r="AC64" s="11"/>
      <c r="AD64" s="143"/>
      <c r="AE64" s="9">
        <f t="array" ref="AE64">IFERROR(AD64/$G64*100,0)</f>
        <v>0</v>
      </c>
      <c r="AF64" s="143"/>
      <c r="AG64" s="9">
        <f t="shared" si="4"/>
        <v>0</v>
      </c>
      <c r="AH64" s="8" t="str">
        <f t="array" ref="AH64">IF(AG64&gt;5,"Perlu Sensus",IF(AND(AG64&gt;=0,AD64&gt;0),"Tetap Deteksi","Belum Deteksi"))</f>
        <v>Belum Deteksi</v>
      </c>
      <c r="AI64" s="143"/>
      <c r="AJ64" s="9">
        <f t="shared" si="9"/>
        <v>0</v>
      </c>
      <c r="AK64" s="11"/>
      <c r="AL64" s="143"/>
      <c r="AM64" s="143"/>
      <c r="AN64" s="9">
        <f t="shared" si="5"/>
        <v>0</v>
      </c>
      <c r="AO64" s="8" t="str">
        <f t="array" ref="AO64">IF(AN64&gt;5,"Perlu Sensus",IF(AND(AN64&gt;=0,AL64&gt;0),"Tetap Deteksi","Belum Deteksi"))</f>
        <v>Belum Deteksi</v>
      </c>
      <c r="AP64" s="143"/>
      <c r="AQ64" s="9">
        <f t="shared" si="10"/>
        <v>0</v>
      </c>
    </row>
    <row r="65" spans="1:43" outlineLevel="1" x14ac:dyDescent="0.15">
      <c r="A65" s="8" t="s">
        <v>949</v>
      </c>
      <c r="B65" s="8"/>
      <c r="C65" s="8" t="s">
        <v>107</v>
      </c>
      <c r="D65" s="186" t="s">
        <v>1764</v>
      </c>
      <c r="E65" s="9">
        <v>36.21</v>
      </c>
      <c r="F65" s="8" t="s">
        <v>469</v>
      </c>
      <c r="G65" s="10">
        <v>3209</v>
      </c>
      <c r="H65" s="11">
        <f t="array" ref="H65">IF(OR(N65&gt;0,AC65&gt;0),MAX(N65,AC65),MAX(AK65,V65))</f>
        <v>46242</v>
      </c>
      <c r="I65" s="143">
        <f t="array" ref="I65">IF(SUM(O65,AD65)&gt;0,SUM(O65,AD65),SUM(AL65,W65))</f>
        <v>426.47898809999998</v>
      </c>
      <c r="J65" s="9">
        <f t="shared" si="0"/>
        <v>13.290089999999999</v>
      </c>
      <c r="K65" s="143">
        <f t="shared" si="6"/>
        <v>10.199999999999999</v>
      </c>
      <c r="L65" s="9">
        <f t="shared" si="1"/>
        <v>2.3916770308994266</v>
      </c>
      <c r="M65" s="8" t="str">
        <f t="array" ref="M65">IF(L65&gt;5,"Perlu Sensus",IF(AND(L65&gt;=0,I65&gt;0),"Tetap Deteksi","Belum Deteksi"))</f>
        <v>Tetap Deteksi</v>
      </c>
      <c r="N65" s="11">
        <v>46242</v>
      </c>
      <c r="O65" s="143">
        <v>426.47898809999998</v>
      </c>
      <c r="P65" s="9">
        <f t="array" ref="P65">IFERROR(O65/$G65*100,0)</f>
        <v>13.290089999999999</v>
      </c>
      <c r="Q65" s="143">
        <v>10.199999999999999</v>
      </c>
      <c r="R65" s="9">
        <f t="shared" si="2"/>
        <v>2.3916770308994266</v>
      </c>
      <c r="S65" s="8" t="str">
        <f t="array" ref="S65">IF(R65&gt;5,"Perlu Sensus",IF(AND(R65&gt;=0,O65&gt;0),"Tetap Deteksi","Belum Deteksi"))</f>
        <v>Tetap Deteksi</v>
      </c>
      <c r="T65" s="143">
        <v>7.5192156059701816</v>
      </c>
      <c r="U65" s="9">
        <f t="shared" si="7"/>
        <v>1.7630916916842549</v>
      </c>
      <c r="V65" s="11">
        <v>46242</v>
      </c>
      <c r="W65" s="143">
        <v>287.9620067151937</v>
      </c>
      <c r="X65" s="143">
        <v>3.09</v>
      </c>
      <c r="Y65" s="9">
        <f t="shared" si="3"/>
        <v>1.0730582257179981</v>
      </c>
      <c r="Z65" s="8" t="str">
        <f t="array" ref="Z65">IF(Y65&gt;5,"Perlu Sensus",IF(AND(Y65&gt;=0,W65&gt;0),"Tetap Deteksi","Belum Deteksi"))</f>
        <v>Tetap Deteksi</v>
      </c>
      <c r="AA65" s="143">
        <v>4.16</v>
      </c>
      <c r="AB65" s="9">
        <f t="shared" si="8"/>
        <v>1.4446350223258486</v>
      </c>
      <c r="AC65" s="11"/>
      <c r="AD65" s="143"/>
      <c r="AE65" s="9">
        <f t="array" ref="AE65">IFERROR(AD65/$G65*100,0)</f>
        <v>0</v>
      </c>
      <c r="AF65" s="143"/>
      <c r="AG65" s="9">
        <f t="shared" si="4"/>
        <v>0</v>
      </c>
      <c r="AH65" s="8" t="str">
        <f t="array" ref="AH65">IF(AG65&gt;5,"Perlu Sensus",IF(AND(AG65&gt;=0,AD65&gt;0),"Tetap Deteksi","Belum Deteksi"))</f>
        <v>Belum Deteksi</v>
      </c>
      <c r="AI65" s="143"/>
      <c r="AJ65" s="9">
        <f t="shared" si="9"/>
        <v>0</v>
      </c>
      <c r="AK65" s="11"/>
      <c r="AL65" s="143"/>
      <c r="AM65" s="143"/>
      <c r="AN65" s="9">
        <f t="shared" si="5"/>
        <v>0</v>
      </c>
      <c r="AO65" s="8" t="str">
        <f t="array" ref="AO65">IF(AN65&gt;5,"Perlu Sensus",IF(AND(AN65&gt;=0,AL65&gt;0),"Tetap Deteksi","Belum Deteksi"))</f>
        <v>Belum Deteksi</v>
      </c>
      <c r="AP65" s="143"/>
      <c r="AQ65" s="9">
        <f t="shared" si="10"/>
        <v>0</v>
      </c>
    </row>
    <row r="66" spans="1:43" outlineLevel="1" x14ac:dyDescent="0.15">
      <c r="A66" s="8" t="s">
        <v>949</v>
      </c>
      <c r="B66" s="8"/>
      <c r="C66" s="8" t="s">
        <v>107</v>
      </c>
      <c r="D66" s="186" t="s">
        <v>1181</v>
      </c>
      <c r="E66" s="9">
        <v>56.870000000000005</v>
      </c>
      <c r="F66" s="8" t="s">
        <v>469</v>
      </c>
      <c r="G66" s="10">
        <v>5744</v>
      </c>
      <c r="H66" s="11">
        <f t="array" ref="H66">IF(OR(N66&gt;0,AC66&gt;0),MAX(N66,AC66),MAX(AK66,V66))</f>
        <v>46243</v>
      </c>
      <c r="I66" s="143">
        <f t="array" ref="I66">IF(SUM(O66,AD66)&gt;0,SUM(O66,AD66),SUM(AL66,W66))</f>
        <v>832.78120320000005</v>
      </c>
      <c r="J66" s="9">
        <f t="shared" si="0"/>
        <v>14.498279999999999</v>
      </c>
      <c r="K66" s="143">
        <f t="shared" si="6"/>
        <v>23.562000000000001</v>
      </c>
      <c r="L66" s="9">
        <f t="shared" si="1"/>
        <v>2.8293145798034267</v>
      </c>
      <c r="M66" s="8" t="str">
        <f t="array" ref="M66">IF(L66&gt;5,"Perlu Sensus",IF(AND(L66&gt;=0,I66&gt;0),"Tetap Deteksi","Belum Deteksi"))</f>
        <v>Tetap Deteksi</v>
      </c>
      <c r="N66" s="11">
        <v>46243</v>
      </c>
      <c r="O66" s="143">
        <v>832.78120320000005</v>
      </c>
      <c r="P66" s="9">
        <f t="array" ref="P66">IFERROR(O66/$G66*100,0)</f>
        <v>14.498279999999999</v>
      </c>
      <c r="Q66" s="143">
        <v>23.562000000000001</v>
      </c>
      <c r="R66" s="9">
        <f t="shared" si="2"/>
        <v>2.8293145798034267</v>
      </c>
      <c r="S66" s="8" t="str">
        <f t="array" ref="S66">IF(R66&gt;5,"Perlu Sensus",IF(AND(R66&gt;=0,O66&gt;0),"Tetap Deteksi","Belum Deteksi"))</f>
        <v>Tetap Deteksi</v>
      </c>
      <c r="T66" s="143">
        <v>15.301103999999999</v>
      </c>
      <c r="U66" s="9">
        <f t="shared" si="7"/>
        <v>1.8373498274462492</v>
      </c>
      <c r="V66" s="11">
        <v>46243</v>
      </c>
      <c r="W66" s="143">
        <v>293.72124684949756</v>
      </c>
      <c r="X66" s="143">
        <v>10.197000000000001</v>
      </c>
      <c r="Y66" s="9">
        <f t="shared" si="3"/>
        <v>3.4716589655582295</v>
      </c>
      <c r="Z66" s="8" t="str">
        <f t="array" ref="Z66">IF(Y66&gt;5,"Perlu Sensus",IF(AND(Y66&gt;=0,W66&gt;0),"Tetap Deteksi","Belum Deteksi"))</f>
        <v>Tetap Deteksi</v>
      </c>
      <c r="AA66" s="143">
        <v>6.6718080000000004</v>
      </c>
      <c r="AB66" s="9">
        <f t="shared" si="8"/>
        <v>2.2714761262805845</v>
      </c>
      <c r="AC66" s="11"/>
      <c r="AD66" s="143"/>
      <c r="AE66" s="9">
        <f t="array" ref="AE66">IFERROR(AD66/$G66*100,0)</f>
        <v>0</v>
      </c>
      <c r="AF66" s="143"/>
      <c r="AG66" s="9">
        <f t="shared" si="4"/>
        <v>0</v>
      </c>
      <c r="AH66" s="8" t="str">
        <f t="array" ref="AH66">IF(AG66&gt;5,"Perlu Sensus",IF(AND(AG66&gt;=0,AD66&gt;0),"Tetap Deteksi","Belum Deteksi"))</f>
        <v>Belum Deteksi</v>
      </c>
      <c r="AI66" s="143"/>
      <c r="AJ66" s="9">
        <f t="shared" si="9"/>
        <v>0</v>
      </c>
      <c r="AK66" s="11"/>
      <c r="AL66" s="143"/>
      <c r="AM66" s="143"/>
      <c r="AN66" s="9">
        <f t="shared" si="5"/>
        <v>0</v>
      </c>
      <c r="AO66" s="8" t="str">
        <f t="array" ref="AO66">IF(AN66&gt;5,"Perlu Sensus",IF(AND(AN66&gt;=0,AL66&gt;0),"Tetap Deteksi","Belum Deteksi"))</f>
        <v>Belum Deteksi</v>
      </c>
      <c r="AP66" s="143"/>
      <c r="AQ66" s="9">
        <f t="shared" si="10"/>
        <v>0</v>
      </c>
    </row>
    <row r="67" spans="1:43" outlineLevel="1" x14ac:dyDescent="0.15">
      <c r="A67" s="8" t="s">
        <v>949</v>
      </c>
      <c r="B67" s="8"/>
      <c r="C67" s="8" t="s">
        <v>107</v>
      </c>
      <c r="D67" s="186" t="s">
        <v>1182</v>
      </c>
      <c r="E67" s="9">
        <v>23.76</v>
      </c>
      <c r="F67" s="8" t="s">
        <v>469</v>
      </c>
      <c r="G67" s="10">
        <v>1271</v>
      </c>
      <c r="H67" s="11">
        <f t="array" ref="H67">IF(OR(N67&gt;0,AC67&gt;0),MAX(N67,AC67),MAX(AK67,V67))</f>
        <v>46244</v>
      </c>
      <c r="I67" s="143">
        <f t="array" ref="I67">IF(SUM(O67,AD67)&gt;0,SUM(O67,AD67),SUM(AL67,W67))</f>
        <v>199.62923369999996</v>
      </c>
      <c r="J67" s="9">
        <f t="shared" si="0"/>
        <v>15.706469999999998</v>
      </c>
      <c r="K67" s="143">
        <f t="shared" si="6"/>
        <v>8.16</v>
      </c>
      <c r="L67" s="9">
        <f t="shared" si="1"/>
        <v>4.0875776802623687</v>
      </c>
      <c r="M67" s="8" t="str">
        <f t="array" ref="M67">IF(L67&gt;5,"Perlu Sensus",IF(AND(L67&gt;=0,I67&gt;0),"Tetap Deteksi","Belum Deteksi"))</f>
        <v>Tetap Deteksi</v>
      </c>
      <c r="N67" s="11">
        <v>46244</v>
      </c>
      <c r="O67" s="143">
        <v>199.62923369999996</v>
      </c>
      <c r="P67" s="9">
        <f t="array" ref="P67">IFERROR(O67/$G67*100,0)</f>
        <v>15.706469999999998</v>
      </c>
      <c r="Q67" s="143">
        <v>8.16</v>
      </c>
      <c r="R67" s="9">
        <f t="shared" si="2"/>
        <v>4.0875776802623687</v>
      </c>
      <c r="S67" s="8" t="str">
        <f t="array" ref="S67">IF(R67&gt;5,"Perlu Sensus",IF(AND(R67&gt;=0,O67&gt;0),"Tetap Deteksi","Belum Deteksi"))</f>
        <v>Tetap Deteksi</v>
      </c>
      <c r="T67" s="143">
        <v>3.6824770514593141</v>
      </c>
      <c r="U67" s="9">
        <f t="shared" si="7"/>
        <v>1.844658211228366</v>
      </c>
      <c r="V67" s="11">
        <v>46244</v>
      </c>
      <c r="W67" s="143">
        <v>299.59567178648751</v>
      </c>
      <c r="X67" s="143">
        <v>4.12</v>
      </c>
      <c r="Y67" s="9">
        <f t="shared" si="3"/>
        <v>1.3751867560143511</v>
      </c>
      <c r="Z67" s="8" t="str">
        <f t="array" ref="Z67">IF(Y67&gt;5,"Perlu Sensus",IF(AND(Y67&gt;=0,W67&gt;0),"Tetap Deteksi","Belum Deteksi"))</f>
        <v>Tetap Deteksi</v>
      </c>
      <c r="AA67" s="143">
        <v>8.32</v>
      </c>
      <c r="AB67" s="9">
        <f t="shared" si="8"/>
        <v>2.7770761674852915</v>
      </c>
      <c r="AC67" s="11"/>
      <c r="AD67" s="143"/>
      <c r="AE67" s="9">
        <f t="array" ref="AE67">IFERROR(AD67/$G67*100,0)</f>
        <v>0</v>
      </c>
      <c r="AF67" s="143"/>
      <c r="AG67" s="9">
        <f t="shared" si="4"/>
        <v>0</v>
      </c>
      <c r="AH67" s="8" t="str">
        <f t="array" ref="AH67">IF(AG67&gt;5,"Perlu Sensus",IF(AND(AG67&gt;=0,AD67&gt;0),"Tetap Deteksi","Belum Deteksi"))</f>
        <v>Belum Deteksi</v>
      </c>
      <c r="AI67" s="143"/>
      <c r="AJ67" s="9">
        <f t="shared" si="9"/>
        <v>0</v>
      </c>
      <c r="AK67" s="11"/>
      <c r="AL67" s="143"/>
      <c r="AM67" s="143"/>
      <c r="AN67" s="9">
        <f t="shared" si="5"/>
        <v>0</v>
      </c>
      <c r="AO67" s="8" t="str">
        <f t="array" ref="AO67">IF(AN67&gt;5,"Perlu Sensus",IF(AND(AN67&gt;=0,AL67&gt;0),"Tetap Deteksi","Belum Deteksi"))</f>
        <v>Belum Deteksi</v>
      </c>
      <c r="AP67" s="143"/>
      <c r="AQ67" s="9">
        <f t="shared" si="10"/>
        <v>0</v>
      </c>
    </row>
    <row r="68" spans="1:43" outlineLevel="1" x14ac:dyDescent="0.15">
      <c r="A68" s="8" t="s">
        <v>949</v>
      </c>
      <c r="B68" s="8"/>
      <c r="C68" s="8" t="s">
        <v>107</v>
      </c>
      <c r="D68" s="186" t="s">
        <v>1183</v>
      </c>
      <c r="E68" s="9">
        <v>22.24</v>
      </c>
      <c r="F68" s="8" t="s">
        <v>469</v>
      </c>
      <c r="G68" s="10">
        <v>2477</v>
      </c>
      <c r="H68" s="11">
        <f t="array" ref="H68">IF(OR(N68&gt;0,AC68&gt;0),MAX(N68,AC68),MAX(AK68,V68))</f>
        <v>46245</v>
      </c>
      <c r="I68" s="143">
        <f t="array" ref="I68">IF(SUM(O68,AD68)&gt;0,SUM(O68,AD68),SUM(AL68,W68))</f>
        <v>359.1223956</v>
      </c>
      <c r="J68" s="9">
        <f t="shared" si="0"/>
        <v>14.498279999999999</v>
      </c>
      <c r="K68" s="143">
        <f t="shared" si="6"/>
        <v>10.098000000000001</v>
      </c>
      <c r="L68" s="9">
        <f t="shared" si="1"/>
        <v>2.8118547112966521</v>
      </c>
      <c r="M68" s="8" t="str">
        <f t="array" ref="M68">IF(L68&gt;5,"Perlu Sensus",IF(AND(L68&gt;=0,I68&gt;0),"Tetap Deteksi","Belum Deteksi"))</f>
        <v>Tetap Deteksi</v>
      </c>
      <c r="N68" s="11">
        <v>46245</v>
      </c>
      <c r="O68" s="143">
        <v>359.1223956</v>
      </c>
      <c r="P68" s="9">
        <f t="array" ref="P68">IFERROR(O68/$G68*100,0)</f>
        <v>14.498279999999999</v>
      </c>
      <c r="Q68" s="143">
        <v>10.098000000000001</v>
      </c>
      <c r="R68" s="9">
        <f t="shared" si="2"/>
        <v>2.8118547112966521</v>
      </c>
      <c r="S68" s="8" t="str">
        <f t="array" ref="S68">IF(R68&gt;5,"Perlu Sensus",IF(AND(R68&gt;=0,O68&gt;0),"Tetap Deteksi","Belum Deteksi"))</f>
        <v>Tetap Deteksi</v>
      </c>
      <c r="T68" s="143">
        <v>6.5576159999999994</v>
      </c>
      <c r="U68" s="9">
        <f t="shared" si="7"/>
        <v>1.8260114324098142</v>
      </c>
      <c r="V68" s="11">
        <v>46245</v>
      </c>
      <c r="W68" s="143">
        <v>305.58758522221723</v>
      </c>
      <c r="X68" s="143">
        <v>6.7980000000000009</v>
      </c>
      <c r="Y68" s="9">
        <f t="shared" si="3"/>
        <v>2.2245668111996859</v>
      </c>
      <c r="Z68" s="8" t="str">
        <f t="array" ref="Z68">IF(Y68&gt;5,"Perlu Sensus",IF(AND(Y68&gt;=0,W68&gt;0),"Tetap Deteksi","Belum Deteksi"))</f>
        <v>Tetap Deteksi</v>
      </c>
      <c r="AA68" s="143">
        <v>4.4478720000000012</v>
      </c>
      <c r="AB68" s="9">
        <f t="shared" si="8"/>
        <v>1.4555146266055268</v>
      </c>
      <c r="AC68" s="11"/>
      <c r="AD68" s="143"/>
      <c r="AE68" s="9">
        <f t="array" ref="AE68">IFERROR(AD68/$G68*100,0)</f>
        <v>0</v>
      </c>
      <c r="AF68" s="143"/>
      <c r="AG68" s="9">
        <f t="shared" si="4"/>
        <v>0</v>
      </c>
      <c r="AH68" s="8" t="str">
        <f t="array" ref="AH68">IF(AG68&gt;5,"Perlu Sensus",IF(AND(AG68&gt;=0,AD68&gt;0),"Tetap Deteksi","Belum Deteksi"))</f>
        <v>Belum Deteksi</v>
      </c>
      <c r="AI68" s="143"/>
      <c r="AJ68" s="9">
        <f t="shared" si="9"/>
        <v>0</v>
      </c>
      <c r="AK68" s="11"/>
      <c r="AL68" s="143"/>
      <c r="AM68" s="143"/>
      <c r="AN68" s="9">
        <f t="shared" si="5"/>
        <v>0</v>
      </c>
      <c r="AO68" s="8" t="str">
        <f t="array" ref="AO68">IF(AN68&gt;5,"Perlu Sensus",IF(AND(AN68&gt;=0,AL68&gt;0),"Tetap Deteksi","Belum Deteksi"))</f>
        <v>Belum Deteksi</v>
      </c>
      <c r="AP68" s="143"/>
      <c r="AQ68" s="9">
        <f t="shared" si="10"/>
        <v>0</v>
      </c>
    </row>
    <row r="69" spans="1:43" outlineLevel="1" x14ac:dyDescent="0.15">
      <c r="A69" s="8" t="s">
        <v>949</v>
      </c>
      <c r="B69" s="8"/>
      <c r="C69" s="8" t="s">
        <v>107</v>
      </c>
      <c r="D69" s="186" t="s">
        <v>1440</v>
      </c>
      <c r="E69" s="9">
        <v>49.38</v>
      </c>
      <c r="F69" s="8" t="s">
        <v>469</v>
      </c>
      <c r="G69" s="10">
        <v>3088</v>
      </c>
      <c r="H69" s="11">
        <f t="array" ref="H69">IF(OR(N69&gt;0,AC69&gt;0),MAX(N69,AC69),MAX(AK69,V69))</f>
        <v>46246</v>
      </c>
      <c r="I69" s="143">
        <f t="array" ref="I69">IF(SUM(O69,AD69)&gt;0,SUM(O69,AD69),SUM(AL69,W69))</f>
        <v>335.78016479999997</v>
      </c>
      <c r="J69" s="9">
        <f t="shared" si="0"/>
        <v>10.873709999999999</v>
      </c>
      <c r="K69" s="143">
        <f t="shared" si="6"/>
        <v>11.22</v>
      </c>
      <c r="L69" s="9">
        <f t="shared" si="1"/>
        <v>3.3414719439079867</v>
      </c>
      <c r="M69" s="8" t="str">
        <f t="array" ref="M69">IF(L69&gt;5,"Perlu Sensus",IF(AND(L69&gt;=0,I69&gt;0),"Tetap Deteksi","Belum Deteksi"))</f>
        <v>Tetap Deteksi</v>
      </c>
      <c r="N69" s="11">
        <v>46246</v>
      </c>
      <c r="O69" s="143">
        <v>335.78016479999997</v>
      </c>
      <c r="P69" s="9">
        <f t="array" ref="P69">IFERROR(O69/$G69*100,0)</f>
        <v>10.873709999999999</v>
      </c>
      <c r="Q69" s="143">
        <v>11.22</v>
      </c>
      <c r="R69" s="9">
        <f t="shared" si="2"/>
        <v>3.3414719439079867</v>
      </c>
      <c r="S69" s="8" t="str">
        <f t="array" ref="S69">IF(R69&gt;5,"Perlu Sensus",IF(AND(R69&gt;=0,O69&gt;0),"Tetap Deteksi","Belum Deteksi"))</f>
        <v>Tetap Deteksi</v>
      </c>
      <c r="T69" s="143">
        <v>3.7290386379377658</v>
      </c>
      <c r="U69" s="9">
        <f t="shared" si="7"/>
        <v>1.1105595353313635</v>
      </c>
      <c r="V69" s="11">
        <v>46246</v>
      </c>
      <c r="W69" s="143">
        <v>311.69933692666166</v>
      </c>
      <c r="X69" s="143">
        <v>9.27</v>
      </c>
      <c r="Y69" s="9">
        <f t="shared" si="3"/>
        <v>2.9740198010690979</v>
      </c>
      <c r="Z69" s="8" t="str">
        <f t="array" ref="Z69">IF(Y69&gt;5,"Perlu Sensus",IF(AND(Y69&gt;=0,W69&gt;0),"Tetap Deteksi","Belum Deteksi"))</f>
        <v>Tetap Deteksi</v>
      </c>
      <c r="AA69" s="143">
        <v>5.2</v>
      </c>
      <c r="AB69" s="9">
        <f t="shared" si="8"/>
        <v>1.6682743220668077</v>
      </c>
      <c r="AC69" s="11"/>
      <c r="AD69" s="143"/>
      <c r="AE69" s="9">
        <f t="array" ref="AE69">IFERROR(AD69/$G69*100,0)</f>
        <v>0</v>
      </c>
      <c r="AF69" s="143"/>
      <c r="AG69" s="9">
        <f t="shared" si="4"/>
        <v>0</v>
      </c>
      <c r="AH69" s="8" t="str">
        <f t="array" ref="AH69">IF(AG69&gt;5,"Perlu Sensus",IF(AND(AG69&gt;=0,AD69&gt;0),"Tetap Deteksi","Belum Deteksi"))</f>
        <v>Belum Deteksi</v>
      </c>
      <c r="AI69" s="143"/>
      <c r="AJ69" s="9">
        <f t="shared" si="9"/>
        <v>0</v>
      </c>
      <c r="AK69" s="11"/>
      <c r="AL69" s="143"/>
      <c r="AM69" s="143"/>
      <c r="AN69" s="9">
        <f t="shared" si="5"/>
        <v>0</v>
      </c>
      <c r="AO69" s="8" t="str">
        <f t="array" ref="AO69">IF(AN69&gt;5,"Perlu Sensus",IF(AND(AN69&gt;=0,AL69&gt;0),"Tetap Deteksi","Belum Deteksi"))</f>
        <v>Belum Deteksi</v>
      </c>
      <c r="AP69" s="143"/>
      <c r="AQ69" s="9">
        <f t="shared" si="10"/>
        <v>0</v>
      </c>
    </row>
    <row r="70" spans="1:43" outlineLevel="1" x14ac:dyDescent="0.15">
      <c r="A70" s="8" t="s">
        <v>949</v>
      </c>
      <c r="B70" s="8"/>
      <c r="C70" s="8" t="s">
        <v>107</v>
      </c>
      <c r="D70" s="186" t="s">
        <v>1394</v>
      </c>
      <c r="E70" s="9">
        <v>25.22</v>
      </c>
      <c r="F70" s="8" t="s">
        <v>469</v>
      </c>
      <c r="G70" s="10">
        <v>2380</v>
      </c>
      <c r="H70" s="11">
        <f t="array" ref="H70">IF(OR(N70&gt;0,AC70&gt;0),MAX(N70,AC70),MAX(AK70,V70))</f>
        <v>46247</v>
      </c>
      <c r="I70" s="143">
        <f t="array" ref="I70">IF(SUM(O70,AD70)&gt;0,SUM(O70,AD70),SUM(AL70,W70))</f>
        <v>230.039376</v>
      </c>
      <c r="J70" s="9">
        <f t="shared" ref="J70:J133" si="11">IF(P70&gt;0,P70," ")</f>
        <v>9.665519999999999</v>
      </c>
      <c r="K70" s="143">
        <f t="shared" si="6"/>
        <v>11.22</v>
      </c>
      <c r="L70" s="9">
        <f t="shared" ref="L70:L133" si="12">IFERROR(K70/I70*100,0)</f>
        <v>4.8774258542589681</v>
      </c>
      <c r="M70" s="8" t="str">
        <f t="array" ref="M70">IF(L70&gt;5,"Perlu Sensus",IF(AND(L70&gt;=0,I70&gt;0),"Tetap Deteksi","Belum Deteksi"))</f>
        <v>Tetap Deteksi</v>
      </c>
      <c r="N70" s="11">
        <v>46247</v>
      </c>
      <c r="O70" s="143">
        <v>230.039376</v>
      </c>
      <c r="P70" s="9">
        <f t="array" ref="P70">IFERROR(O70/$G70*100,0)</f>
        <v>9.665519999999999</v>
      </c>
      <c r="Q70" s="143">
        <v>11.22</v>
      </c>
      <c r="R70" s="9">
        <f t="shared" ref="R70:R133" si="13">IFERROR(Q70/O70*100,0)</f>
        <v>4.8774258542589681</v>
      </c>
      <c r="S70" s="8" t="str">
        <f t="array" ref="S70">IF(R70&gt;5,"Perlu Sensus",IF(AND(R70&gt;=0,O70&gt;0),"Tetap Deteksi","Belum Deteksi"))</f>
        <v>Tetap Deteksi</v>
      </c>
      <c r="T70" s="143">
        <v>5.9437030278592529</v>
      </c>
      <c r="U70" s="9">
        <f t="shared" si="7"/>
        <v>2.5837763652511612</v>
      </c>
      <c r="V70" s="11">
        <v>46247</v>
      </c>
      <c r="W70" s="143">
        <v>317.93332366519491</v>
      </c>
      <c r="X70" s="143">
        <v>13.39</v>
      </c>
      <c r="Y70" s="9">
        <f t="shared" ref="Y70:Y133" si="14">IFERROR(X70/W70*100,0)</f>
        <v>4.2115748816882643</v>
      </c>
      <c r="Z70" s="8" t="str">
        <f t="array" ref="Z70">IF(Y70&gt;5,"Perlu Sensus",IF(AND(Y70&gt;=0,W70&gt;0),"Tetap Deteksi","Belum Deteksi"))</f>
        <v>Tetap Deteksi</v>
      </c>
      <c r="AA70" s="143">
        <v>6.24</v>
      </c>
      <c r="AB70" s="9">
        <f t="shared" si="8"/>
        <v>1.9626756730197739</v>
      </c>
      <c r="AC70" s="11"/>
      <c r="AD70" s="143"/>
      <c r="AE70" s="9">
        <f t="array" ref="AE70">IFERROR(AD70/$G70*100,0)</f>
        <v>0</v>
      </c>
      <c r="AF70" s="143"/>
      <c r="AG70" s="9">
        <f t="shared" ref="AG70:AG133" si="15">IFERROR(AF70/AD70*100,0)</f>
        <v>0</v>
      </c>
      <c r="AH70" s="8" t="str">
        <f t="array" ref="AH70">IF(AG70&gt;5,"Perlu Sensus",IF(AND(AG70&gt;=0,AD70&gt;0),"Tetap Deteksi","Belum Deteksi"))</f>
        <v>Belum Deteksi</v>
      </c>
      <c r="AI70" s="143"/>
      <c r="AJ70" s="9">
        <f t="shared" si="9"/>
        <v>0</v>
      </c>
      <c r="AK70" s="11"/>
      <c r="AL70" s="143"/>
      <c r="AM70" s="143"/>
      <c r="AN70" s="9">
        <f t="shared" ref="AN70:AN133" si="16">IFERROR(AM70/AL70*100,0)</f>
        <v>0</v>
      </c>
      <c r="AO70" s="8" t="str">
        <f t="array" ref="AO70">IF(AN70&gt;5,"Perlu Sensus",IF(AND(AN70&gt;=0,AL70&gt;0),"Tetap Deteksi","Belum Deteksi"))</f>
        <v>Belum Deteksi</v>
      </c>
      <c r="AP70" s="143"/>
      <c r="AQ70" s="9">
        <f t="shared" si="10"/>
        <v>0</v>
      </c>
    </row>
    <row r="71" spans="1:43" outlineLevel="1" x14ac:dyDescent="0.15">
      <c r="A71" s="8" t="s">
        <v>949</v>
      </c>
      <c r="B71" s="8"/>
      <c r="C71" s="8" t="s">
        <v>107</v>
      </c>
      <c r="D71" s="186" t="s">
        <v>1362</v>
      </c>
      <c r="E71" s="9">
        <v>36.94</v>
      </c>
      <c r="F71" s="8" t="s">
        <v>469</v>
      </c>
      <c r="G71" s="10">
        <v>4279</v>
      </c>
      <c r="H71" s="11">
        <f t="array" ref="H71">IF(OR(N71&gt;0,AC71&gt;0),MAX(N71,AC71),MAX(AK71,V71))</f>
        <v>46248</v>
      </c>
      <c r="I71" s="143">
        <f t="array" ref="I71">IF(SUM(O71,AD71)&gt;0,SUM(O71,AD71),SUM(AL71,W71))</f>
        <v>465.28605089999991</v>
      </c>
      <c r="J71" s="9">
        <f t="shared" si="11"/>
        <v>10.873709999999997</v>
      </c>
      <c r="K71" s="143">
        <f t="shared" ref="K71:K134" si="17">IF(SUM(Q71,AF71)&gt;0,SUM(Q71,AF71),SUM(AM71,X71))</f>
        <v>8.9760000000000009</v>
      </c>
      <c r="L71" s="9">
        <f t="shared" si="12"/>
        <v>1.9291358472143707</v>
      </c>
      <c r="M71" s="8" t="str">
        <f t="array" ref="M71">IF(L71&gt;5,"Perlu Sensus",IF(AND(L71&gt;=0,I71&gt;0),"Tetap Deteksi","Belum Deteksi"))</f>
        <v>Tetap Deteksi</v>
      </c>
      <c r="N71" s="11">
        <v>46248</v>
      </c>
      <c r="O71" s="143">
        <v>465.28605089999991</v>
      </c>
      <c r="P71" s="9">
        <f t="array" ref="P71">IFERROR(O71/$G71*100,0)</f>
        <v>10.873709999999997</v>
      </c>
      <c r="Q71" s="143">
        <v>8.9760000000000009</v>
      </c>
      <c r="R71" s="9">
        <f t="shared" si="13"/>
        <v>1.9291358472143707</v>
      </c>
      <c r="S71" s="8" t="str">
        <f t="array" ref="S71">IF(R71&gt;5,"Perlu Sensus",IF(AND(R71&gt;=0,O71&gt;0),"Tetap Deteksi","Belum Deteksi"))</f>
        <v>Tetap Deteksi</v>
      </c>
      <c r="T71" s="143">
        <v>5.8289919999999995</v>
      </c>
      <c r="U71" s="9">
        <f t="shared" ref="U71:U134" si="18">IFERROR(T71/O71*100,0)</f>
        <v>1.2527760049382561</v>
      </c>
      <c r="V71" s="11">
        <v>46248</v>
      </c>
      <c r="W71" s="143">
        <v>324.29199013849876</v>
      </c>
      <c r="X71" s="143">
        <v>10.197000000000001</v>
      </c>
      <c r="Y71" s="9">
        <f t="shared" si="14"/>
        <v>3.1443884863283431</v>
      </c>
      <c r="Z71" s="8" t="str">
        <f t="array" ref="Z71">IF(Y71&gt;5,"Perlu Sensus",IF(AND(Y71&gt;=0,W71&gt;0),"Tetap Deteksi","Belum Deteksi"))</f>
        <v>Tetap Deteksi</v>
      </c>
      <c r="AA71" s="143">
        <v>6.6718080000000004</v>
      </c>
      <c r="AB71" s="9">
        <f t="shared" ref="AB71:AB134" si="19">IFERROR(AA71/W71*100,0)</f>
        <v>2.057345911365434</v>
      </c>
      <c r="AC71" s="11"/>
      <c r="AD71" s="143"/>
      <c r="AE71" s="9">
        <f t="array" ref="AE71">IFERROR(AD71/$G71*100,0)</f>
        <v>0</v>
      </c>
      <c r="AF71" s="143"/>
      <c r="AG71" s="9">
        <f t="shared" si="15"/>
        <v>0</v>
      </c>
      <c r="AH71" s="8" t="str">
        <f t="array" ref="AH71">IF(AG71&gt;5,"Perlu Sensus",IF(AND(AG71&gt;=0,AD71&gt;0),"Tetap Deteksi","Belum Deteksi"))</f>
        <v>Belum Deteksi</v>
      </c>
      <c r="AI71" s="143"/>
      <c r="AJ71" s="9">
        <f t="shared" ref="AJ71:AJ134" si="20">IFERROR(AI71/AD71*100,0)</f>
        <v>0</v>
      </c>
      <c r="AK71" s="11"/>
      <c r="AL71" s="143"/>
      <c r="AM71" s="143"/>
      <c r="AN71" s="9">
        <f t="shared" si="16"/>
        <v>0</v>
      </c>
      <c r="AO71" s="8" t="str">
        <f t="array" ref="AO71">IF(AN71&gt;5,"Perlu Sensus",IF(AND(AN71&gt;=0,AL71&gt;0),"Tetap Deteksi","Belum Deteksi"))</f>
        <v>Belum Deteksi</v>
      </c>
      <c r="AP71" s="143"/>
      <c r="AQ71" s="9">
        <f t="shared" ref="AQ71:AQ134" si="21">IFERROR(AP71/AL71*100,0)</f>
        <v>0</v>
      </c>
    </row>
    <row r="72" spans="1:43" outlineLevel="1" x14ac:dyDescent="0.15">
      <c r="A72" s="8" t="s">
        <v>949</v>
      </c>
      <c r="B72" s="8"/>
      <c r="C72" s="8" t="s">
        <v>107</v>
      </c>
      <c r="D72" s="181" t="s">
        <v>1363</v>
      </c>
      <c r="E72" s="9">
        <v>34.870000000000005</v>
      </c>
      <c r="F72" s="8" t="s">
        <v>469</v>
      </c>
      <c r="G72" s="10">
        <v>4119</v>
      </c>
      <c r="H72" s="11">
        <f t="array" ref="H72">IF(OR(N72&gt;0,AC72&gt;0),MAX(N72,AC72),MAX(AK72,V72))</f>
        <v>46249</v>
      </c>
      <c r="I72" s="143">
        <f t="array" ref="I72">IF(SUM(O72,AD72)&gt;0,SUM(O72,AD72),SUM(AL72,W72))</f>
        <v>497.65346099999999</v>
      </c>
      <c r="J72" s="9">
        <f t="shared" si="11"/>
        <v>12.081899999999999</v>
      </c>
      <c r="K72" s="143">
        <f t="shared" si="17"/>
        <v>3.06</v>
      </c>
      <c r="L72" s="9">
        <f t="shared" si="12"/>
        <v>0.61488570658207475</v>
      </c>
      <c r="M72" s="8" t="str">
        <f t="array" ref="M72">IF(L72&gt;5,"Perlu Sensus",IF(AND(L72&gt;=0,I72&gt;0),"Tetap Deteksi","Belum Deteksi"))</f>
        <v>Tetap Deteksi</v>
      </c>
      <c r="N72" s="11">
        <v>46249</v>
      </c>
      <c r="O72" s="143">
        <v>497.65346099999999</v>
      </c>
      <c r="P72" s="9">
        <f t="array" ref="P72">IFERROR(O72/$G72*100,0)</f>
        <v>12.081899999999999</v>
      </c>
      <c r="Q72" s="143">
        <v>3.06</v>
      </c>
      <c r="R72" s="9">
        <f t="shared" si="13"/>
        <v>0.61488570658207475</v>
      </c>
      <c r="S72" s="8" t="str">
        <f t="array" ref="S72">IF(R72&gt;5,"Perlu Sensus",IF(AND(R72&gt;=0,O72&gt;0),"Tetap Deteksi","Belum Deteksi"))</f>
        <v>Tetap Deteksi</v>
      </c>
      <c r="T72" s="143">
        <v>5.6828605053991676</v>
      </c>
      <c r="U72" s="9">
        <f t="shared" si="18"/>
        <v>1.14193127361756</v>
      </c>
      <c r="V72" s="11">
        <v>46249</v>
      </c>
      <c r="W72" s="143">
        <v>330.77782994126881</v>
      </c>
      <c r="X72" s="143">
        <v>9.27</v>
      </c>
      <c r="Y72" s="9">
        <f t="shared" si="14"/>
        <v>2.8024852819325687</v>
      </c>
      <c r="Z72" s="8" t="str">
        <f t="array" ref="Z72">IF(Y72&gt;5,"Perlu Sensus",IF(AND(Y72&gt;=0,W72&gt;0),"Tetap Deteksi","Belum Deteksi"))</f>
        <v>Tetap Deteksi</v>
      </c>
      <c r="AA72" s="143">
        <v>3.12</v>
      </c>
      <c r="AB72" s="9">
        <f t="shared" si="19"/>
        <v>0.94323129230092939</v>
      </c>
      <c r="AC72" s="11"/>
      <c r="AD72" s="143"/>
      <c r="AE72" s="9">
        <f t="array" ref="AE72">IFERROR(AD72/$G72*100,0)</f>
        <v>0</v>
      </c>
      <c r="AF72" s="143"/>
      <c r="AG72" s="9">
        <f t="shared" si="15"/>
        <v>0</v>
      </c>
      <c r="AH72" s="8" t="str">
        <f t="array" ref="AH72">IF(AG72&gt;5,"Perlu Sensus",IF(AND(AG72&gt;=0,AD72&gt;0),"Tetap Deteksi","Belum Deteksi"))</f>
        <v>Belum Deteksi</v>
      </c>
      <c r="AI72" s="143"/>
      <c r="AJ72" s="9">
        <f t="shared" si="20"/>
        <v>0</v>
      </c>
      <c r="AK72" s="11"/>
      <c r="AL72" s="143"/>
      <c r="AM72" s="143"/>
      <c r="AN72" s="9">
        <f t="shared" si="16"/>
        <v>0</v>
      </c>
      <c r="AO72" s="8" t="str">
        <f t="array" ref="AO72">IF(AN72&gt;5,"Perlu Sensus",IF(AND(AN72&gt;=0,AL72&gt;0),"Tetap Deteksi","Belum Deteksi"))</f>
        <v>Belum Deteksi</v>
      </c>
      <c r="AP72" s="143"/>
      <c r="AQ72" s="9">
        <f t="shared" si="21"/>
        <v>0</v>
      </c>
    </row>
    <row r="73" spans="1:43" outlineLevel="1" x14ac:dyDescent="0.15">
      <c r="A73" s="8" t="s">
        <v>949</v>
      </c>
      <c r="B73" s="8"/>
      <c r="C73" s="8" t="s">
        <v>107</v>
      </c>
      <c r="D73" s="186" t="s">
        <v>1372</v>
      </c>
      <c r="E73" s="9">
        <v>33.75</v>
      </c>
      <c r="F73" s="8" t="s">
        <v>469</v>
      </c>
      <c r="G73" s="10">
        <v>4299</v>
      </c>
      <c r="H73" s="11">
        <f t="array" ref="H73">IF(OR(N73&gt;0,AC73&gt;0),MAX(N73,AC73),MAX(AK73,V73))</f>
        <v>46235</v>
      </c>
      <c r="I73" s="143">
        <f t="array" ref="I73">IF(SUM(O73,AD73)&gt;0,SUM(O73,AD73),SUM(AL73,W73))</f>
        <v>519.40088099999991</v>
      </c>
      <c r="J73" s="9">
        <f t="shared" si="11"/>
        <v>12.081899999999997</v>
      </c>
      <c r="K73" s="143">
        <f t="shared" si="17"/>
        <v>12.342000000000002</v>
      </c>
      <c r="L73" s="9">
        <f t="shared" si="12"/>
        <v>2.3761992810327954</v>
      </c>
      <c r="M73" s="8" t="str">
        <f t="array" ref="M73">IF(L73&gt;5,"Perlu Sensus",IF(AND(L73&gt;=0,I73&gt;0),"Tetap Deteksi","Belum Deteksi"))</f>
        <v>Tetap Deteksi</v>
      </c>
      <c r="N73" s="11">
        <v>46235</v>
      </c>
      <c r="O73" s="143">
        <v>519.40088099999991</v>
      </c>
      <c r="P73" s="9">
        <f t="array" ref="P73">IFERROR(O73/$G73*100,0)</f>
        <v>12.081899999999997</v>
      </c>
      <c r="Q73" s="143">
        <v>12.342000000000002</v>
      </c>
      <c r="R73" s="9">
        <f t="shared" si="13"/>
        <v>2.3761992810327954</v>
      </c>
      <c r="S73" s="8" t="str">
        <f t="array" ref="S73">IF(R73&gt;5,"Perlu Sensus",IF(AND(R73&gt;=0,O73&gt;0),"Tetap Deteksi","Belum Deteksi"))</f>
        <v>Tetap Deteksi</v>
      </c>
      <c r="T73" s="143">
        <v>8.0148639999999993</v>
      </c>
      <c r="U73" s="9">
        <f t="shared" si="18"/>
        <v>1.5430978831936175</v>
      </c>
      <c r="V73" s="11">
        <v>46235</v>
      </c>
      <c r="W73" s="143">
        <v>337.39338654009418</v>
      </c>
      <c r="X73" s="143">
        <v>5.665</v>
      </c>
      <c r="Y73" s="9">
        <f t="shared" si="14"/>
        <v>1.6790489161905371</v>
      </c>
      <c r="Z73" s="8" t="str">
        <f t="array" ref="Z73">IF(Y73&gt;5,"Perlu Sensus",IF(AND(Y73&gt;=0,W73&gt;0),"Tetap Deteksi","Belum Deteksi"))</f>
        <v>Tetap Deteksi</v>
      </c>
      <c r="AA73" s="143">
        <v>3.7065600000000005</v>
      </c>
      <c r="AB73" s="9">
        <f t="shared" si="19"/>
        <v>1.098587034562259</v>
      </c>
      <c r="AC73" s="11"/>
      <c r="AD73" s="143"/>
      <c r="AE73" s="9">
        <f t="array" ref="AE73">IFERROR(AD73/$G73*100,0)</f>
        <v>0</v>
      </c>
      <c r="AF73" s="143"/>
      <c r="AG73" s="9">
        <f t="shared" si="15"/>
        <v>0</v>
      </c>
      <c r="AH73" s="8" t="str">
        <f t="array" ref="AH73">IF(AG73&gt;5,"Perlu Sensus",IF(AND(AG73&gt;=0,AD73&gt;0),"Tetap Deteksi","Belum Deteksi"))</f>
        <v>Belum Deteksi</v>
      </c>
      <c r="AI73" s="143"/>
      <c r="AJ73" s="9">
        <f t="shared" si="20"/>
        <v>0</v>
      </c>
      <c r="AK73" s="11"/>
      <c r="AL73" s="143"/>
      <c r="AM73" s="143"/>
      <c r="AN73" s="9">
        <f t="shared" si="16"/>
        <v>0</v>
      </c>
      <c r="AO73" s="8" t="str">
        <f t="array" ref="AO73">IF(AN73&gt;5,"Perlu Sensus",IF(AND(AN73&gt;=0,AL73&gt;0),"Tetap Deteksi","Belum Deteksi"))</f>
        <v>Belum Deteksi</v>
      </c>
      <c r="AP73" s="143"/>
      <c r="AQ73" s="9">
        <f t="shared" si="21"/>
        <v>0</v>
      </c>
    </row>
    <row r="74" spans="1:43" outlineLevel="1" x14ac:dyDescent="0.15">
      <c r="A74" s="8" t="s">
        <v>949</v>
      </c>
      <c r="B74" s="8"/>
      <c r="C74" s="8" t="s">
        <v>107</v>
      </c>
      <c r="D74" s="186" t="s">
        <v>956</v>
      </c>
      <c r="E74" s="9">
        <v>29.290000000000003</v>
      </c>
      <c r="F74" s="8" t="s">
        <v>469</v>
      </c>
      <c r="G74" s="10">
        <v>3643</v>
      </c>
      <c r="H74" s="11">
        <f t="array" ref="H74">IF(OR(N74&gt;0,AC74&gt;0),MAX(N74,AC74),MAX(AK74,V74))</f>
        <v>46236</v>
      </c>
      <c r="I74" s="143">
        <f t="array" ref="I74">IF(SUM(O74,AD74)&gt;0,SUM(O74,AD74),SUM(AL74,W74))</f>
        <v>528.17234040000005</v>
      </c>
      <c r="J74" s="9">
        <f t="shared" si="11"/>
        <v>14.498280000000003</v>
      </c>
      <c r="K74" s="143">
        <f t="shared" si="17"/>
        <v>23.562000000000001</v>
      </c>
      <c r="L74" s="9">
        <f t="shared" si="12"/>
        <v>4.4610439051306283</v>
      </c>
      <c r="M74" s="8" t="str">
        <f t="array" ref="M74">IF(L74&gt;5,"Perlu Sensus",IF(AND(L74&gt;=0,I74&gt;0),"Tetap Deteksi","Belum Deteksi"))</f>
        <v>Tetap Deteksi</v>
      </c>
      <c r="N74" s="11">
        <v>46236</v>
      </c>
      <c r="O74" s="143">
        <v>528.17234040000005</v>
      </c>
      <c r="P74" s="9">
        <f t="array" ref="P74">IFERROR(O74/$G74*100,0)</f>
        <v>14.498280000000003</v>
      </c>
      <c r="Q74" s="143">
        <v>23.562000000000001</v>
      </c>
      <c r="R74" s="9">
        <f t="shared" si="13"/>
        <v>4.4610439051306283</v>
      </c>
      <c r="S74" s="8" t="str">
        <f t="array" ref="S74">IF(R74&gt;5,"Perlu Sensus",IF(AND(R74&gt;=0,O74&gt;0),"Tetap Deteksi","Belum Deteksi"))</f>
        <v>Tetap Deteksi</v>
      </c>
      <c r="T74" s="143">
        <v>15.301103999999999</v>
      </c>
      <c r="U74" s="9">
        <f t="shared" si="18"/>
        <v>2.8969907792619423</v>
      </c>
      <c r="V74" s="11">
        <v>46236</v>
      </c>
      <c r="W74" s="143">
        <v>344.14125427089607</v>
      </c>
      <c r="X74" s="143">
        <v>10.197000000000001</v>
      </c>
      <c r="Y74" s="9">
        <f t="shared" si="14"/>
        <v>2.9630274991597711</v>
      </c>
      <c r="Z74" s="8" t="str">
        <f t="array" ref="Z74">IF(Y74&gt;5,"Perlu Sensus",IF(AND(Y74&gt;=0,W74&gt;0),"Tetap Deteksi","Belum Deteksi"))</f>
        <v>Tetap Deteksi</v>
      </c>
      <c r="AA74" s="143">
        <v>6.6718080000000004</v>
      </c>
      <c r="AB74" s="9">
        <f t="shared" si="19"/>
        <v>1.938683002168692</v>
      </c>
      <c r="AC74" s="11"/>
      <c r="AD74" s="143"/>
      <c r="AE74" s="9">
        <f t="array" ref="AE74">IFERROR(AD74/$G74*100,0)</f>
        <v>0</v>
      </c>
      <c r="AF74" s="143"/>
      <c r="AG74" s="9">
        <f t="shared" si="15"/>
        <v>0</v>
      </c>
      <c r="AH74" s="8" t="str">
        <f t="array" ref="AH74">IF(AG74&gt;5,"Perlu Sensus",IF(AND(AG74&gt;=0,AD74&gt;0),"Tetap Deteksi","Belum Deteksi"))</f>
        <v>Belum Deteksi</v>
      </c>
      <c r="AI74" s="143"/>
      <c r="AJ74" s="9">
        <f t="shared" si="20"/>
        <v>0</v>
      </c>
      <c r="AK74" s="11"/>
      <c r="AL74" s="143"/>
      <c r="AM74" s="143"/>
      <c r="AN74" s="9">
        <f t="shared" si="16"/>
        <v>0</v>
      </c>
      <c r="AO74" s="8" t="str">
        <f t="array" ref="AO74">IF(AN74&gt;5,"Perlu Sensus",IF(AND(AN74&gt;=0,AL74&gt;0),"Tetap Deteksi","Belum Deteksi"))</f>
        <v>Belum Deteksi</v>
      </c>
      <c r="AP74" s="143"/>
      <c r="AQ74" s="9">
        <f t="shared" si="21"/>
        <v>0</v>
      </c>
    </row>
    <row r="75" spans="1:43" outlineLevel="1" x14ac:dyDescent="0.15">
      <c r="A75" s="8" t="s">
        <v>949</v>
      </c>
      <c r="B75" s="8"/>
      <c r="C75" s="8" t="s">
        <v>107</v>
      </c>
      <c r="D75" s="186" t="s">
        <v>1380</v>
      </c>
      <c r="E75" s="9">
        <v>29.679999999999996</v>
      </c>
      <c r="F75" s="8" t="s">
        <v>469</v>
      </c>
      <c r="G75" s="10">
        <v>3885</v>
      </c>
      <c r="H75" s="11">
        <f t="array" ref="H75">IF(OR(N75&gt;0,AC75&gt;0),MAX(N75,AC75),MAX(AK75,V75))</f>
        <v>46237</v>
      </c>
      <c r="I75" s="143">
        <f t="array" ref="I75">IF(SUM(O75,AD75)&gt;0,SUM(O75,AD75),SUM(AL75,W75))</f>
        <v>610.19635949999997</v>
      </c>
      <c r="J75" s="9">
        <f t="shared" si="11"/>
        <v>15.706469999999999</v>
      </c>
      <c r="K75" s="143">
        <f t="shared" si="17"/>
        <v>21.318000000000001</v>
      </c>
      <c r="L75" s="9">
        <f t="shared" si="12"/>
        <v>3.4936294961622107</v>
      </c>
      <c r="M75" s="8" t="str">
        <f t="array" ref="M75">IF(L75&gt;5,"Perlu Sensus",IF(AND(L75&gt;=0,I75&gt;0),"Tetap Deteksi","Belum Deteksi"))</f>
        <v>Tetap Deteksi</v>
      </c>
      <c r="N75" s="11">
        <v>46237</v>
      </c>
      <c r="O75" s="143">
        <v>610.19635949999997</v>
      </c>
      <c r="P75" s="9">
        <f t="array" ref="P75">IFERROR(O75/$G75*100,0)</f>
        <v>15.706469999999999</v>
      </c>
      <c r="Q75" s="143">
        <v>21.318000000000001</v>
      </c>
      <c r="R75" s="9">
        <f t="shared" si="13"/>
        <v>3.4936294961622107</v>
      </c>
      <c r="S75" s="8" t="str">
        <f t="array" ref="S75">IF(R75&gt;5,"Perlu Sensus",IF(AND(R75&gt;=0,O75&gt;0),"Tetap Deteksi","Belum Deteksi"))</f>
        <v>Tetap Deteksi</v>
      </c>
      <c r="T75" s="143">
        <v>13.843855999999997</v>
      </c>
      <c r="U75" s="9">
        <f t="shared" si="18"/>
        <v>2.2687542763027575</v>
      </c>
      <c r="V75" s="11">
        <v>46237</v>
      </c>
      <c r="W75" s="143">
        <v>351.02407935631408</v>
      </c>
      <c r="X75" s="143">
        <v>10.197000000000001</v>
      </c>
      <c r="Y75" s="9">
        <f t="shared" si="14"/>
        <v>2.9049289207448732</v>
      </c>
      <c r="Z75" s="8" t="str">
        <f t="array" ref="Z75">IF(Y75&gt;5,"Perlu Sensus",IF(AND(Y75&gt;=0,W75&gt;0),"Tetap Deteksi","Belum Deteksi"))</f>
        <v>Tetap Deteksi</v>
      </c>
      <c r="AA75" s="143">
        <v>6.6718080000000004</v>
      </c>
      <c r="AB75" s="9">
        <f t="shared" si="19"/>
        <v>1.9006696099693057</v>
      </c>
      <c r="AC75" s="11"/>
      <c r="AD75" s="143"/>
      <c r="AE75" s="9">
        <f t="array" ref="AE75">IFERROR(AD75/$G75*100,0)</f>
        <v>0</v>
      </c>
      <c r="AF75" s="143"/>
      <c r="AG75" s="9">
        <f t="shared" si="15"/>
        <v>0</v>
      </c>
      <c r="AH75" s="8" t="str">
        <f t="array" ref="AH75">IF(AG75&gt;5,"Perlu Sensus",IF(AND(AG75&gt;=0,AD75&gt;0),"Tetap Deteksi","Belum Deteksi"))</f>
        <v>Belum Deteksi</v>
      </c>
      <c r="AI75" s="143"/>
      <c r="AJ75" s="9">
        <f t="shared" si="20"/>
        <v>0</v>
      </c>
      <c r="AK75" s="11"/>
      <c r="AL75" s="143"/>
      <c r="AM75" s="143"/>
      <c r="AN75" s="9">
        <f t="shared" si="16"/>
        <v>0</v>
      </c>
      <c r="AO75" s="8" t="str">
        <f t="array" ref="AO75">IF(AN75&gt;5,"Perlu Sensus",IF(AND(AN75&gt;=0,AL75&gt;0),"Tetap Deteksi","Belum Deteksi"))</f>
        <v>Belum Deteksi</v>
      </c>
      <c r="AP75" s="143"/>
      <c r="AQ75" s="9">
        <f t="shared" si="21"/>
        <v>0</v>
      </c>
    </row>
    <row r="76" spans="1:43" outlineLevel="1" x14ac:dyDescent="0.15">
      <c r="A76" s="8" t="s">
        <v>949</v>
      </c>
      <c r="B76" s="8"/>
      <c r="C76" s="8" t="s">
        <v>290</v>
      </c>
      <c r="D76" s="186" t="s">
        <v>1765</v>
      </c>
      <c r="E76" s="9">
        <v>32.19</v>
      </c>
      <c r="F76" s="8" t="s">
        <v>469</v>
      </c>
      <c r="G76" s="10">
        <v>3693</v>
      </c>
      <c r="H76" s="11">
        <f t="array" ref="H76">IF(OR(N76&gt;0,AC76&gt;0),MAX(N76,AC76),MAX(AK76,V76))</f>
        <v>46235</v>
      </c>
      <c r="I76" s="143">
        <f t="array" ref="I76">IF(SUM(O76,AD76)&gt;0,SUM(O76,AD76),SUM(AL76,W76))</f>
        <v>490.80302369999993</v>
      </c>
      <c r="J76" s="9">
        <f t="shared" si="11"/>
        <v>13.290089999999999</v>
      </c>
      <c r="K76" s="143">
        <f t="shared" si="17"/>
        <v>19.109282240938985</v>
      </c>
      <c r="L76" s="9">
        <f t="shared" si="12"/>
        <v>3.8934728023638678</v>
      </c>
      <c r="M76" s="8" t="str">
        <f t="array" ref="M76">IF(L76&gt;5,"Perlu Sensus",IF(AND(L76&gt;=0,I76&gt;0),"Tetap Deteksi","Belum Deteksi"))</f>
        <v>Tetap Deteksi</v>
      </c>
      <c r="N76" s="11">
        <v>46235</v>
      </c>
      <c r="O76" s="143">
        <v>490.80302369999993</v>
      </c>
      <c r="P76" s="9">
        <f t="array" ref="P76">IFERROR(O76/$G76*100,0)</f>
        <v>13.290089999999999</v>
      </c>
      <c r="Q76" s="143">
        <v>19.109282240938985</v>
      </c>
      <c r="R76" s="9">
        <f t="shared" si="13"/>
        <v>3.8934728023638678</v>
      </c>
      <c r="S76" s="8" t="str">
        <f t="array" ref="S76">IF(R76&gt;5,"Perlu Sensus",IF(AND(R76&gt;=0,O76&gt;0),"Tetap Deteksi","Belum Deteksi"))</f>
        <v>Tetap Deteksi</v>
      </c>
      <c r="T76" s="143">
        <v>12.4095201992174</v>
      </c>
      <c r="U76" s="9">
        <f t="shared" si="18"/>
        <v>2.5284115215236809</v>
      </c>
      <c r="V76" s="11">
        <v>46235</v>
      </c>
      <c r="W76" s="143">
        <v>250.68825600000002</v>
      </c>
      <c r="X76" s="143">
        <v>8.5384062870273016</v>
      </c>
      <c r="Y76" s="9">
        <f t="shared" si="14"/>
        <v>3.4059857542857133</v>
      </c>
      <c r="Z76" s="8" t="str">
        <f t="array" ref="Z76">IF(Y76&gt;5,"Perlu Sensus",IF(AND(Y76&gt;=0,W76&gt;0),"Tetap Deteksi","Belum Deteksi"))</f>
        <v>Tetap Deteksi</v>
      </c>
      <c r="AA76" s="143">
        <v>5.5866046261683877</v>
      </c>
      <c r="AB76" s="9">
        <f t="shared" si="19"/>
        <v>2.2285067179885711</v>
      </c>
      <c r="AC76" s="11"/>
      <c r="AD76" s="143"/>
      <c r="AE76" s="9">
        <f t="array" ref="AE76">IFERROR(AD76/$G76*100,0)</f>
        <v>0</v>
      </c>
      <c r="AF76" s="143"/>
      <c r="AG76" s="9">
        <f t="shared" si="15"/>
        <v>0</v>
      </c>
      <c r="AH76" s="8" t="str">
        <f t="array" ref="AH76">IF(AG76&gt;5,"Perlu Sensus",IF(AND(AG76&gt;=0,AD76&gt;0),"Tetap Deteksi","Belum Deteksi"))</f>
        <v>Belum Deteksi</v>
      </c>
      <c r="AI76" s="143"/>
      <c r="AJ76" s="9">
        <f t="shared" si="20"/>
        <v>0</v>
      </c>
      <c r="AK76" s="11"/>
      <c r="AL76" s="143"/>
      <c r="AM76" s="143"/>
      <c r="AN76" s="9">
        <f t="shared" si="16"/>
        <v>0</v>
      </c>
      <c r="AO76" s="8" t="str">
        <f t="array" ref="AO76">IF(AN76&gt;5,"Perlu Sensus",IF(AND(AN76&gt;=0,AL76&gt;0),"Tetap Deteksi","Belum Deteksi"))</f>
        <v>Belum Deteksi</v>
      </c>
      <c r="AP76" s="143"/>
      <c r="AQ76" s="9">
        <f t="shared" si="21"/>
        <v>0</v>
      </c>
    </row>
    <row r="77" spans="1:43" outlineLevel="1" x14ac:dyDescent="0.15">
      <c r="A77" s="8" t="s">
        <v>949</v>
      </c>
      <c r="B77" s="8"/>
      <c r="C77" s="8" t="s">
        <v>290</v>
      </c>
      <c r="D77" s="181" t="s">
        <v>1766</v>
      </c>
      <c r="E77" s="9">
        <v>31.39</v>
      </c>
      <c r="F77" s="8" t="s">
        <v>469</v>
      </c>
      <c r="G77" s="10">
        <v>4390</v>
      </c>
      <c r="H77" s="11">
        <f t="array" ref="H77">IF(OR(N77&gt;0,AC77&gt;0),MAX(N77,AC77),MAX(AK77,V77))</f>
        <v>46236</v>
      </c>
      <c r="I77" s="143">
        <f t="array" ref="I77">IF(SUM(O77,AD77)&gt;0,SUM(O77,AD77),SUM(AL77,W77))</f>
        <v>636.47449199999994</v>
      </c>
      <c r="J77" s="9">
        <f t="shared" si="11"/>
        <v>14.498279999999999</v>
      </c>
      <c r="K77" s="143">
        <f t="shared" si="17"/>
        <v>17.458396768137604</v>
      </c>
      <c r="L77" s="9">
        <f t="shared" si="12"/>
        <v>2.7429845166737028</v>
      </c>
      <c r="M77" s="8" t="str">
        <f t="array" ref="M77">IF(L77&gt;5,"Perlu Sensus",IF(AND(L77&gt;=0,I77&gt;0),"Tetap Deteksi","Belum Deteksi"))</f>
        <v>Tetap Deteksi</v>
      </c>
      <c r="N77" s="11">
        <v>46236</v>
      </c>
      <c r="O77" s="143">
        <v>636.47449199999994</v>
      </c>
      <c r="P77" s="9">
        <f t="array" ref="P77">IFERROR(O77/$G77*100,0)</f>
        <v>14.498279999999999</v>
      </c>
      <c r="Q77" s="143">
        <v>17.458396768137604</v>
      </c>
      <c r="R77" s="9">
        <f t="shared" si="13"/>
        <v>2.7429845166737028</v>
      </c>
      <c r="S77" s="8" t="str">
        <f t="array" ref="S77">IF(R77&gt;5,"Perlu Sensus",IF(AND(R77&gt;=0,O77&gt;0),"Tetap Deteksi","Belum Deteksi"))</f>
        <v>Tetap Deteksi</v>
      </c>
      <c r="T77" s="143">
        <v>11.337439293036981</v>
      </c>
      <c r="U77" s="9">
        <f t="shared" si="18"/>
        <v>1.7812872998902496</v>
      </c>
      <c r="V77" s="11">
        <v>46236</v>
      </c>
      <c r="W77" s="143">
        <v>255.70202112000004</v>
      </c>
      <c r="X77" s="143">
        <v>7.7894432540199467</v>
      </c>
      <c r="Y77" s="9">
        <f t="shared" si="14"/>
        <v>3.046297099999999</v>
      </c>
      <c r="Z77" s="8" t="str">
        <f t="array" ref="Z77">IF(Y77&gt;5,"Perlu Sensus",IF(AND(Y77&gt;=0,W77&gt;0),"Tetap Deteksi","Belum Deteksi"))</f>
        <v>Tetap Deteksi</v>
      </c>
      <c r="AA77" s="143">
        <v>7.28</v>
      </c>
      <c r="AB77" s="9">
        <f t="shared" si="19"/>
        <v>2.8470639254679657</v>
      </c>
      <c r="AC77" s="11"/>
      <c r="AD77" s="143"/>
      <c r="AE77" s="9">
        <f t="array" ref="AE77">IFERROR(AD77/$G77*100,0)</f>
        <v>0</v>
      </c>
      <c r="AF77" s="143"/>
      <c r="AG77" s="9">
        <f t="shared" si="15"/>
        <v>0</v>
      </c>
      <c r="AH77" s="8" t="str">
        <f t="array" ref="AH77">IF(AG77&gt;5,"Perlu Sensus",IF(AND(AG77&gt;=0,AD77&gt;0),"Tetap Deteksi","Belum Deteksi"))</f>
        <v>Belum Deteksi</v>
      </c>
      <c r="AI77" s="143"/>
      <c r="AJ77" s="9">
        <f t="shared" si="20"/>
        <v>0</v>
      </c>
      <c r="AK77" s="11"/>
      <c r="AL77" s="143"/>
      <c r="AM77" s="143"/>
      <c r="AN77" s="9">
        <f t="shared" si="16"/>
        <v>0</v>
      </c>
      <c r="AO77" s="8" t="str">
        <f t="array" ref="AO77">IF(AN77&gt;5,"Perlu Sensus",IF(AND(AN77&gt;=0,AL77&gt;0),"Tetap Deteksi","Belum Deteksi"))</f>
        <v>Belum Deteksi</v>
      </c>
      <c r="AP77" s="143"/>
      <c r="AQ77" s="9">
        <f t="shared" si="21"/>
        <v>0</v>
      </c>
    </row>
    <row r="78" spans="1:43" outlineLevel="1" x14ac:dyDescent="0.15">
      <c r="A78" s="8" t="s">
        <v>949</v>
      </c>
      <c r="B78" s="8"/>
      <c r="C78" s="8" t="s">
        <v>290</v>
      </c>
      <c r="D78" s="186" t="s">
        <v>1767</v>
      </c>
      <c r="E78" s="9">
        <v>31.82</v>
      </c>
      <c r="F78" s="8" t="s">
        <v>469</v>
      </c>
      <c r="G78" s="10">
        <v>4444</v>
      </c>
      <c r="H78" s="11">
        <f t="array" ref="H78">IF(OR(N78&gt;0,AC78&gt;0),MAX(N78,AC78),MAX(AK78,V78))</f>
        <v>46237</v>
      </c>
      <c r="I78" s="143">
        <f t="array" ref="I78">IF(SUM(O78,AD78)&gt;0,SUM(O78,AD78),SUM(AL78,W78))</f>
        <v>483.22767239999996</v>
      </c>
      <c r="J78" s="9">
        <f t="shared" si="11"/>
        <v>10.873709999999999</v>
      </c>
      <c r="K78" s="143">
        <f t="shared" si="17"/>
        <v>8.4608868321394546</v>
      </c>
      <c r="L78" s="9">
        <f t="shared" si="12"/>
        <v>1.7509110747150693</v>
      </c>
      <c r="M78" s="8" t="str">
        <f t="array" ref="M78">IF(L78&gt;5,"Perlu Sensus",IF(AND(L78&gt;=0,I78&gt;0),"Tetap Deteksi","Belum Deteksi"))</f>
        <v>Tetap Deteksi</v>
      </c>
      <c r="N78" s="11">
        <v>46237</v>
      </c>
      <c r="O78" s="143">
        <v>483.22767239999996</v>
      </c>
      <c r="P78" s="9">
        <f t="array" ref="P78">IFERROR(O78/$G78*100,0)</f>
        <v>10.873709999999999</v>
      </c>
      <c r="Q78" s="143">
        <v>8.4608868321394546</v>
      </c>
      <c r="R78" s="9">
        <f t="shared" si="13"/>
        <v>1.7509110747150693</v>
      </c>
      <c r="S78" s="8" t="str">
        <f t="array" ref="S78">IF(R78&gt;5,"Perlu Sensus",IF(AND(R78&gt;=0,O78&gt;0),"Tetap Deteksi","Belum Deteksi"))</f>
        <v>Tetap Deteksi</v>
      </c>
      <c r="T78" s="143">
        <v>5.4944787942787672</v>
      </c>
      <c r="U78" s="9">
        <f t="shared" si="18"/>
        <v>1.1370372824449133</v>
      </c>
      <c r="V78" s="11">
        <v>46237</v>
      </c>
      <c r="W78" s="143">
        <v>260.81606154240006</v>
      </c>
      <c r="X78" s="143">
        <v>4.5061496107472463</v>
      </c>
      <c r="Y78" s="9">
        <f t="shared" si="14"/>
        <v>1.7277116999999997</v>
      </c>
      <c r="Z78" s="8" t="str">
        <f t="array" ref="Z78">IF(Y78&gt;5,"Perlu Sensus",IF(AND(Y78&gt;=0,W78&gt;0),"Tetap Deteksi","Belum Deteksi"))</f>
        <v>Tetap Deteksi</v>
      </c>
      <c r="AA78" s="143">
        <v>2.9483343161891109</v>
      </c>
      <c r="AB78" s="9">
        <f t="shared" si="19"/>
        <v>1.1304266688</v>
      </c>
      <c r="AC78" s="11"/>
      <c r="AD78" s="143"/>
      <c r="AE78" s="9">
        <f t="array" ref="AE78">IFERROR(AD78/$G78*100,0)</f>
        <v>0</v>
      </c>
      <c r="AF78" s="143"/>
      <c r="AG78" s="9">
        <f t="shared" si="15"/>
        <v>0</v>
      </c>
      <c r="AH78" s="8" t="str">
        <f t="array" ref="AH78">IF(AG78&gt;5,"Perlu Sensus",IF(AND(AG78&gt;=0,AD78&gt;0),"Tetap Deteksi","Belum Deteksi"))</f>
        <v>Belum Deteksi</v>
      </c>
      <c r="AI78" s="143"/>
      <c r="AJ78" s="9">
        <f t="shared" si="20"/>
        <v>0</v>
      </c>
      <c r="AK78" s="11"/>
      <c r="AL78" s="143"/>
      <c r="AM78" s="143"/>
      <c r="AN78" s="9">
        <f t="shared" si="16"/>
        <v>0</v>
      </c>
      <c r="AO78" s="8" t="str">
        <f t="array" ref="AO78">IF(AN78&gt;5,"Perlu Sensus",IF(AND(AN78&gt;=0,AL78&gt;0),"Tetap Deteksi","Belum Deteksi"))</f>
        <v>Belum Deteksi</v>
      </c>
      <c r="AP78" s="143"/>
      <c r="AQ78" s="9">
        <f t="shared" si="21"/>
        <v>0</v>
      </c>
    </row>
    <row r="79" spans="1:43" outlineLevel="1" x14ac:dyDescent="0.15">
      <c r="A79" s="8" t="s">
        <v>949</v>
      </c>
      <c r="B79" s="8"/>
      <c r="C79" s="8" t="s">
        <v>290</v>
      </c>
      <c r="D79" s="186" t="s">
        <v>994</v>
      </c>
      <c r="E79" s="9">
        <v>35.300000000000004</v>
      </c>
      <c r="F79" s="8" t="s">
        <v>469</v>
      </c>
      <c r="G79" s="10">
        <v>4081.9999999999995</v>
      </c>
      <c r="H79" s="11">
        <f t="array" ref="H79">IF(OR(N79&gt;0,AC79&gt;0),MAX(N79,AC79),MAX(AK79,V79))</f>
        <v>46238</v>
      </c>
      <c r="I79" s="143">
        <f t="array" ref="I79">IF(SUM(O79,AD79)&gt;0,SUM(O79,AD79),SUM(AL79,W79))</f>
        <v>394.5465264</v>
      </c>
      <c r="J79" s="9">
        <f t="shared" si="11"/>
        <v>9.6655200000000008</v>
      </c>
      <c r="K79" s="143">
        <f t="shared" si="17"/>
        <v>3.8913191310090247</v>
      </c>
      <c r="L79" s="9">
        <f t="shared" si="12"/>
        <v>0.98627636302237243</v>
      </c>
      <c r="M79" s="8" t="str">
        <f t="array" ref="M79">IF(L79&gt;5,"Perlu Sensus",IF(AND(L79&gt;=0,I79&gt;0),"Tetap Deteksi","Belum Deteksi"))</f>
        <v>Tetap Deteksi</v>
      </c>
      <c r="N79" s="11">
        <v>46238</v>
      </c>
      <c r="O79" s="143">
        <v>394.5465264</v>
      </c>
      <c r="P79" s="9">
        <f t="array" ref="P79">IFERROR(O79/$G79*100,0)</f>
        <v>9.6655200000000008</v>
      </c>
      <c r="Q79" s="143">
        <v>3.8913191310090247</v>
      </c>
      <c r="R79" s="9">
        <f t="shared" si="13"/>
        <v>0.98627636302237243</v>
      </c>
      <c r="S79" s="8" t="str">
        <f t="array" ref="S79">IF(R79&gt;5,"Perlu Sensus",IF(AND(R79&gt;=0,O79&gt;0),"Tetap Deteksi","Belum Deteksi"))</f>
        <v>Tetap Deteksi</v>
      </c>
      <c r="T79" s="143">
        <v>2.5270129327204272</v>
      </c>
      <c r="U79" s="9">
        <f t="shared" si="18"/>
        <v>0.64048540885099203</v>
      </c>
      <c r="V79" s="11">
        <v>46238</v>
      </c>
      <c r="W79" s="143">
        <v>266.03238277324806</v>
      </c>
      <c r="X79" s="143">
        <v>2.5561257462282736</v>
      </c>
      <c r="Y79" s="9">
        <f t="shared" si="14"/>
        <v>0.96083255714285742</v>
      </c>
      <c r="Z79" s="8" t="str">
        <f t="array" ref="Z79">IF(Y79&gt;5,"Perlu Sensus",IF(AND(Y79&gt;=0,W79&gt;0),"Tetap Deteksi","Belum Deteksi"))</f>
        <v>Tetap Deteksi</v>
      </c>
      <c r="AA79" s="143">
        <v>3.12</v>
      </c>
      <c r="AB79" s="9">
        <f t="shared" si="19"/>
        <v>1.1727895557208625</v>
      </c>
      <c r="AC79" s="11"/>
      <c r="AD79" s="143"/>
      <c r="AE79" s="9">
        <f t="array" ref="AE79">IFERROR(AD79/$G79*100,0)</f>
        <v>0</v>
      </c>
      <c r="AF79" s="143"/>
      <c r="AG79" s="9">
        <f t="shared" si="15"/>
        <v>0</v>
      </c>
      <c r="AH79" s="8" t="str">
        <f t="array" ref="AH79">IF(AG79&gt;5,"Perlu Sensus",IF(AND(AG79&gt;=0,AD79&gt;0),"Tetap Deteksi","Belum Deteksi"))</f>
        <v>Belum Deteksi</v>
      </c>
      <c r="AI79" s="143"/>
      <c r="AJ79" s="9">
        <f t="shared" si="20"/>
        <v>0</v>
      </c>
      <c r="AK79" s="11"/>
      <c r="AL79" s="143"/>
      <c r="AM79" s="143"/>
      <c r="AN79" s="9">
        <f t="shared" si="16"/>
        <v>0</v>
      </c>
      <c r="AO79" s="8" t="str">
        <f t="array" ref="AO79">IF(AN79&gt;5,"Perlu Sensus",IF(AND(AN79&gt;=0,AL79&gt;0),"Tetap Deteksi","Belum Deteksi"))</f>
        <v>Belum Deteksi</v>
      </c>
      <c r="AP79" s="143"/>
      <c r="AQ79" s="9">
        <f t="shared" si="21"/>
        <v>0</v>
      </c>
    </row>
    <row r="80" spans="1:43" outlineLevel="1" x14ac:dyDescent="0.15">
      <c r="A80" s="8" t="s">
        <v>949</v>
      </c>
      <c r="B80" s="8"/>
      <c r="C80" s="8" t="s">
        <v>290</v>
      </c>
      <c r="D80" s="186" t="s">
        <v>996</v>
      </c>
      <c r="E80" s="9">
        <v>35.910000000000004</v>
      </c>
      <c r="F80" s="8" t="s">
        <v>469</v>
      </c>
      <c r="G80" s="10">
        <v>4134</v>
      </c>
      <c r="H80" s="11">
        <f t="array" ref="H80">IF(OR(N80&gt;0,AC80&gt;0),MAX(N80,AC80),MAX(AK80,V80))</f>
        <v>46239</v>
      </c>
      <c r="I80" s="143">
        <f t="array" ref="I80">IF(SUM(O80,AD80)&gt;0,SUM(O80,AD80),SUM(AL80,W80))</f>
        <v>499.46574599999991</v>
      </c>
      <c r="J80" s="9">
        <f t="shared" si="11"/>
        <v>12.081899999999997</v>
      </c>
      <c r="K80" s="143">
        <f t="shared" si="17"/>
        <v>15.708000000000002</v>
      </c>
      <c r="L80" s="9">
        <f t="shared" si="12"/>
        <v>3.1449604153634998</v>
      </c>
      <c r="M80" s="8" t="str">
        <f t="array" ref="M80">IF(L80&gt;5,"Perlu Sensus",IF(AND(L80&gt;=0,I80&gt;0),"Tetap Deteksi","Belum Deteksi"))</f>
        <v>Tetap Deteksi</v>
      </c>
      <c r="N80" s="11">
        <v>46239</v>
      </c>
      <c r="O80" s="143">
        <v>499.46574599999991</v>
      </c>
      <c r="P80" s="9">
        <f t="array" ref="P80">IFERROR(O80/$G80*100,0)</f>
        <v>12.081899999999997</v>
      </c>
      <c r="Q80" s="143">
        <v>15.708000000000002</v>
      </c>
      <c r="R80" s="9">
        <f t="shared" si="13"/>
        <v>3.1449604153634998</v>
      </c>
      <c r="S80" s="8" t="str">
        <f t="array" ref="S80">IF(R80&gt;5,"Perlu Sensus",IF(AND(R80&gt;=0,O80&gt;0),"Tetap Deteksi","Belum Deteksi"))</f>
        <v>Tetap Deteksi</v>
      </c>
      <c r="T80" s="143">
        <v>10.200735999999999</v>
      </c>
      <c r="U80" s="9">
        <f t="shared" si="18"/>
        <v>2.042329445350993</v>
      </c>
      <c r="V80" s="11">
        <v>46239</v>
      </c>
      <c r="W80" s="143">
        <v>271.353030428713</v>
      </c>
      <c r="X80" s="143">
        <v>11.33</v>
      </c>
      <c r="Y80" s="9">
        <f t="shared" si="14"/>
        <v>4.1753725698583999</v>
      </c>
      <c r="Z80" s="8" t="str">
        <f t="array" ref="Z80">IF(Y80&gt;5,"Perlu Sensus",IF(AND(Y80&gt;=0,W80&gt;0),"Tetap Deteksi","Belum Deteksi"))</f>
        <v>Tetap Deteksi</v>
      </c>
      <c r="AA80" s="143">
        <v>7.413120000000001</v>
      </c>
      <c r="AB80" s="9">
        <f t="shared" si="19"/>
        <v>2.7319097886203627</v>
      </c>
      <c r="AC80" s="11"/>
      <c r="AD80" s="143"/>
      <c r="AE80" s="9">
        <f t="array" ref="AE80">IFERROR(AD80/$G80*100,0)</f>
        <v>0</v>
      </c>
      <c r="AF80" s="143"/>
      <c r="AG80" s="9">
        <f t="shared" si="15"/>
        <v>0</v>
      </c>
      <c r="AH80" s="8" t="str">
        <f t="array" ref="AH80">IF(AG80&gt;5,"Perlu Sensus",IF(AND(AG80&gt;=0,AD80&gt;0),"Tetap Deteksi","Belum Deteksi"))</f>
        <v>Belum Deteksi</v>
      </c>
      <c r="AI80" s="143"/>
      <c r="AJ80" s="9">
        <f t="shared" si="20"/>
        <v>0</v>
      </c>
      <c r="AK80" s="11"/>
      <c r="AL80" s="143"/>
      <c r="AM80" s="143"/>
      <c r="AN80" s="9">
        <f t="shared" si="16"/>
        <v>0</v>
      </c>
      <c r="AO80" s="8" t="str">
        <f t="array" ref="AO80">IF(AN80&gt;5,"Perlu Sensus",IF(AND(AN80&gt;=0,AL80&gt;0),"Tetap Deteksi","Belum Deteksi"))</f>
        <v>Belum Deteksi</v>
      </c>
      <c r="AP80" s="143"/>
      <c r="AQ80" s="9">
        <f t="shared" si="21"/>
        <v>0</v>
      </c>
    </row>
    <row r="81" spans="1:43" outlineLevel="1" x14ac:dyDescent="0.15">
      <c r="A81" s="8" t="s">
        <v>949</v>
      </c>
      <c r="B81" s="8"/>
      <c r="C81" s="8" t="s">
        <v>290</v>
      </c>
      <c r="D81" s="186" t="s">
        <v>1768</v>
      </c>
      <c r="E81" s="9">
        <v>36.72</v>
      </c>
      <c r="F81" s="8" t="s">
        <v>469</v>
      </c>
      <c r="G81" s="10">
        <v>5466</v>
      </c>
      <c r="H81" s="11">
        <f t="array" ref="H81">IF(OR(N81&gt;0,AC81&gt;0),MAX(N81,AC81),MAX(AK81,V81))</f>
        <v>46240</v>
      </c>
      <c r="I81" s="143">
        <f t="array" ref="I81">IF(SUM(O81,AD81)&gt;0,SUM(O81,AD81),SUM(AL81,W81))</f>
        <v>594.35698859999991</v>
      </c>
      <c r="J81" s="9">
        <f t="shared" si="11"/>
        <v>10.873709999999999</v>
      </c>
      <c r="K81" s="143">
        <f t="shared" si="17"/>
        <v>21.318000000000001</v>
      </c>
      <c r="L81" s="9">
        <f t="shared" si="12"/>
        <v>3.58673329478539</v>
      </c>
      <c r="M81" s="8" t="str">
        <f t="array" ref="M81">IF(L81&gt;5,"Perlu Sensus",IF(AND(L81&gt;=0,I81&gt;0),"Tetap Deteksi","Belum Deteksi"))</f>
        <v>Tetap Deteksi</v>
      </c>
      <c r="N81" s="11">
        <v>46240</v>
      </c>
      <c r="O81" s="143">
        <v>594.35698859999991</v>
      </c>
      <c r="P81" s="9">
        <f t="array" ref="P81">IFERROR(O81/$G81*100,0)</f>
        <v>10.873709999999999</v>
      </c>
      <c r="Q81" s="143">
        <v>21.318000000000001</v>
      </c>
      <c r="R81" s="9">
        <f t="shared" si="13"/>
        <v>3.58673329478539</v>
      </c>
      <c r="S81" s="8" t="str">
        <f t="array" ref="S81">IF(R81&gt;5,"Perlu Sensus",IF(AND(R81&gt;=0,O81&gt;0),"Tetap Deteksi","Belum Deteksi"))</f>
        <v>Tetap Deteksi</v>
      </c>
      <c r="T81" s="143">
        <v>13.843855999999997</v>
      </c>
      <c r="U81" s="9">
        <f t="shared" si="18"/>
        <v>2.3292156507840547</v>
      </c>
      <c r="V81" s="11">
        <v>46240</v>
      </c>
      <c r="W81" s="143">
        <v>276.78009103728726</v>
      </c>
      <c r="X81" s="143">
        <v>13.596000000000002</v>
      </c>
      <c r="Y81" s="9">
        <f t="shared" si="14"/>
        <v>4.9122030233628236</v>
      </c>
      <c r="Z81" s="8" t="str">
        <f t="array" ref="Z81">IF(Y81&gt;5,"Perlu Sensus",IF(AND(Y81&gt;=0,W81&gt;0),"Tetap Deteksi","Belum Deteksi"))</f>
        <v>Tetap Deteksi</v>
      </c>
      <c r="AA81" s="143">
        <v>8.8957440000000023</v>
      </c>
      <c r="AB81" s="9">
        <f t="shared" si="19"/>
        <v>3.2140115160239562</v>
      </c>
      <c r="AC81" s="11"/>
      <c r="AD81" s="143"/>
      <c r="AE81" s="9">
        <f t="array" ref="AE81">IFERROR(AD81/$G81*100,0)</f>
        <v>0</v>
      </c>
      <c r="AF81" s="143"/>
      <c r="AG81" s="9">
        <f t="shared" si="15"/>
        <v>0</v>
      </c>
      <c r="AH81" s="8" t="str">
        <f t="array" ref="AH81">IF(AG81&gt;5,"Perlu Sensus",IF(AND(AG81&gt;=0,AD81&gt;0),"Tetap Deteksi","Belum Deteksi"))</f>
        <v>Belum Deteksi</v>
      </c>
      <c r="AI81" s="143"/>
      <c r="AJ81" s="9">
        <f t="shared" si="20"/>
        <v>0</v>
      </c>
      <c r="AK81" s="11"/>
      <c r="AL81" s="143"/>
      <c r="AM81" s="143"/>
      <c r="AN81" s="9">
        <f t="shared" si="16"/>
        <v>0</v>
      </c>
      <c r="AO81" s="8" t="str">
        <f t="array" ref="AO81">IF(AN81&gt;5,"Perlu Sensus",IF(AND(AN81&gt;=0,AL81&gt;0),"Tetap Deteksi","Belum Deteksi"))</f>
        <v>Belum Deteksi</v>
      </c>
      <c r="AP81" s="143"/>
      <c r="AQ81" s="9">
        <f t="shared" si="21"/>
        <v>0</v>
      </c>
    </row>
    <row r="82" spans="1:43" outlineLevel="1" x14ac:dyDescent="0.15">
      <c r="A82" s="8" t="s">
        <v>949</v>
      </c>
      <c r="B82" s="8"/>
      <c r="C82" s="8" t="s">
        <v>290</v>
      </c>
      <c r="D82" s="186" t="s">
        <v>1769</v>
      </c>
      <c r="E82" s="9">
        <v>29.49</v>
      </c>
      <c r="F82" s="8" t="s">
        <v>469</v>
      </c>
      <c r="G82" s="10">
        <v>4419</v>
      </c>
      <c r="H82" s="11">
        <f t="array" ref="H82">IF(OR(N82&gt;0,AC82&gt;0),MAX(N82,AC82),MAX(AK82,V82))</f>
        <v>46241</v>
      </c>
      <c r="I82" s="143">
        <f t="array" ref="I82">IF(SUM(O82,AD82)&gt;0,SUM(O82,AD82),SUM(AL82,W82))</f>
        <v>427.11932880000001</v>
      </c>
      <c r="J82" s="9">
        <f t="shared" si="11"/>
        <v>9.665519999999999</v>
      </c>
      <c r="K82" s="143">
        <f t="shared" si="17"/>
        <v>11.22</v>
      </c>
      <c r="L82" s="9">
        <f t="shared" si="12"/>
        <v>2.6269005506079077</v>
      </c>
      <c r="M82" s="8" t="str">
        <f t="array" ref="M82">IF(L82&gt;5,"Perlu Sensus",IF(AND(L82&gt;=0,I82&gt;0),"Tetap Deteksi","Belum Deteksi"))</f>
        <v>Tetap Deteksi</v>
      </c>
      <c r="N82" s="11">
        <v>46241</v>
      </c>
      <c r="O82" s="143">
        <v>427.11932880000001</v>
      </c>
      <c r="P82" s="9">
        <f t="array" ref="P82">IFERROR(O82/$G82*100,0)</f>
        <v>9.665519999999999</v>
      </c>
      <c r="Q82" s="143">
        <v>11.22</v>
      </c>
      <c r="R82" s="9">
        <f t="shared" si="13"/>
        <v>2.6269005506079077</v>
      </c>
      <c r="S82" s="8" t="str">
        <f t="array" ref="S82">IF(R82&gt;5,"Perlu Sensus",IF(AND(R82&gt;=0,O82&gt;0),"Tetap Deteksi","Belum Deteksi"))</f>
        <v>Tetap Deteksi</v>
      </c>
      <c r="T82" s="143">
        <v>6.0297641100403201</v>
      </c>
      <c r="U82" s="9">
        <f t="shared" si="18"/>
        <v>1.4117282228788517</v>
      </c>
      <c r="V82" s="11">
        <v>46241</v>
      </c>
      <c r="W82" s="143">
        <v>282.315692858033</v>
      </c>
      <c r="X82" s="143">
        <v>5.911766228722084</v>
      </c>
      <c r="Y82" s="9">
        <f t="shared" si="14"/>
        <v>2.094026785714286</v>
      </c>
      <c r="Z82" s="8" t="str">
        <f t="array" ref="Z82">IF(Y82&gt;5,"Perlu Sensus",IF(AND(Y82&gt;=0,W82&gt;0),"Tetap Deteksi","Belum Deteksi"))</f>
        <v>Tetap Deteksi</v>
      </c>
      <c r="AA82" s="143">
        <v>6.24</v>
      </c>
      <c r="AB82" s="9">
        <f t="shared" si="19"/>
        <v>2.2102915841585484</v>
      </c>
      <c r="AC82" s="11"/>
      <c r="AD82" s="143"/>
      <c r="AE82" s="9">
        <f t="array" ref="AE82">IFERROR(AD82/$G82*100,0)</f>
        <v>0</v>
      </c>
      <c r="AF82" s="143"/>
      <c r="AG82" s="9">
        <f t="shared" si="15"/>
        <v>0</v>
      </c>
      <c r="AH82" s="8" t="str">
        <f t="array" ref="AH82">IF(AG82&gt;5,"Perlu Sensus",IF(AND(AG82&gt;=0,AD82&gt;0),"Tetap Deteksi","Belum Deteksi"))</f>
        <v>Belum Deteksi</v>
      </c>
      <c r="AI82" s="143"/>
      <c r="AJ82" s="9">
        <f t="shared" si="20"/>
        <v>0</v>
      </c>
      <c r="AK82" s="11"/>
      <c r="AL82" s="143"/>
      <c r="AM82" s="143"/>
      <c r="AN82" s="9">
        <f t="shared" si="16"/>
        <v>0</v>
      </c>
      <c r="AO82" s="8" t="str">
        <f t="array" ref="AO82">IF(AN82&gt;5,"Perlu Sensus",IF(AND(AN82&gt;=0,AL82&gt;0),"Tetap Deteksi","Belum Deteksi"))</f>
        <v>Belum Deteksi</v>
      </c>
      <c r="AP82" s="143"/>
      <c r="AQ82" s="9">
        <f t="shared" si="21"/>
        <v>0</v>
      </c>
    </row>
    <row r="83" spans="1:43" outlineLevel="1" x14ac:dyDescent="0.15">
      <c r="A83" s="8" t="s">
        <v>949</v>
      </c>
      <c r="B83" s="8"/>
      <c r="C83" s="8" t="s">
        <v>290</v>
      </c>
      <c r="D83" s="186" t="s">
        <v>1770</v>
      </c>
      <c r="E83" s="9">
        <v>30.61</v>
      </c>
      <c r="F83" s="8" t="s">
        <v>469</v>
      </c>
      <c r="G83" s="10">
        <v>4279</v>
      </c>
      <c r="H83" s="11">
        <f t="array" ref="H83">IF(OR(N83&gt;0,AC83&gt;0),MAX(N83,AC83),MAX(AK83,V83))</f>
        <v>46242</v>
      </c>
      <c r="I83" s="143">
        <f t="array" ref="I83">IF(SUM(O83,AD83)&gt;0,SUM(O83,AD83),SUM(AL83,W83))</f>
        <v>568.68295109999997</v>
      </c>
      <c r="J83" s="9">
        <f t="shared" si="11"/>
        <v>13.290089999999999</v>
      </c>
      <c r="K83" s="143">
        <f t="shared" si="17"/>
        <v>14.280000000000001</v>
      </c>
      <c r="L83" s="9">
        <f t="shared" si="12"/>
        <v>2.5110652556715976</v>
      </c>
      <c r="M83" s="8" t="str">
        <f t="array" ref="M83">IF(L83&gt;5,"Perlu Sensus",IF(AND(L83&gt;=0,I83&gt;0),"Tetap Deteksi","Belum Deteksi"))</f>
        <v>Tetap Deteksi</v>
      </c>
      <c r="N83" s="11">
        <v>46242</v>
      </c>
      <c r="O83" s="143">
        <v>568.68295109999997</v>
      </c>
      <c r="P83" s="9">
        <f t="array" ref="P83">IFERROR(O83/$G83*100,0)</f>
        <v>13.290089999999999</v>
      </c>
      <c r="Q83" s="143">
        <v>14.280000000000001</v>
      </c>
      <c r="R83" s="9">
        <f t="shared" si="13"/>
        <v>2.5110652556715976</v>
      </c>
      <c r="S83" s="8" t="str">
        <f t="array" ref="S83">IF(R83&gt;5,"Perlu Sensus",IF(AND(R83&gt;=0,O83&gt;0),"Tetap Deteksi","Belum Deteksi"))</f>
        <v>Tetap Deteksi</v>
      </c>
      <c r="T83" s="143">
        <v>10.026401862868934</v>
      </c>
      <c r="U83" s="9">
        <f t="shared" si="18"/>
        <v>1.7630916916842549</v>
      </c>
      <c r="V83" s="11">
        <v>46242</v>
      </c>
      <c r="W83" s="143">
        <v>287.9620067151937</v>
      </c>
      <c r="X83" s="143">
        <v>6.18</v>
      </c>
      <c r="Y83" s="9">
        <f t="shared" si="14"/>
        <v>2.1461164514359963</v>
      </c>
      <c r="Z83" s="8" t="str">
        <f t="array" ref="Z83">IF(Y83&gt;5,"Perlu Sensus",IF(AND(Y83&gt;=0,W83&gt;0),"Tetap Deteksi","Belum Deteksi"))</f>
        <v>Tetap Deteksi</v>
      </c>
      <c r="AA83" s="143">
        <v>5.2</v>
      </c>
      <c r="AB83" s="9">
        <f t="shared" si="19"/>
        <v>1.8057937779073108</v>
      </c>
      <c r="AC83" s="11"/>
      <c r="AD83" s="143"/>
      <c r="AE83" s="9">
        <f t="array" ref="AE83">IFERROR(AD83/$G83*100,0)</f>
        <v>0</v>
      </c>
      <c r="AF83" s="143"/>
      <c r="AG83" s="9">
        <f t="shared" si="15"/>
        <v>0</v>
      </c>
      <c r="AH83" s="8" t="str">
        <f t="array" ref="AH83">IF(AG83&gt;5,"Perlu Sensus",IF(AND(AG83&gt;=0,AD83&gt;0),"Tetap Deteksi","Belum Deteksi"))</f>
        <v>Belum Deteksi</v>
      </c>
      <c r="AI83" s="143"/>
      <c r="AJ83" s="9">
        <f t="shared" si="20"/>
        <v>0</v>
      </c>
      <c r="AK83" s="11"/>
      <c r="AL83" s="143"/>
      <c r="AM83" s="143"/>
      <c r="AN83" s="9">
        <f t="shared" si="16"/>
        <v>0</v>
      </c>
      <c r="AO83" s="8" t="str">
        <f t="array" ref="AO83">IF(AN83&gt;5,"Perlu Sensus",IF(AND(AN83&gt;=0,AL83&gt;0),"Tetap Deteksi","Belum Deteksi"))</f>
        <v>Belum Deteksi</v>
      </c>
      <c r="AP83" s="143"/>
      <c r="AQ83" s="9">
        <f t="shared" si="21"/>
        <v>0</v>
      </c>
    </row>
    <row r="84" spans="1:43" outlineLevel="1" x14ac:dyDescent="0.15">
      <c r="A84" s="8" t="s">
        <v>949</v>
      </c>
      <c r="B84" s="8"/>
      <c r="C84" s="8" t="s">
        <v>290</v>
      </c>
      <c r="D84" s="186" t="s">
        <v>1771</v>
      </c>
      <c r="E84" s="9">
        <v>26.189999999999998</v>
      </c>
      <c r="F84" s="8" t="s">
        <v>469</v>
      </c>
      <c r="G84" s="10">
        <v>3227</v>
      </c>
      <c r="H84" s="11">
        <f t="array" ref="H84">IF(OR(N84&gt;0,AC84&gt;0),MAX(N84,AC84),MAX(AK84,V84))</f>
        <v>46243</v>
      </c>
      <c r="I84" s="143">
        <f t="array" ref="I84">IF(SUM(O84,AD84)&gt;0,SUM(O84,AD84),SUM(AL84,W84))</f>
        <v>467.8594956</v>
      </c>
      <c r="J84" s="9">
        <f t="shared" si="11"/>
        <v>14.498279999999999</v>
      </c>
      <c r="K84" s="143">
        <f t="shared" si="17"/>
        <v>16.830000000000002</v>
      </c>
      <c r="L84" s="9">
        <f t="shared" si="12"/>
        <v>3.5972338187593258</v>
      </c>
      <c r="M84" s="8" t="str">
        <f t="array" ref="M84">IF(L84&gt;5,"Perlu Sensus",IF(AND(L84&gt;=0,I84&gt;0),"Tetap Deteksi","Belum Deteksi"))</f>
        <v>Tetap Deteksi</v>
      </c>
      <c r="N84" s="11">
        <v>46243</v>
      </c>
      <c r="O84" s="143">
        <v>467.8594956</v>
      </c>
      <c r="P84" s="9">
        <f t="array" ref="P84">IFERROR(O84/$G84*100,0)</f>
        <v>14.498279999999999</v>
      </c>
      <c r="Q84" s="143">
        <v>16.830000000000002</v>
      </c>
      <c r="R84" s="9">
        <f t="shared" si="13"/>
        <v>3.5972338187593258</v>
      </c>
      <c r="S84" s="8" t="str">
        <f t="array" ref="S84">IF(R84&gt;5,"Perlu Sensus",IF(AND(R84&gt;=0,O84&gt;0),"Tetap Deteksi","Belum Deteksi"))</f>
        <v>Tetap Deteksi</v>
      </c>
      <c r="T84" s="143">
        <v>10.929360000000001</v>
      </c>
      <c r="U84" s="9">
        <f t="shared" si="18"/>
        <v>2.3360346648482135</v>
      </c>
      <c r="V84" s="11">
        <v>46243</v>
      </c>
      <c r="W84" s="143">
        <v>293.72124684949756</v>
      </c>
      <c r="X84" s="143">
        <v>6.7980000000000009</v>
      </c>
      <c r="Y84" s="9">
        <f t="shared" si="14"/>
        <v>2.314439310372153</v>
      </c>
      <c r="Z84" s="8" t="str">
        <f t="array" ref="Z84">IF(Y84&gt;5,"Perlu Sensus",IF(AND(Y84&gt;=0,W84&gt;0),"Tetap Deteksi","Belum Deteksi"))</f>
        <v>Tetap Deteksi</v>
      </c>
      <c r="AA84" s="143">
        <v>4.4478720000000012</v>
      </c>
      <c r="AB84" s="9">
        <f t="shared" si="19"/>
        <v>1.51431741752039</v>
      </c>
      <c r="AC84" s="11"/>
      <c r="AD84" s="143"/>
      <c r="AE84" s="9">
        <f t="array" ref="AE84">IFERROR(AD84/$G84*100,0)</f>
        <v>0</v>
      </c>
      <c r="AF84" s="143"/>
      <c r="AG84" s="9">
        <f t="shared" si="15"/>
        <v>0</v>
      </c>
      <c r="AH84" s="8" t="str">
        <f t="array" ref="AH84">IF(AG84&gt;5,"Perlu Sensus",IF(AND(AG84&gt;=0,AD84&gt;0),"Tetap Deteksi","Belum Deteksi"))</f>
        <v>Belum Deteksi</v>
      </c>
      <c r="AI84" s="143"/>
      <c r="AJ84" s="9">
        <f t="shared" si="20"/>
        <v>0</v>
      </c>
      <c r="AK84" s="11"/>
      <c r="AL84" s="143"/>
      <c r="AM84" s="143"/>
      <c r="AN84" s="9">
        <f t="shared" si="16"/>
        <v>0</v>
      </c>
      <c r="AO84" s="8" t="str">
        <f t="array" ref="AO84">IF(AN84&gt;5,"Perlu Sensus",IF(AND(AN84&gt;=0,AL84&gt;0),"Tetap Deteksi","Belum Deteksi"))</f>
        <v>Belum Deteksi</v>
      </c>
      <c r="AP84" s="143"/>
      <c r="AQ84" s="9">
        <f t="shared" si="21"/>
        <v>0</v>
      </c>
    </row>
    <row r="85" spans="1:43" outlineLevel="1" x14ac:dyDescent="0.15">
      <c r="A85" s="8" t="s">
        <v>949</v>
      </c>
      <c r="B85" s="8"/>
      <c r="C85" s="8" t="s">
        <v>290</v>
      </c>
      <c r="D85" s="186" t="s">
        <v>1772</v>
      </c>
      <c r="E85" s="9">
        <v>27.300000000000004</v>
      </c>
      <c r="F85" s="8" t="s">
        <v>469</v>
      </c>
      <c r="G85" s="10">
        <v>3105</v>
      </c>
      <c r="H85" s="11">
        <f t="array" ref="H85">IF(OR(N85&gt;0,AC85&gt;0),MAX(N85,AC85),MAX(AK85,V85))</f>
        <v>46244</v>
      </c>
      <c r="I85" s="143">
        <f t="array" ref="I85">IF(SUM(O85,AD85)&gt;0,SUM(O85,AD85),SUM(AL85,W85))</f>
        <v>487.68589350000002</v>
      </c>
      <c r="J85" s="9">
        <f t="shared" si="11"/>
        <v>15.706469999999999</v>
      </c>
      <c r="K85" s="143">
        <f t="shared" si="17"/>
        <v>12.24</v>
      </c>
      <c r="L85" s="9">
        <f t="shared" si="12"/>
        <v>2.5098121891852507</v>
      </c>
      <c r="M85" s="8" t="str">
        <f t="array" ref="M85">IF(L85&gt;5,"Perlu Sensus",IF(AND(L85&gt;=0,I85&gt;0),"Tetap Deteksi","Belum Deteksi"))</f>
        <v>Tetap Deteksi</v>
      </c>
      <c r="N85" s="11">
        <v>46244</v>
      </c>
      <c r="O85" s="143">
        <v>487.68589350000002</v>
      </c>
      <c r="P85" s="9">
        <f t="array" ref="P85">IFERROR(O85/$G85*100,0)</f>
        <v>15.706469999999999</v>
      </c>
      <c r="Q85" s="143">
        <v>12.24</v>
      </c>
      <c r="R85" s="9">
        <f t="shared" si="13"/>
        <v>2.5098121891852507</v>
      </c>
      <c r="S85" s="8" t="str">
        <f t="array" ref="S85">IF(R85&gt;5,"Perlu Sensus",IF(AND(R85&gt;=0,O85&gt;0),"Tetap Deteksi","Belum Deteksi"))</f>
        <v>Tetap Deteksi</v>
      </c>
      <c r="T85" s="143">
        <v>8.9961378794501758</v>
      </c>
      <c r="U85" s="9">
        <f t="shared" si="18"/>
        <v>1.8446582112283665</v>
      </c>
      <c r="V85" s="11">
        <v>46244</v>
      </c>
      <c r="W85" s="143">
        <v>299.59567178648751</v>
      </c>
      <c r="X85" s="143">
        <v>4.12</v>
      </c>
      <c r="Y85" s="9">
        <f t="shared" si="14"/>
        <v>1.3751867560143511</v>
      </c>
      <c r="Z85" s="8" t="str">
        <f t="array" ref="Z85">IF(Y85&gt;5,"Perlu Sensus",IF(AND(Y85&gt;=0,W85&gt;0),"Tetap Deteksi","Belum Deteksi"))</f>
        <v>Tetap Deteksi</v>
      </c>
      <c r="AA85" s="143">
        <v>6.24</v>
      </c>
      <c r="AB85" s="9">
        <f t="shared" si="19"/>
        <v>2.0828071256139684</v>
      </c>
      <c r="AC85" s="11"/>
      <c r="AD85" s="143"/>
      <c r="AE85" s="9">
        <f t="array" ref="AE85">IFERROR(AD85/$G85*100,0)</f>
        <v>0</v>
      </c>
      <c r="AF85" s="143"/>
      <c r="AG85" s="9">
        <f t="shared" si="15"/>
        <v>0</v>
      </c>
      <c r="AH85" s="8" t="str">
        <f t="array" ref="AH85">IF(AG85&gt;5,"Perlu Sensus",IF(AND(AG85&gt;=0,AD85&gt;0),"Tetap Deteksi","Belum Deteksi"))</f>
        <v>Belum Deteksi</v>
      </c>
      <c r="AI85" s="143"/>
      <c r="AJ85" s="9">
        <f t="shared" si="20"/>
        <v>0</v>
      </c>
      <c r="AK85" s="11"/>
      <c r="AL85" s="143"/>
      <c r="AM85" s="143"/>
      <c r="AN85" s="9">
        <f t="shared" si="16"/>
        <v>0</v>
      </c>
      <c r="AO85" s="8" t="str">
        <f t="array" ref="AO85">IF(AN85&gt;5,"Perlu Sensus",IF(AND(AN85&gt;=0,AL85&gt;0),"Tetap Deteksi","Belum Deteksi"))</f>
        <v>Belum Deteksi</v>
      </c>
      <c r="AP85" s="143"/>
      <c r="AQ85" s="9">
        <f t="shared" si="21"/>
        <v>0</v>
      </c>
    </row>
    <row r="86" spans="1:43" outlineLevel="1" x14ac:dyDescent="0.15">
      <c r="A86" s="8" t="s">
        <v>949</v>
      </c>
      <c r="B86" s="8"/>
      <c r="C86" s="8" t="s">
        <v>290</v>
      </c>
      <c r="D86" s="186" t="s">
        <v>1001</v>
      </c>
      <c r="E86" s="9">
        <v>32.79</v>
      </c>
      <c r="F86" s="8" t="s">
        <v>469</v>
      </c>
      <c r="G86" s="10">
        <v>3664</v>
      </c>
      <c r="H86" s="11">
        <f t="array" ref="H86">IF(OR(N86&gt;0,AC86&gt;0),MAX(N86,AC86),MAX(AK86,V86))</f>
        <v>46245</v>
      </c>
      <c r="I86" s="143">
        <f t="array" ref="I86">IF(SUM(O86,AD86)&gt;0,SUM(O86,AD86),SUM(AL86,W86))</f>
        <v>531.21697919999997</v>
      </c>
      <c r="J86" s="9">
        <f t="shared" si="11"/>
        <v>14.498279999999999</v>
      </c>
      <c r="K86" s="143">
        <f t="shared" si="17"/>
        <v>5.61</v>
      </c>
      <c r="L86" s="9">
        <f t="shared" si="12"/>
        <v>1.0560656416608758</v>
      </c>
      <c r="M86" s="8" t="str">
        <f t="array" ref="M86">IF(L86&gt;5,"Perlu Sensus",IF(AND(L86&gt;=0,I86&gt;0),"Tetap Deteksi","Belum Deteksi"))</f>
        <v>Tetap Deteksi</v>
      </c>
      <c r="N86" s="11">
        <v>46245</v>
      </c>
      <c r="O86" s="143">
        <v>531.21697919999997</v>
      </c>
      <c r="P86" s="9">
        <f t="array" ref="P86">IFERROR(O86/$G86*100,0)</f>
        <v>14.498279999999999</v>
      </c>
      <c r="Q86" s="143">
        <v>5.61</v>
      </c>
      <c r="R86" s="9">
        <f t="shared" si="13"/>
        <v>1.0560656416608758</v>
      </c>
      <c r="S86" s="8" t="str">
        <f t="array" ref="S86">IF(R86&gt;5,"Perlu Sensus",IF(AND(R86&gt;=0,O86&gt;0),"Tetap Deteksi","Belum Deteksi"))</f>
        <v>Tetap Deteksi</v>
      </c>
      <c r="T86" s="143">
        <v>3.6431199999999997</v>
      </c>
      <c r="U86" s="9">
        <f t="shared" si="18"/>
        <v>0.6858063922366433</v>
      </c>
      <c r="V86" s="11">
        <v>46245</v>
      </c>
      <c r="W86" s="143">
        <v>305.58758522221723</v>
      </c>
      <c r="X86" s="143">
        <v>4.5320000000000009</v>
      </c>
      <c r="Y86" s="9">
        <f t="shared" si="14"/>
        <v>1.4830445407997908</v>
      </c>
      <c r="Z86" s="8" t="str">
        <f t="array" ref="Z86">IF(Y86&gt;5,"Perlu Sensus",IF(AND(Y86&gt;=0,W86&gt;0),"Tetap Deteksi","Belum Deteksi"))</f>
        <v>Tetap Deteksi</v>
      </c>
      <c r="AA86" s="143">
        <v>2.9652480000000003</v>
      </c>
      <c r="AB86" s="9">
        <f t="shared" si="19"/>
        <v>0.97034308440368444</v>
      </c>
      <c r="AC86" s="11"/>
      <c r="AD86" s="143"/>
      <c r="AE86" s="9">
        <f t="array" ref="AE86">IFERROR(AD86/$G86*100,0)</f>
        <v>0</v>
      </c>
      <c r="AF86" s="143"/>
      <c r="AG86" s="9">
        <f t="shared" si="15"/>
        <v>0</v>
      </c>
      <c r="AH86" s="8" t="str">
        <f t="array" ref="AH86">IF(AG86&gt;5,"Perlu Sensus",IF(AND(AG86&gt;=0,AD86&gt;0),"Tetap Deteksi","Belum Deteksi"))</f>
        <v>Belum Deteksi</v>
      </c>
      <c r="AI86" s="143"/>
      <c r="AJ86" s="9">
        <f t="shared" si="20"/>
        <v>0</v>
      </c>
      <c r="AK86" s="11"/>
      <c r="AL86" s="143"/>
      <c r="AM86" s="143"/>
      <c r="AN86" s="9">
        <f t="shared" si="16"/>
        <v>0</v>
      </c>
      <c r="AO86" s="8" t="str">
        <f t="array" ref="AO86">IF(AN86&gt;5,"Perlu Sensus",IF(AND(AN86&gt;=0,AL86&gt;0),"Tetap Deteksi","Belum Deteksi"))</f>
        <v>Belum Deteksi</v>
      </c>
      <c r="AP86" s="143"/>
      <c r="AQ86" s="9">
        <f t="shared" si="21"/>
        <v>0</v>
      </c>
    </row>
    <row r="87" spans="1:43" outlineLevel="1" x14ac:dyDescent="0.15">
      <c r="A87" s="8" t="s">
        <v>949</v>
      </c>
      <c r="B87" s="8"/>
      <c r="C87" s="8" t="s">
        <v>290</v>
      </c>
      <c r="D87" s="186" t="s">
        <v>1773</v>
      </c>
      <c r="E87" s="9">
        <v>42.89</v>
      </c>
      <c r="F87" s="8" t="s">
        <v>469</v>
      </c>
      <c r="G87" s="10">
        <v>6694</v>
      </c>
      <c r="H87" s="11">
        <f t="array" ref="H87">IF(OR(N87&gt;0,AC87&gt;0),MAX(N87,AC87),MAX(AK87,V87))</f>
        <v>46246</v>
      </c>
      <c r="I87" s="143">
        <f t="array" ref="I87">IF(SUM(O87,AD87)&gt;0,SUM(O87,AD87),SUM(AL87,W87))</f>
        <v>727.88614740000003</v>
      </c>
      <c r="J87" s="9">
        <f t="shared" si="11"/>
        <v>10.873710000000001</v>
      </c>
      <c r="K87" s="143">
        <f t="shared" si="17"/>
        <v>14.280000000000001</v>
      </c>
      <c r="L87" s="9">
        <f t="shared" si="12"/>
        <v>1.9618452763537235</v>
      </c>
      <c r="M87" s="8" t="str">
        <f t="array" ref="M87">IF(L87&gt;5,"Perlu Sensus",IF(AND(L87&gt;=0,I87&gt;0),"Tetap Deteksi","Belum Deteksi"))</f>
        <v>Tetap Deteksi</v>
      </c>
      <c r="N87" s="11">
        <v>46246</v>
      </c>
      <c r="O87" s="143">
        <v>727.88614740000003</v>
      </c>
      <c r="P87" s="9">
        <f t="array" ref="P87">IFERROR(O87/$G87*100,0)</f>
        <v>10.873710000000001</v>
      </c>
      <c r="Q87" s="143">
        <v>14.280000000000001</v>
      </c>
      <c r="R87" s="9">
        <f t="shared" si="13"/>
        <v>1.9618452763537235</v>
      </c>
      <c r="S87" s="8" t="str">
        <f t="array" ref="S87">IF(R87&gt;5,"Perlu Sensus",IF(AND(R87&gt;=0,O87&gt;0),"Tetap Deteksi","Belum Deteksi"))</f>
        <v>Tetap Deteksi</v>
      </c>
      <c r="T87" s="143">
        <v>8.0836090163068022</v>
      </c>
      <c r="U87" s="9">
        <f t="shared" si="18"/>
        <v>1.1105595353313633</v>
      </c>
      <c r="V87" s="11">
        <v>46246</v>
      </c>
      <c r="W87" s="143">
        <v>311.69933692666166</v>
      </c>
      <c r="X87" s="143">
        <v>7.21</v>
      </c>
      <c r="Y87" s="9">
        <f t="shared" si="14"/>
        <v>2.3131265119426319</v>
      </c>
      <c r="Z87" s="8" t="str">
        <f t="array" ref="Z87">IF(Y87&gt;5,"Perlu Sensus",IF(AND(Y87&gt;=0,W87&gt;0),"Tetap Deteksi","Belum Deteksi"))</f>
        <v>Tetap Deteksi</v>
      </c>
      <c r="AA87" s="143">
        <v>6.24</v>
      </c>
      <c r="AB87" s="9">
        <f t="shared" si="19"/>
        <v>2.0019291864801692</v>
      </c>
      <c r="AC87" s="11"/>
      <c r="AD87" s="143"/>
      <c r="AE87" s="9">
        <f t="array" ref="AE87">IFERROR(AD87/$G87*100,0)</f>
        <v>0</v>
      </c>
      <c r="AF87" s="143"/>
      <c r="AG87" s="9">
        <f t="shared" si="15"/>
        <v>0</v>
      </c>
      <c r="AH87" s="8" t="str">
        <f t="array" ref="AH87">IF(AG87&gt;5,"Perlu Sensus",IF(AND(AG87&gt;=0,AD87&gt;0),"Tetap Deteksi","Belum Deteksi"))</f>
        <v>Belum Deteksi</v>
      </c>
      <c r="AI87" s="143"/>
      <c r="AJ87" s="9">
        <f t="shared" si="20"/>
        <v>0</v>
      </c>
      <c r="AK87" s="11"/>
      <c r="AL87" s="143"/>
      <c r="AM87" s="143"/>
      <c r="AN87" s="9">
        <f t="shared" si="16"/>
        <v>0</v>
      </c>
      <c r="AO87" s="8" t="str">
        <f t="array" ref="AO87">IF(AN87&gt;5,"Perlu Sensus",IF(AND(AN87&gt;=0,AL87&gt;0),"Tetap Deteksi","Belum Deteksi"))</f>
        <v>Belum Deteksi</v>
      </c>
      <c r="AP87" s="143"/>
      <c r="AQ87" s="9">
        <f t="shared" si="21"/>
        <v>0</v>
      </c>
    </row>
    <row r="88" spans="1:43" outlineLevel="1" x14ac:dyDescent="0.15">
      <c r="A88" s="8" t="s">
        <v>949</v>
      </c>
      <c r="B88" s="8"/>
      <c r="C88" s="8" t="s">
        <v>290</v>
      </c>
      <c r="D88" s="186" t="s">
        <v>998</v>
      </c>
      <c r="E88" s="9">
        <v>28.299999999999997</v>
      </c>
      <c r="F88" s="8" t="s">
        <v>469</v>
      </c>
      <c r="G88" s="10">
        <v>3741.9999999999995</v>
      </c>
      <c r="H88" s="11">
        <f t="array" ref="H88">IF(OR(N88&gt;0,AC88&gt;0),MAX(N88,AC88),MAX(AK88,V88))</f>
        <v>46247</v>
      </c>
      <c r="I88" s="143">
        <f t="array" ref="I88">IF(SUM(O88,AD88)&gt;0,SUM(O88,AD88),SUM(AL88,W88))</f>
        <v>361.68375839999999</v>
      </c>
      <c r="J88" s="9">
        <f t="shared" si="11"/>
        <v>9.6655200000000008</v>
      </c>
      <c r="K88" s="143">
        <f t="shared" si="17"/>
        <v>14.280000000000001</v>
      </c>
      <c r="L88" s="9">
        <f t="shared" si="12"/>
        <v>3.9482005117319092</v>
      </c>
      <c r="M88" s="8" t="str">
        <f t="array" ref="M88">IF(L88&gt;5,"Perlu Sensus",IF(AND(L88&gt;=0,I88&gt;0),"Tetap Deteksi","Belum Deteksi"))</f>
        <v>Tetap Deteksi</v>
      </c>
      <c r="N88" s="11">
        <v>46247</v>
      </c>
      <c r="O88" s="143">
        <v>361.68375839999999</v>
      </c>
      <c r="P88" s="9">
        <f t="array" ref="P88">IFERROR(O88/$G88*100,0)</f>
        <v>9.6655200000000008</v>
      </c>
      <c r="Q88" s="143">
        <v>14.280000000000001</v>
      </c>
      <c r="R88" s="9">
        <f t="shared" si="13"/>
        <v>3.9482005117319092</v>
      </c>
      <c r="S88" s="8" t="str">
        <f t="array" ref="S88">IF(R88&gt;5,"Perlu Sensus",IF(AND(R88&gt;=0,O88&gt;0),"Tetap Deteksi","Belum Deteksi"))</f>
        <v>Tetap Deteksi</v>
      </c>
      <c r="T88" s="143">
        <v>9.3450994664913107</v>
      </c>
      <c r="U88" s="9">
        <f t="shared" si="18"/>
        <v>2.5837763652511612</v>
      </c>
      <c r="V88" s="11">
        <v>46247</v>
      </c>
      <c r="W88" s="143">
        <v>317.93332366519491</v>
      </c>
      <c r="X88" s="143">
        <v>10.3</v>
      </c>
      <c r="Y88" s="9">
        <f t="shared" si="14"/>
        <v>3.2396729859140501</v>
      </c>
      <c r="Z88" s="8" t="str">
        <f t="array" ref="Z88">IF(Y88&gt;5,"Perlu Sensus",IF(AND(Y88&gt;=0,W88&gt;0),"Tetap Deteksi","Belum Deteksi"))</f>
        <v>Tetap Deteksi</v>
      </c>
      <c r="AA88" s="143">
        <v>9.36</v>
      </c>
      <c r="AB88" s="9">
        <f t="shared" si="19"/>
        <v>2.9440135095296607</v>
      </c>
      <c r="AC88" s="11"/>
      <c r="AD88" s="143"/>
      <c r="AE88" s="9">
        <f t="array" ref="AE88">IFERROR(AD88/$G88*100,0)</f>
        <v>0</v>
      </c>
      <c r="AF88" s="143"/>
      <c r="AG88" s="9">
        <f t="shared" si="15"/>
        <v>0</v>
      </c>
      <c r="AH88" s="8" t="str">
        <f t="array" ref="AH88">IF(AG88&gt;5,"Perlu Sensus",IF(AND(AG88&gt;=0,AD88&gt;0),"Tetap Deteksi","Belum Deteksi"))</f>
        <v>Belum Deteksi</v>
      </c>
      <c r="AI88" s="143"/>
      <c r="AJ88" s="9">
        <f t="shared" si="20"/>
        <v>0</v>
      </c>
      <c r="AK88" s="11"/>
      <c r="AL88" s="143"/>
      <c r="AM88" s="143"/>
      <c r="AN88" s="9">
        <f t="shared" si="16"/>
        <v>0</v>
      </c>
      <c r="AO88" s="8" t="str">
        <f t="array" ref="AO88">IF(AN88&gt;5,"Perlu Sensus",IF(AND(AN88&gt;=0,AL88&gt;0),"Tetap Deteksi","Belum Deteksi"))</f>
        <v>Belum Deteksi</v>
      </c>
      <c r="AP88" s="143"/>
      <c r="AQ88" s="9">
        <f t="shared" si="21"/>
        <v>0</v>
      </c>
    </row>
    <row r="89" spans="1:43" outlineLevel="1" x14ac:dyDescent="0.15">
      <c r="A89" s="8" t="s">
        <v>949</v>
      </c>
      <c r="B89" s="8"/>
      <c r="C89" s="8" t="s">
        <v>290</v>
      </c>
      <c r="D89" s="181" t="s">
        <v>1774</v>
      </c>
      <c r="E89" s="9">
        <v>30.76</v>
      </c>
      <c r="F89" s="8" t="s">
        <v>469</v>
      </c>
      <c r="G89" s="10">
        <v>2410</v>
      </c>
      <c r="H89" s="11">
        <f t="array" ref="H89">IF(OR(N89&gt;0,AC89&gt;0),MAX(N89,AC89),MAX(AK89,V89))</f>
        <v>46248</v>
      </c>
      <c r="I89" s="143">
        <f t="array" ref="I89">IF(SUM(O89,AD89)&gt;0,SUM(O89,AD89),SUM(AL89,W89))</f>
        <v>262.05641099999997</v>
      </c>
      <c r="J89" s="9">
        <f t="shared" si="11"/>
        <v>10.873709999999999</v>
      </c>
      <c r="K89" s="143">
        <f t="shared" si="17"/>
        <v>10.098000000000001</v>
      </c>
      <c r="L89" s="9">
        <f t="shared" si="12"/>
        <v>3.8533688076801154</v>
      </c>
      <c r="M89" s="8" t="str">
        <f t="array" ref="M89">IF(L89&gt;5,"Perlu Sensus",IF(AND(L89&gt;=0,I89&gt;0),"Tetap Deteksi","Belum Deteksi"))</f>
        <v>Tetap Deteksi</v>
      </c>
      <c r="N89" s="11">
        <v>46248</v>
      </c>
      <c r="O89" s="143">
        <v>262.05641099999997</v>
      </c>
      <c r="P89" s="9">
        <f t="array" ref="P89">IFERROR(O89/$G89*100,0)</f>
        <v>10.873709999999999</v>
      </c>
      <c r="Q89" s="143">
        <v>10.098000000000001</v>
      </c>
      <c r="R89" s="9">
        <f t="shared" si="13"/>
        <v>3.8533688076801154</v>
      </c>
      <c r="S89" s="8" t="str">
        <f t="array" ref="S89">IF(R89&gt;5,"Perlu Sensus",IF(AND(R89&gt;=0,O89&gt;0),"Tetap Deteksi","Belum Deteksi"))</f>
        <v>Tetap Deteksi</v>
      </c>
      <c r="T89" s="143">
        <v>6.5576159999999994</v>
      </c>
      <c r="U89" s="9">
        <f t="shared" si="18"/>
        <v>2.5023680874573224</v>
      </c>
      <c r="V89" s="11">
        <v>46248</v>
      </c>
      <c r="W89" s="143">
        <v>324.29199013849876</v>
      </c>
      <c r="X89" s="143">
        <v>7.9310000000000009</v>
      </c>
      <c r="Y89" s="9">
        <f t="shared" si="14"/>
        <v>2.4456354893664893</v>
      </c>
      <c r="Z89" s="8" t="str">
        <f t="array" ref="Z89">IF(Y89&gt;5,"Perlu Sensus",IF(AND(Y89&gt;=0,W89&gt;0),"Tetap Deteksi","Belum Deteksi"))</f>
        <v>Tetap Deteksi</v>
      </c>
      <c r="AA89" s="143">
        <v>5.189184</v>
      </c>
      <c r="AB89" s="9">
        <f t="shared" si="19"/>
        <v>1.6001579310620042</v>
      </c>
      <c r="AC89" s="11"/>
      <c r="AD89" s="143"/>
      <c r="AE89" s="9">
        <f t="array" ref="AE89">IFERROR(AD89/$G89*100,0)</f>
        <v>0</v>
      </c>
      <c r="AF89" s="143"/>
      <c r="AG89" s="9">
        <f t="shared" si="15"/>
        <v>0</v>
      </c>
      <c r="AH89" s="8" t="str">
        <f t="array" ref="AH89">IF(AG89&gt;5,"Perlu Sensus",IF(AND(AG89&gt;=0,AD89&gt;0),"Tetap Deteksi","Belum Deteksi"))</f>
        <v>Belum Deteksi</v>
      </c>
      <c r="AI89" s="143"/>
      <c r="AJ89" s="9">
        <f t="shared" si="20"/>
        <v>0</v>
      </c>
      <c r="AK89" s="11"/>
      <c r="AL89" s="143"/>
      <c r="AM89" s="143"/>
      <c r="AN89" s="9">
        <f t="shared" si="16"/>
        <v>0</v>
      </c>
      <c r="AO89" s="8" t="str">
        <f t="array" ref="AO89">IF(AN89&gt;5,"Perlu Sensus",IF(AND(AN89&gt;=0,AL89&gt;0),"Tetap Deteksi","Belum Deteksi"))</f>
        <v>Belum Deteksi</v>
      </c>
      <c r="AP89" s="143"/>
      <c r="AQ89" s="9">
        <f t="shared" si="21"/>
        <v>0</v>
      </c>
    </row>
    <row r="90" spans="1:43" outlineLevel="1" x14ac:dyDescent="0.15">
      <c r="A90" s="8" t="s">
        <v>949</v>
      </c>
      <c r="B90" s="8"/>
      <c r="C90" s="8" t="s">
        <v>290</v>
      </c>
      <c r="D90" s="186" t="s">
        <v>1775</v>
      </c>
      <c r="E90" s="9">
        <v>38.78</v>
      </c>
      <c r="F90" s="8" t="s">
        <v>469</v>
      </c>
      <c r="G90" s="10">
        <v>4099</v>
      </c>
      <c r="H90" s="11">
        <f t="array" ref="H90">IF(OR(N90&gt;0,AC90&gt;0),MAX(N90,AC90),MAX(AK90,V90))</f>
        <v>46249</v>
      </c>
      <c r="I90" s="143">
        <f t="array" ref="I90">IF(SUM(O90,AD90)&gt;0,SUM(O90,AD90),SUM(AL90,W90))</f>
        <v>495.23708099999988</v>
      </c>
      <c r="J90" s="9">
        <f t="shared" si="11"/>
        <v>12.081899999999997</v>
      </c>
      <c r="K90" s="143">
        <f t="shared" si="17"/>
        <v>5.0999999999999996</v>
      </c>
      <c r="L90" s="9">
        <f t="shared" si="12"/>
        <v>1.0298098013383616</v>
      </c>
      <c r="M90" s="8" t="str">
        <f t="array" ref="M90">IF(L90&gt;5,"Perlu Sensus",IF(AND(L90&gt;=0,I90&gt;0),"Tetap Deteksi","Belum Deteksi"))</f>
        <v>Tetap Deteksi</v>
      </c>
      <c r="N90" s="11">
        <v>46249</v>
      </c>
      <c r="O90" s="143">
        <v>495.23708099999988</v>
      </c>
      <c r="P90" s="9">
        <f t="array" ref="P90">IFERROR(O90/$G90*100,0)</f>
        <v>12.081899999999997</v>
      </c>
      <c r="Q90" s="143">
        <v>5.0999999999999996</v>
      </c>
      <c r="R90" s="9">
        <f t="shared" si="13"/>
        <v>1.0298098013383616</v>
      </c>
      <c r="S90" s="8" t="str">
        <f t="array" ref="S90">IF(R90&gt;5,"Perlu Sensus",IF(AND(R90&gt;=0,O90&gt;0),"Tetap Deteksi","Belum Deteksi"))</f>
        <v>Tetap Deteksi</v>
      </c>
      <c r="T90" s="143">
        <v>5.6552671064897275</v>
      </c>
      <c r="U90" s="9">
        <f t="shared" si="18"/>
        <v>1.1419312736175604</v>
      </c>
      <c r="V90" s="11">
        <v>46249</v>
      </c>
      <c r="W90" s="143">
        <v>330.77782994126881</v>
      </c>
      <c r="X90" s="143">
        <v>3.09</v>
      </c>
      <c r="Y90" s="9">
        <f t="shared" si="14"/>
        <v>0.93416176064418954</v>
      </c>
      <c r="Z90" s="8" t="str">
        <f t="array" ref="Z90">IF(Y90&gt;5,"Perlu Sensus",IF(AND(Y90&gt;=0,W90&gt;0),"Tetap Deteksi","Belum Deteksi"))</f>
        <v>Tetap Deteksi</v>
      </c>
      <c r="AA90" s="143">
        <v>7.28</v>
      </c>
      <c r="AB90" s="9">
        <f t="shared" si="19"/>
        <v>2.2008730153688352</v>
      </c>
      <c r="AC90" s="11"/>
      <c r="AD90" s="143"/>
      <c r="AE90" s="9">
        <f t="array" ref="AE90">IFERROR(AD90/$G90*100,0)</f>
        <v>0</v>
      </c>
      <c r="AF90" s="143"/>
      <c r="AG90" s="9">
        <f t="shared" si="15"/>
        <v>0</v>
      </c>
      <c r="AH90" s="8" t="str">
        <f t="array" ref="AH90">IF(AG90&gt;5,"Perlu Sensus",IF(AND(AG90&gt;=0,AD90&gt;0),"Tetap Deteksi","Belum Deteksi"))</f>
        <v>Belum Deteksi</v>
      </c>
      <c r="AI90" s="143"/>
      <c r="AJ90" s="9">
        <f t="shared" si="20"/>
        <v>0</v>
      </c>
      <c r="AK90" s="11"/>
      <c r="AL90" s="143"/>
      <c r="AM90" s="143"/>
      <c r="AN90" s="9">
        <f t="shared" si="16"/>
        <v>0</v>
      </c>
      <c r="AO90" s="8" t="str">
        <f t="array" ref="AO90">IF(AN90&gt;5,"Perlu Sensus",IF(AND(AN90&gt;=0,AL90&gt;0),"Tetap Deteksi","Belum Deteksi"))</f>
        <v>Belum Deteksi</v>
      </c>
      <c r="AP90" s="143"/>
      <c r="AQ90" s="9">
        <f t="shared" si="21"/>
        <v>0</v>
      </c>
    </row>
    <row r="91" spans="1:43" outlineLevel="1" x14ac:dyDescent="0.15">
      <c r="A91" s="8" t="s">
        <v>949</v>
      </c>
      <c r="B91" s="8"/>
      <c r="C91" s="8" t="s">
        <v>290</v>
      </c>
      <c r="D91" s="186" t="s">
        <v>1000</v>
      </c>
      <c r="E91" s="9">
        <v>30.85</v>
      </c>
      <c r="F91" s="8" t="s">
        <v>469</v>
      </c>
      <c r="G91" s="10">
        <v>433</v>
      </c>
      <c r="H91" s="11">
        <f t="array" ref="H91">IF(OR(N91&gt;0,AC91&gt;0),MAX(N91,AC91),MAX(AK91,V91))</f>
        <v>46235</v>
      </c>
      <c r="I91" s="143">
        <f t="array" ref="I91">IF(SUM(O91,AD91)&gt;0,SUM(O91,AD91),SUM(AL91,W91))</f>
        <v>52.314626999999994</v>
      </c>
      <c r="J91" s="9">
        <f t="shared" si="11"/>
        <v>12.081899999999997</v>
      </c>
      <c r="K91" s="143">
        <f t="shared" si="17"/>
        <v>2.2440000000000002</v>
      </c>
      <c r="L91" s="9">
        <f t="shared" si="12"/>
        <v>4.2894313286416059</v>
      </c>
      <c r="M91" s="8" t="str">
        <f t="array" ref="M91">IF(L91&gt;5,"Perlu Sensus",IF(AND(L91&gt;=0,I91&gt;0),"Tetap Deteksi","Belum Deteksi"))</f>
        <v>Tetap Deteksi</v>
      </c>
      <c r="N91" s="11">
        <v>46235</v>
      </c>
      <c r="O91" s="143">
        <v>52.314626999999994</v>
      </c>
      <c r="P91" s="9">
        <f t="array" ref="P91">IFERROR(O91/$G91*100,0)</f>
        <v>12.081899999999997</v>
      </c>
      <c r="Q91" s="143">
        <v>2.2440000000000002</v>
      </c>
      <c r="R91" s="9">
        <f t="shared" si="13"/>
        <v>4.2894313286416059</v>
      </c>
      <c r="S91" s="8" t="str">
        <f t="array" ref="S91">IF(R91&gt;5,"Perlu Sensus",IF(AND(R91&gt;=0,O91&gt;0),"Tetap Deteksi","Belum Deteksi"))</f>
        <v>Tetap Deteksi</v>
      </c>
      <c r="T91" s="143">
        <v>1.4572479999999999</v>
      </c>
      <c r="U91" s="9">
        <f t="shared" si="18"/>
        <v>2.7855460003566499</v>
      </c>
      <c r="V91" s="11">
        <v>46235</v>
      </c>
      <c r="W91" s="143">
        <v>337.39338654009418</v>
      </c>
      <c r="X91" s="143">
        <v>9.0640000000000018</v>
      </c>
      <c r="Y91" s="9">
        <f t="shared" si="14"/>
        <v>2.6864782659048592</v>
      </c>
      <c r="Z91" s="8" t="str">
        <f t="array" ref="Z91">IF(Y91&gt;5,"Perlu Sensus",IF(AND(Y91&gt;=0,W91&gt;0),"Tetap Deteksi","Belum Deteksi"))</f>
        <v>Tetap Deteksi</v>
      </c>
      <c r="AA91" s="143">
        <v>5.9304960000000007</v>
      </c>
      <c r="AB91" s="9">
        <f t="shared" si="19"/>
        <v>1.7577392552996143</v>
      </c>
      <c r="AC91" s="11"/>
      <c r="AD91" s="143"/>
      <c r="AE91" s="9">
        <f t="array" ref="AE91">IFERROR(AD91/$G91*100,0)</f>
        <v>0</v>
      </c>
      <c r="AF91" s="143"/>
      <c r="AG91" s="9">
        <f t="shared" si="15"/>
        <v>0</v>
      </c>
      <c r="AH91" s="8" t="str">
        <f t="array" ref="AH91">IF(AG91&gt;5,"Perlu Sensus",IF(AND(AG91&gt;=0,AD91&gt;0),"Tetap Deteksi","Belum Deteksi"))</f>
        <v>Belum Deteksi</v>
      </c>
      <c r="AI91" s="143"/>
      <c r="AJ91" s="9">
        <f t="shared" si="20"/>
        <v>0</v>
      </c>
      <c r="AK91" s="11"/>
      <c r="AL91" s="143"/>
      <c r="AM91" s="143"/>
      <c r="AN91" s="9">
        <f t="shared" si="16"/>
        <v>0</v>
      </c>
      <c r="AO91" s="8" t="str">
        <f t="array" ref="AO91">IF(AN91&gt;5,"Perlu Sensus",IF(AND(AN91&gt;=0,AL91&gt;0),"Tetap Deteksi","Belum Deteksi"))</f>
        <v>Belum Deteksi</v>
      </c>
      <c r="AP91" s="143"/>
      <c r="AQ91" s="9">
        <f t="shared" si="21"/>
        <v>0</v>
      </c>
    </row>
    <row r="92" spans="1:43" outlineLevel="1" x14ac:dyDescent="0.15">
      <c r="A92" s="8" t="s">
        <v>949</v>
      </c>
      <c r="B92" s="8"/>
      <c r="C92" s="8" t="s">
        <v>290</v>
      </c>
      <c r="D92" s="186" t="s">
        <v>1776</v>
      </c>
      <c r="E92" s="9">
        <v>28.35</v>
      </c>
      <c r="F92" s="8" t="s">
        <v>469</v>
      </c>
      <c r="G92" s="10">
        <v>3087</v>
      </c>
      <c r="H92" s="11">
        <f t="array" ref="H92">IF(OR(N92&gt;0,AC92&gt;0),MAX(N92,AC92),MAX(AK92,V92))</f>
        <v>46236</v>
      </c>
      <c r="I92" s="143">
        <f t="array" ref="I92">IF(SUM(O92,AD92)&gt;0,SUM(O92,AD92),SUM(AL92,W92))</f>
        <v>447.56190359999999</v>
      </c>
      <c r="J92" s="9">
        <f t="shared" si="11"/>
        <v>14.498279999999999</v>
      </c>
      <c r="K92" s="143">
        <f t="shared" si="17"/>
        <v>20.196000000000002</v>
      </c>
      <c r="L92" s="9">
        <f t="shared" si="12"/>
        <v>4.512448409382448</v>
      </c>
      <c r="M92" s="8" t="str">
        <f t="array" ref="M92">IF(L92&gt;5,"Perlu Sensus",IF(AND(L92&gt;=0,I92&gt;0),"Tetap Deteksi","Belum Deteksi"))</f>
        <v>Tetap Deteksi</v>
      </c>
      <c r="N92" s="11">
        <v>46236</v>
      </c>
      <c r="O92" s="143">
        <v>447.56190359999999</v>
      </c>
      <c r="P92" s="9">
        <f t="array" ref="P92">IFERROR(O92/$G92*100,0)</f>
        <v>14.498279999999999</v>
      </c>
      <c r="Q92" s="143">
        <v>20.196000000000002</v>
      </c>
      <c r="R92" s="9">
        <f t="shared" si="13"/>
        <v>4.512448409382448</v>
      </c>
      <c r="S92" s="8" t="str">
        <f t="array" ref="S92">IF(R92&gt;5,"Perlu Sensus",IF(AND(R92&gt;=0,O92&gt;0),"Tetap Deteksi","Belum Deteksi"))</f>
        <v>Tetap Deteksi</v>
      </c>
      <c r="T92" s="143">
        <v>13.115231999999999</v>
      </c>
      <c r="U92" s="9">
        <f t="shared" si="18"/>
        <v>2.9303727360408875</v>
      </c>
      <c r="V92" s="11">
        <v>46236</v>
      </c>
      <c r="W92" s="143">
        <v>344.14125427089607</v>
      </c>
      <c r="X92" s="143">
        <v>10.197000000000001</v>
      </c>
      <c r="Y92" s="9">
        <f t="shared" si="14"/>
        <v>2.9630274991597711</v>
      </c>
      <c r="Z92" s="8" t="str">
        <f t="array" ref="Z92">IF(Y92&gt;5,"Perlu Sensus",IF(AND(Y92&gt;=0,W92&gt;0),"Tetap Deteksi","Belum Deteksi"))</f>
        <v>Tetap Deteksi</v>
      </c>
      <c r="AA92" s="143">
        <v>6.6718080000000004</v>
      </c>
      <c r="AB92" s="9">
        <f t="shared" si="19"/>
        <v>1.938683002168692</v>
      </c>
      <c r="AC92" s="11"/>
      <c r="AD92" s="143"/>
      <c r="AE92" s="9">
        <f t="array" ref="AE92">IFERROR(AD92/$G92*100,0)</f>
        <v>0</v>
      </c>
      <c r="AF92" s="143"/>
      <c r="AG92" s="9">
        <f t="shared" si="15"/>
        <v>0</v>
      </c>
      <c r="AH92" s="8" t="str">
        <f t="array" ref="AH92">IF(AG92&gt;5,"Perlu Sensus",IF(AND(AG92&gt;=0,AD92&gt;0),"Tetap Deteksi","Belum Deteksi"))</f>
        <v>Belum Deteksi</v>
      </c>
      <c r="AI92" s="143"/>
      <c r="AJ92" s="9">
        <f t="shared" si="20"/>
        <v>0</v>
      </c>
      <c r="AK92" s="11"/>
      <c r="AL92" s="143"/>
      <c r="AM92" s="143"/>
      <c r="AN92" s="9">
        <f t="shared" si="16"/>
        <v>0</v>
      </c>
      <c r="AO92" s="8" t="str">
        <f t="array" ref="AO92">IF(AN92&gt;5,"Perlu Sensus",IF(AND(AN92&gt;=0,AL92&gt;0),"Tetap Deteksi","Belum Deteksi"))</f>
        <v>Belum Deteksi</v>
      </c>
      <c r="AP92" s="143"/>
      <c r="AQ92" s="9">
        <f t="shared" si="21"/>
        <v>0</v>
      </c>
    </row>
    <row r="93" spans="1:43" outlineLevel="1" x14ac:dyDescent="0.15">
      <c r="A93" s="8" t="s">
        <v>949</v>
      </c>
      <c r="B93" s="8"/>
      <c r="C93" s="8" t="s">
        <v>290</v>
      </c>
      <c r="D93" s="186" t="s">
        <v>1777</v>
      </c>
      <c r="E93" s="9">
        <v>37.94</v>
      </c>
      <c r="F93" s="8" t="s">
        <v>469</v>
      </c>
      <c r="G93" s="10">
        <v>4758</v>
      </c>
      <c r="H93" s="11">
        <f t="array" ref="H93">IF(OR(N93&gt;0,AC93&gt;0),MAX(N93,AC93),MAX(AK93,V93))</f>
        <v>46237</v>
      </c>
      <c r="I93" s="143">
        <f t="array" ref="I93">IF(SUM(O93,AD93)&gt;0,SUM(O93,AD93),SUM(AL93,W93))</f>
        <v>747.31384260000004</v>
      </c>
      <c r="J93" s="9">
        <f t="shared" si="11"/>
        <v>15.706469999999999</v>
      </c>
      <c r="K93" s="143">
        <f t="shared" si="17"/>
        <v>23.562000000000001</v>
      </c>
      <c r="L93" s="9">
        <f t="shared" si="12"/>
        <v>3.1528922196897624</v>
      </c>
      <c r="M93" s="8" t="str">
        <f t="array" ref="M93">IF(L93&gt;5,"Perlu Sensus",IF(AND(L93&gt;=0,I93&gt;0),"Tetap Deteksi","Belum Deteksi"))</f>
        <v>Tetap Deteksi</v>
      </c>
      <c r="N93" s="11">
        <v>46237</v>
      </c>
      <c r="O93" s="143">
        <v>747.31384260000004</v>
      </c>
      <c r="P93" s="9">
        <f t="array" ref="P93">IFERROR(O93/$G93*100,0)</f>
        <v>15.706469999999999</v>
      </c>
      <c r="Q93" s="143">
        <v>23.562000000000001</v>
      </c>
      <c r="R93" s="9">
        <f t="shared" si="13"/>
        <v>3.1528922196897624</v>
      </c>
      <c r="S93" s="8" t="str">
        <f t="array" ref="S93">IF(R93&gt;5,"Perlu Sensus",IF(AND(R93&gt;=0,O93&gt;0),"Tetap Deteksi","Belum Deteksi"))</f>
        <v>Tetap Deteksi</v>
      </c>
      <c r="T93" s="143">
        <v>15.301103999999999</v>
      </c>
      <c r="U93" s="9">
        <f t="shared" si="18"/>
        <v>2.0474803392863046</v>
      </c>
      <c r="V93" s="11">
        <v>46237</v>
      </c>
      <c r="W93" s="143">
        <v>351.02407935631408</v>
      </c>
      <c r="X93" s="143">
        <v>9.0640000000000018</v>
      </c>
      <c r="Y93" s="9">
        <f t="shared" si="14"/>
        <v>2.5821590406621096</v>
      </c>
      <c r="Z93" s="8" t="str">
        <f t="array" ref="Z93">IF(Y93&gt;5,"Perlu Sensus",IF(AND(Y93&gt;=0,W93&gt;0),"Tetap Deteksi","Belum Deteksi"))</f>
        <v>Tetap Deteksi</v>
      </c>
      <c r="AA93" s="143">
        <v>5.9304960000000007</v>
      </c>
      <c r="AB93" s="9">
        <f t="shared" si="19"/>
        <v>1.6894840977504939</v>
      </c>
      <c r="AC93" s="11"/>
      <c r="AD93" s="143"/>
      <c r="AE93" s="9">
        <f t="array" ref="AE93">IFERROR(AD93/$G93*100,0)</f>
        <v>0</v>
      </c>
      <c r="AF93" s="143"/>
      <c r="AG93" s="9">
        <f t="shared" si="15"/>
        <v>0</v>
      </c>
      <c r="AH93" s="8" t="str">
        <f t="array" ref="AH93">IF(AG93&gt;5,"Perlu Sensus",IF(AND(AG93&gt;=0,AD93&gt;0),"Tetap Deteksi","Belum Deteksi"))</f>
        <v>Belum Deteksi</v>
      </c>
      <c r="AI93" s="143"/>
      <c r="AJ93" s="9">
        <f t="shared" si="20"/>
        <v>0</v>
      </c>
      <c r="AK93" s="11"/>
      <c r="AL93" s="143"/>
      <c r="AM93" s="143"/>
      <c r="AN93" s="9">
        <f t="shared" si="16"/>
        <v>0</v>
      </c>
      <c r="AO93" s="8" t="str">
        <f t="array" ref="AO93">IF(AN93&gt;5,"Perlu Sensus",IF(AND(AN93&gt;=0,AL93&gt;0),"Tetap Deteksi","Belum Deteksi"))</f>
        <v>Belum Deteksi</v>
      </c>
      <c r="AP93" s="143"/>
      <c r="AQ93" s="9">
        <f t="shared" si="21"/>
        <v>0</v>
      </c>
    </row>
    <row r="94" spans="1:43" outlineLevel="1" x14ac:dyDescent="0.15">
      <c r="A94" s="8" t="s">
        <v>949</v>
      </c>
      <c r="B94" s="8"/>
      <c r="C94" s="8" t="s">
        <v>290</v>
      </c>
      <c r="D94" s="186" t="s">
        <v>1778</v>
      </c>
      <c r="E94" s="9">
        <v>43.56</v>
      </c>
      <c r="F94" s="8" t="s">
        <v>469</v>
      </c>
      <c r="G94" s="10">
        <v>3581</v>
      </c>
      <c r="H94" s="11">
        <f t="array" ref="H94">IF(OR(N94&gt;0,AC94&gt;0),MAX(N94,AC94),MAX(AK94,V94))</f>
        <v>46238</v>
      </c>
      <c r="I94" s="143">
        <f t="array" ref="I94">IF(SUM(O94,AD94)&gt;0,SUM(O94,AD94),SUM(AL94,W94))</f>
        <v>519.18340679999994</v>
      </c>
      <c r="J94" s="9">
        <f t="shared" si="11"/>
        <v>14.498279999999999</v>
      </c>
      <c r="K94" s="143">
        <f t="shared" si="17"/>
        <v>12.24</v>
      </c>
      <c r="L94" s="9">
        <f t="shared" si="12"/>
        <v>2.3575483807237889</v>
      </c>
      <c r="M94" s="8" t="str">
        <f t="array" ref="M94">IF(L94&gt;5,"Perlu Sensus",IF(AND(L94&gt;=0,I94&gt;0),"Tetap Deteksi","Belum Deteksi"))</f>
        <v>Tetap Deteksi</v>
      </c>
      <c r="N94" s="11">
        <v>46238</v>
      </c>
      <c r="O94" s="143">
        <v>519.18340679999994</v>
      </c>
      <c r="P94" s="9">
        <f t="array" ref="P94">IFERROR(O94/$G94*100,0)</f>
        <v>14.498279999999999</v>
      </c>
      <c r="Q94" s="143">
        <v>12.24</v>
      </c>
      <c r="R94" s="9">
        <f t="shared" si="13"/>
        <v>2.3575483807237889</v>
      </c>
      <c r="S94" s="8" t="str">
        <f t="array" ref="S94">IF(R94&gt;5,"Perlu Sensus",IF(AND(R94&gt;=0,O94&gt;0),"Tetap Deteksi","Belum Deteksi"))</f>
        <v>Tetap Deteksi</v>
      </c>
      <c r="T94" s="143">
        <v>8.7434879999999975</v>
      </c>
      <c r="U94" s="9">
        <f t="shared" si="18"/>
        <v>1.6840846385847936</v>
      </c>
      <c r="V94" s="11">
        <v>46238</v>
      </c>
      <c r="W94" s="143">
        <v>358.04456094344039</v>
      </c>
      <c r="X94" s="143">
        <v>10.197000000000001</v>
      </c>
      <c r="Y94" s="9">
        <f t="shared" si="14"/>
        <v>2.847969530142032</v>
      </c>
      <c r="Z94" s="8" t="str">
        <f t="array" ref="Z94">IF(Y94&gt;5,"Perlu Sensus",IF(AND(Y94&gt;=0,W94&gt;0),"Tetap Deteksi","Belum Deteksi"))</f>
        <v>Tetap Deteksi</v>
      </c>
      <c r="AA94" s="143">
        <v>6.24</v>
      </c>
      <c r="AB94" s="9">
        <f t="shared" si="19"/>
        <v>1.7427998301545826</v>
      </c>
      <c r="AC94" s="11"/>
      <c r="AD94" s="143"/>
      <c r="AE94" s="9">
        <f t="array" ref="AE94">IFERROR(AD94/$G94*100,0)</f>
        <v>0</v>
      </c>
      <c r="AF94" s="143"/>
      <c r="AG94" s="9">
        <f t="shared" si="15"/>
        <v>0</v>
      </c>
      <c r="AH94" s="8" t="str">
        <f t="array" ref="AH94">IF(AG94&gt;5,"Perlu Sensus",IF(AND(AG94&gt;=0,AD94&gt;0),"Tetap Deteksi","Belum Deteksi"))</f>
        <v>Belum Deteksi</v>
      </c>
      <c r="AI94" s="143"/>
      <c r="AJ94" s="9">
        <f t="shared" si="20"/>
        <v>0</v>
      </c>
      <c r="AK94" s="11"/>
      <c r="AL94" s="143"/>
      <c r="AM94" s="143"/>
      <c r="AN94" s="9">
        <f t="shared" si="16"/>
        <v>0</v>
      </c>
      <c r="AO94" s="8" t="str">
        <f t="array" ref="AO94">IF(AN94&gt;5,"Perlu Sensus",IF(AND(AN94&gt;=0,AL94&gt;0),"Tetap Deteksi","Belum Deteksi"))</f>
        <v>Belum Deteksi</v>
      </c>
      <c r="AP94" s="143"/>
      <c r="AQ94" s="9">
        <f t="shared" si="21"/>
        <v>0</v>
      </c>
    </row>
    <row r="95" spans="1:43" outlineLevel="1" x14ac:dyDescent="0.15">
      <c r="A95" s="8" t="s">
        <v>949</v>
      </c>
      <c r="B95" s="8"/>
      <c r="C95" s="8" t="s">
        <v>144</v>
      </c>
      <c r="D95" s="186" t="s">
        <v>1376</v>
      </c>
      <c r="E95" s="9">
        <v>38.950000000000003</v>
      </c>
      <c r="F95" s="8" t="s">
        <v>469</v>
      </c>
      <c r="G95" s="10">
        <v>4787</v>
      </c>
      <c r="H95" s="11">
        <f t="array" ref="H95">IF(OR(N95&gt;0,AC95&gt;0),MAX(N95,AC95),MAX(AK95,V95))</f>
        <v>46235</v>
      </c>
      <c r="I95" s="143">
        <f t="array" ref="I95">IF(SUM(O95,AD95)&gt;0,SUM(O95,AD95),SUM(AL95,W95))</f>
        <v>636.19660829999998</v>
      </c>
      <c r="J95" s="9">
        <f t="shared" si="11"/>
        <v>13.290089999999999</v>
      </c>
      <c r="K95" s="143">
        <f t="shared" si="17"/>
        <v>23.759115713161805</v>
      </c>
      <c r="L95" s="9">
        <f t="shared" si="12"/>
        <v>3.7345555451245254</v>
      </c>
      <c r="M95" s="8" t="str">
        <f t="array" ref="M95">IF(L95&gt;5,"Perlu Sensus",IF(AND(L95&gt;=0,I95&gt;0),"Tetap Deteksi","Belum Deteksi"))</f>
        <v>Tetap Deteksi</v>
      </c>
      <c r="N95" s="11">
        <v>46235</v>
      </c>
      <c r="O95" s="143">
        <v>636.19660829999998</v>
      </c>
      <c r="P95" s="9">
        <f t="array" ref="P95">IFERROR(O95/$G95*100,0)</f>
        <v>13.290089999999999</v>
      </c>
      <c r="Q95" s="143">
        <v>23.759115713161805</v>
      </c>
      <c r="R95" s="9">
        <f t="shared" si="13"/>
        <v>3.7345555451245254</v>
      </c>
      <c r="S95" s="8" t="str">
        <f t="array" ref="S95">IF(R95&gt;5,"Perlu Sensus",IF(AND(R95&gt;=0,O95&gt;0),"Tetap Deteksi","Belum Deteksi"))</f>
        <v>Tetap Deteksi</v>
      </c>
      <c r="T95" s="143">
        <v>15.429110452216403</v>
      </c>
      <c r="U95" s="9">
        <f t="shared" si="18"/>
        <v>2.4252110512574077</v>
      </c>
      <c r="V95" s="11">
        <v>46235</v>
      </c>
      <c r="W95" s="143">
        <v>250.68825600000002</v>
      </c>
      <c r="X95" s="143">
        <v>8.8262177349046276</v>
      </c>
      <c r="Y95" s="9">
        <f t="shared" si="14"/>
        <v>3.5207942628571431</v>
      </c>
      <c r="Z95" s="8" t="str">
        <f t="array" ref="Z95">IF(Y95&gt;5,"Perlu Sensus",IF(AND(Y95&gt;=0,W95&gt;0),"Tetap Deteksi","Belum Deteksi"))</f>
        <v>Tetap Deteksi</v>
      </c>
      <c r="AA95" s="143">
        <v>5.7749171416572107</v>
      </c>
      <c r="AB95" s="9">
        <f t="shared" si="19"/>
        <v>2.3036249219657146</v>
      </c>
      <c r="AC95" s="11"/>
      <c r="AD95" s="143"/>
      <c r="AE95" s="9">
        <f t="array" ref="AE95">IFERROR(AD95/$G95*100,0)</f>
        <v>0</v>
      </c>
      <c r="AF95" s="143"/>
      <c r="AG95" s="9">
        <f t="shared" si="15"/>
        <v>0</v>
      </c>
      <c r="AH95" s="8" t="str">
        <f t="array" ref="AH95">IF(AG95&gt;5,"Perlu Sensus",IF(AND(AG95&gt;=0,AD95&gt;0),"Tetap Deteksi","Belum Deteksi"))</f>
        <v>Belum Deteksi</v>
      </c>
      <c r="AI95" s="143"/>
      <c r="AJ95" s="9">
        <f t="shared" si="20"/>
        <v>0</v>
      </c>
      <c r="AK95" s="11"/>
      <c r="AL95" s="143"/>
      <c r="AM95" s="143"/>
      <c r="AN95" s="9">
        <f t="shared" si="16"/>
        <v>0</v>
      </c>
      <c r="AO95" s="8" t="str">
        <f t="array" ref="AO95">IF(AN95&gt;5,"Perlu Sensus",IF(AND(AN95&gt;=0,AL95&gt;0),"Tetap Deteksi","Belum Deteksi"))</f>
        <v>Belum Deteksi</v>
      </c>
      <c r="AP95" s="143"/>
      <c r="AQ95" s="9">
        <f t="shared" si="21"/>
        <v>0</v>
      </c>
    </row>
    <row r="96" spans="1:43" outlineLevel="1" x14ac:dyDescent="0.15">
      <c r="A96" s="8" t="s">
        <v>949</v>
      </c>
      <c r="B96" s="8"/>
      <c r="C96" s="8" t="s">
        <v>144</v>
      </c>
      <c r="D96" s="186" t="s">
        <v>1377</v>
      </c>
      <c r="E96" s="9">
        <v>34.42</v>
      </c>
      <c r="F96" s="8" t="s">
        <v>469</v>
      </c>
      <c r="G96" s="10">
        <v>2716</v>
      </c>
      <c r="H96" s="11">
        <f t="array" ref="H96">IF(OR(N96&gt;0,AC96&gt;0),MAX(N96,AC96),MAX(AK96,V96))</f>
        <v>46236</v>
      </c>
      <c r="I96" s="143">
        <f t="array" ref="I96">IF(SUM(O96,AD96)&gt;0,SUM(O96,AD96),SUM(AL96,W96))</f>
        <v>393.7732848</v>
      </c>
      <c r="J96" s="9">
        <f t="shared" si="11"/>
        <v>14.498279999999999</v>
      </c>
      <c r="K96" s="143">
        <f t="shared" si="17"/>
        <v>11.05528470892877</v>
      </c>
      <c r="L96" s="9">
        <f t="shared" si="12"/>
        <v>2.8075253288307311</v>
      </c>
      <c r="M96" s="8" t="str">
        <f t="array" ref="M96">IF(L96&gt;5,"Perlu Sensus",IF(AND(L96&gt;=0,I96&gt;0),"Tetap Deteksi","Belum Deteksi"))</f>
        <v>Tetap Deteksi</v>
      </c>
      <c r="N96" s="11">
        <v>46236</v>
      </c>
      <c r="O96" s="143">
        <v>393.7732848</v>
      </c>
      <c r="P96" s="9">
        <f t="array" ref="P96">IFERROR(O96/$G96*100,0)</f>
        <v>14.498279999999999</v>
      </c>
      <c r="Q96" s="143">
        <v>11.05528470892877</v>
      </c>
      <c r="R96" s="9">
        <f t="shared" si="13"/>
        <v>2.8075253288307311</v>
      </c>
      <c r="S96" s="8" t="str">
        <f t="array" ref="S96">IF(R96&gt;5,"Perlu Sensus",IF(AND(R96&gt;=0,O96&gt;0),"Tetap Deteksi","Belum Deteksi"))</f>
        <v>Tetap Deteksi</v>
      </c>
      <c r="T96" s="143">
        <v>7.1792743010325442</v>
      </c>
      <c r="U96" s="9">
        <f t="shared" si="18"/>
        <v>1.8231999422406078</v>
      </c>
      <c r="V96" s="11">
        <v>46236</v>
      </c>
      <c r="W96" s="143">
        <v>255.70202112000004</v>
      </c>
      <c r="X96" s="143">
        <v>5.6433721534226144</v>
      </c>
      <c r="Y96" s="9">
        <f t="shared" si="14"/>
        <v>2.2070111642857135</v>
      </c>
      <c r="Z96" s="8" t="str">
        <f t="array" ref="Z96">IF(Y96&gt;5,"Perlu Sensus",IF(AND(Y96&gt;=0,W96&gt;0),"Tetap Deteksi","Belum Deteksi"))</f>
        <v>Tetap Deteksi</v>
      </c>
      <c r="AA96" s="143">
        <v>3.12</v>
      </c>
      <c r="AB96" s="9">
        <f t="shared" si="19"/>
        <v>1.2201702537719854</v>
      </c>
      <c r="AC96" s="11"/>
      <c r="AD96" s="143"/>
      <c r="AE96" s="9">
        <f t="array" ref="AE96">IFERROR(AD96/$G96*100,0)</f>
        <v>0</v>
      </c>
      <c r="AF96" s="143"/>
      <c r="AG96" s="9">
        <f t="shared" si="15"/>
        <v>0</v>
      </c>
      <c r="AH96" s="8" t="str">
        <f t="array" ref="AH96">IF(AG96&gt;5,"Perlu Sensus",IF(AND(AG96&gt;=0,AD96&gt;0),"Tetap Deteksi","Belum Deteksi"))</f>
        <v>Belum Deteksi</v>
      </c>
      <c r="AI96" s="143"/>
      <c r="AJ96" s="9">
        <f t="shared" si="20"/>
        <v>0</v>
      </c>
      <c r="AK96" s="11"/>
      <c r="AL96" s="143"/>
      <c r="AM96" s="143"/>
      <c r="AN96" s="9">
        <f t="shared" si="16"/>
        <v>0</v>
      </c>
      <c r="AO96" s="8" t="str">
        <f t="array" ref="AO96">IF(AN96&gt;5,"Perlu Sensus",IF(AND(AN96&gt;=0,AL96&gt;0),"Tetap Deteksi","Belum Deteksi"))</f>
        <v>Belum Deteksi</v>
      </c>
      <c r="AP96" s="143"/>
      <c r="AQ96" s="9">
        <f t="shared" si="21"/>
        <v>0</v>
      </c>
    </row>
    <row r="97" spans="1:43" outlineLevel="1" x14ac:dyDescent="0.15">
      <c r="A97" s="8" t="s">
        <v>949</v>
      </c>
      <c r="B97" s="8"/>
      <c r="C97" s="8" t="s">
        <v>144</v>
      </c>
      <c r="D97" s="186" t="s">
        <v>1779</v>
      </c>
      <c r="E97" s="9">
        <v>43.21</v>
      </c>
      <c r="F97" s="8" t="s">
        <v>469</v>
      </c>
      <c r="G97" s="10">
        <v>6024.0000000000009</v>
      </c>
      <c r="H97" s="11">
        <f t="array" ref="H97">IF(OR(N97&gt;0,AC97&gt;0),MAX(N97,AC97),MAX(AK97,V97))</f>
        <v>46237</v>
      </c>
      <c r="I97" s="143">
        <f t="array" ref="I97">IF(SUM(O97,AD97)&gt;0,SUM(O97,AD97),SUM(AL97,W97))</f>
        <v>655.03229039999997</v>
      </c>
      <c r="J97" s="9">
        <f t="shared" si="11"/>
        <v>10.873709999999997</v>
      </c>
      <c r="K97" s="143">
        <f t="shared" si="17"/>
        <v>11.748765425709314</v>
      </c>
      <c r="L97" s="9">
        <f t="shared" si="12"/>
        <v>1.7936162228788521</v>
      </c>
      <c r="M97" s="8" t="str">
        <f t="array" ref="M97">IF(L97&gt;5,"Perlu Sensus",IF(AND(L97&gt;=0,I97&gt;0),"Tetap Deteksi","Belum Deteksi"))</f>
        <v>Tetap Deteksi</v>
      </c>
      <c r="N97" s="11">
        <v>46237</v>
      </c>
      <c r="O97" s="143">
        <v>655.03229039999997</v>
      </c>
      <c r="P97" s="9">
        <f t="array" ref="P97">IFERROR(O97/$G97*100,0)</f>
        <v>10.873709999999997</v>
      </c>
      <c r="Q97" s="143">
        <v>11.748765425709314</v>
      </c>
      <c r="R97" s="9">
        <f t="shared" si="13"/>
        <v>1.7936162228788521</v>
      </c>
      <c r="S97" s="8" t="str">
        <f t="array" ref="S97">IF(R97&gt;5,"Perlu Sensus",IF(AND(R97&gt;=0,O97&gt;0),"Tetap Deteksi","Belum Deteksi"))</f>
        <v>Tetap Deteksi</v>
      </c>
      <c r="T97" s="143">
        <v>7.6296189478984155</v>
      </c>
      <c r="U97" s="9">
        <f t="shared" si="18"/>
        <v>1.1647698990899114</v>
      </c>
      <c r="V97" s="11">
        <v>46237</v>
      </c>
      <c r="W97" s="143">
        <v>260.81606154240006</v>
      </c>
      <c r="X97" s="143">
        <v>4.398860334300883</v>
      </c>
      <c r="Y97" s="9">
        <f t="shared" si="14"/>
        <v>1.6865757071428571</v>
      </c>
      <c r="Z97" s="8" t="str">
        <f t="array" ref="Z97">IF(Y97&gt;5,"Perlu Sensus",IF(AND(Y97&gt;=0,W97&gt;0),"Tetap Deteksi","Belum Deteksi"))</f>
        <v>Tetap Deteksi</v>
      </c>
      <c r="AA97" s="143">
        <v>2.8781358800893702</v>
      </c>
      <c r="AB97" s="9">
        <f t="shared" si="19"/>
        <v>1.1035117481142858</v>
      </c>
      <c r="AC97" s="11"/>
      <c r="AD97" s="143"/>
      <c r="AE97" s="9">
        <f t="array" ref="AE97">IFERROR(AD97/$G97*100,0)</f>
        <v>0</v>
      </c>
      <c r="AF97" s="143"/>
      <c r="AG97" s="9">
        <f t="shared" si="15"/>
        <v>0</v>
      </c>
      <c r="AH97" s="8" t="str">
        <f t="array" ref="AH97">IF(AG97&gt;5,"Perlu Sensus",IF(AND(AG97&gt;=0,AD97&gt;0),"Tetap Deteksi","Belum Deteksi"))</f>
        <v>Belum Deteksi</v>
      </c>
      <c r="AI97" s="143"/>
      <c r="AJ97" s="9">
        <f t="shared" si="20"/>
        <v>0</v>
      </c>
      <c r="AK97" s="11"/>
      <c r="AL97" s="143"/>
      <c r="AM97" s="143"/>
      <c r="AN97" s="9">
        <f t="shared" si="16"/>
        <v>0</v>
      </c>
      <c r="AO97" s="8" t="str">
        <f t="array" ref="AO97">IF(AN97&gt;5,"Perlu Sensus",IF(AND(AN97&gt;=0,AL97&gt;0),"Tetap Deteksi","Belum Deteksi"))</f>
        <v>Belum Deteksi</v>
      </c>
      <c r="AP97" s="143"/>
      <c r="AQ97" s="9">
        <f t="shared" si="21"/>
        <v>0</v>
      </c>
    </row>
    <row r="98" spans="1:43" outlineLevel="1" x14ac:dyDescent="0.15">
      <c r="A98" s="8" t="s">
        <v>949</v>
      </c>
      <c r="B98" s="8"/>
      <c r="C98" s="8" t="s">
        <v>144</v>
      </c>
      <c r="D98" s="181" t="s">
        <v>1384</v>
      </c>
      <c r="E98" s="9">
        <v>29.75</v>
      </c>
      <c r="F98" s="8" t="s">
        <v>469</v>
      </c>
      <c r="G98" s="10">
        <v>3985</v>
      </c>
      <c r="H98" s="11">
        <f t="array" ref="H98">IF(OR(N98&gt;0,AC98&gt;0),MAX(N98,AC98),MAX(AK98,V98))</f>
        <v>46238</v>
      </c>
      <c r="I98" s="143">
        <f t="array" ref="I98">IF(SUM(O98,AD98)&gt;0,SUM(O98,AD98),SUM(AL98,W98))</f>
        <v>385.17097200000001</v>
      </c>
      <c r="J98" s="9">
        <f t="shared" si="11"/>
        <v>9.665519999999999</v>
      </c>
      <c r="K98" s="143">
        <f t="shared" si="17"/>
        <v>3.8420190069465612</v>
      </c>
      <c r="L98" s="9">
        <f t="shared" si="12"/>
        <v>0.99748404896580867</v>
      </c>
      <c r="M98" s="8" t="str">
        <f t="array" ref="M98">IF(L98&gt;5,"Perlu Sensus",IF(AND(L98&gt;=0,I98&gt;0),"Tetap Deteksi","Belum Deteksi"))</f>
        <v>Tetap Deteksi</v>
      </c>
      <c r="N98" s="11">
        <v>46238</v>
      </c>
      <c r="O98" s="143">
        <v>385.17097200000001</v>
      </c>
      <c r="P98" s="9">
        <f t="array" ref="P98">IFERROR(O98/$G98*100,0)</f>
        <v>9.665519999999999</v>
      </c>
      <c r="Q98" s="143">
        <v>3.8420190069465612</v>
      </c>
      <c r="R98" s="9">
        <f t="shared" si="13"/>
        <v>0.99748404896580867</v>
      </c>
      <c r="S98" s="8" t="str">
        <f t="array" ref="S98">IF(R98&gt;5,"Perlu Sensus",IF(AND(R98&gt;=0,O98&gt;0),"Tetap Deteksi","Belum Deteksi"))</f>
        <v>Tetap Deteksi</v>
      </c>
      <c r="T98" s="143">
        <v>2.494997555184876</v>
      </c>
      <c r="U98" s="9">
        <f t="shared" si="18"/>
        <v>0.64776365213338971</v>
      </c>
      <c r="V98" s="11">
        <v>46238</v>
      </c>
      <c r="W98" s="143">
        <v>266.03238277324806</v>
      </c>
      <c r="X98" s="143">
        <v>2.5796765677103766</v>
      </c>
      <c r="Y98" s="9">
        <f t="shared" si="14"/>
        <v>0.96968517171428581</v>
      </c>
      <c r="Z98" s="8" t="str">
        <f t="array" ref="Z98">IF(Y98&gt;5,"Perlu Sensus",IF(AND(Y98&gt;=0,W98&gt;0),"Tetap Deteksi","Belum Deteksi"))</f>
        <v>Tetap Deteksi</v>
      </c>
      <c r="AA98" s="143">
        <v>4.16</v>
      </c>
      <c r="AB98" s="9">
        <f t="shared" si="19"/>
        <v>1.5637194076278165</v>
      </c>
      <c r="AC98" s="11"/>
      <c r="AD98" s="143"/>
      <c r="AE98" s="9">
        <f t="array" ref="AE98">IFERROR(AD98/$G98*100,0)</f>
        <v>0</v>
      </c>
      <c r="AF98" s="143"/>
      <c r="AG98" s="9">
        <f t="shared" si="15"/>
        <v>0</v>
      </c>
      <c r="AH98" s="8" t="str">
        <f t="array" ref="AH98">IF(AG98&gt;5,"Perlu Sensus",IF(AND(AG98&gt;=0,AD98&gt;0),"Tetap Deteksi","Belum Deteksi"))</f>
        <v>Belum Deteksi</v>
      </c>
      <c r="AI98" s="143"/>
      <c r="AJ98" s="9">
        <f t="shared" si="20"/>
        <v>0</v>
      </c>
      <c r="AK98" s="11"/>
      <c r="AL98" s="143"/>
      <c r="AM98" s="143"/>
      <c r="AN98" s="9">
        <f t="shared" si="16"/>
        <v>0</v>
      </c>
      <c r="AO98" s="8" t="str">
        <f t="array" ref="AO98">IF(AN98&gt;5,"Perlu Sensus",IF(AND(AN98&gt;=0,AL98&gt;0),"Tetap Deteksi","Belum Deteksi"))</f>
        <v>Belum Deteksi</v>
      </c>
      <c r="AP98" s="143"/>
      <c r="AQ98" s="9">
        <f t="shared" si="21"/>
        <v>0</v>
      </c>
    </row>
    <row r="99" spans="1:43" outlineLevel="1" x14ac:dyDescent="0.15">
      <c r="A99" s="8" t="s">
        <v>949</v>
      </c>
      <c r="B99" s="8"/>
      <c r="C99" s="8" t="s">
        <v>144</v>
      </c>
      <c r="D99" s="186" t="s">
        <v>1424</v>
      </c>
      <c r="E99" s="9">
        <v>25.54</v>
      </c>
      <c r="F99" s="8" t="s">
        <v>469</v>
      </c>
      <c r="G99" s="10">
        <v>3022</v>
      </c>
      <c r="H99" s="11">
        <f t="array" ref="H99">IF(OR(N99&gt;0,AC99&gt;0),MAX(N99,AC99),MAX(AK99,V99))</f>
        <v>46239</v>
      </c>
      <c r="I99" s="143">
        <f t="array" ref="I99">IF(SUM(O99,AD99)&gt;0,SUM(O99,AD99),SUM(AL99,W99))</f>
        <v>365.11501799999991</v>
      </c>
      <c r="J99" s="9">
        <f t="shared" si="11"/>
        <v>12.081899999999997</v>
      </c>
      <c r="K99" s="143">
        <f t="shared" si="17"/>
        <v>10.098000000000001</v>
      </c>
      <c r="L99" s="9">
        <f t="shared" si="12"/>
        <v>2.7657038199398314</v>
      </c>
      <c r="M99" s="8" t="str">
        <f t="array" ref="M99">IF(L99&gt;5,"Perlu Sensus",IF(AND(L99&gt;=0,I99&gt;0),"Tetap Deteksi","Belum Deteksi"))</f>
        <v>Tetap Deteksi</v>
      </c>
      <c r="N99" s="11">
        <v>46239</v>
      </c>
      <c r="O99" s="143">
        <v>365.11501799999991</v>
      </c>
      <c r="P99" s="9">
        <f t="array" ref="P99">IFERROR(O99/$G99*100,0)</f>
        <v>12.081899999999997</v>
      </c>
      <c r="Q99" s="143">
        <v>10.098000000000001</v>
      </c>
      <c r="R99" s="9">
        <f t="shared" si="13"/>
        <v>2.7657038199398314</v>
      </c>
      <c r="S99" s="8" t="str">
        <f t="array" ref="S99">IF(R99&gt;5,"Perlu Sensus",IF(AND(R99&gt;=0,O99&gt;0),"Tetap Deteksi","Belum Deteksi"))</f>
        <v>Tetap Deteksi</v>
      </c>
      <c r="T99" s="143">
        <v>6.5576159999999994</v>
      </c>
      <c r="U99" s="9">
        <f t="shared" si="18"/>
        <v>1.7960411587342597</v>
      </c>
      <c r="V99" s="11">
        <v>46239</v>
      </c>
      <c r="W99" s="143">
        <v>271.353030428713</v>
      </c>
      <c r="X99" s="143">
        <v>6.7980000000000009</v>
      </c>
      <c r="Y99" s="9">
        <f t="shared" si="14"/>
        <v>2.5052235419150404</v>
      </c>
      <c r="Z99" s="8" t="str">
        <f t="array" ref="Z99">IF(Y99&gt;5,"Perlu Sensus",IF(AND(Y99&gt;=0,W99&gt;0),"Tetap Deteksi","Belum Deteksi"))</f>
        <v>Tetap Deteksi</v>
      </c>
      <c r="AA99" s="143">
        <v>4.4478720000000012</v>
      </c>
      <c r="AB99" s="9">
        <f t="shared" si="19"/>
        <v>1.6391458731722177</v>
      </c>
      <c r="AC99" s="11"/>
      <c r="AD99" s="143"/>
      <c r="AE99" s="9">
        <f t="array" ref="AE99">IFERROR(AD99/$G99*100,0)</f>
        <v>0</v>
      </c>
      <c r="AF99" s="143"/>
      <c r="AG99" s="9">
        <f t="shared" si="15"/>
        <v>0</v>
      </c>
      <c r="AH99" s="8" t="str">
        <f t="array" ref="AH99">IF(AG99&gt;5,"Perlu Sensus",IF(AND(AG99&gt;=0,AD99&gt;0),"Tetap Deteksi","Belum Deteksi"))</f>
        <v>Belum Deteksi</v>
      </c>
      <c r="AI99" s="143"/>
      <c r="AJ99" s="9">
        <f t="shared" si="20"/>
        <v>0</v>
      </c>
      <c r="AK99" s="11"/>
      <c r="AL99" s="143"/>
      <c r="AM99" s="143"/>
      <c r="AN99" s="9">
        <f t="shared" si="16"/>
        <v>0</v>
      </c>
      <c r="AO99" s="8" t="str">
        <f t="array" ref="AO99">IF(AN99&gt;5,"Perlu Sensus",IF(AND(AN99&gt;=0,AL99&gt;0),"Tetap Deteksi","Belum Deteksi"))</f>
        <v>Belum Deteksi</v>
      </c>
      <c r="AP99" s="143"/>
      <c r="AQ99" s="9">
        <f t="shared" si="21"/>
        <v>0</v>
      </c>
    </row>
    <row r="100" spans="1:43" outlineLevel="1" x14ac:dyDescent="0.15">
      <c r="A100" s="8" t="s">
        <v>949</v>
      </c>
      <c r="B100" s="8"/>
      <c r="C100" s="8" t="s">
        <v>144</v>
      </c>
      <c r="D100" s="186" t="s">
        <v>1425</v>
      </c>
      <c r="E100" s="9">
        <v>32.1</v>
      </c>
      <c r="F100" s="8" t="s">
        <v>469</v>
      </c>
      <c r="G100" s="10">
        <v>4364</v>
      </c>
      <c r="H100" s="11">
        <f t="array" ref="H100">IF(OR(N100&gt;0,AC100&gt;0),MAX(N100,AC100),MAX(AK100,V100))</f>
        <v>46240</v>
      </c>
      <c r="I100" s="143">
        <f t="array" ref="I100">IF(SUM(O100,AD100)&gt;0,SUM(O100,AD100),SUM(AL100,W100))</f>
        <v>474.52870439999992</v>
      </c>
      <c r="J100" s="9">
        <f t="shared" si="11"/>
        <v>10.873709999999999</v>
      </c>
      <c r="K100" s="143">
        <f t="shared" si="17"/>
        <v>17.952000000000002</v>
      </c>
      <c r="L100" s="9">
        <f t="shared" si="12"/>
        <v>3.7831220395189233</v>
      </c>
      <c r="M100" s="8" t="str">
        <f t="array" ref="M100">IF(L100&gt;5,"Perlu Sensus",IF(AND(L100&gt;=0,I100&gt;0),"Tetap Deteksi","Belum Deteksi"))</f>
        <v>Tetap Deteksi</v>
      </c>
      <c r="N100" s="11">
        <v>46240</v>
      </c>
      <c r="O100" s="143">
        <v>474.52870439999992</v>
      </c>
      <c r="P100" s="9">
        <f t="array" ref="P100">IFERROR(O100/$G100*100,0)</f>
        <v>10.873709999999999</v>
      </c>
      <c r="Q100" s="143">
        <v>17.952000000000002</v>
      </c>
      <c r="R100" s="9">
        <f t="shared" si="13"/>
        <v>3.7831220395189233</v>
      </c>
      <c r="S100" s="8" t="str">
        <f t="array" ref="S100">IF(R100&gt;5,"Perlu Sensus",IF(AND(R100&gt;=0,O100&gt;0),"Tetap Deteksi","Belum Deteksi"))</f>
        <v>Tetap Deteksi</v>
      </c>
      <c r="T100" s="143">
        <v>11.657983999999999</v>
      </c>
      <c r="U100" s="9">
        <f t="shared" si="18"/>
        <v>2.4567500115173226</v>
      </c>
      <c r="V100" s="11">
        <v>46240</v>
      </c>
      <c r="W100" s="143">
        <v>276.78009103728726</v>
      </c>
      <c r="X100" s="143">
        <v>6.7980000000000009</v>
      </c>
      <c r="Y100" s="9">
        <f t="shared" si="14"/>
        <v>2.4561015116814118</v>
      </c>
      <c r="Z100" s="8" t="str">
        <f t="array" ref="Z100">IF(Y100&gt;5,"Perlu Sensus",IF(AND(Y100&gt;=0,W100&gt;0),"Tetap Deteksi","Belum Deteksi"))</f>
        <v>Tetap Deteksi</v>
      </c>
      <c r="AA100" s="143">
        <v>4.4478720000000012</v>
      </c>
      <c r="AB100" s="9">
        <f t="shared" si="19"/>
        <v>1.6070057580119781</v>
      </c>
      <c r="AC100" s="11"/>
      <c r="AD100" s="143"/>
      <c r="AE100" s="9">
        <f t="array" ref="AE100">IFERROR(AD100/$G100*100,0)</f>
        <v>0</v>
      </c>
      <c r="AF100" s="143"/>
      <c r="AG100" s="9">
        <f t="shared" si="15"/>
        <v>0</v>
      </c>
      <c r="AH100" s="8" t="str">
        <f t="array" ref="AH100">IF(AG100&gt;5,"Perlu Sensus",IF(AND(AG100&gt;=0,AD100&gt;0),"Tetap Deteksi","Belum Deteksi"))</f>
        <v>Belum Deteksi</v>
      </c>
      <c r="AI100" s="143"/>
      <c r="AJ100" s="9">
        <f t="shared" si="20"/>
        <v>0</v>
      </c>
      <c r="AK100" s="11"/>
      <c r="AL100" s="143"/>
      <c r="AM100" s="143"/>
      <c r="AN100" s="9">
        <f t="shared" si="16"/>
        <v>0</v>
      </c>
      <c r="AO100" s="8" t="str">
        <f t="array" ref="AO100">IF(AN100&gt;5,"Perlu Sensus",IF(AND(AN100&gt;=0,AL100&gt;0),"Tetap Deteksi","Belum Deteksi"))</f>
        <v>Belum Deteksi</v>
      </c>
      <c r="AP100" s="143"/>
      <c r="AQ100" s="9">
        <f t="shared" si="21"/>
        <v>0</v>
      </c>
    </row>
    <row r="101" spans="1:43" outlineLevel="1" x14ac:dyDescent="0.15">
      <c r="A101" s="8" t="s">
        <v>949</v>
      </c>
      <c r="B101" s="8"/>
      <c r="C101" s="8" t="s">
        <v>144</v>
      </c>
      <c r="D101" s="186" t="s">
        <v>1780</v>
      </c>
      <c r="E101" s="9">
        <v>24.2</v>
      </c>
      <c r="F101" s="8" t="s">
        <v>469</v>
      </c>
      <c r="G101" s="10">
        <v>3257</v>
      </c>
      <c r="H101" s="11">
        <f t="array" ref="H101">IF(OR(N101&gt;0,AC101&gt;0),MAX(N101,AC101),MAX(AK101,V101))</f>
        <v>46241</v>
      </c>
      <c r="I101" s="143">
        <f t="array" ref="I101">IF(SUM(O101,AD101)&gt;0,SUM(O101,AD101),SUM(AL101,W101))</f>
        <v>314.80598640000005</v>
      </c>
      <c r="J101" s="9">
        <f t="shared" si="11"/>
        <v>9.6655200000000008</v>
      </c>
      <c r="K101" s="143">
        <f t="shared" si="17"/>
        <v>9.18</v>
      </c>
      <c r="L101" s="9">
        <f t="shared" si="12"/>
        <v>2.9160817762644675</v>
      </c>
      <c r="M101" s="8" t="str">
        <f t="array" ref="M101">IF(L101&gt;5,"Perlu Sensus",IF(AND(L101&gt;=0,I101&gt;0),"Tetap Deteksi","Belum Deteksi"))</f>
        <v>Tetap Deteksi</v>
      </c>
      <c r="N101" s="11">
        <v>46241</v>
      </c>
      <c r="O101" s="143">
        <v>314.80598640000005</v>
      </c>
      <c r="P101" s="9">
        <f t="array" ref="P101">IFERROR(O101/$G101*100,0)</f>
        <v>9.6655200000000008</v>
      </c>
      <c r="Q101" s="143">
        <v>9.18</v>
      </c>
      <c r="R101" s="9">
        <f t="shared" si="13"/>
        <v>2.9160817762644675</v>
      </c>
      <c r="S101" s="8" t="str">
        <f t="array" ref="S101">IF(R101&gt;5,"Perlu Sensus",IF(AND(R101&gt;=0,O101&gt;0),"Tetap Deteksi","Belum Deteksi"))</f>
        <v>Tetap Deteksi</v>
      </c>
      <c r="T101" s="143">
        <v>4.4442049573209603</v>
      </c>
      <c r="U101" s="9">
        <f t="shared" si="18"/>
        <v>1.4117282228788517</v>
      </c>
      <c r="V101" s="11">
        <v>46241</v>
      </c>
      <c r="W101" s="143">
        <v>282.315692858033</v>
      </c>
      <c r="X101" s="143">
        <v>5.911766228722084</v>
      </c>
      <c r="Y101" s="9">
        <f t="shared" si="14"/>
        <v>2.094026785714286</v>
      </c>
      <c r="Z101" s="8" t="str">
        <f t="array" ref="Z101">IF(Y101&gt;5,"Perlu Sensus",IF(AND(Y101&gt;=0,W101&gt;0),"Tetap Deteksi","Belum Deteksi"))</f>
        <v>Tetap Deteksi</v>
      </c>
      <c r="AA101" s="143">
        <v>8.32</v>
      </c>
      <c r="AB101" s="9">
        <f t="shared" si="19"/>
        <v>2.9470554455447315</v>
      </c>
      <c r="AC101" s="11"/>
      <c r="AD101" s="143"/>
      <c r="AE101" s="9">
        <f t="array" ref="AE101">IFERROR(AD101/$G101*100,0)</f>
        <v>0</v>
      </c>
      <c r="AF101" s="143"/>
      <c r="AG101" s="9">
        <f t="shared" si="15"/>
        <v>0</v>
      </c>
      <c r="AH101" s="8" t="str">
        <f t="array" ref="AH101">IF(AG101&gt;5,"Perlu Sensus",IF(AND(AG101&gt;=0,AD101&gt;0),"Tetap Deteksi","Belum Deteksi"))</f>
        <v>Belum Deteksi</v>
      </c>
      <c r="AI101" s="143"/>
      <c r="AJ101" s="9">
        <f t="shared" si="20"/>
        <v>0</v>
      </c>
      <c r="AK101" s="11"/>
      <c r="AL101" s="143"/>
      <c r="AM101" s="143"/>
      <c r="AN101" s="9">
        <f t="shared" si="16"/>
        <v>0</v>
      </c>
      <c r="AO101" s="8" t="str">
        <f t="array" ref="AO101">IF(AN101&gt;5,"Perlu Sensus",IF(AND(AN101&gt;=0,AL101&gt;0),"Tetap Deteksi","Belum Deteksi"))</f>
        <v>Belum Deteksi</v>
      </c>
      <c r="AP101" s="143"/>
      <c r="AQ101" s="9">
        <f t="shared" si="21"/>
        <v>0</v>
      </c>
    </row>
    <row r="102" spans="1:43" outlineLevel="1" x14ac:dyDescent="0.15">
      <c r="A102" s="8" t="s">
        <v>949</v>
      </c>
      <c r="B102" s="8"/>
      <c r="C102" s="8" t="s">
        <v>144</v>
      </c>
      <c r="D102" s="186" t="s">
        <v>1145</v>
      </c>
      <c r="E102" s="9">
        <v>29.07</v>
      </c>
      <c r="F102" s="8" t="s">
        <v>469</v>
      </c>
      <c r="G102" s="10">
        <v>3811</v>
      </c>
      <c r="H102" s="11">
        <f t="array" ref="H102">IF(OR(N102&gt;0,AC102&gt;0),MAX(N102,AC102),MAX(AK102,V102))</f>
        <v>46242</v>
      </c>
      <c r="I102" s="143">
        <f t="array" ref="I102">IF(SUM(O102,AD102)&gt;0,SUM(O102,AD102),SUM(AL102,W102))</f>
        <v>506.48532990000001</v>
      </c>
      <c r="J102" s="9">
        <f t="shared" si="11"/>
        <v>13.290090000000001</v>
      </c>
      <c r="K102" s="143">
        <f t="shared" si="17"/>
        <v>15.3</v>
      </c>
      <c r="L102" s="9">
        <f t="shared" si="12"/>
        <v>3.0208179974375207</v>
      </c>
      <c r="M102" s="8" t="str">
        <f t="array" ref="M102">IF(L102&gt;5,"Perlu Sensus",IF(AND(L102&gt;=0,I102&gt;0),"Tetap Deteksi","Belum Deteksi"))</f>
        <v>Tetap Deteksi</v>
      </c>
      <c r="N102" s="11">
        <v>46242</v>
      </c>
      <c r="O102" s="143">
        <v>506.48532990000001</v>
      </c>
      <c r="P102" s="9">
        <f t="array" ref="P102">IFERROR(O102/$G102*100,0)</f>
        <v>13.290090000000001</v>
      </c>
      <c r="Q102" s="143">
        <v>15.3</v>
      </c>
      <c r="R102" s="9">
        <f t="shared" si="13"/>
        <v>3.0208179974375207</v>
      </c>
      <c r="S102" s="8" t="str">
        <f t="array" ref="S102">IF(R102&gt;5,"Perlu Sensus",IF(AND(R102&gt;=0,O102&gt;0),"Tetap Deteksi","Belum Deteksi"))</f>
        <v>Tetap Deteksi</v>
      </c>
      <c r="T102" s="143">
        <v>8.9298007710664891</v>
      </c>
      <c r="U102" s="9">
        <f t="shared" si="18"/>
        <v>1.7630916916842549</v>
      </c>
      <c r="V102" s="11">
        <v>46242</v>
      </c>
      <c r="W102" s="143">
        <v>287.9620067151937</v>
      </c>
      <c r="X102" s="143">
        <v>9.27</v>
      </c>
      <c r="Y102" s="9">
        <f t="shared" si="14"/>
        <v>3.2191746771539944</v>
      </c>
      <c r="Z102" s="8" t="str">
        <f t="array" ref="Z102">IF(Y102&gt;5,"Perlu Sensus",IF(AND(Y102&gt;=0,W102&gt;0),"Tetap Deteksi","Belum Deteksi"))</f>
        <v>Tetap Deteksi</v>
      </c>
      <c r="AA102" s="143">
        <v>6.24</v>
      </c>
      <c r="AB102" s="9">
        <f t="shared" si="19"/>
        <v>2.1669525334887729</v>
      </c>
      <c r="AC102" s="11"/>
      <c r="AD102" s="143"/>
      <c r="AE102" s="9">
        <f t="array" ref="AE102">IFERROR(AD102/$G102*100,0)</f>
        <v>0</v>
      </c>
      <c r="AF102" s="143"/>
      <c r="AG102" s="9">
        <f t="shared" si="15"/>
        <v>0</v>
      </c>
      <c r="AH102" s="8" t="str">
        <f t="array" ref="AH102">IF(AG102&gt;5,"Perlu Sensus",IF(AND(AG102&gt;=0,AD102&gt;0),"Tetap Deteksi","Belum Deteksi"))</f>
        <v>Belum Deteksi</v>
      </c>
      <c r="AI102" s="143"/>
      <c r="AJ102" s="9">
        <f t="shared" si="20"/>
        <v>0</v>
      </c>
      <c r="AK102" s="11"/>
      <c r="AL102" s="143"/>
      <c r="AM102" s="143"/>
      <c r="AN102" s="9">
        <f t="shared" si="16"/>
        <v>0</v>
      </c>
      <c r="AO102" s="8" t="str">
        <f t="array" ref="AO102">IF(AN102&gt;5,"Perlu Sensus",IF(AND(AN102&gt;=0,AL102&gt;0),"Tetap Deteksi","Belum Deteksi"))</f>
        <v>Belum Deteksi</v>
      </c>
      <c r="AP102" s="143"/>
      <c r="AQ102" s="9">
        <f t="shared" si="21"/>
        <v>0</v>
      </c>
    </row>
    <row r="103" spans="1:43" outlineLevel="1" x14ac:dyDescent="0.15">
      <c r="A103" s="8" t="s">
        <v>949</v>
      </c>
      <c r="B103" s="8"/>
      <c r="C103" s="8" t="s">
        <v>144</v>
      </c>
      <c r="D103" s="186" t="s">
        <v>1172</v>
      </c>
      <c r="E103" s="9">
        <v>23.05</v>
      </c>
      <c r="F103" s="8" t="s">
        <v>469</v>
      </c>
      <c r="G103" s="10">
        <v>2566</v>
      </c>
      <c r="H103" s="11">
        <f t="array" ref="H103">IF(OR(N103&gt;0,AC103&gt;0),MAX(N103,AC103),MAX(AK103,V103))</f>
        <v>46243</v>
      </c>
      <c r="I103" s="143">
        <f t="array" ref="I103">IF(SUM(O103,AD103)&gt;0,SUM(O103,AD103),SUM(AL103,W103))</f>
        <v>372.02586480000008</v>
      </c>
      <c r="J103" s="9">
        <f t="shared" si="11"/>
        <v>14.498280000000003</v>
      </c>
      <c r="K103" s="143">
        <f t="shared" si="17"/>
        <v>12.342000000000002</v>
      </c>
      <c r="L103" s="9">
        <f t="shared" si="12"/>
        <v>3.3175112721356141</v>
      </c>
      <c r="M103" s="8" t="str">
        <f t="array" ref="M103">IF(L103&gt;5,"Perlu Sensus",IF(AND(L103&gt;=0,I103&gt;0),"Tetap Deteksi","Belum Deteksi"))</f>
        <v>Tetap Deteksi</v>
      </c>
      <c r="N103" s="11">
        <v>46243</v>
      </c>
      <c r="O103" s="143">
        <v>372.02586480000008</v>
      </c>
      <c r="P103" s="9">
        <f t="array" ref="P103">IFERROR(O103/$G103*100,0)</f>
        <v>14.498280000000003</v>
      </c>
      <c r="Q103" s="143">
        <v>12.342000000000002</v>
      </c>
      <c r="R103" s="9">
        <f t="shared" si="13"/>
        <v>3.3175112721356141</v>
      </c>
      <c r="S103" s="8" t="str">
        <f t="array" ref="S103">IF(R103&gt;5,"Perlu Sensus",IF(AND(R103&gt;=0,O103&gt;0),"Tetap Deteksi","Belum Deteksi"))</f>
        <v>Tetap Deteksi</v>
      </c>
      <c r="T103" s="143">
        <v>8.0148639999999993</v>
      </c>
      <c r="U103" s="9">
        <f t="shared" si="18"/>
        <v>2.1543835411306054</v>
      </c>
      <c r="V103" s="11">
        <v>46243</v>
      </c>
      <c r="W103" s="143">
        <v>293.72124684949756</v>
      </c>
      <c r="X103" s="143">
        <v>7.9310000000000009</v>
      </c>
      <c r="Y103" s="9">
        <f t="shared" si="14"/>
        <v>2.7001791954341785</v>
      </c>
      <c r="Z103" s="8" t="str">
        <f t="array" ref="Z103">IF(Y103&gt;5,"Perlu Sensus",IF(AND(Y103&gt;=0,W103&gt;0),"Tetap Deteksi","Belum Deteksi"))</f>
        <v>Tetap Deteksi</v>
      </c>
      <c r="AA103" s="143">
        <v>5.189184</v>
      </c>
      <c r="AB103" s="9">
        <f t="shared" si="19"/>
        <v>1.7667036537737879</v>
      </c>
      <c r="AC103" s="11"/>
      <c r="AD103" s="143"/>
      <c r="AE103" s="9">
        <f t="array" ref="AE103">IFERROR(AD103/$G103*100,0)</f>
        <v>0</v>
      </c>
      <c r="AF103" s="143"/>
      <c r="AG103" s="9">
        <f t="shared" si="15"/>
        <v>0</v>
      </c>
      <c r="AH103" s="8" t="str">
        <f t="array" ref="AH103">IF(AG103&gt;5,"Perlu Sensus",IF(AND(AG103&gt;=0,AD103&gt;0),"Tetap Deteksi","Belum Deteksi"))</f>
        <v>Belum Deteksi</v>
      </c>
      <c r="AI103" s="143"/>
      <c r="AJ103" s="9">
        <f t="shared" si="20"/>
        <v>0</v>
      </c>
      <c r="AK103" s="11"/>
      <c r="AL103" s="143"/>
      <c r="AM103" s="143"/>
      <c r="AN103" s="9">
        <f t="shared" si="16"/>
        <v>0</v>
      </c>
      <c r="AO103" s="8" t="str">
        <f t="array" ref="AO103">IF(AN103&gt;5,"Perlu Sensus",IF(AND(AN103&gt;=0,AL103&gt;0),"Tetap Deteksi","Belum Deteksi"))</f>
        <v>Belum Deteksi</v>
      </c>
      <c r="AP103" s="143"/>
      <c r="AQ103" s="9">
        <f t="shared" si="21"/>
        <v>0</v>
      </c>
    </row>
    <row r="104" spans="1:43" outlineLevel="1" x14ac:dyDescent="0.15">
      <c r="A104" s="8" t="s">
        <v>949</v>
      </c>
      <c r="B104" s="8"/>
      <c r="C104" s="8" t="s">
        <v>144</v>
      </c>
      <c r="D104" s="186" t="s">
        <v>1434</v>
      </c>
      <c r="E104" s="9">
        <v>51.52000000000001</v>
      </c>
      <c r="F104" s="8" t="s">
        <v>469</v>
      </c>
      <c r="G104" s="10">
        <v>5703</v>
      </c>
      <c r="H104" s="11">
        <f t="array" ref="H104">IF(OR(N104&gt;0,AC104&gt;0),MAX(N104,AC104),MAX(AK104,V104))</f>
        <v>46244</v>
      </c>
      <c r="I104" s="143">
        <f t="array" ref="I104">IF(SUM(O104,AD104)&gt;0,SUM(O104,AD104),SUM(AL104,W104))</f>
        <v>895.7399840999999</v>
      </c>
      <c r="J104" s="9">
        <f t="shared" si="11"/>
        <v>15.706469999999998</v>
      </c>
      <c r="K104" s="143">
        <f t="shared" si="17"/>
        <v>21.42</v>
      </c>
      <c r="L104" s="9">
        <f t="shared" si="12"/>
        <v>2.391318951952544</v>
      </c>
      <c r="M104" s="8" t="str">
        <f t="array" ref="M104">IF(L104&gt;5,"Perlu Sensus",IF(AND(L104&gt;=0,I104&gt;0),"Tetap Deteksi","Belum Deteksi"))</f>
        <v>Tetap Deteksi</v>
      </c>
      <c r="N104" s="11">
        <v>46244</v>
      </c>
      <c r="O104" s="143">
        <v>895.7399840999999</v>
      </c>
      <c r="P104" s="9">
        <f t="array" ref="P104">IFERROR(O104/$G104*100,0)</f>
        <v>15.706469999999998</v>
      </c>
      <c r="Q104" s="143">
        <v>21.42</v>
      </c>
      <c r="R104" s="9">
        <f t="shared" si="13"/>
        <v>2.391318951952544</v>
      </c>
      <c r="S104" s="8" t="str">
        <f t="array" ref="S104">IF(R104&gt;5,"Perlu Sensus",IF(AND(R104&gt;=0,O104&gt;0),"Tetap Deteksi","Belum Deteksi"))</f>
        <v>Tetap Deteksi</v>
      </c>
      <c r="T104" s="143">
        <v>16.523341167956314</v>
      </c>
      <c r="U104" s="9">
        <f t="shared" si="18"/>
        <v>1.8446582112283667</v>
      </c>
      <c r="V104" s="11">
        <v>46244</v>
      </c>
      <c r="W104" s="143">
        <v>299.59567178648751</v>
      </c>
      <c r="X104" s="143">
        <v>6.18</v>
      </c>
      <c r="Y104" s="9">
        <f t="shared" si="14"/>
        <v>2.0627801340215264</v>
      </c>
      <c r="Z104" s="8" t="str">
        <f t="array" ref="Z104">IF(Y104&gt;5,"Perlu Sensus",IF(AND(Y104&gt;=0,W104&gt;0),"Tetap Deteksi","Belum Deteksi"))</f>
        <v>Tetap Deteksi</v>
      </c>
      <c r="AA104" s="143">
        <v>4.16</v>
      </c>
      <c r="AB104" s="9">
        <f t="shared" si="19"/>
        <v>1.3885380837426458</v>
      </c>
      <c r="AC104" s="11"/>
      <c r="AD104" s="143"/>
      <c r="AE104" s="9">
        <f t="array" ref="AE104">IFERROR(AD104/$G104*100,0)</f>
        <v>0</v>
      </c>
      <c r="AF104" s="143"/>
      <c r="AG104" s="9">
        <f t="shared" si="15"/>
        <v>0</v>
      </c>
      <c r="AH104" s="8" t="str">
        <f t="array" ref="AH104">IF(AG104&gt;5,"Perlu Sensus",IF(AND(AG104&gt;=0,AD104&gt;0),"Tetap Deteksi","Belum Deteksi"))</f>
        <v>Belum Deteksi</v>
      </c>
      <c r="AI104" s="143"/>
      <c r="AJ104" s="9">
        <f t="shared" si="20"/>
        <v>0</v>
      </c>
      <c r="AK104" s="11"/>
      <c r="AL104" s="143"/>
      <c r="AM104" s="143"/>
      <c r="AN104" s="9">
        <f t="shared" si="16"/>
        <v>0</v>
      </c>
      <c r="AO104" s="8" t="str">
        <f t="array" ref="AO104">IF(AN104&gt;5,"Perlu Sensus",IF(AND(AN104&gt;=0,AL104&gt;0),"Tetap Deteksi","Belum Deteksi"))</f>
        <v>Belum Deteksi</v>
      </c>
      <c r="AP104" s="143"/>
      <c r="AQ104" s="9">
        <f t="shared" si="21"/>
        <v>0</v>
      </c>
    </row>
    <row r="105" spans="1:43" outlineLevel="1" x14ac:dyDescent="0.15">
      <c r="A105" s="8" t="s">
        <v>949</v>
      </c>
      <c r="B105" s="8"/>
      <c r="C105" s="8" t="s">
        <v>144</v>
      </c>
      <c r="D105" s="186" t="s">
        <v>1435</v>
      </c>
      <c r="E105" s="9">
        <v>25.35</v>
      </c>
      <c r="F105" s="8" t="s">
        <v>469</v>
      </c>
      <c r="G105" s="10">
        <v>3472.0000000000005</v>
      </c>
      <c r="H105" s="11">
        <f t="array" ref="H105">IF(OR(N105&gt;0,AC105&gt;0),MAX(N105,AC105),MAX(AK105,V105))</f>
        <v>46245</v>
      </c>
      <c r="I105" s="143">
        <f t="array" ref="I105">IF(SUM(O105,AD105)&gt;0,SUM(O105,AD105),SUM(AL105,W105))</f>
        <v>503.38028160000005</v>
      </c>
      <c r="J105" s="9">
        <f t="shared" si="11"/>
        <v>14.498279999999999</v>
      </c>
      <c r="K105" s="143">
        <f t="shared" si="17"/>
        <v>6.7320000000000011</v>
      </c>
      <c r="L105" s="9">
        <f t="shared" si="12"/>
        <v>1.3373587019742335</v>
      </c>
      <c r="M105" s="8" t="str">
        <f t="array" ref="M105">IF(L105&gt;5,"Perlu Sensus",IF(AND(L105&gt;=0,I105&gt;0),"Tetap Deteksi","Belum Deteksi"))</f>
        <v>Tetap Deteksi</v>
      </c>
      <c r="N105" s="11">
        <v>46245</v>
      </c>
      <c r="O105" s="143">
        <v>503.38028160000005</v>
      </c>
      <c r="P105" s="9">
        <f t="array" ref="P105">IFERROR(O105/$G105*100,0)</f>
        <v>14.498279999999999</v>
      </c>
      <c r="Q105" s="143">
        <v>6.7320000000000011</v>
      </c>
      <c r="R105" s="9">
        <f t="shared" si="13"/>
        <v>1.3373587019742335</v>
      </c>
      <c r="S105" s="8" t="str">
        <f t="array" ref="S105">IF(R105&gt;5,"Perlu Sensus",IF(AND(R105&gt;=0,O105&gt;0),"Tetap Deteksi","Belum Deteksi"))</f>
        <v>Tetap Deteksi</v>
      </c>
      <c r="T105" s="143">
        <v>4.3717439999999987</v>
      </c>
      <c r="U105" s="9">
        <f t="shared" si="18"/>
        <v>0.86847740362502091</v>
      </c>
      <c r="V105" s="11">
        <v>46245</v>
      </c>
      <c r="W105" s="143">
        <v>305.58758522221723</v>
      </c>
      <c r="X105" s="143">
        <v>5.665</v>
      </c>
      <c r="Y105" s="9">
        <f t="shared" si="14"/>
        <v>1.8538056759997381</v>
      </c>
      <c r="Z105" s="8" t="str">
        <f t="array" ref="Z105">IF(Y105&gt;5,"Perlu Sensus",IF(AND(Y105&gt;=0,W105&gt;0),"Tetap Deteksi","Belum Deteksi"))</f>
        <v>Tetap Deteksi</v>
      </c>
      <c r="AA105" s="143">
        <v>3.7065600000000005</v>
      </c>
      <c r="AB105" s="9">
        <f t="shared" si="19"/>
        <v>1.2129288555046056</v>
      </c>
      <c r="AC105" s="11"/>
      <c r="AD105" s="143"/>
      <c r="AE105" s="9">
        <f t="array" ref="AE105">IFERROR(AD105/$G105*100,0)</f>
        <v>0</v>
      </c>
      <c r="AF105" s="143"/>
      <c r="AG105" s="9">
        <f t="shared" si="15"/>
        <v>0</v>
      </c>
      <c r="AH105" s="8" t="str">
        <f t="array" ref="AH105">IF(AG105&gt;5,"Perlu Sensus",IF(AND(AG105&gt;=0,AD105&gt;0),"Tetap Deteksi","Belum Deteksi"))</f>
        <v>Belum Deteksi</v>
      </c>
      <c r="AI105" s="143"/>
      <c r="AJ105" s="9">
        <f t="shared" si="20"/>
        <v>0</v>
      </c>
      <c r="AK105" s="11"/>
      <c r="AL105" s="143"/>
      <c r="AM105" s="143"/>
      <c r="AN105" s="9">
        <f t="shared" si="16"/>
        <v>0</v>
      </c>
      <c r="AO105" s="8" t="str">
        <f t="array" ref="AO105">IF(AN105&gt;5,"Perlu Sensus",IF(AND(AN105&gt;=0,AL105&gt;0),"Tetap Deteksi","Belum Deteksi"))</f>
        <v>Belum Deteksi</v>
      </c>
      <c r="AP105" s="143"/>
      <c r="AQ105" s="9">
        <f t="shared" si="21"/>
        <v>0</v>
      </c>
    </row>
    <row r="106" spans="1:43" outlineLevel="1" x14ac:dyDescent="0.15">
      <c r="A106" s="8" t="s">
        <v>949</v>
      </c>
      <c r="B106" s="8"/>
      <c r="C106" s="8" t="s">
        <v>144</v>
      </c>
      <c r="D106" s="8" t="s">
        <v>1436</v>
      </c>
      <c r="E106" s="9">
        <v>44.620000000000005</v>
      </c>
      <c r="F106" s="8" t="s">
        <v>469</v>
      </c>
      <c r="G106" s="10">
        <v>5923</v>
      </c>
      <c r="H106" s="11">
        <f t="array" ref="H106">IF(OR(N106&gt;0,AC106&gt;0),MAX(N106,AC106),MAX(AK106,V106))</f>
        <v>46246</v>
      </c>
      <c r="I106" s="143">
        <f t="array" ref="I106">IF(SUM(O106,AD106)&gt;0,SUM(O106,AD106),SUM(AL106,W106))</f>
        <v>644.04984330000002</v>
      </c>
      <c r="J106" s="9">
        <f t="shared" si="11"/>
        <v>10.873710000000001</v>
      </c>
      <c r="K106" s="143">
        <f t="shared" si="17"/>
        <v>15.3</v>
      </c>
      <c r="L106" s="9">
        <f t="shared" si="12"/>
        <v>2.3755925351375673</v>
      </c>
      <c r="M106" s="8" t="str">
        <f t="array" ref="M106">IF(L106&gt;5,"Perlu Sensus",IF(AND(L106&gt;=0,I106&gt;0),"Tetap Deteksi","Belum Deteksi"))</f>
        <v>Tetap Deteksi</v>
      </c>
      <c r="N106" s="11">
        <v>46246</v>
      </c>
      <c r="O106" s="143">
        <v>644.04984330000002</v>
      </c>
      <c r="P106" s="9">
        <f t="array" ref="P106">IFERROR(O106/$G106*100,0)</f>
        <v>10.873710000000001</v>
      </c>
      <c r="Q106" s="143">
        <v>15.3</v>
      </c>
      <c r="R106" s="9">
        <f t="shared" si="13"/>
        <v>2.3755925351375673</v>
      </c>
      <c r="S106" s="8" t="str">
        <f t="array" ref="S106">IF(R106&gt;5,"Perlu Sensus",IF(AND(R106&gt;=0,O106&gt;0),"Tetap Deteksi","Belum Deteksi"))</f>
        <v>Tetap Deteksi</v>
      </c>
      <c r="T106" s="143">
        <v>7.1525569470548547</v>
      </c>
      <c r="U106" s="9">
        <f t="shared" si="18"/>
        <v>1.1105595353313635</v>
      </c>
      <c r="V106" s="11">
        <v>46246</v>
      </c>
      <c r="W106" s="143">
        <v>311.69933692666166</v>
      </c>
      <c r="X106" s="143">
        <v>4.12</v>
      </c>
      <c r="Y106" s="9">
        <f t="shared" si="14"/>
        <v>1.3217865782529323</v>
      </c>
      <c r="Z106" s="8" t="str">
        <f t="array" ref="Z106">IF(Y106&gt;5,"Perlu Sensus",IF(AND(Y106&gt;=0,W106&gt;0),"Tetap Deteksi","Belum Deteksi"))</f>
        <v>Tetap Deteksi</v>
      </c>
      <c r="AA106" s="143">
        <v>3.12</v>
      </c>
      <c r="AB106" s="9">
        <f t="shared" si="19"/>
        <v>1.0009645932400846</v>
      </c>
      <c r="AC106" s="11"/>
      <c r="AD106" s="143"/>
      <c r="AE106" s="9">
        <f t="array" ref="AE106">IFERROR(AD106/$G106*100,0)</f>
        <v>0</v>
      </c>
      <c r="AF106" s="143"/>
      <c r="AG106" s="9">
        <f t="shared" si="15"/>
        <v>0</v>
      </c>
      <c r="AH106" s="8" t="str">
        <f t="array" ref="AH106">IF(AG106&gt;5,"Perlu Sensus",IF(AND(AG106&gt;=0,AD106&gt;0),"Tetap Deteksi","Belum Deteksi"))</f>
        <v>Belum Deteksi</v>
      </c>
      <c r="AI106" s="143"/>
      <c r="AJ106" s="9">
        <f t="shared" si="20"/>
        <v>0</v>
      </c>
      <c r="AK106" s="11"/>
      <c r="AL106" s="143"/>
      <c r="AM106" s="143"/>
      <c r="AN106" s="9">
        <f t="shared" si="16"/>
        <v>0</v>
      </c>
      <c r="AO106" s="8" t="str">
        <f t="array" ref="AO106">IF(AN106&gt;5,"Perlu Sensus",IF(AND(AN106&gt;=0,AL106&gt;0),"Tetap Deteksi","Belum Deteksi"))</f>
        <v>Belum Deteksi</v>
      </c>
      <c r="AP106" s="143"/>
      <c r="AQ106" s="9">
        <f t="shared" si="21"/>
        <v>0</v>
      </c>
    </row>
    <row r="107" spans="1:43" outlineLevel="1" x14ac:dyDescent="0.15">
      <c r="A107" s="8" t="s">
        <v>949</v>
      </c>
      <c r="B107" s="8"/>
      <c r="C107" s="8" t="s">
        <v>144</v>
      </c>
      <c r="D107" s="186" t="s">
        <v>1146</v>
      </c>
      <c r="E107" s="9">
        <v>24.05</v>
      </c>
      <c r="F107" s="8" t="s">
        <v>469</v>
      </c>
      <c r="G107" s="10">
        <v>3285</v>
      </c>
      <c r="H107" s="11">
        <f t="array" ref="H107">IF(OR(N107&gt;0,AC107&gt;0),MAX(N107,AC107),MAX(AK107,V107))</f>
        <v>46247</v>
      </c>
      <c r="I107" s="143">
        <f t="array" ref="I107">IF(SUM(O107,AD107)&gt;0,SUM(O107,AD107),SUM(AL107,W107))</f>
        <v>317.51233200000001</v>
      </c>
      <c r="J107" s="9">
        <f t="shared" si="11"/>
        <v>9.6655200000000008</v>
      </c>
      <c r="K107" s="143">
        <f t="shared" si="17"/>
        <v>14.280000000000001</v>
      </c>
      <c r="L107" s="9">
        <f t="shared" si="12"/>
        <v>4.4974631095588444</v>
      </c>
      <c r="M107" s="8" t="str">
        <f t="array" ref="M107">IF(L107&gt;5,"Perlu Sensus",IF(AND(L107&gt;=0,I107&gt;0),"Tetap Deteksi","Belum Deteksi"))</f>
        <v>Tetap Deteksi</v>
      </c>
      <c r="N107" s="11">
        <v>46247</v>
      </c>
      <c r="O107" s="143">
        <v>317.51233200000001</v>
      </c>
      <c r="P107" s="9">
        <f t="array" ref="P107">IFERROR(O107/$G107*100,0)</f>
        <v>9.6655200000000008</v>
      </c>
      <c r="Q107" s="143">
        <v>14.280000000000001</v>
      </c>
      <c r="R107" s="9">
        <f t="shared" si="13"/>
        <v>4.4974631095588444</v>
      </c>
      <c r="S107" s="8" t="str">
        <f t="array" ref="S107">IF(R107&gt;5,"Perlu Sensus",IF(AND(R107&gt;=0,O107&gt;0),"Tetap Deteksi","Belum Deteksi"))</f>
        <v>Tetap Deteksi</v>
      </c>
      <c r="T107" s="143">
        <v>8.2038085909738001</v>
      </c>
      <c r="U107" s="9">
        <f t="shared" si="18"/>
        <v>2.5837763652511612</v>
      </c>
      <c r="V107" s="11">
        <v>46247</v>
      </c>
      <c r="W107" s="143">
        <v>317.93332366519491</v>
      </c>
      <c r="X107" s="143">
        <v>9.27</v>
      </c>
      <c r="Y107" s="9">
        <f t="shared" si="14"/>
        <v>2.9157056873226446</v>
      </c>
      <c r="Z107" s="8" t="str">
        <f t="array" ref="Z107">IF(Y107&gt;5,"Perlu Sensus",IF(AND(Y107&gt;=0,W107&gt;0),"Tetap Deteksi","Belum Deteksi"))</f>
        <v>Tetap Deteksi</v>
      </c>
      <c r="AA107" s="143">
        <v>8.32</v>
      </c>
      <c r="AB107" s="9">
        <f t="shared" si="19"/>
        <v>2.6169008973596983</v>
      </c>
      <c r="AC107" s="11"/>
      <c r="AD107" s="143"/>
      <c r="AE107" s="9">
        <f t="array" ref="AE107">IFERROR(AD107/$G107*100,0)</f>
        <v>0</v>
      </c>
      <c r="AF107" s="143"/>
      <c r="AG107" s="9">
        <f t="shared" si="15"/>
        <v>0</v>
      </c>
      <c r="AH107" s="8" t="str">
        <f t="array" ref="AH107">IF(AG107&gt;5,"Perlu Sensus",IF(AND(AG107&gt;=0,AD107&gt;0),"Tetap Deteksi","Belum Deteksi"))</f>
        <v>Belum Deteksi</v>
      </c>
      <c r="AI107" s="143"/>
      <c r="AJ107" s="9">
        <f t="shared" si="20"/>
        <v>0</v>
      </c>
      <c r="AK107" s="11"/>
      <c r="AL107" s="143"/>
      <c r="AM107" s="143"/>
      <c r="AN107" s="9">
        <f t="shared" si="16"/>
        <v>0</v>
      </c>
      <c r="AO107" s="8" t="str">
        <f t="array" ref="AO107">IF(AN107&gt;5,"Perlu Sensus",IF(AND(AN107&gt;=0,AL107&gt;0),"Tetap Deteksi","Belum Deteksi"))</f>
        <v>Belum Deteksi</v>
      </c>
      <c r="AP107" s="143"/>
      <c r="AQ107" s="9">
        <f t="shared" si="21"/>
        <v>0</v>
      </c>
    </row>
    <row r="108" spans="1:43" outlineLevel="1" x14ac:dyDescent="0.15">
      <c r="A108" s="8" t="s">
        <v>949</v>
      </c>
      <c r="B108" s="8"/>
      <c r="C108" s="8" t="s">
        <v>144</v>
      </c>
      <c r="D108" s="186" t="s">
        <v>1177</v>
      </c>
      <c r="E108" s="9">
        <v>24.43</v>
      </c>
      <c r="F108" s="8" t="s">
        <v>469</v>
      </c>
      <c r="G108" s="10">
        <v>3072</v>
      </c>
      <c r="H108" s="11">
        <f t="array" ref="H108">IF(OR(N108&gt;0,AC108&gt;0),MAX(N108,AC108),MAX(AK108,V108))</f>
        <v>46248</v>
      </c>
      <c r="I108" s="143">
        <f t="array" ref="I108">IF(SUM(O108,AD108)&gt;0,SUM(O108,AD108),SUM(AL108,W108))</f>
        <v>334.04037119999992</v>
      </c>
      <c r="J108" s="9">
        <f t="shared" si="11"/>
        <v>10.873709999999997</v>
      </c>
      <c r="K108" s="143">
        <f t="shared" si="17"/>
        <v>5.61</v>
      </c>
      <c r="L108" s="9">
        <f t="shared" si="12"/>
        <v>1.6794377218079206</v>
      </c>
      <c r="M108" s="8" t="str">
        <f t="array" ref="M108">IF(L108&gt;5,"Perlu Sensus",IF(AND(L108&gt;=0,I108&gt;0),"Tetap Deteksi","Belum Deteksi"))</f>
        <v>Tetap Deteksi</v>
      </c>
      <c r="N108" s="11">
        <v>46248</v>
      </c>
      <c r="O108" s="143">
        <v>334.04037119999992</v>
      </c>
      <c r="P108" s="9">
        <f t="array" ref="P108">IFERROR(O108/$G108*100,0)</f>
        <v>10.873709999999997</v>
      </c>
      <c r="Q108" s="143">
        <v>5.61</v>
      </c>
      <c r="R108" s="9">
        <f t="shared" si="13"/>
        <v>1.6794377218079206</v>
      </c>
      <c r="S108" s="8" t="str">
        <f t="array" ref="S108">IF(R108&gt;5,"Perlu Sensus",IF(AND(R108&gt;=0,O108&gt;0),"Tetap Deteksi","Belum Deteksi"))</f>
        <v>Tetap Deteksi</v>
      </c>
      <c r="T108" s="143">
        <v>3.6431199999999997</v>
      </c>
      <c r="U108" s="9">
        <f t="shared" si="18"/>
        <v>1.0906226654318845</v>
      </c>
      <c r="V108" s="11">
        <v>46248</v>
      </c>
      <c r="W108" s="143">
        <v>324.29199013849876</v>
      </c>
      <c r="X108" s="143">
        <v>5.665</v>
      </c>
      <c r="Y108" s="9">
        <f t="shared" si="14"/>
        <v>1.7468824924046351</v>
      </c>
      <c r="Z108" s="8" t="str">
        <f t="array" ref="Z108">IF(Y108&gt;5,"Perlu Sensus",IF(AND(Y108&gt;=0,W108&gt;0),"Tetap Deteksi","Belum Deteksi"))</f>
        <v>Tetap Deteksi</v>
      </c>
      <c r="AA108" s="143">
        <v>3.7065600000000005</v>
      </c>
      <c r="AB108" s="9">
        <f t="shared" si="19"/>
        <v>1.1429699507585744</v>
      </c>
      <c r="AC108" s="11"/>
      <c r="AD108" s="143"/>
      <c r="AE108" s="9">
        <f t="array" ref="AE108">IFERROR(AD108/$G108*100,0)</f>
        <v>0</v>
      </c>
      <c r="AF108" s="143"/>
      <c r="AG108" s="9">
        <f t="shared" si="15"/>
        <v>0</v>
      </c>
      <c r="AH108" s="8" t="str">
        <f t="array" ref="AH108">IF(AG108&gt;5,"Perlu Sensus",IF(AND(AG108&gt;=0,AD108&gt;0),"Tetap Deteksi","Belum Deteksi"))</f>
        <v>Belum Deteksi</v>
      </c>
      <c r="AI108" s="143"/>
      <c r="AJ108" s="9">
        <f t="shared" si="20"/>
        <v>0</v>
      </c>
      <c r="AK108" s="11"/>
      <c r="AL108" s="143"/>
      <c r="AM108" s="143"/>
      <c r="AN108" s="9">
        <f t="shared" si="16"/>
        <v>0</v>
      </c>
      <c r="AO108" s="8" t="str">
        <f t="array" ref="AO108">IF(AN108&gt;5,"Perlu Sensus",IF(AND(AN108&gt;=0,AL108&gt;0),"Tetap Deteksi","Belum Deteksi"))</f>
        <v>Belum Deteksi</v>
      </c>
      <c r="AP108" s="143"/>
      <c r="AQ108" s="9">
        <f t="shared" si="21"/>
        <v>0</v>
      </c>
    </row>
    <row r="109" spans="1:43" outlineLevel="1" x14ac:dyDescent="0.15">
      <c r="A109" s="8" t="s">
        <v>949</v>
      </c>
      <c r="B109" s="8"/>
      <c r="C109" s="8" t="s">
        <v>144</v>
      </c>
      <c r="D109" s="186" t="s">
        <v>1781</v>
      </c>
      <c r="E109" s="9">
        <v>24.58</v>
      </c>
      <c r="F109" s="8" t="s">
        <v>469</v>
      </c>
      <c r="G109" s="10">
        <v>3041</v>
      </c>
      <c r="H109" s="11">
        <f t="array" ref="H109">IF(OR(N109&gt;0,AC109&gt;0),MAX(N109,AC109),MAX(AK109,V109))</f>
        <v>46249</v>
      </c>
      <c r="I109" s="143">
        <f t="array" ref="I109">IF(SUM(O109,AD109)&gt;0,SUM(O109,AD109),SUM(AL109,W109))</f>
        <v>367.41057899999993</v>
      </c>
      <c r="J109" s="9">
        <f t="shared" si="11"/>
        <v>12.081899999999997</v>
      </c>
      <c r="K109" s="143">
        <f t="shared" si="17"/>
        <v>6.12</v>
      </c>
      <c r="L109" s="9">
        <f t="shared" si="12"/>
        <v>1.665711427432796</v>
      </c>
      <c r="M109" s="8" t="str">
        <f t="array" ref="M109">IF(L109&gt;5,"Perlu Sensus",IF(AND(L109&gt;=0,I109&gt;0),"Tetap Deteksi","Belum Deteksi"))</f>
        <v>Tetap Deteksi</v>
      </c>
      <c r="N109" s="11">
        <v>46249</v>
      </c>
      <c r="O109" s="143">
        <v>367.41057899999993</v>
      </c>
      <c r="P109" s="9">
        <f t="array" ref="P109">IFERROR(O109/$G109*100,0)</f>
        <v>12.081899999999997</v>
      </c>
      <c r="Q109" s="143">
        <v>6.12</v>
      </c>
      <c r="R109" s="9">
        <f t="shared" si="13"/>
        <v>1.665711427432796</v>
      </c>
      <c r="S109" s="8" t="str">
        <f t="array" ref="S109">IF(R109&gt;5,"Perlu Sensus",IF(AND(R109&gt;=0,O109&gt;0),"Tetap Deteksi","Belum Deteksi"))</f>
        <v>Tetap Deteksi</v>
      </c>
      <c r="T109" s="143">
        <v>4.1955763041803511</v>
      </c>
      <c r="U109" s="9">
        <f t="shared" si="18"/>
        <v>1.14193127361756</v>
      </c>
      <c r="V109" s="11">
        <v>46249</v>
      </c>
      <c r="W109" s="143">
        <v>330.77782994126881</v>
      </c>
      <c r="X109" s="143">
        <v>4.12</v>
      </c>
      <c r="Y109" s="9">
        <f t="shared" si="14"/>
        <v>1.2455490141922529</v>
      </c>
      <c r="Z109" s="8" t="str">
        <f t="array" ref="Z109">IF(Y109&gt;5,"Perlu Sensus",IF(AND(Y109&gt;=0,W109&gt;0),"Tetap Deteksi","Belum Deteksi"))</f>
        <v>Tetap Deteksi</v>
      </c>
      <c r="AA109" s="143">
        <v>6.24</v>
      </c>
      <c r="AB109" s="9">
        <f t="shared" si="19"/>
        <v>1.8864625846018588</v>
      </c>
      <c r="AC109" s="11"/>
      <c r="AD109" s="143"/>
      <c r="AE109" s="9">
        <f t="array" ref="AE109">IFERROR(AD109/$G109*100,0)</f>
        <v>0</v>
      </c>
      <c r="AF109" s="143"/>
      <c r="AG109" s="9">
        <f t="shared" si="15"/>
        <v>0</v>
      </c>
      <c r="AH109" s="8" t="str">
        <f t="array" ref="AH109">IF(AG109&gt;5,"Perlu Sensus",IF(AND(AG109&gt;=0,AD109&gt;0),"Tetap Deteksi","Belum Deteksi"))</f>
        <v>Belum Deteksi</v>
      </c>
      <c r="AI109" s="143"/>
      <c r="AJ109" s="9">
        <f t="shared" si="20"/>
        <v>0</v>
      </c>
      <c r="AK109" s="11"/>
      <c r="AL109" s="143"/>
      <c r="AM109" s="143"/>
      <c r="AN109" s="9">
        <f t="shared" si="16"/>
        <v>0</v>
      </c>
      <c r="AO109" s="8" t="str">
        <f t="array" ref="AO109">IF(AN109&gt;5,"Perlu Sensus",IF(AND(AN109&gt;=0,AL109&gt;0),"Tetap Deteksi","Belum Deteksi"))</f>
        <v>Belum Deteksi</v>
      </c>
      <c r="AP109" s="143"/>
      <c r="AQ109" s="9">
        <f t="shared" si="21"/>
        <v>0</v>
      </c>
    </row>
    <row r="110" spans="1:43" outlineLevel="1" x14ac:dyDescent="0.15">
      <c r="A110" s="8" t="s">
        <v>949</v>
      </c>
      <c r="B110" s="8"/>
      <c r="C110" s="8" t="s">
        <v>144</v>
      </c>
      <c r="D110" s="186" t="s">
        <v>1782</v>
      </c>
      <c r="E110" s="9">
        <v>26.39</v>
      </c>
      <c r="F110" s="8" t="s">
        <v>469</v>
      </c>
      <c r="G110" s="10">
        <v>3475</v>
      </c>
      <c r="H110" s="11">
        <f t="array" ref="H110">IF(OR(N110&gt;0,AC110&gt;0),MAX(N110,AC110),MAX(AK110,V110))</f>
        <v>46235</v>
      </c>
      <c r="I110" s="143">
        <f t="array" ref="I110">IF(SUM(O110,AD110)&gt;0,SUM(O110,AD110),SUM(AL110,W110))</f>
        <v>419.84602499999994</v>
      </c>
      <c r="J110" s="9">
        <f t="shared" si="11"/>
        <v>12.081899999999997</v>
      </c>
      <c r="K110" s="143">
        <f t="shared" si="17"/>
        <v>14.586</v>
      </c>
      <c r="L110" s="9">
        <f t="shared" si="12"/>
        <v>3.4741307840177842</v>
      </c>
      <c r="M110" s="8" t="str">
        <f t="array" ref="M110">IF(L110&gt;5,"Perlu Sensus",IF(AND(L110&gt;=0,I110&gt;0),"Tetap Deteksi","Belum Deteksi"))</f>
        <v>Tetap Deteksi</v>
      </c>
      <c r="N110" s="11">
        <v>46235</v>
      </c>
      <c r="O110" s="143">
        <v>419.84602499999994</v>
      </c>
      <c r="P110" s="9">
        <f t="array" ref="P110">IFERROR(O110/$G110*100,0)</f>
        <v>12.081899999999997</v>
      </c>
      <c r="Q110" s="143">
        <v>14.586</v>
      </c>
      <c r="R110" s="9">
        <f t="shared" si="13"/>
        <v>3.4741307840177842</v>
      </c>
      <c r="S110" s="8" t="str">
        <f t="array" ref="S110">IF(R110&gt;5,"Perlu Sensus",IF(AND(R110&gt;=0,O110&gt;0),"Tetap Deteksi","Belum Deteksi"))</f>
        <v>Tetap Deteksi</v>
      </c>
      <c r="T110" s="143">
        <v>9.4721119999999992</v>
      </c>
      <c r="U110" s="9">
        <f t="shared" si="18"/>
        <v>2.256091861296055</v>
      </c>
      <c r="V110" s="11">
        <v>46235</v>
      </c>
      <c r="W110" s="143">
        <v>337.39338654009418</v>
      </c>
      <c r="X110" s="143">
        <v>10.197000000000001</v>
      </c>
      <c r="Y110" s="9">
        <f t="shared" si="14"/>
        <v>3.0222880491429667</v>
      </c>
      <c r="Z110" s="8" t="str">
        <f t="array" ref="Z110">IF(Y110&gt;5,"Perlu Sensus",IF(AND(Y110&gt;=0,W110&gt;0),"Tetap Deteksi","Belum Deteksi"))</f>
        <v>Tetap Deteksi</v>
      </c>
      <c r="AA110" s="143">
        <v>6.6718080000000004</v>
      </c>
      <c r="AB110" s="9">
        <f t="shared" si="19"/>
        <v>1.9774566622120662</v>
      </c>
      <c r="AC110" s="11"/>
      <c r="AD110" s="143"/>
      <c r="AE110" s="9">
        <f t="array" ref="AE110">IFERROR(AD110/$G110*100,0)</f>
        <v>0</v>
      </c>
      <c r="AF110" s="143"/>
      <c r="AG110" s="9">
        <f t="shared" si="15"/>
        <v>0</v>
      </c>
      <c r="AH110" s="8" t="str">
        <f t="array" ref="AH110">IF(AG110&gt;5,"Perlu Sensus",IF(AND(AG110&gt;=0,AD110&gt;0),"Tetap Deteksi","Belum Deteksi"))</f>
        <v>Belum Deteksi</v>
      </c>
      <c r="AI110" s="143"/>
      <c r="AJ110" s="9">
        <f t="shared" si="20"/>
        <v>0</v>
      </c>
      <c r="AK110" s="11"/>
      <c r="AL110" s="143"/>
      <c r="AM110" s="143"/>
      <c r="AN110" s="9">
        <f t="shared" si="16"/>
        <v>0</v>
      </c>
      <c r="AO110" s="8" t="str">
        <f t="array" ref="AO110">IF(AN110&gt;5,"Perlu Sensus",IF(AND(AN110&gt;=0,AL110&gt;0),"Tetap Deteksi","Belum Deteksi"))</f>
        <v>Belum Deteksi</v>
      </c>
      <c r="AP110" s="143"/>
      <c r="AQ110" s="9">
        <f t="shared" si="21"/>
        <v>0</v>
      </c>
    </row>
    <row r="111" spans="1:43" outlineLevel="1" x14ac:dyDescent="0.15">
      <c r="A111" s="8" t="s">
        <v>949</v>
      </c>
      <c r="B111" s="8"/>
      <c r="C111" s="8" t="s">
        <v>144</v>
      </c>
      <c r="D111" s="186" t="s">
        <v>1783</v>
      </c>
      <c r="E111" s="9">
        <v>23.05</v>
      </c>
      <c r="F111" s="8" t="s">
        <v>469</v>
      </c>
      <c r="G111" s="10">
        <v>3060.9999999999995</v>
      </c>
      <c r="H111" s="11">
        <f t="array" ref="H111">IF(OR(N111&gt;0,AC111&gt;0),MAX(N111,AC111),MAX(AK111,V111))</f>
        <v>46236</v>
      </c>
      <c r="I111" s="143">
        <f t="array" ref="I111">IF(SUM(O111,AD111)&gt;0,SUM(O111,AD111),SUM(AL111,W111))</f>
        <v>443.79235079999995</v>
      </c>
      <c r="J111" s="9">
        <f t="shared" si="11"/>
        <v>14.498279999999999</v>
      </c>
      <c r="K111" s="143">
        <f t="shared" si="17"/>
        <v>16.830000000000002</v>
      </c>
      <c r="L111" s="9">
        <f t="shared" si="12"/>
        <v>3.7923141238602893</v>
      </c>
      <c r="M111" s="8" t="str">
        <f t="array" ref="M111">IF(L111&gt;5,"Perlu Sensus",IF(AND(L111&gt;=0,I111&gt;0),"Tetap Deteksi","Belum Deteksi"))</f>
        <v>Tetap Deteksi</v>
      </c>
      <c r="N111" s="11">
        <v>46236</v>
      </c>
      <c r="O111" s="143">
        <v>443.79235079999995</v>
      </c>
      <c r="P111" s="9">
        <f t="array" ref="P111">IFERROR(O111/$G111*100,0)</f>
        <v>14.498279999999999</v>
      </c>
      <c r="Q111" s="143">
        <v>16.830000000000002</v>
      </c>
      <c r="R111" s="9">
        <f t="shared" si="13"/>
        <v>3.7923141238602893</v>
      </c>
      <c r="S111" s="8" t="str">
        <f t="array" ref="S111">IF(R111&gt;5,"Perlu Sensus",IF(AND(R111&gt;=0,O111&gt;0),"Tetap Deteksi","Belum Deteksi"))</f>
        <v>Tetap Deteksi</v>
      </c>
      <c r="T111" s="143">
        <v>10.929360000000001</v>
      </c>
      <c r="U111" s="9">
        <f t="shared" si="18"/>
        <v>2.4627193281493582</v>
      </c>
      <c r="V111" s="11">
        <v>46236</v>
      </c>
      <c r="W111" s="143">
        <v>344.14125427089607</v>
      </c>
      <c r="X111" s="143">
        <v>13.596000000000002</v>
      </c>
      <c r="Y111" s="9">
        <f t="shared" si="14"/>
        <v>3.9507033322130285</v>
      </c>
      <c r="Z111" s="8" t="str">
        <f t="array" ref="Z111">IF(Y111&gt;5,"Perlu Sensus",IF(AND(Y111&gt;=0,W111&gt;0),"Tetap Deteksi","Belum Deteksi"))</f>
        <v>Tetap Deteksi</v>
      </c>
      <c r="AA111" s="143">
        <v>8.8957440000000023</v>
      </c>
      <c r="AB111" s="9">
        <f t="shared" si="19"/>
        <v>2.5849106695582567</v>
      </c>
      <c r="AC111" s="11"/>
      <c r="AD111" s="143"/>
      <c r="AE111" s="9">
        <f t="array" ref="AE111">IFERROR(AD111/$G111*100,0)</f>
        <v>0</v>
      </c>
      <c r="AF111" s="143"/>
      <c r="AG111" s="9">
        <f t="shared" si="15"/>
        <v>0</v>
      </c>
      <c r="AH111" s="8" t="str">
        <f t="array" ref="AH111">IF(AG111&gt;5,"Perlu Sensus",IF(AND(AG111&gt;=0,AD111&gt;0),"Tetap Deteksi","Belum Deteksi"))</f>
        <v>Belum Deteksi</v>
      </c>
      <c r="AI111" s="143"/>
      <c r="AJ111" s="9">
        <f t="shared" si="20"/>
        <v>0</v>
      </c>
      <c r="AK111" s="11"/>
      <c r="AL111" s="143"/>
      <c r="AM111" s="143"/>
      <c r="AN111" s="9">
        <f t="shared" si="16"/>
        <v>0</v>
      </c>
      <c r="AO111" s="8" t="str">
        <f t="array" ref="AO111">IF(AN111&gt;5,"Perlu Sensus",IF(AND(AN111&gt;=0,AL111&gt;0),"Tetap Deteksi","Belum Deteksi"))</f>
        <v>Belum Deteksi</v>
      </c>
      <c r="AP111" s="143"/>
      <c r="AQ111" s="9">
        <f t="shared" si="21"/>
        <v>0</v>
      </c>
    </row>
    <row r="112" spans="1:43" outlineLevel="1" x14ac:dyDescent="0.15">
      <c r="A112" s="8" t="s">
        <v>949</v>
      </c>
      <c r="B112" s="8"/>
      <c r="C112" s="8" t="s">
        <v>144</v>
      </c>
      <c r="D112" s="186" t="s">
        <v>1438</v>
      </c>
      <c r="E112" s="9">
        <v>32.510000000000005</v>
      </c>
      <c r="F112" s="8" t="s">
        <v>469</v>
      </c>
      <c r="G112" s="10">
        <v>4368</v>
      </c>
      <c r="H112" s="11">
        <f t="array" ref="H112">IF(OR(N112&gt;0,AC112&gt;0),MAX(N112,AC112),MAX(AK112,V112))</f>
        <v>46237</v>
      </c>
      <c r="I112" s="143">
        <f t="array" ref="I112">IF(SUM(O112,AD112)&gt;0,SUM(O112,AD112),SUM(AL112,W112))</f>
        <v>686.05860959999995</v>
      </c>
      <c r="J112" s="9">
        <f t="shared" si="11"/>
        <v>15.706469999999999</v>
      </c>
      <c r="K112" s="143">
        <f t="shared" si="17"/>
        <v>20.196000000000002</v>
      </c>
      <c r="L112" s="9">
        <f t="shared" si="12"/>
        <v>2.9437718173634013</v>
      </c>
      <c r="M112" s="8" t="str">
        <f t="array" ref="M112">IF(L112&gt;5,"Perlu Sensus",IF(AND(L112&gt;=0,I112&gt;0),"Tetap Deteksi","Belum Deteksi"))</f>
        <v>Tetap Deteksi</v>
      </c>
      <c r="N112" s="11">
        <v>46237</v>
      </c>
      <c r="O112" s="143">
        <v>686.05860959999995</v>
      </c>
      <c r="P112" s="9">
        <f t="array" ref="P112">IFERROR(O112/$G112*100,0)</f>
        <v>15.706469999999999</v>
      </c>
      <c r="Q112" s="143">
        <v>20.196000000000002</v>
      </c>
      <c r="R112" s="9">
        <f t="shared" si="13"/>
        <v>2.9437718173634013</v>
      </c>
      <c r="S112" s="8" t="str">
        <f t="array" ref="S112">IF(R112&gt;5,"Perlu Sensus",IF(AND(R112&gt;=0,O112&gt;0),"Tetap Deteksi","Belum Deteksi"))</f>
        <v>Tetap Deteksi</v>
      </c>
      <c r="T112" s="143">
        <v>13.115231999999999</v>
      </c>
      <c r="U112" s="9">
        <f t="shared" si="18"/>
        <v>1.9116780718846618</v>
      </c>
      <c r="V112" s="11">
        <v>46237</v>
      </c>
      <c r="W112" s="143">
        <v>351.02407935631408</v>
      </c>
      <c r="X112" s="143">
        <v>6.7980000000000009</v>
      </c>
      <c r="Y112" s="9">
        <f t="shared" si="14"/>
        <v>1.9366192804965821</v>
      </c>
      <c r="Z112" s="8" t="str">
        <f t="array" ref="Z112">IF(Y112&gt;5,"Perlu Sensus",IF(AND(Y112&gt;=0,W112&gt;0),"Tetap Deteksi","Belum Deteksi"))</f>
        <v>Tetap Deteksi</v>
      </c>
      <c r="AA112" s="143">
        <v>4.4478720000000012</v>
      </c>
      <c r="AB112" s="9">
        <f t="shared" si="19"/>
        <v>1.2671130733128706</v>
      </c>
      <c r="AC112" s="11"/>
      <c r="AD112" s="143"/>
      <c r="AE112" s="9">
        <f t="array" ref="AE112">IFERROR(AD112/$G112*100,0)</f>
        <v>0</v>
      </c>
      <c r="AF112" s="143"/>
      <c r="AG112" s="9">
        <f t="shared" si="15"/>
        <v>0</v>
      </c>
      <c r="AH112" s="8" t="str">
        <f t="array" ref="AH112">IF(AG112&gt;5,"Perlu Sensus",IF(AND(AG112&gt;=0,AD112&gt;0),"Tetap Deteksi","Belum Deteksi"))</f>
        <v>Belum Deteksi</v>
      </c>
      <c r="AI112" s="143"/>
      <c r="AJ112" s="9">
        <f t="shared" si="20"/>
        <v>0</v>
      </c>
      <c r="AK112" s="11"/>
      <c r="AL112" s="143"/>
      <c r="AM112" s="143"/>
      <c r="AN112" s="9">
        <f t="shared" si="16"/>
        <v>0</v>
      </c>
      <c r="AO112" s="8" t="str">
        <f t="array" ref="AO112">IF(AN112&gt;5,"Perlu Sensus",IF(AND(AN112&gt;=0,AL112&gt;0),"Tetap Deteksi","Belum Deteksi"))</f>
        <v>Belum Deteksi</v>
      </c>
      <c r="AP112" s="143"/>
      <c r="AQ112" s="9">
        <f t="shared" si="21"/>
        <v>0</v>
      </c>
    </row>
    <row r="113" spans="1:43" outlineLevel="1" x14ac:dyDescent="0.15">
      <c r="A113" s="8" t="s">
        <v>949</v>
      </c>
      <c r="B113" s="8"/>
      <c r="C113" s="8" t="s">
        <v>144</v>
      </c>
      <c r="D113" s="186" t="s">
        <v>1369</v>
      </c>
      <c r="E113" s="9">
        <v>24.07</v>
      </c>
      <c r="F113" s="8" t="s">
        <v>469</v>
      </c>
      <c r="G113" s="10">
        <v>2813</v>
      </c>
      <c r="H113" s="11">
        <f t="array" ref="H113">IF(OR(N113&gt;0,AC113&gt;0),MAX(N113,AC113),MAX(AK113,V113))</f>
        <v>46238</v>
      </c>
      <c r="I113" s="143">
        <f t="array" ref="I113">IF(SUM(O113,AD113)&gt;0,SUM(O113,AD113),SUM(AL113,W113))</f>
        <v>407.83661640000008</v>
      </c>
      <c r="J113" s="9">
        <f t="shared" si="11"/>
        <v>14.498280000000003</v>
      </c>
      <c r="K113" s="143">
        <f t="shared" si="17"/>
        <v>16.830000000000002</v>
      </c>
      <c r="L113" s="9">
        <f t="shared" si="12"/>
        <v>4.1266525180008333</v>
      </c>
      <c r="M113" s="8" t="str">
        <f t="array" ref="M113">IF(L113&gt;5,"Perlu Sensus",IF(AND(L113&gt;=0,I113&gt;0),"Tetap Deteksi","Belum Deteksi"))</f>
        <v>Tetap Deteksi</v>
      </c>
      <c r="N113" s="11">
        <v>46238</v>
      </c>
      <c r="O113" s="143">
        <v>407.83661640000008</v>
      </c>
      <c r="P113" s="9">
        <f t="array" ref="P113">IFERROR(O113/$G113*100,0)</f>
        <v>14.498280000000003</v>
      </c>
      <c r="Q113" s="143">
        <v>16.830000000000002</v>
      </c>
      <c r="R113" s="9">
        <f t="shared" si="13"/>
        <v>4.1266525180008333</v>
      </c>
      <c r="S113" s="8" t="str">
        <f t="array" ref="S113">IF(R113&gt;5,"Perlu Sensus",IF(AND(R113&gt;=0,O113&gt;0),"Tetap Deteksi","Belum Deteksi"))</f>
        <v>Tetap Deteksi</v>
      </c>
      <c r="T113" s="143">
        <v>10.929360000000001</v>
      </c>
      <c r="U113" s="9">
        <f t="shared" si="18"/>
        <v>2.6798378469481627</v>
      </c>
      <c r="V113" s="11">
        <v>46238</v>
      </c>
      <c r="W113" s="143">
        <v>358.04456094344039</v>
      </c>
      <c r="X113" s="143">
        <v>5.665</v>
      </c>
      <c r="Y113" s="9">
        <f t="shared" si="14"/>
        <v>1.5822052945233509</v>
      </c>
      <c r="Z113" s="8" t="str">
        <f t="array" ref="Z113">IF(Y113&gt;5,"Perlu Sensus",IF(AND(Y113&gt;=0,W113&gt;0),"Tetap Deteksi","Belum Deteksi"))</f>
        <v>Tetap Deteksi</v>
      </c>
      <c r="AA113" s="143">
        <v>9.36</v>
      </c>
      <c r="AB113" s="9">
        <f t="shared" si="19"/>
        <v>2.6141997452318737</v>
      </c>
      <c r="AC113" s="11"/>
      <c r="AD113" s="143"/>
      <c r="AE113" s="9">
        <f t="array" ref="AE113">IFERROR(AD113/$G113*100,0)</f>
        <v>0</v>
      </c>
      <c r="AF113" s="143"/>
      <c r="AG113" s="9">
        <f t="shared" si="15"/>
        <v>0</v>
      </c>
      <c r="AH113" s="8" t="str">
        <f t="array" ref="AH113">IF(AG113&gt;5,"Perlu Sensus",IF(AND(AG113&gt;=0,AD113&gt;0),"Tetap Deteksi","Belum Deteksi"))</f>
        <v>Belum Deteksi</v>
      </c>
      <c r="AI113" s="143"/>
      <c r="AJ113" s="9">
        <f t="shared" si="20"/>
        <v>0</v>
      </c>
      <c r="AK113" s="11"/>
      <c r="AL113" s="143"/>
      <c r="AM113" s="143"/>
      <c r="AN113" s="9">
        <f t="shared" si="16"/>
        <v>0</v>
      </c>
      <c r="AO113" s="8" t="str">
        <f t="array" ref="AO113">IF(AN113&gt;5,"Perlu Sensus",IF(AND(AN113&gt;=0,AL113&gt;0),"Tetap Deteksi","Belum Deteksi"))</f>
        <v>Belum Deteksi</v>
      </c>
      <c r="AP113" s="143"/>
      <c r="AQ113" s="9">
        <f t="shared" si="21"/>
        <v>0</v>
      </c>
    </row>
    <row r="114" spans="1:43" outlineLevel="1" x14ac:dyDescent="0.15">
      <c r="A114" s="8" t="s">
        <v>949</v>
      </c>
      <c r="B114" s="8"/>
      <c r="C114" s="8" t="s">
        <v>144</v>
      </c>
      <c r="D114" s="186" t="s">
        <v>1370</v>
      </c>
      <c r="E114" s="9">
        <v>28.599999999999998</v>
      </c>
      <c r="F114" s="8" t="s">
        <v>469</v>
      </c>
      <c r="G114" s="10">
        <v>4045.9999999999995</v>
      </c>
      <c r="H114" s="11">
        <f t="array" ref="H114">IF(OR(N114&gt;0,AC114&gt;0),MAX(N114,AC114),MAX(AK114,V114))</f>
        <v>46239</v>
      </c>
      <c r="I114" s="143">
        <f t="array" ref="I114">IF(SUM(O114,AD114)&gt;0,SUM(O114,AD114),SUM(AL114,W114))</f>
        <v>391.06693919999998</v>
      </c>
      <c r="J114" s="9">
        <f t="shared" si="11"/>
        <v>9.6655200000000008</v>
      </c>
      <c r="K114" s="143">
        <f t="shared" si="17"/>
        <v>14.280000000000001</v>
      </c>
      <c r="L114" s="9">
        <f t="shared" si="12"/>
        <v>3.6515487678944152</v>
      </c>
      <c r="M114" s="8" t="str">
        <f t="array" ref="M114">IF(L114&gt;5,"Perlu Sensus",IF(AND(L114&gt;=0,I114&gt;0),"Tetap Deteksi","Belum Deteksi"))</f>
        <v>Tetap Deteksi</v>
      </c>
      <c r="N114" s="11">
        <v>46239</v>
      </c>
      <c r="O114" s="143">
        <v>391.06693919999998</v>
      </c>
      <c r="P114" s="9">
        <f t="array" ref="P114">IFERROR(O114/$G114*100,0)</f>
        <v>9.6655200000000008</v>
      </c>
      <c r="Q114" s="143">
        <v>14.280000000000001</v>
      </c>
      <c r="R114" s="9">
        <f t="shared" si="13"/>
        <v>3.6515487678944152</v>
      </c>
      <c r="S114" s="8" t="str">
        <f t="array" ref="S114">IF(R114&gt;5,"Perlu Sensus",IF(AND(R114&gt;=0,O114&gt;0),"Tetap Deteksi","Belum Deteksi"))</f>
        <v>Tetap Deteksi</v>
      </c>
      <c r="T114" s="143">
        <v>7.1647746066763762</v>
      </c>
      <c r="U114" s="9">
        <f t="shared" si="18"/>
        <v>1.8321095159138874</v>
      </c>
      <c r="V114" s="11">
        <v>46239</v>
      </c>
      <c r="W114" s="143">
        <v>365.2054521623092</v>
      </c>
      <c r="X114" s="143">
        <v>7.21</v>
      </c>
      <c r="Y114" s="9">
        <f t="shared" si="14"/>
        <v>1.9742312052876039</v>
      </c>
      <c r="Z114" s="8" t="str">
        <f t="array" ref="Z114">IF(Y114&gt;5,"Perlu Sensus",IF(AND(Y114&gt;=0,W114&gt;0),"Tetap Deteksi","Belum Deteksi"))</f>
        <v>Tetap Deteksi</v>
      </c>
      <c r="AA114" s="143">
        <v>7.28</v>
      </c>
      <c r="AB114" s="9">
        <f t="shared" si="19"/>
        <v>1.9933984985428235</v>
      </c>
      <c r="AC114" s="11"/>
      <c r="AD114" s="143"/>
      <c r="AE114" s="9">
        <f t="array" ref="AE114">IFERROR(AD114/$G114*100,0)</f>
        <v>0</v>
      </c>
      <c r="AF114" s="143"/>
      <c r="AG114" s="9">
        <f t="shared" si="15"/>
        <v>0</v>
      </c>
      <c r="AH114" s="8" t="str">
        <f t="array" ref="AH114">IF(AG114&gt;5,"Perlu Sensus",IF(AND(AG114&gt;=0,AD114&gt;0),"Tetap Deteksi","Belum Deteksi"))</f>
        <v>Belum Deteksi</v>
      </c>
      <c r="AI114" s="143"/>
      <c r="AJ114" s="9">
        <f t="shared" si="20"/>
        <v>0</v>
      </c>
      <c r="AK114" s="11"/>
      <c r="AL114" s="143"/>
      <c r="AM114" s="143"/>
      <c r="AN114" s="9">
        <f t="shared" si="16"/>
        <v>0</v>
      </c>
      <c r="AO114" s="8" t="str">
        <f t="array" ref="AO114">IF(AN114&gt;5,"Perlu Sensus",IF(AND(AN114&gt;=0,AL114&gt;0),"Tetap Deteksi","Belum Deteksi"))</f>
        <v>Belum Deteksi</v>
      </c>
      <c r="AP114" s="143"/>
      <c r="AQ114" s="9">
        <f t="shared" si="21"/>
        <v>0</v>
      </c>
    </row>
    <row r="115" spans="1:43" outlineLevel="1" x14ac:dyDescent="0.15">
      <c r="A115" s="8" t="s">
        <v>949</v>
      </c>
      <c r="B115" s="8"/>
      <c r="C115" s="8" t="s">
        <v>144</v>
      </c>
      <c r="D115" s="186" t="s">
        <v>1371</v>
      </c>
      <c r="E115" s="9">
        <v>29.35</v>
      </c>
      <c r="F115" s="8" t="s">
        <v>469</v>
      </c>
      <c r="G115" s="10">
        <v>3754</v>
      </c>
      <c r="H115" s="11">
        <f t="array" ref="H115">IF(OR(N115&gt;0,AC115&gt;0),MAX(N115,AC115),MAX(AK115,V115))</f>
        <v>46240</v>
      </c>
      <c r="I115" s="143">
        <f t="array" ref="I115">IF(SUM(O115,AD115)&gt;0,SUM(O115,AD115),SUM(AL115,W115))</f>
        <v>362.84362080000005</v>
      </c>
      <c r="J115" s="9">
        <f t="shared" si="11"/>
        <v>9.6655200000000008</v>
      </c>
      <c r="K115" s="143">
        <f t="shared" si="17"/>
        <v>14.524205633498882</v>
      </c>
      <c r="L115" s="9">
        <f t="shared" si="12"/>
        <v>4.0028830054875471</v>
      </c>
      <c r="M115" s="8" t="str">
        <f t="array" ref="M115">IF(L115&gt;5,"Perlu Sensus",IF(AND(L115&gt;=0,I115&gt;0),"Tetap Deteksi","Belum Deteksi"))</f>
        <v>Tetap Deteksi</v>
      </c>
      <c r="N115" s="11">
        <v>46240</v>
      </c>
      <c r="O115" s="143">
        <v>362.84362080000005</v>
      </c>
      <c r="P115" s="9">
        <f t="array" ref="P115">IFERROR(O115/$G115*100,0)</f>
        <v>9.6655200000000008</v>
      </c>
      <c r="Q115" s="143">
        <v>14.524205633498882</v>
      </c>
      <c r="R115" s="9">
        <f t="shared" si="13"/>
        <v>4.0028830054875471</v>
      </c>
      <c r="S115" s="8" t="str">
        <f t="array" ref="S115">IF(R115&gt;5,"Perlu Sensus",IF(AND(R115&gt;=0,O115&gt;0),"Tetap Deteksi","Belum Deteksi"))</f>
        <v>Tetap Deteksi</v>
      </c>
      <c r="T115" s="143">
        <v>9.4319828926047133</v>
      </c>
      <c r="U115" s="9">
        <f t="shared" si="18"/>
        <v>2.5994622343942586</v>
      </c>
      <c r="V115" s="11">
        <v>46240</v>
      </c>
      <c r="W115" s="143">
        <v>372.50956120555537</v>
      </c>
      <c r="X115" s="143">
        <v>14.363228583411578</v>
      </c>
      <c r="Y115" s="9">
        <f t="shared" si="14"/>
        <v>3.8558013214285718</v>
      </c>
      <c r="Z115" s="8" t="str">
        <f t="array" ref="Z115">IF(Y115&gt;5,"Perlu Sensus",IF(AND(Y115&gt;=0,W115&gt;0),"Tetap Deteksi","Belum Deteksi"))</f>
        <v>Tetap Deteksi</v>
      </c>
      <c r="AA115" s="143">
        <v>9.397734958187117</v>
      </c>
      <c r="AB115" s="9">
        <f t="shared" si="19"/>
        <v>2.5228171131428572</v>
      </c>
      <c r="AC115" s="11"/>
      <c r="AD115" s="143"/>
      <c r="AE115" s="9">
        <f t="array" ref="AE115">IFERROR(AD115/$G115*100,0)</f>
        <v>0</v>
      </c>
      <c r="AF115" s="143"/>
      <c r="AG115" s="9">
        <f t="shared" si="15"/>
        <v>0</v>
      </c>
      <c r="AH115" s="8" t="str">
        <f t="array" ref="AH115">IF(AG115&gt;5,"Perlu Sensus",IF(AND(AG115&gt;=0,AD115&gt;0),"Tetap Deteksi","Belum Deteksi"))</f>
        <v>Belum Deteksi</v>
      </c>
      <c r="AI115" s="143"/>
      <c r="AJ115" s="9">
        <f t="shared" si="20"/>
        <v>0</v>
      </c>
      <c r="AK115" s="11"/>
      <c r="AL115" s="143"/>
      <c r="AM115" s="143"/>
      <c r="AN115" s="9">
        <f t="shared" si="16"/>
        <v>0</v>
      </c>
      <c r="AO115" s="8" t="str">
        <f t="array" ref="AO115">IF(AN115&gt;5,"Perlu Sensus",IF(AND(AN115&gt;=0,AL115&gt;0),"Tetap Deteksi","Belum Deteksi"))</f>
        <v>Belum Deteksi</v>
      </c>
      <c r="AP115" s="143"/>
      <c r="AQ115" s="9">
        <f t="shared" si="21"/>
        <v>0</v>
      </c>
    </row>
    <row r="116" spans="1:43" outlineLevel="1" x14ac:dyDescent="0.15">
      <c r="A116" s="8" t="s">
        <v>949</v>
      </c>
      <c r="B116" s="8"/>
      <c r="C116" s="8" t="s">
        <v>144</v>
      </c>
      <c r="D116" s="186" t="s">
        <v>1378</v>
      </c>
      <c r="E116" s="9">
        <v>27.6</v>
      </c>
      <c r="F116" s="8" t="s">
        <v>469</v>
      </c>
      <c r="G116" s="10">
        <v>3689</v>
      </c>
      <c r="H116" s="11">
        <f t="array" ref="H116">IF(OR(N116&gt;0,AC116&gt;0),MAX(N116,AC116),MAX(AK116,V116))</f>
        <v>46241</v>
      </c>
      <c r="I116" s="143">
        <f t="array" ref="I116">IF(SUM(O116,AD116)&gt;0,SUM(O116,AD116),SUM(AL116,W116))</f>
        <v>401.1311619</v>
      </c>
      <c r="J116" s="9">
        <f t="shared" si="11"/>
        <v>10.873710000000001</v>
      </c>
      <c r="K116" s="143">
        <f t="shared" si="17"/>
        <v>18.36</v>
      </c>
      <c r="L116" s="9">
        <f t="shared" si="12"/>
        <v>4.5770565201257174</v>
      </c>
      <c r="M116" s="8" t="str">
        <f t="array" ref="M116">IF(L116&gt;5,"Perlu Sensus",IF(AND(L116&gt;=0,I116&gt;0),"Tetap Deteksi","Belum Deteksi"))</f>
        <v>Tetap Deteksi</v>
      </c>
      <c r="N116" s="11">
        <v>46241</v>
      </c>
      <c r="O116" s="143">
        <v>401.1311619</v>
      </c>
      <c r="P116" s="9">
        <f t="array" ref="P116">IFERROR(O116/$G116*100,0)</f>
        <v>10.873710000000001</v>
      </c>
      <c r="Q116" s="143">
        <v>18.36</v>
      </c>
      <c r="R116" s="9">
        <f t="shared" si="13"/>
        <v>4.5770565201257174</v>
      </c>
      <c r="S116" s="8" t="str">
        <f t="array" ref="S116">IF(R116&gt;5,"Perlu Sensus",IF(AND(R116&gt;=0,O116&gt;0),"Tetap Deteksi","Belum Deteksi"))</f>
        <v>Tetap Deteksi</v>
      </c>
      <c r="T116" s="143">
        <v>11.149585100994413</v>
      </c>
      <c r="U116" s="9">
        <f t="shared" si="18"/>
        <v>2.7795360121570285</v>
      </c>
      <c r="V116" s="11">
        <v>46241</v>
      </c>
      <c r="W116" s="143">
        <v>379.95975242966654</v>
      </c>
      <c r="X116" s="143">
        <v>7.21</v>
      </c>
      <c r="Y116" s="9">
        <f t="shared" si="14"/>
        <v>1.8975694014682847</v>
      </c>
      <c r="Z116" s="8" t="str">
        <f t="array" ref="Z116">IF(Y116&gt;5,"Perlu Sensus",IF(AND(Y116&gt;=0,W116&gt;0),"Tetap Deteksi","Belum Deteksi"))</f>
        <v>Tetap Deteksi</v>
      </c>
      <c r="AA116" s="143">
        <v>10.24972367416469</v>
      </c>
      <c r="AB116" s="9">
        <f t="shared" si="19"/>
        <v>2.6975814171428572</v>
      </c>
      <c r="AC116" s="11"/>
      <c r="AD116" s="143"/>
      <c r="AE116" s="9">
        <f t="array" ref="AE116">IFERROR(AD116/$G116*100,0)</f>
        <v>0</v>
      </c>
      <c r="AF116" s="143"/>
      <c r="AG116" s="9">
        <f t="shared" si="15"/>
        <v>0</v>
      </c>
      <c r="AH116" s="8" t="str">
        <f t="array" ref="AH116">IF(AG116&gt;5,"Perlu Sensus",IF(AND(AG116&gt;=0,AD116&gt;0),"Tetap Deteksi","Belum Deteksi"))</f>
        <v>Belum Deteksi</v>
      </c>
      <c r="AI116" s="143"/>
      <c r="AJ116" s="9">
        <f t="shared" si="20"/>
        <v>0</v>
      </c>
      <c r="AK116" s="11"/>
      <c r="AL116" s="143"/>
      <c r="AM116" s="143"/>
      <c r="AN116" s="9">
        <f t="shared" si="16"/>
        <v>0</v>
      </c>
      <c r="AO116" s="8" t="str">
        <f t="array" ref="AO116">IF(AN116&gt;5,"Perlu Sensus",IF(AND(AN116&gt;=0,AL116&gt;0),"Tetap Deteksi","Belum Deteksi"))</f>
        <v>Belum Deteksi</v>
      </c>
      <c r="AP116" s="143"/>
      <c r="AQ116" s="9">
        <f t="shared" si="21"/>
        <v>0</v>
      </c>
    </row>
    <row r="117" spans="1:43" outlineLevel="1" x14ac:dyDescent="0.15">
      <c r="A117" s="8" t="s">
        <v>949</v>
      </c>
      <c r="B117" s="8"/>
      <c r="C117" s="8" t="s">
        <v>144</v>
      </c>
      <c r="D117" s="186" t="s">
        <v>1379</v>
      </c>
      <c r="E117" s="9">
        <v>22.09</v>
      </c>
      <c r="F117" s="8" t="s">
        <v>469</v>
      </c>
      <c r="G117" s="10">
        <v>2932</v>
      </c>
      <c r="H117" s="11">
        <f t="array" ref="H117">IF(OR(N117&gt;0,AC117&gt;0),MAX(N117,AC117),MAX(AK117,V117))</f>
        <v>46242</v>
      </c>
      <c r="I117" s="143">
        <f t="array" ref="I117">IF(SUM(O117,AD117)&gt;0,SUM(O117,AD117),SUM(AL117,W117))</f>
        <v>354.24130799999989</v>
      </c>
      <c r="J117" s="9">
        <f t="shared" si="11"/>
        <v>12.081899999999997</v>
      </c>
      <c r="K117" s="143">
        <f t="shared" si="17"/>
        <v>8.7618765864960011</v>
      </c>
      <c r="L117" s="9">
        <f t="shared" si="12"/>
        <v>2.4734203461376119</v>
      </c>
      <c r="M117" s="8" t="str">
        <f t="array" ref="M117">IF(L117&gt;5,"Perlu Sensus",IF(AND(L117&gt;=0,I117&gt;0),"Tetap Deteksi","Belum Deteksi"))</f>
        <v>Tetap Deteksi</v>
      </c>
      <c r="N117" s="11">
        <v>46242</v>
      </c>
      <c r="O117" s="143">
        <v>354.24130799999989</v>
      </c>
      <c r="P117" s="9">
        <f t="array" ref="P117">IFERROR(O117/$G117*100,0)</f>
        <v>12.081899999999997</v>
      </c>
      <c r="Q117" s="143">
        <v>8.7618765864960011</v>
      </c>
      <c r="R117" s="9">
        <f t="shared" si="13"/>
        <v>2.4734203461376119</v>
      </c>
      <c r="S117" s="8" t="str">
        <f t="array" ref="S117">IF(R117&gt;5,"Perlu Sensus",IF(AND(R117&gt;=0,O117&gt;0),"Tetap Deteksi","Belum Deteksi"))</f>
        <v>Tetap Deteksi</v>
      </c>
      <c r="T117" s="143">
        <v>5.6899407896248304</v>
      </c>
      <c r="U117" s="9">
        <f t="shared" si="18"/>
        <v>1.6062330002532714</v>
      </c>
      <c r="V117" s="11">
        <v>46242</v>
      </c>
      <c r="W117" s="143">
        <v>387.55894747825988</v>
      </c>
      <c r="X117" s="143">
        <v>9.2337358741357498</v>
      </c>
      <c r="Y117" s="9">
        <f t="shared" si="14"/>
        <v>2.3825371428571431</v>
      </c>
      <c r="Z117" s="8" t="str">
        <f t="array" ref="Z117">IF(Y117&gt;5,"Perlu Sensus",IF(AND(Y117&gt;=0,W117&gt;0),"Tetap Deteksi","Belum Deteksi"))</f>
        <v>Tetap Deteksi</v>
      </c>
      <c r="AA117" s="143">
        <v>6.0415526993180251</v>
      </c>
      <c r="AB117" s="9">
        <f t="shared" si="19"/>
        <v>1.558873234285715</v>
      </c>
      <c r="AC117" s="11"/>
      <c r="AD117" s="143"/>
      <c r="AE117" s="9">
        <f t="array" ref="AE117">IFERROR(AD117/$G117*100,0)</f>
        <v>0</v>
      </c>
      <c r="AF117" s="143"/>
      <c r="AG117" s="9">
        <f t="shared" si="15"/>
        <v>0</v>
      </c>
      <c r="AH117" s="8" t="str">
        <f t="array" ref="AH117">IF(AG117&gt;5,"Perlu Sensus",IF(AND(AG117&gt;=0,AD117&gt;0),"Tetap Deteksi","Belum Deteksi"))</f>
        <v>Belum Deteksi</v>
      </c>
      <c r="AI117" s="143"/>
      <c r="AJ117" s="9">
        <f t="shared" si="20"/>
        <v>0</v>
      </c>
      <c r="AK117" s="11"/>
      <c r="AL117" s="143"/>
      <c r="AM117" s="143"/>
      <c r="AN117" s="9">
        <f t="shared" si="16"/>
        <v>0</v>
      </c>
      <c r="AO117" s="8" t="str">
        <f t="array" ref="AO117">IF(AN117&gt;5,"Perlu Sensus",IF(AND(AN117&gt;=0,AL117&gt;0),"Tetap Deteksi","Belum Deteksi"))</f>
        <v>Belum Deteksi</v>
      </c>
      <c r="AP117" s="143"/>
      <c r="AQ117" s="9">
        <f t="shared" si="21"/>
        <v>0</v>
      </c>
    </row>
    <row r="118" spans="1:43" outlineLevel="1" x14ac:dyDescent="0.15">
      <c r="A118" s="8" t="s">
        <v>949</v>
      </c>
      <c r="B118" s="8"/>
      <c r="C118" s="8" t="s">
        <v>144</v>
      </c>
      <c r="D118" s="186" t="s">
        <v>1416</v>
      </c>
      <c r="E118" s="9">
        <v>31.56</v>
      </c>
      <c r="F118" s="8" t="s">
        <v>469</v>
      </c>
      <c r="G118" s="10">
        <v>4248</v>
      </c>
      <c r="H118" s="11">
        <f t="array" ref="H118">IF(OR(N118&gt;0,AC118&gt;0),MAX(N118,AC118),MAX(AK118,V118))</f>
        <v>46243</v>
      </c>
      <c r="I118" s="143">
        <f t="array" ref="I118">IF(SUM(O118,AD118)&gt;0,SUM(O118,AD118),SUM(AL118,W118))</f>
        <v>513.23911199999998</v>
      </c>
      <c r="J118" s="9">
        <f t="shared" si="11"/>
        <v>12.081899999999999</v>
      </c>
      <c r="K118" s="143">
        <f t="shared" si="17"/>
        <v>14.182204443264</v>
      </c>
      <c r="L118" s="9">
        <f t="shared" si="12"/>
        <v>2.7632742929506122</v>
      </c>
      <c r="M118" s="8" t="str">
        <f t="array" ref="M118">IF(L118&gt;5,"Perlu Sensus",IF(AND(L118&gt;=0,I118&gt;0),"Tetap Deteksi","Belum Deteksi"))</f>
        <v>Tetap Deteksi</v>
      </c>
      <c r="N118" s="11">
        <v>46243</v>
      </c>
      <c r="O118" s="143">
        <v>513.23911199999998</v>
      </c>
      <c r="P118" s="9">
        <f t="array" ref="P118">IFERROR(O118/$G118*100,0)</f>
        <v>12.081899999999999</v>
      </c>
      <c r="Q118" s="143">
        <v>14.182204443264</v>
      </c>
      <c r="R118" s="9">
        <f t="shared" si="13"/>
        <v>2.7632742929506122</v>
      </c>
      <c r="S118" s="8" t="str">
        <f t="array" ref="S118">IF(R118&gt;5,"Perlu Sensus",IF(AND(R118&gt;=0,O118&gt;0),"Tetap Deteksi","Belum Deteksi"))</f>
        <v>Tetap Deteksi</v>
      </c>
      <c r="T118" s="143">
        <v>9.209888173145087</v>
      </c>
      <c r="U118" s="9">
        <f t="shared" si="18"/>
        <v>1.7944634299704516</v>
      </c>
      <c r="V118" s="11">
        <v>46243</v>
      </c>
      <c r="W118" s="143">
        <v>395.31012642782508</v>
      </c>
      <c r="X118" s="143">
        <v>2.06</v>
      </c>
      <c r="Y118" s="9">
        <f t="shared" si="14"/>
        <v>0.52110984826393281</v>
      </c>
      <c r="Z118" s="8" t="str">
        <f t="array" ref="Z118">IF(Y118&gt;5,"Perlu Sensus",IF(AND(Y118&gt;=0,W118&gt;0),"Tetap Deteksi","Belum Deteksi"))</f>
        <v>Tetap Deteksi</v>
      </c>
      <c r="AA118" s="143">
        <v>5.2</v>
      </c>
      <c r="AB118" s="9">
        <f t="shared" si="19"/>
        <v>1.3154229179477914</v>
      </c>
      <c r="AC118" s="11"/>
      <c r="AD118" s="143"/>
      <c r="AE118" s="9">
        <f t="array" ref="AE118">IFERROR(AD118/$G118*100,0)</f>
        <v>0</v>
      </c>
      <c r="AF118" s="143"/>
      <c r="AG118" s="9">
        <f t="shared" si="15"/>
        <v>0</v>
      </c>
      <c r="AH118" s="8" t="str">
        <f t="array" ref="AH118">IF(AG118&gt;5,"Perlu Sensus",IF(AND(AG118&gt;=0,AD118&gt;0),"Tetap Deteksi","Belum Deteksi"))</f>
        <v>Belum Deteksi</v>
      </c>
      <c r="AI118" s="143"/>
      <c r="AJ118" s="9">
        <f t="shared" si="20"/>
        <v>0</v>
      </c>
      <c r="AK118" s="11"/>
      <c r="AL118" s="143"/>
      <c r="AM118" s="143"/>
      <c r="AN118" s="9">
        <f t="shared" si="16"/>
        <v>0</v>
      </c>
      <c r="AO118" s="8" t="str">
        <f t="array" ref="AO118">IF(AN118&gt;5,"Perlu Sensus",IF(AND(AN118&gt;=0,AL118&gt;0),"Tetap Deteksi","Belum Deteksi"))</f>
        <v>Belum Deteksi</v>
      </c>
      <c r="AP118" s="143"/>
      <c r="AQ118" s="9">
        <f t="shared" si="21"/>
        <v>0</v>
      </c>
    </row>
    <row r="119" spans="1:43" outlineLevel="1" x14ac:dyDescent="0.15">
      <c r="A119" s="8" t="s">
        <v>949</v>
      </c>
      <c r="B119" s="8"/>
      <c r="C119" s="8" t="s">
        <v>144</v>
      </c>
      <c r="D119" s="186" t="s">
        <v>1417</v>
      </c>
      <c r="E119" s="9">
        <v>31.86</v>
      </c>
      <c r="F119" s="8" t="s">
        <v>469</v>
      </c>
      <c r="G119" s="10">
        <v>3305</v>
      </c>
      <c r="H119" s="11">
        <f t="array" ref="H119">IF(OR(N119&gt;0,AC119&gt;0),MAX(N119,AC119),MAX(AK119,V119))</f>
        <v>46244</v>
      </c>
      <c r="I119" s="143">
        <f t="array" ref="I119">IF(SUM(O119,AD119)&gt;0,SUM(O119,AD119),SUM(AL119,W119))</f>
        <v>479.16815400000002</v>
      </c>
      <c r="J119" s="9">
        <f t="shared" si="11"/>
        <v>14.498279999999999</v>
      </c>
      <c r="K119" s="143">
        <f t="shared" si="17"/>
        <v>7.1400000000000006</v>
      </c>
      <c r="L119" s="9">
        <f t="shared" si="12"/>
        <v>1.4900823313061828</v>
      </c>
      <c r="M119" s="8" t="str">
        <f t="array" ref="M119">IF(L119&gt;5,"Perlu Sensus",IF(AND(L119&gt;=0,I119&gt;0),"Tetap Deteksi","Belum Deteksi"))</f>
        <v>Tetap Deteksi</v>
      </c>
      <c r="N119" s="11">
        <v>46244</v>
      </c>
      <c r="O119" s="143">
        <v>479.16815400000002</v>
      </c>
      <c r="P119" s="9">
        <f t="array" ref="P119">IFERROR(O119/$G119*100,0)</f>
        <v>14.498279999999999</v>
      </c>
      <c r="Q119" s="143">
        <v>7.1400000000000006</v>
      </c>
      <c r="R119" s="9">
        <f t="shared" si="13"/>
        <v>1.4900823313061828</v>
      </c>
      <c r="S119" s="8" t="str">
        <f t="array" ref="S119">IF(R119&gt;5,"Perlu Sensus",IF(AND(R119&gt;=0,O119&gt;0),"Tetap Deteksi","Belum Deteksi"))</f>
        <v>Tetap Deteksi</v>
      </c>
      <c r="T119" s="143">
        <v>3.3371790187656964</v>
      </c>
      <c r="U119" s="9">
        <f t="shared" si="18"/>
        <v>0.69645258995356696</v>
      </c>
      <c r="V119" s="11">
        <v>46244</v>
      </c>
      <c r="W119" s="143">
        <v>403.21632895638157</v>
      </c>
      <c r="X119" s="143">
        <v>6.18</v>
      </c>
      <c r="Y119" s="9">
        <f t="shared" si="14"/>
        <v>1.5326760243056845</v>
      </c>
      <c r="Z119" s="8" t="str">
        <f t="array" ref="Z119">IF(Y119&gt;5,"Perlu Sensus",IF(AND(Y119&gt;=0,W119&gt;0),"Tetap Deteksi","Belum Deteksi"))</f>
        <v>Tetap Deteksi</v>
      </c>
      <c r="AA119" s="143">
        <v>3.12</v>
      </c>
      <c r="AB119" s="9">
        <f t="shared" si="19"/>
        <v>0.77377818702811263</v>
      </c>
      <c r="AC119" s="11"/>
      <c r="AD119" s="143"/>
      <c r="AE119" s="9">
        <f t="array" ref="AE119">IFERROR(AD119/$G119*100,0)</f>
        <v>0</v>
      </c>
      <c r="AF119" s="143"/>
      <c r="AG119" s="9">
        <f t="shared" si="15"/>
        <v>0</v>
      </c>
      <c r="AH119" s="8" t="str">
        <f t="array" ref="AH119">IF(AG119&gt;5,"Perlu Sensus",IF(AND(AG119&gt;=0,AD119&gt;0),"Tetap Deteksi","Belum Deteksi"))</f>
        <v>Belum Deteksi</v>
      </c>
      <c r="AI119" s="143"/>
      <c r="AJ119" s="9">
        <f t="shared" si="20"/>
        <v>0</v>
      </c>
      <c r="AK119" s="11"/>
      <c r="AL119" s="143"/>
      <c r="AM119" s="143"/>
      <c r="AN119" s="9">
        <f t="shared" si="16"/>
        <v>0</v>
      </c>
      <c r="AO119" s="8" t="str">
        <f t="array" ref="AO119">IF(AN119&gt;5,"Perlu Sensus",IF(AND(AN119&gt;=0,AL119&gt;0),"Tetap Deteksi","Belum Deteksi"))</f>
        <v>Belum Deteksi</v>
      </c>
      <c r="AP119" s="143"/>
      <c r="AQ119" s="9">
        <f t="shared" si="21"/>
        <v>0</v>
      </c>
    </row>
    <row r="120" spans="1:43" outlineLevel="1" x14ac:dyDescent="0.15">
      <c r="A120" s="8" t="s">
        <v>949</v>
      </c>
      <c r="B120" s="8"/>
      <c r="C120" s="8" t="s">
        <v>173</v>
      </c>
      <c r="D120" s="186" t="s">
        <v>1011</v>
      </c>
      <c r="E120" s="9">
        <v>43.509999999999991</v>
      </c>
      <c r="F120" s="8" t="s">
        <v>469</v>
      </c>
      <c r="G120" s="10">
        <v>4395</v>
      </c>
      <c r="H120" s="11">
        <f t="array" ref="H120">IF(OR(N120&gt;0,AC120&gt;0),MAX(N120,AC120),MAX(AK120,V120))</f>
        <v>46235</v>
      </c>
      <c r="I120" s="143">
        <f t="array" ref="I120">IF(SUM(O120,AD120)&gt;0,SUM(O120,AD120),SUM(AL120,W120))</f>
        <v>584.09945550000009</v>
      </c>
      <c r="J120" s="9">
        <f t="shared" si="11"/>
        <v>13.290090000000001</v>
      </c>
      <c r="K120" s="143">
        <f t="shared" si="17"/>
        <v>22.045577312975038</v>
      </c>
      <c r="L120" s="9">
        <f t="shared" si="12"/>
        <v>3.7742848594343599</v>
      </c>
      <c r="M120" s="8" t="str">
        <f t="array" ref="M120">IF(L120&gt;5,"Perlu Sensus",IF(AND(L120&gt;=0,I120&gt;0),"Tetap Deteksi","Belum Deteksi"))</f>
        <v>Tetap Deteksi</v>
      </c>
      <c r="N120" s="11">
        <v>46235</v>
      </c>
      <c r="O120" s="143">
        <v>584.09945550000009</v>
      </c>
      <c r="P120" s="9">
        <f t="array" ref="P120">IFERROR(O120/$G120*100,0)</f>
        <v>13.290090000000001</v>
      </c>
      <c r="Q120" s="143">
        <v>22.045577312975038</v>
      </c>
      <c r="R120" s="9">
        <f t="shared" si="13"/>
        <v>3.7742848594343599</v>
      </c>
      <c r="S120" s="8" t="str">
        <f t="array" ref="S120">IF(R120&gt;5,"Perlu Sensus",IF(AND(R120&gt;=0,O120&gt;0),"Tetap Deteksi","Belum Deteksi"))</f>
        <v>Tetap Deteksi</v>
      </c>
      <c r="T120" s="143">
        <v>14.316342891345029</v>
      </c>
      <c r="U120" s="9">
        <f t="shared" si="18"/>
        <v>2.4510111688239755</v>
      </c>
      <c r="V120" s="11">
        <v>46235</v>
      </c>
      <c r="W120" s="143">
        <v>250.68825600000002</v>
      </c>
      <c r="X120" s="143">
        <v>7.0993490476406782</v>
      </c>
      <c r="Y120" s="9">
        <f t="shared" si="14"/>
        <v>2.831943211428571</v>
      </c>
      <c r="Z120" s="8" t="str">
        <f t="array" ref="Z120">IF(Y120&gt;5,"Perlu Sensus",IF(AND(Y120&gt;=0,W120&gt;0),"Tetap Deteksi","Belum Deteksi"))</f>
        <v>Tetap Deteksi</v>
      </c>
      <c r="AA120" s="143">
        <v>4.6450420487242772</v>
      </c>
      <c r="AB120" s="9">
        <f t="shared" si="19"/>
        <v>1.8529156981028569</v>
      </c>
      <c r="AC120" s="11"/>
      <c r="AD120" s="143"/>
      <c r="AE120" s="9">
        <f t="array" ref="AE120">IFERROR(AD120/$G120*100,0)</f>
        <v>0</v>
      </c>
      <c r="AF120" s="143"/>
      <c r="AG120" s="9">
        <f t="shared" si="15"/>
        <v>0</v>
      </c>
      <c r="AH120" s="8" t="str">
        <f t="array" ref="AH120">IF(AG120&gt;5,"Perlu Sensus",IF(AND(AG120&gt;=0,AD120&gt;0),"Tetap Deteksi","Belum Deteksi"))</f>
        <v>Belum Deteksi</v>
      </c>
      <c r="AI120" s="143"/>
      <c r="AJ120" s="9">
        <f t="shared" si="20"/>
        <v>0</v>
      </c>
      <c r="AK120" s="11"/>
      <c r="AL120" s="143"/>
      <c r="AM120" s="143"/>
      <c r="AN120" s="9">
        <f t="shared" si="16"/>
        <v>0</v>
      </c>
      <c r="AO120" s="8" t="str">
        <f t="array" ref="AO120">IF(AN120&gt;5,"Perlu Sensus",IF(AND(AN120&gt;=0,AL120&gt;0),"Tetap Deteksi","Belum Deteksi"))</f>
        <v>Belum Deteksi</v>
      </c>
      <c r="AP120" s="143"/>
      <c r="AQ120" s="9">
        <f t="shared" si="21"/>
        <v>0</v>
      </c>
    </row>
    <row r="121" spans="1:43" outlineLevel="1" x14ac:dyDescent="0.15">
      <c r="A121" s="8" t="s">
        <v>949</v>
      </c>
      <c r="B121" s="8"/>
      <c r="C121" s="8" t="s">
        <v>173</v>
      </c>
      <c r="D121" s="186" t="s">
        <v>1004</v>
      </c>
      <c r="E121" s="9">
        <v>43.050000000000004</v>
      </c>
      <c r="F121" s="8" t="s">
        <v>469</v>
      </c>
      <c r="G121" s="10">
        <v>5629.0000000000009</v>
      </c>
      <c r="H121" s="11">
        <f t="array" ref="H121">IF(OR(N121&gt;0,AC121&gt;0),MAX(N121,AC121),MAX(AK121,V121))</f>
        <v>46236</v>
      </c>
      <c r="I121" s="143">
        <f t="array" ref="I121">IF(SUM(O121,AD121)&gt;0,SUM(O121,AD121),SUM(AL121,W121))</f>
        <v>816.1081812000001</v>
      </c>
      <c r="J121" s="9">
        <f t="shared" si="11"/>
        <v>14.498279999999999</v>
      </c>
      <c r="K121" s="143">
        <f t="shared" si="17"/>
        <v>21.332275353170505</v>
      </c>
      <c r="L121" s="9">
        <f t="shared" si="12"/>
        <v>2.6139028923596461</v>
      </c>
      <c r="M121" s="8" t="str">
        <f t="array" ref="M121">IF(L121&gt;5,"Perlu Sensus",IF(AND(L121&gt;=0,I121&gt;0),"Tetap Deteksi","Belum Deteksi"))</f>
        <v>Tetap Deteksi</v>
      </c>
      <c r="N121" s="11">
        <v>46236</v>
      </c>
      <c r="O121" s="143">
        <v>816.1081812000001</v>
      </c>
      <c r="P121" s="9">
        <f t="array" ref="P121">IFERROR(O121/$G121*100,0)</f>
        <v>14.498279999999999</v>
      </c>
      <c r="Q121" s="143">
        <v>21.332275353170505</v>
      </c>
      <c r="R121" s="9">
        <f t="shared" si="13"/>
        <v>2.6139028923596461</v>
      </c>
      <c r="S121" s="8" t="str">
        <f t="array" ref="S121">IF(R121&gt;5,"Perlu Sensus",IF(AND(R121&gt;=0,O121&gt;0),"Tetap Deteksi","Belum Deteksi"))</f>
        <v>Tetap Deteksi</v>
      </c>
      <c r="T121" s="143">
        <v>13.853126378724157</v>
      </c>
      <c r="U121" s="9">
        <f t="shared" si="18"/>
        <v>1.6974620151895319</v>
      </c>
      <c r="V121" s="11">
        <v>46236</v>
      </c>
      <c r="W121" s="143">
        <v>255.70202112000004</v>
      </c>
      <c r="X121" s="143">
        <v>6.1202768424442455</v>
      </c>
      <c r="Y121" s="9">
        <f t="shared" si="14"/>
        <v>2.3935191499999999</v>
      </c>
      <c r="Z121" s="8" t="str">
        <f t="array" ref="Z121">IF(Y121&gt;5,"Perlu Sensus",IF(AND(Y121&gt;=0,W121&gt;0),"Tetap Deteksi","Belum Deteksi"))</f>
        <v>Tetap Deteksi</v>
      </c>
      <c r="AA121" s="143">
        <v>1.04</v>
      </c>
      <c r="AB121" s="9">
        <f t="shared" si="19"/>
        <v>0.40672341792399513</v>
      </c>
      <c r="AC121" s="11"/>
      <c r="AD121" s="143"/>
      <c r="AE121" s="9">
        <f t="array" ref="AE121">IFERROR(AD121/$G121*100,0)</f>
        <v>0</v>
      </c>
      <c r="AF121" s="143"/>
      <c r="AG121" s="9">
        <f t="shared" si="15"/>
        <v>0</v>
      </c>
      <c r="AH121" s="8" t="str">
        <f t="array" ref="AH121">IF(AG121&gt;5,"Perlu Sensus",IF(AND(AG121&gt;=0,AD121&gt;0),"Tetap Deteksi","Belum Deteksi"))</f>
        <v>Belum Deteksi</v>
      </c>
      <c r="AI121" s="143"/>
      <c r="AJ121" s="9">
        <f t="shared" si="20"/>
        <v>0</v>
      </c>
      <c r="AK121" s="11"/>
      <c r="AL121" s="143"/>
      <c r="AM121" s="143"/>
      <c r="AN121" s="9">
        <f t="shared" si="16"/>
        <v>0</v>
      </c>
      <c r="AO121" s="8" t="str">
        <f t="array" ref="AO121">IF(AN121&gt;5,"Perlu Sensus",IF(AND(AN121&gt;=0,AL121&gt;0),"Tetap Deteksi","Belum Deteksi"))</f>
        <v>Belum Deteksi</v>
      </c>
      <c r="AP121" s="143"/>
      <c r="AQ121" s="9">
        <f t="shared" si="21"/>
        <v>0</v>
      </c>
    </row>
    <row r="122" spans="1:43" outlineLevel="1" x14ac:dyDescent="0.15">
      <c r="A122" s="8" t="s">
        <v>949</v>
      </c>
      <c r="B122" s="8"/>
      <c r="C122" s="8" t="s">
        <v>173</v>
      </c>
      <c r="D122" s="186" t="s">
        <v>1005</v>
      </c>
      <c r="E122" s="9">
        <v>39.35</v>
      </c>
      <c r="F122" s="8" t="s">
        <v>469</v>
      </c>
      <c r="G122" s="10">
        <v>4253</v>
      </c>
      <c r="H122" s="11">
        <f t="array" ref="H122">IF(OR(N122&gt;0,AC122&gt;0),MAX(N122,AC122),MAX(AK122,V122))</f>
        <v>46237</v>
      </c>
      <c r="I122" s="143">
        <f t="array" ref="I122">IF(SUM(O122,AD122)&gt;0,SUM(O122,AD122),SUM(AL122,W122))</f>
        <v>462.4588862999999</v>
      </c>
      <c r="J122" s="9">
        <f t="shared" si="11"/>
        <v>10.873709999999997</v>
      </c>
      <c r="K122" s="143">
        <f t="shared" si="17"/>
        <v>8.7884719902991435</v>
      </c>
      <c r="L122" s="9">
        <f t="shared" si="12"/>
        <v>1.9003790932883076</v>
      </c>
      <c r="M122" s="8" t="str">
        <f t="array" ref="M122">IF(L122&gt;5,"Perlu Sensus",IF(AND(L122&gt;=0,I122&gt;0),"Tetap Deteksi","Belum Deteksi"))</f>
        <v>Tetap Deteksi</v>
      </c>
      <c r="N122" s="11">
        <v>46237</v>
      </c>
      <c r="O122" s="143">
        <v>462.4588862999999</v>
      </c>
      <c r="P122" s="9">
        <f t="array" ref="P122">IFERROR(O122/$G122*100,0)</f>
        <v>10.873709999999997</v>
      </c>
      <c r="Q122" s="143">
        <v>8.7884719902991435</v>
      </c>
      <c r="R122" s="9">
        <f t="shared" si="13"/>
        <v>1.9003790932883076</v>
      </c>
      <c r="S122" s="8" t="str">
        <f t="array" ref="S122">IF(R122&gt;5,"Perlu Sensus",IF(AND(R122&gt;=0,O122&gt;0),"Tetap Deteksi","Belum Deteksi"))</f>
        <v>Tetap Deteksi</v>
      </c>
      <c r="T122" s="143">
        <v>5.7072117784846004</v>
      </c>
      <c r="U122" s="9">
        <f t="shared" si="18"/>
        <v>1.234101440702406</v>
      </c>
      <c r="V122" s="11">
        <v>46237</v>
      </c>
      <c r="W122" s="143">
        <v>260.81606154240006</v>
      </c>
      <c r="X122" s="143">
        <v>4.7743728018631542</v>
      </c>
      <c r="Y122" s="9">
        <f t="shared" si="14"/>
        <v>1.8305516821428571</v>
      </c>
      <c r="Z122" s="8" t="str">
        <f t="array" ref="Z122">IF(Y122&gt;5,"Perlu Sensus",IF(AND(Y122&gt;=0,W122&gt;0),"Tetap Deteksi","Belum Deteksi"))</f>
        <v>Tetap Deteksi</v>
      </c>
      <c r="AA122" s="143">
        <v>3.1238304064384628</v>
      </c>
      <c r="AB122" s="9">
        <f t="shared" si="19"/>
        <v>1.1977139705142856</v>
      </c>
      <c r="AC122" s="11"/>
      <c r="AD122" s="143"/>
      <c r="AE122" s="9">
        <f t="array" ref="AE122">IFERROR(AD122/$G122*100,0)</f>
        <v>0</v>
      </c>
      <c r="AF122" s="143"/>
      <c r="AG122" s="9">
        <f t="shared" si="15"/>
        <v>0</v>
      </c>
      <c r="AH122" s="8" t="str">
        <f t="array" ref="AH122">IF(AG122&gt;5,"Perlu Sensus",IF(AND(AG122&gt;=0,AD122&gt;0),"Tetap Deteksi","Belum Deteksi"))</f>
        <v>Belum Deteksi</v>
      </c>
      <c r="AI122" s="143"/>
      <c r="AJ122" s="9">
        <f t="shared" si="20"/>
        <v>0</v>
      </c>
      <c r="AK122" s="11"/>
      <c r="AL122" s="143"/>
      <c r="AM122" s="143"/>
      <c r="AN122" s="9">
        <f t="shared" si="16"/>
        <v>0</v>
      </c>
      <c r="AO122" s="8" t="str">
        <f t="array" ref="AO122">IF(AN122&gt;5,"Perlu Sensus",IF(AND(AN122&gt;=0,AL122&gt;0),"Tetap Deteksi","Belum Deteksi"))</f>
        <v>Belum Deteksi</v>
      </c>
      <c r="AP122" s="143"/>
      <c r="AQ122" s="9">
        <f t="shared" si="21"/>
        <v>0</v>
      </c>
    </row>
    <row r="123" spans="1:43" outlineLevel="1" x14ac:dyDescent="0.15">
      <c r="A123" s="8" t="s">
        <v>949</v>
      </c>
      <c r="B123" s="8"/>
      <c r="C123" s="8" t="s">
        <v>173</v>
      </c>
      <c r="D123" s="186" t="s">
        <v>1784</v>
      </c>
      <c r="E123" s="9">
        <v>36.700000000000003</v>
      </c>
      <c r="F123" s="8" t="s">
        <v>469</v>
      </c>
      <c r="G123" s="10">
        <v>505</v>
      </c>
      <c r="H123" s="11">
        <f t="array" ref="H123">IF(OR(N123&gt;0,AC123&gt;0),MAX(N123,AC123),MAX(AK123,V123))</f>
        <v>46238</v>
      </c>
      <c r="I123" s="143">
        <f t="array" ref="I123">IF(SUM(O123,AD123)&gt;0,SUM(O123,AD123),SUM(AL123,W123))</f>
        <v>48.810876</v>
      </c>
      <c r="J123" s="9">
        <f t="shared" si="11"/>
        <v>9.665519999999999</v>
      </c>
      <c r="K123" s="143">
        <f t="shared" si="17"/>
        <v>0.54158639914368012</v>
      </c>
      <c r="L123" s="9">
        <f t="shared" si="12"/>
        <v>1.109560908400169</v>
      </c>
      <c r="M123" s="8" t="str">
        <f t="array" ref="M123">IF(L123&gt;5,"Perlu Sensus",IF(AND(L123&gt;=0,I123&gt;0),"Tetap Deteksi","Belum Deteksi"))</f>
        <v>Tetap Deteksi</v>
      </c>
      <c r="N123" s="11">
        <v>46238</v>
      </c>
      <c r="O123" s="143">
        <v>48.810876</v>
      </c>
      <c r="P123" s="9">
        <f t="array" ref="P123">IFERROR(O123/$G123*100,0)</f>
        <v>9.665519999999999</v>
      </c>
      <c r="Q123" s="143">
        <v>0.54158639914368012</v>
      </c>
      <c r="R123" s="9">
        <f t="shared" si="13"/>
        <v>1.109560908400169</v>
      </c>
      <c r="S123" s="8" t="str">
        <f t="array" ref="S123">IF(R123&gt;5,"Perlu Sensus",IF(AND(R123&gt;=0,O123&gt;0),"Tetap Deteksi","Belum Deteksi"))</f>
        <v>Tetap Deteksi</v>
      </c>
      <c r="T123" s="143">
        <v>0.35170485605139457</v>
      </c>
      <c r="U123" s="9">
        <f t="shared" si="18"/>
        <v>0.72054608495736605</v>
      </c>
      <c r="V123" s="11">
        <v>46238</v>
      </c>
      <c r="W123" s="143">
        <v>266.03238277324806</v>
      </c>
      <c r="X123" s="143">
        <v>2.0678770081846705</v>
      </c>
      <c r="Y123" s="9">
        <f t="shared" si="14"/>
        <v>0.77730274285714296</v>
      </c>
      <c r="Z123" s="8" t="str">
        <f t="array" ref="Z123">IF(Y123&gt;5,"Perlu Sensus",IF(AND(Y123&gt;=0,W123&gt;0),"Tetap Deteksi","Belum Deteksi"))</f>
        <v>Tetap Deteksi</v>
      </c>
      <c r="AA123" s="143">
        <v>1.04</v>
      </c>
      <c r="AB123" s="9">
        <f t="shared" si="19"/>
        <v>0.39092985190695412</v>
      </c>
      <c r="AC123" s="11"/>
      <c r="AD123" s="143"/>
      <c r="AE123" s="9">
        <f t="array" ref="AE123">IFERROR(AD123/$G123*100,0)</f>
        <v>0</v>
      </c>
      <c r="AF123" s="143"/>
      <c r="AG123" s="9">
        <f t="shared" si="15"/>
        <v>0</v>
      </c>
      <c r="AH123" s="8" t="str">
        <f t="array" ref="AH123">IF(AG123&gt;5,"Perlu Sensus",IF(AND(AG123&gt;=0,AD123&gt;0),"Tetap Deteksi","Belum Deteksi"))</f>
        <v>Belum Deteksi</v>
      </c>
      <c r="AI123" s="143"/>
      <c r="AJ123" s="9">
        <f t="shared" si="20"/>
        <v>0</v>
      </c>
      <c r="AK123" s="11"/>
      <c r="AL123" s="143"/>
      <c r="AM123" s="143"/>
      <c r="AN123" s="9">
        <f t="shared" si="16"/>
        <v>0</v>
      </c>
      <c r="AO123" s="8" t="str">
        <f t="array" ref="AO123">IF(AN123&gt;5,"Perlu Sensus",IF(AND(AN123&gt;=0,AL123&gt;0),"Tetap Deteksi","Belum Deteksi"))</f>
        <v>Belum Deteksi</v>
      </c>
      <c r="AP123" s="143"/>
      <c r="AQ123" s="9">
        <f t="shared" si="21"/>
        <v>0</v>
      </c>
    </row>
    <row r="124" spans="1:43" outlineLevel="1" x14ac:dyDescent="0.15">
      <c r="A124" s="8" t="s">
        <v>949</v>
      </c>
      <c r="B124" s="8"/>
      <c r="C124" s="8" t="s">
        <v>173</v>
      </c>
      <c r="D124" s="186" t="s">
        <v>1785</v>
      </c>
      <c r="E124" s="9">
        <v>33.389999999999993</v>
      </c>
      <c r="F124" s="8" t="s">
        <v>469</v>
      </c>
      <c r="G124" s="10">
        <v>3136</v>
      </c>
      <c r="H124" s="11">
        <f t="array" ref="H124">IF(OR(N124&gt;0,AC124&gt;0),MAX(N124,AC124),MAX(AK124,V124))</f>
        <v>46239</v>
      </c>
      <c r="I124" s="143">
        <f t="array" ref="I124">IF(SUM(O124,AD124)&gt;0,SUM(O124,AD124),SUM(AL124,W124))</f>
        <v>378.88838399999997</v>
      </c>
      <c r="J124" s="9">
        <f t="shared" si="11"/>
        <v>12.081899999999999</v>
      </c>
      <c r="K124" s="143">
        <f t="shared" si="17"/>
        <v>10.098000000000001</v>
      </c>
      <c r="L124" s="9">
        <f t="shared" si="12"/>
        <v>2.6651648417915079</v>
      </c>
      <c r="M124" s="8" t="str">
        <f t="array" ref="M124">IF(L124&gt;5,"Perlu Sensus",IF(AND(L124&gt;=0,I124&gt;0),"Tetap Deteksi","Belum Deteksi"))</f>
        <v>Tetap Deteksi</v>
      </c>
      <c r="N124" s="11">
        <v>46239</v>
      </c>
      <c r="O124" s="143">
        <v>378.88838399999997</v>
      </c>
      <c r="P124" s="9">
        <f t="array" ref="P124">IFERROR(O124/$G124*100,0)</f>
        <v>12.081899999999999</v>
      </c>
      <c r="Q124" s="143">
        <v>10.098000000000001</v>
      </c>
      <c r="R124" s="9">
        <f t="shared" si="13"/>
        <v>2.6651648417915079</v>
      </c>
      <c r="S124" s="8" t="str">
        <f t="array" ref="S124">IF(R124&gt;5,"Perlu Sensus",IF(AND(R124&gt;=0,O124&gt;0),"Tetap Deteksi","Belum Deteksi"))</f>
        <v>Tetap Deteksi</v>
      </c>
      <c r="T124" s="143">
        <v>6.5576159999999994</v>
      </c>
      <c r="U124" s="9">
        <f t="shared" si="18"/>
        <v>1.7307513972241493</v>
      </c>
      <c r="V124" s="11">
        <v>46239</v>
      </c>
      <c r="W124" s="143">
        <v>271.353030428713</v>
      </c>
      <c r="X124" s="143">
        <v>3.3990000000000005</v>
      </c>
      <c r="Y124" s="9">
        <f t="shared" si="14"/>
        <v>1.2526117709575202</v>
      </c>
      <c r="Z124" s="8" t="str">
        <f t="array" ref="Z124">IF(Y124&gt;5,"Perlu Sensus",IF(AND(Y124&gt;=0,W124&gt;0),"Tetap Deteksi","Belum Deteksi"))</f>
        <v>Tetap Deteksi</v>
      </c>
      <c r="AA124" s="143">
        <v>2.2239360000000006</v>
      </c>
      <c r="AB124" s="9">
        <f t="shared" si="19"/>
        <v>0.81957293658610886</v>
      </c>
      <c r="AC124" s="11"/>
      <c r="AD124" s="143"/>
      <c r="AE124" s="9">
        <f t="array" ref="AE124">IFERROR(AD124/$G124*100,0)</f>
        <v>0</v>
      </c>
      <c r="AF124" s="143"/>
      <c r="AG124" s="9">
        <f t="shared" si="15"/>
        <v>0</v>
      </c>
      <c r="AH124" s="8" t="str">
        <f t="array" ref="AH124">IF(AG124&gt;5,"Perlu Sensus",IF(AND(AG124&gt;=0,AD124&gt;0),"Tetap Deteksi","Belum Deteksi"))</f>
        <v>Belum Deteksi</v>
      </c>
      <c r="AI124" s="143"/>
      <c r="AJ124" s="9">
        <f t="shared" si="20"/>
        <v>0</v>
      </c>
      <c r="AK124" s="11"/>
      <c r="AL124" s="143"/>
      <c r="AM124" s="143"/>
      <c r="AN124" s="9">
        <f t="shared" si="16"/>
        <v>0</v>
      </c>
      <c r="AO124" s="8" t="str">
        <f t="array" ref="AO124">IF(AN124&gt;5,"Perlu Sensus",IF(AND(AN124&gt;=0,AL124&gt;0),"Tetap Deteksi","Belum Deteksi"))</f>
        <v>Belum Deteksi</v>
      </c>
      <c r="AP124" s="143"/>
      <c r="AQ124" s="9">
        <f t="shared" si="21"/>
        <v>0</v>
      </c>
    </row>
    <row r="125" spans="1:43" outlineLevel="1" x14ac:dyDescent="0.15">
      <c r="A125" s="8" t="s">
        <v>949</v>
      </c>
      <c r="B125" s="8"/>
      <c r="C125" s="8" t="s">
        <v>173</v>
      </c>
      <c r="D125" s="186" t="s">
        <v>1423</v>
      </c>
      <c r="E125" s="9">
        <v>29.35</v>
      </c>
      <c r="F125" s="8" t="s">
        <v>469</v>
      </c>
      <c r="G125" s="10">
        <v>3003</v>
      </c>
      <c r="H125" s="11">
        <f t="array" ref="H125">IF(OR(N125&gt;0,AC125&gt;0),MAX(N125,AC125),MAX(AK125,V125))</f>
        <v>46240</v>
      </c>
      <c r="I125" s="143">
        <f t="array" ref="I125">IF(SUM(O125,AD125)&gt;0,SUM(O125,AD125),SUM(AL125,W125))</f>
        <v>326.53751129999995</v>
      </c>
      <c r="J125" s="9">
        <f t="shared" si="11"/>
        <v>10.873709999999999</v>
      </c>
      <c r="K125" s="143">
        <f t="shared" si="17"/>
        <v>12.342000000000002</v>
      </c>
      <c r="L125" s="9">
        <f t="shared" si="12"/>
        <v>3.7796576420468373</v>
      </c>
      <c r="M125" s="8" t="str">
        <f t="array" ref="M125">IF(L125&gt;5,"Perlu Sensus",IF(AND(L125&gt;=0,I125&gt;0),"Tetap Deteksi","Belum Deteksi"))</f>
        <v>Tetap Deteksi</v>
      </c>
      <c r="N125" s="11">
        <v>46240</v>
      </c>
      <c r="O125" s="143">
        <v>326.53751129999995</v>
      </c>
      <c r="P125" s="9">
        <f t="array" ref="P125">IFERROR(O125/$G125*100,0)</f>
        <v>10.873709999999999</v>
      </c>
      <c r="Q125" s="143">
        <v>12.342000000000002</v>
      </c>
      <c r="R125" s="9">
        <f t="shared" si="13"/>
        <v>3.7796576420468373</v>
      </c>
      <c r="S125" s="8" t="str">
        <f t="array" ref="S125">IF(R125&gt;5,"Perlu Sensus",IF(AND(R125&gt;=0,O125&gt;0),"Tetap Deteksi","Belum Deteksi"))</f>
        <v>Tetap Deteksi</v>
      </c>
      <c r="T125" s="143">
        <v>8.0148639999999993</v>
      </c>
      <c r="U125" s="9">
        <f t="shared" si="18"/>
        <v>2.4545002404445042</v>
      </c>
      <c r="V125" s="11">
        <v>46240</v>
      </c>
      <c r="W125" s="143">
        <v>276.78009103728726</v>
      </c>
      <c r="X125" s="143">
        <v>7.9310000000000009</v>
      </c>
      <c r="Y125" s="9">
        <f t="shared" si="14"/>
        <v>2.8654517636283141</v>
      </c>
      <c r="Z125" s="8" t="str">
        <f t="array" ref="Z125">IF(Y125&gt;5,"Perlu Sensus",IF(AND(Y125&gt;=0,W125&gt;0),"Tetap Deteksi","Belum Deteksi"))</f>
        <v>Tetap Deteksi</v>
      </c>
      <c r="AA125" s="143">
        <v>5.189184</v>
      </c>
      <c r="AB125" s="9">
        <f t="shared" si="19"/>
        <v>1.8748400510139738</v>
      </c>
      <c r="AC125" s="11"/>
      <c r="AD125" s="143"/>
      <c r="AE125" s="9">
        <f t="array" ref="AE125">IFERROR(AD125/$G125*100,0)</f>
        <v>0</v>
      </c>
      <c r="AF125" s="143"/>
      <c r="AG125" s="9">
        <f t="shared" si="15"/>
        <v>0</v>
      </c>
      <c r="AH125" s="8" t="str">
        <f t="array" ref="AH125">IF(AG125&gt;5,"Perlu Sensus",IF(AND(AG125&gt;=0,AD125&gt;0),"Tetap Deteksi","Belum Deteksi"))</f>
        <v>Belum Deteksi</v>
      </c>
      <c r="AI125" s="143"/>
      <c r="AJ125" s="9">
        <f t="shared" si="20"/>
        <v>0</v>
      </c>
      <c r="AK125" s="11"/>
      <c r="AL125" s="143"/>
      <c r="AM125" s="143"/>
      <c r="AN125" s="9">
        <f t="shared" si="16"/>
        <v>0</v>
      </c>
      <c r="AO125" s="8" t="str">
        <f t="array" ref="AO125">IF(AN125&gt;5,"Perlu Sensus",IF(AND(AN125&gt;=0,AL125&gt;0),"Tetap Deteksi","Belum Deteksi"))</f>
        <v>Belum Deteksi</v>
      </c>
      <c r="AP125" s="143"/>
      <c r="AQ125" s="9">
        <f t="shared" si="21"/>
        <v>0</v>
      </c>
    </row>
    <row r="126" spans="1:43" outlineLevel="1" x14ac:dyDescent="0.15">
      <c r="A126" s="8" t="s">
        <v>949</v>
      </c>
      <c r="B126" s="8"/>
      <c r="C126" s="8" t="s">
        <v>173</v>
      </c>
      <c r="D126" s="186" t="s">
        <v>1431</v>
      </c>
      <c r="E126" s="9">
        <v>33.56</v>
      </c>
      <c r="F126" s="8" t="s">
        <v>469</v>
      </c>
      <c r="G126" s="10">
        <v>462</v>
      </c>
      <c r="H126" s="11">
        <f t="array" ref="H126">IF(OR(N126&gt;0,AC126&gt;0),MAX(N126,AC126),MAX(AK126,V126))</f>
        <v>46241</v>
      </c>
      <c r="I126" s="143">
        <f t="array" ref="I126">IF(SUM(O126,AD126)&gt;0,SUM(O126,AD126),SUM(AL126,W126))</f>
        <v>44.654702400000005</v>
      </c>
      <c r="J126" s="9">
        <f t="shared" si="11"/>
        <v>9.6655200000000008</v>
      </c>
      <c r="K126" s="143">
        <f t="shared" si="17"/>
        <v>2.04</v>
      </c>
      <c r="L126" s="9">
        <f t="shared" si="12"/>
        <v>4.5683878524739647</v>
      </c>
      <c r="M126" s="8" t="str">
        <f t="array" ref="M126">IF(L126&gt;5,"Perlu Sensus",IF(AND(L126&gt;=0,I126&gt;0),"Tetap Deteksi","Belum Deteksi"))</f>
        <v>Tetap Deteksi</v>
      </c>
      <c r="N126" s="11">
        <v>46241</v>
      </c>
      <c r="O126" s="143">
        <v>44.654702400000005</v>
      </c>
      <c r="P126" s="9">
        <f t="array" ref="P126">IFERROR(O126/$G126*100,0)</f>
        <v>9.6655200000000008</v>
      </c>
      <c r="Q126" s="143">
        <v>2.04</v>
      </c>
      <c r="R126" s="9">
        <f t="shared" si="13"/>
        <v>4.5683878524739647</v>
      </c>
      <c r="S126" s="8" t="str">
        <f t="array" ref="S126">IF(R126&gt;5,"Perlu Sensus",IF(AND(R126&gt;=0,O126&gt;0),"Tetap Deteksi","Belum Deteksi"))</f>
        <v>Tetap Deteksi</v>
      </c>
      <c r="T126" s="143">
        <v>0.63040303662336006</v>
      </c>
      <c r="U126" s="9">
        <f t="shared" si="18"/>
        <v>1.4117282228788517</v>
      </c>
      <c r="V126" s="11">
        <v>46241</v>
      </c>
      <c r="W126" s="143">
        <v>282.315692858033</v>
      </c>
      <c r="X126" s="143">
        <v>5.911766228722084</v>
      </c>
      <c r="Y126" s="9">
        <f t="shared" si="14"/>
        <v>2.094026785714286</v>
      </c>
      <c r="Z126" s="8" t="str">
        <f t="array" ref="Z126">IF(Y126&gt;5,"Perlu Sensus",IF(AND(Y126&gt;=0,W126&gt;0),"Tetap Deteksi","Belum Deteksi"))</f>
        <v>Tetap Deteksi</v>
      </c>
      <c r="AA126" s="143">
        <v>4.16</v>
      </c>
      <c r="AB126" s="9">
        <f t="shared" si="19"/>
        <v>1.4735277227723658</v>
      </c>
      <c r="AC126" s="11"/>
      <c r="AD126" s="143"/>
      <c r="AE126" s="9">
        <f t="array" ref="AE126">IFERROR(AD126/$G126*100,0)</f>
        <v>0</v>
      </c>
      <c r="AF126" s="143"/>
      <c r="AG126" s="9">
        <f t="shared" si="15"/>
        <v>0</v>
      </c>
      <c r="AH126" s="8" t="str">
        <f t="array" ref="AH126">IF(AG126&gt;5,"Perlu Sensus",IF(AND(AG126&gt;=0,AD126&gt;0),"Tetap Deteksi","Belum Deteksi"))</f>
        <v>Belum Deteksi</v>
      </c>
      <c r="AI126" s="143"/>
      <c r="AJ126" s="9">
        <f t="shared" si="20"/>
        <v>0</v>
      </c>
      <c r="AK126" s="11"/>
      <c r="AL126" s="143"/>
      <c r="AM126" s="143"/>
      <c r="AN126" s="9">
        <f t="shared" si="16"/>
        <v>0</v>
      </c>
      <c r="AO126" s="8" t="str">
        <f t="array" ref="AO126">IF(AN126&gt;5,"Perlu Sensus",IF(AND(AN126&gt;=0,AL126&gt;0),"Tetap Deteksi","Belum Deteksi"))</f>
        <v>Belum Deteksi</v>
      </c>
      <c r="AP126" s="143"/>
      <c r="AQ126" s="9">
        <f t="shared" si="21"/>
        <v>0</v>
      </c>
    </row>
    <row r="127" spans="1:43" outlineLevel="1" x14ac:dyDescent="0.15">
      <c r="A127" s="8" t="s">
        <v>949</v>
      </c>
      <c r="B127" s="8"/>
      <c r="C127" s="8" t="s">
        <v>173</v>
      </c>
      <c r="D127" s="186" t="s">
        <v>1432</v>
      </c>
      <c r="E127" s="9">
        <v>41.22</v>
      </c>
      <c r="F127" s="8" t="s">
        <v>469</v>
      </c>
      <c r="G127" s="10">
        <v>1751.0000000000002</v>
      </c>
      <c r="H127" s="11">
        <f t="array" ref="H127">IF(OR(N127&gt;0,AC127&gt;0),MAX(N127,AC127),MAX(AK127,V127))</f>
        <v>46242</v>
      </c>
      <c r="I127" s="143">
        <f t="array" ref="I127">IF(SUM(O127,AD127)&gt;0,SUM(O127,AD127),SUM(AL127,W127))</f>
        <v>232.70947590000006</v>
      </c>
      <c r="J127" s="9">
        <f t="shared" si="11"/>
        <v>13.290090000000001</v>
      </c>
      <c r="K127" s="143">
        <f t="shared" si="17"/>
        <v>7.1400000000000006</v>
      </c>
      <c r="L127" s="9">
        <f t="shared" si="12"/>
        <v>3.068203377789481</v>
      </c>
      <c r="M127" s="8" t="str">
        <f t="array" ref="M127">IF(L127&gt;5,"Perlu Sensus",IF(AND(L127&gt;=0,I127&gt;0),"Tetap Deteksi","Belum Deteksi"))</f>
        <v>Tetap Deteksi</v>
      </c>
      <c r="N127" s="11">
        <v>46242</v>
      </c>
      <c r="O127" s="143">
        <v>232.70947590000006</v>
      </c>
      <c r="P127" s="9">
        <f t="array" ref="P127">IFERROR(O127/$G127*100,0)</f>
        <v>13.290090000000001</v>
      </c>
      <c r="Q127" s="143">
        <v>7.1400000000000006</v>
      </c>
      <c r="R127" s="9">
        <f t="shared" si="13"/>
        <v>3.068203377789481</v>
      </c>
      <c r="S127" s="8" t="str">
        <f t="array" ref="S127">IF(R127&gt;5,"Perlu Sensus",IF(AND(R127&gt;=0,O127&gt;0),"Tetap Deteksi","Belum Deteksi"))</f>
        <v>Tetap Deteksi</v>
      </c>
      <c r="T127" s="143">
        <v>4.1028814353548739</v>
      </c>
      <c r="U127" s="9">
        <f t="shared" si="18"/>
        <v>1.7630916916842547</v>
      </c>
      <c r="V127" s="11">
        <v>46242</v>
      </c>
      <c r="W127" s="143">
        <v>287.9620067151937</v>
      </c>
      <c r="X127" s="143">
        <v>6.18</v>
      </c>
      <c r="Y127" s="9">
        <f t="shared" si="14"/>
        <v>2.1461164514359963</v>
      </c>
      <c r="Z127" s="8" t="str">
        <f t="array" ref="Z127">IF(Y127&gt;5,"Perlu Sensus",IF(AND(Y127&gt;=0,W127&gt;0),"Tetap Deteksi","Belum Deteksi"))</f>
        <v>Tetap Deteksi</v>
      </c>
      <c r="AA127" s="143">
        <v>7.28</v>
      </c>
      <c r="AB127" s="9">
        <f t="shared" si="19"/>
        <v>2.5281112890702349</v>
      </c>
      <c r="AC127" s="11"/>
      <c r="AD127" s="143"/>
      <c r="AE127" s="9">
        <f t="array" ref="AE127">IFERROR(AD127/$G127*100,0)</f>
        <v>0</v>
      </c>
      <c r="AF127" s="143"/>
      <c r="AG127" s="9">
        <f t="shared" si="15"/>
        <v>0</v>
      </c>
      <c r="AH127" s="8" t="str">
        <f t="array" ref="AH127">IF(AG127&gt;5,"Perlu Sensus",IF(AND(AG127&gt;=0,AD127&gt;0),"Tetap Deteksi","Belum Deteksi"))</f>
        <v>Belum Deteksi</v>
      </c>
      <c r="AI127" s="143"/>
      <c r="AJ127" s="9">
        <f t="shared" si="20"/>
        <v>0</v>
      </c>
      <c r="AK127" s="11"/>
      <c r="AL127" s="143"/>
      <c r="AM127" s="143"/>
      <c r="AN127" s="9">
        <f t="shared" si="16"/>
        <v>0</v>
      </c>
      <c r="AO127" s="8" t="str">
        <f t="array" ref="AO127">IF(AN127&gt;5,"Perlu Sensus",IF(AND(AN127&gt;=0,AL127&gt;0),"Tetap Deteksi","Belum Deteksi"))</f>
        <v>Belum Deteksi</v>
      </c>
      <c r="AP127" s="143"/>
      <c r="AQ127" s="9">
        <f t="shared" si="21"/>
        <v>0</v>
      </c>
    </row>
    <row r="128" spans="1:43" outlineLevel="1" x14ac:dyDescent="0.15">
      <c r="A128" s="8" t="s">
        <v>949</v>
      </c>
      <c r="B128" s="8"/>
      <c r="C128" s="8" t="s">
        <v>173</v>
      </c>
      <c r="D128" s="186" t="s">
        <v>1366</v>
      </c>
      <c r="E128" s="9">
        <v>43.31</v>
      </c>
      <c r="F128" s="8" t="s">
        <v>469</v>
      </c>
      <c r="G128" s="10">
        <v>3231</v>
      </c>
      <c r="H128" s="11">
        <f t="array" ref="H128">IF(OR(N128&gt;0,AC128&gt;0),MAX(N128,AC128),MAX(AK128,V128))</f>
        <v>46243</v>
      </c>
      <c r="I128" s="143">
        <f t="array" ref="I128">IF(SUM(O128,AD128)&gt;0,SUM(O128,AD128),SUM(AL128,W128))</f>
        <v>468.43942679999998</v>
      </c>
      <c r="J128" s="9">
        <f t="shared" si="11"/>
        <v>14.498279999999999</v>
      </c>
      <c r="K128" s="143">
        <f t="shared" si="17"/>
        <v>15.708000000000002</v>
      </c>
      <c r="L128" s="9">
        <f t="shared" si="12"/>
        <v>3.3532617242114688</v>
      </c>
      <c r="M128" s="8" t="str">
        <f t="array" ref="M128">IF(L128&gt;5,"Perlu Sensus",IF(AND(L128&gt;=0,I128&gt;0),"Tetap Deteksi","Belum Deteksi"))</f>
        <v>Tetap Deteksi</v>
      </c>
      <c r="N128" s="11">
        <v>46243</v>
      </c>
      <c r="O128" s="143">
        <v>468.43942679999998</v>
      </c>
      <c r="P128" s="9">
        <f t="array" ref="P128">IFERROR(O128/$G128*100,0)</f>
        <v>14.498279999999999</v>
      </c>
      <c r="Q128" s="143">
        <v>15.708000000000002</v>
      </c>
      <c r="R128" s="9">
        <f t="shared" si="13"/>
        <v>3.3532617242114688</v>
      </c>
      <c r="S128" s="8" t="str">
        <f t="array" ref="S128">IF(R128&gt;5,"Perlu Sensus",IF(AND(R128&gt;=0,O128&gt;0),"Tetap Deteksi","Belum Deteksi"))</f>
        <v>Tetap Deteksi</v>
      </c>
      <c r="T128" s="143">
        <v>10.200735999999999</v>
      </c>
      <c r="U128" s="9">
        <f t="shared" si="18"/>
        <v>2.1775997954918509</v>
      </c>
      <c r="V128" s="11">
        <v>46243</v>
      </c>
      <c r="W128" s="143">
        <v>293.72124684949756</v>
      </c>
      <c r="X128" s="143">
        <v>10.197000000000001</v>
      </c>
      <c r="Y128" s="9">
        <f t="shared" si="14"/>
        <v>3.4716589655582295</v>
      </c>
      <c r="Z128" s="8" t="str">
        <f t="array" ref="Z128">IF(Y128&gt;5,"Perlu Sensus",IF(AND(Y128&gt;=0,W128&gt;0),"Tetap Deteksi","Belum Deteksi"))</f>
        <v>Tetap Deteksi</v>
      </c>
      <c r="AA128" s="143">
        <v>6.6718080000000004</v>
      </c>
      <c r="AB128" s="9">
        <f t="shared" si="19"/>
        <v>2.2714761262805845</v>
      </c>
      <c r="AC128" s="11"/>
      <c r="AD128" s="143"/>
      <c r="AE128" s="9">
        <f t="array" ref="AE128">IFERROR(AD128/$G128*100,0)</f>
        <v>0</v>
      </c>
      <c r="AF128" s="143"/>
      <c r="AG128" s="9">
        <f t="shared" si="15"/>
        <v>0</v>
      </c>
      <c r="AH128" s="8" t="str">
        <f t="array" ref="AH128">IF(AG128&gt;5,"Perlu Sensus",IF(AND(AG128&gt;=0,AD128&gt;0),"Tetap Deteksi","Belum Deteksi"))</f>
        <v>Belum Deteksi</v>
      </c>
      <c r="AI128" s="143"/>
      <c r="AJ128" s="9">
        <f t="shared" si="20"/>
        <v>0</v>
      </c>
      <c r="AK128" s="11"/>
      <c r="AL128" s="143"/>
      <c r="AM128" s="143"/>
      <c r="AN128" s="9">
        <f t="shared" si="16"/>
        <v>0</v>
      </c>
      <c r="AO128" s="8" t="str">
        <f t="array" ref="AO128">IF(AN128&gt;5,"Perlu Sensus",IF(AND(AN128&gt;=0,AL128&gt;0),"Tetap Deteksi","Belum Deteksi"))</f>
        <v>Belum Deteksi</v>
      </c>
      <c r="AP128" s="143"/>
      <c r="AQ128" s="9">
        <f t="shared" si="21"/>
        <v>0</v>
      </c>
    </row>
    <row r="129" spans="1:43" outlineLevel="1" x14ac:dyDescent="0.15">
      <c r="A129" s="8" t="s">
        <v>949</v>
      </c>
      <c r="B129" s="8"/>
      <c r="C129" s="8" t="s">
        <v>173</v>
      </c>
      <c r="D129" s="186" t="s">
        <v>1390</v>
      </c>
      <c r="E129" s="9">
        <v>25.590000000000003</v>
      </c>
      <c r="F129" s="8" t="s">
        <v>469</v>
      </c>
      <c r="G129" s="10">
        <v>1863</v>
      </c>
      <c r="H129" s="11">
        <f t="array" ref="H129">IF(OR(N129&gt;0,AC129&gt;0),MAX(N129,AC129),MAX(AK129,V129))</f>
        <v>46244</v>
      </c>
      <c r="I129" s="143">
        <f t="array" ref="I129">IF(SUM(O129,AD129)&gt;0,SUM(O129,AD129),SUM(AL129,W129))</f>
        <v>292.61153609999997</v>
      </c>
      <c r="J129" s="9">
        <f t="shared" si="11"/>
        <v>15.706469999999998</v>
      </c>
      <c r="K129" s="143">
        <f t="shared" si="17"/>
        <v>9.18</v>
      </c>
      <c r="L129" s="9">
        <f t="shared" si="12"/>
        <v>3.1372652364815639</v>
      </c>
      <c r="M129" s="8" t="str">
        <f t="array" ref="M129">IF(L129&gt;5,"Perlu Sensus",IF(AND(L129&gt;=0,I129&gt;0),"Tetap Deteksi","Belum Deteksi"))</f>
        <v>Tetap Deteksi</v>
      </c>
      <c r="N129" s="11">
        <v>46244</v>
      </c>
      <c r="O129" s="143">
        <v>292.61153609999997</v>
      </c>
      <c r="P129" s="9">
        <f t="array" ref="P129">IFERROR(O129/$G129*100,0)</f>
        <v>15.706469999999998</v>
      </c>
      <c r="Q129" s="143">
        <v>9.18</v>
      </c>
      <c r="R129" s="9">
        <f t="shared" si="13"/>
        <v>3.1372652364815639</v>
      </c>
      <c r="S129" s="8" t="str">
        <f t="array" ref="S129">IF(R129&gt;5,"Perlu Sensus",IF(AND(R129&gt;=0,O129&gt;0),"Tetap Deteksi","Belum Deteksi"))</f>
        <v>Tetap Deteksi</v>
      </c>
      <c r="T129" s="143">
        <v>5.3976827276701052</v>
      </c>
      <c r="U129" s="9">
        <f t="shared" si="18"/>
        <v>1.8446582112283665</v>
      </c>
      <c r="V129" s="11">
        <v>46244</v>
      </c>
      <c r="W129" s="143">
        <v>299.59567178648751</v>
      </c>
      <c r="X129" s="143">
        <v>8.24</v>
      </c>
      <c r="Y129" s="9">
        <f t="shared" si="14"/>
        <v>2.7503735120287023</v>
      </c>
      <c r="Z129" s="8" t="str">
        <f t="array" ref="Z129">IF(Y129&gt;5,"Perlu Sensus",IF(AND(Y129&gt;=0,W129&gt;0),"Tetap Deteksi","Belum Deteksi"))</f>
        <v>Tetap Deteksi</v>
      </c>
      <c r="AA129" s="143">
        <v>7.28</v>
      </c>
      <c r="AB129" s="9">
        <f t="shared" si="19"/>
        <v>2.4299416465496302</v>
      </c>
      <c r="AC129" s="11"/>
      <c r="AD129" s="143"/>
      <c r="AE129" s="9">
        <f t="array" ref="AE129">IFERROR(AD129/$G129*100,0)</f>
        <v>0</v>
      </c>
      <c r="AF129" s="143"/>
      <c r="AG129" s="9">
        <f t="shared" si="15"/>
        <v>0</v>
      </c>
      <c r="AH129" s="8" t="str">
        <f t="array" ref="AH129">IF(AG129&gt;5,"Perlu Sensus",IF(AND(AG129&gt;=0,AD129&gt;0),"Tetap Deteksi","Belum Deteksi"))</f>
        <v>Belum Deteksi</v>
      </c>
      <c r="AI129" s="143"/>
      <c r="AJ129" s="9">
        <f t="shared" si="20"/>
        <v>0</v>
      </c>
      <c r="AK129" s="11"/>
      <c r="AL129" s="143"/>
      <c r="AM129" s="143"/>
      <c r="AN129" s="9">
        <f t="shared" si="16"/>
        <v>0</v>
      </c>
      <c r="AO129" s="8" t="str">
        <f t="array" ref="AO129">IF(AN129&gt;5,"Perlu Sensus",IF(AND(AN129&gt;=0,AL129&gt;0),"Tetap Deteksi","Belum Deteksi"))</f>
        <v>Belum Deteksi</v>
      </c>
      <c r="AP129" s="143"/>
      <c r="AQ129" s="9">
        <f t="shared" si="21"/>
        <v>0</v>
      </c>
    </row>
    <row r="130" spans="1:43" outlineLevel="1" x14ac:dyDescent="0.15">
      <c r="A130" s="8" t="s">
        <v>949</v>
      </c>
      <c r="B130" s="8"/>
      <c r="C130" s="8" t="s">
        <v>173</v>
      </c>
      <c r="D130" s="186" t="s">
        <v>1002</v>
      </c>
      <c r="E130" s="9">
        <v>24.02</v>
      </c>
      <c r="F130" s="8" t="s">
        <v>469</v>
      </c>
      <c r="G130" s="10">
        <v>1736.9999999999998</v>
      </c>
      <c r="H130" s="11">
        <f t="array" ref="H130">IF(OR(N130&gt;0,AC130&gt;0),MAX(N130,AC130),MAX(AK130,V130))</f>
        <v>46245</v>
      </c>
      <c r="I130" s="143">
        <f t="array" ref="I130">IF(SUM(O130,AD130)&gt;0,SUM(O130,AD130),SUM(AL130,W130))</f>
        <v>251.83512359999995</v>
      </c>
      <c r="J130" s="9">
        <f t="shared" si="11"/>
        <v>14.498279999999999</v>
      </c>
      <c r="K130" s="143">
        <f t="shared" si="17"/>
        <v>7.854000000000001</v>
      </c>
      <c r="L130" s="9">
        <f t="shared" si="12"/>
        <v>3.1187071476474553</v>
      </c>
      <c r="M130" s="8" t="str">
        <f t="array" ref="M130">IF(L130&gt;5,"Perlu Sensus",IF(AND(L130&gt;=0,I130&gt;0),"Tetap Deteksi","Belum Deteksi"))</f>
        <v>Tetap Deteksi</v>
      </c>
      <c r="N130" s="11">
        <v>46245</v>
      </c>
      <c r="O130" s="143">
        <v>251.83512359999995</v>
      </c>
      <c r="P130" s="9">
        <f t="array" ref="P130">IFERROR(O130/$G130*100,0)</f>
        <v>14.498279999999999</v>
      </c>
      <c r="Q130" s="143">
        <v>7.854000000000001</v>
      </c>
      <c r="R130" s="9">
        <f t="shared" si="13"/>
        <v>3.1187071476474553</v>
      </c>
      <c r="S130" s="8" t="str">
        <f t="array" ref="S130">IF(R130&gt;5,"Perlu Sensus",IF(AND(R130&gt;=0,O130&gt;0),"Tetap Deteksi","Belum Deteksi"))</f>
        <v>Tetap Deteksi</v>
      </c>
      <c r="T130" s="143">
        <v>5.1003679999999996</v>
      </c>
      <c r="U130" s="9">
        <f t="shared" si="18"/>
        <v>2.0252806388123696</v>
      </c>
      <c r="V130" s="11">
        <v>46245</v>
      </c>
      <c r="W130" s="143">
        <v>305.58758522221723</v>
      </c>
      <c r="X130" s="143">
        <v>6.7980000000000009</v>
      </c>
      <c r="Y130" s="9">
        <f t="shared" si="14"/>
        <v>2.2245668111996859</v>
      </c>
      <c r="Z130" s="8" t="str">
        <f t="array" ref="Z130">IF(Y130&gt;5,"Perlu Sensus",IF(AND(Y130&gt;=0,W130&gt;0),"Tetap Deteksi","Belum Deteksi"))</f>
        <v>Tetap Deteksi</v>
      </c>
      <c r="AA130" s="143">
        <v>4.4478720000000012</v>
      </c>
      <c r="AB130" s="9">
        <f t="shared" si="19"/>
        <v>1.4555146266055268</v>
      </c>
      <c r="AC130" s="11"/>
      <c r="AD130" s="143"/>
      <c r="AE130" s="9">
        <f t="array" ref="AE130">IFERROR(AD130/$G130*100,0)</f>
        <v>0</v>
      </c>
      <c r="AF130" s="143"/>
      <c r="AG130" s="9">
        <f t="shared" si="15"/>
        <v>0</v>
      </c>
      <c r="AH130" s="8" t="str">
        <f t="array" ref="AH130">IF(AG130&gt;5,"Perlu Sensus",IF(AND(AG130&gt;=0,AD130&gt;0),"Tetap Deteksi","Belum Deteksi"))</f>
        <v>Belum Deteksi</v>
      </c>
      <c r="AI130" s="143"/>
      <c r="AJ130" s="9">
        <f t="shared" si="20"/>
        <v>0</v>
      </c>
      <c r="AK130" s="11"/>
      <c r="AL130" s="143"/>
      <c r="AM130" s="143"/>
      <c r="AN130" s="9">
        <f t="shared" si="16"/>
        <v>0</v>
      </c>
      <c r="AO130" s="8" t="str">
        <f t="array" ref="AO130">IF(AN130&gt;5,"Perlu Sensus",IF(AND(AN130&gt;=0,AL130&gt;0),"Tetap Deteksi","Belum Deteksi"))</f>
        <v>Belum Deteksi</v>
      </c>
      <c r="AP130" s="143"/>
      <c r="AQ130" s="9">
        <f t="shared" si="21"/>
        <v>0</v>
      </c>
    </row>
    <row r="131" spans="1:43" outlineLevel="1" x14ac:dyDescent="0.15">
      <c r="A131" s="8" t="s">
        <v>949</v>
      </c>
      <c r="B131" s="8"/>
      <c r="C131" s="8" t="s">
        <v>173</v>
      </c>
      <c r="D131" s="186" t="s">
        <v>1391</v>
      </c>
      <c r="E131" s="9">
        <v>38.21</v>
      </c>
      <c r="F131" s="8" t="s">
        <v>469</v>
      </c>
      <c r="G131" s="10">
        <v>2859</v>
      </c>
      <c r="H131" s="11">
        <f t="array" ref="H131">IF(OR(N131&gt;0,AC131&gt;0),MAX(N131,AC131),MAX(AK131,V131))</f>
        <v>46246</v>
      </c>
      <c r="I131" s="143">
        <f t="array" ref="I131">IF(SUM(O131,AD131)&gt;0,SUM(O131,AD131),SUM(AL131,W131))</f>
        <v>310.87936889999997</v>
      </c>
      <c r="J131" s="9">
        <f t="shared" si="11"/>
        <v>10.873709999999999</v>
      </c>
      <c r="K131" s="143">
        <f t="shared" si="17"/>
        <v>7.1400000000000006</v>
      </c>
      <c r="L131" s="9">
        <f t="shared" si="12"/>
        <v>2.296710786973037</v>
      </c>
      <c r="M131" s="8" t="str">
        <f t="array" ref="M131">IF(L131&gt;5,"Perlu Sensus",IF(AND(L131&gt;=0,I131&gt;0),"Tetap Deteksi","Belum Deteksi"))</f>
        <v>Tetap Deteksi</v>
      </c>
      <c r="N131" s="11">
        <v>46246</v>
      </c>
      <c r="O131" s="143">
        <v>310.87936889999997</v>
      </c>
      <c r="P131" s="9">
        <f t="array" ref="P131">IFERROR(O131/$G131*100,0)</f>
        <v>10.873709999999999</v>
      </c>
      <c r="Q131" s="143">
        <v>7.1400000000000006</v>
      </c>
      <c r="R131" s="9">
        <f t="shared" si="13"/>
        <v>2.296710786973037</v>
      </c>
      <c r="S131" s="8" t="str">
        <f t="array" ref="S131">IF(R131&gt;5,"Perlu Sensus",IF(AND(R131&gt;=0,O131&gt;0),"Tetap Deteksi","Belum Deteksi"))</f>
        <v>Tetap Deteksi</v>
      </c>
      <c r="T131" s="143">
        <v>3.4525004746969152</v>
      </c>
      <c r="U131" s="9">
        <f t="shared" si="18"/>
        <v>1.1105595353313635</v>
      </c>
      <c r="V131" s="11">
        <v>46246</v>
      </c>
      <c r="W131" s="143">
        <v>311.69933692666166</v>
      </c>
      <c r="X131" s="143">
        <v>7.21</v>
      </c>
      <c r="Y131" s="9">
        <f t="shared" si="14"/>
        <v>2.3131265119426319</v>
      </c>
      <c r="Z131" s="8" t="str">
        <f t="array" ref="Z131">IF(Y131&gt;5,"Perlu Sensus",IF(AND(Y131&gt;=0,W131&gt;0),"Tetap Deteksi","Belum Deteksi"))</f>
        <v>Tetap Deteksi</v>
      </c>
      <c r="AA131" s="143">
        <v>5.2</v>
      </c>
      <c r="AB131" s="9">
        <f t="shared" si="19"/>
        <v>1.6682743220668077</v>
      </c>
      <c r="AC131" s="11"/>
      <c r="AD131" s="143"/>
      <c r="AE131" s="9">
        <f t="array" ref="AE131">IFERROR(AD131/$G131*100,0)</f>
        <v>0</v>
      </c>
      <c r="AF131" s="143"/>
      <c r="AG131" s="9">
        <f t="shared" si="15"/>
        <v>0</v>
      </c>
      <c r="AH131" s="8" t="str">
        <f t="array" ref="AH131">IF(AG131&gt;5,"Perlu Sensus",IF(AND(AG131&gt;=0,AD131&gt;0),"Tetap Deteksi","Belum Deteksi"))</f>
        <v>Belum Deteksi</v>
      </c>
      <c r="AI131" s="143"/>
      <c r="AJ131" s="9">
        <f t="shared" si="20"/>
        <v>0</v>
      </c>
      <c r="AK131" s="11"/>
      <c r="AL131" s="143"/>
      <c r="AM131" s="143"/>
      <c r="AN131" s="9">
        <f t="shared" si="16"/>
        <v>0</v>
      </c>
      <c r="AO131" s="8" t="str">
        <f t="array" ref="AO131">IF(AN131&gt;5,"Perlu Sensus",IF(AND(AN131&gt;=0,AL131&gt;0),"Tetap Deteksi","Belum Deteksi"))</f>
        <v>Belum Deteksi</v>
      </c>
      <c r="AP131" s="143"/>
      <c r="AQ131" s="9">
        <f t="shared" si="21"/>
        <v>0</v>
      </c>
    </row>
    <row r="132" spans="1:43" outlineLevel="1" x14ac:dyDescent="0.15">
      <c r="A132" s="8" t="s">
        <v>949</v>
      </c>
      <c r="B132" s="8"/>
      <c r="C132" s="8" t="s">
        <v>173</v>
      </c>
      <c r="D132" s="186" t="s">
        <v>1392</v>
      </c>
      <c r="E132" s="9">
        <v>41.36</v>
      </c>
      <c r="F132" s="8" t="s">
        <v>469</v>
      </c>
      <c r="G132" s="10">
        <v>3398</v>
      </c>
      <c r="H132" s="11">
        <f t="array" ref="H132">IF(OR(N132&gt;0,AC132&gt;0),MAX(N132,AC132),MAX(AK132,V132))</f>
        <v>46247</v>
      </c>
      <c r="I132" s="143">
        <f t="array" ref="I132">IF(SUM(O132,AD132)&gt;0,SUM(O132,AD132),SUM(AL132,W132))</f>
        <v>328.43436960000003</v>
      </c>
      <c r="J132" s="9">
        <f t="shared" si="11"/>
        <v>9.6655200000000008</v>
      </c>
      <c r="K132" s="143">
        <f t="shared" si="17"/>
        <v>15.3</v>
      </c>
      <c r="L132" s="9">
        <f t="shared" si="12"/>
        <v>4.6584649525668889</v>
      </c>
      <c r="M132" s="8" t="str">
        <f t="array" ref="M132">IF(L132&gt;5,"Perlu Sensus",IF(AND(L132&gt;=0,I132&gt;0),"Tetap Deteksi","Belum Deteksi"))</f>
        <v>Tetap Deteksi</v>
      </c>
      <c r="N132" s="11">
        <v>46247</v>
      </c>
      <c r="O132" s="143">
        <v>328.43436960000003</v>
      </c>
      <c r="P132" s="9">
        <f t="array" ref="P132">IFERROR(O132/$G132*100,0)</f>
        <v>9.6655200000000008</v>
      </c>
      <c r="Q132" s="143">
        <v>15.3</v>
      </c>
      <c r="R132" s="9">
        <f t="shared" si="13"/>
        <v>4.6584649525668889</v>
      </c>
      <c r="S132" s="8" t="str">
        <f t="array" ref="S132">IF(R132&gt;5,"Perlu Sensus",IF(AND(R132&gt;=0,O132&gt;0),"Tetap Deteksi","Belum Deteksi"))</f>
        <v>Tetap Deteksi</v>
      </c>
      <c r="T132" s="143">
        <v>8.4860096170864452</v>
      </c>
      <c r="U132" s="9">
        <f t="shared" si="18"/>
        <v>2.5837763652511612</v>
      </c>
      <c r="V132" s="11">
        <v>46247</v>
      </c>
      <c r="W132" s="143">
        <v>317.93332366519491</v>
      </c>
      <c r="X132" s="143">
        <v>5.15</v>
      </c>
      <c r="Y132" s="9">
        <f t="shared" si="14"/>
        <v>1.619836492957025</v>
      </c>
      <c r="Z132" s="8" t="str">
        <f t="array" ref="Z132">IF(Y132&gt;5,"Perlu Sensus",IF(AND(Y132&gt;=0,W132&gt;0),"Tetap Deteksi","Belum Deteksi"))</f>
        <v>Tetap Deteksi</v>
      </c>
      <c r="AA132" s="143">
        <v>4.16</v>
      </c>
      <c r="AB132" s="9">
        <f t="shared" si="19"/>
        <v>1.3084504486798492</v>
      </c>
      <c r="AC132" s="11"/>
      <c r="AD132" s="143"/>
      <c r="AE132" s="9">
        <f t="array" ref="AE132">IFERROR(AD132/$G132*100,0)</f>
        <v>0</v>
      </c>
      <c r="AF132" s="143"/>
      <c r="AG132" s="9">
        <f t="shared" si="15"/>
        <v>0</v>
      </c>
      <c r="AH132" s="8" t="str">
        <f t="array" ref="AH132">IF(AG132&gt;5,"Perlu Sensus",IF(AND(AG132&gt;=0,AD132&gt;0),"Tetap Deteksi","Belum Deteksi"))</f>
        <v>Belum Deteksi</v>
      </c>
      <c r="AI132" s="143"/>
      <c r="AJ132" s="9">
        <f t="shared" si="20"/>
        <v>0</v>
      </c>
      <c r="AK132" s="11"/>
      <c r="AL132" s="143"/>
      <c r="AM132" s="143"/>
      <c r="AN132" s="9">
        <f t="shared" si="16"/>
        <v>0</v>
      </c>
      <c r="AO132" s="8" t="str">
        <f t="array" ref="AO132">IF(AN132&gt;5,"Perlu Sensus",IF(AND(AN132&gt;=0,AL132&gt;0),"Tetap Deteksi","Belum Deteksi"))</f>
        <v>Belum Deteksi</v>
      </c>
      <c r="AP132" s="143"/>
      <c r="AQ132" s="9">
        <f t="shared" si="21"/>
        <v>0</v>
      </c>
    </row>
    <row r="133" spans="1:43" outlineLevel="1" x14ac:dyDescent="0.15">
      <c r="A133" s="8" t="s">
        <v>949</v>
      </c>
      <c r="B133" s="8"/>
      <c r="C133" s="8" t="s">
        <v>173</v>
      </c>
      <c r="D133" s="186" t="s">
        <v>1007</v>
      </c>
      <c r="E133" s="9">
        <v>41.47</v>
      </c>
      <c r="F133" s="8" t="s">
        <v>469</v>
      </c>
      <c r="G133" s="10">
        <v>4362</v>
      </c>
      <c r="H133" s="11">
        <f t="array" ref="H133">IF(OR(N133&gt;0,AC133&gt;0),MAX(N133,AC133),MAX(AK133,V133))</f>
        <v>46248</v>
      </c>
      <c r="I133" s="143">
        <f t="array" ref="I133">IF(SUM(O133,AD133)&gt;0,SUM(O133,AD133),SUM(AL133,W133))</f>
        <v>474.31123019999995</v>
      </c>
      <c r="J133" s="9">
        <f t="shared" si="11"/>
        <v>10.873709999999999</v>
      </c>
      <c r="K133" s="143">
        <f t="shared" si="17"/>
        <v>6.7320000000000011</v>
      </c>
      <c r="L133" s="9">
        <f t="shared" si="12"/>
        <v>1.4193212328456484</v>
      </c>
      <c r="M133" s="8" t="str">
        <f t="array" ref="M133">IF(L133&gt;5,"Perlu Sensus",IF(AND(L133&gt;=0,I133&gt;0),"Tetap Deteksi","Belum Deteksi"))</f>
        <v>Tetap Deteksi</v>
      </c>
      <c r="N133" s="11">
        <v>46248</v>
      </c>
      <c r="O133" s="143">
        <v>474.31123019999995</v>
      </c>
      <c r="P133" s="9">
        <f t="array" ref="P133">IFERROR(O133/$G133*100,0)</f>
        <v>10.873709999999999</v>
      </c>
      <c r="Q133" s="143">
        <v>6.7320000000000011</v>
      </c>
      <c r="R133" s="9">
        <f t="shared" si="13"/>
        <v>1.4193212328456484</v>
      </c>
      <c r="S133" s="8" t="str">
        <f t="array" ref="S133">IF(R133&gt;5,"Perlu Sensus",IF(AND(R133&gt;=0,O133&gt;0),"Tetap Deteksi","Belum Deteksi"))</f>
        <v>Tetap Deteksi</v>
      </c>
      <c r="T133" s="143">
        <v>4.3717439999999987</v>
      </c>
      <c r="U133" s="9">
        <f t="shared" si="18"/>
        <v>0.92170366663184256</v>
      </c>
      <c r="V133" s="11">
        <v>46248</v>
      </c>
      <c r="W133" s="143">
        <v>324.29199013849876</v>
      </c>
      <c r="X133" s="143">
        <v>6.7980000000000009</v>
      </c>
      <c r="Y133" s="9">
        <f t="shared" si="14"/>
        <v>2.0962589908855622</v>
      </c>
      <c r="Z133" s="8" t="str">
        <f t="array" ref="Z133">IF(Y133&gt;5,"Perlu Sensus",IF(AND(Y133&gt;=0,W133&gt;0),"Tetap Deteksi","Belum Deteksi"))</f>
        <v>Tetap Deteksi</v>
      </c>
      <c r="AA133" s="143">
        <v>4.4478720000000012</v>
      </c>
      <c r="AB133" s="9">
        <f t="shared" si="19"/>
        <v>1.3715639409102895</v>
      </c>
      <c r="AC133" s="11"/>
      <c r="AD133" s="143"/>
      <c r="AE133" s="9">
        <f t="array" ref="AE133">IFERROR(AD133/$G133*100,0)</f>
        <v>0</v>
      </c>
      <c r="AF133" s="143"/>
      <c r="AG133" s="9">
        <f t="shared" si="15"/>
        <v>0</v>
      </c>
      <c r="AH133" s="8" t="str">
        <f t="array" ref="AH133">IF(AG133&gt;5,"Perlu Sensus",IF(AND(AG133&gt;=0,AD133&gt;0),"Tetap Deteksi","Belum Deteksi"))</f>
        <v>Belum Deteksi</v>
      </c>
      <c r="AI133" s="143"/>
      <c r="AJ133" s="9">
        <f t="shared" si="20"/>
        <v>0</v>
      </c>
      <c r="AK133" s="11"/>
      <c r="AL133" s="143"/>
      <c r="AM133" s="143"/>
      <c r="AN133" s="9">
        <f t="shared" si="16"/>
        <v>0</v>
      </c>
      <c r="AO133" s="8" t="str">
        <f t="array" ref="AO133">IF(AN133&gt;5,"Perlu Sensus",IF(AND(AN133&gt;=0,AL133&gt;0),"Tetap Deteksi","Belum Deteksi"))</f>
        <v>Belum Deteksi</v>
      </c>
      <c r="AP133" s="143"/>
      <c r="AQ133" s="9">
        <f t="shared" si="21"/>
        <v>0</v>
      </c>
    </row>
    <row r="134" spans="1:43" outlineLevel="1" x14ac:dyDescent="0.15">
      <c r="A134" s="8" t="s">
        <v>949</v>
      </c>
      <c r="B134" s="8"/>
      <c r="C134" s="8" t="s">
        <v>173</v>
      </c>
      <c r="D134" s="181" t="s">
        <v>1009</v>
      </c>
      <c r="E134" s="9">
        <v>26.65</v>
      </c>
      <c r="F134" s="8" t="s">
        <v>469</v>
      </c>
      <c r="G134" s="10">
        <v>2547</v>
      </c>
      <c r="H134" s="11">
        <f t="array" ref="H134">IF(OR(N134&gt;0,AC134&gt;0),MAX(N134,AC134),MAX(AK134,V134))</f>
        <v>46249</v>
      </c>
      <c r="I134" s="143">
        <f t="array" ref="I134">IF(SUM(O134,AD134)&gt;0,SUM(O134,AD134),SUM(AL134,W134))</f>
        <v>307.72599299999996</v>
      </c>
      <c r="J134" s="9">
        <f t="shared" ref="J134:J197" si="22">IF(P134&gt;0,P134," ")</f>
        <v>12.081899999999997</v>
      </c>
      <c r="K134" s="143">
        <f t="shared" si="17"/>
        <v>7.1400000000000006</v>
      </c>
      <c r="L134" s="9">
        <f t="shared" ref="L134:L197" si="23">IFERROR(K134/I134*100,0)</f>
        <v>2.3202459858501459</v>
      </c>
      <c r="M134" s="8" t="str">
        <f t="array" ref="M134">IF(L134&gt;5,"Perlu Sensus",IF(AND(L134&gt;=0,I134&gt;0),"Tetap Deteksi","Belum Deteksi"))</f>
        <v>Tetap Deteksi</v>
      </c>
      <c r="N134" s="11">
        <v>46249</v>
      </c>
      <c r="O134" s="143">
        <v>307.72599299999996</v>
      </c>
      <c r="P134" s="9">
        <f t="array" ref="P134">IFERROR(O134/$G134*100,0)</f>
        <v>12.081899999999997</v>
      </c>
      <c r="Q134" s="143">
        <v>7.1400000000000006</v>
      </c>
      <c r="R134" s="9">
        <f t="shared" ref="R134:R197" si="24">IFERROR(Q134/O134*100,0)</f>
        <v>2.3202459858501459</v>
      </c>
      <c r="S134" s="8" t="str">
        <f t="array" ref="S134">IF(R134&gt;5,"Perlu Sensus",IF(AND(R134&gt;=0,O134&gt;0),"Tetap Deteksi","Belum Deteksi"))</f>
        <v>Tetap Deteksi</v>
      </c>
      <c r="T134" s="143">
        <v>3.5140193511171836</v>
      </c>
      <c r="U134" s="9">
        <f t="shared" si="18"/>
        <v>1.1419312736175602</v>
      </c>
      <c r="V134" s="11">
        <v>46249</v>
      </c>
      <c r="W134" s="143">
        <v>330.77782994126881</v>
      </c>
      <c r="X134" s="143">
        <v>5.15</v>
      </c>
      <c r="Y134" s="9">
        <f t="shared" ref="Y134:Y197" si="25">IFERROR(X134/W134*100,0)</f>
        <v>1.556936267740316</v>
      </c>
      <c r="Z134" s="8" t="str">
        <f t="array" ref="Z134">IF(Y134&gt;5,"Perlu Sensus",IF(AND(Y134&gt;=0,W134&gt;0),"Tetap Deteksi","Belum Deteksi"))</f>
        <v>Tetap Deteksi</v>
      </c>
      <c r="AA134" s="143">
        <v>2.08</v>
      </c>
      <c r="AB134" s="9">
        <f t="shared" si="19"/>
        <v>0.62882086153395289</v>
      </c>
      <c r="AC134" s="11"/>
      <c r="AD134" s="143"/>
      <c r="AE134" s="9">
        <f t="array" ref="AE134">IFERROR(AD134/$G134*100,0)</f>
        <v>0</v>
      </c>
      <c r="AF134" s="143"/>
      <c r="AG134" s="9">
        <f t="shared" ref="AG134:AG197" si="26">IFERROR(AF134/AD134*100,0)</f>
        <v>0</v>
      </c>
      <c r="AH134" s="8" t="str">
        <f t="array" ref="AH134">IF(AG134&gt;5,"Perlu Sensus",IF(AND(AG134&gt;=0,AD134&gt;0),"Tetap Deteksi","Belum Deteksi"))</f>
        <v>Belum Deteksi</v>
      </c>
      <c r="AI134" s="143"/>
      <c r="AJ134" s="9">
        <f t="shared" si="20"/>
        <v>0</v>
      </c>
      <c r="AK134" s="11"/>
      <c r="AL134" s="143"/>
      <c r="AM134" s="143"/>
      <c r="AN134" s="9">
        <f t="shared" ref="AN134:AN197" si="27">IFERROR(AM134/AL134*100,0)</f>
        <v>0</v>
      </c>
      <c r="AO134" s="8" t="str">
        <f t="array" ref="AO134">IF(AN134&gt;5,"Perlu Sensus",IF(AND(AN134&gt;=0,AL134&gt;0),"Tetap Deteksi","Belum Deteksi"))</f>
        <v>Belum Deteksi</v>
      </c>
      <c r="AP134" s="143"/>
      <c r="AQ134" s="9">
        <f t="shared" si="21"/>
        <v>0</v>
      </c>
    </row>
    <row r="135" spans="1:43" outlineLevel="1" x14ac:dyDescent="0.15">
      <c r="A135" s="8" t="s">
        <v>949</v>
      </c>
      <c r="B135" s="8"/>
      <c r="C135" s="8" t="s">
        <v>173</v>
      </c>
      <c r="D135" s="186" t="s">
        <v>1367</v>
      </c>
      <c r="E135" s="9">
        <v>27.25</v>
      </c>
      <c r="F135" s="8" t="s">
        <v>469</v>
      </c>
      <c r="G135" s="10">
        <v>2213</v>
      </c>
      <c r="H135" s="11">
        <f t="array" ref="H135">IF(OR(N135&gt;0,AC135&gt;0),MAX(N135,AC135),MAX(AK135,V135))</f>
        <v>46235</v>
      </c>
      <c r="I135" s="143">
        <f t="array" ref="I135">IF(SUM(O135,AD135)&gt;0,SUM(O135,AD135),SUM(AL135,W135))</f>
        <v>267.37244700000002</v>
      </c>
      <c r="J135" s="9">
        <f t="shared" si="22"/>
        <v>12.081900000000001</v>
      </c>
      <c r="K135" s="143">
        <f t="shared" ref="K135:K198" si="28">IF(SUM(Q135,AF135)&gt;0,SUM(Q135,AF135),SUM(AM135,X135))</f>
        <v>12.342000000000002</v>
      </c>
      <c r="L135" s="9">
        <f t="shared" si="23"/>
        <v>4.616032855472203</v>
      </c>
      <c r="M135" s="8" t="str">
        <f t="array" ref="M135">IF(L135&gt;5,"Perlu Sensus",IF(AND(L135&gt;=0,I135&gt;0),"Tetap Deteksi","Belum Deteksi"))</f>
        <v>Tetap Deteksi</v>
      </c>
      <c r="N135" s="11">
        <v>46235</v>
      </c>
      <c r="O135" s="143">
        <v>267.37244700000002</v>
      </c>
      <c r="P135" s="9">
        <f t="array" ref="P135">IFERROR(O135/$G135*100,0)</f>
        <v>12.081900000000001</v>
      </c>
      <c r="Q135" s="143">
        <v>12.342000000000002</v>
      </c>
      <c r="R135" s="9">
        <f t="shared" si="24"/>
        <v>4.616032855472203</v>
      </c>
      <c r="S135" s="8" t="str">
        <f t="array" ref="S135">IF(R135&gt;5,"Perlu Sensus",IF(AND(R135&gt;=0,O135&gt;0),"Tetap Deteksi","Belum Deteksi"))</f>
        <v>Tetap Deteksi</v>
      </c>
      <c r="T135" s="143">
        <v>8.0148639999999993</v>
      </c>
      <c r="U135" s="9">
        <f t="shared" ref="U135:U198" si="29">IFERROR(T135/O135*100,0)</f>
        <v>2.9976402168320653</v>
      </c>
      <c r="V135" s="11">
        <v>46235</v>
      </c>
      <c r="W135" s="143">
        <v>337.39338654009418</v>
      </c>
      <c r="X135" s="143">
        <v>6.7980000000000009</v>
      </c>
      <c r="Y135" s="9">
        <f t="shared" si="25"/>
        <v>2.0148586994286446</v>
      </c>
      <c r="Z135" s="8" t="str">
        <f t="array" ref="Z135">IF(Y135&gt;5,"Perlu Sensus",IF(AND(Y135&gt;=0,W135&gt;0),"Tetap Deteksi","Belum Deteksi"))</f>
        <v>Tetap Deteksi</v>
      </c>
      <c r="AA135" s="143">
        <v>4.4478720000000012</v>
      </c>
      <c r="AB135" s="9">
        <f t="shared" ref="AB135:AB198" si="30">IFERROR(AA135/W135*100,0)</f>
        <v>1.3183044414747109</v>
      </c>
      <c r="AC135" s="11"/>
      <c r="AD135" s="143"/>
      <c r="AE135" s="9">
        <f t="array" ref="AE135">IFERROR(AD135/$G135*100,0)</f>
        <v>0</v>
      </c>
      <c r="AF135" s="143"/>
      <c r="AG135" s="9">
        <f t="shared" si="26"/>
        <v>0</v>
      </c>
      <c r="AH135" s="8" t="str">
        <f t="array" ref="AH135">IF(AG135&gt;5,"Perlu Sensus",IF(AND(AG135&gt;=0,AD135&gt;0),"Tetap Deteksi","Belum Deteksi"))</f>
        <v>Belum Deteksi</v>
      </c>
      <c r="AI135" s="143"/>
      <c r="AJ135" s="9">
        <f t="shared" ref="AJ135:AJ198" si="31">IFERROR(AI135/AD135*100,0)</f>
        <v>0</v>
      </c>
      <c r="AK135" s="11"/>
      <c r="AL135" s="143"/>
      <c r="AM135" s="143"/>
      <c r="AN135" s="9">
        <f t="shared" si="27"/>
        <v>0</v>
      </c>
      <c r="AO135" s="8" t="str">
        <f t="array" ref="AO135">IF(AN135&gt;5,"Perlu Sensus",IF(AND(AN135&gt;=0,AL135&gt;0),"Tetap Deteksi","Belum Deteksi"))</f>
        <v>Belum Deteksi</v>
      </c>
      <c r="AP135" s="143"/>
      <c r="AQ135" s="9">
        <f t="shared" ref="AQ135:AQ198" si="32">IFERROR(AP135/AL135*100,0)</f>
        <v>0</v>
      </c>
    </row>
    <row r="136" spans="1:43" outlineLevel="1" x14ac:dyDescent="0.15">
      <c r="A136" s="8" t="s">
        <v>949</v>
      </c>
      <c r="B136" s="8"/>
      <c r="C136" s="8" t="s">
        <v>173</v>
      </c>
      <c r="D136" s="186" t="s">
        <v>1368</v>
      </c>
      <c r="E136" s="9">
        <v>24.369999999999997</v>
      </c>
      <c r="F136" s="8" t="s">
        <v>469</v>
      </c>
      <c r="G136" s="10">
        <v>2097</v>
      </c>
      <c r="H136" s="11">
        <f t="array" ref="H136">IF(OR(N136&gt;0,AC136&gt;0),MAX(N136,AC136),MAX(AK136,V136))</f>
        <v>46236</v>
      </c>
      <c r="I136" s="143">
        <f t="array" ref="I136">IF(SUM(O136,AD136)&gt;0,SUM(O136,AD136),SUM(AL136,W136))</f>
        <v>304.02893159999996</v>
      </c>
      <c r="J136" s="9">
        <f t="shared" si="22"/>
        <v>14.498279999999999</v>
      </c>
      <c r="K136" s="143">
        <f t="shared" si="28"/>
        <v>13.464000000000002</v>
      </c>
      <c r="L136" s="9">
        <f t="shared" si="23"/>
        <v>4.4285259067759073</v>
      </c>
      <c r="M136" s="8" t="str">
        <f t="array" ref="M136">IF(L136&gt;5,"Perlu Sensus",IF(AND(L136&gt;=0,I136&gt;0),"Tetap Deteksi","Belum Deteksi"))</f>
        <v>Tetap Deteksi</v>
      </c>
      <c r="N136" s="11">
        <v>46236</v>
      </c>
      <c r="O136" s="143">
        <v>304.02893159999996</v>
      </c>
      <c r="P136" s="9">
        <f t="array" ref="P136">IFERROR(O136/$G136*100,0)</f>
        <v>14.498279999999999</v>
      </c>
      <c r="Q136" s="143">
        <v>13.464000000000002</v>
      </c>
      <c r="R136" s="9">
        <f t="shared" si="24"/>
        <v>4.4285259067759073</v>
      </c>
      <c r="S136" s="8" t="str">
        <f t="array" ref="S136">IF(R136&gt;5,"Perlu Sensus",IF(AND(R136&gt;=0,O136&gt;0),"Tetap Deteksi","Belum Deteksi"))</f>
        <v>Tetap Deteksi</v>
      </c>
      <c r="T136" s="143">
        <v>8.7434879999999975</v>
      </c>
      <c r="U136" s="9">
        <f t="shared" si="29"/>
        <v>2.8758736722804703</v>
      </c>
      <c r="V136" s="11">
        <v>46236</v>
      </c>
      <c r="W136" s="143">
        <v>344.14125427089607</v>
      </c>
      <c r="X136" s="143">
        <v>14.729000000000001</v>
      </c>
      <c r="Y136" s="9">
        <f t="shared" si="25"/>
        <v>4.2799286098974472</v>
      </c>
      <c r="Z136" s="8" t="str">
        <f t="array" ref="Z136">IF(Y136&gt;5,"Perlu Sensus",IF(AND(Y136&gt;=0,W136&gt;0),"Tetap Deteksi","Belum Deteksi"))</f>
        <v>Tetap Deteksi</v>
      </c>
      <c r="AA136" s="143">
        <v>9.6370560000000012</v>
      </c>
      <c r="AB136" s="9">
        <f t="shared" si="30"/>
        <v>2.8003198920214443</v>
      </c>
      <c r="AC136" s="11"/>
      <c r="AD136" s="143"/>
      <c r="AE136" s="9">
        <f t="array" ref="AE136">IFERROR(AD136/$G136*100,0)</f>
        <v>0</v>
      </c>
      <c r="AF136" s="143"/>
      <c r="AG136" s="9">
        <f t="shared" si="26"/>
        <v>0</v>
      </c>
      <c r="AH136" s="8" t="str">
        <f t="array" ref="AH136">IF(AG136&gt;5,"Perlu Sensus",IF(AND(AG136&gt;=0,AD136&gt;0),"Tetap Deteksi","Belum Deteksi"))</f>
        <v>Belum Deteksi</v>
      </c>
      <c r="AI136" s="143"/>
      <c r="AJ136" s="9">
        <f t="shared" si="31"/>
        <v>0</v>
      </c>
      <c r="AK136" s="11"/>
      <c r="AL136" s="143"/>
      <c r="AM136" s="143"/>
      <c r="AN136" s="9">
        <f t="shared" si="27"/>
        <v>0</v>
      </c>
      <c r="AO136" s="8" t="str">
        <f t="array" ref="AO136">IF(AN136&gt;5,"Perlu Sensus",IF(AND(AN136&gt;=0,AL136&gt;0),"Tetap Deteksi","Belum Deteksi"))</f>
        <v>Belum Deteksi</v>
      </c>
      <c r="AP136" s="143"/>
      <c r="AQ136" s="9">
        <f t="shared" si="32"/>
        <v>0</v>
      </c>
    </row>
    <row r="137" spans="1:43" outlineLevel="1" x14ac:dyDescent="0.15">
      <c r="A137" s="8" t="s">
        <v>949</v>
      </c>
      <c r="B137" s="8"/>
      <c r="C137" s="8" t="s">
        <v>216</v>
      </c>
      <c r="D137" s="186" t="s">
        <v>1786</v>
      </c>
      <c r="E137" s="9">
        <v>35.019999999999996</v>
      </c>
      <c r="F137" s="8" t="s">
        <v>469</v>
      </c>
      <c r="G137" s="10">
        <v>2629</v>
      </c>
      <c r="H137" s="11">
        <f t="array" ref="H137">IF(OR(N137&gt;0,AC137&gt;0),MAX(N137,AC137),MAX(AK137,V137))</f>
        <v>46235</v>
      </c>
      <c r="I137" s="143">
        <f t="array" ref="I137">IF(SUM(O137,AD137)&gt;0,SUM(O137,AD137),SUM(AL137,W137))</f>
        <v>349.3964661</v>
      </c>
      <c r="J137" s="9">
        <f t="shared" si="22"/>
        <v>13.290089999999999</v>
      </c>
      <c r="K137" s="143">
        <f t="shared" si="28"/>
        <v>13.326030739615335</v>
      </c>
      <c r="L137" s="9">
        <f t="shared" si="23"/>
        <v>3.8140141737441966</v>
      </c>
      <c r="M137" s="8" t="str">
        <f t="array" ref="M137">IF(L137&gt;5,"Perlu Sensus",IF(AND(L137&gt;=0,I137&gt;0),"Tetap Deteksi","Belum Deteksi"))</f>
        <v>Tetap Deteksi</v>
      </c>
      <c r="N137" s="11">
        <v>46235</v>
      </c>
      <c r="O137" s="143">
        <v>349.3964661</v>
      </c>
      <c r="P137" s="9">
        <f t="array" ref="P137">IFERROR(O137/$G137*100,0)</f>
        <v>13.290089999999999</v>
      </c>
      <c r="Q137" s="143">
        <v>13.326030739615335</v>
      </c>
      <c r="R137" s="9">
        <f t="shared" si="24"/>
        <v>3.8140141737441966</v>
      </c>
      <c r="S137" s="8" t="str">
        <f t="array" ref="S137">IF(R137&gt;5,"Perlu Sensus",IF(AND(R137&gt;=0,O137&gt;0),"Tetap Deteksi","Belum Deteksi"))</f>
        <v>Tetap Deteksi</v>
      </c>
      <c r="T137" s="143">
        <v>8.6538911066145126</v>
      </c>
      <c r="U137" s="9">
        <f t="shared" si="29"/>
        <v>2.4768112863905447</v>
      </c>
      <c r="V137" s="11">
        <v>46235</v>
      </c>
      <c r="W137" s="143">
        <v>250.68825600000002</v>
      </c>
      <c r="X137" s="143">
        <v>7.3871604955180032</v>
      </c>
      <c r="Y137" s="9">
        <f t="shared" si="25"/>
        <v>2.94675172</v>
      </c>
      <c r="Z137" s="8" t="str">
        <f t="array" ref="Z137">IF(Y137&gt;5,"Perlu Sensus",IF(AND(Y137&gt;=0,W137&gt;0),"Tetap Deteksi","Belum Deteksi"))</f>
        <v>Tetap Deteksi</v>
      </c>
      <c r="AA137" s="143">
        <v>4.8333545642130993</v>
      </c>
      <c r="AB137" s="9">
        <f t="shared" si="30"/>
        <v>1.9280339020799997</v>
      </c>
      <c r="AC137" s="11"/>
      <c r="AD137" s="143"/>
      <c r="AE137" s="9">
        <f t="array" ref="AE137">IFERROR(AD137/$G137*100,0)</f>
        <v>0</v>
      </c>
      <c r="AF137" s="143"/>
      <c r="AG137" s="9">
        <f t="shared" si="26"/>
        <v>0</v>
      </c>
      <c r="AH137" s="8" t="str">
        <f t="array" ref="AH137">IF(AG137&gt;5,"Perlu Sensus",IF(AND(AG137&gt;=0,AD137&gt;0),"Tetap Deteksi","Belum Deteksi"))</f>
        <v>Belum Deteksi</v>
      </c>
      <c r="AI137" s="143"/>
      <c r="AJ137" s="9">
        <f t="shared" si="31"/>
        <v>0</v>
      </c>
      <c r="AK137" s="11"/>
      <c r="AL137" s="143"/>
      <c r="AM137" s="143"/>
      <c r="AN137" s="9">
        <f t="shared" si="27"/>
        <v>0</v>
      </c>
      <c r="AO137" s="8" t="str">
        <f t="array" ref="AO137">IF(AN137&gt;5,"Perlu Sensus",IF(AND(AN137&gt;=0,AL137&gt;0),"Tetap Deteksi","Belum Deteksi"))</f>
        <v>Belum Deteksi</v>
      </c>
      <c r="AP137" s="143"/>
      <c r="AQ137" s="9">
        <f t="shared" si="32"/>
        <v>0</v>
      </c>
    </row>
    <row r="138" spans="1:43" outlineLevel="1" x14ac:dyDescent="0.15">
      <c r="A138" s="8" t="s">
        <v>949</v>
      </c>
      <c r="B138" s="8"/>
      <c r="C138" s="8" t="s">
        <v>216</v>
      </c>
      <c r="D138" s="186" t="s">
        <v>1012</v>
      </c>
      <c r="E138" s="9">
        <v>24.009999999999998</v>
      </c>
      <c r="F138" s="8" t="s">
        <v>469</v>
      </c>
      <c r="G138" s="10">
        <v>2153</v>
      </c>
      <c r="H138" s="11">
        <f t="array" ref="H138">IF(OR(N138&gt;0,AC138&gt;0),MAX(N138,AC138),MAX(AK138,V138))</f>
        <v>46236</v>
      </c>
      <c r="I138" s="143">
        <f t="array" ref="I138">IF(SUM(O138,AD138)&gt;0,SUM(O138,AD138),SUM(AL138,W138))</f>
        <v>312.14796839999997</v>
      </c>
      <c r="J138" s="9">
        <f t="shared" si="22"/>
        <v>14.498279999999999</v>
      </c>
      <c r="K138" s="143">
        <f t="shared" si="28"/>
        <v>9.3680217780716166</v>
      </c>
      <c r="L138" s="9">
        <f t="shared" si="23"/>
        <v>3.0011477653018157</v>
      </c>
      <c r="M138" s="8" t="str">
        <f t="array" ref="M138">IF(L138&gt;5,"Perlu Sensus",IF(AND(L138&gt;=0,I138&gt;0),"Tetap Deteksi","Belum Deteksi"))</f>
        <v>Tetap Deteksi</v>
      </c>
      <c r="N138" s="11">
        <v>46236</v>
      </c>
      <c r="O138" s="143">
        <v>312.14796839999997</v>
      </c>
      <c r="P138" s="9">
        <f t="array" ref="P138">IFERROR(O138/$G138*100,0)</f>
        <v>14.498279999999999</v>
      </c>
      <c r="Q138" s="143">
        <v>9.3680217780716166</v>
      </c>
      <c r="R138" s="9">
        <f t="shared" si="24"/>
        <v>3.0011477653018157</v>
      </c>
      <c r="S138" s="8" t="str">
        <f t="array" ref="S138">IF(R138&gt;5,"Perlu Sensus",IF(AND(R138&gt;=0,O138&gt;0),"Tetap Deteksi","Belum Deteksi"))</f>
        <v>Tetap Deteksi</v>
      </c>
      <c r="T138" s="143">
        <v>6.0835699643722405</v>
      </c>
      <c r="U138" s="9">
        <f t="shared" si="29"/>
        <v>1.9489378692916848</v>
      </c>
      <c r="V138" s="11">
        <v>46236</v>
      </c>
      <c r="W138" s="143">
        <v>255.70202112000004</v>
      </c>
      <c r="X138" s="143">
        <v>5.7228562682595534</v>
      </c>
      <c r="Y138" s="9">
        <f t="shared" si="25"/>
        <v>2.2380958285714283</v>
      </c>
      <c r="Z138" s="8" t="str">
        <f t="array" ref="Z138">IF(Y138&gt;5,"Perlu Sensus",IF(AND(Y138&gt;=0,W138&gt;0),"Tetap Deteksi","Belum Deteksi"))</f>
        <v>Tetap Deteksi</v>
      </c>
      <c r="AA138" s="143">
        <v>3.7444148507820181</v>
      </c>
      <c r="AB138" s="9">
        <f t="shared" si="30"/>
        <v>1.4643665444571428</v>
      </c>
      <c r="AC138" s="11"/>
      <c r="AD138" s="143"/>
      <c r="AE138" s="9">
        <f t="array" ref="AE138">IFERROR(AD138/$G138*100,0)</f>
        <v>0</v>
      </c>
      <c r="AF138" s="143"/>
      <c r="AG138" s="9">
        <f t="shared" si="26"/>
        <v>0</v>
      </c>
      <c r="AH138" s="8" t="str">
        <f t="array" ref="AH138">IF(AG138&gt;5,"Perlu Sensus",IF(AND(AG138&gt;=0,AD138&gt;0),"Tetap Deteksi","Belum Deteksi"))</f>
        <v>Belum Deteksi</v>
      </c>
      <c r="AI138" s="143"/>
      <c r="AJ138" s="9">
        <f t="shared" si="31"/>
        <v>0</v>
      </c>
      <c r="AK138" s="11"/>
      <c r="AL138" s="143"/>
      <c r="AM138" s="143"/>
      <c r="AN138" s="9">
        <f t="shared" si="27"/>
        <v>0</v>
      </c>
      <c r="AO138" s="8" t="str">
        <f t="array" ref="AO138">IF(AN138&gt;5,"Perlu Sensus",IF(AND(AN138&gt;=0,AL138&gt;0),"Tetap Deteksi","Belum Deteksi"))</f>
        <v>Belum Deteksi</v>
      </c>
      <c r="AP138" s="143"/>
      <c r="AQ138" s="9">
        <f t="shared" si="32"/>
        <v>0</v>
      </c>
    </row>
    <row r="139" spans="1:43" outlineLevel="1" x14ac:dyDescent="0.15">
      <c r="A139" s="8" t="s">
        <v>949</v>
      </c>
      <c r="B139" s="8"/>
      <c r="C139" s="8" t="s">
        <v>216</v>
      </c>
      <c r="D139" s="186" t="s">
        <v>1787</v>
      </c>
      <c r="E139" s="9">
        <v>39.769999999999996</v>
      </c>
      <c r="F139" s="8" t="s">
        <v>469</v>
      </c>
      <c r="G139" s="10">
        <v>3965</v>
      </c>
      <c r="H139" s="11">
        <f t="array" ref="H139">IF(OR(N139&gt;0,AC139&gt;0),MAX(N139,AC139),MAX(AK139,V139))</f>
        <v>46237</v>
      </c>
      <c r="I139" s="143">
        <f t="array" ref="I139">IF(SUM(O139,AD139)&gt;0,SUM(O139,AD139),SUM(AL139,W139))</f>
        <v>431.1426014999999</v>
      </c>
      <c r="J139" s="9">
        <f t="shared" si="22"/>
        <v>10.873709999999997</v>
      </c>
      <c r="K139" s="143">
        <f t="shared" si="28"/>
        <v>8.5615840347008394</v>
      </c>
      <c r="L139" s="9">
        <f t="shared" si="23"/>
        <v>1.9857893896158723</v>
      </c>
      <c r="M139" s="8" t="str">
        <f t="array" ref="M139">IF(L139&gt;5,"Perlu Sensus",IF(AND(L139&gt;=0,I139&gt;0),"Tetap Deteksi","Belum Deteksi"))</f>
        <v>Tetap Deteksi</v>
      </c>
      <c r="N139" s="11">
        <v>46237</v>
      </c>
      <c r="O139" s="143">
        <v>431.1426014999999</v>
      </c>
      <c r="P139" s="9">
        <f t="array" ref="P139">IFERROR(O139/$G139*100,0)</f>
        <v>10.873709999999997</v>
      </c>
      <c r="Q139" s="143">
        <v>8.5615840347008394</v>
      </c>
      <c r="R139" s="9">
        <f t="shared" si="24"/>
        <v>1.9857893896158723</v>
      </c>
      <c r="S139" s="8" t="str">
        <f t="array" ref="S139">IF(R139&gt;5,"Perlu Sensus",IF(AND(R139&gt;=0,O139&gt;0),"Tetap Deteksi","Belum Deteksi"))</f>
        <v>Tetap Deteksi</v>
      </c>
      <c r="T139" s="143">
        <v>5.5598713063278646</v>
      </c>
      <c r="U139" s="9">
        <f t="shared" si="29"/>
        <v>1.2895666739924019</v>
      </c>
      <c r="V139" s="11">
        <v>46237</v>
      </c>
      <c r="W139" s="143">
        <v>260.81606154240006</v>
      </c>
      <c r="X139" s="143">
        <v>4.8280174400863345</v>
      </c>
      <c r="Y139" s="9">
        <f t="shared" si="25"/>
        <v>1.8511196785714283</v>
      </c>
      <c r="Z139" s="8" t="str">
        <f t="array" ref="Z139">IF(Y139&gt;5,"Perlu Sensus",IF(AND(Y139&gt;=0,W139&gt;0),"Tetap Deteksi","Belum Deteksi"))</f>
        <v>Tetap Deteksi</v>
      </c>
      <c r="AA139" s="143">
        <v>3.1589296244883331</v>
      </c>
      <c r="AB139" s="9">
        <f t="shared" si="30"/>
        <v>1.2111714308571429</v>
      </c>
      <c r="AC139" s="11"/>
      <c r="AD139" s="143"/>
      <c r="AE139" s="9">
        <f t="array" ref="AE139">IFERROR(AD139/$G139*100,0)</f>
        <v>0</v>
      </c>
      <c r="AF139" s="143"/>
      <c r="AG139" s="9">
        <f t="shared" si="26"/>
        <v>0</v>
      </c>
      <c r="AH139" s="8" t="str">
        <f t="array" ref="AH139">IF(AG139&gt;5,"Perlu Sensus",IF(AND(AG139&gt;=0,AD139&gt;0),"Tetap Deteksi","Belum Deteksi"))</f>
        <v>Belum Deteksi</v>
      </c>
      <c r="AI139" s="143"/>
      <c r="AJ139" s="9">
        <f t="shared" si="31"/>
        <v>0</v>
      </c>
      <c r="AK139" s="11"/>
      <c r="AL139" s="143"/>
      <c r="AM139" s="143"/>
      <c r="AN139" s="9">
        <f t="shared" si="27"/>
        <v>0</v>
      </c>
      <c r="AO139" s="8" t="str">
        <f t="array" ref="AO139">IF(AN139&gt;5,"Perlu Sensus",IF(AND(AN139&gt;=0,AL139&gt;0),"Tetap Deteksi","Belum Deteksi"))</f>
        <v>Belum Deteksi</v>
      </c>
      <c r="AP139" s="143"/>
      <c r="AQ139" s="9">
        <f t="shared" si="32"/>
        <v>0</v>
      </c>
    </row>
    <row r="140" spans="1:43" outlineLevel="1" x14ac:dyDescent="0.15">
      <c r="A140" s="8" t="s">
        <v>949</v>
      </c>
      <c r="B140" s="8"/>
      <c r="C140" s="8" t="s">
        <v>216</v>
      </c>
      <c r="D140" s="186" t="s">
        <v>1788</v>
      </c>
      <c r="E140" s="9">
        <v>34.56</v>
      </c>
      <c r="F140" s="8" t="s">
        <v>469</v>
      </c>
      <c r="G140" s="10">
        <v>2706</v>
      </c>
      <c r="H140" s="11">
        <f t="array" ref="H140">IF(OR(N140&gt;0,AC140&gt;0),MAX(N140,AC140),MAX(AK140,V140))</f>
        <v>46238</v>
      </c>
      <c r="I140" s="143">
        <f t="array" ref="I140">IF(SUM(O140,AD140)&gt;0,SUM(O140,AD140),SUM(AL140,W140))</f>
        <v>261.54897119999998</v>
      </c>
      <c r="J140" s="9">
        <f t="shared" si="22"/>
        <v>9.665519999999999</v>
      </c>
      <c r="K140" s="143">
        <f t="shared" si="28"/>
        <v>2.7261636170757129</v>
      </c>
      <c r="L140" s="9">
        <f t="shared" si="23"/>
        <v>1.0423147927395529</v>
      </c>
      <c r="M140" s="8" t="str">
        <f t="array" ref="M140">IF(L140&gt;5,"Perlu Sensus",IF(AND(L140&gt;=0,I140&gt;0),"Tetap Deteksi","Belum Deteksi"))</f>
        <v>Tetap Deteksi</v>
      </c>
      <c r="N140" s="11">
        <v>46238</v>
      </c>
      <c r="O140" s="143">
        <v>261.54897119999998</v>
      </c>
      <c r="P140" s="9">
        <f t="array" ref="P140">IFERROR(O140/$G140*100,0)</f>
        <v>9.665519999999999</v>
      </c>
      <c r="Q140" s="143">
        <v>2.7261636170757129</v>
      </c>
      <c r="R140" s="9">
        <f t="shared" si="24"/>
        <v>1.0423147927395529</v>
      </c>
      <c r="S140" s="8" t="str">
        <f t="array" ref="S140">IF(R140&gt;5,"Perlu Sensus",IF(AND(R140&gt;=0,O140&gt;0),"Tetap Deteksi","Belum Deteksi"))</f>
        <v>Tetap Deteksi</v>
      </c>
      <c r="T140" s="143">
        <v>1.7703638496686043</v>
      </c>
      <c r="U140" s="9">
        <f t="shared" si="29"/>
        <v>0.67687662526298031</v>
      </c>
      <c r="V140" s="11">
        <v>46238</v>
      </c>
      <c r="W140" s="143">
        <v>266.03238277324806</v>
      </c>
      <c r="X140" s="143">
        <v>2.1253180361898005</v>
      </c>
      <c r="Y140" s="9">
        <f t="shared" si="25"/>
        <v>0.79889448571428578</v>
      </c>
      <c r="Z140" s="8" t="str">
        <f t="array" ref="Z140">IF(Y140&gt;5,"Perlu Sensus",IF(AND(Y140&gt;=0,W140&gt;0),"Tetap Deteksi","Belum Deteksi"))</f>
        <v>Tetap Deteksi</v>
      </c>
      <c r="AA140" s="143">
        <v>1.3905770203388645</v>
      </c>
      <c r="AB140" s="9">
        <f t="shared" si="30"/>
        <v>0.5227096813714287</v>
      </c>
      <c r="AC140" s="11"/>
      <c r="AD140" s="143"/>
      <c r="AE140" s="9">
        <f t="array" ref="AE140">IFERROR(AD140/$G140*100,0)</f>
        <v>0</v>
      </c>
      <c r="AF140" s="143"/>
      <c r="AG140" s="9">
        <f t="shared" si="26"/>
        <v>0</v>
      </c>
      <c r="AH140" s="8" t="str">
        <f t="array" ref="AH140">IF(AG140&gt;5,"Perlu Sensus",IF(AND(AG140&gt;=0,AD140&gt;0),"Tetap Deteksi","Belum Deteksi"))</f>
        <v>Belum Deteksi</v>
      </c>
      <c r="AI140" s="143"/>
      <c r="AJ140" s="9">
        <f t="shared" si="31"/>
        <v>0</v>
      </c>
      <c r="AK140" s="11"/>
      <c r="AL140" s="143"/>
      <c r="AM140" s="143"/>
      <c r="AN140" s="9">
        <f t="shared" si="27"/>
        <v>0</v>
      </c>
      <c r="AO140" s="8" t="str">
        <f t="array" ref="AO140">IF(AN140&gt;5,"Perlu Sensus",IF(AND(AN140&gt;=0,AL140&gt;0),"Tetap Deteksi","Belum Deteksi"))</f>
        <v>Belum Deteksi</v>
      </c>
      <c r="AP140" s="143"/>
      <c r="AQ140" s="9">
        <f t="shared" si="32"/>
        <v>0</v>
      </c>
    </row>
    <row r="141" spans="1:43" outlineLevel="1" x14ac:dyDescent="0.15">
      <c r="A141" s="8" t="s">
        <v>949</v>
      </c>
      <c r="B141" s="8"/>
      <c r="C141" s="8" t="s">
        <v>216</v>
      </c>
      <c r="D141" s="186" t="s">
        <v>1789</v>
      </c>
      <c r="E141" s="9">
        <v>36.349999999999994</v>
      </c>
      <c r="F141" s="8" t="s">
        <v>469</v>
      </c>
      <c r="G141" s="10">
        <v>2246</v>
      </c>
      <c r="H141" s="11">
        <f t="array" ref="H141">IF(OR(N141&gt;0,AC141&gt;0),MAX(N141,AC141),MAX(AK141,V141))</f>
        <v>46239</v>
      </c>
      <c r="I141" s="143">
        <f t="array" ref="I141">IF(SUM(O141,AD141)&gt;0,SUM(O141,AD141),SUM(AL141,W141))</f>
        <v>271.35947399999998</v>
      </c>
      <c r="J141" s="9">
        <f t="shared" si="22"/>
        <v>12.081899999999999</v>
      </c>
      <c r="K141" s="143">
        <f t="shared" si="28"/>
        <v>6.7320000000000011</v>
      </c>
      <c r="L141" s="9">
        <f t="shared" si="23"/>
        <v>2.4808420729766012</v>
      </c>
      <c r="M141" s="8" t="str">
        <f t="array" ref="M141">IF(L141&gt;5,"Perlu Sensus",IF(AND(L141&gt;=0,I141&gt;0),"Tetap Deteksi","Belum Deteksi"))</f>
        <v>Tetap Deteksi</v>
      </c>
      <c r="N141" s="11">
        <v>46239</v>
      </c>
      <c r="O141" s="143">
        <v>271.35947399999998</v>
      </c>
      <c r="P141" s="9">
        <f t="array" ref="P141">IFERROR(O141/$G141*100,0)</f>
        <v>12.081899999999999</v>
      </c>
      <c r="Q141" s="143">
        <v>6.7320000000000011</v>
      </c>
      <c r="R141" s="9">
        <f t="shared" si="24"/>
        <v>2.4808420729766012</v>
      </c>
      <c r="S141" s="8" t="str">
        <f t="array" ref="S141">IF(R141&gt;5,"Perlu Sensus",IF(AND(R141&gt;=0,O141&gt;0),"Tetap Deteksi","Belum Deteksi"))</f>
        <v>Tetap Deteksi</v>
      </c>
      <c r="T141" s="143">
        <v>4.3717439999999987</v>
      </c>
      <c r="U141" s="9">
        <f t="shared" si="29"/>
        <v>1.6110526511412675</v>
      </c>
      <c r="V141" s="11">
        <v>46239</v>
      </c>
      <c r="W141" s="143">
        <v>271.353030428713</v>
      </c>
      <c r="X141" s="143">
        <v>7.9310000000000009</v>
      </c>
      <c r="Y141" s="9">
        <f t="shared" si="25"/>
        <v>2.9227607989008804</v>
      </c>
      <c r="Z141" s="8" t="str">
        <f t="array" ref="Z141">IF(Y141&gt;5,"Perlu Sensus",IF(AND(Y141&gt;=0,W141&gt;0),"Tetap Deteksi","Belum Deteksi"))</f>
        <v>Tetap Deteksi</v>
      </c>
      <c r="AA141" s="143">
        <v>5.189184</v>
      </c>
      <c r="AB141" s="9">
        <f t="shared" si="30"/>
        <v>1.9123368520342534</v>
      </c>
      <c r="AC141" s="11"/>
      <c r="AD141" s="143"/>
      <c r="AE141" s="9">
        <f t="array" ref="AE141">IFERROR(AD141/$G141*100,0)</f>
        <v>0</v>
      </c>
      <c r="AF141" s="143"/>
      <c r="AG141" s="9">
        <f t="shared" si="26"/>
        <v>0</v>
      </c>
      <c r="AH141" s="8" t="str">
        <f t="array" ref="AH141">IF(AG141&gt;5,"Perlu Sensus",IF(AND(AG141&gt;=0,AD141&gt;0),"Tetap Deteksi","Belum Deteksi"))</f>
        <v>Belum Deteksi</v>
      </c>
      <c r="AI141" s="143"/>
      <c r="AJ141" s="9">
        <f t="shared" si="31"/>
        <v>0</v>
      </c>
      <c r="AK141" s="11"/>
      <c r="AL141" s="143"/>
      <c r="AM141" s="143"/>
      <c r="AN141" s="9">
        <f t="shared" si="27"/>
        <v>0</v>
      </c>
      <c r="AO141" s="8" t="str">
        <f t="array" ref="AO141">IF(AN141&gt;5,"Perlu Sensus",IF(AND(AN141&gt;=0,AL141&gt;0),"Tetap Deteksi","Belum Deteksi"))</f>
        <v>Belum Deteksi</v>
      </c>
      <c r="AP141" s="143"/>
      <c r="AQ141" s="9">
        <f t="shared" si="32"/>
        <v>0</v>
      </c>
    </row>
    <row r="142" spans="1:43" outlineLevel="1" x14ac:dyDescent="0.15">
      <c r="A142" s="8" t="s">
        <v>949</v>
      </c>
      <c r="B142" s="8"/>
      <c r="C142" s="8" t="s">
        <v>216</v>
      </c>
      <c r="D142" s="186" t="s">
        <v>1790</v>
      </c>
      <c r="E142" s="9">
        <v>27.709999999999997</v>
      </c>
      <c r="F142" s="8" t="s">
        <v>469</v>
      </c>
      <c r="G142" s="10">
        <v>2231</v>
      </c>
      <c r="H142" s="11">
        <f t="array" ref="H142">IF(OR(N142&gt;0,AC142&gt;0),MAX(N142,AC142),MAX(AK142,V142))</f>
        <v>46240</v>
      </c>
      <c r="I142" s="143">
        <f t="array" ref="I142">IF(SUM(O142,AD142)&gt;0,SUM(O142,AD142),SUM(AL142,W142))</f>
        <v>242.59247009999999</v>
      </c>
      <c r="J142" s="9">
        <f t="shared" si="22"/>
        <v>10.873709999999999</v>
      </c>
      <c r="K142" s="143">
        <f t="shared" si="28"/>
        <v>7.854000000000001</v>
      </c>
      <c r="L142" s="9">
        <f t="shared" si="23"/>
        <v>3.2375283522866449</v>
      </c>
      <c r="M142" s="8" t="str">
        <f t="array" ref="M142">IF(L142&gt;5,"Perlu Sensus",IF(AND(L142&gt;=0,I142&gt;0),"Tetap Deteksi","Belum Deteksi"))</f>
        <v>Tetap Deteksi</v>
      </c>
      <c r="N142" s="11">
        <v>46240</v>
      </c>
      <c r="O142" s="143">
        <v>242.59247009999999</v>
      </c>
      <c r="P142" s="9">
        <f t="array" ref="P142">IFERROR(O142/$G142*100,0)</f>
        <v>10.873709999999999</v>
      </c>
      <c r="Q142" s="143">
        <v>7.854000000000001</v>
      </c>
      <c r="R142" s="9">
        <f t="shared" si="24"/>
        <v>3.2375283522866449</v>
      </c>
      <c r="S142" s="8" t="str">
        <f t="array" ref="S142">IF(R142&gt;5,"Perlu Sensus",IF(AND(R142&gt;=0,O142&gt;0),"Tetap Deteksi","Belum Deteksi"))</f>
        <v>Tetap Deteksi</v>
      </c>
      <c r="T142" s="143">
        <v>5.1003679999999996</v>
      </c>
      <c r="U142" s="9">
        <f t="shared" si="29"/>
        <v>2.1024428325815543</v>
      </c>
      <c r="V142" s="11">
        <v>46240</v>
      </c>
      <c r="W142" s="143">
        <v>276.78009103728726</v>
      </c>
      <c r="X142" s="143">
        <v>9.0640000000000018</v>
      </c>
      <c r="Y142" s="9">
        <f t="shared" si="25"/>
        <v>3.2748020155752164</v>
      </c>
      <c r="Z142" s="8" t="str">
        <f t="array" ref="Z142">IF(Y142&gt;5,"Perlu Sensus",IF(AND(Y142&gt;=0,W142&gt;0),"Tetap Deteksi","Belum Deteksi"))</f>
        <v>Tetap Deteksi</v>
      </c>
      <c r="AA142" s="143">
        <v>5.9304960000000007</v>
      </c>
      <c r="AB142" s="9">
        <f t="shared" si="30"/>
        <v>2.1426743440159703</v>
      </c>
      <c r="AC142" s="11"/>
      <c r="AD142" s="143"/>
      <c r="AE142" s="9">
        <f t="array" ref="AE142">IFERROR(AD142/$G142*100,0)</f>
        <v>0</v>
      </c>
      <c r="AF142" s="143"/>
      <c r="AG142" s="9">
        <f t="shared" si="26"/>
        <v>0</v>
      </c>
      <c r="AH142" s="8" t="str">
        <f t="array" ref="AH142">IF(AG142&gt;5,"Perlu Sensus",IF(AND(AG142&gt;=0,AD142&gt;0),"Tetap Deteksi","Belum Deteksi"))</f>
        <v>Belum Deteksi</v>
      </c>
      <c r="AI142" s="143"/>
      <c r="AJ142" s="9">
        <f t="shared" si="31"/>
        <v>0</v>
      </c>
      <c r="AK142" s="11"/>
      <c r="AL142" s="143"/>
      <c r="AM142" s="143"/>
      <c r="AN142" s="9">
        <f t="shared" si="27"/>
        <v>0</v>
      </c>
      <c r="AO142" s="8" t="str">
        <f t="array" ref="AO142">IF(AN142&gt;5,"Perlu Sensus",IF(AND(AN142&gt;=0,AL142&gt;0),"Tetap Deteksi","Belum Deteksi"))</f>
        <v>Belum Deteksi</v>
      </c>
      <c r="AP142" s="143"/>
      <c r="AQ142" s="9">
        <f t="shared" si="32"/>
        <v>0</v>
      </c>
    </row>
    <row r="143" spans="1:43" outlineLevel="1" x14ac:dyDescent="0.15">
      <c r="A143" s="8" t="s">
        <v>949</v>
      </c>
      <c r="B143" s="8"/>
      <c r="C143" s="8" t="s">
        <v>216</v>
      </c>
      <c r="D143" s="186" t="s">
        <v>1791</v>
      </c>
      <c r="E143" s="9">
        <v>35.76</v>
      </c>
      <c r="F143" s="8" t="s">
        <v>469</v>
      </c>
      <c r="G143" s="10">
        <v>3306</v>
      </c>
      <c r="H143" s="11">
        <f t="array" ref="H143">IF(OR(N143&gt;0,AC143&gt;0),MAX(N143,AC143),MAX(AK143,V143))</f>
        <v>46241</v>
      </c>
      <c r="I143" s="143">
        <f t="array" ref="I143">IF(SUM(O143,AD143)&gt;0,SUM(O143,AD143),SUM(AL143,W143))</f>
        <v>319.54209120000002</v>
      </c>
      <c r="J143" s="9">
        <f t="shared" si="22"/>
        <v>9.6655200000000008</v>
      </c>
      <c r="K143" s="143">
        <f t="shared" si="28"/>
        <v>6.12</v>
      </c>
      <c r="L143" s="9">
        <f t="shared" si="23"/>
        <v>1.9152406423257458</v>
      </c>
      <c r="M143" s="8" t="str">
        <f t="array" ref="M143">IF(L143&gt;5,"Perlu Sensus",IF(AND(L143&gt;=0,I143&gt;0),"Tetap Deteksi","Belum Deteksi"))</f>
        <v>Tetap Deteksi</v>
      </c>
      <c r="N143" s="11">
        <v>46241</v>
      </c>
      <c r="O143" s="143">
        <v>319.54209120000002</v>
      </c>
      <c r="P143" s="9">
        <f t="array" ref="P143">IFERROR(O143/$G143*100,0)</f>
        <v>9.6655200000000008</v>
      </c>
      <c r="Q143" s="143">
        <v>6.12</v>
      </c>
      <c r="R143" s="9">
        <f t="shared" si="24"/>
        <v>1.9152406423257458</v>
      </c>
      <c r="S143" s="8" t="str">
        <f t="array" ref="S143">IF(R143&gt;5,"Perlu Sensus",IF(AND(R143&gt;=0,O143&gt;0),"Tetap Deteksi","Belum Deteksi"))</f>
        <v>Tetap Deteksi</v>
      </c>
      <c r="T143" s="143">
        <v>4.5110658854476791</v>
      </c>
      <c r="U143" s="9">
        <f t="shared" si="29"/>
        <v>1.4117282228788515</v>
      </c>
      <c r="V143" s="11">
        <v>46241</v>
      </c>
      <c r="W143" s="143">
        <v>282.315692858033</v>
      </c>
      <c r="X143" s="143">
        <v>5.911766228722084</v>
      </c>
      <c r="Y143" s="9">
        <f t="shared" si="25"/>
        <v>2.094026785714286</v>
      </c>
      <c r="Z143" s="8" t="str">
        <f t="array" ref="Z143">IF(Y143&gt;5,"Perlu Sensus",IF(AND(Y143&gt;=0,W143&gt;0),"Tetap Deteksi","Belum Deteksi"))</f>
        <v>Tetap Deteksi</v>
      </c>
      <c r="AA143" s="143">
        <v>6.24</v>
      </c>
      <c r="AB143" s="9">
        <f t="shared" si="30"/>
        <v>2.2102915841585484</v>
      </c>
      <c r="AC143" s="11"/>
      <c r="AD143" s="143"/>
      <c r="AE143" s="9">
        <f t="array" ref="AE143">IFERROR(AD143/$G143*100,0)</f>
        <v>0</v>
      </c>
      <c r="AF143" s="143"/>
      <c r="AG143" s="9">
        <f t="shared" si="26"/>
        <v>0</v>
      </c>
      <c r="AH143" s="8" t="str">
        <f t="array" ref="AH143">IF(AG143&gt;5,"Perlu Sensus",IF(AND(AG143&gt;=0,AD143&gt;0),"Tetap Deteksi","Belum Deteksi"))</f>
        <v>Belum Deteksi</v>
      </c>
      <c r="AI143" s="143"/>
      <c r="AJ143" s="9">
        <f t="shared" si="31"/>
        <v>0</v>
      </c>
      <c r="AK143" s="11"/>
      <c r="AL143" s="143"/>
      <c r="AM143" s="143"/>
      <c r="AN143" s="9">
        <f t="shared" si="27"/>
        <v>0</v>
      </c>
      <c r="AO143" s="8" t="str">
        <f t="array" ref="AO143">IF(AN143&gt;5,"Perlu Sensus",IF(AND(AN143&gt;=0,AL143&gt;0),"Tetap Deteksi","Belum Deteksi"))</f>
        <v>Belum Deteksi</v>
      </c>
      <c r="AP143" s="143"/>
      <c r="AQ143" s="9">
        <f t="shared" si="32"/>
        <v>0</v>
      </c>
    </row>
    <row r="144" spans="1:43" outlineLevel="1" x14ac:dyDescent="0.15">
      <c r="A144" s="8" t="s">
        <v>949</v>
      </c>
      <c r="B144" s="8"/>
      <c r="C144" s="8" t="s">
        <v>216</v>
      </c>
      <c r="D144" s="186" t="s">
        <v>1403</v>
      </c>
      <c r="E144" s="9">
        <v>37.75</v>
      </c>
      <c r="F144" s="8" t="s">
        <v>469</v>
      </c>
      <c r="G144" s="10">
        <v>3529</v>
      </c>
      <c r="H144" s="11">
        <f t="array" ref="H144">IF(OR(N144&gt;0,AC144&gt;0),MAX(N144,AC144),MAX(AK144,V144))</f>
        <v>46242</v>
      </c>
      <c r="I144" s="143">
        <f t="array" ref="I144">IF(SUM(O144,AD144)&gt;0,SUM(O144,AD144),SUM(AL144,W144))</f>
        <v>469.00727609999996</v>
      </c>
      <c r="J144" s="9">
        <f t="shared" si="22"/>
        <v>13.290089999999999</v>
      </c>
      <c r="K144" s="143">
        <f t="shared" si="28"/>
        <v>14.280000000000001</v>
      </c>
      <c r="L144" s="9">
        <f t="shared" si="23"/>
        <v>3.0447288832583639</v>
      </c>
      <c r="M144" s="8" t="str">
        <f t="array" ref="M144">IF(L144&gt;5,"Perlu Sensus",IF(AND(L144&gt;=0,I144&gt;0),"Tetap Deteksi","Belum Deteksi"))</f>
        <v>Tetap Deteksi</v>
      </c>
      <c r="N144" s="11">
        <v>46242</v>
      </c>
      <c r="O144" s="143">
        <v>469.00727609999996</v>
      </c>
      <c r="P144" s="9">
        <f t="array" ref="P144">IFERROR(O144/$G144*100,0)</f>
        <v>13.290089999999999</v>
      </c>
      <c r="Q144" s="143">
        <v>14.280000000000001</v>
      </c>
      <c r="R144" s="9">
        <f t="shared" si="24"/>
        <v>3.0447288832583639</v>
      </c>
      <c r="S144" s="8" t="str">
        <f t="array" ref="S144">IF(R144&gt;5,"Perlu Sensus",IF(AND(R144&gt;=0,O144&gt;0),"Tetap Deteksi","Belum Deteksi"))</f>
        <v>Tetap Deteksi</v>
      </c>
      <c r="T144" s="143">
        <v>8.2690283183137332</v>
      </c>
      <c r="U144" s="9">
        <f t="shared" si="29"/>
        <v>1.7630916916842549</v>
      </c>
      <c r="V144" s="11">
        <v>46242</v>
      </c>
      <c r="W144" s="143">
        <v>287.9620067151937</v>
      </c>
      <c r="X144" s="143">
        <v>4.12</v>
      </c>
      <c r="Y144" s="9">
        <f t="shared" si="25"/>
        <v>1.4307443009573309</v>
      </c>
      <c r="Z144" s="8" t="str">
        <f t="array" ref="Z144">IF(Y144&gt;5,"Perlu Sensus",IF(AND(Y144&gt;=0,W144&gt;0),"Tetap Deteksi","Belum Deteksi"))</f>
        <v>Tetap Deteksi</v>
      </c>
      <c r="AA144" s="143">
        <v>9.36</v>
      </c>
      <c r="AB144" s="9">
        <f t="shared" si="30"/>
        <v>3.2504288002331592</v>
      </c>
      <c r="AC144" s="11"/>
      <c r="AD144" s="143"/>
      <c r="AE144" s="9">
        <f t="array" ref="AE144">IFERROR(AD144/$G144*100,0)</f>
        <v>0</v>
      </c>
      <c r="AF144" s="143"/>
      <c r="AG144" s="9">
        <f t="shared" si="26"/>
        <v>0</v>
      </c>
      <c r="AH144" s="8" t="str">
        <f t="array" ref="AH144">IF(AG144&gt;5,"Perlu Sensus",IF(AND(AG144&gt;=0,AD144&gt;0),"Tetap Deteksi","Belum Deteksi"))</f>
        <v>Belum Deteksi</v>
      </c>
      <c r="AI144" s="143"/>
      <c r="AJ144" s="9">
        <f t="shared" si="31"/>
        <v>0</v>
      </c>
      <c r="AK144" s="11"/>
      <c r="AL144" s="143"/>
      <c r="AM144" s="143"/>
      <c r="AN144" s="9">
        <f t="shared" si="27"/>
        <v>0</v>
      </c>
      <c r="AO144" s="8" t="str">
        <f t="array" ref="AO144">IF(AN144&gt;5,"Perlu Sensus",IF(AND(AN144&gt;=0,AL144&gt;0),"Tetap Deteksi","Belum Deteksi"))</f>
        <v>Belum Deteksi</v>
      </c>
      <c r="AP144" s="143"/>
      <c r="AQ144" s="9">
        <f t="shared" si="32"/>
        <v>0</v>
      </c>
    </row>
    <row r="145" spans="1:43" outlineLevel="1" x14ac:dyDescent="0.15">
      <c r="A145" s="8" t="s">
        <v>949</v>
      </c>
      <c r="B145" s="8"/>
      <c r="C145" s="8" t="s">
        <v>216</v>
      </c>
      <c r="D145" s="186" t="s">
        <v>1404</v>
      </c>
      <c r="E145" s="9">
        <v>36.849999999999994</v>
      </c>
      <c r="F145" s="8" t="s">
        <v>469</v>
      </c>
      <c r="G145" s="10">
        <v>3127</v>
      </c>
      <c r="H145" s="11">
        <f t="array" ref="H145">IF(OR(N145&gt;0,AC145&gt;0),MAX(N145,AC145),MAX(AK145,V145))</f>
        <v>46243</v>
      </c>
      <c r="I145" s="143">
        <f t="array" ref="I145">IF(SUM(O145,AD145)&gt;0,SUM(O145,AD145),SUM(AL145,W145))</f>
        <v>453.36121560000009</v>
      </c>
      <c r="J145" s="9">
        <f t="shared" si="22"/>
        <v>14.498280000000003</v>
      </c>
      <c r="K145" s="143">
        <f t="shared" si="28"/>
        <v>14.586</v>
      </c>
      <c r="L145" s="9">
        <f t="shared" si="23"/>
        <v>3.2173021198331186</v>
      </c>
      <c r="M145" s="8" t="str">
        <f t="array" ref="M145">IF(L145&gt;5,"Perlu Sensus",IF(AND(L145&gt;=0,I145&gt;0),"Tetap Deteksi","Belum Deteksi"))</f>
        <v>Tetap Deteksi</v>
      </c>
      <c r="N145" s="11">
        <v>46243</v>
      </c>
      <c r="O145" s="143">
        <v>453.36121560000009</v>
      </c>
      <c r="P145" s="9">
        <f t="array" ref="P145">IFERROR(O145/$G145*100,0)</f>
        <v>14.498280000000003</v>
      </c>
      <c r="Q145" s="143">
        <v>14.586</v>
      </c>
      <c r="R145" s="9">
        <f t="shared" si="24"/>
        <v>3.2173021198331186</v>
      </c>
      <c r="S145" s="8" t="str">
        <f t="array" ref="S145">IF(R145&gt;5,"Perlu Sensus",IF(AND(R145&gt;=0,O145&gt;0),"Tetap Deteksi","Belum Deteksi"))</f>
        <v>Tetap Deteksi</v>
      </c>
      <c r="T145" s="143">
        <v>9.4721119999999992</v>
      </c>
      <c r="U145" s="9">
        <f t="shared" si="29"/>
        <v>2.0893079677016813</v>
      </c>
      <c r="V145" s="11">
        <v>46243</v>
      </c>
      <c r="W145" s="143">
        <v>293.72124684949756</v>
      </c>
      <c r="X145" s="143">
        <v>5.665</v>
      </c>
      <c r="Y145" s="9">
        <f t="shared" si="25"/>
        <v>1.9286994253101275</v>
      </c>
      <c r="Z145" s="8" t="str">
        <f t="array" ref="Z145">IF(Y145&gt;5,"Perlu Sensus",IF(AND(Y145&gt;=0,W145&gt;0),"Tetap Deteksi","Belum Deteksi"))</f>
        <v>Tetap Deteksi</v>
      </c>
      <c r="AA145" s="143">
        <v>3.7065600000000005</v>
      </c>
      <c r="AB145" s="9">
        <f t="shared" si="30"/>
        <v>1.2619311812669916</v>
      </c>
      <c r="AC145" s="11"/>
      <c r="AD145" s="143"/>
      <c r="AE145" s="9">
        <f t="array" ref="AE145">IFERROR(AD145/$G145*100,0)</f>
        <v>0</v>
      </c>
      <c r="AF145" s="143"/>
      <c r="AG145" s="9">
        <f t="shared" si="26"/>
        <v>0</v>
      </c>
      <c r="AH145" s="8" t="str">
        <f t="array" ref="AH145">IF(AG145&gt;5,"Perlu Sensus",IF(AND(AG145&gt;=0,AD145&gt;0),"Tetap Deteksi","Belum Deteksi"))</f>
        <v>Belum Deteksi</v>
      </c>
      <c r="AI145" s="143"/>
      <c r="AJ145" s="9">
        <f t="shared" si="31"/>
        <v>0</v>
      </c>
      <c r="AK145" s="11"/>
      <c r="AL145" s="143"/>
      <c r="AM145" s="143"/>
      <c r="AN145" s="9">
        <f t="shared" si="27"/>
        <v>0</v>
      </c>
      <c r="AO145" s="8" t="str">
        <f t="array" ref="AO145">IF(AN145&gt;5,"Perlu Sensus",IF(AND(AN145&gt;=0,AL145&gt;0),"Tetap Deteksi","Belum Deteksi"))</f>
        <v>Belum Deteksi</v>
      </c>
      <c r="AP145" s="143"/>
      <c r="AQ145" s="9">
        <f t="shared" si="32"/>
        <v>0</v>
      </c>
    </row>
    <row r="146" spans="1:43" outlineLevel="1" x14ac:dyDescent="0.15">
      <c r="A146" s="8" t="s">
        <v>949</v>
      </c>
      <c r="B146" s="8"/>
      <c r="C146" s="8" t="s">
        <v>216</v>
      </c>
      <c r="D146" s="186" t="s">
        <v>1405</v>
      </c>
      <c r="E146" s="9">
        <v>31.82</v>
      </c>
      <c r="F146" s="8" t="s">
        <v>469</v>
      </c>
      <c r="G146" s="10">
        <v>3325</v>
      </c>
      <c r="H146" s="11">
        <f t="array" ref="H146">IF(OR(N146&gt;0,AC146&gt;0),MAX(N146,AC146),MAX(AK146,V146))</f>
        <v>46244</v>
      </c>
      <c r="I146" s="143">
        <f t="array" ref="I146">IF(SUM(O146,AD146)&gt;0,SUM(O146,AD146),SUM(AL146,W146))</f>
        <v>522.24012749999997</v>
      </c>
      <c r="J146" s="9">
        <f t="shared" si="22"/>
        <v>15.706469999999999</v>
      </c>
      <c r="K146" s="143">
        <f t="shared" si="28"/>
        <v>12.24</v>
      </c>
      <c r="L146" s="9">
        <f t="shared" si="23"/>
        <v>2.34374942779555</v>
      </c>
      <c r="M146" s="8" t="str">
        <f t="array" ref="M146">IF(L146&gt;5,"Perlu Sensus",IF(AND(L146&gt;=0,I146&gt;0),"Tetap Deteksi","Belum Deteksi"))</f>
        <v>Tetap Deteksi</v>
      </c>
      <c r="N146" s="11">
        <v>46244</v>
      </c>
      <c r="O146" s="143">
        <v>522.24012749999997</v>
      </c>
      <c r="P146" s="9">
        <f t="array" ref="P146">IFERROR(O146/$G146*100,0)</f>
        <v>15.706469999999999</v>
      </c>
      <c r="Q146" s="143">
        <v>12.24</v>
      </c>
      <c r="R146" s="9">
        <f t="shared" si="24"/>
        <v>2.34374942779555</v>
      </c>
      <c r="S146" s="8" t="str">
        <f t="array" ref="S146">IF(R146&gt;5,"Perlu Sensus",IF(AND(R146&gt;=0,O146&gt;0),"Tetap Deteksi","Belum Deteksi"))</f>
        <v>Tetap Deteksi</v>
      </c>
      <c r="T146" s="143">
        <v>9.6335453942582383</v>
      </c>
      <c r="U146" s="9">
        <f t="shared" si="29"/>
        <v>1.844658211228366</v>
      </c>
      <c r="V146" s="11">
        <v>46244</v>
      </c>
      <c r="W146" s="143">
        <v>299.59567178648751</v>
      </c>
      <c r="X146" s="143">
        <v>3.09</v>
      </c>
      <c r="Y146" s="9">
        <f t="shared" si="25"/>
        <v>1.0313900670107632</v>
      </c>
      <c r="Z146" s="8" t="str">
        <f t="array" ref="Z146">IF(Y146&gt;5,"Perlu Sensus",IF(AND(Y146&gt;=0,W146&gt;0),"Tetap Deteksi","Belum Deteksi"))</f>
        <v>Tetap Deteksi</v>
      </c>
      <c r="AA146" s="143">
        <v>9.36</v>
      </c>
      <c r="AB146" s="9">
        <f t="shared" si="30"/>
        <v>3.1242106884209528</v>
      </c>
      <c r="AC146" s="11"/>
      <c r="AD146" s="143"/>
      <c r="AE146" s="9">
        <f t="array" ref="AE146">IFERROR(AD146/$G146*100,0)</f>
        <v>0</v>
      </c>
      <c r="AF146" s="143"/>
      <c r="AG146" s="9">
        <f t="shared" si="26"/>
        <v>0</v>
      </c>
      <c r="AH146" s="8" t="str">
        <f t="array" ref="AH146">IF(AG146&gt;5,"Perlu Sensus",IF(AND(AG146&gt;=0,AD146&gt;0),"Tetap Deteksi","Belum Deteksi"))</f>
        <v>Belum Deteksi</v>
      </c>
      <c r="AI146" s="143"/>
      <c r="AJ146" s="9">
        <f t="shared" si="31"/>
        <v>0</v>
      </c>
      <c r="AK146" s="11"/>
      <c r="AL146" s="143"/>
      <c r="AM146" s="143"/>
      <c r="AN146" s="9">
        <f t="shared" si="27"/>
        <v>0</v>
      </c>
      <c r="AO146" s="8" t="str">
        <f t="array" ref="AO146">IF(AN146&gt;5,"Perlu Sensus",IF(AND(AN146&gt;=0,AL146&gt;0),"Tetap Deteksi","Belum Deteksi"))</f>
        <v>Belum Deteksi</v>
      </c>
      <c r="AP146" s="143"/>
      <c r="AQ146" s="9">
        <f t="shared" si="32"/>
        <v>0</v>
      </c>
    </row>
    <row r="147" spans="1:43" outlineLevel="1" x14ac:dyDescent="0.15">
      <c r="A147" s="8" t="s">
        <v>949</v>
      </c>
      <c r="B147" s="8"/>
      <c r="C147" s="8" t="s">
        <v>216</v>
      </c>
      <c r="D147" s="186" t="s">
        <v>1409</v>
      </c>
      <c r="E147" s="9">
        <v>28.66</v>
      </c>
      <c r="F147" s="8" t="s">
        <v>469</v>
      </c>
      <c r="G147" s="10">
        <v>2150</v>
      </c>
      <c r="H147" s="11">
        <f t="array" ref="H147">IF(OR(N147&gt;0,AC147&gt;0),MAX(N147,AC147),MAX(AK147,V147))</f>
        <v>46245</v>
      </c>
      <c r="I147" s="143">
        <f t="array" ref="I147">IF(SUM(O147,AD147)&gt;0,SUM(O147,AD147),SUM(AL147,W147))</f>
        <v>311.71302000000003</v>
      </c>
      <c r="J147" s="9">
        <f t="shared" si="22"/>
        <v>14.498280000000003</v>
      </c>
      <c r="K147" s="143">
        <f t="shared" si="28"/>
        <v>10.098000000000001</v>
      </c>
      <c r="L147" s="9">
        <f t="shared" si="23"/>
        <v>3.2395181952938632</v>
      </c>
      <c r="M147" s="8" t="str">
        <f t="array" ref="M147">IF(L147&gt;5,"Perlu Sensus",IF(AND(L147&gt;=0,I147&gt;0),"Tetap Deteksi","Belum Deteksi"))</f>
        <v>Tetap Deteksi</v>
      </c>
      <c r="N147" s="11">
        <v>46245</v>
      </c>
      <c r="O147" s="143">
        <v>311.71302000000003</v>
      </c>
      <c r="P147" s="9">
        <f t="array" ref="P147">IFERROR(O147/$G147*100,0)</f>
        <v>14.498280000000003</v>
      </c>
      <c r="Q147" s="143">
        <v>10.098000000000001</v>
      </c>
      <c r="R147" s="9">
        <f t="shared" si="24"/>
        <v>3.2395181952938632</v>
      </c>
      <c r="S147" s="8" t="str">
        <f t="array" ref="S147">IF(R147&gt;5,"Perlu Sensus",IF(AND(R147&gt;=0,O147&gt;0),"Tetap Deteksi","Belum Deteksi"))</f>
        <v>Tetap Deteksi</v>
      </c>
      <c r="T147" s="143">
        <v>6.5576159999999994</v>
      </c>
      <c r="U147" s="9">
        <f t="shared" si="29"/>
        <v>2.1037350316647019</v>
      </c>
      <c r="V147" s="11">
        <v>46245</v>
      </c>
      <c r="W147" s="143">
        <v>305.58758522221723</v>
      </c>
      <c r="X147" s="143">
        <v>4.5320000000000009</v>
      </c>
      <c r="Y147" s="9">
        <f t="shared" si="25"/>
        <v>1.4830445407997908</v>
      </c>
      <c r="Z147" s="8" t="str">
        <f t="array" ref="Z147">IF(Y147&gt;5,"Perlu Sensus",IF(AND(Y147&gt;=0,W147&gt;0),"Tetap Deteksi","Belum Deteksi"))</f>
        <v>Tetap Deteksi</v>
      </c>
      <c r="AA147" s="143">
        <v>2.9652480000000003</v>
      </c>
      <c r="AB147" s="9">
        <f t="shared" si="30"/>
        <v>0.97034308440368444</v>
      </c>
      <c r="AC147" s="11"/>
      <c r="AD147" s="143"/>
      <c r="AE147" s="9">
        <f t="array" ref="AE147">IFERROR(AD147/$G147*100,0)</f>
        <v>0</v>
      </c>
      <c r="AF147" s="143"/>
      <c r="AG147" s="9">
        <f t="shared" si="26"/>
        <v>0</v>
      </c>
      <c r="AH147" s="8" t="str">
        <f t="array" ref="AH147">IF(AG147&gt;5,"Perlu Sensus",IF(AND(AG147&gt;=0,AD147&gt;0),"Tetap Deteksi","Belum Deteksi"))</f>
        <v>Belum Deteksi</v>
      </c>
      <c r="AI147" s="143"/>
      <c r="AJ147" s="9">
        <f t="shared" si="31"/>
        <v>0</v>
      </c>
      <c r="AK147" s="11"/>
      <c r="AL147" s="143"/>
      <c r="AM147" s="143"/>
      <c r="AN147" s="9">
        <f t="shared" si="27"/>
        <v>0</v>
      </c>
      <c r="AO147" s="8" t="str">
        <f t="array" ref="AO147">IF(AN147&gt;5,"Perlu Sensus",IF(AND(AN147&gt;=0,AL147&gt;0),"Tetap Deteksi","Belum Deteksi"))</f>
        <v>Belum Deteksi</v>
      </c>
      <c r="AP147" s="143"/>
      <c r="AQ147" s="9">
        <f t="shared" si="32"/>
        <v>0</v>
      </c>
    </row>
    <row r="148" spans="1:43" outlineLevel="1" x14ac:dyDescent="0.15">
      <c r="A148" s="8" t="s">
        <v>949</v>
      </c>
      <c r="B148" s="8"/>
      <c r="C148" s="8" t="s">
        <v>216</v>
      </c>
      <c r="D148" s="186" t="s">
        <v>1410</v>
      </c>
      <c r="E148" s="9">
        <v>27.08</v>
      </c>
      <c r="F148" s="8" t="s">
        <v>469</v>
      </c>
      <c r="G148" s="10">
        <v>2731</v>
      </c>
      <c r="H148" s="11">
        <f t="array" ref="H148">IF(OR(N148&gt;0,AC148&gt;0),MAX(N148,AC148),MAX(AK148,V148))</f>
        <v>46246</v>
      </c>
      <c r="I148" s="143">
        <f t="array" ref="I148">IF(SUM(O148,AD148)&gt;0,SUM(O148,AD148),SUM(AL148,W148))</f>
        <v>296.96102009999993</v>
      </c>
      <c r="J148" s="9">
        <f t="shared" si="22"/>
        <v>10.873709999999997</v>
      </c>
      <c r="K148" s="143">
        <f t="shared" si="28"/>
        <v>8.16</v>
      </c>
      <c r="L148" s="9">
        <f t="shared" si="23"/>
        <v>2.7478353883793121</v>
      </c>
      <c r="M148" s="8" t="str">
        <f t="array" ref="M148">IF(L148&gt;5,"Perlu Sensus",IF(AND(L148&gt;=0,I148&gt;0),"Tetap Deteksi","Belum Deteksi"))</f>
        <v>Tetap Deteksi</v>
      </c>
      <c r="N148" s="11">
        <v>46246</v>
      </c>
      <c r="O148" s="143">
        <v>296.96102009999993</v>
      </c>
      <c r="P148" s="9">
        <f t="array" ref="P148">IFERROR(O148/$G148*100,0)</f>
        <v>10.873709999999997</v>
      </c>
      <c r="Q148" s="143">
        <v>8.16</v>
      </c>
      <c r="R148" s="9">
        <f t="shared" si="24"/>
        <v>2.7478353883793121</v>
      </c>
      <c r="S148" s="8" t="str">
        <f t="array" ref="S148">IF(R148&gt;5,"Perlu Sensus",IF(AND(R148&gt;=0,O148&gt;0),"Tetap Deteksi","Belum Deteksi"))</f>
        <v>Tetap Deteksi</v>
      </c>
      <c r="T148" s="143">
        <v>3.2979289249378363</v>
      </c>
      <c r="U148" s="9">
        <f t="shared" si="29"/>
        <v>1.1105595353313635</v>
      </c>
      <c r="V148" s="11">
        <v>46246</v>
      </c>
      <c r="W148" s="143">
        <v>311.69933692666166</v>
      </c>
      <c r="X148" s="143">
        <v>8.24</v>
      </c>
      <c r="Y148" s="9">
        <f t="shared" si="25"/>
        <v>2.6435731565058647</v>
      </c>
      <c r="Z148" s="8" t="str">
        <f t="array" ref="Z148">IF(Y148&gt;5,"Perlu Sensus",IF(AND(Y148&gt;=0,W148&gt;0),"Tetap Deteksi","Belum Deteksi"))</f>
        <v>Tetap Deteksi</v>
      </c>
      <c r="AA148" s="143">
        <v>7.28</v>
      </c>
      <c r="AB148" s="9">
        <f t="shared" si="30"/>
        <v>2.335584050893531</v>
      </c>
      <c r="AC148" s="11"/>
      <c r="AD148" s="143"/>
      <c r="AE148" s="9">
        <f t="array" ref="AE148">IFERROR(AD148/$G148*100,0)</f>
        <v>0</v>
      </c>
      <c r="AF148" s="143"/>
      <c r="AG148" s="9">
        <f t="shared" si="26"/>
        <v>0</v>
      </c>
      <c r="AH148" s="8" t="str">
        <f t="array" ref="AH148">IF(AG148&gt;5,"Perlu Sensus",IF(AND(AG148&gt;=0,AD148&gt;0),"Tetap Deteksi","Belum Deteksi"))</f>
        <v>Belum Deteksi</v>
      </c>
      <c r="AI148" s="143"/>
      <c r="AJ148" s="9">
        <f t="shared" si="31"/>
        <v>0</v>
      </c>
      <c r="AK148" s="11"/>
      <c r="AL148" s="143"/>
      <c r="AM148" s="143"/>
      <c r="AN148" s="9">
        <f t="shared" si="27"/>
        <v>0</v>
      </c>
      <c r="AO148" s="8" t="str">
        <f t="array" ref="AO148">IF(AN148&gt;5,"Perlu Sensus",IF(AND(AN148&gt;=0,AL148&gt;0),"Tetap Deteksi","Belum Deteksi"))</f>
        <v>Belum Deteksi</v>
      </c>
      <c r="AP148" s="143"/>
      <c r="AQ148" s="9">
        <f t="shared" si="32"/>
        <v>0</v>
      </c>
    </row>
    <row r="149" spans="1:43" outlineLevel="1" x14ac:dyDescent="0.15">
      <c r="A149" s="8" t="s">
        <v>949</v>
      </c>
      <c r="B149" s="8"/>
      <c r="C149" s="8" t="s">
        <v>216</v>
      </c>
      <c r="D149" s="186" t="s">
        <v>1411</v>
      </c>
      <c r="E149" s="9">
        <v>29.46</v>
      </c>
      <c r="F149" s="8" t="s">
        <v>469</v>
      </c>
      <c r="G149" s="10">
        <v>2974</v>
      </c>
      <c r="H149" s="11">
        <f t="array" ref="H149">IF(OR(N149&gt;0,AC149&gt;0),MAX(N149,AC149),MAX(AK149,V149))</f>
        <v>46247</v>
      </c>
      <c r="I149" s="143">
        <f t="array" ref="I149">IF(SUM(O149,AD149)&gt;0,SUM(O149,AD149),SUM(AL149,W149))</f>
        <v>287.4525648</v>
      </c>
      <c r="J149" s="9">
        <f t="shared" si="22"/>
        <v>9.665519999999999</v>
      </c>
      <c r="K149" s="143">
        <f t="shared" si="28"/>
        <v>11.22</v>
      </c>
      <c r="L149" s="9">
        <f t="shared" si="23"/>
        <v>3.9032527011218376</v>
      </c>
      <c r="M149" s="8" t="str">
        <f t="array" ref="M149">IF(L149&gt;5,"Perlu Sensus",IF(AND(L149&gt;=0,I149&gt;0),"Tetap Deteksi","Belum Deteksi"))</f>
        <v>Tetap Deteksi</v>
      </c>
      <c r="N149" s="11">
        <v>46247</v>
      </c>
      <c r="O149" s="143">
        <v>287.4525648</v>
      </c>
      <c r="P149" s="9">
        <f t="array" ref="P149">IFERROR(O149/$G149*100,0)</f>
        <v>9.665519999999999</v>
      </c>
      <c r="Q149" s="143">
        <v>11.22</v>
      </c>
      <c r="R149" s="9">
        <f t="shared" si="24"/>
        <v>3.9032527011218376</v>
      </c>
      <c r="S149" s="8" t="str">
        <f t="array" ref="S149">IF(R149&gt;5,"Perlu Sensus",IF(AND(R149&gt;=0,O149&gt;0),"Tetap Deteksi","Belum Deteksi"))</f>
        <v>Tetap Deteksi</v>
      </c>
      <c r="T149" s="143">
        <v>7.4271314306106797</v>
      </c>
      <c r="U149" s="9">
        <f t="shared" si="29"/>
        <v>2.5837763652511612</v>
      </c>
      <c r="V149" s="11">
        <v>46247</v>
      </c>
      <c r="W149" s="143">
        <v>317.93332366519491</v>
      </c>
      <c r="X149" s="143">
        <v>8.24</v>
      </c>
      <c r="Y149" s="9">
        <f t="shared" si="25"/>
        <v>2.59173838873124</v>
      </c>
      <c r="Z149" s="8" t="str">
        <f t="array" ref="Z149">IF(Y149&gt;5,"Perlu Sensus",IF(AND(Y149&gt;=0,W149&gt;0),"Tetap Deteksi","Belum Deteksi"))</f>
        <v>Tetap Deteksi</v>
      </c>
      <c r="AA149" s="143">
        <v>5.2</v>
      </c>
      <c r="AB149" s="9">
        <f t="shared" si="30"/>
        <v>1.6355630608498115</v>
      </c>
      <c r="AC149" s="11"/>
      <c r="AD149" s="143"/>
      <c r="AE149" s="9">
        <f t="array" ref="AE149">IFERROR(AD149/$G149*100,0)</f>
        <v>0</v>
      </c>
      <c r="AF149" s="143"/>
      <c r="AG149" s="9">
        <f t="shared" si="26"/>
        <v>0</v>
      </c>
      <c r="AH149" s="8" t="str">
        <f t="array" ref="AH149">IF(AG149&gt;5,"Perlu Sensus",IF(AND(AG149&gt;=0,AD149&gt;0),"Tetap Deteksi","Belum Deteksi"))</f>
        <v>Belum Deteksi</v>
      </c>
      <c r="AI149" s="143"/>
      <c r="AJ149" s="9">
        <f t="shared" si="31"/>
        <v>0</v>
      </c>
      <c r="AK149" s="11"/>
      <c r="AL149" s="143"/>
      <c r="AM149" s="143"/>
      <c r="AN149" s="9">
        <f t="shared" si="27"/>
        <v>0</v>
      </c>
      <c r="AO149" s="8" t="str">
        <f t="array" ref="AO149">IF(AN149&gt;5,"Perlu Sensus",IF(AND(AN149&gt;=0,AL149&gt;0),"Tetap Deteksi","Belum Deteksi"))</f>
        <v>Belum Deteksi</v>
      </c>
      <c r="AP149" s="143"/>
      <c r="AQ149" s="9">
        <f t="shared" si="32"/>
        <v>0</v>
      </c>
    </row>
    <row r="150" spans="1:43" outlineLevel="1" x14ac:dyDescent="0.15">
      <c r="A150" s="8" t="s">
        <v>949</v>
      </c>
      <c r="B150" s="8"/>
      <c r="C150" s="8" t="s">
        <v>216</v>
      </c>
      <c r="D150" s="186" t="s">
        <v>1018</v>
      </c>
      <c r="E150" s="9">
        <v>26.39</v>
      </c>
      <c r="F150" s="8" t="s">
        <v>469</v>
      </c>
      <c r="G150" s="10">
        <v>2312</v>
      </c>
      <c r="H150" s="11">
        <f t="array" ref="H150">IF(OR(N150&gt;0,AC150&gt;0),MAX(N150,AC150),MAX(AK150,V150))</f>
        <v>46248</v>
      </c>
      <c r="I150" s="143">
        <f t="array" ref="I150">IF(SUM(O150,AD150)&gt;0,SUM(O150,AD150),SUM(AL150,W150))</f>
        <v>251.40017519999995</v>
      </c>
      <c r="J150" s="9">
        <f t="shared" si="22"/>
        <v>10.873709999999997</v>
      </c>
      <c r="K150" s="143">
        <f t="shared" si="28"/>
        <v>10.098000000000001</v>
      </c>
      <c r="L150" s="9">
        <f t="shared" si="23"/>
        <v>4.016703644683858</v>
      </c>
      <c r="M150" s="8" t="str">
        <f t="array" ref="M150">IF(L150&gt;5,"Perlu Sensus",IF(AND(L150&gt;=0,I150&gt;0),"Tetap Deteksi","Belum Deteksi"))</f>
        <v>Tetap Deteksi</v>
      </c>
      <c r="N150" s="11">
        <v>46248</v>
      </c>
      <c r="O150" s="143">
        <v>251.40017519999995</v>
      </c>
      <c r="P150" s="9">
        <f t="array" ref="P150">IFERROR(O150/$G150*100,0)</f>
        <v>10.873709999999997</v>
      </c>
      <c r="Q150" s="143">
        <v>10.098000000000001</v>
      </c>
      <c r="R150" s="9">
        <f t="shared" si="24"/>
        <v>4.016703644683858</v>
      </c>
      <c r="S150" s="8" t="str">
        <f t="array" ref="S150">IF(R150&gt;5,"Perlu Sensus",IF(AND(R150&gt;=0,O150&gt;0),"Tetap Deteksi","Belum Deteksi"))</f>
        <v>Tetap Deteksi</v>
      </c>
      <c r="T150" s="143">
        <v>6.5576159999999994</v>
      </c>
      <c r="U150" s="9">
        <f t="shared" si="29"/>
        <v>2.6084373229983338</v>
      </c>
      <c r="V150" s="11">
        <v>46248</v>
      </c>
      <c r="W150" s="143">
        <v>324.29199013849876</v>
      </c>
      <c r="X150" s="143">
        <v>7.9310000000000009</v>
      </c>
      <c r="Y150" s="9">
        <f t="shared" si="25"/>
        <v>2.4456354893664893</v>
      </c>
      <c r="Z150" s="8" t="str">
        <f t="array" ref="Z150">IF(Y150&gt;5,"Perlu Sensus",IF(AND(Y150&gt;=0,W150&gt;0),"Tetap Deteksi","Belum Deteksi"))</f>
        <v>Tetap Deteksi</v>
      </c>
      <c r="AA150" s="143">
        <v>5.189184</v>
      </c>
      <c r="AB150" s="9">
        <f t="shared" si="30"/>
        <v>1.6001579310620042</v>
      </c>
      <c r="AC150" s="11"/>
      <c r="AD150" s="143"/>
      <c r="AE150" s="9">
        <f t="array" ref="AE150">IFERROR(AD150/$G150*100,0)</f>
        <v>0</v>
      </c>
      <c r="AF150" s="143"/>
      <c r="AG150" s="9">
        <f t="shared" si="26"/>
        <v>0</v>
      </c>
      <c r="AH150" s="8" t="str">
        <f t="array" ref="AH150">IF(AG150&gt;5,"Perlu Sensus",IF(AND(AG150&gt;=0,AD150&gt;0),"Tetap Deteksi","Belum Deteksi"))</f>
        <v>Belum Deteksi</v>
      </c>
      <c r="AI150" s="143"/>
      <c r="AJ150" s="9">
        <f t="shared" si="31"/>
        <v>0</v>
      </c>
      <c r="AK150" s="11"/>
      <c r="AL150" s="143"/>
      <c r="AM150" s="143"/>
      <c r="AN150" s="9">
        <f t="shared" si="27"/>
        <v>0</v>
      </c>
      <c r="AO150" s="8" t="str">
        <f t="array" ref="AO150">IF(AN150&gt;5,"Perlu Sensus",IF(AND(AN150&gt;=0,AL150&gt;0),"Tetap Deteksi","Belum Deteksi"))</f>
        <v>Belum Deteksi</v>
      </c>
      <c r="AP150" s="143"/>
      <c r="AQ150" s="9">
        <f t="shared" si="32"/>
        <v>0</v>
      </c>
    </row>
    <row r="151" spans="1:43" outlineLevel="1" x14ac:dyDescent="0.15">
      <c r="A151" s="8" t="s">
        <v>949</v>
      </c>
      <c r="B151" s="8"/>
      <c r="C151" s="8" t="s">
        <v>216</v>
      </c>
      <c r="D151" s="186" t="s">
        <v>1014</v>
      </c>
      <c r="E151" s="9">
        <v>32</v>
      </c>
      <c r="F151" s="8" t="s">
        <v>469</v>
      </c>
      <c r="G151" s="10">
        <v>1838</v>
      </c>
      <c r="H151" s="11">
        <f t="array" ref="H151">IF(OR(N151&gt;0,AC151&gt;0),MAX(N151,AC151),MAX(AK151,V151))</f>
        <v>46249</v>
      </c>
      <c r="I151" s="143">
        <f t="array" ref="I151">IF(SUM(O151,AD151)&gt;0,SUM(O151,AD151),SUM(AL151,W151))</f>
        <v>222.06532200000001</v>
      </c>
      <c r="J151" s="9">
        <f t="shared" si="22"/>
        <v>12.081900000000001</v>
      </c>
      <c r="K151" s="143">
        <f t="shared" si="28"/>
        <v>2.04</v>
      </c>
      <c r="L151" s="9">
        <f t="shared" si="23"/>
        <v>0.91864861277169607</v>
      </c>
      <c r="M151" s="8" t="str">
        <f t="array" ref="M151">IF(L151&gt;5,"Perlu Sensus",IF(AND(L151&gt;=0,I151&gt;0),"Tetap Deteksi","Belum Deteksi"))</f>
        <v>Tetap Deteksi</v>
      </c>
      <c r="N151" s="11">
        <v>46249</v>
      </c>
      <c r="O151" s="143">
        <v>222.06532200000001</v>
      </c>
      <c r="P151" s="9">
        <f t="array" ref="P151">IFERROR(O151/$G151*100,0)</f>
        <v>12.081900000000001</v>
      </c>
      <c r="Q151" s="143">
        <v>2.04</v>
      </c>
      <c r="R151" s="9">
        <f t="shared" si="24"/>
        <v>0.91864861277169607</v>
      </c>
      <c r="S151" s="8" t="str">
        <f t="array" ref="S151">IF(R151&gt;5,"Perlu Sensus",IF(AND(R151&gt;=0,O151&gt;0),"Tetap Deteksi","Belum Deteksi"))</f>
        <v>Tetap Deteksi</v>
      </c>
      <c r="T151" s="143">
        <v>2.5358333597775355</v>
      </c>
      <c r="U151" s="9">
        <f t="shared" si="29"/>
        <v>1.14193127361756</v>
      </c>
      <c r="V151" s="11">
        <v>46249</v>
      </c>
      <c r="W151" s="143">
        <v>330.77782994126881</v>
      </c>
      <c r="X151" s="143">
        <v>7.21</v>
      </c>
      <c r="Y151" s="9">
        <f t="shared" si="25"/>
        <v>2.1797107748364422</v>
      </c>
      <c r="Z151" s="8" t="str">
        <f t="array" ref="Z151">IF(Y151&gt;5,"Perlu Sensus",IF(AND(Y151&gt;=0,W151&gt;0),"Tetap Deteksi","Belum Deteksi"))</f>
        <v>Tetap Deteksi</v>
      </c>
      <c r="AA151" s="143">
        <v>8.32</v>
      </c>
      <c r="AB151" s="9">
        <f t="shared" si="30"/>
        <v>2.5152834461358116</v>
      </c>
      <c r="AC151" s="11"/>
      <c r="AD151" s="143"/>
      <c r="AE151" s="9">
        <f t="array" ref="AE151">IFERROR(AD151/$G151*100,0)</f>
        <v>0</v>
      </c>
      <c r="AF151" s="143"/>
      <c r="AG151" s="9">
        <f t="shared" si="26"/>
        <v>0</v>
      </c>
      <c r="AH151" s="8" t="str">
        <f t="array" ref="AH151">IF(AG151&gt;5,"Perlu Sensus",IF(AND(AG151&gt;=0,AD151&gt;0),"Tetap Deteksi","Belum Deteksi"))</f>
        <v>Belum Deteksi</v>
      </c>
      <c r="AI151" s="143"/>
      <c r="AJ151" s="9">
        <f t="shared" si="31"/>
        <v>0</v>
      </c>
      <c r="AK151" s="11"/>
      <c r="AL151" s="143"/>
      <c r="AM151" s="143"/>
      <c r="AN151" s="9">
        <f t="shared" si="27"/>
        <v>0</v>
      </c>
      <c r="AO151" s="8" t="str">
        <f t="array" ref="AO151">IF(AN151&gt;5,"Perlu Sensus",IF(AND(AN151&gt;=0,AL151&gt;0),"Tetap Deteksi","Belum Deteksi"))</f>
        <v>Belum Deteksi</v>
      </c>
      <c r="AP151" s="143"/>
      <c r="AQ151" s="9">
        <f t="shared" si="32"/>
        <v>0</v>
      </c>
    </row>
    <row r="152" spans="1:43" outlineLevel="1" x14ac:dyDescent="0.15">
      <c r="A152" s="8" t="s">
        <v>949</v>
      </c>
      <c r="B152" s="8"/>
      <c r="C152" s="8" t="s">
        <v>216</v>
      </c>
      <c r="D152" s="186" t="s">
        <v>1792</v>
      </c>
      <c r="E152" s="9">
        <v>30.2</v>
      </c>
      <c r="F152" s="8" t="s">
        <v>469</v>
      </c>
      <c r="G152" s="10">
        <v>2935</v>
      </c>
      <c r="H152" s="11">
        <f t="array" ref="H152">IF(OR(N152&gt;0,AC152&gt;0),MAX(N152,AC152),MAX(AK152,V152))</f>
        <v>46235</v>
      </c>
      <c r="I152" s="143">
        <f t="array" ref="I152">IF(SUM(O152,AD152)&gt;0,SUM(O152,AD152),SUM(AL152,W152))</f>
        <v>354.60376499999995</v>
      </c>
      <c r="J152" s="9">
        <f t="shared" si="22"/>
        <v>12.081899999999997</v>
      </c>
      <c r="K152" s="143">
        <f t="shared" si="28"/>
        <v>8.9760000000000009</v>
      </c>
      <c r="L152" s="9">
        <f t="shared" si="23"/>
        <v>2.5312760004113328</v>
      </c>
      <c r="M152" s="8" t="str">
        <f t="array" ref="M152">IF(L152&gt;5,"Perlu Sensus",IF(AND(L152&gt;=0,I152&gt;0),"Tetap Deteksi","Belum Deteksi"))</f>
        <v>Tetap Deteksi</v>
      </c>
      <c r="N152" s="11">
        <v>46235</v>
      </c>
      <c r="O152" s="143">
        <v>354.60376499999995</v>
      </c>
      <c r="P152" s="9">
        <f t="array" ref="P152">IFERROR(O152/$G152*100,0)</f>
        <v>12.081899999999997</v>
      </c>
      <c r="Q152" s="143">
        <v>8.9760000000000009</v>
      </c>
      <c r="R152" s="9">
        <f t="shared" si="24"/>
        <v>2.5312760004113328</v>
      </c>
      <c r="S152" s="8" t="str">
        <f t="array" ref="S152">IF(R152&gt;5,"Perlu Sensus",IF(AND(R152&gt;=0,O152&gt;0),"Tetap Deteksi","Belum Deteksi"))</f>
        <v>Tetap Deteksi</v>
      </c>
      <c r="T152" s="143">
        <v>5.8289919999999995</v>
      </c>
      <c r="U152" s="9">
        <f t="shared" si="29"/>
        <v>1.6438043177573143</v>
      </c>
      <c r="V152" s="11">
        <v>46235</v>
      </c>
      <c r="W152" s="143">
        <v>337.39338654009418</v>
      </c>
      <c r="X152" s="143">
        <v>7.9310000000000009</v>
      </c>
      <c r="Y152" s="9">
        <f t="shared" si="25"/>
        <v>2.3506684826667521</v>
      </c>
      <c r="Z152" s="8" t="str">
        <f t="array" ref="Z152">IF(Y152&gt;5,"Perlu Sensus",IF(AND(Y152&gt;=0,W152&gt;0),"Tetap Deteksi","Belum Deteksi"))</f>
        <v>Tetap Deteksi</v>
      </c>
      <c r="AA152" s="143">
        <v>5.189184</v>
      </c>
      <c r="AB152" s="9">
        <f t="shared" si="30"/>
        <v>1.5380218483871624</v>
      </c>
      <c r="AC152" s="11"/>
      <c r="AD152" s="143"/>
      <c r="AE152" s="9">
        <f t="array" ref="AE152">IFERROR(AD152/$G152*100,0)</f>
        <v>0</v>
      </c>
      <c r="AF152" s="143"/>
      <c r="AG152" s="9">
        <f t="shared" si="26"/>
        <v>0</v>
      </c>
      <c r="AH152" s="8" t="str">
        <f t="array" ref="AH152">IF(AG152&gt;5,"Perlu Sensus",IF(AND(AG152&gt;=0,AD152&gt;0),"Tetap Deteksi","Belum Deteksi"))</f>
        <v>Belum Deteksi</v>
      </c>
      <c r="AI152" s="143"/>
      <c r="AJ152" s="9">
        <f t="shared" si="31"/>
        <v>0</v>
      </c>
      <c r="AK152" s="11"/>
      <c r="AL152" s="143"/>
      <c r="AM152" s="143"/>
      <c r="AN152" s="9">
        <f t="shared" si="27"/>
        <v>0</v>
      </c>
      <c r="AO152" s="8" t="str">
        <f t="array" ref="AO152">IF(AN152&gt;5,"Perlu Sensus",IF(AND(AN152&gt;=0,AL152&gt;0),"Tetap Deteksi","Belum Deteksi"))</f>
        <v>Belum Deteksi</v>
      </c>
      <c r="AP152" s="143"/>
      <c r="AQ152" s="9">
        <f t="shared" si="32"/>
        <v>0</v>
      </c>
    </row>
    <row r="153" spans="1:43" outlineLevel="1" x14ac:dyDescent="0.15">
      <c r="A153" s="8" t="s">
        <v>949</v>
      </c>
      <c r="B153" s="8"/>
      <c r="C153" s="8" t="s">
        <v>216</v>
      </c>
      <c r="D153" s="186" t="s">
        <v>1016</v>
      </c>
      <c r="E153" s="9">
        <v>36.69</v>
      </c>
      <c r="F153" s="8" t="s">
        <v>469</v>
      </c>
      <c r="G153" s="10">
        <v>4211</v>
      </c>
      <c r="H153" s="11">
        <f t="array" ref="H153">IF(OR(N153&gt;0,AC153&gt;0),MAX(N153,AC153),MAX(AK153,V153))</f>
        <v>46236</v>
      </c>
      <c r="I153" s="143">
        <f t="array" ref="I153">IF(SUM(O153,AD153)&gt;0,SUM(O153,AD153),SUM(AL153,W153))</f>
        <v>610.52257080000004</v>
      </c>
      <c r="J153" s="9">
        <f t="shared" si="22"/>
        <v>14.498280000000003</v>
      </c>
      <c r="K153" s="143">
        <f t="shared" si="28"/>
        <v>19.074000000000002</v>
      </c>
      <c r="L153" s="9">
        <f t="shared" si="23"/>
        <v>3.1242088191770421</v>
      </c>
      <c r="M153" s="8" t="str">
        <f t="array" ref="M153">IF(L153&gt;5,"Perlu Sensus",IF(AND(L153&gt;=0,I153&gt;0),"Tetap Deteksi","Belum Deteksi"))</f>
        <v>Tetap Deteksi</v>
      </c>
      <c r="N153" s="11">
        <v>46236</v>
      </c>
      <c r="O153" s="143">
        <v>610.52257080000004</v>
      </c>
      <c r="P153" s="9">
        <f t="array" ref="P153">IFERROR(O153/$G153*100,0)</f>
        <v>14.498280000000003</v>
      </c>
      <c r="Q153" s="143">
        <v>19.074000000000002</v>
      </c>
      <c r="R153" s="9">
        <f t="shared" si="24"/>
        <v>3.1242088191770421</v>
      </c>
      <c r="S153" s="8" t="str">
        <f t="array" ref="S153">IF(R153&gt;5,"Perlu Sensus",IF(AND(R153&gt;=0,O153&gt;0),"Tetap Deteksi","Belum Deteksi"))</f>
        <v>Tetap Deteksi</v>
      </c>
      <c r="T153" s="143">
        <v>12.386607999999999</v>
      </c>
      <c r="U153" s="9">
        <f t="shared" si="29"/>
        <v>2.0288534105740217</v>
      </c>
      <c r="V153" s="11">
        <v>46236</v>
      </c>
      <c r="W153" s="143">
        <v>344.14125427089607</v>
      </c>
      <c r="X153" s="143">
        <v>11.33</v>
      </c>
      <c r="Y153" s="9">
        <f t="shared" si="25"/>
        <v>3.2922527768441903</v>
      </c>
      <c r="Z153" s="8" t="str">
        <f t="array" ref="Z153">IF(Y153&gt;5,"Perlu Sensus",IF(AND(Y153&gt;=0,W153&gt;0),"Tetap Deteksi","Belum Deteksi"))</f>
        <v>Tetap Deteksi</v>
      </c>
      <c r="AA153" s="143">
        <v>7.413120000000001</v>
      </c>
      <c r="AB153" s="9">
        <f t="shared" si="30"/>
        <v>2.1540922246318801</v>
      </c>
      <c r="AC153" s="11"/>
      <c r="AD153" s="143"/>
      <c r="AE153" s="9">
        <f t="array" ref="AE153">IFERROR(AD153/$G153*100,0)</f>
        <v>0</v>
      </c>
      <c r="AF153" s="143"/>
      <c r="AG153" s="9">
        <f t="shared" si="26"/>
        <v>0</v>
      </c>
      <c r="AH153" s="8" t="str">
        <f t="array" ref="AH153">IF(AG153&gt;5,"Perlu Sensus",IF(AND(AG153&gt;=0,AD153&gt;0),"Tetap Deteksi","Belum Deteksi"))</f>
        <v>Belum Deteksi</v>
      </c>
      <c r="AI153" s="143"/>
      <c r="AJ153" s="9">
        <f t="shared" si="31"/>
        <v>0</v>
      </c>
      <c r="AK153" s="11"/>
      <c r="AL153" s="143"/>
      <c r="AM153" s="143"/>
      <c r="AN153" s="9">
        <f t="shared" si="27"/>
        <v>0</v>
      </c>
      <c r="AO153" s="8" t="str">
        <f t="array" ref="AO153">IF(AN153&gt;5,"Perlu Sensus",IF(AND(AN153&gt;=0,AL153&gt;0),"Tetap Deteksi","Belum Deteksi"))</f>
        <v>Belum Deteksi</v>
      </c>
      <c r="AP153" s="143"/>
      <c r="AQ153" s="9">
        <f t="shared" si="32"/>
        <v>0</v>
      </c>
    </row>
    <row r="154" spans="1:43" outlineLevel="1" x14ac:dyDescent="0.15">
      <c r="A154" s="8" t="s">
        <v>949</v>
      </c>
      <c r="B154" s="8"/>
      <c r="C154" s="8" t="s">
        <v>252</v>
      </c>
      <c r="D154" s="181" t="s">
        <v>1027</v>
      </c>
      <c r="E154" s="9">
        <v>40.770000000000003</v>
      </c>
      <c r="F154" s="8" t="s">
        <v>469</v>
      </c>
      <c r="G154" s="10">
        <v>3710.9999999999995</v>
      </c>
      <c r="H154" s="11">
        <f t="array" ref="H154">IF(OR(N154&gt;0,AC154&gt;0),MAX(N154,AC154),MAX(AK154,V154))</f>
        <v>46235</v>
      </c>
      <c r="I154" s="143">
        <f t="array" ref="I154">IF(SUM(O154,AD154)&gt;0,SUM(O154,AD154),SUM(AL154,W154))</f>
        <v>493.19523989999993</v>
      </c>
      <c r="J154" s="9">
        <f t="shared" si="22"/>
        <v>13.290089999999999</v>
      </c>
      <c r="K154" s="143">
        <f t="shared" si="28"/>
        <v>17.634877831891583</v>
      </c>
      <c r="L154" s="9">
        <f t="shared" si="23"/>
        <v>3.5756382878851842</v>
      </c>
      <c r="M154" s="8" t="str">
        <f t="array" ref="M154">IF(L154&gt;5,"Perlu Sensus",IF(AND(L154&gt;=0,I154&gt;0),"Tetap Deteksi","Belum Deteksi"))</f>
        <v>Tetap Deteksi</v>
      </c>
      <c r="N154" s="11">
        <v>46235</v>
      </c>
      <c r="O154" s="143">
        <v>493.19523989999993</v>
      </c>
      <c r="P154" s="9">
        <f t="array" ref="P154">IFERROR(O154/$G154*100,0)</f>
        <v>13.290089999999999</v>
      </c>
      <c r="Q154" s="143">
        <v>17.634877831891583</v>
      </c>
      <c r="R154" s="9">
        <f t="shared" si="24"/>
        <v>3.5756382878851842</v>
      </c>
      <c r="S154" s="8" t="str">
        <f t="array" ref="S154">IF(R154&gt;5,"Perlu Sensus",IF(AND(R154&gt;=0,O154&gt;0),"Tetap Deteksi","Belum Deteksi"))</f>
        <v>Tetap Deteksi</v>
      </c>
      <c r="T154" s="143">
        <v>11.45204565542261</v>
      </c>
      <c r="U154" s="9">
        <f t="shared" si="29"/>
        <v>2.3220105809911349</v>
      </c>
      <c r="V154" s="11">
        <v>46235</v>
      </c>
      <c r="W154" s="143">
        <v>250.68825600000002</v>
      </c>
      <c r="X154" s="143">
        <v>7.4830976448104449</v>
      </c>
      <c r="Y154" s="9">
        <f t="shared" si="25"/>
        <v>2.9850212228571427</v>
      </c>
      <c r="Z154" s="8" t="str">
        <f t="array" ref="Z154">IF(Y154&gt;5,"Perlu Sensus",IF(AND(Y154&gt;=0,W154&gt;0),"Tetap Deteksi","Belum Deteksi"))</f>
        <v>Tetap Deteksi</v>
      </c>
      <c r="AA154" s="143">
        <v>4.896125402709373</v>
      </c>
      <c r="AB154" s="9">
        <f t="shared" si="30"/>
        <v>1.9530733034057137</v>
      </c>
      <c r="AC154" s="11"/>
      <c r="AD154" s="143"/>
      <c r="AE154" s="9">
        <f t="array" ref="AE154">IFERROR(AD154/$G154*100,0)</f>
        <v>0</v>
      </c>
      <c r="AF154" s="143"/>
      <c r="AG154" s="9">
        <f t="shared" si="26"/>
        <v>0</v>
      </c>
      <c r="AH154" s="8" t="str">
        <f t="array" ref="AH154">IF(AG154&gt;5,"Perlu Sensus",IF(AND(AG154&gt;=0,AD154&gt;0),"Tetap Deteksi","Belum Deteksi"))</f>
        <v>Belum Deteksi</v>
      </c>
      <c r="AI154" s="143"/>
      <c r="AJ154" s="9">
        <f t="shared" si="31"/>
        <v>0</v>
      </c>
      <c r="AK154" s="11"/>
      <c r="AL154" s="143"/>
      <c r="AM154" s="143"/>
      <c r="AN154" s="9">
        <f t="shared" si="27"/>
        <v>0</v>
      </c>
      <c r="AO154" s="8" t="str">
        <f t="array" ref="AO154">IF(AN154&gt;5,"Perlu Sensus",IF(AND(AN154&gt;=0,AL154&gt;0),"Tetap Deteksi","Belum Deteksi"))</f>
        <v>Belum Deteksi</v>
      </c>
      <c r="AP154" s="143"/>
      <c r="AQ154" s="9">
        <f t="shared" si="32"/>
        <v>0</v>
      </c>
    </row>
    <row r="155" spans="1:43" outlineLevel="1" x14ac:dyDescent="0.15">
      <c r="A155" s="8" t="s">
        <v>949</v>
      </c>
      <c r="B155" s="8"/>
      <c r="C155" s="8" t="s">
        <v>252</v>
      </c>
      <c r="D155" s="186" t="s">
        <v>1414</v>
      </c>
      <c r="E155" s="9">
        <v>33.489999999999995</v>
      </c>
      <c r="F155" s="8" t="s">
        <v>469</v>
      </c>
      <c r="G155" s="10">
        <v>2137</v>
      </c>
      <c r="H155" s="11">
        <f t="array" ref="H155">IF(OR(N155&gt;0,AC155&gt;0),MAX(N155,AC155),MAX(AK155,V155))</f>
        <v>46236</v>
      </c>
      <c r="I155" s="143">
        <f t="array" ref="I155">IF(SUM(O155,AD155)&gt;0,SUM(O155,AD155),SUM(AL155,W155))</f>
        <v>309.82824360000001</v>
      </c>
      <c r="J155" s="9">
        <f t="shared" si="22"/>
        <v>14.498279999999999</v>
      </c>
      <c r="K155" s="143">
        <f t="shared" si="28"/>
        <v>9.6983347384978558</v>
      </c>
      <c r="L155" s="9">
        <f t="shared" si="23"/>
        <v>3.1302293896158719</v>
      </c>
      <c r="M155" s="8" t="str">
        <f t="array" ref="M155">IF(L155&gt;5,"Perlu Sensus",IF(AND(L155&gt;=0,I155&gt;0),"Tetap Deteksi","Belum Deteksi"))</f>
        <v>Tetap Deteksi</v>
      </c>
      <c r="N155" s="11">
        <v>46236</v>
      </c>
      <c r="O155" s="143">
        <v>309.82824360000001</v>
      </c>
      <c r="P155" s="9">
        <f t="array" ref="P155">IFERROR(O155/$G155*100,0)</f>
        <v>14.498279999999999</v>
      </c>
      <c r="Q155" s="143">
        <v>9.6983347384978558</v>
      </c>
      <c r="R155" s="9">
        <f t="shared" si="24"/>
        <v>3.1302293896158719</v>
      </c>
      <c r="S155" s="8" t="str">
        <f t="array" ref="S155">IF(R155&gt;5,"Perlu Sensus",IF(AND(R155&gt;=0,O155&gt;0),"Tetap Deteksi","Belum Deteksi"))</f>
        <v>Tetap Deteksi</v>
      </c>
      <c r="T155" s="143">
        <v>6.2980743765626208</v>
      </c>
      <c r="U155" s="9">
        <f t="shared" si="29"/>
        <v>2.0327631539924016</v>
      </c>
      <c r="V155" s="11">
        <v>46236</v>
      </c>
      <c r="W155" s="143">
        <v>255.70202112000004</v>
      </c>
      <c r="X155" s="143">
        <v>6.2792450721181217</v>
      </c>
      <c r="Y155" s="9">
        <f t="shared" si="25"/>
        <v>2.4556884785714281</v>
      </c>
      <c r="Z155" s="8" t="str">
        <f t="array" ref="Z155">IF(Y155&gt;5,"Perlu Sensus",IF(AND(Y155&gt;=0,W155&gt;0),"Tetap Deteksi","Belum Deteksi"))</f>
        <v>Tetap Deteksi</v>
      </c>
      <c r="AA155" s="143">
        <v>6.24</v>
      </c>
      <c r="AB155" s="9">
        <f t="shared" si="30"/>
        <v>2.4403405075439708</v>
      </c>
      <c r="AC155" s="11"/>
      <c r="AD155" s="143"/>
      <c r="AE155" s="9">
        <f t="array" ref="AE155">IFERROR(AD155/$G155*100,0)</f>
        <v>0</v>
      </c>
      <c r="AF155" s="143"/>
      <c r="AG155" s="9">
        <f t="shared" si="26"/>
        <v>0</v>
      </c>
      <c r="AH155" s="8" t="str">
        <f t="array" ref="AH155">IF(AG155&gt;5,"Perlu Sensus",IF(AND(AG155&gt;=0,AD155&gt;0),"Tetap Deteksi","Belum Deteksi"))</f>
        <v>Belum Deteksi</v>
      </c>
      <c r="AI155" s="143"/>
      <c r="AJ155" s="9">
        <f t="shared" si="31"/>
        <v>0</v>
      </c>
      <c r="AK155" s="11"/>
      <c r="AL155" s="143"/>
      <c r="AM155" s="143"/>
      <c r="AN155" s="9">
        <f t="shared" si="27"/>
        <v>0</v>
      </c>
      <c r="AO155" s="8" t="str">
        <f t="array" ref="AO155">IF(AN155&gt;5,"Perlu Sensus",IF(AND(AN155&gt;=0,AL155&gt;0),"Tetap Deteksi","Belum Deteksi"))</f>
        <v>Belum Deteksi</v>
      </c>
      <c r="AP155" s="143"/>
      <c r="AQ155" s="9">
        <f t="shared" si="32"/>
        <v>0</v>
      </c>
    </row>
    <row r="156" spans="1:43" outlineLevel="1" x14ac:dyDescent="0.15">
      <c r="A156" s="8" t="s">
        <v>949</v>
      </c>
      <c r="B156" s="8"/>
      <c r="C156" s="8" t="s">
        <v>252</v>
      </c>
      <c r="D156" s="186" t="s">
        <v>1028</v>
      </c>
      <c r="E156" s="9">
        <v>26.770000000000003</v>
      </c>
      <c r="F156" s="8" t="s">
        <v>469</v>
      </c>
      <c r="G156" s="10">
        <v>2260</v>
      </c>
      <c r="H156" s="11">
        <f t="array" ref="H156">IF(OR(N156&gt;0,AC156&gt;0),MAX(N156,AC156),MAX(AK156,V156))</f>
        <v>46237</v>
      </c>
      <c r="I156" s="143">
        <f t="array" ref="I156">IF(SUM(O156,AD156)&gt;0,SUM(O156,AD156),SUM(AL156,W156))</f>
        <v>245.74584599999997</v>
      </c>
      <c r="J156" s="9">
        <f t="shared" si="22"/>
        <v>10.873709999999999</v>
      </c>
      <c r="K156" s="143">
        <f t="shared" si="28"/>
        <v>4.8275218714694406</v>
      </c>
      <c r="L156" s="9">
        <f t="shared" si="23"/>
        <v>1.9644368155339809</v>
      </c>
      <c r="M156" s="8" t="str">
        <f t="array" ref="M156">IF(L156&gt;5,"Perlu Sensus",IF(AND(L156&gt;=0,I156&gt;0),"Tetap Deteksi","Belum Deteksi"))</f>
        <v>Tetap Deteksi</v>
      </c>
      <c r="N156" s="11">
        <v>46237</v>
      </c>
      <c r="O156" s="143">
        <v>245.74584599999997</v>
      </c>
      <c r="P156" s="9">
        <f t="array" ref="P156">IFERROR(O156/$G156*100,0)</f>
        <v>10.873709999999999</v>
      </c>
      <c r="Q156" s="143">
        <v>4.8275218714694406</v>
      </c>
      <c r="R156" s="9">
        <f t="shared" si="24"/>
        <v>1.9644368155339809</v>
      </c>
      <c r="S156" s="8" t="str">
        <f t="array" ref="S156">IF(R156&gt;5,"Perlu Sensus",IF(AND(R156&gt;=0,O156&gt;0),"Tetap Deteksi","Belum Deteksi"))</f>
        <v>Tetap Deteksi</v>
      </c>
      <c r="T156" s="143">
        <v>3.1349806560405962</v>
      </c>
      <c r="U156" s="9">
        <f t="shared" si="29"/>
        <v>1.2757003656699029</v>
      </c>
      <c r="V156" s="11">
        <v>46237</v>
      </c>
      <c r="W156" s="143">
        <v>260.81606154240006</v>
      </c>
      <c r="X156" s="143">
        <v>4.0233478667386127</v>
      </c>
      <c r="Y156" s="9">
        <f t="shared" si="25"/>
        <v>1.5425997321428571</v>
      </c>
      <c r="Z156" s="8" t="str">
        <f t="array" ref="Z156">IF(Y156&gt;5,"Perlu Sensus",IF(AND(Y156&gt;=0,W156&gt;0),"Tetap Deteksi","Belum Deteksi"))</f>
        <v>Tetap Deteksi</v>
      </c>
      <c r="AA156" s="143">
        <v>2.6324413537402775</v>
      </c>
      <c r="AB156" s="9">
        <f t="shared" si="30"/>
        <v>1.0093095257142857</v>
      </c>
      <c r="AC156" s="11"/>
      <c r="AD156" s="143"/>
      <c r="AE156" s="9">
        <f t="array" ref="AE156">IFERROR(AD156/$G156*100,0)</f>
        <v>0</v>
      </c>
      <c r="AF156" s="143"/>
      <c r="AG156" s="9">
        <f t="shared" si="26"/>
        <v>0</v>
      </c>
      <c r="AH156" s="8" t="str">
        <f t="array" ref="AH156">IF(AG156&gt;5,"Perlu Sensus",IF(AND(AG156&gt;=0,AD156&gt;0),"Tetap Deteksi","Belum Deteksi"))</f>
        <v>Belum Deteksi</v>
      </c>
      <c r="AI156" s="143"/>
      <c r="AJ156" s="9">
        <f t="shared" si="31"/>
        <v>0</v>
      </c>
      <c r="AK156" s="11"/>
      <c r="AL156" s="143"/>
      <c r="AM156" s="143"/>
      <c r="AN156" s="9">
        <f t="shared" si="27"/>
        <v>0</v>
      </c>
      <c r="AO156" s="8" t="str">
        <f t="array" ref="AO156">IF(AN156&gt;5,"Perlu Sensus",IF(AND(AN156&gt;=0,AL156&gt;0),"Tetap Deteksi","Belum Deteksi"))</f>
        <v>Belum Deteksi</v>
      </c>
      <c r="AP156" s="143"/>
      <c r="AQ156" s="9">
        <f t="shared" si="32"/>
        <v>0</v>
      </c>
    </row>
    <row r="157" spans="1:43" outlineLevel="1" x14ac:dyDescent="0.15">
      <c r="A157" s="8" t="s">
        <v>949</v>
      </c>
      <c r="B157" s="8"/>
      <c r="C157" s="8" t="s">
        <v>252</v>
      </c>
      <c r="D157" s="186" t="s">
        <v>1793</v>
      </c>
      <c r="E157" s="9">
        <v>34.950000000000003</v>
      </c>
      <c r="F157" s="8" t="s">
        <v>469</v>
      </c>
      <c r="G157" s="10">
        <v>3544</v>
      </c>
      <c r="H157" s="11">
        <f t="array" ref="H157">IF(OR(N157&gt;0,AC157&gt;0),MAX(N157,AC157),MAX(AK157,V157))</f>
        <v>46238</v>
      </c>
      <c r="I157" s="143">
        <f t="array" ref="I157">IF(SUM(O157,AD157)&gt;0,SUM(O157,AD157),SUM(AL157,W157))</f>
        <v>342.54602879999999</v>
      </c>
      <c r="J157" s="9">
        <f t="shared" si="22"/>
        <v>9.665519999999999</v>
      </c>
      <c r="K157" s="143">
        <f t="shared" si="28"/>
        <v>3.7623653457223685</v>
      </c>
      <c r="L157" s="9">
        <f t="shared" si="23"/>
        <v>1.0983532224567329</v>
      </c>
      <c r="M157" s="8" t="str">
        <f t="array" ref="M157">IF(L157&gt;5,"Perlu Sensus",IF(AND(L157&gt;=0,I157&gt;0),"Tetap Deteksi","Belum Deteksi"))</f>
        <v>Tetap Deteksi</v>
      </c>
      <c r="N157" s="11">
        <v>46238</v>
      </c>
      <c r="O157" s="143">
        <v>342.54602879999999</v>
      </c>
      <c r="P157" s="9">
        <f t="array" ref="P157">IFERROR(O157/$G157*100,0)</f>
        <v>9.665519999999999</v>
      </c>
      <c r="Q157" s="143">
        <v>3.7623653457223685</v>
      </c>
      <c r="R157" s="9">
        <f t="shared" si="24"/>
        <v>1.0983532224567329</v>
      </c>
      <c r="S157" s="8" t="str">
        <f t="array" ref="S157">IF(R157&gt;5,"Perlu Sensus",IF(AND(R157&gt;=0,O157&gt;0),"Tetap Deteksi","Belum Deteksi"))</f>
        <v>Tetap Deteksi</v>
      </c>
      <c r="T157" s="143">
        <v>2.4432706663650756</v>
      </c>
      <c r="U157" s="9">
        <f t="shared" si="29"/>
        <v>0.71326784167496837</v>
      </c>
      <c r="V157" s="11">
        <v>46238</v>
      </c>
      <c r="W157" s="143">
        <v>266.03238277324806</v>
      </c>
      <c r="X157" s="143">
        <v>2.2689206062026255</v>
      </c>
      <c r="Y157" s="9">
        <f t="shared" si="25"/>
        <v>0.85287384285714329</v>
      </c>
      <c r="Z157" s="8" t="str">
        <f t="array" ref="Z157">IF(Y157&gt;5,"Perlu Sensus",IF(AND(Y157&gt;=0,W157&gt;0),"Tetap Deteksi","Belum Deteksi"))</f>
        <v>Tetap Deteksi</v>
      </c>
      <c r="AA157" s="143">
        <v>1.4845349271185178</v>
      </c>
      <c r="AB157" s="9">
        <f t="shared" si="30"/>
        <v>0.55802790308571459</v>
      </c>
      <c r="AC157" s="11"/>
      <c r="AD157" s="143"/>
      <c r="AE157" s="9">
        <f t="array" ref="AE157">IFERROR(AD157/$G157*100,0)</f>
        <v>0</v>
      </c>
      <c r="AF157" s="143"/>
      <c r="AG157" s="9">
        <f t="shared" si="26"/>
        <v>0</v>
      </c>
      <c r="AH157" s="8" t="str">
        <f t="array" ref="AH157">IF(AG157&gt;5,"Perlu Sensus",IF(AND(AG157&gt;=0,AD157&gt;0),"Tetap Deteksi","Belum Deteksi"))</f>
        <v>Belum Deteksi</v>
      </c>
      <c r="AI157" s="143"/>
      <c r="AJ157" s="9">
        <f t="shared" si="31"/>
        <v>0</v>
      </c>
      <c r="AK157" s="11"/>
      <c r="AL157" s="143"/>
      <c r="AM157" s="143"/>
      <c r="AN157" s="9">
        <f t="shared" si="27"/>
        <v>0</v>
      </c>
      <c r="AO157" s="8" t="str">
        <f t="array" ref="AO157">IF(AN157&gt;5,"Perlu Sensus",IF(AND(AN157&gt;=0,AL157&gt;0),"Tetap Deteksi","Belum Deteksi"))</f>
        <v>Belum Deteksi</v>
      </c>
      <c r="AP157" s="143"/>
      <c r="AQ157" s="9">
        <f t="shared" si="32"/>
        <v>0</v>
      </c>
    </row>
    <row r="158" spans="1:43" outlineLevel="1" x14ac:dyDescent="0.15">
      <c r="A158" s="8" t="s">
        <v>949</v>
      </c>
      <c r="B158" s="8"/>
      <c r="C158" s="8" t="s">
        <v>252</v>
      </c>
      <c r="D158" s="186" t="s">
        <v>1794</v>
      </c>
      <c r="E158" s="9">
        <v>22.35</v>
      </c>
      <c r="F158" s="8" t="s">
        <v>469</v>
      </c>
      <c r="G158" s="10">
        <v>2144</v>
      </c>
      <c r="H158" s="11">
        <f t="array" ref="H158">IF(OR(N158&gt;0,AC158&gt;0),MAX(N158,AC158),MAX(AK158,V158))</f>
        <v>46239</v>
      </c>
      <c r="I158" s="143">
        <f t="array" ref="I158">IF(SUM(O158,AD158)&gt;0,SUM(O158,AD158),SUM(AL158,W158))</f>
        <v>259.03593599999999</v>
      </c>
      <c r="J158" s="9">
        <f t="shared" si="22"/>
        <v>12.081899999999999</v>
      </c>
      <c r="K158" s="143">
        <f t="shared" si="28"/>
        <v>5.61</v>
      </c>
      <c r="L158" s="9">
        <f t="shared" si="23"/>
        <v>2.1657226740926019</v>
      </c>
      <c r="M158" s="8" t="str">
        <f t="array" ref="M158">IF(L158&gt;5,"Perlu Sensus",IF(AND(L158&gt;=0,I158&gt;0),"Tetap Deteksi","Belum Deteksi"))</f>
        <v>Tetap Deteksi</v>
      </c>
      <c r="N158" s="11">
        <v>46239</v>
      </c>
      <c r="O158" s="143">
        <v>259.03593599999999</v>
      </c>
      <c r="P158" s="9">
        <f t="array" ref="P158">IFERROR(O158/$G158*100,0)</f>
        <v>12.081899999999999</v>
      </c>
      <c r="Q158" s="143">
        <v>5.61</v>
      </c>
      <c r="R158" s="9">
        <f t="shared" si="24"/>
        <v>2.1657226740926019</v>
      </c>
      <c r="S158" s="8" t="str">
        <f t="array" ref="S158">IF(R158&gt;5,"Perlu Sensus",IF(AND(R158&gt;=0,O158&gt;0),"Tetap Deteksi","Belum Deteksi"))</f>
        <v>Tetap Deteksi</v>
      </c>
      <c r="T158" s="143">
        <v>3.6431199999999997</v>
      </c>
      <c r="U158" s="9">
        <f t="shared" si="29"/>
        <v>1.4064148999002208</v>
      </c>
      <c r="V158" s="11">
        <v>46239</v>
      </c>
      <c r="W158" s="143">
        <v>271.353030428713</v>
      </c>
      <c r="X158" s="143">
        <v>9.0640000000000018</v>
      </c>
      <c r="Y158" s="9">
        <f t="shared" si="25"/>
        <v>3.3402980558867208</v>
      </c>
      <c r="Z158" s="8" t="str">
        <f t="array" ref="Z158">IF(Y158&gt;5,"Perlu Sensus",IF(AND(Y158&gt;=0,W158&gt;0),"Tetap Deteksi","Belum Deteksi"))</f>
        <v>Tetap Deteksi</v>
      </c>
      <c r="AA158" s="143">
        <v>5.9304960000000007</v>
      </c>
      <c r="AB158" s="9">
        <f t="shared" si="30"/>
        <v>2.18552783089629</v>
      </c>
      <c r="AC158" s="11"/>
      <c r="AD158" s="143"/>
      <c r="AE158" s="9">
        <f t="array" ref="AE158">IFERROR(AD158/$G158*100,0)</f>
        <v>0</v>
      </c>
      <c r="AF158" s="143"/>
      <c r="AG158" s="9">
        <f t="shared" si="26"/>
        <v>0</v>
      </c>
      <c r="AH158" s="8" t="str">
        <f t="array" ref="AH158">IF(AG158&gt;5,"Perlu Sensus",IF(AND(AG158&gt;=0,AD158&gt;0),"Tetap Deteksi","Belum Deteksi"))</f>
        <v>Belum Deteksi</v>
      </c>
      <c r="AI158" s="143"/>
      <c r="AJ158" s="9">
        <f t="shared" si="31"/>
        <v>0</v>
      </c>
      <c r="AK158" s="11"/>
      <c r="AL158" s="143"/>
      <c r="AM158" s="143"/>
      <c r="AN158" s="9">
        <f t="shared" si="27"/>
        <v>0</v>
      </c>
      <c r="AO158" s="8" t="str">
        <f t="array" ref="AO158">IF(AN158&gt;5,"Perlu Sensus",IF(AND(AN158&gt;=0,AL158&gt;0),"Tetap Deteksi","Belum Deteksi"))</f>
        <v>Belum Deteksi</v>
      </c>
      <c r="AP158" s="143"/>
      <c r="AQ158" s="9">
        <f t="shared" si="32"/>
        <v>0</v>
      </c>
    </row>
    <row r="159" spans="1:43" outlineLevel="1" x14ac:dyDescent="0.15">
      <c r="A159" s="8" t="s">
        <v>949</v>
      </c>
      <c r="B159" s="8"/>
      <c r="C159" s="8" t="s">
        <v>252</v>
      </c>
      <c r="D159" s="181" t="s">
        <v>1795</v>
      </c>
      <c r="E159" s="9">
        <v>38.940000000000005</v>
      </c>
      <c r="F159" s="8" t="s">
        <v>469</v>
      </c>
      <c r="G159" s="10">
        <v>3089</v>
      </c>
      <c r="H159" s="11">
        <f t="array" ref="H159">IF(OR(N159&gt;0,AC159&gt;0),MAX(N159,AC159),MAX(AK159,V159))</f>
        <v>46240</v>
      </c>
      <c r="I159" s="143">
        <f t="array" ref="I159">IF(SUM(O159,AD159)&gt;0,SUM(O159,AD159),SUM(AL159,W159))</f>
        <v>335.88890190000001</v>
      </c>
      <c r="J159" s="9">
        <f t="shared" si="22"/>
        <v>10.873710000000001</v>
      </c>
      <c r="K159" s="143">
        <f t="shared" si="28"/>
        <v>14.586</v>
      </c>
      <c r="L159" s="9">
        <f t="shared" si="23"/>
        <v>4.3425072747245776</v>
      </c>
      <c r="M159" s="8" t="str">
        <f t="array" ref="M159">IF(L159&gt;5,"Perlu Sensus",IF(AND(L159&gt;=0,I159&gt;0),"Tetap Deteksi","Belum Deteksi"))</f>
        <v>Tetap Deteksi</v>
      </c>
      <c r="N159" s="11">
        <v>46240</v>
      </c>
      <c r="O159" s="143">
        <v>335.88890190000001</v>
      </c>
      <c r="P159" s="9">
        <f t="array" ref="P159">IFERROR(O159/$G159*100,0)</f>
        <v>10.873710000000001</v>
      </c>
      <c r="Q159" s="143">
        <v>14.586</v>
      </c>
      <c r="R159" s="9">
        <f t="shared" si="24"/>
        <v>4.3425072747245776</v>
      </c>
      <c r="S159" s="8" t="str">
        <f t="array" ref="S159">IF(R159&gt;5,"Perlu Sensus",IF(AND(R159&gt;=0,O159&gt;0),"Tetap Deteksi","Belum Deteksi"))</f>
        <v>Tetap Deteksi</v>
      </c>
      <c r="T159" s="143">
        <v>9.4721119999999992</v>
      </c>
      <c r="U159" s="9">
        <f t="shared" si="29"/>
        <v>2.8200133872895905</v>
      </c>
      <c r="V159" s="11">
        <v>46240</v>
      </c>
      <c r="W159" s="143">
        <v>276.78009103728726</v>
      </c>
      <c r="X159" s="143">
        <v>6.7980000000000009</v>
      </c>
      <c r="Y159" s="9">
        <f t="shared" si="25"/>
        <v>2.4561015116814118</v>
      </c>
      <c r="Z159" s="8" t="str">
        <f t="array" ref="Z159">IF(Y159&gt;5,"Perlu Sensus",IF(AND(Y159&gt;=0,W159&gt;0),"Tetap Deteksi","Belum Deteksi"))</f>
        <v>Tetap Deteksi</v>
      </c>
      <c r="AA159" s="143">
        <v>4.4478720000000012</v>
      </c>
      <c r="AB159" s="9">
        <f t="shared" si="30"/>
        <v>1.6070057580119781</v>
      </c>
      <c r="AC159" s="11"/>
      <c r="AD159" s="143"/>
      <c r="AE159" s="9">
        <f t="array" ref="AE159">IFERROR(AD159/$G159*100,0)</f>
        <v>0</v>
      </c>
      <c r="AF159" s="143"/>
      <c r="AG159" s="9">
        <f t="shared" si="26"/>
        <v>0</v>
      </c>
      <c r="AH159" s="8" t="str">
        <f t="array" ref="AH159">IF(AG159&gt;5,"Perlu Sensus",IF(AND(AG159&gt;=0,AD159&gt;0),"Tetap Deteksi","Belum Deteksi"))</f>
        <v>Belum Deteksi</v>
      </c>
      <c r="AI159" s="143"/>
      <c r="AJ159" s="9">
        <f t="shared" si="31"/>
        <v>0</v>
      </c>
      <c r="AK159" s="11"/>
      <c r="AL159" s="143"/>
      <c r="AM159" s="143"/>
      <c r="AN159" s="9">
        <f t="shared" si="27"/>
        <v>0</v>
      </c>
      <c r="AO159" s="8" t="str">
        <f t="array" ref="AO159">IF(AN159&gt;5,"Perlu Sensus",IF(AND(AN159&gt;=0,AL159&gt;0),"Tetap Deteksi","Belum Deteksi"))</f>
        <v>Belum Deteksi</v>
      </c>
      <c r="AP159" s="143"/>
      <c r="AQ159" s="9">
        <f t="shared" si="32"/>
        <v>0</v>
      </c>
    </row>
    <row r="160" spans="1:43" outlineLevel="1" x14ac:dyDescent="0.15">
      <c r="A160" s="8" t="s">
        <v>949</v>
      </c>
      <c r="B160" s="8"/>
      <c r="C160" s="8" t="s">
        <v>252</v>
      </c>
      <c r="D160" s="8" t="s">
        <v>1407</v>
      </c>
      <c r="E160" s="9">
        <v>34.15</v>
      </c>
      <c r="F160" s="8" t="s">
        <v>469</v>
      </c>
      <c r="G160" s="10">
        <v>2224</v>
      </c>
      <c r="H160" s="11">
        <f t="array" ref="H160">IF(OR(N160&gt;0,AC160&gt;0),MAX(N160,AC160),MAX(AK160,V160))</f>
        <v>46241</v>
      </c>
      <c r="I160" s="143">
        <f t="array" ref="I160">IF(SUM(O160,AD160)&gt;0,SUM(O160,AD160),SUM(AL160,W160))</f>
        <v>214.96116480000001</v>
      </c>
      <c r="J160" s="9">
        <f t="shared" si="22"/>
        <v>9.665519999999999</v>
      </c>
      <c r="K160" s="143">
        <f t="shared" si="28"/>
        <v>8.16</v>
      </c>
      <c r="L160" s="9">
        <f t="shared" si="23"/>
        <v>3.7960345105089415</v>
      </c>
      <c r="M160" s="8" t="str">
        <f t="array" ref="M160">IF(L160&gt;5,"Perlu Sensus",IF(AND(L160&gt;=0,I160&gt;0),"Tetap Deteksi","Belum Deteksi"))</f>
        <v>Tetap Deteksi</v>
      </c>
      <c r="N160" s="11">
        <v>46241</v>
      </c>
      <c r="O160" s="143">
        <v>214.96116480000001</v>
      </c>
      <c r="P160" s="9">
        <f t="array" ref="P160">IFERROR(O160/$G160*100,0)</f>
        <v>9.665519999999999</v>
      </c>
      <c r="Q160" s="143">
        <v>8.16</v>
      </c>
      <c r="R160" s="9">
        <f t="shared" si="24"/>
        <v>3.7960345105089415</v>
      </c>
      <c r="S160" s="8" t="str">
        <f t="array" ref="S160">IF(R160&gt;5,"Perlu Sensus",IF(AND(R160&gt;=0,O160&gt;0),"Tetap Deteksi","Belum Deteksi"))</f>
        <v>Tetap Deteksi</v>
      </c>
      <c r="T160" s="143">
        <v>3.0346674317107198</v>
      </c>
      <c r="U160" s="9">
        <f t="shared" si="29"/>
        <v>1.4117282228788517</v>
      </c>
      <c r="V160" s="11">
        <v>46241</v>
      </c>
      <c r="W160" s="143">
        <v>282.315692858033</v>
      </c>
      <c r="X160" s="143">
        <v>5.911766228722084</v>
      </c>
      <c r="Y160" s="9">
        <f t="shared" si="25"/>
        <v>2.094026785714286</v>
      </c>
      <c r="Z160" s="8" t="str">
        <f t="array" ref="Z160">IF(Y160&gt;5,"Perlu Sensus",IF(AND(Y160&gt;=0,W160&gt;0),"Tetap Deteksi","Belum Deteksi"))</f>
        <v>Tetap Deteksi</v>
      </c>
      <c r="AA160" s="143">
        <v>7.28</v>
      </c>
      <c r="AB160" s="9">
        <f t="shared" si="30"/>
        <v>2.5786735148516402</v>
      </c>
      <c r="AC160" s="11"/>
      <c r="AD160" s="143"/>
      <c r="AE160" s="9">
        <f t="array" ref="AE160">IFERROR(AD160/$G160*100,0)</f>
        <v>0</v>
      </c>
      <c r="AF160" s="143"/>
      <c r="AG160" s="9">
        <f t="shared" si="26"/>
        <v>0</v>
      </c>
      <c r="AH160" s="8" t="str">
        <f t="array" ref="AH160">IF(AG160&gt;5,"Perlu Sensus",IF(AND(AG160&gt;=0,AD160&gt;0),"Tetap Deteksi","Belum Deteksi"))</f>
        <v>Belum Deteksi</v>
      </c>
      <c r="AI160" s="143"/>
      <c r="AJ160" s="9">
        <f t="shared" si="31"/>
        <v>0</v>
      </c>
      <c r="AK160" s="11"/>
      <c r="AL160" s="143"/>
      <c r="AM160" s="143"/>
      <c r="AN160" s="9">
        <f t="shared" si="27"/>
        <v>0</v>
      </c>
      <c r="AO160" s="8" t="str">
        <f t="array" ref="AO160">IF(AN160&gt;5,"Perlu Sensus",IF(AND(AN160&gt;=0,AL160&gt;0),"Tetap Deteksi","Belum Deteksi"))</f>
        <v>Belum Deteksi</v>
      </c>
      <c r="AP160" s="143"/>
      <c r="AQ160" s="9">
        <f t="shared" si="32"/>
        <v>0</v>
      </c>
    </row>
    <row r="161" spans="1:43" outlineLevel="1" x14ac:dyDescent="0.15">
      <c r="A161" s="8" t="s">
        <v>949</v>
      </c>
      <c r="B161" s="8"/>
      <c r="C161" s="8" t="s">
        <v>252</v>
      </c>
      <c r="D161" s="186" t="s">
        <v>1025</v>
      </c>
      <c r="E161" s="9">
        <v>20.299999999999997</v>
      </c>
      <c r="F161" s="8" t="s">
        <v>469</v>
      </c>
      <c r="G161" s="10">
        <v>1984</v>
      </c>
      <c r="H161" s="11">
        <f t="array" ref="H161">IF(OR(N161&gt;0,AC161&gt;0),MAX(N161,AC161),MAX(AK161,V161))</f>
        <v>46242</v>
      </c>
      <c r="I161" s="143">
        <f t="array" ref="I161">IF(SUM(O161,AD161)&gt;0,SUM(O161,AD161),SUM(AL161,W161))</f>
        <v>263.67538560000003</v>
      </c>
      <c r="J161" s="9">
        <f t="shared" si="22"/>
        <v>13.290090000000001</v>
      </c>
      <c r="K161" s="143">
        <f t="shared" si="28"/>
        <v>9.18</v>
      </c>
      <c r="L161" s="9">
        <f t="shared" si="23"/>
        <v>3.4815536456354006</v>
      </c>
      <c r="M161" s="8" t="str">
        <f t="array" ref="M161">IF(L161&gt;5,"Perlu Sensus",IF(AND(L161&gt;=0,I161&gt;0),"Tetap Deteksi","Belum Deteksi"))</f>
        <v>Tetap Deteksi</v>
      </c>
      <c r="N161" s="11">
        <v>46242</v>
      </c>
      <c r="O161" s="143">
        <v>263.67538560000003</v>
      </c>
      <c r="P161" s="9">
        <f t="array" ref="P161">IFERROR(O161/$G161*100,0)</f>
        <v>13.290090000000001</v>
      </c>
      <c r="Q161" s="143">
        <v>9.18</v>
      </c>
      <c r="R161" s="9">
        <f t="shared" si="24"/>
        <v>3.4815536456354006</v>
      </c>
      <c r="S161" s="8" t="str">
        <f t="array" ref="S161">IF(R161&gt;5,"Perlu Sensus",IF(AND(R161&gt;=0,O161&gt;0),"Tetap Deteksi","Belum Deteksi"))</f>
        <v>Tetap Deteksi</v>
      </c>
      <c r="T161" s="143">
        <v>4.6488388165300227</v>
      </c>
      <c r="U161" s="9">
        <f t="shared" si="29"/>
        <v>1.7630916916842549</v>
      </c>
      <c r="V161" s="11">
        <v>46242</v>
      </c>
      <c r="W161" s="143">
        <v>287.9620067151937</v>
      </c>
      <c r="X161" s="143">
        <v>5.15</v>
      </c>
      <c r="Y161" s="9">
        <f t="shared" si="25"/>
        <v>1.7884303761966636</v>
      </c>
      <c r="Z161" s="8" t="str">
        <f t="array" ref="Z161">IF(Y161&gt;5,"Perlu Sensus",IF(AND(Y161&gt;=0,W161&gt;0),"Tetap Deteksi","Belum Deteksi"))</f>
        <v>Tetap Deteksi</v>
      </c>
      <c r="AA161" s="143">
        <v>4.16</v>
      </c>
      <c r="AB161" s="9">
        <f t="shared" si="30"/>
        <v>1.4446350223258486</v>
      </c>
      <c r="AC161" s="11"/>
      <c r="AD161" s="143"/>
      <c r="AE161" s="9">
        <f t="array" ref="AE161">IFERROR(AD161/$G161*100,0)</f>
        <v>0</v>
      </c>
      <c r="AF161" s="143"/>
      <c r="AG161" s="9">
        <f t="shared" si="26"/>
        <v>0</v>
      </c>
      <c r="AH161" s="8" t="str">
        <f t="array" ref="AH161">IF(AG161&gt;5,"Perlu Sensus",IF(AND(AG161&gt;=0,AD161&gt;0),"Tetap Deteksi","Belum Deteksi"))</f>
        <v>Belum Deteksi</v>
      </c>
      <c r="AI161" s="143"/>
      <c r="AJ161" s="9">
        <f t="shared" si="31"/>
        <v>0</v>
      </c>
      <c r="AK161" s="11"/>
      <c r="AL161" s="143"/>
      <c r="AM161" s="143"/>
      <c r="AN161" s="9">
        <f t="shared" si="27"/>
        <v>0</v>
      </c>
      <c r="AO161" s="8" t="str">
        <f t="array" ref="AO161">IF(AN161&gt;5,"Perlu Sensus",IF(AND(AN161&gt;=0,AL161&gt;0),"Tetap Deteksi","Belum Deteksi"))</f>
        <v>Belum Deteksi</v>
      </c>
      <c r="AP161" s="143"/>
      <c r="AQ161" s="9">
        <f t="shared" si="32"/>
        <v>0</v>
      </c>
    </row>
    <row r="162" spans="1:43" outlineLevel="1" x14ac:dyDescent="0.15">
      <c r="A162" s="8" t="s">
        <v>949</v>
      </c>
      <c r="B162" s="8"/>
      <c r="C162" s="8" t="s">
        <v>252</v>
      </c>
      <c r="D162" s="181" t="s">
        <v>1412</v>
      </c>
      <c r="E162" s="9">
        <v>30.03</v>
      </c>
      <c r="F162" s="8" t="s">
        <v>469</v>
      </c>
      <c r="G162" s="10">
        <v>2398</v>
      </c>
      <c r="H162" s="11">
        <f t="array" ref="H162">IF(OR(N162&gt;0,AC162&gt;0),MAX(N162,AC162),MAX(AK162,V162))</f>
        <v>46243</v>
      </c>
      <c r="I162" s="143">
        <f t="array" ref="I162">IF(SUM(O162,AD162)&gt;0,SUM(O162,AD162),SUM(AL162,W162))</f>
        <v>347.66875439999995</v>
      </c>
      <c r="J162" s="9">
        <f t="shared" si="22"/>
        <v>14.498279999999999</v>
      </c>
      <c r="K162" s="143">
        <f t="shared" si="28"/>
        <v>14.586</v>
      </c>
      <c r="L162" s="9">
        <f t="shared" si="23"/>
        <v>4.1953726975471923</v>
      </c>
      <c r="M162" s="8" t="str">
        <f t="array" ref="M162">IF(L162&gt;5,"Perlu Sensus",IF(AND(L162&gt;=0,I162&gt;0),"Tetap Deteksi","Belum Deteksi"))</f>
        <v>Tetap Deteksi</v>
      </c>
      <c r="N162" s="11">
        <v>46243</v>
      </c>
      <c r="O162" s="143">
        <v>347.66875439999995</v>
      </c>
      <c r="P162" s="9">
        <f t="array" ref="P162">IFERROR(O162/$G162*100,0)</f>
        <v>14.498279999999999</v>
      </c>
      <c r="Q162" s="143">
        <v>14.586</v>
      </c>
      <c r="R162" s="9">
        <f t="shared" si="24"/>
        <v>4.1953726975471923</v>
      </c>
      <c r="S162" s="8" t="str">
        <f t="array" ref="S162">IF(R162&gt;5,"Perlu Sensus",IF(AND(R162&gt;=0,O162&gt;0),"Tetap Deteksi","Belum Deteksi"))</f>
        <v>Tetap Deteksi</v>
      </c>
      <c r="T162" s="143">
        <v>9.4721119999999992</v>
      </c>
      <c r="U162" s="9">
        <f t="shared" si="29"/>
        <v>2.7244645600513593</v>
      </c>
      <c r="V162" s="11">
        <v>46243</v>
      </c>
      <c r="W162" s="143">
        <v>293.72124684949756</v>
      </c>
      <c r="X162" s="143">
        <v>6.7980000000000009</v>
      </c>
      <c r="Y162" s="9">
        <f t="shared" si="25"/>
        <v>2.314439310372153</v>
      </c>
      <c r="Z162" s="8" t="str">
        <f t="array" ref="Z162">IF(Y162&gt;5,"Perlu Sensus",IF(AND(Y162&gt;=0,W162&gt;0),"Tetap Deteksi","Belum Deteksi"))</f>
        <v>Tetap Deteksi</v>
      </c>
      <c r="AA162" s="143">
        <v>4.4478720000000012</v>
      </c>
      <c r="AB162" s="9">
        <f t="shared" si="30"/>
        <v>1.51431741752039</v>
      </c>
      <c r="AC162" s="11"/>
      <c r="AD162" s="143"/>
      <c r="AE162" s="9">
        <f t="array" ref="AE162">IFERROR(AD162/$G162*100,0)</f>
        <v>0</v>
      </c>
      <c r="AF162" s="143"/>
      <c r="AG162" s="9">
        <f t="shared" si="26"/>
        <v>0</v>
      </c>
      <c r="AH162" s="8" t="str">
        <f t="array" ref="AH162">IF(AG162&gt;5,"Perlu Sensus",IF(AND(AG162&gt;=0,AD162&gt;0),"Tetap Deteksi","Belum Deteksi"))</f>
        <v>Belum Deteksi</v>
      </c>
      <c r="AI162" s="143"/>
      <c r="AJ162" s="9">
        <f t="shared" si="31"/>
        <v>0</v>
      </c>
      <c r="AK162" s="11"/>
      <c r="AL162" s="143"/>
      <c r="AM162" s="143"/>
      <c r="AN162" s="9">
        <f t="shared" si="27"/>
        <v>0</v>
      </c>
      <c r="AO162" s="8" t="str">
        <f t="array" ref="AO162">IF(AN162&gt;5,"Perlu Sensus",IF(AND(AN162&gt;=0,AL162&gt;0),"Tetap Deteksi","Belum Deteksi"))</f>
        <v>Belum Deteksi</v>
      </c>
      <c r="AP162" s="143"/>
      <c r="AQ162" s="9">
        <f t="shared" si="32"/>
        <v>0</v>
      </c>
    </row>
    <row r="163" spans="1:43" outlineLevel="1" x14ac:dyDescent="0.15">
      <c r="A163" s="8" t="s">
        <v>949</v>
      </c>
      <c r="B163" s="8"/>
      <c r="C163" s="8" t="s">
        <v>252</v>
      </c>
      <c r="D163" s="8" t="s">
        <v>1413</v>
      </c>
      <c r="E163" s="9">
        <v>35.409999999999997</v>
      </c>
      <c r="F163" s="8" t="s">
        <v>469</v>
      </c>
      <c r="G163" s="10">
        <v>2988</v>
      </c>
      <c r="H163" s="11">
        <f t="array" ref="H163">IF(OR(N163&gt;0,AC163&gt;0),MAX(N163,AC163),MAX(AK163,V163))</f>
        <v>46244</v>
      </c>
      <c r="I163" s="143">
        <f t="array" ref="I163">IF(SUM(O163,AD163)&gt;0,SUM(O163,AD163),SUM(AL163,W163))</f>
        <v>469.30932359999997</v>
      </c>
      <c r="J163" s="9">
        <f t="shared" si="22"/>
        <v>15.706469999999999</v>
      </c>
      <c r="K163" s="143">
        <f t="shared" si="28"/>
        <v>15.3</v>
      </c>
      <c r="L163" s="9">
        <f t="shared" si="23"/>
        <v>3.2601099595968055</v>
      </c>
      <c r="M163" s="8" t="str">
        <f t="array" ref="M163">IF(L163&gt;5,"Perlu Sensus",IF(AND(L163&gt;=0,I163&gt;0),"Tetap Deteksi","Belum Deteksi"))</f>
        <v>Tetap Deteksi</v>
      </c>
      <c r="N163" s="11">
        <v>46244</v>
      </c>
      <c r="O163" s="143">
        <v>469.30932359999997</v>
      </c>
      <c r="P163" s="9">
        <f t="array" ref="P163">IFERROR(O163/$G163*100,0)</f>
        <v>15.706469999999999</v>
      </c>
      <c r="Q163" s="143">
        <v>15.3</v>
      </c>
      <c r="R163" s="9">
        <f t="shared" si="24"/>
        <v>3.2601099595968055</v>
      </c>
      <c r="S163" s="8" t="str">
        <f t="array" ref="S163">IF(R163&gt;5,"Perlu Sensus",IF(AND(R163&gt;=0,O163&gt;0),"Tetap Deteksi","Belum Deteksi"))</f>
        <v>Tetap Deteksi</v>
      </c>
      <c r="T163" s="143">
        <v>8.6571529738477047</v>
      </c>
      <c r="U163" s="9">
        <f t="shared" si="29"/>
        <v>1.8446582112283665</v>
      </c>
      <c r="V163" s="11">
        <v>46244</v>
      </c>
      <c r="W163" s="143">
        <v>299.59567178648751</v>
      </c>
      <c r="X163" s="143">
        <v>7.21</v>
      </c>
      <c r="Y163" s="9">
        <f t="shared" si="25"/>
        <v>2.4065768230251141</v>
      </c>
      <c r="Z163" s="8" t="str">
        <f t="array" ref="Z163">IF(Y163&gt;5,"Perlu Sensus",IF(AND(Y163&gt;=0,W163&gt;0),"Tetap Deteksi","Belum Deteksi"))</f>
        <v>Tetap Deteksi</v>
      </c>
      <c r="AA163" s="143">
        <v>12.48</v>
      </c>
      <c r="AB163" s="9">
        <f t="shared" si="30"/>
        <v>4.1656142512279368</v>
      </c>
      <c r="AC163" s="11"/>
      <c r="AD163" s="143"/>
      <c r="AE163" s="9">
        <f t="array" ref="AE163">IFERROR(AD163/$G163*100,0)</f>
        <v>0</v>
      </c>
      <c r="AF163" s="143"/>
      <c r="AG163" s="9">
        <f t="shared" si="26"/>
        <v>0</v>
      </c>
      <c r="AH163" s="8" t="str">
        <f t="array" ref="AH163">IF(AG163&gt;5,"Perlu Sensus",IF(AND(AG163&gt;=0,AD163&gt;0),"Tetap Deteksi","Belum Deteksi"))</f>
        <v>Belum Deteksi</v>
      </c>
      <c r="AI163" s="143"/>
      <c r="AJ163" s="9">
        <f t="shared" si="31"/>
        <v>0</v>
      </c>
      <c r="AK163" s="11"/>
      <c r="AL163" s="143"/>
      <c r="AM163" s="143"/>
      <c r="AN163" s="9">
        <f t="shared" si="27"/>
        <v>0</v>
      </c>
      <c r="AO163" s="8" t="str">
        <f t="array" ref="AO163">IF(AN163&gt;5,"Perlu Sensus",IF(AND(AN163&gt;=0,AL163&gt;0),"Tetap Deteksi","Belum Deteksi"))</f>
        <v>Belum Deteksi</v>
      </c>
      <c r="AP163" s="143"/>
      <c r="AQ163" s="9">
        <f t="shared" si="32"/>
        <v>0</v>
      </c>
    </row>
    <row r="164" spans="1:43" outlineLevel="1" x14ac:dyDescent="0.15">
      <c r="A164" s="8" t="s">
        <v>949</v>
      </c>
      <c r="B164" s="8"/>
      <c r="C164" s="8" t="s">
        <v>252</v>
      </c>
      <c r="D164" s="8" t="s">
        <v>1796</v>
      </c>
      <c r="E164" s="9">
        <v>33.049999999999997</v>
      </c>
      <c r="F164" s="8" t="s">
        <v>469</v>
      </c>
      <c r="G164" s="10">
        <v>3621</v>
      </c>
      <c r="H164" s="11">
        <f t="array" ref="H164">IF(OR(N164&gt;0,AC164&gt;0),MAX(N164,AC164),MAX(AK164,V164))</f>
        <v>46245</v>
      </c>
      <c r="I164" s="143">
        <f t="array" ref="I164">IF(SUM(O164,AD164)&gt;0,SUM(O164,AD164),SUM(AL164,W164))</f>
        <v>524.98271880000004</v>
      </c>
      <c r="J164" s="9">
        <f t="shared" si="22"/>
        <v>14.498280000000003</v>
      </c>
      <c r="K164" s="143">
        <f t="shared" si="28"/>
        <v>3.3660000000000005</v>
      </c>
      <c r="L164" s="9">
        <f t="shared" si="23"/>
        <v>0.64116396206221182</v>
      </c>
      <c r="M164" s="8" t="str">
        <f t="array" ref="M164">IF(L164&gt;5,"Perlu Sensus",IF(AND(L164&gt;=0,I164&gt;0),"Tetap Deteksi","Belum Deteksi"))</f>
        <v>Tetap Deteksi</v>
      </c>
      <c r="N164" s="11">
        <v>46245</v>
      </c>
      <c r="O164" s="143">
        <v>524.98271880000004</v>
      </c>
      <c r="P164" s="9">
        <f t="array" ref="P164">IFERROR(O164/$G164*100,0)</f>
        <v>14.498280000000003</v>
      </c>
      <c r="Q164" s="143">
        <v>3.3660000000000005</v>
      </c>
      <c r="R164" s="9">
        <f t="shared" si="24"/>
        <v>0.64116396206221182</v>
      </c>
      <c r="S164" s="8" t="str">
        <f t="array" ref="S164">IF(R164&gt;5,"Perlu Sensus",IF(AND(R164&gt;=0,O164&gt;0),"Tetap Deteksi","Belum Deteksi"))</f>
        <v>Tetap Deteksi</v>
      </c>
      <c r="T164" s="143">
        <v>2.1858719999999994</v>
      </c>
      <c r="U164" s="9">
        <f t="shared" si="29"/>
        <v>0.41637027691053197</v>
      </c>
      <c r="V164" s="11">
        <v>46245</v>
      </c>
      <c r="W164" s="143">
        <v>305.58758522221723</v>
      </c>
      <c r="X164" s="143">
        <v>5.665</v>
      </c>
      <c r="Y164" s="9">
        <f t="shared" si="25"/>
        <v>1.8538056759997381</v>
      </c>
      <c r="Z164" s="8" t="str">
        <f t="array" ref="Z164">IF(Y164&gt;5,"Perlu Sensus",IF(AND(Y164&gt;=0,W164&gt;0),"Tetap Deteksi","Belum Deteksi"))</f>
        <v>Tetap Deteksi</v>
      </c>
      <c r="AA164" s="143">
        <v>3.7065600000000005</v>
      </c>
      <c r="AB164" s="9">
        <f t="shared" si="30"/>
        <v>1.2129288555046056</v>
      </c>
      <c r="AC164" s="11"/>
      <c r="AD164" s="143"/>
      <c r="AE164" s="9">
        <f t="array" ref="AE164">IFERROR(AD164/$G164*100,0)</f>
        <v>0</v>
      </c>
      <c r="AF164" s="143"/>
      <c r="AG164" s="9">
        <f t="shared" si="26"/>
        <v>0</v>
      </c>
      <c r="AH164" s="8" t="str">
        <f t="array" ref="AH164">IF(AG164&gt;5,"Perlu Sensus",IF(AND(AG164&gt;=0,AD164&gt;0),"Tetap Deteksi","Belum Deteksi"))</f>
        <v>Belum Deteksi</v>
      </c>
      <c r="AI164" s="143"/>
      <c r="AJ164" s="9">
        <f t="shared" si="31"/>
        <v>0</v>
      </c>
      <c r="AK164" s="11"/>
      <c r="AL164" s="143"/>
      <c r="AM164" s="143"/>
      <c r="AN164" s="9">
        <f t="shared" si="27"/>
        <v>0</v>
      </c>
      <c r="AO164" s="8" t="str">
        <f t="array" ref="AO164">IF(AN164&gt;5,"Perlu Sensus",IF(AND(AN164&gt;=0,AL164&gt;0),"Tetap Deteksi","Belum Deteksi"))</f>
        <v>Belum Deteksi</v>
      </c>
      <c r="AP164" s="143"/>
      <c r="AQ164" s="9">
        <f t="shared" si="32"/>
        <v>0</v>
      </c>
    </row>
    <row r="165" spans="1:43" outlineLevel="1" x14ac:dyDescent="0.15">
      <c r="A165" s="8" t="s">
        <v>949</v>
      </c>
      <c r="B165" s="8"/>
      <c r="C165" s="8" t="s">
        <v>252</v>
      </c>
      <c r="D165" s="8" t="s">
        <v>1797</v>
      </c>
      <c r="E165" s="9">
        <v>40.909999999999997</v>
      </c>
      <c r="F165" s="8" t="s">
        <v>469</v>
      </c>
      <c r="G165" s="10">
        <v>4383</v>
      </c>
      <c r="H165" s="11">
        <f t="array" ref="H165">IF(OR(N165&gt;0,AC165&gt;0),MAX(N165,AC165),MAX(AK165,V165))</f>
        <v>46246</v>
      </c>
      <c r="I165" s="143">
        <f t="array" ref="I165">IF(SUM(O165,AD165)&gt;0,SUM(O165,AD165),SUM(AL165,W165))</f>
        <v>476.59470929999998</v>
      </c>
      <c r="J165" s="9">
        <f t="shared" si="22"/>
        <v>10.873709999999999</v>
      </c>
      <c r="K165" s="143">
        <f t="shared" si="28"/>
        <v>10.199999999999999</v>
      </c>
      <c r="L165" s="9">
        <f t="shared" si="23"/>
        <v>2.1401832208715206</v>
      </c>
      <c r="M165" s="8" t="str">
        <f t="array" ref="M165">IF(L165&gt;5,"Perlu Sensus",IF(AND(L165&gt;=0,I165&gt;0),"Tetap Deteksi","Belum Deteksi"))</f>
        <v>Tetap Deteksi</v>
      </c>
      <c r="N165" s="11">
        <v>46246</v>
      </c>
      <c r="O165" s="143">
        <v>476.59470929999998</v>
      </c>
      <c r="P165" s="9">
        <f t="array" ref="P165">IFERROR(O165/$G165*100,0)</f>
        <v>10.873709999999999</v>
      </c>
      <c r="Q165" s="143">
        <v>10.199999999999999</v>
      </c>
      <c r="R165" s="9">
        <f t="shared" si="24"/>
        <v>2.1401832208715206</v>
      </c>
      <c r="S165" s="8" t="str">
        <f t="array" ref="S165">IF(R165&gt;5,"Perlu Sensus",IF(AND(R165&gt;=0,O165&gt;0),"Tetap Deteksi","Belum Deteksi"))</f>
        <v>Tetap Deteksi</v>
      </c>
      <c r="T165" s="143">
        <v>5.2928679890159422</v>
      </c>
      <c r="U165" s="9">
        <f t="shared" si="29"/>
        <v>1.1105595353313635</v>
      </c>
      <c r="V165" s="11">
        <v>46246</v>
      </c>
      <c r="W165" s="143">
        <v>311.69933692666166</v>
      </c>
      <c r="X165" s="143">
        <v>5.15</v>
      </c>
      <c r="Y165" s="9">
        <f t="shared" si="25"/>
        <v>1.6522332228161658</v>
      </c>
      <c r="Z165" s="8" t="str">
        <f t="array" ref="Z165">IF(Y165&gt;5,"Perlu Sensus",IF(AND(Y165&gt;=0,W165&gt;0),"Tetap Deteksi","Belum Deteksi"))</f>
        <v>Tetap Deteksi</v>
      </c>
      <c r="AA165" s="143">
        <v>8.32</v>
      </c>
      <c r="AB165" s="9">
        <f t="shared" si="30"/>
        <v>2.6692389153068925</v>
      </c>
      <c r="AC165" s="11"/>
      <c r="AD165" s="143"/>
      <c r="AE165" s="9">
        <f t="array" ref="AE165">IFERROR(AD165/$G165*100,0)</f>
        <v>0</v>
      </c>
      <c r="AF165" s="143"/>
      <c r="AG165" s="9">
        <f t="shared" si="26"/>
        <v>0</v>
      </c>
      <c r="AH165" s="8" t="str">
        <f t="array" ref="AH165">IF(AG165&gt;5,"Perlu Sensus",IF(AND(AG165&gt;=0,AD165&gt;0),"Tetap Deteksi","Belum Deteksi"))</f>
        <v>Belum Deteksi</v>
      </c>
      <c r="AI165" s="143"/>
      <c r="AJ165" s="9">
        <f t="shared" si="31"/>
        <v>0</v>
      </c>
      <c r="AK165" s="11"/>
      <c r="AL165" s="143"/>
      <c r="AM165" s="143"/>
      <c r="AN165" s="9">
        <f t="shared" si="27"/>
        <v>0</v>
      </c>
      <c r="AO165" s="8" t="str">
        <f t="array" ref="AO165">IF(AN165&gt;5,"Perlu Sensus",IF(AND(AN165&gt;=0,AL165&gt;0),"Tetap Deteksi","Belum Deteksi"))</f>
        <v>Belum Deteksi</v>
      </c>
      <c r="AP165" s="143"/>
      <c r="AQ165" s="9">
        <f t="shared" si="32"/>
        <v>0</v>
      </c>
    </row>
    <row r="166" spans="1:43" outlineLevel="1" x14ac:dyDescent="0.15">
      <c r="A166" s="8" t="s">
        <v>949</v>
      </c>
      <c r="B166" s="8"/>
      <c r="C166" s="8" t="s">
        <v>252</v>
      </c>
      <c r="D166" s="8" t="s">
        <v>1798</v>
      </c>
      <c r="E166" s="9">
        <v>30.189999999999998</v>
      </c>
      <c r="F166" s="8" t="s">
        <v>469</v>
      </c>
      <c r="G166" s="10">
        <v>3070</v>
      </c>
      <c r="H166" s="11">
        <f t="array" ref="H166">IF(OR(N166&gt;0,AC166&gt;0),MAX(N166,AC166),MAX(AK166,V166))</f>
        <v>46247</v>
      </c>
      <c r="I166" s="143">
        <f t="array" ref="I166">IF(SUM(O166,AD166)&gt;0,SUM(O166,AD166),SUM(AL166,W166))</f>
        <v>296.73146400000002</v>
      </c>
      <c r="J166" s="9">
        <f t="shared" si="22"/>
        <v>9.6655200000000008</v>
      </c>
      <c r="K166" s="143">
        <f t="shared" si="28"/>
        <v>13.26</v>
      </c>
      <c r="L166" s="9">
        <f t="shared" si="23"/>
        <v>4.4686868797978221</v>
      </c>
      <c r="M166" s="8" t="str">
        <f t="array" ref="M166">IF(L166&gt;5,"Perlu Sensus",IF(AND(L166&gt;=0,I166&gt;0),"Tetap Deteksi","Belum Deteksi"))</f>
        <v>Tetap Deteksi</v>
      </c>
      <c r="N166" s="11">
        <v>46247</v>
      </c>
      <c r="O166" s="143">
        <v>296.73146400000002</v>
      </c>
      <c r="P166" s="9">
        <f t="array" ref="P166">IFERROR(O166/$G166*100,0)</f>
        <v>9.6655200000000008</v>
      </c>
      <c r="Q166" s="143">
        <v>13.26</v>
      </c>
      <c r="R166" s="9">
        <f t="shared" si="24"/>
        <v>4.4686868797978221</v>
      </c>
      <c r="S166" s="8" t="str">
        <f t="array" ref="S166">IF(R166&gt;5,"Perlu Sensus",IF(AND(R166&gt;=0,O166&gt;0),"Tetap Deteksi","Belum Deteksi"))</f>
        <v>Tetap Deteksi</v>
      </c>
      <c r="T166" s="143">
        <v>7.6668774350957589</v>
      </c>
      <c r="U166" s="9">
        <f t="shared" si="29"/>
        <v>2.5837763652511612</v>
      </c>
      <c r="V166" s="11">
        <v>46247</v>
      </c>
      <c r="W166" s="143">
        <v>317.93332366519491</v>
      </c>
      <c r="X166" s="143">
        <v>9.27</v>
      </c>
      <c r="Y166" s="9">
        <f t="shared" si="25"/>
        <v>2.9157056873226446</v>
      </c>
      <c r="Z166" s="8" t="str">
        <f t="array" ref="Z166">IF(Y166&gt;5,"Perlu Sensus",IF(AND(Y166&gt;=0,W166&gt;0),"Tetap Deteksi","Belum Deteksi"))</f>
        <v>Tetap Deteksi</v>
      </c>
      <c r="AA166" s="143">
        <v>9.36</v>
      </c>
      <c r="AB166" s="9">
        <f t="shared" si="30"/>
        <v>2.9440135095296607</v>
      </c>
      <c r="AC166" s="11"/>
      <c r="AD166" s="143"/>
      <c r="AE166" s="9">
        <f t="array" ref="AE166">IFERROR(AD166/$G166*100,0)</f>
        <v>0</v>
      </c>
      <c r="AF166" s="143"/>
      <c r="AG166" s="9">
        <f t="shared" si="26"/>
        <v>0</v>
      </c>
      <c r="AH166" s="8" t="str">
        <f t="array" ref="AH166">IF(AG166&gt;5,"Perlu Sensus",IF(AND(AG166&gt;=0,AD166&gt;0),"Tetap Deteksi","Belum Deteksi"))</f>
        <v>Belum Deteksi</v>
      </c>
      <c r="AI166" s="143"/>
      <c r="AJ166" s="9">
        <f t="shared" si="31"/>
        <v>0</v>
      </c>
      <c r="AK166" s="11"/>
      <c r="AL166" s="143"/>
      <c r="AM166" s="143"/>
      <c r="AN166" s="9">
        <f t="shared" si="27"/>
        <v>0</v>
      </c>
      <c r="AO166" s="8" t="str">
        <f t="array" ref="AO166">IF(AN166&gt;5,"Perlu Sensus",IF(AND(AN166&gt;=0,AL166&gt;0),"Tetap Deteksi","Belum Deteksi"))</f>
        <v>Belum Deteksi</v>
      </c>
      <c r="AP166" s="143"/>
      <c r="AQ166" s="9">
        <f t="shared" si="32"/>
        <v>0</v>
      </c>
    </row>
    <row r="167" spans="1:43" outlineLevel="1" x14ac:dyDescent="0.15">
      <c r="A167" s="8" t="s">
        <v>949</v>
      </c>
      <c r="B167" s="8"/>
      <c r="C167" s="8" t="s">
        <v>252</v>
      </c>
      <c r="D167" s="8" t="s">
        <v>1799</v>
      </c>
      <c r="E167" s="9">
        <v>27.5</v>
      </c>
      <c r="F167" s="8" t="s">
        <v>469</v>
      </c>
      <c r="G167" s="10">
        <v>2609</v>
      </c>
      <c r="H167" s="11">
        <f t="array" ref="H167">IF(OR(N167&gt;0,AC167&gt;0),MAX(N167,AC167),MAX(AK167,V167))</f>
        <v>46248</v>
      </c>
      <c r="I167" s="143">
        <f t="array" ref="I167">IF(SUM(O167,AD167)&gt;0,SUM(O167,AD167),SUM(AL167,W167))</f>
        <v>283.69509389999996</v>
      </c>
      <c r="J167" s="9">
        <f t="shared" si="22"/>
        <v>10.873709999999999</v>
      </c>
      <c r="K167" s="143">
        <f t="shared" si="28"/>
        <v>8.9760000000000009</v>
      </c>
      <c r="L167" s="9">
        <f t="shared" si="23"/>
        <v>3.1639602492258687</v>
      </c>
      <c r="M167" s="8" t="str">
        <f t="array" ref="M167">IF(L167&gt;5,"Perlu Sensus",IF(AND(L167&gt;=0,I167&gt;0),"Tetap Deteksi","Belum Deteksi"))</f>
        <v>Tetap Deteksi</v>
      </c>
      <c r="N167" s="11">
        <v>46248</v>
      </c>
      <c r="O167" s="143">
        <v>283.69509389999996</v>
      </c>
      <c r="P167" s="9">
        <f t="array" ref="P167">IFERROR(O167/$G167*100,0)</f>
        <v>10.873709999999999</v>
      </c>
      <c r="Q167" s="143">
        <v>8.9760000000000009</v>
      </c>
      <c r="R167" s="9">
        <f t="shared" si="24"/>
        <v>3.1639602492258687</v>
      </c>
      <c r="S167" s="8" t="str">
        <f t="array" ref="S167">IF(R167&gt;5,"Perlu Sensus",IF(AND(R167&gt;=0,O167&gt;0),"Tetap Deteksi","Belum Deteksi"))</f>
        <v>Tetap Deteksi</v>
      </c>
      <c r="T167" s="143">
        <v>5.8289919999999995</v>
      </c>
      <c r="U167" s="9">
        <f t="shared" si="29"/>
        <v>2.0546678900463</v>
      </c>
      <c r="V167" s="11">
        <v>46248</v>
      </c>
      <c r="W167" s="143">
        <v>324.29199013849876</v>
      </c>
      <c r="X167" s="143">
        <v>9.0640000000000018</v>
      </c>
      <c r="Y167" s="9">
        <f t="shared" si="25"/>
        <v>2.7950119878474164</v>
      </c>
      <c r="Z167" s="8" t="str">
        <f t="array" ref="Z167">IF(Y167&gt;5,"Perlu Sensus",IF(AND(Y167&gt;=0,W167&gt;0),"Tetap Deteksi","Belum Deteksi"))</f>
        <v>Tetap Deteksi</v>
      </c>
      <c r="AA167" s="143">
        <v>5.9304960000000007</v>
      </c>
      <c r="AB167" s="9">
        <f t="shared" si="30"/>
        <v>1.8287519212137191</v>
      </c>
      <c r="AC167" s="11"/>
      <c r="AD167" s="143"/>
      <c r="AE167" s="9">
        <f t="array" ref="AE167">IFERROR(AD167/$G167*100,0)</f>
        <v>0</v>
      </c>
      <c r="AF167" s="143"/>
      <c r="AG167" s="9">
        <f t="shared" si="26"/>
        <v>0</v>
      </c>
      <c r="AH167" s="8" t="str">
        <f t="array" ref="AH167">IF(AG167&gt;5,"Perlu Sensus",IF(AND(AG167&gt;=0,AD167&gt;0),"Tetap Deteksi","Belum Deteksi"))</f>
        <v>Belum Deteksi</v>
      </c>
      <c r="AI167" s="143"/>
      <c r="AJ167" s="9">
        <f t="shared" si="31"/>
        <v>0</v>
      </c>
      <c r="AK167" s="11"/>
      <c r="AL167" s="143"/>
      <c r="AM167" s="143"/>
      <c r="AN167" s="9">
        <f t="shared" si="27"/>
        <v>0</v>
      </c>
      <c r="AO167" s="8" t="str">
        <f t="array" ref="AO167">IF(AN167&gt;5,"Perlu Sensus",IF(AND(AN167&gt;=0,AL167&gt;0),"Tetap Deteksi","Belum Deteksi"))</f>
        <v>Belum Deteksi</v>
      </c>
      <c r="AP167" s="143"/>
      <c r="AQ167" s="9">
        <f t="shared" si="32"/>
        <v>0</v>
      </c>
    </row>
    <row r="168" spans="1:43" outlineLevel="1" x14ac:dyDescent="0.15">
      <c r="A168" s="8" t="s">
        <v>949</v>
      </c>
      <c r="B168" s="8"/>
      <c r="C168" s="8" t="s">
        <v>252</v>
      </c>
      <c r="D168" s="8" t="s">
        <v>1019</v>
      </c>
      <c r="E168" s="9">
        <v>34.42</v>
      </c>
      <c r="F168" s="8" t="s">
        <v>469</v>
      </c>
      <c r="G168" s="10">
        <v>2593</v>
      </c>
      <c r="H168" s="11">
        <f t="array" ref="H168">IF(OR(N168&gt;0,AC168&gt;0),MAX(N168,AC168),MAX(AK168,V168))</f>
        <v>46249</v>
      </c>
      <c r="I168" s="143">
        <f t="array" ref="I168">IF(SUM(O168,AD168)&gt;0,SUM(O168,AD168),SUM(AL168,W168))</f>
        <v>313.28366699999998</v>
      </c>
      <c r="J168" s="9">
        <f t="shared" si="22"/>
        <v>12.081899999999999</v>
      </c>
      <c r="K168" s="143">
        <f t="shared" si="28"/>
        <v>6.12</v>
      </c>
      <c r="L168" s="9">
        <f t="shared" si="23"/>
        <v>1.9535011379958092</v>
      </c>
      <c r="M168" s="8" t="str">
        <f t="array" ref="M168">IF(L168&gt;5,"Perlu Sensus",IF(AND(L168&gt;=0,I168&gt;0),"Tetap Deteksi","Belum Deteksi"))</f>
        <v>Tetap Deteksi</v>
      </c>
      <c r="N168" s="11">
        <v>46249</v>
      </c>
      <c r="O168" s="143">
        <v>313.28366699999998</v>
      </c>
      <c r="P168" s="9">
        <f t="array" ref="P168">IFERROR(O168/$G168*100,0)</f>
        <v>12.081899999999999</v>
      </c>
      <c r="Q168" s="143">
        <v>6.12</v>
      </c>
      <c r="R168" s="9">
        <f t="shared" si="24"/>
        <v>1.9535011379958092</v>
      </c>
      <c r="S168" s="8" t="str">
        <f t="array" ref="S168">IF(R168&gt;5,"Perlu Sensus",IF(AND(R168&gt;=0,O168&gt;0),"Tetap Deteksi","Belum Deteksi"))</f>
        <v>Tetap Deteksi</v>
      </c>
      <c r="T168" s="143">
        <v>3.5774841686088958</v>
      </c>
      <c r="U168" s="9">
        <f t="shared" si="29"/>
        <v>1.1419312736175602</v>
      </c>
      <c r="V168" s="11">
        <v>46249</v>
      </c>
      <c r="W168" s="143">
        <v>330.77782994126881</v>
      </c>
      <c r="X168" s="143">
        <v>7.21</v>
      </c>
      <c r="Y168" s="9">
        <f t="shared" si="25"/>
        <v>2.1797107748364422</v>
      </c>
      <c r="Z168" s="8" t="str">
        <f t="array" ref="Z168">IF(Y168&gt;5,"Perlu Sensus",IF(AND(Y168&gt;=0,W168&gt;0),"Tetap Deteksi","Belum Deteksi"))</f>
        <v>Tetap Deteksi</v>
      </c>
      <c r="AA168" s="143">
        <v>9.36</v>
      </c>
      <c r="AB168" s="9">
        <f t="shared" si="30"/>
        <v>2.8296938769027875</v>
      </c>
      <c r="AC168" s="11"/>
      <c r="AD168" s="143"/>
      <c r="AE168" s="9">
        <f t="array" ref="AE168">IFERROR(AD168/$G168*100,0)</f>
        <v>0</v>
      </c>
      <c r="AF168" s="143"/>
      <c r="AG168" s="9">
        <f t="shared" si="26"/>
        <v>0</v>
      </c>
      <c r="AH168" s="8" t="str">
        <f t="array" ref="AH168">IF(AG168&gt;5,"Perlu Sensus",IF(AND(AG168&gt;=0,AD168&gt;0),"Tetap Deteksi","Belum Deteksi"))</f>
        <v>Belum Deteksi</v>
      </c>
      <c r="AI168" s="143"/>
      <c r="AJ168" s="9">
        <f t="shared" si="31"/>
        <v>0</v>
      </c>
      <c r="AK168" s="11"/>
      <c r="AL168" s="143"/>
      <c r="AM168" s="143"/>
      <c r="AN168" s="9">
        <f t="shared" si="27"/>
        <v>0</v>
      </c>
      <c r="AO168" s="8" t="str">
        <f t="array" ref="AO168">IF(AN168&gt;5,"Perlu Sensus",IF(AND(AN168&gt;=0,AL168&gt;0),"Tetap Deteksi","Belum Deteksi"))</f>
        <v>Belum Deteksi</v>
      </c>
      <c r="AP168" s="143"/>
      <c r="AQ168" s="9">
        <f t="shared" si="32"/>
        <v>0</v>
      </c>
    </row>
    <row r="169" spans="1:43" outlineLevel="1" x14ac:dyDescent="0.15">
      <c r="A169" s="8" t="s">
        <v>949</v>
      </c>
      <c r="B169" s="8"/>
      <c r="C169" s="8" t="s">
        <v>252</v>
      </c>
      <c r="D169" s="8" t="s">
        <v>1021</v>
      </c>
      <c r="E169" s="9">
        <v>25.87</v>
      </c>
      <c r="F169" s="8" t="s">
        <v>469</v>
      </c>
      <c r="G169" s="10">
        <v>2044</v>
      </c>
      <c r="H169" s="11">
        <f t="array" ref="H169">IF(OR(N169&gt;0,AC169&gt;0),MAX(N169,AC169),MAX(AK169,V169))</f>
        <v>46235</v>
      </c>
      <c r="I169" s="143">
        <f t="array" ref="I169">IF(SUM(O169,AD169)&gt;0,SUM(O169,AD169),SUM(AL169,W169))</f>
        <v>246.95403599999997</v>
      </c>
      <c r="J169" s="9">
        <f t="shared" si="22"/>
        <v>12.081899999999997</v>
      </c>
      <c r="K169" s="143">
        <f t="shared" si="28"/>
        <v>10.098000000000001</v>
      </c>
      <c r="L169" s="9">
        <f t="shared" si="23"/>
        <v>4.0890200312417653</v>
      </c>
      <c r="M169" s="8" t="str">
        <f t="array" ref="M169">IF(L169&gt;5,"Perlu Sensus",IF(AND(L169&gt;=0,I169&gt;0),"Tetap Deteksi","Belum Deteksi"))</f>
        <v>Tetap Deteksi</v>
      </c>
      <c r="N169" s="11">
        <v>46235</v>
      </c>
      <c r="O169" s="143">
        <v>246.95403599999997</v>
      </c>
      <c r="P169" s="9">
        <f t="array" ref="P169">IFERROR(O169/$G169*100,0)</f>
        <v>12.081899999999997</v>
      </c>
      <c r="Q169" s="143">
        <v>10.098000000000001</v>
      </c>
      <c r="R169" s="9">
        <f t="shared" si="24"/>
        <v>4.0890200312417653</v>
      </c>
      <c r="S169" s="8" t="str">
        <f t="array" ref="S169">IF(R169&gt;5,"Perlu Sensus",IF(AND(R169&gt;=0,O169&gt;0),"Tetap Deteksi","Belum Deteksi"))</f>
        <v>Tetap Deteksi</v>
      </c>
      <c r="T169" s="143">
        <v>6.5576159999999994</v>
      </c>
      <c r="U169" s="9">
        <f t="shared" si="29"/>
        <v>2.6553994039603386</v>
      </c>
      <c r="V169" s="11">
        <v>46235</v>
      </c>
      <c r="W169" s="143">
        <v>337.39338654009418</v>
      </c>
      <c r="X169" s="143">
        <v>5.665</v>
      </c>
      <c r="Y169" s="9">
        <f t="shared" si="25"/>
        <v>1.6790489161905371</v>
      </c>
      <c r="Z169" s="8" t="str">
        <f t="array" ref="Z169">IF(Y169&gt;5,"Perlu Sensus",IF(AND(Y169&gt;=0,W169&gt;0),"Tetap Deteksi","Belum Deteksi"))</f>
        <v>Tetap Deteksi</v>
      </c>
      <c r="AA169" s="143">
        <v>3.7065600000000005</v>
      </c>
      <c r="AB169" s="9">
        <f t="shared" si="30"/>
        <v>1.098587034562259</v>
      </c>
      <c r="AC169" s="11"/>
      <c r="AD169" s="143"/>
      <c r="AE169" s="9">
        <f t="array" ref="AE169">IFERROR(AD169/$G169*100,0)</f>
        <v>0</v>
      </c>
      <c r="AF169" s="143"/>
      <c r="AG169" s="9">
        <f t="shared" si="26"/>
        <v>0</v>
      </c>
      <c r="AH169" s="8" t="str">
        <f t="array" ref="AH169">IF(AG169&gt;5,"Perlu Sensus",IF(AND(AG169&gt;=0,AD169&gt;0),"Tetap Deteksi","Belum Deteksi"))</f>
        <v>Belum Deteksi</v>
      </c>
      <c r="AI169" s="143"/>
      <c r="AJ169" s="9">
        <f t="shared" si="31"/>
        <v>0</v>
      </c>
      <c r="AK169" s="11"/>
      <c r="AL169" s="143"/>
      <c r="AM169" s="143"/>
      <c r="AN169" s="9">
        <f t="shared" si="27"/>
        <v>0</v>
      </c>
      <c r="AO169" s="8" t="str">
        <f t="array" ref="AO169">IF(AN169&gt;5,"Perlu Sensus",IF(AND(AN169&gt;=0,AL169&gt;0),"Tetap Deteksi","Belum Deteksi"))</f>
        <v>Belum Deteksi</v>
      </c>
      <c r="AP169" s="143"/>
      <c r="AQ169" s="9">
        <f t="shared" si="32"/>
        <v>0</v>
      </c>
    </row>
    <row r="170" spans="1:43" outlineLevel="1" x14ac:dyDescent="0.15">
      <c r="A170" s="8" t="s">
        <v>949</v>
      </c>
      <c r="B170" s="8"/>
      <c r="C170" s="8" t="s">
        <v>252</v>
      </c>
      <c r="D170" s="8" t="s">
        <v>1023</v>
      </c>
      <c r="E170" s="9">
        <v>22.83</v>
      </c>
      <c r="F170" s="8" t="s">
        <v>469</v>
      </c>
      <c r="G170" s="10">
        <v>1761.0000000000002</v>
      </c>
      <c r="H170" s="11">
        <f t="array" ref="H170">IF(OR(N170&gt;0,AC170&gt;0),MAX(N170,AC170),MAX(AK170,V170))</f>
        <v>46236</v>
      </c>
      <c r="I170" s="143">
        <f t="array" ref="I170">IF(SUM(O170,AD170)&gt;0,SUM(O170,AD170),SUM(AL170,W170))</f>
        <v>255.31471080000003</v>
      </c>
      <c r="J170" s="9">
        <f t="shared" si="22"/>
        <v>14.498279999999999</v>
      </c>
      <c r="K170" s="143">
        <f t="shared" si="28"/>
        <v>7.854000000000001</v>
      </c>
      <c r="L170" s="9">
        <f t="shared" si="23"/>
        <v>3.0762034727221055</v>
      </c>
      <c r="M170" s="8" t="str">
        <f t="array" ref="M170">IF(L170&gt;5,"Perlu Sensus",IF(AND(L170&gt;=0,I170&gt;0),"Tetap Deteksi","Belum Deteksi"))</f>
        <v>Tetap Deteksi</v>
      </c>
      <c r="N170" s="11">
        <v>46236</v>
      </c>
      <c r="O170" s="143">
        <v>255.31471080000003</v>
      </c>
      <c r="P170" s="9">
        <f t="array" ref="P170">IFERROR(O170/$G170*100,0)</f>
        <v>14.498279999999999</v>
      </c>
      <c r="Q170" s="143">
        <v>7.854000000000001</v>
      </c>
      <c r="R170" s="9">
        <f t="shared" si="24"/>
        <v>3.0762034727221055</v>
      </c>
      <c r="S170" s="8" t="str">
        <f t="array" ref="S170">IF(R170&gt;5,"Perlu Sensus",IF(AND(R170&gt;=0,O170&gt;0),"Tetap Deteksi","Belum Deteksi"))</f>
        <v>Tetap Deteksi</v>
      </c>
      <c r="T170" s="143">
        <v>5.1003679999999996</v>
      </c>
      <c r="U170" s="9">
        <f t="shared" si="29"/>
        <v>1.9976788583856246</v>
      </c>
      <c r="V170" s="11">
        <v>46236</v>
      </c>
      <c r="W170" s="143">
        <v>344.14125427089607</v>
      </c>
      <c r="X170" s="143">
        <v>7.9310000000000009</v>
      </c>
      <c r="Y170" s="9">
        <f t="shared" si="25"/>
        <v>2.3045769437909329</v>
      </c>
      <c r="Z170" s="8" t="str">
        <f t="array" ref="Z170">IF(Y170&gt;5,"Perlu Sensus",IF(AND(Y170&gt;=0,W170&gt;0),"Tetap Deteksi","Belum Deteksi"))</f>
        <v>Tetap Deteksi</v>
      </c>
      <c r="AA170" s="143">
        <v>5.189184</v>
      </c>
      <c r="AB170" s="9">
        <f t="shared" si="30"/>
        <v>1.5078645572423162</v>
      </c>
      <c r="AC170" s="11"/>
      <c r="AD170" s="143"/>
      <c r="AE170" s="9">
        <f t="array" ref="AE170">IFERROR(AD170/$G170*100,0)</f>
        <v>0</v>
      </c>
      <c r="AF170" s="143"/>
      <c r="AG170" s="9">
        <f t="shared" si="26"/>
        <v>0</v>
      </c>
      <c r="AH170" s="8" t="str">
        <f t="array" ref="AH170">IF(AG170&gt;5,"Perlu Sensus",IF(AND(AG170&gt;=0,AD170&gt;0),"Tetap Deteksi","Belum Deteksi"))</f>
        <v>Belum Deteksi</v>
      </c>
      <c r="AI170" s="143"/>
      <c r="AJ170" s="9">
        <f t="shared" si="31"/>
        <v>0</v>
      </c>
      <c r="AK170" s="11"/>
      <c r="AL170" s="143"/>
      <c r="AM170" s="143"/>
      <c r="AN170" s="9">
        <f t="shared" si="27"/>
        <v>0</v>
      </c>
      <c r="AO170" s="8" t="str">
        <f t="array" ref="AO170">IF(AN170&gt;5,"Perlu Sensus",IF(AND(AN170&gt;=0,AL170&gt;0),"Tetap Deteksi","Belum Deteksi"))</f>
        <v>Belum Deteksi</v>
      </c>
      <c r="AP170" s="143"/>
      <c r="AQ170" s="9">
        <f t="shared" si="32"/>
        <v>0</v>
      </c>
    </row>
    <row r="171" spans="1:43" outlineLevel="1" x14ac:dyDescent="0.15">
      <c r="A171" s="8" t="s">
        <v>949</v>
      </c>
      <c r="B171" s="8"/>
      <c r="C171" s="8" t="s">
        <v>323</v>
      </c>
      <c r="D171" s="8" t="s">
        <v>1800</v>
      </c>
      <c r="E171" s="9">
        <v>33.299999999999997</v>
      </c>
      <c r="F171" s="8" t="s">
        <v>469</v>
      </c>
      <c r="G171" s="10">
        <v>4410</v>
      </c>
      <c r="H171" s="11">
        <f t="array" ref="H171">IF(OR(N171&gt;0,AC171&gt;0),MAX(N171,AC171),MAX(AK171,V171))</f>
        <v>46235</v>
      </c>
      <c r="I171" s="143">
        <f t="array" ref="I171">IF(SUM(O171,AD171)&gt;0,SUM(O171,AD171),SUM(AL171,W171))</f>
        <v>586.09296900000004</v>
      </c>
      <c r="J171" s="9">
        <f t="shared" si="22"/>
        <v>13.290090000000001</v>
      </c>
      <c r="K171" s="143">
        <f t="shared" si="28"/>
        <v>20.258012448761473</v>
      </c>
      <c r="L171" s="9">
        <f t="shared" si="23"/>
        <v>3.4564503449556776</v>
      </c>
      <c r="M171" s="8" t="str">
        <f t="array" ref="M171">IF(L171&gt;5,"Perlu Sensus",IF(AND(L171&gt;=0,I171&gt;0),"Tetap Deteksi","Belum Deteksi"))</f>
        <v>Tetap Deteksi</v>
      </c>
      <c r="N171" s="11">
        <v>46235</v>
      </c>
      <c r="O171" s="143">
        <v>586.09296900000004</v>
      </c>
      <c r="P171" s="9">
        <f t="array" ref="P171">IFERROR(O171/$G171*100,0)</f>
        <v>13.290090000000001</v>
      </c>
      <c r="Q171" s="143">
        <v>20.258012448761473</v>
      </c>
      <c r="R171" s="9">
        <f t="shared" si="24"/>
        <v>3.4564503449556776</v>
      </c>
      <c r="S171" s="8" t="str">
        <f t="array" ref="S171">IF(R171&gt;5,"Perlu Sensus",IF(AND(R171&gt;=0,O171&gt;0),"Tetap Deteksi","Belum Deteksi"))</f>
        <v>Tetap Deteksi</v>
      </c>
      <c r="T171" s="143">
        <v>13.155502729470925</v>
      </c>
      <c r="U171" s="9">
        <f t="shared" si="29"/>
        <v>2.2446102282914304</v>
      </c>
      <c r="V171" s="11">
        <v>46235</v>
      </c>
      <c r="W171" s="143">
        <v>250.68825600000002</v>
      </c>
      <c r="X171" s="143">
        <v>9.0180920334895092</v>
      </c>
      <c r="Y171" s="9">
        <f t="shared" si="25"/>
        <v>3.5973332685714281</v>
      </c>
      <c r="Z171" s="8" t="str">
        <f t="array" ref="Z171">IF(Y171&gt;5,"Perlu Sensus",IF(AND(Y171&gt;=0,W171&gt;0),"Tetap Deteksi","Belum Deteksi"))</f>
        <v>Tetap Deteksi</v>
      </c>
      <c r="AA171" s="143">
        <v>5.9004588186497573</v>
      </c>
      <c r="AB171" s="9">
        <f t="shared" si="30"/>
        <v>2.3537037246171422</v>
      </c>
      <c r="AC171" s="11"/>
      <c r="AD171" s="143"/>
      <c r="AE171" s="9">
        <f t="array" ref="AE171">IFERROR(AD171/$G171*100,0)</f>
        <v>0</v>
      </c>
      <c r="AF171" s="143"/>
      <c r="AG171" s="9">
        <f t="shared" si="26"/>
        <v>0</v>
      </c>
      <c r="AH171" s="8" t="str">
        <f t="array" ref="AH171">IF(AG171&gt;5,"Perlu Sensus",IF(AND(AG171&gt;=0,AD171&gt;0),"Tetap Deteksi","Belum Deteksi"))</f>
        <v>Belum Deteksi</v>
      </c>
      <c r="AI171" s="143"/>
      <c r="AJ171" s="9">
        <f t="shared" si="31"/>
        <v>0</v>
      </c>
      <c r="AK171" s="11"/>
      <c r="AL171" s="143"/>
      <c r="AM171" s="143"/>
      <c r="AN171" s="9">
        <f t="shared" si="27"/>
        <v>0</v>
      </c>
      <c r="AO171" s="8" t="str">
        <f t="array" ref="AO171">IF(AN171&gt;5,"Perlu Sensus",IF(AND(AN171&gt;=0,AL171&gt;0),"Tetap Deteksi","Belum Deteksi"))</f>
        <v>Belum Deteksi</v>
      </c>
      <c r="AP171" s="143"/>
      <c r="AQ171" s="9">
        <f t="shared" si="32"/>
        <v>0</v>
      </c>
    </row>
    <row r="172" spans="1:43" outlineLevel="1" x14ac:dyDescent="0.15">
      <c r="A172" s="8" t="s">
        <v>949</v>
      </c>
      <c r="B172" s="8"/>
      <c r="C172" s="8" t="s">
        <v>323</v>
      </c>
      <c r="D172" s="8" t="s">
        <v>1801</v>
      </c>
      <c r="E172" s="9">
        <v>36.01</v>
      </c>
      <c r="F172" s="8" t="s">
        <v>469</v>
      </c>
      <c r="G172" s="10">
        <v>5123</v>
      </c>
      <c r="H172" s="11">
        <f t="array" ref="H172">IF(OR(N172&gt;0,AC172&gt;0),MAX(N172,AC172),MAX(AK172,V172))</f>
        <v>46236</v>
      </c>
      <c r="I172" s="143">
        <f t="array" ref="I172">IF(SUM(O172,AD172)&gt;0,SUM(O172,AD172),SUM(AL172,W172))</f>
        <v>742.7468844</v>
      </c>
      <c r="J172" s="9">
        <f t="shared" si="22"/>
        <v>14.498279999999999</v>
      </c>
      <c r="K172" s="143">
        <f t="shared" si="28"/>
        <v>21.811556651556678</v>
      </c>
      <c r="L172" s="9">
        <f t="shared" si="23"/>
        <v>2.9366069531447878</v>
      </c>
      <c r="M172" s="8" t="str">
        <f t="array" ref="M172">IF(L172&gt;5,"Perlu Sensus",IF(AND(L172&gt;=0,I172&gt;0),"Tetap Deteksi","Belum Deteksi"))</f>
        <v>Tetap Deteksi</v>
      </c>
      <c r="N172" s="11">
        <v>46236</v>
      </c>
      <c r="O172" s="143">
        <v>742.7468844</v>
      </c>
      <c r="P172" s="9">
        <f t="array" ref="P172">IFERROR(O172/$G172*100,0)</f>
        <v>14.498279999999999</v>
      </c>
      <c r="Q172" s="143">
        <v>21.811556651556678</v>
      </c>
      <c r="R172" s="9">
        <f t="shared" si="24"/>
        <v>2.9366069531447878</v>
      </c>
      <c r="S172" s="8" t="str">
        <f t="array" ref="S172">IF(R172&gt;5,"Perlu Sensus",IF(AND(R172&gt;=0,O172&gt;0),"Tetap Deteksi","Belum Deteksi"))</f>
        <v>Tetap Deteksi</v>
      </c>
      <c r="T172" s="143">
        <v>14.164370457828724</v>
      </c>
      <c r="U172" s="9">
        <f t="shared" si="29"/>
        <v>1.9070252269413255</v>
      </c>
      <c r="V172" s="11">
        <v>46236</v>
      </c>
      <c r="W172" s="143">
        <v>255.70202112000004</v>
      </c>
      <c r="X172" s="143">
        <v>6.0407927276073075</v>
      </c>
      <c r="Y172" s="9">
        <f t="shared" si="25"/>
        <v>2.362434485714286</v>
      </c>
      <c r="Z172" s="8" t="str">
        <f t="array" ref="Z172">IF(Y172&gt;5,"Perlu Sensus",IF(AND(Y172&gt;=0,W172&gt;0),"Tetap Deteksi","Belum Deteksi"))</f>
        <v>Tetap Deteksi</v>
      </c>
      <c r="AA172" s="143">
        <v>8.32</v>
      </c>
      <c r="AB172" s="9">
        <f t="shared" si="30"/>
        <v>3.2537873433919611</v>
      </c>
      <c r="AC172" s="11"/>
      <c r="AD172" s="143"/>
      <c r="AE172" s="9">
        <f t="array" ref="AE172">IFERROR(AD172/$G172*100,0)</f>
        <v>0</v>
      </c>
      <c r="AF172" s="143"/>
      <c r="AG172" s="9">
        <f t="shared" si="26"/>
        <v>0</v>
      </c>
      <c r="AH172" s="8" t="str">
        <f t="array" ref="AH172">IF(AG172&gt;5,"Perlu Sensus",IF(AND(AG172&gt;=0,AD172&gt;0),"Tetap Deteksi","Belum Deteksi"))</f>
        <v>Belum Deteksi</v>
      </c>
      <c r="AI172" s="143"/>
      <c r="AJ172" s="9">
        <f t="shared" si="31"/>
        <v>0</v>
      </c>
      <c r="AK172" s="11"/>
      <c r="AL172" s="143"/>
      <c r="AM172" s="143"/>
      <c r="AN172" s="9">
        <f t="shared" si="27"/>
        <v>0</v>
      </c>
      <c r="AO172" s="8" t="str">
        <f t="array" ref="AO172">IF(AN172&gt;5,"Perlu Sensus",IF(AND(AN172&gt;=0,AL172&gt;0),"Tetap Deteksi","Belum Deteksi"))</f>
        <v>Belum Deteksi</v>
      </c>
      <c r="AP172" s="143"/>
      <c r="AQ172" s="9">
        <f t="shared" si="32"/>
        <v>0</v>
      </c>
    </row>
    <row r="173" spans="1:43" outlineLevel="1" x14ac:dyDescent="0.15">
      <c r="A173" s="8" t="s">
        <v>949</v>
      </c>
      <c r="B173" s="8"/>
      <c r="C173" s="8" t="s">
        <v>323</v>
      </c>
      <c r="D173" s="8" t="s">
        <v>1031</v>
      </c>
      <c r="E173" s="9">
        <v>33.590000000000003</v>
      </c>
      <c r="F173" s="8" t="s">
        <v>469</v>
      </c>
      <c r="G173" s="10">
        <v>3330</v>
      </c>
      <c r="H173" s="11">
        <f t="array" ref="H173">IF(OR(N173&gt;0,AC173&gt;0),MAX(N173,AC173),MAX(AK173,V173))</f>
        <v>46237</v>
      </c>
      <c r="I173" s="143">
        <f t="array" ref="I173">IF(SUM(O173,AD173)&gt;0,SUM(O173,AD173),SUM(AL173,W173))</f>
        <v>362.09454299999993</v>
      </c>
      <c r="J173" s="9">
        <f t="shared" si="22"/>
        <v>10.873709999999997</v>
      </c>
      <c r="K173" s="143">
        <f t="shared" si="28"/>
        <v>8.16</v>
      </c>
      <c r="L173" s="9">
        <f t="shared" si="23"/>
        <v>2.2535550887879583</v>
      </c>
      <c r="M173" s="8" t="str">
        <f t="array" ref="M173">IF(L173&gt;5,"Perlu Sensus",IF(AND(L173&gt;=0,I173&gt;0),"Tetap Deteksi","Belum Deteksi"))</f>
        <v>Tetap Deteksi</v>
      </c>
      <c r="N173" s="11">
        <v>46237</v>
      </c>
      <c r="O173" s="143">
        <v>362.09454299999993</v>
      </c>
      <c r="P173" s="9">
        <f t="array" ref="P173">IFERROR(O173/$G173*100,0)</f>
        <v>10.873709999999997</v>
      </c>
      <c r="Q173" s="143">
        <v>8.16</v>
      </c>
      <c r="R173" s="9">
        <f t="shared" si="24"/>
        <v>2.2535550887879583</v>
      </c>
      <c r="S173" s="8" t="str">
        <f t="array" ref="S173">IF(R173&gt;5,"Perlu Sensus",IF(AND(R173&gt;=0,O173&gt;0),"Tetap Deteksi","Belum Deteksi"))</f>
        <v>Tetap Deteksi</v>
      </c>
      <c r="T173" s="143">
        <v>4.6192414091217628</v>
      </c>
      <c r="U173" s="9">
        <f t="shared" si="29"/>
        <v>1.2757003656699029</v>
      </c>
      <c r="V173" s="11">
        <v>46237</v>
      </c>
      <c r="W173" s="143">
        <v>260.81606154240006</v>
      </c>
      <c r="X173" s="143">
        <v>4.0769925049617939</v>
      </c>
      <c r="Y173" s="9">
        <f t="shared" si="25"/>
        <v>1.5631677285714285</v>
      </c>
      <c r="Z173" s="8" t="str">
        <f t="array" ref="Z173">IF(Y173&gt;5,"Perlu Sensus",IF(AND(Y173&gt;=0,W173&gt;0),"Tetap Deteksi","Belum Deteksi"))</f>
        <v>Tetap Deteksi</v>
      </c>
      <c r="AA173" s="143">
        <v>2.6675405717901479</v>
      </c>
      <c r="AB173" s="9">
        <f t="shared" si="30"/>
        <v>1.0227669860571429</v>
      </c>
      <c r="AC173" s="11"/>
      <c r="AD173" s="143"/>
      <c r="AE173" s="9">
        <f t="array" ref="AE173">IFERROR(AD173/$G173*100,0)</f>
        <v>0</v>
      </c>
      <c r="AF173" s="143"/>
      <c r="AG173" s="9">
        <f t="shared" si="26"/>
        <v>0</v>
      </c>
      <c r="AH173" s="8" t="str">
        <f t="array" ref="AH173">IF(AG173&gt;5,"Perlu Sensus",IF(AND(AG173&gt;=0,AD173&gt;0),"Tetap Deteksi","Belum Deteksi"))</f>
        <v>Belum Deteksi</v>
      </c>
      <c r="AI173" s="143"/>
      <c r="AJ173" s="9">
        <f t="shared" si="31"/>
        <v>0</v>
      </c>
      <c r="AK173" s="11"/>
      <c r="AL173" s="143"/>
      <c r="AM173" s="143"/>
      <c r="AN173" s="9">
        <f t="shared" si="27"/>
        <v>0</v>
      </c>
      <c r="AO173" s="8" t="str">
        <f t="array" ref="AO173">IF(AN173&gt;5,"Perlu Sensus",IF(AND(AN173&gt;=0,AL173&gt;0),"Tetap Deteksi","Belum Deteksi"))</f>
        <v>Belum Deteksi</v>
      </c>
      <c r="AP173" s="143"/>
      <c r="AQ173" s="9">
        <f t="shared" si="32"/>
        <v>0</v>
      </c>
    </row>
    <row r="174" spans="1:43" outlineLevel="1" x14ac:dyDescent="0.15">
      <c r="A174" s="8" t="s">
        <v>949</v>
      </c>
      <c r="B174" s="8"/>
      <c r="C174" s="8" t="s">
        <v>323</v>
      </c>
      <c r="D174" s="8" t="s">
        <v>1033</v>
      </c>
      <c r="E174" s="9">
        <v>35.65</v>
      </c>
      <c r="F174" s="8" t="s">
        <v>469</v>
      </c>
      <c r="G174" s="10">
        <v>2841.9999999999995</v>
      </c>
      <c r="H174" s="11">
        <f t="array" ref="H174">IF(OR(N174&gt;0,AC174&gt;0),MAX(N174,AC174),MAX(AK174,V174))</f>
        <v>46238</v>
      </c>
      <c r="I174" s="143">
        <f t="array" ref="I174">IF(SUM(O174,AD174)&gt;0,SUM(O174,AD174),SUM(AL174,W174))</f>
        <v>274.69407839999997</v>
      </c>
      <c r="J174" s="9">
        <f t="shared" si="22"/>
        <v>9.6655200000000008</v>
      </c>
      <c r="K174" s="143">
        <f t="shared" si="28"/>
        <v>2.586095367432192</v>
      </c>
      <c r="L174" s="9">
        <f t="shared" si="23"/>
        <v>0.94144561924862824</v>
      </c>
      <c r="M174" s="8" t="str">
        <f t="array" ref="M174">IF(L174&gt;5,"Perlu Sensus",IF(AND(L174&gt;=0,I174&gt;0),"Tetap Deteksi","Belum Deteksi"))</f>
        <v>Tetap Deteksi</v>
      </c>
      <c r="N174" s="11">
        <v>46238</v>
      </c>
      <c r="O174" s="143">
        <v>274.69407839999997</v>
      </c>
      <c r="P174" s="9">
        <f t="array" ref="P174">IFERROR(O174/$G174*100,0)</f>
        <v>9.6655200000000008</v>
      </c>
      <c r="Q174" s="143">
        <v>2.586095367432192</v>
      </c>
      <c r="R174" s="9">
        <f t="shared" si="24"/>
        <v>0.94144561924862824</v>
      </c>
      <c r="S174" s="8" t="str">
        <f t="array" ref="S174">IF(R174&gt;5,"Perlu Sensus",IF(AND(R174&gt;=0,O174&gt;0),"Tetap Deteksi","Belum Deteksi"))</f>
        <v>Tetap Deteksi</v>
      </c>
      <c r="T174" s="143">
        <v>1.6794038778965359</v>
      </c>
      <c r="U174" s="9">
        <f t="shared" si="29"/>
        <v>0.61137243572140143</v>
      </c>
      <c r="V174" s="11">
        <v>46238</v>
      </c>
      <c r="W174" s="143">
        <v>266.03238277324806</v>
      </c>
      <c r="X174" s="143">
        <v>2.2114795781974954</v>
      </c>
      <c r="Y174" s="9">
        <f t="shared" si="25"/>
        <v>0.83128210000000036</v>
      </c>
      <c r="Z174" s="8" t="str">
        <f t="array" ref="Z174">IF(Y174&gt;5,"Perlu Sensus",IF(AND(Y174&gt;=0,W174&gt;0),"Tetap Deteksi","Belum Deteksi"))</f>
        <v>Tetap Deteksi</v>
      </c>
      <c r="AA174" s="143">
        <v>1.4469517644066563</v>
      </c>
      <c r="AB174" s="9">
        <f t="shared" si="30"/>
        <v>0.54390061440000004</v>
      </c>
      <c r="AC174" s="11"/>
      <c r="AD174" s="143"/>
      <c r="AE174" s="9">
        <f t="array" ref="AE174">IFERROR(AD174/$G174*100,0)</f>
        <v>0</v>
      </c>
      <c r="AF174" s="143"/>
      <c r="AG174" s="9">
        <f t="shared" si="26"/>
        <v>0</v>
      </c>
      <c r="AH174" s="8" t="str">
        <f t="array" ref="AH174">IF(AG174&gt;5,"Perlu Sensus",IF(AND(AG174&gt;=0,AD174&gt;0),"Tetap Deteksi","Belum Deteksi"))</f>
        <v>Belum Deteksi</v>
      </c>
      <c r="AI174" s="143"/>
      <c r="AJ174" s="9">
        <f t="shared" si="31"/>
        <v>0</v>
      </c>
      <c r="AK174" s="11"/>
      <c r="AL174" s="143"/>
      <c r="AM174" s="143"/>
      <c r="AN174" s="9">
        <f t="shared" si="27"/>
        <v>0</v>
      </c>
      <c r="AO174" s="8" t="str">
        <f t="array" ref="AO174">IF(AN174&gt;5,"Perlu Sensus",IF(AND(AN174&gt;=0,AL174&gt;0),"Tetap Deteksi","Belum Deteksi"))</f>
        <v>Belum Deteksi</v>
      </c>
      <c r="AP174" s="143"/>
      <c r="AQ174" s="9">
        <f t="shared" si="32"/>
        <v>0</v>
      </c>
    </row>
    <row r="175" spans="1:43" outlineLevel="1" x14ac:dyDescent="0.15">
      <c r="A175" s="8" t="s">
        <v>949</v>
      </c>
      <c r="B175" s="8"/>
      <c r="C175" s="8" t="s">
        <v>323</v>
      </c>
      <c r="D175" s="8" t="s">
        <v>1802</v>
      </c>
      <c r="E175" s="9">
        <v>32.07</v>
      </c>
      <c r="F175" s="8" t="s">
        <v>469</v>
      </c>
      <c r="G175" s="10">
        <v>3794</v>
      </c>
      <c r="H175" s="11">
        <f t="array" ref="H175">IF(OR(N175&gt;0,AC175&gt;0),MAX(N175,AC175),MAX(AK175,V175))</f>
        <v>46239</v>
      </c>
      <c r="I175" s="143">
        <f t="array" ref="I175">IF(SUM(O175,AD175)&gt;0,SUM(O175,AD175),SUM(AL175,W175))</f>
        <v>458.38728599999996</v>
      </c>
      <c r="J175" s="9">
        <f t="shared" si="22"/>
        <v>12.081899999999999</v>
      </c>
      <c r="K175" s="143">
        <f t="shared" si="28"/>
        <v>11.22</v>
      </c>
      <c r="L175" s="9">
        <f t="shared" si="23"/>
        <v>2.4477118678199994</v>
      </c>
      <c r="M175" s="8" t="str">
        <f t="array" ref="M175">IF(L175&gt;5,"Perlu Sensus",IF(AND(L175&gt;=0,I175&gt;0),"Tetap Deteksi","Belum Deteksi"))</f>
        <v>Tetap Deteksi</v>
      </c>
      <c r="N175" s="11">
        <v>46239</v>
      </c>
      <c r="O175" s="143">
        <v>458.38728599999996</v>
      </c>
      <c r="P175" s="9">
        <f t="array" ref="P175">IFERROR(O175/$G175*100,0)</f>
        <v>12.081899999999999</v>
      </c>
      <c r="Q175" s="143">
        <v>11.22</v>
      </c>
      <c r="R175" s="9">
        <f t="shared" si="24"/>
        <v>2.4477118678199994</v>
      </c>
      <c r="S175" s="8" t="str">
        <f t="array" ref="S175">IF(R175&gt;5,"Perlu Sensus",IF(AND(R175&gt;=0,O175&gt;0),"Tetap Deteksi","Belum Deteksi"))</f>
        <v>Tetap Deteksi</v>
      </c>
      <c r="T175" s="143">
        <v>7.2862399999999994</v>
      </c>
      <c r="U175" s="9">
        <f t="shared" si="29"/>
        <v>1.5895379785904447</v>
      </c>
      <c r="V175" s="11">
        <v>46239</v>
      </c>
      <c r="W175" s="143">
        <v>271.353030428713</v>
      </c>
      <c r="X175" s="143">
        <v>10.197000000000001</v>
      </c>
      <c r="Y175" s="9">
        <f t="shared" si="25"/>
        <v>3.7578353128725603</v>
      </c>
      <c r="Z175" s="8" t="str">
        <f t="array" ref="Z175">IF(Y175&gt;5,"Perlu Sensus",IF(AND(Y175&gt;=0,W175&gt;0),"Tetap Deteksi","Belum Deteksi"))</f>
        <v>Tetap Deteksi</v>
      </c>
      <c r="AA175" s="143">
        <v>6.6718080000000004</v>
      </c>
      <c r="AB175" s="9">
        <f t="shared" si="30"/>
        <v>2.4587188097583259</v>
      </c>
      <c r="AC175" s="11"/>
      <c r="AD175" s="143"/>
      <c r="AE175" s="9">
        <f t="array" ref="AE175">IFERROR(AD175/$G175*100,0)</f>
        <v>0</v>
      </c>
      <c r="AF175" s="143"/>
      <c r="AG175" s="9">
        <f t="shared" si="26"/>
        <v>0</v>
      </c>
      <c r="AH175" s="8" t="str">
        <f t="array" ref="AH175">IF(AG175&gt;5,"Perlu Sensus",IF(AND(AG175&gt;=0,AD175&gt;0),"Tetap Deteksi","Belum Deteksi"))</f>
        <v>Belum Deteksi</v>
      </c>
      <c r="AI175" s="143"/>
      <c r="AJ175" s="9">
        <f t="shared" si="31"/>
        <v>0</v>
      </c>
      <c r="AK175" s="11"/>
      <c r="AL175" s="143"/>
      <c r="AM175" s="143"/>
      <c r="AN175" s="9">
        <f t="shared" si="27"/>
        <v>0</v>
      </c>
      <c r="AO175" s="8" t="str">
        <f t="array" ref="AO175">IF(AN175&gt;5,"Perlu Sensus",IF(AND(AN175&gt;=0,AL175&gt;0),"Tetap Deteksi","Belum Deteksi"))</f>
        <v>Belum Deteksi</v>
      </c>
      <c r="AP175" s="143"/>
      <c r="AQ175" s="9">
        <f t="shared" si="32"/>
        <v>0</v>
      </c>
    </row>
    <row r="176" spans="1:43" outlineLevel="1" x14ac:dyDescent="0.15">
      <c r="A176" s="8" t="s">
        <v>949</v>
      </c>
      <c r="B176" s="8"/>
      <c r="C176" s="8" t="s">
        <v>323</v>
      </c>
      <c r="D176" s="8" t="s">
        <v>1803</v>
      </c>
      <c r="E176" s="9">
        <v>26.169999999999998</v>
      </c>
      <c r="F176" s="8" t="s">
        <v>469</v>
      </c>
      <c r="G176" s="10">
        <v>3406.0000000000005</v>
      </c>
      <c r="H176" s="11">
        <f t="array" ref="H176">IF(OR(N176&gt;0,AC176&gt;0),MAX(N176,AC176),MAX(AK176,V176))</f>
        <v>46240</v>
      </c>
      <c r="I176" s="143">
        <f t="array" ref="I176">IF(SUM(O176,AD176)&gt;0,SUM(O176,AD176),SUM(AL176,W176))</f>
        <v>370.35856260000008</v>
      </c>
      <c r="J176" s="9">
        <f t="shared" si="22"/>
        <v>10.873710000000001</v>
      </c>
      <c r="K176" s="143">
        <f t="shared" si="28"/>
        <v>15.708000000000002</v>
      </c>
      <c r="L176" s="9">
        <f t="shared" si="23"/>
        <v>4.241295216647976</v>
      </c>
      <c r="M176" s="8" t="str">
        <f t="array" ref="M176">IF(L176&gt;5,"Perlu Sensus",IF(AND(L176&gt;=0,I176&gt;0),"Tetap Deteksi","Belum Deteksi"))</f>
        <v>Tetap Deteksi</v>
      </c>
      <c r="N176" s="11">
        <v>46240</v>
      </c>
      <c r="O176" s="143">
        <v>370.35856260000008</v>
      </c>
      <c r="P176" s="9">
        <f t="array" ref="P176">IFERROR(O176/$G176*100,0)</f>
        <v>10.873710000000001</v>
      </c>
      <c r="Q176" s="143">
        <v>15.708000000000002</v>
      </c>
      <c r="R176" s="9">
        <f t="shared" si="24"/>
        <v>4.241295216647976</v>
      </c>
      <c r="S176" s="8" t="str">
        <f t="array" ref="S176">IF(R176&gt;5,"Perlu Sensus",IF(AND(R176&gt;=0,O176&gt;0),"Tetap Deteksi","Belum Deteksi"))</f>
        <v>Tetap Deteksi</v>
      </c>
      <c r="T176" s="143">
        <v>10.200735999999999</v>
      </c>
      <c r="U176" s="9">
        <f t="shared" si="29"/>
        <v>2.754286529353756</v>
      </c>
      <c r="V176" s="11">
        <v>46240</v>
      </c>
      <c r="W176" s="143">
        <v>276.78009103728726</v>
      </c>
      <c r="X176" s="143">
        <v>10.197000000000001</v>
      </c>
      <c r="Y176" s="9">
        <f t="shared" si="25"/>
        <v>3.6841522675221179</v>
      </c>
      <c r="Z176" s="8" t="str">
        <f t="array" ref="Z176">IF(Y176&gt;5,"Perlu Sensus",IF(AND(Y176&gt;=0,W176&gt;0),"Tetap Deteksi","Belum Deteksi"))</f>
        <v>Tetap Deteksi</v>
      </c>
      <c r="AA176" s="143">
        <v>6.6718080000000004</v>
      </c>
      <c r="AB176" s="9">
        <f t="shared" si="30"/>
        <v>2.4105086370179665</v>
      </c>
      <c r="AC176" s="11"/>
      <c r="AD176" s="143"/>
      <c r="AE176" s="9">
        <f t="array" ref="AE176">IFERROR(AD176/$G176*100,0)</f>
        <v>0</v>
      </c>
      <c r="AF176" s="143"/>
      <c r="AG176" s="9">
        <f t="shared" si="26"/>
        <v>0</v>
      </c>
      <c r="AH176" s="8" t="str">
        <f t="array" ref="AH176">IF(AG176&gt;5,"Perlu Sensus",IF(AND(AG176&gt;=0,AD176&gt;0),"Tetap Deteksi","Belum Deteksi"))</f>
        <v>Belum Deteksi</v>
      </c>
      <c r="AI176" s="143"/>
      <c r="AJ176" s="9">
        <f t="shared" si="31"/>
        <v>0</v>
      </c>
      <c r="AK176" s="11"/>
      <c r="AL176" s="143"/>
      <c r="AM176" s="143"/>
      <c r="AN176" s="9">
        <f t="shared" si="27"/>
        <v>0</v>
      </c>
      <c r="AO176" s="8" t="str">
        <f t="array" ref="AO176">IF(AN176&gt;5,"Perlu Sensus",IF(AND(AN176&gt;=0,AL176&gt;0),"Tetap Deteksi","Belum Deteksi"))</f>
        <v>Belum Deteksi</v>
      </c>
      <c r="AP176" s="143"/>
      <c r="AQ176" s="9">
        <f t="shared" si="32"/>
        <v>0</v>
      </c>
    </row>
    <row r="177" spans="1:43" outlineLevel="1" x14ac:dyDescent="0.15">
      <c r="A177" s="8" t="s">
        <v>949</v>
      </c>
      <c r="B177" s="8"/>
      <c r="C177" s="8" t="s">
        <v>323</v>
      </c>
      <c r="D177" s="8" t="s">
        <v>1804</v>
      </c>
      <c r="E177" s="9">
        <v>31.93</v>
      </c>
      <c r="F177" s="8" t="s">
        <v>469</v>
      </c>
      <c r="G177" s="10">
        <v>4328</v>
      </c>
      <c r="H177" s="11">
        <f t="array" ref="H177">IF(OR(N177&gt;0,AC177&gt;0),MAX(N177,AC177),MAX(AK177,V177))</f>
        <v>46241</v>
      </c>
      <c r="I177" s="143">
        <f t="array" ref="I177">IF(SUM(O177,AD177)&gt;0,SUM(O177,AD177),SUM(AL177,W177))</f>
        <v>418.32370560000004</v>
      </c>
      <c r="J177" s="9">
        <f t="shared" si="22"/>
        <v>9.6655200000000008</v>
      </c>
      <c r="K177" s="143">
        <f t="shared" si="28"/>
        <v>10.199999999999999</v>
      </c>
      <c r="L177" s="9">
        <f t="shared" si="23"/>
        <v>2.4383031282843937</v>
      </c>
      <c r="M177" s="8" t="str">
        <f t="array" ref="M177">IF(L177&gt;5,"Perlu Sensus",IF(AND(L177&gt;=0,I177&gt;0),"Tetap Deteksi","Belum Deteksi"))</f>
        <v>Tetap Deteksi</v>
      </c>
      <c r="N177" s="11">
        <v>46241</v>
      </c>
      <c r="O177" s="143">
        <v>418.32370560000004</v>
      </c>
      <c r="P177" s="9">
        <f t="array" ref="P177">IFERROR(O177/$G177*100,0)</f>
        <v>9.6655200000000008</v>
      </c>
      <c r="Q177" s="143">
        <v>10.199999999999999</v>
      </c>
      <c r="R177" s="9">
        <f t="shared" si="24"/>
        <v>2.4383031282843937</v>
      </c>
      <c r="S177" s="8" t="str">
        <f t="array" ref="S177">IF(R177&gt;5,"Perlu Sensus",IF(AND(R177&gt;=0,O177&gt;0),"Tetap Deteksi","Belum Deteksi"))</f>
        <v>Tetap Deteksi</v>
      </c>
      <c r="T177" s="143">
        <v>5.9055938149478404</v>
      </c>
      <c r="U177" s="9">
        <f t="shared" si="29"/>
        <v>1.4117282228788517</v>
      </c>
      <c r="V177" s="11">
        <v>46241</v>
      </c>
      <c r="W177" s="143">
        <v>282.315692858033</v>
      </c>
      <c r="X177" s="143">
        <v>5.911766228722084</v>
      </c>
      <c r="Y177" s="9">
        <f t="shared" si="25"/>
        <v>2.094026785714286</v>
      </c>
      <c r="Z177" s="8" t="str">
        <f t="array" ref="Z177">IF(Y177&gt;5,"Perlu Sensus",IF(AND(Y177&gt;=0,W177&gt;0),"Tetap Deteksi","Belum Deteksi"))</f>
        <v>Tetap Deteksi</v>
      </c>
      <c r="AA177" s="143">
        <v>8.32</v>
      </c>
      <c r="AB177" s="9">
        <f t="shared" si="30"/>
        <v>2.9470554455447315</v>
      </c>
      <c r="AC177" s="11"/>
      <c r="AD177" s="143"/>
      <c r="AE177" s="9">
        <f t="array" ref="AE177">IFERROR(AD177/$G177*100,0)</f>
        <v>0</v>
      </c>
      <c r="AF177" s="143"/>
      <c r="AG177" s="9">
        <f t="shared" si="26"/>
        <v>0</v>
      </c>
      <c r="AH177" s="8" t="str">
        <f t="array" ref="AH177">IF(AG177&gt;5,"Perlu Sensus",IF(AND(AG177&gt;=0,AD177&gt;0),"Tetap Deteksi","Belum Deteksi"))</f>
        <v>Belum Deteksi</v>
      </c>
      <c r="AI177" s="143"/>
      <c r="AJ177" s="9">
        <f t="shared" si="31"/>
        <v>0</v>
      </c>
      <c r="AK177" s="11"/>
      <c r="AL177" s="143"/>
      <c r="AM177" s="143"/>
      <c r="AN177" s="9">
        <f t="shared" si="27"/>
        <v>0</v>
      </c>
      <c r="AO177" s="8" t="str">
        <f t="array" ref="AO177">IF(AN177&gt;5,"Perlu Sensus",IF(AND(AN177&gt;=0,AL177&gt;0),"Tetap Deteksi","Belum Deteksi"))</f>
        <v>Belum Deteksi</v>
      </c>
      <c r="AP177" s="143"/>
      <c r="AQ177" s="9">
        <f t="shared" si="32"/>
        <v>0</v>
      </c>
    </row>
    <row r="178" spans="1:43" outlineLevel="1" x14ac:dyDescent="0.15">
      <c r="A178" s="8" t="s">
        <v>949</v>
      </c>
      <c r="B178" s="8"/>
      <c r="C178" s="8" t="s">
        <v>323</v>
      </c>
      <c r="D178" s="8" t="s">
        <v>1805</v>
      </c>
      <c r="E178" s="9">
        <v>35.029999999999994</v>
      </c>
      <c r="F178" s="8" t="s">
        <v>469</v>
      </c>
      <c r="G178" s="10">
        <v>4231</v>
      </c>
      <c r="H178" s="11">
        <f t="array" ref="H178">IF(OR(N178&gt;0,AC178&gt;0),MAX(N178,AC178),MAX(AK178,V178))</f>
        <v>46242</v>
      </c>
      <c r="I178" s="143">
        <f t="array" ref="I178">IF(SUM(O178,AD178)&gt;0,SUM(O178,AD178),SUM(AL178,W178))</f>
        <v>562.30370790000006</v>
      </c>
      <c r="J178" s="9">
        <f t="shared" si="22"/>
        <v>13.290090000000001</v>
      </c>
      <c r="K178" s="143">
        <f t="shared" si="28"/>
        <v>12.24</v>
      </c>
      <c r="L178" s="9">
        <f t="shared" si="23"/>
        <v>2.1767596101601305</v>
      </c>
      <c r="M178" s="8" t="str">
        <f t="array" ref="M178">IF(L178&gt;5,"Perlu Sensus",IF(AND(L178&gt;=0,I178&gt;0),"Tetap Deteksi","Belum Deteksi"))</f>
        <v>Tetap Deteksi</v>
      </c>
      <c r="N178" s="11">
        <v>46242</v>
      </c>
      <c r="O178" s="143">
        <v>562.30370790000006</v>
      </c>
      <c r="P178" s="9">
        <f t="array" ref="P178">IFERROR(O178/$G178*100,0)</f>
        <v>13.290090000000001</v>
      </c>
      <c r="Q178" s="143">
        <v>12.24</v>
      </c>
      <c r="R178" s="9">
        <f t="shared" si="24"/>
        <v>2.1767596101601305</v>
      </c>
      <c r="S178" s="8" t="str">
        <f t="array" ref="S178">IF(R178&gt;5,"Perlu Sensus",IF(AND(R178&gt;=0,O178&gt;0),"Tetap Deteksi","Belum Deteksi"))</f>
        <v>Tetap Deteksi</v>
      </c>
      <c r="T178" s="143">
        <v>9.9139299560173999</v>
      </c>
      <c r="U178" s="9">
        <f t="shared" si="29"/>
        <v>1.7630916916842547</v>
      </c>
      <c r="V178" s="11">
        <v>46242</v>
      </c>
      <c r="W178" s="143">
        <v>287.9620067151937</v>
      </c>
      <c r="X178" s="143">
        <v>7.21</v>
      </c>
      <c r="Y178" s="9">
        <f t="shared" si="25"/>
        <v>2.503802526675329</v>
      </c>
      <c r="Z178" s="8" t="str">
        <f t="array" ref="Z178">IF(Y178&gt;5,"Perlu Sensus",IF(AND(Y178&gt;=0,W178&gt;0),"Tetap Deteksi","Belum Deteksi"))</f>
        <v>Tetap Deteksi</v>
      </c>
      <c r="AA178" s="143">
        <v>3.12</v>
      </c>
      <c r="AB178" s="9">
        <f t="shared" si="30"/>
        <v>1.0834762667443865</v>
      </c>
      <c r="AC178" s="11"/>
      <c r="AD178" s="143"/>
      <c r="AE178" s="9">
        <f t="array" ref="AE178">IFERROR(AD178/$G178*100,0)</f>
        <v>0</v>
      </c>
      <c r="AF178" s="143"/>
      <c r="AG178" s="9">
        <f t="shared" si="26"/>
        <v>0</v>
      </c>
      <c r="AH178" s="8" t="str">
        <f t="array" ref="AH178">IF(AG178&gt;5,"Perlu Sensus",IF(AND(AG178&gt;=0,AD178&gt;0),"Tetap Deteksi","Belum Deteksi"))</f>
        <v>Belum Deteksi</v>
      </c>
      <c r="AI178" s="143"/>
      <c r="AJ178" s="9">
        <f t="shared" si="31"/>
        <v>0</v>
      </c>
      <c r="AK178" s="11"/>
      <c r="AL178" s="143"/>
      <c r="AM178" s="143"/>
      <c r="AN178" s="9">
        <f t="shared" si="27"/>
        <v>0</v>
      </c>
      <c r="AO178" s="8" t="str">
        <f t="array" ref="AO178">IF(AN178&gt;5,"Perlu Sensus",IF(AND(AN178&gt;=0,AL178&gt;0),"Tetap Deteksi","Belum Deteksi"))</f>
        <v>Belum Deteksi</v>
      </c>
      <c r="AP178" s="143"/>
      <c r="AQ178" s="9">
        <f t="shared" si="32"/>
        <v>0</v>
      </c>
    </row>
    <row r="179" spans="1:43" outlineLevel="1" x14ac:dyDescent="0.15">
      <c r="A179" s="8" t="s">
        <v>949</v>
      </c>
      <c r="B179" s="8"/>
      <c r="C179" s="8" t="s">
        <v>323</v>
      </c>
      <c r="D179" s="8" t="s">
        <v>1806</v>
      </c>
      <c r="E179" s="9">
        <v>31.1</v>
      </c>
      <c r="F179" s="8" t="s">
        <v>469</v>
      </c>
      <c r="G179" s="10">
        <v>4271</v>
      </c>
      <c r="H179" s="11">
        <f t="array" ref="H179">IF(OR(N179&gt;0,AC179&gt;0),MAX(N179,AC179),MAX(AK179,V179))</f>
        <v>46243</v>
      </c>
      <c r="I179" s="143">
        <f t="array" ref="I179">IF(SUM(O179,AD179)&gt;0,SUM(O179,AD179),SUM(AL179,W179))</f>
        <v>619.22153879999996</v>
      </c>
      <c r="J179" s="9">
        <f t="shared" si="22"/>
        <v>14.498279999999999</v>
      </c>
      <c r="K179" s="143">
        <f t="shared" si="28"/>
        <v>15.708000000000002</v>
      </c>
      <c r="L179" s="9">
        <f t="shared" si="23"/>
        <v>2.5367334654477305</v>
      </c>
      <c r="M179" s="8" t="str">
        <f t="array" ref="M179">IF(L179&gt;5,"Perlu Sensus",IF(AND(L179&gt;=0,I179&gt;0),"Tetap Deteksi","Belum Deteksi"))</f>
        <v>Tetap Deteksi</v>
      </c>
      <c r="N179" s="11">
        <v>46243</v>
      </c>
      <c r="O179" s="143">
        <v>619.22153879999996</v>
      </c>
      <c r="P179" s="9">
        <f t="array" ref="P179">IFERROR(O179/$G179*100,0)</f>
        <v>14.498279999999999</v>
      </c>
      <c r="Q179" s="143">
        <v>15.708000000000002</v>
      </c>
      <c r="R179" s="9">
        <f t="shared" si="24"/>
        <v>2.5367334654477305</v>
      </c>
      <c r="S179" s="8" t="str">
        <f t="array" ref="S179">IF(R179&gt;5,"Perlu Sensus",IF(AND(R179&gt;=0,O179&gt;0),"Tetap Deteksi","Belum Deteksi"))</f>
        <v>Tetap Deteksi</v>
      </c>
      <c r="T179" s="143">
        <v>10.200735999999999</v>
      </c>
      <c r="U179" s="9">
        <f t="shared" si="29"/>
        <v>1.6473483819326087</v>
      </c>
      <c r="V179" s="11">
        <v>46243</v>
      </c>
      <c r="W179" s="143">
        <v>293.72124684949756</v>
      </c>
      <c r="X179" s="143">
        <v>7.9310000000000009</v>
      </c>
      <c r="Y179" s="9">
        <f t="shared" si="25"/>
        <v>2.7001791954341785</v>
      </c>
      <c r="Z179" s="8" t="str">
        <f t="array" ref="Z179">IF(Y179&gt;5,"Perlu Sensus",IF(AND(Y179&gt;=0,W179&gt;0),"Tetap Deteksi","Belum Deteksi"))</f>
        <v>Tetap Deteksi</v>
      </c>
      <c r="AA179" s="143">
        <v>5.189184</v>
      </c>
      <c r="AB179" s="9">
        <f t="shared" si="30"/>
        <v>1.7667036537737879</v>
      </c>
      <c r="AC179" s="11"/>
      <c r="AD179" s="143"/>
      <c r="AE179" s="9">
        <f t="array" ref="AE179">IFERROR(AD179/$G179*100,0)</f>
        <v>0</v>
      </c>
      <c r="AF179" s="143"/>
      <c r="AG179" s="9">
        <f t="shared" si="26"/>
        <v>0</v>
      </c>
      <c r="AH179" s="8" t="str">
        <f t="array" ref="AH179">IF(AG179&gt;5,"Perlu Sensus",IF(AND(AG179&gt;=0,AD179&gt;0),"Tetap Deteksi","Belum Deteksi"))</f>
        <v>Belum Deteksi</v>
      </c>
      <c r="AI179" s="143"/>
      <c r="AJ179" s="9">
        <f t="shared" si="31"/>
        <v>0</v>
      </c>
      <c r="AK179" s="11"/>
      <c r="AL179" s="143"/>
      <c r="AM179" s="143"/>
      <c r="AN179" s="9">
        <f t="shared" si="27"/>
        <v>0</v>
      </c>
      <c r="AO179" s="8" t="str">
        <f t="array" ref="AO179">IF(AN179&gt;5,"Perlu Sensus",IF(AND(AN179&gt;=0,AL179&gt;0),"Tetap Deteksi","Belum Deteksi"))</f>
        <v>Belum Deteksi</v>
      </c>
      <c r="AP179" s="143"/>
      <c r="AQ179" s="9">
        <f t="shared" si="32"/>
        <v>0</v>
      </c>
    </row>
    <row r="180" spans="1:43" outlineLevel="1" x14ac:dyDescent="0.15">
      <c r="A180" s="8" t="s">
        <v>949</v>
      </c>
      <c r="B180" s="8"/>
      <c r="C180" s="8" t="s">
        <v>323</v>
      </c>
      <c r="D180" s="8" t="s">
        <v>1807</v>
      </c>
      <c r="E180" s="9">
        <v>34.6</v>
      </c>
      <c r="F180" s="8" t="s">
        <v>469</v>
      </c>
      <c r="G180" s="10">
        <v>5126</v>
      </c>
      <c r="H180" s="11">
        <f t="array" ref="H180">IF(OR(N180&gt;0,AC180&gt;0),MAX(N180,AC180),MAX(AK180,V180))</f>
        <v>46244</v>
      </c>
      <c r="I180" s="143">
        <f t="array" ref="I180">IF(SUM(O180,AD180)&gt;0,SUM(O180,AD180),SUM(AL180,W180))</f>
        <v>805.11365219999982</v>
      </c>
      <c r="J180" s="9">
        <f t="shared" si="22"/>
        <v>15.706469999999998</v>
      </c>
      <c r="K180" s="143">
        <f t="shared" si="28"/>
        <v>21.42</v>
      </c>
      <c r="L180" s="9">
        <f t="shared" si="23"/>
        <v>2.6604939490802497</v>
      </c>
      <c r="M180" s="8" t="str">
        <f t="array" ref="M180">IF(L180&gt;5,"Perlu Sensus",IF(AND(L180&gt;=0,I180&gt;0),"Tetap Deteksi","Belum Deteksi"))</f>
        <v>Tetap Deteksi</v>
      </c>
      <c r="N180" s="11">
        <v>46244</v>
      </c>
      <c r="O180" s="143">
        <v>805.11365219999982</v>
      </c>
      <c r="P180" s="9">
        <f t="array" ref="P180">IFERROR(O180/$G180*100,0)</f>
        <v>15.706469999999998</v>
      </c>
      <c r="Q180" s="143">
        <v>21.42</v>
      </c>
      <c r="R180" s="9">
        <f t="shared" si="24"/>
        <v>2.6604939490802497</v>
      </c>
      <c r="S180" s="8" t="str">
        <f t="array" ref="S180">IF(R180&gt;5,"Perlu Sensus",IF(AND(R180&gt;=0,O180&gt;0),"Tetap Deteksi","Belum Deteksi"))</f>
        <v>Tetap Deteksi</v>
      </c>
      <c r="T180" s="143">
        <v>14.851595095027891</v>
      </c>
      <c r="U180" s="9">
        <f t="shared" si="29"/>
        <v>1.8446582112283667</v>
      </c>
      <c r="V180" s="11">
        <v>46244</v>
      </c>
      <c r="W180" s="143">
        <v>299.59567178648751</v>
      </c>
      <c r="X180" s="143">
        <v>8.24</v>
      </c>
      <c r="Y180" s="9">
        <f t="shared" si="25"/>
        <v>2.7503735120287023</v>
      </c>
      <c r="Z180" s="8" t="str">
        <f t="array" ref="Z180">IF(Y180&gt;5,"Perlu Sensus",IF(AND(Y180&gt;=0,W180&gt;0),"Tetap Deteksi","Belum Deteksi"))</f>
        <v>Tetap Deteksi</v>
      </c>
      <c r="AA180" s="143">
        <v>11.440000000000001</v>
      </c>
      <c r="AB180" s="9">
        <f t="shared" si="30"/>
        <v>3.8184797302922764</v>
      </c>
      <c r="AC180" s="11"/>
      <c r="AD180" s="143"/>
      <c r="AE180" s="9">
        <f t="array" ref="AE180">IFERROR(AD180/$G180*100,0)</f>
        <v>0</v>
      </c>
      <c r="AF180" s="143"/>
      <c r="AG180" s="9">
        <f t="shared" si="26"/>
        <v>0</v>
      </c>
      <c r="AH180" s="8" t="str">
        <f t="array" ref="AH180">IF(AG180&gt;5,"Perlu Sensus",IF(AND(AG180&gt;=0,AD180&gt;0),"Tetap Deteksi","Belum Deteksi"))</f>
        <v>Belum Deteksi</v>
      </c>
      <c r="AI180" s="143"/>
      <c r="AJ180" s="9">
        <f t="shared" si="31"/>
        <v>0</v>
      </c>
      <c r="AK180" s="11"/>
      <c r="AL180" s="143"/>
      <c r="AM180" s="143"/>
      <c r="AN180" s="9">
        <f t="shared" si="27"/>
        <v>0</v>
      </c>
      <c r="AO180" s="8" t="str">
        <f t="array" ref="AO180">IF(AN180&gt;5,"Perlu Sensus",IF(AND(AN180&gt;=0,AL180&gt;0),"Tetap Deteksi","Belum Deteksi"))</f>
        <v>Belum Deteksi</v>
      </c>
      <c r="AP180" s="143"/>
      <c r="AQ180" s="9">
        <f t="shared" si="32"/>
        <v>0</v>
      </c>
    </row>
    <row r="181" spans="1:43" outlineLevel="1" x14ac:dyDescent="0.15">
      <c r="A181" s="8" t="s">
        <v>949</v>
      </c>
      <c r="B181" s="8"/>
      <c r="C181" s="8" t="s">
        <v>323</v>
      </c>
      <c r="D181" s="8" t="s">
        <v>1808</v>
      </c>
      <c r="E181" s="9">
        <v>45.3</v>
      </c>
      <c r="F181" s="8" t="s">
        <v>469</v>
      </c>
      <c r="G181" s="10">
        <v>4635</v>
      </c>
      <c r="H181" s="11">
        <f t="array" ref="H181">IF(OR(N181&gt;0,AC181&gt;0),MAX(N181,AC181),MAX(AK181,V181))</f>
        <v>46245</v>
      </c>
      <c r="I181" s="143">
        <f t="array" ref="I181">IF(SUM(O181,AD181)&gt;0,SUM(O181,AD181),SUM(AL181,W181))</f>
        <v>671.99527799999998</v>
      </c>
      <c r="J181" s="9">
        <f t="shared" si="22"/>
        <v>14.498279999999999</v>
      </c>
      <c r="K181" s="143">
        <f t="shared" si="28"/>
        <v>4.4880000000000004</v>
      </c>
      <c r="L181" s="9">
        <f t="shared" si="23"/>
        <v>0.6678618357791497</v>
      </c>
      <c r="M181" s="8" t="str">
        <f t="array" ref="M181">IF(L181&gt;5,"Perlu Sensus",IF(AND(L181&gt;=0,I181&gt;0),"Tetap Deteksi","Belum Deteksi"))</f>
        <v>Tetap Deteksi</v>
      </c>
      <c r="N181" s="11">
        <v>46245</v>
      </c>
      <c r="O181" s="143">
        <v>671.99527799999998</v>
      </c>
      <c r="P181" s="9">
        <f t="array" ref="P181">IFERROR(O181/$G181*100,0)</f>
        <v>14.498279999999999</v>
      </c>
      <c r="Q181" s="143">
        <v>4.4880000000000004</v>
      </c>
      <c r="R181" s="9">
        <f t="shared" si="24"/>
        <v>0.6678618357791497</v>
      </c>
      <c r="S181" s="8" t="str">
        <f t="array" ref="S181">IF(R181&gt;5,"Perlu Sensus",IF(AND(R181&gt;=0,O181&gt;0),"Tetap Deteksi","Belum Deteksi"))</f>
        <v>Tetap Deteksi</v>
      </c>
      <c r="T181" s="143">
        <v>2.9144959999999998</v>
      </c>
      <c r="U181" s="9">
        <f t="shared" si="29"/>
        <v>0.43370780947660165</v>
      </c>
      <c r="V181" s="11">
        <v>46245</v>
      </c>
      <c r="W181" s="143">
        <v>305.58758522221723</v>
      </c>
      <c r="X181" s="143">
        <v>9.0640000000000018</v>
      </c>
      <c r="Y181" s="9">
        <f t="shared" si="25"/>
        <v>2.9660890815995815</v>
      </c>
      <c r="Z181" s="8" t="str">
        <f t="array" ref="Z181">IF(Y181&gt;5,"Perlu Sensus",IF(AND(Y181&gt;=0,W181&gt;0),"Tetap Deteksi","Belum Deteksi"))</f>
        <v>Tetap Deteksi</v>
      </c>
      <c r="AA181" s="143">
        <v>5.9304960000000007</v>
      </c>
      <c r="AB181" s="9">
        <f t="shared" si="30"/>
        <v>1.9406861688073689</v>
      </c>
      <c r="AC181" s="11"/>
      <c r="AD181" s="143"/>
      <c r="AE181" s="9">
        <f t="array" ref="AE181">IFERROR(AD181/$G181*100,0)</f>
        <v>0</v>
      </c>
      <c r="AF181" s="143"/>
      <c r="AG181" s="9">
        <f t="shared" si="26"/>
        <v>0</v>
      </c>
      <c r="AH181" s="8" t="str">
        <f t="array" ref="AH181">IF(AG181&gt;5,"Perlu Sensus",IF(AND(AG181&gt;=0,AD181&gt;0),"Tetap Deteksi","Belum Deteksi"))</f>
        <v>Belum Deteksi</v>
      </c>
      <c r="AI181" s="143"/>
      <c r="AJ181" s="9">
        <f t="shared" si="31"/>
        <v>0</v>
      </c>
      <c r="AK181" s="11"/>
      <c r="AL181" s="143"/>
      <c r="AM181" s="143"/>
      <c r="AN181" s="9">
        <f t="shared" si="27"/>
        <v>0</v>
      </c>
      <c r="AO181" s="8" t="str">
        <f t="array" ref="AO181">IF(AN181&gt;5,"Perlu Sensus",IF(AND(AN181&gt;=0,AL181&gt;0),"Tetap Deteksi","Belum Deteksi"))</f>
        <v>Belum Deteksi</v>
      </c>
      <c r="AP181" s="143"/>
      <c r="AQ181" s="9">
        <f t="shared" si="32"/>
        <v>0</v>
      </c>
    </row>
    <row r="182" spans="1:43" outlineLevel="1" x14ac:dyDescent="0.15">
      <c r="A182" s="8" t="s">
        <v>949</v>
      </c>
      <c r="B182" s="8"/>
      <c r="C182" s="8" t="s">
        <v>323</v>
      </c>
      <c r="D182" s="8" t="s">
        <v>1809</v>
      </c>
      <c r="E182" s="9">
        <v>42.410000000000004</v>
      </c>
      <c r="F182" s="8" t="s">
        <v>469</v>
      </c>
      <c r="G182" s="10">
        <v>4795</v>
      </c>
      <c r="H182" s="11">
        <f t="array" ref="H182">IF(OR(N182&gt;0,AC182&gt;0),MAX(N182,AC182),MAX(AK182,V182))</f>
        <v>46246</v>
      </c>
      <c r="I182" s="143">
        <f t="array" ref="I182">IF(SUM(O182,AD182)&gt;0,SUM(O182,AD182),SUM(AL182,W182))</f>
        <v>521.39439449999998</v>
      </c>
      <c r="J182" s="9">
        <f t="shared" si="22"/>
        <v>10.873709999999999</v>
      </c>
      <c r="K182" s="143">
        <f t="shared" si="28"/>
        <v>12.24</v>
      </c>
      <c r="L182" s="9">
        <f t="shared" si="23"/>
        <v>2.3475511300304173</v>
      </c>
      <c r="M182" s="8" t="str">
        <f t="array" ref="M182">IF(L182&gt;5,"Perlu Sensus",IF(AND(L182&gt;=0,I182&gt;0),"Tetap Deteksi","Belum Deteksi"))</f>
        <v>Tetap Deteksi</v>
      </c>
      <c r="N182" s="11">
        <v>46246</v>
      </c>
      <c r="O182" s="143">
        <v>521.39439449999998</v>
      </c>
      <c r="P182" s="9">
        <f t="array" ref="P182">IFERROR(O182/$G182*100,0)</f>
        <v>10.873709999999999</v>
      </c>
      <c r="Q182" s="143">
        <v>12.24</v>
      </c>
      <c r="R182" s="9">
        <f t="shared" si="24"/>
        <v>2.3475511300304173</v>
      </c>
      <c r="S182" s="8" t="str">
        <f t="array" ref="S182">IF(R182&gt;5,"Perlu Sensus",IF(AND(R182&gt;=0,O182&gt;0),"Tetap Deteksi","Belum Deteksi"))</f>
        <v>Tetap Deteksi</v>
      </c>
      <c r="T182" s="143">
        <v>5.790395164802975</v>
      </c>
      <c r="U182" s="9">
        <f t="shared" si="29"/>
        <v>1.1105595353313633</v>
      </c>
      <c r="V182" s="11">
        <v>46246</v>
      </c>
      <c r="W182" s="143">
        <v>311.69933692666166</v>
      </c>
      <c r="X182" s="143">
        <v>7.21</v>
      </c>
      <c r="Y182" s="9">
        <f t="shared" si="25"/>
        <v>2.3131265119426319</v>
      </c>
      <c r="Z182" s="8" t="str">
        <f t="array" ref="Z182">IF(Y182&gt;5,"Perlu Sensus",IF(AND(Y182&gt;=0,W182&gt;0),"Tetap Deteksi","Belum Deteksi"))</f>
        <v>Tetap Deteksi</v>
      </c>
      <c r="AA182" s="143">
        <v>5.2</v>
      </c>
      <c r="AB182" s="9">
        <f t="shared" si="30"/>
        <v>1.6682743220668077</v>
      </c>
      <c r="AC182" s="11"/>
      <c r="AD182" s="143"/>
      <c r="AE182" s="9">
        <f t="array" ref="AE182">IFERROR(AD182/$G182*100,0)</f>
        <v>0</v>
      </c>
      <c r="AF182" s="143"/>
      <c r="AG182" s="9">
        <f t="shared" si="26"/>
        <v>0</v>
      </c>
      <c r="AH182" s="8" t="str">
        <f t="array" ref="AH182">IF(AG182&gt;5,"Perlu Sensus",IF(AND(AG182&gt;=0,AD182&gt;0),"Tetap Deteksi","Belum Deteksi"))</f>
        <v>Belum Deteksi</v>
      </c>
      <c r="AI182" s="143"/>
      <c r="AJ182" s="9">
        <f t="shared" si="31"/>
        <v>0</v>
      </c>
      <c r="AK182" s="11"/>
      <c r="AL182" s="143"/>
      <c r="AM182" s="143"/>
      <c r="AN182" s="9">
        <f t="shared" si="27"/>
        <v>0</v>
      </c>
      <c r="AO182" s="8" t="str">
        <f t="array" ref="AO182">IF(AN182&gt;5,"Perlu Sensus",IF(AND(AN182&gt;=0,AL182&gt;0),"Tetap Deteksi","Belum Deteksi"))</f>
        <v>Belum Deteksi</v>
      </c>
      <c r="AP182" s="143"/>
      <c r="AQ182" s="9">
        <f t="shared" si="32"/>
        <v>0</v>
      </c>
    </row>
    <row r="183" spans="1:43" outlineLevel="1" x14ac:dyDescent="0.15">
      <c r="A183" s="8" t="s">
        <v>949</v>
      </c>
      <c r="B183" s="8"/>
      <c r="C183" s="8" t="s">
        <v>323</v>
      </c>
      <c r="D183" s="8" t="s">
        <v>1810</v>
      </c>
      <c r="E183" s="9">
        <v>28.880000000000003</v>
      </c>
      <c r="F183" s="8" t="s">
        <v>469</v>
      </c>
      <c r="G183" s="10">
        <v>2522</v>
      </c>
      <c r="H183" s="11">
        <f t="array" ref="H183">IF(OR(N183&gt;0,AC183&gt;0),MAX(N183,AC183),MAX(AK183,V183))</f>
        <v>46247</v>
      </c>
      <c r="I183" s="143">
        <f t="array" ref="I183">IF(SUM(O183,AD183)&gt;0,SUM(O183,AD183),SUM(AL183,W183))</f>
        <v>243.76441439999999</v>
      </c>
      <c r="J183" s="9">
        <f t="shared" si="22"/>
        <v>9.665519999999999</v>
      </c>
      <c r="K183" s="143">
        <f t="shared" si="28"/>
        <v>11.22</v>
      </c>
      <c r="L183" s="9">
        <f t="shared" si="23"/>
        <v>4.602804731616315</v>
      </c>
      <c r="M183" s="8" t="str">
        <f t="array" ref="M183">IF(L183&gt;5,"Perlu Sensus",IF(AND(L183&gt;=0,I183&gt;0),"Tetap Deteksi","Belum Deteksi"))</f>
        <v>Tetap Deteksi</v>
      </c>
      <c r="N183" s="11">
        <v>46247</v>
      </c>
      <c r="O183" s="143">
        <v>243.76441439999999</v>
      </c>
      <c r="P183" s="9">
        <f t="array" ref="P183">IFERROR(O183/$G183*100,0)</f>
        <v>9.665519999999999</v>
      </c>
      <c r="Q183" s="143">
        <v>11.22</v>
      </c>
      <c r="R183" s="9">
        <f t="shared" si="24"/>
        <v>4.602804731616315</v>
      </c>
      <c r="S183" s="8" t="str">
        <f t="array" ref="S183">IF(R183&gt;5,"Perlu Sensus",IF(AND(R183&gt;=0,O183&gt;0),"Tetap Deteksi","Belum Deteksi"))</f>
        <v>Tetap Deteksi</v>
      </c>
      <c r="T183" s="143">
        <v>6.2983273261600994</v>
      </c>
      <c r="U183" s="9">
        <f t="shared" si="29"/>
        <v>2.5837763652511616</v>
      </c>
      <c r="V183" s="11">
        <v>46247</v>
      </c>
      <c r="W183" s="143">
        <v>317.93332366519491</v>
      </c>
      <c r="X183" s="143">
        <v>6.18</v>
      </c>
      <c r="Y183" s="9">
        <f t="shared" si="25"/>
        <v>1.9438037915484299</v>
      </c>
      <c r="Z183" s="8" t="str">
        <f t="array" ref="Z183">IF(Y183&gt;5,"Perlu Sensus",IF(AND(Y183&gt;=0,W183&gt;0),"Tetap Deteksi","Belum Deteksi"))</f>
        <v>Tetap Deteksi</v>
      </c>
      <c r="AA183" s="143">
        <v>8.32</v>
      </c>
      <c r="AB183" s="9">
        <f t="shared" si="30"/>
        <v>2.6169008973596983</v>
      </c>
      <c r="AC183" s="11"/>
      <c r="AD183" s="143"/>
      <c r="AE183" s="9">
        <f t="array" ref="AE183">IFERROR(AD183/$G183*100,0)</f>
        <v>0</v>
      </c>
      <c r="AF183" s="143"/>
      <c r="AG183" s="9">
        <f t="shared" si="26"/>
        <v>0</v>
      </c>
      <c r="AH183" s="8" t="str">
        <f t="array" ref="AH183">IF(AG183&gt;5,"Perlu Sensus",IF(AND(AG183&gt;=0,AD183&gt;0),"Tetap Deteksi","Belum Deteksi"))</f>
        <v>Belum Deteksi</v>
      </c>
      <c r="AI183" s="143"/>
      <c r="AJ183" s="9">
        <f t="shared" si="31"/>
        <v>0</v>
      </c>
      <c r="AK183" s="11"/>
      <c r="AL183" s="143"/>
      <c r="AM183" s="143"/>
      <c r="AN183" s="9">
        <f t="shared" si="27"/>
        <v>0</v>
      </c>
      <c r="AO183" s="8" t="str">
        <f t="array" ref="AO183">IF(AN183&gt;5,"Perlu Sensus",IF(AND(AN183&gt;=0,AL183&gt;0),"Tetap Deteksi","Belum Deteksi"))</f>
        <v>Belum Deteksi</v>
      </c>
      <c r="AP183" s="143"/>
      <c r="AQ183" s="9">
        <f t="shared" si="32"/>
        <v>0</v>
      </c>
    </row>
    <row r="184" spans="1:43" outlineLevel="1" x14ac:dyDescent="0.15">
      <c r="A184" s="8" t="s">
        <v>949</v>
      </c>
      <c r="B184" s="8"/>
      <c r="C184" s="8" t="s">
        <v>323</v>
      </c>
      <c r="D184" s="8" t="s">
        <v>1811</v>
      </c>
      <c r="E184" s="9">
        <v>44.540000000000006</v>
      </c>
      <c r="F184" s="8" t="s">
        <v>469</v>
      </c>
      <c r="G184" s="10">
        <v>3651</v>
      </c>
      <c r="H184" s="11">
        <f t="array" ref="H184">IF(OR(N184&gt;0,AC184&gt;0),MAX(N184,AC184),MAX(AK184,V184))</f>
        <v>46248</v>
      </c>
      <c r="I184" s="143">
        <f t="array" ref="I184">IF(SUM(O184,AD184)&gt;0,SUM(O184,AD184),SUM(AL184,W184))</f>
        <v>396.99915209999995</v>
      </c>
      <c r="J184" s="9">
        <f t="shared" si="22"/>
        <v>10.873709999999999</v>
      </c>
      <c r="K184" s="143">
        <f t="shared" si="28"/>
        <v>5.61</v>
      </c>
      <c r="L184" s="9">
        <f t="shared" si="23"/>
        <v>1.4131012548326298</v>
      </c>
      <c r="M184" s="8" t="str">
        <f t="array" ref="M184">IF(L184&gt;5,"Perlu Sensus",IF(AND(L184&gt;=0,I184&gt;0),"Tetap Deteksi","Belum Deteksi"))</f>
        <v>Tetap Deteksi</v>
      </c>
      <c r="N184" s="11">
        <v>46248</v>
      </c>
      <c r="O184" s="143">
        <v>396.99915209999995</v>
      </c>
      <c r="P184" s="9">
        <f t="array" ref="P184">IFERROR(O184/$G184*100,0)</f>
        <v>10.873709999999999</v>
      </c>
      <c r="Q184" s="143">
        <v>5.61</v>
      </c>
      <c r="R184" s="9">
        <f t="shared" si="24"/>
        <v>1.4131012548326298</v>
      </c>
      <c r="S184" s="8" t="str">
        <f t="array" ref="S184">IF(R184&gt;5,"Perlu Sensus",IF(AND(R184&gt;=0,O184&gt;0),"Tetap Deteksi","Belum Deteksi"))</f>
        <v>Tetap Deteksi</v>
      </c>
      <c r="T184" s="143">
        <v>3.6431199999999997</v>
      </c>
      <c r="U184" s="9">
        <f t="shared" si="29"/>
        <v>0.91766442843241536</v>
      </c>
      <c r="V184" s="11">
        <v>46248</v>
      </c>
      <c r="W184" s="143">
        <v>324.29199013849876</v>
      </c>
      <c r="X184" s="143">
        <v>10.197000000000001</v>
      </c>
      <c r="Y184" s="9">
        <f t="shared" si="25"/>
        <v>3.1443884863283431</v>
      </c>
      <c r="Z184" s="8" t="str">
        <f t="array" ref="Z184">IF(Y184&gt;5,"Perlu Sensus",IF(AND(Y184&gt;=0,W184&gt;0),"Tetap Deteksi","Belum Deteksi"))</f>
        <v>Tetap Deteksi</v>
      </c>
      <c r="AA184" s="143">
        <v>6.6718080000000004</v>
      </c>
      <c r="AB184" s="9">
        <f t="shared" si="30"/>
        <v>2.057345911365434</v>
      </c>
      <c r="AC184" s="11"/>
      <c r="AD184" s="143"/>
      <c r="AE184" s="9">
        <f t="array" ref="AE184">IFERROR(AD184/$G184*100,0)</f>
        <v>0</v>
      </c>
      <c r="AF184" s="143"/>
      <c r="AG184" s="9">
        <f t="shared" si="26"/>
        <v>0</v>
      </c>
      <c r="AH184" s="8" t="str">
        <f t="array" ref="AH184">IF(AG184&gt;5,"Perlu Sensus",IF(AND(AG184&gt;=0,AD184&gt;0),"Tetap Deteksi","Belum Deteksi"))</f>
        <v>Belum Deteksi</v>
      </c>
      <c r="AI184" s="143"/>
      <c r="AJ184" s="9">
        <f t="shared" si="31"/>
        <v>0</v>
      </c>
      <c r="AK184" s="11"/>
      <c r="AL184" s="143"/>
      <c r="AM184" s="143"/>
      <c r="AN184" s="9">
        <f t="shared" si="27"/>
        <v>0</v>
      </c>
      <c r="AO184" s="8" t="str">
        <f t="array" ref="AO184">IF(AN184&gt;5,"Perlu Sensus",IF(AND(AN184&gt;=0,AL184&gt;0),"Tetap Deteksi","Belum Deteksi"))</f>
        <v>Belum Deteksi</v>
      </c>
      <c r="AP184" s="143"/>
      <c r="AQ184" s="9">
        <f t="shared" si="32"/>
        <v>0</v>
      </c>
    </row>
    <row r="185" spans="1:43" outlineLevel="1" x14ac:dyDescent="0.15">
      <c r="A185" s="8" t="s">
        <v>949</v>
      </c>
      <c r="B185" s="8"/>
      <c r="C185" s="8" t="s">
        <v>323</v>
      </c>
      <c r="D185" s="8" t="s">
        <v>1029</v>
      </c>
      <c r="E185" s="9">
        <v>20.66</v>
      </c>
      <c r="F185" s="8" t="s">
        <v>469</v>
      </c>
      <c r="G185" s="10">
        <v>1334.9999999999998</v>
      </c>
      <c r="H185" s="11">
        <f t="array" ref="H185">IF(OR(N185&gt;0,AC185&gt;0),MAX(N185,AC185),MAX(AK185,V185))</f>
        <v>46249</v>
      </c>
      <c r="I185" s="143">
        <f t="array" ref="I185">IF(SUM(O185,AD185)&gt;0,SUM(O185,AD185),SUM(AL185,W185))</f>
        <v>161.29336499999994</v>
      </c>
      <c r="J185" s="9">
        <f t="shared" si="22"/>
        <v>12.081899999999997</v>
      </c>
      <c r="K185" s="143">
        <f t="shared" si="28"/>
        <v>6.12</v>
      </c>
      <c r="L185" s="9">
        <f t="shared" si="23"/>
        <v>3.7943284275828724</v>
      </c>
      <c r="M185" s="8" t="str">
        <f t="array" ref="M185">IF(L185&gt;5,"Perlu Sensus",IF(AND(L185&gt;=0,I185&gt;0),"Tetap Deteksi","Belum Deteksi"))</f>
        <v>Tetap Deteksi</v>
      </c>
      <c r="N185" s="11">
        <v>46249</v>
      </c>
      <c r="O185" s="143">
        <v>161.29336499999994</v>
      </c>
      <c r="P185" s="9">
        <f t="array" ref="P185">IFERROR(O185/$G185*100,0)</f>
        <v>12.081899999999997</v>
      </c>
      <c r="Q185" s="143">
        <v>6.12</v>
      </c>
      <c r="R185" s="9">
        <f t="shared" si="24"/>
        <v>3.7943284275828724</v>
      </c>
      <c r="S185" s="8" t="str">
        <f t="array" ref="S185">IF(R185&gt;5,"Perlu Sensus",IF(AND(R185&gt;=0,O185&gt;0),"Tetap Deteksi","Belum Deteksi"))</f>
        <v>Tetap Deteksi</v>
      </c>
      <c r="T185" s="143">
        <v>1.8418593772051195</v>
      </c>
      <c r="U185" s="9">
        <f t="shared" si="29"/>
        <v>1.1419312736175602</v>
      </c>
      <c r="V185" s="11">
        <v>46249</v>
      </c>
      <c r="W185" s="143">
        <v>330.77782994126881</v>
      </c>
      <c r="X185" s="143">
        <v>5.15</v>
      </c>
      <c r="Y185" s="9">
        <f t="shared" si="25"/>
        <v>1.556936267740316</v>
      </c>
      <c r="Z185" s="8" t="str">
        <f t="array" ref="Z185">IF(Y185&gt;5,"Perlu Sensus",IF(AND(Y185&gt;=0,W185&gt;0),"Tetap Deteksi","Belum Deteksi"))</f>
        <v>Tetap Deteksi</v>
      </c>
      <c r="AA185" s="143">
        <v>5.2</v>
      </c>
      <c r="AB185" s="9">
        <f t="shared" si="30"/>
        <v>1.5720521538348822</v>
      </c>
      <c r="AC185" s="11"/>
      <c r="AD185" s="143"/>
      <c r="AE185" s="9">
        <f t="array" ref="AE185">IFERROR(AD185/$G185*100,0)</f>
        <v>0</v>
      </c>
      <c r="AF185" s="143"/>
      <c r="AG185" s="9">
        <f t="shared" si="26"/>
        <v>0</v>
      </c>
      <c r="AH185" s="8" t="str">
        <f t="array" ref="AH185">IF(AG185&gt;5,"Perlu Sensus",IF(AND(AG185&gt;=0,AD185&gt;0),"Tetap Deteksi","Belum Deteksi"))</f>
        <v>Belum Deteksi</v>
      </c>
      <c r="AI185" s="143"/>
      <c r="AJ185" s="9">
        <f t="shared" si="31"/>
        <v>0</v>
      </c>
      <c r="AK185" s="11"/>
      <c r="AL185" s="143"/>
      <c r="AM185" s="143"/>
      <c r="AN185" s="9">
        <f t="shared" si="27"/>
        <v>0</v>
      </c>
      <c r="AO185" s="8" t="str">
        <f t="array" ref="AO185">IF(AN185&gt;5,"Perlu Sensus",IF(AND(AN185&gt;=0,AL185&gt;0),"Tetap Deteksi","Belum Deteksi"))</f>
        <v>Belum Deteksi</v>
      </c>
      <c r="AP185" s="143"/>
      <c r="AQ185" s="9">
        <f t="shared" si="32"/>
        <v>0</v>
      </c>
    </row>
    <row r="186" spans="1:43" outlineLevel="1" x14ac:dyDescent="0.15">
      <c r="A186" s="8" t="s">
        <v>949</v>
      </c>
      <c r="B186" s="8"/>
      <c r="C186" s="8" t="s">
        <v>323</v>
      </c>
      <c r="D186" s="8" t="s">
        <v>1812</v>
      </c>
      <c r="E186" s="9">
        <v>31.82</v>
      </c>
      <c r="F186" s="8" t="s">
        <v>469</v>
      </c>
      <c r="G186" s="10">
        <v>2363</v>
      </c>
      <c r="H186" s="11">
        <f t="array" ref="H186">IF(OR(N186&gt;0,AC186&gt;0),MAX(N186,AC186),MAX(AK186,V186))</f>
        <v>46235</v>
      </c>
      <c r="I186" s="143">
        <f t="array" ref="I186">IF(SUM(O186,AD186)&gt;0,SUM(O186,AD186),SUM(AL186,W186))</f>
        <v>285.49529699999999</v>
      </c>
      <c r="J186" s="9">
        <f t="shared" si="22"/>
        <v>12.081899999999999</v>
      </c>
      <c r="K186" s="143">
        <f t="shared" si="28"/>
        <v>6.7320000000000011</v>
      </c>
      <c r="L186" s="9">
        <f t="shared" si="23"/>
        <v>2.3580073194690843</v>
      </c>
      <c r="M186" s="8" t="str">
        <f t="array" ref="M186">IF(L186&gt;5,"Perlu Sensus",IF(AND(L186&gt;=0,I186&gt;0),"Tetap Deteksi","Belum Deteksi"))</f>
        <v>Tetap Deteksi</v>
      </c>
      <c r="N186" s="11">
        <v>46235</v>
      </c>
      <c r="O186" s="143">
        <v>285.49529699999999</v>
      </c>
      <c r="P186" s="9">
        <f t="array" ref="P186">IFERROR(O186/$G186*100,0)</f>
        <v>12.081899999999999</v>
      </c>
      <c r="Q186" s="143">
        <v>6.7320000000000011</v>
      </c>
      <c r="R186" s="9">
        <f t="shared" si="24"/>
        <v>2.3580073194690843</v>
      </c>
      <c r="S186" s="8" t="str">
        <f t="array" ref="S186">IF(R186&gt;5,"Perlu Sensus",IF(AND(R186&gt;=0,O186&gt;0),"Tetap Deteksi","Belum Deteksi"))</f>
        <v>Tetap Deteksi</v>
      </c>
      <c r="T186" s="143">
        <v>4.3717439999999987</v>
      </c>
      <c r="U186" s="9">
        <f t="shared" si="29"/>
        <v>1.5312840687529781</v>
      </c>
      <c r="V186" s="11">
        <v>46235</v>
      </c>
      <c r="W186" s="143">
        <v>337.39338654009418</v>
      </c>
      <c r="X186" s="143">
        <v>9.0640000000000018</v>
      </c>
      <c r="Y186" s="9">
        <f t="shared" si="25"/>
        <v>2.6864782659048592</v>
      </c>
      <c r="Z186" s="8" t="str">
        <f t="array" ref="Z186">IF(Y186&gt;5,"Perlu Sensus",IF(AND(Y186&gt;=0,W186&gt;0),"Tetap Deteksi","Belum Deteksi"))</f>
        <v>Tetap Deteksi</v>
      </c>
      <c r="AA186" s="143">
        <v>5.9304960000000007</v>
      </c>
      <c r="AB186" s="9">
        <f t="shared" si="30"/>
        <v>1.7577392552996143</v>
      </c>
      <c r="AC186" s="11"/>
      <c r="AD186" s="143"/>
      <c r="AE186" s="9">
        <f t="array" ref="AE186">IFERROR(AD186/$G186*100,0)</f>
        <v>0</v>
      </c>
      <c r="AF186" s="143"/>
      <c r="AG186" s="9">
        <f t="shared" si="26"/>
        <v>0</v>
      </c>
      <c r="AH186" s="8" t="str">
        <f t="array" ref="AH186">IF(AG186&gt;5,"Perlu Sensus",IF(AND(AG186&gt;=0,AD186&gt;0),"Tetap Deteksi","Belum Deteksi"))</f>
        <v>Belum Deteksi</v>
      </c>
      <c r="AI186" s="143"/>
      <c r="AJ186" s="9">
        <f t="shared" si="31"/>
        <v>0</v>
      </c>
      <c r="AK186" s="11"/>
      <c r="AL186" s="143"/>
      <c r="AM186" s="143"/>
      <c r="AN186" s="9">
        <f t="shared" si="27"/>
        <v>0</v>
      </c>
      <c r="AO186" s="8" t="str">
        <f t="array" ref="AO186">IF(AN186&gt;5,"Perlu Sensus",IF(AND(AN186&gt;=0,AL186&gt;0),"Tetap Deteksi","Belum Deteksi"))</f>
        <v>Belum Deteksi</v>
      </c>
      <c r="AP186" s="143"/>
      <c r="AQ186" s="9">
        <f t="shared" si="32"/>
        <v>0</v>
      </c>
    </row>
    <row r="187" spans="1:43" outlineLevel="1" x14ac:dyDescent="0.15">
      <c r="A187" s="8" t="s">
        <v>949</v>
      </c>
      <c r="B187" s="8"/>
      <c r="C187" s="8" t="s">
        <v>345</v>
      </c>
      <c r="D187" s="8" t="s">
        <v>1295</v>
      </c>
      <c r="E187" s="9">
        <v>0.18</v>
      </c>
      <c r="F187" s="8" t="s">
        <v>469</v>
      </c>
      <c r="G187" s="10">
        <v>17</v>
      </c>
      <c r="H187" s="11">
        <f t="array" ref="H187">IF(OR(N187&gt;0,AC187&gt;0),MAX(N187,AC187),MAX(AK187,V187))</f>
        <v>46235</v>
      </c>
      <c r="I187" s="143">
        <f t="array" ref="I187">IF(SUM(O187,AD187)&gt;0,SUM(O187,AD187),SUM(AL187,W187))</f>
        <v>2.2593152999999999</v>
      </c>
      <c r="J187" s="9">
        <f t="shared" si="22"/>
        <v>13.290089999999999</v>
      </c>
      <c r="K187" s="143">
        <f t="shared" si="28"/>
        <v>9.9999999999999995E-8</v>
      </c>
      <c r="L187" s="9">
        <f t="shared" si="23"/>
        <v>4.4261197186598967E-6</v>
      </c>
      <c r="M187" s="8" t="str">
        <f t="array" ref="M187">IF(L187&gt;5,"Perlu Sensus",IF(AND(L187&gt;=0,I187&gt;0),"Tetap Deteksi","Belum Deteksi"))</f>
        <v>Tetap Deteksi</v>
      </c>
      <c r="N187" s="11">
        <v>46235</v>
      </c>
      <c r="O187" s="143">
        <v>2.2593152999999999</v>
      </c>
      <c r="P187" s="9">
        <f t="array" ref="P187">IFERROR(O187/$G187*100,0)</f>
        <v>13.290089999999999</v>
      </c>
      <c r="Q187" s="143">
        <v>9.9999999999999995E-8</v>
      </c>
      <c r="R187" s="9">
        <f t="shared" si="24"/>
        <v>4.4261197186598967E-6</v>
      </c>
      <c r="S187" s="8" t="str">
        <f t="array" ref="S187">IF(R187&gt;5,"Perlu Sensus",IF(AND(R187&gt;=0,O187&gt;0),"Tetap Deteksi","Belum Deteksi"))</f>
        <v>Tetap Deteksi</v>
      </c>
      <c r="T187" s="143">
        <v>4.8964104302354844E-2</v>
      </c>
      <c r="U187" s="9">
        <f t="shared" si="29"/>
        <v>2.1672098755917268</v>
      </c>
      <c r="V187" s="11">
        <v>46235</v>
      </c>
      <c r="W187" s="143">
        <v>250.68825600000002</v>
      </c>
      <c r="X187" s="143">
        <v>8.9221548841970684</v>
      </c>
      <c r="Y187" s="9">
        <f t="shared" si="25"/>
        <v>3.5590637657142854</v>
      </c>
      <c r="Z187" s="8" t="str">
        <f t="array" ref="Z187">IF(Y187&gt;5,"Perlu Sensus",IF(AND(Y187&gt;=0,W187&gt;0),"Tetap Deteksi","Belum Deteksi"))</f>
        <v>Tetap Deteksi</v>
      </c>
      <c r="AA187" s="143">
        <v>5.8376879801534844</v>
      </c>
      <c r="AB187" s="9">
        <f t="shared" si="30"/>
        <v>2.3286643232914286</v>
      </c>
      <c r="AC187" s="11"/>
      <c r="AD187" s="143"/>
      <c r="AE187" s="9">
        <f t="array" ref="AE187">IFERROR(AD187/$G187*100,0)</f>
        <v>0</v>
      </c>
      <c r="AF187" s="143"/>
      <c r="AG187" s="9">
        <f t="shared" si="26"/>
        <v>0</v>
      </c>
      <c r="AH187" s="8" t="str">
        <f t="array" ref="AH187">IF(AG187&gt;5,"Perlu Sensus",IF(AND(AG187&gt;=0,AD187&gt;0),"Tetap Deteksi","Belum Deteksi"))</f>
        <v>Belum Deteksi</v>
      </c>
      <c r="AI187" s="143"/>
      <c r="AJ187" s="9">
        <f t="shared" si="31"/>
        <v>0</v>
      </c>
      <c r="AK187" s="11"/>
      <c r="AL187" s="143"/>
      <c r="AM187" s="143"/>
      <c r="AN187" s="9">
        <f t="shared" si="27"/>
        <v>0</v>
      </c>
      <c r="AO187" s="8" t="str">
        <f t="array" ref="AO187">IF(AN187&gt;5,"Perlu Sensus",IF(AND(AN187&gt;=0,AL187&gt;0),"Tetap Deteksi","Belum Deteksi"))</f>
        <v>Belum Deteksi</v>
      </c>
      <c r="AP187" s="143"/>
      <c r="AQ187" s="9">
        <f t="shared" si="32"/>
        <v>0</v>
      </c>
    </row>
    <row r="188" spans="1:43" outlineLevel="1" x14ac:dyDescent="0.15">
      <c r="A188" s="8" t="s">
        <v>949</v>
      </c>
      <c r="B188" s="8"/>
      <c r="C188" s="8" t="s">
        <v>345</v>
      </c>
      <c r="D188" s="8" t="s">
        <v>1038</v>
      </c>
      <c r="E188" s="9">
        <v>35.54</v>
      </c>
      <c r="F188" s="8" t="s">
        <v>469</v>
      </c>
      <c r="G188" s="10">
        <v>4964.9999999999991</v>
      </c>
      <c r="H188" s="11">
        <f t="array" ref="H188">IF(OR(N188&gt;0,AC188&gt;0),MAX(N188,AC188),MAX(AK188,V188))</f>
        <v>46236</v>
      </c>
      <c r="I188" s="143">
        <f t="array" ref="I188">IF(SUM(O188,AD188)&gt;0,SUM(O188,AD188),SUM(AL188,W188))</f>
        <v>719.8396019999999</v>
      </c>
      <c r="J188" s="9">
        <f t="shared" si="22"/>
        <v>14.498279999999999</v>
      </c>
      <c r="K188" s="143">
        <f t="shared" si="28"/>
        <v>21.835745291859833</v>
      </c>
      <c r="L188" s="9">
        <f t="shared" si="23"/>
        <v>3.0334181713803288</v>
      </c>
      <c r="M188" s="8" t="str">
        <f t="array" ref="M188">IF(L188&gt;5,"Perlu Sensus",IF(AND(L188&gt;=0,I188&gt;0),"Tetap Deteksi","Belum Deteksi"))</f>
        <v>Tetap Deteksi</v>
      </c>
      <c r="N188" s="11">
        <v>46236</v>
      </c>
      <c r="O188" s="143">
        <v>719.8396019999999</v>
      </c>
      <c r="P188" s="9">
        <f t="array" ref="P188">IFERROR(O188/$G188*100,0)</f>
        <v>14.498279999999999</v>
      </c>
      <c r="Q188" s="143">
        <v>21.835745291859833</v>
      </c>
      <c r="R188" s="9">
        <f t="shared" si="24"/>
        <v>3.0334181713803288</v>
      </c>
      <c r="S188" s="8" t="str">
        <f t="array" ref="S188">IF(R188&gt;5,"Perlu Sensus",IF(AND(R188&gt;=0,O188&gt;0),"Tetap Deteksi","Belum Deteksi"))</f>
        <v>Tetap Deteksi</v>
      </c>
      <c r="T188" s="143">
        <v>14.180078500477789</v>
      </c>
      <c r="U188" s="9">
        <f t="shared" si="29"/>
        <v>1.9698941904668632</v>
      </c>
      <c r="V188" s="11">
        <v>46236</v>
      </c>
      <c r="W188" s="143">
        <v>255.70202112000004</v>
      </c>
      <c r="X188" s="143">
        <v>6.5971815314658739</v>
      </c>
      <c r="Y188" s="9">
        <f t="shared" si="25"/>
        <v>2.5800271357142854</v>
      </c>
      <c r="Z188" s="8" t="str">
        <f t="array" ref="Z188">IF(Y188&gt;5,"Perlu Sensus",IF(AND(Y188&gt;=0,W188&gt;0),"Tetap Deteksi","Belum Deteksi"))</f>
        <v>Tetap Deteksi</v>
      </c>
      <c r="AA188" s="143">
        <v>9.36</v>
      </c>
      <c r="AB188" s="9">
        <f t="shared" si="30"/>
        <v>3.6605107613159555</v>
      </c>
      <c r="AC188" s="11"/>
      <c r="AD188" s="143"/>
      <c r="AE188" s="9">
        <f t="array" ref="AE188">IFERROR(AD188/$G188*100,0)</f>
        <v>0</v>
      </c>
      <c r="AF188" s="143"/>
      <c r="AG188" s="9">
        <f t="shared" si="26"/>
        <v>0</v>
      </c>
      <c r="AH188" s="8" t="str">
        <f t="array" ref="AH188">IF(AG188&gt;5,"Perlu Sensus",IF(AND(AG188&gt;=0,AD188&gt;0),"Tetap Deteksi","Belum Deteksi"))</f>
        <v>Belum Deteksi</v>
      </c>
      <c r="AI188" s="143"/>
      <c r="AJ188" s="9">
        <f t="shared" si="31"/>
        <v>0</v>
      </c>
      <c r="AK188" s="11"/>
      <c r="AL188" s="143"/>
      <c r="AM188" s="143"/>
      <c r="AN188" s="9">
        <f t="shared" si="27"/>
        <v>0</v>
      </c>
      <c r="AO188" s="8" t="str">
        <f t="array" ref="AO188">IF(AN188&gt;5,"Perlu Sensus",IF(AND(AN188&gt;=0,AL188&gt;0),"Tetap Deteksi","Belum Deteksi"))</f>
        <v>Belum Deteksi</v>
      </c>
      <c r="AP188" s="143"/>
      <c r="AQ188" s="9">
        <f t="shared" si="32"/>
        <v>0</v>
      </c>
    </row>
    <row r="189" spans="1:43" outlineLevel="1" x14ac:dyDescent="0.15">
      <c r="A189" s="8" t="s">
        <v>949</v>
      </c>
      <c r="B189" s="8"/>
      <c r="C189" s="8" t="s">
        <v>345</v>
      </c>
      <c r="D189" s="8" t="s">
        <v>1040</v>
      </c>
      <c r="E189" s="9">
        <v>29.86</v>
      </c>
      <c r="F189" s="8" t="s">
        <v>469</v>
      </c>
      <c r="G189" s="10">
        <v>4267</v>
      </c>
      <c r="H189" s="11">
        <f t="array" ref="H189">IF(OR(N189&gt;0,AC189&gt;0),MAX(N189,AC189),MAX(AK189,V189))</f>
        <v>46237</v>
      </c>
      <c r="I189" s="143">
        <f t="array" ref="I189">IF(SUM(O189,AD189)&gt;0,SUM(O189,AD189),SUM(AL189,W189))</f>
        <v>463.98120569999992</v>
      </c>
      <c r="J189" s="9">
        <f t="shared" si="22"/>
        <v>10.873709999999997</v>
      </c>
      <c r="K189" s="143">
        <f t="shared" si="28"/>
        <v>9.8081211366412546</v>
      </c>
      <c r="L189" s="9">
        <f t="shared" si="23"/>
        <v>2.1139048341072182</v>
      </c>
      <c r="M189" s="8" t="str">
        <f t="array" ref="M189">IF(L189&gt;5,"Perlu Sensus",IF(AND(L189&gt;=0,I189&gt;0),"Tetap Deteksi","Belum Deteksi"))</f>
        <v>Tetap Deteksi</v>
      </c>
      <c r="N189" s="11">
        <v>46237</v>
      </c>
      <c r="O189" s="143">
        <v>463.98120569999992</v>
      </c>
      <c r="P189" s="9">
        <f t="array" ref="P189">IFERROR(O189/$G189*100,0)</f>
        <v>10.873709999999997</v>
      </c>
      <c r="Q189" s="143">
        <v>9.8081211366412546</v>
      </c>
      <c r="R189" s="9">
        <f t="shared" si="24"/>
        <v>2.1139048341072182</v>
      </c>
      <c r="S189" s="8" t="str">
        <f t="array" ref="S189">IF(R189&gt;5,"Perlu Sensus",IF(AND(R189&gt;=0,O189&gt;0),"Tetap Deteksi","Belum Deteksi"))</f>
        <v>Tetap Deteksi</v>
      </c>
      <c r="T189" s="143">
        <v>6.3693693895401937</v>
      </c>
      <c r="U189" s="9">
        <f t="shared" si="29"/>
        <v>1.3727645239273956</v>
      </c>
      <c r="V189" s="11">
        <v>46237</v>
      </c>
      <c r="W189" s="143">
        <v>260.81606154240006</v>
      </c>
      <c r="X189" s="143">
        <v>3.9160585902922493</v>
      </c>
      <c r="Y189" s="9">
        <f t="shared" si="25"/>
        <v>1.5014637392857142</v>
      </c>
      <c r="Z189" s="8" t="str">
        <f t="array" ref="Z189">IF(Y189&gt;5,"Perlu Sensus",IF(AND(Y189&gt;=0,W189&gt;0),"Tetap Deteksi","Belum Deteksi"))</f>
        <v>Tetap Deteksi</v>
      </c>
      <c r="AA189" s="143">
        <v>2.5622429176405368</v>
      </c>
      <c r="AB189" s="9">
        <f t="shared" si="30"/>
        <v>0.98239460502857134</v>
      </c>
      <c r="AC189" s="11"/>
      <c r="AD189" s="143"/>
      <c r="AE189" s="9">
        <f t="array" ref="AE189">IFERROR(AD189/$G189*100,0)</f>
        <v>0</v>
      </c>
      <c r="AF189" s="143"/>
      <c r="AG189" s="9">
        <f t="shared" si="26"/>
        <v>0</v>
      </c>
      <c r="AH189" s="8" t="str">
        <f t="array" ref="AH189">IF(AG189&gt;5,"Perlu Sensus",IF(AND(AG189&gt;=0,AD189&gt;0),"Tetap Deteksi","Belum Deteksi"))</f>
        <v>Belum Deteksi</v>
      </c>
      <c r="AI189" s="143"/>
      <c r="AJ189" s="9">
        <f t="shared" si="31"/>
        <v>0</v>
      </c>
      <c r="AK189" s="11"/>
      <c r="AL189" s="143"/>
      <c r="AM189" s="143"/>
      <c r="AN189" s="9">
        <f t="shared" si="27"/>
        <v>0</v>
      </c>
      <c r="AO189" s="8" t="str">
        <f t="array" ref="AO189">IF(AN189&gt;5,"Perlu Sensus",IF(AND(AN189&gt;=0,AL189&gt;0),"Tetap Deteksi","Belum Deteksi"))</f>
        <v>Belum Deteksi</v>
      </c>
      <c r="AP189" s="143"/>
      <c r="AQ189" s="9">
        <f t="shared" si="32"/>
        <v>0</v>
      </c>
    </row>
    <row r="190" spans="1:43" outlineLevel="1" x14ac:dyDescent="0.15">
      <c r="A190" s="8" t="s">
        <v>949</v>
      </c>
      <c r="B190" s="8"/>
      <c r="C190" s="8" t="s">
        <v>345</v>
      </c>
      <c r="D190" s="8" t="s">
        <v>1813</v>
      </c>
      <c r="E190" s="9">
        <v>37.39</v>
      </c>
      <c r="F190" s="8" t="s">
        <v>469</v>
      </c>
      <c r="G190" s="10">
        <v>4885.9999999999991</v>
      </c>
      <c r="H190" s="11">
        <f t="array" ref="H190">IF(OR(N190&gt;0,AC190&gt;0),MAX(N190,AC190),MAX(AK190,V190))</f>
        <v>46238</v>
      </c>
      <c r="I190" s="143">
        <f t="array" ref="I190">IF(SUM(O190,AD190)&gt;0,SUM(O190,AD190),SUM(AL190,W190))</f>
        <v>472.2573071999999</v>
      </c>
      <c r="J190" s="9">
        <f t="shared" si="22"/>
        <v>9.665519999999999</v>
      </c>
      <c r="K190" s="143">
        <f t="shared" si="28"/>
        <v>4.6048330777236481</v>
      </c>
      <c r="L190" s="9">
        <f t="shared" si="23"/>
        <v>0.97506867707893641</v>
      </c>
      <c r="M190" s="8" t="str">
        <f t="array" ref="M190">IF(L190&gt;5,"Perlu Sensus",IF(AND(L190&gt;=0,I190&gt;0),"Tetap Deteksi","Belum Deteksi"))</f>
        <v>Tetap Deteksi</v>
      </c>
      <c r="N190" s="11">
        <v>46238</v>
      </c>
      <c r="O190" s="143">
        <v>472.2573071999999</v>
      </c>
      <c r="P190" s="9">
        <f t="array" ref="P190">IFERROR(O190/$G190*100,0)</f>
        <v>9.665519999999999</v>
      </c>
      <c r="Q190" s="143">
        <v>4.6048330777236481</v>
      </c>
      <c r="R190" s="9">
        <f t="shared" si="24"/>
        <v>0.97506867707893641</v>
      </c>
      <c r="S190" s="8" t="str">
        <f t="array" ref="S190">IF(R190&gt;5,"Perlu Sensus",IF(AND(R190&gt;=0,O190&gt;0),"Tetap Deteksi","Belum Deteksi"))</f>
        <v>Tetap Deteksi</v>
      </c>
      <c r="T190" s="143">
        <v>2.990367109111689</v>
      </c>
      <c r="U190" s="9">
        <f t="shared" si="29"/>
        <v>0.63320716556859447</v>
      </c>
      <c r="V190" s="11">
        <v>46238</v>
      </c>
      <c r="W190" s="143">
        <v>266.03238277324806</v>
      </c>
      <c r="X190" s="143">
        <v>2.3838026622128843</v>
      </c>
      <c r="Y190" s="9">
        <f t="shared" si="25"/>
        <v>0.89605732857142872</v>
      </c>
      <c r="Z190" s="8" t="str">
        <f t="array" ref="Z190">IF(Y190&gt;5,"Perlu Sensus",IF(AND(Y190&gt;=0,W190&gt;0),"Tetap Deteksi","Belum Deteksi"))</f>
        <v>Tetap Deteksi</v>
      </c>
      <c r="AA190" s="143">
        <v>1.5597012525422398</v>
      </c>
      <c r="AB190" s="9">
        <f t="shared" si="30"/>
        <v>0.58628248045714293</v>
      </c>
      <c r="AC190" s="11"/>
      <c r="AD190" s="143"/>
      <c r="AE190" s="9">
        <f t="array" ref="AE190">IFERROR(AD190/$G190*100,0)</f>
        <v>0</v>
      </c>
      <c r="AF190" s="143"/>
      <c r="AG190" s="9">
        <f t="shared" si="26"/>
        <v>0</v>
      </c>
      <c r="AH190" s="8" t="str">
        <f t="array" ref="AH190">IF(AG190&gt;5,"Perlu Sensus",IF(AND(AG190&gt;=0,AD190&gt;0),"Tetap Deteksi","Belum Deteksi"))</f>
        <v>Belum Deteksi</v>
      </c>
      <c r="AI190" s="143"/>
      <c r="AJ190" s="9">
        <f t="shared" si="31"/>
        <v>0</v>
      </c>
      <c r="AK190" s="11"/>
      <c r="AL190" s="143"/>
      <c r="AM190" s="143"/>
      <c r="AN190" s="9">
        <f t="shared" si="27"/>
        <v>0</v>
      </c>
      <c r="AO190" s="8" t="str">
        <f t="array" ref="AO190">IF(AN190&gt;5,"Perlu Sensus",IF(AND(AN190&gt;=0,AL190&gt;0),"Tetap Deteksi","Belum Deteksi"))</f>
        <v>Belum Deteksi</v>
      </c>
      <c r="AP190" s="143"/>
      <c r="AQ190" s="9">
        <f t="shared" si="32"/>
        <v>0</v>
      </c>
    </row>
    <row r="191" spans="1:43" outlineLevel="1" x14ac:dyDescent="0.15">
      <c r="A191" s="8" t="s">
        <v>949</v>
      </c>
      <c r="B191" s="8"/>
      <c r="C191" s="8" t="s">
        <v>345</v>
      </c>
      <c r="D191" s="8" t="s">
        <v>1814</v>
      </c>
      <c r="E191" s="9">
        <v>29.490000000000002</v>
      </c>
      <c r="F191" s="8" t="s">
        <v>469</v>
      </c>
      <c r="G191" s="10">
        <v>4139</v>
      </c>
      <c r="H191" s="11">
        <f t="array" ref="H191">IF(OR(N191&gt;0,AC191&gt;0),MAX(N191,AC191),MAX(AK191,V191))</f>
        <v>46239</v>
      </c>
      <c r="I191" s="143">
        <f t="array" ref="I191">IF(SUM(O191,AD191)&gt;0,SUM(O191,AD191),SUM(AL191,W191))</f>
        <v>500.069841</v>
      </c>
      <c r="J191" s="9">
        <f t="shared" si="22"/>
        <v>12.081899999999999</v>
      </c>
      <c r="K191" s="143">
        <f t="shared" si="28"/>
        <v>13.464000000000002</v>
      </c>
      <c r="L191" s="9">
        <f t="shared" si="23"/>
        <v>2.692423916842448</v>
      </c>
      <c r="M191" s="8" t="str">
        <f t="array" ref="M191">IF(L191&gt;5,"Perlu Sensus",IF(AND(L191&gt;=0,I191&gt;0),"Tetap Deteksi","Belum Deteksi"))</f>
        <v>Tetap Deteksi</v>
      </c>
      <c r="N191" s="11">
        <v>46239</v>
      </c>
      <c r="O191" s="143">
        <v>500.069841</v>
      </c>
      <c r="P191" s="9">
        <f t="array" ref="P191">IFERROR(O191/$G191*100,0)</f>
        <v>12.081899999999999</v>
      </c>
      <c r="Q191" s="143">
        <v>13.464000000000002</v>
      </c>
      <c r="R191" s="9">
        <f t="shared" si="24"/>
        <v>2.692423916842448</v>
      </c>
      <c r="S191" s="8" t="str">
        <f t="array" ref="S191">IF(R191&gt;5,"Perlu Sensus",IF(AND(R191&gt;=0,O191&gt;0),"Tetap Deteksi","Belum Deteksi"))</f>
        <v>Tetap Deteksi</v>
      </c>
      <c r="T191" s="143">
        <v>8.7434879999999975</v>
      </c>
      <c r="U191" s="9">
        <f t="shared" si="29"/>
        <v>1.7484533725360167</v>
      </c>
      <c r="V191" s="11">
        <v>46239</v>
      </c>
      <c r="W191" s="143">
        <v>271.353030428713</v>
      </c>
      <c r="X191" s="143">
        <v>1.1330000000000002</v>
      </c>
      <c r="Y191" s="9">
        <f t="shared" si="25"/>
        <v>0.4175372569858401</v>
      </c>
      <c r="Z191" s="8" t="str">
        <f t="array" ref="Z191">IF(Y191&gt;5,"Perlu Sensus",IF(AND(Y191&gt;=0,W191&gt;0),"Tetap Deteksi","Belum Deteksi"))</f>
        <v>Tetap Deteksi</v>
      </c>
      <c r="AA191" s="143">
        <v>0.74131200000000008</v>
      </c>
      <c r="AB191" s="9">
        <f t="shared" si="30"/>
        <v>0.27319097886203625</v>
      </c>
      <c r="AC191" s="11"/>
      <c r="AD191" s="143"/>
      <c r="AE191" s="9">
        <f t="array" ref="AE191">IFERROR(AD191/$G191*100,0)</f>
        <v>0</v>
      </c>
      <c r="AF191" s="143"/>
      <c r="AG191" s="9">
        <f t="shared" si="26"/>
        <v>0</v>
      </c>
      <c r="AH191" s="8" t="str">
        <f t="array" ref="AH191">IF(AG191&gt;5,"Perlu Sensus",IF(AND(AG191&gt;=0,AD191&gt;0),"Tetap Deteksi","Belum Deteksi"))</f>
        <v>Belum Deteksi</v>
      </c>
      <c r="AI191" s="143"/>
      <c r="AJ191" s="9">
        <f t="shared" si="31"/>
        <v>0</v>
      </c>
      <c r="AK191" s="11"/>
      <c r="AL191" s="143"/>
      <c r="AM191" s="143"/>
      <c r="AN191" s="9">
        <f t="shared" si="27"/>
        <v>0</v>
      </c>
      <c r="AO191" s="8" t="str">
        <f t="array" ref="AO191">IF(AN191&gt;5,"Perlu Sensus",IF(AND(AN191&gt;=0,AL191&gt;0),"Tetap Deteksi","Belum Deteksi"))</f>
        <v>Belum Deteksi</v>
      </c>
      <c r="AP191" s="143"/>
      <c r="AQ191" s="9">
        <f t="shared" si="32"/>
        <v>0</v>
      </c>
    </row>
    <row r="192" spans="1:43" outlineLevel="1" x14ac:dyDescent="0.15">
      <c r="A192" s="8" t="s">
        <v>949</v>
      </c>
      <c r="B192" s="8"/>
      <c r="C192" s="8" t="s">
        <v>345</v>
      </c>
      <c r="D192" s="8" t="s">
        <v>1037</v>
      </c>
      <c r="E192" s="9">
        <v>31.69</v>
      </c>
      <c r="F192" s="8" t="s">
        <v>469</v>
      </c>
      <c r="G192" s="10">
        <v>4054</v>
      </c>
      <c r="H192" s="11">
        <f t="array" ref="H192">IF(OR(N192&gt;0,AC192&gt;0),MAX(N192,AC192),MAX(AK192,V192))</f>
        <v>46240</v>
      </c>
      <c r="I192" s="143">
        <f t="array" ref="I192">IF(SUM(O192,AD192)&gt;0,SUM(O192,AD192),SUM(AL192,W192))</f>
        <v>440.82020339999997</v>
      </c>
      <c r="J192" s="9">
        <f t="shared" si="22"/>
        <v>10.873709999999999</v>
      </c>
      <c r="K192" s="143">
        <f t="shared" si="28"/>
        <v>19.074000000000002</v>
      </c>
      <c r="L192" s="9">
        <f t="shared" si="23"/>
        <v>4.3269341679179494</v>
      </c>
      <c r="M192" s="8" t="str">
        <f t="array" ref="M192">IF(L192&gt;5,"Perlu Sensus",IF(AND(L192&gt;=0,I192&gt;0),"Tetap Deteksi","Belum Deteksi"))</f>
        <v>Tetap Deteksi</v>
      </c>
      <c r="N192" s="11">
        <v>46240</v>
      </c>
      <c r="O192" s="143">
        <v>440.82020339999997</v>
      </c>
      <c r="P192" s="9">
        <f t="array" ref="P192">IFERROR(O192/$G192*100,0)</f>
        <v>10.873709999999999</v>
      </c>
      <c r="Q192" s="143">
        <v>19.074000000000002</v>
      </c>
      <c r="R192" s="9">
        <f t="shared" si="24"/>
        <v>4.3269341679179494</v>
      </c>
      <c r="S192" s="8" t="str">
        <f t="array" ref="S192">IF(R192&gt;5,"Perlu Sensus",IF(AND(R192&gt;=0,O192&gt;0),"Tetap Deteksi","Belum Deteksi"))</f>
        <v>Tetap Deteksi</v>
      </c>
      <c r="T192" s="143">
        <v>12.386607999999999</v>
      </c>
      <c r="U192" s="9">
        <f t="shared" si="29"/>
        <v>2.809900250592734</v>
      </c>
      <c r="V192" s="11">
        <v>46240</v>
      </c>
      <c r="W192" s="143">
        <v>276.78009103728726</v>
      </c>
      <c r="X192" s="143">
        <v>12.463000000000001</v>
      </c>
      <c r="Y192" s="9">
        <f t="shared" si="25"/>
        <v>4.5028527714159221</v>
      </c>
      <c r="Z192" s="8" t="str">
        <f t="array" ref="Z192">IF(Y192&gt;5,"Perlu Sensus",IF(AND(Y192&gt;=0,W192&gt;0),"Tetap Deteksi","Belum Deteksi"))</f>
        <v>Tetap Deteksi</v>
      </c>
      <c r="AA192" s="143">
        <v>8.1544320000000017</v>
      </c>
      <c r="AB192" s="9">
        <f t="shared" si="30"/>
        <v>2.9461772230219596</v>
      </c>
      <c r="AC192" s="11"/>
      <c r="AD192" s="143"/>
      <c r="AE192" s="9">
        <f t="array" ref="AE192">IFERROR(AD192/$G192*100,0)</f>
        <v>0</v>
      </c>
      <c r="AF192" s="143"/>
      <c r="AG192" s="9">
        <f t="shared" si="26"/>
        <v>0</v>
      </c>
      <c r="AH192" s="8" t="str">
        <f t="array" ref="AH192">IF(AG192&gt;5,"Perlu Sensus",IF(AND(AG192&gt;=0,AD192&gt;0),"Tetap Deteksi","Belum Deteksi"))</f>
        <v>Belum Deteksi</v>
      </c>
      <c r="AI192" s="143"/>
      <c r="AJ192" s="9">
        <f t="shared" si="31"/>
        <v>0</v>
      </c>
      <c r="AK192" s="11"/>
      <c r="AL192" s="143"/>
      <c r="AM192" s="143"/>
      <c r="AN192" s="9">
        <f t="shared" si="27"/>
        <v>0</v>
      </c>
      <c r="AO192" s="8" t="str">
        <f t="array" ref="AO192">IF(AN192&gt;5,"Perlu Sensus",IF(AND(AN192&gt;=0,AL192&gt;0),"Tetap Deteksi","Belum Deteksi"))</f>
        <v>Belum Deteksi</v>
      </c>
      <c r="AP192" s="143"/>
      <c r="AQ192" s="9">
        <f t="shared" si="32"/>
        <v>0</v>
      </c>
    </row>
    <row r="193" spans="1:43" outlineLevel="1" x14ac:dyDescent="0.15">
      <c r="A193" s="8" t="s">
        <v>949</v>
      </c>
      <c r="B193" s="8"/>
      <c r="C193" s="8" t="s">
        <v>345</v>
      </c>
      <c r="D193" s="8" t="s">
        <v>1035</v>
      </c>
      <c r="E193" s="9">
        <v>32.49</v>
      </c>
      <c r="F193" s="8" t="s">
        <v>469</v>
      </c>
      <c r="G193" s="10">
        <v>4522</v>
      </c>
      <c r="H193" s="11">
        <f t="array" ref="H193">IF(OR(N193&gt;0,AC193&gt;0),MAX(N193,AC193),MAX(AK193,V193))</f>
        <v>46241</v>
      </c>
      <c r="I193" s="143">
        <f t="array" ref="I193">IF(SUM(O193,AD193)&gt;0,SUM(O193,AD193),SUM(AL193,W193))</f>
        <v>437.07481439999998</v>
      </c>
      <c r="J193" s="9">
        <f t="shared" si="22"/>
        <v>9.665519999999999</v>
      </c>
      <c r="K193" s="143">
        <f t="shared" si="28"/>
        <v>11.22</v>
      </c>
      <c r="L193" s="9">
        <f t="shared" si="23"/>
        <v>2.567066239083668</v>
      </c>
      <c r="M193" s="8" t="str">
        <f t="array" ref="M193">IF(L193&gt;5,"Perlu Sensus",IF(AND(L193&gt;=0,I193&gt;0),"Tetap Deteksi","Belum Deteksi"))</f>
        <v>Tetap Deteksi</v>
      </c>
      <c r="N193" s="11">
        <v>46241</v>
      </c>
      <c r="O193" s="143">
        <v>437.07481439999998</v>
      </c>
      <c r="P193" s="9">
        <f t="array" ref="P193">IFERROR(O193/$G193*100,0)</f>
        <v>9.665519999999999</v>
      </c>
      <c r="Q193" s="143">
        <v>11.22</v>
      </c>
      <c r="R193" s="9">
        <f t="shared" si="24"/>
        <v>2.567066239083668</v>
      </c>
      <c r="S193" s="8" t="str">
        <f t="array" ref="S193">IF(R193&gt;5,"Perlu Sensus",IF(AND(R193&gt;=0,O193&gt;0),"Tetap Deteksi","Belum Deteksi"))</f>
        <v>Tetap Deteksi</v>
      </c>
      <c r="T193" s="143">
        <v>6.1703085099801598</v>
      </c>
      <c r="U193" s="9">
        <f t="shared" si="29"/>
        <v>1.4117282228788517</v>
      </c>
      <c r="V193" s="11">
        <v>46241</v>
      </c>
      <c r="W193" s="143">
        <v>282.315692858033</v>
      </c>
      <c r="X193" s="143">
        <v>5.911766228722084</v>
      </c>
      <c r="Y193" s="9">
        <f t="shared" si="25"/>
        <v>2.094026785714286</v>
      </c>
      <c r="Z193" s="8" t="str">
        <f t="array" ref="Z193">IF(Y193&gt;5,"Perlu Sensus",IF(AND(Y193&gt;=0,W193&gt;0),"Tetap Deteksi","Belum Deteksi"))</f>
        <v>Tetap Deteksi</v>
      </c>
      <c r="AA193" s="143">
        <v>9.36</v>
      </c>
      <c r="AB193" s="9">
        <f t="shared" si="30"/>
        <v>3.3154373762378224</v>
      </c>
      <c r="AC193" s="11"/>
      <c r="AD193" s="143"/>
      <c r="AE193" s="9">
        <f t="array" ref="AE193">IFERROR(AD193/$G193*100,0)</f>
        <v>0</v>
      </c>
      <c r="AF193" s="143"/>
      <c r="AG193" s="9">
        <f t="shared" si="26"/>
        <v>0</v>
      </c>
      <c r="AH193" s="8" t="str">
        <f t="array" ref="AH193">IF(AG193&gt;5,"Perlu Sensus",IF(AND(AG193&gt;=0,AD193&gt;0),"Tetap Deteksi","Belum Deteksi"))</f>
        <v>Belum Deteksi</v>
      </c>
      <c r="AI193" s="143"/>
      <c r="AJ193" s="9">
        <f t="shared" si="31"/>
        <v>0</v>
      </c>
      <c r="AK193" s="11"/>
      <c r="AL193" s="143"/>
      <c r="AM193" s="143"/>
      <c r="AN193" s="9">
        <f t="shared" si="27"/>
        <v>0</v>
      </c>
      <c r="AO193" s="8" t="str">
        <f t="array" ref="AO193">IF(AN193&gt;5,"Perlu Sensus",IF(AND(AN193&gt;=0,AL193&gt;0),"Tetap Deteksi","Belum Deteksi"))</f>
        <v>Belum Deteksi</v>
      </c>
      <c r="AP193" s="143"/>
      <c r="AQ193" s="9">
        <f t="shared" si="32"/>
        <v>0</v>
      </c>
    </row>
    <row r="194" spans="1:43" outlineLevel="1" x14ac:dyDescent="0.15">
      <c r="A194" s="8" t="s">
        <v>949</v>
      </c>
      <c r="B194" s="8"/>
      <c r="C194" s="8" t="s">
        <v>345</v>
      </c>
      <c r="D194" s="8" t="s">
        <v>1286</v>
      </c>
      <c r="E194" s="9">
        <v>27.86</v>
      </c>
      <c r="F194" s="8" t="s">
        <v>469</v>
      </c>
      <c r="G194" s="10">
        <v>3857.9999999999995</v>
      </c>
      <c r="H194" s="11">
        <f t="array" ref="H194">IF(OR(N194&gt;0,AC194&gt;0),MAX(N194,AC194),MAX(AK194,V194))</f>
        <v>46242</v>
      </c>
      <c r="I194" s="143">
        <f t="array" ref="I194">IF(SUM(O194,AD194)&gt;0,SUM(O194,AD194),SUM(AL194,W194))</f>
        <v>512.73167219999993</v>
      </c>
      <c r="J194" s="9">
        <f t="shared" si="22"/>
        <v>13.290089999999999</v>
      </c>
      <c r="K194" s="143">
        <f t="shared" si="28"/>
        <v>17.34</v>
      </c>
      <c r="L194" s="9">
        <f t="shared" si="23"/>
        <v>3.3818858752373364</v>
      </c>
      <c r="M194" s="8" t="str">
        <f t="array" ref="M194">IF(L194&gt;5,"Perlu Sensus",IF(AND(L194&gt;=0,I194&gt;0),"Tetap Deteksi","Belum Deteksi"))</f>
        <v>Tetap Deteksi</v>
      </c>
      <c r="N194" s="11">
        <v>46242</v>
      </c>
      <c r="O194" s="143">
        <v>512.73167219999993</v>
      </c>
      <c r="P194" s="9">
        <f t="array" ref="P194">IFERROR(O194/$G194*100,0)</f>
        <v>13.290089999999999</v>
      </c>
      <c r="Q194" s="143">
        <v>17.34</v>
      </c>
      <c r="R194" s="9">
        <f t="shared" si="24"/>
        <v>3.3818858752373364</v>
      </c>
      <c r="S194" s="8" t="str">
        <f t="array" ref="S194">IF(R194&gt;5,"Perlu Sensus",IF(AND(R194&gt;=0,O194&gt;0),"Tetap Deteksi","Belum Deteksi"))</f>
        <v>Tetap Deteksi</v>
      </c>
      <c r="T194" s="143">
        <v>9.0399295131919484</v>
      </c>
      <c r="U194" s="9">
        <f t="shared" si="29"/>
        <v>1.7630916916842549</v>
      </c>
      <c r="V194" s="11">
        <v>46242</v>
      </c>
      <c r="W194" s="143">
        <v>287.9620067151937</v>
      </c>
      <c r="X194" s="143">
        <v>8.24</v>
      </c>
      <c r="Y194" s="9">
        <f t="shared" si="25"/>
        <v>2.8614886019146617</v>
      </c>
      <c r="Z194" s="8" t="str">
        <f t="array" ref="Z194">IF(Y194&gt;5,"Perlu Sensus",IF(AND(Y194&gt;=0,W194&gt;0),"Tetap Deteksi","Belum Deteksi"))</f>
        <v>Tetap Deteksi</v>
      </c>
      <c r="AA194" s="143">
        <v>4.927337906149404</v>
      </c>
      <c r="AB194" s="9">
        <f t="shared" si="30"/>
        <v>1.7111069485714288</v>
      </c>
      <c r="AC194" s="11"/>
      <c r="AD194" s="143"/>
      <c r="AE194" s="9">
        <f t="array" ref="AE194">IFERROR(AD194/$G194*100,0)</f>
        <v>0</v>
      </c>
      <c r="AF194" s="143"/>
      <c r="AG194" s="9">
        <f t="shared" si="26"/>
        <v>0</v>
      </c>
      <c r="AH194" s="8" t="str">
        <f t="array" ref="AH194">IF(AG194&gt;5,"Perlu Sensus",IF(AND(AG194&gt;=0,AD194&gt;0),"Tetap Deteksi","Belum Deteksi"))</f>
        <v>Belum Deteksi</v>
      </c>
      <c r="AI194" s="143"/>
      <c r="AJ194" s="9">
        <f t="shared" si="31"/>
        <v>0</v>
      </c>
      <c r="AK194" s="11"/>
      <c r="AL194" s="143"/>
      <c r="AM194" s="143"/>
      <c r="AN194" s="9">
        <f t="shared" si="27"/>
        <v>0</v>
      </c>
      <c r="AO194" s="8" t="str">
        <f t="array" ref="AO194">IF(AN194&gt;5,"Perlu Sensus",IF(AND(AN194&gt;=0,AL194&gt;0),"Tetap Deteksi","Belum Deteksi"))</f>
        <v>Belum Deteksi</v>
      </c>
      <c r="AP194" s="143"/>
      <c r="AQ194" s="9">
        <f t="shared" si="32"/>
        <v>0</v>
      </c>
    </row>
    <row r="195" spans="1:43" outlineLevel="1" x14ac:dyDescent="0.15">
      <c r="A195" s="8" t="s">
        <v>949</v>
      </c>
      <c r="B195" s="8"/>
      <c r="C195" s="8" t="s">
        <v>345</v>
      </c>
      <c r="D195" s="8" t="s">
        <v>1287</v>
      </c>
      <c r="E195" s="9">
        <v>28.42</v>
      </c>
      <c r="F195" s="8" t="s">
        <v>469</v>
      </c>
      <c r="G195" s="10">
        <v>3323</v>
      </c>
      <c r="H195" s="11">
        <f t="array" ref="H195">IF(OR(N195&gt;0,AC195&gt;0),MAX(N195,AC195),MAX(AK195,V195))</f>
        <v>46243</v>
      </c>
      <c r="I195" s="143">
        <f t="array" ref="I195">IF(SUM(O195,AD195)&gt;0,SUM(O195,AD195),SUM(AL195,W195))</f>
        <v>481.77784439999999</v>
      </c>
      <c r="J195" s="9">
        <f t="shared" si="22"/>
        <v>14.498279999999999</v>
      </c>
      <c r="K195" s="143">
        <f t="shared" si="28"/>
        <v>16.830000000000002</v>
      </c>
      <c r="L195" s="9">
        <f t="shared" si="23"/>
        <v>3.4933113250485546</v>
      </c>
      <c r="M195" s="8" t="str">
        <f t="array" ref="M195">IF(L195&gt;5,"Perlu Sensus",IF(AND(L195&gt;=0,I195&gt;0),"Tetap Deteksi","Belum Deteksi"))</f>
        <v>Tetap Deteksi</v>
      </c>
      <c r="N195" s="11">
        <v>46243</v>
      </c>
      <c r="O195" s="143">
        <v>481.77784439999999</v>
      </c>
      <c r="P195" s="9">
        <f t="array" ref="P195">IFERROR(O195/$G195*100,0)</f>
        <v>14.498279999999999</v>
      </c>
      <c r="Q195" s="143">
        <v>16.830000000000002</v>
      </c>
      <c r="R195" s="9">
        <f t="shared" si="24"/>
        <v>3.4933113250485546</v>
      </c>
      <c r="S195" s="8" t="str">
        <f t="array" ref="S195">IF(R195&gt;5,"Perlu Sensus",IF(AND(R195&gt;=0,O195&gt;0),"Tetap Deteksi","Belum Deteksi"))</f>
        <v>Tetap Deteksi</v>
      </c>
      <c r="T195" s="143">
        <v>10.929360000000001</v>
      </c>
      <c r="U195" s="9">
        <f t="shared" si="29"/>
        <v>2.2685476567755596</v>
      </c>
      <c r="V195" s="11">
        <v>46243</v>
      </c>
      <c r="W195" s="143">
        <v>293.72124684949756</v>
      </c>
      <c r="X195" s="143">
        <v>9.0640000000000018</v>
      </c>
      <c r="Y195" s="9">
        <f t="shared" si="25"/>
        <v>3.0859190804962044</v>
      </c>
      <c r="Z195" s="8" t="str">
        <f t="array" ref="Z195">IF(Y195&gt;5,"Perlu Sensus",IF(AND(Y195&gt;=0,W195&gt;0),"Tetap Deteksi","Belum Deteksi"))</f>
        <v>Tetap Deteksi</v>
      </c>
      <c r="AA195" s="143">
        <v>5.9304960000000007</v>
      </c>
      <c r="AB195" s="9">
        <f t="shared" si="30"/>
        <v>2.0190898900271863</v>
      </c>
      <c r="AC195" s="11"/>
      <c r="AD195" s="143"/>
      <c r="AE195" s="9">
        <f t="array" ref="AE195">IFERROR(AD195/$G195*100,0)</f>
        <v>0</v>
      </c>
      <c r="AF195" s="143"/>
      <c r="AG195" s="9">
        <f t="shared" si="26"/>
        <v>0</v>
      </c>
      <c r="AH195" s="8" t="str">
        <f t="array" ref="AH195">IF(AG195&gt;5,"Perlu Sensus",IF(AND(AG195&gt;=0,AD195&gt;0),"Tetap Deteksi","Belum Deteksi"))</f>
        <v>Belum Deteksi</v>
      </c>
      <c r="AI195" s="143"/>
      <c r="AJ195" s="9">
        <f t="shared" si="31"/>
        <v>0</v>
      </c>
      <c r="AK195" s="11"/>
      <c r="AL195" s="143"/>
      <c r="AM195" s="143"/>
      <c r="AN195" s="9">
        <f t="shared" si="27"/>
        <v>0</v>
      </c>
      <c r="AO195" s="8" t="str">
        <f t="array" ref="AO195">IF(AN195&gt;5,"Perlu Sensus",IF(AND(AN195&gt;=0,AL195&gt;0),"Tetap Deteksi","Belum Deteksi"))</f>
        <v>Belum Deteksi</v>
      </c>
      <c r="AP195" s="143"/>
      <c r="AQ195" s="9">
        <f t="shared" si="32"/>
        <v>0</v>
      </c>
    </row>
    <row r="196" spans="1:43" outlineLevel="1" x14ac:dyDescent="0.15">
      <c r="A196" s="8" t="s">
        <v>949</v>
      </c>
      <c r="B196" s="8"/>
      <c r="C196" s="8" t="s">
        <v>345</v>
      </c>
      <c r="D196" s="8" t="s">
        <v>1288</v>
      </c>
      <c r="E196" s="9">
        <v>31.259999999999998</v>
      </c>
      <c r="F196" s="8" t="s">
        <v>469</v>
      </c>
      <c r="G196" s="10">
        <v>3404</v>
      </c>
      <c r="H196" s="11">
        <f t="array" ref="H196">IF(OR(N196&gt;0,AC196&gt;0),MAX(N196,AC196),MAX(AK196,V196))</f>
        <v>46244</v>
      </c>
      <c r="I196" s="143">
        <f t="array" ref="I196">IF(SUM(O196,AD196)&gt;0,SUM(O196,AD196),SUM(AL196,W196))</f>
        <v>534.64823879999994</v>
      </c>
      <c r="J196" s="9">
        <f t="shared" si="22"/>
        <v>15.706469999999998</v>
      </c>
      <c r="K196" s="143">
        <f t="shared" si="28"/>
        <v>17.34</v>
      </c>
      <c r="L196" s="9">
        <f t="shared" si="23"/>
        <v>3.2432539269032383</v>
      </c>
      <c r="M196" s="8" t="str">
        <f t="array" ref="M196">IF(L196&gt;5,"Perlu Sensus",IF(AND(L196&gt;=0,I196&gt;0),"Tetap Deteksi","Belum Deteksi"))</f>
        <v>Tetap Deteksi</v>
      </c>
      <c r="N196" s="11">
        <v>46244</v>
      </c>
      <c r="O196" s="143">
        <v>534.64823879999994</v>
      </c>
      <c r="P196" s="9">
        <f t="array" ref="P196">IFERROR(O196/$G196*100,0)</f>
        <v>15.706469999999998</v>
      </c>
      <c r="Q196" s="143">
        <v>17.34</v>
      </c>
      <c r="R196" s="9">
        <f t="shared" si="24"/>
        <v>3.2432539269032383</v>
      </c>
      <c r="S196" s="8" t="str">
        <f t="array" ref="S196">IF(R196&gt;5,"Perlu Sensus",IF(AND(R196&gt;=0,O196&gt;0),"Tetap Deteksi","Belum Deteksi"))</f>
        <v>Tetap Deteksi</v>
      </c>
      <c r="T196" s="143">
        <v>9.8624326382120415</v>
      </c>
      <c r="U196" s="9">
        <f t="shared" si="29"/>
        <v>1.844658211228366</v>
      </c>
      <c r="V196" s="11">
        <v>46244</v>
      </c>
      <c r="W196" s="143">
        <v>299.59567178648751</v>
      </c>
      <c r="X196" s="143">
        <v>5.15</v>
      </c>
      <c r="Y196" s="9">
        <f t="shared" si="25"/>
        <v>1.7189834450179389</v>
      </c>
      <c r="Z196" s="8" t="str">
        <f t="array" ref="Z196">IF(Y196&gt;5,"Perlu Sensus",IF(AND(Y196&gt;=0,W196&gt;0),"Tetap Deteksi","Belum Deteksi"))</f>
        <v>Tetap Deteksi</v>
      </c>
      <c r="AA196" s="143">
        <v>8.32</v>
      </c>
      <c r="AB196" s="9">
        <f t="shared" si="30"/>
        <v>2.7770761674852915</v>
      </c>
      <c r="AC196" s="11"/>
      <c r="AD196" s="143"/>
      <c r="AE196" s="9">
        <f t="array" ref="AE196">IFERROR(AD196/$G196*100,0)</f>
        <v>0</v>
      </c>
      <c r="AF196" s="143"/>
      <c r="AG196" s="9">
        <f t="shared" si="26"/>
        <v>0</v>
      </c>
      <c r="AH196" s="8" t="str">
        <f t="array" ref="AH196">IF(AG196&gt;5,"Perlu Sensus",IF(AND(AG196&gt;=0,AD196&gt;0),"Tetap Deteksi","Belum Deteksi"))</f>
        <v>Belum Deteksi</v>
      </c>
      <c r="AI196" s="143"/>
      <c r="AJ196" s="9">
        <f t="shared" si="31"/>
        <v>0</v>
      </c>
      <c r="AK196" s="11"/>
      <c r="AL196" s="143"/>
      <c r="AM196" s="143"/>
      <c r="AN196" s="9">
        <f t="shared" si="27"/>
        <v>0</v>
      </c>
      <c r="AO196" s="8" t="str">
        <f t="array" ref="AO196">IF(AN196&gt;5,"Perlu Sensus",IF(AND(AN196&gt;=0,AL196&gt;0),"Tetap Deteksi","Belum Deteksi"))</f>
        <v>Belum Deteksi</v>
      </c>
      <c r="AP196" s="143"/>
      <c r="AQ196" s="9">
        <f t="shared" si="32"/>
        <v>0</v>
      </c>
    </row>
    <row r="197" spans="1:43" outlineLevel="1" x14ac:dyDescent="0.15">
      <c r="A197" s="8" t="s">
        <v>949</v>
      </c>
      <c r="B197" s="8"/>
      <c r="C197" s="8" t="s">
        <v>345</v>
      </c>
      <c r="D197" s="8" t="s">
        <v>1289</v>
      </c>
      <c r="E197" s="9">
        <v>33.519999999999996</v>
      </c>
      <c r="F197" s="8" t="s">
        <v>469</v>
      </c>
      <c r="G197" s="10">
        <v>2225</v>
      </c>
      <c r="H197" s="11">
        <f t="array" ref="H197">IF(OR(N197&gt;0,AC197&gt;0),MAX(N197,AC197),MAX(AK197,V197))</f>
        <v>46245</v>
      </c>
      <c r="I197" s="143">
        <f t="array" ref="I197">IF(SUM(O197,AD197)&gt;0,SUM(O197,AD197),SUM(AL197,W197))</f>
        <v>322.58673000000005</v>
      </c>
      <c r="J197" s="9">
        <f t="shared" si="22"/>
        <v>14.498280000000003</v>
      </c>
      <c r="K197" s="143">
        <f t="shared" si="28"/>
        <v>8.9760000000000009</v>
      </c>
      <c r="L197" s="9">
        <f t="shared" si="23"/>
        <v>2.7825075135607715</v>
      </c>
      <c r="M197" s="8" t="str">
        <f t="array" ref="M197">IF(L197&gt;5,"Perlu Sensus",IF(AND(L197&gt;=0,I197&gt;0),"Tetap Deteksi","Belum Deteksi"))</f>
        <v>Tetap Deteksi</v>
      </c>
      <c r="N197" s="11">
        <v>46245</v>
      </c>
      <c r="O197" s="143">
        <v>322.58673000000005</v>
      </c>
      <c r="P197" s="9">
        <f t="array" ref="P197">IFERROR(O197/$G197*100,0)</f>
        <v>14.498280000000003</v>
      </c>
      <c r="Q197" s="143">
        <v>8.9760000000000009</v>
      </c>
      <c r="R197" s="9">
        <f t="shared" si="24"/>
        <v>2.7825075135607715</v>
      </c>
      <c r="S197" s="8" t="str">
        <f t="array" ref="S197">IF(R197&gt;5,"Perlu Sensus",IF(AND(R197&gt;=0,O197&gt;0),"Tetap Deteksi","Belum Deteksi"))</f>
        <v>Tetap Deteksi</v>
      </c>
      <c r="T197" s="143">
        <v>5.8289919999999995</v>
      </c>
      <c r="U197" s="9">
        <f t="shared" si="29"/>
        <v>1.8069534354373469</v>
      </c>
      <c r="V197" s="11">
        <v>46245</v>
      </c>
      <c r="W197" s="143">
        <v>305.58758522221723</v>
      </c>
      <c r="X197" s="143">
        <v>7.9310000000000009</v>
      </c>
      <c r="Y197" s="9">
        <f t="shared" si="25"/>
        <v>2.5953279463996335</v>
      </c>
      <c r="Z197" s="8" t="str">
        <f t="array" ref="Z197">IF(Y197&gt;5,"Perlu Sensus",IF(AND(Y197&gt;=0,W197&gt;0),"Tetap Deteksi","Belum Deteksi"))</f>
        <v>Tetap Deteksi</v>
      </c>
      <c r="AA197" s="143">
        <v>5.189184</v>
      </c>
      <c r="AB197" s="9">
        <f t="shared" si="30"/>
        <v>1.6981003977064475</v>
      </c>
      <c r="AC197" s="11"/>
      <c r="AD197" s="143"/>
      <c r="AE197" s="9">
        <f t="array" ref="AE197">IFERROR(AD197/$G197*100,0)</f>
        <v>0</v>
      </c>
      <c r="AF197" s="143"/>
      <c r="AG197" s="9">
        <f t="shared" si="26"/>
        <v>0</v>
      </c>
      <c r="AH197" s="8" t="str">
        <f t="array" ref="AH197">IF(AG197&gt;5,"Perlu Sensus",IF(AND(AG197&gt;=0,AD197&gt;0),"Tetap Deteksi","Belum Deteksi"))</f>
        <v>Belum Deteksi</v>
      </c>
      <c r="AI197" s="143"/>
      <c r="AJ197" s="9">
        <f t="shared" si="31"/>
        <v>0</v>
      </c>
      <c r="AK197" s="11"/>
      <c r="AL197" s="143"/>
      <c r="AM197" s="143"/>
      <c r="AN197" s="9">
        <f t="shared" si="27"/>
        <v>0</v>
      </c>
      <c r="AO197" s="8" t="str">
        <f t="array" ref="AO197">IF(AN197&gt;5,"Perlu Sensus",IF(AND(AN197&gt;=0,AL197&gt;0),"Tetap Deteksi","Belum Deteksi"))</f>
        <v>Belum Deteksi</v>
      </c>
      <c r="AP197" s="143"/>
      <c r="AQ197" s="9">
        <f t="shared" si="32"/>
        <v>0</v>
      </c>
    </row>
    <row r="198" spans="1:43" outlineLevel="1" x14ac:dyDescent="0.15">
      <c r="A198" s="8" t="s">
        <v>949</v>
      </c>
      <c r="B198" s="8"/>
      <c r="C198" s="8" t="s">
        <v>345</v>
      </c>
      <c r="D198" s="8" t="s">
        <v>1815</v>
      </c>
      <c r="E198" s="9">
        <v>28.240000000000002</v>
      </c>
      <c r="F198" s="8" t="s">
        <v>469</v>
      </c>
      <c r="G198" s="10">
        <v>3598</v>
      </c>
      <c r="H198" s="11">
        <f t="array" ref="H198">IF(OR(N198&gt;0,AC198&gt;0),MAX(N198,AC198),MAX(AK198,V198))</f>
        <v>46246</v>
      </c>
      <c r="I198" s="143">
        <f t="array" ref="I198">IF(SUM(O198,AD198)&gt;0,SUM(O198,AD198),SUM(AL198,W198))</f>
        <v>391.2360857999999</v>
      </c>
      <c r="J198" s="9">
        <f t="shared" ref="J198:J215" si="33">IF(P198&gt;0,P198," ")</f>
        <v>10.873709999999997</v>
      </c>
      <c r="K198" s="143">
        <f t="shared" si="28"/>
        <v>13.26</v>
      </c>
      <c r="L198" s="9">
        <f t="shared" ref="L198:L215" si="34">IFERROR(K198/I198*100,0)</f>
        <v>3.3892579138976768</v>
      </c>
      <c r="M198" s="8" t="str">
        <f t="array" ref="M198">IF(L198&gt;5,"Perlu Sensus",IF(AND(L198&gt;=0,I198&gt;0),"Tetap Deteksi","Belum Deteksi"))</f>
        <v>Tetap Deteksi</v>
      </c>
      <c r="N198" s="11">
        <v>46246</v>
      </c>
      <c r="O198" s="143">
        <v>391.2360857999999</v>
      </c>
      <c r="P198" s="9">
        <f t="array" ref="P198">IFERROR(O198/$G198*100,0)</f>
        <v>10.873709999999997</v>
      </c>
      <c r="Q198" s="143">
        <v>13.26</v>
      </c>
      <c r="R198" s="9">
        <f t="shared" ref="R198:R215" si="35">IFERROR(Q198/O198*100,0)</f>
        <v>3.3892579138976768</v>
      </c>
      <c r="S198" s="8" t="str">
        <f t="array" ref="S198">IF(R198&gt;5,"Perlu Sensus",IF(AND(R198&gt;=0,O198&gt;0),"Tetap Deteksi","Belum Deteksi"))</f>
        <v>Tetap Deteksi</v>
      </c>
      <c r="T198" s="143">
        <v>4.3449096565090937</v>
      </c>
      <c r="U198" s="9">
        <f t="shared" si="29"/>
        <v>1.1105595353313635</v>
      </c>
      <c r="V198" s="11">
        <v>46246</v>
      </c>
      <c r="W198" s="143">
        <v>311.69933692666166</v>
      </c>
      <c r="X198" s="143">
        <v>8.24</v>
      </c>
      <c r="Y198" s="9">
        <f t="shared" ref="Y198:Y215" si="36">IFERROR(X198/W198*100,0)</f>
        <v>2.6435731565058647</v>
      </c>
      <c r="Z198" s="8" t="str">
        <f t="array" ref="Z198">IF(Y198&gt;5,"Perlu Sensus",IF(AND(Y198&gt;=0,W198&gt;0),"Tetap Deteksi","Belum Deteksi"))</f>
        <v>Tetap Deteksi</v>
      </c>
      <c r="AA198" s="143">
        <v>6.24</v>
      </c>
      <c r="AB198" s="9">
        <f t="shared" si="30"/>
        <v>2.0019291864801692</v>
      </c>
      <c r="AC198" s="11"/>
      <c r="AD198" s="143"/>
      <c r="AE198" s="9">
        <f t="array" ref="AE198">IFERROR(AD198/$G198*100,0)</f>
        <v>0</v>
      </c>
      <c r="AF198" s="143"/>
      <c r="AG198" s="9">
        <f t="shared" ref="AG198:AG215" si="37">IFERROR(AF198/AD198*100,0)</f>
        <v>0</v>
      </c>
      <c r="AH198" s="8" t="str">
        <f t="array" ref="AH198">IF(AG198&gt;5,"Perlu Sensus",IF(AND(AG198&gt;=0,AD198&gt;0),"Tetap Deteksi","Belum Deteksi"))</f>
        <v>Belum Deteksi</v>
      </c>
      <c r="AI198" s="143"/>
      <c r="AJ198" s="9">
        <f t="shared" si="31"/>
        <v>0</v>
      </c>
      <c r="AK198" s="11"/>
      <c r="AL198" s="143"/>
      <c r="AM198" s="143"/>
      <c r="AN198" s="9">
        <f t="shared" ref="AN198:AN215" si="38">IFERROR(AM198/AL198*100,0)</f>
        <v>0</v>
      </c>
      <c r="AO198" s="8" t="str">
        <f t="array" ref="AO198">IF(AN198&gt;5,"Perlu Sensus",IF(AND(AN198&gt;=0,AL198&gt;0),"Tetap Deteksi","Belum Deteksi"))</f>
        <v>Belum Deteksi</v>
      </c>
      <c r="AP198" s="143"/>
      <c r="AQ198" s="9">
        <f t="shared" si="32"/>
        <v>0</v>
      </c>
    </row>
    <row r="199" spans="1:43" outlineLevel="1" x14ac:dyDescent="0.15">
      <c r="A199" s="8" t="s">
        <v>949</v>
      </c>
      <c r="B199" s="8"/>
      <c r="C199" s="8" t="s">
        <v>345</v>
      </c>
      <c r="D199" s="8" t="s">
        <v>1816</v>
      </c>
      <c r="E199" s="9">
        <v>26.799999999999997</v>
      </c>
      <c r="F199" s="8" t="s">
        <v>469</v>
      </c>
      <c r="G199" s="10">
        <v>2285</v>
      </c>
      <c r="H199" s="11">
        <f t="array" ref="H199">IF(OR(N199&gt;0,AC199&gt;0),MAX(N199,AC199),MAX(AK199,V199))</f>
        <v>46247</v>
      </c>
      <c r="I199" s="143">
        <f t="array" ref="I199">IF(SUM(O199,AD199)&gt;0,SUM(O199,AD199),SUM(AL199,W199))</f>
        <v>220.85713200000001</v>
      </c>
      <c r="J199" s="9">
        <f t="shared" si="33"/>
        <v>9.665519999999999</v>
      </c>
      <c r="K199" s="143">
        <f t="shared" ref="K199:K215" si="39">IF(SUM(Q199,AF199)&gt;0,SUM(Q199,AF199),SUM(AM199,X199))</f>
        <v>9.18</v>
      </c>
      <c r="L199" s="9">
        <f t="shared" si="34"/>
        <v>4.1565331926885651</v>
      </c>
      <c r="M199" s="8" t="str">
        <f t="array" ref="M199">IF(L199&gt;5,"Perlu Sensus",IF(AND(L199&gt;=0,I199&gt;0),"Tetap Deteksi","Belum Deteksi"))</f>
        <v>Tetap Deteksi</v>
      </c>
      <c r="N199" s="11">
        <v>46247</v>
      </c>
      <c r="O199" s="143">
        <v>220.85713200000001</v>
      </c>
      <c r="P199" s="9">
        <f t="array" ref="P199">IFERROR(O199/$G199*100,0)</f>
        <v>9.665519999999999</v>
      </c>
      <c r="Q199" s="143">
        <v>9.18</v>
      </c>
      <c r="R199" s="9">
        <f t="shared" si="35"/>
        <v>4.1565331926885651</v>
      </c>
      <c r="S199" s="8" t="str">
        <f t="array" ref="S199">IF(R199&gt;5,"Perlu Sensus",IF(AND(R199&gt;=0,O199&gt;0),"Tetap Deteksi","Belum Deteksi"))</f>
        <v>Tetap Deteksi</v>
      </c>
      <c r="T199" s="143">
        <v>5.7064543775875602</v>
      </c>
      <c r="U199" s="9">
        <f t="shared" ref="U199:U215" si="40">IFERROR(T199/O199*100,0)</f>
        <v>2.5837763652511616</v>
      </c>
      <c r="V199" s="11">
        <v>46247</v>
      </c>
      <c r="W199" s="143">
        <v>317.93332366519491</v>
      </c>
      <c r="X199" s="143">
        <v>5.15</v>
      </c>
      <c r="Y199" s="9">
        <f t="shared" si="36"/>
        <v>1.619836492957025</v>
      </c>
      <c r="Z199" s="8" t="str">
        <f t="array" ref="Z199">IF(Y199&gt;5,"Perlu Sensus",IF(AND(Y199&gt;=0,W199&gt;0),"Tetap Deteksi","Belum Deteksi"))</f>
        <v>Tetap Deteksi</v>
      </c>
      <c r="AA199" s="143">
        <v>7.28</v>
      </c>
      <c r="AB199" s="9">
        <f t="shared" ref="AB199:AB215" si="41">IFERROR(AA199/W199*100,0)</f>
        <v>2.2897882851897364</v>
      </c>
      <c r="AC199" s="11"/>
      <c r="AD199" s="143"/>
      <c r="AE199" s="9">
        <f t="array" ref="AE199">IFERROR(AD199/$G199*100,0)</f>
        <v>0</v>
      </c>
      <c r="AF199" s="143"/>
      <c r="AG199" s="9">
        <f t="shared" si="37"/>
        <v>0</v>
      </c>
      <c r="AH199" s="8" t="str">
        <f t="array" ref="AH199">IF(AG199&gt;5,"Perlu Sensus",IF(AND(AG199&gt;=0,AD199&gt;0),"Tetap Deteksi","Belum Deteksi"))</f>
        <v>Belum Deteksi</v>
      </c>
      <c r="AI199" s="143"/>
      <c r="AJ199" s="9">
        <f t="shared" ref="AJ199:AJ215" si="42">IFERROR(AI199/AD199*100,0)</f>
        <v>0</v>
      </c>
      <c r="AK199" s="11"/>
      <c r="AL199" s="143"/>
      <c r="AM199" s="143"/>
      <c r="AN199" s="9">
        <f t="shared" si="38"/>
        <v>0</v>
      </c>
      <c r="AO199" s="8" t="str">
        <f t="array" ref="AO199">IF(AN199&gt;5,"Perlu Sensus",IF(AND(AN199&gt;=0,AL199&gt;0),"Tetap Deteksi","Belum Deteksi"))</f>
        <v>Belum Deteksi</v>
      </c>
      <c r="AP199" s="143"/>
      <c r="AQ199" s="9">
        <f t="shared" ref="AQ199:AQ215" si="43">IFERROR(AP199/AL199*100,0)</f>
        <v>0</v>
      </c>
    </row>
    <row r="200" spans="1:43" outlineLevel="1" x14ac:dyDescent="0.15">
      <c r="A200" s="8" t="s">
        <v>949</v>
      </c>
      <c r="B200" s="8"/>
      <c r="C200" s="8" t="s">
        <v>345</v>
      </c>
      <c r="D200" s="8" t="s">
        <v>1041</v>
      </c>
      <c r="E200" s="9">
        <v>33.68</v>
      </c>
      <c r="F200" s="8" t="s">
        <v>469</v>
      </c>
      <c r="G200" s="10">
        <v>4048</v>
      </c>
      <c r="H200" s="11">
        <f t="array" ref="H200">IF(OR(N200&gt;0,AC200&gt;0),MAX(N200,AC200),MAX(AK200,V200))</f>
        <v>46248</v>
      </c>
      <c r="I200" s="143">
        <f t="array" ref="I200">IF(SUM(O200,AD200)&gt;0,SUM(O200,AD200),SUM(AL200,W200))</f>
        <v>440.16778079999995</v>
      </c>
      <c r="J200" s="9">
        <f t="shared" si="33"/>
        <v>10.873709999999999</v>
      </c>
      <c r="K200" s="143">
        <f t="shared" si="39"/>
        <v>6.7320000000000011</v>
      </c>
      <c r="L200" s="9">
        <f t="shared" si="34"/>
        <v>1.5294168027847626</v>
      </c>
      <c r="M200" s="8" t="str">
        <f t="array" ref="M200">IF(L200&gt;5,"Perlu Sensus",IF(AND(L200&gt;=0,I200&gt;0),"Tetap Deteksi","Belum Deteksi"))</f>
        <v>Tetap Deteksi</v>
      </c>
      <c r="N200" s="11">
        <v>46248</v>
      </c>
      <c r="O200" s="143">
        <v>440.16778079999995</v>
      </c>
      <c r="P200" s="9">
        <f t="array" ref="P200">IFERROR(O200/$G200*100,0)</f>
        <v>10.873709999999999</v>
      </c>
      <c r="Q200" s="143">
        <v>6.7320000000000011</v>
      </c>
      <c r="R200" s="9">
        <f t="shared" si="35"/>
        <v>1.5294168027847626</v>
      </c>
      <c r="S200" s="8" t="str">
        <f t="array" ref="S200">IF(R200&gt;5,"Perlu Sensus",IF(AND(R200&gt;=0,O200&gt;0),"Tetap Deteksi","Belum Deteksi"))</f>
        <v>Tetap Deteksi</v>
      </c>
      <c r="T200" s="143">
        <v>4.3717439999999987</v>
      </c>
      <c r="U200" s="9">
        <f t="shared" si="40"/>
        <v>0.99319945500200035</v>
      </c>
      <c r="V200" s="11">
        <v>46248</v>
      </c>
      <c r="W200" s="143">
        <v>324.29199013849876</v>
      </c>
      <c r="X200" s="143">
        <v>10.197000000000001</v>
      </c>
      <c r="Y200" s="9">
        <f t="shared" si="36"/>
        <v>3.1443884863283431</v>
      </c>
      <c r="Z200" s="8" t="str">
        <f t="array" ref="Z200">IF(Y200&gt;5,"Perlu Sensus",IF(AND(Y200&gt;=0,W200&gt;0),"Tetap Deteksi","Belum Deteksi"))</f>
        <v>Tetap Deteksi</v>
      </c>
      <c r="AA200" s="143">
        <v>6.6718080000000004</v>
      </c>
      <c r="AB200" s="9">
        <f t="shared" si="41"/>
        <v>2.057345911365434</v>
      </c>
      <c r="AC200" s="11"/>
      <c r="AD200" s="143"/>
      <c r="AE200" s="9">
        <f t="array" ref="AE200">IFERROR(AD200/$G200*100,0)</f>
        <v>0</v>
      </c>
      <c r="AF200" s="143"/>
      <c r="AG200" s="9">
        <f t="shared" si="37"/>
        <v>0</v>
      </c>
      <c r="AH200" s="8" t="str">
        <f t="array" ref="AH200">IF(AG200&gt;5,"Perlu Sensus",IF(AND(AG200&gt;=0,AD200&gt;0),"Tetap Deteksi","Belum Deteksi"))</f>
        <v>Belum Deteksi</v>
      </c>
      <c r="AI200" s="143"/>
      <c r="AJ200" s="9">
        <f t="shared" si="42"/>
        <v>0</v>
      </c>
      <c r="AK200" s="11"/>
      <c r="AL200" s="143"/>
      <c r="AM200" s="143"/>
      <c r="AN200" s="9">
        <f t="shared" si="38"/>
        <v>0</v>
      </c>
      <c r="AO200" s="8" t="str">
        <f t="array" ref="AO200">IF(AN200&gt;5,"Perlu Sensus",IF(AND(AN200&gt;=0,AL200&gt;0),"Tetap Deteksi","Belum Deteksi"))</f>
        <v>Belum Deteksi</v>
      </c>
      <c r="AP200" s="143"/>
      <c r="AQ200" s="9">
        <f t="shared" si="43"/>
        <v>0</v>
      </c>
    </row>
    <row r="201" spans="1:43" outlineLevel="1" x14ac:dyDescent="0.15">
      <c r="A201" s="8" t="s">
        <v>949</v>
      </c>
      <c r="B201" s="8"/>
      <c r="C201" s="8" t="s">
        <v>345</v>
      </c>
      <c r="D201" s="8" t="s">
        <v>1296</v>
      </c>
      <c r="E201" s="9">
        <v>27.35</v>
      </c>
      <c r="F201" s="8" t="s">
        <v>469</v>
      </c>
      <c r="G201" s="10">
        <v>2878</v>
      </c>
      <c r="H201" s="11">
        <f t="array" ref="H201">IF(OR(N201&gt;0,AC201&gt;0),MAX(N201,AC201),MAX(AK201,V201))</f>
        <v>46249</v>
      </c>
      <c r="I201" s="143">
        <f t="array" ref="I201">IF(SUM(O201,AD201)&gt;0,SUM(O201,AD201),SUM(AL201,W201))</f>
        <v>347.71708199999995</v>
      </c>
      <c r="J201" s="9">
        <f t="shared" si="33"/>
        <v>12.081899999999997</v>
      </c>
      <c r="K201" s="143">
        <f t="shared" si="39"/>
        <v>8.16</v>
      </c>
      <c r="L201" s="9">
        <f t="shared" si="34"/>
        <v>2.3467354416600106</v>
      </c>
      <c r="M201" s="8" t="str">
        <f t="array" ref="M201">IF(L201&gt;5,"Perlu Sensus",IF(AND(L201&gt;=0,I201&gt;0),"Tetap Deteksi","Belum Deteksi"))</f>
        <v>Tetap Deteksi</v>
      </c>
      <c r="N201" s="11">
        <v>46249</v>
      </c>
      <c r="O201" s="143">
        <v>347.71708199999995</v>
      </c>
      <c r="P201" s="9">
        <f t="array" ref="P201">IFERROR(O201/$G201*100,0)</f>
        <v>12.081899999999997</v>
      </c>
      <c r="Q201" s="143">
        <v>8.16</v>
      </c>
      <c r="R201" s="9">
        <f t="shared" si="35"/>
        <v>2.3467354416600106</v>
      </c>
      <c r="S201" s="8" t="str">
        <f t="array" ref="S201">IF(R201&gt;5,"Perlu Sensus",IF(AND(R201&gt;=0,O201&gt;0),"Tetap Deteksi","Belum Deteksi"))</f>
        <v>Tetap Deteksi</v>
      </c>
      <c r="T201" s="143">
        <v>3.9706901030684154</v>
      </c>
      <c r="U201" s="9">
        <f t="shared" si="40"/>
        <v>1.1419312736175602</v>
      </c>
      <c r="V201" s="11">
        <v>46249</v>
      </c>
      <c r="W201" s="143">
        <v>330.77782994126881</v>
      </c>
      <c r="X201" s="143">
        <v>8.24</v>
      </c>
      <c r="Y201" s="9">
        <f t="shared" si="36"/>
        <v>2.4910980283845059</v>
      </c>
      <c r="Z201" s="8" t="str">
        <f t="array" ref="Z201">IF(Y201&gt;5,"Perlu Sensus",IF(AND(Y201&gt;=0,W201&gt;0),"Tetap Deteksi","Belum Deteksi"))</f>
        <v>Tetap Deteksi</v>
      </c>
      <c r="AA201" s="143">
        <v>1.04</v>
      </c>
      <c r="AB201" s="9">
        <f t="shared" si="41"/>
        <v>0.31441043076697645</v>
      </c>
      <c r="AC201" s="11"/>
      <c r="AD201" s="143"/>
      <c r="AE201" s="9">
        <f t="array" ref="AE201">IFERROR(AD201/$G201*100,0)</f>
        <v>0</v>
      </c>
      <c r="AF201" s="143"/>
      <c r="AG201" s="9">
        <f t="shared" si="37"/>
        <v>0</v>
      </c>
      <c r="AH201" s="8" t="str">
        <f t="array" ref="AH201">IF(AG201&gt;5,"Perlu Sensus",IF(AND(AG201&gt;=0,AD201&gt;0),"Tetap Deteksi","Belum Deteksi"))</f>
        <v>Belum Deteksi</v>
      </c>
      <c r="AI201" s="143"/>
      <c r="AJ201" s="9">
        <f t="shared" si="42"/>
        <v>0</v>
      </c>
      <c r="AK201" s="11"/>
      <c r="AL201" s="143"/>
      <c r="AM201" s="143"/>
      <c r="AN201" s="9">
        <f t="shared" si="38"/>
        <v>0</v>
      </c>
      <c r="AO201" s="8" t="str">
        <f t="array" ref="AO201">IF(AN201&gt;5,"Perlu Sensus",IF(AND(AN201&gt;=0,AL201&gt;0),"Tetap Deteksi","Belum Deteksi"))</f>
        <v>Belum Deteksi</v>
      </c>
      <c r="AP201" s="143"/>
      <c r="AQ201" s="9">
        <f t="shared" si="43"/>
        <v>0</v>
      </c>
    </row>
    <row r="202" spans="1:43" outlineLevel="1" x14ac:dyDescent="0.15">
      <c r="A202" s="8" t="s">
        <v>949</v>
      </c>
      <c r="B202" s="8"/>
      <c r="C202" s="8" t="s">
        <v>345</v>
      </c>
      <c r="D202" s="8" t="s">
        <v>1340</v>
      </c>
      <c r="E202" s="9">
        <v>19.78</v>
      </c>
      <c r="F202" s="8" t="s">
        <v>469</v>
      </c>
      <c r="G202" s="10">
        <v>2026</v>
      </c>
      <c r="H202" s="11">
        <f t="array" ref="H202">IF(OR(N202&gt;0,AC202&gt;0),MAX(N202,AC202),MAX(AK202,V202))</f>
        <v>46235</v>
      </c>
      <c r="I202" s="143">
        <f t="array" ref="I202">IF(SUM(O202,AD202)&gt;0,SUM(O202,AD202),SUM(AL202,W202))</f>
        <v>244.77929399999996</v>
      </c>
      <c r="J202" s="9">
        <f t="shared" si="33"/>
        <v>12.081899999999997</v>
      </c>
      <c r="K202" s="143">
        <f t="shared" si="39"/>
        <v>10.098000000000001</v>
      </c>
      <c r="L202" s="9">
        <f t="shared" si="34"/>
        <v>4.1253489357641513</v>
      </c>
      <c r="M202" s="8" t="str">
        <f t="array" ref="M202">IF(L202&gt;5,"Perlu Sensus",IF(AND(L202&gt;=0,I202&gt;0),"Tetap Deteksi","Belum Deteksi"))</f>
        <v>Tetap Deteksi</v>
      </c>
      <c r="N202" s="11">
        <v>46235</v>
      </c>
      <c r="O202" s="143">
        <v>244.77929399999996</v>
      </c>
      <c r="P202" s="9">
        <f t="array" ref="P202">IFERROR(O202/$G202*100,0)</f>
        <v>12.081899999999997</v>
      </c>
      <c r="Q202" s="143">
        <v>10.098000000000001</v>
      </c>
      <c r="R202" s="9">
        <f t="shared" si="35"/>
        <v>4.1253489357641513</v>
      </c>
      <c r="S202" s="8" t="str">
        <f t="array" ref="S202">IF(R202&gt;5,"Perlu Sensus",IF(AND(R202&gt;=0,O202&gt;0),"Tetap Deteksi","Belum Deteksi"))</f>
        <v>Tetap Deteksi</v>
      </c>
      <c r="T202" s="143">
        <v>6.5576159999999994</v>
      </c>
      <c r="U202" s="9">
        <f t="shared" si="40"/>
        <v>2.6789913038968076</v>
      </c>
      <c r="V202" s="11">
        <v>46235</v>
      </c>
      <c r="W202" s="143">
        <v>337.39338654009418</v>
      </c>
      <c r="X202" s="143">
        <v>10.197000000000001</v>
      </c>
      <c r="Y202" s="9">
        <f t="shared" si="36"/>
        <v>3.0222880491429667</v>
      </c>
      <c r="Z202" s="8" t="str">
        <f t="array" ref="Z202">IF(Y202&gt;5,"Perlu Sensus",IF(AND(Y202&gt;=0,W202&gt;0),"Tetap Deteksi","Belum Deteksi"))</f>
        <v>Tetap Deteksi</v>
      </c>
      <c r="AA202" s="143">
        <v>6.6718080000000004</v>
      </c>
      <c r="AB202" s="9">
        <f t="shared" si="41"/>
        <v>1.9774566622120662</v>
      </c>
      <c r="AC202" s="11"/>
      <c r="AD202" s="143"/>
      <c r="AE202" s="9">
        <f t="array" ref="AE202">IFERROR(AD202/$G202*100,0)</f>
        <v>0</v>
      </c>
      <c r="AF202" s="143"/>
      <c r="AG202" s="9">
        <f t="shared" si="37"/>
        <v>0</v>
      </c>
      <c r="AH202" s="8" t="str">
        <f t="array" ref="AH202">IF(AG202&gt;5,"Perlu Sensus",IF(AND(AG202&gt;=0,AD202&gt;0),"Tetap Deteksi","Belum Deteksi"))</f>
        <v>Belum Deteksi</v>
      </c>
      <c r="AI202" s="143"/>
      <c r="AJ202" s="9">
        <f t="shared" si="42"/>
        <v>0</v>
      </c>
      <c r="AK202" s="11"/>
      <c r="AL202" s="143"/>
      <c r="AM202" s="143"/>
      <c r="AN202" s="9">
        <f t="shared" si="38"/>
        <v>0</v>
      </c>
      <c r="AO202" s="8" t="str">
        <f t="array" ref="AO202">IF(AN202&gt;5,"Perlu Sensus",IF(AND(AN202&gt;=0,AL202&gt;0),"Tetap Deteksi","Belum Deteksi"))</f>
        <v>Belum Deteksi</v>
      </c>
      <c r="AP202" s="143"/>
      <c r="AQ202" s="9">
        <f t="shared" si="43"/>
        <v>0</v>
      </c>
    </row>
    <row r="203" spans="1:43" outlineLevel="1" x14ac:dyDescent="0.15">
      <c r="A203" s="8" t="s">
        <v>949</v>
      </c>
      <c r="B203" s="8"/>
      <c r="C203" s="8" t="s">
        <v>380</v>
      </c>
      <c r="D203" s="8" t="s">
        <v>1817</v>
      </c>
      <c r="E203" s="9">
        <v>47.690000000000005</v>
      </c>
      <c r="F203" s="8" t="s">
        <v>469</v>
      </c>
      <c r="G203" s="10">
        <v>1032</v>
      </c>
      <c r="H203" s="11">
        <f t="array" ref="H203">IF(OR(N203&gt;0,AC203&gt;0),MAX(N203,AC203),MAX(AK203,V203))</f>
        <v>46235</v>
      </c>
      <c r="I203" s="143">
        <f t="array" ref="I203">IF(SUM(O203,AD203)&gt;0,SUM(O203,AD203),SUM(AL203,W203))</f>
        <v>137.15372880000001</v>
      </c>
      <c r="J203" s="9">
        <f t="shared" si="33"/>
        <v>13.290090000000001</v>
      </c>
      <c r="K203" s="143">
        <f t="shared" si="39"/>
        <v>4.4681993522141186</v>
      </c>
      <c r="L203" s="9">
        <f t="shared" si="34"/>
        <v>3.2578037734065006</v>
      </c>
      <c r="M203" s="8" t="str">
        <f t="array" ref="M203">IF(L203&gt;5,"Perlu Sensus",IF(AND(L203&gt;=0,I203&gt;0),"Tetap Deteksi","Belum Deteksi"))</f>
        <v>Tetap Deteksi</v>
      </c>
      <c r="N203" s="11">
        <v>46235</v>
      </c>
      <c r="O203" s="143">
        <v>137.15372880000001</v>
      </c>
      <c r="P203" s="9">
        <f t="array" ref="P203">IFERROR(O203/$G203*100,0)</f>
        <v>13.290090000000001</v>
      </c>
      <c r="Q203" s="143">
        <v>4.4681993522141186</v>
      </c>
      <c r="R203" s="9">
        <f t="shared" si="35"/>
        <v>3.2578037734065006</v>
      </c>
      <c r="S203" s="8" t="str">
        <f t="array" ref="S203">IF(R203&gt;5,"Perlu Sensus",IF(AND(R203&gt;=0,O203&gt;0),"Tetap Deteksi","Belum Deteksi"))</f>
        <v>Tetap Deteksi</v>
      </c>
      <c r="T203" s="143">
        <v>2.9016375087412292</v>
      </c>
      <c r="U203" s="9">
        <f t="shared" si="40"/>
        <v>2.1156096404585893</v>
      </c>
      <c r="V203" s="11">
        <v>46235</v>
      </c>
      <c r="W203" s="143">
        <v>250.68825600000002</v>
      </c>
      <c r="X203" s="143">
        <v>8.4424691377348591</v>
      </c>
      <c r="Y203" s="9">
        <f t="shared" si="36"/>
        <v>3.3677162514285701</v>
      </c>
      <c r="Z203" s="8" t="str">
        <f t="array" ref="Z203">IF(Y203&gt;5,"Perlu Sensus",IF(AND(Y203&gt;=0,W203&gt;0),"Tetap Deteksi","Belum Deteksi"))</f>
        <v>Tetap Deteksi</v>
      </c>
      <c r="AA203" s="143">
        <v>5.523833787672114</v>
      </c>
      <c r="AB203" s="9">
        <f t="shared" si="41"/>
        <v>2.2034673166628571</v>
      </c>
      <c r="AC203" s="11"/>
      <c r="AD203" s="143"/>
      <c r="AE203" s="9">
        <f t="array" ref="AE203">IFERROR(AD203/$G203*100,0)</f>
        <v>0</v>
      </c>
      <c r="AF203" s="143"/>
      <c r="AG203" s="9">
        <f t="shared" si="37"/>
        <v>0</v>
      </c>
      <c r="AH203" s="8" t="str">
        <f t="array" ref="AH203">IF(AG203&gt;5,"Perlu Sensus",IF(AND(AG203&gt;=0,AD203&gt;0),"Tetap Deteksi","Belum Deteksi"))</f>
        <v>Belum Deteksi</v>
      </c>
      <c r="AI203" s="143"/>
      <c r="AJ203" s="9">
        <f t="shared" si="42"/>
        <v>0</v>
      </c>
      <c r="AK203" s="11"/>
      <c r="AL203" s="143"/>
      <c r="AM203" s="143"/>
      <c r="AN203" s="9">
        <f t="shared" si="38"/>
        <v>0</v>
      </c>
      <c r="AO203" s="8" t="str">
        <f t="array" ref="AO203">IF(AN203&gt;5,"Perlu Sensus",IF(AND(AN203&gt;=0,AL203&gt;0),"Tetap Deteksi","Belum Deteksi"))</f>
        <v>Belum Deteksi</v>
      </c>
      <c r="AP203" s="143"/>
      <c r="AQ203" s="9">
        <f t="shared" si="43"/>
        <v>0</v>
      </c>
    </row>
    <row r="204" spans="1:43" outlineLevel="1" x14ac:dyDescent="0.15">
      <c r="A204" s="8" t="s">
        <v>949</v>
      </c>
      <c r="B204" s="8"/>
      <c r="C204" s="8" t="s">
        <v>380</v>
      </c>
      <c r="D204" s="8" t="s">
        <v>1818</v>
      </c>
      <c r="E204" s="9">
        <v>40.35</v>
      </c>
      <c r="F204" s="8" t="s">
        <v>469</v>
      </c>
      <c r="G204" s="10">
        <v>3490</v>
      </c>
      <c r="H204" s="11">
        <f t="array" ref="H204">IF(OR(N204&gt;0,AC204&gt;0),MAX(N204,AC204),MAX(AK204,V204))</f>
        <v>46236</v>
      </c>
      <c r="I204" s="143">
        <f t="array" ref="I204">IF(SUM(O204,AD204)&gt;0,SUM(O204,AD204),SUM(AL204,W204))</f>
        <v>505.98997200000002</v>
      </c>
      <c r="J204" s="9">
        <f t="shared" si="33"/>
        <v>14.498279999999999</v>
      </c>
      <c r="K204" s="143">
        <f t="shared" si="39"/>
        <v>16.001931830734083</v>
      </c>
      <c r="L204" s="9">
        <f t="shared" si="34"/>
        <v>3.1624997956943868</v>
      </c>
      <c r="M204" s="8" t="str">
        <f t="array" ref="M204">IF(L204&gt;5,"Perlu Sensus",IF(AND(L204&gt;=0,I204&gt;0),"Tetap Deteksi","Belum Deteksi"))</f>
        <v>Tetap Deteksi</v>
      </c>
      <c r="N204" s="11">
        <v>46236</v>
      </c>
      <c r="O204" s="143">
        <v>505.98997200000002</v>
      </c>
      <c r="P204" s="9">
        <f t="array" ref="P204">IFERROR(O204/$G204*100,0)</f>
        <v>14.498279999999999</v>
      </c>
      <c r="Q204" s="143">
        <v>16.001931830734083</v>
      </c>
      <c r="R204" s="9">
        <f t="shared" si="35"/>
        <v>3.1624997956943868</v>
      </c>
      <c r="S204" s="8" t="str">
        <f t="array" ref="S204">IF(R204&gt;5,"Perlu Sensus",IF(AND(R204&gt;=0,O204&gt;0),"Tetap Deteksi","Belum Deteksi"))</f>
        <v>Tetap Deteksi</v>
      </c>
      <c r="T204" s="143">
        <v>10.391614597358993</v>
      </c>
      <c r="U204" s="9">
        <f t="shared" si="40"/>
        <v>2.0537194751675814</v>
      </c>
      <c r="V204" s="11">
        <v>46236</v>
      </c>
      <c r="W204" s="143">
        <v>255.70202112000004</v>
      </c>
      <c r="X204" s="143">
        <v>6.835633875976689</v>
      </c>
      <c r="Y204" s="9">
        <f t="shared" si="36"/>
        <v>2.6732811285714284</v>
      </c>
      <c r="Z204" s="8" t="str">
        <f t="array" ref="Z204">IF(Y204&gt;5,"Perlu Sensus",IF(AND(Y204&gt;=0,W204&gt;0),"Tetap Deteksi","Belum Deteksi"))</f>
        <v>Tetap Deteksi</v>
      </c>
      <c r="AA204" s="143">
        <v>6.24</v>
      </c>
      <c r="AB204" s="9">
        <f t="shared" si="41"/>
        <v>2.4403405075439708</v>
      </c>
      <c r="AC204" s="11"/>
      <c r="AD204" s="143"/>
      <c r="AE204" s="9">
        <f t="array" ref="AE204">IFERROR(AD204/$G204*100,0)</f>
        <v>0</v>
      </c>
      <c r="AF204" s="143"/>
      <c r="AG204" s="9">
        <f t="shared" si="37"/>
        <v>0</v>
      </c>
      <c r="AH204" s="8" t="str">
        <f t="array" ref="AH204">IF(AG204&gt;5,"Perlu Sensus",IF(AND(AG204&gt;=0,AD204&gt;0),"Tetap Deteksi","Belum Deteksi"))</f>
        <v>Belum Deteksi</v>
      </c>
      <c r="AI204" s="143"/>
      <c r="AJ204" s="9">
        <f t="shared" si="42"/>
        <v>0</v>
      </c>
      <c r="AK204" s="11"/>
      <c r="AL204" s="143"/>
      <c r="AM204" s="143"/>
      <c r="AN204" s="9">
        <f t="shared" si="38"/>
        <v>0</v>
      </c>
      <c r="AO204" s="8" t="str">
        <f t="array" ref="AO204">IF(AN204&gt;5,"Perlu Sensus",IF(AND(AN204&gt;=0,AL204&gt;0),"Tetap Deteksi","Belum Deteksi"))</f>
        <v>Belum Deteksi</v>
      </c>
      <c r="AP204" s="143"/>
      <c r="AQ204" s="9">
        <f t="shared" si="43"/>
        <v>0</v>
      </c>
    </row>
    <row r="205" spans="1:43" outlineLevel="1" x14ac:dyDescent="0.15">
      <c r="A205" s="8" t="s">
        <v>949</v>
      </c>
      <c r="B205" s="8"/>
      <c r="C205" s="8" t="s">
        <v>380</v>
      </c>
      <c r="D205" s="8" t="s">
        <v>1819</v>
      </c>
      <c r="E205" s="9">
        <v>34.070000000000007</v>
      </c>
      <c r="F205" s="8" t="s">
        <v>469</v>
      </c>
      <c r="G205" s="10">
        <v>3606</v>
      </c>
      <c r="H205" s="11">
        <f t="array" ref="H205">IF(OR(N205&gt;0,AC205&gt;0),MAX(N205,AC205),MAX(AK205,V205))</f>
        <v>46237</v>
      </c>
      <c r="I205" s="143">
        <f t="array" ref="I205">IF(SUM(O205,AD205)&gt;0,SUM(O205,AD205),SUM(AL205,W205))</f>
        <v>392.10598259999995</v>
      </c>
      <c r="J205" s="9">
        <f t="shared" si="33"/>
        <v>10.873709999999999</v>
      </c>
      <c r="K205" s="143">
        <f t="shared" si="39"/>
        <v>7.2840506760347052</v>
      </c>
      <c r="L205" s="9">
        <f t="shared" si="34"/>
        <v>1.8576739451245259</v>
      </c>
      <c r="M205" s="8" t="str">
        <f t="array" ref="M205">IF(L205&gt;5,"Perlu Sensus",IF(AND(L205&gt;=0,I205&gt;0),"Tetap Deteksi","Belum Deteksi"))</f>
        <v>Tetap Deteksi</v>
      </c>
      <c r="N205" s="11">
        <v>46237</v>
      </c>
      <c r="O205" s="143">
        <v>392.10598259999995</v>
      </c>
      <c r="P205" s="9">
        <f t="array" ref="P205">IFERROR(O205/$G205*100,0)</f>
        <v>10.873709999999999</v>
      </c>
      <c r="Q205" s="143">
        <v>7.2840506760347052</v>
      </c>
      <c r="R205" s="9">
        <f t="shared" si="35"/>
        <v>1.8576739451245259</v>
      </c>
      <c r="S205" s="8" t="str">
        <f t="array" ref="S205">IF(R205&gt;5,"Perlu Sensus",IF(AND(R205&gt;=0,O205&gt;0),"Tetap Deteksi","Belum Deteksi"))</f>
        <v>Tetap Deteksi</v>
      </c>
      <c r="T205" s="143">
        <v>4.7302443313503648</v>
      </c>
      <c r="U205" s="9">
        <f t="shared" si="40"/>
        <v>1.2063688240574082</v>
      </c>
      <c r="V205" s="11">
        <v>46237</v>
      </c>
      <c r="W205" s="143">
        <v>260.81606154240006</v>
      </c>
      <c r="X205" s="143">
        <v>3.969703228515431</v>
      </c>
      <c r="Y205" s="9">
        <f t="shared" si="36"/>
        <v>1.5220317357142856</v>
      </c>
      <c r="Z205" s="8" t="str">
        <f t="array" ref="Z205">IF(Y205&gt;5,"Perlu Sensus",IF(AND(Y205&gt;=0,W205&gt;0),"Tetap Deteksi","Belum Deteksi"))</f>
        <v>Tetap Deteksi</v>
      </c>
      <c r="AA205" s="143">
        <v>2.5973421356904072</v>
      </c>
      <c r="AB205" s="9">
        <f t="shared" si="41"/>
        <v>0.99585206537142856</v>
      </c>
      <c r="AC205" s="11"/>
      <c r="AD205" s="143"/>
      <c r="AE205" s="9">
        <f t="array" ref="AE205">IFERROR(AD205/$G205*100,0)</f>
        <v>0</v>
      </c>
      <c r="AF205" s="143"/>
      <c r="AG205" s="9">
        <f t="shared" si="37"/>
        <v>0</v>
      </c>
      <c r="AH205" s="8" t="str">
        <f t="array" ref="AH205">IF(AG205&gt;5,"Perlu Sensus",IF(AND(AG205&gt;=0,AD205&gt;0),"Tetap Deteksi","Belum Deteksi"))</f>
        <v>Belum Deteksi</v>
      </c>
      <c r="AI205" s="143"/>
      <c r="AJ205" s="9">
        <f t="shared" si="42"/>
        <v>0</v>
      </c>
      <c r="AK205" s="11"/>
      <c r="AL205" s="143"/>
      <c r="AM205" s="143"/>
      <c r="AN205" s="9">
        <f t="shared" si="38"/>
        <v>0</v>
      </c>
      <c r="AO205" s="8" t="str">
        <f t="array" ref="AO205">IF(AN205&gt;5,"Perlu Sensus",IF(AND(AN205&gt;=0,AL205&gt;0),"Tetap Deteksi","Belum Deteksi"))</f>
        <v>Belum Deteksi</v>
      </c>
      <c r="AP205" s="143"/>
      <c r="AQ205" s="9">
        <f t="shared" si="43"/>
        <v>0</v>
      </c>
    </row>
    <row r="206" spans="1:43" outlineLevel="1" x14ac:dyDescent="0.15">
      <c r="A206" s="8" t="s">
        <v>949</v>
      </c>
      <c r="B206" s="8"/>
      <c r="C206" s="8" t="s">
        <v>380</v>
      </c>
      <c r="D206" s="8" t="s">
        <v>1820</v>
      </c>
      <c r="E206" s="9">
        <v>33.839999999999996</v>
      </c>
      <c r="F206" s="8" t="s">
        <v>469</v>
      </c>
      <c r="G206" s="10">
        <v>3005</v>
      </c>
      <c r="H206" s="11">
        <f t="array" ref="H206">IF(OR(N206&gt;0,AC206&gt;0),MAX(N206,AC206),MAX(AK206,V206))</f>
        <v>46238</v>
      </c>
      <c r="I206" s="143">
        <f t="array" ref="I206">IF(SUM(O206,AD206)&gt;0,SUM(O206,AD206),SUM(AL206,W206))</f>
        <v>290.44887599999998</v>
      </c>
      <c r="J206" s="9">
        <f t="shared" si="33"/>
        <v>9.665519999999999</v>
      </c>
      <c r="K206" s="143">
        <f t="shared" si="39"/>
        <v>2.7018656214105601</v>
      </c>
      <c r="L206" s="9">
        <f t="shared" si="34"/>
        <v>0.93023793330519211</v>
      </c>
      <c r="M206" s="8" t="str">
        <f t="array" ref="M206">IF(L206&gt;5,"Perlu Sensus",IF(AND(L206&gt;=0,I206&gt;0),"Tetap Deteksi","Belum Deteksi"))</f>
        <v>Tetap Deteksi</v>
      </c>
      <c r="N206" s="11">
        <v>46238</v>
      </c>
      <c r="O206" s="143">
        <v>290.44887599999998</v>
      </c>
      <c r="P206" s="9">
        <f t="array" ref="P206">IFERROR(O206/$G206*100,0)</f>
        <v>9.665519999999999</v>
      </c>
      <c r="Q206" s="143">
        <v>2.7018656214105601</v>
      </c>
      <c r="R206" s="9">
        <f t="shared" si="35"/>
        <v>0.93023793330519211</v>
      </c>
      <c r="S206" s="8" t="str">
        <f t="array" ref="S206">IF(R206&gt;5,"Perlu Sensus",IF(AND(R206&gt;=0,O206&gt;0),"Tetap Deteksi","Belum Deteksi"))</f>
        <v>Tetap Deteksi</v>
      </c>
      <c r="T206" s="143">
        <v>1.7545847919203634</v>
      </c>
      <c r="U206" s="9">
        <f t="shared" si="40"/>
        <v>0.60409419243900375</v>
      </c>
      <c r="V206" s="11">
        <v>46238</v>
      </c>
      <c r="W206" s="143">
        <v>266.03238277324806</v>
      </c>
      <c r="X206" s="143">
        <v>2.5274052322257088</v>
      </c>
      <c r="Y206" s="9">
        <f t="shared" si="36"/>
        <v>0.95003668571428601</v>
      </c>
      <c r="Z206" s="8" t="str">
        <f t="array" ref="Z206">IF(Y206&gt;5,"Perlu Sensus",IF(AND(Y206&gt;=0,W206&gt;0),"Tetap Deteksi","Belum Deteksi"))</f>
        <v>Tetap Deteksi</v>
      </c>
      <c r="AA206" s="143">
        <v>1.653659159321893</v>
      </c>
      <c r="AB206" s="9">
        <f t="shared" si="41"/>
        <v>0.62160070217142871</v>
      </c>
      <c r="AC206" s="11"/>
      <c r="AD206" s="143"/>
      <c r="AE206" s="9">
        <f t="array" ref="AE206">IFERROR(AD206/$G206*100,0)</f>
        <v>0</v>
      </c>
      <c r="AF206" s="143"/>
      <c r="AG206" s="9">
        <f t="shared" si="37"/>
        <v>0</v>
      </c>
      <c r="AH206" s="8" t="str">
        <f t="array" ref="AH206">IF(AG206&gt;5,"Perlu Sensus",IF(AND(AG206&gt;=0,AD206&gt;0),"Tetap Deteksi","Belum Deteksi"))</f>
        <v>Belum Deteksi</v>
      </c>
      <c r="AI206" s="143"/>
      <c r="AJ206" s="9">
        <f t="shared" si="42"/>
        <v>0</v>
      </c>
      <c r="AK206" s="11"/>
      <c r="AL206" s="143"/>
      <c r="AM206" s="143"/>
      <c r="AN206" s="9">
        <f t="shared" si="38"/>
        <v>0</v>
      </c>
      <c r="AO206" s="8" t="str">
        <f t="array" ref="AO206">IF(AN206&gt;5,"Perlu Sensus",IF(AND(AN206&gt;=0,AL206&gt;0),"Tetap Deteksi","Belum Deteksi"))</f>
        <v>Belum Deteksi</v>
      </c>
      <c r="AP206" s="143"/>
      <c r="AQ206" s="9">
        <f t="shared" si="43"/>
        <v>0</v>
      </c>
    </row>
    <row r="207" spans="1:43" outlineLevel="1" x14ac:dyDescent="0.15">
      <c r="A207" s="8" t="s">
        <v>949</v>
      </c>
      <c r="B207" s="8"/>
      <c r="C207" s="8" t="s">
        <v>380</v>
      </c>
      <c r="D207" s="8" t="s">
        <v>1364</v>
      </c>
      <c r="E207" s="9">
        <v>34.28</v>
      </c>
      <c r="F207" s="8" t="s">
        <v>469</v>
      </c>
      <c r="G207" s="10">
        <v>4249</v>
      </c>
      <c r="H207" s="11">
        <f t="array" ref="H207">IF(OR(N207&gt;0,AC207&gt;0),MAX(N207,AC207),MAX(AK207,V207))</f>
        <v>46239</v>
      </c>
      <c r="I207" s="143">
        <f t="array" ref="I207">IF(SUM(O207,AD207)&gt;0,SUM(O207,AD207),SUM(AL207,W207))</f>
        <v>513.35993099999996</v>
      </c>
      <c r="J207" s="9">
        <f t="shared" si="33"/>
        <v>12.081899999999999</v>
      </c>
      <c r="K207" s="143">
        <f t="shared" si="39"/>
        <v>17.952000000000002</v>
      </c>
      <c r="L207" s="9">
        <f t="shared" si="34"/>
        <v>3.4969616668426746</v>
      </c>
      <c r="M207" s="8" t="str">
        <f t="array" ref="M207">IF(L207&gt;5,"Perlu Sensus",IF(AND(L207&gt;=0,I207&gt;0),"Tetap Deteksi","Belum Deteksi"))</f>
        <v>Tetap Deteksi</v>
      </c>
      <c r="N207" s="11">
        <v>46239</v>
      </c>
      <c r="O207" s="143">
        <v>513.35993099999996</v>
      </c>
      <c r="P207" s="9">
        <f t="array" ref="P207">IFERROR(O207/$G207*100,0)</f>
        <v>12.081899999999999</v>
      </c>
      <c r="Q207" s="143">
        <v>17.952000000000002</v>
      </c>
      <c r="R207" s="9">
        <f t="shared" si="35"/>
        <v>3.4969616668426746</v>
      </c>
      <c r="S207" s="8" t="str">
        <f t="array" ref="S207">IF(R207&gt;5,"Perlu Sensus",IF(AND(R207&gt;=0,O207&gt;0),"Tetap Deteksi","Belum Deteksi"))</f>
        <v>Tetap Deteksi</v>
      </c>
      <c r="T207" s="143">
        <v>11.657983999999999</v>
      </c>
      <c r="U207" s="9">
        <f t="shared" si="40"/>
        <v>2.2709181796270737</v>
      </c>
      <c r="V207" s="11">
        <v>46239</v>
      </c>
      <c r="W207" s="143">
        <v>271.353030428713</v>
      </c>
      <c r="X207" s="143">
        <v>2.2660000000000005</v>
      </c>
      <c r="Y207" s="9">
        <f t="shared" si="36"/>
        <v>0.8350745139716802</v>
      </c>
      <c r="Z207" s="8" t="str">
        <f t="array" ref="Z207">IF(Y207&gt;5,"Perlu Sensus",IF(AND(Y207&gt;=0,W207&gt;0),"Tetap Deteksi","Belum Deteksi"))</f>
        <v>Tetap Deteksi</v>
      </c>
      <c r="AA207" s="143">
        <v>1.4826240000000002</v>
      </c>
      <c r="AB207" s="9">
        <f t="shared" si="41"/>
        <v>0.5463819577240725</v>
      </c>
      <c r="AC207" s="11"/>
      <c r="AD207" s="143"/>
      <c r="AE207" s="9">
        <f t="array" ref="AE207">IFERROR(AD207/$G207*100,0)</f>
        <v>0</v>
      </c>
      <c r="AF207" s="143"/>
      <c r="AG207" s="9">
        <f t="shared" si="37"/>
        <v>0</v>
      </c>
      <c r="AH207" s="8" t="str">
        <f t="array" ref="AH207">IF(AG207&gt;5,"Perlu Sensus",IF(AND(AG207&gt;=0,AD207&gt;0),"Tetap Deteksi","Belum Deteksi"))</f>
        <v>Belum Deteksi</v>
      </c>
      <c r="AI207" s="143"/>
      <c r="AJ207" s="9">
        <f t="shared" si="42"/>
        <v>0</v>
      </c>
      <c r="AK207" s="11"/>
      <c r="AL207" s="143"/>
      <c r="AM207" s="143"/>
      <c r="AN207" s="9">
        <f t="shared" si="38"/>
        <v>0</v>
      </c>
      <c r="AO207" s="8" t="str">
        <f t="array" ref="AO207">IF(AN207&gt;5,"Perlu Sensus",IF(AND(AN207&gt;=0,AL207&gt;0),"Tetap Deteksi","Belum Deteksi"))</f>
        <v>Belum Deteksi</v>
      </c>
      <c r="AP207" s="143"/>
      <c r="AQ207" s="9">
        <f t="shared" si="43"/>
        <v>0</v>
      </c>
    </row>
    <row r="208" spans="1:43" outlineLevel="1" x14ac:dyDescent="0.15">
      <c r="A208" s="8" t="s">
        <v>949</v>
      </c>
      <c r="B208" s="8"/>
      <c r="C208" s="8" t="s">
        <v>380</v>
      </c>
      <c r="D208" s="8" t="s">
        <v>1365</v>
      </c>
      <c r="E208" s="9">
        <v>20.85</v>
      </c>
      <c r="F208" s="8" t="s">
        <v>469</v>
      </c>
      <c r="G208" s="10">
        <v>1503</v>
      </c>
      <c r="H208" s="11">
        <f t="array" ref="H208">IF(OR(N208&gt;0,AC208&gt;0),MAX(N208,AC208),MAX(AK208,V208))</f>
        <v>46240</v>
      </c>
      <c r="I208" s="143">
        <f t="array" ref="I208">IF(SUM(O208,AD208)&gt;0,SUM(O208,AD208),SUM(AL208,W208))</f>
        <v>163.43186129999995</v>
      </c>
      <c r="J208" s="9">
        <f t="shared" si="33"/>
        <v>10.873709999999996</v>
      </c>
      <c r="K208" s="143">
        <f t="shared" si="39"/>
        <v>4.4880000000000004</v>
      </c>
      <c r="L208" s="9">
        <f t="shared" si="34"/>
        <v>2.7460985662775426</v>
      </c>
      <c r="M208" s="8" t="str">
        <f t="array" ref="M208">IF(L208&gt;5,"Perlu Sensus",IF(AND(L208&gt;=0,I208&gt;0),"Tetap Deteksi","Belum Deteksi"))</f>
        <v>Tetap Deteksi</v>
      </c>
      <c r="N208" s="11">
        <v>46240</v>
      </c>
      <c r="O208" s="143">
        <v>163.43186129999995</v>
      </c>
      <c r="P208" s="9">
        <f t="array" ref="P208">IFERROR(O208/$G208*100,0)</f>
        <v>10.873709999999996</v>
      </c>
      <c r="Q208" s="143">
        <v>4.4880000000000004</v>
      </c>
      <c r="R208" s="9">
        <f t="shared" si="35"/>
        <v>2.7460985662775426</v>
      </c>
      <c r="S208" s="8" t="str">
        <f t="array" ref="S208">IF(R208&gt;5,"Perlu Sensus",IF(AND(R208&gt;=0,O208&gt;0),"Tetap Deteksi","Belum Deteksi"))</f>
        <v>Tetap Deteksi</v>
      </c>
      <c r="T208" s="143">
        <v>2.9144959999999998</v>
      </c>
      <c r="U208" s="9">
        <f t="shared" si="40"/>
        <v>1.783309555931736</v>
      </c>
      <c r="V208" s="11">
        <v>46240</v>
      </c>
      <c r="W208" s="143">
        <v>276.78009103728726</v>
      </c>
      <c r="X208" s="143">
        <v>13.596000000000002</v>
      </c>
      <c r="Y208" s="9">
        <f t="shared" si="36"/>
        <v>4.9122030233628236</v>
      </c>
      <c r="Z208" s="8" t="str">
        <f t="array" ref="Z208">IF(Y208&gt;5,"Perlu Sensus",IF(AND(Y208&gt;=0,W208&gt;0),"Tetap Deteksi","Belum Deteksi"))</f>
        <v>Tetap Deteksi</v>
      </c>
      <c r="AA208" s="143">
        <v>8.8957440000000023</v>
      </c>
      <c r="AB208" s="9">
        <f t="shared" si="41"/>
        <v>3.2140115160239562</v>
      </c>
      <c r="AC208" s="11"/>
      <c r="AD208" s="143"/>
      <c r="AE208" s="9">
        <f t="array" ref="AE208">IFERROR(AD208/$G208*100,0)</f>
        <v>0</v>
      </c>
      <c r="AF208" s="143"/>
      <c r="AG208" s="9">
        <f t="shared" si="37"/>
        <v>0</v>
      </c>
      <c r="AH208" s="8" t="str">
        <f t="array" ref="AH208">IF(AG208&gt;5,"Perlu Sensus",IF(AND(AG208&gt;=0,AD208&gt;0),"Tetap Deteksi","Belum Deteksi"))</f>
        <v>Belum Deteksi</v>
      </c>
      <c r="AI208" s="143"/>
      <c r="AJ208" s="9">
        <f t="shared" si="42"/>
        <v>0</v>
      </c>
      <c r="AK208" s="11"/>
      <c r="AL208" s="143"/>
      <c r="AM208" s="143"/>
      <c r="AN208" s="9">
        <f t="shared" si="38"/>
        <v>0</v>
      </c>
      <c r="AO208" s="8" t="str">
        <f t="array" ref="AO208">IF(AN208&gt;5,"Perlu Sensus",IF(AND(AN208&gt;=0,AL208&gt;0),"Tetap Deteksi","Belum Deteksi"))</f>
        <v>Belum Deteksi</v>
      </c>
      <c r="AP208" s="143"/>
      <c r="AQ208" s="9">
        <f t="shared" si="43"/>
        <v>0</v>
      </c>
    </row>
    <row r="209" spans="1:43" outlineLevel="1" x14ac:dyDescent="0.15">
      <c r="A209" s="8" t="s">
        <v>949</v>
      </c>
      <c r="B209" s="8"/>
      <c r="C209" s="8" t="s">
        <v>380</v>
      </c>
      <c r="D209" s="8" t="s">
        <v>1333</v>
      </c>
      <c r="E209" s="9">
        <v>28.79</v>
      </c>
      <c r="F209" s="8" t="s">
        <v>469</v>
      </c>
      <c r="G209" s="10">
        <v>2772</v>
      </c>
      <c r="H209" s="11">
        <f t="array" ref="H209">IF(OR(N209&gt;0,AC209&gt;0),MAX(N209,AC209),MAX(AK209,V209))</f>
        <v>46241</v>
      </c>
      <c r="I209" s="143">
        <f t="array" ref="I209">IF(SUM(O209,AD209)&gt;0,SUM(O209,AD209),SUM(AL209,W209))</f>
        <v>267.9282144</v>
      </c>
      <c r="J209" s="9">
        <f t="shared" si="33"/>
        <v>9.665519999999999</v>
      </c>
      <c r="K209" s="143">
        <f t="shared" si="39"/>
        <v>12.24</v>
      </c>
      <c r="L209" s="9">
        <f t="shared" si="34"/>
        <v>4.5683878524739647</v>
      </c>
      <c r="M209" s="8" t="str">
        <f t="array" ref="M209">IF(L209&gt;5,"Perlu Sensus",IF(AND(L209&gt;=0,I209&gt;0),"Tetap Deteksi","Belum Deteksi"))</f>
        <v>Tetap Deteksi</v>
      </c>
      <c r="N209" s="11">
        <v>46241</v>
      </c>
      <c r="O209" s="143">
        <v>267.9282144</v>
      </c>
      <c r="P209" s="9">
        <f t="array" ref="P209">IFERROR(O209/$G209*100,0)</f>
        <v>9.665519999999999</v>
      </c>
      <c r="Q209" s="143">
        <v>12.24</v>
      </c>
      <c r="R209" s="9">
        <f t="shared" si="35"/>
        <v>4.5683878524739647</v>
      </c>
      <c r="S209" s="8" t="str">
        <f t="array" ref="S209">IF(R209&gt;5,"Perlu Sensus",IF(AND(R209&gt;=0,O209&gt;0),"Tetap Deteksi","Belum Deteksi"))</f>
        <v>Tetap Deteksi</v>
      </c>
      <c r="T209" s="143">
        <v>3.7824182197401601</v>
      </c>
      <c r="U209" s="9">
        <f t="shared" si="40"/>
        <v>1.4117282228788519</v>
      </c>
      <c r="V209" s="11">
        <v>46241</v>
      </c>
      <c r="W209" s="143">
        <v>282.315692858033</v>
      </c>
      <c r="X209" s="143">
        <v>5.911766228722084</v>
      </c>
      <c r="Y209" s="9">
        <f t="shared" si="36"/>
        <v>2.094026785714286</v>
      </c>
      <c r="Z209" s="8" t="str">
        <f t="array" ref="Z209">IF(Y209&gt;5,"Perlu Sensus",IF(AND(Y209&gt;=0,W209&gt;0),"Tetap Deteksi","Belum Deteksi"))</f>
        <v>Tetap Deteksi</v>
      </c>
      <c r="AA209" s="143">
        <v>7.28</v>
      </c>
      <c r="AB209" s="9">
        <f t="shared" si="41"/>
        <v>2.5786735148516402</v>
      </c>
      <c r="AC209" s="11"/>
      <c r="AD209" s="143"/>
      <c r="AE209" s="9">
        <f t="array" ref="AE209">IFERROR(AD209/$G209*100,0)</f>
        <v>0</v>
      </c>
      <c r="AF209" s="143"/>
      <c r="AG209" s="9">
        <f t="shared" si="37"/>
        <v>0</v>
      </c>
      <c r="AH209" s="8" t="str">
        <f t="array" ref="AH209">IF(AG209&gt;5,"Perlu Sensus",IF(AND(AG209&gt;=0,AD209&gt;0),"Tetap Deteksi","Belum Deteksi"))</f>
        <v>Belum Deteksi</v>
      </c>
      <c r="AI209" s="143"/>
      <c r="AJ209" s="9">
        <f t="shared" si="42"/>
        <v>0</v>
      </c>
      <c r="AK209" s="11"/>
      <c r="AL209" s="143"/>
      <c r="AM209" s="143"/>
      <c r="AN209" s="9">
        <f t="shared" si="38"/>
        <v>0</v>
      </c>
      <c r="AO209" s="8" t="str">
        <f t="array" ref="AO209">IF(AN209&gt;5,"Perlu Sensus",IF(AND(AN209&gt;=0,AL209&gt;0),"Tetap Deteksi","Belum Deteksi"))</f>
        <v>Belum Deteksi</v>
      </c>
      <c r="AP209" s="143"/>
      <c r="AQ209" s="9">
        <f t="shared" si="43"/>
        <v>0</v>
      </c>
    </row>
    <row r="210" spans="1:43" outlineLevel="1" x14ac:dyDescent="0.15">
      <c r="A210" s="8" t="s">
        <v>949</v>
      </c>
      <c r="B210" s="8"/>
      <c r="C210" s="8" t="s">
        <v>380</v>
      </c>
      <c r="D210" s="8" t="s">
        <v>1334</v>
      </c>
      <c r="E210" s="9">
        <v>37.26</v>
      </c>
      <c r="F210" s="8" t="s">
        <v>469</v>
      </c>
      <c r="G210" s="10">
        <v>1916</v>
      </c>
      <c r="H210" s="11">
        <f t="array" ref="H210">IF(OR(N210&gt;0,AC210&gt;0),MAX(N210,AC210),MAX(AK210,V210))</f>
        <v>46242</v>
      </c>
      <c r="I210" s="143">
        <f t="array" ref="I210">IF(SUM(O210,AD210)&gt;0,SUM(O210,AD210),SUM(AL210,W210))</f>
        <v>254.63812440000001</v>
      </c>
      <c r="J210" s="9">
        <f t="shared" si="33"/>
        <v>13.290090000000001</v>
      </c>
      <c r="K210" s="143">
        <f t="shared" si="39"/>
        <v>5.0999999999999996</v>
      </c>
      <c r="L210" s="9">
        <f t="shared" si="34"/>
        <v>2.0028422735272078</v>
      </c>
      <c r="M210" s="8" t="str">
        <f t="array" ref="M210">IF(L210&gt;5,"Perlu Sensus",IF(AND(L210&gt;=0,I210&gt;0),"Tetap Deteksi","Belum Deteksi"))</f>
        <v>Tetap Deteksi</v>
      </c>
      <c r="N210" s="11">
        <v>46242</v>
      </c>
      <c r="O210" s="143">
        <v>254.63812440000001</v>
      </c>
      <c r="P210" s="9">
        <f t="array" ref="P210">IFERROR(O210/$G210*100,0)</f>
        <v>13.290090000000001</v>
      </c>
      <c r="Q210" s="143">
        <v>5.0999999999999996</v>
      </c>
      <c r="R210" s="9">
        <f t="shared" si="35"/>
        <v>2.0028422735272078</v>
      </c>
      <c r="S210" s="8" t="str">
        <f t="array" ref="S210">IF(R210&gt;5,"Perlu Sensus",IF(AND(R210&gt;=0,O210&gt;0),"Tetap Deteksi","Belum Deteksi"))</f>
        <v>Tetap Deteksi</v>
      </c>
      <c r="T210" s="143">
        <v>4.4895036151570178</v>
      </c>
      <c r="U210" s="9">
        <f t="shared" si="40"/>
        <v>1.7630916916842549</v>
      </c>
      <c r="V210" s="11">
        <v>46242</v>
      </c>
      <c r="W210" s="143">
        <v>287.9620067151937</v>
      </c>
      <c r="X210" s="143">
        <v>3.09</v>
      </c>
      <c r="Y210" s="9">
        <f t="shared" si="36"/>
        <v>1.0730582257179981</v>
      </c>
      <c r="Z210" s="8" t="str">
        <f t="array" ref="Z210">IF(Y210&gt;5,"Perlu Sensus",IF(AND(Y210&gt;=0,W210&gt;0),"Tetap Deteksi","Belum Deteksi"))</f>
        <v>Tetap Deteksi</v>
      </c>
      <c r="AA210" s="143">
        <v>6.24</v>
      </c>
      <c r="AB210" s="9">
        <f t="shared" si="41"/>
        <v>2.1669525334887729</v>
      </c>
      <c r="AC210" s="11"/>
      <c r="AD210" s="143"/>
      <c r="AE210" s="9">
        <f t="array" ref="AE210">IFERROR(AD210/$G210*100,0)</f>
        <v>0</v>
      </c>
      <c r="AF210" s="143"/>
      <c r="AG210" s="9">
        <f t="shared" si="37"/>
        <v>0</v>
      </c>
      <c r="AH210" s="8" t="str">
        <f t="array" ref="AH210">IF(AG210&gt;5,"Perlu Sensus",IF(AND(AG210&gt;=0,AD210&gt;0),"Tetap Deteksi","Belum Deteksi"))</f>
        <v>Belum Deteksi</v>
      </c>
      <c r="AI210" s="143"/>
      <c r="AJ210" s="9">
        <f t="shared" si="42"/>
        <v>0</v>
      </c>
      <c r="AK210" s="11"/>
      <c r="AL210" s="143"/>
      <c r="AM210" s="143"/>
      <c r="AN210" s="9">
        <f t="shared" si="38"/>
        <v>0</v>
      </c>
      <c r="AO210" s="8" t="str">
        <f t="array" ref="AO210">IF(AN210&gt;5,"Perlu Sensus",IF(AND(AN210&gt;=0,AL210&gt;0),"Tetap Deteksi","Belum Deteksi"))</f>
        <v>Belum Deteksi</v>
      </c>
      <c r="AP210" s="143"/>
      <c r="AQ210" s="9">
        <f t="shared" si="43"/>
        <v>0</v>
      </c>
    </row>
    <row r="211" spans="1:43" outlineLevel="1" x14ac:dyDescent="0.15">
      <c r="A211" s="8" t="s">
        <v>949</v>
      </c>
      <c r="B211" s="8"/>
      <c r="C211" s="8" t="s">
        <v>380</v>
      </c>
      <c r="D211" s="8" t="s">
        <v>1346</v>
      </c>
      <c r="E211" s="9">
        <v>32.799999999999997</v>
      </c>
      <c r="F211" s="8" t="s">
        <v>469</v>
      </c>
      <c r="G211" s="10">
        <v>3987</v>
      </c>
      <c r="H211" s="11">
        <f t="array" ref="H211">IF(OR(N211&gt;0,AC211&gt;0),MAX(N211,AC211),MAX(AK211,V211))</f>
        <v>46243</v>
      </c>
      <c r="I211" s="143">
        <f t="array" ref="I211">IF(SUM(O211,AD211)&gt;0,SUM(O211,AD211),SUM(AL211,W211))</f>
        <v>578.04642360000003</v>
      </c>
      <c r="J211" s="9">
        <f t="shared" si="33"/>
        <v>14.498279999999999</v>
      </c>
      <c r="K211" s="143">
        <f t="shared" si="39"/>
        <v>19.074000000000002</v>
      </c>
      <c r="L211" s="9">
        <f t="shared" si="34"/>
        <v>3.2997349730510468</v>
      </c>
      <c r="M211" s="8" t="str">
        <f t="array" ref="M211">IF(L211&gt;5,"Perlu Sensus",IF(AND(L211&gt;=0,I211&gt;0),"Tetap Deteksi","Belum Deteksi"))</f>
        <v>Tetap Deteksi</v>
      </c>
      <c r="N211" s="11">
        <v>46243</v>
      </c>
      <c r="O211" s="143">
        <v>578.04642360000003</v>
      </c>
      <c r="P211" s="9">
        <f t="array" ref="P211">IFERROR(O211/$G211*100,0)</f>
        <v>14.498279999999999</v>
      </c>
      <c r="Q211" s="143">
        <v>19.074000000000002</v>
      </c>
      <c r="R211" s="9">
        <f t="shared" si="35"/>
        <v>3.2997349730510468</v>
      </c>
      <c r="S211" s="8" t="str">
        <f t="array" ref="S211">IF(R211&gt;5,"Perlu Sensus",IF(AND(R211&gt;=0,O211&gt;0),"Tetap Deteksi","Belum Deteksi"))</f>
        <v>Tetap Deteksi</v>
      </c>
      <c r="T211" s="143">
        <v>12.386607999999999</v>
      </c>
      <c r="U211" s="9">
        <f t="shared" si="40"/>
        <v>2.1428396568666184</v>
      </c>
      <c r="V211" s="11">
        <v>46243</v>
      </c>
      <c r="W211" s="143">
        <v>293.72124684949756</v>
      </c>
      <c r="X211" s="143">
        <v>10.197000000000001</v>
      </c>
      <c r="Y211" s="9">
        <f t="shared" si="36"/>
        <v>3.4716589655582295</v>
      </c>
      <c r="Z211" s="8" t="str">
        <f t="array" ref="Z211">IF(Y211&gt;5,"Perlu Sensus",IF(AND(Y211&gt;=0,W211&gt;0),"Tetap Deteksi","Belum Deteksi"))</f>
        <v>Tetap Deteksi</v>
      </c>
      <c r="AA211" s="143">
        <v>6.6718080000000004</v>
      </c>
      <c r="AB211" s="9">
        <f t="shared" si="41"/>
        <v>2.2714761262805845</v>
      </c>
      <c r="AC211" s="11"/>
      <c r="AD211" s="143"/>
      <c r="AE211" s="9">
        <f t="array" ref="AE211">IFERROR(AD211/$G211*100,0)</f>
        <v>0</v>
      </c>
      <c r="AF211" s="143"/>
      <c r="AG211" s="9">
        <f t="shared" si="37"/>
        <v>0</v>
      </c>
      <c r="AH211" s="8" t="str">
        <f t="array" ref="AH211">IF(AG211&gt;5,"Perlu Sensus",IF(AND(AG211&gt;=0,AD211&gt;0),"Tetap Deteksi","Belum Deteksi"))</f>
        <v>Belum Deteksi</v>
      </c>
      <c r="AI211" s="143"/>
      <c r="AJ211" s="9">
        <f t="shared" si="42"/>
        <v>0</v>
      </c>
      <c r="AK211" s="11"/>
      <c r="AL211" s="143"/>
      <c r="AM211" s="143"/>
      <c r="AN211" s="9">
        <f t="shared" si="38"/>
        <v>0</v>
      </c>
      <c r="AO211" s="8" t="str">
        <f t="array" ref="AO211">IF(AN211&gt;5,"Perlu Sensus",IF(AND(AN211&gt;=0,AL211&gt;0),"Tetap Deteksi","Belum Deteksi"))</f>
        <v>Belum Deteksi</v>
      </c>
      <c r="AP211" s="143"/>
      <c r="AQ211" s="9">
        <f t="shared" si="43"/>
        <v>0</v>
      </c>
    </row>
    <row r="212" spans="1:43" outlineLevel="1" x14ac:dyDescent="0.15">
      <c r="A212" s="8" t="s">
        <v>949</v>
      </c>
      <c r="B212" s="8"/>
      <c r="C212" s="8" t="s">
        <v>380</v>
      </c>
      <c r="D212" s="8" t="s">
        <v>1347</v>
      </c>
      <c r="E212" s="9">
        <v>26.82</v>
      </c>
      <c r="F212" s="8" t="s">
        <v>469</v>
      </c>
      <c r="G212" s="10">
        <v>1975.9999999999998</v>
      </c>
      <c r="H212" s="11">
        <f t="array" ref="H212">IF(OR(N212&gt;0,AC212&gt;0),MAX(N212,AC212),MAX(AK212,V212))</f>
        <v>46244</v>
      </c>
      <c r="I212" s="143">
        <f t="array" ref="I212">IF(SUM(O212,AD212)&gt;0,SUM(O212,AD212),SUM(AL212,W212))</f>
        <v>310.35984719999999</v>
      </c>
      <c r="J212" s="9">
        <f t="shared" si="33"/>
        <v>15.706469999999999</v>
      </c>
      <c r="K212" s="143">
        <f t="shared" si="39"/>
        <v>7.1400000000000006</v>
      </c>
      <c r="L212" s="9">
        <f t="shared" si="34"/>
        <v>2.3005553277640618</v>
      </c>
      <c r="M212" s="8" t="str">
        <f t="array" ref="M212">IF(L212&gt;5,"Perlu Sensus",IF(AND(L212&gt;=0,I212&gt;0),"Tetap Deteksi","Belum Deteksi"))</f>
        <v>Tetap Deteksi</v>
      </c>
      <c r="N212" s="11">
        <v>46244</v>
      </c>
      <c r="O212" s="143">
        <v>310.35984719999999</v>
      </c>
      <c r="P212" s="9">
        <f t="array" ref="P212">IFERROR(O212/$G212*100,0)</f>
        <v>15.706469999999999</v>
      </c>
      <c r="Q212" s="143">
        <v>7.1400000000000006</v>
      </c>
      <c r="R212" s="9">
        <f t="shared" si="35"/>
        <v>2.3005553277640618</v>
      </c>
      <c r="S212" s="8" t="str">
        <f t="array" ref="S212">IF(R212&gt;5,"Perlu Sensus",IF(AND(R212&gt;=0,O212&gt;0),"Tetap Deteksi","Belum Deteksi"))</f>
        <v>Tetap Deteksi</v>
      </c>
      <c r="T212" s="143">
        <v>5.7250784057306099</v>
      </c>
      <c r="U212" s="9">
        <f t="shared" si="40"/>
        <v>1.844658211228366</v>
      </c>
      <c r="V212" s="11">
        <v>46244</v>
      </c>
      <c r="W212" s="143">
        <v>299.59567178648751</v>
      </c>
      <c r="X212" s="143">
        <v>8.1975217916382839</v>
      </c>
      <c r="Y212" s="9">
        <f t="shared" si="36"/>
        <v>2.7361950000000008</v>
      </c>
      <c r="Z212" s="8" t="str">
        <f t="array" ref="Z212">IF(Y212&gt;5,"Perlu Sensus",IF(AND(Y212&gt;=0,W212&gt;0),"Tetap Deteksi","Belum Deteksi"))</f>
        <v>Tetap Deteksi</v>
      </c>
      <c r="AA212" s="143">
        <v>6.24</v>
      </c>
      <c r="AB212" s="9">
        <f t="shared" si="41"/>
        <v>2.0828071256139684</v>
      </c>
      <c r="AC212" s="11"/>
      <c r="AD212" s="143"/>
      <c r="AE212" s="9">
        <f t="array" ref="AE212">IFERROR(AD212/$G212*100,0)</f>
        <v>0</v>
      </c>
      <c r="AF212" s="143"/>
      <c r="AG212" s="9">
        <f t="shared" si="37"/>
        <v>0</v>
      </c>
      <c r="AH212" s="8" t="str">
        <f t="array" ref="AH212">IF(AG212&gt;5,"Perlu Sensus",IF(AND(AG212&gt;=0,AD212&gt;0),"Tetap Deteksi","Belum Deteksi"))</f>
        <v>Belum Deteksi</v>
      </c>
      <c r="AI212" s="143"/>
      <c r="AJ212" s="9">
        <f t="shared" si="42"/>
        <v>0</v>
      </c>
      <c r="AK212" s="11"/>
      <c r="AL212" s="143"/>
      <c r="AM212" s="143"/>
      <c r="AN212" s="9">
        <f t="shared" si="38"/>
        <v>0</v>
      </c>
      <c r="AO212" s="8" t="str">
        <f t="array" ref="AO212">IF(AN212&gt;5,"Perlu Sensus",IF(AND(AN212&gt;=0,AL212&gt;0),"Tetap Deteksi","Belum Deteksi"))</f>
        <v>Belum Deteksi</v>
      </c>
      <c r="AP212" s="143"/>
      <c r="AQ212" s="9">
        <f t="shared" si="43"/>
        <v>0</v>
      </c>
    </row>
    <row r="213" spans="1:43" outlineLevel="1" x14ac:dyDescent="0.15">
      <c r="A213" s="8" t="s">
        <v>949</v>
      </c>
      <c r="B213" s="8"/>
      <c r="C213" s="8" t="s">
        <v>380</v>
      </c>
      <c r="D213" s="8" t="s">
        <v>1348</v>
      </c>
      <c r="E213" s="9">
        <v>32.409999999999997</v>
      </c>
      <c r="F213" s="8" t="s">
        <v>469</v>
      </c>
      <c r="G213" s="10">
        <v>2311</v>
      </c>
      <c r="H213" s="11">
        <f t="array" ref="H213">IF(OR(N213&gt;0,AC213&gt;0),MAX(N213,AC213),MAX(AK213,V213))</f>
        <v>46245</v>
      </c>
      <c r="I213" s="143">
        <f t="array" ref="I213">IF(SUM(O213,AD213)&gt;0,SUM(O213,AD213),SUM(AL213,W213))</f>
        <v>335.05525080000001</v>
      </c>
      <c r="J213" s="9">
        <f t="shared" si="33"/>
        <v>14.498279999999999</v>
      </c>
      <c r="K213" s="143">
        <f t="shared" si="39"/>
        <v>10.098000000000001</v>
      </c>
      <c r="L213" s="9">
        <f t="shared" si="34"/>
        <v>3.0138312937610587</v>
      </c>
      <c r="M213" s="8" t="str">
        <f t="array" ref="M213">IF(L213&gt;5,"Perlu Sensus",IF(AND(L213&gt;=0,I213&gt;0),"Tetap Deteksi","Belum Deteksi"))</f>
        <v>Tetap Deteksi</v>
      </c>
      <c r="N213" s="11">
        <v>46245</v>
      </c>
      <c r="O213" s="143">
        <v>335.05525080000001</v>
      </c>
      <c r="P213" s="9">
        <f t="array" ref="P213">IFERROR(O213/$G213*100,0)</f>
        <v>14.498279999999999</v>
      </c>
      <c r="Q213" s="143">
        <v>10.098000000000001</v>
      </c>
      <c r="R213" s="9">
        <f t="shared" si="35"/>
        <v>3.0138312937610587</v>
      </c>
      <c r="S213" s="8" t="str">
        <f t="array" ref="S213">IF(R213&gt;5,"Perlu Sensus",IF(AND(R213&gt;=0,O213&gt;0),"Tetap Deteksi","Belum Deteksi"))</f>
        <v>Tetap Deteksi</v>
      </c>
      <c r="T213" s="143">
        <v>6.5576159999999994</v>
      </c>
      <c r="U213" s="9">
        <f t="shared" si="40"/>
        <v>1.9571745210208176</v>
      </c>
      <c r="V213" s="11">
        <v>46245</v>
      </c>
      <c r="W213" s="143">
        <v>305.58758522221723</v>
      </c>
      <c r="X213" s="143">
        <v>10.197000000000001</v>
      </c>
      <c r="Y213" s="9">
        <f t="shared" si="36"/>
        <v>3.3368502167995291</v>
      </c>
      <c r="Z213" s="8" t="str">
        <f t="array" ref="Z213">IF(Y213&gt;5,"Perlu Sensus",IF(AND(Y213&gt;=0,W213&gt;0),"Tetap Deteksi","Belum Deteksi"))</f>
        <v>Tetap Deteksi</v>
      </c>
      <c r="AA213" s="143">
        <v>6.6718080000000004</v>
      </c>
      <c r="AB213" s="9">
        <f t="shared" si="41"/>
        <v>2.1832719399082898</v>
      </c>
      <c r="AC213" s="11"/>
      <c r="AD213" s="143"/>
      <c r="AE213" s="9">
        <f t="array" ref="AE213">IFERROR(AD213/$G213*100,0)</f>
        <v>0</v>
      </c>
      <c r="AF213" s="143"/>
      <c r="AG213" s="9">
        <f t="shared" si="37"/>
        <v>0</v>
      </c>
      <c r="AH213" s="8" t="str">
        <f t="array" ref="AH213">IF(AG213&gt;5,"Perlu Sensus",IF(AND(AG213&gt;=0,AD213&gt;0),"Tetap Deteksi","Belum Deteksi"))</f>
        <v>Belum Deteksi</v>
      </c>
      <c r="AI213" s="143"/>
      <c r="AJ213" s="9">
        <f t="shared" si="42"/>
        <v>0</v>
      </c>
      <c r="AK213" s="11"/>
      <c r="AL213" s="143"/>
      <c r="AM213" s="143"/>
      <c r="AN213" s="9">
        <f t="shared" si="38"/>
        <v>0</v>
      </c>
      <c r="AO213" s="8" t="str">
        <f t="array" ref="AO213">IF(AN213&gt;5,"Perlu Sensus",IF(AND(AN213&gt;=0,AL213&gt;0),"Tetap Deteksi","Belum Deteksi"))</f>
        <v>Belum Deteksi</v>
      </c>
      <c r="AP213" s="143"/>
      <c r="AQ213" s="9">
        <f t="shared" si="43"/>
        <v>0</v>
      </c>
    </row>
    <row r="214" spans="1:43" outlineLevel="1" x14ac:dyDescent="0.15">
      <c r="A214" s="8" t="s">
        <v>949</v>
      </c>
      <c r="B214" s="8"/>
      <c r="C214" s="8" t="s">
        <v>380</v>
      </c>
      <c r="D214" s="8" t="s">
        <v>1349</v>
      </c>
      <c r="E214" s="9">
        <v>48.529999999999994</v>
      </c>
      <c r="F214" s="8" t="s">
        <v>469</v>
      </c>
      <c r="G214" s="10">
        <v>2427</v>
      </c>
      <c r="H214" s="11">
        <f t="array" ref="H214">IF(OR(N214&gt;0,AC214&gt;0),MAX(N214,AC214),MAX(AK214,V214))</f>
        <v>46246</v>
      </c>
      <c r="I214" s="143">
        <f t="array" ref="I214">IF(SUM(O214,AD214)&gt;0,SUM(O214,AD214),SUM(AL214,W214))</f>
        <v>263.90494169999999</v>
      </c>
      <c r="J214" s="9">
        <f t="shared" si="33"/>
        <v>10.873710000000001</v>
      </c>
      <c r="K214" s="143">
        <f t="shared" si="39"/>
        <v>12.24</v>
      </c>
      <c r="L214" s="9">
        <f t="shared" si="34"/>
        <v>4.6380336499776877</v>
      </c>
      <c r="M214" s="8" t="str">
        <f t="array" ref="M214">IF(L214&gt;5,"Perlu Sensus",IF(AND(L214&gt;=0,I214&gt;0),"Tetap Deteksi","Belum Deteksi"))</f>
        <v>Tetap Deteksi</v>
      </c>
      <c r="N214" s="11">
        <v>46246</v>
      </c>
      <c r="O214" s="143">
        <v>263.90494169999999</v>
      </c>
      <c r="P214" s="9">
        <f t="array" ref="P214">IFERROR(O214/$G214*100,0)</f>
        <v>10.873710000000001</v>
      </c>
      <c r="Q214" s="143">
        <v>12.24</v>
      </c>
      <c r="R214" s="9">
        <f t="shared" si="35"/>
        <v>4.6380336499776877</v>
      </c>
      <c r="S214" s="8" t="str">
        <f t="array" ref="S214">IF(R214&gt;5,"Perlu Sensus",IF(AND(R214&gt;=0,O214&gt;0),"Tetap Deteksi","Belum Deteksi"))</f>
        <v>Tetap Deteksi</v>
      </c>
      <c r="T214" s="143">
        <v>2.9308214942600253</v>
      </c>
      <c r="U214" s="9">
        <f t="shared" si="40"/>
        <v>1.1105595353313633</v>
      </c>
      <c r="V214" s="11">
        <v>46246</v>
      </c>
      <c r="W214" s="143">
        <v>311.69933692666166</v>
      </c>
      <c r="X214" s="143">
        <v>5.15</v>
      </c>
      <c r="Y214" s="9">
        <f t="shared" si="36"/>
        <v>1.6522332228161658</v>
      </c>
      <c r="Z214" s="8" t="str">
        <f t="array" ref="Z214">IF(Y214&gt;5,"Perlu Sensus",IF(AND(Y214&gt;=0,W214&gt;0),"Tetap Deteksi","Belum Deteksi"))</f>
        <v>Tetap Deteksi</v>
      </c>
      <c r="AA214" s="143">
        <v>7.28</v>
      </c>
      <c r="AB214" s="9">
        <f t="shared" si="41"/>
        <v>2.335584050893531</v>
      </c>
      <c r="AC214" s="11"/>
      <c r="AD214" s="143"/>
      <c r="AE214" s="9">
        <f t="array" ref="AE214">IFERROR(AD214/$G214*100,0)</f>
        <v>0</v>
      </c>
      <c r="AF214" s="143"/>
      <c r="AG214" s="9">
        <f t="shared" si="37"/>
        <v>0</v>
      </c>
      <c r="AH214" s="8" t="str">
        <f t="array" ref="AH214">IF(AG214&gt;5,"Perlu Sensus",IF(AND(AG214&gt;=0,AD214&gt;0),"Tetap Deteksi","Belum Deteksi"))</f>
        <v>Belum Deteksi</v>
      </c>
      <c r="AI214" s="143"/>
      <c r="AJ214" s="9">
        <f t="shared" si="42"/>
        <v>0</v>
      </c>
      <c r="AK214" s="11"/>
      <c r="AL214" s="143"/>
      <c r="AM214" s="143"/>
      <c r="AN214" s="9">
        <f t="shared" si="38"/>
        <v>0</v>
      </c>
      <c r="AO214" s="8" t="str">
        <f t="array" ref="AO214">IF(AN214&gt;5,"Perlu Sensus",IF(AND(AN214&gt;=0,AL214&gt;0),"Tetap Deteksi","Belum Deteksi"))</f>
        <v>Belum Deteksi</v>
      </c>
      <c r="AP214" s="143"/>
      <c r="AQ214" s="9">
        <f t="shared" si="43"/>
        <v>0</v>
      </c>
    </row>
    <row r="215" spans="1:43" outlineLevel="1" x14ac:dyDescent="0.15">
      <c r="A215" s="8" t="s">
        <v>949</v>
      </c>
      <c r="B215" s="8"/>
      <c r="C215" s="8" t="s">
        <v>380</v>
      </c>
      <c r="D215" s="8" t="s">
        <v>1356</v>
      </c>
      <c r="E215" s="9">
        <v>33.790000000000006</v>
      </c>
      <c r="F215" s="8" t="s">
        <v>469</v>
      </c>
      <c r="G215" s="10">
        <v>3450</v>
      </c>
      <c r="H215" s="11">
        <f t="array" ref="H215">IF(OR(N215&gt;0,AC215&gt;0),MAX(N215,AC215),MAX(AK215,V215))</f>
        <v>46247</v>
      </c>
      <c r="I215" s="143">
        <f t="array" ref="I215">IF(SUM(O215,AD215)&gt;0,SUM(O215,AD215),SUM(AL215,W215))</f>
        <v>333.46044000000006</v>
      </c>
      <c r="J215" s="9">
        <f t="shared" si="33"/>
        <v>9.6655200000000026</v>
      </c>
      <c r="K215" s="143">
        <f t="shared" si="39"/>
        <v>14.280000000000001</v>
      </c>
      <c r="L215" s="9">
        <f t="shared" si="34"/>
        <v>4.2823670477973339</v>
      </c>
      <c r="M215" s="8" t="str">
        <f t="array" ref="M215">IF(L215&gt;5,"Perlu Sensus",IF(AND(L215&gt;=0,I215&gt;0),"Tetap Deteksi","Belum Deteksi"))</f>
        <v>Tetap Deteksi</v>
      </c>
      <c r="N215" s="11">
        <v>46247</v>
      </c>
      <c r="O215" s="143">
        <v>333.46044000000006</v>
      </c>
      <c r="P215" s="9">
        <f t="array" ref="P215">IFERROR(O215/$G215*100,0)</f>
        <v>9.6655200000000026</v>
      </c>
      <c r="Q215" s="143">
        <v>14.280000000000001</v>
      </c>
      <c r="R215" s="9">
        <f t="shared" si="35"/>
        <v>4.2823670477973339</v>
      </c>
      <c r="S215" s="8" t="str">
        <f t="array" ref="S215">IF(R215&gt;5,"Perlu Sensus",IF(AND(R215&gt;=0,O215&gt;0),"Tetap Deteksi","Belum Deteksi"))</f>
        <v>Tetap Deteksi</v>
      </c>
      <c r="T215" s="143">
        <v>8.6158720361825321</v>
      </c>
      <c r="U215" s="9">
        <f t="shared" si="40"/>
        <v>2.5837763652511612</v>
      </c>
      <c r="V215" s="11">
        <v>46247</v>
      </c>
      <c r="W215" s="143">
        <v>317.93332366519491</v>
      </c>
      <c r="X215" s="143">
        <v>12.184903862274801</v>
      </c>
      <c r="Y215" s="9">
        <f t="shared" si="36"/>
        <v>3.8325343571428583</v>
      </c>
      <c r="Z215" s="8" t="str">
        <f t="array" ref="Z215">IF(Y215&gt;5,"Perlu Sensus",IF(AND(Y215&gt;=0,W215&gt;0),"Tetap Deteksi","Belum Deteksi"))</f>
        <v>Tetap Deteksi</v>
      </c>
      <c r="AA215" s="143">
        <v>3.12</v>
      </c>
      <c r="AB215" s="9">
        <f t="shared" si="41"/>
        <v>0.98133783650988693</v>
      </c>
      <c r="AC215" s="11"/>
      <c r="AD215" s="143"/>
      <c r="AE215" s="9">
        <f t="array" ref="AE215">IFERROR(AD215/$G215*100,0)</f>
        <v>0</v>
      </c>
      <c r="AF215" s="143"/>
      <c r="AG215" s="9">
        <f t="shared" si="37"/>
        <v>0</v>
      </c>
      <c r="AH215" s="8" t="str">
        <f t="array" ref="AH215">IF(AG215&gt;5,"Perlu Sensus",IF(AND(AG215&gt;=0,AD215&gt;0),"Tetap Deteksi","Belum Deteksi"))</f>
        <v>Belum Deteksi</v>
      </c>
      <c r="AI215" s="143"/>
      <c r="AJ215" s="9">
        <f t="shared" si="42"/>
        <v>0</v>
      </c>
      <c r="AK215" s="11"/>
      <c r="AL215" s="143"/>
      <c r="AM215" s="143"/>
      <c r="AN215" s="9">
        <f t="shared" si="38"/>
        <v>0</v>
      </c>
      <c r="AO215" s="8" t="str">
        <f t="array" ref="AO215">IF(AN215&gt;5,"Perlu Sensus",IF(AND(AN215&gt;=0,AL215&gt;0),"Tetap Deteksi","Belum Deteksi"))</f>
        <v>Belum Deteksi</v>
      </c>
      <c r="AP215" s="143"/>
      <c r="AQ215" s="9">
        <f t="shared" si="43"/>
        <v>0</v>
      </c>
    </row>
    <row r="216" spans="1:43" outlineLevel="1" x14ac:dyDescent="0.15">
      <c r="A216" s="8"/>
      <c r="B216" s="8"/>
      <c r="C216" s="8"/>
      <c r="D216" s="8"/>
      <c r="E216" s="9"/>
      <c r="F216" s="8"/>
      <c r="G216" s="10"/>
      <c r="H216" s="132"/>
      <c r="I216" s="8"/>
      <c r="J216" s="9"/>
      <c r="K216" s="8"/>
      <c r="L216" s="9"/>
      <c r="M216" s="8"/>
      <c r="N216" s="132"/>
      <c r="O216" s="8"/>
      <c r="P216" s="9"/>
      <c r="Q216" s="8"/>
      <c r="R216" s="9"/>
      <c r="S216" s="8"/>
      <c r="T216" s="8"/>
      <c r="U216" s="8"/>
      <c r="V216" s="132"/>
      <c r="W216" s="8"/>
      <c r="X216" s="8"/>
      <c r="Y216" s="9"/>
      <c r="Z216" s="8"/>
      <c r="AA216" s="8"/>
      <c r="AB216" s="8"/>
      <c r="AC216" s="132"/>
      <c r="AD216" s="8"/>
      <c r="AE216" s="9"/>
      <c r="AF216" s="8"/>
      <c r="AG216" s="9"/>
      <c r="AH216" s="8"/>
      <c r="AI216" s="8"/>
      <c r="AJ216" s="8"/>
      <c r="AK216" s="132"/>
      <c r="AL216" s="8"/>
      <c r="AM216" s="8"/>
      <c r="AN216" s="9"/>
      <c r="AO216" s="8"/>
      <c r="AP216" s="8"/>
      <c r="AQ216" s="8"/>
    </row>
    <row r="217" spans="1:43" outlineLevel="1" x14ac:dyDescent="0.15">
      <c r="A217" s="8"/>
      <c r="B217" s="8"/>
      <c r="C217" s="8"/>
      <c r="D217" s="8"/>
      <c r="E217" s="9"/>
      <c r="F217" s="8"/>
      <c r="G217" s="10"/>
      <c r="H217" s="132"/>
      <c r="I217" s="8"/>
      <c r="J217" s="9"/>
      <c r="K217" s="8"/>
      <c r="L217" s="9"/>
      <c r="M217" s="8"/>
      <c r="N217" s="132"/>
      <c r="O217" s="8"/>
      <c r="P217" s="9"/>
      <c r="Q217" s="8"/>
      <c r="R217" s="9"/>
      <c r="S217" s="8"/>
      <c r="T217" s="8"/>
      <c r="U217" s="8"/>
      <c r="V217" s="132"/>
      <c r="W217" s="8"/>
      <c r="X217" s="8"/>
      <c r="Y217" s="9"/>
      <c r="Z217" s="8"/>
      <c r="AA217" s="8"/>
      <c r="AB217" s="8"/>
      <c r="AC217" s="132"/>
      <c r="AD217" s="8"/>
      <c r="AE217" s="9"/>
      <c r="AF217" s="8"/>
      <c r="AG217" s="9"/>
      <c r="AH217" s="8"/>
      <c r="AI217" s="8"/>
      <c r="AJ217" s="8"/>
      <c r="AK217" s="132"/>
      <c r="AL217" s="8"/>
      <c r="AM217" s="8"/>
      <c r="AN217" s="9"/>
      <c r="AO217" s="8"/>
      <c r="AP217" s="8"/>
      <c r="AQ217" s="8"/>
    </row>
    <row r="218" spans="1:43" outlineLevel="1" x14ac:dyDescent="0.15">
      <c r="A218" s="8"/>
      <c r="B218" s="8"/>
      <c r="C218" s="8"/>
      <c r="D218" s="8"/>
      <c r="E218" s="9"/>
      <c r="F218" s="8"/>
      <c r="G218" s="10"/>
      <c r="H218" s="132"/>
      <c r="I218" s="8"/>
      <c r="J218" s="9"/>
      <c r="K218" s="8"/>
      <c r="L218" s="9"/>
      <c r="M218" s="8"/>
      <c r="N218" s="132"/>
      <c r="O218" s="8"/>
      <c r="P218" s="9"/>
      <c r="Q218" s="8"/>
      <c r="R218" s="9"/>
      <c r="S218" s="8"/>
      <c r="T218" s="8"/>
      <c r="U218" s="8"/>
      <c r="V218" s="132"/>
      <c r="W218" s="8"/>
      <c r="X218" s="8"/>
      <c r="Y218" s="9"/>
      <c r="Z218" s="8"/>
      <c r="AA218" s="8"/>
      <c r="AB218" s="8"/>
      <c r="AC218" s="132"/>
      <c r="AD218" s="8"/>
      <c r="AE218" s="9"/>
      <c r="AF218" s="8"/>
      <c r="AG218" s="9"/>
      <c r="AH218" s="8"/>
      <c r="AI218" s="8"/>
      <c r="AJ218" s="8"/>
      <c r="AK218" s="132"/>
      <c r="AL218" s="8"/>
      <c r="AM218" s="8"/>
      <c r="AN218" s="9"/>
      <c r="AO218" s="8"/>
      <c r="AP218" s="8"/>
      <c r="AQ218" s="8"/>
    </row>
    <row r="219" spans="1:43" outlineLevel="1" x14ac:dyDescent="0.15">
      <c r="A219" s="8"/>
      <c r="B219" s="8"/>
      <c r="C219" s="8"/>
      <c r="D219" s="8"/>
      <c r="E219" s="9"/>
      <c r="F219" s="8"/>
      <c r="G219" s="10"/>
      <c r="H219" s="132"/>
      <c r="I219" s="8"/>
      <c r="J219" s="9"/>
      <c r="K219" s="8"/>
      <c r="L219" s="9"/>
      <c r="M219" s="8"/>
      <c r="N219" s="132"/>
      <c r="O219" s="8"/>
      <c r="P219" s="9"/>
      <c r="Q219" s="8"/>
      <c r="R219" s="9"/>
      <c r="S219" s="8"/>
      <c r="T219" s="8"/>
      <c r="U219" s="8"/>
      <c r="V219" s="132"/>
      <c r="W219" s="8"/>
      <c r="X219" s="8"/>
      <c r="Y219" s="9"/>
      <c r="Z219" s="8"/>
      <c r="AA219" s="8"/>
      <c r="AB219" s="8"/>
      <c r="AC219" s="132"/>
      <c r="AD219" s="8"/>
      <c r="AE219" s="9"/>
      <c r="AF219" s="8"/>
      <c r="AG219" s="9"/>
      <c r="AH219" s="8"/>
      <c r="AI219" s="8"/>
      <c r="AJ219" s="8"/>
      <c r="AK219" s="132"/>
      <c r="AL219" s="8"/>
      <c r="AM219" s="8"/>
      <c r="AN219" s="9"/>
      <c r="AO219" s="8"/>
      <c r="AP219" s="8"/>
      <c r="AQ219" s="8"/>
    </row>
    <row r="220" spans="1:43" outlineLevel="1" x14ac:dyDescent="0.15">
      <c r="A220" s="8"/>
      <c r="B220" s="8"/>
      <c r="C220" s="8"/>
      <c r="D220" s="8"/>
      <c r="E220" s="9"/>
      <c r="F220" s="8"/>
      <c r="G220" s="10"/>
      <c r="H220" s="132"/>
      <c r="I220" s="8"/>
      <c r="J220" s="9"/>
      <c r="K220" s="8"/>
      <c r="L220" s="9"/>
      <c r="M220" s="8"/>
      <c r="N220" s="132"/>
      <c r="O220" s="8"/>
      <c r="P220" s="9"/>
      <c r="Q220" s="8"/>
      <c r="R220" s="9"/>
      <c r="S220" s="8"/>
      <c r="T220" s="8"/>
      <c r="U220" s="8"/>
      <c r="V220" s="132"/>
      <c r="W220" s="8"/>
      <c r="X220" s="8"/>
      <c r="Y220" s="9"/>
      <c r="Z220" s="8"/>
      <c r="AA220" s="8"/>
      <c r="AB220" s="8"/>
      <c r="AC220" s="132"/>
      <c r="AD220" s="8"/>
      <c r="AE220" s="9"/>
      <c r="AF220" s="8"/>
      <c r="AG220" s="9"/>
      <c r="AH220" s="8"/>
      <c r="AI220" s="8"/>
      <c r="AJ220" s="8"/>
      <c r="AK220" s="132"/>
      <c r="AL220" s="8"/>
      <c r="AM220" s="8"/>
      <c r="AN220" s="9"/>
      <c r="AO220" s="8"/>
      <c r="AP220" s="8"/>
      <c r="AQ220" s="8"/>
    </row>
    <row r="221" spans="1:43" outlineLevel="1" x14ac:dyDescent="0.15">
      <c r="A221" s="8"/>
      <c r="B221" s="8"/>
      <c r="C221" s="8"/>
      <c r="D221" s="8"/>
      <c r="E221" s="9"/>
      <c r="F221" s="8"/>
      <c r="G221" s="10"/>
      <c r="H221" s="132"/>
      <c r="I221" s="8"/>
      <c r="J221" s="9"/>
      <c r="K221" s="8"/>
      <c r="L221" s="9"/>
      <c r="M221" s="8"/>
      <c r="N221" s="132"/>
      <c r="O221" s="8"/>
      <c r="P221" s="9"/>
      <c r="Q221" s="8"/>
      <c r="R221" s="9"/>
      <c r="S221" s="8"/>
      <c r="T221" s="8"/>
      <c r="U221" s="8"/>
      <c r="V221" s="132"/>
      <c r="W221" s="8"/>
      <c r="X221" s="8"/>
      <c r="Y221" s="9"/>
      <c r="Z221" s="8"/>
      <c r="AA221" s="8"/>
      <c r="AB221" s="8"/>
      <c r="AC221" s="132"/>
      <c r="AD221" s="8"/>
      <c r="AE221" s="9"/>
      <c r="AF221" s="8"/>
      <c r="AG221" s="9"/>
      <c r="AH221" s="8"/>
      <c r="AI221" s="8"/>
      <c r="AJ221" s="8"/>
      <c r="AK221" s="132"/>
      <c r="AL221" s="8"/>
      <c r="AM221" s="8"/>
      <c r="AN221" s="9"/>
      <c r="AO221" s="8"/>
      <c r="AP221" s="8"/>
      <c r="AQ221" s="8"/>
    </row>
    <row r="222" spans="1:43" outlineLevel="1" x14ac:dyDescent="0.15">
      <c r="A222" s="8"/>
      <c r="B222" s="8"/>
      <c r="C222" s="8"/>
      <c r="D222" s="8"/>
      <c r="E222" s="9"/>
      <c r="F222" s="8"/>
      <c r="G222" s="10"/>
      <c r="H222" s="132"/>
      <c r="I222" s="8"/>
      <c r="J222" s="9"/>
      <c r="K222" s="8"/>
      <c r="L222" s="9"/>
      <c r="M222" s="8"/>
      <c r="N222" s="132"/>
      <c r="O222" s="8"/>
      <c r="P222" s="9"/>
      <c r="Q222" s="8"/>
      <c r="R222" s="9"/>
      <c r="S222" s="8"/>
      <c r="T222" s="8"/>
      <c r="U222" s="8"/>
      <c r="V222" s="132"/>
      <c r="W222" s="8"/>
      <c r="X222" s="8"/>
      <c r="Y222" s="9"/>
      <c r="Z222" s="8"/>
      <c r="AA222" s="8"/>
      <c r="AB222" s="8"/>
      <c r="AC222" s="132"/>
      <c r="AD222" s="8"/>
      <c r="AE222" s="9"/>
      <c r="AF222" s="8"/>
      <c r="AG222" s="9"/>
      <c r="AH222" s="8"/>
      <c r="AI222" s="8"/>
      <c r="AJ222" s="8"/>
      <c r="AK222" s="132"/>
      <c r="AL222" s="8"/>
      <c r="AM222" s="8"/>
      <c r="AN222" s="9"/>
      <c r="AO222" s="8"/>
      <c r="AP222" s="8"/>
      <c r="AQ222" s="8"/>
    </row>
    <row r="223" spans="1:43" outlineLevel="1" x14ac:dyDescent="0.15">
      <c r="A223" s="8"/>
      <c r="B223" s="8"/>
      <c r="C223" s="8"/>
      <c r="D223" s="8"/>
      <c r="E223" s="9"/>
      <c r="F223" s="8"/>
      <c r="G223" s="10"/>
      <c r="H223" s="132"/>
      <c r="I223" s="8"/>
      <c r="J223" s="9"/>
      <c r="K223" s="8"/>
      <c r="L223" s="9"/>
      <c r="M223" s="8"/>
      <c r="N223" s="132"/>
      <c r="O223" s="8"/>
      <c r="P223" s="9"/>
      <c r="Q223" s="8"/>
      <c r="R223" s="9"/>
      <c r="S223" s="8"/>
      <c r="T223" s="8"/>
      <c r="U223" s="8"/>
      <c r="V223" s="132"/>
      <c r="W223" s="8"/>
      <c r="X223" s="8"/>
      <c r="Y223" s="9"/>
      <c r="Z223" s="8"/>
      <c r="AA223" s="8"/>
      <c r="AB223" s="8"/>
      <c r="AC223" s="132"/>
      <c r="AD223" s="8"/>
      <c r="AE223" s="9"/>
      <c r="AF223" s="8"/>
      <c r="AG223" s="9"/>
      <c r="AH223" s="8"/>
      <c r="AI223" s="8"/>
      <c r="AJ223" s="8"/>
      <c r="AK223" s="132"/>
      <c r="AL223" s="8"/>
      <c r="AM223" s="8"/>
      <c r="AN223" s="9"/>
      <c r="AO223" s="8"/>
      <c r="AP223" s="8"/>
      <c r="AQ223" s="8"/>
    </row>
    <row r="224" spans="1:43" outlineLevel="1" x14ac:dyDescent="0.15">
      <c r="A224" s="8"/>
      <c r="B224" s="8"/>
      <c r="C224" s="8"/>
      <c r="D224" s="8"/>
      <c r="E224" s="9"/>
      <c r="F224" s="8"/>
      <c r="G224" s="10"/>
      <c r="H224" s="132"/>
      <c r="I224" s="8"/>
      <c r="J224" s="9"/>
      <c r="K224" s="8"/>
      <c r="L224" s="9"/>
      <c r="M224" s="8"/>
      <c r="N224" s="132"/>
      <c r="O224" s="8"/>
      <c r="P224" s="9"/>
      <c r="Q224" s="8"/>
      <c r="R224" s="9"/>
      <c r="S224" s="8"/>
      <c r="T224" s="8"/>
      <c r="U224" s="8"/>
      <c r="V224" s="132"/>
      <c r="W224" s="8"/>
      <c r="X224" s="8"/>
      <c r="Y224" s="9"/>
      <c r="Z224" s="8"/>
      <c r="AA224" s="8"/>
      <c r="AB224" s="8"/>
      <c r="AC224" s="132"/>
      <c r="AD224" s="8"/>
      <c r="AE224" s="9"/>
      <c r="AF224" s="8"/>
      <c r="AG224" s="9"/>
      <c r="AH224" s="8"/>
      <c r="AI224" s="8"/>
      <c r="AJ224" s="8"/>
      <c r="AK224" s="132"/>
      <c r="AL224" s="8"/>
      <c r="AM224" s="8"/>
      <c r="AN224" s="9"/>
      <c r="AO224" s="8"/>
      <c r="AP224" s="8"/>
      <c r="AQ224" s="8"/>
    </row>
    <row r="225" spans="1:43" outlineLevel="1" x14ac:dyDescent="0.15">
      <c r="A225" s="8"/>
      <c r="B225" s="8"/>
      <c r="C225" s="8"/>
      <c r="D225" s="8"/>
      <c r="E225" s="9"/>
      <c r="F225" s="8"/>
      <c r="G225" s="10"/>
      <c r="H225" s="132"/>
      <c r="I225" s="8"/>
      <c r="J225" s="9"/>
      <c r="K225" s="8"/>
      <c r="L225" s="9"/>
      <c r="M225" s="8"/>
      <c r="N225" s="132"/>
      <c r="O225" s="8"/>
      <c r="P225" s="9"/>
      <c r="Q225" s="8"/>
      <c r="R225" s="9"/>
      <c r="S225" s="8"/>
      <c r="T225" s="8"/>
      <c r="U225" s="8"/>
      <c r="V225" s="132"/>
      <c r="W225" s="8"/>
      <c r="X225" s="8"/>
      <c r="Y225" s="9"/>
      <c r="Z225" s="8"/>
      <c r="AA225" s="8"/>
      <c r="AB225" s="8"/>
      <c r="AC225" s="132"/>
      <c r="AD225" s="8"/>
      <c r="AE225" s="9"/>
      <c r="AF225" s="8"/>
      <c r="AG225" s="9"/>
      <c r="AH225" s="8"/>
      <c r="AI225" s="8"/>
      <c r="AJ225" s="8"/>
      <c r="AK225" s="132"/>
      <c r="AL225" s="8"/>
      <c r="AM225" s="8"/>
      <c r="AN225" s="9"/>
      <c r="AO225" s="8"/>
      <c r="AP225" s="8"/>
      <c r="AQ225" s="8"/>
    </row>
    <row r="226" spans="1:43" outlineLevel="1" x14ac:dyDescent="0.15">
      <c r="A226" s="8"/>
      <c r="B226" s="8"/>
      <c r="C226" s="8"/>
      <c r="D226" s="8"/>
      <c r="E226" s="9"/>
      <c r="F226" s="8"/>
      <c r="G226" s="10"/>
      <c r="H226" s="132"/>
      <c r="I226" s="8"/>
      <c r="J226" s="9"/>
      <c r="K226" s="8"/>
      <c r="L226" s="9"/>
      <c r="M226" s="8"/>
      <c r="N226" s="132"/>
      <c r="O226" s="8"/>
      <c r="P226" s="9"/>
      <c r="Q226" s="8"/>
      <c r="R226" s="9"/>
      <c r="S226" s="8"/>
      <c r="T226" s="8"/>
      <c r="U226" s="8"/>
      <c r="V226" s="132"/>
      <c r="W226" s="8"/>
      <c r="X226" s="8"/>
      <c r="Y226" s="9"/>
      <c r="Z226" s="8"/>
      <c r="AA226" s="8"/>
      <c r="AB226" s="8"/>
      <c r="AC226" s="132"/>
      <c r="AD226" s="8"/>
      <c r="AE226" s="9"/>
      <c r="AF226" s="8"/>
      <c r="AG226" s="9"/>
      <c r="AH226" s="8"/>
      <c r="AI226" s="8"/>
      <c r="AJ226" s="8"/>
      <c r="AK226" s="132"/>
      <c r="AL226" s="8"/>
      <c r="AM226" s="8"/>
      <c r="AN226" s="9"/>
      <c r="AO226" s="8"/>
      <c r="AP226" s="8"/>
      <c r="AQ226" s="8"/>
    </row>
    <row r="227" spans="1:43" outlineLevel="1" x14ac:dyDescent="0.15">
      <c r="A227" s="8"/>
      <c r="B227" s="8"/>
      <c r="C227" s="8"/>
      <c r="D227" s="8"/>
      <c r="E227" s="9"/>
      <c r="F227" s="8"/>
      <c r="G227" s="10"/>
      <c r="H227" s="132"/>
      <c r="I227" s="8"/>
      <c r="J227" s="9"/>
      <c r="K227" s="8"/>
      <c r="L227" s="9"/>
      <c r="M227" s="8"/>
      <c r="N227" s="132"/>
      <c r="O227" s="8"/>
      <c r="P227" s="9"/>
      <c r="Q227" s="8"/>
      <c r="R227" s="9"/>
      <c r="S227" s="8"/>
      <c r="T227" s="8"/>
      <c r="U227" s="8"/>
      <c r="V227" s="132"/>
      <c r="W227" s="8"/>
      <c r="X227" s="8"/>
      <c r="Y227" s="9"/>
      <c r="Z227" s="8"/>
      <c r="AA227" s="8"/>
      <c r="AB227" s="8"/>
      <c r="AC227" s="132"/>
      <c r="AD227" s="8"/>
      <c r="AE227" s="9"/>
      <c r="AF227" s="8"/>
      <c r="AG227" s="9"/>
      <c r="AH227" s="8"/>
      <c r="AI227" s="8"/>
      <c r="AJ227" s="8"/>
      <c r="AK227" s="132"/>
      <c r="AL227" s="8"/>
      <c r="AM227" s="8"/>
      <c r="AN227" s="9"/>
      <c r="AO227" s="8"/>
      <c r="AP227" s="8"/>
      <c r="AQ227" s="8"/>
    </row>
    <row r="228" spans="1:43" outlineLevel="1" x14ac:dyDescent="0.15">
      <c r="A228" s="8"/>
      <c r="B228" s="8"/>
      <c r="C228" s="8"/>
      <c r="D228" s="8"/>
      <c r="E228" s="9"/>
      <c r="F228" s="8"/>
      <c r="G228" s="10"/>
      <c r="H228" s="132"/>
      <c r="I228" s="8"/>
      <c r="J228" s="9"/>
      <c r="K228" s="8"/>
      <c r="L228" s="9"/>
      <c r="M228" s="8"/>
      <c r="N228" s="132"/>
      <c r="O228" s="8"/>
      <c r="P228" s="9"/>
      <c r="Q228" s="8"/>
      <c r="R228" s="9"/>
      <c r="S228" s="8"/>
      <c r="T228" s="8"/>
      <c r="U228" s="8"/>
      <c r="V228" s="132"/>
      <c r="W228" s="8"/>
      <c r="X228" s="8"/>
      <c r="Y228" s="9"/>
      <c r="Z228" s="8"/>
      <c r="AA228" s="8"/>
      <c r="AB228" s="8"/>
      <c r="AC228" s="132"/>
      <c r="AD228" s="8"/>
      <c r="AE228" s="9"/>
      <c r="AF228" s="8"/>
      <c r="AG228" s="9"/>
      <c r="AH228" s="8"/>
      <c r="AI228" s="8"/>
      <c r="AJ228" s="8"/>
      <c r="AK228" s="132"/>
      <c r="AL228" s="8"/>
      <c r="AM228" s="8"/>
      <c r="AN228" s="9"/>
      <c r="AO228" s="8"/>
      <c r="AP228" s="8"/>
      <c r="AQ228" s="8"/>
    </row>
    <row r="229" spans="1:43" outlineLevel="1" x14ac:dyDescent="0.15">
      <c r="A229" s="8"/>
      <c r="B229" s="8"/>
      <c r="C229" s="8"/>
      <c r="D229" s="8"/>
      <c r="E229" s="9"/>
      <c r="F229" s="8"/>
      <c r="G229" s="10"/>
      <c r="H229" s="132"/>
      <c r="I229" s="8"/>
      <c r="J229" s="9"/>
      <c r="K229" s="8"/>
      <c r="L229" s="9"/>
      <c r="M229" s="8"/>
      <c r="N229" s="132"/>
      <c r="O229" s="8"/>
      <c r="P229" s="9"/>
      <c r="Q229" s="8"/>
      <c r="R229" s="9"/>
      <c r="S229" s="8"/>
      <c r="T229" s="8"/>
      <c r="U229" s="8"/>
      <c r="V229" s="132"/>
      <c r="W229" s="8"/>
      <c r="X229" s="8"/>
      <c r="Y229" s="9"/>
      <c r="Z229" s="8"/>
      <c r="AA229" s="8"/>
      <c r="AB229" s="8"/>
      <c r="AC229" s="132"/>
      <c r="AD229" s="8"/>
      <c r="AE229" s="9"/>
      <c r="AF229" s="8"/>
      <c r="AG229" s="9"/>
      <c r="AH229" s="8"/>
      <c r="AI229" s="8"/>
      <c r="AJ229" s="8"/>
      <c r="AK229" s="132"/>
      <c r="AL229" s="8"/>
      <c r="AM229" s="8"/>
      <c r="AN229" s="9"/>
      <c r="AO229" s="8"/>
      <c r="AP229" s="8"/>
      <c r="AQ229" s="8"/>
    </row>
    <row r="230" spans="1:43" outlineLevel="1" x14ac:dyDescent="0.15">
      <c r="A230" s="8"/>
      <c r="B230" s="8"/>
      <c r="C230" s="8"/>
      <c r="D230" s="8"/>
      <c r="E230" s="9"/>
      <c r="F230" s="8"/>
      <c r="G230" s="10"/>
      <c r="H230" s="132"/>
      <c r="I230" s="8"/>
      <c r="J230" s="9"/>
      <c r="K230" s="8"/>
      <c r="L230" s="9"/>
      <c r="M230" s="8"/>
      <c r="N230" s="132"/>
      <c r="O230" s="8"/>
      <c r="P230" s="9"/>
      <c r="Q230" s="8"/>
      <c r="R230" s="9"/>
      <c r="S230" s="8"/>
      <c r="T230" s="8"/>
      <c r="U230" s="8"/>
      <c r="V230" s="132"/>
      <c r="W230" s="8"/>
      <c r="X230" s="8"/>
      <c r="Y230" s="9"/>
      <c r="Z230" s="8"/>
      <c r="AA230" s="8"/>
      <c r="AB230" s="8"/>
      <c r="AC230" s="132"/>
      <c r="AD230" s="8"/>
      <c r="AE230" s="9"/>
      <c r="AF230" s="8"/>
      <c r="AG230" s="9"/>
      <c r="AH230" s="8"/>
      <c r="AI230" s="8"/>
      <c r="AJ230" s="8"/>
      <c r="AK230" s="132"/>
      <c r="AL230" s="8"/>
      <c r="AM230" s="8"/>
      <c r="AN230" s="9"/>
      <c r="AO230" s="8"/>
      <c r="AP230" s="8"/>
      <c r="AQ230" s="8"/>
    </row>
    <row r="231" spans="1:43" outlineLevel="1" x14ac:dyDescent="0.15">
      <c r="A231" s="8"/>
      <c r="B231" s="8"/>
      <c r="C231" s="8"/>
      <c r="D231" s="8"/>
      <c r="E231" s="9"/>
      <c r="F231" s="8"/>
      <c r="G231" s="10"/>
      <c r="H231" s="132"/>
      <c r="I231" s="8"/>
      <c r="J231" s="9"/>
      <c r="K231" s="8"/>
      <c r="L231" s="9"/>
      <c r="M231" s="8"/>
      <c r="N231" s="132"/>
      <c r="O231" s="8"/>
      <c r="P231" s="9"/>
      <c r="Q231" s="8"/>
      <c r="R231" s="9"/>
      <c r="S231" s="8"/>
      <c r="T231" s="8"/>
      <c r="U231" s="8"/>
      <c r="V231" s="132"/>
      <c r="W231" s="8"/>
      <c r="X231" s="8"/>
      <c r="Y231" s="9"/>
      <c r="Z231" s="8"/>
      <c r="AA231" s="8"/>
      <c r="AB231" s="8"/>
      <c r="AC231" s="132"/>
      <c r="AD231" s="8"/>
      <c r="AE231" s="9"/>
      <c r="AF231" s="8"/>
      <c r="AG231" s="9"/>
      <c r="AH231" s="8"/>
      <c r="AI231" s="8"/>
      <c r="AJ231" s="8"/>
      <c r="AK231" s="132"/>
      <c r="AL231" s="8"/>
      <c r="AM231" s="8"/>
      <c r="AN231" s="9"/>
      <c r="AO231" s="8"/>
      <c r="AP231" s="8"/>
      <c r="AQ231" s="8"/>
    </row>
    <row r="232" spans="1:43" outlineLevel="1" x14ac:dyDescent="0.15">
      <c r="A232" s="8"/>
      <c r="B232" s="8"/>
      <c r="C232" s="8"/>
      <c r="D232" s="8"/>
      <c r="E232" s="9"/>
      <c r="F232" s="8"/>
      <c r="G232" s="10"/>
      <c r="H232" s="132"/>
      <c r="I232" s="8"/>
      <c r="J232" s="9"/>
      <c r="K232" s="8"/>
      <c r="L232" s="9"/>
      <c r="M232" s="8"/>
      <c r="N232" s="132"/>
      <c r="O232" s="8"/>
      <c r="P232" s="9"/>
      <c r="Q232" s="8"/>
      <c r="R232" s="9"/>
      <c r="S232" s="8"/>
      <c r="T232" s="8"/>
      <c r="U232" s="8"/>
      <c r="V232" s="132"/>
      <c r="W232" s="8"/>
      <c r="X232" s="8"/>
      <c r="Y232" s="9"/>
      <c r="Z232" s="8"/>
      <c r="AA232" s="8"/>
      <c r="AB232" s="8"/>
      <c r="AC232" s="132"/>
      <c r="AD232" s="8"/>
      <c r="AE232" s="9"/>
      <c r="AF232" s="8"/>
      <c r="AG232" s="9"/>
      <c r="AH232" s="8"/>
      <c r="AI232" s="8"/>
      <c r="AJ232" s="8"/>
      <c r="AK232" s="132"/>
      <c r="AL232" s="8"/>
      <c r="AM232" s="8"/>
      <c r="AN232" s="9"/>
      <c r="AO232" s="8"/>
      <c r="AP232" s="8"/>
      <c r="AQ232" s="8"/>
    </row>
    <row r="233" spans="1:43" outlineLevel="1" x14ac:dyDescent="0.15">
      <c r="A233" s="8"/>
      <c r="B233" s="8"/>
      <c r="C233" s="8"/>
      <c r="D233" s="8"/>
      <c r="E233" s="9"/>
      <c r="F233" s="8"/>
      <c r="G233" s="10"/>
      <c r="H233" s="132"/>
      <c r="I233" s="8"/>
      <c r="J233" s="9"/>
      <c r="K233" s="8"/>
      <c r="L233" s="9"/>
      <c r="M233" s="8"/>
      <c r="N233" s="132"/>
      <c r="O233" s="8"/>
      <c r="P233" s="9"/>
      <c r="Q233" s="8"/>
      <c r="R233" s="9"/>
      <c r="S233" s="8"/>
      <c r="T233" s="8"/>
      <c r="U233" s="8"/>
      <c r="V233" s="132"/>
      <c r="W233" s="8"/>
      <c r="X233" s="8"/>
      <c r="Y233" s="9"/>
      <c r="Z233" s="8"/>
      <c r="AA233" s="8"/>
      <c r="AB233" s="8"/>
      <c r="AC233" s="132"/>
      <c r="AD233" s="8"/>
      <c r="AE233" s="9"/>
      <c r="AF233" s="8"/>
      <c r="AG233" s="9"/>
      <c r="AH233" s="8"/>
      <c r="AI233" s="8"/>
      <c r="AJ233" s="8"/>
      <c r="AK233" s="132"/>
      <c r="AL233" s="8"/>
      <c r="AM233" s="8"/>
      <c r="AN233" s="9"/>
      <c r="AO233" s="8"/>
      <c r="AP233" s="8"/>
      <c r="AQ233" s="8"/>
    </row>
    <row r="234" spans="1:43" outlineLevel="1" x14ac:dyDescent="0.15">
      <c r="A234" s="8"/>
      <c r="B234" s="8"/>
      <c r="C234" s="8"/>
      <c r="D234" s="8"/>
      <c r="E234" s="9"/>
      <c r="F234" s="8"/>
      <c r="G234" s="10"/>
      <c r="H234" s="132"/>
      <c r="I234" s="8"/>
      <c r="J234" s="9"/>
      <c r="K234" s="8"/>
      <c r="L234" s="9"/>
      <c r="M234" s="8"/>
      <c r="N234" s="132"/>
      <c r="O234" s="8"/>
      <c r="P234" s="9"/>
      <c r="Q234" s="8"/>
      <c r="R234" s="9"/>
      <c r="S234" s="8"/>
      <c r="T234" s="8"/>
      <c r="U234" s="8"/>
      <c r="V234" s="132"/>
      <c r="W234" s="8"/>
      <c r="X234" s="8"/>
      <c r="Y234" s="9"/>
      <c r="Z234" s="8"/>
      <c r="AA234" s="8"/>
      <c r="AB234" s="8"/>
      <c r="AC234" s="132"/>
      <c r="AD234" s="8"/>
      <c r="AE234" s="9"/>
      <c r="AF234" s="8"/>
      <c r="AG234" s="9"/>
      <c r="AH234" s="8"/>
      <c r="AI234" s="8"/>
      <c r="AJ234" s="8"/>
      <c r="AK234" s="132"/>
      <c r="AL234" s="8"/>
      <c r="AM234" s="8"/>
      <c r="AN234" s="9"/>
      <c r="AO234" s="8"/>
      <c r="AP234" s="8"/>
      <c r="AQ234" s="8"/>
    </row>
    <row r="235" spans="1:43" outlineLevel="1" x14ac:dyDescent="0.15">
      <c r="A235" s="8"/>
      <c r="B235" s="8"/>
      <c r="C235" s="8"/>
      <c r="D235" s="8"/>
      <c r="E235" s="9"/>
      <c r="F235" s="8"/>
      <c r="G235" s="10"/>
      <c r="H235" s="132"/>
      <c r="I235" s="8"/>
      <c r="J235" s="9"/>
      <c r="K235" s="8"/>
      <c r="L235" s="9"/>
      <c r="M235" s="8"/>
      <c r="N235" s="132"/>
      <c r="O235" s="8"/>
      <c r="P235" s="9"/>
      <c r="Q235" s="8"/>
      <c r="R235" s="9"/>
      <c r="S235" s="8"/>
      <c r="T235" s="8"/>
      <c r="U235" s="8"/>
      <c r="V235" s="132"/>
      <c r="W235" s="8"/>
      <c r="X235" s="8"/>
      <c r="Y235" s="9"/>
      <c r="Z235" s="8"/>
      <c r="AA235" s="8"/>
      <c r="AB235" s="8"/>
      <c r="AC235" s="132"/>
      <c r="AD235" s="8"/>
      <c r="AE235" s="9"/>
      <c r="AF235" s="8"/>
      <c r="AG235" s="9"/>
      <c r="AH235" s="8"/>
      <c r="AI235" s="8"/>
      <c r="AJ235" s="8"/>
      <c r="AK235" s="132"/>
      <c r="AL235" s="8"/>
      <c r="AM235" s="8"/>
      <c r="AN235" s="9"/>
      <c r="AO235" s="8"/>
      <c r="AP235" s="8"/>
      <c r="AQ235" s="8"/>
    </row>
    <row r="236" spans="1:43" outlineLevel="1" x14ac:dyDescent="0.15">
      <c r="A236" s="8"/>
      <c r="B236" s="8"/>
      <c r="C236" s="8"/>
      <c r="D236" s="8"/>
      <c r="E236" s="9"/>
      <c r="F236" s="8"/>
      <c r="G236" s="10"/>
      <c r="H236" s="132"/>
      <c r="I236" s="8"/>
      <c r="J236" s="9"/>
      <c r="K236" s="8"/>
      <c r="L236" s="9"/>
      <c r="M236" s="8"/>
      <c r="N236" s="132"/>
      <c r="O236" s="8"/>
      <c r="P236" s="9"/>
      <c r="Q236" s="8"/>
      <c r="R236" s="9"/>
      <c r="S236" s="8"/>
      <c r="T236" s="8"/>
      <c r="U236" s="8"/>
      <c r="V236" s="132"/>
      <c r="W236" s="8"/>
      <c r="X236" s="8"/>
      <c r="Y236" s="9"/>
      <c r="Z236" s="8"/>
      <c r="AA236" s="8"/>
      <c r="AB236" s="8"/>
      <c r="AC236" s="132"/>
      <c r="AD236" s="8"/>
      <c r="AE236" s="9"/>
      <c r="AF236" s="8"/>
      <c r="AG236" s="9"/>
      <c r="AH236" s="8"/>
      <c r="AI236" s="8"/>
      <c r="AJ236" s="8"/>
      <c r="AK236" s="132"/>
      <c r="AL236" s="8"/>
      <c r="AM236" s="8"/>
      <c r="AN236" s="9"/>
      <c r="AO236" s="8"/>
      <c r="AP236" s="8"/>
      <c r="AQ236" s="8"/>
    </row>
    <row r="237" spans="1:43" outlineLevel="1" x14ac:dyDescent="0.15">
      <c r="A237" s="8"/>
      <c r="B237" s="8"/>
      <c r="C237" s="8"/>
      <c r="D237" s="8"/>
      <c r="E237" s="9"/>
      <c r="F237" s="8"/>
      <c r="G237" s="10"/>
      <c r="H237" s="132"/>
      <c r="I237" s="8"/>
      <c r="J237" s="9"/>
      <c r="K237" s="8"/>
      <c r="L237" s="9"/>
      <c r="M237" s="8"/>
      <c r="N237" s="132"/>
      <c r="O237" s="8"/>
      <c r="P237" s="9"/>
      <c r="Q237" s="8"/>
      <c r="R237" s="9"/>
      <c r="S237" s="8"/>
      <c r="T237" s="8"/>
      <c r="U237" s="8"/>
      <c r="V237" s="132"/>
      <c r="W237" s="8"/>
      <c r="X237" s="8"/>
      <c r="Y237" s="9"/>
      <c r="Z237" s="8"/>
      <c r="AA237" s="8"/>
      <c r="AB237" s="8"/>
      <c r="AC237" s="132"/>
      <c r="AD237" s="8"/>
      <c r="AE237" s="9"/>
      <c r="AF237" s="8"/>
      <c r="AG237" s="9"/>
      <c r="AH237" s="8"/>
      <c r="AI237" s="8"/>
      <c r="AJ237" s="8"/>
      <c r="AK237" s="132"/>
      <c r="AL237" s="8"/>
      <c r="AM237" s="8"/>
      <c r="AN237" s="9"/>
      <c r="AO237" s="8"/>
      <c r="AP237" s="8"/>
      <c r="AQ237" s="8"/>
    </row>
    <row r="238" spans="1:43" outlineLevel="1" x14ac:dyDescent="0.15">
      <c r="A238" s="8"/>
      <c r="B238" s="8"/>
      <c r="C238" s="8"/>
      <c r="D238" s="8"/>
      <c r="E238" s="9"/>
      <c r="F238" s="8"/>
      <c r="G238" s="10"/>
      <c r="H238" s="132"/>
      <c r="I238" s="8"/>
      <c r="J238" s="9"/>
      <c r="K238" s="8"/>
      <c r="L238" s="9"/>
      <c r="M238" s="8"/>
      <c r="N238" s="132"/>
      <c r="O238" s="8"/>
      <c r="P238" s="9"/>
      <c r="Q238" s="8"/>
      <c r="R238" s="9"/>
      <c r="S238" s="8"/>
      <c r="T238" s="8"/>
      <c r="U238" s="8"/>
      <c r="V238" s="132"/>
      <c r="W238" s="8"/>
      <c r="X238" s="8"/>
      <c r="Y238" s="9"/>
      <c r="Z238" s="8"/>
      <c r="AA238" s="8"/>
      <c r="AB238" s="8"/>
      <c r="AC238" s="132"/>
      <c r="AD238" s="8"/>
      <c r="AE238" s="9"/>
      <c r="AF238" s="8"/>
      <c r="AG238" s="9"/>
      <c r="AH238" s="8"/>
      <c r="AI238" s="8"/>
      <c r="AJ238" s="8"/>
      <c r="AK238" s="132"/>
      <c r="AL238" s="8"/>
      <c r="AM238" s="8"/>
      <c r="AN238" s="9"/>
      <c r="AO238" s="8"/>
      <c r="AP238" s="8"/>
      <c r="AQ238" s="8"/>
    </row>
    <row r="239" spans="1:43" outlineLevel="1" x14ac:dyDescent="0.15">
      <c r="A239" s="8"/>
      <c r="B239" s="8"/>
      <c r="C239" s="8"/>
      <c r="D239" s="8"/>
      <c r="E239" s="9"/>
      <c r="F239" s="8"/>
      <c r="G239" s="10"/>
      <c r="H239" s="132"/>
      <c r="I239" s="8"/>
      <c r="J239" s="9"/>
      <c r="K239" s="8"/>
      <c r="L239" s="9"/>
      <c r="M239" s="8"/>
      <c r="N239" s="132"/>
      <c r="O239" s="8"/>
      <c r="P239" s="9"/>
      <c r="Q239" s="8"/>
      <c r="R239" s="9"/>
      <c r="S239" s="8"/>
      <c r="T239" s="8"/>
      <c r="U239" s="8"/>
      <c r="V239" s="132"/>
      <c r="W239" s="8"/>
      <c r="X239" s="8"/>
      <c r="Y239" s="9"/>
      <c r="Z239" s="8"/>
      <c r="AA239" s="8"/>
      <c r="AB239" s="8"/>
      <c r="AC239" s="132"/>
      <c r="AD239" s="8"/>
      <c r="AE239" s="9"/>
      <c r="AF239" s="8"/>
      <c r="AG239" s="9"/>
      <c r="AH239" s="8"/>
      <c r="AI239" s="8"/>
      <c r="AJ239" s="8"/>
      <c r="AK239" s="132"/>
      <c r="AL239" s="8"/>
      <c r="AM239" s="8"/>
      <c r="AN239" s="9"/>
      <c r="AO239" s="8"/>
      <c r="AP239" s="8"/>
      <c r="AQ239" s="8"/>
    </row>
    <row r="240" spans="1:43" outlineLevel="1" x14ac:dyDescent="0.15">
      <c r="A240" s="8"/>
      <c r="B240" s="8"/>
      <c r="C240" s="8"/>
      <c r="D240" s="8"/>
      <c r="E240" s="9"/>
      <c r="F240" s="8"/>
      <c r="G240" s="10"/>
      <c r="H240" s="132"/>
      <c r="I240" s="8"/>
      <c r="J240" s="9"/>
      <c r="K240" s="8"/>
      <c r="L240" s="9"/>
      <c r="M240" s="8"/>
      <c r="N240" s="132"/>
      <c r="O240" s="8"/>
      <c r="P240" s="9"/>
      <c r="Q240" s="8"/>
      <c r="R240" s="9"/>
      <c r="S240" s="8"/>
      <c r="T240" s="8"/>
      <c r="U240" s="8"/>
      <c r="V240" s="132"/>
      <c r="W240" s="8"/>
      <c r="X240" s="8"/>
      <c r="Y240" s="9"/>
      <c r="Z240" s="8"/>
      <c r="AA240" s="8"/>
      <c r="AB240" s="8"/>
      <c r="AC240" s="132"/>
      <c r="AD240" s="8"/>
      <c r="AE240" s="9"/>
      <c r="AF240" s="8"/>
      <c r="AG240" s="9"/>
      <c r="AH240" s="8"/>
      <c r="AI240" s="8"/>
      <c r="AJ240" s="8"/>
      <c r="AK240" s="132"/>
      <c r="AL240" s="8"/>
      <c r="AM240" s="8"/>
      <c r="AN240" s="9"/>
      <c r="AO240" s="8"/>
      <c r="AP240" s="8"/>
      <c r="AQ240" s="8"/>
    </row>
    <row r="241" spans="1:43" outlineLevel="1" x14ac:dyDescent="0.15">
      <c r="A241" s="8"/>
      <c r="B241" s="8"/>
      <c r="C241" s="8"/>
      <c r="D241" s="8"/>
      <c r="E241" s="9"/>
      <c r="F241" s="8"/>
      <c r="G241" s="10"/>
      <c r="H241" s="132"/>
      <c r="I241" s="8"/>
      <c r="J241" s="9"/>
      <c r="K241" s="8"/>
      <c r="L241" s="9"/>
      <c r="M241" s="8"/>
      <c r="N241" s="132"/>
      <c r="O241" s="8"/>
      <c r="P241" s="9"/>
      <c r="Q241" s="8"/>
      <c r="R241" s="9"/>
      <c r="S241" s="8"/>
      <c r="T241" s="8"/>
      <c r="U241" s="8"/>
      <c r="V241" s="132"/>
      <c r="W241" s="8"/>
      <c r="X241" s="8"/>
      <c r="Y241" s="9"/>
      <c r="Z241" s="8"/>
      <c r="AA241" s="8"/>
      <c r="AB241" s="8"/>
      <c r="AC241" s="132"/>
      <c r="AD241" s="8"/>
      <c r="AE241" s="9"/>
      <c r="AF241" s="8"/>
      <c r="AG241" s="9"/>
      <c r="AH241" s="8"/>
      <c r="AI241" s="8"/>
      <c r="AJ241" s="8"/>
      <c r="AK241" s="132"/>
      <c r="AL241" s="8"/>
      <c r="AM241" s="8"/>
      <c r="AN241" s="9"/>
      <c r="AO241" s="8"/>
      <c r="AP241" s="8"/>
      <c r="AQ241" s="8"/>
    </row>
    <row r="242" spans="1:43" outlineLevel="1" x14ac:dyDescent="0.15">
      <c r="A242" s="8"/>
      <c r="B242" s="8"/>
      <c r="C242" s="8"/>
      <c r="D242" s="8"/>
      <c r="E242" s="9"/>
      <c r="F242" s="8"/>
      <c r="G242" s="10"/>
      <c r="H242" s="132"/>
      <c r="I242" s="8"/>
      <c r="J242" s="9"/>
      <c r="K242" s="8"/>
      <c r="L242" s="9"/>
      <c r="M242" s="8"/>
      <c r="N242" s="132"/>
      <c r="O242" s="8"/>
      <c r="P242" s="9"/>
      <c r="Q242" s="8"/>
      <c r="R242" s="9"/>
      <c r="S242" s="8"/>
      <c r="T242" s="8"/>
      <c r="U242" s="8"/>
      <c r="V242" s="132"/>
      <c r="W242" s="8"/>
      <c r="X242" s="8"/>
      <c r="Y242" s="9"/>
      <c r="Z242" s="8"/>
      <c r="AA242" s="8"/>
      <c r="AB242" s="8"/>
      <c r="AC242" s="132"/>
      <c r="AD242" s="8"/>
      <c r="AE242" s="9"/>
      <c r="AF242" s="8"/>
      <c r="AG242" s="9"/>
      <c r="AH242" s="8"/>
      <c r="AI242" s="8"/>
      <c r="AJ242" s="8"/>
      <c r="AK242" s="132"/>
      <c r="AL242" s="8"/>
      <c r="AM242" s="8"/>
      <c r="AN242" s="9"/>
      <c r="AO242" s="8"/>
      <c r="AP242" s="8"/>
      <c r="AQ242" s="8"/>
    </row>
    <row r="243" spans="1:43" outlineLevel="1" x14ac:dyDescent="0.15">
      <c r="A243" s="8"/>
      <c r="B243" s="8"/>
      <c r="C243" s="8"/>
      <c r="D243" s="8"/>
      <c r="E243" s="9"/>
      <c r="F243" s="8"/>
      <c r="G243" s="10"/>
      <c r="H243" s="132"/>
      <c r="I243" s="8"/>
      <c r="J243" s="9"/>
      <c r="K243" s="8"/>
      <c r="L243" s="9"/>
      <c r="M243" s="8"/>
      <c r="N243" s="132"/>
      <c r="O243" s="8"/>
      <c r="P243" s="9"/>
      <c r="Q243" s="8"/>
      <c r="R243" s="9"/>
      <c r="S243" s="8"/>
      <c r="T243" s="8"/>
      <c r="U243" s="8"/>
      <c r="V243" s="132"/>
      <c r="W243" s="8"/>
      <c r="X243" s="8"/>
      <c r="Y243" s="9"/>
      <c r="Z243" s="8"/>
      <c r="AA243" s="8"/>
      <c r="AB243" s="8"/>
      <c r="AC243" s="132"/>
      <c r="AD243" s="8"/>
      <c r="AE243" s="9"/>
      <c r="AF243" s="8"/>
      <c r="AG243" s="9"/>
      <c r="AH243" s="8"/>
      <c r="AI243" s="8"/>
      <c r="AJ243" s="8"/>
      <c r="AK243" s="132"/>
      <c r="AL243" s="8"/>
      <c r="AM243" s="8"/>
      <c r="AN243" s="9"/>
      <c r="AO243" s="8"/>
      <c r="AP243" s="8"/>
      <c r="AQ243" s="8"/>
    </row>
    <row r="244" spans="1:43" outlineLevel="1" x14ac:dyDescent="0.15">
      <c r="A244" s="8"/>
      <c r="B244" s="8"/>
      <c r="C244" s="8"/>
      <c r="D244" s="8"/>
      <c r="E244" s="9"/>
      <c r="F244" s="8"/>
      <c r="G244" s="10"/>
      <c r="H244" s="132"/>
      <c r="I244" s="8"/>
      <c r="J244" s="9"/>
      <c r="K244" s="8"/>
      <c r="L244" s="9"/>
      <c r="M244" s="8"/>
      <c r="N244" s="132"/>
      <c r="O244" s="8"/>
      <c r="P244" s="9"/>
      <c r="Q244" s="8"/>
      <c r="R244" s="9"/>
      <c r="S244" s="8"/>
      <c r="T244" s="8"/>
      <c r="U244" s="8"/>
      <c r="V244" s="132"/>
      <c r="W244" s="8"/>
      <c r="X244" s="8"/>
      <c r="Y244" s="9"/>
      <c r="Z244" s="8"/>
      <c r="AA244" s="8"/>
      <c r="AB244" s="8"/>
      <c r="AC244" s="132"/>
      <c r="AD244" s="8"/>
      <c r="AE244" s="9"/>
      <c r="AF244" s="8"/>
      <c r="AG244" s="9"/>
      <c r="AH244" s="8"/>
      <c r="AI244" s="8"/>
      <c r="AJ244" s="8"/>
      <c r="AK244" s="132"/>
      <c r="AL244" s="8"/>
      <c r="AM244" s="8"/>
      <c r="AN244" s="9"/>
      <c r="AO244" s="8"/>
      <c r="AP244" s="8"/>
      <c r="AQ244" s="8"/>
    </row>
    <row r="245" spans="1:43" outlineLevel="1" x14ac:dyDescent="0.15">
      <c r="A245" s="8"/>
      <c r="B245" s="8"/>
      <c r="C245" s="8"/>
      <c r="D245" s="8"/>
      <c r="E245" s="9"/>
      <c r="F245" s="8"/>
      <c r="G245" s="10"/>
      <c r="H245" s="132"/>
      <c r="I245" s="8"/>
      <c r="J245" s="9"/>
      <c r="K245" s="8"/>
      <c r="L245" s="9"/>
      <c r="M245" s="8"/>
      <c r="N245" s="132"/>
      <c r="O245" s="8"/>
      <c r="P245" s="9"/>
      <c r="Q245" s="8"/>
      <c r="R245" s="9"/>
      <c r="S245" s="8"/>
      <c r="T245" s="8"/>
      <c r="U245" s="8"/>
      <c r="V245" s="132"/>
      <c r="W245" s="8"/>
      <c r="X245" s="8"/>
      <c r="Y245" s="9"/>
      <c r="Z245" s="8"/>
      <c r="AA245" s="8"/>
      <c r="AB245" s="8"/>
      <c r="AC245" s="132"/>
      <c r="AD245" s="8"/>
      <c r="AE245" s="9"/>
      <c r="AF245" s="8"/>
      <c r="AG245" s="9"/>
      <c r="AH245" s="8"/>
      <c r="AI245" s="8"/>
      <c r="AJ245" s="8"/>
      <c r="AK245" s="132"/>
      <c r="AL245" s="8"/>
      <c r="AM245" s="8"/>
      <c r="AN245" s="9"/>
      <c r="AO245" s="8"/>
      <c r="AP245" s="8"/>
      <c r="AQ245" s="8"/>
    </row>
    <row r="246" spans="1:43" outlineLevel="1" x14ac:dyDescent="0.15">
      <c r="A246" s="8"/>
      <c r="B246" s="8"/>
      <c r="C246" s="8"/>
      <c r="D246" s="8"/>
      <c r="E246" s="9"/>
      <c r="F246" s="8"/>
      <c r="G246" s="10"/>
      <c r="H246" s="132"/>
      <c r="I246" s="8"/>
      <c r="J246" s="9"/>
      <c r="K246" s="8"/>
      <c r="L246" s="9"/>
      <c r="M246" s="8"/>
      <c r="N246" s="132"/>
      <c r="O246" s="8"/>
      <c r="P246" s="9"/>
      <c r="Q246" s="8"/>
      <c r="R246" s="9"/>
      <c r="S246" s="8"/>
      <c r="T246" s="8"/>
      <c r="U246" s="8"/>
      <c r="V246" s="132"/>
      <c r="W246" s="8"/>
      <c r="X246" s="8"/>
      <c r="Y246" s="9"/>
      <c r="Z246" s="8"/>
      <c r="AA246" s="8"/>
      <c r="AB246" s="8"/>
      <c r="AC246" s="132"/>
      <c r="AD246" s="8"/>
      <c r="AE246" s="9"/>
      <c r="AF246" s="8"/>
      <c r="AG246" s="9"/>
      <c r="AH246" s="8"/>
      <c r="AI246" s="8"/>
      <c r="AJ246" s="8"/>
      <c r="AK246" s="132"/>
      <c r="AL246" s="8"/>
      <c r="AM246" s="8"/>
      <c r="AN246" s="9"/>
      <c r="AO246" s="8"/>
      <c r="AP246" s="8"/>
      <c r="AQ246" s="8"/>
    </row>
    <row r="247" spans="1:43" outlineLevel="1" x14ac:dyDescent="0.15">
      <c r="A247" s="8"/>
      <c r="B247" s="8"/>
      <c r="C247" s="8"/>
      <c r="D247" s="8"/>
      <c r="E247" s="9"/>
      <c r="F247" s="8"/>
      <c r="G247" s="10"/>
      <c r="H247" s="132"/>
      <c r="I247" s="8"/>
      <c r="J247" s="9"/>
      <c r="K247" s="8"/>
      <c r="L247" s="9"/>
      <c r="M247" s="8"/>
      <c r="N247" s="132"/>
      <c r="O247" s="8"/>
      <c r="P247" s="9"/>
      <c r="Q247" s="8"/>
      <c r="R247" s="9"/>
      <c r="S247" s="8"/>
      <c r="T247" s="8"/>
      <c r="U247" s="8"/>
      <c r="V247" s="132"/>
      <c r="W247" s="8"/>
      <c r="X247" s="8"/>
      <c r="Y247" s="9"/>
      <c r="Z247" s="8"/>
      <c r="AA247" s="8"/>
      <c r="AB247" s="8"/>
      <c r="AC247" s="132"/>
      <c r="AD247" s="8"/>
      <c r="AE247" s="9"/>
      <c r="AF247" s="8"/>
      <c r="AG247" s="9"/>
      <c r="AH247" s="8"/>
      <c r="AI247" s="8"/>
      <c r="AJ247" s="8"/>
      <c r="AK247" s="132"/>
      <c r="AL247" s="8"/>
      <c r="AM247" s="8"/>
      <c r="AN247" s="9"/>
      <c r="AO247" s="8"/>
      <c r="AP247" s="8"/>
      <c r="AQ247" s="8"/>
    </row>
    <row r="248" spans="1:43" outlineLevel="1" x14ac:dyDescent="0.15">
      <c r="A248" s="8"/>
      <c r="B248" s="8"/>
      <c r="C248" s="8"/>
      <c r="D248" s="8"/>
      <c r="E248" s="9"/>
      <c r="F248" s="8"/>
      <c r="G248" s="10"/>
      <c r="H248" s="132"/>
      <c r="I248" s="8"/>
      <c r="J248" s="9"/>
      <c r="K248" s="8"/>
      <c r="L248" s="9"/>
      <c r="M248" s="8"/>
      <c r="N248" s="132"/>
      <c r="O248" s="8"/>
      <c r="P248" s="9"/>
      <c r="Q248" s="8"/>
      <c r="R248" s="9"/>
      <c r="S248" s="8"/>
      <c r="T248" s="8"/>
      <c r="U248" s="8"/>
      <c r="V248" s="132"/>
      <c r="W248" s="8"/>
      <c r="X248" s="8"/>
      <c r="Y248" s="9"/>
      <c r="Z248" s="8"/>
      <c r="AA248" s="8"/>
      <c r="AB248" s="8"/>
      <c r="AC248" s="132"/>
      <c r="AD248" s="8"/>
      <c r="AE248" s="9"/>
      <c r="AF248" s="8"/>
      <c r="AG248" s="9"/>
      <c r="AH248" s="8"/>
      <c r="AI248" s="8"/>
      <c r="AJ248" s="8"/>
      <c r="AK248" s="132"/>
      <c r="AL248" s="8"/>
      <c r="AM248" s="8"/>
      <c r="AN248" s="9"/>
      <c r="AO248" s="8"/>
      <c r="AP248" s="8"/>
      <c r="AQ248" s="8"/>
    </row>
    <row r="249" spans="1:43" outlineLevel="1" x14ac:dyDescent="0.15">
      <c r="A249" s="8"/>
      <c r="B249" s="8"/>
      <c r="C249" s="8"/>
      <c r="D249" s="8"/>
      <c r="E249" s="9"/>
      <c r="F249" s="8"/>
      <c r="G249" s="10"/>
      <c r="H249" s="132"/>
      <c r="I249" s="8"/>
      <c r="J249" s="9"/>
      <c r="K249" s="8"/>
      <c r="L249" s="9"/>
      <c r="M249" s="8"/>
      <c r="N249" s="132"/>
      <c r="O249" s="8"/>
      <c r="P249" s="9"/>
      <c r="Q249" s="8"/>
      <c r="R249" s="9"/>
      <c r="S249" s="8"/>
      <c r="T249" s="8"/>
      <c r="U249" s="8"/>
      <c r="V249" s="132"/>
      <c r="W249" s="8"/>
      <c r="X249" s="8"/>
      <c r="Y249" s="9"/>
      <c r="Z249" s="8"/>
      <c r="AA249" s="8"/>
      <c r="AB249" s="8"/>
      <c r="AC249" s="132"/>
      <c r="AD249" s="8"/>
      <c r="AE249" s="9"/>
      <c r="AF249" s="8"/>
      <c r="AG249" s="9"/>
      <c r="AH249" s="8"/>
      <c r="AI249" s="8"/>
      <c r="AJ249" s="8"/>
      <c r="AK249" s="132"/>
      <c r="AL249" s="8"/>
      <c r="AM249" s="8"/>
      <c r="AN249" s="9"/>
      <c r="AO249" s="8"/>
      <c r="AP249" s="8"/>
      <c r="AQ249" s="8"/>
    </row>
    <row r="250" spans="1:43" outlineLevel="1" x14ac:dyDescent="0.15">
      <c r="A250" s="8"/>
      <c r="B250" s="8"/>
      <c r="C250" s="8"/>
      <c r="D250" s="8"/>
      <c r="E250" s="9"/>
      <c r="F250" s="8"/>
      <c r="G250" s="10"/>
      <c r="H250" s="132"/>
      <c r="I250" s="8"/>
      <c r="J250" s="9"/>
      <c r="K250" s="8"/>
      <c r="L250" s="9"/>
      <c r="M250" s="8"/>
      <c r="N250" s="132"/>
      <c r="O250" s="8"/>
      <c r="P250" s="9"/>
      <c r="Q250" s="8"/>
      <c r="R250" s="9"/>
      <c r="S250" s="8"/>
      <c r="T250" s="8"/>
      <c r="U250" s="8"/>
      <c r="V250" s="132"/>
      <c r="W250" s="8"/>
      <c r="X250" s="8"/>
      <c r="Y250" s="9"/>
      <c r="Z250" s="8"/>
      <c r="AA250" s="8"/>
      <c r="AB250" s="8"/>
      <c r="AC250" s="132"/>
      <c r="AD250" s="8"/>
      <c r="AE250" s="9"/>
      <c r="AF250" s="8"/>
      <c r="AG250" s="9"/>
      <c r="AH250" s="8"/>
      <c r="AI250" s="8"/>
      <c r="AJ250" s="8"/>
      <c r="AK250" s="132"/>
      <c r="AL250" s="8"/>
      <c r="AM250" s="8"/>
      <c r="AN250" s="9"/>
      <c r="AO250" s="8"/>
      <c r="AP250" s="8"/>
      <c r="AQ250" s="8"/>
    </row>
    <row r="251" spans="1:43" outlineLevel="1" x14ac:dyDescent="0.15">
      <c r="A251" s="8"/>
      <c r="B251" s="8"/>
      <c r="C251" s="8"/>
      <c r="D251" s="8"/>
      <c r="E251" s="9"/>
      <c r="F251" s="8"/>
      <c r="G251" s="10"/>
      <c r="H251" s="132"/>
      <c r="I251" s="8"/>
      <c r="J251" s="9"/>
      <c r="K251" s="8"/>
      <c r="L251" s="9"/>
      <c r="M251" s="8"/>
      <c r="N251" s="132"/>
      <c r="O251" s="8"/>
      <c r="P251" s="9"/>
      <c r="Q251" s="8"/>
      <c r="R251" s="9"/>
      <c r="S251" s="8"/>
      <c r="T251" s="8"/>
      <c r="U251" s="8"/>
      <c r="V251" s="132"/>
      <c r="W251" s="8"/>
      <c r="X251" s="8"/>
      <c r="Y251" s="9"/>
      <c r="Z251" s="8"/>
      <c r="AA251" s="8"/>
      <c r="AB251" s="8"/>
      <c r="AC251" s="132"/>
      <c r="AD251" s="8"/>
      <c r="AE251" s="9"/>
      <c r="AF251" s="8"/>
      <c r="AG251" s="9"/>
      <c r="AH251" s="8"/>
      <c r="AI251" s="8"/>
      <c r="AJ251" s="8"/>
      <c r="AK251" s="132"/>
      <c r="AL251" s="8"/>
      <c r="AM251" s="8"/>
      <c r="AN251" s="9"/>
      <c r="AO251" s="8"/>
      <c r="AP251" s="8"/>
      <c r="AQ251" s="8"/>
    </row>
    <row r="252" spans="1:43" outlineLevel="1" x14ac:dyDescent="0.15">
      <c r="A252" s="8"/>
      <c r="B252" s="8"/>
      <c r="C252" s="8"/>
      <c r="D252" s="8"/>
      <c r="E252" s="9"/>
      <c r="F252" s="8"/>
      <c r="G252" s="10"/>
      <c r="H252" s="132"/>
      <c r="I252" s="8"/>
      <c r="J252" s="9"/>
      <c r="K252" s="8"/>
      <c r="L252" s="9"/>
      <c r="M252" s="8"/>
      <c r="N252" s="132"/>
      <c r="O252" s="8"/>
      <c r="P252" s="9"/>
      <c r="Q252" s="8"/>
      <c r="R252" s="9"/>
      <c r="S252" s="8"/>
      <c r="T252" s="8"/>
      <c r="U252" s="8"/>
      <c r="V252" s="132"/>
      <c r="W252" s="8"/>
      <c r="X252" s="8"/>
      <c r="Y252" s="9"/>
      <c r="Z252" s="8"/>
      <c r="AA252" s="8"/>
      <c r="AB252" s="8"/>
      <c r="AC252" s="132"/>
      <c r="AD252" s="8"/>
      <c r="AE252" s="9"/>
      <c r="AF252" s="8"/>
      <c r="AG252" s="9"/>
      <c r="AH252" s="8"/>
      <c r="AI252" s="8"/>
      <c r="AJ252" s="8"/>
      <c r="AK252" s="132"/>
      <c r="AL252" s="8"/>
      <c r="AM252" s="8"/>
      <c r="AN252" s="9"/>
      <c r="AO252" s="8"/>
      <c r="AP252" s="8"/>
      <c r="AQ252" s="8"/>
    </row>
    <row r="253" spans="1:43" outlineLevel="1" x14ac:dyDescent="0.15">
      <c r="A253" s="8"/>
      <c r="B253" s="8"/>
      <c r="C253" s="8"/>
      <c r="D253" s="8"/>
      <c r="E253" s="9"/>
      <c r="F253" s="8"/>
      <c r="G253" s="10"/>
      <c r="H253" s="132"/>
      <c r="I253" s="8"/>
      <c r="J253" s="9"/>
      <c r="K253" s="8"/>
      <c r="L253" s="9"/>
      <c r="M253" s="8"/>
      <c r="N253" s="132"/>
      <c r="O253" s="8"/>
      <c r="P253" s="9"/>
      <c r="Q253" s="8"/>
      <c r="R253" s="9"/>
      <c r="S253" s="8"/>
      <c r="T253" s="8"/>
      <c r="U253" s="8"/>
      <c r="V253" s="132"/>
      <c r="W253" s="8"/>
      <c r="X253" s="8"/>
      <c r="Y253" s="9"/>
      <c r="Z253" s="8"/>
      <c r="AA253" s="8"/>
      <c r="AB253" s="8"/>
      <c r="AC253" s="132"/>
      <c r="AD253" s="8"/>
      <c r="AE253" s="9"/>
      <c r="AF253" s="8"/>
      <c r="AG253" s="9"/>
      <c r="AH253" s="8"/>
      <c r="AI253" s="8"/>
      <c r="AJ253" s="8"/>
      <c r="AK253" s="132"/>
      <c r="AL253" s="8"/>
      <c r="AM253" s="8"/>
      <c r="AN253" s="9"/>
      <c r="AO253" s="8"/>
      <c r="AP253" s="8"/>
      <c r="AQ253" s="8"/>
    </row>
    <row r="254" spans="1:43" outlineLevel="1" x14ac:dyDescent="0.15">
      <c r="A254" s="8"/>
      <c r="B254" s="8"/>
      <c r="C254" s="8"/>
      <c r="D254" s="8"/>
      <c r="E254" s="9"/>
      <c r="F254" s="8"/>
      <c r="G254" s="10"/>
      <c r="H254" s="132"/>
      <c r="I254" s="8"/>
      <c r="J254" s="9"/>
      <c r="K254" s="8"/>
      <c r="L254" s="9"/>
      <c r="M254" s="8"/>
      <c r="N254" s="132"/>
      <c r="O254" s="8"/>
      <c r="P254" s="9"/>
      <c r="Q254" s="8"/>
      <c r="R254" s="9"/>
      <c r="S254" s="8"/>
      <c r="T254" s="8"/>
      <c r="U254" s="8"/>
      <c r="V254" s="132"/>
      <c r="W254" s="8"/>
      <c r="X254" s="8"/>
      <c r="Y254" s="9"/>
      <c r="Z254" s="8"/>
      <c r="AA254" s="8"/>
      <c r="AB254" s="8"/>
      <c r="AC254" s="132"/>
      <c r="AD254" s="8"/>
      <c r="AE254" s="9"/>
      <c r="AF254" s="8"/>
      <c r="AG254" s="9"/>
      <c r="AH254" s="8"/>
      <c r="AI254" s="8"/>
      <c r="AJ254" s="8"/>
      <c r="AK254" s="132"/>
      <c r="AL254" s="8"/>
      <c r="AM254" s="8"/>
      <c r="AN254" s="9"/>
      <c r="AO254" s="8"/>
      <c r="AP254" s="8"/>
      <c r="AQ254" s="8"/>
    </row>
    <row r="255" spans="1:43" outlineLevel="1" x14ac:dyDescent="0.15">
      <c r="A255" s="8"/>
      <c r="B255" s="8"/>
      <c r="C255" s="8"/>
      <c r="D255" s="8"/>
      <c r="E255" s="9"/>
      <c r="F255" s="8"/>
      <c r="G255" s="10"/>
      <c r="H255" s="132"/>
      <c r="I255" s="8"/>
      <c r="J255" s="9"/>
      <c r="K255" s="8"/>
      <c r="L255" s="9"/>
      <c r="M255" s="8"/>
      <c r="N255" s="132"/>
      <c r="O255" s="8"/>
      <c r="P255" s="9"/>
      <c r="Q255" s="8"/>
      <c r="R255" s="9"/>
      <c r="S255" s="8"/>
      <c r="T255" s="8"/>
      <c r="U255" s="8"/>
      <c r="V255" s="132"/>
      <c r="W255" s="8"/>
      <c r="X255" s="8"/>
      <c r="Y255" s="9"/>
      <c r="Z255" s="8"/>
      <c r="AA255" s="8"/>
      <c r="AB255" s="8"/>
      <c r="AC255" s="132"/>
      <c r="AD255" s="8"/>
      <c r="AE255" s="9"/>
      <c r="AF255" s="8"/>
      <c r="AG255" s="9"/>
      <c r="AH255" s="8"/>
      <c r="AI255" s="8"/>
      <c r="AJ255" s="8"/>
      <c r="AK255" s="132"/>
      <c r="AL255" s="8"/>
      <c r="AM255" s="8"/>
      <c r="AN255" s="9"/>
      <c r="AO255" s="8"/>
      <c r="AP255" s="8"/>
      <c r="AQ255" s="8"/>
    </row>
    <row r="256" spans="1:43" outlineLevel="1" x14ac:dyDescent="0.15">
      <c r="A256" s="8"/>
      <c r="B256" s="8"/>
      <c r="C256" s="8"/>
      <c r="D256" s="8"/>
      <c r="E256" s="9"/>
      <c r="F256" s="8"/>
      <c r="G256" s="10"/>
      <c r="H256" s="132"/>
      <c r="I256" s="8"/>
      <c r="J256" s="9"/>
      <c r="K256" s="8"/>
      <c r="L256" s="9"/>
      <c r="M256" s="8"/>
      <c r="N256" s="132"/>
      <c r="O256" s="8"/>
      <c r="P256" s="9"/>
      <c r="Q256" s="8"/>
      <c r="R256" s="9"/>
      <c r="S256" s="8"/>
      <c r="T256" s="8"/>
      <c r="U256" s="8"/>
      <c r="V256" s="132"/>
      <c r="W256" s="8"/>
      <c r="X256" s="8"/>
      <c r="Y256" s="9"/>
      <c r="Z256" s="8"/>
      <c r="AA256" s="8"/>
      <c r="AB256" s="8"/>
      <c r="AC256" s="132"/>
      <c r="AD256" s="8"/>
      <c r="AE256" s="9"/>
      <c r="AF256" s="8"/>
      <c r="AG256" s="9"/>
      <c r="AH256" s="8"/>
      <c r="AI256" s="8"/>
      <c r="AJ256" s="8"/>
      <c r="AK256" s="132"/>
      <c r="AL256" s="8"/>
      <c r="AM256" s="8"/>
      <c r="AN256" s="9"/>
      <c r="AO256" s="8"/>
      <c r="AP256" s="8"/>
      <c r="AQ256" s="8"/>
    </row>
    <row r="257" spans="1:43" outlineLevel="1" x14ac:dyDescent="0.15">
      <c r="A257" s="8"/>
      <c r="B257" s="8"/>
      <c r="C257" s="8"/>
      <c r="D257" s="8"/>
      <c r="E257" s="9"/>
      <c r="F257" s="8"/>
      <c r="G257" s="10"/>
      <c r="H257" s="132"/>
      <c r="I257" s="8"/>
      <c r="J257" s="9"/>
      <c r="K257" s="8"/>
      <c r="L257" s="9"/>
      <c r="M257" s="8"/>
      <c r="N257" s="132"/>
      <c r="O257" s="8"/>
      <c r="P257" s="9"/>
      <c r="Q257" s="8"/>
      <c r="R257" s="9"/>
      <c r="S257" s="8"/>
      <c r="T257" s="8"/>
      <c r="U257" s="8"/>
      <c r="V257" s="132"/>
      <c r="W257" s="8"/>
      <c r="X257" s="8"/>
      <c r="Y257" s="9"/>
      <c r="Z257" s="8"/>
      <c r="AA257" s="8"/>
      <c r="AB257" s="8"/>
      <c r="AC257" s="132"/>
      <c r="AD257" s="8"/>
      <c r="AE257" s="9"/>
      <c r="AF257" s="8"/>
      <c r="AG257" s="9"/>
      <c r="AH257" s="8"/>
      <c r="AI257" s="8"/>
      <c r="AJ257" s="8"/>
      <c r="AK257" s="132"/>
      <c r="AL257" s="8"/>
      <c r="AM257" s="8"/>
      <c r="AN257" s="9"/>
      <c r="AO257" s="8"/>
      <c r="AP257" s="8"/>
      <c r="AQ257" s="8"/>
    </row>
    <row r="258" spans="1:43" outlineLevel="1" x14ac:dyDescent="0.15">
      <c r="A258" s="8"/>
      <c r="B258" s="8"/>
      <c r="C258" s="8"/>
      <c r="D258" s="8"/>
      <c r="E258" s="9"/>
      <c r="F258" s="8"/>
      <c r="G258" s="10"/>
      <c r="H258" s="132"/>
      <c r="I258" s="8"/>
      <c r="J258" s="9"/>
      <c r="K258" s="8"/>
      <c r="L258" s="9"/>
      <c r="M258" s="8"/>
      <c r="N258" s="132"/>
      <c r="O258" s="8"/>
      <c r="P258" s="9"/>
      <c r="Q258" s="8"/>
      <c r="R258" s="9"/>
      <c r="S258" s="8"/>
      <c r="T258" s="8"/>
      <c r="U258" s="8"/>
      <c r="V258" s="132"/>
      <c r="W258" s="8"/>
      <c r="X258" s="8"/>
      <c r="Y258" s="9"/>
      <c r="Z258" s="8"/>
      <c r="AA258" s="8"/>
      <c r="AB258" s="8"/>
      <c r="AC258" s="132"/>
      <c r="AD258" s="8"/>
      <c r="AE258" s="9"/>
      <c r="AF258" s="8"/>
      <c r="AG258" s="9"/>
      <c r="AH258" s="8"/>
      <c r="AI258" s="8"/>
      <c r="AJ258" s="8"/>
      <c r="AK258" s="132"/>
      <c r="AL258" s="8"/>
      <c r="AM258" s="8"/>
      <c r="AN258" s="9"/>
      <c r="AO258" s="8"/>
      <c r="AP258" s="8"/>
      <c r="AQ258" s="8"/>
    </row>
    <row r="259" spans="1:43" outlineLevel="1" x14ac:dyDescent="0.15">
      <c r="A259" s="8"/>
      <c r="B259" s="8"/>
      <c r="C259" s="8"/>
      <c r="D259" s="8"/>
      <c r="E259" s="9"/>
      <c r="F259" s="8"/>
      <c r="G259" s="10"/>
      <c r="H259" s="132"/>
      <c r="I259" s="8"/>
      <c r="J259" s="9"/>
      <c r="K259" s="8"/>
      <c r="L259" s="9"/>
      <c r="M259" s="8"/>
      <c r="N259" s="132"/>
      <c r="O259" s="8"/>
      <c r="P259" s="9"/>
      <c r="Q259" s="8"/>
      <c r="R259" s="9"/>
      <c r="S259" s="8"/>
      <c r="T259" s="8"/>
      <c r="U259" s="8"/>
      <c r="V259" s="132"/>
      <c r="W259" s="8"/>
      <c r="X259" s="8"/>
      <c r="Y259" s="9"/>
      <c r="Z259" s="8"/>
      <c r="AA259" s="8"/>
      <c r="AB259" s="8"/>
      <c r="AC259" s="132"/>
      <c r="AD259" s="8"/>
      <c r="AE259" s="9"/>
      <c r="AF259" s="8"/>
      <c r="AG259" s="9"/>
      <c r="AH259" s="8"/>
      <c r="AI259" s="8"/>
      <c r="AJ259" s="8"/>
      <c r="AK259" s="132"/>
      <c r="AL259" s="8"/>
      <c r="AM259" s="8"/>
      <c r="AN259" s="9"/>
      <c r="AO259" s="8"/>
      <c r="AP259" s="8"/>
      <c r="AQ259" s="8"/>
    </row>
    <row r="260" spans="1:43" outlineLevel="1" x14ac:dyDescent="0.15">
      <c r="A260" s="8"/>
      <c r="B260" s="8"/>
      <c r="C260" s="8"/>
      <c r="D260" s="8"/>
      <c r="E260" s="9"/>
      <c r="F260" s="8"/>
      <c r="G260" s="10"/>
      <c r="H260" s="132"/>
      <c r="I260" s="8"/>
      <c r="J260" s="9"/>
      <c r="K260" s="8"/>
      <c r="L260" s="9"/>
      <c r="M260" s="8"/>
      <c r="N260" s="132"/>
      <c r="O260" s="8"/>
      <c r="P260" s="9"/>
      <c r="Q260" s="8"/>
      <c r="R260" s="9"/>
      <c r="S260" s="8"/>
      <c r="T260" s="8"/>
      <c r="U260" s="8"/>
      <c r="V260" s="132"/>
      <c r="W260" s="8"/>
      <c r="X260" s="8"/>
      <c r="Y260" s="9"/>
      <c r="Z260" s="8"/>
      <c r="AA260" s="8"/>
      <c r="AB260" s="8"/>
      <c r="AC260" s="132"/>
      <c r="AD260" s="8"/>
      <c r="AE260" s="9"/>
      <c r="AF260" s="8"/>
      <c r="AG260" s="9"/>
      <c r="AH260" s="8"/>
      <c r="AI260" s="8"/>
      <c r="AJ260" s="8"/>
      <c r="AK260" s="132"/>
      <c r="AL260" s="8"/>
      <c r="AM260" s="8"/>
      <c r="AN260" s="9"/>
      <c r="AO260" s="8"/>
      <c r="AP260" s="8"/>
      <c r="AQ260" s="8"/>
    </row>
    <row r="261" spans="1:43" outlineLevel="1" x14ac:dyDescent="0.15">
      <c r="A261" s="8"/>
      <c r="B261" s="8"/>
      <c r="C261" s="8"/>
      <c r="D261" s="8"/>
      <c r="E261" s="9"/>
      <c r="F261" s="8"/>
      <c r="G261" s="10"/>
      <c r="H261" s="132"/>
      <c r="I261" s="8"/>
      <c r="J261" s="9"/>
      <c r="K261" s="8"/>
      <c r="L261" s="9"/>
      <c r="M261" s="8"/>
      <c r="N261" s="132"/>
      <c r="O261" s="8"/>
      <c r="P261" s="9"/>
      <c r="Q261" s="8"/>
      <c r="R261" s="9"/>
      <c r="S261" s="8"/>
      <c r="T261" s="8"/>
      <c r="U261" s="8"/>
      <c r="V261" s="132"/>
      <c r="W261" s="8"/>
      <c r="X261" s="8"/>
      <c r="Y261" s="9"/>
      <c r="Z261" s="8"/>
      <c r="AA261" s="8"/>
      <c r="AB261" s="8"/>
      <c r="AC261" s="132"/>
      <c r="AD261" s="8"/>
      <c r="AE261" s="9"/>
      <c r="AF261" s="8"/>
      <c r="AG261" s="9"/>
      <c r="AH261" s="8"/>
      <c r="AI261" s="8"/>
      <c r="AJ261" s="8"/>
      <c r="AK261" s="132"/>
      <c r="AL261" s="8"/>
      <c r="AM261" s="8"/>
      <c r="AN261" s="9"/>
      <c r="AO261" s="8"/>
      <c r="AP261" s="8"/>
      <c r="AQ261" s="8"/>
    </row>
    <row r="262" spans="1:43" outlineLevel="1" x14ac:dyDescent="0.15">
      <c r="A262" s="8"/>
      <c r="B262" s="8"/>
      <c r="C262" s="8"/>
      <c r="D262" s="8"/>
      <c r="E262" s="9"/>
      <c r="F262" s="8"/>
      <c r="G262" s="10"/>
      <c r="H262" s="132"/>
      <c r="I262" s="8"/>
      <c r="J262" s="9"/>
      <c r="K262" s="8"/>
      <c r="L262" s="9"/>
      <c r="M262" s="8"/>
      <c r="N262" s="132"/>
      <c r="O262" s="8"/>
      <c r="P262" s="9"/>
      <c r="Q262" s="8"/>
      <c r="R262" s="9"/>
      <c r="S262" s="8"/>
      <c r="T262" s="8"/>
      <c r="U262" s="8"/>
      <c r="V262" s="132"/>
      <c r="W262" s="8"/>
      <c r="X262" s="8"/>
      <c r="Y262" s="9"/>
      <c r="Z262" s="8"/>
      <c r="AA262" s="8"/>
      <c r="AB262" s="8"/>
      <c r="AC262" s="132"/>
      <c r="AD262" s="8"/>
      <c r="AE262" s="9"/>
      <c r="AF262" s="8"/>
      <c r="AG262" s="9"/>
      <c r="AH262" s="8"/>
      <c r="AI262" s="8"/>
      <c r="AJ262" s="8"/>
      <c r="AK262" s="132"/>
      <c r="AL262" s="8"/>
      <c r="AM262" s="8"/>
      <c r="AN262" s="9"/>
      <c r="AO262" s="8"/>
      <c r="AP262" s="8"/>
      <c r="AQ262" s="8"/>
    </row>
    <row r="263" spans="1:43" outlineLevel="1" x14ac:dyDescent="0.15">
      <c r="A263" s="8"/>
      <c r="B263" s="8"/>
      <c r="C263" s="8"/>
      <c r="D263" s="8"/>
      <c r="E263" s="9"/>
      <c r="F263" s="8"/>
      <c r="G263" s="10"/>
      <c r="H263" s="132"/>
      <c r="I263" s="8"/>
      <c r="J263" s="9"/>
      <c r="K263" s="8"/>
      <c r="L263" s="9"/>
      <c r="M263" s="8"/>
      <c r="N263" s="132"/>
      <c r="O263" s="8"/>
      <c r="P263" s="9"/>
      <c r="Q263" s="8"/>
      <c r="R263" s="9"/>
      <c r="S263" s="8"/>
      <c r="T263" s="8"/>
      <c r="U263" s="8"/>
      <c r="V263" s="132"/>
      <c r="W263" s="8"/>
      <c r="X263" s="8"/>
      <c r="Y263" s="9"/>
      <c r="Z263" s="8"/>
      <c r="AA263" s="8"/>
      <c r="AB263" s="8"/>
      <c r="AC263" s="132"/>
      <c r="AD263" s="8"/>
      <c r="AE263" s="9"/>
      <c r="AF263" s="8"/>
      <c r="AG263" s="9"/>
      <c r="AH263" s="8"/>
      <c r="AI263" s="8"/>
      <c r="AJ263" s="8"/>
      <c r="AK263" s="132"/>
      <c r="AL263" s="8"/>
      <c r="AM263" s="8"/>
      <c r="AN263" s="9"/>
      <c r="AO263" s="8"/>
      <c r="AP263" s="8"/>
      <c r="AQ263" s="8"/>
    </row>
    <row r="264" spans="1:43" outlineLevel="1" x14ac:dyDescent="0.15">
      <c r="A264" s="8"/>
      <c r="B264" s="8"/>
      <c r="C264" s="8"/>
      <c r="D264" s="8"/>
      <c r="E264" s="9"/>
      <c r="F264" s="8"/>
      <c r="G264" s="10"/>
      <c r="H264" s="132"/>
      <c r="I264" s="8"/>
      <c r="J264" s="9"/>
      <c r="K264" s="8"/>
      <c r="L264" s="9"/>
      <c r="M264" s="8"/>
      <c r="N264" s="132"/>
      <c r="O264" s="8"/>
      <c r="P264" s="9"/>
      <c r="Q264" s="8"/>
      <c r="R264" s="9"/>
      <c r="S264" s="8"/>
      <c r="T264" s="8"/>
      <c r="U264" s="8"/>
      <c r="V264" s="132"/>
      <c r="W264" s="8"/>
      <c r="X264" s="8"/>
      <c r="Y264" s="9"/>
      <c r="Z264" s="8"/>
      <c r="AA264" s="8"/>
      <c r="AB264" s="8"/>
      <c r="AC264" s="132"/>
      <c r="AD264" s="8"/>
      <c r="AE264" s="9"/>
      <c r="AF264" s="8"/>
      <c r="AG264" s="9"/>
      <c r="AH264" s="8"/>
      <c r="AI264" s="8"/>
      <c r="AJ264" s="8"/>
      <c r="AK264" s="132"/>
      <c r="AL264" s="8"/>
      <c r="AM264" s="8"/>
      <c r="AN264" s="9"/>
      <c r="AO264" s="8"/>
      <c r="AP264" s="8"/>
      <c r="AQ264" s="8"/>
    </row>
    <row r="265" spans="1:43" outlineLevel="1" x14ac:dyDescent="0.15">
      <c r="A265" s="8"/>
      <c r="B265" s="8"/>
      <c r="C265" s="8"/>
      <c r="D265" s="8"/>
      <c r="E265" s="9"/>
      <c r="F265" s="8"/>
      <c r="G265" s="10"/>
      <c r="H265" s="132"/>
      <c r="I265" s="8"/>
      <c r="J265" s="9"/>
      <c r="K265" s="8"/>
      <c r="L265" s="9"/>
      <c r="M265" s="8"/>
      <c r="N265" s="132"/>
      <c r="O265" s="8"/>
      <c r="P265" s="9"/>
      <c r="Q265" s="8"/>
      <c r="R265" s="9"/>
      <c r="S265" s="8"/>
      <c r="T265" s="8"/>
      <c r="U265" s="8"/>
      <c r="V265" s="132"/>
      <c r="W265" s="8"/>
      <c r="X265" s="8"/>
      <c r="Y265" s="9"/>
      <c r="Z265" s="8"/>
      <c r="AA265" s="8"/>
      <c r="AB265" s="8"/>
      <c r="AC265" s="132"/>
      <c r="AD265" s="8"/>
      <c r="AE265" s="9"/>
      <c r="AF265" s="8"/>
      <c r="AG265" s="9"/>
      <c r="AH265" s="8"/>
      <c r="AI265" s="8"/>
      <c r="AJ265" s="8"/>
      <c r="AK265" s="132"/>
      <c r="AL265" s="8"/>
      <c r="AM265" s="8"/>
      <c r="AN265" s="9"/>
      <c r="AO265" s="8"/>
      <c r="AP265" s="8"/>
      <c r="AQ265" s="8"/>
    </row>
    <row r="266" spans="1:43" outlineLevel="1" x14ac:dyDescent="0.15">
      <c r="A266" s="8"/>
      <c r="B266" s="8"/>
      <c r="C266" s="8"/>
      <c r="D266" s="8"/>
      <c r="E266" s="9"/>
      <c r="F266" s="8"/>
      <c r="G266" s="10"/>
      <c r="H266" s="132"/>
      <c r="I266" s="8"/>
      <c r="J266" s="9"/>
      <c r="K266" s="8"/>
      <c r="L266" s="9"/>
      <c r="M266" s="8"/>
      <c r="N266" s="132"/>
      <c r="O266" s="8"/>
      <c r="P266" s="9"/>
      <c r="Q266" s="8"/>
      <c r="R266" s="9"/>
      <c r="S266" s="8"/>
      <c r="T266" s="8"/>
      <c r="U266" s="8"/>
      <c r="V266" s="132"/>
      <c r="W266" s="8"/>
      <c r="X266" s="8"/>
      <c r="Y266" s="9"/>
      <c r="Z266" s="8"/>
      <c r="AA266" s="8"/>
      <c r="AB266" s="8"/>
      <c r="AC266" s="132"/>
      <c r="AD266" s="8"/>
      <c r="AE266" s="9"/>
      <c r="AF266" s="8"/>
      <c r="AG266" s="9"/>
      <c r="AH266" s="8"/>
      <c r="AI266" s="8"/>
      <c r="AJ266" s="8"/>
      <c r="AK266" s="132"/>
      <c r="AL266" s="8"/>
      <c r="AM266" s="8"/>
      <c r="AN266" s="9"/>
      <c r="AO266" s="8"/>
      <c r="AP266" s="8"/>
      <c r="AQ266" s="8"/>
    </row>
    <row r="267" spans="1:43" outlineLevel="1" x14ac:dyDescent="0.15">
      <c r="A267" s="8"/>
      <c r="B267" s="8"/>
      <c r="C267" s="8"/>
      <c r="D267" s="8"/>
      <c r="E267" s="9"/>
      <c r="F267" s="8"/>
      <c r="G267" s="10"/>
      <c r="H267" s="132"/>
      <c r="I267" s="8"/>
      <c r="J267" s="9"/>
      <c r="K267" s="8"/>
      <c r="L267" s="9"/>
      <c r="M267" s="8"/>
      <c r="N267" s="132"/>
      <c r="O267" s="8"/>
      <c r="P267" s="9"/>
      <c r="Q267" s="8"/>
      <c r="R267" s="9"/>
      <c r="S267" s="8"/>
      <c r="T267" s="8"/>
      <c r="U267" s="8"/>
      <c r="V267" s="132"/>
      <c r="W267" s="8"/>
      <c r="X267" s="8"/>
      <c r="Y267" s="9"/>
      <c r="Z267" s="8"/>
      <c r="AA267" s="8"/>
      <c r="AB267" s="8"/>
      <c r="AC267" s="132"/>
      <c r="AD267" s="8"/>
      <c r="AE267" s="9"/>
      <c r="AF267" s="8"/>
      <c r="AG267" s="9"/>
      <c r="AH267" s="8"/>
      <c r="AI267" s="8"/>
      <c r="AJ267" s="8"/>
      <c r="AK267" s="132"/>
      <c r="AL267" s="8"/>
      <c r="AM267" s="8"/>
      <c r="AN267" s="9"/>
      <c r="AO267" s="8"/>
      <c r="AP267" s="8"/>
      <c r="AQ267" s="8"/>
    </row>
    <row r="268" spans="1:43" outlineLevel="1" x14ac:dyDescent="0.15">
      <c r="A268" s="8"/>
      <c r="B268" s="8"/>
      <c r="C268" s="8"/>
      <c r="D268" s="8"/>
      <c r="E268" s="9"/>
      <c r="F268" s="8"/>
      <c r="G268" s="10"/>
      <c r="H268" s="132"/>
      <c r="I268" s="8"/>
      <c r="J268" s="9"/>
      <c r="K268" s="8"/>
      <c r="L268" s="9"/>
      <c r="M268" s="8"/>
      <c r="N268" s="132"/>
      <c r="O268" s="8"/>
      <c r="P268" s="9"/>
      <c r="Q268" s="8"/>
      <c r="R268" s="9"/>
      <c r="S268" s="8"/>
      <c r="T268" s="8"/>
      <c r="U268" s="8"/>
      <c r="V268" s="132"/>
      <c r="W268" s="8"/>
      <c r="X268" s="8"/>
      <c r="Y268" s="9"/>
      <c r="Z268" s="8"/>
      <c r="AA268" s="8"/>
      <c r="AB268" s="8"/>
      <c r="AC268" s="132"/>
      <c r="AD268" s="8"/>
      <c r="AE268" s="9"/>
      <c r="AF268" s="8"/>
      <c r="AG268" s="9"/>
      <c r="AH268" s="8"/>
      <c r="AI268" s="8"/>
      <c r="AJ268" s="8"/>
      <c r="AK268" s="132"/>
      <c r="AL268" s="8"/>
      <c r="AM268" s="8"/>
      <c r="AN268" s="9"/>
      <c r="AO268" s="8"/>
      <c r="AP268" s="8"/>
      <c r="AQ268" s="8"/>
    </row>
    <row r="269" spans="1:43" outlineLevel="1" x14ac:dyDescent="0.15">
      <c r="A269" s="8"/>
      <c r="B269" s="8"/>
      <c r="C269" s="8"/>
      <c r="D269" s="8"/>
      <c r="E269" s="9"/>
      <c r="F269" s="8"/>
      <c r="G269" s="10"/>
      <c r="H269" s="132"/>
      <c r="I269" s="8"/>
      <c r="J269" s="9"/>
      <c r="K269" s="8"/>
      <c r="L269" s="9"/>
      <c r="M269" s="8"/>
      <c r="N269" s="132"/>
      <c r="O269" s="8"/>
      <c r="P269" s="9"/>
      <c r="Q269" s="8"/>
      <c r="R269" s="9"/>
      <c r="S269" s="8"/>
      <c r="T269" s="8"/>
      <c r="U269" s="8"/>
      <c r="V269" s="132"/>
      <c r="W269" s="8"/>
      <c r="X269" s="8"/>
      <c r="Y269" s="9"/>
      <c r="Z269" s="8"/>
      <c r="AA269" s="8"/>
      <c r="AB269" s="8"/>
      <c r="AC269" s="132"/>
      <c r="AD269" s="8"/>
      <c r="AE269" s="9"/>
      <c r="AF269" s="8"/>
      <c r="AG269" s="9"/>
      <c r="AH269" s="8"/>
      <c r="AI269" s="8"/>
      <c r="AJ269" s="8"/>
      <c r="AK269" s="132"/>
      <c r="AL269" s="8"/>
      <c r="AM269" s="8"/>
      <c r="AN269" s="9"/>
      <c r="AO269" s="8"/>
      <c r="AP269" s="8"/>
      <c r="AQ269" s="8"/>
    </row>
    <row r="270" spans="1:43" outlineLevel="1" x14ac:dyDescent="0.15">
      <c r="A270" s="8"/>
      <c r="B270" s="8"/>
      <c r="C270" s="8"/>
      <c r="D270" s="8"/>
      <c r="E270" s="9"/>
      <c r="F270" s="8"/>
      <c r="G270" s="10"/>
      <c r="H270" s="132"/>
      <c r="I270" s="8"/>
      <c r="J270" s="9"/>
      <c r="K270" s="8"/>
      <c r="L270" s="9"/>
      <c r="M270" s="8"/>
      <c r="N270" s="132"/>
      <c r="O270" s="8"/>
      <c r="P270" s="9"/>
      <c r="Q270" s="8"/>
      <c r="R270" s="9"/>
      <c r="S270" s="8"/>
      <c r="T270" s="8"/>
      <c r="U270" s="8"/>
      <c r="V270" s="132"/>
      <c r="W270" s="8"/>
      <c r="X270" s="8"/>
      <c r="Y270" s="9"/>
      <c r="Z270" s="8"/>
      <c r="AA270" s="8"/>
      <c r="AB270" s="8"/>
      <c r="AC270" s="132"/>
      <c r="AD270" s="8"/>
      <c r="AE270" s="9"/>
      <c r="AF270" s="8"/>
      <c r="AG270" s="9"/>
      <c r="AH270" s="8"/>
      <c r="AI270" s="8"/>
      <c r="AJ270" s="8"/>
      <c r="AK270" s="132"/>
      <c r="AL270" s="8"/>
      <c r="AM270" s="8"/>
      <c r="AN270" s="9"/>
      <c r="AO270" s="8"/>
      <c r="AP270" s="8"/>
      <c r="AQ270" s="8"/>
    </row>
    <row r="271" spans="1:43" outlineLevel="1" x14ac:dyDescent="0.15">
      <c r="A271" s="8"/>
      <c r="B271" s="8"/>
      <c r="C271" s="8"/>
      <c r="D271" s="8"/>
      <c r="E271" s="9"/>
      <c r="F271" s="8"/>
      <c r="G271" s="10"/>
      <c r="H271" s="132"/>
      <c r="I271" s="8"/>
      <c r="J271" s="9"/>
      <c r="K271" s="8"/>
      <c r="L271" s="9"/>
      <c r="M271" s="8"/>
      <c r="N271" s="132"/>
      <c r="O271" s="8"/>
      <c r="P271" s="9"/>
      <c r="Q271" s="8"/>
      <c r="R271" s="9"/>
      <c r="S271" s="8"/>
      <c r="T271" s="8"/>
      <c r="U271" s="8"/>
      <c r="V271" s="132"/>
      <c r="W271" s="8"/>
      <c r="X271" s="8"/>
      <c r="Y271" s="9"/>
      <c r="Z271" s="8"/>
      <c r="AA271" s="8"/>
      <c r="AB271" s="8"/>
      <c r="AC271" s="132"/>
      <c r="AD271" s="8"/>
      <c r="AE271" s="9"/>
      <c r="AF271" s="8"/>
      <c r="AG271" s="9"/>
      <c r="AH271" s="8"/>
      <c r="AI271" s="8"/>
      <c r="AJ271" s="8"/>
      <c r="AK271" s="132"/>
      <c r="AL271" s="8"/>
      <c r="AM271" s="8"/>
      <c r="AN271" s="9"/>
      <c r="AO271" s="8"/>
      <c r="AP271" s="8"/>
      <c r="AQ271" s="8"/>
    </row>
    <row r="272" spans="1:43" outlineLevel="1" x14ac:dyDescent="0.15">
      <c r="A272" s="8"/>
      <c r="B272" s="8"/>
      <c r="C272" s="8"/>
      <c r="D272" s="8"/>
      <c r="E272" s="9"/>
      <c r="F272" s="8"/>
      <c r="G272" s="10"/>
      <c r="H272" s="132"/>
      <c r="I272" s="8"/>
      <c r="J272" s="9"/>
      <c r="K272" s="8"/>
      <c r="L272" s="9"/>
      <c r="M272" s="8"/>
      <c r="N272" s="132"/>
      <c r="O272" s="8"/>
      <c r="P272" s="9"/>
      <c r="Q272" s="8"/>
      <c r="R272" s="9"/>
      <c r="S272" s="8"/>
      <c r="T272" s="8"/>
      <c r="U272" s="8"/>
      <c r="V272" s="132"/>
      <c r="W272" s="8"/>
      <c r="X272" s="8"/>
      <c r="Y272" s="9"/>
      <c r="Z272" s="8"/>
      <c r="AA272" s="8"/>
      <c r="AB272" s="8"/>
      <c r="AC272" s="132"/>
      <c r="AD272" s="8"/>
      <c r="AE272" s="9"/>
      <c r="AF272" s="8"/>
      <c r="AG272" s="9"/>
      <c r="AH272" s="8"/>
      <c r="AI272" s="8"/>
      <c r="AJ272" s="8"/>
      <c r="AK272" s="132"/>
      <c r="AL272" s="8"/>
      <c r="AM272" s="8"/>
      <c r="AN272" s="9"/>
      <c r="AO272" s="8"/>
      <c r="AP272" s="8"/>
      <c r="AQ272" s="8"/>
    </row>
    <row r="273" spans="1:43" outlineLevel="1" x14ac:dyDescent="0.15">
      <c r="A273" s="8"/>
      <c r="B273" s="8"/>
      <c r="C273" s="8"/>
      <c r="D273" s="8"/>
      <c r="E273" s="9"/>
      <c r="F273" s="8"/>
      <c r="G273" s="10"/>
      <c r="H273" s="132"/>
      <c r="I273" s="8"/>
      <c r="J273" s="9"/>
      <c r="K273" s="8"/>
      <c r="L273" s="9"/>
      <c r="M273" s="8"/>
      <c r="N273" s="132"/>
      <c r="O273" s="8"/>
      <c r="P273" s="9"/>
      <c r="Q273" s="8"/>
      <c r="R273" s="9"/>
      <c r="S273" s="8"/>
      <c r="T273" s="8"/>
      <c r="U273" s="8"/>
      <c r="V273" s="132"/>
      <c r="W273" s="8"/>
      <c r="X273" s="8"/>
      <c r="Y273" s="9"/>
      <c r="Z273" s="8"/>
      <c r="AA273" s="8"/>
      <c r="AB273" s="8"/>
      <c r="AC273" s="132"/>
      <c r="AD273" s="8"/>
      <c r="AE273" s="9"/>
      <c r="AF273" s="8"/>
      <c r="AG273" s="9"/>
      <c r="AH273" s="8"/>
      <c r="AI273" s="8"/>
      <c r="AJ273" s="8"/>
      <c r="AK273" s="132"/>
      <c r="AL273" s="8"/>
      <c r="AM273" s="8"/>
      <c r="AN273" s="9"/>
      <c r="AO273" s="8"/>
      <c r="AP273" s="8"/>
      <c r="AQ273" s="8"/>
    </row>
    <row r="274" spans="1:43" outlineLevel="1" x14ac:dyDescent="0.15">
      <c r="A274" s="8"/>
      <c r="B274" s="8"/>
      <c r="C274" s="8"/>
      <c r="D274" s="8"/>
      <c r="E274" s="9"/>
      <c r="F274" s="8"/>
      <c r="G274" s="10"/>
      <c r="H274" s="132"/>
      <c r="I274" s="8"/>
      <c r="J274" s="9"/>
      <c r="K274" s="8"/>
      <c r="L274" s="9"/>
      <c r="M274" s="8"/>
      <c r="N274" s="132"/>
      <c r="O274" s="8"/>
      <c r="P274" s="9"/>
      <c r="Q274" s="8"/>
      <c r="R274" s="9"/>
      <c r="S274" s="8"/>
      <c r="T274" s="8"/>
      <c r="U274" s="8"/>
      <c r="V274" s="132"/>
      <c r="W274" s="8"/>
      <c r="X274" s="8"/>
      <c r="Y274" s="9"/>
      <c r="Z274" s="8"/>
      <c r="AA274" s="8"/>
      <c r="AB274" s="8"/>
      <c r="AC274" s="132"/>
      <c r="AD274" s="8"/>
      <c r="AE274" s="9"/>
      <c r="AF274" s="8"/>
      <c r="AG274" s="9"/>
      <c r="AH274" s="8"/>
      <c r="AI274" s="8"/>
      <c r="AJ274" s="8"/>
      <c r="AK274" s="132"/>
      <c r="AL274" s="8"/>
      <c r="AM274" s="8"/>
      <c r="AN274" s="9"/>
      <c r="AO274" s="8"/>
      <c r="AP274" s="8"/>
      <c r="AQ274" s="8"/>
    </row>
    <row r="275" spans="1:43" outlineLevel="1" x14ac:dyDescent="0.15">
      <c r="A275" s="8"/>
      <c r="B275" s="8"/>
      <c r="C275" s="8"/>
      <c r="D275" s="8"/>
      <c r="E275" s="9"/>
      <c r="F275" s="8"/>
      <c r="G275" s="10"/>
      <c r="H275" s="132"/>
      <c r="I275" s="8"/>
      <c r="J275" s="9"/>
      <c r="K275" s="8"/>
      <c r="L275" s="9"/>
      <c r="M275" s="8"/>
      <c r="N275" s="132"/>
      <c r="O275" s="8"/>
      <c r="P275" s="9"/>
      <c r="Q275" s="8"/>
      <c r="R275" s="9"/>
      <c r="S275" s="8"/>
      <c r="T275" s="8"/>
      <c r="U275" s="8"/>
      <c r="V275" s="132"/>
      <c r="W275" s="8"/>
      <c r="X275" s="8"/>
      <c r="Y275" s="9"/>
      <c r="Z275" s="8"/>
      <c r="AA275" s="8"/>
      <c r="AB275" s="8"/>
      <c r="AC275" s="132"/>
      <c r="AD275" s="8"/>
      <c r="AE275" s="9"/>
      <c r="AF275" s="8"/>
      <c r="AG275" s="9"/>
      <c r="AH275" s="8"/>
      <c r="AI275" s="8"/>
      <c r="AJ275" s="8"/>
      <c r="AK275" s="132"/>
      <c r="AL275" s="8"/>
      <c r="AM275" s="8"/>
      <c r="AN275" s="9"/>
      <c r="AO275" s="8"/>
      <c r="AP275" s="8"/>
      <c r="AQ275" s="8"/>
    </row>
    <row r="276" spans="1:43" outlineLevel="1" x14ac:dyDescent="0.15">
      <c r="A276" s="8"/>
      <c r="B276" s="8"/>
      <c r="C276" s="8"/>
      <c r="D276" s="8"/>
      <c r="E276" s="9"/>
      <c r="F276" s="8"/>
      <c r="G276" s="10"/>
      <c r="H276" s="132"/>
      <c r="I276" s="8"/>
      <c r="J276" s="9"/>
      <c r="K276" s="8"/>
      <c r="L276" s="9"/>
      <c r="M276" s="8"/>
      <c r="N276" s="132"/>
      <c r="O276" s="8"/>
      <c r="P276" s="9"/>
      <c r="Q276" s="8"/>
      <c r="R276" s="9"/>
      <c r="S276" s="8"/>
      <c r="T276" s="8"/>
      <c r="U276" s="8"/>
      <c r="V276" s="132"/>
      <c r="W276" s="8"/>
      <c r="X276" s="8"/>
      <c r="Y276" s="9"/>
      <c r="Z276" s="8"/>
      <c r="AA276" s="8"/>
      <c r="AB276" s="8"/>
      <c r="AC276" s="132"/>
      <c r="AD276" s="8"/>
      <c r="AE276" s="9"/>
      <c r="AF276" s="8"/>
      <c r="AG276" s="9"/>
      <c r="AH276" s="8"/>
      <c r="AI276" s="8"/>
      <c r="AJ276" s="8"/>
      <c r="AK276" s="132"/>
      <c r="AL276" s="8"/>
      <c r="AM276" s="8"/>
      <c r="AN276" s="9"/>
      <c r="AO276" s="8"/>
      <c r="AP276" s="8"/>
      <c r="AQ276" s="8"/>
    </row>
    <row r="277" spans="1:43" outlineLevel="1" x14ac:dyDescent="0.15">
      <c r="A277" s="8"/>
      <c r="B277" s="8"/>
      <c r="C277" s="8"/>
      <c r="D277" s="8"/>
      <c r="E277" s="9"/>
      <c r="F277" s="8"/>
      <c r="G277" s="10"/>
      <c r="H277" s="132"/>
      <c r="I277" s="8"/>
      <c r="J277" s="9"/>
      <c r="K277" s="8"/>
      <c r="L277" s="9"/>
      <c r="M277" s="8"/>
      <c r="N277" s="132"/>
      <c r="O277" s="8"/>
      <c r="P277" s="9"/>
      <c r="Q277" s="8"/>
      <c r="R277" s="9"/>
      <c r="S277" s="8"/>
      <c r="T277" s="8"/>
      <c r="U277" s="8"/>
      <c r="V277" s="132"/>
      <c r="W277" s="8"/>
      <c r="X277" s="8"/>
      <c r="Y277" s="9"/>
      <c r="Z277" s="8"/>
      <c r="AA277" s="8"/>
      <c r="AB277" s="8"/>
      <c r="AC277" s="132"/>
      <c r="AD277" s="8"/>
      <c r="AE277" s="9"/>
      <c r="AF277" s="8"/>
      <c r="AG277" s="9"/>
      <c r="AH277" s="8"/>
      <c r="AI277" s="8"/>
      <c r="AJ277" s="8"/>
      <c r="AK277" s="132"/>
      <c r="AL277" s="8"/>
      <c r="AM277" s="8"/>
      <c r="AN277" s="9"/>
      <c r="AO277" s="8"/>
      <c r="AP277" s="8"/>
      <c r="AQ277" s="8"/>
    </row>
    <row r="278" spans="1:43" outlineLevel="1" x14ac:dyDescent="0.15">
      <c r="A278" s="8"/>
      <c r="B278" s="8"/>
      <c r="C278" s="8"/>
      <c r="D278" s="8"/>
      <c r="E278" s="9"/>
      <c r="F278" s="8"/>
      <c r="G278" s="10"/>
      <c r="H278" s="132"/>
      <c r="I278" s="8"/>
      <c r="J278" s="9"/>
      <c r="K278" s="8"/>
      <c r="L278" s="9"/>
      <c r="M278" s="8"/>
      <c r="N278" s="132"/>
      <c r="O278" s="8"/>
      <c r="P278" s="9"/>
      <c r="Q278" s="8"/>
      <c r="R278" s="9"/>
      <c r="S278" s="8"/>
      <c r="T278" s="8"/>
      <c r="U278" s="8"/>
      <c r="V278" s="132"/>
      <c r="W278" s="8"/>
      <c r="X278" s="8"/>
      <c r="Y278" s="9"/>
      <c r="Z278" s="8"/>
      <c r="AA278" s="8"/>
      <c r="AB278" s="8"/>
      <c r="AC278" s="132"/>
      <c r="AD278" s="8"/>
      <c r="AE278" s="9"/>
      <c r="AF278" s="8"/>
      <c r="AG278" s="9"/>
      <c r="AH278" s="8"/>
      <c r="AI278" s="8"/>
      <c r="AJ278" s="8"/>
      <c r="AK278" s="132"/>
      <c r="AL278" s="8"/>
      <c r="AM278" s="8"/>
      <c r="AN278" s="9"/>
      <c r="AO278" s="8"/>
      <c r="AP278" s="8"/>
      <c r="AQ278" s="8"/>
    </row>
    <row r="279" spans="1:43" outlineLevel="1" x14ac:dyDescent="0.15">
      <c r="A279" s="8"/>
      <c r="B279" s="8"/>
      <c r="C279" s="8"/>
      <c r="D279" s="8"/>
      <c r="E279" s="9"/>
      <c r="F279" s="8"/>
      <c r="G279" s="10"/>
      <c r="H279" s="132"/>
      <c r="I279" s="8"/>
      <c r="J279" s="9"/>
      <c r="K279" s="8"/>
      <c r="L279" s="9"/>
      <c r="M279" s="8"/>
      <c r="N279" s="132"/>
      <c r="O279" s="8"/>
      <c r="P279" s="9"/>
      <c r="Q279" s="8"/>
      <c r="R279" s="9"/>
      <c r="S279" s="8"/>
      <c r="T279" s="8"/>
      <c r="U279" s="8"/>
      <c r="V279" s="132"/>
      <c r="W279" s="8"/>
      <c r="X279" s="8"/>
      <c r="Y279" s="9"/>
      <c r="Z279" s="8"/>
      <c r="AA279" s="8"/>
      <c r="AB279" s="8"/>
      <c r="AC279" s="132"/>
      <c r="AD279" s="8"/>
      <c r="AE279" s="9"/>
      <c r="AF279" s="8"/>
      <c r="AG279" s="9"/>
      <c r="AH279" s="8"/>
      <c r="AI279" s="8"/>
      <c r="AJ279" s="8"/>
      <c r="AK279" s="132"/>
      <c r="AL279" s="8"/>
      <c r="AM279" s="8"/>
      <c r="AN279" s="9"/>
      <c r="AO279" s="8"/>
      <c r="AP279" s="8"/>
      <c r="AQ279" s="8"/>
    </row>
    <row r="280" spans="1:43" outlineLevel="1" x14ac:dyDescent="0.15">
      <c r="A280" s="8"/>
      <c r="B280" s="8"/>
      <c r="C280" s="8"/>
      <c r="D280" s="8"/>
      <c r="E280" s="9"/>
      <c r="F280" s="8"/>
      <c r="G280" s="10"/>
      <c r="H280" s="132"/>
      <c r="I280" s="8"/>
      <c r="J280" s="9"/>
      <c r="K280" s="8"/>
      <c r="L280" s="9"/>
      <c r="M280" s="8"/>
      <c r="N280" s="132"/>
      <c r="O280" s="8"/>
      <c r="P280" s="9"/>
      <c r="Q280" s="8"/>
      <c r="R280" s="9"/>
      <c r="S280" s="8"/>
      <c r="T280" s="8"/>
      <c r="U280" s="8"/>
      <c r="V280" s="132"/>
      <c r="W280" s="8"/>
      <c r="X280" s="8"/>
      <c r="Y280" s="9"/>
      <c r="Z280" s="8"/>
      <c r="AA280" s="8"/>
      <c r="AB280" s="8"/>
      <c r="AC280" s="132"/>
      <c r="AD280" s="8"/>
      <c r="AE280" s="9"/>
      <c r="AF280" s="8"/>
      <c r="AG280" s="9"/>
      <c r="AH280" s="8"/>
      <c r="AI280" s="8"/>
      <c r="AJ280" s="8"/>
      <c r="AK280" s="132"/>
      <c r="AL280" s="8"/>
      <c r="AM280" s="8"/>
      <c r="AN280" s="9"/>
      <c r="AO280" s="8"/>
      <c r="AP280" s="8"/>
      <c r="AQ280" s="8"/>
    </row>
    <row r="281" spans="1:43" outlineLevel="1" x14ac:dyDescent="0.15">
      <c r="A281" s="8"/>
      <c r="B281" s="8"/>
      <c r="C281" s="8"/>
      <c r="D281" s="8"/>
      <c r="E281" s="9"/>
      <c r="F281" s="8"/>
      <c r="G281" s="10"/>
      <c r="H281" s="132"/>
      <c r="I281" s="8"/>
      <c r="J281" s="9"/>
      <c r="K281" s="8"/>
      <c r="L281" s="9"/>
      <c r="M281" s="8"/>
      <c r="N281" s="132"/>
      <c r="O281" s="8"/>
      <c r="P281" s="9"/>
      <c r="Q281" s="8"/>
      <c r="R281" s="9"/>
      <c r="S281" s="8"/>
      <c r="T281" s="8"/>
      <c r="U281" s="8"/>
      <c r="V281" s="132"/>
      <c r="W281" s="8"/>
      <c r="X281" s="8"/>
      <c r="Y281" s="9"/>
      <c r="Z281" s="8"/>
      <c r="AA281" s="8"/>
      <c r="AB281" s="8"/>
      <c r="AC281" s="132"/>
      <c r="AD281" s="8"/>
      <c r="AE281" s="9"/>
      <c r="AF281" s="8"/>
      <c r="AG281" s="9"/>
      <c r="AH281" s="8"/>
      <c r="AI281" s="8"/>
      <c r="AJ281" s="8"/>
      <c r="AK281" s="132"/>
      <c r="AL281" s="8"/>
      <c r="AM281" s="8"/>
      <c r="AN281" s="9"/>
      <c r="AO281" s="8"/>
      <c r="AP281" s="8"/>
      <c r="AQ281" s="8"/>
    </row>
    <row r="282" spans="1:43" outlineLevel="1" x14ac:dyDescent="0.15">
      <c r="A282" s="8"/>
      <c r="B282" s="8"/>
      <c r="C282" s="8"/>
      <c r="D282" s="8"/>
      <c r="E282" s="9"/>
      <c r="F282" s="8"/>
      <c r="G282" s="10"/>
      <c r="H282" s="132"/>
      <c r="I282" s="8"/>
      <c r="J282" s="9"/>
      <c r="K282" s="8"/>
      <c r="L282" s="9"/>
      <c r="M282" s="8"/>
      <c r="N282" s="132"/>
      <c r="O282" s="8"/>
      <c r="P282" s="9"/>
      <c r="Q282" s="8"/>
      <c r="R282" s="9"/>
      <c r="S282" s="8"/>
      <c r="T282" s="8"/>
      <c r="U282" s="8"/>
      <c r="V282" s="132"/>
      <c r="W282" s="8"/>
      <c r="X282" s="8"/>
      <c r="Y282" s="9"/>
      <c r="Z282" s="8"/>
      <c r="AA282" s="8"/>
      <c r="AB282" s="8"/>
      <c r="AC282" s="132"/>
      <c r="AD282" s="8"/>
      <c r="AE282" s="9"/>
      <c r="AF282" s="8"/>
      <c r="AG282" s="9"/>
      <c r="AH282" s="8"/>
      <c r="AI282" s="8"/>
      <c r="AJ282" s="8"/>
      <c r="AK282" s="132"/>
      <c r="AL282" s="8"/>
      <c r="AM282" s="8"/>
      <c r="AN282" s="9"/>
      <c r="AO282" s="8"/>
      <c r="AP282" s="8"/>
      <c r="AQ282" s="8"/>
    </row>
    <row r="283" spans="1:43" outlineLevel="1" x14ac:dyDescent="0.15">
      <c r="A283" s="8"/>
      <c r="B283" s="8"/>
      <c r="C283" s="8"/>
      <c r="D283" s="8"/>
      <c r="E283" s="9"/>
      <c r="F283" s="8"/>
      <c r="G283" s="10"/>
      <c r="H283" s="132"/>
      <c r="I283" s="8"/>
      <c r="J283" s="9"/>
      <c r="K283" s="8"/>
      <c r="L283" s="9"/>
      <c r="M283" s="8"/>
      <c r="N283" s="132"/>
      <c r="O283" s="8"/>
      <c r="P283" s="9"/>
      <c r="Q283" s="8"/>
      <c r="R283" s="9"/>
      <c r="S283" s="8"/>
      <c r="T283" s="8"/>
      <c r="U283" s="8"/>
      <c r="V283" s="132"/>
      <c r="W283" s="8"/>
      <c r="X283" s="8"/>
      <c r="Y283" s="9"/>
      <c r="Z283" s="8"/>
      <c r="AA283" s="8"/>
      <c r="AB283" s="8"/>
      <c r="AC283" s="132"/>
      <c r="AD283" s="8"/>
      <c r="AE283" s="9"/>
      <c r="AF283" s="8"/>
      <c r="AG283" s="9"/>
      <c r="AH283" s="8"/>
      <c r="AI283" s="8"/>
      <c r="AJ283" s="8"/>
      <c r="AK283" s="132"/>
      <c r="AL283" s="8"/>
      <c r="AM283" s="8"/>
      <c r="AN283" s="9"/>
      <c r="AO283" s="8"/>
      <c r="AP283" s="8"/>
      <c r="AQ283" s="8"/>
    </row>
    <row r="284" spans="1:43" outlineLevel="1" x14ac:dyDescent="0.15">
      <c r="A284" s="8"/>
      <c r="B284" s="8"/>
      <c r="C284" s="8"/>
      <c r="D284" s="8"/>
      <c r="E284" s="9"/>
      <c r="F284" s="8"/>
      <c r="G284" s="10"/>
      <c r="H284" s="132"/>
      <c r="I284" s="8"/>
      <c r="J284" s="9"/>
      <c r="K284" s="8"/>
      <c r="L284" s="9"/>
      <c r="M284" s="8"/>
      <c r="N284" s="132"/>
      <c r="O284" s="8"/>
      <c r="P284" s="9"/>
      <c r="Q284" s="8"/>
      <c r="R284" s="9"/>
      <c r="S284" s="8"/>
      <c r="T284" s="8"/>
      <c r="U284" s="8"/>
      <c r="V284" s="132"/>
      <c r="W284" s="8"/>
      <c r="X284" s="8"/>
      <c r="Y284" s="9"/>
      <c r="Z284" s="8"/>
      <c r="AA284" s="8"/>
      <c r="AB284" s="8"/>
      <c r="AC284" s="132"/>
      <c r="AD284" s="8"/>
      <c r="AE284" s="9"/>
      <c r="AF284" s="8"/>
      <c r="AG284" s="9"/>
      <c r="AH284" s="8"/>
      <c r="AI284" s="8"/>
      <c r="AJ284" s="8"/>
      <c r="AK284" s="132"/>
      <c r="AL284" s="8"/>
      <c r="AM284" s="8"/>
      <c r="AN284" s="9"/>
      <c r="AO284" s="8"/>
      <c r="AP284" s="8"/>
      <c r="AQ284" s="8"/>
    </row>
    <row r="285" spans="1:43" outlineLevel="1" x14ac:dyDescent="0.15">
      <c r="A285" s="8"/>
      <c r="B285" s="8"/>
      <c r="C285" s="8"/>
      <c r="D285" s="8"/>
      <c r="E285" s="9"/>
      <c r="F285" s="8"/>
      <c r="G285" s="10"/>
      <c r="H285" s="132"/>
      <c r="I285" s="8"/>
      <c r="J285" s="9"/>
      <c r="K285" s="8"/>
      <c r="L285" s="9"/>
      <c r="M285" s="8"/>
      <c r="N285" s="132"/>
      <c r="O285" s="8"/>
      <c r="P285" s="9"/>
      <c r="Q285" s="8"/>
      <c r="R285" s="9"/>
      <c r="S285" s="8"/>
      <c r="T285" s="8"/>
      <c r="U285" s="8"/>
      <c r="V285" s="132"/>
      <c r="W285" s="8"/>
      <c r="X285" s="8"/>
      <c r="Y285" s="9"/>
      <c r="Z285" s="8"/>
      <c r="AA285" s="8"/>
      <c r="AB285" s="8"/>
      <c r="AC285" s="132"/>
      <c r="AD285" s="8"/>
      <c r="AE285" s="9"/>
      <c r="AF285" s="8"/>
      <c r="AG285" s="9"/>
      <c r="AH285" s="8"/>
      <c r="AI285" s="8"/>
      <c r="AJ285" s="8"/>
      <c r="AK285" s="132"/>
      <c r="AL285" s="8"/>
      <c r="AM285" s="8"/>
      <c r="AN285" s="9"/>
      <c r="AO285" s="8"/>
      <c r="AP285" s="8"/>
      <c r="AQ285" s="8"/>
    </row>
    <row r="286" spans="1:43" outlineLevel="1" x14ac:dyDescent="0.15">
      <c r="A286" s="8"/>
      <c r="B286" s="8"/>
      <c r="C286" s="8"/>
      <c r="D286" s="8"/>
      <c r="E286" s="9"/>
      <c r="F286" s="8"/>
      <c r="G286" s="10"/>
      <c r="H286" s="132"/>
      <c r="I286" s="8"/>
      <c r="J286" s="9"/>
      <c r="K286" s="8"/>
      <c r="L286" s="9"/>
      <c r="M286" s="8"/>
      <c r="N286" s="132"/>
      <c r="O286" s="8"/>
      <c r="P286" s="9"/>
      <c r="Q286" s="8"/>
      <c r="R286" s="9"/>
      <c r="S286" s="8"/>
      <c r="T286" s="8"/>
      <c r="U286" s="8"/>
      <c r="V286" s="132"/>
      <c r="W286" s="8"/>
      <c r="X286" s="8"/>
      <c r="Y286" s="9"/>
      <c r="Z286" s="8"/>
      <c r="AA286" s="8"/>
      <c r="AB286" s="8"/>
      <c r="AC286" s="132"/>
      <c r="AD286" s="8"/>
      <c r="AE286" s="9"/>
      <c r="AF286" s="8"/>
      <c r="AG286" s="9"/>
      <c r="AH286" s="8"/>
      <c r="AI286" s="8"/>
      <c r="AJ286" s="8"/>
      <c r="AK286" s="132"/>
      <c r="AL286" s="8"/>
      <c r="AM286" s="8"/>
      <c r="AN286" s="9"/>
      <c r="AO286" s="8"/>
      <c r="AP286" s="8"/>
      <c r="AQ286" s="8"/>
    </row>
    <row r="287" spans="1:43" outlineLevel="1" x14ac:dyDescent="0.15">
      <c r="A287" s="8"/>
      <c r="B287" s="8"/>
      <c r="C287" s="8"/>
      <c r="D287" s="8"/>
      <c r="E287" s="9"/>
      <c r="F287" s="8"/>
      <c r="G287" s="10"/>
      <c r="H287" s="132"/>
      <c r="I287" s="8"/>
      <c r="J287" s="9"/>
      <c r="K287" s="8"/>
      <c r="L287" s="9"/>
      <c r="M287" s="8"/>
      <c r="N287" s="132"/>
      <c r="O287" s="8"/>
      <c r="P287" s="9"/>
      <c r="Q287" s="8"/>
      <c r="R287" s="9"/>
      <c r="S287" s="8"/>
      <c r="T287" s="8"/>
      <c r="U287" s="8"/>
      <c r="V287" s="132"/>
      <c r="W287" s="8"/>
      <c r="X287" s="8"/>
      <c r="Y287" s="9"/>
      <c r="Z287" s="8"/>
      <c r="AA287" s="8"/>
      <c r="AB287" s="8"/>
      <c r="AC287" s="132"/>
      <c r="AD287" s="8"/>
      <c r="AE287" s="9"/>
      <c r="AF287" s="8"/>
      <c r="AG287" s="9"/>
      <c r="AH287" s="8"/>
      <c r="AI287" s="8"/>
      <c r="AJ287" s="8"/>
      <c r="AK287" s="132"/>
      <c r="AL287" s="8"/>
      <c r="AM287" s="8"/>
      <c r="AN287" s="9"/>
      <c r="AO287" s="8"/>
      <c r="AP287" s="8"/>
      <c r="AQ287" s="8"/>
    </row>
    <row r="288" spans="1:43" outlineLevel="1" x14ac:dyDescent="0.15">
      <c r="A288" s="8"/>
      <c r="B288" s="8"/>
      <c r="C288" s="8"/>
      <c r="D288" s="8"/>
      <c r="E288" s="9"/>
      <c r="F288" s="8"/>
      <c r="G288" s="10"/>
      <c r="H288" s="132"/>
      <c r="I288" s="8"/>
      <c r="J288" s="9"/>
      <c r="K288" s="8"/>
      <c r="L288" s="9"/>
      <c r="M288" s="8"/>
      <c r="N288" s="132"/>
      <c r="O288" s="8"/>
      <c r="P288" s="9"/>
      <c r="Q288" s="8"/>
      <c r="R288" s="9"/>
      <c r="S288" s="8"/>
      <c r="T288" s="8"/>
      <c r="U288" s="8"/>
      <c r="V288" s="132"/>
      <c r="W288" s="8"/>
      <c r="X288" s="8"/>
      <c r="Y288" s="9"/>
      <c r="Z288" s="8"/>
      <c r="AA288" s="8"/>
      <c r="AB288" s="8"/>
      <c r="AC288" s="132"/>
      <c r="AD288" s="8"/>
      <c r="AE288" s="9"/>
      <c r="AF288" s="8"/>
      <c r="AG288" s="9"/>
      <c r="AH288" s="8"/>
      <c r="AI288" s="8"/>
      <c r="AJ288" s="8"/>
      <c r="AK288" s="132"/>
      <c r="AL288" s="8"/>
      <c r="AM288" s="8"/>
      <c r="AN288" s="9"/>
      <c r="AO288" s="8"/>
      <c r="AP288" s="8"/>
      <c r="AQ288" s="8"/>
    </row>
    <row r="289" spans="1:43" outlineLevel="1" x14ac:dyDescent="0.15">
      <c r="A289" s="8"/>
      <c r="B289" s="8"/>
      <c r="C289" s="8"/>
      <c r="D289" s="8"/>
      <c r="E289" s="9"/>
      <c r="F289" s="8"/>
      <c r="G289" s="10"/>
      <c r="H289" s="132"/>
      <c r="I289" s="8"/>
      <c r="J289" s="9"/>
      <c r="K289" s="8"/>
      <c r="L289" s="9"/>
      <c r="M289" s="8"/>
      <c r="N289" s="132"/>
      <c r="O289" s="8"/>
      <c r="P289" s="9"/>
      <c r="Q289" s="8"/>
      <c r="R289" s="9"/>
      <c r="S289" s="8"/>
      <c r="T289" s="8"/>
      <c r="U289" s="8"/>
      <c r="V289" s="132"/>
      <c r="W289" s="8"/>
      <c r="X289" s="8"/>
      <c r="Y289" s="9"/>
      <c r="Z289" s="8"/>
      <c r="AA289" s="8"/>
      <c r="AB289" s="8"/>
      <c r="AC289" s="132"/>
      <c r="AD289" s="8"/>
      <c r="AE289" s="9"/>
      <c r="AF289" s="8"/>
      <c r="AG289" s="9"/>
      <c r="AH289" s="8"/>
      <c r="AI289" s="8"/>
      <c r="AJ289" s="8"/>
      <c r="AK289" s="132"/>
      <c r="AL289" s="8"/>
      <c r="AM289" s="8"/>
      <c r="AN289" s="9"/>
      <c r="AO289" s="8"/>
      <c r="AP289" s="8"/>
      <c r="AQ289" s="8"/>
    </row>
    <row r="290" spans="1:43" outlineLevel="1" x14ac:dyDescent="0.15">
      <c r="A290" s="8"/>
      <c r="B290" s="8"/>
      <c r="C290" s="8"/>
      <c r="D290" s="8"/>
      <c r="E290" s="9"/>
      <c r="F290" s="8"/>
      <c r="G290" s="10"/>
      <c r="H290" s="132"/>
      <c r="I290" s="8"/>
      <c r="J290" s="9"/>
      <c r="K290" s="8"/>
      <c r="L290" s="9"/>
      <c r="M290" s="8"/>
      <c r="N290" s="132"/>
      <c r="O290" s="8"/>
      <c r="P290" s="9"/>
      <c r="Q290" s="8"/>
      <c r="R290" s="9"/>
      <c r="S290" s="8"/>
      <c r="T290" s="8"/>
      <c r="U290" s="8"/>
      <c r="V290" s="132"/>
      <c r="W290" s="8"/>
      <c r="X290" s="8"/>
      <c r="Y290" s="9"/>
      <c r="Z290" s="8"/>
      <c r="AA290" s="8"/>
      <c r="AB290" s="8"/>
      <c r="AC290" s="132"/>
      <c r="AD290" s="8"/>
      <c r="AE290" s="9"/>
      <c r="AF290" s="8"/>
      <c r="AG290" s="9"/>
      <c r="AH290" s="8"/>
      <c r="AI290" s="8"/>
      <c r="AJ290" s="8"/>
      <c r="AK290" s="132"/>
      <c r="AL290" s="8"/>
      <c r="AM290" s="8"/>
      <c r="AN290" s="9"/>
      <c r="AO290" s="8"/>
      <c r="AP290" s="8"/>
      <c r="AQ290" s="8"/>
    </row>
    <row r="291" spans="1:43" outlineLevel="1" x14ac:dyDescent="0.15">
      <c r="A291" s="8"/>
      <c r="B291" s="8"/>
      <c r="C291" s="8"/>
      <c r="D291" s="8"/>
      <c r="E291" s="9"/>
      <c r="F291" s="8"/>
      <c r="G291" s="10"/>
      <c r="H291" s="132"/>
      <c r="I291" s="8"/>
      <c r="J291" s="9"/>
      <c r="K291" s="8"/>
      <c r="L291" s="9"/>
      <c r="M291" s="8"/>
      <c r="N291" s="132"/>
      <c r="O291" s="8"/>
      <c r="P291" s="9"/>
      <c r="Q291" s="8"/>
      <c r="R291" s="9"/>
      <c r="S291" s="8"/>
      <c r="T291" s="8"/>
      <c r="U291" s="8"/>
      <c r="V291" s="132"/>
      <c r="W291" s="8"/>
      <c r="X291" s="8"/>
      <c r="Y291" s="9"/>
      <c r="Z291" s="8"/>
      <c r="AA291" s="8"/>
      <c r="AB291" s="8"/>
      <c r="AC291" s="132"/>
      <c r="AD291" s="8"/>
      <c r="AE291" s="9"/>
      <c r="AF291" s="8"/>
      <c r="AG291" s="9"/>
      <c r="AH291" s="8"/>
      <c r="AI291" s="8"/>
      <c r="AJ291" s="8"/>
      <c r="AK291" s="132"/>
      <c r="AL291" s="8"/>
      <c r="AM291" s="8"/>
      <c r="AN291" s="9"/>
      <c r="AO291" s="8"/>
      <c r="AP291" s="8"/>
      <c r="AQ291" s="8"/>
    </row>
    <row r="292" spans="1:43" outlineLevel="1" x14ac:dyDescent="0.15">
      <c r="A292" s="8"/>
      <c r="B292" s="8"/>
      <c r="C292" s="8"/>
      <c r="D292" s="8"/>
      <c r="E292" s="9"/>
      <c r="F292" s="8"/>
      <c r="G292" s="10"/>
      <c r="H292" s="132"/>
      <c r="I292" s="8"/>
      <c r="J292" s="9"/>
      <c r="K292" s="8"/>
      <c r="L292" s="9"/>
      <c r="M292" s="8"/>
      <c r="N292" s="132"/>
      <c r="O292" s="8"/>
      <c r="P292" s="9"/>
      <c r="Q292" s="8"/>
      <c r="R292" s="9"/>
      <c r="S292" s="8"/>
      <c r="T292" s="8"/>
      <c r="U292" s="8"/>
      <c r="V292" s="132"/>
      <c r="W292" s="8"/>
      <c r="X292" s="8"/>
      <c r="Y292" s="9"/>
      <c r="Z292" s="8"/>
      <c r="AA292" s="8"/>
      <c r="AB292" s="8"/>
      <c r="AC292" s="132"/>
      <c r="AD292" s="8"/>
      <c r="AE292" s="9"/>
      <c r="AF292" s="8"/>
      <c r="AG292" s="9"/>
      <c r="AH292" s="8"/>
      <c r="AI292" s="8"/>
      <c r="AJ292" s="8"/>
      <c r="AK292" s="132"/>
      <c r="AL292" s="8"/>
      <c r="AM292" s="8"/>
      <c r="AN292" s="9"/>
      <c r="AO292" s="8"/>
      <c r="AP292" s="8"/>
      <c r="AQ292" s="8"/>
    </row>
    <row r="293" spans="1:43" outlineLevel="1" x14ac:dyDescent="0.15">
      <c r="A293" s="8"/>
      <c r="B293" s="8"/>
      <c r="C293" s="8"/>
      <c r="D293" s="8"/>
      <c r="E293" s="9"/>
      <c r="F293" s="8"/>
      <c r="G293" s="10"/>
      <c r="H293" s="132"/>
      <c r="I293" s="8"/>
      <c r="J293" s="9"/>
      <c r="K293" s="8"/>
      <c r="L293" s="9"/>
      <c r="M293" s="8"/>
      <c r="N293" s="132"/>
      <c r="O293" s="8"/>
      <c r="P293" s="9"/>
      <c r="Q293" s="8"/>
      <c r="R293" s="9"/>
      <c r="S293" s="8"/>
      <c r="T293" s="8"/>
      <c r="U293" s="8"/>
      <c r="V293" s="132"/>
      <c r="W293" s="8"/>
      <c r="X293" s="8"/>
      <c r="Y293" s="9"/>
      <c r="Z293" s="8"/>
      <c r="AA293" s="8"/>
      <c r="AB293" s="8"/>
      <c r="AC293" s="132"/>
      <c r="AD293" s="8"/>
      <c r="AE293" s="9"/>
      <c r="AF293" s="8"/>
      <c r="AG293" s="9"/>
      <c r="AH293" s="8"/>
      <c r="AI293" s="8"/>
      <c r="AJ293" s="8"/>
      <c r="AK293" s="132"/>
      <c r="AL293" s="8"/>
      <c r="AM293" s="8"/>
      <c r="AN293" s="9"/>
      <c r="AO293" s="8"/>
      <c r="AP293" s="8"/>
      <c r="AQ293" s="8"/>
    </row>
    <row r="294" spans="1:43" outlineLevel="1" x14ac:dyDescent="0.15">
      <c r="A294" s="8"/>
      <c r="B294" s="8"/>
      <c r="C294" s="8"/>
      <c r="D294" s="8"/>
      <c r="E294" s="9"/>
      <c r="F294" s="8"/>
      <c r="G294" s="10"/>
      <c r="H294" s="132"/>
      <c r="I294" s="8"/>
      <c r="J294" s="9"/>
      <c r="K294" s="8"/>
      <c r="L294" s="9"/>
      <c r="M294" s="8"/>
      <c r="N294" s="132"/>
      <c r="O294" s="8"/>
      <c r="P294" s="9"/>
      <c r="Q294" s="8"/>
      <c r="R294" s="9"/>
      <c r="S294" s="8"/>
      <c r="T294" s="8"/>
      <c r="U294" s="8"/>
      <c r="V294" s="132"/>
      <c r="W294" s="8"/>
      <c r="X294" s="8"/>
      <c r="Y294" s="9"/>
      <c r="Z294" s="8"/>
      <c r="AA294" s="8"/>
      <c r="AB294" s="8"/>
      <c r="AC294" s="132"/>
      <c r="AD294" s="8"/>
      <c r="AE294" s="9"/>
      <c r="AF294" s="8"/>
      <c r="AG294" s="9"/>
      <c r="AH294" s="8"/>
      <c r="AI294" s="8"/>
      <c r="AJ294" s="8"/>
      <c r="AK294" s="132"/>
      <c r="AL294" s="8"/>
      <c r="AM294" s="8"/>
      <c r="AN294" s="9"/>
      <c r="AO294" s="8"/>
      <c r="AP294" s="8"/>
      <c r="AQ294" s="8"/>
    </row>
    <row r="295" spans="1:43" outlineLevel="1" x14ac:dyDescent="0.15">
      <c r="A295" s="8"/>
      <c r="B295" s="8"/>
      <c r="C295" s="8"/>
      <c r="D295" s="8"/>
      <c r="E295" s="9"/>
      <c r="F295" s="8"/>
      <c r="G295" s="10"/>
      <c r="H295" s="132"/>
      <c r="I295" s="8"/>
      <c r="J295" s="9"/>
      <c r="K295" s="8"/>
      <c r="L295" s="9"/>
      <c r="M295" s="8"/>
      <c r="N295" s="132"/>
      <c r="O295" s="8"/>
      <c r="P295" s="9"/>
      <c r="Q295" s="8"/>
      <c r="R295" s="9"/>
      <c r="S295" s="8"/>
      <c r="T295" s="8"/>
      <c r="U295" s="8"/>
      <c r="V295" s="132"/>
      <c r="W295" s="8"/>
      <c r="X295" s="8"/>
      <c r="Y295" s="9"/>
      <c r="Z295" s="8"/>
      <c r="AA295" s="8"/>
      <c r="AB295" s="8"/>
      <c r="AC295" s="132"/>
      <c r="AD295" s="8"/>
      <c r="AE295" s="9"/>
      <c r="AF295" s="8"/>
      <c r="AG295" s="9"/>
      <c r="AH295" s="8"/>
      <c r="AI295" s="8"/>
      <c r="AJ295" s="8"/>
      <c r="AK295" s="132"/>
      <c r="AL295" s="8"/>
      <c r="AM295" s="8"/>
      <c r="AN295" s="9"/>
      <c r="AO295" s="8"/>
      <c r="AP295" s="8"/>
      <c r="AQ295" s="8"/>
    </row>
    <row r="296" spans="1:43" outlineLevel="1" x14ac:dyDescent="0.15">
      <c r="A296" s="8"/>
      <c r="B296" s="8"/>
      <c r="C296" s="8"/>
      <c r="D296" s="8"/>
      <c r="E296" s="9"/>
      <c r="F296" s="8"/>
      <c r="G296" s="10"/>
      <c r="H296" s="132"/>
      <c r="I296" s="8"/>
      <c r="J296" s="9"/>
      <c r="K296" s="8"/>
      <c r="L296" s="9"/>
      <c r="M296" s="8"/>
      <c r="N296" s="132"/>
      <c r="O296" s="8"/>
      <c r="P296" s="9"/>
      <c r="Q296" s="8"/>
      <c r="R296" s="9"/>
      <c r="S296" s="8"/>
      <c r="T296" s="8"/>
      <c r="U296" s="8"/>
      <c r="V296" s="132"/>
      <c r="W296" s="8"/>
      <c r="X296" s="8"/>
      <c r="Y296" s="9"/>
      <c r="Z296" s="8"/>
      <c r="AA296" s="8"/>
      <c r="AB296" s="8"/>
      <c r="AC296" s="132"/>
      <c r="AD296" s="8"/>
      <c r="AE296" s="9"/>
      <c r="AF296" s="8"/>
      <c r="AG296" s="9"/>
      <c r="AH296" s="8"/>
      <c r="AI296" s="8"/>
      <c r="AJ296" s="8"/>
      <c r="AK296" s="132"/>
      <c r="AL296" s="8"/>
      <c r="AM296" s="8"/>
      <c r="AN296" s="9"/>
      <c r="AO296" s="8"/>
      <c r="AP296" s="8"/>
      <c r="AQ296" s="8"/>
    </row>
    <row r="297" spans="1:43" outlineLevel="1" x14ac:dyDescent="0.15">
      <c r="A297" s="8"/>
      <c r="B297" s="8"/>
      <c r="C297" s="8"/>
      <c r="D297" s="8"/>
      <c r="E297" s="9"/>
      <c r="F297" s="8"/>
      <c r="G297" s="10"/>
      <c r="H297" s="132"/>
      <c r="I297" s="8"/>
      <c r="J297" s="9"/>
      <c r="K297" s="8"/>
      <c r="L297" s="9"/>
      <c r="M297" s="8"/>
      <c r="N297" s="132"/>
      <c r="O297" s="8"/>
      <c r="P297" s="9"/>
      <c r="Q297" s="8"/>
      <c r="R297" s="9"/>
      <c r="S297" s="8"/>
      <c r="T297" s="8"/>
      <c r="U297" s="8"/>
      <c r="V297" s="132"/>
      <c r="W297" s="8"/>
      <c r="X297" s="8"/>
      <c r="Y297" s="9"/>
      <c r="Z297" s="8"/>
      <c r="AA297" s="8"/>
      <c r="AB297" s="8"/>
      <c r="AC297" s="132"/>
      <c r="AD297" s="8"/>
      <c r="AE297" s="9"/>
      <c r="AF297" s="8"/>
      <c r="AG297" s="9"/>
      <c r="AH297" s="8"/>
      <c r="AI297" s="8"/>
      <c r="AJ297" s="8"/>
      <c r="AK297" s="132"/>
      <c r="AL297" s="8"/>
      <c r="AM297" s="8"/>
      <c r="AN297" s="9"/>
      <c r="AO297" s="8"/>
      <c r="AP297" s="8"/>
      <c r="AQ297" s="8"/>
    </row>
    <row r="298" spans="1:43" outlineLevel="1" x14ac:dyDescent="0.15">
      <c r="A298" s="8"/>
      <c r="B298" s="8"/>
      <c r="C298" s="8"/>
      <c r="D298" s="8"/>
      <c r="E298" s="9"/>
      <c r="F298" s="8"/>
      <c r="G298" s="10"/>
      <c r="H298" s="132"/>
      <c r="I298" s="8"/>
      <c r="J298" s="9"/>
      <c r="K298" s="8"/>
      <c r="L298" s="9"/>
      <c r="M298" s="8"/>
      <c r="N298" s="132"/>
      <c r="O298" s="8"/>
      <c r="P298" s="9"/>
      <c r="Q298" s="8"/>
      <c r="R298" s="9"/>
      <c r="S298" s="8"/>
      <c r="T298" s="8"/>
      <c r="U298" s="8"/>
      <c r="V298" s="132"/>
      <c r="W298" s="8"/>
      <c r="X298" s="8"/>
      <c r="Y298" s="9"/>
      <c r="Z298" s="8"/>
      <c r="AA298" s="8"/>
      <c r="AB298" s="8"/>
      <c r="AC298" s="132"/>
      <c r="AD298" s="8"/>
      <c r="AE298" s="9"/>
      <c r="AF298" s="8"/>
      <c r="AG298" s="9"/>
      <c r="AH298" s="8"/>
      <c r="AI298" s="8"/>
      <c r="AJ298" s="8"/>
      <c r="AK298" s="132"/>
      <c r="AL298" s="8"/>
      <c r="AM298" s="8"/>
      <c r="AN298" s="9"/>
      <c r="AO298" s="8"/>
      <c r="AP298" s="8"/>
      <c r="AQ298" s="8"/>
    </row>
    <row r="299" spans="1:43" outlineLevel="1" x14ac:dyDescent="0.15">
      <c r="A299" s="8"/>
      <c r="B299" s="8"/>
      <c r="C299" s="8"/>
      <c r="D299" s="8"/>
      <c r="E299" s="9"/>
      <c r="F299" s="8"/>
      <c r="G299" s="10"/>
      <c r="H299" s="132"/>
      <c r="I299" s="8"/>
      <c r="J299" s="9"/>
      <c r="K299" s="8"/>
      <c r="L299" s="9"/>
      <c r="M299" s="8"/>
      <c r="N299" s="132"/>
      <c r="O299" s="8"/>
      <c r="P299" s="9"/>
      <c r="Q299" s="8"/>
      <c r="R299" s="9"/>
      <c r="S299" s="8"/>
      <c r="T299" s="8"/>
      <c r="U299" s="8"/>
      <c r="V299" s="132"/>
      <c r="W299" s="8"/>
      <c r="X299" s="8"/>
      <c r="Y299" s="9"/>
      <c r="Z299" s="8"/>
      <c r="AA299" s="8"/>
      <c r="AB299" s="8"/>
      <c r="AC299" s="132"/>
      <c r="AD299" s="8"/>
      <c r="AE299" s="9"/>
      <c r="AF299" s="8"/>
      <c r="AG299" s="9"/>
      <c r="AH299" s="8"/>
      <c r="AI299" s="8"/>
      <c r="AJ299" s="8"/>
      <c r="AK299" s="132"/>
      <c r="AL299" s="8"/>
      <c r="AM299" s="8"/>
      <c r="AN299" s="9"/>
      <c r="AO299" s="8"/>
      <c r="AP299" s="8"/>
      <c r="AQ299" s="8"/>
    </row>
    <row r="300" spans="1:43" outlineLevel="1" x14ac:dyDescent="0.15">
      <c r="A300" s="8"/>
      <c r="B300" s="8"/>
      <c r="C300" s="8"/>
      <c r="D300" s="8"/>
      <c r="E300" s="9"/>
      <c r="F300" s="8"/>
      <c r="G300" s="10"/>
      <c r="H300" s="132"/>
      <c r="I300" s="8"/>
      <c r="J300" s="9"/>
      <c r="K300" s="8"/>
      <c r="L300" s="9"/>
      <c r="M300" s="8"/>
      <c r="N300" s="132"/>
      <c r="O300" s="8"/>
      <c r="P300" s="9"/>
      <c r="Q300" s="8"/>
      <c r="R300" s="9"/>
      <c r="S300" s="8"/>
      <c r="T300" s="8"/>
      <c r="U300" s="8"/>
      <c r="V300" s="132"/>
      <c r="W300" s="8"/>
      <c r="X300" s="8"/>
      <c r="Y300" s="9"/>
      <c r="Z300" s="8"/>
      <c r="AA300" s="8"/>
      <c r="AB300" s="8"/>
      <c r="AC300" s="132"/>
      <c r="AD300" s="8"/>
      <c r="AE300" s="9"/>
      <c r="AF300" s="8"/>
      <c r="AG300" s="9"/>
      <c r="AH300" s="8"/>
      <c r="AI300" s="8"/>
      <c r="AJ300" s="8"/>
      <c r="AK300" s="132"/>
      <c r="AL300" s="8"/>
      <c r="AM300" s="8"/>
      <c r="AN300" s="9"/>
      <c r="AO300" s="8"/>
      <c r="AP300" s="8"/>
      <c r="AQ300" s="8"/>
    </row>
    <row r="301" spans="1:43" outlineLevel="1" x14ac:dyDescent="0.15">
      <c r="A301" s="8"/>
      <c r="B301" s="8"/>
      <c r="C301" s="8"/>
      <c r="D301" s="8"/>
      <c r="E301" s="9"/>
      <c r="F301" s="8"/>
      <c r="G301" s="10"/>
      <c r="H301" s="11"/>
      <c r="I301" s="8"/>
      <c r="J301" s="9"/>
      <c r="K301" s="8"/>
      <c r="L301" s="9"/>
      <c r="M301" s="8"/>
      <c r="N301" s="11"/>
      <c r="O301" s="8"/>
      <c r="P301" s="9"/>
      <c r="Q301" s="8"/>
      <c r="R301" s="9"/>
      <c r="S301" s="8"/>
      <c r="T301" s="8"/>
      <c r="U301" s="8"/>
      <c r="V301" s="132"/>
      <c r="W301" s="8"/>
      <c r="X301" s="8"/>
      <c r="Y301" s="9"/>
      <c r="Z301" s="8"/>
      <c r="AA301" s="8"/>
      <c r="AB301" s="8"/>
      <c r="AC301" s="11"/>
      <c r="AD301" s="8"/>
      <c r="AE301" s="9"/>
      <c r="AF301" s="8"/>
      <c r="AG301" s="9"/>
      <c r="AH301" s="8"/>
      <c r="AI301" s="8"/>
      <c r="AJ301" s="8"/>
      <c r="AK301" s="132"/>
      <c r="AL301" s="8"/>
      <c r="AM301" s="8"/>
      <c r="AN301" s="9"/>
      <c r="AO301" s="8"/>
      <c r="AP301" s="8"/>
      <c r="AQ301" s="8"/>
    </row>
    <row r="302" spans="1:43" outlineLevel="1" x14ac:dyDescent="0.15">
      <c r="A302" s="8"/>
      <c r="B302" s="8"/>
      <c r="C302" s="8"/>
      <c r="D302" s="8"/>
      <c r="E302" s="9"/>
      <c r="F302" s="8"/>
      <c r="G302" s="10"/>
      <c r="H302" s="132"/>
      <c r="I302" s="8"/>
      <c r="J302" s="9"/>
      <c r="K302" s="8"/>
      <c r="L302" s="9"/>
      <c r="M302" s="8"/>
      <c r="N302" s="132"/>
      <c r="O302" s="8"/>
      <c r="P302" s="9"/>
      <c r="Q302" s="8"/>
      <c r="R302" s="9"/>
      <c r="S302" s="8"/>
      <c r="T302" s="8"/>
      <c r="U302" s="8"/>
      <c r="V302" s="132"/>
      <c r="W302" s="8"/>
      <c r="X302" s="8"/>
      <c r="Y302" s="9"/>
      <c r="Z302" s="8"/>
      <c r="AA302" s="8"/>
      <c r="AB302" s="8"/>
      <c r="AC302" s="132"/>
      <c r="AD302" s="8"/>
      <c r="AE302" s="9"/>
      <c r="AF302" s="8"/>
      <c r="AG302" s="9"/>
      <c r="AH302" s="8"/>
      <c r="AI302" s="8"/>
      <c r="AJ302" s="8"/>
      <c r="AK302" s="132"/>
      <c r="AL302" s="8"/>
      <c r="AM302" s="8"/>
      <c r="AN302" s="9"/>
      <c r="AO302" s="8"/>
      <c r="AP302" s="8"/>
      <c r="AQ302" s="8"/>
    </row>
    <row r="303" spans="1:43" x14ac:dyDescent="0.15">
      <c r="A303" s="8"/>
      <c r="B303" s="8"/>
      <c r="C303" s="8"/>
      <c r="D303" s="8"/>
      <c r="E303" s="9"/>
      <c r="F303" s="8"/>
      <c r="G303" s="10"/>
      <c r="H303" s="132"/>
      <c r="I303" s="8"/>
      <c r="J303" s="9"/>
      <c r="K303" s="8"/>
      <c r="L303" s="9"/>
      <c r="M303" s="8"/>
      <c r="N303" s="132"/>
      <c r="O303" s="8"/>
      <c r="P303" s="9"/>
      <c r="Q303" s="8"/>
      <c r="R303" s="9"/>
      <c r="S303" s="8"/>
      <c r="T303" s="8"/>
      <c r="U303" s="8"/>
      <c r="V303" s="132"/>
      <c r="W303" s="8"/>
      <c r="X303" s="8"/>
      <c r="Y303" s="9"/>
      <c r="Z303" s="8"/>
      <c r="AA303" s="8"/>
      <c r="AB303" s="8"/>
      <c r="AC303" s="132"/>
      <c r="AD303" s="8"/>
      <c r="AE303" s="9"/>
      <c r="AF303" s="8"/>
      <c r="AG303" s="9"/>
      <c r="AH303" s="8"/>
      <c r="AI303" s="8"/>
      <c r="AJ303" s="8"/>
      <c r="AK303" s="132"/>
      <c r="AL303" s="8"/>
      <c r="AM303" s="8"/>
      <c r="AN303" s="9"/>
      <c r="AO303" s="8"/>
      <c r="AP303" s="8"/>
      <c r="AQ303" s="8"/>
    </row>
    <row r="304" spans="1:43" x14ac:dyDescent="0.15">
      <c r="A304" s="8"/>
      <c r="B304" s="8"/>
      <c r="C304" s="8"/>
      <c r="D304" s="8"/>
      <c r="E304" s="9"/>
      <c r="F304" s="8"/>
      <c r="G304" s="10"/>
      <c r="H304" s="11"/>
      <c r="I304" s="8"/>
      <c r="J304" s="9"/>
      <c r="K304" s="8"/>
      <c r="L304" s="9"/>
      <c r="M304" s="8"/>
      <c r="N304" s="11"/>
      <c r="O304" s="8"/>
      <c r="P304" s="9"/>
      <c r="Q304" s="8"/>
      <c r="R304" s="9"/>
      <c r="S304" s="8"/>
      <c r="T304" s="8"/>
      <c r="U304" s="8"/>
      <c r="V304" s="132"/>
      <c r="W304" s="8"/>
      <c r="X304" s="8"/>
      <c r="Y304" s="9"/>
      <c r="Z304" s="8"/>
      <c r="AA304" s="8"/>
      <c r="AB304" s="8"/>
      <c r="AC304" s="11"/>
      <c r="AD304" s="8"/>
      <c r="AE304" s="9"/>
      <c r="AF304" s="8"/>
      <c r="AG304" s="9"/>
      <c r="AH304" s="8"/>
      <c r="AI304" s="8"/>
      <c r="AJ304" s="8"/>
      <c r="AK304" s="132"/>
      <c r="AL304" s="8"/>
      <c r="AM304" s="8"/>
      <c r="AN304" s="9"/>
      <c r="AO304" s="8"/>
      <c r="AP304" s="8"/>
      <c r="AQ304" s="8"/>
    </row>
    <row r="305" spans="1:43" x14ac:dyDescent="0.15">
      <c r="A305" s="8"/>
      <c r="B305" s="8"/>
      <c r="C305" s="8"/>
      <c r="D305" s="8"/>
      <c r="E305" s="9"/>
      <c r="F305" s="8"/>
      <c r="G305" s="10"/>
      <c r="H305" s="11"/>
      <c r="I305" s="8"/>
      <c r="J305" s="9"/>
      <c r="K305" s="8"/>
      <c r="L305" s="9"/>
      <c r="M305" s="8"/>
      <c r="N305" s="11"/>
      <c r="O305" s="8"/>
      <c r="P305" s="9"/>
      <c r="Q305" s="8"/>
      <c r="R305" s="9"/>
      <c r="S305" s="8"/>
      <c r="T305" s="8"/>
      <c r="U305" s="8"/>
      <c r="V305" s="11"/>
      <c r="W305" s="8"/>
      <c r="X305" s="8"/>
      <c r="Y305" s="9"/>
      <c r="Z305" s="8"/>
      <c r="AA305" s="8"/>
      <c r="AB305" s="8"/>
      <c r="AC305" s="11"/>
      <c r="AD305" s="8"/>
      <c r="AE305" s="9"/>
      <c r="AF305" s="8"/>
      <c r="AG305" s="9"/>
      <c r="AH305" s="8"/>
      <c r="AI305" s="8"/>
      <c r="AJ305" s="8"/>
      <c r="AK305" s="11"/>
      <c r="AL305" s="8"/>
      <c r="AM305" s="8"/>
      <c r="AN305" s="9"/>
      <c r="AO305" s="8"/>
      <c r="AP305" s="8"/>
      <c r="AQ305" s="8"/>
    </row>
    <row r="306" spans="1:43" x14ac:dyDescent="0.15">
      <c r="A306" s="8"/>
      <c r="B306" s="8"/>
      <c r="C306" s="8"/>
      <c r="D306" s="8"/>
      <c r="E306" s="9"/>
      <c r="F306" s="8"/>
      <c r="G306" s="10"/>
      <c r="H306" s="11"/>
      <c r="I306" s="8"/>
      <c r="J306" s="9"/>
      <c r="K306" s="8"/>
      <c r="L306" s="9"/>
      <c r="M306" s="8"/>
      <c r="N306" s="11"/>
      <c r="O306" s="8"/>
      <c r="P306" s="9"/>
      <c r="Q306" s="8"/>
      <c r="R306" s="9"/>
      <c r="S306" s="8"/>
      <c r="T306" s="8"/>
      <c r="U306" s="8"/>
      <c r="V306" s="11"/>
      <c r="W306" s="8"/>
      <c r="X306" s="8"/>
      <c r="Y306" s="9"/>
      <c r="Z306" s="8"/>
      <c r="AA306" s="8"/>
      <c r="AB306" s="8"/>
      <c r="AC306" s="11"/>
      <c r="AD306" s="8"/>
      <c r="AE306" s="9"/>
      <c r="AF306" s="8"/>
      <c r="AG306" s="9"/>
      <c r="AH306" s="8"/>
      <c r="AI306" s="8"/>
      <c r="AJ306" s="8"/>
      <c r="AK306" s="11"/>
      <c r="AL306" s="8"/>
      <c r="AM306" s="8"/>
      <c r="AN306" s="9"/>
      <c r="AO306" s="8"/>
      <c r="AP306" s="8"/>
      <c r="AQ306" s="8"/>
    </row>
    <row r="307" spans="1:43" x14ac:dyDescent="0.15">
      <c r="A307" s="8"/>
      <c r="B307" s="8"/>
      <c r="C307" s="8"/>
      <c r="D307" s="8"/>
      <c r="E307" s="9"/>
      <c r="F307" s="8"/>
      <c r="G307" s="10"/>
      <c r="H307" s="11"/>
      <c r="I307" s="8"/>
      <c r="J307" s="9"/>
      <c r="K307" s="8"/>
      <c r="L307" s="9"/>
      <c r="M307" s="8"/>
      <c r="N307" s="11"/>
      <c r="O307" s="8"/>
      <c r="P307" s="9"/>
      <c r="Q307" s="8"/>
      <c r="R307" s="9"/>
      <c r="S307" s="8"/>
      <c r="T307" s="8"/>
      <c r="U307" s="8"/>
      <c r="V307" s="11"/>
      <c r="W307" s="8"/>
      <c r="X307" s="8"/>
      <c r="Y307" s="9"/>
      <c r="Z307" s="8"/>
      <c r="AA307" s="8"/>
      <c r="AB307" s="8"/>
      <c r="AC307" s="11"/>
      <c r="AD307" s="8"/>
      <c r="AE307" s="9"/>
      <c r="AF307" s="8"/>
      <c r="AG307" s="9"/>
      <c r="AH307" s="8"/>
      <c r="AI307" s="8"/>
      <c r="AJ307" s="8"/>
      <c r="AK307" s="11"/>
      <c r="AL307" s="8"/>
      <c r="AM307" s="8"/>
      <c r="AN307" s="9"/>
      <c r="AO307" s="8"/>
      <c r="AP307" s="8"/>
      <c r="AQ307" s="8"/>
    </row>
    <row r="308" spans="1:43" x14ac:dyDescent="0.15">
      <c r="A308" s="8"/>
      <c r="B308" s="8"/>
      <c r="C308" s="8"/>
      <c r="D308" s="8"/>
      <c r="E308" s="9"/>
      <c r="F308" s="8"/>
      <c r="G308" s="10"/>
      <c r="H308" s="11"/>
      <c r="I308" s="8"/>
      <c r="J308" s="9"/>
      <c r="K308" s="8"/>
      <c r="L308" s="9"/>
      <c r="M308" s="8"/>
      <c r="N308" s="11"/>
      <c r="O308" s="8"/>
      <c r="P308" s="9"/>
      <c r="Q308" s="8"/>
      <c r="R308" s="9"/>
      <c r="S308" s="8"/>
      <c r="T308" s="8"/>
      <c r="U308" s="8"/>
      <c r="V308" s="11"/>
      <c r="W308" s="8"/>
      <c r="X308" s="8"/>
      <c r="Y308" s="9"/>
      <c r="Z308" s="8"/>
      <c r="AA308" s="8"/>
      <c r="AB308" s="8"/>
      <c r="AC308" s="11"/>
      <c r="AD308" s="8"/>
      <c r="AE308" s="9"/>
      <c r="AF308" s="8"/>
      <c r="AG308" s="9"/>
      <c r="AH308" s="8"/>
      <c r="AI308" s="8"/>
      <c r="AJ308" s="8"/>
      <c r="AK308" s="11"/>
      <c r="AL308" s="8"/>
      <c r="AM308" s="8"/>
      <c r="AN308" s="9"/>
      <c r="AO308" s="8"/>
      <c r="AP308" s="8"/>
      <c r="AQ308" s="8"/>
    </row>
    <row r="309" spans="1:43" x14ac:dyDescent="0.15">
      <c r="A309" s="8"/>
      <c r="B309" s="8"/>
      <c r="C309" s="8"/>
      <c r="D309" s="8"/>
      <c r="E309" s="9"/>
      <c r="F309" s="8"/>
      <c r="G309" s="10"/>
      <c r="H309" s="11"/>
      <c r="I309" s="8"/>
      <c r="J309" s="9"/>
      <c r="K309" s="8"/>
      <c r="L309" s="9"/>
      <c r="M309" s="8"/>
      <c r="N309" s="11"/>
      <c r="O309" s="8"/>
      <c r="P309" s="9"/>
      <c r="Q309" s="8"/>
      <c r="R309" s="9"/>
      <c r="S309" s="8"/>
      <c r="T309" s="8"/>
      <c r="U309" s="8"/>
      <c r="V309" s="11"/>
      <c r="W309" s="8"/>
      <c r="X309" s="8"/>
      <c r="Y309" s="9"/>
      <c r="Z309" s="8"/>
      <c r="AA309" s="8"/>
      <c r="AB309" s="8"/>
      <c r="AC309" s="11"/>
      <c r="AD309" s="8"/>
      <c r="AE309" s="9"/>
      <c r="AF309" s="8"/>
      <c r="AG309" s="9"/>
      <c r="AH309" s="8"/>
      <c r="AI309" s="8"/>
      <c r="AJ309" s="8"/>
      <c r="AK309" s="11"/>
      <c r="AL309" s="8"/>
      <c r="AM309" s="8"/>
      <c r="AN309" s="9"/>
      <c r="AO309" s="8"/>
      <c r="AP309" s="8"/>
      <c r="AQ309" s="8"/>
    </row>
    <row r="310" spans="1:43" x14ac:dyDescent="0.15">
      <c r="A310" s="8"/>
      <c r="B310" s="8"/>
      <c r="C310" s="8"/>
      <c r="D310" s="8"/>
      <c r="E310" s="9"/>
      <c r="F310" s="8"/>
      <c r="G310" s="10"/>
      <c r="H310" s="11"/>
      <c r="I310" s="8"/>
      <c r="J310" s="9"/>
      <c r="K310" s="8"/>
      <c r="L310" s="9"/>
      <c r="M310" s="8"/>
      <c r="N310" s="11"/>
      <c r="O310" s="8"/>
      <c r="P310" s="9"/>
      <c r="Q310" s="8"/>
      <c r="R310" s="9"/>
      <c r="S310" s="8"/>
      <c r="T310" s="8"/>
      <c r="U310" s="8"/>
      <c r="V310" s="11"/>
      <c r="W310" s="8"/>
      <c r="X310" s="8"/>
      <c r="Y310" s="9"/>
      <c r="Z310" s="8"/>
      <c r="AA310" s="8"/>
      <c r="AB310" s="8"/>
      <c r="AC310" s="11"/>
      <c r="AD310" s="8"/>
      <c r="AE310" s="9"/>
      <c r="AF310" s="8"/>
      <c r="AG310" s="9"/>
      <c r="AH310" s="8"/>
      <c r="AI310" s="8"/>
      <c r="AJ310" s="8"/>
      <c r="AK310" s="11"/>
      <c r="AL310" s="8"/>
      <c r="AM310" s="8"/>
      <c r="AN310" s="9"/>
      <c r="AO310" s="8"/>
      <c r="AP310" s="8"/>
      <c r="AQ310" s="8"/>
    </row>
    <row r="311" spans="1:43" x14ac:dyDescent="0.15">
      <c r="A311" s="8"/>
      <c r="B311" s="8"/>
      <c r="C311" s="8"/>
      <c r="D311" s="8"/>
      <c r="E311" s="9"/>
      <c r="F311" s="8"/>
      <c r="G311" s="10"/>
      <c r="H311" s="11"/>
      <c r="I311" s="8"/>
      <c r="J311" s="9"/>
      <c r="K311" s="8"/>
      <c r="L311" s="9"/>
      <c r="M311" s="8"/>
      <c r="N311" s="11"/>
      <c r="O311" s="8"/>
      <c r="P311" s="9"/>
      <c r="Q311" s="8"/>
      <c r="R311" s="9"/>
      <c r="S311" s="8"/>
      <c r="T311" s="8"/>
      <c r="U311" s="8"/>
      <c r="V311" s="11"/>
      <c r="W311" s="8"/>
      <c r="X311" s="8"/>
      <c r="Y311" s="9"/>
      <c r="Z311" s="8"/>
      <c r="AA311" s="8"/>
      <c r="AB311" s="8"/>
      <c r="AC311" s="11"/>
      <c r="AD311" s="8"/>
      <c r="AE311" s="9"/>
      <c r="AF311" s="8"/>
      <c r="AG311" s="9"/>
      <c r="AH311" s="8"/>
      <c r="AI311" s="8"/>
      <c r="AJ311" s="8"/>
      <c r="AK311" s="11"/>
      <c r="AL311" s="8"/>
      <c r="AM311" s="8"/>
      <c r="AN311" s="9"/>
      <c r="AO311" s="8"/>
      <c r="AP311" s="8"/>
      <c r="AQ311" s="8"/>
    </row>
    <row r="312" spans="1:43" x14ac:dyDescent="0.15">
      <c r="A312" s="8"/>
      <c r="B312" s="8"/>
      <c r="C312" s="8"/>
      <c r="D312" s="8"/>
      <c r="E312" s="9"/>
      <c r="F312" s="8"/>
      <c r="G312" s="10"/>
      <c r="H312" s="11"/>
      <c r="I312" s="8"/>
      <c r="J312" s="9"/>
      <c r="K312" s="8"/>
      <c r="L312" s="9"/>
      <c r="M312" s="8"/>
      <c r="N312" s="11"/>
      <c r="O312" s="8"/>
      <c r="P312" s="9"/>
      <c r="Q312" s="8"/>
      <c r="R312" s="9"/>
      <c r="S312" s="8"/>
      <c r="T312" s="8"/>
      <c r="U312" s="8"/>
      <c r="V312" s="11"/>
      <c r="W312" s="8"/>
      <c r="X312" s="8"/>
      <c r="Y312" s="9"/>
      <c r="Z312" s="8"/>
      <c r="AA312" s="8"/>
      <c r="AB312" s="8"/>
      <c r="AC312" s="11"/>
      <c r="AD312" s="8"/>
      <c r="AE312" s="9"/>
      <c r="AF312" s="8"/>
      <c r="AG312" s="9"/>
      <c r="AH312" s="8"/>
      <c r="AI312" s="8"/>
      <c r="AJ312" s="8"/>
      <c r="AK312" s="11"/>
      <c r="AL312" s="8"/>
      <c r="AM312" s="8"/>
      <c r="AN312" s="9"/>
      <c r="AO312" s="8"/>
      <c r="AP312" s="8"/>
      <c r="AQ312" s="8"/>
    </row>
    <row r="313" spans="1:43" x14ac:dyDescent="0.15">
      <c r="A313" s="8"/>
      <c r="B313" s="8"/>
      <c r="C313" s="8"/>
      <c r="D313" s="8"/>
      <c r="E313" s="9"/>
      <c r="F313" s="8"/>
      <c r="G313" s="10"/>
      <c r="H313" s="132"/>
      <c r="I313" s="8"/>
      <c r="J313" s="9"/>
      <c r="K313" s="8"/>
      <c r="L313" s="9"/>
      <c r="M313" s="8"/>
      <c r="N313" s="132"/>
      <c r="O313" s="8"/>
      <c r="P313" s="9"/>
      <c r="Q313" s="8"/>
      <c r="R313" s="9"/>
      <c r="S313" s="8"/>
      <c r="T313" s="8"/>
      <c r="U313" s="8"/>
      <c r="V313" s="11"/>
      <c r="W313" s="8"/>
      <c r="X313" s="8"/>
      <c r="Y313" s="9"/>
      <c r="Z313" s="8"/>
      <c r="AA313" s="8"/>
      <c r="AB313" s="8"/>
      <c r="AC313" s="132"/>
      <c r="AD313" s="8"/>
      <c r="AE313" s="9"/>
      <c r="AF313" s="8"/>
      <c r="AG313" s="9"/>
      <c r="AH313" s="8"/>
      <c r="AI313" s="8"/>
      <c r="AJ313" s="8"/>
      <c r="AK313" s="11"/>
      <c r="AL313" s="8"/>
      <c r="AM313" s="8"/>
      <c r="AN313" s="9"/>
      <c r="AO313" s="8"/>
      <c r="AP313" s="8"/>
      <c r="AQ313" s="8"/>
    </row>
    <row r="314" spans="1:43" x14ac:dyDescent="0.15">
      <c r="A314" s="8"/>
      <c r="B314" s="8"/>
      <c r="C314" s="8"/>
      <c r="D314" s="8"/>
      <c r="E314" s="9"/>
      <c r="F314" s="8"/>
      <c r="G314" s="10"/>
      <c r="H314" s="132"/>
      <c r="I314" s="8"/>
      <c r="J314" s="9"/>
      <c r="K314" s="8"/>
      <c r="L314" s="9"/>
      <c r="M314" s="8"/>
      <c r="N314" s="132"/>
      <c r="O314" s="8"/>
      <c r="P314" s="9"/>
      <c r="Q314" s="8"/>
      <c r="R314" s="9"/>
      <c r="S314" s="8"/>
      <c r="T314" s="8"/>
      <c r="U314" s="8"/>
      <c r="V314" s="11"/>
      <c r="W314" s="8"/>
      <c r="X314" s="8"/>
      <c r="Y314" s="9"/>
      <c r="Z314" s="8"/>
      <c r="AA314" s="8"/>
      <c r="AB314" s="8"/>
      <c r="AC314" s="132"/>
      <c r="AD314" s="8"/>
      <c r="AE314" s="9"/>
      <c r="AF314" s="8"/>
      <c r="AG314" s="9"/>
      <c r="AH314" s="8"/>
      <c r="AI314" s="8"/>
      <c r="AJ314" s="8"/>
      <c r="AK314" s="11"/>
      <c r="AL314" s="8"/>
      <c r="AM314" s="8"/>
      <c r="AN314" s="9"/>
      <c r="AO314" s="8"/>
      <c r="AP314" s="8"/>
      <c r="AQ314" s="8"/>
    </row>
    <row r="315" spans="1:43" x14ac:dyDescent="0.15">
      <c r="A315" s="8"/>
      <c r="B315" s="8"/>
      <c r="C315" s="8"/>
      <c r="D315" s="8"/>
      <c r="E315" s="9"/>
      <c r="F315" s="8"/>
      <c r="G315" s="10"/>
      <c r="H315" s="132"/>
      <c r="I315" s="8"/>
      <c r="J315" s="9"/>
      <c r="K315" s="8"/>
      <c r="L315" s="9"/>
      <c r="M315" s="8"/>
      <c r="N315" s="132"/>
      <c r="O315" s="8"/>
      <c r="P315" s="9"/>
      <c r="Q315" s="8"/>
      <c r="R315" s="9"/>
      <c r="S315" s="8"/>
      <c r="T315" s="8"/>
      <c r="U315" s="8"/>
      <c r="V315" s="11"/>
      <c r="W315" s="8"/>
      <c r="X315" s="8"/>
      <c r="Y315" s="9"/>
      <c r="Z315" s="8"/>
      <c r="AA315" s="8"/>
      <c r="AB315" s="8"/>
      <c r="AC315" s="132"/>
      <c r="AD315" s="8"/>
      <c r="AE315" s="9"/>
      <c r="AF315" s="8"/>
      <c r="AG315" s="9"/>
      <c r="AH315" s="8"/>
      <c r="AI315" s="8"/>
      <c r="AJ315" s="8"/>
      <c r="AK315" s="11"/>
      <c r="AL315" s="8"/>
      <c r="AM315" s="8"/>
      <c r="AN315" s="9"/>
      <c r="AO315" s="8"/>
      <c r="AP315" s="8"/>
      <c r="AQ315" s="8"/>
    </row>
    <row r="316" spans="1:43" x14ac:dyDescent="0.15">
      <c r="A316" s="8"/>
      <c r="B316" s="8"/>
      <c r="C316" s="8"/>
      <c r="D316" s="8"/>
      <c r="E316" s="9"/>
      <c r="F316" s="8"/>
      <c r="G316" s="10"/>
      <c r="H316" s="11"/>
      <c r="I316" s="8"/>
      <c r="J316" s="9"/>
      <c r="K316" s="8"/>
      <c r="L316" s="9"/>
      <c r="M316" s="8"/>
      <c r="N316" s="11"/>
      <c r="O316" s="8"/>
      <c r="P316" s="9"/>
      <c r="Q316" s="8"/>
      <c r="R316" s="9"/>
      <c r="S316" s="8"/>
      <c r="T316" s="8"/>
      <c r="U316" s="8"/>
      <c r="V316" s="11"/>
      <c r="W316" s="8"/>
      <c r="X316" s="8"/>
      <c r="Y316" s="9"/>
      <c r="Z316" s="8"/>
      <c r="AA316" s="8"/>
      <c r="AB316" s="8"/>
      <c r="AC316" s="11"/>
      <c r="AD316" s="8"/>
      <c r="AE316" s="9"/>
      <c r="AF316" s="8"/>
      <c r="AG316" s="9"/>
      <c r="AH316" s="8"/>
      <c r="AI316" s="8"/>
      <c r="AJ316" s="8"/>
      <c r="AK316" s="11"/>
      <c r="AL316" s="8"/>
      <c r="AM316" s="8"/>
      <c r="AN316" s="9"/>
      <c r="AO316" s="8"/>
      <c r="AP316" s="8"/>
      <c r="AQ316" s="8"/>
    </row>
    <row r="317" spans="1:43" x14ac:dyDescent="0.15">
      <c r="A317" s="8"/>
      <c r="B317" s="8"/>
      <c r="C317" s="8"/>
      <c r="D317" s="8"/>
      <c r="E317" s="9"/>
      <c r="F317" s="8"/>
      <c r="G317" s="10"/>
      <c r="H317" s="11"/>
      <c r="I317" s="8"/>
      <c r="J317" s="9"/>
      <c r="K317" s="8"/>
      <c r="L317" s="9"/>
      <c r="M317" s="8"/>
      <c r="N317" s="11"/>
      <c r="O317" s="8"/>
      <c r="P317" s="9"/>
      <c r="Q317" s="8"/>
      <c r="R317" s="9"/>
      <c r="S317" s="8"/>
      <c r="T317" s="8"/>
      <c r="U317" s="8"/>
      <c r="V317" s="11"/>
      <c r="W317" s="8"/>
      <c r="X317" s="8"/>
      <c r="Y317" s="9"/>
      <c r="Z317" s="8"/>
      <c r="AA317" s="8"/>
      <c r="AB317" s="8"/>
      <c r="AC317" s="11"/>
      <c r="AD317" s="8"/>
      <c r="AE317" s="9"/>
      <c r="AF317" s="8"/>
      <c r="AG317" s="9"/>
      <c r="AH317" s="8"/>
      <c r="AI317" s="8"/>
      <c r="AJ317" s="8"/>
      <c r="AK317" s="11"/>
      <c r="AL317" s="8"/>
      <c r="AM317" s="8"/>
      <c r="AN317" s="9"/>
      <c r="AO317" s="8"/>
      <c r="AP317" s="8"/>
      <c r="AQ317" s="8"/>
    </row>
    <row r="318" spans="1:43" x14ac:dyDescent="0.15">
      <c r="A318" s="8"/>
      <c r="B318" s="8"/>
      <c r="C318" s="8"/>
      <c r="D318" s="8"/>
      <c r="E318" s="9"/>
      <c r="F318" s="8"/>
      <c r="G318" s="10"/>
      <c r="H318" s="11"/>
      <c r="I318" s="8"/>
      <c r="J318" s="9"/>
      <c r="K318" s="8"/>
      <c r="L318" s="9"/>
      <c r="M318" s="8"/>
      <c r="N318" s="11"/>
      <c r="O318" s="8"/>
      <c r="P318" s="9"/>
      <c r="Q318" s="8"/>
      <c r="R318" s="9"/>
      <c r="S318" s="8"/>
      <c r="T318" s="8"/>
      <c r="U318" s="8"/>
      <c r="V318" s="11"/>
      <c r="W318" s="8"/>
      <c r="X318" s="8"/>
      <c r="Y318" s="9"/>
      <c r="Z318" s="8"/>
      <c r="AA318" s="8"/>
      <c r="AB318" s="8"/>
      <c r="AC318" s="11"/>
      <c r="AD318" s="8"/>
      <c r="AE318" s="9"/>
      <c r="AF318" s="8"/>
      <c r="AG318" s="9"/>
      <c r="AH318" s="8"/>
      <c r="AI318" s="8"/>
      <c r="AJ318" s="8"/>
      <c r="AK318" s="11"/>
      <c r="AL318" s="8"/>
      <c r="AM318" s="8"/>
      <c r="AN318" s="9"/>
      <c r="AO318" s="8"/>
      <c r="AP318" s="8"/>
      <c r="AQ318" s="8"/>
    </row>
    <row r="319" spans="1:43" x14ac:dyDescent="0.15">
      <c r="A319" s="8"/>
      <c r="B319" s="8"/>
      <c r="C319" s="8"/>
      <c r="D319" s="8"/>
      <c r="E319" s="9"/>
      <c r="F319" s="8"/>
      <c r="G319" s="10"/>
      <c r="H319" s="11"/>
      <c r="I319" s="8"/>
      <c r="J319" s="9"/>
      <c r="K319" s="8"/>
      <c r="L319" s="9"/>
      <c r="M319" s="8"/>
      <c r="N319" s="11"/>
      <c r="O319" s="8"/>
      <c r="P319" s="9"/>
      <c r="Q319" s="8"/>
      <c r="R319" s="9"/>
      <c r="S319" s="8"/>
      <c r="T319" s="8"/>
      <c r="U319" s="8"/>
      <c r="V319" s="11"/>
      <c r="W319" s="8"/>
      <c r="X319" s="8"/>
      <c r="Y319" s="9"/>
      <c r="Z319" s="8"/>
      <c r="AA319" s="8"/>
      <c r="AB319" s="8"/>
      <c r="AC319" s="11"/>
      <c r="AD319" s="8"/>
      <c r="AE319" s="9"/>
      <c r="AF319" s="8"/>
      <c r="AG319" s="9"/>
      <c r="AH319" s="8"/>
      <c r="AI319" s="8"/>
      <c r="AJ319" s="8"/>
      <c r="AK319" s="11"/>
      <c r="AL319" s="8"/>
      <c r="AM319" s="8"/>
      <c r="AN319" s="9"/>
      <c r="AO319" s="8"/>
      <c r="AP319" s="8"/>
      <c r="AQ319" s="8"/>
    </row>
    <row r="320" spans="1:43" x14ac:dyDescent="0.15">
      <c r="A320" s="8"/>
      <c r="B320" s="8"/>
      <c r="C320" s="8"/>
      <c r="D320" s="8"/>
      <c r="E320" s="9"/>
      <c r="F320" s="8"/>
      <c r="G320" s="10"/>
      <c r="H320" s="11"/>
      <c r="I320" s="8"/>
      <c r="J320" s="9"/>
      <c r="K320" s="8"/>
      <c r="L320" s="9"/>
      <c r="M320" s="8"/>
      <c r="N320" s="11"/>
      <c r="O320" s="8"/>
      <c r="P320" s="9"/>
      <c r="Q320" s="8"/>
      <c r="R320" s="9"/>
      <c r="S320" s="8"/>
      <c r="T320" s="8"/>
      <c r="U320" s="8"/>
      <c r="V320" s="132"/>
      <c r="W320" s="8"/>
      <c r="X320" s="8"/>
      <c r="Y320" s="9"/>
      <c r="Z320" s="8"/>
      <c r="AA320" s="8"/>
      <c r="AB320" s="8"/>
      <c r="AC320" s="11"/>
      <c r="AD320" s="8"/>
      <c r="AE320" s="9"/>
      <c r="AF320" s="8"/>
      <c r="AG320" s="9"/>
      <c r="AH320" s="8"/>
      <c r="AI320" s="8"/>
      <c r="AJ320" s="8"/>
      <c r="AK320" s="132"/>
      <c r="AL320" s="8"/>
      <c r="AM320" s="8"/>
      <c r="AN320" s="9"/>
      <c r="AO320" s="8"/>
      <c r="AP320" s="8"/>
      <c r="AQ320" s="8"/>
    </row>
    <row r="321" spans="1:43" x14ac:dyDescent="0.15">
      <c r="A321" s="8"/>
      <c r="B321" s="8"/>
      <c r="C321" s="8"/>
      <c r="D321" s="8"/>
      <c r="E321" s="9"/>
      <c r="F321" s="8"/>
      <c r="G321" s="10"/>
      <c r="H321" s="11"/>
      <c r="I321" s="8"/>
      <c r="J321" s="9"/>
      <c r="K321" s="8"/>
      <c r="L321" s="9"/>
      <c r="M321" s="8"/>
      <c r="N321" s="11"/>
      <c r="O321" s="8"/>
      <c r="P321" s="9"/>
      <c r="Q321" s="8"/>
      <c r="R321" s="9"/>
      <c r="S321" s="8"/>
      <c r="T321" s="8"/>
      <c r="U321" s="8"/>
      <c r="V321" s="11"/>
      <c r="W321" s="8"/>
      <c r="X321" s="8"/>
      <c r="Y321" s="9"/>
      <c r="Z321" s="8"/>
      <c r="AA321" s="8"/>
      <c r="AB321" s="8"/>
      <c r="AC321" s="11"/>
      <c r="AD321" s="8"/>
      <c r="AE321" s="9"/>
      <c r="AF321" s="8"/>
      <c r="AG321" s="9"/>
      <c r="AH321" s="8"/>
      <c r="AI321" s="8"/>
      <c r="AJ321" s="8"/>
      <c r="AK321" s="11"/>
      <c r="AL321" s="8"/>
      <c r="AM321" s="8"/>
      <c r="AN321" s="9"/>
      <c r="AO321" s="8"/>
      <c r="AP321" s="8"/>
      <c r="AQ321" s="8"/>
    </row>
    <row r="322" spans="1:43" x14ac:dyDescent="0.15">
      <c r="A322" s="8"/>
      <c r="B322" s="8"/>
      <c r="C322" s="8"/>
      <c r="D322" s="8"/>
      <c r="E322" s="9"/>
      <c r="F322" s="8"/>
      <c r="G322" s="10"/>
      <c r="H322" s="11"/>
      <c r="I322" s="8"/>
      <c r="J322" s="9"/>
      <c r="K322" s="8"/>
      <c r="L322" s="9"/>
      <c r="M322" s="8"/>
      <c r="N322" s="11"/>
      <c r="O322" s="8"/>
      <c r="P322" s="9"/>
      <c r="Q322" s="8"/>
      <c r="R322" s="9"/>
      <c r="S322" s="8"/>
      <c r="T322" s="8"/>
      <c r="U322" s="8"/>
      <c r="V322" s="11"/>
      <c r="W322" s="8"/>
      <c r="X322" s="8"/>
      <c r="Y322" s="9"/>
      <c r="Z322" s="8"/>
      <c r="AA322" s="8"/>
      <c r="AB322" s="8"/>
      <c r="AC322" s="11"/>
      <c r="AD322" s="8"/>
      <c r="AE322" s="9"/>
      <c r="AF322" s="8"/>
      <c r="AG322" s="9"/>
      <c r="AH322" s="8"/>
      <c r="AI322" s="8"/>
      <c r="AJ322" s="8"/>
      <c r="AK322" s="11"/>
      <c r="AL322" s="8"/>
      <c r="AM322" s="8"/>
      <c r="AN322" s="9"/>
      <c r="AO322" s="8"/>
      <c r="AP322" s="8"/>
      <c r="AQ322" s="8"/>
    </row>
    <row r="323" spans="1:43" x14ac:dyDescent="0.15">
      <c r="A323" s="8"/>
      <c r="B323" s="8"/>
      <c r="C323" s="8"/>
      <c r="D323" s="8"/>
      <c r="E323" s="9"/>
      <c r="F323" s="8"/>
      <c r="G323" s="10"/>
      <c r="H323" s="11"/>
      <c r="I323" s="8"/>
      <c r="J323" s="9"/>
      <c r="K323" s="8"/>
      <c r="L323" s="9"/>
      <c r="M323" s="8"/>
      <c r="N323" s="11"/>
      <c r="O323" s="8"/>
      <c r="P323" s="9"/>
      <c r="Q323" s="8"/>
      <c r="R323" s="9"/>
      <c r="S323" s="8"/>
      <c r="T323" s="8"/>
      <c r="U323" s="8"/>
      <c r="V323" s="11"/>
      <c r="W323" s="8"/>
      <c r="X323" s="8"/>
      <c r="Y323" s="9"/>
      <c r="Z323" s="8"/>
      <c r="AA323" s="8"/>
      <c r="AB323" s="8"/>
      <c r="AC323" s="11"/>
      <c r="AD323" s="8"/>
      <c r="AE323" s="9"/>
      <c r="AF323" s="8"/>
      <c r="AG323" s="9"/>
      <c r="AH323" s="8"/>
      <c r="AI323" s="8"/>
      <c r="AJ323" s="8"/>
      <c r="AK323" s="11"/>
      <c r="AL323" s="8"/>
      <c r="AM323" s="8"/>
      <c r="AN323" s="9"/>
      <c r="AO323" s="8"/>
      <c r="AP323" s="8"/>
      <c r="AQ323" s="8"/>
    </row>
    <row r="324" spans="1:43" x14ac:dyDescent="0.15">
      <c r="A324" s="8"/>
      <c r="B324" s="8"/>
      <c r="C324" s="8"/>
      <c r="D324" s="8"/>
      <c r="E324" s="9"/>
      <c r="F324" s="8"/>
      <c r="G324" s="10"/>
      <c r="H324" s="11"/>
      <c r="I324" s="8"/>
      <c r="J324" s="9"/>
      <c r="K324" s="8"/>
      <c r="L324" s="9"/>
      <c r="M324" s="8"/>
      <c r="N324" s="11"/>
      <c r="O324" s="8"/>
      <c r="P324" s="9"/>
      <c r="Q324" s="8"/>
      <c r="R324" s="9"/>
      <c r="S324" s="8"/>
      <c r="T324" s="8"/>
      <c r="U324" s="8"/>
      <c r="V324" s="11"/>
      <c r="W324" s="8"/>
      <c r="X324" s="8"/>
      <c r="Y324" s="9"/>
      <c r="Z324" s="8"/>
      <c r="AA324" s="8"/>
      <c r="AB324" s="8"/>
      <c r="AC324" s="11"/>
      <c r="AD324" s="8"/>
      <c r="AE324" s="9"/>
      <c r="AF324" s="8"/>
      <c r="AG324" s="9"/>
      <c r="AH324" s="8"/>
      <c r="AI324" s="8"/>
      <c r="AJ324" s="8"/>
      <c r="AK324" s="11"/>
      <c r="AL324" s="8"/>
      <c r="AM324" s="8"/>
      <c r="AN324" s="9"/>
      <c r="AO324" s="8"/>
      <c r="AP324" s="8"/>
      <c r="AQ324" s="8"/>
    </row>
    <row r="325" spans="1:43" x14ac:dyDescent="0.15">
      <c r="A325" s="8"/>
      <c r="B325" s="8"/>
      <c r="C325" s="8"/>
      <c r="D325" s="8"/>
      <c r="E325" s="9"/>
      <c r="F325" s="8"/>
      <c r="G325" s="10"/>
      <c r="H325" s="11"/>
      <c r="I325" s="8"/>
      <c r="J325" s="9"/>
      <c r="K325" s="8"/>
      <c r="L325" s="9"/>
      <c r="M325" s="8"/>
      <c r="N325" s="11"/>
      <c r="O325" s="8"/>
      <c r="P325" s="9"/>
      <c r="Q325" s="8"/>
      <c r="R325" s="9"/>
      <c r="S325" s="8"/>
      <c r="T325" s="8"/>
      <c r="U325" s="8"/>
      <c r="V325" s="132"/>
      <c r="W325" s="8"/>
      <c r="X325" s="8"/>
      <c r="Y325" s="9"/>
      <c r="Z325" s="8"/>
      <c r="AA325" s="8"/>
      <c r="AB325" s="8"/>
      <c r="AC325" s="11"/>
      <c r="AD325" s="8"/>
      <c r="AE325" s="9"/>
      <c r="AF325" s="8"/>
      <c r="AG325" s="9"/>
      <c r="AH325" s="8"/>
      <c r="AI325" s="8"/>
      <c r="AJ325" s="8"/>
      <c r="AK325" s="132"/>
      <c r="AL325" s="8"/>
      <c r="AM325" s="8"/>
      <c r="AN325" s="9"/>
      <c r="AO325" s="8"/>
      <c r="AP325" s="8"/>
      <c r="AQ325" s="8"/>
    </row>
    <row r="326" spans="1:43" x14ac:dyDescent="0.15">
      <c r="A326" s="8"/>
      <c r="B326" s="8"/>
      <c r="C326" s="8"/>
      <c r="D326" s="8"/>
      <c r="E326" s="9"/>
      <c r="F326" s="8"/>
      <c r="G326" s="10"/>
      <c r="H326" s="11"/>
      <c r="I326" s="8"/>
      <c r="J326" s="9"/>
      <c r="K326" s="8"/>
      <c r="L326" s="9"/>
      <c r="M326" s="8"/>
      <c r="N326" s="11"/>
      <c r="O326" s="8"/>
      <c r="P326" s="9"/>
      <c r="Q326" s="8"/>
      <c r="R326" s="9"/>
      <c r="S326" s="8"/>
      <c r="T326" s="8"/>
      <c r="U326" s="8"/>
      <c r="V326" s="132"/>
      <c r="W326" s="8"/>
      <c r="X326" s="8"/>
      <c r="Y326" s="9"/>
      <c r="Z326" s="8"/>
      <c r="AA326" s="8"/>
      <c r="AB326" s="8"/>
      <c r="AC326" s="11"/>
      <c r="AD326" s="8"/>
      <c r="AE326" s="9"/>
      <c r="AF326" s="8"/>
      <c r="AG326" s="9"/>
      <c r="AH326" s="8"/>
      <c r="AI326" s="8"/>
      <c r="AJ326" s="8"/>
      <c r="AK326" s="132"/>
      <c r="AL326" s="8"/>
      <c r="AM326" s="8"/>
      <c r="AN326" s="9"/>
      <c r="AO326" s="8"/>
      <c r="AP326" s="8"/>
      <c r="AQ326" s="8"/>
    </row>
    <row r="327" spans="1:43" x14ac:dyDescent="0.15">
      <c r="A327" s="8"/>
      <c r="B327" s="8"/>
      <c r="C327" s="8"/>
      <c r="D327" s="8"/>
      <c r="E327" s="9"/>
      <c r="F327" s="8"/>
      <c r="G327" s="10"/>
      <c r="H327" s="11"/>
      <c r="I327" s="8"/>
      <c r="J327" s="9"/>
      <c r="K327" s="8"/>
      <c r="L327" s="9"/>
      <c r="M327" s="8"/>
      <c r="N327" s="11"/>
      <c r="O327" s="8"/>
      <c r="P327" s="9"/>
      <c r="Q327" s="8"/>
      <c r="R327" s="9"/>
      <c r="S327" s="8"/>
      <c r="T327" s="8"/>
      <c r="U327" s="8"/>
      <c r="V327" s="132"/>
      <c r="W327" s="8"/>
      <c r="X327" s="8"/>
      <c r="Y327" s="9"/>
      <c r="Z327" s="8"/>
      <c r="AA327" s="8"/>
      <c r="AB327" s="8"/>
      <c r="AC327" s="11"/>
      <c r="AD327" s="8"/>
      <c r="AE327" s="9"/>
      <c r="AF327" s="8"/>
      <c r="AG327" s="9"/>
      <c r="AH327" s="8"/>
      <c r="AI327" s="8"/>
      <c r="AJ327" s="8"/>
      <c r="AK327" s="132"/>
      <c r="AL327" s="8"/>
      <c r="AM327" s="8"/>
      <c r="AN327" s="9"/>
      <c r="AO327" s="8"/>
      <c r="AP327" s="8"/>
      <c r="AQ327" s="8"/>
    </row>
    <row r="328" spans="1:43" x14ac:dyDescent="0.15">
      <c r="A328" s="8"/>
      <c r="B328" s="8"/>
      <c r="C328" s="8"/>
      <c r="D328" s="8"/>
      <c r="E328" s="9"/>
      <c r="F328" s="8"/>
      <c r="G328" s="10"/>
      <c r="H328" s="132"/>
      <c r="I328" s="8"/>
      <c r="J328" s="9"/>
      <c r="K328" s="8"/>
      <c r="L328" s="9"/>
      <c r="M328" s="8"/>
      <c r="N328" s="132"/>
      <c r="O328" s="8"/>
      <c r="P328" s="9"/>
      <c r="Q328" s="8"/>
      <c r="R328" s="9"/>
      <c r="S328" s="8"/>
      <c r="T328" s="8"/>
      <c r="U328" s="8"/>
      <c r="V328" s="132"/>
      <c r="W328" s="8"/>
      <c r="X328" s="8"/>
      <c r="Y328" s="9"/>
      <c r="Z328" s="8"/>
      <c r="AA328" s="8"/>
      <c r="AB328" s="8"/>
      <c r="AC328" s="132"/>
      <c r="AD328" s="8"/>
      <c r="AE328" s="9"/>
      <c r="AF328" s="8"/>
      <c r="AG328" s="9"/>
      <c r="AH328" s="8"/>
      <c r="AI328" s="8"/>
      <c r="AJ328" s="8"/>
      <c r="AK328" s="132"/>
      <c r="AL328" s="8"/>
      <c r="AM328" s="8"/>
      <c r="AN328" s="9"/>
      <c r="AO328" s="8"/>
      <c r="AP328" s="8"/>
      <c r="AQ328" s="8"/>
    </row>
    <row r="329" spans="1:43" x14ac:dyDescent="0.15">
      <c r="A329" s="8"/>
      <c r="B329" s="8"/>
      <c r="C329" s="8"/>
      <c r="D329" s="8"/>
      <c r="E329" s="9"/>
      <c r="F329" s="8"/>
      <c r="G329" s="10"/>
      <c r="H329" s="132"/>
      <c r="I329" s="8"/>
      <c r="J329" s="9"/>
      <c r="K329" s="8"/>
      <c r="L329" s="9"/>
      <c r="M329" s="8"/>
      <c r="N329" s="132"/>
      <c r="O329" s="8"/>
      <c r="P329" s="9"/>
      <c r="Q329" s="8"/>
      <c r="R329" s="9"/>
      <c r="S329" s="8"/>
      <c r="T329" s="8"/>
      <c r="U329" s="8"/>
      <c r="V329" s="132"/>
      <c r="W329" s="8"/>
      <c r="X329" s="8"/>
      <c r="Y329" s="9"/>
      <c r="Z329" s="8"/>
      <c r="AA329" s="8"/>
      <c r="AB329" s="8"/>
      <c r="AC329" s="132"/>
      <c r="AD329" s="8"/>
      <c r="AE329" s="9"/>
      <c r="AF329" s="8"/>
      <c r="AG329" s="9"/>
      <c r="AH329" s="8"/>
      <c r="AI329" s="8"/>
      <c r="AJ329" s="8"/>
      <c r="AK329" s="132"/>
      <c r="AL329" s="8"/>
      <c r="AM329" s="8"/>
      <c r="AN329" s="9"/>
      <c r="AO329" s="8"/>
      <c r="AP329" s="8"/>
      <c r="AQ329" s="8"/>
    </row>
    <row r="330" spans="1:43" x14ac:dyDescent="0.15">
      <c r="A330" s="8"/>
      <c r="B330" s="8"/>
      <c r="C330" s="8"/>
      <c r="D330" s="8"/>
      <c r="E330" s="9"/>
      <c r="F330" s="8"/>
      <c r="G330" s="10"/>
      <c r="H330" s="11"/>
      <c r="I330" s="8"/>
      <c r="J330" s="9"/>
      <c r="K330" s="8"/>
      <c r="L330" s="9"/>
      <c r="M330" s="8"/>
      <c r="N330" s="11"/>
      <c r="O330" s="8"/>
      <c r="P330" s="9"/>
      <c r="Q330" s="8"/>
      <c r="R330" s="9"/>
      <c r="S330" s="8"/>
      <c r="T330" s="8"/>
      <c r="U330" s="8"/>
      <c r="V330" s="11"/>
      <c r="W330" s="8"/>
      <c r="X330" s="8"/>
      <c r="Y330" s="9"/>
      <c r="Z330" s="8"/>
      <c r="AA330" s="8"/>
      <c r="AB330" s="8"/>
      <c r="AC330" s="11"/>
      <c r="AD330" s="8"/>
      <c r="AE330" s="9"/>
      <c r="AF330" s="8"/>
      <c r="AG330" s="9"/>
      <c r="AH330" s="8"/>
      <c r="AI330" s="8"/>
      <c r="AJ330" s="8"/>
      <c r="AK330" s="11"/>
      <c r="AL330" s="8"/>
      <c r="AM330" s="8"/>
      <c r="AN330" s="9"/>
      <c r="AO330" s="8"/>
      <c r="AP330" s="8"/>
      <c r="AQ330" s="8"/>
    </row>
    <row r="331" spans="1:43" x14ac:dyDescent="0.15">
      <c r="A331" s="8"/>
      <c r="B331" s="8"/>
      <c r="C331" s="8"/>
      <c r="D331" s="8"/>
      <c r="E331" s="9"/>
      <c r="F331" s="8"/>
      <c r="G331" s="10"/>
      <c r="H331" s="11"/>
      <c r="I331" s="8"/>
      <c r="J331" s="9"/>
      <c r="K331" s="8"/>
      <c r="L331" s="9"/>
      <c r="M331" s="8"/>
      <c r="N331" s="11"/>
      <c r="O331" s="8"/>
      <c r="P331" s="9"/>
      <c r="Q331" s="8"/>
      <c r="R331" s="9"/>
      <c r="S331" s="8"/>
      <c r="T331" s="8"/>
      <c r="U331" s="8"/>
      <c r="V331" s="11"/>
      <c r="W331" s="8"/>
      <c r="X331" s="8"/>
      <c r="Y331" s="9"/>
      <c r="Z331" s="8"/>
      <c r="AA331" s="8"/>
      <c r="AB331" s="8"/>
      <c r="AC331" s="11"/>
      <c r="AD331" s="8"/>
      <c r="AE331" s="9"/>
      <c r="AF331" s="8"/>
      <c r="AG331" s="9"/>
      <c r="AH331" s="8"/>
      <c r="AI331" s="8"/>
      <c r="AJ331" s="8"/>
      <c r="AK331" s="11"/>
      <c r="AL331" s="8"/>
      <c r="AM331" s="8"/>
      <c r="AN331" s="9"/>
      <c r="AO331" s="8"/>
      <c r="AP331" s="8"/>
      <c r="AQ331" s="8"/>
    </row>
    <row r="332" spans="1:43" x14ac:dyDescent="0.15">
      <c r="A332" s="8"/>
      <c r="B332" s="8"/>
      <c r="C332" s="8"/>
      <c r="D332" s="8"/>
      <c r="E332" s="9"/>
      <c r="F332" s="8"/>
      <c r="G332" s="10"/>
      <c r="H332" s="132"/>
      <c r="I332" s="8"/>
      <c r="J332" s="9"/>
      <c r="K332" s="8"/>
      <c r="L332" s="9"/>
      <c r="M332" s="8"/>
      <c r="N332" s="132"/>
      <c r="O332" s="8"/>
      <c r="P332" s="9"/>
      <c r="Q332" s="8"/>
      <c r="R332" s="9"/>
      <c r="S332" s="8"/>
      <c r="T332" s="8"/>
      <c r="U332" s="8"/>
      <c r="V332" s="11"/>
      <c r="W332" s="8"/>
      <c r="X332" s="8"/>
      <c r="Y332" s="9"/>
      <c r="Z332" s="8"/>
      <c r="AA332" s="8"/>
      <c r="AB332" s="8"/>
      <c r="AC332" s="132"/>
      <c r="AD332" s="8"/>
      <c r="AE332" s="9"/>
      <c r="AF332" s="8"/>
      <c r="AG332" s="9"/>
      <c r="AH332" s="8"/>
      <c r="AI332" s="8"/>
      <c r="AJ332" s="8"/>
      <c r="AK332" s="11"/>
      <c r="AL332" s="8"/>
      <c r="AM332" s="8"/>
      <c r="AN332" s="9"/>
      <c r="AO332" s="8"/>
      <c r="AP332" s="8"/>
      <c r="AQ332" s="8"/>
    </row>
    <row r="333" spans="1:43" x14ac:dyDescent="0.15">
      <c r="A333" s="8"/>
      <c r="B333" s="8"/>
      <c r="C333" s="8"/>
      <c r="D333" s="8"/>
      <c r="E333" s="9"/>
      <c r="F333" s="8"/>
      <c r="G333" s="10"/>
      <c r="H333" s="132"/>
      <c r="I333" s="8"/>
      <c r="J333" s="9"/>
      <c r="K333" s="8"/>
      <c r="L333" s="9"/>
      <c r="M333" s="8"/>
      <c r="N333" s="132"/>
      <c r="O333" s="8"/>
      <c r="P333" s="9"/>
      <c r="Q333" s="8"/>
      <c r="R333" s="9"/>
      <c r="S333" s="8"/>
      <c r="T333" s="8"/>
      <c r="U333" s="8"/>
      <c r="V333" s="11"/>
      <c r="W333" s="8"/>
      <c r="X333" s="8"/>
      <c r="Y333" s="9"/>
      <c r="Z333" s="8"/>
      <c r="AA333" s="8"/>
      <c r="AB333" s="8"/>
      <c r="AC333" s="132"/>
      <c r="AD333" s="8"/>
      <c r="AE333" s="9"/>
      <c r="AF333" s="8"/>
      <c r="AG333" s="9"/>
      <c r="AH333" s="8"/>
      <c r="AI333" s="8"/>
      <c r="AJ333" s="8"/>
      <c r="AK333" s="11"/>
      <c r="AL333" s="8"/>
      <c r="AM333" s="8"/>
      <c r="AN333" s="9"/>
      <c r="AO333" s="8"/>
      <c r="AP333" s="8"/>
      <c r="AQ333" s="8"/>
    </row>
    <row r="334" spans="1:43" x14ac:dyDescent="0.15">
      <c r="A334" s="8"/>
      <c r="B334" s="8"/>
      <c r="C334" s="8"/>
      <c r="D334" s="8"/>
      <c r="E334" s="9"/>
      <c r="F334" s="8"/>
      <c r="G334" s="10"/>
      <c r="H334" s="11"/>
      <c r="I334" s="8"/>
      <c r="J334" s="9"/>
      <c r="K334" s="8"/>
      <c r="L334" s="9"/>
      <c r="M334" s="8"/>
      <c r="N334" s="11"/>
      <c r="O334" s="8"/>
      <c r="P334" s="9"/>
      <c r="Q334" s="8"/>
      <c r="R334" s="9"/>
      <c r="S334" s="8"/>
      <c r="T334" s="8"/>
      <c r="U334" s="8"/>
      <c r="V334" s="11"/>
      <c r="W334" s="8"/>
      <c r="X334" s="8"/>
      <c r="Y334" s="9"/>
      <c r="Z334" s="8"/>
      <c r="AA334" s="8"/>
      <c r="AB334" s="8"/>
      <c r="AC334" s="11"/>
      <c r="AD334" s="8"/>
      <c r="AE334" s="9"/>
      <c r="AF334" s="8"/>
      <c r="AG334" s="9"/>
      <c r="AH334" s="8"/>
      <c r="AI334" s="8"/>
      <c r="AJ334" s="8"/>
      <c r="AK334" s="11"/>
      <c r="AL334" s="8"/>
      <c r="AM334" s="8"/>
      <c r="AN334" s="9"/>
      <c r="AO334" s="8"/>
      <c r="AP334" s="8"/>
      <c r="AQ334" s="8"/>
    </row>
    <row r="335" spans="1:43" x14ac:dyDescent="0.15">
      <c r="A335" s="8"/>
      <c r="B335" s="8"/>
      <c r="C335" s="8"/>
      <c r="D335" s="8"/>
      <c r="E335" s="9"/>
      <c r="F335" s="8"/>
      <c r="G335" s="10"/>
      <c r="H335" s="11"/>
      <c r="I335" s="8"/>
      <c r="J335" s="9"/>
      <c r="K335" s="8"/>
      <c r="L335" s="9"/>
      <c r="M335" s="8"/>
      <c r="N335" s="11"/>
      <c r="O335" s="8"/>
      <c r="P335" s="9"/>
      <c r="Q335" s="8"/>
      <c r="R335" s="9"/>
      <c r="S335" s="8"/>
      <c r="T335" s="8"/>
      <c r="U335" s="8"/>
      <c r="V335" s="11"/>
      <c r="W335" s="8"/>
      <c r="X335" s="8"/>
      <c r="Y335" s="9"/>
      <c r="Z335" s="8"/>
      <c r="AA335" s="8"/>
      <c r="AB335" s="8"/>
      <c r="AC335" s="11"/>
      <c r="AD335" s="8"/>
      <c r="AE335" s="9"/>
      <c r="AF335" s="8"/>
      <c r="AG335" s="9"/>
      <c r="AH335" s="8"/>
      <c r="AI335" s="8"/>
      <c r="AJ335" s="8"/>
      <c r="AK335" s="11"/>
      <c r="AL335" s="8"/>
      <c r="AM335" s="8"/>
      <c r="AN335" s="9"/>
      <c r="AO335" s="8"/>
      <c r="AP335" s="8"/>
      <c r="AQ335" s="8"/>
    </row>
    <row r="336" spans="1:43" x14ac:dyDescent="0.15">
      <c r="A336" s="8"/>
      <c r="B336" s="8"/>
      <c r="C336" s="8"/>
      <c r="D336" s="8"/>
      <c r="E336" s="9"/>
      <c r="F336" s="8"/>
      <c r="G336" s="10"/>
      <c r="H336" s="11"/>
      <c r="I336" s="8"/>
      <c r="J336" s="9"/>
      <c r="K336" s="8"/>
      <c r="L336" s="9"/>
      <c r="M336" s="8"/>
      <c r="N336" s="11"/>
      <c r="O336" s="8"/>
      <c r="P336" s="9"/>
      <c r="Q336" s="8"/>
      <c r="R336" s="9"/>
      <c r="S336" s="8"/>
      <c r="T336" s="8"/>
      <c r="U336" s="8"/>
      <c r="V336" s="11"/>
      <c r="W336" s="8"/>
      <c r="X336" s="8"/>
      <c r="Y336" s="9"/>
      <c r="Z336" s="8"/>
      <c r="AA336" s="8"/>
      <c r="AB336" s="8"/>
      <c r="AC336" s="11"/>
      <c r="AD336" s="8"/>
      <c r="AE336" s="9"/>
      <c r="AF336" s="8"/>
      <c r="AG336" s="9"/>
      <c r="AH336" s="8"/>
      <c r="AI336" s="8"/>
      <c r="AJ336" s="8"/>
      <c r="AK336" s="11"/>
      <c r="AL336" s="8"/>
      <c r="AM336" s="8"/>
      <c r="AN336" s="9"/>
      <c r="AO336" s="8"/>
      <c r="AP336" s="8"/>
      <c r="AQ336" s="8"/>
    </row>
    <row r="337" spans="1:43" x14ac:dyDescent="0.15">
      <c r="A337" s="8"/>
      <c r="B337" s="8"/>
      <c r="C337" s="8"/>
      <c r="D337" s="8"/>
      <c r="E337" s="9"/>
      <c r="F337" s="8"/>
      <c r="G337" s="10"/>
      <c r="H337" s="11"/>
      <c r="I337" s="8"/>
      <c r="J337" s="9"/>
      <c r="K337" s="8"/>
      <c r="L337" s="9"/>
      <c r="M337" s="8"/>
      <c r="N337" s="11"/>
      <c r="O337" s="8"/>
      <c r="P337" s="9"/>
      <c r="Q337" s="8"/>
      <c r="R337" s="9"/>
      <c r="S337" s="8"/>
      <c r="T337" s="8"/>
      <c r="U337" s="8"/>
      <c r="V337" s="11"/>
      <c r="W337" s="8"/>
      <c r="X337" s="8"/>
      <c r="Y337" s="9"/>
      <c r="Z337" s="8"/>
      <c r="AA337" s="8"/>
      <c r="AB337" s="8"/>
      <c r="AC337" s="11"/>
      <c r="AD337" s="8"/>
      <c r="AE337" s="9"/>
      <c r="AF337" s="8"/>
      <c r="AG337" s="9"/>
      <c r="AH337" s="8"/>
      <c r="AI337" s="8"/>
      <c r="AJ337" s="8"/>
      <c r="AK337" s="11"/>
      <c r="AL337" s="8"/>
      <c r="AM337" s="8"/>
      <c r="AN337" s="9"/>
      <c r="AO337" s="8"/>
      <c r="AP337" s="8"/>
      <c r="AQ337" s="8"/>
    </row>
    <row r="338" spans="1:43" x14ac:dyDescent="0.15">
      <c r="A338" s="8"/>
      <c r="B338" s="8"/>
      <c r="C338" s="8"/>
      <c r="D338" s="8"/>
      <c r="E338" s="9"/>
      <c r="F338" s="8"/>
      <c r="G338" s="10"/>
      <c r="H338" s="11"/>
      <c r="I338" s="8"/>
      <c r="J338" s="9"/>
      <c r="K338" s="8"/>
      <c r="L338" s="9"/>
      <c r="M338" s="8"/>
      <c r="N338" s="11"/>
      <c r="O338" s="8"/>
      <c r="P338" s="9"/>
      <c r="Q338" s="8"/>
      <c r="R338" s="9"/>
      <c r="S338" s="8"/>
      <c r="T338" s="8"/>
      <c r="U338" s="8"/>
      <c r="V338" s="132"/>
      <c r="W338" s="8"/>
      <c r="X338" s="8"/>
      <c r="Y338" s="9"/>
      <c r="Z338" s="8"/>
      <c r="AA338" s="8"/>
      <c r="AB338" s="8"/>
      <c r="AC338" s="11"/>
      <c r="AD338" s="8"/>
      <c r="AE338" s="9"/>
      <c r="AF338" s="8"/>
      <c r="AG338" s="9"/>
      <c r="AH338" s="8"/>
      <c r="AI338" s="8"/>
      <c r="AJ338" s="8"/>
      <c r="AK338" s="132"/>
      <c r="AL338" s="8"/>
      <c r="AM338" s="8"/>
      <c r="AN338" s="9"/>
      <c r="AO338" s="8"/>
      <c r="AP338" s="8"/>
      <c r="AQ338" s="8"/>
    </row>
    <row r="339" spans="1:43" x14ac:dyDescent="0.15">
      <c r="A339" s="8"/>
      <c r="B339" s="8"/>
      <c r="C339" s="8"/>
      <c r="D339" s="8"/>
      <c r="E339" s="9"/>
      <c r="F339" s="8"/>
      <c r="G339" s="10"/>
      <c r="H339" s="11"/>
      <c r="I339" s="8"/>
      <c r="J339" s="9"/>
      <c r="K339" s="8"/>
      <c r="L339" s="9"/>
      <c r="M339" s="8"/>
      <c r="N339" s="11"/>
      <c r="O339" s="8"/>
      <c r="P339" s="9"/>
      <c r="Q339" s="8"/>
      <c r="R339" s="9"/>
      <c r="S339" s="8"/>
      <c r="T339" s="8"/>
      <c r="U339" s="8"/>
      <c r="V339" s="11"/>
      <c r="W339" s="8"/>
      <c r="X339" s="8"/>
      <c r="Y339" s="9"/>
      <c r="Z339" s="8"/>
      <c r="AA339" s="8"/>
      <c r="AB339" s="8"/>
      <c r="AC339" s="11"/>
      <c r="AD339" s="8"/>
      <c r="AE339" s="9"/>
      <c r="AF339" s="8"/>
      <c r="AG339" s="9"/>
      <c r="AH339" s="8"/>
      <c r="AI339" s="8"/>
      <c r="AJ339" s="8"/>
      <c r="AK339" s="11"/>
      <c r="AL339" s="8"/>
      <c r="AM339" s="8"/>
      <c r="AN339" s="9"/>
      <c r="AO339" s="8"/>
      <c r="AP339" s="8"/>
      <c r="AQ339" s="8"/>
    </row>
    <row r="340" spans="1:43" x14ac:dyDescent="0.15">
      <c r="A340" s="8"/>
      <c r="B340" s="8"/>
      <c r="C340" s="8"/>
      <c r="D340" s="8"/>
      <c r="E340" s="9"/>
      <c r="F340" s="8"/>
      <c r="G340" s="10"/>
      <c r="H340" s="11"/>
      <c r="I340" s="8"/>
      <c r="J340" s="9"/>
      <c r="K340" s="8"/>
      <c r="L340" s="9"/>
      <c r="M340" s="8"/>
      <c r="N340" s="11"/>
      <c r="O340" s="8"/>
      <c r="P340" s="9"/>
      <c r="Q340" s="8"/>
      <c r="R340" s="9"/>
      <c r="S340" s="8"/>
      <c r="T340" s="8"/>
      <c r="U340" s="8"/>
      <c r="V340" s="11"/>
      <c r="W340" s="8"/>
      <c r="X340" s="8"/>
      <c r="Y340" s="9"/>
      <c r="Z340" s="8"/>
      <c r="AA340" s="8"/>
      <c r="AB340" s="8"/>
      <c r="AC340" s="11"/>
      <c r="AD340" s="8"/>
      <c r="AE340" s="9"/>
      <c r="AF340" s="8"/>
      <c r="AG340" s="9"/>
      <c r="AH340" s="8"/>
      <c r="AI340" s="8"/>
      <c r="AJ340" s="8"/>
      <c r="AK340" s="11"/>
      <c r="AL340" s="8"/>
      <c r="AM340" s="8"/>
      <c r="AN340" s="9"/>
      <c r="AO340" s="8"/>
      <c r="AP340" s="8"/>
      <c r="AQ340" s="8"/>
    </row>
    <row r="341" spans="1:43" x14ac:dyDescent="0.15">
      <c r="A341" s="8"/>
      <c r="B341" s="8"/>
      <c r="C341" s="8"/>
      <c r="D341" s="8"/>
      <c r="E341" s="9"/>
      <c r="F341" s="8"/>
      <c r="G341" s="10"/>
      <c r="H341" s="11"/>
      <c r="I341" s="8"/>
      <c r="J341" s="9"/>
      <c r="K341" s="8"/>
      <c r="L341" s="9"/>
      <c r="M341" s="8"/>
      <c r="N341" s="11"/>
      <c r="O341" s="8"/>
      <c r="P341" s="9"/>
      <c r="Q341" s="8"/>
      <c r="R341" s="9"/>
      <c r="S341" s="8"/>
      <c r="T341" s="8"/>
      <c r="U341" s="8"/>
      <c r="V341" s="11"/>
      <c r="W341" s="8"/>
      <c r="X341" s="8"/>
      <c r="Y341" s="9"/>
      <c r="Z341" s="8"/>
      <c r="AA341" s="8"/>
      <c r="AB341" s="8"/>
      <c r="AC341" s="11"/>
      <c r="AD341" s="8"/>
      <c r="AE341" s="9"/>
      <c r="AF341" s="8"/>
      <c r="AG341" s="9"/>
      <c r="AH341" s="8"/>
      <c r="AI341" s="8"/>
      <c r="AJ341" s="8"/>
      <c r="AK341" s="11"/>
      <c r="AL341" s="8"/>
      <c r="AM341" s="8"/>
      <c r="AN341" s="9"/>
      <c r="AO341" s="8"/>
      <c r="AP341" s="8"/>
      <c r="AQ341" s="8"/>
    </row>
    <row r="342" spans="1:43" x14ac:dyDescent="0.15">
      <c r="A342" s="8"/>
      <c r="B342" s="8"/>
      <c r="C342" s="8"/>
      <c r="D342" s="8"/>
      <c r="E342" s="9"/>
      <c r="F342" s="8"/>
      <c r="G342" s="10"/>
      <c r="H342" s="11"/>
      <c r="I342" s="8"/>
      <c r="J342" s="9"/>
      <c r="K342" s="8"/>
      <c r="L342" s="9"/>
      <c r="M342" s="8"/>
      <c r="N342" s="11"/>
      <c r="O342" s="8"/>
      <c r="P342" s="9"/>
      <c r="Q342" s="8"/>
      <c r="R342" s="9"/>
      <c r="S342" s="8"/>
      <c r="T342" s="8"/>
      <c r="U342" s="8"/>
      <c r="V342" s="11"/>
      <c r="W342" s="8"/>
      <c r="X342" s="8"/>
      <c r="Y342" s="9"/>
      <c r="Z342" s="8"/>
      <c r="AA342" s="8"/>
      <c r="AB342" s="8"/>
      <c r="AC342" s="11"/>
      <c r="AD342" s="8"/>
      <c r="AE342" s="9"/>
      <c r="AF342" s="8"/>
      <c r="AG342" s="9"/>
      <c r="AH342" s="8"/>
      <c r="AI342" s="8"/>
      <c r="AJ342" s="8"/>
      <c r="AK342" s="11"/>
      <c r="AL342" s="8"/>
      <c r="AM342" s="8"/>
      <c r="AN342" s="9"/>
      <c r="AO342" s="8"/>
      <c r="AP342" s="8"/>
      <c r="AQ342" s="8"/>
    </row>
    <row r="343" spans="1:43" x14ac:dyDescent="0.15">
      <c r="A343" s="8"/>
      <c r="B343" s="8"/>
      <c r="C343" s="8"/>
      <c r="D343" s="8"/>
      <c r="E343" s="9"/>
      <c r="F343" s="8"/>
      <c r="G343" s="10"/>
      <c r="H343" s="11"/>
      <c r="I343" s="8"/>
      <c r="J343" s="9"/>
      <c r="K343" s="8"/>
      <c r="L343" s="9"/>
      <c r="M343" s="8"/>
      <c r="N343" s="11"/>
      <c r="O343" s="8"/>
      <c r="P343" s="9"/>
      <c r="Q343" s="8"/>
      <c r="R343" s="9"/>
      <c r="S343" s="8"/>
      <c r="T343" s="8"/>
      <c r="U343" s="8"/>
      <c r="V343" s="11"/>
      <c r="W343" s="8"/>
      <c r="X343" s="8"/>
      <c r="Y343" s="9"/>
      <c r="Z343" s="8"/>
      <c r="AA343" s="8"/>
      <c r="AB343" s="8"/>
      <c r="AC343" s="11"/>
      <c r="AD343" s="8"/>
      <c r="AE343" s="9"/>
      <c r="AF343" s="8"/>
      <c r="AG343" s="9"/>
      <c r="AH343" s="8"/>
      <c r="AI343" s="8"/>
      <c r="AJ343" s="8"/>
      <c r="AK343" s="11"/>
      <c r="AL343" s="8"/>
      <c r="AM343" s="8"/>
      <c r="AN343" s="9"/>
      <c r="AO343" s="8"/>
      <c r="AP343" s="8"/>
      <c r="AQ343" s="8"/>
    </row>
    <row r="344" spans="1:43" x14ac:dyDescent="0.15">
      <c r="A344" s="8"/>
      <c r="B344" s="8"/>
      <c r="C344" s="8"/>
      <c r="D344" s="8"/>
      <c r="E344" s="9"/>
      <c r="F344" s="8"/>
      <c r="G344" s="10"/>
      <c r="H344" s="11"/>
      <c r="I344" s="8"/>
      <c r="J344" s="9"/>
      <c r="K344" s="8"/>
      <c r="L344" s="9"/>
      <c r="M344" s="8"/>
      <c r="N344" s="11"/>
      <c r="O344" s="8"/>
      <c r="P344" s="9"/>
      <c r="Q344" s="8"/>
      <c r="R344" s="9"/>
      <c r="S344" s="8"/>
      <c r="T344" s="8"/>
      <c r="U344" s="8"/>
      <c r="V344" s="132"/>
      <c r="W344" s="8"/>
      <c r="X344" s="8"/>
      <c r="Y344" s="9"/>
      <c r="Z344" s="8"/>
      <c r="AA344" s="8"/>
      <c r="AB344" s="8"/>
      <c r="AC344" s="11"/>
      <c r="AD344" s="8"/>
      <c r="AE344" s="9"/>
      <c r="AF344" s="8"/>
      <c r="AG344" s="9"/>
      <c r="AH344" s="8"/>
      <c r="AI344" s="8"/>
      <c r="AJ344" s="8"/>
      <c r="AK344" s="132"/>
      <c r="AL344" s="8"/>
      <c r="AM344" s="8"/>
      <c r="AN344" s="9"/>
      <c r="AO344" s="8"/>
      <c r="AP344" s="8"/>
      <c r="AQ344" s="8"/>
    </row>
    <row r="345" spans="1:43" x14ac:dyDescent="0.15">
      <c r="A345" s="8"/>
      <c r="B345" s="8"/>
      <c r="C345" s="8"/>
      <c r="D345" s="8"/>
      <c r="E345" s="9"/>
      <c r="F345" s="8"/>
      <c r="G345" s="10"/>
      <c r="H345" s="11"/>
      <c r="I345" s="8"/>
      <c r="J345" s="9"/>
      <c r="K345" s="8"/>
      <c r="L345" s="9"/>
      <c r="M345" s="8"/>
      <c r="N345" s="11"/>
      <c r="O345" s="8"/>
      <c r="P345" s="9"/>
      <c r="Q345" s="8"/>
      <c r="R345" s="9"/>
      <c r="S345" s="8"/>
      <c r="T345" s="8"/>
      <c r="U345" s="8"/>
      <c r="V345" s="132"/>
      <c r="W345" s="8"/>
      <c r="X345" s="8"/>
      <c r="Y345" s="9"/>
      <c r="Z345" s="8"/>
      <c r="AA345" s="8"/>
      <c r="AB345" s="8"/>
      <c r="AC345" s="11"/>
      <c r="AD345" s="8"/>
      <c r="AE345" s="9"/>
      <c r="AF345" s="8"/>
      <c r="AG345" s="9"/>
      <c r="AH345" s="8"/>
      <c r="AI345" s="8"/>
      <c r="AJ345" s="8"/>
      <c r="AK345" s="132"/>
      <c r="AL345" s="8"/>
      <c r="AM345" s="8"/>
      <c r="AN345" s="9"/>
      <c r="AO345" s="8"/>
      <c r="AP345" s="8"/>
      <c r="AQ345" s="8"/>
    </row>
    <row r="346" spans="1:43" x14ac:dyDescent="0.15">
      <c r="A346" s="8"/>
      <c r="B346" s="8"/>
      <c r="C346" s="8"/>
      <c r="D346" s="8"/>
      <c r="E346" s="9"/>
      <c r="F346" s="8"/>
      <c r="G346" s="10"/>
      <c r="H346" s="11"/>
      <c r="I346" s="8"/>
      <c r="J346" s="9"/>
      <c r="K346" s="8"/>
      <c r="L346" s="9"/>
      <c r="M346" s="8"/>
      <c r="N346" s="11"/>
      <c r="O346" s="8"/>
      <c r="P346" s="9"/>
      <c r="Q346" s="8"/>
      <c r="R346" s="9"/>
      <c r="S346" s="8"/>
      <c r="T346" s="8"/>
      <c r="U346" s="8"/>
      <c r="V346" s="132"/>
      <c r="W346" s="8"/>
      <c r="X346" s="8"/>
      <c r="Y346" s="9"/>
      <c r="Z346" s="8"/>
      <c r="AA346" s="8"/>
      <c r="AB346" s="8"/>
      <c r="AC346" s="11"/>
      <c r="AD346" s="8"/>
      <c r="AE346" s="9"/>
      <c r="AF346" s="8"/>
      <c r="AG346" s="9"/>
      <c r="AH346" s="8"/>
      <c r="AI346" s="8"/>
      <c r="AJ346" s="8"/>
      <c r="AK346" s="132"/>
      <c r="AL346" s="8"/>
      <c r="AM346" s="8"/>
      <c r="AN346" s="9"/>
      <c r="AO346" s="8"/>
      <c r="AP346" s="8"/>
      <c r="AQ346" s="8"/>
    </row>
    <row r="347" spans="1:43" x14ac:dyDescent="0.15">
      <c r="A347" s="8"/>
      <c r="B347" s="8"/>
      <c r="C347" s="8"/>
      <c r="D347" s="8"/>
      <c r="E347" s="9"/>
      <c r="F347" s="8"/>
      <c r="G347" s="10"/>
      <c r="H347" s="132"/>
      <c r="I347" s="8"/>
      <c r="J347" s="9"/>
      <c r="K347" s="8"/>
      <c r="L347" s="9"/>
      <c r="M347" s="8"/>
      <c r="N347" s="132"/>
      <c r="O347" s="8"/>
      <c r="P347" s="9"/>
      <c r="Q347" s="8"/>
      <c r="R347" s="9"/>
      <c r="S347" s="8"/>
      <c r="T347" s="8"/>
      <c r="U347" s="8"/>
      <c r="V347" s="132"/>
      <c r="W347" s="8"/>
      <c r="X347" s="8"/>
      <c r="Y347" s="9"/>
      <c r="Z347" s="8"/>
      <c r="AA347" s="8"/>
      <c r="AB347" s="8"/>
      <c r="AC347" s="132"/>
      <c r="AD347" s="8"/>
      <c r="AE347" s="9"/>
      <c r="AF347" s="8"/>
      <c r="AG347" s="9"/>
      <c r="AH347" s="8"/>
      <c r="AI347" s="8"/>
      <c r="AJ347" s="8"/>
      <c r="AK347" s="132"/>
      <c r="AL347" s="8"/>
      <c r="AM347" s="8"/>
      <c r="AN347" s="9"/>
      <c r="AO347" s="8"/>
      <c r="AP347" s="8"/>
      <c r="AQ347" s="8"/>
    </row>
    <row r="348" spans="1:43" x14ac:dyDescent="0.15">
      <c r="A348" s="8"/>
      <c r="B348" s="8"/>
      <c r="C348" s="8"/>
      <c r="D348" s="8"/>
      <c r="E348" s="9"/>
      <c r="F348" s="8"/>
      <c r="G348" s="10"/>
      <c r="H348" s="132"/>
      <c r="I348" s="8"/>
      <c r="J348" s="9"/>
      <c r="K348" s="8"/>
      <c r="L348" s="9"/>
      <c r="M348" s="8"/>
      <c r="N348" s="132"/>
      <c r="O348" s="8"/>
      <c r="P348" s="9"/>
      <c r="Q348" s="8"/>
      <c r="R348" s="9"/>
      <c r="S348" s="8"/>
      <c r="T348" s="8"/>
      <c r="U348" s="8"/>
      <c r="V348" s="132"/>
      <c r="W348" s="8"/>
      <c r="X348" s="8"/>
      <c r="Y348" s="9"/>
      <c r="Z348" s="8"/>
      <c r="AA348" s="8"/>
      <c r="AB348" s="8"/>
      <c r="AC348" s="132"/>
      <c r="AD348" s="8"/>
      <c r="AE348" s="9"/>
      <c r="AF348" s="8"/>
      <c r="AG348" s="9"/>
      <c r="AH348" s="8"/>
      <c r="AI348" s="8"/>
      <c r="AJ348" s="8"/>
      <c r="AK348" s="132"/>
      <c r="AL348" s="8"/>
      <c r="AM348" s="8"/>
      <c r="AN348" s="9"/>
      <c r="AO348" s="8"/>
      <c r="AP348" s="8"/>
      <c r="AQ348" s="8"/>
    </row>
    <row r="349" spans="1:43" x14ac:dyDescent="0.15">
      <c r="A349" s="8"/>
      <c r="B349" s="8"/>
      <c r="C349" s="8"/>
      <c r="D349" s="8"/>
      <c r="E349" s="9"/>
      <c r="F349" s="8"/>
      <c r="G349" s="10"/>
      <c r="H349" s="132"/>
      <c r="I349" s="8"/>
      <c r="J349" s="9"/>
      <c r="K349" s="8"/>
      <c r="L349" s="9"/>
      <c r="M349" s="8"/>
      <c r="N349" s="132"/>
      <c r="O349" s="8"/>
      <c r="P349" s="9"/>
      <c r="Q349" s="8"/>
      <c r="R349" s="9"/>
      <c r="S349" s="8"/>
      <c r="T349" s="8"/>
      <c r="U349" s="8"/>
      <c r="V349" s="132"/>
      <c r="W349" s="8"/>
      <c r="X349" s="8"/>
      <c r="Y349" s="9"/>
      <c r="Z349" s="8"/>
      <c r="AA349" s="8"/>
      <c r="AB349" s="8"/>
      <c r="AC349" s="132"/>
      <c r="AD349" s="8"/>
      <c r="AE349" s="9"/>
      <c r="AF349" s="8"/>
      <c r="AG349" s="9"/>
      <c r="AH349" s="8"/>
      <c r="AI349" s="8"/>
      <c r="AJ349" s="8"/>
      <c r="AK349" s="132"/>
      <c r="AL349" s="8"/>
      <c r="AM349" s="8"/>
      <c r="AN349" s="9"/>
      <c r="AO349" s="8"/>
      <c r="AP349" s="8"/>
      <c r="AQ349" s="8"/>
    </row>
    <row r="350" spans="1:43" x14ac:dyDescent="0.15">
      <c r="A350" s="8"/>
      <c r="B350" s="8"/>
      <c r="C350" s="8"/>
      <c r="D350" s="8"/>
      <c r="E350" s="9"/>
      <c r="F350" s="8"/>
      <c r="G350" s="10"/>
      <c r="H350" s="11"/>
      <c r="I350" s="8"/>
      <c r="J350" s="9"/>
      <c r="K350" s="8"/>
      <c r="L350" s="9"/>
      <c r="M350" s="8"/>
      <c r="N350" s="11"/>
      <c r="O350" s="8"/>
      <c r="P350" s="9"/>
      <c r="Q350" s="8"/>
      <c r="R350" s="9"/>
      <c r="S350" s="8"/>
      <c r="T350" s="8"/>
      <c r="U350" s="8"/>
      <c r="V350" s="11"/>
      <c r="W350" s="8"/>
      <c r="X350" s="8"/>
      <c r="Y350" s="9"/>
      <c r="Z350" s="8"/>
      <c r="AA350" s="8"/>
      <c r="AB350" s="8"/>
      <c r="AC350" s="11"/>
      <c r="AD350" s="8"/>
      <c r="AE350" s="9"/>
      <c r="AF350" s="8"/>
      <c r="AG350" s="9"/>
      <c r="AH350" s="8"/>
      <c r="AI350" s="8"/>
      <c r="AJ350" s="8"/>
      <c r="AK350" s="11"/>
      <c r="AL350" s="8"/>
      <c r="AM350" s="8"/>
      <c r="AN350" s="9"/>
      <c r="AO350" s="8"/>
      <c r="AP350" s="8"/>
      <c r="AQ350" s="8"/>
    </row>
    <row r="351" spans="1:43" x14ac:dyDescent="0.15">
      <c r="A351" s="8"/>
      <c r="B351" s="8"/>
      <c r="C351" s="8"/>
      <c r="D351" s="8"/>
      <c r="E351" s="9"/>
      <c r="F351" s="8"/>
      <c r="G351" s="10"/>
      <c r="H351" s="11"/>
      <c r="I351" s="8"/>
      <c r="J351" s="9"/>
      <c r="K351" s="8"/>
      <c r="L351" s="9"/>
      <c r="M351" s="8"/>
      <c r="N351" s="11"/>
      <c r="O351" s="8"/>
      <c r="P351" s="9"/>
      <c r="Q351" s="8"/>
      <c r="R351" s="9"/>
      <c r="S351" s="8"/>
      <c r="T351" s="8"/>
      <c r="U351" s="8"/>
      <c r="V351" s="11"/>
      <c r="W351" s="8"/>
      <c r="X351" s="8"/>
      <c r="Y351" s="9"/>
      <c r="Z351" s="8"/>
      <c r="AA351" s="8"/>
      <c r="AB351" s="8"/>
      <c r="AC351" s="11"/>
      <c r="AD351" s="8"/>
      <c r="AE351" s="9"/>
      <c r="AF351" s="8"/>
      <c r="AG351" s="9"/>
      <c r="AH351" s="8"/>
      <c r="AI351" s="8"/>
      <c r="AJ351" s="8"/>
      <c r="AK351" s="11"/>
      <c r="AL351" s="8"/>
      <c r="AM351" s="8"/>
      <c r="AN351" s="9"/>
      <c r="AO351" s="8"/>
      <c r="AP351" s="8"/>
      <c r="AQ351" s="8"/>
    </row>
    <row r="352" spans="1:43" x14ac:dyDescent="0.15">
      <c r="A352" s="8"/>
      <c r="B352" s="8"/>
      <c r="C352" s="8"/>
      <c r="D352" s="8"/>
      <c r="E352" s="9"/>
      <c r="F352" s="8"/>
      <c r="G352" s="10"/>
      <c r="H352" s="132"/>
      <c r="I352" s="8"/>
      <c r="J352" s="9"/>
      <c r="K352" s="8"/>
      <c r="L352" s="9"/>
      <c r="M352" s="8"/>
      <c r="N352" s="132"/>
      <c r="O352" s="8"/>
      <c r="P352" s="9"/>
      <c r="Q352" s="8"/>
      <c r="R352" s="9"/>
      <c r="S352" s="8"/>
      <c r="T352" s="8"/>
      <c r="U352" s="8"/>
      <c r="V352" s="11"/>
      <c r="W352" s="8"/>
      <c r="X352" s="8"/>
      <c r="Y352" s="9"/>
      <c r="Z352" s="8"/>
      <c r="AA352" s="8"/>
      <c r="AB352" s="8"/>
      <c r="AC352" s="132"/>
      <c r="AD352" s="8"/>
      <c r="AE352" s="9"/>
      <c r="AF352" s="8"/>
      <c r="AG352" s="9"/>
      <c r="AH352" s="8"/>
      <c r="AI352" s="8"/>
      <c r="AJ352" s="8"/>
      <c r="AK352" s="11"/>
      <c r="AL352" s="8"/>
      <c r="AM352" s="8"/>
      <c r="AN352" s="9"/>
      <c r="AO352" s="8"/>
      <c r="AP352" s="8"/>
      <c r="AQ352" s="8"/>
    </row>
    <row r="353" spans="1:43" x14ac:dyDescent="0.15">
      <c r="A353" s="8"/>
      <c r="B353" s="8"/>
      <c r="C353" s="8"/>
      <c r="D353" s="8"/>
      <c r="E353" s="9"/>
      <c r="F353" s="8"/>
      <c r="G353" s="10"/>
      <c r="H353" s="132"/>
      <c r="I353" s="8"/>
      <c r="J353" s="9"/>
      <c r="K353" s="8"/>
      <c r="L353" s="9"/>
      <c r="M353" s="8"/>
      <c r="N353" s="132"/>
      <c r="O353" s="8"/>
      <c r="P353" s="9"/>
      <c r="Q353" s="8"/>
      <c r="R353" s="9"/>
      <c r="S353" s="8"/>
      <c r="T353" s="8"/>
      <c r="U353" s="8"/>
      <c r="V353" s="11"/>
      <c r="W353" s="8"/>
      <c r="X353" s="8"/>
      <c r="Y353" s="9"/>
      <c r="Z353" s="8"/>
      <c r="AA353" s="8"/>
      <c r="AB353" s="8"/>
      <c r="AC353" s="132"/>
      <c r="AD353" s="8"/>
      <c r="AE353" s="9"/>
      <c r="AF353" s="8"/>
      <c r="AG353" s="9"/>
      <c r="AH353" s="8"/>
      <c r="AI353" s="8"/>
      <c r="AJ353" s="8"/>
      <c r="AK353" s="11"/>
      <c r="AL353" s="8"/>
      <c r="AM353" s="8"/>
      <c r="AN353" s="9"/>
      <c r="AO353" s="8"/>
      <c r="AP353" s="8"/>
      <c r="AQ353" s="8"/>
    </row>
    <row r="354" spans="1:43" x14ac:dyDescent="0.15">
      <c r="A354" s="8"/>
      <c r="B354" s="8"/>
      <c r="C354" s="8"/>
      <c r="D354" s="8"/>
      <c r="E354" s="9"/>
      <c r="F354" s="8"/>
      <c r="G354" s="10"/>
      <c r="H354" s="11"/>
      <c r="I354" s="8"/>
      <c r="J354" s="9"/>
      <c r="K354" s="8"/>
      <c r="L354" s="9"/>
      <c r="M354" s="8"/>
      <c r="N354" s="11"/>
      <c r="O354" s="8"/>
      <c r="P354" s="9"/>
      <c r="Q354" s="8"/>
      <c r="R354" s="9"/>
      <c r="S354" s="8"/>
      <c r="T354" s="8"/>
      <c r="U354" s="8"/>
      <c r="V354" s="11"/>
      <c r="W354" s="8"/>
      <c r="X354" s="8"/>
      <c r="Y354" s="9"/>
      <c r="Z354" s="8"/>
      <c r="AA354" s="8"/>
      <c r="AB354" s="8"/>
      <c r="AC354" s="11"/>
      <c r="AD354" s="8"/>
      <c r="AE354" s="9"/>
      <c r="AF354" s="8"/>
      <c r="AG354" s="9"/>
      <c r="AH354" s="8"/>
      <c r="AI354" s="8"/>
      <c r="AJ354" s="8"/>
      <c r="AK354" s="11"/>
      <c r="AL354" s="8"/>
      <c r="AM354" s="8"/>
      <c r="AN354" s="9"/>
      <c r="AO354" s="8"/>
      <c r="AP354" s="8"/>
      <c r="AQ354" s="8"/>
    </row>
    <row r="355" spans="1:43" x14ac:dyDescent="0.15">
      <c r="A355" s="8"/>
      <c r="B355" s="8"/>
      <c r="C355" s="8"/>
      <c r="D355" s="8"/>
      <c r="E355" s="9"/>
      <c r="F355" s="8"/>
      <c r="G355" s="10"/>
      <c r="H355" s="11"/>
      <c r="I355" s="8"/>
      <c r="J355" s="9"/>
      <c r="K355" s="8"/>
      <c r="L355" s="9"/>
      <c r="M355" s="8"/>
      <c r="N355" s="11"/>
      <c r="O355" s="8"/>
      <c r="P355" s="9"/>
      <c r="Q355" s="8"/>
      <c r="R355" s="9"/>
      <c r="S355" s="8"/>
      <c r="T355" s="8"/>
      <c r="U355" s="8"/>
      <c r="V355" s="11"/>
      <c r="W355" s="8"/>
      <c r="X355" s="8"/>
      <c r="Y355" s="9"/>
      <c r="Z355" s="8"/>
      <c r="AA355" s="8"/>
      <c r="AB355" s="8"/>
      <c r="AC355" s="11"/>
      <c r="AD355" s="8"/>
      <c r="AE355" s="9"/>
      <c r="AF355" s="8"/>
      <c r="AG355" s="9"/>
      <c r="AH355" s="8"/>
      <c r="AI355" s="8"/>
      <c r="AJ355" s="8"/>
      <c r="AK355" s="11"/>
      <c r="AL355" s="8"/>
      <c r="AM355" s="8"/>
      <c r="AN355" s="9"/>
      <c r="AO355" s="8"/>
      <c r="AP355" s="8"/>
      <c r="AQ355" s="8"/>
    </row>
    <row r="356" spans="1:43" x14ac:dyDescent="0.15">
      <c r="A356" s="8"/>
      <c r="B356" s="8"/>
      <c r="C356" s="8"/>
      <c r="D356" s="8"/>
      <c r="E356" s="9"/>
      <c r="F356" s="8"/>
      <c r="G356" s="10"/>
      <c r="H356" s="11"/>
      <c r="I356" s="8"/>
      <c r="J356" s="9"/>
      <c r="K356" s="8"/>
      <c r="L356" s="9"/>
      <c r="M356" s="8"/>
      <c r="N356" s="11"/>
      <c r="O356" s="8"/>
      <c r="P356" s="9"/>
      <c r="Q356" s="8"/>
      <c r="R356" s="9"/>
      <c r="S356" s="8"/>
      <c r="T356" s="8"/>
      <c r="U356" s="8"/>
      <c r="V356" s="11"/>
      <c r="W356" s="8"/>
      <c r="X356" s="8"/>
      <c r="Y356" s="9"/>
      <c r="Z356" s="8"/>
      <c r="AA356" s="8"/>
      <c r="AB356" s="8"/>
      <c r="AC356" s="11"/>
      <c r="AD356" s="8"/>
      <c r="AE356" s="9"/>
      <c r="AF356" s="8"/>
      <c r="AG356" s="9"/>
      <c r="AH356" s="8"/>
      <c r="AI356" s="8"/>
      <c r="AJ356" s="8"/>
      <c r="AK356" s="11"/>
      <c r="AL356" s="8"/>
      <c r="AM356" s="8"/>
      <c r="AN356" s="9"/>
      <c r="AO356" s="8"/>
      <c r="AP356" s="8"/>
      <c r="AQ356" s="8"/>
    </row>
    <row r="357" spans="1:43" x14ac:dyDescent="0.15">
      <c r="A357" s="8"/>
      <c r="B357" s="8"/>
      <c r="C357" s="8"/>
      <c r="D357" s="8"/>
      <c r="E357" s="9"/>
      <c r="F357" s="8"/>
      <c r="G357" s="10"/>
      <c r="H357" s="11"/>
      <c r="I357" s="8"/>
      <c r="J357" s="9"/>
      <c r="K357" s="8"/>
      <c r="L357" s="9"/>
      <c r="M357" s="8"/>
      <c r="N357" s="11"/>
      <c r="O357" s="8"/>
      <c r="P357" s="9"/>
      <c r="Q357" s="8"/>
      <c r="R357" s="9"/>
      <c r="S357" s="8"/>
      <c r="T357" s="8"/>
      <c r="U357" s="8"/>
      <c r="V357" s="11"/>
      <c r="W357" s="8"/>
      <c r="X357" s="8"/>
      <c r="Y357" s="9"/>
      <c r="Z357" s="8"/>
      <c r="AA357" s="8"/>
      <c r="AB357" s="8"/>
      <c r="AC357" s="11"/>
      <c r="AD357" s="8"/>
      <c r="AE357" s="9"/>
      <c r="AF357" s="8"/>
      <c r="AG357" s="9"/>
      <c r="AH357" s="8"/>
      <c r="AI357" s="8"/>
      <c r="AJ357" s="8"/>
      <c r="AK357" s="11"/>
      <c r="AL357" s="8"/>
      <c r="AM357" s="8"/>
      <c r="AN357" s="9"/>
      <c r="AO357" s="8"/>
      <c r="AP357" s="8"/>
      <c r="AQ357" s="8"/>
    </row>
    <row r="358" spans="1:43" x14ac:dyDescent="0.15">
      <c r="A358" s="8"/>
      <c r="B358" s="8"/>
      <c r="C358" s="8"/>
      <c r="D358" s="8"/>
      <c r="E358" s="9"/>
      <c r="F358" s="8"/>
      <c r="G358" s="10"/>
      <c r="H358" s="11"/>
      <c r="I358" s="8"/>
      <c r="J358" s="9"/>
      <c r="K358" s="8"/>
      <c r="L358" s="9"/>
      <c r="M358" s="8"/>
      <c r="N358" s="11"/>
      <c r="O358" s="8"/>
      <c r="P358" s="9"/>
      <c r="Q358" s="8"/>
      <c r="R358" s="9"/>
      <c r="S358" s="8"/>
      <c r="T358" s="8"/>
      <c r="U358" s="8"/>
      <c r="V358" s="11"/>
      <c r="W358" s="8"/>
      <c r="X358" s="8"/>
      <c r="Y358" s="9"/>
      <c r="Z358" s="8"/>
      <c r="AA358" s="8"/>
      <c r="AB358" s="8"/>
      <c r="AC358" s="11"/>
      <c r="AD358" s="8"/>
      <c r="AE358" s="9"/>
      <c r="AF358" s="8"/>
      <c r="AG358" s="9"/>
      <c r="AH358" s="8"/>
      <c r="AI358" s="8"/>
      <c r="AJ358" s="8"/>
      <c r="AK358" s="11"/>
      <c r="AL358" s="8"/>
      <c r="AM358" s="8"/>
      <c r="AN358" s="9"/>
      <c r="AO358" s="8"/>
      <c r="AP358" s="8"/>
      <c r="AQ358" s="8"/>
    </row>
    <row r="359" spans="1:43" x14ac:dyDescent="0.15">
      <c r="A359" s="8"/>
      <c r="B359" s="8"/>
      <c r="C359" s="8"/>
      <c r="D359" s="8"/>
      <c r="E359" s="9"/>
      <c r="F359" s="8"/>
      <c r="G359" s="10"/>
      <c r="H359" s="11"/>
      <c r="I359" s="8"/>
      <c r="J359" s="9"/>
      <c r="K359" s="8"/>
      <c r="L359" s="9"/>
      <c r="M359" s="8"/>
      <c r="N359" s="11"/>
      <c r="O359" s="8"/>
      <c r="P359" s="9"/>
      <c r="Q359" s="8"/>
      <c r="R359" s="9"/>
      <c r="S359" s="8"/>
      <c r="T359" s="8"/>
      <c r="U359" s="8"/>
      <c r="V359" s="11"/>
      <c r="W359" s="8"/>
      <c r="X359" s="8"/>
      <c r="Y359" s="9"/>
      <c r="Z359" s="8"/>
      <c r="AA359" s="8"/>
      <c r="AB359" s="8"/>
      <c r="AC359" s="11"/>
      <c r="AD359" s="8"/>
      <c r="AE359" s="9"/>
      <c r="AF359" s="8"/>
      <c r="AG359" s="9"/>
      <c r="AH359" s="8"/>
      <c r="AI359" s="8"/>
      <c r="AJ359" s="8"/>
      <c r="AK359" s="11"/>
      <c r="AL359" s="8"/>
      <c r="AM359" s="8"/>
      <c r="AN359" s="9"/>
      <c r="AO359" s="8"/>
      <c r="AP359" s="8"/>
      <c r="AQ359" s="8"/>
    </row>
    <row r="360" spans="1:43" x14ac:dyDescent="0.15">
      <c r="A360" s="8"/>
      <c r="B360" s="8"/>
      <c r="C360" s="8"/>
      <c r="D360" s="8"/>
      <c r="E360" s="9"/>
      <c r="F360" s="8"/>
      <c r="G360" s="10"/>
      <c r="H360" s="11"/>
      <c r="I360" s="8"/>
      <c r="J360" s="9"/>
      <c r="K360" s="8"/>
      <c r="L360" s="9"/>
      <c r="M360" s="8"/>
      <c r="N360" s="11"/>
      <c r="O360" s="8"/>
      <c r="P360" s="9"/>
      <c r="Q360" s="8"/>
      <c r="R360" s="9"/>
      <c r="S360" s="8"/>
      <c r="T360" s="8"/>
      <c r="U360" s="8"/>
      <c r="V360" s="11"/>
      <c r="W360" s="8"/>
      <c r="X360" s="8"/>
      <c r="Y360" s="9"/>
      <c r="Z360" s="8"/>
      <c r="AA360" s="8"/>
      <c r="AB360" s="8"/>
      <c r="AC360" s="11"/>
      <c r="AD360" s="8"/>
      <c r="AE360" s="9"/>
      <c r="AF360" s="8"/>
      <c r="AG360" s="9"/>
      <c r="AH360" s="8"/>
      <c r="AI360" s="8"/>
      <c r="AJ360" s="8"/>
      <c r="AK360" s="11"/>
      <c r="AL360" s="8"/>
      <c r="AM360" s="8"/>
      <c r="AN360" s="9"/>
      <c r="AO360" s="8"/>
      <c r="AP360" s="8"/>
      <c r="AQ360" s="8"/>
    </row>
    <row r="361" spans="1:43" x14ac:dyDescent="0.15">
      <c r="A361" s="8"/>
      <c r="B361" s="8"/>
      <c r="C361" s="8"/>
      <c r="D361" s="8"/>
      <c r="E361" s="9"/>
      <c r="F361" s="8"/>
      <c r="G361" s="10"/>
      <c r="H361" s="11"/>
      <c r="I361" s="8"/>
      <c r="J361" s="9"/>
      <c r="K361" s="8"/>
      <c r="L361" s="9"/>
      <c r="M361" s="8"/>
      <c r="N361" s="11"/>
      <c r="O361" s="8"/>
      <c r="P361" s="9"/>
      <c r="Q361" s="8"/>
      <c r="R361" s="9"/>
      <c r="S361" s="8"/>
      <c r="T361" s="8"/>
      <c r="U361" s="8"/>
      <c r="V361" s="11"/>
      <c r="W361" s="8"/>
      <c r="X361" s="8"/>
      <c r="Y361" s="9"/>
      <c r="Z361" s="8"/>
      <c r="AA361" s="8"/>
      <c r="AB361" s="8"/>
      <c r="AC361" s="11"/>
      <c r="AD361" s="8"/>
      <c r="AE361" s="9"/>
      <c r="AF361" s="8"/>
      <c r="AG361" s="9"/>
      <c r="AH361" s="8"/>
      <c r="AI361" s="8"/>
      <c r="AJ361" s="8"/>
      <c r="AK361" s="11"/>
      <c r="AL361" s="8"/>
      <c r="AM361" s="8"/>
      <c r="AN361" s="9"/>
      <c r="AO361" s="8"/>
      <c r="AP361" s="8"/>
      <c r="AQ361" s="8"/>
    </row>
    <row r="362" spans="1:43" x14ac:dyDescent="0.15">
      <c r="A362" s="8"/>
      <c r="B362" s="8"/>
      <c r="C362" s="8"/>
      <c r="D362" s="8"/>
      <c r="E362" s="9"/>
      <c r="F362" s="8"/>
      <c r="G362" s="10"/>
      <c r="H362" s="11"/>
      <c r="I362" s="8"/>
      <c r="J362" s="9"/>
      <c r="K362" s="8"/>
      <c r="L362" s="9"/>
      <c r="M362" s="8"/>
      <c r="N362" s="11"/>
      <c r="O362" s="8"/>
      <c r="P362" s="9"/>
      <c r="Q362" s="8"/>
      <c r="R362" s="9"/>
      <c r="S362" s="8"/>
      <c r="T362" s="8"/>
      <c r="U362" s="8"/>
      <c r="V362" s="11"/>
      <c r="W362" s="8"/>
      <c r="X362" s="8"/>
      <c r="Y362" s="9"/>
      <c r="Z362" s="8"/>
      <c r="AA362" s="8"/>
      <c r="AB362" s="8"/>
      <c r="AC362" s="11"/>
      <c r="AD362" s="8"/>
      <c r="AE362" s="9"/>
      <c r="AF362" s="8"/>
      <c r="AG362" s="9"/>
      <c r="AH362" s="8"/>
      <c r="AI362" s="8"/>
      <c r="AJ362" s="8"/>
      <c r="AK362" s="11"/>
      <c r="AL362" s="8"/>
      <c r="AM362" s="8"/>
      <c r="AN362" s="9"/>
      <c r="AO362" s="8"/>
      <c r="AP362" s="8"/>
      <c r="AQ362" s="8"/>
    </row>
    <row r="363" spans="1:43" x14ac:dyDescent="0.15">
      <c r="A363" s="8"/>
      <c r="B363" s="8"/>
      <c r="C363" s="8"/>
      <c r="D363" s="8"/>
      <c r="E363" s="9"/>
      <c r="F363" s="8"/>
      <c r="G363" s="10"/>
      <c r="H363" s="11"/>
      <c r="I363" s="8"/>
      <c r="J363" s="9"/>
      <c r="K363" s="8"/>
      <c r="L363" s="9"/>
      <c r="M363" s="8"/>
      <c r="N363" s="11"/>
      <c r="O363" s="8"/>
      <c r="P363" s="9"/>
      <c r="Q363" s="8"/>
      <c r="R363" s="9"/>
      <c r="S363" s="8"/>
      <c r="T363" s="8"/>
      <c r="U363" s="8"/>
      <c r="V363" s="11"/>
      <c r="W363" s="8"/>
      <c r="X363" s="8"/>
      <c r="Y363" s="9"/>
      <c r="Z363" s="8"/>
      <c r="AA363" s="8"/>
      <c r="AB363" s="8"/>
      <c r="AC363" s="11"/>
      <c r="AD363" s="8"/>
      <c r="AE363" s="9"/>
      <c r="AF363" s="8"/>
      <c r="AG363" s="9"/>
      <c r="AH363" s="8"/>
      <c r="AI363" s="8"/>
      <c r="AJ363" s="8"/>
      <c r="AK363" s="11"/>
      <c r="AL363" s="8"/>
      <c r="AM363" s="8"/>
      <c r="AN363" s="9"/>
      <c r="AO363" s="8"/>
      <c r="AP363" s="8"/>
      <c r="AQ363" s="8"/>
    </row>
    <row r="364" spans="1:43" x14ac:dyDescent="0.15">
      <c r="A364" s="8"/>
      <c r="B364" s="8"/>
      <c r="C364" s="8"/>
      <c r="D364" s="8"/>
      <c r="E364" s="9"/>
      <c r="F364" s="8"/>
      <c r="G364" s="10"/>
      <c r="H364" s="11"/>
      <c r="I364" s="8"/>
      <c r="J364" s="9"/>
      <c r="K364" s="8"/>
      <c r="L364" s="9"/>
      <c r="M364" s="8"/>
      <c r="N364" s="11"/>
      <c r="O364" s="8"/>
      <c r="P364" s="9"/>
      <c r="Q364" s="8"/>
      <c r="R364" s="9"/>
      <c r="S364" s="8"/>
      <c r="T364" s="8"/>
      <c r="U364" s="8"/>
      <c r="V364" s="11"/>
      <c r="W364" s="8"/>
      <c r="X364" s="8"/>
      <c r="Y364" s="9"/>
      <c r="Z364" s="8"/>
      <c r="AA364" s="8"/>
      <c r="AB364" s="8"/>
      <c r="AC364" s="11"/>
      <c r="AD364" s="8"/>
      <c r="AE364" s="9"/>
      <c r="AF364" s="8"/>
      <c r="AG364" s="9"/>
      <c r="AH364" s="8"/>
      <c r="AI364" s="8"/>
      <c r="AJ364" s="8"/>
      <c r="AK364" s="11"/>
      <c r="AL364" s="8"/>
      <c r="AM364" s="8"/>
      <c r="AN364" s="9"/>
      <c r="AO364" s="8"/>
      <c r="AP364" s="8"/>
      <c r="AQ364" s="8"/>
    </row>
    <row r="365" spans="1:43" x14ac:dyDescent="0.15">
      <c r="A365" s="8"/>
      <c r="B365" s="8"/>
      <c r="C365" s="8"/>
      <c r="D365" s="8"/>
      <c r="E365" s="9"/>
      <c r="F365" s="8"/>
      <c r="G365" s="10"/>
      <c r="H365" s="11"/>
      <c r="I365" s="8"/>
      <c r="J365" s="9"/>
      <c r="K365" s="8"/>
      <c r="L365" s="9"/>
      <c r="M365" s="8"/>
      <c r="N365" s="11"/>
      <c r="O365" s="8"/>
      <c r="P365" s="9"/>
      <c r="Q365" s="8"/>
      <c r="R365" s="9"/>
      <c r="S365" s="8"/>
      <c r="T365" s="8"/>
      <c r="U365" s="8"/>
      <c r="V365" s="11"/>
      <c r="W365" s="8"/>
      <c r="X365" s="8"/>
      <c r="Y365" s="9"/>
      <c r="Z365" s="8"/>
      <c r="AA365" s="8"/>
      <c r="AB365" s="8"/>
      <c r="AC365" s="11"/>
      <c r="AD365" s="8"/>
      <c r="AE365" s="9"/>
      <c r="AF365" s="8"/>
      <c r="AG365" s="9"/>
      <c r="AH365" s="8"/>
      <c r="AI365" s="8"/>
      <c r="AJ365" s="8"/>
      <c r="AK365" s="11"/>
      <c r="AL365" s="8"/>
      <c r="AM365" s="8"/>
      <c r="AN365" s="9"/>
      <c r="AO365" s="8"/>
      <c r="AP365" s="8"/>
      <c r="AQ365" s="8"/>
    </row>
    <row r="366" spans="1:43" x14ac:dyDescent="0.15">
      <c r="A366" s="8"/>
      <c r="B366" s="8"/>
      <c r="C366" s="8"/>
      <c r="D366" s="8"/>
      <c r="E366" s="9"/>
      <c r="F366" s="8"/>
      <c r="G366" s="10"/>
      <c r="H366" s="11"/>
      <c r="I366" s="8"/>
      <c r="J366" s="9"/>
      <c r="K366" s="8"/>
      <c r="L366" s="9"/>
      <c r="M366" s="8"/>
      <c r="N366" s="11"/>
      <c r="O366" s="8"/>
      <c r="P366" s="9"/>
      <c r="Q366" s="8"/>
      <c r="R366" s="9"/>
      <c r="S366" s="8"/>
      <c r="T366" s="8"/>
      <c r="U366" s="8"/>
      <c r="V366" s="11"/>
      <c r="W366" s="8"/>
      <c r="X366" s="8"/>
      <c r="Y366" s="9"/>
      <c r="Z366" s="8"/>
      <c r="AA366" s="8"/>
      <c r="AB366" s="8"/>
      <c r="AC366" s="11"/>
      <c r="AD366" s="8"/>
      <c r="AE366" s="9"/>
      <c r="AF366" s="8"/>
      <c r="AG366" s="9"/>
      <c r="AH366" s="8"/>
      <c r="AI366" s="8"/>
      <c r="AJ366" s="8"/>
      <c r="AK366" s="11"/>
      <c r="AL366" s="8"/>
      <c r="AM366" s="8"/>
      <c r="AN366" s="9"/>
      <c r="AO366" s="8"/>
      <c r="AP366" s="8"/>
      <c r="AQ366" s="8"/>
    </row>
    <row r="367" spans="1:43" x14ac:dyDescent="0.15">
      <c r="A367" s="8"/>
      <c r="B367" s="8"/>
      <c r="C367" s="8"/>
      <c r="D367" s="8"/>
      <c r="E367" s="9"/>
      <c r="F367" s="8"/>
      <c r="G367" s="10"/>
      <c r="H367" s="11"/>
      <c r="I367" s="8"/>
      <c r="J367" s="9"/>
      <c r="K367" s="8"/>
      <c r="L367" s="9"/>
      <c r="M367" s="8"/>
      <c r="N367" s="11"/>
      <c r="O367" s="8"/>
      <c r="P367" s="9"/>
      <c r="Q367" s="8"/>
      <c r="R367" s="9"/>
      <c r="S367" s="8"/>
      <c r="T367" s="8"/>
      <c r="U367" s="8"/>
      <c r="V367" s="11"/>
      <c r="W367" s="8"/>
      <c r="X367" s="8"/>
      <c r="Y367" s="9"/>
      <c r="Z367" s="8"/>
      <c r="AA367" s="8"/>
      <c r="AB367" s="8"/>
      <c r="AC367" s="11"/>
      <c r="AD367" s="8"/>
      <c r="AE367" s="9"/>
      <c r="AF367" s="8"/>
      <c r="AG367" s="9"/>
      <c r="AH367" s="8"/>
      <c r="AI367" s="8"/>
      <c r="AJ367" s="8"/>
      <c r="AK367" s="11"/>
      <c r="AL367" s="8"/>
      <c r="AM367" s="8"/>
      <c r="AN367" s="9"/>
      <c r="AO367" s="8"/>
      <c r="AP367" s="8"/>
      <c r="AQ367" s="8"/>
    </row>
    <row r="368" spans="1:43" x14ac:dyDescent="0.15">
      <c r="A368" s="8"/>
      <c r="B368" s="8"/>
      <c r="C368" s="8"/>
      <c r="D368" s="8"/>
      <c r="E368" s="9"/>
      <c r="F368" s="8"/>
      <c r="G368" s="10"/>
      <c r="H368" s="11"/>
      <c r="I368" s="8"/>
      <c r="J368" s="9"/>
      <c r="K368" s="8"/>
      <c r="L368" s="9"/>
      <c r="M368" s="8"/>
      <c r="N368" s="11"/>
      <c r="O368" s="8"/>
      <c r="P368" s="9"/>
      <c r="Q368" s="8"/>
      <c r="R368" s="9"/>
      <c r="S368" s="8"/>
      <c r="T368" s="8"/>
      <c r="U368" s="8"/>
      <c r="V368" s="11"/>
      <c r="W368" s="8"/>
      <c r="X368" s="8"/>
      <c r="Y368" s="9"/>
      <c r="Z368" s="8"/>
      <c r="AA368" s="8"/>
      <c r="AB368" s="8"/>
      <c r="AC368" s="11"/>
      <c r="AD368" s="8"/>
      <c r="AE368" s="9"/>
      <c r="AF368" s="8"/>
      <c r="AG368" s="9"/>
      <c r="AH368" s="8"/>
      <c r="AI368" s="8"/>
      <c r="AJ368" s="8"/>
      <c r="AK368" s="11"/>
      <c r="AL368" s="8"/>
      <c r="AM368" s="8"/>
      <c r="AN368" s="9"/>
      <c r="AO368" s="8"/>
      <c r="AP368" s="8"/>
      <c r="AQ368" s="8"/>
    </row>
    <row r="369" spans="1:43" x14ac:dyDescent="0.15">
      <c r="A369" s="8"/>
      <c r="B369" s="8"/>
      <c r="C369" s="8"/>
      <c r="D369" s="8"/>
      <c r="E369" s="9"/>
      <c r="F369" s="8"/>
      <c r="G369" s="10"/>
      <c r="H369" s="132"/>
      <c r="I369" s="8"/>
      <c r="J369" s="9"/>
      <c r="K369" s="8"/>
      <c r="L369" s="9"/>
      <c r="M369" s="8"/>
      <c r="N369" s="132"/>
      <c r="O369" s="8"/>
      <c r="P369" s="9"/>
      <c r="Q369" s="8"/>
      <c r="R369" s="9"/>
      <c r="S369" s="8"/>
      <c r="T369" s="8"/>
      <c r="U369" s="8"/>
      <c r="V369" s="11"/>
      <c r="W369" s="8"/>
      <c r="X369" s="8"/>
      <c r="Y369" s="9"/>
      <c r="Z369" s="8"/>
      <c r="AA369" s="8"/>
      <c r="AB369" s="8"/>
      <c r="AC369" s="132"/>
      <c r="AD369" s="8"/>
      <c r="AE369" s="9"/>
      <c r="AF369" s="8"/>
      <c r="AG369" s="9"/>
      <c r="AH369" s="8"/>
      <c r="AI369" s="8"/>
      <c r="AJ369" s="8"/>
      <c r="AK369" s="11"/>
      <c r="AL369" s="8"/>
      <c r="AM369" s="8"/>
      <c r="AN369" s="9"/>
      <c r="AO369" s="8"/>
      <c r="AP369" s="8"/>
      <c r="AQ369" s="8"/>
    </row>
    <row r="370" spans="1:43" x14ac:dyDescent="0.15">
      <c r="A370" s="8"/>
      <c r="B370" s="8"/>
      <c r="C370" s="8"/>
      <c r="D370" s="8"/>
      <c r="E370" s="9"/>
      <c r="F370" s="8"/>
      <c r="G370" s="10"/>
      <c r="H370" s="11"/>
      <c r="I370" s="8"/>
      <c r="J370" s="9"/>
      <c r="K370" s="8"/>
      <c r="L370" s="9"/>
      <c r="M370" s="8"/>
      <c r="N370" s="11"/>
      <c r="O370" s="8"/>
      <c r="P370" s="9"/>
      <c r="Q370" s="8"/>
      <c r="R370" s="9"/>
      <c r="S370" s="8"/>
      <c r="T370" s="8"/>
      <c r="U370" s="8"/>
      <c r="V370" s="11"/>
      <c r="W370" s="8"/>
      <c r="X370" s="8"/>
      <c r="Y370" s="9"/>
      <c r="Z370" s="8"/>
      <c r="AA370" s="8"/>
      <c r="AB370" s="8"/>
      <c r="AC370" s="11"/>
      <c r="AD370" s="8"/>
      <c r="AE370" s="9"/>
      <c r="AF370" s="8"/>
      <c r="AG370" s="9"/>
      <c r="AH370" s="8"/>
      <c r="AI370" s="8"/>
      <c r="AJ370" s="8"/>
      <c r="AK370" s="11"/>
      <c r="AL370" s="8"/>
      <c r="AM370" s="8"/>
      <c r="AN370" s="9"/>
      <c r="AO370" s="8"/>
      <c r="AP370" s="8"/>
      <c r="AQ370" s="8"/>
    </row>
    <row r="371" spans="1:43" x14ac:dyDescent="0.15">
      <c r="A371" s="8"/>
      <c r="B371" s="8"/>
      <c r="C371" s="8"/>
      <c r="D371" s="8"/>
      <c r="E371" s="9"/>
      <c r="F371" s="8"/>
      <c r="G371" s="10"/>
      <c r="H371" s="11"/>
      <c r="I371" s="8"/>
      <c r="J371" s="9"/>
      <c r="K371" s="8"/>
      <c r="L371" s="9"/>
      <c r="M371" s="8"/>
      <c r="N371" s="11"/>
      <c r="O371" s="8"/>
      <c r="P371" s="9"/>
      <c r="Q371" s="8"/>
      <c r="R371" s="9"/>
      <c r="S371" s="8"/>
      <c r="T371" s="8"/>
      <c r="U371" s="8"/>
      <c r="V371" s="11"/>
      <c r="W371" s="8"/>
      <c r="X371" s="8"/>
      <c r="Y371" s="9"/>
      <c r="Z371" s="8"/>
      <c r="AA371" s="8"/>
      <c r="AB371" s="8"/>
      <c r="AC371" s="11"/>
      <c r="AD371" s="8"/>
      <c r="AE371" s="9"/>
      <c r="AF371" s="8"/>
      <c r="AG371" s="9"/>
      <c r="AH371" s="8"/>
      <c r="AI371" s="8"/>
      <c r="AJ371" s="8"/>
      <c r="AK371" s="11"/>
      <c r="AL371" s="8"/>
      <c r="AM371" s="8"/>
      <c r="AN371" s="9"/>
      <c r="AO371" s="8"/>
      <c r="AP371" s="8"/>
      <c r="AQ371" s="8"/>
    </row>
    <row r="372" spans="1:43" x14ac:dyDescent="0.15">
      <c r="A372" s="8"/>
      <c r="B372" s="8"/>
      <c r="C372" s="8"/>
      <c r="D372" s="8"/>
      <c r="E372" s="9"/>
      <c r="F372" s="8"/>
      <c r="G372" s="10"/>
      <c r="H372" s="11"/>
      <c r="I372" s="8"/>
      <c r="J372" s="9"/>
      <c r="K372" s="8"/>
      <c r="L372" s="9"/>
      <c r="M372" s="8"/>
      <c r="N372" s="11"/>
      <c r="O372" s="8"/>
      <c r="P372" s="9"/>
      <c r="Q372" s="8"/>
      <c r="R372" s="9"/>
      <c r="S372" s="8"/>
      <c r="T372" s="8"/>
      <c r="U372" s="8"/>
      <c r="V372" s="11"/>
      <c r="W372" s="8"/>
      <c r="X372" s="8"/>
      <c r="Y372" s="9"/>
      <c r="Z372" s="8"/>
      <c r="AA372" s="8"/>
      <c r="AB372" s="8"/>
      <c r="AC372" s="11"/>
      <c r="AD372" s="8"/>
      <c r="AE372" s="9"/>
      <c r="AF372" s="8"/>
      <c r="AG372" s="9"/>
      <c r="AH372" s="8"/>
      <c r="AI372" s="8"/>
      <c r="AJ372" s="8"/>
      <c r="AK372" s="11"/>
      <c r="AL372" s="8"/>
      <c r="AM372" s="8"/>
      <c r="AN372" s="9"/>
      <c r="AO372" s="8"/>
      <c r="AP372" s="8"/>
      <c r="AQ372" s="8"/>
    </row>
    <row r="373" spans="1:43" x14ac:dyDescent="0.15">
      <c r="A373" s="8"/>
      <c r="B373" s="8"/>
      <c r="C373" s="8"/>
      <c r="D373" s="8"/>
      <c r="E373" s="9"/>
      <c r="F373" s="8"/>
      <c r="G373" s="10"/>
      <c r="H373" s="132"/>
      <c r="I373" s="8"/>
      <c r="J373" s="9"/>
      <c r="K373" s="8"/>
      <c r="L373" s="9"/>
      <c r="M373" s="8"/>
      <c r="N373" s="132"/>
      <c r="O373" s="8"/>
      <c r="P373" s="9"/>
      <c r="Q373" s="8"/>
      <c r="R373" s="9"/>
      <c r="S373" s="8"/>
      <c r="T373" s="8"/>
      <c r="U373" s="8"/>
      <c r="V373" s="11"/>
      <c r="W373" s="8"/>
      <c r="X373" s="8"/>
      <c r="Y373" s="9"/>
      <c r="Z373" s="8"/>
      <c r="AA373" s="8"/>
      <c r="AB373" s="8"/>
      <c r="AC373" s="132"/>
      <c r="AD373" s="8"/>
      <c r="AE373" s="9"/>
      <c r="AF373" s="8"/>
      <c r="AG373" s="9"/>
      <c r="AH373" s="8"/>
      <c r="AI373" s="8"/>
      <c r="AJ373" s="8"/>
      <c r="AK373" s="11"/>
      <c r="AL373" s="8"/>
      <c r="AM373" s="8"/>
      <c r="AN373" s="9"/>
      <c r="AO373" s="8"/>
      <c r="AP373" s="8"/>
      <c r="AQ373" s="8"/>
    </row>
    <row r="374" spans="1:43" x14ac:dyDescent="0.15">
      <c r="A374" s="8"/>
      <c r="B374" s="8"/>
      <c r="C374" s="8"/>
      <c r="D374" s="8"/>
      <c r="E374" s="9"/>
      <c r="F374" s="8"/>
      <c r="G374" s="10"/>
      <c r="H374" s="132"/>
      <c r="I374" s="8"/>
      <c r="J374" s="9"/>
      <c r="K374" s="8"/>
      <c r="L374" s="9"/>
      <c r="M374" s="8"/>
      <c r="N374" s="132"/>
      <c r="O374" s="8"/>
      <c r="P374" s="9"/>
      <c r="Q374" s="8"/>
      <c r="R374" s="9"/>
      <c r="S374" s="8"/>
      <c r="T374" s="8"/>
      <c r="U374" s="8"/>
      <c r="V374" s="11"/>
      <c r="W374" s="8"/>
      <c r="X374" s="8"/>
      <c r="Y374" s="9"/>
      <c r="Z374" s="8"/>
      <c r="AA374" s="8"/>
      <c r="AB374" s="8"/>
      <c r="AC374" s="132"/>
      <c r="AD374" s="8"/>
      <c r="AE374" s="9"/>
      <c r="AF374" s="8"/>
      <c r="AG374" s="9"/>
      <c r="AH374" s="8"/>
      <c r="AI374" s="8"/>
      <c r="AJ374" s="8"/>
      <c r="AK374" s="11"/>
      <c r="AL374" s="8"/>
      <c r="AM374" s="8"/>
      <c r="AN374" s="9"/>
      <c r="AO374" s="8"/>
      <c r="AP374" s="8"/>
      <c r="AQ374" s="8"/>
    </row>
    <row r="375" spans="1:43" x14ac:dyDescent="0.15">
      <c r="A375" s="8"/>
      <c r="B375" s="8"/>
      <c r="C375" s="8"/>
      <c r="D375" s="8"/>
      <c r="E375" s="9"/>
      <c r="F375" s="8"/>
      <c r="G375" s="10"/>
      <c r="H375" s="11"/>
      <c r="I375" s="8"/>
      <c r="J375" s="9"/>
      <c r="K375" s="8"/>
      <c r="L375" s="9"/>
      <c r="M375" s="8"/>
      <c r="N375" s="11"/>
      <c r="O375" s="8"/>
      <c r="P375" s="9"/>
      <c r="Q375" s="8"/>
      <c r="R375" s="9"/>
      <c r="S375" s="8"/>
      <c r="T375" s="8"/>
      <c r="U375" s="8"/>
      <c r="V375" s="11"/>
      <c r="W375" s="8"/>
      <c r="X375" s="8"/>
      <c r="Y375" s="9"/>
      <c r="Z375" s="8"/>
      <c r="AA375" s="8"/>
      <c r="AB375" s="8"/>
      <c r="AC375" s="11"/>
      <c r="AD375" s="8"/>
      <c r="AE375" s="9"/>
      <c r="AF375" s="8"/>
      <c r="AG375" s="9"/>
      <c r="AH375" s="8"/>
      <c r="AI375" s="8"/>
      <c r="AJ375" s="8"/>
      <c r="AK375" s="11"/>
      <c r="AL375" s="8"/>
      <c r="AM375" s="8"/>
      <c r="AN375" s="9"/>
      <c r="AO375" s="8"/>
      <c r="AP375" s="8"/>
      <c r="AQ375" s="8"/>
    </row>
    <row r="376" spans="1:43" x14ac:dyDescent="0.15">
      <c r="A376" s="8"/>
      <c r="B376" s="8"/>
      <c r="C376" s="8"/>
      <c r="D376" s="8"/>
      <c r="E376" s="9"/>
      <c r="F376" s="8"/>
      <c r="G376" s="10"/>
      <c r="H376" s="132"/>
      <c r="I376" s="8"/>
      <c r="J376" s="9"/>
      <c r="K376" s="8"/>
      <c r="L376" s="9"/>
      <c r="M376" s="8"/>
      <c r="N376" s="132"/>
      <c r="O376" s="8"/>
      <c r="P376" s="9"/>
      <c r="Q376" s="8"/>
      <c r="R376" s="9"/>
      <c r="S376" s="8"/>
      <c r="T376" s="8"/>
      <c r="U376" s="8"/>
      <c r="V376" s="11"/>
      <c r="W376" s="8"/>
      <c r="X376" s="8"/>
      <c r="Y376" s="9"/>
      <c r="Z376" s="8"/>
      <c r="AA376" s="8"/>
      <c r="AB376" s="8"/>
      <c r="AC376" s="132"/>
      <c r="AD376" s="8"/>
      <c r="AE376" s="9"/>
      <c r="AF376" s="8"/>
      <c r="AG376" s="9"/>
      <c r="AH376" s="8"/>
      <c r="AI376" s="8"/>
      <c r="AJ376" s="8"/>
      <c r="AK376" s="11"/>
      <c r="AL376" s="8"/>
      <c r="AM376" s="8"/>
      <c r="AN376" s="9"/>
      <c r="AO376" s="8"/>
      <c r="AP376" s="8"/>
      <c r="AQ376" s="8"/>
    </row>
    <row r="377" spans="1:43" x14ac:dyDescent="0.15">
      <c r="A377" s="8"/>
      <c r="B377" s="8"/>
      <c r="C377" s="8"/>
      <c r="D377" s="8"/>
      <c r="E377" s="9"/>
      <c r="F377" s="8"/>
      <c r="G377" s="10"/>
      <c r="H377" s="11"/>
      <c r="I377" s="8"/>
      <c r="J377" s="9"/>
      <c r="K377" s="8"/>
      <c r="L377" s="9"/>
      <c r="M377" s="8"/>
      <c r="N377" s="11"/>
      <c r="O377" s="8"/>
      <c r="P377" s="9"/>
      <c r="Q377" s="8"/>
      <c r="R377" s="9"/>
      <c r="S377" s="8"/>
      <c r="T377" s="8"/>
      <c r="U377" s="8"/>
      <c r="V377" s="11"/>
      <c r="W377" s="8"/>
      <c r="X377" s="8"/>
      <c r="Y377" s="9"/>
      <c r="Z377" s="8"/>
      <c r="AA377" s="8"/>
      <c r="AB377" s="8"/>
      <c r="AC377" s="11"/>
      <c r="AD377" s="8"/>
      <c r="AE377" s="9"/>
      <c r="AF377" s="8"/>
      <c r="AG377" s="9"/>
      <c r="AH377" s="8"/>
      <c r="AI377" s="8"/>
      <c r="AJ377" s="8"/>
      <c r="AK377" s="11"/>
      <c r="AL377" s="8"/>
      <c r="AM377" s="8"/>
      <c r="AN377" s="9"/>
      <c r="AO377" s="8"/>
      <c r="AP377" s="8"/>
      <c r="AQ377" s="8"/>
    </row>
    <row r="378" spans="1:43" x14ac:dyDescent="0.15">
      <c r="A378" s="8"/>
      <c r="B378" s="8"/>
      <c r="C378" s="8"/>
      <c r="D378" s="8"/>
      <c r="E378" s="9"/>
      <c r="F378" s="8"/>
      <c r="G378" s="10"/>
      <c r="H378" s="11"/>
      <c r="I378" s="8"/>
      <c r="J378" s="9"/>
      <c r="K378" s="8"/>
      <c r="L378" s="9"/>
      <c r="M378" s="8"/>
      <c r="N378" s="11"/>
      <c r="O378" s="8"/>
      <c r="P378" s="9"/>
      <c r="Q378" s="8"/>
      <c r="R378" s="9"/>
      <c r="S378" s="8"/>
      <c r="T378" s="8"/>
      <c r="U378" s="8"/>
      <c r="V378" s="11"/>
      <c r="W378" s="8"/>
      <c r="X378" s="8"/>
      <c r="Y378" s="9"/>
      <c r="Z378" s="8"/>
      <c r="AA378" s="8"/>
      <c r="AB378" s="8"/>
      <c r="AC378" s="11"/>
      <c r="AD378" s="8"/>
      <c r="AE378" s="9"/>
      <c r="AF378" s="8"/>
      <c r="AG378" s="9"/>
      <c r="AH378" s="8"/>
      <c r="AI378" s="8"/>
      <c r="AJ378" s="8"/>
      <c r="AK378" s="11"/>
      <c r="AL378" s="8"/>
      <c r="AM378" s="8"/>
      <c r="AN378" s="9"/>
      <c r="AO378" s="8"/>
      <c r="AP378" s="8"/>
      <c r="AQ378" s="8"/>
    </row>
    <row r="379" spans="1:43" x14ac:dyDescent="0.15">
      <c r="A379" s="8"/>
      <c r="B379" s="8"/>
      <c r="C379" s="8"/>
      <c r="D379" s="8"/>
      <c r="E379" s="9"/>
      <c r="F379" s="8"/>
      <c r="G379" s="10"/>
      <c r="H379" s="11"/>
      <c r="I379" s="8"/>
      <c r="J379" s="9"/>
      <c r="K379" s="8"/>
      <c r="L379" s="9"/>
      <c r="M379" s="8"/>
      <c r="N379" s="11"/>
      <c r="O379" s="8"/>
      <c r="P379" s="9"/>
      <c r="Q379" s="8"/>
      <c r="R379" s="9"/>
      <c r="S379" s="8"/>
      <c r="T379" s="8"/>
      <c r="U379" s="8"/>
      <c r="V379" s="132"/>
      <c r="W379" s="8"/>
      <c r="X379" s="8"/>
      <c r="Y379" s="9"/>
      <c r="Z379" s="8"/>
      <c r="AA379" s="8"/>
      <c r="AB379" s="8"/>
      <c r="AC379" s="11"/>
      <c r="AD379" s="8"/>
      <c r="AE379" s="9"/>
      <c r="AF379" s="8"/>
      <c r="AG379" s="9"/>
      <c r="AH379" s="8"/>
      <c r="AI379" s="8"/>
      <c r="AJ379" s="8"/>
      <c r="AK379" s="132"/>
      <c r="AL379" s="8"/>
      <c r="AM379" s="8"/>
      <c r="AN379" s="9"/>
      <c r="AO379" s="8"/>
      <c r="AP379" s="8"/>
      <c r="AQ379" s="8"/>
    </row>
    <row r="380" spans="1:43" x14ac:dyDescent="0.15">
      <c r="A380" s="8"/>
      <c r="B380" s="8"/>
      <c r="C380" s="8"/>
      <c r="D380" s="8"/>
      <c r="E380" s="9"/>
      <c r="F380" s="8"/>
      <c r="G380" s="10"/>
      <c r="H380" s="11"/>
      <c r="I380" s="8"/>
      <c r="J380" s="9"/>
      <c r="K380" s="8"/>
      <c r="L380" s="9"/>
      <c r="M380" s="8"/>
      <c r="N380" s="11"/>
      <c r="O380" s="8"/>
      <c r="P380" s="9"/>
      <c r="Q380" s="8"/>
      <c r="R380" s="9"/>
      <c r="S380" s="8"/>
      <c r="T380" s="8"/>
      <c r="U380" s="8"/>
      <c r="V380" s="132"/>
      <c r="W380" s="8"/>
      <c r="X380" s="8"/>
      <c r="Y380" s="9"/>
      <c r="Z380" s="8"/>
      <c r="AA380" s="8"/>
      <c r="AB380" s="8"/>
      <c r="AC380" s="11"/>
      <c r="AD380" s="8"/>
      <c r="AE380" s="9"/>
      <c r="AF380" s="8"/>
      <c r="AG380" s="9"/>
      <c r="AH380" s="8"/>
      <c r="AI380" s="8"/>
      <c r="AJ380" s="8"/>
      <c r="AK380" s="132"/>
      <c r="AL380" s="8"/>
      <c r="AM380" s="8"/>
      <c r="AN380" s="9"/>
      <c r="AO380" s="8"/>
      <c r="AP380" s="8"/>
      <c r="AQ380" s="8"/>
    </row>
    <row r="381" spans="1:43" x14ac:dyDescent="0.15">
      <c r="A381" s="8"/>
      <c r="B381" s="8"/>
      <c r="C381" s="8"/>
      <c r="D381" s="8"/>
      <c r="E381" s="9"/>
      <c r="F381" s="8"/>
      <c r="G381" s="10"/>
      <c r="H381" s="11"/>
      <c r="I381" s="8"/>
      <c r="J381" s="9"/>
      <c r="K381" s="8"/>
      <c r="L381" s="9"/>
      <c r="M381" s="8"/>
      <c r="N381" s="11"/>
      <c r="O381" s="8"/>
      <c r="P381" s="9"/>
      <c r="Q381" s="8"/>
      <c r="R381" s="9"/>
      <c r="S381" s="8"/>
      <c r="T381" s="8"/>
      <c r="U381" s="8"/>
      <c r="V381" s="132"/>
      <c r="W381" s="8"/>
      <c r="X381" s="8"/>
      <c r="Y381" s="9"/>
      <c r="Z381" s="8"/>
      <c r="AA381" s="8"/>
      <c r="AB381" s="8"/>
      <c r="AC381" s="11"/>
      <c r="AD381" s="8"/>
      <c r="AE381" s="9"/>
      <c r="AF381" s="8"/>
      <c r="AG381" s="9"/>
      <c r="AH381" s="8"/>
      <c r="AI381" s="8"/>
      <c r="AJ381" s="8"/>
      <c r="AK381" s="132"/>
      <c r="AL381" s="8"/>
      <c r="AM381" s="8"/>
      <c r="AN381" s="9"/>
      <c r="AO381" s="8"/>
      <c r="AP381" s="8"/>
      <c r="AQ381" s="8"/>
    </row>
    <row r="382" spans="1:43" x14ac:dyDescent="0.15">
      <c r="A382" s="8"/>
      <c r="B382" s="8"/>
      <c r="C382" s="8"/>
      <c r="D382" s="8"/>
      <c r="E382" s="9"/>
      <c r="F382" s="8"/>
      <c r="G382" s="10"/>
      <c r="H382" s="11"/>
      <c r="I382" s="8"/>
      <c r="J382" s="9"/>
      <c r="K382" s="8"/>
      <c r="L382" s="9"/>
      <c r="M382" s="8"/>
      <c r="N382" s="11"/>
      <c r="O382" s="8"/>
      <c r="P382" s="9"/>
      <c r="Q382" s="8"/>
      <c r="R382" s="9"/>
      <c r="S382" s="8"/>
      <c r="T382" s="8"/>
      <c r="U382" s="8"/>
      <c r="V382" s="11"/>
      <c r="W382" s="8"/>
      <c r="X382" s="8"/>
      <c r="Y382" s="9"/>
      <c r="Z382" s="8"/>
      <c r="AA382" s="8"/>
      <c r="AB382" s="8"/>
      <c r="AC382" s="11"/>
      <c r="AD382" s="8"/>
      <c r="AE382" s="9"/>
      <c r="AF382" s="8"/>
      <c r="AG382" s="9"/>
      <c r="AH382" s="8"/>
      <c r="AI382" s="8"/>
      <c r="AJ382" s="8"/>
      <c r="AK382" s="11"/>
      <c r="AL382" s="8"/>
      <c r="AM382" s="8"/>
      <c r="AN382" s="9"/>
      <c r="AO382" s="8"/>
      <c r="AP382" s="8"/>
      <c r="AQ382" s="8"/>
    </row>
    <row r="383" spans="1:43" x14ac:dyDescent="0.15">
      <c r="A383" s="8"/>
      <c r="B383" s="8"/>
      <c r="C383" s="8"/>
      <c r="D383" s="8"/>
      <c r="E383" s="9"/>
      <c r="F383" s="8"/>
      <c r="G383" s="10"/>
      <c r="H383" s="11"/>
      <c r="I383" s="8"/>
      <c r="J383" s="9"/>
      <c r="K383" s="8"/>
      <c r="L383" s="9"/>
      <c r="M383" s="8"/>
      <c r="N383" s="11"/>
      <c r="O383" s="8"/>
      <c r="P383" s="9"/>
      <c r="Q383" s="8"/>
      <c r="R383" s="9"/>
      <c r="S383" s="8"/>
      <c r="T383" s="8"/>
      <c r="U383" s="8"/>
      <c r="V383" s="11"/>
      <c r="W383" s="8"/>
      <c r="X383" s="8"/>
      <c r="Y383" s="9"/>
      <c r="Z383" s="8"/>
      <c r="AA383" s="8"/>
      <c r="AB383" s="8"/>
      <c r="AC383" s="11"/>
      <c r="AD383" s="8"/>
      <c r="AE383" s="9"/>
      <c r="AF383" s="8"/>
      <c r="AG383" s="9"/>
      <c r="AH383" s="8"/>
      <c r="AI383" s="8"/>
      <c r="AJ383" s="8"/>
      <c r="AK383" s="11"/>
      <c r="AL383" s="8"/>
      <c r="AM383" s="8"/>
      <c r="AN383" s="9"/>
      <c r="AO383" s="8"/>
      <c r="AP383" s="8"/>
      <c r="AQ383" s="8"/>
    </row>
    <row r="384" spans="1:43" x14ac:dyDescent="0.15">
      <c r="A384" s="8"/>
      <c r="B384" s="8"/>
      <c r="C384" s="8"/>
      <c r="D384" s="8"/>
      <c r="E384" s="9"/>
      <c r="F384" s="8"/>
      <c r="G384" s="10"/>
      <c r="H384" s="11"/>
      <c r="I384" s="8"/>
      <c r="J384" s="9"/>
      <c r="K384" s="8"/>
      <c r="L384" s="9"/>
      <c r="M384" s="8"/>
      <c r="N384" s="11"/>
      <c r="O384" s="8"/>
      <c r="P384" s="9"/>
      <c r="Q384" s="8"/>
      <c r="R384" s="9"/>
      <c r="S384" s="8"/>
      <c r="T384" s="8"/>
      <c r="U384" s="8"/>
      <c r="V384" s="132"/>
      <c r="W384" s="8"/>
      <c r="X384" s="8"/>
      <c r="Y384" s="9"/>
      <c r="Z384" s="8"/>
      <c r="AA384" s="8"/>
      <c r="AB384" s="8"/>
      <c r="AC384" s="11"/>
      <c r="AD384" s="8"/>
      <c r="AE384" s="9"/>
      <c r="AF384" s="8"/>
      <c r="AG384" s="9"/>
      <c r="AH384" s="8"/>
      <c r="AI384" s="8"/>
      <c r="AJ384" s="8"/>
      <c r="AK384" s="132"/>
      <c r="AL384" s="8"/>
      <c r="AM384" s="8"/>
      <c r="AN384" s="9"/>
      <c r="AO384" s="8"/>
      <c r="AP384" s="8"/>
      <c r="AQ384" s="8"/>
    </row>
    <row r="385" spans="1:43" x14ac:dyDescent="0.15">
      <c r="A385" s="8"/>
      <c r="B385" s="8"/>
      <c r="C385" s="8"/>
      <c r="D385" s="8"/>
      <c r="E385" s="9"/>
      <c r="F385" s="8"/>
      <c r="G385" s="10"/>
      <c r="H385" s="11"/>
      <c r="I385" s="8"/>
      <c r="J385" s="9"/>
      <c r="K385" s="8"/>
      <c r="L385" s="9"/>
      <c r="M385" s="8"/>
      <c r="N385" s="11"/>
      <c r="O385" s="8"/>
      <c r="P385" s="9"/>
      <c r="Q385" s="8"/>
      <c r="R385" s="9"/>
      <c r="S385" s="8"/>
      <c r="T385" s="8"/>
      <c r="U385" s="8"/>
      <c r="V385" s="11"/>
      <c r="W385" s="8"/>
      <c r="X385" s="8"/>
      <c r="Y385" s="9"/>
      <c r="Z385" s="8"/>
      <c r="AA385" s="8"/>
      <c r="AB385" s="8"/>
      <c r="AC385" s="11"/>
      <c r="AD385" s="8"/>
      <c r="AE385" s="9"/>
      <c r="AF385" s="8"/>
      <c r="AG385" s="9"/>
      <c r="AH385" s="8"/>
      <c r="AI385" s="8"/>
      <c r="AJ385" s="8"/>
      <c r="AK385" s="11"/>
      <c r="AL385" s="8"/>
      <c r="AM385" s="8"/>
      <c r="AN385" s="9"/>
      <c r="AO385" s="8"/>
      <c r="AP385" s="8"/>
      <c r="AQ385" s="8"/>
    </row>
    <row r="386" spans="1:43" x14ac:dyDescent="0.15">
      <c r="A386" s="8"/>
      <c r="B386" s="8"/>
      <c r="C386" s="8"/>
      <c r="D386" s="8"/>
      <c r="E386" s="9"/>
      <c r="F386" s="8"/>
      <c r="G386" s="10"/>
      <c r="H386" s="132"/>
      <c r="I386" s="8"/>
      <c r="J386" s="9"/>
      <c r="K386" s="8"/>
      <c r="L386" s="9"/>
      <c r="M386" s="8"/>
      <c r="N386" s="132"/>
      <c r="O386" s="8"/>
      <c r="P386" s="9"/>
      <c r="Q386" s="8"/>
      <c r="R386" s="9"/>
      <c r="S386" s="8"/>
      <c r="T386" s="8"/>
      <c r="U386" s="8"/>
      <c r="V386" s="11"/>
      <c r="W386" s="8"/>
      <c r="X386" s="8"/>
      <c r="Y386" s="9"/>
      <c r="Z386" s="8"/>
      <c r="AA386" s="8"/>
      <c r="AB386" s="8"/>
      <c r="AC386" s="132"/>
      <c r="AD386" s="8"/>
      <c r="AE386" s="9"/>
      <c r="AF386" s="8"/>
      <c r="AG386" s="9"/>
      <c r="AH386" s="8"/>
      <c r="AI386" s="8"/>
      <c r="AJ386" s="8"/>
      <c r="AK386" s="11"/>
      <c r="AL386" s="8"/>
      <c r="AM386" s="8"/>
      <c r="AN386" s="9"/>
      <c r="AO386" s="8"/>
      <c r="AP386" s="8"/>
      <c r="AQ386" s="8"/>
    </row>
    <row r="387" spans="1:43" x14ac:dyDescent="0.15">
      <c r="A387" s="8"/>
      <c r="B387" s="8"/>
      <c r="C387" s="8"/>
      <c r="D387" s="8"/>
      <c r="E387" s="9"/>
      <c r="F387" s="8"/>
      <c r="G387" s="10"/>
      <c r="H387" s="11"/>
      <c r="I387" s="8"/>
      <c r="J387" s="9"/>
      <c r="K387" s="8"/>
      <c r="L387" s="9"/>
      <c r="M387" s="8"/>
      <c r="N387" s="11"/>
      <c r="O387" s="8"/>
      <c r="P387" s="9"/>
      <c r="Q387" s="8"/>
      <c r="R387" s="9"/>
      <c r="S387" s="8"/>
      <c r="T387" s="8"/>
      <c r="U387" s="8"/>
      <c r="V387" s="132"/>
      <c r="W387" s="8"/>
      <c r="X387" s="8"/>
      <c r="Y387" s="9"/>
      <c r="Z387" s="8"/>
      <c r="AA387" s="8"/>
      <c r="AB387" s="8"/>
      <c r="AC387" s="11"/>
      <c r="AD387" s="8"/>
      <c r="AE387" s="9"/>
      <c r="AF387" s="8"/>
      <c r="AG387" s="9"/>
      <c r="AH387" s="8"/>
      <c r="AI387" s="8"/>
      <c r="AJ387" s="8"/>
      <c r="AK387" s="132"/>
      <c r="AL387" s="8"/>
      <c r="AM387" s="8"/>
      <c r="AN387" s="9"/>
      <c r="AO387" s="8"/>
      <c r="AP387" s="8"/>
      <c r="AQ387" s="8"/>
    </row>
    <row r="388" spans="1:43" x14ac:dyDescent="0.15">
      <c r="A388" s="8"/>
      <c r="B388" s="8"/>
      <c r="C388" s="8"/>
      <c r="D388" s="8"/>
      <c r="E388" s="9"/>
      <c r="F388" s="8"/>
      <c r="G388" s="10"/>
      <c r="H388" s="132"/>
      <c r="I388" s="8"/>
      <c r="J388" s="9"/>
      <c r="K388" s="8"/>
      <c r="L388" s="9"/>
      <c r="M388" s="8"/>
      <c r="N388" s="132"/>
      <c r="O388" s="8"/>
      <c r="P388" s="9"/>
      <c r="Q388" s="8"/>
      <c r="R388" s="9"/>
      <c r="S388" s="8"/>
      <c r="T388" s="8"/>
      <c r="U388" s="8"/>
      <c r="V388" s="132"/>
      <c r="W388" s="8"/>
      <c r="X388" s="8"/>
      <c r="Y388" s="9"/>
      <c r="Z388" s="8"/>
      <c r="AA388" s="8"/>
      <c r="AB388" s="8"/>
      <c r="AC388" s="132"/>
      <c r="AD388" s="8"/>
      <c r="AE388" s="9"/>
      <c r="AF388" s="8"/>
      <c r="AG388" s="9"/>
      <c r="AH388" s="8"/>
      <c r="AI388" s="8"/>
      <c r="AJ388" s="8"/>
      <c r="AK388" s="132"/>
      <c r="AL388" s="8"/>
      <c r="AM388" s="8"/>
      <c r="AN388" s="9"/>
      <c r="AO388" s="8"/>
      <c r="AP388" s="8"/>
      <c r="AQ388" s="8"/>
    </row>
    <row r="389" spans="1:43" x14ac:dyDescent="0.15">
      <c r="A389" s="8"/>
      <c r="B389" s="8"/>
      <c r="C389" s="8"/>
      <c r="D389" s="8"/>
      <c r="E389" s="9"/>
      <c r="F389" s="8"/>
      <c r="G389" s="10"/>
      <c r="H389" s="132"/>
      <c r="I389" s="8"/>
      <c r="J389" s="9"/>
      <c r="K389" s="8"/>
      <c r="L389" s="9"/>
      <c r="M389" s="8"/>
      <c r="N389" s="132"/>
      <c r="O389" s="8"/>
      <c r="P389" s="9"/>
      <c r="Q389" s="8"/>
      <c r="R389" s="9"/>
      <c r="S389" s="8"/>
      <c r="T389" s="8"/>
      <c r="U389" s="8"/>
      <c r="V389" s="132"/>
      <c r="W389" s="8"/>
      <c r="X389" s="8"/>
      <c r="Y389" s="9"/>
      <c r="Z389" s="8"/>
      <c r="AA389" s="8"/>
      <c r="AB389" s="8"/>
      <c r="AC389" s="132"/>
      <c r="AD389" s="8"/>
      <c r="AE389" s="9"/>
      <c r="AF389" s="8"/>
      <c r="AG389" s="9"/>
      <c r="AH389" s="8"/>
      <c r="AI389" s="8"/>
      <c r="AJ389" s="8"/>
      <c r="AK389" s="132"/>
      <c r="AL389" s="8"/>
      <c r="AM389" s="8"/>
      <c r="AN389" s="9"/>
      <c r="AO389" s="8"/>
      <c r="AP389" s="8"/>
      <c r="AQ389" s="8"/>
    </row>
    <row r="390" spans="1:43" x14ac:dyDescent="0.15">
      <c r="A390" s="8"/>
      <c r="B390" s="8"/>
      <c r="C390" s="8"/>
      <c r="D390" s="8"/>
      <c r="E390" s="9"/>
      <c r="F390" s="8"/>
      <c r="G390" s="10"/>
      <c r="H390" s="132"/>
      <c r="I390" s="8"/>
      <c r="J390" s="9"/>
      <c r="K390" s="8"/>
      <c r="L390" s="9"/>
      <c r="M390" s="8"/>
      <c r="N390" s="132"/>
      <c r="O390" s="8"/>
      <c r="P390" s="9"/>
      <c r="Q390" s="8"/>
      <c r="R390" s="9"/>
      <c r="S390" s="8"/>
      <c r="T390" s="8"/>
      <c r="U390" s="8"/>
      <c r="V390" s="11"/>
      <c r="W390" s="8"/>
      <c r="X390" s="8"/>
      <c r="Y390" s="9"/>
      <c r="Z390" s="8"/>
      <c r="AA390" s="8"/>
      <c r="AB390" s="8"/>
      <c r="AC390" s="132"/>
      <c r="AD390" s="8"/>
      <c r="AE390" s="9"/>
      <c r="AF390" s="8"/>
      <c r="AG390" s="9"/>
      <c r="AH390" s="8"/>
      <c r="AI390" s="8"/>
      <c r="AJ390" s="8"/>
      <c r="AK390" s="11"/>
      <c r="AL390" s="8"/>
      <c r="AM390" s="8"/>
      <c r="AN390" s="9"/>
      <c r="AO390" s="8"/>
      <c r="AP390" s="8"/>
      <c r="AQ390" s="8"/>
    </row>
    <row r="391" spans="1:43" x14ac:dyDescent="0.15">
      <c r="A391" s="8"/>
      <c r="B391" s="8"/>
      <c r="C391" s="8"/>
      <c r="D391" s="8"/>
      <c r="E391" s="9"/>
      <c r="F391" s="8"/>
      <c r="G391" s="10"/>
      <c r="H391" s="132"/>
      <c r="I391" s="8"/>
      <c r="J391" s="9"/>
      <c r="K391" s="8"/>
      <c r="L391" s="9"/>
      <c r="M391" s="8"/>
      <c r="N391" s="132"/>
      <c r="O391" s="8"/>
      <c r="P391" s="9"/>
      <c r="Q391" s="8"/>
      <c r="R391" s="9"/>
      <c r="S391" s="8"/>
      <c r="T391" s="8"/>
      <c r="U391" s="8"/>
      <c r="V391" s="132"/>
      <c r="W391" s="8"/>
      <c r="X391" s="8"/>
      <c r="Y391" s="9"/>
      <c r="Z391" s="8"/>
      <c r="AA391" s="8"/>
      <c r="AB391" s="8"/>
      <c r="AC391" s="132"/>
      <c r="AD391" s="8"/>
      <c r="AE391" s="9"/>
      <c r="AF391" s="8"/>
      <c r="AG391" s="9"/>
      <c r="AH391" s="8"/>
      <c r="AI391" s="8"/>
      <c r="AJ391" s="8"/>
      <c r="AK391" s="132"/>
      <c r="AL391" s="8"/>
      <c r="AM391" s="8"/>
      <c r="AN391" s="9"/>
      <c r="AO391" s="8"/>
      <c r="AP391" s="8"/>
      <c r="AQ391" s="8"/>
    </row>
    <row r="392" spans="1:43" x14ac:dyDescent="0.15">
      <c r="A392" s="8"/>
      <c r="B392" s="8"/>
      <c r="C392" s="8"/>
      <c r="D392" s="8"/>
      <c r="E392" s="9"/>
      <c r="F392" s="8"/>
      <c r="G392" s="10"/>
      <c r="H392" s="11"/>
      <c r="I392" s="8"/>
      <c r="J392" s="9"/>
      <c r="K392" s="8"/>
      <c r="L392" s="9"/>
      <c r="M392" s="8"/>
      <c r="N392" s="11"/>
      <c r="O392" s="8"/>
      <c r="P392" s="9"/>
      <c r="Q392" s="8"/>
      <c r="R392" s="9"/>
      <c r="S392" s="8"/>
      <c r="T392" s="8"/>
      <c r="U392" s="8"/>
      <c r="V392" s="11"/>
      <c r="W392" s="8"/>
      <c r="X392" s="8"/>
      <c r="Y392" s="9"/>
      <c r="Z392" s="8"/>
      <c r="AA392" s="8"/>
      <c r="AB392" s="8"/>
      <c r="AC392" s="11"/>
      <c r="AD392" s="8"/>
      <c r="AE392" s="9"/>
      <c r="AF392" s="8"/>
      <c r="AG392" s="9"/>
      <c r="AH392" s="8"/>
      <c r="AI392" s="8"/>
      <c r="AJ392" s="8"/>
      <c r="AK392" s="11"/>
      <c r="AL392" s="8"/>
      <c r="AM392" s="8"/>
      <c r="AN392" s="9"/>
      <c r="AO392" s="8"/>
      <c r="AP392" s="8"/>
      <c r="AQ392" s="8"/>
    </row>
    <row r="393" spans="1:43" x14ac:dyDescent="0.15">
      <c r="A393" s="8"/>
      <c r="B393" s="8"/>
      <c r="C393" s="8"/>
      <c r="D393" s="8"/>
      <c r="E393" s="9"/>
      <c r="F393" s="8"/>
      <c r="G393" s="10"/>
      <c r="H393" s="11"/>
      <c r="I393" s="8"/>
      <c r="J393" s="9"/>
      <c r="K393" s="8"/>
      <c r="L393" s="9"/>
      <c r="M393" s="8"/>
      <c r="N393" s="11"/>
      <c r="O393" s="8"/>
      <c r="P393" s="9"/>
      <c r="Q393" s="8"/>
      <c r="R393" s="9"/>
      <c r="S393" s="8"/>
      <c r="T393" s="8"/>
      <c r="U393" s="8"/>
      <c r="V393" s="11"/>
      <c r="W393" s="8"/>
      <c r="X393" s="8"/>
      <c r="Y393" s="9"/>
      <c r="Z393" s="8"/>
      <c r="AA393" s="8"/>
      <c r="AB393" s="8"/>
      <c r="AC393" s="11"/>
      <c r="AD393" s="8"/>
      <c r="AE393" s="9"/>
      <c r="AF393" s="8"/>
      <c r="AG393" s="9"/>
      <c r="AH393" s="8"/>
      <c r="AI393" s="8"/>
      <c r="AJ393" s="8"/>
      <c r="AK393" s="11"/>
      <c r="AL393" s="8"/>
      <c r="AM393" s="8"/>
      <c r="AN393" s="9"/>
      <c r="AO393" s="8"/>
      <c r="AP393" s="8"/>
      <c r="AQ393" s="8"/>
    </row>
    <row r="394" spans="1:43" x14ac:dyDescent="0.15">
      <c r="A394" s="8"/>
      <c r="B394" s="8"/>
      <c r="C394" s="8"/>
      <c r="D394" s="8"/>
      <c r="E394" s="9"/>
      <c r="F394" s="8"/>
      <c r="G394" s="10"/>
      <c r="H394" s="11"/>
      <c r="I394" s="8"/>
      <c r="J394" s="9"/>
      <c r="K394" s="8"/>
      <c r="L394" s="9"/>
      <c r="M394" s="8"/>
      <c r="N394" s="11"/>
      <c r="O394" s="8"/>
      <c r="P394" s="9"/>
      <c r="Q394" s="8"/>
      <c r="R394" s="9"/>
      <c r="S394" s="8"/>
      <c r="T394" s="8"/>
      <c r="U394" s="8"/>
      <c r="V394" s="11"/>
      <c r="W394" s="8"/>
      <c r="X394" s="8"/>
      <c r="Y394" s="9"/>
      <c r="Z394" s="8"/>
      <c r="AA394" s="8"/>
      <c r="AB394" s="8"/>
      <c r="AC394" s="11"/>
      <c r="AD394" s="8"/>
      <c r="AE394" s="9"/>
      <c r="AF394" s="8"/>
      <c r="AG394" s="9"/>
      <c r="AH394" s="8"/>
      <c r="AI394" s="8"/>
      <c r="AJ394" s="8"/>
      <c r="AK394" s="11"/>
      <c r="AL394" s="8"/>
      <c r="AM394" s="8"/>
      <c r="AN394" s="9"/>
      <c r="AO394" s="8"/>
      <c r="AP394" s="8"/>
      <c r="AQ394" s="8"/>
    </row>
    <row r="395" spans="1:43" x14ac:dyDescent="0.15">
      <c r="A395" s="8"/>
      <c r="B395" s="8"/>
      <c r="C395" s="8"/>
      <c r="D395" s="8"/>
      <c r="E395" s="9"/>
      <c r="F395" s="8"/>
      <c r="G395" s="10"/>
      <c r="H395" s="11"/>
      <c r="I395" s="8"/>
      <c r="J395" s="9"/>
      <c r="K395" s="8"/>
      <c r="L395" s="9"/>
      <c r="M395" s="8"/>
      <c r="N395" s="11"/>
      <c r="O395" s="8"/>
      <c r="P395" s="9"/>
      <c r="Q395" s="8"/>
      <c r="R395" s="9"/>
      <c r="S395" s="8"/>
      <c r="T395" s="8"/>
      <c r="U395" s="8"/>
      <c r="V395" s="11"/>
      <c r="W395" s="8"/>
      <c r="X395" s="8"/>
      <c r="Y395" s="9"/>
      <c r="Z395" s="8"/>
      <c r="AA395" s="8"/>
      <c r="AB395" s="8"/>
      <c r="AC395" s="11"/>
      <c r="AD395" s="8"/>
      <c r="AE395" s="9"/>
      <c r="AF395" s="8"/>
      <c r="AG395" s="9"/>
      <c r="AH395" s="8"/>
      <c r="AI395" s="8"/>
      <c r="AJ395" s="8"/>
      <c r="AK395" s="11"/>
      <c r="AL395" s="8"/>
      <c r="AM395" s="8"/>
      <c r="AN395" s="9"/>
      <c r="AO395" s="8"/>
      <c r="AP395" s="8"/>
      <c r="AQ395" s="8"/>
    </row>
    <row r="396" spans="1:43" x14ac:dyDescent="0.15">
      <c r="A396" s="8"/>
      <c r="B396" s="8"/>
      <c r="C396" s="8"/>
      <c r="D396" s="8"/>
      <c r="E396" s="9"/>
      <c r="F396" s="8"/>
      <c r="G396" s="10"/>
      <c r="H396" s="11"/>
      <c r="I396" s="8"/>
      <c r="J396" s="9"/>
      <c r="K396" s="8"/>
      <c r="L396" s="9"/>
      <c r="M396" s="8"/>
      <c r="N396" s="11"/>
      <c r="O396" s="8"/>
      <c r="P396" s="9"/>
      <c r="Q396" s="8"/>
      <c r="R396" s="9"/>
      <c r="S396" s="8"/>
      <c r="T396" s="8"/>
      <c r="U396" s="8"/>
      <c r="V396" s="11"/>
      <c r="W396" s="8"/>
      <c r="X396" s="8"/>
      <c r="Y396" s="9"/>
      <c r="Z396" s="8"/>
      <c r="AA396" s="8"/>
      <c r="AB396" s="8"/>
      <c r="AC396" s="11"/>
      <c r="AD396" s="8"/>
      <c r="AE396" s="9"/>
      <c r="AF396" s="8"/>
      <c r="AG396" s="9"/>
      <c r="AH396" s="8"/>
      <c r="AI396" s="8"/>
      <c r="AJ396" s="8"/>
      <c r="AK396" s="11"/>
      <c r="AL396" s="8"/>
      <c r="AM396" s="8"/>
      <c r="AN396" s="9"/>
      <c r="AO396" s="8"/>
      <c r="AP396" s="8"/>
      <c r="AQ396" s="8"/>
    </row>
    <row r="397" spans="1:43" x14ac:dyDescent="0.15">
      <c r="A397" s="8"/>
      <c r="B397" s="8"/>
      <c r="C397" s="8"/>
      <c r="D397" s="8"/>
      <c r="E397" s="9"/>
      <c r="F397" s="8"/>
      <c r="G397" s="10"/>
      <c r="H397" s="11"/>
      <c r="I397" s="8"/>
      <c r="J397" s="9"/>
      <c r="K397" s="8"/>
      <c r="L397" s="9"/>
      <c r="M397" s="8"/>
      <c r="N397" s="11"/>
      <c r="O397" s="8"/>
      <c r="P397" s="9"/>
      <c r="Q397" s="8"/>
      <c r="R397" s="9"/>
      <c r="S397" s="8"/>
      <c r="T397" s="8"/>
      <c r="U397" s="8"/>
      <c r="V397" s="11"/>
      <c r="W397" s="8"/>
      <c r="X397" s="8"/>
      <c r="Y397" s="9"/>
      <c r="Z397" s="8"/>
      <c r="AA397" s="8"/>
      <c r="AB397" s="8"/>
      <c r="AC397" s="11"/>
      <c r="AD397" s="8"/>
      <c r="AE397" s="9"/>
      <c r="AF397" s="8"/>
      <c r="AG397" s="9"/>
      <c r="AH397" s="8"/>
      <c r="AI397" s="8"/>
      <c r="AJ397" s="8"/>
      <c r="AK397" s="11"/>
      <c r="AL397" s="8"/>
      <c r="AM397" s="8"/>
      <c r="AN397" s="9"/>
      <c r="AO397" s="8"/>
      <c r="AP397" s="8"/>
      <c r="AQ397" s="8"/>
    </row>
    <row r="398" spans="1:43" x14ac:dyDescent="0.15">
      <c r="A398" s="8"/>
      <c r="B398" s="8"/>
      <c r="C398" s="8"/>
      <c r="D398" s="8"/>
      <c r="E398" s="9"/>
      <c r="F398" s="8"/>
      <c r="G398" s="10"/>
      <c r="H398" s="11"/>
      <c r="I398" s="8"/>
      <c r="J398" s="9"/>
      <c r="K398" s="8"/>
      <c r="L398" s="9"/>
      <c r="M398" s="8"/>
      <c r="N398" s="11"/>
      <c r="O398" s="8"/>
      <c r="P398" s="9"/>
      <c r="Q398" s="8"/>
      <c r="R398" s="9"/>
      <c r="S398" s="8"/>
      <c r="T398" s="8"/>
      <c r="U398" s="8"/>
      <c r="V398" s="11"/>
      <c r="W398" s="8"/>
      <c r="X398" s="8"/>
      <c r="Y398" s="9"/>
      <c r="Z398" s="8"/>
      <c r="AA398" s="8"/>
      <c r="AB398" s="8"/>
      <c r="AC398" s="11"/>
      <c r="AD398" s="8"/>
      <c r="AE398" s="9"/>
      <c r="AF398" s="8"/>
      <c r="AG398" s="9"/>
      <c r="AH398" s="8"/>
      <c r="AI398" s="8"/>
      <c r="AJ398" s="8"/>
      <c r="AK398" s="11"/>
      <c r="AL398" s="8"/>
      <c r="AM398" s="8"/>
      <c r="AN398" s="9"/>
      <c r="AO398" s="8"/>
      <c r="AP398" s="8"/>
      <c r="AQ398" s="8"/>
    </row>
    <row r="399" spans="1:43" x14ac:dyDescent="0.15">
      <c r="A399" s="8"/>
      <c r="B399" s="8"/>
      <c r="C399" s="8"/>
      <c r="D399" s="8"/>
      <c r="E399" s="9"/>
      <c r="F399" s="8"/>
      <c r="G399" s="10"/>
      <c r="H399" s="11"/>
      <c r="I399" s="8"/>
      <c r="J399" s="9"/>
      <c r="K399" s="8"/>
      <c r="L399" s="9"/>
      <c r="M399" s="8"/>
      <c r="N399" s="11"/>
      <c r="O399" s="8"/>
      <c r="P399" s="9"/>
      <c r="Q399" s="8"/>
      <c r="R399" s="9"/>
      <c r="S399" s="8"/>
      <c r="T399" s="8"/>
      <c r="U399" s="8"/>
      <c r="V399" s="11"/>
      <c r="W399" s="8"/>
      <c r="X399" s="8"/>
      <c r="Y399" s="9"/>
      <c r="Z399" s="8"/>
      <c r="AA399" s="8"/>
      <c r="AB399" s="8"/>
      <c r="AC399" s="11"/>
      <c r="AD399" s="8"/>
      <c r="AE399" s="9"/>
      <c r="AF399" s="8"/>
      <c r="AG399" s="9"/>
      <c r="AH399" s="8"/>
      <c r="AI399" s="8"/>
      <c r="AJ399" s="8"/>
      <c r="AK399" s="11"/>
      <c r="AL399" s="8"/>
      <c r="AM399" s="8"/>
      <c r="AN399" s="9"/>
      <c r="AO399" s="8"/>
      <c r="AP399" s="8"/>
      <c r="AQ399" s="8"/>
    </row>
    <row r="400" spans="1:43" x14ac:dyDescent="0.15">
      <c r="A400" s="8"/>
      <c r="B400" s="8"/>
      <c r="C400" s="8"/>
      <c r="D400" s="8"/>
      <c r="E400" s="9"/>
      <c r="F400" s="8"/>
      <c r="G400" s="10"/>
      <c r="H400" s="11"/>
      <c r="I400" s="8"/>
      <c r="J400" s="9"/>
      <c r="K400" s="8"/>
      <c r="L400" s="9"/>
      <c r="M400" s="8"/>
      <c r="N400" s="11"/>
      <c r="O400" s="8"/>
      <c r="P400" s="9"/>
      <c r="Q400" s="8"/>
      <c r="R400" s="9"/>
      <c r="S400" s="8"/>
      <c r="T400" s="8"/>
      <c r="U400" s="8"/>
      <c r="V400" s="11"/>
      <c r="W400" s="8"/>
      <c r="X400" s="8"/>
      <c r="Y400" s="9"/>
      <c r="Z400" s="8"/>
      <c r="AA400" s="8"/>
      <c r="AB400" s="8"/>
      <c r="AC400" s="11"/>
      <c r="AD400" s="8"/>
      <c r="AE400" s="9"/>
      <c r="AF400" s="8"/>
      <c r="AG400" s="9"/>
      <c r="AH400" s="8"/>
      <c r="AI400" s="8"/>
      <c r="AJ400" s="8"/>
      <c r="AK400" s="11"/>
      <c r="AL400" s="8"/>
      <c r="AM400" s="8"/>
      <c r="AN400" s="9"/>
      <c r="AO400" s="8"/>
      <c r="AP400" s="8"/>
      <c r="AQ400" s="8"/>
    </row>
    <row r="401" spans="1:43" x14ac:dyDescent="0.15">
      <c r="A401" s="8"/>
      <c r="B401" s="8"/>
      <c r="C401" s="8"/>
      <c r="D401" s="8"/>
      <c r="E401" s="9"/>
      <c r="F401" s="8"/>
      <c r="G401" s="10"/>
      <c r="H401" s="11"/>
      <c r="I401" s="8"/>
      <c r="J401" s="9"/>
      <c r="K401" s="8"/>
      <c r="L401" s="9"/>
      <c r="M401" s="8"/>
      <c r="N401" s="11"/>
      <c r="O401" s="8"/>
      <c r="P401" s="9"/>
      <c r="Q401" s="8"/>
      <c r="R401" s="9"/>
      <c r="S401" s="8"/>
      <c r="T401" s="8"/>
      <c r="U401" s="8"/>
      <c r="V401" s="11"/>
      <c r="W401" s="8"/>
      <c r="X401" s="8"/>
      <c r="Y401" s="9"/>
      <c r="Z401" s="8"/>
      <c r="AA401" s="8"/>
      <c r="AB401" s="8"/>
      <c r="AC401" s="11"/>
      <c r="AD401" s="8"/>
      <c r="AE401" s="9"/>
      <c r="AF401" s="8"/>
      <c r="AG401" s="9"/>
      <c r="AH401" s="8"/>
      <c r="AI401" s="8"/>
      <c r="AJ401" s="8"/>
      <c r="AK401" s="11"/>
      <c r="AL401" s="8"/>
      <c r="AM401" s="8"/>
      <c r="AN401" s="9"/>
      <c r="AO401" s="8"/>
      <c r="AP401" s="8"/>
      <c r="AQ401" s="8"/>
    </row>
    <row r="402" spans="1:43" x14ac:dyDescent="0.15">
      <c r="A402" s="8"/>
      <c r="B402" s="8"/>
      <c r="C402" s="8"/>
      <c r="D402" s="8"/>
      <c r="E402" s="9"/>
      <c r="F402" s="8"/>
      <c r="G402" s="10"/>
      <c r="H402" s="11"/>
      <c r="I402" s="8"/>
      <c r="J402" s="9"/>
      <c r="K402" s="8"/>
      <c r="L402" s="9"/>
      <c r="M402" s="8"/>
      <c r="N402" s="11"/>
      <c r="O402" s="8"/>
      <c r="P402" s="9"/>
      <c r="Q402" s="8"/>
      <c r="R402" s="9"/>
      <c r="S402" s="8"/>
      <c r="T402" s="8"/>
      <c r="U402" s="8"/>
      <c r="V402" s="11"/>
      <c r="W402" s="8"/>
      <c r="X402" s="8"/>
      <c r="Y402" s="9"/>
      <c r="Z402" s="8"/>
      <c r="AA402" s="8"/>
      <c r="AB402" s="8"/>
      <c r="AC402" s="11"/>
      <c r="AD402" s="8"/>
      <c r="AE402" s="9"/>
      <c r="AF402" s="8"/>
      <c r="AG402" s="9"/>
      <c r="AH402" s="8"/>
      <c r="AI402" s="8"/>
      <c r="AJ402" s="8"/>
      <c r="AK402" s="11"/>
      <c r="AL402" s="8"/>
      <c r="AM402" s="8"/>
      <c r="AN402" s="9"/>
      <c r="AO402" s="8"/>
      <c r="AP402" s="8"/>
      <c r="AQ402" s="8"/>
    </row>
    <row r="403" spans="1:43" x14ac:dyDescent="0.15">
      <c r="A403" s="8"/>
      <c r="B403" s="8"/>
      <c r="C403" s="8"/>
      <c r="D403" s="8"/>
      <c r="E403" s="9"/>
      <c r="F403" s="8"/>
      <c r="G403" s="10"/>
      <c r="H403" s="11"/>
      <c r="I403" s="8"/>
      <c r="J403" s="9"/>
      <c r="K403" s="8"/>
      <c r="L403" s="9"/>
      <c r="M403" s="8"/>
      <c r="N403" s="11"/>
      <c r="O403" s="8"/>
      <c r="P403" s="9"/>
      <c r="Q403" s="8"/>
      <c r="R403" s="9"/>
      <c r="S403" s="8"/>
      <c r="T403" s="8"/>
      <c r="U403" s="8"/>
      <c r="V403" s="11"/>
      <c r="W403" s="8"/>
      <c r="X403" s="8"/>
      <c r="Y403" s="9"/>
      <c r="Z403" s="8"/>
      <c r="AA403" s="8"/>
      <c r="AB403" s="8"/>
      <c r="AC403" s="11"/>
      <c r="AD403" s="8"/>
      <c r="AE403" s="9"/>
      <c r="AF403" s="8"/>
      <c r="AG403" s="9"/>
      <c r="AH403" s="8"/>
      <c r="AI403" s="8"/>
      <c r="AJ403" s="8"/>
      <c r="AK403" s="11"/>
      <c r="AL403" s="8"/>
      <c r="AM403" s="8"/>
      <c r="AN403" s="9"/>
      <c r="AO403" s="8"/>
      <c r="AP403" s="8"/>
      <c r="AQ403" s="8"/>
    </row>
    <row r="404" spans="1:43" x14ac:dyDescent="0.15">
      <c r="A404" s="8"/>
      <c r="B404" s="8"/>
      <c r="C404" s="8"/>
      <c r="D404" s="8"/>
      <c r="E404" s="9"/>
      <c r="F404" s="8"/>
      <c r="G404" s="10"/>
      <c r="H404" s="11"/>
      <c r="I404" s="8"/>
      <c r="J404" s="9"/>
      <c r="K404" s="8"/>
      <c r="L404" s="9"/>
      <c r="M404" s="8"/>
      <c r="N404" s="11"/>
      <c r="O404" s="8"/>
      <c r="P404" s="9"/>
      <c r="Q404" s="8"/>
      <c r="R404" s="9"/>
      <c r="S404" s="8"/>
      <c r="T404" s="8"/>
      <c r="U404" s="8"/>
      <c r="V404" s="11"/>
      <c r="W404" s="8"/>
      <c r="X404" s="8"/>
      <c r="Y404" s="9"/>
      <c r="Z404" s="8"/>
      <c r="AA404" s="8"/>
      <c r="AB404" s="8"/>
      <c r="AC404" s="11"/>
      <c r="AD404" s="8"/>
      <c r="AE404" s="9"/>
      <c r="AF404" s="8"/>
      <c r="AG404" s="9"/>
      <c r="AH404" s="8"/>
      <c r="AI404" s="8"/>
      <c r="AJ404" s="8"/>
      <c r="AK404" s="11"/>
      <c r="AL404" s="8"/>
      <c r="AM404" s="8"/>
      <c r="AN404" s="9"/>
      <c r="AO404" s="8"/>
      <c r="AP404" s="8"/>
      <c r="AQ404" s="8"/>
    </row>
    <row r="405" spans="1:43" x14ac:dyDescent="0.15">
      <c r="A405" s="8"/>
      <c r="B405" s="8"/>
      <c r="C405" s="8"/>
      <c r="D405" s="8"/>
      <c r="E405" s="9"/>
      <c r="F405" s="8"/>
      <c r="G405" s="10"/>
      <c r="H405" s="11"/>
      <c r="I405" s="8"/>
      <c r="J405" s="9"/>
      <c r="K405" s="8"/>
      <c r="L405" s="9"/>
      <c r="M405" s="8"/>
      <c r="N405" s="11"/>
      <c r="O405" s="8"/>
      <c r="P405" s="9"/>
      <c r="Q405" s="8"/>
      <c r="R405" s="9"/>
      <c r="S405" s="8"/>
      <c r="T405" s="8"/>
      <c r="U405" s="8"/>
      <c r="V405" s="11"/>
      <c r="W405" s="8"/>
      <c r="X405" s="8"/>
      <c r="Y405" s="9"/>
      <c r="Z405" s="8"/>
      <c r="AA405" s="8"/>
      <c r="AB405" s="8"/>
      <c r="AC405" s="11"/>
      <c r="AD405" s="8"/>
      <c r="AE405" s="9"/>
      <c r="AF405" s="8"/>
      <c r="AG405" s="9"/>
      <c r="AH405" s="8"/>
      <c r="AI405" s="8"/>
      <c r="AJ405" s="8"/>
      <c r="AK405" s="11"/>
      <c r="AL405" s="8"/>
      <c r="AM405" s="8"/>
      <c r="AN405" s="9"/>
      <c r="AO405" s="8"/>
      <c r="AP405" s="8"/>
      <c r="AQ405" s="8"/>
    </row>
    <row r="406" spans="1:43" x14ac:dyDescent="0.15">
      <c r="A406" s="8"/>
      <c r="B406" s="8"/>
      <c r="C406" s="8"/>
      <c r="D406" s="8"/>
      <c r="E406" s="9"/>
      <c r="F406" s="8"/>
      <c r="G406" s="10"/>
      <c r="H406" s="11"/>
      <c r="I406" s="8"/>
      <c r="J406" s="9"/>
      <c r="K406" s="8"/>
      <c r="L406" s="9"/>
      <c r="M406" s="8"/>
      <c r="N406" s="11"/>
      <c r="O406" s="8"/>
      <c r="P406" s="9"/>
      <c r="Q406" s="8"/>
      <c r="R406" s="9"/>
      <c r="S406" s="8"/>
      <c r="T406" s="8"/>
      <c r="U406" s="8"/>
      <c r="V406" s="11"/>
      <c r="W406" s="8"/>
      <c r="X406" s="8"/>
      <c r="Y406" s="9"/>
      <c r="Z406" s="8"/>
      <c r="AA406" s="8"/>
      <c r="AB406" s="8"/>
      <c r="AC406" s="11"/>
      <c r="AD406" s="8"/>
      <c r="AE406" s="9"/>
      <c r="AF406" s="8"/>
      <c r="AG406" s="9"/>
      <c r="AH406" s="8"/>
      <c r="AI406" s="8"/>
      <c r="AJ406" s="8"/>
      <c r="AK406" s="11"/>
      <c r="AL406" s="8"/>
      <c r="AM406" s="8"/>
      <c r="AN406" s="9"/>
      <c r="AO406" s="8"/>
      <c r="AP406" s="8"/>
      <c r="AQ406" s="8"/>
    </row>
    <row r="407" spans="1:43" x14ac:dyDescent="0.15">
      <c r="A407" s="8"/>
      <c r="B407" s="8"/>
      <c r="C407" s="8"/>
      <c r="D407" s="8"/>
      <c r="E407" s="9"/>
      <c r="F407" s="8"/>
      <c r="G407" s="10"/>
      <c r="H407" s="11"/>
      <c r="I407" s="8"/>
      <c r="J407" s="9"/>
      <c r="K407" s="8"/>
      <c r="L407" s="9"/>
      <c r="M407" s="8"/>
      <c r="N407" s="11"/>
      <c r="O407" s="8"/>
      <c r="P407" s="9"/>
      <c r="Q407" s="8"/>
      <c r="R407" s="9"/>
      <c r="S407" s="8"/>
      <c r="T407" s="8"/>
      <c r="U407" s="8"/>
      <c r="V407" s="11"/>
      <c r="W407" s="8"/>
      <c r="X407" s="8"/>
      <c r="Y407" s="9"/>
      <c r="Z407" s="8"/>
      <c r="AA407" s="8"/>
      <c r="AB407" s="8"/>
      <c r="AC407" s="11"/>
      <c r="AD407" s="8"/>
      <c r="AE407" s="9"/>
      <c r="AF407" s="8"/>
      <c r="AG407" s="9"/>
      <c r="AH407" s="8"/>
      <c r="AI407" s="8"/>
      <c r="AJ407" s="8"/>
      <c r="AK407" s="11"/>
      <c r="AL407" s="8"/>
      <c r="AM407" s="8"/>
      <c r="AN407" s="9"/>
      <c r="AO407" s="8"/>
      <c r="AP407" s="8"/>
      <c r="AQ407" s="8"/>
    </row>
    <row r="408" spans="1:43" x14ac:dyDescent="0.15">
      <c r="A408" s="8"/>
      <c r="B408" s="8"/>
      <c r="C408" s="8"/>
      <c r="D408" s="8"/>
      <c r="E408" s="9"/>
      <c r="F408" s="8"/>
      <c r="G408" s="10"/>
      <c r="H408" s="11"/>
      <c r="I408" s="8"/>
      <c r="J408" s="9"/>
      <c r="K408" s="8"/>
      <c r="L408" s="9"/>
      <c r="M408" s="8"/>
      <c r="N408" s="11"/>
      <c r="O408" s="8"/>
      <c r="P408" s="9"/>
      <c r="Q408" s="8"/>
      <c r="R408" s="9"/>
      <c r="S408" s="8"/>
      <c r="T408" s="8"/>
      <c r="U408" s="8"/>
      <c r="V408" s="11"/>
      <c r="W408" s="8"/>
      <c r="X408" s="8"/>
      <c r="Y408" s="9"/>
      <c r="Z408" s="8"/>
      <c r="AA408" s="8"/>
      <c r="AB408" s="8"/>
      <c r="AC408" s="11"/>
      <c r="AD408" s="8"/>
      <c r="AE408" s="9"/>
      <c r="AF408" s="8"/>
      <c r="AG408" s="9"/>
      <c r="AH408" s="8"/>
      <c r="AI408" s="8"/>
      <c r="AJ408" s="8"/>
      <c r="AK408" s="11"/>
      <c r="AL408" s="8"/>
      <c r="AM408" s="8"/>
      <c r="AN408" s="9"/>
      <c r="AO408" s="8"/>
      <c r="AP408" s="8"/>
      <c r="AQ408" s="8"/>
    </row>
    <row r="409" spans="1:43" x14ac:dyDescent="0.15">
      <c r="A409" s="8"/>
      <c r="B409" s="8"/>
      <c r="C409" s="8"/>
      <c r="D409" s="8"/>
      <c r="E409" s="9"/>
      <c r="F409" s="8"/>
      <c r="G409" s="10"/>
      <c r="H409" s="11"/>
      <c r="I409" s="8"/>
      <c r="J409" s="9"/>
      <c r="K409" s="8"/>
      <c r="L409" s="9"/>
      <c r="M409" s="8"/>
      <c r="N409" s="11"/>
      <c r="O409" s="8"/>
      <c r="P409" s="9"/>
      <c r="Q409" s="8"/>
      <c r="R409" s="9"/>
      <c r="S409" s="8"/>
      <c r="T409" s="8"/>
      <c r="U409" s="8"/>
      <c r="V409" s="11"/>
      <c r="W409" s="8"/>
      <c r="X409" s="8"/>
      <c r="Y409" s="9"/>
      <c r="Z409" s="8"/>
      <c r="AA409" s="8"/>
      <c r="AB409" s="8"/>
      <c r="AC409" s="11"/>
      <c r="AD409" s="8"/>
      <c r="AE409" s="9"/>
      <c r="AF409" s="8"/>
      <c r="AG409" s="9"/>
      <c r="AH409" s="8"/>
      <c r="AI409" s="8"/>
      <c r="AJ409" s="8"/>
      <c r="AK409" s="11"/>
      <c r="AL409" s="8"/>
      <c r="AM409" s="8"/>
      <c r="AN409" s="9"/>
      <c r="AO409" s="8"/>
      <c r="AP409" s="8"/>
      <c r="AQ409" s="8"/>
    </row>
    <row r="410" spans="1:43" x14ac:dyDescent="0.15">
      <c r="A410" s="8"/>
      <c r="B410" s="8"/>
      <c r="C410" s="8"/>
      <c r="D410" s="8"/>
      <c r="E410" s="9"/>
      <c r="F410" s="8"/>
      <c r="G410" s="10"/>
      <c r="H410" s="11"/>
      <c r="I410" s="8"/>
      <c r="J410" s="9"/>
      <c r="K410" s="8"/>
      <c r="L410" s="9"/>
      <c r="M410" s="8"/>
      <c r="N410" s="11"/>
      <c r="O410" s="8"/>
      <c r="P410" s="9"/>
      <c r="Q410" s="8"/>
      <c r="R410" s="9"/>
      <c r="S410" s="8"/>
      <c r="T410" s="8"/>
      <c r="U410" s="8"/>
      <c r="V410" s="11"/>
      <c r="W410" s="8"/>
      <c r="X410" s="8"/>
      <c r="Y410" s="9"/>
      <c r="Z410" s="8"/>
      <c r="AA410" s="8"/>
      <c r="AB410" s="8"/>
      <c r="AC410" s="11"/>
      <c r="AD410" s="8"/>
      <c r="AE410" s="9"/>
      <c r="AF410" s="8"/>
      <c r="AG410" s="9"/>
      <c r="AH410" s="8"/>
      <c r="AI410" s="8"/>
      <c r="AJ410" s="8"/>
      <c r="AK410" s="11"/>
      <c r="AL410" s="8"/>
      <c r="AM410" s="8"/>
      <c r="AN410" s="9"/>
      <c r="AO410" s="8"/>
      <c r="AP410" s="8"/>
      <c r="AQ410" s="8"/>
    </row>
    <row r="411" spans="1:43" x14ac:dyDescent="0.15">
      <c r="A411" s="8"/>
      <c r="B411" s="8"/>
      <c r="C411" s="8"/>
      <c r="D411" s="8"/>
      <c r="E411" s="9"/>
      <c r="F411" s="8"/>
      <c r="G411" s="10"/>
      <c r="H411" s="11"/>
      <c r="I411" s="8"/>
      <c r="J411" s="9"/>
      <c r="K411" s="8"/>
      <c r="L411" s="9"/>
      <c r="M411" s="8"/>
      <c r="N411" s="11"/>
      <c r="O411" s="8"/>
      <c r="P411" s="9"/>
      <c r="Q411" s="8"/>
      <c r="R411" s="9"/>
      <c r="S411" s="8"/>
      <c r="T411" s="8"/>
      <c r="U411" s="8"/>
      <c r="V411" s="11"/>
      <c r="W411" s="8"/>
      <c r="X411" s="8"/>
      <c r="Y411" s="9"/>
      <c r="Z411" s="8"/>
      <c r="AA411" s="8"/>
      <c r="AB411" s="8"/>
      <c r="AC411" s="11"/>
      <c r="AD411" s="8"/>
      <c r="AE411" s="9"/>
      <c r="AF411" s="8"/>
      <c r="AG411" s="9"/>
      <c r="AH411" s="8"/>
      <c r="AI411" s="8"/>
      <c r="AJ411" s="8"/>
      <c r="AK411" s="11"/>
      <c r="AL411" s="8"/>
      <c r="AM411" s="8"/>
      <c r="AN411" s="9"/>
      <c r="AO411" s="8"/>
      <c r="AP411" s="8"/>
      <c r="AQ411" s="8"/>
    </row>
    <row r="412" spans="1:43" x14ac:dyDescent="0.15">
      <c r="A412" s="8"/>
      <c r="B412" s="8"/>
      <c r="C412" s="8"/>
      <c r="D412" s="8"/>
      <c r="E412" s="9"/>
      <c r="F412" s="8"/>
      <c r="G412" s="10"/>
      <c r="H412" s="11"/>
      <c r="I412" s="8"/>
      <c r="J412" s="9"/>
      <c r="K412" s="8"/>
      <c r="L412" s="9"/>
      <c r="M412" s="8"/>
      <c r="N412" s="11"/>
      <c r="O412" s="8"/>
      <c r="P412" s="9"/>
      <c r="Q412" s="8"/>
      <c r="R412" s="9"/>
      <c r="S412" s="8"/>
      <c r="T412" s="8"/>
      <c r="U412" s="8"/>
      <c r="V412" s="11"/>
      <c r="W412" s="8"/>
      <c r="X412" s="8"/>
      <c r="Y412" s="9"/>
      <c r="Z412" s="8"/>
      <c r="AA412" s="8"/>
      <c r="AB412" s="8"/>
      <c r="AC412" s="11"/>
      <c r="AD412" s="8"/>
      <c r="AE412" s="9"/>
      <c r="AF412" s="8"/>
      <c r="AG412" s="9"/>
      <c r="AH412" s="8"/>
      <c r="AI412" s="8"/>
      <c r="AJ412" s="8"/>
      <c r="AK412" s="11"/>
      <c r="AL412" s="8"/>
      <c r="AM412" s="8"/>
      <c r="AN412" s="9"/>
      <c r="AO412" s="8"/>
      <c r="AP412" s="8"/>
      <c r="AQ412" s="8"/>
    </row>
    <row r="413" spans="1:43" x14ac:dyDescent="0.15">
      <c r="A413" s="8"/>
      <c r="B413" s="8"/>
      <c r="C413" s="8"/>
      <c r="D413" s="8"/>
      <c r="E413" s="9"/>
      <c r="F413" s="8"/>
      <c r="G413" s="10"/>
      <c r="H413" s="11"/>
      <c r="I413" s="8"/>
      <c r="J413" s="9"/>
      <c r="K413" s="8"/>
      <c r="L413" s="9"/>
      <c r="M413" s="8"/>
      <c r="N413" s="11"/>
      <c r="O413" s="8"/>
      <c r="P413" s="9"/>
      <c r="Q413" s="8"/>
      <c r="R413" s="9"/>
      <c r="S413" s="8"/>
      <c r="T413" s="8"/>
      <c r="U413" s="8"/>
      <c r="V413" s="11"/>
      <c r="W413" s="8"/>
      <c r="X413" s="8"/>
      <c r="Y413" s="9"/>
      <c r="Z413" s="8"/>
      <c r="AA413" s="8"/>
      <c r="AB413" s="8"/>
      <c r="AC413" s="11"/>
      <c r="AD413" s="8"/>
      <c r="AE413" s="9"/>
      <c r="AF413" s="8"/>
      <c r="AG413" s="9"/>
      <c r="AH413" s="8"/>
      <c r="AI413" s="8"/>
      <c r="AJ413" s="8"/>
      <c r="AK413" s="11"/>
      <c r="AL413" s="8"/>
      <c r="AM413" s="8"/>
      <c r="AN413" s="9"/>
      <c r="AO413" s="8"/>
      <c r="AP413" s="8"/>
      <c r="AQ413" s="8"/>
    </row>
    <row r="414" spans="1:43" x14ac:dyDescent="0.15">
      <c r="A414" s="8"/>
      <c r="B414" s="8"/>
      <c r="C414" s="8"/>
      <c r="D414" s="8"/>
      <c r="E414" s="9"/>
      <c r="F414" s="8"/>
      <c r="G414" s="10"/>
      <c r="H414" s="11"/>
      <c r="I414" s="8"/>
      <c r="J414" s="9"/>
      <c r="K414" s="8"/>
      <c r="L414" s="9"/>
      <c r="M414" s="8"/>
      <c r="N414" s="11"/>
      <c r="O414" s="8"/>
      <c r="P414" s="9"/>
      <c r="Q414" s="8"/>
      <c r="R414" s="9"/>
      <c r="S414" s="8"/>
      <c r="T414" s="8"/>
      <c r="U414" s="8"/>
      <c r="V414" s="11"/>
      <c r="W414" s="8"/>
      <c r="X414" s="8"/>
      <c r="Y414" s="9"/>
      <c r="Z414" s="8"/>
      <c r="AA414" s="8"/>
      <c r="AB414" s="8"/>
      <c r="AC414" s="11"/>
      <c r="AD414" s="8"/>
      <c r="AE414" s="9"/>
      <c r="AF414" s="8"/>
      <c r="AG414" s="9"/>
      <c r="AH414" s="8"/>
      <c r="AI414" s="8"/>
      <c r="AJ414" s="8"/>
      <c r="AK414" s="11"/>
      <c r="AL414" s="8"/>
      <c r="AM414" s="8"/>
      <c r="AN414" s="9"/>
      <c r="AO414" s="8"/>
      <c r="AP414" s="8"/>
      <c r="AQ414" s="8"/>
    </row>
    <row r="415" spans="1:43" x14ac:dyDescent="0.15">
      <c r="A415" s="8"/>
      <c r="B415" s="8"/>
      <c r="C415" s="8"/>
      <c r="D415" s="8"/>
      <c r="E415" s="9"/>
      <c r="F415" s="8"/>
      <c r="G415" s="10"/>
      <c r="H415" s="11"/>
      <c r="I415" s="8"/>
      <c r="J415" s="9"/>
      <c r="K415" s="8"/>
      <c r="L415" s="9"/>
      <c r="M415" s="8"/>
      <c r="N415" s="11"/>
      <c r="O415" s="8"/>
      <c r="P415" s="9"/>
      <c r="Q415" s="8"/>
      <c r="R415" s="9"/>
      <c r="S415" s="8"/>
      <c r="T415" s="8"/>
      <c r="U415" s="8"/>
      <c r="V415" s="11"/>
      <c r="W415" s="8"/>
      <c r="X415" s="8"/>
      <c r="Y415" s="9"/>
      <c r="Z415" s="8"/>
      <c r="AA415" s="8"/>
      <c r="AB415" s="8"/>
      <c r="AC415" s="11"/>
      <c r="AD415" s="8"/>
      <c r="AE415" s="9"/>
      <c r="AF415" s="8"/>
      <c r="AG415" s="9"/>
      <c r="AH415" s="8"/>
      <c r="AI415" s="8"/>
      <c r="AJ415" s="8"/>
      <c r="AK415" s="11"/>
      <c r="AL415" s="8"/>
      <c r="AM415" s="8"/>
      <c r="AN415" s="9"/>
      <c r="AO415" s="8"/>
      <c r="AP415" s="8"/>
      <c r="AQ415" s="8"/>
    </row>
    <row r="416" spans="1:43" x14ac:dyDescent="0.15">
      <c r="A416" s="8"/>
      <c r="B416" s="8"/>
      <c r="C416" s="8"/>
      <c r="D416" s="8"/>
      <c r="E416" s="9"/>
      <c r="F416" s="8"/>
      <c r="G416" s="10"/>
      <c r="H416" s="11"/>
      <c r="I416" s="8"/>
      <c r="J416" s="9"/>
      <c r="K416" s="8"/>
      <c r="L416" s="9"/>
      <c r="M416" s="8"/>
      <c r="N416" s="11"/>
      <c r="O416" s="8"/>
      <c r="P416" s="9"/>
      <c r="Q416" s="8"/>
      <c r="R416" s="9"/>
      <c r="S416" s="8"/>
      <c r="T416" s="8"/>
      <c r="U416" s="8"/>
      <c r="V416" s="11"/>
      <c r="W416" s="8"/>
      <c r="X416" s="8"/>
      <c r="Y416" s="9"/>
      <c r="Z416" s="8"/>
      <c r="AA416" s="8"/>
      <c r="AB416" s="8"/>
      <c r="AC416" s="11"/>
      <c r="AD416" s="8"/>
      <c r="AE416" s="9"/>
      <c r="AF416" s="8"/>
      <c r="AG416" s="9"/>
      <c r="AH416" s="8"/>
      <c r="AI416" s="8"/>
      <c r="AJ416" s="8"/>
      <c r="AK416" s="11"/>
      <c r="AL416" s="8"/>
      <c r="AM416" s="8"/>
      <c r="AN416" s="9"/>
      <c r="AO416" s="8"/>
      <c r="AP416" s="8"/>
      <c r="AQ416" s="8"/>
    </row>
    <row r="417" spans="1:43" x14ac:dyDescent="0.15">
      <c r="A417" s="8"/>
      <c r="B417" s="8"/>
      <c r="C417" s="8"/>
      <c r="D417" s="8"/>
      <c r="E417" s="9"/>
      <c r="F417" s="8"/>
      <c r="G417" s="10"/>
      <c r="H417" s="11"/>
      <c r="I417" s="8"/>
      <c r="J417" s="9"/>
      <c r="K417" s="8"/>
      <c r="L417" s="9"/>
      <c r="M417" s="8"/>
      <c r="N417" s="11"/>
      <c r="O417" s="8"/>
      <c r="P417" s="9"/>
      <c r="Q417" s="8"/>
      <c r="R417" s="9"/>
      <c r="S417" s="8"/>
      <c r="T417" s="8"/>
      <c r="U417" s="8"/>
      <c r="V417" s="11"/>
      <c r="W417" s="8"/>
      <c r="X417" s="8"/>
      <c r="Y417" s="9"/>
      <c r="Z417" s="8"/>
      <c r="AA417" s="8"/>
      <c r="AB417" s="8"/>
      <c r="AC417" s="11"/>
      <c r="AD417" s="8"/>
      <c r="AE417" s="9"/>
      <c r="AF417" s="8"/>
      <c r="AG417" s="9"/>
      <c r="AH417" s="8"/>
      <c r="AI417" s="8"/>
      <c r="AJ417" s="8"/>
      <c r="AK417" s="11"/>
      <c r="AL417" s="8"/>
      <c r="AM417" s="8"/>
      <c r="AN417" s="9"/>
      <c r="AO417" s="8"/>
      <c r="AP417" s="8"/>
      <c r="AQ417" s="8"/>
    </row>
    <row r="418" spans="1:43" x14ac:dyDescent="0.15">
      <c r="A418" s="8"/>
      <c r="B418" s="8"/>
      <c r="C418" s="8"/>
      <c r="D418" s="8"/>
      <c r="E418" s="9"/>
      <c r="F418" s="8"/>
      <c r="G418" s="10"/>
      <c r="H418" s="11"/>
      <c r="I418" s="8"/>
      <c r="J418" s="9"/>
      <c r="K418" s="8"/>
      <c r="L418" s="9"/>
      <c r="M418" s="8"/>
      <c r="N418" s="11"/>
      <c r="O418" s="8"/>
      <c r="P418" s="9"/>
      <c r="Q418" s="8"/>
      <c r="R418" s="9"/>
      <c r="S418" s="8"/>
      <c r="T418" s="8"/>
      <c r="U418" s="8"/>
      <c r="V418" s="11"/>
      <c r="W418" s="8"/>
      <c r="X418" s="8"/>
      <c r="Y418" s="9"/>
      <c r="Z418" s="8"/>
      <c r="AA418" s="8"/>
      <c r="AB418" s="8"/>
      <c r="AC418" s="11"/>
      <c r="AD418" s="8"/>
      <c r="AE418" s="9"/>
      <c r="AF418" s="8"/>
      <c r="AG418" s="9"/>
      <c r="AH418" s="8"/>
      <c r="AI418" s="8"/>
      <c r="AJ418" s="8"/>
      <c r="AK418" s="11"/>
      <c r="AL418" s="8"/>
      <c r="AM418" s="8"/>
      <c r="AN418" s="9"/>
      <c r="AO418" s="8"/>
      <c r="AP418" s="8"/>
      <c r="AQ418" s="8"/>
    </row>
    <row r="419" spans="1:43" x14ac:dyDescent="0.15">
      <c r="A419" s="8"/>
      <c r="B419" s="8"/>
      <c r="C419" s="8"/>
      <c r="D419" s="8"/>
      <c r="E419" s="9"/>
      <c r="F419" s="8"/>
      <c r="G419" s="10"/>
      <c r="H419" s="11"/>
      <c r="I419" s="8"/>
      <c r="J419" s="9"/>
      <c r="K419" s="8"/>
      <c r="L419" s="9"/>
      <c r="M419" s="8"/>
      <c r="N419" s="11"/>
      <c r="O419" s="8"/>
      <c r="P419" s="9"/>
      <c r="Q419" s="8"/>
      <c r="R419" s="9"/>
      <c r="S419" s="8"/>
      <c r="T419" s="8"/>
      <c r="U419" s="8"/>
      <c r="V419" s="11"/>
      <c r="W419" s="8"/>
      <c r="X419" s="8"/>
      <c r="Y419" s="9"/>
      <c r="Z419" s="8"/>
      <c r="AA419" s="8"/>
      <c r="AB419" s="8"/>
      <c r="AC419" s="11"/>
      <c r="AD419" s="8"/>
      <c r="AE419" s="9"/>
      <c r="AF419" s="8"/>
      <c r="AG419" s="9"/>
      <c r="AH419" s="8"/>
      <c r="AI419" s="8"/>
      <c r="AJ419" s="8"/>
      <c r="AK419" s="11"/>
      <c r="AL419" s="8"/>
      <c r="AM419" s="8"/>
      <c r="AN419" s="9"/>
      <c r="AO419" s="8"/>
      <c r="AP419" s="8"/>
      <c r="AQ419" s="8"/>
    </row>
    <row r="420" spans="1:43" x14ac:dyDescent="0.15">
      <c r="A420" s="8"/>
      <c r="B420" s="8"/>
      <c r="C420" s="8"/>
      <c r="D420" s="8"/>
      <c r="E420" s="9"/>
      <c r="F420" s="8"/>
      <c r="G420" s="10"/>
      <c r="H420" s="11"/>
      <c r="I420" s="8"/>
      <c r="J420" s="9"/>
      <c r="K420" s="8"/>
      <c r="L420" s="9"/>
      <c r="M420" s="8"/>
      <c r="N420" s="11"/>
      <c r="O420" s="8"/>
      <c r="P420" s="9"/>
      <c r="Q420" s="8"/>
      <c r="R420" s="9"/>
      <c r="S420" s="8"/>
      <c r="T420" s="8"/>
      <c r="U420" s="8"/>
      <c r="V420" s="11"/>
      <c r="W420" s="8"/>
      <c r="X420" s="8"/>
      <c r="Y420" s="9"/>
      <c r="Z420" s="8"/>
      <c r="AA420" s="8"/>
      <c r="AB420" s="8"/>
      <c r="AC420" s="11"/>
      <c r="AD420" s="8"/>
      <c r="AE420" s="9"/>
      <c r="AF420" s="8"/>
      <c r="AG420" s="9"/>
      <c r="AH420" s="8"/>
      <c r="AI420" s="8"/>
      <c r="AJ420" s="8"/>
      <c r="AK420" s="11"/>
      <c r="AL420" s="8"/>
      <c r="AM420" s="8"/>
      <c r="AN420" s="9"/>
      <c r="AO420" s="8"/>
      <c r="AP420" s="8"/>
      <c r="AQ420" s="8"/>
    </row>
    <row r="421" spans="1:43" x14ac:dyDescent="0.15">
      <c r="A421" s="8"/>
      <c r="B421" s="8"/>
      <c r="C421" s="8"/>
      <c r="D421" s="8"/>
      <c r="E421" s="9"/>
      <c r="F421" s="8"/>
      <c r="G421" s="10"/>
      <c r="H421" s="11"/>
      <c r="I421" s="8"/>
      <c r="J421" s="9"/>
      <c r="K421" s="8"/>
      <c r="L421" s="9"/>
      <c r="M421" s="8"/>
      <c r="N421" s="11"/>
      <c r="O421" s="8"/>
      <c r="P421" s="9"/>
      <c r="Q421" s="8"/>
      <c r="R421" s="9"/>
      <c r="S421" s="8"/>
      <c r="T421" s="8"/>
      <c r="U421" s="8"/>
      <c r="V421" s="11"/>
      <c r="W421" s="8"/>
      <c r="X421" s="8"/>
      <c r="Y421" s="9"/>
      <c r="Z421" s="8"/>
      <c r="AA421" s="8"/>
      <c r="AB421" s="8"/>
      <c r="AC421" s="11"/>
      <c r="AD421" s="8"/>
      <c r="AE421" s="9"/>
      <c r="AF421" s="8"/>
      <c r="AG421" s="9"/>
      <c r="AH421" s="8"/>
      <c r="AI421" s="8"/>
      <c r="AJ421" s="8"/>
      <c r="AK421" s="11"/>
      <c r="AL421" s="8"/>
      <c r="AM421" s="8"/>
      <c r="AN421" s="9"/>
      <c r="AO421" s="8"/>
      <c r="AP421" s="8"/>
      <c r="AQ421" s="8"/>
    </row>
    <row r="422" spans="1:43" x14ac:dyDescent="0.15">
      <c r="A422" s="8"/>
      <c r="B422" s="8"/>
      <c r="C422" s="8"/>
      <c r="D422" s="8"/>
      <c r="E422" s="9"/>
      <c r="F422" s="8"/>
      <c r="G422" s="10"/>
      <c r="H422" s="11"/>
      <c r="I422" s="8"/>
      <c r="J422" s="9"/>
      <c r="K422" s="8"/>
      <c r="L422" s="9"/>
      <c r="M422" s="8"/>
      <c r="N422" s="11"/>
      <c r="O422" s="8"/>
      <c r="P422" s="9"/>
      <c r="Q422" s="8"/>
      <c r="R422" s="9"/>
      <c r="S422" s="8"/>
      <c r="T422" s="8"/>
      <c r="U422" s="8"/>
      <c r="V422" s="11"/>
      <c r="W422" s="8"/>
      <c r="X422" s="8"/>
      <c r="Y422" s="9"/>
      <c r="Z422" s="8"/>
      <c r="AA422" s="8"/>
      <c r="AB422" s="8"/>
      <c r="AC422" s="11"/>
      <c r="AD422" s="8"/>
      <c r="AE422" s="9"/>
      <c r="AF422" s="8"/>
      <c r="AG422" s="9"/>
      <c r="AH422" s="8"/>
      <c r="AI422" s="8"/>
      <c r="AJ422" s="8"/>
      <c r="AK422" s="11"/>
      <c r="AL422" s="8"/>
      <c r="AM422" s="8"/>
      <c r="AN422" s="9"/>
      <c r="AO422" s="8"/>
      <c r="AP422" s="8"/>
      <c r="AQ422" s="8"/>
    </row>
    <row r="423" spans="1:43" x14ac:dyDescent="0.15">
      <c r="A423" s="8"/>
      <c r="B423" s="8"/>
      <c r="C423" s="8"/>
      <c r="D423" s="8"/>
      <c r="E423" s="9"/>
      <c r="F423" s="8"/>
      <c r="G423" s="10"/>
      <c r="H423" s="11"/>
      <c r="I423" s="8"/>
      <c r="J423" s="9"/>
      <c r="K423" s="8"/>
      <c r="L423" s="9"/>
      <c r="M423" s="8"/>
      <c r="N423" s="11"/>
      <c r="O423" s="8"/>
      <c r="P423" s="9"/>
      <c r="Q423" s="8"/>
      <c r="R423" s="9"/>
      <c r="S423" s="8"/>
      <c r="T423" s="8"/>
      <c r="U423" s="8"/>
      <c r="V423" s="11"/>
      <c r="W423" s="8"/>
      <c r="X423" s="8"/>
      <c r="Y423" s="9"/>
      <c r="Z423" s="8"/>
      <c r="AA423" s="8"/>
      <c r="AB423" s="8"/>
      <c r="AC423" s="11"/>
      <c r="AD423" s="8"/>
      <c r="AE423" s="9"/>
      <c r="AF423" s="8"/>
      <c r="AG423" s="9"/>
      <c r="AH423" s="8"/>
      <c r="AI423" s="8"/>
      <c r="AJ423" s="8"/>
      <c r="AK423" s="11"/>
      <c r="AL423" s="8"/>
      <c r="AM423" s="8"/>
      <c r="AN423" s="9"/>
      <c r="AO423" s="8"/>
      <c r="AP423" s="8"/>
      <c r="AQ423" s="8"/>
    </row>
    <row r="424" spans="1:43" x14ac:dyDescent="0.15">
      <c r="A424" s="8"/>
      <c r="B424" s="8"/>
      <c r="C424" s="8"/>
      <c r="D424" s="8"/>
      <c r="E424" s="9"/>
      <c r="F424" s="8"/>
      <c r="G424" s="10"/>
      <c r="H424" s="11"/>
      <c r="I424" s="8"/>
      <c r="J424" s="9"/>
      <c r="K424" s="8"/>
      <c r="L424" s="9"/>
      <c r="M424" s="8"/>
      <c r="N424" s="11"/>
      <c r="O424" s="8"/>
      <c r="P424" s="9"/>
      <c r="Q424" s="8"/>
      <c r="R424" s="9"/>
      <c r="S424" s="8"/>
      <c r="T424" s="8"/>
      <c r="U424" s="8"/>
      <c r="V424" s="11"/>
      <c r="W424" s="8"/>
      <c r="X424" s="8"/>
      <c r="Y424" s="9"/>
      <c r="Z424" s="8"/>
      <c r="AA424" s="8"/>
      <c r="AB424" s="8"/>
      <c r="AC424" s="11"/>
      <c r="AD424" s="8"/>
      <c r="AE424" s="9"/>
      <c r="AF424" s="8"/>
      <c r="AG424" s="9"/>
      <c r="AH424" s="8"/>
      <c r="AI424" s="8"/>
      <c r="AJ424" s="8"/>
      <c r="AK424" s="11"/>
      <c r="AL424" s="8"/>
      <c r="AM424" s="8"/>
      <c r="AN424" s="9"/>
      <c r="AO424" s="8"/>
      <c r="AP424" s="8"/>
      <c r="AQ424" s="8"/>
    </row>
    <row r="425" spans="1:43" x14ac:dyDescent="0.15">
      <c r="A425" s="8"/>
      <c r="B425" s="8"/>
      <c r="C425" s="8"/>
      <c r="D425" s="8"/>
      <c r="E425" s="9"/>
      <c r="F425" s="8"/>
      <c r="G425" s="10"/>
      <c r="H425" s="11"/>
      <c r="I425" s="8"/>
      <c r="J425" s="9"/>
      <c r="K425" s="8"/>
      <c r="L425" s="9"/>
      <c r="M425" s="8"/>
      <c r="N425" s="11"/>
      <c r="O425" s="8"/>
      <c r="P425" s="9"/>
      <c r="Q425" s="8"/>
      <c r="R425" s="9"/>
      <c r="S425" s="8"/>
      <c r="T425" s="8"/>
      <c r="U425" s="8"/>
      <c r="V425" s="11"/>
      <c r="W425" s="8"/>
      <c r="X425" s="8"/>
      <c r="Y425" s="9"/>
      <c r="Z425" s="8"/>
      <c r="AA425" s="8"/>
      <c r="AB425" s="8"/>
      <c r="AC425" s="11"/>
      <c r="AD425" s="8"/>
      <c r="AE425" s="9"/>
      <c r="AF425" s="8"/>
      <c r="AG425" s="9"/>
      <c r="AH425" s="8"/>
      <c r="AI425" s="8"/>
      <c r="AJ425" s="8"/>
      <c r="AK425" s="11"/>
      <c r="AL425" s="8"/>
      <c r="AM425" s="8"/>
      <c r="AN425" s="9"/>
      <c r="AO425" s="8"/>
      <c r="AP425" s="8"/>
      <c r="AQ425" s="8"/>
    </row>
    <row r="426" spans="1:43" x14ac:dyDescent="0.15">
      <c r="A426" s="8"/>
      <c r="B426" s="8"/>
      <c r="C426" s="8"/>
      <c r="D426" s="8"/>
      <c r="E426" s="9"/>
      <c r="F426" s="8"/>
      <c r="G426" s="10"/>
      <c r="H426" s="11"/>
      <c r="I426" s="8"/>
      <c r="J426" s="9"/>
      <c r="K426" s="8"/>
      <c r="L426" s="9"/>
      <c r="M426" s="8"/>
      <c r="N426" s="11"/>
      <c r="O426" s="8"/>
      <c r="P426" s="9"/>
      <c r="Q426" s="8"/>
      <c r="R426" s="9"/>
      <c r="S426" s="8"/>
      <c r="T426" s="8"/>
      <c r="U426" s="8"/>
      <c r="V426" s="11"/>
      <c r="W426" s="8"/>
      <c r="X426" s="8"/>
      <c r="Y426" s="9"/>
      <c r="Z426" s="8"/>
      <c r="AA426" s="8"/>
      <c r="AB426" s="8"/>
      <c r="AC426" s="11"/>
      <c r="AD426" s="8"/>
      <c r="AE426" s="9"/>
      <c r="AF426" s="8"/>
      <c r="AG426" s="9"/>
      <c r="AH426" s="8"/>
      <c r="AI426" s="8"/>
      <c r="AJ426" s="8"/>
      <c r="AK426" s="11"/>
      <c r="AL426" s="8"/>
      <c r="AM426" s="8"/>
      <c r="AN426" s="9"/>
      <c r="AO426" s="8"/>
      <c r="AP426" s="8"/>
      <c r="AQ426" s="8"/>
    </row>
    <row r="427" spans="1:43" x14ac:dyDescent="0.15">
      <c r="A427" s="8"/>
      <c r="B427" s="8"/>
      <c r="C427" s="8"/>
      <c r="D427" s="8"/>
      <c r="E427" s="9"/>
      <c r="F427" s="8"/>
      <c r="G427" s="10"/>
      <c r="H427" s="11"/>
      <c r="I427" s="8"/>
      <c r="J427" s="9"/>
      <c r="K427" s="8"/>
      <c r="L427" s="9"/>
      <c r="M427" s="8"/>
      <c r="N427" s="11"/>
      <c r="O427" s="8"/>
      <c r="P427" s="9"/>
      <c r="Q427" s="8"/>
      <c r="R427" s="9"/>
      <c r="S427" s="8"/>
      <c r="T427" s="8"/>
      <c r="U427" s="8"/>
      <c r="V427" s="11"/>
      <c r="W427" s="8"/>
      <c r="X427" s="8"/>
      <c r="Y427" s="9"/>
      <c r="Z427" s="8"/>
      <c r="AA427" s="8"/>
      <c r="AB427" s="8"/>
      <c r="AC427" s="11"/>
      <c r="AD427" s="8"/>
      <c r="AE427" s="9"/>
      <c r="AF427" s="8"/>
      <c r="AG427" s="9"/>
      <c r="AH427" s="8"/>
      <c r="AI427" s="8"/>
      <c r="AJ427" s="8"/>
      <c r="AK427" s="11"/>
      <c r="AL427" s="8"/>
      <c r="AM427" s="8"/>
      <c r="AN427" s="9"/>
      <c r="AO427" s="8"/>
      <c r="AP427" s="8"/>
      <c r="AQ427" s="8"/>
    </row>
    <row r="428" spans="1:43" x14ac:dyDescent="0.15">
      <c r="A428" s="8"/>
      <c r="B428" s="8"/>
      <c r="C428" s="8"/>
      <c r="D428" s="8"/>
      <c r="E428" s="9"/>
      <c r="F428" s="8"/>
      <c r="G428" s="10"/>
      <c r="H428" s="11"/>
      <c r="I428" s="8"/>
      <c r="J428" s="9"/>
      <c r="K428" s="8"/>
      <c r="L428" s="9"/>
      <c r="M428" s="8"/>
      <c r="N428" s="11"/>
      <c r="O428" s="8"/>
      <c r="P428" s="9"/>
      <c r="Q428" s="8"/>
      <c r="R428" s="9"/>
      <c r="S428" s="8"/>
      <c r="T428" s="8"/>
      <c r="U428" s="8"/>
      <c r="V428" s="11"/>
      <c r="W428" s="8"/>
      <c r="X428" s="8"/>
      <c r="Y428" s="9"/>
      <c r="Z428" s="8"/>
      <c r="AA428" s="8"/>
      <c r="AB428" s="8"/>
      <c r="AC428" s="11"/>
      <c r="AD428" s="8"/>
      <c r="AE428" s="9"/>
      <c r="AF428" s="8"/>
      <c r="AG428" s="9"/>
      <c r="AH428" s="8"/>
      <c r="AI428" s="8"/>
      <c r="AJ428" s="8"/>
      <c r="AK428" s="11"/>
      <c r="AL428" s="8"/>
      <c r="AM428" s="8"/>
      <c r="AN428" s="9"/>
      <c r="AO428" s="8"/>
      <c r="AP428" s="8"/>
      <c r="AQ428" s="8"/>
    </row>
    <row r="429" spans="1:43" x14ac:dyDescent="0.15">
      <c r="A429" s="8"/>
      <c r="B429" s="8"/>
      <c r="C429" s="8"/>
      <c r="D429" s="8"/>
      <c r="E429" s="9"/>
      <c r="F429" s="8"/>
      <c r="G429" s="10"/>
      <c r="H429" s="11"/>
      <c r="I429" s="8"/>
      <c r="J429" s="9"/>
      <c r="K429" s="8"/>
      <c r="L429" s="9"/>
      <c r="M429" s="8"/>
      <c r="N429" s="11"/>
      <c r="O429" s="8"/>
      <c r="P429" s="9"/>
      <c r="Q429" s="8"/>
      <c r="R429" s="9"/>
      <c r="S429" s="8"/>
      <c r="T429" s="8"/>
      <c r="U429" s="8"/>
      <c r="V429" s="11"/>
      <c r="W429" s="8"/>
      <c r="X429" s="8"/>
      <c r="Y429" s="9"/>
      <c r="Z429" s="8"/>
      <c r="AA429" s="8"/>
      <c r="AB429" s="8"/>
      <c r="AC429" s="11"/>
      <c r="AD429" s="8"/>
      <c r="AE429" s="9"/>
      <c r="AF429" s="8"/>
      <c r="AG429" s="9"/>
      <c r="AH429" s="8"/>
      <c r="AI429" s="8"/>
      <c r="AJ429" s="8"/>
      <c r="AK429" s="11"/>
      <c r="AL429" s="8"/>
      <c r="AM429" s="8"/>
      <c r="AN429" s="9"/>
      <c r="AO429" s="8"/>
      <c r="AP429" s="8"/>
      <c r="AQ429" s="8"/>
    </row>
    <row r="430" spans="1:43" x14ac:dyDescent="0.15">
      <c r="A430" s="8"/>
      <c r="B430" s="8"/>
      <c r="C430" s="8"/>
      <c r="D430" s="8"/>
      <c r="E430" s="9"/>
      <c r="F430" s="8"/>
      <c r="G430" s="10"/>
      <c r="H430" s="11"/>
      <c r="I430" s="8"/>
      <c r="J430" s="9"/>
      <c r="K430" s="8"/>
      <c r="L430" s="9"/>
      <c r="M430" s="8"/>
      <c r="N430" s="11"/>
      <c r="O430" s="8"/>
      <c r="P430" s="9"/>
      <c r="Q430" s="8"/>
      <c r="R430" s="9"/>
      <c r="S430" s="8"/>
      <c r="T430" s="8"/>
      <c r="U430" s="8"/>
      <c r="V430" s="11"/>
      <c r="W430" s="8"/>
      <c r="X430" s="8"/>
      <c r="Y430" s="9"/>
      <c r="Z430" s="8"/>
      <c r="AA430" s="8"/>
      <c r="AB430" s="8"/>
      <c r="AC430" s="11"/>
      <c r="AD430" s="8"/>
      <c r="AE430" s="9"/>
      <c r="AF430" s="8"/>
      <c r="AG430" s="9"/>
      <c r="AH430" s="8"/>
      <c r="AI430" s="8"/>
      <c r="AJ430" s="8"/>
      <c r="AK430" s="11"/>
      <c r="AL430" s="8"/>
      <c r="AM430" s="8"/>
      <c r="AN430" s="9"/>
      <c r="AO430" s="8"/>
      <c r="AP430" s="8"/>
      <c r="AQ430" s="8"/>
    </row>
    <row r="431" spans="1:43" x14ac:dyDescent="0.15">
      <c r="A431" s="8"/>
      <c r="B431" s="8"/>
      <c r="C431" s="8"/>
      <c r="D431" s="8"/>
      <c r="E431" s="9"/>
      <c r="F431" s="8"/>
      <c r="G431" s="10"/>
      <c r="H431" s="11"/>
      <c r="I431" s="8"/>
      <c r="J431" s="9"/>
      <c r="K431" s="8"/>
      <c r="L431" s="9"/>
      <c r="M431" s="8"/>
      <c r="N431" s="11"/>
      <c r="O431" s="8"/>
      <c r="P431" s="9"/>
      <c r="Q431" s="8"/>
      <c r="R431" s="9"/>
      <c r="S431" s="8"/>
      <c r="T431" s="8"/>
      <c r="U431" s="8"/>
      <c r="V431" s="11"/>
      <c r="W431" s="8"/>
      <c r="X431" s="8"/>
      <c r="Y431" s="9"/>
      <c r="Z431" s="8"/>
      <c r="AA431" s="8"/>
      <c r="AB431" s="8"/>
      <c r="AC431" s="11"/>
      <c r="AD431" s="8"/>
      <c r="AE431" s="9"/>
      <c r="AF431" s="8"/>
      <c r="AG431" s="9"/>
      <c r="AH431" s="8"/>
      <c r="AI431" s="8"/>
      <c r="AJ431" s="8"/>
      <c r="AK431" s="11"/>
      <c r="AL431" s="8"/>
      <c r="AM431" s="8"/>
      <c r="AN431" s="9"/>
      <c r="AO431" s="8"/>
      <c r="AP431" s="8"/>
      <c r="AQ431" s="8"/>
    </row>
    <row r="432" spans="1:43" x14ac:dyDescent="0.15">
      <c r="A432" s="8"/>
      <c r="B432" s="8"/>
      <c r="C432" s="8"/>
      <c r="D432" s="8"/>
      <c r="E432" s="9"/>
      <c r="F432" s="8"/>
      <c r="G432" s="10"/>
      <c r="H432" s="11"/>
      <c r="I432" s="8"/>
      <c r="J432" s="9"/>
      <c r="K432" s="8"/>
      <c r="L432" s="9"/>
      <c r="M432" s="8"/>
      <c r="N432" s="11"/>
      <c r="O432" s="8"/>
      <c r="P432" s="9"/>
      <c r="Q432" s="8"/>
      <c r="R432" s="9"/>
      <c r="S432" s="8"/>
      <c r="T432" s="8"/>
      <c r="U432" s="8"/>
      <c r="V432" s="11"/>
      <c r="W432" s="8"/>
      <c r="X432" s="8"/>
      <c r="Y432" s="9"/>
      <c r="Z432" s="8"/>
      <c r="AA432" s="8"/>
      <c r="AB432" s="8"/>
      <c r="AC432" s="11"/>
      <c r="AD432" s="8"/>
      <c r="AE432" s="9"/>
      <c r="AF432" s="8"/>
      <c r="AG432" s="9"/>
      <c r="AH432" s="8"/>
      <c r="AI432" s="8"/>
      <c r="AJ432" s="8"/>
      <c r="AK432" s="11"/>
      <c r="AL432" s="8"/>
      <c r="AM432" s="8"/>
      <c r="AN432" s="9"/>
      <c r="AO432" s="8"/>
      <c r="AP432" s="8"/>
      <c r="AQ432" s="8"/>
    </row>
    <row r="433" spans="1:43" x14ac:dyDescent="0.15">
      <c r="A433" s="8"/>
      <c r="B433" s="8"/>
      <c r="C433" s="8"/>
      <c r="D433" s="8"/>
      <c r="E433" s="9"/>
      <c r="F433" s="8"/>
      <c r="G433" s="10"/>
      <c r="H433" s="11"/>
      <c r="I433" s="8"/>
      <c r="J433" s="9"/>
      <c r="K433" s="8"/>
      <c r="L433" s="9"/>
      <c r="M433" s="8"/>
      <c r="N433" s="11"/>
      <c r="O433" s="8"/>
      <c r="P433" s="9"/>
      <c r="Q433" s="8"/>
      <c r="R433" s="9"/>
      <c r="S433" s="8"/>
      <c r="T433" s="8"/>
      <c r="U433" s="8"/>
      <c r="V433" s="11"/>
      <c r="W433" s="8"/>
      <c r="X433" s="8"/>
      <c r="Y433" s="9"/>
      <c r="Z433" s="8"/>
      <c r="AA433" s="8"/>
      <c r="AB433" s="8"/>
      <c r="AC433" s="11"/>
      <c r="AD433" s="8"/>
      <c r="AE433" s="9"/>
      <c r="AF433" s="8"/>
      <c r="AG433" s="9"/>
      <c r="AH433" s="8"/>
      <c r="AI433" s="8"/>
      <c r="AJ433" s="8"/>
      <c r="AK433" s="11"/>
      <c r="AL433" s="8"/>
      <c r="AM433" s="8"/>
      <c r="AN433" s="9"/>
      <c r="AO433" s="8"/>
      <c r="AP433" s="8"/>
      <c r="AQ433" s="8"/>
    </row>
    <row r="434" spans="1:43" x14ac:dyDescent="0.15">
      <c r="A434" s="8"/>
      <c r="B434" s="8"/>
      <c r="C434" s="8"/>
      <c r="D434" s="8"/>
      <c r="E434" s="9"/>
      <c r="F434" s="8"/>
      <c r="G434" s="10"/>
      <c r="H434" s="11"/>
      <c r="I434" s="8"/>
      <c r="J434" s="9"/>
      <c r="K434" s="8"/>
      <c r="L434" s="9"/>
      <c r="M434" s="8"/>
      <c r="N434" s="11"/>
      <c r="O434" s="8"/>
      <c r="P434" s="9"/>
      <c r="Q434" s="8"/>
      <c r="R434" s="9"/>
      <c r="S434" s="8"/>
      <c r="T434" s="8"/>
      <c r="U434" s="8"/>
      <c r="V434" s="11"/>
      <c r="W434" s="8"/>
      <c r="X434" s="8"/>
      <c r="Y434" s="9"/>
      <c r="Z434" s="8"/>
      <c r="AA434" s="8"/>
      <c r="AB434" s="8"/>
      <c r="AC434" s="11"/>
      <c r="AD434" s="8"/>
      <c r="AE434" s="9"/>
      <c r="AF434" s="8"/>
      <c r="AG434" s="9"/>
      <c r="AH434" s="8"/>
      <c r="AI434" s="8"/>
      <c r="AJ434" s="8"/>
      <c r="AK434" s="11"/>
      <c r="AL434" s="8"/>
      <c r="AM434" s="8"/>
      <c r="AN434" s="9"/>
      <c r="AO434" s="8"/>
      <c r="AP434" s="8"/>
      <c r="AQ434" s="8"/>
    </row>
    <row r="435" spans="1:43" x14ac:dyDescent="0.15">
      <c r="A435" s="8"/>
      <c r="B435" s="8"/>
      <c r="C435" s="8"/>
      <c r="D435" s="8"/>
      <c r="E435" s="9"/>
      <c r="F435" s="8"/>
      <c r="G435" s="10"/>
      <c r="H435" s="11"/>
      <c r="I435" s="8"/>
      <c r="J435" s="9"/>
      <c r="K435" s="8"/>
      <c r="L435" s="9"/>
      <c r="M435" s="8"/>
      <c r="N435" s="11"/>
      <c r="O435" s="8"/>
      <c r="P435" s="9"/>
      <c r="Q435" s="8"/>
      <c r="R435" s="9"/>
      <c r="S435" s="8"/>
      <c r="T435" s="8"/>
      <c r="U435" s="8"/>
      <c r="V435" s="11"/>
      <c r="W435" s="8"/>
      <c r="X435" s="8"/>
      <c r="Y435" s="9"/>
      <c r="Z435" s="8"/>
      <c r="AA435" s="8"/>
      <c r="AB435" s="8"/>
      <c r="AC435" s="11"/>
      <c r="AD435" s="8"/>
      <c r="AE435" s="9"/>
      <c r="AF435" s="8"/>
      <c r="AG435" s="9"/>
      <c r="AH435" s="8"/>
      <c r="AI435" s="8"/>
      <c r="AJ435" s="8"/>
      <c r="AK435" s="11"/>
      <c r="AL435" s="8"/>
      <c r="AM435" s="8"/>
      <c r="AN435" s="9"/>
      <c r="AO435" s="8"/>
      <c r="AP435" s="8"/>
      <c r="AQ435" s="8"/>
    </row>
    <row r="436" spans="1:43" x14ac:dyDescent="0.15">
      <c r="A436" s="8"/>
      <c r="B436" s="8"/>
      <c r="C436" s="8"/>
      <c r="D436" s="8"/>
      <c r="E436" s="9"/>
      <c r="F436" s="8"/>
      <c r="G436" s="10"/>
      <c r="H436" s="11"/>
      <c r="I436" s="8"/>
      <c r="J436" s="9"/>
      <c r="K436" s="8"/>
      <c r="L436" s="9"/>
      <c r="M436" s="8"/>
      <c r="N436" s="11"/>
      <c r="O436" s="8"/>
      <c r="P436" s="9"/>
      <c r="Q436" s="8"/>
      <c r="R436" s="9"/>
      <c r="S436" s="8"/>
      <c r="T436" s="8"/>
      <c r="U436" s="8"/>
      <c r="V436" s="11"/>
      <c r="W436" s="8"/>
      <c r="X436" s="8"/>
      <c r="Y436" s="9"/>
      <c r="Z436" s="8"/>
      <c r="AA436" s="8"/>
      <c r="AB436" s="8"/>
      <c r="AC436" s="11"/>
      <c r="AD436" s="8"/>
      <c r="AE436" s="9"/>
      <c r="AF436" s="8"/>
      <c r="AG436" s="9"/>
      <c r="AH436" s="8"/>
      <c r="AI436" s="8"/>
      <c r="AJ436" s="8"/>
      <c r="AK436" s="11"/>
      <c r="AL436" s="8"/>
      <c r="AM436" s="8"/>
      <c r="AN436" s="9"/>
      <c r="AO436" s="8"/>
      <c r="AP436" s="8"/>
      <c r="AQ436" s="8"/>
    </row>
    <row r="437" spans="1:43" x14ac:dyDescent="0.15">
      <c r="A437" s="8"/>
      <c r="B437" s="8"/>
      <c r="C437" s="8"/>
      <c r="D437" s="8"/>
      <c r="E437" s="9"/>
      <c r="F437" s="8"/>
      <c r="G437" s="10"/>
      <c r="H437" s="11"/>
      <c r="I437" s="8"/>
      <c r="J437" s="9"/>
      <c r="K437" s="8"/>
      <c r="L437" s="9"/>
      <c r="M437" s="8"/>
      <c r="N437" s="11"/>
      <c r="O437" s="8"/>
      <c r="P437" s="9"/>
      <c r="Q437" s="8"/>
      <c r="R437" s="9"/>
      <c r="S437" s="8"/>
      <c r="T437" s="8"/>
      <c r="U437" s="8"/>
      <c r="V437" s="11"/>
      <c r="W437" s="8"/>
      <c r="X437" s="8"/>
      <c r="Y437" s="9"/>
      <c r="Z437" s="8"/>
      <c r="AA437" s="8"/>
      <c r="AB437" s="8"/>
      <c r="AC437" s="11"/>
      <c r="AD437" s="8"/>
      <c r="AE437" s="9"/>
      <c r="AF437" s="8"/>
      <c r="AG437" s="9"/>
      <c r="AH437" s="8"/>
      <c r="AI437" s="8"/>
      <c r="AJ437" s="8"/>
      <c r="AK437" s="11"/>
      <c r="AL437" s="8"/>
      <c r="AM437" s="8"/>
      <c r="AN437" s="9"/>
      <c r="AO437" s="8"/>
      <c r="AP437" s="8"/>
      <c r="AQ437" s="8"/>
    </row>
    <row r="438" spans="1:43" x14ac:dyDescent="0.15">
      <c r="A438" s="8"/>
      <c r="B438" s="8"/>
      <c r="C438" s="8"/>
      <c r="D438" s="8"/>
      <c r="E438" s="9"/>
      <c r="F438" s="8"/>
      <c r="G438" s="10"/>
      <c r="H438" s="11"/>
      <c r="I438" s="8"/>
      <c r="J438" s="9"/>
      <c r="K438" s="8"/>
      <c r="L438" s="9"/>
      <c r="M438" s="8"/>
      <c r="N438" s="11"/>
      <c r="O438" s="8"/>
      <c r="P438" s="9"/>
      <c r="Q438" s="8"/>
      <c r="R438" s="9"/>
      <c r="S438" s="8"/>
      <c r="T438" s="8"/>
      <c r="U438" s="8"/>
      <c r="V438" s="11"/>
      <c r="W438" s="8"/>
      <c r="X438" s="8"/>
      <c r="Y438" s="9"/>
      <c r="Z438" s="8"/>
      <c r="AA438" s="8"/>
      <c r="AB438" s="8"/>
      <c r="AC438" s="11"/>
      <c r="AD438" s="8"/>
      <c r="AE438" s="9"/>
      <c r="AF438" s="8"/>
      <c r="AG438" s="9"/>
      <c r="AH438" s="8"/>
      <c r="AI438" s="8"/>
      <c r="AJ438" s="8"/>
      <c r="AK438" s="11"/>
      <c r="AL438" s="8"/>
      <c r="AM438" s="8"/>
      <c r="AN438" s="9"/>
      <c r="AO438" s="8"/>
      <c r="AP438" s="8"/>
      <c r="AQ438" s="8"/>
    </row>
    <row r="439" spans="1:43" x14ac:dyDescent="0.15">
      <c r="A439" s="8"/>
      <c r="B439" s="8"/>
      <c r="C439" s="8"/>
      <c r="D439" s="8"/>
      <c r="E439" s="9"/>
      <c r="F439" s="8"/>
      <c r="G439" s="10"/>
      <c r="H439" s="11"/>
      <c r="I439" s="8"/>
      <c r="J439" s="9"/>
      <c r="K439" s="8"/>
      <c r="L439" s="9"/>
      <c r="M439" s="8"/>
      <c r="N439" s="11"/>
      <c r="O439" s="8"/>
      <c r="P439" s="9"/>
      <c r="Q439" s="8"/>
      <c r="R439" s="9"/>
      <c r="S439" s="8"/>
      <c r="T439" s="8"/>
      <c r="U439" s="8"/>
      <c r="V439" s="11"/>
      <c r="W439" s="8"/>
      <c r="X439" s="8"/>
      <c r="Y439" s="9"/>
      <c r="Z439" s="8"/>
      <c r="AA439" s="8"/>
      <c r="AB439" s="8"/>
      <c r="AC439" s="11"/>
      <c r="AD439" s="8"/>
      <c r="AE439" s="9"/>
      <c r="AF439" s="8"/>
      <c r="AG439" s="9"/>
      <c r="AH439" s="8"/>
      <c r="AI439" s="8"/>
      <c r="AJ439" s="8"/>
      <c r="AK439" s="11"/>
      <c r="AL439" s="8"/>
      <c r="AM439" s="8"/>
      <c r="AN439" s="9"/>
      <c r="AO439" s="8"/>
      <c r="AP439" s="8"/>
      <c r="AQ439" s="8"/>
    </row>
    <row r="440" spans="1:43" x14ac:dyDescent="0.15">
      <c r="A440" s="8"/>
      <c r="B440" s="8"/>
      <c r="C440" s="8"/>
      <c r="D440" s="8"/>
      <c r="E440" s="9"/>
      <c r="F440" s="8"/>
      <c r="G440" s="10"/>
      <c r="H440" s="11"/>
      <c r="I440" s="8"/>
      <c r="J440" s="9"/>
      <c r="K440" s="8"/>
      <c r="L440" s="9"/>
      <c r="M440" s="8"/>
      <c r="N440" s="11"/>
      <c r="O440" s="8"/>
      <c r="P440" s="9"/>
      <c r="Q440" s="8"/>
      <c r="R440" s="9"/>
      <c r="S440" s="8"/>
      <c r="T440" s="8"/>
      <c r="U440" s="8"/>
      <c r="V440" s="11"/>
      <c r="W440" s="8"/>
      <c r="X440" s="8"/>
      <c r="Y440" s="9"/>
      <c r="Z440" s="8"/>
      <c r="AA440" s="8"/>
      <c r="AB440" s="8"/>
      <c r="AC440" s="11"/>
      <c r="AD440" s="8"/>
      <c r="AE440" s="9"/>
      <c r="AF440" s="8"/>
      <c r="AG440" s="9"/>
      <c r="AH440" s="8"/>
      <c r="AI440" s="8"/>
      <c r="AJ440" s="8"/>
      <c r="AK440" s="11"/>
      <c r="AL440" s="8"/>
      <c r="AM440" s="8"/>
      <c r="AN440" s="9"/>
      <c r="AO440" s="8"/>
      <c r="AP440" s="8"/>
      <c r="AQ440" s="8"/>
    </row>
    <row r="441" spans="1:43" x14ac:dyDescent="0.15">
      <c r="A441" s="8"/>
      <c r="B441" s="8"/>
      <c r="C441" s="8"/>
      <c r="D441" s="8"/>
      <c r="E441" s="9"/>
      <c r="F441" s="8"/>
      <c r="G441" s="10"/>
      <c r="H441" s="11"/>
      <c r="I441" s="8"/>
      <c r="J441" s="9"/>
      <c r="K441" s="8"/>
      <c r="L441" s="9"/>
      <c r="M441" s="8"/>
      <c r="N441" s="11"/>
      <c r="O441" s="8"/>
      <c r="P441" s="9"/>
      <c r="Q441" s="8"/>
      <c r="R441" s="9"/>
      <c r="S441" s="8"/>
      <c r="T441" s="8"/>
      <c r="U441" s="8"/>
      <c r="V441" s="11"/>
      <c r="W441" s="8"/>
      <c r="X441" s="8"/>
      <c r="Y441" s="9"/>
      <c r="Z441" s="8"/>
      <c r="AA441" s="8"/>
      <c r="AB441" s="8"/>
      <c r="AC441" s="11"/>
      <c r="AD441" s="8"/>
      <c r="AE441" s="9"/>
      <c r="AF441" s="8"/>
      <c r="AG441" s="9"/>
      <c r="AH441" s="8"/>
      <c r="AI441" s="8"/>
      <c r="AJ441" s="8"/>
      <c r="AK441" s="11"/>
      <c r="AL441" s="8"/>
      <c r="AM441" s="8"/>
      <c r="AN441" s="9"/>
      <c r="AO441" s="8"/>
      <c r="AP441" s="8"/>
      <c r="AQ441" s="8"/>
    </row>
    <row r="442" spans="1:43" x14ac:dyDescent="0.15">
      <c r="A442" s="8"/>
      <c r="B442" s="8"/>
      <c r="C442" s="8"/>
      <c r="D442" s="8"/>
      <c r="E442" s="9"/>
      <c r="F442" s="8"/>
      <c r="G442" s="10"/>
      <c r="H442" s="11"/>
      <c r="I442" s="8"/>
      <c r="J442" s="9"/>
      <c r="K442" s="8"/>
      <c r="L442" s="9"/>
      <c r="M442" s="8"/>
      <c r="N442" s="11"/>
      <c r="O442" s="8"/>
      <c r="P442" s="9"/>
      <c r="Q442" s="8"/>
      <c r="R442" s="9"/>
      <c r="S442" s="8"/>
      <c r="T442" s="8"/>
      <c r="U442" s="8"/>
      <c r="V442" s="11"/>
      <c r="W442" s="8"/>
      <c r="X442" s="8"/>
      <c r="Y442" s="9"/>
      <c r="Z442" s="8"/>
      <c r="AA442" s="8"/>
      <c r="AB442" s="8"/>
      <c r="AC442" s="11"/>
      <c r="AD442" s="8"/>
      <c r="AE442" s="9"/>
      <c r="AF442" s="8"/>
      <c r="AG442" s="9"/>
      <c r="AH442" s="8"/>
      <c r="AI442" s="8"/>
      <c r="AJ442" s="8"/>
      <c r="AK442" s="11"/>
      <c r="AL442" s="8"/>
      <c r="AM442" s="8"/>
      <c r="AN442" s="9"/>
      <c r="AO442" s="8"/>
      <c r="AP442" s="8"/>
      <c r="AQ442" s="8"/>
    </row>
    <row r="443" spans="1:43" x14ac:dyDescent="0.15">
      <c r="A443" s="8"/>
      <c r="B443" s="8"/>
      <c r="C443" s="8"/>
      <c r="D443" s="8"/>
      <c r="E443" s="9"/>
      <c r="F443" s="8"/>
      <c r="G443" s="10"/>
      <c r="H443" s="11"/>
      <c r="I443" s="8"/>
      <c r="J443" s="9"/>
      <c r="K443" s="8"/>
      <c r="L443" s="9"/>
      <c r="M443" s="8"/>
      <c r="N443" s="11"/>
      <c r="O443" s="8"/>
      <c r="P443" s="9"/>
      <c r="Q443" s="8"/>
      <c r="R443" s="9"/>
      <c r="S443" s="8"/>
      <c r="T443" s="8"/>
      <c r="U443" s="8"/>
      <c r="V443" s="11"/>
      <c r="W443" s="8"/>
      <c r="X443" s="8"/>
      <c r="Y443" s="9"/>
      <c r="Z443" s="8"/>
      <c r="AA443" s="8"/>
      <c r="AB443" s="8"/>
      <c r="AC443" s="11"/>
      <c r="AD443" s="8"/>
      <c r="AE443" s="9"/>
      <c r="AF443" s="8"/>
      <c r="AG443" s="9"/>
      <c r="AH443" s="8"/>
      <c r="AI443" s="8"/>
      <c r="AJ443" s="8"/>
      <c r="AK443" s="11"/>
      <c r="AL443" s="8"/>
      <c r="AM443" s="8"/>
      <c r="AN443" s="9"/>
      <c r="AO443" s="8"/>
      <c r="AP443" s="8"/>
      <c r="AQ443" s="8"/>
    </row>
    <row r="444" spans="1:43" x14ac:dyDescent="0.15">
      <c r="A444" s="8"/>
      <c r="B444" s="8"/>
      <c r="C444" s="8"/>
      <c r="D444" s="8"/>
      <c r="E444" s="9"/>
      <c r="F444" s="8"/>
      <c r="G444" s="10"/>
      <c r="H444" s="11"/>
      <c r="I444" s="8"/>
      <c r="J444" s="9"/>
      <c r="K444" s="8"/>
      <c r="L444" s="9"/>
      <c r="M444" s="8"/>
      <c r="N444" s="11"/>
      <c r="O444" s="8"/>
      <c r="P444" s="9"/>
      <c r="Q444" s="8"/>
      <c r="R444" s="9"/>
      <c r="S444" s="8"/>
      <c r="T444" s="8"/>
      <c r="U444" s="8"/>
      <c r="V444" s="11"/>
      <c r="W444" s="8"/>
      <c r="X444" s="8"/>
      <c r="Y444" s="9"/>
      <c r="Z444" s="8"/>
      <c r="AA444" s="8"/>
      <c r="AB444" s="8"/>
      <c r="AC444" s="11"/>
      <c r="AD444" s="8"/>
      <c r="AE444" s="9"/>
      <c r="AF444" s="8"/>
      <c r="AG444" s="9"/>
      <c r="AH444" s="8"/>
      <c r="AI444" s="8"/>
      <c r="AJ444" s="8"/>
      <c r="AK444" s="11"/>
      <c r="AL444" s="8"/>
      <c r="AM444" s="8"/>
      <c r="AN444" s="9"/>
      <c r="AO444" s="8"/>
      <c r="AP444" s="8"/>
      <c r="AQ444" s="8"/>
    </row>
    <row r="445" spans="1:43" x14ac:dyDescent="0.15">
      <c r="A445" s="8"/>
      <c r="B445" s="8"/>
      <c r="C445" s="8"/>
      <c r="D445" s="8"/>
      <c r="E445" s="9"/>
      <c r="F445" s="8"/>
      <c r="G445" s="10"/>
      <c r="H445" s="11"/>
      <c r="I445" s="8"/>
      <c r="J445" s="9"/>
      <c r="K445" s="8"/>
      <c r="L445" s="9"/>
      <c r="M445" s="8"/>
      <c r="N445" s="11"/>
      <c r="O445" s="8"/>
      <c r="P445" s="9"/>
      <c r="Q445" s="8"/>
      <c r="R445" s="9"/>
      <c r="S445" s="8"/>
      <c r="T445" s="8"/>
      <c r="U445" s="8"/>
      <c r="V445" s="11"/>
      <c r="W445" s="8"/>
      <c r="X445" s="8"/>
      <c r="Y445" s="9"/>
      <c r="Z445" s="8"/>
      <c r="AA445" s="8"/>
      <c r="AB445" s="8"/>
      <c r="AC445" s="11"/>
      <c r="AD445" s="8"/>
      <c r="AE445" s="9"/>
      <c r="AF445" s="8"/>
      <c r="AG445" s="9"/>
      <c r="AH445" s="8"/>
      <c r="AI445" s="8"/>
      <c r="AJ445" s="8"/>
      <c r="AK445" s="11"/>
      <c r="AL445" s="8"/>
      <c r="AM445" s="8"/>
      <c r="AN445" s="9"/>
      <c r="AO445" s="8"/>
      <c r="AP445" s="8"/>
      <c r="AQ445" s="8"/>
    </row>
    <row r="446" spans="1:43" x14ac:dyDescent="0.15">
      <c r="A446" s="8"/>
      <c r="B446" s="8"/>
      <c r="C446" s="8"/>
      <c r="D446" s="8"/>
      <c r="E446" s="9"/>
      <c r="F446" s="8"/>
      <c r="G446" s="10"/>
      <c r="H446" s="11"/>
      <c r="I446" s="8"/>
      <c r="J446" s="9"/>
      <c r="K446" s="8"/>
      <c r="L446" s="9"/>
      <c r="M446" s="8"/>
      <c r="N446" s="11"/>
      <c r="O446" s="8"/>
      <c r="P446" s="9"/>
      <c r="Q446" s="8"/>
      <c r="R446" s="9"/>
      <c r="S446" s="8"/>
      <c r="T446" s="8"/>
      <c r="U446" s="8"/>
      <c r="V446" s="11"/>
      <c r="W446" s="8"/>
      <c r="X446" s="8"/>
      <c r="Y446" s="9"/>
      <c r="Z446" s="8"/>
      <c r="AA446" s="8"/>
      <c r="AB446" s="8"/>
      <c r="AC446" s="11"/>
      <c r="AD446" s="8"/>
      <c r="AE446" s="9"/>
      <c r="AF446" s="8"/>
      <c r="AG446" s="9"/>
      <c r="AH446" s="8"/>
      <c r="AI446" s="8"/>
      <c r="AJ446" s="8"/>
      <c r="AK446" s="11"/>
      <c r="AL446" s="8"/>
      <c r="AM446" s="8"/>
      <c r="AN446" s="9"/>
      <c r="AO446" s="8"/>
      <c r="AP446" s="8"/>
      <c r="AQ446" s="8"/>
    </row>
    <row r="447" spans="1:43" x14ac:dyDescent="0.15">
      <c r="A447" s="8"/>
      <c r="B447" s="8"/>
      <c r="C447" s="8"/>
      <c r="D447" s="8"/>
      <c r="E447" s="9"/>
      <c r="F447" s="8"/>
      <c r="G447" s="10"/>
      <c r="H447" s="11"/>
      <c r="I447" s="8"/>
      <c r="J447" s="9"/>
      <c r="K447" s="8"/>
      <c r="L447" s="9"/>
      <c r="M447" s="8"/>
      <c r="N447" s="11"/>
      <c r="O447" s="8"/>
      <c r="P447" s="9"/>
      <c r="Q447" s="8"/>
      <c r="R447" s="9"/>
      <c r="S447" s="8"/>
      <c r="T447" s="8"/>
      <c r="U447" s="8"/>
      <c r="V447" s="11"/>
      <c r="W447" s="8"/>
      <c r="X447" s="8"/>
      <c r="Y447" s="9"/>
      <c r="Z447" s="8"/>
      <c r="AA447" s="8"/>
      <c r="AB447" s="8"/>
      <c r="AC447" s="11"/>
      <c r="AD447" s="8"/>
      <c r="AE447" s="9"/>
      <c r="AF447" s="8"/>
      <c r="AG447" s="9"/>
      <c r="AH447" s="8"/>
      <c r="AI447" s="8"/>
      <c r="AJ447" s="8"/>
      <c r="AK447" s="11"/>
      <c r="AL447" s="8"/>
      <c r="AM447" s="8"/>
      <c r="AN447" s="9"/>
      <c r="AO447" s="8"/>
      <c r="AP447" s="8"/>
      <c r="AQ447" s="8"/>
    </row>
    <row r="448" spans="1:43" x14ac:dyDescent="0.15">
      <c r="A448" s="8"/>
      <c r="B448" s="8"/>
      <c r="C448" s="8"/>
      <c r="D448" s="8"/>
      <c r="E448" s="9"/>
      <c r="F448" s="8"/>
      <c r="G448" s="10"/>
      <c r="H448" s="11"/>
      <c r="I448" s="8"/>
      <c r="J448" s="9"/>
      <c r="K448" s="8"/>
      <c r="L448" s="9"/>
      <c r="M448" s="8"/>
      <c r="N448" s="11"/>
      <c r="O448" s="8"/>
      <c r="P448" s="9"/>
      <c r="Q448" s="8"/>
      <c r="R448" s="9"/>
      <c r="S448" s="8"/>
      <c r="T448" s="8"/>
      <c r="U448" s="8"/>
      <c r="V448" s="11"/>
      <c r="W448" s="8"/>
      <c r="X448" s="8"/>
      <c r="Y448" s="9"/>
      <c r="Z448" s="8"/>
      <c r="AA448" s="8"/>
      <c r="AB448" s="8"/>
      <c r="AC448" s="11"/>
      <c r="AD448" s="8"/>
      <c r="AE448" s="9"/>
      <c r="AF448" s="8"/>
      <c r="AG448" s="9"/>
      <c r="AH448" s="8"/>
      <c r="AI448" s="8"/>
      <c r="AJ448" s="8"/>
      <c r="AK448" s="11"/>
      <c r="AL448" s="8"/>
      <c r="AM448" s="8"/>
      <c r="AN448" s="9"/>
      <c r="AO448" s="8"/>
      <c r="AP448" s="8"/>
      <c r="AQ448" s="8"/>
    </row>
    <row r="449" spans="1:43" x14ac:dyDescent="0.15">
      <c r="A449" s="8"/>
      <c r="B449" s="8"/>
      <c r="C449" s="8"/>
      <c r="D449" s="8"/>
      <c r="E449" s="9"/>
      <c r="F449" s="8"/>
      <c r="G449" s="10"/>
      <c r="H449" s="11"/>
      <c r="I449" s="8"/>
      <c r="J449" s="9"/>
      <c r="K449" s="8"/>
      <c r="L449" s="9"/>
      <c r="M449" s="8"/>
      <c r="N449" s="11"/>
      <c r="O449" s="8"/>
      <c r="P449" s="9"/>
      <c r="Q449" s="8"/>
      <c r="R449" s="9"/>
      <c r="S449" s="8"/>
      <c r="T449" s="8"/>
      <c r="U449" s="8"/>
      <c r="V449" s="11"/>
      <c r="W449" s="8"/>
      <c r="X449" s="8"/>
      <c r="Y449" s="9"/>
      <c r="Z449" s="8"/>
      <c r="AA449" s="8"/>
      <c r="AB449" s="8"/>
      <c r="AC449" s="11"/>
      <c r="AD449" s="8"/>
      <c r="AE449" s="9"/>
      <c r="AF449" s="8"/>
      <c r="AG449" s="9"/>
      <c r="AH449" s="8"/>
      <c r="AI449" s="8"/>
      <c r="AJ449" s="8"/>
      <c r="AK449" s="11"/>
      <c r="AL449" s="8"/>
      <c r="AM449" s="8"/>
      <c r="AN449" s="9"/>
      <c r="AO449" s="8"/>
      <c r="AP449" s="8"/>
      <c r="AQ449" s="8"/>
    </row>
    <row r="450" spans="1:43" x14ac:dyDescent="0.15">
      <c r="A450" s="8"/>
      <c r="B450" s="8"/>
      <c r="C450" s="8"/>
      <c r="D450" s="8"/>
      <c r="E450" s="9"/>
      <c r="F450" s="8"/>
      <c r="G450" s="10"/>
      <c r="H450" s="11"/>
      <c r="I450" s="8"/>
      <c r="J450" s="9"/>
      <c r="K450" s="8"/>
      <c r="L450" s="9"/>
      <c r="M450" s="8"/>
      <c r="N450" s="11"/>
      <c r="O450" s="8"/>
      <c r="P450" s="9"/>
      <c r="Q450" s="8"/>
      <c r="R450" s="9"/>
      <c r="S450" s="8"/>
      <c r="T450" s="8"/>
      <c r="U450" s="8"/>
      <c r="V450" s="11"/>
      <c r="W450" s="8"/>
      <c r="X450" s="8"/>
      <c r="Y450" s="9"/>
      <c r="Z450" s="8"/>
      <c r="AA450" s="8"/>
      <c r="AB450" s="8"/>
      <c r="AC450" s="11"/>
      <c r="AD450" s="8"/>
      <c r="AE450" s="9"/>
      <c r="AF450" s="8"/>
      <c r="AG450" s="9"/>
      <c r="AH450" s="8"/>
      <c r="AI450" s="8"/>
      <c r="AJ450" s="8"/>
      <c r="AK450" s="11"/>
      <c r="AL450" s="8"/>
      <c r="AM450" s="8"/>
      <c r="AN450" s="9"/>
      <c r="AO450" s="8"/>
      <c r="AP450" s="8"/>
      <c r="AQ450" s="8"/>
    </row>
    <row r="451" spans="1:43" x14ac:dyDescent="0.15">
      <c r="A451" s="8"/>
      <c r="B451" s="8"/>
      <c r="C451" s="8"/>
      <c r="D451" s="8"/>
      <c r="E451" s="9"/>
      <c r="F451" s="8"/>
      <c r="G451" s="10"/>
      <c r="H451" s="11"/>
      <c r="I451" s="8"/>
      <c r="J451" s="9"/>
      <c r="K451" s="8"/>
      <c r="L451" s="9"/>
      <c r="M451" s="8"/>
      <c r="N451" s="11"/>
      <c r="O451" s="8"/>
      <c r="P451" s="9"/>
      <c r="Q451" s="8"/>
      <c r="R451" s="9"/>
      <c r="S451" s="8"/>
      <c r="T451" s="8"/>
      <c r="U451" s="8"/>
      <c r="V451" s="11"/>
      <c r="W451" s="8"/>
      <c r="X451" s="8"/>
      <c r="Y451" s="9"/>
      <c r="Z451" s="8"/>
      <c r="AA451" s="8"/>
      <c r="AB451" s="8"/>
      <c r="AC451" s="11"/>
      <c r="AD451" s="8"/>
      <c r="AE451" s="9"/>
      <c r="AF451" s="8"/>
      <c r="AG451" s="9"/>
      <c r="AH451" s="8"/>
      <c r="AI451" s="8"/>
      <c r="AJ451" s="8"/>
      <c r="AK451" s="11"/>
      <c r="AL451" s="8"/>
      <c r="AM451" s="8"/>
      <c r="AN451" s="9"/>
      <c r="AO451" s="8"/>
      <c r="AP451" s="8"/>
      <c r="AQ451" s="8"/>
    </row>
    <row r="452" spans="1:43" x14ac:dyDescent="0.15">
      <c r="A452" s="8"/>
      <c r="B452" s="8"/>
      <c r="C452" s="8"/>
      <c r="D452" s="8"/>
      <c r="E452" s="9"/>
      <c r="F452" s="8"/>
      <c r="G452" s="10"/>
      <c r="H452" s="11"/>
      <c r="I452" s="8"/>
      <c r="J452" s="9"/>
      <c r="K452" s="8"/>
      <c r="L452" s="9"/>
      <c r="M452" s="8"/>
      <c r="N452" s="11"/>
      <c r="O452" s="8"/>
      <c r="P452" s="9"/>
      <c r="Q452" s="8"/>
      <c r="R452" s="9"/>
      <c r="S452" s="8"/>
      <c r="T452" s="8"/>
      <c r="U452" s="8"/>
      <c r="V452" s="11"/>
      <c r="W452" s="8"/>
      <c r="X452" s="8"/>
      <c r="Y452" s="9"/>
      <c r="Z452" s="8"/>
      <c r="AA452" s="8"/>
      <c r="AB452" s="8"/>
      <c r="AC452" s="11"/>
      <c r="AD452" s="8"/>
      <c r="AE452" s="9"/>
      <c r="AF452" s="8"/>
      <c r="AG452" s="9"/>
      <c r="AH452" s="8"/>
      <c r="AI452" s="8"/>
      <c r="AJ452" s="8"/>
      <c r="AK452" s="11"/>
      <c r="AL452" s="8"/>
      <c r="AM452" s="8"/>
      <c r="AN452" s="9"/>
      <c r="AO452" s="8"/>
      <c r="AP452" s="8"/>
      <c r="AQ452" s="8"/>
    </row>
    <row r="453" spans="1:43" x14ac:dyDescent="0.15">
      <c r="A453" s="8"/>
      <c r="B453" s="8"/>
      <c r="C453" s="8"/>
      <c r="D453" s="8"/>
      <c r="E453" s="9"/>
      <c r="F453" s="8"/>
      <c r="G453" s="10"/>
      <c r="H453" s="11"/>
      <c r="I453" s="8"/>
      <c r="J453" s="9"/>
      <c r="K453" s="8"/>
      <c r="L453" s="9"/>
      <c r="M453" s="8"/>
      <c r="N453" s="11"/>
      <c r="O453" s="8"/>
      <c r="P453" s="9"/>
      <c r="Q453" s="8"/>
      <c r="R453" s="9"/>
      <c r="S453" s="8"/>
      <c r="T453" s="8"/>
      <c r="U453" s="8"/>
      <c r="V453" s="11"/>
      <c r="W453" s="8"/>
      <c r="X453" s="8"/>
      <c r="Y453" s="9"/>
      <c r="Z453" s="8"/>
      <c r="AA453" s="8"/>
      <c r="AB453" s="8"/>
      <c r="AC453" s="11"/>
      <c r="AD453" s="8"/>
      <c r="AE453" s="9"/>
      <c r="AF453" s="8"/>
      <c r="AG453" s="9"/>
      <c r="AH453" s="8"/>
      <c r="AI453" s="8"/>
      <c r="AJ453" s="8"/>
      <c r="AK453" s="11"/>
      <c r="AL453" s="8"/>
      <c r="AM453" s="8"/>
      <c r="AN453" s="9"/>
      <c r="AO453" s="8"/>
      <c r="AP453" s="8"/>
      <c r="AQ453" s="8"/>
    </row>
    <row r="454" spans="1:43" x14ac:dyDescent="0.15">
      <c r="A454" s="8"/>
      <c r="B454" s="8"/>
      <c r="C454" s="8"/>
      <c r="D454" s="8"/>
      <c r="E454" s="9"/>
      <c r="F454" s="8"/>
      <c r="G454" s="10"/>
      <c r="H454" s="11"/>
      <c r="I454" s="8"/>
      <c r="J454" s="9"/>
      <c r="K454" s="8"/>
      <c r="L454" s="9"/>
      <c r="M454" s="8"/>
      <c r="N454" s="11"/>
      <c r="O454" s="8"/>
      <c r="P454" s="9"/>
      <c r="Q454" s="8"/>
      <c r="R454" s="9"/>
      <c r="S454" s="8"/>
      <c r="T454" s="8"/>
      <c r="U454" s="8"/>
      <c r="V454" s="11"/>
      <c r="W454" s="8"/>
      <c r="X454" s="8"/>
      <c r="Y454" s="9"/>
      <c r="Z454" s="8"/>
      <c r="AA454" s="8"/>
      <c r="AB454" s="8"/>
      <c r="AC454" s="11"/>
      <c r="AD454" s="8"/>
      <c r="AE454" s="9"/>
      <c r="AF454" s="8"/>
      <c r="AG454" s="9"/>
      <c r="AH454" s="8"/>
      <c r="AI454" s="8"/>
      <c r="AJ454" s="8"/>
      <c r="AK454" s="11"/>
      <c r="AL454" s="8"/>
      <c r="AM454" s="8"/>
      <c r="AN454" s="9"/>
      <c r="AO454" s="8"/>
      <c r="AP454" s="8"/>
      <c r="AQ454" s="8"/>
    </row>
    <row r="455" spans="1:43" x14ac:dyDescent="0.15">
      <c r="A455" s="8"/>
      <c r="B455" s="8"/>
      <c r="C455" s="8"/>
      <c r="D455" s="8"/>
      <c r="E455" s="9"/>
      <c r="F455" s="8"/>
      <c r="G455" s="10"/>
      <c r="H455" s="11"/>
      <c r="I455" s="8"/>
      <c r="J455" s="9"/>
      <c r="K455" s="8"/>
      <c r="L455" s="9"/>
      <c r="M455" s="8"/>
      <c r="N455" s="11"/>
      <c r="O455" s="8"/>
      <c r="P455" s="9"/>
      <c r="Q455" s="8"/>
      <c r="R455" s="9"/>
      <c r="S455" s="8"/>
      <c r="T455" s="8"/>
      <c r="U455" s="8"/>
      <c r="V455" s="11"/>
      <c r="W455" s="8"/>
      <c r="X455" s="8"/>
      <c r="Y455" s="9"/>
      <c r="Z455" s="8"/>
      <c r="AA455" s="8"/>
      <c r="AB455" s="8"/>
      <c r="AC455" s="11"/>
      <c r="AD455" s="8"/>
      <c r="AE455" s="9"/>
      <c r="AF455" s="8"/>
      <c r="AG455" s="9"/>
      <c r="AH455" s="8"/>
      <c r="AI455" s="8"/>
      <c r="AJ455" s="8"/>
      <c r="AK455" s="11"/>
      <c r="AL455" s="8"/>
      <c r="AM455" s="8"/>
      <c r="AN455" s="9"/>
      <c r="AO455" s="8"/>
      <c r="AP455" s="8"/>
      <c r="AQ455" s="8"/>
    </row>
    <row r="456" spans="1:43" x14ac:dyDescent="0.15">
      <c r="A456" s="8"/>
      <c r="B456" s="8"/>
      <c r="C456" s="8"/>
      <c r="D456" s="8"/>
      <c r="E456" s="9"/>
      <c r="F456" s="8"/>
      <c r="G456" s="10"/>
      <c r="H456" s="11"/>
      <c r="I456" s="8"/>
      <c r="J456" s="9"/>
      <c r="K456" s="8"/>
      <c r="L456" s="9"/>
      <c r="M456" s="8"/>
      <c r="N456" s="11"/>
      <c r="O456" s="8"/>
      <c r="P456" s="9"/>
      <c r="Q456" s="8"/>
      <c r="R456" s="9"/>
      <c r="S456" s="8"/>
      <c r="T456" s="8"/>
      <c r="U456" s="8"/>
      <c r="V456" s="11"/>
      <c r="W456" s="8"/>
      <c r="X456" s="8"/>
      <c r="Y456" s="9"/>
      <c r="Z456" s="8"/>
      <c r="AA456" s="8"/>
      <c r="AB456" s="8"/>
      <c r="AC456" s="11"/>
      <c r="AD456" s="8"/>
      <c r="AE456" s="9"/>
      <c r="AF456" s="8"/>
      <c r="AG456" s="9"/>
      <c r="AH456" s="8"/>
      <c r="AI456" s="8"/>
      <c r="AJ456" s="8"/>
      <c r="AK456" s="11"/>
      <c r="AL456" s="8"/>
      <c r="AM456" s="8"/>
      <c r="AN456" s="9"/>
      <c r="AO456" s="8"/>
      <c r="AP456" s="8"/>
      <c r="AQ456" s="8"/>
    </row>
    <row r="457" spans="1:43" x14ac:dyDescent="0.15">
      <c r="A457" s="8"/>
      <c r="B457" s="8"/>
      <c r="C457" s="8"/>
      <c r="D457" s="8"/>
      <c r="E457" s="9"/>
      <c r="F457" s="8"/>
      <c r="G457" s="10"/>
      <c r="H457" s="11"/>
      <c r="I457" s="8"/>
      <c r="J457" s="9"/>
      <c r="K457" s="8"/>
      <c r="L457" s="9"/>
      <c r="M457" s="8"/>
      <c r="N457" s="11"/>
      <c r="O457" s="8"/>
      <c r="P457" s="9"/>
      <c r="Q457" s="8"/>
      <c r="R457" s="9"/>
      <c r="S457" s="8"/>
      <c r="T457" s="8"/>
      <c r="U457" s="8"/>
      <c r="V457" s="11"/>
      <c r="W457" s="8"/>
      <c r="X457" s="8"/>
      <c r="Y457" s="9"/>
      <c r="Z457" s="8"/>
      <c r="AA457" s="8"/>
      <c r="AB457" s="8"/>
      <c r="AC457" s="11"/>
      <c r="AD457" s="8"/>
      <c r="AE457" s="9"/>
      <c r="AF457" s="8"/>
      <c r="AG457" s="9"/>
      <c r="AH457" s="8"/>
      <c r="AI457" s="8"/>
      <c r="AJ457" s="8"/>
      <c r="AK457" s="11"/>
      <c r="AL457" s="8"/>
      <c r="AM457" s="8"/>
      <c r="AN457" s="9"/>
      <c r="AO457" s="8"/>
      <c r="AP457" s="8"/>
      <c r="AQ457" s="8"/>
    </row>
    <row r="458" spans="1:43" x14ac:dyDescent="0.15">
      <c r="A458" s="8"/>
      <c r="B458" s="8"/>
      <c r="C458" s="8"/>
      <c r="D458" s="8"/>
      <c r="E458" s="9"/>
      <c r="F458" s="8"/>
      <c r="G458" s="10"/>
      <c r="H458" s="11"/>
      <c r="I458" s="8"/>
      <c r="J458" s="9"/>
      <c r="K458" s="8"/>
      <c r="L458" s="9"/>
      <c r="M458" s="8"/>
      <c r="N458" s="11"/>
      <c r="O458" s="8"/>
      <c r="P458" s="9"/>
      <c r="Q458" s="8"/>
      <c r="R458" s="9"/>
      <c r="S458" s="8"/>
      <c r="T458" s="8"/>
      <c r="U458" s="8"/>
      <c r="V458" s="11"/>
      <c r="W458" s="8"/>
      <c r="X458" s="8"/>
      <c r="Y458" s="9"/>
      <c r="Z458" s="8"/>
      <c r="AA458" s="8"/>
      <c r="AB458" s="8"/>
      <c r="AC458" s="11"/>
      <c r="AD458" s="8"/>
      <c r="AE458" s="9"/>
      <c r="AF458" s="8"/>
      <c r="AG458" s="9"/>
      <c r="AH458" s="8"/>
      <c r="AI458" s="8"/>
      <c r="AJ458" s="8"/>
      <c r="AK458" s="11"/>
      <c r="AL458" s="8"/>
      <c r="AM458" s="8"/>
      <c r="AN458" s="9"/>
      <c r="AO458" s="8"/>
      <c r="AP458" s="8"/>
      <c r="AQ458" s="8"/>
    </row>
    <row r="459" spans="1:43" x14ac:dyDescent="0.15">
      <c r="A459" s="8"/>
      <c r="B459" s="8"/>
      <c r="C459" s="8"/>
      <c r="D459" s="8"/>
      <c r="E459" s="9"/>
      <c r="F459" s="8"/>
      <c r="G459" s="10"/>
      <c r="H459" s="11"/>
      <c r="I459" s="8"/>
      <c r="J459" s="9"/>
      <c r="K459" s="8"/>
      <c r="L459" s="9"/>
      <c r="M459" s="8"/>
      <c r="N459" s="11"/>
      <c r="O459" s="8"/>
      <c r="P459" s="9"/>
      <c r="Q459" s="8"/>
      <c r="R459" s="9"/>
      <c r="S459" s="8"/>
      <c r="T459" s="8"/>
      <c r="U459" s="8"/>
      <c r="V459" s="11"/>
      <c r="W459" s="8"/>
      <c r="X459" s="8"/>
      <c r="Y459" s="9"/>
      <c r="Z459" s="8"/>
      <c r="AA459" s="8"/>
      <c r="AB459" s="8"/>
      <c r="AC459" s="11"/>
      <c r="AD459" s="8"/>
      <c r="AE459" s="9"/>
      <c r="AF459" s="8"/>
      <c r="AG459" s="9"/>
      <c r="AH459" s="8"/>
      <c r="AI459" s="8"/>
      <c r="AJ459" s="8"/>
      <c r="AK459" s="11"/>
      <c r="AL459" s="8"/>
      <c r="AM459" s="8"/>
      <c r="AN459" s="9"/>
      <c r="AO459" s="8"/>
      <c r="AP459" s="8"/>
      <c r="AQ459" s="8"/>
    </row>
    <row r="460" spans="1:43" x14ac:dyDescent="0.15">
      <c r="A460" s="8"/>
      <c r="B460" s="8"/>
      <c r="C460" s="8"/>
      <c r="D460" s="8"/>
      <c r="E460" s="9"/>
      <c r="F460" s="8"/>
      <c r="G460" s="10"/>
      <c r="H460" s="11"/>
      <c r="I460" s="8"/>
      <c r="J460" s="9"/>
      <c r="K460" s="8"/>
      <c r="L460" s="9"/>
      <c r="M460" s="8"/>
      <c r="N460" s="11"/>
      <c r="O460" s="8"/>
      <c r="P460" s="9"/>
      <c r="Q460" s="8"/>
      <c r="R460" s="9"/>
      <c r="S460" s="8"/>
      <c r="T460" s="8"/>
      <c r="U460" s="8"/>
      <c r="V460" s="11"/>
      <c r="W460" s="8"/>
      <c r="X460" s="8"/>
      <c r="Y460" s="9"/>
      <c r="Z460" s="8"/>
      <c r="AA460" s="8"/>
      <c r="AB460" s="8"/>
      <c r="AC460" s="11"/>
      <c r="AD460" s="8"/>
      <c r="AE460" s="9"/>
      <c r="AF460" s="8"/>
      <c r="AG460" s="9"/>
      <c r="AH460" s="8"/>
      <c r="AI460" s="8"/>
      <c r="AJ460" s="8"/>
      <c r="AK460" s="11"/>
      <c r="AL460" s="8"/>
      <c r="AM460" s="8"/>
      <c r="AN460" s="9"/>
      <c r="AO460" s="8"/>
      <c r="AP460" s="8"/>
      <c r="AQ460" s="8"/>
    </row>
    <row r="461" spans="1:43" x14ac:dyDescent="0.15">
      <c r="A461" s="8"/>
      <c r="B461" s="8"/>
      <c r="C461" s="8"/>
      <c r="D461" s="8"/>
      <c r="E461" s="9"/>
      <c r="F461" s="8"/>
      <c r="G461" s="10"/>
      <c r="H461" s="11"/>
      <c r="I461" s="8"/>
      <c r="J461" s="9"/>
      <c r="K461" s="8"/>
      <c r="L461" s="9"/>
      <c r="M461" s="8"/>
      <c r="N461" s="11"/>
      <c r="O461" s="8"/>
      <c r="P461" s="9"/>
      <c r="Q461" s="8"/>
      <c r="R461" s="9"/>
      <c r="S461" s="8"/>
      <c r="T461" s="8"/>
      <c r="U461" s="8"/>
      <c r="V461" s="11"/>
      <c r="W461" s="8"/>
      <c r="X461" s="8"/>
      <c r="Y461" s="9"/>
      <c r="Z461" s="8"/>
      <c r="AA461" s="8"/>
      <c r="AB461" s="8"/>
      <c r="AC461" s="11"/>
      <c r="AD461" s="8"/>
      <c r="AE461" s="9"/>
      <c r="AF461" s="8"/>
      <c r="AG461" s="9"/>
      <c r="AH461" s="8"/>
      <c r="AI461" s="8"/>
      <c r="AJ461" s="8"/>
      <c r="AK461" s="11"/>
      <c r="AL461" s="8"/>
      <c r="AM461" s="8"/>
      <c r="AN461" s="9"/>
      <c r="AO461" s="8"/>
      <c r="AP461" s="8"/>
      <c r="AQ461" s="8"/>
    </row>
    <row r="462" spans="1:43" x14ac:dyDescent="0.15">
      <c r="A462" s="8"/>
      <c r="B462" s="8"/>
      <c r="C462" s="8"/>
      <c r="D462" s="8"/>
      <c r="E462" s="9"/>
      <c r="F462" s="8"/>
      <c r="G462" s="10"/>
      <c r="H462" s="11"/>
      <c r="I462" s="8"/>
      <c r="J462" s="9"/>
      <c r="K462" s="8"/>
      <c r="L462" s="9"/>
      <c r="M462" s="8"/>
      <c r="N462" s="11"/>
      <c r="O462" s="8"/>
      <c r="P462" s="9"/>
      <c r="Q462" s="8"/>
      <c r="R462" s="9"/>
      <c r="S462" s="8"/>
      <c r="T462" s="8"/>
      <c r="U462" s="8"/>
      <c r="V462" s="11"/>
      <c r="W462" s="8"/>
      <c r="X462" s="8"/>
      <c r="Y462" s="9"/>
      <c r="Z462" s="8"/>
      <c r="AA462" s="8"/>
      <c r="AB462" s="8"/>
      <c r="AC462" s="11"/>
      <c r="AD462" s="8"/>
      <c r="AE462" s="9"/>
      <c r="AF462" s="8"/>
      <c r="AG462" s="9"/>
      <c r="AH462" s="8"/>
      <c r="AI462" s="8"/>
      <c r="AJ462" s="8"/>
      <c r="AK462" s="11"/>
      <c r="AL462" s="8"/>
      <c r="AM462" s="8"/>
      <c r="AN462" s="9"/>
      <c r="AO462" s="8"/>
      <c r="AP462" s="8"/>
      <c r="AQ462" s="8"/>
    </row>
    <row r="463" spans="1:43" x14ac:dyDescent="0.15">
      <c r="A463" s="8"/>
      <c r="B463" s="8"/>
      <c r="C463" s="8"/>
      <c r="D463" s="8"/>
      <c r="E463" s="9"/>
      <c r="F463" s="8"/>
      <c r="G463" s="10"/>
      <c r="H463" s="11"/>
      <c r="I463" s="8"/>
      <c r="J463" s="9"/>
      <c r="K463" s="8"/>
      <c r="L463" s="9"/>
      <c r="M463" s="8"/>
      <c r="N463" s="11"/>
      <c r="O463" s="8"/>
      <c r="P463" s="9"/>
      <c r="Q463" s="8"/>
      <c r="R463" s="9"/>
      <c r="S463" s="8"/>
      <c r="T463" s="8"/>
      <c r="U463" s="8"/>
      <c r="V463" s="11"/>
      <c r="W463" s="8"/>
      <c r="X463" s="8"/>
      <c r="Y463" s="9"/>
      <c r="Z463" s="8"/>
      <c r="AA463" s="8"/>
      <c r="AB463" s="8"/>
      <c r="AC463" s="11"/>
      <c r="AD463" s="8"/>
      <c r="AE463" s="9"/>
      <c r="AF463" s="8"/>
      <c r="AG463" s="9"/>
      <c r="AH463" s="8"/>
      <c r="AI463" s="8"/>
      <c r="AJ463" s="8"/>
      <c r="AK463" s="11"/>
      <c r="AL463" s="8"/>
      <c r="AM463" s="8"/>
      <c r="AN463" s="9"/>
      <c r="AO463" s="8"/>
      <c r="AP463" s="8"/>
      <c r="AQ463" s="8"/>
    </row>
    <row r="464" spans="1:43" x14ac:dyDescent="0.15">
      <c r="A464" s="8"/>
      <c r="B464" s="8"/>
      <c r="C464" s="8"/>
      <c r="D464" s="8"/>
      <c r="E464" s="9"/>
      <c r="F464" s="8"/>
      <c r="G464" s="10"/>
      <c r="H464" s="11"/>
      <c r="I464" s="8"/>
      <c r="J464" s="9"/>
      <c r="K464" s="8"/>
      <c r="L464" s="9"/>
      <c r="M464" s="8"/>
      <c r="N464" s="11"/>
      <c r="O464" s="8"/>
      <c r="P464" s="9"/>
      <c r="Q464" s="8"/>
      <c r="R464" s="9"/>
      <c r="S464" s="8"/>
      <c r="T464" s="8"/>
      <c r="U464" s="8"/>
      <c r="V464" s="11"/>
      <c r="W464" s="8"/>
      <c r="X464" s="8"/>
      <c r="Y464" s="9"/>
      <c r="Z464" s="8"/>
      <c r="AA464" s="8"/>
      <c r="AB464" s="8"/>
      <c r="AC464" s="11"/>
      <c r="AD464" s="8"/>
      <c r="AE464" s="9"/>
      <c r="AF464" s="8"/>
      <c r="AG464" s="9"/>
      <c r="AH464" s="8"/>
      <c r="AI464" s="8"/>
      <c r="AJ464" s="8"/>
      <c r="AK464" s="11"/>
      <c r="AL464" s="8"/>
      <c r="AM464" s="8"/>
      <c r="AN464" s="9"/>
      <c r="AO464" s="8"/>
      <c r="AP464" s="8"/>
      <c r="AQ464" s="8"/>
    </row>
    <row r="465" spans="1:43" x14ac:dyDescent="0.15">
      <c r="A465" s="8"/>
      <c r="B465" s="8"/>
      <c r="C465" s="8"/>
      <c r="D465" s="8"/>
      <c r="E465" s="9"/>
      <c r="F465" s="8"/>
      <c r="G465" s="10"/>
      <c r="H465" s="11"/>
      <c r="I465" s="8"/>
      <c r="J465" s="9"/>
      <c r="K465" s="8"/>
      <c r="L465" s="9"/>
      <c r="M465" s="8"/>
      <c r="N465" s="11"/>
      <c r="O465" s="8"/>
      <c r="P465" s="9"/>
      <c r="Q465" s="8"/>
      <c r="R465" s="9"/>
      <c r="S465" s="8"/>
      <c r="T465" s="8"/>
      <c r="U465" s="8"/>
      <c r="V465" s="11"/>
      <c r="W465" s="8"/>
      <c r="X465" s="8"/>
      <c r="Y465" s="9"/>
      <c r="Z465" s="8"/>
      <c r="AA465" s="8"/>
      <c r="AB465" s="8"/>
      <c r="AC465" s="11"/>
      <c r="AD465" s="8"/>
      <c r="AE465" s="9"/>
      <c r="AF465" s="8"/>
      <c r="AG465" s="9"/>
      <c r="AH465" s="8"/>
      <c r="AI465" s="8"/>
      <c r="AJ465" s="8"/>
      <c r="AK465" s="11"/>
      <c r="AL465" s="8"/>
      <c r="AM465" s="8"/>
      <c r="AN465" s="9"/>
      <c r="AO465" s="8"/>
      <c r="AP465" s="8"/>
      <c r="AQ465" s="8"/>
    </row>
    <row r="466" spans="1:43" x14ac:dyDescent="0.15">
      <c r="A466" s="8"/>
      <c r="B466" s="8"/>
      <c r="C466" s="8"/>
      <c r="D466" s="8"/>
      <c r="E466" s="9"/>
      <c r="F466" s="8"/>
      <c r="G466" s="10"/>
      <c r="H466" s="11"/>
      <c r="I466" s="8"/>
      <c r="J466" s="9"/>
      <c r="K466" s="8"/>
      <c r="L466" s="9"/>
      <c r="M466" s="8"/>
      <c r="N466" s="11"/>
      <c r="O466" s="8"/>
      <c r="P466" s="9"/>
      <c r="Q466" s="8"/>
      <c r="R466" s="9"/>
      <c r="S466" s="8"/>
      <c r="T466" s="8"/>
      <c r="U466" s="8"/>
      <c r="V466" s="11"/>
      <c r="W466" s="8"/>
      <c r="X466" s="8"/>
      <c r="Y466" s="9"/>
      <c r="Z466" s="8"/>
      <c r="AA466" s="8"/>
      <c r="AB466" s="8"/>
      <c r="AC466" s="11"/>
      <c r="AD466" s="8"/>
      <c r="AE466" s="9"/>
      <c r="AF466" s="8"/>
      <c r="AG466" s="9"/>
      <c r="AH466" s="8"/>
      <c r="AI466" s="8"/>
      <c r="AJ466" s="8"/>
      <c r="AK466" s="11"/>
      <c r="AL466" s="8"/>
      <c r="AM466" s="8"/>
      <c r="AN466" s="9"/>
      <c r="AO466" s="8"/>
      <c r="AP466" s="8"/>
      <c r="AQ466" s="8"/>
    </row>
    <row r="467" spans="1:43" x14ac:dyDescent="0.15">
      <c r="A467" s="8"/>
      <c r="B467" s="8"/>
      <c r="C467" s="8"/>
      <c r="D467" s="8"/>
      <c r="E467" s="9"/>
      <c r="F467" s="8"/>
      <c r="G467" s="10"/>
      <c r="H467" s="11"/>
      <c r="I467" s="8"/>
      <c r="J467" s="9"/>
      <c r="K467" s="8"/>
      <c r="L467" s="9"/>
      <c r="M467" s="8"/>
      <c r="N467" s="11"/>
      <c r="O467" s="8"/>
      <c r="P467" s="9"/>
      <c r="Q467" s="8"/>
      <c r="R467" s="9"/>
      <c r="S467" s="8"/>
      <c r="T467" s="8"/>
      <c r="U467" s="8"/>
      <c r="V467" s="11"/>
      <c r="W467" s="8"/>
      <c r="X467" s="8"/>
      <c r="Y467" s="9"/>
      <c r="Z467" s="8"/>
      <c r="AA467" s="8"/>
      <c r="AB467" s="8"/>
      <c r="AC467" s="11"/>
      <c r="AD467" s="8"/>
      <c r="AE467" s="9"/>
      <c r="AF467" s="8"/>
      <c r="AG467" s="9"/>
      <c r="AH467" s="8"/>
      <c r="AI467" s="8"/>
      <c r="AJ467" s="8"/>
      <c r="AK467" s="11"/>
      <c r="AL467" s="8"/>
      <c r="AM467" s="8"/>
      <c r="AN467" s="9"/>
      <c r="AO467" s="8"/>
      <c r="AP467" s="8"/>
      <c r="AQ467" s="8"/>
    </row>
    <row r="468" spans="1:43" x14ac:dyDescent="0.15">
      <c r="A468" s="8"/>
      <c r="B468" s="8"/>
      <c r="C468" s="8"/>
      <c r="D468" s="8"/>
      <c r="E468" s="9"/>
      <c r="F468" s="8"/>
      <c r="G468" s="10"/>
      <c r="H468" s="11"/>
      <c r="I468" s="8"/>
      <c r="J468" s="9"/>
      <c r="K468" s="8"/>
      <c r="L468" s="9"/>
      <c r="M468" s="8"/>
      <c r="N468" s="11"/>
      <c r="O468" s="8"/>
      <c r="P468" s="9"/>
      <c r="Q468" s="8"/>
      <c r="R468" s="9"/>
      <c r="S468" s="8"/>
      <c r="T468" s="8"/>
      <c r="U468" s="8"/>
      <c r="V468" s="11"/>
      <c r="W468" s="8"/>
      <c r="X468" s="8"/>
      <c r="Y468" s="9"/>
      <c r="Z468" s="8"/>
      <c r="AA468" s="8"/>
      <c r="AB468" s="8"/>
      <c r="AC468" s="11"/>
      <c r="AD468" s="8"/>
      <c r="AE468" s="9"/>
      <c r="AF468" s="8"/>
      <c r="AG468" s="9"/>
      <c r="AH468" s="8"/>
      <c r="AI468" s="8"/>
      <c r="AJ468" s="8"/>
      <c r="AK468" s="11"/>
      <c r="AL468" s="8"/>
      <c r="AM468" s="8"/>
      <c r="AN468" s="9"/>
      <c r="AO468" s="8"/>
      <c r="AP468" s="8"/>
      <c r="AQ468" s="8"/>
    </row>
    <row r="469" spans="1:43" x14ac:dyDescent="0.15">
      <c r="A469" s="8"/>
      <c r="B469" s="8"/>
      <c r="C469" s="8"/>
      <c r="D469" s="8"/>
      <c r="E469" s="9"/>
      <c r="F469" s="8"/>
      <c r="G469" s="10"/>
      <c r="H469" s="11"/>
      <c r="I469" s="8"/>
      <c r="J469" s="9"/>
      <c r="K469" s="8"/>
      <c r="L469" s="9"/>
      <c r="M469" s="8"/>
      <c r="N469" s="11"/>
      <c r="O469" s="8"/>
      <c r="P469" s="9"/>
      <c r="Q469" s="8"/>
      <c r="R469" s="9"/>
      <c r="S469" s="8"/>
      <c r="T469" s="8"/>
      <c r="U469" s="8"/>
      <c r="V469" s="11"/>
      <c r="W469" s="8"/>
      <c r="X469" s="8"/>
      <c r="Y469" s="9"/>
      <c r="Z469" s="8"/>
      <c r="AA469" s="8"/>
      <c r="AB469" s="8"/>
      <c r="AC469" s="11"/>
      <c r="AD469" s="8"/>
      <c r="AE469" s="9"/>
      <c r="AF469" s="8"/>
      <c r="AG469" s="9"/>
      <c r="AH469" s="8"/>
      <c r="AI469" s="8"/>
      <c r="AJ469" s="8"/>
      <c r="AK469" s="11"/>
      <c r="AL469" s="8"/>
      <c r="AM469" s="8"/>
      <c r="AN469" s="9"/>
      <c r="AO469" s="8"/>
      <c r="AP469" s="8"/>
      <c r="AQ469" s="8"/>
    </row>
    <row r="470" spans="1:43" x14ac:dyDescent="0.15">
      <c r="A470" s="8"/>
      <c r="B470" s="8"/>
      <c r="C470" s="8"/>
      <c r="D470" s="8"/>
      <c r="E470" s="9"/>
      <c r="F470" s="8"/>
      <c r="G470" s="10"/>
      <c r="H470" s="11"/>
      <c r="I470" s="8"/>
      <c r="J470" s="9"/>
      <c r="K470" s="8"/>
      <c r="L470" s="9"/>
      <c r="M470" s="8"/>
      <c r="N470" s="11"/>
      <c r="O470" s="8"/>
      <c r="P470" s="9"/>
      <c r="Q470" s="8"/>
      <c r="R470" s="9"/>
      <c r="S470" s="8"/>
      <c r="T470" s="8"/>
      <c r="U470" s="8"/>
      <c r="V470" s="11"/>
      <c r="W470" s="8"/>
      <c r="X470" s="8"/>
      <c r="Y470" s="9"/>
      <c r="Z470" s="8"/>
      <c r="AA470" s="8"/>
      <c r="AB470" s="8"/>
      <c r="AC470" s="11"/>
      <c r="AD470" s="8"/>
      <c r="AE470" s="9"/>
      <c r="AF470" s="8"/>
      <c r="AG470" s="9"/>
      <c r="AH470" s="8"/>
      <c r="AI470" s="8"/>
      <c r="AJ470" s="8"/>
      <c r="AK470" s="11"/>
      <c r="AL470" s="8"/>
      <c r="AM470" s="8"/>
      <c r="AN470" s="9"/>
      <c r="AO470" s="8"/>
      <c r="AP470" s="8"/>
      <c r="AQ470" s="8"/>
    </row>
    <row r="471" spans="1:43" x14ac:dyDescent="0.15">
      <c r="A471" s="8"/>
      <c r="B471" s="8"/>
      <c r="C471" s="8"/>
      <c r="D471" s="8"/>
      <c r="E471" s="9"/>
      <c r="F471" s="8"/>
      <c r="G471" s="10"/>
      <c r="H471" s="11"/>
      <c r="I471" s="8"/>
      <c r="J471" s="9"/>
      <c r="K471" s="8"/>
      <c r="L471" s="9"/>
      <c r="M471" s="8"/>
      <c r="N471" s="11"/>
      <c r="O471" s="8"/>
      <c r="P471" s="9"/>
      <c r="Q471" s="8"/>
      <c r="R471" s="9"/>
      <c r="S471" s="8"/>
      <c r="T471" s="8"/>
      <c r="U471" s="8"/>
      <c r="V471" s="11"/>
      <c r="W471" s="8"/>
      <c r="X471" s="8"/>
      <c r="Y471" s="9"/>
      <c r="Z471" s="8"/>
      <c r="AA471" s="8"/>
      <c r="AB471" s="8"/>
      <c r="AC471" s="11"/>
      <c r="AD471" s="8"/>
      <c r="AE471" s="9"/>
      <c r="AF471" s="8"/>
      <c r="AG471" s="9"/>
      <c r="AH471" s="8"/>
      <c r="AI471" s="8"/>
      <c r="AJ471" s="8"/>
      <c r="AK471" s="11"/>
      <c r="AL471" s="8"/>
      <c r="AM471" s="8"/>
      <c r="AN471" s="9"/>
      <c r="AO471" s="8"/>
      <c r="AP471" s="8"/>
      <c r="AQ471" s="8"/>
    </row>
    <row r="472" spans="1:43" x14ac:dyDescent="0.15">
      <c r="A472" s="8"/>
      <c r="B472" s="8"/>
      <c r="C472" s="8"/>
      <c r="D472" s="8"/>
      <c r="E472" s="9"/>
      <c r="F472" s="8"/>
      <c r="G472" s="10"/>
      <c r="H472" s="11"/>
      <c r="I472" s="8"/>
      <c r="J472" s="9"/>
      <c r="K472" s="8"/>
      <c r="L472" s="9"/>
      <c r="M472" s="8"/>
      <c r="N472" s="11"/>
      <c r="O472" s="8"/>
      <c r="P472" s="9"/>
      <c r="Q472" s="8"/>
      <c r="R472" s="9"/>
      <c r="S472" s="8"/>
      <c r="T472" s="8"/>
      <c r="U472" s="8"/>
      <c r="V472" s="11"/>
      <c r="W472" s="8"/>
      <c r="X472" s="8"/>
      <c r="Y472" s="9"/>
      <c r="Z472" s="8"/>
      <c r="AA472" s="8"/>
      <c r="AB472" s="8"/>
      <c r="AC472" s="11"/>
      <c r="AD472" s="8"/>
      <c r="AE472" s="9"/>
      <c r="AF472" s="8"/>
      <c r="AG472" s="9"/>
      <c r="AH472" s="8"/>
      <c r="AI472" s="8"/>
      <c r="AJ472" s="8"/>
      <c r="AK472" s="11"/>
      <c r="AL472" s="8"/>
      <c r="AM472" s="8"/>
      <c r="AN472" s="9"/>
      <c r="AO472" s="8"/>
      <c r="AP472" s="8"/>
      <c r="AQ472" s="8"/>
    </row>
    <row r="473" spans="1:43" x14ac:dyDescent="0.15">
      <c r="A473" s="8"/>
      <c r="B473" s="8"/>
      <c r="C473" s="8"/>
      <c r="D473" s="8"/>
      <c r="E473" s="9"/>
      <c r="F473" s="8"/>
      <c r="G473" s="10"/>
      <c r="H473" s="11"/>
      <c r="I473" s="8"/>
      <c r="J473" s="9"/>
      <c r="K473" s="8"/>
      <c r="L473" s="9"/>
      <c r="M473" s="8"/>
      <c r="N473" s="11"/>
      <c r="O473" s="8"/>
      <c r="P473" s="9"/>
      <c r="Q473" s="8"/>
      <c r="R473" s="9"/>
      <c r="S473" s="8"/>
      <c r="T473" s="8"/>
      <c r="U473" s="8"/>
      <c r="V473" s="11"/>
      <c r="W473" s="8"/>
      <c r="X473" s="8"/>
      <c r="Y473" s="9"/>
      <c r="Z473" s="8"/>
      <c r="AA473" s="8"/>
      <c r="AB473" s="8"/>
      <c r="AC473" s="11"/>
      <c r="AD473" s="8"/>
      <c r="AE473" s="9"/>
      <c r="AF473" s="8"/>
      <c r="AG473" s="9"/>
      <c r="AH473" s="8"/>
      <c r="AI473" s="8"/>
      <c r="AJ473" s="8"/>
      <c r="AK473" s="11"/>
      <c r="AL473" s="8"/>
      <c r="AM473" s="8"/>
      <c r="AN473" s="9"/>
      <c r="AO473" s="8"/>
      <c r="AP473" s="8"/>
      <c r="AQ473" s="8"/>
    </row>
    <row r="474" spans="1:43" x14ac:dyDescent="0.15">
      <c r="A474" s="8"/>
      <c r="B474" s="8"/>
      <c r="C474" s="8"/>
      <c r="D474" s="8"/>
      <c r="E474" s="9"/>
      <c r="F474" s="8"/>
      <c r="G474" s="10"/>
      <c r="H474" s="11"/>
      <c r="I474" s="8"/>
      <c r="J474" s="9"/>
      <c r="K474" s="8"/>
      <c r="L474" s="9"/>
      <c r="M474" s="8"/>
      <c r="N474" s="11"/>
      <c r="O474" s="8"/>
      <c r="P474" s="9"/>
      <c r="Q474" s="8"/>
      <c r="R474" s="9"/>
      <c r="S474" s="8"/>
      <c r="T474" s="8"/>
      <c r="U474" s="8"/>
      <c r="V474" s="11"/>
      <c r="W474" s="8"/>
      <c r="X474" s="8"/>
      <c r="Y474" s="9"/>
      <c r="Z474" s="8"/>
      <c r="AA474" s="8"/>
      <c r="AB474" s="8"/>
      <c r="AC474" s="11"/>
      <c r="AD474" s="8"/>
      <c r="AE474" s="9"/>
      <c r="AF474" s="8"/>
      <c r="AG474" s="9"/>
      <c r="AH474" s="8"/>
      <c r="AI474" s="8"/>
      <c r="AJ474" s="8"/>
      <c r="AK474" s="11"/>
      <c r="AL474" s="8"/>
      <c r="AM474" s="8"/>
      <c r="AN474" s="9"/>
      <c r="AO474" s="8"/>
      <c r="AP474" s="8"/>
      <c r="AQ474" s="8"/>
    </row>
    <row r="475" spans="1:43" x14ac:dyDescent="0.15">
      <c r="A475" s="8"/>
      <c r="B475" s="8"/>
      <c r="C475" s="8"/>
      <c r="D475" s="8"/>
      <c r="E475" s="9"/>
      <c r="F475" s="8"/>
      <c r="G475" s="10"/>
      <c r="H475" s="11"/>
      <c r="I475" s="8"/>
      <c r="J475" s="9"/>
      <c r="K475" s="8"/>
      <c r="L475" s="9"/>
      <c r="M475" s="8"/>
      <c r="N475" s="11"/>
      <c r="O475" s="8"/>
      <c r="P475" s="9"/>
      <c r="Q475" s="8"/>
      <c r="R475" s="9"/>
      <c r="S475" s="8"/>
      <c r="T475" s="8"/>
      <c r="U475" s="8"/>
      <c r="V475" s="11"/>
      <c r="W475" s="8"/>
      <c r="X475" s="8"/>
      <c r="Y475" s="9"/>
      <c r="Z475" s="8"/>
      <c r="AA475" s="8"/>
      <c r="AB475" s="8"/>
      <c r="AC475" s="11"/>
      <c r="AD475" s="8"/>
      <c r="AE475" s="9"/>
      <c r="AF475" s="8"/>
      <c r="AG475" s="9"/>
      <c r="AH475" s="8"/>
      <c r="AI475" s="8"/>
      <c r="AJ475" s="8"/>
      <c r="AK475" s="11"/>
      <c r="AL475" s="8"/>
      <c r="AM475" s="8"/>
      <c r="AN475" s="9"/>
      <c r="AO475" s="8"/>
      <c r="AP475" s="8"/>
      <c r="AQ475" s="8"/>
    </row>
    <row r="476" spans="1:43" x14ac:dyDescent="0.15">
      <c r="A476" s="8"/>
      <c r="B476" s="8"/>
      <c r="C476" s="8"/>
      <c r="D476" s="8"/>
      <c r="E476" s="9"/>
      <c r="F476" s="8"/>
      <c r="G476" s="10"/>
      <c r="H476" s="11"/>
      <c r="I476" s="8"/>
      <c r="J476" s="9"/>
      <c r="K476" s="8"/>
      <c r="L476" s="9"/>
      <c r="M476" s="8"/>
      <c r="N476" s="11"/>
      <c r="O476" s="8"/>
      <c r="P476" s="9"/>
      <c r="Q476" s="8"/>
      <c r="R476" s="9"/>
      <c r="S476" s="8"/>
      <c r="T476" s="8"/>
      <c r="U476" s="8"/>
      <c r="V476" s="11"/>
      <c r="W476" s="8"/>
      <c r="X476" s="8"/>
      <c r="Y476" s="9"/>
      <c r="Z476" s="8"/>
      <c r="AA476" s="8"/>
      <c r="AB476" s="8"/>
      <c r="AC476" s="11"/>
      <c r="AD476" s="8"/>
      <c r="AE476" s="9"/>
      <c r="AF476" s="8"/>
      <c r="AG476" s="9"/>
      <c r="AH476" s="8"/>
      <c r="AI476" s="8"/>
      <c r="AJ476" s="8"/>
      <c r="AK476" s="11"/>
      <c r="AL476" s="8"/>
      <c r="AM476" s="8"/>
      <c r="AN476" s="9"/>
      <c r="AO476" s="8"/>
      <c r="AP476" s="8"/>
      <c r="AQ476" s="8"/>
    </row>
    <row r="477" spans="1:43" x14ac:dyDescent="0.15">
      <c r="A477" s="8"/>
      <c r="B477" s="8"/>
      <c r="C477" s="8"/>
      <c r="D477" s="8"/>
      <c r="E477" s="9"/>
      <c r="F477" s="8"/>
      <c r="G477" s="10"/>
      <c r="H477" s="11"/>
      <c r="I477" s="8"/>
      <c r="J477" s="9"/>
      <c r="K477" s="8"/>
      <c r="L477" s="9"/>
      <c r="M477" s="8"/>
      <c r="N477" s="11"/>
      <c r="O477" s="8"/>
      <c r="P477" s="9"/>
      <c r="Q477" s="8"/>
      <c r="R477" s="9"/>
      <c r="S477" s="8"/>
      <c r="T477" s="8"/>
      <c r="U477" s="8"/>
      <c r="V477" s="11"/>
      <c r="W477" s="8"/>
      <c r="X477" s="8"/>
      <c r="Y477" s="9"/>
      <c r="Z477" s="8"/>
      <c r="AA477" s="8"/>
      <c r="AB477" s="8"/>
      <c r="AC477" s="11"/>
      <c r="AD477" s="8"/>
      <c r="AE477" s="9"/>
      <c r="AF477" s="8"/>
      <c r="AG477" s="9"/>
      <c r="AH477" s="8"/>
      <c r="AI477" s="8"/>
      <c r="AJ477" s="8"/>
      <c r="AK477" s="11"/>
      <c r="AL477" s="8"/>
      <c r="AM477" s="8"/>
      <c r="AN477" s="9"/>
      <c r="AO477" s="8"/>
      <c r="AP477" s="8"/>
      <c r="AQ477" s="8"/>
    </row>
    <row r="478" spans="1:43" x14ac:dyDescent="0.15">
      <c r="A478" s="8"/>
      <c r="B478" s="8"/>
      <c r="C478" s="8"/>
      <c r="D478" s="8"/>
      <c r="E478" s="9"/>
      <c r="F478" s="8"/>
      <c r="G478" s="10"/>
      <c r="H478" s="11"/>
      <c r="I478" s="8"/>
      <c r="J478" s="9"/>
      <c r="K478" s="8"/>
      <c r="L478" s="9"/>
      <c r="M478" s="8"/>
      <c r="N478" s="11"/>
      <c r="O478" s="8"/>
      <c r="P478" s="9"/>
      <c r="Q478" s="8"/>
      <c r="R478" s="9"/>
      <c r="S478" s="8"/>
      <c r="T478" s="8"/>
      <c r="U478" s="8"/>
      <c r="V478" s="11"/>
      <c r="W478" s="8"/>
      <c r="X478" s="8"/>
      <c r="Y478" s="9"/>
      <c r="Z478" s="8"/>
      <c r="AA478" s="8"/>
      <c r="AB478" s="8"/>
      <c r="AC478" s="11"/>
      <c r="AD478" s="8"/>
      <c r="AE478" s="9"/>
      <c r="AF478" s="8"/>
      <c r="AG478" s="9"/>
      <c r="AH478" s="8"/>
      <c r="AI478" s="8"/>
      <c r="AJ478" s="8"/>
      <c r="AK478" s="11"/>
      <c r="AL478" s="8"/>
      <c r="AM478" s="8"/>
      <c r="AN478" s="9"/>
      <c r="AO478" s="8"/>
      <c r="AP478" s="8"/>
      <c r="AQ478" s="8"/>
    </row>
    <row r="479" spans="1:43" x14ac:dyDescent="0.15">
      <c r="A479" s="8"/>
      <c r="B479" s="8"/>
      <c r="C479" s="8"/>
      <c r="D479" s="8"/>
      <c r="E479" s="9"/>
      <c r="F479" s="8"/>
      <c r="G479" s="10"/>
      <c r="H479" s="11"/>
      <c r="I479" s="8"/>
      <c r="J479" s="9"/>
      <c r="K479" s="8"/>
      <c r="L479" s="9"/>
      <c r="M479" s="8"/>
      <c r="N479" s="11"/>
      <c r="O479" s="8"/>
      <c r="P479" s="9"/>
      <c r="Q479" s="8"/>
      <c r="R479" s="9"/>
      <c r="S479" s="8"/>
      <c r="T479" s="8"/>
      <c r="U479" s="8"/>
      <c r="V479" s="11"/>
      <c r="W479" s="8"/>
      <c r="X479" s="8"/>
      <c r="Y479" s="9"/>
      <c r="Z479" s="8"/>
      <c r="AA479" s="8"/>
      <c r="AB479" s="8"/>
      <c r="AC479" s="11"/>
      <c r="AD479" s="8"/>
      <c r="AE479" s="9"/>
      <c r="AF479" s="8"/>
      <c r="AG479" s="9"/>
      <c r="AH479" s="8"/>
      <c r="AI479" s="8"/>
      <c r="AJ479" s="8"/>
      <c r="AK479" s="11"/>
      <c r="AL479" s="8"/>
      <c r="AM479" s="8"/>
      <c r="AN479" s="9"/>
      <c r="AO479" s="8"/>
      <c r="AP479" s="8"/>
      <c r="AQ479" s="8"/>
    </row>
    <row r="480" spans="1:43" x14ac:dyDescent="0.15">
      <c r="A480" s="8"/>
      <c r="B480" s="8"/>
      <c r="C480" s="8"/>
      <c r="D480" s="8"/>
      <c r="E480" s="9"/>
      <c r="F480" s="8"/>
      <c r="G480" s="10"/>
      <c r="H480" s="11"/>
      <c r="I480" s="8"/>
      <c r="J480" s="9"/>
      <c r="K480" s="8"/>
      <c r="L480" s="9"/>
      <c r="M480" s="8"/>
      <c r="N480" s="11"/>
      <c r="O480" s="8"/>
      <c r="P480" s="9"/>
      <c r="Q480" s="8"/>
      <c r="R480" s="9"/>
      <c r="S480" s="8"/>
      <c r="T480" s="8"/>
      <c r="U480" s="8"/>
      <c r="V480" s="11"/>
      <c r="W480" s="8"/>
      <c r="X480" s="8"/>
      <c r="Y480" s="9"/>
      <c r="Z480" s="8"/>
      <c r="AA480" s="8"/>
      <c r="AB480" s="8"/>
      <c r="AC480" s="11"/>
      <c r="AD480" s="8"/>
      <c r="AE480" s="9"/>
      <c r="AF480" s="8"/>
      <c r="AG480" s="9"/>
      <c r="AH480" s="8"/>
      <c r="AI480" s="8"/>
      <c r="AJ480" s="8"/>
      <c r="AK480" s="11"/>
      <c r="AL480" s="8"/>
      <c r="AM480" s="8"/>
      <c r="AN480" s="9"/>
      <c r="AO480" s="8"/>
      <c r="AP480" s="8"/>
      <c r="AQ480" s="8"/>
    </row>
    <row r="481" spans="1:43" x14ac:dyDescent="0.15">
      <c r="A481" s="8"/>
      <c r="B481" s="8"/>
      <c r="C481" s="8"/>
      <c r="D481" s="8"/>
      <c r="E481" s="9"/>
      <c r="F481" s="8"/>
      <c r="G481" s="10"/>
      <c r="H481" s="11"/>
      <c r="I481" s="8"/>
      <c r="J481" s="9"/>
      <c r="K481" s="8"/>
      <c r="L481" s="9"/>
      <c r="M481" s="8"/>
      <c r="N481" s="11"/>
      <c r="O481" s="8"/>
      <c r="P481" s="9"/>
      <c r="Q481" s="8"/>
      <c r="R481" s="9"/>
      <c r="S481" s="8"/>
      <c r="T481" s="8"/>
      <c r="U481" s="8"/>
      <c r="V481" s="11"/>
      <c r="W481" s="8"/>
      <c r="X481" s="8"/>
      <c r="Y481" s="9"/>
      <c r="Z481" s="8"/>
      <c r="AA481" s="8"/>
      <c r="AB481" s="8"/>
      <c r="AC481" s="11"/>
      <c r="AD481" s="8"/>
      <c r="AE481" s="9"/>
      <c r="AF481" s="8"/>
      <c r="AG481" s="9"/>
      <c r="AH481" s="8"/>
      <c r="AI481" s="8"/>
      <c r="AJ481" s="8"/>
      <c r="AK481" s="11"/>
      <c r="AL481" s="8"/>
      <c r="AM481" s="8"/>
      <c r="AN481" s="9"/>
      <c r="AO481" s="8"/>
      <c r="AP481" s="8"/>
      <c r="AQ481" s="8"/>
    </row>
    <row r="482" spans="1:43" x14ac:dyDescent="0.15">
      <c r="A482" s="8"/>
      <c r="B482" s="8"/>
      <c r="C482" s="8"/>
      <c r="D482" s="8"/>
      <c r="E482" s="9"/>
      <c r="F482" s="8"/>
      <c r="G482" s="10"/>
      <c r="H482" s="11"/>
      <c r="I482" s="8"/>
      <c r="J482" s="9"/>
      <c r="K482" s="8"/>
      <c r="L482" s="9"/>
      <c r="M482" s="8"/>
      <c r="N482" s="11"/>
      <c r="O482" s="8"/>
      <c r="P482" s="9"/>
      <c r="Q482" s="8"/>
      <c r="R482" s="9"/>
      <c r="S482" s="8"/>
      <c r="T482" s="8"/>
      <c r="U482" s="8"/>
      <c r="V482" s="11"/>
      <c r="W482" s="8"/>
      <c r="X482" s="8"/>
      <c r="Y482" s="9"/>
      <c r="Z482" s="8"/>
      <c r="AA482" s="8"/>
      <c r="AB482" s="8"/>
      <c r="AC482" s="11"/>
      <c r="AD482" s="8"/>
      <c r="AE482" s="9"/>
      <c r="AF482" s="8"/>
      <c r="AG482" s="9"/>
      <c r="AH482" s="8"/>
      <c r="AI482" s="8"/>
      <c r="AJ482" s="8"/>
      <c r="AK482" s="11"/>
      <c r="AL482" s="8"/>
      <c r="AM482" s="8"/>
      <c r="AN482" s="9"/>
      <c r="AO482" s="8"/>
      <c r="AP482" s="8"/>
      <c r="AQ482" s="8"/>
    </row>
    <row r="483" spans="1:43" x14ac:dyDescent="0.15">
      <c r="A483" s="8"/>
      <c r="B483" s="8"/>
      <c r="C483" s="8"/>
      <c r="D483" s="8"/>
      <c r="E483" s="9"/>
      <c r="F483" s="8"/>
      <c r="G483" s="10"/>
      <c r="H483" s="11"/>
      <c r="I483" s="8"/>
      <c r="J483" s="9"/>
      <c r="K483" s="8"/>
      <c r="L483" s="9"/>
      <c r="M483" s="8"/>
      <c r="N483" s="11"/>
      <c r="O483" s="8"/>
      <c r="P483" s="9"/>
      <c r="Q483" s="8"/>
      <c r="R483" s="9"/>
      <c r="S483" s="8"/>
      <c r="T483" s="8"/>
      <c r="U483" s="8"/>
      <c r="V483" s="11"/>
      <c r="W483" s="8"/>
      <c r="X483" s="8"/>
      <c r="Y483" s="9"/>
      <c r="Z483" s="8"/>
      <c r="AA483" s="8"/>
      <c r="AB483" s="8"/>
      <c r="AC483" s="11"/>
      <c r="AD483" s="8"/>
      <c r="AE483" s="9"/>
      <c r="AF483" s="8"/>
      <c r="AG483" s="9"/>
      <c r="AH483" s="8"/>
      <c r="AI483" s="8"/>
      <c r="AJ483" s="8"/>
      <c r="AK483" s="11"/>
      <c r="AL483" s="8"/>
      <c r="AM483" s="8"/>
      <c r="AN483" s="9"/>
      <c r="AO483" s="8"/>
      <c r="AP483" s="8"/>
      <c r="AQ483" s="8"/>
    </row>
    <row r="484" spans="1:43" x14ac:dyDescent="0.15">
      <c r="A484" s="8"/>
      <c r="B484" s="8"/>
      <c r="C484" s="8"/>
      <c r="D484" s="8"/>
      <c r="E484" s="9"/>
      <c r="F484" s="8"/>
      <c r="G484" s="10"/>
      <c r="H484" s="11"/>
      <c r="I484" s="8"/>
      <c r="J484" s="9"/>
      <c r="K484" s="8"/>
      <c r="L484" s="9"/>
      <c r="M484" s="8"/>
      <c r="N484" s="11"/>
      <c r="O484" s="8"/>
      <c r="P484" s="9"/>
      <c r="Q484" s="8"/>
      <c r="R484" s="9"/>
      <c r="S484" s="8"/>
      <c r="T484" s="8"/>
      <c r="U484" s="8"/>
      <c r="V484" s="11"/>
      <c r="W484" s="8"/>
      <c r="X484" s="8"/>
      <c r="Y484" s="9"/>
      <c r="Z484" s="8"/>
      <c r="AA484" s="8"/>
      <c r="AB484" s="8"/>
      <c r="AC484" s="11"/>
      <c r="AD484" s="8"/>
      <c r="AE484" s="9"/>
      <c r="AF484" s="8"/>
      <c r="AG484" s="9"/>
      <c r="AH484" s="8"/>
      <c r="AI484" s="8"/>
      <c r="AJ484" s="8"/>
      <c r="AK484" s="11"/>
      <c r="AL484" s="8"/>
      <c r="AM484" s="8"/>
      <c r="AN484" s="9"/>
      <c r="AO484" s="8"/>
      <c r="AP484" s="8"/>
      <c r="AQ484" s="8"/>
    </row>
    <row r="485" spans="1:43" x14ac:dyDescent="0.15">
      <c r="A485" s="8"/>
      <c r="B485" s="8"/>
      <c r="C485" s="8"/>
      <c r="D485" s="8"/>
      <c r="E485" s="9"/>
      <c r="F485" s="8"/>
      <c r="G485" s="10"/>
      <c r="H485" s="11"/>
      <c r="I485" s="8"/>
      <c r="J485" s="9"/>
      <c r="K485" s="8"/>
      <c r="L485" s="9"/>
      <c r="M485" s="8"/>
      <c r="N485" s="11"/>
      <c r="O485" s="8"/>
      <c r="P485" s="9"/>
      <c r="Q485" s="8"/>
      <c r="R485" s="9"/>
      <c r="S485" s="8"/>
      <c r="T485" s="8"/>
      <c r="U485" s="8"/>
      <c r="V485" s="11"/>
      <c r="W485" s="8"/>
      <c r="X485" s="8"/>
      <c r="Y485" s="9"/>
      <c r="Z485" s="8"/>
      <c r="AA485" s="8"/>
      <c r="AB485" s="8"/>
      <c r="AC485" s="11"/>
      <c r="AD485" s="8"/>
      <c r="AE485" s="9"/>
      <c r="AF485" s="8"/>
      <c r="AG485" s="9"/>
      <c r="AH485" s="8"/>
      <c r="AI485" s="8"/>
      <c r="AJ485" s="8"/>
      <c r="AK485" s="11"/>
      <c r="AL485" s="8"/>
      <c r="AM485" s="8"/>
      <c r="AN485" s="9"/>
      <c r="AO485" s="8"/>
      <c r="AP485" s="8"/>
      <c r="AQ485" s="8"/>
    </row>
    <row r="486" spans="1:43" x14ac:dyDescent="0.15">
      <c r="A486" s="8"/>
      <c r="B486" s="8"/>
      <c r="C486" s="8"/>
      <c r="D486" s="8"/>
      <c r="E486" s="9"/>
      <c r="F486" s="8"/>
      <c r="G486" s="10"/>
      <c r="H486" s="11"/>
      <c r="I486" s="8"/>
      <c r="J486" s="9"/>
      <c r="K486" s="8"/>
      <c r="L486" s="9"/>
      <c r="M486" s="8"/>
      <c r="N486" s="11"/>
      <c r="O486" s="8"/>
      <c r="P486" s="9"/>
      <c r="Q486" s="8"/>
      <c r="R486" s="9"/>
      <c r="S486" s="8"/>
      <c r="T486" s="8"/>
      <c r="U486" s="8"/>
      <c r="V486" s="11"/>
      <c r="W486" s="8"/>
      <c r="X486" s="8"/>
      <c r="Y486" s="9"/>
      <c r="Z486" s="8"/>
      <c r="AA486" s="8"/>
      <c r="AB486" s="8"/>
      <c r="AC486" s="11"/>
      <c r="AD486" s="8"/>
      <c r="AE486" s="9"/>
      <c r="AF486" s="8"/>
      <c r="AG486" s="9"/>
      <c r="AH486" s="8"/>
      <c r="AI486" s="8"/>
      <c r="AJ486" s="8"/>
      <c r="AK486" s="11"/>
      <c r="AL486" s="8"/>
      <c r="AM486" s="8"/>
      <c r="AN486" s="9"/>
      <c r="AO486" s="8"/>
      <c r="AP486" s="8"/>
      <c r="AQ486" s="8"/>
    </row>
    <row r="487" spans="1:43" x14ac:dyDescent="0.15">
      <c r="A487" s="8"/>
      <c r="B487" s="8"/>
      <c r="C487" s="8"/>
      <c r="D487" s="8"/>
      <c r="E487" s="9"/>
      <c r="F487" s="8"/>
      <c r="G487" s="10"/>
      <c r="H487" s="11"/>
      <c r="I487" s="8"/>
      <c r="J487" s="9"/>
      <c r="K487" s="8"/>
      <c r="L487" s="9"/>
      <c r="M487" s="8"/>
      <c r="N487" s="11"/>
      <c r="O487" s="8"/>
      <c r="P487" s="9"/>
      <c r="Q487" s="8"/>
      <c r="R487" s="9"/>
      <c r="S487" s="8"/>
      <c r="T487" s="8"/>
      <c r="U487" s="8"/>
      <c r="V487" s="11"/>
      <c r="W487" s="8"/>
      <c r="X487" s="8"/>
      <c r="Y487" s="9"/>
      <c r="Z487" s="8"/>
      <c r="AA487" s="8"/>
      <c r="AB487" s="8"/>
      <c r="AC487" s="11"/>
      <c r="AD487" s="8"/>
      <c r="AE487" s="9"/>
      <c r="AF487" s="8"/>
      <c r="AG487" s="9"/>
      <c r="AH487" s="8"/>
      <c r="AI487" s="8"/>
      <c r="AJ487" s="8"/>
      <c r="AK487" s="11"/>
      <c r="AL487" s="8"/>
      <c r="AM487" s="8"/>
      <c r="AN487" s="9"/>
      <c r="AO487" s="8"/>
      <c r="AP487" s="8"/>
      <c r="AQ487" s="8"/>
    </row>
    <row r="488" spans="1:43" x14ac:dyDescent="0.15">
      <c r="A488" s="8"/>
      <c r="B488" s="8"/>
      <c r="C488" s="8"/>
      <c r="D488" s="8"/>
      <c r="E488" s="9"/>
      <c r="F488" s="8"/>
      <c r="G488" s="10"/>
      <c r="H488" s="11"/>
      <c r="I488" s="8"/>
      <c r="J488" s="9"/>
      <c r="K488" s="8"/>
      <c r="L488" s="9"/>
      <c r="M488" s="8"/>
      <c r="N488" s="11"/>
      <c r="O488" s="8"/>
      <c r="P488" s="9"/>
      <c r="Q488" s="8"/>
      <c r="R488" s="9"/>
      <c r="S488" s="8"/>
      <c r="T488" s="8"/>
      <c r="U488" s="8"/>
      <c r="V488" s="11"/>
      <c r="W488" s="8"/>
      <c r="X488" s="8"/>
      <c r="Y488" s="9"/>
      <c r="Z488" s="8"/>
      <c r="AA488" s="8"/>
      <c r="AB488" s="8"/>
      <c r="AC488" s="11"/>
      <c r="AD488" s="8"/>
      <c r="AE488" s="9"/>
      <c r="AF488" s="8"/>
      <c r="AG488" s="9"/>
      <c r="AH488" s="8"/>
      <c r="AI488" s="8"/>
      <c r="AJ488" s="8"/>
      <c r="AK488" s="11"/>
      <c r="AL488" s="8"/>
      <c r="AM488" s="8"/>
      <c r="AN488" s="9"/>
      <c r="AO488" s="8"/>
      <c r="AP488" s="8"/>
      <c r="AQ488" s="8"/>
    </row>
    <row r="489" spans="1:43" x14ac:dyDescent="0.15">
      <c r="A489" s="8"/>
      <c r="B489" s="8"/>
      <c r="C489" s="8"/>
      <c r="D489" s="8"/>
      <c r="E489" s="9"/>
      <c r="F489" s="8"/>
      <c r="G489" s="10"/>
      <c r="H489" s="11"/>
      <c r="I489" s="8"/>
      <c r="J489" s="9"/>
      <c r="K489" s="8"/>
      <c r="L489" s="9"/>
      <c r="M489" s="8"/>
      <c r="N489" s="11"/>
      <c r="O489" s="8"/>
      <c r="P489" s="9"/>
      <c r="Q489" s="8"/>
      <c r="R489" s="9"/>
      <c r="S489" s="8"/>
      <c r="T489" s="8"/>
      <c r="U489" s="8"/>
      <c r="V489" s="11"/>
      <c r="W489" s="8"/>
      <c r="X489" s="8"/>
      <c r="Y489" s="9"/>
      <c r="Z489" s="8"/>
      <c r="AA489" s="8"/>
      <c r="AB489" s="8"/>
      <c r="AC489" s="11"/>
      <c r="AD489" s="8"/>
      <c r="AE489" s="9"/>
      <c r="AF489" s="8"/>
      <c r="AG489" s="9"/>
      <c r="AH489" s="8"/>
      <c r="AI489" s="8"/>
      <c r="AJ489" s="8"/>
      <c r="AK489" s="11"/>
      <c r="AL489" s="8"/>
      <c r="AM489" s="8"/>
      <c r="AN489" s="9"/>
      <c r="AO489" s="8"/>
      <c r="AP489" s="8"/>
      <c r="AQ489" s="8"/>
    </row>
    <row r="490" spans="1:43" x14ac:dyDescent="0.15">
      <c r="A490" s="8"/>
      <c r="B490" s="8"/>
      <c r="C490" s="8"/>
      <c r="D490" s="8"/>
      <c r="E490" s="9"/>
      <c r="F490" s="8"/>
      <c r="G490" s="10"/>
      <c r="H490" s="11"/>
      <c r="I490" s="8"/>
      <c r="J490" s="9"/>
      <c r="K490" s="8"/>
      <c r="L490" s="9"/>
      <c r="M490" s="8"/>
      <c r="N490" s="11"/>
      <c r="O490" s="8"/>
      <c r="P490" s="9"/>
      <c r="Q490" s="8"/>
      <c r="R490" s="9"/>
      <c r="S490" s="8"/>
      <c r="T490" s="8"/>
      <c r="U490" s="8"/>
      <c r="V490" s="11"/>
      <c r="W490" s="8"/>
      <c r="X490" s="8"/>
      <c r="Y490" s="9"/>
      <c r="Z490" s="8"/>
      <c r="AA490" s="8"/>
      <c r="AB490" s="8"/>
      <c r="AC490" s="11"/>
      <c r="AD490" s="8"/>
      <c r="AE490" s="9"/>
      <c r="AF490" s="8"/>
      <c r="AG490" s="9"/>
      <c r="AH490" s="8"/>
      <c r="AI490" s="8"/>
      <c r="AJ490" s="8"/>
      <c r="AK490" s="11"/>
      <c r="AL490" s="8"/>
      <c r="AM490" s="8"/>
      <c r="AN490" s="9"/>
      <c r="AO490" s="8"/>
      <c r="AP490" s="8"/>
      <c r="AQ490" s="8"/>
    </row>
    <row r="491" spans="1:43" x14ac:dyDescent="0.15">
      <c r="A491" s="8"/>
      <c r="B491" s="8"/>
      <c r="C491" s="8"/>
      <c r="D491" s="8"/>
      <c r="E491" s="9"/>
      <c r="F491" s="8"/>
      <c r="G491" s="10"/>
      <c r="H491" s="11"/>
      <c r="I491" s="8"/>
      <c r="J491" s="9"/>
      <c r="K491" s="8"/>
      <c r="L491" s="9"/>
      <c r="M491" s="8"/>
      <c r="N491" s="11"/>
      <c r="O491" s="8"/>
      <c r="P491" s="9"/>
      <c r="Q491" s="8"/>
      <c r="R491" s="9"/>
      <c r="S491" s="8"/>
      <c r="T491" s="8"/>
      <c r="U491" s="8"/>
      <c r="V491" s="11"/>
      <c r="W491" s="8"/>
      <c r="X491" s="8"/>
      <c r="Y491" s="9"/>
      <c r="Z491" s="8"/>
      <c r="AA491" s="8"/>
      <c r="AB491" s="8"/>
      <c r="AC491" s="11"/>
      <c r="AD491" s="8"/>
      <c r="AE491" s="9"/>
      <c r="AF491" s="8"/>
      <c r="AG491" s="9"/>
      <c r="AH491" s="8"/>
      <c r="AI491" s="8"/>
      <c r="AJ491" s="8"/>
      <c r="AK491" s="11"/>
      <c r="AL491" s="8"/>
      <c r="AM491" s="8"/>
      <c r="AN491" s="9"/>
      <c r="AO491" s="8"/>
      <c r="AP491" s="8"/>
      <c r="AQ491" s="8"/>
    </row>
    <row r="492" spans="1:43" x14ac:dyDescent="0.15">
      <c r="A492" s="8"/>
      <c r="B492" s="8"/>
      <c r="C492" s="8"/>
      <c r="D492" s="8"/>
      <c r="E492" s="9"/>
      <c r="F492" s="8"/>
      <c r="G492" s="10"/>
      <c r="H492" s="11"/>
      <c r="I492" s="8"/>
      <c r="J492" s="9"/>
      <c r="K492" s="8"/>
      <c r="L492" s="9"/>
      <c r="M492" s="8"/>
      <c r="N492" s="11"/>
      <c r="O492" s="8"/>
      <c r="P492" s="9"/>
      <c r="Q492" s="8"/>
      <c r="R492" s="9"/>
      <c r="S492" s="8"/>
      <c r="T492" s="8"/>
      <c r="U492" s="8"/>
      <c r="V492" s="11"/>
      <c r="W492" s="8"/>
      <c r="X492" s="8"/>
      <c r="Y492" s="9"/>
      <c r="Z492" s="8"/>
      <c r="AA492" s="8"/>
      <c r="AB492" s="8"/>
      <c r="AC492" s="11"/>
      <c r="AD492" s="8"/>
      <c r="AE492" s="9"/>
      <c r="AF492" s="8"/>
      <c r="AG492" s="9"/>
      <c r="AH492" s="8"/>
      <c r="AI492" s="8"/>
      <c r="AJ492" s="8"/>
      <c r="AK492" s="11"/>
      <c r="AL492" s="8"/>
      <c r="AM492" s="8"/>
      <c r="AN492" s="9"/>
      <c r="AO492" s="8"/>
      <c r="AP492" s="8"/>
      <c r="AQ492" s="8"/>
    </row>
    <row r="493" spans="1:43" x14ac:dyDescent="0.15">
      <c r="A493" s="8"/>
      <c r="B493" s="8"/>
      <c r="C493" s="8"/>
      <c r="D493" s="8"/>
      <c r="E493" s="9"/>
      <c r="F493" s="8"/>
      <c r="G493" s="10"/>
      <c r="H493" s="11"/>
      <c r="I493" s="8"/>
      <c r="J493" s="9"/>
      <c r="K493" s="8"/>
      <c r="L493" s="9"/>
      <c r="M493" s="8"/>
      <c r="N493" s="11"/>
      <c r="O493" s="8"/>
      <c r="P493" s="9"/>
      <c r="Q493" s="8"/>
      <c r="R493" s="9"/>
      <c r="S493" s="8"/>
      <c r="T493" s="8"/>
      <c r="U493" s="8"/>
      <c r="V493" s="11"/>
      <c r="W493" s="8"/>
      <c r="X493" s="8"/>
      <c r="Y493" s="9"/>
      <c r="Z493" s="8"/>
      <c r="AA493" s="8"/>
      <c r="AB493" s="8"/>
      <c r="AC493" s="11"/>
      <c r="AD493" s="8"/>
      <c r="AE493" s="9"/>
      <c r="AF493" s="8"/>
      <c r="AG493" s="9"/>
      <c r="AH493" s="8"/>
      <c r="AI493" s="8"/>
      <c r="AJ493" s="8"/>
      <c r="AK493" s="11"/>
      <c r="AL493" s="8"/>
      <c r="AM493" s="8"/>
      <c r="AN493" s="9"/>
      <c r="AO493" s="8"/>
      <c r="AP493" s="8"/>
      <c r="AQ493" s="8"/>
    </row>
    <row r="494" spans="1:43" x14ac:dyDescent="0.15">
      <c r="A494" s="8"/>
      <c r="B494" s="8"/>
      <c r="C494" s="8"/>
      <c r="D494" s="8"/>
      <c r="E494" s="9"/>
      <c r="F494" s="8"/>
      <c r="G494" s="10"/>
      <c r="H494" s="11"/>
      <c r="I494" s="8"/>
      <c r="J494" s="9"/>
      <c r="K494" s="8"/>
      <c r="L494" s="9"/>
      <c r="M494" s="8"/>
      <c r="N494" s="11"/>
      <c r="O494" s="8"/>
      <c r="P494" s="9"/>
      <c r="Q494" s="8"/>
      <c r="R494" s="9"/>
      <c r="S494" s="8"/>
      <c r="T494" s="8"/>
      <c r="U494" s="8"/>
      <c r="V494" s="11"/>
      <c r="W494" s="8"/>
      <c r="X494" s="8"/>
      <c r="Y494" s="9"/>
      <c r="Z494" s="8"/>
      <c r="AA494" s="8"/>
      <c r="AB494" s="8"/>
      <c r="AC494" s="11"/>
      <c r="AD494" s="8"/>
      <c r="AE494" s="9"/>
      <c r="AF494" s="8"/>
      <c r="AG494" s="9"/>
      <c r="AH494" s="8"/>
      <c r="AI494" s="8"/>
      <c r="AJ494" s="8"/>
      <c r="AK494" s="11"/>
      <c r="AL494" s="8"/>
      <c r="AM494" s="8"/>
      <c r="AN494" s="9"/>
      <c r="AO494" s="8"/>
      <c r="AP494" s="8"/>
      <c r="AQ494" s="8"/>
    </row>
    <row r="495" spans="1:43" x14ac:dyDescent="0.15">
      <c r="A495" s="8"/>
      <c r="B495" s="8"/>
      <c r="C495" s="8"/>
      <c r="D495" s="8"/>
      <c r="E495" s="9"/>
      <c r="F495" s="8"/>
      <c r="G495" s="10"/>
      <c r="H495" s="11"/>
      <c r="I495" s="8"/>
      <c r="J495" s="9"/>
      <c r="K495" s="8"/>
      <c r="L495" s="9"/>
      <c r="M495" s="8"/>
      <c r="N495" s="11"/>
      <c r="O495" s="8"/>
      <c r="P495" s="9"/>
      <c r="Q495" s="8"/>
      <c r="R495" s="9"/>
      <c r="S495" s="8"/>
      <c r="T495" s="8"/>
      <c r="U495" s="8"/>
      <c r="V495" s="11"/>
      <c r="W495" s="8"/>
      <c r="X495" s="8"/>
      <c r="Y495" s="9"/>
      <c r="Z495" s="8"/>
      <c r="AA495" s="8"/>
      <c r="AB495" s="8"/>
      <c r="AC495" s="11"/>
      <c r="AD495" s="8"/>
      <c r="AE495" s="9"/>
      <c r="AF495" s="8"/>
      <c r="AG495" s="9"/>
      <c r="AH495" s="8"/>
      <c r="AI495" s="8"/>
      <c r="AJ495" s="8"/>
      <c r="AK495" s="11"/>
      <c r="AL495" s="8"/>
      <c r="AM495" s="8"/>
      <c r="AN495" s="9"/>
      <c r="AO495" s="8"/>
      <c r="AP495" s="8"/>
      <c r="AQ495" s="8"/>
    </row>
    <row r="496" spans="1:43" x14ac:dyDescent="0.15">
      <c r="A496" s="8"/>
      <c r="B496" s="8"/>
      <c r="C496" s="8"/>
      <c r="D496" s="8"/>
      <c r="E496" s="9"/>
      <c r="F496" s="8"/>
      <c r="G496" s="10"/>
      <c r="H496" s="11"/>
      <c r="I496" s="8"/>
      <c r="J496" s="9"/>
      <c r="K496" s="8"/>
      <c r="L496" s="9"/>
      <c r="M496" s="8"/>
      <c r="N496" s="11"/>
      <c r="O496" s="8"/>
      <c r="P496" s="9"/>
      <c r="Q496" s="8"/>
      <c r="R496" s="9"/>
      <c r="S496" s="8"/>
      <c r="T496" s="8"/>
      <c r="U496" s="8"/>
      <c r="V496" s="11"/>
      <c r="W496" s="8"/>
      <c r="X496" s="8"/>
      <c r="Y496" s="9"/>
      <c r="Z496" s="8"/>
      <c r="AA496" s="8"/>
      <c r="AB496" s="8"/>
      <c r="AC496" s="11"/>
      <c r="AD496" s="8"/>
      <c r="AE496" s="9"/>
      <c r="AF496" s="8"/>
      <c r="AG496" s="9"/>
      <c r="AH496" s="8"/>
      <c r="AI496" s="8"/>
      <c r="AJ496" s="8"/>
      <c r="AK496" s="11"/>
      <c r="AL496" s="8"/>
      <c r="AM496" s="8"/>
      <c r="AN496" s="9"/>
      <c r="AO496" s="8"/>
      <c r="AP496" s="8"/>
      <c r="AQ496" s="8"/>
    </row>
    <row r="497" spans="1:43" x14ac:dyDescent="0.15">
      <c r="A497" s="8"/>
      <c r="B497" s="8"/>
      <c r="C497" s="8"/>
      <c r="D497" s="8"/>
      <c r="E497" s="9"/>
      <c r="F497" s="8"/>
      <c r="G497" s="10"/>
      <c r="H497" s="11"/>
      <c r="I497" s="8"/>
      <c r="J497" s="9"/>
      <c r="K497" s="8"/>
      <c r="L497" s="9"/>
      <c r="M497" s="8"/>
      <c r="N497" s="11"/>
      <c r="O497" s="8"/>
      <c r="P497" s="9"/>
      <c r="Q497" s="8"/>
      <c r="R497" s="9"/>
      <c r="S497" s="8"/>
      <c r="T497" s="8"/>
      <c r="U497" s="8"/>
      <c r="V497" s="11"/>
      <c r="W497" s="8"/>
      <c r="X497" s="8"/>
      <c r="Y497" s="9"/>
      <c r="Z497" s="8"/>
      <c r="AA497" s="8"/>
      <c r="AB497" s="8"/>
      <c r="AC497" s="11"/>
      <c r="AD497" s="8"/>
      <c r="AE497" s="9"/>
      <c r="AF497" s="8"/>
      <c r="AG497" s="9"/>
      <c r="AH497" s="8"/>
      <c r="AI497" s="8"/>
      <c r="AJ497" s="8"/>
      <c r="AK497" s="11"/>
      <c r="AL497" s="8"/>
      <c r="AM497" s="8"/>
      <c r="AN497" s="9"/>
      <c r="AO497" s="8"/>
      <c r="AP497" s="8"/>
      <c r="AQ497" s="8"/>
    </row>
    <row r="498" spans="1:43" x14ac:dyDescent="0.15">
      <c r="A498" s="8"/>
      <c r="B498" s="8"/>
      <c r="C498" s="8"/>
      <c r="D498" s="8"/>
      <c r="E498" s="9"/>
      <c r="F498" s="8"/>
      <c r="G498" s="10"/>
      <c r="H498" s="11"/>
      <c r="I498" s="8"/>
      <c r="J498" s="9"/>
      <c r="K498" s="8"/>
      <c r="L498" s="9"/>
      <c r="M498" s="8"/>
      <c r="N498" s="11"/>
      <c r="O498" s="8"/>
      <c r="P498" s="9"/>
      <c r="Q498" s="8"/>
      <c r="R498" s="9"/>
      <c r="S498" s="8"/>
      <c r="T498" s="8"/>
      <c r="U498" s="8"/>
      <c r="V498" s="11"/>
      <c r="W498" s="8"/>
      <c r="X498" s="8"/>
      <c r="Y498" s="9"/>
      <c r="Z498" s="8"/>
      <c r="AA498" s="8"/>
      <c r="AB498" s="8"/>
      <c r="AC498" s="11"/>
      <c r="AD498" s="8"/>
      <c r="AE498" s="9"/>
      <c r="AF498" s="8"/>
      <c r="AG498" s="9"/>
      <c r="AH498" s="8"/>
      <c r="AI498" s="8"/>
      <c r="AJ498" s="8"/>
      <c r="AK498" s="11"/>
      <c r="AL498" s="8"/>
      <c r="AM498" s="8"/>
      <c r="AN498" s="9"/>
      <c r="AO498" s="8"/>
      <c r="AP498" s="8"/>
      <c r="AQ498" s="8"/>
    </row>
    <row r="499" spans="1:43" x14ac:dyDescent="0.15">
      <c r="A499" s="8"/>
      <c r="B499" s="8"/>
      <c r="C499" s="8"/>
      <c r="D499" s="8"/>
      <c r="E499" s="9"/>
      <c r="F499" s="8"/>
      <c r="G499" s="10"/>
      <c r="H499" s="11"/>
      <c r="I499" s="8"/>
      <c r="J499" s="9"/>
      <c r="K499" s="8"/>
      <c r="L499" s="9"/>
      <c r="M499" s="8"/>
      <c r="N499" s="11"/>
      <c r="O499" s="8"/>
      <c r="P499" s="9"/>
      <c r="Q499" s="8"/>
      <c r="R499" s="9"/>
      <c r="S499" s="8"/>
      <c r="T499" s="8"/>
      <c r="U499" s="8"/>
      <c r="V499" s="11"/>
      <c r="W499" s="8"/>
      <c r="X499" s="8"/>
      <c r="Y499" s="9"/>
      <c r="Z499" s="8"/>
      <c r="AA499" s="8"/>
      <c r="AB499" s="8"/>
      <c r="AC499" s="11"/>
      <c r="AD499" s="8"/>
      <c r="AE499" s="9"/>
      <c r="AF499" s="8"/>
      <c r="AG499" s="9"/>
      <c r="AH499" s="8"/>
      <c r="AI499" s="8"/>
      <c r="AJ499" s="8"/>
      <c r="AK499" s="11"/>
      <c r="AL499" s="8"/>
      <c r="AM499" s="8"/>
      <c r="AN499" s="9"/>
      <c r="AO499" s="8"/>
      <c r="AP499" s="8"/>
      <c r="AQ499" s="8"/>
    </row>
    <row r="500" spans="1:43" x14ac:dyDescent="0.15">
      <c r="A500" s="8"/>
      <c r="B500" s="8"/>
      <c r="C500" s="8"/>
      <c r="D500" s="8"/>
      <c r="E500" s="9"/>
      <c r="F500" s="8"/>
      <c r="G500" s="10"/>
      <c r="H500" s="11"/>
      <c r="I500" s="8"/>
      <c r="J500" s="9"/>
      <c r="K500" s="8"/>
      <c r="L500" s="9"/>
      <c r="M500" s="8"/>
      <c r="N500" s="11"/>
      <c r="O500" s="8"/>
      <c r="P500" s="9"/>
      <c r="Q500" s="8"/>
      <c r="R500" s="9"/>
      <c r="S500" s="8"/>
      <c r="T500" s="8"/>
      <c r="U500" s="8"/>
      <c r="V500" s="11"/>
      <c r="W500" s="8"/>
      <c r="X500" s="8"/>
      <c r="Y500" s="9"/>
      <c r="Z500" s="8"/>
      <c r="AA500" s="8"/>
      <c r="AB500" s="8"/>
      <c r="AC500" s="11"/>
      <c r="AD500" s="8"/>
      <c r="AE500" s="9"/>
      <c r="AF500" s="8"/>
      <c r="AG500" s="9"/>
      <c r="AH500" s="8"/>
      <c r="AI500" s="8"/>
      <c r="AJ500" s="8"/>
      <c r="AK500" s="11"/>
      <c r="AL500" s="8"/>
      <c r="AM500" s="8"/>
      <c r="AN500" s="9"/>
      <c r="AO500" s="8"/>
      <c r="AP500" s="8"/>
      <c r="AQ500" s="8"/>
    </row>
    <row r="501" spans="1:43" x14ac:dyDescent="0.15">
      <c r="A501" s="8"/>
      <c r="B501" s="8"/>
      <c r="C501" s="8"/>
      <c r="D501" s="8"/>
      <c r="E501" s="9"/>
      <c r="F501" s="8"/>
      <c r="G501" s="10"/>
      <c r="H501" s="11"/>
      <c r="I501" s="8"/>
      <c r="J501" s="9"/>
      <c r="K501" s="8"/>
      <c r="L501" s="9"/>
      <c r="M501" s="8"/>
      <c r="N501" s="11"/>
      <c r="O501" s="8"/>
      <c r="P501" s="9"/>
      <c r="Q501" s="8"/>
      <c r="R501" s="9"/>
      <c r="S501" s="8"/>
      <c r="T501" s="8"/>
      <c r="U501" s="8"/>
      <c r="V501" s="11"/>
      <c r="W501" s="8"/>
      <c r="X501" s="8"/>
      <c r="Y501" s="9"/>
      <c r="Z501" s="8"/>
      <c r="AA501" s="8"/>
      <c r="AB501" s="8"/>
      <c r="AC501" s="11"/>
      <c r="AD501" s="8"/>
      <c r="AE501" s="9"/>
      <c r="AF501" s="8"/>
      <c r="AG501" s="9"/>
      <c r="AH501" s="8"/>
      <c r="AI501" s="8"/>
      <c r="AJ501" s="8"/>
      <c r="AK501" s="11"/>
      <c r="AL501" s="8"/>
      <c r="AM501" s="8"/>
      <c r="AN501" s="9"/>
      <c r="AO501" s="8"/>
      <c r="AP501" s="8"/>
      <c r="AQ501" s="8"/>
    </row>
    <row r="502" spans="1:43" x14ac:dyDescent="0.15">
      <c r="A502" s="8"/>
      <c r="B502" s="8"/>
      <c r="C502" s="8"/>
      <c r="D502" s="8"/>
      <c r="E502" s="9"/>
      <c r="F502" s="8"/>
      <c r="G502" s="10"/>
      <c r="H502" s="11"/>
      <c r="I502" s="8"/>
      <c r="J502" s="9"/>
      <c r="K502" s="8"/>
      <c r="L502" s="9"/>
      <c r="M502" s="8"/>
      <c r="N502" s="11"/>
      <c r="O502" s="8"/>
      <c r="P502" s="9"/>
      <c r="Q502" s="8"/>
      <c r="R502" s="9"/>
      <c r="S502" s="8"/>
      <c r="T502" s="8"/>
      <c r="U502" s="8"/>
      <c r="V502" s="11"/>
      <c r="W502" s="8"/>
      <c r="X502" s="8"/>
      <c r="Y502" s="9"/>
      <c r="Z502" s="8"/>
      <c r="AA502" s="8"/>
      <c r="AB502" s="8"/>
      <c r="AC502" s="11"/>
      <c r="AD502" s="8"/>
      <c r="AE502" s="9"/>
      <c r="AF502" s="8"/>
      <c r="AG502" s="9"/>
      <c r="AH502" s="8"/>
      <c r="AI502" s="8"/>
      <c r="AJ502" s="8"/>
      <c r="AK502" s="11"/>
      <c r="AL502" s="8"/>
      <c r="AM502" s="8"/>
      <c r="AN502" s="9"/>
      <c r="AO502" s="8"/>
      <c r="AP502" s="8"/>
      <c r="AQ502" s="8"/>
    </row>
    <row r="503" spans="1:43" x14ac:dyDescent="0.15">
      <c r="A503" s="8"/>
      <c r="B503" s="8"/>
      <c r="C503" s="8"/>
      <c r="D503" s="8"/>
      <c r="E503" s="9"/>
      <c r="F503" s="8"/>
      <c r="G503" s="10"/>
      <c r="H503" s="11"/>
      <c r="I503" s="8"/>
      <c r="J503" s="9"/>
      <c r="K503" s="8"/>
      <c r="L503" s="9"/>
      <c r="M503" s="8"/>
      <c r="N503" s="11"/>
      <c r="O503" s="8"/>
      <c r="P503" s="9"/>
      <c r="Q503" s="8"/>
      <c r="R503" s="9"/>
      <c r="S503" s="8"/>
      <c r="T503" s="8"/>
      <c r="U503" s="8"/>
      <c r="V503" s="11"/>
      <c r="W503" s="8"/>
      <c r="X503" s="8"/>
      <c r="Y503" s="9"/>
      <c r="Z503" s="8"/>
      <c r="AA503" s="8"/>
      <c r="AB503" s="8"/>
      <c r="AC503" s="11"/>
      <c r="AD503" s="8"/>
      <c r="AE503" s="9"/>
      <c r="AF503" s="8"/>
      <c r="AG503" s="9"/>
      <c r="AH503" s="8"/>
      <c r="AI503" s="8"/>
      <c r="AJ503" s="8"/>
      <c r="AK503" s="11"/>
      <c r="AL503" s="8"/>
      <c r="AM503" s="8"/>
      <c r="AN503" s="9"/>
      <c r="AO503" s="8"/>
      <c r="AP503" s="8"/>
      <c r="AQ503" s="8"/>
    </row>
    <row r="504" spans="1:43" x14ac:dyDescent="0.15">
      <c r="A504" s="8"/>
      <c r="B504" s="8"/>
      <c r="C504" s="8"/>
      <c r="D504" s="8"/>
      <c r="E504" s="9"/>
      <c r="F504" s="8"/>
      <c r="G504" s="10"/>
      <c r="H504" s="11"/>
      <c r="I504" s="8"/>
      <c r="J504" s="9"/>
      <c r="K504" s="8"/>
      <c r="L504" s="9"/>
      <c r="M504" s="8"/>
      <c r="N504" s="11"/>
      <c r="O504" s="8"/>
      <c r="P504" s="9"/>
      <c r="Q504" s="8"/>
      <c r="R504" s="9"/>
      <c r="S504" s="8"/>
      <c r="T504" s="8"/>
      <c r="U504" s="8"/>
      <c r="V504" s="11"/>
      <c r="W504" s="8"/>
      <c r="X504" s="8"/>
      <c r="Y504" s="9"/>
      <c r="Z504" s="8"/>
      <c r="AA504" s="8"/>
      <c r="AB504" s="8"/>
      <c r="AC504" s="11"/>
      <c r="AD504" s="8"/>
      <c r="AE504" s="9"/>
      <c r="AF504" s="8"/>
      <c r="AG504" s="9"/>
      <c r="AH504" s="8"/>
      <c r="AI504" s="8"/>
      <c r="AJ504" s="8"/>
      <c r="AK504" s="11"/>
      <c r="AL504" s="8"/>
      <c r="AM504" s="8"/>
      <c r="AN504" s="9"/>
      <c r="AO504" s="8"/>
      <c r="AP504" s="8"/>
      <c r="AQ504" s="8"/>
    </row>
    <row r="505" spans="1:43" x14ac:dyDescent="0.15">
      <c r="A505" s="8"/>
      <c r="B505" s="8"/>
      <c r="C505" s="8"/>
      <c r="D505" s="8"/>
      <c r="E505" s="9"/>
      <c r="F505" s="8"/>
      <c r="G505" s="10"/>
      <c r="H505" s="11"/>
      <c r="I505" s="8"/>
      <c r="J505" s="9"/>
      <c r="K505" s="8"/>
      <c r="L505" s="9"/>
      <c r="M505" s="8"/>
      <c r="N505" s="11"/>
      <c r="O505" s="8"/>
      <c r="P505" s="9"/>
      <c r="Q505" s="8"/>
      <c r="R505" s="9"/>
      <c r="S505" s="8"/>
      <c r="T505" s="8"/>
      <c r="U505" s="8"/>
      <c r="V505" s="11"/>
      <c r="W505" s="8"/>
      <c r="X505" s="8"/>
      <c r="Y505" s="9"/>
      <c r="Z505" s="8"/>
      <c r="AA505" s="8"/>
      <c r="AB505" s="8"/>
      <c r="AC505" s="11"/>
      <c r="AD505" s="8"/>
      <c r="AE505" s="9"/>
      <c r="AF505" s="8"/>
      <c r="AG505" s="9"/>
      <c r="AH505" s="8"/>
      <c r="AI505" s="8"/>
      <c r="AJ505" s="8"/>
      <c r="AK505" s="11"/>
      <c r="AL505" s="8"/>
      <c r="AM505" s="8"/>
      <c r="AN505" s="9"/>
      <c r="AO505" s="8"/>
      <c r="AP505" s="8"/>
      <c r="AQ505" s="8"/>
    </row>
    <row r="506" spans="1:43" x14ac:dyDescent="0.15">
      <c r="A506" s="8"/>
      <c r="B506" s="8"/>
      <c r="C506" s="8"/>
      <c r="D506" s="8"/>
      <c r="E506" s="9"/>
      <c r="F506" s="8"/>
      <c r="G506" s="10"/>
      <c r="H506" s="11"/>
      <c r="I506" s="8"/>
      <c r="J506" s="9"/>
      <c r="K506" s="8"/>
      <c r="L506" s="9"/>
      <c r="M506" s="8"/>
      <c r="N506" s="11"/>
      <c r="O506" s="8"/>
      <c r="P506" s="9"/>
      <c r="Q506" s="8"/>
      <c r="R506" s="9"/>
      <c r="S506" s="8"/>
      <c r="T506" s="8"/>
      <c r="U506" s="8"/>
      <c r="V506" s="11"/>
      <c r="W506" s="8"/>
      <c r="X506" s="8"/>
      <c r="Y506" s="9"/>
      <c r="Z506" s="8"/>
      <c r="AA506" s="8"/>
      <c r="AB506" s="8"/>
      <c r="AC506" s="11"/>
      <c r="AD506" s="8"/>
      <c r="AE506" s="9"/>
      <c r="AF506" s="8"/>
      <c r="AG506" s="9"/>
      <c r="AH506" s="8"/>
      <c r="AI506" s="8"/>
      <c r="AJ506" s="8"/>
      <c r="AK506" s="11"/>
      <c r="AL506" s="8"/>
      <c r="AM506" s="8"/>
      <c r="AN506" s="9"/>
      <c r="AO506" s="8"/>
      <c r="AP506" s="8"/>
      <c r="AQ506" s="8"/>
    </row>
    <row r="507" spans="1:43" x14ac:dyDescent="0.15">
      <c r="A507" s="8"/>
      <c r="B507" s="8"/>
      <c r="C507" s="8"/>
      <c r="D507" s="8"/>
      <c r="E507" s="9"/>
      <c r="F507" s="8"/>
      <c r="G507" s="10"/>
      <c r="H507" s="11"/>
      <c r="I507" s="8"/>
      <c r="J507" s="9"/>
      <c r="K507" s="8"/>
      <c r="L507" s="9"/>
      <c r="M507" s="8"/>
      <c r="N507" s="11"/>
      <c r="O507" s="8"/>
      <c r="P507" s="9"/>
      <c r="Q507" s="8"/>
      <c r="R507" s="9"/>
      <c r="S507" s="8"/>
      <c r="T507" s="8"/>
      <c r="U507" s="8"/>
      <c r="V507" s="11"/>
      <c r="W507" s="8"/>
      <c r="X507" s="8"/>
      <c r="Y507" s="9"/>
      <c r="Z507" s="8"/>
      <c r="AA507" s="8"/>
      <c r="AB507" s="8"/>
      <c r="AC507" s="11"/>
      <c r="AD507" s="8"/>
      <c r="AE507" s="9"/>
      <c r="AF507" s="8"/>
      <c r="AG507" s="9"/>
      <c r="AH507" s="8"/>
      <c r="AI507" s="8"/>
      <c r="AJ507" s="8"/>
      <c r="AK507" s="11"/>
      <c r="AL507" s="8"/>
      <c r="AM507" s="8"/>
      <c r="AN507" s="9"/>
      <c r="AO507" s="8"/>
      <c r="AP507" s="8"/>
      <c r="AQ507" s="8"/>
    </row>
    <row r="508" spans="1:43" x14ac:dyDescent="0.15">
      <c r="A508" s="8"/>
      <c r="B508" s="8"/>
      <c r="C508" s="8"/>
      <c r="D508" s="8"/>
      <c r="E508" s="9"/>
      <c r="F508" s="8"/>
      <c r="G508" s="10"/>
      <c r="H508" s="11"/>
      <c r="I508" s="8"/>
      <c r="J508" s="9"/>
      <c r="K508" s="8"/>
      <c r="L508" s="9"/>
      <c r="M508" s="8"/>
      <c r="N508" s="11"/>
      <c r="O508" s="8"/>
      <c r="P508" s="9"/>
      <c r="Q508" s="8"/>
      <c r="R508" s="9"/>
      <c r="S508" s="8"/>
      <c r="T508" s="8"/>
      <c r="U508" s="8"/>
      <c r="V508" s="11"/>
      <c r="W508" s="8"/>
      <c r="X508" s="8"/>
      <c r="Y508" s="9"/>
      <c r="Z508" s="8"/>
      <c r="AA508" s="8"/>
      <c r="AB508" s="8"/>
      <c r="AC508" s="11"/>
      <c r="AD508" s="8"/>
      <c r="AE508" s="9"/>
      <c r="AF508" s="8"/>
      <c r="AG508" s="9"/>
      <c r="AH508" s="8"/>
      <c r="AI508" s="8"/>
      <c r="AJ508" s="8"/>
      <c r="AK508" s="11"/>
      <c r="AL508" s="8"/>
      <c r="AM508" s="8"/>
      <c r="AN508" s="9"/>
      <c r="AO508" s="8"/>
      <c r="AP508" s="8"/>
      <c r="AQ508" s="8"/>
    </row>
    <row r="509" spans="1:43" x14ac:dyDescent="0.15">
      <c r="A509" s="8"/>
      <c r="B509" s="8"/>
      <c r="C509" s="8"/>
      <c r="D509" s="8"/>
      <c r="E509" s="9"/>
      <c r="F509" s="8"/>
      <c r="G509" s="10"/>
      <c r="H509" s="11"/>
      <c r="I509" s="8"/>
      <c r="J509" s="9"/>
      <c r="K509" s="8"/>
      <c r="L509" s="9"/>
      <c r="M509" s="8"/>
      <c r="N509" s="11"/>
      <c r="O509" s="8"/>
      <c r="P509" s="9"/>
      <c r="Q509" s="8"/>
      <c r="R509" s="9"/>
      <c r="S509" s="8"/>
      <c r="T509" s="8"/>
      <c r="U509" s="8"/>
      <c r="V509" s="11"/>
      <c r="W509" s="8"/>
      <c r="X509" s="8"/>
      <c r="Y509" s="9"/>
      <c r="Z509" s="8"/>
      <c r="AA509" s="8"/>
      <c r="AB509" s="8"/>
      <c r="AC509" s="11"/>
      <c r="AD509" s="8"/>
      <c r="AE509" s="9"/>
      <c r="AF509" s="8"/>
      <c r="AG509" s="9"/>
      <c r="AH509" s="8"/>
      <c r="AI509" s="8"/>
      <c r="AJ509" s="8"/>
      <c r="AK509" s="11"/>
      <c r="AL509" s="8"/>
      <c r="AM509" s="8"/>
      <c r="AN509" s="9"/>
      <c r="AO509" s="8"/>
      <c r="AP509" s="8"/>
      <c r="AQ509" s="8"/>
    </row>
    <row r="510" spans="1:43" x14ac:dyDescent="0.15">
      <c r="A510" s="8"/>
      <c r="B510" s="8"/>
      <c r="C510" s="8"/>
      <c r="D510" s="8"/>
      <c r="E510" s="9"/>
      <c r="F510" s="8"/>
      <c r="G510" s="10"/>
      <c r="H510" s="11"/>
      <c r="I510" s="8"/>
      <c r="J510" s="9"/>
      <c r="K510" s="8"/>
      <c r="L510" s="9"/>
      <c r="M510" s="8"/>
      <c r="N510" s="11"/>
      <c r="O510" s="8"/>
      <c r="P510" s="9"/>
      <c r="Q510" s="8"/>
      <c r="R510" s="9"/>
      <c r="S510" s="8"/>
      <c r="T510" s="8"/>
      <c r="U510" s="8"/>
      <c r="V510" s="11"/>
      <c r="W510" s="8"/>
      <c r="X510" s="8"/>
      <c r="Y510" s="9"/>
      <c r="Z510" s="8"/>
      <c r="AA510" s="8"/>
      <c r="AB510" s="8"/>
      <c r="AC510" s="11"/>
      <c r="AD510" s="8"/>
      <c r="AE510" s="9"/>
      <c r="AF510" s="8"/>
      <c r="AG510" s="9"/>
      <c r="AH510" s="8"/>
      <c r="AI510" s="8"/>
      <c r="AJ510" s="8"/>
      <c r="AK510" s="11"/>
      <c r="AL510" s="8"/>
      <c r="AM510" s="8"/>
      <c r="AN510" s="9"/>
      <c r="AO510" s="8"/>
      <c r="AP510" s="8"/>
      <c r="AQ510" s="8"/>
    </row>
    <row r="511" spans="1:43" x14ac:dyDescent="0.15">
      <c r="A511" s="8"/>
      <c r="B511" s="8"/>
      <c r="C511" s="8"/>
      <c r="D511" s="8"/>
      <c r="E511" s="9"/>
      <c r="F511" s="8"/>
      <c r="G511" s="10"/>
      <c r="H511" s="11"/>
      <c r="I511" s="8"/>
      <c r="J511" s="9"/>
      <c r="K511" s="8"/>
      <c r="L511" s="9"/>
      <c r="M511" s="8"/>
      <c r="N511" s="11"/>
      <c r="O511" s="8"/>
      <c r="P511" s="9"/>
      <c r="Q511" s="8"/>
      <c r="R511" s="9"/>
      <c r="S511" s="8"/>
      <c r="T511" s="8"/>
      <c r="U511" s="8"/>
      <c r="V511" s="11"/>
      <c r="W511" s="8"/>
      <c r="X511" s="8"/>
      <c r="Y511" s="9"/>
      <c r="Z511" s="8"/>
      <c r="AA511" s="8"/>
      <c r="AB511" s="8"/>
      <c r="AC511" s="11"/>
      <c r="AD511" s="8"/>
      <c r="AE511" s="9"/>
      <c r="AF511" s="8"/>
      <c r="AG511" s="9"/>
      <c r="AH511" s="8"/>
      <c r="AI511" s="8"/>
      <c r="AJ511" s="8"/>
      <c r="AK511" s="11"/>
      <c r="AL511" s="8"/>
      <c r="AM511" s="8"/>
      <c r="AN511" s="9"/>
      <c r="AO511" s="8"/>
      <c r="AP511" s="8"/>
      <c r="AQ511" s="8"/>
    </row>
    <row r="512" spans="1:43" x14ac:dyDescent="0.15">
      <c r="A512" s="8"/>
      <c r="B512" s="8"/>
      <c r="C512" s="8"/>
      <c r="D512" s="8"/>
      <c r="E512" s="9"/>
      <c r="F512" s="8"/>
      <c r="G512" s="10"/>
      <c r="H512" s="11"/>
      <c r="I512" s="8"/>
      <c r="J512" s="9"/>
      <c r="K512" s="8"/>
      <c r="L512" s="9"/>
      <c r="M512" s="8"/>
      <c r="N512" s="11"/>
      <c r="O512" s="8"/>
      <c r="P512" s="9"/>
      <c r="Q512" s="8"/>
      <c r="R512" s="9"/>
      <c r="S512" s="8"/>
      <c r="T512" s="8"/>
      <c r="U512" s="8"/>
      <c r="V512" s="11"/>
      <c r="W512" s="8"/>
      <c r="X512" s="8"/>
      <c r="Y512" s="9"/>
      <c r="Z512" s="8"/>
      <c r="AA512" s="8"/>
      <c r="AB512" s="8"/>
      <c r="AC512" s="11"/>
      <c r="AD512" s="8"/>
      <c r="AE512" s="9"/>
      <c r="AF512" s="8"/>
      <c r="AG512" s="9"/>
      <c r="AH512" s="8"/>
      <c r="AI512" s="8"/>
      <c r="AJ512" s="8"/>
      <c r="AK512" s="11"/>
      <c r="AL512" s="8"/>
      <c r="AM512" s="8"/>
      <c r="AN512" s="9"/>
      <c r="AO512" s="8"/>
      <c r="AP512" s="8"/>
      <c r="AQ512" s="8"/>
    </row>
    <row r="513" spans="1:43" x14ac:dyDescent="0.15">
      <c r="A513" s="8"/>
      <c r="B513" s="8"/>
      <c r="C513" s="8"/>
      <c r="D513" s="8"/>
      <c r="E513" s="9"/>
      <c r="F513" s="8"/>
      <c r="G513" s="10"/>
      <c r="H513" s="11"/>
      <c r="I513" s="8"/>
      <c r="J513" s="9"/>
      <c r="K513" s="8"/>
      <c r="L513" s="9"/>
      <c r="M513" s="8"/>
      <c r="N513" s="11"/>
      <c r="O513" s="8"/>
      <c r="P513" s="9"/>
      <c r="Q513" s="8"/>
      <c r="R513" s="9"/>
      <c r="S513" s="8"/>
      <c r="T513" s="8"/>
      <c r="U513" s="8"/>
      <c r="V513" s="11"/>
      <c r="W513" s="8"/>
      <c r="X513" s="8"/>
      <c r="Y513" s="9"/>
      <c r="Z513" s="8"/>
      <c r="AA513" s="8"/>
      <c r="AB513" s="8"/>
      <c r="AC513" s="11"/>
      <c r="AD513" s="8"/>
      <c r="AE513" s="9"/>
      <c r="AF513" s="8"/>
      <c r="AG513" s="9"/>
      <c r="AH513" s="8"/>
      <c r="AI513" s="8"/>
      <c r="AJ513" s="8"/>
      <c r="AK513" s="11"/>
      <c r="AL513" s="8"/>
      <c r="AM513" s="8"/>
      <c r="AN513" s="9"/>
      <c r="AO513" s="8"/>
      <c r="AP513" s="8"/>
      <c r="AQ513" s="8"/>
    </row>
    <row r="514" spans="1:43" x14ac:dyDescent="0.15">
      <c r="A514" s="8"/>
      <c r="B514" s="8"/>
      <c r="C514" s="8"/>
      <c r="D514" s="8"/>
      <c r="E514" s="9"/>
      <c r="F514" s="8"/>
      <c r="G514" s="10"/>
      <c r="H514" s="11"/>
      <c r="I514" s="8"/>
      <c r="J514" s="9"/>
      <c r="K514" s="8"/>
      <c r="L514" s="9"/>
      <c r="M514" s="8"/>
      <c r="N514" s="11"/>
      <c r="O514" s="8"/>
      <c r="P514" s="9"/>
      <c r="Q514" s="8"/>
      <c r="R514" s="9"/>
      <c r="S514" s="8"/>
      <c r="T514" s="8"/>
      <c r="U514" s="8"/>
      <c r="V514" s="11"/>
      <c r="W514" s="8"/>
      <c r="X514" s="8"/>
      <c r="Y514" s="9"/>
      <c r="Z514" s="8"/>
      <c r="AA514" s="8"/>
      <c r="AB514" s="8"/>
      <c r="AC514" s="11"/>
      <c r="AD514" s="8"/>
      <c r="AE514" s="9"/>
      <c r="AF514" s="8"/>
      <c r="AG514" s="9"/>
      <c r="AH514" s="8"/>
      <c r="AI514" s="8"/>
      <c r="AJ514" s="8"/>
      <c r="AK514" s="11"/>
      <c r="AL514" s="8"/>
      <c r="AM514" s="8"/>
      <c r="AN514" s="9"/>
      <c r="AO514" s="8"/>
      <c r="AP514" s="8"/>
      <c r="AQ514" s="8"/>
    </row>
    <row r="515" spans="1:43" x14ac:dyDescent="0.15">
      <c r="A515" s="8"/>
      <c r="B515" s="8"/>
      <c r="C515" s="8"/>
      <c r="D515" s="8"/>
      <c r="E515" s="9"/>
      <c r="F515" s="8"/>
      <c r="G515" s="10"/>
      <c r="H515" s="11"/>
      <c r="I515" s="8"/>
      <c r="J515" s="9"/>
      <c r="K515" s="8"/>
      <c r="L515" s="9"/>
      <c r="M515" s="8"/>
      <c r="N515" s="11"/>
      <c r="O515" s="8"/>
      <c r="P515" s="9"/>
      <c r="Q515" s="8"/>
      <c r="R515" s="9"/>
      <c r="S515" s="8"/>
      <c r="T515" s="8"/>
      <c r="U515" s="8"/>
      <c r="V515" s="11"/>
      <c r="W515" s="8"/>
      <c r="X515" s="8"/>
      <c r="Y515" s="9"/>
      <c r="Z515" s="8"/>
      <c r="AA515" s="8"/>
      <c r="AB515" s="8"/>
      <c r="AC515" s="11"/>
      <c r="AD515" s="8"/>
      <c r="AE515" s="9"/>
      <c r="AF515" s="8"/>
      <c r="AG515" s="9"/>
      <c r="AH515" s="8"/>
      <c r="AI515" s="8"/>
      <c r="AJ515" s="8"/>
      <c r="AK515" s="11"/>
      <c r="AL515" s="8"/>
      <c r="AM515" s="8"/>
      <c r="AN515" s="9"/>
      <c r="AO515" s="8"/>
      <c r="AP515" s="8"/>
      <c r="AQ515" s="8"/>
    </row>
    <row r="516" spans="1:43" x14ac:dyDescent="0.15">
      <c r="A516" s="8"/>
      <c r="B516" s="8"/>
      <c r="C516" s="8"/>
      <c r="D516" s="8"/>
      <c r="E516" s="9"/>
      <c r="F516" s="8"/>
      <c r="G516" s="10"/>
      <c r="H516" s="11"/>
      <c r="I516" s="8"/>
      <c r="J516" s="9"/>
      <c r="K516" s="8"/>
      <c r="L516" s="9"/>
      <c r="M516" s="8"/>
      <c r="N516" s="11"/>
      <c r="O516" s="8"/>
      <c r="P516" s="9"/>
      <c r="Q516" s="8"/>
      <c r="R516" s="9"/>
      <c r="S516" s="8"/>
      <c r="T516" s="8"/>
      <c r="U516" s="8"/>
      <c r="V516" s="11"/>
      <c r="W516" s="8"/>
      <c r="X516" s="8"/>
      <c r="Y516" s="9"/>
      <c r="Z516" s="8"/>
      <c r="AA516" s="8"/>
      <c r="AB516" s="8"/>
      <c r="AC516" s="11"/>
      <c r="AD516" s="8"/>
      <c r="AE516" s="9"/>
      <c r="AF516" s="8"/>
      <c r="AG516" s="9"/>
      <c r="AH516" s="8"/>
      <c r="AI516" s="8"/>
      <c r="AJ516" s="8"/>
      <c r="AK516" s="11"/>
      <c r="AL516" s="8"/>
      <c r="AM516" s="8"/>
      <c r="AN516" s="9"/>
      <c r="AO516" s="8"/>
      <c r="AP516" s="8"/>
      <c r="AQ516" s="8"/>
    </row>
    <row r="517" spans="1:43" x14ac:dyDescent="0.15">
      <c r="A517" s="8"/>
      <c r="B517" s="8"/>
      <c r="C517" s="8"/>
      <c r="D517" s="8"/>
      <c r="E517" s="9"/>
      <c r="F517" s="8"/>
      <c r="G517" s="10"/>
      <c r="H517" s="11"/>
      <c r="I517" s="8"/>
      <c r="J517" s="9"/>
      <c r="K517" s="8"/>
      <c r="L517" s="9"/>
      <c r="M517" s="8"/>
      <c r="N517" s="11"/>
      <c r="O517" s="8"/>
      <c r="P517" s="9"/>
      <c r="Q517" s="8"/>
      <c r="R517" s="9"/>
      <c r="S517" s="8"/>
      <c r="T517" s="8"/>
      <c r="U517" s="8"/>
      <c r="V517" s="11"/>
      <c r="W517" s="8"/>
      <c r="X517" s="8"/>
      <c r="Y517" s="9"/>
      <c r="Z517" s="8"/>
      <c r="AA517" s="8"/>
      <c r="AB517" s="8"/>
      <c r="AC517" s="11"/>
      <c r="AD517" s="8"/>
      <c r="AE517" s="9"/>
      <c r="AF517" s="8"/>
      <c r="AG517" s="9"/>
      <c r="AH517" s="8"/>
      <c r="AI517" s="8"/>
      <c r="AJ517" s="8"/>
      <c r="AK517" s="11"/>
      <c r="AL517" s="8"/>
      <c r="AM517" s="8"/>
      <c r="AN517" s="9"/>
      <c r="AO517" s="8"/>
      <c r="AP517" s="8"/>
      <c r="AQ517" s="8"/>
    </row>
    <row r="518" spans="1:43" x14ac:dyDescent="0.15">
      <c r="A518" s="8"/>
      <c r="B518" s="8"/>
      <c r="C518" s="8"/>
      <c r="D518" s="8"/>
      <c r="E518" s="9"/>
      <c r="F518" s="8"/>
      <c r="G518" s="10"/>
      <c r="H518" s="11"/>
      <c r="I518" s="8"/>
      <c r="J518" s="9"/>
      <c r="K518" s="8"/>
      <c r="L518" s="9"/>
      <c r="M518" s="8"/>
      <c r="N518" s="11"/>
      <c r="O518" s="8"/>
      <c r="P518" s="9"/>
      <c r="Q518" s="8"/>
      <c r="R518" s="9"/>
      <c r="S518" s="8"/>
      <c r="T518" s="8"/>
      <c r="U518" s="8"/>
      <c r="V518" s="11"/>
      <c r="W518" s="8"/>
      <c r="X518" s="8"/>
      <c r="Y518" s="9"/>
      <c r="Z518" s="8"/>
      <c r="AA518" s="8"/>
      <c r="AB518" s="8"/>
      <c r="AC518" s="11"/>
      <c r="AD518" s="8"/>
      <c r="AE518" s="9"/>
      <c r="AF518" s="8"/>
      <c r="AG518" s="9"/>
      <c r="AH518" s="8"/>
      <c r="AI518" s="8"/>
      <c r="AJ518" s="8"/>
      <c r="AK518" s="11"/>
      <c r="AL518" s="8"/>
      <c r="AM518" s="8"/>
      <c r="AN518" s="9"/>
      <c r="AO518" s="8"/>
      <c r="AP518" s="8"/>
      <c r="AQ518" s="8"/>
    </row>
    <row r="519" spans="1:43" x14ac:dyDescent="0.15">
      <c r="A519" s="8"/>
      <c r="B519" s="8"/>
      <c r="C519" s="8"/>
      <c r="D519" s="8"/>
      <c r="E519" s="8"/>
      <c r="F519" s="8"/>
      <c r="G519" s="10"/>
      <c r="H519" s="11"/>
      <c r="I519" s="8"/>
      <c r="J519" s="9"/>
      <c r="K519" s="8"/>
      <c r="L519" s="9"/>
      <c r="M519" s="8"/>
      <c r="N519" s="11"/>
      <c r="O519" s="8"/>
      <c r="P519" s="9"/>
      <c r="Q519" s="8"/>
      <c r="R519" s="9"/>
      <c r="S519" s="8"/>
      <c r="T519" s="8"/>
      <c r="U519" s="8"/>
      <c r="V519" s="11"/>
      <c r="W519" s="8"/>
      <c r="X519" s="8"/>
      <c r="Y519" s="9"/>
      <c r="Z519" s="8"/>
      <c r="AA519" s="8"/>
      <c r="AB519" s="8"/>
      <c r="AC519" s="11"/>
      <c r="AD519" s="8"/>
      <c r="AE519" s="9"/>
      <c r="AF519" s="8"/>
      <c r="AG519" s="9"/>
      <c r="AH519" s="8"/>
      <c r="AI519" s="8"/>
      <c r="AJ519" s="8"/>
      <c r="AK519" s="11"/>
      <c r="AL519" s="8"/>
      <c r="AM519" s="8"/>
      <c r="AN519" s="9"/>
      <c r="AO519" s="8"/>
      <c r="AP519" s="8"/>
      <c r="AQ519" s="8"/>
    </row>
    <row r="520" spans="1:43" x14ac:dyDescent="0.15">
      <c r="A520" s="8"/>
      <c r="B520" s="8"/>
      <c r="C520" s="8"/>
      <c r="D520" s="8"/>
      <c r="E520" s="8"/>
      <c r="F520" s="8"/>
      <c r="G520" s="10"/>
      <c r="H520" s="11"/>
      <c r="I520" s="8"/>
      <c r="J520" s="9"/>
      <c r="K520" s="8"/>
      <c r="L520" s="9"/>
      <c r="M520" s="8"/>
      <c r="N520" s="11"/>
      <c r="O520" s="8"/>
      <c r="P520" s="9"/>
      <c r="Q520" s="8"/>
      <c r="R520" s="9"/>
      <c r="S520" s="8"/>
      <c r="T520" s="8"/>
      <c r="U520" s="8"/>
      <c r="V520" s="11"/>
      <c r="W520" s="8"/>
      <c r="X520" s="8"/>
      <c r="Y520" s="9"/>
      <c r="Z520" s="8"/>
      <c r="AA520" s="8"/>
      <c r="AB520" s="8"/>
      <c r="AC520" s="11"/>
      <c r="AD520" s="8"/>
      <c r="AE520" s="9"/>
      <c r="AF520" s="8"/>
      <c r="AG520" s="9"/>
      <c r="AH520" s="8"/>
      <c r="AI520" s="8"/>
      <c r="AJ520" s="8"/>
      <c r="AK520" s="11"/>
      <c r="AL520" s="8"/>
      <c r="AM520" s="8"/>
      <c r="AN520" s="9"/>
      <c r="AO520" s="8"/>
      <c r="AP520" s="8"/>
      <c r="AQ520" s="8"/>
    </row>
    <row r="521" spans="1:43" x14ac:dyDescent="0.15">
      <c r="A521" s="8"/>
      <c r="B521" s="8"/>
      <c r="C521" s="8"/>
      <c r="D521" s="8"/>
      <c r="E521" s="8"/>
      <c r="F521" s="8"/>
      <c r="G521" s="10"/>
      <c r="H521" s="11"/>
      <c r="I521" s="8"/>
      <c r="J521" s="9"/>
      <c r="K521" s="8"/>
      <c r="L521" s="9"/>
      <c r="M521" s="8"/>
      <c r="N521" s="11"/>
      <c r="O521" s="8"/>
      <c r="P521" s="9"/>
      <c r="Q521" s="8"/>
      <c r="R521" s="9"/>
      <c r="S521" s="8"/>
      <c r="T521" s="8"/>
      <c r="U521" s="8"/>
      <c r="V521" s="11"/>
      <c r="W521" s="8"/>
      <c r="X521" s="8"/>
      <c r="Y521" s="9"/>
      <c r="Z521" s="8"/>
      <c r="AA521" s="8"/>
      <c r="AB521" s="8"/>
      <c r="AC521" s="11"/>
      <c r="AD521" s="8"/>
      <c r="AE521" s="9"/>
      <c r="AF521" s="8"/>
      <c r="AG521" s="9"/>
      <c r="AH521" s="8"/>
      <c r="AI521" s="8"/>
      <c r="AJ521" s="8"/>
      <c r="AK521" s="11"/>
      <c r="AL521" s="8"/>
      <c r="AM521" s="8"/>
      <c r="AN521" s="9"/>
      <c r="AO521" s="8"/>
      <c r="AP521" s="8"/>
      <c r="AQ521" s="8"/>
    </row>
    <row r="522" spans="1:43" x14ac:dyDescent="0.15">
      <c r="A522" s="8"/>
      <c r="B522" s="8"/>
      <c r="C522" s="8"/>
      <c r="D522" s="8"/>
      <c r="E522" s="8"/>
      <c r="F522" s="8"/>
      <c r="G522" s="10"/>
      <c r="H522" s="11"/>
      <c r="I522" s="8"/>
      <c r="J522" s="9"/>
      <c r="K522" s="8"/>
      <c r="L522" s="9"/>
      <c r="M522" s="8"/>
      <c r="N522" s="11"/>
      <c r="O522" s="8"/>
      <c r="P522" s="9"/>
      <c r="Q522" s="8"/>
      <c r="R522" s="9"/>
      <c r="S522" s="8"/>
      <c r="T522" s="8"/>
      <c r="U522" s="8"/>
      <c r="V522" s="11"/>
      <c r="W522" s="8"/>
      <c r="X522" s="8"/>
      <c r="Y522" s="9"/>
      <c r="Z522" s="8"/>
      <c r="AA522" s="8"/>
      <c r="AB522" s="8"/>
      <c r="AC522" s="11"/>
      <c r="AD522" s="8"/>
      <c r="AE522" s="9"/>
      <c r="AF522" s="8"/>
      <c r="AG522" s="9"/>
      <c r="AH522" s="8"/>
      <c r="AI522" s="8"/>
      <c r="AJ522" s="8"/>
      <c r="AK522" s="11"/>
      <c r="AL522" s="8"/>
      <c r="AM522" s="8"/>
      <c r="AN522" s="9"/>
      <c r="AO522" s="8"/>
      <c r="AP522" s="8"/>
      <c r="AQ522" s="8"/>
    </row>
    <row r="523" spans="1:43" x14ac:dyDescent="0.15">
      <c r="A523" s="8"/>
      <c r="B523" s="8"/>
      <c r="C523" s="8"/>
      <c r="D523" s="8"/>
      <c r="E523" s="8"/>
      <c r="F523" s="8"/>
      <c r="G523" s="10"/>
      <c r="H523" s="11"/>
      <c r="I523" s="8"/>
      <c r="J523" s="9"/>
      <c r="K523" s="8"/>
      <c r="L523" s="9"/>
      <c r="M523" s="8"/>
      <c r="N523" s="11"/>
      <c r="O523" s="8"/>
      <c r="P523" s="9"/>
      <c r="Q523" s="8"/>
      <c r="R523" s="9"/>
      <c r="S523" s="8"/>
      <c r="T523" s="8"/>
      <c r="U523" s="8"/>
      <c r="V523" s="11"/>
      <c r="W523" s="8"/>
      <c r="X523" s="8"/>
      <c r="Y523" s="9"/>
      <c r="Z523" s="8"/>
      <c r="AA523" s="8"/>
      <c r="AB523" s="8"/>
      <c r="AC523" s="11"/>
      <c r="AD523" s="8"/>
      <c r="AE523" s="9"/>
      <c r="AF523" s="8"/>
      <c r="AG523" s="9"/>
      <c r="AH523" s="8"/>
      <c r="AI523" s="8"/>
      <c r="AJ523" s="8"/>
      <c r="AK523" s="11"/>
      <c r="AL523" s="8"/>
      <c r="AM523" s="8"/>
      <c r="AN523" s="9"/>
      <c r="AO523" s="8"/>
      <c r="AP523" s="8"/>
      <c r="AQ523" s="8"/>
    </row>
    <row r="524" spans="1:43" x14ac:dyDescent="0.15">
      <c r="A524" s="8"/>
      <c r="B524" s="8"/>
      <c r="C524" s="8"/>
      <c r="D524" s="8"/>
      <c r="E524" s="8"/>
      <c r="F524" s="8"/>
      <c r="G524" s="10"/>
      <c r="H524" s="11"/>
      <c r="I524" s="8"/>
      <c r="J524" s="9"/>
      <c r="K524" s="8"/>
      <c r="L524" s="9"/>
      <c r="M524" s="8"/>
      <c r="N524" s="11"/>
      <c r="O524" s="8"/>
      <c r="P524" s="9"/>
      <c r="Q524" s="8"/>
      <c r="R524" s="9"/>
      <c r="S524" s="8"/>
      <c r="T524" s="8"/>
      <c r="U524" s="8"/>
      <c r="V524" s="11"/>
      <c r="W524" s="8"/>
      <c r="X524" s="8"/>
      <c r="Y524" s="9"/>
      <c r="Z524" s="8"/>
      <c r="AA524" s="8"/>
      <c r="AB524" s="8"/>
      <c r="AC524" s="11"/>
      <c r="AD524" s="8"/>
      <c r="AE524" s="9"/>
      <c r="AF524" s="8"/>
      <c r="AG524" s="9"/>
      <c r="AH524" s="8"/>
      <c r="AI524" s="8"/>
      <c r="AJ524" s="8"/>
      <c r="AK524" s="11"/>
      <c r="AL524" s="8"/>
      <c r="AM524" s="8"/>
      <c r="AN524" s="9"/>
      <c r="AO524" s="8"/>
      <c r="AP524" s="8"/>
      <c r="AQ524" s="8"/>
    </row>
    <row r="525" spans="1:43" x14ac:dyDescent="0.15">
      <c r="A525" s="8"/>
      <c r="B525" s="8"/>
      <c r="C525" s="8"/>
      <c r="D525" s="8"/>
      <c r="E525" s="8"/>
      <c r="F525" s="8"/>
      <c r="G525" s="10"/>
      <c r="H525" s="11"/>
      <c r="I525" s="8"/>
      <c r="J525" s="9"/>
      <c r="K525" s="8"/>
      <c r="L525" s="9"/>
      <c r="M525" s="8"/>
      <c r="N525" s="11"/>
      <c r="O525" s="8"/>
      <c r="P525" s="9"/>
      <c r="Q525" s="8"/>
      <c r="R525" s="9"/>
      <c r="S525" s="8"/>
      <c r="T525" s="8"/>
      <c r="U525" s="8"/>
      <c r="V525" s="11"/>
      <c r="W525" s="8"/>
      <c r="X525" s="8"/>
      <c r="Y525" s="9"/>
      <c r="Z525" s="8"/>
      <c r="AA525" s="8"/>
      <c r="AB525" s="8"/>
      <c r="AC525" s="11"/>
      <c r="AD525" s="8"/>
      <c r="AE525" s="9"/>
      <c r="AF525" s="8"/>
      <c r="AG525" s="9"/>
      <c r="AH525" s="8"/>
      <c r="AI525" s="8"/>
      <c r="AJ525" s="8"/>
      <c r="AK525" s="11"/>
      <c r="AL525" s="8"/>
      <c r="AM525" s="8"/>
      <c r="AN525" s="9"/>
      <c r="AO525" s="8"/>
      <c r="AP525" s="8"/>
      <c r="AQ525" s="8"/>
    </row>
    <row r="526" spans="1:43" x14ac:dyDescent="0.15">
      <c r="A526" s="8"/>
      <c r="B526" s="8"/>
      <c r="C526" s="8"/>
      <c r="D526" s="8"/>
      <c r="E526" s="8"/>
      <c r="F526" s="8"/>
      <c r="G526" s="10"/>
      <c r="H526" s="11"/>
      <c r="I526" s="8"/>
      <c r="J526" s="9"/>
      <c r="K526" s="8"/>
      <c r="L526" s="9"/>
      <c r="M526" s="8"/>
      <c r="N526" s="11"/>
      <c r="O526" s="8"/>
      <c r="P526" s="9"/>
      <c r="Q526" s="8"/>
      <c r="R526" s="9"/>
      <c r="S526" s="8"/>
      <c r="T526" s="8"/>
      <c r="U526" s="8"/>
      <c r="V526" s="11"/>
      <c r="W526" s="8"/>
      <c r="X526" s="8"/>
      <c r="Y526" s="9"/>
      <c r="Z526" s="8"/>
      <c r="AA526" s="8"/>
      <c r="AB526" s="8"/>
      <c r="AC526" s="11"/>
      <c r="AD526" s="8"/>
      <c r="AE526" s="9"/>
      <c r="AF526" s="8"/>
      <c r="AG526" s="9"/>
      <c r="AH526" s="8"/>
      <c r="AI526" s="8"/>
      <c r="AJ526" s="8"/>
      <c r="AK526" s="11"/>
      <c r="AL526" s="8"/>
      <c r="AM526" s="8"/>
      <c r="AN526" s="9"/>
      <c r="AO526" s="8"/>
      <c r="AP526" s="8"/>
      <c r="AQ526" s="8"/>
    </row>
    <row r="527" spans="1:43" x14ac:dyDescent="0.15">
      <c r="A527" s="8"/>
      <c r="B527" s="8"/>
      <c r="C527" s="8"/>
      <c r="D527" s="8"/>
      <c r="E527" s="8"/>
      <c r="F527" s="8"/>
      <c r="G527" s="10"/>
      <c r="H527" s="11"/>
      <c r="I527" s="8"/>
      <c r="J527" s="9"/>
      <c r="K527" s="8"/>
      <c r="L527" s="9"/>
      <c r="M527" s="8"/>
      <c r="N527" s="11"/>
      <c r="O527" s="8"/>
      <c r="P527" s="9"/>
      <c r="Q527" s="8"/>
      <c r="R527" s="9"/>
      <c r="S527" s="8"/>
      <c r="T527" s="8"/>
      <c r="U527" s="8"/>
      <c r="V527" s="11"/>
      <c r="W527" s="8"/>
      <c r="X527" s="8"/>
      <c r="Y527" s="9"/>
      <c r="Z527" s="8"/>
      <c r="AA527" s="8"/>
      <c r="AB527" s="8"/>
      <c r="AC527" s="11"/>
      <c r="AD527" s="8"/>
      <c r="AE527" s="9"/>
      <c r="AF527" s="8"/>
      <c r="AG527" s="9"/>
      <c r="AH527" s="8"/>
      <c r="AI527" s="8"/>
      <c r="AJ527" s="8"/>
      <c r="AK527" s="11"/>
      <c r="AL527" s="8"/>
      <c r="AM527" s="8"/>
      <c r="AN527" s="9"/>
      <c r="AO527" s="8"/>
      <c r="AP527" s="8"/>
      <c r="AQ527" s="8"/>
    </row>
    <row r="528" spans="1:43" x14ac:dyDescent="0.15">
      <c r="A528" s="8"/>
      <c r="B528" s="8"/>
      <c r="C528" s="8"/>
      <c r="D528" s="8"/>
      <c r="E528" s="8"/>
      <c r="F528" s="8"/>
      <c r="G528" s="10"/>
      <c r="H528" s="11"/>
      <c r="I528" s="8"/>
      <c r="J528" s="9"/>
      <c r="K528" s="8"/>
      <c r="L528" s="9"/>
      <c r="M528" s="8"/>
      <c r="N528" s="11"/>
      <c r="O528" s="8"/>
      <c r="P528" s="9"/>
      <c r="Q528" s="8"/>
      <c r="R528" s="9"/>
      <c r="S528" s="8"/>
      <c r="T528" s="8"/>
      <c r="U528" s="8"/>
      <c r="V528" s="11"/>
      <c r="W528" s="8"/>
      <c r="X528" s="8"/>
      <c r="Y528" s="9"/>
      <c r="Z528" s="8"/>
      <c r="AA528" s="8"/>
      <c r="AB528" s="8"/>
      <c r="AC528" s="11"/>
      <c r="AD528" s="8"/>
      <c r="AE528" s="9"/>
      <c r="AF528" s="8"/>
      <c r="AG528" s="9"/>
      <c r="AH528" s="8"/>
      <c r="AI528" s="8"/>
      <c r="AJ528" s="8"/>
      <c r="AK528" s="11"/>
      <c r="AL528" s="8"/>
      <c r="AM528" s="8"/>
      <c r="AN528" s="9"/>
      <c r="AO528" s="8"/>
      <c r="AP528" s="8"/>
      <c r="AQ528" s="8"/>
    </row>
    <row r="529" spans="1:43" x14ac:dyDescent="0.15">
      <c r="A529" s="8"/>
      <c r="B529" s="8"/>
      <c r="C529" s="8"/>
      <c r="D529" s="8"/>
      <c r="E529" s="8"/>
      <c r="F529" s="8"/>
      <c r="G529" s="10"/>
      <c r="H529" s="11"/>
      <c r="I529" s="8"/>
      <c r="J529" s="9"/>
      <c r="K529" s="8"/>
      <c r="L529" s="9"/>
      <c r="M529" s="8"/>
      <c r="N529" s="11"/>
      <c r="O529" s="8"/>
      <c r="P529" s="9"/>
      <c r="Q529" s="8"/>
      <c r="R529" s="9"/>
      <c r="S529" s="8"/>
      <c r="T529" s="8"/>
      <c r="U529" s="8"/>
      <c r="V529" s="11"/>
      <c r="W529" s="8"/>
      <c r="X529" s="8"/>
      <c r="Y529" s="9"/>
      <c r="Z529" s="8"/>
      <c r="AA529" s="8"/>
      <c r="AB529" s="8"/>
      <c r="AC529" s="11"/>
      <c r="AD529" s="8"/>
      <c r="AE529" s="9"/>
      <c r="AF529" s="8"/>
      <c r="AG529" s="9"/>
      <c r="AH529" s="8"/>
      <c r="AI529" s="8"/>
      <c r="AJ529" s="8"/>
      <c r="AK529" s="11"/>
      <c r="AL529" s="8"/>
      <c r="AM529" s="8"/>
      <c r="AN529" s="9"/>
      <c r="AO529" s="8"/>
      <c r="AP529" s="8"/>
      <c r="AQ529" s="8"/>
    </row>
    <row r="530" spans="1:43" x14ac:dyDescent="0.15">
      <c r="A530" s="8"/>
      <c r="B530" s="8"/>
      <c r="C530" s="8"/>
      <c r="D530" s="8"/>
      <c r="E530" s="8"/>
      <c r="F530" s="8"/>
      <c r="G530" s="10"/>
      <c r="H530" s="11"/>
      <c r="I530" s="8"/>
      <c r="J530" s="9"/>
      <c r="K530" s="8"/>
      <c r="L530" s="9"/>
      <c r="M530" s="8"/>
      <c r="N530" s="11"/>
      <c r="O530" s="8"/>
      <c r="P530" s="9"/>
      <c r="Q530" s="8"/>
      <c r="R530" s="9"/>
      <c r="S530" s="8"/>
      <c r="T530" s="8"/>
      <c r="U530" s="8"/>
      <c r="V530" s="11"/>
      <c r="W530" s="8"/>
      <c r="X530" s="8"/>
      <c r="Y530" s="9"/>
      <c r="Z530" s="8"/>
      <c r="AA530" s="8"/>
      <c r="AB530" s="8"/>
      <c r="AC530" s="11"/>
      <c r="AD530" s="8"/>
      <c r="AE530" s="9"/>
      <c r="AF530" s="8"/>
      <c r="AG530" s="9"/>
      <c r="AH530" s="8"/>
      <c r="AI530" s="8"/>
      <c r="AJ530" s="8"/>
      <c r="AK530" s="11"/>
      <c r="AL530" s="8"/>
      <c r="AM530" s="8"/>
      <c r="AN530" s="9"/>
      <c r="AO530" s="8"/>
      <c r="AP530" s="8"/>
      <c r="AQ530" s="8"/>
    </row>
    <row r="531" spans="1:43" x14ac:dyDescent="0.15">
      <c r="A531" s="8"/>
      <c r="B531" s="8"/>
      <c r="C531" s="8"/>
      <c r="D531" s="8"/>
      <c r="E531" s="8"/>
      <c r="F531" s="8"/>
      <c r="G531" s="10"/>
      <c r="H531" s="11"/>
      <c r="I531" s="8"/>
      <c r="J531" s="9"/>
      <c r="K531" s="8"/>
      <c r="L531" s="9"/>
      <c r="M531" s="8"/>
      <c r="N531" s="11"/>
      <c r="O531" s="8"/>
      <c r="P531" s="9"/>
      <c r="Q531" s="8"/>
      <c r="R531" s="9"/>
      <c r="S531" s="8"/>
      <c r="T531" s="8"/>
      <c r="U531" s="8"/>
      <c r="V531" s="11"/>
      <c r="W531" s="8"/>
      <c r="X531" s="8"/>
      <c r="Y531" s="9"/>
      <c r="Z531" s="8"/>
      <c r="AA531" s="8"/>
      <c r="AB531" s="8"/>
      <c r="AC531" s="11"/>
      <c r="AD531" s="8"/>
      <c r="AE531" s="9"/>
      <c r="AF531" s="8"/>
      <c r="AG531" s="9"/>
      <c r="AH531" s="8"/>
      <c r="AI531" s="8"/>
      <c r="AJ531" s="8"/>
      <c r="AK531" s="11"/>
      <c r="AL531" s="8"/>
      <c r="AM531" s="8"/>
      <c r="AN531" s="9"/>
      <c r="AO531" s="8"/>
      <c r="AP531" s="8"/>
      <c r="AQ531" s="8"/>
    </row>
    <row r="532" spans="1:43" x14ac:dyDescent="0.15">
      <c r="A532" s="8"/>
      <c r="B532" s="8"/>
      <c r="C532" s="8"/>
      <c r="D532" s="8"/>
      <c r="E532" s="8"/>
      <c r="F532" s="8"/>
      <c r="G532" s="10"/>
      <c r="H532" s="11"/>
      <c r="I532" s="8"/>
      <c r="J532" s="9"/>
      <c r="K532" s="8"/>
      <c r="L532" s="9"/>
      <c r="M532" s="8"/>
      <c r="N532" s="11"/>
      <c r="O532" s="8"/>
      <c r="P532" s="9"/>
      <c r="Q532" s="8"/>
      <c r="R532" s="9"/>
      <c r="S532" s="8"/>
      <c r="T532" s="8"/>
      <c r="U532" s="8"/>
      <c r="V532" s="11"/>
      <c r="W532" s="8"/>
      <c r="X532" s="8"/>
      <c r="Y532" s="9"/>
      <c r="Z532" s="8"/>
      <c r="AA532" s="8"/>
      <c r="AB532" s="8"/>
      <c r="AC532" s="11"/>
      <c r="AD532" s="8"/>
      <c r="AE532" s="9"/>
      <c r="AF532" s="8"/>
      <c r="AG532" s="9"/>
      <c r="AH532" s="8"/>
      <c r="AI532" s="8"/>
      <c r="AJ532" s="8"/>
      <c r="AK532" s="11"/>
      <c r="AL532" s="8"/>
      <c r="AM532" s="8"/>
      <c r="AN532" s="9"/>
      <c r="AO532" s="8"/>
      <c r="AP532" s="8"/>
      <c r="AQ532" s="8"/>
    </row>
    <row r="533" spans="1:43" x14ac:dyDescent="0.15">
      <c r="A533" s="8"/>
      <c r="B533" s="8"/>
      <c r="C533" s="8"/>
      <c r="D533" s="8"/>
      <c r="E533" s="8"/>
      <c r="F533" s="8"/>
      <c r="G533" s="10"/>
      <c r="H533" s="11"/>
      <c r="I533" s="8"/>
      <c r="J533" s="9"/>
      <c r="K533" s="8"/>
      <c r="L533" s="9"/>
      <c r="M533" s="8"/>
      <c r="N533" s="11"/>
      <c r="O533" s="8"/>
      <c r="P533" s="9"/>
      <c r="Q533" s="8"/>
      <c r="R533" s="9"/>
      <c r="S533" s="8"/>
      <c r="T533" s="8"/>
      <c r="U533" s="8"/>
      <c r="V533" s="11"/>
      <c r="W533" s="8"/>
      <c r="X533" s="8"/>
      <c r="Y533" s="9"/>
      <c r="Z533" s="8"/>
      <c r="AA533" s="8"/>
      <c r="AB533" s="8"/>
      <c r="AC533" s="11"/>
      <c r="AD533" s="8"/>
      <c r="AE533" s="9"/>
      <c r="AF533" s="8"/>
      <c r="AG533" s="9"/>
      <c r="AH533" s="8"/>
      <c r="AI533" s="8"/>
      <c r="AJ533" s="8"/>
      <c r="AK533" s="11"/>
      <c r="AL533" s="8"/>
      <c r="AM533" s="8"/>
      <c r="AN533" s="9"/>
      <c r="AO533" s="8"/>
      <c r="AP533" s="8"/>
      <c r="AQ533" s="8"/>
    </row>
    <row r="534" spans="1:43" x14ac:dyDescent="0.15">
      <c r="A534" s="8"/>
      <c r="B534" s="8"/>
      <c r="C534" s="8"/>
      <c r="D534" s="8"/>
      <c r="E534" s="8"/>
      <c r="F534" s="8"/>
      <c r="G534" s="10"/>
      <c r="H534" s="11"/>
      <c r="I534" s="8"/>
      <c r="J534" s="9"/>
      <c r="K534" s="8"/>
      <c r="L534" s="9"/>
      <c r="M534" s="8"/>
      <c r="N534" s="11"/>
      <c r="O534" s="8"/>
      <c r="P534" s="9"/>
      <c r="Q534" s="8"/>
      <c r="R534" s="9"/>
      <c r="S534" s="8"/>
      <c r="T534" s="8"/>
      <c r="U534" s="8"/>
      <c r="V534" s="11"/>
      <c r="W534" s="8"/>
      <c r="X534" s="8"/>
      <c r="Y534" s="9"/>
      <c r="Z534" s="8"/>
      <c r="AA534" s="8"/>
      <c r="AB534" s="8"/>
      <c r="AC534" s="11"/>
      <c r="AD534" s="8"/>
      <c r="AE534" s="9"/>
      <c r="AF534" s="8"/>
      <c r="AG534" s="9"/>
      <c r="AH534" s="8"/>
      <c r="AI534" s="8"/>
      <c r="AJ534" s="8"/>
      <c r="AK534" s="11"/>
      <c r="AL534" s="8"/>
      <c r="AM534" s="8"/>
      <c r="AN534" s="9"/>
      <c r="AO534" s="8"/>
      <c r="AP534" s="8"/>
      <c r="AQ534" s="8"/>
    </row>
    <row r="535" spans="1:43" x14ac:dyDescent="0.15">
      <c r="A535" s="8"/>
      <c r="B535" s="8"/>
      <c r="C535" s="8"/>
      <c r="D535" s="8"/>
      <c r="E535" s="8"/>
      <c r="F535" s="8"/>
      <c r="G535" s="10"/>
      <c r="H535" s="11"/>
      <c r="I535" s="8"/>
      <c r="J535" s="9"/>
      <c r="K535" s="8"/>
      <c r="L535" s="9"/>
      <c r="M535" s="8"/>
      <c r="N535" s="11"/>
      <c r="O535" s="8"/>
      <c r="P535" s="9"/>
      <c r="Q535" s="8"/>
      <c r="R535" s="9"/>
      <c r="S535" s="8"/>
      <c r="T535" s="8"/>
      <c r="U535" s="8"/>
      <c r="V535" s="11"/>
      <c r="W535" s="8"/>
      <c r="X535" s="8"/>
      <c r="Y535" s="9"/>
      <c r="Z535" s="8"/>
      <c r="AA535" s="8"/>
      <c r="AB535" s="8"/>
      <c r="AC535" s="11"/>
      <c r="AD535" s="8"/>
      <c r="AE535" s="9"/>
      <c r="AF535" s="8"/>
      <c r="AG535" s="9"/>
      <c r="AH535" s="8"/>
      <c r="AI535" s="8"/>
      <c r="AJ535" s="8"/>
      <c r="AK535" s="11"/>
      <c r="AL535" s="8"/>
      <c r="AM535" s="8"/>
      <c r="AN535" s="9"/>
      <c r="AO535" s="8"/>
      <c r="AP535" s="8"/>
      <c r="AQ535" s="8"/>
    </row>
    <row r="536" spans="1:43" x14ac:dyDescent="0.15">
      <c r="A536" s="8"/>
      <c r="B536" s="8"/>
      <c r="C536" s="8"/>
      <c r="D536" s="8"/>
      <c r="E536" s="8"/>
      <c r="F536" s="8"/>
      <c r="G536" s="10"/>
      <c r="H536" s="11"/>
      <c r="I536" s="8"/>
      <c r="J536" s="9"/>
      <c r="K536" s="8"/>
      <c r="L536" s="9"/>
      <c r="M536" s="8"/>
      <c r="N536" s="11"/>
      <c r="O536" s="8"/>
      <c r="P536" s="9"/>
      <c r="Q536" s="8"/>
      <c r="R536" s="9"/>
      <c r="S536" s="8"/>
      <c r="T536" s="8"/>
      <c r="U536" s="8"/>
      <c r="V536" s="11"/>
      <c r="W536" s="8"/>
      <c r="X536" s="8"/>
      <c r="Y536" s="9"/>
      <c r="Z536" s="8"/>
      <c r="AA536" s="8"/>
      <c r="AB536" s="8"/>
      <c r="AC536" s="11"/>
      <c r="AD536" s="8"/>
      <c r="AE536" s="9"/>
      <c r="AF536" s="8"/>
      <c r="AG536" s="9"/>
      <c r="AH536" s="8"/>
      <c r="AI536" s="8"/>
      <c r="AJ536" s="8"/>
      <c r="AK536" s="11"/>
      <c r="AL536" s="8"/>
      <c r="AM536" s="8"/>
      <c r="AN536" s="9"/>
      <c r="AO536" s="8"/>
      <c r="AP536" s="8"/>
      <c r="AQ536" s="8"/>
    </row>
    <row r="537" spans="1:43" x14ac:dyDescent="0.15">
      <c r="A537" s="8"/>
      <c r="B537" s="8"/>
      <c r="C537" s="8"/>
      <c r="D537" s="8"/>
      <c r="E537" s="8"/>
      <c r="F537" s="8"/>
      <c r="G537" s="10"/>
      <c r="H537" s="11"/>
      <c r="I537" s="8"/>
      <c r="J537" s="9"/>
      <c r="K537" s="8"/>
      <c r="L537" s="9"/>
      <c r="M537" s="8"/>
      <c r="N537" s="11"/>
      <c r="O537" s="8"/>
      <c r="P537" s="9"/>
      <c r="Q537" s="8"/>
      <c r="R537" s="9"/>
      <c r="S537" s="8"/>
      <c r="T537" s="8"/>
      <c r="U537" s="8"/>
      <c r="V537" s="11"/>
      <c r="W537" s="8"/>
      <c r="X537" s="8"/>
      <c r="Y537" s="9"/>
      <c r="Z537" s="8"/>
      <c r="AA537" s="8"/>
      <c r="AB537" s="8"/>
      <c r="AC537" s="11"/>
      <c r="AD537" s="8"/>
      <c r="AE537" s="9"/>
      <c r="AF537" s="8"/>
      <c r="AG537" s="9"/>
      <c r="AH537" s="8"/>
      <c r="AI537" s="8"/>
      <c r="AJ537" s="8"/>
      <c r="AK537" s="11"/>
      <c r="AL537" s="8"/>
      <c r="AM537" s="8"/>
      <c r="AN537" s="9"/>
      <c r="AO537" s="8"/>
      <c r="AP537" s="8"/>
      <c r="AQ537" s="8"/>
    </row>
    <row r="538" spans="1:43" x14ac:dyDescent="0.15">
      <c r="A538" s="8"/>
      <c r="B538" s="8"/>
      <c r="C538" s="8"/>
      <c r="D538" s="8"/>
      <c r="E538" s="8"/>
      <c r="F538" s="8"/>
      <c r="G538" s="10"/>
      <c r="H538" s="11"/>
      <c r="I538" s="8"/>
      <c r="J538" s="9"/>
      <c r="K538" s="8"/>
      <c r="L538" s="9"/>
      <c r="M538" s="8"/>
      <c r="N538" s="11"/>
      <c r="O538" s="8"/>
      <c r="P538" s="9"/>
      <c r="Q538" s="8"/>
      <c r="R538" s="9"/>
      <c r="S538" s="8"/>
      <c r="T538" s="8"/>
      <c r="U538" s="8"/>
      <c r="V538" s="11"/>
      <c r="W538" s="8"/>
      <c r="X538" s="8"/>
      <c r="Y538" s="9"/>
      <c r="Z538" s="8"/>
      <c r="AA538" s="8"/>
      <c r="AB538" s="8"/>
      <c r="AC538" s="11"/>
      <c r="AD538" s="8"/>
      <c r="AE538" s="9"/>
      <c r="AF538" s="8"/>
      <c r="AG538" s="9"/>
      <c r="AH538" s="8"/>
      <c r="AI538" s="8"/>
      <c r="AJ538" s="8"/>
      <c r="AK538" s="11"/>
      <c r="AL538" s="8"/>
      <c r="AM538" s="8"/>
      <c r="AN538" s="9"/>
      <c r="AO538" s="8"/>
      <c r="AP538" s="8"/>
      <c r="AQ538" s="8"/>
    </row>
    <row r="539" spans="1:43" x14ac:dyDescent="0.15">
      <c r="A539" s="8"/>
      <c r="B539" s="8"/>
      <c r="C539" s="8"/>
      <c r="D539" s="8"/>
      <c r="E539" s="8"/>
      <c r="F539" s="8"/>
      <c r="G539" s="10"/>
      <c r="H539" s="11"/>
      <c r="I539" s="8"/>
      <c r="J539" s="9"/>
      <c r="K539" s="8"/>
      <c r="L539" s="9"/>
      <c r="M539" s="8"/>
      <c r="N539" s="11"/>
      <c r="O539" s="8"/>
      <c r="P539" s="9"/>
      <c r="Q539" s="8"/>
      <c r="R539" s="9"/>
      <c r="S539" s="8"/>
      <c r="T539" s="8"/>
      <c r="U539" s="8"/>
      <c r="V539" s="11"/>
      <c r="W539" s="8"/>
      <c r="X539" s="8"/>
      <c r="Y539" s="9"/>
      <c r="Z539" s="8"/>
      <c r="AA539" s="8"/>
      <c r="AB539" s="8"/>
      <c r="AC539" s="11"/>
      <c r="AD539" s="8"/>
      <c r="AE539" s="9"/>
      <c r="AF539" s="8"/>
      <c r="AG539" s="9"/>
      <c r="AH539" s="8"/>
      <c r="AI539" s="8"/>
      <c r="AJ539" s="8"/>
      <c r="AK539" s="11"/>
      <c r="AL539" s="8"/>
      <c r="AM539" s="8"/>
      <c r="AN539" s="9"/>
      <c r="AO539" s="8"/>
      <c r="AP539" s="8"/>
      <c r="AQ539" s="8"/>
    </row>
    <row r="540" spans="1:43" x14ac:dyDescent="0.15">
      <c r="A540" s="8"/>
      <c r="B540" s="8"/>
      <c r="C540" s="8"/>
      <c r="D540" s="8"/>
      <c r="E540" s="8"/>
      <c r="F540" s="8"/>
      <c r="G540" s="10"/>
      <c r="H540" s="11"/>
      <c r="I540" s="8"/>
      <c r="J540" s="9"/>
      <c r="K540" s="8"/>
      <c r="L540" s="9"/>
      <c r="M540" s="8"/>
      <c r="N540" s="11"/>
      <c r="O540" s="8"/>
      <c r="P540" s="9"/>
      <c r="Q540" s="8"/>
      <c r="R540" s="9"/>
      <c r="S540" s="8"/>
      <c r="T540" s="8"/>
      <c r="U540" s="8"/>
      <c r="V540" s="11"/>
      <c r="W540" s="8"/>
      <c r="X540" s="8"/>
      <c r="Y540" s="9"/>
      <c r="Z540" s="8"/>
      <c r="AA540" s="8"/>
      <c r="AB540" s="8"/>
      <c r="AC540" s="11"/>
      <c r="AD540" s="8"/>
      <c r="AE540" s="9"/>
      <c r="AF540" s="8"/>
      <c r="AG540" s="9"/>
      <c r="AH540" s="8"/>
      <c r="AI540" s="8"/>
      <c r="AJ540" s="8"/>
      <c r="AK540" s="11"/>
      <c r="AL540" s="8"/>
      <c r="AM540" s="8"/>
      <c r="AN540" s="9"/>
      <c r="AO540" s="8"/>
      <c r="AP540" s="8"/>
      <c r="AQ540" s="8"/>
    </row>
    <row r="541" spans="1:43" x14ac:dyDescent="0.15">
      <c r="A541" s="8"/>
      <c r="B541" s="8"/>
      <c r="C541" s="8"/>
      <c r="D541" s="8"/>
      <c r="E541" s="8"/>
      <c r="F541" s="8"/>
      <c r="G541" s="10"/>
      <c r="H541" s="11"/>
      <c r="I541" s="8"/>
      <c r="J541" s="9"/>
      <c r="K541" s="8"/>
      <c r="L541" s="9"/>
      <c r="M541" s="8"/>
      <c r="N541" s="11"/>
      <c r="O541" s="8"/>
      <c r="P541" s="9"/>
      <c r="Q541" s="8"/>
      <c r="R541" s="9"/>
      <c r="S541" s="8"/>
      <c r="T541" s="8"/>
      <c r="U541" s="8"/>
      <c r="V541" s="11"/>
      <c r="W541" s="8"/>
      <c r="X541" s="8"/>
      <c r="Y541" s="9"/>
      <c r="Z541" s="8"/>
      <c r="AA541" s="8"/>
      <c r="AB541" s="8"/>
      <c r="AC541" s="11"/>
      <c r="AD541" s="8"/>
      <c r="AE541" s="9"/>
      <c r="AF541" s="8"/>
      <c r="AG541" s="9"/>
      <c r="AH541" s="8"/>
      <c r="AI541" s="8"/>
      <c r="AJ541" s="8"/>
      <c r="AK541" s="11"/>
      <c r="AL541" s="8"/>
      <c r="AM541" s="8"/>
      <c r="AN541" s="9"/>
      <c r="AO541" s="8"/>
      <c r="AP541" s="8"/>
      <c r="AQ541" s="8"/>
    </row>
    <row r="542" spans="1:43" x14ac:dyDescent="0.15">
      <c r="A542" s="8"/>
      <c r="B542" s="8"/>
      <c r="C542" s="8"/>
      <c r="D542" s="8"/>
      <c r="E542" s="8"/>
      <c r="F542" s="8"/>
      <c r="G542" s="10"/>
      <c r="H542" s="11"/>
      <c r="I542" s="8"/>
      <c r="J542" s="9"/>
      <c r="K542" s="8"/>
      <c r="L542" s="9"/>
      <c r="M542" s="8"/>
      <c r="N542" s="11"/>
      <c r="O542" s="8"/>
      <c r="P542" s="9"/>
      <c r="Q542" s="8"/>
      <c r="R542" s="9"/>
      <c r="S542" s="8"/>
      <c r="T542" s="8"/>
      <c r="U542" s="8"/>
      <c r="V542" s="11"/>
      <c r="W542" s="8"/>
      <c r="X542" s="8"/>
      <c r="Y542" s="9"/>
      <c r="Z542" s="8"/>
      <c r="AA542" s="8"/>
      <c r="AB542" s="8"/>
      <c r="AC542" s="11"/>
      <c r="AD542" s="8"/>
      <c r="AE542" s="9"/>
      <c r="AF542" s="8"/>
      <c r="AG542" s="9"/>
      <c r="AH542" s="8"/>
      <c r="AI542" s="8"/>
      <c r="AJ542" s="8"/>
      <c r="AK542" s="11"/>
      <c r="AL542" s="8"/>
      <c r="AM542" s="8"/>
      <c r="AN542" s="9"/>
      <c r="AO542" s="8"/>
      <c r="AP542" s="8"/>
      <c r="AQ542" s="8"/>
    </row>
    <row r="543" spans="1:43" x14ac:dyDescent="0.15">
      <c r="A543" s="8"/>
      <c r="B543" s="8"/>
      <c r="C543" s="8"/>
      <c r="D543" s="8"/>
      <c r="E543" s="8"/>
      <c r="F543" s="8"/>
      <c r="G543" s="10"/>
      <c r="H543" s="11"/>
      <c r="I543" s="8"/>
      <c r="J543" s="9"/>
      <c r="K543" s="8"/>
      <c r="L543" s="9"/>
      <c r="M543" s="8"/>
      <c r="N543" s="11"/>
      <c r="O543" s="8"/>
      <c r="P543" s="9"/>
      <c r="Q543" s="8"/>
      <c r="R543" s="9"/>
      <c r="S543" s="8"/>
      <c r="T543" s="8"/>
      <c r="U543" s="8"/>
      <c r="V543" s="11"/>
      <c r="W543" s="8"/>
      <c r="X543" s="8"/>
      <c r="Y543" s="9"/>
      <c r="Z543" s="8"/>
      <c r="AA543" s="8"/>
      <c r="AB543" s="8"/>
      <c r="AC543" s="11"/>
      <c r="AD543" s="8"/>
      <c r="AE543" s="9"/>
      <c r="AF543" s="8"/>
      <c r="AG543" s="9"/>
      <c r="AH543" s="8"/>
      <c r="AI543" s="8"/>
      <c r="AJ543" s="8"/>
      <c r="AK543" s="11"/>
      <c r="AL543" s="8"/>
      <c r="AM543" s="8"/>
      <c r="AN543" s="9"/>
      <c r="AO543" s="8"/>
      <c r="AP543" s="8"/>
      <c r="AQ543" s="8"/>
    </row>
    <row r="544" spans="1:43" x14ac:dyDescent="0.15">
      <c r="A544" s="8"/>
      <c r="B544" s="8"/>
      <c r="C544" s="8"/>
      <c r="D544" s="8"/>
      <c r="E544" s="8"/>
      <c r="F544" s="8"/>
      <c r="G544" s="10"/>
      <c r="H544" s="11"/>
      <c r="I544" s="8"/>
      <c r="J544" s="9"/>
      <c r="K544" s="8"/>
      <c r="L544" s="9"/>
      <c r="M544" s="8"/>
      <c r="N544" s="11"/>
      <c r="O544" s="8"/>
      <c r="P544" s="9"/>
      <c r="Q544" s="8"/>
      <c r="R544" s="9"/>
      <c r="S544" s="8"/>
      <c r="T544" s="8"/>
      <c r="U544" s="8"/>
      <c r="V544" s="11"/>
      <c r="W544" s="8"/>
      <c r="X544" s="8"/>
      <c r="Y544" s="9"/>
      <c r="Z544" s="8"/>
      <c r="AA544" s="8"/>
      <c r="AB544" s="8"/>
      <c r="AC544" s="11"/>
      <c r="AD544" s="8"/>
      <c r="AE544" s="9"/>
      <c r="AF544" s="8"/>
      <c r="AG544" s="9"/>
      <c r="AH544" s="8"/>
      <c r="AI544" s="8"/>
      <c r="AJ544" s="8"/>
      <c r="AK544" s="11"/>
      <c r="AL544" s="8"/>
      <c r="AM544" s="8"/>
      <c r="AN544" s="9"/>
      <c r="AO544" s="8"/>
      <c r="AP544" s="8"/>
      <c r="AQ544" s="8"/>
    </row>
    <row r="545" spans="1:43" x14ac:dyDescent="0.15">
      <c r="A545" s="8"/>
      <c r="B545" s="8"/>
      <c r="C545" s="8"/>
      <c r="D545" s="8"/>
      <c r="E545" s="8"/>
      <c r="F545" s="8"/>
      <c r="G545" s="10"/>
      <c r="H545" s="11"/>
      <c r="I545" s="8"/>
      <c r="J545" s="9"/>
      <c r="K545" s="8"/>
      <c r="L545" s="9"/>
      <c r="M545" s="8"/>
      <c r="N545" s="11"/>
      <c r="O545" s="8"/>
      <c r="P545" s="9"/>
      <c r="Q545" s="8"/>
      <c r="R545" s="9"/>
      <c r="S545" s="8"/>
      <c r="T545" s="8"/>
      <c r="U545" s="8"/>
      <c r="V545" s="11"/>
      <c r="W545" s="8"/>
      <c r="X545" s="8"/>
      <c r="Y545" s="9"/>
      <c r="Z545" s="8"/>
      <c r="AA545" s="8"/>
      <c r="AB545" s="8"/>
      <c r="AC545" s="11"/>
      <c r="AD545" s="8"/>
      <c r="AE545" s="9"/>
      <c r="AF545" s="8"/>
      <c r="AG545" s="9"/>
      <c r="AH545" s="8"/>
      <c r="AI545" s="8"/>
      <c r="AJ545" s="8"/>
      <c r="AK545" s="11"/>
      <c r="AL545" s="8"/>
      <c r="AM545" s="8"/>
      <c r="AN545" s="9"/>
      <c r="AO545" s="8"/>
      <c r="AP545" s="8"/>
      <c r="AQ545" s="8"/>
    </row>
    <row r="546" spans="1:43" x14ac:dyDescent="0.15">
      <c r="A546" s="8"/>
      <c r="B546" s="8"/>
      <c r="C546" s="8"/>
      <c r="D546" s="8"/>
      <c r="E546" s="8"/>
      <c r="F546" s="8"/>
      <c r="G546" s="10"/>
      <c r="H546" s="11"/>
      <c r="I546" s="8"/>
      <c r="J546" s="9"/>
      <c r="K546" s="8"/>
      <c r="L546" s="9"/>
      <c r="M546" s="8"/>
      <c r="N546" s="11"/>
      <c r="O546" s="8"/>
      <c r="P546" s="9"/>
      <c r="Q546" s="8"/>
      <c r="R546" s="9"/>
      <c r="S546" s="8"/>
      <c r="T546" s="8"/>
      <c r="U546" s="8"/>
      <c r="V546" s="11"/>
      <c r="W546" s="8"/>
      <c r="X546" s="8"/>
      <c r="Y546" s="9"/>
      <c r="Z546" s="8"/>
      <c r="AA546" s="8"/>
      <c r="AB546" s="8"/>
      <c r="AC546" s="11"/>
      <c r="AD546" s="8"/>
      <c r="AE546" s="9"/>
      <c r="AF546" s="8"/>
      <c r="AG546" s="9"/>
      <c r="AH546" s="8"/>
      <c r="AI546" s="8"/>
      <c r="AJ546" s="8"/>
      <c r="AK546" s="11"/>
      <c r="AL546" s="8"/>
      <c r="AM546" s="8"/>
      <c r="AN546" s="9"/>
      <c r="AO546" s="8"/>
      <c r="AP546" s="8"/>
      <c r="AQ546" s="8"/>
    </row>
    <row r="547" spans="1:43" x14ac:dyDescent="0.15">
      <c r="A547" s="8"/>
      <c r="B547" s="8"/>
      <c r="C547" s="8"/>
      <c r="D547" s="8"/>
      <c r="E547" s="8"/>
      <c r="F547" s="8"/>
      <c r="G547" s="10"/>
      <c r="H547" s="11"/>
      <c r="I547" s="8"/>
      <c r="J547" s="9"/>
      <c r="K547" s="8"/>
      <c r="L547" s="9"/>
      <c r="M547" s="8"/>
      <c r="N547" s="11"/>
      <c r="O547" s="8"/>
      <c r="P547" s="9"/>
      <c r="Q547" s="8"/>
      <c r="R547" s="9"/>
      <c r="S547" s="8"/>
      <c r="T547" s="8"/>
      <c r="U547" s="8"/>
      <c r="V547" s="11"/>
      <c r="W547" s="8"/>
      <c r="X547" s="8"/>
      <c r="Y547" s="9"/>
      <c r="Z547" s="8"/>
      <c r="AA547" s="8"/>
      <c r="AB547" s="8"/>
      <c r="AC547" s="11"/>
      <c r="AD547" s="8"/>
      <c r="AE547" s="9"/>
      <c r="AF547" s="8"/>
      <c r="AG547" s="9"/>
      <c r="AH547" s="8"/>
      <c r="AI547" s="8"/>
      <c r="AJ547" s="8"/>
      <c r="AK547" s="11"/>
      <c r="AL547" s="8"/>
      <c r="AM547" s="8"/>
      <c r="AN547" s="9"/>
      <c r="AO547" s="8"/>
      <c r="AP547" s="8"/>
      <c r="AQ547" s="8"/>
    </row>
    <row r="548" spans="1:43" x14ac:dyDescent="0.15">
      <c r="A548" s="8"/>
      <c r="B548" s="8"/>
      <c r="C548" s="8"/>
      <c r="D548" s="8"/>
      <c r="E548" s="8"/>
      <c r="F548" s="8"/>
      <c r="G548" s="10"/>
      <c r="H548" s="11"/>
      <c r="I548" s="8"/>
      <c r="J548" s="9"/>
      <c r="K548" s="8"/>
      <c r="L548" s="9"/>
      <c r="M548" s="8"/>
      <c r="N548" s="11"/>
      <c r="O548" s="8"/>
      <c r="P548" s="9"/>
      <c r="Q548" s="8"/>
      <c r="R548" s="9"/>
      <c r="S548" s="8"/>
      <c r="T548" s="8"/>
      <c r="U548" s="8"/>
      <c r="V548" s="11"/>
      <c r="W548" s="8"/>
      <c r="X548" s="8"/>
      <c r="Y548" s="9"/>
      <c r="Z548" s="8"/>
      <c r="AA548" s="8"/>
      <c r="AB548" s="8"/>
      <c r="AC548" s="11"/>
      <c r="AD548" s="8"/>
      <c r="AE548" s="9"/>
      <c r="AF548" s="8"/>
      <c r="AG548" s="9"/>
      <c r="AH548" s="8"/>
      <c r="AI548" s="8"/>
      <c r="AJ548" s="8"/>
      <c r="AK548" s="11"/>
      <c r="AL548" s="8"/>
      <c r="AM548" s="8"/>
      <c r="AN548" s="9"/>
      <c r="AO548" s="8"/>
      <c r="AP548" s="8"/>
      <c r="AQ548" s="8"/>
    </row>
    <row r="549" spans="1:43" x14ac:dyDescent="0.15">
      <c r="A549" s="8"/>
      <c r="B549" s="8"/>
      <c r="C549" s="8"/>
      <c r="D549" s="8"/>
      <c r="E549" s="8"/>
      <c r="F549" s="8"/>
      <c r="G549" s="10"/>
      <c r="H549" s="11"/>
      <c r="I549" s="8"/>
      <c r="J549" s="9"/>
      <c r="K549" s="8"/>
      <c r="L549" s="9"/>
      <c r="M549" s="8"/>
      <c r="N549" s="11"/>
      <c r="O549" s="8"/>
      <c r="P549" s="9"/>
      <c r="Q549" s="8"/>
      <c r="R549" s="9"/>
      <c r="S549" s="8"/>
      <c r="T549" s="8"/>
      <c r="U549" s="8"/>
      <c r="V549" s="11"/>
      <c r="W549" s="8"/>
      <c r="X549" s="8"/>
      <c r="Y549" s="9"/>
      <c r="Z549" s="8"/>
      <c r="AA549" s="8"/>
      <c r="AB549" s="8"/>
      <c r="AC549" s="11"/>
      <c r="AD549" s="8"/>
      <c r="AE549" s="9"/>
      <c r="AF549" s="8"/>
      <c r="AG549" s="9"/>
      <c r="AH549" s="8"/>
      <c r="AI549" s="8"/>
      <c r="AJ549" s="8"/>
      <c r="AK549" s="11"/>
      <c r="AL549" s="8"/>
      <c r="AM549" s="8"/>
      <c r="AN549" s="9"/>
      <c r="AO549" s="8"/>
      <c r="AP549" s="8"/>
      <c r="AQ549" s="8"/>
    </row>
    <row r="550" spans="1:43" x14ac:dyDescent="0.15">
      <c r="A550" s="8"/>
      <c r="B550" s="8"/>
      <c r="C550" s="8"/>
      <c r="D550" s="8"/>
      <c r="E550" s="8"/>
      <c r="F550" s="8"/>
      <c r="G550" s="10"/>
      <c r="H550" s="11"/>
      <c r="I550" s="8"/>
      <c r="J550" s="9"/>
      <c r="K550" s="8"/>
      <c r="L550" s="9"/>
      <c r="M550" s="8"/>
      <c r="N550" s="11"/>
      <c r="O550" s="8"/>
      <c r="P550" s="9"/>
      <c r="Q550" s="8"/>
      <c r="R550" s="9"/>
      <c r="S550" s="8"/>
      <c r="T550" s="8"/>
      <c r="U550" s="8"/>
      <c r="V550" s="11"/>
      <c r="W550" s="8"/>
      <c r="X550" s="8"/>
      <c r="Y550" s="9"/>
      <c r="Z550" s="8"/>
      <c r="AA550" s="8"/>
      <c r="AB550" s="8"/>
      <c r="AC550" s="11"/>
      <c r="AD550" s="8"/>
      <c r="AE550" s="9"/>
      <c r="AF550" s="8"/>
      <c r="AG550" s="9"/>
      <c r="AH550" s="8"/>
      <c r="AI550" s="8"/>
      <c r="AJ550" s="8"/>
      <c r="AK550" s="11"/>
      <c r="AL550" s="8"/>
      <c r="AM550" s="8"/>
      <c r="AN550" s="9"/>
      <c r="AO550" s="8"/>
      <c r="AP550" s="8"/>
      <c r="AQ550" s="8"/>
    </row>
    <row r="551" spans="1:43" x14ac:dyDescent="0.15">
      <c r="A551" s="8"/>
      <c r="B551" s="8"/>
      <c r="C551" s="8"/>
      <c r="D551" s="8"/>
      <c r="E551" s="8"/>
      <c r="F551" s="8"/>
      <c r="G551" s="10"/>
      <c r="H551" s="11"/>
      <c r="I551" s="8"/>
      <c r="J551" s="9"/>
      <c r="K551" s="8"/>
      <c r="L551" s="9"/>
      <c r="M551" s="8"/>
      <c r="N551" s="11"/>
      <c r="O551" s="8"/>
      <c r="P551" s="9"/>
      <c r="Q551" s="8"/>
      <c r="R551" s="9"/>
      <c r="S551" s="8"/>
      <c r="T551" s="8"/>
      <c r="U551" s="8"/>
      <c r="V551" s="11"/>
      <c r="W551" s="8"/>
      <c r="X551" s="8"/>
      <c r="Y551" s="9"/>
      <c r="Z551" s="8"/>
      <c r="AA551" s="8"/>
      <c r="AB551" s="8"/>
      <c r="AC551" s="11"/>
      <c r="AD551" s="8"/>
      <c r="AE551" s="9"/>
      <c r="AF551" s="8"/>
      <c r="AG551" s="9"/>
      <c r="AH551" s="8"/>
      <c r="AI551" s="8"/>
      <c r="AJ551" s="8"/>
      <c r="AK551" s="11"/>
      <c r="AL551" s="8"/>
      <c r="AM551" s="8"/>
      <c r="AN551" s="9"/>
      <c r="AO551" s="8"/>
      <c r="AP551" s="8"/>
      <c r="AQ551" s="8"/>
    </row>
    <row r="552" spans="1:43" x14ac:dyDescent="0.15">
      <c r="A552" s="8"/>
      <c r="B552" s="8"/>
      <c r="C552" s="8"/>
      <c r="D552" s="8"/>
      <c r="E552" s="8"/>
      <c r="F552" s="8"/>
      <c r="G552" s="10"/>
      <c r="H552" s="11"/>
      <c r="I552" s="8"/>
      <c r="J552" s="9"/>
      <c r="K552" s="8"/>
      <c r="L552" s="9"/>
      <c r="M552" s="8"/>
      <c r="N552" s="11"/>
      <c r="O552" s="8"/>
      <c r="P552" s="9"/>
      <c r="Q552" s="8"/>
      <c r="R552" s="9"/>
      <c r="S552" s="8"/>
      <c r="T552" s="8"/>
      <c r="U552" s="8"/>
      <c r="V552" s="11"/>
      <c r="W552" s="8"/>
      <c r="X552" s="8"/>
      <c r="Y552" s="9"/>
      <c r="Z552" s="8"/>
      <c r="AA552" s="8"/>
      <c r="AB552" s="8"/>
      <c r="AC552" s="11"/>
      <c r="AD552" s="8"/>
      <c r="AE552" s="9"/>
      <c r="AF552" s="8"/>
      <c r="AG552" s="9"/>
      <c r="AH552" s="8"/>
      <c r="AI552" s="8"/>
      <c r="AJ552" s="8"/>
      <c r="AK552" s="11"/>
      <c r="AL552" s="8"/>
      <c r="AM552" s="8"/>
      <c r="AN552" s="9"/>
      <c r="AO552" s="8"/>
      <c r="AP552" s="8"/>
      <c r="AQ552" s="8"/>
    </row>
    <row r="553" spans="1:43" x14ac:dyDescent="0.15">
      <c r="A553" s="8"/>
      <c r="B553" s="8"/>
      <c r="C553" s="8"/>
      <c r="D553" s="8"/>
      <c r="E553" s="8"/>
      <c r="F553" s="8"/>
      <c r="G553" s="10"/>
      <c r="H553" s="11"/>
      <c r="I553" s="8"/>
      <c r="J553" s="9"/>
      <c r="K553" s="8"/>
      <c r="L553" s="9"/>
      <c r="M553" s="8"/>
      <c r="N553" s="11"/>
      <c r="O553" s="8"/>
      <c r="P553" s="9"/>
      <c r="Q553" s="8"/>
      <c r="R553" s="9"/>
      <c r="S553" s="8"/>
      <c r="T553" s="8"/>
      <c r="U553" s="8"/>
      <c r="V553" s="11"/>
      <c r="W553" s="8"/>
      <c r="X553" s="8"/>
      <c r="Y553" s="9"/>
      <c r="Z553" s="8"/>
      <c r="AA553" s="8"/>
      <c r="AB553" s="8"/>
      <c r="AC553" s="11"/>
      <c r="AD553" s="8"/>
      <c r="AE553" s="9"/>
      <c r="AF553" s="8"/>
      <c r="AG553" s="9"/>
      <c r="AH553" s="8"/>
      <c r="AI553" s="8"/>
      <c r="AJ553" s="8"/>
      <c r="AK553" s="11"/>
      <c r="AL553" s="8"/>
      <c r="AM553" s="8"/>
      <c r="AN553" s="9"/>
      <c r="AO553" s="8"/>
      <c r="AP553" s="8"/>
      <c r="AQ553" s="8"/>
    </row>
    <row r="554" spans="1:43" x14ac:dyDescent="0.15">
      <c r="A554" s="8"/>
      <c r="B554" s="8"/>
      <c r="C554" s="8"/>
      <c r="D554" s="8"/>
      <c r="E554" s="8"/>
      <c r="F554" s="8"/>
      <c r="G554" s="10"/>
      <c r="H554" s="11"/>
      <c r="I554" s="8"/>
      <c r="J554" s="9"/>
      <c r="K554" s="8"/>
      <c r="L554" s="9"/>
      <c r="M554" s="8"/>
      <c r="N554" s="11"/>
      <c r="O554" s="8"/>
      <c r="P554" s="9"/>
      <c r="Q554" s="8"/>
      <c r="R554" s="9"/>
      <c r="S554" s="8"/>
      <c r="T554" s="8"/>
      <c r="U554" s="8"/>
      <c r="V554" s="11"/>
      <c r="W554" s="8"/>
      <c r="X554" s="8"/>
      <c r="Y554" s="9"/>
      <c r="Z554" s="8"/>
      <c r="AA554" s="8"/>
      <c r="AB554" s="8"/>
      <c r="AC554" s="11"/>
      <c r="AD554" s="8"/>
      <c r="AE554" s="9"/>
      <c r="AF554" s="8"/>
      <c r="AG554" s="9"/>
      <c r="AH554" s="8"/>
      <c r="AI554" s="8"/>
      <c r="AJ554" s="8"/>
      <c r="AK554" s="11"/>
      <c r="AL554" s="8"/>
      <c r="AM554" s="8"/>
      <c r="AN554" s="9"/>
      <c r="AO554" s="8"/>
      <c r="AP554" s="8"/>
      <c r="AQ554" s="8"/>
    </row>
    <row r="555" spans="1:43" x14ac:dyDescent="0.15">
      <c r="A555" s="8"/>
      <c r="B555" s="8"/>
      <c r="C555" s="8"/>
      <c r="D555" s="8"/>
      <c r="E555" s="8"/>
      <c r="F555" s="8"/>
      <c r="G555" s="10"/>
      <c r="H555" s="11"/>
      <c r="I555" s="8"/>
      <c r="J555" s="9"/>
      <c r="K555" s="8"/>
      <c r="L555" s="9"/>
      <c r="M555" s="8"/>
      <c r="N555" s="11"/>
      <c r="O555" s="8"/>
      <c r="P555" s="9"/>
      <c r="Q555" s="8"/>
      <c r="R555" s="9"/>
      <c r="S555" s="8"/>
      <c r="T555" s="8"/>
      <c r="U555" s="8"/>
      <c r="V555" s="11"/>
      <c r="W555" s="8"/>
      <c r="X555" s="8"/>
      <c r="Y555" s="9"/>
      <c r="Z555" s="8"/>
      <c r="AA555" s="8"/>
      <c r="AB555" s="8"/>
      <c r="AC555" s="11"/>
      <c r="AD555" s="8"/>
      <c r="AE555" s="9"/>
      <c r="AF555" s="8"/>
      <c r="AG555" s="9"/>
      <c r="AH555" s="8"/>
      <c r="AI555" s="8"/>
      <c r="AJ555" s="8"/>
      <c r="AK555" s="11"/>
      <c r="AL555" s="8"/>
      <c r="AM555" s="8"/>
      <c r="AN555" s="9"/>
      <c r="AO555" s="8"/>
      <c r="AP555" s="8"/>
      <c r="AQ555" s="8"/>
    </row>
    <row r="556" spans="1:43" x14ac:dyDescent="0.15">
      <c r="A556" s="8"/>
      <c r="B556" s="8"/>
      <c r="C556" s="8"/>
      <c r="D556" s="8"/>
      <c r="E556" s="8"/>
      <c r="F556" s="8"/>
      <c r="G556" s="10"/>
      <c r="H556" s="11"/>
      <c r="I556" s="8"/>
      <c r="J556" s="9"/>
      <c r="K556" s="8"/>
      <c r="L556" s="9"/>
      <c r="M556" s="8"/>
      <c r="N556" s="11"/>
      <c r="O556" s="8"/>
      <c r="P556" s="9"/>
      <c r="Q556" s="8"/>
      <c r="R556" s="9"/>
      <c r="S556" s="8"/>
      <c r="T556" s="8"/>
      <c r="U556" s="8"/>
      <c r="V556" s="11"/>
      <c r="W556" s="8"/>
      <c r="X556" s="8"/>
      <c r="Y556" s="9"/>
      <c r="Z556" s="8"/>
      <c r="AA556" s="8"/>
      <c r="AB556" s="8"/>
      <c r="AC556" s="11"/>
      <c r="AD556" s="8"/>
      <c r="AE556" s="9"/>
      <c r="AF556" s="8"/>
      <c r="AG556" s="9"/>
      <c r="AH556" s="8"/>
      <c r="AI556" s="8"/>
      <c r="AJ556" s="8"/>
      <c r="AK556" s="11"/>
      <c r="AL556" s="8"/>
      <c r="AM556" s="8"/>
      <c r="AN556" s="9"/>
      <c r="AO556" s="8"/>
      <c r="AP556" s="8"/>
      <c r="AQ556" s="8"/>
    </row>
    <row r="557" spans="1:43" x14ac:dyDescent="0.15">
      <c r="A557" s="8"/>
      <c r="B557" s="8"/>
      <c r="C557" s="8"/>
      <c r="D557" s="8"/>
      <c r="E557" s="8"/>
      <c r="F557" s="8"/>
      <c r="G557" s="10"/>
      <c r="H557" s="11"/>
      <c r="I557" s="8"/>
      <c r="J557" s="9"/>
      <c r="K557" s="8"/>
      <c r="L557" s="9"/>
      <c r="M557" s="8"/>
      <c r="N557" s="11"/>
      <c r="O557" s="8"/>
      <c r="P557" s="9"/>
      <c r="Q557" s="8"/>
      <c r="R557" s="9"/>
      <c r="S557" s="8"/>
      <c r="T557" s="8"/>
      <c r="U557" s="8"/>
      <c r="V557" s="11"/>
      <c r="W557" s="8"/>
      <c r="X557" s="8"/>
      <c r="Y557" s="9"/>
      <c r="Z557" s="8"/>
      <c r="AA557" s="8"/>
      <c r="AB557" s="8"/>
      <c r="AC557" s="11"/>
      <c r="AD557" s="8"/>
      <c r="AE557" s="9"/>
      <c r="AF557" s="8"/>
      <c r="AG557" s="9"/>
      <c r="AH557" s="8"/>
      <c r="AI557" s="8"/>
      <c r="AJ557" s="8"/>
      <c r="AK557" s="11"/>
      <c r="AL557" s="8"/>
      <c r="AM557" s="8"/>
      <c r="AN557" s="9"/>
      <c r="AO557" s="8"/>
      <c r="AP557" s="8"/>
      <c r="AQ557" s="8"/>
    </row>
    <row r="558" spans="1:43" x14ac:dyDescent="0.15">
      <c r="A558" s="8"/>
      <c r="B558" s="8"/>
      <c r="C558" s="8"/>
      <c r="D558" s="8"/>
      <c r="E558" s="8"/>
      <c r="F558" s="8"/>
      <c r="G558" s="10"/>
      <c r="H558" s="11"/>
      <c r="I558" s="8"/>
      <c r="J558" s="9"/>
      <c r="K558" s="8"/>
      <c r="L558" s="9"/>
      <c r="M558" s="8"/>
      <c r="N558" s="11"/>
      <c r="O558" s="8"/>
      <c r="P558" s="9"/>
      <c r="Q558" s="8"/>
      <c r="R558" s="9"/>
      <c r="S558" s="8"/>
      <c r="T558" s="8"/>
      <c r="U558" s="8"/>
      <c r="V558" s="11"/>
      <c r="W558" s="8"/>
      <c r="X558" s="8"/>
      <c r="Y558" s="9"/>
      <c r="Z558" s="8"/>
      <c r="AA558" s="8"/>
      <c r="AB558" s="8"/>
      <c r="AC558" s="11"/>
      <c r="AD558" s="8"/>
      <c r="AE558" s="9"/>
      <c r="AF558" s="8"/>
      <c r="AG558" s="9"/>
      <c r="AH558" s="8"/>
      <c r="AI558" s="8"/>
      <c r="AJ558" s="8"/>
      <c r="AK558" s="11"/>
      <c r="AL558" s="8"/>
      <c r="AM558" s="8"/>
      <c r="AN558" s="9"/>
      <c r="AO558" s="8"/>
      <c r="AP558" s="8"/>
      <c r="AQ558" s="8"/>
    </row>
    <row r="559" spans="1:43" x14ac:dyDescent="0.15">
      <c r="A559" s="8"/>
      <c r="B559" s="8"/>
      <c r="C559" s="8"/>
      <c r="D559" s="8"/>
      <c r="E559" s="8"/>
      <c r="F559" s="8"/>
      <c r="G559" s="10"/>
      <c r="H559" s="11"/>
      <c r="I559" s="8"/>
      <c r="J559" s="9"/>
      <c r="K559" s="8"/>
      <c r="L559" s="9"/>
      <c r="M559" s="8"/>
      <c r="N559" s="11"/>
      <c r="O559" s="8"/>
      <c r="P559" s="9"/>
      <c r="Q559" s="8"/>
      <c r="R559" s="9"/>
      <c r="S559" s="8"/>
      <c r="T559" s="8"/>
      <c r="U559" s="8"/>
      <c r="V559" s="11"/>
      <c r="W559" s="8"/>
      <c r="X559" s="8"/>
      <c r="Y559" s="9"/>
      <c r="Z559" s="8"/>
      <c r="AA559" s="8"/>
      <c r="AB559" s="8"/>
      <c r="AC559" s="11"/>
      <c r="AD559" s="8"/>
      <c r="AE559" s="9"/>
      <c r="AF559" s="8"/>
      <c r="AG559" s="9"/>
      <c r="AH559" s="8"/>
      <c r="AI559" s="8"/>
      <c r="AJ559" s="8"/>
      <c r="AK559" s="11"/>
      <c r="AL559" s="8"/>
      <c r="AM559" s="8"/>
      <c r="AN559" s="9"/>
      <c r="AO559" s="8"/>
      <c r="AP559" s="8"/>
      <c r="AQ559" s="8"/>
    </row>
    <row r="560" spans="1:43" x14ac:dyDescent="0.15">
      <c r="A560" s="8"/>
      <c r="B560" s="8"/>
      <c r="C560" s="8"/>
      <c r="D560" s="8"/>
      <c r="E560" s="8"/>
      <c r="F560" s="8"/>
      <c r="G560" s="10"/>
      <c r="H560" s="11"/>
      <c r="I560" s="8"/>
      <c r="J560" s="9"/>
      <c r="K560" s="8"/>
      <c r="L560" s="9"/>
      <c r="M560" s="8"/>
      <c r="N560" s="11"/>
      <c r="O560" s="8"/>
      <c r="P560" s="9"/>
      <c r="Q560" s="8"/>
      <c r="R560" s="9"/>
      <c r="S560" s="8"/>
      <c r="T560" s="8"/>
      <c r="U560" s="8"/>
      <c r="V560" s="11"/>
      <c r="W560" s="8"/>
      <c r="X560" s="8"/>
      <c r="Y560" s="9"/>
      <c r="Z560" s="8"/>
      <c r="AA560" s="8"/>
      <c r="AB560" s="8"/>
      <c r="AC560" s="11"/>
      <c r="AD560" s="8"/>
      <c r="AE560" s="9"/>
      <c r="AF560" s="8"/>
      <c r="AG560" s="9"/>
      <c r="AH560" s="8"/>
      <c r="AI560" s="8"/>
      <c r="AJ560" s="8"/>
      <c r="AK560" s="11"/>
      <c r="AL560" s="8"/>
      <c r="AM560" s="8"/>
      <c r="AN560" s="9"/>
      <c r="AO560" s="8"/>
      <c r="AP560" s="8"/>
      <c r="AQ560" s="8"/>
    </row>
    <row r="561" spans="1:43" x14ac:dyDescent="0.15">
      <c r="A561" s="8"/>
      <c r="B561" s="8"/>
      <c r="C561" s="8"/>
      <c r="D561" s="8"/>
      <c r="E561" s="8"/>
      <c r="F561" s="8"/>
      <c r="G561" s="10"/>
      <c r="H561" s="11"/>
      <c r="I561" s="8"/>
      <c r="J561" s="9"/>
      <c r="K561" s="8"/>
      <c r="L561" s="9"/>
      <c r="M561" s="8"/>
      <c r="N561" s="11"/>
      <c r="O561" s="8"/>
      <c r="P561" s="9"/>
      <c r="Q561" s="8"/>
      <c r="R561" s="9"/>
      <c r="S561" s="8"/>
      <c r="T561" s="8"/>
      <c r="U561" s="8"/>
      <c r="V561" s="11"/>
      <c r="W561" s="8"/>
      <c r="X561" s="8"/>
      <c r="Y561" s="9"/>
      <c r="Z561" s="8"/>
      <c r="AA561" s="8"/>
      <c r="AB561" s="8"/>
      <c r="AC561" s="11"/>
      <c r="AD561" s="8"/>
      <c r="AE561" s="9"/>
      <c r="AF561" s="8"/>
      <c r="AG561" s="9"/>
      <c r="AH561" s="8"/>
      <c r="AI561" s="8"/>
      <c r="AJ561" s="8"/>
      <c r="AK561" s="11"/>
      <c r="AL561" s="8"/>
      <c r="AM561" s="8"/>
      <c r="AN561" s="9"/>
      <c r="AO561" s="8"/>
      <c r="AP561" s="8"/>
      <c r="AQ561" s="8"/>
    </row>
    <row r="562" spans="1:43" x14ac:dyDescent="0.15">
      <c r="A562" s="8"/>
      <c r="B562" s="8"/>
      <c r="C562" s="8"/>
      <c r="D562" s="8"/>
      <c r="E562" s="8"/>
      <c r="F562" s="8"/>
      <c r="G562" s="10"/>
      <c r="H562" s="11"/>
      <c r="I562" s="8"/>
      <c r="J562" s="9"/>
      <c r="K562" s="8"/>
      <c r="L562" s="9"/>
      <c r="M562" s="8"/>
      <c r="N562" s="11"/>
      <c r="O562" s="8"/>
      <c r="P562" s="9"/>
      <c r="Q562" s="8"/>
      <c r="R562" s="9"/>
      <c r="S562" s="8"/>
      <c r="T562" s="8"/>
      <c r="U562" s="8"/>
      <c r="V562" s="11"/>
      <c r="W562" s="8"/>
      <c r="X562" s="8"/>
      <c r="Y562" s="9"/>
      <c r="Z562" s="8"/>
      <c r="AA562" s="8"/>
      <c r="AB562" s="8"/>
      <c r="AC562" s="11"/>
      <c r="AD562" s="8"/>
      <c r="AE562" s="9"/>
      <c r="AF562" s="8"/>
      <c r="AG562" s="9"/>
      <c r="AH562" s="8"/>
      <c r="AI562" s="8"/>
      <c r="AJ562" s="8"/>
      <c r="AK562" s="11"/>
      <c r="AL562" s="8"/>
      <c r="AM562" s="8"/>
      <c r="AN562" s="9"/>
      <c r="AO562" s="8"/>
      <c r="AP562" s="8"/>
      <c r="AQ562" s="8"/>
    </row>
    <row r="563" spans="1:43" x14ac:dyDescent="0.15">
      <c r="A563" s="8"/>
      <c r="B563" s="8"/>
      <c r="C563" s="8"/>
      <c r="D563" s="8"/>
      <c r="E563" s="8"/>
      <c r="F563" s="8"/>
      <c r="G563" s="10"/>
      <c r="H563" s="11"/>
      <c r="I563" s="8"/>
      <c r="J563" s="9"/>
      <c r="K563" s="8"/>
      <c r="L563" s="9"/>
      <c r="M563" s="8"/>
      <c r="N563" s="11"/>
      <c r="O563" s="8"/>
      <c r="P563" s="9"/>
      <c r="Q563" s="8"/>
      <c r="R563" s="9"/>
      <c r="S563" s="8"/>
      <c r="T563" s="8"/>
      <c r="U563" s="8"/>
      <c r="V563" s="11"/>
      <c r="W563" s="8"/>
      <c r="X563" s="8"/>
      <c r="Y563" s="9"/>
      <c r="Z563" s="8"/>
      <c r="AA563" s="8"/>
      <c r="AB563" s="8"/>
      <c r="AC563" s="11"/>
      <c r="AD563" s="8"/>
      <c r="AE563" s="9"/>
      <c r="AF563" s="8"/>
      <c r="AG563" s="9"/>
      <c r="AH563" s="8"/>
      <c r="AI563" s="8"/>
      <c r="AJ563" s="8"/>
      <c r="AK563" s="11"/>
      <c r="AL563" s="8"/>
      <c r="AM563" s="8"/>
      <c r="AN563" s="9"/>
      <c r="AO563" s="8"/>
      <c r="AP563" s="8"/>
      <c r="AQ563" s="8"/>
    </row>
    <row r="564" spans="1:43" x14ac:dyDescent="0.15">
      <c r="A564" s="8"/>
      <c r="B564" s="8"/>
      <c r="C564" s="8"/>
      <c r="D564" s="8"/>
      <c r="E564" s="8"/>
      <c r="F564" s="8"/>
      <c r="G564" s="10"/>
      <c r="H564" s="11"/>
      <c r="I564" s="8"/>
      <c r="J564" s="9"/>
      <c r="K564" s="8"/>
      <c r="L564" s="9"/>
      <c r="M564" s="8"/>
      <c r="N564" s="11"/>
      <c r="O564" s="8"/>
      <c r="P564" s="9"/>
      <c r="Q564" s="8"/>
      <c r="R564" s="9"/>
      <c r="S564" s="8"/>
      <c r="T564" s="8"/>
      <c r="U564" s="8"/>
      <c r="V564" s="11"/>
      <c r="W564" s="8"/>
      <c r="X564" s="8"/>
      <c r="Y564" s="9"/>
      <c r="Z564" s="8"/>
      <c r="AA564" s="8"/>
      <c r="AB564" s="8"/>
      <c r="AC564" s="11"/>
      <c r="AD564" s="8"/>
      <c r="AE564" s="9"/>
      <c r="AF564" s="8"/>
      <c r="AG564" s="9"/>
      <c r="AH564" s="8"/>
      <c r="AI564" s="8"/>
      <c r="AJ564" s="8"/>
      <c r="AK564" s="11"/>
      <c r="AL564" s="8"/>
      <c r="AM564" s="8"/>
      <c r="AN564" s="9"/>
      <c r="AO564" s="8"/>
      <c r="AP564" s="8"/>
      <c r="AQ564" s="8"/>
    </row>
    <row r="565" spans="1:43" x14ac:dyDescent="0.15">
      <c r="A565" s="8"/>
      <c r="B565" s="8"/>
      <c r="C565" s="8"/>
      <c r="D565" s="8"/>
      <c r="E565" s="8"/>
      <c r="F565" s="8"/>
      <c r="G565" s="10"/>
      <c r="H565" s="11"/>
      <c r="I565" s="8"/>
      <c r="J565" s="9"/>
      <c r="K565" s="8"/>
      <c r="L565" s="9"/>
      <c r="M565" s="8"/>
      <c r="N565" s="11"/>
      <c r="O565" s="8"/>
      <c r="P565" s="9"/>
      <c r="Q565" s="8"/>
      <c r="R565" s="9"/>
      <c r="S565" s="8"/>
      <c r="T565" s="8"/>
      <c r="U565" s="8"/>
      <c r="V565" s="11"/>
      <c r="W565" s="8"/>
      <c r="X565" s="8"/>
      <c r="Y565" s="9"/>
      <c r="Z565" s="8"/>
      <c r="AA565" s="8"/>
      <c r="AB565" s="8"/>
      <c r="AC565" s="11"/>
      <c r="AD565" s="8"/>
      <c r="AE565" s="9"/>
      <c r="AF565" s="8"/>
      <c r="AG565" s="9"/>
      <c r="AH565" s="8"/>
      <c r="AI565" s="8"/>
      <c r="AJ565" s="8"/>
      <c r="AK565" s="11"/>
      <c r="AL565" s="8"/>
      <c r="AM565" s="8"/>
      <c r="AN565" s="9"/>
      <c r="AO565" s="8"/>
      <c r="AP565" s="8"/>
      <c r="AQ565" s="8"/>
    </row>
    <row r="566" spans="1:43" x14ac:dyDescent="0.15">
      <c r="A566" s="8"/>
      <c r="B566" s="8"/>
      <c r="C566" s="8"/>
      <c r="D566" s="8"/>
      <c r="E566" s="8"/>
      <c r="F566" s="8"/>
      <c r="G566" s="10"/>
      <c r="H566" s="11"/>
      <c r="I566" s="8"/>
      <c r="J566" s="9"/>
      <c r="K566" s="8"/>
      <c r="L566" s="9"/>
      <c r="M566" s="8"/>
      <c r="N566" s="11"/>
      <c r="O566" s="8"/>
      <c r="P566" s="9"/>
      <c r="Q566" s="8"/>
      <c r="R566" s="9"/>
      <c r="S566" s="8"/>
      <c r="T566" s="8"/>
      <c r="U566" s="8"/>
      <c r="V566" s="11"/>
      <c r="W566" s="8"/>
      <c r="X566" s="8"/>
      <c r="Y566" s="9"/>
      <c r="Z566" s="8"/>
      <c r="AA566" s="8"/>
      <c r="AB566" s="8"/>
      <c r="AC566" s="11"/>
      <c r="AD566" s="8"/>
      <c r="AE566" s="9"/>
      <c r="AF566" s="8"/>
      <c r="AG566" s="9"/>
      <c r="AH566" s="8"/>
      <c r="AI566" s="8"/>
      <c r="AJ566" s="8"/>
      <c r="AK566" s="11"/>
      <c r="AL566" s="8"/>
      <c r="AM566" s="8"/>
      <c r="AN566" s="9"/>
      <c r="AO566" s="8"/>
      <c r="AP566" s="8"/>
      <c r="AQ566" s="8"/>
    </row>
    <row r="567" spans="1:43" x14ac:dyDescent="0.15">
      <c r="A567" s="8"/>
      <c r="B567" s="8"/>
      <c r="C567" s="8"/>
      <c r="D567" s="8"/>
      <c r="E567" s="8"/>
      <c r="F567" s="8"/>
      <c r="G567" s="10"/>
      <c r="H567" s="11"/>
      <c r="I567" s="8"/>
      <c r="J567" s="9"/>
      <c r="K567" s="8"/>
      <c r="L567" s="9"/>
      <c r="M567" s="8"/>
      <c r="N567" s="11"/>
      <c r="O567" s="8"/>
      <c r="P567" s="9"/>
      <c r="Q567" s="8"/>
      <c r="R567" s="9"/>
      <c r="S567" s="8"/>
      <c r="T567" s="8"/>
      <c r="U567" s="8"/>
      <c r="V567" s="11"/>
      <c r="W567" s="8"/>
      <c r="X567" s="8"/>
      <c r="Y567" s="9"/>
      <c r="Z567" s="8"/>
      <c r="AA567" s="8"/>
      <c r="AB567" s="8"/>
      <c r="AC567" s="11"/>
      <c r="AD567" s="8"/>
      <c r="AE567" s="9"/>
      <c r="AF567" s="8"/>
      <c r="AG567" s="9"/>
      <c r="AH567" s="8"/>
      <c r="AI567" s="8"/>
      <c r="AJ567" s="8"/>
      <c r="AK567" s="11"/>
      <c r="AL567" s="8"/>
      <c r="AM567" s="8"/>
      <c r="AN567" s="9"/>
      <c r="AO567" s="8"/>
      <c r="AP567" s="8"/>
      <c r="AQ567" s="8"/>
    </row>
    <row r="568" spans="1:43" x14ac:dyDescent="0.15">
      <c r="A568" s="8"/>
      <c r="B568" s="8"/>
      <c r="C568" s="8"/>
      <c r="D568" s="8"/>
      <c r="E568" s="8"/>
      <c r="F568" s="8"/>
      <c r="G568" s="10"/>
      <c r="H568" s="11"/>
      <c r="I568" s="8"/>
      <c r="J568" s="9"/>
      <c r="K568" s="8"/>
      <c r="L568" s="9"/>
      <c r="M568" s="8"/>
      <c r="N568" s="11"/>
      <c r="O568" s="8"/>
      <c r="P568" s="9"/>
      <c r="Q568" s="8"/>
      <c r="R568" s="9"/>
      <c r="S568" s="8"/>
      <c r="T568" s="8"/>
      <c r="U568" s="8"/>
      <c r="V568" s="11"/>
      <c r="W568" s="8"/>
      <c r="X568" s="8"/>
      <c r="Y568" s="9"/>
      <c r="Z568" s="8"/>
      <c r="AA568" s="8"/>
      <c r="AB568" s="8"/>
      <c r="AC568" s="11"/>
      <c r="AD568" s="8"/>
      <c r="AE568" s="9"/>
      <c r="AF568" s="8"/>
      <c r="AG568" s="9"/>
      <c r="AH568" s="8"/>
      <c r="AI568" s="8"/>
      <c r="AJ568" s="8"/>
      <c r="AK568" s="11"/>
      <c r="AL568" s="8"/>
      <c r="AM568" s="8"/>
      <c r="AN568" s="9"/>
      <c r="AO568" s="8"/>
      <c r="AP568" s="8"/>
      <c r="AQ568" s="8"/>
    </row>
    <row r="569" spans="1:43" x14ac:dyDescent="0.15">
      <c r="A569" s="8"/>
      <c r="B569" s="8"/>
      <c r="C569" s="8"/>
      <c r="D569" s="8"/>
      <c r="E569" s="8"/>
      <c r="F569" s="8"/>
      <c r="G569" s="10"/>
      <c r="H569" s="11"/>
      <c r="I569" s="8"/>
      <c r="J569" s="9"/>
      <c r="K569" s="8"/>
      <c r="L569" s="9"/>
      <c r="M569" s="8"/>
      <c r="N569" s="11"/>
      <c r="O569" s="8"/>
      <c r="P569" s="9"/>
      <c r="Q569" s="8"/>
      <c r="R569" s="9"/>
      <c r="S569" s="8"/>
      <c r="T569" s="8"/>
      <c r="U569" s="8"/>
      <c r="V569" s="11"/>
      <c r="W569" s="8"/>
      <c r="X569" s="8"/>
      <c r="Y569" s="9"/>
      <c r="Z569" s="8"/>
      <c r="AA569" s="8"/>
      <c r="AB569" s="8"/>
      <c r="AC569" s="11"/>
      <c r="AD569" s="8"/>
      <c r="AE569" s="9"/>
      <c r="AF569" s="8"/>
      <c r="AG569" s="9"/>
      <c r="AH569" s="8"/>
      <c r="AI569" s="8"/>
      <c r="AJ569" s="8"/>
      <c r="AK569" s="11"/>
      <c r="AL569" s="8"/>
      <c r="AM569" s="8"/>
      <c r="AN569" s="9"/>
      <c r="AO569" s="8"/>
      <c r="AP569" s="8"/>
      <c r="AQ569" s="8"/>
    </row>
    <row r="570" spans="1:43" x14ac:dyDescent="0.15">
      <c r="A570" s="8"/>
      <c r="B570" s="8"/>
      <c r="C570" s="8"/>
      <c r="D570" s="8"/>
      <c r="E570" s="8"/>
      <c r="F570" s="8"/>
      <c r="G570" s="10"/>
      <c r="H570" s="11"/>
      <c r="I570" s="8"/>
      <c r="J570" s="9"/>
      <c r="K570" s="8"/>
      <c r="L570" s="9"/>
      <c r="M570" s="8"/>
      <c r="N570" s="11"/>
      <c r="O570" s="8"/>
      <c r="P570" s="9"/>
      <c r="Q570" s="8"/>
      <c r="R570" s="9"/>
      <c r="S570" s="8"/>
      <c r="T570" s="8"/>
      <c r="U570" s="8"/>
      <c r="V570" s="11"/>
      <c r="W570" s="8"/>
      <c r="X570" s="8"/>
      <c r="Y570" s="9"/>
      <c r="Z570" s="8"/>
      <c r="AA570" s="8"/>
      <c r="AB570" s="8"/>
      <c r="AC570" s="11"/>
      <c r="AD570" s="8"/>
      <c r="AE570" s="9"/>
      <c r="AF570" s="8"/>
      <c r="AG570" s="9"/>
      <c r="AH570" s="8"/>
      <c r="AI570" s="8"/>
      <c r="AJ570" s="8"/>
      <c r="AK570" s="11"/>
      <c r="AL570" s="8"/>
      <c r="AM570" s="8"/>
      <c r="AN570" s="9"/>
      <c r="AO570" s="8"/>
      <c r="AP570" s="8"/>
      <c r="AQ570" s="8"/>
    </row>
    <row r="571" spans="1:43" x14ac:dyDescent="0.15">
      <c r="A571" s="8"/>
      <c r="B571" s="8"/>
      <c r="C571" s="8"/>
      <c r="D571" s="8"/>
      <c r="E571" s="8"/>
      <c r="F571" s="8"/>
      <c r="G571" s="10"/>
      <c r="H571" s="11"/>
      <c r="I571" s="8"/>
      <c r="J571" s="9"/>
      <c r="K571" s="8"/>
      <c r="L571" s="9"/>
      <c r="M571" s="8"/>
      <c r="N571" s="11"/>
      <c r="O571" s="8"/>
      <c r="P571" s="9"/>
      <c r="Q571" s="8"/>
      <c r="R571" s="9"/>
      <c r="S571" s="8"/>
      <c r="T571" s="8"/>
      <c r="U571" s="8"/>
      <c r="V571" s="11"/>
      <c r="W571" s="8"/>
      <c r="X571" s="8"/>
      <c r="Y571" s="9"/>
      <c r="Z571" s="8"/>
      <c r="AA571" s="8"/>
      <c r="AB571" s="8"/>
      <c r="AC571" s="11"/>
      <c r="AD571" s="8"/>
      <c r="AE571" s="9"/>
      <c r="AF571" s="8"/>
      <c r="AG571" s="9"/>
      <c r="AH571" s="8"/>
      <c r="AI571" s="8"/>
      <c r="AJ571" s="8"/>
      <c r="AK571" s="11"/>
      <c r="AL571" s="8"/>
      <c r="AM571" s="8"/>
      <c r="AN571" s="9"/>
      <c r="AO571" s="8"/>
      <c r="AP571" s="8"/>
      <c r="AQ571" s="8"/>
    </row>
    <row r="572" spans="1:43" x14ac:dyDescent="0.15">
      <c r="A572" s="8"/>
      <c r="B572" s="8"/>
      <c r="C572" s="8"/>
      <c r="D572" s="8"/>
      <c r="E572" s="8"/>
      <c r="F572" s="8"/>
      <c r="G572" s="10"/>
      <c r="H572" s="11"/>
      <c r="I572" s="8"/>
      <c r="J572" s="9"/>
      <c r="K572" s="8"/>
      <c r="L572" s="9"/>
      <c r="M572" s="8"/>
      <c r="N572" s="11"/>
      <c r="O572" s="8"/>
      <c r="P572" s="9"/>
      <c r="Q572" s="8"/>
      <c r="R572" s="9"/>
      <c r="S572" s="8"/>
      <c r="T572" s="8"/>
      <c r="U572" s="8"/>
      <c r="V572" s="11"/>
      <c r="W572" s="8"/>
      <c r="X572" s="8"/>
      <c r="Y572" s="9"/>
      <c r="Z572" s="8"/>
      <c r="AA572" s="8"/>
      <c r="AB572" s="8"/>
      <c r="AC572" s="11"/>
      <c r="AD572" s="8"/>
      <c r="AE572" s="9"/>
      <c r="AF572" s="8"/>
      <c r="AG572" s="9"/>
      <c r="AH572" s="8"/>
      <c r="AI572" s="8"/>
      <c r="AJ572" s="8"/>
      <c r="AK572" s="11"/>
      <c r="AL572" s="8"/>
      <c r="AM572" s="8"/>
      <c r="AN572" s="9"/>
      <c r="AO572" s="8"/>
      <c r="AP572" s="8"/>
      <c r="AQ572" s="8"/>
    </row>
    <row r="573" spans="1:43" x14ac:dyDescent="0.15">
      <c r="A573" s="8"/>
      <c r="B573" s="8"/>
      <c r="C573" s="8"/>
      <c r="D573" s="8"/>
      <c r="E573" s="8"/>
      <c r="F573" s="8"/>
      <c r="G573" s="10"/>
      <c r="H573" s="11"/>
      <c r="I573" s="8"/>
      <c r="J573" s="9"/>
      <c r="K573" s="8"/>
      <c r="L573" s="9"/>
      <c r="M573" s="8"/>
      <c r="N573" s="11"/>
      <c r="O573" s="8"/>
      <c r="P573" s="9"/>
      <c r="Q573" s="8"/>
      <c r="R573" s="9"/>
      <c r="S573" s="8"/>
      <c r="T573" s="8"/>
      <c r="U573" s="8"/>
      <c r="V573" s="11"/>
      <c r="W573" s="8"/>
      <c r="X573" s="8"/>
      <c r="Y573" s="9"/>
      <c r="Z573" s="8"/>
      <c r="AA573" s="8"/>
      <c r="AB573" s="8"/>
      <c r="AC573" s="11"/>
      <c r="AD573" s="8"/>
      <c r="AE573" s="9"/>
      <c r="AF573" s="8"/>
      <c r="AG573" s="9"/>
      <c r="AH573" s="8"/>
      <c r="AI573" s="8"/>
      <c r="AJ573" s="8"/>
      <c r="AK573" s="11"/>
      <c r="AL573" s="8"/>
      <c r="AM573" s="8"/>
      <c r="AN573" s="9"/>
      <c r="AO573" s="8"/>
      <c r="AP573" s="8"/>
      <c r="AQ573" s="8"/>
    </row>
    <row r="574" spans="1:43" x14ac:dyDescent="0.15">
      <c r="A574" s="8"/>
      <c r="B574" s="8"/>
      <c r="C574" s="8"/>
      <c r="D574" s="8"/>
      <c r="E574" s="8"/>
      <c r="F574" s="8"/>
      <c r="G574" s="10"/>
      <c r="H574" s="11"/>
      <c r="I574" s="8"/>
      <c r="J574" s="9"/>
      <c r="K574" s="8"/>
      <c r="L574" s="9"/>
      <c r="M574" s="8"/>
      <c r="N574" s="11"/>
      <c r="O574" s="8"/>
      <c r="P574" s="9"/>
      <c r="Q574" s="8"/>
      <c r="R574" s="9"/>
      <c r="S574" s="8"/>
      <c r="T574" s="8"/>
      <c r="U574" s="8"/>
      <c r="V574" s="11"/>
      <c r="W574" s="8"/>
      <c r="X574" s="8"/>
      <c r="Y574" s="9"/>
      <c r="Z574" s="8"/>
      <c r="AA574" s="8"/>
      <c r="AB574" s="8"/>
      <c r="AC574" s="11"/>
      <c r="AD574" s="8"/>
      <c r="AE574" s="9"/>
      <c r="AF574" s="8"/>
      <c r="AG574" s="9"/>
      <c r="AH574" s="8"/>
      <c r="AI574" s="8"/>
      <c r="AJ574" s="8"/>
      <c r="AK574" s="11"/>
      <c r="AL574" s="8"/>
      <c r="AM574" s="8"/>
      <c r="AN574" s="9"/>
      <c r="AO574" s="8"/>
      <c r="AP574" s="8"/>
      <c r="AQ574" s="8"/>
    </row>
    <row r="575" spans="1:43" x14ac:dyDescent="0.15">
      <c r="A575" s="8"/>
      <c r="B575" s="8"/>
      <c r="C575" s="8"/>
      <c r="D575" s="8"/>
      <c r="E575" s="8"/>
      <c r="F575" s="8"/>
      <c r="G575" s="10"/>
      <c r="H575" s="11"/>
      <c r="I575" s="8"/>
      <c r="J575" s="9"/>
      <c r="K575" s="8"/>
      <c r="L575" s="9"/>
      <c r="M575" s="8"/>
      <c r="N575" s="11"/>
      <c r="O575" s="8"/>
      <c r="P575" s="9"/>
      <c r="Q575" s="8"/>
      <c r="R575" s="9"/>
      <c r="S575" s="8"/>
      <c r="T575" s="8"/>
      <c r="U575" s="8"/>
      <c r="V575" s="11"/>
      <c r="W575" s="8"/>
      <c r="X575" s="8"/>
      <c r="Y575" s="9"/>
      <c r="Z575" s="8"/>
      <c r="AA575" s="8"/>
      <c r="AB575" s="8"/>
      <c r="AC575" s="11"/>
      <c r="AD575" s="8"/>
      <c r="AE575" s="9"/>
      <c r="AF575" s="8"/>
      <c r="AG575" s="9"/>
      <c r="AH575" s="8"/>
      <c r="AI575" s="8"/>
      <c r="AJ575" s="8"/>
      <c r="AK575" s="11"/>
      <c r="AL575" s="8"/>
      <c r="AM575" s="8"/>
      <c r="AN575" s="9"/>
      <c r="AO575" s="8"/>
      <c r="AP575" s="8"/>
      <c r="AQ575" s="8"/>
    </row>
    <row r="576" spans="1:43" x14ac:dyDescent="0.15">
      <c r="A576" s="8"/>
      <c r="B576" s="8"/>
      <c r="C576" s="8"/>
      <c r="D576" s="8"/>
      <c r="E576" s="8"/>
      <c r="F576" s="8"/>
      <c r="G576" s="10"/>
      <c r="H576" s="11"/>
      <c r="I576" s="8"/>
      <c r="J576" s="9"/>
      <c r="K576" s="8"/>
      <c r="L576" s="9"/>
      <c r="M576" s="8"/>
      <c r="N576" s="11"/>
      <c r="O576" s="8"/>
      <c r="P576" s="9"/>
      <c r="Q576" s="8"/>
      <c r="R576" s="9"/>
      <c r="S576" s="8"/>
      <c r="T576" s="8"/>
      <c r="U576" s="8"/>
      <c r="V576" s="11"/>
      <c r="W576" s="8"/>
      <c r="X576" s="8"/>
      <c r="Y576" s="9"/>
      <c r="Z576" s="8"/>
      <c r="AA576" s="8"/>
      <c r="AB576" s="8"/>
      <c r="AC576" s="11"/>
      <c r="AD576" s="8"/>
      <c r="AE576" s="9"/>
      <c r="AF576" s="8"/>
      <c r="AG576" s="9"/>
      <c r="AH576" s="8"/>
      <c r="AI576" s="8"/>
      <c r="AJ576" s="8"/>
      <c r="AK576" s="11"/>
      <c r="AL576" s="8"/>
      <c r="AM576" s="8"/>
      <c r="AN576" s="9"/>
      <c r="AO576" s="8"/>
      <c r="AP576" s="8"/>
      <c r="AQ576" s="8"/>
    </row>
    <row r="577" spans="1:43" x14ac:dyDescent="0.15">
      <c r="A577" s="8"/>
      <c r="B577" s="8"/>
      <c r="C577" s="8"/>
      <c r="D577" s="8"/>
      <c r="E577" s="8"/>
      <c r="F577" s="8"/>
      <c r="G577" s="10"/>
      <c r="H577" s="11"/>
      <c r="I577" s="8"/>
      <c r="J577" s="9"/>
      <c r="K577" s="8"/>
      <c r="L577" s="9"/>
      <c r="M577" s="8"/>
      <c r="N577" s="11"/>
      <c r="O577" s="8"/>
      <c r="P577" s="9"/>
      <c r="Q577" s="8"/>
      <c r="R577" s="9"/>
      <c r="S577" s="8"/>
      <c r="T577" s="8"/>
      <c r="U577" s="8"/>
      <c r="V577" s="11"/>
      <c r="W577" s="8"/>
      <c r="X577" s="8"/>
      <c r="Y577" s="9"/>
      <c r="Z577" s="8"/>
      <c r="AA577" s="8"/>
      <c r="AB577" s="8"/>
      <c r="AC577" s="11"/>
      <c r="AD577" s="8"/>
      <c r="AE577" s="9"/>
      <c r="AF577" s="8"/>
      <c r="AG577" s="9"/>
      <c r="AH577" s="8"/>
      <c r="AI577" s="8"/>
      <c r="AJ577" s="8"/>
      <c r="AK577" s="11"/>
      <c r="AL577" s="8"/>
      <c r="AM577" s="8"/>
      <c r="AN577" s="9"/>
      <c r="AO577" s="8"/>
      <c r="AP577" s="8"/>
      <c r="AQ577" s="8"/>
    </row>
    <row r="578" spans="1:43" x14ac:dyDescent="0.15">
      <c r="A578" s="8"/>
      <c r="B578" s="8"/>
      <c r="C578" s="8"/>
      <c r="D578" s="8"/>
      <c r="E578" s="8"/>
      <c r="F578" s="8"/>
      <c r="G578" s="10"/>
      <c r="H578" s="11"/>
      <c r="I578" s="8"/>
      <c r="J578" s="9"/>
      <c r="K578" s="8"/>
      <c r="L578" s="9"/>
      <c r="M578" s="8"/>
      <c r="N578" s="11"/>
      <c r="O578" s="8"/>
      <c r="P578" s="9"/>
      <c r="Q578" s="8"/>
      <c r="R578" s="9"/>
      <c r="S578" s="8"/>
      <c r="T578" s="8"/>
      <c r="U578" s="8"/>
      <c r="V578" s="11"/>
      <c r="W578" s="8"/>
      <c r="X578" s="8"/>
      <c r="Y578" s="9"/>
      <c r="Z578" s="8"/>
      <c r="AA578" s="8"/>
      <c r="AB578" s="8"/>
      <c r="AC578" s="11"/>
      <c r="AD578" s="8"/>
      <c r="AE578" s="9"/>
      <c r="AF578" s="8"/>
      <c r="AG578" s="9"/>
      <c r="AH578" s="8"/>
      <c r="AI578" s="8"/>
      <c r="AJ578" s="8"/>
      <c r="AK578" s="11"/>
      <c r="AL578" s="8"/>
      <c r="AM578" s="8"/>
      <c r="AN578" s="9"/>
      <c r="AO578" s="8"/>
      <c r="AP578" s="8"/>
      <c r="AQ578" s="8"/>
    </row>
    <row r="579" spans="1:43" outlineLevel="1" x14ac:dyDescent="0.15">
      <c r="A579" s="8"/>
      <c r="B579" s="8"/>
      <c r="C579" s="8"/>
      <c r="D579" s="8"/>
      <c r="E579" s="8"/>
      <c r="F579" s="8"/>
      <c r="G579" s="10"/>
      <c r="H579" s="11"/>
      <c r="I579" s="8"/>
      <c r="J579" s="9"/>
      <c r="K579" s="8"/>
      <c r="L579" s="9"/>
      <c r="M579" s="8"/>
      <c r="N579" s="11"/>
      <c r="O579" s="8"/>
      <c r="P579" s="9"/>
      <c r="Q579" s="8"/>
      <c r="R579" s="9"/>
      <c r="S579" s="8"/>
      <c r="T579" s="8"/>
      <c r="U579" s="8"/>
      <c r="V579" s="11"/>
      <c r="W579" s="8"/>
      <c r="X579" s="8"/>
      <c r="Y579" s="9"/>
      <c r="Z579" s="8"/>
      <c r="AA579" s="8"/>
      <c r="AB579" s="8"/>
      <c r="AC579" s="11"/>
      <c r="AD579" s="8"/>
      <c r="AE579" s="9"/>
      <c r="AF579" s="8"/>
      <c r="AG579" s="9"/>
      <c r="AH579" s="8"/>
      <c r="AI579" s="8"/>
      <c r="AJ579" s="8"/>
      <c r="AK579" s="11"/>
      <c r="AL579" s="8"/>
      <c r="AM579" s="8"/>
      <c r="AN579" s="9"/>
      <c r="AO579" s="8"/>
      <c r="AP579" s="8"/>
      <c r="AQ579" s="8"/>
    </row>
    <row r="580" spans="1:43" outlineLevel="1" x14ac:dyDescent="0.15">
      <c r="A580" s="8"/>
      <c r="B580" s="8"/>
      <c r="C580" s="8"/>
      <c r="D580" s="8"/>
      <c r="E580" s="8"/>
      <c r="F580" s="8"/>
      <c r="G580" s="10"/>
      <c r="H580" s="11"/>
      <c r="I580" s="8"/>
      <c r="J580" s="9"/>
      <c r="K580" s="8"/>
      <c r="L580" s="9"/>
      <c r="M580" s="8"/>
      <c r="N580" s="11"/>
      <c r="O580" s="8"/>
      <c r="P580" s="9"/>
      <c r="Q580" s="8"/>
      <c r="R580" s="9"/>
      <c r="S580" s="8"/>
      <c r="T580" s="8"/>
      <c r="U580" s="8"/>
      <c r="V580" s="11"/>
      <c r="W580" s="8"/>
      <c r="X580" s="8"/>
      <c r="Y580" s="9"/>
      <c r="Z580" s="8"/>
      <c r="AA580" s="8"/>
      <c r="AB580" s="8"/>
      <c r="AC580" s="11"/>
      <c r="AD580" s="8"/>
      <c r="AE580" s="9"/>
      <c r="AF580" s="8"/>
      <c r="AG580" s="9"/>
      <c r="AH580" s="8"/>
      <c r="AI580" s="8"/>
      <c r="AJ580" s="8"/>
      <c r="AK580" s="11"/>
      <c r="AL580" s="8"/>
      <c r="AM580" s="8"/>
      <c r="AN580" s="9"/>
      <c r="AO580" s="8"/>
      <c r="AP580" s="8"/>
      <c r="AQ580" s="8"/>
    </row>
    <row r="581" spans="1:43" outlineLevel="1" x14ac:dyDescent="0.15">
      <c r="A581" s="8"/>
      <c r="B581" s="8"/>
      <c r="C581" s="8"/>
      <c r="D581" s="8"/>
      <c r="E581" s="8"/>
      <c r="F581" s="8"/>
      <c r="G581" s="10"/>
      <c r="H581" s="11"/>
      <c r="I581" s="8"/>
      <c r="J581" s="9"/>
      <c r="K581" s="8"/>
      <c r="L581" s="9"/>
      <c r="M581" s="8"/>
      <c r="N581" s="11"/>
      <c r="O581" s="8"/>
      <c r="P581" s="9"/>
      <c r="Q581" s="8"/>
      <c r="R581" s="9"/>
      <c r="S581" s="8"/>
      <c r="T581" s="8"/>
      <c r="U581" s="8"/>
      <c r="V581" s="11"/>
      <c r="W581" s="8"/>
      <c r="X581" s="8"/>
      <c r="Y581" s="9"/>
      <c r="Z581" s="8"/>
      <c r="AA581" s="8"/>
      <c r="AB581" s="8"/>
      <c r="AC581" s="11"/>
      <c r="AD581" s="8"/>
      <c r="AE581" s="9"/>
      <c r="AF581" s="8"/>
      <c r="AG581" s="9"/>
      <c r="AH581" s="8"/>
      <c r="AI581" s="8"/>
      <c r="AJ581" s="8"/>
      <c r="AK581" s="11"/>
      <c r="AL581" s="8"/>
      <c r="AM581" s="8"/>
      <c r="AN581" s="9"/>
      <c r="AO581" s="8"/>
      <c r="AP581" s="8"/>
      <c r="AQ581" s="8"/>
    </row>
    <row r="582" spans="1:43" outlineLevel="1" x14ac:dyDescent="0.15">
      <c r="A582" s="8"/>
      <c r="B582" s="8"/>
      <c r="C582" s="8"/>
      <c r="D582" s="8"/>
      <c r="E582" s="8"/>
      <c r="F582" s="8"/>
      <c r="G582" s="10"/>
      <c r="H582" s="11"/>
      <c r="I582" s="8"/>
      <c r="J582" s="9"/>
      <c r="K582" s="8"/>
      <c r="L582" s="9"/>
      <c r="M582" s="8"/>
      <c r="N582" s="11"/>
      <c r="O582" s="8"/>
      <c r="P582" s="9"/>
      <c r="Q582" s="8"/>
      <c r="R582" s="9"/>
      <c r="S582" s="8"/>
      <c r="T582" s="8"/>
      <c r="U582" s="8"/>
      <c r="V582" s="11"/>
      <c r="W582" s="8"/>
      <c r="X582" s="8"/>
      <c r="Y582" s="9"/>
      <c r="Z582" s="8"/>
      <c r="AA582" s="8"/>
      <c r="AB582" s="8"/>
      <c r="AC582" s="11"/>
      <c r="AD582" s="8"/>
      <c r="AE582" s="9"/>
      <c r="AF582" s="8"/>
      <c r="AG582" s="9"/>
      <c r="AH582" s="8"/>
      <c r="AI582" s="8"/>
      <c r="AJ582" s="8"/>
      <c r="AK582" s="11"/>
      <c r="AL582" s="8"/>
      <c r="AM582" s="8"/>
      <c r="AN582" s="9"/>
      <c r="AO582" s="8"/>
      <c r="AP582" s="8"/>
      <c r="AQ582" s="8"/>
    </row>
    <row r="583" spans="1:43" outlineLevel="1" x14ac:dyDescent="0.15">
      <c r="A583" s="8"/>
      <c r="B583" s="8"/>
      <c r="C583" s="8"/>
      <c r="D583" s="8"/>
      <c r="E583" s="8"/>
      <c r="F583" s="8"/>
      <c r="G583" s="10"/>
      <c r="H583" s="11"/>
      <c r="I583" s="8"/>
      <c r="J583" s="9"/>
      <c r="K583" s="8"/>
      <c r="L583" s="9"/>
      <c r="M583" s="8"/>
      <c r="N583" s="11"/>
      <c r="O583" s="8"/>
      <c r="P583" s="9"/>
      <c r="Q583" s="8"/>
      <c r="R583" s="9"/>
      <c r="S583" s="8"/>
      <c r="T583" s="8"/>
      <c r="U583" s="8"/>
      <c r="V583" s="11"/>
      <c r="W583" s="8"/>
      <c r="X583" s="8"/>
      <c r="Y583" s="9"/>
      <c r="Z583" s="8"/>
      <c r="AA583" s="8"/>
      <c r="AB583" s="8"/>
      <c r="AC583" s="11"/>
      <c r="AD583" s="8"/>
      <c r="AE583" s="9"/>
      <c r="AF583" s="8"/>
      <c r="AG583" s="9"/>
      <c r="AH583" s="8"/>
      <c r="AI583" s="8"/>
      <c r="AJ583" s="8"/>
      <c r="AK583" s="11"/>
      <c r="AL583" s="8"/>
      <c r="AM583" s="8"/>
      <c r="AN583" s="9"/>
      <c r="AO583" s="8"/>
      <c r="AP583" s="8"/>
      <c r="AQ583" s="8"/>
    </row>
    <row r="584" spans="1:43" outlineLevel="1" x14ac:dyDescent="0.15">
      <c r="A584" s="8"/>
      <c r="B584" s="8"/>
      <c r="C584" s="8"/>
      <c r="D584" s="8"/>
      <c r="E584" s="8"/>
      <c r="F584" s="8"/>
      <c r="G584" s="10"/>
      <c r="H584" s="11"/>
      <c r="I584" s="8"/>
      <c r="J584" s="9"/>
      <c r="K584" s="8"/>
      <c r="L584" s="9"/>
      <c r="M584" s="8"/>
      <c r="N584" s="11"/>
      <c r="O584" s="8"/>
      <c r="P584" s="9"/>
      <c r="Q584" s="8"/>
      <c r="R584" s="9"/>
      <c r="S584" s="8"/>
      <c r="T584" s="8"/>
      <c r="U584" s="8"/>
      <c r="V584" s="11"/>
      <c r="W584" s="8"/>
      <c r="X584" s="8"/>
      <c r="Y584" s="9"/>
      <c r="Z584" s="8"/>
      <c r="AA584" s="8"/>
      <c r="AB584" s="8"/>
      <c r="AC584" s="11"/>
      <c r="AD584" s="8"/>
      <c r="AE584" s="9"/>
      <c r="AF584" s="8"/>
      <c r="AG584" s="9"/>
      <c r="AH584" s="8"/>
      <c r="AI584" s="8"/>
      <c r="AJ584" s="8"/>
      <c r="AK584" s="11"/>
      <c r="AL584" s="8"/>
      <c r="AM584" s="8"/>
      <c r="AN584" s="9"/>
      <c r="AO584" s="8"/>
      <c r="AP584" s="8"/>
      <c r="AQ584" s="8"/>
    </row>
    <row r="585" spans="1:43" outlineLevel="1" x14ac:dyDescent="0.15">
      <c r="A585" s="8"/>
      <c r="B585" s="8"/>
      <c r="C585" s="8"/>
      <c r="D585" s="8"/>
      <c r="E585" s="8"/>
      <c r="F585" s="8"/>
      <c r="G585" s="10"/>
      <c r="H585" s="11"/>
      <c r="I585" s="8"/>
      <c r="J585" s="9"/>
      <c r="K585" s="8"/>
      <c r="L585" s="9"/>
      <c r="M585" s="8"/>
      <c r="N585" s="11"/>
      <c r="O585" s="8"/>
      <c r="P585" s="9"/>
      <c r="Q585" s="8"/>
      <c r="R585" s="9"/>
      <c r="S585" s="8"/>
      <c r="T585" s="8"/>
      <c r="U585" s="8"/>
      <c r="V585" s="11"/>
      <c r="W585" s="8"/>
      <c r="X585" s="8"/>
      <c r="Y585" s="9"/>
      <c r="Z585" s="8"/>
      <c r="AA585" s="8"/>
      <c r="AB585" s="8"/>
      <c r="AC585" s="11"/>
      <c r="AD585" s="8"/>
      <c r="AE585" s="9"/>
      <c r="AF585" s="8"/>
      <c r="AG585" s="9"/>
      <c r="AH585" s="8"/>
      <c r="AI585" s="8"/>
      <c r="AJ585" s="8"/>
      <c r="AK585" s="11"/>
      <c r="AL585" s="8"/>
      <c r="AM585" s="8"/>
      <c r="AN585" s="9"/>
      <c r="AO585" s="8"/>
      <c r="AP585" s="8"/>
      <c r="AQ585" s="8"/>
    </row>
    <row r="586" spans="1:43" outlineLevel="1" x14ac:dyDescent="0.15">
      <c r="A586" s="8"/>
      <c r="B586" s="8"/>
      <c r="C586" s="8"/>
      <c r="D586" s="8"/>
      <c r="E586" s="8"/>
      <c r="F586" s="8"/>
      <c r="G586" s="10"/>
      <c r="H586" s="11"/>
      <c r="I586" s="8"/>
      <c r="J586" s="9"/>
      <c r="K586" s="8"/>
      <c r="L586" s="9"/>
      <c r="M586" s="8"/>
      <c r="N586" s="11"/>
      <c r="O586" s="8"/>
      <c r="P586" s="9"/>
      <c r="Q586" s="8"/>
      <c r="R586" s="9"/>
      <c r="S586" s="8"/>
      <c r="T586" s="8"/>
      <c r="U586" s="8"/>
      <c r="V586" s="11"/>
      <c r="W586" s="8"/>
      <c r="X586" s="8"/>
      <c r="Y586" s="9"/>
      <c r="Z586" s="8"/>
      <c r="AA586" s="8"/>
      <c r="AB586" s="8"/>
      <c r="AC586" s="11"/>
      <c r="AD586" s="8"/>
      <c r="AE586" s="9"/>
      <c r="AF586" s="8"/>
      <c r="AG586" s="9"/>
      <c r="AH586" s="8"/>
      <c r="AI586" s="8"/>
      <c r="AJ586" s="8"/>
      <c r="AK586" s="11"/>
      <c r="AL586" s="8"/>
      <c r="AM586" s="8"/>
      <c r="AN586" s="9"/>
      <c r="AO586" s="8"/>
      <c r="AP586" s="8"/>
      <c r="AQ586" s="8"/>
    </row>
    <row r="587" spans="1:43" outlineLevel="1" x14ac:dyDescent="0.15">
      <c r="A587" s="8"/>
      <c r="B587" s="8"/>
      <c r="C587" s="8"/>
      <c r="D587" s="8"/>
      <c r="E587" s="8"/>
      <c r="F587" s="8"/>
      <c r="G587" s="10"/>
      <c r="H587" s="11"/>
      <c r="I587" s="8"/>
      <c r="J587" s="9"/>
      <c r="K587" s="8"/>
      <c r="L587" s="9"/>
      <c r="M587" s="8"/>
      <c r="N587" s="11"/>
      <c r="O587" s="8"/>
      <c r="P587" s="9"/>
      <c r="Q587" s="8"/>
      <c r="R587" s="9"/>
      <c r="S587" s="8"/>
      <c r="T587" s="8"/>
      <c r="U587" s="8"/>
      <c r="V587" s="11"/>
      <c r="W587" s="8"/>
      <c r="X587" s="8"/>
      <c r="Y587" s="9"/>
      <c r="Z587" s="8"/>
      <c r="AA587" s="8"/>
      <c r="AB587" s="8"/>
      <c r="AC587" s="11"/>
      <c r="AD587" s="8"/>
      <c r="AE587" s="9"/>
      <c r="AF587" s="8"/>
      <c r="AG587" s="9"/>
      <c r="AH587" s="8"/>
      <c r="AI587" s="8"/>
      <c r="AJ587" s="8"/>
      <c r="AK587" s="11"/>
      <c r="AL587" s="8"/>
      <c r="AM587" s="8"/>
      <c r="AN587" s="9"/>
      <c r="AO587" s="8"/>
      <c r="AP587" s="8"/>
      <c r="AQ587" s="8"/>
    </row>
    <row r="588" spans="1:43" x14ac:dyDescent="0.15">
      <c r="A588" s="8"/>
      <c r="B588" s="8"/>
      <c r="C588" s="8"/>
      <c r="D588" s="8"/>
      <c r="E588" s="8"/>
      <c r="F588" s="8"/>
      <c r="G588" s="10"/>
      <c r="H588" s="11"/>
      <c r="I588" s="8"/>
      <c r="J588" s="9"/>
      <c r="K588" s="8"/>
      <c r="L588" s="9"/>
      <c r="M588" s="8"/>
      <c r="N588" s="11"/>
      <c r="O588" s="8"/>
      <c r="P588" s="9"/>
      <c r="Q588" s="8"/>
      <c r="R588" s="9"/>
      <c r="S588" s="8"/>
      <c r="T588" s="8"/>
      <c r="U588" s="8"/>
      <c r="V588" s="11"/>
      <c r="W588" s="8"/>
      <c r="X588" s="8"/>
      <c r="Y588" s="9"/>
      <c r="Z588" s="8"/>
      <c r="AA588" s="8"/>
      <c r="AB588" s="8"/>
      <c r="AC588" s="11"/>
      <c r="AD588" s="8"/>
      <c r="AE588" s="9"/>
      <c r="AF588" s="8"/>
      <c r="AG588" s="9"/>
      <c r="AH588" s="8"/>
      <c r="AI588" s="8"/>
      <c r="AJ588" s="8"/>
      <c r="AK588" s="11"/>
      <c r="AL588" s="8"/>
      <c r="AM588" s="8"/>
      <c r="AN588" s="9"/>
      <c r="AO588" s="8"/>
      <c r="AP588" s="8"/>
      <c r="AQ588" s="8"/>
    </row>
    <row r="589" spans="1:43" x14ac:dyDescent="0.15">
      <c r="A589" s="8"/>
      <c r="B589" s="8"/>
      <c r="C589" s="8"/>
      <c r="D589" s="8"/>
      <c r="E589" s="8"/>
      <c r="F589" s="8"/>
      <c r="G589" s="10"/>
      <c r="H589" s="11"/>
      <c r="I589" s="8"/>
      <c r="J589" s="9"/>
      <c r="K589" s="8"/>
      <c r="L589" s="9"/>
      <c r="M589" s="8"/>
      <c r="N589" s="11"/>
      <c r="O589" s="8"/>
      <c r="P589" s="9"/>
      <c r="Q589" s="8"/>
      <c r="R589" s="9"/>
      <c r="S589" s="8"/>
      <c r="T589" s="8"/>
      <c r="U589" s="8"/>
      <c r="V589" s="11"/>
      <c r="W589" s="8"/>
      <c r="X589" s="8"/>
      <c r="Y589" s="9"/>
      <c r="Z589" s="8"/>
      <c r="AA589" s="8"/>
      <c r="AB589" s="8"/>
      <c r="AC589" s="11"/>
      <c r="AD589" s="8"/>
      <c r="AE589" s="9"/>
      <c r="AF589" s="8"/>
      <c r="AG589" s="9"/>
      <c r="AH589" s="8"/>
      <c r="AI589" s="8"/>
      <c r="AJ589" s="8"/>
      <c r="AK589" s="11"/>
      <c r="AL589" s="8"/>
      <c r="AM589" s="8"/>
      <c r="AN589" s="9"/>
      <c r="AO589" s="8"/>
      <c r="AP589" s="8"/>
      <c r="AQ589" s="8"/>
    </row>
    <row r="590" spans="1:43" x14ac:dyDescent="0.15">
      <c r="A590" s="8"/>
      <c r="B590" s="8"/>
      <c r="C590" s="8"/>
      <c r="D590" s="8"/>
      <c r="E590" s="8"/>
      <c r="F590" s="8"/>
      <c r="G590" s="10"/>
      <c r="H590" s="11"/>
      <c r="I590" s="8"/>
      <c r="J590" s="9"/>
      <c r="K590" s="8"/>
      <c r="L590" s="9"/>
      <c r="M590" s="8"/>
      <c r="N590" s="11"/>
      <c r="O590" s="8"/>
      <c r="P590" s="9"/>
      <c r="Q590" s="8"/>
      <c r="R590" s="9"/>
      <c r="S590" s="8"/>
      <c r="T590" s="8"/>
      <c r="U590" s="8"/>
      <c r="V590" s="11"/>
      <c r="W590" s="8"/>
      <c r="X590" s="8"/>
      <c r="Y590" s="9"/>
      <c r="Z590" s="8"/>
      <c r="AA590" s="8"/>
      <c r="AB590" s="8"/>
      <c r="AC590" s="11"/>
      <c r="AD590" s="8"/>
      <c r="AE590" s="9"/>
      <c r="AF590" s="8"/>
      <c r="AG590" s="9"/>
      <c r="AH590" s="8"/>
      <c r="AI590" s="8"/>
      <c r="AJ590" s="8"/>
      <c r="AK590" s="11"/>
      <c r="AL590" s="8"/>
      <c r="AM590" s="8"/>
      <c r="AN590" s="9"/>
      <c r="AO590" s="8"/>
      <c r="AP590" s="8"/>
      <c r="AQ590" s="8"/>
    </row>
    <row r="591" spans="1:43" x14ac:dyDescent="0.15">
      <c r="A591" s="8"/>
      <c r="B591" s="8"/>
      <c r="C591" s="8"/>
      <c r="D591" s="8"/>
      <c r="E591" s="8"/>
      <c r="F591" s="8"/>
      <c r="G591" s="10"/>
      <c r="H591" s="11"/>
      <c r="I591" s="8"/>
      <c r="J591" s="9"/>
      <c r="K591" s="8"/>
      <c r="L591" s="9"/>
      <c r="M591" s="8"/>
      <c r="N591" s="11"/>
      <c r="O591" s="8"/>
      <c r="P591" s="9"/>
      <c r="Q591" s="8"/>
      <c r="R591" s="9"/>
      <c r="S591" s="8"/>
      <c r="T591" s="8"/>
      <c r="U591" s="8"/>
      <c r="V591" s="11"/>
      <c r="W591" s="8"/>
      <c r="X591" s="8"/>
      <c r="Y591" s="9"/>
      <c r="Z591" s="8"/>
      <c r="AA591" s="8"/>
      <c r="AB591" s="8"/>
      <c r="AC591" s="11"/>
      <c r="AD591" s="8"/>
      <c r="AE591" s="9"/>
      <c r="AF591" s="8"/>
      <c r="AG591" s="9"/>
      <c r="AH591" s="8"/>
      <c r="AI591" s="8"/>
      <c r="AJ591" s="8"/>
      <c r="AK591" s="11"/>
      <c r="AL591" s="8"/>
      <c r="AM591" s="8"/>
      <c r="AN591" s="9"/>
      <c r="AO591" s="8"/>
      <c r="AP591" s="8"/>
      <c r="AQ591" s="8"/>
    </row>
    <row r="592" spans="1:43" x14ac:dyDescent="0.15">
      <c r="A592" s="8"/>
      <c r="B592" s="8"/>
      <c r="C592" s="8"/>
      <c r="D592" s="8"/>
      <c r="E592" s="8"/>
      <c r="F592" s="8"/>
      <c r="G592" s="10"/>
      <c r="H592" s="11"/>
      <c r="I592" s="8"/>
      <c r="J592" s="9"/>
      <c r="K592" s="8"/>
      <c r="L592" s="9"/>
      <c r="M592" s="8"/>
      <c r="N592" s="11"/>
      <c r="O592" s="8"/>
      <c r="P592" s="9"/>
      <c r="Q592" s="8"/>
      <c r="R592" s="9"/>
      <c r="S592" s="8"/>
      <c r="T592" s="8"/>
      <c r="U592" s="8"/>
      <c r="V592" s="11"/>
      <c r="W592" s="8"/>
      <c r="X592" s="8"/>
      <c r="Y592" s="9"/>
      <c r="Z592" s="8"/>
      <c r="AA592" s="8"/>
      <c r="AB592" s="8"/>
      <c r="AC592" s="11"/>
      <c r="AD592" s="8"/>
      <c r="AE592" s="9"/>
      <c r="AF592" s="8"/>
      <c r="AG592" s="9"/>
      <c r="AH592" s="8"/>
      <c r="AI592" s="8"/>
      <c r="AJ592" s="8"/>
      <c r="AK592" s="11"/>
      <c r="AL592" s="8"/>
      <c r="AM592" s="8"/>
      <c r="AN592" s="9"/>
      <c r="AO592" s="8"/>
      <c r="AP592" s="8"/>
      <c r="AQ592" s="8"/>
    </row>
    <row r="593" spans="1:43" x14ac:dyDescent="0.15">
      <c r="A593" s="8"/>
      <c r="B593" s="8"/>
      <c r="C593" s="8"/>
      <c r="D593" s="8"/>
      <c r="E593" s="8"/>
      <c r="F593" s="8"/>
      <c r="G593" s="10"/>
      <c r="H593" s="11"/>
      <c r="I593" s="8"/>
      <c r="J593" s="9"/>
      <c r="K593" s="8"/>
      <c r="L593" s="9"/>
      <c r="M593" s="8"/>
      <c r="N593" s="11"/>
      <c r="O593" s="8"/>
      <c r="P593" s="9"/>
      <c r="Q593" s="8"/>
      <c r="R593" s="9"/>
      <c r="S593" s="8"/>
      <c r="T593" s="8"/>
      <c r="U593" s="8"/>
      <c r="V593" s="11"/>
      <c r="W593" s="8"/>
      <c r="X593" s="8"/>
      <c r="Y593" s="9"/>
      <c r="Z593" s="8"/>
      <c r="AA593" s="8"/>
      <c r="AB593" s="8"/>
      <c r="AC593" s="11"/>
      <c r="AD593" s="8"/>
      <c r="AE593" s="9"/>
      <c r="AF593" s="8"/>
      <c r="AG593" s="9"/>
      <c r="AH593" s="8"/>
      <c r="AI593" s="8"/>
      <c r="AJ593" s="8"/>
      <c r="AK593" s="11"/>
      <c r="AL593" s="8"/>
      <c r="AM593" s="8"/>
      <c r="AN593" s="9"/>
      <c r="AO593" s="8"/>
      <c r="AP593" s="8"/>
      <c r="AQ593" s="8"/>
    </row>
    <row r="594" spans="1:43" x14ac:dyDescent="0.15">
      <c r="A594" s="8"/>
      <c r="B594" s="8"/>
      <c r="C594" s="8"/>
      <c r="D594" s="8"/>
      <c r="E594" s="8"/>
      <c r="F594" s="8"/>
      <c r="G594" s="10"/>
      <c r="H594" s="11"/>
      <c r="I594" s="8"/>
      <c r="J594" s="9"/>
      <c r="K594" s="8"/>
      <c r="L594" s="9"/>
      <c r="M594" s="8"/>
      <c r="N594" s="11"/>
      <c r="O594" s="8"/>
      <c r="P594" s="9"/>
      <c r="Q594" s="8"/>
      <c r="R594" s="9"/>
      <c r="S594" s="8"/>
      <c r="T594" s="8"/>
      <c r="U594" s="8"/>
      <c r="V594" s="11"/>
      <c r="W594" s="8"/>
      <c r="X594" s="8"/>
      <c r="Y594" s="9"/>
      <c r="Z594" s="8"/>
      <c r="AA594" s="8"/>
      <c r="AB594" s="8"/>
      <c r="AC594" s="11"/>
      <c r="AD594" s="8"/>
      <c r="AE594" s="9"/>
      <c r="AF594" s="8"/>
      <c r="AG594" s="9"/>
      <c r="AH594" s="8"/>
      <c r="AI594" s="8"/>
      <c r="AJ594" s="8"/>
      <c r="AK594" s="11"/>
      <c r="AL594" s="8"/>
      <c r="AM594" s="8"/>
      <c r="AN594" s="9"/>
      <c r="AO594" s="8"/>
      <c r="AP594" s="8"/>
      <c r="AQ594" s="8"/>
    </row>
    <row r="595" spans="1:43" x14ac:dyDescent="0.15">
      <c r="A595" s="8"/>
      <c r="B595" s="8"/>
      <c r="C595" s="8"/>
      <c r="D595" s="8"/>
      <c r="E595" s="8"/>
      <c r="F595" s="8"/>
      <c r="G595" s="10"/>
      <c r="H595" s="11"/>
      <c r="I595" s="8"/>
      <c r="J595" s="9"/>
      <c r="K595" s="8"/>
      <c r="L595" s="9"/>
      <c r="M595" s="8"/>
      <c r="N595" s="11"/>
      <c r="O595" s="8"/>
      <c r="P595" s="9"/>
      <c r="Q595" s="8"/>
      <c r="R595" s="9"/>
      <c r="S595" s="8"/>
      <c r="T595" s="8"/>
      <c r="U595" s="8"/>
      <c r="V595" s="11"/>
      <c r="W595" s="8"/>
      <c r="X595" s="8"/>
      <c r="Y595" s="9"/>
      <c r="Z595" s="8"/>
      <c r="AA595" s="8"/>
      <c r="AB595" s="8"/>
      <c r="AC595" s="11"/>
      <c r="AD595" s="8"/>
      <c r="AE595" s="9"/>
      <c r="AF595" s="8"/>
      <c r="AG595" s="9"/>
      <c r="AH595" s="8"/>
      <c r="AI595" s="8"/>
      <c r="AJ595" s="8"/>
      <c r="AK595" s="11"/>
      <c r="AL595" s="8"/>
      <c r="AM595" s="8"/>
      <c r="AN595" s="9"/>
      <c r="AO595" s="8"/>
      <c r="AP595" s="8"/>
      <c r="AQ595" s="8"/>
    </row>
    <row r="596" spans="1:43" x14ac:dyDescent="0.15">
      <c r="A596" s="8"/>
      <c r="B596" s="8"/>
      <c r="C596" s="8"/>
      <c r="D596" s="8"/>
      <c r="E596" s="8"/>
      <c r="F596" s="8"/>
      <c r="G596" s="10"/>
      <c r="H596" s="11"/>
      <c r="I596" s="8"/>
      <c r="J596" s="9"/>
      <c r="K596" s="8"/>
      <c r="L596" s="9"/>
      <c r="M596" s="8"/>
      <c r="N596" s="11"/>
      <c r="O596" s="8"/>
      <c r="P596" s="9"/>
      <c r="Q596" s="8"/>
      <c r="R596" s="9"/>
      <c r="S596" s="8"/>
      <c r="T596" s="8"/>
      <c r="U596" s="8"/>
      <c r="V596" s="11"/>
      <c r="W596" s="8"/>
      <c r="X596" s="8"/>
      <c r="Y596" s="9"/>
      <c r="Z596" s="8"/>
      <c r="AA596" s="8"/>
      <c r="AB596" s="8"/>
      <c r="AC596" s="11"/>
      <c r="AD596" s="8"/>
      <c r="AE596" s="9"/>
      <c r="AF596" s="8"/>
      <c r="AG596" s="9"/>
      <c r="AH596" s="8"/>
      <c r="AI596" s="8"/>
      <c r="AJ596" s="8"/>
      <c r="AK596" s="11"/>
      <c r="AL596" s="8"/>
      <c r="AM596" s="8"/>
      <c r="AN596" s="9"/>
      <c r="AO596" s="8"/>
      <c r="AP596" s="8"/>
      <c r="AQ596" s="8"/>
    </row>
    <row r="597" spans="1:43" outlineLevel="1" x14ac:dyDescent="0.15">
      <c r="A597" s="8"/>
      <c r="B597" s="8"/>
      <c r="C597" s="8"/>
      <c r="D597" s="8"/>
      <c r="E597" s="8"/>
      <c r="F597" s="8"/>
      <c r="G597" s="10"/>
      <c r="H597" s="11"/>
      <c r="I597" s="8"/>
      <c r="J597" s="9"/>
      <c r="K597" s="8"/>
      <c r="L597" s="9"/>
      <c r="M597" s="8"/>
      <c r="N597" s="11"/>
      <c r="O597" s="8"/>
      <c r="P597" s="9"/>
      <c r="Q597" s="8"/>
      <c r="R597" s="9"/>
      <c r="S597" s="8"/>
      <c r="T597" s="8"/>
      <c r="U597" s="8"/>
      <c r="V597" s="11"/>
      <c r="W597" s="8"/>
      <c r="X597" s="8"/>
      <c r="Y597" s="9"/>
      <c r="Z597" s="8"/>
      <c r="AA597" s="8"/>
      <c r="AB597" s="8"/>
      <c r="AC597" s="11"/>
      <c r="AD597" s="8"/>
      <c r="AE597" s="9"/>
      <c r="AF597" s="8"/>
      <c r="AG597" s="9"/>
      <c r="AH597" s="8"/>
      <c r="AI597" s="8"/>
      <c r="AJ597" s="8"/>
      <c r="AK597" s="11"/>
      <c r="AL597" s="8"/>
      <c r="AM597" s="8"/>
      <c r="AN597" s="9"/>
      <c r="AO597" s="8"/>
      <c r="AP597" s="8"/>
      <c r="AQ597" s="8"/>
    </row>
    <row r="598" spans="1:43" outlineLevel="1" x14ac:dyDescent="0.15">
      <c r="A598" s="8"/>
      <c r="B598" s="8"/>
      <c r="C598" s="8"/>
      <c r="D598" s="8"/>
      <c r="E598" s="8"/>
      <c r="F598" s="8"/>
      <c r="G598" s="10"/>
      <c r="H598" s="11"/>
      <c r="I598" s="8"/>
      <c r="J598" s="9"/>
      <c r="K598" s="8"/>
      <c r="L598" s="9"/>
      <c r="M598" s="8"/>
      <c r="N598" s="11"/>
      <c r="O598" s="8"/>
      <c r="P598" s="9"/>
      <c r="Q598" s="8"/>
      <c r="R598" s="9"/>
      <c r="S598" s="8"/>
      <c r="T598" s="8"/>
      <c r="U598" s="8"/>
      <c r="V598" s="11"/>
      <c r="W598" s="8"/>
      <c r="X598" s="8"/>
      <c r="Y598" s="9"/>
      <c r="Z598" s="8"/>
      <c r="AA598" s="8"/>
      <c r="AB598" s="8"/>
      <c r="AC598" s="11"/>
      <c r="AD598" s="8"/>
      <c r="AE598" s="9"/>
      <c r="AF598" s="8"/>
      <c r="AG598" s="9"/>
      <c r="AH598" s="8"/>
      <c r="AI598" s="8"/>
      <c r="AJ598" s="8"/>
      <c r="AK598" s="11"/>
      <c r="AL598" s="8"/>
      <c r="AM598" s="8"/>
      <c r="AN598" s="9"/>
      <c r="AO598" s="8"/>
      <c r="AP598" s="8"/>
      <c r="AQ598" s="8"/>
    </row>
    <row r="599" spans="1:43" outlineLevel="1" x14ac:dyDescent="0.15">
      <c r="A599" s="8"/>
      <c r="B599" s="8"/>
      <c r="C599" s="8"/>
      <c r="D599" s="8"/>
      <c r="E599" s="8"/>
      <c r="F599" s="8"/>
      <c r="G599" s="10"/>
      <c r="H599" s="11"/>
      <c r="I599" s="8"/>
      <c r="J599" s="9"/>
      <c r="K599" s="8"/>
      <c r="L599" s="9"/>
      <c r="M599" s="8"/>
      <c r="N599" s="11"/>
      <c r="O599" s="8"/>
      <c r="P599" s="9"/>
      <c r="Q599" s="8"/>
      <c r="R599" s="9"/>
      <c r="S599" s="8"/>
      <c r="T599" s="8"/>
      <c r="U599" s="8"/>
      <c r="V599" s="11"/>
      <c r="W599" s="8"/>
      <c r="X599" s="8"/>
      <c r="Y599" s="9"/>
      <c r="Z599" s="8"/>
      <c r="AA599" s="8"/>
      <c r="AB599" s="8"/>
      <c r="AC599" s="11"/>
      <c r="AD599" s="8"/>
      <c r="AE599" s="9"/>
      <c r="AF599" s="8"/>
      <c r="AG599" s="9"/>
      <c r="AH599" s="8"/>
      <c r="AI599" s="8"/>
      <c r="AJ599" s="8"/>
      <c r="AK599" s="11"/>
      <c r="AL599" s="8"/>
      <c r="AM599" s="8"/>
      <c r="AN599" s="9"/>
      <c r="AO599" s="8"/>
      <c r="AP599" s="8"/>
      <c r="AQ599" s="8"/>
    </row>
    <row r="600" spans="1:43" outlineLevel="1" x14ac:dyDescent="0.15">
      <c r="A600" s="8"/>
      <c r="B600" s="8"/>
      <c r="C600" s="8"/>
      <c r="D600" s="8"/>
      <c r="E600" s="8"/>
      <c r="F600" s="8"/>
      <c r="G600" s="10"/>
      <c r="H600" s="11"/>
      <c r="I600" s="8"/>
      <c r="J600" s="9"/>
      <c r="K600" s="8"/>
      <c r="L600" s="9"/>
      <c r="M600" s="8"/>
      <c r="N600" s="11"/>
      <c r="O600" s="8"/>
      <c r="P600" s="9"/>
      <c r="Q600" s="8"/>
      <c r="R600" s="9"/>
      <c r="S600" s="8"/>
      <c r="T600" s="8"/>
      <c r="U600" s="8"/>
      <c r="V600" s="11"/>
      <c r="W600" s="8"/>
      <c r="X600" s="8"/>
      <c r="Y600" s="9"/>
      <c r="Z600" s="8"/>
      <c r="AA600" s="8"/>
      <c r="AB600" s="8"/>
      <c r="AC600" s="11"/>
      <c r="AD600" s="8"/>
      <c r="AE600" s="9"/>
      <c r="AF600" s="8"/>
      <c r="AG600" s="9"/>
      <c r="AH600" s="8"/>
      <c r="AI600" s="8"/>
      <c r="AJ600" s="8"/>
      <c r="AK600" s="11"/>
      <c r="AL600" s="8"/>
      <c r="AM600" s="8"/>
      <c r="AN600" s="9"/>
      <c r="AO600" s="8"/>
      <c r="AP600" s="8"/>
      <c r="AQ600" s="8"/>
    </row>
    <row r="601" spans="1:43" x14ac:dyDescent="0.15">
      <c r="A601" s="8"/>
      <c r="B601" s="8"/>
      <c r="C601" s="8"/>
      <c r="D601" s="8"/>
      <c r="E601" s="8"/>
      <c r="F601" s="8"/>
      <c r="G601" s="10"/>
      <c r="H601" s="11"/>
      <c r="I601" s="8"/>
      <c r="J601" s="9"/>
      <c r="K601" s="8"/>
      <c r="L601" s="9"/>
      <c r="M601" s="8"/>
      <c r="N601" s="11"/>
      <c r="O601" s="8"/>
      <c r="P601" s="9"/>
      <c r="Q601" s="8"/>
      <c r="R601" s="9"/>
      <c r="S601" s="8"/>
      <c r="T601" s="8"/>
      <c r="U601" s="8"/>
      <c r="V601" s="11"/>
      <c r="W601" s="8"/>
      <c r="X601" s="8"/>
      <c r="Y601" s="9"/>
      <c r="Z601" s="8"/>
      <c r="AA601" s="8"/>
      <c r="AB601" s="8"/>
      <c r="AC601" s="11"/>
      <c r="AD601" s="8"/>
      <c r="AE601" s="9"/>
      <c r="AF601" s="8"/>
      <c r="AG601" s="9"/>
      <c r="AH601" s="8"/>
      <c r="AI601" s="8"/>
      <c r="AJ601" s="8"/>
      <c r="AK601" s="11"/>
      <c r="AL601" s="8"/>
      <c r="AM601" s="8"/>
      <c r="AN601" s="9"/>
      <c r="AO601" s="8"/>
      <c r="AP601" s="8"/>
      <c r="AQ601" s="8"/>
    </row>
    <row r="602" spans="1:43" x14ac:dyDescent="0.15">
      <c r="A602" s="8"/>
      <c r="B602" s="8"/>
      <c r="C602" s="8"/>
      <c r="D602" s="8"/>
      <c r="E602" s="8"/>
      <c r="F602" s="8"/>
      <c r="G602" s="10"/>
      <c r="H602" s="11"/>
      <c r="I602" s="8"/>
      <c r="J602" s="9"/>
      <c r="K602" s="8"/>
      <c r="L602" s="9"/>
      <c r="M602" s="8"/>
      <c r="N602" s="11"/>
      <c r="O602" s="8"/>
      <c r="P602" s="9"/>
      <c r="Q602" s="8"/>
      <c r="R602" s="9"/>
      <c r="S602" s="8"/>
      <c r="T602" s="8"/>
      <c r="U602" s="8"/>
      <c r="V602" s="11"/>
      <c r="W602" s="8"/>
      <c r="X602" s="8"/>
      <c r="Y602" s="9"/>
      <c r="Z602" s="8"/>
      <c r="AA602" s="8"/>
      <c r="AB602" s="8"/>
      <c r="AC602" s="11"/>
      <c r="AD602" s="8"/>
      <c r="AE602" s="9"/>
      <c r="AF602" s="8"/>
      <c r="AG602" s="9"/>
      <c r="AH602" s="8"/>
      <c r="AI602" s="8"/>
      <c r="AJ602" s="8"/>
      <c r="AK602" s="11"/>
      <c r="AL602" s="8"/>
      <c r="AM602" s="8"/>
      <c r="AN602" s="9"/>
      <c r="AO602" s="8"/>
      <c r="AP602" s="8"/>
      <c r="AQ602" s="8"/>
    </row>
    <row r="603" spans="1:43" x14ac:dyDescent="0.15">
      <c r="A603" s="8"/>
      <c r="B603" s="8"/>
      <c r="C603" s="8"/>
      <c r="D603" s="8"/>
      <c r="E603" s="8"/>
      <c r="F603" s="8"/>
      <c r="G603" s="10"/>
      <c r="H603" s="11"/>
      <c r="I603" s="8"/>
      <c r="J603" s="9"/>
      <c r="K603" s="8"/>
      <c r="L603" s="9"/>
      <c r="M603" s="8"/>
      <c r="N603" s="11"/>
      <c r="O603" s="8"/>
      <c r="P603" s="9"/>
      <c r="Q603" s="8"/>
      <c r="R603" s="9"/>
      <c r="S603" s="8"/>
      <c r="T603" s="8"/>
      <c r="U603" s="8"/>
      <c r="V603" s="11"/>
      <c r="W603" s="8"/>
      <c r="X603" s="8"/>
      <c r="Y603" s="9"/>
      <c r="Z603" s="8"/>
      <c r="AA603" s="8"/>
      <c r="AB603" s="8"/>
      <c r="AC603" s="11"/>
      <c r="AD603" s="8"/>
      <c r="AE603" s="9"/>
      <c r="AF603" s="8"/>
      <c r="AG603" s="9"/>
      <c r="AH603" s="8"/>
      <c r="AI603" s="8"/>
      <c r="AJ603" s="8"/>
      <c r="AK603" s="11"/>
      <c r="AL603" s="8"/>
      <c r="AM603" s="8"/>
      <c r="AN603" s="9"/>
      <c r="AO603" s="8"/>
      <c r="AP603" s="8"/>
      <c r="AQ603" s="8"/>
    </row>
    <row r="604" spans="1:43" x14ac:dyDescent="0.15">
      <c r="A604" s="8"/>
      <c r="B604" s="8"/>
      <c r="C604" s="8"/>
      <c r="D604" s="8"/>
      <c r="E604" s="8"/>
      <c r="F604" s="8"/>
      <c r="G604" s="10"/>
      <c r="H604" s="11"/>
      <c r="I604" s="8"/>
      <c r="J604" s="9"/>
      <c r="K604" s="8"/>
      <c r="L604" s="9"/>
      <c r="M604" s="8"/>
      <c r="N604" s="11"/>
      <c r="O604" s="8"/>
      <c r="P604" s="9"/>
      <c r="Q604" s="8"/>
      <c r="R604" s="9"/>
      <c r="S604" s="8"/>
      <c r="T604" s="8"/>
      <c r="U604" s="8"/>
      <c r="V604" s="11"/>
      <c r="W604" s="8"/>
      <c r="X604" s="8"/>
      <c r="Y604" s="9"/>
      <c r="Z604" s="8"/>
      <c r="AA604" s="8"/>
      <c r="AB604" s="8"/>
      <c r="AC604" s="11"/>
      <c r="AD604" s="8"/>
      <c r="AE604" s="9"/>
      <c r="AF604" s="8"/>
      <c r="AG604" s="9"/>
      <c r="AH604" s="8"/>
      <c r="AI604" s="8"/>
      <c r="AJ604" s="8"/>
      <c r="AK604" s="11"/>
      <c r="AL604" s="8"/>
      <c r="AM604" s="8"/>
      <c r="AN604" s="9"/>
      <c r="AO604" s="8"/>
      <c r="AP604" s="8"/>
      <c r="AQ604" s="8"/>
    </row>
    <row r="605" spans="1:43" outlineLevel="1" x14ac:dyDescent="0.15">
      <c r="A605" s="8"/>
      <c r="B605" s="8"/>
      <c r="C605" s="8"/>
      <c r="D605" s="8"/>
      <c r="E605" s="8"/>
      <c r="F605" s="8"/>
      <c r="G605" s="10"/>
      <c r="H605" s="11"/>
      <c r="I605" s="8"/>
      <c r="J605" s="9"/>
      <c r="K605" s="8"/>
      <c r="L605" s="9"/>
      <c r="M605" s="8"/>
      <c r="N605" s="11"/>
      <c r="O605" s="8"/>
      <c r="P605" s="9"/>
      <c r="Q605" s="8"/>
      <c r="R605" s="9"/>
      <c r="S605" s="8"/>
      <c r="T605" s="8"/>
      <c r="U605" s="8"/>
      <c r="V605" s="11"/>
      <c r="W605" s="8"/>
      <c r="X605" s="8"/>
      <c r="Y605" s="9"/>
      <c r="Z605" s="8"/>
      <c r="AA605" s="8"/>
      <c r="AB605" s="8"/>
      <c r="AC605" s="11"/>
      <c r="AD605" s="8"/>
      <c r="AE605" s="9"/>
      <c r="AF605" s="8"/>
      <c r="AG605" s="9"/>
      <c r="AH605" s="8"/>
      <c r="AI605" s="8"/>
      <c r="AJ605" s="8"/>
      <c r="AK605" s="11"/>
      <c r="AL605" s="8"/>
      <c r="AM605" s="8"/>
      <c r="AN605" s="9"/>
      <c r="AO605" s="8"/>
      <c r="AP605" s="8"/>
      <c r="AQ605" s="8"/>
    </row>
    <row r="606" spans="1:43" outlineLevel="1" x14ac:dyDescent="0.15">
      <c r="A606" s="8"/>
      <c r="B606" s="8"/>
      <c r="C606" s="8"/>
      <c r="D606" s="8"/>
      <c r="E606" s="8"/>
      <c r="F606" s="8"/>
      <c r="G606" s="10"/>
      <c r="H606" s="11"/>
      <c r="I606" s="8"/>
      <c r="J606" s="9"/>
      <c r="K606" s="8"/>
      <c r="L606" s="9"/>
      <c r="M606" s="8"/>
      <c r="N606" s="11"/>
      <c r="O606" s="8"/>
      <c r="P606" s="9"/>
      <c r="Q606" s="8"/>
      <c r="R606" s="9"/>
      <c r="S606" s="8"/>
      <c r="T606" s="8"/>
      <c r="U606" s="8"/>
      <c r="V606" s="11"/>
      <c r="W606" s="8"/>
      <c r="X606" s="8"/>
      <c r="Y606" s="9"/>
      <c r="Z606" s="8"/>
      <c r="AA606" s="8"/>
      <c r="AB606" s="8"/>
      <c r="AC606" s="11"/>
      <c r="AD606" s="8"/>
      <c r="AE606" s="9"/>
      <c r="AF606" s="8"/>
      <c r="AG606" s="9"/>
      <c r="AH606" s="8"/>
      <c r="AI606" s="8"/>
      <c r="AJ606" s="8"/>
      <c r="AK606" s="11"/>
      <c r="AL606" s="8"/>
      <c r="AM606" s="8"/>
      <c r="AN606" s="9"/>
      <c r="AO606" s="8"/>
      <c r="AP606" s="8"/>
      <c r="AQ606" s="8"/>
    </row>
    <row r="607" spans="1:43" x14ac:dyDescent="0.15">
      <c r="A607" s="8"/>
      <c r="B607" s="8"/>
      <c r="C607" s="8"/>
      <c r="D607" s="8"/>
      <c r="E607" s="8"/>
      <c r="F607" s="8"/>
      <c r="G607" s="10"/>
      <c r="H607" s="11"/>
      <c r="I607" s="8"/>
      <c r="J607" s="9"/>
      <c r="K607" s="8"/>
      <c r="L607" s="9"/>
      <c r="M607" s="8"/>
      <c r="N607" s="11"/>
      <c r="O607" s="8"/>
      <c r="P607" s="9"/>
      <c r="Q607" s="8"/>
      <c r="R607" s="9"/>
      <c r="S607" s="8"/>
      <c r="T607" s="8"/>
      <c r="U607" s="8"/>
      <c r="V607" s="11"/>
      <c r="W607" s="8"/>
      <c r="X607" s="8"/>
      <c r="Y607" s="9"/>
      <c r="Z607" s="8"/>
      <c r="AA607" s="8"/>
      <c r="AB607" s="8"/>
      <c r="AC607" s="11"/>
      <c r="AD607" s="8"/>
      <c r="AE607" s="9"/>
      <c r="AF607" s="8"/>
      <c r="AG607" s="9"/>
      <c r="AH607" s="8"/>
      <c r="AI607" s="8"/>
      <c r="AJ607" s="8"/>
      <c r="AK607" s="11"/>
      <c r="AL607" s="8"/>
      <c r="AM607" s="8"/>
      <c r="AN607" s="9"/>
      <c r="AO607" s="8"/>
      <c r="AP607" s="8"/>
      <c r="AQ607" s="8"/>
    </row>
    <row r="608" spans="1:43" x14ac:dyDescent="0.15">
      <c r="A608" s="8"/>
      <c r="B608" s="8"/>
      <c r="C608" s="8"/>
      <c r="D608" s="8"/>
      <c r="E608" s="8"/>
      <c r="F608" s="8"/>
      <c r="G608" s="10"/>
      <c r="H608" s="11"/>
      <c r="I608" s="8"/>
      <c r="J608" s="9"/>
      <c r="K608" s="8"/>
      <c r="L608" s="9"/>
      <c r="M608" s="8"/>
      <c r="N608" s="11"/>
      <c r="O608" s="8"/>
      <c r="P608" s="9"/>
      <c r="Q608" s="8"/>
      <c r="R608" s="9"/>
      <c r="S608" s="8"/>
      <c r="T608" s="8"/>
      <c r="U608" s="8"/>
      <c r="V608" s="11"/>
      <c r="W608" s="8"/>
      <c r="X608" s="8"/>
      <c r="Y608" s="9"/>
      <c r="Z608" s="8"/>
      <c r="AA608" s="8"/>
      <c r="AB608" s="8"/>
      <c r="AC608" s="11"/>
      <c r="AD608" s="8"/>
      <c r="AE608" s="9"/>
      <c r="AF608" s="8"/>
      <c r="AG608" s="9"/>
      <c r="AH608" s="8"/>
      <c r="AI608" s="8"/>
      <c r="AJ608" s="8"/>
      <c r="AK608" s="11"/>
      <c r="AL608" s="8"/>
      <c r="AM608" s="8"/>
      <c r="AN608" s="9"/>
      <c r="AO608" s="8"/>
      <c r="AP608" s="8"/>
      <c r="AQ608" s="8"/>
    </row>
    <row r="609" spans="1:43" x14ac:dyDescent="0.15">
      <c r="A609" s="8"/>
      <c r="B609" s="8"/>
      <c r="C609" s="8"/>
      <c r="D609" s="8"/>
      <c r="E609" s="8"/>
      <c r="F609" s="8"/>
      <c r="G609" s="10"/>
      <c r="H609" s="11"/>
      <c r="I609" s="8"/>
      <c r="J609" s="9"/>
      <c r="K609" s="8"/>
      <c r="L609" s="9"/>
      <c r="M609" s="8"/>
      <c r="N609" s="11"/>
      <c r="O609" s="8"/>
      <c r="P609" s="9"/>
      <c r="Q609" s="8"/>
      <c r="R609" s="9"/>
      <c r="S609" s="8"/>
      <c r="T609" s="8"/>
      <c r="U609" s="8"/>
      <c r="V609" s="11"/>
      <c r="W609" s="8"/>
      <c r="X609" s="8"/>
      <c r="Y609" s="9"/>
      <c r="Z609" s="8"/>
      <c r="AA609" s="8"/>
      <c r="AB609" s="8"/>
      <c r="AC609" s="11"/>
      <c r="AD609" s="8"/>
      <c r="AE609" s="9"/>
      <c r="AF609" s="8"/>
      <c r="AG609" s="9"/>
      <c r="AH609" s="8"/>
      <c r="AI609" s="8"/>
      <c r="AJ609" s="8"/>
      <c r="AK609" s="11"/>
      <c r="AL609" s="8"/>
      <c r="AM609" s="8"/>
      <c r="AN609" s="9"/>
      <c r="AO609" s="8"/>
      <c r="AP609" s="8"/>
      <c r="AQ609" s="8"/>
    </row>
    <row r="621" spans="1:43" x14ac:dyDescent="0.15">
      <c r="A621" s="41"/>
    </row>
    <row r="631" spans="7:7" x14ac:dyDescent="0.15">
      <c r="G631" s="42"/>
    </row>
  </sheetData>
  <autoFilter ref="A5:BB215" xr:uid="{AF38064F-E390-4B70-A69D-0A343C3345B4}"/>
  <mergeCells count="51">
    <mergeCell ref="H1:M1"/>
    <mergeCell ref="N1:AB1"/>
    <mergeCell ref="AC1:AQ1"/>
    <mergeCell ref="H2:M2"/>
    <mergeCell ref="N2:U2"/>
    <mergeCell ref="V2:AB2"/>
    <mergeCell ref="AC2:AJ2"/>
    <mergeCell ref="AK2:AQ2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X3:X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AJ3:AJ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Q3:AQ4"/>
    <mergeCell ref="AK3:AK4"/>
    <mergeCell ref="AL3:AL4"/>
    <mergeCell ref="AM3:AM4"/>
    <mergeCell ref="AN3:AN4"/>
    <mergeCell ref="AO3:AO4"/>
    <mergeCell ref="AP3:AP4"/>
  </mergeCells>
  <conditionalFormatting sqref="L6:L609">
    <cfRule type="cellIs" dxfId="304" priority="44" operator="lessThan">
      <formula>2</formula>
    </cfRule>
    <cfRule type="cellIs" dxfId="303" priority="43" operator="between">
      <formula>2</formula>
      <formula>5</formula>
    </cfRule>
    <cfRule type="cellIs" dxfId="302" priority="42" operator="greaterThan">
      <formula>5</formula>
    </cfRule>
    <cfRule type="cellIs" dxfId="301" priority="41" operator="equal">
      <formula>"-"</formula>
    </cfRule>
  </conditionalFormatting>
  <conditionalFormatting sqref="R6:R609">
    <cfRule type="cellIs" dxfId="300" priority="5" operator="equal">
      <formula>"-"</formula>
    </cfRule>
    <cfRule type="cellIs" dxfId="299" priority="6" operator="greaterThan">
      <formula>5</formula>
    </cfRule>
    <cfRule type="cellIs" dxfId="298" priority="7" operator="between">
      <formula>2</formula>
      <formula>5</formula>
    </cfRule>
    <cfRule type="cellIs" dxfId="297" priority="8" operator="lessThan">
      <formula>2</formula>
    </cfRule>
  </conditionalFormatting>
  <conditionalFormatting sqref="U6:U215">
    <cfRule type="cellIs" dxfId="296" priority="1" operator="equal">
      <formula>"-"</formula>
    </cfRule>
    <cfRule type="cellIs" dxfId="295" priority="4" operator="lessThan">
      <formula>2</formula>
    </cfRule>
    <cfRule type="cellIs" dxfId="294" priority="3" operator="between">
      <formula>2</formula>
      <formula>5</formula>
    </cfRule>
    <cfRule type="cellIs" dxfId="293" priority="2" operator="greaterThan">
      <formula>5</formula>
    </cfRule>
  </conditionalFormatting>
  <conditionalFormatting sqref="Y6:Y609">
    <cfRule type="cellIs" dxfId="292" priority="10" operator="greaterThan">
      <formula>5</formula>
    </cfRule>
    <cfRule type="cellIs" dxfId="291" priority="11" operator="between">
      <formula>2</formula>
      <formula>5</formula>
    </cfRule>
    <cfRule type="cellIs" dxfId="290" priority="12" operator="lessThan">
      <formula>2</formula>
    </cfRule>
    <cfRule type="cellIs" dxfId="289" priority="9" operator="equal">
      <formula>"-"</formula>
    </cfRule>
  </conditionalFormatting>
  <conditionalFormatting sqref="AB6:AB215 AQ6:AQ215">
    <cfRule type="cellIs" dxfId="288" priority="37" operator="equal">
      <formula>"-"</formula>
    </cfRule>
    <cfRule type="cellIs" dxfId="287" priority="38" operator="greaterThan">
      <formula>5</formula>
    </cfRule>
    <cfRule type="cellIs" dxfId="286" priority="39" operator="between">
      <formula>2</formula>
      <formula>5</formula>
    </cfRule>
    <cfRule type="cellIs" dxfId="285" priority="40" operator="lessThan">
      <formula>2</formula>
    </cfRule>
  </conditionalFormatting>
  <conditionalFormatting sqref="AG6:AG609">
    <cfRule type="cellIs" dxfId="284" priority="30" operator="greaterThan">
      <formula>5</formula>
    </cfRule>
    <cfRule type="cellIs" dxfId="283" priority="31" operator="between">
      <formula>2</formula>
      <formula>5</formula>
    </cfRule>
    <cfRule type="cellIs" dxfId="282" priority="32" operator="lessThan">
      <formula>2</formula>
    </cfRule>
    <cfRule type="cellIs" dxfId="281" priority="29" operator="equal">
      <formula>"-"</formula>
    </cfRule>
  </conditionalFormatting>
  <conditionalFormatting sqref="AJ6:AJ215">
    <cfRule type="cellIs" dxfId="280" priority="25" operator="equal">
      <formula>"-"</formula>
    </cfRule>
    <cfRule type="cellIs" dxfId="279" priority="26" operator="greaterThan">
      <formula>5</formula>
    </cfRule>
    <cfRule type="cellIs" dxfId="278" priority="27" operator="between">
      <formula>2</formula>
      <formula>5</formula>
    </cfRule>
    <cfRule type="cellIs" dxfId="277" priority="28" operator="lessThan">
      <formula>2</formula>
    </cfRule>
  </conditionalFormatting>
  <conditionalFormatting sqref="AN6:AN609">
    <cfRule type="cellIs" dxfId="276" priority="33" operator="equal">
      <formula>"-"</formula>
    </cfRule>
    <cfRule type="cellIs" dxfId="275" priority="34" operator="greaterThan">
      <formula>5</formula>
    </cfRule>
    <cfRule type="cellIs" dxfId="274" priority="35" operator="between">
      <formula>2</formula>
      <formula>5</formula>
    </cfRule>
    <cfRule type="cellIs" dxfId="273" priority="36" operator="lessThan">
      <formula>2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0537-5E61-4384-8239-C7B7D2743C5D}">
  <sheetPr>
    <tabColor rgb="FF92D050"/>
  </sheetPr>
  <dimension ref="A1:AQ631"/>
  <sheetViews>
    <sheetView zoomScale="61" zoomScaleNormal="115" workbookViewId="0">
      <pane xSplit="1" ySplit="5" topLeftCell="B217" activePane="bottomRight" state="frozen"/>
      <selection activeCell="A2" sqref="A2"/>
      <selection pane="topRight" activeCell="A2" sqref="A2"/>
      <selection pane="bottomLeft" activeCell="A2" sqref="A2"/>
      <selection pane="bottomRight" activeCell="A2" sqref="A2"/>
    </sheetView>
  </sheetViews>
  <sheetFormatPr baseColWidth="10" defaultColWidth="8.6640625" defaultRowHeight="14" outlineLevelRow="1" outlineLevelCol="1" x14ac:dyDescent="0.15"/>
  <cols>
    <col min="1" max="1" width="12.5" style="3" customWidth="1"/>
    <col min="2" max="2" width="9.83203125" style="3" bestFit="1" customWidth="1" outlineLevel="1"/>
    <col min="3" max="3" width="16.33203125" style="3" customWidth="1"/>
    <col min="4" max="4" width="10.33203125" style="3" customWidth="1"/>
    <col min="5" max="5" width="10.6640625" style="3" customWidth="1"/>
    <col min="6" max="6" width="18.33203125" style="3" customWidth="1" outlineLevel="1"/>
    <col min="7" max="7" width="15.83203125" style="3" customWidth="1"/>
    <col min="8" max="8" width="13.5" style="2" customWidth="1"/>
    <col min="9" max="9" width="14.1640625" style="2" customWidth="1"/>
    <col min="10" max="10" width="17.1640625" style="2" customWidth="1"/>
    <col min="11" max="11" width="21.5" style="2" customWidth="1"/>
    <col min="12" max="12" width="11.1640625" style="3" customWidth="1"/>
    <col min="13" max="13" width="26.6640625" style="3" bestFit="1" customWidth="1"/>
    <col min="14" max="14" width="13.5" style="2" customWidth="1"/>
    <col min="15" max="15" width="14.1640625" style="2" customWidth="1"/>
    <col min="16" max="16" width="17.1640625" style="2" customWidth="1"/>
    <col min="17" max="17" width="21.5" style="2" customWidth="1"/>
    <col min="18" max="18" width="11.1640625" style="3" customWidth="1"/>
    <col min="19" max="19" width="26.6640625" style="3" bestFit="1" customWidth="1"/>
    <col min="20" max="21" width="26.6640625" style="3" customWidth="1"/>
    <col min="22" max="22" width="11.83203125" style="3" customWidth="1"/>
    <col min="23" max="23" width="11.5" style="3" customWidth="1"/>
    <col min="24" max="24" width="19.1640625" style="3" customWidth="1"/>
    <col min="25" max="25" width="8.6640625" style="3"/>
    <col min="26" max="26" width="16.6640625" style="3" bestFit="1" customWidth="1"/>
    <col min="27" max="28" width="20.83203125" style="3" customWidth="1"/>
    <col min="29" max="29" width="13.5" style="2" customWidth="1"/>
    <col min="30" max="30" width="14.1640625" style="2" customWidth="1"/>
    <col min="31" max="31" width="17.1640625" style="2" customWidth="1"/>
    <col min="32" max="32" width="21.5" style="2" customWidth="1"/>
    <col min="33" max="33" width="11.1640625" style="3" customWidth="1"/>
    <col min="34" max="34" width="26.6640625" style="3" bestFit="1" customWidth="1"/>
    <col min="35" max="36" width="26.6640625" style="3" customWidth="1"/>
    <col min="37" max="37" width="11.83203125" style="3" customWidth="1"/>
    <col min="38" max="38" width="11.5" style="3" customWidth="1"/>
    <col min="39" max="39" width="19.1640625" style="3" customWidth="1"/>
    <col min="40" max="40" width="8.6640625" style="3"/>
    <col min="41" max="41" width="16.6640625" style="3" bestFit="1" customWidth="1"/>
    <col min="42" max="43" width="20.83203125" style="3" customWidth="1"/>
    <col min="44" max="16384" width="8.6640625" style="3"/>
  </cols>
  <sheetData>
    <row r="1" spans="1:43" x14ac:dyDescent="0.15">
      <c r="H1" s="297" t="s">
        <v>2286</v>
      </c>
      <c r="I1" s="297"/>
      <c r="J1" s="297"/>
      <c r="K1" s="297"/>
      <c r="L1" s="297"/>
      <c r="M1" s="297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  <c r="Z1" s="298"/>
      <c r="AA1" s="298"/>
      <c r="AB1" s="298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</row>
    <row r="2" spans="1:43" ht="16" x14ac:dyDescent="0.2">
      <c r="A2" s="1" t="s">
        <v>2293</v>
      </c>
      <c r="B2" s="2"/>
      <c r="C2" s="2"/>
      <c r="D2" s="2"/>
      <c r="E2" s="2"/>
      <c r="F2" s="2"/>
      <c r="G2" s="2"/>
      <c r="H2" s="278" t="s">
        <v>2090</v>
      </c>
      <c r="I2" s="278"/>
      <c r="J2" s="278"/>
      <c r="K2" s="278"/>
      <c r="L2" s="278"/>
      <c r="M2" s="279"/>
      <c r="N2" s="278" t="s">
        <v>938</v>
      </c>
      <c r="O2" s="278"/>
      <c r="P2" s="278"/>
      <c r="Q2" s="278"/>
      <c r="R2" s="278"/>
      <c r="S2" s="278"/>
      <c r="T2" s="278"/>
      <c r="U2" s="278"/>
      <c r="V2" s="285" t="s">
        <v>1742</v>
      </c>
      <c r="W2" s="285"/>
      <c r="X2" s="285"/>
      <c r="Y2" s="285"/>
      <c r="Z2" s="285"/>
      <c r="AA2" s="285"/>
      <c r="AB2" s="285"/>
      <c r="AC2" s="279" t="s">
        <v>938</v>
      </c>
      <c r="AD2" s="280"/>
      <c r="AE2" s="280"/>
      <c r="AF2" s="280"/>
      <c r="AG2" s="280"/>
      <c r="AH2" s="280"/>
      <c r="AI2" s="280"/>
      <c r="AJ2" s="281"/>
      <c r="AK2" s="300" t="s">
        <v>1742</v>
      </c>
      <c r="AL2" s="301"/>
      <c r="AM2" s="301"/>
      <c r="AN2" s="301"/>
      <c r="AO2" s="301"/>
      <c r="AP2" s="301"/>
      <c r="AQ2" s="302"/>
    </row>
    <row r="3" spans="1:43" ht="13.75" customHeight="1" x14ac:dyDescent="0.15">
      <c r="A3" s="276" t="s">
        <v>1</v>
      </c>
      <c r="B3" s="276" t="s">
        <v>2</v>
      </c>
      <c r="C3" s="276" t="s">
        <v>3</v>
      </c>
      <c r="D3" s="276" t="s">
        <v>4</v>
      </c>
      <c r="E3" s="276" t="s">
        <v>5</v>
      </c>
      <c r="F3" s="276" t="s">
        <v>6</v>
      </c>
      <c r="G3" s="284" t="s">
        <v>7</v>
      </c>
      <c r="H3" s="271" t="s">
        <v>8</v>
      </c>
      <c r="I3" s="271" t="s">
        <v>2091</v>
      </c>
      <c r="J3" s="271" t="s">
        <v>626</v>
      </c>
      <c r="K3" s="271" t="s">
        <v>627</v>
      </c>
      <c r="L3" s="271" t="s">
        <v>10</v>
      </c>
      <c r="M3" s="295" t="s">
        <v>11</v>
      </c>
      <c r="N3" s="275" t="s">
        <v>8</v>
      </c>
      <c r="O3" s="275" t="s">
        <v>9</v>
      </c>
      <c r="P3" s="275" t="s">
        <v>626</v>
      </c>
      <c r="Q3" s="275" t="s">
        <v>627</v>
      </c>
      <c r="R3" s="275" t="s">
        <v>10</v>
      </c>
      <c r="S3" s="276" t="s">
        <v>11</v>
      </c>
      <c r="T3" s="275" t="s">
        <v>2096</v>
      </c>
      <c r="U3" s="275" t="s">
        <v>10</v>
      </c>
      <c r="V3" s="275" t="s">
        <v>8</v>
      </c>
      <c r="W3" s="275" t="s">
        <v>1743</v>
      </c>
      <c r="X3" s="275" t="s">
        <v>1744</v>
      </c>
      <c r="Y3" s="275" t="s">
        <v>10</v>
      </c>
      <c r="Z3" s="276" t="s">
        <v>11</v>
      </c>
      <c r="AA3" s="275" t="s">
        <v>2096</v>
      </c>
      <c r="AB3" s="275" t="s">
        <v>10</v>
      </c>
      <c r="AC3" s="271" t="s">
        <v>8</v>
      </c>
      <c r="AD3" s="271" t="s">
        <v>9</v>
      </c>
      <c r="AE3" s="271" t="s">
        <v>626</v>
      </c>
      <c r="AF3" s="271" t="s">
        <v>627</v>
      </c>
      <c r="AG3" s="271" t="s">
        <v>10</v>
      </c>
      <c r="AH3" s="273" t="s">
        <v>11</v>
      </c>
      <c r="AI3" s="271" t="s">
        <v>2096</v>
      </c>
      <c r="AJ3" s="271" t="s">
        <v>10</v>
      </c>
      <c r="AK3" s="271" t="s">
        <v>8</v>
      </c>
      <c r="AL3" s="271" t="s">
        <v>1743</v>
      </c>
      <c r="AM3" s="271" t="s">
        <v>1744</v>
      </c>
      <c r="AN3" s="271" t="s">
        <v>10</v>
      </c>
      <c r="AO3" s="273" t="s">
        <v>11</v>
      </c>
      <c r="AP3" s="271" t="s">
        <v>2096</v>
      </c>
      <c r="AQ3" s="271" t="s">
        <v>10</v>
      </c>
    </row>
    <row r="4" spans="1:43" x14ac:dyDescent="0.15">
      <c r="A4" s="276"/>
      <c r="B4" s="276"/>
      <c r="C4" s="276"/>
      <c r="D4" s="276"/>
      <c r="E4" s="276"/>
      <c r="F4" s="276"/>
      <c r="G4" s="284"/>
      <c r="H4" s="272"/>
      <c r="I4" s="272"/>
      <c r="J4" s="272"/>
      <c r="K4" s="272"/>
      <c r="L4" s="272"/>
      <c r="M4" s="296"/>
      <c r="N4" s="275"/>
      <c r="O4" s="275"/>
      <c r="P4" s="275"/>
      <c r="Q4" s="275"/>
      <c r="R4" s="275"/>
      <c r="S4" s="276"/>
      <c r="T4" s="275"/>
      <c r="U4" s="275"/>
      <c r="V4" s="275"/>
      <c r="W4" s="275"/>
      <c r="X4" s="275"/>
      <c r="Y4" s="275"/>
      <c r="Z4" s="276"/>
      <c r="AA4" s="275"/>
      <c r="AB4" s="275"/>
      <c r="AC4" s="272"/>
      <c r="AD4" s="272"/>
      <c r="AE4" s="272"/>
      <c r="AF4" s="272"/>
      <c r="AG4" s="272"/>
      <c r="AH4" s="274"/>
      <c r="AI4" s="272"/>
      <c r="AJ4" s="272"/>
      <c r="AK4" s="272"/>
      <c r="AL4" s="272"/>
      <c r="AM4" s="272"/>
      <c r="AN4" s="272"/>
      <c r="AO4" s="274"/>
      <c r="AP4" s="272"/>
      <c r="AQ4" s="272"/>
    </row>
    <row r="5" spans="1:43" ht="10.5" customHeight="1" x14ac:dyDescent="0.15">
      <c r="A5" s="4"/>
      <c r="B5" s="4"/>
      <c r="C5" s="4"/>
      <c r="D5" s="4"/>
      <c r="E5" s="4"/>
      <c r="F5" s="4"/>
      <c r="G5" s="5"/>
      <c r="H5" s="6"/>
      <c r="I5" s="6"/>
      <c r="J5" s="6"/>
      <c r="K5" s="6"/>
      <c r="L5" s="6"/>
      <c r="M5" s="185"/>
      <c r="N5" s="6"/>
      <c r="O5" s="6"/>
      <c r="P5" s="6"/>
      <c r="Q5" s="6"/>
      <c r="R5" s="6"/>
      <c r="S5" s="7"/>
      <c r="T5" s="7"/>
      <c r="U5" s="7"/>
      <c r="V5" s="6"/>
      <c r="W5" s="6"/>
      <c r="X5" s="6"/>
      <c r="Y5" s="6"/>
      <c r="Z5" s="7"/>
      <c r="AA5" s="7"/>
      <c r="AB5" s="7"/>
      <c r="AC5" s="6"/>
      <c r="AD5" s="6"/>
      <c r="AE5" s="6"/>
      <c r="AF5" s="6"/>
      <c r="AG5" s="6"/>
      <c r="AH5" s="7"/>
      <c r="AI5" s="7"/>
      <c r="AJ5" s="7"/>
      <c r="AK5" s="6"/>
      <c r="AL5" s="6"/>
      <c r="AM5" s="6"/>
      <c r="AN5" s="6"/>
      <c r="AO5" s="7"/>
      <c r="AP5" s="7"/>
      <c r="AQ5" s="7"/>
    </row>
    <row r="6" spans="1:43" outlineLevel="1" x14ac:dyDescent="0.15">
      <c r="A6" s="8" t="s">
        <v>1273</v>
      </c>
      <c r="B6" s="8" t="s">
        <v>14</v>
      </c>
      <c r="C6" s="8" t="s">
        <v>14</v>
      </c>
      <c r="D6" s="186" t="s">
        <v>1276</v>
      </c>
      <c r="E6" s="9">
        <v>27.61</v>
      </c>
      <c r="F6" s="8" t="s">
        <v>1740</v>
      </c>
      <c r="G6" s="10">
        <v>3863</v>
      </c>
      <c r="H6" s="11">
        <f t="array" ref="H6">IF(OR(N6&gt;0,AC6&gt;0),MAX(N6,AC6),MAX(AK6,V6))</f>
        <v>46249</v>
      </c>
      <c r="I6" s="143">
        <f t="array" ref="I6">IF(SUM(O6,AD6)&gt;0,SUM(O6,AD6),SUM(AL6,W6))</f>
        <v>128</v>
      </c>
      <c r="J6" s="9">
        <f t="shared" ref="J6:J69" si="0">IF(P6&gt;0,P6," ")</f>
        <v>3.3134869272586078</v>
      </c>
      <c r="K6" s="143">
        <f>IF(SUM(Q6,AF6)&gt;0,SUM(Q6,AF6),SUM(AM6,X6))</f>
        <v>2</v>
      </c>
      <c r="L6" s="9">
        <f t="shared" ref="L6:L69" si="1">IFERROR(K6/I6*100,0)</f>
        <v>1.5625</v>
      </c>
      <c r="M6" s="8" t="str">
        <f t="array" ref="M6">IF(L6&gt;5,"Perlu Sensus",IF(AND(L6&gt;=0,I6&gt;0),"Tetap Deteksi","Belum Deteksi"))</f>
        <v>Tetap Deteksi</v>
      </c>
      <c r="N6" s="132">
        <v>46249</v>
      </c>
      <c r="O6" s="143">
        <f t="array" ref="O6">INDEX([28]Sheet1!$H$24:$H$231,MATCH(1,([28]Sheet1!$E$24:$E$231=$D6)*([28]Sheet1!$E$24:$E$231=$D6),0))</f>
        <v>128</v>
      </c>
      <c r="P6" s="9">
        <f t="array" ref="P6">IFERROR(O6/$G6*100,0)</f>
        <v>3.3134869272586078</v>
      </c>
      <c r="Q6" s="143">
        <f t="array" ref="Q6">INDEX([28]Sheet1!$J$24:$J$231,MATCH(1,([28]Sheet1!$E$24:$E$231=$D6)*([28]Sheet1!$E$24:$E$231=$D6),0))</f>
        <v>2</v>
      </c>
      <c r="R6" s="9">
        <f t="shared" ref="R6:R69" si="2">IFERROR(Q6/O6*100,0)</f>
        <v>1.5625</v>
      </c>
      <c r="S6" s="8" t="str">
        <f t="array" ref="S6">IF(R6&gt;5,"Perlu Sensus",IF(AND(R6&gt;=0,O6&gt;0),"Tetap Deteksi","Belum Deteksi"))</f>
        <v>Tetap Deteksi</v>
      </c>
      <c r="T6" s="143"/>
      <c r="U6" s="9">
        <f t="shared" ref="U6:U69" si="3">IFERROR(T6/O6*100,0)</f>
        <v>0</v>
      </c>
      <c r="V6" s="11"/>
      <c r="W6" s="143"/>
      <c r="X6" s="143"/>
      <c r="Y6" s="9">
        <f t="shared" ref="Y6:Y69" si="4">IFERROR(X6/W6*100,0)</f>
        <v>0</v>
      </c>
      <c r="Z6" s="8" t="str">
        <f t="array" ref="Z6">IF(Y6&gt;5,"Perlu Sensus",IF(AND(Y6&gt;=0,W6&gt;0),"Tetap Deteksi","Belum Deteksi"))</f>
        <v>Belum Deteksi</v>
      </c>
      <c r="AA6" s="143"/>
      <c r="AB6" s="9">
        <f t="shared" ref="AB6:AB69" si="5">IFERROR(AA6/W6*100,0)</f>
        <v>0</v>
      </c>
      <c r="AC6" s="11"/>
      <c r="AD6" s="143"/>
      <c r="AE6" s="9">
        <f t="array" ref="AE6">IFERROR(AD6/$G6*100,0)</f>
        <v>0</v>
      </c>
      <c r="AF6" s="143"/>
      <c r="AG6" s="9">
        <f t="shared" ref="AG6:AG69" si="6">IFERROR(AF6/AD6*100,0)</f>
        <v>0</v>
      </c>
      <c r="AH6" s="8" t="str">
        <f t="array" ref="AH6">IF(AG6&gt;5,"Perlu Sensus",IF(AND(AG6&gt;=0,AD6&gt;0),"Tetap Deteksi","Belum Deteksi"))</f>
        <v>Belum Deteksi</v>
      </c>
      <c r="AI6" s="143"/>
      <c r="AJ6" s="9">
        <f t="shared" ref="AJ6:AJ69" si="7">IFERROR(AI6/AD6*100,0)</f>
        <v>0</v>
      </c>
      <c r="AK6" s="11"/>
      <c r="AL6" s="143"/>
      <c r="AM6" s="143"/>
      <c r="AN6" s="9">
        <f t="shared" ref="AN6:AN69" si="8">IFERROR(AM6/AL6*100,0)</f>
        <v>0</v>
      </c>
      <c r="AO6" s="8" t="str">
        <f t="array" ref="AO6">IF(AN6&gt;5,"Perlu Sensus",IF(AND(AN6&gt;=0,AL6&gt;0),"Tetap Deteksi","Belum Deteksi"))</f>
        <v>Belum Deteksi</v>
      </c>
      <c r="AP6" s="143"/>
      <c r="AQ6" s="9">
        <f t="shared" ref="AQ6:AQ69" si="9">IFERROR(AP6/AL6*100,0)</f>
        <v>0</v>
      </c>
    </row>
    <row r="7" spans="1:43" outlineLevel="1" x14ac:dyDescent="0.15">
      <c r="A7" s="8" t="s">
        <v>1273</v>
      </c>
      <c r="B7" s="8" t="s">
        <v>14</v>
      </c>
      <c r="C7" s="8" t="s">
        <v>14</v>
      </c>
      <c r="D7" s="186" t="s">
        <v>1277</v>
      </c>
      <c r="E7" s="9">
        <v>29.099999999999998</v>
      </c>
      <c r="F7" s="8" t="s">
        <v>1740</v>
      </c>
      <c r="G7" s="10">
        <v>4127</v>
      </c>
      <c r="H7" s="11">
        <f t="array" ref="H7">IF(OR(N7&gt;0,AC7&gt;0),MAX(N7,AC7),MAX(AK7,V7))</f>
        <v>46249</v>
      </c>
      <c r="I7" s="143">
        <f t="array" ref="I7">IF(SUM(O7,AD7)&gt;0,SUM(O7,AD7),SUM(AL7,W7))</f>
        <v>277</v>
      </c>
      <c r="J7" s="9">
        <f t="shared" si="0"/>
        <v>6.7118972619336077</v>
      </c>
      <c r="K7" s="143">
        <f t="shared" ref="K7:K70" si="10">IF(SUM(Q7,AF7)&gt;0,SUM(Q7,AF7),SUM(AM7,X7))</f>
        <v>5</v>
      </c>
      <c r="L7" s="9">
        <f t="shared" si="1"/>
        <v>1.8050541516245486</v>
      </c>
      <c r="M7" s="8" t="str">
        <f t="array" ref="M7">IF(L7&gt;5,"Perlu Sensus",IF(AND(L7&gt;=0,I7&gt;0),"Tetap Deteksi","Belum Deteksi"))</f>
        <v>Tetap Deteksi</v>
      </c>
      <c r="N7" s="132">
        <v>46249</v>
      </c>
      <c r="O7" s="143">
        <f t="array" ref="O7">INDEX([28]Sheet1!$H$24:$H$231,MATCH(1,([28]Sheet1!$E$24:$E$231=$D7)*([28]Sheet1!$E$24:$E$231=$D7),0))</f>
        <v>277</v>
      </c>
      <c r="P7" s="9">
        <f t="array" ref="P7">IFERROR(O7/$G7*100,0)</f>
        <v>6.7118972619336077</v>
      </c>
      <c r="Q7" s="143">
        <f t="array" ref="Q7">INDEX([28]Sheet1!$J$24:$J$231,MATCH(1,([28]Sheet1!$E$24:$E$231=$D7)*([28]Sheet1!$E$24:$E$231=$D7),0))</f>
        <v>5</v>
      </c>
      <c r="R7" s="9">
        <f t="shared" si="2"/>
        <v>1.8050541516245486</v>
      </c>
      <c r="S7" s="8" t="str">
        <f t="array" ref="S7">IF(R7&gt;5,"Perlu Sensus",IF(AND(R7&gt;=0,O7&gt;0),"Tetap Deteksi","Belum Deteksi"))</f>
        <v>Tetap Deteksi</v>
      </c>
      <c r="T7" s="143"/>
      <c r="U7" s="9">
        <f t="shared" si="3"/>
        <v>0</v>
      </c>
      <c r="V7" s="11"/>
      <c r="W7" s="143"/>
      <c r="X7" s="143"/>
      <c r="Y7" s="9">
        <f t="shared" si="4"/>
        <v>0</v>
      </c>
      <c r="Z7" s="8" t="str">
        <f t="array" ref="Z7">IF(Y7&gt;5,"Perlu Sensus",IF(AND(Y7&gt;=0,W7&gt;0),"Tetap Deteksi","Belum Deteksi"))</f>
        <v>Belum Deteksi</v>
      </c>
      <c r="AA7" s="143"/>
      <c r="AB7" s="9">
        <f t="shared" si="5"/>
        <v>0</v>
      </c>
      <c r="AC7" s="11"/>
      <c r="AD7" s="143"/>
      <c r="AE7" s="9">
        <f t="array" ref="AE7">IFERROR(AD7/$G7*100,0)</f>
        <v>0</v>
      </c>
      <c r="AF7" s="143"/>
      <c r="AG7" s="9">
        <f t="shared" si="6"/>
        <v>0</v>
      </c>
      <c r="AH7" s="8" t="str">
        <f t="array" ref="AH7">IF(AG7&gt;5,"Perlu Sensus",IF(AND(AG7&gt;=0,AD7&gt;0),"Tetap Deteksi","Belum Deteksi"))</f>
        <v>Belum Deteksi</v>
      </c>
      <c r="AI7" s="143"/>
      <c r="AJ7" s="9">
        <f t="shared" si="7"/>
        <v>0</v>
      </c>
      <c r="AK7" s="11"/>
      <c r="AL7" s="143"/>
      <c r="AM7" s="143"/>
      <c r="AN7" s="9">
        <f t="shared" si="8"/>
        <v>0</v>
      </c>
      <c r="AO7" s="8" t="str">
        <f t="array" ref="AO7">IF(AN7&gt;5,"Perlu Sensus",IF(AND(AN7&gt;=0,AL7&gt;0),"Tetap Deteksi","Belum Deteksi"))</f>
        <v>Belum Deteksi</v>
      </c>
      <c r="AP7" s="143"/>
      <c r="AQ7" s="9">
        <f t="shared" si="9"/>
        <v>0</v>
      </c>
    </row>
    <row r="8" spans="1:43" outlineLevel="1" x14ac:dyDescent="0.15">
      <c r="A8" s="8" t="s">
        <v>1273</v>
      </c>
      <c r="B8" s="8" t="s">
        <v>14</v>
      </c>
      <c r="C8" s="8" t="s">
        <v>14</v>
      </c>
      <c r="D8" s="186" t="s">
        <v>1278</v>
      </c>
      <c r="E8" s="9">
        <v>36.15</v>
      </c>
      <c r="F8" s="8" t="s">
        <v>1740</v>
      </c>
      <c r="G8" s="10">
        <v>5115</v>
      </c>
      <c r="H8" s="11">
        <f t="array" ref="H8">IF(OR(N8&gt;0,AC8&gt;0),MAX(N8,AC8),MAX(AK8,V8))</f>
        <v>46249</v>
      </c>
      <c r="I8" s="143">
        <f t="array" ref="I8">IF(SUM(O8,AD8)&gt;0,SUM(O8,AD8),SUM(AL8,W8))</f>
        <v>169</v>
      </c>
      <c r="J8" s="9">
        <f t="shared" si="0"/>
        <v>3.3040078201368526</v>
      </c>
      <c r="K8" s="143">
        <f t="shared" si="10"/>
        <v>4</v>
      </c>
      <c r="L8" s="9">
        <f t="shared" si="1"/>
        <v>2.3668639053254439</v>
      </c>
      <c r="M8" s="8" t="str">
        <f t="array" ref="M8">IF(L8&gt;5,"Perlu Sensus",IF(AND(L8&gt;=0,I8&gt;0),"Tetap Deteksi","Belum Deteksi"))</f>
        <v>Tetap Deteksi</v>
      </c>
      <c r="N8" s="132">
        <v>46249</v>
      </c>
      <c r="O8" s="143">
        <f t="array" ref="O8">INDEX([28]Sheet1!$H$24:$H$231,MATCH(1,([28]Sheet1!$E$24:$E$231=$D8)*([28]Sheet1!$E$24:$E$231=$D8),0))</f>
        <v>169</v>
      </c>
      <c r="P8" s="9">
        <f t="array" ref="P8">IFERROR(O8/$G8*100,0)</f>
        <v>3.3040078201368526</v>
      </c>
      <c r="Q8" s="143">
        <f t="array" ref="Q8">INDEX([28]Sheet1!$J$24:$J$231,MATCH(1,([28]Sheet1!$E$24:$E$231=$D8)*([28]Sheet1!$E$24:$E$231=$D8),0))</f>
        <v>4</v>
      </c>
      <c r="R8" s="9">
        <f t="shared" si="2"/>
        <v>2.3668639053254439</v>
      </c>
      <c r="S8" s="8" t="str">
        <f t="array" ref="S8">IF(R8&gt;5,"Perlu Sensus",IF(AND(R8&gt;=0,O8&gt;0),"Tetap Deteksi","Belum Deteksi"))</f>
        <v>Tetap Deteksi</v>
      </c>
      <c r="T8" s="143"/>
      <c r="U8" s="9">
        <f t="shared" si="3"/>
        <v>0</v>
      </c>
      <c r="V8" s="11"/>
      <c r="W8" s="143"/>
      <c r="X8" s="143"/>
      <c r="Y8" s="9">
        <f t="shared" si="4"/>
        <v>0</v>
      </c>
      <c r="Z8" s="8" t="str">
        <f t="array" ref="Z8">IF(Y8&gt;5,"Perlu Sensus",IF(AND(Y8&gt;=0,W8&gt;0),"Tetap Deteksi","Belum Deteksi"))</f>
        <v>Belum Deteksi</v>
      </c>
      <c r="AA8" s="143"/>
      <c r="AB8" s="9">
        <f t="shared" si="5"/>
        <v>0</v>
      </c>
      <c r="AC8" s="11"/>
      <c r="AD8" s="143"/>
      <c r="AE8" s="9">
        <f t="array" ref="AE8">IFERROR(AD8/$G8*100,0)</f>
        <v>0</v>
      </c>
      <c r="AF8" s="143"/>
      <c r="AG8" s="9">
        <f t="shared" si="6"/>
        <v>0</v>
      </c>
      <c r="AH8" s="8" t="str">
        <f t="array" ref="AH8">IF(AG8&gt;5,"Perlu Sensus",IF(AND(AG8&gt;=0,AD8&gt;0),"Tetap Deteksi","Belum Deteksi"))</f>
        <v>Belum Deteksi</v>
      </c>
      <c r="AI8" s="143"/>
      <c r="AJ8" s="9">
        <f t="shared" si="7"/>
        <v>0</v>
      </c>
      <c r="AK8" s="11"/>
      <c r="AL8" s="143"/>
      <c r="AM8" s="143"/>
      <c r="AN8" s="9">
        <f t="shared" si="8"/>
        <v>0</v>
      </c>
      <c r="AO8" s="8" t="str">
        <f t="array" ref="AO8">IF(AN8&gt;5,"Perlu Sensus",IF(AND(AN8&gt;=0,AL8&gt;0),"Tetap Deteksi","Belum Deteksi"))</f>
        <v>Belum Deteksi</v>
      </c>
      <c r="AP8" s="143"/>
      <c r="AQ8" s="9">
        <f t="shared" si="9"/>
        <v>0</v>
      </c>
    </row>
    <row r="9" spans="1:43" outlineLevel="1" x14ac:dyDescent="0.15">
      <c r="A9" s="8" t="s">
        <v>1273</v>
      </c>
      <c r="B9" s="8" t="s">
        <v>14</v>
      </c>
      <c r="C9" s="8" t="s">
        <v>14</v>
      </c>
      <c r="D9" s="186" t="s">
        <v>1279</v>
      </c>
      <c r="E9" s="9">
        <v>26.01</v>
      </c>
      <c r="F9" s="8" t="s">
        <v>1740</v>
      </c>
      <c r="G9" s="10">
        <v>3582</v>
      </c>
      <c r="H9" s="11">
        <f t="array" ref="H9">IF(OR(N9&gt;0,AC9&gt;0),MAX(N9,AC9),MAX(AK9,V9))</f>
        <v>46249</v>
      </c>
      <c r="I9" s="143">
        <f t="array" ref="I9">IF(SUM(O9,AD9)&gt;0,SUM(O9,AD9),SUM(AL9,W9))</f>
        <v>188</v>
      </c>
      <c r="J9" s="9">
        <f t="shared" si="0"/>
        <v>5.2484645449469571</v>
      </c>
      <c r="K9" s="143">
        <f t="shared" si="10"/>
        <v>4</v>
      </c>
      <c r="L9" s="9">
        <f t="shared" si="1"/>
        <v>2.1276595744680851</v>
      </c>
      <c r="M9" s="8" t="str">
        <f t="array" ref="M9">IF(L9&gt;5,"Perlu Sensus",IF(AND(L9&gt;=0,I9&gt;0),"Tetap Deteksi","Belum Deteksi"))</f>
        <v>Tetap Deteksi</v>
      </c>
      <c r="N9" s="132">
        <v>46249</v>
      </c>
      <c r="O9" s="143">
        <f t="array" ref="O9">INDEX([28]Sheet1!$H$24:$H$231,MATCH(1,([28]Sheet1!$E$24:$E$231=$D9)*([28]Sheet1!$E$24:$E$231=$D9),0))</f>
        <v>188</v>
      </c>
      <c r="P9" s="9">
        <f t="array" ref="P9">IFERROR(O9/$G9*100,0)</f>
        <v>5.2484645449469571</v>
      </c>
      <c r="Q9" s="143">
        <f t="array" ref="Q9">INDEX([28]Sheet1!$J$24:$J$231,MATCH(1,([28]Sheet1!$E$24:$E$231=$D9)*([28]Sheet1!$E$24:$E$231=$D9),0))</f>
        <v>4</v>
      </c>
      <c r="R9" s="9">
        <f t="shared" si="2"/>
        <v>2.1276595744680851</v>
      </c>
      <c r="S9" s="8" t="str">
        <f t="array" ref="S9">IF(R9&gt;5,"Perlu Sensus",IF(AND(R9&gt;=0,O9&gt;0),"Tetap Deteksi","Belum Deteksi"))</f>
        <v>Tetap Deteksi</v>
      </c>
      <c r="T9" s="143"/>
      <c r="U9" s="9">
        <f t="shared" si="3"/>
        <v>0</v>
      </c>
      <c r="V9" s="11"/>
      <c r="W9" s="143"/>
      <c r="X9" s="143"/>
      <c r="Y9" s="9">
        <f t="shared" si="4"/>
        <v>0</v>
      </c>
      <c r="Z9" s="8" t="str">
        <f t="array" ref="Z9">IF(Y9&gt;5,"Perlu Sensus",IF(AND(Y9&gt;=0,W9&gt;0),"Tetap Deteksi","Belum Deteksi"))</f>
        <v>Belum Deteksi</v>
      </c>
      <c r="AA9" s="143"/>
      <c r="AB9" s="9">
        <f t="shared" si="5"/>
        <v>0</v>
      </c>
      <c r="AC9" s="11"/>
      <c r="AD9" s="143"/>
      <c r="AE9" s="9">
        <f t="array" ref="AE9">IFERROR(AD9/$G9*100,0)</f>
        <v>0</v>
      </c>
      <c r="AF9" s="143"/>
      <c r="AG9" s="9">
        <f t="shared" si="6"/>
        <v>0</v>
      </c>
      <c r="AH9" s="8" t="str">
        <f t="array" ref="AH9">IF(AG9&gt;5,"Perlu Sensus",IF(AND(AG9&gt;=0,AD9&gt;0),"Tetap Deteksi","Belum Deteksi"))</f>
        <v>Belum Deteksi</v>
      </c>
      <c r="AI9" s="143"/>
      <c r="AJ9" s="9">
        <f t="shared" si="7"/>
        <v>0</v>
      </c>
      <c r="AK9" s="11"/>
      <c r="AL9" s="143"/>
      <c r="AM9" s="143"/>
      <c r="AN9" s="9">
        <f t="shared" si="8"/>
        <v>0</v>
      </c>
      <c r="AO9" s="8" t="str">
        <f t="array" ref="AO9">IF(AN9&gt;5,"Perlu Sensus",IF(AND(AN9&gt;=0,AL9&gt;0),"Tetap Deteksi","Belum Deteksi"))</f>
        <v>Belum Deteksi</v>
      </c>
      <c r="AP9" s="143"/>
      <c r="AQ9" s="9">
        <f t="shared" si="9"/>
        <v>0</v>
      </c>
    </row>
    <row r="10" spans="1:43" outlineLevel="1" x14ac:dyDescent="0.15">
      <c r="A10" s="8" t="s">
        <v>1273</v>
      </c>
      <c r="B10" s="8" t="s">
        <v>14</v>
      </c>
      <c r="C10" s="8" t="s">
        <v>14</v>
      </c>
      <c r="D10" s="186" t="s">
        <v>1280</v>
      </c>
      <c r="E10" s="9">
        <v>25.76</v>
      </c>
      <c r="F10" s="8" t="s">
        <v>1740</v>
      </c>
      <c r="G10" s="10">
        <v>3580</v>
      </c>
      <c r="H10" s="11">
        <f t="array" ref="H10">IF(OR(N10&gt;0,AC10&gt;0),MAX(N10,AC10),MAX(AK10,V10))</f>
        <v>46249</v>
      </c>
      <c r="I10" s="143">
        <f t="array" ref="I10">IF(SUM(O10,AD10)&gt;0,SUM(O10,AD10),SUM(AL10,W10))</f>
        <v>187</v>
      </c>
      <c r="J10" s="9">
        <f t="shared" si="0"/>
        <v>5.2234636871508382</v>
      </c>
      <c r="K10" s="143">
        <f t="shared" si="10"/>
        <v>4</v>
      </c>
      <c r="L10" s="9">
        <f t="shared" si="1"/>
        <v>2.1390374331550799</v>
      </c>
      <c r="M10" s="8" t="str">
        <f t="array" ref="M10">IF(L10&gt;5,"Perlu Sensus",IF(AND(L10&gt;=0,I10&gt;0),"Tetap Deteksi","Belum Deteksi"))</f>
        <v>Tetap Deteksi</v>
      </c>
      <c r="N10" s="132">
        <v>46249</v>
      </c>
      <c r="O10" s="143">
        <f t="array" ref="O10">INDEX([28]Sheet1!$H$24:$H$231,MATCH(1,([28]Sheet1!$E$24:$E$231=$D10)*([28]Sheet1!$E$24:$E$231=$D10),0))</f>
        <v>187</v>
      </c>
      <c r="P10" s="9">
        <f t="array" ref="P10">IFERROR(O10/$G10*100,0)</f>
        <v>5.2234636871508382</v>
      </c>
      <c r="Q10" s="143">
        <f t="array" ref="Q10">INDEX([28]Sheet1!$J$24:$J$231,MATCH(1,([28]Sheet1!$E$24:$E$231=$D10)*([28]Sheet1!$E$24:$E$231=$D10),0))</f>
        <v>4</v>
      </c>
      <c r="R10" s="9">
        <f t="shared" si="2"/>
        <v>2.1390374331550799</v>
      </c>
      <c r="S10" s="8" t="str">
        <f t="array" ref="S10">IF(R10&gt;5,"Perlu Sensus",IF(AND(R10&gt;=0,O10&gt;0),"Tetap Deteksi","Belum Deteksi"))</f>
        <v>Tetap Deteksi</v>
      </c>
      <c r="T10" s="143"/>
      <c r="U10" s="9">
        <f t="shared" si="3"/>
        <v>0</v>
      </c>
      <c r="V10" s="11"/>
      <c r="W10" s="143"/>
      <c r="X10" s="143"/>
      <c r="Y10" s="9">
        <f t="shared" si="4"/>
        <v>0</v>
      </c>
      <c r="Z10" s="8" t="str">
        <f t="array" ref="Z10">IF(Y10&gt;5,"Perlu Sensus",IF(AND(Y10&gt;=0,W10&gt;0),"Tetap Deteksi","Belum Deteksi"))</f>
        <v>Belum Deteksi</v>
      </c>
      <c r="AA10" s="143"/>
      <c r="AB10" s="9">
        <f t="shared" si="5"/>
        <v>0</v>
      </c>
      <c r="AC10" s="11"/>
      <c r="AD10" s="143"/>
      <c r="AE10" s="9">
        <f t="array" ref="AE10">IFERROR(AD10/$G10*100,0)</f>
        <v>0</v>
      </c>
      <c r="AF10" s="143"/>
      <c r="AG10" s="9">
        <f t="shared" si="6"/>
        <v>0</v>
      </c>
      <c r="AH10" s="8" t="str">
        <f t="array" ref="AH10">IF(AG10&gt;5,"Perlu Sensus",IF(AND(AG10&gt;=0,AD10&gt;0),"Tetap Deteksi","Belum Deteksi"))</f>
        <v>Belum Deteksi</v>
      </c>
      <c r="AI10" s="143"/>
      <c r="AJ10" s="9">
        <f t="shared" si="7"/>
        <v>0</v>
      </c>
      <c r="AK10" s="11"/>
      <c r="AL10" s="143"/>
      <c r="AM10" s="143"/>
      <c r="AN10" s="9">
        <f t="shared" si="8"/>
        <v>0</v>
      </c>
      <c r="AO10" s="8" t="str">
        <f t="array" ref="AO10">IF(AN10&gt;5,"Perlu Sensus",IF(AND(AN10&gt;=0,AL10&gt;0),"Tetap Deteksi","Belum Deteksi"))</f>
        <v>Belum Deteksi</v>
      </c>
      <c r="AP10" s="143"/>
      <c r="AQ10" s="9">
        <f t="shared" si="9"/>
        <v>0</v>
      </c>
    </row>
    <row r="11" spans="1:43" outlineLevel="1" x14ac:dyDescent="0.15">
      <c r="A11" s="8" t="s">
        <v>1273</v>
      </c>
      <c r="B11" s="8" t="s">
        <v>14</v>
      </c>
      <c r="C11" s="8" t="s">
        <v>14</v>
      </c>
      <c r="D11" s="186" t="s">
        <v>1281</v>
      </c>
      <c r="E11" s="9">
        <v>25.49</v>
      </c>
      <c r="F11" s="8" t="s">
        <v>1740</v>
      </c>
      <c r="G11" s="10">
        <v>3429</v>
      </c>
      <c r="H11" s="11">
        <f t="array" ref="H11">IF(OR(N11&gt;0,AC11&gt;0),MAX(N11,AC11),MAX(AK11,V11))</f>
        <v>46249</v>
      </c>
      <c r="I11" s="143">
        <f t="array" ref="I11">IF(SUM(O11,AD11)&gt;0,SUM(O11,AD11),SUM(AL11,W11))</f>
        <v>207</v>
      </c>
      <c r="J11" s="9">
        <f t="shared" si="0"/>
        <v>6.0367454068241466</v>
      </c>
      <c r="K11" s="143">
        <f t="shared" si="10"/>
        <v>4</v>
      </c>
      <c r="L11" s="9">
        <f t="shared" si="1"/>
        <v>1.932367149758454</v>
      </c>
      <c r="M11" s="8" t="str">
        <f t="array" ref="M11">IF(L11&gt;5,"Perlu Sensus",IF(AND(L11&gt;=0,I11&gt;0),"Tetap Deteksi","Belum Deteksi"))</f>
        <v>Tetap Deteksi</v>
      </c>
      <c r="N11" s="132">
        <v>46249</v>
      </c>
      <c r="O11" s="143">
        <f t="array" ref="O11">INDEX([28]Sheet1!$H$24:$H$231,MATCH(1,([28]Sheet1!$E$24:$E$231=$D11)*([28]Sheet1!$E$24:$E$231=$D11),0))</f>
        <v>207</v>
      </c>
      <c r="P11" s="9">
        <f t="array" ref="P11">IFERROR(O11/$G11*100,0)</f>
        <v>6.0367454068241466</v>
      </c>
      <c r="Q11" s="143">
        <f t="array" ref="Q11">INDEX([28]Sheet1!$J$24:$J$231,MATCH(1,([28]Sheet1!$E$24:$E$231=$D11)*([28]Sheet1!$E$24:$E$231=$D11),0))</f>
        <v>4</v>
      </c>
      <c r="R11" s="9">
        <f t="shared" si="2"/>
        <v>1.932367149758454</v>
      </c>
      <c r="S11" s="8" t="str">
        <f t="array" ref="S11">IF(R11&gt;5,"Perlu Sensus",IF(AND(R11&gt;=0,O11&gt;0),"Tetap Deteksi","Belum Deteksi"))</f>
        <v>Tetap Deteksi</v>
      </c>
      <c r="T11" s="143"/>
      <c r="U11" s="9">
        <f t="shared" si="3"/>
        <v>0</v>
      </c>
      <c r="V11" s="11"/>
      <c r="W11" s="143"/>
      <c r="X11" s="143"/>
      <c r="Y11" s="9">
        <f t="shared" si="4"/>
        <v>0</v>
      </c>
      <c r="Z11" s="8" t="str">
        <f t="array" ref="Z11">IF(Y11&gt;5,"Perlu Sensus",IF(AND(Y11&gt;=0,W11&gt;0),"Tetap Deteksi","Belum Deteksi"))</f>
        <v>Belum Deteksi</v>
      </c>
      <c r="AA11" s="143"/>
      <c r="AB11" s="9">
        <f t="shared" si="5"/>
        <v>0</v>
      </c>
      <c r="AC11" s="11"/>
      <c r="AD11" s="143"/>
      <c r="AE11" s="9">
        <f t="array" ref="AE11">IFERROR(AD11/$G11*100,0)</f>
        <v>0</v>
      </c>
      <c r="AF11" s="143"/>
      <c r="AG11" s="9">
        <f t="shared" si="6"/>
        <v>0</v>
      </c>
      <c r="AH11" s="8" t="str">
        <f t="array" ref="AH11">IF(AG11&gt;5,"Perlu Sensus",IF(AND(AG11&gt;=0,AD11&gt;0),"Tetap Deteksi","Belum Deteksi"))</f>
        <v>Belum Deteksi</v>
      </c>
      <c r="AI11" s="143"/>
      <c r="AJ11" s="9">
        <f t="shared" si="7"/>
        <v>0</v>
      </c>
      <c r="AK11" s="11"/>
      <c r="AL11" s="143"/>
      <c r="AM11" s="143"/>
      <c r="AN11" s="9">
        <f t="shared" si="8"/>
        <v>0</v>
      </c>
      <c r="AO11" s="8" t="str">
        <f t="array" ref="AO11">IF(AN11&gt;5,"Perlu Sensus",IF(AND(AN11&gt;=0,AL11&gt;0),"Tetap Deteksi","Belum Deteksi"))</f>
        <v>Belum Deteksi</v>
      </c>
      <c r="AP11" s="143"/>
      <c r="AQ11" s="9">
        <f t="shared" si="9"/>
        <v>0</v>
      </c>
    </row>
    <row r="12" spans="1:43" outlineLevel="1" x14ac:dyDescent="0.15">
      <c r="A12" s="8" t="s">
        <v>1273</v>
      </c>
      <c r="B12" s="8" t="s">
        <v>14</v>
      </c>
      <c r="C12" s="8" t="s">
        <v>14</v>
      </c>
      <c r="D12" s="186" t="s">
        <v>1282</v>
      </c>
      <c r="E12" s="9">
        <v>25.51</v>
      </c>
      <c r="F12" s="8" t="s">
        <v>1740</v>
      </c>
      <c r="G12" s="10">
        <v>3450</v>
      </c>
      <c r="H12" s="11">
        <f t="array" ref="H12">IF(OR(N12&gt;0,AC12&gt;0),MAX(N12,AC12),MAX(AK12,V12))</f>
        <v>46249</v>
      </c>
      <c r="I12" s="143">
        <f t="array" ref="I12">IF(SUM(O12,AD12)&gt;0,SUM(O12,AD12),SUM(AL12,W12))</f>
        <v>246</v>
      </c>
      <c r="J12" s="9">
        <f t="shared" si="0"/>
        <v>7.1304347826086953</v>
      </c>
      <c r="K12" s="143">
        <f t="shared" si="10"/>
        <v>5</v>
      </c>
      <c r="L12" s="9">
        <f t="shared" si="1"/>
        <v>2.0325203252032518</v>
      </c>
      <c r="M12" s="8" t="str">
        <f t="array" ref="M12">IF(L12&gt;5,"Perlu Sensus",IF(AND(L12&gt;=0,I12&gt;0),"Tetap Deteksi","Belum Deteksi"))</f>
        <v>Tetap Deteksi</v>
      </c>
      <c r="N12" s="132">
        <v>46249</v>
      </c>
      <c r="O12" s="143">
        <f t="array" ref="O12">INDEX([28]Sheet1!$H$24:$H$231,MATCH(1,([28]Sheet1!$E$24:$E$231=$D12)*([28]Sheet1!$E$24:$E$231=$D12),0))</f>
        <v>246</v>
      </c>
      <c r="P12" s="9">
        <f t="array" ref="P12">IFERROR(O12/$G12*100,0)</f>
        <v>7.1304347826086953</v>
      </c>
      <c r="Q12" s="143">
        <f t="array" ref="Q12">INDEX([28]Sheet1!$J$24:$J$231,MATCH(1,([28]Sheet1!$E$24:$E$231=$D12)*([28]Sheet1!$E$24:$E$231=$D12),0))</f>
        <v>5</v>
      </c>
      <c r="R12" s="9">
        <f t="shared" si="2"/>
        <v>2.0325203252032518</v>
      </c>
      <c r="S12" s="8" t="str">
        <f t="array" ref="S12">IF(R12&gt;5,"Perlu Sensus",IF(AND(R12&gt;=0,O12&gt;0),"Tetap Deteksi","Belum Deteksi"))</f>
        <v>Tetap Deteksi</v>
      </c>
      <c r="T12" s="143"/>
      <c r="U12" s="9">
        <f t="shared" si="3"/>
        <v>0</v>
      </c>
      <c r="V12" s="11"/>
      <c r="W12" s="143"/>
      <c r="X12" s="143"/>
      <c r="Y12" s="9">
        <f t="shared" si="4"/>
        <v>0</v>
      </c>
      <c r="Z12" s="8" t="str">
        <f t="array" ref="Z12">IF(Y12&gt;5,"Perlu Sensus",IF(AND(Y12&gt;=0,W12&gt;0),"Tetap Deteksi","Belum Deteksi"))</f>
        <v>Belum Deteksi</v>
      </c>
      <c r="AA12" s="143"/>
      <c r="AB12" s="9">
        <f t="shared" si="5"/>
        <v>0</v>
      </c>
      <c r="AC12" s="11"/>
      <c r="AD12" s="143"/>
      <c r="AE12" s="9">
        <f t="array" ref="AE12">IFERROR(AD12/$G12*100,0)</f>
        <v>0</v>
      </c>
      <c r="AF12" s="143"/>
      <c r="AG12" s="9">
        <f t="shared" si="6"/>
        <v>0</v>
      </c>
      <c r="AH12" s="8" t="str">
        <f t="array" ref="AH12">IF(AG12&gt;5,"Perlu Sensus",IF(AND(AG12&gt;=0,AD12&gt;0),"Tetap Deteksi","Belum Deteksi"))</f>
        <v>Belum Deteksi</v>
      </c>
      <c r="AI12" s="143"/>
      <c r="AJ12" s="9">
        <f t="shared" si="7"/>
        <v>0</v>
      </c>
      <c r="AK12" s="11"/>
      <c r="AL12" s="143"/>
      <c r="AM12" s="143"/>
      <c r="AN12" s="9">
        <f t="shared" si="8"/>
        <v>0</v>
      </c>
      <c r="AO12" s="8" t="str">
        <f t="array" ref="AO12">IF(AN12&gt;5,"Perlu Sensus",IF(AND(AN12&gt;=0,AL12&gt;0),"Tetap Deteksi","Belum Deteksi"))</f>
        <v>Belum Deteksi</v>
      </c>
      <c r="AP12" s="143"/>
      <c r="AQ12" s="9">
        <f t="shared" si="9"/>
        <v>0</v>
      </c>
    </row>
    <row r="13" spans="1:43" outlineLevel="1" x14ac:dyDescent="0.15">
      <c r="A13" s="8" t="s">
        <v>1273</v>
      </c>
      <c r="B13" s="8" t="s">
        <v>14</v>
      </c>
      <c r="C13" s="8" t="s">
        <v>14</v>
      </c>
      <c r="D13" s="186" t="s">
        <v>1283</v>
      </c>
      <c r="E13" s="9">
        <v>26.59</v>
      </c>
      <c r="F13" s="8" t="s">
        <v>1740</v>
      </c>
      <c r="G13" s="10">
        <v>3529</v>
      </c>
      <c r="H13" s="11">
        <f t="array" ref="H13">IF(OR(N13&gt;0,AC13&gt;0),MAX(N13,AC13),MAX(AK13,V13))</f>
        <v>46249</v>
      </c>
      <c r="I13" s="143">
        <f t="array" ref="I13">IF(SUM(O13,AD13)&gt;0,SUM(O13,AD13),SUM(AL13,W13))</f>
        <v>232</v>
      </c>
      <c r="J13" s="9">
        <f t="shared" si="0"/>
        <v>6.5741003117030319</v>
      </c>
      <c r="K13" s="143">
        <f t="shared" si="10"/>
        <v>4</v>
      </c>
      <c r="L13" s="9">
        <f t="shared" si="1"/>
        <v>1.7241379310344827</v>
      </c>
      <c r="M13" s="8" t="str">
        <f t="array" ref="M13">IF(L13&gt;5,"Perlu Sensus",IF(AND(L13&gt;=0,I13&gt;0),"Tetap Deteksi","Belum Deteksi"))</f>
        <v>Tetap Deteksi</v>
      </c>
      <c r="N13" s="132">
        <v>46249</v>
      </c>
      <c r="O13" s="143">
        <f t="array" ref="O13">INDEX([28]Sheet1!$H$24:$H$231,MATCH(1,([28]Sheet1!$E$24:$E$231=$D13)*([28]Sheet1!$E$24:$E$231=$D13),0))</f>
        <v>232</v>
      </c>
      <c r="P13" s="9">
        <f t="array" ref="P13">IFERROR(O13/$G13*100,0)</f>
        <v>6.5741003117030319</v>
      </c>
      <c r="Q13" s="143">
        <f t="array" ref="Q13">INDEX([28]Sheet1!$J$24:$J$231,MATCH(1,([28]Sheet1!$E$24:$E$231=$D13)*([28]Sheet1!$E$24:$E$231=$D13),0))</f>
        <v>4</v>
      </c>
      <c r="R13" s="9">
        <f t="shared" si="2"/>
        <v>1.7241379310344827</v>
      </c>
      <c r="S13" s="8" t="str">
        <f t="array" ref="S13">IF(R13&gt;5,"Perlu Sensus",IF(AND(R13&gt;=0,O13&gt;0),"Tetap Deteksi","Belum Deteksi"))</f>
        <v>Tetap Deteksi</v>
      </c>
      <c r="T13" s="143"/>
      <c r="U13" s="9">
        <f t="shared" si="3"/>
        <v>0</v>
      </c>
      <c r="V13" s="11"/>
      <c r="W13" s="143"/>
      <c r="X13" s="143"/>
      <c r="Y13" s="9">
        <f t="shared" si="4"/>
        <v>0</v>
      </c>
      <c r="Z13" s="8" t="str">
        <f t="array" ref="Z13">IF(Y13&gt;5,"Perlu Sensus",IF(AND(Y13&gt;=0,W13&gt;0),"Tetap Deteksi","Belum Deteksi"))</f>
        <v>Belum Deteksi</v>
      </c>
      <c r="AA13" s="143"/>
      <c r="AB13" s="9">
        <f t="shared" si="5"/>
        <v>0</v>
      </c>
      <c r="AC13" s="11"/>
      <c r="AD13" s="143"/>
      <c r="AE13" s="9">
        <f t="array" ref="AE13">IFERROR(AD13/$G13*100,0)</f>
        <v>0</v>
      </c>
      <c r="AF13" s="143"/>
      <c r="AG13" s="9">
        <f t="shared" si="6"/>
        <v>0</v>
      </c>
      <c r="AH13" s="8" t="str">
        <f t="array" ref="AH13">IF(AG13&gt;5,"Perlu Sensus",IF(AND(AG13&gt;=0,AD13&gt;0),"Tetap Deteksi","Belum Deteksi"))</f>
        <v>Belum Deteksi</v>
      </c>
      <c r="AI13" s="143"/>
      <c r="AJ13" s="9">
        <f t="shared" si="7"/>
        <v>0</v>
      </c>
      <c r="AK13" s="11"/>
      <c r="AL13" s="143"/>
      <c r="AM13" s="143"/>
      <c r="AN13" s="9">
        <f t="shared" si="8"/>
        <v>0</v>
      </c>
      <c r="AO13" s="8" t="str">
        <f t="array" ref="AO13">IF(AN13&gt;5,"Perlu Sensus",IF(AND(AN13&gt;=0,AL13&gt;0),"Tetap Deteksi","Belum Deteksi"))</f>
        <v>Belum Deteksi</v>
      </c>
      <c r="AP13" s="143"/>
      <c r="AQ13" s="9">
        <f t="shared" si="9"/>
        <v>0</v>
      </c>
    </row>
    <row r="14" spans="1:43" outlineLevel="1" x14ac:dyDescent="0.15">
      <c r="A14" s="8" t="s">
        <v>1273</v>
      </c>
      <c r="B14" s="8" t="s">
        <v>14</v>
      </c>
      <c r="C14" s="8" t="s">
        <v>14</v>
      </c>
      <c r="D14" s="186" t="s">
        <v>1284</v>
      </c>
      <c r="E14" s="9">
        <v>17.739999999999998</v>
      </c>
      <c r="F14" s="8" t="s">
        <v>1740</v>
      </c>
      <c r="G14" s="10">
        <v>2471</v>
      </c>
      <c r="H14" s="11">
        <f t="array" ref="H14">IF(OR(N14&gt;0,AC14&gt;0),MAX(N14,AC14),MAX(AK14,V14))</f>
        <v>46249</v>
      </c>
      <c r="I14" s="143">
        <f t="array" ref="I14">IF(SUM(O14,AD14)&gt;0,SUM(O14,AD14),SUM(AL14,W14))</f>
        <v>173</v>
      </c>
      <c r="J14" s="9">
        <f t="shared" si="0"/>
        <v>7.0012140833670582</v>
      </c>
      <c r="K14" s="143">
        <f t="shared" si="10"/>
        <v>3</v>
      </c>
      <c r="L14" s="9">
        <f t="shared" si="1"/>
        <v>1.7341040462427744</v>
      </c>
      <c r="M14" s="8" t="str">
        <f t="array" ref="M14">IF(L14&gt;5,"Perlu Sensus",IF(AND(L14&gt;=0,I14&gt;0),"Tetap Deteksi","Belum Deteksi"))</f>
        <v>Tetap Deteksi</v>
      </c>
      <c r="N14" s="132">
        <v>46249</v>
      </c>
      <c r="O14" s="143">
        <f t="array" ref="O14">INDEX([28]Sheet1!$H$24:$H$231,MATCH(1,([28]Sheet1!$E$24:$E$231=$D14)*([28]Sheet1!$E$24:$E$231=$D14),0))</f>
        <v>173</v>
      </c>
      <c r="P14" s="9">
        <f t="array" ref="P14">IFERROR(O14/$G14*100,0)</f>
        <v>7.0012140833670582</v>
      </c>
      <c r="Q14" s="143">
        <f t="array" ref="Q14">INDEX([28]Sheet1!$J$24:$J$231,MATCH(1,([28]Sheet1!$E$24:$E$231=$D14)*([28]Sheet1!$E$24:$E$231=$D14),0))</f>
        <v>3</v>
      </c>
      <c r="R14" s="9">
        <f t="shared" si="2"/>
        <v>1.7341040462427744</v>
      </c>
      <c r="S14" s="8" t="str">
        <f t="array" ref="S14">IF(R14&gt;5,"Perlu Sensus",IF(AND(R14&gt;=0,O14&gt;0),"Tetap Deteksi","Belum Deteksi"))</f>
        <v>Tetap Deteksi</v>
      </c>
      <c r="T14" s="143"/>
      <c r="U14" s="9">
        <f t="shared" si="3"/>
        <v>0</v>
      </c>
      <c r="V14" s="11"/>
      <c r="W14" s="143"/>
      <c r="X14" s="143"/>
      <c r="Y14" s="9">
        <f t="shared" si="4"/>
        <v>0</v>
      </c>
      <c r="Z14" s="8" t="str">
        <f t="array" ref="Z14">IF(Y14&gt;5,"Perlu Sensus",IF(AND(Y14&gt;=0,W14&gt;0),"Tetap Deteksi","Belum Deteksi"))</f>
        <v>Belum Deteksi</v>
      </c>
      <c r="AA14" s="143"/>
      <c r="AB14" s="9">
        <f t="shared" si="5"/>
        <v>0</v>
      </c>
      <c r="AC14" s="11"/>
      <c r="AD14" s="143"/>
      <c r="AE14" s="9">
        <f t="array" ref="AE14">IFERROR(AD14/$G14*100,0)</f>
        <v>0</v>
      </c>
      <c r="AF14" s="143"/>
      <c r="AG14" s="9">
        <f t="shared" si="6"/>
        <v>0</v>
      </c>
      <c r="AH14" s="8" t="str">
        <f t="array" ref="AH14">IF(AG14&gt;5,"Perlu Sensus",IF(AND(AG14&gt;=0,AD14&gt;0),"Tetap Deteksi","Belum Deteksi"))</f>
        <v>Belum Deteksi</v>
      </c>
      <c r="AI14" s="143"/>
      <c r="AJ14" s="9">
        <f t="shared" si="7"/>
        <v>0</v>
      </c>
      <c r="AK14" s="11"/>
      <c r="AL14" s="143"/>
      <c r="AM14" s="143"/>
      <c r="AN14" s="9">
        <f t="shared" si="8"/>
        <v>0</v>
      </c>
      <c r="AO14" s="8" t="str">
        <f t="array" ref="AO14">IF(AN14&gt;5,"Perlu Sensus",IF(AND(AN14&gt;=0,AL14&gt;0),"Tetap Deteksi","Belum Deteksi"))</f>
        <v>Belum Deteksi</v>
      </c>
      <c r="AP14" s="143"/>
      <c r="AQ14" s="9">
        <f t="shared" si="9"/>
        <v>0</v>
      </c>
    </row>
    <row r="15" spans="1:43" outlineLevel="1" x14ac:dyDescent="0.15">
      <c r="A15" s="8" t="s">
        <v>1273</v>
      </c>
      <c r="B15" s="8" t="s">
        <v>14</v>
      </c>
      <c r="C15" s="8" t="s">
        <v>14</v>
      </c>
      <c r="D15" s="186" t="s">
        <v>1285</v>
      </c>
      <c r="E15" s="9">
        <v>19.740000000000002</v>
      </c>
      <c r="F15" s="8" t="s">
        <v>1740</v>
      </c>
      <c r="G15" s="10">
        <v>2684</v>
      </c>
      <c r="H15" s="11">
        <f t="array" ref="H15">IF(OR(N15&gt;0,AC15&gt;0),MAX(N15,AC15),MAX(AK15,V15))</f>
        <v>46249</v>
      </c>
      <c r="I15" s="143">
        <f t="array" ref="I15">IF(SUM(O15,AD15)&gt;0,SUM(O15,AD15),SUM(AL15,W15))</f>
        <v>187</v>
      </c>
      <c r="J15" s="9">
        <f t="shared" si="0"/>
        <v>6.9672131147540979</v>
      </c>
      <c r="K15" s="143">
        <f t="shared" si="10"/>
        <v>2</v>
      </c>
      <c r="L15" s="9">
        <f t="shared" si="1"/>
        <v>1.0695187165775399</v>
      </c>
      <c r="M15" s="8" t="str">
        <f t="array" ref="M15">IF(L15&gt;5,"Perlu Sensus",IF(AND(L15&gt;=0,I15&gt;0),"Tetap Deteksi","Belum Deteksi"))</f>
        <v>Tetap Deteksi</v>
      </c>
      <c r="N15" s="132">
        <v>46249</v>
      </c>
      <c r="O15" s="143">
        <f t="array" ref="O15">INDEX([28]Sheet1!$H$24:$H$231,MATCH(1,([28]Sheet1!$E$24:$E$231=$D15)*([28]Sheet1!$E$24:$E$231=$D15),0))</f>
        <v>187</v>
      </c>
      <c r="P15" s="9">
        <f t="array" ref="P15">IFERROR(O15/$G15*100,0)</f>
        <v>6.9672131147540979</v>
      </c>
      <c r="Q15" s="143">
        <f t="array" ref="Q15">INDEX([28]Sheet1!$J$24:$J$231,MATCH(1,([28]Sheet1!$E$24:$E$231=$D15)*([28]Sheet1!$E$24:$E$231=$D15),0))</f>
        <v>2</v>
      </c>
      <c r="R15" s="9">
        <f t="shared" si="2"/>
        <v>1.0695187165775399</v>
      </c>
      <c r="S15" s="8" t="str">
        <f t="array" ref="S15">IF(R15&gt;5,"Perlu Sensus",IF(AND(R15&gt;=0,O15&gt;0),"Tetap Deteksi","Belum Deteksi"))</f>
        <v>Tetap Deteksi</v>
      </c>
      <c r="T15" s="143"/>
      <c r="U15" s="9">
        <f t="shared" si="3"/>
        <v>0</v>
      </c>
      <c r="V15" s="11"/>
      <c r="W15" s="143"/>
      <c r="X15" s="143"/>
      <c r="Y15" s="9">
        <f t="shared" si="4"/>
        <v>0</v>
      </c>
      <c r="Z15" s="8" t="str">
        <f t="array" ref="Z15">IF(Y15&gt;5,"Perlu Sensus",IF(AND(Y15&gt;=0,W15&gt;0),"Tetap Deteksi","Belum Deteksi"))</f>
        <v>Belum Deteksi</v>
      </c>
      <c r="AA15" s="143"/>
      <c r="AB15" s="9">
        <f t="shared" si="5"/>
        <v>0</v>
      </c>
      <c r="AC15" s="11"/>
      <c r="AD15" s="143"/>
      <c r="AE15" s="9">
        <f t="array" ref="AE15">IFERROR(AD15/$G15*100,0)</f>
        <v>0</v>
      </c>
      <c r="AF15" s="143"/>
      <c r="AG15" s="9">
        <f t="shared" si="6"/>
        <v>0</v>
      </c>
      <c r="AH15" s="8" t="str">
        <f t="array" ref="AH15">IF(AG15&gt;5,"Perlu Sensus",IF(AND(AG15&gt;=0,AD15&gt;0),"Tetap Deteksi","Belum Deteksi"))</f>
        <v>Belum Deteksi</v>
      </c>
      <c r="AI15" s="143"/>
      <c r="AJ15" s="9">
        <f t="shared" si="7"/>
        <v>0</v>
      </c>
      <c r="AK15" s="11"/>
      <c r="AL15" s="143"/>
      <c r="AM15" s="143"/>
      <c r="AN15" s="9">
        <f t="shared" si="8"/>
        <v>0</v>
      </c>
      <c r="AO15" s="8" t="str">
        <f t="array" ref="AO15">IF(AN15&gt;5,"Perlu Sensus",IF(AND(AN15&gt;=0,AL15&gt;0),"Tetap Deteksi","Belum Deteksi"))</f>
        <v>Belum Deteksi</v>
      </c>
      <c r="AP15" s="143"/>
      <c r="AQ15" s="9">
        <f t="shared" si="9"/>
        <v>0</v>
      </c>
    </row>
    <row r="16" spans="1:43" outlineLevel="1" x14ac:dyDescent="0.15">
      <c r="A16" s="8" t="s">
        <v>1273</v>
      </c>
      <c r="B16" s="8" t="s">
        <v>14</v>
      </c>
      <c r="C16" s="8" t="s">
        <v>14</v>
      </c>
      <c r="D16" s="186" t="s">
        <v>1037</v>
      </c>
      <c r="E16" s="9">
        <v>28.56</v>
      </c>
      <c r="F16" s="8" t="s">
        <v>1740</v>
      </c>
      <c r="G16" s="10">
        <v>3691</v>
      </c>
      <c r="H16" s="11">
        <f t="array" ref="H16">IF(OR(N16&gt;0,AC16&gt;0),MAX(N16,AC16),MAX(AK16,V16))</f>
        <v>46249</v>
      </c>
      <c r="I16" s="143">
        <f t="array" ref="I16">IF(SUM(O16,AD16)&gt;0,SUM(O16,AD16),SUM(AL16,W16))</f>
        <v>146</v>
      </c>
      <c r="J16" s="9">
        <f t="shared" si="0"/>
        <v>3.9555675968572199</v>
      </c>
      <c r="K16" s="143">
        <f t="shared" si="10"/>
        <v>3</v>
      </c>
      <c r="L16" s="9">
        <f t="shared" si="1"/>
        <v>2.054794520547945</v>
      </c>
      <c r="M16" s="8" t="str">
        <f t="array" ref="M16">IF(L16&gt;5,"Perlu Sensus",IF(AND(L16&gt;=0,I16&gt;0),"Tetap Deteksi","Belum Deteksi"))</f>
        <v>Tetap Deteksi</v>
      </c>
      <c r="N16" s="132">
        <v>46249</v>
      </c>
      <c r="O16" s="143">
        <f t="array" ref="O16">INDEX([28]Sheet1!$H$24:$H$231,MATCH(1,([28]Sheet1!$E$24:$E$231=$D16)*([28]Sheet1!$E$24:$E$231=$D16),0))</f>
        <v>146</v>
      </c>
      <c r="P16" s="9">
        <f t="array" ref="P16">IFERROR(O16/$G16*100,0)</f>
        <v>3.9555675968572199</v>
      </c>
      <c r="Q16" s="143">
        <f t="array" ref="Q16">INDEX([28]Sheet1!$J$24:$J$231,MATCH(1,([28]Sheet1!$E$24:$E$231=$D16)*([28]Sheet1!$E$24:$E$231=$D16),0))</f>
        <v>3</v>
      </c>
      <c r="R16" s="9">
        <f t="shared" si="2"/>
        <v>2.054794520547945</v>
      </c>
      <c r="S16" s="8" t="str">
        <f t="array" ref="S16">IF(R16&gt;5,"Perlu Sensus",IF(AND(R16&gt;=0,O16&gt;0),"Tetap Deteksi","Belum Deteksi"))</f>
        <v>Tetap Deteksi</v>
      </c>
      <c r="T16" s="143"/>
      <c r="U16" s="9">
        <f t="shared" si="3"/>
        <v>0</v>
      </c>
      <c r="V16" s="11"/>
      <c r="W16" s="143"/>
      <c r="X16" s="143"/>
      <c r="Y16" s="9">
        <f t="shared" si="4"/>
        <v>0</v>
      </c>
      <c r="Z16" s="8" t="str">
        <f t="array" ref="Z16">IF(Y16&gt;5,"Perlu Sensus",IF(AND(Y16&gt;=0,W16&gt;0),"Tetap Deteksi","Belum Deteksi"))</f>
        <v>Belum Deteksi</v>
      </c>
      <c r="AA16" s="143"/>
      <c r="AB16" s="9">
        <f t="shared" si="5"/>
        <v>0</v>
      </c>
      <c r="AC16" s="11"/>
      <c r="AD16" s="143"/>
      <c r="AE16" s="9">
        <f t="array" ref="AE16">IFERROR(AD16/$G16*100,0)</f>
        <v>0</v>
      </c>
      <c r="AF16" s="143"/>
      <c r="AG16" s="9">
        <f t="shared" si="6"/>
        <v>0</v>
      </c>
      <c r="AH16" s="8" t="str">
        <f t="array" ref="AH16">IF(AG16&gt;5,"Perlu Sensus",IF(AND(AG16&gt;=0,AD16&gt;0),"Tetap Deteksi","Belum Deteksi"))</f>
        <v>Belum Deteksi</v>
      </c>
      <c r="AI16" s="143"/>
      <c r="AJ16" s="9">
        <f t="shared" si="7"/>
        <v>0</v>
      </c>
      <c r="AK16" s="11"/>
      <c r="AL16" s="143"/>
      <c r="AM16" s="143"/>
      <c r="AN16" s="9">
        <f t="shared" si="8"/>
        <v>0</v>
      </c>
      <c r="AO16" s="8" t="str">
        <f t="array" ref="AO16">IF(AN16&gt;5,"Perlu Sensus",IF(AND(AN16&gt;=0,AL16&gt;0),"Tetap Deteksi","Belum Deteksi"))</f>
        <v>Belum Deteksi</v>
      </c>
      <c r="AP16" s="143"/>
      <c r="AQ16" s="9">
        <f t="shared" si="9"/>
        <v>0</v>
      </c>
    </row>
    <row r="17" spans="1:43" outlineLevel="1" x14ac:dyDescent="0.15">
      <c r="A17" s="8" t="s">
        <v>1273</v>
      </c>
      <c r="B17" s="8" t="s">
        <v>14</v>
      </c>
      <c r="C17" s="8" t="s">
        <v>14</v>
      </c>
      <c r="D17" s="186" t="s">
        <v>1035</v>
      </c>
      <c r="E17" s="9">
        <v>25.160000000000004</v>
      </c>
      <c r="F17" s="8" t="s">
        <v>1740</v>
      </c>
      <c r="G17" s="10">
        <v>3259</v>
      </c>
      <c r="H17" s="11">
        <f t="array" ref="H17">IF(OR(N17&gt;0,AC17&gt;0),MAX(N17,AC17),MAX(AK17,V17))</f>
        <v>46249</v>
      </c>
      <c r="I17" s="143">
        <f t="array" ref="I17">IF(SUM(O17,AD17)&gt;0,SUM(O17,AD17),SUM(AL17,W17))</f>
        <v>139</v>
      </c>
      <c r="J17" s="9">
        <f t="shared" si="0"/>
        <v>4.2651119975452598</v>
      </c>
      <c r="K17" s="143">
        <f t="shared" si="10"/>
        <v>2</v>
      </c>
      <c r="L17" s="9">
        <f t="shared" si="1"/>
        <v>1.4388489208633095</v>
      </c>
      <c r="M17" s="8" t="str">
        <f t="array" ref="M17">IF(L17&gt;5,"Perlu Sensus",IF(AND(L17&gt;=0,I17&gt;0),"Tetap Deteksi","Belum Deteksi"))</f>
        <v>Tetap Deteksi</v>
      </c>
      <c r="N17" s="132">
        <v>46249</v>
      </c>
      <c r="O17" s="143">
        <f t="array" ref="O17">INDEX([28]Sheet1!$H$24:$H$231,MATCH(1,([28]Sheet1!$E$24:$E$231=$D17)*([28]Sheet1!$E$24:$E$231=$D17),0))</f>
        <v>139</v>
      </c>
      <c r="P17" s="9">
        <f t="array" ref="P17">IFERROR(O17/$G17*100,0)</f>
        <v>4.2651119975452598</v>
      </c>
      <c r="Q17" s="143">
        <f t="array" ref="Q17">INDEX([28]Sheet1!$J$24:$J$231,MATCH(1,([28]Sheet1!$E$24:$E$231=$D17)*([28]Sheet1!$E$24:$E$231=$D17),0))</f>
        <v>2</v>
      </c>
      <c r="R17" s="9">
        <f t="shared" si="2"/>
        <v>1.4388489208633095</v>
      </c>
      <c r="S17" s="8" t="str">
        <f t="array" ref="S17">IF(R17&gt;5,"Perlu Sensus",IF(AND(R17&gt;=0,O17&gt;0),"Tetap Deteksi","Belum Deteksi"))</f>
        <v>Tetap Deteksi</v>
      </c>
      <c r="T17" s="143"/>
      <c r="U17" s="9">
        <f t="shared" si="3"/>
        <v>0</v>
      </c>
      <c r="V17" s="11"/>
      <c r="W17" s="143"/>
      <c r="X17" s="143"/>
      <c r="Y17" s="9">
        <f t="shared" si="4"/>
        <v>0</v>
      </c>
      <c r="Z17" s="8" t="str">
        <f t="array" ref="Z17">IF(Y17&gt;5,"Perlu Sensus",IF(AND(Y17&gt;=0,W17&gt;0),"Tetap Deteksi","Belum Deteksi"))</f>
        <v>Belum Deteksi</v>
      </c>
      <c r="AA17" s="143"/>
      <c r="AB17" s="9">
        <f t="shared" si="5"/>
        <v>0</v>
      </c>
      <c r="AC17" s="11"/>
      <c r="AD17" s="143"/>
      <c r="AE17" s="9">
        <f t="array" ref="AE17">IFERROR(AD17/$G17*100,0)</f>
        <v>0</v>
      </c>
      <c r="AF17" s="143"/>
      <c r="AG17" s="9">
        <f t="shared" si="6"/>
        <v>0</v>
      </c>
      <c r="AH17" s="8" t="str">
        <f t="array" ref="AH17">IF(AG17&gt;5,"Perlu Sensus",IF(AND(AG17&gt;=0,AD17&gt;0),"Tetap Deteksi","Belum Deteksi"))</f>
        <v>Belum Deteksi</v>
      </c>
      <c r="AI17" s="143"/>
      <c r="AJ17" s="9">
        <f t="shared" si="7"/>
        <v>0</v>
      </c>
      <c r="AK17" s="11"/>
      <c r="AL17" s="143"/>
      <c r="AM17" s="143"/>
      <c r="AN17" s="9">
        <f t="shared" si="8"/>
        <v>0</v>
      </c>
      <c r="AO17" s="8" t="str">
        <f t="array" ref="AO17">IF(AN17&gt;5,"Perlu Sensus",IF(AND(AN17&gt;=0,AL17&gt;0),"Tetap Deteksi","Belum Deteksi"))</f>
        <v>Belum Deteksi</v>
      </c>
      <c r="AP17" s="143"/>
      <c r="AQ17" s="9">
        <f t="shared" si="9"/>
        <v>0</v>
      </c>
    </row>
    <row r="18" spans="1:43" outlineLevel="1" x14ac:dyDescent="0.15">
      <c r="A18" s="8" t="s">
        <v>1273</v>
      </c>
      <c r="B18" s="8" t="s">
        <v>14</v>
      </c>
      <c r="C18" s="8" t="s">
        <v>14</v>
      </c>
      <c r="D18" s="186" t="s">
        <v>1286</v>
      </c>
      <c r="E18" s="9">
        <v>26.9</v>
      </c>
      <c r="F18" s="8" t="s">
        <v>1740</v>
      </c>
      <c r="G18" s="10">
        <v>3718</v>
      </c>
      <c r="H18" s="11">
        <f t="array" ref="H18">IF(OR(N18&gt;0,AC18&gt;0),MAX(N18,AC18),MAX(AK18,V18))</f>
        <v>46249</v>
      </c>
      <c r="I18" s="143">
        <f t="array" ref="I18">IF(SUM(O18,AD18)&gt;0,SUM(O18,AD18),SUM(AL18,W18))</f>
        <v>120</v>
      </c>
      <c r="J18" s="9">
        <f t="shared" si="0"/>
        <v>3.2275416890801503</v>
      </c>
      <c r="K18" s="143">
        <f t="shared" si="10"/>
        <v>2</v>
      </c>
      <c r="L18" s="9">
        <f t="shared" si="1"/>
        <v>1.6666666666666667</v>
      </c>
      <c r="M18" s="8" t="str">
        <f t="array" ref="M18">IF(L18&gt;5,"Perlu Sensus",IF(AND(L18&gt;=0,I18&gt;0),"Tetap Deteksi","Belum Deteksi"))</f>
        <v>Tetap Deteksi</v>
      </c>
      <c r="N18" s="132">
        <v>46249</v>
      </c>
      <c r="O18" s="143">
        <f t="array" ref="O18">INDEX([28]Sheet1!$H$24:$H$231,MATCH(1,([28]Sheet1!$E$24:$E$231=$D18)*([28]Sheet1!$E$24:$E$231=$D18),0))</f>
        <v>120</v>
      </c>
      <c r="P18" s="9">
        <f t="array" ref="P18">IFERROR(O18/$G18*100,0)</f>
        <v>3.2275416890801503</v>
      </c>
      <c r="Q18" s="143">
        <f t="array" ref="Q18">INDEX([28]Sheet1!$J$24:$J$231,MATCH(1,([28]Sheet1!$E$24:$E$231=$D18)*([28]Sheet1!$E$24:$E$231=$D18),0))</f>
        <v>2</v>
      </c>
      <c r="R18" s="9">
        <f t="shared" si="2"/>
        <v>1.6666666666666667</v>
      </c>
      <c r="S18" s="8" t="str">
        <f t="array" ref="S18">IF(R18&gt;5,"Perlu Sensus",IF(AND(R18&gt;=0,O18&gt;0),"Tetap Deteksi","Belum Deteksi"))</f>
        <v>Tetap Deteksi</v>
      </c>
      <c r="T18" s="143"/>
      <c r="U18" s="9">
        <f t="shared" si="3"/>
        <v>0</v>
      </c>
      <c r="V18" s="11"/>
      <c r="W18" s="143"/>
      <c r="X18" s="143"/>
      <c r="Y18" s="9">
        <f t="shared" si="4"/>
        <v>0</v>
      </c>
      <c r="Z18" s="8" t="str">
        <f t="array" ref="Z18">IF(Y18&gt;5,"Perlu Sensus",IF(AND(Y18&gt;=0,W18&gt;0),"Tetap Deteksi","Belum Deteksi"))</f>
        <v>Belum Deteksi</v>
      </c>
      <c r="AA18" s="143"/>
      <c r="AB18" s="9">
        <f t="shared" si="5"/>
        <v>0</v>
      </c>
      <c r="AC18" s="11"/>
      <c r="AD18" s="143"/>
      <c r="AE18" s="9">
        <f t="array" ref="AE18">IFERROR(AD18/$G18*100,0)</f>
        <v>0</v>
      </c>
      <c r="AF18" s="143"/>
      <c r="AG18" s="9">
        <f t="shared" si="6"/>
        <v>0</v>
      </c>
      <c r="AH18" s="8" t="str">
        <f t="array" ref="AH18">IF(AG18&gt;5,"Perlu Sensus",IF(AND(AG18&gt;=0,AD18&gt;0),"Tetap Deteksi","Belum Deteksi"))</f>
        <v>Belum Deteksi</v>
      </c>
      <c r="AI18" s="143"/>
      <c r="AJ18" s="9">
        <f t="shared" si="7"/>
        <v>0</v>
      </c>
      <c r="AK18" s="11"/>
      <c r="AL18" s="143"/>
      <c r="AM18" s="143"/>
      <c r="AN18" s="9">
        <f t="shared" si="8"/>
        <v>0</v>
      </c>
      <c r="AO18" s="8" t="str">
        <f t="array" ref="AO18">IF(AN18&gt;5,"Perlu Sensus",IF(AND(AN18&gt;=0,AL18&gt;0),"Tetap Deteksi","Belum Deteksi"))</f>
        <v>Belum Deteksi</v>
      </c>
      <c r="AP18" s="143"/>
      <c r="AQ18" s="9">
        <f t="shared" si="9"/>
        <v>0</v>
      </c>
    </row>
    <row r="19" spans="1:43" outlineLevel="1" x14ac:dyDescent="0.15">
      <c r="A19" s="8" t="s">
        <v>1273</v>
      </c>
      <c r="B19" s="8" t="s">
        <v>14</v>
      </c>
      <c r="C19" s="8" t="s">
        <v>14</v>
      </c>
      <c r="D19" s="186" t="s">
        <v>1287</v>
      </c>
      <c r="E19" s="9">
        <v>27.14</v>
      </c>
      <c r="F19" s="8" t="s">
        <v>1740</v>
      </c>
      <c r="G19" s="10">
        <v>3570</v>
      </c>
      <c r="H19" s="11">
        <f t="array" ref="H19">IF(OR(N19&gt;0,AC19&gt;0),MAX(N19,AC19),MAX(AK19,V19))</f>
        <v>46249</v>
      </c>
      <c r="I19" s="143">
        <f t="array" ref="I19">IF(SUM(O19,AD19)&gt;0,SUM(O19,AD19),SUM(AL19,W19))</f>
        <v>155</v>
      </c>
      <c r="J19" s="9">
        <f t="shared" si="0"/>
        <v>4.3417366946778708</v>
      </c>
      <c r="K19" s="143">
        <f t="shared" si="10"/>
        <v>3</v>
      </c>
      <c r="L19" s="9">
        <f t="shared" si="1"/>
        <v>1.935483870967742</v>
      </c>
      <c r="M19" s="8" t="str">
        <f t="array" ref="M19">IF(L19&gt;5,"Perlu Sensus",IF(AND(L19&gt;=0,I19&gt;0),"Tetap Deteksi","Belum Deteksi"))</f>
        <v>Tetap Deteksi</v>
      </c>
      <c r="N19" s="132">
        <v>46249</v>
      </c>
      <c r="O19" s="143">
        <f t="array" ref="O19">INDEX([28]Sheet1!$H$24:$H$231,MATCH(1,([28]Sheet1!$E$24:$E$231=$D19)*([28]Sheet1!$E$24:$E$231=$D19),0))</f>
        <v>155</v>
      </c>
      <c r="P19" s="9">
        <f t="array" ref="P19">IFERROR(O19/$G19*100,0)</f>
        <v>4.3417366946778708</v>
      </c>
      <c r="Q19" s="143">
        <f t="array" ref="Q19">INDEX([28]Sheet1!$J$24:$J$231,MATCH(1,([28]Sheet1!$E$24:$E$231=$D19)*([28]Sheet1!$E$24:$E$231=$D19),0))</f>
        <v>3</v>
      </c>
      <c r="R19" s="9">
        <f t="shared" si="2"/>
        <v>1.935483870967742</v>
      </c>
      <c r="S19" s="8" t="str">
        <f t="array" ref="S19">IF(R19&gt;5,"Perlu Sensus",IF(AND(R19&gt;=0,O19&gt;0),"Tetap Deteksi","Belum Deteksi"))</f>
        <v>Tetap Deteksi</v>
      </c>
      <c r="T19" s="143"/>
      <c r="U19" s="9">
        <f t="shared" si="3"/>
        <v>0</v>
      </c>
      <c r="V19" s="11"/>
      <c r="W19" s="143"/>
      <c r="X19" s="143"/>
      <c r="Y19" s="9">
        <f t="shared" si="4"/>
        <v>0</v>
      </c>
      <c r="Z19" s="8" t="str">
        <f t="array" ref="Z19">IF(Y19&gt;5,"Perlu Sensus",IF(AND(Y19&gt;=0,W19&gt;0),"Tetap Deteksi","Belum Deteksi"))</f>
        <v>Belum Deteksi</v>
      </c>
      <c r="AA19" s="143"/>
      <c r="AB19" s="9">
        <f t="shared" si="5"/>
        <v>0</v>
      </c>
      <c r="AC19" s="11"/>
      <c r="AD19" s="143"/>
      <c r="AE19" s="9">
        <f t="array" ref="AE19">IFERROR(AD19/$G19*100,0)</f>
        <v>0</v>
      </c>
      <c r="AF19" s="143"/>
      <c r="AG19" s="9">
        <f t="shared" si="6"/>
        <v>0</v>
      </c>
      <c r="AH19" s="8" t="str">
        <f t="array" ref="AH19">IF(AG19&gt;5,"Perlu Sensus",IF(AND(AG19&gt;=0,AD19&gt;0),"Tetap Deteksi","Belum Deteksi"))</f>
        <v>Belum Deteksi</v>
      </c>
      <c r="AI19" s="143"/>
      <c r="AJ19" s="9">
        <f t="shared" si="7"/>
        <v>0</v>
      </c>
      <c r="AK19" s="11"/>
      <c r="AL19" s="143"/>
      <c r="AM19" s="143"/>
      <c r="AN19" s="9">
        <f t="shared" si="8"/>
        <v>0</v>
      </c>
      <c r="AO19" s="8" t="str">
        <f t="array" ref="AO19">IF(AN19&gt;5,"Perlu Sensus",IF(AND(AN19&gt;=0,AL19&gt;0),"Tetap Deteksi","Belum Deteksi"))</f>
        <v>Belum Deteksi</v>
      </c>
      <c r="AP19" s="143"/>
      <c r="AQ19" s="9">
        <f t="shared" si="9"/>
        <v>0</v>
      </c>
    </row>
    <row r="20" spans="1:43" outlineLevel="1" x14ac:dyDescent="0.15">
      <c r="A20" s="8" t="s">
        <v>1273</v>
      </c>
      <c r="B20" s="8" t="s">
        <v>14</v>
      </c>
      <c r="C20" s="8" t="s">
        <v>14</v>
      </c>
      <c r="D20" s="186" t="s">
        <v>1288</v>
      </c>
      <c r="E20" s="9">
        <v>29.49</v>
      </c>
      <c r="F20" s="8" t="s">
        <v>1740</v>
      </c>
      <c r="G20" s="10">
        <v>3840</v>
      </c>
      <c r="H20" s="11">
        <f t="array" ref="H20">IF(OR(N20&gt;0,AC20&gt;0),MAX(N20,AC20),MAX(AK20,V20))</f>
        <v>46249</v>
      </c>
      <c r="I20" s="143">
        <f t="array" ref="I20">IF(SUM(O20,AD20)&gt;0,SUM(O20,AD20),SUM(AL20,W20))</f>
        <v>122</v>
      </c>
      <c r="J20" s="9">
        <f t="shared" si="0"/>
        <v>3.177083333333333</v>
      </c>
      <c r="K20" s="143">
        <f t="shared" si="10"/>
        <v>2</v>
      </c>
      <c r="L20" s="9">
        <f t="shared" si="1"/>
        <v>1.639344262295082</v>
      </c>
      <c r="M20" s="8" t="str">
        <f t="array" ref="M20">IF(L20&gt;5,"Perlu Sensus",IF(AND(L20&gt;=0,I20&gt;0),"Tetap Deteksi","Belum Deteksi"))</f>
        <v>Tetap Deteksi</v>
      </c>
      <c r="N20" s="132">
        <v>46249</v>
      </c>
      <c r="O20" s="143">
        <f t="array" ref="O20">INDEX([28]Sheet1!$H$24:$H$231,MATCH(1,([28]Sheet1!$E$24:$E$231=$D20)*([28]Sheet1!$E$24:$E$231=$D20),0))</f>
        <v>122</v>
      </c>
      <c r="P20" s="9">
        <f t="array" ref="P20">IFERROR(O20/$G20*100,0)</f>
        <v>3.177083333333333</v>
      </c>
      <c r="Q20" s="143">
        <f t="array" ref="Q20">INDEX([28]Sheet1!$J$24:$J$231,MATCH(1,([28]Sheet1!$E$24:$E$231=$D20)*([28]Sheet1!$E$24:$E$231=$D20),0))</f>
        <v>2</v>
      </c>
      <c r="R20" s="9">
        <f t="shared" si="2"/>
        <v>1.639344262295082</v>
      </c>
      <c r="S20" s="8" t="str">
        <f t="array" ref="S20">IF(R20&gt;5,"Perlu Sensus",IF(AND(R20&gt;=0,O20&gt;0),"Tetap Deteksi","Belum Deteksi"))</f>
        <v>Tetap Deteksi</v>
      </c>
      <c r="T20" s="143"/>
      <c r="U20" s="9">
        <f t="shared" si="3"/>
        <v>0</v>
      </c>
      <c r="V20" s="11"/>
      <c r="W20" s="143"/>
      <c r="X20" s="143"/>
      <c r="Y20" s="9">
        <f t="shared" si="4"/>
        <v>0</v>
      </c>
      <c r="Z20" s="8" t="str">
        <f t="array" ref="Z20">IF(Y20&gt;5,"Perlu Sensus",IF(AND(Y20&gt;=0,W20&gt;0),"Tetap Deteksi","Belum Deteksi"))</f>
        <v>Belum Deteksi</v>
      </c>
      <c r="AA20" s="143"/>
      <c r="AB20" s="9">
        <f t="shared" si="5"/>
        <v>0</v>
      </c>
      <c r="AC20" s="11"/>
      <c r="AD20" s="143"/>
      <c r="AE20" s="9">
        <f t="array" ref="AE20">IFERROR(AD20/$G20*100,0)</f>
        <v>0</v>
      </c>
      <c r="AF20" s="143"/>
      <c r="AG20" s="9">
        <f t="shared" si="6"/>
        <v>0</v>
      </c>
      <c r="AH20" s="8" t="str">
        <f t="array" ref="AH20">IF(AG20&gt;5,"Perlu Sensus",IF(AND(AG20&gt;=0,AD20&gt;0),"Tetap Deteksi","Belum Deteksi"))</f>
        <v>Belum Deteksi</v>
      </c>
      <c r="AI20" s="143"/>
      <c r="AJ20" s="9">
        <f t="shared" si="7"/>
        <v>0</v>
      </c>
      <c r="AK20" s="11"/>
      <c r="AL20" s="143"/>
      <c r="AM20" s="143"/>
      <c r="AN20" s="9">
        <f t="shared" si="8"/>
        <v>0</v>
      </c>
      <c r="AO20" s="8" t="str">
        <f t="array" ref="AO20">IF(AN20&gt;5,"Perlu Sensus",IF(AND(AN20&gt;=0,AL20&gt;0),"Tetap Deteksi","Belum Deteksi"))</f>
        <v>Belum Deteksi</v>
      </c>
      <c r="AP20" s="143"/>
      <c r="AQ20" s="9">
        <f t="shared" si="9"/>
        <v>0</v>
      </c>
    </row>
    <row r="21" spans="1:43" outlineLevel="1" x14ac:dyDescent="0.15">
      <c r="A21" s="8" t="s">
        <v>1273</v>
      </c>
      <c r="B21" s="8" t="s">
        <v>14</v>
      </c>
      <c r="C21" s="8" t="s">
        <v>14</v>
      </c>
      <c r="D21" s="186" t="s">
        <v>1289</v>
      </c>
      <c r="E21" s="9">
        <v>29.32</v>
      </c>
      <c r="F21" s="8" t="s">
        <v>1740</v>
      </c>
      <c r="G21" s="10">
        <v>4397</v>
      </c>
      <c r="H21" s="11">
        <f t="array" ref="H21">IF(OR(N21&gt;0,AC21&gt;0),MAX(N21,AC21),MAX(AK21,V21))</f>
        <v>46249</v>
      </c>
      <c r="I21" s="143">
        <f t="array" ref="I21">IF(SUM(O21,AD21)&gt;0,SUM(O21,AD21),SUM(AL21,W21))</f>
        <v>146</v>
      </c>
      <c r="J21" s="9">
        <f t="shared" si="0"/>
        <v>3.3204457584716849</v>
      </c>
      <c r="K21" s="143">
        <f t="shared" si="10"/>
        <v>2</v>
      </c>
      <c r="L21" s="9">
        <f t="shared" si="1"/>
        <v>1.3698630136986301</v>
      </c>
      <c r="M21" s="8" t="str">
        <f t="array" ref="M21">IF(L21&gt;5,"Perlu Sensus",IF(AND(L21&gt;=0,I21&gt;0),"Tetap Deteksi","Belum Deteksi"))</f>
        <v>Tetap Deteksi</v>
      </c>
      <c r="N21" s="132">
        <v>46249</v>
      </c>
      <c r="O21" s="143">
        <f t="array" ref="O21">INDEX([28]Sheet1!$H$24:$H$231,MATCH(1,([28]Sheet1!$E$24:$E$231=$D21)*([28]Sheet1!$E$24:$E$231=$D21),0))</f>
        <v>146</v>
      </c>
      <c r="P21" s="9">
        <f t="array" ref="P21">IFERROR(O21/$G21*100,0)</f>
        <v>3.3204457584716849</v>
      </c>
      <c r="Q21" s="143">
        <f t="array" ref="Q21">INDEX([28]Sheet1!$J$24:$J$231,MATCH(1,([28]Sheet1!$E$24:$E$231=$D21)*([28]Sheet1!$E$24:$E$231=$D21),0))</f>
        <v>2</v>
      </c>
      <c r="R21" s="9">
        <f t="shared" si="2"/>
        <v>1.3698630136986301</v>
      </c>
      <c r="S21" s="8" t="str">
        <f t="array" ref="S21">IF(R21&gt;5,"Perlu Sensus",IF(AND(R21&gt;=0,O21&gt;0),"Tetap Deteksi","Belum Deteksi"))</f>
        <v>Tetap Deteksi</v>
      </c>
      <c r="T21" s="143"/>
      <c r="U21" s="9">
        <f t="shared" si="3"/>
        <v>0</v>
      </c>
      <c r="V21" s="11"/>
      <c r="W21" s="143"/>
      <c r="X21" s="143"/>
      <c r="Y21" s="9">
        <f t="shared" si="4"/>
        <v>0</v>
      </c>
      <c r="Z21" s="8" t="str">
        <f t="array" ref="Z21">IF(Y21&gt;5,"Perlu Sensus",IF(AND(Y21&gt;=0,W21&gt;0),"Tetap Deteksi","Belum Deteksi"))</f>
        <v>Belum Deteksi</v>
      </c>
      <c r="AA21" s="143"/>
      <c r="AB21" s="9">
        <f t="shared" si="5"/>
        <v>0</v>
      </c>
      <c r="AC21" s="11"/>
      <c r="AD21" s="143"/>
      <c r="AE21" s="9">
        <f t="array" ref="AE21">IFERROR(AD21/$G21*100,0)</f>
        <v>0</v>
      </c>
      <c r="AF21" s="143"/>
      <c r="AG21" s="9">
        <f t="shared" si="6"/>
        <v>0</v>
      </c>
      <c r="AH21" s="8" t="str">
        <f t="array" ref="AH21">IF(AG21&gt;5,"Perlu Sensus",IF(AND(AG21&gt;=0,AD21&gt;0),"Tetap Deteksi","Belum Deteksi"))</f>
        <v>Belum Deteksi</v>
      </c>
      <c r="AI21" s="143"/>
      <c r="AJ21" s="9">
        <f t="shared" si="7"/>
        <v>0</v>
      </c>
      <c r="AK21" s="11"/>
      <c r="AL21" s="143"/>
      <c r="AM21" s="143"/>
      <c r="AN21" s="9">
        <f t="shared" si="8"/>
        <v>0</v>
      </c>
      <c r="AO21" s="8" t="str">
        <f t="array" ref="AO21">IF(AN21&gt;5,"Perlu Sensus",IF(AND(AN21&gt;=0,AL21&gt;0),"Tetap Deteksi","Belum Deteksi"))</f>
        <v>Belum Deteksi</v>
      </c>
      <c r="AP21" s="143"/>
      <c r="AQ21" s="9">
        <f t="shared" si="9"/>
        <v>0</v>
      </c>
    </row>
    <row r="22" spans="1:43" outlineLevel="1" x14ac:dyDescent="0.15">
      <c r="A22" s="8" t="s">
        <v>1273</v>
      </c>
      <c r="B22" s="8" t="s">
        <v>14</v>
      </c>
      <c r="C22" s="8" t="s">
        <v>14</v>
      </c>
      <c r="D22" s="186" t="s">
        <v>1290</v>
      </c>
      <c r="E22" s="9">
        <v>29.44</v>
      </c>
      <c r="F22" s="8" t="s">
        <v>1740</v>
      </c>
      <c r="G22" s="10">
        <v>3828</v>
      </c>
      <c r="H22" s="11">
        <f t="array" ref="H22">IF(OR(N22&gt;0,AC22&gt;0),MAX(N22,AC22),MAX(AK22,V22))</f>
        <v>46249</v>
      </c>
      <c r="I22" s="143">
        <f t="array" ref="I22">IF(SUM(O22,AD22)&gt;0,SUM(O22,AD22),SUM(AL22,W22))</f>
        <v>122</v>
      </c>
      <c r="J22" s="9">
        <f t="shared" si="0"/>
        <v>3.1870428422152561</v>
      </c>
      <c r="K22" s="143">
        <f t="shared" si="10"/>
        <v>2</v>
      </c>
      <c r="L22" s="9">
        <f t="shared" si="1"/>
        <v>1.639344262295082</v>
      </c>
      <c r="M22" s="8" t="str">
        <f t="array" ref="M22">IF(L22&gt;5,"Perlu Sensus",IF(AND(L22&gt;=0,I22&gt;0),"Tetap Deteksi","Belum Deteksi"))</f>
        <v>Tetap Deteksi</v>
      </c>
      <c r="N22" s="132">
        <v>46249</v>
      </c>
      <c r="O22" s="143">
        <f t="array" ref="O22">INDEX([28]Sheet1!$H$24:$H$231,MATCH(1,([28]Sheet1!$E$24:$E$231=$D22)*([28]Sheet1!$E$24:$E$231=$D22),0))</f>
        <v>122</v>
      </c>
      <c r="P22" s="9">
        <f t="array" ref="P22">IFERROR(O22/$G22*100,0)</f>
        <v>3.1870428422152561</v>
      </c>
      <c r="Q22" s="143">
        <f t="array" ref="Q22">INDEX([28]Sheet1!$J$24:$J$231,MATCH(1,([28]Sheet1!$E$24:$E$231=$D22)*([28]Sheet1!$E$24:$E$231=$D22),0))</f>
        <v>2</v>
      </c>
      <c r="R22" s="9">
        <f t="shared" si="2"/>
        <v>1.639344262295082</v>
      </c>
      <c r="S22" s="8" t="str">
        <f t="array" ref="S22">IF(R22&gt;5,"Perlu Sensus",IF(AND(R22&gt;=0,O22&gt;0),"Tetap Deteksi","Belum Deteksi"))</f>
        <v>Tetap Deteksi</v>
      </c>
      <c r="T22" s="143"/>
      <c r="U22" s="9">
        <f t="shared" si="3"/>
        <v>0</v>
      </c>
      <c r="V22" s="11"/>
      <c r="W22" s="143"/>
      <c r="X22" s="143"/>
      <c r="Y22" s="9">
        <f t="shared" si="4"/>
        <v>0</v>
      </c>
      <c r="Z22" s="8" t="str">
        <f t="array" ref="Z22">IF(Y22&gt;5,"Perlu Sensus",IF(AND(Y22&gt;=0,W22&gt;0),"Tetap Deteksi","Belum Deteksi"))</f>
        <v>Belum Deteksi</v>
      </c>
      <c r="AA22" s="143"/>
      <c r="AB22" s="9">
        <f t="shared" si="5"/>
        <v>0</v>
      </c>
      <c r="AC22" s="11"/>
      <c r="AD22" s="143"/>
      <c r="AE22" s="9">
        <f t="array" ref="AE22">IFERROR(AD22/$G22*100,0)</f>
        <v>0</v>
      </c>
      <c r="AF22" s="143"/>
      <c r="AG22" s="9">
        <f t="shared" si="6"/>
        <v>0</v>
      </c>
      <c r="AH22" s="8" t="str">
        <f t="array" ref="AH22">IF(AG22&gt;5,"Perlu Sensus",IF(AND(AG22&gt;=0,AD22&gt;0),"Tetap Deteksi","Belum Deteksi"))</f>
        <v>Belum Deteksi</v>
      </c>
      <c r="AI22" s="143"/>
      <c r="AJ22" s="9">
        <f t="shared" si="7"/>
        <v>0</v>
      </c>
      <c r="AK22" s="11"/>
      <c r="AL22" s="143"/>
      <c r="AM22" s="143"/>
      <c r="AN22" s="9">
        <f t="shared" si="8"/>
        <v>0</v>
      </c>
      <c r="AO22" s="8" t="str">
        <f t="array" ref="AO22">IF(AN22&gt;5,"Perlu Sensus",IF(AND(AN22&gt;=0,AL22&gt;0),"Tetap Deteksi","Belum Deteksi"))</f>
        <v>Belum Deteksi</v>
      </c>
      <c r="AP22" s="143"/>
      <c r="AQ22" s="9">
        <f t="shared" si="9"/>
        <v>0</v>
      </c>
    </row>
    <row r="23" spans="1:43" outlineLevel="1" x14ac:dyDescent="0.15">
      <c r="A23" s="8" t="s">
        <v>1273</v>
      </c>
      <c r="B23" s="8" t="s">
        <v>14</v>
      </c>
      <c r="C23" s="8" t="s">
        <v>14</v>
      </c>
      <c r="D23" s="186" t="s">
        <v>1291</v>
      </c>
      <c r="E23" s="9">
        <v>30.67</v>
      </c>
      <c r="F23" s="8" t="s">
        <v>1740</v>
      </c>
      <c r="G23" s="10">
        <v>4563</v>
      </c>
      <c r="H23" s="11">
        <f t="array" ref="H23">IF(OR(N23&gt;0,AC23&gt;0),MAX(N23,AC23),MAX(AK23,V23))</f>
        <v>46249</v>
      </c>
      <c r="I23" s="143">
        <f t="array" ref="I23">IF(SUM(O23,AD23)&gt;0,SUM(O23,AD23),SUM(AL23,W23))</f>
        <v>165</v>
      </c>
      <c r="J23" s="9">
        <f t="shared" si="0"/>
        <v>3.6160420775805391</v>
      </c>
      <c r="K23" s="143">
        <f t="shared" si="10"/>
        <v>2</v>
      </c>
      <c r="L23" s="9">
        <f t="shared" si="1"/>
        <v>1.2121212121212122</v>
      </c>
      <c r="M23" s="8" t="str">
        <f t="array" ref="M23">IF(L23&gt;5,"Perlu Sensus",IF(AND(L23&gt;=0,I23&gt;0),"Tetap Deteksi","Belum Deteksi"))</f>
        <v>Tetap Deteksi</v>
      </c>
      <c r="N23" s="132">
        <v>46249</v>
      </c>
      <c r="O23" s="143">
        <f t="array" ref="O23">INDEX([28]Sheet1!$H$24:$H$231,MATCH(1,([28]Sheet1!$E$24:$E$231=$D23)*([28]Sheet1!$E$24:$E$231=$D23),0))</f>
        <v>165</v>
      </c>
      <c r="P23" s="9">
        <f t="array" ref="P23">IFERROR(O23/$G23*100,0)</f>
        <v>3.6160420775805391</v>
      </c>
      <c r="Q23" s="143">
        <f t="array" ref="Q23">INDEX([28]Sheet1!$J$24:$J$231,MATCH(1,([28]Sheet1!$E$24:$E$231=$D23)*([28]Sheet1!$E$24:$E$231=$D23),0))</f>
        <v>2</v>
      </c>
      <c r="R23" s="9">
        <f t="shared" si="2"/>
        <v>1.2121212121212122</v>
      </c>
      <c r="S23" s="8" t="str">
        <f t="array" ref="S23">IF(R23&gt;5,"Perlu Sensus",IF(AND(R23&gt;=0,O23&gt;0),"Tetap Deteksi","Belum Deteksi"))</f>
        <v>Tetap Deteksi</v>
      </c>
      <c r="T23" s="143"/>
      <c r="U23" s="9">
        <f t="shared" si="3"/>
        <v>0</v>
      </c>
      <c r="V23" s="11"/>
      <c r="W23" s="143"/>
      <c r="X23" s="143"/>
      <c r="Y23" s="9">
        <f t="shared" si="4"/>
        <v>0</v>
      </c>
      <c r="Z23" s="8" t="str">
        <f t="array" ref="Z23">IF(Y23&gt;5,"Perlu Sensus",IF(AND(Y23&gt;=0,W23&gt;0),"Tetap Deteksi","Belum Deteksi"))</f>
        <v>Belum Deteksi</v>
      </c>
      <c r="AA23" s="143"/>
      <c r="AB23" s="9">
        <f t="shared" si="5"/>
        <v>0</v>
      </c>
      <c r="AC23" s="11"/>
      <c r="AD23" s="143"/>
      <c r="AE23" s="9">
        <f t="array" ref="AE23">IFERROR(AD23/$G23*100,0)</f>
        <v>0</v>
      </c>
      <c r="AF23" s="143"/>
      <c r="AG23" s="9">
        <f t="shared" si="6"/>
        <v>0</v>
      </c>
      <c r="AH23" s="8" t="str">
        <f t="array" ref="AH23">IF(AG23&gt;5,"Perlu Sensus",IF(AND(AG23&gt;=0,AD23&gt;0),"Tetap Deteksi","Belum Deteksi"))</f>
        <v>Belum Deteksi</v>
      </c>
      <c r="AI23" s="143"/>
      <c r="AJ23" s="9">
        <f t="shared" si="7"/>
        <v>0</v>
      </c>
      <c r="AK23" s="11"/>
      <c r="AL23" s="143"/>
      <c r="AM23" s="143"/>
      <c r="AN23" s="9">
        <f t="shared" si="8"/>
        <v>0</v>
      </c>
      <c r="AO23" s="8" t="str">
        <f t="array" ref="AO23">IF(AN23&gt;5,"Perlu Sensus",IF(AND(AN23&gt;=0,AL23&gt;0),"Tetap Deteksi","Belum Deteksi"))</f>
        <v>Belum Deteksi</v>
      </c>
      <c r="AP23" s="143"/>
      <c r="AQ23" s="9">
        <f t="shared" si="9"/>
        <v>0</v>
      </c>
    </row>
    <row r="24" spans="1:43" outlineLevel="1" x14ac:dyDescent="0.15">
      <c r="A24" s="8" t="s">
        <v>1273</v>
      </c>
      <c r="B24" s="8" t="s">
        <v>14</v>
      </c>
      <c r="C24" s="8" t="s">
        <v>14</v>
      </c>
      <c r="D24" s="186" t="s">
        <v>1292</v>
      </c>
      <c r="E24" s="9">
        <v>28.65</v>
      </c>
      <c r="F24" s="8" t="s">
        <v>1740</v>
      </c>
      <c r="G24" s="10">
        <v>3888</v>
      </c>
      <c r="H24" s="11">
        <f t="array" ref="H24">IF(OR(N24&gt;0,AC24&gt;0),MAX(N24,AC24),MAX(AK24,V24))</f>
        <v>46249</v>
      </c>
      <c r="I24" s="143">
        <f t="array" ref="I24">IF(SUM(O24,AD24)&gt;0,SUM(O24,AD24),SUM(AL24,W24))</f>
        <v>178</v>
      </c>
      <c r="J24" s="9">
        <f t="shared" si="0"/>
        <v>4.5781893004115224</v>
      </c>
      <c r="K24" s="143">
        <f t="shared" si="10"/>
        <v>2</v>
      </c>
      <c r="L24" s="9">
        <f t="shared" si="1"/>
        <v>1.1235955056179776</v>
      </c>
      <c r="M24" s="8" t="str">
        <f t="array" ref="M24">IF(L24&gt;5,"Perlu Sensus",IF(AND(L24&gt;=0,I24&gt;0),"Tetap Deteksi","Belum Deteksi"))</f>
        <v>Tetap Deteksi</v>
      </c>
      <c r="N24" s="132">
        <v>46249</v>
      </c>
      <c r="O24" s="143">
        <f t="array" ref="O24">INDEX([28]Sheet1!$H$24:$H$231,MATCH(1,([28]Sheet1!$E$24:$E$231=$D24)*([28]Sheet1!$E$24:$E$231=$D24),0))</f>
        <v>178</v>
      </c>
      <c r="P24" s="9">
        <f t="array" ref="P24">IFERROR(O24/$G24*100,0)</f>
        <v>4.5781893004115224</v>
      </c>
      <c r="Q24" s="143">
        <f t="array" ref="Q24">INDEX([28]Sheet1!$J$24:$J$231,MATCH(1,([28]Sheet1!$E$24:$E$231=$D24)*([28]Sheet1!$E$24:$E$231=$D24),0))</f>
        <v>2</v>
      </c>
      <c r="R24" s="9">
        <f t="shared" si="2"/>
        <v>1.1235955056179776</v>
      </c>
      <c r="S24" s="8" t="str">
        <f t="array" ref="S24">IF(R24&gt;5,"Perlu Sensus",IF(AND(R24&gt;=0,O24&gt;0),"Tetap Deteksi","Belum Deteksi"))</f>
        <v>Tetap Deteksi</v>
      </c>
      <c r="T24" s="143"/>
      <c r="U24" s="9">
        <f t="shared" si="3"/>
        <v>0</v>
      </c>
      <c r="V24" s="11"/>
      <c r="W24" s="143"/>
      <c r="X24" s="143"/>
      <c r="Y24" s="9">
        <f t="shared" si="4"/>
        <v>0</v>
      </c>
      <c r="Z24" s="8" t="str">
        <f t="array" ref="Z24">IF(Y24&gt;5,"Perlu Sensus",IF(AND(Y24&gt;=0,W24&gt;0),"Tetap Deteksi","Belum Deteksi"))</f>
        <v>Belum Deteksi</v>
      </c>
      <c r="AA24" s="143"/>
      <c r="AB24" s="9">
        <f t="shared" si="5"/>
        <v>0</v>
      </c>
      <c r="AC24" s="11"/>
      <c r="AD24" s="143"/>
      <c r="AE24" s="9">
        <f t="array" ref="AE24">IFERROR(AD24/$G24*100,0)</f>
        <v>0</v>
      </c>
      <c r="AF24" s="143"/>
      <c r="AG24" s="9">
        <f t="shared" si="6"/>
        <v>0</v>
      </c>
      <c r="AH24" s="8" t="str">
        <f t="array" ref="AH24">IF(AG24&gt;5,"Perlu Sensus",IF(AND(AG24&gt;=0,AD24&gt;0),"Tetap Deteksi","Belum Deteksi"))</f>
        <v>Belum Deteksi</v>
      </c>
      <c r="AI24" s="143"/>
      <c r="AJ24" s="9">
        <f t="shared" si="7"/>
        <v>0</v>
      </c>
      <c r="AK24" s="11"/>
      <c r="AL24" s="143"/>
      <c r="AM24" s="143"/>
      <c r="AN24" s="9">
        <f t="shared" si="8"/>
        <v>0</v>
      </c>
      <c r="AO24" s="8" t="str">
        <f t="array" ref="AO24">IF(AN24&gt;5,"Perlu Sensus",IF(AND(AN24&gt;=0,AL24&gt;0),"Tetap Deteksi","Belum Deteksi"))</f>
        <v>Belum Deteksi</v>
      </c>
      <c r="AP24" s="143"/>
      <c r="AQ24" s="9">
        <f t="shared" si="9"/>
        <v>0</v>
      </c>
    </row>
    <row r="25" spans="1:43" outlineLevel="1" x14ac:dyDescent="0.15">
      <c r="A25" s="8" t="s">
        <v>1273</v>
      </c>
      <c r="B25" s="8" t="s">
        <v>14</v>
      </c>
      <c r="C25" s="8" t="s">
        <v>14</v>
      </c>
      <c r="D25" s="181" t="s">
        <v>1293</v>
      </c>
      <c r="E25" s="9">
        <v>30.57</v>
      </c>
      <c r="F25" s="8" t="s">
        <v>1740</v>
      </c>
      <c r="G25" s="10">
        <v>3442</v>
      </c>
      <c r="H25" s="11">
        <f t="array" ref="H25">IF(OR(N25&gt;0,AC25&gt;0),MAX(N25,AC25),MAX(AK25,V25))</f>
        <v>46249</v>
      </c>
      <c r="I25" s="143">
        <f t="array" ref="I25">IF(SUM(O25,AD25)&gt;0,SUM(O25,AD25),SUM(AL25,W25))</f>
        <v>124</v>
      </c>
      <c r="J25" s="9">
        <f t="shared" si="0"/>
        <v>3.6025566531086581</v>
      </c>
      <c r="K25" s="143">
        <f t="shared" si="10"/>
        <v>2</v>
      </c>
      <c r="L25" s="9">
        <f t="shared" si="1"/>
        <v>1.6129032258064515</v>
      </c>
      <c r="M25" s="8" t="str">
        <f t="array" ref="M25">IF(L25&gt;5,"Perlu Sensus",IF(AND(L25&gt;=0,I25&gt;0),"Tetap Deteksi","Belum Deteksi"))</f>
        <v>Tetap Deteksi</v>
      </c>
      <c r="N25" s="132">
        <v>46249</v>
      </c>
      <c r="O25" s="143">
        <f t="array" ref="O25">INDEX([28]Sheet1!$H$24:$H$231,MATCH(1,([28]Sheet1!$E$24:$E$231=$D25)*([28]Sheet1!$E$24:$E$231=$D25),0))</f>
        <v>124</v>
      </c>
      <c r="P25" s="9">
        <f t="array" ref="P25">IFERROR(O25/$G25*100,0)</f>
        <v>3.6025566531086581</v>
      </c>
      <c r="Q25" s="143">
        <f t="array" ref="Q25">INDEX([28]Sheet1!$J$24:$J$231,MATCH(1,([28]Sheet1!$E$24:$E$231=$D25)*([28]Sheet1!$E$24:$E$231=$D25),0))</f>
        <v>2</v>
      </c>
      <c r="R25" s="9">
        <f t="shared" si="2"/>
        <v>1.6129032258064515</v>
      </c>
      <c r="S25" s="8" t="str">
        <f t="array" ref="S25">IF(R25&gt;5,"Perlu Sensus",IF(AND(R25&gt;=0,O25&gt;0),"Tetap Deteksi","Belum Deteksi"))</f>
        <v>Tetap Deteksi</v>
      </c>
      <c r="T25" s="143"/>
      <c r="U25" s="9">
        <f t="shared" si="3"/>
        <v>0</v>
      </c>
      <c r="V25" s="11"/>
      <c r="W25" s="143"/>
      <c r="X25" s="143"/>
      <c r="Y25" s="9">
        <f t="shared" si="4"/>
        <v>0</v>
      </c>
      <c r="Z25" s="8" t="str">
        <f t="array" ref="Z25">IF(Y25&gt;5,"Perlu Sensus",IF(AND(Y25&gt;=0,W25&gt;0),"Tetap Deteksi","Belum Deteksi"))</f>
        <v>Belum Deteksi</v>
      </c>
      <c r="AA25" s="143"/>
      <c r="AB25" s="9">
        <f t="shared" si="5"/>
        <v>0</v>
      </c>
      <c r="AC25" s="11"/>
      <c r="AD25" s="143"/>
      <c r="AE25" s="9">
        <f t="array" ref="AE25">IFERROR(AD25/$G25*100,0)</f>
        <v>0</v>
      </c>
      <c r="AF25" s="143"/>
      <c r="AG25" s="9">
        <f t="shared" si="6"/>
        <v>0</v>
      </c>
      <c r="AH25" s="8" t="str">
        <f t="array" ref="AH25">IF(AG25&gt;5,"Perlu Sensus",IF(AND(AG25&gt;=0,AD25&gt;0),"Tetap Deteksi","Belum Deteksi"))</f>
        <v>Belum Deteksi</v>
      </c>
      <c r="AI25" s="143"/>
      <c r="AJ25" s="9">
        <f t="shared" si="7"/>
        <v>0</v>
      </c>
      <c r="AK25" s="11"/>
      <c r="AL25" s="143"/>
      <c r="AM25" s="143"/>
      <c r="AN25" s="9">
        <f t="shared" si="8"/>
        <v>0</v>
      </c>
      <c r="AO25" s="8" t="str">
        <f t="array" ref="AO25">IF(AN25&gt;5,"Perlu Sensus",IF(AND(AN25&gt;=0,AL25&gt;0),"Tetap Deteksi","Belum Deteksi"))</f>
        <v>Belum Deteksi</v>
      </c>
      <c r="AP25" s="143"/>
      <c r="AQ25" s="9">
        <f t="shared" si="9"/>
        <v>0</v>
      </c>
    </row>
    <row r="26" spans="1:43" outlineLevel="1" x14ac:dyDescent="0.15">
      <c r="A26" s="8" t="s">
        <v>1273</v>
      </c>
      <c r="B26" s="8" t="s">
        <v>14</v>
      </c>
      <c r="C26" s="8" t="s">
        <v>14</v>
      </c>
      <c r="D26" s="181" t="s">
        <v>1294</v>
      </c>
      <c r="E26" s="9">
        <v>29.58</v>
      </c>
      <c r="F26" s="8" t="s">
        <v>1740</v>
      </c>
      <c r="G26" s="10">
        <v>3900</v>
      </c>
      <c r="H26" s="11">
        <f t="array" ref="H26">IF(OR(N26&gt;0,AC26&gt;0),MAX(N26,AC26),MAX(AK26,V26))</f>
        <v>46249</v>
      </c>
      <c r="I26" s="143">
        <f t="array" ref="I26">IF(SUM(O26,AD26)&gt;0,SUM(O26,AD26),SUM(AL26,W26))</f>
        <v>91</v>
      </c>
      <c r="J26" s="9">
        <f t="shared" si="0"/>
        <v>2.3333333333333335</v>
      </c>
      <c r="K26" s="143">
        <f t="shared" si="10"/>
        <v>1</v>
      </c>
      <c r="L26" s="9">
        <f t="shared" si="1"/>
        <v>1.098901098901099</v>
      </c>
      <c r="M26" s="8" t="str">
        <f t="array" ref="M26">IF(L26&gt;5,"Perlu Sensus",IF(AND(L26&gt;=0,I26&gt;0),"Tetap Deteksi","Belum Deteksi"))</f>
        <v>Tetap Deteksi</v>
      </c>
      <c r="N26" s="132">
        <v>46249</v>
      </c>
      <c r="O26" s="143">
        <f t="array" ref="O26">INDEX([28]Sheet1!$H$24:$H$231,MATCH(1,([28]Sheet1!$E$24:$E$231=$D26)*([28]Sheet1!$E$24:$E$231=$D26),0))</f>
        <v>91</v>
      </c>
      <c r="P26" s="9">
        <f t="array" ref="P26">IFERROR(O26/$G26*100,0)</f>
        <v>2.3333333333333335</v>
      </c>
      <c r="Q26" s="143">
        <f t="array" ref="Q26">INDEX([28]Sheet1!$J$24:$J$231,MATCH(1,([28]Sheet1!$E$24:$E$231=$D26)*([28]Sheet1!$E$24:$E$231=$D26),0))</f>
        <v>1</v>
      </c>
      <c r="R26" s="9">
        <f t="shared" si="2"/>
        <v>1.098901098901099</v>
      </c>
      <c r="S26" s="8" t="str">
        <f t="array" ref="S26">IF(R26&gt;5,"Perlu Sensus",IF(AND(R26&gt;=0,O26&gt;0),"Tetap Deteksi","Belum Deteksi"))</f>
        <v>Tetap Deteksi</v>
      </c>
      <c r="T26" s="143"/>
      <c r="U26" s="9">
        <f t="shared" si="3"/>
        <v>0</v>
      </c>
      <c r="V26" s="11"/>
      <c r="W26" s="143"/>
      <c r="X26" s="143"/>
      <c r="Y26" s="9">
        <f t="shared" si="4"/>
        <v>0</v>
      </c>
      <c r="Z26" s="8" t="str">
        <f t="array" ref="Z26">IF(Y26&gt;5,"Perlu Sensus",IF(AND(Y26&gt;=0,W26&gt;0),"Tetap Deteksi","Belum Deteksi"))</f>
        <v>Belum Deteksi</v>
      </c>
      <c r="AA26" s="143"/>
      <c r="AB26" s="9">
        <f t="shared" si="5"/>
        <v>0</v>
      </c>
      <c r="AC26" s="11"/>
      <c r="AD26" s="143"/>
      <c r="AE26" s="9">
        <f t="array" ref="AE26">IFERROR(AD26/$G26*100,0)</f>
        <v>0</v>
      </c>
      <c r="AF26" s="143"/>
      <c r="AG26" s="9">
        <f t="shared" si="6"/>
        <v>0</v>
      </c>
      <c r="AH26" s="8" t="str">
        <f t="array" ref="AH26">IF(AG26&gt;5,"Perlu Sensus",IF(AND(AG26&gt;=0,AD26&gt;0),"Tetap Deteksi","Belum Deteksi"))</f>
        <v>Belum Deteksi</v>
      </c>
      <c r="AI26" s="143"/>
      <c r="AJ26" s="9">
        <f t="shared" si="7"/>
        <v>0</v>
      </c>
      <c r="AK26" s="11"/>
      <c r="AL26" s="143"/>
      <c r="AM26" s="143"/>
      <c r="AN26" s="9">
        <f t="shared" si="8"/>
        <v>0</v>
      </c>
      <c r="AO26" s="8" t="str">
        <f t="array" ref="AO26">IF(AN26&gt;5,"Perlu Sensus",IF(AND(AN26&gt;=0,AL26&gt;0),"Tetap Deteksi","Belum Deteksi"))</f>
        <v>Belum Deteksi</v>
      </c>
      <c r="AP26" s="143"/>
      <c r="AQ26" s="9">
        <f t="shared" si="9"/>
        <v>0</v>
      </c>
    </row>
    <row r="27" spans="1:43" outlineLevel="1" x14ac:dyDescent="0.15">
      <c r="A27" s="8" t="s">
        <v>1273</v>
      </c>
      <c r="B27" s="8" t="s">
        <v>14</v>
      </c>
      <c r="C27" s="8" t="s">
        <v>14</v>
      </c>
      <c r="D27" s="186" t="s">
        <v>1041</v>
      </c>
      <c r="E27" s="9">
        <v>39.21</v>
      </c>
      <c r="F27" s="8" t="s">
        <v>1740</v>
      </c>
      <c r="G27" s="10">
        <v>5117</v>
      </c>
      <c r="H27" s="11">
        <f t="array" ref="H27">IF(OR(N27&gt;0,AC27&gt;0),MAX(N27,AC27),MAX(AK27,V27))</f>
        <v>46249</v>
      </c>
      <c r="I27" s="143">
        <f t="array" ref="I27">IF(SUM(O27,AD27)&gt;0,SUM(O27,AD27),SUM(AL27,W27))</f>
        <v>154</v>
      </c>
      <c r="J27" s="9">
        <f t="shared" si="0"/>
        <v>3.0095759233926129</v>
      </c>
      <c r="K27" s="143">
        <f t="shared" si="10"/>
        <v>3</v>
      </c>
      <c r="L27" s="9">
        <f t="shared" si="1"/>
        <v>1.948051948051948</v>
      </c>
      <c r="M27" s="8" t="str">
        <f t="array" ref="M27">IF(L27&gt;5,"Perlu Sensus",IF(AND(L27&gt;=0,I27&gt;0),"Tetap Deteksi","Belum Deteksi"))</f>
        <v>Tetap Deteksi</v>
      </c>
      <c r="N27" s="132">
        <v>46249</v>
      </c>
      <c r="O27" s="143">
        <f t="array" ref="O27">INDEX([28]Sheet1!$H$24:$H$231,MATCH(1,([28]Sheet1!$E$24:$E$231=$D27)*([28]Sheet1!$E$24:$E$231=$D27),0))</f>
        <v>154</v>
      </c>
      <c r="P27" s="9">
        <f t="array" ref="P27">IFERROR(O27/$G27*100,0)</f>
        <v>3.0095759233926129</v>
      </c>
      <c r="Q27" s="143">
        <f t="array" ref="Q27">INDEX([28]Sheet1!$J$24:$J$231,MATCH(1,([28]Sheet1!$E$24:$E$231=$D27)*([28]Sheet1!$E$24:$E$231=$D27),0))</f>
        <v>3</v>
      </c>
      <c r="R27" s="9">
        <f t="shared" si="2"/>
        <v>1.948051948051948</v>
      </c>
      <c r="S27" s="8" t="str">
        <f t="array" ref="S27">IF(R27&gt;5,"Perlu Sensus",IF(AND(R27&gt;=0,O27&gt;0),"Tetap Deteksi","Belum Deteksi"))</f>
        <v>Tetap Deteksi</v>
      </c>
      <c r="T27" s="143"/>
      <c r="U27" s="9">
        <f t="shared" si="3"/>
        <v>0</v>
      </c>
      <c r="V27" s="11"/>
      <c r="W27" s="143"/>
      <c r="X27" s="143"/>
      <c r="Y27" s="9">
        <f t="shared" si="4"/>
        <v>0</v>
      </c>
      <c r="Z27" s="8" t="str">
        <f t="array" ref="Z27">IF(Y27&gt;5,"Perlu Sensus",IF(AND(Y27&gt;=0,W27&gt;0),"Tetap Deteksi","Belum Deteksi"))</f>
        <v>Belum Deteksi</v>
      </c>
      <c r="AA27" s="143"/>
      <c r="AB27" s="9">
        <f t="shared" si="5"/>
        <v>0</v>
      </c>
      <c r="AC27" s="11"/>
      <c r="AD27" s="143"/>
      <c r="AE27" s="9">
        <f t="array" ref="AE27">IFERROR(AD27/$G27*100,0)</f>
        <v>0</v>
      </c>
      <c r="AF27" s="143"/>
      <c r="AG27" s="9">
        <f t="shared" si="6"/>
        <v>0</v>
      </c>
      <c r="AH27" s="8" t="str">
        <f t="array" ref="AH27">IF(AG27&gt;5,"Perlu Sensus",IF(AND(AG27&gt;=0,AD27&gt;0),"Tetap Deteksi","Belum Deteksi"))</f>
        <v>Belum Deteksi</v>
      </c>
      <c r="AI27" s="143"/>
      <c r="AJ27" s="9">
        <f t="shared" si="7"/>
        <v>0</v>
      </c>
      <c r="AK27" s="11"/>
      <c r="AL27" s="143"/>
      <c r="AM27" s="143"/>
      <c r="AN27" s="9">
        <f t="shared" si="8"/>
        <v>0</v>
      </c>
      <c r="AO27" s="8" t="str">
        <f t="array" ref="AO27">IF(AN27&gt;5,"Perlu Sensus",IF(AND(AN27&gt;=0,AL27&gt;0),"Tetap Deteksi","Belum Deteksi"))</f>
        <v>Belum Deteksi</v>
      </c>
      <c r="AP27" s="143"/>
      <c r="AQ27" s="9">
        <f t="shared" si="9"/>
        <v>0</v>
      </c>
    </row>
    <row r="28" spans="1:43" outlineLevel="1" x14ac:dyDescent="0.15">
      <c r="A28" s="8" t="s">
        <v>1273</v>
      </c>
      <c r="B28" s="8" t="s">
        <v>14</v>
      </c>
      <c r="C28" s="8" t="s">
        <v>14</v>
      </c>
      <c r="D28" s="186" t="s">
        <v>1295</v>
      </c>
      <c r="E28" s="9">
        <v>25.23</v>
      </c>
      <c r="F28" s="8" t="s">
        <v>1740</v>
      </c>
      <c r="G28" s="10">
        <v>3404</v>
      </c>
      <c r="H28" s="11">
        <f t="array" ref="H28">IF(OR(N28&gt;0,AC28&gt;0),MAX(N28,AC28),MAX(AK28,V28))</f>
        <v>46249</v>
      </c>
      <c r="I28" s="143">
        <f t="array" ref="I28">IF(SUM(O28,AD28)&gt;0,SUM(O28,AD28),SUM(AL28,W28))</f>
        <v>148</v>
      </c>
      <c r="J28" s="9">
        <f t="shared" si="0"/>
        <v>4.3478260869565215</v>
      </c>
      <c r="K28" s="143">
        <f t="shared" si="10"/>
        <v>3</v>
      </c>
      <c r="L28" s="9">
        <f t="shared" si="1"/>
        <v>2.0270270270270272</v>
      </c>
      <c r="M28" s="8" t="str">
        <f t="array" ref="M28">IF(L28&gt;5,"Perlu Sensus",IF(AND(L28&gt;=0,I28&gt;0),"Tetap Deteksi","Belum Deteksi"))</f>
        <v>Tetap Deteksi</v>
      </c>
      <c r="N28" s="132">
        <v>46249</v>
      </c>
      <c r="O28" s="143">
        <f t="array" ref="O28">INDEX([28]Sheet1!$H$24:$H$231,MATCH(1,([28]Sheet1!$E$24:$E$231=$D28)*([28]Sheet1!$E$24:$E$231=$D28),0))</f>
        <v>148</v>
      </c>
      <c r="P28" s="9">
        <f t="array" ref="P28">IFERROR(O28/$G28*100,0)</f>
        <v>4.3478260869565215</v>
      </c>
      <c r="Q28" s="143">
        <f t="array" ref="Q28">INDEX([28]Sheet1!$J$24:$J$231,MATCH(1,([28]Sheet1!$E$24:$E$231=$D28)*([28]Sheet1!$E$24:$E$231=$D28),0))</f>
        <v>3</v>
      </c>
      <c r="R28" s="9">
        <f t="shared" si="2"/>
        <v>2.0270270270270272</v>
      </c>
      <c r="S28" s="8" t="str">
        <f t="array" ref="S28">IF(R28&gt;5,"Perlu Sensus",IF(AND(R28&gt;=0,O28&gt;0),"Tetap Deteksi","Belum Deteksi"))</f>
        <v>Tetap Deteksi</v>
      </c>
      <c r="T28" s="143"/>
      <c r="U28" s="9">
        <f t="shared" si="3"/>
        <v>0</v>
      </c>
      <c r="V28" s="11"/>
      <c r="W28" s="143"/>
      <c r="X28" s="143"/>
      <c r="Y28" s="9">
        <f t="shared" si="4"/>
        <v>0</v>
      </c>
      <c r="Z28" s="8" t="str">
        <f t="array" ref="Z28">IF(Y28&gt;5,"Perlu Sensus",IF(AND(Y28&gt;=0,W28&gt;0),"Tetap Deteksi","Belum Deteksi"))</f>
        <v>Belum Deteksi</v>
      </c>
      <c r="AA28" s="143"/>
      <c r="AB28" s="9">
        <f t="shared" si="5"/>
        <v>0</v>
      </c>
      <c r="AC28" s="11"/>
      <c r="AD28" s="143"/>
      <c r="AE28" s="9">
        <f t="array" ref="AE28">IFERROR(AD28/$G28*100,0)</f>
        <v>0</v>
      </c>
      <c r="AF28" s="143"/>
      <c r="AG28" s="9">
        <f t="shared" si="6"/>
        <v>0</v>
      </c>
      <c r="AH28" s="8" t="str">
        <f t="array" ref="AH28">IF(AG28&gt;5,"Perlu Sensus",IF(AND(AG28&gt;=0,AD28&gt;0),"Tetap Deteksi","Belum Deteksi"))</f>
        <v>Belum Deteksi</v>
      </c>
      <c r="AI28" s="143"/>
      <c r="AJ28" s="9">
        <f t="shared" si="7"/>
        <v>0</v>
      </c>
      <c r="AK28" s="11"/>
      <c r="AL28" s="143"/>
      <c r="AM28" s="143"/>
      <c r="AN28" s="9">
        <f t="shared" si="8"/>
        <v>0</v>
      </c>
      <c r="AO28" s="8" t="str">
        <f t="array" ref="AO28">IF(AN28&gt;5,"Perlu Sensus",IF(AND(AN28&gt;=0,AL28&gt;0),"Tetap Deteksi","Belum Deteksi"))</f>
        <v>Belum Deteksi</v>
      </c>
      <c r="AP28" s="143"/>
      <c r="AQ28" s="9">
        <f t="shared" si="9"/>
        <v>0</v>
      </c>
    </row>
    <row r="29" spans="1:43" outlineLevel="1" x14ac:dyDescent="0.15">
      <c r="A29" s="8" t="s">
        <v>1273</v>
      </c>
      <c r="B29" s="8" t="s">
        <v>14</v>
      </c>
      <c r="C29" s="8" t="s">
        <v>14</v>
      </c>
      <c r="D29" s="186" t="s">
        <v>1296</v>
      </c>
      <c r="E29" s="9">
        <v>27.4</v>
      </c>
      <c r="F29" s="8" t="s">
        <v>1740</v>
      </c>
      <c r="G29" s="10">
        <v>3628</v>
      </c>
      <c r="H29" s="11">
        <f t="array" ref="H29">IF(OR(N29&gt;0,AC29&gt;0),MAX(N29,AC29),MAX(AK29,V29))</f>
        <v>46249</v>
      </c>
      <c r="I29" s="143">
        <f t="array" ref="I29">IF(SUM(O29,AD29)&gt;0,SUM(O29,AD29),SUM(AL29,W29))</f>
        <v>146</v>
      </c>
      <c r="J29" s="9">
        <f t="shared" si="0"/>
        <v>4.0242557883131198</v>
      </c>
      <c r="K29" s="143">
        <f t="shared" si="10"/>
        <v>3</v>
      </c>
      <c r="L29" s="9">
        <f t="shared" si="1"/>
        <v>2.054794520547945</v>
      </c>
      <c r="M29" s="8" t="str">
        <f t="array" ref="M29">IF(L29&gt;5,"Perlu Sensus",IF(AND(L29&gt;=0,I29&gt;0),"Tetap Deteksi","Belum Deteksi"))</f>
        <v>Tetap Deteksi</v>
      </c>
      <c r="N29" s="132">
        <v>46249</v>
      </c>
      <c r="O29" s="143">
        <f t="array" ref="O29">INDEX([28]Sheet1!$H$24:$H$231,MATCH(1,([28]Sheet1!$E$24:$E$231=$D29)*([28]Sheet1!$E$24:$E$231=$D29),0))</f>
        <v>146</v>
      </c>
      <c r="P29" s="9">
        <f t="array" ref="P29">IFERROR(O29/$G29*100,0)</f>
        <v>4.0242557883131198</v>
      </c>
      <c r="Q29" s="143">
        <f t="array" ref="Q29">INDEX([28]Sheet1!$J$24:$J$231,MATCH(1,([28]Sheet1!$E$24:$E$231=$D29)*([28]Sheet1!$E$24:$E$231=$D29),0))</f>
        <v>3</v>
      </c>
      <c r="R29" s="9">
        <f t="shared" si="2"/>
        <v>2.054794520547945</v>
      </c>
      <c r="S29" s="8" t="str">
        <f t="array" ref="S29">IF(R29&gt;5,"Perlu Sensus",IF(AND(R29&gt;=0,O29&gt;0),"Tetap Deteksi","Belum Deteksi"))</f>
        <v>Tetap Deteksi</v>
      </c>
      <c r="T29" s="143"/>
      <c r="U29" s="9">
        <f t="shared" si="3"/>
        <v>0</v>
      </c>
      <c r="V29" s="11"/>
      <c r="W29" s="143"/>
      <c r="X29" s="143"/>
      <c r="Y29" s="9">
        <f t="shared" si="4"/>
        <v>0</v>
      </c>
      <c r="Z29" s="8" t="str">
        <f t="array" ref="Z29">IF(Y29&gt;5,"Perlu Sensus",IF(AND(Y29&gt;=0,W29&gt;0),"Tetap Deteksi","Belum Deteksi"))</f>
        <v>Belum Deteksi</v>
      </c>
      <c r="AA29" s="143"/>
      <c r="AB29" s="9">
        <f t="shared" si="5"/>
        <v>0</v>
      </c>
      <c r="AC29" s="11"/>
      <c r="AD29" s="143"/>
      <c r="AE29" s="9">
        <f t="array" ref="AE29">IFERROR(AD29/$G29*100,0)</f>
        <v>0</v>
      </c>
      <c r="AF29" s="143"/>
      <c r="AG29" s="9">
        <f t="shared" si="6"/>
        <v>0</v>
      </c>
      <c r="AH29" s="8" t="str">
        <f t="array" ref="AH29">IF(AG29&gt;5,"Perlu Sensus",IF(AND(AG29&gt;=0,AD29&gt;0),"Tetap Deteksi","Belum Deteksi"))</f>
        <v>Belum Deteksi</v>
      </c>
      <c r="AI29" s="143"/>
      <c r="AJ29" s="9">
        <f t="shared" si="7"/>
        <v>0</v>
      </c>
      <c r="AK29" s="11"/>
      <c r="AL29" s="143"/>
      <c r="AM29" s="143"/>
      <c r="AN29" s="9">
        <f t="shared" si="8"/>
        <v>0</v>
      </c>
      <c r="AO29" s="8" t="str">
        <f t="array" ref="AO29">IF(AN29&gt;5,"Perlu Sensus",IF(AND(AN29&gt;=0,AL29&gt;0),"Tetap Deteksi","Belum Deteksi"))</f>
        <v>Belum Deteksi</v>
      </c>
      <c r="AP29" s="143"/>
      <c r="AQ29" s="9">
        <f t="shared" si="9"/>
        <v>0</v>
      </c>
    </row>
    <row r="30" spans="1:43" outlineLevel="1" x14ac:dyDescent="0.15">
      <c r="A30" s="8" t="s">
        <v>1273</v>
      </c>
      <c r="B30" s="8" t="s">
        <v>14</v>
      </c>
      <c r="C30" s="8" t="s">
        <v>14</v>
      </c>
      <c r="D30" s="186" t="s">
        <v>1297</v>
      </c>
      <c r="E30" s="9">
        <v>25.05</v>
      </c>
      <c r="F30" s="8" t="s">
        <v>1740</v>
      </c>
      <c r="G30" s="10">
        <v>3467</v>
      </c>
      <c r="H30" s="11">
        <f t="array" ref="H30">IF(OR(N30&gt;0,AC30&gt;0),MAX(N30,AC30),MAX(AK30,V30))</f>
        <v>46249</v>
      </c>
      <c r="I30" s="143">
        <f t="array" ref="I30">IF(SUM(O30,AD30)&gt;0,SUM(O30,AD30),SUM(AL30,W30))</f>
        <v>144</v>
      </c>
      <c r="J30" s="9">
        <f t="shared" si="0"/>
        <v>4.1534467839630809</v>
      </c>
      <c r="K30" s="143">
        <f t="shared" si="10"/>
        <v>2</v>
      </c>
      <c r="L30" s="9">
        <f t="shared" si="1"/>
        <v>1.3888888888888888</v>
      </c>
      <c r="M30" s="8" t="str">
        <f t="array" ref="M30">IF(L30&gt;5,"Perlu Sensus",IF(AND(L30&gt;=0,I30&gt;0),"Tetap Deteksi","Belum Deteksi"))</f>
        <v>Tetap Deteksi</v>
      </c>
      <c r="N30" s="132">
        <v>46249</v>
      </c>
      <c r="O30" s="143">
        <f t="array" ref="O30">INDEX([28]Sheet1!$H$24:$H$231,MATCH(1,([28]Sheet1!$E$24:$E$231=$D30)*([28]Sheet1!$E$24:$E$231=$D30),0))</f>
        <v>144</v>
      </c>
      <c r="P30" s="9">
        <f t="array" ref="P30">IFERROR(O30/$G30*100,0)</f>
        <v>4.1534467839630809</v>
      </c>
      <c r="Q30" s="143">
        <f t="array" ref="Q30">INDEX([28]Sheet1!$J$24:$J$231,MATCH(1,([28]Sheet1!$E$24:$E$231=$D30)*([28]Sheet1!$E$24:$E$231=$D30),0))</f>
        <v>2</v>
      </c>
      <c r="R30" s="9">
        <f t="shared" si="2"/>
        <v>1.3888888888888888</v>
      </c>
      <c r="S30" s="8" t="str">
        <f t="array" ref="S30">IF(R30&gt;5,"Perlu Sensus",IF(AND(R30&gt;=0,O30&gt;0),"Tetap Deteksi","Belum Deteksi"))</f>
        <v>Tetap Deteksi</v>
      </c>
      <c r="T30" s="143"/>
      <c r="U30" s="9">
        <f t="shared" si="3"/>
        <v>0</v>
      </c>
      <c r="V30" s="11"/>
      <c r="W30" s="143"/>
      <c r="X30" s="143"/>
      <c r="Y30" s="9">
        <f t="shared" si="4"/>
        <v>0</v>
      </c>
      <c r="Z30" s="8" t="str">
        <f t="array" ref="Z30">IF(Y30&gt;5,"Perlu Sensus",IF(AND(Y30&gt;=0,W30&gt;0),"Tetap Deteksi","Belum Deteksi"))</f>
        <v>Belum Deteksi</v>
      </c>
      <c r="AA30" s="143"/>
      <c r="AB30" s="9">
        <f t="shared" si="5"/>
        <v>0</v>
      </c>
      <c r="AC30" s="11"/>
      <c r="AD30" s="143"/>
      <c r="AE30" s="9">
        <f t="array" ref="AE30">IFERROR(AD30/$G30*100,0)</f>
        <v>0</v>
      </c>
      <c r="AF30" s="143"/>
      <c r="AG30" s="9">
        <f t="shared" si="6"/>
        <v>0</v>
      </c>
      <c r="AH30" s="8" t="str">
        <f t="array" ref="AH30">IF(AG30&gt;5,"Perlu Sensus",IF(AND(AG30&gt;=0,AD30&gt;0),"Tetap Deteksi","Belum Deteksi"))</f>
        <v>Belum Deteksi</v>
      </c>
      <c r="AI30" s="143"/>
      <c r="AJ30" s="9">
        <f t="shared" si="7"/>
        <v>0</v>
      </c>
      <c r="AK30" s="11"/>
      <c r="AL30" s="143"/>
      <c r="AM30" s="143"/>
      <c r="AN30" s="9">
        <f t="shared" si="8"/>
        <v>0</v>
      </c>
      <c r="AO30" s="8" t="str">
        <f t="array" ref="AO30">IF(AN30&gt;5,"Perlu Sensus",IF(AND(AN30&gt;=0,AL30&gt;0),"Tetap Deteksi","Belum Deteksi"))</f>
        <v>Belum Deteksi</v>
      </c>
      <c r="AP30" s="143"/>
      <c r="AQ30" s="9">
        <f t="shared" si="9"/>
        <v>0</v>
      </c>
    </row>
    <row r="31" spans="1:43" outlineLevel="1" x14ac:dyDescent="0.15">
      <c r="A31" s="8" t="s">
        <v>1273</v>
      </c>
      <c r="B31" s="8" t="s">
        <v>14</v>
      </c>
      <c r="C31" s="8" t="s">
        <v>14</v>
      </c>
      <c r="D31" s="186" t="s">
        <v>1298</v>
      </c>
      <c r="E31" s="9">
        <v>25.07</v>
      </c>
      <c r="F31" s="8" t="s">
        <v>1740</v>
      </c>
      <c r="G31" s="10">
        <v>3379</v>
      </c>
      <c r="H31" s="11">
        <f t="array" ref="H31">IF(OR(N31&gt;0,AC31&gt;0),MAX(N31,AC31),MAX(AK31,V31))</f>
        <v>46249</v>
      </c>
      <c r="I31" s="143">
        <f t="array" ref="I31">IF(SUM(O31,AD31)&gt;0,SUM(O31,AD31),SUM(AL31,W31))</f>
        <v>95</v>
      </c>
      <c r="J31" s="9">
        <f t="shared" si="0"/>
        <v>2.811482687185558</v>
      </c>
      <c r="K31" s="143">
        <f t="shared" si="10"/>
        <v>1</v>
      </c>
      <c r="L31" s="9">
        <f t="shared" si="1"/>
        <v>1.0526315789473684</v>
      </c>
      <c r="M31" s="8" t="str">
        <f t="array" ref="M31">IF(L31&gt;5,"Perlu Sensus",IF(AND(L31&gt;=0,I31&gt;0),"Tetap Deteksi","Belum Deteksi"))</f>
        <v>Tetap Deteksi</v>
      </c>
      <c r="N31" s="132">
        <v>46249</v>
      </c>
      <c r="O31" s="143">
        <f t="array" ref="O31">INDEX([28]Sheet1!$H$24:$H$231,MATCH(1,([28]Sheet1!$E$24:$E$231=$D31)*([28]Sheet1!$E$24:$E$231=$D31),0))</f>
        <v>95</v>
      </c>
      <c r="P31" s="9">
        <f t="array" ref="P31">IFERROR(O31/$G31*100,0)</f>
        <v>2.811482687185558</v>
      </c>
      <c r="Q31" s="143">
        <f t="array" ref="Q31">INDEX([28]Sheet1!$J$24:$J$231,MATCH(1,([28]Sheet1!$E$24:$E$231=$D31)*([28]Sheet1!$E$24:$E$231=$D31),0))</f>
        <v>1</v>
      </c>
      <c r="R31" s="9">
        <f t="shared" si="2"/>
        <v>1.0526315789473684</v>
      </c>
      <c r="S31" s="8" t="str">
        <f t="array" ref="S31">IF(R31&gt;5,"Perlu Sensus",IF(AND(R31&gt;=0,O31&gt;0),"Tetap Deteksi","Belum Deteksi"))</f>
        <v>Tetap Deteksi</v>
      </c>
      <c r="T31" s="143"/>
      <c r="U31" s="9">
        <f t="shared" si="3"/>
        <v>0</v>
      </c>
      <c r="V31" s="11"/>
      <c r="W31" s="143"/>
      <c r="X31" s="143"/>
      <c r="Y31" s="9">
        <f t="shared" si="4"/>
        <v>0</v>
      </c>
      <c r="Z31" s="8" t="str">
        <f t="array" ref="Z31">IF(Y31&gt;5,"Perlu Sensus",IF(AND(Y31&gt;=0,W31&gt;0),"Tetap Deteksi","Belum Deteksi"))</f>
        <v>Belum Deteksi</v>
      </c>
      <c r="AA31" s="143"/>
      <c r="AB31" s="9">
        <f t="shared" si="5"/>
        <v>0</v>
      </c>
      <c r="AC31" s="11"/>
      <c r="AD31" s="143"/>
      <c r="AE31" s="9">
        <f t="array" ref="AE31">IFERROR(AD31/$G31*100,0)</f>
        <v>0</v>
      </c>
      <c r="AF31" s="143"/>
      <c r="AG31" s="9">
        <f t="shared" si="6"/>
        <v>0</v>
      </c>
      <c r="AH31" s="8" t="str">
        <f t="array" ref="AH31">IF(AG31&gt;5,"Perlu Sensus",IF(AND(AG31&gt;=0,AD31&gt;0),"Tetap Deteksi","Belum Deteksi"))</f>
        <v>Belum Deteksi</v>
      </c>
      <c r="AI31" s="143"/>
      <c r="AJ31" s="9">
        <f t="shared" si="7"/>
        <v>0</v>
      </c>
      <c r="AK31" s="11"/>
      <c r="AL31" s="143"/>
      <c r="AM31" s="143"/>
      <c r="AN31" s="9">
        <f t="shared" si="8"/>
        <v>0</v>
      </c>
      <c r="AO31" s="8" t="str">
        <f t="array" ref="AO31">IF(AN31&gt;5,"Perlu Sensus",IF(AND(AN31&gt;=0,AL31&gt;0),"Tetap Deteksi","Belum Deteksi"))</f>
        <v>Belum Deteksi</v>
      </c>
      <c r="AP31" s="143"/>
      <c r="AQ31" s="9">
        <f t="shared" si="9"/>
        <v>0</v>
      </c>
    </row>
    <row r="32" spans="1:43" outlineLevel="1" x14ac:dyDescent="0.15">
      <c r="A32" s="8" t="s">
        <v>1273</v>
      </c>
      <c r="B32" s="8" t="s">
        <v>14</v>
      </c>
      <c r="C32" s="8" t="s">
        <v>14</v>
      </c>
      <c r="D32" s="186" t="s">
        <v>1299</v>
      </c>
      <c r="E32" s="9">
        <v>28.35</v>
      </c>
      <c r="F32" s="8" t="s">
        <v>1740</v>
      </c>
      <c r="G32" s="10">
        <v>3738</v>
      </c>
      <c r="H32" s="11">
        <f t="array" ref="H32">IF(OR(N32&gt;0,AC32&gt;0),MAX(N32,AC32),MAX(AK32,V32))</f>
        <v>46249</v>
      </c>
      <c r="I32" s="143">
        <f t="array" ref="I32">IF(SUM(O32,AD32)&gt;0,SUM(O32,AD32),SUM(AL32,W32))</f>
        <v>142</v>
      </c>
      <c r="J32" s="9">
        <f t="shared" si="0"/>
        <v>3.7988228999464955</v>
      </c>
      <c r="K32" s="143">
        <f t="shared" si="10"/>
        <v>2</v>
      </c>
      <c r="L32" s="9">
        <f t="shared" si="1"/>
        <v>1.4084507042253522</v>
      </c>
      <c r="M32" s="8" t="str">
        <f t="array" ref="M32">IF(L32&gt;5,"Perlu Sensus",IF(AND(L32&gt;=0,I32&gt;0),"Tetap Deteksi","Belum Deteksi"))</f>
        <v>Tetap Deteksi</v>
      </c>
      <c r="N32" s="132">
        <v>46249</v>
      </c>
      <c r="O32" s="143">
        <f t="array" ref="O32">INDEX([28]Sheet1!$H$24:$H$231,MATCH(1,([28]Sheet1!$E$24:$E$231=$D32)*([28]Sheet1!$E$24:$E$231=$D32),0))</f>
        <v>142</v>
      </c>
      <c r="P32" s="9">
        <f t="array" ref="P32">IFERROR(O32/$G32*100,0)</f>
        <v>3.7988228999464955</v>
      </c>
      <c r="Q32" s="143">
        <f t="array" ref="Q32">INDEX([28]Sheet1!$J$24:$J$231,MATCH(1,([28]Sheet1!$E$24:$E$231=$D32)*([28]Sheet1!$E$24:$E$231=$D32),0))</f>
        <v>2</v>
      </c>
      <c r="R32" s="9">
        <f t="shared" si="2"/>
        <v>1.4084507042253522</v>
      </c>
      <c r="S32" s="8" t="str">
        <f t="array" ref="S32">IF(R32&gt;5,"Perlu Sensus",IF(AND(R32&gt;=0,O32&gt;0),"Tetap Deteksi","Belum Deteksi"))</f>
        <v>Tetap Deteksi</v>
      </c>
      <c r="T32" s="143"/>
      <c r="U32" s="9">
        <f t="shared" si="3"/>
        <v>0</v>
      </c>
      <c r="V32" s="11"/>
      <c r="W32" s="143"/>
      <c r="X32" s="143"/>
      <c r="Y32" s="9">
        <f t="shared" si="4"/>
        <v>0</v>
      </c>
      <c r="Z32" s="8" t="str">
        <f t="array" ref="Z32">IF(Y32&gt;5,"Perlu Sensus",IF(AND(Y32&gt;=0,W32&gt;0),"Tetap Deteksi","Belum Deteksi"))</f>
        <v>Belum Deteksi</v>
      </c>
      <c r="AA32" s="143"/>
      <c r="AB32" s="9">
        <f t="shared" si="5"/>
        <v>0</v>
      </c>
      <c r="AC32" s="11"/>
      <c r="AD32" s="143"/>
      <c r="AE32" s="9">
        <f t="array" ref="AE32">IFERROR(AD32/$G32*100,0)</f>
        <v>0</v>
      </c>
      <c r="AF32" s="143"/>
      <c r="AG32" s="9">
        <f t="shared" si="6"/>
        <v>0</v>
      </c>
      <c r="AH32" s="8" t="str">
        <f t="array" ref="AH32">IF(AG32&gt;5,"Perlu Sensus",IF(AND(AG32&gt;=0,AD32&gt;0),"Tetap Deteksi","Belum Deteksi"))</f>
        <v>Belum Deteksi</v>
      </c>
      <c r="AI32" s="143"/>
      <c r="AJ32" s="9">
        <f t="shared" si="7"/>
        <v>0</v>
      </c>
      <c r="AK32" s="11"/>
      <c r="AL32" s="143"/>
      <c r="AM32" s="143"/>
      <c r="AN32" s="9">
        <f t="shared" si="8"/>
        <v>0</v>
      </c>
      <c r="AO32" s="8" t="str">
        <f t="array" ref="AO32">IF(AN32&gt;5,"Perlu Sensus",IF(AND(AN32&gt;=0,AL32&gt;0),"Tetap Deteksi","Belum Deteksi"))</f>
        <v>Belum Deteksi</v>
      </c>
      <c r="AP32" s="143"/>
      <c r="AQ32" s="9">
        <f t="shared" si="9"/>
        <v>0</v>
      </c>
    </row>
    <row r="33" spans="1:43" outlineLevel="1" x14ac:dyDescent="0.15">
      <c r="A33" s="8" t="s">
        <v>1273</v>
      </c>
      <c r="B33" s="8" t="s">
        <v>14</v>
      </c>
      <c r="C33" s="8" t="s">
        <v>14</v>
      </c>
      <c r="D33" s="186" t="s">
        <v>1300</v>
      </c>
      <c r="E33" s="9">
        <v>28.47</v>
      </c>
      <c r="F33" s="8" t="s">
        <v>1740</v>
      </c>
      <c r="G33" s="10">
        <v>3651</v>
      </c>
      <c r="H33" s="11">
        <f t="array" ref="H33">IF(OR(N33&gt;0,AC33&gt;0),MAX(N33,AC33),MAX(AK33,V33))</f>
        <v>46249</v>
      </c>
      <c r="I33" s="143">
        <f t="array" ref="I33">IF(SUM(O33,AD33)&gt;0,SUM(O33,AD33),SUM(AL33,W33))</f>
        <v>144</v>
      </c>
      <c r="J33" s="9">
        <f t="shared" si="0"/>
        <v>3.9441248972884138</v>
      </c>
      <c r="K33" s="143">
        <f t="shared" si="10"/>
        <v>2</v>
      </c>
      <c r="L33" s="9">
        <f t="shared" si="1"/>
        <v>1.3888888888888888</v>
      </c>
      <c r="M33" s="8" t="str">
        <f t="array" ref="M33">IF(L33&gt;5,"Perlu Sensus",IF(AND(L33&gt;=0,I33&gt;0),"Tetap Deteksi","Belum Deteksi"))</f>
        <v>Tetap Deteksi</v>
      </c>
      <c r="N33" s="132">
        <v>46249</v>
      </c>
      <c r="O33" s="143">
        <f t="array" ref="O33">INDEX([28]Sheet1!$H$24:$H$231,MATCH(1,([28]Sheet1!$E$24:$E$231=$D33)*([28]Sheet1!$E$24:$E$231=$D33),0))</f>
        <v>144</v>
      </c>
      <c r="P33" s="9">
        <f t="array" ref="P33">IFERROR(O33/$G33*100,0)</f>
        <v>3.9441248972884138</v>
      </c>
      <c r="Q33" s="143">
        <f t="array" ref="Q33">INDEX([28]Sheet1!$J$24:$J$231,MATCH(1,([28]Sheet1!$E$24:$E$231=$D33)*([28]Sheet1!$E$24:$E$231=$D33),0))</f>
        <v>2</v>
      </c>
      <c r="R33" s="9">
        <f t="shared" si="2"/>
        <v>1.3888888888888888</v>
      </c>
      <c r="S33" s="8" t="str">
        <f t="array" ref="S33">IF(R33&gt;5,"Perlu Sensus",IF(AND(R33&gt;=0,O33&gt;0),"Tetap Deteksi","Belum Deteksi"))</f>
        <v>Tetap Deteksi</v>
      </c>
      <c r="T33" s="143"/>
      <c r="U33" s="9">
        <f t="shared" si="3"/>
        <v>0</v>
      </c>
      <c r="V33" s="11"/>
      <c r="W33" s="143"/>
      <c r="X33" s="143"/>
      <c r="Y33" s="9">
        <f t="shared" si="4"/>
        <v>0</v>
      </c>
      <c r="Z33" s="8" t="str">
        <f t="array" ref="Z33">IF(Y33&gt;5,"Perlu Sensus",IF(AND(Y33&gt;=0,W33&gt;0),"Tetap Deteksi","Belum Deteksi"))</f>
        <v>Belum Deteksi</v>
      </c>
      <c r="AA33" s="143"/>
      <c r="AB33" s="9">
        <f t="shared" si="5"/>
        <v>0</v>
      </c>
      <c r="AC33" s="11"/>
      <c r="AD33" s="143"/>
      <c r="AE33" s="9">
        <f t="array" ref="AE33">IFERROR(AD33/$G33*100,0)</f>
        <v>0</v>
      </c>
      <c r="AF33" s="143"/>
      <c r="AG33" s="9">
        <f t="shared" si="6"/>
        <v>0</v>
      </c>
      <c r="AH33" s="8" t="str">
        <f t="array" ref="AH33">IF(AG33&gt;5,"Perlu Sensus",IF(AND(AG33&gt;=0,AD33&gt;0),"Tetap Deteksi","Belum Deteksi"))</f>
        <v>Belum Deteksi</v>
      </c>
      <c r="AI33" s="143"/>
      <c r="AJ33" s="9">
        <f t="shared" si="7"/>
        <v>0</v>
      </c>
      <c r="AK33" s="11"/>
      <c r="AL33" s="143"/>
      <c r="AM33" s="143"/>
      <c r="AN33" s="9">
        <f t="shared" si="8"/>
        <v>0</v>
      </c>
      <c r="AO33" s="8" t="str">
        <f t="array" ref="AO33">IF(AN33&gt;5,"Perlu Sensus",IF(AND(AN33&gt;=0,AL33&gt;0),"Tetap Deteksi","Belum Deteksi"))</f>
        <v>Belum Deteksi</v>
      </c>
      <c r="AP33" s="143"/>
      <c r="AQ33" s="9">
        <f t="shared" si="9"/>
        <v>0</v>
      </c>
    </row>
    <row r="34" spans="1:43" outlineLevel="1" x14ac:dyDescent="0.15">
      <c r="A34" s="8" t="s">
        <v>1273</v>
      </c>
      <c r="B34" s="8" t="s">
        <v>14</v>
      </c>
      <c r="C34" s="8" t="s">
        <v>14</v>
      </c>
      <c r="D34" s="186" t="s">
        <v>1301</v>
      </c>
      <c r="E34" s="9">
        <v>30.21</v>
      </c>
      <c r="F34" s="8" t="s">
        <v>1740</v>
      </c>
      <c r="G34" s="10">
        <v>4033</v>
      </c>
      <c r="H34" s="11">
        <f t="array" ref="H34">IF(OR(N34&gt;0,AC34&gt;0),MAX(N34,AC34),MAX(AK34,V34))</f>
        <v>46249</v>
      </c>
      <c r="I34" s="143">
        <f t="array" ref="I34">IF(SUM(O34,AD34)&gt;0,SUM(O34,AD34),SUM(AL34,W34))</f>
        <v>118</v>
      </c>
      <c r="J34" s="9">
        <f t="shared" si="0"/>
        <v>2.9258616414579719</v>
      </c>
      <c r="K34" s="143">
        <f t="shared" si="10"/>
        <v>2</v>
      </c>
      <c r="L34" s="9">
        <f t="shared" si="1"/>
        <v>1.6949152542372881</v>
      </c>
      <c r="M34" s="8" t="str">
        <f t="array" ref="M34">IF(L34&gt;5,"Perlu Sensus",IF(AND(L34&gt;=0,I34&gt;0),"Tetap Deteksi","Belum Deteksi"))</f>
        <v>Tetap Deteksi</v>
      </c>
      <c r="N34" s="132">
        <v>46249</v>
      </c>
      <c r="O34" s="143">
        <f t="array" ref="O34">INDEX([28]Sheet1!$H$24:$H$231,MATCH(1,([28]Sheet1!$E$24:$E$231=$D34)*([28]Sheet1!$E$24:$E$231=$D34),0))</f>
        <v>118</v>
      </c>
      <c r="P34" s="9">
        <f t="array" ref="P34">IFERROR(O34/$G34*100,0)</f>
        <v>2.9258616414579719</v>
      </c>
      <c r="Q34" s="143">
        <f t="array" ref="Q34">INDEX([28]Sheet1!$J$24:$J$231,MATCH(1,([28]Sheet1!$E$24:$E$231=$D34)*([28]Sheet1!$E$24:$E$231=$D34),0))</f>
        <v>2</v>
      </c>
      <c r="R34" s="9">
        <f t="shared" si="2"/>
        <v>1.6949152542372881</v>
      </c>
      <c r="S34" s="8" t="str">
        <f t="array" ref="S34">IF(R34&gt;5,"Perlu Sensus",IF(AND(R34&gt;=0,O34&gt;0),"Tetap Deteksi","Belum Deteksi"))</f>
        <v>Tetap Deteksi</v>
      </c>
      <c r="T34" s="143"/>
      <c r="U34" s="9">
        <f t="shared" si="3"/>
        <v>0</v>
      </c>
      <c r="V34" s="11"/>
      <c r="W34" s="143"/>
      <c r="X34" s="143"/>
      <c r="Y34" s="9">
        <f t="shared" si="4"/>
        <v>0</v>
      </c>
      <c r="Z34" s="8" t="str">
        <f t="array" ref="Z34">IF(Y34&gt;5,"Perlu Sensus",IF(AND(Y34&gt;=0,W34&gt;0),"Tetap Deteksi","Belum Deteksi"))</f>
        <v>Belum Deteksi</v>
      </c>
      <c r="AA34" s="143"/>
      <c r="AB34" s="9">
        <f t="shared" si="5"/>
        <v>0</v>
      </c>
      <c r="AC34" s="11"/>
      <c r="AD34" s="143"/>
      <c r="AE34" s="9">
        <f t="array" ref="AE34">IFERROR(AD34/$G34*100,0)</f>
        <v>0</v>
      </c>
      <c r="AF34" s="143"/>
      <c r="AG34" s="9">
        <f t="shared" si="6"/>
        <v>0</v>
      </c>
      <c r="AH34" s="8" t="str">
        <f t="array" ref="AH34">IF(AG34&gt;5,"Perlu Sensus",IF(AND(AG34&gt;=0,AD34&gt;0),"Tetap Deteksi","Belum Deteksi"))</f>
        <v>Belum Deteksi</v>
      </c>
      <c r="AI34" s="143"/>
      <c r="AJ34" s="9">
        <f t="shared" si="7"/>
        <v>0</v>
      </c>
      <c r="AK34" s="11"/>
      <c r="AL34" s="143"/>
      <c r="AM34" s="143"/>
      <c r="AN34" s="9">
        <f t="shared" si="8"/>
        <v>0</v>
      </c>
      <c r="AO34" s="8" t="str">
        <f t="array" ref="AO34">IF(AN34&gt;5,"Perlu Sensus",IF(AND(AN34&gt;=0,AL34&gt;0),"Tetap Deteksi","Belum Deteksi"))</f>
        <v>Belum Deteksi</v>
      </c>
      <c r="AP34" s="143"/>
      <c r="AQ34" s="9">
        <f t="shared" si="9"/>
        <v>0</v>
      </c>
    </row>
    <row r="35" spans="1:43" outlineLevel="1" x14ac:dyDescent="0.15">
      <c r="A35" s="8" t="s">
        <v>1273</v>
      </c>
      <c r="B35" s="8" t="s">
        <v>14</v>
      </c>
      <c r="C35" s="8" t="s">
        <v>14</v>
      </c>
      <c r="D35" s="181" t="s">
        <v>1302</v>
      </c>
      <c r="E35" s="9">
        <v>28.81</v>
      </c>
      <c r="F35" s="8" t="s">
        <v>1740</v>
      </c>
      <c r="G35" s="10">
        <v>4002</v>
      </c>
      <c r="H35" s="11">
        <f t="array" ref="H35">IF(OR(N35&gt;0,AC35&gt;0),MAX(N35,AC35),MAX(AK35,V35))</f>
        <v>46249</v>
      </c>
      <c r="I35" s="143">
        <f t="array" ref="I35">IF(SUM(O35,AD35)&gt;0,SUM(O35,AD35),SUM(AL35,W35))</f>
        <v>129</v>
      </c>
      <c r="J35" s="9">
        <f t="shared" si="0"/>
        <v>3.2233883058470769</v>
      </c>
      <c r="K35" s="143">
        <f t="shared" si="10"/>
        <v>2</v>
      </c>
      <c r="L35" s="9">
        <f t="shared" si="1"/>
        <v>1.5503875968992249</v>
      </c>
      <c r="M35" s="8" t="str">
        <f t="array" ref="M35">IF(L35&gt;5,"Perlu Sensus",IF(AND(L35&gt;=0,I35&gt;0),"Tetap Deteksi","Belum Deteksi"))</f>
        <v>Tetap Deteksi</v>
      </c>
      <c r="N35" s="132">
        <v>46249</v>
      </c>
      <c r="O35" s="143">
        <f t="array" ref="O35">INDEX([28]Sheet1!$H$24:$H$231,MATCH(1,([28]Sheet1!$E$24:$E$231=$D35)*([28]Sheet1!$E$24:$E$231=$D35),0))</f>
        <v>129</v>
      </c>
      <c r="P35" s="9">
        <f t="array" ref="P35">IFERROR(O35/$G35*100,0)</f>
        <v>3.2233883058470769</v>
      </c>
      <c r="Q35" s="143">
        <f t="array" ref="Q35">INDEX([28]Sheet1!$J$24:$J$231,MATCH(1,([28]Sheet1!$E$24:$E$231=$D35)*([28]Sheet1!$E$24:$E$231=$D35),0))</f>
        <v>2</v>
      </c>
      <c r="R35" s="9">
        <f t="shared" si="2"/>
        <v>1.5503875968992249</v>
      </c>
      <c r="S35" s="8" t="str">
        <f t="array" ref="S35">IF(R35&gt;5,"Perlu Sensus",IF(AND(R35&gt;=0,O35&gt;0),"Tetap Deteksi","Belum Deteksi"))</f>
        <v>Tetap Deteksi</v>
      </c>
      <c r="T35" s="143"/>
      <c r="U35" s="9">
        <f t="shared" si="3"/>
        <v>0</v>
      </c>
      <c r="V35" s="11"/>
      <c r="W35" s="143"/>
      <c r="X35" s="143"/>
      <c r="Y35" s="9">
        <f t="shared" si="4"/>
        <v>0</v>
      </c>
      <c r="Z35" s="8" t="str">
        <f t="array" ref="Z35">IF(Y35&gt;5,"Perlu Sensus",IF(AND(Y35&gt;=0,W35&gt;0),"Tetap Deteksi","Belum Deteksi"))</f>
        <v>Belum Deteksi</v>
      </c>
      <c r="AA35" s="143"/>
      <c r="AB35" s="9">
        <f t="shared" si="5"/>
        <v>0</v>
      </c>
      <c r="AC35" s="11"/>
      <c r="AD35" s="143"/>
      <c r="AE35" s="9">
        <f t="array" ref="AE35">IFERROR(AD35/$G35*100,0)</f>
        <v>0</v>
      </c>
      <c r="AF35" s="143"/>
      <c r="AG35" s="9">
        <f t="shared" si="6"/>
        <v>0</v>
      </c>
      <c r="AH35" s="8" t="str">
        <f t="array" ref="AH35">IF(AG35&gt;5,"Perlu Sensus",IF(AND(AG35&gt;=0,AD35&gt;0),"Tetap Deteksi","Belum Deteksi"))</f>
        <v>Belum Deteksi</v>
      </c>
      <c r="AI35" s="143"/>
      <c r="AJ35" s="9">
        <f t="shared" si="7"/>
        <v>0</v>
      </c>
      <c r="AK35" s="11"/>
      <c r="AL35" s="143"/>
      <c r="AM35" s="143"/>
      <c r="AN35" s="9">
        <f t="shared" si="8"/>
        <v>0</v>
      </c>
      <c r="AO35" s="8" t="str">
        <f t="array" ref="AO35">IF(AN35&gt;5,"Perlu Sensus",IF(AND(AN35&gt;=0,AL35&gt;0),"Tetap Deteksi","Belum Deteksi"))</f>
        <v>Belum Deteksi</v>
      </c>
      <c r="AP35" s="143"/>
      <c r="AQ35" s="9">
        <f t="shared" si="9"/>
        <v>0</v>
      </c>
    </row>
    <row r="36" spans="1:43" outlineLevel="1" x14ac:dyDescent="0.15">
      <c r="A36" s="8" t="s">
        <v>1273</v>
      </c>
      <c r="B36" s="8" t="s">
        <v>14</v>
      </c>
      <c r="C36" s="8" t="s">
        <v>14</v>
      </c>
      <c r="D36" s="186" t="s">
        <v>1303</v>
      </c>
      <c r="E36" s="9">
        <v>29.97</v>
      </c>
      <c r="F36" s="8" t="s">
        <v>1740</v>
      </c>
      <c r="G36" s="10">
        <v>3863</v>
      </c>
      <c r="H36" s="11">
        <f t="array" ref="H36">IF(OR(N36&gt;0,AC36&gt;0),MAX(N36,AC36),MAX(AK36,V36))</f>
        <v>46249</v>
      </c>
      <c r="I36" s="143">
        <f t="array" ref="I36">IF(SUM(O36,AD36)&gt;0,SUM(O36,AD36),SUM(AL36,W36))</f>
        <v>167</v>
      </c>
      <c r="J36" s="9">
        <f t="shared" si="0"/>
        <v>4.3230649754077142</v>
      </c>
      <c r="K36" s="143">
        <f t="shared" si="10"/>
        <v>3</v>
      </c>
      <c r="L36" s="9">
        <f t="shared" si="1"/>
        <v>1.7964071856287425</v>
      </c>
      <c r="M36" s="8" t="str">
        <f t="array" ref="M36">IF(L36&gt;5,"Perlu Sensus",IF(AND(L36&gt;=0,I36&gt;0),"Tetap Deteksi","Belum Deteksi"))</f>
        <v>Tetap Deteksi</v>
      </c>
      <c r="N36" s="132">
        <v>46249</v>
      </c>
      <c r="O36" s="143">
        <f t="array" ref="O36">INDEX([28]Sheet1!$H$24:$H$231,MATCH(1,([28]Sheet1!$E$24:$E$231=$D36)*([28]Sheet1!$E$24:$E$231=$D36),0))</f>
        <v>167</v>
      </c>
      <c r="P36" s="9">
        <f t="array" ref="P36">IFERROR(O36/$G36*100,0)</f>
        <v>4.3230649754077142</v>
      </c>
      <c r="Q36" s="143">
        <f t="array" ref="Q36">INDEX([28]Sheet1!$J$24:$J$231,MATCH(1,([28]Sheet1!$E$24:$E$231=$D36)*([28]Sheet1!$E$24:$E$231=$D36),0))</f>
        <v>3</v>
      </c>
      <c r="R36" s="9">
        <f t="shared" si="2"/>
        <v>1.7964071856287425</v>
      </c>
      <c r="S36" s="8" t="str">
        <f t="array" ref="S36">IF(R36&gt;5,"Perlu Sensus",IF(AND(R36&gt;=0,O36&gt;0),"Tetap Deteksi","Belum Deteksi"))</f>
        <v>Tetap Deteksi</v>
      </c>
      <c r="T36" s="143"/>
      <c r="U36" s="9">
        <f t="shared" si="3"/>
        <v>0</v>
      </c>
      <c r="V36" s="11"/>
      <c r="W36" s="143"/>
      <c r="X36" s="143"/>
      <c r="Y36" s="9">
        <f t="shared" si="4"/>
        <v>0</v>
      </c>
      <c r="Z36" s="8" t="str">
        <f t="array" ref="Z36">IF(Y36&gt;5,"Perlu Sensus",IF(AND(Y36&gt;=0,W36&gt;0),"Tetap Deteksi","Belum Deteksi"))</f>
        <v>Belum Deteksi</v>
      </c>
      <c r="AA36" s="143"/>
      <c r="AB36" s="9">
        <f t="shared" si="5"/>
        <v>0</v>
      </c>
      <c r="AC36" s="11"/>
      <c r="AD36" s="143"/>
      <c r="AE36" s="9">
        <f t="array" ref="AE36">IFERROR(AD36/$G36*100,0)</f>
        <v>0</v>
      </c>
      <c r="AF36" s="143"/>
      <c r="AG36" s="9">
        <f t="shared" si="6"/>
        <v>0</v>
      </c>
      <c r="AH36" s="8" t="str">
        <f t="array" ref="AH36">IF(AG36&gt;5,"Perlu Sensus",IF(AND(AG36&gt;=0,AD36&gt;0),"Tetap Deteksi","Belum Deteksi"))</f>
        <v>Belum Deteksi</v>
      </c>
      <c r="AI36" s="143"/>
      <c r="AJ36" s="9">
        <f t="shared" si="7"/>
        <v>0</v>
      </c>
      <c r="AK36" s="11"/>
      <c r="AL36" s="143"/>
      <c r="AM36" s="143"/>
      <c r="AN36" s="9">
        <f t="shared" si="8"/>
        <v>0</v>
      </c>
      <c r="AO36" s="8" t="str">
        <f t="array" ref="AO36">IF(AN36&gt;5,"Perlu Sensus",IF(AND(AN36&gt;=0,AL36&gt;0),"Tetap Deteksi","Belum Deteksi"))</f>
        <v>Belum Deteksi</v>
      </c>
      <c r="AP36" s="143"/>
      <c r="AQ36" s="9">
        <f t="shared" si="9"/>
        <v>0</v>
      </c>
    </row>
    <row r="37" spans="1:43" outlineLevel="1" x14ac:dyDescent="0.15">
      <c r="A37" s="8" t="s">
        <v>1273</v>
      </c>
      <c r="B37" s="8" t="s">
        <v>14</v>
      </c>
      <c r="C37" s="8" t="s">
        <v>14</v>
      </c>
      <c r="D37" s="186" t="s">
        <v>1304</v>
      </c>
      <c r="E37" s="9">
        <v>40.28</v>
      </c>
      <c r="F37" s="8" t="s">
        <v>1740</v>
      </c>
      <c r="G37" s="10">
        <v>5347</v>
      </c>
      <c r="H37" s="11">
        <f t="array" ref="H37">IF(OR(N37&gt;0,AC37&gt;0),MAX(N37,AC37),MAX(AK37,V37))</f>
        <v>46249</v>
      </c>
      <c r="I37" s="143">
        <f t="array" ref="I37">IF(SUM(O37,AD37)&gt;0,SUM(O37,AD37),SUM(AL37,W37))</f>
        <v>243</v>
      </c>
      <c r="J37" s="9">
        <f t="shared" si="0"/>
        <v>4.5446044510940711</v>
      </c>
      <c r="K37" s="143">
        <f t="shared" si="10"/>
        <v>4</v>
      </c>
      <c r="L37" s="9">
        <f t="shared" si="1"/>
        <v>1.6460905349794239</v>
      </c>
      <c r="M37" s="8" t="str">
        <f t="array" ref="M37">IF(L37&gt;5,"Perlu Sensus",IF(AND(L37&gt;=0,I37&gt;0),"Tetap Deteksi","Belum Deteksi"))</f>
        <v>Tetap Deteksi</v>
      </c>
      <c r="N37" s="132">
        <v>46249</v>
      </c>
      <c r="O37" s="143">
        <f t="array" ref="O37">INDEX([28]Sheet1!$H$24:$H$231,MATCH(1,([28]Sheet1!$E$24:$E$231=$D37)*([28]Sheet1!$E$24:$E$231=$D37),0))</f>
        <v>243</v>
      </c>
      <c r="P37" s="9">
        <f t="array" ref="P37">IFERROR(O37/$G37*100,0)</f>
        <v>4.5446044510940711</v>
      </c>
      <c r="Q37" s="143">
        <f t="array" ref="Q37">INDEX([28]Sheet1!$J$24:$J$231,MATCH(1,([28]Sheet1!$E$24:$E$231=$D37)*([28]Sheet1!$E$24:$E$231=$D37),0))</f>
        <v>4</v>
      </c>
      <c r="R37" s="9">
        <f t="shared" si="2"/>
        <v>1.6460905349794239</v>
      </c>
      <c r="S37" s="8" t="str">
        <f t="array" ref="S37">IF(R37&gt;5,"Perlu Sensus",IF(AND(R37&gt;=0,O37&gt;0),"Tetap Deteksi","Belum Deteksi"))</f>
        <v>Tetap Deteksi</v>
      </c>
      <c r="T37" s="143"/>
      <c r="U37" s="9">
        <f t="shared" si="3"/>
        <v>0</v>
      </c>
      <c r="V37" s="11"/>
      <c r="W37" s="143"/>
      <c r="X37" s="143"/>
      <c r="Y37" s="9">
        <f t="shared" si="4"/>
        <v>0</v>
      </c>
      <c r="Z37" s="8" t="str">
        <f t="array" ref="Z37">IF(Y37&gt;5,"Perlu Sensus",IF(AND(Y37&gt;=0,W37&gt;0),"Tetap Deteksi","Belum Deteksi"))</f>
        <v>Belum Deteksi</v>
      </c>
      <c r="AA37" s="143"/>
      <c r="AB37" s="9">
        <f t="shared" si="5"/>
        <v>0</v>
      </c>
      <c r="AC37" s="11"/>
      <c r="AD37" s="143"/>
      <c r="AE37" s="9">
        <f t="array" ref="AE37">IFERROR(AD37/$G37*100,0)</f>
        <v>0</v>
      </c>
      <c r="AF37" s="143"/>
      <c r="AG37" s="9">
        <f t="shared" si="6"/>
        <v>0</v>
      </c>
      <c r="AH37" s="8" t="str">
        <f t="array" ref="AH37">IF(AG37&gt;5,"Perlu Sensus",IF(AND(AG37&gt;=0,AD37&gt;0),"Tetap Deteksi","Belum Deteksi"))</f>
        <v>Belum Deteksi</v>
      </c>
      <c r="AI37" s="143"/>
      <c r="AJ37" s="9">
        <f t="shared" si="7"/>
        <v>0</v>
      </c>
      <c r="AK37" s="11"/>
      <c r="AL37" s="143"/>
      <c r="AM37" s="143"/>
      <c r="AN37" s="9">
        <f t="shared" si="8"/>
        <v>0</v>
      </c>
      <c r="AO37" s="8" t="str">
        <f t="array" ref="AO37">IF(AN37&gt;5,"Perlu Sensus",IF(AND(AN37&gt;=0,AL37&gt;0),"Tetap Deteksi","Belum Deteksi"))</f>
        <v>Belum Deteksi</v>
      </c>
      <c r="AP37" s="143"/>
      <c r="AQ37" s="9">
        <f t="shared" si="9"/>
        <v>0</v>
      </c>
    </row>
    <row r="38" spans="1:43" outlineLevel="1" x14ac:dyDescent="0.15">
      <c r="A38" s="8" t="s">
        <v>1273</v>
      </c>
      <c r="B38" s="8" t="s">
        <v>14</v>
      </c>
      <c r="C38" s="8" t="s">
        <v>47</v>
      </c>
      <c r="D38" s="186" t="s">
        <v>1305</v>
      </c>
      <c r="E38" s="9">
        <v>38.82</v>
      </c>
      <c r="F38" s="8" t="s">
        <v>1740</v>
      </c>
      <c r="G38" s="10">
        <v>4579</v>
      </c>
      <c r="H38" s="11">
        <f t="array" ref="H38">IF(OR(N38&gt;0,AC38&gt;0),MAX(N38,AC38),MAX(AK38,V38))</f>
        <v>46249</v>
      </c>
      <c r="I38" s="143">
        <f t="array" ref="I38">IF(SUM(O38,AD38)&gt;0,SUM(O38,AD38),SUM(AL38,W38))</f>
        <v>152</v>
      </c>
      <c r="J38" s="9">
        <f t="shared" si="0"/>
        <v>3.3195020746887969</v>
      </c>
      <c r="K38" s="143">
        <f t="shared" si="10"/>
        <v>2</v>
      </c>
      <c r="L38" s="9">
        <f t="shared" si="1"/>
        <v>1.3157894736842104</v>
      </c>
      <c r="M38" s="8" t="str">
        <f t="array" ref="M38">IF(L38&gt;5,"Perlu Sensus",IF(AND(L38&gt;=0,I38&gt;0),"Tetap Deteksi","Belum Deteksi"))</f>
        <v>Tetap Deteksi</v>
      </c>
      <c r="N38" s="132">
        <v>46249</v>
      </c>
      <c r="O38" s="143">
        <f t="array" ref="O38">INDEX([28]Sheet1!$H$24:$H$231,MATCH(1,([28]Sheet1!$E$24:$E$231=$D38)*([28]Sheet1!$E$24:$E$231=$D38),0))</f>
        <v>152</v>
      </c>
      <c r="P38" s="9">
        <f t="array" ref="P38">IFERROR(O38/$G38*100,0)</f>
        <v>3.3195020746887969</v>
      </c>
      <c r="Q38" s="143">
        <f t="array" ref="Q38">INDEX([28]Sheet1!$J$24:$J$231,MATCH(1,([28]Sheet1!$E$24:$E$231=$D38)*([28]Sheet1!$E$24:$E$231=$D38),0))</f>
        <v>2</v>
      </c>
      <c r="R38" s="9">
        <f t="shared" si="2"/>
        <v>1.3157894736842104</v>
      </c>
      <c r="S38" s="8" t="str">
        <f t="array" ref="S38">IF(R38&gt;5,"Perlu Sensus",IF(AND(R38&gt;=0,O38&gt;0),"Tetap Deteksi","Belum Deteksi"))</f>
        <v>Tetap Deteksi</v>
      </c>
      <c r="T38" s="143"/>
      <c r="U38" s="9">
        <f t="shared" si="3"/>
        <v>0</v>
      </c>
      <c r="V38" s="11"/>
      <c r="W38" s="143"/>
      <c r="X38" s="143"/>
      <c r="Y38" s="9">
        <f t="shared" si="4"/>
        <v>0</v>
      </c>
      <c r="Z38" s="8" t="str">
        <f t="array" ref="Z38">IF(Y38&gt;5,"Perlu Sensus",IF(AND(Y38&gt;=0,W38&gt;0),"Tetap Deteksi","Belum Deteksi"))</f>
        <v>Belum Deteksi</v>
      </c>
      <c r="AA38" s="143"/>
      <c r="AB38" s="9">
        <f t="shared" si="5"/>
        <v>0</v>
      </c>
      <c r="AC38" s="11"/>
      <c r="AD38" s="143"/>
      <c r="AE38" s="9">
        <f t="array" ref="AE38">IFERROR(AD38/$G38*100,0)</f>
        <v>0</v>
      </c>
      <c r="AF38" s="143"/>
      <c r="AG38" s="9">
        <f t="shared" si="6"/>
        <v>0</v>
      </c>
      <c r="AH38" s="8" t="str">
        <f t="array" ref="AH38">IF(AG38&gt;5,"Perlu Sensus",IF(AND(AG38&gt;=0,AD38&gt;0),"Tetap Deteksi","Belum Deteksi"))</f>
        <v>Belum Deteksi</v>
      </c>
      <c r="AI38" s="143"/>
      <c r="AJ38" s="9">
        <f t="shared" si="7"/>
        <v>0</v>
      </c>
      <c r="AK38" s="11"/>
      <c r="AL38" s="143"/>
      <c r="AM38" s="143"/>
      <c r="AN38" s="9">
        <f t="shared" si="8"/>
        <v>0</v>
      </c>
      <c r="AO38" s="8" t="str">
        <f t="array" ref="AO38">IF(AN38&gt;5,"Perlu Sensus",IF(AND(AN38&gt;=0,AL38&gt;0),"Tetap Deteksi","Belum Deteksi"))</f>
        <v>Belum Deteksi</v>
      </c>
      <c r="AP38" s="143"/>
      <c r="AQ38" s="9">
        <f t="shared" si="9"/>
        <v>0</v>
      </c>
    </row>
    <row r="39" spans="1:43" outlineLevel="1" x14ac:dyDescent="0.15">
      <c r="A39" s="8" t="s">
        <v>1273</v>
      </c>
      <c r="B39" s="8" t="s">
        <v>14</v>
      </c>
      <c r="C39" s="8" t="s">
        <v>47</v>
      </c>
      <c r="D39" s="186" t="s">
        <v>1306</v>
      </c>
      <c r="E39" s="9">
        <v>42.519999999999996</v>
      </c>
      <c r="F39" s="8" t="s">
        <v>1740</v>
      </c>
      <c r="G39" s="10">
        <v>5684</v>
      </c>
      <c r="H39" s="11">
        <f t="array" ref="H39">IF(OR(N39&gt;0,AC39&gt;0),MAX(N39,AC39),MAX(AK39,V39))</f>
        <v>46249</v>
      </c>
      <c r="I39" s="143">
        <f t="array" ref="I39">IF(SUM(O39,AD39)&gt;0,SUM(O39,AD39),SUM(AL39,W39))</f>
        <v>145</v>
      </c>
      <c r="J39" s="9">
        <f t="shared" si="0"/>
        <v>2.5510204081632653</v>
      </c>
      <c r="K39" s="143">
        <f t="shared" si="10"/>
        <v>2</v>
      </c>
      <c r="L39" s="9">
        <f t="shared" si="1"/>
        <v>1.3793103448275863</v>
      </c>
      <c r="M39" s="8" t="str">
        <f t="array" ref="M39">IF(L39&gt;5,"Perlu Sensus",IF(AND(L39&gt;=0,I39&gt;0),"Tetap Deteksi","Belum Deteksi"))</f>
        <v>Tetap Deteksi</v>
      </c>
      <c r="N39" s="132">
        <v>46249</v>
      </c>
      <c r="O39" s="143">
        <f t="array" ref="O39">INDEX([28]Sheet1!$H$24:$H$231,MATCH(1,([28]Sheet1!$E$24:$E$231=$D39)*([28]Sheet1!$E$24:$E$231=$D39),0))</f>
        <v>145</v>
      </c>
      <c r="P39" s="9">
        <f t="array" ref="P39">IFERROR(O39/$G39*100,0)</f>
        <v>2.5510204081632653</v>
      </c>
      <c r="Q39" s="143">
        <f t="array" ref="Q39">INDEX([28]Sheet1!$J$24:$J$231,MATCH(1,([28]Sheet1!$E$24:$E$231=$D39)*([28]Sheet1!$E$24:$E$231=$D39),0))</f>
        <v>2</v>
      </c>
      <c r="R39" s="9">
        <f t="shared" si="2"/>
        <v>1.3793103448275863</v>
      </c>
      <c r="S39" s="8" t="str">
        <f t="array" ref="S39">IF(R39&gt;5,"Perlu Sensus",IF(AND(R39&gt;=0,O39&gt;0),"Tetap Deteksi","Belum Deteksi"))</f>
        <v>Tetap Deteksi</v>
      </c>
      <c r="T39" s="143"/>
      <c r="U39" s="9">
        <f t="shared" si="3"/>
        <v>0</v>
      </c>
      <c r="V39" s="11"/>
      <c r="W39" s="143"/>
      <c r="X39" s="143"/>
      <c r="Y39" s="9">
        <f t="shared" si="4"/>
        <v>0</v>
      </c>
      <c r="Z39" s="8" t="str">
        <f t="array" ref="Z39">IF(Y39&gt;5,"Perlu Sensus",IF(AND(Y39&gt;=0,W39&gt;0),"Tetap Deteksi","Belum Deteksi"))</f>
        <v>Belum Deteksi</v>
      </c>
      <c r="AA39" s="143"/>
      <c r="AB39" s="9">
        <f t="shared" si="5"/>
        <v>0</v>
      </c>
      <c r="AC39" s="11"/>
      <c r="AD39" s="143"/>
      <c r="AE39" s="9">
        <f t="array" ref="AE39">IFERROR(AD39/$G39*100,0)</f>
        <v>0</v>
      </c>
      <c r="AF39" s="143"/>
      <c r="AG39" s="9">
        <f t="shared" si="6"/>
        <v>0</v>
      </c>
      <c r="AH39" s="8" t="str">
        <f t="array" ref="AH39">IF(AG39&gt;5,"Perlu Sensus",IF(AND(AG39&gt;=0,AD39&gt;0),"Tetap Deteksi","Belum Deteksi"))</f>
        <v>Belum Deteksi</v>
      </c>
      <c r="AI39" s="143"/>
      <c r="AJ39" s="9">
        <f t="shared" si="7"/>
        <v>0</v>
      </c>
      <c r="AK39" s="11"/>
      <c r="AL39" s="143"/>
      <c r="AM39" s="143"/>
      <c r="AN39" s="9">
        <f t="shared" si="8"/>
        <v>0</v>
      </c>
      <c r="AO39" s="8" t="str">
        <f t="array" ref="AO39">IF(AN39&gt;5,"Perlu Sensus",IF(AND(AN39&gt;=0,AL39&gt;0),"Tetap Deteksi","Belum Deteksi"))</f>
        <v>Belum Deteksi</v>
      </c>
      <c r="AP39" s="143"/>
      <c r="AQ39" s="9">
        <f t="shared" si="9"/>
        <v>0</v>
      </c>
    </row>
    <row r="40" spans="1:43" outlineLevel="1" x14ac:dyDescent="0.15">
      <c r="A40" s="8" t="s">
        <v>1273</v>
      </c>
      <c r="B40" s="8" t="s">
        <v>14</v>
      </c>
      <c r="C40" s="8" t="s">
        <v>47</v>
      </c>
      <c r="D40" s="186" t="s">
        <v>1307</v>
      </c>
      <c r="E40" s="9">
        <v>30.37</v>
      </c>
      <c r="F40" s="8" t="s">
        <v>1740</v>
      </c>
      <c r="G40" s="10">
        <v>4012</v>
      </c>
      <c r="H40" s="11">
        <f t="array" ref="H40">IF(OR(N40&gt;0,AC40&gt;0),MAX(N40,AC40),MAX(AK40,V40))</f>
        <v>46249</v>
      </c>
      <c r="I40" s="143">
        <f t="array" ref="I40">IF(SUM(O40,AD40)&gt;0,SUM(O40,AD40),SUM(AL40,W40))</f>
        <v>120</v>
      </c>
      <c r="J40" s="9">
        <f t="shared" si="0"/>
        <v>2.9910269192422732</v>
      </c>
      <c r="K40" s="143">
        <f t="shared" si="10"/>
        <v>2</v>
      </c>
      <c r="L40" s="9">
        <f t="shared" si="1"/>
        <v>1.6666666666666667</v>
      </c>
      <c r="M40" s="8" t="str">
        <f t="array" ref="M40">IF(L40&gt;5,"Perlu Sensus",IF(AND(L40&gt;=0,I40&gt;0),"Tetap Deteksi","Belum Deteksi"))</f>
        <v>Tetap Deteksi</v>
      </c>
      <c r="N40" s="132">
        <v>46249</v>
      </c>
      <c r="O40" s="143">
        <f t="array" ref="O40">INDEX([28]Sheet1!$H$24:$H$231,MATCH(1,([28]Sheet1!$E$24:$E$231=$D40)*([28]Sheet1!$E$24:$E$231=$D40),0))</f>
        <v>120</v>
      </c>
      <c r="P40" s="9">
        <f t="array" ref="P40">IFERROR(O40/$G40*100,0)</f>
        <v>2.9910269192422732</v>
      </c>
      <c r="Q40" s="143">
        <f t="array" ref="Q40">INDEX([28]Sheet1!$J$24:$J$231,MATCH(1,([28]Sheet1!$E$24:$E$231=$D40)*([28]Sheet1!$E$24:$E$231=$D40),0))</f>
        <v>2</v>
      </c>
      <c r="R40" s="9">
        <f t="shared" si="2"/>
        <v>1.6666666666666667</v>
      </c>
      <c r="S40" s="8" t="str">
        <f t="array" ref="S40">IF(R40&gt;5,"Perlu Sensus",IF(AND(R40&gt;=0,O40&gt;0),"Tetap Deteksi","Belum Deteksi"))</f>
        <v>Tetap Deteksi</v>
      </c>
      <c r="T40" s="143"/>
      <c r="U40" s="9">
        <f t="shared" si="3"/>
        <v>0</v>
      </c>
      <c r="V40" s="11"/>
      <c r="W40" s="143"/>
      <c r="X40" s="143"/>
      <c r="Y40" s="9">
        <f t="shared" si="4"/>
        <v>0</v>
      </c>
      <c r="Z40" s="8" t="str">
        <f t="array" ref="Z40">IF(Y40&gt;5,"Perlu Sensus",IF(AND(Y40&gt;=0,W40&gt;0),"Tetap Deteksi","Belum Deteksi"))</f>
        <v>Belum Deteksi</v>
      </c>
      <c r="AA40" s="143"/>
      <c r="AB40" s="9">
        <f t="shared" si="5"/>
        <v>0</v>
      </c>
      <c r="AC40" s="11"/>
      <c r="AD40" s="143"/>
      <c r="AE40" s="9">
        <f t="array" ref="AE40">IFERROR(AD40/$G40*100,0)</f>
        <v>0</v>
      </c>
      <c r="AF40" s="143"/>
      <c r="AG40" s="9">
        <f t="shared" si="6"/>
        <v>0</v>
      </c>
      <c r="AH40" s="8" t="str">
        <f t="array" ref="AH40">IF(AG40&gt;5,"Perlu Sensus",IF(AND(AG40&gt;=0,AD40&gt;0),"Tetap Deteksi","Belum Deteksi"))</f>
        <v>Belum Deteksi</v>
      </c>
      <c r="AI40" s="143"/>
      <c r="AJ40" s="9">
        <f t="shared" si="7"/>
        <v>0</v>
      </c>
      <c r="AK40" s="11"/>
      <c r="AL40" s="143"/>
      <c r="AM40" s="143"/>
      <c r="AN40" s="9">
        <f t="shared" si="8"/>
        <v>0</v>
      </c>
      <c r="AO40" s="8" t="str">
        <f t="array" ref="AO40">IF(AN40&gt;5,"Perlu Sensus",IF(AND(AN40&gt;=0,AL40&gt;0),"Tetap Deteksi","Belum Deteksi"))</f>
        <v>Belum Deteksi</v>
      </c>
      <c r="AP40" s="143"/>
      <c r="AQ40" s="9">
        <f t="shared" si="9"/>
        <v>0</v>
      </c>
    </row>
    <row r="41" spans="1:43" outlineLevel="1" x14ac:dyDescent="0.15">
      <c r="A41" s="8" t="s">
        <v>1273</v>
      </c>
      <c r="B41" s="8" t="s">
        <v>14</v>
      </c>
      <c r="C41" s="8" t="s">
        <v>47</v>
      </c>
      <c r="D41" s="186" t="s">
        <v>1308</v>
      </c>
      <c r="E41" s="9">
        <v>28.84</v>
      </c>
      <c r="F41" s="8" t="s">
        <v>1740</v>
      </c>
      <c r="G41" s="10">
        <v>4012</v>
      </c>
      <c r="H41" s="11">
        <f t="array" ref="H41">IF(OR(N41&gt;0,AC41&gt;0),MAX(N41,AC41),MAX(AK41,V41))</f>
        <v>46249</v>
      </c>
      <c r="I41" s="143">
        <f t="array" ref="I41">IF(SUM(O41,AD41)&gt;0,SUM(O41,AD41),SUM(AL41,W41))</f>
        <v>121</v>
      </c>
      <c r="J41" s="9">
        <f t="shared" si="0"/>
        <v>3.015952143569292</v>
      </c>
      <c r="K41" s="143">
        <f t="shared" si="10"/>
        <v>2</v>
      </c>
      <c r="L41" s="9">
        <f t="shared" si="1"/>
        <v>1.6528925619834711</v>
      </c>
      <c r="M41" s="8" t="str">
        <f t="array" ref="M41">IF(L41&gt;5,"Perlu Sensus",IF(AND(L41&gt;=0,I41&gt;0),"Tetap Deteksi","Belum Deteksi"))</f>
        <v>Tetap Deteksi</v>
      </c>
      <c r="N41" s="132">
        <v>46249</v>
      </c>
      <c r="O41" s="143">
        <f t="array" ref="O41">INDEX([28]Sheet1!$H$24:$H$231,MATCH(1,([28]Sheet1!$E$24:$E$231=$D41)*([28]Sheet1!$E$24:$E$231=$D41),0))</f>
        <v>121</v>
      </c>
      <c r="P41" s="9">
        <f t="array" ref="P41">IFERROR(O41/$G41*100,0)</f>
        <v>3.015952143569292</v>
      </c>
      <c r="Q41" s="143">
        <f t="array" ref="Q41">INDEX([28]Sheet1!$J$24:$J$231,MATCH(1,([28]Sheet1!$E$24:$E$231=$D41)*([28]Sheet1!$E$24:$E$231=$D41),0))</f>
        <v>2</v>
      </c>
      <c r="R41" s="9">
        <f t="shared" si="2"/>
        <v>1.6528925619834711</v>
      </c>
      <c r="S41" s="8" t="str">
        <f t="array" ref="S41">IF(R41&gt;5,"Perlu Sensus",IF(AND(R41&gt;=0,O41&gt;0),"Tetap Deteksi","Belum Deteksi"))</f>
        <v>Tetap Deteksi</v>
      </c>
      <c r="T41" s="143"/>
      <c r="U41" s="9">
        <f t="shared" si="3"/>
        <v>0</v>
      </c>
      <c r="V41" s="11"/>
      <c r="W41" s="143"/>
      <c r="X41" s="143"/>
      <c r="Y41" s="9">
        <f t="shared" si="4"/>
        <v>0</v>
      </c>
      <c r="Z41" s="8" t="str">
        <f t="array" ref="Z41">IF(Y41&gt;5,"Perlu Sensus",IF(AND(Y41&gt;=0,W41&gt;0),"Tetap Deteksi","Belum Deteksi"))</f>
        <v>Belum Deteksi</v>
      </c>
      <c r="AA41" s="143"/>
      <c r="AB41" s="9">
        <f t="shared" si="5"/>
        <v>0</v>
      </c>
      <c r="AC41" s="11"/>
      <c r="AD41" s="143"/>
      <c r="AE41" s="9">
        <f t="array" ref="AE41">IFERROR(AD41/$G41*100,0)</f>
        <v>0</v>
      </c>
      <c r="AF41" s="143"/>
      <c r="AG41" s="9">
        <f t="shared" si="6"/>
        <v>0</v>
      </c>
      <c r="AH41" s="8" t="str">
        <f t="array" ref="AH41">IF(AG41&gt;5,"Perlu Sensus",IF(AND(AG41&gt;=0,AD41&gt;0),"Tetap Deteksi","Belum Deteksi"))</f>
        <v>Belum Deteksi</v>
      </c>
      <c r="AI41" s="143"/>
      <c r="AJ41" s="9">
        <f t="shared" si="7"/>
        <v>0</v>
      </c>
      <c r="AK41" s="11"/>
      <c r="AL41" s="143"/>
      <c r="AM41" s="143"/>
      <c r="AN41" s="9">
        <f t="shared" si="8"/>
        <v>0</v>
      </c>
      <c r="AO41" s="8" t="str">
        <f t="array" ref="AO41">IF(AN41&gt;5,"Perlu Sensus",IF(AND(AN41&gt;=0,AL41&gt;0),"Tetap Deteksi","Belum Deteksi"))</f>
        <v>Belum Deteksi</v>
      </c>
      <c r="AP41" s="143"/>
      <c r="AQ41" s="9">
        <f t="shared" si="9"/>
        <v>0</v>
      </c>
    </row>
    <row r="42" spans="1:43" outlineLevel="1" x14ac:dyDescent="0.15">
      <c r="A42" s="8" t="s">
        <v>1273</v>
      </c>
      <c r="B42" s="8" t="s">
        <v>14</v>
      </c>
      <c r="C42" s="8" t="s">
        <v>47</v>
      </c>
      <c r="D42" s="186" t="s">
        <v>1309</v>
      </c>
      <c r="E42" s="9">
        <v>28.89</v>
      </c>
      <c r="F42" s="8" t="s">
        <v>1740</v>
      </c>
      <c r="G42" s="10">
        <v>4342</v>
      </c>
      <c r="H42" s="11">
        <f t="array" ref="H42">IF(OR(N42&gt;0,AC42&gt;0),MAX(N42,AC42),MAX(AK42,V42))</f>
        <v>46249</v>
      </c>
      <c r="I42" s="143">
        <f t="array" ref="I42">IF(SUM(O42,AD42)&gt;0,SUM(O42,AD42),SUM(AL42,W42))</f>
        <v>63</v>
      </c>
      <c r="J42" s="9">
        <f t="shared" si="0"/>
        <v>1.4509442653155229</v>
      </c>
      <c r="K42" s="143">
        <f t="shared" si="10"/>
        <v>1</v>
      </c>
      <c r="L42" s="9">
        <f t="shared" si="1"/>
        <v>1.5873015873015872</v>
      </c>
      <c r="M42" s="8" t="str">
        <f t="array" ref="M42">IF(L42&gt;5,"Perlu Sensus",IF(AND(L42&gt;=0,I42&gt;0),"Tetap Deteksi","Belum Deteksi"))</f>
        <v>Tetap Deteksi</v>
      </c>
      <c r="N42" s="132">
        <v>46249</v>
      </c>
      <c r="O42" s="143">
        <f t="array" ref="O42">INDEX([28]Sheet1!$H$24:$H$231,MATCH(1,([28]Sheet1!$E$24:$E$231=$D42)*([28]Sheet1!$E$24:$E$231=$D42),0))</f>
        <v>63</v>
      </c>
      <c r="P42" s="9">
        <f t="array" ref="P42">IFERROR(O42/$G42*100,0)</f>
        <v>1.4509442653155229</v>
      </c>
      <c r="Q42" s="143">
        <f t="array" ref="Q42">INDEX([28]Sheet1!$J$24:$J$231,MATCH(1,([28]Sheet1!$E$24:$E$231=$D42)*([28]Sheet1!$E$24:$E$231=$D42),0))</f>
        <v>1</v>
      </c>
      <c r="R42" s="9">
        <f t="shared" si="2"/>
        <v>1.5873015873015872</v>
      </c>
      <c r="S42" s="8" t="str">
        <f t="array" ref="S42">IF(R42&gt;5,"Perlu Sensus",IF(AND(R42&gt;=0,O42&gt;0),"Tetap Deteksi","Belum Deteksi"))</f>
        <v>Tetap Deteksi</v>
      </c>
      <c r="T42" s="143"/>
      <c r="U42" s="9">
        <f t="shared" si="3"/>
        <v>0</v>
      </c>
      <c r="V42" s="11"/>
      <c r="W42" s="143"/>
      <c r="X42" s="143"/>
      <c r="Y42" s="9">
        <f t="shared" si="4"/>
        <v>0</v>
      </c>
      <c r="Z42" s="8" t="str">
        <f t="array" ref="Z42">IF(Y42&gt;5,"Perlu Sensus",IF(AND(Y42&gt;=0,W42&gt;0),"Tetap Deteksi","Belum Deteksi"))</f>
        <v>Belum Deteksi</v>
      </c>
      <c r="AA42" s="143"/>
      <c r="AB42" s="9">
        <f t="shared" si="5"/>
        <v>0</v>
      </c>
      <c r="AC42" s="11"/>
      <c r="AD42" s="143"/>
      <c r="AE42" s="9">
        <f t="array" ref="AE42">IFERROR(AD42/$G42*100,0)</f>
        <v>0</v>
      </c>
      <c r="AF42" s="143"/>
      <c r="AG42" s="9">
        <f t="shared" si="6"/>
        <v>0</v>
      </c>
      <c r="AH42" s="8" t="str">
        <f t="array" ref="AH42">IF(AG42&gt;5,"Perlu Sensus",IF(AND(AG42&gt;=0,AD42&gt;0),"Tetap Deteksi","Belum Deteksi"))</f>
        <v>Belum Deteksi</v>
      </c>
      <c r="AI42" s="143"/>
      <c r="AJ42" s="9">
        <f t="shared" si="7"/>
        <v>0</v>
      </c>
      <c r="AK42" s="11"/>
      <c r="AL42" s="143"/>
      <c r="AM42" s="143"/>
      <c r="AN42" s="9">
        <f t="shared" si="8"/>
        <v>0</v>
      </c>
      <c r="AO42" s="8" t="str">
        <f t="array" ref="AO42">IF(AN42&gt;5,"Perlu Sensus",IF(AND(AN42&gt;=0,AL42&gt;0),"Tetap Deteksi","Belum Deteksi"))</f>
        <v>Belum Deteksi</v>
      </c>
      <c r="AP42" s="143"/>
      <c r="AQ42" s="9">
        <f t="shared" si="9"/>
        <v>0</v>
      </c>
    </row>
    <row r="43" spans="1:43" outlineLevel="1" x14ac:dyDescent="0.15">
      <c r="A43" s="8" t="s">
        <v>1273</v>
      </c>
      <c r="B43" s="8" t="s">
        <v>14</v>
      </c>
      <c r="C43" s="8" t="s">
        <v>47</v>
      </c>
      <c r="D43" s="186" t="s">
        <v>1310</v>
      </c>
      <c r="E43" s="9">
        <v>28.17</v>
      </c>
      <c r="F43" s="8" t="s">
        <v>1740</v>
      </c>
      <c r="G43" s="10">
        <v>3688</v>
      </c>
      <c r="H43" s="11">
        <f t="array" ref="H43">IF(OR(N43&gt;0,AC43&gt;0),MAX(N43,AC43),MAX(AK43,V43))</f>
        <v>46249</v>
      </c>
      <c r="I43" s="143">
        <f t="array" ref="I43">IF(SUM(O43,AD43)&gt;0,SUM(O43,AD43),SUM(AL43,W43))</f>
        <v>105</v>
      </c>
      <c r="J43" s="9">
        <f t="shared" si="0"/>
        <v>2.8470715835140998</v>
      </c>
      <c r="K43" s="143">
        <f t="shared" si="10"/>
        <v>2</v>
      </c>
      <c r="L43" s="9">
        <f t="shared" si="1"/>
        <v>1.9047619047619049</v>
      </c>
      <c r="M43" s="8" t="str">
        <f t="array" ref="M43">IF(L43&gt;5,"Perlu Sensus",IF(AND(L43&gt;=0,I43&gt;0),"Tetap Deteksi","Belum Deteksi"))</f>
        <v>Tetap Deteksi</v>
      </c>
      <c r="N43" s="132">
        <v>46249</v>
      </c>
      <c r="O43" s="143">
        <f t="array" ref="O43">INDEX([28]Sheet1!$H$24:$H$231,MATCH(1,([28]Sheet1!$E$24:$E$231=$D43)*([28]Sheet1!$E$24:$E$231=$D43),0))</f>
        <v>105</v>
      </c>
      <c r="P43" s="9">
        <f t="array" ref="P43">IFERROR(O43/$G43*100,0)</f>
        <v>2.8470715835140998</v>
      </c>
      <c r="Q43" s="143">
        <f t="array" ref="Q43">INDEX([28]Sheet1!$J$24:$J$231,MATCH(1,([28]Sheet1!$E$24:$E$231=$D43)*([28]Sheet1!$E$24:$E$231=$D43),0))</f>
        <v>2</v>
      </c>
      <c r="R43" s="9">
        <f t="shared" si="2"/>
        <v>1.9047619047619049</v>
      </c>
      <c r="S43" s="8" t="str">
        <f t="array" ref="S43">IF(R43&gt;5,"Perlu Sensus",IF(AND(R43&gt;=0,O43&gt;0),"Tetap Deteksi","Belum Deteksi"))</f>
        <v>Tetap Deteksi</v>
      </c>
      <c r="T43" s="143"/>
      <c r="U43" s="9">
        <f t="shared" si="3"/>
        <v>0</v>
      </c>
      <c r="V43" s="11"/>
      <c r="W43" s="143"/>
      <c r="X43" s="143"/>
      <c r="Y43" s="9">
        <f t="shared" si="4"/>
        <v>0</v>
      </c>
      <c r="Z43" s="8" t="str">
        <f t="array" ref="Z43">IF(Y43&gt;5,"Perlu Sensus",IF(AND(Y43&gt;=0,W43&gt;0),"Tetap Deteksi","Belum Deteksi"))</f>
        <v>Belum Deteksi</v>
      </c>
      <c r="AA43" s="143"/>
      <c r="AB43" s="9">
        <f t="shared" si="5"/>
        <v>0</v>
      </c>
      <c r="AC43" s="11"/>
      <c r="AD43" s="143"/>
      <c r="AE43" s="9">
        <f t="array" ref="AE43">IFERROR(AD43/$G43*100,0)</f>
        <v>0</v>
      </c>
      <c r="AF43" s="143"/>
      <c r="AG43" s="9">
        <f t="shared" si="6"/>
        <v>0</v>
      </c>
      <c r="AH43" s="8" t="str">
        <f t="array" ref="AH43">IF(AG43&gt;5,"Perlu Sensus",IF(AND(AG43&gt;=0,AD43&gt;0),"Tetap Deteksi","Belum Deteksi"))</f>
        <v>Belum Deteksi</v>
      </c>
      <c r="AI43" s="143"/>
      <c r="AJ43" s="9">
        <f t="shared" si="7"/>
        <v>0</v>
      </c>
      <c r="AK43" s="11"/>
      <c r="AL43" s="143"/>
      <c r="AM43" s="143"/>
      <c r="AN43" s="9">
        <f t="shared" si="8"/>
        <v>0</v>
      </c>
      <c r="AO43" s="8" t="str">
        <f t="array" ref="AO43">IF(AN43&gt;5,"Perlu Sensus",IF(AND(AN43&gt;=0,AL43&gt;0),"Tetap Deteksi","Belum Deteksi"))</f>
        <v>Belum Deteksi</v>
      </c>
      <c r="AP43" s="143"/>
      <c r="AQ43" s="9">
        <f t="shared" si="9"/>
        <v>0</v>
      </c>
    </row>
    <row r="44" spans="1:43" outlineLevel="1" x14ac:dyDescent="0.15">
      <c r="A44" s="8" t="s">
        <v>1273</v>
      </c>
      <c r="B44" s="8" t="s">
        <v>14</v>
      </c>
      <c r="C44" s="8" t="s">
        <v>47</v>
      </c>
      <c r="D44" s="186" t="s">
        <v>1311</v>
      </c>
      <c r="E44" s="9">
        <v>29.12</v>
      </c>
      <c r="F44" s="8" t="s">
        <v>1740</v>
      </c>
      <c r="G44" s="10">
        <v>3807</v>
      </c>
      <c r="H44" s="11">
        <f t="array" ref="H44">IF(OR(N44&gt;0,AC44&gt;0),MAX(N44,AC44),MAX(AK44,V44))</f>
        <v>46249</v>
      </c>
      <c r="I44" s="143">
        <f t="array" ref="I44">IF(SUM(O44,AD44)&gt;0,SUM(O44,AD44),SUM(AL44,W44))</f>
        <v>139</v>
      </c>
      <c r="J44" s="9">
        <f t="shared" si="0"/>
        <v>3.65116889939585</v>
      </c>
      <c r="K44" s="143">
        <f t="shared" si="10"/>
        <v>2</v>
      </c>
      <c r="L44" s="9">
        <f t="shared" si="1"/>
        <v>1.4388489208633095</v>
      </c>
      <c r="M44" s="8" t="str">
        <f t="array" ref="M44">IF(L44&gt;5,"Perlu Sensus",IF(AND(L44&gt;=0,I44&gt;0),"Tetap Deteksi","Belum Deteksi"))</f>
        <v>Tetap Deteksi</v>
      </c>
      <c r="N44" s="132">
        <v>46249</v>
      </c>
      <c r="O44" s="143">
        <f t="array" ref="O44">INDEX([28]Sheet1!$H$24:$H$231,MATCH(1,([28]Sheet1!$E$24:$E$231=$D44)*([28]Sheet1!$E$24:$E$231=$D44),0))</f>
        <v>139</v>
      </c>
      <c r="P44" s="9">
        <f t="array" ref="P44">IFERROR(O44/$G44*100,0)</f>
        <v>3.65116889939585</v>
      </c>
      <c r="Q44" s="143">
        <f t="array" ref="Q44">INDEX([28]Sheet1!$J$24:$J$231,MATCH(1,([28]Sheet1!$E$24:$E$231=$D44)*([28]Sheet1!$E$24:$E$231=$D44),0))</f>
        <v>2</v>
      </c>
      <c r="R44" s="9">
        <f t="shared" si="2"/>
        <v>1.4388489208633095</v>
      </c>
      <c r="S44" s="8" t="str">
        <f t="array" ref="S44">IF(R44&gt;5,"Perlu Sensus",IF(AND(R44&gt;=0,O44&gt;0),"Tetap Deteksi","Belum Deteksi"))</f>
        <v>Tetap Deteksi</v>
      </c>
      <c r="T44" s="143"/>
      <c r="U44" s="9">
        <f t="shared" si="3"/>
        <v>0</v>
      </c>
      <c r="V44" s="11"/>
      <c r="W44" s="143"/>
      <c r="X44" s="143"/>
      <c r="Y44" s="9">
        <f t="shared" si="4"/>
        <v>0</v>
      </c>
      <c r="Z44" s="8" t="str">
        <f t="array" ref="Z44">IF(Y44&gt;5,"Perlu Sensus",IF(AND(Y44&gt;=0,W44&gt;0),"Tetap Deteksi","Belum Deteksi"))</f>
        <v>Belum Deteksi</v>
      </c>
      <c r="AA44" s="143"/>
      <c r="AB44" s="9">
        <f t="shared" si="5"/>
        <v>0</v>
      </c>
      <c r="AC44" s="11"/>
      <c r="AD44" s="143"/>
      <c r="AE44" s="9">
        <f t="array" ref="AE44">IFERROR(AD44/$G44*100,0)</f>
        <v>0</v>
      </c>
      <c r="AF44" s="143"/>
      <c r="AG44" s="9">
        <f t="shared" si="6"/>
        <v>0</v>
      </c>
      <c r="AH44" s="8" t="str">
        <f t="array" ref="AH44">IF(AG44&gt;5,"Perlu Sensus",IF(AND(AG44&gt;=0,AD44&gt;0),"Tetap Deteksi","Belum Deteksi"))</f>
        <v>Belum Deteksi</v>
      </c>
      <c r="AI44" s="143"/>
      <c r="AJ44" s="9">
        <f t="shared" si="7"/>
        <v>0</v>
      </c>
      <c r="AK44" s="11"/>
      <c r="AL44" s="143"/>
      <c r="AM44" s="143"/>
      <c r="AN44" s="9">
        <f t="shared" si="8"/>
        <v>0</v>
      </c>
      <c r="AO44" s="8" t="str">
        <f t="array" ref="AO44">IF(AN44&gt;5,"Perlu Sensus",IF(AND(AN44&gt;=0,AL44&gt;0),"Tetap Deteksi","Belum Deteksi"))</f>
        <v>Belum Deteksi</v>
      </c>
      <c r="AP44" s="143"/>
      <c r="AQ44" s="9">
        <f t="shared" si="9"/>
        <v>0</v>
      </c>
    </row>
    <row r="45" spans="1:43" outlineLevel="1" x14ac:dyDescent="0.15">
      <c r="A45" s="8" t="s">
        <v>1273</v>
      </c>
      <c r="B45" s="8" t="s">
        <v>14</v>
      </c>
      <c r="C45" s="8" t="s">
        <v>47</v>
      </c>
      <c r="D45" s="186" t="s">
        <v>1312</v>
      </c>
      <c r="E45" s="9">
        <v>29.2</v>
      </c>
      <c r="F45" s="8" t="s">
        <v>1740</v>
      </c>
      <c r="G45" s="10">
        <v>3700</v>
      </c>
      <c r="H45" s="11">
        <f t="array" ref="H45">IF(OR(N45&gt;0,AC45&gt;0),MAX(N45,AC45),MAX(AK45,V45))</f>
        <v>46249</v>
      </c>
      <c r="I45" s="143">
        <f t="array" ref="I45">IF(SUM(O45,AD45)&gt;0,SUM(O45,AD45),SUM(AL45,W45))</f>
        <v>53</v>
      </c>
      <c r="J45" s="9">
        <f t="shared" si="0"/>
        <v>1.4324324324324325</v>
      </c>
      <c r="K45" s="143">
        <f t="shared" si="10"/>
        <v>1</v>
      </c>
      <c r="L45" s="9">
        <f t="shared" si="1"/>
        <v>1.8867924528301887</v>
      </c>
      <c r="M45" s="8" t="str">
        <f t="array" ref="M45">IF(L45&gt;5,"Perlu Sensus",IF(AND(L45&gt;=0,I45&gt;0),"Tetap Deteksi","Belum Deteksi"))</f>
        <v>Tetap Deteksi</v>
      </c>
      <c r="N45" s="132">
        <v>46249</v>
      </c>
      <c r="O45" s="143">
        <f t="array" ref="O45">INDEX([28]Sheet1!$H$24:$H$231,MATCH(1,([28]Sheet1!$E$24:$E$231=$D45)*([28]Sheet1!$E$24:$E$231=$D45),0))</f>
        <v>53</v>
      </c>
      <c r="P45" s="9">
        <f t="array" ref="P45">IFERROR(O45/$G45*100,0)</f>
        <v>1.4324324324324325</v>
      </c>
      <c r="Q45" s="143">
        <f t="array" ref="Q45">INDEX([28]Sheet1!$J$24:$J$231,MATCH(1,([28]Sheet1!$E$24:$E$231=$D45)*([28]Sheet1!$E$24:$E$231=$D45),0))</f>
        <v>1</v>
      </c>
      <c r="R45" s="9">
        <f t="shared" si="2"/>
        <v>1.8867924528301887</v>
      </c>
      <c r="S45" s="8" t="str">
        <f t="array" ref="S45">IF(R45&gt;5,"Perlu Sensus",IF(AND(R45&gt;=0,O45&gt;0),"Tetap Deteksi","Belum Deteksi"))</f>
        <v>Tetap Deteksi</v>
      </c>
      <c r="T45" s="143"/>
      <c r="U45" s="9">
        <f t="shared" si="3"/>
        <v>0</v>
      </c>
      <c r="V45" s="11"/>
      <c r="W45" s="143"/>
      <c r="X45" s="143"/>
      <c r="Y45" s="9">
        <f t="shared" si="4"/>
        <v>0</v>
      </c>
      <c r="Z45" s="8" t="str">
        <f t="array" ref="Z45">IF(Y45&gt;5,"Perlu Sensus",IF(AND(Y45&gt;=0,W45&gt;0),"Tetap Deteksi","Belum Deteksi"))</f>
        <v>Belum Deteksi</v>
      </c>
      <c r="AA45" s="143"/>
      <c r="AB45" s="9">
        <f t="shared" si="5"/>
        <v>0</v>
      </c>
      <c r="AC45" s="11"/>
      <c r="AD45" s="143"/>
      <c r="AE45" s="9">
        <f t="array" ref="AE45">IFERROR(AD45/$G45*100,0)</f>
        <v>0</v>
      </c>
      <c r="AF45" s="143"/>
      <c r="AG45" s="9">
        <f t="shared" si="6"/>
        <v>0</v>
      </c>
      <c r="AH45" s="8" t="str">
        <f t="array" ref="AH45">IF(AG45&gt;5,"Perlu Sensus",IF(AND(AG45&gt;=0,AD45&gt;0),"Tetap Deteksi","Belum Deteksi"))</f>
        <v>Belum Deteksi</v>
      </c>
      <c r="AI45" s="143"/>
      <c r="AJ45" s="9">
        <f t="shared" si="7"/>
        <v>0</v>
      </c>
      <c r="AK45" s="11"/>
      <c r="AL45" s="143"/>
      <c r="AM45" s="143"/>
      <c r="AN45" s="9">
        <f t="shared" si="8"/>
        <v>0</v>
      </c>
      <c r="AO45" s="8" t="str">
        <f t="array" ref="AO45">IF(AN45&gt;5,"Perlu Sensus",IF(AND(AN45&gt;=0,AL45&gt;0),"Tetap Deteksi","Belum Deteksi"))</f>
        <v>Belum Deteksi</v>
      </c>
      <c r="AP45" s="143"/>
      <c r="AQ45" s="9">
        <f t="shared" si="9"/>
        <v>0</v>
      </c>
    </row>
    <row r="46" spans="1:43" outlineLevel="1" x14ac:dyDescent="0.15">
      <c r="A46" s="8" t="s">
        <v>1273</v>
      </c>
      <c r="B46" s="8" t="s">
        <v>14</v>
      </c>
      <c r="C46" s="8" t="s">
        <v>47</v>
      </c>
      <c r="D46" s="186" t="s">
        <v>1313</v>
      </c>
      <c r="E46" s="9">
        <v>30.45</v>
      </c>
      <c r="F46" s="8" t="s">
        <v>1740</v>
      </c>
      <c r="G46" s="10">
        <v>3271</v>
      </c>
      <c r="H46" s="11">
        <f t="array" ref="H46">IF(OR(N46&gt;0,AC46&gt;0),MAX(N46,AC46),MAX(AK46,V46))</f>
        <v>46249</v>
      </c>
      <c r="I46" s="143">
        <f t="array" ref="I46">IF(SUM(O46,AD46)&gt;0,SUM(O46,AD46),SUM(AL46,W46))</f>
        <v>53</v>
      </c>
      <c r="J46" s="9">
        <f t="shared" si="0"/>
        <v>1.6202996025680219</v>
      </c>
      <c r="K46" s="143">
        <f t="shared" si="10"/>
        <v>1</v>
      </c>
      <c r="L46" s="9">
        <f t="shared" si="1"/>
        <v>1.8867924528301887</v>
      </c>
      <c r="M46" s="8" t="str">
        <f t="array" ref="M46">IF(L46&gt;5,"Perlu Sensus",IF(AND(L46&gt;=0,I46&gt;0),"Tetap Deteksi","Belum Deteksi"))</f>
        <v>Tetap Deteksi</v>
      </c>
      <c r="N46" s="132">
        <v>46249</v>
      </c>
      <c r="O46" s="143">
        <f t="array" ref="O46">INDEX([28]Sheet1!$H$24:$H$231,MATCH(1,([28]Sheet1!$E$24:$E$231=$D46)*([28]Sheet1!$E$24:$E$231=$D46),0))</f>
        <v>53</v>
      </c>
      <c r="P46" s="9">
        <f t="array" ref="P46">IFERROR(O46/$G46*100,0)</f>
        <v>1.6202996025680219</v>
      </c>
      <c r="Q46" s="143">
        <f t="array" ref="Q46">INDEX([28]Sheet1!$J$24:$J$231,MATCH(1,([28]Sheet1!$E$24:$E$231=$D46)*([28]Sheet1!$E$24:$E$231=$D46),0))</f>
        <v>1</v>
      </c>
      <c r="R46" s="9">
        <f t="shared" si="2"/>
        <v>1.8867924528301887</v>
      </c>
      <c r="S46" s="8" t="str">
        <f t="array" ref="S46">IF(R46&gt;5,"Perlu Sensus",IF(AND(R46&gt;=0,O46&gt;0),"Tetap Deteksi","Belum Deteksi"))</f>
        <v>Tetap Deteksi</v>
      </c>
      <c r="T46" s="143"/>
      <c r="U46" s="9">
        <f t="shared" si="3"/>
        <v>0</v>
      </c>
      <c r="V46" s="11"/>
      <c r="W46" s="143"/>
      <c r="X46" s="143"/>
      <c r="Y46" s="9">
        <f t="shared" si="4"/>
        <v>0</v>
      </c>
      <c r="Z46" s="8" t="str">
        <f t="array" ref="Z46">IF(Y46&gt;5,"Perlu Sensus",IF(AND(Y46&gt;=0,W46&gt;0),"Tetap Deteksi","Belum Deteksi"))</f>
        <v>Belum Deteksi</v>
      </c>
      <c r="AA46" s="143"/>
      <c r="AB46" s="9">
        <f t="shared" si="5"/>
        <v>0</v>
      </c>
      <c r="AC46" s="11"/>
      <c r="AD46" s="143"/>
      <c r="AE46" s="9">
        <f t="array" ref="AE46">IFERROR(AD46/$G46*100,0)</f>
        <v>0</v>
      </c>
      <c r="AF46" s="143"/>
      <c r="AG46" s="9">
        <f t="shared" si="6"/>
        <v>0</v>
      </c>
      <c r="AH46" s="8" t="str">
        <f t="array" ref="AH46">IF(AG46&gt;5,"Perlu Sensus",IF(AND(AG46&gt;=0,AD46&gt;0),"Tetap Deteksi","Belum Deteksi"))</f>
        <v>Belum Deteksi</v>
      </c>
      <c r="AI46" s="143"/>
      <c r="AJ46" s="9">
        <f t="shared" si="7"/>
        <v>0</v>
      </c>
      <c r="AK46" s="11"/>
      <c r="AL46" s="143"/>
      <c r="AM46" s="143"/>
      <c r="AN46" s="9">
        <f t="shared" si="8"/>
        <v>0</v>
      </c>
      <c r="AO46" s="8" t="str">
        <f t="array" ref="AO46">IF(AN46&gt;5,"Perlu Sensus",IF(AND(AN46&gt;=0,AL46&gt;0),"Tetap Deteksi","Belum Deteksi"))</f>
        <v>Belum Deteksi</v>
      </c>
      <c r="AP46" s="143"/>
      <c r="AQ46" s="9">
        <f t="shared" si="9"/>
        <v>0</v>
      </c>
    </row>
    <row r="47" spans="1:43" outlineLevel="1" x14ac:dyDescent="0.15">
      <c r="A47" s="8" t="s">
        <v>1273</v>
      </c>
      <c r="B47" s="8" t="s">
        <v>14</v>
      </c>
      <c r="C47" s="8" t="s">
        <v>47</v>
      </c>
      <c r="D47" s="186" t="s">
        <v>1314</v>
      </c>
      <c r="E47" s="9">
        <v>28.96</v>
      </c>
      <c r="F47" s="8" t="s">
        <v>1740</v>
      </c>
      <c r="G47" s="10">
        <v>3442</v>
      </c>
      <c r="H47" s="11">
        <f t="array" ref="H47">IF(OR(N47&gt;0,AC47&gt;0),MAX(N47,AC47),MAX(AK47,V47))</f>
        <v>46249</v>
      </c>
      <c r="I47" s="143">
        <f t="array" ref="I47">IF(SUM(O47,AD47)&gt;0,SUM(O47,AD47),SUM(AL47,W47))</f>
        <v>119</v>
      </c>
      <c r="J47" s="9">
        <f t="shared" si="0"/>
        <v>3.4572922719349219</v>
      </c>
      <c r="K47" s="143">
        <f t="shared" si="10"/>
        <v>2</v>
      </c>
      <c r="L47" s="9">
        <f t="shared" si="1"/>
        <v>1.680672268907563</v>
      </c>
      <c r="M47" s="8" t="str">
        <f t="array" ref="M47">IF(L47&gt;5,"Perlu Sensus",IF(AND(L47&gt;=0,I47&gt;0),"Tetap Deteksi","Belum Deteksi"))</f>
        <v>Tetap Deteksi</v>
      </c>
      <c r="N47" s="132">
        <v>46249</v>
      </c>
      <c r="O47" s="143">
        <f t="array" ref="O47">INDEX([28]Sheet1!$H$24:$H$231,MATCH(1,([28]Sheet1!$E$24:$E$231=$D47)*([28]Sheet1!$E$24:$E$231=$D47),0))</f>
        <v>119</v>
      </c>
      <c r="P47" s="9">
        <f t="array" ref="P47">IFERROR(O47/$G47*100,0)</f>
        <v>3.4572922719349219</v>
      </c>
      <c r="Q47" s="143">
        <f t="array" ref="Q47">INDEX([28]Sheet1!$J$24:$J$231,MATCH(1,([28]Sheet1!$E$24:$E$231=$D47)*([28]Sheet1!$E$24:$E$231=$D47),0))</f>
        <v>2</v>
      </c>
      <c r="R47" s="9">
        <f t="shared" si="2"/>
        <v>1.680672268907563</v>
      </c>
      <c r="S47" s="8" t="str">
        <f t="array" ref="S47">IF(R47&gt;5,"Perlu Sensus",IF(AND(R47&gt;=0,O47&gt;0),"Tetap Deteksi","Belum Deteksi"))</f>
        <v>Tetap Deteksi</v>
      </c>
      <c r="T47" s="143"/>
      <c r="U47" s="9">
        <f t="shared" si="3"/>
        <v>0</v>
      </c>
      <c r="V47" s="11"/>
      <c r="W47" s="143"/>
      <c r="X47" s="143"/>
      <c r="Y47" s="9">
        <f t="shared" si="4"/>
        <v>0</v>
      </c>
      <c r="Z47" s="8" t="str">
        <f t="array" ref="Z47">IF(Y47&gt;5,"Perlu Sensus",IF(AND(Y47&gt;=0,W47&gt;0),"Tetap Deteksi","Belum Deteksi"))</f>
        <v>Belum Deteksi</v>
      </c>
      <c r="AA47" s="143"/>
      <c r="AB47" s="9">
        <f t="shared" si="5"/>
        <v>0</v>
      </c>
      <c r="AC47" s="11"/>
      <c r="AD47" s="143"/>
      <c r="AE47" s="9">
        <f t="array" ref="AE47">IFERROR(AD47/$G47*100,0)</f>
        <v>0</v>
      </c>
      <c r="AF47" s="143"/>
      <c r="AG47" s="9">
        <f t="shared" si="6"/>
        <v>0</v>
      </c>
      <c r="AH47" s="8" t="str">
        <f t="array" ref="AH47">IF(AG47&gt;5,"Perlu Sensus",IF(AND(AG47&gt;=0,AD47&gt;0),"Tetap Deteksi","Belum Deteksi"))</f>
        <v>Belum Deteksi</v>
      </c>
      <c r="AI47" s="143"/>
      <c r="AJ47" s="9">
        <f t="shared" si="7"/>
        <v>0</v>
      </c>
      <c r="AK47" s="11"/>
      <c r="AL47" s="143"/>
      <c r="AM47" s="143"/>
      <c r="AN47" s="9">
        <f t="shared" si="8"/>
        <v>0</v>
      </c>
      <c r="AO47" s="8" t="str">
        <f t="array" ref="AO47">IF(AN47&gt;5,"Perlu Sensus",IF(AND(AN47&gt;=0,AL47&gt;0),"Tetap Deteksi","Belum Deteksi"))</f>
        <v>Belum Deteksi</v>
      </c>
      <c r="AP47" s="143"/>
      <c r="AQ47" s="9">
        <f t="shared" si="9"/>
        <v>0</v>
      </c>
    </row>
    <row r="48" spans="1:43" outlineLevel="1" x14ac:dyDescent="0.15">
      <c r="A48" s="8" t="s">
        <v>1273</v>
      </c>
      <c r="B48" s="8" t="s">
        <v>14</v>
      </c>
      <c r="C48" s="8" t="s">
        <v>47</v>
      </c>
      <c r="D48" s="186" t="s">
        <v>1315</v>
      </c>
      <c r="E48" s="9">
        <v>27.98</v>
      </c>
      <c r="F48" s="8" t="s">
        <v>1740</v>
      </c>
      <c r="G48" s="10">
        <v>3700</v>
      </c>
      <c r="H48" s="11">
        <f t="array" ref="H48">IF(OR(N48&gt;0,AC48&gt;0),MAX(N48,AC48),MAX(AK48,V48))</f>
        <v>46249</v>
      </c>
      <c r="I48" s="143">
        <f t="array" ref="I48">IF(SUM(O48,AD48)&gt;0,SUM(O48,AD48),SUM(AL48,W48))</f>
        <v>146</v>
      </c>
      <c r="J48" s="9">
        <f t="shared" si="0"/>
        <v>3.9459459459459461</v>
      </c>
      <c r="K48" s="143">
        <f t="shared" si="10"/>
        <v>2</v>
      </c>
      <c r="L48" s="9">
        <f t="shared" si="1"/>
        <v>1.3698630136986301</v>
      </c>
      <c r="M48" s="8" t="str">
        <f t="array" ref="M48">IF(L48&gt;5,"Perlu Sensus",IF(AND(L48&gt;=0,I48&gt;0),"Tetap Deteksi","Belum Deteksi"))</f>
        <v>Tetap Deteksi</v>
      </c>
      <c r="N48" s="132">
        <v>46249</v>
      </c>
      <c r="O48" s="143">
        <f t="array" ref="O48">INDEX([28]Sheet1!$H$24:$H$231,MATCH(1,([28]Sheet1!$E$24:$E$231=$D48)*([28]Sheet1!$E$24:$E$231=$D48),0))</f>
        <v>146</v>
      </c>
      <c r="P48" s="9">
        <f t="array" ref="P48">IFERROR(O48/$G48*100,0)</f>
        <v>3.9459459459459461</v>
      </c>
      <c r="Q48" s="143">
        <f t="array" ref="Q48">INDEX([28]Sheet1!$J$24:$J$231,MATCH(1,([28]Sheet1!$E$24:$E$231=$D48)*([28]Sheet1!$E$24:$E$231=$D48),0))</f>
        <v>2</v>
      </c>
      <c r="R48" s="9">
        <f t="shared" si="2"/>
        <v>1.3698630136986301</v>
      </c>
      <c r="S48" s="8" t="str">
        <f t="array" ref="S48">IF(R48&gt;5,"Perlu Sensus",IF(AND(R48&gt;=0,O48&gt;0),"Tetap Deteksi","Belum Deteksi"))</f>
        <v>Tetap Deteksi</v>
      </c>
      <c r="T48" s="143"/>
      <c r="U48" s="9">
        <f t="shared" si="3"/>
        <v>0</v>
      </c>
      <c r="V48" s="11"/>
      <c r="W48" s="143"/>
      <c r="X48" s="143"/>
      <c r="Y48" s="9">
        <f t="shared" si="4"/>
        <v>0</v>
      </c>
      <c r="Z48" s="8" t="str">
        <f t="array" ref="Z48">IF(Y48&gt;5,"Perlu Sensus",IF(AND(Y48&gt;=0,W48&gt;0),"Tetap Deteksi","Belum Deteksi"))</f>
        <v>Belum Deteksi</v>
      </c>
      <c r="AA48" s="143"/>
      <c r="AB48" s="9">
        <f t="shared" si="5"/>
        <v>0</v>
      </c>
      <c r="AC48" s="11"/>
      <c r="AD48" s="143"/>
      <c r="AE48" s="9">
        <f t="array" ref="AE48">IFERROR(AD48/$G48*100,0)</f>
        <v>0</v>
      </c>
      <c r="AF48" s="143"/>
      <c r="AG48" s="9">
        <f t="shared" si="6"/>
        <v>0</v>
      </c>
      <c r="AH48" s="8" t="str">
        <f t="array" ref="AH48">IF(AG48&gt;5,"Perlu Sensus",IF(AND(AG48&gt;=0,AD48&gt;0),"Tetap Deteksi","Belum Deteksi"))</f>
        <v>Belum Deteksi</v>
      </c>
      <c r="AI48" s="143"/>
      <c r="AJ48" s="9">
        <f t="shared" si="7"/>
        <v>0</v>
      </c>
      <c r="AK48" s="11"/>
      <c r="AL48" s="143"/>
      <c r="AM48" s="143"/>
      <c r="AN48" s="9">
        <f t="shared" si="8"/>
        <v>0</v>
      </c>
      <c r="AO48" s="8" t="str">
        <f t="array" ref="AO48">IF(AN48&gt;5,"Perlu Sensus",IF(AND(AN48&gt;=0,AL48&gt;0),"Tetap Deteksi","Belum Deteksi"))</f>
        <v>Belum Deteksi</v>
      </c>
      <c r="AP48" s="143"/>
      <c r="AQ48" s="9">
        <f t="shared" si="9"/>
        <v>0</v>
      </c>
    </row>
    <row r="49" spans="1:43" outlineLevel="1" x14ac:dyDescent="0.15">
      <c r="A49" s="8" t="s">
        <v>1273</v>
      </c>
      <c r="B49" s="8" t="s">
        <v>14</v>
      </c>
      <c r="C49" s="8" t="s">
        <v>47</v>
      </c>
      <c r="D49" s="186" t="s">
        <v>1316</v>
      </c>
      <c r="E49" s="9">
        <v>29.74</v>
      </c>
      <c r="F49" s="8" t="s">
        <v>1740</v>
      </c>
      <c r="G49" s="10">
        <v>3974</v>
      </c>
      <c r="H49" s="11">
        <f t="array" ref="H49">IF(OR(N49&gt;0,AC49&gt;0),MAX(N49,AC49),MAX(AK49,V49))</f>
        <v>46249</v>
      </c>
      <c r="I49" s="143">
        <f t="array" ref="I49">IF(SUM(O49,AD49)&gt;0,SUM(O49,AD49),SUM(AL49,W49))</f>
        <v>59</v>
      </c>
      <c r="J49" s="9">
        <f t="shared" si="0"/>
        <v>1.4846502264720685</v>
      </c>
      <c r="K49" s="143">
        <f t="shared" si="10"/>
        <v>1</v>
      </c>
      <c r="L49" s="9">
        <f t="shared" si="1"/>
        <v>1.6949152542372881</v>
      </c>
      <c r="M49" s="8" t="str">
        <f t="array" ref="M49">IF(L49&gt;5,"Perlu Sensus",IF(AND(L49&gt;=0,I49&gt;0),"Tetap Deteksi","Belum Deteksi"))</f>
        <v>Tetap Deteksi</v>
      </c>
      <c r="N49" s="132">
        <v>46249</v>
      </c>
      <c r="O49" s="143">
        <f t="array" ref="O49">INDEX([28]Sheet1!$H$24:$H$231,MATCH(1,([28]Sheet1!$E$24:$E$231=$D49)*([28]Sheet1!$E$24:$E$231=$D49),0))</f>
        <v>59</v>
      </c>
      <c r="P49" s="9">
        <f t="array" ref="P49">IFERROR(O49/$G49*100,0)</f>
        <v>1.4846502264720685</v>
      </c>
      <c r="Q49" s="143">
        <f t="array" ref="Q49">INDEX([28]Sheet1!$J$24:$J$231,MATCH(1,([28]Sheet1!$E$24:$E$231=$D49)*([28]Sheet1!$E$24:$E$231=$D49),0))</f>
        <v>1</v>
      </c>
      <c r="R49" s="9">
        <f t="shared" si="2"/>
        <v>1.6949152542372881</v>
      </c>
      <c r="S49" s="8" t="str">
        <f t="array" ref="S49">IF(R49&gt;5,"Perlu Sensus",IF(AND(R49&gt;=0,O49&gt;0),"Tetap Deteksi","Belum Deteksi"))</f>
        <v>Tetap Deteksi</v>
      </c>
      <c r="T49" s="143"/>
      <c r="U49" s="9">
        <f t="shared" si="3"/>
        <v>0</v>
      </c>
      <c r="V49" s="11"/>
      <c r="W49" s="143"/>
      <c r="X49" s="143"/>
      <c r="Y49" s="9">
        <f t="shared" si="4"/>
        <v>0</v>
      </c>
      <c r="Z49" s="8" t="str">
        <f t="array" ref="Z49">IF(Y49&gt;5,"Perlu Sensus",IF(AND(Y49&gt;=0,W49&gt;0),"Tetap Deteksi","Belum Deteksi"))</f>
        <v>Belum Deteksi</v>
      </c>
      <c r="AA49" s="143"/>
      <c r="AB49" s="9">
        <f t="shared" si="5"/>
        <v>0</v>
      </c>
      <c r="AC49" s="11"/>
      <c r="AD49" s="143"/>
      <c r="AE49" s="9">
        <f t="array" ref="AE49">IFERROR(AD49/$G49*100,0)</f>
        <v>0</v>
      </c>
      <c r="AF49" s="143"/>
      <c r="AG49" s="9">
        <f t="shared" si="6"/>
        <v>0</v>
      </c>
      <c r="AH49" s="8" t="str">
        <f t="array" ref="AH49">IF(AG49&gt;5,"Perlu Sensus",IF(AND(AG49&gt;=0,AD49&gt;0),"Tetap Deteksi","Belum Deteksi"))</f>
        <v>Belum Deteksi</v>
      </c>
      <c r="AI49" s="143"/>
      <c r="AJ49" s="9">
        <f t="shared" si="7"/>
        <v>0</v>
      </c>
      <c r="AK49" s="11"/>
      <c r="AL49" s="143"/>
      <c r="AM49" s="143"/>
      <c r="AN49" s="9">
        <f t="shared" si="8"/>
        <v>0</v>
      </c>
      <c r="AO49" s="8" t="str">
        <f t="array" ref="AO49">IF(AN49&gt;5,"Perlu Sensus",IF(AND(AN49&gt;=0,AL49&gt;0),"Tetap Deteksi","Belum Deteksi"))</f>
        <v>Belum Deteksi</v>
      </c>
      <c r="AP49" s="143"/>
      <c r="AQ49" s="9">
        <f t="shared" si="9"/>
        <v>0</v>
      </c>
    </row>
    <row r="50" spans="1:43" outlineLevel="1" x14ac:dyDescent="0.15">
      <c r="A50" s="8" t="s">
        <v>1273</v>
      </c>
      <c r="B50" s="8" t="s">
        <v>14</v>
      </c>
      <c r="C50" s="8" t="s">
        <v>47</v>
      </c>
      <c r="D50" s="186" t="s">
        <v>1317</v>
      </c>
      <c r="E50" s="9">
        <v>28.49</v>
      </c>
      <c r="F50" s="8" t="s">
        <v>1740</v>
      </c>
      <c r="G50" s="10">
        <v>3992</v>
      </c>
      <c r="H50" s="11">
        <f t="array" ref="H50">IF(OR(N50&gt;0,AC50&gt;0),MAX(N50,AC50),MAX(AK50,V50))</f>
        <v>46249</v>
      </c>
      <c r="I50" s="143">
        <f t="array" ref="I50">IF(SUM(O50,AD50)&gt;0,SUM(O50,AD50),SUM(AL50,W50))</f>
        <v>67</v>
      </c>
      <c r="J50" s="9">
        <f t="shared" si="0"/>
        <v>1.6783567134268536</v>
      </c>
      <c r="K50" s="143">
        <f t="shared" si="10"/>
        <v>1</v>
      </c>
      <c r="L50" s="9">
        <f t="shared" si="1"/>
        <v>1.4925373134328357</v>
      </c>
      <c r="M50" s="8" t="str">
        <f t="array" ref="M50">IF(L50&gt;5,"Perlu Sensus",IF(AND(L50&gt;=0,I50&gt;0),"Tetap Deteksi","Belum Deteksi"))</f>
        <v>Tetap Deteksi</v>
      </c>
      <c r="N50" s="132">
        <v>46249</v>
      </c>
      <c r="O50" s="143">
        <f t="array" ref="O50">INDEX([28]Sheet1!$H$24:$H$231,MATCH(1,([28]Sheet1!$E$24:$E$231=$D50)*([28]Sheet1!$E$24:$E$231=$D50),0))</f>
        <v>67</v>
      </c>
      <c r="P50" s="9">
        <f t="array" ref="P50">IFERROR(O50/$G50*100,0)</f>
        <v>1.6783567134268536</v>
      </c>
      <c r="Q50" s="143">
        <f t="array" ref="Q50">INDEX([28]Sheet1!$J$24:$J$231,MATCH(1,([28]Sheet1!$E$24:$E$231=$D50)*([28]Sheet1!$E$24:$E$231=$D50),0))</f>
        <v>1</v>
      </c>
      <c r="R50" s="9">
        <f t="shared" si="2"/>
        <v>1.4925373134328357</v>
      </c>
      <c r="S50" s="8" t="str">
        <f t="array" ref="S50">IF(R50&gt;5,"Perlu Sensus",IF(AND(R50&gt;=0,O50&gt;0),"Tetap Deteksi","Belum Deteksi"))</f>
        <v>Tetap Deteksi</v>
      </c>
      <c r="T50" s="143"/>
      <c r="U50" s="9">
        <f t="shared" si="3"/>
        <v>0</v>
      </c>
      <c r="V50" s="11"/>
      <c r="W50" s="143"/>
      <c r="X50" s="143"/>
      <c r="Y50" s="9">
        <f t="shared" si="4"/>
        <v>0</v>
      </c>
      <c r="Z50" s="8" t="str">
        <f t="array" ref="Z50">IF(Y50&gt;5,"Perlu Sensus",IF(AND(Y50&gt;=0,W50&gt;0),"Tetap Deteksi","Belum Deteksi"))</f>
        <v>Belum Deteksi</v>
      </c>
      <c r="AA50" s="143"/>
      <c r="AB50" s="9">
        <f t="shared" si="5"/>
        <v>0</v>
      </c>
      <c r="AC50" s="11"/>
      <c r="AD50" s="143"/>
      <c r="AE50" s="9">
        <f t="array" ref="AE50">IFERROR(AD50/$G50*100,0)</f>
        <v>0</v>
      </c>
      <c r="AF50" s="143"/>
      <c r="AG50" s="9">
        <f t="shared" si="6"/>
        <v>0</v>
      </c>
      <c r="AH50" s="8" t="str">
        <f t="array" ref="AH50">IF(AG50&gt;5,"Perlu Sensus",IF(AND(AG50&gt;=0,AD50&gt;0),"Tetap Deteksi","Belum Deteksi"))</f>
        <v>Belum Deteksi</v>
      </c>
      <c r="AI50" s="143"/>
      <c r="AJ50" s="9">
        <f t="shared" si="7"/>
        <v>0</v>
      </c>
      <c r="AK50" s="11"/>
      <c r="AL50" s="143"/>
      <c r="AM50" s="143"/>
      <c r="AN50" s="9">
        <f t="shared" si="8"/>
        <v>0</v>
      </c>
      <c r="AO50" s="8" t="str">
        <f t="array" ref="AO50">IF(AN50&gt;5,"Perlu Sensus",IF(AND(AN50&gt;=0,AL50&gt;0),"Tetap Deteksi","Belum Deteksi"))</f>
        <v>Belum Deteksi</v>
      </c>
      <c r="AP50" s="143"/>
      <c r="AQ50" s="9">
        <f t="shared" si="9"/>
        <v>0</v>
      </c>
    </row>
    <row r="51" spans="1:43" outlineLevel="1" x14ac:dyDescent="0.15">
      <c r="A51" s="8" t="s">
        <v>1273</v>
      </c>
      <c r="B51" s="8" t="s">
        <v>14</v>
      </c>
      <c r="C51" s="8" t="s">
        <v>47</v>
      </c>
      <c r="D51" s="186" t="s">
        <v>1318</v>
      </c>
      <c r="E51" s="9">
        <v>29.13</v>
      </c>
      <c r="F51" s="8" t="s">
        <v>1740</v>
      </c>
      <c r="G51" s="10">
        <v>4172</v>
      </c>
      <c r="H51" s="11">
        <f t="array" ref="H51">IF(OR(N51&gt;0,AC51&gt;0),MAX(N51,AC51),MAX(AK51,V51))</f>
        <v>46249</v>
      </c>
      <c r="I51" s="143">
        <f t="array" ref="I51">IF(SUM(O51,AD51)&gt;0,SUM(O51,AD51),SUM(AL51,W51))</f>
        <v>146</v>
      </c>
      <c r="J51" s="9">
        <f t="shared" si="0"/>
        <v>3.4995206136145733</v>
      </c>
      <c r="K51" s="143">
        <f t="shared" si="10"/>
        <v>2</v>
      </c>
      <c r="L51" s="9">
        <f t="shared" si="1"/>
        <v>1.3698630136986301</v>
      </c>
      <c r="M51" s="8" t="str">
        <f t="array" ref="M51">IF(L51&gt;5,"Perlu Sensus",IF(AND(L51&gt;=0,I51&gt;0),"Tetap Deteksi","Belum Deteksi"))</f>
        <v>Tetap Deteksi</v>
      </c>
      <c r="N51" s="132">
        <v>46249</v>
      </c>
      <c r="O51" s="143">
        <f t="array" ref="O51">INDEX([28]Sheet1!$H$24:$H$231,MATCH(1,([28]Sheet1!$E$24:$E$231=$D51)*([28]Sheet1!$E$24:$E$231=$D51),0))</f>
        <v>146</v>
      </c>
      <c r="P51" s="9">
        <f t="array" ref="P51">IFERROR(O51/$G51*100,0)</f>
        <v>3.4995206136145733</v>
      </c>
      <c r="Q51" s="143">
        <f t="array" ref="Q51">INDEX([28]Sheet1!$J$24:$J$231,MATCH(1,([28]Sheet1!$E$24:$E$231=$D51)*([28]Sheet1!$E$24:$E$231=$D51),0))</f>
        <v>2</v>
      </c>
      <c r="R51" s="9">
        <f t="shared" si="2"/>
        <v>1.3698630136986301</v>
      </c>
      <c r="S51" s="8" t="str">
        <f t="array" ref="S51">IF(R51&gt;5,"Perlu Sensus",IF(AND(R51&gt;=0,O51&gt;0),"Tetap Deteksi","Belum Deteksi"))</f>
        <v>Tetap Deteksi</v>
      </c>
      <c r="T51" s="143"/>
      <c r="U51" s="9">
        <f t="shared" si="3"/>
        <v>0</v>
      </c>
      <c r="V51" s="11"/>
      <c r="W51" s="143"/>
      <c r="X51" s="143"/>
      <c r="Y51" s="9">
        <f t="shared" si="4"/>
        <v>0</v>
      </c>
      <c r="Z51" s="8" t="str">
        <f t="array" ref="Z51">IF(Y51&gt;5,"Perlu Sensus",IF(AND(Y51&gt;=0,W51&gt;0),"Tetap Deteksi","Belum Deteksi"))</f>
        <v>Belum Deteksi</v>
      </c>
      <c r="AA51" s="143"/>
      <c r="AB51" s="9">
        <f t="shared" si="5"/>
        <v>0</v>
      </c>
      <c r="AC51" s="11"/>
      <c r="AD51" s="143"/>
      <c r="AE51" s="9">
        <f t="array" ref="AE51">IFERROR(AD51/$G51*100,0)</f>
        <v>0</v>
      </c>
      <c r="AF51" s="143"/>
      <c r="AG51" s="9">
        <f t="shared" si="6"/>
        <v>0</v>
      </c>
      <c r="AH51" s="8" t="str">
        <f t="array" ref="AH51">IF(AG51&gt;5,"Perlu Sensus",IF(AND(AG51&gt;=0,AD51&gt;0),"Tetap Deteksi","Belum Deteksi"))</f>
        <v>Belum Deteksi</v>
      </c>
      <c r="AI51" s="143"/>
      <c r="AJ51" s="9">
        <f t="shared" si="7"/>
        <v>0</v>
      </c>
      <c r="AK51" s="11"/>
      <c r="AL51" s="143"/>
      <c r="AM51" s="143"/>
      <c r="AN51" s="9">
        <f t="shared" si="8"/>
        <v>0</v>
      </c>
      <c r="AO51" s="8" t="str">
        <f t="array" ref="AO51">IF(AN51&gt;5,"Perlu Sensus",IF(AND(AN51&gt;=0,AL51&gt;0),"Tetap Deteksi","Belum Deteksi"))</f>
        <v>Belum Deteksi</v>
      </c>
      <c r="AP51" s="143"/>
      <c r="AQ51" s="9">
        <f t="shared" si="9"/>
        <v>0</v>
      </c>
    </row>
    <row r="52" spans="1:43" outlineLevel="1" x14ac:dyDescent="0.15">
      <c r="A52" s="8" t="s">
        <v>1273</v>
      </c>
      <c r="B52" s="8" t="s">
        <v>14</v>
      </c>
      <c r="C52" s="8" t="s">
        <v>47</v>
      </c>
      <c r="D52" s="186" t="s">
        <v>1319</v>
      </c>
      <c r="E52" s="9">
        <v>26.64</v>
      </c>
      <c r="F52" s="8" t="s">
        <v>1740</v>
      </c>
      <c r="G52" s="10">
        <v>3516</v>
      </c>
      <c r="H52" s="11">
        <f t="array" ref="H52">IF(OR(N52&gt;0,AC52&gt;0),MAX(N52,AC52),MAX(AK52,V52))</f>
        <v>46249</v>
      </c>
      <c r="I52" s="143">
        <f t="array" ref="I52">IF(SUM(O52,AD52)&gt;0,SUM(O52,AD52),SUM(AL52,W52))</f>
        <v>108</v>
      </c>
      <c r="J52" s="9">
        <f t="shared" si="0"/>
        <v>3.0716723549488054</v>
      </c>
      <c r="K52" s="143">
        <f t="shared" si="10"/>
        <v>2</v>
      </c>
      <c r="L52" s="9">
        <f t="shared" si="1"/>
        <v>1.8518518518518516</v>
      </c>
      <c r="M52" s="8" t="str">
        <f t="array" ref="M52">IF(L52&gt;5,"Perlu Sensus",IF(AND(L52&gt;=0,I52&gt;0),"Tetap Deteksi","Belum Deteksi"))</f>
        <v>Tetap Deteksi</v>
      </c>
      <c r="N52" s="132">
        <v>46249</v>
      </c>
      <c r="O52" s="143">
        <f t="array" ref="O52">INDEX([28]Sheet1!$H$24:$H$231,MATCH(1,([28]Sheet1!$E$24:$E$231=$D52)*([28]Sheet1!$E$24:$E$231=$D52),0))</f>
        <v>108</v>
      </c>
      <c r="P52" s="9">
        <f t="array" ref="P52">IFERROR(O52/$G52*100,0)</f>
        <v>3.0716723549488054</v>
      </c>
      <c r="Q52" s="143">
        <f t="array" ref="Q52">INDEX([28]Sheet1!$J$24:$J$231,MATCH(1,([28]Sheet1!$E$24:$E$231=$D52)*([28]Sheet1!$E$24:$E$231=$D52),0))</f>
        <v>2</v>
      </c>
      <c r="R52" s="9">
        <f t="shared" si="2"/>
        <v>1.8518518518518516</v>
      </c>
      <c r="S52" s="8" t="str">
        <f t="array" ref="S52">IF(R52&gt;5,"Perlu Sensus",IF(AND(R52&gt;=0,O52&gt;0),"Tetap Deteksi","Belum Deteksi"))</f>
        <v>Tetap Deteksi</v>
      </c>
      <c r="T52" s="143"/>
      <c r="U52" s="9">
        <f t="shared" si="3"/>
        <v>0</v>
      </c>
      <c r="V52" s="11"/>
      <c r="W52" s="143"/>
      <c r="X52" s="143"/>
      <c r="Y52" s="9">
        <f t="shared" si="4"/>
        <v>0</v>
      </c>
      <c r="Z52" s="8" t="str">
        <f t="array" ref="Z52">IF(Y52&gt;5,"Perlu Sensus",IF(AND(Y52&gt;=0,W52&gt;0),"Tetap Deteksi","Belum Deteksi"))</f>
        <v>Belum Deteksi</v>
      </c>
      <c r="AA52" s="143"/>
      <c r="AB52" s="9">
        <f t="shared" si="5"/>
        <v>0</v>
      </c>
      <c r="AC52" s="11"/>
      <c r="AD52" s="143"/>
      <c r="AE52" s="9">
        <f t="array" ref="AE52">IFERROR(AD52/$G52*100,0)</f>
        <v>0</v>
      </c>
      <c r="AF52" s="143"/>
      <c r="AG52" s="9">
        <f t="shared" si="6"/>
        <v>0</v>
      </c>
      <c r="AH52" s="8" t="str">
        <f t="array" ref="AH52">IF(AG52&gt;5,"Perlu Sensus",IF(AND(AG52&gt;=0,AD52&gt;0),"Tetap Deteksi","Belum Deteksi"))</f>
        <v>Belum Deteksi</v>
      </c>
      <c r="AI52" s="143"/>
      <c r="AJ52" s="9">
        <f t="shared" si="7"/>
        <v>0</v>
      </c>
      <c r="AK52" s="11"/>
      <c r="AL52" s="143"/>
      <c r="AM52" s="143"/>
      <c r="AN52" s="9">
        <f t="shared" si="8"/>
        <v>0</v>
      </c>
      <c r="AO52" s="8" t="str">
        <f t="array" ref="AO52">IF(AN52&gt;5,"Perlu Sensus",IF(AND(AN52&gt;=0,AL52&gt;0),"Tetap Deteksi","Belum Deteksi"))</f>
        <v>Belum Deteksi</v>
      </c>
      <c r="AP52" s="143"/>
      <c r="AQ52" s="9">
        <f t="shared" si="9"/>
        <v>0</v>
      </c>
    </row>
    <row r="53" spans="1:43" outlineLevel="1" x14ac:dyDescent="0.15">
      <c r="A53" s="8" t="s">
        <v>1273</v>
      </c>
      <c r="B53" s="8" t="s">
        <v>14</v>
      </c>
      <c r="C53" s="8" t="s">
        <v>47</v>
      </c>
      <c r="D53" s="186" t="s">
        <v>1320</v>
      </c>
      <c r="E53" s="9">
        <v>31.18</v>
      </c>
      <c r="F53" s="8" t="s">
        <v>1740</v>
      </c>
      <c r="G53" s="10">
        <v>4067</v>
      </c>
      <c r="H53" s="11">
        <f t="array" ref="H53">IF(OR(N53&gt;0,AC53&gt;0),MAX(N53,AC53),MAX(AK53,V53))</f>
        <v>46249</v>
      </c>
      <c r="I53" s="143">
        <f t="array" ref="I53">IF(SUM(O53,AD53)&gt;0,SUM(O53,AD53),SUM(AL53,W53))</f>
        <v>150</v>
      </c>
      <c r="J53" s="9">
        <f t="shared" si="0"/>
        <v>3.6882222768625526</v>
      </c>
      <c r="K53" s="143">
        <f t="shared" si="10"/>
        <v>2</v>
      </c>
      <c r="L53" s="9">
        <f t="shared" si="1"/>
        <v>1.3333333333333335</v>
      </c>
      <c r="M53" s="8" t="str">
        <f t="array" ref="M53">IF(L53&gt;5,"Perlu Sensus",IF(AND(L53&gt;=0,I53&gt;0),"Tetap Deteksi","Belum Deteksi"))</f>
        <v>Tetap Deteksi</v>
      </c>
      <c r="N53" s="132">
        <v>46249</v>
      </c>
      <c r="O53" s="143">
        <f t="array" ref="O53">INDEX([28]Sheet1!$H$24:$H$231,MATCH(1,([28]Sheet1!$E$24:$E$231=$D53)*([28]Sheet1!$E$24:$E$231=$D53),0))</f>
        <v>150</v>
      </c>
      <c r="P53" s="9">
        <f t="array" ref="P53">IFERROR(O53/$G53*100,0)</f>
        <v>3.6882222768625526</v>
      </c>
      <c r="Q53" s="143">
        <f t="array" ref="Q53">INDEX([28]Sheet1!$J$24:$J$231,MATCH(1,([28]Sheet1!$E$24:$E$231=$D53)*([28]Sheet1!$E$24:$E$231=$D53),0))</f>
        <v>2</v>
      </c>
      <c r="R53" s="9">
        <f t="shared" si="2"/>
        <v>1.3333333333333335</v>
      </c>
      <c r="S53" s="8" t="str">
        <f t="array" ref="S53">IF(R53&gt;5,"Perlu Sensus",IF(AND(R53&gt;=0,O53&gt;0),"Tetap Deteksi","Belum Deteksi"))</f>
        <v>Tetap Deteksi</v>
      </c>
      <c r="T53" s="143"/>
      <c r="U53" s="9">
        <f t="shared" si="3"/>
        <v>0</v>
      </c>
      <c r="V53" s="11"/>
      <c r="W53" s="143"/>
      <c r="X53" s="143"/>
      <c r="Y53" s="9">
        <f t="shared" si="4"/>
        <v>0</v>
      </c>
      <c r="Z53" s="8" t="str">
        <f t="array" ref="Z53">IF(Y53&gt;5,"Perlu Sensus",IF(AND(Y53&gt;=0,W53&gt;0),"Tetap Deteksi","Belum Deteksi"))</f>
        <v>Belum Deteksi</v>
      </c>
      <c r="AA53" s="143"/>
      <c r="AB53" s="9">
        <f t="shared" si="5"/>
        <v>0</v>
      </c>
      <c r="AC53" s="11"/>
      <c r="AD53" s="143"/>
      <c r="AE53" s="9">
        <f t="array" ref="AE53">IFERROR(AD53/$G53*100,0)</f>
        <v>0</v>
      </c>
      <c r="AF53" s="143"/>
      <c r="AG53" s="9">
        <f t="shared" si="6"/>
        <v>0</v>
      </c>
      <c r="AH53" s="8" t="str">
        <f t="array" ref="AH53">IF(AG53&gt;5,"Perlu Sensus",IF(AND(AG53&gt;=0,AD53&gt;0),"Tetap Deteksi","Belum Deteksi"))</f>
        <v>Belum Deteksi</v>
      </c>
      <c r="AI53" s="143"/>
      <c r="AJ53" s="9">
        <f t="shared" si="7"/>
        <v>0</v>
      </c>
      <c r="AK53" s="11"/>
      <c r="AL53" s="143"/>
      <c r="AM53" s="143"/>
      <c r="AN53" s="9">
        <f t="shared" si="8"/>
        <v>0</v>
      </c>
      <c r="AO53" s="8" t="str">
        <f t="array" ref="AO53">IF(AN53&gt;5,"Perlu Sensus",IF(AND(AN53&gt;=0,AL53&gt;0),"Tetap Deteksi","Belum Deteksi"))</f>
        <v>Belum Deteksi</v>
      </c>
      <c r="AP53" s="143"/>
      <c r="AQ53" s="9">
        <f t="shared" si="9"/>
        <v>0</v>
      </c>
    </row>
    <row r="54" spans="1:43" outlineLevel="1" x14ac:dyDescent="0.15">
      <c r="A54" s="8" t="s">
        <v>1273</v>
      </c>
      <c r="B54" s="8" t="s">
        <v>14</v>
      </c>
      <c r="C54" s="8" t="s">
        <v>47</v>
      </c>
      <c r="D54" s="186" t="s">
        <v>1321</v>
      </c>
      <c r="E54" s="9">
        <v>28.33</v>
      </c>
      <c r="F54" s="8" t="s">
        <v>1740</v>
      </c>
      <c r="G54" s="10">
        <v>3561</v>
      </c>
      <c r="H54" s="11">
        <f t="array" ref="H54">IF(OR(N54&gt;0,AC54&gt;0),MAX(N54,AC54),MAX(AK54,V54))</f>
        <v>46249</v>
      </c>
      <c r="I54" s="143">
        <f t="array" ref="I54">IF(SUM(O54,AD54)&gt;0,SUM(O54,AD54),SUM(AL54,W54))</f>
        <v>104</v>
      </c>
      <c r="J54" s="9">
        <f t="shared" si="0"/>
        <v>2.9205279415894414</v>
      </c>
      <c r="K54" s="143">
        <f t="shared" si="10"/>
        <v>2</v>
      </c>
      <c r="L54" s="9">
        <f t="shared" si="1"/>
        <v>1.9230769230769231</v>
      </c>
      <c r="M54" s="8" t="str">
        <f t="array" ref="M54">IF(L54&gt;5,"Perlu Sensus",IF(AND(L54&gt;=0,I54&gt;0),"Tetap Deteksi","Belum Deteksi"))</f>
        <v>Tetap Deteksi</v>
      </c>
      <c r="N54" s="132">
        <v>46249</v>
      </c>
      <c r="O54" s="143">
        <f t="array" ref="O54">INDEX([28]Sheet1!$H$24:$H$231,MATCH(1,([28]Sheet1!$E$24:$E$231=$D54)*([28]Sheet1!$E$24:$E$231=$D54),0))</f>
        <v>104</v>
      </c>
      <c r="P54" s="9">
        <f t="array" ref="P54">IFERROR(O54/$G54*100,0)</f>
        <v>2.9205279415894414</v>
      </c>
      <c r="Q54" s="143">
        <f t="array" ref="Q54">INDEX([28]Sheet1!$J$24:$J$231,MATCH(1,([28]Sheet1!$E$24:$E$231=$D54)*([28]Sheet1!$E$24:$E$231=$D54),0))</f>
        <v>2</v>
      </c>
      <c r="R54" s="9">
        <f t="shared" si="2"/>
        <v>1.9230769230769231</v>
      </c>
      <c r="S54" s="8" t="str">
        <f t="array" ref="S54">IF(R54&gt;5,"Perlu Sensus",IF(AND(R54&gt;=0,O54&gt;0),"Tetap Deteksi","Belum Deteksi"))</f>
        <v>Tetap Deteksi</v>
      </c>
      <c r="T54" s="143"/>
      <c r="U54" s="9">
        <f t="shared" si="3"/>
        <v>0</v>
      </c>
      <c r="V54" s="11"/>
      <c r="W54" s="143"/>
      <c r="X54" s="143"/>
      <c r="Y54" s="9">
        <f t="shared" si="4"/>
        <v>0</v>
      </c>
      <c r="Z54" s="8" t="str">
        <f t="array" ref="Z54">IF(Y54&gt;5,"Perlu Sensus",IF(AND(Y54&gt;=0,W54&gt;0),"Tetap Deteksi","Belum Deteksi"))</f>
        <v>Belum Deteksi</v>
      </c>
      <c r="AA54" s="143"/>
      <c r="AB54" s="9">
        <f t="shared" si="5"/>
        <v>0</v>
      </c>
      <c r="AC54" s="11"/>
      <c r="AD54" s="143"/>
      <c r="AE54" s="9">
        <f t="array" ref="AE54">IFERROR(AD54/$G54*100,0)</f>
        <v>0</v>
      </c>
      <c r="AF54" s="143"/>
      <c r="AG54" s="9">
        <f t="shared" si="6"/>
        <v>0</v>
      </c>
      <c r="AH54" s="8" t="str">
        <f t="array" ref="AH54">IF(AG54&gt;5,"Perlu Sensus",IF(AND(AG54&gt;=0,AD54&gt;0),"Tetap Deteksi","Belum Deteksi"))</f>
        <v>Belum Deteksi</v>
      </c>
      <c r="AI54" s="143"/>
      <c r="AJ54" s="9">
        <f t="shared" si="7"/>
        <v>0</v>
      </c>
      <c r="AK54" s="11"/>
      <c r="AL54" s="143"/>
      <c r="AM54" s="143"/>
      <c r="AN54" s="9">
        <f t="shared" si="8"/>
        <v>0</v>
      </c>
      <c r="AO54" s="8" t="str">
        <f t="array" ref="AO54">IF(AN54&gt;5,"Perlu Sensus",IF(AND(AN54&gt;=0,AL54&gt;0),"Tetap Deteksi","Belum Deteksi"))</f>
        <v>Belum Deteksi</v>
      </c>
      <c r="AP54" s="143"/>
      <c r="AQ54" s="9">
        <f t="shared" si="9"/>
        <v>0</v>
      </c>
    </row>
    <row r="55" spans="1:43" outlineLevel="1" x14ac:dyDescent="0.15">
      <c r="A55" s="8" t="s">
        <v>1273</v>
      </c>
      <c r="B55" s="8" t="s">
        <v>14</v>
      </c>
      <c r="C55" s="8" t="s">
        <v>47</v>
      </c>
      <c r="D55" s="186" t="s">
        <v>1322</v>
      </c>
      <c r="E55" s="9">
        <v>27.41</v>
      </c>
      <c r="F55" s="8" t="s">
        <v>1740</v>
      </c>
      <c r="G55" s="10">
        <v>2493</v>
      </c>
      <c r="H55" s="11">
        <f t="array" ref="H55">IF(OR(N55&gt;0,AC55&gt;0),MAX(N55,AC55),MAX(AK55,V55))</f>
        <v>46249</v>
      </c>
      <c r="I55" s="143">
        <f t="array" ref="I55">IF(SUM(O55,AD55)&gt;0,SUM(O55,AD55),SUM(AL55,W55))</f>
        <v>265</v>
      </c>
      <c r="J55" s="9">
        <f t="shared" si="0"/>
        <v>10.629763337344565</v>
      </c>
      <c r="K55" s="143">
        <f t="shared" si="10"/>
        <v>1</v>
      </c>
      <c r="L55" s="9">
        <f t="shared" si="1"/>
        <v>0.37735849056603776</v>
      </c>
      <c r="M55" s="8" t="str">
        <f t="array" ref="M55">IF(L55&gt;5,"Perlu Sensus",IF(AND(L55&gt;=0,I55&gt;0),"Tetap Deteksi","Belum Deteksi"))</f>
        <v>Tetap Deteksi</v>
      </c>
      <c r="N55" s="132">
        <v>46249</v>
      </c>
      <c r="O55" s="143">
        <f t="array" ref="O55">INDEX([28]Sheet1!$H$24:$H$231,MATCH(1,([28]Sheet1!$E$24:$E$231=$D55)*([28]Sheet1!$E$24:$E$231=$D55),0))</f>
        <v>265</v>
      </c>
      <c r="P55" s="9">
        <f t="array" ref="P55">IFERROR(O55/$G55*100,0)</f>
        <v>10.629763337344565</v>
      </c>
      <c r="Q55" s="143">
        <f t="array" ref="Q55">INDEX([28]Sheet1!$J$24:$J$231,MATCH(1,([28]Sheet1!$E$24:$E$231=$D55)*([28]Sheet1!$E$24:$E$231=$D55),0))</f>
        <v>1</v>
      </c>
      <c r="R55" s="9">
        <f t="shared" si="2"/>
        <v>0.37735849056603776</v>
      </c>
      <c r="S55" s="8" t="str">
        <f t="array" ref="S55">IF(R55&gt;5,"Perlu Sensus",IF(AND(R55&gt;=0,O55&gt;0),"Tetap Deteksi","Belum Deteksi"))</f>
        <v>Tetap Deteksi</v>
      </c>
      <c r="T55" s="143"/>
      <c r="U55" s="9">
        <f t="shared" si="3"/>
        <v>0</v>
      </c>
      <c r="V55" s="11"/>
      <c r="W55" s="143"/>
      <c r="X55" s="143"/>
      <c r="Y55" s="9">
        <f t="shared" si="4"/>
        <v>0</v>
      </c>
      <c r="Z55" s="8" t="str">
        <f t="array" ref="Z55">IF(Y55&gt;5,"Perlu Sensus",IF(AND(Y55&gt;=0,W55&gt;0),"Tetap Deteksi","Belum Deteksi"))</f>
        <v>Belum Deteksi</v>
      </c>
      <c r="AA55" s="143"/>
      <c r="AB55" s="9">
        <f t="shared" si="5"/>
        <v>0</v>
      </c>
      <c r="AC55" s="11"/>
      <c r="AD55" s="143"/>
      <c r="AE55" s="9">
        <f t="array" ref="AE55">IFERROR(AD55/$G55*100,0)</f>
        <v>0</v>
      </c>
      <c r="AF55" s="143"/>
      <c r="AG55" s="9">
        <f t="shared" si="6"/>
        <v>0</v>
      </c>
      <c r="AH55" s="8" t="str">
        <f t="array" ref="AH55">IF(AG55&gt;5,"Perlu Sensus",IF(AND(AG55&gt;=0,AD55&gt;0),"Tetap Deteksi","Belum Deteksi"))</f>
        <v>Belum Deteksi</v>
      </c>
      <c r="AI55" s="143"/>
      <c r="AJ55" s="9">
        <f t="shared" si="7"/>
        <v>0</v>
      </c>
      <c r="AK55" s="11"/>
      <c r="AL55" s="143"/>
      <c r="AM55" s="143"/>
      <c r="AN55" s="9">
        <f t="shared" si="8"/>
        <v>0</v>
      </c>
      <c r="AO55" s="8" t="str">
        <f t="array" ref="AO55">IF(AN55&gt;5,"Perlu Sensus",IF(AND(AN55&gt;=0,AL55&gt;0),"Tetap Deteksi","Belum Deteksi"))</f>
        <v>Belum Deteksi</v>
      </c>
      <c r="AP55" s="143"/>
      <c r="AQ55" s="9">
        <f t="shared" si="9"/>
        <v>0</v>
      </c>
    </row>
    <row r="56" spans="1:43" outlineLevel="1" x14ac:dyDescent="0.15">
      <c r="A56" s="8" t="s">
        <v>1273</v>
      </c>
      <c r="B56" s="8" t="s">
        <v>14</v>
      </c>
      <c r="C56" s="8" t="s">
        <v>47</v>
      </c>
      <c r="D56" s="186" t="s">
        <v>1323</v>
      </c>
      <c r="E56" s="9">
        <v>38.730000000000004</v>
      </c>
      <c r="F56" s="8" t="s">
        <v>1740</v>
      </c>
      <c r="G56" s="10">
        <v>4604</v>
      </c>
      <c r="H56" s="11">
        <f t="array" ref="H56">IF(OR(N56&gt;0,AC56&gt;0),MAX(N56,AC56),MAX(AK56,V56))</f>
        <v>46249</v>
      </c>
      <c r="I56" s="143">
        <f t="array" ref="I56">IF(SUM(O56,AD56)&gt;0,SUM(O56,AD56),SUM(AL56,W56))</f>
        <v>123</v>
      </c>
      <c r="J56" s="9">
        <f t="shared" si="0"/>
        <v>2.6715899218071244</v>
      </c>
      <c r="K56" s="143">
        <f t="shared" si="10"/>
        <v>2</v>
      </c>
      <c r="L56" s="9">
        <f t="shared" si="1"/>
        <v>1.6260162601626018</v>
      </c>
      <c r="M56" s="8" t="str">
        <f t="array" ref="M56">IF(L56&gt;5,"Perlu Sensus",IF(AND(L56&gt;=0,I56&gt;0),"Tetap Deteksi","Belum Deteksi"))</f>
        <v>Tetap Deteksi</v>
      </c>
      <c r="N56" s="132">
        <v>46249</v>
      </c>
      <c r="O56" s="143">
        <f t="array" ref="O56">INDEX([28]Sheet1!$H$24:$H$231,MATCH(1,([28]Sheet1!$E$24:$E$231=$D56)*([28]Sheet1!$E$24:$E$231=$D56),0))</f>
        <v>123</v>
      </c>
      <c r="P56" s="9">
        <f t="array" ref="P56">IFERROR(O56/$G56*100,0)</f>
        <v>2.6715899218071244</v>
      </c>
      <c r="Q56" s="143">
        <f t="array" ref="Q56">INDEX([28]Sheet1!$J$24:$J$231,MATCH(1,([28]Sheet1!$E$24:$E$231=$D56)*([28]Sheet1!$E$24:$E$231=$D56),0))</f>
        <v>2</v>
      </c>
      <c r="R56" s="9">
        <f t="shared" si="2"/>
        <v>1.6260162601626018</v>
      </c>
      <c r="S56" s="8" t="str">
        <f t="array" ref="S56">IF(R56&gt;5,"Perlu Sensus",IF(AND(R56&gt;=0,O56&gt;0),"Tetap Deteksi","Belum Deteksi"))</f>
        <v>Tetap Deteksi</v>
      </c>
      <c r="T56" s="143"/>
      <c r="U56" s="9">
        <f t="shared" si="3"/>
        <v>0</v>
      </c>
      <c r="V56" s="11"/>
      <c r="W56" s="143"/>
      <c r="X56" s="143"/>
      <c r="Y56" s="9">
        <f t="shared" si="4"/>
        <v>0</v>
      </c>
      <c r="Z56" s="8" t="str">
        <f t="array" ref="Z56">IF(Y56&gt;5,"Perlu Sensus",IF(AND(Y56&gt;=0,W56&gt;0),"Tetap Deteksi","Belum Deteksi"))</f>
        <v>Belum Deteksi</v>
      </c>
      <c r="AA56" s="143"/>
      <c r="AB56" s="9">
        <f t="shared" si="5"/>
        <v>0</v>
      </c>
      <c r="AC56" s="11"/>
      <c r="AD56" s="143"/>
      <c r="AE56" s="9">
        <f t="array" ref="AE56">IFERROR(AD56/$G56*100,0)</f>
        <v>0</v>
      </c>
      <c r="AF56" s="143"/>
      <c r="AG56" s="9">
        <f t="shared" si="6"/>
        <v>0</v>
      </c>
      <c r="AH56" s="8" t="str">
        <f t="array" ref="AH56">IF(AG56&gt;5,"Perlu Sensus",IF(AND(AG56&gt;=0,AD56&gt;0),"Tetap Deteksi","Belum Deteksi"))</f>
        <v>Belum Deteksi</v>
      </c>
      <c r="AI56" s="143"/>
      <c r="AJ56" s="9">
        <f t="shared" si="7"/>
        <v>0</v>
      </c>
      <c r="AK56" s="11"/>
      <c r="AL56" s="143"/>
      <c r="AM56" s="143"/>
      <c r="AN56" s="9">
        <f t="shared" si="8"/>
        <v>0</v>
      </c>
      <c r="AO56" s="8" t="str">
        <f t="array" ref="AO56">IF(AN56&gt;5,"Perlu Sensus",IF(AND(AN56&gt;=0,AL56&gt;0),"Tetap Deteksi","Belum Deteksi"))</f>
        <v>Belum Deteksi</v>
      </c>
      <c r="AP56" s="143"/>
      <c r="AQ56" s="9">
        <f t="shared" si="9"/>
        <v>0</v>
      </c>
    </row>
    <row r="57" spans="1:43" outlineLevel="1" x14ac:dyDescent="0.15">
      <c r="A57" s="8" t="s">
        <v>1273</v>
      </c>
      <c r="B57" s="8" t="s">
        <v>14</v>
      </c>
      <c r="C57" s="8" t="s">
        <v>47</v>
      </c>
      <c r="D57" s="186" t="s">
        <v>1324</v>
      </c>
      <c r="E57" s="9">
        <v>29.55</v>
      </c>
      <c r="F57" s="8" t="s">
        <v>1740</v>
      </c>
      <c r="G57" s="10">
        <v>2895</v>
      </c>
      <c r="H57" s="11">
        <f t="array" ref="H57">IF(OR(N57&gt;0,AC57&gt;0),MAX(N57,AC57),MAX(AK57,V57))</f>
        <v>46249</v>
      </c>
      <c r="I57" s="143">
        <f t="array" ref="I57">IF(SUM(O57,AD57)&gt;0,SUM(O57,AD57),SUM(AL57,W57))</f>
        <v>122</v>
      </c>
      <c r="J57" s="9">
        <f t="shared" si="0"/>
        <v>4.214162348877375</v>
      </c>
      <c r="K57" s="143">
        <f t="shared" si="10"/>
        <v>2</v>
      </c>
      <c r="L57" s="9">
        <f t="shared" si="1"/>
        <v>1.639344262295082</v>
      </c>
      <c r="M57" s="8" t="str">
        <f t="array" ref="M57">IF(L57&gt;5,"Perlu Sensus",IF(AND(L57&gt;=0,I57&gt;0),"Tetap Deteksi","Belum Deteksi"))</f>
        <v>Tetap Deteksi</v>
      </c>
      <c r="N57" s="132">
        <v>46249</v>
      </c>
      <c r="O57" s="143">
        <f t="array" ref="O57">INDEX([28]Sheet1!$H$24:$H$231,MATCH(1,([28]Sheet1!$E$24:$E$231=$D57)*([28]Sheet1!$E$24:$E$231=$D57),0))</f>
        <v>122</v>
      </c>
      <c r="P57" s="9">
        <f t="array" ref="P57">IFERROR(O57/$G57*100,0)</f>
        <v>4.214162348877375</v>
      </c>
      <c r="Q57" s="143">
        <f t="array" ref="Q57">INDEX([28]Sheet1!$J$24:$J$231,MATCH(1,([28]Sheet1!$E$24:$E$231=$D57)*([28]Sheet1!$E$24:$E$231=$D57),0))</f>
        <v>2</v>
      </c>
      <c r="R57" s="9">
        <f t="shared" si="2"/>
        <v>1.639344262295082</v>
      </c>
      <c r="S57" s="8" t="str">
        <f t="array" ref="S57">IF(R57&gt;5,"Perlu Sensus",IF(AND(R57&gt;=0,O57&gt;0),"Tetap Deteksi","Belum Deteksi"))</f>
        <v>Tetap Deteksi</v>
      </c>
      <c r="T57" s="143"/>
      <c r="U57" s="9">
        <f t="shared" si="3"/>
        <v>0</v>
      </c>
      <c r="V57" s="11"/>
      <c r="W57" s="143"/>
      <c r="X57" s="143"/>
      <c r="Y57" s="9">
        <f t="shared" si="4"/>
        <v>0</v>
      </c>
      <c r="Z57" s="8" t="str">
        <f t="array" ref="Z57">IF(Y57&gt;5,"Perlu Sensus",IF(AND(Y57&gt;=0,W57&gt;0),"Tetap Deteksi","Belum Deteksi"))</f>
        <v>Belum Deteksi</v>
      </c>
      <c r="AA57" s="143"/>
      <c r="AB57" s="9">
        <f t="shared" si="5"/>
        <v>0</v>
      </c>
      <c r="AC57" s="11"/>
      <c r="AD57" s="143"/>
      <c r="AE57" s="9">
        <f t="array" ref="AE57">IFERROR(AD57/$G57*100,0)</f>
        <v>0</v>
      </c>
      <c r="AF57" s="143"/>
      <c r="AG57" s="9">
        <f t="shared" si="6"/>
        <v>0</v>
      </c>
      <c r="AH57" s="8" t="str">
        <f t="array" ref="AH57">IF(AG57&gt;5,"Perlu Sensus",IF(AND(AG57&gt;=0,AD57&gt;0),"Tetap Deteksi","Belum Deteksi"))</f>
        <v>Belum Deteksi</v>
      </c>
      <c r="AI57" s="143"/>
      <c r="AJ57" s="9">
        <f t="shared" si="7"/>
        <v>0</v>
      </c>
      <c r="AK57" s="11"/>
      <c r="AL57" s="143"/>
      <c r="AM57" s="143"/>
      <c r="AN57" s="9">
        <f t="shared" si="8"/>
        <v>0</v>
      </c>
      <c r="AO57" s="8" t="str">
        <f t="array" ref="AO57">IF(AN57&gt;5,"Perlu Sensus",IF(AND(AN57&gt;=0,AL57&gt;0),"Tetap Deteksi","Belum Deteksi"))</f>
        <v>Belum Deteksi</v>
      </c>
      <c r="AP57" s="143"/>
      <c r="AQ57" s="9">
        <f t="shared" si="9"/>
        <v>0</v>
      </c>
    </row>
    <row r="58" spans="1:43" outlineLevel="1" x14ac:dyDescent="0.15">
      <c r="A58" s="8" t="s">
        <v>1273</v>
      </c>
      <c r="B58" s="8" t="s">
        <v>14</v>
      </c>
      <c r="C58" s="8" t="s">
        <v>47</v>
      </c>
      <c r="D58" s="186" t="s">
        <v>1325</v>
      </c>
      <c r="E58" s="9">
        <v>29.99</v>
      </c>
      <c r="F58" s="8" t="s">
        <v>1740</v>
      </c>
      <c r="G58" s="10">
        <v>3614</v>
      </c>
      <c r="H58" s="11">
        <f t="array" ref="H58">IF(OR(N58&gt;0,AC58&gt;0),MAX(N58,AC58),MAX(AK58,V58))</f>
        <v>46249</v>
      </c>
      <c r="I58" s="143">
        <f t="array" ref="I58">IF(SUM(O58,AD58)&gt;0,SUM(O58,AD58),SUM(AL58,W58))</f>
        <v>137</v>
      </c>
      <c r="J58" s="9">
        <f t="shared" si="0"/>
        <v>3.7908135030437191</v>
      </c>
      <c r="K58" s="143">
        <f t="shared" si="10"/>
        <v>1</v>
      </c>
      <c r="L58" s="9">
        <f t="shared" si="1"/>
        <v>0.72992700729927007</v>
      </c>
      <c r="M58" s="8" t="str">
        <f t="array" ref="M58">IF(L58&gt;5,"Perlu Sensus",IF(AND(L58&gt;=0,I58&gt;0),"Tetap Deteksi","Belum Deteksi"))</f>
        <v>Tetap Deteksi</v>
      </c>
      <c r="N58" s="132">
        <v>46249</v>
      </c>
      <c r="O58" s="143">
        <f t="array" ref="O58">INDEX([28]Sheet1!$H$24:$H$231,MATCH(1,([28]Sheet1!$E$24:$E$231=$D58)*([28]Sheet1!$E$24:$E$231=$D58),0))</f>
        <v>137</v>
      </c>
      <c r="P58" s="9">
        <f t="array" ref="P58">IFERROR(O58/$G58*100,0)</f>
        <v>3.7908135030437191</v>
      </c>
      <c r="Q58" s="143">
        <f t="array" ref="Q58">INDEX([28]Sheet1!$J$24:$J$231,MATCH(1,([28]Sheet1!$E$24:$E$231=$D58)*([28]Sheet1!$E$24:$E$231=$D58),0))</f>
        <v>1</v>
      </c>
      <c r="R58" s="9">
        <f t="shared" si="2"/>
        <v>0.72992700729927007</v>
      </c>
      <c r="S58" s="8" t="str">
        <f t="array" ref="S58">IF(R58&gt;5,"Perlu Sensus",IF(AND(R58&gt;=0,O58&gt;0),"Tetap Deteksi","Belum Deteksi"))</f>
        <v>Tetap Deteksi</v>
      </c>
      <c r="T58" s="143"/>
      <c r="U58" s="9">
        <f t="shared" si="3"/>
        <v>0</v>
      </c>
      <c r="V58" s="11"/>
      <c r="W58" s="143"/>
      <c r="X58" s="143"/>
      <c r="Y58" s="9">
        <f t="shared" si="4"/>
        <v>0</v>
      </c>
      <c r="Z58" s="8" t="str">
        <f t="array" ref="Z58">IF(Y58&gt;5,"Perlu Sensus",IF(AND(Y58&gt;=0,W58&gt;0),"Tetap Deteksi","Belum Deteksi"))</f>
        <v>Belum Deteksi</v>
      </c>
      <c r="AA58" s="143"/>
      <c r="AB58" s="9">
        <f t="shared" si="5"/>
        <v>0</v>
      </c>
      <c r="AC58" s="11"/>
      <c r="AD58" s="143"/>
      <c r="AE58" s="9">
        <f t="array" ref="AE58">IFERROR(AD58/$G58*100,0)</f>
        <v>0</v>
      </c>
      <c r="AF58" s="143"/>
      <c r="AG58" s="9">
        <f t="shared" si="6"/>
        <v>0</v>
      </c>
      <c r="AH58" s="8" t="str">
        <f t="array" ref="AH58">IF(AG58&gt;5,"Perlu Sensus",IF(AND(AG58&gt;=0,AD58&gt;0),"Tetap Deteksi","Belum Deteksi"))</f>
        <v>Belum Deteksi</v>
      </c>
      <c r="AI58" s="143"/>
      <c r="AJ58" s="9">
        <f t="shared" si="7"/>
        <v>0</v>
      </c>
      <c r="AK58" s="11"/>
      <c r="AL58" s="143"/>
      <c r="AM58" s="143"/>
      <c r="AN58" s="9">
        <f t="shared" si="8"/>
        <v>0</v>
      </c>
      <c r="AO58" s="8" t="str">
        <f t="array" ref="AO58">IF(AN58&gt;5,"Perlu Sensus",IF(AND(AN58&gt;=0,AL58&gt;0),"Tetap Deteksi","Belum Deteksi"))</f>
        <v>Belum Deteksi</v>
      </c>
      <c r="AP58" s="143"/>
      <c r="AQ58" s="9">
        <f t="shared" si="9"/>
        <v>0</v>
      </c>
    </row>
    <row r="59" spans="1:43" outlineLevel="1" x14ac:dyDescent="0.15">
      <c r="A59" s="8" t="s">
        <v>1273</v>
      </c>
      <c r="B59" s="8" t="s">
        <v>14</v>
      </c>
      <c r="C59" s="8" t="s">
        <v>47</v>
      </c>
      <c r="D59" s="186" t="s">
        <v>1326</v>
      </c>
      <c r="E59" s="9">
        <v>29.34</v>
      </c>
      <c r="F59" s="8" t="s">
        <v>1740</v>
      </c>
      <c r="G59" s="10">
        <v>4040</v>
      </c>
      <c r="H59" s="11">
        <f t="array" ref="H59">IF(OR(N59&gt;0,AC59&gt;0),MAX(N59,AC59),MAX(AK59,V59))</f>
        <v>46249</v>
      </c>
      <c r="I59" s="143">
        <f t="array" ref="I59">IF(SUM(O59,AD59)&gt;0,SUM(O59,AD59),SUM(AL59,W59))</f>
        <v>102</v>
      </c>
      <c r="J59" s="9">
        <f t="shared" si="0"/>
        <v>2.5247524752475248</v>
      </c>
      <c r="K59" s="143">
        <f t="shared" si="10"/>
        <v>1</v>
      </c>
      <c r="L59" s="9">
        <f t="shared" si="1"/>
        <v>0.98039215686274506</v>
      </c>
      <c r="M59" s="8" t="str">
        <f t="array" ref="M59">IF(L59&gt;5,"Perlu Sensus",IF(AND(L59&gt;=0,I59&gt;0),"Tetap Deteksi","Belum Deteksi"))</f>
        <v>Tetap Deteksi</v>
      </c>
      <c r="N59" s="132">
        <v>46249</v>
      </c>
      <c r="O59" s="143">
        <f t="array" ref="O59">INDEX([28]Sheet1!$H$24:$H$231,MATCH(1,([28]Sheet1!$E$24:$E$231=$D59)*([28]Sheet1!$E$24:$E$231=$D59),0))</f>
        <v>102</v>
      </c>
      <c r="P59" s="9">
        <f t="array" ref="P59">IFERROR(O59/$G59*100,0)</f>
        <v>2.5247524752475248</v>
      </c>
      <c r="Q59" s="143">
        <f t="array" ref="Q59">INDEX([28]Sheet1!$J$24:$J$231,MATCH(1,([28]Sheet1!$E$24:$E$231=$D59)*([28]Sheet1!$E$24:$E$231=$D59),0))</f>
        <v>1</v>
      </c>
      <c r="R59" s="9">
        <f t="shared" si="2"/>
        <v>0.98039215686274506</v>
      </c>
      <c r="S59" s="8" t="str">
        <f t="array" ref="S59">IF(R59&gt;5,"Perlu Sensus",IF(AND(R59&gt;=0,O59&gt;0),"Tetap Deteksi","Belum Deteksi"))</f>
        <v>Tetap Deteksi</v>
      </c>
      <c r="T59" s="143"/>
      <c r="U59" s="9">
        <f t="shared" si="3"/>
        <v>0</v>
      </c>
      <c r="V59" s="11"/>
      <c r="W59" s="143"/>
      <c r="X59" s="143"/>
      <c r="Y59" s="9">
        <f t="shared" si="4"/>
        <v>0</v>
      </c>
      <c r="Z59" s="8" t="str">
        <f t="array" ref="Z59">IF(Y59&gt;5,"Perlu Sensus",IF(AND(Y59&gt;=0,W59&gt;0),"Tetap Deteksi","Belum Deteksi"))</f>
        <v>Belum Deteksi</v>
      </c>
      <c r="AA59" s="143"/>
      <c r="AB59" s="9">
        <f t="shared" si="5"/>
        <v>0</v>
      </c>
      <c r="AC59" s="11"/>
      <c r="AD59" s="143"/>
      <c r="AE59" s="9">
        <f t="array" ref="AE59">IFERROR(AD59/$G59*100,0)</f>
        <v>0</v>
      </c>
      <c r="AF59" s="143"/>
      <c r="AG59" s="9">
        <f t="shared" si="6"/>
        <v>0</v>
      </c>
      <c r="AH59" s="8" t="str">
        <f t="array" ref="AH59">IF(AG59&gt;5,"Perlu Sensus",IF(AND(AG59&gt;=0,AD59&gt;0),"Tetap Deteksi","Belum Deteksi"))</f>
        <v>Belum Deteksi</v>
      </c>
      <c r="AI59" s="143"/>
      <c r="AJ59" s="9">
        <f t="shared" si="7"/>
        <v>0</v>
      </c>
      <c r="AK59" s="11"/>
      <c r="AL59" s="143"/>
      <c r="AM59" s="143"/>
      <c r="AN59" s="9">
        <f t="shared" si="8"/>
        <v>0</v>
      </c>
      <c r="AO59" s="8" t="str">
        <f t="array" ref="AO59">IF(AN59&gt;5,"Perlu Sensus",IF(AND(AN59&gt;=0,AL59&gt;0),"Tetap Deteksi","Belum Deteksi"))</f>
        <v>Belum Deteksi</v>
      </c>
      <c r="AP59" s="143"/>
      <c r="AQ59" s="9">
        <f t="shared" si="9"/>
        <v>0</v>
      </c>
    </row>
    <row r="60" spans="1:43" outlineLevel="1" x14ac:dyDescent="0.15">
      <c r="A60" s="8" t="s">
        <v>1273</v>
      </c>
      <c r="B60" s="8" t="s">
        <v>14</v>
      </c>
      <c r="C60" s="8" t="s">
        <v>47</v>
      </c>
      <c r="D60" s="8" t="s">
        <v>1327</v>
      </c>
      <c r="E60" s="9">
        <v>29.53</v>
      </c>
      <c r="F60" s="8" t="s">
        <v>1740</v>
      </c>
      <c r="G60" s="10">
        <v>3835</v>
      </c>
      <c r="H60" s="11">
        <f t="array" ref="H60">IF(OR(N60&gt;0,AC60&gt;0),MAX(N60,AC60),MAX(AK60,V60))</f>
        <v>46249</v>
      </c>
      <c r="I60" s="143">
        <f t="array" ref="I60">IF(SUM(O60,AD60)&gt;0,SUM(O60,AD60),SUM(AL60,W60))</f>
        <v>54</v>
      </c>
      <c r="J60" s="9">
        <f t="shared" si="0"/>
        <v>1.4080834419817472</v>
      </c>
      <c r="K60" s="143">
        <f t="shared" si="10"/>
        <v>1</v>
      </c>
      <c r="L60" s="9">
        <f t="shared" si="1"/>
        <v>1.8518518518518516</v>
      </c>
      <c r="M60" s="8" t="str">
        <f t="array" ref="M60">IF(L60&gt;5,"Perlu Sensus",IF(AND(L60&gt;=0,I60&gt;0),"Tetap Deteksi","Belum Deteksi"))</f>
        <v>Tetap Deteksi</v>
      </c>
      <c r="N60" s="132">
        <v>46249</v>
      </c>
      <c r="O60" s="143">
        <f t="array" ref="O60">INDEX([28]Sheet1!$H$24:$H$231,MATCH(1,([28]Sheet1!$E$24:$E$231=$D60)*([28]Sheet1!$E$24:$E$231=$D60),0))</f>
        <v>54</v>
      </c>
      <c r="P60" s="9">
        <f t="array" ref="P60">IFERROR(O60/$G60*100,0)</f>
        <v>1.4080834419817472</v>
      </c>
      <c r="Q60" s="143">
        <f t="array" ref="Q60">INDEX([28]Sheet1!$J$24:$J$231,MATCH(1,([28]Sheet1!$E$24:$E$231=$D60)*([28]Sheet1!$E$24:$E$231=$D60),0))</f>
        <v>1</v>
      </c>
      <c r="R60" s="9">
        <f t="shared" si="2"/>
        <v>1.8518518518518516</v>
      </c>
      <c r="S60" s="8" t="str">
        <f t="array" ref="S60">IF(R60&gt;5,"Perlu Sensus",IF(AND(R60&gt;=0,O60&gt;0),"Tetap Deteksi","Belum Deteksi"))</f>
        <v>Tetap Deteksi</v>
      </c>
      <c r="T60" s="143"/>
      <c r="U60" s="9">
        <f t="shared" si="3"/>
        <v>0</v>
      </c>
      <c r="V60" s="11"/>
      <c r="W60" s="143"/>
      <c r="X60" s="143"/>
      <c r="Y60" s="9">
        <f t="shared" si="4"/>
        <v>0</v>
      </c>
      <c r="Z60" s="8" t="str">
        <f t="array" ref="Z60">IF(Y60&gt;5,"Perlu Sensus",IF(AND(Y60&gt;=0,W60&gt;0),"Tetap Deteksi","Belum Deteksi"))</f>
        <v>Belum Deteksi</v>
      </c>
      <c r="AA60" s="143"/>
      <c r="AB60" s="9">
        <f t="shared" si="5"/>
        <v>0</v>
      </c>
      <c r="AC60" s="11"/>
      <c r="AD60" s="143"/>
      <c r="AE60" s="9">
        <f t="array" ref="AE60">IFERROR(AD60/$G60*100,0)</f>
        <v>0</v>
      </c>
      <c r="AF60" s="143"/>
      <c r="AG60" s="9">
        <f t="shared" si="6"/>
        <v>0</v>
      </c>
      <c r="AH60" s="8" t="str">
        <f t="array" ref="AH60">IF(AG60&gt;5,"Perlu Sensus",IF(AND(AG60&gt;=0,AD60&gt;0),"Tetap Deteksi","Belum Deteksi"))</f>
        <v>Belum Deteksi</v>
      </c>
      <c r="AI60" s="143"/>
      <c r="AJ60" s="9">
        <f t="shared" si="7"/>
        <v>0</v>
      </c>
      <c r="AK60" s="11"/>
      <c r="AL60" s="143"/>
      <c r="AM60" s="143"/>
      <c r="AN60" s="9">
        <f t="shared" si="8"/>
        <v>0</v>
      </c>
      <c r="AO60" s="8" t="str">
        <f t="array" ref="AO60">IF(AN60&gt;5,"Perlu Sensus",IF(AND(AN60&gt;=0,AL60&gt;0),"Tetap Deteksi","Belum Deteksi"))</f>
        <v>Belum Deteksi</v>
      </c>
      <c r="AP60" s="143"/>
      <c r="AQ60" s="9">
        <f t="shared" si="9"/>
        <v>0</v>
      </c>
    </row>
    <row r="61" spans="1:43" outlineLevel="1" x14ac:dyDescent="0.15">
      <c r="A61" s="8" t="s">
        <v>1273</v>
      </c>
      <c r="B61" s="8" t="s">
        <v>14</v>
      </c>
      <c r="C61" s="8" t="s">
        <v>47</v>
      </c>
      <c r="D61" s="186" t="s">
        <v>1328</v>
      </c>
      <c r="E61" s="9">
        <v>29.08</v>
      </c>
      <c r="F61" s="8" t="s">
        <v>1740</v>
      </c>
      <c r="G61" s="10">
        <v>3858</v>
      </c>
      <c r="H61" s="11">
        <f t="array" ref="H61">IF(OR(N61&gt;0,AC61&gt;0),MAX(N61,AC61),MAX(AK61,V61))</f>
        <v>46249</v>
      </c>
      <c r="I61" s="143">
        <f t="array" ref="I61">IF(SUM(O61,AD61)&gt;0,SUM(O61,AD61),SUM(AL61,W61))</f>
        <v>101</v>
      </c>
      <c r="J61" s="9">
        <f t="shared" si="0"/>
        <v>2.6179367547952306</v>
      </c>
      <c r="K61" s="143">
        <f t="shared" si="10"/>
        <v>1</v>
      </c>
      <c r="L61" s="9">
        <f t="shared" si="1"/>
        <v>0.99009900990099009</v>
      </c>
      <c r="M61" s="8" t="str">
        <f t="array" ref="M61">IF(L61&gt;5,"Perlu Sensus",IF(AND(L61&gt;=0,I61&gt;0),"Tetap Deteksi","Belum Deteksi"))</f>
        <v>Tetap Deteksi</v>
      </c>
      <c r="N61" s="132">
        <v>46249</v>
      </c>
      <c r="O61" s="143">
        <f t="array" ref="O61">INDEX([28]Sheet1!$H$24:$H$231,MATCH(1,([28]Sheet1!$E$24:$E$231=$D61)*([28]Sheet1!$E$24:$E$231=$D61),0))</f>
        <v>101</v>
      </c>
      <c r="P61" s="9">
        <f t="array" ref="P61">IFERROR(O61/$G61*100,0)</f>
        <v>2.6179367547952306</v>
      </c>
      <c r="Q61" s="143">
        <f t="array" ref="Q61">INDEX([28]Sheet1!$J$24:$J$231,MATCH(1,([28]Sheet1!$E$24:$E$231=$D61)*([28]Sheet1!$E$24:$E$231=$D61),0))</f>
        <v>1</v>
      </c>
      <c r="R61" s="9">
        <f t="shared" si="2"/>
        <v>0.99009900990099009</v>
      </c>
      <c r="S61" s="8" t="str">
        <f t="array" ref="S61">IF(R61&gt;5,"Perlu Sensus",IF(AND(R61&gt;=0,O61&gt;0),"Tetap Deteksi","Belum Deteksi"))</f>
        <v>Tetap Deteksi</v>
      </c>
      <c r="T61" s="143"/>
      <c r="U61" s="9">
        <f t="shared" si="3"/>
        <v>0</v>
      </c>
      <c r="V61" s="11"/>
      <c r="W61" s="143"/>
      <c r="X61" s="143"/>
      <c r="Y61" s="9">
        <f t="shared" si="4"/>
        <v>0</v>
      </c>
      <c r="Z61" s="8" t="str">
        <f t="array" ref="Z61">IF(Y61&gt;5,"Perlu Sensus",IF(AND(Y61&gt;=0,W61&gt;0),"Tetap Deteksi","Belum Deteksi"))</f>
        <v>Belum Deteksi</v>
      </c>
      <c r="AA61" s="143"/>
      <c r="AB61" s="9">
        <f t="shared" si="5"/>
        <v>0</v>
      </c>
      <c r="AC61" s="11"/>
      <c r="AD61" s="143"/>
      <c r="AE61" s="9">
        <f t="array" ref="AE61">IFERROR(AD61/$G61*100,0)</f>
        <v>0</v>
      </c>
      <c r="AF61" s="143"/>
      <c r="AG61" s="9">
        <f t="shared" si="6"/>
        <v>0</v>
      </c>
      <c r="AH61" s="8" t="str">
        <f t="array" ref="AH61">IF(AG61&gt;5,"Perlu Sensus",IF(AND(AG61&gt;=0,AD61&gt;0),"Tetap Deteksi","Belum Deteksi"))</f>
        <v>Belum Deteksi</v>
      </c>
      <c r="AI61" s="143"/>
      <c r="AJ61" s="9">
        <f t="shared" si="7"/>
        <v>0</v>
      </c>
      <c r="AK61" s="11"/>
      <c r="AL61" s="143"/>
      <c r="AM61" s="143"/>
      <c r="AN61" s="9">
        <f t="shared" si="8"/>
        <v>0</v>
      </c>
      <c r="AO61" s="8" t="str">
        <f t="array" ref="AO61">IF(AN61&gt;5,"Perlu Sensus",IF(AND(AN61&gt;=0,AL61&gt;0),"Tetap Deteksi","Belum Deteksi"))</f>
        <v>Belum Deteksi</v>
      </c>
      <c r="AP61" s="143"/>
      <c r="AQ61" s="9">
        <f t="shared" si="9"/>
        <v>0</v>
      </c>
    </row>
    <row r="62" spans="1:43" outlineLevel="1" x14ac:dyDescent="0.15">
      <c r="A62" s="8" t="s">
        <v>1273</v>
      </c>
      <c r="B62" s="8" t="s">
        <v>14</v>
      </c>
      <c r="C62" s="8" t="s">
        <v>47</v>
      </c>
      <c r="D62" s="186" t="s">
        <v>1329</v>
      </c>
      <c r="E62" s="9">
        <v>29.46</v>
      </c>
      <c r="F62" s="8" t="s">
        <v>1740</v>
      </c>
      <c r="G62" s="10">
        <v>4223</v>
      </c>
      <c r="H62" s="11">
        <f t="array" ref="H62">IF(OR(N62&gt;0,AC62&gt;0),MAX(N62,AC62),MAX(AK62,V62))</f>
        <v>46249</v>
      </c>
      <c r="I62" s="143">
        <f t="array" ref="I62">IF(SUM(O62,AD62)&gt;0,SUM(O62,AD62),SUM(AL62,W62))</f>
        <v>127</v>
      </c>
      <c r="J62" s="9">
        <f t="shared" si="0"/>
        <v>3.0073407530191809</v>
      </c>
      <c r="K62" s="143">
        <f t="shared" si="10"/>
        <v>2</v>
      </c>
      <c r="L62" s="9">
        <f t="shared" si="1"/>
        <v>1.5748031496062991</v>
      </c>
      <c r="M62" s="8" t="str">
        <f t="array" ref="M62">IF(L62&gt;5,"Perlu Sensus",IF(AND(L62&gt;=0,I62&gt;0),"Tetap Deteksi","Belum Deteksi"))</f>
        <v>Tetap Deteksi</v>
      </c>
      <c r="N62" s="132">
        <v>46249</v>
      </c>
      <c r="O62" s="143">
        <f t="array" ref="O62">INDEX([28]Sheet1!$H$24:$H$231,MATCH(1,([28]Sheet1!$E$24:$E$231=$D62)*([28]Sheet1!$E$24:$E$231=$D62),0))</f>
        <v>127</v>
      </c>
      <c r="P62" s="9">
        <f t="array" ref="P62">IFERROR(O62/$G62*100,0)</f>
        <v>3.0073407530191809</v>
      </c>
      <c r="Q62" s="143">
        <f t="array" ref="Q62">INDEX([28]Sheet1!$J$24:$J$231,MATCH(1,([28]Sheet1!$E$24:$E$231=$D62)*([28]Sheet1!$E$24:$E$231=$D62),0))</f>
        <v>2</v>
      </c>
      <c r="R62" s="9">
        <f t="shared" si="2"/>
        <v>1.5748031496062991</v>
      </c>
      <c r="S62" s="8" t="str">
        <f t="array" ref="S62">IF(R62&gt;5,"Perlu Sensus",IF(AND(R62&gt;=0,O62&gt;0),"Tetap Deteksi","Belum Deteksi"))</f>
        <v>Tetap Deteksi</v>
      </c>
      <c r="T62" s="143"/>
      <c r="U62" s="9">
        <f t="shared" si="3"/>
        <v>0</v>
      </c>
      <c r="V62" s="11"/>
      <c r="W62" s="143"/>
      <c r="X62" s="143"/>
      <c r="Y62" s="9">
        <f t="shared" si="4"/>
        <v>0</v>
      </c>
      <c r="Z62" s="8" t="str">
        <f t="array" ref="Z62">IF(Y62&gt;5,"Perlu Sensus",IF(AND(Y62&gt;=0,W62&gt;0),"Tetap Deteksi","Belum Deteksi"))</f>
        <v>Belum Deteksi</v>
      </c>
      <c r="AA62" s="143"/>
      <c r="AB62" s="9">
        <f t="shared" si="5"/>
        <v>0</v>
      </c>
      <c r="AC62" s="11"/>
      <c r="AD62" s="143"/>
      <c r="AE62" s="9">
        <f t="array" ref="AE62">IFERROR(AD62/$G62*100,0)</f>
        <v>0</v>
      </c>
      <c r="AF62" s="143"/>
      <c r="AG62" s="9">
        <f t="shared" si="6"/>
        <v>0</v>
      </c>
      <c r="AH62" s="8" t="str">
        <f t="array" ref="AH62">IF(AG62&gt;5,"Perlu Sensus",IF(AND(AG62&gt;=0,AD62&gt;0),"Tetap Deteksi","Belum Deteksi"))</f>
        <v>Belum Deteksi</v>
      </c>
      <c r="AI62" s="143"/>
      <c r="AJ62" s="9">
        <f t="shared" si="7"/>
        <v>0</v>
      </c>
      <c r="AK62" s="11"/>
      <c r="AL62" s="143"/>
      <c r="AM62" s="143"/>
      <c r="AN62" s="9">
        <f t="shared" si="8"/>
        <v>0</v>
      </c>
      <c r="AO62" s="8" t="str">
        <f t="array" ref="AO62">IF(AN62&gt;5,"Perlu Sensus",IF(AND(AN62&gt;=0,AL62&gt;0),"Tetap Deteksi","Belum Deteksi"))</f>
        <v>Belum Deteksi</v>
      </c>
      <c r="AP62" s="143"/>
      <c r="AQ62" s="9">
        <f t="shared" si="9"/>
        <v>0</v>
      </c>
    </row>
    <row r="63" spans="1:43" outlineLevel="1" x14ac:dyDescent="0.15">
      <c r="A63" s="8" t="s">
        <v>1273</v>
      </c>
      <c r="B63" s="8" t="s">
        <v>14</v>
      </c>
      <c r="C63" s="8" t="s">
        <v>47</v>
      </c>
      <c r="D63" s="186" t="s">
        <v>1330</v>
      </c>
      <c r="E63" s="9">
        <v>28.63</v>
      </c>
      <c r="F63" s="8" t="s">
        <v>1740</v>
      </c>
      <c r="G63" s="10">
        <v>3689</v>
      </c>
      <c r="H63" s="11">
        <f t="array" ref="H63">IF(OR(N63&gt;0,AC63&gt;0),MAX(N63,AC63),MAX(AK63,V63))</f>
        <v>46249</v>
      </c>
      <c r="I63" s="143">
        <f t="array" ref="I63">IF(SUM(O63,AD63)&gt;0,SUM(O63,AD63),SUM(AL63,W63))</f>
        <v>65</v>
      </c>
      <c r="J63" s="9">
        <f t="shared" si="0"/>
        <v>1.7619951206288966</v>
      </c>
      <c r="K63" s="143">
        <f t="shared" si="10"/>
        <v>1</v>
      </c>
      <c r="L63" s="9">
        <f t="shared" si="1"/>
        <v>1.5384615384615385</v>
      </c>
      <c r="M63" s="8" t="str">
        <f t="array" ref="M63">IF(L63&gt;5,"Perlu Sensus",IF(AND(L63&gt;=0,I63&gt;0),"Tetap Deteksi","Belum Deteksi"))</f>
        <v>Tetap Deteksi</v>
      </c>
      <c r="N63" s="132">
        <v>46249</v>
      </c>
      <c r="O63" s="143">
        <f t="array" ref="O63">INDEX([28]Sheet1!$H$24:$H$231,MATCH(1,([28]Sheet1!$E$24:$E$231=$D63)*([28]Sheet1!$E$24:$E$231=$D63),0))</f>
        <v>65</v>
      </c>
      <c r="P63" s="9">
        <f t="array" ref="P63">IFERROR(O63/$G63*100,0)</f>
        <v>1.7619951206288966</v>
      </c>
      <c r="Q63" s="143">
        <f t="array" ref="Q63">INDEX([28]Sheet1!$J$24:$J$231,MATCH(1,([28]Sheet1!$E$24:$E$231=$D63)*([28]Sheet1!$E$24:$E$231=$D63),0))</f>
        <v>1</v>
      </c>
      <c r="R63" s="9">
        <f t="shared" si="2"/>
        <v>1.5384615384615385</v>
      </c>
      <c r="S63" s="8" t="str">
        <f t="array" ref="S63">IF(R63&gt;5,"Perlu Sensus",IF(AND(R63&gt;=0,O63&gt;0),"Tetap Deteksi","Belum Deteksi"))</f>
        <v>Tetap Deteksi</v>
      </c>
      <c r="T63" s="143"/>
      <c r="U63" s="9">
        <f t="shared" si="3"/>
        <v>0</v>
      </c>
      <c r="V63" s="11"/>
      <c r="W63" s="143"/>
      <c r="X63" s="143"/>
      <c r="Y63" s="9">
        <f t="shared" si="4"/>
        <v>0</v>
      </c>
      <c r="Z63" s="8" t="str">
        <f t="array" ref="Z63">IF(Y63&gt;5,"Perlu Sensus",IF(AND(Y63&gt;=0,W63&gt;0),"Tetap Deteksi","Belum Deteksi"))</f>
        <v>Belum Deteksi</v>
      </c>
      <c r="AA63" s="143"/>
      <c r="AB63" s="9">
        <f t="shared" si="5"/>
        <v>0</v>
      </c>
      <c r="AC63" s="11"/>
      <c r="AD63" s="143"/>
      <c r="AE63" s="9">
        <f t="array" ref="AE63">IFERROR(AD63/$G63*100,0)</f>
        <v>0</v>
      </c>
      <c r="AF63" s="143"/>
      <c r="AG63" s="9">
        <f t="shared" si="6"/>
        <v>0</v>
      </c>
      <c r="AH63" s="8" t="str">
        <f t="array" ref="AH63">IF(AG63&gt;5,"Perlu Sensus",IF(AND(AG63&gt;=0,AD63&gt;0),"Tetap Deteksi","Belum Deteksi"))</f>
        <v>Belum Deteksi</v>
      </c>
      <c r="AI63" s="143"/>
      <c r="AJ63" s="9">
        <f t="shared" si="7"/>
        <v>0</v>
      </c>
      <c r="AK63" s="11"/>
      <c r="AL63" s="143"/>
      <c r="AM63" s="143"/>
      <c r="AN63" s="9">
        <f t="shared" si="8"/>
        <v>0</v>
      </c>
      <c r="AO63" s="8" t="str">
        <f t="array" ref="AO63">IF(AN63&gt;5,"Perlu Sensus",IF(AND(AN63&gt;=0,AL63&gt;0),"Tetap Deteksi","Belum Deteksi"))</f>
        <v>Belum Deteksi</v>
      </c>
      <c r="AP63" s="143"/>
      <c r="AQ63" s="9">
        <f t="shared" si="9"/>
        <v>0</v>
      </c>
    </row>
    <row r="64" spans="1:43" outlineLevel="1" x14ac:dyDescent="0.15">
      <c r="A64" s="8" t="s">
        <v>1273</v>
      </c>
      <c r="B64" s="8" t="s">
        <v>14</v>
      </c>
      <c r="C64" s="8" t="s">
        <v>47</v>
      </c>
      <c r="D64" s="186" t="s">
        <v>1331</v>
      </c>
      <c r="E64" s="9">
        <v>27.93</v>
      </c>
      <c r="F64" s="8" t="s">
        <v>1740</v>
      </c>
      <c r="G64" s="10">
        <v>3298</v>
      </c>
      <c r="H64" s="11">
        <f t="array" ref="H64">IF(OR(N64&gt;0,AC64&gt;0),MAX(N64,AC64),MAX(AK64,V64))</f>
        <v>46249</v>
      </c>
      <c r="I64" s="143">
        <f t="array" ref="I64">IF(SUM(O64,AD64)&gt;0,SUM(O64,AD64),SUM(AL64,W64))</f>
        <v>123</v>
      </c>
      <c r="J64" s="9">
        <f t="shared" si="0"/>
        <v>3.7295330503335355</v>
      </c>
      <c r="K64" s="143">
        <f t="shared" si="10"/>
        <v>2</v>
      </c>
      <c r="L64" s="9">
        <f t="shared" si="1"/>
        <v>1.6260162601626018</v>
      </c>
      <c r="M64" s="8" t="str">
        <f t="array" ref="M64">IF(L64&gt;5,"Perlu Sensus",IF(AND(L64&gt;=0,I64&gt;0),"Tetap Deteksi","Belum Deteksi"))</f>
        <v>Tetap Deteksi</v>
      </c>
      <c r="N64" s="132">
        <v>46249</v>
      </c>
      <c r="O64" s="143">
        <f t="array" ref="O64">INDEX([28]Sheet1!$H$24:$H$231,MATCH(1,([28]Sheet1!$E$24:$E$231=$D64)*([28]Sheet1!$E$24:$E$231=$D64),0))</f>
        <v>123</v>
      </c>
      <c r="P64" s="9">
        <f t="array" ref="P64">IFERROR(O64/$G64*100,0)</f>
        <v>3.7295330503335355</v>
      </c>
      <c r="Q64" s="143">
        <f t="array" ref="Q64">INDEX([28]Sheet1!$J$24:$J$231,MATCH(1,([28]Sheet1!$E$24:$E$231=$D64)*([28]Sheet1!$E$24:$E$231=$D64),0))</f>
        <v>2</v>
      </c>
      <c r="R64" s="9">
        <f t="shared" si="2"/>
        <v>1.6260162601626018</v>
      </c>
      <c r="S64" s="8" t="str">
        <f t="array" ref="S64">IF(R64&gt;5,"Perlu Sensus",IF(AND(R64&gt;=0,O64&gt;0),"Tetap Deteksi","Belum Deteksi"))</f>
        <v>Tetap Deteksi</v>
      </c>
      <c r="T64" s="143"/>
      <c r="U64" s="9">
        <f t="shared" si="3"/>
        <v>0</v>
      </c>
      <c r="V64" s="11"/>
      <c r="W64" s="143"/>
      <c r="X64" s="143"/>
      <c r="Y64" s="9">
        <f t="shared" si="4"/>
        <v>0</v>
      </c>
      <c r="Z64" s="8" t="str">
        <f t="array" ref="Z64">IF(Y64&gt;5,"Perlu Sensus",IF(AND(Y64&gt;=0,W64&gt;0),"Tetap Deteksi","Belum Deteksi"))</f>
        <v>Belum Deteksi</v>
      </c>
      <c r="AA64" s="143"/>
      <c r="AB64" s="9">
        <f t="shared" si="5"/>
        <v>0</v>
      </c>
      <c r="AC64" s="11"/>
      <c r="AD64" s="143"/>
      <c r="AE64" s="9">
        <f t="array" ref="AE64">IFERROR(AD64/$G64*100,0)</f>
        <v>0</v>
      </c>
      <c r="AF64" s="143"/>
      <c r="AG64" s="9">
        <f t="shared" si="6"/>
        <v>0</v>
      </c>
      <c r="AH64" s="8" t="str">
        <f t="array" ref="AH64">IF(AG64&gt;5,"Perlu Sensus",IF(AND(AG64&gt;=0,AD64&gt;0),"Tetap Deteksi","Belum Deteksi"))</f>
        <v>Belum Deteksi</v>
      </c>
      <c r="AI64" s="143"/>
      <c r="AJ64" s="9">
        <f t="shared" si="7"/>
        <v>0</v>
      </c>
      <c r="AK64" s="11"/>
      <c r="AL64" s="143"/>
      <c r="AM64" s="143"/>
      <c r="AN64" s="9">
        <f t="shared" si="8"/>
        <v>0</v>
      </c>
      <c r="AO64" s="8" t="str">
        <f t="array" ref="AO64">IF(AN64&gt;5,"Perlu Sensus",IF(AND(AN64&gt;=0,AL64&gt;0),"Tetap Deteksi","Belum Deteksi"))</f>
        <v>Belum Deteksi</v>
      </c>
      <c r="AP64" s="143"/>
      <c r="AQ64" s="9">
        <f t="shared" si="9"/>
        <v>0</v>
      </c>
    </row>
    <row r="65" spans="1:43" outlineLevel="1" x14ac:dyDescent="0.15">
      <c r="A65" s="8" t="s">
        <v>1273</v>
      </c>
      <c r="B65" s="8" t="s">
        <v>14</v>
      </c>
      <c r="C65" s="8" t="s">
        <v>47</v>
      </c>
      <c r="D65" s="186" t="s">
        <v>1332</v>
      </c>
      <c r="E65" s="9">
        <v>41.41</v>
      </c>
      <c r="F65" s="8" t="s">
        <v>1740</v>
      </c>
      <c r="G65" s="10">
        <v>4754</v>
      </c>
      <c r="H65" s="11">
        <f t="array" ref="H65">IF(OR(N65&gt;0,AC65&gt;0),MAX(N65,AC65),MAX(AK65,V65))</f>
        <v>46249</v>
      </c>
      <c r="I65" s="143">
        <f t="array" ref="I65">IF(SUM(O65,AD65)&gt;0,SUM(O65,AD65),SUM(AL65,W65))</f>
        <v>122</v>
      </c>
      <c r="J65" s="9">
        <f t="shared" si="0"/>
        <v>2.5662599915860329</v>
      </c>
      <c r="K65" s="143">
        <f t="shared" si="10"/>
        <v>2</v>
      </c>
      <c r="L65" s="9">
        <f t="shared" si="1"/>
        <v>1.639344262295082</v>
      </c>
      <c r="M65" s="8" t="str">
        <f t="array" ref="M65">IF(L65&gt;5,"Perlu Sensus",IF(AND(L65&gt;=0,I65&gt;0),"Tetap Deteksi","Belum Deteksi"))</f>
        <v>Tetap Deteksi</v>
      </c>
      <c r="N65" s="132">
        <v>46249</v>
      </c>
      <c r="O65" s="143">
        <f t="array" ref="O65">INDEX([28]Sheet1!$H$24:$H$231,MATCH(1,([28]Sheet1!$E$24:$E$231=$D65)*([28]Sheet1!$E$24:$E$231=$D65),0))</f>
        <v>122</v>
      </c>
      <c r="P65" s="9">
        <f t="array" ref="P65">IFERROR(O65/$G65*100,0)</f>
        <v>2.5662599915860329</v>
      </c>
      <c r="Q65" s="143">
        <f t="array" ref="Q65">INDEX([28]Sheet1!$J$24:$J$231,MATCH(1,([28]Sheet1!$E$24:$E$231=$D65)*([28]Sheet1!$E$24:$E$231=$D65),0))</f>
        <v>2</v>
      </c>
      <c r="R65" s="9">
        <f t="shared" si="2"/>
        <v>1.639344262295082</v>
      </c>
      <c r="S65" s="8" t="str">
        <f t="array" ref="S65">IF(R65&gt;5,"Perlu Sensus",IF(AND(R65&gt;=0,O65&gt;0),"Tetap Deteksi","Belum Deteksi"))</f>
        <v>Tetap Deteksi</v>
      </c>
      <c r="T65" s="143"/>
      <c r="U65" s="9">
        <f t="shared" si="3"/>
        <v>0</v>
      </c>
      <c r="V65" s="11"/>
      <c r="W65" s="143"/>
      <c r="X65" s="143"/>
      <c r="Y65" s="9">
        <f t="shared" si="4"/>
        <v>0</v>
      </c>
      <c r="Z65" s="8" t="str">
        <f t="array" ref="Z65">IF(Y65&gt;5,"Perlu Sensus",IF(AND(Y65&gt;=0,W65&gt;0),"Tetap Deteksi","Belum Deteksi"))</f>
        <v>Belum Deteksi</v>
      </c>
      <c r="AA65" s="143"/>
      <c r="AB65" s="9">
        <f t="shared" si="5"/>
        <v>0</v>
      </c>
      <c r="AC65" s="11"/>
      <c r="AD65" s="143"/>
      <c r="AE65" s="9">
        <f t="array" ref="AE65">IFERROR(AD65/$G65*100,0)</f>
        <v>0</v>
      </c>
      <c r="AF65" s="143"/>
      <c r="AG65" s="9">
        <f t="shared" si="6"/>
        <v>0</v>
      </c>
      <c r="AH65" s="8" t="str">
        <f t="array" ref="AH65">IF(AG65&gt;5,"Perlu Sensus",IF(AND(AG65&gt;=0,AD65&gt;0),"Tetap Deteksi","Belum Deteksi"))</f>
        <v>Belum Deteksi</v>
      </c>
      <c r="AI65" s="143"/>
      <c r="AJ65" s="9">
        <f t="shared" si="7"/>
        <v>0</v>
      </c>
      <c r="AK65" s="11"/>
      <c r="AL65" s="143"/>
      <c r="AM65" s="143"/>
      <c r="AN65" s="9">
        <f t="shared" si="8"/>
        <v>0</v>
      </c>
      <c r="AO65" s="8" t="str">
        <f t="array" ref="AO65">IF(AN65&gt;5,"Perlu Sensus",IF(AND(AN65&gt;=0,AL65&gt;0),"Tetap Deteksi","Belum Deteksi"))</f>
        <v>Belum Deteksi</v>
      </c>
      <c r="AP65" s="143"/>
      <c r="AQ65" s="9">
        <f t="shared" si="9"/>
        <v>0</v>
      </c>
    </row>
    <row r="66" spans="1:43" outlineLevel="1" x14ac:dyDescent="0.15">
      <c r="A66" s="8" t="s">
        <v>1273</v>
      </c>
      <c r="B66" s="8" t="s">
        <v>14</v>
      </c>
      <c r="C66" s="8" t="s">
        <v>79</v>
      </c>
      <c r="D66" s="186" t="s">
        <v>1333</v>
      </c>
      <c r="E66" s="9">
        <v>40.480000000000004</v>
      </c>
      <c r="F66" s="8" t="s">
        <v>1740</v>
      </c>
      <c r="G66" s="10">
        <v>5338</v>
      </c>
      <c r="H66" s="11">
        <f t="array" ref="H66">IF(OR(N66&gt;0,AC66&gt;0),MAX(N66,AC66),MAX(AK66,V66))</f>
        <v>46249</v>
      </c>
      <c r="I66" s="143">
        <f t="array" ref="I66">IF(SUM(O66,AD66)&gt;0,SUM(O66,AD66),SUM(AL66,W66))</f>
        <v>147</v>
      </c>
      <c r="J66" s="9">
        <f t="shared" si="0"/>
        <v>2.753840389659048</v>
      </c>
      <c r="K66" s="143">
        <f t="shared" si="10"/>
        <v>2</v>
      </c>
      <c r="L66" s="9">
        <f t="shared" si="1"/>
        <v>1.3605442176870748</v>
      </c>
      <c r="M66" s="8" t="str">
        <f t="array" ref="M66">IF(L66&gt;5,"Perlu Sensus",IF(AND(L66&gt;=0,I66&gt;0),"Tetap Deteksi","Belum Deteksi"))</f>
        <v>Tetap Deteksi</v>
      </c>
      <c r="N66" s="132">
        <v>46249</v>
      </c>
      <c r="O66" s="143">
        <f t="array" ref="O66">INDEX([28]Sheet1!$H$24:$H$231,MATCH(1,([28]Sheet1!$E$24:$E$231=$D66)*([28]Sheet1!$E$24:$E$231=$D66),0))</f>
        <v>147</v>
      </c>
      <c r="P66" s="9">
        <f t="array" ref="P66">IFERROR(O66/$G66*100,0)</f>
        <v>2.753840389659048</v>
      </c>
      <c r="Q66" s="143">
        <f t="array" ref="Q66">INDEX([28]Sheet1!$J$24:$J$231,MATCH(1,([28]Sheet1!$E$24:$E$231=$D66)*([28]Sheet1!$E$24:$E$231=$D66),0))</f>
        <v>2</v>
      </c>
      <c r="R66" s="9">
        <f t="shared" si="2"/>
        <v>1.3605442176870748</v>
      </c>
      <c r="S66" s="8" t="str">
        <f t="array" ref="S66">IF(R66&gt;5,"Perlu Sensus",IF(AND(R66&gt;=0,O66&gt;0),"Tetap Deteksi","Belum Deteksi"))</f>
        <v>Tetap Deteksi</v>
      </c>
      <c r="T66" s="143"/>
      <c r="U66" s="9">
        <f t="shared" si="3"/>
        <v>0</v>
      </c>
      <c r="V66" s="11"/>
      <c r="W66" s="143"/>
      <c r="X66" s="143"/>
      <c r="Y66" s="9">
        <f t="shared" si="4"/>
        <v>0</v>
      </c>
      <c r="Z66" s="8" t="str">
        <f t="array" ref="Z66">IF(Y66&gt;5,"Perlu Sensus",IF(AND(Y66&gt;=0,W66&gt;0),"Tetap Deteksi","Belum Deteksi"))</f>
        <v>Belum Deteksi</v>
      </c>
      <c r="AA66" s="143"/>
      <c r="AB66" s="9">
        <f t="shared" si="5"/>
        <v>0</v>
      </c>
      <c r="AC66" s="11"/>
      <c r="AD66" s="143"/>
      <c r="AE66" s="9">
        <f t="array" ref="AE66">IFERROR(AD66/$G66*100,0)</f>
        <v>0</v>
      </c>
      <c r="AF66" s="143"/>
      <c r="AG66" s="9">
        <f t="shared" si="6"/>
        <v>0</v>
      </c>
      <c r="AH66" s="8" t="str">
        <f t="array" ref="AH66">IF(AG66&gt;5,"Perlu Sensus",IF(AND(AG66&gt;=0,AD66&gt;0),"Tetap Deteksi","Belum Deteksi"))</f>
        <v>Belum Deteksi</v>
      </c>
      <c r="AI66" s="143"/>
      <c r="AJ66" s="9">
        <f t="shared" si="7"/>
        <v>0</v>
      </c>
      <c r="AK66" s="11"/>
      <c r="AL66" s="143"/>
      <c r="AM66" s="143"/>
      <c r="AN66" s="9">
        <f t="shared" si="8"/>
        <v>0</v>
      </c>
      <c r="AO66" s="8" t="str">
        <f t="array" ref="AO66">IF(AN66&gt;5,"Perlu Sensus",IF(AND(AN66&gt;=0,AL66&gt;0),"Tetap Deteksi","Belum Deteksi"))</f>
        <v>Belum Deteksi</v>
      </c>
      <c r="AP66" s="143"/>
      <c r="AQ66" s="9">
        <f t="shared" si="9"/>
        <v>0</v>
      </c>
    </row>
    <row r="67" spans="1:43" outlineLevel="1" x14ac:dyDescent="0.15">
      <c r="A67" s="8" t="s">
        <v>1273</v>
      </c>
      <c r="B67" s="8" t="s">
        <v>14</v>
      </c>
      <c r="C67" s="8" t="s">
        <v>79</v>
      </c>
      <c r="D67" s="186" t="s">
        <v>1334</v>
      </c>
      <c r="E67" s="9">
        <v>31.86</v>
      </c>
      <c r="F67" s="8" t="s">
        <v>1740</v>
      </c>
      <c r="G67" s="10">
        <v>3923</v>
      </c>
      <c r="H67" s="11">
        <f t="array" ref="H67">IF(OR(N67&gt;0,AC67&gt;0),MAX(N67,AC67),MAX(AK67,V67))</f>
        <v>46249</v>
      </c>
      <c r="I67" s="143">
        <f t="array" ref="I67">IF(SUM(O67,AD67)&gt;0,SUM(O67,AD67),SUM(AL67,W67))</f>
        <v>123</v>
      </c>
      <c r="J67" s="9">
        <f t="shared" si="0"/>
        <v>3.135355595207749</v>
      </c>
      <c r="K67" s="143">
        <f t="shared" si="10"/>
        <v>2</v>
      </c>
      <c r="L67" s="9">
        <f t="shared" si="1"/>
        <v>1.6260162601626018</v>
      </c>
      <c r="M67" s="8" t="str">
        <f t="array" ref="M67">IF(L67&gt;5,"Perlu Sensus",IF(AND(L67&gt;=0,I67&gt;0),"Tetap Deteksi","Belum Deteksi"))</f>
        <v>Tetap Deteksi</v>
      </c>
      <c r="N67" s="132">
        <v>46249</v>
      </c>
      <c r="O67" s="143">
        <f t="array" ref="O67">INDEX([28]Sheet1!$H$24:$H$231,MATCH(1,([28]Sheet1!$E$24:$E$231=$D67)*([28]Sheet1!$E$24:$E$231=$D67),0))</f>
        <v>123</v>
      </c>
      <c r="P67" s="9">
        <f t="array" ref="P67">IFERROR(O67/$G67*100,0)</f>
        <v>3.135355595207749</v>
      </c>
      <c r="Q67" s="143">
        <f t="array" ref="Q67">INDEX([28]Sheet1!$J$24:$J$231,MATCH(1,([28]Sheet1!$E$24:$E$231=$D67)*([28]Sheet1!$E$24:$E$231=$D67),0))</f>
        <v>2</v>
      </c>
      <c r="R67" s="9">
        <f t="shared" si="2"/>
        <v>1.6260162601626018</v>
      </c>
      <c r="S67" s="8" t="str">
        <f t="array" ref="S67">IF(R67&gt;5,"Perlu Sensus",IF(AND(R67&gt;=0,O67&gt;0),"Tetap Deteksi","Belum Deteksi"))</f>
        <v>Tetap Deteksi</v>
      </c>
      <c r="T67" s="143"/>
      <c r="U67" s="9">
        <f t="shared" si="3"/>
        <v>0</v>
      </c>
      <c r="V67" s="11"/>
      <c r="W67" s="143"/>
      <c r="X67" s="143"/>
      <c r="Y67" s="9">
        <f t="shared" si="4"/>
        <v>0</v>
      </c>
      <c r="Z67" s="8" t="str">
        <f t="array" ref="Z67">IF(Y67&gt;5,"Perlu Sensus",IF(AND(Y67&gt;=0,W67&gt;0),"Tetap Deteksi","Belum Deteksi"))</f>
        <v>Belum Deteksi</v>
      </c>
      <c r="AA67" s="143"/>
      <c r="AB67" s="9">
        <f t="shared" si="5"/>
        <v>0</v>
      </c>
      <c r="AC67" s="11"/>
      <c r="AD67" s="143"/>
      <c r="AE67" s="9">
        <f t="array" ref="AE67">IFERROR(AD67/$G67*100,0)</f>
        <v>0</v>
      </c>
      <c r="AF67" s="143"/>
      <c r="AG67" s="9">
        <f t="shared" si="6"/>
        <v>0</v>
      </c>
      <c r="AH67" s="8" t="str">
        <f t="array" ref="AH67">IF(AG67&gt;5,"Perlu Sensus",IF(AND(AG67&gt;=0,AD67&gt;0),"Tetap Deteksi","Belum Deteksi"))</f>
        <v>Belum Deteksi</v>
      </c>
      <c r="AI67" s="143"/>
      <c r="AJ67" s="9">
        <f t="shared" si="7"/>
        <v>0</v>
      </c>
      <c r="AK67" s="11"/>
      <c r="AL67" s="143"/>
      <c r="AM67" s="143"/>
      <c r="AN67" s="9">
        <f t="shared" si="8"/>
        <v>0</v>
      </c>
      <c r="AO67" s="8" t="str">
        <f t="array" ref="AO67">IF(AN67&gt;5,"Perlu Sensus",IF(AND(AN67&gt;=0,AL67&gt;0),"Tetap Deteksi","Belum Deteksi"))</f>
        <v>Belum Deteksi</v>
      </c>
      <c r="AP67" s="143"/>
      <c r="AQ67" s="9">
        <f t="shared" si="9"/>
        <v>0</v>
      </c>
    </row>
    <row r="68" spans="1:43" outlineLevel="1" x14ac:dyDescent="0.15">
      <c r="A68" s="8" t="s">
        <v>1273</v>
      </c>
      <c r="B68" s="8" t="s">
        <v>14</v>
      </c>
      <c r="C68" s="8" t="s">
        <v>79</v>
      </c>
      <c r="D68" s="186" t="s">
        <v>1335</v>
      </c>
      <c r="E68" s="9">
        <v>0</v>
      </c>
      <c r="F68" s="8" t="s">
        <v>1740</v>
      </c>
      <c r="G68" s="10">
        <v>0</v>
      </c>
      <c r="H68" s="11">
        <f t="array" ref="H68">IF(OR(N68&gt;0,AC68&gt;0),MAX(N68,AC68),MAX(AK68,V68))</f>
        <v>0</v>
      </c>
      <c r="I68" s="143">
        <f t="array" ref="I68">IF(SUM(O68,AD68)&gt;0,SUM(O68,AD68),SUM(AL68,W68))</f>
        <v>0</v>
      </c>
      <c r="J68" s="9" t="str">
        <f t="shared" si="0"/>
        <v xml:space="preserve"> </v>
      </c>
      <c r="K68" s="143">
        <f t="shared" si="10"/>
        <v>0</v>
      </c>
      <c r="L68" s="9">
        <f t="shared" si="1"/>
        <v>0</v>
      </c>
      <c r="M68" s="8" t="str">
        <f t="array" ref="M68">IF(L68&gt;5,"Perlu Sensus",IF(AND(L68&gt;=0,I68&gt;0),"Tetap Deteksi","Belum Deteksi"))</f>
        <v>Belum Deteksi</v>
      </c>
      <c r="N68" s="132"/>
      <c r="O68" s="143">
        <f t="array" ref="O68">INDEX([28]Sheet1!$H$24:$H$231,MATCH(1,([28]Sheet1!$E$24:$E$231=$D68)*([28]Sheet1!$E$24:$E$231=$D68),0))</f>
        <v>0</v>
      </c>
      <c r="P68" s="9">
        <f t="array" ref="P68">IFERROR(O68/$G68*100,0)</f>
        <v>0</v>
      </c>
      <c r="Q68" s="143">
        <f t="array" ref="Q68">INDEX([28]Sheet1!$J$24:$J$231,MATCH(1,([28]Sheet1!$E$24:$E$231=$D68)*([28]Sheet1!$E$24:$E$231=$D68),0))</f>
        <v>0</v>
      </c>
      <c r="R68" s="9">
        <f t="shared" si="2"/>
        <v>0</v>
      </c>
      <c r="S68" s="8" t="str">
        <f t="array" ref="S68">IF(R68&gt;5,"Perlu Sensus",IF(AND(R68&gt;=0,O68&gt;0),"Tetap Deteksi","Belum Deteksi"))</f>
        <v>Belum Deteksi</v>
      </c>
      <c r="T68" s="143"/>
      <c r="U68" s="9">
        <f t="shared" si="3"/>
        <v>0</v>
      </c>
      <c r="V68" s="11"/>
      <c r="W68" s="143"/>
      <c r="X68" s="143"/>
      <c r="Y68" s="9">
        <f t="shared" si="4"/>
        <v>0</v>
      </c>
      <c r="Z68" s="8" t="str">
        <f t="array" ref="Z68">IF(Y68&gt;5,"Perlu Sensus",IF(AND(Y68&gt;=0,W68&gt;0),"Tetap Deteksi","Belum Deteksi"))</f>
        <v>Belum Deteksi</v>
      </c>
      <c r="AA68" s="143"/>
      <c r="AB68" s="9">
        <f t="shared" si="5"/>
        <v>0</v>
      </c>
      <c r="AC68" s="11"/>
      <c r="AD68" s="143"/>
      <c r="AE68" s="9">
        <f t="array" ref="AE68">IFERROR(AD68/$G68*100,0)</f>
        <v>0</v>
      </c>
      <c r="AF68" s="143"/>
      <c r="AG68" s="9">
        <f t="shared" si="6"/>
        <v>0</v>
      </c>
      <c r="AH68" s="8" t="str">
        <f t="array" ref="AH68">IF(AG68&gt;5,"Perlu Sensus",IF(AND(AG68&gt;=0,AD68&gt;0),"Tetap Deteksi","Belum Deteksi"))</f>
        <v>Belum Deteksi</v>
      </c>
      <c r="AI68" s="143"/>
      <c r="AJ68" s="9">
        <f t="shared" si="7"/>
        <v>0</v>
      </c>
      <c r="AK68" s="11"/>
      <c r="AL68" s="143"/>
      <c r="AM68" s="143"/>
      <c r="AN68" s="9">
        <f t="shared" si="8"/>
        <v>0</v>
      </c>
      <c r="AO68" s="8" t="str">
        <f t="array" ref="AO68">IF(AN68&gt;5,"Perlu Sensus",IF(AND(AN68&gt;=0,AL68&gt;0),"Tetap Deteksi","Belum Deteksi"))</f>
        <v>Belum Deteksi</v>
      </c>
      <c r="AP68" s="143"/>
      <c r="AQ68" s="9">
        <f t="shared" si="9"/>
        <v>0</v>
      </c>
    </row>
    <row r="69" spans="1:43" outlineLevel="1" x14ac:dyDescent="0.15">
      <c r="A69" s="8" t="s">
        <v>1273</v>
      </c>
      <c r="B69" s="8" t="s">
        <v>14</v>
      </c>
      <c r="C69" s="8" t="s">
        <v>79</v>
      </c>
      <c r="D69" s="186" t="s">
        <v>1336</v>
      </c>
      <c r="E69" s="9">
        <v>25.68</v>
      </c>
      <c r="F69" s="8" t="s">
        <v>1740</v>
      </c>
      <c r="G69" s="10">
        <v>2731</v>
      </c>
      <c r="H69" s="11">
        <f t="array" ref="H69">IF(OR(N69&gt;0,AC69&gt;0),MAX(N69,AC69),MAX(AK69,V69))</f>
        <v>46249</v>
      </c>
      <c r="I69" s="143">
        <f t="array" ref="I69">IF(SUM(O69,AD69)&gt;0,SUM(O69,AD69),SUM(AL69,W69))</f>
        <v>129</v>
      </c>
      <c r="J69" s="9">
        <f t="shared" si="0"/>
        <v>4.7235444891980967</v>
      </c>
      <c r="K69" s="143">
        <f t="shared" si="10"/>
        <v>2</v>
      </c>
      <c r="L69" s="9">
        <f t="shared" si="1"/>
        <v>1.5503875968992249</v>
      </c>
      <c r="M69" s="8" t="str">
        <f t="array" ref="M69">IF(L69&gt;5,"Perlu Sensus",IF(AND(L69&gt;=0,I69&gt;0),"Tetap Deteksi","Belum Deteksi"))</f>
        <v>Tetap Deteksi</v>
      </c>
      <c r="N69" s="132">
        <v>46249</v>
      </c>
      <c r="O69" s="143">
        <f t="array" ref="O69">INDEX([28]Sheet1!$H$24:$H$231,MATCH(1,([28]Sheet1!$E$24:$E$231=$D69)*([28]Sheet1!$E$24:$E$231=$D69),0))</f>
        <v>129</v>
      </c>
      <c r="P69" s="9">
        <f t="array" ref="P69">IFERROR(O69/$G69*100,0)</f>
        <v>4.7235444891980967</v>
      </c>
      <c r="Q69" s="143">
        <f t="array" ref="Q69">INDEX([28]Sheet1!$J$24:$J$231,MATCH(1,([28]Sheet1!$E$24:$E$231=$D69)*([28]Sheet1!$E$24:$E$231=$D69),0))</f>
        <v>2</v>
      </c>
      <c r="R69" s="9">
        <f t="shared" si="2"/>
        <v>1.5503875968992249</v>
      </c>
      <c r="S69" s="8" t="str">
        <f t="array" ref="S69">IF(R69&gt;5,"Perlu Sensus",IF(AND(R69&gt;=0,O69&gt;0),"Tetap Deteksi","Belum Deteksi"))</f>
        <v>Tetap Deteksi</v>
      </c>
      <c r="T69" s="143"/>
      <c r="U69" s="9">
        <f t="shared" si="3"/>
        <v>0</v>
      </c>
      <c r="V69" s="11"/>
      <c r="W69" s="143"/>
      <c r="X69" s="143"/>
      <c r="Y69" s="9">
        <f t="shared" si="4"/>
        <v>0</v>
      </c>
      <c r="Z69" s="8" t="str">
        <f t="array" ref="Z69">IF(Y69&gt;5,"Perlu Sensus",IF(AND(Y69&gt;=0,W69&gt;0),"Tetap Deteksi","Belum Deteksi"))</f>
        <v>Belum Deteksi</v>
      </c>
      <c r="AA69" s="143"/>
      <c r="AB69" s="9">
        <f t="shared" si="5"/>
        <v>0</v>
      </c>
      <c r="AC69" s="11"/>
      <c r="AD69" s="143"/>
      <c r="AE69" s="9">
        <f t="array" ref="AE69">IFERROR(AD69/$G69*100,0)</f>
        <v>0</v>
      </c>
      <c r="AF69" s="143"/>
      <c r="AG69" s="9">
        <f t="shared" si="6"/>
        <v>0</v>
      </c>
      <c r="AH69" s="8" t="str">
        <f t="array" ref="AH69">IF(AG69&gt;5,"Perlu Sensus",IF(AND(AG69&gt;=0,AD69&gt;0),"Tetap Deteksi","Belum Deteksi"))</f>
        <v>Belum Deteksi</v>
      </c>
      <c r="AI69" s="143"/>
      <c r="AJ69" s="9">
        <f t="shared" si="7"/>
        <v>0</v>
      </c>
      <c r="AK69" s="11"/>
      <c r="AL69" s="143"/>
      <c r="AM69" s="143"/>
      <c r="AN69" s="9">
        <f t="shared" si="8"/>
        <v>0</v>
      </c>
      <c r="AO69" s="8" t="str">
        <f t="array" ref="AO69">IF(AN69&gt;5,"Perlu Sensus",IF(AND(AN69&gt;=0,AL69&gt;0),"Tetap Deteksi","Belum Deteksi"))</f>
        <v>Belum Deteksi</v>
      </c>
      <c r="AP69" s="143"/>
      <c r="AQ69" s="9">
        <f t="shared" si="9"/>
        <v>0</v>
      </c>
    </row>
    <row r="70" spans="1:43" outlineLevel="1" x14ac:dyDescent="0.15">
      <c r="A70" s="8" t="s">
        <v>1273</v>
      </c>
      <c r="B70" s="8" t="s">
        <v>14</v>
      </c>
      <c r="C70" s="8" t="s">
        <v>79</v>
      </c>
      <c r="D70" s="186" t="s">
        <v>1337</v>
      </c>
      <c r="E70" s="9">
        <v>18.84</v>
      </c>
      <c r="F70" s="8" t="s">
        <v>1740</v>
      </c>
      <c r="G70" s="10">
        <v>2185</v>
      </c>
      <c r="H70" s="11">
        <f t="array" ref="H70">IF(OR(N70&gt;0,AC70&gt;0),MAX(N70,AC70),MAX(AK70,V70))</f>
        <v>46249</v>
      </c>
      <c r="I70" s="143">
        <f t="array" ref="I70">IF(SUM(O70,AD70)&gt;0,SUM(O70,AD70),SUM(AL70,W70))</f>
        <v>125</v>
      </c>
      <c r="J70" s="9">
        <f t="shared" ref="J70:J133" si="11">IF(P70&gt;0,P70," ")</f>
        <v>5.720823798627003</v>
      </c>
      <c r="K70" s="143">
        <f t="shared" si="10"/>
        <v>2</v>
      </c>
      <c r="L70" s="9">
        <f t="shared" ref="L70:L133" si="12">IFERROR(K70/I70*100,0)</f>
        <v>1.6</v>
      </c>
      <c r="M70" s="8" t="str">
        <f t="array" ref="M70">IF(L70&gt;5,"Perlu Sensus",IF(AND(L70&gt;=0,I70&gt;0),"Tetap Deteksi","Belum Deteksi"))</f>
        <v>Tetap Deteksi</v>
      </c>
      <c r="N70" s="132">
        <v>46249</v>
      </c>
      <c r="O70" s="143">
        <f t="array" ref="O70">INDEX([28]Sheet1!$H$24:$H$231,MATCH(1,([28]Sheet1!$E$24:$E$231=$D70)*([28]Sheet1!$E$24:$E$231=$D70),0))</f>
        <v>125</v>
      </c>
      <c r="P70" s="9">
        <f t="array" ref="P70">IFERROR(O70/$G70*100,0)</f>
        <v>5.720823798627003</v>
      </c>
      <c r="Q70" s="143">
        <f t="array" ref="Q70">INDEX([28]Sheet1!$J$24:$J$231,MATCH(1,([28]Sheet1!$E$24:$E$231=$D70)*([28]Sheet1!$E$24:$E$231=$D70),0))</f>
        <v>2</v>
      </c>
      <c r="R70" s="9">
        <f t="shared" ref="R70:R133" si="13">IFERROR(Q70/O70*100,0)</f>
        <v>1.6</v>
      </c>
      <c r="S70" s="8" t="str">
        <f t="array" ref="S70">IF(R70&gt;5,"Perlu Sensus",IF(AND(R70&gt;=0,O70&gt;0),"Tetap Deteksi","Belum Deteksi"))</f>
        <v>Tetap Deteksi</v>
      </c>
      <c r="T70" s="143"/>
      <c r="U70" s="9">
        <f t="shared" ref="U70:U133" si="14">IFERROR(T70/O70*100,0)</f>
        <v>0</v>
      </c>
      <c r="V70" s="11"/>
      <c r="W70" s="143"/>
      <c r="X70" s="143"/>
      <c r="Y70" s="9">
        <f t="shared" ref="Y70:Y133" si="15">IFERROR(X70/W70*100,0)</f>
        <v>0</v>
      </c>
      <c r="Z70" s="8" t="str">
        <f t="array" ref="Z70">IF(Y70&gt;5,"Perlu Sensus",IF(AND(Y70&gt;=0,W70&gt;0),"Tetap Deteksi","Belum Deteksi"))</f>
        <v>Belum Deteksi</v>
      </c>
      <c r="AA70" s="143"/>
      <c r="AB70" s="9">
        <f t="shared" ref="AB70:AB133" si="16">IFERROR(AA70/W70*100,0)</f>
        <v>0</v>
      </c>
      <c r="AC70" s="11"/>
      <c r="AD70" s="143"/>
      <c r="AE70" s="9">
        <f t="array" ref="AE70">IFERROR(AD70/$G70*100,0)</f>
        <v>0</v>
      </c>
      <c r="AF70" s="143"/>
      <c r="AG70" s="9">
        <f t="shared" ref="AG70:AG133" si="17">IFERROR(AF70/AD70*100,0)</f>
        <v>0</v>
      </c>
      <c r="AH70" s="8" t="str">
        <f t="array" ref="AH70">IF(AG70&gt;5,"Perlu Sensus",IF(AND(AG70&gt;=0,AD70&gt;0),"Tetap Deteksi","Belum Deteksi"))</f>
        <v>Belum Deteksi</v>
      </c>
      <c r="AI70" s="143"/>
      <c r="AJ70" s="9">
        <f t="shared" ref="AJ70:AJ133" si="18">IFERROR(AI70/AD70*100,0)</f>
        <v>0</v>
      </c>
      <c r="AK70" s="11"/>
      <c r="AL70" s="143"/>
      <c r="AM70" s="143"/>
      <c r="AN70" s="9">
        <f t="shared" ref="AN70:AN133" si="19">IFERROR(AM70/AL70*100,0)</f>
        <v>0</v>
      </c>
      <c r="AO70" s="8" t="str">
        <f t="array" ref="AO70">IF(AN70&gt;5,"Perlu Sensus",IF(AND(AN70&gt;=0,AL70&gt;0),"Tetap Deteksi","Belum Deteksi"))</f>
        <v>Belum Deteksi</v>
      </c>
      <c r="AP70" s="143"/>
      <c r="AQ70" s="9">
        <f t="shared" ref="AQ70:AQ133" si="20">IFERROR(AP70/AL70*100,0)</f>
        <v>0</v>
      </c>
    </row>
    <row r="71" spans="1:43" outlineLevel="1" x14ac:dyDescent="0.15">
      <c r="A71" s="8" t="s">
        <v>1273</v>
      </c>
      <c r="B71" s="8" t="s">
        <v>14</v>
      </c>
      <c r="C71" s="8" t="s">
        <v>79</v>
      </c>
      <c r="D71" s="186" t="s">
        <v>1338</v>
      </c>
      <c r="E71" s="9">
        <v>24.58</v>
      </c>
      <c r="F71" s="8" t="s">
        <v>1740</v>
      </c>
      <c r="G71" s="10">
        <v>3194</v>
      </c>
      <c r="H71" s="11">
        <f t="array" ref="H71">IF(OR(N71&gt;0,AC71&gt;0),MAX(N71,AC71),MAX(AK71,V71))</f>
        <v>46249</v>
      </c>
      <c r="I71" s="143">
        <f t="array" ref="I71">IF(SUM(O71,AD71)&gt;0,SUM(O71,AD71),SUM(AL71,W71))</f>
        <v>53</v>
      </c>
      <c r="J71" s="9">
        <f t="shared" si="11"/>
        <v>1.6593613024420788</v>
      </c>
      <c r="K71" s="143">
        <f t="shared" ref="K71:K134" si="21">IF(SUM(Q71,AF71)&gt;0,SUM(Q71,AF71),SUM(AM71,X71))</f>
        <v>1</v>
      </c>
      <c r="L71" s="9">
        <f t="shared" si="12"/>
        <v>1.8867924528301887</v>
      </c>
      <c r="M71" s="8" t="str">
        <f t="array" ref="M71">IF(L71&gt;5,"Perlu Sensus",IF(AND(L71&gt;=0,I71&gt;0),"Tetap Deteksi","Belum Deteksi"))</f>
        <v>Tetap Deteksi</v>
      </c>
      <c r="N71" s="132">
        <v>46249</v>
      </c>
      <c r="O71" s="143">
        <f t="array" ref="O71">INDEX([28]Sheet1!$H$24:$H$231,MATCH(1,([28]Sheet1!$E$24:$E$231=$D71)*([28]Sheet1!$E$24:$E$231=$D71),0))</f>
        <v>53</v>
      </c>
      <c r="P71" s="9">
        <f t="array" ref="P71">IFERROR(O71/$G71*100,0)</f>
        <v>1.6593613024420788</v>
      </c>
      <c r="Q71" s="143">
        <f t="array" ref="Q71">INDEX([28]Sheet1!$J$24:$J$231,MATCH(1,([28]Sheet1!$E$24:$E$231=$D71)*([28]Sheet1!$E$24:$E$231=$D71),0))</f>
        <v>1</v>
      </c>
      <c r="R71" s="9">
        <f t="shared" si="13"/>
        <v>1.8867924528301887</v>
      </c>
      <c r="S71" s="8" t="str">
        <f t="array" ref="S71">IF(R71&gt;5,"Perlu Sensus",IF(AND(R71&gt;=0,O71&gt;0),"Tetap Deteksi","Belum Deteksi"))</f>
        <v>Tetap Deteksi</v>
      </c>
      <c r="T71" s="143"/>
      <c r="U71" s="9">
        <f t="shared" si="14"/>
        <v>0</v>
      </c>
      <c r="V71" s="11"/>
      <c r="W71" s="143"/>
      <c r="X71" s="143"/>
      <c r="Y71" s="9">
        <f t="shared" si="15"/>
        <v>0</v>
      </c>
      <c r="Z71" s="8" t="str">
        <f t="array" ref="Z71">IF(Y71&gt;5,"Perlu Sensus",IF(AND(Y71&gt;=0,W71&gt;0),"Tetap Deteksi","Belum Deteksi"))</f>
        <v>Belum Deteksi</v>
      </c>
      <c r="AA71" s="143"/>
      <c r="AB71" s="9">
        <f t="shared" si="16"/>
        <v>0</v>
      </c>
      <c r="AC71" s="11"/>
      <c r="AD71" s="143"/>
      <c r="AE71" s="9">
        <f t="array" ref="AE71">IFERROR(AD71/$G71*100,0)</f>
        <v>0</v>
      </c>
      <c r="AF71" s="143"/>
      <c r="AG71" s="9">
        <f t="shared" si="17"/>
        <v>0</v>
      </c>
      <c r="AH71" s="8" t="str">
        <f t="array" ref="AH71">IF(AG71&gt;5,"Perlu Sensus",IF(AND(AG71&gt;=0,AD71&gt;0),"Tetap Deteksi","Belum Deteksi"))</f>
        <v>Belum Deteksi</v>
      </c>
      <c r="AI71" s="143"/>
      <c r="AJ71" s="9">
        <f t="shared" si="18"/>
        <v>0</v>
      </c>
      <c r="AK71" s="11"/>
      <c r="AL71" s="143"/>
      <c r="AM71" s="143"/>
      <c r="AN71" s="9">
        <f t="shared" si="19"/>
        <v>0</v>
      </c>
      <c r="AO71" s="8" t="str">
        <f t="array" ref="AO71">IF(AN71&gt;5,"Perlu Sensus",IF(AND(AN71&gt;=0,AL71&gt;0),"Tetap Deteksi","Belum Deteksi"))</f>
        <v>Belum Deteksi</v>
      </c>
      <c r="AP71" s="143"/>
      <c r="AQ71" s="9">
        <f t="shared" si="20"/>
        <v>0</v>
      </c>
    </row>
    <row r="72" spans="1:43" outlineLevel="1" x14ac:dyDescent="0.15">
      <c r="A72" s="8" t="s">
        <v>1273</v>
      </c>
      <c r="B72" s="8" t="s">
        <v>14</v>
      </c>
      <c r="C72" s="8" t="s">
        <v>79</v>
      </c>
      <c r="D72" s="181" t="s">
        <v>1339</v>
      </c>
      <c r="E72" s="9">
        <v>34.799999999999997</v>
      </c>
      <c r="F72" s="8" t="s">
        <v>1740</v>
      </c>
      <c r="G72" s="10">
        <v>4206</v>
      </c>
      <c r="H72" s="11">
        <f t="array" ref="H72">IF(OR(N72&gt;0,AC72&gt;0),MAX(N72,AC72),MAX(AK72,V72))</f>
        <v>46249</v>
      </c>
      <c r="I72" s="143">
        <f t="array" ref="I72">IF(SUM(O72,AD72)&gt;0,SUM(O72,AD72),SUM(AL72,W72))</f>
        <v>148</v>
      </c>
      <c r="J72" s="9">
        <f t="shared" si="11"/>
        <v>3.5187826913932478</v>
      </c>
      <c r="K72" s="143">
        <f t="shared" si="21"/>
        <v>2</v>
      </c>
      <c r="L72" s="9">
        <f t="shared" si="12"/>
        <v>1.3513513513513513</v>
      </c>
      <c r="M72" s="8" t="str">
        <f t="array" ref="M72">IF(L72&gt;5,"Perlu Sensus",IF(AND(L72&gt;=0,I72&gt;0),"Tetap Deteksi","Belum Deteksi"))</f>
        <v>Tetap Deteksi</v>
      </c>
      <c r="N72" s="132">
        <v>46249</v>
      </c>
      <c r="O72" s="143">
        <f t="array" ref="O72">INDEX([28]Sheet1!$H$24:$H$231,MATCH(1,([28]Sheet1!$E$24:$E$231=$D72)*([28]Sheet1!$E$24:$E$231=$D72),0))</f>
        <v>148</v>
      </c>
      <c r="P72" s="9">
        <f t="array" ref="P72">IFERROR(O72/$G72*100,0)</f>
        <v>3.5187826913932478</v>
      </c>
      <c r="Q72" s="143">
        <f t="array" ref="Q72">INDEX([28]Sheet1!$J$24:$J$231,MATCH(1,([28]Sheet1!$E$24:$E$231=$D72)*([28]Sheet1!$E$24:$E$231=$D72),0))</f>
        <v>2</v>
      </c>
      <c r="R72" s="9">
        <f t="shared" si="13"/>
        <v>1.3513513513513513</v>
      </c>
      <c r="S72" s="8" t="str">
        <f t="array" ref="S72">IF(R72&gt;5,"Perlu Sensus",IF(AND(R72&gt;=0,O72&gt;0),"Tetap Deteksi","Belum Deteksi"))</f>
        <v>Tetap Deteksi</v>
      </c>
      <c r="T72" s="143"/>
      <c r="U72" s="9">
        <f t="shared" si="14"/>
        <v>0</v>
      </c>
      <c r="V72" s="11"/>
      <c r="W72" s="143"/>
      <c r="X72" s="143"/>
      <c r="Y72" s="9">
        <f t="shared" si="15"/>
        <v>0</v>
      </c>
      <c r="Z72" s="8" t="str">
        <f t="array" ref="Z72">IF(Y72&gt;5,"Perlu Sensus",IF(AND(Y72&gt;=0,W72&gt;0),"Tetap Deteksi","Belum Deteksi"))</f>
        <v>Belum Deteksi</v>
      </c>
      <c r="AA72" s="143"/>
      <c r="AB72" s="9">
        <f t="shared" si="16"/>
        <v>0</v>
      </c>
      <c r="AC72" s="11"/>
      <c r="AD72" s="143"/>
      <c r="AE72" s="9">
        <f t="array" ref="AE72">IFERROR(AD72/$G72*100,0)</f>
        <v>0</v>
      </c>
      <c r="AF72" s="143"/>
      <c r="AG72" s="9">
        <f t="shared" si="17"/>
        <v>0</v>
      </c>
      <c r="AH72" s="8" t="str">
        <f t="array" ref="AH72">IF(AG72&gt;5,"Perlu Sensus",IF(AND(AG72&gt;=0,AD72&gt;0),"Tetap Deteksi","Belum Deteksi"))</f>
        <v>Belum Deteksi</v>
      </c>
      <c r="AI72" s="143"/>
      <c r="AJ72" s="9">
        <f t="shared" si="18"/>
        <v>0</v>
      </c>
      <c r="AK72" s="11"/>
      <c r="AL72" s="143"/>
      <c r="AM72" s="143"/>
      <c r="AN72" s="9">
        <f t="shared" si="19"/>
        <v>0</v>
      </c>
      <c r="AO72" s="8" t="str">
        <f t="array" ref="AO72">IF(AN72&gt;5,"Perlu Sensus",IF(AND(AN72&gt;=0,AL72&gt;0),"Tetap Deteksi","Belum Deteksi"))</f>
        <v>Belum Deteksi</v>
      </c>
      <c r="AP72" s="143"/>
      <c r="AQ72" s="9">
        <f t="shared" si="20"/>
        <v>0</v>
      </c>
    </row>
    <row r="73" spans="1:43" outlineLevel="1" x14ac:dyDescent="0.15">
      <c r="A73" s="8" t="s">
        <v>1273</v>
      </c>
      <c r="B73" s="8" t="s">
        <v>14</v>
      </c>
      <c r="C73" s="8" t="s">
        <v>79</v>
      </c>
      <c r="D73" s="186" t="s">
        <v>1340</v>
      </c>
      <c r="E73" s="9">
        <v>34.79</v>
      </c>
      <c r="F73" s="8" t="s">
        <v>1740</v>
      </c>
      <c r="G73" s="10">
        <v>4325</v>
      </c>
      <c r="H73" s="11">
        <f t="array" ref="H73">IF(OR(N73&gt;0,AC73&gt;0),MAX(N73,AC73),MAX(AK73,V73))</f>
        <v>46249</v>
      </c>
      <c r="I73" s="143">
        <f t="array" ref="I73">IF(SUM(O73,AD73)&gt;0,SUM(O73,AD73),SUM(AL73,W73))</f>
        <v>132</v>
      </c>
      <c r="J73" s="9">
        <f t="shared" si="11"/>
        <v>3.052023121387283</v>
      </c>
      <c r="K73" s="143">
        <f t="shared" si="21"/>
        <v>2</v>
      </c>
      <c r="L73" s="9">
        <f t="shared" si="12"/>
        <v>1.5151515151515151</v>
      </c>
      <c r="M73" s="8" t="str">
        <f t="array" ref="M73">IF(L73&gt;5,"Perlu Sensus",IF(AND(L73&gt;=0,I73&gt;0),"Tetap Deteksi","Belum Deteksi"))</f>
        <v>Tetap Deteksi</v>
      </c>
      <c r="N73" s="132">
        <v>46249</v>
      </c>
      <c r="O73" s="143">
        <f t="array" ref="O73">INDEX([28]Sheet1!$H$24:$H$231,MATCH(1,([28]Sheet1!$E$24:$E$231=$D73)*([28]Sheet1!$E$24:$E$231=$D73),0))</f>
        <v>132</v>
      </c>
      <c r="P73" s="9">
        <f t="array" ref="P73">IFERROR(O73/$G73*100,0)</f>
        <v>3.052023121387283</v>
      </c>
      <c r="Q73" s="143">
        <f t="array" ref="Q73">INDEX([28]Sheet1!$J$24:$J$231,MATCH(1,([28]Sheet1!$E$24:$E$231=$D73)*([28]Sheet1!$E$24:$E$231=$D73),0))</f>
        <v>2</v>
      </c>
      <c r="R73" s="9">
        <f t="shared" si="13"/>
        <v>1.5151515151515151</v>
      </c>
      <c r="S73" s="8" t="str">
        <f t="array" ref="S73">IF(R73&gt;5,"Perlu Sensus",IF(AND(R73&gt;=0,O73&gt;0),"Tetap Deteksi","Belum Deteksi"))</f>
        <v>Tetap Deteksi</v>
      </c>
      <c r="T73" s="143"/>
      <c r="U73" s="9">
        <f t="shared" si="14"/>
        <v>0</v>
      </c>
      <c r="V73" s="11"/>
      <c r="W73" s="143"/>
      <c r="X73" s="143"/>
      <c r="Y73" s="9">
        <f t="shared" si="15"/>
        <v>0</v>
      </c>
      <c r="Z73" s="8" t="str">
        <f t="array" ref="Z73">IF(Y73&gt;5,"Perlu Sensus",IF(AND(Y73&gt;=0,W73&gt;0),"Tetap Deteksi","Belum Deteksi"))</f>
        <v>Belum Deteksi</v>
      </c>
      <c r="AA73" s="143"/>
      <c r="AB73" s="9">
        <f t="shared" si="16"/>
        <v>0</v>
      </c>
      <c r="AC73" s="11"/>
      <c r="AD73" s="143"/>
      <c r="AE73" s="9">
        <f t="array" ref="AE73">IFERROR(AD73/$G73*100,0)</f>
        <v>0</v>
      </c>
      <c r="AF73" s="143"/>
      <c r="AG73" s="9">
        <f t="shared" si="17"/>
        <v>0</v>
      </c>
      <c r="AH73" s="8" t="str">
        <f t="array" ref="AH73">IF(AG73&gt;5,"Perlu Sensus",IF(AND(AG73&gt;=0,AD73&gt;0),"Tetap Deteksi","Belum Deteksi"))</f>
        <v>Belum Deteksi</v>
      </c>
      <c r="AI73" s="143"/>
      <c r="AJ73" s="9">
        <f t="shared" si="18"/>
        <v>0</v>
      </c>
      <c r="AK73" s="11"/>
      <c r="AL73" s="143"/>
      <c r="AM73" s="143"/>
      <c r="AN73" s="9">
        <f t="shared" si="19"/>
        <v>0</v>
      </c>
      <c r="AO73" s="8" t="str">
        <f t="array" ref="AO73">IF(AN73&gt;5,"Perlu Sensus",IF(AND(AN73&gt;=0,AL73&gt;0),"Tetap Deteksi","Belum Deteksi"))</f>
        <v>Belum Deteksi</v>
      </c>
      <c r="AP73" s="143"/>
      <c r="AQ73" s="9">
        <f t="shared" si="20"/>
        <v>0</v>
      </c>
    </row>
    <row r="74" spans="1:43" outlineLevel="1" x14ac:dyDescent="0.15">
      <c r="A74" s="8" t="s">
        <v>1273</v>
      </c>
      <c r="B74" s="8" t="s">
        <v>14</v>
      </c>
      <c r="C74" s="8" t="s">
        <v>79</v>
      </c>
      <c r="D74" s="186" t="s">
        <v>1341</v>
      </c>
      <c r="E74" s="9">
        <v>27.43</v>
      </c>
      <c r="F74" s="8" t="s">
        <v>1740</v>
      </c>
      <c r="G74" s="10">
        <v>3352</v>
      </c>
      <c r="H74" s="11">
        <f t="array" ref="H74">IF(OR(N74&gt;0,AC74&gt;0),MAX(N74,AC74),MAX(AK74,V74))</f>
        <v>46249</v>
      </c>
      <c r="I74" s="143">
        <f t="array" ref="I74">IF(SUM(O74,AD74)&gt;0,SUM(O74,AD74),SUM(AL74,W74))</f>
        <v>138</v>
      </c>
      <c r="J74" s="9">
        <f t="shared" si="11"/>
        <v>4.1169451073985686</v>
      </c>
      <c r="K74" s="143">
        <f t="shared" si="21"/>
        <v>2</v>
      </c>
      <c r="L74" s="9">
        <f t="shared" si="12"/>
        <v>1.4492753623188406</v>
      </c>
      <c r="M74" s="8" t="str">
        <f t="array" ref="M74">IF(L74&gt;5,"Perlu Sensus",IF(AND(L74&gt;=0,I74&gt;0),"Tetap Deteksi","Belum Deteksi"))</f>
        <v>Tetap Deteksi</v>
      </c>
      <c r="N74" s="132">
        <v>46249</v>
      </c>
      <c r="O74" s="143">
        <f t="array" ref="O74">INDEX([28]Sheet1!$H$24:$H$231,MATCH(1,([28]Sheet1!$E$24:$E$231=$D74)*([28]Sheet1!$E$24:$E$231=$D74),0))</f>
        <v>138</v>
      </c>
      <c r="P74" s="9">
        <f t="array" ref="P74">IFERROR(O74/$G74*100,0)</f>
        <v>4.1169451073985686</v>
      </c>
      <c r="Q74" s="143">
        <f t="array" ref="Q74">INDEX([28]Sheet1!$J$24:$J$231,MATCH(1,([28]Sheet1!$E$24:$E$231=$D74)*([28]Sheet1!$E$24:$E$231=$D74),0))</f>
        <v>2</v>
      </c>
      <c r="R74" s="9">
        <f t="shared" si="13"/>
        <v>1.4492753623188406</v>
      </c>
      <c r="S74" s="8" t="str">
        <f t="array" ref="S74">IF(R74&gt;5,"Perlu Sensus",IF(AND(R74&gt;=0,O74&gt;0),"Tetap Deteksi","Belum Deteksi"))</f>
        <v>Tetap Deteksi</v>
      </c>
      <c r="T74" s="143"/>
      <c r="U74" s="9">
        <f t="shared" si="14"/>
        <v>0</v>
      </c>
      <c r="V74" s="11"/>
      <c r="W74" s="143"/>
      <c r="X74" s="143"/>
      <c r="Y74" s="9">
        <f t="shared" si="15"/>
        <v>0</v>
      </c>
      <c r="Z74" s="8" t="str">
        <f t="array" ref="Z74">IF(Y74&gt;5,"Perlu Sensus",IF(AND(Y74&gt;=0,W74&gt;0),"Tetap Deteksi","Belum Deteksi"))</f>
        <v>Belum Deteksi</v>
      </c>
      <c r="AA74" s="143"/>
      <c r="AB74" s="9">
        <f t="shared" si="16"/>
        <v>0</v>
      </c>
      <c r="AC74" s="11"/>
      <c r="AD74" s="143"/>
      <c r="AE74" s="9">
        <f t="array" ref="AE74">IFERROR(AD74/$G74*100,0)</f>
        <v>0</v>
      </c>
      <c r="AF74" s="143"/>
      <c r="AG74" s="9">
        <f t="shared" si="17"/>
        <v>0</v>
      </c>
      <c r="AH74" s="8" t="str">
        <f t="array" ref="AH74">IF(AG74&gt;5,"Perlu Sensus",IF(AND(AG74&gt;=0,AD74&gt;0),"Tetap Deteksi","Belum Deteksi"))</f>
        <v>Belum Deteksi</v>
      </c>
      <c r="AI74" s="143"/>
      <c r="AJ74" s="9">
        <f t="shared" si="18"/>
        <v>0</v>
      </c>
      <c r="AK74" s="11"/>
      <c r="AL74" s="143"/>
      <c r="AM74" s="143"/>
      <c r="AN74" s="9">
        <f t="shared" si="19"/>
        <v>0</v>
      </c>
      <c r="AO74" s="8" t="str">
        <f t="array" ref="AO74">IF(AN74&gt;5,"Perlu Sensus",IF(AND(AN74&gt;=0,AL74&gt;0),"Tetap Deteksi","Belum Deteksi"))</f>
        <v>Belum Deteksi</v>
      </c>
      <c r="AP74" s="143"/>
      <c r="AQ74" s="9">
        <f t="shared" si="20"/>
        <v>0</v>
      </c>
    </row>
    <row r="75" spans="1:43" outlineLevel="1" x14ac:dyDescent="0.15">
      <c r="A75" s="8" t="s">
        <v>1273</v>
      </c>
      <c r="B75" s="8" t="s">
        <v>14</v>
      </c>
      <c r="C75" s="8" t="s">
        <v>79</v>
      </c>
      <c r="D75" s="186" t="s">
        <v>1342</v>
      </c>
      <c r="E75" s="9">
        <v>25.81</v>
      </c>
      <c r="F75" s="8" t="s">
        <v>1740</v>
      </c>
      <c r="G75" s="10">
        <v>3111</v>
      </c>
      <c r="H75" s="11">
        <f t="array" ref="H75">IF(OR(N75&gt;0,AC75&gt;0),MAX(N75,AC75),MAX(AK75,V75))</f>
        <v>46249</v>
      </c>
      <c r="I75" s="143">
        <f t="array" ref="I75">IF(SUM(O75,AD75)&gt;0,SUM(O75,AD75),SUM(AL75,W75))</f>
        <v>89</v>
      </c>
      <c r="J75" s="9">
        <f t="shared" si="11"/>
        <v>2.8608164577306332</v>
      </c>
      <c r="K75" s="143">
        <f t="shared" si="21"/>
        <v>1</v>
      </c>
      <c r="L75" s="9">
        <f t="shared" si="12"/>
        <v>1.1235955056179776</v>
      </c>
      <c r="M75" s="8" t="str">
        <f t="array" ref="M75">IF(L75&gt;5,"Perlu Sensus",IF(AND(L75&gt;=0,I75&gt;0),"Tetap Deteksi","Belum Deteksi"))</f>
        <v>Tetap Deteksi</v>
      </c>
      <c r="N75" s="132">
        <v>46249</v>
      </c>
      <c r="O75" s="143">
        <f t="array" ref="O75">INDEX([28]Sheet1!$H$24:$H$231,MATCH(1,([28]Sheet1!$E$24:$E$231=$D75)*([28]Sheet1!$E$24:$E$231=$D75),0))</f>
        <v>89</v>
      </c>
      <c r="P75" s="9">
        <f t="array" ref="P75">IFERROR(O75/$G75*100,0)</f>
        <v>2.8608164577306332</v>
      </c>
      <c r="Q75" s="143">
        <f t="array" ref="Q75">INDEX([28]Sheet1!$J$24:$J$231,MATCH(1,([28]Sheet1!$E$24:$E$231=$D75)*([28]Sheet1!$E$24:$E$231=$D75),0))</f>
        <v>1</v>
      </c>
      <c r="R75" s="9">
        <f t="shared" si="13"/>
        <v>1.1235955056179776</v>
      </c>
      <c r="S75" s="8" t="str">
        <f t="array" ref="S75">IF(R75&gt;5,"Perlu Sensus",IF(AND(R75&gt;=0,O75&gt;0),"Tetap Deteksi","Belum Deteksi"))</f>
        <v>Tetap Deteksi</v>
      </c>
      <c r="T75" s="143"/>
      <c r="U75" s="9">
        <f t="shared" si="14"/>
        <v>0</v>
      </c>
      <c r="V75" s="11"/>
      <c r="W75" s="143"/>
      <c r="X75" s="143"/>
      <c r="Y75" s="9">
        <f t="shared" si="15"/>
        <v>0</v>
      </c>
      <c r="Z75" s="8" t="str">
        <f t="array" ref="Z75">IF(Y75&gt;5,"Perlu Sensus",IF(AND(Y75&gt;=0,W75&gt;0),"Tetap Deteksi","Belum Deteksi"))</f>
        <v>Belum Deteksi</v>
      </c>
      <c r="AA75" s="143"/>
      <c r="AB75" s="9">
        <f t="shared" si="16"/>
        <v>0</v>
      </c>
      <c r="AC75" s="11"/>
      <c r="AD75" s="143"/>
      <c r="AE75" s="9">
        <f t="array" ref="AE75">IFERROR(AD75/$G75*100,0)</f>
        <v>0</v>
      </c>
      <c r="AF75" s="143"/>
      <c r="AG75" s="9">
        <f t="shared" si="17"/>
        <v>0</v>
      </c>
      <c r="AH75" s="8" t="str">
        <f t="array" ref="AH75">IF(AG75&gt;5,"Perlu Sensus",IF(AND(AG75&gt;=0,AD75&gt;0),"Tetap Deteksi","Belum Deteksi"))</f>
        <v>Belum Deteksi</v>
      </c>
      <c r="AI75" s="143"/>
      <c r="AJ75" s="9">
        <f t="shared" si="18"/>
        <v>0</v>
      </c>
      <c r="AK75" s="11"/>
      <c r="AL75" s="143"/>
      <c r="AM75" s="143"/>
      <c r="AN75" s="9">
        <f t="shared" si="19"/>
        <v>0</v>
      </c>
      <c r="AO75" s="8" t="str">
        <f t="array" ref="AO75">IF(AN75&gt;5,"Perlu Sensus",IF(AND(AN75&gt;=0,AL75&gt;0),"Tetap Deteksi","Belum Deteksi"))</f>
        <v>Belum Deteksi</v>
      </c>
      <c r="AP75" s="143"/>
      <c r="AQ75" s="9">
        <f t="shared" si="20"/>
        <v>0</v>
      </c>
    </row>
    <row r="76" spans="1:43" outlineLevel="1" x14ac:dyDescent="0.15">
      <c r="A76" s="8" t="s">
        <v>1273</v>
      </c>
      <c r="B76" s="8" t="s">
        <v>14</v>
      </c>
      <c r="C76" s="8" t="s">
        <v>79</v>
      </c>
      <c r="D76" s="186" t="s">
        <v>1343</v>
      </c>
      <c r="E76" s="9">
        <v>31.86</v>
      </c>
      <c r="F76" s="8" t="s">
        <v>1740</v>
      </c>
      <c r="G76" s="10">
        <v>5099</v>
      </c>
      <c r="H76" s="11">
        <f t="array" ref="H76">IF(OR(N76&gt;0,AC76&gt;0),MAX(N76,AC76),MAX(AK76,V76))</f>
        <v>46249</v>
      </c>
      <c r="I76" s="143">
        <f t="array" ref="I76">IF(SUM(O76,AD76)&gt;0,SUM(O76,AD76),SUM(AL76,W76))</f>
        <v>136</v>
      </c>
      <c r="J76" s="9">
        <f t="shared" si="11"/>
        <v>2.6671896450284369</v>
      </c>
      <c r="K76" s="143">
        <f t="shared" si="21"/>
        <v>2</v>
      </c>
      <c r="L76" s="9">
        <f t="shared" si="12"/>
        <v>1.4705882352941175</v>
      </c>
      <c r="M76" s="8" t="str">
        <f t="array" ref="M76">IF(L76&gt;5,"Perlu Sensus",IF(AND(L76&gt;=0,I76&gt;0),"Tetap Deteksi","Belum Deteksi"))</f>
        <v>Tetap Deteksi</v>
      </c>
      <c r="N76" s="132">
        <v>46249</v>
      </c>
      <c r="O76" s="143">
        <f t="array" ref="O76">INDEX([28]Sheet1!$H$24:$H$231,MATCH(1,([28]Sheet1!$E$24:$E$231=$D76)*([28]Sheet1!$E$24:$E$231=$D76),0))</f>
        <v>136</v>
      </c>
      <c r="P76" s="9">
        <f t="array" ref="P76">IFERROR(O76/$G76*100,0)</f>
        <v>2.6671896450284369</v>
      </c>
      <c r="Q76" s="143">
        <f t="array" ref="Q76">INDEX([28]Sheet1!$J$24:$J$231,MATCH(1,([28]Sheet1!$E$24:$E$231=$D76)*([28]Sheet1!$E$24:$E$231=$D76),0))</f>
        <v>2</v>
      </c>
      <c r="R76" s="9">
        <f t="shared" si="13"/>
        <v>1.4705882352941175</v>
      </c>
      <c r="S76" s="8" t="str">
        <f t="array" ref="S76">IF(R76&gt;5,"Perlu Sensus",IF(AND(R76&gt;=0,O76&gt;0),"Tetap Deteksi","Belum Deteksi"))</f>
        <v>Tetap Deteksi</v>
      </c>
      <c r="T76" s="143"/>
      <c r="U76" s="9">
        <f t="shared" si="14"/>
        <v>0</v>
      </c>
      <c r="V76" s="11"/>
      <c r="W76" s="143"/>
      <c r="X76" s="143"/>
      <c r="Y76" s="9">
        <f t="shared" si="15"/>
        <v>0</v>
      </c>
      <c r="Z76" s="8" t="str">
        <f t="array" ref="Z76">IF(Y76&gt;5,"Perlu Sensus",IF(AND(Y76&gt;=0,W76&gt;0),"Tetap Deteksi","Belum Deteksi"))</f>
        <v>Belum Deteksi</v>
      </c>
      <c r="AA76" s="143"/>
      <c r="AB76" s="9">
        <f t="shared" si="16"/>
        <v>0</v>
      </c>
      <c r="AC76" s="11"/>
      <c r="AD76" s="143"/>
      <c r="AE76" s="9">
        <f t="array" ref="AE76">IFERROR(AD76/$G76*100,0)</f>
        <v>0</v>
      </c>
      <c r="AF76" s="143"/>
      <c r="AG76" s="9">
        <f t="shared" si="17"/>
        <v>0</v>
      </c>
      <c r="AH76" s="8" t="str">
        <f t="array" ref="AH76">IF(AG76&gt;5,"Perlu Sensus",IF(AND(AG76&gt;=0,AD76&gt;0),"Tetap Deteksi","Belum Deteksi"))</f>
        <v>Belum Deteksi</v>
      </c>
      <c r="AI76" s="143"/>
      <c r="AJ76" s="9">
        <f t="shared" si="18"/>
        <v>0</v>
      </c>
      <c r="AK76" s="11"/>
      <c r="AL76" s="143"/>
      <c r="AM76" s="143"/>
      <c r="AN76" s="9">
        <f t="shared" si="19"/>
        <v>0</v>
      </c>
      <c r="AO76" s="8" t="str">
        <f t="array" ref="AO76">IF(AN76&gt;5,"Perlu Sensus",IF(AND(AN76&gt;=0,AL76&gt;0),"Tetap Deteksi","Belum Deteksi"))</f>
        <v>Belum Deteksi</v>
      </c>
      <c r="AP76" s="143"/>
      <c r="AQ76" s="9">
        <f t="shared" si="20"/>
        <v>0</v>
      </c>
    </row>
    <row r="77" spans="1:43" outlineLevel="1" x14ac:dyDescent="0.15">
      <c r="A77" s="8" t="s">
        <v>1273</v>
      </c>
      <c r="B77" s="8" t="s">
        <v>14</v>
      </c>
      <c r="C77" s="8" t="s">
        <v>79</v>
      </c>
      <c r="D77" s="181" t="s">
        <v>1344</v>
      </c>
      <c r="E77" s="9">
        <v>28.68</v>
      </c>
      <c r="F77" s="8" t="s">
        <v>1740</v>
      </c>
      <c r="G77" s="10">
        <v>4454</v>
      </c>
      <c r="H77" s="11">
        <f t="array" ref="H77">IF(OR(N77&gt;0,AC77&gt;0),MAX(N77,AC77),MAX(AK77,V77))</f>
        <v>46249</v>
      </c>
      <c r="I77" s="143">
        <f t="array" ref="I77">IF(SUM(O77,AD77)&gt;0,SUM(O77,AD77),SUM(AL77,W77))</f>
        <v>146</v>
      </c>
      <c r="J77" s="9">
        <f t="shared" si="11"/>
        <v>3.27795240233498</v>
      </c>
      <c r="K77" s="143">
        <f t="shared" si="21"/>
        <v>2</v>
      </c>
      <c r="L77" s="9">
        <f t="shared" si="12"/>
        <v>1.3698630136986301</v>
      </c>
      <c r="M77" s="8" t="str">
        <f t="array" ref="M77">IF(L77&gt;5,"Perlu Sensus",IF(AND(L77&gt;=0,I77&gt;0),"Tetap Deteksi","Belum Deteksi"))</f>
        <v>Tetap Deteksi</v>
      </c>
      <c r="N77" s="132">
        <v>46249</v>
      </c>
      <c r="O77" s="143">
        <f t="array" ref="O77">INDEX([28]Sheet1!$H$24:$H$231,MATCH(1,([28]Sheet1!$E$24:$E$231=$D77)*([28]Sheet1!$E$24:$E$231=$D77),0))</f>
        <v>146</v>
      </c>
      <c r="P77" s="9">
        <f t="array" ref="P77">IFERROR(O77/$G77*100,0)</f>
        <v>3.27795240233498</v>
      </c>
      <c r="Q77" s="143">
        <f t="array" ref="Q77">INDEX([28]Sheet1!$J$24:$J$231,MATCH(1,([28]Sheet1!$E$24:$E$231=$D77)*([28]Sheet1!$E$24:$E$231=$D77),0))</f>
        <v>2</v>
      </c>
      <c r="R77" s="9">
        <f t="shared" si="13"/>
        <v>1.3698630136986301</v>
      </c>
      <c r="S77" s="8" t="str">
        <f t="array" ref="S77">IF(R77&gt;5,"Perlu Sensus",IF(AND(R77&gt;=0,O77&gt;0),"Tetap Deteksi","Belum Deteksi"))</f>
        <v>Tetap Deteksi</v>
      </c>
      <c r="T77" s="143"/>
      <c r="U77" s="9">
        <f t="shared" si="14"/>
        <v>0</v>
      </c>
      <c r="V77" s="11"/>
      <c r="W77" s="143"/>
      <c r="X77" s="143"/>
      <c r="Y77" s="9">
        <f t="shared" si="15"/>
        <v>0</v>
      </c>
      <c r="Z77" s="8" t="str">
        <f t="array" ref="Z77">IF(Y77&gt;5,"Perlu Sensus",IF(AND(Y77&gt;=0,W77&gt;0),"Tetap Deteksi","Belum Deteksi"))</f>
        <v>Belum Deteksi</v>
      </c>
      <c r="AA77" s="143"/>
      <c r="AB77" s="9">
        <f t="shared" si="16"/>
        <v>0</v>
      </c>
      <c r="AC77" s="11"/>
      <c r="AD77" s="143"/>
      <c r="AE77" s="9">
        <f t="array" ref="AE77">IFERROR(AD77/$G77*100,0)</f>
        <v>0</v>
      </c>
      <c r="AF77" s="143"/>
      <c r="AG77" s="9">
        <f t="shared" si="17"/>
        <v>0</v>
      </c>
      <c r="AH77" s="8" t="str">
        <f t="array" ref="AH77">IF(AG77&gt;5,"Perlu Sensus",IF(AND(AG77&gt;=0,AD77&gt;0),"Tetap Deteksi","Belum Deteksi"))</f>
        <v>Belum Deteksi</v>
      </c>
      <c r="AI77" s="143"/>
      <c r="AJ77" s="9">
        <f t="shared" si="18"/>
        <v>0</v>
      </c>
      <c r="AK77" s="11"/>
      <c r="AL77" s="143"/>
      <c r="AM77" s="143"/>
      <c r="AN77" s="9">
        <f t="shared" si="19"/>
        <v>0</v>
      </c>
      <c r="AO77" s="8" t="str">
        <f t="array" ref="AO77">IF(AN77&gt;5,"Perlu Sensus",IF(AND(AN77&gt;=0,AL77&gt;0),"Tetap Deteksi","Belum Deteksi"))</f>
        <v>Belum Deteksi</v>
      </c>
      <c r="AP77" s="143"/>
      <c r="AQ77" s="9">
        <f t="shared" si="20"/>
        <v>0</v>
      </c>
    </row>
    <row r="78" spans="1:43" outlineLevel="1" x14ac:dyDescent="0.15">
      <c r="A78" s="8" t="s">
        <v>1273</v>
      </c>
      <c r="B78" s="8" t="s">
        <v>14</v>
      </c>
      <c r="C78" s="8" t="s">
        <v>79</v>
      </c>
      <c r="D78" s="186" t="s">
        <v>1345</v>
      </c>
      <c r="E78" s="9">
        <v>30.72</v>
      </c>
      <c r="F78" s="8" t="s">
        <v>1740</v>
      </c>
      <c r="G78" s="10">
        <v>4722</v>
      </c>
      <c r="H78" s="11">
        <f t="array" ref="H78">IF(OR(N78&gt;0,AC78&gt;0),MAX(N78,AC78),MAX(AK78,V78))</f>
        <v>46249</v>
      </c>
      <c r="I78" s="143">
        <f t="array" ref="I78">IF(SUM(O78,AD78)&gt;0,SUM(O78,AD78),SUM(AL78,W78))</f>
        <v>58</v>
      </c>
      <c r="J78" s="9">
        <f t="shared" si="11"/>
        <v>1.228293096145701</v>
      </c>
      <c r="K78" s="143">
        <f t="shared" si="21"/>
        <v>1</v>
      </c>
      <c r="L78" s="9">
        <f t="shared" si="12"/>
        <v>1.7241379310344827</v>
      </c>
      <c r="M78" s="8" t="str">
        <f t="array" ref="M78">IF(L78&gt;5,"Perlu Sensus",IF(AND(L78&gt;=0,I78&gt;0),"Tetap Deteksi","Belum Deteksi"))</f>
        <v>Tetap Deteksi</v>
      </c>
      <c r="N78" s="132">
        <v>46249</v>
      </c>
      <c r="O78" s="143">
        <f t="array" ref="O78">INDEX([28]Sheet1!$H$24:$H$231,MATCH(1,([28]Sheet1!$E$24:$E$231=$D78)*([28]Sheet1!$E$24:$E$231=$D78),0))</f>
        <v>58</v>
      </c>
      <c r="P78" s="9">
        <f t="array" ref="P78">IFERROR(O78/$G78*100,0)</f>
        <v>1.228293096145701</v>
      </c>
      <c r="Q78" s="143">
        <f t="array" ref="Q78">INDEX([28]Sheet1!$J$24:$J$231,MATCH(1,([28]Sheet1!$E$24:$E$231=$D78)*([28]Sheet1!$E$24:$E$231=$D78),0))</f>
        <v>1</v>
      </c>
      <c r="R78" s="9">
        <f t="shared" si="13"/>
        <v>1.7241379310344827</v>
      </c>
      <c r="S78" s="8" t="str">
        <f t="array" ref="S78">IF(R78&gt;5,"Perlu Sensus",IF(AND(R78&gt;=0,O78&gt;0),"Tetap Deteksi","Belum Deteksi"))</f>
        <v>Tetap Deteksi</v>
      </c>
      <c r="T78" s="143"/>
      <c r="U78" s="9">
        <f t="shared" si="14"/>
        <v>0</v>
      </c>
      <c r="V78" s="11"/>
      <c r="W78" s="143"/>
      <c r="X78" s="143"/>
      <c r="Y78" s="9">
        <f t="shared" si="15"/>
        <v>0</v>
      </c>
      <c r="Z78" s="8" t="str">
        <f t="array" ref="Z78">IF(Y78&gt;5,"Perlu Sensus",IF(AND(Y78&gt;=0,W78&gt;0),"Tetap Deteksi","Belum Deteksi"))</f>
        <v>Belum Deteksi</v>
      </c>
      <c r="AA78" s="143"/>
      <c r="AB78" s="9">
        <f t="shared" si="16"/>
        <v>0</v>
      </c>
      <c r="AC78" s="11"/>
      <c r="AD78" s="143"/>
      <c r="AE78" s="9">
        <f t="array" ref="AE78">IFERROR(AD78/$G78*100,0)</f>
        <v>0</v>
      </c>
      <c r="AF78" s="143"/>
      <c r="AG78" s="9">
        <f t="shared" si="17"/>
        <v>0</v>
      </c>
      <c r="AH78" s="8" t="str">
        <f t="array" ref="AH78">IF(AG78&gt;5,"Perlu Sensus",IF(AND(AG78&gt;=0,AD78&gt;0),"Tetap Deteksi","Belum Deteksi"))</f>
        <v>Belum Deteksi</v>
      </c>
      <c r="AI78" s="143"/>
      <c r="AJ78" s="9">
        <f t="shared" si="18"/>
        <v>0</v>
      </c>
      <c r="AK78" s="11"/>
      <c r="AL78" s="143"/>
      <c r="AM78" s="143"/>
      <c r="AN78" s="9">
        <f t="shared" si="19"/>
        <v>0</v>
      </c>
      <c r="AO78" s="8" t="str">
        <f t="array" ref="AO78">IF(AN78&gt;5,"Perlu Sensus",IF(AND(AN78&gt;=0,AL78&gt;0),"Tetap Deteksi","Belum Deteksi"))</f>
        <v>Belum Deteksi</v>
      </c>
      <c r="AP78" s="143"/>
      <c r="AQ78" s="9">
        <f t="shared" si="20"/>
        <v>0</v>
      </c>
    </row>
    <row r="79" spans="1:43" outlineLevel="1" x14ac:dyDescent="0.15">
      <c r="A79" s="8" t="s">
        <v>1273</v>
      </c>
      <c r="B79" s="8" t="s">
        <v>14</v>
      </c>
      <c r="C79" s="8" t="s">
        <v>79</v>
      </c>
      <c r="D79" s="186" t="s">
        <v>956</v>
      </c>
      <c r="E79" s="9">
        <v>31.72</v>
      </c>
      <c r="F79" s="8" t="s">
        <v>1740</v>
      </c>
      <c r="G79" s="10">
        <v>4019</v>
      </c>
      <c r="H79" s="11">
        <f t="array" ref="H79">IF(OR(N79&gt;0,AC79&gt;0),MAX(N79,AC79),MAX(AK79,V79))</f>
        <v>46249</v>
      </c>
      <c r="I79" s="143">
        <f t="array" ref="I79">IF(SUM(O79,AD79)&gt;0,SUM(O79,AD79),SUM(AL79,W79))</f>
        <v>121</v>
      </c>
      <c r="J79" s="9">
        <f t="shared" si="11"/>
        <v>3.0106991789002238</v>
      </c>
      <c r="K79" s="143">
        <f t="shared" si="21"/>
        <v>2</v>
      </c>
      <c r="L79" s="9">
        <f t="shared" si="12"/>
        <v>1.6528925619834711</v>
      </c>
      <c r="M79" s="8" t="str">
        <f t="array" ref="M79">IF(L79&gt;5,"Perlu Sensus",IF(AND(L79&gt;=0,I79&gt;0),"Tetap Deteksi","Belum Deteksi"))</f>
        <v>Tetap Deteksi</v>
      </c>
      <c r="N79" s="132">
        <v>46249</v>
      </c>
      <c r="O79" s="143">
        <f t="array" ref="O79">INDEX([28]Sheet1!$H$24:$H$231,MATCH(1,([28]Sheet1!$E$24:$E$231=$D79)*([28]Sheet1!$E$24:$E$231=$D79),0))</f>
        <v>121</v>
      </c>
      <c r="P79" s="9">
        <f t="array" ref="P79">IFERROR(O79/$G79*100,0)</f>
        <v>3.0106991789002238</v>
      </c>
      <c r="Q79" s="143">
        <f t="array" ref="Q79">INDEX([28]Sheet1!$J$24:$J$231,MATCH(1,([28]Sheet1!$E$24:$E$231=$D79)*([28]Sheet1!$E$24:$E$231=$D79),0))</f>
        <v>2</v>
      </c>
      <c r="R79" s="9">
        <f t="shared" si="13"/>
        <v>1.6528925619834711</v>
      </c>
      <c r="S79" s="8" t="str">
        <f t="array" ref="S79">IF(R79&gt;5,"Perlu Sensus",IF(AND(R79&gt;=0,O79&gt;0),"Tetap Deteksi","Belum Deteksi"))</f>
        <v>Tetap Deteksi</v>
      </c>
      <c r="T79" s="143"/>
      <c r="U79" s="9">
        <f t="shared" si="14"/>
        <v>0</v>
      </c>
      <c r="V79" s="11"/>
      <c r="W79" s="143"/>
      <c r="X79" s="143"/>
      <c r="Y79" s="9">
        <f t="shared" si="15"/>
        <v>0</v>
      </c>
      <c r="Z79" s="8" t="str">
        <f t="array" ref="Z79">IF(Y79&gt;5,"Perlu Sensus",IF(AND(Y79&gt;=0,W79&gt;0),"Tetap Deteksi","Belum Deteksi"))</f>
        <v>Belum Deteksi</v>
      </c>
      <c r="AA79" s="143"/>
      <c r="AB79" s="9">
        <f t="shared" si="16"/>
        <v>0</v>
      </c>
      <c r="AC79" s="11"/>
      <c r="AD79" s="143"/>
      <c r="AE79" s="9">
        <f t="array" ref="AE79">IFERROR(AD79/$G79*100,0)</f>
        <v>0</v>
      </c>
      <c r="AF79" s="143"/>
      <c r="AG79" s="9">
        <f t="shared" si="17"/>
        <v>0</v>
      </c>
      <c r="AH79" s="8" t="str">
        <f t="array" ref="AH79">IF(AG79&gt;5,"Perlu Sensus",IF(AND(AG79&gt;=0,AD79&gt;0),"Tetap Deteksi","Belum Deteksi"))</f>
        <v>Belum Deteksi</v>
      </c>
      <c r="AI79" s="143"/>
      <c r="AJ79" s="9">
        <f t="shared" si="18"/>
        <v>0</v>
      </c>
      <c r="AK79" s="11"/>
      <c r="AL79" s="143"/>
      <c r="AM79" s="143"/>
      <c r="AN79" s="9">
        <f t="shared" si="19"/>
        <v>0</v>
      </c>
      <c r="AO79" s="8" t="str">
        <f t="array" ref="AO79">IF(AN79&gt;5,"Perlu Sensus",IF(AND(AN79&gt;=0,AL79&gt;0),"Tetap Deteksi","Belum Deteksi"))</f>
        <v>Belum Deteksi</v>
      </c>
      <c r="AP79" s="143"/>
      <c r="AQ79" s="9">
        <f t="shared" si="20"/>
        <v>0</v>
      </c>
    </row>
    <row r="80" spans="1:43" outlineLevel="1" x14ac:dyDescent="0.15">
      <c r="A80" s="8" t="s">
        <v>1273</v>
      </c>
      <c r="B80" s="8" t="s">
        <v>14</v>
      </c>
      <c r="C80" s="8" t="s">
        <v>79</v>
      </c>
      <c r="D80" s="186" t="s">
        <v>1346</v>
      </c>
      <c r="E80" s="9">
        <v>22.71</v>
      </c>
      <c r="F80" s="8" t="s">
        <v>1740</v>
      </c>
      <c r="G80" s="10">
        <v>2897</v>
      </c>
      <c r="H80" s="11">
        <f t="array" ref="H80">IF(OR(N80&gt;0,AC80&gt;0),MAX(N80,AC80),MAX(AK80,V80))</f>
        <v>46249</v>
      </c>
      <c r="I80" s="143">
        <f t="array" ref="I80">IF(SUM(O80,AD80)&gt;0,SUM(O80,AD80),SUM(AL80,W80))</f>
        <v>161</v>
      </c>
      <c r="J80" s="9">
        <f t="shared" si="11"/>
        <v>5.5574732481877804</v>
      </c>
      <c r="K80" s="143">
        <f t="shared" si="21"/>
        <v>3</v>
      </c>
      <c r="L80" s="9">
        <f t="shared" si="12"/>
        <v>1.8633540372670807</v>
      </c>
      <c r="M80" s="8" t="str">
        <f t="array" ref="M80">IF(L80&gt;5,"Perlu Sensus",IF(AND(L80&gt;=0,I80&gt;0),"Tetap Deteksi","Belum Deteksi"))</f>
        <v>Tetap Deteksi</v>
      </c>
      <c r="N80" s="132">
        <v>46249</v>
      </c>
      <c r="O80" s="143">
        <f t="array" ref="O80">INDEX([28]Sheet1!$H$24:$H$231,MATCH(1,([28]Sheet1!$E$24:$E$231=$D80)*([28]Sheet1!$E$24:$E$231=$D80),0))</f>
        <v>161</v>
      </c>
      <c r="P80" s="9">
        <f t="array" ref="P80">IFERROR(O80/$G80*100,0)</f>
        <v>5.5574732481877804</v>
      </c>
      <c r="Q80" s="143">
        <f t="array" ref="Q80">INDEX([28]Sheet1!$J$24:$J$231,MATCH(1,([28]Sheet1!$E$24:$E$231=$D80)*([28]Sheet1!$E$24:$E$231=$D80),0))</f>
        <v>3</v>
      </c>
      <c r="R80" s="9">
        <f t="shared" si="13"/>
        <v>1.8633540372670807</v>
      </c>
      <c r="S80" s="8" t="str">
        <f t="array" ref="S80">IF(R80&gt;5,"Perlu Sensus",IF(AND(R80&gt;=0,O80&gt;0),"Tetap Deteksi","Belum Deteksi"))</f>
        <v>Tetap Deteksi</v>
      </c>
      <c r="T80" s="143"/>
      <c r="U80" s="9">
        <f t="shared" si="14"/>
        <v>0</v>
      </c>
      <c r="V80" s="11"/>
      <c r="W80" s="143"/>
      <c r="X80" s="143"/>
      <c r="Y80" s="9">
        <f t="shared" si="15"/>
        <v>0</v>
      </c>
      <c r="Z80" s="8" t="str">
        <f t="array" ref="Z80">IF(Y80&gt;5,"Perlu Sensus",IF(AND(Y80&gt;=0,W80&gt;0),"Tetap Deteksi","Belum Deteksi"))</f>
        <v>Belum Deteksi</v>
      </c>
      <c r="AA80" s="143"/>
      <c r="AB80" s="9">
        <f t="shared" si="16"/>
        <v>0</v>
      </c>
      <c r="AC80" s="11"/>
      <c r="AD80" s="143"/>
      <c r="AE80" s="9">
        <f t="array" ref="AE80">IFERROR(AD80/$G80*100,0)</f>
        <v>0</v>
      </c>
      <c r="AF80" s="143"/>
      <c r="AG80" s="9">
        <f t="shared" si="17"/>
        <v>0</v>
      </c>
      <c r="AH80" s="8" t="str">
        <f t="array" ref="AH80">IF(AG80&gt;5,"Perlu Sensus",IF(AND(AG80&gt;=0,AD80&gt;0),"Tetap Deteksi","Belum Deteksi"))</f>
        <v>Belum Deteksi</v>
      </c>
      <c r="AI80" s="143"/>
      <c r="AJ80" s="9">
        <f t="shared" si="18"/>
        <v>0</v>
      </c>
      <c r="AK80" s="11"/>
      <c r="AL80" s="143"/>
      <c r="AM80" s="143"/>
      <c r="AN80" s="9">
        <f t="shared" si="19"/>
        <v>0</v>
      </c>
      <c r="AO80" s="8" t="str">
        <f t="array" ref="AO80">IF(AN80&gt;5,"Perlu Sensus",IF(AND(AN80&gt;=0,AL80&gt;0),"Tetap Deteksi","Belum Deteksi"))</f>
        <v>Belum Deteksi</v>
      </c>
      <c r="AP80" s="143"/>
      <c r="AQ80" s="9">
        <f t="shared" si="20"/>
        <v>0</v>
      </c>
    </row>
    <row r="81" spans="1:43" outlineLevel="1" x14ac:dyDescent="0.15">
      <c r="A81" s="8" t="s">
        <v>1273</v>
      </c>
      <c r="B81" s="8" t="s">
        <v>14</v>
      </c>
      <c r="C81" s="8" t="s">
        <v>79</v>
      </c>
      <c r="D81" s="186" t="s">
        <v>1347</v>
      </c>
      <c r="E81" s="9">
        <v>21.18</v>
      </c>
      <c r="F81" s="8" t="s">
        <v>1740</v>
      </c>
      <c r="G81" s="10">
        <v>2564</v>
      </c>
      <c r="H81" s="11">
        <f t="array" ref="H81">IF(OR(N81&gt;0,AC81&gt;0),MAX(N81,AC81),MAX(AK81,V81))</f>
        <v>46249</v>
      </c>
      <c r="I81" s="143">
        <f t="array" ref="I81">IF(SUM(O81,AD81)&gt;0,SUM(O81,AD81),SUM(AL81,W81))</f>
        <v>105</v>
      </c>
      <c r="J81" s="9">
        <f t="shared" si="11"/>
        <v>4.0951638065522618</v>
      </c>
      <c r="K81" s="143">
        <f t="shared" si="21"/>
        <v>2</v>
      </c>
      <c r="L81" s="9">
        <f t="shared" si="12"/>
        <v>1.9047619047619049</v>
      </c>
      <c r="M81" s="8" t="str">
        <f t="array" ref="M81">IF(L81&gt;5,"Perlu Sensus",IF(AND(L81&gt;=0,I81&gt;0),"Tetap Deteksi","Belum Deteksi"))</f>
        <v>Tetap Deteksi</v>
      </c>
      <c r="N81" s="132">
        <v>46249</v>
      </c>
      <c r="O81" s="143">
        <f t="array" ref="O81">INDEX([28]Sheet1!$H$24:$H$231,MATCH(1,([28]Sheet1!$E$24:$E$231=$D81)*([28]Sheet1!$E$24:$E$231=$D81),0))</f>
        <v>105</v>
      </c>
      <c r="P81" s="9">
        <f t="array" ref="P81">IFERROR(O81/$G81*100,0)</f>
        <v>4.0951638065522618</v>
      </c>
      <c r="Q81" s="143">
        <f t="array" ref="Q81">INDEX([28]Sheet1!$J$24:$J$231,MATCH(1,([28]Sheet1!$E$24:$E$231=$D81)*([28]Sheet1!$E$24:$E$231=$D81),0))</f>
        <v>2</v>
      </c>
      <c r="R81" s="9">
        <f t="shared" si="13"/>
        <v>1.9047619047619049</v>
      </c>
      <c r="S81" s="8" t="str">
        <f t="array" ref="S81">IF(R81&gt;5,"Perlu Sensus",IF(AND(R81&gt;=0,O81&gt;0),"Tetap Deteksi","Belum Deteksi"))</f>
        <v>Tetap Deteksi</v>
      </c>
      <c r="T81" s="143"/>
      <c r="U81" s="9">
        <f t="shared" si="14"/>
        <v>0</v>
      </c>
      <c r="V81" s="11"/>
      <c r="W81" s="143"/>
      <c r="X81" s="143"/>
      <c r="Y81" s="9">
        <f t="shared" si="15"/>
        <v>0</v>
      </c>
      <c r="Z81" s="8" t="str">
        <f t="array" ref="Z81">IF(Y81&gt;5,"Perlu Sensus",IF(AND(Y81&gt;=0,W81&gt;0),"Tetap Deteksi","Belum Deteksi"))</f>
        <v>Belum Deteksi</v>
      </c>
      <c r="AA81" s="143"/>
      <c r="AB81" s="9">
        <f t="shared" si="16"/>
        <v>0</v>
      </c>
      <c r="AC81" s="11"/>
      <c r="AD81" s="143"/>
      <c r="AE81" s="9">
        <f t="array" ref="AE81">IFERROR(AD81/$G81*100,0)</f>
        <v>0</v>
      </c>
      <c r="AF81" s="143"/>
      <c r="AG81" s="9">
        <f t="shared" si="17"/>
        <v>0</v>
      </c>
      <c r="AH81" s="8" t="str">
        <f t="array" ref="AH81">IF(AG81&gt;5,"Perlu Sensus",IF(AND(AG81&gt;=0,AD81&gt;0),"Tetap Deteksi","Belum Deteksi"))</f>
        <v>Belum Deteksi</v>
      </c>
      <c r="AI81" s="143"/>
      <c r="AJ81" s="9">
        <f t="shared" si="18"/>
        <v>0</v>
      </c>
      <c r="AK81" s="11"/>
      <c r="AL81" s="143"/>
      <c r="AM81" s="143"/>
      <c r="AN81" s="9">
        <f t="shared" si="19"/>
        <v>0</v>
      </c>
      <c r="AO81" s="8" t="str">
        <f t="array" ref="AO81">IF(AN81&gt;5,"Perlu Sensus",IF(AND(AN81&gt;=0,AL81&gt;0),"Tetap Deteksi","Belum Deteksi"))</f>
        <v>Belum Deteksi</v>
      </c>
      <c r="AP81" s="143"/>
      <c r="AQ81" s="9">
        <f t="shared" si="20"/>
        <v>0</v>
      </c>
    </row>
    <row r="82" spans="1:43" outlineLevel="1" x14ac:dyDescent="0.15">
      <c r="A82" s="8" t="s">
        <v>1273</v>
      </c>
      <c r="B82" s="8" t="s">
        <v>14</v>
      </c>
      <c r="C82" s="8" t="s">
        <v>79</v>
      </c>
      <c r="D82" s="186" t="s">
        <v>1348</v>
      </c>
      <c r="E82" s="9">
        <v>52.570000000000007</v>
      </c>
      <c r="F82" s="8" t="s">
        <v>1740</v>
      </c>
      <c r="G82" s="10">
        <v>6852</v>
      </c>
      <c r="H82" s="11">
        <f t="array" ref="H82">IF(OR(N82&gt;0,AC82&gt;0),MAX(N82,AC82),MAX(AK82,V82))</f>
        <v>46249</v>
      </c>
      <c r="I82" s="143">
        <f t="array" ref="I82">IF(SUM(O82,AD82)&gt;0,SUM(O82,AD82),SUM(AL82,W82))</f>
        <v>124</v>
      </c>
      <c r="J82" s="9">
        <f t="shared" si="11"/>
        <v>1.8096906012842966</v>
      </c>
      <c r="K82" s="143">
        <f t="shared" si="21"/>
        <v>2</v>
      </c>
      <c r="L82" s="9">
        <f t="shared" si="12"/>
        <v>1.6129032258064515</v>
      </c>
      <c r="M82" s="8" t="str">
        <f t="array" ref="M82">IF(L82&gt;5,"Perlu Sensus",IF(AND(L82&gt;=0,I82&gt;0),"Tetap Deteksi","Belum Deteksi"))</f>
        <v>Tetap Deteksi</v>
      </c>
      <c r="N82" s="132">
        <v>46249</v>
      </c>
      <c r="O82" s="143">
        <f t="array" ref="O82">INDEX([28]Sheet1!$H$24:$H$231,MATCH(1,([28]Sheet1!$E$24:$E$231=$D82)*([28]Sheet1!$E$24:$E$231=$D82),0))</f>
        <v>124</v>
      </c>
      <c r="P82" s="9">
        <f t="array" ref="P82">IFERROR(O82/$G82*100,0)</f>
        <v>1.8096906012842966</v>
      </c>
      <c r="Q82" s="143">
        <f t="array" ref="Q82">INDEX([28]Sheet1!$J$24:$J$231,MATCH(1,([28]Sheet1!$E$24:$E$231=$D82)*([28]Sheet1!$E$24:$E$231=$D82),0))</f>
        <v>2</v>
      </c>
      <c r="R82" s="9">
        <f t="shared" si="13"/>
        <v>1.6129032258064515</v>
      </c>
      <c r="S82" s="8" t="str">
        <f t="array" ref="S82">IF(R82&gt;5,"Perlu Sensus",IF(AND(R82&gt;=0,O82&gt;0),"Tetap Deteksi","Belum Deteksi"))</f>
        <v>Tetap Deteksi</v>
      </c>
      <c r="T82" s="143"/>
      <c r="U82" s="9">
        <f t="shared" si="14"/>
        <v>0</v>
      </c>
      <c r="V82" s="11"/>
      <c r="W82" s="143"/>
      <c r="X82" s="143"/>
      <c r="Y82" s="9">
        <f t="shared" si="15"/>
        <v>0</v>
      </c>
      <c r="Z82" s="8" t="str">
        <f t="array" ref="Z82">IF(Y82&gt;5,"Perlu Sensus",IF(AND(Y82&gt;=0,W82&gt;0),"Tetap Deteksi","Belum Deteksi"))</f>
        <v>Belum Deteksi</v>
      </c>
      <c r="AA82" s="143"/>
      <c r="AB82" s="9">
        <f t="shared" si="16"/>
        <v>0</v>
      </c>
      <c r="AC82" s="11"/>
      <c r="AD82" s="143"/>
      <c r="AE82" s="9">
        <f t="array" ref="AE82">IFERROR(AD82/$G82*100,0)</f>
        <v>0</v>
      </c>
      <c r="AF82" s="143"/>
      <c r="AG82" s="9">
        <f t="shared" si="17"/>
        <v>0</v>
      </c>
      <c r="AH82" s="8" t="str">
        <f t="array" ref="AH82">IF(AG82&gt;5,"Perlu Sensus",IF(AND(AG82&gt;=0,AD82&gt;0),"Tetap Deteksi","Belum Deteksi"))</f>
        <v>Belum Deteksi</v>
      </c>
      <c r="AI82" s="143"/>
      <c r="AJ82" s="9">
        <f t="shared" si="18"/>
        <v>0</v>
      </c>
      <c r="AK82" s="11"/>
      <c r="AL82" s="143"/>
      <c r="AM82" s="143"/>
      <c r="AN82" s="9">
        <f t="shared" si="19"/>
        <v>0</v>
      </c>
      <c r="AO82" s="8" t="str">
        <f t="array" ref="AO82">IF(AN82&gt;5,"Perlu Sensus",IF(AND(AN82&gt;=0,AL82&gt;0),"Tetap Deteksi","Belum Deteksi"))</f>
        <v>Belum Deteksi</v>
      </c>
      <c r="AP82" s="143"/>
      <c r="AQ82" s="9">
        <f t="shared" si="20"/>
        <v>0</v>
      </c>
    </row>
    <row r="83" spans="1:43" outlineLevel="1" x14ac:dyDescent="0.15">
      <c r="A83" s="8" t="s">
        <v>1273</v>
      </c>
      <c r="B83" s="8" t="s">
        <v>14</v>
      </c>
      <c r="C83" s="8" t="s">
        <v>79</v>
      </c>
      <c r="D83" s="186" t="s">
        <v>1349</v>
      </c>
      <c r="E83" s="9">
        <v>0</v>
      </c>
      <c r="F83" s="8" t="s">
        <v>1740</v>
      </c>
      <c r="G83" s="10">
        <v>0</v>
      </c>
      <c r="H83" s="11">
        <f t="array" ref="H83">IF(OR(N83&gt;0,AC83&gt;0),MAX(N83,AC83),MAX(AK83,V83))</f>
        <v>0</v>
      </c>
      <c r="I83" s="143">
        <f t="array" ref="I83">IF(SUM(O83,AD83)&gt;0,SUM(O83,AD83),SUM(AL83,W83))</f>
        <v>0</v>
      </c>
      <c r="J83" s="9" t="str">
        <f t="shared" si="11"/>
        <v xml:space="preserve"> </v>
      </c>
      <c r="K83" s="143">
        <f t="shared" si="21"/>
        <v>0</v>
      </c>
      <c r="L83" s="9">
        <f t="shared" si="12"/>
        <v>0</v>
      </c>
      <c r="M83" s="8" t="str">
        <f t="array" ref="M83">IF(L83&gt;5,"Perlu Sensus",IF(AND(L83&gt;=0,I83&gt;0),"Tetap Deteksi","Belum Deteksi"))</f>
        <v>Belum Deteksi</v>
      </c>
      <c r="N83" s="132"/>
      <c r="O83" s="143">
        <f t="array" ref="O83">INDEX([28]Sheet1!$H$24:$H$231,MATCH(1,([28]Sheet1!$E$24:$E$231=$D83)*([28]Sheet1!$E$24:$E$231=$D83),0))</f>
        <v>0</v>
      </c>
      <c r="P83" s="9">
        <f t="array" ref="P83">IFERROR(O83/$G83*100,0)</f>
        <v>0</v>
      </c>
      <c r="Q83" s="143">
        <f t="array" ref="Q83">INDEX([28]Sheet1!$J$24:$J$231,MATCH(1,([28]Sheet1!$E$24:$E$231=$D83)*([28]Sheet1!$E$24:$E$231=$D83),0))</f>
        <v>0</v>
      </c>
      <c r="R83" s="9">
        <f t="shared" si="13"/>
        <v>0</v>
      </c>
      <c r="S83" s="8" t="str">
        <f t="array" ref="S83">IF(R83&gt;5,"Perlu Sensus",IF(AND(R83&gt;=0,O83&gt;0),"Tetap Deteksi","Belum Deteksi"))</f>
        <v>Belum Deteksi</v>
      </c>
      <c r="T83" s="143"/>
      <c r="U83" s="9">
        <f t="shared" si="14"/>
        <v>0</v>
      </c>
      <c r="V83" s="11"/>
      <c r="W83" s="143"/>
      <c r="X83" s="143"/>
      <c r="Y83" s="9">
        <f t="shared" si="15"/>
        <v>0</v>
      </c>
      <c r="Z83" s="8" t="str">
        <f t="array" ref="Z83">IF(Y83&gt;5,"Perlu Sensus",IF(AND(Y83&gt;=0,W83&gt;0),"Tetap Deteksi","Belum Deteksi"))</f>
        <v>Belum Deteksi</v>
      </c>
      <c r="AA83" s="143"/>
      <c r="AB83" s="9">
        <f t="shared" si="16"/>
        <v>0</v>
      </c>
      <c r="AC83" s="11"/>
      <c r="AD83" s="143"/>
      <c r="AE83" s="9">
        <f t="array" ref="AE83">IFERROR(AD83/$G83*100,0)</f>
        <v>0</v>
      </c>
      <c r="AF83" s="143"/>
      <c r="AG83" s="9">
        <f t="shared" si="17"/>
        <v>0</v>
      </c>
      <c r="AH83" s="8" t="str">
        <f t="array" ref="AH83">IF(AG83&gt;5,"Perlu Sensus",IF(AND(AG83&gt;=0,AD83&gt;0),"Tetap Deteksi","Belum Deteksi"))</f>
        <v>Belum Deteksi</v>
      </c>
      <c r="AI83" s="143"/>
      <c r="AJ83" s="9">
        <f t="shared" si="18"/>
        <v>0</v>
      </c>
      <c r="AK83" s="11"/>
      <c r="AL83" s="143"/>
      <c r="AM83" s="143"/>
      <c r="AN83" s="9">
        <f t="shared" si="19"/>
        <v>0</v>
      </c>
      <c r="AO83" s="8" t="str">
        <f t="array" ref="AO83">IF(AN83&gt;5,"Perlu Sensus",IF(AND(AN83&gt;=0,AL83&gt;0),"Tetap Deteksi","Belum Deteksi"))</f>
        <v>Belum Deteksi</v>
      </c>
      <c r="AP83" s="143"/>
      <c r="AQ83" s="9">
        <f t="shared" si="20"/>
        <v>0</v>
      </c>
    </row>
    <row r="84" spans="1:43" outlineLevel="1" x14ac:dyDescent="0.15">
      <c r="A84" s="8" t="s">
        <v>1273</v>
      </c>
      <c r="B84" s="8" t="s">
        <v>14</v>
      </c>
      <c r="C84" s="8" t="s">
        <v>79</v>
      </c>
      <c r="D84" s="186" t="s">
        <v>1350</v>
      </c>
      <c r="E84" s="9">
        <v>0</v>
      </c>
      <c r="F84" s="8" t="s">
        <v>1740</v>
      </c>
      <c r="G84" s="10">
        <v>0</v>
      </c>
      <c r="H84" s="11">
        <f t="array" ref="H84">IF(OR(N84&gt;0,AC84&gt;0),MAX(N84,AC84),MAX(AK84,V84))</f>
        <v>0</v>
      </c>
      <c r="I84" s="143">
        <f t="array" ref="I84">IF(SUM(O84,AD84)&gt;0,SUM(O84,AD84),SUM(AL84,W84))</f>
        <v>0</v>
      </c>
      <c r="J84" s="9" t="str">
        <f t="shared" si="11"/>
        <v xml:space="preserve"> </v>
      </c>
      <c r="K84" s="143">
        <f t="shared" si="21"/>
        <v>0</v>
      </c>
      <c r="L84" s="9">
        <f t="shared" si="12"/>
        <v>0</v>
      </c>
      <c r="M84" s="8" t="str">
        <f t="array" ref="M84">IF(L84&gt;5,"Perlu Sensus",IF(AND(L84&gt;=0,I84&gt;0),"Tetap Deteksi","Belum Deteksi"))</f>
        <v>Belum Deteksi</v>
      </c>
      <c r="N84" s="132"/>
      <c r="O84" s="143">
        <f t="array" ref="O84">INDEX([28]Sheet1!$H$24:$H$231,MATCH(1,([28]Sheet1!$E$24:$E$231=$D84)*([28]Sheet1!$E$24:$E$231=$D84),0))</f>
        <v>0</v>
      </c>
      <c r="P84" s="9">
        <f t="array" ref="P84">IFERROR(O84/$G84*100,0)</f>
        <v>0</v>
      </c>
      <c r="Q84" s="143">
        <f t="array" ref="Q84">INDEX([28]Sheet1!$J$24:$J$231,MATCH(1,([28]Sheet1!$E$24:$E$231=$D84)*([28]Sheet1!$E$24:$E$231=$D84),0))</f>
        <v>0</v>
      </c>
      <c r="R84" s="9">
        <f t="shared" si="13"/>
        <v>0</v>
      </c>
      <c r="S84" s="8" t="str">
        <f t="array" ref="S84">IF(R84&gt;5,"Perlu Sensus",IF(AND(R84&gt;=0,O84&gt;0),"Tetap Deteksi","Belum Deteksi"))</f>
        <v>Belum Deteksi</v>
      </c>
      <c r="T84" s="143"/>
      <c r="U84" s="9">
        <f t="shared" si="14"/>
        <v>0</v>
      </c>
      <c r="V84" s="11"/>
      <c r="W84" s="143"/>
      <c r="X84" s="143"/>
      <c r="Y84" s="9">
        <f t="shared" si="15"/>
        <v>0</v>
      </c>
      <c r="Z84" s="8" t="str">
        <f t="array" ref="Z84">IF(Y84&gt;5,"Perlu Sensus",IF(AND(Y84&gt;=0,W84&gt;0),"Tetap Deteksi","Belum Deteksi"))</f>
        <v>Belum Deteksi</v>
      </c>
      <c r="AA84" s="143"/>
      <c r="AB84" s="9">
        <f t="shared" si="16"/>
        <v>0</v>
      </c>
      <c r="AC84" s="11"/>
      <c r="AD84" s="143"/>
      <c r="AE84" s="9">
        <f t="array" ref="AE84">IFERROR(AD84/$G84*100,0)</f>
        <v>0</v>
      </c>
      <c r="AF84" s="143"/>
      <c r="AG84" s="9">
        <f t="shared" si="17"/>
        <v>0</v>
      </c>
      <c r="AH84" s="8" t="str">
        <f t="array" ref="AH84">IF(AG84&gt;5,"Perlu Sensus",IF(AND(AG84&gt;=0,AD84&gt;0),"Tetap Deteksi","Belum Deteksi"))</f>
        <v>Belum Deteksi</v>
      </c>
      <c r="AI84" s="143"/>
      <c r="AJ84" s="9">
        <f t="shared" si="18"/>
        <v>0</v>
      </c>
      <c r="AK84" s="11"/>
      <c r="AL84" s="143"/>
      <c r="AM84" s="143"/>
      <c r="AN84" s="9">
        <f t="shared" si="19"/>
        <v>0</v>
      </c>
      <c r="AO84" s="8" t="str">
        <f t="array" ref="AO84">IF(AN84&gt;5,"Perlu Sensus",IF(AND(AN84&gt;=0,AL84&gt;0),"Tetap Deteksi","Belum Deteksi"))</f>
        <v>Belum Deteksi</v>
      </c>
      <c r="AP84" s="143"/>
      <c r="AQ84" s="9">
        <f t="shared" si="20"/>
        <v>0</v>
      </c>
    </row>
    <row r="85" spans="1:43" outlineLevel="1" x14ac:dyDescent="0.15">
      <c r="A85" s="8" t="s">
        <v>1273</v>
      </c>
      <c r="B85" s="8" t="s">
        <v>14</v>
      </c>
      <c r="C85" s="8" t="s">
        <v>79</v>
      </c>
      <c r="D85" s="186" t="s">
        <v>1351</v>
      </c>
      <c r="E85" s="9">
        <v>25.28</v>
      </c>
      <c r="F85" s="8" t="s">
        <v>1740</v>
      </c>
      <c r="G85" s="10">
        <v>3200</v>
      </c>
      <c r="H85" s="11">
        <f t="array" ref="H85">IF(OR(N85&gt;0,AC85&gt;0),MAX(N85,AC85),MAX(AK85,V85))</f>
        <v>46249</v>
      </c>
      <c r="I85" s="143">
        <f t="array" ref="I85">IF(SUM(O85,AD85)&gt;0,SUM(O85,AD85),SUM(AL85,W85))</f>
        <v>122</v>
      </c>
      <c r="J85" s="9">
        <f t="shared" si="11"/>
        <v>3.8125</v>
      </c>
      <c r="K85" s="143">
        <f t="shared" si="21"/>
        <v>2</v>
      </c>
      <c r="L85" s="9">
        <f t="shared" si="12"/>
        <v>1.639344262295082</v>
      </c>
      <c r="M85" s="8" t="str">
        <f t="array" ref="M85">IF(L85&gt;5,"Perlu Sensus",IF(AND(L85&gt;=0,I85&gt;0),"Tetap Deteksi","Belum Deteksi"))</f>
        <v>Tetap Deteksi</v>
      </c>
      <c r="N85" s="132">
        <v>46249</v>
      </c>
      <c r="O85" s="143">
        <f t="array" ref="O85">INDEX([28]Sheet1!$H$24:$H$231,MATCH(1,([28]Sheet1!$E$24:$E$231=$D85)*([28]Sheet1!$E$24:$E$231=$D85),0))</f>
        <v>122</v>
      </c>
      <c r="P85" s="9">
        <f t="array" ref="P85">IFERROR(O85/$G85*100,0)</f>
        <v>3.8125</v>
      </c>
      <c r="Q85" s="143">
        <f t="array" ref="Q85">INDEX([28]Sheet1!$J$24:$J$231,MATCH(1,([28]Sheet1!$E$24:$E$231=$D85)*([28]Sheet1!$E$24:$E$231=$D85),0))</f>
        <v>2</v>
      </c>
      <c r="R85" s="9">
        <f t="shared" si="13"/>
        <v>1.639344262295082</v>
      </c>
      <c r="S85" s="8" t="str">
        <f t="array" ref="S85">IF(R85&gt;5,"Perlu Sensus",IF(AND(R85&gt;=0,O85&gt;0),"Tetap Deteksi","Belum Deteksi"))</f>
        <v>Tetap Deteksi</v>
      </c>
      <c r="T85" s="143"/>
      <c r="U85" s="9">
        <f t="shared" si="14"/>
        <v>0</v>
      </c>
      <c r="V85" s="11"/>
      <c r="W85" s="143"/>
      <c r="X85" s="143"/>
      <c r="Y85" s="9">
        <f t="shared" si="15"/>
        <v>0</v>
      </c>
      <c r="Z85" s="8" t="str">
        <f t="array" ref="Z85">IF(Y85&gt;5,"Perlu Sensus",IF(AND(Y85&gt;=0,W85&gt;0),"Tetap Deteksi","Belum Deteksi"))</f>
        <v>Belum Deteksi</v>
      </c>
      <c r="AA85" s="143"/>
      <c r="AB85" s="9">
        <f t="shared" si="16"/>
        <v>0</v>
      </c>
      <c r="AC85" s="11"/>
      <c r="AD85" s="143"/>
      <c r="AE85" s="9">
        <f t="array" ref="AE85">IFERROR(AD85/$G85*100,0)</f>
        <v>0</v>
      </c>
      <c r="AF85" s="143"/>
      <c r="AG85" s="9">
        <f t="shared" si="17"/>
        <v>0</v>
      </c>
      <c r="AH85" s="8" t="str">
        <f t="array" ref="AH85">IF(AG85&gt;5,"Perlu Sensus",IF(AND(AG85&gt;=0,AD85&gt;0),"Tetap Deteksi","Belum Deteksi"))</f>
        <v>Belum Deteksi</v>
      </c>
      <c r="AI85" s="143"/>
      <c r="AJ85" s="9">
        <f t="shared" si="18"/>
        <v>0</v>
      </c>
      <c r="AK85" s="11"/>
      <c r="AL85" s="143"/>
      <c r="AM85" s="143"/>
      <c r="AN85" s="9">
        <f t="shared" si="19"/>
        <v>0</v>
      </c>
      <c r="AO85" s="8" t="str">
        <f t="array" ref="AO85">IF(AN85&gt;5,"Perlu Sensus",IF(AND(AN85&gt;=0,AL85&gt;0),"Tetap Deteksi","Belum Deteksi"))</f>
        <v>Belum Deteksi</v>
      </c>
      <c r="AP85" s="143"/>
      <c r="AQ85" s="9">
        <f t="shared" si="20"/>
        <v>0</v>
      </c>
    </row>
    <row r="86" spans="1:43" outlineLevel="1" x14ac:dyDescent="0.15">
      <c r="A86" s="8" t="s">
        <v>1273</v>
      </c>
      <c r="B86" s="8" t="s">
        <v>14</v>
      </c>
      <c r="C86" s="8" t="s">
        <v>79</v>
      </c>
      <c r="D86" s="186" t="s">
        <v>1352</v>
      </c>
      <c r="E86" s="9">
        <v>47.55</v>
      </c>
      <c r="F86" s="8" t="s">
        <v>1740</v>
      </c>
      <c r="G86" s="10">
        <v>6387</v>
      </c>
      <c r="H86" s="11">
        <f t="array" ref="H86">IF(OR(N86&gt;0,AC86&gt;0),MAX(N86,AC86),MAX(AK86,V86))</f>
        <v>46249</v>
      </c>
      <c r="I86" s="143">
        <f t="array" ref="I86">IF(SUM(O86,AD86)&gt;0,SUM(O86,AD86),SUM(AL86,W86))</f>
        <v>147</v>
      </c>
      <c r="J86" s="9">
        <f t="shared" si="11"/>
        <v>2.3015500234852042</v>
      </c>
      <c r="K86" s="143">
        <f t="shared" si="21"/>
        <v>3</v>
      </c>
      <c r="L86" s="9">
        <f t="shared" si="12"/>
        <v>2.0408163265306123</v>
      </c>
      <c r="M86" s="8" t="str">
        <f t="array" ref="M86">IF(L86&gt;5,"Perlu Sensus",IF(AND(L86&gt;=0,I86&gt;0),"Tetap Deteksi","Belum Deteksi"))</f>
        <v>Tetap Deteksi</v>
      </c>
      <c r="N86" s="132">
        <v>46249</v>
      </c>
      <c r="O86" s="143">
        <f t="array" ref="O86">INDEX([28]Sheet1!$H$24:$H$231,MATCH(1,([28]Sheet1!$E$24:$E$231=$D86)*([28]Sheet1!$E$24:$E$231=$D86),0))</f>
        <v>147</v>
      </c>
      <c r="P86" s="9">
        <f t="array" ref="P86">IFERROR(O86/$G86*100,0)</f>
        <v>2.3015500234852042</v>
      </c>
      <c r="Q86" s="143">
        <f t="array" ref="Q86">INDEX([28]Sheet1!$J$24:$J$231,MATCH(1,([28]Sheet1!$E$24:$E$231=$D86)*([28]Sheet1!$E$24:$E$231=$D86),0))</f>
        <v>3</v>
      </c>
      <c r="R86" s="9">
        <f t="shared" si="13"/>
        <v>2.0408163265306123</v>
      </c>
      <c r="S86" s="8" t="str">
        <f t="array" ref="S86">IF(R86&gt;5,"Perlu Sensus",IF(AND(R86&gt;=0,O86&gt;0),"Tetap Deteksi","Belum Deteksi"))</f>
        <v>Tetap Deteksi</v>
      </c>
      <c r="T86" s="143"/>
      <c r="U86" s="9">
        <f t="shared" si="14"/>
        <v>0</v>
      </c>
      <c r="V86" s="11"/>
      <c r="W86" s="143"/>
      <c r="X86" s="143"/>
      <c r="Y86" s="9">
        <f t="shared" si="15"/>
        <v>0</v>
      </c>
      <c r="Z86" s="8" t="str">
        <f t="array" ref="Z86">IF(Y86&gt;5,"Perlu Sensus",IF(AND(Y86&gt;=0,W86&gt;0),"Tetap Deteksi","Belum Deteksi"))</f>
        <v>Belum Deteksi</v>
      </c>
      <c r="AA86" s="143"/>
      <c r="AB86" s="9">
        <f t="shared" si="16"/>
        <v>0</v>
      </c>
      <c r="AC86" s="11"/>
      <c r="AD86" s="143"/>
      <c r="AE86" s="9">
        <f t="array" ref="AE86">IFERROR(AD86/$G86*100,0)</f>
        <v>0</v>
      </c>
      <c r="AF86" s="143"/>
      <c r="AG86" s="9">
        <f t="shared" si="17"/>
        <v>0</v>
      </c>
      <c r="AH86" s="8" t="str">
        <f t="array" ref="AH86">IF(AG86&gt;5,"Perlu Sensus",IF(AND(AG86&gt;=0,AD86&gt;0),"Tetap Deteksi","Belum Deteksi"))</f>
        <v>Belum Deteksi</v>
      </c>
      <c r="AI86" s="143"/>
      <c r="AJ86" s="9">
        <f t="shared" si="18"/>
        <v>0</v>
      </c>
      <c r="AK86" s="11"/>
      <c r="AL86" s="143"/>
      <c r="AM86" s="143"/>
      <c r="AN86" s="9">
        <f t="shared" si="19"/>
        <v>0</v>
      </c>
      <c r="AO86" s="8" t="str">
        <f t="array" ref="AO86">IF(AN86&gt;5,"Perlu Sensus",IF(AND(AN86&gt;=0,AL86&gt;0),"Tetap Deteksi","Belum Deteksi"))</f>
        <v>Belum Deteksi</v>
      </c>
      <c r="AP86" s="143"/>
      <c r="AQ86" s="9">
        <f t="shared" si="20"/>
        <v>0</v>
      </c>
    </row>
    <row r="87" spans="1:43" outlineLevel="1" x14ac:dyDescent="0.15">
      <c r="A87" s="8" t="s">
        <v>1273</v>
      </c>
      <c r="B87" s="8" t="s">
        <v>14</v>
      </c>
      <c r="C87" s="8" t="s">
        <v>79</v>
      </c>
      <c r="D87" s="186" t="s">
        <v>1353</v>
      </c>
      <c r="E87" s="9">
        <v>25.58</v>
      </c>
      <c r="F87" s="8" t="s">
        <v>1740</v>
      </c>
      <c r="G87" s="10">
        <v>2551</v>
      </c>
      <c r="H87" s="11">
        <f t="array" ref="H87">IF(OR(N87&gt;0,AC87&gt;0),MAX(N87,AC87),MAX(AK87,V87))</f>
        <v>46249</v>
      </c>
      <c r="I87" s="143">
        <f t="array" ref="I87">IF(SUM(O87,AD87)&gt;0,SUM(O87,AD87),SUM(AL87,W87))</f>
        <v>144</v>
      </c>
      <c r="J87" s="9">
        <f t="shared" si="11"/>
        <v>5.64484515876127</v>
      </c>
      <c r="K87" s="143">
        <f t="shared" si="21"/>
        <v>2</v>
      </c>
      <c r="L87" s="9">
        <f t="shared" si="12"/>
        <v>1.3888888888888888</v>
      </c>
      <c r="M87" s="8" t="str">
        <f t="array" ref="M87">IF(L87&gt;5,"Perlu Sensus",IF(AND(L87&gt;=0,I87&gt;0),"Tetap Deteksi","Belum Deteksi"))</f>
        <v>Tetap Deteksi</v>
      </c>
      <c r="N87" s="132">
        <v>46249</v>
      </c>
      <c r="O87" s="143">
        <f t="array" ref="O87">INDEX([28]Sheet1!$H$24:$H$231,MATCH(1,([28]Sheet1!$E$24:$E$231=$D87)*([28]Sheet1!$E$24:$E$231=$D87),0))</f>
        <v>144</v>
      </c>
      <c r="P87" s="9">
        <f t="array" ref="P87">IFERROR(O87/$G87*100,0)</f>
        <v>5.64484515876127</v>
      </c>
      <c r="Q87" s="143">
        <f t="array" ref="Q87">INDEX([28]Sheet1!$J$24:$J$231,MATCH(1,([28]Sheet1!$E$24:$E$231=$D87)*([28]Sheet1!$E$24:$E$231=$D87),0))</f>
        <v>2</v>
      </c>
      <c r="R87" s="9">
        <f t="shared" si="13"/>
        <v>1.3888888888888888</v>
      </c>
      <c r="S87" s="8" t="str">
        <f t="array" ref="S87">IF(R87&gt;5,"Perlu Sensus",IF(AND(R87&gt;=0,O87&gt;0),"Tetap Deteksi","Belum Deteksi"))</f>
        <v>Tetap Deteksi</v>
      </c>
      <c r="T87" s="143"/>
      <c r="U87" s="9">
        <f t="shared" si="14"/>
        <v>0</v>
      </c>
      <c r="V87" s="11"/>
      <c r="W87" s="143"/>
      <c r="X87" s="143"/>
      <c r="Y87" s="9">
        <f t="shared" si="15"/>
        <v>0</v>
      </c>
      <c r="Z87" s="8" t="str">
        <f t="array" ref="Z87">IF(Y87&gt;5,"Perlu Sensus",IF(AND(Y87&gt;=0,W87&gt;0),"Tetap Deteksi","Belum Deteksi"))</f>
        <v>Belum Deteksi</v>
      </c>
      <c r="AA87" s="143"/>
      <c r="AB87" s="9">
        <f t="shared" si="16"/>
        <v>0</v>
      </c>
      <c r="AC87" s="11"/>
      <c r="AD87" s="143"/>
      <c r="AE87" s="9">
        <f t="array" ref="AE87">IFERROR(AD87/$G87*100,0)</f>
        <v>0</v>
      </c>
      <c r="AF87" s="143"/>
      <c r="AG87" s="9">
        <f t="shared" si="17"/>
        <v>0</v>
      </c>
      <c r="AH87" s="8" t="str">
        <f t="array" ref="AH87">IF(AG87&gt;5,"Perlu Sensus",IF(AND(AG87&gt;=0,AD87&gt;0),"Tetap Deteksi","Belum Deteksi"))</f>
        <v>Belum Deteksi</v>
      </c>
      <c r="AI87" s="143"/>
      <c r="AJ87" s="9">
        <f t="shared" si="18"/>
        <v>0</v>
      </c>
      <c r="AK87" s="11"/>
      <c r="AL87" s="143"/>
      <c r="AM87" s="143"/>
      <c r="AN87" s="9">
        <f t="shared" si="19"/>
        <v>0</v>
      </c>
      <c r="AO87" s="8" t="str">
        <f t="array" ref="AO87">IF(AN87&gt;5,"Perlu Sensus",IF(AND(AN87&gt;=0,AL87&gt;0),"Tetap Deteksi","Belum Deteksi"))</f>
        <v>Belum Deteksi</v>
      </c>
      <c r="AP87" s="143"/>
      <c r="AQ87" s="9">
        <f t="shared" si="20"/>
        <v>0</v>
      </c>
    </row>
    <row r="88" spans="1:43" outlineLevel="1" x14ac:dyDescent="0.15">
      <c r="A88" s="8" t="s">
        <v>1273</v>
      </c>
      <c r="B88" s="8" t="s">
        <v>14</v>
      </c>
      <c r="C88" s="8" t="s">
        <v>79</v>
      </c>
      <c r="D88" s="186" t="s">
        <v>1354</v>
      </c>
      <c r="E88" s="9">
        <v>24.580000000000002</v>
      </c>
      <c r="F88" s="8" t="s">
        <v>1740</v>
      </c>
      <c r="G88" s="10">
        <v>2771</v>
      </c>
      <c r="H88" s="11">
        <f t="array" ref="H88">IF(OR(N88&gt;0,AC88&gt;0),MAX(N88,AC88),MAX(AK88,V88))</f>
        <v>46249</v>
      </c>
      <c r="I88" s="143">
        <f t="array" ref="I88">IF(SUM(O88,AD88)&gt;0,SUM(O88,AD88),SUM(AL88,W88))</f>
        <v>127</v>
      </c>
      <c r="J88" s="9">
        <f t="shared" si="11"/>
        <v>4.583182966438109</v>
      </c>
      <c r="K88" s="143">
        <f t="shared" si="21"/>
        <v>1</v>
      </c>
      <c r="L88" s="9">
        <f t="shared" si="12"/>
        <v>0.78740157480314954</v>
      </c>
      <c r="M88" s="8" t="str">
        <f t="array" ref="M88">IF(L88&gt;5,"Perlu Sensus",IF(AND(L88&gt;=0,I88&gt;0),"Tetap Deteksi","Belum Deteksi"))</f>
        <v>Tetap Deteksi</v>
      </c>
      <c r="N88" s="132">
        <v>46249</v>
      </c>
      <c r="O88" s="143">
        <f t="array" ref="O88">INDEX([28]Sheet1!$H$24:$H$231,MATCH(1,([28]Sheet1!$E$24:$E$231=$D88)*([28]Sheet1!$E$24:$E$231=$D88),0))</f>
        <v>127</v>
      </c>
      <c r="P88" s="9">
        <f t="array" ref="P88">IFERROR(O88/$G88*100,0)</f>
        <v>4.583182966438109</v>
      </c>
      <c r="Q88" s="143">
        <f t="array" ref="Q88">INDEX([28]Sheet1!$J$24:$J$231,MATCH(1,([28]Sheet1!$E$24:$E$231=$D88)*([28]Sheet1!$E$24:$E$231=$D88),0))</f>
        <v>1</v>
      </c>
      <c r="R88" s="9">
        <f t="shared" si="13"/>
        <v>0.78740157480314954</v>
      </c>
      <c r="S88" s="8" t="str">
        <f t="array" ref="S88">IF(R88&gt;5,"Perlu Sensus",IF(AND(R88&gt;=0,O88&gt;0),"Tetap Deteksi","Belum Deteksi"))</f>
        <v>Tetap Deteksi</v>
      </c>
      <c r="T88" s="143"/>
      <c r="U88" s="9">
        <f t="shared" si="14"/>
        <v>0</v>
      </c>
      <c r="V88" s="11"/>
      <c r="W88" s="143"/>
      <c r="X88" s="143"/>
      <c r="Y88" s="9">
        <f t="shared" si="15"/>
        <v>0</v>
      </c>
      <c r="Z88" s="8" t="str">
        <f t="array" ref="Z88">IF(Y88&gt;5,"Perlu Sensus",IF(AND(Y88&gt;=0,W88&gt;0),"Tetap Deteksi","Belum Deteksi"))</f>
        <v>Belum Deteksi</v>
      </c>
      <c r="AA88" s="143"/>
      <c r="AB88" s="9">
        <f t="shared" si="16"/>
        <v>0</v>
      </c>
      <c r="AC88" s="11"/>
      <c r="AD88" s="143"/>
      <c r="AE88" s="9">
        <f t="array" ref="AE88">IFERROR(AD88/$G88*100,0)</f>
        <v>0</v>
      </c>
      <c r="AF88" s="143"/>
      <c r="AG88" s="9">
        <f t="shared" si="17"/>
        <v>0</v>
      </c>
      <c r="AH88" s="8" t="str">
        <f t="array" ref="AH88">IF(AG88&gt;5,"Perlu Sensus",IF(AND(AG88&gt;=0,AD88&gt;0),"Tetap Deteksi","Belum Deteksi"))</f>
        <v>Belum Deteksi</v>
      </c>
      <c r="AI88" s="143"/>
      <c r="AJ88" s="9">
        <f t="shared" si="18"/>
        <v>0</v>
      </c>
      <c r="AK88" s="11"/>
      <c r="AL88" s="143"/>
      <c r="AM88" s="143"/>
      <c r="AN88" s="9">
        <f t="shared" si="19"/>
        <v>0</v>
      </c>
      <c r="AO88" s="8" t="str">
        <f t="array" ref="AO88">IF(AN88&gt;5,"Perlu Sensus",IF(AND(AN88&gt;=0,AL88&gt;0),"Tetap Deteksi","Belum Deteksi"))</f>
        <v>Belum Deteksi</v>
      </c>
      <c r="AP88" s="143"/>
      <c r="AQ88" s="9">
        <f t="shared" si="20"/>
        <v>0</v>
      </c>
    </row>
    <row r="89" spans="1:43" outlineLevel="1" x14ac:dyDescent="0.15">
      <c r="A89" s="8" t="s">
        <v>1273</v>
      </c>
      <c r="B89" s="8" t="s">
        <v>14</v>
      </c>
      <c r="C89" s="8" t="s">
        <v>79</v>
      </c>
      <c r="D89" s="181" t="s">
        <v>1355</v>
      </c>
      <c r="E89" s="9">
        <v>40.53</v>
      </c>
      <c r="F89" s="8" t="s">
        <v>1740</v>
      </c>
      <c r="G89" s="10">
        <v>5611</v>
      </c>
      <c r="H89" s="11">
        <f t="array" ref="H89">IF(OR(N89&gt;0,AC89&gt;0),MAX(N89,AC89),MAX(AK89,V89))</f>
        <v>46249</v>
      </c>
      <c r="I89" s="143">
        <f t="array" ref="I89">IF(SUM(O89,AD89)&gt;0,SUM(O89,AD89),SUM(AL89,W89))</f>
        <v>152</v>
      </c>
      <c r="J89" s="9">
        <f t="shared" si="11"/>
        <v>2.7089645339511677</v>
      </c>
      <c r="K89" s="143">
        <f t="shared" si="21"/>
        <v>2</v>
      </c>
      <c r="L89" s="9">
        <f t="shared" si="12"/>
        <v>1.3157894736842104</v>
      </c>
      <c r="M89" s="8" t="str">
        <f t="array" ref="M89">IF(L89&gt;5,"Perlu Sensus",IF(AND(L89&gt;=0,I89&gt;0),"Tetap Deteksi","Belum Deteksi"))</f>
        <v>Tetap Deteksi</v>
      </c>
      <c r="N89" s="132">
        <v>46249</v>
      </c>
      <c r="O89" s="143">
        <f t="array" ref="O89">INDEX([28]Sheet1!$H$24:$H$231,MATCH(1,([28]Sheet1!$E$24:$E$231=$D89)*([28]Sheet1!$E$24:$E$231=$D89),0))</f>
        <v>152</v>
      </c>
      <c r="P89" s="9">
        <f t="array" ref="P89">IFERROR(O89/$G89*100,0)</f>
        <v>2.7089645339511677</v>
      </c>
      <c r="Q89" s="143">
        <f t="array" ref="Q89">INDEX([28]Sheet1!$J$24:$J$231,MATCH(1,([28]Sheet1!$E$24:$E$231=$D89)*([28]Sheet1!$E$24:$E$231=$D89),0))</f>
        <v>2</v>
      </c>
      <c r="R89" s="9">
        <f t="shared" si="13"/>
        <v>1.3157894736842104</v>
      </c>
      <c r="S89" s="8" t="str">
        <f t="array" ref="S89">IF(R89&gt;5,"Perlu Sensus",IF(AND(R89&gt;=0,O89&gt;0),"Tetap Deteksi","Belum Deteksi"))</f>
        <v>Tetap Deteksi</v>
      </c>
      <c r="T89" s="143"/>
      <c r="U89" s="9">
        <f t="shared" si="14"/>
        <v>0</v>
      </c>
      <c r="V89" s="11"/>
      <c r="W89" s="143"/>
      <c r="X89" s="143"/>
      <c r="Y89" s="9">
        <f t="shared" si="15"/>
        <v>0</v>
      </c>
      <c r="Z89" s="8" t="str">
        <f t="array" ref="Z89">IF(Y89&gt;5,"Perlu Sensus",IF(AND(Y89&gt;=0,W89&gt;0),"Tetap Deteksi","Belum Deteksi"))</f>
        <v>Belum Deteksi</v>
      </c>
      <c r="AA89" s="143"/>
      <c r="AB89" s="9">
        <f t="shared" si="16"/>
        <v>0</v>
      </c>
      <c r="AC89" s="11"/>
      <c r="AD89" s="143"/>
      <c r="AE89" s="9">
        <f t="array" ref="AE89">IFERROR(AD89/$G89*100,0)</f>
        <v>0</v>
      </c>
      <c r="AF89" s="143"/>
      <c r="AG89" s="9">
        <f t="shared" si="17"/>
        <v>0</v>
      </c>
      <c r="AH89" s="8" t="str">
        <f t="array" ref="AH89">IF(AG89&gt;5,"Perlu Sensus",IF(AND(AG89&gt;=0,AD89&gt;0),"Tetap Deteksi","Belum Deteksi"))</f>
        <v>Belum Deteksi</v>
      </c>
      <c r="AI89" s="143"/>
      <c r="AJ89" s="9">
        <f t="shared" si="18"/>
        <v>0</v>
      </c>
      <c r="AK89" s="11"/>
      <c r="AL89" s="143"/>
      <c r="AM89" s="143"/>
      <c r="AN89" s="9">
        <f t="shared" si="19"/>
        <v>0</v>
      </c>
      <c r="AO89" s="8" t="str">
        <f t="array" ref="AO89">IF(AN89&gt;5,"Perlu Sensus",IF(AND(AN89&gt;=0,AL89&gt;0),"Tetap Deteksi","Belum Deteksi"))</f>
        <v>Belum Deteksi</v>
      </c>
      <c r="AP89" s="143"/>
      <c r="AQ89" s="9">
        <f t="shared" si="20"/>
        <v>0</v>
      </c>
    </row>
    <row r="90" spans="1:43" outlineLevel="1" x14ac:dyDescent="0.15">
      <c r="A90" s="8" t="s">
        <v>1273</v>
      </c>
      <c r="B90" s="8" t="s">
        <v>14</v>
      </c>
      <c r="C90" s="8" t="s">
        <v>79</v>
      </c>
      <c r="D90" s="186" t="s">
        <v>1356</v>
      </c>
      <c r="E90" s="9">
        <v>25.509999999999998</v>
      </c>
      <c r="F90" s="8" t="s">
        <v>1740</v>
      </c>
      <c r="G90" s="10">
        <v>3377</v>
      </c>
      <c r="H90" s="11">
        <f t="array" ref="H90">IF(OR(N90&gt;0,AC90&gt;0),MAX(N90,AC90),MAX(AK90,V90))</f>
        <v>46249</v>
      </c>
      <c r="I90" s="143">
        <f t="array" ref="I90">IF(SUM(O90,AD90)&gt;0,SUM(O90,AD90),SUM(AL90,W90))</f>
        <v>121</v>
      </c>
      <c r="J90" s="9">
        <f t="shared" si="11"/>
        <v>3.5830618892508146</v>
      </c>
      <c r="K90" s="143">
        <f t="shared" si="21"/>
        <v>2</v>
      </c>
      <c r="L90" s="9">
        <f t="shared" si="12"/>
        <v>1.6528925619834711</v>
      </c>
      <c r="M90" s="8" t="str">
        <f t="array" ref="M90">IF(L90&gt;5,"Perlu Sensus",IF(AND(L90&gt;=0,I90&gt;0),"Tetap Deteksi","Belum Deteksi"))</f>
        <v>Tetap Deteksi</v>
      </c>
      <c r="N90" s="132">
        <v>46249</v>
      </c>
      <c r="O90" s="143">
        <f t="array" ref="O90">INDEX([28]Sheet1!$H$24:$H$231,MATCH(1,([28]Sheet1!$E$24:$E$231=$D90)*([28]Sheet1!$E$24:$E$231=$D90),0))</f>
        <v>121</v>
      </c>
      <c r="P90" s="9">
        <f t="array" ref="P90">IFERROR(O90/$G90*100,0)</f>
        <v>3.5830618892508146</v>
      </c>
      <c r="Q90" s="143">
        <f t="array" ref="Q90">INDEX([28]Sheet1!$J$24:$J$231,MATCH(1,([28]Sheet1!$E$24:$E$231=$D90)*([28]Sheet1!$E$24:$E$231=$D90),0))</f>
        <v>2</v>
      </c>
      <c r="R90" s="9">
        <f t="shared" si="13"/>
        <v>1.6528925619834711</v>
      </c>
      <c r="S90" s="8" t="str">
        <f t="array" ref="S90">IF(R90&gt;5,"Perlu Sensus",IF(AND(R90&gt;=0,O90&gt;0),"Tetap Deteksi","Belum Deteksi"))</f>
        <v>Tetap Deteksi</v>
      </c>
      <c r="T90" s="143"/>
      <c r="U90" s="9">
        <f t="shared" si="14"/>
        <v>0</v>
      </c>
      <c r="V90" s="11"/>
      <c r="W90" s="143"/>
      <c r="X90" s="143"/>
      <c r="Y90" s="9">
        <f t="shared" si="15"/>
        <v>0</v>
      </c>
      <c r="Z90" s="8" t="str">
        <f t="array" ref="Z90">IF(Y90&gt;5,"Perlu Sensus",IF(AND(Y90&gt;=0,W90&gt;0),"Tetap Deteksi","Belum Deteksi"))</f>
        <v>Belum Deteksi</v>
      </c>
      <c r="AA90" s="143"/>
      <c r="AB90" s="9">
        <f t="shared" si="16"/>
        <v>0</v>
      </c>
      <c r="AC90" s="11"/>
      <c r="AD90" s="143"/>
      <c r="AE90" s="9">
        <f t="array" ref="AE90">IFERROR(AD90/$G90*100,0)</f>
        <v>0</v>
      </c>
      <c r="AF90" s="143"/>
      <c r="AG90" s="9">
        <f t="shared" si="17"/>
        <v>0</v>
      </c>
      <c r="AH90" s="8" t="str">
        <f t="array" ref="AH90">IF(AG90&gt;5,"Perlu Sensus",IF(AND(AG90&gt;=0,AD90&gt;0),"Tetap Deteksi","Belum Deteksi"))</f>
        <v>Belum Deteksi</v>
      </c>
      <c r="AI90" s="143"/>
      <c r="AJ90" s="9">
        <f t="shared" si="18"/>
        <v>0</v>
      </c>
      <c r="AK90" s="11"/>
      <c r="AL90" s="143"/>
      <c r="AM90" s="143"/>
      <c r="AN90" s="9">
        <f t="shared" si="19"/>
        <v>0</v>
      </c>
      <c r="AO90" s="8" t="str">
        <f t="array" ref="AO90">IF(AN90&gt;5,"Perlu Sensus",IF(AND(AN90&gt;=0,AL90&gt;0),"Tetap Deteksi","Belum Deteksi"))</f>
        <v>Belum Deteksi</v>
      </c>
      <c r="AP90" s="143"/>
      <c r="AQ90" s="9">
        <f t="shared" si="20"/>
        <v>0</v>
      </c>
    </row>
    <row r="91" spans="1:43" outlineLevel="1" x14ac:dyDescent="0.15">
      <c r="A91" s="8" t="s">
        <v>1273</v>
      </c>
      <c r="B91" s="8" t="s">
        <v>14</v>
      </c>
      <c r="C91" s="8" t="s">
        <v>79</v>
      </c>
      <c r="D91" s="186" t="s">
        <v>1357</v>
      </c>
      <c r="E91" s="9">
        <v>26</v>
      </c>
      <c r="F91" s="8" t="s">
        <v>1740</v>
      </c>
      <c r="G91" s="10">
        <v>3314</v>
      </c>
      <c r="H91" s="11">
        <f t="array" ref="H91">IF(OR(N91&gt;0,AC91&gt;0),MAX(N91,AC91),MAX(AK91,V91))</f>
        <v>46249</v>
      </c>
      <c r="I91" s="143">
        <f t="array" ref="I91">IF(SUM(O91,AD91)&gt;0,SUM(O91,AD91),SUM(AL91,W91))</f>
        <v>117</v>
      </c>
      <c r="J91" s="9">
        <f t="shared" si="11"/>
        <v>3.5304767652383831</v>
      </c>
      <c r="K91" s="143">
        <f t="shared" si="21"/>
        <v>2</v>
      </c>
      <c r="L91" s="9">
        <f t="shared" si="12"/>
        <v>1.7094017094017095</v>
      </c>
      <c r="M91" s="8" t="str">
        <f t="array" ref="M91">IF(L91&gt;5,"Perlu Sensus",IF(AND(L91&gt;=0,I91&gt;0),"Tetap Deteksi","Belum Deteksi"))</f>
        <v>Tetap Deteksi</v>
      </c>
      <c r="N91" s="132">
        <v>46249</v>
      </c>
      <c r="O91" s="143">
        <f t="array" ref="O91">INDEX([28]Sheet1!$H$24:$H$231,MATCH(1,([28]Sheet1!$E$24:$E$231=$D91)*([28]Sheet1!$E$24:$E$231=$D91),0))</f>
        <v>117</v>
      </c>
      <c r="P91" s="9">
        <f t="array" ref="P91">IFERROR(O91/$G91*100,0)</f>
        <v>3.5304767652383831</v>
      </c>
      <c r="Q91" s="143">
        <f t="array" ref="Q91">INDEX([28]Sheet1!$J$24:$J$231,MATCH(1,([28]Sheet1!$E$24:$E$231=$D91)*([28]Sheet1!$E$24:$E$231=$D91),0))</f>
        <v>2</v>
      </c>
      <c r="R91" s="9">
        <f t="shared" si="13"/>
        <v>1.7094017094017095</v>
      </c>
      <c r="S91" s="8" t="str">
        <f t="array" ref="S91">IF(R91&gt;5,"Perlu Sensus",IF(AND(R91&gt;=0,O91&gt;0),"Tetap Deteksi","Belum Deteksi"))</f>
        <v>Tetap Deteksi</v>
      </c>
      <c r="T91" s="143"/>
      <c r="U91" s="9">
        <f t="shared" si="14"/>
        <v>0</v>
      </c>
      <c r="V91" s="11"/>
      <c r="W91" s="143"/>
      <c r="X91" s="143"/>
      <c r="Y91" s="9">
        <f t="shared" si="15"/>
        <v>0</v>
      </c>
      <c r="Z91" s="8" t="str">
        <f t="array" ref="Z91">IF(Y91&gt;5,"Perlu Sensus",IF(AND(Y91&gt;=0,W91&gt;0),"Tetap Deteksi","Belum Deteksi"))</f>
        <v>Belum Deteksi</v>
      </c>
      <c r="AA91" s="143"/>
      <c r="AB91" s="9">
        <f t="shared" si="16"/>
        <v>0</v>
      </c>
      <c r="AC91" s="11"/>
      <c r="AD91" s="143"/>
      <c r="AE91" s="9">
        <f t="array" ref="AE91">IFERROR(AD91/$G91*100,0)</f>
        <v>0</v>
      </c>
      <c r="AF91" s="143"/>
      <c r="AG91" s="9">
        <f t="shared" si="17"/>
        <v>0</v>
      </c>
      <c r="AH91" s="8" t="str">
        <f t="array" ref="AH91">IF(AG91&gt;5,"Perlu Sensus",IF(AND(AG91&gt;=0,AD91&gt;0),"Tetap Deteksi","Belum Deteksi"))</f>
        <v>Belum Deteksi</v>
      </c>
      <c r="AI91" s="143"/>
      <c r="AJ91" s="9">
        <f t="shared" si="18"/>
        <v>0</v>
      </c>
      <c r="AK91" s="11"/>
      <c r="AL91" s="143"/>
      <c r="AM91" s="143"/>
      <c r="AN91" s="9">
        <f t="shared" si="19"/>
        <v>0</v>
      </c>
      <c r="AO91" s="8" t="str">
        <f t="array" ref="AO91">IF(AN91&gt;5,"Perlu Sensus",IF(AND(AN91&gt;=0,AL91&gt;0),"Tetap Deteksi","Belum Deteksi"))</f>
        <v>Belum Deteksi</v>
      </c>
      <c r="AP91" s="143"/>
      <c r="AQ91" s="9">
        <f t="shared" si="20"/>
        <v>0</v>
      </c>
    </row>
    <row r="92" spans="1:43" outlineLevel="1" x14ac:dyDescent="0.15">
      <c r="A92" s="8" t="s">
        <v>1273</v>
      </c>
      <c r="B92" s="8" t="s">
        <v>14</v>
      </c>
      <c r="C92" s="8" t="s">
        <v>79</v>
      </c>
      <c r="D92" s="186" t="s">
        <v>1358</v>
      </c>
      <c r="E92" s="9">
        <v>22.48</v>
      </c>
      <c r="F92" s="8" t="s">
        <v>1740</v>
      </c>
      <c r="G92" s="10">
        <v>2887</v>
      </c>
      <c r="H92" s="11">
        <f t="array" ref="H92">IF(OR(N92&gt;0,AC92&gt;0),MAX(N92,AC92),MAX(AK92,V92))</f>
        <v>46249</v>
      </c>
      <c r="I92" s="143">
        <f t="array" ref="I92">IF(SUM(O92,AD92)&gt;0,SUM(O92,AD92),SUM(AL92,W92))</f>
        <v>155</v>
      </c>
      <c r="J92" s="9">
        <f t="shared" si="11"/>
        <v>5.3688950467613443</v>
      </c>
      <c r="K92" s="143">
        <f t="shared" si="21"/>
        <v>3</v>
      </c>
      <c r="L92" s="9">
        <f t="shared" si="12"/>
        <v>1.935483870967742</v>
      </c>
      <c r="M92" s="8" t="str">
        <f t="array" ref="M92">IF(L92&gt;5,"Perlu Sensus",IF(AND(L92&gt;=0,I92&gt;0),"Tetap Deteksi","Belum Deteksi"))</f>
        <v>Tetap Deteksi</v>
      </c>
      <c r="N92" s="132">
        <v>46249</v>
      </c>
      <c r="O92" s="143">
        <f t="array" ref="O92">INDEX([28]Sheet1!$H$24:$H$231,MATCH(1,([28]Sheet1!$E$24:$E$231=$D92)*([28]Sheet1!$E$24:$E$231=$D92),0))</f>
        <v>155</v>
      </c>
      <c r="P92" s="9">
        <f t="array" ref="P92">IFERROR(O92/$G92*100,0)</f>
        <v>5.3688950467613443</v>
      </c>
      <c r="Q92" s="143">
        <f t="array" ref="Q92">INDEX([28]Sheet1!$J$24:$J$231,MATCH(1,([28]Sheet1!$E$24:$E$231=$D92)*([28]Sheet1!$E$24:$E$231=$D92),0))</f>
        <v>3</v>
      </c>
      <c r="R92" s="9">
        <f t="shared" si="13"/>
        <v>1.935483870967742</v>
      </c>
      <c r="S92" s="8" t="str">
        <f t="array" ref="S92">IF(R92&gt;5,"Perlu Sensus",IF(AND(R92&gt;=0,O92&gt;0),"Tetap Deteksi","Belum Deteksi"))</f>
        <v>Tetap Deteksi</v>
      </c>
      <c r="T92" s="143"/>
      <c r="U92" s="9">
        <f t="shared" si="14"/>
        <v>0</v>
      </c>
      <c r="V92" s="11"/>
      <c r="W92" s="143"/>
      <c r="X92" s="143"/>
      <c r="Y92" s="9">
        <f t="shared" si="15"/>
        <v>0</v>
      </c>
      <c r="Z92" s="8" t="str">
        <f t="array" ref="Z92">IF(Y92&gt;5,"Perlu Sensus",IF(AND(Y92&gt;=0,W92&gt;0),"Tetap Deteksi","Belum Deteksi"))</f>
        <v>Belum Deteksi</v>
      </c>
      <c r="AA92" s="143"/>
      <c r="AB92" s="9">
        <f t="shared" si="16"/>
        <v>0</v>
      </c>
      <c r="AC92" s="11"/>
      <c r="AD92" s="143"/>
      <c r="AE92" s="9">
        <f t="array" ref="AE92">IFERROR(AD92/$G92*100,0)</f>
        <v>0</v>
      </c>
      <c r="AF92" s="143"/>
      <c r="AG92" s="9">
        <f t="shared" si="17"/>
        <v>0</v>
      </c>
      <c r="AH92" s="8" t="str">
        <f t="array" ref="AH92">IF(AG92&gt;5,"Perlu Sensus",IF(AND(AG92&gt;=0,AD92&gt;0),"Tetap Deteksi","Belum Deteksi"))</f>
        <v>Belum Deteksi</v>
      </c>
      <c r="AI92" s="143"/>
      <c r="AJ92" s="9">
        <f t="shared" si="18"/>
        <v>0</v>
      </c>
      <c r="AK92" s="11"/>
      <c r="AL92" s="143"/>
      <c r="AM92" s="143"/>
      <c r="AN92" s="9">
        <f t="shared" si="19"/>
        <v>0</v>
      </c>
      <c r="AO92" s="8" t="str">
        <f t="array" ref="AO92">IF(AN92&gt;5,"Perlu Sensus",IF(AND(AN92&gt;=0,AL92&gt;0),"Tetap Deteksi","Belum Deteksi"))</f>
        <v>Belum Deteksi</v>
      </c>
      <c r="AP92" s="143"/>
      <c r="AQ92" s="9">
        <f t="shared" si="20"/>
        <v>0</v>
      </c>
    </row>
    <row r="93" spans="1:43" outlineLevel="1" x14ac:dyDescent="0.15">
      <c r="A93" s="8" t="s">
        <v>1273</v>
      </c>
      <c r="B93" s="8" t="s">
        <v>14</v>
      </c>
      <c r="C93" s="8" t="s">
        <v>79</v>
      </c>
      <c r="D93" s="186" t="s">
        <v>1359</v>
      </c>
      <c r="E93" s="9">
        <v>27.939999999999998</v>
      </c>
      <c r="F93" s="8" t="s">
        <v>1740</v>
      </c>
      <c r="G93" s="10">
        <v>3658</v>
      </c>
      <c r="H93" s="11">
        <f t="array" ref="H93">IF(OR(N93&gt;0,AC93&gt;0),MAX(N93,AC93),MAX(AK93,V93))</f>
        <v>46249</v>
      </c>
      <c r="I93" s="143">
        <f t="array" ref="I93">IF(SUM(O93,AD93)&gt;0,SUM(O93,AD93),SUM(AL93,W93))</f>
        <v>144</v>
      </c>
      <c r="J93" s="9">
        <f t="shared" si="11"/>
        <v>3.936577364680153</v>
      </c>
      <c r="K93" s="143">
        <f t="shared" si="21"/>
        <v>2</v>
      </c>
      <c r="L93" s="9">
        <f t="shared" si="12"/>
        <v>1.3888888888888888</v>
      </c>
      <c r="M93" s="8" t="str">
        <f t="array" ref="M93">IF(L93&gt;5,"Perlu Sensus",IF(AND(L93&gt;=0,I93&gt;0),"Tetap Deteksi","Belum Deteksi"))</f>
        <v>Tetap Deteksi</v>
      </c>
      <c r="N93" s="132">
        <v>46249</v>
      </c>
      <c r="O93" s="143">
        <f t="array" ref="O93">INDEX([28]Sheet1!$H$24:$H$231,MATCH(1,([28]Sheet1!$E$24:$E$231=$D93)*([28]Sheet1!$E$24:$E$231=$D93),0))</f>
        <v>144</v>
      </c>
      <c r="P93" s="9">
        <f t="array" ref="P93">IFERROR(O93/$G93*100,0)</f>
        <v>3.936577364680153</v>
      </c>
      <c r="Q93" s="143">
        <f t="array" ref="Q93">INDEX([28]Sheet1!$J$24:$J$231,MATCH(1,([28]Sheet1!$E$24:$E$231=$D93)*([28]Sheet1!$E$24:$E$231=$D93),0))</f>
        <v>2</v>
      </c>
      <c r="R93" s="9">
        <f t="shared" si="13"/>
        <v>1.3888888888888888</v>
      </c>
      <c r="S93" s="8" t="str">
        <f t="array" ref="S93">IF(R93&gt;5,"Perlu Sensus",IF(AND(R93&gt;=0,O93&gt;0),"Tetap Deteksi","Belum Deteksi"))</f>
        <v>Tetap Deteksi</v>
      </c>
      <c r="T93" s="143"/>
      <c r="U93" s="9">
        <f t="shared" si="14"/>
        <v>0</v>
      </c>
      <c r="V93" s="11"/>
      <c r="W93" s="143"/>
      <c r="X93" s="143"/>
      <c r="Y93" s="9">
        <f t="shared" si="15"/>
        <v>0</v>
      </c>
      <c r="Z93" s="8" t="str">
        <f t="array" ref="Z93">IF(Y93&gt;5,"Perlu Sensus",IF(AND(Y93&gt;=0,W93&gt;0),"Tetap Deteksi","Belum Deteksi"))</f>
        <v>Belum Deteksi</v>
      </c>
      <c r="AA93" s="143"/>
      <c r="AB93" s="9">
        <f t="shared" si="16"/>
        <v>0</v>
      </c>
      <c r="AC93" s="11"/>
      <c r="AD93" s="143"/>
      <c r="AE93" s="9">
        <f t="array" ref="AE93">IFERROR(AD93/$G93*100,0)</f>
        <v>0</v>
      </c>
      <c r="AF93" s="143"/>
      <c r="AG93" s="9">
        <f t="shared" si="17"/>
        <v>0</v>
      </c>
      <c r="AH93" s="8" t="str">
        <f t="array" ref="AH93">IF(AG93&gt;5,"Perlu Sensus",IF(AND(AG93&gt;=0,AD93&gt;0),"Tetap Deteksi","Belum Deteksi"))</f>
        <v>Belum Deteksi</v>
      </c>
      <c r="AI93" s="143"/>
      <c r="AJ93" s="9">
        <f t="shared" si="18"/>
        <v>0</v>
      </c>
      <c r="AK93" s="11"/>
      <c r="AL93" s="143"/>
      <c r="AM93" s="143"/>
      <c r="AN93" s="9">
        <f t="shared" si="19"/>
        <v>0</v>
      </c>
      <c r="AO93" s="8" t="str">
        <f t="array" ref="AO93">IF(AN93&gt;5,"Perlu Sensus",IF(AND(AN93&gt;=0,AL93&gt;0),"Tetap Deteksi","Belum Deteksi"))</f>
        <v>Belum Deteksi</v>
      </c>
      <c r="AP93" s="143"/>
      <c r="AQ93" s="9">
        <f t="shared" si="20"/>
        <v>0</v>
      </c>
    </row>
    <row r="94" spans="1:43" outlineLevel="1" x14ac:dyDescent="0.15">
      <c r="A94" s="8" t="s">
        <v>1273</v>
      </c>
      <c r="B94" s="8" t="s">
        <v>14</v>
      </c>
      <c r="C94" s="8" t="s">
        <v>79</v>
      </c>
      <c r="D94" s="186" t="s">
        <v>1360</v>
      </c>
      <c r="E94" s="9">
        <v>21.89</v>
      </c>
      <c r="F94" s="8" t="s">
        <v>1740</v>
      </c>
      <c r="G94" s="10">
        <v>1931</v>
      </c>
      <c r="H94" s="11">
        <f t="array" ref="H94">IF(OR(N94&gt;0,AC94&gt;0),MAX(N94,AC94),MAX(AK94,V94))</f>
        <v>46249</v>
      </c>
      <c r="I94" s="143">
        <f t="array" ref="I94">IF(SUM(O94,AD94)&gt;0,SUM(O94,AD94),SUM(AL94,W94))</f>
        <v>153</v>
      </c>
      <c r="J94" s="9">
        <f t="shared" si="11"/>
        <v>7.9233557742102541</v>
      </c>
      <c r="K94" s="143">
        <f t="shared" si="21"/>
        <v>2</v>
      </c>
      <c r="L94" s="9">
        <f t="shared" si="12"/>
        <v>1.3071895424836601</v>
      </c>
      <c r="M94" s="8" t="str">
        <f t="array" ref="M94">IF(L94&gt;5,"Perlu Sensus",IF(AND(L94&gt;=0,I94&gt;0),"Tetap Deteksi","Belum Deteksi"))</f>
        <v>Tetap Deteksi</v>
      </c>
      <c r="N94" s="132">
        <v>46249</v>
      </c>
      <c r="O94" s="143">
        <f t="array" ref="O94">INDEX([28]Sheet1!$H$24:$H$231,MATCH(1,([28]Sheet1!$E$24:$E$231=$D94)*([28]Sheet1!$E$24:$E$231=$D94),0))</f>
        <v>153</v>
      </c>
      <c r="P94" s="9">
        <f t="array" ref="P94">IFERROR(O94/$G94*100,0)</f>
        <v>7.9233557742102541</v>
      </c>
      <c r="Q94" s="143">
        <f t="array" ref="Q94">INDEX([28]Sheet1!$J$24:$J$231,MATCH(1,([28]Sheet1!$E$24:$E$231=$D94)*([28]Sheet1!$E$24:$E$231=$D94),0))</f>
        <v>2</v>
      </c>
      <c r="R94" s="9">
        <f t="shared" si="13"/>
        <v>1.3071895424836601</v>
      </c>
      <c r="S94" s="8" t="str">
        <f t="array" ref="S94">IF(R94&gt;5,"Perlu Sensus",IF(AND(R94&gt;=0,O94&gt;0),"Tetap Deteksi","Belum Deteksi"))</f>
        <v>Tetap Deteksi</v>
      </c>
      <c r="T94" s="143"/>
      <c r="U94" s="9">
        <f t="shared" si="14"/>
        <v>0</v>
      </c>
      <c r="V94" s="11"/>
      <c r="W94" s="143"/>
      <c r="X94" s="143"/>
      <c r="Y94" s="9">
        <f t="shared" si="15"/>
        <v>0</v>
      </c>
      <c r="Z94" s="8" t="str">
        <f t="array" ref="Z94">IF(Y94&gt;5,"Perlu Sensus",IF(AND(Y94&gt;=0,W94&gt;0),"Tetap Deteksi","Belum Deteksi"))</f>
        <v>Belum Deteksi</v>
      </c>
      <c r="AA94" s="143"/>
      <c r="AB94" s="9">
        <f t="shared" si="16"/>
        <v>0</v>
      </c>
      <c r="AC94" s="11"/>
      <c r="AD94" s="143"/>
      <c r="AE94" s="9">
        <f t="array" ref="AE94">IFERROR(AD94/$G94*100,0)</f>
        <v>0</v>
      </c>
      <c r="AF94" s="143"/>
      <c r="AG94" s="9">
        <f t="shared" si="17"/>
        <v>0</v>
      </c>
      <c r="AH94" s="8" t="str">
        <f t="array" ref="AH94">IF(AG94&gt;5,"Perlu Sensus",IF(AND(AG94&gt;=0,AD94&gt;0),"Tetap Deteksi","Belum Deteksi"))</f>
        <v>Belum Deteksi</v>
      </c>
      <c r="AI94" s="143"/>
      <c r="AJ94" s="9">
        <f t="shared" si="18"/>
        <v>0</v>
      </c>
      <c r="AK94" s="11"/>
      <c r="AL94" s="143"/>
      <c r="AM94" s="143"/>
      <c r="AN94" s="9">
        <f t="shared" si="19"/>
        <v>0</v>
      </c>
      <c r="AO94" s="8" t="str">
        <f t="array" ref="AO94">IF(AN94&gt;5,"Perlu Sensus",IF(AND(AN94&gt;=0,AL94&gt;0),"Tetap Deteksi","Belum Deteksi"))</f>
        <v>Belum Deteksi</v>
      </c>
      <c r="AP94" s="143"/>
      <c r="AQ94" s="9">
        <f t="shared" si="20"/>
        <v>0</v>
      </c>
    </row>
    <row r="95" spans="1:43" outlineLevel="1" x14ac:dyDescent="0.15">
      <c r="A95" s="8" t="s">
        <v>1273</v>
      </c>
      <c r="B95" s="8" t="s">
        <v>14</v>
      </c>
      <c r="C95" s="8" t="s">
        <v>79</v>
      </c>
      <c r="D95" s="186" t="s">
        <v>1361</v>
      </c>
      <c r="E95" s="9">
        <v>32.519999999999996</v>
      </c>
      <c r="F95" s="8" t="s">
        <v>1740</v>
      </c>
      <c r="G95" s="10">
        <v>4681</v>
      </c>
      <c r="H95" s="11">
        <f t="array" ref="H95">IF(OR(N95&gt;0,AC95&gt;0),MAX(N95,AC95),MAX(AK95,V95))</f>
        <v>46249</v>
      </c>
      <c r="I95" s="143">
        <f t="array" ref="I95">IF(SUM(O95,AD95)&gt;0,SUM(O95,AD95),SUM(AL95,W95))</f>
        <v>152</v>
      </c>
      <c r="J95" s="9">
        <f t="shared" si="11"/>
        <v>3.2471694082461013</v>
      </c>
      <c r="K95" s="143">
        <f t="shared" si="21"/>
        <v>2</v>
      </c>
      <c r="L95" s="9">
        <f t="shared" si="12"/>
        <v>1.3157894736842104</v>
      </c>
      <c r="M95" s="8" t="str">
        <f t="array" ref="M95">IF(L95&gt;5,"Perlu Sensus",IF(AND(L95&gt;=0,I95&gt;0),"Tetap Deteksi","Belum Deteksi"))</f>
        <v>Tetap Deteksi</v>
      </c>
      <c r="N95" s="132">
        <v>46249</v>
      </c>
      <c r="O95" s="143">
        <f t="array" ref="O95">INDEX([28]Sheet1!$H$24:$H$231,MATCH(1,([28]Sheet1!$E$24:$E$231=$D95)*([28]Sheet1!$E$24:$E$231=$D95),0))</f>
        <v>152</v>
      </c>
      <c r="P95" s="9">
        <f t="array" ref="P95">IFERROR(O95/$G95*100,0)</f>
        <v>3.2471694082461013</v>
      </c>
      <c r="Q95" s="143">
        <f t="array" ref="Q95">INDEX([28]Sheet1!$J$24:$J$231,MATCH(1,([28]Sheet1!$E$24:$E$231=$D95)*([28]Sheet1!$E$24:$E$231=$D95),0))</f>
        <v>2</v>
      </c>
      <c r="R95" s="9">
        <f t="shared" si="13"/>
        <v>1.3157894736842104</v>
      </c>
      <c r="S95" s="8" t="str">
        <f t="array" ref="S95">IF(R95&gt;5,"Perlu Sensus",IF(AND(R95&gt;=0,O95&gt;0),"Tetap Deteksi","Belum Deteksi"))</f>
        <v>Tetap Deteksi</v>
      </c>
      <c r="T95" s="143"/>
      <c r="U95" s="9">
        <f t="shared" si="14"/>
        <v>0</v>
      </c>
      <c r="V95" s="11"/>
      <c r="W95" s="143"/>
      <c r="X95" s="143"/>
      <c r="Y95" s="9">
        <f t="shared" si="15"/>
        <v>0</v>
      </c>
      <c r="Z95" s="8" t="str">
        <f t="array" ref="Z95">IF(Y95&gt;5,"Perlu Sensus",IF(AND(Y95&gt;=0,W95&gt;0),"Tetap Deteksi","Belum Deteksi"))</f>
        <v>Belum Deteksi</v>
      </c>
      <c r="AA95" s="143"/>
      <c r="AB95" s="9">
        <f t="shared" si="16"/>
        <v>0</v>
      </c>
      <c r="AC95" s="11"/>
      <c r="AD95" s="143"/>
      <c r="AE95" s="9">
        <f t="array" ref="AE95">IFERROR(AD95/$G95*100,0)</f>
        <v>0</v>
      </c>
      <c r="AF95" s="143"/>
      <c r="AG95" s="9">
        <f t="shared" si="17"/>
        <v>0</v>
      </c>
      <c r="AH95" s="8" t="str">
        <f t="array" ref="AH95">IF(AG95&gt;5,"Perlu Sensus",IF(AND(AG95&gt;=0,AD95&gt;0),"Tetap Deteksi","Belum Deteksi"))</f>
        <v>Belum Deteksi</v>
      </c>
      <c r="AI95" s="143"/>
      <c r="AJ95" s="9">
        <f t="shared" si="18"/>
        <v>0</v>
      </c>
      <c r="AK95" s="11"/>
      <c r="AL95" s="143"/>
      <c r="AM95" s="143"/>
      <c r="AN95" s="9">
        <f t="shared" si="19"/>
        <v>0</v>
      </c>
      <c r="AO95" s="8" t="str">
        <f t="array" ref="AO95">IF(AN95&gt;5,"Perlu Sensus",IF(AND(AN95&gt;=0,AL95&gt;0),"Tetap Deteksi","Belum Deteksi"))</f>
        <v>Belum Deteksi</v>
      </c>
      <c r="AP95" s="143"/>
      <c r="AQ95" s="9">
        <f t="shared" si="20"/>
        <v>0</v>
      </c>
    </row>
    <row r="96" spans="1:43" outlineLevel="1" x14ac:dyDescent="0.15">
      <c r="A96" s="8" t="s">
        <v>1273</v>
      </c>
      <c r="B96" s="8" t="s">
        <v>14</v>
      </c>
      <c r="C96" s="8" t="s">
        <v>107</v>
      </c>
      <c r="D96" s="186" t="s">
        <v>1362</v>
      </c>
      <c r="E96" s="9">
        <v>37.540000000000006</v>
      </c>
      <c r="F96" s="8" t="s">
        <v>1740</v>
      </c>
      <c r="G96" s="10">
        <v>4873</v>
      </c>
      <c r="H96" s="11">
        <f t="array" ref="H96">IF(OR(N96&gt;0,AC96&gt;0),MAX(N96,AC96),MAX(AK96,V96))</f>
        <v>46249</v>
      </c>
      <c r="I96" s="143">
        <f t="array" ref="I96">IF(SUM(O96,AD96)&gt;0,SUM(O96,AD96),SUM(AL96,W96))</f>
        <v>119</v>
      </c>
      <c r="J96" s="9">
        <f t="shared" si="11"/>
        <v>2.4420274984609072</v>
      </c>
      <c r="K96" s="143">
        <f t="shared" si="21"/>
        <v>2</v>
      </c>
      <c r="L96" s="9">
        <f t="shared" si="12"/>
        <v>1.680672268907563</v>
      </c>
      <c r="M96" s="8" t="str">
        <f t="array" ref="M96">IF(L96&gt;5,"Perlu Sensus",IF(AND(L96&gt;=0,I96&gt;0),"Tetap Deteksi","Belum Deteksi"))</f>
        <v>Tetap Deteksi</v>
      </c>
      <c r="N96" s="132">
        <v>46249</v>
      </c>
      <c r="O96" s="143">
        <f t="array" ref="O96">INDEX([28]Sheet1!$H$24:$H$231,MATCH(1,([28]Sheet1!$E$24:$E$231=$D96)*([28]Sheet1!$E$24:$E$231=$D96),0))</f>
        <v>119</v>
      </c>
      <c r="P96" s="9">
        <f t="array" ref="P96">IFERROR(O96/$G96*100,0)</f>
        <v>2.4420274984609072</v>
      </c>
      <c r="Q96" s="143">
        <f t="array" ref="Q96">INDEX([28]Sheet1!$J$24:$J$231,MATCH(1,([28]Sheet1!$E$24:$E$231=$D96)*([28]Sheet1!$E$24:$E$231=$D96),0))</f>
        <v>2</v>
      </c>
      <c r="R96" s="9">
        <f t="shared" si="13"/>
        <v>1.680672268907563</v>
      </c>
      <c r="S96" s="8" t="str">
        <f t="array" ref="S96">IF(R96&gt;5,"Perlu Sensus",IF(AND(R96&gt;=0,O96&gt;0),"Tetap Deteksi","Belum Deteksi"))</f>
        <v>Tetap Deteksi</v>
      </c>
      <c r="T96" s="143"/>
      <c r="U96" s="9">
        <f t="shared" si="14"/>
        <v>0</v>
      </c>
      <c r="V96" s="11"/>
      <c r="W96" s="143"/>
      <c r="X96" s="143"/>
      <c r="Y96" s="9">
        <f t="shared" si="15"/>
        <v>0</v>
      </c>
      <c r="Z96" s="8" t="str">
        <f t="array" ref="Z96">IF(Y96&gt;5,"Perlu Sensus",IF(AND(Y96&gt;=0,W96&gt;0),"Tetap Deteksi","Belum Deteksi"))</f>
        <v>Belum Deteksi</v>
      </c>
      <c r="AA96" s="143"/>
      <c r="AB96" s="9">
        <f t="shared" si="16"/>
        <v>0</v>
      </c>
      <c r="AC96" s="11"/>
      <c r="AD96" s="143"/>
      <c r="AE96" s="9">
        <f t="array" ref="AE96">IFERROR(AD96/$G96*100,0)</f>
        <v>0</v>
      </c>
      <c r="AF96" s="143"/>
      <c r="AG96" s="9">
        <f t="shared" si="17"/>
        <v>0</v>
      </c>
      <c r="AH96" s="8" t="str">
        <f t="array" ref="AH96">IF(AG96&gt;5,"Perlu Sensus",IF(AND(AG96&gt;=0,AD96&gt;0),"Tetap Deteksi","Belum Deteksi"))</f>
        <v>Belum Deteksi</v>
      </c>
      <c r="AI96" s="143"/>
      <c r="AJ96" s="9">
        <f t="shared" si="18"/>
        <v>0</v>
      </c>
      <c r="AK96" s="11"/>
      <c r="AL96" s="143"/>
      <c r="AM96" s="143"/>
      <c r="AN96" s="9">
        <f t="shared" si="19"/>
        <v>0</v>
      </c>
      <c r="AO96" s="8" t="str">
        <f t="array" ref="AO96">IF(AN96&gt;5,"Perlu Sensus",IF(AND(AN96&gt;=0,AL96&gt;0),"Tetap Deteksi","Belum Deteksi"))</f>
        <v>Belum Deteksi</v>
      </c>
      <c r="AP96" s="143"/>
      <c r="AQ96" s="9">
        <f t="shared" si="20"/>
        <v>0</v>
      </c>
    </row>
    <row r="97" spans="1:43" outlineLevel="1" x14ac:dyDescent="0.15">
      <c r="A97" s="8" t="s">
        <v>1273</v>
      </c>
      <c r="B97" s="8" t="s">
        <v>14</v>
      </c>
      <c r="C97" s="8" t="s">
        <v>107</v>
      </c>
      <c r="D97" s="186" t="s">
        <v>1363</v>
      </c>
      <c r="E97" s="9">
        <v>37.959999999999994</v>
      </c>
      <c r="F97" s="8" t="s">
        <v>1740</v>
      </c>
      <c r="G97" s="10">
        <v>4891</v>
      </c>
      <c r="H97" s="11">
        <f t="array" ref="H97">IF(OR(N97&gt;0,AC97&gt;0),MAX(N97,AC97),MAX(AK97,V97))</f>
        <v>46249</v>
      </c>
      <c r="I97" s="143">
        <f t="array" ref="I97">IF(SUM(O97,AD97)&gt;0,SUM(O97,AD97),SUM(AL97,W97))</f>
        <v>66</v>
      </c>
      <c r="J97" s="9">
        <f t="shared" si="11"/>
        <v>1.3494172970762626</v>
      </c>
      <c r="K97" s="143">
        <f t="shared" si="21"/>
        <v>1</v>
      </c>
      <c r="L97" s="9">
        <f t="shared" si="12"/>
        <v>1.5151515151515151</v>
      </c>
      <c r="M97" s="8" t="str">
        <f t="array" ref="M97">IF(L97&gt;5,"Perlu Sensus",IF(AND(L97&gt;=0,I97&gt;0),"Tetap Deteksi","Belum Deteksi"))</f>
        <v>Tetap Deteksi</v>
      </c>
      <c r="N97" s="132">
        <v>46249</v>
      </c>
      <c r="O97" s="143">
        <f t="array" ref="O97">INDEX([28]Sheet1!$H$24:$H$231,MATCH(1,([28]Sheet1!$E$24:$E$231=$D97)*([28]Sheet1!$E$24:$E$231=$D97),0))</f>
        <v>66</v>
      </c>
      <c r="P97" s="9">
        <f t="array" ref="P97">IFERROR(O97/$G97*100,0)</f>
        <v>1.3494172970762626</v>
      </c>
      <c r="Q97" s="143">
        <f t="array" ref="Q97">INDEX([28]Sheet1!$J$24:$J$231,MATCH(1,([28]Sheet1!$E$24:$E$231=$D97)*([28]Sheet1!$E$24:$E$231=$D97),0))</f>
        <v>1</v>
      </c>
      <c r="R97" s="9">
        <f t="shared" si="13"/>
        <v>1.5151515151515151</v>
      </c>
      <c r="S97" s="8" t="str">
        <f t="array" ref="S97">IF(R97&gt;5,"Perlu Sensus",IF(AND(R97&gt;=0,O97&gt;0),"Tetap Deteksi","Belum Deteksi"))</f>
        <v>Tetap Deteksi</v>
      </c>
      <c r="T97" s="143"/>
      <c r="U97" s="9">
        <f t="shared" si="14"/>
        <v>0</v>
      </c>
      <c r="V97" s="11"/>
      <c r="W97" s="143"/>
      <c r="X97" s="143"/>
      <c r="Y97" s="9">
        <f t="shared" si="15"/>
        <v>0</v>
      </c>
      <c r="Z97" s="8" t="str">
        <f t="array" ref="Z97">IF(Y97&gt;5,"Perlu Sensus",IF(AND(Y97&gt;=0,W97&gt;0),"Tetap Deteksi","Belum Deteksi"))</f>
        <v>Belum Deteksi</v>
      </c>
      <c r="AA97" s="143"/>
      <c r="AB97" s="9">
        <f t="shared" si="16"/>
        <v>0</v>
      </c>
      <c r="AC97" s="11"/>
      <c r="AD97" s="143"/>
      <c r="AE97" s="9">
        <f t="array" ref="AE97">IFERROR(AD97/$G97*100,0)</f>
        <v>0</v>
      </c>
      <c r="AF97" s="143"/>
      <c r="AG97" s="9">
        <f t="shared" si="17"/>
        <v>0</v>
      </c>
      <c r="AH97" s="8" t="str">
        <f t="array" ref="AH97">IF(AG97&gt;5,"Perlu Sensus",IF(AND(AG97&gt;=0,AD97&gt;0),"Tetap Deteksi","Belum Deteksi"))</f>
        <v>Belum Deteksi</v>
      </c>
      <c r="AI97" s="143"/>
      <c r="AJ97" s="9">
        <f t="shared" si="18"/>
        <v>0</v>
      </c>
      <c r="AK97" s="11"/>
      <c r="AL97" s="143"/>
      <c r="AM97" s="143"/>
      <c r="AN97" s="9">
        <f t="shared" si="19"/>
        <v>0</v>
      </c>
      <c r="AO97" s="8" t="str">
        <f t="array" ref="AO97">IF(AN97&gt;5,"Perlu Sensus",IF(AND(AN97&gt;=0,AL97&gt;0),"Tetap Deteksi","Belum Deteksi"))</f>
        <v>Belum Deteksi</v>
      </c>
      <c r="AP97" s="143"/>
      <c r="AQ97" s="9">
        <f t="shared" si="20"/>
        <v>0</v>
      </c>
    </row>
    <row r="98" spans="1:43" outlineLevel="1" x14ac:dyDescent="0.15">
      <c r="A98" s="8" t="s">
        <v>1273</v>
      </c>
      <c r="B98" s="8" t="s">
        <v>14</v>
      </c>
      <c r="C98" s="8" t="s">
        <v>107</v>
      </c>
      <c r="D98" s="181" t="s">
        <v>1364</v>
      </c>
      <c r="E98" s="9">
        <v>39.849999999999994</v>
      </c>
      <c r="F98" s="8" t="s">
        <v>1740</v>
      </c>
      <c r="G98" s="10">
        <v>5081</v>
      </c>
      <c r="H98" s="11">
        <f t="array" ref="H98">IF(OR(N98&gt;0,AC98&gt;0),MAX(N98,AC98),MAX(AK98,V98))</f>
        <v>46249</v>
      </c>
      <c r="I98" s="143">
        <f t="array" ref="I98">IF(SUM(O98,AD98)&gt;0,SUM(O98,AD98),SUM(AL98,W98))</f>
        <v>209</v>
      </c>
      <c r="J98" s="9">
        <f t="shared" si="11"/>
        <v>4.1133635111198581</v>
      </c>
      <c r="K98" s="143">
        <f t="shared" si="21"/>
        <v>3</v>
      </c>
      <c r="L98" s="9">
        <f t="shared" si="12"/>
        <v>1.4354066985645932</v>
      </c>
      <c r="M98" s="8" t="str">
        <f t="array" ref="M98">IF(L98&gt;5,"Perlu Sensus",IF(AND(L98&gt;=0,I98&gt;0),"Tetap Deteksi","Belum Deteksi"))</f>
        <v>Tetap Deteksi</v>
      </c>
      <c r="N98" s="132">
        <v>46249</v>
      </c>
      <c r="O98" s="143">
        <f t="array" ref="O98">INDEX([28]Sheet1!$H$24:$H$231,MATCH(1,([28]Sheet1!$E$24:$E$231=$D98)*([28]Sheet1!$E$24:$E$231=$D98),0))</f>
        <v>209</v>
      </c>
      <c r="P98" s="9">
        <f t="array" ref="P98">IFERROR(O98/$G98*100,0)</f>
        <v>4.1133635111198581</v>
      </c>
      <c r="Q98" s="143">
        <f t="array" ref="Q98">INDEX([28]Sheet1!$J$24:$J$231,MATCH(1,([28]Sheet1!$E$24:$E$231=$D98)*([28]Sheet1!$E$24:$E$231=$D98),0))</f>
        <v>3</v>
      </c>
      <c r="R98" s="9">
        <f t="shared" si="13"/>
        <v>1.4354066985645932</v>
      </c>
      <c r="S98" s="8" t="str">
        <f t="array" ref="S98">IF(R98&gt;5,"Perlu Sensus",IF(AND(R98&gt;=0,O98&gt;0),"Tetap Deteksi","Belum Deteksi"))</f>
        <v>Tetap Deteksi</v>
      </c>
      <c r="T98" s="143"/>
      <c r="U98" s="9">
        <f t="shared" si="14"/>
        <v>0</v>
      </c>
      <c r="V98" s="11"/>
      <c r="W98" s="143"/>
      <c r="X98" s="143"/>
      <c r="Y98" s="9">
        <f t="shared" si="15"/>
        <v>0</v>
      </c>
      <c r="Z98" s="8" t="str">
        <f t="array" ref="Z98">IF(Y98&gt;5,"Perlu Sensus",IF(AND(Y98&gt;=0,W98&gt;0),"Tetap Deteksi","Belum Deteksi"))</f>
        <v>Belum Deteksi</v>
      </c>
      <c r="AA98" s="143"/>
      <c r="AB98" s="9">
        <f t="shared" si="16"/>
        <v>0</v>
      </c>
      <c r="AC98" s="11"/>
      <c r="AD98" s="143"/>
      <c r="AE98" s="9">
        <f t="array" ref="AE98">IFERROR(AD98/$G98*100,0)</f>
        <v>0</v>
      </c>
      <c r="AF98" s="143"/>
      <c r="AG98" s="9">
        <f t="shared" si="17"/>
        <v>0</v>
      </c>
      <c r="AH98" s="8" t="str">
        <f t="array" ref="AH98">IF(AG98&gt;5,"Perlu Sensus",IF(AND(AG98&gt;=0,AD98&gt;0),"Tetap Deteksi","Belum Deteksi"))</f>
        <v>Belum Deteksi</v>
      </c>
      <c r="AI98" s="143"/>
      <c r="AJ98" s="9">
        <f t="shared" si="18"/>
        <v>0</v>
      </c>
      <c r="AK98" s="11"/>
      <c r="AL98" s="143"/>
      <c r="AM98" s="143"/>
      <c r="AN98" s="9">
        <f t="shared" si="19"/>
        <v>0</v>
      </c>
      <c r="AO98" s="8" t="str">
        <f t="array" ref="AO98">IF(AN98&gt;5,"Perlu Sensus",IF(AND(AN98&gt;=0,AL98&gt;0),"Tetap Deteksi","Belum Deteksi"))</f>
        <v>Belum Deteksi</v>
      </c>
      <c r="AP98" s="143"/>
      <c r="AQ98" s="9">
        <f t="shared" si="20"/>
        <v>0</v>
      </c>
    </row>
    <row r="99" spans="1:43" outlineLevel="1" x14ac:dyDescent="0.15">
      <c r="A99" s="8" t="s">
        <v>1273</v>
      </c>
      <c r="B99" s="8" t="s">
        <v>14</v>
      </c>
      <c r="C99" s="8" t="s">
        <v>107</v>
      </c>
      <c r="D99" s="186" t="s">
        <v>1365</v>
      </c>
      <c r="E99" s="9">
        <v>41.11</v>
      </c>
      <c r="F99" s="8" t="s">
        <v>1740</v>
      </c>
      <c r="G99" s="10">
        <v>5548</v>
      </c>
      <c r="H99" s="11">
        <f t="array" ref="H99">IF(OR(N99&gt;0,AC99&gt;0),MAX(N99,AC99),MAX(AK99,V99))</f>
        <v>46249</v>
      </c>
      <c r="I99" s="143">
        <f t="array" ref="I99">IF(SUM(O99,AD99)&gt;0,SUM(O99,AD99),SUM(AL99,W99))</f>
        <v>216</v>
      </c>
      <c r="J99" s="9">
        <f t="shared" si="11"/>
        <v>3.8932948810382118</v>
      </c>
      <c r="K99" s="143">
        <f t="shared" si="21"/>
        <v>3</v>
      </c>
      <c r="L99" s="9">
        <f t="shared" si="12"/>
        <v>1.3888888888888888</v>
      </c>
      <c r="M99" s="8" t="str">
        <f t="array" ref="M99">IF(L99&gt;5,"Perlu Sensus",IF(AND(L99&gt;=0,I99&gt;0),"Tetap Deteksi","Belum Deteksi"))</f>
        <v>Tetap Deteksi</v>
      </c>
      <c r="N99" s="132">
        <v>46249</v>
      </c>
      <c r="O99" s="143">
        <f t="array" ref="O99">INDEX([28]Sheet1!$H$24:$H$231,MATCH(1,([28]Sheet1!$E$24:$E$231=$D99)*([28]Sheet1!$E$24:$E$231=$D99),0))</f>
        <v>216</v>
      </c>
      <c r="P99" s="9">
        <f t="array" ref="P99">IFERROR(O99/$G99*100,0)</f>
        <v>3.8932948810382118</v>
      </c>
      <c r="Q99" s="143">
        <f t="array" ref="Q99">INDEX([28]Sheet1!$J$24:$J$231,MATCH(1,([28]Sheet1!$E$24:$E$231=$D99)*([28]Sheet1!$E$24:$E$231=$D99),0))</f>
        <v>3</v>
      </c>
      <c r="R99" s="9">
        <f t="shared" si="13"/>
        <v>1.3888888888888888</v>
      </c>
      <c r="S99" s="8" t="str">
        <f t="array" ref="S99">IF(R99&gt;5,"Perlu Sensus",IF(AND(R99&gt;=0,O99&gt;0),"Tetap Deteksi","Belum Deteksi"))</f>
        <v>Tetap Deteksi</v>
      </c>
      <c r="T99" s="143"/>
      <c r="U99" s="9">
        <f t="shared" si="14"/>
        <v>0</v>
      </c>
      <c r="V99" s="11"/>
      <c r="W99" s="143"/>
      <c r="X99" s="143"/>
      <c r="Y99" s="9">
        <f t="shared" si="15"/>
        <v>0</v>
      </c>
      <c r="Z99" s="8" t="str">
        <f t="array" ref="Z99">IF(Y99&gt;5,"Perlu Sensus",IF(AND(Y99&gt;=0,W99&gt;0),"Tetap Deteksi","Belum Deteksi"))</f>
        <v>Belum Deteksi</v>
      </c>
      <c r="AA99" s="143"/>
      <c r="AB99" s="9">
        <f t="shared" si="16"/>
        <v>0</v>
      </c>
      <c r="AC99" s="11"/>
      <c r="AD99" s="143"/>
      <c r="AE99" s="9">
        <f t="array" ref="AE99">IFERROR(AD99/$G99*100,0)</f>
        <v>0</v>
      </c>
      <c r="AF99" s="143"/>
      <c r="AG99" s="9">
        <f t="shared" si="17"/>
        <v>0</v>
      </c>
      <c r="AH99" s="8" t="str">
        <f t="array" ref="AH99">IF(AG99&gt;5,"Perlu Sensus",IF(AND(AG99&gt;=0,AD99&gt;0),"Tetap Deteksi","Belum Deteksi"))</f>
        <v>Belum Deteksi</v>
      </c>
      <c r="AI99" s="143"/>
      <c r="AJ99" s="9">
        <f t="shared" si="18"/>
        <v>0</v>
      </c>
      <c r="AK99" s="11"/>
      <c r="AL99" s="143"/>
      <c r="AM99" s="143"/>
      <c r="AN99" s="9">
        <f t="shared" si="19"/>
        <v>0</v>
      </c>
      <c r="AO99" s="8" t="str">
        <f t="array" ref="AO99">IF(AN99&gt;5,"Perlu Sensus",IF(AND(AN99&gt;=0,AL99&gt;0),"Tetap Deteksi","Belum Deteksi"))</f>
        <v>Belum Deteksi</v>
      </c>
      <c r="AP99" s="143"/>
      <c r="AQ99" s="9">
        <f t="shared" si="20"/>
        <v>0</v>
      </c>
    </row>
    <row r="100" spans="1:43" outlineLevel="1" x14ac:dyDescent="0.15">
      <c r="A100" s="8" t="s">
        <v>1273</v>
      </c>
      <c r="B100" s="8" t="s">
        <v>14</v>
      </c>
      <c r="C100" s="8" t="s">
        <v>107</v>
      </c>
      <c r="D100" s="186" t="s">
        <v>1366</v>
      </c>
      <c r="E100" s="9">
        <v>30.77</v>
      </c>
      <c r="F100" s="8" t="s">
        <v>1740</v>
      </c>
      <c r="G100" s="10">
        <v>4127</v>
      </c>
      <c r="H100" s="11">
        <f t="array" ref="H100">IF(OR(N100&gt;0,AC100&gt;0),MAX(N100,AC100),MAX(AK100,V100))</f>
        <v>46249</v>
      </c>
      <c r="I100" s="143">
        <f t="array" ref="I100">IF(SUM(O100,AD100)&gt;0,SUM(O100,AD100),SUM(AL100,W100))</f>
        <v>146</v>
      </c>
      <c r="J100" s="9">
        <f t="shared" si="11"/>
        <v>3.5376787012357642</v>
      </c>
      <c r="K100" s="143">
        <f t="shared" si="21"/>
        <v>2</v>
      </c>
      <c r="L100" s="9">
        <f t="shared" si="12"/>
        <v>1.3698630136986301</v>
      </c>
      <c r="M100" s="8" t="str">
        <f t="array" ref="M100">IF(L100&gt;5,"Perlu Sensus",IF(AND(L100&gt;=0,I100&gt;0),"Tetap Deteksi","Belum Deteksi"))</f>
        <v>Tetap Deteksi</v>
      </c>
      <c r="N100" s="132">
        <v>46249</v>
      </c>
      <c r="O100" s="143">
        <f t="array" ref="O100">INDEX([28]Sheet1!$H$24:$H$231,MATCH(1,([28]Sheet1!$E$24:$E$231=$D100)*([28]Sheet1!$E$24:$E$231=$D100),0))</f>
        <v>146</v>
      </c>
      <c r="P100" s="9">
        <f t="array" ref="P100">IFERROR(O100/$G100*100,0)</f>
        <v>3.5376787012357642</v>
      </c>
      <c r="Q100" s="143">
        <f t="array" ref="Q100">INDEX([28]Sheet1!$J$24:$J$231,MATCH(1,([28]Sheet1!$E$24:$E$231=$D100)*([28]Sheet1!$E$24:$E$231=$D100),0))</f>
        <v>2</v>
      </c>
      <c r="R100" s="9">
        <f t="shared" si="13"/>
        <v>1.3698630136986301</v>
      </c>
      <c r="S100" s="8" t="str">
        <f t="array" ref="S100">IF(R100&gt;5,"Perlu Sensus",IF(AND(R100&gt;=0,O100&gt;0),"Tetap Deteksi","Belum Deteksi"))</f>
        <v>Tetap Deteksi</v>
      </c>
      <c r="T100" s="143"/>
      <c r="U100" s="9">
        <f t="shared" si="14"/>
        <v>0</v>
      </c>
      <c r="V100" s="11"/>
      <c r="W100" s="143"/>
      <c r="X100" s="143"/>
      <c r="Y100" s="9">
        <f t="shared" si="15"/>
        <v>0</v>
      </c>
      <c r="Z100" s="8" t="str">
        <f t="array" ref="Z100">IF(Y100&gt;5,"Perlu Sensus",IF(AND(Y100&gt;=0,W100&gt;0),"Tetap Deteksi","Belum Deteksi"))</f>
        <v>Belum Deteksi</v>
      </c>
      <c r="AA100" s="143"/>
      <c r="AB100" s="9">
        <f t="shared" si="16"/>
        <v>0</v>
      </c>
      <c r="AC100" s="11"/>
      <c r="AD100" s="143"/>
      <c r="AE100" s="9">
        <f t="array" ref="AE100">IFERROR(AD100/$G100*100,0)</f>
        <v>0</v>
      </c>
      <c r="AF100" s="143"/>
      <c r="AG100" s="9">
        <f t="shared" si="17"/>
        <v>0</v>
      </c>
      <c r="AH100" s="8" t="str">
        <f t="array" ref="AH100">IF(AG100&gt;5,"Perlu Sensus",IF(AND(AG100&gt;=0,AD100&gt;0),"Tetap Deteksi","Belum Deteksi"))</f>
        <v>Belum Deteksi</v>
      </c>
      <c r="AI100" s="143"/>
      <c r="AJ100" s="9">
        <f t="shared" si="18"/>
        <v>0</v>
      </c>
      <c r="AK100" s="11"/>
      <c r="AL100" s="143"/>
      <c r="AM100" s="143"/>
      <c r="AN100" s="9">
        <f t="shared" si="19"/>
        <v>0</v>
      </c>
      <c r="AO100" s="8" t="str">
        <f t="array" ref="AO100">IF(AN100&gt;5,"Perlu Sensus",IF(AND(AN100&gt;=0,AL100&gt;0),"Tetap Deteksi","Belum Deteksi"))</f>
        <v>Belum Deteksi</v>
      </c>
      <c r="AP100" s="143"/>
      <c r="AQ100" s="9">
        <f t="shared" si="20"/>
        <v>0</v>
      </c>
    </row>
    <row r="101" spans="1:43" outlineLevel="1" x14ac:dyDescent="0.15">
      <c r="A101" s="8" t="s">
        <v>1273</v>
      </c>
      <c r="B101" s="8" t="s">
        <v>14</v>
      </c>
      <c r="C101" s="8" t="s">
        <v>107</v>
      </c>
      <c r="D101" s="186" t="s">
        <v>1007</v>
      </c>
      <c r="E101" s="9">
        <v>30.18</v>
      </c>
      <c r="F101" s="8" t="s">
        <v>1740</v>
      </c>
      <c r="G101" s="10">
        <v>4042</v>
      </c>
      <c r="H101" s="11">
        <f t="array" ref="H101">IF(OR(N101&gt;0,AC101&gt;0),MAX(N101,AC101),MAX(AK101,V101))</f>
        <v>46249</v>
      </c>
      <c r="I101" s="143">
        <f t="array" ref="I101">IF(SUM(O101,AD101)&gt;0,SUM(O101,AD101),SUM(AL101,W101))</f>
        <v>167</v>
      </c>
      <c r="J101" s="9">
        <f t="shared" si="11"/>
        <v>4.1316180108856999</v>
      </c>
      <c r="K101" s="143">
        <f t="shared" si="21"/>
        <v>3</v>
      </c>
      <c r="L101" s="9">
        <f t="shared" si="12"/>
        <v>1.7964071856287425</v>
      </c>
      <c r="M101" s="8" t="str">
        <f t="array" ref="M101">IF(L101&gt;5,"Perlu Sensus",IF(AND(L101&gt;=0,I101&gt;0),"Tetap Deteksi","Belum Deteksi"))</f>
        <v>Tetap Deteksi</v>
      </c>
      <c r="N101" s="132">
        <v>46249</v>
      </c>
      <c r="O101" s="143">
        <f t="array" ref="O101">INDEX([28]Sheet1!$H$24:$H$231,MATCH(1,([28]Sheet1!$E$24:$E$231=$D101)*([28]Sheet1!$E$24:$E$231=$D101),0))</f>
        <v>167</v>
      </c>
      <c r="P101" s="9">
        <f t="array" ref="P101">IFERROR(O101/$G101*100,0)</f>
        <v>4.1316180108856999</v>
      </c>
      <c r="Q101" s="143">
        <f t="array" ref="Q101">INDEX([28]Sheet1!$J$24:$J$231,MATCH(1,([28]Sheet1!$E$24:$E$231=$D101)*([28]Sheet1!$E$24:$E$231=$D101),0))</f>
        <v>3</v>
      </c>
      <c r="R101" s="9">
        <f t="shared" si="13"/>
        <v>1.7964071856287425</v>
      </c>
      <c r="S101" s="8" t="str">
        <f t="array" ref="S101">IF(R101&gt;5,"Perlu Sensus",IF(AND(R101&gt;=0,O101&gt;0),"Tetap Deteksi","Belum Deteksi"))</f>
        <v>Tetap Deteksi</v>
      </c>
      <c r="T101" s="143"/>
      <c r="U101" s="9">
        <f t="shared" si="14"/>
        <v>0</v>
      </c>
      <c r="V101" s="11"/>
      <c r="W101" s="143"/>
      <c r="X101" s="143"/>
      <c r="Y101" s="9">
        <f t="shared" si="15"/>
        <v>0</v>
      </c>
      <c r="Z101" s="8" t="str">
        <f t="array" ref="Z101">IF(Y101&gt;5,"Perlu Sensus",IF(AND(Y101&gt;=0,W101&gt;0),"Tetap Deteksi","Belum Deteksi"))</f>
        <v>Belum Deteksi</v>
      </c>
      <c r="AA101" s="143"/>
      <c r="AB101" s="9">
        <f t="shared" si="16"/>
        <v>0</v>
      </c>
      <c r="AC101" s="11"/>
      <c r="AD101" s="143"/>
      <c r="AE101" s="9">
        <f t="array" ref="AE101">IFERROR(AD101/$G101*100,0)</f>
        <v>0</v>
      </c>
      <c r="AF101" s="143"/>
      <c r="AG101" s="9">
        <f t="shared" si="17"/>
        <v>0</v>
      </c>
      <c r="AH101" s="8" t="str">
        <f t="array" ref="AH101">IF(AG101&gt;5,"Perlu Sensus",IF(AND(AG101&gt;=0,AD101&gt;0),"Tetap Deteksi","Belum Deteksi"))</f>
        <v>Belum Deteksi</v>
      </c>
      <c r="AI101" s="143"/>
      <c r="AJ101" s="9">
        <f t="shared" si="18"/>
        <v>0</v>
      </c>
      <c r="AK101" s="11"/>
      <c r="AL101" s="143"/>
      <c r="AM101" s="143"/>
      <c r="AN101" s="9">
        <f t="shared" si="19"/>
        <v>0</v>
      </c>
      <c r="AO101" s="8" t="str">
        <f t="array" ref="AO101">IF(AN101&gt;5,"Perlu Sensus",IF(AND(AN101&gt;=0,AL101&gt;0),"Tetap Deteksi","Belum Deteksi"))</f>
        <v>Belum Deteksi</v>
      </c>
      <c r="AP101" s="143"/>
      <c r="AQ101" s="9">
        <f t="shared" si="20"/>
        <v>0</v>
      </c>
    </row>
    <row r="102" spans="1:43" outlineLevel="1" x14ac:dyDescent="0.15">
      <c r="A102" s="8" t="s">
        <v>1273</v>
      </c>
      <c r="B102" s="8" t="s">
        <v>14</v>
      </c>
      <c r="C102" s="8" t="s">
        <v>107</v>
      </c>
      <c r="D102" s="186" t="s">
        <v>1009</v>
      </c>
      <c r="E102" s="9">
        <v>30.12</v>
      </c>
      <c r="F102" s="8" t="s">
        <v>1740</v>
      </c>
      <c r="G102" s="10">
        <v>3982</v>
      </c>
      <c r="H102" s="11">
        <f t="array" ref="H102">IF(OR(N102&gt;0,AC102&gt;0),MAX(N102,AC102),MAX(AK102,V102))</f>
        <v>46249</v>
      </c>
      <c r="I102" s="143">
        <f t="array" ref="I102">IF(SUM(O102,AD102)&gt;0,SUM(O102,AD102),SUM(AL102,W102))</f>
        <v>123</v>
      </c>
      <c r="J102" s="9">
        <f t="shared" si="11"/>
        <v>3.0889000502260169</v>
      </c>
      <c r="K102" s="143">
        <f t="shared" si="21"/>
        <v>2</v>
      </c>
      <c r="L102" s="9">
        <f t="shared" si="12"/>
        <v>1.6260162601626018</v>
      </c>
      <c r="M102" s="8" t="str">
        <f t="array" ref="M102">IF(L102&gt;5,"Perlu Sensus",IF(AND(L102&gt;=0,I102&gt;0),"Tetap Deteksi","Belum Deteksi"))</f>
        <v>Tetap Deteksi</v>
      </c>
      <c r="N102" s="132">
        <v>46249</v>
      </c>
      <c r="O102" s="143">
        <f t="array" ref="O102">INDEX([28]Sheet1!$H$24:$H$231,MATCH(1,([28]Sheet1!$E$24:$E$231=$D102)*([28]Sheet1!$E$24:$E$231=$D102),0))</f>
        <v>123</v>
      </c>
      <c r="P102" s="9">
        <f t="array" ref="P102">IFERROR(O102/$G102*100,0)</f>
        <v>3.0889000502260169</v>
      </c>
      <c r="Q102" s="143">
        <f t="array" ref="Q102">INDEX([28]Sheet1!$J$24:$J$231,MATCH(1,([28]Sheet1!$E$24:$E$231=$D102)*([28]Sheet1!$E$24:$E$231=$D102),0))</f>
        <v>2</v>
      </c>
      <c r="R102" s="9">
        <f t="shared" si="13"/>
        <v>1.6260162601626018</v>
      </c>
      <c r="S102" s="8" t="str">
        <f t="array" ref="S102">IF(R102&gt;5,"Perlu Sensus",IF(AND(R102&gt;=0,O102&gt;0),"Tetap Deteksi","Belum Deteksi"))</f>
        <v>Tetap Deteksi</v>
      </c>
      <c r="T102" s="143"/>
      <c r="U102" s="9">
        <f t="shared" si="14"/>
        <v>0</v>
      </c>
      <c r="V102" s="11"/>
      <c r="W102" s="143"/>
      <c r="X102" s="143"/>
      <c r="Y102" s="9">
        <f t="shared" si="15"/>
        <v>0</v>
      </c>
      <c r="Z102" s="8" t="str">
        <f t="array" ref="Z102">IF(Y102&gt;5,"Perlu Sensus",IF(AND(Y102&gt;=0,W102&gt;0),"Tetap Deteksi","Belum Deteksi"))</f>
        <v>Belum Deteksi</v>
      </c>
      <c r="AA102" s="143"/>
      <c r="AB102" s="9">
        <f t="shared" si="16"/>
        <v>0</v>
      </c>
      <c r="AC102" s="11"/>
      <c r="AD102" s="143"/>
      <c r="AE102" s="9">
        <f t="array" ref="AE102">IFERROR(AD102/$G102*100,0)</f>
        <v>0</v>
      </c>
      <c r="AF102" s="143"/>
      <c r="AG102" s="9">
        <f t="shared" si="17"/>
        <v>0</v>
      </c>
      <c r="AH102" s="8" t="str">
        <f t="array" ref="AH102">IF(AG102&gt;5,"Perlu Sensus",IF(AND(AG102&gt;=0,AD102&gt;0),"Tetap Deteksi","Belum Deteksi"))</f>
        <v>Belum Deteksi</v>
      </c>
      <c r="AI102" s="143"/>
      <c r="AJ102" s="9">
        <f t="shared" si="18"/>
        <v>0</v>
      </c>
      <c r="AK102" s="11"/>
      <c r="AL102" s="143"/>
      <c r="AM102" s="143"/>
      <c r="AN102" s="9">
        <f t="shared" si="19"/>
        <v>0</v>
      </c>
      <c r="AO102" s="8" t="str">
        <f t="array" ref="AO102">IF(AN102&gt;5,"Perlu Sensus",IF(AND(AN102&gt;=0,AL102&gt;0),"Tetap Deteksi","Belum Deteksi"))</f>
        <v>Belum Deteksi</v>
      </c>
      <c r="AP102" s="143"/>
      <c r="AQ102" s="9">
        <f t="shared" si="20"/>
        <v>0</v>
      </c>
    </row>
    <row r="103" spans="1:43" outlineLevel="1" x14ac:dyDescent="0.15">
      <c r="A103" s="8" t="s">
        <v>1273</v>
      </c>
      <c r="B103" s="8" t="s">
        <v>14</v>
      </c>
      <c r="C103" s="8" t="s">
        <v>107</v>
      </c>
      <c r="D103" s="186" t="s">
        <v>1367</v>
      </c>
      <c r="E103" s="9">
        <v>30.54</v>
      </c>
      <c r="F103" s="8" t="s">
        <v>1740</v>
      </c>
      <c r="G103" s="10">
        <v>3937</v>
      </c>
      <c r="H103" s="11">
        <f t="array" ref="H103">IF(OR(N103&gt;0,AC103&gt;0),MAX(N103,AC103),MAX(AK103,V103))</f>
        <v>46249</v>
      </c>
      <c r="I103" s="143">
        <f t="array" ref="I103">IF(SUM(O103,AD103)&gt;0,SUM(O103,AD103),SUM(AL103,W103))</f>
        <v>124</v>
      </c>
      <c r="J103" s="9">
        <f t="shared" si="11"/>
        <v>3.1496062992125982</v>
      </c>
      <c r="K103" s="143">
        <f t="shared" si="21"/>
        <v>2</v>
      </c>
      <c r="L103" s="9">
        <f t="shared" si="12"/>
        <v>1.6129032258064515</v>
      </c>
      <c r="M103" s="8" t="str">
        <f t="array" ref="M103">IF(L103&gt;5,"Perlu Sensus",IF(AND(L103&gt;=0,I103&gt;0),"Tetap Deteksi","Belum Deteksi"))</f>
        <v>Tetap Deteksi</v>
      </c>
      <c r="N103" s="132">
        <v>46249</v>
      </c>
      <c r="O103" s="143">
        <f t="array" ref="O103">INDEX([28]Sheet1!$H$24:$H$231,MATCH(1,([28]Sheet1!$E$24:$E$231=$D103)*([28]Sheet1!$E$24:$E$231=$D103),0))</f>
        <v>124</v>
      </c>
      <c r="P103" s="9">
        <f t="array" ref="P103">IFERROR(O103/$G103*100,0)</f>
        <v>3.1496062992125982</v>
      </c>
      <c r="Q103" s="143">
        <f t="array" ref="Q103">INDEX([28]Sheet1!$J$24:$J$231,MATCH(1,([28]Sheet1!$E$24:$E$231=$D103)*([28]Sheet1!$E$24:$E$231=$D103),0))</f>
        <v>2</v>
      </c>
      <c r="R103" s="9">
        <f t="shared" si="13"/>
        <v>1.6129032258064515</v>
      </c>
      <c r="S103" s="8" t="str">
        <f t="array" ref="S103">IF(R103&gt;5,"Perlu Sensus",IF(AND(R103&gt;=0,O103&gt;0),"Tetap Deteksi","Belum Deteksi"))</f>
        <v>Tetap Deteksi</v>
      </c>
      <c r="T103" s="143"/>
      <c r="U103" s="9">
        <f t="shared" si="14"/>
        <v>0</v>
      </c>
      <c r="V103" s="11"/>
      <c r="W103" s="143"/>
      <c r="X103" s="143"/>
      <c r="Y103" s="9">
        <f t="shared" si="15"/>
        <v>0</v>
      </c>
      <c r="Z103" s="8" t="str">
        <f t="array" ref="Z103">IF(Y103&gt;5,"Perlu Sensus",IF(AND(Y103&gt;=0,W103&gt;0),"Tetap Deteksi","Belum Deteksi"))</f>
        <v>Belum Deteksi</v>
      </c>
      <c r="AA103" s="143"/>
      <c r="AB103" s="9">
        <f t="shared" si="16"/>
        <v>0</v>
      </c>
      <c r="AC103" s="11"/>
      <c r="AD103" s="143"/>
      <c r="AE103" s="9">
        <f t="array" ref="AE103">IFERROR(AD103/$G103*100,0)</f>
        <v>0</v>
      </c>
      <c r="AF103" s="143"/>
      <c r="AG103" s="9">
        <f t="shared" si="17"/>
        <v>0</v>
      </c>
      <c r="AH103" s="8" t="str">
        <f t="array" ref="AH103">IF(AG103&gt;5,"Perlu Sensus",IF(AND(AG103&gt;=0,AD103&gt;0),"Tetap Deteksi","Belum Deteksi"))</f>
        <v>Belum Deteksi</v>
      </c>
      <c r="AI103" s="143"/>
      <c r="AJ103" s="9">
        <f t="shared" si="18"/>
        <v>0</v>
      </c>
      <c r="AK103" s="11"/>
      <c r="AL103" s="143"/>
      <c r="AM103" s="143"/>
      <c r="AN103" s="9">
        <f t="shared" si="19"/>
        <v>0</v>
      </c>
      <c r="AO103" s="8" t="str">
        <f t="array" ref="AO103">IF(AN103&gt;5,"Perlu Sensus",IF(AND(AN103&gt;=0,AL103&gt;0),"Tetap Deteksi","Belum Deteksi"))</f>
        <v>Belum Deteksi</v>
      </c>
      <c r="AP103" s="143"/>
      <c r="AQ103" s="9">
        <f t="shared" si="20"/>
        <v>0</v>
      </c>
    </row>
    <row r="104" spans="1:43" outlineLevel="1" x14ac:dyDescent="0.15">
      <c r="A104" s="8" t="s">
        <v>1273</v>
      </c>
      <c r="B104" s="8" t="s">
        <v>14</v>
      </c>
      <c r="C104" s="8" t="s">
        <v>107</v>
      </c>
      <c r="D104" s="186" t="s">
        <v>1368</v>
      </c>
      <c r="E104" s="9">
        <v>30.27</v>
      </c>
      <c r="F104" s="8" t="s">
        <v>1740</v>
      </c>
      <c r="G104" s="10">
        <v>4018</v>
      </c>
      <c r="H104" s="11">
        <f t="array" ref="H104">IF(OR(N104&gt;0,AC104&gt;0),MAX(N104,AC104),MAX(AK104,V104))</f>
        <v>46249</v>
      </c>
      <c r="I104" s="143">
        <f t="array" ref="I104">IF(SUM(O104,AD104)&gt;0,SUM(O104,AD104),SUM(AL104,W104))</f>
        <v>125</v>
      </c>
      <c r="J104" s="9">
        <f t="shared" si="11"/>
        <v>3.1110004977600796</v>
      </c>
      <c r="K104" s="143">
        <f t="shared" si="21"/>
        <v>2</v>
      </c>
      <c r="L104" s="9">
        <f t="shared" si="12"/>
        <v>1.6</v>
      </c>
      <c r="M104" s="8" t="str">
        <f t="array" ref="M104">IF(L104&gt;5,"Perlu Sensus",IF(AND(L104&gt;=0,I104&gt;0),"Tetap Deteksi","Belum Deteksi"))</f>
        <v>Tetap Deteksi</v>
      </c>
      <c r="N104" s="132">
        <v>46249</v>
      </c>
      <c r="O104" s="143">
        <f t="array" ref="O104">INDEX([28]Sheet1!$H$24:$H$231,MATCH(1,([28]Sheet1!$E$24:$E$231=$D104)*([28]Sheet1!$E$24:$E$231=$D104),0))</f>
        <v>125</v>
      </c>
      <c r="P104" s="9">
        <f t="array" ref="P104">IFERROR(O104/$G104*100,0)</f>
        <v>3.1110004977600796</v>
      </c>
      <c r="Q104" s="143">
        <f t="array" ref="Q104">INDEX([28]Sheet1!$J$24:$J$231,MATCH(1,([28]Sheet1!$E$24:$E$231=$D104)*([28]Sheet1!$E$24:$E$231=$D104),0))</f>
        <v>2</v>
      </c>
      <c r="R104" s="9">
        <f t="shared" si="13"/>
        <v>1.6</v>
      </c>
      <c r="S104" s="8" t="str">
        <f t="array" ref="S104">IF(R104&gt;5,"Perlu Sensus",IF(AND(R104&gt;=0,O104&gt;0),"Tetap Deteksi","Belum Deteksi"))</f>
        <v>Tetap Deteksi</v>
      </c>
      <c r="T104" s="143"/>
      <c r="U104" s="9">
        <f t="shared" si="14"/>
        <v>0</v>
      </c>
      <c r="V104" s="11"/>
      <c r="W104" s="143"/>
      <c r="X104" s="143"/>
      <c r="Y104" s="9">
        <f t="shared" si="15"/>
        <v>0</v>
      </c>
      <c r="Z104" s="8" t="str">
        <f t="array" ref="Z104">IF(Y104&gt;5,"Perlu Sensus",IF(AND(Y104&gt;=0,W104&gt;0),"Tetap Deteksi","Belum Deteksi"))</f>
        <v>Belum Deteksi</v>
      </c>
      <c r="AA104" s="143"/>
      <c r="AB104" s="9">
        <f t="shared" si="16"/>
        <v>0</v>
      </c>
      <c r="AC104" s="11"/>
      <c r="AD104" s="143"/>
      <c r="AE104" s="9">
        <f t="array" ref="AE104">IFERROR(AD104/$G104*100,0)</f>
        <v>0</v>
      </c>
      <c r="AF104" s="143"/>
      <c r="AG104" s="9">
        <f t="shared" si="17"/>
        <v>0</v>
      </c>
      <c r="AH104" s="8" t="str">
        <f t="array" ref="AH104">IF(AG104&gt;5,"Perlu Sensus",IF(AND(AG104&gt;=0,AD104&gt;0),"Tetap Deteksi","Belum Deteksi"))</f>
        <v>Belum Deteksi</v>
      </c>
      <c r="AI104" s="143"/>
      <c r="AJ104" s="9">
        <f t="shared" si="18"/>
        <v>0</v>
      </c>
      <c r="AK104" s="11"/>
      <c r="AL104" s="143"/>
      <c r="AM104" s="143"/>
      <c r="AN104" s="9">
        <f t="shared" si="19"/>
        <v>0</v>
      </c>
      <c r="AO104" s="8" t="str">
        <f t="array" ref="AO104">IF(AN104&gt;5,"Perlu Sensus",IF(AND(AN104&gt;=0,AL104&gt;0),"Tetap Deteksi","Belum Deteksi"))</f>
        <v>Belum Deteksi</v>
      </c>
      <c r="AP104" s="143"/>
      <c r="AQ104" s="9">
        <f t="shared" si="20"/>
        <v>0</v>
      </c>
    </row>
    <row r="105" spans="1:43" outlineLevel="1" x14ac:dyDescent="0.15">
      <c r="A105" s="8" t="s">
        <v>1273</v>
      </c>
      <c r="B105" s="8" t="s">
        <v>14</v>
      </c>
      <c r="C105" s="8" t="s">
        <v>107</v>
      </c>
      <c r="D105" s="186" t="s">
        <v>1369</v>
      </c>
      <c r="E105" s="9">
        <v>29.99</v>
      </c>
      <c r="F105" s="8" t="s">
        <v>1740</v>
      </c>
      <c r="G105" s="10">
        <v>3855</v>
      </c>
      <c r="H105" s="11">
        <f t="array" ref="H105">IF(OR(N105&gt;0,AC105&gt;0),MAX(N105,AC105),MAX(AK105,V105))</f>
        <v>46249</v>
      </c>
      <c r="I105" s="143">
        <f t="array" ref="I105">IF(SUM(O105,AD105)&gt;0,SUM(O105,AD105),SUM(AL105,W105))</f>
        <v>104</v>
      </c>
      <c r="J105" s="9">
        <f t="shared" si="11"/>
        <v>2.6977950713359276</v>
      </c>
      <c r="K105" s="143">
        <f t="shared" si="21"/>
        <v>2</v>
      </c>
      <c r="L105" s="9">
        <f t="shared" si="12"/>
        <v>1.9230769230769231</v>
      </c>
      <c r="M105" s="8" t="str">
        <f t="array" ref="M105">IF(L105&gt;5,"Perlu Sensus",IF(AND(L105&gt;=0,I105&gt;0),"Tetap Deteksi","Belum Deteksi"))</f>
        <v>Tetap Deteksi</v>
      </c>
      <c r="N105" s="132">
        <v>46249</v>
      </c>
      <c r="O105" s="143">
        <f t="array" ref="O105">INDEX([28]Sheet1!$H$24:$H$231,MATCH(1,([28]Sheet1!$E$24:$E$231=$D105)*([28]Sheet1!$E$24:$E$231=$D105),0))</f>
        <v>104</v>
      </c>
      <c r="P105" s="9">
        <f t="array" ref="P105">IFERROR(O105/$G105*100,0)</f>
        <v>2.6977950713359276</v>
      </c>
      <c r="Q105" s="143">
        <f t="array" ref="Q105">INDEX([28]Sheet1!$J$24:$J$231,MATCH(1,([28]Sheet1!$E$24:$E$231=$D105)*([28]Sheet1!$E$24:$E$231=$D105),0))</f>
        <v>2</v>
      </c>
      <c r="R105" s="9">
        <f t="shared" si="13"/>
        <v>1.9230769230769231</v>
      </c>
      <c r="S105" s="8" t="str">
        <f t="array" ref="S105">IF(R105&gt;5,"Perlu Sensus",IF(AND(R105&gt;=0,O105&gt;0),"Tetap Deteksi","Belum Deteksi"))</f>
        <v>Tetap Deteksi</v>
      </c>
      <c r="T105" s="143"/>
      <c r="U105" s="9">
        <f t="shared" si="14"/>
        <v>0</v>
      </c>
      <c r="V105" s="11"/>
      <c r="W105" s="143"/>
      <c r="X105" s="143"/>
      <c r="Y105" s="9">
        <f t="shared" si="15"/>
        <v>0</v>
      </c>
      <c r="Z105" s="8" t="str">
        <f t="array" ref="Z105">IF(Y105&gt;5,"Perlu Sensus",IF(AND(Y105&gt;=0,W105&gt;0),"Tetap Deteksi","Belum Deteksi"))</f>
        <v>Belum Deteksi</v>
      </c>
      <c r="AA105" s="143"/>
      <c r="AB105" s="9">
        <f t="shared" si="16"/>
        <v>0</v>
      </c>
      <c r="AC105" s="11"/>
      <c r="AD105" s="143"/>
      <c r="AE105" s="9">
        <f t="array" ref="AE105">IFERROR(AD105/$G105*100,0)</f>
        <v>0</v>
      </c>
      <c r="AF105" s="143"/>
      <c r="AG105" s="9">
        <f t="shared" si="17"/>
        <v>0</v>
      </c>
      <c r="AH105" s="8" t="str">
        <f t="array" ref="AH105">IF(AG105&gt;5,"Perlu Sensus",IF(AND(AG105&gt;=0,AD105&gt;0),"Tetap Deteksi","Belum Deteksi"))</f>
        <v>Belum Deteksi</v>
      </c>
      <c r="AI105" s="143"/>
      <c r="AJ105" s="9">
        <f t="shared" si="18"/>
        <v>0</v>
      </c>
      <c r="AK105" s="11"/>
      <c r="AL105" s="143"/>
      <c r="AM105" s="143"/>
      <c r="AN105" s="9">
        <f t="shared" si="19"/>
        <v>0</v>
      </c>
      <c r="AO105" s="8" t="str">
        <f t="array" ref="AO105">IF(AN105&gt;5,"Perlu Sensus",IF(AND(AN105&gt;=0,AL105&gt;0),"Tetap Deteksi","Belum Deteksi"))</f>
        <v>Belum Deteksi</v>
      </c>
      <c r="AP105" s="143"/>
      <c r="AQ105" s="9">
        <f t="shared" si="20"/>
        <v>0</v>
      </c>
    </row>
    <row r="106" spans="1:43" outlineLevel="1" x14ac:dyDescent="0.15">
      <c r="A106" s="8" t="s">
        <v>1273</v>
      </c>
      <c r="B106" s="8" t="s">
        <v>14</v>
      </c>
      <c r="C106" s="8" t="s">
        <v>107</v>
      </c>
      <c r="D106" s="8" t="s">
        <v>1370</v>
      </c>
      <c r="E106" s="9">
        <v>30.43</v>
      </c>
      <c r="F106" s="8" t="s">
        <v>1740</v>
      </c>
      <c r="G106" s="10">
        <v>4231</v>
      </c>
      <c r="H106" s="11">
        <f t="array" ref="H106">IF(OR(N106&gt;0,AC106&gt;0),MAX(N106,AC106),MAX(AK106,V106))</f>
        <v>46249</v>
      </c>
      <c r="I106" s="143">
        <f t="array" ref="I106">IF(SUM(O106,AD106)&gt;0,SUM(O106,AD106),SUM(AL106,W106))</f>
        <v>123</v>
      </c>
      <c r="J106" s="9">
        <f t="shared" si="11"/>
        <v>2.907114157409596</v>
      </c>
      <c r="K106" s="143">
        <f t="shared" si="21"/>
        <v>2</v>
      </c>
      <c r="L106" s="9">
        <f t="shared" si="12"/>
        <v>1.6260162601626018</v>
      </c>
      <c r="M106" s="8" t="str">
        <f t="array" ref="M106">IF(L106&gt;5,"Perlu Sensus",IF(AND(L106&gt;=0,I106&gt;0),"Tetap Deteksi","Belum Deteksi"))</f>
        <v>Tetap Deteksi</v>
      </c>
      <c r="N106" s="132">
        <v>46249</v>
      </c>
      <c r="O106" s="143">
        <f t="array" ref="O106">INDEX([28]Sheet1!$H$24:$H$231,MATCH(1,([28]Sheet1!$E$24:$E$231=$D106)*([28]Sheet1!$E$24:$E$231=$D106),0))</f>
        <v>123</v>
      </c>
      <c r="P106" s="9">
        <f t="array" ref="P106">IFERROR(O106/$G106*100,0)</f>
        <v>2.907114157409596</v>
      </c>
      <c r="Q106" s="143">
        <f t="array" ref="Q106">INDEX([28]Sheet1!$J$24:$J$231,MATCH(1,([28]Sheet1!$E$24:$E$231=$D106)*([28]Sheet1!$E$24:$E$231=$D106),0))</f>
        <v>2</v>
      </c>
      <c r="R106" s="9">
        <f t="shared" si="13"/>
        <v>1.6260162601626018</v>
      </c>
      <c r="S106" s="8" t="str">
        <f t="array" ref="S106">IF(R106&gt;5,"Perlu Sensus",IF(AND(R106&gt;=0,O106&gt;0),"Tetap Deteksi","Belum Deteksi"))</f>
        <v>Tetap Deteksi</v>
      </c>
      <c r="T106" s="143"/>
      <c r="U106" s="9">
        <f t="shared" si="14"/>
        <v>0</v>
      </c>
      <c r="V106" s="11"/>
      <c r="W106" s="143"/>
      <c r="X106" s="143"/>
      <c r="Y106" s="9">
        <f t="shared" si="15"/>
        <v>0</v>
      </c>
      <c r="Z106" s="8" t="str">
        <f t="array" ref="Z106">IF(Y106&gt;5,"Perlu Sensus",IF(AND(Y106&gt;=0,W106&gt;0),"Tetap Deteksi","Belum Deteksi"))</f>
        <v>Belum Deteksi</v>
      </c>
      <c r="AA106" s="143"/>
      <c r="AB106" s="9">
        <f t="shared" si="16"/>
        <v>0</v>
      </c>
      <c r="AC106" s="11"/>
      <c r="AD106" s="143"/>
      <c r="AE106" s="9">
        <f t="array" ref="AE106">IFERROR(AD106/$G106*100,0)</f>
        <v>0</v>
      </c>
      <c r="AF106" s="143"/>
      <c r="AG106" s="9">
        <f t="shared" si="17"/>
        <v>0</v>
      </c>
      <c r="AH106" s="8" t="str">
        <f t="array" ref="AH106">IF(AG106&gt;5,"Perlu Sensus",IF(AND(AG106&gt;=0,AD106&gt;0),"Tetap Deteksi","Belum Deteksi"))</f>
        <v>Belum Deteksi</v>
      </c>
      <c r="AI106" s="143"/>
      <c r="AJ106" s="9">
        <f t="shared" si="18"/>
        <v>0</v>
      </c>
      <c r="AK106" s="11"/>
      <c r="AL106" s="143"/>
      <c r="AM106" s="143"/>
      <c r="AN106" s="9">
        <f t="shared" si="19"/>
        <v>0</v>
      </c>
      <c r="AO106" s="8" t="str">
        <f t="array" ref="AO106">IF(AN106&gt;5,"Perlu Sensus",IF(AND(AN106&gt;=0,AL106&gt;0),"Tetap Deteksi","Belum Deteksi"))</f>
        <v>Belum Deteksi</v>
      </c>
      <c r="AP106" s="143"/>
      <c r="AQ106" s="9">
        <f t="shared" si="20"/>
        <v>0</v>
      </c>
    </row>
    <row r="107" spans="1:43" outlineLevel="1" x14ac:dyDescent="0.15">
      <c r="A107" s="8" t="s">
        <v>1273</v>
      </c>
      <c r="B107" s="8" t="s">
        <v>14</v>
      </c>
      <c r="C107" s="8" t="s">
        <v>107</v>
      </c>
      <c r="D107" s="186" t="s">
        <v>1371</v>
      </c>
      <c r="E107" s="9">
        <v>28.14</v>
      </c>
      <c r="F107" s="8" t="s">
        <v>1740</v>
      </c>
      <c r="G107" s="10">
        <v>3720</v>
      </c>
      <c r="H107" s="11">
        <f t="array" ref="H107">IF(OR(N107&gt;0,AC107&gt;0),MAX(N107,AC107),MAX(AK107,V107))</f>
        <v>46249</v>
      </c>
      <c r="I107" s="143">
        <f t="array" ref="I107">IF(SUM(O107,AD107)&gt;0,SUM(O107,AD107),SUM(AL107,W107))</f>
        <v>165</v>
      </c>
      <c r="J107" s="9">
        <f t="shared" si="11"/>
        <v>4.435483870967742</v>
      </c>
      <c r="K107" s="143">
        <f t="shared" si="21"/>
        <v>3</v>
      </c>
      <c r="L107" s="9">
        <f t="shared" si="12"/>
        <v>1.8181818181818181</v>
      </c>
      <c r="M107" s="8" t="str">
        <f t="array" ref="M107">IF(L107&gt;5,"Perlu Sensus",IF(AND(L107&gt;=0,I107&gt;0),"Tetap Deteksi","Belum Deteksi"))</f>
        <v>Tetap Deteksi</v>
      </c>
      <c r="N107" s="132">
        <v>46249</v>
      </c>
      <c r="O107" s="143">
        <f t="array" ref="O107">INDEX([28]Sheet1!$H$24:$H$231,MATCH(1,([28]Sheet1!$E$24:$E$231=$D107)*([28]Sheet1!$E$24:$E$231=$D107),0))</f>
        <v>165</v>
      </c>
      <c r="P107" s="9">
        <f t="array" ref="P107">IFERROR(O107/$G107*100,0)</f>
        <v>4.435483870967742</v>
      </c>
      <c r="Q107" s="143">
        <f t="array" ref="Q107">INDEX([28]Sheet1!$J$24:$J$231,MATCH(1,([28]Sheet1!$E$24:$E$231=$D107)*([28]Sheet1!$E$24:$E$231=$D107),0))</f>
        <v>3</v>
      </c>
      <c r="R107" s="9">
        <f t="shared" si="13"/>
        <v>1.8181818181818181</v>
      </c>
      <c r="S107" s="8" t="str">
        <f t="array" ref="S107">IF(R107&gt;5,"Perlu Sensus",IF(AND(R107&gt;=0,O107&gt;0),"Tetap Deteksi","Belum Deteksi"))</f>
        <v>Tetap Deteksi</v>
      </c>
      <c r="T107" s="143"/>
      <c r="U107" s="9">
        <f t="shared" si="14"/>
        <v>0</v>
      </c>
      <c r="V107" s="11"/>
      <c r="W107" s="143"/>
      <c r="X107" s="143"/>
      <c r="Y107" s="9">
        <f t="shared" si="15"/>
        <v>0</v>
      </c>
      <c r="Z107" s="8" t="str">
        <f t="array" ref="Z107">IF(Y107&gt;5,"Perlu Sensus",IF(AND(Y107&gt;=0,W107&gt;0),"Tetap Deteksi","Belum Deteksi"))</f>
        <v>Belum Deteksi</v>
      </c>
      <c r="AA107" s="143"/>
      <c r="AB107" s="9">
        <f t="shared" si="16"/>
        <v>0</v>
      </c>
      <c r="AC107" s="11"/>
      <c r="AD107" s="143"/>
      <c r="AE107" s="9">
        <f t="array" ref="AE107">IFERROR(AD107/$G107*100,0)</f>
        <v>0</v>
      </c>
      <c r="AF107" s="143"/>
      <c r="AG107" s="9">
        <f t="shared" si="17"/>
        <v>0</v>
      </c>
      <c r="AH107" s="8" t="str">
        <f t="array" ref="AH107">IF(AG107&gt;5,"Perlu Sensus",IF(AND(AG107&gt;=0,AD107&gt;0),"Tetap Deteksi","Belum Deteksi"))</f>
        <v>Belum Deteksi</v>
      </c>
      <c r="AI107" s="143"/>
      <c r="AJ107" s="9">
        <f t="shared" si="18"/>
        <v>0</v>
      </c>
      <c r="AK107" s="11"/>
      <c r="AL107" s="143"/>
      <c r="AM107" s="143"/>
      <c r="AN107" s="9">
        <f t="shared" si="19"/>
        <v>0</v>
      </c>
      <c r="AO107" s="8" t="str">
        <f t="array" ref="AO107">IF(AN107&gt;5,"Perlu Sensus",IF(AND(AN107&gt;=0,AL107&gt;0),"Tetap Deteksi","Belum Deteksi"))</f>
        <v>Belum Deteksi</v>
      </c>
      <c r="AP107" s="143"/>
      <c r="AQ107" s="9">
        <f t="shared" si="20"/>
        <v>0</v>
      </c>
    </row>
    <row r="108" spans="1:43" outlineLevel="1" x14ac:dyDescent="0.15">
      <c r="A108" s="8" t="s">
        <v>1273</v>
      </c>
      <c r="B108" s="8" t="s">
        <v>14</v>
      </c>
      <c r="C108" s="8" t="s">
        <v>107</v>
      </c>
      <c r="D108" s="186" t="s">
        <v>1372</v>
      </c>
      <c r="E108" s="9">
        <v>30.13</v>
      </c>
      <c r="F108" s="8" t="s">
        <v>1740</v>
      </c>
      <c r="G108" s="10">
        <v>3993</v>
      </c>
      <c r="H108" s="11">
        <f t="array" ref="H108">IF(OR(N108&gt;0,AC108&gt;0),MAX(N108,AC108),MAX(AK108,V108))</f>
        <v>46249</v>
      </c>
      <c r="I108" s="143">
        <f t="array" ref="I108">IF(SUM(O108,AD108)&gt;0,SUM(O108,AD108),SUM(AL108,W108))</f>
        <v>246</v>
      </c>
      <c r="J108" s="9">
        <f t="shared" si="11"/>
        <v>6.1607813673929375</v>
      </c>
      <c r="K108" s="143">
        <f t="shared" si="21"/>
        <v>4</v>
      </c>
      <c r="L108" s="9">
        <f t="shared" si="12"/>
        <v>1.6260162601626018</v>
      </c>
      <c r="M108" s="8" t="str">
        <f t="array" ref="M108">IF(L108&gt;5,"Perlu Sensus",IF(AND(L108&gt;=0,I108&gt;0),"Tetap Deteksi","Belum Deteksi"))</f>
        <v>Tetap Deteksi</v>
      </c>
      <c r="N108" s="132">
        <v>46249</v>
      </c>
      <c r="O108" s="143">
        <f t="array" ref="O108">INDEX([28]Sheet1!$H$24:$H$231,MATCH(1,([28]Sheet1!$E$24:$E$231=$D108)*([28]Sheet1!$E$24:$E$231=$D108),0))</f>
        <v>246</v>
      </c>
      <c r="P108" s="9">
        <f t="array" ref="P108">IFERROR(O108/$G108*100,0)</f>
        <v>6.1607813673929375</v>
      </c>
      <c r="Q108" s="143">
        <f t="array" ref="Q108">INDEX([28]Sheet1!$J$24:$J$231,MATCH(1,([28]Sheet1!$E$24:$E$231=$D108)*([28]Sheet1!$E$24:$E$231=$D108),0))</f>
        <v>4</v>
      </c>
      <c r="R108" s="9">
        <f t="shared" si="13"/>
        <v>1.6260162601626018</v>
      </c>
      <c r="S108" s="8" t="str">
        <f t="array" ref="S108">IF(R108&gt;5,"Perlu Sensus",IF(AND(R108&gt;=0,O108&gt;0),"Tetap Deteksi","Belum Deteksi"))</f>
        <v>Tetap Deteksi</v>
      </c>
      <c r="T108" s="143"/>
      <c r="U108" s="9">
        <f t="shared" si="14"/>
        <v>0</v>
      </c>
      <c r="V108" s="11"/>
      <c r="W108" s="143"/>
      <c r="X108" s="143"/>
      <c r="Y108" s="9">
        <f t="shared" si="15"/>
        <v>0</v>
      </c>
      <c r="Z108" s="8" t="str">
        <f t="array" ref="Z108">IF(Y108&gt;5,"Perlu Sensus",IF(AND(Y108&gt;=0,W108&gt;0),"Tetap Deteksi","Belum Deteksi"))</f>
        <v>Belum Deteksi</v>
      </c>
      <c r="AA108" s="143"/>
      <c r="AB108" s="9">
        <f t="shared" si="16"/>
        <v>0</v>
      </c>
      <c r="AC108" s="11"/>
      <c r="AD108" s="143"/>
      <c r="AE108" s="9">
        <f t="array" ref="AE108">IFERROR(AD108/$G108*100,0)</f>
        <v>0</v>
      </c>
      <c r="AF108" s="143"/>
      <c r="AG108" s="9">
        <f t="shared" si="17"/>
        <v>0</v>
      </c>
      <c r="AH108" s="8" t="str">
        <f t="array" ref="AH108">IF(AG108&gt;5,"Perlu Sensus",IF(AND(AG108&gt;=0,AD108&gt;0),"Tetap Deteksi","Belum Deteksi"))</f>
        <v>Belum Deteksi</v>
      </c>
      <c r="AI108" s="143"/>
      <c r="AJ108" s="9">
        <f t="shared" si="18"/>
        <v>0</v>
      </c>
      <c r="AK108" s="11"/>
      <c r="AL108" s="143"/>
      <c r="AM108" s="143"/>
      <c r="AN108" s="9">
        <f t="shared" si="19"/>
        <v>0</v>
      </c>
      <c r="AO108" s="8" t="str">
        <f t="array" ref="AO108">IF(AN108&gt;5,"Perlu Sensus",IF(AND(AN108&gt;=0,AL108&gt;0),"Tetap Deteksi","Belum Deteksi"))</f>
        <v>Belum Deteksi</v>
      </c>
      <c r="AP108" s="143"/>
      <c r="AQ108" s="9">
        <f t="shared" si="20"/>
        <v>0</v>
      </c>
    </row>
    <row r="109" spans="1:43" outlineLevel="1" x14ac:dyDescent="0.15">
      <c r="A109" s="8" t="s">
        <v>1273</v>
      </c>
      <c r="B109" s="8" t="s">
        <v>14</v>
      </c>
      <c r="C109" s="8" t="s">
        <v>107</v>
      </c>
      <c r="D109" s="186" t="s">
        <v>1373</v>
      </c>
      <c r="E109" s="9">
        <v>29.45</v>
      </c>
      <c r="F109" s="8" t="s">
        <v>1740</v>
      </c>
      <c r="G109" s="10">
        <v>3906</v>
      </c>
      <c r="H109" s="11">
        <f t="array" ref="H109">IF(OR(N109&gt;0,AC109&gt;0),MAX(N109,AC109),MAX(AK109,V109))</f>
        <v>46249</v>
      </c>
      <c r="I109" s="143">
        <f t="array" ref="I109">IF(SUM(O109,AD109)&gt;0,SUM(O109,AD109),SUM(AL109,W109))</f>
        <v>104</v>
      </c>
      <c r="J109" s="9">
        <f t="shared" si="11"/>
        <v>2.6625704045058884</v>
      </c>
      <c r="K109" s="143">
        <f t="shared" si="21"/>
        <v>2</v>
      </c>
      <c r="L109" s="9">
        <f t="shared" si="12"/>
        <v>1.9230769230769231</v>
      </c>
      <c r="M109" s="8" t="str">
        <f t="array" ref="M109">IF(L109&gt;5,"Perlu Sensus",IF(AND(L109&gt;=0,I109&gt;0),"Tetap Deteksi","Belum Deteksi"))</f>
        <v>Tetap Deteksi</v>
      </c>
      <c r="N109" s="132">
        <v>46249</v>
      </c>
      <c r="O109" s="143">
        <f t="array" ref="O109">INDEX([28]Sheet1!$H$24:$H$231,MATCH(1,([28]Sheet1!$E$24:$E$231=$D109)*([28]Sheet1!$E$24:$E$231=$D109),0))</f>
        <v>104</v>
      </c>
      <c r="P109" s="9">
        <f t="array" ref="P109">IFERROR(O109/$G109*100,0)</f>
        <v>2.6625704045058884</v>
      </c>
      <c r="Q109" s="143">
        <f t="array" ref="Q109">INDEX([28]Sheet1!$J$24:$J$231,MATCH(1,([28]Sheet1!$E$24:$E$231=$D109)*([28]Sheet1!$E$24:$E$231=$D109),0))</f>
        <v>2</v>
      </c>
      <c r="R109" s="9">
        <f t="shared" si="13"/>
        <v>1.9230769230769231</v>
      </c>
      <c r="S109" s="8" t="str">
        <f t="array" ref="S109">IF(R109&gt;5,"Perlu Sensus",IF(AND(R109&gt;=0,O109&gt;0),"Tetap Deteksi","Belum Deteksi"))</f>
        <v>Tetap Deteksi</v>
      </c>
      <c r="T109" s="143"/>
      <c r="U109" s="9">
        <f t="shared" si="14"/>
        <v>0</v>
      </c>
      <c r="V109" s="11"/>
      <c r="W109" s="143"/>
      <c r="X109" s="143"/>
      <c r="Y109" s="9">
        <f t="shared" si="15"/>
        <v>0</v>
      </c>
      <c r="Z109" s="8" t="str">
        <f t="array" ref="Z109">IF(Y109&gt;5,"Perlu Sensus",IF(AND(Y109&gt;=0,W109&gt;0),"Tetap Deteksi","Belum Deteksi"))</f>
        <v>Belum Deteksi</v>
      </c>
      <c r="AA109" s="143"/>
      <c r="AB109" s="9">
        <f t="shared" si="16"/>
        <v>0</v>
      </c>
      <c r="AC109" s="11"/>
      <c r="AD109" s="143"/>
      <c r="AE109" s="9">
        <f t="array" ref="AE109">IFERROR(AD109/$G109*100,0)</f>
        <v>0</v>
      </c>
      <c r="AF109" s="143"/>
      <c r="AG109" s="9">
        <f t="shared" si="17"/>
        <v>0</v>
      </c>
      <c r="AH109" s="8" t="str">
        <f t="array" ref="AH109">IF(AG109&gt;5,"Perlu Sensus",IF(AND(AG109&gt;=0,AD109&gt;0),"Tetap Deteksi","Belum Deteksi"))</f>
        <v>Belum Deteksi</v>
      </c>
      <c r="AI109" s="143"/>
      <c r="AJ109" s="9">
        <f t="shared" si="18"/>
        <v>0</v>
      </c>
      <c r="AK109" s="11"/>
      <c r="AL109" s="143"/>
      <c r="AM109" s="143"/>
      <c r="AN109" s="9">
        <f t="shared" si="19"/>
        <v>0</v>
      </c>
      <c r="AO109" s="8" t="str">
        <f t="array" ref="AO109">IF(AN109&gt;5,"Perlu Sensus",IF(AND(AN109&gt;=0,AL109&gt;0),"Tetap Deteksi","Belum Deteksi"))</f>
        <v>Belum Deteksi</v>
      </c>
      <c r="AP109" s="143"/>
      <c r="AQ109" s="9">
        <f t="shared" si="20"/>
        <v>0</v>
      </c>
    </row>
    <row r="110" spans="1:43" outlineLevel="1" x14ac:dyDescent="0.15">
      <c r="A110" s="8" t="s">
        <v>1273</v>
      </c>
      <c r="B110" s="8" t="s">
        <v>14</v>
      </c>
      <c r="C110" s="8" t="s">
        <v>107</v>
      </c>
      <c r="D110" s="186" t="s">
        <v>1374</v>
      </c>
      <c r="E110" s="9">
        <v>31.32</v>
      </c>
      <c r="F110" s="8" t="s">
        <v>1740</v>
      </c>
      <c r="G110" s="10">
        <v>3778</v>
      </c>
      <c r="H110" s="11">
        <f t="array" ref="H110">IF(OR(N110&gt;0,AC110&gt;0),MAX(N110,AC110),MAX(AK110,V110))</f>
        <v>46249</v>
      </c>
      <c r="I110" s="143">
        <f t="array" ref="I110">IF(SUM(O110,AD110)&gt;0,SUM(O110,AD110),SUM(AL110,W110))</f>
        <v>117</v>
      </c>
      <c r="J110" s="9">
        <f t="shared" si="11"/>
        <v>3.0968766543144519</v>
      </c>
      <c r="K110" s="143">
        <f t="shared" si="21"/>
        <v>2</v>
      </c>
      <c r="L110" s="9">
        <f t="shared" si="12"/>
        <v>1.7094017094017095</v>
      </c>
      <c r="M110" s="8" t="str">
        <f t="array" ref="M110">IF(L110&gt;5,"Perlu Sensus",IF(AND(L110&gt;=0,I110&gt;0),"Tetap Deteksi","Belum Deteksi"))</f>
        <v>Tetap Deteksi</v>
      </c>
      <c r="N110" s="132">
        <v>46249</v>
      </c>
      <c r="O110" s="143">
        <f t="array" ref="O110">INDEX([28]Sheet1!$H$24:$H$231,MATCH(1,([28]Sheet1!$E$24:$E$231=$D110)*([28]Sheet1!$E$24:$E$231=$D110),0))</f>
        <v>117</v>
      </c>
      <c r="P110" s="9">
        <f t="array" ref="P110">IFERROR(O110/$G110*100,0)</f>
        <v>3.0968766543144519</v>
      </c>
      <c r="Q110" s="143">
        <f t="array" ref="Q110">INDEX([28]Sheet1!$J$24:$J$231,MATCH(1,([28]Sheet1!$E$24:$E$231=$D110)*([28]Sheet1!$E$24:$E$231=$D110),0))</f>
        <v>2</v>
      </c>
      <c r="R110" s="9">
        <f t="shared" si="13"/>
        <v>1.7094017094017095</v>
      </c>
      <c r="S110" s="8" t="str">
        <f t="array" ref="S110">IF(R110&gt;5,"Perlu Sensus",IF(AND(R110&gt;=0,O110&gt;0),"Tetap Deteksi","Belum Deteksi"))</f>
        <v>Tetap Deteksi</v>
      </c>
      <c r="T110" s="143"/>
      <c r="U110" s="9">
        <f t="shared" si="14"/>
        <v>0</v>
      </c>
      <c r="V110" s="11"/>
      <c r="W110" s="143"/>
      <c r="X110" s="143"/>
      <c r="Y110" s="9">
        <f t="shared" si="15"/>
        <v>0</v>
      </c>
      <c r="Z110" s="8" t="str">
        <f t="array" ref="Z110">IF(Y110&gt;5,"Perlu Sensus",IF(AND(Y110&gt;=0,W110&gt;0),"Tetap Deteksi","Belum Deteksi"))</f>
        <v>Belum Deteksi</v>
      </c>
      <c r="AA110" s="143"/>
      <c r="AB110" s="9">
        <f t="shared" si="16"/>
        <v>0</v>
      </c>
      <c r="AC110" s="11"/>
      <c r="AD110" s="143"/>
      <c r="AE110" s="9">
        <f t="array" ref="AE110">IFERROR(AD110/$G110*100,0)</f>
        <v>0</v>
      </c>
      <c r="AF110" s="143"/>
      <c r="AG110" s="9">
        <f t="shared" si="17"/>
        <v>0</v>
      </c>
      <c r="AH110" s="8" t="str">
        <f t="array" ref="AH110">IF(AG110&gt;5,"Perlu Sensus",IF(AND(AG110&gt;=0,AD110&gt;0),"Tetap Deteksi","Belum Deteksi"))</f>
        <v>Belum Deteksi</v>
      </c>
      <c r="AI110" s="143"/>
      <c r="AJ110" s="9">
        <f t="shared" si="18"/>
        <v>0</v>
      </c>
      <c r="AK110" s="11"/>
      <c r="AL110" s="143"/>
      <c r="AM110" s="143"/>
      <c r="AN110" s="9">
        <f t="shared" si="19"/>
        <v>0</v>
      </c>
      <c r="AO110" s="8" t="str">
        <f t="array" ref="AO110">IF(AN110&gt;5,"Perlu Sensus",IF(AND(AN110&gt;=0,AL110&gt;0),"Tetap Deteksi","Belum Deteksi"))</f>
        <v>Belum Deteksi</v>
      </c>
      <c r="AP110" s="143"/>
      <c r="AQ110" s="9">
        <f t="shared" si="20"/>
        <v>0</v>
      </c>
    </row>
    <row r="111" spans="1:43" outlineLevel="1" x14ac:dyDescent="0.15">
      <c r="A111" s="8" t="s">
        <v>1273</v>
      </c>
      <c r="B111" s="8" t="s">
        <v>14</v>
      </c>
      <c r="C111" s="8" t="s">
        <v>107</v>
      </c>
      <c r="D111" s="186" t="s">
        <v>1375</v>
      </c>
      <c r="E111" s="9">
        <v>31.56</v>
      </c>
      <c r="F111" s="8" t="s">
        <v>1740</v>
      </c>
      <c r="G111" s="10">
        <v>4203</v>
      </c>
      <c r="H111" s="11">
        <f t="array" ref="H111">IF(OR(N111&gt;0,AC111&gt;0),MAX(N111,AC111),MAX(AK111,V111))</f>
        <v>46249</v>
      </c>
      <c r="I111" s="143">
        <f t="array" ref="I111">IF(SUM(O111,AD111)&gt;0,SUM(O111,AD111),SUM(AL111,W111))</f>
        <v>126</v>
      </c>
      <c r="J111" s="9">
        <f t="shared" si="11"/>
        <v>2.9978586723768736</v>
      </c>
      <c r="K111" s="143">
        <f t="shared" si="21"/>
        <v>2</v>
      </c>
      <c r="L111" s="9">
        <f t="shared" si="12"/>
        <v>1.5873015873015872</v>
      </c>
      <c r="M111" s="8" t="str">
        <f t="array" ref="M111">IF(L111&gt;5,"Perlu Sensus",IF(AND(L111&gt;=0,I111&gt;0),"Tetap Deteksi","Belum Deteksi"))</f>
        <v>Tetap Deteksi</v>
      </c>
      <c r="N111" s="132">
        <v>46249</v>
      </c>
      <c r="O111" s="143">
        <f t="array" ref="O111">INDEX([28]Sheet1!$H$24:$H$231,MATCH(1,([28]Sheet1!$E$24:$E$231=$D111)*([28]Sheet1!$E$24:$E$231=$D111),0))</f>
        <v>126</v>
      </c>
      <c r="P111" s="9">
        <f t="array" ref="P111">IFERROR(O111/$G111*100,0)</f>
        <v>2.9978586723768736</v>
      </c>
      <c r="Q111" s="143">
        <f t="array" ref="Q111">INDEX([28]Sheet1!$J$24:$J$231,MATCH(1,([28]Sheet1!$E$24:$E$231=$D111)*([28]Sheet1!$E$24:$E$231=$D111),0))</f>
        <v>2</v>
      </c>
      <c r="R111" s="9">
        <f t="shared" si="13"/>
        <v>1.5873015873015872</v>
      </c>
      <c r="S111" s="8" t="str">
        <f t="array" ref="S111">IF(R111&gt;5,"Perlu Sensus",IF(AND(R111&gt;=0,O111&gt;0),"Tetap Deteksi","Belum Deteksi"))</f>
        <v>Tetap Deteksi</v>
      </c>
      <c r="T111" s="143"/>
      <c r="U111" s="9">
        <f t="shared" si="14"/>
        <v>0</v>
      </c>
      <c r="V111" s="11"/>
      <c r="W111" s="143"/>
      <c r="X111" s="143"/>
      <c r="Y111" s="9">
        <f t="shared" si="15"/>
        <v>0</v>
      </c>
      <c r="Z111" s="8" t="str">
        <f t="array" ref="Z111">IF(Y111&gt;5,"Perlu Sensus",IF(AND(Y111&gt;=0,W111&gt;0),"Tetap Deteksi","Belum Deteksi"))</f>
        <v>Belum Deteksi</v>
      </c>
      <c r="AA111" s="143"/>
      <c r="AB111" s="9">
        <f t="shared" si="16"/>
        <v>0</v>
      </c>
      <c r="AC111" s="11"/>
      <c r="AD111" s="143"/>
      <c r="AE111" s="9">
        <f t="array" ref="AE111">IFERROR(AD111/$G111*100,0)</f>
        <v>0</v>
      </c>
      <c r="AF111" s="143"/>
      <c r="AG111" s="9">
        <f t="shared" si="17"/>
        <v>0</v>
      </c>
      <c r="AH111" s="8" t="str">
        <f t="array" ref="AH111">IF(AG111&gt;5,"Perlu Sensus",IF(AND(AG111&gt;=0,AD111&gt;0),"Tetap Deteksi","Belum Deteksi"))</f>
        <v>Belum Deteksi</v>
      </c>
      <c r="AI111" s="143"/>
      <c r="AJ111" s="9">
        <f t="shared" si="18"/>
        <v>0</v>
      </c>
      <c r="AK111" s="11"/>
      <c r="AL111" s="143"/>
      <c r="AM111" s="143"/>
      <c r="AN111" s="9">
        <f t="shared" si="19"/>
        <v>0</v>
      </c>
      <c r="AO111" s="8" t="str">
        <f t="array" ref="AO111">IF(AN111&gt;5,"Perlu Sensus",IF(AND(AN111&gt;=0,AL111&gt;0),"Tetap Deteksi","Belum Deteksi"))</f>
        <v>Belum Deteksi</v>
      </c>
      <c r="AP111" s="143"/>
      <c r="AQ111" s="9">
        <f t="shared" si="20"/>
        <v>0</v>
      </c>
    </row>
    <row r="112" spans="1:43" outlineLevel="1" x14ac:dyDescent="0.15">
      <c r="A112" s="8" t="s">
        <v>1273</v>
      </c>
      <c r="B112" s="8" t="s">
        <v>14</v>
      </c>
      <c r="C112" s="8" t="s">
        <v>107</v>
      </c>
      <c r="D112" s="186" t="s">
        <v>1005</v>
      </c>
      <c r="E112" s="9">
        <v>32.85</v>
      </c>
      <c r="F112" s="8" t="s">
        <v>1740</v>
      </c>
      <c r="G112" s="10">
        <v>4379</v>
      </c>
      <c r="H112" s="11">
        <f t="array" ref="H112">IF(OR(N112&gt;0,AC112&gt;0),MAX(N112,AC112),MAX(AK112,V112))</f>
        <v>46249</v>
      </c>
      <c r="I112" s="143">
        <f t="array" ref="I112">IF(SUM(O112,AD112)&gt;0,SUM(O112,AD112),SUM(AL112,W112))</f>
        <v>144</v>
      </c>
      <c r="J112" s="9">
        <f t="shared" si="11"/>
        <v>3.2884220141584839</v>
      </c>
      <c r="K112" s="143">
        <f t="shared" si="21"/>
        <v>2</v>
      </c>
      <c r="L112" s="9">
        <f t="shared" si="12"/>
        <v>1.3888888888888888</v>
      </c>
      <c r="M112" s="8" t="str">
        <f t="array" ref="M112">IF(L112&gt;5,"Perlu Sensus",IF(AND(L112&gt;=0,I112&gt;0),"Tetap Deteksi","Belum Deteksi"))</f>
        <v>Tetap Deteksi</v>
      </c>
      <c r="N112" s="132">
        <v>46249</v>
      </c>
      <c r="O112" s="143">
        <f t="array" ref="O112">INDEX([28]Sheet1!$H$24:$H$231,MATCH(1,([28]Sheet1!$E$24:$E$231=$D112)*([28]Sheet1!$E$24:$E$231=$D112),0))</f>
        <v>144</v>
      </c>
      <c r="P112" s="9">
        <f t="array" ref="P112">IFERROR(O112/$G112*100,0)</f>
        <v>3.2884220141584839</v>
      </c>
      <c r="Q112" s="143">
        <f t="array" ref="Q112">INDEX([28]Sheet1!$J$24:$J$231,MATCH(1,([28]Sheet1!$E$24:$E$231=$D112)*([28]Sheet1!$E$24:$E$231=$D112),0))</f>
        <v>2</v>
      </c>
      <c r="R112" s="9">
        <f t="shared" si="13"/>
        <v>1.3888888888888888</v>
      </c>
      <c r="S112" s="8" t="str">
        <f t="array" ref="S112">IF(R112&gt;5,"Perlu Sensus",IF(AND(R112&gt;=0,O112&gt;0),"Tetap Deteksi","Belum Deteksi"))</f>
        <v>Tetap Deteksi</v>
      </c>
      <c r="T112" s="143"/>
      <c r="U112" s="9">
        <f t="shared" si="14"/>
        <v>0</v>
      </c>
      <c r="V112" s="11"/>
      <c r="W112" s="143"/>
      <c r="X112" s="143"/>
      <c r="Y112" s="9">
        <f t="shared" si="15"/>
        <v>0</v>
      </c>
      <c r="Z112" s="8" t="str">
        <f t="array" ref="Z112">IF(Y112&gt;5,"Perlu Sensus",IF(AND(Y112&gt;=0,W112&gt;0),"Tetap Deteksi","Belum Deteksi"))</f>
        <v>Belum Deteksi</v>
      </c>
      <c r="AA112" s="143"/>
      <c r="AB112" s="9">
        <f t="shared" si="16"/>
        <v>0</v>
      </c>
      <c r="AC112" s="11"/>
      <c r="AD112" s="143"/>
      <c r="AE112" s="9">
        <f t="array" ref="AE112">IFERROR(AD112/$G112*100,0)</f>
        <v>0</v>
      </c>
      <c r="AF112" s="143"/>
      <c r="AG112" s="9">
        <f t="shared" si="17"/>
        <v>0</v>
      </c>
      <c r="AH112" s="8" t="str">
        <f t="array" ref="AH112">IF(AG112&gt;5,"Perlu Sensus",IF(AND(AG112&gt;=0,AD112&gt;0),"Tetap Deteksi","Belum Deteksi"))</f>
        <v>Belum Deteksi</v>
      </c>
      <c r="AI112" s="143"/>
      <c r="AJ112" s="9">
        <f t="shared" si="18"/>
        <v>0</v>
      </c>
      <c r="AK112" s="11"/>
      <c r="AL112" s="143"/>
      <c r="AM112" s="143"/>
      <c r="AN112" s="9">
        <f t="shared" si="19"/>
        <v>0</v>
      </c>
      <c r="AO112" s="8" t="str">
        <f t="array" ref="AO112">IF(AN112&gt;5,"Perlu Sensus",IF(AND(AN112&gt;=0,AL112&gt;0),"Tetap Deteksi","Belum Deteksi"))</f>
        <v>Belum Deteksi</v>
      </c>
      <c r="AP112" s="143"/>
      <c r="AQ112" s="9">
        <f t="shared" si="20"/>
        <v>0</v>
      </c>
    </row>
    <row r="113" spans="1:43" outlineLevel="1" x14ac:dyDescent="0.15">
      <c r="A113" s="8" t="s">
        <v>1273</v>
      </c>
      <c r="B113" s="8" t="s">
        <v>14</v>
      </c>
      <c r="C113" s="8" t="s">
        <v>107</v>
      </c>
      <c r="D113" s="186" t="s">
        <v>1376</v>
      </c>
      <c r="E113" s="9">
        <v>30.4</v>
      </c>
      <c r="F113" s="8" t="s">
        <v>1740</v>
      </c>
      <c r="G113" s="10">
        <v>4271</v>
      </c>
      <c r="H113" s="11">
        <f t="array" ref="H113">IF(OR(N113&gt;0,AC113&gt;0),MAX(N113,AC113),MAX(AK113,V113))</f>
        <v>46249</v>
      </c>
      <c r="I113" s="143">
        <f t="array" ref="I113">IF(SUM(O113,AD113)&gt;0,SUM(O113,AD113),SUM(AL113,W113))</f>
        <v>120</v>
      </c>
      <c r="J113" s="9">
        <f t="shared" si="11"/>
        <v>2.8096464528213532</v>
      </c>
      <c r="K113" s="143">
        <f t="shared" si="21"/>
        <v>2</v>
      </c>
      <c r="L113" s="9">
        <f t="shared" si="12"/>
        <v>1.6666666666666667</v>
      </c>
      <c r="M113" s="8" t="str">
        <f t="array" ref="M113">IF(L113&gt;5,"Perlu Sensus",IF(AND(L113&gt;=0,I113&gt;0),"Tetap Deteksi","Belum Deteksi"))</f>
        <v>Tetap Deteksi</v>
      </c>
      <c r="N113" s="132">
        <v>46249</v>
      </c>
      <c r="O113" s="143">
        <f t="array" ref="O113">INDEX([28]Sheet1!$H$24:$H$231,MATCH(1,([28]Sheet1!$E$24:$E$231=$D113)*([28]Sheet1!$E$24:$E$231=$D113),0))</f>
        <v>120</v>
      </c>
      <c r="P113" s="9">
        <f t="array" ref="P113">IFERROR(O113/$G113*100,0)</f>
        <v>2.8096464528213532</v>
      </c>
      <c r="Q113" s="143">
        <f t="array" ref="Q113">INDEX([28]Sheet1!$J$24:$J$231,MATCH(1,([28]Sheet1!$E$24:$E$231=$D113)*([28]Sheet1!$E$24:$E$231=$D113),0))</f>
        <v>2</v>
      </c>
      <c r="R113" s="9">
        <f t="shared" si="13"/>
        <v>1.6666666666666667</v>
      </c>
      <c r="S113" s="8" t="str">
        <f t="array" ref="S113">IF(R113&gt;5,"Perlu Sensus",IF(AND(R113&gt;=0,O113&gt;0),"Tetap Deteksi","Belum Deteksi"))</f>
        <v>Tetap Deteksi</v>
      </c>
      <c r="T113" s="143"/>
      <c r="U113" s="9">
        <f t="shared" si="14"/>
        <v>0</v>
      </c>
      <c r="V113" s="11"/>
      <c r="W113" s="143"/>
      <c r="X113" s="143"/>
      <c r="Y113" s="9">
        <f t="shared" si="15"/>
        <v>0</v>
      </c>
      <c r="Z113" s="8" t="str">
        <f t="array" ref="Z113">IF(Y113&gt;5,"Perlu Sensus",IF(AND(Y113&gt;=0,W113&gt;0),"Tetap Deteksi","Belum Deteksi"))</f>
        <v>Belum Deteksi</v>
      </c>
      <c r="AA113" s="143"/>
      <c r="AB113" s="9">
        <f t="shared" si="16"/>
        <v>0</v>
      </c>
      <c r="AC113" s="11"/>
      <c r="AD113" s="143"/>
      <c r="AE113" s="9">
        <f t="array" ref="AE113">IFERROR(AD113/$G113*100,0)</f>
        <v>0</v>
      </c>
      <c r="AF113" s="143"/>
      <c r="AG113" s="9">
        <f t="shared" si="17"/>
        <v>0</v>
      </c>
      <c r="AH113" s="8" t="str">
        <f t="array" ref="AH113">IF(AG113&gt;5,"Perlu Sensus",IF(AND(AG113&gt;=0,AD113&gt;0),"Tetap Deteksi","Belum Deteksi"))</f>
        <v>Belum Deteksi</v>
      </c>
      <c r="AI113" s="143"/>
      <c r="AJ113" s="9">
        <f t="shared" si="18"/>
        <v>0</v>
      </c>
      <c r="AK113" s="11"/>
      <c r="AL113" s="143"/>
      <c r="AM113" s="143"/>
      <c r="AN113" s="9">
        <f t="shared" si="19"/>
        <v>0</v>
      </c>
      <c r="AO113" s="8" t="str">
        <f t="array" ref="AO113">IF(AN113&gt;5,"Perlu Sensus",IF(AND(AN113&gt;=0,AL113&gt;0),"Tetap Deteksi","Belum Deteksi"))</f>
        <v>Belum Deteksi</v>
      </c>
      <c r="AP113" s="143"/>
      <c r="AQ113" s="9">
        <f t="shared" si="20"/>
        <v>0</v>
      </c>
    </row>
    <row r="114" spans="1:43" outlineLevel="1" x14ac:dyDescent="0.15">
      <c r="A114" s="8" t="s">
        <v>1273</v>
      </c>
      <c r="B114" s="8" t="s">
        <v>14</v>
      </c>
      <c r="C114" s="8" t="s">
        <v>107</v>
      </c>
      <c r="D114" s="186" t="s">
        <v>1377</v>
      </c>
      <c r="E114" s="9">
        <v>27.18</v>
      </c>
      <c r="F114" s="8" t="s">
        <v>1740</v>
      </c>
      <c r="G114" s="10">
        <v>3768</v>
      </c>
      <c r="H114" s="11">
        <f t="array" ref="H114">IF(OR(N114&gt;0,AC114&gt;0),MAX(N114,AC114),MAX(AK114,V114))</f>
        <v>46249</v>
      </c>
      <c r="I114" s="143">
        <f t="array" ref="I114">IF(SUM(O114,AD114)&gt;0,SUM(O114,AD114),SUM(AL114,W114))</f>
        <v>181</v>
      </c>
      <c r="J114" s="9">
        <f t="shared" si="11"/>
        <v>4.8036093418259025</v>
      </c>
      <c r="K114" s="143">
        <f t="shared" si="21"/>
        <v>3</v>
      </c>
      <c r="L114" s="9">
        <f t="shared" si="12"/>
        <v>1.6574585635359116</v>
      </c>
      <c r="M114" s="8" t="str">
        <f t="array" ref="M114">IF(L114&gt;5,"Perlu Sensus",IF(AND(L114&gt;=0,I114&gt;0),"Tetap Deteksi","Belum Deteksi"))</f>
        <v>Tetap Deteksi</v>
      </c>
      <c r="N114" s="132">
        <v>46249</v>
      </c>
      <c r="O114" s="143">
        <f t="array" ref="O114">INDEX([28]Sheet1!$H$24:$H$231,MATCH(1,([28]Sheet1!$E$24:$E$231=$D114)*([28]Sheet1!$E$24:$E$231=$D114),0))</f>
        <v>181</v>
      </c>
      <c r="P114" s="9">
        <f t="array" ref="P114">IFERROR(O114/$G114*100,0)</f>
        <v>4.8036093418259025</v>
      </c>
      <c r="Q114" s="143">
        <f t="array" ref="Q114">INDEX([28]Sheet1!$J$24:$J$231,MATCH(1,([28]Sheet1!$E$24:$E$231=$D114)*([28]Sheet1!$E$24:$E$231=$D114),0))</f>
        <v>3</v>
      </c>
      <c r="R114" s="9">
        <f t="shared" si="13"/>
        <v>1.6574585635359116</v>
      </c>
      <c r="S114" s="8" t="str">
        <f t="array" ref="S114">IF(R114&gt;5,"Perlu Sensus",IF(AND(R114&gt;=0,O114&gt;0),"Tetap Deteksi","Belum Deteksi"))</f>
        <v>Tetap Deteksi</v>
      </c>
      <c r="T114" s="143"/>
      <c r="U114" s="9">
        <f t="shared" si="14"/>
        <v>0</v>
      </c>
      <c r="V114" s="11"/>
      <c r="W114" s="143"/>
      <c r="X114" s="143"/>
      <c r="Y114" s="9">
        <f t="shared" si="15"/>
        <v>0</v>
      </c>
      <c r="Z114" s="8" t="str">
        <f t="array" ref="Z114">IF(Y114&gt;5,"Perlu Sensus",IF(AND(Y114&gt;=0,W114&gt;0),"Tetap Deteksi","Belum Deteksi"))</f>
        <v>Belum Deteksi</v>
      </c>
      <c r="AA114" s="143"/>
      <c r="AB114" s="9">
        <f t="shared" si="16"/>
        <v>0</v>
      </c>
      <c r="AC114" s="11"/>
      <c r="AD114" s="143"/>
      <c r="AE114" s="9">
        <f t="array" ref="AE114">IFERROR(AD114/$G114*100,0)</f>
        <v>0</v>
      </c>
      <c r="AF114" s="143"/>
      <c r="AG114" s="9">
        <f t="shared" si="17"/>
        <v>0</v>
      </c>
      <c r="AH114" s="8" t="str">
        <f t="array" ref="AH114">IF(AG114&gt;5,"Perlu Sensus",IF(AND(AG114&gt;=0,AD114&gt;0),"Tetap Deteksi","Belum Deteksi"))</f>
        <v>Belum Deteksi</v>
      </c>
      <c r="AI114" s="143"/>
      <c r="AJ114" s="9">
        <f t="shared" si="18"/>
        <v>0</v>
      </c>
      <c r="AK114" s="11"/>
      <c r="AL114" s="143"/>
      <c r="AM114" s="143"/>
      <c r="AN114" s="9">
        <f t="shared" si="19"/>
        <v>0</v>
      </c>
      <c r="AO114" s="8" t="str">
        <f t="array" ref="AO114">IF(AN114&gt;5,"Perlu Sensus",IF(AND(AN114&gt;=0,AL114&gt;0),"Tetap Deteksi","Belum Deteksi"))</f>
        <v>Belum Deteksi</v>
      </c>
      <c r="AP114" s="143"/>
      <c r="AQ114" s="9">
        <f t="shared" si="20"/>
        <v>0</v>
      </c>
    </row>
    <row r="115" spans="1:43" outlineLevel="1" x14ac:dyDescent="0.15">
      <c r="A115" s="8" t="s">
        <v>1273</v>
      </c>
      <c r="B115" s="8" t="s">
        <v>14</v>
      </c>
      <c r="C115" s="8" t="s">
        <v>107</v>
      </c>
      <c r="D115" s="186" t="s">
        <v>1378</v>
      </c>
      <c r="E115" s="9">
        <v>28.37</v>
      </c>
      <c r="F115" s="8" t="s">
        <v>1740</v>
      </c>
      <c r="G115" s="10">
        <v>3690</v>
      </c>
      <c r="H115" s="11">
        <f t="array" ref="H115">IF(OR(N115&gt;0,AC115&gt;0),MAX(N115,AC115),MAX(AK115,V115))</f>
        <v>46249</v>
      </c>
      <c r="I115" s="143">
        <f t="array" ref="I115">IF(SUM(O115,AD115)&gt;0,SUM(O115,AD115),SUM(AL115,W115))</f>
        <v>104</v>
      </c>
      <c r="J115" s="9">
        <f t="shared" si="11"/>
        <v>2.8184281842818426</v>
      </c>
      <c r="K115" s="143">
        <f t="shared" si="21"/>
        <v>2</v>
      </c>
      <c r="L115" s="9">
        <f t="shared" si="12"/>
        <v>1.9230769230769231</v>
      </c>
      <c r="M115" s="8" t="str">
        <f t="array" ref="M115">IF(L115&gt;5,"Perlu Sensus",IF(AND(L115&gt;=0,I115&gt;0),"Tetap Deteksi","Belum Deteksi"))</f>
        <v>Tetap Deteksi</v>
      </c>
      <c r="N115" s="132">
        <v>46249</v>
      </c>
      <c r="O115" s="143">
        <f t="array" ref="O115">INDEX([28]Sheet1!$H$24:$H$231,MATCH(1,([28]Sheet1!$E$24:$E$231=$D115)*([28]Sheet1!$E$24:$E$231=$D115),0))</f>
        <v>104</v>
      </c>
      <c r="P115" s="9">
        <f t="array" ref="P115">IFERROR(O115/$G115*100,0)</f>
        <v>2.8184281842818426</v>
      </c>
      <c r="Q115" s="143">
        <f t="array" ref="Q115">INDEX([28]Sheet1!$J$24:$J$231,MATCH(1,([28]Sheet1!$E$24:$E$231=$D115)*([28]Sheet1!$E$24:$E$231=$D115),0))</f>
        <v>2</v>
      </c>
      <c r="R115" s="9">
        <f t="shared" si="13"/>
        <v>1.9230769230769231</v>
      </c>
      <c r="S115" s="8" t="str">
        <f t="array" ref="S115">IF(R115&gt;5,"Perlu Sensus",IF(AND(R115&gt;=0,O115&gt;0),"Tetap Deteksi","Belum Deteksi"))</f>
        <v>Tetap Deteksi</v>
      </c>
      <c r="T115" s="143"/>
      <c r="U115" s="9">
        <f t="shared" si="14"/>
        <v>0</v>
      </c>
      <c r="V115" s="11"/>
      <c r="W115" s="143"/>
      <c r="X115" s="143"/>
      <c r="Y115" s="9">
        <f t="shared" si="15"/>
        <v>0</v>
      </c>
      <c r="Z115" s="8" t="str">
        <f t="array" ref="Z115">IF(Y115&gt;5,"Perlu Sensus",IF(AND(Y115&gt;=0,W115&gt;0),"Tetap Deteksi","Belum Deteksi"))</f>
        <v>Belum Deteksi</v>
      </c>
      <c r="AA115" s="143"/>
      <c r="AB115" s="9">
        <f t="shared" si="16"/>
        <v>0</v>
      </c>
      <c r="AC115" s="11"/>
      <c r="AD115" s="143"/>
      <c r="AE115" s="9">
        <f t="array" ref="AE115">IFERROR(AD115/$G115*100,0)</f>
        <v>0</v>
      </c>
      <c r="AF115" s="143"/>
      <c r="AG115" s="9">
        <f t="shared" si="17"/>
        <v>0</v>
      </c>
      <c r="AH115" s="8" t="str">
        <f t="array" ref="AH115">IF(AG115&gt;5,"Perlu Sensus",IF(AND(AG115&gt;=0,AD115&gt;0),"Tetap Deteksi","Belum Deteksi"))</f>
        <v>Belum Deteksi</v>
      </c>
      <c r="AI115" s="143"/>
      <c r="AJ115" s="9">
        <f t="shared" si="18"/>
        <v>0</v>
      </c>
      <c r="AK115" s="11"/>
      <c r="AL115" s="143"/>
      <c r="AM115" s="143"/>
      <c r="AN115" s="9">
        <f t="shared" si="19"/>
        <v>0</v>
      </c>
      <c r="AO115" s="8" t="str">
        <f t="array" ref="AO115">IF(AN115&gt;5,"Perlu Sensus",IF(AND(AN115&gt;=0,AL115&gt;0),"Tetap Deteksi","Belum Deteksi"))</f>
        <v>Belum Deteksi</v>
      </c>
      <c r="AP115" s="143"/>
      <c r="AQ115" s="9">
        <f t="shared" si="20"/>
        <v>0</v>
      </c>
    </row>
    <row r="116" spans="1:43" outlineLevel="1" x14ac:dyDescent="0.15">
      <c r="A116" s="8" t="s">
        <v>1273</v>
      </c>
      <c r="B116" s="8" t="s">
        <v>14</v>
      </c>
      <c r="C116" s="8" t="s">
        <v>107</v>
      </c>
      <c r="D116" s="186" t="s">
        <v>1379</v>
      </c>
      <c r="E116" s="9">
        <v>28.18</v>
      </c>
      <c r="F116" s="8" t="s">
        <v>1740</v>
      </c>
      <c r="G116" s="10">
        <v>3692</v>
      </c>
      <c r="H116" s="11">
        <f t="array" ref="H116">IF(OR(N116&gt;0,AC116&gt;0),MAX(N116,AC116),MAX(AK116,V116))</f>
        <v>46249</v>
      </c>
      <c r="I116" s="143">
        <f t="array" ref="I116">IF(SUM(O116,AD116)&gt;0,SUM(O116,AD116),SUM(AL116,W116))</f>
        <v>103</v>
      </c>
      <c r="J116" s="9">
        <f t="shared" si="11"/>
        <v>2.7898158179848318</v>
      </c>
      <c r="K116" s="143">
        <f t="shared" si="21"/>
        <v>1</v>
      </c>
      <c r="L116" s="9">
        <f t="shared" si="12"/>
        <v>0.97087378640776689</v>
      </c>
      <c r="M116" s="8" t="str">
        <f t="array" ref="M116">IF(L116&gt;5,"Perlu Sensus",IF(AND(L116&gt;=0,I116&gt;0),"Tetap Deteksi","Belum Deteksi"))</f>
        <v>Tetap Deteksi</v>
      </c>
      <c r="N116" s="132">
        <v>46249</v>
      </c>
      <c r="O116" s="143">
        <f t="array" ref="O116">INDEX([28]Sheet1!$H$24:$H$231,MATCH(1,([28]Sheet1!$E$24:$E$231=$D116)*([28]Sheet1!$E$24:$E$231=$D116),0))</f>
        <v>103</v>
      </c>
      <c r="P116" s="9">
        <f t="array" ref="P116">IFERROR(O116/$G116*100,0)</f>
        <v>2.7898158179848318</v>
      </c>
      <c r="Q116" s="143">
        <f t="array" ref="Q116">INDEX([28]Sheet1!$J$24:$J$231,MATCH(1,([28]Sheet1!$E$24:$E$231=$D116)*([28]Sheet1!$E$24:$E$231=$D116),0))</f>
        <v>1</v>
      </c>
      <c r="R116" s="9">
        <f t="shared" si="13"/>
        <v>0.97087378640776689</v>
      </c>
      <c r="S116" s="8" t="str">
        <f t="array" ref="S116">IF(R116&gt;5,"Perlu Sensus",IF(AND(R116&gt;=0,O116&gt;0),"Tetap Deteksi","Belum Deteksi"))</f>
        <v>Tetap Deteksi</v>
      </c>
      <c r="T116" s="143"/>
      <c r="U116" s="9">
        <f t="shared" si="14"/>
        <v>0</v>
      </c>
      <c r="V116" s="11"/>
      <c r="W116" s="143"/>
      <c r="X116" s="143"/>
      <c r="Y116" s="9">
        <f t="shared" si="15"/>
        <v>0</v>
      </c>
      <c r="Z116" s="8" t="str">
        <f t="array" ref="Z116">IF(Y116&gt;5,"Perlu Sensus",IF(AND(Y116&gt;=0,W116&gt;0),"Tetap Deteksi","Belum Deteksi"))</f>
        <v>Belum Deteksi</v>
      </c>
      <c r="AA116" s="143"/>
      <c r="AB116" s="9">
        <f t="shared" si="16"/>
        <v>0</v>
      </c>
      <c r="AC116" s="11"/>
      <c r="AD116" s="143"/>
      <c r="AE116" s="9">
        <f t="array" ref="AE116">IFERROR(AD116/$G116*100,0)</f>
        <v>0</v>
      </c>
      <c r="AF116" s="143"/>
      <c r="AG116" s="9">
        <f t="shared" si="17"/>
        <v>0</v>
      </c>
      <c r="AH116" s="8" t="str">
        <f t="array" ref="AH116">IF(AG116&gt;5,"Perlu Sensus",IF(AND(AG116&gt;=0,AD116&gt;0),"Tetap Deteksi","Belum Deteksi"))</f>
        <v>Belum Deteksi</v>
      </c>
      <c r="AI116" s="143"/>
      <c r="AJ116" s="9">
        <f t="shared" si="18"/>
        <v>0</v>
      </c>
      <c r="AK116" s="11"/>
      <c r="AL116" s="143"/>
      <c r="AM116" s="143"/>
      <c r="AN116" s="9">
        <f t="shared" si="19"/>
        <v>0</v>
      </c>
      <c r="AO116" s="8" t="str">
        <f t="array" ref="AO116">IF(AN116&gt;5,"Perlu Sensus",IF(AND(AN116&gt;=0,AL116&gt;0),"Tetap Deteksi","Belum Deteksi"))</f>
        <v>Belum Deteksi</v>
      </c>
      <c r="AP116" s="143"/>
      <c r="AQ116" s="9">
        <f t="shared" si="20"/>
        <v>0</v>
      </c>
    </row>
    <row r="117" spans="1:43" outlineLevel="1" x14ac:dyDescent="0.15">
      <c r="A117" s="8" t="s">
        <v>1273</v>
      </c>
      <c r="B117" s="8" t="s">
        <v>14</v>
      </c>
      <c r="C117" s="8" t="s">
        <v>107</v>
      </c>
      <c r="D117" s="186" t="s">
        <v>1380</v>
      </c>
      <c r="E117" s="9">
        <v>29.61</v>
      </c>
      <c r="F117" s="8" t="s">
        <v>1740</v>
      </c>
      <c r="G117" s="10">
        <v>3945</v>
      </c>
      <c r="H117" s="11">
        <f t="array" ref="H117">IF(OR(N117&gt;0,AC117&gt;0),MAX(N117,AC117),MAX(AK117,V117))</f>
        <v>46249</v>
      </c>
      <c r="I117" s="143">
        <f t="array" ref="I117">IF(SUM(O117,AD117)&gt;0,SUM(O117,AD117),SUM(AL117,W117))</f>
        <v>104</v>
      </c>
      <c r="J117" s="9">
        <f t="shared" si="11"/>
        <v>2.6362484157160964</v>
      </c>
      <c r="K117" s="143">
        <f t="shared" si="21"/>
        <v>2</v>
      </c>
      <c r="L117" s="9">
        <f t="shared" si="12"/>
        <v>1.9230769230769231</v>
      </c>
      <c r="M117" s="8" t="str">
        <f t="array" ref="M117">IF(L117&gt;5,"Perlu Sensus",IF(AND(L117&gt;=0,I117&gt;0),"Tetap Deteksi","Belum Deteksi"))</f>
        <v>Tetap Deteksi</v>
      </c>
      <c r="N117" s="132">
        <v>46249</v>
      </c>
      <c r="O117" s="143">
        <f t="array" ref="O117">INDEX([28]Sheet1!$H$24:$H$231,MATCH(1,([28]Sheet1!$E$24:$E$231=$D117)*([28]Sheet1!$E$24:$E$231=$D117),0))</f>
        <v>104</v>
      </c>
      <c r="P117" s="9">
        <f t="array" ref="P117">IFERROR(O117/$G117*100,0)</f>
        <v>2.6362484157160964</v>
      </c>
      <c r="Q117" s="143">
        <f t="array" ref="Q117">INDEX([28]Sheet1!$J$24:$J$231,MATCH(1,([28]Sheet1!$E$24:$E$231=$D117)*([28]Sheet1!$E$24:$E$231=$D117),0))</f>
        <v>2</v>
      </c>
      <c r="R117" s="9">
        <f t="shared" si="13"/>
        <v>1.9230769230769231</v>
      </c>
      <c r="S117" s="8" t="str">
        <f t="array" ref="S117">IF(R117&gt;5,"Perlu Sensus",IF(AND(R117&gt;=0,O117&gt;0),"Tetap Deteksi","Belum Deteksi"))</f>
        <v>Tetap Deteksi</v>
      </c>
      <c r="T117" s="143"/>
      <c r="U117" s="9">
        <f t="shared" si="14"/>
        <v>0</v>
      </c>
      <c r="V117" s="11"/>
      <c r="W117" s="143"/>
      <c r="X117" s="143"/>
      <c r="Y117" s="9">
        <f t="shared" si="15"/>
        <v>0</v>
      </c>
      <c r="Z117" s="8" t="str">
        <f t="array" ref="Z117">IF(Y117&gt;5,"Perlu Sensus",IF(AND(Y117&gt;=0,W117&gt;0),"Tetap Deteksi","Belum Deteksi"))</f>
        <v>Belum Deteksi</v>
      </c>
      <c r="AA117" s="143"/>
      <c r="AB117" s="9">
        <f t="shared" si="16"/>
        <v>0</v>
      </c>
      <c r="AC117" s="11"/>
      <c r="AD117" s="143"/>
      <c r="AE117" s="9">
        <f t="array" ref="AE117">IFERROR(AD117/$G117*100,0)</f>
        <v>0</v>
      </c>
      <c r="AF117" s="143"/>
      <c r="AG117" s="9">
        <f t="shared" si="17"/>
        <v>0</v>
      </c>
      <c r="AH117" s="8" t="str">
        <f t="array" ref="AH117">IF(AG117&gt;5,"Perlu Sensus",IF(AND(AG117&gt;=0,AD117&gt;0),"Tetap Deteksi","Belum Deteksi"))</f>
        <v>Belum Deteksi</v>
      </c>
      <c r="AI117" s="143"/>
      <c r="AJ117" s="9">
        <f t="shared" si="18"/>
        <v>0</v>
      </c>
      <c r="AK117" s="11"/>
      <c r="AL117" s="143"/>
      <c r="AM117" s="143"/>
      <c r="AN117" s="9">
        <f t="shared" si="19"/>
        <v>0</v>
      </c>
      <c r="AO117" s="8" t="str">
        <f t="array" ref="AO117">IF(AN117&gt;5,"Perlu Sensus",IF(AND(AN117&gt;=0,AL117&gt;0),"Tetap Deteksi","Belum Deteksi"))</f>
        <v>Belum Deteksi</v>
      </c>
      <c r="AP117" s="143"/>
      <c r="AQ117" s="9">
        <f t="shared" si="20"/>
        <v>0</v>
      </c>
    </row>
    <row r="118" spans="1:43" outlineLevel="1" x14ac:dyDescent="0.15">
      <c r="A118" s="8" t="s">
        <v>1273</v>
      </c>
      <c r="B118" s="8" t="s">
        <v>14</v>
      </c>
      <c r="C118" s="8" t="s">
        <v>107</v>
      </c>
      <c r="D118" s="186" t="s">
        <v>1381</v>
      </c>
      <c r="E118" s="9">
        <v>25.09</v>
      </c>
      <c r="F118" s="8" t="s">
        <v>1740</v>
      </c>
      <c r="G118" s="10">
        <v>2955</v>
      </c>
      <c r="H118" s="11">
        <f t="array" ref="H118">IF(OR(N118&gt;0,AC118&gt;0),MAX(N118,AC118),MAX(AK118,V118))</f>
        <v>46249</v>
      </c>
      <c r="I118" s="143">
        <f t="array" ref="I118">IF(SUM(O118,AD118)&gt;0,SUM(O118,AD118),SUM(AL118,W118))</f>
        <v>90</v>
      </c>
      <c r="J118" s="9">
        <f t="shared" si="11"/>
        <v>3.0456852791878175</v>
      </c>
      <c r="K118" s="143">
        <f t="shared" si="21"/>
        <v>1</v>
      </c>
      <c r="L118" s="9">
        <f t="shared" si="12"/>
        <v>1.1111111111111112</v>
      </c>
      <c r="M118" s="8" t="str">
        <f t="array" ref="M118">IF(L118&gt;5,"Perlu Sensus",IF(AND(L118&gt;=0,I118&gt;0),"Tetap Deteksi","Belum Deteksi"))</f>
        <v>Tetap Deteksi</v>
      </c>
      <c r="N118" s="132">
        <v>46249</v>
      </c>
      <c r="O118" s="143">
        <f t="array" ref="O118">INDEX([28]Sheet1!$H$24:$H$231,MATCH(1,([28]Sheet1!$E$24:$E$231=$D118)*([28]Sheet1!$E$24:$E$231=$D118),0))</f>
        <v>90</v>
      </c>
      <c r="P118" s="9">
        <f t="array" ref="P118">IFERROR(O118/$G118*100,0)</f>
        <v>3.0456852791878175</v>
      </c>
      <c r="Q118" s="143">
        <f t="array" ref="Q118">INDEX([28]Sheet1!$J$24:$J$231,MATCH(1,([28]Sheet1!$E$24:$E$231=$D118)*([28]Sheet1!$E$24:$E$231=$D118),0))</f>
        <v>1</v>
      </c>
      <c r="R118" s="9">
        <f t="shared" si="13"/>
        <v>1.1111111111111112</v>
      </c>
      <c r="S118" s="8" t="str">
        <f t="array" ref="S118">IF(R118&gt;5,"Perlu Sensus",IF(AND(R118&gt;=0,O118&gt;0),"Tetap Deteksi","Belum Deteksi"))</f>
        <v>Tetap Deteksi</v>
      </c>
      <c r="T118" s="143"/>
      <c r="U118" s="9">
        <f t="shared" si="14"/>
        <v>0</v>
      </c>
      <c r="V118" s="11"/>
      <c r="W118" s="143"/>
      <c r="X118" s="143"/>
      <c r="Y118" s="9">
        <f t="shared" si="15"/>
        <v>0</v>
      </c>
      <c r="Z118" s="8" t="str">
        <f t="array" ref="Z118">IF(Y118&gt;5,"Perlu Sensus",IF(AND(Y118&gt;=0,W118&gt;0),"Tetap Deteksi","Belum Deteksi"))</f>
        <v>Belum Deteksi</v>
      </c>
      <c r="AA118" s="143"/>
      <c r="AB118" s="9">
        <f t="shared" si="16"/>
        <v>0</v>
      </c>
      <c r="AC118" s="11"/>
      <c r="AD118" s="143"/>
      <c r="AE118" s="9">
        <f t="array" ref="AE118">IFERROR(AD118/$G118*100,0)</f>
        <v>0</v>
      </c>
      <c r="AF118" s="143"/>
      <c r="AG118" s="9">
        <f t="shared" si="17"/>
        <v>0</v>
      </c>
      <c r="AH118" s="8" t="str">
        <f t="array" ref="AH118">IF(AG118&gt;5,"Perlu Sensus",IF(AND(AG118&gt;=0,AD118&gt;0),"Tetap Deteksi","Belum Deteksi"))</f>
        <v>Belum Deteksi</v>
      </c>
      <c r="AI118" s="143"/>
      <c r="AJ118" s="9">
        <f t="shared" si="18"/>
        <v>0</v>
      </c>
      <c r="AK118" s="11"/>
      <c r="AL118" s="143"/>
      <c r="AM118" s="143"/>
      <c r="AN118" s="9">
        <f t="shared" si="19"/>
        <v>0</v>
      </c>
      <c r="AO118" s="8" t="str">
        <f t="array" ref="AO118">IF(AN118&gt;5,"Perlu Sensus",IF(AND(AN118&gt;=0,AL118&gt;0),"Tetap Deteksi","Belum Deteksi"))</f>
        <v>Belum Deteksi</v>
      </c>
      <c r="AP118" s="143"/>
      <c r="AQ118" s="9">
        <f t="shared" si="20"/>
        <v>0</v>
      </c>
    </row>
    <row r="119" spans="1:43" outlineLevel="1" x14ac:dyDescent="0.15">
      <c r="A119" s="8" t="s">
        <v>1273</v>
      </c>
      <c r="B119" s="8" t="s">
        <v>14</v>
      </c>
      <c r="C119" s="8" t="s">
        <v>107</v>
      </c>
      <c r="D119" s="186" t="s">
        <v>1382</v>
      </c>
      <c r="E119" s="9">
        <v>26.55</v>
      </c>
      <c r="F119" s="8" t="s">
        <v>1740</v>
      </c>
      <c r="G119" s="10">
        <v>3207</v>
      </c>
      <c r="H119" s="11">
        <f t="array" ref="H119">IF(OR(N119&gt;0,AC119&gt;0),MAX(N119,AC119),MAX(AK119,V119))</f>
        <v>46249</v>
      </c>
      <c r="I119" s="143">
        <f t="array" ref="I119">IF(SUM(O119,AD119)&gt;0,SUM(O119,AD119),SUM(AL119,W119))</f>
        <v>92</v>
      </c>
      <c r="J119" s="9">
        <f t="shared" si="11"/>
        <v>2.8687246647957592</v>
      </c>
      <c r="K119" s="143">
        <f t="shared" si="21"/>
        <v>1</v>
      </c>
      <c r="L119" s="9">
        <f t="shared" si="12"/>
        <v>1.0869565217391304</v>
      </c>
      <c r="M119" s="8" t="str">
        <f t="array" ref="M119">IF(L119&gt;5,"Perlu Sensus",IF(AND(L119&gt;=0,I119&gt;0),"Tetap Deteksi","Belum Deteksi"))</f>
        <v>Tetap Deteksi</v>
      </c>
      <c r="N119" s="132">
        <v>46249</v>
      </c>
      <c r="O119" s="143">
        <f t="array" ref="O119">INDEX([28]Sheet1!$H$24:$H$231,MATCH(1,([28]Sheet1!$E$24:$E$231=$D119)*([28]Sheet1!$E$24:$E$231=$D119),0))</f>
        <v>92</v>
      </c>
      <c r="P119" s="9">
        <f t="array" ref="P119">IFERROR(O119/$G119*100,0)</f>
        <v>2.8687246647957592</v>
      </c>
      <c r="Q119" s="143">
        <f t="array" ref="Q119">INDEX([28]Sheet1!$J$24:$J$231,MATCH(1,([28]Sheet1!$E$24:$E$231=$D119)*([28]Sheet1!$E$24:$E$231=$D119),0))</f>
        <v>1</v>
      </c>
      <c r="R119" s="9">
        <f t="shared" si="13"/>
        <v>1.0869565217391304</v>
      </c>
      <c r="S119" s="8" t="str">
        <f t="array" ref="S119">IF(R119&gt;5,"Perlu Sensus",IF(AND(R119&gt;=0,O119&gt;0),"Tetap Deteksi","Belum Deteksi"))</f>
        <v>Tetap Deteksi</v>
      </c>
      <c r="T119" s="143"/>
      <c r="U119" s="9">
        <f t="shared" si="14"/>
        <v>0</v>
      </c>
      <c r="V119" s="11"/>
      <c r="W119" s="143"/>
      <c r="X119" s="143"/>
      <c r="Y119" s="9">
        <f t="shared" si="15"/>
        <v>0</v>
      </c>
      <c r="Z119" s="8" t="str">
        <f t="array" ref="Z119">IF(Y119&gt;5,"Perlu Sensus",IF(AND(Y119&gt;=0,W119&gt;0),"Tetap Deteksi","Belum Deteksi"))</f>
        <v>Belum Deteksi</v>
      </c>
      <c r="AA119" s="143"/>
      <c r="AB119" s="9">
        <f t="shared" si="16"/>
        <v>0</v>
      </c>
      <c r="AC119" s="11"/>
      <c r="AD119" s="143"/>
      <c r="AE119" s="9">
        <f t="array" ref="AE119">IFERROR(AD119/$G119*100,0)</f>
        <v>0</v>
      </c>
      <c r="AF119" s="143"/>
      <c r="AG119" s="9">
        <f t="shared" si="17"/>
        <v>0</v>
      </c>
      <c r="AH119" s="8" t="str">
        <f t="array" ref="AH119">IF(AG119&gt;5,"Perlu Sensus",IF(AND(AG119&gt;=0,AD119&gt;0),"Tetap Deteksi","Belum Deteksi"))</f>
        <v>Belum Deteksi</v>
      </c>
      <c r="AI119" s="143"/>
      <c r="AJ119" s="9">
        <f t="shared" si="18"/>
        <v>0</v>
      </c>
      <c r="AK119" s="11"/>
      <c r="AL119" s="143"/>
      <c r="AM119" s="143"/>
      <c r="AN119" s="9">
        <f t="shared" si="19"/>
        <v>0</v>
      </c>
      <c r="AO119" s="8" t="str">
        <f t="array" ref="AO119">IF(AN119&gt;5,"Perlu Sensus",IF(AND(AN119&gt;=0,AL119&gt;0),"Tetap Deteksi","Belum Deteksi"))</f>
        <v>Belum Deteksi</v>
      </c>
      <c r="AP119" s="143"/>
      <c r="AQ119" s="9">
        <f t="shared" si="20"/>
        <v>0</v>
      </c>
    </row>
    <row r="120" spans="1:43" outlineLevel="1" x14ac:dyDescent="0.15">
      <c r="A120" s="8" t="s">
        <v>1273</v>
      </c>
      <c r="B120" s="8" t="s">
        <v>14</v>
      </c>
      <c r="C120" s="8" t="s">
        <v>107</v>
      </c>
      <c r="D120" s="186" t="s">
        <v>1383</v>
      </c>
      <c r="E120" s="9">
        <v>28.38</v>
      </c>
      <c r="F120" s="8" t="s">
        <v>1740</v>
      </c>
      <c r="G120" s="10">
        <v>3523</v>
      </c>
      <c r="H120" s="11">
        <f t="array" ref="H120">IF(OR(N120&gt;0,AC120&gt;0),MAX(N120,AC120),MAX(AK120,V120))</f>
        <v>46249</v>
      </c>
      <c r="I120" s="143">
        <f t="array" ref="I120">IF(SUM(O120,AD120)&gt;0,SUM(O120,AD120),SUM(AL120,W120))</f>
        <v>152</v>
      </c>
      <c r="J120" s="9">
        <f t="shared" si="11"/>
        <v>4.3145046835083738</v>
      </c>
      <c r="K120" s="143">
        <f t="shared" si="21"/>
        <v>3</v>
      </c>
      <c r="L120" s="9">
        <f t="shared" si="12"/>
        <v>1.9736842105263157</v>
      </c>
      <c r="M120" s="8" t="str">
        <f t="array" ref="M120">IF(L120&gt;5,"Perlu Sensus",IF(AND(L120&gt;=0,I120&gt;0),"Tetap Deteksi","Belum Deteksi"))</f>
        <v>Tetap Deteksi</v>
      </c>
      <c r="N120" s="132">
        <v>46249</v>
      </c>
      <c r="O120" s="143">
        <f t="array" ref="O120">INDEX([28]Sheet1!$H$24:$H$231,MATCH(1,([28]Sheet1!$E$24:$E$231=$D120)*([28]Sheet1!$E$24:$E$231=$D120),0))</f>
        <v>152</v>
      </c>
      <c r="P120" s="9">
        <f t="array" ref="P120">IFERROR(O120/$G120*100,0)</f>
        <v>4.3145046835083738</v>
      </c>
      <c r="Q120" s="143">
        <f t="array" ref="Q120">INDEX([28]Sheet1!$J$24:$J$231,MATCH(1,([28]Sheet1!$E$24:$E$231=$D120)*([28]Sheet1!$E$24:$E$231=$D120),0))</f>
        <v>3</v>
      </c>
      <c r="R120" s="9">
        <f t="shared" si="13"/>
        <v>1.9736842105263157</v>
      </c>
      <c r="S120" s="8" t="str">
        <f t="array" ref="S120">IF(R120&gt;5,"Perlu Sensus",IF(AND(R120&gt;=0,O120&gt;0),"Tetap Deteksi","Belum Deteksi"))</f>
        <v>Tetap Deteksi</v>
      </c>
      <c r="T120" s="143"/>
      <c r="U120" s="9">
        <f t="shared" si="14"/>
        <v>0</v>
      </c>
      <c r="V120" s="11"/>
      <c r="W120" s="143"/>
      <c r="X120" s="143"/>
      <c r="Y120" s="9">
        <f t="shared" si="15"/>
        <v>0</v>
      </c>
      <c r="Z120" s="8" t="str">
        <f t="array" ref="Z120">IF(Y120&gt;5,"Perlu Sensus",IF(AND(Y120&gt;=0,W120&gt;0),"Tetap Deteksi","Belum Deteksi"))</f>
        <v>Belum Deteksi</v>
      </c>
      <c r="AA120" s="143"/>
      <c r="AB120" s="9">
        <f t="shared" si="16"/>
        <v>0</v>
      </c>
      <c r="AC120" s="11"/>
      <c r="AD120" s="143"/>
      <c r="AE120" s="9">
        <f t="array" ref="AE120">IFERROR(AD120/$G120*100,0)</f>
        <v>0</v>
      </c>
      <c r="AF120" s="143"/>
      <c r="AG120" s="9">
        <f t="shared" si="17"/>
        <v>0</v>
      </c>
      <c r="AH120" s="8" t="str">
        <f t="array" ref="AH120">IF(AG120&gt;5,"Perlu Sensus",IF(AND(AG120&gt;=0,AD120&gt;0),"Tetap Deteksi","Belum Deteksi"))</f>
        <v>Belum Deteksi</v>
      </c>
      <c r="AI120" s="143"/>
      <c r="AJ120" s="9">
        <f t="shared" si="18"/>
        <v>0</v>
      </c>
      <c r="AK120" s="11"/>
      <c r="AL120" s="143"/>
      <c r="AM120" s="143"/>
      <c r="AN120" s="9">
        <f t="shared" si="19"/>
        <v>0</v>
      </c>
      <c r="AO120" s="8" t="str">
        <f t="array" ref="AO120">IF(AN120&gt;5,"Perlu Sensus",IF(AND(AN120&gt;=0,AL120&gt;0),"Tetap Deteksi","Belum Deteksi"))</f>
        <v>Belum Deteksi</v>
      </c>
      <c r="AP120" s="143"/>
      <c r="AQ120" s="9">
        <f t="shared" si="20"/>
        <v>0</v>
      </c>
    </row>
    <row r="121" spans="1:43" outlineLevel="1" x14ac:dyDescent="0.15">
      <c r="A121" s="8" t="s">
        <v>1273</v>
      </c>
      <c r="B121" s="8" t="s">
        <v>14</v>
      </c>
      <c r="C121" s="8" t="s">
        <v>107</v>
      </c>
      <c r="D121" s="186" t="s">
        <v>1384</v>
      </c>
      <c r="E121" s="9">
        <v>29.96</v>
      </c>
      <c r="F121" s="8" t="s">
        <v>1740</v>
      </c>
      <c r="G121" s="10">
        <v>3983</v>
      </c>
      <c r="H121" s="11">
        <f t="array" ref="H121">IF(OR(N121&gt;0,AC121&gt;0),MAX(N121,AC121),MAX(AK121,V121))</f>
        <v>46249</v>
      </c>
      <c r="I121" s="143">
        <f t="array" ref="I121">IF(SUM(O121,AD121)&gt;0,SUM(O121,AD121),SUM(AL121,W121))</f>
        <v>105</v>
      </c>
      <c r="J121" s="9">
        <f t="shared" si="11"/>
        <v>2.6362038664323375</v>
      </c>
      <c r="K121" s="143">
        <f t="shared" si="21"/>
        <v>2</v>
      </c>
      <c r="L121" s="9">
        <f t="shared" si="12"/>
        <v>1.9047619047619049</v>
      </c>
      <c r="M121" s="8" t="str">
        <f t="array" ref="M121">IF(L121&gt;5,"Perlu Sensus",IF(AND(L121&gt;=0,I121&gt;0),"Tetap Deteksi","Belum Deteksi"))</f>
        <v>Tetap Deteksi</v>
      </c>
      <c r="N121" s="132">
        <v>46249</v>
      </c>
      <c r="O121" s="143">
        <f t="array" ref="O121">INDEX([28]Sheet1!$H$24:$H$231,MATCH(1,([28]Sheet1!$E$24:$E$231=$D121)*([28]Sheet1!$E$24:$E$231=$D121),0))</f>
        <v>105</v>
      </c>
      <c r="P121" s="9">
        <f t="array" ref="P121">IFERROR(O121/$G121*100,0)</f>
        <v>2.6362038664323375</v>
      </c>
      <c r="Q121" s="143">
        <f t="array" ref="Q121">INDEX([28]Sheet1!$J$24:$J$231,MATCH(1,([28]Sheet1!$E$24:$E$231=$D121)*([28]Sheet1!$E$24:$E$231=$D121),0))</f>
        <v>2</v>
      </c>
      <c r="R121" s="9">
        <f t="shared" si="13"/>
        <v>1.9047619047619049</v>
      </c>
      <c r="S121" s="8" t="str">
        <f t="array" ref="S121">IF(R121&gt;5,"Perlu Sensus",IF(AND(R121&gt;=0,O121&gt;0),"Tetap Deteksi","Belum Deteksi"))</f>
        <v>Tetap Deteksi</v>
      </c>
      <c r="T121" s="143"/>
      <c r="U121" s="9">
        <f t="shared" si="14"/>
        <v>0</v>
      </c>
      <c r="V121" s="11"/>
      <c r="W121" s="143"/>
      <c r="X121" s="143"/>
      <c r="Y121" s="9">
        <f t="shared" si="15"/>
        <v>0</v>
      </c>
      <c r="Z121" s="8" t="str">
        <f t="array" ref="Z121">IF(Y121&gt;5,"Perlu Sensus",IF(AND(Y121&gt;=0,W121&gt;0),"Tetap Deteksi","Belum Deteksi"))</f>
        <v>Belum Deteksi</v>
      </c>
      <c r="AA121" s="143"/>
      <c r="AB121" s="9">
        <f t="shared" si="16"/>
        <v>0</v>
      </c>
      <c r="AC121" s="11"/>
      <c r="AD121" s="143"/>
      <c r="AE121" s="9">
        <f t="array" ref="AE121">IFERROR(AD121/$G121*100,0)</f>
        <v>0</v>
      </c>
      <c r="AF121" s="143"/>
      <c r="AG121" s="9">
        <f t="shared" si="17"/>
        <v>0</v>
      </c>
      <c r="AH121" s="8" t="str">
        <f t="array" ref="AH121">IF(AG121&gt;5,"Perlu Sensus",IF(AND(AG121&gt;=0,AD121&gt;0),"Tetap Deteksi","Belum Deteksi"))</f>
        <v>Belum Deteksi</v>
      </c>
      <c r="AI121" s="143"/>
      <c r="AJ121" s="9">
        <f t="shared" si="18"/>
        <v>0</v>
      </c>
      <c r="AK121" s="11"/>
      <c r="AL121" s="143"/>
      <c r="AM121" s="143"/>
      <c r="AN121" s="9">
        <f t="shared" si="19"/>
        <v>0</v>
      </c>
      <c r="AO121" s="8" t="str">
        <f t="array" ref="AO121">IF(AN121&gt;5,"Perlu Sensus",IF(AND(AN121&gt;=0,AL121&gt;0),"Tetap Deteksi","Belum Deteksi"))</f>
        <v>Belum Deteksi</v>
      </c>
      <c r="AP121" s="143"/>
      <c r="AQ121" s="9">
        <f t="shared" si="20"/>
        <v>0</v>
      </c>
    </row>
    <row r="122" spans="1:43" outlineLevel="1" x14ac:dyDescent="0.15">
      <c r="A122" s="8" t="s">
        <v>1273</v>
      </c>
      <c r="B122" s="8" t="s">
        <v>14</v>
      </c>
      <c r="C122" s="8" t="s">
        <v>107</v>
      </c>
      <c r="D122" s="186" t="s">
        <v>1385</v>
      </c>
      <c r="E122" s="9">
        <v>19.190000000000001</v>
      </c>
      <c r="F122" s="8" t="s">
        <v>1740</v>
      </c>
      <c r="G122" s="10">
        <v>2631</v>
      </c>
      <c r="H122" s="11">
        <f t="array" ref="H122">IF(OR(N122&gt;0,AC122&gt;0),MAX(N122,AC122),MAX(AK122,V122))</f>
        <v>46249</v>
      </c>
      <c r="I122" s="143">
        <f t="array" ref="I122">IF(SUM(O122,AD122)&gt;0,SUM(O122,AD122),SUM(AL122,W122))</f>
        <v>146</v>
      </c>
      <c r="J122" s="9">
        <f t="shared" si="11"/>
        <v>5.5492208285822882</v>
      </c>
      <c r="K122" s="143">
        <f t="shared" si="21"/>
        <v>2</v>
      </c>
      <c r="L122" s="9">
        <f t="shared" si="12"/>
        <v>1.3698630136986301</v>
      </c>
      <c r="M122" s="8" t="str">
        <f t="array" ref="M122">IF(L122&gt;5,"Perlu Sensus",IF(AND(L122&gt;=0,I122&gt;0),"Tetap Deteksi","Belum Deteksi"))</f>
        <v>Tetap Deteksi</v>
      </c>
      <c r="N122" s="132">
        <v>46249</v>
      </c>
      <c r="O122" s="143">
        <f t="array" ref="O122">INDEX([28]Sheet1!$H$24:$H$231,MATCH(1,([28]Sheet1!$E$24:$E$231=$D122)*([28]Sheet1!$E$24:$E$231=$D122),0))</f>
        <v>146</v>
      </c>
      <c r="P122" s="9">
        <f t="array" ref="P122">IFERROR(O122/$G122*100,0)</f>
        <v>5.5492208285822882</v>
      </c>
      <c r="Q122" s="143">
        <f t="array" ref="Q122">INDEX([28]Sheet1!$J$24:$J$231,MATCH(1,([28]Sheet1!$E$24:$E$231=$D122)*([28]Sheet1!$E$24:$E$231=$D122),0))</f>
        <v>2</v>
      </c>
      <c r="R122" s="9">
        <f t="shared" si="13"/>
        <v>1.3698630136986301</v>
      </c>
      <c r="S122" s="8" t="str">
        <f t="array" ref="S122">IF(R122&gt;5,"Perlu Sensus",IF(AND(R122&gt;=0,O122&gt;0),"Tetap Deteksi","Belum Deteksi"))</f>
        <v>Tetap Deteksi</v>
      </c>
      <c r="T122" s="143"/>
      <c r="U122" s="9">
        <f t="shared" si="14"/>
        <v>0</v>
      </c>
      <c r="V122" s="11"/>
      <c r="W122" s="143"/>
      <c r="X122" s="143"/>
      <c r="Y122" s="9">
        <f t="shared" si="15"/>
        <v>0</v>
      </c>
      <c r="Z122" s="8" t="str">
        <f t="array" ref="Z122">IF(Y122&gt;5,"Perlu Sensus",IF(AND(Y122&gt;=0,W122&gt;0),"Tetap Deteksi","Belum Deteksi"))</f>
        <v>Belum Deteksi</v>
      </c>
      <c r="AA122" s="143"/>
      <c r="AB122" s="9">
        <f t="shared" si="16"/>
        <v>0</v>
      </c>
      <c r="AC122" s="11"/>
      <c r="AD122" s="143"/>
      <c r="AE122" s="9">
        <f t="array" ref="AE122">IFERROR(AD122/$G122*100,0)</f>
        <v>0</v>
      </c>
      <c r="AF122" s="143"/>
      <c r="AG122" s="9">
        <f t="shared" si="17"/>
        <v>0</v>
      </c>
      <c r="AH122" s="8" t="str">
        <f t="array" ref="AH122">IF(AG122&gt;5,"Perlu Sensus",IF(AND(AG122&gt;=0,AD122&gt;0),"Tetap Deteksi","Belum Deteksi"))</f>
        <v>Belum Deteksi</v>
      </c>
      <c r="AI122" s="143"/>
      <c r="AJ122" s="9">
        <f t="shared" si="18"/>
        <v>0</v>
      </c>
      <c r="AK122" s="11"/>
      <c r="AL122" s="143"/>
      <c r="AM122" s="143"/>
      <c r="AN122" s="9">
        <f t="shared" si="19"/>
        <v>0</v>
      </c>
      <c r="AO122" s="8" t="str">
        <f t="array" ref="AO122">IF(AN122&gt;5,"Perlu Sensus",IF(AND(AN122&gt;=0,AL122&gt;0),"Tetap Deteksi","Belum Deteksi"))</f>
        <v>Belum Deteksi</v>
      </c>
      <c r="AP122" s="143"/>
      <c r="AQ122" s="9">
        <f t="shared" si="20"/>
        <v>0</v>
      </c>
    </row>
    <row r="123" spans="1:43" outlineLevel="1" x14ac:dyDescent="0.15">
      <c r="A123" s="8" t="s">
        <v>1273</v>
      </c>
      <c r="B123" s="8" t="s">
        <v>14</v>
      </c>
      <c r="C123" s="8" t="s">
        <v>107</v>
      </c>
      <c r="D123" s="186" t="s">
        <v>1386</v>
      </c>
      <c r="E123" s="9">
        <v>31.71</v>
      </c>
      <c r="F123" s="8" t="s">
        <v>1740</v>
      </c>
      <c r="G123" s="10">
        <v>3904</v>
      </c>
      <c r="H123" s="11">
        <f t="array" ref="H123">IF(OR(N123&gt;0,AC123&gt;0),MAX(N123,AC123),MAX(AK123,V123))</f>
        <v>46249</v>
      </c>
      <c r="I123" s="143">
        <f t="array" ref="I123">IF(SUM(O123,AD123)&gt;0,SUM(O123,AD123),SUM(AL123,W123))</f>
        <v>91</v>
      </c>
      <c r="J123" s="9">
        <f t="shared" si="11"/>
        <v>2.3309426229508197</v>
      </c>
      <c r="K123" s="143">
        <f t="shared" si="21"/>
        <v>1</v>
      </c>
      <c r="L123" s="9">
        <f t="shared" si="12"/>
        <v>1.098901098901099</v>
      </c>
      <c r="M123" s="8" t="str">
        <f t="array" ref="M123">IF(L123&gt;5,"Perlu Sensus",IF(AND(L123&gt;=0,I123&gt;0),"Tetap Deteksi","Belum Deteksi"))</f>
        <v>Tetap Deteksi</v>
      </c>
      <c r="N123" s="132">
        <v>46249</v>
      </c>
      <c r="O123" s="143">
        <f t="array" ref="O123">INDEX([28]Sheet1!$H$24:$H$231,MATCH(1,([28]Sheet1!$E$24:$E$231=$D123)*([28]Sheet1!$E$24:$E$231=$D123),0))</f>
        <v>91</v>
      </c>
      <c r="P123" s="9">
        <f t="array" ref="P123">IFERROR(O123/$G123*100,0)</f>
        <v>2.3309426229508197</v>
      </c>
      <c r="Q123" s="143">
        <f t="array" ref="Q123">INDEX([28]Sheet1!$J$24:$J$231,MATCH(1,([28]Sheet1!$E$24:$E$231=$D123)*([28]Sheet1!$E$24:$E$231=$D123),0))</f>
        <v>1</v>
      </c>
      <c r="R123" s="9">
        <f t="shared" si="13"/>
        <v>1.098901098901099</v>
      </c>
      <c r="S123" s="8" t="str">
        <f t="array" ref="S123">IF(R123&gt;5,"Perlu Sensus",IF(AND(R123&gt;=0,O123&gt;0),"Tetap Deteksi","Belum Deteksi"))</f>
        <v>Tetap Deteksi</v>
      </c>
      <c r="T123" s="143"/>
      <c r="U123" s="9">
        <f t="shared" si="14"/>
        <v>0</v>
      </c>
      <c r="V123" s="11"/>
      <c r="W123" s="143"/>
      <c r="X123" s="143"/>
      <c r="Y123" s="9">
        <f t="shared" si="15"/>
        <v>0</v>
      </c>
      <c r="Z123" s="8" t="str">
        <f t="array" ref="Z123">IF(Y123&gt;5,"Perlu Sensus",IF(AND(Y123&gt;=0,W123&gt;0),"Tetap Deteksi","Belum Deteksi"))</f>
        <v>Belum Deteksi</v>
      </c>
      <c r="AA123" s="143"/>
      <c r="AB123" s="9">
        <f t="shared" si="16"/>
        <v>0</v>
      </c>
      <c r="AC123" s="11"/>
      <c r="AD123" s="143"/>
      <c r="AE123" s="9">
        <f t="array" ref="AE123">IFERROR(AD123/$G123*100,0)</f>
        <v>0</v>
      </c>
      <c r="AF123" s="143"/>
      <c r="AG123" s="9">
        <f t="shared" si="17"/>
        <v>0</v>
      </c>
      <c r="AH123" s="8" t="str">
        <f t="array" ref="AH123">IF(AG123&gt;5,"Perlu Sensus",IF(AND(AG123&gt;=0,AD123&gt;0),"Tetap Deteksi","Belum Deteksi"))</f>
        <v>Belum Deteksi</v>
      </c>
      <c r="AI123" s="143"/>
      <c r="AJ123" s="9">
        <f t="shared" si="18"/>
        <v>0</v>
      </c>
      <c r="AK123" s="11"/>
      <c r="AL123" s="143"/>
      <c r="AM123" s="143"/>
      <c r="AN123" s="9">
        <f t="shared" si="19"/>
        <v>0</v>
      </c>
      <c r="AO123" s="8" t="str">
        <f t="array" ref="AO123">IF(AN123&gt;5,"Perlu Sensus",IF(AND(AN123&gt;=0,AL123&gt;0),"Tetap Deteksi","Belum Deteksi"))</f>
        <v>Belum Deteksi</v>
      </c>
      <c r="AP123" s="143"/>
      <c r="AQ123" s="9">
        <f t="shared" si="20"/>
        <v>0</v>
      </c>
    </row>
    <row r="124" spans="1:43" outlineLevel="1" x14ac:dyDescent="0.15">
      <c r="A124" s="8" t="s">
        <v>1273</v>
      </c>
      <c r="B124" s="8" t="s">
        <v>14</v>
      </c>
      <c r="C124" s="8" t="s">
        <v>107</v>
      </c>
      <c r="D124" s="186" t="s">
        <v>1387</v>
      </c>
      <c r="E124" s="9">
        <v>0</v>
      </c>
      <c r="F124" s="8" t="s">
        <v>1740</v>
      </c>
      <c r="G124" s="10">
        <v>0</v>
      </c>
      <c r="H124" s="11">
        <f t="array" ref="H124">IF(OR(N124&gt;0,AC124&gt;0),MAX(N124,AC124),MAX(AK124,V124))</f>
        <v>0</v>
      </c>
      <c r="I124" s="143">
        <f t="array" ref="I124">IF(SUM(O124,AD124)&gt;0,SUM(O124,AD124),SUM(AL124,W124))</f>
        <v>0</v>
      </c>
      <c r="J124" s="9" t="str">
        <f t="shared" si="11"/>
        <v xml:space="preserve"> </v>
      </c>
      <c r="K124" s="143">
        <f t="shared" si="21"/>
        <v>0</v>
      </c>
      <c r="L124" s="9">
        <f t="shared" si="12"/>
        <v>0</v>
      </c>
      <c r="M124" s="8" t="str">
        <f t="array" ref="M124">IF(L124&gt;5,"Perlu Sensus",IF(AND(L124&gt;=0,I124&gt;0),"Tetap Deteksi","Belum Deteksi"))</f>
        <v>Belum Deteksi</v>
      </c>
      <c r="N124" s="132"/>
      <c r="O124" s="143">
        <f t="array" ref="O124">INDEX([28]Sheet1!$H$24:$H$231,MATCH(1,([28]Sheet1!$E$24:$E$231=$D124)*([28]Sheet1!$E$24:$E$231=$D124),0))</f>
        <v>0</v>
      </c>
      <c r="P124" s="9">
        <f t="array" ref="P124">IFERROR(O124/$G124*100,0)</f>
        <v>0</v>
      </c>
      <c r="Q124" s="143">
        <f t="array" ref="Q124">INDEX([28]Sheet1!$J$24:$J$231,MATCH(1,([28]Sheet1!$E$24:$E$231=$D124)*([28]Sheet1!$E$24:$E$231=$D124),0))</f>
        <v>0</v>
      </c>
      <c r="R124" s="9">
        <f t="shared" si="13"/>
        <v>0</v>
      </c>
      <c r="S124" s="8" t="str">
        <f t="array" ref="S124">IF(R124&gt;5,"Perlu Sensus",IF(AND(R124&gt;=0,O124&gt;0),"Tetap Deteksi","Belum Deteksi"))</f>
        <v>Belum Deteksi</v>
      </c>
      <c r="T124" s="143"/>
      <c r="U124" s="9">
        <f t="shared" si="14"/>
        <v>0</v>
      </c>
      <c r="V124" s="11"/>
      <c r="W124" s="143"/>
      <c r="X124" s="143"/>
      <c r="Y124" s="9">
        <f t="shared" si="15"/>
        <v>0</v>
      </c>
      <c r="Z124" s="8" t="str">
        <f t="array" ref="Z124">IF(Y124&gt;5,"Perlu Sensus",IF(AND(Y124&gt;=0,W124&gt;0),"Tetap Deteksi","Belum Deteksi"))</f>
        <v>Belum Deteksi</v>
      </c>
      <c r="AA124" s="143"/>
      <c r="AB124" s="9">
        <f t="shared" si="16"/>
        <v>0</v>
      </c>
      <c r="AC124" s="11"/>
      <c r="AD124" s="143"/>
      <c r="AE124" s="9">
        <f t="array" ref="AE124">IFERROR(AD124/$G124*100,0)</f>
        <v>0</v>
      </c>
      <c r="AF124" s="143"/>
      <c r="AG124" s="9">
        <f t="shared" si="17"/>
        <v>0</v>
      </c>
      <c r="AH124" s="8" t="str">
        <f t="array" ref="AH124">IF(AG124&gt;5,"Perlu Sensus",IF(AND(AG124&gt;=0,AD124&gt;0),"Tetap Deteksi","Belum Deteksi"))</f>
        <v>Belum Deteksi</v>
      </c>
      <c r="AI124" s="143"/>
      <c r="AJ124" s="9">
        <f t="shared" si="18"/>
        <v>0</v>
      </c>
      <c r="AK124" s="11"/>
      <c r="AL124" s="143"/>
      <c r="AM124" s="143"/>
      <c r="AN124" s="9">
        <f t="shared" si="19"/>
        <v>0</v>
      </c>
      <c r="AO124" s="8" t="str">
        <f t="array" ref="AO124">IF(AN124&gt;5,"Perlu Sensus",IF(AND(AN124&gt;=0,AL124&gt;0),"Tetap Deteksi","Belum Deteksi"))</f>
        <v>Belum Deteksi</v>
      </c>
      <c r="AP124" s="143"/>
      <c r="AQ124" s="9">
        <f t="shared" si="20"/>
        <v>0</v>
      </c>
    </row>
    <row r="125" spans="1:43" outlineLevel="1" x14ac:dyDescent="0.15">
      <c r="A125" s="8" t="s">
        <v>1273</v>
      </c>
      <c r="B125" s="8" t="s">
        <v>14</v>
      </c>
      <c r="C125" s="8" t="s">
        <v>107</v>
      </c>
      <c r="D125" s="186" t="s">
        <v>1388</v>
      </c>
      <c r="E125" s="9">
        <v>0</v>
      </c>
      <c r="F125" s="8" t="s">
        <v>1740</v>
      </c>
      <c r="G125" s="10">
        <v>0</v>
      </c>
      <c r="H125" s="11">
        <f t="array" ref="H125">IF(OR(N125&gt;0,AC125&gt;0),MAX(N125,AC125),MAX(AK125,V125))</f>
        <v>0</v>
      </c>
      <c r="I125" s="143">
        <f t="array" ref="I125">IF(SUM(O125,AD125)&gt;0,SUM(O125,AD125),SUM(AL125,W125))</f>
        <v>0</v>
      </c>
      <c r="J125" s="9" t="str">
        <f t="shared" si="11"/>
        <v xml:space="preserve"> </v>
      </c>
      <c r="K125" s="143">
        <f t="shared" si="21"/>
        <v>0</v>
      </c>
      <c r="L125" s="9">
        <f t="shared" si="12"/>
        <v>0</v>
      </c>
      <c r="M125" s="8" t="str">
        <f t="array" ref="M125">IF(L125&gt;5,"Perlu Sensus",IF(AND(L125&gt;=0,I125&gt;0),"Tetap Deteksi","Belum Deteksi"))</f>
        <v>Belum Deteksi</v>
      </c>
      <c r="N125" s="132"/>
      <c r="O125" s="143">
        <f t="array" ref="O125">INDEX([28]Sheet1!$H$24:$H$231,MATCH(1,([28]Sheet1!$E$24:$E$231=$D125)*([28]Sheet1!$E$24:$E$231=$D125),0))</f>
        <v>0</v>
      </c>
      <c r="P125" s="9">
        <f t="array" ref="P125">IFERROR(O125/$G125*100,0)</f>
        <v>0</v>
      </c>
      <c r="Q125" s="143">
        <f t="array" ref="Q125">INDEX([28]Sheet1!$J$24:$J$231,MATCH(1,([28]Sheet1!$E$24:$E$231=$D125)*([28]Sheet1!$E$24:$E$231=$D125),0))</f>
        <v>0</v>
      </c>
      <c r="R125" s="9">
        <f t="shared" si="13"/>
        <v>0</v>
      </c>
      <c r="S125" s="8" t="str">
        <f t="array" ref="S125">IF(R125&gt;5,"Perlu Sensus",IF(AND(R125&gt;=0,O125&gt;0),"Tetap Deteksi","Belum Deteksi"))</f>
        <v>Belum Deteksi</v>
      </c>
      <c r="T125" s="143"/>
      <c r="U125" s="9">
        <f t="shared" si="14"/>
        <v>0</v>
      </c>
      <c r="V125" s="11"/>
      <c r="W125" s="143"/>
      <c r="X125" s="143"/>
      <c r="Y125" s="9">
        <f t="shared" si="15"/>
        <v>0</v>
      </c>
      <c r="Z125" s="8" t="str">
        <f t="array" ref="Z125">IF(Y125&gt;5,"Perlu Sensus",IF(AND(Y125&gt;=0,W125&gt;0),"Tetap Deteksi","Belum Deteksi"))</f>
        <v>Belum Deteksi</v>
      </c>
      <c r="AA125" s="143"/>
      <c r="AB125" s="9">
        <f t="shared" si="16"/>
        <v>0</v>
      </c>
      <c r="AC125" s="11"/>
      <c r="AD125" s="143"/>
      <c r="AE125" s="9">
        <f t="array" ref="AE125">IFERROR(AD125/$G125*100,0)</f>
        <v>0</v>
      </c>
      <c r="AF125" s="143"/>
      <c r="AG125" s="9">
        <f t="shared" si="17"/>
        <v>0</v>
      </c>
      <c r="AH125" s="8" t="str">
        <f t="array" ref="AH125">IF(AG125&gt;5,"Perlu Sensus",IF(AND(AG125&gt;=0,AD125&gt;0),"Tetap Deteksi","Belum Deteksi"))</f>
        <v>Belum Deteksi</v>
      </c>
      <c r="AI125" s="143"/>
      <c r="AJ125" s="9">
        <f t="shared" si="18"/>
        <v>0</v>
      </c>
      <c r="AK125" s="11"/>
      <c r="AL125" s="143"/>
      <c r="AM125" s="143"/>
      <c r="AN125" s="9">
        <f t="shared" si="19"/>
        <v>0</v>
      </c>
      <c r="AO125" s="8" t="str">
        <f t="array" ref="AO125">IF(AN125&gt;5,"Perlu Sensus",IF(AND(AN125&gt;=0,AL125&gt;0),"Tetap Deteksi","Belum Deteksi"))</f>
        <v>Belum Deteksi</v>
      </c>
      <c r="AP125" s="143"/>
      <c r="AQ125" s="9">
        <f t="shared" si="20"/>
        <v>0</v>
      </c>
    </row>
    <row r="126" spans="1:43" outlineLevel="1" x14ac:dyDescent="0.15">
      <c r="A126" s="8" t="s">
        <v>1273</v>
      </c>
      <c r="B126" s="8" t="s">
        <v>14</v>
      </c>
      <c r="C126" s="8" t="s">
        <v>107</v>
      </c>
      <c r="D126" s="186" t="s">
        <v>1389</v>
      </c>
      <c r="E126" s="9">
        <v>26.92</v>
      </c>
      <c r="F126" s="8" t="s">
        <v>1740</v>
      </c>
      <c r="G126" s="10">
        <v>3450</v>
      </c>
      <c r="H126" s="11">
        <f t="array" ref="H126">IF(OR(N126&gt;0,AC126&gt;0),MAX(N126,AC126),MAX(AK126,V126))</f>
        <v>46249</v>
      </c>
      <c r="I126" s="143">
        <f t="array" ref="I126">IF(SUM(O126,AD126)&gt;0,SUM(O126,AD126),SUM(AL126,W126))</f>
        <v>149</v>
      </c>
      <c r="J126" s="9">
        <f t="shared" si="11"/>
        <v>4.3188405797101446</v>
      </c>
      <c r="K126" s="143">
        <f t="shared" si="21"/>
        <v>3</v>
      </c>
      <c r="L126" s="9">
        <f t="shared" si="12"/>
        <v>2.0134228187919461</v>
      </c>
      <c r="M126" s="8" t="str">
        <f t="array" ref="M126">IF(L126&gt;5,"Perlu Sensus",IF(AND(L126&gt;=0,I126&gt;0),"Tetap Deteksi","Belum Deteksi"))</f>
        <v>Tetap Deteksi</v>
      </c>
      <c r="N126" s="132">
        <v>46249</v>
      </c>
      <c r="O126" s="143">
        <f t="array" ref="O126">INDEX([28]Sheet1!$H$24:$H$231,MATCH(1,([28]Sheet1!$E$24:$E$231=$D126)*([28]Sheet1!$E$24:$E$231=$D126),0))</f>
        <v>149</v>
      </c>
      <c r="P126" s="9">
        <f t="array" ref="P126">IFERROR(O126/$G126*100,0)</f>
        <v>4.3188405797101446</v>
      </c>
      <c r="Q126" s="143">
        <f t="array" ref="Q126">INDEX([28]Sheet1!$J$24:$J$231,MATCH(1,([28]Sheet1!$E$24:$E$231=$D126)*([28]Sheet1!$E$24:$E$231=$D126),0))</f>
        <v>3</v>
      </c>
      <c r="R126" s="9">
        <f t="shared" si="13"/>
        <v>2.0134228187919461</v>
      </c>
      <c r="S126" s="8" t="str">
        <f t="array" ref="S126">IF(R126&gt;5,"Perlu Sensus",IF(AND(R126&gt;=0,O126&gt;0),"Tetap Deteksi","Belum Deteksi"))</f>
        <v>Tetap Deteksi</v>
      </c>
      <c r="T126" s="143"/>
      <c r="U126" s="9">
        <f t="shared" si="14"/>
        <v>0</v>
      </c>
      <c r="V126" s="11"/>
      <c r="W126" s="143"/>
      <c r="X126" s="143"/>
      <c r="Y126" s="9">
        <f t="shared" si="15"/>
        <v>0</v>
      </c>
      <c r="Z126" s="8" t="str">
        <f t="array" ref="Z126">IF(Y126&gt;5,"Perlu Sensus",IF(AND(Y126&gt;=0,W126&gt;0),"Tetap Deteksi","Belum Deteksi"))</f>
        <v>Belum Deteksi</v>
      </c>
      <c r="AA126" s="143"/>
      <c r="AB126" s="9">
        <f t="shared" si="16"/>
        <v>0</v>
      </c>
      <c r="AC126" s="11"/>
      <c r="AD126" s="143"/>
      <c r="AE126" s="9">
        <f t="array" ref="AE126">IFERROR(AD126/$G126*100,0)</f>
        <v>0</v>
      </c>
      <c r="AF126" s="143"/>
      <c r="AG126" s="9">
        <f t="shared" si="17"/>
        <v>0</v>
      </c>
      <c r="AH126" s="8" t="str">
        <f t="array" ref="AH126">IF(AG126&gt;5,"Perlu Sensus",IF(AND(AG126&gt;=0,AD126&gt;0),"Tetap Deteksi","Belum Deteksi"))</f>
        <v>Belum Deteksi</v>
      </c>
      <c r="AI126" s="143"/>
      <c r="AJ126" s="9">
        <f t="shared" si="18"/>
        <v>0</v>
      </c>
      <c r="AK126" s="11"/>
      <c r="AL126" s="143"/>
      <c r="AM126" s="143"/>
      <c r="AN126" s="9">
        <f t="shared" si="19"/>
        <v>0</v>
      </c>
      <c r="AO126" s="8" t="str">
        <f t="array" ref="AO126">IF(AN126&gt;5,"Perlu Sensus",IF(AND(AN126&gt;=0,AL126&gt;0),"Tetap Deteksi","Belum Deteksi"))</f>
        <v>Belum Deteksi</v>
      </c>
      <c r="AP126" s="143"/>
      <c r="AQ126" s="9">
        <f t="shared" si="20"/>
        <v>0</v>
      </c>
    </row>
    <row r="127" spans="1:43" outlineLevel="1" x14ac:dyDescent="0.15">
      <c r="A127" s="8" t="s">
        <v>1273</v>
      </c>
      <c r="B127" s="8" t="s">
        <v>14</v>
      </c>
      <c r="C127" s="8" t="s">
        <v>144</v>
      </c>
      <c r="D127" s="186" t="s">
        <v>1023</v>
      </c>
      <c r="E127" s="9">
        <v>31.839999999999996</v>
      </c>
      <c r="F127" s="8" t="s">
        <v>1740</v>
      </c>
      <c r="G127" s="10">
        <v>3783</v>
      </c>
      <c r="H127" s="11">
        <f t="array" ref="H127">IF(OR(N127&gt;0,AC127&gt;0),MAX(N127,AC127),MAX(AK127,V127))</f>
        <v>46249</v>
      </c>
      <c r="I127" s="143">
        <f t="array" ref="I127">IF(SUM(O127,AD127)&gt;0,SUM(O127,AD127),SUM(AL127,W127))</f>
        <v>147</v>
      </c>
      <c r="J127" s="9">
        <f t="shared" si="11"/>
        <v>3.8858049167327517</v>
      </c>
      <c r="K127" s="143">
        <f t="shared" si="21"/>
        <v>2</v>
      </c>
      <c r="L127" s="9">
        <f t="shared" si="12"/>
        <v>1.3605442176870748</v>
      </c>
      <c r="M127" s="8" t="str">
        <f t="array" ref="M127">IF(L127&gt;5,"Perlu Sensus",IF(AND(L127&gt;=0,I127&gt;0),"Tetap Deteksi","Belum Deteksi"))</f>
        <v>Tetap Deteksi</v>
      </c>
      <c r="N127" s="132">
        <v>46249</v>
      </c>
      <c r="O127" s="143">
        <f t="array" ref="O127">INDEX([28]Sheet1!$H$24:$H$231,MATCH(1,([28]Sheet1!$E$24:$E$231=$D127)*([28]Sheet1!$E$24:$E$231=$D127),0))</f>
        <v>147</v>
      </c>
      <c r="P127" s="9">
        <f t="array" ref="P127">IFERROR(O127/$G127*100,0)</f>
        <v>3.8858049167327517</v>
      </c>
      <c r="Q127" s="143">
        <f t="array" ref="Q127">INDEX([28]Sheet1!$J$24:$J$231,MATCH(1,([28]Sheet1!$E$24:$E$231=$D127)*([28]Sheet1!$E$24:$E$231=$D127),0))</f>
        <v>2</v>
      </c>
      <c r="R127" s="9">
        <f t="shared" si="13"/>
        <v>1.3605442176870748</v>
      </c>
      <c r="S127" s="8" t="str">
        <f t="array" ref="S127">IF(R127&gt;5,"Perlu Sensus",IF(AND(R127&gt;=0,O127&gt;0),"Tetap Deteksi","Belum Deteksi"))</f>
        <v>Tetap Deteksi</v>
      </c>
      <c r="T127" s="143"/>
      <c r="U127" s="9">
        <f t="shared" si="14"/>
        <v>0</v>
      </c>
      <c r="V127" s="11"/>
      <c r="W127" s="143"/>
      <c r="X127" s="143"/>
      <c r="Y127" s="9">
        <f t="shared" si="15"/>
        <v>0</v>
      </c>
      <c r="Z127" s="8" t="str">
        <f t="array" ref="Z127">IF(Y127&gt;5,"Perlu Sensus",IF(AND(Y127&gt;=0,W127&gt;0),"Tetap Deteksi","Belum Deteksi"))</f>
        <v>Belum Deteksi</v>
      </c>
      <c r="AA127" s="143"/>
      <c r="AB127" s="9">
        <f t="shared" si="16"/>
        <v>0</v>
      </c>
      <c r="AC127" s="11"/>
      <c r="AD127" s="143"/>
      <c r="AE127" s="9">
        <f t="array" ref="AE127">IFERROR(AD127/$G127*100,0)</f>
        <v>0</v>
      </c>
      <c r="AF127" s="143"/>
      <c r="AG127" s="9">
        <f t="shared" si="17"/>
        <v>0</v>
      </c>
      <c r="AH127" s="8" t="str">
        <f t="array" ref="AH127">IF(AG127&gt;5,"Perlu Sensus",IF(AND(AG127&gt;=0,AD127&gt;0),"Tetap Deteksi","Belum Deteksi"))</f>
        <v>Belum Deteksi</v>
      </c>
      <c r="AI127" s="143"/>
      <c r="AJ127" s="9">
        <f t="shared" si="18"/>
        <v>0</v>
      </c>
      <c r="AK127" s="11"/>
      <c r="AL127" s="143"/>
      <c r="AM127" s="143"/>
      <c r="AN127" s="9">
        <f t="shared" si="19"/>
        <v>0</v>
      </c>
      <c r="AO127" s="8" t="str">
        <f t="array" ref="AO127">IF(AN127&gt;5,"Perlu Sensus",IF(AND(AN127&gt;=0,AL127&gt;0),"Tetap Deteksi","Belum Deteksi"))</f>
        <v>Belum Deteksi</v>
      </c>
      <c r="AP127" s="143"/>
      <c r="AQ127" s="9">
        <f t="shared" si="20"/>
        <v>0</v>
      </c>
    </row>
    <row r="128" spans="1:43" outlineLevel="1" x14ac:dyDescent="0.15">
      <c r="A128" s="8" t="s">
        <v>1273</v>
      </c>
      <c r="B128" s="8" t="s">
        <v>14</v>
      </c>
      <c r="C128" s="8" t="s">
        <v>144</v>
      </c>
      <c r="D128" s="186" t="s">
        <v>1390</v>
      </c>
      <c r="E128" s="9">
        <v>33.5</v>
      </c>
      <c r="F128" s="8" t="s">
        <v>1740</v>
      </c>
      <c r="G128" s="10">
        <v>4602</v>
      </c>
      <c r="H128" s="11">
        <f t="array" ref="H128">IF(OR(N128&gt;0,AC128&gt;0),MAX(N128,AC128),MAX(AK128,V128))</f>
        <v>46249</v>
      </c>
      <c r="I128" s="143">
        <f t="array" ref="I128">IF(SUM(O128,AD128)&gt;0,SUM(O128,AD128),SUM(AL128,W128))</f>
        <v>123</v>
      </c>
      <c r="J128" s="9">
        <f t="shared" si="11"/>
        <v>2.6727509778357237</v>
      </c>
      <c r="K128" s="143">
        <f t="shared" si="21"/>
        <v>2</v>
      </c>
      <c r="L128" s="9">
        <f t="shared" si="12"/>
        <v>1.6260162601626018</v>
      </c>
      <c r="M128" s="8" t="str">
        <f t="array" ref="M128">IF(L128&gt;5,"Perlu Sensus",IF(AND(L128&gt;=0,I128&gt;0),"Tetap Deteksi","Belum Deteksi"))</f>
        <v>Tetap Deteksi</v>
      </c>
      <c r="N128" s="132">
        <v>46249</v>
      </c>
      <c r="O128" s="143">
        <f t="array" ref="O128">INDEX([28]Sheet1!$H$24:$H$231,MATCH(1,([28]Sheet1!$E$24:$E$231=$D128)*([28]Sheet1!$E$24:$E$231=$D128),0))</f>
        <v>123</v>
      </c>
      <c r="P128" s="9">
        <f t="array" ref="P128">IFERROR(O128/$G128*100,0)</f>
        <v>2.6727509778357237</v>
      </c>
      <c r="Q128" s="143">
        <f t="array" ref="Q128">INDEX([28]Sheet1!$J$24:$J$231,MATCH(1,([28]Sheet1!$E$24:$E$231=$D128)*([28]Sheet1!$E$24:$E$231=$D128),0))</f>
        <v>2</v>
      </c>
      <c r="R128" s="9">
        <f t="shared" si="13"/>
        <v>1.6260162601626018</v>
      </c>
      <c r="S128" s="8" t="str">
        <f t="array" ref="S128">IF(R128&gt;5,"Perlu Sensus",IF(AND(R128&gt;=0,O128&gt;0),"Tetap Deteksi","Belum Deteksi"))</f>
        <v>Tetap Deteksi</v>
      </c>
      <c r="T128" s="143"/>
      <c r="U128" s="9">
        <f t="shared" si="14"/>
        <v>0</v>
      </c>
      <c r="V128" s="11"/>
      <c r="W128" s="143"/>
      <c r="X128" s="143"/>
      <c r="Y128" s="9">
        <f t="shared" si="15"/>
        <v>0</v>
      </c>
      <c r="Z128" s="8" t="str">
        <f t="array" ref="Z128">IF(Y128&gt;5,"Perlu Sensus",IF(AND(Y128&gt;=0,W128&gt;0),"Tetap Deteksi","Belum Deteksi"))</f>
        <v>Belum Deteksi</v>
      </c>
      <c r="AA128" s="143"/>
      <c r="AB128" s="9">
        <f t="shared" si="16"/>
        <v>0</v>
      </c>
      <c r="AC128" s="11"/>
      <c r="AD128" s="143"/>
      <c r="AE128" s="9">
        <f t="array" ref="AE128">IFERROR(AD128/$G128*100,0)</f>
        <v>0</v>
      </c>
      <c r="AF128" s="143"/>
      <c r="AG128" s="9">
        <f t="shared" si="17"/>
        <v>0</v>
      </c>
      <c r="AH128" s="8" t="str">
        <f t="array" ref="AH128">IF(AG128&gt;5,"Perlu Sensus",IF(AND(AG128&gt;=0,AD128&gt;0),"Tetap Deteksi","Belum Deteksi"))</f>
        <v>Belum Deteksi</v>
      </c>
      <c r="AI128" s="143"/>
      <c r="AJ128" s="9">
        <f t="shared" si="18"/>
        <v>0</v>
      </c>
      <c r="AK128" s="11"/>
      <c r="AL128" s="143"/>
      <c r="AM128" s="143"/>
      <c r="AN128" s="9">
        <f t="shared" si="19"/>
        <v>0</v>
      </c>
      <c r="AO128" s="8" t="str">
        <f t="array" ref="AO128">IF(AN128&gt;5,"Perlu Sensus",IF(AND(AN128&gt;=0,AL128&gt;0),"Tetap Deteksi","Belum Deteksi"))</f>
        <v>Belum Deteksi</v>
      </c>
      <c r="AP128" s="143"/>
      <c r="AQ128" s="9">
        <f t="shared" si="20"/>
        <v>0</v>
      </c>
    </row>
    <row r="129" spans="1:43" outlineLevel="1" x14ac:dyDescent="0.15">
      <c r="A129" s="8" t="s">
        <v>1273</v>
      </c>
      <c r="B129" s="8" t="s">
        <v>14</v>
      </c>
      <c r="C129" s="8" t="s">
        <v>144</v>
      </c>
      <c r="D129" s="186" t="s">
        <v>1002</v>
      </c>
      <c r="E129" s="9">
        <v>32</v>
      </c>
      <c r="F129" s="8" t="s">
        <v>1740</v>
      </c>
      <c r="G129" s="10">
        <v>3969</v>
      </c>
      <c r="H129" s="11">
        <f t="array" ref="H129">IF(OR(N129&gt;0,AC129&gt;0),MAX(N129,AC129),MAX(AK129,V129))</f>
        <v>46249</v>
      </c>
      <c r="I129" s="143">
        <f t="array" ref="I129">IF(SUM(O129,AD129)&gt;0,SUM(O129,AD129),SUM(AL129,W129))</f>
        <v>197</v>
      </c>
      <c r="J129" s="9">
        <f t="shared" si="11"/>
        <v>4.9634668682287737</v>
      </c>
      <c r="K129" s="143">
        <f t="shared" si="21"/>
        <v>3</v>
      </c>
      <c r="L129" s="9">
        <f t="shared" si="12"/>
        <v>1.5228426395939088</v>
      </c>
      <c r="M129" s="8" t="str">
        <f t="array" ref="M129">IF(L129&gt;5,"Perlu Sensus",IF(AND(L129&gt;=0,I129&gt;0),"Tetap Deteksi","Belum Deteksi"))</f>
        <v>Tetap Deteksi</v>
      </c>
      <c r="N129" s="132">
        <v>46249</v>
      </c>
      <c r="O129" s="143">
        <f t="array" ref="O129">INDEX([28]Sheet1!$H$24:$H$231,MATCH(1,([28]Sheet1!$E$24:$E$231=$D129)*([28]Sheet1!$E$24:$E$231=$D129),0))</f>
        <v>197</v>
      </c>
      <c r="P129" s="9">
        <f t="array" ref="P129">IFERROR(O129/$G129*100,0)</f>
        <v>4.9634668682287737</v>
      </c>
      <c r="Q129" s="143">
        <f t="array" ref="Q129">INDEX([28]Sheet1!$J$24:$J$231,MATCH(1,([28]Sheet1!$E$24:$E$231=$D129)*([28]Sheet1!$E$24:$E$231=$D129),0))</f>
        <v>3</v>
      </c>
      <c r="R129" s="9">
        <f t="shared" si="13"/>
        <v>1.5228426395939088</v>
      </c>
      <c r="S129" s="8" t="str">
        <f t="array" ref="S129">IF(R129&gt;5,"Perlu Sensus",IF(AND(R129&gt;=0,O129&gt;0),"Tetap Deteksi","Belum Deteksi"))</f>
        <v>Tetap Deteksi</v>
      </c>
      <c r="T129" s="143"/>
      <c r="U129" s="9">
        <f t="shared" si="14"/>
        <v>0</v>
      </c>
      <c r="V129" s="11"/>
      <c r="W129" s="143"/>
      <c r="X129" s="143"/>
      <c r="Y129" s="9">
        <f t="shared" si="15"/>
        <v>0</v>
      </c>
      <c r="Z129" s="8" t="str">
        <f t="array" ref="Z129">IF(Y129&gt;5,"Perlu Sensus",IF(AND(Y129&gt;=0,W129&gt;0),"Tetap Deteksi","Belum Deteksi"))</f>
        <v>Belum Deteksi</v>
      </c>
      <c r="AA129" s="143"/>
      <c r="AB129" s="9">
        <f t="shared" si="16"/>
        <v>0</v>
      </c>
      <c r="AC129" s="11"/>
      <c r="AD129" s="143"/>
      <c r="AE129" s="9">
        <f t="array" ref="AE129">IFERROR(AD129/$G129*100,0)</f>
        <v>0</v>
      </c>
      <c r="AF129" s="143"/>
      <c r="AG129" s="9">
        <f t="shared" si="17"/>
        <v>0</v>
      </c>
      <c r="AH129" s="8" t="str">
        <f t="array" ref="AH129">IF(AG129&gt;5,"Perlu Sensus",IF(AND(AG129&gt;=0,AD129&gt;0),"Tetap Deteksi","Belum Deteksi"))</f>
        <v>Belum Deteksi</v>
      </c>
      <c r="AI129" s="143"/>
      <c r="AJ129" s="9">
        <f t="shared" si="18"/>
        <v>0</v>
      </c>
      <c r="AK129" s="11"/>
      <c r="AL129" s="143"/>
      <c r="AM129" s="143"/>
      <c r="AN129" s="9">
        <f t="shared" si="19"/>
        <v>0</v>
      </c>
      <c r="AO129" s="8" t="str">
        <f t="array" ref="AO129">IF(AN129&gt;5,"Perlu Sensus",IF(AND(AN129&gt;=0,AL129&gt;0),"Tetap Deteksi","Belum Deteksi"))</f>
        <v>Belum Deteksi</v>
      </c>
      <c r="AP129" s="143"/>
      <c r="AQ129" s="9">
        <f t="shared" si="20"/>
        <v>0</v>
      </c>
    </row>
    <row r="130" spans="1:43" outlineLevel="1" x14ac:dyDescent="0.15">
      <c r="A130" s="8" t="s">
        <v>1273</v>
      </c>
      <c r="B130" s="8" t="s">
        <v>14</v>
      </c>
      <c r="C130" s="8" t="s">
        <v>144</v>
      </c>
      <c r="D130" s="186" t="s">
        <v>1391</v>
      </c>
      <c r="E130" s="9">
        <v>31.930000000000003</v>
      </c>
      <c r="F130" s="8" t="s">
        <v>1740</v>
      </c>
      <c r="G130" s="10">
        <v>4022</v>
      </c>
      <c r="H130" s="11">
        <f t="array" ref="H130">IF(OR(N130&gt;0,AC130&gt;0),MAX(N130,AC130),MAX(AK130,V130))</f>
        <v>46249</v>
      </c>
      <c r="I130" s="143">
        <f t="array" ref="I130">IF(SUM(O130,AD130)&gt;0,SUM(O130,AD130),SUM(AL130,W130))</f>
        <v>129</v>
      </c>
      <c r="J130" s="9">
        <f t="shared" si="11"/>
        <v>3.2073595226255596</v>
      </c>
      <c r="K130" s="143">
        <f t="shared" si="21"/>
        <v>2</v>
      </c>
      <c r="L130" s="9">
        <f t="shared" si="12"/>
        <v>1.5503875968992249</v>
      </c>
      <c r="M130" s="8" t="str">
        <f t="array" ref="M130">IF(L130&gt;5,"Perlu Sensus",IF(AND(L130&gt;=0,I130&gt;0),"Tetap Deteksi","Belum Deteksi"))</f>
        <v>Tetap Deteksi</v>
      </c>
      <c r="N130" s="132">
        <v>46249</v>
      </c>
      <c r="O130" s="143">
        <f t="array" ref="O130">INDEX([28]Sheet1!$H$24:$H$231,MATCH(1,([28]Sheet1!$E$24:$E$231=$D130)*([28]Sheet1!$E$24:$E$231=$D130),0))</f>
        <v>129</v>
      </c>
      <c r="P130" s="9">
        <f t="array" ref="P130">IFERROR(O130/$G130*100,0)</f>
        <v>3.2073595226255596</v>
      </c>
      <c r="Q130" s="143">
        <f t="array" ref="Q130">INDEX([28]Sheet1!$J$24:$J$231,MATCH(1,([28]Sheet1!$E$24:$E$231=$D130)*([28]Sheet1!$E$24:$E$231=$D130),0))</f>
        <v>2</v>
      </c>
      <c r="R130" s="9">
        <f t="shared" si="13"/>
        <v>1.5503875968992249</v>
      </c>
      <c r="S130" s="8" t="str">
        <f t="array" ref="S130">IF(R130&gt;5,"Perlu Sensus",IF(AND(R130&gt;=0,O130&gt;0),"Tetap Deteksi","Belum Deteksi"))</f>
        <v>Tetap Deteksi</v>
      </c>
      <c r="T130" s="143"/>
      <c r="U130" s="9">
        <f t="shared" si="14"/>
        <v>0</v>
      </c>
      <c r="V130" s="11"/>
      <c r="W130" s="143"/>
      <c r="X130" s="143"/>
      <c r="Y130" s="9">
        <f t="shared" si="15"/>
        <v>0</v>
      </c>
      <c r="Z130" s="8" t="str">
        <f t="array" ref="Z130">IF(Y130&gt;5,"Perlu Sensus",IF(AND(Y130&gt;=0,W130&gt;0),"Tetap Deteksi","Belum Deteksi"))</f>
        <v>Belum Deteksi</v>
      </c>
      <c r="AA130" s="143"/>
      <c r="AB130" s="9">
        <f t="shared" si="16"/>
        <v>0</v>
      </c>
      <c r="AC130" s="11"/>
      <c r="AD130" s="143"/>
      <c r="AE130" s="9">
        <f t="array" ref="AE130">IFERROR(AD130/$G130*100,0)</f>
        <v>0</v>
      </c>
      <c r="AF130" s="143"/>
      <c r="AG130" s="9">
        <f t="shared" si="17"/>
        <v>0</v>
      </c>
      <c r="AH130" s="8" t="str">
        <f t="array" ref="AH130">IF(AG130&gt;5,"Perlu Sensus",IF(AND(AG130&gt;=0,AD130&gt;0),"Tetap Deteksi","Belum Deteksi"))</f>
        <v>Belum Deteksi</v>
      </c>
      <c r="AI130" s="143"/>
      <c r="AJ130" s="9">
        <f t="shared" si="18"/>
        <v>0</v>
      </c>
      <c r="AK130" s="11"/>
      <c r="AL130" s="143"/>
      <c r="AM130" s="143"/>
      <c r="AN130" s="9">
        <f t="shared" si="19"/>
        <v>0</v>
      </c>
      <c r="AO130" s="8" t="str">
        <f t="array" ref="AO130">IF(AN130&gt;5,"Perlu Sensus",IF(AND(AN130&gt;=0,AL130&gt;0),"Tetap Deteksi","Belum Deteksi"))</f>
        <v>Belum Deteksi</v>
      </c>
      <c r="AP130" s="143"/>
      <c r="AQ130" s="9">
        <f t="shared" si="20"/>
        <v>0</v>
      </c>
    </row>
    <row r="131" spans="1:43" outlineLevel="1" x14ac:dyDescent="0.15">
      <c r="A131" s="8" t="s">
        <v>1273</v>
      </c>
      <c r="B131" s="8" t="s">
        <v>14</v>
      </c>
      <c r="C131" s="8" t="s">
        <v>144</v>
      </c>
      <c r="D131" s="186" t="s">
        <v>1392</v>
      </c>
      <c r="E131" s="9">
        <v>34</v>
      </c>
      <c r="F131" s="8" t="s">
        <v>1740</v>
      </c>
      <c r="G131" s="10">
        <v>4711</v>
      </c>
      <c r="H131" s="11">
        <f t="array" ref="H131">IF(OR(N131&gt;0,AC131&gt;0),MAX(N131,AC131),MAX(AK131,V131))</f>
        <v>46249</v>
      </c>
      <c r="I131" s="143">
        <f t="array" ref="I131">IF(SUM(O131,AD131)&gt;0,SUM(O131,AD131),SUM(AL131,W131))</f>
        <v>125</v>
      </c>
      <c r="J131" s="9">
        <f t="shared" si="11"/>
        <v>2.6533644661430693</v>
      </c>
      <c r="K131" s="143">
        <f t="shared" si="21"/>
        <v>2</v>
      </c>
      <c r="L131" s="9">
        <f t="shared" si="12"/>
        <v>1.6</v>
      </c>
      <c r="M131" s="8" t="str">
        <f t="array" ref="M131">IF(L131&gt;5,"Perlu Sensus",IF(AND(L131&gt;=0,I131&gt;0),"Tetap Deteksi","Belum Deteksi"))</f>
        <v>Tetap Deteksi</v>
      </c>
      <c r="N131" s="132">
        <v>46249</v>
      </c>
      <c r="O131" s="143">
        <f t="array" ref="O131">INDEX([28]Sheet1!$H$24:$H$231,MATCH(1,([28]Sheet1!$E$24:$E$231=$D131)*([28]Sheet1!$E$24:$E$231=$D131),0))</f>
        <v>125</v>
      </c>
      <c r="P131" s="9">
        <f t="array" ref="P131">IFERROR(O131/$G131*100,0)</f>
        <v>2.6533644661430693</v>
      </c>
      <c r="Q131" s="143">
        <f t="array" ref="Q131">INDEX([28]Sheet1!$J$24:$J$231,MATCH(1,([28]Sheet1!$E$24:$E$231=$D131)*([28]Sheet1!$E$24:$E$231=$D131),0))</f>
        <v>2</v>
      </c>
      <c r="R131" s="9">
        <f t="shared" si="13"/>
        <v>1.6</v>
      </c>
      <c r="S131" s="8" t="str">
        <f t="array" ref="S131">IF(R131&gt;5,"Perlu Sensus",IF(AND(R131&gt;=0,O131&gt;0),"Tetap Deteksi","Belum Deteksi"))</f>
        <v>Tetap Deteksi</v>
      </c>
      <c r="T131" s="143"/>
      <c r="U131" s="9">
        <f t="shared" si="14"/>
        <v>0</v>
      </c>
      <c r="V131" s="11"/>
      <c r="W131" s="143"/>
      <c r="X131" s="143"/>
      <c r="Y131" s="9">
        <f t="shared" si="15"/>
        <v>0</v>
      </c>
      <c r="Z131" s="8" t="str">
        <f t="array" ref="Z131">IF(Y131&gt;5,"Perlu Sensus",IF(AND(Y131&gt;=0,W131&gt;0),"Tetap Deteksi","Belum Deteksi"))</f>
        <v>Belum Deteksi</v>
      </c>
      <c r="AA131" s="143"/>
      <c r="AB131" s="9">
        <f t="shared" si="16"/>
        <v>0</v>
      </c>
      <c r="AC131" s="11"/>
      <c r="AD131" s="143"/>
      <c r="AE131" s="9">
        <f t="array" ref="AE131">IFERROR(AD131/$G131*100,0)</f>
        <v>0</v>
      </c>
      <c r="AF131" s="143"/>
      <c r="AG131" s="9">
        <f t="shared" si="17"/>
        <v>0</v>
      </c>
      <c r="AH131" s="8" t="str">
        <f t="array" ref="AH131">IF(AG131&gt;5,"Perlu Sensus",IF(AND(AG131&gt;=0,AD131&gt;0),"Tetap Deteksi","Belum Deteksi"))</f>
        <v>Belum Deteksi</v>
      </c>
      <c r="AI131" s="143"/>
      <c r="AJ131" s="9">
        <f t="shared" si="18"/>
        <v>0</v>
      </c>
      <c r="AK131" s="11"/>
      <c r="AL131" s="143"/>
      <c r="AM131" s="143"/>
      <c r="AN131" s="9">
        <f t="shared" si="19"/>
        <v>0</v>
      </c>
      <c r="AO131" s="8" t="str">
        <f t="array" ref="AO131">IF(AN131&gt;5,"Perlu Sensus",IF(AND(AN131&gt;=0,AL131&gt;0),"Tetap Deteksi","Belum Deteksi"))</f>
        <v>Belum Deteksi</v>
      </c>
      <c r="AP131" s="143"/>
      <c r="AQ131" s="9">
        <f t="shared" si="20"/>
        <v>0</v>
      </c>
    </row>
    <row r="132" spans="1:43" outlineLevel="1" x14ac:dyDescent="0.15">
      <c r="A132" s="8" t="s">
        <v>1273</v>
      </c>
      <c r="B132" s="8" t="s">
        <v>14</v>
      </c>
      <c r="C132" s="8" t="s">
        <v>144</v>
      </c>
      <c r="D132" s="186" t="s">
        <v>1393</v>
      </c>
      <c r="E132" s="9">
        <v>36.69</v>
      </c>
      <c r="F132" s="8" t="s">
        <v>1740</v>
      </c>
      <c r="G132" s="10">
        <v>4806</v>
      </c>
      <c r="H132" s="11">
        <f t="array" ref="H132">IF(OR(N132&gt;0,AC132&gt;0),MAX(N132,AC132),MAX(AK132,V132))</f>
        <v>46249</v>
      </c>
      <c r="I132" s="143">
        <f t="array" ref="I132">IF(SUM(O132,AD132)&gt;0,SUM(O132,AD132),SUM(AL132,W132))</f>
        <v>53</v>
      </c>
      <c r="J132" s="9">
        <f t="shared" si="11"/>
        <v>1.1027881814398668</v>
      </c>
      <c r="K132" s="143">
        <f t="shared" si="21"/>
        <v>1</v>
      </c>
      <c r="L132" s="9">
        <f t="shared" si="12"/>
        <v>1.8867924528301887</v>
      </c>
      <c r="M132" s="8" t="str">
        <f t="array" ref="M132">IF(L132&gt;5,"Perlu Sensus",IF(AND(L132&gt;=0,I132&gt;0),"Tetap Deteksi","Belum Deteksi"))</f>
        <v>Tetap Deteksi</v>
      </c>
      <c r="N132" s="132">
        <v>46249</v>
      </c>
      <c r="O132" s="143">
        <f t="array" ref="O132">INDEX([28]Sheet1!$H$24:$H$231,MATCH(1,([28]Sheet1!$E$24:$E$231=$D132)*([28]Sheet1!$E$24:$E$231=$D132),0))</f>
        <v>53</v>
      </c>
      <c r="P132" s="9">
        <f t="array" ref="P132">IFERROR(O132/$G132*100,0)</f>
        <v>1.1027881814398668</v>
      </c>
      <c r="Q132" s="143">
        <f t="array" ref="Q132">INDEX([28]Sheet1!$J$24:$J$231,MATCH(1,([28]Sheet1!$E$24:$E$231=$D132)*([28]Sheet1!$E$24:$E$231=$D132),0))</f>
        <v>1</v>
      </c>
      <c r="R132" s="9">
        <f t="shared" si="13"/>
        <v>1.8867924528301887</v>
      </c>
      <c r="S132" s="8" t="str">
        <f t="array" ref="S132">IF(R132&gt;5,"Perlu Sensus",IF(AND(R132&gt;=0,O132&gt;0),"Tetap Deteksi","Belum Deteksi"))</f>
        <v>Tetap Deteksi</v>
      </c>
      <c r="T132" s="143"/>
      <c r="U132" s="9">
        <f t="shared" si="14"/>
        <v>0</v>
      </c>
      <c r="V132" s="11"/>
      <c r="W132" s="143"/>
      <c r="X132" s="143"/>
      <c r="Y132" s="9">
        <f t="shared" si="15"/>
        <v>0</v>
      </c>
      <c r="Z132" s="8" t="str">
        <f t="array" ref="Z132">IF(Y132&gt;5,"Perlu Sensus",IF(AND(Y132&gt;=0,W132&gt;0),"Tetap Deteksi","Belum Deteksi"))</f>
        <v>Belum Deteksi</v>
      </c>
      <c r="AA132" s="143"/>
      <c r="AB132" s="9">
        <f t="shared" si="16"/>
        <v>0</v>
      </c>
      <c r="AC132" s="11"/>
      <c r="AD132" s="143"/>
      <c r="AE132" s="9">
        <f t="array" ref="AE132">IFERROR(AD132/$G132*100,0)</f>
        <v>0</v>
      </c>
      <c r="AF132" s="143"/>
      <c r="AG132" s="9">
        <f t="shared" si="17"/>
        <v>0</v>
      </c>
      <c r="AH132" s="8" t="str">
        <f t="array" ref="AH132">IF(AG132&gt;5,"Perlu Sensus",IF(AND(AG132&gt;=0,AD132&gt;0),"Tetap Deteksi","Belum Deteksi"))</f>
        <v>Belum Deteksi</v>
      </c>
      <c r="AI132" s="143"/>
      <c r="AJ132" s="9">
        <f t="shared" si="18"/>
        <v>0</v>
      </c>
      <c r="AK132" s="11"/>
      <c r="AL132" s="143"/>
      <c r="AM132" s="143"/>
      <c r="AN132" s="9">
        <f t="shared" si="19"/>
        <v>0</v>
      </c>
      <c r="AO132" s="8" t="str">
        <f t="array" ref="AO132">IF(AN132&gt;5,"Perlu Sensus",IF(AND(AN132&gt;=0,AL132&gt;0),"Tetap Deteksi","Belum Deteksi"))</f>
        <v>Belum Deteksi</v>
      </c>
      <c r="AP132" s="143"/>
      <c r="AQ132" s="9">
        <f t="shared" si="20"/>
        <v>0</v>
      </c>
    </row>
    <row r="133" spans="1:43" outlineLevel="1" x14ac:dyDescent="0.15">
      <c r="A133" s="8" t="s">
        <v>1273</v>
      </c>
      <c r="B133" s="8" t="s">
        <v>14</v>
      </c>
      <c r="C133" s="8" t="s">
        <v>144</v>
      </c>
      <c r="D133" s="186" t="s">
        <v>1394</v>
      </c>
      <c r="E133" s="9">
        <v>36.409999999999997</v>
      </c>
      <c r="F133" s="8" t="s">
        <v>1740</v>
      </c>
      <c r="G133" s="10">
        <v>4786</v>
      </c>
      <c r="H133" s="11">
        <f t="array" ref="H133">IF(OR(N133&gt;0,AC133&gt;0),MAX(N133,AC133),MAX(AK133,V133))</f>
        <v>46249</v>
      </c>
      <c r="I133" s="143">
        <f t="array" ref="I133">IF(SUM(O133,AD133)&gt;0,SUM(O133,AD133),SUM(AL133,W133))</f>
        <v>148</v>
      </c>
      <c r="J133" s="9">
        <f t="shared" si="11"/>
        <v>3.0923526953614711</v>
      </c>
      <c r="K133" s="143">
        <f t="shared" si="21"/>
        <v>2</v>
      </c>
      <c r="L133" s="9">
        <f t="shared" si="12"/>
        <v>1.3513513513513513</v>
      </c>
      <c r="M133" s="8" t="str">
        <f t="array" ref="M133">IF(L133&gt;5,"Perlu Sensus",IF(AND(L133&gt;=0,I133&gt;0),"Tetap Deteksi","Belum Deteksi"))</f>
        <v>Tetap Deteksi</v>
      </c>
      <c r="N133" s="132">
        <v>46249</v>
      </c>
      <c r="O133" s="143">
        <f t="array" ref="O133">INDEX([28]Sheet1!$H$24:$H$231,MATCH(1,([28]Sheet1!$E$24:$E$231=$D133)*([28]Sheet1!$E$24:$E$231=$D133),0))</f>
        <v>148</v>
      </c>
      <c r="P133" s="9">
        <f t="array" ref="P133">IFERROR(O133/$G133*100,0)</f>
        <v>3.0923526953614711</v>
      </c>
      <c r="Q133" s="143">
        <f t="array" ref="Q133">INDEX([28]Sheet1!$J$24:$J$231,MATCH(1,([28]Sheet1!$E$24:$E$231=$D133)*([28]Sheet1!$E$24:$E$231=$D133),0))</f>
        <v>2</v>
      </c>
      <c r="R133" s="9">
        <f t="shared" si="13"/>
        <v>1.3513513513513513</v>
      </c>
      <c r="S133" s="8" t="str">
        <f t="array" ref="S133">IF(R133&gt;5,"Perlu Sensus",IF(AND(R133&gt;=0,O133&gt;0),"Tetap Deteksi","Belum Deteksi"))</f>
        <v>Tetap Deteksi</v>
      </c>
      <c r="T133" s="143"/>
      <c r="U133" s="9">
        <f t="shared" si="14"/>
        <v>0</v>
      </c>
      <c r="V133" s="11"/>
      <c r="W133" s="143"/>
      <c r="X133" s="143"/>
      <c r="Y133" s="9">
        <f t="shared" si="15"/>
        <v>0</v>
      </c>
      <c r="Z133" s="8" t="str">
        <f t="array" ref="Z133">IF(Y133&gt;5,"Perlu Sensus",IF(AND(Y133&gt;=0,W133&gt;0),"Tetap Deteksi","Belum Deteksi"))</f>
        <v>Belum Deteksi</v>
      </c>
      <c r="AA133" s="143"/>
      <c r="AB133" s="9">
        <f t="shared" si="16"/>
        <v>0</v>
      </c>
      <c r="AC133" s="11"/>
      <c r="AD133" s="143"/>
      <c r="AE133" s="9">
        <f t="array" ref="AE133">IFERROR(AD133/$G133*100,0)</f>
        <v>0</v>
      </c>
      <c r="AF133" s="143"/>
      <c r="AG133" s="9">
        <f t="shared" si="17"/>
        <v>0</v>
      </c>
      <c r="AH133" s="8" t="str">
        <f t="array" ref="AH133">IF(AG133&gt;5,"Perlu Sensus",IF(AND(AG133&gt;=0,AD133&gt;0),"Tetap Deteksi","Belum Deteksi"))</f>
        <v>Belum Deteksi</v>
      </c>
      <c r="AI133" s="143"/>
      <c r="AJ133" s="9">
        <f t="shared" si="18"/>
        <v>0</v>
      </c>
      <c r="AK133" s="11"/>
      <c r="AL133" s="143"/>
      <c r="AM133" s="143"/>
      <c r="AN133" s="9">
        <f t="shared" si="19"/>
        <v>0</v>
      </c>
      <c r="AO133" s="8" t="str">
        <f t="array" ref="AO133">IF(AN133&gt;5,"Perlu Sensus",IF(AND(AN133&gt;=0,AL133&gt;0),"Tetap Deteksi","Belum Deteksi"))</f>
        <v>Belum Deteksi</v>
      </c>
      <c r="AP133" s="143"/>
      <c r="AQ133" s="9">
        <f t="shared" si="20"/>
        <v>0</v>
      </c>
    </row>
    <row r="134" spans="1:43" outlineLevel="1" x14ac:dyDescent="0.15">
      <c r="A134" s="8" t="s">
        <v>1273</v>
      </c>
      <c r="B134" s="8" t="s">
        <v>14</v>
      </c>
      <c r="C134" s="8" t="s">
        <v>144</v>
      </c>
      <c r="D134" s="181" t="s">
        <v>1395</v>
      </c>
      <c r="E134" s="9">
        <v>18.779999999999998</v>
      </c>
      <c r="F134" s="8" t="s">
        <v>1740</v>
      </c>
      <c r="G134" s="10">
        <v>2591</v>
      </c>
      <c r="H134" s="11">
        <f t="array" ref="H134">IF(OR(N134&gt;0,AC134&gt;0),MAX(N134,AC134),MAX(AK134,V134))</f>
        <v>46249</v>
      </c>
      <c r="I134" s="143">
        <f t="array" ref="I134">IF(SUM(O134,AD134)&gt;0,SUM(O134,AD134),SUM(AL134,W134))</f>
        <v>206</v>
      </c>
      <c r="J134" s="9">
        <f t="shared" ref="J134:J197" si="22">IF(P134&gt;0,P134," ")</f>
        <v>7.9505982246236977</v>
      </c>
      <c r="K134" s="143">
        <f t="shared" si="21"/>
        <v>4</v>
      </c>
      <c r="L134" s="9">
        <f t="shared" ref="L134:L197" si="23">IFERROR(K134/I134*100,0)</f>
        <v>1.9417475728155338</v>
      </c>
      <c r="M134" s="8" t="str">
        <f t="array" ref="M134">IF(L134&gt;5,"Perlu Sensus",IF(AND(L134&gt;=0,I134&gt;0),"Tetap Deteksi","Belum Deteksi"))</f>
        <v>Tetap Deteksi</v>
      </c>
      <c r="N134" s="132">
        <v>46249</v>
      </c>
      <c r="O134" s="143">
        <f t="array" ref="O134">INDEX([28]Sheet1!$H$24:$H$231,MATCH(1,([28]Sheet1!$E$24:$E$231=$D134)*([28]Sheet1!$E$24:$E$231=$D134),0))</f>
        <v>206</v>
      </c>
      <c r="P134" s="9">
        <f t="array" ref="P134">IFERROR(O134/$G134*100,0)</f>
        <v>7.9505982246236977</v>
      </c>
      <c r="Q134" s="143">
        <f t="array" ref="Q134">INDEX([28]Sheet1!$J$24:$J$231,MATCH(1,([28]Sheet1!$E$24:$E$231=$D134)*([28]Sheet1!$E$24:$E$231=$D134),0))</f>
        <v>4</v>
      </c>
      <c r="R134" s="9">
        <f t="shared" ref="R134:R197" si="24">IFERROR(Q134/O134*100,0)</f>
        <v>1.9417475728155338</v>
      </c>
      <c r="S134" s="8" t="str">
        <f t="array" ref="S134">IF(R134&gt;5,"Perlu Sensus",IF(AND(R134&gt;=0,O134&gt;0),"Tetap Deteksi","Belum Deteksi"))</f>
        <v>Tetap Deteksi</v>
      </c>
      <c r="T134" s="143"/>
      <c r="U134" s="9">
        <f t="shared" ref="U134:U197" si="25">IFERROR(T134/O134*100,0)</f>
        <v>0</v>
      </c>
      <c r="V134" s="11"/>
      <c r="W134" s="143"/>
      <c r="X134" s="143"/>
      <c r="Y134" s="9">
        <f t="shared" ref="Y134:Y197" si="26">IFERROR(X134/W134*100,0)</f>
        <v>0</v>
      </c>
      <c r="Z134" s="8" t="str">
        <f t="array" ref="Z134">IF(Y134&gt;5,"Perlu Sensus",IF(AND(Y134&gt;=0,W134&gt;0),"Tetap Deteksi","Belum Deteksi"))</f>
        <v>Belum Deteksi</v>
      </c>
      <c r="AA134" s="143"/>
      <c r="AB134" s="9">
        <f t="shared" ref="AB134:AB197" si="27">IFERROR(AA134/W134*100,0)</f>
        <v>0</v>
      </c>
      <c r="AC134" s="11"/>
      <c r="AD134" s="143"/>
      <c r="AE134" s="9">
        <f t="array" ref="AE134">IFERROR(AD134/$G134*100,0)</f>
        <v>0</v>
      </c>
      <c r="AF134" s="143"/>
      <c r="AG134" s="9">
        <f t="shared" ref="AG134:AG197" si="28">IFERROR(AF134/AD134*100,0)</f>
        <v>0</v>
      </c>
      <c r="AH134" s="8" t="str">
        <f t="array" ref="AH134">IF(AG134&gt;5,"Perlu Sensus",IF(AND(AG134&gt;=0,AD134&gt;0),"Tetap Deteksi","Belum Deteksi"))</f>
        <v>Belum Deteksi</v>
      </c>
      <c r="AI134" s="143"/>
      <c r="AJ134" s="9">
        <f t="shared" ref="AJ134:AJ197" si="29">IFERROR(AI134/AD134*100,0)</f>
        <v>0</v>
      </c>
      <c r="AK134" s="11"/>
      <c r="AL134" s="143"/>
      <c r="AM134" s="143"/>
      <c r="AN134" s="9">
        <f t="shared" ref="AN134:AN197" si="30">IFERROR(AM134/AL134*100,0)</f>
        <v>0</v>
      </c>
      <c r="AO134" s="8" t="str">
        <f t="array" ref="AO134">IF(AN134&gt;5,"Perlu Sensus",IF(AND(AN134&gt;=0,AL134&gt;0),"Tetap Deteksi","Belum Deteksi"))</f>
        <v>Belum Deteksi</v>
      </c>
      <c r="AP134" s="143"/>
      <c r="AQ134" s="9">
        <f t="shared" ref="AQ134:AQ197" si="31">IFERROR(AP134/AL134*100,0)</f>
        <v>0</v>
      </c>
    </row>
    <row r="135" spans="1:43" outlineLevel="1" x14ac:dyDescent="0.15">
      <c r="A135" s="8" t="s">
        <v>1273</v>
      </c>
      <c r="B135" s="8" t="s">
        <v>14</v>
      </c>
      <c r="C135" s="8" t="s">
        <v>144</v>
      </c>
      <c r="D135" s="186" t="s">
        <v>1396</v>
      </c>
      <c r="E135" s="9">
        <v>27.549999999999997</v>
      </c>
      <c r="F135" s="8" t="s">
        <v>1740</v>
      </c>
      <c r="G135" s="10">
        <v>3833</v>
      </c>
      <c r="H135" s="11">
        <f t="array" ref="H135">IF(OR(N135&gt;0,AC135&gt;0),MAX(N135,AC135),MAX(AK135,V135))</f>
        <v>46249</v>
      </c>
      <c r="I135" s="143">
        <f t="array" ref="I135">IF(SUM(O135,AD135)&gt;0,SUM(O135,AD135),SUM(AL135,W135))</f>
        <v>131</v>
      </c>
      <c r="J135" s="9">
        <f t="shared" si="22"/>
        <v>3.417688494651709</v>
      </c>
      <c r="K135" s="143">
        <f t="shared" ref="K135:K198" si="32">IF(SUM(Q135,AF135)&gt;0,SUM(Q135,AF135),SUM(AM135,X135))</f>
        <v>2</v>
      </c>
      <c r="L135" s="9">
        <f t="shared" si="23"/>
        <v>1.5267175572519083</v>
      </c>
      <c r="M135" s="8" t="str">
        <f t="array" ref="M135">IF(L135&gt;5,"Perlu Sensus",IF(AND(L135&gt;=0,I135&gt;0),"Tetap Deteksi","Belum Deteksi"))</f>
        <v>Tetap Deteksi</v>
      </c>
      <c r="N135" s="132">
        <v>46249</v>
      </c>
      <c r="O135" s="143">
        <f t="array" ref="O135">INDEX([28]Sheet1!$H$24:$H$231,MATCH(1,([28]Sheet1!$E$24:$E$231=$D135)*([28]Sheet1!$E$24:$E$231=$D135),0))</f>
        <v>131</v>
      </c>
      <c r="P135" s="9">
        <f t="array" ref="P135">IFERROR(O135/$G135*100,0)</f>
        <v>3.417688494651709</v>
      </c>
      <c r="Q135" s="143">
        <f t="array" ref="Q135">INDEX([28]Sheet1!$J$24:$J$231,MATCH(1,([28]Sheet1!$E$24:$E$231=$D135)*([28]Sheet1!$E$24:$E$231=$D135),0))</f>
        <v>2</v>
      </c>
      <c r="R135" s="9">
        <f t="shared" si="24"/>
        <v>1.5267175572519083</v>
      </c>
      <c r="S135" s="8" t="str">
        <f t="array" ref="S135">IF(R135&gt;5,"Perlu Sensus",IF(AND(R135&gt;=0,O135&gt;0),"Tetap Deteksi","Belum Deteksi"))</f>
        <v>Tetap Deteksi</v>
      </c>
      <c r="T135" s="143"/>
      <c r="U135" s="9">
        <f t="shared" si="25"/>
        <v>0</v>
      </c>
      <c r="V135" s="11"/>
      <c r="W135" s="143"/>
      <c r="X135" s="143"/>
      <c r="Y135" s="9">
        <f t="shared" si="26"/>
        <v>0</v>
      </c>
      <c r="Z135" s="8" t="str">
        <f t="array" ref="Z135">IF(Y135&gt;5,"Perlu Sensus",IF(AND(Y135&gt;=0,W135&gt;0),"Tetap Deteksi","Belum Deteksi"))</f>
        <v>Belum Deteksi</v>
      </c>
      <c r="AA135" s="143"/>
      <c r="AB135" s="9">
        <f t="shared" si="27"/>
        <v>0</v>
      </c>
      <c r="AC135" s="11"/>
      <c r="AD135" s="143"/>
      <c r="AE135" s="9">
        <f t="array" ref="AE135">IFERROR(AD135/$G135*100,0)</f>
        <v>0</v>
      </c>
      <c r="AF135" s="143"/>
      <c r="AG135" s="9">
        <f t="shared" si="28"/>
        <v>0</v>
      </c>
      <c r="AH135" s="8" t="str">
        <f t="array" ref="AH135">IF(AG135&gt;5,"Perlu Sensus",IF(AND(AG135&gt;=0,AD135&gt;0),"Tetap Deteksi","Belum Deteksi"))</f>
        <v>Belum Deteksi</v>
      </c>
      <c r="AI135" s="143"/>
      <c r="AJ135" s="9">
        <f t="shared" si="29"/>
        <v>0</v>
      </c>
      <c r="AK135" s="11"/>
      <c r="AL135" s="143"/>
      <c r="AM135" s="143"/>
      <c r="AN135" s="9">
        <f t="shared" si="30"/>
        <v>0</v>
      </c>
      <c r="AO135" s="8" t="str">
        <f t="array" ref="AO135">IF(AN135&gt;5,"Perlu Sensus",IF(AND(AN135&gt;=0,AL135&gt;0),"Tetap Deteksi","Belum Deteksi"))</f>
        <v>Belum Deteksi</v>
      </c>
      <c r="AP135" s="143"/>
      <c r="AQ135" s="9">
        <f t="shared" si="31"/>
        <v>0</v>
      </c>
    </row>
    <row r="136" spans="1:43" outlineLevel="1" x14ac:dyDescent="0.15">
      <c r="A136" s="8" t="s">
        <v>1273</v>
      </c>
      <c r="B136" s="8" t="s">
        <v>14</v>
      </c>
      <c r="C136" s="8" t="s">
        <v>144</v>
      </c>
      <c r="D136" s="186" t="s">
        <v>1397</v>
      </c>
      <c r="E136" s="9">
        <v>26.919999999999998</v>
      </c>
      <c r="F136" s="8" t="s">
        <v>1740</v>
      </c>
      <c r="G136" s="10">
        <v>3675</v>
      </c>
      <c r="H136" s="11">
        <f t="array" ref="H136">IF(OR(N136&gt;0,AC136&gt;0),MAX(N136,AC136),MAX(AK136,V136))</f>
        <v>46249</v>
      </c>
      <c r="I136" s="143">
        <f t="array" ref="I136">IF(SUM(O136,AD136)&gt;0,SUM(O136,AD136),SUM(AL136,W136))</f>
        <v>89</v>
      </c>
      <c r="J136" s="9">
        <f t="shared" si="22"/>
        <v>2.4217687074829932</v>
      </c>
      <c r="K136" s="143">
        <f t="shared" si="32"/>
        <v>1</v>
      </c>
      <c r="L136" s="9">
        <f t="shared" si="23"/>
        <v>1.1235955056179776</v>
      </c>
      <c r="M136" s="8" t="str">
        <f t="array" ref="M136">IF(L136&gt;5,"Perlu Sensus",IF(AND(L136&gt;=0,I136&gt;0),"Tetap Deteksi","Belum Deteksi"))</f>
        <v>Tetap Deteksi</v>
      </c>
      <c r="N136" s="132">
        <v>46249</v>
      </c>
      <c r="O136" s="143">
        <f t="array" ref="O136">INDEX([28]Sheet1!$H$24:$H$231,MATCH(1,([28]Sheet1!$E$24:$E$231=$D136)*([28]Sheet1!$E$24:$E$231=$D136),0))</f>
        <v>89</v>
      </c>
      <c r="P136" s="9">
        <f t="array" ref="P136">IFERROR(O136/$G136*100,0)</f>
        <v>2.4217687074829932</v>
      </c>
      <c r="Q136" s="143">
        <f t="array" ref="Q136">INDEX([28]Sheet1!$J$24:$J$231,MATCH(1,([28]Sheet1!$E$24:$E$231=$D136)*([28]Sheet1!$E$24:$E$231=$D136),0))</f>
        <v>1</v>
      </c>
      <c r="R136" s="9">
        <f t="shared" si="24"/>
        <v>1.1235955056179776</v>
      </c>
      <c r="S136" s="8" t="str">
        <f t="array" ref="S136">IF(R136&gt;5,"Perlu Sensus",IF(AND(R136&gt;=0,O136&gt;0),"Tetap Deteksi","Belum Deteksi"))</f>
        <v>Tetap Deteksi</v>
      </c>
      <c r="T136" s="143"/>
      <c r="U136" s="9">
        <f t="shared" si="25"/>
        <v>0</v>
      </c>
      <c r="V136" s="11"/>
      <c r="W136" s="143"/>
      <c r="X136" s="143"/>
      <c r="Y136" s="9">
        <f t="shared" si="26"/>
        <v>0</v>
      </c>
      <c r="Z136" s="8" t="str">
        <f t="array" ref="Z136">IF(Y136&gt;5,"Perlu Sensus",IF(AND(Y136&gt;=0,W136&gt;0),"Tetap Deteksi","Belum Deteksi"))</f>
        <v>Belum Deteksi</v>
      </c>
      <c r="AA136" s="143"/>
      <c r="AB136" s="9">
        <f t="shared" si="27"/>
        <v>0</v>
      </c>
      <c r="AC136" s="11"/>
      <c r="AD136" s="143"/>
      <c r="AE136" s="9">
        <f t="array" ref="AE136">IFERROR(AD136/$G136*100,0)</f>
        <v>0</v>
      </c>
      <c r="AF136" s="143"/>
      <c r="AG136" s="9">
        <f t="shared" si="28"/>
        <v>0</v>
      </c>
      <c r="AH136" s="8" t="str">
        <f t="array" ref="AH136">IF(AG136&gt;5,"Perlu Sensus",IF(AND(AG136&gt;=0,AD136&gt;0),"Tetap Deteksi","Belum Deteksi"))</f>
        <v>Belum Deteksi</v>
      </c>
      <c r="AI136" s="143"/>
      <c r="AJ136" s="9">
        <f t="shared" si="29"/>
        <v>0</v>
      </c>
      <c r="AK136" s="11"/>
      <c r="AL136" s="143"/>
      <c r="AM136" s="143"/>
      <c r="AN136" s="9">
        <f t="shared" si="30"/>
        <v>0</v>
      </c>
      <c r="AO136" s="8" t="str">
        <f t="array" ref="AO136">IF(AN136&gt;5,"Perlu Sensus",IF(AND(AN136&gt;=0,AL136&gt;0),"Tetap Deteksi","Belum Deteksi"))</f>
        <v>Belum Deteksi</v>
      </c>
      <c r="AP136" s="143"/>
      <c r="AQ136" s="9">
        <f t="shared" si="31"/>
        <v>0</v>
      </c>
    </row>
    <row r="137" spans="1:43" outlineLevel="1" x14ac:dyDescent="0.15">
      <c r="A137" s="8" t="s">
        <v>1273</v>
      </c>
      <c r="B137" s="8" t="s">
        <v>14</v>
      </c>
      <c r="C137" s="8" t="s">
        <v>144</v>
      </c>
      <c r="D137" s="186" t="s">
        <v>1398</v>
      </c>
      <c r="E137" s="9">
        <v>27.54</v>
      </c>
      <c r="F137" s="8" t="s">
        <v>1740</v>
      </c>
      <c r="G137" s="10">
        <v>3741</v>
      </c>
      <c r="H137" s="11">
        <f t="array" ref="H137">IF(OR(N137&gt;0,AC137&gt;0),MAX(N137,AC137),MAX(AK137,V137))</f>
        <v>46249</v>
      </c>
      <c r="I137" s="143">
        <f t="array" ref="I137">IF(SUM(O137,AD137)&gt;0,SUM(O137,AD137),SUM(AL137,W137))</f>
        <v>136</v>
      </c>
      <c r="J137" s="9">
        <f t="shared" si="22"/>
        <v>3.6353916065223202</v>
      </c>
      <c r="K137" s="143">
        <f t="shared" si="32"/>
        <v>2</v>
      </c>
      <c r="L137" s="9">
        <f t="shared" si="23"/>
        <v>1.4705882352941175</v>
      </c>
      <c r="M137" s="8" t="str">
        <f t="array" ref="M137">IF(L137&gt;5,"Perlu Sensus",IF(AND(L137&gt;=0,I137&gt;0),"Tetap Deteksi","Belum Deteksi"))</f>
        <v>Tetap Deteksi</v>
      </c>
      <c r="N137" s="132">
        <v>46249</v>
      </c>
      <c r="O137" s="143">
        <f t="array" ref="O137">INDEX([28]Sheet1!$H$24:$H$231,MATCH(1,([28]Sheet1!$E$24:$E$231=$D137)*([28]Sheet1!$E$24:$E$231=$D137),0))</f>
        <v>136</v>
      </c>
      <c r="P137" s="9">
        <f t="array" ref="P137">IFERROR(O137/$G137*100,0)</f>
        <v>3.6353916065223202</v>
      </c>
      <c r="Q137" s="143">
        <f t="array" ref="Q137">INDEX([28]Sheet1!$J$24:$J$231,MATCH(1,([28]Sheet1!$E$24:$E$231=$D137)*([28]Sheet1!$E$24:$E$231=$D137),0))</f>
        <v>2</v>
      </c>
      <c r="R137" s="9">
        <f t="shared" si="24"/>
        <v>1.4705882352941175</v>
      </c>
      <c r="S137" s="8" t="str">
        <f t="array" ref="S137">IF(R137&gt;5,"Perlu Sensus",IF(AND(R137&gt;=0,O137&gt;0),"Tetap Deteksi","Belum Deteksi"))</f>
        <v>Tetap Deteksi</v>
      </c>
      <c r="T137" s="143"/>
      <c r="U137" s="9">
        <f t="shared" si="25"/>
        <v>0</v>
      </c>
      <c r="V137" s="11"/>
      <c r="W137" s="143"/>
      <c r="X137" s="143"/>
      <c r="Y137" s="9">
        <f t="shared" si="26"/>
        <v>0</v>
      </c>
      <c r="Z137" s="8" t="str">
        <f t="array" ref="Z137">IF(Y137&gt;5,"Perlu Sensus",IF(AND(Y137&gt;=0,W137&gt;0),"Tetap Deteksi","Belum Deteksi"))</f>
        <v>Belum Deteksi</v>
      </c>
      <c r="AA137" s="143"/>
      <c r="AB137" s="9">
        <f t="shared" si="27"/>
        <v>0</v>
      </c>
      <c r="AC137" s="11"/>
      <c r="AD137" s="143"/>
      <c r="AE137" s="9">
        <f t="array" ref="AE137">IFERROR(AD137/$G137*100,0)</f>
        <v>0</v>
      </c>
      <c r="AF137" s="143"/>
      <c r="AG137" s="9">
        <f t="shared" si="28"/>
        <v>0</v>
      </c>
      <c r="AH137" s="8" t="str">
        <f t="array" ref="AH137">IF(AG137&gt;5,"Perlu Sensus",IF(AND(AG137&gt;=0,AD137&gt;0),"Tetap Deteksi","Belum Deteksi"))</f>
        <v>Belum Deteksi</v>
      </c>
      <c r="AI137" s="143"/>
      <c r="AJ137" s="9">
        <f t="shared" si="29"/>
        <v>0</v>
      </c>
      <c r="AK137" s="11"/>
      <c r="AL137" s="143"/>
      <c r="AM137" s="143"/>
      <c r="AN137" s="9">
        <f t="shared" si="30"/>
        <v>0</v>
      </c>
      <c r="AO137" s="8" t="str">
        <f t="array" ref="AO137">IF(AN137&gt;5,"Perlu Sensus",IF(AND(AN137&gt;=0,AL137&gt;0),"Tetap Deteksi","Belum Deteksi"))</f>
        <v>Belum Deteksi</v>
      </c>
      <c r="AP137" s="143"/>
      <c r="AQ137" s="9">
        <f t="shared" si="31"/>
        <v>0</v>
      </c>
    </row>
    <row r="138" spans="1:43" outlineLevel="1" x14ac:dyDescent="0.15">
      <c r="A138" s="8" t="s">
        <v>1273</v>
      </c>
      <c r="B138" s="8" t="s">
        <v>14</v>
      </c>
      <c r="C138" s="8" t="s">
        <v>144</v>
      </c>
      <c r="D138" s="186" t="s">
        <v>1399</v>
      </c>
      <c r="E138" s="9">
        <v>21.95</v>
      </c>
      <c r="F138" s="8" t="s">
        <v>1740</v>
      </c>
      <c r="G138" s="10">
        <v>1534</v>
      </c>
      <c r="H138" s="11">
        <f t="array" ref="H138">IF(OR(N138&gt;0,AC138&gt;0),MAX(N138,AC138),MAX(AK138,V138))</f>
        <v>46249</v>
      </c>
      <c r="I138" s="143">
        <f t="array" ref="I138">IF(SUM(O138,AD138)&gt;0,SUM(O138,AD138),SUM(AL138,W138))</f>
        <v>146</v>
      </c>
      <c r="J138" s="9">
        <f t="shared" si="22"/>
        <v>9.5176010430247722</v>
      </c>
      <c r="K138" s="143">
        <f t="shared" si="32"/>
        <v>2</v>
      </c>
      <c r="L138" s="9">
        <f t="shared" si="23"/>
        <v>1.3698630136986301</v>
      </c>
      <c r="M138" s="8" t="str">
        <f t="array" ref="M138">IF(L138&gt;5,"Perlu Sensus",IF(AND(L138&gt;=0,I138&gt;0),"Tetap Deteksi","Belum Deteksi"))</f>
        <v>Tetap Deteksi</v>
      </c>
      <c r="N138" s="132">
        <v>46249</v>
      </c>
      <c r="O138" s="143">
        <f t="array" ref="O138">INDEX([28]Sheet1!$H$24:$H$231,MATCH(1,([28]Sheet1!$E$24:$E$231=$D138)*([28]Sheet1!$E$24:$E$231=$D138),0))</f>
        <v>146</v>
      </c>
      <c r="P138" s="9">
        <f t="array" ref="P138">IFERROR(O138/$G138*100,0)</f>
        <v>9.5176010430247722</v>
      </c>
      <c r="Q138" s="143">
        <f t="array" ref="Q138">INDEX([28]Sheet1!$J$24:$J$231,MATCH(1,([28]Sheet1!$E$24:$E$231=$D138)*([28]Sheet1!$E$24:$E$231=$D138),0))</f>
        <v>2</v>
      </c>
      <c r="R138" s="9">
        <f t="shared" si="24"/>
        <v>1.3698630136986301</v>
      </c>
      <c r="S138" s="8" t="str">
        <f t="array" ref="S138">IF(R138&gt;5,"Perlu Sensus",IF(AND(R138&gt;=0,O138&gt;0),"Tetap Deteksi","Belum Deteksi"))</f>
        <v>Tetap Deteksi</v>
      </c>
      <c r="T138" s="143"/>
      <c r="U138" s="9">
        <f t="shared" si="25"/>
        <v>0</v>
      </c>
      <c r="V138" s="11"/>
      <c r="W138" s="143"/>
      <c r="X138" s="143"/>
      <c r="Y138" s="9">
        <f t="shared" si="26"/>
        <v>0</v>
      </c>
      <c r="Z138" s="8" t="str">
        <f t="array" ref="Z138">IF(Y138&gt;5,"Perlu Sensus",IF(AND(Y138&gt;=0,W138&gt;0),"Tetap Deteksi","Belum Deteksi"))</f>
        <v>Belum Deteksi</v>
      </c>
      <c r="AA138" s="143"/>
      <c r="AB138" s="9">
        <f t="shared" si="27"/>
        <v>0</v>
      </c>
      <c r="AC138" s="11"/>
      <c r="AD138" s="143"/>
      <c r="AE138" s="9">
        <f t="array" ref="AE138">IFERROR(AD138/$G138*100,0)</f>
        <v>0</v>
      </c>
      <c r="AF138" s="143"/>
      <c r="AG138" s="9">
        <f t="shared" si="28"/>
        <v>0</v>
      </c>
      <c r="AH138" s="8" t="str">
        <f t="array" ref="AH138">IF(AG138&gt;5,"Perlu Sensus",IF(AND(AG138&gt;=0,AD138&gt;0),"Tetap Deteksi","Belum Deteksi"))</f>
        <v>Belum Deteksi</v>
      </c>
      <c r="AI138" s="143"/>
      <c r="AJ138" s="9">
        <f t="shared" si="29"/>
        <v>0</v>
      </c>
      <c r="AK138" s="11"/>
      <c r="AL138" s="143"/>
      <c r="AM138" s="143"/>
      <c r="AN138" s="9">
        <f t="shared" si="30"/>
        <v>0</v>
      </c>
      <c r="AO138" s="8" t="str">
        <f t="array" ref="AO138">IF(AN138&gt;5,"Perlu Sensus",IF(AND(AN138&gt;=0,AL138&gt;0),"Tetap Deteksi","Belum Deteksi"))</f>
        <v>Belum Deteksi</v>
      </c>
      <c r="AP138" s="143"/>
      <c r="AQ138" s="9">
        <f t="shared" si="31"/>
        <v>0</v>
      </c>
    </row>
    <row r="139" spans="1:43" outlineLevel="1" x14ac:dyDescent="0.15">
      <c r="A139" s="8" t="s">
        <v>1273</v>
      </c>
      <c r="B139" s="8" t="s">
        <v>14</v>
      </c>
      <c r="C139" s="8" t="s">
        <v>144</v>
      </c>
      <c r="D139" s="186" t="s">
        <v>1400</v>
      </c>
      <c r="E139" s="9">
        <v>25.400000000000002</v>
      </c>
      <c r="F139" s="8" t="s">
        <v>1740</v>
      </c>
      <c r="G139" s="10">
        <v>3287</v>
      </c>
      <c r="H139" s="11">
        <f t="array" ref="H139">IF(OR(N139&gt;0,AC139&gt;0),MAX(N139,AC139),MAX(AK139,V139))</f>
        <v>46249</v>
      </c>
      <c r="I139" s="143">
        <f t="array" ref="I139">IF(SUM(O139,AD139)&gt;0,SUM(O139,AD139),SUM(AL139,W139))</f>
        <v>58</v>
      </c>
      <c r="J139" s="9">
        <f t="shared" si="22"/>
        <v>1.7645269242470336</v>
      </c>
      <c r="K139" s="143">
        <f t="shared" si="32"/>
        <v>1</v>
      </c>
      <c r="L139" s="9">
        <f t="shared" si="23"/>
        <v>1.7241379310344827</v>
      </c>
      <c r="M139" s="8" t="str">
        <f t="array" ref="M139">IF(L139&gt;5,"Perlu Sensus",IF(AND(L139&gt;=0,I139&gt;0),"Tetap Deteksi","Belum Deteksi"))</f>
        <v>Tetap Deteksi</v>
      </c>
      <c r="N139" s="132">
        <v>46249</v>
      </c>
      <c r="O139" s="143">
        <f t="array" ref="O139">INDEX([28]Sheet1!$H$24:$H$231,MATCH(1,([28]Sheet1!$E$24:$E$231=$D139)*([28]Sheet1!$E$24:$E$231=$D139),0))</f>
        <v>58</v>
      </c>
      <c r="P139" s="9">
        <f t="array" ref="P139">IFERROR(O139/$G139*100,0)</f>
        <v>1.7645269242470336</v>
      </c>
      <c r="Q139" s="143">
        <f t="array" ref="Q139">INDEX([28]Sheet1!$J$24:$J$231,MATCH(1,([28]Sheet1!$E$24:$E$231=$D139)*([28]Sheet1!$E$24:$E$231=$D139),0))</f>
        <v>1</v>
      </c>
      <c r="R139" s="9">
        <f t="shared" si="24"/>
        <v>1.7241379310344827</v>
      </c>
      <c r="S139" s="8" t="str">
        <f t="array" ref="S139">IF(R139&gt;5,"Perlu Sensus",IF(AND(R139&gt;=0,O139&gt;0),"Tetap Deteksi","Belum Deteksi"))</f>
        <v>Tetap Deteksi</v>
      </c>
      <c r="T139" s="143"/>
      <c r="U139" s="9">
        <f t="shared" si="25"/>
        <v>0</v>
      </c>
      <c r="V139" s="11"/>
      <c r="W139" s="143"/>
      <c r="X139" s="143"/>
      <c r="Y139" s="9">
        <f t="shared" si="26"/>
        <v>0</v>
      </c>
      <c r="Z139" s="8" t="str">
        <f t="array" ref="Z139">IF(Y139&gt;5,"Perlu Sensus",IF(AND(Y139&gt;=0,W139&gt;0),"Tetap Deteksi","Belum Deteksi"))</f>
        <v>Belum Deteksi</v>
      </c>
      <c r="AA139" s="143"/>
      <c r="AB139" s="9">
        <f t="shared" si="27"/>
        <v>0</v>
      </c>
      <c r="AC139" s="11"/>
      <c r="AD139" s="143"/>
      <c r="AE139" s="9">
        <f t="array" ref="AE139">IFERROR(AD139/$G139*100,0)</f>
        <v>0</v>
      </c>
      <c r="AF139" s="143"/>
      <c r="AG139" s="9">
        <f t="shared" si="28"/>
        <v>0</v>
      </c>
      <c r="AH139" s="8" t="str">
        <f t="array" ref="AH139">IF(AG139&gt;5,"Perlu Sensus",IF(AND(AG139&gt;=0,AD139&gt;0),"Tetap Deteksi","Belum Deteksi"))</f>
        <v>Belum Deteksi</v>
      </c>
      <c r="AI139" s="143"/>
      <c r="AJ139" s="9">
        <f t="shared" si="29"/>
        <v>0</v>
      </c>
      <c r="AK139" s="11"/>
      <c r="AL139" s="143"/>
      <c r="AM139" s="143"/>
      <c r="AN139" s="9">
        <f t="shared" si="30"/>
        <v>0</v>
      </c>
      <c r="AO139" s="8" t="str">
        <f t="array" ref="AO139">IF(AN139&gt;5,"Perlu Sensus",IF(AND(AN139&gt;=0,AL139&gt;0),"Tetap Deteksi","Belum Deteksi"))</f>
        <v>Belum Deteksi</v>
      </c>
      <c r="AP139" s="143"/>
      <c r="AQ139" s="9">
        <f t="shared" si="31"/>
        <v>0</v>
      </c>
    </row>
    <row r="140" spans="1:43" outlineLevel="1" x14ac:dyDescent="0.15">
      <c r="A140" s="8" t="s">
        <v>1273</v>
      </c>
      <c r="B140" s="8" t="s">
        <v>14</v>
      </c>
      <c r="C140" s="8" t="s">
        <v>144</v>
      </c>
      <c r="D140" s="186" t="s">
        <v>1401</v>
      </c>
      <c r="E140" s="9">
        <v>26.169999999999998</v>
      </c>
      <c r="F140" s="8" t="s">
        <v>1740</v>
      </c>
      <c r="G140" s="10">
        <v>3033</v>
      </c>
      <c r="H140" s="11">
        <f t="array" ref="H140">IF(OR(N140&gt;0,AC140&gt;0),MAX(N140,AC140),MAX(AK140,V140))</f>
        <v>46249</v>
      </c>
      <c r="I140" s="143">
        <f t="array" ref="I140">IF(SUM(O140,AD140)&gt;0,SUM(O140,AD140),SUM(AL140,W140))</f>
        <v>121</v>
      </c>
      <c r="J140" s="9">
        <f t="shared" si="22"/>
        <v>3.9894493900428616</v>
      </c>
      <c r="K140" s="143">
        <f t="shared" si="32"/>
        <v>2</v>
      </c>
      <c r="L140" s="9">
        <f t="shared" si="23"/>
        <v>1.6528925619834711</v>
      </c>
      <c r="M140" s="8" t="str">
        <f t="array" ref="M140">IF(L140&gt;5,"Perlu Sensus",IF(AND(L140&gt;=0,I140&gt;0),"Tetap Deteksi","Belum Deteksi"))</f>
        <v>Tetap Deteksi</v>
      </c>
      <c r="N140" s="132">
        <v>46249</v>
      </c>
      <c r="O140" s="143">
        <f t="array" ref="O140">INDEX([28]Sheet1!$H$24:$H$231,MATCH(1,([28]Sheet1!$E$24:$E$231=$D140)*([28]Sheet1!$E$24:$E$231=$D140),0))</f>
        <v>121</v>
      </c>
      <c r="P140" s="9">
        <f t="array" ref="P140">IFERROR(O140/$G140*100,0)</f>
        <v>3.9894493900428616</v>
      </c>
      <c r="Q140" s="143">
        <f t="array" ref="Q140">INDEX([28]Sheet1!$J$24:$J$231,MATCH(1,([28]Sheet1!$E$24:$E$231=$D140)*([28]Sheet1!$E$24:$E$231=$D140),0))</f>
        <v>2</v>
      </c>
      <c r="R140" s="9">
        <f t="shared" si="24"/>
        <v>1.6528925619834711</v>
      </c>
      <c r="S140" s="8" t="str">
        <f t="array" ref="S140">IF(R140&gt;5,"Perlu Sensus",IF(AND(R140&gt;=0,O140&gt;0),"Tetap Deteksi","Belum Deteksi"))</f>
        <v>Tetap Deteksi</v>
      </c>
      <c r="T140" s="143"/>
      <c r="U140" s="9">
        <f t="shared" si="25"/>
        <v>0</v>
      </c>
      <c r="V140" s="11"/>
      <c r="W140" s="143"/>
      <c r="X140" s="143"/>
      <c r="Y140" s="9">
        <f t="shared" si="26"/>
        <v>0</v>
      </c>
      <c r="Z140" s="8" t="str">
        <f t="array" ref="Z140">IF(Y140&gt;5,"Perlu Sensus",IF(AND(Y140&gt;=0,W140&gt;0),"Tetap Deteksi","Belum Deteksi"))</f>
        <v>Belum Deteksi</v>
      </c>
      <c r="AA140" s="143"/>
      <c r="AB140" s="9">
        <f t="shared" si="27"/>
        <v>0</v>
      </c>
      <c r="AC140" s="11"/>
      <c r="AD140" s="143"/>
      <c r="AE140" s="9">
        <f t="array" ref="AE140">IFERROR(AD140/$G140*100,0)</f>
        <v>0</v>
      </c>
      <c r="AF140" s="143"/>
      <c r="AG140" s="9">
        <f t="shared" si="28"/>
        <v>0</v>
      </c>
      <c r="AH140" s="8" t="str">
        <f t="array" ref="AH140">IF(AG140&gt;5,"Perlu Sensus",IF(AND(AG140&gt;=0,AD140&gt;0),"Tetap Deteksi","Belum Deteksi"))</f>
        <v>Belum Deteksi</v>
      </c>
      <c r="AI140" s="143"/>
      <c r="AJ140" s="9">
        <f t="shared" si="29"/>
        <v>0</v>
      </c>
      <c r="AK140" s="11"/>
      <c r="AL140" s="143"/>
      <c r="AM140" s="143"/>
      <c r="AN140" s="9">
        <f t="shared" si="30"/>
        <v>0</v>
      </c>
      <c r="AO140" s="8" t="str">
        <f t="array" ref="AO140">IF(AN140&gt;5,"Perlu Sensus",IF(AND(AN140&gt;=0,AL140&gt;0),"Tetap Deteksi","Belum Deteksi"))</f>
        <v>Belum Deteksi</v>
      </c>
      <c r="AP140" s="143"/>
      <c r="AQ140" s="9">
        <f t="shared" si="31"/>
        <v>0</v>
      </c>
    </row>
    <row r="141" spans="1:43" outlineLevel="1" x14ac:dyDescent="0.15">
      <c r="A141" s="8" t="s">
        <v>1273</v>
      </c>
      <c r="B141" s="8" t="s">
        <v>14</v>
      </c>
      <c r="C141" s="8" t="s">
        <v>144</v>
      </c>
      <c r="D141" s="186" t="s">
        <v>1402</v>
      </c>
      <c r="E141" s="9">
        <v>28.76</v>
      </c>
      <c r="F141" s="8" t="s">
        <v>1740</v>
      </c>
      <c r="G141" s="10">
        <v>3575</v>
      </c>
      <c r="H141" s="11">
        <f t="array" ref="H141">IF(OR(N141&gt;0,AC141&gt;0),MAX(N141,AC141),MAX(AK141,V141))</f>
        <v>46249</v>
      </c>
      <c r="I141" s="143">
        <f t="array" ref="I141">IF(SUM(O141,AD141)&gt;0,SUM(O141,AD141),SUM(AL141,W141))</f>
        <v>122</v>
      </c>
      <c r="J141" s="9">
        <f t="shared" si="22"/>
        <v>3.4125874125874125</v>
      </c>
      <c r="K141" s="143">
        <f t="shared" si="32"/>
        <v>2</v>
      </c>
      <c r="L141" s="9">
        <f t="shared" si="23"/>
        <v>1.639344262295082</v>
      </c>
      <c r="M141" s="8" t="str">
        <f t="array" ref="M141">IF(L141&gt;5,"Perlu Sensus",IF(AND(L141&gt;=0,I141&gt;0),"Tetap Deteksi","Belum Deteksi"))</f>
        <v>Tetap Deteksi</v>
      </c>
      <c r="N141" s="132">
        <v>46249</v>
      </c>
      <c r="O141" s="143">
        <f t="array" ref="O141">INDEX([28]Sheet1!$H$24:$H$231,MATCH(1,([28]Sheet1!$E$24:$E$231=$D141)*([28]Sheet1!$E$24:$E$231=$D141),0))</f>
        <v>122</v>
      </c>
      <c r="P141" s="9">
        <f t="array" ref="P141">IFERROR(O141/$G141*100,0)</f>
        <v>3.4125874125874125</v>
      </c>
      <c r="Q141" s="143">
        <f t="array" ref="Q141">INDEX([28]Sheet1!$J$24:$J$231,MATCH(1,([28]Sheet1!$E$24:$E$231=$D141)*([28]Sheet1!$E$24:$E$231=$D141),0))</f>
        <v>2</v>
      </c>
      <c r="R141" s="9">
        <f t="shared" si="24"/>
        <v>1.639344262295082</v>
      </c>
      <c r="S141" s="8" t="str">
        <f t="array" ref="S141">IF(R141&gt;5,"Perlu Sensus",IF(AND(R141&gt;=0,O141&gt;0),"Tetap Deteksi","Belum Deteksi"))</f>
        <v>Tetap Deteksi</v>
      </c>
      <c r="T141" s="143"/>
      <c r="U141" s="9">
        <f t="shared" si="25"/>
        <v>0</v>
      </c>
      <c r="V141" s="11"/>
      <c r="W141" s="143"/>
      <c r="X141" s="143"/>
      <c r="Y141" s="9">
        <f t="shared" si="26"/>
        <v>0</v>
      </c>
      <c r="Z141" s="8" t="str">
        <f t="array" ref="Z141">IF(Y141&gt;5,"Perlu Sensus",IF(AND(Y141&gt;=0,W141&gt;0),"Tetap Deteksi","Belum Deteksi"))</f>
        <v>Belum Deteksi</v>
      </c>
      <c r="AA141" s="143"/>
      <c r="AB141" s="9">
        <f t="shared" si="27"/>
        <v>0</v>
      </c>
      <c r="AC141" s="11"/>
      <c r="AD141" s="143"/>
      <c r="AE141" s="9">
        <f t="array" ref="AE141">IFERROR(AD141/$G141*100,0)</f>
        <v>0</v>
      </c>
      <c r="AF141" s="143"/>
      <c r="AG141" s="9">
        <f t="shared" si="28"/>
        <v>0</v>
      </c>
      <c r="AH141" s="8" t="str">
        <f t="array" ref="AH141">IF(AG141&gt;5,"Perlu Sensus",IF(AND(AG141&gt;=0,AD141&gt;0),"Tetap Deteksi","Belum Deteksi"))</f>
        <v>Belum Deteksi</v>
      </c>
      <c r="AI141" s="143"/>
      <c r="AJ141" s="9">
        <f t="shared" si="29"/>
        <v>0</v>
      </c>
      <c r="AK141" s="11"/>
      <c r="AL141" s="143"/>
      <c r="AM141" s="143"/>
      <c r="AN141" s="9">
        <f t="shared" si="30"/>
        <v>0</v>
      </c>
      <c r="AO141" s="8" t="str">
        <f t="array" ref="AO141">IF(AN141&gt;5,"Perlu Sensus",IF(AND(AN141&gt;=0,AL141&gt;0),"Tetap Deteksi","Belum Deteksi"))</f>
        <v>Belum Deteksi</v>
      </c>
      <c r="AP141" s="143"/>
      <c r="AQ141" s="9">
        <f t="shared" si="31"/>
        <v>0</v>
      </c>
    </row>
    <row r="142" spans="1:43" outlineLevel="1" x14ac:dyDescent="0.15">
      <c r="A142" s="8" t="s">
        <v>1273</v>
      </c>
      <c r="B142" s="8" t="s">
        <v>14</v>
      </c>
      <c r="C142" s="8" t="s">
        <v>144</v>
      </c>
      <c r="D142" s="186" t="s">
        <v>1403</v>
      </c>
      <c r="E142" s="9">
        <v>28.85</v>
      </c>
      <c r="F142" s="8" t="s">
        <v>1740</v>
      </c>
      <c r="G142" s="10">
        <v>3616</v>
      </c>
      <c r="H142" s="11">
        <f t="array" ref="H142">IF(OR(N142&gt;0,AC142&gt;0),MAX(N142,AC142),MAX(AK142,V142))</f>
        <v>46249</v>
      </c>
      <c r="I142" s="143">
        <f t="array" ref="I142">IF(SUM(O142,AD142)&gt;0,SUM(O142,AD142),SUM(AL142,W142))</f>
        <v>144</v>
      </c>
      <c r="J142" s="9">
        <f t="shared" si="22"/>
        <v>3.9823008849557522</v>
      </c>
      <c r="K142" s="143">
        <f t="shared" si="32"/>
        <v>2</v>
      </c>
      <c r="L142" s="9">
        <f t="shared" si="23"/>
        <v>1.3888888888888888</v>
      </c>
      <c r="M142" s="8" t="str">
        <f t="array" ref="M142">IF(L142&gt;5,"Perlu Sensus",IF(AND(L142&gt;=0,I142&gt;0),"Tetap Deteksi","Belum Deteksi"))</f>
        <v>Tetap Deteksi</v>
      </c>
      <c r="N142" s="132">
        <v>46249</v>
      </c>
      <c r="O142" s="143">
        <f t="array" ref="O142">INDEX([28]Sheet1!$H$24:$H$231,MATCH(1,([28]Sheet1!$E$24:$E$231=$D142)*([28]Sheet1!$E$24:$E$231=$D142),0))</f>
        <v>144</v>
      </c>
      <c r="P142" s="9">
        <f t="array" ref="P142">IFERROR(O142/$G142*100,0)</f>
        <v>3.9823008849557522</v>
      </c>
      <c r="Q142" s="143">
        <f t="array" ref="Q142">INDEX([28]Sheet1!$J$24:$J$231,MATCH(1,([28]Sheet1!$E$24:$E$231=$D142)*([28]Sheet1!$E$24:$E$231=$D142),0))</f>
        <v>2</v>
      </c>
      <c r="R142" s="9">
        <f t="shared" si="24"/>
        <v>1.3888888888888888</v>
      </c>
      <c r="S142" s="8" t="str">
        <f t="array" ref="S142">IF(R142&gt;5,"Perlu Sensus",IF(AND(R142&gt;=0,O142&gt;0),"Tetap Deteksi","Belum Deteksi"))</f>
        <v>Tetap Deteksi</v>
      </c>
      <c r="T142" s="143"/>
      <c r="U142" s="9">
        <f t="shared" si="25"/>
        <v>0</v>
      </c>
      <c r="V142" s="11"/>
      <c r="W142" s="143"/>
      <c r="X142" s="143"/>
      <c r="Y142" s="9">
        <f t="shared" si="26"/>
        <v>0</v>
      </c>
      <c r="Z142" s="8" t="str">
        <f t="array" ref="Z142">IF(Y142&gt;5,"Perlu Sensus",IF(AND(Y142&gt;=0,W142&gt;0),"Tetap Deteksi","Belum Deteksi"))</f>
        <v>Belum Deteksi</v>
      </c>
      <c r="AA142" s="143"/>
      <c r="AB142" s="9">
        <f t="shared" si="27"/>
        <v>0</v>
      </c>
      <c r="AC142" s="11"/>
      <c r="AD142" s="143"/>
      <c r="AE142" s="9">
        <f t="array" ref="AE142">IFERROR(AD142/$G142*100,0)</f>
        <v>0</v>
      </c>
      <c r="AF142" s="143"/>
      <c r="AG142" s="9">
        <f t="shared" si="28"/>
        <v>0</v>
      </c>
      <c r="AH142" s="8" t="str">
        <f t="array" ref="AH142">IF(AG142&gt;5,"Perlu Sensus",IF(AND(AG142&gt;=0,AD142&gt;0),"Tetap Deteksi","Belum Deteksi"))</f>
        <v>Belum Deteksi</v>
      </c>
      <c r="AI142" s="143"/>
      <c r="AJ142" s="9">
        <f t="shared" si="29"/>
        <v>0</v>
      </c>
      <c r="AK142" s="11"/>
      <c r="AL142" s="143"/>
      <c r="AM142" s="143"/>
      <c r="AN142" s="9">
        <f t="shared" si="30"/>
        <v>0</v>
      </c>
      <c r="AO142" s="8" t="str">
        <f t="array" ref="AO142">IF(AN142&gt;5,"Perlu Sensus",IF(AND(AN142&gt;=0,AL142&gt;0),"Tetap Deteksi","Belum Deteksi"))</f>
        <v>Belum Deteksi</v>
      </c>
      <c r="AP142" s="143"/>
      <c r="AQ142" s="9">
        <f t="shared" si="31"/>
        <v>0</v>
      </c>
    </row>
    <row r="143" spans="1:43" outlineLevel="1" x14ac:dyDescent="0.15">
      <c r="A143" s="8" t="s">
        <v>1273</v>
      </c>
      <c r="B143" s="8" t="s">
        <v>14</v>
      </c>
      <c r="C143" s="8" t="s">
        <v>144</v>
      </c>
      <c r="D143" s="186" t="s">
        <v>1404</v>
      </c>
      <c r="E143" s="9">
        <v>30.58</v>
      </c>
      <c r="F143" s="8" t="s">
        <v>1740</v>
      </c>
      <c r="G143" s="10">
        <v>3391</v>
      </c>
      <c r="H143" s="11">
        <f t="array" ref="H143">IF(OR(N143&gt;0,AC143&gt;0),MAX(N143,AC143),MAX(AK143,V143))</f>
        <v>46249</v>
      </c>
      <c r="I143" s="143">
        <f t="array" ref="I143">IF(SUM(O143,AD143)&gt;0,SUM(O143,AD143),SUM(AL143,W143))</f>
        <v>124</v>
      </c>
      <c r="J143" s="9">
        <f t="shared" si="22"/>
        <v>3.6567384252432911</v>
      </c>
      <c r="K143" s="143">
        <f t="shared" si="32"/>
        <v>2</v>
      </c>
      <c r="L143" s="9">
        <f t="shared" si="23"/>
        <v>1.6129032258064515</v>
      </c>
      <c r="M143" s="8" t="str">
        <f t="array" ref="M143">IF(L143&gt;5,"Perlu Sensus",IF(AND(L143&gt;=0,I143&gt;0),"Tetap Deteksi","Belum Deteksi"))</f>
        <v>Tetap Deteksi</v>
      </c>
      <c r="N143" s="132">
        <v>46249</v>
      </c>
      <c r="O143" s="143">
        <f t="array" ref="O143">INDEX([28]Sheet1!$H$24:$H$231,MATCH(1,([28]Sheet1!$E$24:$E$231=$D143)*([28]Sheet1!$E$24:$E$231=$D143),0))</f>
        <v>124</v>
      </c>
      <c r="P143" s="9">
        <f t="array" ref="P143">IFERROR(O143/$G143*100,0)</f>
        <v>3.6567384252432911</v>
      </c>
      <c r="Q143" s="143">
        <f t="array" ref="Q143">INDEX([28]Sheet1!$J$24:$J$231,MATCH(1,([28]Sheet1!$E$24:$E$231=$D143)*([28]Sheet1!$E$24:$E$231=$D143),0))</f>
        <v>2</v>
      </c>
      <c r="R143" s="9">
        <f t="shared" si="24"/>
        <v>1.6129032258064515</v>
      </c>
      <c r="S143" s="8" t="str">
        <f t="array" ref="S143">IF(R143&gt;5,"Perlu Sensus",IF(AND(R143&gt;=0,O143&gt;0),"Tetap Deteksi","Belum Deteksi"))</f>
        <v>Tetap Deteksi</v>
      </c>
      <c r="T143" s="143"/>
      <c r="U143" s="9">
        <f t="shared" si="25"/>
        <v>0</v>
      </c>
      <c r="V143" s="11"/>
      <c r="W143" s="143"/>
      <c r="X143" s="143"/>
      <c r="Y143" s="9">
        <f t="shared" si="26"/>
        <v>0</v>
      </c>
      <c r="Z143" s="8" t="str">
        <f t="array" ref="Z143">IF(Y143&gt;5,"Perlu Sensus",IF(AND(Y143&gt;=0,W143&gt;0),"Tetap Deteksi","Belum Deteksi"))</f>
        <v>Belum Deteksi</v>
      </c>
      <c r="AA143" s="143"/>
      <c r="AB143" s="9">
        <f t="shared" si="27"/>
        <v>0</v>
      </c>
      <c r="AC143" s="11"/>
      <c r="AD143" s="143"/>
      <c r="AE143" s="9">
        <f t="array" ref="AE143">IFERROR(AD143/$G143*100,0)</f>
        <v>0</v>
      </c>
      <c r="AF143" s="143"/>
      <c r="AG143" s="9">
        <f t="shared" si="28"/>
        <v>0</v>
      </c>
      <c r="AH143" s="8" t="str">
        <f t="array" ref="AH143">IF(AG143&gt;5,"Perlu Sensus",IF(AND(AG143&gt;=0,AD143&gt;0),"Tetap Deteksi","Belum Deteksi"))</f>
        <v>Belum Deteksi</v>
      </c>
      <c r="AI143" s="143"/>
      <c r="AJ143" s="9">
        <f t="shared" si="29"/>
        <v>0</v>
      </c>
      <c r="AK143" s="11"/>
      <c r="AL143" s="143"/>
      <c r="AM143" s="143"/>
      <c r="AN143" s="9">
        <f t="shared" si="30"/>
        <v>0</v>
      </c>
      <c r="AO143" s="8" t="str">
        <f t="array" ref="AO143">IF(AN143&gt;5,"Perlu Sensus",IF(AND(AN143&gt;=0,AL143&gt;0),"Tetap Deteksi","Belum Deteksi"))</f>
        <v>Belum Deteksi</v>
      </c>
      <c r="AP143" s="143"/>
      <c r="AQ143" s="9">
        <f t="shared" si="31"/>
        <v>0</v>
      </c>
    </row>
    <row r="144" spans="1:43" outlineLevel="1" x14ac:dyDescent="0.15">
      <c r="A144" s="8" t="s">
        <v>1273</v>
      </c>
      <c r="B144" s="8" t="s">
        <v>14</v>
      </c>
      <c r="C144" s="8" t="s">
        <v>144</v>
      </c>
      <c r="D144" s="186" t="s">
        <v>1405</v>
      </c>
      <c r="E144" s="9">
        <v>32.31</v>
      </c>
      <c r="F144" s="8" t="s">
        <v>1740</v>
      </c>
      <c r="G144" s="10">
        <v>4480</v>
      </c>
      <c r="H144" s="11">
        <f t="array" ref="H144">IF(OR(N144&gt;0,AC144&gt;0),MAX(N144,AC144),MAX(AK144,V144))</f>
        <v>46249</v>
      </c>
      <c r="I144" s="143">
        <f t="array" ref="I144">IF(SUM(O144,AD144)&gt;0,SUM(O144,AD144),SUM(AL144,W144))</f>
        <v>52</v>
      </c>
      <c r="J144" s="9">
        <f t="shared" si="22"/>
        <v>1.1607142857142858</v>
      </c>
      <c r="K144" s="143">
        <f t="shared" si="32"/>
        <v>1</v>
      </c>
      <c r="L144" s="9">
        <f t="shared" si="23"/>
        <v>1.9230769230769231</v>
      </c>
      <c r="M144" s="8" t="str">
        <f t="array" ref="M144">IF(L144&gt;5,"Perlu Sensus",IF(AND(L144&gt;=0,I144&gt;0),"Tetap Deteksi","Belum Deteksi"))</f>
        <v>Tetap Deteksi</v>
      </c>
      <c r="N144" s="132">
        <v>46249</v>
      </c>
      <c r="O144" s="143">
        <f t="array" ref="O144">INDEX([28]Sheet1!$H$24:$H$231,MATCH(1,([28]Sheet1!$E$24:$E$231=$D144)*([28]Sheet1!$E$24:$E$231=$D144),0))</f>
        <v>52</v>
      </c>
      <c r="P144" s="9">
        <f t="array" ref="P144">IFERROR(O144/$G144*100,0)</f>
        <v>1.1607142857142858</v>
      </c>
      <c r="Q144" s="143">
        <f t="array" ref="Q144">INDEX([28]Sheet1!$J$24:$J$231,MATCH(1,([28]Sheet1!$E$24:$E$231=$D144)*([28]Sheet1!$E$24:$E$231=$D144),0))</f>
        <v>1</v>
      </c>
      <c r="R144" s="9">
        <f t="shared" si="24"/>
        <v>1.9230769230769231</v>
      </c>
      <c r="S144" s="8" t="str">
        <f t="array" ref="S144">IF(R144&gt;5,"Perlu Sensus",IF(AND(R144&gt;=0,O144&gt;0),"Tetap Deteksi","Belum Deteksi"))</f>
        <v>Tetap Deteksi</v>
      </c>
      <c r="T144" s="143"/>
      <c r="U144" s="9">
        <f t="shared" si="25"/>
        <v>0</v>
      </c>
      <c r="V144" s="11"/>
      <c r="W144" s="143"/>
      <c r="X144" s="143"/>
      <c r="Y144" s="9">
        <f t="shared" si="26"/>
        <v>0</v>
      </c>
      <c r="Z144" s="8" t="str">
        <f t="array" ref="Z144">IF(Y144&gt;5,"Perlu Sensus",IF(AND(Y144&gt;=0,W144&gt;0),"Tetap Deteksi","Belum Deteksi"))</f>
        <v>Belum Deteksi</v>
      </c>
      <c r="AA144" s="143"/>
      <c r="AB144" s="9">
        <f t="shared" si="27"/>
        <v>0</v>
      </c>
      <c r="AC144" s="11"/>
      <c r="AD144" s="143"/>
      <c r="AE144" s="9">
        <f t="array" ref="AE144">IFERROR(AD144/$G144*100,0)</f>
        <v>0</v>
      </c>
      <c r="AF144" s="143"/>
      <c r="AG144" s="9">
        <f t="shared" si="28"/>
        <v>0</v>
      </c>
      <c r="AH144" s="8" t="str">
        <f t="array" ref="AH144">IF(AG144&gt;5,"Perlu Sensus",IF(AND(AG144&gt;=0,AD144&gt;0),"Tetap Deteksi","Belum Deteksi"))</f>
        <v>Belum Deteksi</v>
      </c>
      <c r="AI144" s="143"/>
      <c r="AJ144" s="9">
        <f t="shared" si="29"/>
        <v>0</v>
      </c>
      <c r="AK144" s="11"/>
      <c r="AL144" s="143"/>
      <c r="AM144" s="143"/>
      <c r="AN144" s="9">
        <f t="shared" si="30"/>
        <v>0</v>
      </c>
      <c r="AO144" s="8" t="str">
        <f t="array" ref="AO144">IF(AN144&gt;5,"Perlu Sensus",IF(AND(AN144&gt;=0,AL144&gt;0),"Tetap Deteksi","Belum Deteksi"))</f>
        <v>Belum Deteksi</v>
      </c>
      <c r="AP144" s="143"/>
      <c r="AQ144" s="9">
        <f t="shared" si="31"/>
        <v>0</v>
      </c>
    </row>
    <row r="145" spans="1:43" outlineLevel="1" x14ac:dyDescent="0.15">
      <c r="A145" s="8" t="s">
        <v>1273</v>
      </c>
      <c r="B145" s="8" t="s">
        <v>14</v>
      </c>
      <c r="C145" s="8" t="s">
        <v>144</v>
      </c>
      <c r="D145" s="186" t="s">
        <v>1406</v>
      </c>
      <c r="E145" s="9">
        <v>30.85</v>
      </c>
      <c r="F145" s="8" t="s">
        <v>1740</v>
      </c>
      <c r="G145" s="10">
        <v>4229</v>
      </c>
      <c r="H145" s="11">
        <f t="array" ref="H145">IF(OR(N145&gt;0,AC145&gt;0),MAX(N145,AC145),MAX(AK145,V145))</f>
        <v>46249</v>
      </c>
      <c r="I145" s="143">
        <f t="array" ref="I145">IF(SUM(O145,AD145)&gt;0,SUM(O145,AD145),SUM(AL145,W145))</f>
        <v>166</v>
      </c>
      <c r="J145" s="9">
        <f t="shared" si="22"/>
        <v>3.9252778434618114</v>
      </c>
      <c r="K145" s="143">
        <f t="shared" si="32"/>
        <v>3</v>
      </c>
      <c r="L145" s="9">
        <f t="shared" si="23"/>
        <v>1.8072289156626504</v>
      </c>
      <c r="M145" s="8" t="str">
        <f t="array" ref="M145">IF(L145&gt;5,"Perlu Sensus",IF(AND(L145&gt;=0,I145&gt;0),"Tetap Deteksi","Belum Deteksi"))</f>
        <v>Tetap Deteksi</v>
      </c>
      <c r="N145" s="132">
        <v>46249</v>
      </c>
      <c r="O145" s="143">
        <f t="array" ref="O145">INDEX([28]Sheet1!$H$24:$H$231,MATCH(1,([28]Sheet1!$E$24:$E$231=$D145)*([28]Sheet1!$E$24:$E$231=$D145),0))</f>
        <v>166</v>
      </c>
      <c r="P145" s="9">
        <f t="array" ref="P145">IFERROR(O145/$G145*100,0)</f>
        <v>3.9252778434618114</v>
      </c>
      <c r="Q145" s="143">
        <f t="array" ref="Q145">INDEX([28]Sheet1!$J$24:$J$231,MATCH(1,([28]Sheet1!$E$24:$E$231=$D145)*([28]Sheet1!$E$24:$E$231=$D145),0))</f>
        <v>3</v>
      </c>
      <c r="R145" s="9">
        <f t="shared" si="24"/>
        <v>1.8072289156626504</v>
      </c>
      <c r="S145" s="8" t="str">
        <f t="array" ref="S145">IF(R145&gt;5,"Perlu Sensus",IF(AND(R145&gt;=0,O145&gt;0),"Tetap Deteksi","Belum Deteksi"))</f>
        <v>Tetap Deteksi</v>
      </c>
      <c r="T145" s="143"/>
      <c r="U145" s="9">
        <f t="shared" si="25"/>
        <v>0</v>
      </c>
      <c r="V145" s="11"/>
      <c r="W145" s="143"/>
      <c r="X145" s="143"/>
      <c r="Y145" s="9">
        <f t="shared" si="26"/>
        <v>0</v>
      </c>
      <c r="Z145" s="8" t="str">
        <f t="array" ref="Z145">IF(Y145&gt;5,"Perlu Sensus",IF(AND(Y145&gt;=0,W145&gt;0),"Tetap Deteksi","Belum Deteksi"))</f>
        <v>Belum Deteksi</v>
      </c>
      <c r="AA145" s="143"/>
      <c r="AB145" s="9">
        <f t="shared" si="27"/>
        <v>0</v>
      </c>
      <c r="AC145" s="11"/>
      <c r="AD145" s="143"/>
      <c r="AE145" s="9">
        <f t="array" ref="AE145">IFERROR(AD145/$G145*100,0)</f>
        <v>0</v>
      </c>
      <c r="AF145" s="143"/>
      <c r="AG145" s="9">
        <f t="shared" si="28"/>
        <v>0</v>
      </c>
      <c r="AH145" s="8" t="str">
        <f t="array" ref="AH145">IF(AG145&gt;5,"Perlu Sensus",IF(AND(AG145&gt;=0,AD145&gt;0),"Tetap Deteksi","Belum Deteksi"))</f>
        <v>Belum Deteksi</v>
      </c>
      <c r="AI145" s="143"/>
      <c r="AJ145" s="9">
        <f t="shared" si="29"/>
        <v>0</v>
      </c>
      <c r="AK145" s="11"/>
      <c r="AL145" s="143"/>
      <c r="AM145" s="143"/>
      <c r="AN145" s="9">
        <f t="shared" si="30"/>
        <v>0</v>
      </c>
      <c r="AO145" s="8" t="str">
        <f t="array" ref="AO145">IF(AN145&gt;5,"Perlu Sensus",IF(AND(AN145&gt;=0,AL145&gt;0),"Tetap Deteksi","Belum Deteksi"))</f>
        <v>Belum Deteksi</v>
      </c>
      <c r="AP145" s="143"/>
      <c r="AQ145" s="9">
        <f t="shared" si="31"/>
        <v>0</v>
      </c>
    </row>
    <row r="146" spans="1:43" outlineLevel="1" x14ac:dyDescent="0.15">
      <c r="A146" s="8" t="s">
        <v>1273</v>
      </c>
      <c r="B146" s="8" t="s">
        <v>14</v>
      </c>
      <c r="C146" s="8" t="s">
        <v>144</v>
      </c>
      <c r="D146" s="186" t="s">
        <v>1407</v>
      </c>
      <c r="E146" s="9">
        <v>30.71</v>
      </c>
      <c r="F146" s="8" t="s">
        <v>1740</v>
      </c>
      <c r="G146" s="10">
        <v>4226</v>
      </c>
      <c r="H146" s="11">
        <f t="array" ref="H146">IF(OR(N146&gt;0,AC146&gt;0),MAX(N146,AC146),MAX(AK146,V146))</f>
        <v>46249</v>
      </c>
      <c r="I146" s="143">
        <f t="array" ref="I146">IF(SUM(O146,AD146)&gt;0,SUM(O146,AD146),SUM(AL146,W146))</f>
        <v>122</v>
      </c>
      <c r="J146" s="9">
        <f t="shared" si="22"/>
        <v>2.8868906767628966</v>
      </c>
      <c r="K146" s="143">
        <f t="shared" si="32"/>
        <v>2</v>
      </c>
      <c r="L146" s="9">
        <f t="shared" si="23"/>
        <v>1.639344262295082</v>
      </c>
      <c r="M146" s="8" t="str">
        <f t="array" ref="M146">IF(L146&gt;5,"Perlu Sensus",IF(AND(L146&gt;=0,I146&gt;0),"Tetap Deteksi","Belum Deteksi"))</f>
        <v>Tetap Deteksi</v>
      </c>
      <c r="N146" s="132">
        <v>46249</v>
      </c>
      <c r="O146" s="143">
        <f t="array" ref="O146">INDEX([28]Sheet1!$H$24:$H$231,MATCH(1,([28]Sheet1!$E$24:$E$231=$D146)*([28]Sheet1!$E$24:$E$231=$D146),0))</f>
        <v>122</v>
      </c>
      <c r="P146" s="9">
        <f t="array" ref="P146">IFERROR(O146/$G146*100,0)</f>
        <v>2.8868906767628966</v>
      </c>
      <c r="Q146" s="143">
        <f t="array" ref="Q146">INDEX([28]Sheet1!$J$24:$J$231,MATCH(1,([28]Sheet1!$E$24:$E$231=$D146)*([28]Sheet1!$E$24:$E$231=$D146),0))</f>
        <v>2</v>
      </c>
      <c r="R146" s="9">
        <f t="shared" si="24"/>
        <v>1.639344262295082</v>
      </c>
      <c r="S146" s="8" t="str">
        <f t="array" ref="S146">IF(R146&gt;5,"Perlu Sensus",IF(AND(R146&gt;=0,O146&gt;0),"Tetap Deteksi","Belum Deteksi"))</f>
        <v>Tetap Deteksi</v>
      </c>
      <c r="T146" s="143"/>
      <c r="U146" s="9">
        <f t="shared" si="25"/>
        <v>0</v>
      </c>
      <c r="V146" s="11"/>
      <c r="W146" s="143"/>
      <c r="X146" s="143"/>
      <c r="Y146" s="9">
        <f t="shared" si="26"/>
        <v>0</v>
      </c>
      <c r="Z146" s="8" t="str">
        <f t="array" ref="Z146">IF(Y146&gt;5,"Perlu Sensus",IF(AND(Y146&gt;=0,W146&gt;0),"Tetap Deteksi","Belum Deteksi"))</f>
        <v>Belum Deteksi</v>
      </c>
      <c r="AA146" s="143"/>
      <c r="AB146" s="9">
        <f t="shared" si="27"/>
        <v>0</v>
      </c>
      <c r="AC146" s="11"/>
      <c r="AD146" s="143"/>
      <c r="AE146" s="9">
        <f t="array" ref="AE146">IFERROR(AD146/$G146*100,0)</f>
        <v>0</v>
      </c>
      <c r="AF146" s="143"/>
      <c r="AG146" s="9">
        <f t="shared" si="28"/>
        <v>0</v>
      </c>
      <c r="AH146" s="8" t="str">
        <f t="array" ref="AH146">IF(AG146&gt;5,"Perlu Sensus",IF(AND(AG146&gt;=0,AD146&gt;0),"Tetap Deteksi","Belum Deteksi"))</f>
        <v>Belum Deteksi</v>
      </c>
      <c r="AI146" s="143"/>
      <c r="AJ146" s="9">
        <f t="shared" si="29"/>
        <v>0</v>
      </c>
      <c r="AK146" s="11"/>
      <c r="AL146" s="143"/>
      <c r="AM146" s="143"/>
      <c r="AN146" s="9">
        <f t="shared" si="30"/>
        <v>0</v>
      </c>
      <c r="AO146" s="8" t="str">
        <f t="array" ref="AO146">IF(AN146&gt;5,"Perlu Sensus",IF(AND(AN146&gt;=0,AL146&gt;0),"Tetap Deteksi","Belum Deteksi"))</f>
        <v>Belum Deteksi</v>
      </c>
      <c r="AP146" s="143"/>
      <c r="AQ146" s="9">
        <f t="shared" si="31"/>
        <v>0</v>
      </c>
    </row>
    <row r="147" spans="1:43" outlineLevel="1" x14ac:dyDescent="0.15">
      <c r="A147" s="8" t="s">
        <v>1273</v>
      </c>
      <c r="B147" s="8" t="s">
        <v>14</v>
      </c>
      <c r="C147" s="8" t="s">
        <v>144</v>
      </c>
      <c r="D147" s="186" t="s">
        <v>1025</v>
      </c>
      <c r="E147" s="9">
        <v>30.56</v>
      </c>
      <c r="F147" s="8" t="s">
        <v>1740</v>
      </c>
      <c r="G147" s="10">
        <v>4214</v>
      </c>
      <c r="H147" s="11">
        <f t="array" ref="H147">IF(OR(N147&gt;0,AC147&gt;0),MAX(N147,AC147),MAX(AK147,V147))</f>
        <v>46249</v>
      </c>
      <c r="I147" s="143">
        <f t="array" ref="I147">IF(SUM(O147,AD147)&gt;0,SUM(O147,AD147),SUM(AL147,W147))</f>
        <v>58</v>
      </c>
      <c r="J147" s="9">
        <f t="shared" si="22"/>
        <v>1.3763644992880872</v>
      </c>
      <c r="K147" s="143">
        <f t="shared" si="32"/>
        <v>1</v>
      </c>
      <c r="L147" s="9">
        <f t="shared" si="23"/>
        <v>1.7241379310344827</v>
      </c>
      <c r="M147" s="8" t="str">
        <f t="array" ref="M147">IF(L147&gt;5,"Perlu Sensus",IF(AND(L147&gt;=0,I147&gt;0),"Tetap Deteksi","Belum Deteksi"))</f>
        <v>Tetap Deteksi</v>
      </c>
      <c r="N147" s="132">
        <v>46249</v>
      </c>
      <c r="O147" s="143">
        <f t="array" ref="O147">INDEX([28]Sheet1!$H$24:$H$231,MATCH(1,([28]Sheet1!$E$24:$E$231=$D147)*([28]Sheet1!$E$24:$E$231=$D147),0))</f>
        <v>58</v>
      </c>
      <c r="P147" s="9">
        <f t="array" ref="P147">IFERROR(O147/$G147*100,0)</f>
        <v>1.3763644992880872</v>
      </c>
      <c r="Q147" s="143">
        <f t="array" ref="Q147">INDEX([28]Sheet1!$J$24:$J$231,MATCH(1,([28]Sheet1!$E$24:$E$231=$D147)*([28]Sheet1!$E$24:$E$231=$D147),0))</f>
        <v>1</v>
      </c>
      <c r="R147" s="9">
        <f t="shared" si="24"/>
        <v>1.7241379310344827</v>
      </c>
      <c r="S147" s="8" t="str">
        <f t="array" ref="S147">IF(R147&gt;5,"Perlu Sensus",IF(AND(R147&gt;=0,O147&gt;0),"Tetap Deteksi","Belum Deteksi"))</f>
        <v>Tetap Deteksi</v>
      </c>
      <c r="T147" s="143"/>
      <c r="U147" s="9">
        <f t="shared" si="25"/>
        <v>0</v>
      </c>
      <c r="V147" s="11"/>
      <c r="W147" s="143"/>
      <c r="X147" s="143"/>
      <c r="Y147" s="9">
        <f t="shared" si="26"/>
        <v>0</v>
      </c>
      <c r="Z147" s="8" t="str">
        <f t="array" ref="Z147">IF(Y147&gt;5,"Perlu Sensus",IF(AND(Y147&gt;=0,W147&gt;0),"Tetap Deteksi","Belum Deteksi"))</f>
        <v>Belum Deteksi</v>
      </c>
      <c r="AA147" s="143"/>
      <c r="AB147" s="9">
        <f t="shared" si="27"/>
        <v>0</v>
      </c>
      <c r="AC147" s="11"/>
      <c r="AD147" s="143"/>
      <c r="AE147" s="9">
        <f t="array" ref="AE147">IFERROR(AD147/$G147*100,0)</f>
        <v>0</v>
      </c>
      <c r="AF147" s="143"/>
      <c r="AG147" s="9">
        <f t="shared" si="28"/>
        <v>0</v>
      </c>
      <c r="AH147" s="8" t="str">
        <f t="array" ref="AH147">IF(AG147&gt;5,"Perlu Sensus",IF(AND(AG147&gt;=0,AD147&gt;0),"Tetap Deteksi","Belum Deteksi"))</f>
        <v>Belum Deteksi</v>
      </c>
      <c r="AI147" s="143"/>
      <c r="AJ147" s="9">
        <f t="shared" si="29"/>
        <v>0</v>
      </c>
      <c r="AK147" s="11"/>
      <c r="AL147" s="143"/>
      <c r="AM147" s="143"/>
      <c r="AN147" s="9">
        <f t="shared" si="30"/>
        <v>0</v>
      </c>
      <c r="AO147" s="8" t="str">
        <f t="array" ref="AO147">IF(AN147&gt;5,"Perlu Sensus",IF(AND(AN147&gt;=0,AL147&gt;0),"Tetap Deteksi","Belum Deteksi"))</f>
        <v>Belum Deteksi</v>
      </c>
      <c r="AP147" s="143"/>
      <c r="AQ147" s="9">
        <f t="shared" si="31"/>
        <v>0</v>
      </c>
    </row>
    <row r="148" spans="1:43" outlineLevel="1" x14ac:dyDescent="0.15">
      <c r="A148" s="8" t="s">
        <v>1273</v>
      </c>
      <c r="B148" s="8" t="s">
        <v>14</v>
      </c>
      <c r="C148" s="8" t="s">
        <v>144</v>
      </c>
      <c r="D148" s="186" t="s">
        <v>1027</v>
      </c>
      <c r="E148" s="9">
        <v>29.12</v>
      </c>
      <c r="F148" s="8" t="s">
        <v>1740</v>
      </c>
      <c r="G148" s="10">
        <v>3569</v>
      </c>
      <c r="H148" s="11">
        <f t="array" ref="H148">IF(OR(N148&gt;0,AC148&gt;0),MAX(N148,AC148),MAX(AK148,V148))</f>
        <v>46249</v>
      </c>
      <c r="I148" s="143">
        <f t="array" ref="I148">IF(SUM(O148,AD148)&gt;0,SUM(O148,AD148),SUM(AL148,W148))</f>
        <v>144</v>
      </c>
      <c r="J148" s="9">
        <f t="shared" si="22"/>
        <v>4.0347436256654525</v>
      </c>
      <c r="K148" s="143">
        <f t="shared" si="32"/>
        <v>2</v>
      </c>
      <c r="L148" s="9">
        <f t="shared" si="23"/>
        <v>1.3888888888888888</v>
      </c>
      <c r="M148" s="8" t="str">
        <f t="array" ref="M148">IF(L148&gt;5,"Perlu Sensus",IF(AND(L148&gt;=0,I148&gt;0),"Tetap Deteksi","Belum Deteksi"))</f>
        <v>Tetap Deteksi</v>
      </c>
      <c r="N148" s="132">
        <v>46249</v>
      </c>
      <c r="O148" s="143">
        <f t="array" ref="O148">INDEX([28]Sheet1!$H$24:$H$231,MATCH(1,([28]Sheet1!$E$24:$E$231=$D148)*([28]Sheet1!$E$24:$E$231=$D148),0))</f>
        <v>144</v>
      </c>
      <c r="P148" s="9">
        <f t="array" ref="P148">IFERROR(O148/$G148*100,0)</f>
        <v>4.0347436256654525</v>
      </c>
      <c r="Q148" s="143">
        <f t="array" ref="Q148">INDEX([28]Sheet1!$J$24:$J$231,MATCH(1,([28]Sheet1!$E$24:$E$231=$D148)*([28]Sheet1!$E$24:$E$231=$D148),0))</f>
        <v>2</v>
      </c>
      <c r="R148" s="9">
        <f t="shared" si="24"/>
        <v>1.3888888888888888</v>
      </c>
      <c r="S148" s="8" t="str">
        <f t="array" ref="S148">IF(R148&gt;5,"Perlu Sensus",IF(AND(R148&gt;=0,O148&gt;0),"Tetap Deteksi","Belum Deteksi"))</f>
        <v>Tetap Deteksi</v>
      </c>
      <c r="T148" s="143"/>
      <c r="U148" s="9">
        <f t="shared" si="25"/>
        <v>0</v>
      </c>
      <c r="V148" s="11"/>
      <c r="W148" s="143"/>
      <c r="X148" s="143"/>
      <c r="Y148" s="9">
        <f t="shared" si="26"/>
        <v>0</v>
      </c>
      <c r="Z148" s="8" t="str">
        <f t="array" ref="Z148">IF(Y148&gt;5,"Perlu Sensus",IF(AND(Y148&gt;=0,W148&gt;0),"Tetap Deteksi","Belum Deteksi"))</f>
        <v>Belum Deteksi</v>
      </c>
      <c r="AA148" s="143"/>
      <c r="AB148" s="9">
        <f t="shared" si="27"/>
        <v>0</v>
      </c>
      <c r="AC148" s="11"/>
      <c r="AD148" s="143"/>
      <c r="AE148" s="9">
        <f t="array" ref="AE148">IFERROR(AD148/$G148*100,0)</f>
        <v>0</v>
      </c>
      <c r="AF148" s="143"/>
      <c r="AG148" s="9">
        <f t="shared" si="28"/>
        <v>0</v>
      </c>
      <c r="AH148" s="8" t="str">
        <f t="array" ref="AH148">IF(AG148&gt;5,"Perlu Sensus",IF(AND(AG148&gt;=0,AD148&gt;0),"Tetap Deteksi","Belum Deteksi"))</f>
        <v>Belum Deteksi</v>
      </c>
      <c r="AI148" s="143"/>
      <c r="AJ148" s="9">
        <f t="shared" si="29"/>
        <v>0</v>
      </c>
      <c r="AK148" s="11"/>
      <c r="AL148" s="143"/>
      <c r="AM148" s="143"/>
      <c r="AN148" s="9">
        <f t="shared" si="30"/>
        <v>0</v>
      </c>
      <c r="AO148" s="8" t="str">
        <f t="array" ref="AO148">IF(AN148&gt;5,"Perlu Sensus",IF(AND(AN148&gt;=0,AL148&gt;0),"Tetap Deteksi","Belum Deteksi"))</f>
        <v>Belum Deteksi</v>
      </c>
      <c r="AP148" s="143"/>
      <c r="AQ148" s="9">
        <f t="shared" si="31"/>
        <v>0</v>
      </c>
    </row>
    <row r="149" spans="1:43" outlineLevel="1" x14ac:dyDescent="0.15">
      <c r="A149" s="8" t="s">
        <v>1273</v>
      </c>
      <c r="B149" s="8" t="s">
        <v>14</v>
      </c>
      <c r="C149" s="8" t="s">
        <v>144</v>
      </c>
      <c r="D149" s="186" t="s">
        <v>1408</v>
      </c>
      <c r="E149" s="9">
        <v>34.669999999999995</v>
      </c>
      <c r="F149" s="8" t="s">
        <v>1740</v>
      </c>
      <c r="G149" s="10">
        <v>4446</v>
      </c>
      <c r="H149" s="11">
        <f t="array" ref="H149">IF(OR(N149&gt;0,AC149&gt;0),MAX(N149,AC149),MAX(AK149,V149))</f>
        <v>46249</v>
      </c>
      <c r="I149" s="143">
        <f t="array" ref="I149">IF(SUM(O149,AD149)&gt;0,SUM(O149,AD149),SUM(AL149,W149))</f>
        <v>127</v>
      </c>
      <c r="J149" s="9">
        <f t="shared" si="22"/>
        <v>2.8565002249212776</v>
      </c>
      <c r="K149" s="143">
        <f t="shared" si="32"/>
        <v>1</v>
      </c>
      <c r="L149" s="9">
        <f t="shared" si="23"/>
        <v>0.78740157480314954</v>
      </c>
      <c r="M149" s="8" t="str">
        <f t="array" ref="M149">IF(L149&gt;5,"Perlu Sensus",IF(AND(L149&gt;=0,I149&gt;0),"Tetap Deteksi","Belum Deteksi"))</f>
        <v>Tetap Deteksi</v>
      </c>
      <c r="N149" s="132">
        <v>46249</v>
      </c>
      <c r="O149" s="143">
        <f t="array" ref="O149">INDEX([28]Sheet1!$H$24:$H$231,MATCH(1,([28]Sheet1!$E$24:$E$231=$D149)*([28]Sheet1!$E$24:$E$231=$D149),0))</f>
        <v>127</v>
      </c>
      <c r="P149" s="9">
        <f t="array" ref="P149">IFERROR(O149/$G149*100,0)</f>
        <v>2.8565002249212776</v>
      </c>
      <c r="Q149" s="143">
        <f t="array" ref="Q149">INDEX([28]Sheet1!$J$24:$J$231,MATCH(1,([28]Sheet1!$E$24:$E$231=$D149)*([28]Sheet1!$E$24:$E$231=$D149),0))</f>
        <v>1</v>
      </c>
      <c r="R149" s="9">
        <f t="shared" si="24"/>
        <v>0.78740157480314954</v>
      </c>
      <c r="S149" s="8" t="str">
        <f t="array" ref="S149">IF(R149&gt;5,"Perlu Sensus",IF(AND(R149&gt;=0,O149&gt;0),"Tetap Deteksi","Belum Deteksi"))</f>
        <v>Tetap Deteksi</v>
      </c>
      <c r="T149" s="143"/>
      <c r="U149" s="9">
        <f t="shared" si="25"/>
        <v>0</v>
      </c>
      <c r="V149" s="11"/>
      <c r="W149" s="143"/>
      <c r="X149" s="143"/>
      <c r="Y149" s="9">
        <f t="shared" si="26"/>
        <v>0</v>
      </c>
      <c r="Z149" s="8" t="str">
        <f t="array" ref="Z149">IF(Y149&gt;5,"Perlu Sensus",IF(AND(Y149&gt;=0,W149&gt;0),"Tetap Deteksi","Belum Deteksi"))</f>
        <v>Belum Deteksi</v>
      </c>
      <c r="AA149" s="143"/>
      <c r="AB149" s="9">
        <f t="shared" si="27"/>
        <v>0</v>
      </c>
      <c r="AC149" s="11"/>
      <c r="AD149" s="143"/>
      <c r="AE149" s="9">
        <f t="array" ref="AE149">IFERROR(AD149/$G149*100,0)</f>
        <v>0</v>
      </c>
      <c r="AF149" s="143"/>
      <c r="AG149" s="9">
        <f t="shared" si="28"/>
        <v>0</v>
      </c>
      <c r="AH149" s="8" t="str">
        <f t="array" ref="AH149">IF(AG149&gt;5,"Perlu Sensus",IF(AND(AG149&gt;=0,AD149&gt;0),"Tetap Deteksi","Belum Deteksi"))</f>
        <v>Belum Deteksi</v>
      </c>
      <c r="AI149" s="143"/>
      <c r="AJ149" s="9">
        <f t="shared" si="29"/>
        <v>0</v>
      </c>
      <c r="AK149" s="11"/>
      <c r="AL149" s="143"/>
      <c r="AM149" s="143"/>
      <c r="AN149" s="9">
        <f t="shared" si="30"/>
        <v>0</v>
      </c>
      <c r="AO149" s="8" t="str">
        <f t="array" ref="AO149">IF(AN149&gt;5,"Perlu Sensus",IF(AND(AN149&gt;=0,AL149&gt;0),"Tetap Deteksi","Belum Deteksi"))</f>
        <v>Belum Deteksi</v>
      </c>
      <c r="AP149" s="143"/>
      <c r="AQ149" s="9">
        <f t="shared" si="31"/>
        <v>0</v>
      </c>
    </row>
    <row r="150" spans="1:43" outlineLevel="1" x14ac:dyDescent="0.15">
      <c r="A150" s="8" t="s">
        <v>1273</v>
      </c>
      <c r="B150" s="8" t="s">
        <v>14</v>
      </c>
      <c r="C150" s="8" t="s">
        <v>144</v>
      </c>
      <c r="D150" s="186" t="s">
        <v>1409</v>
      </c>
      <c r="E150" s="9">
        <v>24.77</v>
      </c>
      <c r="F150" s="8" t="s">
        <v>1740</v>
      </c>
      <c r="G150" s="10">
        <v>3305</v>
      </c>
      <c r="H150" s="11">
        <f t="array" ref="H150">IF(OR(N150&gt;0,AC150&gt;0),MAX(N150,AC150),MAX(AK150,V150))</f>
        <v>46249</v>
      </c>
      <c r="I150" s="143">
        <f t="array" ref="I150">IF(SUM(O150,AD150)&gt;0,SUM(O150,AD150),SUM(AL150,W150))</f>
        <v>152</v>
      </c>
      <c r="J150" s="9">
        <f t="shared" si="22"/>
        <v>4.5990922844175488</v>
      </c>
      <c r="K150" s="143">
        <f t="shared" si="32"/>
        <v>2</v>
      </c>
      <c r="L150" s="9">
        <f t="shared" si="23"/>
        <v>1.3157894736842104</v>
      </c>
      <c r="M150" s="8" t="str">
        <f t="array" ref="M150">IF(L150&gt;5,"Perlu Sensus",IF(AND(L150&gt;=0,I150&gt;0),"Tetap Deteksi","Belum Deteksi"))</f>
        <v>Tetap Deteksi</v>
      </c>
      <c r="N150" s="132">
        <v>46249</v>
      </c>
      <c r="O150" s="143">
        <f t="array" ref="O150">INDEX([28]Sheet1!$H$24:$H$231,MATCH(1,([28]Sheet1!$E$24:$E$231=$D150)*([28]Sheet1!$E$24:$E$231=$D150),0))</f>
        <v>152</v>
      </c>
      <c r="P150" s="9">
        <f t="array" ref="P150">IFERROR(O150/$G150*100,0)</f>
        <v>4.5990922844175488</v>
      </c>
      <c r="Q150" s="143">
        <f t="array" ref="Q150">INDEX([28]Sheet1!$J$24:$J$231,MATCH(1,([28]Sheet1!$E$24:$E$231=$D150)*([28]Sheet1!$E$24:$E$231=$D150),0))</f>
        <v>2</v>
      </c>
      <c r="R150" s="9">
        <f t="shared" si="24"/>
        <v>1.3157894736842104</v>
      </c>
      <c r="S150" s="8" t="str">
        <f t="array" ref="S150">IF(R150&gt;5,"Perlu Sensus",IF(AND(R150&gt;=0,O150&gt;0),"Tetap Deteksi","Belum Deteksi"))</f>
        <v>Tetap Deteksi</v>
      </c>
      <c r="T150" s="143"/>
      <c r="U150" s="9">
        <f t="shared" si="25"/>
        <v>0</v>
      </c>
      <c r="V150" s="11"/>
      <c r="W150" s="143"/>
      <c r="X150" s="143"/>
      <c r="Y150" s="9">
        <f t="shared" si="26"/>
        <v>0</v>
      </c>
      <c r="Z150" s="8" t="str">
        <f t="array" ref="Z150">IF(Y150&gt;5,"Perlu Sensus",IF(AND(Y150&gt;=0,W150&gt;0),"Tetap Deteksi","Belum Deteksi"))</f>
        <v>Belum Deteksi</v>
      </c>
      <c r="AA150" s="143"/>
      <c r="AB150" s="9">
        <f t="shared" si="27"/>
        <v>0</v>
      </c>
      <c r="AC150" s="11"/>
      <c r="AD150" s="143"/>
      <c r="AE150" s="9">
        <f t="array" ref="AE150">IFERROR(AD150/$G150*100,0)</f>
        <v>0</v>
      </c>
      <c r="AF150" s="143"/>
      <c r="AG150" s="9">
        <f t="shared" si="28"/>
        <v>0</v>
      </c>
      <c r="AH150" s="8" t="str">
        <f t="array" ref="AH150">IF(AG150&gt;5,"Perlu Sensus",IF(AND(AG150&gt;=0,AD150&gt;0),"Tetap Deteksi","Belum Deteksi"))</f>
        <v>Belum Deteksi</v>
      </c>
      <c r="AI150" s="143"/>
      <c r="AJ150" s="9">
        <f t="shared" si="29"/>
        <v>0</v>
      </c>
      <c r="AK150" s="11"/>
      <c r="AL150" s="143"/>
      <c r="AM150" s="143"/>
      <c r="AN150" s="9">
        <f t="shared" si="30"/>
        <v>0</v>
      </c>
      <c r="AO150" s="8" t="str">
        <f t="array" ref="AO150">IF(AN150&gt;5,"Perlu Sensus",IF(AND(AN150&gt;=0,AL150&gt;0),"Tetap Deteksi","Belum Deteksi"))</f>
        <v>Belum Deteksi</v>
      </c>
      <c r="AP150" s="143"/>
      <c r="AQ150" s="9">
        <f t="shared" si="31"/>
        <v>0</v>
      </c>
    </row>
    <row r="151" spans="1:43" outlineLevel="1" x14ac:dyDescent="0.15">
      <c r="A151" s="8" t="s">
        <v>1273</v>
      </c>
      <c r="B151" s="8" t="s">
        <v>14</v>
      </c>
      <c r="C151" s="8" t="s">
        <v>144</v>
      </c>
      <c r="D151" s="186" t="s">
        <v>1410</v>
      </c>
      <c r="E151" s="9">
        <v>23.88</v>
      </c>
      <c r="F151" s="8" t="s">
        <v>1740</v>
      </c>
      <c r="G151" s="10">
        <v>2719</v>
      </c>
      <c r="H151" s="11">
        <f t="array" ref="H151">IF(OR(N151&gt;0,AC151&gt;0),MAX(N151,AC151),MAX(AK151,V151))</f>
        <v>46249</v>
      </c>
      <c r="I151" s="143">
        <f t="array" ref="I151">IF(SUM(O151,AD151)&gt;0,SUM(O151,AD151),SUM(AL151,W151))</f>
        <v>165</v>
      </c>
      <c r="J151" s="9">
        <f t="shared" si="22"/>
        <v>6.068407502758367</v>
      </c>
      <c r="K151" s="143">
        <f t="shared" si="32"/>
        <v>3</v>
      </c>
      <c r="L151" s="9">
        <f t="shared" si="23"/>
        <v>1.8181818181818181</v>
      </c>
      <c r="M151" s="8" t="str">
        <f t="array" ref="M151">IF(L151&gt;5,"Perlu Sensus",IF(AND(L151&gt;=0,I151&gt;0),"Tetap Deteksi","Belum Deteksi"))</f>
        <v>Tetap Deteksi</v>
      </c>
      <c r="N151" s="132">
        <v>46249</v>
      </c>
      <c r="O151" s="143">
        <f t="array" ref="O151">INDEX([28]Sheet1!$H$24:$H$231,MATCH(1,([28]Sheet1!$E$24:$E$231=$D151)*([28]Sheet1!$E$24:$E$231=$D151),0))</f>
        <v>165</v>
      </c>
      <c r="P151" s="9">
        <f t="array" ref="P151">IFERROR(O151/$G151*100,0)</f>
        <v>6.068407502758367</v>
      </c>
      <c r="Q151" s="143">
        <f t="array" ref="Q151">INDEX([28]Sheet1!$J$24:$J$231,MATCH(1,([28]Sheet1!$E$24:$E$231=$D151)*([28]Sheet1!$E$24:$E$231=$D151),0))</f>
        <v>3</v>
      </c>
      <c r="R151" s="9">
        <f t="shared" si="24"/>
        <v>1.8181818181818181</v>
      </c>
      <c r="S151" s="8" t="str">
        <f t="array" ref="S151">IF(R151&gt;5,"Perlu Sensus",IF(AND(R151&gt;=0,O151&gt;0),"Tetap Deteksi","Belum Deteksi"))</f>
        <v>Tetap Deteksi</v>
      </c>
      <c r="T151" s="143"/>
      <c r="U151" s="9">
        <f t="shared" si="25"/>
        <v>0</v>
      </c>
      <c r="V151" s="11"/>
      <c r="W151" s="143"/>
      <c r="X151" s="143"/>
      <c r="Y151" s="9">
        <f t="shared" si="26"/>
        <v>0</v>
      </c>
      <c r="Z151" s="8" t="str">
        <f t="array" ref="Z151">IF(Y151&gt;5,"Perlu Sensus",IF(AND(Y151&gt;=0,W151&gt;0),"Tetap Deteksi","Belum Deteksi"))</f>
        <v>Belum Deteksi</v>
      </c>
      <c r="AA151" s="143"/>
      <c r="AB151" s="9">
        <f t="shared" si="27"/>
        <v>0</v>
      </c>
      <c r="AC151" s="11"/>
      <c r="AD151" s="143"/>
      <c r="AE151" s="9">
        <f t="array" ref="AE151">IFERROR(AD151/$G151*100,0)</f>
        <v>0</v>
      </c>
      <c r="AF151" s="143"/>
      <c r="AG151" s="9">
        <f t="shared" si="28"/>
        <v>0</v>
      </c>
      <c r="AH151" s="8" t="str">
        <f t="array" ref="AH151">IF(AG151&gt;5,"Perlu Sensus",IF(AND(AG151&gt;=0,AD151&gt;0),"Tetap Deteksi","Belum Deteksi"))</f>
        <v>Belum Deteksi</v>
      </c>
      <c r="AI151" s="143"/>
      <c r="AJ151" s="9">
        <f t="shared" si="29"/>
        <v>0</v>
      </c>
      <c r="AK151" s="11"/>
      <c r="AL151" s="143"/>
      <c r="AM151" s="143"/>
      <c r="AN151" s="9">
        <f t="shared" si="30"/>
        <v>0</v>
      </c>
      <c r="AO151" s="8" t="str">
        <f t="array" ref="AO151">IF(AN151&gt;5,"Perlu Sensus",IF(AND(AN151&gt;=0,AL151&gt;0),"Tetap Deteksi","Belum Deteksi"))</f>
        <v>Belum Deteksi</v>
      </c>
      <c r="AP151" s="143"/>
      <c r="AQ151" s="9">
        <f t="shared" si="31"/>
        <v>0</v>
      </c>
    </row>
    <row r="152" spans="1:43" outlineLevel="1" x14ac:dyDescent="0.15">
      <c r="A152" s="8" t="s">
        <v>1273</v>
      </c>
      <c r="B152" s="8" t="s">
        <v>14</v>
      </c>
      <c r="C152" s="8" t="s">
        <v>144</v>
      </c>
      <c r="D152" s="186" t="s">
        <v>1411</v>
      </c>
      <c r="E152" s="9">
        <v>29.580000000000002</v>
      </c>
      <c r="F152" s="8" t="s">
        <v>1740</v>
      </c>
      <c r="G152" s="10">
        <v>3816</v>
      </c>
      <c r="H152" s="11">
        <f t="array" ref="H152">IF(OR(N152&gt;0,AC152&gt;0),MAX(N152,AC152),MAX(AK152,V152))</f>
        <v>46249</v>
      </c>
      <c r="I152" s="143">
        <f t="array" ref="I152">IF(SUM(O152,AD152)&gt;0,SUM(O152,AD152),SUM(AL152,W152))</f>
        <v>125</v>
      </c>
      <c r="J152" s="9">
        <f t="shared" si="22"/>
        <v>3.2756813417190775</v>
      </c>
      <c r="K152" s="143">
        <f t="shared" si="32"/>
        <v>2</v>
      </c>
      <c r="L152" s="9">
        <f t="shared" si="23"/>
        <v>1.6</v>
      </c>
      <c r="M152" s="8" t="str">
        <f t="array" ref="M152">IF(L152&gt;5,"Perlu Sensus",IF(AND(L152&gt;=0,I152&gt;0),"Tetap Deteksi","Belum Deteksi"))</f>
        <v>Tetap Deteksi</v>
      </c>
      <c r="N152" s="132">
        <v>46249</v>
      </c>
      <c r="O152" s="143">
        <f t="array" ref="O152">INDEX([28]Sheet1!$H$24:$H$231,MATCH(1,([28]Sheet1!$E$24:$E$231=$D152)*([28]Sheet1!$E$24:$E$231=$D152),0))</f>
        <v>125</v>
      </c>
      <c r="P152" s="9">
        <f t="array" ref="P152">IFERROR(O152/$G152*100,0)</f>
        <v>3.2756813417190775</v>
      </c>
      <c r="Q152" s="143">
        <f t="array" ref="Q152">INDEX([28]Sheet1!$J$24:$J$231,MATCH(1,([28]Sheet1!$E$24:$E$231=$D152)*([28]Sheet1!$E$24:$E$231=$D152),0))</f>
        <v>2</v>
      </c>
      <c r="R152" s="9">
        <f t="shared" si="24"/>
        <v>1.6</v>
      </c>
      <c r="S152" s="8" t="str">
        <f t="array" ref="S152">IF(R152&gt;5,"Perlu Sensus",IF(AND(R152&gt;=0,O152&gt;0),"Tetap Deteksi","Belum Deteksi"))</f>
        <v>Tetap Deteksi</v>
      </c>
      <c r="T152" s="143"/>
      <c r="U152" s="9">
        <f t="shared" si="25"/>
        <v>0</v>
      </c>
      <c r="V152" s="11"/>
      <c r="W152" s="143"/>
      <c r="X152" s="143"/>
      <c r="Y152" s="9">
        <f t="shared" si="26"/>
        <v>0</v>
      </c>
      <c r="Z152" s="8" t="str">
        <f t="array" ref="Z152">IF(Y152&gt;5,"Perlu Sensus",IF(AND(Y152&gt;=0,W152&gt;0),"Tetap Deteksi","Belum Deteksi"))</f>
        <v>Belum Deteksi</v>
      </c>
      <c r="AA152" s="143"/>
      <c r="AB152" s="9">
        <f t="shared" si="27"/>
        <v>0</v>
      </c>
      <c r="AC152" s="11"/>
      <c r="AD152" s="143"/>
      <c r="AE152" s="9">
        <f t="array" ref="AE152">IFERROR(AD152/$G152*100,0)</f>
        <v>0</v>
      </c>
      <c r="AF152" s="143"/>
      <c r="AG152" s="9">
        <f t="shared" si="28"/>
        <v>0</v>
      </c>
      <c r="AH152" s="8" t="str">
        <f t="array" ref="AH152">IF(AG152&gt;5,"Perlu Sensus",IF(AND(AG152&gt;=0,AD152&gt;0),"Tetap Deteksi","Belum Deteksi"))</f>
        <v>Belum Deteksi</v>
      </c>
      <c r="AI152" s="143"/>
      <c r="AJ152" s="9">
        <f t="shared" si="29"/>
        <v>0</v>
      </c>
      <c r="AK152" s="11"/>
      <c r="AL152" s="143"/>
      <c r="AM152" s="143"/>
      <c r="AN152" s="9">
        <f t="shared" si="30"/>
        <v>0</v>
      </c>
      <c r="AO152" s="8" t="str">
        <f t="array" ref="AO152">IF(AN152&gt;5,"Perlu Sensus",IF(AND(AN152&gt;=0,AL152&gt;0),"Tetap Deteksi","Belum Deteksi"))</f>
        <v>Belum Deteksi</v>
      </c>
      <c r="AP152" s="143"/>
      <c r="AQ152" s="9">
        <f t="shared" si="31"/>
        <v>0</v>
      </c>
    </row>
    <row r="153" spans="1:43" outlineLevel="1" x14ac:dyDescent="0.15">
      <c r="A153" s="8" t="s">
        <v>1273</v>
      </c>
      <c r="B153" s="8" t="s">
        <v>14</v>
      </c>
      <c r="C153" s="8" t="s">
        <v>144</v>
      </c>
      <c r="D153" s="186" t="s">
        <v>1412</v>
      </c>
      <c r="E153" s="9">
        <v>31.509999999999998</v>
      </c>
      <c r="F153" s="8" t="s">
        <v>1740</v>
      </c>
      <c r="G153" s="10">
        <v>3684</v>
      </c>
      <c r="H153" s="11">
        <f t="array" ref="H153">IF(OR(N153&gt;0,AC153&gt;0),MAX(N153,AC153),MAX(AK153,V153))</f>
        <v>46249</v>
      </c>
      <c r="I153" s="143">
        <f t="array" ref="I153">IF(SUM(O153,AD153)&gt;0,SUM(O153,AD153),SUM(AL153,W153))</f>
        <v>152</v>
      </c>
      <c r="J153" s="9">
        <f t="shared" si="22"/>
        <v>4.1259500542888166</v>
      </c>
      <c r="K153" s="143">
        <f t="shared" si="32"/>
        <v>2</v>
      </c>
      <c r="L153" s="9">
        <f t="shared" si="23"/>
        <v>1.3157894736842104</v>
      </c>
      <c r="M153" s="8" t="str">
        <f t="array" ref="M153">IF(L153&gt;5,"Perlu Sensus",IF(AND(L153&gt;=0,I153&gt;0),"Tetap Deteksi","Belum Deteksi"))</f>
        <v>Tetap Deteksi</v>
      </c>
      <c r="N153" s="132">
        <v>46249</v>
      </c>
      <c r="O153" s="143">
        <f t="array" ref="O153">INDEX([28]Sheet1!$H$24:$H$231,MATCH(1,([28]Sheet1!$E$24:$E$231=$D153)*([28]Sheet1!$E$24:$E$231=$D153),0))</f>
        <v>152</v>
      </c>
      <c r="P153" s="9">
        <f t="array" ref="P153">IFERROR(O153/$G153*100,0)</f>
        <v>4.1259500542888166</v>
      </c>
      <c r="Q153" s="143">
        <f t="array" ref="Q153">INDEX([28]Sheet1!$J$24:$J$231,MATCH(1,([28]Sheet1!$E$24:$E$231=$D153)*([28]Sheet1!$E$24:$E$231=$D153),0))</f>
        <v>2</v>
      </c>
      <c r="R153" s="9">
        <f t="shared" si="24"/>
        <v>1.3157894736842104</v>
      </c>
      <c r="S153" s="8" t="str">
        <f t="array" ref="S153">IF(R153&gt;5,"Perlu Sensus",IF(AND(R153&gt;=0,O153&gt;0),"Tetap Deteksi","Belum Deteksi"))</f>
        <v>Tetap Deteksi</v>
      </c>
      <c r="T153" s="143"/>
      <c r="U153" s="9">
        <f t="shared" si="25"/>
        <v>0</v>
      </c>
      <c r="V153" s="11"/>
      <c r="W153" s="143"/>
      <c r="X153" s="143"/>
      <c r="Y153" s="9">
        <f t="shared" si="26"/>
        <v>0</v>
      </c>
      <c r="Z153" s="8" t="str">
        <f t="array" ref="Z153">IF(Y153&gt;5,"Perlu Sensus",IF(AND(Y153&gt;=0,W153&gt;0),"Tetap Deteksi","Belum Deteksi"))</f>
        <v>Belum Deteksi</v>
      </c>
      <c r="AA153" s="143"/>
      <c r="AB153" s="9">
        <f t="shared" si="27"/>
        <v>0</v>
      </c>
      <c r="AC153" s="11"/>
      <c r="AD153" s="143"/>
      <c r="AE153" s="9">
        <f t="array" ref="AE153">IFERROR(AD153/$G153*100,0)</f>
        <v>0</v>
      </c>
      <c r="AF153" s="143"/>
      <c r="AG153" s="9">
        <f t="shared" si="28"/>
        <v>0</v>
      </c>
      <c r="AH153" s="8" t="str">
        <f t="array" ref="AH153">IF(AG153&gt;5,"Perlu Sensus",IF(AND(AG153&gt;=0,AD153&gt;0),"Tetap Deteksi","Belum Deteksi"))</f>
        <v>Belum Deteksi</v>
      </c>
      <c r="AI153" s="143"/>
      <c r="AJ153" s="9">
        <f t="shared" si="29"/>
        <v>0</v>
      </c>
      <c r="AK153" s="11"/>
      <c r="AL153" s="143"/>
      <c r="AM153" s="143"/>
      <c r="AN153" s="9">
        <f t="shared" si="30"/>
        <v>0</v>
      </c>
      <c r="AO153" s="8" t="str">
        <f t="array" ref="AO153">IF(AN153&gt;5,"Perlu Sensus",IF(AND(AN153&gt;=0,AL153&gt;0),"Tetap Deteksi","Belum Deteksi"))</f>
        <v>Belum Deteksi</v>
      </c>
      <c r="AP153" s="143"/>
      <c r="AQ153" s="9">
        <f t="shared" si="31"/>
        <v>0</v>
      </c>
    </row>
    <row r="154" spans="1:43" outlineLevel="1" x14ac:dyDescent="0.15">
      <c r="A154" s="8" t="s">
        <v>1273</v>
      </c>
      <c r="B154" s="8" t="s">
        <v>14</v>
      </c>
      <c r="C154" s="8" t="s">
        <v>144</v>
      </c>
      <c r="D154" s="181" t="s">
        <v>1413</v>
      </c>
      <c r="E154" s="9">
        <v>30.96</v>
      </c>
      <c r="F154" s="8" t="s">
        <v>1740</v>
      </c>
      <c r="G154" s="10">
        <v>3551</v>
      </c>
      <c r="H154" s="11">
        <f t="array" ref="H154">IF(OR(N154&gt;0,AC154&gt;0),MAX(N154,AC154),MAX(AK154,V154))</f>
        <v>46249</v>
      </c>
      <c r="I154" s="143">
        <f t="array" ref="I154">IF(SUM(O154,AD154)&gt;0,SUM(O154,AD154),SUM(AL154,W154))</f>
        <v>153</v>
      </c>
      <c r="J154" s="9">
        <f t="shared" si="22"/>
        <v>4.3086454519853561</v>
      </c>
      <c r="K154" s="143">
        <f t="shared" si="32"/>
        <v>2</v>
      </c>
      <c r="L154" s="9">
        <f t="shared" si="23"/>
        <v>1.3071895424836601</v>
      </c>
      <c r="M154" s="8" t="str">
        <f t="array" ref="M154">IF(L154&gt;5,"Perlu Sensus",IF(AND(L154&gt;=0,I154&gt;0),"Tetap Deteksi","Belum Deteksi"))</f>
        <v>Tetap Deteksi</v>
      </c>
      <c r="N154" s="132">
        <v>46249</v>
      </c>
      <c r="O154" s="143">
        <f t="array" ref="O154">INDEX([28]Sheet1!$H$24:$H$231,MATCH(1,([28]Sheet1!$E$24:$E$231=$D154)*([28]Sheet1!$E$24:$E$231=$D154),0))</f>
        <v>153</v>
      </c>
      <c r="P154" s="9">
        <f t="array" ref="P154">IFERROR(O154/$G154*100,0)</f>
        <v>4.3086454519853561</v>
      </c>
      <c r="Q154" s="143">
        <f t="array" ref="Q154">INDEX([28]Sheet1!$J$24:$J$231,MATCH(1,([28]Sheet1!$E$24:$E$231=$D154)*([28]Sheet1!$E$24:$E$231=$D154),0))</f>
        <v>2</v>
      </c>
      <c r="R154" s="9">
        <f t="shared" si="24"/>
        <v>1.3071895424836601</v>
      </c>
      <c r="S154" s="8" t="str">
        <f t="array" ref="S154">IF(R154&gt;5,"Perlu Sensus",IF(AND(R154&gt;=0,O154&gt;0),"Tetap Deteksi","Belum Deteksi"))</f>
        <v>Tetap Deteksi</v>
      </c>
      <c r="T154" s="143"/>
      <c r="U154" s="9">
        <f t="shared" si="25"/>
        <v>0</v>
      </c>
      <c r="V154" s="11"/>
      <c r="W154" s="143"/>
      <c r="X154" s="143"/>
      <c r="Y154" s="9">
        <f t="shared" si="26"/>
        <v>0</v>
      </c>
      <c r="Z154" s="8" t="str">
        <f t="array" ref="Z154">IF(Y154&gt;5,"Perlu Sensus",IF(AND(Y154&gt;=0,W154&gt;0),"Tetap Deteksi","Belum Deteksi"))</f>
        <v>Belum Deteksi</v>
      </c>
      <c r="AA154" s="143"/>
      <c r="AB154" s="9">
        <f t="shared" si="27"/>
        <v>0</v>
      </c>
      <c r="AC154" s="11"/>
      <c r="AD154" s="143"/>
      <c r="AE154" s="9">
        <f t="array" ref="AE154">IFERROR(AD154/$G154*100,0)</f>
        <v>0</v>
      </c>
      <c r="AF154" s="143"/>
      <c r="AG154" s="9">
        <f t="shared" si="28"/>
        <v>0</v>
      </c>
      <c r="AH154" s="8" t="str">
        <f t="array" ref="AH154">IF(AG154&gt;5,"Perlu Sensus",IF(AND(AG154&gt;=0,AD154&gt;0),"Tetap Deteksi","Belum Deteksi"))</f>
        <v>Belum Deteksi</v>
      </c>
      <c r="AI154" s="143"/>
      <c r="AJ154" s="9">
        <f t="shared" si="29"/>
        <v>0</v>
      </c>
      <c r="AK154" s="11"/>
      <c r="AL154" s="143"/>
      <c r="AM154" s="143"/>
      <c r="AN154" s="9">
        <f t="shared" si="30"/>
        <v>0</v>
      </c>
      <c r="AO154" s="8" t="str">
        <f t="array" ref="AO154">IF(AN154&gt;5,"Perlu Sensus",IF(AND(AN154&gt;=0,AL154&gt;0),"Tetap Deteksi","Belum Deteksi"))</f>
        <v>Belum Deteksi</v>
      </c>
      <c r="AP154" s="143"/>
      <c r="AQ154" s="9">
        <f t="shared" si="31"/>
        <v>0</v>
      </c>
    </row>
    <row r="155" spans="1:43" outlineLevel="1" x14ac:dyDescent="0.15">
      <c r="A155" s="8" t="s">
        <v>1273</v>
      </c>
      <c r="B155" s="8" t="s">
        <v>14</v>
      </c>
      <c r="C155" s="8" t="s">
        <v>144</v>
      </c>
      <c r="D155" s="186" t="s">
        <v>1414</v>
      </c>
      <c r="E155" s="9">
        <v>33</v>
      </c>
      <c r="F155" s="8" t="s">
        <v>1740</v>
      </c>
      <c r="G155" s="10">
        <v>3871</v>
      </c>
      <c r="H155" s="11">
        <f t="array" ref="H155">IF(OR(N155&gt;0,AC155&gt;0),MAX(N155,AC155),MAX(AK155,V155))</f>
        <v>46249</v>
      </c>
      <c r="I155" s="143">
        <f t="array" ref="I155">IF(SUM(O155,AD155)&gt;0,SUM(O155,AD155),SUM(AL155,W155))</f>
        <v>152</v>
      </c>
      <c r="J155" s="9">
        <f t="shared" si="22"/>
        <v>3.9266339447171275</v>
      </c>
      <c r="K155" s="143">
        <f t="shared" si="32"/>
        <v>2</v>
      </c>
      <c r="L155" s="9">
        <f t="shared" si="23"/>
        <v>1.3157894736842104</v>
      </c>
      <c r="M155" s="8" t="str">
        <f t="array" ref="M155">IF(L155&gt;5,"Perlu Sensus",IF(AND(L155&gt;=0,I155&gt;0),"Tetap Deteksi","Belum Deteksi"))</f>
        <v>Tetap Deteksi</v>
      </c>
      <c r="N155" s="132">
        <v>46249</v>
      </c>
      <c r="O155" s="143">
        <f t="array" ref="O155">INDEX([28]Sheet1!$H$24:$H$231,MATCH(1,([28]Sheet1!$E$24:$E$231=$D155)*([28]Sheet1!$E$24:$E$231=$D155),0))</f>
        <v>152</v>
      </c>
      <c r="P155" s="9">
        <f t="array" ref="P155">IFERROR(O155/$G155*100,0)</f>
        <v>3.9266339447171275</v>
      </c>
      <c r="Q155" s="143">
        <f t="array" ref="Q155">INDEX([28]Sheet1!$J$24:$J$231,MATCH(1,([28]Sheet1!$E$24:$E$231=$D155)*([28]Sheet1!$E$24:$E$231=$D155),0))</f>
        <v>2</v>
      </c>
      <c r="R155" s="9">
        <f t="shared" si="24"/>
        <v>1.3157894736842104</v>
      </c>
      <c r="S155" s="8" t="str">
        <f t="array" ref="S155">IF(R155&gt;5,"Perlu Sensus",IF(AND(R155&gt;=0,O155&gt;0),"Tetap Deteksi","Belum Deteksi"))</f>
        <v>Tetap Deteksi</v>
      </c>
      <c r="T155" s="143"/>
      <c r="U155" s="9">
        <f t="shared" si="25"/>
        <v>0</v>
      </c>
      <c r="V155" s="11"/>
      <c r="W155" s="143"/>
      <c r="X155" s="143"/>
      <c r="Y155" s="9">
        <f t="shared" si="26"/>
        <v>0</v>
      </c>
      <c r="Z155" s="8" t="str">
        <f t="array" ref="Z155">IF(Y155&gt;5,"Perlu Sensus",IF(AND(Y155&gt;=0,W155&gt;0),"Tetap Deteksi","Belum Deteksi"))</f>
        <v>Belum Deteksi</v>
      </c>
      <c r="AA155" s="143"/>
      <c r="AB155" s="9">
        <f t="shared" si="27"/>
        <v>0</v>
      </c>
      <c r="AC155" s="11"/>
      <c r="AD155" s="143"/>
      <c r="AE155" s="9">
        <f t="array" ref="AE155">IFERROR(AD155/$G155*100,0)</f>
        <v>0</v>
      </c>
      <c r="AF155" s="143"/>
      <c r="AG155" s="9">
        <f t="shared" si="28"/>
        <v>0</v>
      </c>
      <c r="AH155" s="8" t="str">
        <f t="array" ref="AH155">IF(AG155&gt;5,"Perlu Sensus",IF(AND(AG155&gt;=0,AD155&gt;0),"Tetap Deteksi","Belum Deteksi"))</f>
        <v>Belum Deteksi</v>
      </c>
      <c r="AI155" s="143"/>
      <c r="AJ155" s="9">
        <f t="shared" si="29"/>
        <v>0</v>
      </c>
      <c r="AK155" s="11"/>
      <c r="AL155" s="143"/>
      <c r="AM155" s="143"/>
      <c r="AN155" s="9">
        <f t="shared" si="30"/>
        <v>0</v>
      </c>
      <c r="AO155" s="8" t="str">
        <f t="array" ref="AO155">IF(AN155&gt;5,"Perlu Sensus",IF(AND(AN155&gt;=0,AL155&gt;0),"Tetap Deteksi","Belum Deteksi"))</f>
        <v>Belum Deteksi</v>
      </c>
      <c r="AP155" s="143"/>
      <c r="AQ155" s="9">
        <f t="shared" si="31"/>
        <v>0</v>
      </c>
    </row>
    <row r="156" spans="1:43" outlineLevel="1" x14ac:dyDescent="0.15">
      <c r="A156" s="8" t="s">
        <v>1273</v>
      </c>
      <c r="B156" s="8" t="s">
        <v>14</v>
      </c>
      <c r="C156" s="8" t="s">
        <v>173</v>
      </c>
      <c r="D156" s="186" t="s">
        <v>1415</v>
      </c>
      <c r="E156" s="9">
        <v>30.63</v>
      </c>
      <c r="F156" s="8" t="s">
        <v>1740</v>
      </c>
      <c r="G156" s="10">
        <v>3694</v>
      </c>
      <c r="H156" s="11">
        <f t="array" ref="H156">IF(OR(N156&gt;0,AC156&gt;0),MAX(N156,AC156),MAX(AK156,V156))</f>
        <v>46249</v>
      </c>
      <c r="I156" s="143">
        <f t="array" ref="I156">IF(SUM(O156,AD156)&gt;0,SUM(O156,AD156),SUM(AL156,W156))</f>
        <v>152</v>
      </c>
      <c r="J156" s="9">
        <f t="shared" si="22"/>
        <v>4.114780725500812</v>
      </c>
      <c r="K156" s="143">
        <f t="shared" si="32"/>
        <v>2</v>
      </c>
      <c r="L156" s="9">
        <f t="shared" si="23"/>
        <v>1.3157894736842104</v>
      </c>
      <c r="M156" s="8" t="str">
        <f t="array" ref="M156">IF(L156&gt;5,"Perlu Sensus",IF(AND(L156&gt;=0,I156&gt;0),"Tetap Deteksi","Belum Deteksi"))</f>
        <v>Tetap Deteksi</v>
      </c>
      <c r="N156" s="132">
        <v>46249</v>
      </c>
      <c r="O156" s="143">
        <f t="array" ref="O156">INDEX([28]Sheet1!$H$24:$H$231,MATCH(1,([28]Sheet1!$E$24:$E$231=$D156)*([28]Sheet1!$E$24:$E$231=$D156),0))</f>
        <v>152</v>
      </c>
      <c r="P156" s="9">
        <f t="array" ref="P156">IFERROR(O156/$G156*100,0)</f>
        <v>4.114780725500812</v>
      </c>
      <c r="Q156" s="143">
        <f t="array" ref="Q156">INDEX([28]Sheet1!$J$24:$J$231,MATCH(1,([28]Sheet1!$E$24:$E$231=$D156)*([28]Sheet1!$E$24:$E$231=$D156),0))</f>
        <v>2</v>
      </c>
      <c r="R156" s="9">
        <f t="shared" si="24"/>
        <v>1.3157894736842104</v>
      </c>
      <c r="S156" s="8" t="str">
        <f t="array" ref="S156">IF(R156&gt;5,"Perlu Sensus",IF(AND(R156&gt;=0,O156&gt;0),"Tetap Deteksi","Belum Deteksi"))</f>
        <v>Tetap Deteksi</v>
      </c>
      <c r="T156" s="143"/>
      <c r="U156" s="9">
        <f t="shared" si="25"/>
        <v>0</v>
      </c>
      <c r="V156" s="11"/>
      <c r="W156" s="143"/>
      <c r="X156" s="143"/>
      <c r="Y156" s="9">
        <f t="shared" si="26"/>
        <v>0</v>
      </c>
      <c r="Z156" s="8" t="str">
        <f t="array" ref="Z156">IF(Y156&gt;5,"Perlu Sensus",IF(AND(Y156&gt;=0,W156&gt;0),"Tetap Deteksi","Belum Deteksi"))</f>
        <v>Belum Deteksi</v>
      </c>
      <c r="AA156" s="143"/>
      <c r="AB156" s="9">
        <f t="shared" si="27"/>
        <v>0</v>
      </c>
      <c r="AC156" s="11"/>
      <c r="AD156" s="143"/>
      <c r="AE156" s="9">
        <f t="array" ref="AE156">IFERROR(AD156/$G156*100,0)</f>
        <v>0</v>
      </c>
      <c r="AF156" s="143"/>
      <c r="AG156" s="9">
        <f t="shared" si="28"/>
        <v>0</v>
      </c>
      <c r="AH156" s="8" t="str">
        <f t="array" ref="AH156">IF(AG156&gt;5,"Perlu Sensus",IF(AND(AG156&gt;=0,AD156&gt;0),"Tetap Deteksi","Belum Deteksi"))</f>
        <v>Belum Deteksi</v>
      </c>
      <c r="AI156" s="143"/>
      <c r="AJ156" s="9">
        <f t="shared" si="29"/>
        <v>0</v>
      </c>
      <c r="AK156" s="11"/>
      <c r="AL156" s="143"/>
      <c r="AM156" s="143"/>
      <c r="AN156" s="9">
        <f t="shared" si="30"/>
        <v>0</v>
      </c>
      <c r="AO156" s="8" t="str">
        <f t="array" ref="AO156">IF(AN156&gt;5,"Perlu Sensus",IF(AND(AN156&gt;=0,AL156&gt;0),"Tetap Deteksi","Belum Deteksi"))</f>
        <v>Belum Deteksi</v>
      </c>
      <c r="AP156" s="143"/>
      <c r="AQ156" s="9">
        <f t="shared" si="31"/>
        <v>0</v>
      </c>
    </row>
    <row r="157" spans="1:43" outlineLevel="1" x14ac:dyDescent="0.15">
      <c r="A157" s="8" t="s">
        <v>1273</v>
      </c>
      <c r="B157" s="8" t="s">
        <v>14</v>
      </c>
      <c r="C157" s="8" t="s">
        <v>173</v>
      </c>
      <c r="D157" s="186" t="s">
        <v>1028</v>
      </c>
      <c r="E157" s="9">
        <v>31.46</v>
      </c>
      <c r="F157" s="8" t="s">
        <v>1740</v>
      </c>
      <c r="G157" s="10">
        <v>4005</v>
      </c>
      <c r="H157" s="11">
        <f t="array" ref="H157">IF(OR(N157&gt;0,AC157&gt;0),MAX(N157,AC157),MAX(AK157,V157))</f>
        <v>46249</v>
      </c>
      <c r="I157" s="143">
        <f t="array" ref="I157">IF(SUM(O157,AD157)&gt;0,SUM(O157,AD157),SUM(AL157,W157))</f>
        <v>334</v>
      </c>
      <c r="J157" s="9">
        <f t="shared" si="22"/>
        <v>8.3395755305867674</v>
      </c>
      <c r="K157" s="143">
        <f t="shared" si="32"/>
        <v>8</v>
      </c>
      <c r="L157" s="9">
        <f t="shared" si="23"/>
        <v>2.3952095808383236</v>
      </c>
      <c r="M157" s="8" t="str">
        <f t="array" ref="M157">IF(L157&gt;5,"Perlu Sensus",IF(AND(L157&gt;=0,I157&gt;0),"Tetap Deteksi","Belum Deteksi"))</f>
        <v>Tetap Deteksi</v>
      </c>
      <c r="N157" s="132">
        <v>46249</v>
      </c>
      <c r="O157" s="143">
        <f t="array" ref="O157">INDEX([28]Sheet1!$H$24:$H$231,MATCH(1,([28]Sheet1!$E$24:$E$231=$D157)*([28]Sheet1!$E$24:$E$231=$D157),0))</f>
        <v>334</v>
      </c>
      <c r="P157" s="9">
        <f t="array" ref="P157">IFERROR(O157/$G157*100,0)</f>
        <v>8.3395755305867674</v>
      </c>
      <c r="Q157" s="143">
        <f t="array" ref="Q157">INDEX([28]Sheet1!$J$24:$J$231,MATCH(1,([28]Sheet1!$E$24:$E$231=$D157)*([28]Sheet1!$E$24:$E$231=$D157),0))</f>
        <v>8</v>
      </c>
      <c r="R157" s="9">
        <f t="shared" si="24"/>
        <v>2.3952095808383236</v>
      </c>
      <c r="S157" s="8" t="str">
        <f t="array" ref="S157">IF(R157&gt;5,"Perlu Sensus",IF(AND(R157&gt;=0,O157&gt;0),"Tetap Deteksi","Belum Deteksi"))</f>
        <v>Tetap Deteksi</v>
      </c>
      <c r="T157" s="143"/>
      <c r="U157" s="9">
        <f t="shared" si="25"/>
        <v>0</v>
      </c>
      <c r="V157" s="11"/>
      <c r="W157" s="143"/>
      <c r="X157" s="143"/>
      <c r="Y157" s="9">
        <f t="shared" si="26"/>
        <v>0</v>
      </c>
      <c r="Z157" s="8" t="str">
        <f t="array" ref="Z157">IF(Y157&gt;5,"Perlu Sensus",IF(AND(Y157&gt;=0,W157&gt;0),"Tetap Deteksi","Belum Deteksi"))</f>
        <v>Belum Deteksi</v>
      </c>
      <c r="AA157" s="143"/>
      <c r="AB157" s="9">
        <f t="shared" si="27"/>
        <v>0</v>
      </c>
      <c r="AC157" s="11"/>
      <c r="AD157" s="143"/>
      <c r="AE157" s="9">
        <f t="array" ref="AE157">IFERROR(AD157/$G157*100,0)</f>
        <v>0</v>
      </c>
      <c r="AF157" s="143"/>
      <c r="AG157" s="9">
        <f t="shared" si="28"/>
        <v>0</v>
      </c>
      <c r="AH157" s="8" t="str">
        <f t="array" ref="AH157">IF(AG157&gt;5,"Perlu Sensus",IF(AND(AG157&gt;=0,AD157&gt;0),"Tetap Deteksi","Belum Deteksi"))</f>
        <v>Belum Deteksi</v>
      </c>
      <c r="AI157" s="143"/>
      <c r="AJ157" s="9">
        <f t="shared" si="29"/>
        <v>0</v>
      </c>
      <c r="AK157" s="11"/>
      <c r="AL157" s="143"/>
      <c r="AM157" s="143"/>
      <c r="AN157" s="9">
        <f t="shared" si="30"/>
        <v>0</v>
      </c>
      <c r="AO157" s="8" t="str">
        <f t="array" ref="AO157">IF(AN157&gt;5,"Perlu Sensus",IF(AND(AN157&gt;=0,AL157&gt;0),"Tetap Deteksi","Belum Deteksi"))</f>
        <v>Belum Deteksi</v>
      </c>
      <c r="AP157" s="143"/>
      <c r="AQ157" s="9">
        <f t="shared" si="31"/>
        <v>0</v>
      </c>
    </row>
    <row r="158" spans="1:43" outlineLevel="1" x14ac:dyDescent="0.15">
      <c r="A158" s="8" t="s">
        <v>1273</v>
      </c>
      <c r="B158" s="8" t="s">
        <v>14</v>
      </c>
      <c r="C158" s="8" t="s">
        <v>173</v>
      </c>
      <c r="D158" s="186" t="s">
        <v>1011</v>
      </c>
      <c r="E158" s="9">
        <v>27.95</v>
      </c>
      <c r="F158" s="8" t="s">
        <v>1740</v>
      </c>
      <c r="G158" s="10">
        <v>3496</v>
      </c>
      <c r="H158" s="11">
        <f t="array" ref="H158">IF(OR(N158&gt;0,AC158&gt;0),MAX(N158,AC158),MAX(AK158,V158))</f>
        <v>46249</v>
      </c>
      <c r="I158" s="143">
        <f t="array" ref="I158">IF(SUM(O158,AD158)&gt;0,SUM(O158,AD158),SUM(AL158,W158))</f>
        <v>104</v>
      </c>
      <c r="J158" s="9">
        <f t="shared" si="22"/>
        <v>2.9748283752860414</v>
      </c>
      <c r="K158" s="143">
        <f t="shared" si="32"/>
        <v>2</v>
      </c>
      <c r="L158" s="9">
        <f t="shared" si="23"/>
        <v>1.9230769230769231</v>
      </c>
      <c r="M158" s="8" t="str">
        <f t="array" ref="M158">IF(L158&gt;5,"Perlu Sensus",IF(AND(L158&gt;=0,I158&gt;0),"Tetap Deteksi","Belum Deteksi"))</f>
        <v>Tetap Deteksi</v>
      </c>
      <c r="N158" s="132">
        <v>46249</v>
      </c>
      <c r="O158" s="143">
        <f t="array" ref="O158">INDEX([28]Sheet1!$H$24:$H$231,MATCH(1,([28]Sheet1!$E$24:$E$231=$D158)*([28]Sheet1!$E$24:$E$231=$D158),0))</f>
        <v>104</v>
      </c>
      <c r="P158" s="9">
        <f t="array" ref="P158">IFERROR(O158/$G158*100,0)</f>
        <v>2.9748283752860414</v>
      </c>
      <c r="Q158" s="143">
        <f t="array" ref="Q158">INDEX([28]Sheet1!$J$24:$J$231,MATCH(1,([28]Sheet1!$E$24:$E$231=$D158)*([28]Sheet1!$E$24:$E$231=$D158),0))</f>
        <v>2</v>
      </c>
      <c r="R158" s="9">
        <f t="shared" si="24"/>
        <v>1.9230769230769231</v>
      </c>
      <c r="S158" s="8" t="str">
        <f t="array" ref="S158">IF(R158&gt;5,"Perlu Sensus",IF(AND(R158&gt;=0,O158&gt;0),"Tetap Deteksi","Belum Deteksi"))</f>
        <v>Tetap Deteksi</v>
      </c>
      <c r="T158" s="143"/>
      <c r="U158" s="9">
        <f t="shared" si="25"/>
        <v>0</v>
      </c>
      <c r="V158" s="11"/>
      <c r="W158" s="143"/>
      <c r="X158" s="143"/>
      <c r="Y158" s="9">
        <f t="shared" si="26"/>
        <v>0</v>
      </c>
      <c r="Z158" s="8" t="str">
        <f t="array" ref="Z158">IF(Y158&gt;5,"Perlu Sensus",IF(AND(Y158&gt;=0,W158&gt;0),"Tetap Deteksi","Belum Deteksi"))</f>
        <v>Belum Deteksi</v>
      </c>
      <c r="AA158" s="143"/>
      <c r="AB158" s="9">
        <f t="shared" si="27"/>
        <v>0</v>
      </c>
      <c r="AC158" s="11"/>
      <c r="AD158" s="143"/>
      <c r="AE158" s="9">
        <f t="array" ref="AE158">IFERROR(AD158/$G158*100,0)</f>
        <v>0</v>
      </c>
      <c r="AF158" s="143"/>
      <c r="AG158" s="9">
        <f t="shared" si="28"/>
        <v>0</v>
      </c>
      <c r="AH158" s="8" t="str">
        <f t="array" ref="AH158">IF(AG158&gt;5,"Perlu Sensus",IF(AND(AG158&gt;=0,AD158&gt;0),"Tetap Deteksi","Belum Deteksi"))</f>
        <v>Belum Deteksi</v>
      </c>
      <c r="AI158" s="143"/>
      <c r="AJ158" s="9">
        <f t="shared" si="29"/>
        <v>0</v>
      </c>
      <c r="AK158" s="11"/>
      <c r="AL158" s="143"/>
      <c r="AM158" s="143"/>
      <c r="AN158" s="9">
        <f t="shared" si="30"/>
        <v>0</v>
      </c>
      <c r="AO158" s="8" t="str">
        <f t="array" ref="AO158">IF(AN158&gt;5,"Perlu Sensus",IF(AND(AN158&gt;=0,AL158&gt;0),"Tetap Deteksi","Belum Deteksi"))</f>
        <v>Belum Deteksi</v>
      </c>
      <c r="AP158" s="143"/>
      <c r="AQ158" s="9">
        <f t="shared" si="31"/>
        <v>0</v>
      </c>
    </row>
    <row r="159" spans="1:43" outlineLevel="1" x14ac:dyDescent="0.15">
      <c r="A159" s="8" t="s">
        <v>1273</v>
      </c>
      <c r="B159" s="8" t="s">
        <v>14</v>
      </c>
      <c r="C159" s="8" t="s">
        <v>173</v>
      </c>
      <c r="D159" s="181" t="s">
        <v>1004</v>
      </c>
      <c r="E159" s="9">
        <v>32.81</v>
      </c>
      <c r="F159" s="8" t="s">
        <v>1740</v>
      </c>
      <c r="G159" s="10">
        <v>4374</v>
      </c>
      <c r="H159" s="11">
        <f t="array" ref="H159">IF(OR(N159&gt;0,AC159&gt;0),MAX(N159,AC159),MAX(AK159,V159))</f>
        <v>46249</v>
      </c>
      <c r="I159" s="143">
        <f t="array" ref="I159">IF(SUM(O159,AD159)&gt;0,SUM(O159,AD159),SUM(AL159,W159))</f>
        <v>136</v>
      </c>
      <c r="J159" s="9">
        <f t="shared" si="22"/>
        <v>3.1092821216278006</v>
      </c>
      <c r="K159" s="143">
        <f t="shared" si="32"/>
        <v>1</v>
      </c>
      <c r="L159" s="9">
        <f t="shared" si="23"/>
        <v>0.73529411764705876</v>
      </c>
      <c r="M159" s="8" t="str">
        <f t="array" ref="M159">IF(L159&gt;5,"Perlu Sensus",IF(AND(L159&gt;=0,I159&gt;0),"Tetap Deteksi","Belum Deteksi"))</f>
        <v>Tetap Deteksi</v>
      </c>
      <c r="N159" s="132">
        <v>46249</v>
      </c>
      <c r="O159" s="143">
        <f t="array" ref="O159">INDEX([28]Sheet1!$H$24:$H$231,MATCH(1,([28]Sheet1!$E$24:$E$231=$D159)*([28]Sheet1!$E$24:$E$231=$D159),0))</f>
        <v>136</v>
      </c>
      <c r="P159" s="9">
        <f t="array" ref="P159">IFERROR(O159/$G159*100,0)</f>
        <v>3.1092821216278006</v>
      </c>
      <c r="Q159" s="143">
        <f t="array" ref="Q159">INDEX([28]Sheet1!$J$24:$J$231,MATCH(1,([28]Sheet1!$E$24:$E$231=$D159)*([28]Sheet1!$E$24:$E$231=$D159),0))</f>
        <v>1</v>
      </c>
      <c r="R159" s="9">
        <f t="shared" si="24"/>
        <v>0.73529411764705876</v>
      </c>
      <c r="S159" s="8" t="str">
        <f t="array" ref="S159">IF(R159&gt;5,"Perlu Sensus",IF(AND(R159&gt;=0,O159&gt;0),"Tetap Deteksi","Belum Deteksi"))</f>
        <v>Tetap Deteksi</v>
      </c>
      <c r="T159" s="143"/>
      <c r="U159" s="9">
        <f t="shared" si="25"/>
        <v>0</v>
      </c>
      <c r="V159" s="11"/>
      <c r="W159" s="143"/>
      <c r="X159" s="143"/>
      <c r="Y159" s="9">
        <f t="shared" si="26"/>
        <v>0</v>
      </c>
      <c r="Z159" s="8" t="str">
        <f t="array" ref="Z159">IF(Y159&gt;5,"Perlu Sensus",IF(AND(Y159&gt;=0,W159&gt;0),"Tetap Deteksi","Belum Deteksi"))</f>
        <v>Belum Deteksi</v>
      </c>
      <c r="AA159" s="143"/>
      <c r="AB159" s="9">
        <f t="shared" si="27"/>
        <v>0</v>
      </c>
      <c r="AC159" s="11"/>
      <c r="AD159" s="143"/>
      <c r="AE159" s="9">
        <f t="array" ref="AE159">IFERROR(AD159/$G159*100,0)</f>
        <v>0</v>
      </c>
      <c r="AF159" s="143"/>
      <c r="AG159" s="9">
        <f t="shared" si="28"/>
        <v>0</v>
      </c>
      <c r="AH159" s="8" t="str">
        <f t="array" ref="AH159">IF(AG159&gt;5,"Perlu Sensus",IF(AND(AG159&gt;=0,AD159&gt;0),"Tetap Deteksi","Belum Deteksi"))</f>
        <v>Belum Deteksi</v>
      </c>
      <c r="AI159" s="143"/>
      <c r="AJ159" s="9">
        <f t="shared" si="29"/>
        <v>0</v>
      </c>
      <c r="AK159" s="11"/>
      <c r="AL159" s="143"/>
      <c r="AM159" s="143"/>
      <c r="AN159" s="9">
        <f t="shared" si="30"/>
        <v>0</v>
      </c>
      <c r="AO159" s="8" t="str">
        <f t="array" ref="AO159">IF(AN159&gt;5,"Perlu Sensus",IF(AND(AN159&gt;=0,AL159&gt;0),"Tetap Deteksi","Belum Deteksi"))</f>
        <v>Belum Deteksi</v>
      </c>
      <c r="AP159" s="143"/>
      <c r="AQ159" s="9">
        <f t="shared" si="31"/>
        <v>0</v>
      </c>
    </row>
    <row r="160" spans="1:43" outlineLevel="1" x14ac:dyDescent="0.15">
      <c r="A160" s="8" t="s">
        <v>1273</v>
      </c>
      <c r="B160" s="8" t="s">
        <v>14</v>
      </c>
      <c r="C160" s="8" t="s">
        <v>173</v>
      </c>
      <c r="D160" s="8" t="s">
        <v>1416</v>
      </c>
      <c r="E160" s="9">
        <v>26.58</v>
      </c>
      <c r="F160" s="8" t="s">
        <v>1740</v>
      </c>
      <c r="G160" s="10">
        <v>2621</v>
      </c>
      <c r="H160" s="11">
        <f t="array" ref="H160">IF(OR(N160&gt;0,AC160&gt;0),MAX(N160,AC160),MAX(AK160,V160))</f>
        <v>46249</v>
      </c>
      <c r="I160" s="143">
        <f t="array" ref="I160">IF(SUM(O160,AD160)&gt;0,SUM(O160,AD160),SUM(AL160,W160))</f>
        <v>89</v>
      </c>
      <c r="J160" s="9">
        <f t="shared" si="22"/>
        <v>3.3956505150705834</v>
      </c>
      <c r="K160" s="143">
        <f t="shared" si="32"/>
        <v>1</v>
      </c>
      <c r="L160" s="9">
        <f t="shared" si="23"/>
        <v>1.1235955056179776</v>
      </c>
      <c r="M160" s="8" t="str">
        <f t="array" ref="M160">IF(L160&gt;5,"Perlu Sensus",IF(AND(L160&gt;=0,I160&gt;0),"Tetap Deteksi","Belum Deteksi"))</f>
        <v>Tetap Deteksi</v>
      </c>
      <c r="N160" s="132">
        <v>46249</v>
      </c>
      <c r="O160" s="143">
        <f t="array" ref="O160">INDEX([28]Sheet1!$H$24:$H$231,MATCH(1,([28]Sheet1!$E$24:$E$231=$D160)*([28]Sheet1!$E$24:$E$231=$D160),0))</f>
        <v>89</v>
      </c>
      <c r="P160" s="9">
        <f t="array" ref="P160">IFERROR(O160/$G160*100,0)</f>
        <v>3.3956505150705834</v>
      </c>
      <c r="Q160" s="143">
        <f t="array" ref="Q160">INDEX([28]Sheet1!$J$24:$J$231,MATCH(1,([28]Sheet1!$E$24:$E$231=$D160)*([28]Sheet1!$E$24:$E$231=$D160),0))</f>
        <v>1</v>
      </c>
      <c r="R160" s="9">
        <f t="shared" si="24"/>
        <v>1.1235955056179776</v>
      </c>
      <c r="S160" s="8" t="str">
        <f t="array" ref="S160">IF(R160&gt;5,"Perlu Sensus",IF(AND(R160&gt;=0,O160&gt;0),"Tetap Deteksi","Belum Deteksi"))</f>
        <v>Tetap Deteksi</v>
      </c>
      <c r="T160" s="143"/>
      <c r="U160" s="9">
        <f t="shared" si="25"/>
        <v>0</v>
      </c>
      <c r="V160" s="11"/>
      <c r="W160" s="143"/>
      <c r="X160" s="143"/>
      <c r="Y160" s="9">
        <f t="shared" si="26"/>
        <v>0</v>
      </c>
      <c r="Z160" s="8" t="str">
        <f t="array" ref="Z160">IF(Y160&gt;5,"Perlu Sensus",IF(AND(Y160&gt;=0,W160&gt;0),"Tetap Deteksi","Belum Deteksi"))</f>
        <v>Belum Deteksi</v>
      </c>
      <c r="AA160" s="143"/>
      <c r="AB160" s="9">
        <f t="shared" si="27"/>
        <v>0</v>
      </c>
      <c r="AC160" s="11"/>
      <c r="AD160" s="143"/>
      <c r="AE160" s="9">
        <f t="array" ref="AE160">IFERROR(AD160/$G160*100,0)</f>
        <v>0</v>
      </c>
      <c r="AF160" s="143"/>
      <c r="AG160" s="9">
        <f t="shared" si="28"/>
        <v>0</v>
      </c>
      <c r="AH160" s="8" t="str">
        <f t="array" ref="AH160">IF(AG160&gt;5,"Perlu Sensus",IF(AND(AG160&gt;=0,AD160&gt;0),"Tetap Deteksi","Belum Deteksi"))</f>
        <v>Belum Deteksi</v>
      </c>
      <c r="AI160" s="143"/>
      <c r="AJ160" s="9">
        <f t="shared" si="29"/>
        <v>0</v>
      </c>
      <c r="AK160" s="11"/>
      <c r="AL160" s="143"/>
      <c r="AM160" s="143"/>
      <c r="AN160" s="9">
        <f t="shared" si="30"/>
        <v>0</v>
      </c>
      <c r="AO160" s="8" t="str">
        <f t="array" ref="AO160">IF(AN160&gt;5,"Perlu Sensus",IF(AND(AN160&gt;=0,AL160&gt;0),"Tetap Deteksi","Belum Deteksi"))</f>
        <v>Belum Deteksi</v>
      </c>
      <c r="AP160" s="143"/>
      <c r="AQ160" s="9">
        <f t="shared" si="31"/>
        <v>0</v>
      </c>
    </row>
    <row r="161" spans="1:43" outlineLevel="1" x14ac:dyDescent="0.15">
      <c r="A161" s="8" t="s">
        <v>1273</v>
      </c>
      <c r="B161" s="8" t="s">
        <v>14</v>
      </c>
      <c r="C161" s="8" t="s">
        <v>173</v>
      </c>
      <c r="D161" s="186" t="s">
        <v>1417</v>
      </c>
      <c r="E161" s="9">
        <v>26.76</v>
      </c>
      <c r="F161" s="8" t="s">
        <v>1740</v>
      </c>
      <c r="G161" s="10">
        <v>3151</v>
      </c>
      <c r="H161" s="11">
        <f t="array" ref="H161">IF(OR(N161&gt;0,AC161&gt;0),MAX(N161,AC161),MAX(AK161,V161))</f>
        <v>46249</v>
      </c>
      <c r="I161" s="143">
        <f t="array" ref="I161">IF(SUM(O161,AD161)&gt;0,SUM(O161,AD161),SUM(AL161,W161))</f>
        <v>127</v>
      </c>
      <c r="J161" s="9">
        <f t="shared" si="22"/>
        <v>4.0304665185655351</v>
      </c>
      <c r="K161" s="143">
        <f t="shared" si="32"/>
        <v>2</v>
      </c>
      <c r="L161" s="9">
        <f t="shared" si="23"/>
        <v>1.5748031496062991</v>
      </c>
      <c r="M161" s="8" t="str">
        <f t="array" ref="M161">IF(L161&gt;5,"Perlu Sensus",IF(AND(L161&gt;=0,I161&gt;0),"Tetap Deteksi","Belum Deteksi"))</f>
        <v>Tetap Deteksi</v>
      </c>
      <c r="N161" s="132">
        <v>46249</v>
      </c>
      <c r="O161" s="143">
        <f t="array" ref="O161">INDEX([28]Sheet1!$H$24:$H$231,MATCH(1,([28]Sheet1!$E$24:$E$231=$D161)*([28]Sheet1!$E$24:$E$231=$D161),0))</f>
        <v>127</v>
      </c>
      <c r="P161" s="9">
        <f t="array" ref="P161">IFERROR(O161/$G161*100,0)</f>
        <v>4.0304665185655351</v>
      </c>
      <c r="Q161" s="143">
        <f t="array" ref="Q161">INDEX([28]Sheet1!$J$24:$J$231,MATCH(1,([28]Sheet1!$E$24:$E$231=$D161)*([28]Sheet1!$E$24:$E$231=$D161),0))</f>
        <v>2</v>
      </c>
      <c r="R161" s="9">
        <f t="shared" si="24"/>
        <v>1.5748031496062991</v>
      </c>
      <c r="S161" s="8" t="str">
        <f t="array" ref="S161">IF(R161&gt;5,"Perlu Sensus",IF(AND(R161&gt;=0,O161&gt;0),"Tetap Deteksi","Belum Deteksi"))</f>
        <v>Tetap Deteksi</v>
      </c>
      <c r="T161" s="143"/>
      <c r="U161" s="9">
        <f t="shared" si="25"/>
        <v>0</v>
      </c>
      <c r="V161" s="11"/>
      <c r="W161" s="143"/>
      <c r="X161" s="143"/>
      <c r="Y161" s="9">
        <f t="shared" si="26"/>
        <v>0</v>
      </c>
      <c r="Z161" s="8" t="str">
        <f t="array" ref="Z161">IF(Y161&gt;5,"Perlu Sensus",IF(AND(Y161&gt;=0,W161&gt;0),"Tetap Deteksi","Belum Deteksi"))</f>
        <v>Belum Deteksi</v>
      </c>
      <c r="AA161" s="143"/>
      <c r="AB161" s="9">
        <f t="shared" si="27"/>
        <v>0</v>
      </c>
      <c r="AC161" s="11"/>
      <c r="AD161" s="143"/>
      <c r="AE161" s="9">
        <f t="array" ref="AE161">IFERROR(AD161/$G161*100,0)</f>
        <v>0</v>
      </c>
      <c r="AF161" s="143"/>
      <c r="AG161" s="9">
        <f t="shared" si="28"/>
        <v>0</v>
      </c>
      <c r="AH161" s="8" t="str">
        <f t="array" ref="AH161">IF(AG161&gt;5,"Perlu Sensus",IF(AND(AG161&gt;=0,AD161&gt;0),"Tetap Deteksi","Belum Deteksi"))</f>
        <v>Belum Deteksi</v>
      </c>
      <c r="AI161" s="143"/>
      <c r="AJ161" s="9">
        <f t="shared" si="29"/>
        <v>0</v>
      </c>
      <c r="AK161" s="11"/>
      <c r="AL161" s="143"/>
      <c r="AM161" s="143"/>
      <c r="AN161" s="9">
        <f t="shared" si="30"/>
        <v>0</v>
      </c>
      <c r="AO161" s="8" t="str">
        <f t="array" ref="AO161">IF(AN161&gt;5,"Perlu Sensus",IF(AND(AN161&gt;=0,AL161&gt;0),"Tetap Deteksi","Belum Deteksi"))</f>
        <v>Belum Deteksi</v>
      </c>
      <c r="AP161" s="143"/>
      <c r="AQ161" s="9">
        <f t="shared" si="31"/>
        <v>0</v>
      </c>
    </row>
    <row r="162" spans="1:43" outlineLevel="1" x14ac:dyDescent="0.15">
      <c r="A162" s="8" t="s">
        <v>1273</v>
      </c>
      <c r="B162" s="8" t="s">
        <v>14</v>
      </c>
      <c r="C162" s="8" t="s">
        <v>173</v>
      </c>
      <c r="D162" s="181" t="s">
        <v>1418</v>
      </c>
      <c r="E162" s="9">
        <v>27.3</v>
      </c>
      <c r="F162" s="8" t="s">
        <v>1740</v>
      </c>
      <c r="G162" s="10">
        <v>2483</v>
      </c>
      <c r="H162" s="11">
        <f t="array" ref="H162">IF(OR(N162&gt;0,AC162&gt;0),MAX(N162,AC162),MAX(AK162,V162))</f>
        <v>46249</v>
      </c>
      <c r="I162" s="143">
        <f t="array" ref="I162">IF(SUM(O162,AD162)&gt;0,SUM(O162,AD162),SUM(AL162,W162))</f>
        <v>101</v>
      </c>
      <c r="J162" s="9">
        <f t="shared" si="22"/>
        <v>4.0676600886024969</v>
      </c>
      <c r="K162" s="143">
        <f t="shared" si="32"/>
        <v>1</v>
      </c>
      <c r="L162" s="9">
        <f t="shared" si="23"/>
        <v>0.99009900990099009</v>
      </c>
      <c r="M162" s="8" t="str">
        <f t="array" ref="M162">IF(L162&gt;5,"Perlu Sensus",IF(AND(L162&gt;=0,I162&gt;0),"Tetap Deteksi","Belum Deteksi"))</f>
        <v>Tetap Deteksi</v>
      </c>
      <c r="N162" s="132">
        <v>46249</v>
      </c>
      <c r="O162" s="143">
        <f t="array" ref="O162">INDEX([28]Sheet1!$H$24:$H$231,MATCH(1,([28]Sheet1!$E$24:$E$231=$D162)*([28]Sheet1!$E$24:$E$231=$D162),0))</f>
        <v>101</v>
      </c>
      <c r="P162" s="9">
        <f t="array" ref="P162">IFERROR(O162/$G162*100,0)</f>
        <v>4.0676600886024969</v>
      </c>
      <c r="Q162" s="143">
        <f t="array" ref="Q162">INDEX([28]Sheet1!$J$24:$J$231,MATCH(1,([28]Sheet1!$E$24:$E$231=$D162)*([28]Sheet1!$E$24:$E$231=$D162),0))</f>
        <v>1</v>
      </c>
      <c r="R162" s="9">
        <f t="shared" si="24"/>
        <v>0.99009900990099009</v>
      </c>
      <c r="S162" s="8" t="str">
        <f t="array" ref="S162">IF(R162&gt;5,"Perlu Sensus",IF(AND(R162&gt;=0,O162&gt;0),"Tetap Deteksi","Belum Deteksi"))</f>
        <v>Tetap Deteksi</v>
      </c>
      <c r="T162" s="143"/>
      <c r="U162" s="9">
        <f t="shared" si="25"/>
        <v>0</v>
      </c>
      <c r="V162" s="11"/>
      <c r="W162" s="143"/>
      <c r="X162" s="143"/>
      <c r="Y162" s="9">
        <f t="shared" si="26"/>
        <v>0</v>
      </c>
      <c r="Z162" s="8" t="str">
        <f t="array" ref="Z162">IF(Y162&gt;5,"Perlu Sensus",IF(AND(Y162&gt;=0,W162&gt;0),"Tetap Deteksi","Belum Deteksi"))</f>
        <v>Belum Deteksi</v>
      </c>
      <c r="AA162" s="143"/>
      <c r="AB162" s="9">
        <f t="shared" si="27"/>
        <v>0</v>
      </c>
      <c r="AC162" s="11"/>
      <c r="AD162" s="143"/>
      <c r="AE162" s="9">
        <f t="array" ref="AE162">IFERROR(AD162/$G162*100,0)</f>
        <v>0</v>
      </c>
      <c r="AF162" s="143"/>
      <c r="AG162" s="9">
        <f t="shared" si="28"/>
        <v>0</v>
      </c>
      <c r="AH162" s="8" t="str">
        <f t="array" ref="AH162">IF(AG162&gt;5,"Perlu Sensus",IF(AND(AG162&gt;=0,AD162&gt;0),"Tetap Deteksi","Belum Deteksi"))</f>
        <v>Belum Deteksi</v>
      </c>
      <c r="AI162" s="143"/>
      <c r="AJ162" s="9">
        <f t="shared" si="29"/>
        <v>0</v>
      </c>
      <c r="AK162" s="11"/>
      <c r="AL162" s="143"/>
      <c r="AM162" s="143"/>
      <c r="AN162" s="9">
        <f t="shared" si="30"/>
        <v>0</v>
      </c>
      <c r="AO162" s="8" t="str">
        <f t="array" ref="AO162">IF(AN162&gt;5,"Perlu Sensus",IF(AND(AN162&gt;=0,AL162&gt;0),"Tetap Deteksi","Belum Deteksi"))</f>
        <v>Belum Deteksi</v>
      </c>
      <c r="AP162" s="143"/>
      <c r="AQ162" s="9">
        <f t="shared" si="31"/>
        <v>0</v>
      </c>
    </row>
    <row r="163" spans="1:43" outlineLevel="1" x14ac:dyDescent="0.15">
      <c r="A163" s="8" t="s">
        <v>1273</v>
      </c>
      <c r="B163" s="8" t="s">
        <v>14</v>
      </c>
      <c r="C163" s="8" t="s">
        <v>173</v>
      </c>
      <c r="D163" s="8" t="s">
        <v>1419</v>
      </c>
      <c r="E163" s="9">
        <v>26.11</v>
      </c>
      <c r="F163" s="8" t="s">
        <v>1740</v>
      </c>
      <c r="G163" s="10">
        <v>2997</v>
      </c>
      <c r="H163" s="11">
        <f t="array" ref="H163">IF(OR(N163&gt;0,AC163&gt;0),MAX(N163,AC163),MAX(AK163,V163))</f>
        <v>46249</v>
      </c>
      <c r="I163" s="143">
        <f t="array" ref="I163">IF(SUM(O163,AD163)&gt;0,SUM(O163,AD163),SUM(AL163,W163))</f>
        <v>267</v>
      </c>
      <c r="J163" s="9">
        <f t="shared" si="22"/>
        <v>8.9089089089089093</v>
      </c>
      <c r="K163" s="143">
        <f t="shared" si="32"/>
        <v>6</v>
      </c>
      <c r="L163" s="9">
        <f t="shared" si="23"/>
        <v>2.2471910112359552</v>
      </c>
      <c r="M163" s="8" t="str">
        <f t="array" ref="M163">IF(L163&gt;5,"Perlu Sensus",IF(AND(L163&gt;=0,I163&gt;0),"Tetap Deteksi","Belum Deteksi"))</f>
        <v>Tetap Deteksi</v>
      </c>
      <c r="N163" s="132">
        <v>46249</v>
      </c>
      <c r="O163" s="143">
        <f t="array" ref="O163">INDEX([28]Sheet1!$H$24:$H$231,MATCH(1,([28]Sheet1!$E$24:$E$231=$D163)*([28]Sheet1!$E$24:$E$231=$D163),0))</f>
        <v>267</v>
      </c>
      <c r="P163" s="9">
        <f t="array" ref="P163">IFERROR(O163/$G163*100,0)</f>
        <v>8.9089089089089093</v>
      </c>
      <c r="Q163" s="143">
        <f t="array" ref="Q163">INDEX([28]Sheet1!$J$24:$J$231,MATCH(1,([28]Sheet1!$E$24:$E$231=$D163)*([28]Sheet1!$E$24:$E$231=$D163),0))</f>
        <v>6</v>
      </c>
      <c r="R163" s="9">
        <f t="shared" si="24"/>
        <v>2.2471910112359552</v>
      </c>
      <c r="S163" s="8" t="str">
        <f t="array" ref="S163">IF(R163&gt;5,"Perlu Sensus",IF(AND(R163&gt;=0,O163&gt;0),"Tetap Deteksi","Belum Deteksi"))</f>
        <v>Tetap Deteksi</v>
      </c>
      <c r="T163" s="143"/>
      <c r="U163" s="9">
        <f t="shared" si="25"/>
        <v>0</v>
      </c>
      <c r="V163" s="11"/>
      <c r="W163" s="143"/>
      <c r="X163" s="143"/>
      <c r="Y163" s="9">
        <f t="shared" si="26"/>
        <v>0</v>
      </c>
      <c r="Z163" s="8" t="str">
        <f t="array" ref="Z163">IF(Y163&gt;5,"Perlu Sensus",IF(AND(Y163&gt;=0,W163&gt;0),"Tetap Deteksi","Belum Deteksi"))</f>
        <v>Belum Deteksi</v>
      </c>
      <c r="AA163" s="143"/>
      <c r="AB163" s="9">
        <f t="shared" si="27"/>
        <v>0</v>
      </c>
      <c r="AC163" s="11"/>
      <c r="AD163" s="143"/>
      <c r="AE163" s="9">
        <f t="array" ref="AE163">IFERROR(AD163/$G163*100,0)</f>
        <v>0</v>
      </c>
      <c r="AF163" s="143"/>
      <c r="AG163" s="9">
        <f t="shared" si="28"/>
        <v>0</v>
      </c>
      <c r="AH163" s="8" t="str">
        <f t="array" ref="AH163">IF(AG163&gt;5,"Perlu Sensus",IF(AND(AG163&gt;=0,AD163&gt;0),"Tetap Deteksi","Belum Deteksi"))</f>
        <v>Belum Deteksi</v>
      </c>
      <c r="AI163" s="143"/>
      <c r="AJ163" s="9">
        <f t="shared" si="29"/>
        <v>0</v>
      </c>
      <c r="AK163" s="11"/>
      <c r="AL163" s="143"/>
      <c r="AM163" s="143"/>
      <c r="AN163" s="9">
        <f t="shared" si="30"/>
        <v>0</v>
      </c>
      <c r="AO163" s="8" t="str">
        <f t="array" ref="AO163">IF(AN163&gt;5,"Perlu Sensus",IF(AND(AN163&gt;=0,AL163&gt;0),"Tetap Deteksi","Belum Deteksi"))</f>
        <v>Belum Deteksi</v>
      </c>
      <c r="AP163" s="143"/>
      <c r="AQ163" s="9">
        <f t="shared" si="31"/>
        <v>0</v>
      </c>
    </row>
    <row r="164" spans="1:43" outlineLevel="1" x14ac:dyDescent="0.15">
      <c r="A164" s="8" t="s">
        <v>1273</v>
      </c>
      <c r="B164" s="8" t="s">
        <v>14</v>
      </c>
      <c r="C164" s="8" t="s">
        <v>173</v>
      </c>
      <c r="D164" s="8" t="s">
        <v>1420</v>
      </c>
      <c r="E164" s="9">
        <v>28.77</v>
      </c>
      <c r="F164" s="8" t="s">
        <v>1740</v>
      </c>
      <c r="G164" s="10">
        <v>3347</v>
      </c>
      <c r="H164" s="11">
        <f t="array" ref="H164">IF(OR(N164&gt;0,AC164&gt;0),MAX(N164,AC164),MAX(AK164,V164))</f>
        <v>46249</v>
      </c>
      <c r="I164" s="143">
        <f t="array" ref="I164">IF(SUM(O164,AD164)&gt;0,SUM(O164,AD164),SUM(AL164,W164))</f>
        <v>133</v>
      </c>
      <c r="J164" s="9">
        <f t="shared" si="22"/>
        <v>3.9737077980280846</v>
      </c>
      <c r="K164" s="143">
        <f t="shared" si="32"/>
        <v>1</v>
      </c>
      <c r="L164" s="9">
        <f t="shared" si="23"/>
        <v>0.75187969924812026</v>
      </c>
      <c r="M164" s="8" t="str">
        <f t="array" ref="M164">IF(L164&gt;5,"Perlu Sensus",IF(AND(L164&gt;=0,I164&gt;0),"Tetap Deteksi","Belum Deteksi"))</f>
        <v>Tetap Deteksi</v>
      </c>
      <c r="N164" s="132">
        <v>46249</v>
      </c>
      <c r="O164" s="143">
        <f t="array" ref="O164">INDEX([28]Sheet1!$H$24:$H$231,MATCH(1,([28]Sheet1!$E$24:$E$231=$D164)*([28]Sheet1!$E$24:$E$231=$D164),0))</f>
        <v>133</v>
      </c>
      <c r="P164" s="9">
        <f t="array" ref="P164">IFERROR(O164/$G164*100,0)</f>
        <v>3.9737077980280846</v>
      </c>
      <c r="Q164" s="143">
        <f t="array" ref="Q164">INDEX([28]Sheet1!$J$24:$J$231,MATCH(1,([28]Sheet1!$E$24:$E$231=$D164)*([28]Sheet1!$E$24:$E$231=$D164),0))</f>
        <v>1</v>
      </c>
      <c r="R164" s="9">
        <f t="shared" si="24"/>
        <v>0.75187969924812026</v>
      </c>
      <c r="S164" s="8" t="str">
        <f t="array" ref="S164">IF(R164&gt;5,"Perlu Sensus",IF(AND(R164&gt;=0,O164&gt;0),"Tetap Deteksi","Belum Deteksi"))</f>
        <v>Tetap Deteksi</v>
      </c>
      <c r="T164" s="143"/>
      <c r="U164" s="9">
        <f t="shared" si="25"/>
        <v>0</v>
      </c>
      <c r="V164" s="11"/>
      <c r="W164" s="143"/>
      <c r="X164" s="143"/>
      <c r="Y164" s="9">
        <f t="shared" si="26"/>
        <v>0</v>
      </c>
      <c r="Z164" s="8" t="str">
        <f t="array" ref="Z164">IF(Y164&gt;5,"Perlu Sensus",IF(AND(Y164&gt;=0,W164&gt;0),"Tetap Deteksi","Belum Deteksi"))</f>
        <v>Belum Deteksi</v>
      </c>
      <c r="AA164" s="143"/>
      <c r="AB164" s="9">
        <f t="shared" si="27"/>
        <v>0</v>
      </c>
      <c r="AC164" s="11"/>
      <c r="AD164" s="143"/>
      <c r="AE164" s="9">
        <f t="array" ref="AE164">IFERROR(AD164/$G164*100,0)</f>
        <v>0</v>
      </c>
      <c r="AF164" s="143"/>
      <c r="AG164" s="9">
        <f t="shared" si="28"/>
        <v>0</v>
      </c>
      <c r="AH164" s="8" t="str">
        <f t="array" ref="AH164">IF(AG164&gt;5,"Perlu Sensus",IF(AND(AG164&gt;=0,AD164&gt;0),"Tetap Deteksi","Belum Deteksi"))</f>
        <v>Belum Deteksi</v>
      </c>
      <c r="AI164" s="143"/>
      <c r="AJ164" s="9">
        <f t="shared" si="29"/>
        <v>0</v>
      </c>
      <c r="AK164" s="11"/>
      <c r="AL164" s="143"/>
      <c r="AM164" s="143"/>
      <c r="AN164" s="9">
        <f t="shared" si="30"/>
        <v>0</v>
      </c>
      <c r="AO164" s="8" t="str">
        <f t="array" ref="AO164">IF(AN164&gt;5,"Perlu Sensus",IF(AND(AN164&gt;=0,AL164&gt;0),"Tetap Deteksi","Belum Deteksi"))</f>
        <v>Belum Deteksi</v>
      </c>
      <c r="AP164" s="143"/>
      <c r="AQ164" s="9">
        <f t="shared" si="31"/>
        <v>0</v>
      </c>
    </row>
    <row r="165" spans="1:43" outlineLevel="1" x14ac:dyDescent="0.15">
      <c r="A165" s="8" t="s">
        <v>1273</v>
      </c>
      <c r="B165" s="8" t="s">
        <v>14</v>
      </c>
      <c r="C165" s="8" t="s">
        <v>173</v>
      </c>
      <c r="D165" s="8" t="s">
        <v>1421</v>
      </c>
      <c r="E165" s="9">
        <v>26.52</v>
      </c>
      <c r="F165" s="8" t="s">
        <v>1740</v>
      </c>
      <c r="G165" s="10">
        <v>3508</v>
      </c>
      <c r="H165" s="11">
        <f t="array" ref="H165">IF(OR(N165&gt;0,AC165&gt;0),MAX(N165,AC165),MAX(AK165,V165))</f>
        <v>46249</v>
      </c>
      <c r="I165" s="143">
        <f t="array" ref="I165">IF(SUM(O165,AD165)&gt;0,SUM(O165,AD165),SUM(AL165,W165))</f>
        <v>251</v>
      </c>
      <c r="J165" s="9">
        <f t="shared" si="22"/>
        <v>7.1550741163055873</v>
      </c>
      <c r="K165" s="143">
        <f t="shared" si="32"/>
        <v>7</v>
      </c>
      <c r="L165" s="9">
        <f t="shared" si="23"/>
        <v>2.788844621513944</v>
      </c>
      <c r="M165" s="8" t="str">
        <f t="array" ref="M165">IF(L165&gt;5,"Perlu Sensus",IF(AND(L165&gt;=0,I165&gt;0),"Tetap Deteksi","Belum Deteksi"))</f>
        <v>Tetap Deteksi</v>
      </c>
      <c r="N165" s="132">
        <v>46249</v>
      </c>
      <c r="O165" s="143">
        <f t="array" ref="O165">INDEX([28]Sheet1!$H$24:$H$231,MATCH(1,([28]Sheet1!$E$24:$E$231=$D165)*([28]Sheet1!$E$24:$E$231=$D165),0))</f>
        <v>251</v>
      </c>
      <c r="P165" s="9">
        <f t="array" ref="P165">IFERROR(O165/$G165*100,0)</f>
        <v>7.1550741163055873</v>
      </c>
      <c r="Q165" s="143">
        <f t="array" ref="Q165">INDEX([28]Sheet1!$J$24:$J$231,MATCH(1,([28]Sheet1!$E$24:$E$231=$D165)*([28]Sheet1!$E$24:$E$231=$D165),0))</f>
        <v>7</v>
      </c>
      <c r="R165" s="9">
        <f t="shared" si="24"/>
        <v>2.788844621513944</v>
      </c>
      <c r="S165" s="8" t="str">
        <f t="array" ref="S165">IF(R165&gt;5,"Perlu Sensus",IF(AND(R165&gt;=0,O165&gt;0),"Tetap Deteksi","Belum Deteksi"))</f>
        <v>Tetap Deteksi</v>
      </c>
      <c r="T165" s="143"/>
      <c r="U165" s="9">
        <f t="shared" si="25"/>
        <v>0</v>
      </c>
      <c r="V165" s="11"/>
      <c r="W165" s="143"/>
      <c r="X165" s="143"/>
      <c r="Y165" s="9">
        <f t="shared" si="26"/>
        <v>0</v>
      </c>
      <c r="Z165" s="8" t="str">
        <f t="array" ref="Z165">IF(Y165&gt;5,"Perlu Sensus",IF(AND(Y165&gt;=0,W165&gt;0),"Tetap Deteksi","Belum Deteksi"))</f>
        <v>Belum Deteksi</v>
      </c>
      <c r="AA165" s="143"/>
      <c r="AB165" s="9">
        <f t="shared" si="27"/>
        <v>0</v>
      </c>
      <c r="AC165" s="11"/>
      <c r="AD165" s="143"/>
      <c r="AE165" s="9">
        <f t="array" ref="AE165">IFERROR(AD165/$G165*100,0)</f>
        <v>0</v>
      </c>
      <c r="AF165" s="143"/>
      <c r="AG165" s="9">
        <f t="shared" si="28"/>
        <v>0</v>
      </c>
      <c r="AH165" s="8" t="str">
        <f t="array" ref="AH165">IF(AG165&gt;5,"Perlu Sensus",IF(AND(AG165&gt;=0,AD165&gt;0),"Tetap Deteksi","Belum Deteksi"))</f>
        <v>Belum Deteksi</v>
      </c>
      <c r="AI165" s="143"/>
      <c r="AJ165" s="9">
        <f t="shared" si="29"/>
        <v>0</v>
      </c>
      <c r="AK165" s="11"/>
      <c r="AL165" s="143"/>
      <c r="AM165" s="143"/>
      <c r="AN165" s="9">
        <f t="shared" si="30"/>
        <v>0</v>
      </c>
      <c r="AO165" s="8" t="str">
        <f t="array" ref="AO165">IF(AN165&gt;5,"Perlu Sensus",IF(AND(AN165&gt;=0,AL165&gt;0),"Tetap Deteksi","Belum Deteksi"))</f>
        <v>Belum Deteksi</v>
      </c>
      <c r="AP165" s="143"/>
      <c r="AQ165" s="9">
        <f t="shared" si="31"/>
        <v>0</v>
      </c>
    </row>
    <row r="166" spans="1:43" outlineLevel="1" x14ac:dyDescent="0.15">
      <c r="A166" s="8" t="s">
        <v>1273</v>
      </c>
      <c r="B166" s="8" t="s">
        <v>14</v>
      </c>
      <c r="C166" s="8" t="s">
        <v>173</v>
      </c>
      <c r="D166" s="8" t="s">
        <v>1422</v>
      </c>
      <c r="E166" s="9">
        <v>27.08</v>
      </c>
      <c r="F166" s="8" t="s">
        <v>1740</v>
      </c>
      <c r="G166" s="10">
        <v>2961</v>
      </c>
      <c r="H166" s="11">
        <f t="array" ref="H166">IF(OR(N166&gt;0,AC166&gt;0),MAX(N166,AC166),MAX(AK166,V166))</f>
        <v>46249</v>
      </c>
      <c r="I166" s="143">
        <f t="array" ref="I166">IF(SUM(O166,AD166)&gt;0,SUM(O166,AD166),SUM(AL166,W166))</f>
        <v>160</v>
      </c>
      <c r="J166" s="9">
        <f t="shared" si="22"/>
        <v>5.4035798716649781</v>
      </c>
      <c r="K166" s="143">
        <f t="shared" si="32"/>
        <v>3</v>
      </c>
      <c r="L166" s="9">
        <f t="shared" si="23"/>
        <v>1.875</v>
      </c>
      <c r="M166" s="8" t="str">
        <f t="array" ref="M166">IF(L166&gt;5,"Perlu Sensus",IF(AND(L166&gt;=0,I166&gt;0),"Tetap Deteksi","Belum Deteksi"))</f>
        <v>Tetap Deteksi</v>
      </c>
      <c r="N166" s="132">
        <v>46249</v>
      </c>
      <c r="O166" s="143">
        <f t="array" ref="O166">INDEX([28]Sheet1!$H$24:$H$231,MATCH(1,([28]Sheet1!$E$24:$E$231=$D166)*([28]Sheet1!$E$24:$E$231=$D166),0))</f>
        <v>160</v>
      </c>
      <c r="P166" s="9">
        <f t="array" ref="P166">IFERROR(O166/$G166*100,0)</f>
        <v>5.4035798716649781</v>
      </c>
      <c r="Q166" s="143">
        <f t="array" ref="Q166">INDEX([28]Sheet1!$J$24:$J$231,MATCH(1,([28]Sheet1!$E$24:$E$231=$D166)*([28]Sheet1!$E$24:$E$231=$D166),0))</f>
        <v>3</v>
      </c>
      <c r="R166" s="9">
        <f t="shared" si="24"/>
        <v>1.875</v>
      </c>
      <c r="S166" s="8" t="str">
        <f t="array" ref="S166">IF(R166&gt;5,"Perlu Sensus",IF(AND(R166&gt;=0,O166&gt;0),"Tetap Deteksi","Belum Deteksi"))</f>
        <v>Tetap Deteksi</v>
      </c>
      <c r="T166" s="143"/>
      <c r="U166" s="9">
        <f t="shared" si="25"/>
        <v>0</v>
      </c>
      <c r="V166" s="11"/>
      <c r="W166" s="143"/>
      <c r="X166" s="143"/>
      <c r="Y166" s="9">
        <f t="shared" si="26"/>
        <v>0</v>
      </c>
      <c r="Z166" s="8" t="str">
        <f t="array" ref="Z166">IF(Y166&gt;5,"Perlu Sensus",IF(AND(Y166&gt;=0,W166&gt;0),"Tetap Deteksi","Belum Deteksi"))</f>
        <v>Belum Deteksi</v>
      </c>
      <c r="AA166" s="143"/>
      <c r="AB166" s="9">
        <f t="shared" si="27"/>
        <v>0</v>
      </c>
      <c r="AC166" s="11"/>
      <c r="AD166" s="143"/>
      <c r="AE166" s="9">
        <f t="array" ref="AE166">IFERROR(AD166/$G166*100,0)</f>
        <v>0</v>
      </c>
      <c r="AF166" s="143"/>
      <c r="AG166" s="9">
        <f t="shared" si="28"/>
        <v>0</v>
      </c>
      <c r="AH166" s="8" t="str">
        <f t="array" ref="AH166">IF(AG166&gt;5,"Perlu Sensus",IF(AND(AG166&gt;=0,AD166&gt;0),"Tetap Deteksi","Belum Deteksi"))</f>
        <v>Belum Deteksi</v>
      </c>
      <c r="AI166" s="143"/>
      <c r="AJ166" s="9">
        <f t="shared" si="29"/>
        <v>0</v>
      </c>
      <c r="AK166" s="11"/>
      <c r="AL166" s="143"/>
      <c r="AM166" s="143"/>
      <c r="AN166" s="9">
        <f t="shared" si="30"/>
        <v>0</v>
      </c>
      <c r="AO166" s="8" t="str">
        <f t="array" ref="AO166">IF(AN166&gt;5,"Perlu Sensus",IF(AND(AN166&gt;=0,AL166&gt;0),"Tetap Deteksi","Belum Deteksi"))</f>
        <v>Belum Deteksi</v>
      </c>
      <c r="AP166" s="143"/>
      <c r="AQ166" s="9">
        <f t="shared" si="31"/>
        <v>0</v>
      </c>
    </row>
    <row r="167" spans="1:43" outlineLevel="1" x14ac:dyDescent="0.15">
      <c r="A167" s="8" t="s">
        <v>1273</v>
      </c>
      <c r="B167" s="8" t="s">
        <v>14</v>
      </c>
      <c r="C167" s="8" t="s">
        <v>173</v>
      </c>
      <c r="D167" s="8" t="s">
        <v>1423</v>
      </c>
      <c r="E167" s="9">
        <v>34.68</v>
      </c>
      <c r="F167" s="8" t="s">
        <v>1740</v>
      </c>
      <c r="G167" s="10">
        <v>4178</v>
      </c>
      <c r="H167" s="11">
        <f t="array" ref="H167">IF(OR(N167&gt;0,AC167&gt;0),MAX(N167,AC167),MAX(AK167,V167))</f>
        <v>46249</v>
      </c>
      <c r="I167" s="143">
        <f t="array" ref="I167">IF(SUM(O167,AD167)&gt;0,SUM(O167,AD167),SUM(AL167,W167))</f>
        <v>106</v>
      </c>
      <c r="J167" s="9">
        <f t="shared" si="22"/>
        <v>2.537099090473911</v>
      </c>
      <c r="K167" s="143">
        <f t="shared" si="32"/>
        <v>2</v>
      </c>
      <c r="L167" s="9">
        <f t="shared" si="23"/>
        <v>1.8867924528301887</v>
      </c>
      <c r="M167" s="8" t="str">
        <f t="array" ref="M167">IF(L167&gt;5,"Perlu Sensus",IF(AND(L167&gt;=0,I167&gt;0),"Tetap Deteksi","Belum Deteksi"))</f>
        <v>Tetap Deteksi</v>
      </c>
      <c r="N167" s="132">
        <v>46249</v>
      </c>
      <c r="O167" s="143">
        <f t="array" ref="O167">INDEX([28]Sheet1!$H$24:$H$231,MATCH(1,([28]Sheet1!$E$24:$E$231=$D167)*([28]Sheet1!$E$24:$E$231=$D167),0))</f>
        <v>106</v>
      </c>
      <c r="P167" s="9">
        <f t="array" ref="P167">IFERROR(O167/$G167*100,0)</f>
        <v>2.537099090473911</v>
      </c>
      <c r="Q167" s="143">
        <f t="array" ref="Q167">INDEX([28]Sheet1!$J$24:$J$231,MATCH(1,([28]Sheet1!$E$24:$E$231=$D167)*([28]Sheet1!$E$24:$E$231=$D167),0))</f>
        <v>2</v>
      </c>
      <c r="R167" s="9">
        <f t="shared" si="24"/>
        <v>1.8867924528301887</v>
      </c>
      <c r="S167" s="8" t="str">
        <f t="array" ref="S167">IF(R167&gt;5,"Perlu Sensus",IF(AND(R167&gt;=0,O167&gt;0),"Tetap Deteksi","Belum Deteksi"))</f>
        <v>Tetap Deteksi</v>
      </c>
      <c r="T167" s="143"/>
      <c r="U167" s="9">
        <f t="shared" si="25"/>
        <v>0</v>
      </c>
      <c r="V167" s="11"/>
      <c r="W167" s="143"/>
      <c r="X167" s="143"/>
      <c r="Y167" s="9">
        <f t="shared" si="26"/>
        <v>0</v>
      </c>
      <c r="Z167" s="8" t="str">
        <f t="array" ref="Z167">IF(Y167&gt;5,"Perlu Sensus",IF(AND(Y167&gt;=0,W167&gt;0),"Tetap Deteksi","Belum Deteksi"))</f>
        <v>Belum Deteksi</v>
      </c>
      <c r="AA167" s="143"/>
      <c r="AB167" s="9">
        <f t="shared" si="27"/>
        <v>0</v>
      </c>
      <c r="AC167" s="11"/>
      <c r="AD167" s="143"/>
      <c r="AE167" s="9">
        <f t="array" ref="AE167">IFERROR(AD167/$G167*100,0)</f>
        <v>0</v>
      </c>
      <c r="AF167" s="143"/>
      <c r="AG167" s="9">
        <f t="shared" si="28"/>
        <v>0</v>
      </c>
      <c r="AH167" s="8" t="str">
        <f t="array" ref="AH167">IF(AG167&gt;5,"Perlu Sensus",IF(AND(AG167&gt;=0,AD167&gt;0),"Tetap Deteksi","Belum Deteksi"))</f>
        <v>Belum Deteksi</v>
      </c>
      <c r="AI167" s="143"/>
      <c r="AJ167" s="9">
        <f t="shared" si="29"/>
        <v>0</v>
      </c>
      <c r="AK167" s="11"/>
      <c r="AL167" s="143"/>
      <c r="AM167" s="143"/>
      <c r="AN167" s="9">
        <f t="shared" si="30"/>
        <v>0</v>
      </c>
      <c r="AO167" s="8" t="str">
        <f t="array" ref="AO167">IF(AN167&gt;5,"Perlu Sensus",IF(AND(AN167&gt;=0,AL167&gt;0),"Tetap Deteksi","Belum Deteksi"))</f>
        <v>Belum Deteksi</v>
      </c>
      <c r="AP167" s="143"/>
      <c r="AQ167" s="9">
        <f t="shared" si="31"/>
        <v>0</v>
      </c>
    </row>
    <row r="168" spans="1:43" outlineLevel="1" x14ac:dyDescent="0.15">
      <c r="A168" s="8" t="s">
        <v>1273</v>
      </c>
      <c r="B168" s="8" t="s">
        <v>14</v>
      </c>
      <c r="C168" s="8" t="s">
        <v>173</v>
      </c>
      <c r="D168" s="8" t="s">
        <v>1424</v>
      </c>
      <c r="E168" s="9">
        <v>34.46</v>
      </c>
      <c r="F168" s="8" t="s">
        <v>1740</v>
      </c>
      <c r="G168" s="10">
        <v>3279</v>
      </c>
      <c r="H168" s="11">
        <f t="array" ref="H168">IF(OR(N168&gt;0,AC168&gt;0),MAX(N168,AC168),MAX(AK168,V168))</f>
        <v>46249</v>
      </c>
      <c r="I168" s="143">
        <f t="array" ref="I168">IF(SUM(O168,AD168)&gt;0,SUM(O168,AD168),SUM(AL168,W168))</f>
        <v>146</v>
      </c>
      <c r="J168" s="9">
        <f t="shared" si="22"/>
        <v>4.4525770051845077</v>
      </c>
      <c r="K168" s="143">
        <f t="shared" si="32"/>
        <v>2</v>
      </c>
      <c r="L168" s="9">
        <f t="shared" si="23"/>
        <v>1.3698630136986301</v>
      </c>
      <c r="M168" s="8" t="str">
        <f t="array" ref="M168">IF(L168&gt;5,"Perlu Sensus",IF(AND(L168&gt;=0,I168&gt;0),"Tetap Deteksi","Belum Deteksi"))</f>
        <v>Tetap Deteksi</v>
      </c>
      <c r="N168" s="132">
        <v>46249</v>
      </c>
      <c r="O168" s="143">
        <f t="array" ref="O168">INDEX([28]Sheet1!$H$24:$H$231,MATCH(1,([28]Sheet1!$E$24:$E$231=$D168)*([28]Sheet1!$E$24:$E$231=$D168),0))</f>
        <v>146</v>
      </c>
      <c r="P168" s="9">
        <f t="array" ref="P168">IFERROR(O168/$G168*100,0)</f>
        <v>4.4525770051845077</v>
      </c>
      <c r="Q168" s="143">
        <f t="array" ref="Q168">INDEX([28]Sheet1!$J$24:$J$231,MATCH(1,([28]Sheet1!$E$24:$E$231=$D168)*([28]Sheet1!$E$24:$E$231=$D168),0))</f>
        <v>2</v>
      </c>
      <c r="R168" s="9">
        <f t="shared" si="24"/>
        <v>1.3698630136986301</v>
      </c>
      <c r="S168" s="8" t="str">
        <f t="array" ref="S168">IF(R168&gt;5,"Perlu Sensus",IF(AND(R168&gt;=0,O168&gt;0),"Tetap Deteksi","Belum Deteksi"))</f>
        <v>Tetap Deteksi</v>
      </c>
      <c r="T168" s="143"/>
      <c r="U168" s="9">
        <f t="shared" si="25"/>
        <v>0</v>
      </c>
      <c r="V168" s="11"/>
      <c r="W168" s="143"/>
      <c r="X168" s="143"/>
      <c r="Y168" s="9">
        <f t="shared" si="26"/>
        <v>0</v>
      </c>
      <c r="Z168" s="8" t="str">
        <f t="array" ref="Z168">IF(Y168&gt;5,"Perlu Sensus",IF(AND(Y168&gt;=0,W168&gt;0),"Tetap Deteksi","Belum Deteksi"))</f>
        <v>Belum Deteksi</v>
      </c>
      <c r="AA168" s="143"/>
      <c r="AB168" s="9">
        <f t="shared" si="27"/>
        <v>0</v>
      </c>
      <c r="AC168" s="11"/>
      <c r="AD168" s="143"/>
      <c r="AE168" s="9">
        <f t="array" ref="AE168">IFERROR(AD168/$G168*100,0)</f>
        <v>0</v>
      </c>
      <c r="AF168" s="143"/>
      <c r="AG168" s="9">
        <f t="shared" si="28"/>
        <v>0</v>
      </c>
      <c r="AH168" s="8" t="str">
        <f t="array" ref="AH168">IF(AG168&gt;5,"Perlu Sensus",IF(AND(AG168&gt;=0,AD168&gt;0),"Tetap Deteksi","Belum Deteksi"))</f>
        <v>Belum Deteksi</v>
      </c>
      <c r="AI168" s="143"/>
      <c r="AJ168" s="9">
        <f t="shared" si="29"/>
        <v>0</v>
      </c>
      <c r="AK168" s="11"/>
      <c r="AL168" s="143"/>
      <c r="AM168" s="143"/>
      <c r="AN168" s="9">
        <f t="shared" si="30"/>
        <v>0</v>
      </c>
      <c r="AO168" s="8" t="str">
        <f t="array" ref="AO168">IF(AN168&gt;5,"Perlu Sensus",IF(AND(AN168&gt;=0,AL168&gt;0),"Tetap Deteksi","Belum Deteksi"))</f>
        <v>Belum Deteksi</v>
      </c>
      <c r="AP168" s="143"/>
      <c r="AQ168" s="9">
        <f t="shared" si="31"/>
        <v>0</v>
      </c>
    </row>
    <row r="169" spans="1:43" outlineLevel="1" x14ac:dyDescent="0.15">
      <c r="A169" s="8" t="s">
        <v>1273</v>
      </c>
      <c r="B169" s="8" t="s">
        <v>14</v>
      </c>
      <c r="C169" s="8" t="s">
        <v>173</v>
      </c>
      <c r="D169" s="8" t="s">
        <v>1425</v>
      </c>
      <c r="E169" s="9">
        <v>24.96</v>
      </c>
      <c r="F169" s="8" t="s">
        <v>1740</v>
      </c>
      <c r="G169" s="10">
        <v>1896</v>
      </c>
      <c r="H169" s="11">
        <f t="array" ref="H169">IF(OR(N169&gt;0,AC169&gt;0),MAX(N169,AC169),MAX(AK169,V169))</f>
        <v>46249</v>
      </c>
      <c r="I169" s="143">
        <f t="array" ref="I169">IF(SUM(O169,AD169)&gt;0,SUM(O169,AD169),SUM(AL169,W169))</f>
        <v>131</v>
      </c>
      <c r="J169" s="9">
        <f t="shared" si="22"/>
        <v>6.909282700421941</v>
      </c>
      <c r="K169" s="143">
        <f t="shared" si="32"/>
        <v>2</v>
      </c>
      <c r="L169" s="9">
        <f t="shared" si="23"/>
        <v>1.5267175572519083</v>
      </c>
      <c r="M169" s="8" t="str">
        <f t="array" ref="M169">IF(L169&gt;5,"Perlu Sensus",IF(AND(L169&gt;=0,I169&gt;0),"Tetap Deteksi","Belum Deteksi"))</f>
        <v>Tetap Deteksi</v>
      </c>
      <c r="N169" s="132">
        <v>46249</v>
      </c>
      <c r="O169" s="143">
        <f t="array" ref="O169">INDEX([28]Sheet1!$H$24:$H$231,MATCH(1,([28]Sheet1!$E$24:$E$231=$D169)*([28]Sheet1!$E$24:$E$231=$D169),0))</f>
        <v>131</v>
      </c>
      <c r="P169" s="9">
        <f t="array" ref="P169">IFERROR(O169/$G169*100,0)</f>
        <v>6.909282700421941</v>
      </c>
      <c r="Q169" s="143">
        <f t="array" ref="Q169">INDEX([28]Sheet1!$J$24:$J$231,MATCH(1,([28]Sheet1!$E$24:$E$231=$D169)*([28]Sheet1!$E$24:$E$231=$D169),0))</f>
        <v>2</v>
      </c>
      <c r="R169" s="9">
        <f t="shared" si="24"/>
        <v>1.5267175572519083</v>
      </c>
      <c r="S169" s="8" t="str">
        <f t="array" ref="S169">IF(R169&gt;5,"Perlu Sensus",IF(AND(R169&gt;=0,O169&gt;0),"Tetap Deteksi","Belum Deteksi"))</f>
        <v>Tetap Deteksi</v>
      </c>
      <c r="T169" s="143"/>
      <c r="U169" s="9">
        <f t="shared" si="25"/>
        <v>0</v>
      </c>
      <c r="V169" s="11"/>
      <c r="W169" s="143"/>
      <c r="X169" s="143"/>
      <c r="Y169" s="9">
        <f t="shared" si="26"/>
        <v>0</v>
      </c>
      <c r="Z169" s="8" t="str">
        <f t="array" ref="Z169">IF(Y169&gt;5,"Perlu Sensus",IF(AND(Y169&gt;=0,W169&gt;0),"Tetap Deteksi","Belum Deteksi"))</f>
        <v>Belum Deteksi</v>
      </c>
      <c r="AA169" s="143"/>
      <c r="AB169" s="9">
        <f t="shared" si="27"/>
        <v>0</v>
      </c>
      <c r="AC169" s="11"/>
      <c r="AD169" s="143"/>
      <c r="AE169" s="9">
        <f t="array" ref="AE169">IFERROR(AD169/$G169*100,0)</f>
        <v>0</v>
      </c>
      <c r="AF169" s="143"/>
      <c r="AG169" s="9">
        <f t="shared" si="28"/>
        <v>0</v>
      </c>
      <c r="AH169" s="8" t="str">
        <f t="array" ref="AH169">IF(AG169&gt;5,"Perlu Sensus",IF(AND(AG169&gt;=0,AD169&gt;0),"Tetap Deteksi","Belum Deteksi"))</f>
        <v>Belum Deteksi</v>
      </c>
      <c r="AI169" s="143"/>
      <c r="AJ169" s="9">
        <f t="shared" si="29"/>
        <v>0</v>
      </c>
      <c r="AK169" s="11"/>
      <c r="AL169" s="143"/>
      <c r="AM169" s="143"/>
      <c r="AN169" s="9">
        <f t="shared" si="30"/>
        <v>0</v>
      </c>
      <c r="AO169" s="8" t="str">
        <f t="array" ref="AO169">IF(AN169&gt;5,"Perlu Sensus",IF(AND(AN169&gt;=0,AL169&gt;0),"Tetap Deteksi","Belum Deteksi"))</f>
        <v>Belum Deteksi</v>
      </c>
      <c r="AP169" s="143"/>
      <c r="AQ169" s="9">
        <f t="shared" si="31"/>
        <v>0</v>
      </c>
    </row>
    <row r="170" spans="1:43" outlineLevel="1" x14ac:dyDescent="0.15">
      <c r="A170" s="8" t="s">
        <v>1273</v>
      </c>
      <c r="B170" s="8" t="s">
        <v>14</v>
      </c>
      <c r="C170" s="8" t="s">
        <v>173</v>
      </c>
      <c r="D170" s="8" t="s">
        <v>1426</v>
      </c>
      <c r="E170" s="9">
        <v>25.19</v>
      </c>
      <c r="F170" s="8" t="s">
        <v>1740</v>
      </c>
      <c r="G170" s="10">
        <v>2795</v>
      </c>
      <c r="H170" s="11">
        <f t="array" ref="H170">IF(OR(N170&gt;0,AC170&gt;0),MAX(N170,AC170),MAX(AK170,V170))</f>
        <v>46249</v>
      </c>
      <c r="I170" s="143">
        <f t="array" ref="I170">IF(SUM(O170,AD170)&gt;0,SUM(O170,AD170),SUM(AL170,W170))</f>
        <v>184</v>
      </c>
      <c r="J170" s="9">
        <f t="shared" si="22"/>
        <v>6.5831842576028627</v>
      </c>
      <c r="K170" s="143">
        <f t="shared" si="32"/>
        <v>4</v>
      </c>
      <c r="L170" s="9">
        <f t="shared" si="23"/>
        <v>2.1739130434782608</v>
      </c>
      <c r="M170" s="8" t="str">
        <f t="array" ref="M170">IF(L170&gt;5,"Perlu Sensus",IF(AND(L170&gt;=0,I170&gt;0),"Tetap Deteksi","Belum Deteksi"))</f>
        <v>Tetap Deteksi</v>
      </c>
      <c r="N170" s="132">
        <v>46249</v>
      </c>
      <c r="O170" s="143">
        <f t="array" ref="O170">INDEX([28]Sheet1!$H$24:$H$231,MATCH(1,([28]Sheet1!$E$24:$E$231=$D170)*([28]Sheet1!$E$24:$E$231=$D170),0))</f>
        <v>184</v>
      </c>
      <c r="P170" s="9">
        <f t="array" ref="P170">IFERROR(O170/$G170*100,0)</f>
        <v>6.5831842576028627</v>
      </c>
      <c r="Q170" s="143">
        <f t="array" ref="Q170">INDEX([28]Sheet1!$J$24:$J$231,MATCH(1,([28]Sheet1!$E$24:$E$231=$D170)*([28]Sheet1!$E$24:$E$231=$D170),0))</f>
        <v>4</v>
      </c>
      <c r="R170" s="9">
        <f t="shared" si="24"/>
        <v>2.1739130434782608</v>
      </c>
      <c r="S170" s="8" t="str">
        <f t="array" ref="S170">IF(R170&gt;5,"Perlu Sensus",IF(AND(R170&gt;=0,O170&gt;0),"Tetap Deteksi","Belum Deteksi"))</f>
        <v>Tetap Deteksi</v>
      </c>
      <c r="T170" s="143"/>
      <c r="U170" s="9">
        <f t="shared" si="25"/>
        <v>0</v>
      </c>
      <c r="V170" s="11"/>
      <c r="W170" s="143"/>
      <c r="X170" s="143"/>
      <c r="Y170" s="9">
        <f t="shared" si="26"/>
        <v>0</v>
      </c>
      <c r="Z170" s="8" t="str">
        <f t="array" ref="Z170">IF(Y170&gt;5,"Perlu Sensus",IF(AND(Y170&gt;=0,W170&gt;0),"Tetap Deteksi","Belum Deteksi"))</f>
        <v>Belum Deteksi</v>
      </c>
      <c r="AA170" s="143"/>
      <c r="AB170" s="9">
        <f t="shared" si="27"/>
        <v>0</v>
      </c>
      <c r="AC170" s="11"/>
      <c r="AD170" s="143"/>
      <c r="AE170" s="9">
        <f t="array" ref="AE170">IFERROR(AD170/$G170*100,0)</f>
        <v>0</v>
      </c>
      <c r="AF170" s="143"/>
      <c r="AG170" s="9">
        <f t="shared" si="28"/>
        <v>0</v>
      </c>
      <c r="AH170" s="8" t="str">
        <f t="array" ref="AH170">IF(AG170&gt;5,"Perlu Sensus",IF(AND(AG170&gt;=0,AD170&gt;0),"Tetap Deteksi","Belum Deteksi"))</f>
        <v>Belum Deteksi</v>
      </c>
      <c r="AI170" s="143"/>
      <c r="AJ170" s="9">
        <f t="shared" si="29"/>
        <v>0</v>
      </c>
      <c r="AK170" s="11"/>
      <c r="AL170" s="143"/>
      <c r="AM170" s="143"/>
      <c r="AN170" s="9">
        <f t="shared" si="30"/>
        <v>0</v>
      </c>
      <c r="AO170" s="8" t="str">
        <f t="array" ref="AO170">IF(AN170&gt;5,"Perlu Sensus",IF(AND(AN170&gt;=0,AL170&gt;0),"Tetap Deteksi","Belum Deteksi"))</f>
        <v>Belum Deteksi</v>
      </c>
      <c r="AP170" s="143"/>
      <c r="AQ170" s="9">
        <f t="shared" si="31"/>
        <v>0</v>
      </c>
    </row>
    <row r="171" spans="1:43" outlineLevel="1" x14ac:dyDescent="0.15">
      <c r="A171" s="8" t="s">
        <v>1273</v>
      </c>
      <c r="B171" s="8" t="s">
        <v>14</v>
      </c>
      <c r="C171" s="8" t="s">
        <v>173</v>
      </c>
      <c r="D171" s="8" t="s">
        <v>1427</v>
      </c>
      <c r="E171" s="9">
        <v>26.58</v>
      </c>
      <c r="F171" s="8" t="s">
        <v>1740</v>
      </c>
      <c r="G171" s="10">
        <v>3364</v>
      </c>
      <c r="H171" s="11">
        <f t="array" ref="H171">IF(OR(N171&gt;0,AC171&gt;0),MAX(N171,AC171),MAX(AK171,V171))</f>
        <v>46249</v>
      </c>
      <c r="I171" s="143">
        <f t="array" ref="I171">IF(SUM(O171,AD171)&gt;0,SUM(O171,AD171),SUM(AL171,W171))</f>
        <v>124</v>
      </c>
      <c r="J171" s="9">
        <f t="shared" si="22"/>
        <v>3.6860879904875148</v>
      </c>
      <c r="K171" s="143">
        <f t="shared" si="32"/>
        <v>2</v>
      </c>
      <c r="L171" s="9">
        <f t="shared" si="23"/>
        <v>1.6129032258064515</v>
      </c>
      <c r="M171" s="8" t="str">
        <f t="array" ref="M171">IF(L171&gt;5,"Perlu Sensus",IF(AND(L171&gt;=0,I171&gt;0),"Tetap Deteksi","Belum Deteksi"))</f>
        <v>Tetap Deteksi</v>
      </c>
      <c r="N171" s="132">
        <v>46249</v>
      </c>
      <c r="O171" s="143">
        <f t="array" ref="O171">INDEX([28]Sheet1!$H$24:$H$231,MATCH(1,([28]Sheet1!$E$24:$E$231=$D171)*([28]Sheet1!$E$24:$E$231=$D171),0))</f>
        <v>124</v>
      </c>
      <c r="P171" s="9">
        <f t="array" ref="P171">IFERROR(O171/$G171*100,0)</f>
        <v>3.6860879904875148</v>
      </c>
      <c r="Q171" s="143">
        <f t="array" ref="Q171">INDEX([28]Sheet1!$J$24:$J$231,MATCH(1,([28]Sheet1!$E$24:$E$231=$D171)*([28]Sheet1!$E$24:$E$231=$D171),0))</f>
        <v>2</v>
      </c>
      <c r="R171" s="9">
        <f t="shared" si="24"/>
        <v>1.6129032258064515</v>
      </c>
      <c r="S171" s="8" t="str">
        <f t="array" ref="S171">IF(R171&gt;5,"Perlu Sensus",IF(AND(R171&gt;=0,O171&gt;0),"Tetap Deteksi","Belum Deteksi"))</f>
        <v>Tetap Deteksi</v>
      </c>
      <c r="T171" s="143"/>
      <c r="U171" s="9">
        <f t="shared" si="25"/>
        <v>0</v>
      </c>
      <c r="V171" s="11"/>
      <c r="W171" s="143"/>
      <c r="X171" s="143"/>
      <c r="Y171" s="9">
        <f t="shared" si="26"/>
        <v>0</v>
      </c>
      <c r="Z171" s="8" t="str">
        <f t="array" ref="Z171">IF(Y171&gt;5,"Perlu Sensus",IF(AND(Y171&gt;=0,W171&gt;0),"Tetap Deteksi","Belum Deteksi"))</f>
        <v>Belum Deteksi</v>
      </c>
      <c r="AA171" s="143"/>
      <c r="AB171" s="9">
        <f t="shared" si="27"/>
        <v>0</v>
      </c>
      <c r="AC171" s="11"/>
      <c r="AD171" s="143"/>
      <c r="AE171" s="9">
        <f t="array" ref="AE171">IFERROR(AD171/$G171*100,0)</f>
        <v>0</v>
      </c>
      <c r="AF171" s="143"/>
      <c r="AG171" s="9">
        <f t="shared" si="28"/>
        <v>0</v>
      </c>
      <c r="AH171" s="8" t="str">
        <f t="array" ref="AH171">IF(AG171&gt;5,"Perlu Sensus",IF(AND(AG171&gt;=0,AD171&gt;0),"Tetap Deteksi","Belum Deteksi"))</f>
        <v>Belum Deteksi</v>
      </c>
      <c r="AI171" s="143"/>
      <c r="AJ171" s="9">
        <f t="shared" si="29"/>
        <v>0</v>
      </c>
      <c r="AK171" s="11"/>
      <c r="AL171" s="143"/>
      <c r="AM171" s="143"/>
      <c r="AN171" s="9">
        <f t="shared" si="30"/>
        <v>0</v>
      </c>
      <c r="AO171" s="8" t="str">
        <f t="array" ref="AO171">IF(AN171&gt;5,"Perlu Sensus",IF(AND(AN171&gt;=0,AL171&gt;0),"Tetap Deteksi","Belum Deteksi"))</f>
        <v>Belum Deteksi</v>
      </c>
      <c r="AP171" s="143"/>
      <c r="AQ171" s="9">
        <f t="shared" si="31"/>
        <v>0</v>
      </c>
    </row>
    <row r="172" spans="1:43" outlineLevel="1" x14ac:dyDescent="0.15">
      <c r="A172" s="8" t="s">
        <v>1273</v>
      </c>
      <c r="B172" s="8" t="s">
        <v>14</v>
      </c>
      <c r="C172" s="8" t="s">
        <v>173</v>
      </c>
      <c r="D172" s="8" t="s">
        <v>1428</v>
      </c>
      <c r="E172" s="9">
        <v>25.46</v>
      </c>
      <c r="F172" s="8" t="s">
        <v>1740</v>
      </c>
      <c r="G172" s="10">
        <v>2880</v>
      </c>
      <c r="H172" s="11">
        <f t="array" ref="H172">IF(OR(N172&gt;0,AC172&gt;0),MAX(N172,AC172),MAX(AK172,V172))</f>
        <v>46249</v>
      </c>
      <c r="I172" s="143">
        <f t="array" ref="I172">IF(SUM(O172,AD172)&gt;0,SUM(O172,AD172),SUM(AL172,W172))</f>
        <v>339</v>
      </c>
      <c r="J172" s="9">
        <f t="shared" si="22"/>
        <v>11.770833333333334</v>
      </c>
      <c r="K172" s="143">
        <f t="shared" si="32"/>
        <v>4</v>
      </c>
      <c r="L172" s="9">
        <f t="shared" si="23"/>
        <v>1.1799410029498525</v>
      </c>
      <c r="M172" s="8" t="str">
        <f t="array" ref="M172">IF(L172&gt;5,"Perlu Sensus",IF(AND(L172&gt;=0,I172&gt;0),"Tetap Deteksi","Belum Deteksi"))</f>
        <v>Tetap Deteksi</v>
      </c>
      <c r="N172" s="132">
        <v>46249</v>
      </c>
      <c r="O172" s="143">
        <f t="array" ref="O172">INDEX([28]Sheet1!$H$24:$H$231,MATCH(1,([28]Sheet1!$E$24:$E$231=$D172)*([28]Sheet1!$E$24:$E$231=$D172),0))</f>
        <v>339</v>
      </c>
      <c r="P172" s="9">
        <f t="array" ref="P172">IFERROR(O172/$G172*100,0)</f>
        <v>11.770833333333334</v>
      </c>
      <c r="Q172" s="143">
        <f t="array" ref="Q172">INDEX([28]Sheet1!$J$24:$J$231,MATCH(1,([28]Sheet1!$E$24:$E$231=$D172)*([28]Sheet1!$E$24:$E$231=$D172),0))</f>
        <v>4</v>
      </c>
      <c r="R172" s="9">
        <f t="shared" si="24"/>
        <v>1.1799410029498525</v>
      </c>
      <c r="S172" s="8" t="str">
        <f t="array" ref="S172">IF(R172&gt;5,"Perlu Sensus",IF(AND(R172&gt;=0,O172&gt;0),"Tetap Deteksi","Belum Deteksi"))</f>
        <v>Tetap Deteksi</v>
      </c>
      <c r="T172" s="143"/>
      <c r="U172" s="9">
        <f t="shared" si="25"/>
        <v>0</v>
      </c>
      <c r="V172" s="11"/>
      <c r="W172" s="143"/>
      <c r="X172" s="143"/>
      <c r="Y172" s="9">
        <f t="shared" si="26"/>
        <v>0</v>
      </c>
      <c r="Z172" s="8" t="str">
        <f t="array" ref="Z172">IF(Y172&gt;5,"Perlu Sensus",IF(AND(Y172&gt;=0,W172&gt;0),"Tetap Deteksi","Belum Deteksi"))</f>
        <v>Belum Deteksi</v>
      </c>
      <c r="AA172" s="143"/>
      <c r="AB172" s="9">
        <f t="shared" si="27"/>
        <v>0</v>
      </c>
      <c r="AC172" s="11"/>
      <c r="AD172" s="143"/>
      <c r="AE172" s="9">
        <f t="array" ref="AE172">IFERROR(AD172/$G172*100,0)</f>
        <v>0</v>
      </c>
      <c r="AF172" s="143"/>
      <c r="AG172" s="9">
        <f t="shared" si="28"/>
        <v>0</v>
      </c>
      <c r="AH172" s="8" t="str">
        <f t="array" ref="AH172">IF(AG172&gt;5,"Perlu Sensus",IF(AND(AG172&gt;=0,AD172&gt;0),"Tetap Deteksi","Belum Deteksi"))</f>
        <v>Belum Deteksi</v>
      </c>
      <c r="AI172" s="143"/>
      <c r="AJ172" s="9">
        <f t="shared" si="29"/>
        <v>0</v>
      </c>
      <c r="AK172" s="11"/>
      <c r="AL172" s="143"/>
      <c r="AM172" s="143"/>
      <c r="AN172" s="9">
        <f t="shared" si="30"/>
        <v>0</v>
      </c>
      <c r="AO172" s="8" t="str">
        <f t="array" ref="AO172">IF(AN172&gt;5,"Perlu Sensus",IF(AND(AN172&gt;=0,AL172&gt;0),"Tetap Deteksi","Belum Deteksi"))</f>
        <v>Belum Deteksi</v>
      </c>
      <c r="AP172" s="143"/>
      <c r="AQ172" s="9">
        <f t="shared" si="31"/>
        <v>0</v>
      </c>
    </row>
    <row r="173" spans="1:43" outlineLevel="1" x14ac:dyDescent="0.15">
      <c r="A173" s="8" t="s">
        <v>1273</v>
      </c>
      <c r="B173" s="8" t="s">
        <v>14</v>
      </c>
      <c r="C173" s="8" t="s">
        <v>173</v>
      </c>
      <c r="D173" s="8" t="s">
        <v>1429</v>
      </c>
      <c r="E173" s="9">
        <v>27.26</v>
      </c>
      <c r="F173" s="8" t="s">
        <v>1740</v>
      </c>
      <c r="G173" s="10">
        <v>3287</v>
      </c>
      <c r="H173" s="11">
        <f t="array" ref="H173">IF(OR(N173&gt;0,AC173&gt;0),MAX(N173,AC173),MAX(AK173,V173))</f>
        <v>46249</v>
      </c>
      <c r="I173" s="143">
        <f t="array" ref="I173">IF(SUM(O173,AD173)&gt;0,SUM(O173,AD173),SUM(AL173,W173))</f>
        <v>101</v>
      </c>
      <c r="J173" s="9">
        <f t="shared" si="22"/>
        <v>3.0727106784301794</v>
      </c>
      <c r="K173" s="143">
        <f t="shared" si="32"/>
        <v>1</v>
      </c>
      <c r="L173" s="9">
        <f t="shared" si="23"/>
        <v>0.99009900990099009</v>
      </c>
      <c r="M173" s="8" t="str">
        <f t="array" ref="M173">IF(L173&gt;5,"Perlu Sensus",IF(AND(L173&gt;=0,I173&gt;0),"Tetap Deteksi","Belum Deteksi"))</f>
        <v>Tetap Deteksi</v>
      </c>
      <c r="N173" s="132">
        <v>46249</v>
      </c>
      <c r="O173" s="143">
        <f t="array" ref="O173">INDEX([28]Sheet1!$H$24:$H$231,MATCH(1,([28]Sheet1!$E$24:$E$231=$D173)*([28]Sheet1!$E$24:$E$231=$D173),0))</f>
        <v>101</v>
      </c>
      <c r="P173" s="9">
        <f t="array" ref="P173">IFERROR(O173/$G173*100,0)</f>
        <v>3.0727106784301794</v>
      </c>
      <c r="Q173" s="143">
        <f t="array" ref="Q173">INDEX([28]Sheet1!$J$24:$J$231,MATCH(1,([28]Sheet1!$E$24:$E$231=$D173)*([28]Sheet1!$E$24:$E$231=$D173),0))</f>
        <v>1</v>
      </c>
      <c r="R173" s="9">
        <f t="shared" si="24"/>
        <v>0.99009900990099009</v>
      </c>
      <c r="S173" s="8" t="str">
        <f t="array" ref="S173">IF(R173&gt;5,"Perlu Sensus",IF(AND(R173&gt;=0,O173&gt;0),"Tetap Deteksi","Belum Deteksi"))</f>
        <v>Tetap Deteksi</v>
      </c>
      <c r="T173" s="143"/>
      <c r="U173" s="9">
        <f t="shared" si="25"/>
        <v>0</v>
      </c>
      <c r="V173" s="11"/>
      <c r="W173" s="143"/>
      <c r="X173" s="143"/>
      <c r="Y173" s="9">
        <f t="shared" si="26"/>
        <v>0</v>
      </c>
      <c r="Z173" s="8" t="str">
        <f t="array" ref="Z173">IF(Y173&gt;5,"Perlu Sensus",IF(AND(Y173&gt;=0,W173&gt;0),"Tetap Deteksi","Belum Deteksi"))</f>
        <v>Belum Deteksi</v>
      </c>
      <c r="AA173" s="143"/>
      <c r="AB173" s="9">
        <f t="shared" si="27"/>
        <v>0</v>
      </c>
      <c r="AC173" s="11"/>
      <c r="AD173" s="143"/>
      <c r="AE173" s="9">
        <f t="array" ref="AE173">IFERROR(AD173/$G173*100,0)</f>
        <v>0</v>
      </c>
      <c r="AF173" s="143"/>
      <c r="AG173" s="9">
        <f t="shared" si="28"/>
        <v>0</v>
      </c>
      <c r="AH173" s="8" t="str">
        <f t="array" ref="AH173">IF(AG173&gt;5,"Perlu Sensus",IF(AND(AG173&gt;=0,AD173&gt;0),"Tetap Deteksi","Belum Deteksi"))</f>
        <v>Belum Deteksi</v>
      </c>
      <c r="AI173" s="143"/>
      <c r="AJ173" s="9">
        <f t="shared" si="29"/>
        <v>0</v>
      </c>
      <c r="AK173" s="11"/>
      <c r="AL173" s="143"/>
      <c r="AM173" s="143"/>
      <c r="AN173" s="9">
        <f t="shared" si="30"/>
        <v>0</v>
      </c>
      <c r="AO173" s="8" t="str">
        <f t="array" ref="AO173">IF(AN173&gt;5,"Perlu Sensus",IF(AND(AN173&gt;=0,AL173&gt;0),"Tetap Deteksi","Belum Deteksi"))</f>
        <v>Belum Deteksi</v>
      </c>
      <c r="AP173" s="143"/>
      <c r="AQ173" s="9">
        <f t="shared" si="31"/>
        <v>0</v>
      </c>
    </row>
    <row r="174" spans="1:43" outlineLevel="1" x14ac:dyDescent="0.15">
      <c r="A174" s="8" t="s">
        <v>1273</v>
      </c>
      <c r="B174" s="8" t="s">
        <v>14</v>
      </c>
      <c r="C174" s="8" t="s">
        <v>173</v>
      </c>
      <c r="D174" s="8" t="s">
        <v>1430</v>
      </c>
      <c r="E174" s="9">
        <v>29.15</v>
      </c>
      <c r="F174" s="8" t="s">
        <v>1740</v>
      </c>
      <c r="G174" s="10">
        <v>3574</v>
      </c>
      <c r="H174" s="11">
        <f t="array" ref="H174">IF(OR(N174&gt;0,AC174&gt;0),MAX(N174,AC174),MAX(AK174,V174))</f>
        <v>46249</v>
      </c>
      <c r="I174" s="143">
        <f t="array" ref="I174">IF(SUM(O174,AD174)&gt;0,SUM(O174,AD174),SUM(AL174,W174))</f>
        <v>137</v>
      </c>
      <c r="J174" s="9">
        <f t="shared" si="22"/>
        <v>3.8332400671516504</v>
      </c>
      <c r="K174" s="143">
        <f t="shared" si="32"/>
        <v>2</v>
      </c>
      <c r="L174" s="9">
        <f t="shared" si="23"/>
        <v>1.4598540145985401</v>
      </c>
      <c r="M174" s="8" t="str">
        <f t="array" ref="M174">IF(L174&gt;5,"Perlu Sensus",IF(AND(L174&gt;=0,I174&gt;0),"Tetap Deteksi","Belum Deteksi"))</f>
        <v>Tetap Deteksi</v>
      </c>
      <c r="N174" s="132">
        <v>46249</v>
      </c>
      <c r="O174" s="143">
        <f t="array" ref="O174">INDEX([28]Sheet1!$H$24:$H$231,MATCH(1,([28]Sheet1!$E$24:$E$231=$D174)*([28]Sheet1!$E$24:$E$231=$D174),0))</f>
        <v>137</v>
      </c>
      <c r="P174" s="9">
        <f t="array" ref="P174">IFERROR(O174/$G174*100,0)</f>
        <v>3.8332400671516504</v>
      </c>
      <c r="Q174" s="143">
        <f t="array" ref="Q174">INDEX([28]Sheet1!$J$24:$J$231,MATCH(1,([28]Sheet1!$E$24:$E$231=$D174)*([28]Sheet1!$E$24:$E$231=$D174),0))</f>
        <v>2</v>
      </c>
      <c r="R174" s="9">
        <f t="shared" si="24"/>
        <v>1.4598540145985401</v>
      </c>
      <c r="S174" s="8" t="str">
        <f t="array" ref="S174">IF(R174&gt;5,"Perlu Sensus",IF(AND(R174&gt;=0,O174&gt;0),"Tetap Deteksi","Belum Deteksi"))</f>
        <v>Tetap Deteksi</v>
      </c>
      <c r="T174" s="143"/>
      <c r="U174" s="9">
        <f t="shared" si="25"/>
        <v>0</v>
      </c>
      <c r="V174" s="11"/>
      <c r="W174" s="143"/>
      <c r="X174" s="143"/>
      <c r="Y174" s="9">
        <f t="shared" si="26"/>
        <v>0</v>
      </c>
      <c r="Z174" s="8" t="str">
        <f t="array" ref="Z174">IF(Y174&gt;5,"Perlu Sensus",IF(AND(Y174&gt;=0,W174&gt;0),"Tetap Deteksi","Belum Deteksi"))</f>
        <v>Belum Deteksi</v>
      </c>
      <c r="AA174" s="143"/>
      <c r="AB174" s="9">
        <f t="shared" si="27"/>
        <v>0</v>
      </c>
      <c r="AC174" s="11"/>
      <c r="AD174" s="143"/>
      <c r="AE174" s="9">
        <f t="array" ref="AE174">IFERROR(AD174/$G174*100,0)</f>
        <v>0</v>
      </c>
      <c r="AF174" s="143"/>
      <c r="AG174" s="9">
        <f t="shared" si="28"/>
        <v>0</v>
      </c>
      <c r="AH174" s="8" t="str">
        <f t="array" ref="AH174">IF(AG174&gt;5,"Perlu Sensus",IF(AND(AG174&gt;=0,AD174&gt;0),"Tetap Deteksi","Belum Deteksi"))</f>
        <v>Belum Deteksi</v>
      </c>
      <c r="AI174" s="143"/>
      <c r="AJ174" s="9">
        <f t="shared" si="29"/>
        <v>0</v>
      </c>
      <c r="AK174" s="11"/>
      <c r="AL174" s="143"/>
      <c r="AM174" s="143"/>
      <c r="AN174" s="9">
        <f t="shared" si="30"/>
        <v>0</v>
      </c>
      <c r="AO174" s="8" t="str">
        <f t="array" ref="AO174">IF(AN174&gt;5,"Perlu Sensus",IF(AND(AN174&gt;=0,AL174&gt;0),"Tetap Deteksi","Belum Deteksi"))</f>
        <v>Belum Deteksi</v>
      </c>
      <c r="AP174" s="143"/>
      <c r="AQ174" s="9">
        <f t="shared" si="31"/>
        <v>0</v>
      </c>
    </row>
    <row r="175" spans="1:43" outlineLevel="1" x14ac:dyDescent="0.15">
      <c r="A175" s="8" t="s">
        <v>1273</v>
      </c>
      <c r="B175" s="8" t="s">
        <v>14</v>
      </c>
      <c r="C175" s="8" t="s">
        <v>173</v>
      </c>
      <c r="D175" s="8" t="s">
        <v>1431</v>
      </c>
      <c r="E175" s="9">
        <v>23.700000000000003</v>
      </c>
      <c r="F175" s="8" t="s">
        <v>1740</v>
      </c>
      <c r="G175" s="10">
        <v>2699</v>
      </c>
      <c r="H175" s="11">
        <f t="array" ref="H175">IF(OR(N175&gt;0,AC175&gt;0),MAX(N175,AC175),MAX(AK175,V175))</f>
        <v>46249</v>
      </c>
      <c r="I175" s="143">
        <f t="array" ref="I175">IF(SUM(O175,AD175)&gt;0,SUM(O175,AD175),SUM(AL175,W175))</f>
        <v>146</v>
      </c>
      <c r="J175" s="9">
        <f t="shared" si="22"/>
        <v>5.4094108929233045</v>
      </c>
      <c r="K175" s="143">
        <f t="shared" si="32"/>
        <v>2</v>
      </c>
      <c r="L175" s="9">
        <f t="shared" si="23"/>
        <v>1.3698630136986301</v>
      </c>
      <c r="M175" s="8" t="str">
        <f t="array" ref="M175">IF(L175&gt;5,"Perlu Sensus",IF(AND(L175&gt;=0,I175&gt;0),"Tetap Deteksi","Belum Deteksi"))</f>
        <v>Tetap Deteksi</v>
      </c>
      <c r="N175" s="132">
        <v>46249</v>
      </c>
      <c r="O175" s="143">
        <f t="array" ref="O175">INDEX([28]Sheet1!$H$24:$H$231,MATCH(1,([28]Sheet1!$E$24:$E$231=$D175)*([28]Sheet1!$E$24:$E$231=$D175),0))</f>
        <v>146</v>
      </c>
      <c r="P175" s="9">
        <f t="array" ref="P175">IFERROR(O175/$G175*100,0)</f>
        <v>5.4094108929233045</v>
      </c>
      <c r="Q175" s="143">
        <f t="array" ref="Q175">INDEX([28]Sheet1!$J$24:$J$231,MATCH(1,([28]Sheet1!$E$24:$E$231=$D175)*([28]Sheet1!$E$24:$E$231=$D175),0))</f>
        <v>2</v>
      </c>
      <c r="R175" s="9">
        <f t="shared" si="24"/>
        <v>1.3698630136986301</v>
      </c>
      <c r="S175" s="8" t="str">
        <f t="array" ref="S175">IF(R175&gt;5,"Perlu Sensus",IF(AND(R175&gt;=0,O175&gt;0),"Tetap Deteksi","Belum Deteksi"))</f>
        <v>Tetap Deteksi</v>
      </c>
      <c r="T175" s="143"/>
      <c r="U175" s="9">
        <f t="shared" si="25"/>
        <v>0</v>
      </c>
      <c r="V175" s="11"/>
      <c r="W175" s="143"/>
      <c r="X175" s="143"/>
      <c r="Y175" s="9">
        <f t="shared" si="26"/>
        <v>0</v>
      </c>
      <c r="Z175" s="8" t="str">
        <f t="array" ref="Z175">IF(Y175&gt;5,"Perlu Sensus",IF(AND(Y175&gt;=0,W175&gt;0),"Tetap Deteksi","Belum Deteksi"))</f>
        <v>Belum Deteksi</v>
      </c>
      <c r="AA175" s="143"/>
      <c r="AB175" s="9">
        <f t="shared" si="27"/>
        <v>0</v>
      </c>
      <c r="AC175" s="11"/>
      <c r="AD175" s="143"/>
      <c r="AE175" s="9">
        <f t="array" ref="AE175">IFERROR(AD175/$G175*100,0)</f>
        <v>0</v>
      </c>
      <c r="AF175" s="143"/>
      <c r="AG175" s="9">
        <f t="shared" si="28"/>
        <v>0</v>
      </c>
      <c r="AH175" s="8" t="str">
        <f t="array" ref="AH175">IF(AG175&gt;5,"Perlu Sensus",IF(AND(AG175&gt;=0,AD175&gt;0),"Tetap Deteksi","Belum Deteksi"))</f>
        <v>Belum Deteksi</v>
      </c>
      <c r="AI175" s="143"/>
      <c r="AJ175" s="9">
        <f t="shared" si="29"/>
        <v>0</v>
      </c>
      <c r="AK175" s="11"/>
      <c r="AL175" s="143"/>
      <c r="AM175" s="143"/>
      <c r="AN175" s="9">
        <f t="shared" si="30"/>
        <v>0</v>
      </c>
      <c r="AO175" s="8" t="str">
        <f t="array" ref="AO175">IF(AN175&gt;5,"Perlu Sensus",IF(AND(AN175&gt;=0,AL175&gt;0),"Tetap Deteksi","Belum Deteksi"))</f>
        <v>Belum Deteksi</v>
      </c>
      <c r="AP175" s="143"/>
      <c r="AQ175" s="9">
        <f t="shared" si="31"/>
        <v>0</v>
      </c>
    </row>
    <row r="176" spans="1:43" outlineLevel="1" x14ac:dyDescent="0.15">
      <c r="A176" s="8" t="s">
        <v>1273</v>
      </c>
      <c r="B176" s="8" t="s">
        <v>14</v>
      </c>
      <c r="C176" s="8" t="s">
        <v>173</v>
      </c>
      <c r="D176" s="8" t="s">
        <v>1432</v>
      </c>
      <c r="E176" s="9">
        <v>4.639999999999997</v>
      </c>
      <c r="F176" s="8" t="s">
        <v>1740</v>
      </c>
      <c r="G176" s="10">
        <v>420</v>
      </c>
      <c r="H176" s="11">
        <f t="array" ref="H176">IF(OR(N176&gt;0,AC176&gt;0),MAX(N176,AC176),MAX(AK176,V176))</f>
        <v>46249</v>
      </c>
      <c r="I176" s="143">
        <f t="array" ref="I176">IF(SUM(O176,AD176)&gt;0,SUM(O176,AD176),SUM(AL176,W176))</f>
        <v>58</v>
      </c>
      <c r="J176" s="9">
        <f t="shared" si="22"/>
        <v>13.80952380952381</v>
      </c>
      <c r="K176" s="143">
        <f t="shared" si="32"/>
        <v>1</v>
      </c>
      <c r="L176" s="9">
        <f t="shared" si="23"/>
        <v>1.7241379310344827</v>
      </c>
      <c r="M176" s="8" t="str">
        <f t="array" ref="M176">IF(L176&gt;5,"Perlu Sensus",IF(AND(L176&gt;=0,I176&gt;0),"Tetap Deteksi","Belum Deteksi"))</f>
        <v>Tetap Deteksi</v>
      </c>
      <c r="N176" s="132">
        <v>46249</v>
      </c>
      <c r="O176" s="143">
        <f t="array" ref="O176">INDEX([28]Sheet1!$H$24:$H$231,MATCH(1,([28]Sheet1!$E$24:$E$231=$D176)*([28]Sheet1!$E$24:$E$231=$D176),0))</f>
        <v>58</v>
      </c>
      <c r="P176" s="9">
        <f t="array" ref="P176">IFERROR(O176/$G176*100,0)</f>
        <v>13.80952380952381</v>
      </c>
      <c r="Q176" s="143">
        <f t="array" ref="Q176">INDEX([28]Sheet1!$J$24:$J$231,MATCH(1,([28]Sheet1!$E$24:$E$231=$D176)*([28]Sheet1!$E$24:$E$231=$D176),0))</f>
        <v>1</v>
      </c>
      <c r="R176" s="9">
        <f t="shared" si="24"/>
        <v>1.7241379310344827</v>
      </c>
      <c r="S176" s="8" t="str">
        <f t="array" ref="S176">IF(R176&gt;5,"Perlu Sensus",IF(AND(R176&gt;=0,O176&gt;0),"Tetap Deteksi","Belum Deteksi"))</f>
        <v>Tetap Deteksi</v>
      </c>
      <c r="T176" s="143"/>
      <c r="U176" s="9">
        <f t="shared" si="25"/>
        <v>0</v>
      </c>
      <c r="V176" s="11"/>
      <c r="W176" s="143"/>
      <c r="X176" s="143"/>
      <c r="Y176" s="9">
        <f t="shared" si="26"/>
        <v>0</v>
      </c>
      <c r="Z176" s="8" t="str">
        <f t="array" ref="Z176">IF(Y176&gt;5,"Perlu Sensus",IF(AND(Y176&gt;=0,W176&gt;0),"Tetap Deteksi","Belum Deteksi"))</f>
        <v>Belum Deteksi</v>
      </c>
      <c r="AA176" s="143"/>
      <c r="AB176" s="9">
        <f t="shared" si="27"/>
        <v>0</v>
      </c>
      <c r="AC176" s="11"/>
      <c r="AD176" s="143"/>
      <c r="AE176" s="9">
        <f t="array" ref="AE176">IFERROR(AD176/$G176*100,0)</f>
        <v>0</v>
      </c>
      <c r="AF176" s="143"/>
      <c r="AG176" s="9">
        <f t="shared" si="28"/>
        <v>0</v>
      </c>
      <c r="AH176" s="8" t="str">
        <f t="array" ref="AH176">IF(AG176&gt;5,"Perlu Sensus",IF(AND(AG176&gt;=0,AD176&gt;0),"Tetap Deteksi","Belum Deteksi"))</f>
        <v>Belum Deteksi</v>
      </c>
      <c r="AI176" s="143"/>
      <c r="AJ176" s="9">
        <f t="shared" si="29"/>
        <v>0</v>
      </c>
      <c r="AK176" s="11"/>
      <c r="AL176" s="143"/>
      <c r="AM176" s="143"/>
      <c r="AN176" s="9">
        <f t="shared" si="30"/>
        <v>0</v>
      </c>
      <c r="AO176" s="8" t="str">
        <f t="array" ref="AO176">IF(AN176&gt;5,"Perlu Sensus",IF(AND(AN176&gt;=0,AL176&gt;0),"Tetap Deteksi","Belum Deteksi"))</f>
        <v>Belum Deteksi</v>
      </c>
      <c r="AP176" s="143"/>
      <c r="AQ176" s="9">
        <f t="shared" si="31"/>
        <v>0</v>
      </c>
    </row>
    <row r="177" spans="1:43" outlineLevel="1" x14ac:dyDescent="0.15">
      <c r="A177" s="8" t="s">
        <v>1273</v>
      </c>
      <c r="B177" s="8" t="s">
        <v>14</v>
      </c>
      <c r="C177" s="8" t="s">
        <v>173</v>
      </c>
      <c r="D177" s="8" t="s">
        <v>1433</v>
      </c>
      <c r="E177" s="9">
        <v>22.990000000000002</v>
      </c>
      <c r="F177" s="8" t="s">
        <v>1740</v>
      </c>
      <c r="G177" s="10">
        <v>2556</v>
      </c>
      <c r="H177" s="11">
        <f t="array" ref="H177">IF(OR(N177&gt;0,AC177&gt;0),MAX(N177,AC177),MAX(AK177,V177))</f>
        <v>46249</v>
      </c>
      <c r="I177" s="143">
        <f t="array" ref="I177">IF(SUM(O177,AD177)&gt;0,SUM(O177,AD177),SUM(AL177,W177))</f>
        <v>164</v>
      </c>
      <c r="J177" s="9">
        <f t="shared" si="22"/>
        <v>6.4162754303599367</v>
      </c>
      <c r="K177" s="143">
        <f t="shared" si="32"/>
        <v>2</v>
      </c>
      <c r="L177" s="9">
        <f t="shared" si="23"/>
        <v>1.2195121951219512</v>
      </c>
      <c r="M177" s="8" t="str">
        <f t="array" ref="M177">IF(L177&gt;5,"Perlu Sensus",IF(AND(L177&gt;=0,I177&gt;0),"Tetap Deteksi","Belum Deteksi"))</f>
        <v>Tetap Deteksi</v>
      </c>
      <c r="N177" s="132">
        <v>46249</v>
      </c>
      <c r="O177" s="143">
        <f t="array" ref="O177">INDEX([28]Sheet1!$H$24:$H$231,MATCH(1,([28]Sheet1!$E$24:$E$231=$D177)*([28]Sheet1!$E$24:$E$231=$D177),0))</f>
        <v>164</v>
      </c>
      <c r="P177" s="9">
        <f t="array" ref="P177">IFERROR(O177/$G177*100,0)</f>
        <v>6.4162754303599367</v>
      </c>
      <c r="Q177" s="143">
        <f t="array" ref="Q177">INDEX([28]Sheet1!$J$24:$J$231,MATCH(1,([28]Sheet1!$E$24:$E$231=$D177)*([28]Sheet1!$E$24:$E$231=$D177),0))</f>
        <v>2</v>
      </c>
      <c r="R177" s="9">
        <f t="shared" si="24"/>
        <v>1.2195121951219512</v>
      </c>
      <c r="S177" s="8" t="str">
        <f t="array" ref="S177">IF(R177&gt;5,"Perlu Sensus",IF(AND(R177&gt;=0,O177&gt;0),"Tetap Deteksi","Belum Deteksi"))</f>
        <v>Tetap Deteksi</v>
      </c>
      <c r="T177" s="143"/>
      <c r="U177" s="9">
        <f t="shared" si="25"/>
        <v>0</v>
      </c>
      <c r="V177" s="11"/>
      <c r="W177" s="143"/>
      <c r="X177" s="143"/>
      <c r="Y177" s="9">
        <f t="shared" si="26"/>
        <v>0</v>
      </c>
      <c r="Z177" s="8" t="str">
        <f t="array" ref="Z177">IF(Y177&gt;5,"Perlu Sensus",IF(AND(Y177&gt;=0,W177&gt;0),"Tetap Deteksi","Belum Deteksi"))</f>
        <v>Belum Deteksi</v>
      </c>
      <c r="AA177" s="143"/>
      <c r="AB177" s="9">
        <f t="shared" si="27"/>
        <v>0</v>
      </c>
      <c r="AC177" s="11"/>
      <c r="AD177" s="143"/>
      <c r="AE177" s="9">
        <f t="array" ref="AE177">IFERROR(AD177/$G177*100,0)</f>
        <v>0</v>
      </c>
      <c r="AF177" s="143"/>
      <c r="AG177" s="9">
        <f t="shared" si="28"/>
        <v>0</v>
      </c>
      <c r="AH177" s="8" t="str">
        <f t="array" ref="AH177">IF(AG177&gt;5,"Perlu Sensus",IF(AND(AG177&gt;=0,AD177&gt;0),"Tetap Deteksi","Belum Deteksi"))</f>
        <v>Belum Deteksi</v>
      </c>
      <c r="AI177" s="143"/>
      <c r="AJ177" s="9">
        <f t="shared" si="29"/>
        <v>0</v>
      </c>
      <c r="AK177" s="11"/>
      <c r="AL177" s="143"/>
      <c r="AM177" s="143"/>
      <c r="AN177" s="9">
        <f t="shared" si="30"/>
        <v>0</v>
      </c>
      <c r="AO177" s="8" t="str">
        <f t="array" ref="AO177">IF(AN177&gt;5,"Perlu Sensus",IF(AND(AN177&gt;=0,AL177&gt;0),"Tetap Deteksi","Belum Deteksi"))</f>
        <v>Belum Deteksi</v>
      </c>
      <c r="AP177" s="143"/>
      <c r="AQ177" s="9">
        <f t="shared" si="31"/>
        <v>0</v>
      </c>
    </row>
    <row r="178" spans="1:43" outlineLevel="1" x14ac:dyDescent="0.15">
      <c r="A178" s="8" t="s">
        <v>1273</v>
      </c>
      <c r="B178" s="8" t="s">
        <v>14</v>
      </c>
      <c r="C178" s="8" t="s">
        <v>173</v>
      </c>
      <c r="D178" s="8" t="s">
        <v>1434</v>
      </c>
      <c r="E178" s="9">
        <v>0.71000000000000085</v>
      </c>
      <c r="F178" s="8" t="s">
        <v>1740</v>
      </c>
      <c r="G178" s="10">
        <v>113</v>
      </c>
      <c r="H178" s="11">
        <f t="array" ref="H178">IF(OR(N178&gt;0,AC178&gt;0),MAX(N178,AC178),MAX(AK178,V178))</f>
        <v>46249</v>
      </c>
      <c r="I178" s="143">
        <f t="array" ref="I178">IF(SUM(O178,AD178)&gt;0,SUM(O178,AD178),SUM(AL178,W178))</f>
        <v>161</v>
      </c>
      <c r="J178" s="9">
        <f t="shared" si="22"/>
        <v>142.47787610619469</v>
      </c>
      <c r="K178" s="143">
        <f t="shared" si="32"/>
        <v>2</v>
      </c>
      <c r="L178" s="9">
        <f t="shared" si="23"/>
        <v>1.2422360248447204</v>
      </c>
      <c r="M178" s="8" t="str">
        <f t="array" ref="M178">IF(L178&gt;5,"Perlu Sensus",IF(AND(L178&gt;=0,I178&gt;0),"Tetap Deteksi","Belum Deteksi"))</f>
        <v>Tetap Deteksi</v>
      </c>
      <c r="N178" s="132">
        <v>46249</v>
      </c>
      <c r="O178" s="143">
        <f t="array" ref="O178">INDEX([28]Sheet1!$H$24:$H$231,MATCH(1,([28]Sheet1!$E$24:$E$231=$D178)*([28]Sheet1!$E$24:$E$231=$D178),0))</f>
        <v>161</v>
      </c>
      <c r="P178" s="9">
        <f t="array" ref="P178">IFERROR(O178/$G178*100,0)</f>
        <v>142.47787610619469</v>
      </c>
      <c r="Q178" s="143">
        <f t="array" ref="Q178">INDEX([28]Sheet1!$J$24:$J$231,MATCH(1,([28]Sheet1!$E$24:$E$231=$D178)*([28]Sheet1!$E$24:$E$231=$D178),0))</f>
        <v>2</v>
      </c>
      <c r="R178" s="9">
        <f t="shared" si="24"/>
        <v>1.2422360248447204</v>
      </c>
      <c r="S178" s="8" t="str">
        <f t="array" ref="S178">IF(R178&gt;5,"Perlu Sensus",IF(AND(R178&gt;=0,O178&gt;0),"Tetap Deteksi","Belum Deteksi"))</f>
        <v>Tetap Deteksi</v>
      </c>
      <c r="T178" s="143"/>
      <c r="U178" s="9">
        <f t="shared" si="25"/>
        <v>0</v>
      </c>
      <c r="V178" s="11"/>
      <c r="W178" s="143"/>
      <c r="X178" s="143"/>
      <c r="Y178" s="9">
        <f t="shared" si="26"/>
        <v>0</v>
      </c>
      <c r="Z178" s="8" t="str">
        <f t="array" ref="Z178">IF(Y178&gt;5,"Perlu Sensus",IF(AND(Y178&gt;=0,W178&gt;0),"Tetap Deteksi","Belum Deteksi"))</f>
        <v>Belum Deteksi</v>
      </c>
      <c r="AA178" s="143"/>
      <c r="AB178" s="9">
        <f t="shared" si="27"/>
        <v>0</v>
      </c>
      <c r="AC178" s="11"/>
      <c r="AD178" s="143"/>
      <c r="AE178" s="9">
        <f t="array" ref="AE178">IFERROR(AD178/$G178*100,0)</f>
        <v>0</v>
      </c>
      <c r="AF178" s="143"/>
      <c r="AG178" s="9">
        <f t="shared" si="28"/>
        <v>0</v>
      </c>
      <c r="AH178" s="8" t="str">
        <f t="array" ref="AH178">IF(AG178&gt;5,"Perlu Sensus",IF(AND(AG178&gt;=0,AD178&gt;0),"Tetap Deteksi","Belum Deteksi"))</f>
        <v>Belum Deteksi</v>
      </c>
      <c r="AI178" s="143"/>
      <c r="AJ178" s="9">
        <f t="shared" si="29"/>
        <v>0</v>
      </c>
      <c r="AK178" s="11"/>
      <c r="AL178" s="143"/>
      <c r="AM178" s="143"/>
      <c r="AN178" s="9">
        <f t="shared" si="30"/>
        <v>0</v>
      </c>
      <c r="AO178" s="8" t="str">
        <f t="array" ref="AO178">IF(AN178&gt;5,"Perlu Sensus",IF(AND(AN178&gt;=0,AL178&gt;0),"Tetap Deteksi","Belum Deteksi"))</f>
        <v>Belum Deteksi</v>
      </c>
      <c r="AP178" s="143"/>
      <c r="AQ178" s="9">
        <f t="shared" si="31"/>
        <v>0</v>
      </c>
    </row>
    <row r="179" spans="1:43" outlineLevel="1" x14ac:dyDescent="0.15">
      <c r="A179" s="8" t="s">
        <v>1273</v>
      </c>
      <c r="B179" s="8" t="s">
        <v>14</v>
      </c>
      <c r="C179" s="8" t="s">
        <v>173</v>
      </c>
      <c r="D179" s="8" t="s">
        <v>1435</v>
      </c>
      <c r="E179" s="9">
        <v>32.07</v>
      </c>
      <c r="F179" s="8" t="s">
        <v>1740</v>
      </c>
      <c r="G179" s="10">
        <v>3824</v>
      </c>
      <c r="H179" s="11">
        <f t="array" ref="H179">IF(OR(N179&gt;0,AC179&gt;0),MAX(N179,AC179),MAX(AK179,V179))</f>
        <v>46249</v>
      </c>
      <c r="I179" s="143">
        <f t="array" ref="I179">IF(SUM(O179,AD179)&gt;0,SUM(O179,AD179),SUM(AL179,W179))</f>
        <v>420</v>
      </c>
      <c r="J179" s="9">
        <f t="shared" si="22"/>
        <v>10.98326359832636</v>
      </c>
      <c r="K179" s="143">
        <f t="shared" si="32"/>
        <v>11</v>
      </c>
      <c r="L179" s="9">
        <f t="shared" si="23"/>
        <v>2.6190476190476191</v>
      </c>
      <c r="M179" s="8" t="str">
        <f t="array" ref="M179">IF(L179&gt;5,"Perlu Sensus",IF(AND(L179&gt;=0,I179&gt;0),"Tetap Deteksi","Belum Deteksi"))</f>
        <v>Tetap Deteksi</v>
      </c>
      <c r="N179" s="132">
        <v>46249</v>
      </c>
      <c r="O179" s="143">
        <f t="array" ref="O179">INDEX([28]Sheet1!$H$24:$H$231,MATCH(1,([28]Sheet1!$E$24:$E$231=$D179)*([28]Sheet1!$E$24:$E$231=$D179),0))</f>
        <v>420</v>
      </c>
      <c r="P179" s="9">
        <f t="array" ref="P179">IFERROR(O179/$G179*100,0)</f>
        <v>10.98326359832636</v>
      </c>
      <c r="Q179" s="143">
        <f t="array" ref="Q179">INDEX([28]Sheet1!$J$24:$J$231,MATCH(1,([28]Sheet1!$E$24:$E$231=$D179)*([28]Sheet1!$E$24:$E$231=$D179),0))</f>
        <v>11</v>
      </c>
      <c r="R179" s="9">
        <f t="shared" si="24"/>
        <v>2.6190476190476191</v>
      </c>
      <c r="S179" s="8" t="str">
        <f t="array" ref="S179">IF(R179&gt;5,"Perlu Sensus",IF(AND(R179&gt;=0,O179&gt;0),"Tetap Deteksi","Belum Deteksi"))</f>
        <v>Tetap Deteksi</v>
      </c>
      <c r="T179" s="143"/>
      <c r="U179" s="9">
        <f t="shared" si="25"/>
        <v>0</v>
      </c>
      <c r="V179" s="11"/>
      <c r="W179" s="143"/>
      <c r="X179" s="143"/>
      <c r="Y179" s="9">
        <f t="shared" si="26"/>
        <v>0</v>
      </c>
      <c r="Z179" s="8" t="str">
        <f t="array" ref="Z179">IF(Y179&gt;5,"Perlu Sensus",IF(AND(Y179&gt;=0,W179&gt;0),"Tetap Deteksi","Belum Deteksi"))</f>
        <v>Belum Deteksi</v>
      </c>
      <c r="AA179" s="143"/>
      <c r="AB179" s="9">
        <f t="shared" si="27"/>
        <v>0</v>
      </c>
      <c r="AC179" s="11"/>
      <c r="AD179" s="143"/>
      <c r="AE179" s="9">
        <f t="array" ref="AE179">IFERROR(AD179/$G179*100,0)</f>
        <v>0</v>
      </c>
      <c r="AF179" s="143"/>
      <c r="AG179" s="9">
        <f t="shared" si="28"/>
        <v>0</v>
      </c>
      <c r="AH179" s="8" t="str">
        <f t="array" ref="AH179">IF(AG179&gt;5,"Perlu Sensus",IF(AND(AG179&gt;=0,AD179&gt;0),"Tetap Deteksi","Belum Deteksi"))</f>
        <v>Belum Deteksi</v>
      </c>
      <c r="AI179" s="143"/>
      <c r="AJ179" s="9">
        <f t="shared" si="29"/>
        <v>0</v>
      </c>
      <c r="AK179" s="11"/>
      <c r="AL179" s="143"/>
      <c r="AM179" s="143"/>
      <c r="AN179" s="9">
        <f t="shared" si="30"/>
        <v>0</v>
      </c>
      <c r="AO179" s="8" t="str">
        <f t="array" ref="AO179">IF(AN179&gt;5,"Perlu Sensus",IF(AND(AN179&gt;=0,AL179&gt;0),"Tetap Deteksi","Belum Deteksi"))</f>
        <v>Belum Deteksi</v>
      </c>
      <c r="AP179" s="143"/>
      <c r="AQ179" s="9">
        <f t="shared" si="31"/>
        <v>0</v>
      </c>
    </row>
    <row r="180" spans="1:43" outlineLevel="1" x14ac:dyDescent="0.15">
      <c r="A180" s="8" t="s">
        <v>1273</v>
      </c>
      <c r="B180" s="8" t="s">
        <v>14</v>
      </c>
      <c r="C180" s="8" t="s">
        <v>173</v>
      </c>
      <c r="D180" s="8" t="s">
        <v>1436</v>
      </c>
      <c r="E180" s="9">
        <v>31.69</v>
      </c>
      <c r="F180" s="8" t="s">
        <v>1740</v>
      </c>
      <c r="G180" s="10">
        <v>3884</v>
      </c>
      <c r="H180" s="11">
        <f t="array" ref="H180">IF(OR(N180&gt;0,AC180&gt;0),MAX(N180,AC180),MAX(AK180,V180))</f>
        <v>46249</v>
      </c>
      <c r="I180" s="143">
        <f t="array" ref="I180">IF(SUM(O180,AD180)&gt;0,SUM(O180,AD180),SUM(AL180,W180))</f>
        <v>104</v>
      </c>
      <c r="J180" s="9">
        <f t="shared" si="22"/>
        <v>2.6776519052523171</v>
      </c>
      <c r="K180" s="143">
        <f t="shared" si="32"/>
        <v>1</v>
      </c>
      <c r="L180" s="9">
        <f t="shared" si="23"/>
        <v>0.96153846153846156</v>
      </c>
      <c r="M180" s="8" t="str">
        <f t="array" ref="M180">IF(L180&gt;5,"Perlu Sensus",IF(AND(L180&gt;=0,I180&gt;0),"Tetap Deteksi","Belum Deteksi"))</f>
        <v>Tetap Deteksi</v>
      </c>
      <c r="N180" s="132">
        <v>46249</v>
      </c>
      <c r="O180" s="143">
        <f t="array" ref="O180">INDEX([28]Sheet1!$H$24:$H$231,MATCH(1,([28]Sheet1!$E$24:$E$231=$D180)*([28]Sheet1!$E$24:$E$231=$D180),0))</f>
        <v>104</v>
      </c>
      <c r="P180" s="9">
        <f t="array" ref="P180">IFERROR(O180/$G180*100,0)</f>
        <v>2.6776519052523171</v>
      </c>
      <c r="Q180" s="143">
        <f t="array" ref="Q180">INDEX([28]Sheet1!$J$24:$J$231,MATCH(1,([28]Sheet1!$E$24:$E$231=$D180)*([28]Sheet1!$E$24:$E$231=$D180),0))</f>
        <v>1</v>
      </c>
      <c r="R180" s="9">
        <f t="shared" si="24"/>
        <v>0.96153846153846156</v>
      </c>
      <c r="S180" s="8" t="str">
        <f t="array" ref="S180">IF(R180&gt;5,"Perlu Sensus",IF(AND(R180&gt;=0,O180&gt;0),"Tetap Deteksi","Belum Deteksi"))</f>
        <v>Tetap Deteksi</v>
      </c>
      <c r="T180" s="143"/>
      <c r="U180" s="9">
        <f t="shared" si="25"/>
        <v>0</v>
      </c>
      <c r="V180" s="11"/>
      <c r="W180" s="143"/>
      <c r="X180" s="143"/>
      <c r="Y180" s="9">
        <f t="shared" si="26"/>
        <v>0</v>
      </c>
      <c r="Z180" s="8" t="str">
        <f t="array" ref="Z180">IF(Y180&gt;5,"Perlu Sensus",IF(AND(Y180&gt;=0,W180&gt;0),"Tetap Deteksi","Belum Deteksi"))</f>
        <v>Belum Deteksi</v>
      </c>
      <c r="AA180" s="143"/>
      <c r="AB180" s="9">
        <f t="shared" si="27"/>
        <v>0</v>
      </c>
      <c r="AC180" s="11"/>
      <c r="AD180" s="143"/>
      <c r="AE180" s="9">
        <f t="array" ref="AE180">IFERROR(AD180/$G180*100,0)</f>
        <v>0</v>
      </c>
      <c r="AF180" s="143"/>
      <c r="AG180" s="9">
        <f t="shared" si="28"/>
        <v>0</v>
      </c>
      <c r="AH180" s="8" t="str">
        <f t="array" ref="AH180">IF(AG180&gt;5,"Perlu Sensus",IF(AND(AG180&gt;=0,AD180&gt;0),"Tetap Deteksi","Belum Deteksi"))</f>
        <v>Belum Deteksi</v>
      </c>
      <c r="AI180" s="143"/>
      <c r="AJ180" s="9">
        <f t="shared" si="29"/>
        <v>0</v>
      </c>
      <c r="AK180" s="11"/>
      <c r="AL180" s="143"/>
      <c r="AM180" s="143"/>
      <c r="AN180" s="9">
        <f t="shared" si="30"/>
        <v>0</v>
      </c>
      <c r="AO180" s="8" t="str">
        <f t="array" ref="AO180">IF(AN180&gt;5,"Perlu Sensus",IF(AND(AN180&gt;=0,AL180&gt;0),"Tetap Deteksi","Belum Deteksi"))</f>
        <v>Belum Deteksi</v>
      </c>
      <c r="AP180" s="143"/>
      <c r="AQ180" s="9">
        <f t="shared" si="31"/>
        <v>0</v>
      </c>
    </row>
    <row r="181" spans="1:43" outlineLevel="1" x14ac:dyDescent="0.15">
      <c r="A181" s="8" t="s">
        <v>1273</v>
      </c>
      <c r="B181" s="8" t="s">
        <v>14</v>
      </c>
      <c r="C181" s="8" t="s">
        <v>173</v>
      </c>
      <c r="D181" s="8" t="s">
        <v>1437</v>
      </c>
      <c r="E181" s="9">
        <v>29.68</v>
      </c>
      <c r="F181" s="8" t="s">
        <v>1740</v>
      </c>
      <c r="G181" s="10">
        <v>3740</v>
      </c>
      <c r="H181" s="11">
        <f t="array" ref="H181">IF(OR(N181&gt;0,AC181&gt;0),MAX(N181,AC181),MAX(AK181,V181))</f>
        <v>46249</v>
      </c>
      <c r="I181" s="143">
        <f t="array" ref="I181">IF(SUM(O181,AD181)&gt;0,SUM(O181,AD181),SUM(AL181,W181))</f>
        <v>153</v>
      </c>
      <c r="J181" s="9">
        <f t="shared" si="22"/>
        <v>4.0909090909090908</v>
      </c>
      <c r="K181" s="143">
        <f t="shared" si="32"/>
        <v>2</v>
      </c>
      <c r="L181" s="9">
        <f t="shared" si="23"/>
        <v>1.3071895424836601</v>
      </c>
      <c r="M181" s="8" t="str">
        <f t="array" ref="M181">IF(L181&gt;5,"Perlu Sensus",IF(AND(L181&gt;=0,I181&gt;0),"Tetap Deteksi","Belum Deteksi"))</f>
        <v>Tetap Deteksi</v>
      </c>
      <c r="N181" s="132">
        <v>46249</v>
      </c>
      <c r="O181" s="143">
        <f t="array" ref="O181">INDEX([28]Sheet1!$H$24:$H$231,MATCH(1,([28]Sheet1!$E$24:$E$231=$D181)*([28]Sheet1!$E$24:$E$231=$D181),0))</f>
        <v>153</v>
      </c>
      <c r="P181" s="9">
        <f t="array" ref="P181">IFERROR(O181/$G181*100,0)</f>
        <v>4.0909090909090908</v>
      </c>
      <c r="Q181" s="143">
        <f t="array" ref="Q181">INDEX([28]Sheet1!$J$24:$J$231,MATCH(1,([28]Sheet1!$E$24:$E$231=$D181)*([28]Sheet1!$E$24:$E$231=$D181),0))</f>
        <v>2</v>
      </c>
      <c r="R181" s="9">
        <f t="shared" si="24"/>
        <v>1.3071895424836601</v>
      </c>
      <c r="S181" s="8" t="str">
        <f t="array" ref="S181">IF(R181&gt;5,"Perlu Sensus",IF(AND(R181&gt;=0,O181&gt;0),"Tetap Deteksi","Belum Deteksi"))</f>
        <v>Tetap Deteksi</v>
      </c>
      <c r="T181" s="143"/>
      <c r="U181" s="9">
        <f t="shared" si="25"/>
        <v>0</v>
      </c>
      <c r="V181" s="11"/>
      <c r="W181" s="143"/>
      <c r="X181" s="143"/>
      <c r="Y181" s="9">
        <f t="shared" si="26"/>
        <v>0</v>
      </c>
      <c r="Z181" s="8" t="str">
        <f t="array" ref="Z181">IF(Y181&gt;5,"Perlu Sensus",IF(AND(Y181&gt;=0,W181&gt;0),"Tetap Deteksi","Belum Deteksi"))</f>
        <v>Belum Deteksi</v>
      </c>
      <c r="AA181" s="143"/>
      <c r="AB181" s="9">
        <f t="shared" si="27"/>
        <v>0</v>
      </c>
      <c r="AC181" s="11"/>
      <c r="AD181" s="143"/>
      <c r="AE181" s="9">
        <f t="array" ref="AE181">IFERROR(AD181/$G181*100,0)</f>
        <v>0</v>
      </c>
      <c r="AF181" s="143"/>
      <c r="AG181" s="9">
        <f t="shared" si="28"/>
        <v>0</v>
      </c>
      <c r="AH181" s="8" t="str">
        <f t="array" ref="AH181">IF(AG181&gt;5,"Perlu Sensus",IF(AND(AG181&gt;=0,AD181&gt;0),"Tetap Deteksi","Belum Deteksi"))</f>
        <v>Belum Deteksi</v>
      </c>
      <c r="AI181" s="143"/>
      <c r="AJ181" s="9">
        <f t="shared" si="29"/>
        <v>0</v>
      </c>
      <c r="AK181" s="11"/>
      <c r="AL181" s="143"/>
      <c r="AM181" s="143"/>
      <c r="AN181" s="9">
        <f t="shared" si="30"/>
        <v>0</v>
      </c>
      <c r="AO181" s="8" t="str">
        <f t="array" ref="AO181">IF(AN181&gt;5,"Perlu Sensus",IF(AND(AN181&gt;=0,AL181&gt;0),"Tetap Deteksi","Belum Deteksi"))</f>
        <v>Belum Deteksi</v>
      </c>
      <c r="AP181" s="143"/>
      <c r="AQ181" s="9">
        <f t="shared" si="31"/>
        <v>0</v>
      </c>
    </row>
    <row r="182" spans="1:43" outlineLevel="1" x14ac:dyDescent="0.15">
      <c r="A182" s="8" t="s">
        <v>1273</v>
      </c>
      <c r="B182" s="8" t="s">
        <v>14</v>
      </c>
      <c r="C182" s="8" t="s">
        <v>173</v>
      </c>
      <c r="D182" s="8" t="s">
        <v>1438</v>
      </c>
      <c r="E182" s="9">
        <v>24.94</v>
      </c>
      <c r="F182" s="8" t="s">
        <v>1740</v>
      </c>
      <c r="G182" s="10">
        <v>2599</v>
      </c>
      <c r="H182" s="11">
        <f t="array" ref="H182">IF(OR(N182&gt;0,AC182&gt;0),MAX(N182,AC182),MAX(AK182,V182))</f>
        <v>46249</v>
      </c>
      <c r="I182" s="143">
        <f t="array" ref="I182">IF(SUM(O182,AD182)&gt;0,SUM(O182,AD182),SUM(AL182,W182))</f>
        <v>128</v>
      </c>
      <c r="J182" s="9">
        <f t="shared" si="22"/>
        <v>4.9249711427472107</v>
      </c>
      <c r="K182" s="143">
        <f t="shared" si="32"/>
        <v>1</v>
      </c>
      <c r="L182" s="9">
        <f t="shared" si="23"/>
        <v>0.78125</v>
      </c>
      <c r="M182" s="8" t="str">
        <f t="array" ref="M182">IF(L182&gt;5,"Perlu Sensus",IF(AND(L182&gt;=0,I182&gt;0),"Tetap Deteksi","Belum Deteksi"))</f>
        <v>Tetap Deteksi</v>
      </c>
      <c r="N182" s="132">
        <v>46249</v>
      </c>
      <c r="O182" s="143">
        <f t="array" ref="O182">INDEX([28]Sheet1!$H$24:$H$231,MATCH(1,([28]Sheet1!$E$24:$E$231=$D182)*([28]Sheet1!$E$24:$E$231=$D182),0))</f>
        <v>128</v>
      </c>
      <c r="P182" s="9">
        <f t="array" ref="P182">IFERROR(O182/$G182*100,0)</f>
        <v>4.9249711427472107</v>
      </c>
      <c r="Q182" s="143">
        <f t="array" ref="Q182">INDEX([28]Sheet1!$J$24:$J$231,MATCH(1,([28]Sheet1!$E$24:$E$231=$D182)*([28]Sheet1!$E$24:$E$231=$D182),0))</f>
        <v>1</v>
      </c>
      <c r="R182" s="9">
        <f t="shared" si="24"/>
        <v>0.78125</v>
      </c>
      <c r="S182" s="8" t="str">
        <f t="array" ref="S182">IF(R182&gt;5,"Perlu Sensus",IF(AND(R182&gt;=0,O182&gt;0),"Tetap Deteksi","Belum Deteksi"))</f>
        <v>Tetap Deteksi</v>
      </c>
      <c r="T182" s="143"/>
      <c r="U182" s="9">
        <f t="shared" si="25"/>
        <v>0</v>
      </c>
      <c r="V182" s="11"/>
      <c r="W182" s="143"/>
      <c r="X182" s="143"/>
      <c r="Y182" s="9">
        <f t="shared" si="26"/>
        <v>0</v>
      </c>
      <c r="Z182" s="8" t="str">
        <f t="array" ref="Z182">IF(Y182&gt;5,"Perlu Sensus",IF(AND(Y182&gt;=0,W182&gt;0),"Tetap Deteksi","Belum Deteksi"))</f>
        <v>Belum Deteksi</v>
      </c>
      <c r="AA182" s="143"/>
      <c r="AB182" s="9">
        <f t="shared" si="27"/>
        <v>0</v>
      </c>
      <c r="AC182" s="11"/>
      <c r="AD182" s="143"/>
      <c r="AE182" s="9">
        <f t="array" ref="AE182">IFERROR(AD182/$G182*100,0)</f>
        <v>0</v>
      </c>
      <c r="AF182" s="143"/>
      <c r="AG182" s="9">
        <f t="shared" si="28"/>
        <v>0</v>
      </c>
      <c r="AH182" s="8" t="str">
        <f t="array" ref="AH182">IF(AG182&gt;5,"Perlu Sensus",IF(AND(AG182&gt;=0,AD182&gt;0),"Tetap Deteksi","Belum Deteksi"))</f>
        <v>Belum Deteksi</v>
      </c>
      <c r="AI182" s="143"/>
      <c r="AJ182" s="9">
        <f t="shared" si="29"/>
        <v>0</v>
      </c>
      <c r="AK182" s="11"/>
      <c r="AL182" s="143"/>
      <c r="AM182" s="143"/>
      <c r="AN182" s="9">
        <f t="shared" si="30"/>
        <v>0</v>
      </c>
      <c r="AO182" s="8" t="str">
        <f t="array" ref="AO182">IF(AN182&gt;5,"Perlu Sensus",IF(AND(AN182&gt;=0,AL182&gt;0),"Tetap Deteksi","Belum Deteksi"))</f>
        <v>Belum Deteksi</v>
      </c>
      <c r="AP182" s="143"/>
      <c r="AQ182" s="9">
        <f t="shared" si="31"/>
        <v>0</v>
      </c>
    </row>
    <row r="183" spans="1:43" outlineLevel="1" x14ac:dyDescent="0.15">
      <c r="A183" s="8" t="s">
        <v>1273</v>
      </c>
      <c r="B183" s="8" t="s">
        <v>14</v>
      </c>
      <c r="C183" s="8" t="s">
        <v>173</v>
      </c>
      <c r="D183" s="8" t="s">
        <v>1439</v>
      </c>
      <c r="E183" s="9">
        <v>27.390000000000004</v>
      </c>
      <c r="F183" s="8" t="s">
        <v>1740</v>
      </c>
      <c r="G183" s="10">
        <v>3047</v>
      </c>
      <c r="H183" s="11">
        <f t="array" ref="H183">IF(OR(N183&gt;0,AC183&gt;0),MAX(N183,AC183),MAX(AK183,V183))</f>
        <v>46249</v>
      </c>
      <c r="I183" s="143">
        <f t="array" ref="I183">IF(SUM(O183,AD183)&gt;0,SUM(O183,AD183),SUM(AL183,W183))</f>
        <v>103</v>
      </c>
      <c r="J183" s="9">
        <f t="shared" si="22"/>
        <v>3.3803741384968817</v>
      </c>
      <c r="K183" s="143">
        <f t="shared" si="32"/>
        <v>1</v>
      </c>
      <c r="L183" s="9">
        <f t="shared" si="23"/>
        <v>0.97087378640776689</v>
      </c>
      <c r="M183" s="8" t="str">
        <f t="array" ref="M183">IF(L183&gt;5,"Perlu Sensus",IF(AND(L183&gt;=0,I183&gt;0),"Tetap Deteksi","Belum Deteksi"))</f>
        <v>Tetap Deteksi</v>
      </c>
      <c r="N183" s="132">
        <v>46249</v>
      </c>
      <c r="O183" s="143">
        <f t="array" ref="O183">INDEX([28]Sheet1!$H$24:$H$231,MATCH(1,([28]Sheet1!$E$24:$E$231=$D183)*([28]Sheet1!$E$24:$E$231=$D183),0))</f>
        <v>103</v>
      </c>
      <c r="P183" s="9">
        <f t="array" ref="P183">IFERROR(O183/$G183*100,0)</f>
        <v>3.3803741384968817</v>
      </c>
      <c r="Q183" s="143">
        <f t="array" ref="Q183">INDEX([28]Sheet1!$J$24:$J$231,MATCH(1,([28]Sheet1!$E$24:$E$231=$D183)*([28]Sheet1!$E$24:$E$231=$D183),0))</f>
        <v>1</v>
      </c>
      <c r="R183" s="9">
        <f t="shared" si="24"/>
        <v>0.97087378640776689</v>
      </c>
      <c r="S183" s="8" t="str">
        <f t="array" ref="S183">IF(R183&gt;5,"Perlu Sensus",IF(AND(R183&gt;=0,O183&gt;0),"Tetap Deteksi","Belum Deteksi"))</f>
        <v>Tetap Deteksi</v>
      </c>
      <c r="T183" s="143"/>
      <c r="U183" s="9">
        <f t="shared" si="25"/>
        <v>0</v>
      </c>
      <c r="V183" s="11"/>
      <c r="W183" s="143"/>
      <c r="X183" s="143"/>
      <c r="Y183" s="9">
        <f t="shared" si="26"/>
        <v>0</v>
      </c>
      <c r="Z183" s="8" t="str">
        <f t="array" ref="Z183">IF(Y183&gt;5,"Perlu Sensus",IF(AND(Y183&gt;=0,W183&gt;0),"Tetap Deteksi","Belum Deteksi"))</f>
        <v>Belum Deteksi</v>
      </c>
      <c r="AA183" s="143"/>
      <c r="AB183" s="9">
        <f t="shared" si="27"/>
        <v>0</v>
      </c>
      <c r="AC183" s="11"/>
      <c r="AD183" s="143"/>
      <c r="AE183" s="9">
        <f t="array" ref="AE183">IFERROR(AD183/$G183*100,0)</f>
        <v>0</v>
      </c>
      <c r="AF183" s="143"/>
      <c r="AG183" s="9">
        <f t="shared" si="28"/>
        <v>0</v>
      </c>
      <c r="AH183" s="8" t="str">
        <f t="array" ref="AH183">IF(AG183&gt;5,"Perlu Sensus",IF(AND(AG183&gt;=0,AD183&gt;0),"Tetap Deteksi","Belum Deteksi"))</f>
        <v>Belum Deteksi</v>
      </c>
      <c r="AI183" s="143"/>
      <c r="AJ183" s="9">
        <f t="shared" si="29"/>
        <v>0</v>
      </c>
      <c r="AK183" s="11"/>
      <c r="AL183" s="143"/>
      <c r="AM183" s="143"/>
      <c r="AN183" s="9">
        <f t="shared" si="30"/>
        <v>0</v>
      </c>
      <c r="AO183" s="8" t="str">
        <f t="array" ref="AO183">IF(AN183&gt;5,"Perlu Sensus",IF(AND(AN183&gt;=0,AL183&gt;0),"Tetap Deteksi","Belum Deteksi"))</f>
        <v>Belum Deteksi</v>
      </c>
      <c r="AP183" s="143"/>
      <c r="AQ183" s="9">
        <f t="shared" si="31"/>
        <v>0</v>
      </c>
    </row>
    <row r="184" spans="1:43" outlineLevel="1" x14ac:dyDescent="0.15">
      <c r="A184" s="8" t="s">
        <v>1273</v>
      </c>
      <c r="B184" s="8" t="s">
        <v>14</v>
      </c>
      <c r="C184" s="8" t="s">
        <v>173</v>
      </c>
      <c r="D184" s="8" t="s">
        <v>1440</v>
      </c>
      <c r="E184" s="9">
        <v>31.4</v>
      </c>
      <c r="F184" s="8" t="s">
        <v>1740</v>
      </c>
      <c r="G184" s="10">
        <v>4069</v>
      </c>
      <c r="H184" s="11">
        <f t="array" ref="H184">IF(OR(N184&gt;0,AC184&gt;0),MAX(N184,AC184),MAX(AK184,V184))</f>
        <v>46249</v>
      </c>
      <c r="I184" s="143">
        <f t="array" ref="I184">IF(SUM(O184,AD184)&gt;0,SUM(O184,AD184),SUM(AL184,W184))</f>
        <v>88</v>
      </c>
      <c r="J184" s="9">
        <f t="shared" si="22"/>
        <v>2.1626935364954534</v>
      </c>
      <c r="K184" s="143">
        <f t="shared" si="32"/>
        <v>1</v>
      </c>
      <c r="L184" s="9">
        <f t="shared" si="23"/>
        <v>1.1363636363636365</v>
      </c>
      <c r="M184" s="8" t="str">
        <f t="array" ref="M184">IF(L184&gt;5,"Perlu Sensus",IF(AND(L184&gt;=0,I184&gt;0),"Tetap Deteksi","Belum Deteksi"))</f>
        <v>Tetap Deteksi</v>
      </c>
      <c r="N184" s="132">
        <v>46249</v>
      </c>
      <c r="O184" s="143">
        <f t="array" ref="O184">INDEX([28]Sheet1!$H$24:$H$231,MATCH(1,([28]Sheet1!$E$24:$E$231=$D184)*([28]Sheet1!$E$24:$E$231=$D184),0))</f>
        <v>88</v>
      </c>
      <c r="P184" s="9">
        <f t="array" ref="P184">IFERROR(O184/$G184*100,0)</f>
        <v>2.1626935364954534</v>
      </c>
      <c r="Q184" s="143">
        <f t="array" ref="Q184">INDEX([28]Sheet1!$J$24:$J$231,MATCH(1,([28]Sheet1!$E$24:$E$231=$D184)*([28]Sheet1!$E$24:$E$231=$D184),0))</f>
        <v>1</v>
      </c>
      <c r="R184" s="9">
        <f t="shared" si="24"/>
        <v>1.1363636363636365</v>
      </c>
      <c r="S184" s="8" t="str">
        <f t="array" ref="S184">IF(R184&gt;5,"Perlu Sensus",IF(AND(R184&gt;=0,O184&gt;0),"Tetap Deteksi","Belum Deteksi"))</f>
        <v>Tetap Deteksi</v>
      </c>
      <c r="T184" s="143"/>
      <c r="U184" s="9">
        <f t="shared" si="25"/>
        <v>0</v>
      </c>
      <c r="V184" s="11"/>
      <c r="W184" s="143"/>
      <c r="X184" s="143"/>
      <c r="Y184" s="9">
        <f t="shared" si="26"/>
        <v>0</v>
      </c>
      <c r="Z184" s="8" t="str">
        <f t="array" ref="Z184">IF(Y184&gt;5,"Perlu Sensus",IF(AND(Y184&gt;=0,W184&gt;0),"Tetap Deteksi","Belum Deteksi"))</f>
        <v>Belum Deteksi</v>
      </c>
      <c r="AA184" s="143"/>
      <c r="AB184" s="9">
        <f t="shared" si="27"/>
        <v>0</v>
      </c>
      <c r="AC184" s="11"/>
      <c r="AD184" s="143"/>
      <c r="AE184" s="9">
        <f t="array" ref="AE184">IFERROR(AD184/$G184*100,0)</f>
        <v>0</v>
      </c>
      <c r="AF184" s="143"/>
      <c r="AG184" s="9">
        <f t="shared" si="28"/>
        <v>0</v>
      </c>
      <c r="AH184" s="8" t="str">
        <f t="array" ref="AH184">IF(AG184&gt;5,"Perlu Sensus",IF(AND(AG184&gt;=0,AD184&gt;0),"Tetap Deteksi","Belum Deteksi"))</f>
        <v>Belum Deteksi</v>
      </c>
      <c r="AI184" s="143"/>
      <c r="AJ184" s="9">
        <f t="shared" si="29"/>
        <v>0</v>
      </c>
      <c r="AK184" s="11"/>
      <c r="AL184" s="143"/>
      <c r="AM184" s="143"/>
      <c r="AN184" s="9">
        <f t="shared" si="30"/>
        <v>0</v>
      </c>
      <c r="AO184" s="8" t="str">
        <f t="array" ref="AO184">IF(AN184&gt;5,"Perlu Sensus",IF(AND(AN184&gt;=0,AL184&gt;0),"Tetap Deteksi","Belum Deteksi"))</f>
        <v>Belum Deteksi</v>
      </c>
      <c r="AP184" s="143"/>
      <c r="AQ184" s="9">
        <f t="shared" si="31"/>
        <v>0</v>
      </c>
    </row>
    <row r="185" spans="1:43" outlineLevel="1" x14ac:dyDescent="0.15">
      <c r="A185" s="8" t="s">
        <v>1273</v>
      </c>
      <c r="B185" s="8" t="s">
        <v>14</v>
      </c>
      <c r="C185" s="8" t="s">
        <v>216</v>
      </c>
      <c r="D185" s="8" t="s">
        <v>1441</v>
      </c>
      <c r="E185" s="9">
        <v>29.5</v>
      </c>
      <c r="F185" s="8" t="s">
        <v>1740</v>
      </c>
      <c r="G185" s="10">
        <v>3487</v>
      </c>
      <c r="H185" s="11">
        <f t="array" ref="H185">IF(OR(N185&gt;0,AC185&gt;0),MAX(N185,AC185),MAX(AK185,V185))</f>
        <v>46249</v>
      </c>
      <c r="I185" s="143">
        <f t="array" ref="I185">IF(SUM(O185,AD185)&gt;0,SUM(O185,AD185),SUM(AL185,W185))</f>
        <v>169</v>
      </c>
      <c r="J185" s="9">
        <f t="shared" si="22"/>
        <v>4.8465729853742472</v>
      </c>
      <c r="K185" s="143">
        <f t="shared" si="32"/>
        <v>3</v>
      </c>
      <c r="L185" s="9">
        <f t="shared" si="23"/>
        <v>1.7751479289940828</v>
      </c>
      <c r="M185" s="8" t="str">
        <f t="array" ref="M185">IF(L185&gt;5,"Perlu Sensus",IF(AND(L185&gt;=0,I185&gt;0),"Tetap Deteksi","Belum Deteksi"))</f>
        <v>Tetap Deteksi</v>
      </c>
      <c r="N185" s="132">
        <v>46249</v>
      </c>
      <c r="O185" s="143">
        <f t="array" ref="O185">INDEX([28]Sheet1!$H$24:$H$231,MATCH(1,([28]Sheet1!$E$24:$E$231=$D185)*([28]Sheet1!$E$24:$E$231=$D185),0))</f>
        <v>169</v>
      </c>
      <c r="P185" s="9">
        <f t="array" ref="P185">IFERROR(O185/$G185*100,0)</f>
        <v>4.8465729853742472</v>
      </c>
      <c r="Q185" s="143">
        <f t="array" ref="Q185">INDEX([28]Sheet1!$J$24:$J$231,MATCH(1,([28]Sheet1!$E$24:$E$231=$D185)*([28]Sheet1!$E$24:$E$231=$D185),0))</f>
        <v>3</v>
      </c>
      <c r="R185" s="9">
        <f t="shared" si="24"/>
        <v>1.7751479289940828</v>
      </c>
      <c r="S185" s="8" t="str">
        <f t="array" ref="S185">IF(R185&gt;5,"Perlu Sensus",IF(AND(R185&gt;=0,O185&gt;0),"Tetap Deteksi","Belum Deteksi"))</f>
        <v>Tetap Deteksi</v>
      </c>
      <c r="T185" s="143"/>
      <c r="U185" s="9">
        <f t="shared" si="25"/>
        <v>0</v>
      </c>
      <c r="V185" s="11"/>
      <c r="W185" s="143"/>
      <c r="X185" s="143"/>
      <c r="Y185" s="9">
        <f t="shared" si="26"/>
        <v>0</v>
      </c>
      <c r="Z185" s="8" t="str">
        <f t="array" ref="Z185">IF(Y185&gt;5,"Perlu Sensus",IF(AND(Y185&gt;=0,W185&gt;0),"Tetap Deteksi","Belum Deteksi"))</f>
        <v>Belum Deteksi</v>
      </c>
      <c r="AA185" s="143"/>
      <c r="AB185" s="9">
        <f t="shared" si="27"/>
        <v>0</v>
      </c>
      <c r="AC185" s="11"/>
      <c r="AD185" s="143"/>
      <c r="AE185" s="9">
        <f t="array" ref="AE185">IFERROR(AD185/$G185*100,0)</f>
        <v>0</v>
      </c>
      <c r="AF185" s="143"/>
      <c r="AG185" s="9">
        <f t="shared" si="28"/>
        <v>0</v>
      </c>
      <c r="AH185" s="8" t="str">
        <f t="array" ref="AH185">IF(AG185&gt;5,"Perlu Sensus",IF(AND(AG185&gt;=0,AD185&gt;0),"Tetap Deteksi","Belum Deteksi"))</f>
        <v>Belum Deteksi</v>
      </c>
      <c r="AI185" s="143"/>
      <c r="AJ185" s="9">
        <f t="shared" si="29"/>
        <v>0</v>
      </c>
      <c r="AK185" s="11"/>
      <c r="AL185" s="143"/>
      <c r="AM185" s="143"/>
      <c r="AN185" s="9">
        <f t="shared" si="30"/>
        <v>0</v>
      </c>
      <c r="AO185" s="8" t="str">
        <f t="array" ref="AO185">IF(AN185&gt;5,"Perlu Sensus",IF(AND(AN185&gt;=0,AL185&gt;0),"Tetap Deteksi","Belum Deteksi"))</f>
        <v>Belum Deteksi</v>
      </c>
      <c r="AP185" s="143"/>
      <c r="AQ185" s="9">
        <f t="shared" si="31"/>
        <v>0</v>
      </c>
    </row>
    <row r="186" spans="1:43" outlineLevel="1" x14ac:dyDescent="0.15">
      <c r="A186" s="8" t="s">
        <v>1273</v>
      </c>
      <c r="B186" s="8" t="s">
        <v>14</v>
      </c>
      <c r="C186" s="8" t="s">
        <v>216</v>
      </c>
      <c r="D186" s="8" t="s">
        <v>1442</v>
      </c>
      <c r="E186" s="9">
        <v>31.92</v>
      </c>
      <c r="F186" s="8" t="s">
        <v>1740</v>
      </c>
      <c r="G186" s="10">
        <v>3512</v>
      </c>
      <c r="H186" s="11">
        <f t="array" ref="H186">IF(OR(N186&gt;0,AC186&gt;0),MAX(N186,AC186),MAX(AK186,V186))</f>
        <v>46249</v>
      </c>
      <c r="I186" s="143">
        <f t="array" ref="I186">IF(SUM(O186,AD186)&gt;0,SUM(O186,AD186),SUM(AL186,W186))</f>
        <v>146</v>
      </c>
      <c r="J186" s="9">
        <f t="shared" si="22"/>
        <v>4.1571753986332576</v>
      </c>
      <c r="K186" s="143">
        <f t="shared" si="32"/>
        <v>2</v>
      </c>
      <c r="L186" s="9">
        <f t="shared" si="23"/>
        <v>1.3698630136986301</v>
      </c>
      <c r="M186" s="8" t="str">
        <f t="array" ref="M186">IF(L186&gt;5,"Perlu Sensus",IF(AND(L186&gt;=0,I186&gt;0),"Tetap Deteksi","Belum Deteksi"))</f>
        <v>Tetap Deteksi</v>
      </c>
      <c r="N186" s="132">
        <v>46249</v>
      </c>
      <c r="O186" s="143">
        <f t="array" ref="O186">INDEX([28]Sheet1!$H$24:$H$231,MATCH(1,([28]Sheet1!$E$24:$E$231=$D186)*([28]Sheet1!$E$24:$E$231=$D186),0))</f>
        <v>146</v>
      </c>
      <c r="P186" s="9">
        <f t="array" ref="P186">IFERROR(O186/$G186*100,0)</f>
        <v>4.1571753986332576</v>
      </c>
      <c r="Q186" s="143">
        <f t="array" ref="Q186">INDEX([28]Sheet1!$J$24:$J$231,MATCH(1,([28]Sheet1!$E$24:$E$231=$D186)*([28]Sheet1!$E$24:$E$231=$D186),0))</f>
        <v>2</v>
      </c>
      <c r="R186" s="9">
        <f t="shared" si="24"/>
        <v>1.3698630136986301</v>
      </c>
      <c r="S186" s="8" t="str">
        <f t="array" ref="S186">IF(R186&gt;5,"Perlu Sensus",IF(AND(R186&gt;=0,O186&gt;0),"Tetap Deteksi","Belum Deteksi"))</f>
        <v>Tetap Deteksi</v>
      </c>
      <c r="T186" s="143"/>
      <c r="U186" s="9">
        <f t="shared" si="25"/>
        <v>0</v>
      </c>
      <c r="V186" s="11"/>
      <c r="W186" s="143"/>
      <c r="X186" s="143"/>
      <c r="Y186" s="9">
        <f t="shared" si="26"/>
        <v>0</v>
      </c>
      <c r="Z186" s="8" t="str">
        <f t="array" ref="Z186">IF(Y186&gt;5,"Perlu Sensus",IF(AND(Y186&gt;=0,W186&gt;0),"Tetap Deteksi","Belum Deteksi"))</f>
        <v>Belum Deteksi</v>
      </c>
      <c r="AA186" s="143"/>
      <c r="AB186" s="9">
        <f t="shared" si="27"/>
        <v>0</v>
      </c>
      <c r="AC186" s="11"/>
      <c r="AD186" s="143"/>
      <c r="AE186" s="9">
        <f t="array" ref="AE186">IFERROR(AD186/$G186*100,0)</f>
        <v>0</v>
      </c>
      <c r="AF186" s="143"/>
      <c r="AG186" s="9">
        <f t="shared" si="28"/>
        <v>0</v>
      </c>
      <c r="AH186" s="8" t="str">
        <f t="array" ref="AH186">IF(AG186&gt;5,"Perlu Sensus",IF(AND(AG186&gt;=0,AD186&gt;0),"Tetap Deteksi","Belum Deteksi"))</f>
        <v>Belum Deteksi</v>
      </c>
      <c r="AI186" s="143"/>
      <c r="AJ186" s="9">
        <f t="shared" si="29"/>
        <v>0</v>
      </c>
      <c r="AK186" s="11"/>
      <c r="AL186" s="143"/>
      <c r="AM186" s="143"/>
      <c r="AN186" s="9">
        <f t="shared" si="30"/>
        <v>0</v>
      </c>
      <c r="AO186" s="8" t="str">
        <f t="array" ref="AO186">IF(AN186&gt;5,"Perlu Sensus",IF(AND(AN186&gt;=0,AL186&gt;0),"Tetap Deteksi","Belum Deteksi"))</f>
        <v>Belum Deteksi</v>
      </c>
      <c r="AP186" s="143"/>
      <c r="AQ186" s="9">
        <f t="shared" si="31"/>
        <v>0</v>
      </c>
    </row>
    <row r="187" spans="1:43" outlineLevel="1" x14ac:dyDescent="0.15">
      <c r="A187" s="8" t="s">
        <v>1273</v>
      </c>
      <c r="B187" s="8" t="s">
        <v>14</v>
      </c>
      <c r="C187" s="8" t="s">
        <v>216</v>
      </c>
      <c r="D187" s="8" t="s">
        <v>1443</v>
      </c>
      <c r="E187" s="9">
        <v>28.02</v>
      </c>
      <c r="F187" s="8" t="s">
        <v>1740</v>
      </c>
      <c r="G187" s="10">
        <v>3138</v>
      </c>
      <c r="H187" s="11">
        <f t="array" ref="H187">IF(OR(N187&gt;0,AC187&gt;0),MAX(N187,AC187),MAX(AK187,V187))</f>
        <v>46249</v>
      </c>
      <c r="I187" s="143">
        <f t="array" ref="I187">IF(SUM(O187,AD187)&gt;0,SUM(O187,AD187),SUM(AL187,W187))</f>
        <v>191</v>
      </c>
      <c r="J187" s="9">
        <f t="shared" si="22"/>
        <v>6.0866794136392608</v>
      </c>
      <c r="K187" s="143">
        <f t="shared" si="32"/>
        <v>4</v>
      </c>
      <c r="L187" s="9">
        <f t="shared" si="23"/>
        <v>2.0942408376963351</v>
      </c>
      <c r="M187" s="8" t="str">
        <f t="array" ref="M187">IF(L187&gt;5,"Perlu Sensus",IF(AND(L187&gt;=0,I187&gt;0),"Tetap Deteksi","Belum Deteksi"))</f>
        <v>Tetap Deteksi</v>
      </c>
      <c r="N187" s="132">
        <v>46249</v>
      </c>
      <c r="O187" s="143">
        <f t="array" ref="O187">INDEX([28]Sheet1!$H$24:$H$231,MATCH(1,([28]Sheet1!$E$24:$E$231=$D187)*([28]Sheet1!$E$24:$E$231=$D187),0))</f>
        <v>191</v>
      </c>
      <c r="P187" s="9">
        <f t="array" ref="P187">IFERROR(O187/$G187*100,0)</f>
        <v>6.0866794136392608</v>
      </c>
      <c r="Q187" s="143">
        <f t="array" ref="Q187">INDEX([28]Sheet1!$J$24:$J$231,MATCH(1,([28]Sheet1!$E$24:$E$231=$D187)*([28]Sheet1!$E$24:$E$231=$D187),0))</f>
        <v>4</v>
      </c>
      <c r="R187" s="9">
        <f t="shared" si="24"/>
        <v>2.0942408376963351</v>
      </c>
      <c r="S187" s="8" t="str">
        <f t="array" ref="S187">IF(R187&gt;5,"Perlu Sensus",IF(AND(R187&gt;=0,O187&gt;0),"Tetap Deteksi","Belum Deteksi"))</f>
        <v>Tetap Deteksi</v>
      </c>
      <c r="T187" s="143"/>
      <c r="U187" s="9">
        <f t="shared" si="25"/>
        <v>0</v>
      </c>
      <c r="V187" s="11"/>
      <c r="W187" s="143"/>
      <c r="X187" s="143"/>
      <c r="Y187" s="9">
        <f t="shared" si="26"/>
        <v>0</v>
      </c>
      <c r="Z187" s="8" t="str">
        <f t="array" ref="Z187">IF(Y187&gt;5,"Perlu Sensus",IF(AND(Y187&gt;=0,W187&gt;0),"Tetap Deteksi","Belum Deteksi"))</f>
        <v>Belum Deteksi</v>
      </c>
      <c r="AA187" s="143"/>
      <c r="AB187" s="9">
        <f t="shared" si="27"/>
        <v>0</v>
      </c>
      <c r="AC187" s="11"/>
      <c r="AD187" s="143"/>
      <c r="AE187" s="9">
        <f t="array" ref="AE187">IFERROR(AD187/$G187*100,0)</f>
        <v>0</v>
      </c>
      <c r="AF187" s="143"/>
      <c r="AG187" s="9">
        <f t="shared" si="28"/>
        <v>0</v>
      </c>
      <c r="AH187" s="8" t="str">
        <f t="array" ref="AH187">IF(AG187&gt;5,"Perlu Sensus",IF(AND(AG187&gt;=0,AD187&gt;0),"Tetap Deteksi","Belum Deteksi"))</f>
        <v>Belum Deteksi</v>
      </c>
      <c r="AI187" s="143"/>
      <c r="AJ187" s="9">
        <f t="shared" si="29"/>
        <v>0</v>
      </c>
      <c r="AK187" s="11"/>
      <c r="AL187" s="143"/>
      <c r="AM187" s="143"/>
      <c r="AN187" s="9">
        <f t="shared" si="30"/>
        <v>0</v>
      </c>
      <c r="AO187" s="8" t="str">
        <f t="array" ref="AO187">IF(AN187&gt;5,"Perlu Sensus",IF(AND(AN187&gt;=0,AL187&gt;0),"Tetap Deteksi","Belum Deteksi"))</f>
        <v>Belum Deteksi</v>
      </c>
      <c r="AP187" s="143"/>
      <c r="AQ187" s="9">
        <f t="shared" si="31"/>
        <v>0</v>
      </c>
    </row>
    <row r="188" spans="1:43" outlineLevel="1" x14ac:dyDescent="0.15">
      <c r="A188" s="8" t="s">
        <v>1273</v>
      </c>
      <c r="B188" s="8" t="s">
        <v>14</v>
      </c>
      <c r="C188" s="8" t="s">
        <v>216</v>
      </c>
      <c r="D188" s="8" t="s">
        <v>1444</v>
      </c>
      <c r="E188" s="9">
        <v>28.27</v>
      </c>
      <c r="F188" s="8" t="s">
        <v>1740</v>
      </c>
      <c r="G188" s="10">
        <v>3081</v>
      </c>
      <c r="H188" s="11">
        <f t="array" ref="H188">IF(OR(N188&gt;0,AC188&gt;0),MAX(N188,AC188),MAX(AK188,V188))</f>
        <v>46249</v>
      </c>
      <c r="I188" s="143">
        <f t="array" ref="I188">IF(SUM(O188,AD188)&gt;0,SUM(O188,AD188),SUM(AL188,W188))</f>
        <v>167</v>
      </c>
      <c r="J188" s="9">
        <f t="shared" si="22"/>
        <v>5.4203180785459262</v>
      </c>
      <c r="K188" s="143">
        <f t="shared" si="32"/>
        <v>3</v>
      </c>
      <c r="L188" s="9">
        <f t="shared" si="23"/>
        <v>1.7964071856287425</v>
      </c>
      <c r="M188" s="8" t="str">
        <f t="array" ref="M188">IF(L188&gt;5,"Perlu Sensus",IF(AND(L188&gt;=0,I188&gt;0),"Tetap Deteksi","Belum Deteksi"))</f>
        <v>Tetap Deteksi</v>
      </c>
      <c r="N188" s="132">
        <v>46249</v>
      </c>
      <c r="O188" s="143">
        <f t="array" ref="O188">INDEX([28]Sheet1!$H$24:$H$231,MATCH(1,([28]Sheet1!$E$24:$E$231=$D188)*([28]Sheet1!$E$24:$E$231=$D188),0))</f>
        <v>167</v>
      </c>
      <c r="P188" s="9">
        <f t="array" ref="P188">IFERROR(O188/$G188*100,0)</f>
        <v>5.4203180785459262</v>
      </c>
      <c r="Q188" s="143">
        <f t="array" ref="Q188">INDEX([28]Sheet1!$J$24:$J$231,MATCH(1,([28]Sheet1!$E$24:$E$231=$D188)*([28]Sheet1!$E$24:$E$231=$D188),0))</f>
        <v>3</v>
      </c>
      <c r="R188" s="9">
        <f t="shared" si="24"/>
        <v>1.7964071856287425</v>
      </c>
      <c r="S188" s="8" t="str">
        <f t="array" ref="S188">IF(R188&gt;5,"Perlu Sensus",IF(AND(R188&gt;=0,O188&gt;0),"Tetap Deteksi","Belum Deteksi"))</f>
        <v>Tetap Deteksi</v>
      </c>
      <c r="T188" s="143"/>
      <c r="U188" s="9">
        <f t="shared" si="25"/>
        <v>0</v>
      </c>
      <c r="V188" s="11"/>
      <c r="W188" s="143"/>
      <c r="X188" s="143"/>
      <c r="Y188" s="9">
        <f t="shared" si="26"/>
        <v>0</v>
      </c>
      <c r="Z188" s="8" t="str">
        <f t="array" ref="Z188">IF(Y188&gt;5,"Perlu Sensus",IF(AND(Y188&gt;=0,W188&gt;0),"Tetap Deteksi","Belum Deteksi"))</f>
        <v>Belum Deteksi</v>
      </c>
      <c r="AA188" s="143"/>
      <c r="AB188" s="9">
        <f t="shared" si="27"/>
        <v>0</v>
      </c>
      <c r="AC188" s="11"/>
      <c r="AD188" s="143"/>
      <c r="AE188" s="9">
        <f t="array" ref="AE188">IFERROR(AD188/$G188*100,0)</f>
        <v>0</v>
      </c>
      <c r="AF188" s="143"/>
      <c r="AG188" s="9">
        <f t="shared" si="28"/>
        <v>0</v>
      </c>
      <c r="AH188" s="8" t="str">
        <f t="array" ref="AH188">IF(AG188&gt;5,"Perlu Sensus",IF(AND(AG188&gt;=0,AD188&gt;0),"Tetap Deteksi","Belum Deteksi"))</f>
        <v>Belum Deteksi</v>
      </c>
      <c r="AI188" s="143"/>
      <c r="AJ188" s="9">
        <f t="shared" si="29"/>
        <v>0</v>
      </c>
      <c r="AK188" s="11"/>
      <c r="AL188" s="143"/>
      <c r="AM188" s="143"/>
      <c r="AN188" s="9">
        <f t="shared" si="30"/>
        <v>0</v>
      </c>
      <c r="AO188" s="8" t="str">
        <f t="array" ref="AO188">IF(AN188&gt;5,"Perlu Sensus",IF(AND(AN188&gt;=0,AL188&gt;0),"Tetap Deteksi","Belum Deteksi"))</f>
        <v>Belum Deteksi</v>
      </c>
      <c r="AP188" s="143"/>
      <c r="AQ188" s="9">
        <f t="shared" si="31"/>
        <v>0</v>
      </c>
    </row>
    <row r="189" spans="1:43" outlineLevel="1" x14ac:dyDescent="0.15">
      <c r="A189" s="8" t="s">
        <v>1273</v>
      </c>
      <c r="B189" s="8" t="s">
        <v>14</v>
      </c>
      <c r="C189" s="8" t="s">
        <v>216</v>
      </c>
      <c r="D189" s="8" t="s">
        <v>1445</v>
      </c>
      <c r="E189" s="9">
        <v>28.45</v>
      </c>
      <c r="F189" s="8" t="s">
        <v>1740</v>
      </c>
      <c r="G189" s="10">
        <v>2920</v>
      </c>
      <c r="H189" s="11">
        <f t="array" ref="H189">IF(OR(N189&gt;0,AC189&gt;0),MAX(N189,AC189),MAX(AK189,V189))</f>
        <v>46249</v>
      </c>
      <c r="I189" s="143">
        <f t="array" ref="I189">IF(SUM(O189,AD189)&gt;0,SUM(O189,AD189),SUM(AL189,W189))</f>
        <v>145</v>
      </c>
      <c r="J189" s="9">
        <f t="shared" si="22"/>
        <v>4.9657534246575343</v>
      </c>
      <c r="K189" s="143">
        <f t="shared" si="32"/>
        <v>2</v>
      </c>
      <c r="L189" s="9">
        <f t="shared" si="23"/>
        <v>1.3793103448275863</v>
      </c>
      <c r="M189" s="8" t="str">
        <f t="array" ref="M189">IF(L189&gt;5,"Perlu Sensus",IF(AND(L189&gt;=0,I189&gt;0),"Tetap Deteksi","Belum Deteksi"))</f>
        <v>Tetap Deteksi</v>
      </c>
      <c r="N189" s="132">
        <v>46249</v>
      </c>
      <c r="O189" s="143">
        <f t="array" ref="O189">INDEX([28]Sheet1!$H$24:$H$231,MATCH(1,([28]Sheet1!$E$24:$E$231=$D189)*([28]Sheet1!$E$24:$E$231=$D189),0))</f>
        <v>145</v>
      </c>
      <c r="P189" s="9">
        <f t="array" ref="P189">IFERROR(O189/$G189*100,0)</f>
        <v>4.9657534246575343</v>
      </c>
      <c r="Q189" s="143">
        <f t="array" ref="Q189">INDEX([28]Sheet1!$J$24:$J$231,MATCH(1,([28]Sheet1!$E$24:$E$231=$D189)*([28]Sheet1!$E$24:$E$231=$D189),0))</f>
        <v>2</v>
      </c>
      <c r="R189" s="9">
        <f t="shared" si="24"/>
        <v>1.3793103448275863</v>
      </c>
      <c r="S189" s="8" t="str">
        <f t="array" ref="S189">IF(R189&gt;5,"Perlu Sensus",IF(AND(R189&gt;=0,O189&gt;0),"Tetap Deteksi","Belum Deteksi"))</f>
        <v>Tetap Deteksi</v>
      </c>
      <c r="T189" s="143"/>
      <c r="U189" s="9">
        <f t="shared" si="25"/>
        <v>0</v>
      </c>
      <c r="V189" s="11"/>
      <c r="W189" s="143"/>
      <c r="X189" s="143"/>
      <c r="Y189" s="9">
        <f t="shared" si="26"/>
        <v>0</v>
      </c>
      <c r="Z189" s="8" t="str">
        <f t="array" ref="Z189">IF(Y189&gt;5,"Perlu Sensus",IF(AND(Y189&gt;=0,W189&gt;0),"Tetap Deteksi","Belum Deteksi"))</f>
        <v>Belum Deteksi</v>
      </c>
      <c r="AA189" s="143"/>
      <c r="AB189" s="9">
        <f t="shared" si="27"/>
        <v>0</v>
      </c>
      <c r="AC189" s="11"/>
      <c r="AD189" s="143"/>
      <c r="AE189" s="9">
        <f t="array" ref="AE189">IFERROR(AD189/$G189*100,0)</f>
        <v>0</v>
      </c>
      <c r="AF189" s="143"/>
      <c r="AG189" s="9">
        <f t="shared" si="28"/>
        <v>0</v>
      </c>
      <c r="AH189" s="8" t="str">
        <f t="array" ref="AH189">IF(AG189&gt;5,"Perlu Sensus",IF(AND(AG189&gt;=0,AD189&gt;0),"Tetap Deteksi","Belum Deteksi"))</f>
        <v>Belum Deteksi</v>
      </c>
      <c r="AI189" s="143"/>
      <c r="AJ189" s="9">
        <f t="shared" si="29"/>
        <v>0</v>
      </c>
      <c r="AK189" s="11"/>
      <c r="AL189" s="143"/>
      <c r="AM189" s="143"/>
      <c r="AN189" s="9">
        <f t="shared" si="30"/>
        <v>0</v>
      </c>
      <c r="AO189" s="8" t="str">
        <f t="array" ref="AO189">IF(AN189&gt;5,"Perlu Sensus",IF(AND(AN189&gt;=0,AL189&gt;0),"Tetap Deteksi","Belum Deteksi"))</f>
        <v>Belum Deteksi</v>
      </c>
      <c r="AP189" s="143"/>
      <c r="AQ189" s="9">
        <f t="shared" si="31"/>
        <v>0</v>
      </c>
    </row>
    <row r="190" spans="1:43" outlineLevel="1" x14ac:dyDescent="0.15">
      <c r="A190" s="8" t="s">
        <v>1273</v>
      </c>
      <c r="B190" s="8" t="s">
        <v>14</v>
      </c>
      <c r="C190" s="8" t="s">
        <v>216</v>
      </c>
      <c r="D190" s="8" t="s">
        <v>1446</v>
      </c>
      <c r="E190" s="9">
        <v>31.65</v>
      </c>
      <c r="F190" s="8" t="s">
        <v>1740</v>
      </c>
      <c r="G190" s="10">
        <v>4187</v>
      </c>
      <c r="H190" s="11">
        <f t="array" ref="H190">IF(OR(N190&gt;0,AC190&gt;0),MAX(N190,AC190),MAX(AK190,V190))</f>
        <v>46249</v>
      </c>
      <c r="I190" s="143">
        <f t="array" ref="I190">IF(SUM(O190,AD190)&gt;0,SUM(O190,AD190),SUM(AL190,W190))</f>
        <v>147</v>
      </c>
      <c r="J190" s="9">
        <f t="shared" si="22"/>
        <v>3.5108669691903507</v>
      </c>
      <c r="K190" s="143">
        <f t="shared" si="32"/>
        <v>2</v>
      </c>
      <c r="L190" s="9">
        <f t="shared" si="23"/>
        <v>1.3605442176870748</v>
      </c>
      <c r="M190" s="8" t="str">
        <f t="array" ref="M190">IF(L190&gt;5,"Perlu Sensus",IF(AND(L190&gt;=0,I190&gt;0),"Tetap Deteksi","Belum Deteksi"))</f>
        <v>Tetap Deteksi</v>
      </c>
      <c r="N190" s="132">
        <v>46249</v>
      </c>
      <c r="O190" s="143">
        <f t="array" ref="O190">INDEX([28]Sheet1!$H$24:$H$231,MATCH(1,([28]Sheet1!$E$24:$E$231=$D190)*([28]Sheet1!$E$24:$E$231=$D190),0))</f>
        <v>147</v>
      </c>
      <c r="P190" s="9">
        <f t="array" ref="P190">IFERROR(O190/$G190*100,0)</f>
        <v>3.5108669691903507</v>
      </c>
      <c r="Q190" s="143">
        <f t="array" ref="Q190">INDEX([28]Sheet1!$J$24:$J$231,MATCH(1,([28]Sheet1!$E$24:$E$231=$D190)*([28]Sheet1!$E$24:$E$231=$D190),0))</f>
        <v>2</v>
      </c>
      <c r="R190" s="9">
        <f t="shared" si="24"/>
        <v>1.3605442176870748</v>
      </c>
      <c r="S190" s="8" t="str">
        <f t="array" ref="S190">IF(R190&gt;5,"Perlu Sensus",IF(AND(R190&gt;=0,O190&gt;0),"Tetap Deteksi","Belum Deteksi"))</f>
        <v>Tetap Deteksi</v>
      </c>
      <c r="T190" s="143"/>
      <c r="U190" s="9">
        <f t="shared" si="25"/>
        <v>0</v>
      </c>
      <c r="V190" s="11"/>
      <c r="W190" s="143"/>
      <c r="X190" s="143"/>
      <c r="Y190" s="9">
        <f t="shared" si="26"/>
        <v>0</v>
      </c>
      <c r="Z190" s="8" t="str">
        <f t="array" ref="Z190">IF(Y190&gt;5,"Perlu Sensus",IF(AND(Y190&gt;=0,W190&gt;0),"Tetap Deteksi","Belum Deteksi"))</f>
        <v>Belum Deteksi</v>
      </c>
      <c r="AA190" s="143"/>
      <c r="AB190" s="9">
        <f t="shared" si="27"/>
        <v>0</v>
      </c>
      <c r="AC190" s="11"/>
      <c r="AD190" s="143"/>
      <c r="AE190" s="9">
        <f t="array" ref="AE190">IFERROR(AD190/$G190*100,0)</f>
        <v>0</v>
      </c>
      <c r="AF190" s="143"/>
      <c r="AG190" s="9">
        <f t="shared" si="28"/>
        <v>0</v>
      </c>
      <c r="AH190" s="8" t="str">
        <f t="array" ref="AH190">IF(AG190&gt;5,"Perlu Sensus",IF(AND(AG190&gt;=0,AD190&gt;0),"Tetap Deteksi","Belum Deteksi"))</f>
        <v>Belum Deteksi</v>
      </c>
      <c r="AI190" s="143"/>
      <c r="AJ190" s="9">
        <f t="shared" si="29"/>
        <v>0</v>
      </c>
      <c r="AK190" s="11"/>
      <c r="AL190" s="143"/>
      <c r="AM190" s="143"/>
      <c r="AN190" s="9">
        <f t="shared" si="30"/>
        <v>0</v>
      </c>
      <c r="AO190" s="8" t="str">
        <f t="array" ref="AO190">IF(AN190&gt;5,"Perlu Sensus",IF(AND(AN190&gt;=0,AL190&gt;0),"Tetap Deteksi","Belum Deteksi"))</f>
        <v>Belum Deteksi</v>
      </c>
      <c r="AP190" s="143"/>
      <c r="AQ190" s="9">
        <f t="shared" si="31"/>
        <v>0</v>
      </c>
    </row>
    <row r="191" spans="1:43" outlineLevel="1" x14ac:dyDescent="0.15">
      <c r="A191" s="8" t="s">
        <v>1273</v>
      </c>
      <c r="B191" s="8" t="s">
        <v>14</v>
      </c>
      <c r="C191" s="8" t="s">
        <v>216</v>
      </c>
      <c r="D191" s="8" t="s">
        <v>1447</v>
      </c>
      <c r="E191" s="9">
        <v>23.67</v>
      </c>
      <c r="F191" s="8" t="s">
        <v>1740</v>
      </c>
      <c r="G191" s="10">
        <v>2486</v>
      </c>
      <c r="H191" s="11">
        <f t="array" ref="H191">IF(OR(N191&gt;0,AC191&gt;0),MAX(N191,AC191),MAX(AK191,V191))</f>
        <v>46249</v>
      </c>
      <c r="I191" s="143">
        <f t="array" ref="I191">IF(SUM(O191,AD191)&gt;0,SUM(O191,AD191),SUM(AL191,W191))</f>
        <v>122</v>
      </c>
      <c r="J191" s="9">
        <f t="shared" si="22"/>
        <v>4.9074818986323407</v>
      </c>
      <c r="K191" s="143">
        <f t="shared" si="32"/>
        <v>2</v>
      </c>
      <c r="L191" s="9">
        <f t="shared" si="23"/>
        <v>1.639344262295082</v>
      </c>
      <c r="M191" s="8" t="str">
        <f t="array" ref="M191">IF(L191&gt;5,"Perlu Sensus",IF(AND(L191&gt;=0,I191&gt;0),"Tetap Deteksi","Belum Deteksi"))</f>
        <v>Tetap Deteksi</v>
      </c>
      <c r="N191" s="132">
        <v>46249</v>
      </c>
      <c r="O191" s="143">
        <f t="array" ref="O191">INDEX([28]Sheet1!$H$24:$H$231,MATCH(1,([28]Sheet1!$E$24:$E$231=$D191)*([28]Sheet1!$E$24:$E$231=$D191),0))</f>
        <v>122</v>
      </c>
      <c r="P191" s="9">
        <f t="array" ref="P191">IFERROR(O191/$G191*100,0)</f>
        <v>4.9074818986323407</v>
      </c>
      <c r="Q191" s="143">
        <f t="array" ref="Q191">INDEX([28]Sheet1!$J$24:$J$231,MATCH(1,([28]Sheet1!$E$24:$E$231=$D191)*([28]Sheet1!$E$24:$E$231=$D191),0))</f>
        <v>2</v>
      </c>
      <c r="R191" s="9">
        <f t="shared" si="24"/>
        <v>1.639344262295082</v>
      </c>
      <c r="S191" s="8" t="str">
        <f t="array" ref="S191">IF(R191&gt;5,"Perlu Sensus",IF(AND(R191&gt;=0,O191&gt;0),"Tetap Deteksi","Belum Deteksi"))</f>
        <v>Tetap Deteksi</v>
      </c>
      <c r="T191" s="143"/>
      <c r="U191" s="9">
        <f t="shared" si="25"/>
        <v>0</v>
      </c>
      <c r="V191" s="11"/>
      <c r="W191" s="143"/>
      <c r="X191" s="143"/>
      <c r="Y191" s="9">
        <f t="shared" si="26"/>
        <v>0</v>
      </c>
      <c r="Z191" s="8" t="str">
        <f t="array" ref="Z191">IF(Y191&gt;5,"Perlu Sensus",IF(AND(Y191&gt;=0,W191&gt;0),"Tetap Deteksi","Belum Deteksi"))</f>
        <v>Belum Deteksi</v>
      </c>
      <c r="AA191" s="143"/>
      <c r="AB191" s="9">
        <f t="shared" si="27"/>
        <v>0</v>
      </c>
      <c r="AC191" s="11"/>
      <c r="AD191" s="143"/>
      <c r="AE191" s="9">
        <f t="array" ref="AE191">IFERROR(AD191/$G191*100,0)</f>
        <v>0</v>
      </c>
      <c r="AF191" s="143"/>
      <c r="AG191" s="9">
        <f t="shared" si="28"/>
        <v>0</v>
      </c>
      <c r="AH191" s="8" t="str">
        <f t="array" ref="AH191">IF(AG191&gt;5,"Perlu Sensus",IF(AND(AG191&gt;=0,AD191&gt;0),"Tetap Deteksi","Belum Deteksi"))</f>
        <v>Belum Deteksi</v>
      </c>
      <c r="AI191" s="143"/>
      <c r="AJ191" s="9">
        <f t="shared" si="29"/>
        <v>0</v>
      </c>
      <c r="AK191" s="11"/>
      <c r="AL191" s="143"/>
      <c r="AM191" s="143"/>
      <c r="AN191" s="9">
        <f t="shared" si="30"/>
        <v>0</v>
      </c>
      <c r="AO191" s="8" t="str">
        <f t="array" ref="AO191">IF(AN191&gt;5,"Perlu Sensus",IF(AND(AN191&gt;=0,AL191&gt;0),"Tetap Deteksi","Belum Deteksi"))</f>
        <v>Belum Deteksi</v>
      </c>
      <c r="AP191" s="143"/>
      <c r="AQ191" s="9">
        <f t="shared" si="31"/>
        <v>0</v>
      </c>
    </row>
    <row r="192" spans="1:43" outlineLevel="1" x14ac:dyDescent="0.15">
      <c r="A192" s="8" t="s">
        <v>1273</v>
      </c>
      <c r="B192" s="8" t="s">
        <v>14</v>
      </c>
      <c r="C192" s="8" t="s">
        <v>216</v>
      </c>
      <c r="D192" s="8" t="s">
        <v>1448</v>
      </c>
      <c r="E192" s="9">
        <v>29</v>
      </c>
      <c r="F192" s="8" t="s">
        <v>1740</v>
      </c>
      <c r="G192" s="10">
        <v>3249</v>
      </c>
      <c r="H192" s="11">
        <f t="array" ref="H192">IF(OR(N192&gt;0,AC192&gt;0),MAX(N192,AC192),MAX(AK192,V192))</f>
        <v>46249</v>
      </c>
      <c r="I192" s="143">
        <f t="array" ref="I192">IF(SUM(O192,AD192)&gt;0,SUM(O192,AD192),SUM(AL192,W192))</f>
        <v>122</v>
      </c>
      <c r="J192" s="9">
        <f t="shared" si="22"/>
        <v>3.7550015389350571</v>
      </c>
      <c r="K192" s="143">
        <f t="shared" si="32"/>
        <v>2</v>
      </c>
      <c r="L192" s="9">
        <f t="shared" si="23"/>
        <v>1.639344262295082</v>
      </c>
      <c r="M192" s="8" t="str">
        <f t="array" ref="M192">IF(L192&gt;5,"Perlu Sensus",IF(AND(L192&gt;=0,I192&gt;0),"Tetap Deteksi","Belum Deteksi"))</f>
        <v>Tetap Deteksi</v>
      </c>
      <c r="N192" s="132">
        <v>46249</v>
      </c>
      <c r="O192" s="143">
        <f t="array" ref="O192">INDEX([28]Sheet1!$H$24:$H$231,MATCH(1,([28]Sheet1!$E$24:$E$231=$D192)*([28]Sheet1!$E$24:$E$231=$D192),0))</f>
        <v>122</v>
      </c>
      <c r="P192" s="9">
        <f t="array" ref="P192">IFERROR(O192/$G192*100,0)</f>
        <v>3.7550015389350571</v>
      </c>
      <c r="Q192" s="143">
        <f t="array" ref="Q192">INDEX([28]Sheet1!$J$24:$J$231,MATCH(1,([28]Sheet1!$E$24:$E$231=$D192)*([28]Sheet1!$E$24:$E$231=$D192),0))</f>
        <v>2</v>
      </c>
      <c r="R192" s="9">
        <f t="shared" si="24"/>
        <v>1.639344262295082</v>
      </c>
      <c r="S192" s="8" t="str">
        <f t="array" ref="S192">IF(R192&gt;5,"Perlu Sensus",IF(AND(R192&gt;=0,O192&gt;0),"Tetap Deteksi","Belum Deteksi"))</f>
        <v>Tetap Deteksi</v>
      </c>
      <c r="T192" s="143"/>
      <c r="U192" s="9">
        <f t="shared" si="25"/>
        <v>0</v>
      </c>
      <c r="V192" s="11"/>
      <c r="W192" s="143"/>
      <c r="X192" s="143"/>
      <c r="Y192" s="9">
        <f t="shared" si="26"/>
        <v>0</v>
      </c>
      <c r="Z192" s="8" t="str">
        <f t="array" ref="Z192">IF(Y192&gt;5,"Perlu Sensus",IF(AND(Y192&gt;=0,W192&gt;0),"Tetap Deteksi","Belum Deteksi"))</f>
        <v>Belum Deteksi</v>
      </c>
      <c r="AA192" s="143"/>
      <c r="AB192" s="9">
        <f t="shared" si="27"/>
        <v>0</v>
      </c>
      <c r="AC192" s="11"/>
      <c r="AD192" s="143"/>
      <c r="AE192" s="9">
        <f t="array" ref="AE192">IFERROR(AD192/$G192*100,0)</f>
        <v>0</v>
      </c>
      <c r="AF192" s="143"/>
      <c r="AG192" s="9">
        <f t="shared" si="28"/>
        <v>0</v>
      </c>
      <c r="AH192" s="8" t="str">
        <f t="array" ref="AH192">IF(AG192&gt;5,"Perlu Sensus",IF(AND(AG192&gt;=0,AD192&gt;0),"Tetap Deteksi","Belum Deteksi"))</f>
        <v>Belum Deteksi</v>
      </c>
      <c r="AI192" s="143"/>
      <c r="AJ192" s="9">
        <f t="shared" si="29"/>
        <v>0</v>
      </c>
      <c r="AK192" s="11"/>
      <c r="AL192" s="143"/>
      <c r="AM192" s="143"/>
      <c r="AN192" s="9">
        <f t="shared" si="30"/>
        <v>0</v>
      </c>
      <c r="AO192" s="8" t="str">
        <f t="array" ref="AO192">IF(AN192&gt;5,"Perlu Sensus",IF(AND(AN192&gt;=0,AL192&gt;0),"Tetap Deteksi","Belum Deteksi"))</f>
        <v>Belum Deteksi</v>
      </c>
      <c r="AP192" s="143"/>
      <c r="AQ192" s="9">
        <f t="shared" si="31"/>
        <v>0</v>
      </c>
    </row>
    <row r="193" spans="1:43" outlineLevel="1" x14ac:dyDescent="0.15">
      <c r="A193" s="8" t="s">
        <v>1273</v>
      </c>
      <c r="B193" s="8" t="s">
        <v>14</v>
      </c>
      <c r="C193" s="8" t="s">
        <v>216</v>
      </c>
      <c r="D193" s="8" t="s">
        <v>1449</v>
      </c>
      <c r="E193" s="9">
        <v>31.91</v>
      </c>
      <c r="F193" s="8" t="s">
        <v>1740</v>
      </c>
      <c r="G193" s="10">
        <v>3738</v>
      </c>
      <c r="H193" s="11">
        <f t="array" ref="H193">IF(OR(N193&gt;0,AC193&gt;0),MAX(N193,AC193),MAX(AK193,V193))</f>
        <v>46249</v>
      </c>
      <c r="I193" s="143">
        <f t="array" ref="I193">IF(SUM(O193,AD193)&gt;0,SUM(O193,AD193),SUM(AL193,W193))</f>
        <v>146</v>
      </c>
      <c r="J193" s="9">
        <f t="shared" si="22"/>
        <v>3.9058319957196366</v>
      </c>
      <c r="K193" s="143">
        <f t="shared" si="32"/>
        <v>2</v>
      </c>
      <c r="L193" s="9">
        <f t="shared" si="23"/>
        <v>1.3698630136986301</v>
      </c>
      <c r="M193" s="8" t="str">
        <f t="array" ref="M193">IF(L193&gt;5,"Perlu Sensus",IF(AND(L193&gt;=0,I193&gt;0),"Tetap Deteksi","Belum Deteksi"))</f>
        <v>Tetap Deteksi</v>
      </c>
      <c r="N193" s="132">
        <v>46249</v>
      </c>
      <c r="O193" s="143">
        <f t="array" ref="O193">INDEX([28]Sheet1!$H$24:$H$231,MATCH(1,([28]Sheet1!$E$24:$E$231=$D193)*([28]Sheet1!$E$24:$E$231=$D193),0))</f>
        <v>146</v>
      </c>
      <c r="P193" s="9">
        <f t="array" ref="P193">IFERROR(O193/$G193*100,0)</f>
        <v>3.9058319957196366</v>
      </c>
      <c r="Q193" s="143">
        <f t="array" ref="Q193">INDEX([28]Sheet1!$J$24:$J$231,MATCH(1,([28]Sheet1!$E$24:$E$231=$D193)*([28]Sheet1!$E$24:$E$231=$D193),0))</f>
        <v>2</v>
      </c>
      <c r="R193" s="9">
        <f t="shared" si="24"/>
        <v>1.3698630136986301</v>
      </c>
      <c r="S193" s="8" t="str">
        <f t="array" ref="S193">IF(R193&gt;5,"Perlu Sensus",IF(AND(R193&gt;=0,O193&gt;0),"Tetap Deteksi","Belum Deteksi"))</f>
        <v>Tetap Deteksi</v>
      </c>
      <c r="T193" s="143"/>
      <c r="U193" s="9">
        <f t="shared" si="25"/>
        <v>0</v>
      </c>
      <c r="V193" s="11"/>
      <c r="W193" s="143"/>
      <c r="X193" s="143"/>
      <c r="Y193" s="9">
        <f t="shared" si="26"/>
        <v>0</v>
      </c>
      <c r="Z193" s="8" t="str">
        <f t="array" ref="Z193">IF(Y193&gt;5,"Perlu Sensus",IF(AND(Y193&gt;=0,W193&gt;0),"Tetap Deteksi","Belum Deteksi"))</f>
        <v>Belum Deteksi</v>
      </c>
      <c r="AA193" s="143"/>
      <c r="AB193" s="9">
        <f t="shared" si="27"/>
        <v>0</v>
      </c>
      <c r="AC193" s="11"/>
      <c r="AD193" s="143"/>
      <c r="AE193" s="9">
        <f t="array" ref="AE193">IFERROR(AD193/$G193*100,0)</f>
        <v>0</v>
      </c>
      <c r="AF193" s="143"/>
      <c r="AG193" s="9">
        <f t="shared" si="28"/>
        <v>0</v>
      </c>
      <c r="AH193" s="8" t="str">
        <f t="array" ref="AH193">IF(AG193&gt;5,"Perlu Sensus",IF(AND(AG193&gt;=0,AD193&gt;0),"Tetap Deteksi","Belum Deteksi"))</f>
        <v>Belum Deteksi</v>
      </c>
      <c r="AI193" s="143"/>
      <c r="AJ193" s="9">
        <f t="shared" si="29"/>
        <v>0</v>
      </c>
      <c r="AK193" s="11"/>
      <c r="AL193" s="143"/>
      <c r="AM193" s="143"/>
      <c r="AN193" s="9">
        <f t="shared" si="30"/>
        <v>0</v>
      </c>
      <c r="AO193" s="8" t="str">
        <f t="array" ref="AO193">IF(AN193&gt;5,"Perlu Sensus",IF(AND(AN193&gt;=0,AL193&gt;0),"Tetap Deteksi","Belum Deteksi"))</f>
        <v>Belum Deteksi</v>
      </c>
      <c r="AP193" s="143"/>
      <c r="AQ193" s="9">
        <f t="shared" si="31"/>
        <v>0</v>
      </c>
    </row>
    <row r="194" spans="1:43" outlineLevel="1" x14ac:dyDescent="0.15">
      <c r="A194" s="8" t="s">
        <v>1273</v>
      </c>
      <c r="B194" s="8" t="s">
        <v>14</v>
      </c>
      <c r="C194" s="8" t="s">
        <v>216</v>
      </c>
      <c r="D194" s="8" t="s">
        <v>1450</v>
      </c>
      <c r="E194" s="9">
        <v>27.73</v>
      </c>
      <c r="F194" s="8" t="s">
        <v>1740</v>
      </c>
      <c r="G194" s="10">
        <v>3224</v>
      </c>
      <c r="H194" s="11">
        <f t="array" ref="H194">IF(OR(N194&gt;0,AC194&gt;0),MAX(N194,AC194),MAX(AK194,V194))</f>
        <v>46249</v>
      </c>
      <c r="I194" s="143">
        <f t="array" ref="I194">IF(SUM(O194,AD194)&gt;0,SUM(O194,AD194),SUM(AL194,W194))</f>
        <v>147</v>
      </c>
      <c r="J194" s="9">
        <f t="shared" si="22"/>
        <v>4.5595533498759302</v>
      </c>
      <c r="K194" s="143">
        <f t="shared" si="32"/>
        <v>2</v>
      </c>
      <c r="L194" s="9">
        <f t="shared" si="23"/>
        <v>1.3605442176870748</v>
      </c>
      <c r="M194" s="8" t="str">
        <f t="array" ref="M194">IF(L194&gt;5,"Perlu Sensus",IF(AND(L194&gt;=0,I194&gt;0),"Tetap Deteksi","Belum Deteksi"))</f>
        <v>Tetap Deteksi</v>
      </c>
      <c r="N194" s="132">
        <v>46249</v>
      </c>
      <c r="O194" s="143">
        <f t="array" ref="O194">INDEX([28]Sheet1!$H$24:$H$231,MATCH(1,([28]Sheet1!$E$24:$E$231=$D194)*([28]Sheet1!$E$24:$E$231=$D194),0))</f>
        <v>147</v>
      </c>
      <c r="P194" s="9">
        <f t="array" ref="P194">IFERROR(O194/$G194*100,0)</f>
        <v>4.5595533498759302</v>
      </c>
      <c r="Q194" s="143">
        <f t="array" ref="Q194">INDEX([28]Sheet1!$J$24:$J$231,MATCH(1,([28]Sheet1!$E$24:$E$231=$D194)*([28]Sheet1!$E$24:$E$231=$D194),0))</f>
        <v>2</v>
      </c>
      <c r="R194" s="9">
        <f t="shared" si="24"/>
        <v>1.3605442176870748</v>
      </c>
      <c r="S194" s="8" t="str">
        <f t="array" ref="S194">IF(R194&gt;5,"Perlu Sensus",IF(AND(R194&gt;=0,O194&gt;0),"Tetap Deteksi","Belum Deteksi"))</f>
        <v>Tetap Deteksi</v>
      </c>
      <c r="T194" s="143"/>
      <c r="U194" s="9">
        <f t="shared" si="25"/>
        <v>0</v>
      </c>
      <c r="V194" s="11"/>
      <c r="W194" s="143"/>
      <c r="X194" s="143"/>
      <c r="Y194" s="9">
        <f t="shared" si="26"/>
        <v>0</v>
      </c>
      <c r="Z194" s="8" t="str">
        <f t="array" ref="Z194">IF(Y194&gt;5,"Perlu Sensus",IF(AND(Y194&gt;=0,W194&gt;0),"Tetap Deteksi","Belum Deteksi"))</f>
        <v>Belum Deteksi</v>
      </c>
      <c r="AA194" s="143"/>
      <c r="AB194" s="9">
        <f t="shared" si="27"/>
        <v>0</v>
      </c>
      <c r="AC194" s="11"/>
      <c r="AD194" s="143"/>
      <c r="AE194" s="9">
        <f t="array" ref="AE194">IFERROR(AD194/$G194*100,0)</f>
        <v>0</v>
      </c>
      <c r="AF194" s="143"/>
      <c r="AG194" s="9">
        <f t="shared" si="28"/>
        <v>0</v>
      </c>
      <c r="AH194" s="8" t="str">
        <f t="array" ref="AH194">IF(AG194&gt;5,"Perlu Sensus",IF(AND(AG194&gt;=0,AD194&gt;0),"Tetap Deteksi","Belum Deteksi"))</f>
        <v>Belum Deteksi</v>
      </c>
      <c r="AI194" s="143"/>
      <c r="AJ194" s="9">
        <f t="shared" si="29"/>
        <v>0</v>
      </c>
      <c r="AK194" s="11"/>
      <c r="AL194" s="143"/>
      <c r="AM194" s="143"/>
      <c r="AN194" s="9">
        <f t="shared" si="30"/>
        <v>0</v>
      </c>
      <c r="AO194" s="8" t="str">
        <f t="array" ref="AO194">IF(AN194&gt;5,"Perlu Sensus",IF(AND(AN194&gt;=0,AL194&gt;0),"Tetap Deteksi","Belum Deteksi"))</f>
        <v>Belum Deteksi</v>
      </c>
      <c r="AP194" s="143"/>
      <c r="AQ194" s="9">
        <f t="shared" si="31"/>
        <v>0</v>
      </c>
    </row>
    <row r="195" spans="1:43" outlineLevel="1" x14ac:dyDescent="0.15">
      <c r="A195" s="8" t="s">
        <v>1273</v>
      </c>
      <c r="B195" s="8" t="s">
        <v>14</v>
      </c>
      <c r="C195" s="8" t="s">
        <v>216</v>
      </c>
      <c r="D195" s="8" t="s">
        <v>1451</v>
      </c>
      <c r="E195" s="9">
        <v>29.14</v>
      </c>
      <c r="F195" s="8" t="s">
        <v>1740</v>
      </c>
      <c r="G195" s="10">
        <v>3074</v>
      </c>
      <c r="H195" s="11">
        <f t="array" ref="H195">IF(OR(N195&gt;0,AC195&gt;0),MAX(N195,AC195),MAX(AK195,V195))</f>
        <v>46249</v>
      </c>
      <c r="I195" s="143">
        <f t="array" ref="I195">IF(SUM(O195,AD195)&gt;0,SUM(O195,AD195),SUM(AL195,W195))</f>
        <v>53</v>
      </c>
      <c r="J195" s="9">
        <f t="shared" si="22"/>
        <v>1.7241379310344827</v>
      </c>
      <c r="K195" s="143">
        <f t="shared" si="32"/>
        <v>1</v>
      </c>
      <c r="L195" s="9">
        <f t="shared" si="23"/>
        <v>1.8867924528301887</v>
      </c>
      <c r="M195" s="8" t="str">
        <f t="array" ref="M195">IF(L195&gt;5,"Perlu Sensus",IF(AND(L195&gt;=0,I195&gt;0),"Tetap Deteksi","Belum Deteksi"))</f>
        <v>Tetap Deteksi</v>
      </c>
      <c r="N195" s="132">
        <v>46249</v>
      </c>
      <c r="O195" s="143">
        <f t="array" ref="O195">INDEX([28]Sheet1!$H$24:$H$231,MATCH(1,([28]Sheet1!$E$24:$E$231=$D195)*([28]Sheet1!$E$24:$E$231=$D195),0))</f>
        <v>53</v>
      </c>
      <c r="P195" s="9">
        <f t="array" ref="P195">IFERROR(O195/$G195*100,0)</f>
        <v>1.7241379310344827</v>
      </c>
      <c r="Q195" s="143">
        <f t="array" ref="Q195">INDEX([28]Sheet1!$J$24:$J$231,MATCH(1,([28]Sheet1!$E$24:$E$231=$D195)*([28]Sheet1!$E$24:$E$231=$D195),0))</f>
        <v>1</v>
      </c>
      <c r="R195" s="9">
        <f t="shared" si="24"/>
        <v>1.8867924528301887</v>
      </c>
      <c r="S195" s="8" t="str">
        <f t="array" ref="S195">IF(R195&gt;5,"Perlu Sensus",IF(AND(R195&gt;=0,O195&gt;0),"Tetap Deteksi","Belum Deteksi"))</f>
        <v>Tetap Deteksi</v>
      </c>
      <c r="T195" s="143"/>
      <c r="U195" s="9">
        <f t="shared" si="25"/>
        <v>0</v>
      </c>
      <c r="V195" s="11"/>
      <c r="W195" s="143"/>
      <c r="X195" s="143"/>
      <c r="Y195" s="9">
        <f t="shared" si="26"/>
        <v>0</v>
      </c>
      <c r="Z195" s="8" t="str">
        <f t="array" ref="Z195">IF(Y195&gt;5,"Perlu Sensus",IF(AND(Y195&gt;=0,W195&gt;0),"Tetap Deteksi","Belum Deteksi"))</f>
        <v>Belum Deteksi</v>
      </c>
      <c r="AA195" s="143"/>
      <c r="AB195" s="9">
        <f t="shared" si="27"/>
        <v>0</v>
      </c>
      <c r="AC195" s="11"/>
      <c r="AD195" s="143"/>
      <c r="AE195" s="9">
        <f t="array" ref="AE195">IFERROR(AD195/$G195*100,0)</f>
        <v>0</v>
      </c>
      <c r="AF195" s="143"/>
      <c r="AG195" s="9">
        <f t="shared" si="28"/>
        <v>0</v>
      </c>
      <c r="AH195" s="8" t="str">
        <f t="array" ref="AH195">IF(AG195&gt;5,"Perlu Sensus",IF(AND(AG195&gt;=0,AD195&gt;0),"Tetap Deteksi","Belum Deteksi"))</f>
        <v>Belum Deteksi</v>
      </c>
      <c r="AI195" s="143"/>
      <c r="AJ195" s="9">
        <f t="shared" si="29"/>
        <v>0</v>
      </c>
      <c r="AK195" s="11"/>
      <c r="AL195" s="143"/>
      <c r="AM195" s="143"/>
      <c r="AN195" s="9">
        <f t="shared" si="30"/>
        <v>0</v>
      </c>
      <c r="AO195" s="8" t="str">
        <f t="array" ref="AO195">IF(AN195&gt;5,"Perlu Sensus",IF(AND(AN195&gt;=0,AL195&gt;0),"Tetap Deteksi","Belum Deteksi"))</f>
        <v>Belum Deteksi</v>
      </c>
      <c r="AP195" s="143"/>
      <c r="AQ195" s="9">
        <f t="shared" si="31"/>
        <v>0</v>
      </c>
    </row>
    <row r="196" spans="1:43" outlineLevel="1" x14ac:dyDescent="0.15">
      <c r="A196" s="8" t="s">
        <v>1273</v>
      </c>
      <c r="B196" s="8" t="s">
        <v>14</v>
      </c>
      <c r="C196" s="8" t="s">
        <v>216</v>
      </c>
      <c r="D196" s="8" t="s">
        <v>1452</v>
      </c>
      <c r="E196" s="9">
        <v>26.37</v>
      </c>
      <c r="F196" s="8" t="s">
        <v>1740</v>
      </c>
      <c r="G196" s="10">
        <v>3167</v>
      </c>
      <c r="H196" s="11">
        <f t="array" ref="H196">IF(OR(N196&gt;0,AC196&gt;0),MAX(N196,AC196),MAX(AK196,V196))</f>
        <v>46249</v>
      </c>
      <c r="I196" s="143">
        <f t="array" ref="I196">IF(SUM(O196,AD196)&gt;0,SUM(O196,AD196),SUM(AL196,W196))</f>
        <v>122</v>
      </c>
      <c r="J196" s="9">
        <f t="shared" si="22"/>
        <v>3.8522260814651093</v>
      </c>
      <c r="K196" s="143">
        <f t="shared" si="32"/>
        <v>2</v>
      </c>
      <c r="L196" s="9">
        <f t="shared" si="23"/>
        <v>1.639344262295082</v>
      </c>
      <c r="M196" s="8" t="str">
        <f t="array" ref="M196">IF(L196&gt;5,"Perlu Sensus",IF(AND(L196&gt;=0,I196&gt;0),"Tetap Deteksi","Belum Deteksi"))</f>
        <v>Tetap Deteksi</v>
      </c>
      <c r="N196" s="132">
        <v>46249</v>
      </c>
      <c r="O196" s="143">
        <f t="array" ref="O196">INDEX([28]Sheet1!$H$24:$H$231,MATCH(1,([28]Sheet1!$E$24:$E$231=$D196)*([28]Sheet1!$E$24:$E$231=$D196),0))</f>
        <v>122</v>
      </c>
      <c r="P196" s="9">
        <f t="array" ref="P196">IFERROR(O196/$G196*100,0)</f>
        <v>3.8522260814651093</v>
      </c>
      <c r="Q196" s="143">
        <f t="array" ref="Q196">INDEX([28]Sheet1!$J$24:$J$231,MATCH(1,([28]Sheet1!$E$24:$E$231=$D196)*([28]Sheet1!$E$24:$E$231=$D196),0))</f>
        <v>2</v>
      </c>
      <c r="R196" s="9">
        <f t="shared" si="24"/>
        <v>1.639344262295082</v>
      </c>
      <c r="S196" s="8" t="str">
        <f t="array" ref="S196">IF(R196&gt;5,"Perlu Sensus",IF(AND(R196&gt;=0,O196&gt;0),"Tetap Deteksi","Belum Deteksi"))</f>
        <v>Tetap Deteksi</v>
      </c>
      <c r="T196" s="143"/>
      <c r="U196" s="9">
        <f t="shared" si="25"/>
        <v>0</v>
      </c>
      <c r="V196" s="11"/>
      <c r="W196" s="143"/>
      <c r="X196" s="143"/>
      <c r="Y196" s="9">
        <f t="shared" si="26"/>
        <v>0</v>
      </c>
      <c r="Z196" s="8" t="str">
        <f t="array" ref="Z196">IF(Y196&gt;5,"Perlu Sensus",IF(AND(Y196&gt;=0,W196&gt;0),"Tetap Deteksi","Belum Deteksi"))</f>
        <v>Belum Deteksi</v>
      </c>
      <c r="AA196" s="143"/>
      <c r="AB196" s="9">
        <f t="shared" si="27"/>
        <v>0</v>
      </c>
      <c r="AC196" s="11"/>
      <c r="AD196" s="143"/>
      <c r="AE196" s="9">
        <f t="array" ref="AE196">IFERROR(AD196/$G196*100,0)</f>
        <v>0</v>
      </c>
      <c r="AF196" s="143"/>
      <c r="AG196" s="9">
        <f t="shared" si="28"/>
        <v>0</v>
      </c>
      <c r="AH196" s="8" t="str">
        <f t="array" ref="AH196">IF(AG196&gt;5,"Perlu Sensus",IF(AND(AG196&gt;=0,AD196&gt;0),"Tetap Deteksi","Belum Deteksi"))</f>
        <v>Belum Deteksi</v>
      </c>
      <c r="AI196" s="143"/>
      <c r="AJ196" s="9">
        <f t="shared" si="29"/>
        <v>0</v>
      </c>
      <c r="AK196" s="11"/>
      <c r="AL196" s="143"/>
      <c r="AM196" s="143"/>
      <c r="AN196" s="9">
        <f t="shared" si="30"/>
        <v>0</v>
      </c>
      <c r="AO196" s="8" t="str">
        <f t="array" ref="AO196">IF(AN196&gt;5,"Perlu Sensus",IF(AND(AN196&gt;=0,AL196&gt;0),"Tetap Deteksi","Belum Deteksi"))</f>
        <v>Belum Deteksi</v>
      </c>
      <c r="AP196" s="143"/>
      <c r="AQ196" s="9">
        <f t="shared" si="31"/>
        <v>0</v>
      </c>
    </row>
    <row r="197" spans="1:43" outlineLevel="1" x14ac:dyDescent="0.15">
      <c r="A197" s="8" t="s">
        <v>1273</v>
      </c>
      <c r="B197" s="8" t="s">
        <v>14</v>
      </c>
      <c r="C197" s="8" t="s">
        <v>216</v>
      </c>
      <c r="D197" s="8" t="s">
        <v>1453</v>
      </c>
      <c r="E197" s="9">
        <v>26.89</v>
      </c>
      <c r="F197" s="8" t="s">
        <v>1740</v>
      </c>
      <c r="G197" s="10">
        <v>2811</v>
      </c>
      <c r="H197" s="11">
        <f t="array" ref="H197">IF(OR(N197&gt;0,AC197&gt;0),MAX(N197,AC197),MAX(AK197,V197))</f>
        <v>46249</v>
      </c>
      <c r="I197" s="143">
        <f t="array" ref="I197">IF(SUM(O197,AD197)&gt;0,SUM(O197,AD197),SUM(AL197,W197))</f>
        <v>123</v>
      </c>
      <c r="J197" s="9">
        <f t="shared" si="22"/>
        <v>4.3756670224119532</v>
      </c>
      <c r="K197" s="143">
        <f t="shared" si="32"/>
        <v>2</v>
      </c>
      <c r="L197" s="9">
        <f t="shared" si="23"/>
        <v>1.6260162601626018</v>
      </c>
      <c r="M197" s="8" t="str">
        <f t="array" ref="M197">IF(L197&gt;5,"Perlu Sensus",IF(AND(L197&gt;=0,I197&gt;0),"Tetap Deteksi","Belum Deteksi"))</f>
        <v>Tetap Deteksi</v>
      </c>
      <c r="N197" s="132">
        <v>46249</v>
      </c>
      <c r="O197" s="143">
        <f t="array" ref="O197">INDEX([28]Sheet1!$H$24:$H$231,MATCH(1,([28]Sheet1!$E$24:$E$231=$D197)*([28]Sheet1!$E$24:$E$231=$D197),0))</f>
        <v>123</v>
      </c>
      <c r="P197" s="9">
        <f t="array" ref="P197">IFERROR(O197/$G197*100,0)</f>
        <v>4.3756670224119532</v>
      </c>
      <c r="Q197" s="143">
        <f t="array" ref="Q197">INDEX([28]Sheet1!$J$24:$J$231,MATCH(1,([28]Sheet1!$E$24:$E$231=$D197)*([28]Sheet1!$E$24:$E$231=$D197),0))</f>
        <v>2</v>
      </c>
      <c r="R197" s="9">
        <f t="shared" si="24"/>
        <v>1.6260162601626018</v>
      </c>
      <c r="S197" s="8" t="str">
        <f t="array" ref="S197">IF(R197&gt;5,"Perlu Sensus",IF(AND(R197&gt;=0,O197&gt;0),"Tetap Deteksi","Belum Deteksi"))</f>
        <v>Tetap Deteksi</v>
      </c>
      <c r="T197" s="143"/>
      <c r="U197" s="9">
        <f t="shared" si="25"/>
        <v>0</v>
      </c>
      <c r="V197" s="11"/>
      <c r="W197" s="143"/>
      <c r="X197" s="143"/>
      <c r="Y197" s="9">
        <f t="shared" si="26"/>
        <v>0</v>
      </c>
      <c r="Z197" s="8" t="str">
        <f t="array" ref="Z197">IF(Y197&gt;5,"Perlu Sensus",IF(AND(Y197&gt;=0,W197&gt;0),"Tetap Deteksi","Belum Deteksi"))</f>
        <v>Belum Deteksi</v>
      </c>
      <c r="AA197" s="143"/>
      <c r="AB197" s="9">
        <f t="shared" si="27"/>
        <v>0</v>
      </c>
      <c r="AC197" s="11"/>
      <c r="AD197" s="143"/>
      <c r="AE197" s="9">
        <f t="array" ref="AE197">IFERROR(AD197/$G197*100,0)</f>
        <v>0</v>
      </c>
      <c r="AF197" s="143"/>
      <c r="AG197" s="9">
        <f t="shared" si="28"/>
        <v>0</v>
      </c>
      <c r="AH197" s="8" t="str">
        <f t="array" ref="AH197">IF(AG197&gt;5,"Perlu Sensus",IF(AND(AG197&gt;=0,AD197&gt;0),"Tetap Deteksi","Belum Deteksi"))</f>
        <v>Belum Deteksi</v>
      </c>
      <c r="AI197" s="143"/>
      <c r="AJ197" s="9">
        <f t="shared" si="29"/>
        <v>0</v>
      </c>
      <c r="AK197" s="11"/>
      <c r="AL197" s="143"/>
      <c r="AM197" s="143"/>
      <c r="AN197" s="9">
        <f t="shared" si="30"/>
        <v>0</v>
      </c>
      <c r="AO197" s="8" t="str">
        <f t="array" ref="AO197">IF(AN197&gt;5,"Perlu Sensus",IF(AND(AN197&gt;=0,AL197&gt;0),"Tetap Deteksi","Belum Deteksi"))</f>
        <v>Belum Deteksi</v>
      </c>
      <c r="AP197" s="143"/>
      <c r="AQ197" s="9">
        <f t="shared" si="31"/>
        <v>0</v>
      </c>
    </row>
    <row r="198" spans="1:43" outlineLevel="1" x14ac:dyDescent="0.15">
      <c r="A198" s="8" t="s">
        <v>1273</v>
      </c>
      <c r="B198" s="8" t="s">
        <v>14</v>
      </c>
      <c r="C198" s="8" t="s">
        <v>216</v>
      </c>
      <c r="D198" s="8" t="s">
        <v>1454</v>
      </c>
      <c r="E198" s="9">
        <v>34.14</v>
      </c>
      <c r="F198" s="8" t="s">
        <v>1740</v>
      </c>
      <c r="G198" s="10">
        <v>3762</v>
      </c>
      <c r="H198" s="11">
        <f t="array" ref="H198">IF(OR(N198&gt;0,AC198&gt;0),MAX(N198,AC198),MAX(AK198,V198))</f>
        <v>46249</v>
      </c>
      <c r="I198" s="143">
        <f t="array" ref="I198">IF(SUM(O198,AD198)&gt;0,SUM(O198,AD198),SUM(AL198,W198))</f>
        <v>131</v>
      </c>
      <c r="J198" s="9">
        <f t="shared" ref="J198:J261" si="33">IF(P198&gt;0,P198," ")</f>
        <v>3.4821903242955874</v>
      </c>
      <c r="K198" s="143">
        <f t="shared" si="32"/>
        <v>2</v>
      </c>
      <c r="L198" s="9">
        <f t="shared" ref="L198:L261" si="34">IFERROR(K198/I198*100,0)</f>
        <v>1.5267175572519083</v>
      </c>
      <c r="M198" s="8" t="str">
        <f t="array" ref="M198">IF(L198&gt;5,"Perlu Sensus",IF(AND(L198&gt;=0,I198&gt;0),"Tetap Deteksi","Belum Deteksi"))</f>
        <v>Tetap Deteksi</v>
      </c>
      <c r="N198" s="132">
        <v>46249</v>
      </c>
      <c r="O198" s="143">
        <f t="array" ref="O198">INDEX([28]Sheet1!$H$24:$H$231,MATCH(1,([28]Sheet1!$E$24:$E$231=$D198)*([28]Sheet1!$E$24:$E$231=$D198),0))</f>
        <v>131</v>
      </c>
      <c r="P198" s="9">
        <f t="array" ref="P198">IFERROR(O198/$G198*100,0)</f>
        <v>3.4821903242955874</v>
      </c>
      <c r="Q198" s="143">
        <f t="array" ref="Q198">INDEX([28]Sheet1!$J$24:$J$231,MATCH(1,([28]Sheet1!$E$24:$E$231=$D198)*([28]Sheet1!$E$24:$E$231=$D198),0))</f>
        <v>2</v>
      </c>
      <c r="R198" s="9">
        <f t="shared" ref="R198:R261" si="35">IFERROR(Q198/O198*100,0)</f>
        <v>1.5267175572519083</v>
      </c>
      <c r="S198" s="8" t="str">
        <f t="array" ref="S198">IF(R198&gt;5,"Perlu Sensus",IF(AND(R198&gt;=0,O198&gt;0),"Tetap Deteksi","Belum Deteksi"))</f>
        <v>Tetap Deteksi</v>
      </c>
      <c r="T198" s="143"/>
      <c r="U198" s="9">
        <f t="shared" ref="U198:U261" si="36">IFERROR(T198/O198*100,0)</f>
        <v>0</v>
      </c>
      <c r="V198" s="11"/>
      <c r="W198" s="143"/>
      <c r="X198" s="143"/>
      <c r="Y198" s="9">
        <f t="shared" ref="Y198:Y261" si="37">IFERROR(X198/W198*100,0)</f>
        <v>0</v>
      </c>
      <c r="Z198" s="8" t="str">
        <f t="array" ref="Z198">IF(Y198&gt;5,"Perlu Sensus",IF(AND(Y198&gt;=0,W198&gt;0),"Tetap Deteksi","Belum Deteksi"))</f>
        <v>Belum Deteksi</v>
      </c>
      <c r="AA198" s="143"/>
      <c r="AB198" s="9">
        <f t="shared" ref="AB198:AB261" si="38">IFERROR(AA198/W198*100,0)</f>
        <v>0</v>
      </c>
      <c r="AC198" s="11"/>
      <c r="AD198" s="143"/>
      <c r="AE198" s="9">
        <f t="array" ref="AE198">IFERROR(AD198/$G198*100,0)</f>
        <v>0</v>
      </c>
      <c r="AF198" s="143"/>
      <c r="AG198" s="9">
        <f t="shared" ref="AG198:AG261" si="39">IFERROR(AF198/AD198*100,0)</f>
        <v>0</v>
      </c>
      <c r="AH198" s="8" t="str">
        <f t="array" ref="AH198">IF(AG198&gt;5,"Perlu Sensus",IF(AND(AG198&gt;=0,AD198&gt;0),"Tetap Deteksi","Belum Deteksi"))</f>
        <v>Belum Deteksi</v>
      </c>
      <c r="AI198" s="143"/>
      <c r="AJ198" s="9">
        <f t="shared" ref="AJ198:AJ261" si="40">IFERROR(AI198/AD198*100,0)</f>
        <v>0</v>
      </c>
      <c r="AK198" s="11"/>
      <c r="AL198" s="143"/>
      <c r="AM198" s="143"/>
      <c r="AN198" s="9">
        <f t="shared" ref="AN198:AN261" si="41">IFERROR(AM198/AL198*100,0)</f>
        <v>0</v>
      </c>
      <c r="AO198" s="8" t="str">
        <f t="array" ref="AO198">IF(AN198&gt;5,"Perlu Sensus",IF(AND(AN198&gt;=0,AL198&gt;0),"Tetap Deteksi","Belum Deteksi"))</f>
        <v>Belum Deteksi</v>
      </c>
      <c r="AP198" s="143"/>
      <c r="AQ198" s="9">
        <f t="shared" ref="AQ198:AQ261" si="42">IFERROR(AP198/AL198*100,0)</f>
        <v>0</v>
      </c>
    </row>
    <row r="199" spans="1:43" outlineLevel="1" x14ac:dyDescent="0.15">
      <c r="A199" s="8" t="s">
        <v>1273</v>
      </c>
      <c r="B199" s="8" t="s">
        <v>14</v>
      </c>
      <c r="C199" s="8" t="s">
        <v>216</v>
      </c>
      <c r="D199" s="8" t="s">
        <v>1455</v>
      </c>
      <c r="E199" s="9">
        <v>26.68</v>
      </c>
      <c r="F199" s="8" t="s">
        <v>1740</v>
      </c>
      <c r="G199" s="10">
        <v>3548</v>
      </c>
      <c r="H199" s="11">
        <f t="array" ref="H199">IF(OR(N199&gt;0,AC199&gt;0),MAX(N199,AC199),MAX(AK199,V199))</f>
        <v>46249</v>
      </c>
      <c r="I199" s="143">
        <f t="array" ref="I199">IF(SUM(O199,AD199)&gt;0,SUM(O199,AD199),SUM(AL199,W199))</f>
        <v>169</v>
      </c>
      <c r="J199" s="9">
        <f t="shared" si="33"/>
        <v>4.7632468996617812</v>
      </c>
      <c r="K199" s="143">
        <f t="shared" ref="K199:K262" si="43">IF(SUM(Q199,AF199)&gt;0,SUM(Q199,AF199),SUM(AM199,X199))</f>
        <v>3</v>
      </c>
      <c r="L199" s="9">
        <f t="shared" si="34"/>
        <v>1.7751479289940828</v>
      </c>
      <c r="M199" s="8" t="str">
        <f t="array" ref="M199">IF(L199&gt;5,"Perlu Sensus",IF(AND(L199&gt;=0,I199&gt;0),"Tetap Deteksi","Belum Deteksi"))</f>
        <v>Tetap Deteksi</v>
      </c>
      <c r="N199" s="132">
        <v>46249</v>
      </c>
      <c r="O199" s="143">
        <f t="array" ref="O199">INDEX([28]Sheet1!$H$24:$H$231,MATCH(1,([28]Sheet1!$E$24:$E$231=$D199)*([28]Sheet1!$E$24:$E$231=$D199),0))</f>
        <v>169</v>
      </c>
      <c r="P199" s="9">
        <f t="array" ref="P199">IFERROR(O199/$G199*100,0)</f>
        <v>4.7632468996617812</v>
      </c>
      <c r="Q199" s="143">
        <f t="array" ref="Q199">INDEX([28]Sheet1!$J$24:$J$231,MATCH(1,([28]Sheet1!$E$24:$E$231=$D199)*([28]Sheet1!$E$24:$E$231=$D199),0))</f>
        <v>3</v>
      </c>
      <c r="R199" s="9">
        <f t="shared" si="35"/>
        <v>1.7751479289940828</v>
      </c>
      <c r="S199" s="8" t="str">
        <f t="array" ref="S199">IF(R199&gt;5,"Perlu Sensus",IF(AND(R199&gt;=0,O199&gt;0),"Tetap Deteksi","Belum Deteksi"))</f>
        <v>Tetap Deteksi</v>
      </c>
      <c r="T199" s="143"/>
      <c r="U199" s="9">
        <f t="shared" si="36"/>
        <v>0</v>
      </c>
      <c r="V199" s="11"/>
      <c r="W199" s="143"/>
      <c r="X199" s="143"/>
      <c r="Y199" s="9">
        <f t="shared" si="37"/>
        <v>0</v>
      </c>
      <c r="Z199" s="8" t="str">
        <f t="array" ref="Z199">IF(Y199&gt;5,"Perlu Sensus",IF(AND(Y199&gt;=0,W199&gt;0),"Tetap Deteksi","Belum Deteksi"))</f>
        <v>Belum Deteksi</v>
      </c>
      <c r="AA199" s="143"/>
      <c r="AB199" s="9">
        <f t="shared" si="38"/>
        <v>0</v>
      </c>
      <c r="AC199" s="11"/>
      <c r="AD199" s="143"/>
      <c r="AE199" s="9">
        <f t="array" ref="AE199">IFERROR(AD199/$G199*100,0)</f>
        <v>0</v>
      </c>
      <c r="AF199" s="143"/>
      <c r="AG199" s="9">
        <f t="shared" si="39"/>
        <v>0</v>
      </c>
      <c r="AH199" s="8" t="str">
        <f t="array" ref="AH199">IF(AG199&gt;5,"Perlu Sensus",IF(AND(AG199&gt;=0,AD199&gt;0),"Tetap Deteksi","Belum Deteksi"))</f>
        <v>Belum Deteksi</v>
      </c>
      <c r="AI199" s="143"/>
      <c r="AJ199" s="9">
        <f t="shared" si="40"/>
        <v>0</v>
      </c>
      <c r="AK199" s="11"/>
      <c r="AL199" s="143"/>
      <c r="AM199" s="143"/>
      <c r="AN199" s="9">
        <f t="shared" si="41"/>
        <v>0</v>
      </c>
      <c r="AO199" s="8" t="str">
        <f t="array" ref="AO199">IF(AN199&gt;5,"Perlu Sensus",IF(AND(AN199&gt;=0,AL199&gt;0),"Tetap Deteksi","Belum Deteksi"))</f>
        <v>Belum Deteksi</v>
      </c>
      <c r="AP199" s="143"/>
      <c r="AQ199" s="9">
        <f t="shared" si="42"/>
        <v>0</v>
      </c>
    </row>
    <row r="200" spans="1:43" outlineLevel="1" x14ac:dyDescent="0.15">
      <c r="A200" s="8" t="s">
        <v>1273</v>
      </c>
      <c r="B200" s="8" t="s">
        <v>14</v>
      </c>
      <c r="C200" s="8" t="s">
        <v>216</v>
      </c>
      <c r="D200" s="8" t="s">
        <v>1456</v>
      </c>
      <c r="E200" s="9">
        <v>32.479999999999997</v>
      </c>
      <c r="F200" s="8" t="s">
        <v>1740</v>
      </c>
      <c r="G200" s="10">
        <v>3466</v>
      </c>
      <c r="H200" s="11">
        <f t="array" ref="H200">IF(OR(N200&gt;0,AC200&gt;0),MAX(N200,AC200),MAX(AK200,V200))</f>
        <v>46249</v>
      </c>
      <c r="I200" s="143">
        <f t="array" ref="I200">IF(SUM(O200,AD200)&gt;0,SUM(O200,AD200),SUM(AL200,W200))</f>
        <v>171</v>
      </c>
      <c r="J200" s="9">
        <f t="shared" si="33"/>
        <v>4.9336410848240044</v>
      </c>
      <c r="K200" s="143">
        <f t="shared" si="43"/>
        <v>3</v>
      </c>
      <c r="L200" s="9">
        <f t="shared" si="34"/>
        <v>1.7543859649122806</v>
      </c>
      <c r="M200" s="8" t="str">
        <f t="array" ref="M200">IF(L200&gt;5,"Perlu Sensus",IF(AND(L200&gt;=0,I200&gt;0),"Tetap Deteksi","Belum Deteksi"))</f>
        <v>Tetap Deteksi</v>
      </c>
      <c r="N200" s="132">
        <v>46249</v>
      </c>
      <c r="O200" s="143">
        <f t="array" ref="O200">INDEX([28]Sheet1!$H$24:$H$231,MATCH(1,([28]Sheet1!$E$24:$E$231=$D200)*([28]Sheet1!$E$24:$E$231=$D200),0))</f>
        <v>171</v>
      </c>
      <c r="P200" s="9">
        <f t="array" ref="P200">IFERROR(O200/$G200*100,0)</f>
        <v>4.9336410848240044</v>
      </c>
      <c r="Q200" s="143">
        <f t="array" ref="Q200">INDEX([28]Sheet1!$J$24:$J$231,MATCH(1,([28]Sheet1!$E$24:$E$231=$D200)*([28]Sheet1!$E$24:$E$231=$D200),0))</f>
        <v>3</v>
      </c>
      <c r="R200" s="9">
        <f t="shared" si="35"/>
        <v>1.7543859649122806</v>
      </c>
      <c r="S200" s="8" t="str">
        <f t="array" ref="S200">IF(R200&gt;5,"Perlu Sensus",IF(AND(R200&gt;=0,O200&gt;0),"Tetap Deteksi","Belum Deteksi"))</f>
        <v>Tetap Deteksi</v>
      </c>
      <c r="T200" s="143"/>
      <c r="U200" s="9">
        <f t="shared" si="36"/>
        <v>0</v>
      </c>
      <c r="V200" s="11"/>
      <c r="W200" s="143"/>
      <c r="X200" s="143"/>
      <c r="Y200" s="9">
        <f t="shared" si="37"/>
        <v>0</v>
      </c>
      <c r="Z200" s="8" t="str">
        <f t="array" ref="Z200">IF(Y200&gt;5,"Perlu Sensus",IF(AND(Y200&gt;=0,W200&gt;0),"Tetap Deteksi","Belum Deteksi"))</f>
        <v>Belum Deteksi</v>
      </c>
      <c r="AA200" s="143"/>
      <c r="AB200" s="9">
        <f t="shared" si="38"/>
        <v>0</v>
      </c>
      <c r="AC200" s="11"/>
      <c r="AD200" s="143"/>
      <c r="AE200" s="9">
        <f t="array" ref="AE200">IFERROR(AD200/$G200*100,0)</f>
        <v>0</v>
      </c>
      <c r="AF200" s="143"/>
      <c r="AG200" s="9">
        <f t="shared" si="39"/>
        <v>0</v>
      </c>
      <c r="AH200" s="8" t="str">
        <f t="array" ref="AH200">IF(AG200&gt;5,"Perlu Sensus",IF(AND(AG200&gt;=0,AD200&gt;0),"Tetap Deteksi","Belum Deteksi"))</f>
        <v>Belum Deteksi</v>
      </c>
      <c r="AI200" s="143"/>
      <c r="AJ200" s="9">
        <f t="shared" si="40"/>
        <v>0</v>
      </c>
      <c r="AK200" s="11"/>
      <c r="AL200" s="143"/>
      <c r="AM200" s="143"/>
      <c r="AN200" s="9">
        <f t="shared" si="41"/>
        <v>0</v>
      </c>
      <c r="AO200" s="8" t="str">
        <f t="array" ref="AO200">IF(AN200&gt;5,"Perlu Sensus",IF(AND(AN200&gt;=0,AL200&gt;0),"Tetap Deteksi","Belum Deteksi"))</f>
        <v>Belum Deteksi</v>
      </c>
      <c r="AP200" s="143"/>
      <c r="AQ200" s="9">
        <f t="shared" si="42"/>
        <v>0</v>
      </c>
    </row>
    <row r="201" spans="1:43" outlineLevel="1" x14ac:dyDescent="0.15">
      <c r="A201" s="8" t="s">
        <v>1273</v>
      </c>
      <c r="B201" s="8" t="s">
        <v>14</v>
      </c>
      <c r="C201" s="8" t="s">
        <v>216</v>
      </c>
      <c r="D201" s="8" t="s">
        <v>1457</v>
      </c>
      <c r="E201" s="9">
        <v>31.58</v>
      </c>
      <c r="F201" s="8" t="s">
        <v>1740</v>
      </c>
      <c r="G201" s="10">
        <v>3871</v>
      </c>
      <c r="H201" s="11">
        <f t="array" ref="H201">IF(OR(N201&gt;0,AC201&gt;0),MAX(N201,AC201),MAX(AK201,V201))</f>
        <v>46249</v>
      </c>
      <c r="I201" s="143">
        <f t="array" ref="I201">IF(SUM(O201,AD201)&gt;0,SUM(O201,AD201),SUM(AL201,W201))</f>
        <v>127</v>
      </c>
      <c r="J201" s="9">
        <f t="shared" si="33"/>
        <v>3.2808059932833893</v>
      </c>
      <c r="K201" s="143">
        <f t="shared" si="43"/>
        <v>2</v>
      </c>
      <c r="L201" s="9">
        <f t="shared" si="34"/>
        <v>1.5748031496062991</v>
      </c>
      <c r="M201" s="8" t="str">
        <f t="array" ref="M201">IF(L201&gt;5,"Perlu Sensus",IF(AND(L201&gt;=0,I201&gt;0),"Tetap Deteksi","Belum Deteksi"))</f>
        <v>Tetap Deteksi</v>
      </c>
      <c r="N201" s="132">
        <v>46249</v>
      </c>
      <c r="O201" s="143">
        <f t="array" ref="O201">INDEX([28]Sheet1!$H$24:$H$231,MATCH(1,([28]Sheet1!$E$24:$E$231=$D201)*([28]Sheet1!$E$24:$E$231=$D201),0))</f>
        <v>127</v>
      </c>
      <c r="P201" s="9">
        <f t="array" ref="P201">IFERROR(O201/$G201*100,0)</f>
        <v>3.2808059932833893</v>
      </c>
      <c r="Q201" s="143">
        <f t="array" ref="Q201">INDEX([28]Sheet1!$J$24:$J$231,MATCH(1,([28]Sheet1!$E$24:$E$231=$D201)*([28]Sheet1!$E$24:$E$231=$D201),0))</f>
        <v>2</v>
      </c>
      <c r="R201" s="9">
        <f t="shared" si="35"/>
        <v>1.5748031496062991</v>
      </c>
      <c r="S201" s="8" t="str">
        <f t="array" ref="S201">IF(R201&gt;5,"Perlu Sensus",IF(AND(R201&gt;=0,O201&gt;0),"Tetap Deteksi","Belum Deteksi"))</f>
        <v>Tetap Deteksi</v>
      </c>
      <c r="T201" s="143"/>
      <c r="U201" s="9">
        <f t="shared" si="36"/>
        <v>0</v>
      </c>
      <c r="V201" s="11"/>
      <c r="W201" s="143"/>
      <c r="X201" s="143"/>
      <c r="Y201" s="9">
        <f t="shared" si="37"/>
        <v>0</v>
      </c>
      <c r="Z201" s="8" t="str">
        <f t="array" ref="Z201">IF(Y201&gt;5,"Perlu Sensus",IF(AND(Y201&gt;=0,W201&gt;0),"Tetap Deteksi","Belum Deteksi"))</f>
        <v>Belum Deteksi</v>
      </c>
      <c r="AA201" s="143"/>
      <c r="AB201" s="9">
        <f t="shared" si="38"/>
        <v>0</v>
      </c>
      <c r="AC201" s="11"/>
      <c r="AD201" s="143"/>
      <c r="AE201" s="9">
        <f t="array" ref="AE201">IFERROR(AD201/$G201*100,0)</f>
        <v>0</v>
      </c>
      <c r="AF201" s="143"/>
      <c r="AG201" s="9">
        <f t="shared" si="39"/>
        <v>0</v>
      </c>
      <c r="AH201" s="8" t="str">
        <f t="array" ref="AH201">IF(AG201&gt;5,"Perlu Sensus",IF(AND(AG201&gt;=0,AD201&gt;0),"Tetap Deteksi","Belum Deteksi"))</f>
        <v>Belum Deteksi</v>
      </c>
      <c r="AI201" s="143"/>
      <c r="AJ201" s="9">
        <f t="shared" si="40"/>
        <v>0</v>
      </c>
      <c r="AK201" s="11"/>
      <c r="AL201" s="143"/>
      <c r="AM201" s="143"/>
      <c r="AN201" s="9">
        <f t="shared" si="41"/>
        <v>0</v>
      </c>
      <c r="AO201" s="8" t="str">
        <f t="array" ref="AO201">IF(AN201&gt;5,"Perlu Sensus",IF(AND(AN201&gt;=0,AL201&gt;0),"Tetap Deteksi","Belum Deteksi"))</f>
        <v>Belum Deteksi</v>
      </c>
      <c r="AP201" s="143"/>
      <c r="AQ201" s="9">
        <f t="shared" si="42"/>
        <v>0</v>
      </c>
    </row>
    <row r="202" spans="1:43" outlineLevel="1" x14ac:dyDescent="0.15">
      <c r="A202" s="8" t="s">
        <v>1273</v>
      </c>
      <c r="B202" s="8" t="s">
        <v>14</v>
      </c>
      <c r="C202" s="8" t="s">
        <v>216</v>
      </c>
      <c r="D202" s="8" t="s">
        <v>1458</v>
      </c>
      <c r="E202" s="9">
        <v>28.48</v>
      </c>
      <c r="F202" s="8" t="s">
        <v>1740</v>
      </c>
      <c r="G202" s="10">
        <v>3884</v>
      </c>
      <c r="H202" s="11">
        <f t="array" ref="H202">IF(OR(N202&gt;0,AC202&gt;0),MAX(N202,AC202),MAX(AK202,V202))</f>
        <v>46249</v>
      </c>
      <c r="I202" s="143">
        <f t="array" ref="I202">IF(SUM(O202,AD202)&gt;0,SUM(O202,AD202),SUM(AL202,W202))</f>
        <v>144</v>
      </c>
      <c r="J202" s="9">
        <f t="shared" si="33"/>
        <v>3.7075180226570548</v>
      </c>
      <c r="K202" s="143">
        <f t="shared" si="43"/>
        <v>2</v>
      </c>
      <c r="L202" s="9">
        <f t="shared" si="34"/>
        <v>1.3888888888888888</v>
      </c>
      <c r="M202" s="8" t="str">
        <f t="array" ref="M202">IF(L202&gt;5,"Perlu Sensus",IF(AND(L202&gt;=0,I202&gt;0),"Tetap Deteksi","Belum Deteksi"))</f>
        <v>Tetap Deteksi</v>
      </c>
      <c r="N202" s="132">
        <v>46249</v>
      </c>
      <c r="O202" s="143">
        <f t="array" ref="O202">INDEX([28]Sheet1!$H$24:$H$231,MATCH(1,([28]Sheet1!$E$24:$E$231=$D202)*([28]Sheet1!$E$24:$E$231=$D202),0))</f>
        <v>144</v>
      </c>
      <c r="P202" s="9">
        <f t="array" ref="P202">IFERROR(O202/$G202*100,0)</f>
        <v>3.7075180226570548</v>
      </c>
      <c r="Q202" s="143">
        <f t="array" ref="Q202">INDEX([28]Sheet1!$J$24:$J$231,MATCH(1,([28]Sheet1!$E$24:$E$231=$D202)*([28]Sheet1!$E$24:$E$231=$D202),0))</f>
        <v>2</v>
      </c>
      <c r="R202" s="9">
        <f t="shared" si="35"/>
        <v>1.3888888888888888</v>
      </c>
      <c r="S202" s="8" t="str">
        <f t="array" ref="S202">IF(R202&gt;5,"Perlu Sensus",IF(AND(R202&gt;=0,O202&gt;0),"Tetap Deteksi","Belum Deteksi"))</f>
        <v>Tetap Deteksi</v>
      </c>
      <c r="T202" s="143"/>
      <c r="U202" s="9">
        <f t="shared" si="36"/>
        <v>0</v>
      </c>
      <c r="V202" s="11"/>
      <c r="W202" s="143"/>
      <c r="X202" s="143"/>
      <c r="Y202" s="9">
        <f t="shared" si="37"/>
        <v>0</v>
      </c>
      <c r="Z202" s="8" t="str">
        <f t="array" ref="Z202">IF(Y202&gt;5,"Perlu Sensus",IF(AND(Y202&gt;=0,W202&gt;0),"Tetap Deteksi","Belum Deteksi"))</f>
        <v>Belum Deteksi</v>
      </c>
      <c r="AA202" s="143"/>
      <c r="AB202" s="9">
        <f t="shared" si="38"/>
        <v>0</v>
      </c>
      <c r="AC202" s="11"/>
      <c r="AD202" s="143"/>
      <c r="AE202" s="9">
        <f t="array" ref="AE202">IFERROR(AD202/$G202*100,0)</f>
        <v>0</v>
      </c>
      <c r="AF202" s="143"/>
      <c r="AG202" s="9">
        <f t="shared" si="39"/>
        <v>0</v>
      </c>
      <c r="AH202" s="8" t="str">
        <f t="array" ref="AH202">IF(AG202&gt;5,"Perlu Sensus",IF(AND(AG202&gt;=0,AD202&gt;0),"Tetap Deteksi","Belum Deteksi"))</f>
        <v>Belum Deteksi</v>
      </c>
      <c r="AI202" s="143"/>
      <c r="AJ202" s="9">
        <f t="shared" si="40"/>
        <v>0</v>
      </c>
      <c r="AK202" s="11"/>
      <c r="AL202" s="143"/>
      <c r="AM202" s="143"/>
      <c r="AN202" s="9">
        <f t="shared" si="41"/>
        <v>0</v>
      </c>
      <c r="AO202" s="8" t="str">
        <f t="array" ref="AO202">IF(AN202&gt;5,"Perlu Sensus",IF(AND(AN202&gt;=0,AL202&gt;0),"Tetap Deteksi","Belum Deteksi"))</f>
        <v>Belum Deteksi</v>
      </c>
      <c r="AP202" s="143"/>
      <c r="AQ202" s="9">
        <f t="shared" si="42"/>
        <v>0</v>
      </c>
    </row>
    <row r="203" spans="1:43" outlineLevel="1" x14ac:dyDescent="0.15">
      <c r="A203" s="8" t="s">
        <v>1273</v>
      </c>
      <c r="B203" s="8" t="s">
        <v>14</v>
      </c>
      <c r="C203" s="8" t="s">
        <v>216</v>
      </c>
      <c r="D203" s="8" t="s">
        <v>1459</v>
      </c>
      <c r="E203" s="9">
        <v>30.01</v>
      </c>
      <c r="F203" s="8" t="s">
        <v>1740</v>
      </c>
      <c r="G203" s="10">
        <v>3701</v>
      </c>
      <c r="H203" s="11">
        <f t="array" ref="H203">IF(OR(N203&gt;0,AC203&gt;0),MAX(N203,AC203),MAX(AK203,V203))</f>
        <v>46249</v>
      </c>
      <c r="I203" s="143">
        <f t="array" ref="I203">IF(SUM(O203,AD203)&gt;0,SUM(O203,AD203),SUM(AL203,W203))</f>
        <v>146</v>
      </c>
      <c r="J203" s="9">
        <f t="shared" si="33"/>
        <v>3.9448797622264253</v>
      </c>
      <c r="K203" s="143">
        <f t="shared" si="43"/>
        <v>2</v>
      </c>
      <c r="L203" s="9">
        <f t="shared" si="34"/>
        <v>1.3698630136986301</v>
      </c>
      <c r="M203" s="8" t="str">
        <f t="array" ref="M203">IF(L203&gt;5,"Perlu Sensus",IF(AND(L203&gt;=0,I203&gt;0),"Tetap Deteksi","Belum Deteksi"))</f>
        <v>Tetap Deteksi</v>
      </c>
      <c r="N203" s="132">
        <v>46249</v>
      </c>
      <c r="O203" s="143">
        <f t="array" ref="O203">INDEX([28]Sheet1!$H$24:$H$231,MATCH(1,([28]Sheet1!$E$24:$E$231=$D203)*([28]Sheet1!$E$24:$E$231=$D203),0))</f>
        <v>146</v>
      </c>
      <c r="P203" s="9">
        <f t="array" ref="P203">IFERROR(O203/$G203*100,0)</f>
        <v>3.9448797622264253</v>
      </c>
      <c r="Q203" s="143">
        <f t="array" ref="Q203">INDEX([28]Sheet1!$J$24:$J$231,MATCH(1,([28]Sheet1!$E$24:$E$231=$D203)*([28]Sheet1!$E$24:$E$231=$D203),0))</f>
        <v>2</v>
      </c>
      <c r="R203" s="9">
        <f t="shared" si="35"/>
        <v>1.3698630136986301</v>
      </c>
      <c r="S203" s="8" t="str">
        <f t="array" ref="S203">IF(R203&gt;5,"Perlu Sensus",IF(AND(R203&gt;=0,O203&gt;0),"Tetap Deteksi","Belum Deteksi"))</f>
        <v>Tetap Deteksi</v>
      </c>
      <c r="T203" s="143"/>
      <c r="U203" s="9">
        <f t="shared" si="36"/>
        <v>0</v>
      </c>
      <c r="V203" s="11"/>
      <c r="W203" s="143"/>
      <c r="X203" s="143"/>
      <c r="Y203" s="9">
        <f t="shared" si="37"/>
        <v>0</v>
      </c>
      <c r="Z203" s="8" t="str">
        <f t="array" ref="Z203">IF(Y203&gt;5,"Perlu Sensus",IF(AND(Y203&gt;=0,W203&gt;0),"Tetap Deteksi","Belum Deteksi"))</f>
        <v>Belum Deteksi</v>
      </c>
      <c r="AA203" s="143"/>
      <c r="AB203" s="9">
        <f t="shared" si="38"/>
        <v>0</v>
      </c>
      <c r="AC203" s="11"/>
      <c r="AD203" s="143"/>
      <c r="AE203" s="9">
        <f t="array" ref="AE203">IFERROR(AD203/$G203*100,0)</f>
        <v>0</v>
      </c>
      <c r="AF203" s="143"/>
      <c r="AG203" s="9">
        <f t="shared" si="39"/>
        <v>0</v>
      </c>
      <c r="AH203" s="8" t="str">
        <f t="array" ref="AH203">IF(AG203&gt;5,"Perlu Sensus",IF(AND(AG203&gt;=0,AD203&gt;0),"Tetap Deteksi","Belum Deteksi"))</f>
        <v>Belum Deteksi</v>
      </c>
      <c r="AI203" s="143"/>
      <c r="AJ203" s="9">
        <f t="shared" si="40"/>
        <v>0</v>
      </c>
      <c r="AK203" s="11"/>
      <c r="AL203" s="143"/>
      <c r="AM203" s="143"/>
      <c r="AN203" s="9">
        <f t="shared" si="41"/>
        <v>0</v>
      </c>
      <c r="AO203" s="8" t="str">
        <f t="array" ref="AO203">IF(AN203&gt;5,"Perlu Sensus",IF(AND(AN203&gt;=0,AL203&gt;0),"Tetap Deteksi","Belum Deteksi"))</f>
        <v>Belum Deteksi</v>
      </c>
      <c r="AP203" s="143"/>
      <c r="AQ203" s="9">
        <f t="shared" si="42"/>
        <v>0</v>
      </c>
    </row>
    <row r="204" spans="1:43" outlineLevel="1" x14ac:dyDescent="0.15">
      <c r="A204" s="8" t="s">
        <v>1273</v>
      </c>
      <c r="B204" s="8" t="s">
        <v>14</v>
      </c>
      <c r="C204" s="8" t="s">
        <v>216</v>
      </c>
      <c r="D204" s="8" t="s">
        <v>1460</v>
      </c>
      <c r="E204" s="9">
        <v>27.34</v>
      </c>
      <c r="F204" s="8" t="s">
        <v>1740</v>
      </c>
      <c r="G204" s="10">
        <v>3151</v>
      </c>
      <c r="H204" s="11">
        <f t="array" ref="H204">IF(OR(N204&gt;0,AC204&gt;0),MAX(N204,AC204),MAX(AK204,V204))</f>
        <v>46249</v>
      </c>
      <c r="I204" s="143">
        <f t="array" ref="I204">IF(SUM(O204,AD204)&gt;0,SUM(O204,AD204),SUM(AL204,W204))</f>
        <v>126</v>
      </c>
      <c r="J204" s="9">
        <f t="shared" si="33"/>
        <v>3.9987305617264357</v>
      </c>
      <c r="K204" s="143">
        <f t="shared" si="43"/>
        <v>2</v>
      </c>
      <c r="L204" s="9">
        <f t="shared" si="34"/>
        <v>1.5873015873015872</v>
      </c>
      <c r="M204" s="8" t="str">
        <f t="array" ref="M204">IF(L204&gt;5,"Perlu Sensus",IF(AND(L204&gt;=0,I204&gt;0),"Tetap Deteksi","Belum Deteksi"))</f>
        <v>Tetap Deteksi</v>
      </c>
      <c r="N204" s="132">
        <v>46249</v>
      </c>
      <c r="O204" s="143">
        <f t="array" ref="O204">INDEX([28]Sheet1!$H$24:$H$231,MATCH(1,([28]Sheet1!$E$24:$E$231=$D204)*([28]Sheet1!$E$24:$E$231=$D204),0))</f>
        <v>126</v>
      </c>
      <c r="P204" s="9">
        <f t="array" ref="P204">IFERROR(O204/$G204*100,0)</f>
        <v>3.9987305617264357</v>
      </c>
      <c r="Q204" s="143">
        <f t="array" ref="Q204">INDEX([28]Sheet1!$J$24:$J$231,MATCH(1,([28]Sheet1!$E$24:$E$231=$D204)*([28]Sheet1!$E$24:$E$231=$D204),0))</f>
        <v>2</v>
      </c>
      <c r="R204" s="9">
        <f t="shared" si="35"/>
        <v>1.5873015873015872</v>
      </c>
      <c r="S204" s="8" t="str">
        <f t="array" ref="S204">IF(R204&gt;5,"Perlu Sensus",IF(AND(R204&gt;=0,O204&gt;0),"Tetap Deteksi","Belum Deteksi"))</f>
        <v>Tetap Deteksi</v>
      </c>
      <c r="T204" s="143"/>
      <c r="U204" s="9">
        <f t="shared" si="36"/>
        <v>0</v>
      </c>
      <c r="V204" s="11"/>
      <c r="W204" s="143"/>
      <c r="X204" s="143"/>
      <c r="Y204" s="9">
        <f t="shared" si="37"/>
        <v>0</v>
      </c>
      <c r="Z204" s="8" t="str">
        <f t="array" ref="Z204">IF(Y204&gt;5,"Perlu Sensus",IF(AND(Y204&gt;=0,W204&gt;0),"Tetap Deteksi","Belum Deteksi"))</f>
        <v>Belum Deteksi</v>
      </c>
      <c r="AA204" s="143"/>
      <c r="AB204" s="9">
        <f t="shared" si="38"/>
        <v>0</v>
      </c>
      <c r="AC204" s="11"/>
      <c r="AD204" s="143"/>
      <c r="AE204" s="9">
        <f t="array" ref="AE204">IFERROR(AD204/$G204*100,0)</f>
        <v>0</v>
      </c>
      <c r="AF204" s="143"/>
      <c r="AG204" s="9">
        <f t="shared" si="39"/>
        <v>0</v>
      </c>
      <c r="AH204" s="8" t="str">
        <f t="array" ref="AH204">IF(AG204&gt;5,"Perlu Sensus",IF(AND(AG204&gt;=0,AD204&gt;0),"Tetap Deteksi","Belum Deteksi"))</f>
        <v>Belum Deteksi</v>
      </c>
      <c r="AI204" s="143"/>
      <c r="AJ204" s="9">
        <f t="shared" si="40"/>
        <v>0</v>
      </c>
      <c r="AK204" s="11"/>
      <c r="AL204" s="143"/>
      <c r="AM204" s="143"/>
      <c r="AN204" s="9">
        <f t="shared" si="41"/>
        <v>0</v>
      </c>
      <c r="AO204" s="8" t="str">
        <f t="array" ref="AO204">IF(AN204&gt;5,"Perlu Sensus",IF(AND(AN204&gt;=0,AL204&gt;0),"Tetap Deteksi","Belum Deteksi"))</f>
        <v>Belum Deteksi</v>
      </c>
      <c r="AP204" s="143"/>
      <c r="AQ204" s="9">
        <f t="shared" si="42"/>
        <v>0</v>
      </c>
    </row>
    <row r="205" spans="1:43" outlineLevel="1" x14ac:dyDescent="0.15">
      <c r="A205" s="8" t="s">
        <v>1273</v>
      </c>
      <c r="B205" s="8" t="s">
        <v>14</v>
      </c>
      <c r="C205" s="8" t="s">
        <v>216</v>
      </c>
      <c r="D205" s="8" t="s">
        <v>1461</v>
      </c>
      <c r="E205" s="9">
        <v>23.8</v>
      </c>
      <c r="F205" s="8" t="s">
        <v>1740</v>
      </c>
      <c r="G205" s="10">
        <v>2726</v>
      </c>
      <c r="H205" s="11">
        <f t="array" ref="H205">IF(OR(N205&gt;0,AC205&gt;0),MAX(N205,AC205),MAX(AK205,V205))</f>
        <v>46249</v>
      </c>
      <c r="I205" s="143">
        <f t="array" ref="I205">IF(SUM(O205,AD205)&gt;0,SUM(O205,AD205),SUM(AL205,W205))</f>
        <v>106</v>
      </c>
      <c r="J205" s="9">
        <f t="shared" si="33"/>
        <v>3.8884812912692595</v>
      </c>
      <c r="K205" s="143">
        <f t="shared" si="43"/>
        <v>2</v>
      </c>
      <c r="L205" s="9">
        <f t="shared" si="34"/>
        <v>1.8867924528301887</v>
      </c>
      <c r="M205" s="8" t="str">
        <f t="array" ref="M205">IF(L205&gt;5,"Perlu Sensus",IF(AND(L205&gt;=0,I205&gt;0),"Tetap Deteksi","Belum Deteksi"))</f>
        <v>Tetap Deteksi</v>
      </c>
      <c r="N205" s="132">
        <v>46249</v>
      </c>
      <c r="O205" s="143">
        <f t="array" ref="O205">INDEX([28]Sheet1!$H$24:$H$231,MATCH(1,([28]Sheet1!$E$24:$E$231=$D205)*([28]Sheet1!$E$24:$E$231=$D205),0))</f>
        <v>106</v>
      </c>
      <c r="P205" s="9">
        <f t="array" ref="P205">IFERROR(O205/$G205*100,0)</f>
        <v>3.8884812912692595</v>
      </c>
      <c r="Q205" s="143">
        <f t="array" ref="Q205">INDEX([28]Sheet1!$J$24:$J$231,MATCH(1,([28]Sheet1!$E$24:$E$231=$D205)*([28]Sheet1!$E$24:$E$231=$D205),0))</f>
        <v>2</v>
      </c>
      <c r="R205" s="9">
        <f t="shared" si="35"/>
        <v>1.8867924528301887</v>
      </c>
      <c r="S205" s="8" t="str">
        <f t="array" ref="S205">IF(R205&gt;5,"Perlu Sensus",IF(AND(R205&gt;=0,O205&gt;0),"Tetap Deteksi","Belum Deteksi"))</f>
        <v>Tetap Deteksi</v>
      </c>
      <c r="T205" s="143"/>
      <c r="U205" s="9">
        <f t="shared" si="36"/>
        <v>0</v>
      </c>
      <c r="V205" s="11"/>
      <c r="W205" s="143"/>
      <c r="X205" s="143"/>
      <c r="Y205" s="9">
        <f t="shared" si="37"/>
        <v>0</v>
      </c>
      <c r="Z205" s="8" t="str">
        <f t="array" ref="Z205">IF(Y205&gt;5,"Perlu Sensus",IF(AND(Y205&gt;=0,W205&gt;0),"Tetap Deteksi","Belum Deteksi"))</f>
        <v>Belum Deteksi</v>
      </c>
      <c r="AA205" s="143"/>
      <c r="AB205" s="9">
        <f t="shared" si="38"/>
        <v>0</v>
      </c>
      <c r="AC205" s="11"/>
      <c r="AD205" s="143"/>
      <c r="AE205" s="9">
        <f t="array" ref="AE205">IFERROR(AD205/$G205*100,0)</f>
        <v>0</v>
      </c>
      <c r="AF205" s="143"/>
      <c r="AG205" s="9">
        <f t="shared" si="39"/>
        <v>0</v>
      </c>
      <c r="AH205" s="8" t="str">
        <f t="array" ref="AH205">IF(AG205&gt;5,"Perlu Sensus",IF(AND(AG205&gt;=0,AD205&gt;0),"Tetap Deteksi","Belum Deteksi"))</f>
        <v>Belum Deteksi</v>
      </c>
      <c r="AI205" s="143"/>
      <c r="AJ205" s="9">
        <f t="shared" si="40"/>
        <v>0</v>
      </c>
      <c r="AK205" s="11"/>
      <c r="AL205" s="143"/>
      <c r="AM205" s="143"/>
      <c r="AN205" s="9">
        <f t="shared" si="41"/>
        <v>0</v>
      </c>
      <c r="AO205" s="8" t="str">
        <f t="array" ref="AO205">IF(AN205&gt;5,"Perlu Sensus",IF(AND(AN205&gt;=0,AL205&gt;0),"Tetap Deteksi","Belum Deteksi"))</f>
        <v>Belum Deteksi</v>
      </c>
      <c r="AP205" s="143"/>
      <c r="AQ205" s="9">
        <f t="shared" si="42"/>
        <v>0</v>
      </c>
    </row>
    <row r="206" spans="1:43" outlineLevel="1" x14ac:dyDescent="0.15">
      <c r="A206" s="8" t="s">
        <v>1273</v>
      </c>
      <c r="B206" s="8" t="s">
        <v>14</v>
      </c>
      <c r="C206" s="8" t="s">
        <v>216</v>
      </c>
      <c r="D206" s="8" t="s">
        <v>1462</v>
      </c>
      <c r="E206" s="9">
        <v>46.47</v>
      </c>
      <c r="F206" s="8" t="s">
        <v>1740</v>
      </c>
      <c r="G206" s="10">
        <v>5150</v>
      </c>
      <c r="H206" s="11">
        <f t="array" ref="H206">IF(OR(N206&gt;0,AC206&gt;0),MAX(N206,AC206),MAX(AK206,V206))</f>
        <v>46249</v>
      </c>
      <c r="I206" s="143">
        <f t="array" ref="I206">IF(SUM(O206,AD206)&gt;0,SUM(O206,AD206),SUM(AL206,W206))</f>
        <v>124</v>
      </c>
      <c r="J206" s="9">
        <f t="shared" si="33"/>
        <v>2.4077669902912624</v>
      </c>
      <c r="K206" s="143">
        <f t="shared" si="43"/>
        <v>2</v>
      </c>
      <c r="L206" s="9">
        <f t="shared" si="34"/>
        <v>1.6129032258064515</v>
      </c>
      <c r="M206" s="8" t="str">
        <f t="array" ref="M206">IF(L206&gt;5,"Perlu Sensus",IF(AND(L206&gt;=0,I206&gt;0),"Tetap Deteksi","Belum Deteksi"))</f>
        <v>Tetap Deteksi</v>
      </c>
      <c r="N206" s="132">
        <v>46249</v>
      </c>
      <c r="O206" s="143">
        <f t="array" ref="O206">INDEX([28]Sheet1!$H$24:$H$231,MATCH(1,([28]Sheet1!$E$24:$E$231=$D206)*([28]Sheet1!$E$24:$E$231=$D206),0))</f>
        <v>124</v>
      </c>
      <c r="P206" s="9">
        <f t="array" ref="P206">IFERROR(O206/$G206*100,0)</f>
        <v>2.4077669902912624</v>
      </c>
      <c r="Q206" s="143">
        <f t="array" ref="Q206">INDEX([28]Sheet1!$J$24:$J$231,MATCH(1,([28]Sheet1!$E$24:$E$231=$D206)*([28]Sheet1!$E$24:$E$231=$D206),0))</f>
        <v>2</v>
      </c>
      <c r="R206" s="9">
        <f t="shared" si="35"/>
        <v>1.6129032258064515</v>
      </c>
      <c r="S206" s="8" t="str">
        <f t="array" ref="S206">IF(R206&gt;5,"Perlu Sensus",IF(AND(R206&gt;=0,O206&gt;0),"Tetap Deteksi","Belum Deteksi"))</f>
        <v>Tetap Deteksi</v>
      </c>
      <c r="T206" s="143"/>
      <c r="U206" s="9">
        <f t="shared" si="36"/>
        <v>0</v>
      </c>
      <c r="V206" s="11"/>
      <c r="W206" s="143"/>
      <c r="X206" s="143"/>
      <c r="Y206" s="9">
        <f t="shared" si="37"/>
        <v>0</v>
      </c>
      <c r="Z206" s="8" t="str">
        <f t="array" ref="Z206">IF(Y206&gt;5,"Perlu Sensus",IF(AND(Y206&gt;=0,W206&gt;0),"Tetap Deteksi","Belum Deteksi"))</f>
        <v>Belum Deteksi</v>
      </c>
      <c r="AA206" s="143"/>
      <c r="AB206" s="9">
        <f t="shared" si="38"/>
        <v>0</v>
      </c>
      <c r="AC206" s="11"/>
      <c r="AD206" s="143"/>
      <c r="AE206" s="9">
        <f t="array" ref="AE206">IFERROR(AD206/$G206*100,0)</f>
        <v>0</v>
      </c>
      <c r="AF206" s="143"/>
      <c r="AG206" s="9">
        <f t="shared" si="39"/>
        <v>0</v>
      </c>
      <c r="AH206" s="8" t="str">
        <f t="array" ref="AH206">IF(AG206&gt;5,"Perlu Sensus",IF(AND(AG206&gt;=0,AD206&gt;0),"Tetap Deteksi","Belum Deteksi"))</f>
        <v>Belum Deteksi</v>
      </c>
      <c r="AI206" s="143"/>
      <c r="AJ206" s="9">
        <f t="shared" si="40"/>
        <v>0</v>
      </c>
      <c r="AK206" s="11"/>
      <c r="AL206" s="143"/>
      <c r="AM206" s="143"/>
      <c r="AN206" s="9">
        <f t="shared" si="41"/>
        <v>0</v>
      </c>
      <c r="AO206" s="8" t="str">
        <f t="array" ref="AO206">IF(AN206&gt;5,"Perlu Sensus",IF(AND(AN206&gt;=0,AL206&gt;0),"Tetap Deteksi","Belum Deteksi"))</f>
        <v>Belum Deteksi</v>
      </c>
      <c r="AP206" s="143"/>
      <c r="AQ206" s="9">
        <f t="shared" si="42"/>
        <v>0</v>
      </c>
    </row>
    <row r="207" spans="1:43" outlineLevel="1" x14ac:dyDescent="0.15">
      <c r="A207" s="8" t="s">
        <v>1273</v>
      </c>
      <c r="B207" s="8" t="s">
        <v>14</v>
      </c>
      <c r="C207" s="8" t="s">
        <v>216</v>
      </c>
      <c r="D207" s="8" t="s">
        <v>1463</v>
      </c>
      <c r="E207" s="9">
        <v>32.19</v>
      </c>
      <c r="F207" s="8" t="s">
        <v>1740</v>
      </c>
      <c r="G207" s="10">
        <v>3246</v>
      </c>
      <c r="H207" s="11">
        <f t="array" ref="H207">IF(OR(N207&gt;0,AC207&gt;0),MAX(N207,AC207),MAX(AK207,V207))</f>
        <v>46249</v>
      </c>
      <c r="I207" s="143">
        <f t="array" ref="I207">IF(SUM(O207,AD207)&gt;0,SUM(O207,AD207),SUM(AL207,W207))</f>
        <v>123</v>
      </c>
      <c r="J207" s="9">
        <f t="shared" si="33"/>
        <v>3.789279112754159</v>
      </c>
      <c r="K207" s="143">
        <f t="shared" si="43"/>
        <v>2</v>
      </c>
      <c r="L207" s="9">
        <f t="shared" si="34"/>
        <v>1.6260162601626018</v>
      </c>
      <c r="M207" s="8" t="str">
        <f t="array" ref="M207">IF(L207&gt;5,"Perlu Sensus",IF(AND(L207&gt;=0,I207&gt;0),"Tetap Deteksi","Belum Deteksi"))</f>
        <v>Tetap Deteksi</v>
      </c>
      <c r="N207" s="132">
        <v>46249</v>
      </c>
      <c r="O207" s="143">
        <f t="array" ref="O207">INDEX([28]Sheet1!$H$24:$H$231,MATCH(1,([28]Sheet1!$E$24:$E$231=$D207)*([28]Sheet1!$E$24:$E$231=$D207),0))</f>
        <v>123</v>
      </c>
      <c r="P207" s="9">
        <f t="array" ref="P207">IFERROR(O207/$G207*100,0)</f>
        <v>3.789279112754159</v>
      </c>
      <c r="Q207" s="143">
        <f t="array" ref="Q207">INDEX([28]Sheet1!$J$24:$J$231,MATCH(1,([28]Sheet1!$E$24:$E$231=$D207)*([28]Sheet1!$E$24:$E$231=$D207),0))</f>
        <v>2</v>
      </c>
      <c r="R207" s="9">
        <f t="shared" si="35"/>
        <v>1.6260162601626018</v>
      </c>
      <c r="S207" s="8" t="str">
        <f t="array" ref="S207">IF(R207&gt;5,"Perlu Sensus",IF(AND(R207&gt;=0,O207&gt;0),"Tetap Deteksi","Belum Deteksi"))</f>
        <v>Tetap Deteksi</v>
      </c>
      <c r="T207" s="143"/>
      <c r="U207" s="9">
        <f t="shared" si="36"/>
        <v>0</v>
      </c>
      <c r="V207" s="11"/>
      <c r="W207" s="143"/>
      <c r="X207" s="143"/>
      <c r="Y207" s="9">
        <f t="shared" si="37"/>
        <v>0</v>
      </c>
      <c r="Z207" s="8" t="str">
        <f t="array" ref="Z207">IF(Y207&gt;5,"Perlu Sensus",IF(AND(Y207&gt;=0,W207&gt;0),"Tetap Deteksi","Belum Deteksi"))</f>
        <v>Belum Deteksi</v>
      </c>
      <c r="AA207" s="143"/>
      <c r="AB207" s="9">
        <f t="shared" si="38"/>
        <v>0</v>
      </c>
      <c r="AC207" s="11"/>
      <c r="AD207" s="143"/>
      <c r="AE207" s="9">
        <f t="array" ref="AE207">IFERROR(AD207/$G207*100,0)</f>
        <v>0</v>
      </c>
      <c r="AF207" s="143"/>
      <c r="AG207" s="9">
        <f t="shared" si="39"/>
        <v>0</v>
      </c>
      <c r="AH207" s="8" t="str">
        <f t="array" ref="AH207">IF(AG207&gt;5,"Perlu Sensus",IF(AND(AG207&gt;=0,AD207&gt;0),"Tetap Deteksi","Belum Deteksi"))</f>
        <v>Belum Deteksi</v>
      </c>
      <c r="AI207" s="143"/>
      <c r="AJ207" s="9">
        <f t="shared" si="40"/>
        <v>0</v>
      </c>
      <c r="AK207" s="11"/>
      <c r="AL207" s="143"/>
      <c r="AM207" s="143"/>
      <c r="AN207" s="9">
        <f t="shared" si="41"/>
        <v>0</v>
      </c>
      <c r="AO207" s="8" t="str">
        <f t="array" ref="AO207">IF(AN207&gt;5,"Perlu Sensus",IF(AND(AN207&gt;=0,AL207&gt;0),"Tetap Deteksi","Belum Deteksi"))</f>
        <v>Belum Deteksi</v>
      </c>
      <c r="AP207" s="143"/>
      <c r="AQ207" s="9">
        <f t="shared" si="42"/>
        <v>0</v>
      </c>
    </row>
    <row r="208" spans="1:43" outlineLevel="1" x14ac:dyDescent="0.15">
      <c r="A208" s="8" t="s">
        <v>1273</v>
      </c>
      <c r="B208" s="8" t="s">
        <v>14</v>
      </c>
      <c r="C208" s="8" t="s">
        <v>216</v>
      </c>
      <c r="D208" s="8" t="s">
        <v>1464</v>
      </c>
      <c r="E208" s="9">
        <v>33.71</v>
      </c>
      <c r="F208" s="8" t="s">
        <v>1740</v>
      </c>
      <c r="G208" s="10">
        <v>2797</v>
      </c>
      <c r="H208" s="11">
        <f t="array" ref="H208">IF(OR(N208&gt;0,AC208&gt;0),MAX(N208,AC208),MAX(AK208,V208))</f>
        <v>46249</v>
      </c>
      <c r="I208" s="143">
        <f t="array" ref="I208">IF(SUM(O208,AD208)&gt;0,SUM(O208,AD208),SUM(AL208,W208))</f>
        <v>123</v>
      </c>
      <c r="J208" s="9">
        <f t="shared" si="33"/>
        <v>4.3975688237397215</v>
      </c>
      <c r="K208" s="143">
        <f t="shared" si="43"/>
        <v>2</v>
      </c>
      <c r="L208" s="9">
        <f t="shared" si="34"/>
        <v>1.6260162601626018</v>
      </c>
      <c r="M208" s="8" t="str">
        <f t="array" ref="M208">IF(L208&gt;5,"Perlu Sensus",IF(AND(L208&gt;=0,I208&gt;0),"Tetap Deteksi","Belum Deteksi"))</f>
        <v>Tetap Deteksi</v>
      </c>
      <c r="N208" s="132">
        <v>46249</v>
      </c>
      <c r="O208" s="143">
        <f t="array" ref="O208">INDEX([28]Sheet1!$H$24:$H$231,MATCH(1,([28]Sheet1!$E$24:$E$231=$D208)*([28]Sheet1!$E$24:$E$231=$D208),0))</f>
        <v>123</v>
      </c>
      <c r="P208" s="9">
        <f t="array" ref="P208">IFERROR(O208/$G208*100,0)</f>
        <v>4.3975688237397215</v>
      </c>
      <c r="Q208" s="143">
        <f t="array" ref="Q208">INDEX([28]Sheet1!$J$24:$J$231,MATCH(1,([28]Sheet1!$E$24:$E$231=$D208)*([28]Sheet1!$E$24:$E$231=$D208),0))</f>
        <v>2</v>
      </c>
      <c r="R208" s="9">
        <f t="shared" si="35"/>
        <v>1.6260162601626018</v>
      </c>
      <c r="S208" s="8" t="str">
        <f t="array" ref="S208">IF(R208&gt;5,"Perlu Sensus",IF(AND(R208&gt;=0,O208&gt;0),"Tetap Deteksi","Belum Deteksi"))</f>
        <v>Tetap Deteksi</v>
      </c>
      <c r="T208" s="143"/>
      <c r="U208" s="9">
        <f t="shared" si="36"/>
        <v>0</v>
      </c>
      <c r="V208" s="11"/>
      <c r="W208" s="143"/>
      <c r="X208" s="143"/>
      <c r="Y208" s="9">
        <f t="shared" si="37"/>
        <v>0</v>
      </c>
      <c r="Z208" s="8" t="str">
        <f t="array" ref="Z208">IF(Y208&gt;5,"Perlu Sensus",IF(AND(Y208&gt;=0,W208&gt;0),"Tetap Deteksi","Belum Deteksi"))</f>
        <v>Belum Deteksi</v>
      </c>
      <c r="AA208" s="143"/>
      <c r="AB208" s="9">
        <f t="shared" si="38"/>
        <v>0</v>
      </c>
      <c r="AC208" s="11"/>
      <c r="AD208" s="143"/>
      <c r="AE208" s="9">
        <f t="array" ref="AE208">IFERROR(AD208/$G208*100,0)</f>
        <v>0</v>
      </c>
      <c r="AF208" s="143"/>
      <c r="AG208" s="9">
        <f t="shared" si="39"/>
        <v>0</v>
      </c>
      <c r="AH208" s="8" t="str">
        <f t="array" ref="AH208">IF(AG208&gt;5,"Perlu Sensus",IF(AND(AG208&gt;=0,AD208&gt;0),"Tetap Deteksi","Belum Deteksi"))</f>
        <v>Belum Deteksi</v>
      </c>
      <c r="AI208" s="143"/>
      <c r="AJ208" s="9">
        <f t="shared" si="40"/>
        <v>0</v>
      </c>
      <c r="AK208" s="11"/>
      <c r="AL208" s="143"/>
      <c r="AM208" s="143"/>
      <c r="AN208" s="9">
        <f t="shared" si="41"/>
        <v>0</v>
      </c>
      <c r="AO208" s="8" t="str">
        <f t="array" ref="AO208">IF(AN208&gt;5,"Perlu Sensus",IF(AND(AN208&gt;=0,AL208&gt;0),"Tetap Deteksi","Belum Deteksi"))</f>
        <v>Belum Deteksi</v>
      </c>
      <c r="AP208" s="143"/>
      <c r="AQ208" s="9">
        <f t="shared" si="42"/>
        <v>0</v>
      </c>
    </row>
    <row r="209" spans="1:43" outlineLevel="1" x14ac:dyDescent="0.15">
      <c r="A209" s="8" t="s">
        <v>1273</v>
      </c>
      <c r="B209" s="8" t="s">
        <v>14</v>
      </c>
      <c r="C209" s="8" t="s">
        <v>216</v>
      </c>
      <c r="D209" s="8" t="s">
        <v>1465</v>
      </c>
      <c r="E209" s="9">
        <v>38.9</v>
      </c>
      <c r="F209" s="8" t="s">
        <v>1740</v>
      </c>
      <c r="G209" s="10">
        <v>5136</v>
      </c>
      <c r="H209" s="11">
        <f t="array" ref="H209">IF(OR(N209&gt;0,AC209&gt;0),MAX(N209,AC209),MAX(AK209,V209))</f>
        <v>46249</v>
      </c>
      <c r="I209" s="143">
        <f t="array" ref="I209">IF(SUM(O209,AD209)&gt;0,SUM(O209,AD209),SUM(AL209,W209))</f>
        <v>122</v>
      </c>
      <c r="J209" s="9">
        <f t="shared" si="33"/>
        <v>2.3753894080996885</v>
      </c>
      <c r="K209" s="143">
        <f t="shared" si="43"/>
        <v>1</v>
      </c>
      <c r="L209" s="9">
        <f t="shared" si="34"/>
        <v>0.81967213114754101</v>
      </c>
      <c r="M209" s="8" t="str">
        <f t="array" ref="M209">IF(L209&gt;5,"Perlu Sensus",IF(AND(L209&gt;=0,I209&gt;0),"Tetap Deteksi","Belum Deteksi"))</f>
        <v>Tetap Deteksi</v>
      </c>
      <c r="N209" s="132">
        <v>46249</v>
      </c>
      <c r="O209" s="143">
        <f t="array" ref="O209">INDEX([28]Sheet1!$H$24:$H$231,MATCH(1,([28]Sheet1!$E$24:$E$231=$D209)*([28]Sheet1!$E$24:$E$231=$D209),0))</f>
        <v>122</v>
      </c>
      <c r="P209" s="9">
        <f t="array" ref="P209">IFERROR(O209/$G209*100,0)</f>
        <v>2.3753894080996885</v>
      </c>
      <c r="Q209" s="143">
        <f t="array" ref="Q209">INDEX([28]Sheet1!$J$24:$J$231,MATCH(1,([28]Sheet1!$E$24:$E$231=$D209)*([28]Sheet1!$E$24:$E$231=$D209),0))</f>
        <v>1</v>
      </c>
      <c r="R209" s="9">
        <f t="shared" si="35"/>
        <v>0.81967213114754101</v>
      </c>
      <c r="S209" s="8" t="str">
        <f t="array" ref="S209">IF(R209&gt;5,"Perlu Sensus",IF(AND(R209&gt;=0,O209&gt;0),"Tetap Deteksi","Belum Deteksi"))</f>
        <v>Tetap Deteksi</v>
      </c>
      <c r="T209" s="143"/>
      <c r="U209" s="9">
        <f t="shared" si="36"/>
        <v>0</v>
      </c>
      <c r="V209" s="11"/>
      <c r="W209" s="143"/>
      <c r="X209" s="143"/>
      <c r="Y209" s="9">
        <f t="shared" si="37"/>
        <v>0</v>
      </c>
      <c r="Z209" s="8" t="str">
        <f t="array" ref="Z209">IF(Y209&gt;5,"Perlu Sensus",IF(AND(Y209&gt;=0,W209&gt;0),"Tetap Deteksi","Belum Deteksi"))</f>
        <v>Belum Deteksi</v>
      </c>
      <c r="AA209" s="143"/>
      <c r="AB209" s="9">
        <f t="shared" si="38"/>
        <v>0</v>
      </c>
      <c r="AC209" s="11"/>
      <c r="AD209" s="143"/>
      <c r="AE209" s="9">
        <f t="array" ref="AE209">IFERROR(AD209/$G209*100,0)</f>
        <v>0</v>
      </c>
      <c r="AF209" s="143"/>
      <c r="AG209" s="9">
        <f t="shared" si="39"/>
        <v>0</v>
      </c>
      <c r="AH209" s="8" t="str">
        <f t="array" ref="AH209">IF(AG209&gt;5,"Perlu Sensus",IF(AND(AG209&gt;=0,AD209&gt;0),"Tetap Deteksi","Belum Deteksi"))</f>
        <v>Belum Deteksi</v>
      </c>
      <c r="AI209" s="143"/>
      <c r="AJ209" s="9">
        <f t="shared" si="40"/>
        <v>0</v>
      </c>
      <c r="AK209" s="11"/>
      <c r="AL209" s="143"/>
      <c r="AM209" s="143"/>
      <c r="AN209" s="9">
        <f t="shared" si="41"/>
        <v>0</v>
      </c>
      <c r="AO209" s="8" t="str">
        <f t="array" ref="AO209">IF(AN209&gt;5,"Perlu Sensus",IF(AND(AN209&gt;=0,AL209&gt;0),"Tetap Deteksi","Belum Deteksi"))</f>
        <v>Belum Deteksi</v>
      </c>
      <c r="AP209" s="143"/>
      <c r="AQ209" s="9">
        <f t="shared" si="42"/>
        <v>0</v>
      </c>
    </row>
    <row r="210" spans="1:43" outlineLevel="1" x14ac:dyDescent="0.15">
      <c r="A210" s="8" t="s">
        <v>1273</v>
      </c>
      <c r="B210" s="8" t="s">
        <v>14</v>
      </c>
      <c r="C210" s="8" t="s">
        <v>216</v>
      </c>
      <c r="D210" s="8" t="s">
        <v>1466</v>
      </c>
      <c r="E210" s="9">
        <v>27.740000000000002</v>
      </c>
      <c r="F210" s="8" t="s">
        <v>1740</v>
      </c>
      <c r="G210" s="10">
        <v>3197</v>
      </c>
      <c r="H210" s="11">
        <f t="array" ref="H210">IF(OR(N210&gt;0,AC210&gt;0),MAX(N210,AC210),MAX(AK210,V210))</f>
        <v>46249</v>
      </c>
      <c r="I210" s="143">
        <f t="array" ref="I210">IF(SUM(O210,AD210)&gt;0,SUM(O210,AD210),SUM(AL210,W210))</f>
        <v>104</v>
      </c>
      <c r="J210" s="9">
        <f t="shared" si="33"/>
        <v>3.2530497341257432</v>
      </c>
      <c r="K210" s="143">
        <f t="shared" si="43"/>
        <v>1</v>
      </c>
      <c r="L210" s="9">
        <f t="shared" si="34"/>
        <v>0.96153846153846156</v>
      </c>
      <c r="M210" s="8" t="str">
        <f t="array" ref="M210">IF(L210&gt;5,"Perlu Sensus",IF(AND(L210&gt;=0,I210&gt;0),"Tetap Deteksi","Belum Deteksi"))</f>
        <v>Tetap Deteksi</v>
      </c>
      <c r="N210" s="132">
        <v>46249</v>
      </c>
      <c r="O210" s="143">
        <f t="array" ref="O210">INDEX([28]Sheet1!$H$24:$H$231,MATCH(1,([28]Sheet1!$E$24:$E$231=$D210)*([28]Sheet1!$E$24:$E$231=$D210),0))</f>
        <v>104</v>
      </c>
      <c r="P210" s="9">
        <f t="array" ref="P210">IFERROR(O210/$G210*100,0)</f>
        <v>3.2530497341257432</v>
      </c>
      <c r="Q210" s="143">
        <f t="array" ref="Q210">INDEX([28]Sheet1!$J$24:$J$231,MATCH(1,([28]Sheet1!$E$24:$E$231=$D210)*([28]Sheet1!$E$24:$E$231=$D210),0))</f>
        <v>1</v>
      </c>
      <c r="R210" s="9">
        <f t="shared" si="35"/>
        <v>0.96153846153846156</v>
      </c>
      <c r="S210" s="8" t="str">
        <f t="array" ref="S210">IF(R210&gt;5,"Perlu Sensus",IF(AND(R210&gt;=0,O210&gt;0),"Tetap Deteksi","Belum Deteksi"))</f>
        <v>Tetap Deteksi</v>
      </c>
      <c r="T210" s="143"/>
      <c r="U210" s="9">
        <f t="shared" si="36"/>
        <v>0</v>
      </c>
      <c r="V210" s="11"/>
      <c r="W210" s="143"/>
      <c r="X210" s="143"/>
      <c r="Y210" s="9">
        <f t="shared" si="37"/>
        <v>0</v>
      </c>
      <c r="Z210" s="8" t="str">
        <f t="array" ref="Z210">IF(Y210&gt;5,"Perlu Sensus",IF(AND(Y210&gt;=0,W210&gt;0),"Tetap Deteksi","Belum Deteksi"))</f>
        <v>Belum Deteksi</v>
      </c>
      <c r="AA210" s="143"/>
      <c r="AB210" s="9">
        <f t="shared" si="38"/>
        <v>0</v>
      </c>
      <c r="AC210" s="11"/>
      <c r="AD210" s="143"/>
      <c r="AE210" s="9">
        <f t="array" ref="AE210">IFERROR(AD210/$G210*100,0)</f>
        <v>0</v>
      </c>
      <c r="AF210" s="143"/>
      <c r="AG210" s="9">
        <f t="shared" si="39"/>
        <v>0</v>
      </c>
      <c r="AH210" s="8" t="str">
        <f t="array" ref="AH210">IF(AG210&gt;5,"Perlu Sensus",IF(AND(AG210&gt;=0,AD210&gt;0),"Tetap Deteksi","Belum Deteksi"))</f>
        <v>Belum Deteksi</v>
      </c>
      <c r="AI210" s="143"/>
      <c r="AJ210" s="9">
        <f t="shared" si="40"/>
        <v>0</v>
      </c>
      <c r="AK210" s="11"/>
      <c r="AL210" s="143"/>
      <c r="AM210" s="143"/>
      <c r="AN210" s="9">
        <f t="shared" si="41"/>
        <v>0</v>
      </c>
      <c r="AO210" s="8" t="str">
        <f t="array" ref="AO210">IF(AN210&gt;5,"Perlu Sensus",IF(AND(AN210&gt;=0,AL210&gt;0),"Tetap Deteksi","Belum Deteksi"))</f>
        <v>Belum Deteksi</v>
      </c>
      <c r="AP210" s="143"/>
      <c r="AQ210" s="9">
        <f t="shared" si="42"/>
        <v>0</v>
      </c>
    </row>
    <row r="211" spans="1:43" outlineLevel="1" x14ac:dyDescent="0.15">
      <c r="A211" s="8" t="s">
        <v>1273</v>
      </c>
      <c r="B211" s="8" t="s">
        <v>14</v>
      </c>
      <c r="C211" s="8" t="s">
        <v>216</v>
      </c>
      <c r="D211" s="8" t="s">
        <v>1467</v>
      </c>
      <c r="E211" s="9">
        <v>30.409999999999997</v>
      </c>
      <c r="F211" s="8" t="s">
        <v>1740</v>
      </c>
      <c r="G211" s="10">
        <v>2442</v>
      </c>
      <c r="H211" s="11">
        <f t="array" ref="H211">IF(OR(N211&gt;0,AC211&gt;0),MAX(N211,AC211),MAX(AK211,V211))</f>
        <v>46249</v>
      </c>
      <c r="I211" s="143">
        <f t="array" ref="I211">IF(SUM(O211,AD211)&gt;0,SUM(O211,AD211),SUM(AL211,W211))</f>
        <v>146</v>
      </c>
      <c r="J211" s="9">
        <f t="shared" si="33"/>
        <v>5.9787059787059791</v>
      </c>
      <c r="K211" s="143">
        <f t="shared" si="43"/>
        <v>2</v>
      </c>
      <c r="L211" s="9">
        <f t="shared" si="34"/>
        <v>1.3698630136986301</v>
      </c>
      <c r="M211" s="8" t="str">
        <f t="array" ref="M211">IF(L211&gt;5,"Perlu Sensus",IF(AND(L211&gt;=0,I211&gt;0),"Tetap Deteksi","Belum Deteksi"))</f>
        <v>Tetap Deteksi</v>
      </c>
      <c r="N211" s="132">
        <v>46249</v>
      </c>
      <c r="O211" s="143">
        <f t="array" ref="O211">INDEX([28]Sheet1!$H$24:$H$231,MATCH(1,([28]Sheet1!$E$24:$E$231=$D211)*([28]Sheet1!$E$24:$E$231=$D211),0))</f>
        <v>146</v>
      </c>
      <c r="P211" s="9">
        <f t="array" ref="P211">IFERROR(O211/$G211*100,0)</f>
        <v>5.9787059787059791</v>
      </c>
      <c r="Q211" s="143">
        <f t="array" ref="Q211">INDEX([28]Sheet1!$J$24:$J$231,MATCH(1,([28]Sheet1!$E$24:$E$231=$D211)*([28]Sheet1!$E$24:$E$231=$D211),0))</f>
        <v>2</v>
      </c>
      <c r="R211" s="9">
        <f t="shared" si="35"/>
        <v>1.3698630136986301</v>
      </c>
      <c r="S211" s="8" t="str">
        <f t="array" ref="S211">IF(R211&gt;5,"Perlu Sensus",IF(AND(R211&gt;=0,O211&gt;0),"Tetap Deteksi","Belum Deteksi"))</f>
        <v>Tetap Deteksi</v>
      </c>
      <c r="T211" s="143"/>
      <c r="U211" s="9">
        <f t="shared" si="36"/>
        <v>0</v>
      </c>
      <c r="V211" s="11"/>
      <c r="W211" s="143"/>
      <c r="X211" s="143"/>
      <c r="Y211" s="9">
        <f t="shared" si="37"/>
        <v>0</v>
      </c>
      <c r="Z211" s="8" t="str">
        <f t="array" ref="Z211">IF(Y211&gt;5,"Perlu Sensus",IF(AND(Y211&gt;=0,W211&gt;0),"Tetap Deteksi","Belum Deteksi"))</f>
        <v>Belum Deteksi</v>
      </c>
      <c r="AA211" s="143"/>
      <c r="AB211" s="9">
        <f t="shared" si="38"/>
        <v>0</v>
      </c>
      <c r="AC211" s="11"/>
      <c r="AD211" s="143"/>
      <c r="AE211" s="9">
        <f t="array" ref="AE211">IFERROR(AD211/$G211*100,0)</f>
        <v>0</v>
      </c>
      <c r="AF211" s="143"/>
      <c r="AG211" s="9">
        <f t="shared" si="39"/>
        <v>0</v>
      </c>
      <c r="AH211" s="8" t="str">
        <f t="array" ref="AH211">IF(AG211&gt;5,"Perlu Sensus",IF(AND(AG211&gt;=0,AD211&gt;0),"Tetap Deteksi","Belum Deteksi"))</f>
        <v>Belum Deteksi</v>
      </c>
      <c r="AI211" s="143"/>
      <c r="AJ211" s="9">
        <f t="shared" si="40"/>
        <v>0</v>
      </c>
      <c r="AK211" s="11"/>
      <c r="AL211" s="143"/>
      <c r="AM211" s="143"/>
      <c r="AN211" s="9">
        <f t="shared" si="41"/>
        <v>0</v>
      </c>
      <c r="AO211" s="8" t="str">
        <f t="array" ref="AO211">IF(AN211&gt;5,"Perlu Sensus",IF(AND(AN211&gt;=0,AL211&gt;0),"Tetap Deteksi","Belum Deteksi"))</f>
        <v>Belum Deteksi</v>
      </c>
      <c r="AP211" s="143"/>
      <c r="AQ211" s="9">
        <f t="shared" si="42"/>
        <v>0</v>
      </c>
    </row>
    <row r="212" spans="1:43" outlineLevel="1" x14ac:dyDescent="0.15">
      <c r="A212" s="8" t="s">
        <v>1273</v>
      </c>
      <c r="B212" s="8" t="s">
        <v>14</v>
      </c>
      <c r="C212" s="8" t="s">
        <v>216</v>
      </c>
      <c r="D212" s="8" t="s">
        <v>1468</v>
      </c>
      <c r="E212" s="9">
        <v>51.39</v>
      </c>
      <c r="F212" s="8" t="s">
        <v>1740</v>
      </c>
      <c r="G212" s="10">
        <v>6305</v>
      </c>
      <c r="H212" s="11">
        <f t="array" ref="H212">IF(OR(N212&gt;0,AC212&gt;0),MAX(N212,AC212),MAX(AK212,V212))</f>
        <v>46249</v>
      </c>
      <c r="I212" s="143">
        <f t="array" ref="I212">IF(SUM(O212,AD212)&gt;0,SUM(O212,AD212),SUM(AL212,W212))</f>
        <v>123</v>
      </c>
      <c r="J212" s="9">
        <f t="shared" si="33"/>
        <v>1.950832672482157</v>
      </c>
      <c r="K212" s="143">
        <f t="shared" si="43"/>
        <v>1</v>
      </c>
      <c r="L212" s="9">
        <f t="shared" si="34"/>
        <v>0.81300813008130091</v>
      </c>
      <c r="M212" s="8" t="str">
        <f t="array" ref="M212">IF(L212&gt;5,"Perlu Sensus",IF(AND(L212&gt;=0,I212&gt;0),"Tetap Deteksi","Belum Deteksi"))</f>
        <v>Tetap Deteksi</v>
      </c>
      <c r="N212" s="132">
        <v>46249</v>
      </c>
      <c r="O212" s="143">
        <f t="array" ref="O212">INDEX([28]Sheet1!$H$24:$H$231,MATCH(1,([28]Sheet1!$E$24:$E$231=$D212)*([28]Sheet1!$E$24:$E$231=$D212),0))</f>
        <v>123</v>
      </c>
      <c r="P212" s="9">
        <f t="array" ref="P212">IFERROR(O212/$G212*100,0)</f>
        <v>1.950832672482157</v>
      </c>
      <c r="Q212" s="143">
        <f t="array" ref="Q212">INDEX([28]Sheet1!$J$24:$J$231,MATCH(1,([28]Sheet1!$E$24:$E$231=$D212)*([28]Sheet1!$E$24:$E$231=$D212),0))</f>
        <v>1</v>
      </c>
      <c r="R212" s="9">
        <f t="shared" si="35"/>
        <v>0.81300813008130091</v>
      </c>
      <c r="S212" s="8" t="str">
        <f t="array" ref="S212">IF(R212&gt;5,"Perlu Sensus",IF(AND(R212&gt;=0,O212&gt;0),"Tetap Deteksi","Belum Deteksi"))</f>
        <v>Tetap Deteksi</v>
      </c>
      <c r="T212" s="143"/>
      <c r="U212" s="9">
        <f t="shared" si="36"/>
        <v>0</v>
      </c>
      <c r="V212" s="11"/>
      <c r="W212" s="143"/>
      <c r="X212" s="143"/>
      <c r="Y212" s="9">
        <f t="shared" si="37"/>
        <v>0</v>
      </c>
      <c r="Z212" s="8" t="str">
        <f t="array" ref="Z212">IF(Y212&gt;5,"Perlu Sensus",IF(AND(Y212&gt;=0,W212&gt;0),"Tetap Deteksi","Belum Deteksi"))</f>
        <v>Belum Deteksi</v>
      </c>
      <c r="AA212" s="143"/>
      <c r="AB212" s="9">
        <f t="shared" si="38"/>
        <v>0</v>
      </c>
      <c r="AC212" s="11"/>
      <c r="AD212" s="143"/>
      <c r="AE212" s="9">
        <f t="array" ref="AE212">IFERROR(AD212/$G212*100,0)</f>
        <v>0</v>
      </c>
      <c r="AF212" s="143"/>
      <c r="AG212" s="9">
        <f t="shared" si="39"/>
        <v>0</v>
      </c>
      <c r="AH212" s="8" t="str">
        <f t="array" ref="AH212">IF(AG212&gt;5,"Perlu Sensus",IF(AND(AG212&gt;=0,AD212&gt;0),"Tetap Deteksi","Belum Deteksi"))</f>
        <v>Belum Deteksi</v>
      </c>
      <c r="AI212" s="143"/>
      <c r="AJ212" s="9">
        <f t="shared" si="40"/>
        <v>0</v>
      </c>
      <c r="AK212" s="11"/>
      <c r="AL212" s="143"/>
      <c r="AM212" s="143"/>
      <c r="AN212" s="9">
        <f t="shared" si="41"/>
        <v>0</v>
      </c>
      <c r="AO212" s="8" t="str">
        <f t="array" ref="AO212">IF(AN212&gt;5,"Perlu Sensus",IF(AND(AN212&gt;=0,AL212&gt;0),"Tetap Deteksi","Belum Deteksi"))</f>
        <v>Belum Deteksi</v>
      </c>
      <c r="AP212" s="143"/>
      <c r="AQ212" s="9">
        <f t="shared" si="42"/>
        <v>0</v>
      </c>
    </row>
    <row r="213" spans="1:43" outlineLevel="1" x14ac:dyDescent="0.15">
      <c r="A213" s="8" t="s">
        <v>1273</v>
      </c>
      <c r="B213" s="8" t="s">
        <v>14</v>
      </c>
      <c r="C213" s="8" t="s">
        <v>216</v>
      </c>
      <c r="D213" s="8" t="s">
        <v>1469</v>
      </c>
      <c r="E213" s="9">
        <v>28.16</v>
      </c>
      <c r="F213" s="8" t="s">
        <v>1740</v>
      </c>
      <c r="G213" s="10">
        <v>1541</v>
      </c>
      <c r="H213" s="11">
        <f t="array" ref="H213">IF(OR(N213&gt;0,AC213&gt;0),MAX(N213,AC213),MAX(AK213,V213))</f>
        <v>46249</v>
      </c>
      <c r="I213" s="143">
        <f t="array" ref="I213">IF(SUM(O213,AD213)&gt;0,SUM(O213,AD213),SUM(AL213,W213))</f>
        <v>125</v>
      </c>
      <c r="J213" s="9">
        <f t="shared" si="33"/>
        <v>8.1116158338741062</v>
      </c>
      <c r="K213" s="143">
        <f t="shared" si="43"/>
        <v>2</v>
      </c>
      <c r="L213" s="9">
        <f t="shared" si="34"/>
        <v>1.6</v>
      </c>
      <c r="M213" s="8" t="str">
        <f t="array" ref="M213">IF(L213&gt;5,"Perlu Sensus",IF(AND(L213&gt;=0,I213&gt;0),"Tetap Deteksi","Belum Deteksi"))</f>
        <v>Tetap Deteksi</v>
      </c>
      <c r="N213" s="132">
        <v>46249</v>
      </c>
      <c r="O213" s="143">
        <f t="array" ref="O213">INDEX([28]Sheet1!$H$24:$H$231,MATCH(1,([28]Sheet1!$E$24:$E$231=$D213)*([28]Sheet1!$E$24:$E$231=$D213),0))</f>
        <v>125</v>
      </c>
      <c r="P213" s="9">
        <f t="array" ref="P213">IFERROR(O213/$G213*100,0)</f>
        <v>8.1116158338741062</v>
      </c>
      <c r="Q213" s="143">
        <f t="array" ref="Q213">INDEX([28]Sheet1!$J$24:$J$231,MATCH(1,([28]Sheet1!$E$24:$E$231=$D213)*([28]Sheet1!$E$24:$E$231=$D213),0))</f>
        <v>2</v>
      </c>
      <c r="R213" s="9">
        <f t="shared" si="35"/>
        <v>1.6</v>
      </c>
      <c r="S213" s="8" t="str">
        <f t="array" ref="S213">IF(R213&gt;5,"Perlu Sensus",IF(AND(R213&gt;=0,O213&gt;0),"Tetap Deteksi","Belum Deteksi"))</f>
        <v>Tetap Deteksi</v>
      </c>
      <c r="T213" s="143"/>
      <c r="U213" s="9">
        <f t="shared" si="36"/>
        <v>0</v>
      </c>
      <c r="V213" s="11"/>
      <c r="W213" s="143"/>
      <c r="X213" s="143"/>
      <c r="Y213" s="9">
        <f t="shared" si="37"/>
        <v>0</v>
      </c>
      <c r="Z213" s="8" t="str">
        <f t="array" ref="Z213">IF(Y213&gt;5,"Perlu Sensus",IF(AND(Y213&gt;=0,W213&gt;0),"Tetap Deteksi","Belum Deteksi"))</f>
        <v>Belum Deteksi</v>
      </c>
      <c r="AA213" s="143"/>
      <c r="AB213" s="9">
        <f t="shared" si="38"/>
        <v>0</v>
      </c>
      <c r="AC213" s="11"/>
      <c r="AD213" s="143"/>
      <c r="AE213" s="9">
        <f t="array" ref="AE213">IFERROR(AD213/$G213*100,0)</f>
        <v>0</v>
      </c>
      <c r="AF213" s="143"/>
      <c r="AG213" s="9">
        <f t="shared" si="39"/>
        <v>0</v>
      </c>
      <c r="AH213" s="8" t="str">
        <f t="array" ref="AH213">IF(AG213&gt;5,"Perlu Sensus",IF(AND(AG213&gt;=0,AD213&gt;0),"Tetap Deteksi","Belum Deteksi"))</f>
        <v>Belum Deteksi</v>
      </c>
      <c r="AI213" s="143"/>
      <c r="AJ213" s="9">
        <f t="shared" si="40"/>
        <v>0</v>
      </c>
      <c r="AK213" s="11"/>
      <c r="AL213" s="143"/>
      <c r="AM213" s="143"/>
      <c r="AN213" s="9">
        <f t="shared" si="41"/>
        <v>0</v>
      </c>
      <c r="AO213" s="8" t="str">
        <f t="array" ref="AO213">IF(AN213&gt;5,"Perlu Sensus",IF(AND(AN213&gt;=0,AL213&gt;0),"Tetap Deteksi","Belum Deteksi"))</f>
        <v>Belum Deteksi</v>
      </c>
      <c r="AP213" s="143"/>
      <c r="AQ213" s="9">
        <f t="shared" si="42"/>
        <v>0</v>
      </c>
    </row>
    <row r="214" spans="1:43" outlineLevel="1" x14ac:dyDescent="0.15">
      <c r="A214" s="8" t="s">
        <v>1739</v>
      </c>
      <c r="B214" s="8" t="s">
        <v>14</v>
      </c>
      <c r="C214" s="8" t="s">
        <v>252</v>
      </c>
      <c r="D214" s="8" t="s">
        <v>1078</v>
      </c>
      <c r="E214" s="9">
        <v>24.6</v>
      </c>
      <c r="F214" s="8" t="s">
        <v>1740</v>
      </c>
      <c r="G214" s="10">
        <v>3121</v>
      </c>
      <c r="H214" s="11">
        <f t="array" ref="H214">IF(OR(N214&gt;0,AC214&gt;0),MAX(N214,AC214),MAX(AK214,V214))</f>
        <v>46235</v>
      </c>
      <c r="I214" s="143">
        <f t="array" ref="I214">IF(SUM(O214,AD214)&gt;0,SUM(O214,AD214),SUM(AL214,W214))</f>
        <v>98</v>
      </c>
      <c r="J214" s="9">
        <f t="shared" si="33"/>
        <v>3.1400192246074972</v>
      </c>
      <c r="K214" s="143">
        <f t="shared" si="43"/>
        <v>1</v>
      </c>
      <c r="L214" s="9">
        <f t="shared" si="34"/>
        <v>1.0204081632653061</v>
      </c>
      <c r="M214" s="8" t="str">
        <f t="array" ref="M214">IF(L214&gt;5,"Perlu Sensus",IF(AND(L214&gt;=0,I214&gt;0),"Tetap Deteksi","Belum Deteksi"))</f>
        <v>Tetap Deteksi</v>
      </c>
      <c r="N214" s="11">
        <v>46235</v>
      </c>
      <c r="O214" s="143">
        <v>98</v>
      </c>
      <c r="P214" s="9">
        <f t="array" ref="P214">IFERROR(O214/$G214*100,0)</f>
        <v>3.1400192246074972</v>
      </c>
      <c r="Q214" s="143">
        <v>1</v>
      </c>
      <c r="R214" s="9">
        <f t="shared" si="35"/>
        <v>1.0204081632653061</v>
      </c>
      <c r="S214" s="8" t="str">
        <f t="array" ref="S214">IF(R214&gt;5,"Perlu Sensus",IF(AND(R214&gt;=0,O214&gt;0),"Tetap Deteksi","Belum Deteksi"))</f>
        <v>Tetap Deteksi</v>
      </c>
      <c r="T214" s="143">
        <v>7</v>
      </c>
      <c r="U214" s="9">
        <f t="shared" si="36"/>
        <v>7.1428571428571423</v>
      </c>
      <c r="V214" s="132">
        <v>46249</v>
      </c>
      <c r="W214" s="143">
        <v>408</v>
      </c>
      <c r="X214" s="143">
        <v>12</v>
      </c>
      <c r="Y214" s="9">
        <f t="shared" si="37"/>
        <v>2.9411764705882351</v>
      </c>
      <c r="Z214" s="8" t="str">
        <f t="array" ref="Z214">IF(Y214&gt;5,"Perlu Sensus",IF(AND(Y214&gt;=0,W214&gt;0),"Tetap Deteksi","Belum Deteksi"))</f>
        <v>Tetap Deteksi</v>
      </c>
      <c r="AA214" s="143">
        <v>18</v>
      </c>
      <c r="AB214" s="9">
        <f t="shared" si="38"/>
        <v>4.4117647058823533</v>
      </c>
      <c r="AC214" s="11"/>
      <c r="AD214" s="143"/>
      <c r="AE214" s="9">
        <f t="array" ref="AE214">IFERROR(AD214/$G214*100,0)</f>
        <v>0</v>
      </c>
      <c r="AF214" s="143"/>
      <c r="AG214" s="9">
        <f t="shared" si="39"/>
        <v>0</v>
      </c>
      <c r="AH214" s="8" t="str">
        <f t="array" ref="AH214">IF(AG214&gt;5,"Perlu Sensus",IF(AND(AG214&gt;=0,AD214&gt;0),"Tetap Deteksi","Belum Deteksi"))</f>
        <v>Belum Deteksi</v>
      </c>
      <c r="AI214" s="143"/>
      <c r="AJ214" s="9">
        <f t="shared" si="40"/>
        <v>0</v>
      </c>
      <c r="AK214" s="11"/>
      <c r="AL214" s="143"/>
      <c r="AM214" s="143"/>
      <c r="AN214" s="9">
        <f t="shared" si="41"/>
        <v>0</v>
      </c>
      <c r="AO214" s="8" t="str">
        <f t="array" ref="AO214">IF(AN214&gt;5,"Perlu Sensus",IF(AND(AN214&gt;=0,AL214&gt;0),"Tetap Deteksi","Belum Deteksi"))</f>
        <v>Belum Deteksi</v>
      </c>
      <c r="AP214" s="143"/>
      <c r="AQ214" s="9">
        <f t="shared" si="42"/>
        <v>0</v>
      </c>
    </row>
    <row r="215" spans="1:43" outlineLevel="1" x14ac:dyDescent="0.15">
      <c r="A215" s="8" t="s">
        <v>1739</v>
      </c>
      <c r="B215" s="8" t="s">
        <v>14</v>
      </c>
      <c r="C215" s="8" t="s">
        <v>252</v>
      </c>
      <c r="D215" s="8" t="s">
        <v>1079</v>
      </c>
      <c r="E215" s="9">
        <v>28.45</v>
      </c>
      <c r="F215" s="8" t="s">
        <v>1740</v>
      </c>
      <c r="G215" s="10">
        <v>3539</v>
      </c>
      <c r="H215" s="11">
        <f t="array" ref="H215">IF(OR(N215&gt;0,AC215&gt;0),MAX(N215,AC215),MAX(AK215,V215))</f>
        <v>46235</v>
      </c>
      <c r="I215" s="143">
        <f t="array" ref="I215">IF(SUM(O215,AD215)&gt;0,SUM(O215,AD215),SUM(AL215,W215))</f>
        <v>86</v>
      </c>
      <c r="J215" s="9">
        <f t="shared" si="33"/>
        <v>2.4300649901102007</v>
      </c>
      <c r="K215" s="143">
        <f t="shared" si="43"/>
        <v>2</v>
      </c>
      <c r="L215" s="9">
        <f t="shared" si="34"/>
        <v>2.3255813953488373</v>
      </c>
      <c r="M215" s="8" t="str">
        <f t="array" ref="M215">IF(L215&gt;5,"Perlu Sensus",IF(AND(L215&gt;=0,I215&gt;0),"Tetap Deteksi","Belum Deteksi"))</f>
        <v>Tetap Deteksi</v>
      </c>
      <c r="N215" s="11">
        <v>46235</v>
      </c>
      <c r="O215" s="143">
        <v>86</v>
      </c>
      <c r="P215" s="9">
        <f t="array" ref="P215">IFERROR(O215/$G215*100,0)</f>
        <v>2.4300649901102007</v>
      </c>
      <c r="Q215" s="143">
        <v>2</v>
      </c>
      <c r="R215" s="9">
        <f t="shared" si="35"/>
        <v>2.3255813953488373</v>
      </c>
      <c r="S215" s="8" t="str">
        <f t="array" ref="S215">IF(R215&gt;5,"Perlu Sensus",IF(AND(R215&gt;=0,O215&gt;0),"Tetap Deteksi","Belum Deteksi"))</f>
        <v>Tetap Deteksi</v>
      </c>
      <c r="T215" s="143">
        <v>6</v>
      </c>
      <c r="U215" s="9">
        <f t="shared" si="36"/>
        <v>6.9767441860465116</v>
      </c>
      <c r="V215" s="132">
        <v>46249</v>
      </c>
      <c r="W215" s="143">
        <v>369</v>
      </c>
      <c r="X215" s="143">
        <v>13</v>
      </c>
      <c r="Y215" s="9">
        <f t="shared" si="37"/>
        <v>3.5230352303523031</v>
      </c>
      <c r="Z215" s="8" t="str">
        <f t="array" ref="Z215">IF(Y215&gt;5,"Perlu Sensus",IF(AND(Y215&gt;=0,W215&gt;0),"Tetap Deteksi","Belum Deteksi"))</f>
        <v>Tetap Deteksi</v>
      </c>
      <c r="AA215" s="143">
        <v>18</v>
      </c>
      <c r="AB215" s="9">
        <f t="shared" si="38"/>
        <v>4.8780487804878048</v>
      </c>
      <c r="AC215" s="11"/>
      <c r="AD215" s="143"/>
      <c r="AE215" s="9">
        <f t="array" ref="AE215">IFERROR(AD215/$G215*100,0)</f>
        <v>0</v>
      </c>
      <c r="AF215" s="143"/>
      <c r="AG215" s="9">
        <f t="shared" si="39"/>
        <v>0</v>
      </c>
      <c r="AH215" s="8" t="str">
        <f t="array" ref="AH215">IF(AG215&gt;5,"Perlu Sensus",IF(AND(AG215&gt;=0,AD215&gt;0),"Tetap Deteksi","Belum Deteksi"))</f>
        <v>Belum Deteksi</v>
      </c>
      <c r="AI215" s="143"/>
      <c r="AJ215" s="9">
        <f t="shared" si="40"/>
        <v>0</v>
      </c>
      <c r="AK215" s="11"/>
      <c r="AL215" s="143"/>
      <c r="AM215" s="143"/>
      <c r="AN215" s="9">
        <f t="shared" si="41"/>
        <v>0</v>
      </c>
      <c r="AO215" s="8" t="str">
        <f t="array" ref="AO215">IF(AN215&gt;5,"Perlu Sensus",IF(AND(AN215&gt;=0,AL215&gt;0),"Tetap Deteksi","Belum Deteksi"))</f>
        <v>Belum Deteksi</v>
      </c>
      <c r="AP215" s="143"/>
      <c r="AQ215" s="9">
        <f t="shared" si="42"/>
        <v>0</v>
      </c>
    </row>
    <row r="216" spans="1:43" outlineLevel="1" x14ac:dyDescent="0.15">
      <c r="A216" s="8" t="s">
        <v>1739</v>
      </c>
      <c r="B216" s="8" t="s">
        <v>14</v>
      </c>
      <c r="C216" s="8" t="s">
        <v>252</v>
      </c>
      <c r="D216" s="8" t="s">
        <v>1080</v>
      </c>
      <c r="E216" s="9">
        <v>29.4</v>
      </c>
      <c r="F216" s="8" t="s">
        <v>1740</v>
      </c>
      <c r="G216" s="10">
        <v>3865</v>
      </c>
      <c r="H216" s="11">
        <f t="array" ref="H216">IF(OR(N216&gt;0,AC216&gt;0),MAX(N216,AC216),MAX(AK216,V216))</f>
        <v>46235</v>
      </c>
      <c r="I216" s="143">
        <f t="array" ref="I216">IF(SUM(O216,AD216)&gt;0,SUM(O216,AD216),SUM(AL216,W216))</f>
        <v>78</v>
      </c>
      <c r="J216" s="9">
        <f t="shared" si="33"/>
        <v>2.0181112548512288</v>
      </c>
      <c r="K216" s="143">
        <f t="shared" si="43"/>
        <v>1</v>
      </c>
      <c r="L216" s="9">
        <f t="shared" si="34"/>
        <v>1.2820512820512819</v>
      </c>
      <c r="M216" s="8" t="str">
        <f t="array" ref="M216">IF(L216&gt;5,"Perlu Sensus",IF(AND(L216&gt;=0,I216&gt;0),"Tetap Deteksi","Belum Deteksi"))</f>
        <v>Tetap Deteksi</v>
      </c>
      <c r="N216" s="11">
        <v>46235</v>
      </c>
      <c r="O216" s="143">
        <v>78</v>
      </c>
      <c r="P216" s="9">
        <f t="array" ref="P216">IFERROR(O216/$G216*100,0)</f>
        <v>2.0181112548512288</v>
      </c>
      <c r="Q216" s="143">
        <v>1</v>
      </c>
      <c r="R216" s="9">
        <f t="shared" si="35"/>
        <v>1.2820512820512819</v>
      </c>
      <c r="S216" s="8" t="str">
        <f t="array" ref="S216">IF(R216&gt;5,"Perlu Sensus",IF(AND(R216&gt;=0,O216&gt;0),"Tetap Deteksi","Belum Deteksi"))</f>
        <v>Tetap Deteksi</v>
      </c>
      <c r="T216" s="143">
        <v>7</v>
      </c>
      <c r="U216" s="9">
        <f t="shared" si="36"/>
        <v>8.9743589743589745</v>
      </c>
      <c r="V216" s="132">
        <v>46249</v>
      </c>
      <c r="W216" s="143">
        <v>270</v>
      </c>
      <c r="X216" s="143">
        <v>8</v>
      </c>
      <c r="Y216" s="9">
        <f t="shared" si="37"/>
        <v>2.9629629629629632</v>
      </c>
      <c r="Z216" s="8" t="str">
        <f t="array" ref="Z216">IF(Y216&gt;5,"Perlu Sensus",IF(AND(Y216&gt;=0,W216&gt;0),"Tetap Deteksi","Belum Deteksi"))</f>
        <v>Tetap Deteksi</v>
      </c>
      <c r="AA216" s="143">
        <v>13</v>
      </c>
      <c r="AB216" s="9">
        <f t="shared" si="38"/>
        <v>4.8148148148148149</v>
      </c>
      <c r="AC216" s="11"/>
      <c r="AD216" s="143"/>
      <c r="AE216" s="9">
        <f t="array" ref="AE216">IFERROR(AD216/$G216*100,0)</f>
        <v>0</v>
      </c>
      <c r="AF216" s="143"/>
      <c r="AG216" s="9">
        <f t="shared" si="39"/>
        <v>0</v>
      </c>
      <c r="AH216" s="8" t="str">
        <f t="array" ref="AH216">IF(AG216&gt;5,"Perlu Sensus",IF(AND(AG216&gt;=0,AD216&gt;0),"Tetap Deteksi","Belum Deteksi"))</f>
        <v>Belum Deteksi</v>
      </c>
      <c r="AI216" s="143"/>
      <c r="AJ216" s="9">
        <f t="shared" si="40"/>
        <v>0</v>
      </c>
      <c r="AK216" s="11"/>
      <c r="AL216" s="143"/>
      <c r="AM216" s="143"/>
      <c r="AN216" s="9">
        <f t="shared" si="41"/>
        <v>0</v>
      </c>
      <c r="AO216" s="8" t="str">
        <f t="array" ref="AO216">IF(AN216&gt;5,"Perlu Sensus",IF(AND(AN216&gt;=0,AL216&gt;0),"Tetap Deteksi","Belum Deteksi"))</f>
        <v>Belum Deteksi</v>
      </c>
      <c r="AP216" s="143"/>
      <c r="AQ216" s="9">
        <f t="shared" si="42"/>
        <v>0</v>
      </c>
    </row>
    <row r="217" spans="1:43" outlineLevel="1" x14ac:dyDescent="0.15">
      <c r="A217" s="8" t="s">
        <v>1739</v>
      </c>
      <c r="B217" s="8" t="s">
        <v>14</v>
      </c>
      <c r="C217" s="8" t="s">
        <v>252</v>
      </c>
      <c r="D217" s="8" t="s">
        <v>1081</v>
      </c>
      <c r="E217" s="9">
        <v>30.32</v>
      </c>
      <c r="F217" s="8" t="s">
        <v>1740</v>
      </c>
      <c r="G217" s="10">
        <v>4065</v>
      </c>
      <c r="H217" s="11">
        <f t="array" ref="H217">IF(OR(N217&gt;0,AC217&gt;0),MAX(N217,AC217),MAX(AK217,V217))</f>
        <v>46238</v>
      </c>
      <c r="I217" s="143">
        <f t="array" ref="I217">IF(SUM(O217,AD217)&gt;0,SUM(O217,AD217),SUM(AL217,W217))</f>
        <v>87</v>
      </c>
      <c r="J217" s="9">
        <f t="shared" si="33"/>
        <v>2.1402214022140225</v>
      </c>
      <c r="K217" s="143">
        <f t="shared" si="43"/>
        <v>1</v>
      </c>
      <c r="L217" s="9">
        <f t="shared" si="34"/>
        <v>1.1494252873563218</v>
      </c>
      <c r="M217" s="8" t="str">
        <f t="array" ref="M217">IF(L217&gt;5,"Perlu Sensus",IF(AND(L217&gt;=0,I217&gt;0),"Tetap Deteksi","Belum Deteksi"))</f>
        <v>Tetap Deteksi</v>
      </c>
      <c r="N217" s="11">
        <v>46238</v>
      </c>
      <c r="O217" s="143">
        <v>87</v>
      </c>
      <c r="P217" s="9">
        <f t="array" ref="P217">IFERROR(O217/$G217*100,0)</f>
        <v>2.1402214022140225</v>
      </c>
      <c r="Q217" s="143">
        <v>1</v>
      </c>
      <c r="R217" s="9">
        <f t="shared" si="35"/>
        <v>1.1494252873563218</v>
      </c>
      <c r="S217" s="8" t="str">
        <f t="array" ref="S217">IF(R217&gt;5,"Perlu Sensus",IF(AND(R217&gt;=0,O217&gt;0),"Tetap Deteksi","Belum Deteksi"))</f>
        <v>Tetap Deteksi</v>
      </c>
      <c r="T217" s="143">
        <v>6</v>
      </c>
      <c r="U217" s="9">
        <f t="shared" si="36"/>
        <v>6.8965517241379306</v>
      </c>
      <c r="V217" s="132">
        <v>46249</v>
      </c>
      <c r="W217" s="143">
        <v>395</v>
      </c>
      <c r="X217" s="143">
        <v>18</v>
      </c>
      <c r="Y217" s="9">
        <f t="shared" si="37"/>
        <v>4.556962025316456</v>
      </c>
      <c r="Z217" s="8" t="str">
        <f t="array" ref="Z217">IF(Y217&gt;5,"Perlu Sensus",IF(AND(Y217&gt;=0,W217&gt;0),"Tetap Deteksi","Belum Deteksi"))</f>
        <v>Tetap Deteksi</v>
      </c>
      <c r="AA217" s="143">
        <v>13</v>
      </c>
      <c r="AB217" s="9">
        <f t="shared" si="38"/>
        <v>3.2911392405063293</v>
      </c>
      <c r="AC217" s="11"/>
      <c r="AD217" s="143"/>
      <c r="AE217" s="9">
        <f t="array" ref="AE217">IFERROR(AD217/$G217*100,0)</f>
        <v>0</v>
      </c>
      <c r="AF217" s="143"/>
      <c r="AG217" s="9">
        <f t="shared" si="39"/>
        <v>0</v>
      </c>
      <c r="AH217" s="8" t="str">
        <f t="array" ref="AH217">IF(AG217&gt;5,"Perlu Sensus",IF(AND(AG217&gt;=0,AD217&gt;0),"Tetap Deteksi","Belum Deteksi"))</f>
        <v>Belum Deteksi</v>
      </c>
      <c r="AI217" s="143"/>
      <c r="AJ217" s="9">
        <f t="shared" si="40"/>
        <v>0</v>
      </c>
      <c r="AK217" s="11"/>
      <c r="AL217" s="143"/>
      <c r="AM217" s="143"/>
      <c r="AN217" s="9">
        <f t="shared" si="41"/>
        <v>0</v>
      </c>
      <c r="AO217" s="8" t="str">
        <f t="array" ref="AO217">IF(AN217&gt;5,"Perlu Sensus",IF(AND(AN217&gt;=0,AL217&gt;0),"Tetap Deteksi","Belum Deteksi"))</f>
        <v>Belum Deteksi</v>
      </c>
      <c r="AP217" s="143"/>
      <c r="AQ217" s="9">
        <f t="shared" si="42"/>
        <v>0</v>
      </c>
    </row>
    <row r="218" spans="1:43" outlineLevel="1" x14ac:dyDescent="0.15">
      <c r="A218" s="8" t="s">
        <v>1739</v>
      </c>
      <c r="B218" s="8" t="s">
        <v>14</v>
      </c>
      <c r="C218" s="8" t="s">
        <v>252</v>
      </c>
      <c r="D218" s="8" t="s">
        <v>1082</v>
      </c>
      <c r="E218" s="9">
        <v>29.07</v>
      </c>
      <c r="F218" s="8" t="s">
        <v>1740</v>
      </c>
      <c r="G218" s="10">
        <v>3832</v>
      </c>
      <c r="H218" s="11">
        <f t="array" ref="H218">IF(OR(N218&gt;0,AC218&gt;0),MAX(N218,AC218),MAX(AK218,V218))</f>
        <v>46238</v>
      </c>
      <c r="I218" s="143">
        <f t="array" ref="I218">IF(SUM(O218,AD218)&gt;0,SUM(O218,AD218),SUM(AL218,W218))</f>
        <v>86</v>
      </c>
      <c r="J218" s="9">
        <f t="shared" si="33"/>
        <v>2.2442588726513573</v>
      </c>
      <c r="K218" s="143">
        <f t="shared" si="43"/>
        <v>2</v>
      </c>
      <c r="L218" s="9">
        <f t="shared" si="34"/>
        <v>2.3255813953488373</v>
      </c>
      <c r="M218" s="8" t="str">
        <f t="array" ref="M218">IF(L218&gt;5,"Perlu Sensus",IF(AND(L218&gt;=0,I218&gt;0),"Tetap Deteksi","Belum Deteksi"))</f>
        <v>Tetap Deteksi</v>
      </c>
      <c r="N218" s="11">
        <v>46238</v>
      </c>
      <c r="O218" s="143">
        <v>86</v>
      </c>
      <c r="P218" s="9">
        <f t="array" ref="P218">IFERROR(O218/$G218*100,0)</f>
        <v>2.2442588726513573</v>
      </c>
      <c r="Q218" s="143">
        <v>2</v>
      </c>
      <c r="R218" s="9">
        <f t="shared" si="35"/>
        <v>2.3255813953488373</v>
      </c>
      <c r="S218" s="8" t="str">
        <f t="array" ref="S218">IF(R218&gt;5,"Perlu Sensus",IF(AND(R218&gt;=0,O218&gt;0),"Tetap Deteksi","Belum Deteksi"))</f>
        <v>Tetap Deteksi</v>
      </c>
      <c r="T218" s="143">
        <v>7</v>
      </c>
      <c r="U218" s="9">
        <f t="shared" si="36"/>
        <v>8.1395348837209305</v>
      </c>
      <c r="V218" s="132">
        <v>46249</v>
      </c>
      <c r="W218" s="143">
        <v>302</v>
      </c>
      <c r="X218" s="143">
        <v>10</v>
      </c>
      <c r="Y218" s="9">
        <f t="shared" si="37"/>
        <v>3.3112582781456954</v>
      </c>
      <c r="Z218" s="8" t="str">
        <f t="array" ref="Z218">IF(Y218&gt;5,"Perlu Sensus",IF(AND(Y218&gt;=0,W218&gt;0),"Tetap Deteksi","Belum Deteksi"))</f>
        <v>Tetap Deteksi</v>
      </c>
      <c r="AA218" s="143">
        <v>27</v>
      </c>
      <c r="AB218" s="9">
        <f t="shared" si="38"/>
        <v>8.9403973509933774</v>
      </c>
      <c r="AC218" s="11"/>
      <c r="AD218" s="143"/>
      <c r="AE218" s="9">
        <f t="array" ref="AE218">IFERROR(AD218/$G218*100,0)</f>
        <v>0</v>
      </c>
      <c r="AF218" s="143"/>
      <c r="AG218" s="9">
        <f t="shared" si="39"/>
        <v>0</v>
      </c>
      <c r="AH218" s="8" t="str">
        <f t="array" ref="AH218">IF(AG218&gt;5,"Perlu Sensus",IF(AND(AG218&gt;=0,AD218&gt;0),"Tetap Deteksi","Belum Deteksi"))</f>
        <v>Belum Deteksi</v>
      </c>
      <c r="AI218" s="143"/>
      <c r="AJ218" s="9">
        <f t="shared" si="40"/>
        <v>0</v>
      </c>
      <c r="AK218" s="11"/>
      <c r="AL218" s="143"/>
      <c r="AM218" s="143"/>
      <c r="AN218" s="9">
        <f t="shared" si="41"/>
        <v>0</v>
      </c>
      <c r="AO218" s="8" t="str">
        <f t="array" ref="AO218">IF(AN218&gt;5,"Perlu Sensus",IF(AND(AN218&gt;=0,AL218&gt;0),"Tetap Deteksi","Belum Deteksi"))</f>
        <v>Belum Deteksi</v>
      </c>
      <c r="AP218" s="143"/>
      <c r="AQ218" s="9">
        <f t="shared" si="42"/>
        <v>0</v>
      </c>
    </row>
    <row r="219" spans="1:43" outlineLevel="1" x14ac:dyDescent="0.15">
      <c r="A219" s="8" t="s">
        <v>1739</v>
      </c>
      <c r="B219" s="8" t="s">
        <v>14</v>
      </c>
      <c r="C219" s="8" t="s">
        <v>252</v>
      </c>
      <c r="D219" s="8" t="s">
        <v>1083</v>
      </c>
      <c r="E219" s="9">
        <v>0</v>
      </c>
      <c r="F219" s="8" t="s">
        <v>1740</v>
      </c>
      <c r="G219" s="10">
        <v>0</v>
      </c>
      <c r="H219" s="11">
        <f t="array" ref="H219">IF(OR(N219&gt;0,AC219&gt;0),MAX(N219,AC219),MAX(AK219,V219))</f>
        <v>0</v>
      </c>
      <c r="I219" s="143">
        <f t="array" ref="I219">IF(SUM(O219,AD219)&gt;0,SUM(O219,AD219),SUM(AL219,W219))</f>
        <v>0</v>
      </c>
      <c r="J219" s="9" t="str">
        <f t="shared" si="33"/>
        <v xml:space="preserve"> </v>
      </c>
      <c r="K219" s="143">
        <f t="shared" si="43"/>
        <v>0</v>
      </c>
      <c r="L219" s="9">
        <f t="shared" si="34"/>
        <v>0</v>
      </c>
      <c r="M219" s="8" t="str">
        <f t="array" ref="M219">IF(L219&gt;5,"Perlu Sensus",IF(AND(L219&gt;=0,I219&gt;0),"Tetap Deteksi","Belum Deteksi"))</f>
        <v>Belum Deteksi</v>
      </c>
      <c r="N219" s="11"/>
      <c r="O219" s="143">
        <v>0</v>
      </c>
      <c r="P219" s="9">
        <f t="array" ref="P219">IFERROR(O219/$G219*100,0)</f>
        <v>0</v>
      </c>
      <c r="Q219" s="143">
        <v>0</v>
      </c>
      <c r="R219" s="9">
        <f t="shared" si="35"/>
        <v>0</v>
      </c>
      <c r="S219" s="8" t="str">
        <f t="array" ref="S219">IF(R219&gt;5,"Perlu Sensus",IF(AND(R219&gt;=0,O219&gt;0),"Tetap Deteksi","Belum Deteksi"))</f>
        <v>Belum Deteksi</v>
      </c>
      <c r="T219" s="143">
        <v>0</v>
      </c>
      <c r="U219" s="9">
        <f t="shared" si="36"/>
        <v>0</v>
      </c>
      <c r="V219" s="11"/>
      <c r="W219" s="143">
        <v>0</v>
      </c>
      <c r="X219" s="143">
        <v>0</v>
      </c>
      <c r="Y219" s="9">
        <f t="shared" si="37"/>
        <v>0</v>
      </c>
      <c r="Z219" s="8" t="str">
        <f t="array" ref="Z219">IF(Y219&gt;5,"Perlu Sensus",IF(AND(Y219&gt;=0,W219&gt;0),"Tetap Deteksi","Belum Deteksi"))</f>
        <v>Belum Deteksi</v>
      </c>
      <c r="AA219" s="143">
        <v>0</v>
      </c>
      <c r="AB219" s="9">
        <f t="shared" si="38"/>
        <v>0</v>
      </c>
      <c r="AC219" s="11"/>
      <c r="AD219" s="143"/>
      <c r="AE219" s="9">
        <f t="array" ref="AE219">IFERROR(AD219/$G219*100,0)</f>
        <v>0</v>
      </c>
      <c r="AF219" s="143"/>
      <c r="AG219" s="9">
        <f t="shared" si="39"/>
        <v>0</v>
      </c>
      <c r="AH219" s="8" t="str">
        <f t="array" ref="AH219">IF(AG219&gt;5,"Perlu Sensus",IF(AND(AG219&gt;=0,AD219&gt;0),"Tetap Deteksi","Belum Deteksi"))</f>
        <v>Belum Deteksi</v>
      </c>
      <c r="AI219" s="143"/>
      <c r="AJ219" s="9">
        <f t="shared" si="40"/>
        <v>0</v>
      </c>
      <c r="AK219" s="11"/>
      <c r="AL219" s="143"/>
      <c r="AM219" s="143"/>
      <c r="AN219" s="9">
        <f t="shared" si="41"/>
        <v>0</v>
      </c>
      <c r="AO219" s="8" t="str">
        <f t="array" ref="AO219">IF(AN219&gt;5,"Perlu Sensus",IF(AND(AN219&gt;=0,AL219&gt;0),"Tetap Deteksi","Belum Deteksi"))</f>
        <v>Belum Deteksi</v>
      </c>
      <c r="AP219" s="143"/>
      <c r="AQ219" s="9">
        <f t="shared" si="42"/>
        <v>0</v>
      </c>
    </row>
    <row r="220" spans="1:43" outlineLevel="1" x14ac:dyDescent="0.15">
      <c r="A220" s="8" t="s">
        <v>1739</v>
      </c>
      <c r="B220" s="8" t="s">
        <v>14</v>
      </c>
      <c r="C220" s="8" t="s">
        <v>252</v>
      </c>
      <c r="D220" s="8" t="s">
        <v>1084</v>
      </c>
      <c r="E220" s="9">
        <v>0</v>
      </c>
      <c r="F220" s="8" t="s">
        <v>1740</v>
      </c>
      <c r="G220" s="10">
        <v>0</v>
      </c>
      <c r="H220" s="11">
        <f t="array" ref="H220">IF(OR(N220&gt;0,AC220&gt;0),MAX(N220,AC220),MAX(AK220,V220))</f>
        <v>0</v>
      </c>
      <c r="I220" s="143">
        <f t="array" ref="I220">IF(SUM(O220,AD220)&gt;0,SUM(O220,AD220),SUM(AL220,W220))</f>
        <v>0</v>
      </c>
      <c r="J220" s="9" t="str">
        <f t="shared" si="33"/>
        <v xml:space="preserve"> </v>
      </c>
      <c r="K220" s="143">
        <f t="shared" si="43"/>
        <v>0</v>
      </c>
      <c r="L220" s="9">
        <f t="shared" si="34"/>
        <v>0</v>
      </c>
      <c r="M220" s="8" t="str">
        <f t="array" ref="M220">IF(L220&gt;5,"Perlu Sensus",IF(AND(L220&gt;=0,I220&gt;0),"Tetap Deteksi","Belum Deteksi"))</f>
        <v>Belum Deteksi</v>
      </c>
      <c r="N220" s="11"/>
      <c r="O220" s="143">
        <v>0</v>
      </c>
      <c r="P220" s="9">
        <f t="array" ref="P220">IFERROR(O220/$G220*100,0)</f>
        <v>0</v>
      </c>
      <c r="Q220" s="143">
        <v>0</v>
      </c>
      <c r="R220" s="9">
        <f t="shared" si="35"/>
        <v>0</v>
      </c>
      <c r="S220" s="8" t="str">
        <f t="array" ref="S220">IF(R220&gt;5,"Perlu Sensus",IF(AND(R220&gt;=0,O220&gt;0),"Tetap Deteksi","Belum Deteksi"))</f>
        <v>Belum Deteksi</v>
      </c>
      <c r="T220" s="143">
        <v>0</v>
      </c>
      <c r="U220" s="9">
        <f t="shared" si="36"/>
        <v>0</v>
      </c>
      <c r="V220" s="11"/>
      <c r="W220" s="143">
        <v>0</v>
      </c>
      <c r="X220" s="143">
        <v>0</v>
      </c>
      <c r="Y220" s="9">
        <f t="shared" si="37"/>
        <v>0</v>
      </c>
      <c r="Z220" s="8" t="str">
        <f t="array" ref="Z220">IF(Y220&gt;5,"Perlu Sensus",IF(AND(Y220&gt;=0,W220&gt;0),"Tetap Deteksi","Belum Deteksi"))</f>
        <v>Belum Deteksi</v>
      </c>
      <c r="AA220" s="143">
        <v>0</v>
      </c>
      <c r="AB220" s="9">
        <f t="shared" si="38"/>
        <v>0</v>
      </c>
      <c r="AC220" s="11"/>
      <c r="AD220" s="143"/>
      <c r="AE220" s="9">
        <f t="array" ref="AE220">IFERROR(AD220/$G220*100,0)</f>
        <v>0</v>
      </c>
      <c r="AF220" s="143"/>
      <c r="AG220" s="9">
        <f t="shared" si="39"/>
        <v>0</v>
      </c>
      <c r="AH220" s="8" t="str">
        <f t="array" ref="AH220">IF(AG220&gt;5,"Perlu Sensus",IF(AND(AG220&gt;=0,AD220&gt;0),"Tetap Deteksi","Belum Deteksi"))</f>
        <v>Belum Deteksi</v>
      </c>
      <c r="AI220" s="143"/>
      <c r="AJ220" s="9">
        <f t="shared" si="40"/>
        <v>0</v>
      </c>
      <c r="AK220" s="11"/>
      <c r="AL220" s="143"/>
      <c r="AM220" s="143"/>
      <c r="AN220" s="9">
        <f t="shared" si="41"/>
        <v>0</v>
      </c>
      <c r="AO220" s="8" t="str">
        <f t="array" ref="AO220">IF(AN220&gt;5,"Perlu Sensus",IF(AND(AN220&gt;=0,AL220&gt;0),"Tetap Deteksi","Belum Deteksi"))</f>
        <v>Belum Deteksi</v>
      </c>
      <c r="AP220" s="143"/>
      <c r="AQ220" s="9">
        <f t="shared" si="42"/>
        <v>0</v>
      </c>
    </row>
    <row r="221" spans="1:43" outlineLevel="1" x14ac:dyDescent="0.15">
      <c r="A221" s="8" t="s">
        <v>1739</v>
      </c>
      <c r="B221" s="8" t="s">
        <v>14</v>
      </c>
      <c r="C221" s="8" t="s">
        <v>252</v>
      </c>
      <c r="D221" s="8" t="s">
        <v>1085</v>
      </c>
      <c r="E221" s="9">
        <v>0</v>
      </c>
      <c r="F221" s="8" t="s">
        <v>1740</v>
      </c>
      <c r="G221" s="10">
        <v>0</v>
      </c>
      <c r="H221" s="11">
        <f t="array" ref="H221">IF(OR(N221&gt;0,AC221&gt;0),MAX(N221,AC221),MAX(AK221,V221))</f>
        <v>0</v>
      </c>
      <c r="I221" s="143">
        <f t="array" ref="I221">IF(SUM(O221,AD221)&gt;0,SUM(O221,AD221),SUM(AL221,W221))</f>
        <v>0</v>
      </c>
      <c r="J221" s="9" t="str">
        <f t="shared" si="33"/>
        <v xml:space="preserve"> </v>
      </c>
      <c r="K221" s="143">
        <f t="shared" si="43"/>
        <v>0</v>
      </c>
      <c r="L221" s="9">
        <f t="shared" si="34"/>
        <v>0</v>
      </c>
      <c r="M221" s="8" t="str">
        <f t="array" ref="M221">IF(L221&gt;5,"Perlu Sensus",IF(AND(L221&gt;=0,I221&gt;0),"Tetap Deteksi","Belum Deteksi"))</f>
        <v>Belum Deteksi</v>
      </c>
      <c r="N221" s="11"/>
      <c r="O221" s="143">
        <v>0</v>
      </c>
      <c r="P221" s="9">
        <f t="array" ref="P221">IFERROR(O221/$G221*100,0)</f>
        <v>0</v>
      </c>
      <c r="Q221" s="143">
        <v>0</v>
      </c>
      <c r="R221" s="9">
        <f t="shared" si="35"/>
        <v>0</v>
      </c>
      <c r="S221" s="8" t="str">
        <f t="array" ref="S221">IF(R221&gt;5,"Perlu Sensus",IF(AND(R221&gt;=0,O221&gt;0),"Tetap Deteksi","Belum Deteksi"))</f>
        <v>Belum Deteksi</v>
      </c>
      <c r="T221" s="143">
        <v>0</v>
      </c>
      <c r="U221" s="9">
        <f t="shared" si="36"/>
        <v>0</v>
      </c>
      <c r="V221" s="11"/>
      <c r="W221" s="143">
        <v>0</v>
      </c>
      <c r="X221" s="143">
        <v>0</v>
      </c>
      <c r="Y221" s="9">
        <f t="shared" si="37"/>
        <v>0</v>
      </c>
      <c r="Z221" s="8" t="str">
        <f t="array" ref="Z221">IF(Y221&gt;5,"Perlu Sensus",IF(AND(Y221&gt;=0,W221&gt;0),"Tetap Deteksi","Belum Deteksi"))</f>
        <v>Belum Deteksi</v>
      </c>
      <c r="AA221" s="143">
        <v>0</v>
      </c>
      <c r="AB221" s="9">
        <f t="shared" si="38"/>
        <v>0</v>
      </c>
      <c r="AC221" s="11"/>
      <c r="AD221" s="143"/>
      <c r="AE221" s="9">
        <f t="array" ref="AE221">IFERROR(AD221/$G221*100,0)</f>
        <v>0</v>
      </c>
      <c r="AF221" s="143"/>
      <c r="AG221" s="9">
        <f t="shared" si="39"/>
        <v>0</v>
      </c>
      <c r="AH221" s="8" t="str">
        <f t="array" ref="AH221">IF(AG221&gt;5,"Perlu Sensus",IF(AND(AG221&gt;=0,AD221&gt;0),"Tetap Deteksi","Belum Deteksi"))</f>
        <v>Belum Deteksi</v>
      </c>
      <c r="AI221" s="143"/>
      <c r="AJ221" s="9">
        <f t="shared" si="40"/>
        <v>0</v>
      </c>
      <c r="AK221" s="11"/>
      <c r="AL221" s="143"/>
      <c r="AM221" s="143"/>
      <c r="AN221" s="9">
        <f t="shared" si="41"/>
        <v>0</v>
      </c>
      <c r="AO221" s="8" t="str">
        <f t="array" ref="AO221">IF(AN221&gt;5,"Perlu Sensus",IF(AND(AN221&gt;=0,AL221&gt;0),"Tetap Deteksi","Belum Deteksi"))</f>
        <v>Belum Deteksi</v>
      </c>
      <c r="AP221" s="143"/>
      <c r="AQ221" s="9">
        <f t="shared" si="42"/>
        <v>0</v>
      </c>
    </row>
    <row r="222" spans="1:43" outlineLevel="1" x14ac:dyDescent="0.15">
      <c r="A222" s="8" t="s">
        <v>1739</v>
      </c>
      <c r="B222" s="8" t="s">
        <v>14</v>
      </c>
      <c r="C222" s="8" t="s">
        <v>252</v>
      </c>
      <c r="D222" s="8" t="s">
        <v>1086</v>
      </c>
      <c r="E222" s="9">
        <v>0</v>
      </c>
      <c r="F222" s="8" t="s">
        <v>1740</v>
      </c>
      <c r="G222" s="10">
        <v>0</v>
      </c>
      <c r="H222" s="11">
        <f t="array" ref="H222">IF(OR(N222&gt;0,AC222&gt;0),MAX(N222,AC222),MAX(AK222,V222))</f>
        <v>0</v>
      </c>
      <c r="I222" s="143">
        <f t="array" ref="I222">IF(SUM(O222,AD222)&gt;0,SUM(O222,AD222),SUM(AL222,W222))</f>
        <v>0</v>
      </c>
      <c r="J222" s="9" t="str">
        <f t="shared" si="33"/>
        <v xml:space="preserve"> </v>
      </c>
      <c r="K222" s="143">
        <f t="shared" si="43"/>
        <v>0</v>
      </c>
      <c r="L222" s="9">
        <f t="shared" si="34"/>
        <v>0</v>
      </c>
      <c r="M222" s="8" t="str">
        <f t="array" ref="M222">IF(L222&gt;5,"Perlu Sensus",IF(AND(L222&gt;=0,I222&gt;0),"Tetap Deteksi","Belum Deteksi"))</f>
        <v>Belum Deteksi</v>
      </c>
      <c r="N222" s="11"/>
      <c r="O222" s="143">
        <v>0</v>
      </c>
      <c r="P222" s="9">
        <f t="array" ref="P222">IFERROR(O222/$G222*100,0)</f>
        <v>0</v>
      </c>
      <c r="Q222" s="143">
        <v>0</v>
      </c>
      <c r="R222" s="9">
        <f t="shared" si="35"/>
        <v>0</v>
      </c>
      <c r="S222" s="8" t="str">
        <f t="array" ref="S222">IF(R222&gt;5,"Perlu Sensus",IF(AND(R222&gt;=0,O222&gt;0),"Tetap Deteksi","Belum Deteksi"))</f>
        <v>Belum Deteksi</v>
      </c>
      <c r="T222" s="143">
        <v>0</v>
      </c>
      <c r="U222" s="9">
        <f t="shared" si="36"/>
        <v>0</v>
      </c>
      <c r="V222" s="11"/>
      <c r="W222" s="143">
        <v>0</v>
      </c>
      <c r="X222" s="143">
        <v>0</v>
      </c>
      <c r="Y222" s="9">
        <f t="shared" si="37"/>
        <v>0</v>
      </c>
      <c r="Z222" s="8" t="str">
        <f t="array" ref="Z222">IF(Y222&gt;5,"Perlu Sensus",IF(AND(Y222&gt;=0,W222&gt;0),"Tetap Deteksi","Belum Deteksi"))</f>
        <v>Belum Deteksi</v>
      </c>
      <c r="AA222" s="143">
        <v>0</v>
      </c>
      <c r="AB222" s="9">
        <f t="shared" si="38"/>
        <v>0</v>
      </c>
      <c r="AC222" s="11"/>
      <c r="AD222" s="143"/>
      <c r="AE222" s="9">
        <f t="array" ref="AE222">IFERROR(AD222/$G222*100,0)</f>
        <v>0</v>
      </c>
      <c r="AF222" s="143"/>
      <c r="AG222" s="9">
        <f t="shared" si="39"/>
        <v>0</v>
      </c>
      <c r="AH222" s="8" t="str">
        <f t="array" ref="AH222">IF(AG222&gt;5,"Perlu Sensus",IF(AND(AG222&gt;=0,AD222&gt;0),"Tetap Deteksi","Belum Deteksi"))</f>
        <v>Belum Deteksi</v>
      </c>
      <c r="AI222" s="143"/>
      <c r="AJ222" s="9">
        <f t="shared" si="40"/>
        <v>0</v>
      </c>
      <c r="AK222" s="11"/>
      <c r="AL222" s="143"/>
      <c r="AM222" s="143"/>
      <c r="AN222" s="9">
        <f t="shared" si="41"/>
        <v>0</v>
      </c>
      <c r="AO222" s="8" t="str">
        <f t="array" ref="AO222">IF(AN222&gt;5,"Perlu Sensus",IF(AND(AN222&gt;=0,AL222&gt;0),"Tetap Deteksi","Belum Deteksi"))</f>
        <v>Belum Deteksi</v>
      </c>
      <c r="AP222" s="143"/>
      <c r="AQ222" s="9">
        <f t="shared" si="42"/>
        <v>0</v>
      </c>
    </row>
    <row r="223" spans="1:43" outlineLevel="1" x14ac:dyDescent="0.15">
      <c r="A223" s="8" t="s">
        <v>1739</v>
      </c>
      <c r="B223" s="8" t="s">
        <v>14</v>
      </c>
      <c r="C223" s="8" t="s">
        <v>252</v>
      </c>
      <c r="D223" s="8" t="s">
        <v>1087</v>
      </c>
      <c r="E223" s="9">
        <v>30.37</v>
      </c>
      <c r="F223" s="8" t="s">
        <v>1740</v>
      </c>
      <c r="G223" s="10">
        <v>3919</v>
      </c>
      <c r="H223" s="11">
        <f t="array" ref="H223">IF(OR(N223&gt;0,AC223&gt;0),MAX(N223,AC223),MAX(AK223,V223))</f>
        <v>46239</v>
      </c>
      <c r="I223" s="143">
        <f t="array" ref="I223">IF(SUM(O223,AD223)&gt;0,SUM(O223,AD223),SUM(AL223,W223))</f>
        <v>89</v>
      </c>
      <c r="J223" s="9">
        <f t="shared" si="33"/>
        <v>2.2709874968104109</v>
      </c>
      <c r="K223" s="143">
        <f t="shared" si="43"/>
        <v>1</v>
      </c>
      <c r="L223" s="9">
        <f t="shared" si="34"/>
        <v>1.1235955056179776</v>
      </c>
      <c r="M223" s="8" t="str">
        <f t="array" ref="M223">IF(L223&gt;5,"Perlu Sensus",IF(AND(L223&gt;=0,I223&gt;0),"Tetap Deteksi","Belum Deteksi"))</f>
        <v>Tetap Deteksi</v>
      </c>
      <c r="N223" s="11">
        <v>46239</v>
      </c>
      <c r="O223" s="143">
        <v>89</v>
      </c>
      <c r="P223" s="9">
        <f t="array" ref="P223">IFERROR(O223/$G223*100,0)</f>
        <v>2.2709874968104109</v>
      </c>
      <c r="Q223" s="143">
        <v>1</v>
      </c>
      <c r="R223" s="9">
        <f t="shared" si="35"/>
        <v>1.1235955056179776</v>
      </c>
      <c r="S223" s="8" t="str">
        <f t="array" ref="S223">IF(R223&gt;5,"Perlu Sensus",IF(AND(R223&gt;=0,O223&gt;0),"Tetap Deteksi","Belum Deteksi"))</f>
        <v>Tetap Deteksi</v>
      </c>
      <c r="T223" s="143">
        <v>6</v>
      </c>
      <c r="U223" s="9">
        <f t="shared" si="36"/>
        <v>6.7415730337078648</v>
      </c>
      <c r="V223" s="132">
        <v>46249</v>
      </c>
      <c r="W223" s="143">
        <v>253</v>
      </c>
      <c r="X223" s="143">
        <v>12</v>
      </c>
      <c r="Y223" s="9">
        <f t="shared" si="37"/>
        <v>4.7430830039525684</v>
      </c>
      <c r="Z223" s="8" t="str">
        <f t="array" ref="Z223">IF(Y223&gt;5,"Perlu Sensus",IF(AND(Y223&gt;=0,W223&gt;0),"Tetap Deteksi","Belum Deteksi"))</f>
        <v>Tetap Deteksi</v>
      </c>
      <c r="AA223" s="143">
        <v>15</v>
      </c>
      <c r="AB223" s="9">
        <f t="shared" si="38"/>
        <v>5.928853754940711</v>
      </c>
      <c r="AC223" s="11"/>
      <c r="AD223" s="143"/>
      <c r="AE223" s="9">
        <f t="array" ref="AE223">IFERROR(AD223/$G223*100,0)</f>
        <v>0</v>
      </c>
      <c r="AF223" s="143"/>
      <c r="AG223" s="9">
        <f t="shared" si="39"/>
        <v>0</v>
      </c>
      <c r="AH223" s="8" t="str">
        <f t="array" ref="AH223">IF(AG223&gt;5,"Perlu Sensus",IF(AND(AG223&gt;=0,AD223&gt;0),"Tetap Deteksi","Belum Deteksi"))</f>
        <v>Belum Deteksi</v>
      </c>
      <c r="AI223" s="143"/>
      <c r="AJ223" s="9">
        <f t="shared" si="40"/>
        <v>0</v>
      </c>
      <c r="AK223" s="11"/>
      <c r="AL223" s="143"/>
      <c r="AM223" s="143"/>
      <c r="AN223" s="9">
        <f t="shared" si="41"/>
        <v>0</v>
      </c>
      <c r="AO223" s="8" t="str">
        <f t="array" ref="AO223">IF(AN223&gt;5,"Perlu Sensus",IF(AND(AN223&gt;=0,AL223&gt;0),"Tetap Deteksi","Belum Deteksi"))</f>
        <v>Belum Deteksi</v>
      </c>
      <c r="AP223" s="143"/>
      <c r="AQ223" s="9">
        <f t="shared" si="42"/>
        <v>0</v>
      </c>
    </row>
    <row r="224" spans="1:43" outlineLevel="1" x14ac:dyDescent="0.15">
      <c r="A224" s="8" t="s">
        <v>1739</v>
      </c>
      <c r="B224" s="8" t="s">
        <v>14</v>
      </c>
      <c r="C224" s="8" t="s">
        <v>252</v>
      </c>
      <c r="D224" s="8" t="s">
        <v>1088</v>
      </c>
      <c r="E224" s="9">
        <v>30.66</v>
      </c>
      <c r="F224" s="8" t="s">
        <v>1740</v>
      </c>
      <c r="G224" s="10">
        <v>3907</v>
      </c>
      <c r="H224" s="11">
        <f t="array" ref="H224">IF(OR(N224&gt;0,AC224&gt;0),MAX(N224,AC224),MAX(AK224,V224))</f>
        <v>46239</v>
      </c>
      <c r="I224" s="143">
        <f t="array" ref="I224">IF(SUM(O224,AD224)&gt;0,SUM(O224,AD224),SUM(AL224,W224))</f>
        <v>82</v>
      </c>
      <c r="J224" s="9">
        <f t="shared" si="33"/>
        <v>2.0987970309700539</v>
      </c>
      <c r="K224" s="143">
        <f t="shared" si="43"/>
        <v>1</v>
      </c>
      <c r="L224" s="9">
        <f t="shared" si="34"/>
        <v>1.2195121951219512</v>
      </c>
      <c r="M224" s="8" t="str">
        <f t="array" ref="M224">IF(L224&gt;5,"Perlu Sensus",IF(AND(L224&gt;=0,I224&gt;0),"Tetap Deteksi","Belum Deteksi"))</f>
        <v>Tetap Deteksi</v>
      </c>
      <c r="N224" s="11">
        <v>46239</v>
      </c>
      <c r="O224" s="143">
        <v>82</v>
      </c>
      <c r="P224" s="9">
        <f t="array" ref="P224">IFERROR(O224/$G224*100,0)</f>
        <v>2.0987970309700539</v>
      </c>
      <c r="Q224" s="143">
        <v>1</v>
      </c>
      <c r="R224" s="9">
        <f t="shared" si="35"/>
        <v>1.2195121951219512</v>
      </c>
      <c r="S224" s="8" t="str">
        <f t="array" ref="S224">IF(R224&gt;5,"Perlu Sensus",IF(AND(R224&gt;=0,O224&gt;0),"Tetap Deteksi","Belum Deteksi"))</f>
        <v>Tetap Deteksi</v>
      </c>
      <c r="T224" s="143">
        <v>6</v>
      </c>
      <c r="U224" s="9">
        <f t="shared" si="36"/>
        <v>7.3170731707317067</v>
      </c>
      <c r="V224" s="132">
        <v>46249</v>
      </c>
      <c r="W224" s="143">
        <v>227</v>
      </c>
      <c r="X224" s="143">
        <v>10</v>
      </c>
      <c r="Y224" s="9">
        <f t="shared" si="37"/>
        <v>4.4052863436123353</v>
      </c>
      <c r="Z224" s="8" t="str">
        <f t="array" ref="Z224">IF(Y224&gt;5,"Perlu Sensus",IF(AND(Y224&gt;=0,W224&gt;0),"Tetap Deteksi","Belum Deteksi"))</f>
        <v>Tetap Deteksi</v>
      </c>
      <c r="AA224" s="143">
        <v>13</v>
      </c>
      <c r="AB224" s="9">
        <f t="shared" si="38"/>
        <v>5.7268722466960353</v>
      </c>
      <c r="AC224" s="11"/>
      <c r="AD224" s="143"/>
      <c r="AE224" s="9">
        <f t="array" ref="AE224">IFERROR(AD224/$G224*100,0)</f>
        <v>0</v>
      </c>
      <c r="AF224" s="143"/>
      <c r="AG224" s="9">
        <f t="shared" si="39"/>
        <v>0</v>
      </c>
      <c r="AH224" s="8" t="str">
        <f t="array" ref="AH224">IF(AG224&gt;5,"Perlu Sensus",IF(AND(AG224&gt;=0,AD224&gt;0),"Tetap Deteksi","Belum Deteksi"))</f>
        <v>Belum Deteksi</v>
      </c>
      <c r="AI224" s="143"/>
      <c r="AJ224" s="9">
        <f t="shared" si="40"/>
        <v>0</v>
      </c>
      <c r="AK224" s="11"/>
      <c r="AL224" s="143"/>
      <c r="AM224" s="143"/>
      <c r="AN224" s="9">
        <f t="shared" si="41"/>
        <v>0</v>
      </c>
      <c r="AO224" s="8" t="str">
        <f t="array" ref="AO224">IF(AN224&gt;5,"Perlu Sensus",IF(AND(AN224&gt;=0,AL224&gt;0),"Tetap Deteksi","Belum Deteksi"))</f>
        <v>Belum Deteksi</v>
      </c>
      <c r="AP224" s="143"/>
      <c r="AQ224" s="9">
        <f t="shared" si="42"/>
        <v>0</v>
      </c>
    </row>
    <row r="225" spans="1:43" outlineLevel="1" x14ac:dyDescent="0.15">
      <c r="A225" s="8" t="s">
        <v>1739</v>
      </c>
      <c r="B225" s="8" t="s">
        <v>14</v>
      </c>
      <c r="C225" s="8" t="s">
        <v>252</v>
      </c>
      <c r="D225" s="8" t="s">
        <v>1089</v>
      </c>
      <c r="E225" s="9">
        <v>29.83</v>
      </c>
      <c r="F225" s="8" t="s">
        <v>1740</v>
      </c>
      <c r="G225" s="10">
        <v>3866</v>
      </c>
      <c r="H225" s="11">
        <f t="array" ref="H225">IF(OR(N225&gt;0,AC225&gt;0),MAX(N225,AC225),MAX(AK225,V225))</f>
        <v>46240</v>
      </c>
      <c r="I225" s="143">
        <f t="array" ref="I225">IF(SUM(O225,AD225)&gt;0,SUM(O225,AD225),SUM(AL225,W225))</f>
        <v>85</v>
      </c>
      <c r="J225" s="9">
        <f t="shared" si="33"/>
        <v>2.1986549405069842</v>
      </c>
      <c r="K225" s="143">
        <f t="shared" si="43"/>
        <v>2</v>
      </c>
      <c r="L225" s="9">
        <f t="shared" si="34"/>
        <v>2.3529411764705883</v>
      </c>
      <c r="M225" s="8" t="str">
        <f t="array" ref="M225">IF(L225&gt;5,"Perlu Sensus",IF(AND(L225&gt;=0,I225&gt;0),"Tetap Deteksi","Belum Deteksi"))</f>
        <v>Tetap Deteksi</v>
      </c>
      <c r="N225" s="11">
        <v>46240</v>
      </c>
      <c r="O225" s="143">
        <v>85</v>
      </c>
      <c r="P225" s="9">
        <f t="array" ref="P225">IFERROR(O225/$G225*100,0)</f>
        <v>2.1986549405069842</v>
      </c>
      <c r="Q225" s="143">
        <v>2</v>
      </c>
      <c r="R225" s="9">
        <f t="shared" si="35"/>
        <v>2.3529411764705883</v>
      </c>
      <c r="S225" s="8" t="str">
        <f t="array" ref="S225">IF(R225&gt;5,"Perlu Sensus",IF(AND(R225&gt;=0,O225&gt;0),"Tetap Deteksi","Belum Deteksi"))</f>
        <v>Tetap Deteksi</v>
      </c>
      <c r="T225" s="143">
        <v>5</v>
      </c>
      <c r="U225" s="9">
        <f t="shared" si="36"/>
        <v>5.8823529411764701</v>
      </c>
      <c r="V225" s="132">
        <v>46249</v>
      </c>
      <c r="W225" s="143">
        <v>326</v>
      </c>
      <c r="X225" s="143">
        <v>11</v>
      </c>
      <c r="Y225" s="9">
        <f t="shared" si="37"/>
        <v>3.3742331288343559</v>
      </c>
      <c r="Z225" s="8" t="str">
        <f t="array" ref="Z225">IF(Y225&gt;5,"Perlu Sensus",IF(AND(Y225&gt;=0,W225&gt;0),"Tetap Deteksi","Belum Deteksi"))</f>
        <v>Tetap Deteksi</v>
      </c>
      <c r="AA225" s="143">
        <v>22</v>
      </c>
      <c r="AB225" s="9">
        <f t="shared" si="38"/>
        <v>6.7484662576687118</v>
      </c>
      <c r="AC225" s="11"/>
      <c r="AD225" s="143"/>
      <c r="AE225" s="9">
        <f t="array" ref="AE225">IFERROR(AD225/$G225*100,0)</f>
        <v>0</v>
      </c>
      <c r="AF225" s="143"/>
      <c r="AG225" s="9">
        <f t="shared" si="39"/>
        <v>0</v>
      </c>
      <c r="AH225" s="8" t="str">
        <f t="array" ref="AH225">IF(AG225&gt;5,"Perlu Sensus",IF(AND(AG225&gt;=0,AD225&gt;0),"Tetap Deteksi","Belum Deteksi"))</f>
        <v>Belum Deteksi</v>
      </c>
      <c r="AI225" s="143"/>
      <c r="AJ225" s="9">
        <f t="shared" si="40"/>
        <v>0</v>
      </c>
      <c r="AK225" s="11"/>
      <c r="AL225" s="143"/>
      <c r="AM225" s="143"/>
      <c r="AN225" s="9">
        <f t="shared" si="41"/>
        <v>0</v>
      </c>
      <c r="AO225" s="8" t="str">
        <f t="array" ref="AO225">IF(AN225&gt;5,"Perlu Sensus",IF(AND(AN225&gt;=0,AL225&gt;0),"Tetap Deteksi","Belum Deteksi"))</f>
        <v>Belum Deteksi</v>
      </c>
      <c r="AP225" s="143"/>
      <c r="AQ225" s="9">
        <f t="shared" si="42"/>
        <v>0</v>
      </c>
    </row>
    <row r="226" spans="1:43" outlineLevel="1" x14ac:dyDescent="0.15">
      <c r="A226" s="8" t="s">
        <v>1739</v>
      </c>
      <c r="B226" s="8" t="s">
        <v>14</v>
      </c>
      <c r="C226" s="8" t="s">
        <v>252</v>
      </c>
      <c r="D226" s="8" t="s">
        <v>1090</v>
      </c>
      <c r="E226" s="9">
        <v>29.94</v>
      </c>
      <c r="F226" s="8" t="s">
        <v>1740</v>
      </c>
      <c r="G226" s="10">
        <v>3882</v>
      </c>
      <c r="H226" s="11">
        <f t="array" ref="H226">IF(OR(N226&gt;0,AC226&gt;0),MAX(N226,AC226),MAX(AK226,V226))</f>
        <v>46240</v>
      </c>
      <c r="I226" s="143">
        <f t="array" ref="I226">IF(SUM(O226,AD226)&gt;0,SUM(O226,AD226),SUM(AL226,W226))</f>
        <v>76</v>
      </c>
      <c r="J226" s="9">
        <f t="shared" si="33"/>
        <v>1.9577537351880476</v>
      </c>
      <c r="K226" s="143">
        <f t="shared" si="43"/>
        <v>1</v>
      </c>
      <c r="L226" s="9">
        <f t="shared" si="34"/>
        <v>1.3157894736842104</v>
      </c>
      <c r="M226" s="8" t="str">
        <f t="array" ref="M226">IF(L226&gt;5,"Perlu Sensus",IF(AND(L226&gt;=0,I226&gt;0),"Tetap Deteksi","Belum Deteksi"))</f>
        <v>Tetap Deteksi</v>
      </c>
      <c r="N226" s="11">
        <v>46240</v>
      </c>
      <c r="O226" s="143">
        <v>76</v>
      </c>
      <c r="P226" s="9">
        <f t="array" ref="P226">IFERROR(O226/$G226*100,0)</f>
        <v>1.9577537351880476</v>
      </c>
      <c r="Q226" s="143">
        <v>1</v>
      </c>
      <c r="R226" s="9">
        <f t="shared" si="35"/>
        <v>1.3157894736842104</v>
      </c>
      <c r="S226" s="8" t="str">
        <f t="array" ref="S226">IF(R226&gt;5,"Perlu Sensus",IF(AND(R226&gt;=0,O226&gt;0),"Tetap Deteksi","Belum Deteksi"))</f>
        <v>Tetap Deteksi</v>
      </c>
      <c r="T226" s="143">
        <v>5</v>
      </c>
      <c r="U226" s="9">
        <f t="shared" si="36"/>
        <v>6.5789473684210522</v>
      </c>
      <c r="V226" s="132">
        <v>46249</v>
      </c>
      <c r="W226" s="143">
        <v>327</v>
      </c>
      <c r="X226" s="143">
        <v>7</v>
      </c>
      <c r="Y226" s="9">
        <f t="shared" si="37"/>
        <v>2.1406727828746175</v>
      </c>
      <c r="Z226" s="8" t="str">
        <f t="array" ref="Z226">IF(Y226&gt;5,"Perlu Sensus",IF(AND(Y226&gt;=0,W226&gt;0),"Tetap Deteksi","Belum Deteksi"))</f>
        <v>Tetap Deteksi</v>
      </c>
      <c r="AA226" s="143">
        <v>26</v>
      </c>
      <c r="AB226" s="9">
        <f t="shared" si="38"/>
        <v>7.951070336391437</v>
      </c>
      <c r="AC226" s="11"/>
      <c r="AD226" s="143"/>
      <c r="AE226" s="9">
        <f t="array" ref="AE226">IFERROR(AD226/$G226*100,0)</f>
        <v>0</v>
      </c>
      <c r="AF226" s="143"/>
      <c r="AG226" s="9">
        <f t="shared" si="39"/>
        <v>0</v>
      </c>
      <c r="AH226" s="8" t="str">
        <f t="array" ref="AH226">IF(AG226&gt;5,"Perlu Sensus",IF(AND(AG226&gt;=0,AD226&gt;0),"Tetap Deteksi","Belum Deteksi"))</f>
        <v>Belum Deteksi</v>
      </c>
      <c r="AI226" s="143"/>
      <c r="AJ226" s="9">
        <f t="shared" si="40"/>
        <v>0</v>
      </c>
      <c r="AK226" s="11"/>
      <c r="AL226" s="143"/>
      <c r="AM226" s="143"/>
      <c r="AN226" s="9">
        <f t="shared" si="41"/>
        <v>0</v>
      </c>
      <c r="AO226" s="8" t="str">
        <f t="array" ref="AO226">IF(AN226&gt;5,"Perlu Sensus",IF(AND(AN226&gt;=0,AL226&gt;0),"Tetap Deteksi","Belum Deteksi"))</f>
        <v>Belum Deteksi</v>
      </c>
      <c r="AP226" s="143"/>
      <c r="AQ226" s="9">
        <f t="shared" si="42"/>
        <v>0</v>
      </c>
    </row>
    <row r="227" spans="1:43" outlineLevel="1" x14ac:dyDescent="0.15">
      <c r="A227" s="8" t="s">
        <v>1739</v>
      </c>
      <c r="B227" s="8" t="s">
        <v>14</v>
      </c>
      <c r="C227" s="8" t="s">
        <v>252</v>
      </c>
      <c r="D227" s="8" t="s">
        <v>1091</v>
      </c>
      <c r="E227" s="9">
        <v>30.76</v>
      </c>
      <c r="F227" s="8" t="s">
        <v>1740</v>
      </c>
      <c r="G227" s="10">
        <v>3987</v>
      </c>
      <c r="H227" s="11">
        <f t="array" ref="H227">IF(OR(N227&gt;0,AC227&gt;0),MAX(N227,AC227),MAX(AK227,V227))</f>
        <v>46241</v>
      </c>
      <c r="I227" s="143">
        <f t="array" ref="I227">IF(SUM(O227,AD227)&gt;0,SUM(O227,AD227),SUM(AL227,W227))</f>
        <v>85</v>
      </c>
      <c r="J227" s="9">
        <f t="shared" si="33"/>
        <v>2.1319287684976174</v>
      </c>
      <c r="K227" s="143">
        <f t="shared" si="43"/>
        <v>2</v>
      </c>
      <c r="L227" s="9">
        <f t="shared" si="34"/>
        <v>2.3529411764705883</v>
      </c>
      <c r="M227" s="8" t="str">
        <f t="array" ref="M227">IF(L227&gt;5,"Perlu Sensus",IF(AND(L227&gt;=0,I227&gt;0),"Tetap Deteksi","Belum Deteksi"))</f>
        <v>Tetap Deteksi</v>
      </c>
      <c r="N227" s="11">
        <v>46241</v>
      </c>
      <c r="O227" s="143">
        <v>85</v>
      </c>
      <c r="P227" s="9">
        <f t="array" ref="P227">IFERROR(O227/$G227*100,0)</f>
        <v>2.1319287684976174</v>
      </c>
      <c r="Q227" s="143">
        <v>2</v>
      </c>
      <c r="R227" s="9">
        <f t="shared" si="35"/>
        <v>2.3529411764705883</v>
      </c>
      <c r="S227" s="8" t="str">
        <f t="array" ref="S227">IF(R227&gt;5,"Perlu Sensus",IF(AND(R227&gt;=0,O227&gt;0),"Tetap Deteksi","Belum Deteksi"))</f>
        <v>Tetap Deteksi</v>
      </c>
      <c r="T227" s="143">
        <v>5</v>
      </c>
      <c r="U227" s="9">
        <f t="shared" si="36"/>
        <v>5.8823529411764701</v>
      </c>
      <c r="V227" s="132">
        <v>46249</v>
      </c>
      <c r="W227" s="143">
        <v>228</v>
      </c>
      <c r="X227" s="143">
        <v>4</v>
      </c>
      <c r="Y227" s="9">
        <f t="shared" si="37"/>
        <v>1.7543859649122806</v>
      </c>
      <c r="Z227" s="8" t="str">
        <f t="array" ref="Z227">IF(Y227&gt;5,"Perlu Sensus",IF(AND(Y227&gt;=0,W227&gt;0),"Tetap Deteksi","Belum Deteksi"))</f>
        <v>Tetap Deteksi</v>
      </c>
      <c r="AA227" s="143">
        <v>17</v>
      </c>
      <c r="AB227" s="9">
        <f t="shared" si="38"/>
        <v>7.4561403508771926</v>
      </c>
      <c r="AC227" s="11"/>
      <c r="AD227" s="143"/>
      <c r="AE227" s="9">
        <f t="array" ref="AE227">IFERROR(AD227/$G227*100,0)</f>
        <v>0</v>
      </c>
      <c r="AF227" s="143"/>
      <c r="AG227" s="9">
        <f t="shared" si="39"/>
        <v>0</v>
      </c>
      <c r="AH227" s="8" t="str">
        <f t="array" ref="AH227">IF(AG227&gt;5,"Perlu Sensus",IF(AND(AG227&gt;=0,AD227&gt;0),"Tetap Deteksi","Belum Deteksi"))</f>
        <v>Belum Deteksi</v>
      </c>
      <c r="AI227" s="143"/>
      <c r="AJ227" s="9">
        <f t="shared" si="40"/>
        <v>0</v>
      </c>
      <c r="AK227" s="11"/>
      <c r="AL227" s="143"/>
      <c r="AM227" s="143"/>
      <c r="AN227" s="9">
        <f t="shared" si="41"/>
        <v>0</v>
      </c>
      <c r="AO227" s="8" t="str">
        <f t="array" ref="AO227">IF(AN227&gt;5,"Perlu Sensus",IF(AND(AN227&gt;=0,AL227&gt;0),"Tetap Deteksi","Belum Deteksi"))</f>
        <v>Belum Deteksi</v>
      </c>
      <c r="AP227" s="143"/>
      <c r="AQ227" s="9">
        <f t="shared" si="42"/>
        <v>0</v>
      </c>
    </row>
    <row r="228" spans="1:43" outlineLevel="1" x14ac:dyDescent="0.15">
      <c r="A228" s="8" t="s">
        <v>1739</v>
      </c>
      <c r="B228" s="8" t="s">
        <v>14</v>
      </c>
      <c r="C228" s="8" t="s">
        <v>252</v>
      </c>
      <c r="D228" s="8" t="s">
        <v>1092</v>
      </c>
      <c r="E228" s="9">
        <v>0</v>
      </c>
      <c r="F228" s="8" t="s">
        <v>1740</v>
      </c>
      <c r="G228" s="10">
        <v>0</v>
      </c>
      <c r="H228" s="11">
        <f t="array" ref="H228">IF(OR(N228&gt;0,AC228&gt;0),MAX(N228,AC228),MAX(AK228,V228))</f>
        <v>0</v>
      </c>
      <c r="I228" s="143">
        <f t="array" ref="I228">IF(SUM(O228,AD228)&gt;0,SUM(O228,AD228),SUM(AL228,W228))</f>
        <v>0</v>
      </c>
      <c r="J228" s="9" t="str">
        <f t="shared" si="33"/>
        <v xml:space="preserve"> </v>
      </c>
      <c r="K228" s="143">
        <f t="shared" si="43"/>
        <v>0</v>
      </c>
      <c r="L228" s="9">
        <f t="shared" si="34"/>
        <v>0</v>
      </c>
      <c r="M228" s="8" t="str">
        <f t="array" ref="M228">IF(L228&gt;5,"Perlu Sensus",IF(AND(L228&gt;=0,I228&gt;0),"Tetap Deteksi","Belum Deteksi"))</f>
        <v>Belum Deteksi</v>
      </c>
      <c r="N228" s="11"/>
      <c r="O228" s="143">
        <v>0</v>
      </c>
      <c r="P228" s="9">
        <f t="array" ref="P228">IFERROR(O228/$G228*100,0)</f>
        <v>0</v>
      </c>
      <c r="Q228" s="143">
        <v>0</v>
      </c>
      <c r="R228" s="9">
        <f t="shared" si="35"/>
        <v>0</v>
      </c>
      <c r="S228" s="8" t="str">
        <f t="array" ref="S228">IF(R228&gt;5,"Perlu Sensus",IF(AND(R228&gt;=0,O228&gt;0),"Tetap Deteksi","Belum Deteksi"))</f>
        <v>Belum Deteksi</v>
      </c>
      <c r="T228" s="143">
        <v>0</v>
      </c>
      <c r="U228" s="9">
        <f t="shared" si="36"/>
        <v>0</v>
      </c>
      <c r="V228" s="11"/>
      <c r="W228" s="143">
        <v>0</v>
      </c>
      <c r="X228" s="143">
        <v>0</v>
      </c>
      <c r="Y228" s="9">
        <f t="shared" si="37"/>
        <v>0</v>
      </c>
      <c r="Z228" s="8" t="str">
        <f t="array" ref="Z228">IF(Y228&gt;5,"Perlu Sensus",IF(AND(Y228&gt;=0,W228&gt;0),"Tetap Deteksi","Belum Deteksi"))</f>
        <v>Belum Deteksi</v>
      </c>
      <c r="AA228" s="143">
        <v>0</v>
      </c>
      <c r="AB228" s="9">
        <f t="shared" si="38"/>
        <v>0</v>
      </c>
      <c r="AC228" s="11"/>
      <c r="AD228" s="143"/>
      <c r="AE228" s="9">
        <f t="array" ref="AE228">IFERROR(AD228/$G228*100,0)</f>
        <v>0</v>
      </c>
      <c r="AF228" s="143"/>
      <c r="AG228" s="9">
        <f t="shared" si="39"/>
        <v>0</v>
      </c>
      <c r="AH228" s="8" t="str">
        <f t="array" ref="AH228">IF(AG228&gt;5,"Perlu Sensus",IF(AND(AG228&gt;=0,AD228&gt;0),"Tetap Deteksi","Belum Deteksi"))</f>
        <v>Belum Deteksi</v>
      </c>
      <c r="AI228" s="143"/>
      <c r="AJ228" s="9">
        <f t="shared" si="40"/>
        <v>0</v>
      </c>
      <c r="AK228" s="11"/>
      <c r="AL228" s="143"/>
      <c r="AM228" s="143"/>
      <c r="AN228" s="9">
        <f t="shared" si="41"/>
        <v>0</v>
      </c>
      <c r="AO228" s="8" t="str">
        <f t="array" ref="AO228">IF(AN228&gt;5,"Perlu Sensus",IF(AND(AN228&gt;=0,AL228&gt;0),"Tetap Deteksi","Belum Deteksi"))</f>
        <v>Belum Deteksi</v>
      </c>
      <c r="AP228" s="143"/>
      <c r="AQ228" s="9">
        <f t="shared" si="42"/>
        <v>0</v>
      </c>
    </row>
    <row r="229" spans="1:43" outlineLevel="1" x14ac:dyDescent="0.15">
      <c r="A229" s="8" t="s">
        <v>1739</v>
      </c>
      <c r="B229" s="8" t="s">
        <v>14</v>
      </c>
      <c r="C229" s="8" t="s">
        <v>252</v>
      </c>
      <c r="D229" s="8" t="s">
        <v>1093</v>
      </c>
      <c r="E229" s="9">
        <v>0</v>
      </c>
      <c r="F229" s="8" t="s">
        <v>1740</v>
      </c>
      <c r="G229" s="10">
        <v>0</v>
      </c>
      <c r="H229" s="11">
        <f t="array" ref="H229">IF(OR(N229&gt;0,AC229&gt;0),MAX(N229,AC229),MAX(AK229,V229))</f>
        <v>0</v>
      </c>
      <c r="I229" s="143">
        <f t="array" ref="I229">IF(SUM(O229,AD229)&gt;0,SUM(O229,AD229),SUM(AL229,W229))</f>
        <v>0</v>
      </c>
      <c r="J229" s="9" t="str">
        <f t="shared" si="33"/>
        <v xml:space="preserve"> </v>
      </c>
      <c r="K229" s="143">
        <f t="shared" si="43"/>
        <v>0</v>
      </c>
      <c r="L229" s="9">
        <f t="shared" si="34"/>
        <v>0</v>
      </c>
      <c r="M229" s="8" t="str">
        <f t="array" ref="M229">IF(L229&gt;5,"Perlu Sensus",IF(AND(L229&gt;=0,I229&gt;0),"Tetap Deteksi","Belum Deteksi"))</f>
        <v>Belum Deteksi</v>
      </c>
      <c r="N229" s="11"/>
      <c r="O229" s="143">
        <v>0</v>
      </c>
      <c r="P229" s="9">
        <f t="array" ref="P229">IFERROR(O229/$G229*100,0)</f>
        <v>0</v>
      </c>
      <c r="Q229" s="143">
        <v>0</v>
      </c>
      <c r="R229" s="9">
        <f t="shared" si="35"/>
        <v>0</v>
      </c>
      <c r="S229" s="8" t="str">
        <f t="array" ref="S229">IF(R229&gt;5,"Perlu Sensus",IF(AND(R229&gt;=0,O229&gt;0),"Tetap Deteksi","Belum Deteksi"))</f>
        <v>Belum Deteksi</v>
      </c>
      <c r="T229" s="143">
        <v>0</v>
      </c>
      <c r="U229" s="9">
        <f t="shared" si="36"/>
        <v>0</v>
      </c>
      <c r="V229" s="11"/>
      <c r="W229" s="143">
        <v>0</v>
      </c>
      <c r="X229" s="143">
        <v>0</v>
      </c>
      <c r="Y229" s="9">
        <f t="shared" si="37"/>
        <v>0</v>
      </c>
      <c r="Z229" s="8" t="str">
        <f t="array" ref="Z229">IF(Y229&gt;5,"Perlu Sensus",IF(AND(Y229&gt;=0,W229&gt;0),"Tetap Deteksi","Belum Deteksi"))</f>
        <v>Belum Deteksi</v>
      </c>
      <c r="AA229" s="143">
        <v>0</v>
      </c>
      <c r="AB229" s="9">
        <f t="shared" si="38"/>
        <v>0</v>
      </c>
      <c r="AC229" s="11"/>
      <c r="AD229" s="143"/>
      <c r="AE229" s="9">
        <f t="array" ref="AE229">IFERROR(AD229/$G229*100,0)</f>
        <v>0</v>
      </c>
      <c r="AF229" s="143"/>
      <c r="AG229" s="9">
        <f t="shared" si="39"/>
        <v>0</v>
      </c>
      <c r="AH229" s="8" t="str">
        <f t="array" ref="AH229">IF(AG229&gt;5,"Perlu Sensus",IF(AND(AG229&gt;=0,AD229&gt;0),"Tetap Deteksi","Belum Deteksi"))</f>
        <v>Belum Deteksi</v>
      </c>
      <c r="AI229" s="143"/>
      <c r="AJ229" s="9">
        <f t="shared" si="40"/>
        <v>0</v>
      </c>
      <c r="AK229" s="11"/>
      <c r="AL229" s="143"/>
      <c r="AM229" s="143"/>
      <c r="AN229" s="9">
        <f t="shared" si="41"/>
        <v>0</v>
      </c>
      <c r="AO229" s="8" t="str">
        <f t="array" ref="AO229">IF(AN229&gt;5,"Perlu Sensus",IF(AND(AN229&gt;=0,AL229&gt;0),"Tetap Deteksi","Belum Deteksi"))</f>
        <v>Belum Deteksi</v>
      </c>
      <c r="AP229" s="143"/>
      <c r="AQ229" s="9">
        <f t="shared" si="42"/>
        <v>0</v>
      </c>
    </row>
    <row r="230" spans="1:43" outlineLevel="1" x14ac:dyDescent="0.15">
      <c r="A230" s="8" t="s">
        <v>1739</v>
      </c>
      <c r="B230" s="8" t="s">
        <v>14</v>
      </c>
      <c r="C230" s="8" t="s">
        <v>252</v>
      </c>
      <c r="D230" s="8" t="s">
        <v>1094</v>
      </c>
      <c r="E230" s="9">
        <v>0</v>
      </c>
      <c r="F230" s="8" t="s">
        <v>1740</v>
      </c>
      <c r="G230" s="10">
        <v>0</v>
      </c>
      <c r="H230" s="11">
        <f t="array" ref="H230">IF(OR(N230&gt;0,AC230&gt;0),MAX(N230,AC230),MAX(AK230,V230))</f>
        <v>0</v>
      </c>
      <c r="I230" s="143">
        <f t="array" ref="I230">IF(SUM(O230,AD230)&gt;0,SUM(O230,AD230),SUM(AL230,W230))</f>
        <v>0</v>
      </c>
      <c r="J230" s="9" t="str">
        <f t="shared" si="33"/>
        <v xml:space="preserve"> </v>
      </c>
      <c r="K230" s="143">
        <f t="shared" si="43"/>
        <v>0</v>
      </c>
      <c r="L230" s="9">
        <f t="shared" si="34"/>
        <v>0</v>
      </c>
      <c r="M230" s="8" t="str">
        <f t="array" ref="M230">IF(L230&gt;5,"Perlu Sensus",IF(AND(L230&gt;=0,I230&gt;0),"Tetap Deteksi","Belum Deteksi"))</f>
        <v>Belum Deteksi</v>
      </c>
      <c r="N230" s="11"/>
      <c r="O230" s="143">
        <v>0</v>
      </c>
      <c r="P230" s="9">
        <f t="array" ref="P230">IFERROR(O230/$G230*100,0)</f>
        <v>0</v>
      </c>
      <c r="Q230" s="143">
        <v>0</v>
      </c>
      <c r="R230" s="9">
        <f t="shared" si="35"/>
        <v>0</v>
      </c>
      <c r="S230" s="8" t="str">
        <f t="array" ref="S230">IF(R230&gt;5,"Perlu Sensus",IF(AND(R230&gt;=0,O230&gt;0),"Tetap Deteksi","Belum Deteksi"))</f>
        <v>Belum Deteksi</v>
      </c>
      <c r="T230" s="143">
        <v>0</v>
      </c>
      <c r="U230" s="9">
        <f t="shared" si="36"/>
        <v>0</v>
      </c>
      <c r="V230" s="11"/>
      <c r="W230" s="143">
        <v>0</v>
      </c>
      <c r="X230" s="143">
        <v>0</v>
      </c>
      <c r="Y230" s="9">
        <f t="shared" si="37"/>
        <v>0</v>
      </c>
      <c r="Z230" s="8" t="str">
        <f t="array" ref="Z230">IF(Y230&gt;5,"Perlu Sensus",IF(AND(Y230&gt;=0,W230&gt;0),"Tetap Deteksi","Belum Deteksi"))</f>
        <v>Belum Deteksi</v>
      </c>
      <c r="AA230" s="143">
        <v>0</v>
      </c>
      <c r="AB230" s="9">
        <f t="shared" si="38"/>
        <v>0</v>
      </c>
      <c r="AC230" s="11"/>
      <c r="AD230" s="143"/>
      <c r="AE230" s="9">
        <f t="array" ref="AE230">IFERROR(AD230/$G230*100,0)</f>
        <v>0</v>
      </c>
      <c r="AF230" s="143"/>
      <c r="AG230" s="9">
        <f t="shared" si="39"/>
        <v>0</v>
      </c>
      <c r="AH230" s="8" t="str">
        <f t="array" ref="AH230">IF(AG230&gt;5,"Perlu Sensus",IF(AND(AG230&gt;=0,AD230&gt;0),"Tetap Deteksi","Belum Deteksi"))</f>
        <v>Belum Deteksi</v>
      </c>
      <c r="AI230" s="143"/>
      <c r="AJ230" s="9">
        <f t="shared" si="40"/>
        <v>0</v>
      </c>
      <c r="AK230" s="11"/>
      <c r="AL230" s="143"/>
      <c r="AM230" s="143"/>
      <c r="AN230" s="9">
        <f t="shared" si="41"/>
        <v>0</v>
      </c>
      <c r="AO230" s="8" t="str">
        <f t="array" ref="AO230">IF(AN230&gt;5,"Perlu Sensus",IF(AND(AN230&gt;=0,AL230&gt;0),"Tetap Deteksi","Belum Deteksi"))</f>
        <v>Belum Deteksi</v>
      </c>
      <c r="AP230" s="143"/>
      <c r="AQ230" s="9">
        <f t="shared" si="42"/>
        <v>0</v>
      </c>
    </row>
    <row r="231" spans="1:43" outlineLevel="1" x14ac:dyDescent="0.15">
      <c r="A231" s="8" t="s">
        <v>1739</v>
      </c>
      <c r="B231" s="8" t="s">
        <v>14</v>
      </c>
      <c r="C231" s="8" t="s">
        <v>252</v>
      </c>
      <c r="D231" s="8" t="s">
        <v>1095</v>
      </c>
      <c r="E231" s="9">
        <v>24.63</v>
      </c>
      <c r="F231" s="8" t="s">
        <v>1740</v>
      </c>
      <c r="G231" s="10">
        <v>3108</v>
      </c>
      <c r="H231" s="11">
        <f t="array" ref="H231">IF(OR(N231&gt;0,AC231&gt;0),MAX(N231,AC231),MAX(AK231,V231))</f>
        <v>46242</v>
      </c>
      <c r="I231" s="143">
        <f t="array" ref="I231">IF(SUM(O231,AD231)&gt;0,SUM(O231,AD231),SUM(AL231,W231))</f>
        <v>102</v>
      </c>
      <c r="J231" s="9">
        <f t="shared" si="33"/>
        <v>3.2818532818532815</v>
      </c>
      <c r="K231" s="143">
        <f t="shared" si="43"/>
        <v>1</v>
      </c>
      <c r="L231" s="9">
        <f t="shared" si="34"/>
        <v>0.98039215686274506</v>
      </c>
      <c r="M231" s="8" t="str">
        <f t="array" ref="M231">IF(L231&gt;5,"Perlu Sensus",IF(AND(L231&gt;=0,I231&gt;0),"Tetap Deteksi","Belum Deteksi"))</f>
        <v>Tetap Deteksi</v>
      </c>
      <c r="N231" s="11">
        <v>46242</v>
      </c>
      <c r="O231" s="143">
        <v>102</v>
      </c>
      <c r="P231" s="9">
        <f t="array" ref="P231">IFERROR(O231/$G231*100,0)</f>
        <v>3.2818532818532815</v>
      </c>
      <c r="Q231" s="143">
        <v>1</v>
      </c>
      <c r="R231" s="9">
        <f t="shared" si="35"/>
        <v>0.98039215686274506</v>
      </c>
      <c r="S231" s="8" t="str">
        <f t="array" ref="S231">IF(R231&gt;5,"Perlu Sensus",IF(AND(R231&gt;=0,O231&gt;0),"Tetap Deteksi","Belum Deteksi"))</f>
        <v>Tetap Deteksi</v>
      </c>
      <c r="T231" s="143">
        <v>4</v>
      </c>
      <c r="U231" s="9">
        <f t="shared" si="36"/>
        <v>3.9215686274509802</v>
      </c>
      <c r="V231" s="132">
        <v>46249</v>
      </c>
      <c r="W231" s="143">
        <v>235</v>
      </c>
      <c r="X231" s="143">
        <v>5</v>
      </c>
      <c r="Y231" s="9">
        <f t="shared" si="37"/>
        <v>2.1276595744680851</v>
      </c>
      <c r="Z231" s="8" t="str">
        <f t="array" ref="Z231">IF(Y231&gt;5,"Perlu Sensus",IF(AND(Y231&gt;=0,W231&gt;0),"Tetap Deteksi","Belum Deteksi"))</f>
        <v>Tetap Deteksi</v>
      </c>
      <c r="AA231" s="143">
        <v>13</v>
      </c>
      <c r="AB231" s="9">
        <f t="shared" si="38"/>
        <v>5.5319148936170208</v>
      </c>
      <c r="AC231" s="11"/>
      <c r="AD231" s="143"/>
      <c r="AE231" s="9">
        <f t="array" ref="AE231">IFERROR(AD231/$G231*100,0)</f>
        <v>0</v>
      </c>
      <c r="AF231" s="143"/>
      <c r="AG231" s="9">
        <f t="shared" si="39"/>
        <v>0</v>
      </c>
      <c r="AH231" s="8" t="str">
        <f t="array" ref="AH231">IF(AG231&gt;5,"Perlu Sensus",IF(AND(AG231&gt;=0,AD231&gt;0),"Tetap Deteksi","Belum Deteksi"))</f>
        <v>Belum Deteksi</v>
      </c>
      <c r="AI231" s="143"/>
      <c r="AJ231" s="9">
        <f t="shared" si="40"/>
        <v>0</v>
      </c>
      <c r="AK231" s="11"/>
      <c r="AL231" s="143"/>
      <c r="AM231" s="143"/>
      <c r="AN231" s="9">
        <f t="shared" si="41"/>
        <v>0</v>
      </c>
      <c r="AO231" s="8" t="str">
        <f t="array" ref="AO231">IF(AN231&gt;5,"Perlu Sensus",IF(AND(AN231&gt;=0,AL231&gt;0),"Tetap Deteksi","Belum Deteksi"))</f>
        <v>Belum Deteksi</v>
      </c>
      <c r="AP231" s="143"/>
      <c r="AQ231" s="9">
        <f t="shared" si="42"/>
        <v>0</v>
      </c>
    </row>
    <row r="232" spans="1:43" outlineLevel="1" x14ac:dyDescent="0.15">
      <c r="A232" s="8" t="s">
        <v>1739</v>
      </c>
      <c r="B232" s="8" t="s">
        <v>14</v>
      </c>
      <c r="C232" s="8" t="s">
        <v>252</v>
      </c>
      <c r="D232" s="8" t="s">
        <v>1096</v>
      </c>
      <c r="E232" s="9">
        <v>31.19</v>
      </c>
      <c r="F232" s="8" t="s">
        <v>1740</v>
      </c>
      <c r="G232" s="10">
        <v>4177</v>
      </c>
      <c r="H232" s="11">
        <f t="array" ref="H232">IF(OR(N232&gt;0,AC232&gt;0),MAX(N232,AC232),MAX(AK232,V232))</f>
        <v>46242</v>
      </c>
      <c r="I232" s="143">
        <f t="array" ref="I232">IF(SUM(O232,AD232)&gt;0,SUM(O232,AD232),SUM(AL232,W232))</f>
        <v>105</v>
      </c>
      <c r="J232" s="9">
        <f t="shared" si="33"/>
        <v>2.5137658606655493</v>
      </c>
      <c r="K232" s="143">
        <f t="shared" si="43"/>
        <v>3</v>
      </c>
      <c r="L232" s="9">
        <f t="shared" si="34"/>
        <v>2.8571428571428572</v>
      </c>
      <c r="M232" s="8" t="str">
        <f t="array" ref="M232">IF(L232&gt;5,"Perlu Sensus",IF(AND(L232&gt;=0,I232&gt;0),"Tetap Deteksi","Belum Deteksi"))</f>
        <v>Tetap Deteksi</v>
      </c>
      <c r="N232" s="11">
        <v>46242</v>
      </c>
      <c r="O232" s="143">
        <v>105</v>
      </c>
      <c r="P232" s="9">
        <f t="array" ref="P232">IFERROR(O232/$G232*100,0)</f>
        <v>2.5137658606655493</v>
      </c>
      <c r="Q232" s="143">
        <v>3</v>
      </c>
      <c r="R232" s="9">
        <f t="shared" si="35"/>
        <v>2.8571428571428572</v>
      </c>
      <c r="S232" s="8" t="str">
        <f t="array" ref="S232">IF(R232&gt;5,"Perlu Sensus",IF(AND(R232&gt;=0,O232&gt;0),"Tetap Deteksi","Belum Deteksi"))</f>
        <v>Tetap Deteksi</v>
      </c>
      <c r="T232" s="143">
        <v>4</v>
      </c>
      <c r="U232" s="9">
        <f t="shared" si="36"/>
        <v>3.8095238095238098</v>
      </c>
      <c r="V232" s="132">
        <v>46249</v>
      </c>
      <c r="W232" s="143">
        <v>352</v>
      </c>
      <c r="X232" s="143">
        <v>7</v>
      </c>
      <c r="Y232" s="9">
        <f t="shared" si="37"/>
        <v>1.9886363636363635</v>
      </c>
      <c r="Z232" s="8" t="str">
        <f t="array" ref="Z232">IF(Y232&gt;5,"Perlu Sensus",IF(AND(Y232&gt;=0,W232&gt;0),"Tetap Deteksi","Belum Deteksi"))</f>
        <v>Tetap Deteksi</v>
      </c>
      <c r="AA232" s="143">
        <v>22</v>
      </c>
      <c r="AB232" s="9">
        <f t="shared" si="38"/>
        <v>6.25</v>
      </c>
      <c r="AC232" s="11"/>
      <c r="AD232" s="143"/>
      <c r="AE232" s="9">
        <f t="array" ref="AE232">IFERROR(AD232/$G232*100,0)</f>
        <v>0</v>
      </c>
      <c r="AF232" s="143"/>
      <c r="AG232" s="9">
        <f t="shared" si="39"/>
        <v>0</v>
      </c>
      <c r="AH232" s="8" t="str">
        <f t="array" ref="AH232">IF(AG232&gt;5,"Perlu Sensus",IF(AND(AG232&gt;=0,AD232&gt;0),"Tetap Deteksi","Belum Deteksi"))</f>
        <v>Belum Deteksi</v>
      </c>
      <c r="AI232" s="143"/>
      <c r="AJ232" s="9">
        <f t="shared" si="40"/>
        <v>0</v>
      </c>
      <c r="AK232" s="11"/>
      <c r="AL232" s="143"/>
      <c r="AM232" s="143"/>
      <c r="AN232" s="9">
        <f t="shared" si="41"/>
        <v>0</v>
      </c>
      <c r="AO232" s="8" t="str">
        <f t="array" ref="AO232">IF(AN232&gt;5,"Perlu Sensus",IF(AND(AN232&gt;=0,AL232&gt;0),"Tetap Deteksi","Belum Deteksi"))</f>
        <v>Belum Deteksi</v>
      </c>
      <c r="AP232" s="143"/>
      <c r="AQ232" s="9">
        <f t="shared" si="42"/>
        <v>0</v>
      </c>
    </row>
    <row r="233" spans="1:43" outlineLevel="1" x14ac:dyDescent="0.15">
      <c r="A233" s="8" t="s">
        <v>1739</v>
      </c>
      <c r="B233" s="8" t="s">
        <v>14</v>
      </c>
      <c r="C233" s="8" t="s">
        <v>252</v>
      </c>
      <c r="D233" s="8" t="s">
        <v>1097</v>
      </c>
      <c r="E233" s="9">
        <v>28.98</v>
      </c>
      <c r="F233" s="8" t="s">
        <v>1740</v>
      </c>
      <c r="G233" s="10">
        <v>3701</v>
      </c>
      <c r="H233" s="11">
        <f t="array" ref="H233">IF(OR(N233&gt;0,AC233&gt;0),MAX(N233,AC233),MAX(AK233,V233))</f>
        <v>46244</v>
      </c>
      <c r="I233" s="143">
        <f t="array" ref="I233">IF(SUM(O233,AD233)&gt;0,SUM(O233,AD233),SUM(AL233,W233))</f>
        <v>85</v>
      </c>
      <c r="J233" s="9">
        <f t="shared" si="33"/>
        <v>2.2966765738989463</v>
      </c>
      <c r="K233" s="143">
        <f t="shared" si="43"/>
        <v>2</v>
      </c>
      <c r="L233" s="9">
        <f t="shared" si="34"/>
        <v>2.3529411764705883</v>
      </c>
      <c r="M233" s="8" t="str">
        <f t="array" ref="M233">IF(L233&gt;5,"Perlu Sensus",IF(AND(L233&gt;=0,I233&gt;0),"Tetap Deteksi","Belum Deteksi"))</f>
        <v>Tetap Deteksi</v>
      </c>
      <c r="N233" s="11">
        <v>46244</v>
      </c>
      <c r="O233" s="143">
        <v>85</v>
      </c>
      <c r="P233" s="9">
        <f t="array" ref="P233">IFERROR(O233/$G233*100,0)</f>
        <v>2.2966765738989463</v>
      </c>
      <c r="Q233" s="143">
        <v>2</v>
      </c>
      <c r="R233" s="9">
        <f t="shared" si="35"/>
        <v>2.3529411764705883</v>
      </c>
      <c r="S233" s="8" t="str">
        <f t="array" ref="S233">IF(R233&gt;5,"Perlu Sensus",IF(AND(R233&gt;=0,O233&gt;0),"Tetap Deteksi","Belum Deteksi"))</f>
        <v>Tetap Deteksi</v>
      </c>
      <c r="T233" s="143">
        <v>4</v>
      </c>
      <c r="U233" s="9">
        <f t="shared" si="36"/>
        <v>4.7058823529411766</v>
      </c>
      <c r="V233" s="132">
        <v>46249</v>
      </c>
      <c r="W233" s="143">
        <v>335</v>
      </c>
      <c r="X233" s="143">
        <v>9</v>
      </c>
      <c r="Y233" s="9">
        <f t="shared" si="37"/>
        <v>2.6865671641791042</v>
      </c>
      <c r="Z233" s="8" t="str">
        <f t="array" ref="Z233">IF(Y233&gt;5,"Perlu Sensus",IF(AND(Y233&gt;=0,W233&gt;0),"Tetap Deteksi","Belum Deteksi"))</f>
        <v>Tetap Deteksi</v>
      </c>
      <c r="AA233" s="143">
        <v>30</v>
      </c>
      <c r="AB233" s="9">
        <f t="shared" si="38"/>
        <v>8.9552238805970141</v>
      </c>
      <c r="AC233" s="11"/>
      <c r="AD233" s="143"/>
      <c r="AE233" s="9">
        <f t="array" ref="AE233">IFERROR(AD233/$G233*100,0)</f>
        <v>0</v>
      </c>
      <c r="AF233" s="143"/>
      <c r="AG233" s="9">
        <f t="shared" si="39"/>
        <v>0</v>
      </c>
      <c r="AH233" s="8" t="str">
        <f t="array" ref="AH233">IF(AG233&gt;5,"Perlu Sensus",IF(AND(AG233&gt;=0,AD233&gt;0),"Tetap Deteksi","Belum Deteksi"))</f>
        <v>Belum Deteksi</v>
      </c>
      <c r="AI233" s="143"/>
      <c r="AJ233" s="9">
        <f t="shared" si="40"/>
        <v>0</v>
      </c>
      <c r="AK233" s="11"/>
      <c r="AL233" s="143"/>
      <c r="AM233" s="143"/>
      <c r="AN233" s="9">
        <f t="shared" si="41"/>
        <v>0</v>
      </c>
      <c r="AO233" s="8" t="str">
        <f t="array" ref="AO233">IF(AN233&gt;5,"Perlu Sensus",IF(AND(AN233&gt;=0,AL233&gt;0),"Tetap Deteksi","Belum Deteksi"))</f>
        <v>Belum Deteksi</v>
      </c>
      <c r="AP233" s="143"/>
      <c r="AQ233" s="9">
        <f t="shared" si="42"/>
        <v>0</v>
      </c>
    </row>
    <row r="234" spans="1:43" outlineLevel="1" x14ac:dyDescent="0.15">
      <c r="A234" s="8" t="s">
        <v>1739</v>
      </c>
      <c r="B234" s="8" t="s">
        <v>14</v>
      </c>
      <c r="C234" s="8" t="s">
        <v>252</v>
      </c>
      <c r="D234" s="8" t="s">
        <v>1098</v>
      </c>
      <c r="E234" s="9">
        <v>30.54</v>
      </c>
      <c r="F234" s="8" t="s">
        <v>1740</v>
      </c>
      <c r="G234" s="10">
        <v>3587</v>
      </c>
      <c r="H234" s="11">
        <f t="array" ref="H234">IF(OR(N234&gt;0,AC234&gt;0),MAX(N234,AC234),MAX(AK234,V234))</f>
        <v>46244</v>
      </c>
      <c r="I234" s="143">
        <f t="array" ref="I234">IF(SUM(O234,AD234)&gt;0,SUM(O234,AD234),SUM(AL234,W234))</f>
        <v>87</v>
      </c>
      <c r="J234" s="9">
        <f t="shared" si="33"/>
        <v>2.4254251463618623</v>
      </c>
      <c r="K234" s="143">
        <f t="shared" si="43"/>
        <v>1</v>
      </c>
      <c r="L234" s="9">
        <f t="shared" si="34"/>
        <v>1.1494252873563218</v>
      </c>
      <c r="M234" s="8" t="str">
        <f t="array" ref="M234">IF(L234&gt;5,"Perlu Sensus",IF(AND(L234&gt;=0,I234&gt;0),"Tetap Deteksi","Belum Deteksi"))</f>
        <v>Tetap Deteksi</v>
      </c>
      <c r="N234" s="11">
        <v>46244</v>
      </c>
      <c r="O234" s="143">
        <v>87</v>
      </c>
      <c r="P234" s="9">
        <f t="array" ref="P234">IFERROR(O234/$G234*100,0)</f>
        <v>2.4254251463618623</v>
      </c>
      <c r="Q234" s="143">
        <v>1</v>
      </c>
      <c r="R234" s="9">
        <f t="shared" si="35"/>
        <v>1.1494252873563218</v>
      </c>
      <c r="S234" s="8" t="str">
        <f t="array" ref="S234">IF(R234&gt;5,"Perlu Sensus",IF(AND(R234&gt;=0,O234&gt;0),"Tetap Deteksi","Belum Deteksi"))</f>
        <v>Tetap Deteksi</v>
      </c>
      <c r="T234" s="143">
        <v>5</v>
      </c>
      <c r="U234" s="9">
        <f t="shared" si="36"/>
        <v>5.7471264367816088</v>
      </c>
      <c r="V234" s="132">
        <v>46249</v>
      </c>
      <c r="W234" s="143">
        <v>364</v>
      </c>
      <c r="X234" s="143">
        <v>9</v>
      </c>
      <c r="Y234" s="9">
        <f t="shared" si="37"/>
        <v>2.4725274725274726</v>
      </c>
      <c r="Z234" s="8" t="str">
        <f t="array" ref="Z234">IF(Y234&gt;5,"Perlu Sensus",IF(AND(Y234&gt;=0,W234&gt;0),"Tetap Deteksi","Belum Deteksi"))</f>
        <v>Tetap Deteksi</v>
      </c>
      <c r="AA234" s="143">
        <v>10</v>
      </c>
      <c r="AB234" s="9">
        <f t="shared" si="38"/>
        <v>2.7472527472527473</v>
      </c>
      <c r="AC234" s="11"/>
      <c r="AD234" s="143"/>
      <c r="AE234" s="9">
        <f t="array" ref="AE234">IFERROR(AD234/$G234*100,0)</f>
        <v>0</v>
      </c>
      <c r="AF234" s="143"/>
      <c r="AG234" s="9">
        <f t="shared" si="39"/>
        <v>0</v>
      </c>
      <c r="AH234" s="8" t="str">
        <f t="array" ref="AH234">IF(AG234&gt;5,"Perlu Sensus",IF(AND(AG234&gt;=0,AD234&gt;0),"Tetap Deteksi","Belum Deteksi"))</f>
        <v>Belum Deteksi</v>
      </c>
      <c r="AI234" s="143"/>
      <c r="AJ234" s="9">
        <f t="shared" si="40"/>
        <v>0</v>
      </c>
      <c r="AK234" s="11"/>
      <c r="AL234" s="143"/>
      <c r="AM234" s="143"/>
      <c r="AN234" s="9">
        <f t="shared" si="41"/>
        <v>0</v>
      </c>
      <c r="AO234" s="8" t="str">
        <f t="array" ref="AO234">IF(AN234&gt;5,"Perlu Sensus",IF(AND(AN234&gt;=0,AL234&gt;0),"Tetap Deteksi","Belum Deteksi"))</f>
        <v>Belum Deteksi</v>
      </c>
      <c r="AP234" s="143"/>
      <c r="AQ234" s="9">
        <f t="shared" si="42"/>
        <v>0</v>
      </c>
    </row>
    <row r="235" spans="1:43" outlineLevel="1" x14ac:dyDescent="0.15">
      <c r="A235" s="8" t="s">
        <v>1739</v>
      </c>
      <c r="B235" s="8" t="s">
        <v>14</v>
      </c>
      <c r="C235" s="8" t="s">
        <v>252</v>
      </c>
      <c r="D235" s="8" t="s">
        <v>1099</v>
      </c>
      <c r="E235" s="9">
        <v>25.31</v>
      </c>
      <c r="F235" s="8" t="s">
        <v>1740</v>
      </c>
      <c r="G235" s="10">
        <v>3271</v>
      </c>
      <c r="H235" s="11">
        <f t="array" ref="H235">IF(OR(N235&gt;0,AC235&gt;0),MAX(N235,AC235),MAX(AK235,V235))</f>
        <v>46245</v>
      </c>
      <c r="I235" s="143">
        <f t="array" ref="I235">IF(SUM(O235,AD235)&gt;0,SUM(O235,AD235),SUM(AL235,W235))</f>
        <v>58</v>
      </c>
      <c r="J235" s="9">
        <f t="shared" si="33"/>
        <v>1.7731580556404769</v>
      </c>
      <c r="K235" s="143">
        <f t="shared" si="43"/>
        <v>1</v>
      </c>
      <c r="L235" s="9">
        <f t="shared" si="34"/>
        <v>1.7241379310344827</v>
      </c>
      <c r="M235" s="8" t="str">
        <f t="array" ref="M235">IF(L235&gt;5,"Perlu Sensus",IF(AND(L235&gt;=0,I235&gt;0),"Tetap Deteksi","Belum Deteksi"))</f>
        <v>Tetap Deteksi</v>
      </c>
      <c r="N235" s="11">
        <v>46245</v>
      </c>
      <c r="O235" s="143">
        <v>58</v>
      </c>
      <c r="P235" s="9">
        <f t="array" ref="P235">IFERROR(O235/$G235*100,0)</f>
        <v>1.7731580556404769</v>
      </c>
      <c r="Q235" s="143">
        <v>1</v>
      </c>
      <c r="R235" s="9">
        <f t="shared" si="35"/>
        <v>1.7241379310344827</v>
      </c>
      <c r="S235" s="8" t="str">
        <f t="array" ref="S235">IF(R235&gt;5,"Perlu Sensus",IF(AND(R235&gt;=0,O235&gt;0),"Tetap Deteksi","Belum Deteksi"))</f>
        <v>Tetap Deteksi</v>
      </c>
      <c r="T235" s="143">
        <v>3</v>
      </c>
      <c r="U235" s="9">
        <f t="shared" si="36"/>
        <v>5.1724137931034484</v>
      </c>
      <c r="V235" s="132">
        <v>46249</v>
      </c>
      <c r="W235" s="143">
        <v>337</v>
      </c>
      <c r="X235" s="143">
        <v>10</v>
      </c>
      <c r="Y235" s="9">
        <f t="shared" si="37"/>
        <v>2.9673590504451042</v>
      </c>
      <c r="Z235" s="8" t="str">
        <f t="array" ref="Z235">IF(Y235&gt;5,"Perlu Sensus",IF(AND(Y235&gt;=0,W235&gt;0),"Tetap Deteksi","Belum Deteksi"))</f>
        <v>Tetap Deteksi</v>
      </c>
      <c r="AA235" s="143">
        <v>20</v>
      </c>
      <c r="AB235" s="9">
        <f t="shared" si="38"/>
        <v>5.9347181008902083</v>
      </c>
      <c r="AC235" s="11"/>
      <c r="AD235" s="143"/>
      <c r="AE235" s="9">
        <f t="array" ref="AE235">IFERROR(AD235/$G235*100,0)</f>
        <v>0</v>
      </c>
      <c r="AF235" s="143"/>
      <c r="AG235" s="9">
        <f t="shared" si="39"/>
        <v>0</v>
      </c>
      <c r="AH235" s="8" t="str">
        <f t="array" ref="AH235">IF(AG235&gt;5,"Perlu Sensus",IF(AND(AG235&gt;=0,AD235&gt;0),"Tetap Deteksi","Belum Deteksi"))</f>
        <v>Belum Deteksi</v>
      </c>
      <c r="AI235" s="143"/>
      <c r="AJ235" s="9">
        <f t="shared" si="40"/>
        <v>0</v>
      </c>
      <c r="AK235" s="11"/>
      <c r="AL235" s="143"/>
      <c r="AM235" s="143"/>
      <c r="AN235" s="9">
        <f t="shared" si="41"/>
        <v>0</v>
      </c>
      <c r="AO235" s="8" t="str">
        <f t="array" ref="AO235">IF(AN235&gt;5,"Perlu Sensus",IF(AND(AN235&gt;=0,AL235&gt;0),"Tetap Deteksi","Belum Deteksi"))</f>
        <v>Belum Deteksi</v>
      </c>
      <c r="AP235" s="143"/>
      <c r="AQ235" s="9">
        <f t="shared" si="42"/>
        <v>0</v>
      </c>
    </row>
    <row r="236" spans="1:43" outlineLevel="1" x14ac:dyDescent="0.15">
      <c r="A236" s="8" t="s">
        <v>1739</v>
      </c>
      <c r="B236" s="8" t="s">
        <v>14</v>
      </c>
      <c r="C236" s="8" t="s">
        <v>252</v>
      </c>
      <c r="D236" s="8" t="s">
        <v>1100</v>
      </c>
      <c r="E236" s="9">
        <v>0</v>
      </c>
      <c r="F236" s="8" t="s">
        <v>1740</v>
      </c>
      <c r="G236" s="10">
        <v>0</v>
      </c>
      <c r="H236" s="11">
        <f t="array" ref="H236">IF(OR(N236&gt;0,AC236&gt;0),MAX(N236,AC236),MAX(AK236,V236))</f>
        <v>0</v>
      </c>
      <c r="I236" s="143">
        <f t="array" ref="I236">IF(SUM(O236,AD236)&gt;0,SUM(O236,AD236),SUM(AL236,W236))</f>
        <v>0</v>
      </c>
      <c r="J236" s="9" t="str">
        <f t="shared" si="33"/>
        <v xml:space="preserve"> </v>
      </c>
      <c r="K236" s="143">
        <f t="shared" si="43"/>
        <v>0</v>
      </c>
      <c r="L236" s="9">
        <f t="shared" si="34"/>
        <v>0</v>
      </c>
      <c r="M236" s="8" t="str">
        <f t="array" ref="M236">IF(L236&gt;5,"Perlu Sensus",IF(AND(L236&gt;=0,I236&gt;0),"Tetap Deteksi","Belum Deteksi"))</f>
        <v>Belum Deteksi</v>
      </c>
      <c r="N236" s="11"/>
      <c r="O236" s="143">
        <v>0</v>
      </c>
      <c r="P236" s="9">
        <f t="array" ref="P236">IFERROR(O236/$G236*100,0)</f>
        <v>0</v>
      </c>
      <c r="Q236" s="143">
        <v>0</v>
      </c>
      <c r="R236" s="9">
        <f t="shared" si="35"/>
        <v>0</v>
      </c>
      <c r="S236" s="8" t="str">
        <f t="array" ref="S236">IF(R236&gt;5,"Perlu Sensus",IF(AND(R236&gt;=0,O236&gt;0),"Tetap Deteksi","Belum Deteksi"))</f>
        <v>Belum Deteksi</v>
      </c>
      <c r="T236" s="143">
        <v>0</v>
      </c>
      <c r="U236" s="9">
        <f t="shared" si="36"/>
        <v>0</v>
      </c>
      <c r="V236" s="11"/>
      <c r="W236" s="143">
        <v>0</v>
      </c>
      <c r="X236" s="143">
        <v>0</v>
      </c>
      <c r="Y236" s="9">
        <f t="shared" si="37"/>
        <v>0</v>
      </c>
      <c r="Z236" s="8" t="str">
        <f t="array" ref="Z236">IF(Y236&gt;5,"Perlu Sensus",IF(AND(Y236&gt;=0,W236&gt;0),"Tetap Deteksi","Belum Deteksi"))</f>
        <v>Belum Deteksi</v>
      </c>
      <c r="AA236" s="143">
        <v>0</v>
      </c>
      <c r="AB236" s="9">
        <f t="shared" si="38"/>
        <v>0</v>
      </c>
      <c r="AC236" s="11"/>
      <c r="AD236" s="143"/>
      <c r="AE236" s="9">
        <f t="array" ref="AE236">IFERROR(AD236/$G236*100,0)</f>
        <v>0</v>
      </c>
      <c r="AF236" s="143"/>
      <c r="AG236" s="9">
        <f t="shared" si="39"/>
        <v>0</v>
      </c>
      <c r="AH236" s="8" t="str">
        <f t="array" ref="AH236">IF(AG236&gt;5,"Perlu Sensus",IF(AND(AG236&gt;=0,AD236&gt;0),"Tetap Deteksi","Belum Deteksi"))</f>
        <v>Belum Deteksi</v>
      </c>
      <c r="AI236" s="143"/>
      <c r="AJ236" s="9">
        <f t="shared" si="40"/>
        <v>0</v>
      </c>
      <c r="AK236" s="11"/>
      <c r="AL236" s="143"/>
      <c r="AM236" s="143"/>
      <c r="AN236" s="9">
        <f t="shared" si="41"/>
        <v>0</v>
      </c>
      <c r="AO236" s="8" t="str">
        <f t="array" ref="AO236">IF(AN236&gt;5,"Perlu Sensus",IF(AND(AN236&gt;=0,AL236&gt;0),"Tetap Deteksi","Belum Deteksi"))</f>
        <v>Belum Deteksi</v>
      </c>
      <c r="AP236" s="143"/>
      <c r="AQ236" s="9">
        <f t="shared" si="42"/>
        <v>0</v>
      </c>
    </row>
    <row r="237" spans="1:43" outlineLevel="1" x14ac:dyDescent="0.15">
      <c r="A237" s="8" t="s">
        <v>1739</v>
      </c>
      <c r="B237" s="8" t="s">
        <v>14</v>
      </c>
      <c r="C237" s="8" t="s">
        <v>252</v>
      </c>
      <c r="D237" s="8" t="s">
        <v>1101</v>
      </c>
      <c r="E237" s="9">
        <v>34.58</v>
      </c>
      <c r="F237" s="8" t="s">
        <v>1740</v>
      </c>
      <c r="G237" s="10">
        <v>4363</v>
      </c>
      <c r="H237" s="11">
        <f t="array" ref="H237">IF(OR(N237&gt;0,AC237&gt;0),MAX(N237,AC237),MAX(AK237,V237))</f>
        <v>46247</v>
      </c>
      <c r="I237" s="143">
        <f t="array" ref="I237">IF(SUM(O237,AD237)&gt;0,SUM(O237,AD237),SUM(AL237,W237))</f>
        <v>86</v>
      </c>
      <c r="J237" s="9">
        <f t="shared" si="33"/>
        <v>1.9711207884483155</v>
      </c>
      <c r="K237" s="143">
        <f t="shared" si="43"/>
        <v>1</v>
      </c>
      <c r="L237" s="9">
        <f t="shared" si="34"/>
        <v>1.1627906976744187</v>
      </c>
      <c r="M237" s="8" t="str">
        <f t="array" ref="M237">IF(L237&gt;5,"Perlu Sensus",IF(AND(L237&gt;=0,I237&gt;0),"Tetap Deteksi","Belum Deteksi"))</f>
        <v>Tetap Deteksi</v>
      </c>
      <c r="N237" s="11">
        <v>46247</v>
      </c>
      <c r="O237" s="143">
        <v>86</v>
      </c>
      <c r="P237" s="9">
        <f t="array" ref="P237">IFERROR(O237/$G237*100,0)</f>
        <v>1.9711207884483155</v>
      </c>
      <c r="Q237" s="143">
        <v>1</v>
      </c>
      <c r="R237" s="9">
        <f t="shared" si="35"/>
        <v>1.1627906976744187</v>
      </c>
      <c r="S237" s="8" t="str">
        <f t="array" ref="S237">IF(R237&gt;5,"Perlu Sensus",IF(AND(R237&gt;=0,O237&gt;0),"Tetap Deteksi","Belum Deteksi"))</f>
        <v>Tetap Deteksi</v>
      </c>
      <c r="T237" s="143">
        <v>2</v>
      </c>
      <c r="U237" s="9">
        <f t="shared" si="36"/>
        <v>2.3255813953488373</v>
      </c>
      <c r="V237" s="132">
        <v>46249</v>
      </c>
      <c r="W237" s="143">
        <v>375</v>
      </c>
      <c r="X237" s="143">
        <v>8</v>
      </c>
      <c r="Y237" s="9">
        <f t="shared" si="37"/>
        <v>2.1333333333333333</v>
      </c>
      <c r="Z237" s="8" t="str">
        <f t="array" ref="Z237">IF(Y237&gt;5,"Perlu Sensus",IF(AND(Y237&gt;=0,W237&gt;0),"Tetap Deteksi","Belum Deteksi"))</f>
        <v>Tetap Deteksi</v>
      </c>
      <c r="AA237" s="143">
        <v>26</v>
      </c>
      <c r="AB237" s="9">
        <f t="shared" si="38"/>
        <v>6.9333333333333327</v>
      </c>
      <c r="AC237" s="11"/>
      <c r="AD237" s="143"/>
      <c r="AE237" s="9">
        <f t="array" ref="AE237">IFERROR(AD237/$G237*100,0)</f>
        <v>0</v>
      </c>
      <c r="AF237" s="143"/>
      <c r="AG237" s="9">
        <f t="shared" si="39"/>
        <v>0</v>
      </c>
      <c r="AH237" s="8" t="str">
        <f t="array" ref="AH237">IF(AG237&gt;5,"Perlu Sensus",IF(AND(AG237&gt;=0,AD237&gt;0),"Tetap Deteksi","Belum Deteksi"))</f>
        <v>Belum Deteksi</v>
      </c>
      <c r="AI237" s="143"/>
      <c r="AJ237" s="9">
        <f t="shared" si="40"/>
        <v>0</v>
      </c>
      <c r="AK237" s="11"/>
      <c r="AL237" s="143"/>
      <c r="AM237" s="143"/>
      <c r="AN237" s="9">
        <f t="shared" si="41"/>
        <v>0</v>
      </c>
      <c r="AO237" s="8" t="str">
        <f t="array" ref="AO237">IF(AN237&gt;5,"Perlu Sensus",IF(AND(AN237&gt;=0,AL237&gt;0),"Tetap Deteksi","Belum Deteksi"))</f>
        <v>Belum Deteksi</v>
      </c>
      <c r="AP237" s="143"/>
      <c r="AQ237" s="9">
        <f t="shared" si="42"/>
        <v>0</v>
      </c>
    </row>
    <row r="238" spans="1:43" outlineLevel="1" x14ac:dyDescent="0.15">
      <c r="A238" s="8" t="s">
        <v>1739</v>
      </c>
      <c r="B238" s="8" t="s">
        <v>14</v>
      </c>
      <c r="C238" s="8" t="s">
        <v>252</v>
      </c>
      <c r="D238" s="8" t="s">
        <v>1102</v>
      </c>
      <c r="E238" s="9">
        <v>29.14</v>
      </c>
      <c r="F238" s="8" t="s">
        <v>1740</v>
      </c>
      <c r="G238" s="10">
        <v>3643</v>
      </c>
      <c r="H238" s="11">
        <f t="array" ref="H238">IF(OR(N238&gt;0,AC238&gt;0),MAX(N238,AC238),MAX(AK238,V238))</f>
        <v>46246</v>
      </c>
      <c r="I238" s="143">
        <f t="array" ref="I238">IF(SUM(O238,AD238)&gt;0,SUM(O238,AD238),SUM(AL238,W238))</f>
        <v>95</v>
      </c>
      <c r="J238" s="9">
        <f t="shared" si="33"/>
        <v>2.6077408729069447</v>
      </c>
      <c r="K238" s="143">
        <f t="shared" si="43"/>
        <v>1</v>
      </c>
      <c r="L238" s="9">
        <f t="shared" si="34"/>
        <v>1.0526315789473684</v>
      </c>
      <c r="M238" s="8" t="str">
        <f t="array" ref="M238">IF(L238&gt;5,"Perlu Sensus",IF(AND(L238&gt;=0,I238&gt;0),"Tetap Deteksi","Belum Deteksi"))</f>
        <v>Tetap Deteksi</v>
      </c>
      <c r="N238" s="11">
        <v>46246</v>
      </c>
      <c r="O238" s="143">
        <v>95</v>
      </c>
      <c r="P238" s="9">
        <f t="array" ref="P238">IFERROR(O238/$G238*100,0)</f>
        <v>2.6077408729069447</v>
      </c>
      <c r="Q238" s="143">
        <v>1</v>
      </c>
      <c r="R238" s="9">
        <f t="shared" si="35"/>
        <v>1.0526315789473684</v>
      </c>
      <c r="S238" s="8" t="str">
        <f t="array" ref="S238">IF(R238&gt;5,"Perlu Sensus",IF(AND(R238&gt;=0,O238&gt;0),"Tetap Deteksi","Belum Deteksi"))</f>
        <v>Tetap Deteksi</v>
      </c>
      <c r="T238" s="143">
        <v>3</v>
      </c>
      <c r="U238" s="9">
        <f t="shared" si="36"/>
        <v>3.1578947368421053</v>
      </c>
      <c r="V238" s="132">
        <v>46249</v>
      </c>
      <c r="W238" s="143">
        <v>298</v>
      </c>
      <c r="X238" s="143">
        <v>9</v>
      </c>
      <c r="Y238" s="9">
        <f t="shared" si="37"/>
        <v>3.0201342281879198</v>
      </c>
      <c r="Z238" s="8" t="str">
        <f t="array" ref="Z238">IF(Y238&gt;5,"Perlu Sensus",IF(AND(Y238&gt;=0,W238&gt;0),"Tetap Deteksi","Belum Deteksi"))</f>
        <v>Tetap Deteksi</v>
      </c>
      <c r="AA238" s="143">
        <v>25</v>
      </c>
      <c r="AB238" s="9">
        <f t="shared" si="38"/>
        <v>8.3892617449664435</v>
      </c>
      <c r="AC238" s="11"/>
      <c r="AD238" s="143"/>
      <c r="AE238" s="9">
        <f t="array" ref="AE238">IFERROR(AD238/$G238*100,0)</f>
        <v>0</v>
      </c>
      <c r="AF238" s="143"/>
      <c r="AG238" s="9">
        <f t="shared" si="39"/>
        <v>0</v>
      </c>
      <c r="AH238" s="8" t="str">
        <f t="array" ref="AH238">IF(AG238&gt;5,"Perlu Sensus",IF(AND(AG238&gt;=0,AD238&gt;0),"Tetap Deteksi","Belum Deteksi"))</f>
        <v>Belum Deteksi</v>
      </c>
      <c r="AI238" s="143"/>
      <c r="AJ238" s="9">
        <f t="shared" si="40"/>
        <v>0</v>
      </c>
      <c r="AK238" s="11"/>
      <c r="AL238" s="143"/>
      <c r="AM238" s="143"/>
      <c r="AN238" s="9">
        <f t="shared" si="41"/>
        <v>0</v>
      </c>
      <c r="AO238" s="8" t="str">
        <f t="array" ref="AO238">IF(AN238&gt;5,"Perlu Sensus",IF(AND(AN238&gt;=0,AL238&gt;0),"Tetap Deteksi","Belum Deteksi"))</f>
        <v>Belum Deteksi</v>
      </c>
      <c r="AP238" s="143"/>
      <c r="AQ238" s="9">
        <f t="shared" si="42"/>
        <v>0</v>
      </c>
    </row>
    <row r="239" spans="1:43" outlineLevel="1" x14ac:dyDescent="0.15">
      <c r="A239" s="8" t="s">
        <v>1739</v>
      </c>
      <c r="B239" s="8" t="s">
        <v>14</v>
      </c>
      <c r="C239" s="8" t="s">
        <v>252</v>
      </c>
      <c r="D239" s="8" t="s">
        <v>1103</v>
      </c>
      <c r="E239" s="9">
        <v>0</v>
      </c>
      <c r="F239" s="8" t="s">
        <v>1740</v>
      </c>
      <c r="G239" s="10">
        <v>0</v>
      </c>
      <c r="H239" s="11">
        <f t="array" ref="H239">IF(OR(N239&gt;0,AC239&gt;0),MAX(N239,AC239),MAX(AK239,V239))</f>
        <v>0</v>
      </c>
      <c r="I239" s="143">
        <f t="array" ref="I239">IF(SUM(O239,AD239)&gt;0,SUM(O239,AD239),SUM(AL239,W239))</f>
        <v>0</v>
      </c>
      <c r="J239" s="9" t="str">
        <f t="shared" si="33"/>
        <v xml:space="preserve"> </v>
      </c>
      <c r="K239" s="143">
        <f t="shared" si="43"/>
        <v>0</v>
      </c>
      <c r="L239" s="9">
        <f t="shared" si="34"/>
        <v>0</v>
      </c>
      <c r="M239" s="8" t="str">
        <f t="array" ref="M239">IF(L239&gt;5,"Perlu Sensus",IF(AND(L239&gt;=0,I239&gt;0),"Tetap Deteksi","Belum Deteksi"))</f>
        <v>Belum Deteksi</v>
      </c>
      <c r="N239" s="11"/>
      <c r="O239" s="143">
        <v>0</v>
      </c>
      <c r="P239" s="9">
        <f t="array" ref="P239">IFERROR(O239/$G239*100,0)</f>
        <v>0</v>
      </c>
      <c r="Q239" s="143">
        <v>0</v>
      </c>
      <c r="R239" s="9">
        <f t="shared" si="35"/>
        <v>0</v>
      </c>
      <c r="S239" s="8" t="str">
        <f t="array" ref="S239">IF(R239&gt;5,"Perlu Sensus",IF(AND(R239&gt;=0,O239&gt;0),"Tetap Deteksi","Belum Deteksi"))</f>
        <v>Belum Deteksi</v>
      </c>
      <c r="T239" s="143">
        <v>0</v>
      </c>
      <c r="U239" s="9">
        <f t="shared" si="36"/>
        <v>0</v>
      </c>
      <c r="V239" s="11"/>
      <c r="W239" s="143">
        <v>0</v>
      </c>
      <c r="X239" s="143">
        <v>0</v>
      </c>
      <c r="Y239" s="9">
        <f t="shared" si="37"/>
        <v>0</v>
      </c>
      <c r="Z239" s="8" t="str">
        <f t="array" ref="Z239">IF(Y239&gt;5,"Perlu Sensus",IF(AND(Y239&gt;=0,W239&gt;0),"Tetap Deteksi","Belum Deteksi"))</f>
        <v>Belum Deteksi</v>
      </c>
      <c r="AA239" s="143">
        <v>0</v>
      </c>
      <c r="AB239" s="9">
        <f t="shared" si="38"/>
        <v>0</v>
      </c>
      <c r="AC239" s="11"/>
      <c r="AD239" s="143"/>
      <c r="AE239" s="9">
        <f t="array" ref="AE239">IFERROR(AD239/$G239*100,0)</f>
        <v>0</v>
      </c>
      <c r="AF239" s="143"/>
      <c r="AG239" s="9">
        <f t="shared" si="39"/>
        <v>0</v>
      </c>
      <c r="AH239" s="8" t="str">
        <f t="array" ref="AH239">IF(AG239&gt;5,"Perlu Sensus",IF(AND(AG239&gt;=0,AD239&gt;0),"Tetap Deteksi","Belum Deteksi"))</f>
        <v>Belum Deteksi</v>
      </c>
      <c r="AI239" s="143"/>
      <c r="AJ239" s="9">
        <f t="shared" si="40"/>
        <v>0</v>
      </c>
      <c r="AK239" s="11"/>
      <c r="AL239" s="143"/>
      <c r="AM239" s="143"/>
      <c r="AN239" s="9">
        <f t="shared" si="41"/>
        <v>0</v>
      </c>
      <c r="AO239" s="8" t="str">
        <f t="array" ref="AO239">IF(AN239&gt;5,"Perlu Sensus",IF(AND(AN239&gt;=0,AL239&gt;0),"Tetap Deteksi","Belum Deteksi"))</f>
        <v>Belum Deteksi</v>
      </c>
      <c r="AP239" s="143"/>
      <c r="AQ239" s="9">
        <f t="shared" si="42"/>
        <v>0</v>
      </c>
    </row>
    <row r="240" spans="1:43" outlineLevel="1" x14ac:dyDescent="0.15">
      <c r="A240" s="8" t="s">
        <v>1739</v>
      </c>
      <c r="B240" s="8" t="s">
        <v>14</v>
      </c>
      <c r="C240" s="8" t="s">
        <v>252</v>
      </c>
      <c r="D240" s="8" t="s">
        <v>1104</v>
      </c>
      <c r="E240" s="9">
        <v>0</v>
      </c>
      <c r="F240" s="8" t="s">
        <v>1740</v>
      </c>
      <c r="G240" s="10">
        <v>0</v>
      </c>
      <c r="H240" s="11">
        <f t="array" ref="H240">IF(OR(N240&gt;0,AC240&gt;0),MAX(N240,AC240),MAX(AK240,V240))</f>
        <v>0</v>
      </c>
      <c r="I240" s="143">
        <f t="array" ref="I240">IF(SUM(O240,AD240)&gt;0,SUM(O240,AD240),SUM(AL240,W240))</f>
        <v>0</v>
      </c>
      <c r="J240" s="9" t="str">
        <f t="shared" si="33"/>
        <v xml:space="preserve"> </v>
      </c>
      <c r="K240" s="143">
        <f t="shared" si="43"/>
        <v>0</v>
      </c>
      <c r="L240" s="9">
        <f t="shared" si="34"/>
        <v>0</v>
      </c>
      <c r="M240" s="8" t="str">
        <f t="array" ref="M240">IF(L240&gt;5,"Perlu Sensus",IF(AND(L240&gt;=0,I240&gt;0),"Tetap Deteksi","Belum Deteksi"))</f>
        <v>Belum Deteksi</v>
      </c>
      <c r="N240" s="11"/>
      <c r="O240" s="143">
        <v>0</v>
      </c>
      <c r="P240" s="9">
        <f t="array" ref="P240">IFERROR(O240/$G240*100,0)</f>
        <v>0</v>
      </c>
      <c r="Q240" s="143">
        <v>0</v>
      </c>
      <c r="R240" s="9">
        <f t="shared" si="35"/>
        <v>0</v>
      </c>
      <c r="S240" s="8" t="str">
        <f t="array" ref="S240">IF(R240&gt;5,"Perlu Sensus",IF(AND(R240&gt;=0,O240&gt;0),"Tetap Deteksi","Belum Deteksi"))</f>
        <v>Belum Deteksi</v>
      </c>
      <c r="T240" s="143">
        <v>0</v>
      </c>
      <c r="U240" s="9">
        <f t="shared" si="36"/>
        <v>0</v>
      </c>
      <c r="V240" s="11"/>
      <c r="W240" s="143">
        <v>0</v>
      </c>
      <c r="X240" s="143">
        <v>0</v>
      </c>
      <c r="Y240" s="9">
        <f t="shared" si="37"/>
        <v>0</v>
      </c>
      <c r="Z240" s="8" t="str">
        <f t="array" ref="Z240">IF(Y240&gt;5,"Perlu Sensus",IF(AND(Y240&gt;=0,W240&gt;0),"Tetap Deteksi","Belum Deteksi"))</f>
        <v>Belum Deteksi</v>
      </c>
      <c r="AA240" s="143">
        <v>0</v>
      </c>
      <c r="AB240" s="9">
        <f t="shared" si="38"/>
        <v>0</v>
      </c>
      <c r="AC240" s="11"/>
      <c r="AD240" s="143"/>
      <c r="AE240" s="9">
        <f t="array" ref="AE240">IFERROR(AD240/$G240*100,0)</f>
        <v>0</v>
      </c>
      <c r="AF240" s="143"/>
      <c r="AG240" s="9">
        <f t="shared" si="39"/>
        <v>0</v>
      </c>
      <c r="AH240" s="8" t="str">
        <f t="array" ref="AH240">IF(AG240&gt;5,"Perlu Sensus",IF(AND(AG240&gt;=0,AD240&gt;0),"Tetap Deteksi","Belum Deteksi"))</f>
        <v>Belum Deteksi</v>
      </c>
      <c r="AI240" s="143"/>
      <c r="AJ240" s="9">
        <f t="shared" si="40"/>
        <v>0</v>
      </c>
      <c r="AK240" s="11"/>
      <c r="AL240" s="143"/>
      <c r="AM240" s="143"/>
      <c r="AN240" s="9">
        <f t="shared" si="41"/>
        <v>0</v>
      </c>
      <c r="AO240" s="8" t="str">
        <f t="array" ref="AO240">IF(AN240&gt;5,"Perlu Sensus",IF(AND(AN240&gt;=0,AL240&gt;0),"Tetap Deteksi","Belum Deteksi"))</f>
        <v>Belum Deteksi</v>
      </c>
      <c r="AP240" s="143"/>
      <c r="AQ240" s="9">
        <f t="shared" si="42"/>
        <v>0</v>
      </c>
    </row>
    <row r="241" spans="1:43" outlineLevel="1" x14ac:dyDescent="0.15">
      <c r="A241" s="8" t="s">
        <v>1739</v>
      </c>
      <c r="B241" s="8" t="s">
        <v>14</v>
      </c>
      <c r="C241" s="8" t="s">
        <v>252</v>
      </c>
      <c r="D241" s="8" t="s">
        <v>1105</v>
      </c>
      <c r="E241" s="9">
        <v>0</v>
      </c>
      <c r="F241" s="8" t="s">
        <v>1740</v>
      </c>
      <c r="G241" s="10">
        <v>0</v>
      </c>
      <c r="H241" s="11">
        <f t="array" ref="H241">IF(OR(N241&gt;0,AC241&gt;0),MAX(N241,AC241),MAX(AK241,V241))</f>
        <v>0</v>
      </c>
      <c r="I241" s="143">
        <f t="array" ref="I241">IF(SUM(O241,AD241)&gt;0,SUM(O241,AD241),SUM(AL241,W241))</f>
        <v>0</v>
      </c>
      <c r="J241" s="9" t="str">
        <f t="shared" si="33"/>
        <v xml:space="preserve"> </v>
      </c>
      <c r="K241" s="143">
        <f t="shared" si="43"/>
        <v>0</v>
      </c>
      <c r="L241" s="9">
        <f t="shared" si="34"/>
        <v>0</v>
      </c>
      <c r="M241" s="8" t="str">
        <f t="array" ref="M241">IF(L241&gt;5,"Perlu Sensus",IF(AND(L241&gt;=0,I241&gt;0),"Tetap Deteksi","Belum Deteksi"))</f>
        <v>Belum Deteksi</v>
      </c>
      <c r="N241" s="11"/>
      <c r="O241" s="143">
        <v>0</v>
      </c>
      <c r="P241" s="9">
        <f t="array" ref="P241">IFERROR(O241/$G241*100,0)</f>
        <v>0</v>
      </c>
      <c r="Q241" s="143">
        <v>0</v>
      </c>
      <c r="R241" s="9">
        <f t="shared" si="35"/>
        <v>0</v>
      </c>
      <c r="S241" s="8" t="str">
        <f t="array" ref="S241">IF(R241&gt;5,"Perlu Sensus",IF(AND(R241&gt;=0,O241&gt;0),"Tetap Deteksi","Belum Deteksi"))</f>
        <v>Belum Deteksi</v>
      </c>
      <c r="T241" s="143">
        <v>0</v>
      </c>
      <c r="U241" s="9">
        <f t="shared" si="36"/>
        <v>0</v>
      </c>
      <c r="V241" s="11"/>
      <c r="W241" s="143">
        <v>0</v>
      </c>
      <c r="X241" s="143">
        <v>0</v>
      </c>
      <c r="Y241" s="9">
        <f t="shared" si="37"/>
        <v>0</v>
      </c>
      <c r="Z241" s="8" t="str">
        <f t="array" ref="Z241">IF(Y241&gt;5,"Perlu Sensus",IF(AND(Y241&gt;=0,W241&gt;0),"Tetap Deteksi","Belum Deteksi"))</f>
        <v>Belum Deteksi</v>
      </c>
      <c r="AA241" s="143">
        <v>0</v>
      </c>
      <c r="AB241" s="9">
        <f t="shared" si="38"/>
        <v>0</v>
      </c>
      <c r="AC241" s="11"/>
      <c r="AD241" s="143"/>
      <c r="AE241" s="9">
        <f t="array" ref="AE241">IFERROR(AD241/$G241*100,0)</f>
        <v>0</v>
      </c>
      <c r="AF241" s="143"/>
      <c r="AG241" s="9">
        <f t="shared" si="39"/>
        <v>0</v>
      </c>
      <c r="AH241" s="8" t="str">
        <f t="array" ref="AH241">IF(AG241&gt;5,"Perlu Sensus",IF(AND(AG241&gt;=0,AD241&gt;0),"Tetap Deteksi","Belum Deteksi"))</f>
        <v>Belum Deteksi</v>
      </c>
      <c r="AI241" s="143"/>
      <c r="AJ241" s="9">
        <f t="shared" si="40"/>
        <v>0</v>
      </c>
      <c r="AK241" s="11"/>
      <c r="AL241" s="143"/>
      <c r="AM241" s="143"/>
      <c r="AN241" s="9">
        <f t="shared" si="41"/>
        <v>0</v>
      </c>
      <c r="AO241" s="8" t="str">
        <f t="array" ref="AO241">IF(AN241&gt;5,"Perlu Sensus",IF(AND(AN241&gt;=0,AL241&gt;0),"Tetap Deteksi","Belum Deteksi"))</f>
        <v>Belum Deteksi</v>
      </c>
      <c r="AP241" s="143"/>
      <c r="AQ241" s="9">
        <f t="shared" si="42"/>
        <v>0</v>
      </c>
    </row>
    <row r="242" spans="1:43" outlineLevel="1" x14ac:dyDescent="0.15">
      <c r="A242" s="8" t="s">
        <v>1739</v>
      </c>
      <c r="B242" s="8" t="s">
        <v>14</v>
      </c>
      <c r="C242" s="8" t="s">
        <v>252</v>
      </c>
      <c r="D242" s="8" t="s">
        <v>1106</v>
      </c>
      <c r="E242" s="9">
        <v>0</v>
      </c>
      <c r="F242" s="8" t="s">
        <v>1740</v>
      </c>
      <c r="G242" s="10">
        <v>0</v>
      </c>
      <c r="H242" s="11">
        <f t="array" ref="H242">IF(OR(N242&gt;0,AC242&gt;0),MAX(N242,AC242),MAX(AK242,V242))</f>
        <v>0</v>
      </c>
      <c r="I242" s="143">
        <f t="array" ref="I242">IF(SUM(O242,AD242)&gt;0,SUM(O242,AD242),SUM(AL242,W242))</f>
        <v>0</v>
      </c>
      <c r="J242" s="9" t="str">
        <f t="shared" si="33"/>
        <v xml:space="preserve"> </v>
      </c>
      <c r="K242" s="143">
        <f t="shared" si="43"/>
        <v>0</v>
      </c>
      <c r="L242" s="9">
        <f t="shared" si="34"/>
        <v>0</v>
      </c>
      <c r="M242" s="8" t="str">
        <f t="array" ref="M242">IF(L242&gt;5,"Perlu Sensus",IF(AND(L242&gt;=0,I242&gt;0),"Tetap Deteksi","Belum Deteksi"))</f>
        <v>Belum Deteksi</v>
      </c>
      <c r="N242" s="11"/>
      <c r="O242" s="143">
        <v>0</v>
      </c>
      <c r="P242" s="9">
        <f t="array" ref="P242">IFERROR(O242/$G242*100,0)</f>
        <v>0</v>
      </c>
      <c r="Q242" s="143">
        <v>0</v>
      </c>
      <c r="R242" s="9">
        <f t="shared" si="35"/>
        <v>0</v>
      </c>
      <c r="S242" s="8" t="str">
        <f t="array" ref="S242">IF(R242&gt;5,"Perlu Sensus",IF(AND(R242&gt;=0,O242&gt;0),"Tetap Deteksi","Belum Deteksi"))</f>
        <v>Belum Deteksi</v>
      </c>
      <c r="T242" s="143">
        <v>0</v>
      </c>
      <c r="U242" s="9">
        <f t="shared" si="36"/>
        <v>0</v>
      </c>
      <c r="V242" s="11"/>
      <c r="W242" s="143">
        <v>0</v>
      </c>
      <c r="X242" s="143">
        <v>0</v>
      </c>
      <c r="Y242" s="9">
        <f t="shared" si="37"/>
        <v>0</v>
      </c>
      <c r="Z242" s="8" t="str">
        <f t="array" ref="Z242">IF(Y242&gt;5,"Perlu Sensus",IF(AND(Y242&gt;=0,W242&gt;0),"Tetap Deteksi","Belum Deteksi"))</f>
        <v>Belum Deteksi</v>
      </c>
      <c r="AA242" s="143">
        <v>0</v>
      </c>
      <c r="AB242" s="9">
        <f t="shared" si="38"/>
        <v>0</v>
      </c>
      <c r="AC242" s="11"/>
      <c r="AD242" s="143"/>
      <c r="AE242" s="9">
        <f t="array" ref="AE242">IFERROR(AD242/$G242*100,0)</f>
        <v>0</v>
      </c>
      <c r="AF242" s="143"/>
      <c r="AG242" s="9">
        <f t="shared" si="39"/>
        <v>0</v>
      </c>
      <c r="AH242" s="8" t="str">
        <f t="array" ref="AH242">IF(AG242&gt;5,"Perlu Sensus",IF(AND(AG242&gt;=0,AD242&gt;0),"Tetap Deteksi","Belum Deteksi"))</f>
        <v>Belum Deteksi</v>
      </c>
      <c r="AI242" s="143"/>
      <c r="AJ242" s="9">
        <f t="shared" si="40"/>
        <v>0</v>
      </c>
      <c r="AK242" s="11"/>
      <c r="AL242" s="143"/>
      <c r="AM242" s="143"/>
      <c r="AN242" s="9">
        <f t="shared" si="41"/>
        <v>0</v>
      </c>
      <c r="AO242" s="8" t="str">
        <f t="array" ref="AO242">IF(AN242&gt;5,"Perlu Sensus",IF(AND(AN242&gt;=0,AL242&gt;0),"Tetap Deteksi","Belum Deteksi"))</f>
        <v>Belum Deteksi</v>
      </c>
      <c r="AP242" s="143"/>
      <c r="AQ242" s="9">
        <f t="shared" si="42"/>
        <v>0</v>
      </c>
    </row>
    <row r="243" spans="1:43" outlineLevel="1" x14ac:dyDescent="0.15">
      <c r="A243" s="8" t="s">
        <v>1739</v>
      </c>
      <c r="B243" s="8" t="s">
        <v>14</v>
      </c>
      <c r="C243" s="8" t="s">
        <v>252</v>
      </c>
      <c r="D243" s="8" t="s">
        <v>1107</v>
      </c>
      <c r="E243" s="9">
        <v>26.43</v>
      </c>
      <c r="F243" s="8" t="s">
        <v>1740</v>
      </c>
      <c r="G243" s="10">
        <v>3065</v>
      </c>
      <c r="H243" s="11">
        <f t="array" ref="H243">IF(OR(N243&gt;0,AC243&gt;0),MAX(N243,AC243),MAX(AK243,V243))</f>
        <v>46246</v>
      </c>
      <c r="I243" s="143">
        <f t="array" ref="I243">IF(SUM(O243,AD243)&gt;0,SUM(O243,AD243),SUM(AL243,W243))</f>
        <v>75</v>
      </c>
      <c r="J243" s="9">
        <f t="shared" si="33"/>
        <v>2.4469820554649266</v>
      </c>
      <c r="K243" s="143">
        <f t="shared" si="43"/>
        <v>1</v>
      </c>
      <c r="L243" s="9">
        <f t="shared" si="34"/>
        <v>1.3333333333333335</v>
      </c>
      <c r="M243" s="8" t="str">
        <f t="array" ref="M243">IF(L243&gt;5,"Perlu Sensus",IF(AND(L243&gt;=0,I243&gt;0),"Tetap Deteksi","Belum Deteksi"))</f>
        <v>Tetap Deteksi</v>
      </c>
      <c r="N243" s="11">
        <v>46246</v>
      </c>
      <c r="O243" s="143">
        <v>75</v>
      </c>
      <c r="P243" s="9">
        <f t="array" ref="P243">IFERROR(O243/$G243*100,0)</f>
        <v>2.4469820554649266</v>
      </c>
      <c r="Q243" s="143">
        <v>1</v>
      </c>
      <c r="R243" s="9">
        <f t="shared" si="35"/>
        <v>1.3333333333333335</v>
      </c>
      <c r="S243" s="8" t="str">
        <f t="array" ref="S243">IF(R243&gt;5,"Perlu Sensus",IF(AND(R243&gt;=0,O243&gt;0),"Tetap Deteksi","Belum Deteksi"))</f>
        <v>Tetap Deteksi</v>
      </c>
      <c r="T243" s="143">
        <v>5</v>
      </c>
      <c r="U243" s="9">
        <f t="shared" si="36"/>
        <v>6.666666666666667</v>
      </c>
      <c r="V243" s="132">
        <v>46249</v>
      </c>
      <c r="W243" s="143">
        <v>401</v>
      </c>
      <c r="X243" s="143">
        <v>8</v>
      </c>
      <c r="Y243" s="9">
        <f t="shared" si="37"/>
        <v>1.99501246882793</v>
      </c>
      <c r="Z243" s="8" t="str">
        <f t="array" ref="Z243">IF(Y243&gt;5,"Perlu Sensus",IF(AND(Y243&gt;=0,W243&gt;0),"Tetap Deteksi","Belum Deteksi"))</f>
        <v>Tetap Deteksi</v>
      </c>
      <c r="AA243" s="143">
        <v>22</v>
      </c>
      <c r="AB243" s="9">
        <f t="shared" si="38"/>
        <v>5.4862842892768073</v>
      </c>
      <c r="AC243" s="11"/>
      <c r="AD243" s="143"/>
      <c r="AE243" s="9">
        <f t="array" ref="AE243">IFERROR(AD243/$G243*100,0)</f>
        <v>0</v>
      </c>
      <c r="AF243" s="143"/>
      <c r="AG243" s="9">
        <f t="shared" si="39"/>
        <v>0</v>
      </c>
      <c r="AH243" s="8" t="str">
        <f t="array" ref="AH243">IF(AG243&gt;5,"Perlu Sensus",IF(AND(AG243&gt;=0,AD243&gt;0),"Tetap Deteksi","Belum Deteksi"))</f>
        <v>Belum Deteksi</v>
      </c>
      <c r="AI243" s="143"/>
      <c r="AJ243" s="9">
        <f t="shared" si="40"/>
        <v>0</v>
      </c>
      <c r="AK243" s="11"/>
      <c r="AL243" s="143"/>
      <c r="AM243" s="143"/>
      <c r="AN243" s="9">
        <f t="shared" si="41"/>
        <v>0</v>
      </c>
      <c r="AO243" s="8" t="str">
        <f t="array" ref="AO243">IF(AN243&gt;5,"Perlu Sensus",IF(AND(AN243&gt;=0,AL243&gt;0),"Tetap Deteksi","Belum Deteksi"))</f>
        <v>Belum Deteksi</v>
      </c>
      <c r="AP243" s="143"/>
      <c r="AQ243" s="9">
        <f t="shared" si="42"/>
        <v>0</v>
      </c>
    </row>
    <row r="244" spans="1:43" outlineLevel="1" x14ac:dyDescent="0.15">
      <c r="A244" s="8" t="s">
        <v>1739</v>
      </c>
      <c r="B244" s="8" t="s">
        <v>14</v>
      </c>
      <c r="C244" s="8" t="s">
        <v>252</v>
      </c>
      <c r="D244" s="8" t="s">
        <v>1108</v>
      </c>
      <c r="E244" s="9">
        <v>28.55</v>
      </c>
      <c r="F244" s="8" t="s">
        <v>1740</v>
      </c>
      <c r="G244" s="10">
        <v>3557</v>
      </c>
      <c r="H244" s="11">
        <f t="array" ref="H244">IF(OR(N244&gt;0,AC244&gt;0),MAX(N244,AC244),MAX(AK244,V244))</f>
        <v>46248</v>
      </c>
      <c r="I244" s="143">
        <f t="array" ref="I244">IF(SUM(O244,AD244)&gt;0,SUM(O244,AD244),SUM(AL244,W244))</f>
        <v>85</v>
      </c>
      <c r="J244" s="9">
        <f t="shared" si="33"/>
        <v>2.3896542029800396</v>
      </c>
      <c r="K244" s="143">
        <f t="shared" si="43"/>
        <v>1</v>
      </c>
      <c r="L244" s="9">
        <f t="shared" si="34"/>
        <v>1.1764705882352942</v>
      </c>
      <c r="M244" s="8" t="str">
        <f t="array" ref="M244">IF(L244&gt;5,"Perlu Sensus",IF(AND(L244&gt;=0,I244&gt;0),"Tetap Deteksi","Belum Deteksi"))</f>
        <v>Tetap Deteksi</v>
      </c>
      <c r="N244" s="11">
        <v>46248</v>
      </c>
      <c r="O244" s="143">
        <v>85</v>
      </c>
      <c r="P244" s="9">
        <f t="array" ref="P244">IFERROR(O244/$G244*100,0)</f>
        <v>2.3896542029800396</v>
      </c>
      <c r="Q244" s="143">
        <v>1</v>
      </c>
      <c r="R244" s="9">
        <f t="shared" si="35"/>
        <v>1.1764705882352942</v>
      </c>
      <c r="S244" s="8" t="str">
        <f t="array" ref="S244">IF(R244&gt;5,"Perlu Sensus",IF(AND(R244&gt;=0,O244&gt;0),"Tetap Deteksi","Belum Deteksi"))</f>
        <v>Tetap Deteksi</v>
      </c>
      <c r="T244" s="143">
        <v>3</v>
      </c>
      <c r="U244" s="9">
        <f t="shared" si="36"/>
        <v>3.5294117647058822</v>
      </c>
      <c r="V244" s="132">
        <v>46249</v>
      </c>
      <c r="W244" s="143">
        <v>391</v>
      </c>
      <c r="X244" s="143">
        <v>8</v>
      </c>
      <c r="Y244" s="9">
        <f t="shared" si="37"/>
        <v>2.0460358056265986</v>
      </c>
      <c r="Z244" s="8" t="str">
        <f t="array" ref="Z244">IF(Y244&gt;5,"Perlu Sensus",IF(AND(Y244&gt;=0,W244&gt;0),"Tetap Deteksi","Belum Deteksi"))</f>
        <v>Tetap Deteksi</v>
      </c>
      <c r="AA244" s="143">
        <v>24</v>
      </c>
      <c r="AB244" s="9">
        <f t="shared" si="38"/>
        <v>6.1381074168797953</v>
      </c>
      <c r="AC244" s="11"/>
      <c r="AD244" s="143"/>
      <c r="AE244" s="9">
        <f t="array" ref="AE244">IFERROR(AD244/$G244*100,0)</f>
        <v>0</v>
      </c>
      <c r="AF244" s="143"/>
      <c r="AG244" s="9">
        <f t="shared" si="39"/>
        <v>0</v>
      </c>
      <c r="AH244" s="8" t="str">
        <f t="array" ref="AH244">IF(AG244&gt;5,"Perlu Sensus",IF(AND(AG244&gt;=0,AD244&gt;0),"Tetap Deteksi","Belum Deteksi"))</f>
        <v>Belum Deteksi</v>
      </c>
      <c r="AI244" s="143"/>
      <c r="AJ244" s="9">
        <f t="shared" si="40"/>
        <v>0</v>
      </c>
      <c r="AK244" s="11"/>
      <c r="AL244" s="143"/>
      <c r="AM244" s="143"/>
      <c r="AN244" s="9">
        <f t="shared" si="41"/>
        <v>0</v>
      </c>
      <c r="AO244" s="8" t="str">
        <f t="array" ref="AO244">IF(AN244&gt;5,"Perlu Sensus",IF(AND(AN244&gt;=0,AL244&gt;0),"Tetap Deteksi","Belum Deteksi"))</f>
        <v>Belum Deteksi</v>
      </c>
      <c r="AP244" s="143"/>
      <c r="AQ244" s="9">
        <f t="shared" si="42"/>
        <v>0</v>
      </c>
    </row>
    <row r="245" spans="1:43" outlineLevel="1" x14ac:dyDescent="0.15">
      <c r="A245" s="8" t="s">
        <v>1739</v>
      </c>
      <c r="B245" s="8" t="s">
        <v>14</v>
      </c>
      <c r="C245" s="8" t="s">
        <v>252</v>
      </c>
      <c r="D245" s="8" t="s">
        <v>1109</v>
      </c>
      <c r="E245" s="9">
        <v>20.48</v>
      </c>
      <c r="F245" s="8" t="s">
        <v>1740</v>
      </c>
      <c r="G245" s="10">
        <v>3218</v>
      </c>
      <c r="H245" s="11">
        <f t="array" ref="H245">IF(OR(N245&gt;0,AC245&gt;0),MAX(N245,AC245),MAX(AK245,V245))</f>
        <v>46248</v>
      </c>
      <c r="I245" s="143">
        <f t="array" ref="I245">IF(SUM(O245,AD245)&gt;0,SUM(O245,AD245),SUM(AL245,W245))</f>
        <v>98</v>
      </c>
      <c r="J245" s="9">
        <f t="shared" si="33"/>
        <v>3.0453697949036669</v>
      </c>
      <c r="K245" s="143">
        <f t="shared" si="43"/>
        <v>2</v>
      </c>
      <c r="L245" s="9">
        <f t="shared" si="34"/>
        <v>2.0408163265306123</v>
      </c>
      <c r="M245" s="8" t="str">
        <f t="array" ref="M245">IF(L245&gt;5,"Perlu Sensus",IF(AND(L245&gt;=0,I245&gt;0),"Tetap Deteksi","Belum Deteksi"))</f>
        <v>Tetap Deteksi</v>
      </c>
      <c r="N245" s="11">
        <v>46248</v>
      </c>
      <c r="O245" s="143">
        <v>98</v>
      </c>
      <c r="P245" s="9">
        <f t="array" ref="P245">IFERROR(O245/$G245*100,0)</f>
        <v>3.0453697949036669</v>
      </c>
      <c r="Q245" s="143">
        <v>2</v>
      </c>
      <c r="R245" s="9">
        <f t="shared" si="35"/>
        <v>2.0408163265306123</v>
      </c>
      <c r="S245" s="8" t="str">
        <f t="array" ref="S245">IF(R245&gt;5,"Perlu Sensus",IF(AND(R245&gt;=0,O245&gt;0),"Tetap Deteksi","Belum Deteksi"))</f>
        <v>Tetap Deteksi</v>
      </c>
      <c r="T245" s="143">
        <v>2</v>
      </c>
      <c r="U245" s="9">
        <f t="shared" si="36"/>
        <v>2.0408163265306123</v>
      </c>
      <c r="V245" s="132">
        <v>46249</v>
      </c>
      <c r="W245" s="143">
        <v>307</v>
      </c>
      <c r="X245" s="143">
        <v>12</v>
      </c>
      <c r="Y245" s="9">
        <f t="shared" si="37"/>
        <v>3.9087947882736152</v>
      </c>
      <c r="Z245" s="8" t="str">
        <f t="array" ref="Z245">IF(Y245&gt;5,"Perlu Sensus",IF(AND(Y245&gt;=0,W245&gt;0),"Tetap Deteksi","Belum Deteksi"))</f>
        <v>Tetap Deteksi</v>
      </c>
      <c r="AA245" s="143">
        <v>13</v>
      </c>
      <c r="AB245" s="9">
        <f t="shared" si="38"/>
        <v>4.234527687296417</v>
      </c>
      <c r="AC245" s="11"/>
      <c r="AD245" s="143"/>
      <c r="AE245" s="9">
        <f t="array" ref="AE245">IFERROR(AD245/$G245*100,0)</f>
        <v>0</v>
      </c>
      <c r="AF245" s="143"/>
      <c r="AG245" s="9">
        <f t="shared" si="39"/>
        <v>0</v>
      </c>
      <c r="AH245" s="8" t="str">
        <f t="array" ref="AH245">IF(AG245&gt;5,"Perlu Sensus",IF(AND(AG245&gt;=0,AD245&gt;0),"Tetap Deteksi","Belum Deteksi"))</f>
        <v>Belum Deteksi</v>
      </c>
      <c r="AI245" s="143"/>
      <c r="AJ245" s="9">
        <f t="shared" si="40"/>
        <v>0</v>
      </c>
      <c r="AK245" s="11"/>
      <c r="AL245" s="143"/>
      <c r="AM245" s="143"/>
      <c r="AN245" s="9">
        <f t="shared" si="41"/>
        <v>0</v>
      </c>
      <c r="AO245" s="8" t="str">
        <f t="array" ref="AO245">IF(AN245&gt;5,"Perlu Sensus",IF(AND(AN245&gt;=0,AL245&gt;0),"Tetap Deteksi","Belum Deteksi"))</f>
        <v>Belum Deteksi</v>
      </c>
      <c r="AP245" s="143"/>
      <c r="AQ245" s="9">
        <f t="shared" si="42"/>
        <v>0</v>
      </c>
    </row>
    <row r="246" spans="1:43" outlineLevel="1" x14ac:dyDescent="0.15">
      <c r="A246" s="8" t="s">
        <v>1739</v>
      </c>
      <c r="B246" s="8" t="s">
        <v>14</v>
      </c>
      <c r="C246" s="8" t="s">
        <v>252</v>
      </c>
      <c r="D246" s="8" t="s">
        <v>1110</v>
      </c>
      <c r="E246" s="9">
        <v>0</v>
      </c>
      <c r="F246" s="8" t="s">
        <v>1740</v>
      </c>
      <c r="G246" s="10">
        <v>0</v>
      </c>
      <c r="H246" s="11">
        <f t="array" ref="H246">IF(OR(N246&gt;0,AC246&gt;0),MAX(N246,AC246),MAX(AK246,V246))</f>
        <v>0</v>
      </c>
      <c r="I246" s="143">
        <f t="array" ref="I246">IF(SUM(O246,AD246)&gt;0,SUM(O246,AD246),SUM(AL246,W246))</f>
        <v>0</v>
      </c>
      <c r="J246" s="9" t="str">
        <f t="shared" si="33"/>
        <v xml:space="preserve"> </v>
      </c>
      <c r="K246" s="143">
        <f t="shared" si="43"/>
        <v>0</v>
      </c>
      <c r="L246" s="9">
        <f t="shared" si="34"/>
        <v>0</v>
      </c>
      <c r="M246" s="8" t="str">
        <f t="array" ref="M246">IF(L246&gt;5,"Perlu Sensus",IF(AND(L246&gt;=0,I246&gt;0),"Tetap Deteksi","Belum Deteksi"))</f>
        <v>Belum Deteksi</v>
      </c>
      <c r="N246" s="11"/>
      <c r="O246" s="143">
        <v>0</v>
      </c>
      <c r="P246" s="9">
        <f t="array" ref="P246">IFERROR(O246/$G246*100,0)</f>
        <v>0</v>
      </c>
      <c r="Q246" s="143">
        <v>0</v>
      </c>
      <c r="R246" s="9">
        <f t="shared" si="35"/>
        <v>0</v>
      </c>
      <c r="S246" s="8" t="str">
        <f t="array" ref="S246">IF(R246&gt;5,"Perlu Sensus",IF(AND(R246&gt;=0,O246&gt;0),"Tetap Deteksi","Belum Deteksi"))</f>
        <v>Belum Deteksi</v>
      </c>
      <c r="T246" s="143">
        <v>0</v>
      </c>
      <c r="U246" s="9">
        <f t="shared" si="36"/>
        <v>0</v>
      </c>
      <c r="V246" s="11"/>
      <c r="W246" s="143">
        <v>0</v>
      </c>
      <c r="X246" s="143">
        <v>0</v>
      </c>
      <c r="Y246" s="9">
        <f t="shared" si="37"/>
        <v>0</v>
      </c>
      <c r="Z246" s="8" t="str">
        <f t="array" ref="Z246">IF(Y246&gt;5,"Perlu Sensus",IF(AND(Y246&gt;=0,W246&gt;0),"Tetap Deteksi","Belum Deteksi"))</f>
        <v>Belum Deteksi</v>
      </c>
      <c r="AA246" s="143">
        <v>0</v>
      </c>
      <c r="AB246" s="9">
        <f t="shared" si="38"/>
        <v>0</v>
      </c>
      <c r="AC246" s="11"/>
      <c r="AD246" s="143"/>
      <c r="AE246" s="9">
        <f t="array" ref="AE246">IFERROR(AD246/$G246*100,0)</f>
        <v>0</v>
      </c>
      <c r="AF246" s="143"/>
      <c r="AG246" s="9">
        <f t="shared" si="39"/>
        <v>0</v>
      </c>
      <c r="AH246" s="8" t="str">
        <f t="array" ref="AH246">IF(AG246&gt;5,"Perlu Sensus",IF(AND(AG246&gt;=0,AD246&gt;0),"Tetap Deteksi","Belum Deteksi"))</f>
        <v>Belum Deteksi</v>
      </c>
      <c r="AI246" s="143"/>
      <c r="AJ246" s="9">
        <f t="shared" si="40"/>
        <v>0</v>
      </c>
      <c r="AK246" s="11"/>
      <c r="AL246" s="143"/>
      <c r="AM246" s="143"/>
      <c r="AN246" s="9">
        <f t="shared" si="41"/>
        <v>0</v>
      </c>
      <c r="AO246" s="8" t="str">
        <f t="array" ref="AO246">IF(AN246&gt;5,"Perlu Sensus",IF(AND(AN246&gt;=0,AL246&gt;0),"Tetap Deteksi","Belum Deteksi"))</f>
        <v>Belum Deteksi</v>
      </c>
      <c r="AP246" s="143"/>
      <c r="AQ246" s="9">
        <f t="shared" si="42"/>
        <v>0</v>
      </c>
    </row>
    <row r="247" spans="1:43" outlineLevel="1" x14ac:dyDescent="0.15">
      <c r="A247" s="8" t="s">
        <v>1739</v>
      </c>
      <c r="B247" s="8" t="s">
        <v>14</v>
      </c>
      <c r="C247" s="8" t="s">
        <v>252</v>
      </c>
      <c r="D247" s="8" t="s">
        <v>1111</v>
      </c>
      <c r="E247" s="9">
        <v>38.25</v>
      </c>
      <c r="F247" s="8" t="s">
        <v>1740</v>
      </c>
      <c r="G247" s="10">
        <v>4895</v>
      </c>
      <c r="H247" s="11">
        <f t="array" ref="H247">IF(OR(N247&gt;0,AC247&gt;0),MAX(N247,AC247),MAX(AK247,V247))</f>
        <v>46249</v>
      </c>
      <c r="I247" s="143">
        <f t="array" ref="I247">IF(SUM(O247,AD247)&gt;0,SUM(O247,AD247),SUM(AL247,W247))</f>
        <v>85</v>
      </c>
      <c r="J247" s="9">
        <f t="shared" si="33"/>
        <v>1.7364657814096014</v>
      </c>
      <c r="K247" s="143">
        <f t="shared" si="43"/>
        <v>2</v>
      </c>
      <c r="L247" s="9">
        <f t="shared" si="34"/>
        <v>2.3529411764705883</v>
      </c>
      <c r="M247" s="8" t="str">
        <f t="array" ref="M247">IF(L247&gt;5,"Perlu Sensus",IF(AND(L247&gt;=0,I247&gt;0),"Tetap Deteksi","Belum Deteksi"))</f>
        <v>Tetap Deteksi</v>
      </c>
      <c r="N247" s="11">
        <v>46249</v>
      </c>
      <c r="O247" s="143">
        <v>85</v>
      </c>
      <c r="P247" s="9">
        <f t="array" ref="P247">IFERROR(O247/$G247*100,0)</f>
        <v>1.7364657814096014</v>
      </c>
      <c r="Q247" s="143">
        <v>2</v>
      </c>
      <c r="R247" s="9">
        <f t="shared" si="35"/>
        <v>2.3529411764705883</v>
      </c>
      <c r="S247" s="8" t="str">
        <f t="array" ref="S247">IF(R247&gt;5,"Perlu Sensus",IF(AND(R247&gt;=0,O247&gt;0),"Tetap Deteksi","Belum Deteksi"))</f>
        <v>Tetap Deteksi</v>
      </c>
      <c r="T247" s="143">
        <v>5</v>
      </c>
      <c r="U247" s="9">
        <f t="shared" si="36"/>
        <v>5.8823529411764701</v>
      </c>
      <c r="V247" s="132">
        <v>46249</v>
      </c>
      <c r="W247" s="143">
        <v>275</v>
      </c>
      <c r="X247" s="143">
        <v>8</v>
      </c>
      <c r="Y247" s="9">
        <f t="shared" si="37"/>
        <v>2.9090909090909092</v>
      </c>
      <c r="Z247" s="8" t="str">
        <f t="array" ref="Z247">IF(Y247&gt;5,"Perlu Sensus",IF(AND(Y247&gt;=0,W247&gt;0),"Tetap Deteksi","Belum Deteksi"))</f>
        <v>Tetap Deteksi</v>
      </c>
      <c r="AA247" s="143">
        <v>22</v>
      </c>
      <c r="AB247" s="9">
        <f t="shared" si="38"/>
        <v>8</v>
      </c>
      <c r="AC247" s="11"/>
      <c r="AD247" s="143"/>
      <c r="AE247" s="9">
        <f t="array" ref="AE247">IFERROR(AD247/$G247*100,0)</f>
        <v>0</v>
      </c>
      <c r="AF247" s="143"/>
      <c r="AG247" s="9">
        <f t="shared" si="39"/>
        <v>0</v>
      </c>
      <c r="AH247" s="8" t="str">
        <f t="array" ref="AH247">IF(AG247&gt;5,"Perlu Sensus",IF(AND(AG247&gt;=0,AD247&gt;0),"Tetap Deteksi","Belum Deteksi"))</f>
        <v>Belum Deteksi</v>
      </c>
      <c r="AI247" s="143"/>
      <c r="AJ247" s="9">
        <f t="shared" si="40"/>
        <v>0</v>
      </c>
      <c r="AK247" s="11"/>
      <c r="AL247" s="143"/>
      <c r="AM247" s="143"/>
      <c r="AN247" s="9">
        <f t="shared" si="41"/>
        <v>0</v>
      </c>
      <c r="AO247" s="8" t="str">
        <f t="array" ref="AO247">IF(AN247&gt;5,"Perlu Sensus",IF(AND(AN247&gt;=0,AL247&gt;0),"Tetap Deteksi","Belum Deteksi"))</f>
        <v>Belum Deteksi</v>
      </c>
      <c r="AP247" s="143"/>
      <c r="AQ247" s="9">
        <f t="shared" si="42"/>
        <v>0</v>
      </c>
    </row>
    <row r="248" spans="1:43" outlineLevel="1" x14ac:dyDescent="0.15">
      <c r="A248" s="8" t="s">
        <v>1739</v>
      </c>
      <c r="B248" s="8" t="s">
        <v>14</v>
      </c>
      <c r="C248" s="8" t="s">
        <v>252</v>
      </c>
      <c r="D248" s="8" t="s">
        <v>1112</v>
      </c>
      <c r="E248" s="9">
        <v>29.69</v>
      </c>
      <c r="F248" s="8" t="s">
        <v>1740</v>
      </c>
      <c r="G248" s="10">
        <v>3841</v>
      </c>
      <c r="H248" s="11">
        <f t="array" ref="H248">IF(OR(N248&gt;0,AC248&gt;0),MAX(N248,AC248),MAX(AK248,V248))</f>
        <v>46249</v>
      </c>
      <c r="I248" s="143">
        <f t="array" ref="I248">IF(SUM(O248,AD248)&gt;0,SUM(O248,AD248),SUM(AL248,W248))</f>
        <v>75</v>
      </c>
      <c r="J248" s="9">
        <f t="shared" si="33"/>
        <v>1.9526165061181984</v>
      </c>
      <c r="K248" s="143">
        <f t="shared" si="43"/>
        <v>1</v>
      </c>
      <c r="L248" s="9">
        <f t="shared" si="34"/>
        <v>1.3333333333333335</v>
      </c>
      <c r="M248" s="8" t="str">
        <f t="array" ref="M248">IF(L248&gt;5,"Perlu Sensus",IF(AND(L248&gt;=0,I248&gt;0),"Tetap Deteksi","Belum Deteksi"))</f>
        <v>Tetap Deteksi</v>
      </c>
      <c r="N248" s="11">
        <v>46249</v>
      </c>
      <c r="O248" s="143">
        <v>75</v>
      </c>
      <c r="P248" s="9">
        <f t="array" ref="P248">IFERROR(O248/$G248*100,0)</f>
        <v>1.9526165061181984</v>
      </c>
      <c r="Q248" s="143">
        <v>1</v>
      </c>
      <c r="R248" s="9">
        <f t="shared" si="35"/>
        <v>1.3333333333333335</v>
      </c>
      <c r="S248" s="8" t="str">
        <f t="array" ref="S248">IF(R248&gt;5,"Perlu Sensus",IF(AND(R248&gt;=0,O248&gt;0),"Tetap Deteksi","Belum Deteksi"))</f>
        <v>Tetap Deteksi</v>
      </c>
      <c r="T248" s="143">
        <v>3</v>
      </c>
      <c r="U248" s="9">
        <f t="shared" si="36"/>
        <v>4</v>
      </c>
      <c r="V248" s="132">
        <v>46249</v>
      </c>
      <c r="W248" s="143">
        <v>366</v>
      </c>
      <c r="X248" s="143">
        <v>11</v>
      </c>
      <c r="Y248" s="9">
        <f t="shared" si="37"/>
        <v>3.0054644808743167</v>
      </c>
      <c r="Z248" s="8" t="str">
        <f t="array" ref="Z248">IF(Y248&gt;5,"Perlu Sensus",IF(AND(Y248&gt;=0,W248&gt;0),"Tetap Deteksi","Belum Deteksi"))</f>
        <v>Tetap Deteksi</v>
      </c>
      <c r="AA248" s="143">
        <v>16</v>
      </c>
      <c r="AB248" s="9">
        <f t="shared" si="38"/>
        <v>4.3715846994535523</v>
      </c>
      <c r="AC248" s="11"/>
      <c r="AD248" s="143"/>
      <c r="AE248" s="9">
        <f t="array" ref="AE248">IFERROR(AD248/$G248*100,0)</f>
        <v>0</v>
      </c>
      <c r="AF248" s="143"/>
      <c r="AG248" s="9">
        <f t="shared" si="39"/>
        <v>0</v>
      </c>
      <c r="AH248" s="8" t="str">
        <f t="array" ref="AH248">IF(AG248&gt;5,"Perlu Sensus",IF(AND(AG248&gt;=0,AD248&gt;0),"Tetap Deteksi","Belum Deteksi"))</f>
        <v>Belum Deteksi</v>
      </c>
      <c r="AI248" s="143"/>
      <c r="AJ248" s="9">
        <f t="shared" si="40"/>
        <v>0</v>
      </c>
      <c r="AK248" s="11"/>
      <c r="AL248" s="143"/>
      <c r="AM248" s="143"/>
      <c r="AN248" s="9">
        <f t="shared" si="41"/>
        <v>0</v>
      </c>
      <c r="AO248" s="8" t="str">
        <f t="array" ref="AO248">IF(AN248&gt;5,"Perlu Sensus",IF(AND(AN248&gt;=0,AL248&gt;0),"Tetap Deteksi","Belum Deteksi"))</f>
        <v>Belum Deteksi</v>
      </c>
      <c r="AP248" s="143"/>
      <c r="AQ248" s="9">
        <f t="shared" si="42"/>
        <v>0</v>
      </c>
    </row>
    <row r="249" spans="1:43" outlineLevel="1" x14ac:dyDescent="0.15">
      <c r="A249" s="8" t="s">
        <v>1739</v>
      </c>
      <c r="B249" s="8" t="s">
        <v>14</v>
      </c>
      <c r="C249" s="8" t="s">
        <v>252</v>
      </c>
      <c r="D249" s="8" t="s">
        <v>1113</v>
      </c>
      <c r="E249" s="9">
        <v>25.89</v>
      </c>
      <c r="F249" s="8" t="s">
        <v>1740</v>
      </c>
      <c r="G249" s="10">
        <v>3294</v>
      </c>
      <c r="H249" s="11">
        <f t="array" ref="H249">IF(OR(N249&gt;0,AC249&gt;0),MAX(N249,AC249),MAX(AK249,V249))</f>
        <v>46249</v>
      </c>
      <c r="I249" s="143">
        <f t="array" ref="I249">IF(SUM(O249,AD249)&gt;0,SUM(O249,AD249),SUM(AL249,W249))</f>
        <v>80</v>
      </c>
      <c r="J249" s="9">
        <f t="shared" si="33"/>
        <v>2.4286581663630842</v>
      </c>
      <c r="K249" s="143">
        <f t="shared" si="43"/>
        <v>2</v>
      </c>
      <c r="L249" s="9">
        <f t="shared" si="34"/>
        <v>2.5</v>
      </c>
      <c r="M249" s="8" t="str">
        <f t="array" ref="M249">IF(L249&gt;5,"Perlu Sensus",IF(AND(L249&gt;=0,I249&gt;0),"Tetap Deteksi","Belum Deteksi"))</f>
        <v>Tetap Deteksi</v>
      </c>
      <c r="N249" s="11"/>
      <c r="O249" s="143">
        <v>80</v>
      </c>
      <c r="P249" s="9">
        <f t="array" ref="P249">IFERROR(O249/$G249*100,0)</f>
        <v>2.4286581663630842</v>
      </c>
      <c r="Q249" s="143">
        <v>2</v>
      </c>
      <c r="R249" s="9">
        <f t="shared" si="35"/>
        <v>2.5</v>
      </c>
      <c r="S249" s="8" t="str">
        <f t="array" ref="S249">IF(R249&gt;5,"Perlu Sensus",IF(AND(R249&gt;=0,O249&gt;0),"Tetap Deteksi","Belum Deteksi"))</f>
        <v>Tetap Deteksi</v>
      </c>
      <c r="T249" s="143">
        <v>6</v>
      </c>
      <c r="U249" s="9">
        <f t="shared" si="36"/>
        <v>7.5</v>
      </c>
      <c r="V249" s="132">
        <v>46249</v>
      </c>
      <c r="W249" s="143">
        <v>274</v>
      </c>
      <c r="X249" s="143">
        <v>9</v>
      </c>
      <c r="Y249" s="9">
        <f t="shared" si="37"/>
        <v>3.2846715328467155</v>
      </c>
      <c r="Z249" s="8" t="str">
        <f t="array" ref="Z249">IF(Y249&gt;5,"Perlu Sensus",IF(AND(Y249&gt;=0,W249&gt;0),"Tetap Deteksi","Belum Deteksi"))</f>
        <v>Tetap Deteksi</v>
      </c>
      <c r="AA249" s="143">
        <v>19</v>
      </c>
      <c r="AB249" s="9">
        <f t="shared" si="38"/>
        <v>6.9343065693430654</v>
      </c>
      <c r="AC249" s="11"/>
      <c r="AD249" s="143"/>
      <c r="AE249" s="9">
        <f t="array" ref="AE249">IFERROR(AD249/$G249*100,0)</f>
        <v>0</v>
      </c>
      <c r="AF249" s="143"/>
      <c r="AG249" s="9">
        <f t="shared" si="39"/>
        <v>0</v>
      </c>
      <c r="AH249" s="8" t="str">
        <f t="array" ref="AH249">IF(AG249&gt;5,"Perlu Sensus",IF(AND(AG249&gt;=0,AD249&gt;0),"Tetap Deteksi","Belum Deteksi"))</f>
        <v>Belum Deteksi</v>
      </c>
      <c r="AI249" s="143"/>
      <c r="AJ249" s="9">
        <f t="shared" si="40"/>
        <v>0</v>
      </c>
      <c r="AK249" s="11"/>
      <c r="AL249" s="143"/>
      <c r="AM249" s="143"/>
      <c r="AN249" s="9">
        <f t="shared" si="41"/>
        <v>0</v>
      </c>
      <c r="AO249" s="8" t="str">
        <f t="array" ref="AO249">IF(AN249&gt;5,"Perlu Sensus",IF(AND(AN249&gt;=0,AL249&gt;0),"Tetap Deteksi","Belum Deteksi"))</f>
        <v>Belum Deteksi</v>
      </c>
      <c r="AP249" s="143"/>
      <c r="AQ249" s="9">
        <f t="shared" si="42"/>
        <v>0</v>
      </c>
    </row>
    <row r="250" spans="1:43" outlineLevel="1" x14ac:dyDescent="0.15">
      <c r="A250" s="8" t="s">
        <v>1739</v>
      </c>
      <c r="B250" s="8" t="s">
        <v>14</v>
      </c>
      <c r="C250" s="8" t="s">
        <v>290</v>
      </c>
      <c r="D250" s="8" t="s">
        <v>1114</v>
      </c>
      <c r="E250" s="9">
        <v>24.19</v>
      </c>
      <c r="F250" s="8" t="s">
        <v>1740</v>
      </c>
      <c r="G250" s="10">
        <v>3142</v>
      </c>
      <c r="H250" s="11">
        <f t="array" ref="H250">IF(OR(N250&gt;0,AC250&gt;0),MAX(N250,AC250),MAX(AK250,V250))</f>
        <v>46235</v>
      </c>
      <c r="I250" s="143">
        <f t="array" ref="I250">IF(SUM(O250,AD250)&gt;0,SUM(O250,AD250),SUM(AL250,W250))</f>
        <v>68</v>
      </c>
      <c r="J250" s="9">
        <f t="shared" si="33"/>
        <v>2.1642266072565244</v>
      </c>
      <c r="K250" s="143">
        <f t="shared" si="43"/>
        <v>6</v>
      </c>
      <c r="L250" s="9">
        <f t="shared" si="34"/>
        <v>8.8235294117647065</v>
      </c>
      <c r="M250" s="8" t="str">
        <f t="array" ref="M250">IF(L250&gt;5,"Perlu Sensus",IF(AND(L250&gt;=0,I250&gt;0),"Tetap Deteksi","Belum Deteksi"))</f>
        <v>Perlu Sensus</v>
      </c>
      <c r="N250" s="11">
        <v>46235</v>
      </c>
      <c r="O250" s="143">
        <v>68</v>
      </c>
      <c r="P250" s="9">
        <f t="array" ref="P250">IFERROR(O250/$G250*100,0)</f>
        <v>2.1642266072565244</v>
      </c>
      <c r="Q250" s="143">
        <v>6</v>
      </c>
      <c r="R250" s="9">
        <f t="shared" si="35"/>
        <v>8.8235294117647065</v>
      </c>
      <c r="S250" s="8" t="str">
        <f t="array" ref="S250">IF(R250&gt;5,"Perlu Sensus",IF(AND(R250&gt;=0,O250&gt;0),"Tetap Deteksi","Belum Deteksi"))</f>
        <v>Perlu Sensus</v>
      </c>
      <c r="T250" s="143">
        <v>8</v>
      </c>
      <c r="U250" s="9">
        <f t="shared" si="36"/>
        <v>11.76470588235294</v>
      </c>
      <c r="V250" s="132">
        <v>46249</v>
      </c>
      <c r="W250" s="143">
        <v>409</v>
      </c>
      <c r="X250" s="143">
        <v>13</v>
      </c>
      <c r="Y250" s="9">
        <f t="shared" si="37"/>
        <v>3.1784841075794623</v>
      </c>
      <c r="Z250" s="8" t="str">
        <f t="array" ref="Z250">IF(Y250&gt;5,"Perlu Sensus",IF(AND(Y250&gt;=0,W250&gt;0),"Tetap Deteksi","Belum Deteksi"))</f>
        <v>Tetap Deteksi</v>
      </c>
      <c r="AA250" s="143">
        <v>16</v>
      </c>
      <c r="AB250" s="9">
        <f t="shared" si="38"/>
        <v>3.9119804400977993</v>
      </c>
      <c r="AC250" s="11"/>
      <c r="AD250" s="143"/>
      <c r="AE250" s="9">
        <f t="array" ref="AE250">IFERROR(AD250/$G250*100,0)</f>
        <v>0</v>
      </c>
      <c r="AF250" s="143"/>
      <c r="AG250" s="9">
        <f t="shared" si="39"/>
        <v>0</v>
      </c>
      <c r="AH250" s="8" t="str">
        <f t="array" ref="AH250">IF(AG250&gt;5,"Perlu Sensus",IF(AND(AG250&gt;=0,AD250&gt;0),"Tetap Deteksi","Belum Deteksi"))</f>
        <v>Belum Deteksi</v>
      </c>
      <c r="AI250" s="143"/>
      <c r="AJ250" s="9">
        <f t="shared" si="40"/>
        <v>0</v>
      </c>
      <c r="AK250" s="11"/>
      <c r="AL250" s="143"/>
      <c r="AM250" s="143"/>
      <c r="AN250" s="9">
        <f t="shared" si="41"/>
        <v>0</v>
      </c>
      <c r="AO250" s="8" t="str">
        <f t="array" ref="AO250">IF(AN250&gt;5,"Perlu Sensus",IF(AND(AN250&gt;=0,AL250&gt;0),"Tetap Deteksi","Belum Deteksi"))</f>
        <v>Belum Deteksi</v>
      </c>
      <c r="AP250" s="143"/>
      <c r="AQ250" s="9">
        <f t="shared" si="42"/>
        <v>0</v>
      </c>
    </row>
    <row r="251" spans="1:43" outlineLevel="1" x14ac:dyDescent="0.15">
      <c r="A251" s="8" t="s">
        <v>1739</v>
      </c>
      <c r="B251" s="8" t="s">
        <v>14</v>
      </c>
      <c r="C251" s="8" t="s">
        <v>290</v>
      </c>
      <c r="D251" s="8" t="s">
        <v>1115</v>
      </c>
      <c r="E251" s="9">
        <v>22.79</v>
      </c>
      <c r="F251" s="8" t="s">
        <v>1740</v>
      </c>
      <c r="G251" s="10">
        <v>3348</v>
      </c>
      <c r="H251" s="11">
        <f t="array" ref="H251">IF(OR(N251&gt;0,AC251&gt;0),MAX(N251,AC251),MAX(AK251,V251))</f>
        <v>46235</v>
      </c>
      <c r="I251" s="143">
        <f t="array" ref="I251">IF(SUM(O251,AD251)&gt;0,SUM(O251,AD251),SUM(AL251,W251))</f>
        <v>95</v>
      </c>
      <c r="J251" s="9">
        <f t="shared" si="33"/>
        <v>2.8375149342891275</v>
      </c>
      <c r="K251" s="143">
        <f t="shared" si="43"/>
        <v>5</v>
      </c>
      <c r="L251" s="9">
        <f t="shared" si="34"/>
        <v>5.2631578947368416</v>
      </c>
      <c r="M251" s="8" t="str">
        <f t="array" ref="M251">IF(L251&gt;5,"Perlu Sensus",IF(AND(L251&gt;=0,I251&gt;0),"Tetap Deteksi","Belum Deteksi"))</f>
        <v>Perlu Sensus</v>
      </c>
      <c r="N251" s="11">
        <v>46235</v>
      </c>
      <c r="O251" s="143">
        <v>95</v>
      </c>
      <c r="P251" s="9">
        <f t="array" ref="P251">IFERROR(O251/$G251*100,0)</f>
        <v>2.8375149342891275</v>
      </c>
      <c r="Q251" s="143">
        <v>5</v>
      </c>
      <c r="R251" s="9">
        <f t="shared" si="35"/>
        <v>5.2631578947368416</v>
      </c>
      <c r="S251" s="8" t="str">
        <f t="array" ref="S251">IF(R251&gt;5,"Perlu Sensus",IF(AND(R251&gt;=0,O251&gt;0),"Tetap Deteksi","Belum Deteksi"))</f>
        <v>Perlu Sensus</v>
      </c>
      <c r="T251" s="143">
        <v>9</v>
      </c>
      <c r="U251" s="9">
        <f t="shared" si="36"/>
        <v>9.4736842105263168</v>
      </c>
      <c r="V251" s="132">
        <v>46249</v>
      </c>
      <c r="W251" s="143">
        <v>324</v>
      </c>
      <c r="X251" s="143">
        <v>10</v>
      </c>
      <c r="Y251" s="9">
        <f t="shared" si="37"/>
        <v>3.0864197530864197</v>
      </c>
      <c r="Z251" s="8" t="str">
        <f t="array" ref="Z251">IF(Y251&gt;5,"Perlu Sensus",IF(AND(Y251&gt;=0,W251&gt;0),"Tetap Deteksi","Belum Deteksi"))</f>
        <v>Tetap Deteksi</v>
      </c>
      <c r="AA251" s="143">
        <v>10</v>
      </c>
      <c r="AB251" s="9">
        <f t="shared" si="38"/>
        <v>3.0864197530864197</v>
      </c>
      <c r="AC251" s="11"/>
      <c r="AD251" s="143"/>
      <c r="AE251" s="9">
        <f t="array" ref="AE251">IFERROR(AD251/$G251*100,0)</f>
        <v>0</v>
      </c>
      <c r="AF251" s="143"/>
      <c r="AG251" s="9">
        <f t="shared" si="39"/>
        <v>0</v>
      </c>
      <c r="AH251" s="8" t="str">
        <f t="array" ref="AH251">IF(AG251&gt;5,"Perlu Sensus",IF(AND(AG251&gt;=0,AD251&gt;0),"Tetap Deteksi","Belum Deteksi"))</f>
        <v>Belum Deteksi</v>
      </c>
      <c r="AI251" s="143"/>
      <c r="AJ251" s="9">
        <f t="shared" si="40"/>
        <v>0</v>
      </c>
      <c r="AK251" s="11"/>
      <c r="AL251" s="143"/>
      <c r="AM251" s="143"/>
      <c r="AN251" s="9">
        <f t="shared" si="41"/>
        <v>0</v>
      </c>
      <c r="AO251" s="8" t="str">
        <f t="array" ref="AO251">IF(AN251&gt;5,"Perlu Sensus",IF(AND(AN251&gt;=0,AL251&gt;0),"Tetap Deteksi","Belum Deteksi"))</f>
        <v>Belum Deteksi</v>
      </c>
      <c r="AP251" s="143"/>
      <c r="AQ251" s="9">
        <f t="shared" si="42"/>
        <v>0</v>
      </c>
    </row>
    <row r="252" spans="1:43" outlineLevel="1" x14ac:dyDescent="0.15">
      <c r="A252" s="8" t="s">
        <v>1739</v>
      </c>
      <c r="B252" s="8" t="s">
        <v>14</v>
      </c>
      <c r="C252" s="8" t="s">
        <v>290</v>
      </c>
      <c r="D252" s="8" t="s">
        <v>1116</v>
      </c>
      <c r="E252" s="9">
        <v>27.12</v>
      </c>
      <c r="F252" s="8" t="s">
        <v>1740</v>
      </c>
      <c r="G252" s="10">
        <v>3746</v>
      </c>
      <c r="H252" s="11">
        <f t="array" ref="H252">IF(OR(N252&gt;0,AC252&gt;0),MAX(N252,AC252),MAX(AK252,V252))</f>
        <v>46238</v>
      </c>
      <c r="I252" s="143">
        <f t="array" ref="I252">IF(SUM(O252,AD252)&gt;0,SUM(O252,AD252),SUM(AL252,W252))</f>
        <v>98</v>
      </c>
      <c r="J252" s="9">
        <f t="shared" si="33"/>
        <v>2.6161238654564869</v>
      </c>
      <c r="K252" s="143">
        <f t="shared" si="43"/>
        <v>4</v>
      </c>
      <c r="L252" s="9">
        <f t="shared" si="34"/>
        <v>4.0816326530612246</v>
      </c>
      <c r="M252" s="8" t="str">
        <f t="array" ref="M252">IF(L252&gt;5,"Perlu Sensus",IF(AND(L252&gt;=0,I252&gt;0),"Tetap Deteksi","Belum Deteksi"))</f>
        <v>Tetap Deteksi</v>
      </c>
      <c r="N252" s="11">
        <v>46238</v>
      </c>
      <c r="O252" s="143">
        <v>98</v>
      </c>
      <c r="P252" s="9">
        <f t="array" ref="P252">IFERROR(O252/$G252*100,0)</f>
        <v>2.6161238654564869</v>
      </c>
      <c r="Q252" s="143">
        <v>4</v>
      </c>
      <c r="R252" s="9">
        <f t="shared" si="35"/>
        <v>4.0816326530612246</v>
      </c>
      <c r="S252" s="8" t="str">
        <f t="array" ref="S252">IF(R252&gt;5,"Perlu Sensus",IF(AND(R252&gt;=0,O252&gt;0),"Tetap Deteksi","Belum Deteksi"))</f>
        <v>Tetap Deteksi</v>
      </c>
      <c r="T252" s="143">
        <v>8</v>
      </c>
      <c r="U252" s="9">
        <f t="shared" si="36"/>
        <v>8.1632653061224492</v>
      </c>
      <c r="V252" s="132">
        <v>46249</v>
      </c>
      <c r="W252" s="143">
        <v>223</v>
      </c>
      <c r="X252" s="143">
        <v>11</v>
      </c>
      <c r="Y252" s="9">
        <f t="shared" si="37"/>
        <v>4.9327354260089686</v>
      </c>
      <c r="Z252" s="8" t="str">
        <f t="array" ref="Z252">IF(Y252&gt;5,"Perlu Sensus",IF(AND(Y252&gt;=0,W252&gt;0),"Tetap Deteksi","Belum Deteksi"))</f>
        <v>Tetap Deteksi</v>
      </c>
      <c r="AA252" s="143">
        <v>30</v>
      </c>
      <c r="AB252" s="9">
        <f t="shared" si="38"/>
        <v>13.452914798206278</v>
      </c>
      <c r="AC252" s="11"/>
      <c r="AD252" s="143"/>
      <c r="AE252" s="9">
        <f t="array" ref="AE252">IFERROR(AD252/$G252*100,0)</f>
        <v>0</v>
      </c>
      <c r="AF252" s="143"/>
      <c r="AG252" s="9">
        <f t="shared" si="39"/>
        <v>0</v>
      </c>
      <c r="AH252" s="8" t="str">
        <f t="array" ref="AH252">IF(AG252&gt;5,"Perlu Sensus",IF(AND(AG252&gt;=0,AD252&gt;0),"Tetap Deteksi","Belum Deteksi"))</f>
        <v>Belum Deteksi</v>
      </c>
      <c r="AI252" s="143"/>
      <c r="AJ252" s="9">
        <f t="shared" si="40"/>
        <v>0</v>
      </c>
      <c r="AK252" s="11"/>
      <c r="AL252" s="143"/>
      <c r="AM252" s="143"/>
      <c r="AN252" s="9">
        <f t="shared" si="41"/>
        <v>0</v>
      </c>
      <c r="AO252" s="8" t="str">
        <f t="array" ref="AO252">IF(AN252&gt;5,"Perlu Sensus",IF(AND(AN252&gt;=0,AL252&gt;0),"Tetap Deteksi","Belum Deteksi"))</f>
        <v>Belum Deteksi</v>
      </c>
      <c r="AP252" s="143"/>
      <c r="AQ252" s="9">
        <f t="shared" si="42"/>
        <v>0</v>
      </c>
    </row>
    <row r="253" spans="1:43" outlineLevel="1" x14ac:dyDescent="0.15">
      <c r="A253" s="8" t="s">
        <v>1739</v>
      </c>
      <c r="B253" s="8" t="s">
        <v>14</v>
      </c>
      <c r="C253" s="8" t="s">
        <v>290</v>
      </c>
      <c r="D253" s="8" t="s">
        <v>1117</v>
      </c>
      <c r="E253" s="9">
        <v>25.17</v>
      </c>
      <c r="F253" s="8" t="s">
        <v>1740</v>
      </c>
      <c r="G253" s="10">
        <v>2638</v>
      </c>
      <c r="H253" s="11">
        <f t="array" ref="H253">IF(OR(N253&gt;0,AC253&gt;0),MAX(N253,AC253),MAX(AK253,V253))</f>
        <v>46238</v>
      </c>
      <c r="I253" s="143">
        <f t="array" ref="I253">IF(SUM(O253,AD253)&gt;0,SUM(O253,AD253),SUM(AL253,W253))</f>
        <v>94</v>
      </c>
      <c r="J253" s="9">
        <f t="shared" si="33"/>
        <v>3.56330553449583</v>
      </c>
      <c r="K253" s="143">
        <f t="shared" si="43"/>
        <v>3</v>
      </c>
      <c r="L253" s="9">
        <f t="shared" si="34"/>
        <v>3.1914893617021276</v>
      </c>
      <c r="M253" s="8" t="str">
        <f t="array" ref="M253">IF(L253&gt;5,"Perlu Sensus",IF(AND(L253&gt;=0,I253&gt;0),"Tetap Deteksi","Belum Deteksi"))</f>
        <v>Tetap Deteksi</v>
      </c>
      <c r="N253" s="11">
        <v>46238</v>
      </c>
      <c r="O253" s="143">
        <v>94</v>
      </c>
      <c r="P253" s="9">
        <f t="array" ref="P253">IFERROR(O253/$G253*100,0)</f>
        <v>3.56330553449583</v>
      </c>
      <c r="Q253" s="143">
        <v>3</v>
      </c>
      <c r="R253" s="9">
        <f t="shared" si="35"/>
        <v>3.1914893617021276</v>
      </c>
      <c r="S253" s="8" t="str">
        <f t="array" ref="S253">IF(R253&gt;5,"Perlu Sensus",IF(AND(R253&gt;=0,O253&gt;0),"Tetap Deteksi","Belum Deteksi"))</f>
        <v>Tetap Deteksi</v>
      </c>
      <c r="T253" s="143">
        <v>6</v>
      </c>
      <c r="U253" s="9">
        <f t="shared" si="36"/>
        <v>6.3829787234042552</v>
      </c>
      <c r="V253" s="132">
        <v>46249</v>
      </c>
      <c r="W253" s="143">
        <v>242</v>
      </c>
      <c r="X253" s="143">
        <v>12</v>
      </c>
      <c r="Y253" s="9">
        <f t="shared" si="37"/>
        <v>4.9586776859504136</v>
      </c>
      <c r="Z253" s="8" t="str">
        <f t="array" ref="Z253">IF(Y253&gt;5,"Perlu Sensus",IF(AND(Y253&gt;=0,W253&gt;0),"Tetap Deteksi","Belum Deteksi"))</f>
        <v>Tetap Deteksi</v>
      </c>
      <c r="AA253" s="143">
        <v>23</v>
      </c>
      <c r="AB253" s="9">
        <f t="shared" si="38"/>
        <v>9.5041322314049594</v>
      </c>
      <c r="AC253" s="11"/>
      <c r="AD253" s="143"/>
      <c r="AE253" s="9">
        <f t="array" ref="AE253">IFERROR(AD253/$G253*100,0)</f>
        <v>0</v>
      </c>
      <c r="AF253" s="143"/>
      <c r="AG253" s="9">
        <f t="shared" si="39"/>
        <v>0</v>
      </c>
      <c r="AH253" s="8" t="str">
        <f t="array" ref="AH253">IF(AG253&gt;5,"Perlu Sensus",IF(AND(AG253&gt;=0,AD253&gt;0),"Tetap Deteksi","Belum Deteksi"))</f>
        <v>Belum Deteksi</v>
      </c>
      <c r="AI253" s="143"/>
      <c r="AJ253" s="9">
        <f t="shared" si="40"/>
        <v>0</v>
      </c>
      <c r="AK253" s="11"/>
      <c r="AL253" s="143"/>
      <c r="AM253" s="143"/>
      <c r="AN253" s="9">
        <f t="shared" si="41"/>
        <v>0</v>
      </c>
      <c r="AO253" s="8" t="str">
        <f t="array" ref="AO253">IF(AN253&gt;5,"Perlu Sensus",IF(AND(AN253&gt;=0,AL253&gt;0),"Tetap Deteksi","Belum Deteksi"))</f>
        <v>Belum Deteksi</v>
      </c>
      <c r="AP253" s="143"/>
      <c r="AQ253" s="9">
        <f t="shared" si="42"/>
        <v>0</v>
      </c>
    </row>
    <row r="254" spans="1:43" outlineLevel="1" x14ac:dyDescent="0.15">
      <c r="A254" s="8" t="s">
        <v>1739</v>
      </c>
      <c r="B254" s="8" t="s">
        <v>14</v>
      </c>
      <c r="C254" s="8" t="s">
        <v>290</v>
      </c>
      <c r="D254" s="8" t="s">
        <v>1118</v>
      </c>
      <c r="E254" s="9">
        <v>24.56</v>
      </c>
      <c r="F254" s="8" t="s">
        <v>1740</v>
      </c>
      <c r="G254" s="10">
        <v>3226</v>
      </c>
      <c r="H254" s="11">
        <f t="array" ref="H254">IF(OR(N254&gt;0,AC254&gt;0),MAX(N254,AC254),MAX(AK254,V254))</f>
        <v>46239</v>
      </c>
      <c r="I254" s="143">
        <f t="array" ref="I254">IF(SUM(O254,AD254)&gt;0,SUM(O254,AD254),SUM(AL254,W254))</f>
        <v>96</v>
      </c>
      <c r="J254" s="9">
        <f t="shared" si="33"/>
        <v>2.9758214507129574</v>
      </c>
      <c r="K254" s="143">
        <f t="shared" si="43"/>
        <v>6</v>
      </c>
      <c r="L254" s="9">
        <f t="shared" si="34"/>
        <v>6.25</v>
      </c>
      <c r="M254" s="8" t="str">
        <f t="array" ref="M254">IF(L254&gt;5,"Perlu Sensus",IF(AND(L254&gt;=0,I254&gt;0),"Tetap Deteksi","Belum Deteksi"))</f>
        <v>Perlu Sensus</v>
      </c>
      <c r="N254" s="11">
        <v>46239</v>
      </c>
      <c r="O254" s="143">
        <v>96</v>
      </c>
      <c r="P254" s="9">
        <f t="array" ref="P254">IFERROR(O254/$G254*100,0)</f>
        <v>2.9758214507129574</v>
      </c>
      <c r="Q254" s="143">
        <v>6</v>
      </c>
      <c r="R254" s="9">
        <f t="shared" si="35"/>
        <v>6.25</v>
      </c>
      <c r="S254" s="8" t="str">
        <f t="array" ref="S254">IF(R254&gt;5,"Perlu Sensus",IF(AND(R254&gt;=0,O254&gt;0),"Tetap Deteksi","Belum Deteksi"))</f>
        <v>Perlu Sensus</v>
      </c>
      <c r="T254" s="143">
        <v>5</v>
      </c>
      <c r="U254" s="9">
        <f t="shared" si="36"/>
        <v>5.2083333333333339</v>
      </c>
      <c r="V254" s="132">
        <v>46249</v>
      </c>
      <c r="W254" s="143">
        <v>313</v>
      </c>
      <c r="X254" s="143">
        <v>9</v>
      </c>
      <c r="Y254" s="9">
        <f t="shared" si="37"/>
        <v>2.8753993610223643</v>
      </c>
      <c r="Z254" s="8" t="str">
        <f t="array" ref="Z254">IF(Y254&gt;5,"Perlu Sensus",IF(AND(Y254&gt;=0,W254&gt;0),"Tetap Deteksi","Belum Deteksi"))</f>
        <v>Tetap Deteksi</v>
      </c>
      <c r="AA254" s="143">
        <v>22</v>
      </c>
      <c r="AB254" s="9">
        <f t="shared" si="38"/>
        <v>7.0287539936102235</v>
      </c>
      <c r="AC254" s="11"/>
      <c r="AD254" s="143"/>
      <c r="AE254" s="9">
        <f t="array" ref="AE254">IFERROR(AD254/$G254*100,0)</f>
        <v>0</v>
      </c>
      <c r="AF254" s="143"/>
      <c r="AG254" s="9">
        <f t="shared" si="39"/>
        <v>0</v>
      </c>
      <c r="AH254" s="8" t="str">
        <f t="array" ref="AH254">IF(AG254&gt;5,"Perlu Sensus",IF(AND(AG254&gt;=0,AD254&gt;0),"Tetap Deteksi","Belum Deteksi"))</f>
        <v>Belum Deteksi</v>
      </c>
      <c r="AI254" s="143"/>
      <c r="AJ254" s="9">
        <f t="shared" si="40"/>
        <v>0</v>
      </c>
      <c r="AK254" s="11"/>
      <c r="AL254" s="143"/>
      <c r="AM254" s="143"/>
      <c r="AN254" s="9">
        <f t="shared" si="41"/>
        <v>0</v>
      </c>
      <c r="AO254" s="8" t="str">
        <f t="array" ref="AO254">IF(AN254&gt;5,"Perlu Sensus",IF(AND(AN254&gt;=0,AL254&gt;0),"Tetap Deteksi","Belum Deteksi"))</f>
        <v>Belum Deteksi</v>
      </c>
      <c r="AP254" s="143"/>
      <c r="AQ254" s="9">
        <f t="shared" si="42"/>
        <v>0</v>
      </c>
    </row>
    <row r="255" spans="1:43" outlineLevel="1" x14ac:dyDescent="0.15">
      <c r="A255" s="8" t="s">
        <v>1739</v>
      </c>
      <c r="B255" s="8" t="s">
        <v>14</v>
      </c>
      <c r="C255" s="8" t="s">
        <v>290</v>
      </c>
      <c r="D255" s="8" t="s">
        <v>1119</v>
      </c>
      <c r="E255" s="9">
        <v>24.9</v>
      </c>
      <c r="F255" s="8" t="s">
        <v>1740</v>
      </c>
      <c r="G255" s="10">
        <v>3358</v>
      </c>
      <c r="H255" s="11">
        <f t="array" ref="H255">IF(OR(N255&gt;0,AC255&gt;0),MAX(N255,AC255),MAX(AK255,V255))</f>
        <v>46239</v>
      </c>
      <c r="I255" s="143">
        <f t="array" ref="I255">IF(SUM(O255,AD255)&gt;0,SUM(O255,AD255),SUM(AL255,W255))</f>
        <v>95</v>
      </c>
      <c r="J255" s="9">
        <f t="shared" si="33"/>
        <v>2.8290649195949968</v>
      </c>
      <c r="K255" s="143">
        <f t="shared" si="43"/>
        <v>5</v>
      </c>
      <c r="L255" s="9">
        <f t="shared" si="34"/>
        <v>5.2631578947368416</v>
      </c>
      <c r="M255" s="8" t="str">
        <f t="array" ref="M255">IF(L255&gt;5,"Perlu Sensus",IF(AND(L255&gt;=0,I255&gt;0),"Tetap Deteksi","Belum Deteksi"))</f>
        <v>Perlu Sensus</v>
      </c>
      <c r="N255" s="11">
        <v>46239</v>
      </c>
      <c r="O255" s="143">
        <v>95</v>
      </c>
      <c r="P255" s="9">
        <f t="array" ref="P255">IFERROR(O255/$G255*100,0)</f>
        <v>2.8290649195949968</v>
      </c>
      <c r="Q255" s="143">
        <v>5</v>
      </c>
      <c r="R255" s="9">
        <f t="shared" si="35"/>
        <v>5.2631578947368416</v>
      </c>
      <c r="S255" s="8" t="str">
        <f t="array" ref="S255">IF(R255&gt;5,"Perlu Sensus",IF(AND(R255&gt;=0,O255&gt;0),"Tetap Deteksi","Belum Deteksi"))</f>
        <v>Perlu Sensus</v>
      </c>
      <c r="T255" s="143">
        <v>7</v>
      </c>
      <c r="U255" s="9">
        <f t="shared" si="36"/>
        <v>7.3684210526315779</v>
      </c>
      <c r="V255" s="132">
        <v>46249</v>
      </c>
      <c r="W255" s="143">
        <v>448</v>
      </c>
      <c r="X255" s="143">
        <v>21</v>
      </c>
      <c r="Y255" s="9">
        <f t="shared" si="37"/>
        <v>4.6875</v>
      </c>
      <c r="Z255" s="8" t="str">
        <f t="array" ref="Z255">IF(Y255&gt;5,"Perlu Sensus",IF(AND(Y255&gt;=0,W255&gt;0),"Tetap Deteksi","Belum Deteksi"))</f>
        <v>Tetap Deteksi</v>
      </c>
      <c r="AA255" s="143">
        <v>25</v>
      </c>
      <c r="AB255" s="9">
        <f t="shared" si="38"/>
        <v>5.5803571428571432</v>
      </c>
      <c r="AC255" s="11"/>
      <c r="AD255" s="143"/>
      <c r="AE255" s="9">
        <f t="array" ref="AE255">IFERROR(AD255/$G255*100,0)</f>
        <v>0</v>
      </c>
      <c r="AF255" s="143"/>
      <c r="AG255" s="9">
        <f t="shared" si="39"/>
        <v>0</v>
      </c>
      <c r="AH255" s="8" t="str">
        <f t="array" ref="AH255">IF(AG255&gt;5,"Perlu Sensus",IF(AND(AG255&gt;=0,AD255&gt;0),"Tetap Deteksi","Belum Deteksi"))</f>
        <v>Belum Deteksi</v>
      </c>
      <c r="AI255" s="143"/>
      <c r="AJ255" s="9">
        <f t="shared" si="40"/>
        <v>0</v>
      </c>
      <c r="AK255" s="11"/>
      <c r="AL255" s="143"/>
      <c r="AM255" s="143"/>
      <c r="AN255" s="9">
        <f t="shared" si="41"/>
        <v>0</v>
      </c>
      <c r="AO255" s="8" t="str">
        <f t="array" ref="AO255">IF(AN255&gt;5,"Perlu Sensus",IF(AND(AN255&gt;=0,AL255&gt;0),"Tetap Deteksi","Belum Deteksi"))</f>
        <v>Belum Deteksi</v>
      </c>
      <c r="AP255" s="143"/>
      <c r="AQ255" s="9">
        <f t="shared" si="42"/>
        <v>0</v>
      </c>
    </row>
    <row r="256" spans="1:43" outlineLevel="1" x14ac:dyDescent="0.15">
      <c r="A256" s="8" t="s">
        <v>1739</v>
      </c>
      <c r="B256" s="8" t="s">
        <v>14</v>
      </c>
      <c r="C256" s="8" t="s">
        <v>290</v>
      </c>
      <c r="D256" s="8" t="s">
        <v>1120</v>
      </c>
      <c r="E256" s="9">
        <v>42.05</v>
      </c>
      <c r="F256" s="8" t="s">
        <v>1740</v>
      </c>
      <c r="G256" s="10">
        <v>5609</v>
      </c>
      <c r="H256" s="11">
        <f t="array" ref="H256">IF(OR(N256&gt;0,AC256&gt;0),MAX(N256,AC256),MAX(AK256,V256))</f>
        <v>46240</v>
      </c>
      <c r="I256" s="143">
        <f t="array" ref="I256">IF(SUM(O256,AD256)&gt;0,SUM(O256,AD256),SUM(AL256,W256))</f>
        <v>84</v>
      </c>
      <c r="J256" s="9">
        <f t="shared" si="33"/>
        <v>1.4975931538598681</v>
      </c>
      <c r="K256" s="143">
        <f t="shared" si="43"/>
        <v>6</v>
      </c>
      <c r="L256" s="9">
        <f t="shared" si="34"/>
        <v>7.1428571428571423</v>
      </c>
      <c r="M256" s="8" t="str">
        <f t="array" ref="M256">IF(L256&gt;5,"Perlu Sensus",IF(AND(L256&gt;=0,I256&gt;0),"Tetap Deteksi","Belum Deteksi"))</f>
        <v>Perlu Sensus</v>
      </c>
      <c r="N256" s="11">
        <v>46240</v>
      </c>
      <c r="O256" s="143">
        <v>84</v>
      </c>
      <c r="P256" s="9">
        <f t="array" ref="P256">IFERROR(O256/$G256*100,0)</f>
        <v>1.4975931538598681</v>
      </c>
      <c r="Q256" s="143">
        <v>6</v>
      </c>
      <c r="R256" s="9">
        <f t="shared" si="35"/>
        <v>7.1428571428571423</v>
      </c>
      <c r="S256" s="8" t="str">
        <f t="array" ref="S256">IF(R256&gt;5,"Perlu Sensus",IF(AND(R256&gt;=0,O256&gt;0),"Tetap Deteksi","Belum Deteksi"))</f>
        <v>Perlu Sensus</v>
      </c>
      <c r="T256" s="143">
        <v>6</v>
      </c>
      <c r="U256" s="9">
        <f t="shared" si="36"/>
        <v>7.1428571428571423</v>
      </c>
      <c r="V256" s="132">
        <v>46249</v>
      </c>
      <c r="W256" s="143">
        <v>291</v>
      </c>
      <c r="X256" s="143">
        <v>13</v>
      </c>
      <c r="Y256" s="9">
        <f t="shared" si="37"/>
        <v>4.4673539518900345</v>
      </c>
      <c r="Z256" s="8" t="str">
        <f t="array" ref="Z256">IF(Y256&gt;5,"Perlu Sensus",IF(AND(Y256&gt;=0,W256&gt;0),"Tetap Deteksi","Belum Deteksi"))</f>
        <v>Tetap Deteksi</v>
      </c>
      <c r="AA256" s="143">
        <v>10</v>
      </c>
      <c r="AB256" s="9">
        <f t="shared" si="38"/>
        <v>3.4364261168384882</v>
      </c>
      <c r="AC256" s="11"/>
      <c r="AD256" s="143"/>
      <c r="AE256" s="9">
        <f t="array" ref="AE256">IFERROR(AD256/$G256*100,0)</f>
        <v>0</v>
      </c>
      <c r="AF256" s="143"/>
      <c r="AG256" s="9">
        <f t="shared" si="39"/>
        <v>0</v>
      </c>
      <c r="AH256" s="8" t="str">
        <f t="array" ref="AH256">IF(AG256&gt;5,"Perlu Sensus",IF(AND(AG256&gt;=0,AD256&gt;0),"Tetap Deteksi","Belum Deteksi"))</f>
        <v>Belum Deteksi</v>
      </c>
      <c r="AI256" s="143"/>
      <c r="AJ256" s="9">
        <f t="shared" si="40"/>
        <v>0</v>
      </c>
      <c r="AK256" s="11"/>
      <c r="AL256" s="143"/>
      <c r="AM256" s="143"/>
      <c r="AN256" s="9">
        <f t="shared" si="41"/>
        <v>0</v>
      </c>
      <c r="AO256" s="8" t="str">
        <f t="array" ref="AO256">IF(AN256&gt;5,"Perlu Sensus",IF(AND(AN256&gt;=0,AL256&gt;0),"Tetap Deteksi","Belum Deteksi"))</f>
        <v>Belum Deteksi</v>
      </c>
      <c r="AP256" s="143"/>
      <c r="AQ256" s="9">
        <f t="shared" si="42"/>
        <v>0</v>
      </c>
    </row>
    <row r="257" spans="1:43" outlineLevel="1" x14ac:dyDescent="0.15">
      <c r="A257" s="8" t="s">
        <v>1739</v>
      </c>
      <c r="B257" s="8" t="s">
        <v>14</v>
      </c>
      <c r="C257" s="8" t="s">
        <v>290</v>
      </c>
      <c r="D257" s="8" t="s">
        <v>1121</v>
      </c>
      <c r="E257" s="9">
        <v>20.91</v>
      </c>
      <c r="F257" s="8" t="s">
        <v>1740</v>
      </c>
      <c r="G257" s="10">
        <v>2725</v>
      </c>
      <c r="H257" s="11">
        <f t="array" ref="H257">IF(OR(N257&gt;0,AC257&gt;0),MAX(N257,AC257),MAX(AK257,V257))</f>
        <v>46240</v>
      </c>
      <c r="I257" s="143">
        <f t="array" ref="I257">IF(SUM(O257,AD257)&gt;0,SUM(O257,AD257),SUM(AL257,W257))</f>
        <v>96</v>
      </c>
      <c r="J257" s="9">
        <f t="shared" si="33"/>
        <v>3.522935779816514</v>
      </c>
      <c r="K257" s="143">
        <f t="shared" si="43"/>
        <v>4</v>
      </c>
      <c r="L257" s="9">
        <f t="shared" si="34"/>
        <v>4.1666666666666661</v>
      </c>
      <c r="M257" s="8" t="str">
        <f t="array" ref="M257">IF(L257&gt;5,"Perlu Sensus",IF(AND(L257&gt;=0,I257&gt;0),"Tetap Deteksi","Belum Deteksi"))</f>
        <v>Tetap Deteksi</v>
      </c>
      <c r="N257" s="11">
        <v>46240</v>
      </c>
      <c r="O257" s="143">
        <v>96</v>
      </c>
      <c r="P257" s="9">
        <f t="array" ref="P257">IFERROR(O257/$G257*100,0)</f>
        <v>3.522935779816514</v>
      </c>
      <c r="Q257" s="143">
        <v>4</v>
      </c>
      <c r="R257" s="9">
        <f t="shared" si="35"/>
        <v>4.1666666666666661</v>
      </c>
      <c r="S257" s="8" t="str">
        <f t="array" ref="S257">IF(R257&gt;5,"Perlu Sensus",IF(AND(R257&gt;=0,O257&gt;0),"Tetap Deteksi","Belum Deteksi"))</f>
        <v>Tetap Deteksi</v>
      </c>
      <c r="T257" s="143">
        <v>8</v>
      </c>
      <c r="U257" s="9">
        <f t="shared" si="36"/>
        <v>8.3333333333333321</v>
      </c>
      <c r="V257" s="132">
        <v>46249</v>
      </c>
      <c r="W257" s="143">
        <v>409</v>
      </c>
      <c r="X257" s="143">
        <v>15</v>
      </c>
      <c r="Y257" s="9">
        <f t="shared" si="37"/>
        <v>3.6674816625916873</v>
      </c>
      <c r="Z257" s="8" t="str">
        <f t="array" ref="Z257">IF(Y257&gt;5,"Perlu Sensus",IF(AND(Y257&gt;=0,W257&gt;0),"Tetap Deteksi","Belum Deteksi"))</f>
        <v>Tetap Deteksi</v>
      </c>
      <c r="AA257" s="143">
        <v>11</v>
      </c>
      <c r="AB257" s="9">
        <f t="shared" si="38"/>
        <v>2.6894865525672369</v>
      </c>
      <c r="AC257" s="11"/>
      <c r="AD257" s="143"/>
      <c r="AE257" s="9">
        <f t="array" ref="AE257">IFERROR(AD257/$G257*100,0)</f>
        <v>0</v>
      </c>
      <c r="AF257" s="143"/>
      <c r="AG257" s="9">
        <f t="shared" si="39"/>
        <v>0</v>
      </c>
      <c r="AH257" s="8" t="str">
        <f t="array" ref="AH257">IF(AG257&gt;5,"Perlu Sensus",IF(AND(AG257&gt;=0,AD257&gt;0),"Tetap Deteksi","Belum Deteksi"))</f>
        <v>Belum Deteksi</v>
      </c>
      <c r="AI257" s="143"/>
      <c r="AJ257" s="9">
        <f t="shared" si="40"/>
        <v>0</v>
      </c>
      <c r="AK257" s="11"/>
      <c r="AL257" s="143"/>
      <c r="AM257" s="143"/>
      <c r="AN257" s="9">
        <f t="shared" si="41"/>
        <v>0</v>
      </c>
      <c r="AO257" s="8" t="str">
        <f t="array" ref="AO257">IF(AN257&gt;5,"Perlu Sensus",IF(AND(AN257&gt;=0,AL257&gt;0),"Tetap Deteksi","Belum Deteksi"))</f>
        <v>Belum Deteksi</v>
      </c>
      <c r="AP257" s="143"/>
      <c r="AQ257" s="9">
        <f t="shared" si="42"/>
        <v>0</v>
      </c>
    </row>
    <row r="258" spans="1:43" outlineLevel="1" x14ac:dyDescent="0.15">
      <c r="A258" s="8" t="s">
        <v>1739</v>
      </c>
      <c r="B258" s="8" t="s">
        <v>14</v>
      </c>
      <c r="C258" s="8" t="s">
        <v>290</v>
      </c>
      <c r="D258" s="8" t="s">
        <v>1122</v>
      </c>
      <c r="E258" s="9">
        <v>23.51</v>
      </c>
      <c r="F258" s="8" t="s">
        <v>1740</v>
      </c>
      <c r="G258" s="10">
        <v>3181</v>
      </c>
      <c r="H258" s="11">
        <f t="array" ref="H258">IF(OR(N258&gt;0,AC258&gt;0),MAX(N258,AC258),MAX(AK258,V258))</f>
        <v>46241</v>
      </c>
      <c r="I258" s="143">
        <f t="array" ref="I258">IF(SUM(O258,AD258)&gt;0,SUM(O258,AD258),SUM(AL258,W258))</f>
        <v>85</v>
      </c>
      <c r="J258" s="9">
        <f t="shared" si="33"/>
        <v>2.6721156868909151</v>
      </c>
      <c r="K258" s="143">
        <f t="shared" si="43"/>
        <v>3</v>
      </c>
      <c r="L258" s="9">
        <f t="shared" si="34"/>
        <v>3.5294117647058822</v>
      </c>
      <c r="M258" s="8" t="str">
        <f t="array" ref="M258">IF(L258&gt;5,"Perlu Sensus",IF(AND(L258&gt;=0,I258&gt;0),"Tetap Deteksi","Belum Deteksi"))</f>
        <v>Tetap Deteksi</v>
      </c>
      <c r="N258" s="11">
        <v>46241</v>
      </c>
      <c r="O258" s="143">
        <v>85</v>
      </c>
      <c r="P258" s="9">
        <f t="array" ref="P258">IFERROR(O258/$G258*100,0)</f>
        <v>2.6721156868909151</v>
      </c>
      <c r="Q258" s="143">
        <v>3</v>
      </c>
      <c r="R258" s="9">
        <f t="shared" si="35"/>
        <v>3.5294117647058822</v>
      </c>
      <c r="S258" s="8" t="str">
        <f t="array" ref="S258">IF(R258&gt;5,"Perlu Sensus",IF(AND(R258&gt;=0,O258&gt;0),"Tetap Deteksi","Belum Deteksi"))</f>
        <v>Tetap Deteksi</v>
      </c>
      <c r="T258" s="143">
        <v>6</v>
      </c>
      <c r="U258" s="9">
        <f t="shared" si="36"/>
        <v>7.0588235294117645</v>
      </c>
      <c r="V258" s="132">
        <v>46249</v>
      </c>
      <c r="W258" s="143">
        <v>351</v>
      </c>
      <c r="X258" s="143">
        <v>14</v>
      </c>
      <c r="Y258" s="9">
        <f t="shared" si="37"/>
        <v>3.9886039886039883</v>
      </c>
      <c r="Z258" s="8" t="str">
        <f t="array" ref="Z258">IF(Y258&gt;5,"Perlu Sensus",IF(AND(Y258&gt;=0,W258&gt;0),"Tetap Deteksi","Belum Deteksi"))</f>
        <v>Tetap Deteksi</v>
      </c>
      <c r="AA258" s="143">
        <v>30</v>
      </c>
      <c r="AB258" s="9">
        <f t="shared" si="38"/>
        <v>8.5470085470085468</v>
      </c>
      <c r="AC258" s="11"/>
      <c r="AD258" s="143"/>
      <c r="AE258" s="9">
        <f t="array" ref="AE258">IFERROR(AD258/$G258*100,0)</f>
        <v>0</v>
      </c>
      <c r="AF258" s="143"/>
      <c r="AG258" s="9">
        <f t="shared" si="39"/>
        <v>0</v>
      </c>
      <c r="AH258" s="8" t="str">
        <f t="array" ref="AH258">IF(AG258&gt;5,"Perlu Sensus",IF(AND(AG258&gt;=0,AD258&gt;0),"Tetap Deteksi","Belum Deteksi"))</f>
        <v>Belum Deteksi</v>
      </c>
      <c r="AI258" s="143"/>
      <c r="AJ258" s="9">
        <f t="shared" si="40"/>
        <v>0</v>
      </c>
      <c r="AK258" s="11"/>
      <c r="AL258" s="143"/>
      <c r="AM258" s="143"/>
      <c r="AN258" s="9">
        <f t="shared" si="41"/>
        <v>0</v>
      </c>
      <c r="AO258" s="8" t="str">
        <f t="array" ref="AO258">IF(AN258&gt;5,"Perlu Sensus",IF(AND(AN258&gt;=0,AL258&gt;0),"Tetap Deteksi","Belum Deteksi"))</f>
        <v>Belum Deteksi</v>
      </c>
      <c r="AP258" s="143"/>
      <c r="AQ258" s="9">
        <f t="shared" si="42"/>
        <v>0</v>
      </c>
    </row>
    <row r="259" spans="1:43" outlineLevel="1" x14ac:dyDescent="0.15">
      <c r="A259" s="8" t="s">
        <v>1739</v>
      </c>
      <c r="B259" s="8" t="s">
        <v>14</v>
      </c>
      <c r="C259" s="8" t="s">
        <v>290</v>
      </c>
      <c r="D259" s="8" t="s">
        <v>1123</v>
      </c>
      <c r="E259" s="9">
        <v>21.32</v>
      </c>
      <c r="F259" s="8" t="s">
        <v>1740</v>
      </c>
      <c r="G259" s="10">
        <v>2792</v>
      </c>
      <c r="H259" s="11">
        <f t="array" ref="H259">IF(OR(N259&gt;0,AC259&gt;0),MAX(N259,AC259),MAX(AK259,V259))</f>
        <v>46241</v>
      </c>
      <c r="I259" s="143">
        <f t="array" ref="I259">IF(SUM(O259,AD259)&gt;0,SUM(O259,AD259),SUM(AL259,W259))</f>
        <v>87</v>
      </c>
      <c r="J259" s="9">
        <f t="shared" si="33"/>
        <v>3.1160458452722062</v>
      </c>
      <c r="K259" s="143">
        <f t="shared" si="43"/>
        <v>4</v>
      </c>
      <c r="L259" s="9">
        <f t="shared" si="34"/>
        <v>4.5977011494252871</v>
      </c>
      <c r="M259" s="8" t="str">
        <f t="array" ref="M259">IF(L259&gt;5,"Perlu Sensus",IF(AND(L259&gt;=0,I259&gt;0),"Tetap Deteksi","Belum Deteksi"))</f>
        <v>Tetap Deteksi</v>
      </c>
      <c r="N259" s="11">
        <v>46241</v>
      </c>
      <c r="O259" s="143">
        <v>87</v>
      </c>
      <c r="P259" s="9">
        <f t="array" ref="P259">IFERROR(O259/$G259*100,0)</f>
        <v>3.1160458452722062</v>
      </c>
      <c r="Q259" s="143">
        <v>4</v>
      </c>
      <c r="R259" s="9">
        <f t="shared" si="35"/>
        <v>4.5977011494252871</v>
      </c>
      <c r="S259" s="8" t="str">
        <f t="array" ref="S259">IF(R259&gt;5,"Perlu Sensus",IF(AND(R259&gt;=0,O259&gt;0),"Tetap Deteksi","Belum Deteksi"))</f>
        <v>Tetap Deteksi</v>
      </c>
      <c r="T259" s="143">
        <v>5</v>
      </c>
      <c r="U259" s="9">
        <f t="shared" si="36"/>
        <v>5.7471264367816088</v>
      </c>
      <c r="V259" s="132">
        <v>46249</v>
      </c>
      <c r="W259" s="143">
        <v>361</v>
      </c>
      <c r="X259" s="143">
        <v>20</v>
      </c>
      <c r="Y259" s="9">
        <f t="shared" si="37"/>
        <v>5.5401662049861491</v>
      </c>
      <c r="Z259" s="8" t="str">
        <f t="array" ref="Z259">IF(Y259&gt;5,"Perlu Sensus",IF(AND(Y259&gt;=0,W259&gt;0),"Tetap Deteksi","Belum Deteksi"))</f>
        <v>Perlu Sensus</v>
      </c>
      <c r="AA259" s="143">
        <v>28</v>
      </c>
      <c r="AB259" s="9">
        <f t="shared" si="38"/>
        <v>7.7562326869806091</v>
      </c>
      <c r="AC259" s="11"/>
      <c r="AD259" s="143"/>
      <c r="AE259" s="9">
        <f t="array" ref="AE259">IFERROR(AD259/$G259*100,0)</f>
        <v>0</v>
      </c>
      <c r="AF259" s="143"/>
      <c r="AG259" s="9">
        <f t="shared" si="39"/>
        <v>0</v>
      </c>
      <c r="AH259" s="8" t="str">
        <f t="array" ref="AH259">IF(AG259&gt;5,"Perlu Sensus",IF(AND(AG259&gt;=0,AD259&gt;0),"Tetap Deteksi","Belum Deteksi"))</f>
        <v>Belum Deteksi</v>
      </c>
      <c r="AI259" s="143"/>
      <c r="AJ259" s="9">
        <f t="shared" si="40"/>
        <v>0</v>
      </c>
      <c r="AK259" s="11"/>
      <c r="AL259" s="143"/>
      <c r="AM259" s="143"/>
      <c r="AN259" s="9">
        <f t="shared" si="41"/>
        <v>0</v>
      </c>
      <c r="AO259" s="8" t="str">
        <f t="array" ref="AO259">IF(AN259&gt;5,"Perlu Sensus",IF(AND(AN259&gt;=0,AL259&gt;0),"Tetap Deteksi","Belum Deteksi"))</f>
        <v>Belum Deteksi</v>
      </c>
      <c r="AP259" s="143"/>
      <c r="AQ259" s="9">
        <f t="shared" si="42"/>
        <v>0</v>
      </c>
    </row>
    <row r="260" spans="1:43" outlineLevel="1" x14ac:dyDescent="0.15">
      <c r="A260" s="8" t="s">
        <v>1739</v>
      </c>
      <c r="B260" s="8" t="s">
        <v>14</v>
      </c>
      <c r="C260" s="8" t="s">
        <v>290</v>
      </c>
      <c r="D260" s="8" t="s">
        <v>1124</v>
      </c>
      <c r="E260" s="9">
        <v>25.89</v>
      </c>
      <c r="F260" s="8" t="s">
        <v>1740</v>
      </c>
      <c r="G260" s="10">
        <v>3404</v>
      </c>
      <c r="H260" s="11">
        <f t="array" ref="H260">IF(OR(N260&gt;0,AC260&gt;0),MAX(N260,AC260),MAX(AK260,V260))</f>
        <v>46242</v>
      </c>
      <c r="I260" s="143">
        <f t="array" ref="I260">IF(SUM(O260,AD260)&gt;0,SUM(O260,AD260),SUM(AL260,W260))</f>
        <v>89</v>
      </c>
      <c r="J260" s="9">
        <f t="shared" si="33"/>
        <v>2.6145710928319623</v>
      </c>
      <c r="K260" s="143">
        <f t="shared" si="43"/>
        <v>2</v>
      </c>
      <c r="L260" s="9">
        <f t="shared" si="34"/>
        <v>2.2471910112359552</v>
      </c>
      <c r="M260" s="8" t="str">
        <f t="array" ref="M260">IF(L260&gt;5,"Perlu Sensus",IF(AND(L260&gt;=0,I260&gt;0),"Tetap Deteksi","Belum Deteksi"))</f>
        <v>Tetap Deteksi</v>
      </c>
      <c r="N260" s="11">
        <v>46242</v>
      </c>
      <c r="O260" s="143">
        <v>89</v>
      </c>
      <c r="P260" s="9">
        <f t="array" ref="P260">IFERROR(O260/$G260*100,0)</f>
        <v>2.6145710928319623</v>
      </c>
      <c r="Q260" s="143">
        <v>2</v>
      </c>
      <c r="R260" s="9">
        <f t="shared" si="35"/>
        <v>2.2471910112359552</v>
      </c>
      <c r="S260" s="8" t="str">
        <f t="array" ref="S260">IF(R260&gt;5,"Perlu Sensus",IF(AND(R260&gt;=0,O260&gt;0),"Tetap Deteksi","Belum Deteksi"))</f>
        <v>Tetap Deteksi</v>
      </c>
      <c r="T260" s="143">
        <v>6</v>
      </c>
      <c r="U260" s="9">
        <f t="shared" si="36"/>
        <v>6.7415730337078648</v>
      </c>
      <c r="V260" s="132">
        <v>46249</v>
      </c>
      <c r="W260" s="143">
        <v>405</v>
      </c>
      <c r="X260" s="143">
        <v>18</v>
      </c>
      <c r="Y260" s="9">
        <f t="shared" si="37"/>
        <v>4.4444444444444446</v>
      </c>
      <c r="Z260" s="8" t="str">
        <f t="array" ref="Z260">IF(Y260&gt;5,"Perlu Sensus",IF(AND(Y260&gt;=0,W260&gt;0),"Tetap Deteksi","Belum Deteksi"))</f>
        <v>Tetap Deteksi</v>
      </c>
      <c r="AA260" s="143">
        <v>24</v>
      </c>
      <c r="AB260" s="9">
        <f t="shared" si="38"/>
        <v>5.9259259259259265</v>
      </c>
      <c r="AC260" s="11"/>
      <c r="AD260" s="143"/>
      <c r="AE260" s="9">
        <f t="array" ref="AE260">IFERROR(AD260/$G260*100,0)</f>
        <v>0</v>
      </c>
      <c r="AF260" s="143"/>
      <c r="AG260" s="9">
        <f t="shared" si="39"/>
        <v>0</v>
      </c>
      <c r="AH260" s="8" t="str">
        <f t="array" ref="AH260">IF(AG260&gt;5,"Perlu Sensus",IF(AND(AG260&gt;=0,AD260&gt;0),"Tetap Deteksi","Belum Deteksi"))</f>
        <v>Belum Deteksi</v>
      </c>
      <c r="AI260" s="143"/>
      <c r="AJ260" s="9">
        <f t="shared" si="40"/>
        <v>0</v>
      </c>
      <c r="AK260" s="11"/>
      <c r="AL260" s="143"/>
      <c r="AM260" s="143"/>
      <c r="AN260" s="9">
        <f t="shared" si="41"/>
        <v>0</v>
      </c>
      <c r="AO260" s="8" t="str">
        <f t="array" ref="AO260">IF(AN260&gt;5,"Perlu Sensus",IF(AND(AN260&gt;=0,AL260&gt;0),"Tetap Deteksi","Belum Deteksi"))</f>
        <v>Belum Deteksi</v>
      </c>
      <c r="AP260" s="143"/>
      <c r="AQ260" s="9">
        <f t="shared" si="42"/>
        <v>0</v>
      </c>
    </row>
    <row r="261" spans="1:43" outlineLevel="1" x14ac:dyDescent="0.15">
      <c r="A261" s="8" t="s">
        <v>1739</v>
      </c>
      <c r="B261" s="8" t="s">
        <v>14</v>
      </c>
      <c r="C261" s="8" t="s">
        <v>290</v>
      </c>
      <c r="D261" s="8" t="s">
        <v>1125</v>
      </c>
      <c r="E261" s="9">
        <v>23.31</v>
      </c>
      <c r="F261" s="8" t="s">
        <v>1740</v>
      </c>
      <c r="G261" s="10">
        <v>2922</v>
      </c>
      <c r="H261" s="11">
        <f t="array" ref="H261">IF(OR(N261&gt;0,AC261&gt;0),MAX(N261,AC261),MAX(AK261,V261))</f>
        <v>46242</v>
      </c>
      <c r="I261" s="143">
        <f t="array" ref="I261">IF(SUM(O261,AD261)&gt;0,SUM(O261,AD261),SUM(AL261,W261))</f>
        <v>87</v>
      </c>
      <c r="J261" s="9">
        <f t="shared" si="33"/>
        <v>2.9774127310061602</v>
      </c>
      <c r="K261" s="143">
        <f t="shared" si="43"/>
        <v>3</v>
      </c>
      <c r="L261" s="9">
        <f t="shared" si="34"/>
        <v>3.4482758620689653</v>
      </c>
      <c r="M261" s="8" t="str">
        <f t="array" ref="M261">IF(L261&gt;5,"Perlu Sensus",IF(AND(L261&gt;=0,I261&gt;0),"Tetap Deteksi","Belum Deteksi"))</f>
        <v>Tetap Deteksi</v>
      </c>
      <c r="N261" s="11">
        <v>46242</v>
      </c>
      <c r="O261" s="143">
        <v>87</v>
      </c>
      <c r="P261" s="9">
        <f t="array" ref="P261">IFERROR(O261/$G261*100,0)</f>
        <v>2.9774127310061602</v>
      </c>
      <c r="Q261" s="143">
        <v>3</v>
      </c>
      <c r="R261" s="9">
        <f t="shared" si="35"/>
        <v>3.4482758620689653</v>
      </c>
      <c r="S261" s="8" t="str">
        <f t="array" ref="S261">IF(R261&gt;5,"Perlu Sensus",IF(AND(R261&gt;=0,O261&gt;0),"Tetap Deteksi","Belum Deteksi"))</f>
        <v>Tetap Deteksi</v>
      </c>
      <c r="T261" s="143">
        <v>5</v>
      </c>
      <c r="U261" s="9">
        <f t="shared" si="36"/>
        <v>5.7471264367816088</v>
      </c>
      <c r="V261" s="132">
        <v>46249</v>
      </c>
      <c r="W261" s="143">
        <v>253</v>
      </c>
      <c r="X261" s="143">
        <v>19</v>
      </c>
      <c r="Y261" s="9">
        <f t="shared" si="37"/>
        <v>7.5098814229249005</v>
      </c>
      <c r="Z261" s="8" t="str">
        <f t="array" ref="Z261">IF(Y261&gt;5,"Perlu Sensus",IF(AND(Y261&gt;=0,W261&gt;0),"Tetap Deteksi","Belum Deteksi"))</f>
        <v>Perlu Sensus</v>
      </c>
      <c r="AA261" s="143">
        <v>25</v>
      </c>
      <c r="AB261" s="9">
        <f t="shared" si="38"/>
        <v>9.8814229249011856</v>
      </c>
      <c r="AC261" s="11"/>
      <c r="AD261" s="143"/>
      <c r="AE261" s="9">
        <f t="array" ref="AE261">IFERROR(AD261/$G261*100,0)</f>
        <v>0</v>
      </c>
      <c r="AF261" s="143"/>
      <c r="AG261" s="9">
        <f t="shared" si="39"/>
        <v>0</v>
      </c>
      <c r="AH261" s="8" t="str">
        <f t="array" ref="AH261">IF(AG261&gt;5,"Perlu Sensus",IF(AND(AG261&gt;=0,AD261&gt;0),"Tetap Deteksi","Belum Deteksi"))</f>
        <v>Belum Deteksi</v>
      </c>
      <c r="AI261" s="143"/>
      <c r="AJ261" s="9">
        <f t="shared" si="40"/>
        <v>0</v>
      </c>
      <c r="AK261" s="11"/>
      <c r="AL261" s="143"/>
      <c r="AM261" s="143"/>
      <c r="AN261" s="9">
        <f t="shared" si="41"/>
        <v>0</v>
      </c>
      <c r="AO261" s="8" t="str">
        <f t="array" ref="AO261">IF(AN261&gt;5,"Perlu Sensus",IF(AND(AN261&gt;=0,AL261&gt;0),"Tetap Deteksi","Belum Deteksi"))</f>
        <v>Belum Deteksi</v>
      </c>
      <c r="AP261" s="143"/>
      <c r="AQ261" s="9">
        <f t="shared" si="42"/>
        <v>0</v>
      </c>
    </row>
    <row r="262" spans="1:43" outlineLevel="1" x14ac:dyDescent="0.15">
      <c r="A262" s="8" t="s">
        <v>1739</v>
      </c>
      <c r="B262" s="8" t="s">
        <v>14</v>
      </c>
      <c r="C262" s="8" t="s">
        <v>290</v>
      </c>
      <c r="D262" s="8" t="s">
        <v>1126</v>
      </c>
      <c r="E262" s="9">
        <v>26.88</v>
      </c>
      <c r="F262" s="8" t="s">
        <v>1740</v>
      </c>
      <c r="G262" s="10">
        <v>3519</v>
      </c>
      <c r="H262" s="11">
        <f t="array" ref="H262">IF(OR(N262&gt;0,AC262&gt;0),MAX(N262,AC262),MAX(AK262,V262))</f>
        <v>46244</v>
      </c>
      <c r="I262" s="143">
        <f t="array" ref="I262">IF(SUM(O262,AD262)&gt;0,SUM(O262,AD262),SUM(AL262,W262))</f>
        <v>95</v>
      </c>
      <c r="J262" s="9">
        <f t="shared" ref="J262:J325" si="44">IF(P262&gt;0,P262," ")</f>
        <v>2.6996305768684286</v>
      </c>
      <c r="K262" s="143">
        <f t="shared" si="43"/>
        <v>1</v>
      </c>
      <c r="L262" s="9">
        <f t="shared" ref="L262:L325" si="45">IFERROR(K262/I262*100,0)</f>
        <v>1.0526315789473684</v>
      </c>
      <c r="M262" s="8" t="str">
        <f t="array" ref="M262">IF(L262&gt;5,"Perlu Sensus",IF(AND(L262&gt;=0,I262&gt;0),"Tetap Deteksi","Belum Deteksi"))</f>
        <v>Tetap Deteksi</v>
      </c>
      <c r="N262" s="11">
        <v>46244</v>
      </c>
      <c r="O262" s="143">
        <v>95</v>
      </c>
      <c r="P262" s="9">
        <f t="array" ref="P262">IFERROR(O262/$G262*100,0)</f>
        <v>2.6996305768684286</v>
      </c>
      <c r="Q262" s="143">
        <v>1</v>
      </c>
      <c r="R262" s="9">
        <f t="shared" ref="R262:R325" si="46">IFERROR(Q262/O262*100,0)</f>
        <v>1.0526315789473684</v>
      </c>
      <c r="S262" s="8" t="str">
        <f t="array" ref="S262">IF(R262&gt;5,"Perlu Sensus",IF(AND(R262&gt;=0,O262&gt;0),"Tetap Deteksi","Belum Deteksi"))</f>
        <v>Tetap Deteksi</v>
      </c>
      <c r="T262" s="143">
        <v>5</v>
      </c>
      <c r="U262" s="9">
        <f t="shared" ref="U262:U325" si="47">IFERROR(T262/O262*100,0)</f>
        <v>5.2631578947368416</v>
      </c>
      <c r="V262" s="132">
        <v>46249</v>
      </c>
      <c r="W262" s="143">
        <v>258</v>
      </c>
      <c r="X262" s="143">
        <v>12</v>
      </c>
      <c r="Y262" s="9">
        <f t="shared" ref="Y262:Y325" si="48">IFERROR(X262/W262*100,0)</f>
        <v>4.6511627906976747</v>
      </c>
      <c r="Z262" s="8" t="str">
        <f t="array" ref="Z262">IF(Y262&gt;5,"Perlu Sensus",IF(AND(Y262&gt;=0,W262&gt;0),"Tetap Deteksi","Belum Deteksi"))</f>
        <v>Tetap Deteksi</v>
      </c>
      <c r="AA262" s="143">
        <v>21</v>
      </c>
      <c r="AB262" s="9">
        <f t="shared" ref="AB262:AB325" si="49">IFERROR(AA262/W262*100,0)</f>
        <v>8.1395348837209305</v>
      </c>
      <c r="AC262" s="11"/>
      <c r="AD262" s="143"/>
      <c r="AE262" s="9">
        <f t="array" ref="AE262">IFERROR(AD262/$G262*100,0)</f>
        <v>0</v>
      </c>
      <c r="AF262" s="143"/>
      <c r="AG262" s="9">
        <f t="shared" ref="AG262:AG325" si="50">IFERROR(AF262/AD262*100,0)</f>
        <v>0</v>
      </c>
      <c r="AH262" s="8" t="str">
        <f t="array" ref="AH262">IF(AG262&gt;5,"Perlu Sensus",IF(AND(AG262&gt;=0,AD262&gt;0),"Tetap Deteksi","Belum Deteksi"))</f>
        <v>Belum Deteksi</v>
      </c>
      <c r="AI262" s="143"/>
      <c r="AJ262" s="9">
        <f t="shared" ref="AJ262:AJ325" si="51">IFERROR(AI262/AD262*100,0)</f>
        <v>0</v>
      </c>
      <c r="AK262" s="11"/>
      <c r="AL262" s="143"/>
      <c r="AM262" s="143"/>
      <c r="AN262" s="9">
        <f t="shared" ref="AN262:AN325" si="52">IFERROR(AM262/AL262*100,0)</f>
        <v>0</v>
      </c>
      <c r="AO262" s="8" t="str">
        <f t="array" ref="AO262">IF(AN262&gt;5,"Perlu Sensus",IF(AND(AN262&gt;=0,AL262&gt;0),"Tetap Deteksi","Belum Deteksi"))</f>
        <v>Belum Deteksi</v>
      </c>
      <c r="AP262" s="143"/>
      <c r="AQ262" s="9">
        <f t="shared" ref="AQ262:AQ325" si="53">IFERROR(AP262/AL262*100,0)</f>
        <v>0</v>
      </c>
    </row>
    <row r="263" spans="1:43" outlineLevel="1" x14ac:dyDescent="0.15">
      <c r="A263" s="8" t="s">
        <v>1739</v>
      </c>
      <c r="B263" s="8" t="s">
        <v>14</v>
      </c>
      <c r="C263" s="8" t="s">
        <v>290</v>
      </c>
      <c r="D263" s="8" t="s">
        <v>1127</v>
      </c>
      <c r="E263" s="9">
        <v>26.44</v>
      </c>
      <c r="F263" s="8" t="s">
        <v>1740</v>
      </c>
      <c r="G263" s="10">
        <v>3599</v>
      </c>
      <c r="H263" s="11">
        <f t="array" ref="H263">IF(OR(N263&gt;0,AC263&gt;0),MAX(N263,AC263),MAX(AK263,V263))</f>
        <v>46244</v>
      </c>
      <c r="I263" s="143">
        <f t="array" ref="I263">IF(SUM(O263,AD263)&gt;0,SUM(O263,AD263),SUM(AL263,W263))</f>
        <v>92</v>
      </c>
      <c r="J263" s="9">
        <f t="shared" si="44"/>
        <v>2.5562656293414836</v>
      </c>
      <c r="K263" s="143">
        <f t="shared" ref="K263:K326" si="54">IF(SUM(Q263,AF263)&gt;0,SUM(Q263,AF263),SUM(AM263,X263))</f>
        <v>4</v>
      </c>
      <c r="L263" s="9">
        <f t="shared" si="45"/>
        <v>4.3478260869565215</v>
      </c>
      <c r="M263" s="8" t="str">
        <f t="array" ref="M263">IF(L263&gt;5,"Perlu Sensus",IF(AND(L263&gt;=0,I263&gt;0),"Tetap Deteksi","Belum Deteksi"))</f>
        <v>Tetap Deteksi</v>
      </c>
      <c r="N263" s="11">
        <v>46244</v>
      </c>
      <c r="O263" s="143">
        <v>92</v>
      </c>
      <c r="P263" s="9">
        <f t="array" ref="P263">IFERROR(O263/$G263*100,0)</f>
        <v>2.5562656293414836</v>
      </c>
      <c r="Q263" s="143">
        <v>4</v>
      </c>
      <c r="R263" s="9">
        <f t="shared" si="46"/>
        <v>4.3478260869565215</v>
      </c>
      <c r="S263" s="8" t="str">
        <f t="array" ref="S263">IF(R263&gt;5,"Perlu Sensus",IF(AND(R263&gt;=0,O263&gt;0),"Tetap Deteksi","Belum Deteksi"))</f>
        <v>Tetap Deteksi</v>
      </c>
      <c r="T263" s="143">
        <v>6</v>
      </c>
      <c r="U263" s="9">
        <f t="shared" si="47"/>
        <v>6.5217391304347823</v>
      </c>
      <c r="V263" s="132">
        <v>46249</v>
      </c>
      <c r="W263" s="143">
        <v>447</v>
      </c>
      <c r="X263" s="143">
        <v>11</v>
      </c>
      <c r="Y263" s="9">
        <f t="shared" si="48"/>
        <v>2.4608501118568231</v>
      </c>
      <c r="Z263" s="8" t="str">
        <f t="array" ref="Z263">IF(Y263&gt;5,"Perlu Sensus",IF(AND(Y263&gt;=0,W263&gt;0),"Tetap Deteksi","Belum Deteksi"))</f>
        <v>Tetap Deteksi</v>
      </c>
      <c r="AA263" s="143">
        <v>14</v>
      </c>
      <c r="AB263" s="9">
        <f t="shared" si="49"/>
        <v>3.1319910514541389</v>
      </c>
      <c r="AC263" s="11"/>
      <c r="AD263" s="143"/>
      <c r="AE263" s="9">
        <f t="array" ref="AE263">IFERROR(AD263/$G263*100,0)</f>
        <v>0</v>
      </c>
      <c r="AF263" s="143"/>
      <c r="AG263" s="9">
        <f t="shared" si="50"/>
        <v>0</v>
      </c>
      <c r="AH263" s="8" t="str">
        <f t="array" ref="AH263">IF(AG263&gt;5,"Perlu Sensus",IF(AND(AG263&gt;=0,AD263&gt;0),"Tetap Deteksi","Belum Deteksi"))</f>
        <v>Belum Deteksi</v>
      </c>
      <c r="AI263" s="143"/>
      <c r="AJ263" s="9">
        <f t="shared" si="51"/>
        <v>0</v>
      </c>
      <c r="AK263" s="11"/>
      <c r="AL263" s="143"/>
      <c r="AM263" s="143"/>
      <c r="AN263" s="9">
        <f t="shared" si="52"/>
        <v>0</v>
      </c>
      <c r="AO263" s="8" t="str">
        <f t="array" ref="AO263">IF(AN263&gt;5,"Perlu Sensus",IF(AND(AN263&gt;=0,AL263&gt;0),"Tetap Deteksi","Belum Deteksi"))</f>
        <v>Belum Deteksi</v>
      </c>
      <c r="AP263" s="143"/>
      <c r="AQ263" s="9">
        <f t="shared" si="53"/>
        <v>0</v>
      </c>
    </row>
    <row r="264" spans="1:43" outlineLevel="1" x14ac:dyDescent="0.15">
      <c r="A264" s="8" t="s">
        <v>1739</v>
      </c>
      <c r="B264" s="8" t="s">
        <v>14</v>
      </c>
      <c r="C264" s="8" t="s">
        <v>290</v>
      </c>
      <c r="D264" s="8" t="s">
        <v>1128</v>
      </c>
      <c r="E264" s="9">
        <v>24.47</v>
      </c>
      <c r="F264" s="8" t="s">
        <v>1740</v>
      </c>
      <c r="G264" s="10">
        <v>3374</v>
      </c>
      <c r="H264" s="11">
        <f t="array" ref="H264">IF(OR(N264&gt;0,AC264&gt;0),MAX(N264,AC264),MAX(AK264,V264))</f>
        <v>46245</v>
      </c>
      <c r="I264" s="143">
        <f t="array" ref="I264">IF(SUM(O264,AD264)&gt;0,SUM(O264,AD264),SUM(AL264,W264))</f>
        <v>85</v>
      </c>
      <c r="J264" s="9">
        <f t="shared" si="44"/>
        <v>2.5192649673977474</v>
      </c>
      <c r="K264" s="143">
        <f t="shared" si="54"/>
        <v>2</v>
      </c>
      <c r="L264" s="9">
        <f t="shared" si="45"/>
        <v>2.3529411764705883</v>
      </c>
      <c r="M264" s="8" t="str">
        <f t="array" ref="M264">IF(L264&gt;5,"Perlu Sensus",IF(AND(L264&gt;=0,I264&gt;0),"Tetap Deteksi","Belum Deteksi"))</f>
        <v>Tetap Deteksi</v>
      </c>
      <c r="N264" s="11">
        <v>46245</v>
      </c>
      <c r="O264" s="143">
        <v>85</v>
      </c>
      <c r="P264" s="9">
        <f t="array" ref="P264">IFERROR(O264/$G264*100,0)</f>
        <v>2.5192649673977474</v>
      </c>
      <c r="Q264" s="143">
        <v>2</v>
      </c>
      <c r="R264" s="9">
        <f t="shared" si="46"/>
        <v>2.3529411764705883</v>
      </c>
      <c r="S264" s="8" t="str">
        <f t="array" ref="S264">IF(R264&gt;5,"Perlu Sensus",IF(AND(R264&gt;=0,O264&gt;0),"Tetap Deteksi","Belum Deteksi"))</f>
        <v>Tetap Deteksi</v>
      </c>
      <c r="T264" s="143">
        <v>4</v>
      </c>
      <c r="U264" s="9">
        <f t="shared" si="47"/>
        <v>4.7058823529411766</v>
      </c>
      <c r="V264" s="132">
        <v>46249</v>
      </c>
      <c r="W264" s="143">
        <v>296</v>
      </c>
      <c r="X264" s="143">
        <v>14</v>
      </c>
      <c r="Y264" s="9">
        <f t="shared" si="48"/>
        <v>4.7297297297297298</v>
      </c>
      <c r="Z264" s="8" t="str">
        <f t="array" ref="Z264">IF(Y264&gt;5,"Perlu Sensus",IF(AND(Y264&gt;=0,W264&gt;0),"Tetap Deteksi","Belum Deteksi"))</f>
        <v>Tetap Deteksi</v>
      </c>
      <c r="AA264" s="143">
        <v>15</v>
      </c>
      <c r="AB264" s="9">
        <f t="shared" si="49"/>
        <v>5.0675675675675675</v>
      </c>
      <c r="AC264" s="11"/>
      <c r="AD264" s="143"/>
      <c r="AE264" s="9">
        <f t="array" ref="AE264">IFERROR(AD264/$G264*100,0)</f>
        <v>0</v>
      </c>
      <c r="AF264" s="143"/>
      <c r="AG264" s="9">
        <f t="shared" si="50"/>
        <v>0</v>
      </c>
      <c r="AH264" s="8" t="str">
        <f t="array" ref="AH264">IF(AG264&gt;5,"Perlu Sensus",IF(AND(AG264&gt;=0,AD264&gt;0),"Tetap Deteksi","Belum Deteksi"))</f>
        <v>Belum Deteksi</v>
      </c>
      <c r="AI264" s="143"/>
      <c r="AJ264" s="9">
        <f t="shared" si="51"/>
        <v>0</v>
      </c>
      <c r="AK264" s="11"/>
      <c r="AL264" s="143"/>
      <c r="AM264" s="143"/>
      <c r="AN264" s="9">
        <f t="shared" si="52"/>
        <v>0</v>
      </c>
      <c r="AO264" s="8" t="str">
        <f t="array" ref="AO264">IF(AN264&gt;5,"Perlu Sensus",IF(AND(AN264&gt;=0,AL264&gt;0),"Tetap Deteksi","Belum Deteksi"))</f>
        <v>Belum Deteksi</v>
      </c>
      <c r="AP264" s="143"/>
      <c r="AQ264" s="9">
        <f t="shared" si="53"/>
        <v>0</v>
      </c>
    </row>
    <row r="265" spans="1:43" outlineLevel="1" x14ac:dyDescent="0.15">
      <c r="A265" s="8" t="s">
        <v>1739</v>
      </c>
      <c r="B265" s="8" t="s">
        <v>14</v>
      </c>
      <c r="C265" s="8" t="s">
        <v>290</v>
      </c>
      <c r="D265" s="8" t="s">
        <v>1129</v>
      </c>
      <c r="E265" s="9">
        <v>25.95</v>
      </c>
      <c r="F265" s="8" t="s">
        <v>1740</v>
      </c>
      <c r="G265" s="10">
        <v>3496</v>
      </c>
      <c r="H265" s="11">
        <f t="array" ref="H265">IF(OR(N265&gt;0,AC265&gt;0),MAX(N265,AC265),MAX(AK265,V265))</f>
        <v>46245</v>
      </c>
      <c r="I265" s="143">
        <f t="array" ref="I265">IF(SUM(O265,AD265)&gt;0,SUM(O265,AD265),SUM(AL265,W265))</f>
        <v>95</v>
      </c>
      <c r="J265" s="9">
        <f t="shared" si="44"/>
        <v>2.7173913043478262</v>
      </c>
      <c r="K265" s="143">
        <f t="shared" si="54"/>
        <v>3</v>
      </c>
      <c r="L265" s="9">
        <f t="shared" si="45"/>
        <v>3.1578947368421053</v>
      </c>
      <c r="M265" s="8" t="str">
        <f t="array" ref="M265">IF(L265&gt;5,"Perlu Sensus",IF(AND(L265&gt;=0,I265&gt;0),"Tetap Deteksi","Belum Deteksi"))</f>
        <v>Tetap Deteksi</v>
      </c>
      <c r="N265" s="11">
        <v>46245</v>
      </c>
      <c r="O265" s="143">
        <v>95</v>
      </c>
      <c r="P265" s="9">
        <f t="array" ref="P265">IFERROR(O265/$G265*100,0)</f>
        <v>2.7173913043478262</v>
      </c>
      <c r="Q265" s="143">
        <v>3</v>
      </c>
      <c r="R265" s="9">
        <f t="shared" si="46"/>
        <v>3.1578947368421053</v>
      </c>
      <c r="S265" s="8" t="str">
        <f t="array" ref="S265">IF(R265&gt;5,"Perlu Sensus",IF(AND(R265&gt;=0,O265&gt;0),"Tetap Deteksi","Belum Deteksi"))</f>
        <v>Tetap Deteksi</v>
      </c>
      <c r="T265" s="143">
        <v>6</v>
      </c>
      <c r="U265" s="9">
        <f t="shared" si="47"/>
        <v>6.3157894736842106</v>
      </c>
      <c r="V265" s="132">
        <v>46249</v>
      </c>
      <c r="W265" s="143">
        <v>266</v>
      </c>
      <c r="X265" s="143">
        <v>13</v>
      </c>
      <c r="Y265" s="9">
        <f t="shared" si="48"/>
        <v>4.8872180451127818</v>
      </c>
      <c r="Z265" s="8" t="str">
        <f t="array" ref="Z265">IF(Y265&gt;5,"Perlu Sensus",IF(AND(Y265&gt;=0,W265&gt;0),"Tetap Deteksi","Belum Deteksi"))</f>
        <v>Tetap Deteksi</v>
      </c>
      <c r="AA265" s="143">
        <v>29</v>
      </c>
      <c r="AB265" s="9">
        <f t="shared" si="49"/>
        <v>10.902255639097744</v>
      </c>
      <c r="AC265" s="11"/>
      <c r="AD265" s="143"/>
      <c r="AE265" s="9">
        <f t="array" ref="AE265">IFERROR(AD265/$G265*100,0)</f>
        <v>0</v>
      </c>
      <c r="AF265" s="143"/>
      <c r="AG265" s="9">
        <f t="shared" si="50"/>
        <v>0</v>
      </c>
      <c r="AH265" s="8" t="str">
        <f t="array" ref="AH265">IF(AG265&gt;5,"Perlu Sensus",IF(AND(AG265&gt;=0,AD265&gt;0),"Tetap Deteksi","Belum Deteksi"))</f>
        <v>Belum Deteksi</v>
      </c>
      <c r="AI265" s="143"/>
      <c r="AJ265" s="9">
        <f t="shared" si="51"/>
        <v>0</v>
      </c>
      <c r="AK265" s="11"/>
      <c r="AL265" s="143"/>
      <c r="AM265" s="143"/>
      <c r="AN265" s="9">
        <f t="shared" si="52"/>
        <v>0</v>
      </c>
      <c r="AO265" s="8" t="str">
        <f t="array" ref="AO265">IF(AN265&gt;5,"Perlu Sensus",IF(AND(AN265&gt;=0,AL265&gt;0),"Tetap Deteksi","Belum Deteksi"))</f>
        <v>Belum Deteksi</v>
      </c>
      <c r="AP265" s="143"/>
      <c r="AQ265" s="9">
        <f t="shared" si="53"/>
        <v>0</v>
      </c>
    </row>
    <row r="266" spans="1:43" outlineLevel="1" x14ac:dyDescent="0.15">
      <c r="A266" s="8" t="s">
        <v>1739</v>
      </c>
      <c r="B266" s="8" t="s">
        <v>14</v>
      </c>
      <c r="C266" s="8" t="s">
        <v>290</v>
      </c>
      <c r="D266" s="8" t="s">
        <v>1130</v>
      </c>
      <c r="E266" s="9">
        <v>25.53</v>
      </c>
      <c r="F266" s="8" t="s">
        <v>1740</v>
      </c>
      <c r="G266" s="10">
        <v>3274</v>
      </c>
      <c r="H266" s="11">
        <f t="array" ref="H266">IF(OR(N266&gt;0,AC266&gt;0),MAX(N266,AC266),MAX(AK266,V266))</f>
        <v>46246</v>
      </c>
      <c r="I266" s="143">
        <f t="array" ref="I266">IF(SUM(O266,AD266)&gt;0,SUM(O266,AD266),SUM(AL266,W266))</f>
        <v>87</v>
      </c>
      <c r="J266" s="9">
        <f t="shared" si="44"/>
        <v>2.657299938912645</v>
      </c>
      <c r="K266" s="143">
        <f t="shared" si="54"/>
        <v>4</v>
      </c>
      <c r="L266" s="9">
        <f t="shared" si="45"/>
        <v>4.5977011494252871</v>
      </c>
      <c r="M266" s="8" t="str">
        <f t="array" ref="M266">IF(L266&gt;5,"Perlu Sensus",IF(AND(L266&gt;=0,I266&gt;0),"Tetap Deteksi","Belum Deteksi"))</f>
        <v>Tetap Deteksi</v>
      </c>
      <c r="N266" s="11">
        <v>46246</v>
      </c>
      <c r="O266" s="143">
        <v>87</v>
      </c>
      <c r="P266" s="9">
        <f t="array" ref="P266">IFERROR(O266/$G266*100,0)</f>
        <v>2.657299938912645</v>
      </c>
      <c r="Q266" s="143">
        <v>4</v>
      </c>
      <c r="R266" s="9">
        <f t="shared" si="46"/>
        <v>4.5977011494252871</v>
      </c>
      <c r="S266" s="8" t="str">
        <f t="array" ref="S266">IF(R266&gt;5,"Perlu Sensus",IF(AND(R266&gt;=0,O266&gt;0),"Tetap Deteksi","Belum Deteksi"))</f>
        <v>Tetap Deteksi</v>
      </c>
      <c r="T266" s="143">
        <v>6</v>
      </c>
      <c r="U266" s="9">
        <f t="shared" si="47"/>
        <v>6.8965517241379306</v>
      </c>
      <c r="V266" s="132">
        <v>46249</v>
      </c>
      <c r="W266" s="143">
        <v>292</v>
      </c>
      <c r="X266" s="143">
        <v>15</v>
      </c>
      <c r="Y266" s="9">
        <f t="shared" si="48"/>
        <v>5.1369863013698627</v>
      </c>
      <c r="Z266" s="8" t="str">
        <f t="array" ref="Z266">IF(Y266&gt;5,"Perlu Sensus",IF(AND(Y266&gt;=0,W266&gt;0),"Tetap Deteksi","Belum Deteksi"))</f>
        <v>Perlu Sensus</v>
      </c>
      <c r="AA266" s="143">
        <v>17</v>
      </c>
      <c r="AB266" s="9">
        <f t="shared" si="49"/>
        <v>5.8219178082191778</v>
      </c>
      <c r="AC266" s="11"/>
      <c r="AD266" s="143"/>
      <c r="AE266" s="9">
        <f t="array" ref="AE266">IFERROR(AD266/$G266*100,0)</f>
        <v>0</v>
      </c>
      <c r="AF266" s="143"/>
      <c r="AG266" s="9">
        <f t="shared" si="50"/>
        <v>0</v>
      </c>
      <c r="AH266" s="8" t="str">
        <f t="array" ref="AH266">IF(AG266&gt;5,"Perlu Sensus",IF(AND(AG266&gt;=0,AD266&gt;0),"Tetap Deteksi","Belum Deteksi"))</f>
        <v>Belum Deteksi</v>
      </c>
      <c r="AI266" s="143"/>
      <c r="AJ266" s="9">
        <f t="shared" si="51"/>
        <v>0</v>
      </c>
      <c r="AK266" s="11"/>
      <c r="AL266" s="143"/>
      <c r="AM266" s="143"/>
      <c r="AN266" s="9">
        <f t="shared" si="52"/>
        <v>0</v>
      </c>
      <c r="AO266" s="8" t="str">
        <f t="array" ref="AO266">IF(AN266&gt;5,"Perlu Sensus",IF(AND(AN266&gt;=0,AL266&gt;0),"Tetap Deteksi","Belum Deteksi"))</f>
        <v>Belum Deteksi</v>
      </c>
      <c r="AP266" s="143"/>
      <c r="AQ266" s="9">
        <f t="shared" si="53"/>
        <v>0</v>
      </c>
    </row>
    <row r="267" spans="1:43" outlineLevel="1" x14ac:dyDescent="0.15">
      <c r="A267" s="8" t="s">
        <v>1739</v>
      </c>
      <c r="B267" s="8" t="s">
        <v>14</v>
      </c>
      <c r="C267" s="8" t="s">
        <v>290</v>
      </c>
      <c r="D267" s="8" t="s">
        <v>1131</v>
      </c>
      <c r="E267" s="9">
        <v>25.24</v>
      </c>
      <c r="F267" s="8" t="s">
        <v>1740</v>
      </c>
      <c r="G267" s="10">
        <v>3307</v>
      </c>
      <c r="H267" s="11">
        <f t="array" ref="H267">IF(OR(N267&gt;0,AC267&gt;0),MAX(N267,AC267),MAX(AK267,V267))</f>
        <v>46246</v>
      </c>
      <c r="I267" s="143">
        <f t="array" ref="I267">IF(SUM(O267,AD267)&gt;0,SUM(O267,AD267),SUM(AL267,W267))</f>
        <v>62</v>
      </c>
      <c r="J267" s="9">
        <f t="shared" si="44"/>
        <v>1.8748110069549442</v>
      </c>
      <c r="K267" s="143">
        <f t="shared" si="54"/>
        <v>4</v>
      </c>
      <c r="L267" s="9">
        <f t="shared" si="45"/>
        <v>6.4516129032258061</v>
      </c>
      <c r="M267" s="8" t="str">
        <f t="array" ref="M267">IF(L267&gt;5,"Perlu Sensus",IF(AND(L267&gt;=0,I267&gt;0),"Tetap Deteksi","Belum Deteksi"))</f>
        <v>Perlu Sensus</v>
      </c>
      <c r="N267" s="11">
        <v>46246</v>
      </c>
      <c r="O267" s="143">
        <v>62</v>
      </c>
      <c r="P267" s="9">
        <f t="array" ref="P267">IFERROR(O267/$G267*100,0)</f>
        <v>1.8748110069549442</v>
      </c>
      <c r="Q267" s="143">
        <v>4</v>
      </c>
      <c r="R267" s="9">
        <f t="shared" si="46"/>
        <v>6.4516129032258061</v>
      </c>
      <c r="S267" s="8" t="str">
        <f t="array" ref="S267">IF(R267&gt;5,"Perlu Sensus",IF(AND(R267&gt;=0,O267&gt;0),"Tetap Deteksi","Belum Deteksi"))</f>
        <v>Perlu Sensus</v>
      </c>
      <c r="T267" s="143">
        <v>5</v>
      </c>
      <c r="U267" s="9">
        <f t="shared" si="47"/>
        <v>8.064516129032258</v>
      </c>
      <c r="V267" s="132">
        <v>46249</v>
      </c>
      <c r="W267" s="143">
        <v>441</v>
      </c>
      <c r="X267" s="143">
        <v>13</v>
      </c>
      <c r="Y267" s="9">
        <f t="shared" si="48"/>
        <v>2.947845804988662</v>
      </c>
      <c r="Z267" s="8" t="str">
        <f t="array" ref="Z267">IF(Y267&gt;5,"Perlu Sensus",IF(AND(Y267&gt;=0,W267&gt;0),"Tetap Deteksi","Belum Deteksi"))</f>
        <v>Tetap Deteksi</v>
      </c>
      <c r="AA267" s="143">
        <v>13</v>
      </c>
      <c r="AB267" s="9">
        <f t="shared" si="49"/>
        <v>2.947845804988662</v>
      </c>
      <c r="AC267" s="11"/>
      <c r="AD267" s="143"/>
      <c r="AE267" s="9">
        <f t="array" ref="AE267">IFERROR(AD267/$G267*100,0)</f>
        <v>0</v>
      </c>
      <c r="AF267" s="143"/>
      <c r="AG267" s="9">
        <f t="shared" si="50"/>
        <v>0</v>
      </c>
      <c r="AH267" s="8" t="str">
        <f t="array" ref="AH267">IF(AG267&gt;5,"Perlu Sensus",IF(AND(AG267&gt;=0,AD267&gt;0),"Tetap Deteksi","Belum Deteksi"))</f>
        <v>Belum Deteksi</v>
      </c>
      <c r="AI267" s="143"/>
      <c r="AJ267" s="9">
        <f t="shared" si="51"/>
        <v>0</v>
      </c>
      <c r="AK267" s="11"/>
      <c r="AL267" s="143"/>
      <c r="AM267" s="143"/>
      <c r="AN267" s="9">
        <f t="shared" si="52"/>
        <v>0</v>
      </c>
      <c r="AO267" s="8" t="str">
        <f t="array" ref="AO267">IF(AN267&gt;5,"Perlu Sensus",IF(AND(AN267&gt;=0,AL267&gt;0),"Tetap Deteksi","Belum Deteksi"))</f>
        <v>Belum Deteksi</v>
      </c>
      <c r="AP267" s="143"/>
      <c r="AQ267" s="9">
        <f t="shared" si="53"/>
        <v>0</v>
      </c>
    </row>
    <row r="268" spans="1:43" outlineLevel="1" x14ac:dyDescent="0.15">
      <c r="A268" s="8" t="s">
        <v>1739</v>
      </c>
      <c r="B268" s="8" t="s">
        <v>14</v>
      </c>
      <c r="C268" s="8" t="s">
        <v>290</v>
      </c>
      <c r="D268" s="8" t="s">
        <v>1132</v>
      </c>
      <c r="E268" s="9">
        <v>27.13</v>
      </c>
      <c r="F268" s="8" t="s">
        <v>1740</v>
      </c>
      <c r="G268" s="10">
        <v>3611</v>
      </c>
      <c r="H268" s="11">
        <f t="array" ref="H268">IF(OR(N268&gt;0,AC268&gt;0),MAX(N268,AC268),MAX(AK268,V268))</f>
        <v>46247</v>
      </c>
      <c r="I268" s="143">
        <f t="array" ref="I268">IF(SUM(O268,AD268)&gt;0,SUM(O268,AD268),SUM(AL268,W268))</f>
        <v>86</v>
      </c>
      <c r="J268" s="9">
        <f t="shared" si="44"/>
        <v>2.3816117418997509</v>
      </c>
      <c r="K268" s="143">
        <f t="shared" si="54"/>
        <v>3</v>
      </c>
      <c r="L268" s="9">
        <f t="shared" si="45"/>
        <v>3.4883720930232558</v>
      </c>
      <c r="M268" s="8" t="str">
        <f t="array" ref="M268">IF(L268&gt;5,"Perlu Sensus",IF(AND(L268&gt;=0,I268&gt;0),"Tetap Deteksi","Belum Deteksi"))</f>
        <v>Tetap Deteksi</v>
      </c>
      <c r="N268" s="11">
        <v>46247</v>
      </c>
      <c r="O268" s="143">
        <v>86</v>
      </c>
      <c r="P268" s="9">
        <f t="array" ref="P268">IFERROR(O268/$G268*100,0)</f>
        <v>2.3816117418997509</v>
      </c>
      <c r="Q268" s="143">
        <v>3</v>
      </c>
      <c r="R268" s="9">
        <f t="shared" si="46"/>
        <v>3.4883720930232558</v>
      </c>
      <c r="S268" s="8" t="str">
        <f t="array" ref="S268">IF(R268&gt;5,"Perlu Sensus",IF(AND(R268&gt;=0,O268&gt;0),"Tetap Deteksi","Belum Deteksi"))</f>
        <v>Tetap Deteksi</v>
      </c>
      <c r="T268" s="143">
        <v>6</v>
      </c>
      <c r="U268" s="9">
        <f t="shared" si="47"/>
        <v>6.9767441860465116</v>
      </c>
      <c r="V268" s="132">
        <v>46249</v>
      </c>
      <c r="W268" s="143">
        <v>290</v>
      </c>
      <c r="X268" s="143">
        <v>17</v>
      </c>
      <c r="Y268" s="9">
        <f t="shared" si="48"/>
        <v>5.8620689655172411</v>
      </c>
      <c r="Z268" s="8" t="str">
        <f t="array" ref="Z268">IF(Y268&gt;5,"Perlu Sensus",IF(AND(Y268&gt;=0,W268&gt;0),"Tetap Deteksi","Belum Deteksi"))</f>
        <v>Perlu Sensus</v>
      </c>
      <c r="AA268" s="143">
        <v>21</v>
      </c>
      <c r="AB268" s="9">
        <f t="shared" si="49"/>
        <v>7.2413793103448283</v>
      </c>
      <c r="AC268" s="11"/>
      <c r="AD268" s="143"/>
      <c r="AE268" s="9">
        <f t="array" ref="AE268">IFERROR(AD268/$G268*100,0)</f>
        <v>0</v>
      </c>
      <c r="AF268" s="143"/>
      <c r="AG268" s="9">
        <f t="shared" si="50"/>
        <v>0</v>
      </c>
      <c r="AH268" s="8" t="str">
        <f t="array" ref="AH268">IF(AG268&gt;5,"Perlu Sensus",IF(AND(AG268&gt;=0,AD268&gt;0),"Tetap Deteksi","Belum Deteksi"))</f>
        <v>Belum Deteksi</v>
      </c>
      <c r="AI268" s="143"/>
      <c r="AJ268" s="9">
        <f t="shared" si="51"/>
        <v>0</v>
      </c>
      <c r="AK268" s="11"/>
      <c r="AL268" s="143"/>
      <c r="AM268" s="143"/>
      <c r="AN268" s="9">
        <f t="shared" si="52"/>
        <v>0</v>
      </c>
      <c r="AO268" s="8" t="str">
        <f t="array" ref="AO268">IF(AN268&gt;5,"Perlu Sensus",IF(AND(AN268&gt;=0,AL268&gt;0),"Tetap Deteksi","Belum Deteksi"))</f>
        <v>Belum Deteksi</v>
      </c>
      <c r="AP268" s="143"/>
      <c r="AQ268" s="9">
        <f t="shared" si="53"/>
        <v>0</v>
      </c>
    </row>
    <row r="269" spans="1:43" outlineLevel="1" x14ac:dyDescent="0.15">
      <c r="A269" s="8" t="s">
        <v>1739</v>
      </c>
      <c r="B269" s="8" t="s">
        <v>14</v>
      </c>
      <c r="C269" s="8" t="s">
        <v>290</v>
      </c>
      <c r="D269" s="8" t="s">
        <v>1133</v>
      </c>
      <c r="E269" s="9">
        <v>24.3</v>
      </c>
      <c r="F269" s="8" t="s">
        <v>1740</v>
      </c>
      <c r="G269" s="10">
        <v>3358</v>
      </c>
      <c r="H269" s="11">
        <f t="array" ref="H269">IF(OR(N269&gt;0,AC269&gt;0),MAX(N269,AC269),MAX(AK269,V269))</f>
        <v>46247</v>
      </c>
      <c r="I269" s="143">
        <f t="array" ref="I269">IF(SUM(O269,AD269)&gt;0,SUM(O269,AD269),SUM(AL269,W269))</f>
        <v>85</v>
      </c>
      <c r="J269" s="9">
        <f t="shared" si="44"/>
        <v>2.5312686122692081</v>
      </c>
      <c r="K269" s="143">
        <f t="shared" si="54"/>
        <v>3</v>
      </c>
      <c r="L269" s="9">
        <f t="shared" si="45"/>
        <v>3.5294117647058822</v>
      </c>
      <c r="M269" s="8" t="str">
        <f t="array" ref="M269">IF(L269&gt;5,"Perlu Sensus",IF(AND(L269&gt;=0,I269&gt;0),"Tetap Deteksi","Belum Deteksi"))</f>
        <v>Tetap Deteksi</v>
      </c>
      <c r="N269" s="11">
        <v>46247</v>
      </c>
      <c r="O269" s="143">
        <v>85</v>
      </c>
      <c r="P269" s="9">
        <f t="array" ref="P269">IFERROR(O269/$G269*100,0)</f>
        <v>2.5312686122692081</v>
      </c>
      <c r="Q269" s="143">
        <v>3</v>
      </c>
      <c r="R269" s="9">
        <f t="shared" si="46"/>
        <v>3.5294117647058822</v>
      </c>
      <c r="S269" s="8" t="str">
        <f t="array" ref="S269">IF(R269&gt;5,"Perlu Sensus",IF(AND(R269&gt;=0,O269&gt;0),"Tetap Deteksi","Belum Deteksi"))</f>
        <v>Tetap Deteksi</v>
      </c>
      <c r="T269" s="143">
        <v>6</v>
      </c>
      <c r="U269" s="9">
        <f t="shared" si="47"/>
        <v>7.0588235294117645</v>
      </c>
      <c r="V269" s="132">
        <v>46249</v>
      </c>
      <c r="W269" s="143">
        <v>248</v>
      </c>
      <c r="X269" s="143">
        <v>12</v>
      </c>
      <c r="Y269" s="9">
        <f t="shared" si="48"/>
        <v>4.838709677419355</v>
      </c>
      <c r="Z269" s="8" t="str">
        <f t="array" ref="Z269">IF(Y269&gt;5,"Perlu Sensus",IF(AND(Y269&gt;=0,W269&gt;0),"Tetap Deteksi","Belum Deteksi"))</f>
        <v>Tetap Deteksi</v>
      </c>
      <c r="AA269" s="143">
        <v>17</v>
      </c>
      <c r="AB269" s="9">
        <f t="shared" si="49"/>
        <v>6.854838709677419</v>
      </c>
      <c r="AC269" s="11"/>
      <c r="AD269" s="143"/>
      <c r="AE269" s="9">
        <f t="array" ref="AE269">IFERROR(AD269/$G269*100,0)</f>
        <v>0</v>
      </c>
      <c r="AF269" s="143"/>
      <c r="AG269" s="9">
        <f t="shared" si="50"/>
        <v>0</v>
      </c>
      <c r="AH269" s="8" t="str">
        <f t="array" ref="AH269">IF(AG269&gt;5,"Perlu Sensus",IF(AND(AG269&gt;=0,AD269&gt;0),"Tetap Deteksi","Belum Deteksi"))</f>
        <v>Belum Deteksi</v>
      </c>
      <c r="AI269" s="143"/>
      <c r="AJ269" s="9">
        <f t="shared" si="51"/>
        <v>0</v>
      </c>
      <c r="AK269" s="11"/>
      <c r="AL269" s="143"/>
      <c r="AM269" s="143"/>
      <c r="AN269" s="9">
        <f t="shared" si="52"/>
        <v>0</v>
      </c>
      <c r="AO269" s="8" t="str">
        <f t="array" ref="AO269">IF(AN269&gt;5,"Perlu Sensus",IF(AND(AN269&gt;=0,AL269&gt;0),"Tetap Deteksi","Belum Deteksi"))</f>
        <v>Belum Deteksi</v>
      </c>
      <c r="AP269" s="143"/>
      <c r="AQ269" s="9">
        <f t="shared" si="53"/>
        <v>0</v>
      </c>
    </row>
    <row r="270" spans="1:43" outlineLevel="1" x14ac:dyDescent="0.15">
      <c r="A270" s="8" t="s">
        <v>1739</v>
      </c>
      <c r="B270" s="8" t="s">
        <v>14</v>
      </c>
      <c r="C270" s="8" t="s">
        <v>290</v>
      </c>
      <c r="D270" s="8" t="s">
        <v>1134</v>
      </c>
      <c r="E270" s="9">
        <v>27.94</v>
      </c>
      <c r="F270" s="8" t="s">
        <v>1740</v>
      </c>
      <c r="G270" s="10">
        <v>3795</v>
      </c>
      <c r="H270" s="11">
        <f t="array" ref="H270">IF(OR(N270&gt;0,AC270&gt;0),MAX(N270,AC270),MAX(AK270,V270))</f>
        <v>46248</v>
      </c>
      <c r="I270" s="143">
        <f t="array" ref="I270">IF(SUM(O270,AD270)&gt;0,SUM(O270,AD270),SUM(AL270,W270))</f>
        <v>96</v>
      </c>
      <c r="J270" s="9">
        <f t="shared" si="44"/>
        <v>2.5296442687747036</v>
      </c>
      <c r="K270" s="143">
        <f t="shared" si="54"/>
        <v>2</v>
      </c>
      <c r="L270" s="9">
        <f t="shared" si="45"/>
        <v>2.083333333333333</v>
      </c>
      <c r="M270" s="8" t="str">
        <f t="array" ref="M270">IF(L270&gt;5,"Perlu Sensus",IF(AND(L270&gt;=0,I270&gt;0),"Tetap Deteksi","Belum Deteksi"))</f>
        <v>Tetap Deteksi</v>
      </c>
      <c r="N270" s="11">
        <v>46248</v>
      </c>
      <c r="O270" s="143">
        <v>96</v>
      </c>
      <c r="P270" s="9">
        <f t="array" ref="P270">IFERROR(O270/$G270*100,0)</f>
        <v>2.5296442687747036</v>
      </c>
      <c r="Q270" s="143">
        <v>2</v>
      </c>
      <c r="R270" s="9">
        <f t="shared" si="46"/>
        <v>2.083333333333333</v>
      </c>
      <c r="S270" s="8" t="str">
        <f t="array" ref="S270">IF(R270&gt;5,"Perlu Sensus",IF(AND(R270&gt;=0,O270&gt;0),"Tetap Deteksi","Belum Deteksi"))</f>
        <v>Tetap Deteksi</v>
      </c>
      <c r="T270" s="143">
        <v>4</v>
      </c>
      <c r="U270" s="9">
        <f t="shared" si="47"/>
        <v>4.1666666666666661</v>
      </c>
      <c r="V270" s="132">
        <v>46249</v>
      </c>
      <c r="W270" s="143">
        <v>339</v>
      </c>
      <c r="X270" s="143">
        <v>12</v>
      </c>
      <c r="Y270" s="9">
        <f t="shared" si="48"/>
        <v>3.5398230088495577</v>
      </c>
      <c r="Z270" s="8" t="str">
        <f t="array" ref="Z270">IF(Y270&gt;5,"Perlu Sensus",IF(AND(Y270&gt;=0,W270&gt;0),"Tetap Deteksi","Belum Deteksi"))</f>
        <v>Tetap Deteksi</v>
      </c>
      <c r="AA270" s="143">
        <v>19</v>
      </c>
      <c r="AB270" s="9">
        <f t="shared" si="49"/>
        <v>5.6047197640117989</v>
      </c>
      <c r="AC270" s="11"/>
      <c r="AD270" s="143"/>
      <c r="AE270" s="9">
        <f t="array" ref="AE270">IFERROR(AD270/$G270*100,0)</f>
        <v>0</v>
      </c>
      <c r="AF270" s="143"/>
      <c r="AG270" s="9">
        <f t="shared" si="50"/>
        <v>0</v>
      </c>
      <c r="AH270" s="8" t="str">
        <f t="array" ref="AH270">IF(AG270&gt;5,"Perlu Sensus",IF(AND(AG270&gt;=0,AD270&gt;0),"Tetap Deteksi","Belum Deteksi"))</f>
        <v>Belum Deteksi</v>
      </c>
      <c r="AI270" s="143"/>
      <c r="AJ270" s="9">
        <f t="shared" si="51"/>
        <v>0</v>
      </c>
      <c r="AK270" s="11"/>
      <c r="AL270" s="143"/>
      <c r="AM270" s="143"/>
      <c r="AN270" s="9">
        <f t="shared" si="52"/>
        <v>0</v>
      </c>
      <c r="AO270" s="8" t="str">
        <f t="array" ref="AO270">IF(AN270&gt;5,"Perlu Sensus",IF(AND(AN270&gt;=0,AL270&gt;0),"Tetap Deteksi","Belum Deteksi"))</f>
        <v>Belum Deteksi</v>
      </c>
      <c r="AP270" s="143"/>
      <c r="AQ270" s="9">
        <f t="shared" si="53"/>
        <v>0</v>
      </c>
    </row>
    <row r="271" spans="1:43" outlineLevel="1" x14ac:dyDescent="0.15">
      <c r="A271" s="8" t="s">
        <v>1739</v>
      </c>
      <c r="B271" s="8" t="s">
        <v>14</v>
      </c>
      <c r="C271" s="8" t="s">
        <v>290</v>
      </c>
      <c r="D271" s="8" t="s">
        <v>1135</v>
      </c>
      <c r="E271" s="9">
        <v>28.88</v>
      </c>
      <c r="F271" s="8" t="s">
        <v>1740</v>
      </c>
      <c r="G271" s="10">
        <v>3826</v>
      </c>
      <c r="H271" s="11">
        <f t="array" ref="H271">IF(OR(N271&gt;0,AC271&gt;0),MAX(N271,AC271),MAX(AK271,V271))</f>
        <v>46248</v>
      </c>
      <c r="I271" s="143">
        <f t="array" ref="I271">IF(SUM(O271,AD271)&gt;0,SUM(O271,AD271),SUM(AL271,W271))</f>
        <v>76</v>
      </c>
      <c r="J271" s="9">
        <f t="shared" si="44"/>
        <v>1.9864087820177729</v>
      </c>
      <c r="K271" s="143">
        <f t="shared" si="54"/>
        <v>2</v>
      </c>
      <c r="L271" s="9">
        <f t="shared" si="45"/>
        <v>2.6315789473684208</v>
      </c>
      <c r="M271" s="8" t="str">
        <f t="array" ref="M271">IF(L271&gt;5,"Perlu Sensus",IF(AND(L271&gt;=0,I271&gt;0),"Tetap Deteksi","Belum Deteksi"))</f>
        <v>Tetap Deteksi</v>
      </c>
      <c r="N271" s="11">
        <v>46248</v>
      </c>
      <c r="O271" s="143">
        <v>76</v>
      </c>
      <c r="P271" s="9">
        <f t="array" ref="P271">IFERROR(O271/$G271*100,0)</f>
        <v>1.9864087820177729</v>
      </c>
      <c r="Q271" s="143">
        <v>2</v>
      </c>
      <c r="R271" s="9">
        <f t="shared" si="46"/>
        <v>2.6315789473684208</v>
      </c>
      <c r="S271" s="8" t="str">
        <f t="array" ref="S271">IF(R271&gt;5,"Perlu Sensus",IF(AND(R271&gt;=0,O271&gt;0),"Tetap Deteksi","Belum Deteksi"))</f>
        <v>Tetap Deteksi</v>
      </c>
      <c r="T271" s="143">
        <v>4</v>
      </c>
      <c r="U271" s="9">
        <f t="shared" si="47"/>
        <v>5.2631578947368416</v>
      </c>
      <c r="V271" s="132">
        <v>46249</v>
      </c>
      <c r="W271" s="143">
        <v>449</v>
      </c>
      <c r="X271" s="143">
        <v>15</v>
      </c>
      <c r="Y271" s="9">
        <f t="shared" si="48"/>
        <v>3.3407572383073498</v>
      </c>
      <c r="Z271" s="8" t="str">
        <f t="array" ref="Z271">IF(Y271&gt;5,"Perlu Sensus",IF(AND(Y271&gt;=0,W271&gt;0),"Tetap Deteksi","Belum Deteksi"))</f>
        <v>Tetap Deteksi</v>
      </c>
      <c r="AA271" s="143">
        <v>26</v>
      </c>
      <c r="AB271" s="9">
        <f t="shared" si="49"/>
        <v>5.7906458797327396</v>
      </c>
      <c r="AC271" s="11"/>
      <c r="AD271" s="143"/>
      <c r="AE271" s="9">
        <f t="array" ref="AE271">IFERROR(AD271/$G271*100,0)</f>
        <v>0</v>
      </c>
      <c r="AF271" s="143"/>
      <c r="AG271" s="9">
        <f t="shared" si="50"/>
        <v>0</v>
      </c>
      <c r="AH271" s="8" t="str">
        <f t="array" ref="AH271">IF(AG271&gt;5,"Perlu Sensus",IF(AND(AG271&gt;=0,AD271&gt;0),"Tetap Deteksi","Belum Deteksi"))</f>
        <v>Belum Deteksi</v>
      </c>
      <c r="AI271" s="143"/>
      <c r="AJ271" s="9">
        <f t="shared" si="51"/>
        <v>0</v>
      </c>
      <c r="AK271" s="11"/>
      <c r="AL271" s="143"/>
      <c r="AM271" s="143"/>
      <c r="AN271" s="9">
        <f t="shared" si="52"/>
        <v>0</v>
      </c>
      <c r="AO271" s="8" t="str">
        <f t="array" ref="AO271">IF(AN271&gt;5,"Perlu Sensus",IF(AND(AN271&gt;=0,AL271&gt;0),"Tetap Deteksi","Belum Deteksi"))</f>
        <v>Belum Deteksi</v>
      </c>
      <c r="AP271" s="143"/>
      <c r="AQ271" s="9">
        <f t="shared" si="53"/>
        <v>0</v>
      </c>
    </row>
    <row r="272" spans="1:43" outlineLevel="1" x14ac:dyDescent="0.15">
      <c r="A272" s="8" t="s">
        <v>1739</v>
      </c>
      <c r="B272" s="8" t="s">
        <v>14</v>
      </c>
      <c r="C272" s="8" t="s">
        <v>290</v>
      </c>
      <c r="D272" s="8" t="s">
        <v>1136</v>
      </c>
      <c r="E272" s="9">
        <v>28.5</v>
      </c>
      <c r="F272" s="8" t="s">
        <v>1740</v>
      </c>
      <c r="G272" s="10">
        <v>3797</v>
      </c>
      <c r="H272" s="11">
        <f t="array" ref="H272">IF(OR(N272&gt;0,AC272&gt;0),MAX(N272,AC272),MAX(AK272,V272))</f>
        <v>46249</v>
      </c>
      <c r="I272" s="143">
        <f t="array" ref="I272">IF(SUM(O272,AD272)&gt;0,SUM(O272,AD272),SUM(AL272,W272))</f>
        <v>95</v>
      </c>
      <c r="J272" s="9">
        <f t="shared" si="44"/>
        <v>2.5019752436133791</v>
      </c>
      <c r="K272" s="143">
        <f t="shared" si="54"/>
        <v>2</v>
      </c>
      <c r="L272" s="9">
        <f t="shared" si="45"/>
        <v>2.1052631578947367</v>
      </c>
      <c r="M272" s="8" t="str">
        <f t="array" ref="M272">IF(L272&gt;5,"Perlu Sensus",IF(AND(L272&gt;=0,I272&gt;0),"Tetap Deteksi","Belum Deteksi"))</f>
        <v>Tetap Deteksi</v>
      </c>
      <c r="N272" s="11">
        <v>46249</v>
      </c>
      <c r="O272" s="143">
        <v>95</v>
      </c>
      <c r="P272" s="9">
        <f t="array" ref="P272">IFERROR(O272/$G272*100,0)</f>
        <v>2.5019752436133791</v>
      </c>
      <c r="Q272" s="143">
        <v>2</v>
      </c>
      <c r="R272" s="9">
        <f t="shared" si="46"/>
        <v>2.1052631578947367</v>
      </c>
      <c r="S272" s="8" t="str">
        <f t="array" ref="S272">IF(R272&gt;5,"Perlu Sensus",IF(AND(R272&gt;=0,O272&gt;0),"Tetap Deteksi","Belum Deteksi"))</f>
        <v>Tetap Deteksi</v>
      </c>
      <c r="T272" s="143">
        <v>4</v>
      </c>
      <c r="U272" s="9">
        <f t="shared" si="47"/>
        <v>4.2105263157894735</v>
      </c>
      <c r="V272" s="132">
        <v>46249</v>
      </c>
      <c r="W272" s="143">
        <v>279</v>
      </c>
      <c r="X272" s="143">
        <v>26</v>
      </c>
      <c r="Y272" s="9">
        <f t="shared" si="48"/>
        <v>9.3189964157706093</v>
      </c>
      <c r="Z272" s="8" t="str">
        <f t="array" ref="Z272">IF(Y272&gt;5,"Perlu Sensus",IF(AND(Y272&gt;=0,W272&gt;0),"Tetap Deteksi","Belum Deteksi"))</f>
        <v>Perlu Sensus</v>
      </c>
      <c r="AA272" s="143">
        <v>20</v>
      </c>
      <c r="AB272" s="9">
        <f t="shared" si="49"/>
        <v>7.1684587813620064</v>
      </c>
      <c r="AC272" s="11"/>
      <c r="AD272" s="143"/>
      <c r="AE272" s="9">
        <f t="array" ref="AE272">IFERROR(AD272/$G272*100,0)</f>
        <v>0</v>
      </c>
      <c r="AF272" s="143"/>
      <c r="AG272" s="9">
        <f t="shared" si="50"/>
        <v>0</v>
      </c>
      <c r="AH272" s="8" t="str">
        <f t="array" ref="AH272">IF(AG272&gt;5,"Perlu Sensus",IF(AND(AG272&gt;=0,AD272&gt;0),"Tetap Deteksi","Belum Deteksi"))</f>
        <v>Belum Deteksi</v>
      </c>
      <c r="AI272" s="143"/>
      <c r="AJ272" s="9">
        <f t="shared" si="51"/>
        <v>0</v>
      </c>
      <c r="AK272" s="11"/>
      <c r="AL272" s="143"/>
      <c r="AM272" s="143"/>
      <c r="AN272" s="9">
        <f t="shared" si="52"/>
        <v>0</v>
      </c>
      <c r="AO272" s="8" t="str">
        <f t="array" ref="AO272">IF(AN272&gt;5,"Perlu Sensus",IF(AND(AN272&gt;=0,AL272&gt;0),"Tetap Deteksi","Belum Deteksi"))</f>
        <v>Belum Deteksi</v>
      </c>
      <c r="AP272" s="143"/>
      <c r="AQ272" s="9">
        <f t="shared" si="53"/>
        <v>0</v>
      </c>
    </row>
    <row r="273" spans="1:43" outlineLevel="1" x14ac:dyDescent="0.15">
      <c r="A273" s="8" t="s">
        <v>1739</v>
      </c>
      <c r="B273" s="8" t="s">
        <v>14</v>
      </c>
      <c r="C273" s="8" t="s">
        <v>290</v>
      </c>
      <c r="D273" s="8" t="s">
        <v>1137</v>
      </c>
      <c r="E273" s="9">
        <v>0</v>
      </c>
      <c r="F273" s="8" t="s">
        <v>1740</v>
      </c>
      <c r="G273" s="10">
        <v>0</v>
      </c>
      <c r="H273" s="11">
        <f t="array" ref="H273">IF(OR(N273&gt;0,AC273&gt;0),MAX(N273,AC273),MAX(AK273,V273))</f>
        <v>0</v>
      </c>
      <c r="I273" s="143">
        <f t="array" ref="I273">IF(SUM(O273,AD273)&gt;0,SUM(O273,AD273),SUM(AL273,W273))</f>
        <v>0</v>
      </c>
      <c r="J273" s="9" t="str">
        <f t="shared" si="44"/>
        <v xml:space="preserve"> </v>
      </c>
      <c r="K273" s="143">
        <f t="shared" si="54"/>
        <v>0</v>
      </c>
      <c r="L273" s="9">
        <f t="shared" si="45"/>
        <v>0</v>
      </c>
      <c r="M273" s="8" t="str">
        <f t="array" ref="M273">IF(L273&gt;5,"Perlu Sensus",IF(AND(L273&gt;=0,I273&gt;0),"Tetap Deteksi","Belum Deteksi"))</f>
        <v>Belum Deteksi</v>
      </c>
      <c r="N273" s="11"/>
      <c r="O273" s="143">
        <v>0</v>
      </c>
      <c r="P273" s="9">
        <f t="array" ref="P273">IFERROR(O273/$G273*100,0)</f>
        <v>0</v>
      </c>
      <c r="Q273" s="143">
        <v>0</v>
      </c>
      <c r="R273" s="9">
        <f t="shared" si="46"/>
        <v>0</v>
      </c>
      <c r="S273" s="8" t="str">
        <f t="array" ref="S273">IF(R273&gt;5,"Perlu Sensus",IF(AND(R273&gt;=0,O273&gt;0),"Tetap Deteksi","Belum Deteksi"))</f>
        <v>Belum Deteksi</v>
      </c>
      <c r="T273" s="143">
        <v>0</v>
      </c>
      <c r="U273" s="9">
        <f t="shared" si="47"/>
        <v>0</v>
      </c>
      <c r="V273" s="11"/>
      <c r="W273" s="143">
        <v>0</v>
      </c>
      <c r="X273" s="143">
        <v>0</v>
      </c>
      <c r="Y273" s="9">
        <f t="shared" si="48"/>
        <v>0</v>
      </c>
      <c r="Z273" s="8" t="str">
        <f t="array" ref="Z273">IF(Y273&gt;5,"Perlu Sensus",IF(AND(Y273&gt;=0,W273&gt;0),"Tetap Deteksi","Belum Deteksi"))</f>
        <v>Belum Deteksi</v>
      </c>
      <c r="AA273" s="143">
        <v>0</v>
      </c>
      <c r="AB273" s="9">
        <f t="shared" si="49"/>
        <v>0</v>
      </c>
      <c r="AC273" s="11"/>
      <c r="AD273" s="143"/>
      <c r="AE273" s="9">
        <f t="array" ref="AE273">IFERROR(AD273/$G273*100,0)</f>
        <v>0</v>
      </c>
      <c r="AF273" s="143"/>
      <c r="AG273" s="9">
        <f t="shared" si="50"/>
        <v>0</v>
      </c>
      <c r="AH273" s="8" t="str">
        <f t="array" ref="AH273">IF(AG273&gt;5,"Perlu Sensus",IF(AND(AG273&gt;=0,AD273&gt;0),"Tetap Deteksi","Belum Deteksi"))</f>
        <v>Belum Deteksi</v>
      </c>
      <c r="AI273" s="143"/>
      <c r="AJ273" s="9">
        <f t="shared" si="51"/>
        <v>0</v>
      </c>
      <c r="AK273" s="11"/>
      <c r="AL273" s="143"/>
      <c r="AM273" s="143"/>
      <c r="AN273" s="9">
        <f t="shared" si="52"/>
        <v>0</v>
      </c>
      <c r="AO273" s="8" t="str">
        <f t="array" ref="AO273">IF(AN273&gt;5,"Perlu Sensus",IF(AND(AN273&gt;=0,AL273&gt;0),"Tetap Deteksi","Belum Deteksi"))</f>
        <v>Belum Deteksi</v>
      </c>
      <c r="AP273" s="143"/>
      <c r="AQ273" s="9">
        <f t="shared" si="53"/>
        <v>0</v>
      </c>
    </row>
    <row r="274" spans="1:43" outlineLevel="1" x14ac:dyDescent="0.15">
      <c r="A274" s="8" t="s">
        <v>1739</v>
      </c>
      <c r="B274" s="8" t="s">
        <v>14</v>
      </c>
      <c r="C274" s="8" t="s">
        <v>290</v>
      </c>
      <c r="D274" s="8" t="s">
        <v>1138</v>
      </c>
      <c r="E274" s="9">
        <v>21.8</v>
      </c>
      <c r="F274" s="8" t="s">
        <v>1740</v>
      </c>
      <c r="G274" s="10">
        <v>2966</v>
      </c>
      <c r="H274" s="11">
        <f t="array" ref="H274">IF(OR(N274&gt;0,AC274&gt;0),MAX(N274,AC274),MAX(AK274,V274))</f>
        <v>46249</v>
      </c>
      <c r="I274" s="143">
        <f t="array" ref="I274">IF(SUM(O274,AD274)&gt;0,SUM(O274,AD274),SUM(AL274,W274))</f>
        <v>85</v>
      </c>
      <c r="J274" s="9">
        <f t="shared" si="44"/>
        <v>2.8658125421443024</v>
      </c>
      <c r="K274" s="143">
        <f t="shared" si="54"/>
        <v>2</v>
      </c>
      <c r="L274" s="9">
        <f t="shared" si="45"/>
        <v>2.3529411764705883</v>
      </c>
      <c r="M274" s="8" t="str">
        <f t="array" ref="M274">IF(L274&gt;5,"Perlu Sensus",IF(AND(L274&gt;=0,I274&gt;0),"Tetap Deteksi","Belum Deteksi"))</f>
        <v>Tetap Deteksi</v>
      </c>
      <c r="N274" s="11">
        <v>46249</v>
      </c>
      <c r="O274" s="143">
        <v>85</v>
      </c>
      <c r="P274" s="9">
        <f t="array" ref="P274">IFERROR(O274/$G274*100,0)</f>
        <v>2.8658125421443024</v>
      </c>
      <c r="Q274" s="143">
        <v>2</v>
      </c>
      <c r="R274" s="9">
        <f t="shared" si="46"/>
        <v>2.3529411764705883</v>
      </c>
      <c r="S274" s="8" t="str">
        <f t="array" ref="S274">IF(R274&gt;5,"Perlu Sensus",IF(AND(R274&gt;=0,O274&gt;0),"Tetap Deteksi","Belum Deteksi"))</f>
        <v>Tetap Deteksi</v>
      </c>
      <c r="T274" s="143">
        <v>5</v>
      </c>
      <c r="U274" s="9">
        <f t="shared" si="47"/>
        <v>5.8823529411764701</v>
      </c>
      <c r="V274" s="132">
        <v>46249</v>
      </c>
      <c r="W274" s="143">
        <v>325</v>
      </c>
      <c r="X274" s="143">
        <v>11</v>
      </c>
      <c r="Y274" s="9">
        <f t="shared" si="48"/>
        <v>3.3846153846153846</v>
      </c>
      <c r="Z274" s="8" t="str">
        <f t="array" ref="Z274">IF(Y274&gt;5,"Perlu Sensus",IF(AND(Y274&gt;=0,W274&gt;0),"Tetap Deteksi","Belum Deteksi"))</f>
        <v>Tetap Deteksi</v>
      </c>
      <c r="AA274" s="143">
        <v>27</v>
      </c>
      <c r="AB274" s="9">
        <f t="shared" si="49"/>
        <v>8.3076923076923084</v>
      </c>
      <c r="AC274" s="11"/>
      <c r="AD274" s="143"/>
      <c r="AE274" s="9">
        <f t="array" ref="AE274">IFERROR(AD274/$G274*100,0)</f>
        <v>0</v>
      </c>
      <c r="AF274" s="143"/>
      <c r="AG274" s="9">
        <f t="shared" si="50"/>
        <v>0</v>
      </c>
      <c r="AH274" s="8" t="str">
        <f t="array" ref="AH274">IF(AG274&gt;5,"Perlu Sensus",IF(AND(AG274&gt;=0,AD274&gt;0),"Tetap Deteksi","Belum Deteksi"))</f>
        <v>Belum Deteksi</v>
      </c>
      <c r="AI274" s="143"/>
      <c r="AJ274" s="9">
        <f t="shared" si="51"/>
        <v>0</v>
      </c>
      <c r="AK274" s="11"/>
      <c r="AL274" s="143"/>
      <c r="AM274" s="143"/>
      <c r="AN274" s="9">
        <f t="shared" si="52"/>
        <v>0</v>
      </c>
      <c r="AO274" s="8" t="str">
        <f t="array" ref="AO274">IF(AN274&gt;5,"Perlu Sensus",IF(AND(AN274&gt;=0,AL274&gt;0),"Tetap Deteksi","Belum Deteksi"))</f>
        <v>Belum Deteksi</v>
      </c>
      <c r="AP274" s="143"/>
      <c r="AQ274" s="9">
        <f t="shared" si="53"/>
        <v>0</v>
      </c>
    </row>
    <row r="275" spans="1:43" outlineLevel="1" x14ac:dyDescent="0.15">
      <c r="A275" s="8" t="s">
        <v>1739</v>
      </c>
      <c r="B275" s="8" t="s">
        <v>14</v>
      </c>
      <c r="C275" s="8" t="s">
        <v>290</v>
      </c>
      <c r="D275" s="8" t="s">
        <v>1139</v>
      </c>
      <c r="E275" s="9">
        <v>37.770000000000003</v>
      </c>
      <c r="F275" s="8" t="s">
        <v>1740</v>
      </c>
      <c r="G275" s="10">
        <v>5033</v>
      </c>
      <c r="H275" s="11">
        <f t="array" ref="H275">IF(OR(N275&gt;0,AC275&gt;0),MAX(N275,AC275),MAX(AK275,V275))</f>
        <v>46249</v>
      </c>
      <c r="I275" s="143">
        <f t="array" ref="I275">IF(SUM(O275,AD275)&gt;0,SUM(O275,AD275),SUM(AL275,W275))</f>
        <v>86</v>
      </c>
      <c r="J275" s="9">
        <f t="shared" si="44"/>
        <v>1.7087224319491359</v>
      </c>
      <c r="K275" s="143">
        <f t="shared" si="54"/>
        <v>4</v>
      </c>
      <c r="L275" s="9">
        <f t="shared" si="45"/>
        <v>4.6511627906976747</v>
      </c>
      <c r="M275" s="8" t="str">
        <f t="array" ref="M275">IF(L275&gt;5,"Perlu Sensus",IF(AND(L275&gt;=0,I275&gt;0),"Tetap Deteksi","Belum Deteksi"))</f>
        <v>Tetap Deteksi</v>
      </c>
      <c r="N275" s="11"/>
      <c r="O275" s="143">
        <v>86</v>
      </c>
      <c r="P275" s="9">
        <f t="array" ref="P275">IFERROR(O275/$G275*100,0)</f>
        <v>1.7087224319491359</v>
      </c>
      <c r="Q275" s="143">
        <v>4</v>
      </c>
      <c r="R275" s="9">
        <f t="shared" si="46"/>
        <v>4.6511627906976747</v>
      </c>
      <c r="S275" s="8" t="str">
        <f t="array" ref="S275">IF(R275&gt;5,"Perlu Sensus",IF(AND(R275&gt;=0,O275&gt;0),"Tetap Deteksi","Belum Deteksi"))</f>
        <v>Tetap Deteksi</v>
      </c>
      <c r="T275" s="143">
        <v>5</v>
      </c>
      <c r="U275" s="9">
        <f t="shared" si="47"/>
        <v>5.8139534883720927</v>
      </c>
      <c r="V275" s="132">
        <v>46249</v>
      </c>
      <c r="W275" s="143">
        <v>279</v>
      </c>
      <c r="X275" s="143">
        <v>16</v>
      </c>
      <c r="Y275" s="9">
        <f t="shared" si="48"/>
        <v>5.7347670250896057</v>
      </c>
      <c r="Z275" s="8" t="str">
        <f t="array" ref="Z275">IF(Y275&gt;5,"Perlu Sensus",IF(AND(Y275&gt;=0,W275&gt;0),"Tetap Deteksi","Belum Deteksi"))</f>
        <v>Perlu Sensus</v>
      </c>
      <c r="AA275" s="143">
        <v>25</v>
      </c>
      <c r="AB275" s="9">
        <f t="shared" si="49"/>
        <v>8.9605734767025087</v>
      </c>
      <c r="AC275" s="11"/>
      <c r="AD275" s="143"/>
      <c r="AE275" s="9">
        <f t="array" ref="AE275">IFERROR(AD275/$G275*100,0)</f>
        <v>0</v>
      </c>
      <c r="AF275" s="143"/>
      <c r="AG275" s="9">
        <f t="shared" si="50"/>
        <v>0</v>
      </c>
      <c r="AH275" s="8" t="str">
        <f t="array" ref="AH275">IF(AG275&gt;5,"Perlu Sensus",IF(AND(AG275&gt;=0,AD275&gt;0),"Tetap Deteksi","Belum Deteksi"))</f>
        <v>Belum Deteksi</v>
      </c>
      <c r="AI275" s="143"/>
      <c r="AJ275" s="9">
        <f t="shared" si="51"/>
        <v>0</v>
      </c>
      <c r="AK275" s="11"/>
      <c r="AL275" s="143"/>
      <c r="AM275" s="143"/>
      <c r="AN275" s="9">
        <f t="shared" si="52"/>
        <v>0</v>
      </c>
      <c r="AO275" s="8" t="str">
        <f t="array" ref="AO275">IF(AN275&gt;5,"Perlu Sensus",IF(AND(AN275&gt;=0,AL275&gt;0),"Tetap Deteksi","Belum Deteksi"))</f>
        <v>Belum Deteksi</v>
      </c>
      <c r="AP275" s="143"/>
      <c r="AQ275" s="9">
        <f t="shared" si="53"/>
        <v>0</v>
      </c>
    </row>
    <row r="276" spans="1:43" outlineLevel="1" x14ac:dyDescent="0.15">
      <c r="A276" s="8" t="s">
        <v>1739</v>
      </c>
      <c r="B276" s="8" t="s">
        <v>14</v>
      </c>
      <c r="C276" s="8" t="s">
        <v>290</v>
      </c>
      <c r="D276" s="8" t="s">
        <v>1140</v>
      </c>
      <c r="E276" s="9">
        <v>25.59</v>
      </c>
      <c r="F276" s="8" t="s">
        <v>1740</v>
      </c>
      <c r="G276" s="10">
        <v>3459</v>
      </c>
      <c r="H276" s="11">
        <f t="array" ref="H276">IF(OR(N276&gt;0,AC276&gt;0),MAX(N276,AC276),MAX(AK276,V276))</f>
        <v>46249</v>
      </c>
      <c r="I276" s="143">
        <f t="array" ref="I276">IF(SUM(O276,AD276)&gt;0,SUM(O276,AD276),SUM(AL276,W276))</f>
        <v>94</v>
      </c>
      <c r="J276" s="9">
        <f t="shared" si="44"/>
        <v>2.7175484244001158</v>
      </c>
      <c r="K276" s="143">
        <f t="shared" si="54"/>
        <v>3</v>
      </c>
      <c r="L276" s="9">
        <f t="shared" si="45"/>
        <v>3.1914893617021276</v>
      </c>
      <c r="M276" s="8" t="str">
        <f t="array" ref="M276">IF(L276&gt;5,"Perlu Sensus",IF(AND(L276&gt;=0,I276&gt;0),"Tetap Deteksi","Belum Deteksi"))</f>
        <v>Tetap Deteksi</v>
      </c>
      <c r="N276" s="11"/>
      <c r="O276" s="143">
        <v>94</v>
      </c>
      <c r="P276" s="9">
        <f t="array" ref="P276">IFERROR(O276/$G276*100,0)</f>
        <v>2.7175484244001158</v>
      </c>
      <c r="Q276" s="143">
        <v>3</v>
      </c>
      <c r="R276" s="9">
        <f t="shared" si="46"/>
        <v>3.1914893617021276</v>
      </c>
      <c r="S276" s="8" t="str">
        <f t="array" ref="S276">IF(R276&gt;5,"Perlu Sensus",IF(AND(R276&gt;=0,O276&gt;0),"Tetap Deteksi","Belum Deteksi"))</f>
        <v>Tetap Deteksi</v>
      </c>
      <c r="T276" s="143">
        <v>6</v>
      </c>
      <c r="U276" s="9">
        <f t="shared" si="47"/>
        <v>6.3829787234042552</v>
      </c>
      <c r="V276" s="132">
        <v>46249</v>
      </c>
      <c r="W276" s="143">
        <v>379</v>
      </c>
      <c r="X276" s="143">
        <v>12</v>
      </c>
      <c r="Y276" s="9">
        <f t="shared" si="48"/>
        <v>3.1662269129287601</v>
      </c>
      <c r="Z276" s="8" t="str">
        <f t="array" ref="Z276">IF(Y276&gt;5,"Perlu Sensus",IF(AND(Y276&gt;=0,W276&gt;0),"Tetap Deteksi","Belum Deteksi"))</f>
        <v>Tetap Deteksi</v>
      </c>
      <c r="AA276" s="143">
        <v>17</v>
      </c>
      <c r="AB276" s="9">
        <f t="shared" si="49"/>
        <v>4.4854881266490763</v>
      </c>
      <c r="AC276" s="11"/>
      <c r="AD276" s="143"/>
      <c r="AE276" s="9">
        <f t="array" ref="AE276">IFERROR(AD276/$G276*100,0)</f>
        <v>0</v>
      </c>
      <c r="AF276" s="143"/>
      <c r="AG276" s="9">
        <f t="shared" si="50"/>
        <v>0</v>
      </c>
      <c r="AH276" s="8" t="str">
        <f t="array" ref="AH276">IF(AG276&gt;5,"Perlu Sensus",IF(AND(AG276&gt;=0,AD276&gt;0),"Tetap Deteksi","Belum Deteksi"))</f>
        <v>Belum Deteksi</v>
      </c>
      <c r="AI276" s="143"/>
      <c r="AJ276" s="9">
        <f t="shared" si="51"/>
        <v>0</v>
      </c>
      <c r="AK276" s="11"/>
      <c r="AL276" s="143"/>
      <c r="AM276" s="143"/>
      <c r="AN276" s="9">
        <f t="shared" si="52"/>
        <v>0</v>
      </c>
      <c r="AO276" s="8" t="str">
        <f t="array" ref="AO276">IF(AN276&gt;5,"Perlu Sensus",IF(AND(AN276&gt;=0,AL276&gt;0),"Tetap Deteksi","Belum Deteksi"))</f>
        <v>Belum Deteksi</v>
      </c>
      <c r="AP276" s="143"/>
      <c r="AQ276" s="9">
        <f t="shared" si="53"/>
        <v>0</v>
      </c>
    </row>
    <row r="277" spans="1:43" outlineLevel="1" x14ac:dyDescent="0.15">
      <c r="A277" s="8" t="s">
        <v>1739</v>
      </c>
      <c r="B277" s="8" t="s">
        <v>14</v>
      </c>
      <c r="C277" s="8" t="s">
        <v>290</v>
      </c>
      <c r="D277" s="8" t="s">
        <v>1141</v>
      </c>
      <c r="E277" s="9">
        <v>28.88</v>
      </c>
      <c r="F277" s="8" t="s">
        <v>1740</v>
      </c>
      <c r="G277" s="10">
        <v>3930</v>
      </c>
      <c r="H277" s="11">
        <f t="array" ref="H277">IF(OR(N277&gt;0,AC277&gt;0),MAX(N277,AC277),MAX(AK277,V277))</f>
        <v>46249</v>
      </c>
      <c r="I277" s="143">
        <f t="array" ref="I277">IF(SUM(O277,AD277)&gt;0,SUM(O277,AD277),SUM(AL277,W277))</f>
        <v>104</v>
      </c>
      <c r="J277" s="9">
        <f t="shared" si="44"/>
        <v>2.6463104325699747</v>
      </c>
      <c r="K277" s="143">
        <f t="shared" si="54"/>
        <v>3</v>
      </c>
      <c r="L277" s="9">
        <f t="shared" si="45"/>
        <v>2.8846153846153846</v>
      </c>
      <c r="M277" s="8" t="str">
        <f t="array" ref="M277">IF(L277&gt;5,"Perlu Sensus",IF(AND(L277&gt;=0,I277&gt;0),"Tetap Deteksi","Belum Deteksi"))</f>
        <v>Tetap Deteksi</v>
      </c>
      <c r="N277" s="11"/>
      <c r="O277" s="143">
        <v>104</v>
      </c>
      <c r="P277" s="9">
        <f t="array" ref="P277">IFERROR(O277/$G277*100,0)</f>
        <v>2.6463104325699747</v>
      </c>
      <c r="Q277" s="143">
        <v>3</v>
      </c>
      <c r="R277" s="9">
        <f t="shared" si="46"/>
        <v>2.8846153846153846</v>
      </c>
      <c r="S277" s="8" t="str">
        <f t="array" ref="S277">IF(R277&gt;5,"Perlu Sensus",IF(AND(R277&gt;=0,O277&gt;0),"Tetap Deteksi","Belum Deteksi"))</f>
        <v>Tetap Deteksi</v>
      </c>
      <c r="T277" s="143">
        <v>5</v>
      </c>
      <c r="U277" s="9">
        <f t="shared" si="47"/>
        <v>4.8076923076923084</v>
      </c>
      <c r="V277" s="132">
        <v>46249</v>
      </c>
      <c r="W277" s="143">
        <v>357</v>
      </c>
      <c r="X277" s="143">
        <v>12</v>
      </c>
      <c r="Y277" s="9">
        <f t="shared" si="48"/>
        <v>3.3613445378151261</v>
      </c>
      <c r="Z277" s="8" t="str">
        <f t="array" ref="Z277">IF(Y277&gt;5,"Perlu Sensus",IF(AND(Y277&gt;=0,W277&gt;0),"Tetap Deteksi","Belum Deteksi"))</f>
        <v>Tetap Deteksi</v>
      </c>
      <c r="AA277" s="143">
        <v>15</v>
      </c>
      <c r="AB277" s="9">
        <f t="shared" si="49"/>
        <v>4.2016806722689077</v>
      </c>
      <c r="AC277" s="11"/>
      <c r="AD277" s="143"/>
      <c r="AE277" s="9">
        <f t="array" ref="AE277">IFERROR(AD277/$G277*100,0)</f>
        <v>0</v>
      </c>
      <c r="AF277" s="143"/>
      <c r="AG277" s="9">
        <f t="shared" si="50"/>
        <v>0</v>
      </c>
      <c r="AH277" s="8" t="str">
        <f t="array" ref="AH277">IF(AG277&gt;5,"Perlu Sensus",IF(AND(AG277&gt;=0,AD277&gt;0),"Tetap Deteksi","Belum Deteksi"))</f>
        <v>Belum Deteksi</v>
      </c>
      <c r="AI277" s="143"/>
      <c r="AJ277" s="9">
        <f t="shared" si="51"/>
        <v>0</v>
      </c>
      <c r="AK277" s="11"/>
      <c r="AL277" s="143"/>
      <c r="AM277" s="143"/>
      <c r="AN277" s="9">
        <f t="shared" si="52"/>
        <v>0</v>
      </c>
      <c r="AO277" s="8" t="str">
        <f t="array" ref="AO277">IF(AN277&gt;5,"Perlu Sensus",IF(AND(AN277&gt;=0,AL277&gt;0),"Tetap Deteksi","Belum Deteksi"))</f>
        <v>Belum Deteksi</v>
      </c>
      <c r="AP277" s="143"/>
      <c r="AQ277" s="9">
        <f t="shared" si="53"/>
        <v>0</v>
      </c>
    </row>
    <row r="278" spans="1:43" outlineLevel="1" x14ac:dyDescent="0.15">
      <c r="A278" s="8" t="s">
        <v>1739</v>
      </c>
      <c r="B278" s="8" t="s">
        <v>14</v>
      </c>
      <c r="C278" s="8" t="s">
        <v>323</v>
      </c>
      <c r="D278" s="8" t="s">
        <v>1142</v>
      </c>
      <c r="E278" s="9">
        <v>38.159999999999997</v>
      </c>
      <c r="F278" s="8" t="s">
        <v>1740</v>
      </c>
      <c r="G278" s="10">
        <v>4730</v>
      </c>
      <c r="H278" s="11">
        <f t="array" ref="H278">IF(OR(N278&gt;0,AC278&gt;0),MAX(N278,AC278),MAX(AK278,V278))</f>
        <v>46235</v>
      </c>
      <c r="I278" s="143">
        <f t="array" ref="I278">IF(SUM(O278,AD278)&gt;0,SUM(O278,AD278),SUM(AL278,W278))</f>
        <v>94</v>
      </c>
      <c r="J278" s="9">
        <f t="shared" si="44"/>
        <v>1.9873150105708246</v>
      </c>
      <c r="K278" s="143">
        <f t="shared" si="54"/>
        <v>1</v>
      </c>
      <c r="L278" s="9">
        <f t="shared" si="45"/>
        <v>1.0638297872340425</v>
      </c>
      <c r="M278" s="8" t="str">
        <f t="array" ref="M278">IF(L278&gt;5,"Perlu Sensus",IF(AND(L278&gt;=0,I278&gt;0),"Tetap Deteksi","Belum Deteksi"))</f>
        <v>Tetap Deteksi</v>
      </c>
      <c r="N278" s="11">
        <v>46235</v>
      </c>
      <c r="O278" s="143">
        <v>94</v>
      </c>
      <c r="P278" s="9">
        <f t="array" ref="P278">IFERROR(O278/$G278*100,0)</f>
        <v>1.9873150105708246</v>
      </c>
      <c r="Q278" s="143">
        <v>1</v>
      </c>
      <c r="R278" s="9">
        <f t="shared" si="46"/>
        <v>1.0638297872340425</v>
      </c>
      <c r="S278" s="8" t="str">
        <f t="array" ref="S278">IF(R278&gt;5,"Perlu Sensus",IF(AND(R278&gt;=0,O278&gt;0),"Tetap Deteksi","Belum Deteksi"))</f>
        <v>Tetap Deteksi</v>
      </c>
      <c r="T278" s="143">
        <v>6</v>
      </c>
      <c r="U278" s="9">
        <f t="shared" si="47"/>
        <v>6.3829787234042552</v>
      </c>
      <c r="V278" s="132">
        <v>46249</v>
      </c>
      <c r="W278" s="143">
        <v>260</v>
      </c>
      <c r="X278" s="143">
        <v>8</v>
      </c>
      <c r="Y278" s="9">
        <f t="shared" si="48"/>
        <v>3.0769230769230771</v>
      </c>
      <c r="Z278" s="8" t="str">
        <f t="array" ref="Z278">IF(Y278&gt;5,"Perlu Sensus",IF(AND(Y278&gt;=0,W278&gt;0),"Tetap Deteksi","Belum Deteksi"))</f>
        <v>Tetap Deteksi</v>
      </c>
      <c r="AA278" s="143">
        <v>19</v>
      </c>
      <c r="AB278" s="9">
        <f t="shared" si="49"/>
        <v>7.3076923076923084</v>
      </c>
      <c r="AC278" s="11"/>
      <c r="AD278" s="143"/>
      <c r="AE278" s="9">
        <f t="array" ref="AE278">IFERROR(AD278/$G278*100,0)</f>
        <v>0</v>
      </c>
      <c r="AF278" s="143"/>
      <c r="AG278" s="9">
        <f t="shared" si="50"/>
        <v>0</v>
      </c>
      <c r="AH278" s="8" t="str">
        <f t="array" ref="AH278">IF(AG278&gt;5,"Perlu Sensus",IF(AND(AG278&gt;=0,AD278&gt;0),"Tetap Deteksi","Belum Deteksi"))</f>
        <v>Belum Deteksi</v>
      </c>
      <c r="AI278" s="143"/>
      <c r="AJ278" s="9">
        <f t="shared" si="51"/>
        <v>0</v>
      </c>
      <c r="AK278" s="11"/>
      <c r="AL278" s="143"/>
      <c r="AM278" s="143"/>
      <c r="AN278" s="9">
        <f t="shared" si="52"/>
        <v>0</v>
      </c>
      <c r="AO278" s="8" t="str">
        <f t="array" ref="AO278">IF(AN278&gt;5,"Perlu Sensus",IF(AND(AN278&gt;=0,AL278&gt;0),"Tetap Deteksi","Belum Deteksi"))</f>
        <v>Belum Deteksi</v>
      </c>
      <c r="AP278" s="143"/>
      <c r="AQ278" s="9">
        <f t="shared" si="53"/>
        <v>0</v>
      </c>
    </row>
    <row r="279" spans="1:43" outlineLevel="1" x14ac:dyDescent="0.15">
      <c r="A279" s="8" t="s">
        <v>1739</v>
      </c>
      <c r="B279" s="8" t="s">
        <v>14</v>
      </c>
      <c r="C279" s="8" t="s">
        <v>323</v>
      </c>
      <c r="D279" s="8" t="s">
        <v>1143</v>
      </c>
      <c r="E279" s="9">
        <v>43.82</v>
      </c>
      <c r="F279" s="8" t="s">
        <v>1740</v>
      </c>
      <c r="G279" s="10">
        <v>5538</v>
      </c>
      <c r="H279" s="11">
        <f t="array" ref="H279">IF(OR(N279&gt;0,AC279&gt;0),MAX(N279,AC279),MAX(AK279,V279))</f>
        <v>46235</v>
      </c>
      <c r="I279" s="143">
        <f t="array" ref="I279">IF(SUM(O279,AD279)&gt;0,SUM(O279,AD279),SUM(AL279,W279))</f>
        <v>86</v>
      </c>
      <c r="J279" s="9">
        <f t="shared" si="44"/>
        <v>1.5529071867100037</v>
      </c>
      <c r="K279" s="143">
        <f t="shared" si="54"/>
        <v>1</v>
      </c>
      <c r="L279" s="9">
        <f t="shared" si="45"/>
        <v>1.1627906976744187</v>
      </c>
      <c r="M279" s="8" t="str">
        <f t="array" ref="M279">IF(L279&gt;5,"Perlu Sensus",IF(AND(L279&gt;=0,I279&gt;0),"Tetap Deteksi","Belum Deteksi"))</f>
        <v>Tetap Deteksi</v>
      </c>
      <c r="N279" s="11">
        <v>46235</v>
      </c>
      <c r="O279" s="143">
        <v>86</v>
      </c>
      <c r="P279" s="9">
        <f t="array" ref="P279">IFERROR(O279/$G279*100,0)</f>
        <v>1.5529071867100037</v>
      </c>
      <c r="Q279" s="143">
        <v>1</v>
      </c>
      <c r="R279" s="9">
        <f t="shared" si="46"/>
        <v>1.1627906976744187</v>
      </c>
      <c r="S279" s="8" t="str">
        <f t="array" ref="S279">IF(R279&gt;5,"Perlu Sensus",IF(AND(R279&gt;=0,O279&gt;0),"Tetap Deteksi","Belum Deteksi"))</f>
        <v>Tetap Deteksi</v>
      </c>
      <c r="T279" s="143">
        <v>6</v>
      </c>
      <c r="U279" s="9">
        <f t="shared" si="47"/>
        <v>6.9767441860465116</v>
      </c>
      <c r="V279" s="132">
        <v>46249</v>
      </c>
      <c r="W279" s="143">
        <v>280</v>
      </c>
      <c r="X279" s="143">
        <v>7</v>
      </c>
      <c r="Y279" s="9">
        <f t="shared" si="48"/>
        <v>2.5</v>
      </c>
      <c r="Z279" s="8" t="str">
        <f t="array" ref="Z279">IF(Y279&gt;5,"Perlu Sensus",IF(AND(Y279&gt;=0,W279&gt;0),"Tetap Deteksi","Belum Deteksi"))</f>
        <v>Tetap Deteksi</v>
      </c>
      <c r="AA279" s="143">
        <v>15</v>
      </c>
      <c r="AB279" s="9">
        <f t="shared" si="49"/>
        <v>5.3571428571428568</v>
      </c>
      <c r="AC279" s="11"/>
      <c r="AD279" s="143"/>
      <c r="AE279" s="9">
        <f t="array" ref="AE279">IFERROR(AD279/$G279*100,0)</f>
        <v>0</v>
      </c>
      <c r="AF279" s="143"/>
      <c r="AG279" s="9">
        <f t="shared" si="50"/>
        <v>0</v>
      </c>
      <c r="AH279" s="8" t="str">
        <f t="array" ref="AH279">IF(AG279&gt;5,"Perlu Sensus",IF(AND(AG279&gt;=0,AD279&gt;0),"Tetap Deteksi","Belum Deteksi"))</f>
        <v>Belum Deteksi</v>
      </c>
      <c r="AI279" s="143"/>
      <c r="AJ279" s="9">
        <f t="shared" si="51"/>
        <v>0</v>
      </c>
      <c r="AK279" s="11"/>
      <c r="AL279" s="143"/>
      <c r="AM279" s="143"/>
      <c r="AN279" s="9">
        <f t="shared" si="52"/>
        <v>0</v>
      </c>
      <c r="AO279" s="8" t="str">
        <f t="array" ref="AO279">IF(AN279&gt;5,"Perlu Sensus",IF(AND(AN279&gt;=0,AL279&gt;0),"Tetap Deteksi","Belum Deteksi"))</f>
        <v>Belum Deteksi</v>
      </c>
      <c r="AP279" s="143"/>
      <c r="AQ279" s="9">
        <f t="shared" si="53"/>
        <v>0</v>
      </c>
    </row>
    <row r="280" spans="1:43" outlineLevel="1" x14ac:dyDescent="0.15">
      <c r="A280" s="8" t="s">
        <v>1739</v>
      </c>
      <c r="B280" s="8" t="s">
        <v>14</v>
      </c>
      <c r="C280" s="8" t="s">
        <v>323</v>
      </c>
      <c r="D280" s="8" t="s">
        <v>1144</v>
      </c>
      <c r="E280" s="9">
        <v>41.61</v>
      </c>
      <c r="F280" s="8" t="s">
        <v>1740</v>
      </c>
      <c r="G280" s="10">
        <v>5454</v>
      </c>
      <c r="H280" s="11">
        <f t="array" ref="H280">IF(OR(N280&gt;0,AC280&gt;0),MAX(N280,AC280),MAX(AK280,V280))</f>
        <v>46238</v>
      </c>
      <c r="I280" s="143">
        <f t="array" ref="I280">IF(SUM(O280,AD280)&gt;0,SUM(O280,AD280),SUM(AL280,W280))</f>
        <v>84</v>
      </c>
      <c r="J280" s="9">
        <f t="shared" si="44"/>
        <v>1.5401540154015401</v>
      </c>
      <c r="K280" s="143">
        <f t="shared" si="54"/>
        <v>1</v>
      </c>
      <c r="L280" s="9">
        <f t="shared" si="45"/>
        <v>1.1904761904761905</v>
      </c>
      <c r="M280" s="8" t="str">
        <f t="array" ref="M280">IF(L280&gt;5,"Perlu Sensus",IF(AND(L280&gt;=0,I280&gt;0),"Tetap Deteksi","Belum Deteksi"))</f>
        <v>Tetap Deteksi</v>
      </c>
      <c r="N280" s="11">
        <v>46238</v>
      </c>
      <c r="O280" s="143">
        <v>84</v>
      </c>
      <c r="P280" s="9">
        <f t="array" ref="P280">IFERROR(O280/$G280*100,0)</f>
        <v>1.5401540154015401</v>
      </c>
      <c r="Q280" s="143">
        <v>1</v>
      </c>
      <c r="R280" s="9">
        <f t="shared" si="46"/>
        <v>1.1904761904761905</v>
      </c>
      <c r="S280" s="8" t="str">
        <f t="array" ref="S280">IF(R280&gt;5,"Perlu Sensus",IF(AND(R280&gt;=0,O280&gt;0),"Tetap Deteksi","Belum Deteksi"))</f>
        <v>Tetap Deteksi</v>
      </c>
      <c r="T280" s="143">
        <v>5</v>
      </c>
      <c r="U280" s="9">
        <f t="shared" si="47"/>
        <v>5.9523809523809517</v>
      </c>
      <c r="V280" s="132">
        <v>46249</v>
      </c>
      <c r="W280" s="143">
        <v>369</v>
      </c>
      <c r="X280" s="143">
        <v>9</v>
      </c>
      <c r="Y280" s="9">
        <f t="shared" si="48"/>
        <v>2.4390243902439024</v>
      </c>
      <c r="Z280" s="8" t="str">
        <f t="array" ref="Z280">IF(Y280&gt;5,"Perlu Sensus",IF(AND(Y280&gt;=0,W280&gt;0),"Tetap Deteksi","Belum Deteksi"))</f>
        <v>Tetap Deteksi</v>
      </c>
      <c r="AA280" s="143">
        <v>18</v>
      </c>
      <c r="AB280" s="9">
        <f t="shared" si="49"/>
        <v>4.8780487804878048</v>
      </c>
      <c r="AC280" s="11"/>
      <c r="AD280" s="143"/>
      <c r="AE280" s="9">
        <f t="array" ref="AE280">IFERROR(AD280/$G280*100,0)</f>
        <v>0</v>
      </c>
      <c r="AF280" s="143"/>
      <c r="AG280" s="9">
        <f t="shared" si="50"/>
        <v>0</v>
      </c>
      <c r="AH280" s="8" t="str">
        <f t="array" ref="AH280">IF(AG280&gt;5,"Perlu Sensus",IF(AND(AG280&gt;=0,AD280&gt;0),"Tetap Deteksi","Belum Deteksi"))</f>
        <v>Belum Deteksi</v>
      </c>
      <c r="AI280" s="143"/>
      <c r="AJ280" s="9">
        <f t="shared" si="51"/>
        <v>0</v>
      </c>
      <c r="AK280" s="11"/>
      <c r="AL280" s="143"/>
      <c r="AM280" s="143"/>
      <c r="AN280" s="9">
        <f t="shared" si="52"/>
        <v>0</v>
      </c>
      <c r="AO280" s="8" t="str">
        <f t="array" ref="AO280">IF(AN280&gt;5,"Perlu Sensus",IF(AND(AN280&gt;=0,AL280&gt;0),"Tetap Deteksi","Belum Deteksi"))</f>
        <v>Belum Deteksi</v>
      </c>
      <c r="AP280" s="143"/>
      <c r="AQ280" s="9">
        <f t="shared" si="53"/>
        <v>0</v>
      </c>
    </row>
    <row r="281" spans="1:43" outlineLevel="1" x14ac:dyDescent="0.15">
      <c r="A281" s="8" t="s">
        <v>1739</v>
      </c>
      <c r="B281" s="8" t="s">
        <v>14</v>
      </c>
      <c r="C281" s="8" t="s">
        <v>323</v>
      </c>
      <c r="D281" s="8" t="s">
        <v>1145</v>
      </c>
      <c r="E281" s="9">
        <v>31.18</v>
      </c>
      <c r="F281" s="8" t="s">
        <v>1740</v>
      </c>
      <c r="G281" s="10">
        <v>3814</v>
      </c>
      <c r="H281" s="11">
        <f t="array" ref="H281">IF(OR(N281&gt;0,AC281&gt;0),MAX(N281,AC281),MAX(AK281,V281))</f>
        <v>46238</v>
      </c>
      <c r="I281" s="143">
        <f t="array" ref="I281">IF(SUM(O281,AD281)&gt;0,SUM(O281,AD281),SUM(AL281,W281))</f>
        <v>82</v>
      </c>
      <c r="J281" s="9">
        <f t="shared" si="44"/>
        <v>2.1499737808075512</v>
      </c>
      <c r="K281" s="143">
        <f t="shared" si="54"/>
        <v>1</v>
      </c>
      <c r="L281" s="9">
        <f t="shared" si="45"/>
        <v>1.2195121951219512</v>
      </c>
      <c r="M281" s="8" t="str">
        <f t="array" ref="M281">IF(L281&gt;5,"Perlu Sensus",IF(AND(L281&gt;=0,I281&gt;0),"Tetap Deteksi","Belum Deteksi"))</f>
        <v>Tetap Deteksi</v>
      </c>
      <c r="N281" s="11">
        <v>46238</v>
      </c>
      <c r="O281" s="143">
        <v>82</v>
      </c>
      <c r="P281" s="9">
        <f t="array" ref="P281">IFERROR(O281/$G281*100,0)</f>
        <v>2.1499737808075512</v>
      </c>
      <c r="Q281" s="143">
        <v>1</v>
      </c>
      <c r="R281" s="9">
        <f t="shared" si="46"/>
        <v>1.2195121951219512</v>
      </c>
      <c r="S281" s="8" t="str">
        <f t="array" ref="S281">IF(R281&gt;5,"Perlu Sensus",IF(AND(R281&gt;=0,O281&gt;0),"Tetap Deteksi","Belum Deteksi"))</f>
        <v>Tetap Deteksi</v>
      </c>
      <c r="T281" s="143">
        <v>5</v>
      </c>
      <c r="U281" s="9">
        <f t="shared" si="47"/>
        <v>6.0975609756097562</v>
      </c>
      <c r="V281" s="132">
        <v>46249</v>
      </c>
      <c r="W281" s="143">
        <v>233</v>
      </c>
      <c r="X281" s="143">
        <v>9</v>
      </c>
      <c r="Y281" s="9">
        <f t="shared" si="48"/>
        <v>3.8626609442060089</v>
      </c>
      <c r="Z281" s="8" t="str">
        <f t="array" ref="Z281">IF(Y281&gt;5,"Perlu Sensus",IF(AND(Y281&gt;=0,W281&gt;0),"Tetap Deteksi","Belum Deteksi"))</f>
        <v>Tetap Deteksi</v>
      </c>
      <c r="AA281" s="143">
        <v>20</v>
      </c>
      <c r="AB281" s="9">
        <f t="shared" si="49"/>
        <v>8.5836909871244629</v>
      </c>
      <c r="AC281" s="11"/>
      <c r="AD281" s="143"/>
      <c r="AE281" s="9">
        <f t="array" ref="AE281">IFERROR(AD281/$G281*100,0)</f>
        <v>0</v>
      </c>
      <c r="AF281" s="143"/>
      <c r="AG281" s="9">
        <f t="shared" si="50"/>
        <v>0</v>
      </c>
      <c r="AH281" s="8" t="str">
        <f t="array" ref="AH281">IF(AG281&gt;5,"Perlu Sensus",IF(AND(AG281&gt;=0,AD281&gt;0),"Tetap Deteksi","Belum Deteksi"))</f>
        <v>Belum Deteksi</v>
      </c>
      <c r="AI281" s="143"/>
      <c r="AJ281" s="9">
        <f t="shared" si="51"/>
        <v>0</v>
      </c>
      <c r="AK281" s="11"/>
      <c r="AL281" s="143"/>
      <c r="AM281" s="143"/>
      <c r="AN281" s="9">
        <f t="shared" si="52"/>
        <v>0</v>
      </c>
      <c r="AO281" s="8" t="str">
        <f t="array" ref="AO281">IF(AN281&gt;5,"Perlu Sensus",IF(AND(AN281&gt;=0,AL281&gt;0),"Tetap Deteksi","Belum Deteksi"))</f>
        <v>Belum Deteksi</v>
      </c>
      <c r="AP281" s="143"/>
      <c r="AQ281" s="9">
        <f t="shared" si="53"/>
        <v>0</v>
      </c>
    </row>
    <row r="282" spans="1:43" outlineLevel="1" x14ac:dyDescent="0.15">
      <c r="A282" s="8" t="s">
        <v>1739</v>
      </c>
      <c r="B282" s="8" t="s">
        <v>14</v>
      </c>
      <c r="C282" s="8" t="s">
        <v>323</v>
      </c>
      <c r="D282" s="8" t="s">
        <v>1146</v>
      </c>
      <c r="E282" s="9">
        <v>22.77</v>
      </c>
      <c r="F282" s="8" t="s">
        <v>1740</v>
      </c>
      <c r="G282" s="10">
        <v>2900</v>
      </c>
      <c r="H282" s="11">
        <f t="array" ref="H282">IF(OR(N282&gt;0,AC282&gt;0),MAX(N282,AC282),MAX(AK282,V282))</f>
        <v>46239</v>
      </c>
      <c r="I282" s="143">
        <f t="array" ref="I282">IF(SUM(O282,AD282)&gt;0,SUM(O282,AD282),SUM(AL282,W282))</f>
        <v>84</v>
      </c>
      <c r="J282" s="9">
        <f t="shared" si="44"/>
        <v>2.896551724137931</v>
      </c>
      <c r="K282" s="143">
        <f t="shared" si="54"/>
        <v>1</v>
      </c>
      <c r="L282" s="9">
        <f t="shared" si="45"/>
        <v>1.1904761904761905</v>
      </c>
      <c r="M282" s="8" t="str">
        <f t="array" ref="M282">IF(L282&gt;5,"Perlu Sensus",IF(AND(L282&gt;=0,I282&gt;0),"Tetap Deteksi","Belum Deteksi"))</f>
        <v>Tetap Deteksi</v>
      </c>
      <c r="N282" s="11">
        <v>46239</v>
      </c>
      <c r="O282" s="143">
        <v>84</v>
      </c>
      <c r="P282" s="9">
        <f t="array" ref="P282">IFERROR(O282/$G282*100,0)</f>
        <v>2.896551724137931</v>
      </c>
      <c r="Q282" s="143">
        <v>1</v>
      </c>
      <c r="R282" s="9">
        <f t="shared" si="46"/>
        <v>1.1904761904761905</v>
      </c>
      <c r="S282" s="8" t="str">
        <f t="array" ref="S282">IF(R282&gt;5,"Perlu Sensus",IF(AND(R282&gt;=0,O282&gt;0),"Tetap Deteksi","Belum Deteksi"))</f>
        <v>Tetap Deteksi</v>
      </c>
      <c r="T282" s="143">
        <v>6</v>
      </c>
      <c r="U282" s="9">
        <f t="shared" si="47"/>
        <v>7.1428571428571423</v>
      </c>
      <c r="V282" s="132">
        <v>46249</v>
      </c>
      <c r="W282" s="143">
        <v>321</v>
      </c>
      <c r="X282" s="143">
        <v>10</v>
      </c>
      <c r="Y282" s="9">
        <f t="shared" si="48"/>
        <v>3.1152647975077881</v>
      </c>
      <c r="Z282" s="8" t="str">
        <f t="array" ref="Z282">IF(Y282&gt;5,"Perlu Sensus",IF(AND(Y282&gt;=0,W282&gt;0),"Tetap Deteksi","Belum Deteksi"))</f>
        <v>Tetap Deteksi</v>
      </c>
      <c r="AA282" s="143">
        <v>17</v>
      </c>
      <c r="AB282" s="9">
        <f t="shared" si="49"/>
        <v>5.29595015576324</v>
      </c>
      <c r="AC282" s="11"/>
      <c r="AD282" s="143"/>
      <c r="AE282" s="9">
        <f t="array" ref="AE282">IFERROR(AD282/$G282*100,0)</f>
        <v>0</v>
      </c>
      <c r="AF282" s="143"/>
      <c r="AG282" s="9">
        <f t="shared" si="50"/>
        <v>0</v>
      </c>
      <c r="AH282" s="8" t="str">
        <f t="array" ref="AH282">IF(AG282&gt;5,"Perlu Sensus",IF(AND(AG282&gt;=0,AD282&gt;0),"Tetap Deteksi","Belum Deteksi"))</f>
        <v>Belum Deteksi</v>
      </c>
      <c r="AI282" s="143"/>
      <c r="AJ282" s="9">
        <f t="shared" si="51"/>
        <v>0</v>
      </c>
      <c r="AK282" s="11"/>
      <c r="AL282" s="143"/>
      <c r="AM282" s="143"/>
      <c r="AN282" s="9">
        <f t="shared" si="52"/>
        <v>0</v>
      </c>
      <c r="AO282" s="8" t="str">
        <f t="array" ref="AO282">IF(AN282&gt;5,"Perlu Sensus",IF(AND(AN282&gt;=0,AL282&gt;0),"Tetap Deteksi","Belum Deteksi"))</f>
        <v>Belum Deteksi</v>
      </c>
      <c r="AP282" s="143"/>
      <c r="AQ282" s="9">
        <f t="shared" si="53"/>
        <v>0</v>
      </c>
    </row>
    <row r="283" spans="1:43" outlineLevel="1" x14ac:dyDescent="0.15">
      <c r="A283" s="8" t="s">
        <v>1739</v>
      </c>
      <c r="B283" s="8" t="s">
        <v>14</v>
      </c>
      <c r="C283" s="8" t="s">
        <v>323</v>
      </c>
      <c r="D283" s="8" t="s">
        <v>1147</v>
      </c>
      <c r="E283" s="9">
        <v>22.25</v>
      </c>
      <c r="F283" s="8" t="s">
        <v>1740</v>
      </c>
      <c r="G283" s="10">
        <v>2965</v>
      </c>
      <c r="H283" s="11">
        <f t="array" ref="H283">IF(OR(N283&gt;0,AC283&gt;0),MAX(N283,AC283),MAX(AK283,V283))</f>
        <v>46239</v>
      </c>
      <c r="I283" s="143">
        <f t="array" ref="I283">IF(SUM(O283,AD283)&gt;0,SUM(O283,AD283),SUM(AL283,W283))</f>
        <v>88</v>
      </c>
      <c r="J283" s="9">
        <f t="shared" si="44"/>
        <v>2.9679595278246209</v>
      </c>
      <c r="K283" s="143">
        <f t="shared" si="54"/>
        <v>1</v>
      </c>
      <c r="L283" s="9">
        <f t="shared" si="45"/>
        <v>1.1363636363636365</v>
      </c>
      <c r="M283" s="8" t="str">
        <f t="array" ref="M283">IF(L283&gt;5,"Perlu Sensus",IF(AND(L283&gt;=0,I283&gt;0),"Tetap Deteksi","Belum Deteksi"))</f>
        <v>Tetap Deteksi</v>
      </c>
      <c r="N283" s="11">
        <v>46239</v>
      </c>
      <c r="O283" s="143">
        <v>88</v>
      </c>
      <c r="P283" s="9">
        <f t="array" ref="P283">IFERROR(O283/$G283*100,0)</f>
        <v>2.9679595278246209</v>
      </c>
      <c r="Q283" s="143">
        <v>1</v>
      </c>
      <c r="R283" s="9">
        <f t="shared" si="46"/>
        <v>1.1363636363636365</v>
      </c>
      <c r="S283" s="8" t="str">
        <f t="array" ref="S283">IF(R283&gt;5,"Perlu Sensus",IF(AND(R283&gt;=0,O283&gt;0),"Tetap Deteksi","Belum Deteksi"))</f>
        <v>Tetap Deteksi</v>
      </c>
      <c r="T283" s="143">
        <v>5</v>
      </c>
      <c r="U283" s="9">
        <f t="shared" si="47"/>
        <v>5.6818181818181817</v>
      </c>
      <c r="V283" s="132">
        <v>46249</v>
      </c>
      <c r="W283" s="143">
        <v>405</v>
      </c>
      <c r="X283" s="143">
        <v>18</v>
      </c>
      <c r="Y283" s="9">
        <f t="shared" si="48"/>
        <v>4.4444444444444446</v>
      </c>
      <c r="Z283" s="8" t="str">
        <f t="array" ref="Z283">IF(Y283&gt;5,"Perlu Sensus",IF(AND(Y283&gt;=0,W283&gt;0),"Tetap Deteksi","Belum Deteksi"))</f>
        <v>Tetap Deteksi</v>
      </c>
      <c r="AA283" s="143">
        <v>17</v>
      </c>
      <c r="AB283" s="9">
        <f t="shared" si="49"/>
        <v>4.1975308641975309</v>
      </c>
      <c r="AC283" s="11"/>
      <c r="AD283" s="143"/>
      <c r="AE283" s="9">
        <f t="array" ref="AE283">IFERROR(AD283/$G283*100,0)</f>
        <v>0</v>
      </c>
      <c r="AF283" s="143"/>
      <c r="AG283" s="9">
        <f t="shared" si="50"/>
        <v>0</v>
      </c>
      <c r="AH283" s="8" t="str">
        <f t="array" ref="AH283">IF(AG283&gt;5,"Perlu Sensus",IF(AND(AG283&gt;=0,AD283&gt;0),"Tetap Deteksi","Belum Deteksi"))</f>
        <v>Belum Deteksi</v>
      </c>
      <c r="AI283" s="143"/>
      <c r="AJ283" s="9">
        <f t="shared" si="51"/>
        <v>0</v>
      </c>
      <c r="AK283" s="11"/>
      <c r="AL283" s="143"/>
      <c r="AM283" s="143"/>
      <c r="AN283" s="9">
        <f t="shared" si="52"/>
        <v>0</v>
      </c>
      <c r="AO283" s="8" t="str">
        <f t="array" ref="AO283">IF(AN283&gt;5,"Perlu Sensus",IF(AND(AN283&gt;=0,AL283&gt;0),"Tetap Deteksi","Belum Deteksi"))</f>
        <v>Belum Deteksi</v>
      </c>
      <c r="AP283" s="143"/>
      <c r="AQ283" s="9">
        <f t="shared" si="53"/>
        <v>0</v>
      </c>
    </row>
    <row r="284" spans="1:43" outlineLevel="1" x14ac:dyDescent="0.15">
      <c r="A284" s="8" t="s">
        <v>1739</v>
      </c>
      <c r="B284" s="8" t="s">
        <v>14</v>
      </c>
      <c r="C284" s="8" t="s">
        <v>323</v>
      </c>
      <c r="D284" s="8" t="s">
        <v>1148</v>
      </c>
      <c r="E284" s="9">
        <v>0</v>
      </c>
      <c r="F284" s="8" t="s">
        <v>1740</v>
      </c>
      <c r="G284" s="10">
        <v>0</v>
      </c>
      <c r="H284" s="11">
        <f t="array" ref="H284">IF(OR(N284&gt;0,AC284&gt;0),MAX(N284,AC284),MAX(AK284,V284))</f>
        <v>0</v>
      </c>
      <c r="I284" s="143">
        <f t="array" ref="I284">IF(SUM(O284,AD284)&gt;0,SUM(O284,AD284),SUM(AL284,W284))</f>
        <v>0</v>
      </c>
      <c r="J284" s="9" t="str">
        <f t="shared" si="44"/>
        <v xml:space="preserve"> </v>
      </c>
      <c r="K284" s="143">
        <f t="shared" si="54"/>
        <v>0</v>
      </c>
      <c r="L284" s="9">
        <f t="shared" si="45"/>
        <v>0</v>
      </c>
      <c r="M284" s="8" t="str">
        <f t="array" ref="M284">IF(L284&gt;5,"Perlu Sensus",IF(AND(L284&gt;=0,I284&gt;0),"Tetap Deteksi","Belum Deteksi"))</f>
        <v>Belum Deteksi</v>
      </c>
      <c r="N284" s="11"/>
      <c r="O284" s="143">
        <v>0</v>
      </c>
      <c r="P284" s="9">
        <f t="array" ref="P284">IFERROR(O284/$G284*100,0)</f>
        <v>0</v>
      </c>
      <c r="Q284" s="143">
        <v>0</v>
      </c>
      <c r="R284" s="9">
        <f t="shared" si="46"/>
        <v>0</v>
      </c>
      <c r="S284" s="8" t="str">
        <f t="array" ref="S284">IF(R284&gt;5,"Perlu Sensus",IF(AND(R284&gt;=0,O284&gt;0),"Tetap Deteksi","Belum Deteksi"))</f>
        <v>Belum Deteksi</v>
      </c>
      <c r="T284" s="143">
        <v>0</v>
      </c>
      <c r="U284" s="9">
        <f t="shared" si="47"/>
        <v>0</v>
      </c>
      <c r="V284" s="11"/>
      <c r="W284" s="143">
        <v>0</v>
      </c>
      <c r="X284" s="143">
        <v>0</v>
      </c>
      <c r="Y284" s="9">
        <f t="shared" si="48"/>
        <v>0</v>
      </c>
      <c r="Z284" s="8" t="str">
        <f t="array" ref="Z284">IF(Y284&gt;5,"Perlu Sensus",IF(AND(Y284&gt;=0,W284&gt;0),"Tetap Deteksi","Belum Deteksi"))</f>
        <v>Belum Deteksi</v>
      </c>
      <c r="AA284" s="143">
        <v>0</v>
      </c>
      <c r="AB284" s="9">
        <f t="shared" si="49"/>
        <v>0</v>
      </c>
      <c r="AC284" s="11"/>
      <c r="AD284" s="143"/>
      <c r="AE284" s="9">
        <f t="array" ref="AE284">IFERROR(AD284/$G284*100,0)</f>
        <v>0</v>
      </c>
      <c r="AF284" s="143"/>
      <c r="AG284" s="9">
        <f t="shared" si="50"/>
        <v>0</v>
      </c>
      <c r="AH284" s="8" t="str">
        <f t="array" ref="AH284">IF(AG284&gt;5,"Perlu Sensus",IF(AND(AG284&gt;=0,AD284&gt;0),"Tetap Deteksi","Belum Deteksi"))</f>
        <v>Belum Deteksi</v>
      </c>
      <c r="AI284" s="143"/>
      <c r="AJ284" s="9">
        <f t="shared" si="51"/>
        <v>0</v>
      </c>
      <c r="AK284" s="11"/>
      <c r="AL284" s="143"/>
      <c r="AM284" s="143"/>
      <c r="AN284" s="9">
        <f t="shared" si="52"/>
        <v>0</v>
      </c>
      <c r="AO284" s="8" t="str">
        <f t="array" ref="AO284">IF(AN284&gt;5,"Perlu Sensus",IF(AND(AN284&gt;=0,AL284&gt;0),"Tetap Deteksi","Belum Deteksi"))</f>
        <v>Belum Deteksi</v>
      </c>
      <c r="AP284" s="143"/>
      <c r="AQ284" s="9">
        <f t="shared" si="53"/>
        <v>0</v>
      </c>
    </row>
    <row r="285" spans="1:43" outlineLevel="1" x14ac:dyDescent="0.15">
      <c r="A285" s="8" t="s">
        <v>1739</v>
      </c>
      <c r="B285" s="8" t="s">
        <v>14</v>
      </c>
      <c r="C285" s="8" t="s">
        <v>323</v>
      </c>
      <c r="D285" s="8" t="s">
        <v>1149</v>
      </c>
      <c r="E285" s="9">
        <v>26.56</v>
      </c>
      <c r="F285" s="8" t="s">
        <v>1740</v>
      </c>
      <c r="G285" s="10">
        <v>3012</v>
      </c>
      <c r="H285" s="11">
        <f t="array" ref="H285">IF(OR(N285&gt;0,AC285&gt;0),MAX(N285,AC285),MAX(AK285,V285))</f>
        <v>46240</v>
      </c>
      <c r="I285" s="143">
        <f t="array" ref="I285">IF(SUM(O285,AD285)&gt;0,SUM(O285,AD285),SUM(AL285,W285))</f>
        <v>82</v>
      </c>
      <c r="J285" s="9">
        <f t="shared" si="44"/>
        <v>2.7224435590969454</v>
      </c>
      <c r="K285" s="143">
        <f t="shared" si="54"/>
        <v>2</v>
      </c>
      <c r="L285" s="9">
        <f t="shared" si="45"/>
        <v>2.4390243902439024</v>
      </c>
      <c r="M285" s="8" t="str">
        <f t="array" ref="M285">IF(L285&gt;5,"Perlu Sensus",IF(AND(L285&gt;=0,I285&gt;0),"Tetap Deteksi","Belum Deteksi"))</f>
        <v>Tetap Deteksi</v>
      </c>
      <c r="N285" s="11">
        <v>46240</v>
      </c>
      <c r="O285" s="143">
        <v>82</v>
      </c>
      <c r="P285" s="9">
        <f t="array" ref="P285">IFERROR(O285/$G285*100,0)</f>
        <v>2.7224435590969454</v>
      </c>
      <c r="Q285" s="143">
        <v>2</v>
      </c>
      <c r="R285" s="9">
        <f t="shared" si="46"/>
        <v>2.4390243902439024</v>
      </c>
      <c r="S285" s="8" t="str">
        <f t="array" ref="S285">IF(R285&gt;5,"Perlu Sensus",IF(AND(R285&gt;=0,O285&gt;0),"Tetap Deteksi","Belum Deteksi"))</f>
        <v>Tetap Deteksi</v>
      </c>
      <c r="T285" s="143">
        <v>5</v>
      </c>
      <c r="U285" s="9">
        <f t="shared" si="47"/>
        <v>6.0975609756097562</v>
      </c>
      <c r="V285" s="132">
        <v>46249</v>
      </c>
      <c r="W285" s="143">
        <v>414</v>
      </c>
      <c r="X285" s="143">
        <v>12</v>
      </c>
      <c r="Y285" s="9">
        <f t="shared" si="48"/>
        <v>2.8985507246376812</v>
      </c>
      <c r="Z285" s="8" t="str">
        <f t="array" ref="Z285">IF(Y285&gt;5,"Perlu Sensus",IF(AND(Y285&gt;=0,W285&gt;0),"Tetap Deteksi","Belum Deteksi"))</f>
        <v>Tetap Deteksi</v>
      </c>
      <c r="AA285" s="143">
        <v>19</v>
      </c>
      <c r="AB285" s="9">
        <f t="shared" si="49"/>
        <v>4.5893719806763285</v>
      </c>
      <c r="AC285" s="11"/>
      <c r="AD285" s="143"/>
      <c r="AE285" s="9">
        <f t="array" ref="AE285">IFERROR(AD285/$G285*100,0)</f>
        <v>0</v>
      </c>
      <c r="AF285" s="143"/>
      <c r="AG285" s="9">
        <f t="shared" si="50"/>
        <v>0</v>
      </c>
      <c r="AH285" s="8" t="str">
        <f t="array" ref="AH285">IF(AG285&gt;5,"Perlu Sensus",IF(AND(AG285&gt;=0,AD285&gt;0),"Tetap Deteksi","Belum Deteksi"))</f>
        <v>Belum Deteksi</v>
      </c>
      <c r="AI285" s="143"/>
      <c r="AJ285" s="9">
        <f t="shared" si="51"/>
        <v>0</v>
      </c>
      <c r="AK285" s="11"/>
      <c r="AL285" s="143"/>
      <c r="AM285" s="143"/>
      <c r="AN285" s="9">
        <f t="shared" si="52"/>
        <v>0</v>
      </c>
      <c r="AO285" s="8" t="str">
        <f t="array" ref="AO285">IF(AN285&gt;5,"Perlu Sensus",IF(AND(AN285&gt;=0,AL285&gt;0),"Tetap Deteksi","Belum Deteksi"))</f>
        <v>Belum Deteksi</v>
      </c>
      <c r="AP285" s="143"/>
      <c r="AQ285" s="9">
        <f t="shared" si="53"/>
        <v>0</v>
      </c>
    </row>
    <row r="286" spans="1:43" outlineLevel="1" x14ac:dyDescent="0.15">
      <c r="A286" s="8" t="s">
        <v>1739</v>
      </c>
      <c r="B286" s="8" t="s">
        <v>14</v>
      </c>
      <c r="C286" s="8" t="s">
        <v>323</v>
      </c>
      <c r="D286" s="8" t="s">
        <v>1150</v>
      </c>
      <c r="E286" s="9">
        <v>25.02</v>
      </c>
      <c r="F286" s="8" t="s">
        <v>1740</v>
      </c>
      <c r="G286" s="10">
        <v>2929</v>
      </c>
      <c r="H286" s="11">
        <f t="array" ref="H286">IF(OR(N286&gt;0,AC286&gt;0),MAX(N286,AC286),MAX(AK286,V286))</f>
        <v>46240</v>
      </c>
      <c r="I286" s="143">
        <f t="array" ref="I286">IF(SUM(O286,AD286)&gt;0,SUM(O286,AD286),SUM(AL286,W286))</f>
        <v>76</v>
      </c>
      <c r="J286" s="9">
        <f t="shared" si="44"/>
        <v>2.594742232843974</v>
      </c>
      <c r="K286" s="143">
        <f t="shared" si="54"/>
        <v>1</v>
      </c>
      <c r="L286" s="9">
        <f t="shared" si="45"/>
        <v>1.3157894736842104</v>
      </c>
      <c r="M286" s="8" t="str">
        <f t="array" ref="M286">IF(L286&gt;5,"Perlu Sensus",IF(AND(L286&gt;=0,I286&gt;0),"Tetap Deteksi","Belum Deteksi"))</f>
        <v>Tetap Deteksi</v>
      </c>
      <c r="N286" s="11">
        <v>46240</v>
      </c>
      <c r="O286" s="143">
        <v>76</v>
      </c>
      <c r="P286" s="9">
        <f t="array" ref="P286">IFERROR(O286/$G286*100,0)</f>
        <v>2.594742232843974</v>
      </c>
      <c r="Q286" s="143">
        <v>1</v>
      </c>
      <c r="R286" s="9">
        <f t="shared" si="46"/>
        <v>1.3157894736842104</v>
      </c>
      <c r="S286" s="8" t="str">
        <f t="array" ref="S286">IF(R286&gt;5,"Perlu Sensus",IF(AND(R286&gt;=0,O286&gt;0),"Tetap Deteksi","Belum Deteksi"))</f>
        <v>Tetap Deteksi</v>
      </c>
      <c r="T286" s="143">
        <v>5</v>
      </c>
      <c r="U286" s="9">
        <f t="shared" si="47"/>
        <v>6.5789473684210522</v>
      </c>
      <c r="V286" s="132">
        <v>46249</v>
      </c>
      <c r="W286" s="143">
        <v>329</v>
      </c>
      <c r="X286" s="143">
        <v>9</v>
      </c>
      <c r="Y286" s="9">
        <f t="shared" si="48"/>
        <v>2.735562310030395</v>
      </c>
      <c r="Z286" s="8" t="str">
        <f t="array" ref="Z286">IF(Y286&gt;5,"Perlu Sensus",IF(AND(Y286&gt;=0,W286&gt;0),"Tetap Deteksi","Belum Deteksi"))</f>
        <v>Tetap Deteksi</v>
      </c>
      <c r="AA286" s="143">
        <v>17</v>
      </c>
      <c r="AB286" s="9">
        <f t="shared" si="49"/>
        <v>5.1671732522796354</v>
      </c>
      <c r="AC286" s="11"/>
      <c r="AD286" s="143"/>
      <c r="AE286" s="9">
        <f t="array" ref="AE286">IFERROR(AD286/$G286*100,0)</f>
        <v>0</v>
      </c>
      <c r="AF286" s="143"/>
      <c r="AG286" s="9">
        <f t="shared" si="50"/>
        <v>0</v>
      </c>
      <c r="AH286" s="8" t="str">
        <f t="array" ref="AH286">IF(AG286&gt;5,"Perlu Sensus",IF(AND(AG286&gt;=0,AD286&gt;0),"Tetap Deteksi","Belum Deteksi"))</f>
        <v>Belum Deteksi</v>
      </c>
      <c r="AI286" s="143"/>
      <c r="AJ286" s="9">
        <f t="shared" si="51"/>
        <v>0</v>
      </c>
      <c r="AK286" s="11"/>
      <c r="AL286" s="143"/>
      <c r="AM286" s="143"/>
      <c r="AN286" s="9">
        <f t="shared" si="52"/>
        <v>0</v>
      </c>
      <c r="AO286" s="8" t="str">
        <f t="array" ref="AO286">IF(AN286&gt;5,"Perlu Sensus",IF(AND(AN286&gt;=0,AL286&gt;0),"Tetap Deteksi","Belum Deteksi"))</f>
        <v>Belum Deteksi</v>
      </c>
      <c r="AP286" s="143"/>
      <c r="AQ286" s="9">
        <f t="shared" si="53"/>
        <v>0</v>
      </c>
    </row>
    <row r="287" spans="1:43" outlineLevel="1" x14ac:dyDescent="0.15">
      <c r="A287" s="8" t="s">
        <v>1739</v>
      </c>
      <c r="B287" s="8" t="s">
        <v>14</v>
      </c>
      <c r="C287" s="8" t="s">
        <v>323</v>
      </c>
      <c r="D287" s="8" t="s">
        <v>1151</v>
      </c>
      <c r="E287" s="9">
        <v>46.12</v>
      </c>
      <c r="F287" s="8" t="s">
        <v>1740</v>
      </c>
      <c r="G287" s="10">
        <v>6013</v>
      </c>
      <c r="H287" s="11">
        <f t="array" ref="H287">IF(OR(N287&gt;0,AC287&gt;0),MAX(N287,AC287),MAX(AK287,V287))</f>
        <v>46241</v>
      </c>
      <c r="I287" s="143">
        <f t="array" ref="I287">IF(SUM(O287,AD287)&gt;0,SUM(O287,AD287),SUM(AL287,W287))</f>
        <v>85</v>
      </c>
      <c r="J287" s="9">
        <f t="shared" si="44"/>
        <v>1.4136038583070014</v>
      </c>
      <c r="K287" s="143">
        <f t="shared" si="54"/>
        <v>1</v>
      </c>
      <c r="L287" s="9">
        <f t="shared" si="45"/>
        <v>1.1764705882352942</v>
      </c>
      <c r="M287" s="8" t="str">
        <f t="array" ref="M287">IF(L287&gt;5,"Perlu Sensus",IF(AND(L287&gt;=0,I287&gt;0),"Tetap Deteksi","Belum Deteksi"))</f>
        <v>Tetap Deteksi</v>
      </c>
      <c r="N287" s="11">
        <v>46241</v>
      </c>
      <c r="O287" s="143">
        <v>85</v>
      </c>
      <c r="P287" s="9">
        <f t="array" ref="P287">IFERROR(O287/$G287*100,0)</f>
        <v>1.4136038583070014</v>
      </c>
      <c r="Q287" s="143">
        <v>1</v>
      </c>
      <c r="R287" s="9">
        <f t="shared" si="46"/>
        <v>1.1764705882352942</v>
      </c>
      <c r="S287" s="8" t="str">
        <f t="array" ref="S287">IF(R287&gt;5,"Perlu Sensus",IF(AND(R287&gt;=0,O287&gt;0),"Tetap Deteksi","Belum Deteksi"))</f>
        <v>Tetap Deteksi</v>
      </c>
      <c r="T287" s="143">
        <v>4</v>
      </c>
      <c r="U287" s="9">
        <f t="shared" si="47"/>
        <v>4.7058823529411766</v>
      </c>
      <c r="V287" s="132">
        <v>46249</v>
      </c>
      <c r="W287" s="143">
        <v>377</v>
      </c>
      <c r="X287" s="143">
        <v>10</v>
      </c>
      <c r="Y287" s="9">
        <f t="shared" si="48"/>
        <v>2.6525198938992043</v>
      </c>
      <c r="Z287" s="8" t="str">
        <f t="array" ref="Z287">IF(Y287&gt;5,"Perlu Sensus",IF(AND(Y287&gt;=0,W287&gt;0),"Tetap Deteksi","Belum Deteksi"))</f>
        <v>Tetap Deteksi</v>
      </c>
      <c r="AA287" s="143">
        <v>15</v>
      </c>
      <c r="AB287" s="9">
        <f t="shared" si="49"/>
        <v>3.978779840848806</v>
      </c>
      <c r="AC287" s="11"/>
      <c r="AD287" s="143"/>
      <c r="AE287" s="9">
        <f t="array" ref="AE287">IFERROR(AD287/$G287*100,0)</f>
        <v>0</v>
      </c>
      <c r="AF287" s="143"/>
      <c r="AG287" s="9">
        <f t="shared" si="50"/>
        <v>0</v>
      </c>
      <c r="AH287" s="8" t="str">
        <f t="array" ref="AH287">IF(AG287&gt;5,"Perlu Sensus",IF(AND(AG287&gt;=0,AD287&gt;0),"Tetap Deteksi","Belum Deteksi"))</f>
        <v>Belum Deteksi</v>
      </c>
      <c r="AI287" s="143"/>
      <c r="AJ287" s="9">
        <f t="shared" si="51"/>
        <v>0</v>
      </c>
      <c r="AK287" s="11"/>
      <c r="AL287" s="143"/>
      <c r="AM287" s="143"/>
      <c r="AN287" s="9">
        <f t="shared" si="52"/>
        <v>0</v>
      </c>
      <c r="AO287" s="8" t="str">
        <f t="array" ref="AO287">IF(AN287&gt;5,"Perlu Sensus",IF(AND(AN287&gt;=0,AL287&gt;0),"Tetap Deteksi","Belum Deteksi"))</f>
        <v>Belum Deteksi</v>
      </c>
      <c r="AP287" s="143"/>
      <c r="AQ287" s="9">
        <f t="shared" si="53"/>
        <v>0</v>
      </c>
    </row>
    <row r="288" spans="1:43" outlineLevel="1" x14ac:dyDescent="0.15">
      <c r="A288" s="8" t="s">
        <v>1739</v>
      </c>
      <c r="B288" s="8" t="s">
        <v>14</v>
      </c>
      <c r="C288" s="8" t="s">
        <v>323</v>
      </c>
      <c r="D288" s="8" t="s">
        <v>1152</v>
      </c>
      <c r="E288" s="9">
        <v>26.46</v>
      </c>
      <c r="F288" s="8" t="s">
        <v>1740</v>
      </c>
      <c r="G288" s="10">
        <v>3322</v>
      </c>
      <c r="H288" s="11">
        <f t="array" ref="H288">IF(OR(N288&gt;0,AC288&gt;0),MAX(N288,AC288),MAX(AK288,V288))</f>
        <v>46241</v>
      </c>
      <c r="I288" s="143">
        <f t="array" ref="I288">IF(SUM(O288,AD288)&gt;0,SUM(O288,AD288),SUM(AL288,W288))</f>
        <v>86</v>
      </c>
      <c r="J288" s="9">
        <f t="shared" si="44"/>
        <v>2.5888019265502709</v>
      </c>
      <c r="K288" s="143">
        <f t="shared" si="54"/>
        <v>2</v>
      </c>
      <c r="L288" s="9">
        <f t="shared" si="45"/>
        <v>2.3255813953488373</v>
      </c>
      <c r="M288" s="8" t="str">
        <f t="array" ref="M288">IF(L288&gt;5,"Perlu Sensus",IF(AND(L288&gt;=0,I288&gt;0),"Tetap Deteksi","Belum Deteksi"))</f>
        <v>Tetap Deteksi</v>
      </c>
      <c r="N288" s="11">
        <v>46241</v>
      </c>
      <c r="O288" s="143">
        <v>86</v>
      </c>
      <c r="P288" s="9">
        <f t="array" ref="P288">IFERROR(O288/$G288*100,0)</f>
        <v>2.5888019265502709</v>
      </c>
      <c r="Q288" s="143">
        <v>2</v>
      </c>
      <c r="R288" s="9">
        <f t="shared" si="46"/>
        <v>2.3255813953488373</v>
      </c>
      <c r="S288" s="8" t="str">
        <f t="array" ref="S288">IF(R288&gt;5,"Perlu Sensus",IF(AND(R288&gt;=0,O288&gt;0),"Tetap Deteksi","Belum Deteksi"))</f>
        <v>Tetap Deteksi</v>
      </c>
      <c r="T288" s="143">
        <v>3</v>
      </c>
      <c r="U288" s="9">
        <f t="shared" si="47"/>
        <v>3.4883720930232558</v>
      </c>
      <c r="V288" s="132">
        <v>46249</v>
      </c>
      <c r="W288" s="143">
        <v>234</v>
      </c>
      <c r="X288" s="143">
        <v>9</v>
      </c>
      <c r="Y288" s="9">
        <f t="shared" si="48"/>
        <v>3.8461538461538463</v>
      </c>
      <c r="Z288" s="8" t="str">
        <f t="array" ref="Z288">IF(Y288&gt;5,"Perlu Sensus",IF(AND(Y288&gt;=0,W288&gt;0),"Tetap Deteksi","Belum Deteksi"))</f>
        <v>Tetap Deteksi</v>
      </c>
      <c r="AA288" s="143">
        <v>20</v>
      </c>
      <c r="AB288" s="9">
        <f t="shared" si="49"/>
        <v>8.5470085470085468</v>
      </c>
      <c r="AC288" s="11"/>
      <c r="AD288" s="143"/>
      <c r="AE288" s="9">
        <f t="array" ref="AE288">IFERROR(AD288/$G288*100,0)</f>
        <v>0</v>
      </c>
      <c r="AF288" s="143"/>
      <c r="AG288" s="9">
        <f t="shared" si="50"/>
        <v>0</v>
      </c>
      <c r="AH288" s="8" t="str">
        <f t="array" ref="AH288">IF(AG288&gt;5,"Perlu Sensus",IF(AND(AG288&gt;=0,AD288&gt;0),"Tetap Deteksi","Belum Deteksi"))</f>
        <v>Belum Deteksi</v>
      </c>
      <c r="AI288" s="143"/>
      <c r="AJ288" s="9">
        <f t="shared" si="51"/>
        <v>0</v>
      </c>
      <c r="AK288" s="11"/>
      <c r="AL288" s="143"/>
      <c r="AM288" s="143"/>
      <c r="AN288" s="9">
        <f t="shared" si="52"/>
        <v>0</v>
      </c>
      <c r="AO288" s="8" t="str">
        <f t="array" ref="AO288">IF(AN288&gt;5,"Perlu Sensus",IF(AND(AN288&gt;=0,AL288&gt;0),"Tetap Deteksi","Belum Deteksi"))</f>
        <v>Belum Deteksi</v>
      </c>
      <c r="AP288" s="143"/>
      <c r="AQ288" s="9">
        <f t="shared" si="53"/>
        <v>0</v>
      </c>
    </row>
    <row r="289" spans="1:43" outlineLevel="1" x14ac:dyDescent="0.15">
      <c r="A289" s="8" t="s">
        <v>1739</v>
      </c>
      <c r="B289" s="8" t="s">
        <v>14</v>
      </c>
      <c r="C289" s="8" t="s">
        <v>323</v>
      </c>
      <c r="D289" s="8" t="s">
        <v>1153</v>
      </c>
      <c r="E289" s="9">
        <v>30.29</v>
      </c>
      <c r="F289" s="8" t="s">
        <v>1740</v>
      </c>
      <c r="G289" s="10">
        <v>4133</v>
      </c>
      <c r="H289" s="11">
        <f t="array" ref="H289">IF(OR(N289&gt;0,AC289&gt;0),MAX(N289,AC289),MAX(AK289,V289))</f>
        <v>46242</v>
      </c>
      <c r="I289" s="143">
        <f t="array" ref="I289">IF(SUM(O289,AD289)&gt;0,SUM(O289,AD289),SUM(AL289,W289))</f>
        <v>65</v>
      </c>
      <c r="J289" s="9">
        <f t="shared" si="44"/>
        <v>1.5727074764093878</v>
      </c>
      <c r="K289" s="143">
        <f t="shared" si="54"/>
        <v>1</v>
      </c>
      <c r="L289" s="9">
        <f t="shared" si="45"/>
        <v>1.5384615384615385</v>
      </c>
      <c r="M289" s="8" t="str">
        <f t="array" ref="M289">IF(L289&gt;5,"Perlu Sensus",IF(AND(L289&gt;=0,I289&gt;0),"Tetap Deteksi","Belum Deteksi"))</f>
        <v>Tetap Deteksi</v>
      </c>
      <c r="N289" s="11">
        <v>46242</v>
      </c>
      <c r="O289" s="143">
        <v>65</v>
      </c>
      <c r="P289" s="9">
        <f t="array" ref="P289">IFERROR(O289/$G289*100,0)</f>
        <v>1.5727074764093878</v>
      </c>
      <c r="Q289" s="143">
        <v>1</v>
      </c>
      <c r="R289" s="9">
        <f t="shared" si="46"/>
        <v>1.5384615384615385</v>
      </c>
      <c r="S289" s="8" t="str">
        <f t="array" ref="S289">IF(R289&gt;5,"Perlu Sensus",IF(AND(R289&gt;=0,O289&gt;0),"Tetap Deteksi","Belum Deteksi"))</f>
        <v>Tetap Deteksi</v>
      </c>
      <c r="T289" s="143">
        <v>3</v>
      </c>
      <c r="U289" s="9">
        <f t="shared" si="47"/>
        <v>4.6153846153846159</v>
      </c>
      <c r="V289" s="132">
        <v>46249</v>
      </c>
      <c r="W289" s="143">
        <v>384</v>
      </c>
      <c r="X289" s="143">
        <v>11</v>
      </c>
      <c r="Y289" s="9">
        <f t="shared" si="48"/>
        <v>2.864583333333333</v>
      </c>
      <c r="Z289" s="8" t="str">
        <f t="array" ref="Z289">IF(Y289&gt;5,"Perlu Sensus",IF(AND(Y289&gt;=0,W289&gt;0),"Tetap Deteksi","Belum Deteksi"))</f>
        <v>Tetap Deteksi</v>
      </c>
      <c r="AA289" s="143">
        <v>17</v>
      </c>
      <c r="AB289" s="9">
        <f t="shared" si="49"/>
        <v>4.4270833333333339</v>
      </c>
      <c r="AC289" s="11"/>
      <c r="AD289" s="143"/>
      <c r="AE289" s="9">
        <f t="array" ref="AE289">IFERROR(AD289/$G289*100,0)</f>
        <v>0</v>
      </c>
      <c r="AF289" s="143"/>
      <c r="AG289" s="9">
        <f t="shared" si="50"/>
        <v>0</v>
      </c>
      <c r="AH289" s="8" t="str">
        <f t="array" ref="AH289">IF(AG289&gt;5,"Perlu Sensus",IF(AND(AG289&gt;=0,AD289&gt;0),"Tetap Deteksi","Belum Deteksi"))</f>
        <v>Belum Deteksi</v>
      </c>
      <c r="AI289" s="143"/>
      <c r="AJ289" s="9">
        <f t="shared" si="51"/>
        <v>0</v>
      </c>
      <c r="AK289" s="11"/>
      <c r="AL289" s="143"/>
      <c r="AM289" s="143"/>
      <c r="AN289" s="9">
        <f t="shared" si="52"/>
        <v>0</v>
      </c>
      <c r="AO289" s="8" t="str">
        <f t="array" ref="AO289">IF(AN289&gt;5,"Perlu Sensus",IF(AND(AN289&gt;=0,AL289&gt;0),"Tetap Deteksi","Belum Deteksi"))</f>
        <v>Belum Deteksi</v>
      </c>
      <c r="AP289" s="143"/>
      <c r="AQ289" s="9">
        <f t="shared" si="53"/>
        <v>0</v>
      </c>
    </row>
    <row r="290" spans="1:43" outlineLevel="1" x14ac:dyDescent="0.15">
      <c r="A290" s="8" t="s">
        <v>1739</v>
      </c>
      <c r="B290" s="8" t="s">
        <v>14</v>
      </c>
      <c r="C290" s="8" t="s">
        <v>323</v>
      </c>
      <c r="D290" s="8" t="s">
        <v>1154</v>
      </c>
      <c r="E290" s="9">
        <v>22.15</v>
      </c>
      <c r="F290" s="8" t="s">
        <v>1740</v>
      </c>
      <c r="G290" s="10">
        <v>2987</v>
      </c>
      <c r="H290" s="11">
        <f t="array" ref="H290">IF(OR(N290&gt;0,AC290&gt;0),MAX(N290,AC290),MAX(AK290,V290))</f>
        <v>46242</v>
      </c>
      <c r="I290" s="143">
        <f t="array" ref="I290">IF(SUM(O290,AD290)&gt;0,SUM(O290,AD290),SUM(AL290,W290))</f>
        <v>63</v>
      </c>
      <c r="J290" s="9">
        <f t="shared" si="44"/>
        <v>2.1091396049548039</v>
      </c>
      <c r="K290" s="143">
        <f t="shared" si="54"/>
        <v>1</v>
      </c>
      <c r="L290" s="9">
        <f t="shared" si="45"/>
        <v>1.5873015873015872</v>
      </c>
      <c r="M290" s="8" t="str">
        <f t="array" ref="M290">IF(L290&gt;5,"Perlu Sensus",IF(AND(L290&gt;=0,I290&gt;0),"Tetap Deteksi","Belum Deteksi"))</f>
        <v>Tetap Deteksi</v>
      </c>
      <c r="N290" s="11">
        <v>46242</v>
      </c>
      <c r="O290" s="143">
        <v>63</v>
      </c>
      <c r="P290" s="9">
        <f t="array" ref="P290">IFERROR(O290/$G290*100,0)</f>
        <v>2.1091396049548039</v>
      </c>
      <c r="Q290" s="143">
        <v>1</v>
      </c>
      <c r="R290" s="9">
        <f t="shared" si="46"/>
        <v>1.5873015873015872</v>
      </c>
      <c r="S290" s="8" t="str">
        <f t="array" ref="S290">IF(R290&gt;5,"Perlu Sensus",IF(AND(R290&gt;=0,O290&gt;0),"Tetap Deteksi","Belum Deteksi"))</f>
        <v>Tetap Deteksi</v>
      </c>
      <c r="T290" s="143">
        <v>5</v>
      </c>
      <c r="U290" s="9">
        <f t="shared" si="47"/>
        <v>7.9365079365079358</v>
      </c>
      <c r="V290" s="132">
        <v>46249</v>
      </c>
      <c r="W290" s="143">
        <v>298</v>
      </c>
      <c r="X290" s="143">
        <v>9</v>
      </c>
      <c r="Y290" s="9">
        <f t="shared" si="48"/>
        <v>3.0201342281879198</v>
      </c>
      <c r="Z290" s="8" t="str">
        <f t="array" ref="Z290">IF(Y290&gt;5,"Perlu Sensus",IF(AND(Y290&gt;=0,W290&gt;0),"Tetap Deteksi","Belum Deteksi"))</f>
        <v>Tetap Deteksi</v>
      </c>
      <c r="AA290" s="143">
        <v>18</v>
      </c>
      <c r="AB290" s="9">
        <f t="shared" si="49"/>
        <v>6.0402684563758395</v>
      </c>
      <c r="AC290" s="11"/>
      <c r="AD290" s="143"/>
      <c r="AE290" s="9">
        <f t="array" ref="AE290">IFERROR(AD290/$G290*100,0)</f>
        <v>0</v>
      </c>
      <c r="AF290" s="143"/>
      <c r="AG290" s="9">
        <f t="shared" si="50"/>
        <v>0</v>
      </c>
      <c r="AH290" s="8" t="str">
        <f t="array" ref="AH290">IF(AG290&gt;5,"Perlu Sensus",IF(AND(AG290&gt;=0,AD290&gt;0),"Tetap Deteksi","Belum Deteksi"))</f>
        <v>Belum Deteksi</v>
      </c>
      <c r="AI290" s="143"/>
      <c r="AJ290" s="9">
        <f t="shared" si="51"/>
        <v>0</v>
      </c>
      <c r="AK290" s="11"/>
      <c r="AL290" s="143"/>
      <c r="AM290" s="143"/>
      <c r="AN290" s="9">
        <f t="shared" si="52"/>
        <v>0</v>
      </c>
      <c r="AO290" s="8" t="str">
        <f t="array" ref="AO290">IF(AN290&gt;5,"Perlu Sensus",IF(AND(AN290&gt;=0,AL290&gt;0),"Tetap Deteksi","Belum Deteksi"))</f>
        <v>Belum Deteksi</v>
      </c>
      <c r="AP290" s="143"/>
      <c r="AQ290" s="9">
        <f t="shared" si="53"/>
        <v>0</v>
      </c>
    </row>
    <row r="291" spans="1:43" outlineLevel="1" x14ac:dyDescent="0.15">
      <c r="A291" s="8" t="s">
        <v>1739</v>
      </c>
      <c r="B291" s="8" t="s">
        <v>14</v>
      </c>
      <c r="C291" s="8" t="s">
        <v>323</v>
      </c>
      <c r="D291" s="8" t="s">
        <v>1155</v>
      </c>
      <c r="E291" s="9">
        <v>25.45</v>
      </c>
      <c r="F291" s="8" t="s">
        <v>1740</v>
      </c>
      <c r="G291" s="10">
        <v>3312</v>
      </c>
      <c r="H291" s="11">
        <f t="array" ref="H291">IF(OR(N291&gt;0,AC291&gt;0),MAX(N291,AC291),MAX(AK291,V291))</f>
        <v>46244</v>
      </c>
      <c r="I291" s="143">
        <f t="array" ref="I291">IF(SUM(O291,AD291)&gt;0,SUM(O291,AD291),SUM(AL291,W291))</f>
        <v>68</v>
      </c>
      <c r="J291" s="9">
        <f t="shared" si="44"/>
        <v>2.0531400966183577</v>
      </c>
      <c r="K291" s="143">
        <f t="shared" si="54"/>
        <v>2</v>
      </c>
      <c r="L291" s="9">
        <f t="shared" si="45"/>
        <v>2.9411764705882351</v>
      </c>
      <c r="M291" s="8" t="str">
        <f t="array" ref="M291">IF(L291&gt;5,"Perlu Sensus",IF(AND(L291&gt;=0,I291&gt;0),"Tetap Deteksi","Belum Deteksi"))</f>
        <v>Tetap Deteksi</v>
      </c>
      <c r="N291" s="11">
        <v>46244</v>
      </c>
      <c r="O291" s="143">
        <v>68</v>
      </c>
      <c r="P291" s="9">
        <f t="array" ref="P291">IFERROR(O291/$G291*100,0)</f>
        <v>2.0531400966183577</v>
      </c>
      <c r="Q291" s="143">
        <v>2</v>
      </c>
      <c r="R291" s="9">
        <f t="shared" si="46"/>
        <v>2.9411764705882351</v>
      </c>
      <c r="S291" s="8" t="str">
        <f t="array" ref="S291">IF(R291&gt;5,"Perlu Sensus",IF(AND(R291&gt;=0,O291&gt;0),"Tetap Deteksi","Belum Deteksi"))</f>
        <v>Tetap Deteksi</v>
      </c>
      <c r="T291" s="143">
        <v>4</v>
      </c>
      <c r="U291" s="9">
        <f t="shared" si="47"/>
        <v>5.8823529411764701</v>
      </c>
      <c r="V291" s="132">
        <v>46249</v>
      </c>
      <c r="W291" s="143">
        <v>436</v>
      </c>
      <c r="X291" s="143">
        <v>9</v>
      </c>
      <c r="Y291" s="9">
        <f t="shared" si="48"/>
        <v>2.0642201834862388</v>
      </c>
      <c r="Z291" s="8" t="str">
        <f t="array" ref="Z291">IF(Y291&gt;5,"Perlu Sensus",IF(AND(Y291&gt;=0,W291&gt;0),"Tetap Deteksi","Belum Deteksi"))</f>
        <v>Tetap Deteksi</v>
      </c>
      <c r="AA291" s="143">
        <v>19</v>
      </c>
      <c r="AB291" s="9">
        <f t="shared" si="49"/>
        <v>4.3577981651376145</v>
      </c>
      <c r="AC291" s="11"/>
      <c r="AD291" s="143"/>
      <c r="AE291" s="9">
        <f t="array" ref="AE291">IFERROR(AD291/$G291*100,0)</f>
        <v>0</v>
      </c>
      <c r="AF291" s="143"/>
      <c r="AG291" s="9">
        <f t="shared" si="50"/>
        <v>0</v>
      </c>
      <c r="AH291" s="8" t="str">
        <f t="array" ref="AH291">IF(AG291&gt;5,"Perlu Sensus",IF(AND(AG291&gt;=0,AD291&gt;0),"Tetap Deteksi","Belum Deteksi"))</f>
        <v>Belum Deteksi</v>
      </c>
      <c r="AI291" s="143"/>
      <c r="AJ291" s="9">
        <f t="shared" si="51"/>
        <v>0</v>
      </c>
      <c r="AK291" s="11"/>
      <c r="AL291" s="143"/>
      <c r="AM291" s="143"/>
      <c r="AN291" s="9">
        <f t="shared" si="52"/>
        <v>0</v>
      </c>
      <c r="AO291" s="8" t="str">
        <f t="array" ref="AO291">IF(AN291&gt;5,"Perlu Sensus",IF(AND(AN291&gt;=0,AL291&gt;0),"Tetap Deteksi","Belum Deteksi"))</f>
        <v>Belum Deteksi</v>
      </c>
      <c r="AP291" s="143"/>
      <c r="AQ291" s="9">
        <f t="shared" si="53"/>
        <v>0</v>
      </c>
    </row>
    <row r="292" spans="1:43" outlineLevel="1" x14ac:dyDescent="0.15">
      <c r="A292" s="8" t="s">
        <v>1739</v>
      </c>
      <c r="B292" s="8" t="s">
        <v>14</v>
      </c>
      <c r="C292" s="8" t="s">
        <v>323</v>
      </c>
      <c r="D292" s="8" t="s">
        <v>1156</v>
      </c>
      <c r="E292" s="9">
        <v>30.1</v>
      </c>
      <c r="F292" s="8" t="s">
        <v>1740</v>
      </c>
      <c r="G292" s="10">
        <v>3956</v>
      </c>
      <c r="H292" s="11">
        <f t="array" ref="H292">IF(OR(N292&gt;0,AC292&gt;0),MAX(N292,AC292),MAX(AK292,V292))</f>
        <v>46244</v>
      </c>
      <c r="I292" s="143">
        <f t="array" ref="I292">IF(SUM(O292,AD292)&gt;0,SUM(O292,AD292),SUM(AL292,W292))</f>
        <v>62</v>
      </c>
      <c r="J292" s="9">
        <f t="shared" si="44"/>
        <v>1.5672396359959553</v>
      </c>
      <c r="K292" s="143">
        <f t="shared" si="54"/>
        <v>1</v>
      </c>
      <c r="L292" s="9">
        <f t="shared" si="45"/>
        <v>1.6129032258064515</v>
      </c>
      <c r="M292" s="8" t="str">
        <f t="array" ref="M292">IF(L292&gt;5,"Perlu Sensus",IF(AND(L292&gt;=0,I292&gt;0),"Tetap Deteksi","Belum Deteksi"))</f>
        <v>Tetap Deteksi</v>
      </c>
      <c r="N292" s="11">
        <v>46244</v>
      </c>
      <c r="O292" s="143">
        <v>62</v>
      </c>
      <c r="P292" s="9">
        <f t="array" ref="P292">IFERROR(O292/$G292*100,0)</f>
        <v>1.5672396359959553</v>
      </c>
      <c r="Q292" s="143">
        <v>1</v>
      </c>
      <c r="R292" s="9">
        <f t="shared" si="46"/>
        <v>1.6129032258064515</v>
      </c>
      <c r="S292" s="8" t="str">
        <f t="array" ref="S292">IF(R292&gt;5,"Perlu Sensus",IF(AND(R292&gt;=0,O292&gt;0),"Tetap Deteksi","Belum Deteksi"))</f>
        <v>Tetap Deteksi</v>
      </c>
      <c r="T292" s="143">
        <v>3</v>
      </c>
      <c r="U292" s="9">
        <f t="shared" si="47"/>
        <v>4.838709677419355</v>
      </c>
      <c r="V292" s="132">
        <v>46249</v>
      </c>
      <c r="W292" s="143">
        <v>426</v>
      </c>
      <c r="X292" s="143">
        <v>16</v>
      </c>
      <c r="Y292" s="9">
        <f t="shared" si="48"/>
        <v>3.755868544600939</v>
      </c>
      <c r="Z292" s="8" t="str">
        <f t="array" ref="Z292">IF(Y292&gt;5,"Perlu Sensus",IF(AND(Y292&gt;=0,W292&gt;0),"Tetap Deteksi","Belum Deteksi"))</f>
        <v>Tetap Deteksi</v>
      </c>
      <c r="AA292" s="143">
        <v>20</v>
      </c>
      <c r="AB292" s="9">
        <f t="shared" si="49"/>
        <v>4.6948356807511731</v>
      </c>
      <c r="AC292" s="11"/>
      <c r="AD292" s="143"/>
      <c r="AE292" s="9">
        <f t="array" ref="AE292">IFERROR(AD292/$G292*100,0)</f>
        <v>0</v>
      </c>
      <c r="AF292" s="143"/>
      <c r="AG292" s="9">
        <f t="shared" si="50"/>
        <v>0</v>
      </c>
      <c r="AH292" s="8" t="str">
        <f t="array" ref="AH292">IF(AG292&gt;5,"Perlu Sensus",IF(AND(AG292&gt;=0,AD292&gt;0),"Tetap Deteksi","Belum Deteksi"))</f>
        <v>Belum Deteksi</v>
      </c>
      <c r="AI292" s="143"/>
      <c r="AJ292" s="9">
        <f t="shared" si="51"/>
        <v>0</v>
      </c>
      <c r="AK292" s="11"/>
      <c r="AL292" s="143"/>
      <c r="AM292" s="143"/>
      <c r="AN292" s="9">
        <f t="shared" si="52"/>
        <v>0</v>
      </c>
      <c r="AO292" s="8" t="str">
        <f t="array" ref="AO292">IF(AN292&gt;5,"Perlu Sensus",IF(AND(AN292&gt;=0,AL292&gt;0),"Tetap Deteksi","Belum Deteksi"))</f>
        <v>Belum Deteksi</v>
      </c>
      <c r="AP292" s="143"/>
      <c r="AQ292" s="9">
        <f t="shared" si="53"/>
        <v>0</v>
      </c>
    </row>
    <row r="293" spans="1:43" outlineLevel="1" x14ac:dyDescent="0.15">
      <c r="A293" s="8" t="s">
        <v>1739</v>
      </c>
      <c r="B293" s="8" t="s">
        <v>14</v>
      </c>
      <c r="C293" s="8" t="s">
        <v>323</v>
      </c>
      <c r="D293" s="8" t="s">
        <v>1157</v>
      </c>
      <c r="E293" s="9">
        <v>27.13</v>
      </c>
      <c r="F293" s="8" t="s">
        <v>1740</v>
      </c>
      <c r="G293" s="10">
        <v>3388</v>
      </c>
      <c r="H293" s="11">
        <f t="array" ref="H293">IF(OR(N293&gt;0,AC293&gt;0),MAX(N293,AC293),MAX(AK293,V293))</f>
        <v>46245</v>
      </c>
      <c r="I293" s="143">
        <f t="array" ref="I293">IF(SUM(O293,AD293)&gt;0,SUM(O293,AD293),SUM(AL293,W293))</f>
        <v>88</v>
      </c>
      <c r="J293" s="9">
        <f t="shared" si="44"/>
        <v>2.5974025974025974</v>
      </c>
      <c r="K293" s="143">
        <f t="shared" si="54"/>
        <v>1</v>
      </c>
      <c r="L293" s="9">
        <f t="shared" si="45"/>
        <v>1.1363636363636365</v>
      </c>
      <c r="M293" s="8" t="str">
        <f t="array" ref="M293">IF(L293&gt;5,"Perlu Sensus",IF(AND(L293&gt;=0,I293&gt;0),"Tetap Deteksi","Belum Deteksi"))</f>
        <v>Tetap Deteksi</v>
      </c>
      <c r="N293" s="11">
        <v>46245</v>
      </c>
      <c r="O293" s="143">
        <v>88</v>
      </c>
      <c r="P293" s="9">
        <f t="array" ref="P293">IFERROR(O293/$G293*100,0)</f>
        <v>2.5974025974025974</v>
      </c>
      <c r="Q293" s="143">
        <v>1</v>
      </c>
      <c r="R293" s="9">
        <f t="shared" si="46"/>
        <v>1.1363636363636365</v>
      </c>
      <c r="S293" s="8" t="str">
        <f t="array" ref="S293">IF(R293&gt;5,"Perlu Sensus",IF(AND(R293&gt;=0,O293&gt;0),"Tetap Deteksi","Belum Deteksi"))</f>
        <v>Tetap Deteksi</v>
      </c>
      <c r="T293" s="143">
        <v>3</v>
      </c>
      <c r="U293" s="9">
        <f t="shared" si="47"/>
        <v>3.4090909090909087</v>
      </c>
      <c r="V293" s="132">
        <v>46249</v>
      </c>
      <c r="W293" s="143">
        <v>295</v>
      </c>
      <c r="X293" s="143">
        <v>5</v>
      </c>
      <c r="Y293" s="9">
        <f t="shared" si="48"/>
        <v>1.6949152542372881</v>
      </c>
      <c r="Z293" s="8" t="str">
        <f t="array" ref="Z293">IF(Y293&gt;5,"Perlu Sensus",IF(AND(Y293&gt;=0,W293&gt;0),"Tetap Deteksi","Belum Deteksi"))</f>
        <v>Tetap Deteksi</v>
      </c>
      <c r="AA293" s="143">
        <v>16</v>
      </c>
      <c r="AB293" s="9">
        <f t="shared" si="49"/>
        <v>5.4237288135593218</v>
      </c>
      <c r="AC293" s="11"/>
      <c r="AD293" s="143"/>
      <c r="AE293" s="9">
        <f t="array" ref="AE293">IFERROR(AD293/$G293*100,0)</f>
        <v>0</v>
      </c>
      <c r="AF293" s="143"/>
      <c r="AG293" s="9">
        <f t="shared" si="50"/>
        <v>0</v>
      </c>
      <c r="AH293" s="8" t="str">
        <f t="array" ref="AH293">IF(AG293&gt;5,"Perlu Sensus",IF(AND(AG293&gt;=0,AD293&gt;0),"Tetap Deteksi","Belum Deteksi"))</f>
        <v>Belum Deteksi</v>
      </c>
      <c r="AI293" s="143"/>
      <c r="AJ293" s="9">
        <f t="shared" si="51"/>
        <v>0</v>
      </c>
      <c r="AK293" s="11"/>
      <c r="AL293" s="143"/>
      <c r="AM293" s="143"/>
      <c r="AN293" s="9">
        <f t="shared" si="52"/>
        <v>0</v>
      </c>
      <c r="AO293" s="8" t="str">
        <f t="array" ref="AO293">IF(AN293&gt;5,"Perlu Sensus",IF(AND(AN293&gt;=0,AL293&gt;0),"Tetap Deteksi","Belum Deteksi"))</f>
        <v>Belum Deteksi</v>
      </c>
      <c r="AP293" s="143"/>
      <c r="AQ293" s="9">
        <f t="shared" si="53"/>
        <v>0</v>
      </c>
    </row>
    <row r="294" spans="1:43" outlineLevel="1" x14ac:dyDescent="0.15">
      <c r="A294" s="8" t="s">
        <v>1739</v>
      </c>
      <c r="B294" s="8" t="s">
        <v>14</v>
      </c>
      <c r="C294" s="8" t="s">
        <v>323</v>
      </c>
      <c r="D294" s="8" t="s">
        <v>1158</v>
      </c>
      <c r="E294" s="9">
        <v>26.62</v>
      </c>
      <c r="F294" s="8" t="s">
        <v>1740</v>
      </c>
      <c r="G294" s="10">
        <v>3540</v>
      </c>
      <c r="H294" s="11">
        <f t="array" ref="H294">IF(OR(N294&gt;0,AC294&gt;0),MAX(N294,AC294),MAX(AK294,V294))</f>
        <v>46245</v>
      </c>
      <c r="I294" s="143">
        <f t="array" ref="I294">IF(SUM(O294,AD294)&gt;0,SUM(O294,AD294),SUM(AL294,W294))</f>
        <v>65</v>
      </c>
      <c r="J294" s="9">
        <f t="shared" si="44"/>
        <v>1.8361581920903955</v>
      </c>
      <c r="K294" s="143">
        <f t="shared" si="54"/>
        <v>2</v>
      </c>
      <c r="L294" s="9">
        <f t="shared" si="45"/>
        <v>3.0769230769230771</v>
      </c>
      <c r="M294" s="8" t="str">
        <f t="array" ref="M294">IF(L294&gt;5,"Perlu Sensus",IF(AND(L294&gt;=0,I294&gt;0),"Tetap Deteksi","Belum Deteksi"))</f>
        <v>Tetap Deteksi</v>
      </c>
      <c r="N294" s="11">
        <v>46245</v>
      </c>
      <c r="O294" s="143">
        <v>65</v>
      </c>
      <c r="P294" s="9">
        <f t="array" ref="P294">IFERROR(O294/$G294*100,0)</f>
        <v>1.8361581920903955</v>
      </c>
      <c r="Q294" s="143">
        <v>2</v>
      </c>
      <c r="R294" s="9">
        <f t="shared" si="46"/>
        <v>3.0769230769230771</v>
      </c>
      <c r="S294" s="8" t="str">
        <f t="array" ref="S294">IF(R294&gt;5,"Perlu Sensus",IF(AND(R294&gt;=0,O294&gt;0),"Tetap Deteksi","Belum Deteksi"))</f>
        <v>Tetap Deteksi</v>
      </c>
      <c r="T294" s="143">
        <v>2</v>
      </c>
      <c r="U294" s="9">
        <f t="shared" si="47"/>
        <v>3.0769230769230771</v>
      </c>
      <c r="V294" s="132">
        <v>46249</v>
      </c>
      <c r="W294" s="143">
        <v>388</v>
      </c>
      <c r="X294" s="143">
        <v>11</v>
      </c>
      <c r="Y294" s="9">
        <f t="shared" si="48"/>
        <v>2.8350515463917527</v>
      </c>
      <c r="Z294" s="8" t="str">
        <f t="array" ref="Z294">IF(Y294&gt;5,"Perlu Sensus",IF(AND(Y294&gt;=0,W294&gt;0),"Tetap Deteksi","Belum Deteksi"))</f>
        <v>Tetap Deteksi</v>
      </c>
      <c r="AA294" s="143">
        <v>15</v>
      </c>
      <c r="AB294" s="9">
        <f t="shared" si="49"/>
        <v>3.865979381443299</v>
      </c>
      <c r="AC294" s="11"/>
      <c r="AD294" s="143"/>
      <c r="AE294" s="9">
        <f t="array" ref="AE294">IFERROR(AD294/$G294*100,0)</f>
        <v>0</v>
      </c>
      <c r="AF294" s="143"/>
      <c r="AG294" s="9">
        <f t="shared" si="50"/>
        <v>0</v>
      </c>
      <c r="AH294" s="8" t="str">
        <f t="array" ref="AH294">IF(AG294&gt;5,"Perlu Sensus",IF(AND(AG294&gt;=0,AD294&gt;0),"Tetap Deteksi","Belum Deteksi"))</f>
        <v>Belum Deteksi</v>
      </c>
      <c r="AI294" s="143"/>
      <c r="AJ294" s="9">
        <f t="shared" si="51"/>
        <v>0</v>
      </c>
      <c r="AK294" s="11"/>
      <c r="AL294" s="143"/>
      <c r="AM294" s="143"/>
      <c r="AN294" s="9">
        <f t="shared" si="52"/>
        <v>0</v>
      </c>
      <c r="AO294" s="8" t="str">
        <f t="array" ref="AO294">IF(AN294&gt;5,"Perlu Sensus",IF(AND(AN294&gt;=0,AL294&gt;0),"Tetap Deteksi","Belum Deteksi"))</f>
        <v>Belum Deteksi</v>
      </c>
      <c r="AP294" s="143"/>
      <c r="AQ294" s="9">
        <f t="shared" si="53"/>
        <v>0</v>
      </c>
    </row>
    <row r="295" spans="1:43" outlineLevel="1" x14ac:dyDescent="0.15">
      <c r="A295" s="8" t="s">
        <v>1739</v>
      </c>
      <c r="B295" s="8" t="s">
        <v>14</v>
      </c>
      <c r="C295" s="8" t="s">
        <v>323</v>
      </c>
      <c r="D295" s="8" t="s">
        <v>1159</v>
      </c>
      <c r="E295" s="9">
        <v>33.36</v>
      </c>
      <c r="F295" s="8" t="s">
        <v>1740</v>
      </c>
      <c r="G295" s="10">
        <v>4591</v>
      </c>
      <c r="H295" s="11">
        <f t="array" ref="H295">IF(OR(N295&gt;0,AC295&gt;0),MAX(N295,AC295),MAX(AK295,V295))</f>
        <v>46246</v>
      </c>
      <c r="I295" s="143">
        <f t="array" ref="I295">IF(SUM(O295,AD295)&gt;0,SUM(O295,AD295),SUM(AL295,W295))</f>
        <v>68</v>
      </c>
      <c r="J295" s="9">
        <f t="shared" si="44"/>
        <v>1.4811587889348725</v>
      </c>
      <c r="K295" s="143">
        <f t="shared" si="54"/>
        <v>1</v>
      </c>
      <c r="L295" s="9">
        <f t="shared" si="45"/>
        <v>1.4705882352941175</v>
      </c>
      <c r="M295" s="8" t="str">
        <f t="array" ref="M295">IF(L295&gt;5,"Perlu Sensus",IF(AND(L295&gt;=0,I295&gt;0),"Tetap Deteksi","Belum Deteksi"))</f>
        <v>Tetap Deteksi</v>
      </c>
      <c r="N295" s="11">
        <v>46246</v>
      </c>
      <c r="O295" s="143">
        <v>68</v>
      </c>
      <c r="P295" s="9">
        <f t="array" ref="P295">IFERROR(O295/$G295*100,0)</f>
        <v>1.4811587889348725</v>
      </c>
      <c r="Q295" s="143">
        <v>1</v>
      </c>
      <c r="R295" s="9">
        <f t="shared" si="46"/>
        <v>1.4705882352941175</v>
      </c>
      <c r="S295" s="8" t="str">
        <f t="array" ref="S295">IF(R295&gt;5,"Perlu Sensus",IF(AND(R295&gt;=0,O295&gt;0),"Tetap Deteksi","Belum Deteksi"))</f>
        <v>Tetap Deteksi</v>
      </c>
      <c r="T295" s="143">
        <v>5</v>
      </c>
      <c r="U295" s="9">
        <f t="shared" si="47"/>
        <v>7.3529411764705888</v>
      </c>
      <c r="V295" s="132">
        <v>46249</v>
      </c>
      <c r="W295" s="143">
        <v>271</v>
      </c>
      <c r="X295" s="143">
        <v>10</v>
      </c>
      <c r="Y295" s="9">
        <f t="shared" si="48"/>
        <v>3.6900369003690034</v>
      </c>
      <c r="Z295" s="8" t="str">
        <f t="array" ref="Z295">IF(Y295&gt;5,"Perlu Sensus",IF(AND(Y295&gt;=0,W295&gt;0),"Tetap Deteksi","Belum Deteksi"))</f>
        <v>Tetap Deteksi</v>
      </c>
      <c r="AA295" s="143">
        <v>14</v>
      </c>
      <c r="AB295" s="9">
        <f t="shared" si="49"/>
        <v>5.1660516605166054</v>
      </c>
      <c r="AC295" s="11"/>
      <c r="AD295" s="143"/>
      <c r="AE295" s="9">
        <f t="array" ref="AE295">IFERROR(AD295/$G295*100,0)</f>
        <v>0</v>
      </c>
      <c r="AF295" s="143"/>
      <c r="AG295" s="9">
        <f t="shared" si="50"/>
        <v>0</v>
      </c>
      <c r="AH295" s="8" t="str">
        <f t="array" ref="AH295">IF(AG295&gt;5,"Perlu Sensus",IF(AND(AG295&gt;=0,AD295&gt;0),"Tetap Deteksi","Belum Deteksi"))</f>
        <v>Belum Deteksi</v>
      </c>
      <c r="AI295" s="143"/>
      <c r="AJ295" s="9">
        <f t="shared" si="51"/>
        <v>0</v>
      </c>
      <c r="AK295" s="11"/>
      <c r="AL295" s="143"/>
      <c r="AM295" s="143"/>
      <c r="AN295" s="9">
        <f t="shared" si="52"/>
        <v>0</v>
      </c>
      <c r="AO295" s="8" t="str">
        <f t="array" ref="AO295">IF(AN295&gt;5,"Perlu Sensus",IF(AND(AN295&gt;=0,AL295&gt;0),"Tetap Deteksi","Belum Deteksi"))</f>
        <v>Belum Deteksi</v>
      </c>
      <c r="AP295" s="143"/>
      <c r="AQ295" s="9">
        <f t="shared" si="53"/>
        <v>0</v>
      </c>
    </row>
    <row r="296" spans="1:43" outlineLevel="1" x14ac:dyDescent="0.15">
      <c r="A296" s="8" t="s">
        <v>1739</v>
      </c>
      <c r="B296" s="8" t="s">
        <v>14</v>
      </c>
      <c r="C296" s="8" t="s">
        <v>323</v>
      </c>
      <c r="D296" s="8" t="s">
        <v>1160</v>
      </c>
      <c r="E296" s="9">
        <v>46.45</v>
      </c>
      <c r="F296" s="8" t="s">
        <v>1740</v>
      </c>
      <c r="G296" s="10">
        <v>6421</v>
      </c>
      <c r="H296" s="11">
        <f t="array" ref="H296">IF(OR(N296&gt;0,AC296&gt;0),MAX(N296,AC296),MAX(AK296,V296))</f>
        <v>46246</v>
      </c>
      <c r="I296" s="143">
        <f t="array" ref="I296">IF(SUM(O296,AD296)&gt;0,SUM(O296,AD296),SUM(AL296,W296))</f>
        <v>75</v>
      </c>
      <c r="J296" s="9">
        <f t="shared" si="44"/>
        <v>1.1680423610029589</v>
      </c>
      <c r="K296" s="143">
        <f t="shared" si="54"/>
        <v>1</v>
      </c>
      <c r="L296" s="9">
        <f t="shared" si="45"/>
        <v>1.3333333333333335</v>
      </c>
      <c r="M296" s="8" t="str">
        <f t="array" ref="M296">IF(L296&gt;5,"Perlu Sensus",IF(AND(L296&gt;=0,I296&gt;0),"Tetap Deteksi","Belum Deteksi"))</f>
        <v>Tetap Deteksi</v>
      </c>
      <c r="N296" s="11">
        <v>46246</v>
      </c>
      <c r="O296" s="143">
        <v>75</v>
      </c>
      <c r="P296" s="9">
        <f t="array" ref="P296">IFERROR(O296/$G296*100,0)</f>
        <v>1.1680423610029589</v>
      </c>
      <c r="Q296" s="143">
        <v>1</v>
      </c>
      <c r="R296" s="9">
        <f t="shared" si="46"/>
        <v>1.3333333333333335</v>
      </c>
      <c r="S296" s="8" t="str">
        <f t="array" ref="S296">IF(R296&gt;5,"Perlu Sensus",IF(AND(R296&gt;=0,O296&gt;0),"Tetap Deteksi","Belum Deteksi"))</f>
        <v>Tetap Deteksi</v>
      </c>
      <c r="T296" s="143">
        <v>3</v>
      </c>
      <c r="U296" s="9">
        <f t="shared" si="47"/>
        <v>4</v>
      </c>
      <c r="V296" s="132">
        <v>46249</v>
      </c>
      <c r="W296" s="143">
        <v>283</v>
      </c>
      <c r="X296" s="143">
        <v>7</v>
      </c>
      <c r="Y296" s="9">
        <f t="shared" si="48"/>
        <v>2.4734982332155475</v>
      </c>
      <c r="Z296" s="8" t="str">
        <f t="array" ref="Z296">IF(Y296&gt;5,"Perlu Sensus",IF(AND(Y296&gt;=0,W296&gt;0),"Tetap Deteksi","Belum Deteksi"))</f>
        <v>Tetap Deteksi</v>
      </c>
      <c r="AA296" s="143">
        <v>18</v>
      </c>
      <c r="AB296" s="9">
        <f t="shared" si="49"/>
        <v>6.3604240282685502</v>
      </c>
      <c r="AC296" s="11"/>
      <c r="AD296" s="143"/>
      <c r="AE296" s="9">
        <f t="array" ref="AE296">IFERROR(AD296/$G296*100,0)</f>
        <v>0</v>
      </c>
      <c r="AF296" s="143"/>
      <c r="AG296" s="9">
        <f t="shared" si="50"/>
        <v>0</v>
      </c>
      <c r="AH296" s="8" t="str">
        <f t="array" ref="AH296">IF(AG296&gt;5,"Perlu Sensus",IF(AND(AG296&gt;=0,AD296&gt;0),"Tetap Deteksi","Belum Deteksi"))</f>
        <v>Belum Deteksi</v>
      </c>
      <c r="AI296" s="143"/>
      <c r="AJ296" s="9">
        <f t="shared" si="51"/>
        <v>0</v>
      </c>
      <c r="AK296" s="11"/>
      <c r="AL296" s="143"/>
      <c r="AM296" s="143"/>
      <c r="AN296" s="9">
        <f t="shared" si="52"/>
        <v>0</v>
      </c>
      <c r="AO296" s="8" t="str">
        <f t="array" ref="AO296">IF(AN296&gt;5,"Perlu Sensus",IF(AND(AN296&gt;=0,AL296&gt;0),"Tetap Deteksi","Belum Deteksi"))</f>
        <v>Belum Deteksi</v>
      </c>
      <c r="AP296" s="143"/>
      <c r="AQ296" s="9">
        <f t="shared" si="53"/>
        <v>0</v>
      </c>
    </row>
    <row r="297" spans="1:43" outlineLevel="1" x14ac:dyDescent="0.15">
      <c r="A297" s="8" t="s">
        <v>1739</v>
      </c>
      <c r="B297" s="8" t="s">
        <v>14</v>
      </c>
      <c r="C297" s="8" t="s">
        <v>323</v>
      </c>
      <c r="D297" s="8" t="s">
        <v>1161</v>
      </c>
      <c r="E297" s="9">
        <v>30.97</v>
      </c>
      <c r="F297" s="8" t="s">
        <v>1740</v>
      </c>
      <c r="G297" s="10">
        <v>4152</v>
      </c>
      <c r="H297" s="11">
        <f t="array" ref="H297">IF(OR(N297&gt;0,AC297&gt;0),MAX(N297,AC297),MAX(AK297,V297))</f>
        <v>46247</v>
      </c>
      <c r="I297" s="143">
        <f t="array" ref="I297">IF(SUM(O297,AD297)&gt;0,SUM(O297,AD297),SUM(AL297,W297))</f>
        <v>73</v>
      </c>
      <c r="J297" s="9">
        <f t="shared" si="44"/>
        <v>1.7581888246628132</v>
      </c>
      <c r="K297" s="143">
        <f t="shared" si="54"/>
        <v>1</v>
      </c>
      <c r="L297" s="9">
        <f t="shared" si="45"/>
        <v>1.3698630136986301</v>
      </c>
      <c r="M297" s="8" t="str">
        <f t="array" ref="M297">IF(L297&gt;5,"Perlu Sensus",IF(AND(L297&gt;=0,I297&gt;0),"Tetap Deteksi","Belum Deteksi"))</f>
        <v>Tetap Deteksi</v>
      </c>
      <c r="N297" s="11">
        <v>46247</v>
      </c>
      <c r="O297" s="143">
        <v>73</v>
      </c>
      <c r="P297" s="9">
        <f t="array" ref="P297">IFERROR(O297/$G297*100,0)</f>
        <v>1.7581888246628132</v>
      </c>
      <c r="Q297" s="143">
        <v>1</v>
      </c>
      <c r="R297" s="9">
        <f t="shared" si="46"/>
        <v>1.3698630136986301</v>
      </c>
      <c r="S297" s="8" t="str">
        <f t="array" ref="S297">IF(R297&gt;5,"Perlu Sensus",IF(AND(R297&gt;=0,O297&gt;0),"Tetap Deteksi","Belum Deteksi"))</f>
        <v>Tetap Deteksi</v>
      </c>
      <c r="T297" s="143">
        <v>3</v>
      </c>
      <c r="U297" s="9">
        <f t="shared" si="47"/>
        <v>4.10958904109589</v>
      </c>
      <c r="V297" s="132">
        <v>46249</v>
      </c>
      <c r="W297" s="143">
        <v>226</v>
      </c>
      <c r="X297" s="143">
        <v>9</v>
      </c>
      <c r="Y297" s="9">
        <f t="shared" si="48"/>
        <v>3.9823008849557522</v>
      </c>
      <c r="Z297" s="8" t="str">
        <f t="array" ref="Z297">IF(Y297&gt;5,"Perlu Sensus",IF(AND(Y297&gt;=0,W297&gt;0),"Tetap Deteksi","Belum Deteksi"))</f>
        <v>Tetap Deteksi</v>
      </c>
      <c r="AA297" s="143">
        <v>18</v>
      </c>
      <c r="AB297" s="9">
        <f t="shared" si="49"/>
        <v>7.9646017699115044</v>
      </c>
      <c r="AC297" s="11"/>
      <c r="AD297" s="143"/>
      <c r="AE297" s="9">
        <f t="array" ref="AE297">IFERROR(AD297/$G297*100,0)</f>
        <v>0</v>
      </c>
      <c r="AF297" s="143"/>
      <c r="AG297" s="9">
        <f t="shared" si="50"/>
        <v>0</v>
      </c>
      <c r="AH297" s="8" t="str">
        <f t="array" ref="AH297">IF(AG297&gt;5,"Perlu Sensus",IF(AND(AG297&gt;=0,AD297&gt;0),"Tetap Deteksi","Belum Deteksi"))</f>
        <v>Belum Deteksi</v>
      </c>
      <c r="AI297" s="143"/>
      <c r="AJ297" s="9">
        <f t="shared" si="51"/>
        <v>0</v>
      </c>
      <c r="AK297" s="11"/>
      <c r="AL297" s="143"/>
      <c r="AM297" s="143"/>
      <c r="AN297" s="9">
        <f t="shared" si="52"/>
        <v>0</v>
      </c>
      <c r="AO297" s="8" t="str">
        <f t="array" ref="AO297">IF(AN297&gt;5,"Perlu Sensus",IF(AND(AN297&gt;=0,AL297&gt;0),"Tetap Deteksi","Belum Deteksi"))</f>
        <v>Belum Deteksi</v>
      </c>
      <c r="AP297" s="143"/>
      <c r="AQ297" s="9">
        <f t="shared" si="53"/>
        <v>0</v>
      </c>
    </row>
    <row r="298" spans="1:43" outlineLevel="1" x14ac:dyDescent="0.15">
      <c r="A298" s="8" t="s">
        <v>1739</v>
      </c>
      <c r="B298" s="8" t="s">
        <v>14</v>
      </c>
      <c r="C298" s="8" t="s">
        <v>323</v>
      </c>
      <c r="D298" s="8" t="s">
        <v>1162</v>
      </c>
      <c r="E298" s="9">
        <v>37.630000000000003</v>
      </c>
      <c r="F298" s="8" t="s">
        <v>1740</v>
      </c>
      <c r="G298" s="10">
        <v>5190</v>
      </c>
      <c r="H298" s="11">
        <f t="array" ref="H298">IF(OR(N298&gt;0,AC298&gt;0),MAX(N298,AC298),MAX(AK298,V298))</f>
        <v>46247</v>
      </c>
      <c r="I298" s="143">
        <f t="array" ref="I298">IF(SUM(O298,AD298)&gt;0,SUM(O298,AD298),SUM(AL298,W298))</f>
        <v>88</v>
      </c>
      <c r="J298" s="9">
        <f t="shared" si="44"/>
        <v>1.6955684007707128</v>
      </c>
      <c r="K298" s="143">
        <f t="shared" si="54"/>
        <v>2</v>
      </c>
      <c r="L298" s="9">
        <f t="shared" si="45"/>
        <v>2.2727272727272729</v>
      </c>
      <c r="M298" s="8" t="str">
        <f t="array" ref="M298">IF(L298&gt;5,"Perlu Sensus",IF(AND(L298&gt;=0,I298&gt;0),"Tetap Deteksi","Belum Deteksi"))</f>
        <v>Tetap Deteksi</v>
      </c>
      <c r="N298" s="11">
        <v>46247</v>
      </c>
      <c r="O298" s="143">
        <v>88</v>
      </c>
      <c r="P298" s="9">
        <f t="array" ref="P298">IFERROR(O298/$G298*100,0)</f>
        <v>1.6955684007707128</v>
      </c>
      <c r="Q298" s="143">
        <v>2</v>
      </c>
      <c r="R298" s="9">
        <f t="shared" si="46"/>
        <v>2.2727272727272729</v>
      </c>
      <c r="S298" s="8" t="str">
        <f t="array" ref="S298">IF(R298&gt;5,"Perlu Sensus",IF(AND(R298&gt;=0,O298&gt;0),"Tetap Deteksi","Belum Deteksi"))</f>
        <v>Tetap Deteksi</v>
      </c>
      <c r="T298" s="143">
        <v>2</v>
      </c>
      <c r="U298" s="9">
        <f t="shared" si="47"/>
        <v>2.2727272727272729</v>
      </c>
      <c r="V298" s="132">
        <v>46249</v>
      </c>
      <c r="W298" s="143">
        <v>349</v>
      </c>
      <c r="X298" s="143">
        <v>9</v>
      </c>
      <c r="Y298" s="9">
        <f t="shared" si="48"/>
        <v>2.5787965616045847</v>
      </c>
      <c r="Z298" s="8" t="str">
        <f t="array" ref="Z298">IF(Y298&gt;5,"Perlu Sensus",IF(AND(Y298&gt;=0,W298&gt;0),"Tetap Deteksi","Belum Deteksi"))</f>
        <v>Tetap Deteksi</v>
      </c>
      <c r="AA298" s="143">
        <v>17</v>
      </c>
      <c r="AB298" s="9">
        <f t="shared" si="49"/>
        <v>4.8710601719197708</v>
      </c>
      <c r="AC298" s="11"/>
      <c r="AD298" s="143"/>
      <c r="AE298" s="9">
        <f t="array" ref="AE298">IFERROR(AD298/$G298*100,0)</f>
        <v>0</v>
      </c>
      <c r="AF298" s="143"/>
      <c r="AG298" s="9">
        <f t="shared" si="50"/>
        <v>0</v>
      </c>
      <c r="AH298" s="8" t="str">
        <f t="array" ref="AH298">IF(AG298&gt;5,"Perlu Sensus",IF(AND(AG298&gt;=0,AD298&gt;0),"Tetap Deteksi","Belum Deteksi"))</f>
        <v>Belum Deteksi</v>
      </c>
      <c r="AI298" s="143"/>
      <c r="AJ298" s="9">
        <f t="shared" si="51"/>
        <v>0</v>
      </c>
      <c r="AK298" s="11"/>
      <c r="AL298" s="143"/>
      <c r="AM298" s="143"/>
      <c r="AN298" s="9">
        <f t="shared" si="52"/>
        <v>0</v>
      </c>
      <c r="AO298" s="8" t="str">
        <f t="array" ref="AO298">IF(AN298&gt;5,"Perlu Sensus",IF(AND(AN298&gt;=0,AL298&gt;0),"Tetap Deteksi","Belum Deteksi"))</f>
        <v>Belum Deteksi</v>
      </c>
      <c r="AP298" s="143"/>
      <c r="AQ298" s="9">
        <f t="shared" si="53"/>
        <v>0</v>
      </c>
    </row>
    <row r="299" spans="1:43" outlineLevel="1" x14ac:dyDescent="0.15">
      <c r="A299" s="8" t="s">
        <v>1739</v>
      </c>
      <c r="B299" s="8" t="s">
        <v>14</v>
      </c>
      <c r="C299" s="8" t="s">
        <v>323</v>
      </c>
      <c r="D299" s="8" t="s">
        <v>1163</v>
      </c>
      <c r="E299" s="9">
        <v>35.65</v>
      </c>
      <c r="F299" s="8" t="s">
        <v>1740</v>
      </c>
      <c r="G299" s="10">
        <v>4861</v>
      </c>
      <c r="H299" s="11">
        <f t="array" ref="H299">IF(OR(N299&gt;0,AC299&gt;0),MAX(N299,AC299),MAX(AK299,V299))</f>
        <v>46248</v>
      </c>
      <c r="I299" s="143">
        <f t="array" ref="I299">IF(SUM(O299,AD299)&gt;0,SUM(O299,AD299),SUM(AL299,W299))</f>
        <v>54</v>
      </c>
      <c r="J299" s="9">
        <f t="shared" si="44"/>
        <v>1.1108825344579305</v>
      </c>
      <c r="K299" s="143">
        <f t="shared" si="54"/>
        <v>2</v>
      </c>
      <c r="L299" s="9">
        <f t="shared" si="45"/>
        <v>3.7037037037037033</v>
      </c>
      <c r="M299" s="8" t="str">
        <f t="array" ref="M299">IF(L299&gt;5,"Perlu Sensus",IF(AND(L299&gt;=0,I299&gt;0),"Tetap Deteksi","Belum Deteksi"))</f>
        <v>Tetap Deteksi</v>
      </c>
      <c r="N299" s="11">
        <v>46248</v>
      </c>
      <c r="O299" s="143">
        <v>54</v>
      </c>
      <c r="P299" s="9">
        <f t="array" ref="P299">IFERROR(O299/$G299*100,0)</f>
        <v>1.1108825344579305</v>
      </c>
      <c r="Q299" s="143">
        <v>2</v>
      </c>
      <c r="R299" s="9">
        <f t="shared" si="46"/>
        <v>3.7037037037037033</v>
      </c>
      <c r="S299" s="8" t="str">
        <f t="array" ref="S299">IF(R299&gt;5,"Perlu Sensus",IF(AND(R299&gt;=0,O299&gt;0),"Tetap Deteksi","Belum Deteksi"))</f>
        <v>Tetap Deteksi</v>
      </c>
      <c r="T299" s="143">
        <v>4</v>
      </c>
      <c r="U299" s="9">
        <f t="shared" si="47"/>
        <v>7.4074074074074066</v>
      </c>
      <c r="V299" s="132">
        <v>46249</v>
      </c>
      <c r="W299" s="143">
        <v>317</v>
      </c>
      <c r="X299" s="143">
        <v>12</v>
      </c>
      <c r="Y299" s="9">
        <f t="shared" si="48"/>
        <v>3.7854889589905363</v>
      </c>
      <c r="Z299" s="8" t="str">
        <f t="array" ref="Z299">IF(Y299&gt;5,"Perlu Sensus",IF(AND(Y299&gt;=0,W299&gt;0),"Tetap Deteksi","Belum Deteksi"))</f>
        <v>Tetap Deteksi</v>
      </c>
      <c r="AA299" s="143">
        <v>15</v>
      </c>
      <c r="AB299" s="9">
        <f t="shared" si="49"/>
        <v>4.7318611987381702</v>
      </c>
      <c r="AC299" s="11"/>
      <c r="AD299" s="143"/>
      <c r="AE299" s="9">
        <f t="array" ref="AE299">IFERROR(AD299/$G299*100,0)</f>
        <v>0</v>
      </c>
      <c r="AF299" s="143"/>
      <c r="AG299" s="9">
        <f t="shared" si="50"/>
        <v>0</v>
      </c>
      <c r="AH299" s="8" t="str">
        <f t="array" ref="AH299">IF(AG299&gt;5,"Perlu Sensus",IF(AND(AG299&gt;=0,AD299&gt;0),"Tetap Deteksi","Belum Deteksi"))</f>
        <v>Belum Deteksi</v>
      </c>
      <c r="AI299" s="143"/>
      <c r="AJ299" s="9">
        <f t="shared" si="51"/>
        <v>0</v>
      </c>
      <c r="AK299" s="11"/>
      <c r="AL299" s="143"/>
      <c r="AM299" s="143"/>
      <c r="AN299" s="9">
        <f t="shared" si="52"/>
        <v>0</v>
      </c>
      <c r="AO299" s="8" t="str">
        <f t="array" ref="AO299">IF(AN299&gt;5,"Perlu Sensus",IF(AND(AN299&gt;=0,AL299&gt;0),"Tetap Deteksi","Belum Deteksi"))</f>
        <v>Belum Deteksi</v>
      </c>
      <c r="AP299" s="143"/>
      <c r="AQ299" s="9">
        <f t="shared" si="53"/>
        <v>0</v>
      </c>
    </row>
    <row r="300" spans="1:43" outlineLevel="1" x14ac:dyDescent="0.15">
      <c r="A300" s="8" t="s">
        <v>1739</v>
      </c>
      <c r="B300" s="8" t="s">
        <v>14</v>
      </c>
      <c r="C300" s="8" t="s">
        <v>323</v>
      </c>
      <c r="D300" s="8" t="s">
        <v>1164</v>
      </c>
      <c r="E300" s="9">
        <v>34.29</v>
      </c>
      <c r="F300" s="8" t="s">
        <v>1740</v>
      </c>
      <c r="G300" s="10">
        <v>4602</v>
      </c>
      <c r="H300" s="11">
        <f t="array" ref="H300">IF(OR(N300&gt;0,AC300&gt;0),MAX(N300,AC300),MAX(AK300,V300))</f>
        <v>46248</v>
      </c>
      <c r="I300" s="143">
        <f t="array" ref="I300">IF(SUM(O300,AD300)&gt;0,SUM(O300,AD300),SUM(AL300,W300))</f>
        <v>65</v>
      </c>
      <c r="J300" s="9">
        <f t="shared" si="44"/>
        <v>1.4124293785310735</v>
      </c>
      <c r="K300" s="143">
        <f t="shared" si="54"/>
        <v>1</v>
      </c>
      <c r="L300" s="9">
        <f t="shared" si="45"/>
        <v>1.5384615384615385</v>
      </c>
      <c r="M300" s="8" t="str">
        <f t="array" ref="M300">IF(L300&gt;5,"Perlu Sensus",IF(AND(L300&gt;=0,I300&gt;0),"Tetap Deteksi","Belum Deteksi"))</f>
        <v>Tetap Deteksi</v>
      </c>
      <c r="N300" s="11">
        <v>46248</v>
      </c>
      <c r="O300" s="143">
        <v>65</v>
      </c>
      <c r="P300" s="9">
        <f t="array" ref="P300">IFERROR(O300/$G300*100,0)</f>
        <v>1.4124293785310735</v>
      </c>
      <c r="Q300" s="143">
        <v>1</v>
      </c>
      <c r="R300" s="9">
        <f t="shared" si="46"/>
        <v>1.5384615384615385</v>
      </c>
      <c r="S300" s="8" t="str">
        <f t="array" ref="S300">IF(R300&gt;5,"Perlu Sensus",IF(AND(R300&gt;=0,O300&gt;0),"Tetap Deteksi","Belum Deteksi"))</f>
        <v>Tetap Deteksi</v>
      </c>
      <c r="T300" s="143">
        <v>3</v>
      </c>
      <c r="U300" s="9">
        <f t="shared" si="47"/>
        <v>4.6153846153846159</v>
      </c>
      <c r="V300" s="132">
        <v>46249</v>
      </c>
      <c r="W300" s="143">
        <v>346</v>
      </c>
      <c r="X300" s="143">
        <v>14</v>
      </c>
      <c r="Y300" s="9">
        <f t="shared" si="48"/>
        <v>4.0462427745664744</v>
      </c>
      <c r="Z300" s="8" t="str">
        <f t="array" ref="Z300">IF(Y300&gt;5,"Perlu Sensus",IF(AND(Y300&gt;=0,W300&gt;0),"Tetap Deteksi","Belum Deteksi"))</f>
        <v>Tetap Deteksi</v>
      </c>
      <c r="AA300" s="143">
        <v>18</v>
      </c>
      <c r="AB300" s="9">
        <f t="shared" si="49"/>
        <v>5.202312138728324</v>
      </c>
      <c r="AC300" s="11"/>
      <c r="AD300" s="143"/>
      <c r="AE300" s="9">
        <f t="array" ref="AE300">IFERROR(AD300/$G300*100,0)</f>
        <v>0</v>
      </c>
      <c r="AF300" s="143"/>
      <c r="AG300" s="9">
        <f t="shared" si="50"/>
        <v>0</v>
      </c>
      <c r="AH300" s="8" t="str">
        <f t="array" ref="AH300">IF(AG300&gt;5,"Perlu Sensus",IF(AND(AG300&gt;=0,AD300&gt;0),"Tetap Deteksi","Belum Deteksi"))</f>
        <v>Belum Deteksi</v>
      </c>
      <c r="AI300" s="143"/>
      <c r="AJ300" s="9">
        <f t="shared" si="51"/>
        <v>0</v>
      </c>
      <c r="AK300" s="11"/>
      <c r="AL300" s="143"/>
      <c r="AM300" s="143"/>
      <c r="AN300" s="9">
        <f t="shared" si="52"/>
        <v>0</v>
      </c>
      <c r="AO300" s="8" t="str">
        <f t="array" ref="AO300">IF(AN300&gt;5,"Perlu Sensus",IF(AND(AN300&gt;=0,AL300&gt;0),"Tetap Deteksi","Belum Deteksi"))</f>
        <v>Belum Deteksi</v>
      </c>
      <c r="AP300" s="143"/>
      <c r="AQ300" s="9">
        <f t="shared" si="53"/>
        <v>0</v>
      </c>
    </row>
    <row r="301" spans="1:43" outlineLevel="1" x14ac:dyDescent="0.15">
      <c r="A301" s="8" t="s">
        <v>1739</v>
      </c>
      <c r="B301" s="8" t="s">
        <v>14</v>
      </c>
      <c r="C301" s="8" t="s">
        <v>323</v>
      </c>
      <c r="D301" s="8" t="s">
        <v>1165</v>
      </c>
      <c r="E301" s="9">
        <v>29.12</v>
      </c>
      <c r="F301" s="8" t="s">
        <v>1740</v>
      </c>
      <c r="G301" s="10">
        <v>3931</v>
      </c>
      <c r="H301" s="11">
        <f t="array" ref="H301">IF(OR(N301&gt;0,AC301&gt;0),MAX(N301,AC301),MAX(AK301,V301))</f>
        <v>46249</v>
      </c>
      <c r="I301" s="143">
        <f t="array" ref="I301">IF(SUM(O301,AD301)&gt;0,SUM(O301,AD301),SUM(AL301,W301))</f>
        <v>98</v>
      </c>
      <c r="J301" s="9">
        <f t="shared" si="44"/>
        <v>2.4930043245993385</v>
      </c>
      <c r="K301" s="143">
        <f t="shared" si="54"/>
        <v>1</v>
      </c>
      <c r="L301" s="9">
        <f t="shared" si="45"/>
        <v>1.0204081632653061</v>
      </c>
      <c r="M301" s="8" t="str">
        <f t="array" ref="M301">IF(L301&gt;5,"Perlu Sensus",IF(AND(L301&gt;=0,I301&gt;0),"Tetap Deteksi","Belum Deteksi"))</f>
        <v>Tetap Deteksi</v>
      </c>
      <c r="N301" s="11">
        <v>46249</v>
      </c>
      <c r="O301" s="143">
        <v>98</v>
      </c>
      <c r="P301" s="9">
        <f t="array" ref="P301">IFERROR(O301/$G301*100,0)</f>
        <v>2.4930043245993385</v>
      </c>
      <c r="Q301" s="143">
        <v>1</v>
      </c>
      <c r="R301" s="9">
        <f t="shared" si="46"/>
        <v>1.0204081632653061</v>
      </c>
      <c r="S301" s="8" t="str">
        <f t="array" ref="S301">IF(R301&gt;5,"Perlu Sensus",IF(AND(R301&gt;=0,O301&gt;0),"Tetap Deteksi","Belum Deteksi"))</f>
        <v>Tetap Deteksi</v>
      </c>
      <c r="T301" s="143">
        <v>5</v>
      </c>
      <c r="U301" s="9">
        <f t="shared" si="47"/>
        <v>5.1020408163265305</v>
      </c>
      <c r="V301" s="132">
        <v>46249</v>
      </c>
      <c r="W301" s="143">
        <v>398</v>
      </c>
      <c r="X301" s="143">
        <v>17</v>
      </c>
      <c r="Y301" s="9">
        <f t="shared" si="48"/>
        <v>4.2713567839195976</v>
      </c>
      <c r="Z301" s="8" t="str">
        <f t="array" ref="Z301">IF(Y301&gt;5,"Perlu Sensus",IF(AND(Y301&gt;=0,W301&gt;0),"Tetap Deteksi","Belum Deteksi"))</f>
        <v>Tetap Deteksi</v>
      </c>
      <c r="AA301" s="143">
        <v>14</v>
      </c>
      <c r="AB301" s="9">
        <f t="shared" si="49"/>
        <v>3.5175879396984926</v>
      </c>
      <c r="AC301" s="11"/>
      <c r="AD301" s="143"/>
      <c r="AE301" s="9">
        <f t="array" ref="AE301">IFERROR(AD301/$G301*100,0)</f>
        <v>0</v>
      </c>
      <c r="AF301" s="143"/>
      <c r="AG301" s="9">
        <f t="shared" si="50"/>
        <v>0</v>
      </c>
      <c r="AH301" s="8" t="str">
        <f t="array" ref="AH301">IF(AG301&gt;5,"Perlu Sensus",IF(AND(AG301&gt;=0,AD301&gt;0),"Tetap Deteksi","Belum Deteksi"))</f>
        <v>Belum Deteksi</v>
      </c>
      <c r="AI301" s="143"/>
      <c r="AJ301" s="9">
        <f t="shared" si="51"/>
        <v>0</v>
      </c>
      <c r="AK301" s="11"/>
      <c r="AL301" s="143"/>
      <c r="AM301" s="143"/>
      <c r="AN301" s="9">
        <f t="shared" si="52"/>
        <v>0</v>
      </c>
      <c r="AO301" s="8" t="str">
        <f t="array" ref="AO301">IF(AN301&gt;5,"Perlu Sensus",IF(AND(AN301&gt;=0,AL301&gt;0),"Tetap Deteksi","Belum Deteksi"))</f>
        <v>Belum Deteksi</v>
      </c>
      <c r="AP301" s="143"/>
      <c r="AQ301" s="9">
        <f t="shared" si="53"/>
        <v>0</v>
      </c>
    </row>
    <row r="302" spans="1:43" outlineLevel="1" x14ac:dyDescent="0.15">
      <c r="A302" s="8" t="s">
        <v>1739</v>
      </c>
      <c r="B302" s="8" t="s">
        <v>14</v>
      </c>
      <c r="C302" s="8" t="s">
        <v>323</v>
      </c>
      <c r="D302" s="8" t="s">
        <v>1166</v>
      </c>
      <c r="E302" s="9">
        <v>33.07</v>
      </c>
      <c r="F302" s="8" t="s">
        <v>1740</v>
      </c>
      <c r="G302" s="10">
        <v>4462</v>
      </c>
      <c r="H302" s="11">
        <f t="array" ref="H302">IF(OR(N302&gt;0,AC302&gt;0),MAX(N302,AC302),MAX(AK302,V302))</f>
        <v>46249</v>
      </c>
      <c r="I302" s="143">
        <f t="array" ref="I302">IF(SUM(O302,AD302)&gt;0,SUM(O302,AD302),SUM(AL302,W302))</f>
        <v>75</v>
      </c>
      <c r="J302" s="9">
        <f t="shared" si="44"/>
        <v>1.6808606006275213</v>
      </c>
      <c r="K302" s="143">
        <f t="shared" si="54"/>
        <v>2</v>
      </c>
      <c r="L302" s="9">
        <f t="shared" si="45"/>
        <v>2.666666666666667</v>
      </c>
      <c r="M302" s="8" t="str">
        <f t="array" ref="M302">IF(L302&gt;5,"Perlu Sensus",IF(AND(L302&gt;=0,I302&gt;0),"Tetap Deteksi","Belum Deteksi"))</f>
        <v>Tetap Deteksi</v>
      </c>
      <c r="N302" s="11">
        <v>46249</v>
      </c>
      <c r="O302" s="143">
        <v>75</v>
      </c>
      <c r="P302" s="9">
        <f t="array" ref="P302">IFERROR(O302/$G302*100,0)</f>
        <v>1.6808606006275213</v>
      </c>
      <c r="Q302" s="143">
        <v>2</v>
      </c>
      <c r="R302" s="9">
        <f t="shared" si="46"/>
        <v>2.666666666666667</v>
      </c>
      <c r="S302" s="8" t="str">
        <f t="array" ref="S302">IF(R302&gt;5,"Perlu Sensus",IF(AND(R302&gt;=0,O302&gt;0),"Tetap Deteksi","Belum Deteksi"))</f>
        <v>Tetap Deteksi</v>
      </c>
      <c r="T302" s="143">
        <v>2</v>
      </c>
      <c r="U302" s="9">
        <f t="shared" si="47"/>
        <v>2.666666666666667</v>
      </c>
      <c r="V302" s="132">
        <v>46249</v>
      </c>
      <c r="W302" s="143">
        <v>440</v>
      </c>
      <c r="X302" s="143">
        <v>15</v>
      </c>
      <c r="Y302" s="9">
        <f t="shared" si="48"/>
        <v>3.4090909090909087</v>
      </c>
      <c r="Z302" s="8" t="str">
        <f t="array" ref="Z302">IF(Y302&gt;5,"Perlu Sensus",IF(AND(Y302&gt;=0,W302&gt;0),"Tetap Deteksi","Belum Deteksi"))</f>
        <v>Tetap Deteksi</v>
      </c>
      <c r="AA302" s="143">
        <v>19</v>
      </c>
      <c r="AB302" s="9">
        <f t="shared" si="49"/>
        <v>4.3181818181818183</v>
      </c>
      <c r="AC302" s="11"/>
      <c r="AD302" s="143"/>
      <c r="AE302" s="9">
        <f t="array" ref="AE302">IFERROR(AD302/$G302*100,0)</f>
        <v>0</v>
      </c>
      <c r="AF302" s="143"/>
      <c r="AG302" s="9">
        <f t="shared" si="50"/>
        <v>0</v>
      </c>
      <c r="AH302" s="8" t="str">
        <f t="array" ref="AH302">IF(AG302&gt;5,"Perlu Sensus",IF(AND(AG302&gt;=0,AD302&gt;0),"Tetap Deteksi","Belum Deteksi"))</f>
        <v>Belum Deteksi</v>
      </c>
      <c r="AI302" s="143"/>
      <c r="AJ302" s="9">
        <f t="shared" si="51"/>
        <v>0</v>
      </c>
      <c r="AK302" s="11"/>
      <c r="AL302" s="143"/>
      <c r="AM302" s="143"/>
      <c r="AN302" s="9">
        <f t="shared" si="52"/>
        <v>0</v>
      </c>
      <c r="AO302" s="8" t="str">
        <f t="array" ref="AO302">IF(AN302&gt;5,"Perlu Sensus",IF(AND(AN302&gt;=0,AL302&gt;0),"Tetap Deteksi","Belum Deteksi"))</f>
        <v>Belum Deteksi</v>
      </c>
      <c r="AP302" s="143"/>
      <c r="AQ302" s="9">
        <f t="shared" si="53"/>
        <v>0</v>
      </c>
    </row>
    <row r="303" spans="1:43" x14ac:dyDescent="0.15">
      <c r="A303" s="8" t="s">
        <v>1739</v>
      </c>
      <c r="B303" s="8" t="s">
        <v>14</v>
      </c>
      <c r="C303" s="8" t="s">
        <v>323</v>
      </c>
      <c r="D303" s="8" t="s">
        <v>1167</v>
      </c>
      <c r="E303" s="9">
        <v>39.130000000000003</v>
      </c>
      <c r="F303" s="8" t="s">
        <v>1740</v>
      </c>
      <c r="G303" s="10">
        <v>5492</v>
      </c>
      <c r="H303" s="11">
        <f t="array" ref="H303">IF(OR(N303&gt;0,AC303&gt;0),MAX(N303,AC303),MAX(AK303,V303))</f>
        <v>46249</v>
      </c>
      <c r="I303" s="143">
        <f t="array" ref="I303">IF(SUM(O303,AD303)&gt;0,SUM(O303,AD303),SUM(AL303,W303))</f>
        <v>79</v>
      </c>
      <c r="J303" s="9">
        <f t="shared" si="44"/>
        <v>1.4384559359067735</v>
      </c>
      <c r="K303" s="143">
        <f t="shared" si="54"/>
        <v>2</v>
      </c>
      <c r="L303" s="9">
        <f t="shared" si="45"/>
        <v>2.5316455696202533</v>
      </c>
      <c r="M303" s="8" t="str">
        <f t="array" ref="M303">IF(L303&gt;5,"Perlu Sensus",IF(AND(L303&gt;=0,I303&gt;0),"Tetap Deteksi","Belum Deteksi"))</f>
        <v>Tetap Deteksi</v>
      </c>
      <c r="N303" s="11"/>
      <c r="O303" s="143">
        <v>79</v>
      </c>
      <c r="P303" s="9">
        <f t="array" ref="P303">IFERROR(O303/$G303*100,0)</f>
        <v>1.4384559359067735</v>
      </c>
      <c r="Q303" s="143">
        <v>2</v>
      </c>
      <c r="R303" s="9">
        <f t="shared" si="46"/>
        <v>2.5316455696202533</v>
      </c>
      <c r="S303" s="8" t="str">
        <f t="array" ref="S303">IF(R303&gt;5,"Perlu Sensus",IF(AND(R303&gt;=0,O303&gt;0),"Tetap Deteksi","Belum Deteksi"))</f>
        <v>Tetap Deteksi</v>
      </c>
      <c r="T303" s="143">
        <v>4</v>
      </c>
      <c r="U303" s="9">
        <f t="shared" si="47"/>
        <v>5.0632911392405067</v>
      </c>
      <c r="V303" s="132">
        <v>46249</v>
      </c>
      <c r="W303" s="143">
        <v>429</v>
      </c>
      <c r="X303" s="143">
        <v>21</v>
      </c>
      <c r="Y303" s="9">
        <f t="shared" si="48"/>
        <v>4.895104895104895</v>
      </c>
      <c r="Z303" s="8" t="str">
        <f t="array" ref="Z303">IF(Y303&gt;5,"Perlu Sensus",IF(AND(Y303&gt;=0,W303&gt;0),"Tetap Deteksi","Belum Deteksi"))</f>
        <v>Tetap Deteksi</v>
      </c>
      <c r="AA303" s="143">
        <v>20</v>
      </c>
      <c r="AB303" s="9">
        <f t="shared" si="49"/>
        <v>4.6620046620046622</v>
      </c>
      <c r="AC303" s="11"/>
      <c r="AD303" s="143"/>
      <c r="AE303" s="9">
        <f t="array" ref="AE303">IFERROR(AD303/$G303*100,0)</f>
        <v>0</v>
      </c>
      <c r="AF303" s="143"/>
      <c r="AG303" s="9">
        <f t="shared" si="50"/>
        <v>0</v>
      </c>
      <c r="AH303" s="8" t="str">
        <f t="array" ref="AH303">IF(AG303&gt;5,"Perlu Sensus",IF(AND(AG303&gt;=0,AD303&gt;0),"Tetap Deteksi","Belum Deteksi"))</f>
        <v>Belum Deteksi</v>
      </c>
      <c r="AI303" s="143"/>
      <c r="AJ303" s="9">
        <f t="shared" si="51"/>
        <v>0</v>
      </c>
      <c r="AK303" s="11"/>
      <c r="AL303" s="143"/>
      <c r="AM303" s="143"/>
      <c r="AN303" s="9">
        <f t="shared" si="52"/>
        <v>0</v>
      </c>
      <c r="AO303" s="8" t="str">
        <f t="array" ref="AO303">IF(AN303&gt;5,"Perlu Sensus",IF(AND(AN303&gt;=0,AL303&gt;0),"Tetap Deteksi","Belum Deteksi"))</f>
        <v>Belum Deteksi</v>
      </c>
      <c r="AP303" s="143"/>
      <c r="AQ303" s="9">
        <f t="shared" si="53"/>
        <v>0</v>
      </c>
    </row>
    <row r="304" spans="1:43" x14ac:dyDescent="0.15">
      <c r="A304" s="8" t="s">
        <v>1739</v>
      </c>
      <c r="B304" s="8" t="s">
        <v>14</v>
      </c>
      <c r="C304" s="8" t="s">
        <v>323</v>
      </c>
      <c r="D304" s="8" t="s">
        <v>1168</v>
      </c>
      <c r="E304" s="9">
        <v>26.83</v>
      </c>
      <c r="F304" s="8" t="s">
        <v>1740</v>
      </c>
      <c r="G304" s="10">
        <v>3195</v>
      </c>
      <c r="H304" s="11">
        <f t="array" ref="H304">IF(OR(N304&gt;0,AC304&gt;0),MAX(N304,AC304),MAX(AK304,V304))</f>
        <v>46249</v>
      </c>
      <c r="I304" s="143">
        <f t="array" ref="I304">IF(SUM(O304,AD304)&gt;0,SUM(O304,AD304),SUM(AL304,W304))</f>
        <v>86</v>
      </c>
      <c r="J304" s="9">
        <f t="shared" si="44"/>
        <v>2.6917057902973394</v>
      </c>
      <c r="K304" s="143">
        <f t="shared" si="54"/>
        <v>2</v>
      </c>
      <c r="L304" s="9">
        <f t="shared" si="45"/>
        <v>2.3255813953488373</v>
      </c>
      <c r="M304" s="8" t="str">
        <f t="array" ref="M304">IF(L304&gt;5,"Perlu Sensus",IF(AND(L304&gt;=0,I304&gt;0),"Tetap Deteksi","Belum Deteksi"))</f>
        <v>Tetap Deteksi</v>
      </c>
      <c r="N304" s="11"/>
      <c r="O304" s="143">
        <v>86</v>
      </c>
      <c r="P304" s="9">
        <f t="array" ref="P304">IFERROR(O304/$G304*100,0)</f>
        <v>2.6917057902973394</v>
      </c>
      <c r="Q304" s="143">
        <v>2</v>
      </c>
      <c r="R304" s="9">
        <f t="shared" si="46"/>
        <v>2.3255813953488373</v>
      </c>
      <c r="S304" s="8" t="str">
        <f t="array" ref="S304">IF(R304&gt;5,"Perlu Sensus",IF(AND(R304&gt;=0,O304&gt;0),"Tetap Deteksi","Belum Deteksi"))</f>
        <v>Tetap Deteksi</v>
      </c>
      <c r="T304" s="143">
        <v>3</v>
      </c>
      <c r="U304" s="9">
        <f t="shared" si="47"/>
        <v>3.4883720930232558</v>
      </c>
      <c r="V304" s="132">
        <v>46249</v>
      </c>
      <c r="W304" s="143">
        <v>439</v>
      </c>
      <c r="X304" s="143">
        <v>11</v>
      </c>
      <c r="Y304" s="9">
        <f t="shared" si="48"/>
        <v>2.5056947608200453</v>
      </c>
      <c r="Z304" s="8" t="str">
        <f t="array" ref="Z304">IF(Y304&gt;5,"Perlu Sensus",IF(AND(Y304&gt;=0,W304&gt;0),"Tetap Deteksi","Belum Deteksi"))</f>
        <v>Tetap Deteksi</v>
      </c>
      <c r="AA304" s="143">
        <v>15</v>
      </c>
      <c r="AB304" s="9">
        <f t="shared" si="49"/>
        <v>3.416856492027335</v>
      </c>
      <c r="AC304" s="11"/>
      <c r="AD304" s="143"/>
      <c r="AE304" s="9">
        <f t="array" ref="AE304">IFERROR(AD304/$G304*100,0)</f>
        <v>0</v>
      </c>
      <c r="AF304" s="143"/>
      <c r="AG304" s="9">
        <f t="shared" si="50"/>
        <v>0</v>
      </c>
      <c r="AH304" s="8" t="str">
        <f t="array" ref="AH304">IF(AG304&gt;5,"Perlu Sensus",IF(AND(AG304&gt;=0,AD304&gt;0),"Tetap Deteksi","Belum Deteksi"))</f>
        <v>Belum Deteksi</v>
      </c>
      <c r="AI304" s="143"/>
      <c r="AJ304" s="9">
        <f t="shared" si="51"/>
        <v>0</v>
      </c>
      <c r="AK304" s="11"/>
      <c r="AL304" s="143"/>
      <c r="AM304" s="143"/>
      <c r="AN304" s="9">
        <f t="shared" si="52"/>
        <v>0</v>
      </c>
      <c r="AO304" s="8" t="str">
        <f t="array" ref="AO304">IF(AN304&gt;5,"Perlu Sensus",IF(AND(AN304&gt;=0,AL304&gt;0),"Tetap Deteksi","Belum Deteksi"))</f>
        <v>Belum Deteksi</v>
      </c>
      <c r="AP304" s="143"/>
      <c r="AQ304" s="9">
        <f t="shared" si="53"/>
        <v>0</v>
      </c>
    </row>
    <row r="305" spans="1:43" x14ac:dyDescent="0.15">
      <c r="A305" s="8" t="s">
        <v>1739</v>
      </c>
      <c r="B305" s="8" t="s">
        <v>14</v>
      </c>
      <c r="C305" s="8" t="s">
        <v>323</v>
      </c>
      <c r="D305" s="8" t="s">
        <v>1169</v>
      </c>
      <c r="E305" s="9">
        <v>25.2</v>
      </c>
      <c r="F305" s="8" t="s">
        <v>1740</v>
      </c>
      <c r="G305" s="10">
        <v>3489</v>
      </c>
      <c r="H305" s="11">
        <f t="array" ref="H305">IF(OR(N305&gt;0,AC305&gt;0),MAX(N305,AC305),MAX(AK305,V305))</f>
        <v>46249</v>
      </c>
      <c r="I305" s="143">
        <f t="array" ref="I305">IF(SUM(O305,AD305)&gt;0,SUM(O305,AD305),SUM(AL305,W305))</f>
        <v>90</v>
      </c>
      <c r="J305" s="9">
        <f t="shared" si="44"/>
        <v>2.5795356835769563</v>
      </c>
      <c r="K305" s="143">
        <f t="shared" si="54"/>
        <v>3</v>
      </c>
      <c r="L305" s="9">
        <f t="shared" si="45"/>
        <v>3.3333333333333335</v>
      </c>
      <c r="M305" s="8" t="str">
        <f t="array" ref="M305">IF(L305&gt;5,"Perlu Sensus",IF(AND(L305&gt;=0,I305&gt;0),"Tetap Deteksi","Belum Deteksi"))</f>
        <v>Tetap Deteksi</v>
      </c>
      <c r="N305" s="11"/>
      <c r="O305" s="143">
        <v>90</v>
      </c>
      <c r="P305" s="9">
        <f t="array" ref="P305">IFERROR(O305/$G305*100,0)</f>
        <v>2.5795356835769563</v>
      </c>
      <c r="Q305" s="143">
        <v>3</v>
      </c>
      <c r="R305" s="9">
        <f t="shared" si="46"/>
        <v>3.3333333333333335</v>
      </c>
      <c r="S305" s="8" t="str">
        <f t="array" ref="S305">IF(R305&gt;5,"Perlu Sensus",IF(AND(R305&gt;=0,O305&gt;0),"Tetap Deteksi","Belum Deteksi"))</f>
        <v>Tetap Deteksi</v>
      </c>
      <c r="T305" s="143">
        <v>5</v>
      </c>
      <c r="U305" s="9">
        <f t="shared" si="47"/>
        <v>5.5555555555555554</v>
      </c>
      <c r="V305" s="132">
        <v>46249</v>
      </c>
      <c r="W305" s="143">
        <v>272</v>
      </c>
      <c r="X305" s="143">
        <v>16</v>
      </c>
      <c r="Y305" s="9">
        <f t="shared" si="48"/>
        <v>5.8823529411764701</v>
      </c>
      <c r="Z305" s="8" t="str">
        <f t="array" ref="Z305">IF(Y305&gt;5,"Perlu Sensus",IF(AND(Y305&gt;=0,W305&gt;0),"Tetap Deteksi","Belum Deteksi"))</f>
        <v>Perlu Sensus</v>
      </c>
      <c r="AA305" s="143">
        <v>18</v>
      </c>
      <c r="AB305" s="9">
        <f t="shared" si="49"/>
        <v>6.6176470588235299</v>
      </c>
      <c r="AC305" s="11"/>
      <c r="AD305" s="143"/>
      <c r="AE305" s="9">
        <f t="array" ref="AE305">IFERROR(AD305/$G305*100,0)</f>
        <v>0</v>
      </c>
      <c r="AF305" s="143"/>
      <c r="AG305" s="9">
        <f t="shared" si="50"/>
        <v>0</v>
      </c>
      <c r="AH305" s="8" t="str">
        <f t="array" ref="AH305">IF(AG305&gt;5,"Perlu Sensus",IF(AND(AG305&gt;=0,AD305&gt;0),"Tetap Deteksi","Belum Deteksi"))</f>
        <v>Belum Deteksi</v>
      </c>
      <c r="AI305" s="143"/>
      <c r="AJ305" s="9">
        <f t="shared" si="51"/>
        <v>0</v>
      </c>
      <c r="AK305" s="11"/>
      <c r="AL305" s="143"/>
      <c r="AM305" s="143"/>
      <c r="AN305" s="9">
        <f t="shared" si="52"/>
        <v>0</v>
      </c>
      <c r="AO305" s="8" t="str">
        <f t="array" ref="AO305">IF(AN305&gt;5,"Perlu Sensus",IF(AND(AN305&gt;=0,AL305&gt;0),"Tetap Deteksi","Belum Deteksi"))</f>
        <v>Belum Deteksi</v>
      </c>
      <c r="AP305" s="143"/>
      <c r="AQ305" s="9">
        <f t="shared" si="53"/>
        <v>0</v>
      </c>
    </row>
    <row r="306" spans="1:43" x14ac:dyDescent="0.15">
      <c r="A306" s="8" t="s">
        <v>1739</v>
      </c>
      <c r="B306" s="8" t="s">
        <v>14</v>
      </c>
      <c r="C306" s="8" t="s">
        <v>345</v>
      </c>
      <c r="D306" s="8" t="s">
        <v>1170</v>
      </c>
      <c r="E306" s="9">
        <v>34.99</v>
      </c>
      <c r="F306" s="8" t="s">
        <v>1740</v>
      </c>
      <c r="G306" s="10">
        <v>4929</v>
      </c>
      <c r="H306" s="11">
        <f t="array" ref="H306">IF(OR(N306&gt;0,AC306&gt;0),MAX(N306,AC306),MAX(AK306,V306))</f>
        <v>46235</v>
      </c>
      <c r="I306" s="143">
        <f t="array" ref="I306">IF(SUM(O306,AD306)&gt;0,SUM(O306,AD306),SUM(AL306,W306))</f>
        <v>85</v>
      </c>
      <c r="J306" s="9">
        <f t="shared" si="44"/>
        <v>1.7244877257050113</v>
      </c>
      <c r="K306" s="143">
        <f t="shared" si="54"/>
        <v>4</v>
      </c>
      <c r="L306" s="9">
        <f t="shared" si="45"/>
        <v>4.7058823529411766</v>
      </c>
      <c r="M306" s="8" t="str">
        <f t="array" ref="M306">IF(L306&gt;5,"Perlu Sensus",IF(AND(L306&gt;=0,I306&gt;0),"Tetap Deteksi","Belum Deteksi"))</f>
        <v>Tetap Deteksi</v>
      </c>
      <c r="N306" s="11">
        <v>46235</v>
      </c>
      <c r="O306" s="143">
        <v>85</v>
      </c>
      <c r="P306" s="9">
        <f t="array" ref="P306">IFERROR(O306/$G306*100,0)</f>
        <v>1.7244877257050113</v>
      </c>
      <c r="Q306" s="143">
        <v>4</v>
      </c>
      <c r="R306" s="9">
        <f t="shared" si="46"/>
        <v>4.7058823529411766</v>
      </c>
      <c r="S306" s="8" t="str">
        <f t="array" ref="S306">IF(R306&gt;5,"Perlu Sensus",IF(AND(R306&gt;=0,O306&gt;0),"Tetap Deteksi","Belum Deteksi"))</f>
        <v>Tetap Deteksi</v>
      </c>
      <c r="T306" s="143">
        <v>8</v>
      </c>
      <c r="U306" s="9">
        <f t="shared" si="47"/>
        <v>9.4117647058823533</v>
      </c>
      <c r="V306" s="132">
        <v>46249</v>
      </c>
      <c r="W306" s="143">
        <v>346</v>
      </c>
      <c r="X306" s="143">
        <v>16</v>
      </c>
      <c r="Y306" s="9">
        <f t="shared" si="48"/>
        <v>4.6242774566473983</v>
      </c>
      <c r="Z306" s="8" t="str">
        <f t="array" ref="Z306">IF(Y306&gt;5,"Perlu Sensus",IF(AND(Y306&gt;=0,W306&gt;0),"Tetap Deteksi","Belum Deteksi"))</f>
        <v>Tetap Deteksi</v>
      </c>
      <c r="AA306" s="143">
        <v>16</v>
      </c>
      <c r="AB306" s="9">
        <f t="shared" si="49"/>
        <v>4.6242774566473983</v>
      </c>
      <c r="AC306" s="11"/>
      <c r="AD306" s="143"/>
      <c r="AE306" s="9">
        <f t="array" ref="AE306">IFERROR(AD306/$G306*100,0)</f>
        <v>0</v>
      </c>
      <c r="AF306" s="143"/>
      <c r="AG306" s="9">
        <f t="shared" si="50"/>
        <v>0</v>
      </c>
      <c r="AH306" s="8" t="str">
        <f t="array" ref="AH306">IF(AG306&gt;5,"Perlu Sensus",IF(AND(AG306&gt;=0,AD306&gt;0),"Tetap Deteksi","Belum Deteksi"))</f>
        <v>Belum Deteksi</v>
      </c>
      <c r="AI306" s="143"/>
      <c r="AJ306" s="9">
        <f t="shared" si="51"/>
        <v>0</v>
      </c>
      <c r="AK306" s="11"/>
      <c r="AL306" s="143"/>
      <c r="AM306" s="143"/>
      <c r="AN306" s="9">
        <f t="shared" si="52"/>
        <v>0</v>
      </c>
      <c r="AO306" s="8" t="str">
        <f t="array" ref="AO306">IF(AN306&gt;5,"Perlu Sensus",IF(AND(AN306&gt;=0,AL306&gt;0),"Tetap Deteksi","Belum Deteksi"))</f>
        <v>Belum Deteksi</v>
      </c>
      <c r="AP306" s="143"/>
      <c r="AQ306" s="9">
        <f t="shared" si="53"/>
        <v>0</v>
      </c>
    </row>
    <row r="307" spans="1:43" x14ac:dyDescent="0.15">
      <c r="A307" s="8" t="s">
        <v>1739</v>
      </c>
      <c r="B307" s="8" t="s">
        <v>14</v>
      </c>
      <c r="C307" s="8" t="s">
        <v>345</v>
      </c>
      <c r="D307" s="8" t="s">
        <v>1171</v>
      </c>
      <c r="E307" s="9">
        <v>29.89</v>
      </c>
      <c r="F307" s="8" t="s">
        <v>1740</v>
      </c>
      <c r="G307" s="10">
        <v>4214</v>
      </c>
      <c r="H307" s="11">
        <f t="array" ref="H307">IF(OR(N307&gt;0,AC307&gt;0),MAX(N307,AC307),MAX(AK307,V307))</f>
        <v>46235</v>
      </c>
      <c r="I307" s="143">
        <f t="array" ref="I307">IF(SUM(O307,AD307)&gt;0,SUM(O307,AD307),SUM(AL307,W307))</f>
        <v>72</v>
      </c>
      <c r="J307" s="9">
        <f t="shared" si="44"/>
        <v>1.7085904129093499</v>
      </c>
      <c r="K307" s="143">
        <f t="shared" si="54"/>
        <v>4</v>
      </c>
      <c r="L307" s="9">
        <f t="shared" si="45"/>
        <v>5.5555555555555554</v>
      </c>
      <c r="M307" s="8" t="str">
        <f t="array" ref="M307">IF(L307&gt;5,"Perlu Sensus",IF(AND(L307&gt;=0,I307&gt;0),"Tetap Deteksi","Belum Deteksi"))</f>
        <v>Perlu Sensus</v>
      </c>
      <c r="N307" s="11">
        <v>46235</v>
      </c>
      <c r="O307" s="143">
        <v>72</v>
      </c>
      <c r="P307" s="9">
        <f t="array" ref="P307">IFERROR(O307/$G307*100,0)</f>
        <v>1.7085904129093499</v>
      </c>
      <c r="Q307" s="143">
        <v>4</v>
      </c>
      <c r="R307" s="9">
        <f t="shared" si="46"/>
        <v>5.5555555555555554</v>
      </c>
      <c r="S307" s="8" t="str">
        <f t="array" ref="S307">IF(R307&gt;5,"Perlu Sensus",IF(AND(R307&gt;=0,O307&gt;0),"Tetap Deteksi","Belum Deteksi"))</f>
        <v>Perlu Sensus</v>
      </c>
      <c r="T307" s="143">
        <v>7</v>
      </c>
      <c r="U307" s="9">
        <f t="shared" si="47"/>
        <v>9.7222222222222232</v>
      </c>
      <c r="V307" s="132">
        <v>46249</v>
      </c>
      <c r="W307" s="143">
        <v>436</v>
      </c>
      <c r="X307" s="143">
        <v>10</v>
      </c>
      <c r="Y307" s="9">
        <f t="shared" si="48"/>
        <v>2.2935779816513762</v>
      </c>
      <c r="Z307" s="8" t="str">
        <f t="array" ref="Z307">IF(Y307&gt;5,"Perlu Sensus",IF(AND(Y307&gt;=0,W307&gt;0),"Tetap Deteksi","Belum Deteksi"))</f>
        <v>Tetap Deteksi</v>
      </c>
      <c r="AA307" s="143">
        <v>31</v>
      </c>
      <c r="AB307" s="9">
        <f t="shared" si="49"/>
        <v>7.1100917431192663</v>
      </c>
      <c r="AC307" s="11"/>
      <c r="AD307" s="143"/>
      <c r="AE307" s="9">
        <f t="array" ref="AE307">IFERROR(AD307/$G307*100,0)</f>
        <v>0</v>
      </c>
      <c r="AF307" s="143"/>
      <c r="AG307" s="9">
        <f t="shared" si="50"/>
        <v>0</v>
      </c>
      <c r="AH307" s="8" t="str">
        <f t="array" ref="AH307">IF(AG307&gt;5,"Perlu Sensus",IF(AND(AG307&gt;=0,AD307&gt;0),"Tetap Deteksi","Belum Deteksi"))</f>
        <v>Belum Deteksi</v>
      </c>
      <c r="AI307" s="143"/>
      <c r="AJ307" s="9">
        <f t="shared" si="51"/>
        <v>0</v>
      </c>
      <c r="AK307" s="11"/>
      <c r="AL307" s="143"/>
      <c r="AM307" s="143"/>
      <c r="AN307" s="9">
        <f t="shared" si="52"/>
        <v>0</v>
      </c>
      <c r="AO307" s="8" t="str">
        <f t="array" ref="AO307">IF(AN307&gt;5,"Perlu Sensus",IF(AND(AN307&gt;=0,AL307&gt;0),"Tetap Deteksi","Belum Deteksi"))</f>
        <v>Belum Deteksi</v>
      </c>
      <c r="AP307" s="143"/>
      <c r="AQ307" s="9">
        <f t="shared" si="53"/>
        <v>0</v>
      </c>
    </row>
    <row r="308" spans="1:43" x14ac:dyDescent="0.15">
      <c r="A308" s="8" t="s">
        <v>1739</v>
      </c>
      <c r="B308" s="8" t="s">
        <v>14</v>
      </c>
      <c r="C308" s="8" t="s">
        <v>345</v>
      </c>
      <c r="D308" s="8" t="s">
        <v>1172</v>
      </c>
      <c r="E308" s="9">
        <v>28.24</v>
      </c>
      <c r="F308" s="8" t="s">
        <v>1740</v>
      </c>
      <c r="G308" s="10">
        <v>3860</v>
      </c>
      <c r="H308" s="11">
        <f t="array" ref="H308">IF(OR(N308&gt;0,AC308&gt;0),MAX(N308,AC308),MAX(AK308,V308))</f>
        <v>46238</v>
      </c>
      <c r="I308" s="143">
        <f t="array" ref="I308">IF(SUM(O308,AD308)&gt;0,SUM(O308,AD308),SUM(AL308,W308))</f>
        <v>75</v>
      </c>
      <c r="J308" s="9">
        <f t="shared" si="44"/>
        <v>1.9430051813471503</v>
      </c>
      <c r="K308" s="143">
        <f t="shared" si="54"/>
        <v>4</v>
      </c>
      <c r="L308" s="9">
        <f t="shared" si="45"/>
        <v>5.3333333333333339</v>
      </c>
      <c r="M308" s="8" t="str">
        <f t="array" ref="M308">IF(L308&gt;5,"Perlu Sensus",IF(AND(L308&gt;=0,I308&gt;0),"Tetap Deteksi","Belum Deteksi"))</f>
        <v>Perlu Sensus</v>
      </c>
      <c r="N308" s="11">
        <v>46238</v>
      </c>
      <c r="O308" s="143">
        <v>75</v>
      </c>
      <c r="P308" s="9">
        <f t="array" ref="P308">IFERROR(O308/$G308*100,0)</f>
        <v>1.9430051813471503</v>
      </c>
      <c r="Q308" s="143">
        <v>4</v>
      </c>
      <c r="R308" s="9">
        <f t="shared" si="46"/>
        <v>5.3333333333333339</v>
      </c>
      <c r="S308" s="8" t="str">
        <f t="array" ref="S308">IF(R308&gt;5,"Perlu Sensus",IF(AND(R308&gt;=0,O308&gt;0),"Tetap Deteksi","Belum Deteksi"))</f>
        <v>Perlu Sensus</v>
      </c>
      <c r="T308" s="143">
        <v>8</v>
      </c>
      <c r="U308" s="9">
        <f t="shared" si="47"/>
        <v>10.666666666666668</v>
      </c>
      <c r="V308" s="132">
        <v>46249</v>
      </c>
      <c r="W308" s="143">
        <v>442</v>
      </c>
      <c r="X308" s="143">
        <v>20</v>
      </c>
      <c r="Y308" s="9">
        <f t="shared" si="48"/>
        <v>4.5248868778280542</v>
      </c>
      <c r="Z308" s="8" t="str">
        <f t="array" ref="Z308">IF(Y308&gt;5,"Perlu Sensus",IF(AND(Y308&gt;=0,W308&gt;0),"Tetap Deteksi","Belum Deteksi"))</f>
        <v>Tetap Deteksi</v>
      </c>
      <c r="AA308" s="143">
        <v>18</v>
      </c>
      <c r="AB308" s="9">
        <f t="shared" si="49"/>
        <v>4.0723981900452486</v>
      </c>
      <c r="AC308" s="11"/>
      <c r="AD308" s="143"/>
      <c r="AE308" s="9">
        <f t="array" ref="AE308">IFERROR(AD308/$G308*100,0)</f>
        <v>0</v>
      </c>
      <c r="AF308" s="143"/>
      <c r="AG308" s="9">
        <f t="shared" si="50"/>
        <v>0</v>
      </c>
      <c r="AH308" s="8" t="str">
        <f t="array" ref="AH308">IF(AG308&gt;5,"Perlu Sensus",IF(AND(AG308&gt;=0,AD308&gt;0),"Tetap Deteksi","Belum Deteksi"))</f>
        <v>Belum Deteksi</v>
      </c>
      <c r="AI308" s="143"/>
      <c r="AJ308" s="9">
        <f t="shared" si="51"/>
        <v>0</v>
      </c>
      <c r="AK308" s="11"/>
      <c r="AL308" s="143"/>
      <c r="AM308" s="143"/>
      <c r="AN308" s="9">
        <f t="shared" si="52"/>
        <v>0</v>
      </c>
      <c r="AO308" s="8" t="str">
        <f t="array" ref="AO308">IF(AN308&gt;5,"Perlu Sensus",IF(AND(AN308&gt;=0,AL308&gt;0),"Tetap Deteksi","Belum Deteksi"))</f>
        <v>Belum Deteksi</v>
      </c>
      <c r="AP308" s="143"/>
      <c r="AQ308" s="9">
        <f t="shared" si="53"/>
        <v>0</v>
      </c>
    </row>
    <row r="309" spans="1:43" x14ac:dyDescent="0.15">
      <c r="A309" s="8" t="s">
        <v>1739</v>
      </c>
      <c r="B309" s="8" t="s">
        <v>14</v>
      </c>
      <c r="C309" s="8" t="s">
        <v>345</v>
      </c>
      <c r="D309" s="8" t="s">
        <v>1173</v>
      </c>
      <c r="E309" s="9">
        <v>24.1</v>
      </c>
      <c r="F309" s="8" t="s">
        <v>1740</v>
      </c>
      <c r="G309" s="10">
        <v>3293</v>
      </c>
      <c r="H309" s="11">
        <f t="array" ref="H309">IF(OR(N309&gt;0,AC309&gt;0),MAX(N309,AC309),MAX(AK309,V309))</f>
        <v>46238</v>
      </c>
      <c r="I309" s="143">
        <f t="array" ref="I309">IF(SUM(O309,AD309)&gt;0,SUM(O309,AD309),SUM(AL309,W309))</f>
        <v>77</v>
      </c>
      <c r="J309" s="9">
        <f t="shared" si="44"/>
        <v>2.3382933495293043</v>
      </c>
      <c r="K309" s="143">
        <f t="shared" si="54"/>
        <v>3</v>
      </c>
      <c r="L309" s="9">
        <f t="shared" si="45"/>
        <v>3.8961038961038961</v>
      </c>
      <c r="M309" s="8" t="str">
        <f t="array" ref="M309">IF(L309&gt;5,"Perlu Sensus",IF(AND(L309&gt;=0,I309&gt;0),"Tetap Deteksi","Belum Deteksi"))</f>
        <v>Tetap Deteksi</v>
      </c>
      <c r="N309" s="11">
        <v>46238</v>
      </c>
      <c r="O309" s="143">
        <v>77</v>
      </c>
      <c r="P309" s="9">
        <f t="array" ref="P309">IFERROR(O309/$G309*100,0)</f>
        <v>2.3382933495293043</v>
      </c>
      <c r="Q309" s="143">
        <v>3</v>
      </c>
      <c r="R309" s="9">
        <f t="shared" si="46"/>
        <v>3.8961038961038961</v>
      </c>
      <c r="S309" s="8" t="str">
        <f t="array" ref="S309">IF(R309&gt;5,"Perlu Sensus",IF(AND(R309&gt;=0,O309&gt;0),"Tetap Deteksi","Belum Deteksi"))</f>
        <v>Tetap Deteksi</v>
      </c>
      <c r="T309" s="143">
        <v>8</v>
      </c>
      <c r="U309" s="9">
        <f t="shared" si="47"/>
        <v>10.38961038961039</v>
      </c>
      <c r="V309" s="132">
        <v>46249</v>
      </c>
      <c r="W309" s="143">
        <v>222</v>
      </c>
      <c r="X309" s="143">
        <v>14</v>
      </c>
      <c r="Y309" s="9">
        <f t="shared" si="48"/>
        <v>6.3063063063063058</v>
      </c>
      <c r="Z309" s="8" t="str">
        <f t="array" ref="Z309">IF(Y309&gt;5,"Perlu Sensus",IF(AND(Y309&gt;=0,W309&gt;0),"Tetap Deteksi","Belum Deteksi"))</f>
        <v>Perlu Sensus</v>
      </c>
      <c r="AA309" s="143">
        <v>19</v>
      </c>
      <c r="AB309" s="9">
        <f t="shared" si="49"/>
        <v>8.5585585585585591</v>
      </c>
      <c r="AC309" s="11"/>
      <c r="AD309" s="143"/>
      <c r="AE309" s="9">
        <f t="array" ref="AE309">IFERROR(AD309/$G309*100,0)</f>
        <v>0</v>
      </c>
      <c r="AF309" s="143"/>
      <c r="AG309" s="9">
        <f t="shared" si="50"/>
        <v>0</v>
      </c>
      <c r="AH309" s="8" t="str">
        <f t="array" ref="AH309">IF(AG309&gt;5,"Perlu Sensus",IF(AND(AG309&gt;=0,AD309&gt;0),"Tetap Deteksi","Belum Deteksi"))</f>
        <v>Belum Deteksi</v>
      </c>
      <c r="AI309" s="143"/>
      <c r="AJ309" s="9">
        <f t="shared" si="51"/>
        <v>0</v>
      </c>
      <c r="AK309" s="11"/>
      <c r="AL309" s="143"/>
      <c r="AM309" s="143"/>
      <c r="AN309" s="9">
        <f t="shared" si="52"/>
        <v>0</v>
      </c>
      <c r="AO309" s="8" t="str">
        <f t="array" ref="AO309">IF(AN309&gt;5,"Perlu Sensus",IF(AND(AN309&gt;=0,AL309&gt;0),"Tetap Deteksi","Belum Deteksi"))</f>
        <v>Belum Deteksi</v>
      </c>
      <c r="AP309" s="143"/>
      <c r="AQ309" s="9">
        <f t="shared" si="53"/>
        <v>0</v>
      </c>
    </row>
    <row r="310" spans="1:43" x14ac:dyDescent="0.15">
      <c r="A310" s="8" t="s">
        <v>1739</v>
      </c>
      <c r="B310" s="8" t="s">
        <v>14</v>
      </c>
      <c r="C310" s="8" t="s">
        <v>345</v>
      </c>
      <c r="D310" s="8" t="s">
        <v>1174</v>
      </c>
      <c r="E310" s="9">
        <v>31.95</v>
      </c>
      <c r="F310" s="8" t="s">
        <v>1740</v>
      </c>
      <c r="G310" s="10">
        <v>4146</v>
      </c>
      <c r="H310" s="11">
        <f t="array" ref="H310">IF(OR(N310&gt;0,AC310&gt;0),MAX(N310,AC310),MAX(AK310,V310))</f>
        <v>46239</v>
      </c>
      <c r="I310" s="143">
        <f t="array" ref="I310">IF(SUM(O310,AD310)&gt;0,SUM(O310,AD310),SUM(AL310,W310))</f>
        <v>93</v>
      </c>
      <c r="J310" s="9">
        <f t="shared" si="44"/>
        <v>2.2431259044862517</v>
      </c>
      <c r="K310" s="143">
        <f t="shared" si="54"/>
        <v>3</v>
      </c>
      <c r="L310" s="9">
        <f t="shared" si="45"/>
        <v>3.225806451612903</v>
      </c>
      <c r="M310" s="8" t="str">
        <f t="array" ref="M310">IF(L310&gt;5,"Perlu Sensus",IF(AND(L310&gt;=0,I310&gt;0),"Tetap Deteksi","Belum Deteksi"))</f>
        <v>Tetap Deteksi</v>
      </c>
      <c r="N310" s="11">
        <v>46239</v>
      </c>
      <c r="O310" s="143">
        <v>93</v>
      </c>
      <c r="P310" s="9">
        <f t="array" ref="P310">IFERROR(O310/$G310*100,0)</f>
        <v>2.2431259044862517</v>
      </c>
      <c r="Q310" s="143">
        <v>3</v>
      </c>
      <c r="R310" s="9">
        <f t="shared" si="46"/>
        <v>3.225806451612903</v>
      </c>
      <c r="S310" s="8" t="str">
        <f t="array" ref="S310">IF(R310&gt;5,"Perlu Sensus",IF(AND(R310&gt;=0,O310&gt;0),"Tetap Deteksi","Belum Deteksi"))</f>
        <v>Tetap Deteksi</v>
      </c>
      <c r="T310" s="143">
        <v>8</v>
      </c>
      <c r="U310" s="9">
        <f t="shared" si="47"/>
        <v>8.6021505376344098</v>
      </c>
      <c r="V310" s="132">
        <v>46249</v>
      </c>
      <c r="W310" s="143">
        <v>449</v>
      </c>
      <c r="X310" s="143">
        <v>18</v>
      </c>
      <c r="Y310" s="9">
        <f t="shared" si="48"/>
        <v>4.0089086859688194</v>
      </c>
      <c r="Z310" s="8" t="str">
        <f t="array" ref="Z310">IF(Y310&gt;5,"Perlu Sensus",IF(AND(Y310&gt;=0,W310&gt;0),"Tetap Deteksi","Belum Deteksi"))</f>
        <v>Tetap Deteksi</v>
      </c>
      <c r="AA310" s="143">
        <v>14</v>
      </c>
      <c r="AB310" s="9">
        <f t="shared" si="49"/>
        <v>3.1180400890868598</v>
      </c>
      <c r="AC310" s="11"/>
      <c r="AD310" s="143"/>
      <c r="AE310" s="9">
        <f t="array" ref="AE310">IFERROR(AD310/$G310*100,0)</f>
        <v>0</v>
      </c>
      <c r="AF310" s="143"/>
      <c r="AG310" s="9">
        <f t="shared" si="50"/>
        <v>0</v>
      </c>
      <c r="AH310" s="8" t="str">
        <f t="array" ref="AH310">IF(AG310&gt;5,"Perlu Sensus",IF(AND(AG310&gt;=0,AD310&gt;0),"Tetap Deteksi","Belum Deteksi"))</f>
        <v>Belum Deteksi</v>
      </c>
      <c r="AI310" s="143"/>
      <c r="AJ310" s="9">
        <f t="shared" si="51"/>
        <v>0</v>
      </c>
      <c r="AK310" s="11"/>
      <c r="AL310" s="143"/>
      <c r="AM310" s="143"/>
      <c r="AN310" s="9">
        <f t="shared" si="52"/>
        <v>0</v>
      </c>
      <c r="AO310" s="8" t="str">
        <f t="array" ref="AO310">IF(AN310&gt;5,"Perlu Sensus",IF(AND(AN310&gt;=0,AL310&gt;0),"Tetap Deteksi","Belum Deteksi"))</f>
        <v>Belum Deteksi</v>
      </c>
      <c r="AP310" s="143"/>
      <c r="AQ310" s="9">
        <f t="shared" si="53"/>
        <v>0</v>
      </c>
    </row>
    <row r="311" spans="1:43" x14ac:dyDescent="0.15">
      <c r="A311" s="8" t="s">
        <v>1739</v>
      </c>
      <c r="B311" s="8" t="s">
        <v>14</v>
      </c>
      <c r="C311" s="8" t="s">
        <v>345</v>
      </c>
      <c r="D311" s="8" t="s">
        <v>1175</v>
      </c>
      <c r="E311" s="9">
        <v>31.64</v>
      </c>
      <c r="F311" s="8" t="s">
        <v>1740</v>
      </c>
      <c r="G311" s="10">
        <v>3526</v>
      </c>
      <c r="H311" s="11">
        <f t="array" ref="H311">IF(OR(N311&gt;0,AC311&gt;0),MAX(N311,AC311),MAX(AK311,V311))</f>
        <v>46239</v>
      </c>
      <c r="I311" s="143">
        <f t="array" ref="I311">IF(SUM(O311,AD311)&gt;0,SUM(O311,AD311),SUM(AL311,W311))</f>
        <v>92</v>
      </c>
      <c r="J311" s="9">
        <f t="shared" si="44"/>
        <v>2.6091888825865004</v>
      </c>
      <c r="K311" s="143">
        <f t="shared" si="54"/>
        <v>4</v>
      </c>
      <c r="L311" s="9">
        <f t="shared" si="45"/>
        <v>4.3478260869565215</v>
      </c>
      <c r="M311" s="8" t="str">
        <f t="array" ref="M311">IF(L311&gt;5,"Perlu Sensus",IF(AND(L311&gt;=0,I311&gt;0),"Tetap Deteksi","Belum Deteksi"))</f>
        <v>Tetap Deteksi</v>
      </c>
      <c r="N311" s="11">
        <v>46239</v>
      </c>
      <c r="O311" s="143">
        <v>92</v>
      </c>
      <c r="P311" s="9">
        <f t="array" ref="P311">IFERROR(O311/$G311*100,0)</f>
        <v>2.6091888825865004</v>
      </c>
      <c r="Q311" s="143">
        <v>4</v>
      </c>
      <c r="R311" s="9">
        <f t="shared" si="46"/>
        <v>4.3478260869565215</v>
      </c>
      <c r="S311" s="8" t="str">
        <f t="array" ref="S311">IF(R311&gt;5,"Perlu Sensus",IF(AND(R311&gt;=0,O311&gt;0),"Tetap Deteksi","Belum Deteksi"))</f>
        <v>Tetap Deteksi</v>
      </c>
      <c r="T311" s="143">
        <v>6</v>
      </c>
      <c r="U311" s="9">
        <f t="shared" si="47"/>
        <v>6.5217391304347823</v>
      </c>
      <c r="V311" s="132">
        <v>46249</v>
      </c>
      <c r="W311" s="143">
        <v>364</v>
      </c>
      <c r="X311" s="143">
        <v>15</v>
      </c>
      <c r="Y311" s="9">
        <f t="shared" si="48"/>
        <v>4.1208791208791204</v>
      </c>
      <c r="Z311" s="8" t="str">
        <f t="array" ref="Z311">IF(Y311&gt;5,"Perlu Sensus",IF(AND(Y311&gt;=0,W311&gt;0),"Tetap Deteksi","Belum Deteksi"))</f>
        <v>Tetap Deteksi</v>
      </c>
      <c r="AA311" s="143">
        <v>28</v>
      </c>
      <c r="AB311" s="9">
        <f t="shared" si="49"/>
        <v>7.6923076923076925</v>
      </c>
      <c r="AC311" s="11"/>
      <c r="AD311" s="143"/>
      <c r="AE311" s="9">
        <f t="array" ref="AE311">IFERROR(AD311/$G311*100,0)</f>
        <v>0</v>
      </c>
      <c r="AF311" s="143"/>
      <c r="AG311" s="9">
        <f t="shared" si="50"/>
        <v>0</v>
      </c>
      <c r="AH311" s="8" t="str">
        <f t="array" ref="AH311">IF(AG311&gt;5,"Perlu Sensus",IF(AND(AG311&gt;=0,AD311&gt;0),"Tetap Deteksi","Belum Deteksi"))</f>
        <v>Belum Deteksi</v>
      </c>
      <c r="AI311" s="143"/>
      <c r="AJ311" s="9">
        <f t="shared" si="51"/>
        <v>0</v>
      </c>
      <c r="AK311" s="11"/>
      <c r="AL311" s="143"/>
      <c r="AM311" s="143"/>
      <c r="AN311" s="9">
        <f t="shared" si="52"/>
        <v>0</v>
      </c>
      <c r="AO311" s="8" t="str">
        <f t="array" ref="AO311">IF(AN311&gt;5,"Perlu Sensus",IF(AND(AN311&gt;=0,AL311&gt;0),"Tetap Deteksi","Belum Deteksi"))</f>
        <v>Belum Deteksi</v>
      </c>
      <c r="AP311" s="143"/>
      <c r="AQ311" s="9">
        <f t="shared" si="53"/>
        <v>0</v>
      </c>
    </row>
    <row r="312" spans="1:43" x14ac:dyDescent="0.15">
      <c r="A312" s="8" t="s">
        <v>1739</v>
      </c>
      <c r="B312" s="8" t="s">
        <v>14</v>
      </c>
      <c r="C312" s="8" t="s">
        <v>345</v>
      </c>
      <c r="D312" s="8" t="s">
        <v>1176</v>
      </c>
      <c r="E312" s="9">
        <v>26.06</v>
      </c>
      <c r="F312" s="8" t="s">
        <v>1740</v>
      </c>
      <c r="G312" s="10">
        <v>2902</v>
      </c>
      <c r="H312" s="11">
        <f t="array" ref="H312">IF(OR(N312&gt;0,AC312&gt;0),MAX(N312,AC312),MAX(AK312,V312))</f>
        <v>46239</v>
      </c>
      <c r="I312" s="143">
        <f t="array" ref="I312">IF(SUM(O312,AD312)&gt;0,SUM(O312,AD312),SUM(AL312,W312))</f>
        <v>99</v>
      </c>
      <c r="J312" s="9">
        <f t="shared" si="44"/>
        <v>3.4114403859407303</v>
      </c>
      <c r="K312" s="143">
        <f t="shared" si="54"/>
        <v>5</v>
      </c>
      <c r="L312" s="9">
        <f t="shared" si="45"/>
        <v>5.0505050505050502</v>
      </c>
      <c r="M312" s="8" t="str">
        <f t="array" ref="M312">IF(L312&gt;5,"Perlu Sensus",IF(AND(L312&gt;=0,I312&gt;0),"Tetap Deteksi","Belum Deteksi"))</f>
        <v>Perlu Sensus</v>
      </c>
      <c r="N312" s="11">
        <v>46239</v>
      </c>
      <c r="O312" s="143">
        <v>99</v>
      </c>
      <c r="P312" s="9">
        <f t="array" ref="P312">IFERROR(O312/$G312*100,0)</f>
        <v>3.4114403859407303</v>
      </c>
      <c r="Q312" s="143">
        <v>5</v>
      </c>
      <c r="R312" s="9">
        <f t="shared" si="46"/>
        <v>5.0505050505050502</v>
      </c>
      <c r="S312" s="8" t="str">
        <f t="array" ref="S312">IF(R312&gt;5,"Perlu Sensus",IF(AND(R312&gt;=0,O312&gt;0),"Tetap Deteksi","Belum Deteksi"))</f>
        <v>Perlu Sensus</v>
      </c>
      <c r="T312" s="143">
        <v>6</v>
      </c>
      <c r="U312" s="9">
        <f t="shared" si="47"/>
        <v>6.0606060606060606</v>
      </c>
      <c r="V312" s="132">
        <v>46249</v>
      </c>
      <c r="W312" s="143">
        <v>416</v>
      </c>
      <c r="X312" s="143">
        <v>14</v>
      </c>
      <c r="Y312" s="9">
        <f t="shared" si="48"/>
        <v>3.3653846153846154</v>
      </c>
      <c r="Z312" s="8" t="str">
        <f t="array" ref="Z312">IF(Y312&gt;5,"Perlu Sensus",IF(AND(Y312&gt;=0,W312&gt;0),"Tetap Deteksi","Belum Deteksi"))</f>
        <v>Tetap Deteksi</v>
      </c>
      <c r="AA312" s="143">
        <v>35</v>
      </c>
      <c r="AB312" s="9">
        <f t="shared" si="49"/>
        <v>8.4134615384615383</v>
      </c>
      <c r="AC312" s="11"/>
      <c r="AD312" s="143"/>
      <c r="AE312" s="9">
        <f t="array" ref="AE312">IFERROR(AD312/$G312*100,0)</f>
        <v>0</v>
      </c>
      <c r="AF312" s="143"/>
      <c r="AG312" s="9">
        <f t="shared" si="50"/>
        <v>0</v>
      </c>
      <c r="AH312" s="8" t="str">
        <f t="array" ref="AH312">IF(AG312&gt;5,"Perlu Sensus",IF(AND(AG312&gt;=0,AD312&gt;0),"Tetap Deteksi","Belum Deteksi"))</f>
        <v>Belum Deteksi</v>
      </c>
      <c r="AI312" s="143"/>
      <c r="AJ312" s="9">
        <f t="shared" si="51"/>
        <v>0</v>
      </c>
      <c r="AK312" s="11"/>
      <c r="AL312" s="143"/>
      <c r="AM312" s="143"/>
      <c r="AN312" s="9">
        <f t="shared" si="52"/>
        <v>0</v>
      </c>
      <c r="AO312" s="8" t="str">
        <f t="array" ref="AO312">IF(AN312&gt;5,"Perlu Sensus",IF(AND(AN312&gt;=0,AL312&gt;0),"Tetap Deteksi","Belum Deteksi"))</f>
        <v>Belum Deteksi</v>
      </c>
      <c r="AP312" s="143"/>
      <c r="AQ312" s="9">
        <f t="shared" si="53"/>
        <v>0</v>
      </c>
    </row>
    <row r="313" spans="1:43" x14ac:dyDescent="0.15">
      <c r="A313" s="8" t="s">
        <v>1739</v>
      </c>
      <c r="B313" s="8" t="s">
        <v>14</v>
      </c>
      <c r="C313" s="8" t="s">
        <v>345</v>
      </c>
      <c r="D313" s="8" t="s">
        <v>1177</v>
      </c>
      <c r="E313" s="9">
        <v>39.51</v>
      </c>
      <c r="F313" s="8" t="s">
        <v>1740</v>
      </c>
      <c r="G313" s="10">
        <v>4991</v>
      </c>
      <c r="H313" s="11">
        <f t="array" ref="H313">IF(OR(N313&gt;0,AC313&gt;0),MAX(N313,AC313),MAX(AK313,V313))</f>
        <v>46240</v>
      </c>
      <c r="I313" s="143">
        <f t="array" ref="I313">IF(SUM(O313,AD313)&gt;0,SUM(O313,AD313),SUM(AL313,W313))</f>
        <v>88</v>
      </c>
      <c r="J313" s="9">
        <f t="shared" si="44"/>
        <v>1.7631737126828293</v>
      </c>
      <c r="K313" s="143">
        <f t="shared" si="54"/>
        <v>3</v>
      </c>
      <c r="L313" s="9">
        <f t="shared" si="45"/>
        <v>3.4090909090909087</v>
      </c>
      <c r="M313" s="8" t="str">
        <f t="array" ref="M313">IF(L313&gt;5,"Perlu Sensus",IF(AND(L313&gt;=0,I313&gt;0),"Tetap Deteksi","Belum Deteksi"))</f>
        <v>Tetap Deteksi</v>
      </c>
      <c r="N313" s="11">
        <v>46240</v>
      </c>
      <c r="O313" s="143">
        <v>88</v>
      </c>
      <c r="P313" s="9">
        <f t="array" ref="P313">IFERROR(O313/$G313*100,0)</f>
        <v>1.7631737126828293</v>
      </c>
      <c r="Q313" s="143">
        <v>3</v>
      </c>
      <c r="R313" s="9">
        <f t="shared" si="46"/>
        <v>3.4090909090909087</v>
      </c>
      <c r="S313" s="8" t="str">
        <f t="array" ref="S313">IF(R313&gt;5,"Perlu Sensus",IF(AND(R313&gt;=0,O313&gt;0),"Tetap Deteksi","Belum Deteksi"))</f>
        <v>Tetap Deteksi</v>
      </c>
      <c r="T313" s="143">
        <v>6</v>
      </c>
      <c r="U313" s="9">
        <f t="shared" si="47"/>
        <v>6.8181818181818175</v>
      </c>
      <c r="V313" s="132">
        <v>46249</v>
      </c>
      <c r="W313" s="143">
        <v>297</v>
      </c>
      <c r="X313" s="143">
        <v>7</v>
      </c>
      <c r="Y313" s="9">
        <f t="shared" si="48"/>
        <v>2.3569023569023568</v>
      </c>
      <c r="Z313" s="8" t="str">
        <f t="array" ref="Z313">IF(Y313&gt;5,"Perlu Sensus",IF(AND(Y313&gt;=0,W313&gt;0),"Tetap Deteksi","Belum Deteksi"))</f>
        <v>Tetap Deteksi</v>
      </c>
      <c r="AA313" s="143">
        <v>31</v>
      </c>
      <c r="AB313" s="9">
        <f t="shared" si="49"/>
        <v>10.437710437710438</v>
      </c>
      <c r="AC313" s="11"/>
      <c r="AD313" s="143"/>
      <c r="AE313" s="9">
        <f t="array" ref="AE313">IFERROR(AD313/$G313*100,0)</f>
        <v>0</v>
      </c>
      <c r="AF313" s="143"/>
      <c r="AG313" s="9">
        <f t="shared" si="50"/>
        <v>0</v>
      </c>
      <c r="AH313" s="8" t="str">
        <f t="array" ref="AH313">IF(AG313&gt;5,"Perlu Sensus",IF(AND(AG313&gt;=0,AD313&gt;0),"Tetap Deteksi","Belum Deteksi"))</f>
        <v>Belum Deteksi</v>
      </c>
      <c r="AI313" s="143"/>
      <c r="AJ313" s="9">
        <f t="shared" si="51"/>
        <v>0</v>
      </c>
      <c r="AK313" s="11"/>
      <c r="AL313" s="143"/>
      <c r="AM313" s="143"/>
      <c r="AN313" s="9">
        <f t="shared" si="52"/>
        <v>0</v>
      </c>
      <c r="AO313" s="8" t="str">
        <f t="array" ref="AO313">IF(AN313&gt;5,"Perlu Sensus",IF(AND(AN313&gt;=0,AL313&gt;0),"Tetap Deteksi","Belum Deteksi"))</f>
        <v>Belum Deteksi</v>
      </c>
      <c r="AP313" s="143"/>
      <c r="AQ313" s="9">
        <f t="shared" si="53"/>
        <v>0</v>
      </c>
    </row>
    <row r="314" spans="1:43" x14ac:dyDescent="0.15">
      <c r="A314" s="8" t="s">
        <v>1739</v>
      </c>
      <c r="B314" s="8" t="s">
        <v>14</v>
      </c>
      <c r="C314" s="8" t="s">
        <v>345</v>
      </c>
      <c r="D314" s="8" t="s">
        <v>1178</v>
      </c>
      <c r="E314" s="9">
        <v>28.73</v>
      </c>
      <c r="F314" s="8" t="s">
        <v>1740</v>
      </c>
      <c r="G314" s="10">
        <v>3888</v>
      </c>
      <c r="H314" s="11">
        <f t="array" ref="H314">IF(OR(N314&gt;0,AC314&gt;0),MAX(N314,AC314),MAX(AK314,V314))</f>
        <v>46240</v>
      </c>
      <c r="I314" s="143">
        <f t="array" ref="I314">IF(SUM(O314,AD314)&gt;0,SUM(O314,AD314),SUM(AL314,W314))</f>
        <v>94</v>
      </c>
      <c r="J314" s="9">
        <f t="shared" si="44"/>
        <v>2.4176954732510287</v>
      </c>
      <c r="K314" s="143">
        <f t="shared" si="54"/>
        <v>3</v>
      </c>
      <c r="L314" s="9">
        <f t="shared" si="45"/>
        <v>3.1914893617021276</v>
      </c>
      <c r="M314" s="8" t="str">
        <f t="array" ref="M314">IF(L314&gt;5,"Perlu Sensus",IF(AND(L314&gt;=0,I314&gt;0),"Tetap Deteksi","Belum Deteksi"))</f>
        <v>Tetap Deteksi</v>
      </c>
      <c r="N314" s="11">
        <v>46240</v>
      </c>
      <c r="O314" s="143">
        <v>94</v>
      </c>
      <c r="P314" s="9">
        <f t="array" ref="P314">IFERROR(O314/$G314*100,0)</f>
        <v>2.4176954732510287</v>
      </c>
      <c r="Q314" s="143">
        <v>3</v>
      </c>
      <c r="R314" s="9">
        <f t="shared" si="46"/>
        <v>3.1914893617021276</v>
      </c>
      <c r="S314" s="8" t="str">
        <f t="array" ref="S314">IF(R314&gt;5,"Perlu Sensus",IF(AND(R314&gt;=0,O314&gt;0),"Tetap Deteksi","Belum Deteksi"))</f>
        <v>Tetap Deteksi</v>
      </c>
      <c r="T314" s="143">
        <v>7</v>
      </c>
      <c r="U314" s="9">
        <f t="shared" si="47"/>
        <v>7.4468085106382977</v>
      </c>
      <c r="V314" s="132">
        <v>46249</v>
      </c>
      <c r="W314" s="143">
        <v>220</v>
      </c>
      <c r="X314" s="143">
        <v>9</v>
      </c>
      <c r="Y314" s="9">
        <f t="shared" si="48"/>
        <v>4.0909090909090908</v>
      </c>
      <c r="Z314" s="8" t="str">
        <f t="array" ref="Z314">IF(Y314&gt;5,"Perlu Sensus",IF(AND(Y314&gt;=0,W314&gt;0),"Tetap Deteksi","Belum Deteksi"))</f>
        <v>Tetap Deteksi</v>
      </c>
      <c r="AA314" s="143">
        <v>26</v>
      </c>
      <c r="AB314" s="9">
        <f t="shared" si="49"/>
        <v>11.818181818181818</v>
      </c>
      <c r="AC314" s="11"/>
      <c r="AD314" s="143"/>
      <c r="AE314" s="9">
        <f t="array" ref="AE314">IFERROR(AD314/$G314*100,0)</f>
        <v>0</v>
      </c>
      <c r="AF314" s="143"/>
      <c r="AG314" s="9">
        <f t="shared" si="50"/>
        <v>0</v>
      </c>
      <c r="AH314" s="8" t="str">
        <f t="array" ref="AH314">IF(AG314&gt;5,"Perlu Sensus",IF(AND(AG314&gt;=0,AD314&gt;0),"Tetap Deteksi","Belum Deteksi"))</f>
        <v>Belum Deteksi</v>
      </c>
      <c r="AI314" s="143"/>
      <c r="AJ314" s="9">
        <f t="shared" si="51"/>
        <v>0</v>
      </c>
      <c r="AK314" s="11"/>
      <c r="AL314" s="143"/>
      <c r="AM314" s="143"/>
      <c r="AN314" s="9">
        <f t="shared" si="52"/>
        <v>0</v>
      </c>
      <c r="AO314" s="8" t="str">
        <f t="array" ref="AO314">IF(AN314&gt;5,"Perlu Sensus",IF(AND(AN314&gt;=0,AL314&gt;0),"Tetap Deteksi","Belum Deteksi"))</f>
        <v>Belum Deteksi</v>
      </c>
      <c r="AP314" s="143"/>
      <c r="AQ314" s="9">
        <f t="shared" si="53"/>
        <v>0</v>
      </c>
    </row>
    <row r="315" spans="1:43" x14ac:dyDescent="0.15">
      <c r="A315" s="8" t="s">
        <v>1739</v>
      </c>
      <c r="B315" s="8" t="s">
        <v>14</v>
      </c>
      <c r="C315" s="8" t="s">
        <v>345</v>
      </c>
      <c r="D315" s="8" t="s">
        <v>1179</v>
      </c>
      <c r="E315" s="9">
        <v>31.17</v>
      </c>
      <c r="F315" s="8" t="s">
        <v>1740</v>
      </c>
      <c r="G315" s="10">
        <v>3705</v>
      </c>
      <c r="H315" s="11">
        <f t="array" ref="H315">IF(OR(N315&gt;0,AC315&gt;0),MAX(N315,AC315),MAX(AK315,V315))</f>
        <v>46241</v>
      </c>
      <c r="I315" s="143">
        <f t="array" ref="I315">IF(SUM(O315,AD315)&gt;0,SUM(O315,AD315),SUM(AL315,W315))</f>
        <v>102</v>
      </c>
      <c r="J315" s="9">
        <f t="shared" si="44"/>
        <v>2.7530364372469638</v>
      </c>
      <c r="K315" s="143">
        <f t="shared" si="54"/>
        <v>5</v>
      </c>
      <c r="L315" s="9">
        <f t="shared" si="45"/>
        <v>4.9019607843137258</v>
      </c>
      <c r="M315" s="8" t="str">
        <f t="array" ref="M315">IF(L315&gt;5,"Perlu Sensus",IF(AND(L315&gt;=0,I315&gt;0),"Tetap Deteksi","Belum Deteksi"))</f>
        <v>Tetap Deteksi</v>
      </c>
      <c r="N315" s="11">
        <v>46241</v>
      </c>
      <c r="O315" s="143">
        <v>102</v>
      </c>
      <c r="P315" s="9">
        <f t="array" ref="P315">IFERROR(O315/$G315*100,0)</f>
        <v>2.7530364372469638</v>
      </c>
      <c r="Q315" s="143">
        <v>5</v>
      </c>
      <c r="R315" s="9">
        <f t="shared" si="46"/>
        <v>4.9019607843137258</v>
      </c>
      <c r="S315" s="8" t="str">
        <f t="array" ref="S315">IF(R315&gt;5,"Perlu Sensus",IF(AND(R315&gt;=0,O315&gt;0),"Tetap Deteksi","Belum Deteksi"))</f>
        <v>Tetap Deteksi</v>
      </c>
      <c r="T315" s="143">
        <v>6</v>
      </c>
      <c r="U315" s="9">
        <f t="shared" si="47"/>
        <v>5.8823529411764701</v>
      </c>
      <c r="V315" s="132">
        <v>46249</v>
      </c>
      <c r="W315" s="143">
        <v>251</v>
      </c>
      <c r="X315" s="143">
        <v>5</v>
      </c>
      <c r="Y315" s="9">
        <f t="shared" si="48"/>
        <v>1.9920318725099602</v>
      </c>
      <c r="Z315" s="8" t="str">
        <f t="array" ref="Z315">IF(Y315&gt;5,"Perlu Sensus",IF(AND(Y315&gt;=0,W315&gt;0),"Tetap Deteksi","Belum Deteksi"))</f>
        <v>Tetap Deteksi</v>
      </c>
      <c r="AA315" s="143">
        <v>17</v>
      </c>
      <c r="AB315" s="9">
        <f t="shared" si="49"/>
        <v>6.7729083665338639</v>
      </c>
      <c r="AC315" s="11"/>
      <c r="AD315" s="143"/>
      <c r="AE315" s="9">
        <f t="array" ref="AE315">IFERROR(AD315/$G315*100,0)</f>
        <v>0</v>
      </c>
      <c r="AF315" s="143"/>
      <c r="AG315" s="9">
        <f t="shared" si="50"/>
        <v>0</v>
      </c>
      <c r="AH315" s="8" t="str">
        <f t="array" ref="AH315">IF(AG315&gt;5,"Perlu Sensus",IF(AND(AG315&gt;=0,AD315&gt;0),"Tetap Deteksi","Belum Deteksi"))</f>
        <v>Belum Deteksi</v>
      </c>
      <c r="AI315" s="143"/>
      <c r="AJ315" s="9">
        <f t="shared" si="51"/>
        <v>0</v>
      </c>
      <c r="AK315" s="11"/>
      <c r="AL315" s="143"/>
      <c r="AM315" s="143"/>
      <c r="AN315" s="9">
        <f t="shared" si="52"/>
        <v>0</v>
      </c>
      <c r="AO315" s="8" t="str">
        <f t="array" ref="AO315">IF(AN315&gt;5,"Perlu Sensus",IF(AND(AN315&gt;=0,AL315&gt;0),"Tetap Deteksi","Belum Deteksi"))</f>
        <v>Belum Deteksi</v>
      </c>
      <c r="AP315" s="143"/>
      <c r="AQ315" s="9">
        <f t="shared" si="53"/>
        <v>0</v>
      </c>
    </row>
    <row r="316" spans="1:43" x14ac:dyDescent="0.15">
      <c r="A316" s="8" t="s">
        <v>1739</v>
      </c>
      <c r="B316" s="8" t="s">
        <v>14</v>
      </c>
      <c r="C316" s="8" t="s">
        <v>345</v>
      </c>
      <c r="D316" s="8" t="s">
        <v>1180</v>
      </c>
      <c r="E316" s="9">
        <v>26.99</v>
      </c>
      <c r="F316" s="8" t="s">
        <v>1740</v>
      </c>
      <c r="G316" s="10">
        <v>3344</v>
      </c>
      <c r="H316" s="11">
        <f t="array" ref="H316">IF(OR(N316&gt;0,AC316&gt;0),MAX(N316,AC316),MAX(AK316,V316))</f>
        <v>46241</v>
      </c>
      <c r="I316" s="143">
        <f t="array" ref="I316">IF(SUM(O316,AD316)&gt;0,SUM(O316,AD316),SUM(AL316,W316))</f>
        <v>105</v>
      </c>
      <c r="J316" s="9">
        <f t="shared" si="44"/>
        <v>3.1399521531100474</v>
      </c>
      <c r="K316" s="143">
        <f t="shared" si="54"/>
        <v>4</v>
      </c>
      <c r="L316" s="9">
        <f t="shared" si="45"/>
        <v>3.8095238095238098</v>
      </c>
      <c r="M316" s="8" t="str">
        <f t="array" ref="M316">IF(L316&gt;5,"Perlu Sensus",IF(AND(L316&gt;=0,I316&gt;0),"Tetap Deteksi","Belum Deteksi"))</f>
        <v>Tetap Deteksi</v>
      </c>
      <c r="N316" s="11">
        <v>46241</v>
      </c>
      <c r="O316" s="143">
        <v>105</v>
      </c>
      <c r="P316" s="9">
        <f t="array" ref="P316">IFERROR(O316/$G316*100,0)</f>
        <v>3.1399521531100474</v>
      </c>
      <c r="Q316" s="143">
        <v>4</v>
      </c>
      <c r="R316" s="9">
        <f t="shared" si="46"/>
        <v>3.8095238095238098</v>
      </c>
      <c r="S316" s="8" t="str">
        <f t="array" ref="S316">IF(R316&gt;5,"Perlu Sensus",IF(AND(R316&gt;=0,O316&gt;0),"Tetap Deteksi","Belum Deteksi"))</f>
        <v>Tetap Deteksi</v>
      </c>
      <c r="T316" s="143">
        <v>6</v>
      </c>
      <c r="U316" s="9">
        <f t="shared" si="47"/>
        <v>5.7142857142857144</v>
      </c>
      <c r="V316" s="132">
        <v>46249</v>
      </c>
      <c r="W316" s="143">
        <v>332</v>
      </c>
      <c r="X316" s="143">
        <v>10</v>
      </c>
      <c r="Y316" s="9">
        <f t="shared" si="48"/>
        <v>3.0120481927710845</v>
      </c>
      <c r="Z316" s="8" t="str">
        <f t="array" ref="Z316">IF(Y316&gt;5,"Perlu Sensus",IF(AND(Y316&gt;=0,W316&gt;0),"Tetap Deteksi","Belum Deteksi"))</f>
        <v>Tetap Deteksi</v>
      </c>
      <c r="AA316" s="143">
        <v>18</v>
      </c>
      <c r="AB316" s="9">
        <f t="shared" si="49"/>
        <v>5.4216867469879517</v>
      </c>
      <c r="AC316" s="11"/>
      <c r="AD316" s="143"/>
      <c r="AE316" s="9">
        <f t="array" ref="AE316">IFERROR(AD316/$G316*100,0)</f>
        <v>0</v>
      </c>
      <c r="AF316" s="143"/>
      <c r="AG316" s="9">
        <f t="shared" si="50"/>
        <v>0</v>
      </c>
      <c r="AH316" s="8" t="str">
        <f t="array" ref="AH316">IF(AG316&gt;5,"Perlu Sensus",IF(AND(AG316&gt;=0,AD316&gt;0),"Tetap Deteksi","Belum Deteksi"))</f>
        <v>Belum Deteksi</v>
      </c>
      <c r="AI316" s="143"/>
      <c r="AJ316" s="9">
        <f t="shared" si="51"/>
        <v>0</v>
      </c>
      <c r="AK316" s="11"/>
      <c r="AL316" s="143"/>
      <c r="AM316" s="143"/>
      <c r="AN316" s="9">
        <f t="shared" si="52"/>
        <v>0</v>
      </c>
      <c r="AO316" s="8" t="str">
        <f t="array" ref="AO316">IF(AN316&gt;5,"Perlu Sensus",IF(AND(AN316&gt;=0,AL316&gt;0),"Tetap Deteksi","Belum Deteksi"))</f>
        <v>Belum Deteksi</v>
      </c>
      <c r="AP316" s="143"/>
      <c r="AQ316" s="9">
        <f t="shared" si="53"/>
        <v>0</v>
      </c>
    </row>
    <row r="317" spans="1:43" x14ac:dyDescent="0.15">
      <c r="A317" s="8" t="s">
        <v>1739</v>
      </c>
      <c r="B317" s="8" t="s">
        <v>14</v>
      </c>
      <c r="C317" s="8" t="s">
        <v>345</v>
      </c>
      <c r="D317" s="8" t="s">
        <v>1181</v>
      </c>
      <c r="E317" s="9">
        <v>28.54</v>
      </c>
      <c r="F317" s="8" t="s">
        <v>1740</v>
      </c>
      <c r="G317" s="10">
        <v>3356</v>
      </c>
      <c r="H317" s="11">
        <f t="array" ref="H317">IF(OR(N317&gt;0,AC317&gt;0),MAX(N317,AC317),MAX(AK317,V317))</f>
        <v>46242</v>
      </c>
      <c r="I317" s="143">
        <f t="array" ref="I317">IF(SUM(O317,AD317)&gt;0,SUM(O317,AD317),SUM(AL317,W317))</f>
        <v>85</v>
      </c>
      <c r="J317" s="9">
        <f t="shared" si="44"/>
        <v>2.5327771156138259</v>
      </c>
      <c r="K317" s="143">
        <f t="shared" si="54"/>
        <v>2</v>
      </c>
      <c r="L317" s="9">
        <f t="shared" si="45"/>
        <v>2.3529411764705883</v>
      </c>
      <c r="M317" s="8" t="str">
        <f t="array" ref="M317">IF(L317&gt;5,"Perlu Sensus",IF(AND(L317&gt;=0,I317&gt;0),"Tetap Deteksi","Belum Deteksi"))</f>
        <v>Tetap Deteksi</v>
      </c>
      <c r="N317" s="11">
        <v>46242</v>
      </c>
      <c r="O317" s="143">
        <v>85</v>
      </c>
      <c r="P317" s="9">
        <f t="array" ref="P317">IFERROR(O317/$G317*100,0)</f>
        <v>2.5327771156138259</v>
      </c>
      <c r="Q317" s="143">
        <v>2</v>
      </c>
      <c r="R317" s="9">
        <f t="shared" si="46"/>
        <v>2.3529411764705883</v>
      </c>
      <c r="S317" s="8" t="str">
        <f t="array" ref="S317">IF(R317&gt;5,"Perlu Sensus",IF(AND(R317&gt;=0,O317&gt;0),"Tetap Deteksi","Belum Deteksi"))</f>
        <v>Tetap Deteksi</v>
      </c>
      <c r="T317" s="143">
        <v>5</v>
      </c>
      <c r="U317" s="9">
        <f t="shared" si="47"/>
        <v>5.8823529411764701</v>
      </c>
      <c r="V317" s="132">
        <v>46249</v>
      </c>
      <c r="W317" s="143">
        <v>365</v>
      </c>
      <c r="X317" s="143">
        <v>11</v>
      </c>
      <c r="Y317" s="9">
        <f t="shared" si="48"/>
        <v>3.0136986301369864</v>
      </c>
      <c r="Z317" s="8" t="str">
        <f t="array" ref="Z317">IF(Y317&gt;5,"Perlu Sensus",IF(AND(Y317&gt;=0,W317&gt;0),"Tetap Deteksi","Belum Deteksi"))</f>
        <v>Tetap Deteksi</v>
      </c>
      <c r="AA317" s="143">
        <v>16</v>
      </c>
      <c r="AB317" s="9">
        <f t="shared" si="49"/>
        <v>4.3835616438356162</v>
      </c>
      <c r="AC317" s="11"/>
      <c r="AD317" s="143"/>
      <c r="AE317" s="9">
        <f t="array" ref="AE317">IFERROR(AD317/$G317*100,0)</f>
        <v>0</v>
      </c>
      <c r="AF317" s="143"/>
      <c r="AG317" s="9">
        <f t="shared" si="50"/>
        <v>0</v>
      </c>
      <c r="AH317" s="8" t="str">
        <f t="array" ref="AH317">IF(AG317&gt;5,"Perlu Sensus",IF(AND(AG317&gt;=0,AD317&gt;0),"Tetap Deteksi","Belum Deteksi"))</f>
        <v>Belum Deteksi</v>
      </c>
      <c r="AI317" s="143"/>
      <c r="AJ317" s="9">
        <f t="shared" si="51"/>
        <v>0</v>
      </c>
      <c r="AK317" s="11"/>
      <c r="AL317" s="143"/>
      <c r="AM317" s="143"/>
      <c r="AN317" s="9">
        <f t="shared" si="52"/>
        <v>0</v>
      </c>
      <c r="AO317" s="8" t="str">
        <f t="array" ref="AO317">IF(AN317&gt;5,"Perlu Sensus",IF(AND(AN317&gt;=0,AL317&gt;0),"Tetap Deteksi","Belum Deteksi"))</f>
        <v>Belum Deteksi</v>
      </c>
      <c r="AP317" s="143"/>
      <c r="AQ317" s="9">
        <f t="shared" si="53"/>
        <v>0</v>
      </c>
    </row>
    <row r="318" spans="1:43" x14ac:dyDescent="0.15">
      <c r="A318" s="8" t="s">
        <v>1739</v>
      </c>
      <c r="B318" s="8" t="s">
        <v>14</v>
      </c>
      <c r="C318" s="8" t="s">
        <v>345</v>
      </c>
      <c r="D318" s="8" t="s">
        <v>1182</v>
      </c>
      <c r="E318" s="9">
        <v>29.16</v>
      </c>
      <c r="F318" s="8" t="s">
        <v>1740</v>
      </c>
      <c r="G318" s="10">
        <v>4245</v>
      </c>
      <c r="H318" s="11">
        <f t="array" ref="H318">IF(OR(N318&gt;0,AC318&gt;0),MAX(N318,AC318),MAX(AK318,V318))</f>
        <v>46242</v>
      </c>
      <c r="I318" s="143">
        <f t="array" ref="I318">IF(SUM(O318,AD318)&gt;0,SUM(O318,AD318),SUM(AL318,W318))</f>
        <v>88</v>
      </c>
      <c r="J318" s="9">
        <f t="shared" si="44"/>
        <v>2.0730270906949353</v>
      </c>
      <c r="K318" s="143">
        <f t="shared" si="54"/>
        <v>2</v>
      </c>
      <c r="L318" s="9">
        <f t="shared" si="45"/>
        <v>2.2727272727272729</v>
      </c>
      <c r="M318" s="8" t="str">
        <f t="array" ref="M318">IF(L318&gt;5,"Perlu Sensus",IF(AND(L318&gt;=0,I318&gt;0),"Tetap Deteksi","Belum Deteksi"))</f>
        <v>Tetap Deteksi</v>
      </c>
      <c r="N318" s="11">
        <v>46242</v>
      </c>
      <c r="O318" s="143">
        <v>88</v>
      </c>
      <c r="P318" s="9">
        <f t="array" ref="P318">IFERROR(O318/$G318*100,0)</f>
        <v>2.0730270906949353</v>
      </c>
      <c r="Q318" s="143">
        <v>2</v>
      </c>
      <c r="R318" s="9">
        <f t="shared" si="46"/>
        <v>2.2727272727272729</v>
      </c>
      <c r="S318" s="8" t="str">
        <f t="array" ref="S318">IF(R318&gt;5,"Perlu Sensus",IF(AND(R318&gt;=0,O318&gt;0),"Tetap Deteksi","Belum Deteksi"))</f>
        <v>Tetap Deteksi</v>
      </c>
      <c r="T318" s="143">
        <v>6</v>
      </c>
      <c r="U318" s="9">
        <f t="shared" si="47"/>
        <v>6.8181818181818175</v>
      </c>
      <c r="V318" s="132">
        <v>46249</v>
      </c>
      <c r="W318" s="143">
        <v>267</v>
      </c>
      <c r="X318" s="143">
        <v>12</v>
      </c>
      <c r="Y318" s="9">
        <f t="shared" si="48"/>
        <v>4.4943820224719104</v>
      </c>
      <c r="Z318" s="8" t="str">
        <f t="array" ref="Z318">IF(Y318&gt;5,"Perlu Sensus",IF(AND(Y318&gt;=0,W318&gt;0),"Tetap Deteksi","Belum Deteksi"))</f>
        <v>Tetap Deteksi</v>
      </c>
      <c r="AA318" s="143">
        <v>14</v>
      </c>
      <c r="AB318" s="9">
        <f t="shared" si="49"/>
        <v>5.2434456928838955</v>
      </c>
      <c r="AC318" s="11"/>
      <c r="AD318" s="143"/>
      <c r="AE318" s="9">
        <f t="array" ref="AE318">IFERROR(AD318/$G318*100,0)</f>
        <v>0</v>
      </c>
      <c r="AF318" s="143"/>
      <c r="AG318" s="9">
        <f t="shared" si="50"/>
        <v>0</v>
      </c>
      <c r="AH318" s="8" t="str">
        <f t="array" ref="AH318">IF(AG318&gt;5,"Perlu Sensus",IF(AND(AG318&gt;=0,AD318&gt;0),"Tetap Deteksi","Belum Deteksi"))</f>
        <v>Belum Deteksi</v>
      </c>
      <c r="AI318" s="143"/>
      <c r="AJ318" s="9">
        <f t="shared" si="51"/>
        <v>0</v>
      </c>
      <c r="AK318" s="11"/>
      <c r="AL318" s="143"/>
      <c r="AM318" s="143"/>
      <c r="AN318" s="9">
        <f t="shared" si="52"/>
        <v>0</v>
      </c>
      <c r="AO318" s="8" t="str">
        <f t="array" ref="AO318">IF(AN318&gt;5,"Perlu Sensus",IF(AND(AN318&gt;=0,AL318&gt;0),"Tetap Deteksi","Belum Deteksi"))</f>
        <v>Belum Deteksi</v>
      </c>
      <c r="AP318" s="143"/>
      <c r="AQ318" s="9">
        <f t="shared" si="53"/>
        <v>0</v>
      </c>
    </row>
    <row r="319" spans="1:43" x14ac:dyDescent="0.15">
      <c r="A319" s="8" t="s">
        <v>1739</v>
      </c>
      <c r="B319" s="8" t="s">
        <v>14</v>
      </c>
      <c r="C319" s="8" t="s">
        <v>345</v>
      </c>
      <c r="D319" s="8" t="s">
        <v>1183</v>
      </c>
      <c r="E319" s="9">
        <v>42.33</v>
      </c>
      <c r="F319" s="8" t="s">
        <v>1740</v>
      </c>
      <c r="G319" s="10">
        <v>5601</v>
      </c>
      <c r="H319" s="11">
        <f t="array" ref="H319">IF(OR(N319&gt;0,AC319&gt;0),MAX(N319,AC319),MAX(AK319,V319))</f>
        <v>46244</v>
      </c>
      <c r="I319" s="143">
        <f t="array" ref="I319">IF(SUM(O319,AD319)&gt;0,SUM(O319,AD319),SUM(AL319,W319))</f>
        <v>85</v>
      </c>
      <c r="J319" s="9">
        <f t="shared" si="44"/>
        <v>1.517586145331191</v>
      </c>
      <c r="K319" s="143">
        <f t="shared" si="54"/>
        <v>2</v>
      </c>
      <c r="L319" s="9">
        <f t="shared" si="45"/>
        <v>2.3529411764705883</v>
      </c>
      <c r="M319" s="8" t="str">
        <f t="array" ref="M319">IF(L319&gt;5,"Perlu Sensus",IF(AND(L319&gt;=0,I319&gt;0),"Tetap Deteksi","Belum Deteksi"))</f>
        <v>Tetap Deteksi</v>
      </c>
      <c r="N319" s="11">
        <v>46244</v>
      </c>
      <c r="O319" s="143">
        <v>85</v>
      </c>
      <c r="P319" s="9">
        <f t="array" ref="P319">IFERROR(O319/$G319*100,0)</f>
        <v>1.517586145331191</v>
      </c>
      <c r="Q319" s="143">
        <v>2</v>
      </c>
      <c r="R319" s="9">
        <f t="shared" si="46"/>
        <v>2.3529411764705883</v>
      </c>
      <c r="S319" s="8" t="str">
        <f t="array" ref="S319">IF(R319&gt;5,"Perlu Sensus",IF(AND(R319&gt;=0,O319&gt;0),"Tetap Deteksi","Belum Deteksi"))</f>
        <v>Tetap Deteksi</v>
      </c>
      <c r="T319" s="143">
        <v>5</v>
      </c>
      <c r="U319" s="9">
        <f t="shared" si="47"/>
        <v>5.8823529411764701</v>
      </c>
      <c r="V319" s="132">
        <v>46249</v>
      </c>
      <c r="W319" s="143">
        <v>292</v>
      </c>
      <c r="X319" s="143">
        <v>16</v>
      </c>
      <c r="Y319" s="9">
        <f t="shared" si="48"/>
        <v>5.4794520547945202</v>
      </c>
      <c r="Z319" s="8" t="str">
        <f t="array" ref="Z319">IF(Y319&gt;5,"Perlu Sensus",IF(AND(Y319&gt;=0,W319&gt;0),"Tetap Deteksi","Belum Deteksi"))</f>
        <v>Perlu Sensus</v>
      </c>
      <c r="AA319" s="143">
        <v>34</v>
      </c>
      <c r="AB319" s="9">
        <f t="shared" si="49"/>
        <v>11.643835616438356</v>
      </c>
      <c r="AC319" s="11"/>
      <c r="AD319" s="143"/>
      <c r="AE319" s="9">
        <f t="array" ref="AE319">IFERROR(AD319/$G319*100,0)</f>
        <v>0</v>
      </c>
      <c r="AF319" s="143"/>
      <c r="AG319" s="9">
        <f t="shared" si="50"/>
        <v>0</v>
      </c>
      <c r="AH319" s="8" t="str">
        <f t="array" ref="AH319">IF(AG319&gt;5,"Perlu Sensus",IF(AND(AG319&gt;=0,AD319&gt;0),"Tetap Deteksi","Belum Deteksi"))</f>
        <v>Belum Deteksi</v>
      </c>
      <c r="AI319" s="143"/>
      <c r="AJ319" s="9">
        <f t="shared" si="51"/>
        <v>0</v>
      </c>
      <c r="AK319" s="11"/>
      <c r="AL319" s="143"/>
      <c r="AM319" s="143"/>
      <c r="AN319" s="9">
        <f t="shared" si="52"/>
        <v>0</v>
      </c>
      <c r="AO319" s="8" t="str">
        <f t="array" ref="AO319">IF(AN319&gt;5,"Perlu Sensus",IF(AND(AN319&gt;=0,AL319&gt;0),"Tetap Deteksi","Belum Deteksi"))</f>
        <v>Belum Deteksi</v>
      </c>
      <c r="AP319" s="143"/>
      <c r="AQ319" s="9">
        <f t="shared" si="53"/>
        <v>0</v>
      </c>
    </row>
    <row r="320" spans="1:43" x14ac:dyDescent="0.15">
      <c r="A320" s="8" t="s">
        <v>1739</v>
      </c>
      <c r="B320" s="8" t="s">
        <v>14</v>
      </c>
      <c r="C320" s="8" t="s">
        <v>345</v>
      </c>
      <c r="D320" s="8" t="s">
        <v>1184</v>
      </c>
      <c r="E320" s="9">
        <v>26</v>
      </c>
      <c r="F320" s="8" t="s">
        <v>1740</v>
      </c>
      <c r="G320" s="10">
        <v>3701</v>
      </c>
      <c r="H320" s="11">
        <f t="array" ref="H320">IF(OR(N320&gt;0,AC320&gt;0),MAX(N320,AC320),MAX(AK320,V320))</f>
        <v>46244</v>
      </c>
      <c r="I320" s="143">
        <f t="array" ref="I320">IF(SUM(O320,AD320)&gt;0,SUM(O320,AD320),SUM(AL320,W320))</f>
        <v>88</v>
      </c>
      <c r="J320" s="9">
        <f t="shared" si="44"/>
        <v>2.3777357470953797</v>
      </c>
      <c r="K320" s="143">
        <f t="shared" si="54"/>
        <v>2</v>
      </c>
      <c r="L320" s="9">
        <f t="shared" si="45"/>
        <v>2.2727272727272729</v>
      </c>
      <c r="M320" s="8" t="str">
        <f t="array" ref="M320">IF(L320&gt;5,"Perlu Sensus",IF(AND(L320&gt;=0,I320&gt;0),"Tetap Deteksi","Belum Deteksi"))</f>
        <v>Tetap Deteksi</v>
      </c>
      <c r="N320" s="11">
        <v>46244</v>
      </c>
      <c r="O320" s="143">
        <v>88</v>
      </c>
      <c r="P320" s="9">
        <f t="array" ref="P320">IFERROR(O320/$G320*100,0)</f>
        <v>2.3777357470953797</v>
      </c>
      <c r="Q320" s="143">
        <v>2</v>
      </c>
      <c r="R320" s="9">
        <f t="shared" si="46"/>
        <v>2.2727272727272729</v>
      </c>
      <c r="S320" s="8" t="str">
        <f t="array" ref="S320">IF(R320&gt;5,"Perlu Sensus",IF(AND(R320&gt;=0,O320&gt;0),"Tetap Deteksi","Belum Deteksi"))</f>
        <v>Tetap Deteksi</v>
      </c>
      <c r="T320" s="143">
        <v>6</v>
      </c>
      <c r="U320" s="9">
        <f t="shared" si="47"/>
        <v>6.8181818181818175</v>
      </c>
      <c r="V320" s="132">
        <v>46249</v>
      </c>
      <c r="W320" s="143">
        <v>316</v>
      </c>
      <c r="X320" s="143">
        <v>11</v>
      </c>
      <c r="Y320" s="9">
        <f t="shared" si="48"/>
        <v>3.481012658227848</v>
      </c>
      <c r="Z320" s="8" t="str">
        <f t="array" ref="Z320">IF(Y320&gt;5,"Perlu Sensus",IF(AND(Y320&gt;=0,W320&gt;0),"Tetap Deteksi","Belum Deteksi"))</f>
        <v>Tetap Deteksi</v>
      </c>
      <c r="AA320" s="143">
        <v>19</v>
      </c>
      <c r="AB320" s="9">
        <f t="shared" si="49"/>
        <v>6.0126582278481013</v>
      </c>
      <c r="AC320" s="11"/>
      <c r="AD320" s="143"/>
      <c r="AE320" s="9">
        <f t="array" ref="AE320">IFERROR(AD320/$G320*100,0)</f>
        <v>0</v>
      </c>
      <c r="AF320" s="143"/>
      <c r="AG320" s="9">
        <f t="shared" si="50"/>
        <v>0</v>
      </c>
      <c r="AH320" s="8" t="str">
        <f t="array" ref="AH320">IF(AG320&gt;5,"Perlu Sensus",IF(AND(AG320&gt;=0,AD320&gt;0),"Tetap Deteksi","Belum Deteksi"))</f>
        <v>Belum Deteksi</v>
      </c>
      <c r="AI320" s="143"/>
      <c r="AJ320" s="9">
        <f t="shared" si="51"/>
        <v>0</v>
      </c>
      <c r="AK320" s="11"/>
      <c r="AL320" s="143"/>
      <c r="AM320" s="143"/>
      <c r="AN320" s="9">
        <f t="shared" si="52"/>
        <v>0</v>
      </c>
      <c r="AO320" s="8" t="str">
        <f t="array" ref="AO320">IF(AN320&gt;5,"Perlu Sensus",IF(AND(AN320&gt;=0,AL320&gt;0),"Tetap Deteksi","Belum Deteksi"))</f>
        <v>Belum Deteksi</v>
      </c>
      <c r="AP320" s="143"/>
      <c r="AQ320" s="9">
        <f t="shared" si="53"/>
        <v>0</v>
      </c>
    </row>
    <row r="321" spans="1:43" x14ac:dyDescent="0.15">
      <c r="A321" s="8" t="s">
        <v>1739</v>
      </c>
      <c r="B321" s="8" t="s">
        <v>14</v>
      </c>
      <c r="C321" s="8" t="s">
        <v>345</v>
      </c>
      <c r="D321" s="8" t="s">
        <v>1185</v>
      </c>
      <c r="E321" s="9">
        <v>16.28</v>
      </c>
      <c r="F321" s="8" t="s">
        <v>1740</v>
      </c>
      <c r="G321" s="10">
        <v>2079</v>
      </c>
      <c r="H321" s="11">
        <f t="array" ref="H321">IF(OR(N321&gt;0,AC321&gt;0),MAX(N321,AC321),MAX(AK321,V321))</f>
        <v>46245</v>
      </c>
      <c r="I321" s="143">
        <f t="array" ref="I321">IF(SUM(O321,AD321)&gt;0,SUM(O321,AD321),SUM(AL321,W321))</f>
        <v>86</v>
      </c>
      <c r="J321" s="9">
        <f t="shared" si="44"/>
        <v>4.1366041366041362</v>
      </c>
      <c r="K321" s="143">
        <f t="shared" si="54"/>
        <v>1</v>
      </c>
      <c r="L321" s="9">
        <f t="shared" si="45"/>
        <v>1.1627906976744187</v>
      </c>
      <c r="M321" s="8" t="str">
        <f t="array" ref="M321">IF(L321&gt;5,"Perlu Sensus",IF(AND(L321&gt;=0,I321&gt;0),"Tetap Deteksi","Belum Deteksi"))</f>
        <v>Tetap Deteksi</v>
      </c>
      <c r="N321" s="11">
        <v>46245</v>
      </c>
      <c r="O321" s="143">
        <v>86</v>
      </c>
      <c r="P321" s="9">
        <f t="array" ref="P321">IFERROR(O321/$G321*100,0)</f>
        <v>4.1366041366041362</v>
      </c>
      <c r="Q321" s="143">
        <v>1</v>
      </c>
      <c r="R321" s="9">
        <f t="shared" si="46"/>
        <v>1.1627906976744187</v>
      </c>
      <c r="S321" s="8" t="str">
        <f t="array" ref="S321">IF(R321&gt;5,"Perlu Sensus",IF(AND(R321&gt;=0,O321&gt;0),"Tetap Deteksi","Belum Deteksi"))</f>
        <v>Tetap Deteksi</v>
      </c>
      <c r="T321" s="143">
        <v>5</v>
      </c>
      <c r="U321" s="9">
        <f t="shared" si="47"/>
        <v>5.8139534883720927</v>
      </c>
      <c r="V321" s="132">
        <v>46249</v>
      </c>
      <c r="W321" s="143">
        <v>330</v>
      </c>
      <c r="X321" s="143">
        <v>13</v>
      </c>
      <c r="Y321" s="9">
        <f t="shared" si="48"/>
        <v>3.939393939393939</v>
      </c>
      <c r="Z321" s="8" t="str">
        <f t="array" ref="Z321">IF(Y321&gt;5,"Perlu Sensus",IF(AND(Y321&gt;=0,W321&gt;0),"Tetap Deteksi","Belum Deteksi"))</f>
        <v>Tetap Deteksi</v>
      </c>
      <c r="AA321" s="143">
        <v>21</v>
      </c>
      <c r="AB321" s="9">
        <f t="shared" si="49"/>
        <v>6.3636363636363633</v>
      </c>
      <c r="AC321" s="11"/>
      <c r="AD321" s="143"/>
      <c r="AE321" s="9">
        <f t="array" ref="AE321">IFERROR(AD321/$G321*100,0)</f>
        <v>0</v>
      </c>
      <c r="AF321" s="143"/>
      <c r="AG321" s="9">
        <f t="shared" si="50"/>
        <v>0</v>
      </c>
      <c r="AH321" s="8" t="str">
        <f t="array" ref="AH321">IF(AG321&gt;5,"Perlu Sensus",IF(AND(AG321&gt;=0,AD321&gt;0),"Tetap Deteksi","Belum Deteksi"))</f>
        <v>Belum Deteksi</v>
      </c>
      <c r="AI321" s="143"/>
      <c r="AJ321" s="9">
        <f t="shared" si="51"/>
        <v>0</v>
      </c>
      <c r="AK321" s="11"/>
      <c r="AL321" s="143"/>
      <c r="AM321" s="143"/>
      <c r="AN321" s="9">
        <f t="shared" si="52"/>
        <v>0</v>
      </c>
      <c r="AO321" s="8" t="str">
        <f t="array" ref="AO321">IF(AN321&gt;5,"Perlu Sensus",IF(AND(AN321&gt;=0,AL321&gt;0),"Tetap Deteksi","Belum Deteksi"))</f>
        <v>Belum Deteksi</v>
      </c>
      <c r="AP321" s="143"/>
      <c r="AQ321" s="9">
        <f t="shared" si="53"/>
        <v>0</v>
      </c>
    </row>
    <row r="322" spans="1:43" x14ac:dyDescent="0.15">
      <c r="A322" s="8" t="s">
        <v>1739</v>
      </c>
      <c r="B322" s="8" t="s">
        <v>14</v>
      </c>
      <c r="C322" s="8" t="s">
        <v>345</v>
      </c>
      <c r="D322" s="8" t="s">
        <v>1186</v>
      </c>
      <c r="E322" s="9">
        <v>36.5</v>
      </c>
      <c r="F322" s="8" t="s">
        <v>1740</v>
      </c>
      <c r="G322" s="10">
        <v>4664</v>
      </c>
      <c r="H322" s="11">
        <f t="array" ref="H322">IF(OR(N322&gt;0,AC322&gt;0),MAX(N322,AC322),MAX(AK322,V322))</f>
        <v>46245</v>
      </c>
      <c r="I322" s="143">
        <f t="array" ref="I322">IF(SUM(O322,AD322)&gt;0,SUM(O322,AD322),SUM(AL322,W322))</f>
        <v>75</v>
      </c>
      <c r="J322" s="9">
        <f t="shared" si="44"/>
        <v>1.6080617495711835</v>
      </c>
      <c r="K322" s="143">
        <f t="shared" si="54"/>
        <v>3</v>
      </c>
      <c r="L322" s="9">
        <f t="shared" si="45"/>
        <v>4</v>
      </c>
      <c r="M322" s="8" t="str">
        <f t="array" ref="M322">IF(L322&gt;5,"Perlu Sensus",IF(AND(L322&gt;=0,I322&gt;0),"Tetap Deteksi","Belum Deteksi"))</f>
        <v>Tetap Deteksi</v>
      </c>
      <c r="N322" s="11">
        <v>46245</v>
      </c>
      <c r="O322" s="143">
        <v>75</v>
      </c>
      <c r="P322" s="9">
        <f t="array" ref="P322">IFERROR(O322/$G322*100,0)</f>
        <v>1.6080617495711835</v>
      </c>
      <c r="Q322" s="143">
        <v>3</v>
      </c>
      <c r="R322" s="9">
        <f t="shared" si="46"/>
        <v>4</v>
      </c>
      <c r="S322" s="8" t="str">
        <f t="array" ref="S322">IF(R322&gt;5,"Perlu Sensus",IF(AND(R322&gt;=0,O322&gt;0),"Tetap Deteksi","Belum Deteksi"))</f>
        <v>Tetap Deteksi</v>
      </c>
      <c r="T322" s="143">
        <v>4</v>
      </c>
      <c r="U322" s="9">
        <f t="shared" si="47"/>
        <v>5.3333333333333339</v>
      </c>
      <c r="V322" s="132">
        <v>46249</v>
      </c>
      <c r="W322" s="143">
        <v>334</v>
      </c>
      <c r="X322" s="143">
        <v>16</v>
      </c>
      <c r="Y322" s="9">
        <f t="shared" si="48"/>
        <v>4.7904191616766472</v>
      </c>
      <c r="Z322" s="8" t="str">
        <f t="array" ref="Z322">IF(Y322&gt;5,"Perlu Sensus",IF(AND(Y322&gt;=0,W322&gt;0),"Tetap Deteksi","Belum Deteksi"))</f>
        <v>Tetap Deteksi</v>
      </c>
      <c r="AA322" s="143">
        <v>14</v>
      </c>
      <c r="AB322" s="9">
        <f t="shared" si="49"/>
        <v>4.1916167664670656</v>
      </c>
      <c r="AC322" s="11"/>
      <c r="AD322" s="143"/>
      <c r="AE322" s="9">
        <f t="array" ref="AE322">IFERROR(AD322/$G322*100,0)</f>
        <v>0</v>
      </c>
      <c r="AF322" s="143"/>
      <c r="AG322" s="9">
        <f t="shared" si="50"/>
        <v>0</v>
      </c>
      <c r="AH322" s="8" t="str">
        <f t="array" ref="AH322">IF(AG322&gt;5,"Perlu Sensus",IF(AND(AG322&gt;=0,AD322&gt;0),"Tetap Deteksi","Belum Deteksi"))</f>
        <v>Belum Deteksi</v>
      </c>
      <c r="AI322" s="143"/>
      <c r="AJ322" s="9">
        <f t="shared" si="51"/>
        <v>0</v>
      </c>
      <c r="AK322" s="11"/>
      <c r="AL322" s="143"/>
      <c r="AM322" s="143"/>
      <c r="AN322" s="9">
        <f t="shared" si="52"/>
        <v>0</v>
      </c>
      <c r="AO322" s="8" t="str">
        <f t="array" ref="AO322">IF(AN322&gt;5,"Perlu Sensus",IF(AND(AN322&gt;=0,AL322&gt;0),"Tetap Deteksi","Belum Deteksi"))</f>
        <v>Belum Deteksi</v>
      </c>
      <c r="AP322" s="143"/>
      <c r="AQ322" s="9">
        <f t="shared" si="53"/>
        <v>0</v>
      </c>
    </row>
    <row r="323" spans="1:43" x14ac:dyDescent="0.15">
      <c r="A323" s="8" t="s">
        <v>1739</v>
      </c>
      <c r="B323" s="8" t="s">
        <v>14</v>
      </c>
      <c r="C323" s="8" t="s">
        <v>345</v>
      </c>
      <c r="D323" s="8" t="s">
        <v>1187</v>
      </c>
      <c r="E323" s="9">
        <v>30.62</v>
      </c>
      <c r="F323" s="8" t="s">
        <v>1740</v>
      </c>
      <c r="G323" s="10">
        <v>3969</v>
      </c>
      <c r="H323" s="11">
        <f t="array" ref="H323">IF(OR(N323&gt;0,AC323&gt;0),MAX(N323,AC323),MAX(AK323,V323))</f>
        <v>46246</v>
      </c>
      <c r="I323" s="143">
        <f t="array" ref="I323">IF(SUM(O323,AD323)&gt;0,SUM(O323,AD323),SUM(AL323,W323))</f>
        <v>86</v>
      </c>
      <c r="J323" s="9">
        <f t="shared" si="44"/>
        <v>2.1667926429831192</v>
      </c>
      <c r="K323" s="143">
        <f t="shared" si="54"/>
        <v>2</v>
      </c>
      <c r="L323" s="9">
        <f t="shared" si="45"/>
        <v>2.3255813953488373</v>
      </c>
      <c r="M323" s="8" t="str">
        <f t="array" ref="M323">IF(L323&gt;5,"Perlu Sensus",IF(AND(L323&gt;=0,I323&gt;0),"Tetap Deteksi","Belum Deteksi"))</f>
        <v>Tetap Deteksi</v>
      </c>
      <c r="N323" s="11">
        <v>46246</v>
      </c>
      <c r="O323" s="143">
        <v>86</v>
      </c>
      <c r="P323" s="9">
        <f t="array" ref="P323">IFERROR(O323/$G323*100,0)</f>
        <v>2.1667926429831192</v>
      </c>
      <c r="Q323" s="143">
        <v>2</v>
      </c>
      <c r="R323" s="9">
        <f t="shared" si="46"/>
        <v>2.3255813953488373</v>
      </c>
      <c r="S323" s="8" t="str">
        <f t="array" ref="S323">IF(R323&gt;5,"Perlu Sensus",IF(AND(R323&gt;=0,O323&gt;0),"Tetap Deteksi","Belum Deteksi"))</f>
        <v>Tetap Deteksi</v>
      </c>
      <c r="T323" s="143">
        <v>6</v>
      </c>
      <c r="U323" s="9">
        <f t="shared" si="47"/>
        <v>6.9767441860465116</v>
      </c>
      <c r="V323" s="132">
        <v>46249</v>
      </c>
      <c r="W323" s="143">
        <v>354</v>
      </c>
      <c r="X323" s="143">
        <v>13</v>
      </c>
      <c r="Y323" s="9">
        <f t="shared" si="48"/>
        <v>3.6723163841807911</v>
      </c>
      <c r="Z323" s="8" t="str">
        <f t="array" ref="Z323">IF(Y323&gt;5,"Perlu Sensus",IF(AND(Y323&gt;=0,W323&gt;0),"Tetap Deteksi","Belum Deteksi"))</f>
        <v>Tetap Deteksi</v>
      </c>
      <c r="AA323" s="143">
        <v>27</v>
      </c>
      <c r="AB323" s="9">
        <f t="shared" si="49"/>
        <v>7.6271186440677967</v>
      </c>
      <c r="AC323" s="11"/>
      <c r="AD323" s="143"/>
      <c r="AE323" s="9">
        <f t="array" ref="AE323">IFERROR(AD323/$G323*100,0)</f>
        <v>0</v>
      </c>
      <c r="AF323" s="143"/>
      <c r="AG323" s="9">
        <f t="shared" si="50"/>
        <v>0</v>
      </c>
      <c r="AH323" s="8" t="str">
        <f t="array" ref="AH323">IF(AG323&gt;5,"Perlu Sensus",IF(AND(AG323&gt;=0,AD323&gt;0),"Tetap Deteksi","Belum Deteksi"))</f>
        <v>Belum Deteksi</v>
      </c>
      <c r="AI323" s="143"/>
      <c r="AJ323" s="9">
        <f t="shared" si="51"/>
        <v>0</v>
      </c>
      <c r="AK323" s="11"/>
      <c r="AL323" s="143"/>
      <c r="AM323" s="143"/>
      <c r="AN323" s="9">
        <f t="shared" si="52"/>
        <v>0</v>
      </c>
      <c r="AO323" s="8" t="str">
        <f t="array" ref="AO323">IF(AN323&gt;5,"Perlu Sensus",IF(AND(AN323&gt;=0,AL323&gt;0),"Tetap Deteksi","Belum Deteksi"))</f>
        <v>Belum Deteksi</v>
      </c>
      <c r="AP323" s="143"/>
      <c r="AQ323" s="9">
        <f t="shared" si="53"/>
        <v>0</v>
      </c>
    </row>
    <row r="324" spans="1:43" x14ac:dyDescent="0.15">
      <c r="A324" s="8" t="s">
        <v>1739</v>
      </c>
      <c r="B324" s="8" t="s">
        <v>14</v>
      </c>
      <c r="C324" s="8" t="s">
        <v>345</v>
      </c>
      <c r="D324" s="8" t="s">
        <v>1188</v>
      </c>
      <c r="E324" s="9">
        <v>27.45</v>
      </c>
      <c r="F324" s="8" t="s">
        <v>1740</v>
      </c>
      <c r="G324" s="10">
        <v>3572</v>
      </c>
      <c r="H324" s="11">
        <f t="array" ref="H324">IF(OR(N324&gt;0,AC324&gt;0),MAX(N324,AC324),MAX(AK324,V324))</f>
        <v>46246</v>
      </c>
      <c r="I324" s="143">
        <f t="array" ref="I324">IF(SUM(O324,AD324)&gt;0,SUM(O324,AD324),SUM(AL324,W324))</f>
        <v>95</v>
      </c>
      <c r="J324" s="9">
        <f t="shared" si="44"/>
        <v>2.6595744680851063</v>
      </c>
      <c r="K324" s="143">
        <f t="shared" si="54"/>
        <v>1</v>
      </c>
      <c r="L324" s="9">
        <f t="shared" si="45"/>
        <v>1.0526315789473684</v>
      </c>
      <c r="M324" s="8" t="str">
        <f t="array" ref="M324">IF(L324&gt;5,"Perlu Sensus",IF(AND(L324&gt;=0,I324&gt;0),"Tetap Deteksi","Belum Deteksi"))</f>
        <v>Tetap Deteksi</v>
      </c>
      <c r="N324" s="11">
        <v>46246</v>
      </c>
      <c r="O324" s="143">
        <v>95</v>
      </c>
      <c r="P324" s="9">
        <f t="array" ref="P324">IFERROR(O324/$G324*100,0)</f>
        <v>2.6595744680851063</v>
      </c>
      <c r="Q324" s="143">
        <v>1</v>
      </c>
      <c r="R324" s="9">
        <f t="shared" si="46"/>
        <v>1.0526315789473684</v>
      </c>
      <c r="S324" s="8" t="str">
        <f t="array" ref="S324">IF(R324&gt;5,"Perlu Sensus",IF(AND(R324&gt;=0,O324&gt;0),"Tetap Deteksi","Belum Deteksi"))</f>
        <v>Tetap Deteksi</v>
      </c>
      <c r="T324" s="143">
        <v>6</v>
      </c>
      <c r="U324" s="9">
        <f t="shared" si="47"/>
        <v>6.3157894736842106</v>
      </c>
      <c r="V324" s="132">
        <v>46249</v>
      </c>
      <c r="W324" s="143">
        <v>432</v>
      </c>
      <c r="X324" s="143">
        <v>7</v>
      </c>
      <c r="Y324" s="9">
        <f t="shared" si="48"/>
        <v>1.6203703703703702</v>
      </c>
      <c r="Z324" s="8" t="str">
        <f t="array" ref="Z324">IF(Y324&gt;5,"Perlu Sensus",IF(AND(Y324&gt;=0,W324&gt;0),"Tetap Deteksi","Belum Deteksi"))</f>
        <v>Tetap Deteksi</v>
      </c>
      <c r="AA324" s="143">
        <v>28</v>
      </c>
      <c r="AB324" s="9">
        <f t="shared" si="49"/>
        <v>6.481481481481481</v>
      </c>
      <c r="AC324" s="11"/>
      <c r="AD324" s="143"/>
      <c r="AE324" s="9">
        <f t="array" ref="AE324">IFERROR(AD324/$G324*100,0)</f>
        <v>0</v>
      </c>
      <c r="AF324" s="143"/>
      <c r="AG324" s="9">
        <f t="shared" si="50"/>
        <v>0</v>
      </c>
      <c r="AH324" s="8" t="str">
        <f t="array" ref="AH324">IF(AG324&gt;5,"Perlu Sensus",IF(AND(AG324&gt;=0,AD324&gt;0),"Tetap Deteksi","Belum Deteksi"))</f>
        <v>Belum Deteksi</v>
      </c>
      <c r="AI324" s="143"/>
      <c r="AJ324" s="9">
        <f t="shared" si="51"/>
        <v>0</v>
      </c>
      <c r="AK324" s="11"/>
      <c r="AL324" s="143"/>
      <c r="AM324" s="143"/>
      <c r="AN324" s="9">
        <f t="shared" si="52"/>
        <v>0</v>
      </c>
      <c r="AO324" s="8" t="str">
        <f t="array" ref="AO324">IF(AN324&gt;5,"Perlu Sensus",IF(AND(AN324&gt;=0,AL324&gt;0),"Tetap Deteksi","Belum Deteksi"))</f>
        <v>Belum Deteksi</v>
      </c>
      <c r="AP324" s="143"/>
      <c r="AQ324" s="9">
        <f t="shared" si="53"/>
        <v>0</v>
      </c>
    </row>
    <row r="325" spans="1:43" x14ac:dyDescent="0.15">
      <c r="A325" s="8" t="s">
        <v>1739</v>
      </c>
      <c r="B325" s="8" t="s">
        <v>14</v>
      </c>
      <c r="C325" s="8" t="s">
        <v>345</v>
      </c>
      <c r="D325" s="8" t="s">
        <v>1189</v>
      </c>
      <c r="E325" s="9">
        <v>25.44</v>
      </c>
      <c r="F325" s="8" t="s">
        <v>1740</v>
      </c>
      <c r="G325" s="10">
        <v>3369</v>
      </c>
      <c r="H325" s="11">
        <f t="array" ref="H325">IF(OR(N325&gt;0,AC325&gt;0),MAX(N325,AC325),MAX(AK325,V325))</f>
        <v>46247</v>
      </c>
      <c r="I325" s="143">
        <f t="array" ref="I325">IF(SUM(O325,AD325)&gt;0,SUM(O325,AD325),SUM(AL325,W325))</f>
        <v>84</v>
      </c>
      <c r="J325" s="9">
        <f t="shared" si="44"/>
        <v>2.4933214603739984</v>
      </c>
      <c r="K325" s="143">
        <f t="shared" si="54"/>
        <v>2</v>
      </c>
      <c r="L325" s="9">
        <f t="shared" si="45"/>
        <v>2.3809523809523809</v>
      </c>
      <c r="M325" s="8" t="str">
        <f t="array" ref="M325">IF(L325&gt;5,"Perlu Sensus",IF(AND(L325&gt;=0,I325&gt;0),"Tetap Deteksi","Belum Deteksi"))</f>
        <v>Tetap Deteksi</v>
      </c>
      <c r="N325" s="11">
        <v>46247</v>
      </c>
      <c r="O325" s="143">
        <v>84</v>
      </c>
      <c r="P325" s="9">
        <f t="array" ref="P325">IFERROR(O325/$G325*100,0)</f>
        <v>2.4933214603739984</v>
      </c>
      <c r="Q325" s="143">
        <v>2</v>
      </c>
      <c r="R325" s="9">
        <f t="shared" si="46"/>
        <v>2.3809523809523809</v>
      </c>
      <c r="S325" s="8" t="str">
        <f t="array" ref="S325">IF(R325&gt;5,"Perlu Sensus",IF(AND(R325&gt;=0,O325&gt;0),"Tetap Deteksi","Belum Deteksi"))</f>
        <v>Tetap Deteksi</v>
      </c>
      <c r="T325" s="143">
        <v>5</v>
      </c>
      <c r="U325" s="9">
        <f t="shared" si="47"/>
        <v>5.9523809523809517</v>
      </c>
      <c r="V325" s="132">
        <v>46249</v>
      </c>
      <c r="W325" s="143">
        <v>420</v>
      </c>
      <c r="X325" s="143">
        <v>14</v>
      </c>
      <c r="Y325" s="9">
        <f t="shared" si="48"/>
        <v>3.3333333333333335</v>
      </c>
      <c r="Z325" s="8" t="str">
        <f t="array" ref="Z325">IF(Y325&gt;5,"Perlu Sensus",IF(AND(Y325&gt;=0,W325&gt;0),"Tetap Deteksi","Belum Deteksi"))</f>
        <v>Tetap Deteksi</v>
      </c>
      <c r="AA325" s="143">
        <v>25</v>
      </c>
      <c r="AB325" s="9">
        <f t="shared" si="49"/>
        <v>5.9523809523809517</v>
      </c>
      <c r="AC325" s="11"/>
      <c r="AD325" s="143"/>
      <c r="AE325" s="9">
        <f t="array" ref="AE325">IFERROR(AD325/$G325*100,0)</f>
        <v>0</v>
      </c>
      <c r="AF325" s="143"/>
      <c r="AG325" s="9">
        <f t="shared" si="50"/>
        <v>0</v>
      </c>
      <c r="AH325" s="8" t="str">
        <f t="array" ref="AH325">IF(AG325&gt;5,"Perlu Sensus",IF(AND(AG325&gt;=0,AD325&gt;0),"Tetap Deteksi","Belum Deteksi"))</f>
        <v>Belum Deteksi</v>
      </c>
      <c r="AI325" s="143"/>
      <c r="AJ325" s="9">
        <f t="shared" si="51"/>
        <v>0</v>
      </c>
      <c r="AK325" s="11"/>
      <c r="AL325" s="143"/>
      <c r="AM325" s="143"/>
      <c r="AN325" s="9">
        <f t="shared" si="52"/>
        <v>0</v>
      </c>
      <c r="AO325" s="8" t="str">
        <f t="array" ref="AO325">IF(AN325&gt;5,"Perlu Sensus",IF(AND(AN325&gt;=0,AL325&gt;0),"Tetap Deteksi","Belum Deteksi"))</f>
        <v>Belum Deteksi</v>
      </c>
      <c r="AP325" s="143"/>
      <c r="AQ325" s="9">
        <f t="shared" si="53"/>
        <v>0</v>
      </c>
    </row>
    <row r="326" spans="1:43" x14ac:dyDescent="0.15">
      <c r="A326" s="8" t="s">
        <v>1739</v>
      </c>
      <c r="B326" s="8" t="s">
        <v>14</v>
      </c>
      <c r="C326" s="8" t="s">
        <v>345</v>
      </c>
      <c r="D326" s="8" t="s">
        <v>1190</v>
      </c>
      <c r="E326" s="9">
        <v>30.41</v>
      </c>
      <c r="F326" s="8" t="s">
        <v>1740</v>
      </c>
      <c r="G326" s="10">
        <v>4249</v>
      </c>
      <c r="H326" s="11">
        <f t="array" ref="H326">IF(OR(N326&gt;0,AC326&gt;0),MAX(N326,AC326),MAX(AK326,V326))</f>
        <v>46247</v>
      </c>
      <c r="I326" s="143">
        <f t="array" ref="I326">IF(SUM(O326,AD326)&gt;0,SUM(O326,AD326),SUM(AL326,W326))</f>
        <v>65</v>
      </c>
      <c r="J326" s="9">
        <f t="shared" ref="J326:J389" si="55">IF(P326&gt;0,P326," ")</f>
        <v>1.5297717109908213</v>
      </c>
      <c r="K326" s="143">
        <f t="shared" si="54"/>
        <v>3</v>
      </c>
      <c r="L326" s="9">
        <f t="shared" ref="L326:L389" si="56">IFERROR(K326/I326*100,0)</f>
        <v>4.6153846153846159</v>
      </c>
      <c r="M326" s="8" t="str">
        <f t="array" ref="M326">IF(L326&gt;5,"Perlu Sensus",IF(AND(L326&gt;=0,I326&gt;0),"Tetap Deteksi","Belum Deteksi"))</f>
        <v>Tetap Deteksi</v>
      </c>
      <c r="N326" s="11">
        <v>46247</v>
      </c>
      <c r="O326" s="143">
        <v>65</v>
      </c>
      <c r="P326" s="9">
        <f t="array" ref="P326">IFERROR(O326/$G326*100,0)</f>
        <v>1.5297717109908213</v>
      </c>
      <c r="Q326" s="143">
        <v>3</v>
      </c>
      <c r="R326" s="9">
        <f t="shared" ref="R326:R389" si="57">IFERROR(Q326/O326*100,0)</f>
        <v>4.6153846153846159</v>
      </c>
      <c r="S326" s="8" t="str">
        <f t="array" ref="S326">IF(R326&gt;5,"Perlu Sensus",IF(AND(R326&gt;=0,O326&gt;0),"Tetap Deteksi","Belum Deteksi"))</f>
        <v>Tetap Deteksi</v>
      </c>
      <c r="T326" s="143">
        <v>6</v>
      </c>
      <c r="U326" s="9">
        <f t="shared" ref="U326:U389" si="58">IFERROR(T326/O326*100,0)</f>
        <v>9.2307692307692317</v>
      </c>
      <c r="V326" s="132">
        <v>46249</v>
      </c>
      <c r="W326" s="143">
        <v>450</v>
      </c>
      <c r="X326" s="143">
        <v>5</v>
      </c>
      <c r="Y326" s="9">
        <f t="shared" ref="Y326:Y389" si="59">IFERROR(X326/W326*100,0)</f>
        <v>1.1111111111111112</v>
      </c>
      <c r="Z326" s="8" t="str">
        <f t="array" ref="Z326">IF(Y326&gt;5,"Perlu Sensus",IF(AND(Y326&gt;=0,W326&gt;0),"Tetap Deteksi","Belum Deteksi"))</f>
        <v>Tetap Deteksi</v>
      </c>
      <c r="AA326" s="143">
        <v>34</v>
      </c>
      <c r="AB326" s="9">
        <f t="shared" ref="AB326:AB389" si="60">IFERROR(AA326/W326*100,0)</f>
        <v>7.5555555555555554</v>
      </c>
      <c r="AC326" s="11"/>
      <c r="AD326" s="143"/>
      <c r="AE326" s="9">
        <f t="array" ref="AE326">IFERROR(AD326/$G326*100,0)</f>
        <v>0</v>
      </c>
      <c r="AF326" s="143"/>
      <c r="AG326" s="9">
        <f t="shared" ref="AG326:AG389" si="61">IFERROR(AF326/AD326*100,0)</f>
        <v>0</v>
      </c>
      <c r="AH326" s="8" t="str">
        <f t="array" ref="AH326">IF(AG326&gt;5,"Perlu Sensus",IF(AND(AG326&gt;=0,AD326&gt;0),"Tetap Deteksi","Belum Deteksi"))</f>
        <v>Belum Deteksi</v>
      </c>
      <c r="AI326" s="143"/>
      <c r="AJ326" s="9">
        <f t="shared" ref="AJ326:AJ389" si="62">IFERROR(AI326/AD326*100,0)</f>
        <v>0</v>
      </c>
      <c r="AK326" s="11"/>
      <c r="AL326" s="143"/>
      <c r="AM326" s="143"/>
      <c r="AN326" s="9">
        <f t="shared" ref="AN326:AN389" si="63">IFERROR(AM326/AL326*100,0)</f>
        <v>0</v>
      </c>
      <c r="AO326" s="8" t="str">
        <f t="array" ref="AO326">IF(AN326&gt;5,"Perlu Sensus",IF(AND(AN326&gt;=0,AL326&gt;0),"Tetap Deteksi","Belum Deteksi"))</f>
        <v>Belum Deteksi</v>
      </c>
      <c r="AP326" s="143"/>
      <c r="AQ326" s="9">
        <f t="shared" ref="AQ326:AQ389" si="64">IFERROR(AP326/AL326*100,0)</f>
        <v>0</v>
      </c>
    </row>
    <row r="327" spans="1:43" x14ac:dyDescent="0.15">
      <c r="A327" s="8" t="s">
        <v>1739</v>
      </c>
      <c r="B327" s="8" t="s">
        <v>14</v>
      </c>
      <c r="C327" s="8" t="s">
        <v>345</v>
      </c>
      <c r="D327" s="8" t="s">
        <v>1191</v>
      </c>
      <c r="E327" s="9">
        <v>28.59</v>
      </c>
      <c r="F327" s="8" t="s">
        <v>1740</v>
      </c>
      <c r="G327" s="10">
        <v>3905</v>
      </c>
      <c r="H327" s="11">
        <f t="array" ref="H327">IF(OR(N327&gt;0,AC327&gt;0),MAX(N327,AC327),MAX(AK327,V327))</f>
        <v>46248</v>
      </c>
      <c r="I327" s="143">
        <f t="array" ref="I327">IF(SUM(O327,AD327)&gt;0,SUM(O327,AD327),SUM(AL327,W327))</f>
        <v>85</v>
      </c>
      <c r="J327" s="9">
        <f t="shared" si="55"/>
        <v>2.1766965428937262</v>
      </c>
      <c r="K327" s="143">
        <f t="shared" ref="K327:K390" si="65">IF(SUM(Q327,AF327)&gt;0,SUM(Q327,AF327),SUM(AM327,X327))</f>
        <v>2</v>
      </c>
      <c r="L327" s="9">
        <f t="shared" si="56"/>
        <v>2.3529411764705883</v>
      </c>
      <c r="M327" s="8" t="str">
        <f t="array" ref="M327">IF(L327&gt;5,"Perlu Sensus",IF(AND(L327&gt;=0,I327&gt;0),"Tetap Deteksi","Belum Deteksi"))</f>
        <v>Tetap Deteksi</v>
      </c>
      <c r="N327" s="11">
        <v>46248</v>
      </c>
      <c r="O327" s="143">
        <v>85</v>
      </c>
      <c r="P327" s="9">
        <f t="array" ref="P327">IFERROR(O327/$G327*100,0)</f>
        <v>2.1766965428937262</v>
      </c>
      <c r="Q327" s="143">
        <v>2</v>
      </c>
      <c r="R327" s="9">
        <f t="shared" si="57"/>
        <v>2.3529411764705883</v>
      </c>
      <c r="S327" s="8" t="str">
        <f t="array" ref="S327">IF(R327&gt;5,"Perlu Sensus",IF(AND(R327&gt;=0,O327&gt;0),"Tetap Deteksi","Belum Deteksi"))</f>
        <v>Tetap Deteksi</v>
      </c>
      <c r="T327" s="143">
        <v>4</v>
      </c>
      <c r="U327" s="9">
        <f t="shared" si="58"/>
        <v>4.7058823529411766</v>
      </c>
      <c r="V327" s="132">
        <v>46249</v>
      </c>
      <c r="W327" s="143">
        <v>429</v>
      </c>
      <c r="X327" s="143">
        <v>9</v>
      </c>
      <c r="Y327" s="9">
        <f t="shared" si="59"/>
        <v>2.0979020979020979</v>
      </c>
      <c r="Z327" s="8" t="str">
        <f t="array" ref="Z327">IF(Y327&gt;5,"Perlu Sensus",IF(AND(Y327&gt;=0,W327&gt;0),"Tetap Deteksi","Belum Deteksi"))</f>
        <v>Tetap Deteksi</v>
      </c>
      <c r="AA327" s="143">
        <v>11</v>
      </c>
      <c r="AB327" s="9">
        <f t="shared" si="60"/>
        <v>2.5641025641025639</v>
      </c>
      <c r="AC327" s="11"/>
      <c r="AD327" s="143"/>
      <c r="AE327" s="9">
        <f t="array" ref="AE327">IFERROR(AD327/$G327*100,0)</f>
        <v>0</v>
      </c>
      <c r="AF327" s="143"/>
      <c r="AG327" s="9">
        <f t="shared" si="61"/>
        <v>0</v>
      </c>
      <c r="AH327" s="8" t="str">
        <f t="array" ref="AH327">IF(AG327&gt;5,"Perlu Sensus",IF(AND(AG327&gt;=0,AD327&gt;0),"Tetap Deteksi","Belum Deteksi"))</f>
        <v>Belum Deteksi</v>
      </c>
      <c r="AI327" s="143"/>
      <c r="AJ327" s="9">
        <f t="shared" si="62"/>
        <v>0</v>
      </c>
      <c r="AK327" s="11"/>
      <c r="AL327" s="143"/>
      <c r="AM327" s="143"/>
      <c r="AN327" s="9">
        <f t="shared" si="63"/>
        <v>0</v>
      </c>
      <c r="AO327" s="8" t="str">
        <f t="array" ref="AO327">IF(AN327&gt;5,"Perlu Sensus",IF(AND(AN327&gt;=0,AL327&gt;0),"Tetap Deteksi","Belum Deteksi"))</f>
        <v>Belum Deteksi</v>
      </c>
      <c r="AP327" s="143"/>
      <c r="AQ327" s="9">
        <f t="shared" si="64"/>
        <v>0</v>
      </c>
    </row>
    <row r="328" spans="1:43" x14ac:dyDescent="0.15">
      <c r="A328" s="8" t="s">
        <v>1739</v>
      </c>
      <c r="B328" s="8" t="s">
        <v>14</v>
      </c>
      <c r="C328" s="8" t="s">
        <v>345</v>
      </c>
      <c r="D328" s="8" t="s">
        <v>1192</v>
      </c>
      <c r="E328" s="9">
        <v>28.55</v>
      </c>
      <c r="F328" s="8" t="s">
        <v>1740</v>
      </c>
      <c r="G328" s="10">
        <v>3813</v>
      </c>
      <c r="H328" s="11">
        <f t="array" ref="H328">IF(OR(N328&gt;0,AC328&gt;0),MAX(N328,AC328),MAX(AK328,V328))</f>
        <v>46248</v>
      </c>
      <c r="I328" s="143">
        <f t="array" ref="I328">IF(SUM(O328,AD328)&gt;0,SUM(O328,AD328),SUM(AL328,W328))</f>
        <v>75</v>
      </c>
      <c r="J328" s="9">
        <f t="shared" si="55"/>
        <v>1.9669551534225018</v>
      </c>
      <c r="K328" s="143">
        <f t="shared" si="65"/>
        <v>1</v>
      </c>
      <c r="L328" s="9">
        <f t="shared" si="56"/>
        <v>1.3333333333333335</v>
      </c>
      <c r="M328" s="8" t="str">
        <f t="array" ref="M328">IF(L328&gt;5,"Perlu Sensus",IF(AND(L328&gt;=0,I328&gt;0),"Tetap Deteksi","Belum Deteksi"))</f>
        <v>Tetap Deteksi</v>
      </c>
      <c r="N328" s="11">
        <v>46248</v>
      </c>
      <c r="O328" s="143">
        <v>75</v>
      </c>
      <c r="P328" s="9">
        <f t="array" ref="P328">IFERROR(O328/$G328*100,0)</f>
        <v>1.9669551534225018</v>
      </c>
      <c r="Q328" s="143">
        <v>1</v>
      </c>
      <c r="R328" s="9">
        <f t="shared" si="57"/>
        <v>1.3333333333333335</v>
      </c>
      <c r="S328" s="8" t="str">
        <f t="array" ref="S328">IF(R328&gt;5,"Perlu Sensus",IF(AND(R328&gt;=0,O328&gt;0),"Tetap Deteksi","Belum Deteksi"))</f>
        <v>Tetap Deteksi</v>
      </c>
      <c r="T328" s="143">
        <v>4</v>
      </c>
      <c r="U328" s="9">
        <f t="shared" si="58"/>
        <v>5.3333333333333339</v>
      </c>
      <c r="V328" s="132">
        <v>46249</v>
      </c>
      <c r="W328" s="143">
        <v>441</v>
      </c>
      <c r="X328" s="143">
        <v>12</v>
      </c>
      <c r="Y328" s="9">
        <f t="shared" si="59"/>
        <v>2.7210884353741496</v>
      </c>
      <c r="Z328" s="8" t="str">
        <f t="array" ref="Z328">IF(Y328&gt;5,"Perlu Sensus",IF(AND(Y328&gt;=0,W328&gt;0),"Tetap Deteksi","Belum Deteksi"))</f>
        <v>Tetap Deteksi</v>
      </c>
      <c r="AA328" s="143">
        <v>14</v>
      </c>
      <c r="AB328" s="9">
        <f t="shared" si="60"/>
        <v>3.1746031746031744</v>
      </c>
      <c r="AC328" s="11"/>
      <c r="AD328" s="143"/>
      <c r="AE328" s="9">
        <f t="array" ref="AE328">IFERROR(AD328/$G328*100,0)</f>
        <v>0</v>
      </c>
      <c r="AF328" s="143"/>
      <c r="AG328" s="9">
        <f t="shared" si="61"/>
        <v>0</v>
      </c>
      <c r="AH328" s="8" t="str">
        <f t="array" ref="AH328">IF(AG328&gt;5,"Perlu Sensus",IF(AND(AG328&gt;=0,AD328&gt;0),"Tetap Deteksi","Belum Deteksi"))</f>
        <v>Belum Deteksi</v>
      </c>
      <c r="AI328" s="143"/>
      <c r="AJ328" s="9">
        <f t="shared" si="62"/>
        <v>0</v>
      </c>
      <c r="AK328" s="11"/>
      <c r="AL328" s="143"/>
      <c r="AM328" s="143"/>
      <c r="AN328" s="9">
        <f t="shared" si="63"/>
        <v>0</v>
      </c>
      <c r="AO328" s="8" t="str">
        <f t="array" ref="AO328">IF(AN328&gt;5,"Perlu Sensus",IF(AND(AN328&gt;=0,AL328&gt;0),"Tetap Deteksi","Belum Deteksi"))</f>
        <v>Belum Deteksi</v>
      </c>
      <c r="AP328" s="143"/>
      <c r="AQ328" s="9">
        <f t="shared" si="64"/>
        <v>0</v>
      </c>
    </row>
    <row r="329" spans="1:43" x14ac:dyDescent="0.15">
      <c r="A329" s="8" t="s">
        <v>1739</v>
      </c>
      <c r="B329" s="8" t="s">
        <v>14</v>
      </c>
      <c r="C329" s="8" t="s">
        <v>345</v>
      </c>
      <c r="D329" s="8" t="s">
        <v>1193</v>
      </c>
      <c r="E329" s="9">
        <v>31.35</v>
      </c>
      <c r="F329" s="8" t="s">
        <v>1740</v>
      </c>
      <c r="G329" s="10">
        <v>4247</v>
      </c>
      <c r="H329" s="11">
        <f t="array" ref="H329">IF(OR(N329&gt;0,AC329&gt;0),MAX(N329,AC329),MAX(AK329,V329))</f>
        <v>46249</v>
      </c>
      <c r="I329" s="143">
        <f t="array" ref="I329">IF(SUM(O329,AD329)&gt;0,SUM(O329,AD329),SUM(AL329,W329))</f>
        <v>65</v>
      </c>
      <c r="J329" s="9">
        <f t="shared" si="55"/>
        <v>1.5304921120791146</v>
      </c>
      <c r="K329" s="143">
        <f t="shared" si="65"/>
        <v>1</v>
      </c>
      <c r="L329" s="9">
        <f t="shared" si="56"/>
        <v>1.5384615384615385</v>
      </c>
      <c r="M329" s="8" t="str">
        <f t="array" ref="M329">IF(L329&gt;5,"Perlu Sensus",IF(AND(L329&gt;=0,I329&gt;0),"Tetap Deteksi","Belum Deteksi"))</f>
        <v>Tetap Deteksi</v>
      </c>
      <c r="N329" s="11">
        <v>46249</v>
      </c>
      <c r="O329" s="143">
        <v>65</v>
      </c>
      <c r="P329" s="9">
        <f t="array" ref="P329">IFERROR(O329/$G329*100,0)</f>
        <v>1.5304921120791146</v>
      </c>
      <c r="Q329" s="143">
        <v>1</v>
      </c>
      <c r="R329" s="9">
        <f t="shared" si="57"/>
        <v>1.5384615384615385</v>
      </c>
      <c r="S329" s="8" t="str">
        <f t="array" ref="S329">IF(R329&gt;5,"Perlu Sensus",IF(AND(R329&gt;=0,O329&gt;0),"Tetap Deteksi","Belum Deteksi"))</f>
        <v>Tetap Deteksi</v>
      </c>
      <c r="T329" s="143">
        <v>4</v>
      </c>
      <c r="U329" s="9">
        <f t="shared" si="58"/>
        <v>6.1538461538461542</v>
      </c>
      <c r="V329" s="132">
        <v>46249</v>
      </c>
      <c r="W329" s="143">
        <v>349</v>
      </c>
      <c r="X329" s="143">
        <v>5</v>
      </c>
      <c r="Y329" s="9">
        <f t="shared" si="59"/>
        <v>1.4326647564469914</v>
      </c>
      <c r="Z329" s="8" t="str">
        <f t="array" ref="Z329">IF(Y329&gt;5,"Perlu Sensus",IF(AND(Y329&gt;=0,W329&gt;0),"Tetap Deteksi","Belum Deteksi"))</f>
        <v>Tetap Deteksi</v>
      </c>
      <c r="AA329" s="143">
        <v>30</v>
      </c>
      <c r="AB329" s="9">
        <f t="shared" si="60"/>
        <v>8.5959885386819472</v>
      </c>
      <c r="AC329" s="11"/>
      <c r="AD329" s="143"/>
      <c r="AE329" s="9">
        <f t="array" ref="AE329">IFERROR(AD329/$G329*100,0)</f>
        <v>0</v>
      </c>
      <c r="AF329" s="143"/>
      <c r="AG329" s="9">
        <f t="shared" si="61"/>
        <v>0</v>
      </c>
      <c r="AH329" s="8" t="str">
        <f t="array" ref="AH329">IF(AG329&gt;5,"Perlu Sensus",IF(AND(AG329&gt;=0,AD329&gt;0),"Tetap Deteksi","Belum Deteksi"))</f>
        <v>Belum Deteksi</v>
      </c>
      <c r="AI329" s="143"/>
      <c r="AJ329" s="9">
        <f t="shared" si="62"/>
        <v>0</v>
      </c>
      <c r="AK329" s="11"/>
      <c r="AL329" s="143"/>
      <c r="AM329" s="143"/>
      <c r="AN329" s="9">
        <f t="shared" si="63"/>
        <v>0</v>
      </c>
      <c r="AO329" s="8" t="str">
        <f t="array" ref="AO329">IF(AN329&gt;5,"Perlu Sensus",IF(AND(AN329&gt;=0,AL329&gt;0),"Tetap Deteksi","Belum Deteksi"))</f>
        <v>Belum Deteksi</v>
      </c>
      <c r="AP329" s="143"/>
      <c r="AQ329" s="9">
        <f t="shared" si="64"/>
        <v>0</v>
      </c>
    </row>
    <row r="330" spans="1:43" x14ac:dyDescent="0.15">
      <c r="A330" s="8" t="s">
        <v>1739</v>
      </c>
      <c r="B330" s="8" t="s">
        <v>14</v>
      </c>
      <c r="C330" s="8" t="s">
        <v>345</v>
      </c>
      <c r="D330" s="8" t="s">
        <v>1194</v>
      </c>
      <c r="E330" s="9">
        <v>28.99</v>
      </c>
      <c r="F330" s="8" t="s">
        <v>1740</v>
      </c>
      <c r="G330" s="10">
        <v>4003</v>
      </c>
      <c r="H330" s="11">
        <f t="array" ref="H330">IF(OR(N330&gt;0,AC330&gt;0),MAX(N330,AC330),MAX(AK330,V330))</f>
        <v>46249</v>
      </c>
      <c r="I330" s="143">
        <f t="array" ref="I330">IF(SUM(O330,AD330)&gt;0,SUM(O330,AD330),SUM(AL330,W330))</f>
        <v>86</v>
      </c>
      <c r="J330" s="9">
        <f t="shared" si="55"/>
        <v>2.1483887084686484</v>
      </c>
      <c r="K330" s="143">
        <f t="shared" si="65"/>
        <v>2</v>
      </c>
      <c r="L330" s="9">
        <f t="shared" si="56"/>
        <v>2.3255813953488373</v>
      </c>
      <c r="M330" s="8" t="str">
        <f t="array" ref="M330">IF(L330&gt;5,"Perlu Sensus",IF(AND(L330&gt;=0,I330&gt;0),"Tetap Deteksi","Belum Deteksi"))</f>
        <v>Tetap Deteksi</v>
      </c>
      <c r="N330" s="11">
        <v>46249</v>
      </c>
      <c r="O330" s="143">
        <v>86</v>
      </c>
      <c r="P330" s="9">
        <f t="array" ref="P330">IFERROR(O330/$G330*100,0)</f>
        <v>2.1483887084686484</v>
      </c>
      <c r="Q330" s="143">
        <v>2</v>
      </c>
      <c r="R330" s="9">
        <f t="shared" si="57"/>
        <v>2.3255813953488373</v>
      </c>
      <c r="S330" s="8" t="str">
        <f t="array" ref="S330">IF(R330&gt;5,"Perlu Sensus",IF(AND(R330&gt;=0,O330&gt;0),"Tetap Deteksi","Belum Deteksi"))</f>
        <v>Tetap Deteksi</v>
      </c>
      <c r="T330" s="143">
        <v>5</v>
      </c>
      <c r="U330" s="9">
        <f t="shared" si="58"/>
        <v>5.8139534883720927</v>
      </c>
      <c r="V330" s="132">
        <v>46249</v>
      </c>
      <c r="W330" s="143">
        <v>400</v>
      </c>
      <c r="X330" s="143">
        <v>15</v>
      </c>
      <c r="Y330" s="9">
        <f t="shared" si="59"/>
        <v>3.75</v>
      </c>
      <c r="Z330" s="8" t="str">
        <f t="array" ref="Z330">IF(Y330&gt;5,"Perlu Sensus",IF(AND(Y330&gt;=0,W330&gt;0),"Tetap Deteksi","Belum Deteksi"))</f>
        <v>Tetap Deteksi</v>
      </c>
      <c r="AA330" s="143">
        <v>18</v>
      </c>
      <c r="AB330" s="9">
        <f t="shared" si="60"/>
        <v>4.5</v>
      </c>
      <c r="AC330" s="11"/>
      <c r="AD330" s="143"/>
      <c r="AE330" s="9">
        <f t="array" ref="AE330">IFERROR(AD330/$G330*100,0)</f>
        <v>0</v>
      </c>
      <c r="AF330" s="143"/>
      <c r="AG330" s="9">
        <f t="shared" si="61"/>
        <v>0</v>
      </c>
      <c r="AH330" s="8" t="str">
        <f t="array" ref="AH330">IF(AG330&gt;5,"Perlu Sensus",IF(AND(AG330&gt;=0,AD330&gt;0),"Tetap Deteksi","Belum Deteksi"))</f>
        <v>Belum Deteksi</v>
      </c>
      <c r="AI330" s="143"/>
      <c r="AJ330" s="9">
        <f t="shared" si="62"/>
        <v>0</v>
      </c>
      <c r="AK330" s="11"/>
      <c r="AL330" s="143"/>
      <c r="AM330" s="143"/>
      <c r="AN330" s="9">
        <f t="shared" si="63"/>
        <v>0</v>
      </c>
      <c r="AO330" s="8" t="str">
        <f t="array" ref="AO330">IF(AN330&gt;5,"Perlu Sensus",IF(AND(AN330&gt;=0,AL330&gt;0),"Tetap Deteksi","Belum Deteksi"))</f>
        <v>Belum Deteksi</v>
      </c>
      <c r="AP330" s="143"/>
      <c r="AQ330" s="9">
        <f t="shared" si="64"/>
        <v>0</v>
      </c>
    </row>
    <row r="331" spans="1:43" x14ac:dyDescent="0.15">
      <c r="A331" s="8" t="s">
        <v>1739</v>
      </c>
      <c r="B331" s="8" t="s">
        <v>14</v>
      </c>
      <c r="C331" s="8" t="s">
        <v>345</v>
      </c>
      <c r="D331" s="8" t="s">
        <v>1195</v>
      </c>
      <c r="E331" s="9">
        <v>30.02</v>
      </c>
      <c r="F331" s="8" t="s">
        <v>1740</v>
      </c>
      <c r="G331" s="10">
        <v>4099</v>
      </c>
      <c r="H331" s="11">
        <f t="array" ref="H331">IF(OR(N331&gt;0,AC331&gt;0),MAX(N331,AC331),MAX(AK331,V331))</f>
        <v>46241</v>
      </c>
      <c r="I331" s="143">
        <f t="array" ref="I331">IF(SUM(O331,AD331)&gt;0,SUM(O331,AD331),SUM(AL331,W331))</f>
        <v>88</v>
      </c>
      <c r="J331" s="9">
        <f t="shared" si="55"/>
        <v>2.1468650890461087</v>
      </c>
      <c r="K331" s="143">
        <f t="shared" si="65"/>
        <v>2</v>
      </c>
      <c r="L331" s="9">
        <f t="shared" si="56"/>
        <v>2.2727272727272729</v>
      </c>
      <c r="M331" s="8" t="str">
        <f t="array" ref="M331">IF(L331&gt;5,"Perlu Sensus",IF(AND(L331&gt;=0,I331&gt;0),"Tetap Deteksi","Belum Deteksi"))</f>
        <v>Tetap Deteksi</v>
      </c>
      <c r="N331" s="11">
        <v>46241</v>
      </c>
      <c r="O331" s="143">
        <v>88</v>
      </c>
      <c r="P331" s="9">
        <f t="array" ref="P331">IFERROR(O331/$G331*100,0)</f>
        <v>2.1468650890461087</v>
      </c>
      <c r="Q331" s="143">
        <v>2</v>
      </c>
      <c r="R331" s="9">
        <f t="shared" si="57"/>
        <v>2.2727272727272729</v>
      </c>
      <c r="S331" s="8" t="str">
        <f t="array" ref="S331">IF(R331&gt;5,"Perlu Sensus",IF(AND(R331&gt;=0,O331&gt;0),"Tetap Deteksi","Belum Deteksi"))</f>
        <v>Tetap Deteksi</v>
      </c>
      <c r="T331" s="143">
        <v>8</v>
      </c>
      <c r="U331" s="9">
        <f t="shared" si="58"/>
        <v>9.0909090909090917</v>
      </c>
      <c r="V331" s="132">
        <v>46249</v>
      </c>
      <c r="W331" s="143">
        <v>379</v>
      </c>
      <c r="X331" s="143">
        <v>9</v>
      </c>
      <c r="Y331" s="9">
        <f t="shared" si="59"/>
        <v>2.3746701846965697</v>
      </c>
      <c r="Z331" s="8" t="str">
        <f t="array" ref="Z331">IF(Y331&gt;5,"Perlu Sensus",IF(AND(Y331&gt;=0,W331&gt;0),"Tetap Deteksi","Belum Deteksi"))</f>
        <v>Tetap Deteksi</v>
      </c>
      <c r="AA331" s="143">
        <v>19</v>
      </c>
      <c r="AB331" s="9">
        <f t="shared" si="60"/>
        <v>5.0131926121372032</v>
      </c>
      <c r="AC331" s="11"/>
      <c r="AD331" s="143"/>
      <c r="AE331" s="9">
        <f t="array" ref="AE331">IFERROR(AD331/$G331*100,0)</f>
        <v>0</v>
      </c>
      <c r="AF331" s="143"/>
      <c r="AG331" s="9">
        <f t="shared" si="61"/>
        <v>0</v>
      </c>
      <c r="AH331" s="8" t="str">
        <f t="array" ref="AH331">IF(AG331&gt;5,"Perlu Sensus",IF(AND(AG331&gt;=0,AD331&gt;0),"Tetap Deteksi","Belum Deteksi"))</f>
        <v>Belum Deteksi</v>
      </c>
      <c r="AI331" s="143"/>
      <c r="AJ331" s="9">
        <f t="shared" si="62"/>
        <v>0</v>
      </c>
      <c r="AK331" s="11"/>
      <c r="AL331" s="143"/>
      <c r="AM331" s="143"/>
      <c r="AN331" s="9">
        <f t="shared" si="63"/>
        <v>0</v>
      </c>
      <c r="AO331" s="8" t="str">
        <f t="array" ref="AO331">IF(AN331&gt;5,"Perlu Sensus",IF(AND(AN331&gt;=0,AL331&gt;0),"Tetap Deteksi","Belum Deteksi"))</f>
        <v>Belum Deteksi</v>
      </c>
      <c r="AP331" s="143"/>
      <c r="AQ331" s="9">
        <f t="shared" si="64"/>
        <v>0</v>
      </c>
    </row>
    <row r="332" spans="1:43" x14ac:dyDescent="0.15">
      <c r="A332" s="8" t="s">
        <v>1739</v>
      </c>
      <c r="B332" s="8" t="s">
        <v>14</v>
      </c>
      <c r="C332" s="8" t="s">
        <v>345</v>
      </c>
      <c r="D332" s="8" t="s">
        <v>1196</v>
      </c>
      <c r="E332" s="9">
        <v>30.87</v>
      </c>
      <c r="F332" s="8" t="s">
        <v>1740</v>
      </c>
      <c r="G332" s="10">
        <v>4020</v>
      </c>
      <c r="H332" s="11">
        <f t="array" ref="H332">IF(OR(N332&gt;0,AC332&gt;0),MAX(N332,AC332),MAX(AK332,V332))</f>
        <v>46241</v>
      </c>
      <c r="I332" s="143">
        <f t="array" ref="I332">IF(SUM(O332,AD332)&gt;0,SUM(O332,AD332),SUM(AL332,W332))</f>
        <v>105</v>
      </c>
      <c r="J332" s="9">
        <f t="shared" si="55"/>
        <v>2.6119402985074625</v>
      </c>
      <c r="K332" s="143">
        <f t="shared" si="65"/>
        <v>4</v>
      </c>
      <c r="L332" s="9">
        <f t="shared" si="56"/>
        <v>3.8095238095238098</v>
      </c>
      <c r="M332" s="8" t="str">
        <f t="array" ref="M332">IF(L332&gt;5,"Perlu Sensus",IF(AND(L332&gt;=0,I332&gt;0),"Tetap Deteksi","Belum Deteksi"))</f>
        <v>Tetap Deteksi</v>
      </c>
      <c r="N332" s="11">
        <v>46241</v>
      </c>
      <c r="O332" s="143">
        <v>105</v>
      </c>
      <c r="P332" s="9">
        <f t="array" ref="P332">IFERROR(O332/$G332*100,0)</f>
        <v>2.6119402985074625</v>
      </c>
      <c r="Q332" s="143">
        <v>4</v>
      </c>
      <c r="R332" s="9">
        <f t="shared" si="57"/>
        <v>3.8095238095238098</v>
      </c>
      <c r="S332" s="8" t="str">
        <f t="array" ref="S332">IF(R332&gt;5,"Perlu Sensus",IF(AND(R332&gt;=0,O332&gt;0),"Tetap Deteksi","Belum Deteksi"))</f>
        <v>Tetap Deteksi</v>
      </c>
      <c r="T332" s="143">
        <v>9</v>
      </c>
      <c r="U332" s="9">
        <f t="shared" si="58"/>
        <v>8.5714285714285712</v>
      </c>
      <c r="V332" s="132">
        <v>46249</v>
      </c>
      <c r="W332" s="143">
        <v>297</v>
      </c>
      <c r="X332" s="143">
        <v>7</v>
      </c>
      <c r="Y332" s="9">
        <f t="shared" si="59"/>
        <v>2.3569023569023568</v>
      </c>
      <c r="Z332" s="8" t="str">
        <f t="array" ref="Z332">IF(Y332&gt;5,"Perlu Sensus",IF(AND(Y332&gt;=0,W332&gt;0),"Tetap Deteksi","Belum Deteksi"))</f>
        <v>Tetap Deteksi</v>
      </c>
      <c r="AA332" s="143">
        <v>35</v>
      </c>
      <c r="AB332" s="9">
        <f t="shared" si="60"/>
        <v>11.784511784511785</v>
      </c>
      <c r="AC332" s="11"/>
      <c r="AD332" s="143"/>
      <c r="AE332" s="9">
        <f t="array" ref="AE332">IFERROR(AD332/$G332*100,0)</f>
        <v>0</v>
      </c>
      <c r="AF332" s="143"/>
      <c r="AG332" s="9">
        <f t="shared" si="61"/>
        <v>0</v>
      </c>
      <c r="AH332" s="8" t="str">
        <f t="array" ref="AH332">IF(AG332&gt;5,"Perlu Sensus",IF(AND(AG332&gt;=0,AD332&gt;0),"Tetap Deteksi","Belum Deteksi"))</f>
        <v>Belum Deteksi</v>
      </c>
      <c r="AI332" s="143"/>
      <c r="AJ332" s="9">
        <f t="shared" si="62"/>
        <v>0</v>
      </c>
      <c r="AK332" s="11"/>
      <c r="AL332" s="143"/>
      <c r="AM332" s="143"/>
      <c r="AN332" s="9">
        <f t="shared" si="63"/>
        <v>0</v>
      </c>
      <c r="AO332" s="8" t="str">
        <f t="array" ref="AO332">IF(AN332&gt;5,"Perlu Sensus",IF(AND(AN332&gt;=0,AL332&gt;0),"Tetap Deteksi","Belum Deteksi"))</f>
        <v>Belum Deteksi</v>
      </c>
      <c r="AP332" s="143"/>
      <c r="AQ332" s="9">
        <f t="shared" si="64"/>
        <v>0</v>
      </c>
    </row>
    <row r="333" spans="1:43" x14ac:dyDescent="0.15">
      <c r="A333" s="8" t="s">
        <v>1739</v>
      </c>
      <c r="B333" s="8" t="s">
        <v>14</v>
      </c>
      <c r="C333" s="8" t="s">
        <v>345</v>
      </c>
      <c r="D333" s="8" t="s">
        <v>1197</v>
      </c>
      <c r="E333" s="9">
        <v>30.32</v>
      </c>
      <c r="F333" s="8" t="s">
        <v>1740</v>
      </c>
      <c r="G333" s="10">
        <v>4153</v>
      </c>
      <c r="H333" s="11">
        <f t="array" ref="H333">IF(OR(N333&gt;0,AC333&gt;0),MAX(N333,AC333),MAX(AK333,V333))</f>
        <v>46241</v>
      </c>
      <c r="I333" s="143">
        <f t="array" ref="I333">IF(SUM(O333,AD333)&gt;0,SUM(O333,AD333),SUM(AL333,W333))</f>
        <v>120</v>
      </c>
      <c r="J333" s="9">
        <f t="shared" si="55"/>
        <v>2.8894774861545871</v>
      </c>
      <c r="K333" s="143">
        <f t="shared" si="65"/>
        <v>4</v>
      </c>
      <c r="L333" s="9">
        <f t="shared" si="56"/>
        <v>3.3333333333333335</v>
      </c>
      <c r="M333" s="8" t="str">
        <f t="array" ref="M333">IF(L333&gt;5,"Perlu Sensus",IF(AND(L333&gt;=0,I333&gt;0),"Tetap Deteksi","Belum Deteksi"))</f>
        <v>Tetap Deteksi</v>
      </c>
      <c r="N333" s="11">
        <v>46241</v>
      </c>
      <c r="O333" s="143">
        <v>120</v>
      </c>
      <c r="P333" s="9">
        <f t="array" ref="P333">IFERROR(O333/$G333*100,0)</f>
        <v>2.8894774861545871</v>
      </c>
      <c r="Q333" s="143">
        <v>4</v>
      </c>
      <c r="R333" s="9">
        <f t="shared" si="57"/>
        <v>3.3333333333333335</v>
      </c>
      <c r="S333" s="8" t="str">
        <f t="array" ref="S333">IF(R333&gt;5,"Perlu Sensus",IF(AND(R333&gt;=0,O333&gt;0),"Tetap Deteksi","Belum Deteksi"))</f>
        <v>Tetap Deteksi</v>
      </c>
      <c r="T333" s="143">
        <v>6</v>
      </c>
      <c r="U333" s="9">
        <f t="shared" si="58"/>
        <v>5</v>
      </c>
      <c r="V333" s="132">
        <v>46249</v>
      </c>
      <c r="W333" s="143">
        <v>424</v>
      </c>
      <c r="X333" s="143">
        <v>15</v>
      </c>
      <c r="Y333" s="9">
        <f t="shared" si="59"/>
        <v>3.5377358490566038</v>
      </c>
      <c r="Z333" s="8" t="str">
        <f t="array" ref="Z333">IF(Y333&gt;5,"Perlu Sensus",IF(AND(Y333&gt;=0,W333&gt;0),"Tetap Deteksi","Belum Deteksi"))</f>
        <v>Tetap Deteksi</v>
      </c>
      <c r="AA333" s="143">
        <v>18</v>
      </c>
      <c r="AB333" s="9">
        <f t="shared" si="60"/>
        <v>4.2452830188679247</v>
      </c>
      <c r="AC333" s="11"/>
      <c r="AD333" s="143"/>
      <c r="AE333" s="9">
        <f t="array" ref="AE333">IFERROR(AD333/$G333*100,0)</f>
        <v>0</v>
      </c>
      <c r="AF333" s="143"/>
      <c r="AG333" s="9">
        <f t="shared" si="61"/>
        <v>0</v>
      </c>
      <c r="AH333" s="8" t="str">
        <f t="array" ref="AH333">IF(AG333&gt;5,"Perlu Sensus",IF(AND(AG333&gt;=0,AD333&gt;0),"Tetap Deteksi","Belum Deteksi"))</f>
        <v>Belum Deteksi</v>
      </c>
      <c r="AI333" s="143"/>
      <c r="AJ333" s="9">
        <f t="shared" si="62"/>
        <v>0</v>
      </c>
      <c r="AK333" s="11"/>
      <c r="AL333" s="143"/>
      <c r="AM333" s="143"/>
      <c r="AN333" s="9">
        <f t="shared" si="63"/>
        <v>0</v>
      </c>
      <c r="AO333" s="8" t="str">
        <f t="array" ref="AO333">IF(AN333&gt;5,"Perlu Sensus",IF(AND(AN333&gt;=0,AL333&gt;0),"Tetap Deteksi","Belum Deteksi"))</f>
        <v>Belum Deteksi</v>
      </c>
      <c r="AP333" s="143"/>
      <c r="AQ333" s="9">
        <f t="shared" si="64"/>
        <v>0</v>
      </c>
    </row>
    <row r="334" spans="1:43" x14ac:dyDescent="0.15">
      <c r="A334" s="8" t="s">
        <v>1739</v>
      </c>
      <c r="B334" s="8" t="s">
        <v>14</v>
      </c>
      <c r="C334" s="8" t="s">
        <v>345</v>
      </c>
      <c r="D334" s="8" t="s">
        <v>1198</v>
      </c>
      <c r="E334" s="9">
        <v>47.56</v>
      </c>
      <c r="F334" s="8" t="s">
        <v>1740</v>
      </c>
      <c r="G334" s="10">
        <v>4893</v>
      </c>
      <c r="H334" s="11">
        <f t="array" ref="H334">IF(OR(N334&gt;0,AC334&gt;0),MAX(N334,AC334),MAX(AK334,V334))</f>
        <v>46241</v>
      </c>
      <c r="I334" s="143">
        <f t="array" ref="I334">IF(SUM(O334,AD334)&gt;0,SUM(O334,AD334),SUM(AL334,W334))</f>
        <v>102</v>
      </c>
      <c r="J334" s="9">
        <f t="shared" si="55"/>
        <v>2.0846106683016554</v>
      </c>
      <c r="K334" s="143">
        <f t="shared" si="65"/>
        <v>3</v>
      </c>
      <c r="L334" s="9">
        <f t="shared" si="56"/>
        <v>2.9411764705882351</v>
      </c>
      <c r="M334" s="8" t="str">
        <f t="array" ref="M334">IF(L334&gt;5,"Perlu Sensus",IF(AND(L334&gt;=0,I334&gt;0),"Tetap Deteksi","Belum Deteksi"))</f>
        <v>Tetap Deteksi</v>
      </c>
      <c r="N334" s="11">
        <v>46241</v>
      </c>
      <c r="O334" s="143">
        <v>102</v>
      </c>
      <c r="P334" s="9">
        <f t="array" ref="P334">IFERROR(O334/$G334*100,0)</f>
        <v>2.0846106683016554</v>
      </c>
      <c r="Q334" s="143">
        <v>3</v>
      </c>
      <c r="R334" s="9">
        <f t="shared" si="57"/>
        <v>2.9411764705882351</v>
      </c>
      <c r="S334" s="8" t="str">
        <f t="array" ref="S334">IF(R334&gt;5,"Perlu Sensus",IF(AND(R334&gt;=0,O334&gt;0),"Tetap Deteksi","Belum Deteksi"))</f>
        <v>Tetap Deteksi</v>
      </c>
      <c r="T334" s="143">
        <v>7</v>
      </c>
      <c r="U334" s="9">
        <f t="shared" si="58"/>
        <v>6.8627450980392162</v>
      </c>
      <c r="V334" s="132">
        <v>46249</v>
      </c>
      <c r="W334" s="143">
        <v>387</v>
      </c>
      <c r="X334" s="143">
        <v>7</v>
      </c>
      <c r="Y334" s="9">
        <f t="shared" si="59"/>
        <v>1.8087855297157622</v>
      </c>
      <c r="Z334" s="8" t="str">
        <f t="array" ref="Z334">IF(Y334&gt;5,"Perlu Sensus",IF(AND(Y334&gt;=0,W334&gt;0),"Tetap Deteksi","Belum Deteksi"))</f>
        <v>Tetap Deteksi</v>
      </c>
      <c r="AA334" s="143">
        <v>21</v>
      </c>
      <c r="AB334" s="9">
        <f t="shared" si="60"/>
        <v>5.4263565891472867</v>
      </c>
      <c r="AC334" s="11"/>
      <c r="AD334" s="143"/>
      <c r="AE334" s="9">
        <f t="array" ref="AE334">IFERROR(AD334/$G334*100,0)</f>
        <v>0</v>
      </c>
      <c r="AF334" s="143"/>
      <c r="AG334" s="9">
        <f t="shared" si="61"/>
        <v>0</v>
      </c>
      <c r="AH334" s="8" t="str">
        <f t="array" ref="AH334">IF(AG334&gt;5,"Perlu Sensus",IF(AND(AG334&gt;=0,AD334&gt;0),"Tetap Deteksi","Belum Deteksi"))</f>
        <v>Belum Deteksi</v>
      </c>
      <c r="AI334" s="143"/>
      <c r="AJ334" s="9">
        <f t="shared" si="62"/>
        <v>0</v>
      </c>
      <c r="AK334" s="11"/>
      <c r="AL334" s="143"/>
      <c r="AM334" s="143"/>
      <c r="AN334" s="9">
        <f t="shared" si="63"/>
        <v>0</v>
      </c>
      <c r="AO334" s="8" t="str">
        <f t="array" ref="AO334">IF(AN334&gt;5,"Perlu Sensus",IF(AND(AN334&gt;=0,AL334&gt;0),"Tetap Deteksi","Belum Deteksi"))</f>
        <v>Belum Deteksi</v>
      </c>
      <c r="AP334" s="143"/>
      <c r="AQ334" s="9">
        <f t="shared" si="64"/>
        <v>0</v>
      </c>
    </row>
    <row r="335" spans="1:43" x14ac:dyDescent="0.15">
      <c r="A335" s="8" t="s">
        <v>1739</v>
      </c>
      <c r="B335" s="8" t="s">
        <v>14</v>
      </c>
      <c r="C335" s="8" t="s">
        <v>380</v>
      </c>
      <c r="D335" s="8" t="s">
        <v>1199</v>
      </c>
      <c r="E335" s="9">
        <v>12.96</v>
      </c>
      <c r="F335" s="8" t="s">
        <v>1740</v>
      </c>
      <c r="G335" s="10">
        <v>1786</v>
      </c>
      <c r="H335" s="11">
        <f t="array" ref="H335">IF(OR(N335&gt;0,AC335&gt;0),MAX(N335,AC335),MAX(AK335,V335))</f>
        <v>46235</v>
      </c>
      <c r="I335" s="143">
        <f t="array" ref="I335">IF(SUM(O335,AD335)&gt;0,SUM(O335,AD335),SUM(AL335,W335))</f>
        <v>69</v>
      </c>
      <c r="J335" s="9">
        <f t="shared" si="55"/>
        <v>3.8633818589025761</v>
      </c>
      <c r="K335" s="143">
        <f t="shared" si="65"/>
        <v>1</v>
      </c>
      <c r="L335" s="9">
        <f t="shared" si="56"/>
        <v>1.4492753623188406</v>
      </c>
      <c r="M335" s="8" t="str">
        <f t="array" ref="M335">IF(L335&gt;5,"Perlu Sensus",IF(AND(L335&gt;=0,I335&gt;0),"Tetap Deteksi","Belum Deteksi"))</f>
        <v>Tetap Deteksi</v>
      </c>
      <c r="N335" s="11">
        <v>46235</v>
      </c>
      <c r="O335" s="143">
        <v>69</v>
      </c>
      <c r="P335" s="9">
        <f t="array" ref="P335">IFERROR(O335/$G335*100,0)</f>
        <v>3.8633818589025761</v>
      </c>
      <c r="Q335" s="143">
        <v>1</v>
      </c>
      <c r="R335" s="9">
        <f t="shared" si="57"/>
        <v>1.4492753623188406</v>
      </c>
      <c r="S335" s="8" t="str">
        <f t="array" ref="S335">IF(R335&gt;5,"Perlu Sensus",IF(AND(R335&gt;=0,O335&gt;0),"Tetap Deteksi","Belum Deteksi"))</f>
        <v>Tetap Deteksi</v>
      </c>
      <c r="T335" s="143">
        <v>5</v>
      </c>
      <c r="U335" s="9">
        <f t="shared" si="58"/>
        <v>7.2463768115942031</v>
      </c>
      <c r="V335" s="132">
        <v>46249</v>
      </c>
      <c r="W335" s="143">
        <v>303</v>
      </c>
      <c r="X335" s="143">
        <v>7</v>
      </c>
      <c r="Y335" s="9">
        <f t="shared" si="59"/>
        <v>2.3102310231023102</v>
      </c>
      <c r="Z335" s="8" t="str">
        <f t="array" ref="Z335">IF(Y335&gt;5,"Perlu Sensus",IF(AND(Y335&gt;=0,W335&gt;0),"Tetap Deteksi","Belum Deteksi"))</f>
        <v>Tetap Deteksi</v>
      </c>
      <c r="AA335" s="143">
        <v>34</v>
      </c>
      <c r="AB335" s="9">
        <f t="shared" si="60"/>
        <v>11.221122112211221</v>
      </c>
      <c r="AC335" s="11"/>
      <c r="AD335" s="143"/>
      <c r="AE335" s="9">
        <f t="array" ref="AE335">IFERROR(AD335/$G335*100,0)</f>
        <v>0</v>
      </c>
      <c r="AF335" s="143"/>
      <c r="AG335" s="9">
        <f t="shared" si="61"/>
        <v>0</v>
      </c>
      <c r="AH335" s="8" t="str">
        <f t="array" ref="AH335">IF(AG335&gt;5,"Perlu Sensus",IF(AND(AG335&gt;=0,AD335&gt;0),"Tetap Deteksi","Belum Deteksi"))</f>
        <v>Belum Deteksi</v>
      </c>
      <c r="AI335" s="143"/>
      <c r="AJ335" s="9">
        <f t="shared" si="62"/>
        <v>0</v>
      </c>
      <c r="AK335" s="11"/>
      <c r="AL335" s="143"/>
      <c r="AM335" s="143"/>
      <c r="AN335" s="9">
        <f t="shared" si="63"/>
        <v>0</v>
      </c>
      <c r="AO335" s="8" t="str">
        <f t="array" ref="AO335">IF(AN335&gt;5,"Perlu Sensus",IF(AND(AN335&gt;=0,AL335&gt;0),"Tetap Deteksi","Belum Deteksi"))</f>
        <v>Belum Deteksi</v>
      </c>
      <c r="AP335" s="143"/>
      <c r="AQ335" s="9">
        <f t="shared" si="64"/>
        <v>0</v>
      </c>
    </row>
    <row r="336" spans="1:43" x14ac:dyDescent="0.15">
      <c r="A336" s="8" t="s">
        <v>1739</v>
      </c>
      <c r="B336" s="8" t="s">
        <v>14</v>
      </c>
      <c r="C336" s="8" t="s">
        <v>380</v>
      </c>
      <c r="D336" s="8" t="s">
        <v>1200</v>
      </c>
      <c r="E336" s="9">
        <v>34.1</v>
      </c>
      <c r="F336" s="8" t="s">
        <v>1740</v>
      </c>
      <c r="G336" s="10">
        <v>4609</v>
      </c>
      <c r="H336" s="11">
        <f t="array" ref="H336">IF(OR(N336&gt;0,AC336&gt;0),MAX(N336,AC336),MAX(AK336,V336))</f>
        <v>46235</v>
      </c>
      <c r="I336" s="143">
        <f t="array" ref="I336">IF(SUM(O336,AD336)&gt;0,SUM(O336,AD336),SUM(AL336,W336))</f>
        <v>91</v>
      </c>
      <c r="J336" s="9">
        <f t="shared" si="55"/>
        <v>1.974397917118681</v>
      </c>
      <c r="K336" s="143">
        <f t="shared" si="65"/>
        <v>1</v>
      </c>
      <c r="L336" s="9">
        <f t="shared" si="56"/>
        <v>1.098901098901099</v>
      </c>
      <c r="M336" s="8" t="str">
        <f t="array" ref="M336">IF(L336&gt;5,"Perlu Sensus",IF(AND(L336&gt;=0,I336&gt;0),"Tetap Deteksi","Belum Deteksi"))</f>
        <v>Tetap Deteksi</v>
      </c>
      <c r="N336" s="11">
        <v>46235</v>
      </c>
      <c r="O336" s="143">
        <v>91</v>
      </c>
      <c r="P336" s="9">
        <f t="array" ref="P336">IFERROR(O336/$G336*100,0)</f>
        <v>1.974397917118681</v>
      </c>
      <c r="Q336" s="143">
        <v>1</v>
      </c>
      <c r="R336" s="9">
        <f t="shared" si="57"/>
        <v>1.098901098901099</v>
      </c>
      <c r="S336" s="8" t="str">
        <f t="array" ref="S336">IF(R336&gt;5,"Perlu Sensus",IF(AND(R336&gt;=0,O336&gt;0),"Tetap Deteksi","Belum Deteksi"))</f>
        <v>Tetap Deteksi</v>
      </c>
      <c r="T336" s="143">
        <v>6</v>
      </c>
      <c r="U336" s="9">
        <f t="shared" si="58"/>
        <v>6.593406593406594</v>
      </c>
      <c r="V336" s="132">
        <v>46249</v>
      </c>
      <c r="W336" s="143">
        <v>403</v>
      </c>
      <c r="X336" s="143">
        <v>13</v>
      </c>
      <c r="Y336" s="9">
        <f t="shared" si="59"/>
        <v>3.225806451612903</v>
      </c>
      <c r="Z336" s="8" t="str">
        <f t="array" ref="Z336">IF(Y336&gt;5,"Perlu Sensus",IF(AND(Y336&gt;=0,W336&gt;0),"Tetap Deteksi","Belum Deteksi"))</f>
        <v>Tetap Deteksi</v>
      </c>
      <c r="AA336" s="143">
        <v>15</v>
      </c>
      <c r="AB336" s="9">
        <f t="shared" si="60"/>
        <v>3.7220843672456572</v>
      </c>
      <c r="AC336" s="11"/>
      <c r="AD336" s="143"/>
      <c r="AE336" s="9">
        <f t="array" ref="AE336">IFERROR(AD336/$G336*100,0)</f>
        <v>0</v>
      </c>
      <c r="AF336" s="143"/>
      <c r="AG336" s="9">
        <f t="shared" si="61"/>
        <v>0</v>
      </c>
      <c r="AH336" s="8" t="str">
        <f t="array" ref="AH336">IF(AG336&gt;5,"Perlu Sensus",IF(AND(AG336&gt;=0,AD336&gt;0),"Tetap Deteksi","Belum Deteksi"))</f>
        <v>Belum Deteksi</v>
      </c>
      <c r="AI336" s="143"/>
      <c r="AJ336" s="9">
        <f t="shared" si="62"/>
        <v>0</v>
      </c>
      <c r="AK336" s="11"/>
      <c r="AL336" s="143"/>
      <c r="AM336" s="143"/>
      <c r="AN336" s="9">
        <f t="shared" si="63"/>
        <v>0</v>
      </c>
      <c r="AO336" s="8" t="str">
        <f t="array" ref="AO336">IF(AN336&gt;5,"Perlu Sensus",IF(AND(AN336&gt;=0,AL336&gt;0),"Tetap Deteksi","Belum Deteksi"))</f>
        <v>Belum Deteksi</v>
      </c>
      <c r="AP336" s="143"/>
      <c r="AQ336" s="9">
        <f t="shared" si="64"/>
        <v>0</v>
      </c>
    </row>
    <row r="337" spans="1:43" x14ac:dyDescent="0.15">
      <c r="A337" s="8" t="s">
        <v>1739</v>
      </c>
      <c r="B337" s="8" t="s">
        <v>14</v>
      </c>
      <c r="C337" s="8" t="s">
        <v>380</v>
      </c>
      <c r="D337" s="8" t="s">
        <v>1201</v>
      </c>
      <c r="E337" s="9">
        <v>23.07</v>
      </c>
      <c r="F337" s="8" t="s">
        <v>1740</v>
      </c>
      <c r="G337" s="10">
        <v>3106</v>
      </c>
      <c r="H337" s="11">
        <f t="array" ref="H337">IF(OR(N337&gt;0,AC337&gt;0),MAX(N337,AC337),MAX(AK337,V337))</f>
        <v>46238</v>
      </c>
      <c r="I337" s="143">
        <f t="array" ref="I337">IF(SUM(O337,AD337)&gt;0,SUM(O337,AD337),SUM(AL337,W337))</f>
        <v>86</v>
      </c>
      <c r="J337" s="9">
        <f t="shared" si="55"/>
        <v>2.7688345138441726</v>
      </c>
      <c r="K337" s="143">
        <f t="shared" si="65"/>
        <v>1</v>
      </c>
      <c r="L337" s="9">
        <f t="shared" si="56"/>
        <v>1.1627906976744187</v>
      </c>
      <c r="M337" s="8" t="str">
        <f t="array" ref="M337">IF(L337&gt;5,"Perlu Sensus",IF(AND(L337&gt;=0,I337&gt;0),"Tetap Deteksi","Belum Deteksi"))</f>
        <v>Tetap Deteksi</v>
      </c>
      <c r="N337" s="11">
        <v>46238</v>
      </c>
      <c r="O337" s="143">
        <v>86</v>
      </c>
      <c r="P337" s="9">
        <f t="array" ref="P337">IFERROR(O337/$G337*100,0)</f>
        <v>2.7688345138441726</v>
      </c>
      <c r="Q337" s="143">
        <v>1</v>
      </c>
      <c r="R337" s="9">
        <f t="shared" si="57"/>
        <v>1.1627906976744187</v>
      </c>
      <c r="S337" s="8" t="str">
        <f t="array" ref="S337">IF(R337&gt;5,"Perlu Sensus",IF(AND(R337&gt;=0,O337&gt;0),"Tetap Deteksi","Belum Deteksi"))</f>
        <v>Tetap Deteksi</v>
      </c>
      <c r="T337" s="143">
        <v>5</v>
      </c>
      <c r="U337" s="9">
        <f t="shared" si="58"/>
        <v>5.8139534883720927</v>
      </c>
      <c r="V337" s="132">
        <v>46249</v>
      </c>
      <c r="W337" s="143">
        <v>282</v>
      </c>
      <c r="X337" s="143">
        <v>9</v>
      </c>
      <c r="Y337" s="9">
        <f t="shared" si="59"/>
        <v>3.1914893617021276</v>
      </c>
      <c r="Z337" s="8" t="str">
        <f t="array" ref="Z337">IF(Y337&gt;5,"Perlu Sensus",IF(AND(Y337&gt;=0,W337&gt;0),"Tetap Deteksi","Belum Deteksi"))</f>
        <v>Tetap Deteksi</v>
      </c>
      <c r="AA337" s="143">
        <v>19</v>
      </c>
      <c r="AB337" s="9">
        <f t="shared" si="60"/>
        <v>6.7375886524822697</v>
      </c>
      <c r="AC337" s="11"/>
      <c r="AD337" s="143"/>
      <c r="AE337" s="9">
        <f t="array" ref="AE337">IFERROR(AD337/$G337*100,0)</f>
        <v>0</v>
      </c>
      <c r="AF337" s="143"/>
      <c r="AG337" s="9">
        <f t="shared" si="61"/>
        <v>0</v>
      </c>
      <c r="AH337" s="8" t="str">
        <f t="array" ref="AH337">IF(AG337&gt;5,"Perlu Sensus",IF(AND(AG337&gt;=0,AD337&gt;0),"Tetap Deteksi","Belum Deteksi"))</f>
        <v>Belum Deteksi</v>
      </c>
      <c r="AI337" s="143"/>
      <c r="AJ337" s="9">
        <f t="shared" si="62"/>
        <v>0</v>
      </c>
      <c r="AK337" s="11"/>
      <c r="AL337" s="143"/>
      <c r="AM337" s="143"/>
      <c r="AN337" s="9">
        <f t="shared" si="63"/>
        <v>0</v>
      </c>
      <c r="AO337" s="8" t="str">
        <f t="array" ref="AO337">IF(AN337&gt;5,"Perlu Sensus",IF(AND(AN337&gt;=0,AL337&gt;0),"Tetap Deteksi","Belum Deteksi"))</f>
        <v>Belum Deteksi</v>
      </c>
      <c r="AP337" s="143"/>
      <c r="AQ337" s="9">
        <f t="shared" si="64"/>
        <v>0</v>
      </c>
    </row>
    <row r="338" spans="1:43" x14ac:dyDescent="0.15">
      <c r="A338" s="8" t="s">
        <v>1739</v>
      </c>
      <c r="B338" s="8" t="s">
        <v>14</v>
      </c>
      <c r="C338" s="8" t="s">
        <v>380</v>
      </c>
      <c r="D338" s="8" t="s">
        <v>1202</v>
      </c>
      <c r="E338" s="9">
        <v>31.18</v>
      </c>
      <c r="F338" s="8" t="s">
        <v>1740</v>
      </c>
      <c r="G338" s="10">
        <v>4105</v>
      </c>
      <c r="H338" s="11">
        <f t="array" ref="H338">IF(OR(N338&gt;0,AC338&gt;0),MAX(N338,AC338),MAX(AK338,V338))</f>
        <v>46238</v>
      </c>
      <c r="I338" s="143">
        <f t="array" ref="I338">IF(SUM(O338,AD338)&gt;0,SUM(O338,AD338),SUM(AL338,W338))</f>
        <v>84</v>
      </c>
      <c r="J338" s="9">
        <f t="shared" si="55"/>
        <v>2.0462850182704018</v>
      </c>
      <c r="K338" s="143">
        <f t="shared" si="65"/>
        <v>2</v>
      </c>
      <c r="L338" s="9">
        <f t="shared" si="56"/>
        <v>2.3809523809523809</v>
      </c>
      <c r="M338" s="8" t="str">
        <f t="array" ref="M338">IF(L338&gt;5,"Perlu Sensus",IF(AND(L338&gt;=0,I338&gt;0),"Tetap Deteksi","Belum Deteksi"))</f>
        <v>Tetap Deteksi</v>
      </c>
      <c r="N338" s="11">
        <v>46238</v>
      </c>
      <c r="O338" s="143">
        <v>84</v>
      </c>
      <c r="P338" s="9">
        <f t="array" ref="P338">IFERROR(O338/$G338*100,0)</f>
        <v>2.0462850182704018</v>
      </c>
      <c r="Q338" s="143">
        <v>2</v>
      </c>
      <c r="R338" s="9">
        <f t="shared" si="57"/>
        <v>2.3809523809523809</v>
      </c>
      <c r="S338" s="8" t="str">
        <f t="array" ref="S338">IF(R338&gt;5,"Perlu Sensus",IF(AND(R338&gt;=0,O338&gt;0),"Tetap Deteksi","Belum Deteksi"))</f>
        <v>Tetap Deteksi</v>
      </c>
      <c r="T338" s="143">
        <v>5</v>
      </c>
      <c r="U338" s="9">
        <f t="shared" si="58"/>
        <v>5.9523809523809517</v>
      </c>
      <c r="V338" s="132">
        <v>46249</v>
      </c>
      <c r="W338" s="143">
        <v>427</v>
      </c>
      <c r="X338" s="143">
        <v>9</v>
      </c>
      <c r="Y338" s="9">
        <f t="shared" si="59"/>
        <v>2.1077283372365341</v>
      </c>
      <c r="Z338" s="8" t="str">
        <f t="array" ref="Z338">IF(Y338&gt;5,"Perlu Sensus",IF(AND(Y338&gt;=0,W338&gt;0),"Tetap Deteksi","Belum Deteksi"))</f>
        <v>Tetap Deteksi</v>
      </c>
      <c r="AA338" s="143">
        <v>15</v>
      </c>
      <c r="AB338" s="9">
        <f t="shared" si="60"/>
        <v>3.5128805620608898</v>
      </c>
      <c r="AC338" s="11"/>
      <c r="AD338" s="143"/>
      <c r="AE338" s="9">
        <f t="array" ref="AE338">IFERROR(AD338/$G338*100,0)</f>
        <v>0</v>
      </c>
      <c r="AF338" s="143"/>
      <c r="AG338" s="9">
        <f t="shared" si="61"/>
        <v>0</v>
      </c>
      <c r="AH338" s="8" t="str">
        <f t="array" ref="AH338">IF(AG338&gt;5,"Perlu Sensus",IF(AND(AG338&gt;=0,AD338&gt;0),"Tetap Deteksi","Belum Deteksi"))</f>
        <v>Belum Deteksi</v>
      </c>
      <c r="AI338" s="143"/>
      <c r="AJ338" s="9">
        <f t="shared" si="62"/>
        <v>0</v>
      </c>
      <c r="AK338" s="11"/>
      <c r="AL338" s="143"/>
      <c r="AM338" s="143"/>
      <c r="AN338" s="9">
        <f t="shared" si="63"/>
        <v>0</v>
      </c>
      <c r="AO338" s="8" t="str">
        <f t="array" ref="AO338">IF(AN338&gt;5,"Perlu Sensus",IF(AND(AN338&gt;=0,AL338&gt;0),"Tetap Deteksi","Belum Deteksi"))</f>
        <v>Belum Deteksi</v>
      </c>
      <c r="AP338" s="143"/>
      <c r="AQ338" s="9">
        <f t="shared" si="64"/>
        <v>0</v>
      </c>
    </row>
    <row r="339" spans="1:43" x14ac:dyDescent="0.15">
      <c r="A339" s="8" t="s">
        <v>1739</v>
      </c>
      <c r="B339" s="8" t="s">
        <v>14</v>
      </c>
      <c r="C339" s="8" t="s">
        <v>380</v>
      </c>
      <c r="D339" s="8" t="s">
        <v>1203</v>
      </c>
      <c r="E339" s="9">
        <v>31.6</v>
      </c>
      <c r="F339" s="8" t="s">
        <v>1740</v>
      </c>
      <c r="G339" s="10">
        <v>3818</v>
      </c>
      <c r="H339" s="11">
        <f t="array" ref="H339">IF(OR(N339&gt;0,AC339&gt;0),MAX(N339,AC339),MAX(AK339,V339))</f>
        <v>46239</v>
      </c>
      <c r="I339" s="143">
        <f t="array" ref="I339">IF(SUM(O339,AD339)&gt;0,SUM(O339,AD339),SUM(AL339,W339))</f>
        <v>105</v>
      </c>
      <c r="J339" s="9">
        <f t="shared" si="55"/>
        <v>2.7501309586170768</v>
      </c>
      <c r="K339" s="143">
        <f t="shared" si="65"/>
        <v>1</v>
      </c>
      <c r="L339" s="9">
        <f t="shared" si="56"/>
        <v>0.95238095238095244</v>
      </c>
      <c r="M339" s="8" t="str">
        <f t="array" ref="M339">IF(L339&gt;5,"Perlu Sensus",IF(AND(L339&gt;=0,I339&gt;0),"Tetap Deteksi","Belum Deteksi"))</f>
        <v>Tetap Deteksi</v>
      </c>
      <c r="N339" s="11">
        <v>46239</v>
      </c>
      <c r="O339" s="143">
        <v>105</v>
      </c>
      <c r="P339" s="9">
        <f t="array" ref="P339">IFERROR(O339/$G339*100,0)</f>
        <v>2.7501309586170768</v>
      </c>
      <c r="Q339" s="143">
        <v>1</v>
      </c>
      <c r="R339" s="9">
        <f t="shared" si="57"/>
        <v>0.95238095238095244</v>
      </c>
      <c r="S339" s="8" t="str">
        <f t="array" ref="S339">IF(R339&gt;5,"Perlu Sensus",IF(AND(R339&gt;=0,O339&gt;0),"Tetap Deteksi","Belum Deteksi"))</f>
        <v>Tetap Deteksi</v>
      </c>
      <c r="T339" s="143">
        <v>6</v>
      </c>
      <c r="U339" s="9">
        <f t="shared" si="58"/>
        <v>5.7142857142857144</v>
      </c>
      <c r="V339" s="132">
        <v>46249</v>
      </c>
      <c r="W339" s="143">
        <v>263</v>
      </c>
      <c r="X339" s="143">
        <v>9</v>
      </c>
      <c r="Y339" s="9">
        <f t="shared" si="59"/>
        <v>3.4220532319391634</v>
      </c>
      <c r="Z339" s="8" t="str">
        <f t="array" ref="Z339">IF(Y339&gt;5,"Perlu Sensus",IF(AND(Y339&gt;=0,W339&gt;0),"Tetap Deteksi","Belum Deteksi"))</f>
        <v>Tetap Deteksi</v>
      </c>
      <c r="AA339" s="143">
        <v>32</v>
      </c>
      <c r="AB339" s="9">
        <f t="shared" si="60"/>
        <v>12.167300380228136</v>
      </c>
      <c r="AC339" s="11"/>
      <c r="AD339" s="143"/>
      <c r="AE339" s="9">
        <f t="array" ref="AE339">IFERROR(AD339/$G339*100,0)</f>
        <v>0</v>
      </c>
      <c r="AF339" s="143"/>
      <c r="AG339" s="9">
        <f t="shared" si="61"/>
        <v>0</v>
      </c>
      <c r="AH339" s="8" t="str">
        <f t="array" ref="AH339">IF(AG339&gt;5,"Perlu Sensus",IF(AND(AG339&gt;=0,AD339&gt;0),"Tetap Deteksi","Belum Deteksi"))</f>
        <v>Belum Deteksi</v>
      </c>
      <c r="AI339" s="143"/>
      <c r="AJ339" s="9">
        <f t="shared" si="62"/>
        <v>0</v>
      </c>
      <c r="AK339" s="11"/>
      <c r="AL339" s="143"/>
      <c r="AM339" s="143"/>
      <c r="AN339" s="9">
        <f t="shared" si="63"/>
        <v>0</v>
      </c>
      <c r="AO339" s="8" t="str">
        <f t="array" ref="AO339">IF(AN339&gt;5,"Perlu Sensus",IF(AND(AN339&gt;=0,AL339&gt;0),"Tetap Deteksi","Belum Deteksi"))</f>
        <v>Belum Deteksi</v>
      </c>
      <c r="AP339" s="143"/>
      <c r="AQ339" s="9">
        <f t="shared" si="64"/>
        <v>0</v>
      </c>
    </row>
    <row r="340" spans="1:43" x14ac:dyDescent="0.15">
      <c r="A340" s="8" t="s">
        <v>1739</v>
      </c>
      <c r="B340" s="8" t="s">
        <v>14</v>
      </c>
      <c r="C340" s="8" t="s">
        <v>380</v>
      </c>
      <c r="D340" s="8" t="s">
        <v>1204</v>
      </c>
      <c r="E340" s="9">
        <v>33.119999999999997</v>
      </c>
      <c r="F340" s="8" t="s">
        <v>1740</v>
      </c>
      <c r="G340" s="10">
        <v>4374</v>
      </c>
      <c r="H340" s="11">
        <f t="array" ref="H340">IF(OR(N340&gt;0,AC340&gt;0),MAX(N340,AC340),MAX(AK340,V340))</f>
        <v>46239</v>
      </c>
      <c r="I340" s="143">
        <f t="array" ref="I340">IF(SUM(O340,AD340)&gt;0,SUM(O340,AD340),SUM(AL340,W340))</f>
        <v>103</v>
      </c>
      <c r="J340" s="9">
        <f t="shared" si="55"/>
        <v>2.3548239597622316</v>
      </c>
      <c r="K340" s="143">
        <f t="shared" si="65"/>
        <v>1</v>
      </c>
      <c r="L340" s="9">
        <f t="shared" si="56"/>
        <v>0.97087378640776689</v>
      </c>
      <c r="M340" s="8" t="str">
        <f t="array" ref="M340">IF(L340&gt;5,"Perlu Sensus",IF(AND(L340&gt;=0,I340&gt;0),"Tetap Deteksi","Belum Deteksi"))</f>
        <v>Tetap Deteksi</v>
      </c>
      <c r="N340" s="11">
        <v>46239</v>
      </c>
      <c r="O340" s="143">
        <v>103</v>
      </c>
      <c r="P340" s="9">
        <f t="array" ref="P340">IFERROR(O340/$G340*100,0)</f>
        <v>2.3548239597622316</v>
      </c>
      <c r="Q340" s="143">
        <v>1</v>
      </c>
      <c r="R340" s="9">
        <f t="shared" si="57"/>
        <v>0.97087378640776689</v>
      </c>
      <c r="S340" s="8" t="str">
        <f t="array" ref="S340">IF(R340&gt;5,"Perlu Sensus",IF(AND(R340&gt;=0,O340&gt;0),"Tetap Deteksi","Belum Deteksi"))</f>
        <v>Tetap Deteksi</v>
      </c>
      <c r="T340" s="143">
        <v>5</v>
      </c>
      <c r="U340" s="9">
        <f t="shared" si="58"/>
        <v>4.8543689320388346</v>
      </c>
      <c r="V340" s="132">
        <v>46249</v>
      </c>
      <c r="W340" s="143">
        <v>275</v>
      </c>
      <c r="X340" s="143">
        <v>12</v>
      </c>
      <c r="Y340" s="9">
        <f t="shared" si="59"/>
        <v>4.3636363636363642</v>
      </c>
      <c r="Z340" s="8" t="str">
        <f t="array" ref="Z340">IF(Y340&gt;5,"Perlu Sensus",IF(AND(Y340&gt;=0,W340&gt;0),"Tetap Deteksi","Belum Deteksi"))</f>
        <v>Tetap Deteksi</v>
      </c>
      <c r="AA340" s="143">
        <v>13</v>
      </c>
      <c r="AB340" s="9">
        <f t="shared" si="60"/>
        <v>4.7272727272727275</v>
      </c>
      <c r="AC340" s="11"/>
      <c r="AD340" s="143"/>
      <c r="AE340" s="9">
        <f t="array" ref="AE340">IFERROR(AD340/$G340*100,0)</f>
        <v>0</v>
      </c>
      <c r="AF340" s="143"/>
      <c r="AG340" s="9">
        <f t="shared" si="61"/>
        <v>0</v>
      </c>
      <c r="AH340" s="8" t="str">
        <f t="array" ref="AH340">IF(AG340&gt;5,"Perlu Sensus",IF(AND(AG340&gt;=0,AD340&gt;0),"Tetap Deteksi","Belum Deteksi"))</f>
        <v>Belum Deteksi</v>
      </c>
      <c r="AI340" s="143"/>
      <c r="AJ340" s="9">
        <f t="shared" si="62"/>
        <v>0</v>
      </c>
      <c r="AK340" s="11"/>
      <c r="AL340" s="143"/>
      <c r="AM340" s="143"/>
      <c r="AN340" s="9">
        <f t="shared" si="63"/>
        <v>0</v>
      </c>
      <c r="AO340" s="8" t="str">
        <f t="array" ref="AO340">IF(AN340&gt;5,"Perlu Sensus",IF(AND(AN340&gt;=0,AL340&gt;0),"Tetap Deteksi","Belum Deteksi"))</f>
        <v>Belum Deteksi</v>
      </c>
      <c r="AP340" s="143"/>
      <c r="AQ340" s="9">
        <f t="shared" si="64"/>
        <v>0</v>
      </c>
    </row>
    <row r="341" spans="1:43" x14ac:dyDescent="0.15">
      <c r="A341" s="8" t="s">
        <v>1739</v>
      </c>
      <c r="B341" s="8" t="s">
        <v>14</v>
      </c>
      <c r="C341" s="8" t="s">
        <v>380</v>
      </c>
      <c r="D341" s="8" t="s">
        <v>1205</v>
      </c>
      <c r="E341" s="9">
        <v>37.04</v>
      </c>
      <c r="F341" s="8" t="s">
        <v>1740</v>
      </c>
      <c r="G341" s="10">
        <v>4861</v>
      </c>
      <c r="H341" s="11">
        <f t="array" ref="H341">IF(OR(N341&gt;0,AC341&gt;0),MAX(N341,AC341),MAX(AK341,V341))</f>
        <v>46240</v>
      </c>
      <c r="I341" s="143">
        <f t="array" ref="I341">IF(SUM(O341,AD341)&gt;0,SUM(O341,AD341),SUM(AL341,W341))</f>
        <v>105</v>
      </c>
      <c r="J341" s="9">
        <f t="shared" si="55"/>
        <v>2.1600493725570868</v>
      </c>
      <c r="K341" s="143">
        <f t="shared" si="65"/>
        <v>2</v>
      </c>
      <c r="L341" s="9">
        <f t="shared" si="56"/>
        <v>1.9047619047619049</v>
      </c>
      <c r="M341" s="8" t="str">
        <f t="array" ref="M341">IF(L341&gt;5,"Perlu Sensus",IF(AND(L341&gt;=0,I341&gt;0),"Tetap Deteksi","Belum Deteksi"))</f>
        <v>Tetap Deteksi</v>
      </c>
      <c r="N341" s="11">
        <v>46240</v>
      </c>
      <c r="O341" s="143">
        <v>105</v>
      </c>
      <c r="P341" s="9">
        <f t="array" ref="P341">IFERROR(O341/$G341*100,0)</f>
        <v>2.1600493725570868</v>
      </c>
      <c r="Q341" s="143">
        <v>2</v>
      </c>
      <c r="R341" s="9">
        <f t="shared" si="57"/>
        <v>1.9047619047619049</v>
      </c>
      <c r="S341" s="8" t="str">
        <f t="array" ref="S341">IF(R341&gt;5,"Perlu Sensus",IF(AND(R341&gt;=0,O341&gt;0),"Tetap Deteksi","Belum Deteksi"))</f>
        <v>Tetap Deteksi</v>
      </c>
      <c r="T341" s="143">
        <v>6</v>
      </c>
      <c r="U341" s="9">
        <f t="shared" si="58"/>
        <v>5.7142857142857144</v>
      </c>
      <c r="V341" s="132">
        <v>46249</v>
      </c>
      <c r="W341" s="143">
        <v>411</v>
      </c>
      <c r="X341" s="143">
        <v>11</v>
      </c>
      <c r="Y341" s="9">
        <f t="shared" si="59"/>
        <v>2.6763990267639901</v>
      </c>
      <c r="Z341" s="8" t="str">
        <f t="array" ref="Z341">IF(Y341&gt;5,"Perlu Sensus",IF(AND(Y341&gt;=0,W341&gt;0),"Tetap Deteksi","Belum Deteksi"))</f>
        <v>Tetap Deteksi</v>
      </c>
      <c r="AA341" s="143">
        <v>28</v>
      </c>
      <c r="AB341" s="9">
        <f t="shared" si="60"/>
        <v>6.8126520681265204</v>
      </c>
      <c r="AC341" s="11"/>
      <c r="AD341" s="143"/>
      <c r="AE341" s="9">
        <f t="array" ref="AE341">IFERROR(AD341/$G341*100,0)</f>
        <v>0</v>
      </c>
      <c r="AF341" s="143"/>
      <c r="AG341" s="9">
        <f t="shared" si="61"/>
        <v>0</v>
      </c>
      <c r="AH341" s="8" t="str">
        <f t="array" ref="AH341">IF(AG341&gt;5,"Perlu Sensus",IF(AND(AG341&gt;=0,AD341&gt;0),"Tetap Deteksi","Belum Deteksi"))</f>
        <v>Belum Deteksi</v>
      </c>
      <c r="AI341" s="143"/>
      <c r="AJ341" s="9">
        <f t="shared" si="62"/>
        <v>0</v>
      </c>
      <c r="AK341" s="11"/>
      <c r="AL341" s="143"/>
      <c r="AM341" s="143"/>
      <c r="AN341" s="9">
        <f t="shared" si="63"/>
        <v>0</v>
      </c>
      <c r="AO341" s="8" t="str">
        <f t="array" ref="AO341">IF(AN341&gt;5,"Perlu Sensus",IF(AND(AN341&gt;=0,AL341&gt;0),"Tetap Deteksi","Belum Deteksi"))</f>
        <v>Belum Deteksi</v>
      </c>
      <c r="AP341" s="143"/>
      <c r="AQ341" s="9">
        <f t="shared" si="64"/>
        <v>0</v>
      </c>
    </row>
    <row r="342" spans="1:43" x14ac:dyDescent="0.15">
      <c r="A342" s="8" t="s">
        <v>1739</v>
      </c>
      <c r="B342" s="8" t="s">
        <v>14</v>
      </c>
      <c r="C342" s="8" t="s">
        <v>380</v>
      </c>
      <c r="D342" s="8" t="s">
        <v>1206</v>
      </c>
      <c r="E342" s="9">
        <v>38.369999999999997</v>
      </c>
      <c r="F342" s="8" t="s">
        <v>1740</v>
      </c>
      <c r="G342" s="10">
        <v>5260</v>
      </c>
      <c r="H342" s="11">
        <f t="array" ref="H342">IF(OR(N342&gt;0,AC342&gt;0),MAX(N342,AC342),MAX(AK342,V342))</f>
        <v>46240</v>
      </c>
      <c r="I342" s="143">
        <f t="array" ref="I342">IF(SUM(O342,AD342)&gt;0,SUM(O342,AD342),SUM(AL342,W342))</f>
        <v>103</v>
      </c>
      <c r="J342" s="9">
        <f t="shared" si="55"/>
        <v>1.9581749049429658</v>
      </c>
      <c r="K342" s="143">
        <f t="shared" si="65"/>
        <v>1</v>
      </c>
      <c r="L342" s="9">
        <f t="shared" si="56"/>
        <v>0.97087378640776689</v>
      </c>
      <c r="M342" s="8" t="str">
        <f t="array" ref="M342">IF(L342&gt;5,"Perlu Sensus",IF(AND(L342&gt;=0,I342&gt;0),"Tetap Deteksi","Belum Deteksi"))</f>
        <v>Tetap Deteksi</v>
      </c>
      <c r="N342" s="11">
        <v>46240</v>
      </c>
      <c r="O342" s="143">
        <v>103</v>
      </c>
      <c r="P342" s="9">
        <f t="array" ref="P342">IFERROR(O342/$G342*100,0)</f>
        <v>1.9581749049429658</v>
      </c>
      <c r="Q342" s="143">
        <v>1</v>
      </c>
      <c r="R342" s="9">
        <f t="shared" si="57"/>
        <v>0.97087378640776689</v>
      </c>
      <c r="S342" s="8" t="str">
        <f t="array" ref="S342">IF(R342&gt;5,"Perlu Sensus",IF(AND(R342&gt;=0,O342&gt;0),"Tetap Deteksi","Belum Deteksi"))</f>
        <v>Tetap Deteksi</v>
      </c>
      <c r="T342" s="143">
        <v>6</v>
      </c>
      <c r="U342" s="9">
        <f t="shared" si="58"/>
        <v>5.825242718446602</v>
      </c>
      <c r="V342" s="132">
        <v>46249</v>
      </c>
      <c r="W342" s="143">
        <v>397</v>
      </c>
      <c r="X342" s="143">
        <v>11</v>
      </c>
      <c r="Y342" s="9">
        <f t="shared" si="59"/>
        <v>2.770780856423174</v>
      </c>
      <c r="Z342" s="8" t="str">
        <f t="array" ref="Z342">IF(Y342&gt;5,"Perlu Sensus",IF(AND(Y342&gt;=0,W342&gt;0),"Tetap Deteksi","Belum Deteksi"))</f>
        <v>Tetap Deteksi</v>
      </c>
      <c r="AA342" s="143">
        <v>30</v>
      </c>
      <c r="AB342" s="9">
        <f t="shared" si="60"/>
        <v>7.5566750629722925</v>
      </c>
      <c r="AC342" s="11"/>
      <c r="AD342" s="143"/>
      <c r="AE342" s="9">
        <f t="array" ref="AE342">IFERROR(AD342/$G342*100,0)</f>
        <v>0</v>
      </c>
      <c r="AF342" s="143"/>
      <c r="AG342" s="9">
        <f t="shared" si="61"/>
        <v>0</v>
      </c>
      <c r="AH342" s="8" t="str">
        <f t="array" ref="AH342">IF(AG342&gt;5,"Perlu Sensus",IF(AND(AG342&gt;=0,AD342&gt;0),"Tetap Deteksi","Belum Deteksi"))</f>
        <v>Belum Deteksi</v>
      </c>
      <c r="AI342" s="143"/>
      <c r="AJ342" s="9">
        <f t="shared" si="62"/>
        <v>0</v>
      </c>
      <c r="AK342" s="11"/>
      <c r="AL342" s="143"/>
      <c r="AM342" s="143"/>
      <c r="AN342" s="9">
        <f t="shared" si="63"/>
        <v>0</v>
      </c>
      <c r="AO342" s="8" t="str">
        <f t="array" ref="AO342">IF(AN342&gt;5,"Perlu Sensus",IF(AND(AN342&gt;=0,AL342&gt;0),"Tetap Deteksi","Belum Deteksi"))</f>
        <v>Belum Deteksi</v>
      </c>
      <c r="AP342" s="143"/>
      <c r="AQ342" s="9">
        <f t="shared" si="64"/>
        <v>0</v>
      </c>
    </row>
    <row r="343" spans="1:43" x14ac:dyDescent="0.15">
      <c r="A343" s="8" t="s">
        <v>1739</v>
      </c>
      <c r="B343" s="8" t="s">
        <v>14</v>
      </c>
      <c r="C343" s="8" t="s">
        <v>380</v>
      </c>
      <c r="D343" s="8" t="s">
        <v>1207</v>
      </c>
      <c r="E343" s="9">
        <v>28.83</v>
      </c>
      <c r="F343" s="8" t="s">
        <v>1740</v>
      </c>
      <c r="G343" s="10">
        <v>3796</v>
      </c>
      <c r="H343" s="11">
        <f t="array" ref="H343">IF(OR(N343&gt;0,AC343&gt;0),MAX(N343,AC343),MAX(AK343,V343))</f>
        <v>46241</v>
      </c>
      <c r="I343" s="143">
        <f t="array" ref="I343">IF(SUM(O343,AD343)&gt;0,SUM(O343,AD343),SUM(AL343,W343))</f>
        <v>98</v>
      </c>
      <c r="J343" s="9">
        <f t="shared" si="55"/>
        <v>2.5816649104320337</v>
      </c>
      <c r="K343" s="143">
        <f t="shared" si="65"/>
        <v>1</v>
      </c>
      <c r="L343" s="9">
        <f t="shared" si="56"/>
        <v>1.0204081632653061</v>
      </c>
      <c r="M343" s="8" t="str">
        <f t="array" ref="M343">IF(L343&gt;5,"Perlu Sensus",IF(AND(L343&gt;=0,I343&gt;0),"Tetap Deteksi","Belum Deteksi"))</f>
        <v>Tetap Deteksi</v>
      </c>
      <c r="N343" s="11">
        <v>46241</v>
      </c>
      <c r="O343" s="143">
        <v>98</v>
      </c>
      <c r="P343" s="9">
        <f t="array" ref="P343">IFERROR(O343/$G343*100,0)</f>
        <v>2.5816649104320337</v>
      </c>
      <c r="Q343" s="143">
        <v>1</v>
      </c>
      <c r="R343" s="9">
        <f t="shared" si="57"/>
        <v>1.0204081632653061</v>
      </c>
      <c r="S343" s="8" t="str">
        <f t="array" ref="S343">IF(R343&gt;5,"Perlu Sensus",IF(AND(R343&gt;=0,O343&gt;0),"Tetap Deteksi","Belum Deteksi"))</f>
        <v>Tetap Deteksi</v>
      </c>
      <c r="T343" s="143">
        <v>6</v>
      </c>
      <c r="U343" s="9">
        <f t="shared" si="58"/>
        <v>6.1224489795918364</v>
      </c>
      <c r="V343" s="132">
        <v>46249</v>
      </c>
      <c r="W343" s="143">
        <v>288</v>
      </c>
      <c r="X343" s="143">
        <v>7</v>
      </c>
      <c r="Y343" s="9">
        <f t="shared" si="59"/>
        <v>2.4305555555555558</v>
      </c>
      <c r="Z343" s="8" t="str">
        <f t="array" ref="Z343">IF(Y343&gt;5,"Perlu Sensus",IF(AND(Y343&gt;=0,W343&gt;0),"Tetap Deteksi","Belum Deteksi"))</f>
        <v>Tetap Deteksi</v>
      </c>
      <c r="AA343" s="143">
        <v>18</v>
      </c>
      <c r="AB343" s="9">
        <f t="shared" si="60"/>
        <v>6.25</v>
      </c>
      <c r="AC343" s="11"/>
      <c r="AD343" s="143"/>
      <c r="AE343" s="9">
        <f t="array" ref="AE343">IFERROR(AD343/$G343*100,0)</f>
        <v>0</v>
      </c>
      <c r="AF343" s="143"/>
      <c r="AG343" s="9">
        <f t="shared" si="61"/>
        <v>0</v>
      </c>
      <c r="AH343" s="8" t="str">
        <f t="array" ref="AH343">IF(AG343&gt;5,"Perlu Sensus",IF(AND(AG343&gt;=0,AD343&gt;0),"Tetap Deteksi","Belum Deteksi"))</f>
        <v>Belum Deteksi</v>
      </c>
      <c r="AI343" s="143"/>
      <c r="AJ343" s="9">
        <f t="shared" si="62"/>
        <v>0</v>
      </c>
      <c r="AK343" s="11"/>
      <c r="AL343" s="143"/>
      <c r="AM343" s="143"/>
      <c r="AN343" s="9">
        <f t="shared" si="63"/>
        <v>0</v>
      </c>
      <c r="AO343" s="8" t="str">
        <f t="array" ref="AO343">IF(AN343&gt;5,"Perlu Sensus",IF(AND(AN343&gt;=0,AL343&gt;0),"Tetap Deteksi","Belum Deteksi"))</f>
        <v>Belum Deteksi</v>
      </c>
      <c r="AP343" s="143"/>
      <c r="AQ343" s="9">
        <f t="shared" si="64"/>
        <v>0</v>
      </c>
    </row>
    <row r="344" spans="1:43" x14ac:dyDescent="0.15">
      <c r="A344" s="8" t="s">
        <v>1739</v>
      </c>
      <c r="B344" s="8" t="s">
        <v>14</v>
      </c>
      <c r="C344" s="8" t="s">
        <v>380</v>
      </c>
      <c r="D344" s="8" t="s">
        <v>1208</v>
      </c>
      <c r="E344" s="9">
        <v>29.7</v>
      </c>
      <c r="F344" s="8" t="s">
        <v>1740</v>
      </c>
      <c r="G344" s="10">
        <v>3837</v>
      </c>
      <c r="H344" s="11">
        <f t="array" ref="H344">IF(OR(N344&gt;0,AC344&gt;0),MAX(N344,AC344),MAX(AK344,V344))</f>
        <v>46241</v>
      </c>
      <c r="I344" s="143">
        <f t="array" ref="I344">IF(SUM(O344,AD344)&gt;0,SUM(O344,AD344),SUM(AL344,W344))</f>
        <v>97</v>
      </c>
      <c r="J344" s="9">
        <f t="shared" si="55"/>
        <v>2.5280166796976804</v>
      </c>
      <c r="K344" s="143">
        <f t="shared" si="65"/>
        <v>1</v>
      </c>
      <c r="L344" s="9">
        <f t="shared" si="56"/>
        <v>1.0309278350515463</v>
      </c>
      <c r="M344" s="8" t="str">
        <f t="array" ref="M344">IF(L344&gt;5,"Perlu Sensus",IF(AND(L344&gt;=0,I344&gt;0),"Tetap Deteksi","Belum Deteksi"))</f>
        <v>Tetap Deteksi</v>
      </c>
      <c r="N344" s="11">
        <v>46241</v>
      </c>
      <c r="O344" s="143">
        <v>97</v>
      </c>
      <c r="P344" s="9">
        <f t="array" ref="P344">IFERROR(O344/$G344*100,0)</f>
        <v>2.5280166796976804</v>
      </c>
      <c r="Q344" s="143">
        <v>1</v>
      </c>
      <c r="R344" s="9">
        <f t="shared" si="57"/>
        <v>1.0309278350515463</v>
      </c>
      <c r="S344" s="8" t="str">
        <f t="array" ref="S344">IF(R344&gt;5,"Perlu Sensus",IF(AND(R344&gt;=0,O344&gt;0),"Tetap Deteksi","Belum Deteksi"))</f>
        <v>Tetap Deteksi</v>
      </c>
      <c r="T344" s="143">
        <v>5</v>
      </c>
      <c r="U344" s="9">
        <f t="shared" si="58"/>
        <v>5.1546391752577314</v>
      </c>
      <c r="V344" s="132">
        <v>46249</v>
      </c>
      <c r="W344" s="143">
        <v>324</v>
      </c>
      <c r="X344" s="143">
        <v>11</v>
      </c>
      <c r="Y344" s="9">
        <f t="shared" si="59"/>
        <v>3.3950617283950617</v>
      </c>
      <c r="Z344" s="8" t="str">
        <f t="array" ref="Z344">IF(Y344&gt;5,"Perlu Sensus",IF(AND(Y344&gt;=0,W344&gt;0),"Tetap Deteksi","Belum Deteksi"))</f>
        <v>Tetap Deteksi</v>
      </c>
      <c r="AA344" s="143">
        <v>15</v>
      </c>
      <c r="AB344" s="9">
        <f t="shared" si="60"/>
        <v>4.6296296296296298</v>
      </c>
      <c r="AC344" s="11"/>
      <c r="AD344" s="143"/>
      <c r="AE344" s="9">
        <f t="array" ref="AE344">IFERROR(AD344/$G344*100,0)</f>
        <v>0</v>
      </c>
      <c r="AF344" s="143"/>
      <c r="AG344" s="9">
        <f t="shared" si="61"/>
        <v>0</v>
      </c>
      <c r="AH344" s="8" t="str">
        <f t="array" ref="AH344">IF(AG344&gt;5,"Perlu Sensus",IF(AND(AG344&gt;=0,AD344&gt;0),"Tetap Deteksi","Belum Deteksi"))</f>
        <v>Belum Deteksi</v>
      </c>
      <c r="AI344" s="143"/>
      <c r="AJ344" s="9">
        <f t="shared" si="62"/>
        <v>0</v>
      </c>
      <c r="AK344" s="11"/>
      <c r="AL344" s="143"/>
      <c r="AM344" s="143"/>
      <c r="AN344" s="9">
        <f t="shared" si="63"/>
        <v>0</v>
      </c>
      <c r="AO344" s="8" t="str">
        <f t="array" ref="AO344">IF(AN344&gt;5,"Perlu Sensus",IF(AND(AN344&gt;=0,AL344&gt;0),"Tetap Deteksi","Belum Deteksi"))</f>
        <v>Belum Deteksi</v>
      </c>
      <c r="AP344" s="143"/>
      <c r="AQ344" s="9">
        <f t="shared" si="64"/>
        <v>0</v>
      </c>
    </row>
    <row r="345" spans="1:43" x14ac:dyDescent="0.15">
      <c r="A345" s="8" t="s">
        <v>1739</v>
      </c>
      <c r="B345" s="8" t="s">
        <v>14</v>
      </c>
      <c r="C345" s="8" t="s">
        <v>380</v>
      </c>
      <c r="D345" s="8" t="s">
        <v>1209</v>
      </c>
      <c r="E345" s="9">
        <v>29.28</v>
      </c>
      <c r="F345" s="8" t="s">
        <v>1740</v>
      </c>
      <c r="G345" s="10">
        <v>3935</v>
      </c>
      <c r="H345" s="11">
        <f t="array" ref="H345">IF(OR(N345&gt;0,AC345&gt;0),MAX(N345,AC345),MAX(AK345,V345))</f>
        <v>46242</v>
      </c>
      <c r="I345" s="143">
        <f t="array" ref="I345">IF(SUM(O345,AD345)&gt;0,SUM(O345,AD345),SUM(AL345,W345))</f>
        <v>96</v>
      </c>
      <c r="J345" s="9">
        <f t="shared" si="55"/>
        <v>2.4396442185514613</v>
      </c>
      <c r="K345" s="143">
        <f t="shared" si="65"/>
        <v>1</v>
      </c>
      <c r="L345" s="9">
        <f t="shared" si="56"/>
        <v>1.0416666666666665</v>
      </c>
      <c r="M345" s="8" t="str">
        <f t="array" ref="M345">IF(L345&gt;5,"Perlu Sensus",IF(AND(L345&gt;=0,I345&gt;0),"Tetap Deteksi","Belum Deteksi"))</f>
        <v>Tetap Deteksi</v>
      </c>
      <c r="N345" s="11">
        <v>46242</v>
      </c>
      <c r="O345" s="143">
        <v>96</v>
      </c>
      <c r="P345" s="9">
        <f t="array" ref="P345">IFERROR(O345/$G345*100,0)</f>
        <v>2.4396442185514613</v>
      </c>
      <c r="Q345" s="143">
        <v>1</v>
      </c>
      <c r="R345" s="9">
        <f t="shared" si="57"/>
        <v>1.0416666666666665</v>
      </c>
      <c r="S345" s="8" t="str">
        <f t="array" ref="S345">IF(R345&gt;5,"Perlu Sensus",IF(AND(R345&gt;=0,O345&gt;0),"Tetap Deteksi","Belum Deteksi"))</f>
        <v>Tetap Deteksi</v>
      </c>
      <c r="T345" s="143">
        <v>4</v>
      </c>
      <c r="U345" s="9">
        <f t="shared" si="58"/>
        <v>4.1666666666666661</v>
      </c>
      <c r="V345" s="132">
        <v>46249</v>
      </c>
      <c r="W345" s="143">
        <v>383</v>
      </c>
      <c r="X345" s="143">
        <v>9</v>
      </c>
      <c r="Y345" s="9">
        <f t="shared" si="59"/>
        <v>2.3498694516971277</v>
      </c>
      <c r="Z345" s="8" t="str">
        <f t="array" ref="Z345">IF(Y345&gt;5,"Perlu Sensus",IF(AND(Y345&gt;=0,W345&gt;0),"Tetap Deteksi","Belum Deteksi"))</f>
        <v>Tetap Deteksi</v>
      </c>
      <c r="AA345" s="143">
        <v>16</v>
      </c>
      <c r="AB345" s="9">
        <f t="shared" si="60"/>
        <v>4.1775456919060057</v>
      </c>
      <c r="AC345" s="11"/>
      <c r="AD345" s="143"/>
      <c r="AE345" s="9">
        <f t="array" ref="AE345">IFERROR(AD345/$G345*100,0)</f>
        <v>0</v>
      </c>
      <c r="AF345" s="143"/>
      <c r="AG345" s="9">
        <f t="shared" si="61"/>
        <v>0</v>
      </c>
      <c r="AH345" s="8" t="str">
        <f t="array" ref="AH345">IF(AG345&gt;5,"Perlu Sensus",IF(AND(AG345&gt;=0,AD345&gt;0),"Tetap Deteksi","Belum Deteksi"))</f>
        <v>Belum Deteksi</v>
      </c>
      <c r="AI345" s="143"/>
      <c r="AJ345" s="9">
        <f t="shared" si="62"/>
        <v>0</v>
      </c>
      <c r="AK345" s="11"/>
      <c r="AL345" s="143"/>
      <c r="AM345" s="143"/>
      <c r="AN345" s="9">
        <f t="shared" si="63"/>
        <v>0</v>
      </c>
      <c r="AO345" s="8" t="str">
        <f t="array" ref="AO345">IF(AN345&gt;5,"Perlu Sensus",IF(AND(AN345&gt;=0,AL345&gt;0),"Tetap Deteksi","Belum Deteksi"))</f>
        <v>Belum Deteksi</v>
      </c>
      <c r="AP345" s="143"/>
      <c r="AQ345" s="9">
        <f t="shared" si="64"/>
        <v>0</v>
      </c>
    </row>
    <row r="346" spans="1:43" x14ac:dyDescent="0.15">
      <c r="A346" s="8" t="s">
        <v>1739</v>
      </c>
      <c r="B346" s="8" t="s">
        <v>14</v>
      </c>
      <c r="C346" s="8" t="s">
        <v>380</v>
      </c>
      <c r="D346" s="8" t="s">
        <v>1210</v>
      </c>
      <c r="E346" s="9">
        <v>29.97</v>
      </c>
      <c r="F346" s="8" t="s">
        <v>1740</v>
      </c>
      <c r="G346" s="10">
        <v>4009</v>
      </c>
      <c r="H346" s="11">
        <f t="array" ref="H346">IF(OR(N346&gt;0,AC346&gt;0),MAX(N346,AC346),MAX(AK346,V346))</f>
        <v>46242</v>
      </c>
      <c r="I346" s="143">
        <f t="array" ref="I346">IF(SUM(O346,AD346)&gt;0,SUM(O346,AD346),SUM(AL346,W346))</f>
        <v>92</v>
      </c>
      <c r="J346" s="9">
        <f t="shared" si="55"/>
        <v>2.2948366176103763</v>
      </c>
      <c r="K346" s="143">
        <f t="shared" si="65"/>
        <v>1</v>
      </c>
      <c r="L346" s="9">
        <f t="shared" si="56"/>
        <v>1.0869565217391304</v>
      </c>
      <c r="M346" s="8" t="str">
        <f t="array" ref="M346">IF(L346&gt;5,"Perlu Sensus",IF(AND(L346&gt;=0,I346&gt;0),"Tetap Deteksi","Belum Deteksi"))</f>
        <v>Tetap Deteksi</v>
      </c>
      <c r="N346" s="11">
        <v>46242</v>
      </c>
      <c r="O346" s="143">
        <v>92</v>
      </c>
      <c r="P346" s="9">
        <f t="array" ref="P346">IFERROR(O346/$G346*100,0)</f>
        <v>2.2948366176103763</v>
      </c>
      <c r="Q346" s="143">
        <v>1</v>
      </c>
      <c r="R346" s="9">
        <f t="shared" si="57"/>
        <v>1.0869565217391304</v>
      </c>
      <c r="S346" s="8" t="str">
        <f t="array" ref="S346">IF(R346&gt;5,"Perlu Sensus",IF(AND(R346&gt;=0,O346&gt;0),"Tetap Deteksi","Belum Deteksi"))</f>
        <v>Tetap Deteksi</v>
      </c>
      <c r="T346" s="143">
        <v>6</v>
      </c>
      <c r="U346" s="9">
        <f t="shared" si="58"/>
        <v>6.5217391304347823</v>
      </c>
      <c r="V346" s="132">
        <v>46249</v>
      </c>
      <c r="W346" s="143">
        <v>426</v>
      </c>
      <c r="X346" s="143">
        <v>10</v>
      </c>
      <c r="Y346" s="9">
        <f t="shared" si="59"/>
        <v>2.3474178403755865</v>
      </c>
      <c r="Z346" s="8" t="str">
        <f t="array" ref="Z346">IF(Y346&gt;5,"Perlu Sensus",IF(AND(Y346&gt;=0,W346&gt;0),"Tetap Deteksi","Belum Deteksi"))</f>
        <v>Tetap Deteksi</v>
      </c>
      <c r="AA346" s="143">
        <v>18</v>
      </c>
      <c r="AB346" s="9">
        <f t="shared" si="60"/>
        <v>4.225352112676056</v>
      </c>
      <c r="AC346" s="11"/>
      <c r="AD346" s="143"/>
      <c r="AE346" s="9">
        <f t="array" ref="AE346">IFERROR(AD346/$G346*100,0)</f>
        <v>0</v>
      </c>
      <c r="AF346" s="143"/>
      <c r="AG346" s="9">
        <f t="shared" si="61"/>
        <v>0</v>
      </c>
      <c r="AH346" s="8" t="str">
        <f t="array" ref="AH346">IF(AG346&gt;5,"Perlu Sensus",IF(AND(AG346&gt;=0,AD346&gt;0),"Tetap Deteksi","Belum Deteksi"))</f>
        <v>Belum Deteksi</v>
      </c>
      <c r="AI346" s="143"/>
      <c r="AJ346" s="9">
        <f t="shared" si="62"/>
        <v>0</v>
      </c>
      <c r="AK346" s="11"/>
      <c r="AL346" s="143"/>
      <c r="AM346" s="143"/>
      <c r="AN346" s="9">
        <f t="shared" si="63"/>
        <v>0</v>
      </c>
      <c r="AO346" s="8" t="str">
        <f t="array" ref="AO346">IF(AN346&gt;5,"Perlu Sensus",IF(AND(AN346&gt;=0,AL346&gt;0),"Tetap Deteksi","Belum Deteksi"))</f>
        <v>Belum Deteksi</v>
      </c>
      <c r="AP346" s="143"/>
      <c r="AQ346" s="9">
        <f t="shared" si="64"/>
        <v>0</v>
      </c>
    </row>
    <row r="347" spans="1:43" x14ac:dyDescent="0.15">
      <c r="A347" s="8" t="s">
        <v>1739</v>
      </c>
      <c r="B347" s="8" t="s">
        <v>14</v>
      </c>
      <c r="C347" s="8" t="s">
        <v>380</v>
      </c>
      <c r="D347" s="8" t="s">
        <v>1211</v>
      </c>
      <c r="E347" s="9">
        <v>29.21</v>
      </c>
      <c r="F347" s="8" t="s">
        <v>1740</v>
      </c>
      <c r="G347" s="10">
        <v>3808</v>
      </c>
      <c r="H347" s="11">
        <f t="array" ref="H347">IF(OR(N347&gt;0,AC347&gt;0),MAX(N347,AC347),MAX(AK347,V347))</f>
        <v>46244</v>
      </c>
      <c r="I347" s="143">
        <f t="array" ref="I347">IF(SUM(O347,AD347)&gt;0,SUM(O347,AD347),SUM(AL347,W347))</f>
        <v>72</v>
      </c>
      <c r="J347" s="9">
        <f t="shared" si="55"/>
        <v>1.8907563025210083</v>
      </c>
      <c r="K347" s="143">
        <f t="shared" si="65"/>
        <v>1</v>
      </c>
      <c r="L347" s="9">
        <f t="shared" si="56"/>
        <v>1.3888888888888888</v>
      </c>
      <c r="M347" s="8" t="str">
        <f t="array" ref="M347">IF(L347&gt;5,"Perlu Sensus",IF(AND(L347&gt;=0,I347&gt;0),"Tetap Deteksi","Belum Deteksi"))</f>
        <v>Tetap Deteksi</v>
      </c>
      <c r="N347" s="11">
        <v>46244</v>
      </c>
      <c r="O347" s="143">
        <v>72</v>
      </c>
      <c r="P347" s="9">
        <f t="array" ref="P347">IFERROR(O347/$G347*100,0)</f>
        <v>1.8907563025210083</v>
      </c>
      <c r="Q347" s="143">
        <v>1</v>
      </c>
      <c r="R347" s="9">
        <f t="shared" si="57"/>
        <v>1.3888888888888888</v>
      </c>
      <c r="S347" s="8" t="str">
        <f t="array" ref="S347">IF(R347&gt;5,"Perlu Sensus",IF(AND(R347&gt;=0,O347&gt;0),"Tetap Deteksi","Belum Deteksi"))</f>
        <v>Tetap Deteksi</v>
      </c>
      <c r="T347" s="143">
        <v>4</v>
      </c>
      <c r="U347" s="9">
        <f t="shared" si="58"/>
        <v>5.5555555555555554</v>
      </c>
      <c r="V347" s="132">
        <v>46249</v>
      </c>
      <c r="W347" s="143">
        <v>232</v>
      </c>
      <c r="X347" s="143">
        <v>8</v>
      </c>
      <c r="Y347" s="9">
        <f t="shared" si="59"/>
        <v>3.4482758620689653</v>
      </c>
      <c r="Z347" s="8" t="str">
        <f t="array" ref="Z347">IF(Y347&gt;5,"Perlu Sensus",IF(AND(Y347&gt;=0,W347&gt;0),"Tetap Deteksi","Belum Deteksi"))</f>
        <v>Tetap Deteksi</v>
      </c>
      <c r="AA347" s="143">
        <v>30</v>
      </c>
      <c r="AB347" s="9">
        <f t="shared" si="60"/>
        <v>12.931034482758621</v>
      </c>
      <c r="AC347" s="11"/>
      <c r="AD347" s="143"/>
      <c r="AE347" s="9">
        <f t="array" ref="AE347">IFERROR(AD347/$G347*100,0)</f>
        <v>0</v>
      </c>
      <c r="AF347" s="143"/>
      <c r="AG347" s="9">
        <f t="shared" si="61"/>
        <v>0</v>
      </c>
      <c r="AH347" s="8" t="str">
        <f t="array" ref="AH347">IF(AG347&gt;5,"Perlu Sensus",IF(AND(AG347&gt;=0,AD347&gt;0),"Tetap Deteksi","Belum Deteksi"))</f>
        <v>Belum Deteksi</v>
      </c>
      <c r="AI347" s="143"/>
      <c r="AJ347" s="9">
        <f t="shared" si="62"/>
        <v>0</v>
      </c>
      <c r="AK347" s="11"/>
      <c r="AL347" s="143"/>
      <c r="AM347" s="143"/>
      <c r="AN347" s="9">
        <f t="shared" si="63"/>
        <v>0</v>
      </c>
      <c r="AO347" s="8" t="str">
        <f t="array" ref="AO347">IF(AN347&gt;5,"Perlu Sensus",IF(AND(AN347&gt;=0,AL347&gt;0),"Tetap Deteksi","Belum Deteksi"))</f>
        <v>Belum Deteksi</v>
      </c>
      <c r="AP347" s="143"/>
      <c r="AQ347" s="9">
        <f t="shared" si="64"/>
        <v>0</v>
      </c>
    </row>
    <row r="348" spans="1:43" x14ac:dyDescent="0.15">
      <c r="A348" s="8" t="s">
        <v>1739</v>
      </c>
      <c r="B348" s="8" t="s">
        <v>14</v>
      </c>
      <c r="C348" s="8" t="s">
        <v>380</v>
      </c>
      <c r="D348" s="8" t="s">
        <v>1212</v>
      </c>
      <c r="E348" s="9">
        <v>30.45</v>
      </c>
      <c r="F348" s="8" t="s">
        <v>1740</v>
      </c>
      <c r="G348" s="10">
        <v>4156</v>
      </c>
      <c r="H348" s="11">
        <f t="array" ref="H348">IF(OR(N348&gt;0,AC348&gt;0),MAX(N348,AC348),MAX(AK348,V348))</f>
        <v>46244</v>
      </c>
      <c r="I348" s="143">
        <f t="array" ref="I348">IF(SUM(O348,AD348)&gt;0,SUM(O348,AD348),SUM(AL348,W348))</f>
        <v>76</v>
      </c>
      <c r="J348" s="9">
        <f t="shared" si="55"/>
        <v>1.8286814244465832</v>
      </c>
      <c r="K348" s="143">
        <f t="shared" si="65"/>
        <v>1</v>
      </c>
      <c r="L348" s="9">
        <f t="shared" si="56"/>
        <v>1.3157894736842104</v>
      </c>
      <c r="M348" s="8" t="str">
        <f t="array" ref="M348">IF(L348&gt;5,"Perlu Sensus",IF(AND(L348&gt;=0,I348&gt;0),"Tetap Deteksi","Belum Deteksi"))</f>
        <v>Tetap Deteksi</v>
      </c>
      <c r="N348" s="11">
        <v>46244</v>
      </c>
      <c r="O348" s="143">
        <v>76</v>
      </c>
      <c r="P348" s="9">
        <f t="array" ref="P348">IFERROR(O348/$G348*100,0)</f>
        <v>1.8286814244465832</v>
      </c>
      <c r="Q348" s="143">
        <v>1</v>
      </c>
      <c r="R348" s="9">
        <f t="shared" si="57"/>
        <v>1.3157894736842104</v>
      </c>
      <c r="S348" s="8" t="str">
        <f t="array" ref="S348">IF(R348&gt;5,"Perlu Sensus",IF(AND(R348&gt;=0,O348&gt;0),"Tetap Deteksi","Belum Deteksi"))</f>
        <v>Tetap Deteksi</v>
      </c>
      <c r="T348" s="143">
        <v>6</v>
      </c>
      <c r="U348" s="9">
        <f t="shared" si="58"/>
        <v>7.8947368421052628</v>
      </c>
      <c r="V348" s="132">
        <v>46249</v>
      </c>
      <c r="W348" s="143">
        <v>303</v>
      </c>
      <c r="X348" s="143">
        <v>9</v>
      </c>
      <c r="Y348" s="9">
        <f t="shared" si="59"/>
        <v>2.9702970297029703</v>
      </c>
      <c r="Z348" s="8" t="str">
        <f t="array" ref="Z348">IF(Y348&gt;5,"Perlu Sensus",IF(AND(Y348&gt;=0,W348&gt;0),"Tetap Deteksi","Belum Deteksi"))</f>
        <v>Tetap Deteksi</v>
      </c>
      <c r="AA348" s="143">
        <v>15</v>
      </c>
      <c r="AB348" s="9">
        <f t="shared" si="60"/>
        <v>4.9504950495049505</v>
      </c>
      <c r="AC348" s="11"/>
      <c r="AD348" s="143"/>
      <c r="AE348" s="9">
        <f t="array" ref="AE348">IFERROR(AD348/$G348*100,0)</f>
        <v>0</v>
      </c>
      <c r="AF348" s="143"/>
      <c r="AG348" s="9">
        <f t="shared" si="61"/>
        <v>0</v>
      </c>
      <c r="AH348" s="8" t="str">
        <f t="array" ref="AH348">IF(AG348&gt;5,"Perlu Sensus",IF(AND(AG348&gt;=0,AD348&gt;0),"Tetap Deteksi","Belum Deteksi"))</f>
        <v>Belum Deteksi</v>
      </c>
      <c r="AI348" s="143"/>
      <c r="AJ348" s="9">
        <f t="shared" si="62"/>
        <v>0</v>
      </c>
      <c r="AK348" s="11"/>
      <c r="AL348" s="143"/>
      <c r="AM348" s="143"/>
      <c r="AN348" s="9">
        <f t="shared" si="63"/>
        <v>0</v>
      </c>
      <c r="AO348" s="8" t="str">
        <f t="array" ref="AO348">IF(AN348&gt;5,"Perlu Sensus",IF(AND(AN348&gt;=0,AL348&gt;0),"Tetap Deteksi","Belum Deteksi"))</f>
        <v>Belum Deteksi</v>
      </c>
      <c r="AP348" s="143"/>
      <c r="AQ348" s="9">
        <f t="shared" si="64"/>
        <v>0</v>
      </c>
    </row>
    <row r="349" spans="1:43" x14ac:dyDescent="0.15">
      <c r="A349" s="8" t="s">
        <v>1739</v>
      </c>
      <c r="B349" s="8" t="s">
        <v>14</v>
      </c>
      <c r="C349" s="8" t="s">
        <v>380</v>
      </c>
      <c r="D349" s="8" t="s">
        <v>1213</v>
      </c>
      <c r="E349" s="9">
        <v>25.35</v>
      </c>
      <c r="F349" s="8" t="s">
        <v>1740</v>
      </c>
      <c r="G349" s="10">
        <v>2866</v>
      </c>
      <c r="H349" s="11">
        <f t="array" ref="H349">IF(OR(N349&gt;0,AC349&gt;0),MAX(N349,AC349),MAX(AK349,V349))</f>
        <v>46245</v>
      </c>
      <c r="I349" s="143">
        <f t="array" ref="I349">IF(SUM(O349,AD349)&gt;0,SUM(O349,AD349),SUM(AL349,W349))</f>
        <v>75</v>
      </c>
      <c r="J349" s="9">
        <f t="shared" si="55"/>
        <v>2.6168876482902999</v>
      </c>
      <c r="K349" s="143">
        <f t="shared" si="65"/>
        <v>2</v>
      </c>
      <c r="L349" s="9">
        <f t="shared" si="56"/>
        <v>2.666666666666667</v>
      </c>
      <c r="M349" s="8" t="str">
        <f t="array" ref="M349">IF(L349&gt;5,"Perlu Sensus",IF(AND(L349&gt;=0,I349&gt;0),"Tetap Deteksi","Belum Deteksi"))</f>
        <v>Tetap Deteksi</v>
      </c>
      <c r="N349" s="11">
        <v>46245</v>
      </c>
      <c r="O349" s="143">
        <v>75</v>
      </c>
      <c r="P349" s="9">
        <f t="array" ref="P349">IFERROR(O349/$G349*100,0)</f>
        <v>2.6168876482902999</v>
      </c>
      <c r="Q349" s="143">
        <v>2</v>
      </c>
      <c r="R349" s="9">
        <f t="shared" si="57"/>
        <v>2.666666666666667</v>
      </c>
      <c r="S349" s="8" t="str">
        <f t="array" ref="S349">IF(R349&gt;5,"Perlu Sensus",IF(AND(R349&gt;=0,O349&gt;0),"Tetap Deteksi","Belum Deteksi"))</f>
        <v>Tetap Deteksi</v>
      </c>
      <c r="T349" s="143">
        <v>6</v>
      </c>
      <c r="U349" s="9">
        <f t="shared" si="58"/>
        <v>8</v>
      </c>
      <c r="V349" s="132">
        <v>46249</v>
      </c>
      <c r="W349" s="143">
        <v>305</v>
      </c>
      <c r="X349" s="143">
        <v>8</v>
      </c>
      <c r="Y349" s="9">
        <f t="shared" si="59"/>
        <v>2.622950819672131</v>
      </c>
      <c r="Z349" s="8" t="str">
        <f t="array" ref="Z349">IF(Y349&gt;5,"Perlu Sensus",IF(AND(Y349&gt;=0,W349&gt;0),"Tetap Deteksi","Belum Deteksi"))</f>
        <v>Tetap Deteksi</v>
      </c>
      <c r="AA349" s="143">
        <v>35</v>
      </c>
      <c r="AB349" s="9">
        <f t="shared" si="60"/>
        <v>11.475409836065573</v>
      </c>
      <c r="AC349" s="11"/>
      <c r="AD349" s="143"/>
      <c r="AE349" s="9">
        <f t="array" ref="AE349">IFERROR(AD349/$G349*100,0)</f>
        <v>0</v>
      </c>
      <c r="AF349" s="143"/>
      <c r="AG349" s="9">
        <f t="shared" si="61"/>
        <v>0</v>
      </c>
      <c r="AH349" s="8" t="str">
        <f t="array" ref="AH349">IF(AG349&gt;5,"Perlu Sensus",IF(AND(AG349&gt;=0,AD349&gt;0),"Tetap Deteksi","Belum Deteksi"))</f>
        <v>Belum Deteksi</v>
      </c>
      <c r="AI349" s="143"/>
      <c r="AJ349" s="9">
        <f t="shared" si="62"/>
        <v>0</v>
      </c>
      <c r="AK349" s="11"/>
      <c r="AL349" s="143"/>
      <c r="AM349" s="143"/>
      <c r="AN349" s="9">
        <f t="shared" si="63"/>
        <v>0</v>
      </c>
      <c r="AO349" s="8" t="str">
        <f t="array" ref="AO349">IF(AN349&gt;5,"Perlu Sensus",IF(AND(AN349&gt;=0,AL349&gt;0),"Tetap Deteksi","Belum Deteksi"))</f>
        <v>Belum Deteksi</v>
      </c>
      <c r="AP349" s="143"/>
      <c r="AQ349" s="9">
        <f t="shared" si="64"/>
        <v>0</v>
      </c>
    </row>
    <row r="350" spans="1:43" x14ac:dyDescent="0.15">
      <c r="A350" s="8" t="s">
        <v>1739</v>
      </c>
      <c r="B350" s="8" t="s">
        <v>14</v>
      </c>
      <c r="C350" s="8" t="s">
        <v>380</v>
      </c>
      <c r="D350" s="8" t="s">
        <v>1214</v>
      </c>
      <c r="E350" s="9">
        <v>16.59</v>
      </c>
      <c r="F350" s="8" t="s">
        <v>1740</v>
      </c>
      <c r="G350" s="10">
        <v>1692</v>
      </c>
      <c r="H350" s="11">
        <f t="array" ref="H350">IF(OR(N350&gt;0,AC350&gt;0),MAX(N350,AC350),MAX(AK350,V350))</f>
        <v>46245</v>
      </c>
      <c r="I350" s="143">
        <f t="array" ref="I350">IF(SUM(O350,AD350)&gt;0,SUM(O350,AD350),SUM(AL350,W350))</f>
        <v>85</v>
      </c>
      <c r="J350" s="9">
        <f t="shared" si="55"/>
        <v>5.0236406619385345</v>
      </c>
      <c r="K350" s="143">
        <f t="shared" si="65"/>
        <v>1</v>
      </c>
      <c r="L350" s="9">
        <f t="shared" si="56"/>
        <v>1.1764705882352942</v>
      </c>
      <c r="M350" s="8" t="str">
        <f t="array" ref="M350">IF(L350&gt;5,"Perlu Sensus",IF(AND(L350&gt;=0,I350&gt;0),"Tetap Deteksi","Belum Deteksi"))</f>
        <v>Tetap Deteksi</v>
      </c>
      <c r="N350" s="11">
        <v>46245</v>
      </c>
      <c r="O350" s="143">
        <v>85</v>
      </c>
      <c r="P350" s="9">
        <f t="array" ref="P350">IFERROR(O350/$G350*100,0)</f>
        <v>5.0236406619385345</v>
      </c>
      <c r="Q350" s="143">
        <v>1</v>
      </c>
      <c r="R350" s="9">
        <f t="shared" si="57"/>
        <v>1.1764705882352942</v>
      </c>
      <c r="S350" s="8" t="str">
        <f t="array" ref="S350">IF(R350&gt;5,"Perlu Sensus",IF(AND(R350&gt;=0,O350&gt;0),"Tetap Deteksi","Belum Deteksi"))</f>
        <v>Tetap Deteksi</v>
      </c>
      <c r="T350" s="143">
        <v>5</v>
      </c>
      <c r="U350" s="9">
        <f t="shared" si="58"/>
        <v>5.8823529411764701</v>
      </c>
      <c r="V350" s="132">
        <v>46249</v>
      </c>
      <c r="W350" s="143">
        <v>304</v>
      </c>
      <c r="X350" s="143">
        <v>9</v>
      </c>
      <c r="Y350" s="9">
        <f t="shared" si="59"/>
        <v>2.9605263157894735</v>
      </c>
      <c r="Z350" s="8" t="str">
        <f t="array" ref="Z350">IF(Y350&gt;5,"Perlu Sensus",IF(AND(Y350&gt;=0,W350&gt;0),"Tetap Deteksi","Belum Deteksi"))</f>
        <v>Tetap Deteksi</v>
      </c>
      <c r="AA350" s="143">
        <v>30</v>
      </c>
      <c r="AB350" s="9">
        <f t="shared" si="60"/>
        <v>9.8684210526315788</v>
      </c>
      <c r="AC350" s="11"/>
      <c r="AD350" s="143"/>
      <c r="AE350" s="9">
        <f t="array" ref="AE350">IFERROR(AD350/$G350*100,0)</f>
        <v>0</v>
      </c>
      <c r="AF350" s="143"/>
      <c r="AG350" s="9">
        <f t="shared" si="61"/>
        <v>0</v>
      </c>
      <c r="AH350" s="8" t="str">
        <f t="array" ref="AH350">IF(AG350&gt;5,"Perlu Sensus",IF(AND(AG350&gt;=0,AD350&gt;0),"Tetap Deteksi","Belum Deteksi"))</f>
        <v>Belum Deteksi</v>
      </c>
      <c r="AI350" s="143"/>
      <c r="AJ350" s="9">
        <f t="shared" si="62"/>
        <v>0</v>
      </c>
      <c r="AK350" s="11"/>
      <c r="AL350" s="143"/>
      <c r="AM350" s="143"/>
      <c r="AN350" s="9">
        <f t="shared" si="63"/>
        <v>0</v>
      </c>
      <c r="AO350" s="8" t="str">
        <f t="array" ref="AO350">IF(AN350&gt;5,"Perlu Sensus",IF(AND(AN350&gt;=0,AL350&gt;0),"Tetap Deteksi","Belum Deteksi"))</f>
        <v>Belum Deteksi</v>
      </c>
      <c r="AP350" s="143"/>
      <c r="AQ350" s="9">
        <f t="shared" si="64"/>
        <v>0</v>
      </c>
    </row>
    <row r="351" spans="1:43" x14ac:dyDescent="0.15">
      <c r="A351" s="8" t="s">
        <v>1739</v>
      </c>
      <c r="B351" s="8" t="s">
        <v>14</v>
      </c>
      <c r="C351" s="8" t="s">
        <v>380</v>
      </c>
      <c r="D351" s="8" t="s">
        <v>1215</v>
      </c>
      <c r="E351" s="9">
        <v>23</v>
      </c>
      <c r="F351" s="8" t="s">
        <v>1740</v>
      </c>
      <c r="G351" s="10">
        <v>2559</v>
      </c>
      <c r="H351" s="11">
        <f t="array" ref="H351">IF(OR(N351&gt;0,AC351&gt;0),MAX(N351,AC351),MAX(AK351,V351))</f>
        <v>46246</v>
      </c>
      <c r="I351" s="143">
        <f t="array" ref="I351">IF(SUM(O351,AD351)&gt;0,SUM(O351,AD351),SUM(AL351,W351))</f>
        <v>96</v>
      </c>
      <c r="J351" s="9">
        <f t="shared" si="55"/>
        <v>3.7514654161781942</v>
      </c>
      <c r="K351" s="143">
        <f t="shared" si="65"/>
        <v>1</v>
      </c>
      <c r="L351" s="9">
        <f t="shared" si="56"/>
        <v>1.0416666666666665</v>
      </c>
      <c r="M351" s="8" t="str">
        <f t="array" ref="M351">IF(L351&gt;5,"Perlu Sensus",IF(AND(L351&gt;=0,I351&gt;0),"Tetap Deteksi","Belum Deteksi"))</f>
        <v>Tetap Deteksi</v>
      </c>
      <c r="N351" s="11">
        <v>46246</v>
      </c>
      <c r="O351" s="143">
        <v>96</v>
      </c>
      <c r="P351" s="9">
        <f t="array" ref="P351">IFERROR(O351/$G351*100,0)</f>
        <v>3.7514654161781942</v>
      </c>
      <c r="Q351" s="143">
        <v>1</v>
      </c>
      <c r="R351" s="9">
        <f t="shared" si="57"/>
        <v>1.0416666666666665</v>
      </c>
      <c r="S351" s="8" t="str">
        <f t="array" ref="S351">IF(R351&gt;5,"Perlu Sensus",IF(AND(R351&gt;=0,O351&gt;0),"Tetap Deteksi","Belum Deteksi"))</f>
        <v>Tetap Deteksi</v>
      </c>
      <c r="T351" s="143">
        <v>4</v>
      </c>
      <c r="U351" s="9">
        <f t="shared" si="58"/>
        <v>4.1666666666666661</v>
      </c>
      <c r="V351" s="132">
        <v>46249</v>
      </c>
      <c r="W351" s="143">
        <v>283</v>
      </c>
      <c r="X351" s="143">
        <v>12</v>
      </c>
      <c r="Y351" s="9">
        <f t="shared" si="59"/>
        <v>4.2402826855123674</v>
      </c>
      <c r="Z351" s="8" t="str">
        <f t="array" ref="Z351">IF(Y351&gt;5,"Perlu Sensus",IF(AND(Y351&gt;=0,W351&gt;0),"Tetap Deteksi","Belum Deteksi"))</f>
        <v>Tetap Deteksi</v>
      </c>
      <c r="AA351" s="143">
        <v>23</v>
      </c>
      <c r="AB351" s="9">
        <f t="shared" si="60"/>
        <v>8.1272084805653702</v>
      </c>
      <c r="AC351" s="11"/>
      <c r="AD351" s="143"/>
      <c r="AE351" s="9">
        <f t="array" ref="AE351">IFERROR(AD351/$G351*100,0)</f>
        <v>0</v>
      </c>
      <c r="AF351" s="143"/>
      <c r="AG351" s="9">
        <f t="shared" si="61"/>
        <v>0</v>
      </c>
      <c r="AH351" s="8" t="str">
        <f t="array" ref="AH351">IF(AG351&gt;5,"Perlu Sensus",IF(AND(AG351&gt;=0,AD351&gt;0),"Tetap Deteksi","Belum Deteksi"))</f>
        <v>Belum Deteksi</v>
      </c>
      <c r="AI351" s="143"/>
      <c r="AJ351" s="9">
        <f t="shared" si="62"/>
        <v>0</v>
      </c>
      <c r="AK351" s="11"/>
      <c r="AL351" s="143"/>
      <c r="AM351" s="143"/>
      <c r="AN351" s="9">
        <f t="shared" si="63"/>
        <v>0</v>
      </c>
      <c r="AO351" s="8" t="str">
        <f t="array" ref="AO351">IF(AN351&gt;5,"Perlu Sensus",IF(AND(AN351&gt;=0,AL351&gt;0),"Tetap Deteksi","Belum Deteksi"))</f>
        <v>Belum Deteksi</v>
      </c>
      <c r="AP351" s="143"/>
      <c r="AQ351" s="9">
        <f t="shared" si="64"/>
        <v>0</v>
      </c>
    </row>
    <row r="352" spans="1:43" x14ac:dyDescent="0.15">
      <c r="A352" s="8" t="s">
        <v>1739</v>
      </c>
      <c r="B352" s="8" t="s">
        <v>14</v>
      </c>
      <c r="C352" s="8" t="s">
        <v>380</v>
      </c>
      <c r="D352" s="8" t="s">
        <v>1216</v>
      </c>
      <c r="E352" s="9">
        <v>29.14</v>
      </c>
      <c r="F352" s="8" t="s">
        <v>1740</v>
      </c>
      <c r="G352" s="10">
        <v>4278</v>
      </c>
      <c r="H352" s="11">
        <f t="array" ref="H352">IF(OR(N352&gt;0,AC352&gt;0),MAX(N352,AC352),MAX(AK352,V352))</f>
        <v>46246</v>
      </c>
      <c r="I352" s="143">
        <f t="array" ref="I352">IF(SUM(O352,AD352)&gt;0,SUM(O352,AD352),SUM(AL352,W352))</f>
        <v>94</v>
      </c>
      <c r="J352" s="9">
        <f t="shared" si="55"/>
        <v>2.1972884525479195</v>
      </c>
      <c r="K352" s="143">
        <f t="shared" si="65"/>
        <v>1</v>
      </c>
      <c r="L352" s="9">
        <f t="shared" si="56"/>
        <v>1.0638297872340425</v>
      </c>
      <c r="M352" s="8" t="str">
        <f t="array" ref="M352">IF(L352&gt;5,"Perlu Sensus",IF(AND(L352&gt;=0,I352&gt;0),"Tetap Deteksi","Belum Deteksi"))</f>
        <v>Tetap Deteksi</v>
      </c>
      <c r="N352" s="11">
        <v>46246</v>
      </c>
      <c r="O352" s="143">
        <v>94</v>
      </c>
      <c r="P352" s="9">
        <f t="array" ref="P352">IFERROR(O352/$G352*100,0)</f>
        <v>2.1972884525479195</v>
      </c>
      <c r="Q352" s="143">
        <v>1</v>
      </c>
      <c r="R352" s="9">
        <f t="shared" si="57"/>
        <v>1.0638297872340425</v>
      </c>
      <c r="S352" s="8" t="str">
        <f t="array" ref="S352">IF(R352&gt;5,"Perlu Sensus",IF(AND(R352&gt;=0,O352&gt;0),"Tetap Deteksi","Belum Deteksi"))</f>
        <v>Tetap Deteksi</v>
      </c>
      <c r="T352" s="143">
        <v>6</v>
      </c>
      <c r="U352" s="9">
        <f t="shared" si="58"/>
        <v>6.3829787234042552</v>
      </c>
      <c r="V352" s="132">
        <v>46249</v>
      </c>
      <c r="W352" s="143">
        <v>238</v>
      </c>
      <c r="X352" s="143">
        <v>9</v>
      </c>
      <c r="Y352" s="9">
        <f t="shared" si="59"/>
        <v>3.7815126050420167</v>
      </c>
      <c r="Z352" s="8" t="str">
        <f t="array" ref="Z352">IF(Y352&gt;5,"Perlu Sensus",IF(AND(Y352&gt;=0,W352&gt;0),"Tetap Deteksi","Belum Deteksi"))</f>
        <v>Tetap Deteksi</v>
      </c>
      <c r="AA352" s="143">
        <v>28</v>
      </c>
      <c r="AB352" s="9">
        <f t="shared" si="60"/>
        <v>11.76470588235294</v>
      </c>
      <c r="AC352" s="11"/>
      <c r="AD352" s="143"/>
      <c r="AE352" s="9">
        <f t="array" ref="AE352">IFERROR(AD352/$G352*100,0)</f>
        <v>0</v>
      </c>
      <c r="AF352" s="143"/>
      <c r="AG352" s="9">
        <f t="shared" si="61"/>
        <v>0</v>
      </c>
      <c r="AH352" s="8" t="str">
        <f t="array" ref="AH352">IF(AG352&gt;5,"Perlu Sensus",IF(AND(AG352&gt;=0,AD352&gt;0),"Tetap Deteksi","Belum Deteksi"))</f>
        <v>Belum Deteksi</v>
      </c>
      <c r="AI352" s="143"/>
      <c r="AJ352" s="9">
        <f t="shared" si="62"/>
        <v>0</v>
      </c>
      <c r="AK352" s="11"/>
      <c r="AL352" s="143"/>
      <c r="AM352" s="143"/>
      <c r="AN352" s="9">
        <f t="shared" si="63"/>
        <v>0</v>
      </c>
      <c r="AO352" s="8" t="str">
        <f t="array" ref="AO352">IF(AN352&gt;5,"Perlu Sensus",IF(AND(AN352&gt;=0,AL352&gt;0),"Tetap Deteksi","Belum Deteksi"))</f>
        <v>Belum Deteksi</v>
      </c>
      <c r="AP352" s="143"/>
      <c r="AQ352" s="9">
        <f t="shared" si="64"/>
        <v>0</v>
      </c>
    </row>
    <row r="353" spans="1:43" x14ac:dyDescent="0.15">
      <c r="A353" s="8" t="s">
        <v>1739</v>
      </c>
      <c r="B353" s="8" t="s">
        <v>14</v>
      </c>
      <c r="C353" s="8" t="s">
        <v>380</v>
      </c>
      <c r="D353" s="8" t="s">
        <v>1217</v>
      </c>
      <c r="E353" s="9">
        <v>31.11</v>
      </c>
      <c r="F353" s="8" t="s">
        <v>1740</v>
      </c>
      <c r="G353" s="10">
        <v>4510</v>
      </c>
      <c r="H353" s="11">
        <f t="array" ref="H353">IF(OR(N353&gt;0,AC353&gt;0),MAX(N353,AC353),MAX(AK353,V353))</f>
        <v>46247</v>
      </c>
      <c r="I353" s="143">
        <f t="array" ref="I353">IF(SUM(O353,AD353)&gt;0,SUM(O353,AD353),SUM(AL353,W353))</f>
        <v>85</v>
      </c>
      <c r="J353" s="9">
        <f t="shared" si="55"/>
        <v>1.8847006651884701</v>
      </c>
      <c r="K353" s="143">
        <f t="shared" si="65"/>
        <v>1</v>
      </c>
      <c r="L353" s="9">
        <f t="shared" si="56"/>
        <v>1.1764705882352942</v>
      </c>
      <c r="M353" s="8" t="str">
        <f t="array" ref="M353">IF(L353&gt;5,"Perlu Sensus",IF(AND(L353&gt;=0,I353&gt;0),"Tetap Deteksi","Belum Deteksi"))</f>
        <v>Tetap Deteksi</v>
      </c>
      <c r="N353" s="11">
        <v>46247</v>
      </c>
      <c r="O353" s="143">
        <v>85</v>
      </c>
      <c r="P353" s="9">
        <f t="array" ref="P353">IFERROR(O353/$G353*100,0)</f>
        <v>1.8847006651884701</v>
      </c>
      <c r="Q353" s="143">
        <v>1</v>
      </c>
      <c r="R353" s="9">
        <f t="shared" si="57"/>
        <v>1.1764705882352942</v>
      </c>
      <c r="S353" s="8" t="str">
        <f t="array" ref="S353">IF(R353&gt;5,"Perlu Sensus",IF(AND(R353&gt;=0,O353&gt;0),"Tetap Deteksi","Belum Deteksi"))</f>
        <v>Tetap Deteksi</v>
      </c>
      <c r="T353" s="143">
        <v>4</v>
      </c>
      <c r="U353" s="9">
        <f t="shared" si="58"/>
        <v>4.7058823529411766</v>
      </c>
      <c r="V353" s="132">
        <v>46249</v>
      </c>
      <c r="W353" s="143">
        <v>438</v>
      </c>
      <c r="X353" s="143">
        <v>10</v>
      </c>
      <c r="Y353" s="9">
        <f t="shared" si="59"/>
        <v>2.2831050228310499</v>
      </c>
      <c r="Z353" s="8" t="str">
        <f t="array" ref="Z353">IF(Y353&gt;5,"Perlu Sensus",IF(AND(Y353&gt;=0,W353&gt;0),"Tetap Deteksi","Belum Deteksi"))</f>
        <v>Tetap Deteksi</v>
      </c>
      <c r="AA353" s="143">
        <v>31</v>
      </c>
      <c r="AB353" s="9">
        <f t="shared" si="60"/>
        <v>7.077625570776255</v>
      </c>
      <c r="AC353" s="11"/>
      <c r="AD353" s="143"/>
      <c r="AE353" s="9">
        <f t="array" ref="AE353">IFERROR(AD353/$G353*100,0)</f>
        <v>0</v>
      </c>
      <c r="AF353" s="143"/>
      <c r="AG353" s="9">
        <f t="shared" si="61"/>
        <v>0</v>
      </c>
      <c r="AH353" s="8" t="str">
        <f t="array" ref="AH353">IF(AG353&gt;5,"Perlu Sensus",IF(AND(AG353&gt;=0,AD353&gt;0),"Tetap Deteksi","Belum Deteksi"))</f>
        <v>Belum Deteksi</v>
      </c>
      <c r="AI353" s="143"/>
      <c r="AJ353" s="9">
        <f t="shared" si="62"/>
        <v>0</v>
      </c>
      <c r="AK353" s="11"/>
      <c r="AL353" s="143"/>
      <c r="AM353" s="143"/>
      <c r="AN353" s="9">
        <f t="shared" si="63"/>
        <v>0</v>
      </c>
      <c r="AO353" s="8" t="str">
        <f t="array" ref="AO353">IF(AN353&gt;5,"Perlu Sensus",IF(AND(AN353&gt;=0,AL353&gt;0),"Tetap Deteksi","Belum Deteksi"))</f>
        <v>Belum Deteksi</v>
      </c>
      <c r="AP353" s="143"/>
      <c r="AQ353" s="9">
        <f t="shared" si="64"/>
        <v>0</v>
      </c>
    </row>
    <row r="354" spans="1:43" x14ac:dyDescent="0.15">
      <c r="A354" s="8" t="s">
        <v>1739</v>
      </c>
      <c r="B354" s="8" t="s">
        <v>14</v>
      </c>
      <c r="C354" s="8" t="s">
        <v>380</v>
      </c>
      <c r="D354" s="8" t="s">
        <v>1218</v>
      </c>
      <c r="E354" s="9">
        <v>30.66</v>
      </c>
      <c r="F354" s="8" t="s">
        <v>1740</v>
      </c>
      <c r="G354" s="10">
        <v>4017</v>
      </c>
      <c r="H354" s="11">
        <f t="array" ref="H354">IF(OR(N354&gt;0,AC354&gt;0),MAX(N354,AC354),MAX(AK354,V354))</f>
        <v>46247</v>
      </c>
      <c r="I354" s="143">
        <f t="array" ref="I354">IF(SUM(O354,AD354)&gt;0,SUM(O354,AD354),SUM(AL354,W354))</f>
        <v>67</v>
      </c>
      <c r="J354" s="9">
        <f t="shared" si="55"/>
        <v>1.6679113766492406</v>
      </c>
      <c r="K354" s="143">
        <f t="shared" si="65"/>
        <v>2</v>
      </c>
      <c r="L354" s="9">
        <f t="shared" si="56"/>
        <v>2.9850746268656714</v>
      </c>
      <c r="M354" s="8" t="str">
        <f t="array" ref="M354">IF(L354&gt;5,"Perlu Sensus",IF(AND(L354&gt;=0,I354&gt;0),"Tetap Deteksi","Belum Deteksi"))</f>
        <v>Tetap Deteksi</v>
      </c>
      <c r="N354" s="11">
        <v>46247</v>
      </c>
      <c r="O354" s="143">
        <v>67</v>
      </c>
      <c r="P354" s="9">
        <f t="array" ref="P354">IFERROR(O354/$G354*100,0)</f>
        <v>1.6679113766492406</v>
      </c>
      <c r="Q354" s="143">
        <v>2</v>
      </c>
      <c r="R354" s="9">
        <f t="shared" si="57"/>
        <v>2.9850746268656714</v>
      </c>
      <c r="S354" s="8" t="str">
        <f t="array" ref="S354">IF(R354&gt;5,"Perlu Sensus",IF(AND(R354&gt;=0,O354&gt;0),"Tetap Deteksi","Belum Deteksi"))</f>
        <v>Tetap Deteksi</v>
      </c>
      <c r="T354" s="143">
        <v>6</v>
      </c>
      <c r="U354" s="9">
        <f t="shared" si="58"/>
        <v>8.9552238805970141</v>
      </c>
      <c r="V354" s="132">
        <v>46249</v>
      </c>
      <c r="W354" s="143">
        <v>417</v>
      </c>
      <c r="X354" s="143">
        <v>12</v>
      </c>
      <c r="Y354" s="9">
        <f t="shared" si="59"/>
        <v>2.877697841726619</v>
      </c>
      <c r="Z354" s="8" t="str">
        <f t="array" ref="Z354">IF(Y354&gt;5,"Perlu Sensus",IF(AND(Y354&gt;=0,W354&gt;0),"Tetap Deteksi","Belum Deteksi"))</f>
        <v>Tetap Deteksi</v>
      </c>
      <c r="AA354" s="143">
        <v>22</v>
      </c>
      <c r="AB354" s="9">
        <f t="shared" si="60"/>
        <v>5.275779376498801</v>
      </c>
      <c r="AC354" s="11"/>
      <c r="AD354" s="143"/>
      <c r="AE354" s="9">
        <f t="array" ref="AE354">IFERROR(AD354/$G354*100,0)</f>
        <v>0</v>
      </c>
      <c r="AF354" s="143"/>
      <c r="AG354" s="9">
        <f t="shared" si="61"/>
        <v>0</v>
      </c>
      <c r="AH354" s="8" t="str">
        <f t="array" ref="AH354">IF(AG354&gt;5,"Perlu Sensus",IF(AND(AG354&gt;=0,AD354&gt;0),"Tetap Deteksi","Belum Deteksi"))</f>
        <v>Belum Deteksi</v>
      </c>
      <c r="AI354" s="143"/>
      <c r="AJ354" s="9">
        <f t="shared" si="62"/>
        <v>0</v>
      </c>
      <c r="AK354" s="11"/>
      <c r="AL354" s="143"/>
      <c r="AM354" s="143"/>
      <c r="AN354" s="9">
        <f t="shared" si="63"/>
        <v>0</v>
      </c>
      <c r="AO354" s="8" t="str">
        <f t="array" ref="AO354">IF(AN354&gt;5,"Perlu Sensus",IF(AND(AN354&gt;=0,AL354&gt;0),"Tetap Deteksi","Belum Deteksi"))</f>
        <v>Belum Deteksi</v>
      </c>
      <c r="AP354" s="143"/>
      <c r="AQ354" s="9">
        <f t="shared" si="64"/>
        <v>0</v>
      </c>
    </row>
    <row r="355" spans="1:43" x14ac:dyDescent="0.15">
      <c r="A355" s="8" t="s">
        <v>1739</v>
      </c>
      <c r="B355" s="8" t="s">
        <v>14</v>
      </c>
      <c r="C355" s="8" t="s">
        <v>380</v>
      </c>
      <c r="D355" s="8" t="s">
        <v>1219</v>
      </c>
      <c r="E355" s="9">
        <v>31.03</v>
      </c>
      <c r="F355" s="8" t="s">
        <v>1740</v>
      </c>
      <c r="G355" s="10">
        <v>4134</v>
      </c>
      <c r="H355" s="11">
        <f t="array" ref="H355">IF(OR(N355&gt;0,AC355&gt;0),MAX(N355,AC355),MAX(AK355,V355))</f>
        <v>46248</v>
      </c>
      <c r="I355" s="143">
        <f t="array" ref="I355">IF(SUM(O355,AD355)&gt;0,SUM(O355,AD355),SUM(AL355,W355))</f>
        <v>86</v>
      </c>
      <c r="J355" s="9">
        <f t="shared" si="55"/>
        <v>2.0803096274794388</v>
      </c>
      <c r="K355" s="143">
        <f t="shared" si="65"/>
        <v>1</v>
      </c>
      <c r="L355" s="9">
        <f t="shared" si="56"/>
        <v>1.1627906976744187</v>
      </c>
      <c r="M355" s="8" t="str">
        <f t="array" ref="M355">IF(L355&gt;5,"Perlu Sensus",IF(AND(L355&gt;=0,I355&gt;0),"Tetap Deteksi","Belum Deteksi"))</f>
        <v>Tetap Deteksi</v>
      </c>
      <c r="N355" s="11">
        <v>46248</v>
      </c>
      <c r="O355" s="143">
        <v>86</v>
      </c>
      <c r="P355" s="9">
        <f t="array" ref="P355">IFERROR(O355/$G355*100,0)</f>
        <v>2.0803096274794388</v>
      </c>
      <c r="Q355" s="143">
        <v>1</v>
      </c>
      <c r="R355" s="9">
        <f t="shared" si="57"/>
        <v>1.1627906976744187</v>
      </c>
      <c r="S355" s="8" t="str">
        <f t="array" ref="S355">IF(R355&gt;5,"Perlu Sensus",IF(AND(R355&gt;=0,O355&gt;0),"Tetap Deteksi","Belum Deteksi"))</f>
        <v>Tetap Deteksi</v>
      </c>
      <c r="T355" s="143">
        <v>6</v>
      </c>
      <c r="U355" s="9">
        <f t="shared" si="58"/>
        <v>6.9767441860465116</v>
      </c>
      <c r="V355" s="132">
        <v>46249</v>
      </c>
      <c r="W355" s="143">
        <v>337</v>
      </c>
      <c r="X355" s="143">
        <v>9</v>
      </c>
      <c r="Y355" s="9">
        <f t="shared" si="59"/>
        <v>2.6706231454005933</v>
      </c>
      <c r="Z355" s="8" t="str">
        <f t="array" ref="Z355">IF(Y355&gt;5,"Perlu Sensus",IF(AND(Y355&gt;=0,W355&gt;0),"Tetap Deteksi","Belum Deteksi"))</f>
        <v>Tetap Deteksi</v>
      </c>
      <c r="AA355" s="143">
        <v>12</v>
      </c>
      <c r="AB355" s="9">
        <f t="shared" si="60"/>
        <v>3.5608308605341246</v>
      </c>
      <c r="AC355" s="11"/>
      <c r="AD355" s="143"/>
      <c r="AE355" s="9">
        <f t="array" ref="AE355">IFERROR(AD355/$G355*100,0)</f>
        <v>0</v>
      </c>
      <c r="AF355" s="143"/>
      <c r="AG355" s="9">
        <f t="shared" si="61"/>
        <v>0</v>
      </c>
      <c r="AH355" s="8" t="str">
        <f t="array" ref="AH355">IF(AG355&gt;5,"Perlu Sensus",IF(AND(AG355&gt;=0,AD355&gt;0),"Tetap Deteksi","Belum Deteksi"))</f>
        <v>Belum Deteksi</v>
      </c>
      <c r="AI355" s="143"/>
      <c r="AJ355" s="9">
        <f t="shared" si="62"/>
        <v>0</v>
      </c>
      <c r="AK355" s="11"/>
      <c r="AL355" s="143"/>
      <c r="AM355" s="143"/>
      <c r="AN355" s="9">
        <f t="shared" si="63"/>
        <v>0</v>
      </c>
      <c r="AO355" s="8" t="str">
        <f t="array" ref="AO355">IF(AN355&gt;5,"Perlu Sensus",IF(AND(AN355&gt;=0,AL355&gt;0),"Tetap Deteksi","Belum Deteksi"))</f>
        <v>Belum Deteksi</v>
      </c>
      <c r="AP355" s="143"/>
      <c r="AQ355" s="9">
        <f t="shared" si="64"/>
        <v>0</v>
      </c>
    </row>
    <row r="356" spans="1:43" x14ac:dyDescent="0.15">
      <c r="A356" s="8" t="s">
        <v>1739</v>
      </c>
      <c r="B356" s="8" t="s">
        <v>14</v>
      </c>
      <c r="C356" s="8" t="s">
        <v>380</v>
      </c>
      <c r="D356" s="8" t="s">
        <v>1220</v>
      </c>
      <c r="E356" s="9">
        <v>27.62</v>
      </c>
      <c r="F356" s="8" t="s">
        <v>1740</v>
      </c>
      <c r="G356" s="10">
        <v>3602</v>
      </c>
      <c r="H356" s="11">
        <f t="array" ref="H356">IF(OR(N356&gt;0,AC356&gt;0),MAX(N356,AC356),MAX(AK356,V356))</f>
        <v>46248</v>
      </c>
      <c r="I356" s="143">
        <f t="array" ref="I356">IF(SUM(O356,AD356)&gt;0,SUM(O356,AD356),SUM(AL356,W356))</f>
        <v>75</v>
      </c>
      <c r="J356" s="9">
        <f t="shared" si="55"/>
        <v>2.0821765685730149</v>
      </c>
      <c r="K356" s="143">
        <f t="shared" si="65"/>
        <v>2</v>
      </c>
      <c r="L356" s="9">
        <f t="shared" si="56"/>
        <v>2.666666666666667</v>
      </c>
      <c r="M356" s="8" t="str">
        <f t="array" ref="M356">IF(L356&gt;5,"Perlu Sensus",IF(AND(L356&gt;=0,I356&gt;0),"Tetap Deteksi","Belum Deteksi"))</f>
        <v>Tetap Deteksi</v>
      </c>
      <c r="N356" s="11">
        <v>46248</v>
      </c>
      <c r="O356" s="143">
        <v>75</v>
      </c>
      <c r="P356" s="9">
        <f t="array" ref="P356">IFERROR(O356/$G356*100,0)</f>
        <v>2.0821765685730149</v>
      </c>
      <c r="Q356" s="143">
        <v>2</v>
      </c>
      <c r="R356" s="9">
        <f t="shared" si="57"/>
        <v>2.666666666666667</v>
      </c>
      <c r="S356" s="8" t="str">
        <f t="array" ref="S356">IF(R356&gt;5,"Perlu Sensus",IF(AND(R356&gt;=0,O356&gt;0),"Tetap Deteksi","Belum Deteksi"))</f>
        <v>Tetap Deteksi</v>
      </c>
      <c r="T356" s="143">
        <v>4</v>
      </c>
      <c r="U356" s="9">
        <f t="shared" si="58"/>
        <v>5.3333333333333339</v>
      </c>
      <c r="V356" s="132">
        <v>46249</v>
      </c>
      <c r="W356" s="143">
        <v>346</v>
      </c>
      <c r="X356" s="143">
        <v>11</v>
      </c>
      <c r="Y356" s="9">
        <f t="shared" si="59"/>
        <v>3.1791907514450863</v>
      </c>
      <c r="Z356" s="8" t="str">
        <f t="array" ref="Z356">IF(Y356&gt;5,"Perlu Sensus",IF(AND(Y356&gt;=0,W356&gt;0),"Tetap Deteksi","Belum Deteksi"))</f>
        <v>Tetap Deteksi</v>
      </c>
      <c r="AA356" s="143">
        <v>15</v>
      </c>
      <c r="AB356" s="9">
        <f t="shared" si="60"/>
        <v>4.3352601156069364</v>
      </c>
      <c r="AC356" s="11"/>
      <c r="AD356" s="143"/>
      <c r="AE356" s="9">
        <f t="array" ref="AE356">IFERROR(AD356/$G356*100,0)</f>
        <v>0</v>
      </c>
      <c r="AF356" s="143"/>
      <c r="AG356" s="9">
        <f t="shared" si="61"/>
        <v>0</v>
      </c>
      <c r="AH356" s="8" t="str">
        <f t="array" ref="AH356">IF(AG356&gt;5,"Perlu Sensus",IF(AND(AG356&gt;=0,AD356&gt;0),"Tetap Deteksi","Belum Deteksi"))</f>
        <v>Belum Deteksi</v>
      </c>
      <c r="AI356" s="143"/>
      <c r="AJ356" s="9">
        <f t="shared" si="62"/>
        <v>0</v>
      </c>
      <c r="AK356" s="11"/>
      <c r="AL356" s="143"/>
      <c r="AM356" s="143"/>
      <c r="AN356" s="9">
        <f t="shared" si="63"/>
        <v>0</v>
      </c>
      <c r="AO356" s="8" t="str">
        <f t="array" ref="AO356">IF(AN356&gt;5,"Perlu Sensus",IF(AND(AN356&gt;=0,AL356&gt;0),"Tetap Deteksi","Belum Deteksi"))</f>
        <v>Belum Deteksi</v>
      </c>
      <c r="AP356" s="143"/>
      <c r="AQ356" s="9">
        <f t="shared" si="64"/>
        <v>0</v>
      </c>
    </row>
    <row r="357" spans="1:43" x14ac:dyDescent="0.15">
      <c r="A357" s="8" t="s">
        <v>1739</v>
      </c>
      <c r="B357" s="8" t="s">
        <v>14</v>
      </c>
      <c r="C357" s="8" t="s">
        <v>380</v>
      </c>
      <c r="D357" s="8" t="s">
        <v>1221</v>
      </c>
      <c r="E357" s="9">
        <v>26.77</v>
      </c>
      <c r="F357" s="8" t="s">
        <v>1740</v>
      </c>
      <c r="G357" s="10">
        <v>3731</v>
      </c>
      <c r="H357" s="11">
        <f t="array" ref="H357">IF(OR(N357&gt;0,AC357&gt;0),MAX(N357,AC357),MAX(AK357,V357))</f>
        <v>46249</v>
      </c>
      <c r="I357" s="143">
        <f t="array" ref="I357">IF(SUM(O357,AD357)&gt;0,SUM(O357,AD357),SUM(AL357,W357))</f>
        <v>65</v>
      </c>
      <c r="J357" s="9">
        <f t="shared" si="55"/>
        <v>1.7421602787456445</v>
      </c>
      <c r="K357" s="143">
        <f t="shared" si="65"/>
        <v>2</v>
      </c>
      <c r="L357" s="9">
        <f t="shared" si="56"/>
        <v>3.0769230769230771</v>
      </c>
      <c r="M357" s="8" t="str">
        <f t="array" ref="M357">IF(L357&gt;5,"Perlu Sensus",IF(AND(L357&gt;=0,I357&gt;0),"Tetap Deteksi","Belum Deteksi"))</f>
        <v>Tetap Deteksi</v>
      </c>
      <c r="N357" s="11">
        <v>46249</v>
      </c>
      <c r="O357" s="143">
        <v>65</v>
      </c>
      <c r="P357" s="9">
        <f t="array" ref="P357">IFERROR(O357/$G357*100,0)</f>
        <v>1.7421602787456445</v>
      </c>
      <c r="Q357" s="143">
        <v>2</v>
      </c>
      <c r="R357" s="9">
        <f t="shared" si="57"/>
        <v>3.0769230769230771</v>
      </c>
      <c r="S357" s="8" t="str">
        <f t="array" ref="S357">IF(R357&gt;5,"Perlu Sensus",IF(AND(R357&gt;=0,O357&gt;0),"Tetap Deteksi","Belum Deteksi"))</f>
        <v>Tetap Deteksi</v>
      </c>
      <c r="T357" s="143">
        <v>5</v>
      </c>
      <c r="U357" s="9">
        <f t="shared" si="58"/>
        <v>7.6923076923076925</v>
      </c>
      <c r="V357" s="132">
        <v>46249</v>
      </c>
      <c r="W357" s="143">
        <v>362</v>
      </c>
      <c r="X357" s="143">
        <v>11</v>
      </c>
      <c r="Y357" s="9">
        <f t="shared" si="59"/>
        <v>3.0386740331491713</v>
      </c>
      <c r="Z357" s="8" t="str">
        <f t="array" ref="Z357">IF(Y357&gt;5,"Perlu Sensus",IF(AND(Y357&gt;=0,W357&gt;0),"Tetap Deteksi","Belum Deteksi"))</f>
        <v>Tetap Deteksi</v>
      </c>
      <c r="AA357" s="143">
        <v>27</v>
      </c>
      <c r="AB357" s="9">
        <f t="shared" si="60"/>
        <v>7.4585635359116029</v>
      </c>
      <c r="AC357" s="11"/>
      <c r="AD357" s="143"/>
      <c r="AE357" s="9">
        <f t="array" ref="AE357">IFERROR(AD357/$G357*100,0)</f>
        <v>0</v>
      </c>
      <c r="AF357" s="143"/>
      <c r="AG357" s="9">
        <f t="shared" si="61"/>
        <v>0</v>
      </c>
      <c r="AH357" s="8" t="str">
        <f t="array" ref="AH357">IF(AG357&gt;5,"Perlu Sensus",IF(AND(AG357&gt;=0,AD357&gt;0),"Tetap Deteksi","Belum Deteksi"))</f>
        <v>Belum Deteksi</v>
      </c>
      <c r="AI357" s="143"/>
      <c r="AJ357" s="9">
        <f t="shared" si="62"/>
        <v>0</v>
      </c>
      <c r="AK357" s="11"/>
      <c r="AL357" s="143"/>
      <c r="AM357" s="143"/>
      <c r="AN357" s="9">
        <f t="shared" si="63"/>
        <v>0</v>
      </c>
      <c r="AO357" s="8" t="str">
        <f t="array" ref="AO357">IF(AN357&gt;5,"Perlu Sensus",IF(AND(AN357&gt;=0,AL357&gt;0),"Tetap Deteksi","Belum Deteksi"))</f>
        <v>Belum Deteksi</v>
      </c>
      <c r="AP357" s="143"/>
      <c r="AQ357" s="9">
        <f t="shared" si="64"/>
        <v>0</v>
      </c>
    </row>
    <row r="358" spans="1:43" x14ac:dyDescent="0.15">
      <c r="A358" s="8" t="s">
        <v>1739</v>
      </c>
      <c r="B358" s="8" t="s">
        <v>14</v>
      </c>
      <c r="C358" s="8" t="s">
        <v>380</v>
      </c>
      <c r="D358" s="8" t="s">
        <v>1222</v>
      </c>
      <c r="E358" s="9">
        <v>36.31</v>
      </c>
      <c r="F358" s="8" t="s">
        <v>1740</v>
      </c>
      <c r="G358" s="10">
        <v>5204</v>
      </c>
      <c r="H358" s="11">
        <f t="array" ref="H358">IF(OR(N358&gt;0,AC358&gt;0),MAX(N358,AC358),MAX(AK358,V358))</f>
        <v>46249</v>
      </c>
      <c r="I358" s="143">
        <f t="array" ref="I358">IF(SUM(O358,AD358)&gt;0,SUM(O358,AD358),SUM(AL358,W358))</f>
        <v>85</v>
      </c>
      <c r="J358" s="9">
        <f t="shared" si="55"/>
        <v>1.6333589546502689</v>
      </c>
      <c r="K358" s="143">
        <f t="shared" si="65"/>
        <v>1</v>
      </c>
      <c r="L358" s="9">
        <f t="shared" si="56"/>
        <v>1.1764705882352942</v>
      </c>
      <c r="M358" s="8" t="str">
        <f t="array" ref="M358">IF(L358&gt;5,"Perlu Sensus",IF(AND(L358&gt;=0,I358&gt;0),"Tetap Deteksi","Belum Deteksi"))</f>
        <v>Tetap Deteksi</v>
      </c>
      <c r="N358" s="11">
        <v>46249</v>
      </c>
      <c r="O358" s="143">
        <v>85</v>
      </c>
      <c r="P358" s="9">
        <f t="array" ref="P358">IFERROR(O358/$G358*100,0)</f>
        <v>1.6333589546502689</v>
      </c>
      <c r="Q358" s="143">
        <v>1</v>
      </c>
      <c r="R358" s="9">
        <f t="shared" si="57"/>
        <v>1.1764705882352942</v>
      </c>
      <c r="S358" s="8" t="str">
        <f t="array" ref="S358">IF(R358&gt;5,"Perlu Sensus",IF(AND(R358&gt;=0,O358&gt;0),"Tetap Deteksi","Belum Deteksi"))</f>
        <v>Tetap Deteksi</v>
      </c>
      <c r="T358" s="143">
        <v>7</v>
      </c>
      <c r="U358" s="9">
        <f t="shared" si="58"/>
        <v>8.235294117647058</v>
      </c>
      <c r="V358" s="132">
        <v>46249</v>
      </c>
      <c r="W358" s="143">
        <v>244</v>
      </c>
      <c r="X358" s="143">
        <v>7</v>
      </c>
      <c r="Y358" s="9">
        <f t="shared" si="59"/>
        <v>2.8688524590163933</v>
      </c>
      <c r="Z358" s="8" t="str">
        <f t="array" ref="Z358">IF(Y358&gt;5,"Perlu Sensus",IF(AND(Y358&gt;=0,W358&gt;0),"Tetap Deteksi","Belum Deteksi"))</f>
        <v>Tetap Deteksi</v>
      </c>
      <c r="AA358" s="143">
        <v>27</v>
      </c>
      <c r="AB358" s="9">
        <f t="shared" si="60"/>
        <v>11.065573770491802</v>
      </c>
      <c r="AC358" s="11"/>
      <c r="AD358" s="143"/>
      <c r="AE358" s="9">
        <f t="array" ref="AE358">IFERROR(AD358/$G358*100,0)</f>
        <v>0</v>
      </c>
      <c r="AF358" s="143"/>
      <c r="AG358" s="9">
        <f t="shared" si="61"/>
        <v>0</v>
      </c>
      <c r="AH358" s="8" t="str">
        <f t="array" ref="AH358">IF(AG358&gt;5,"Perlu Sensus",IF(AND(AG358&gt;=0,AD358&gt;0),"Tetap Deteksi","Belum Deteksi"))</f>
        <v>Belum Deteksi</v>
      </c>
      <c r="AI358" s="143"/>
      <c r="AJ358" s="9">
        <f t="shared" si="62"/>
        <v>0</v>
      </c>
      <c r="AK358" s="11"/>
      <c r="AL358" s="143"/>
      <c r="AM358" s="143"/>
      <c r="AN358" s="9">
        <f t="shared" si="63"/>
        <v>0</v>
      </c>
      <c r="AO358" s="8" t="str">
        <f t="array" ref="AO358">IF(AN358&gt;5,"Perlu Sensus",IF(AND(AN358&gt;=0,AL358&gt;0),"Tetap Deteksi","Belum Deteksi"))</f>
        <v>Belum Deteksi</v>
      </c>
      <c r="AP358" s="143"/>
      <c r="AQ358" s="9">
        <f t="shared" si="64"/>
        <v>0</v>
      </c>
    </row>
    <row r="359" spans="1:43" x14ac:dyDescent="0.15">
      <c r="A359" s="8" t="s">
        <v>1739</v>
      </c>
      <c r="B359" s="8" t="s">
        <v>14</v>
      </c>
      <c r="C359" s="8" t="s">
        <v>380</v>
      </c>
      <c r="D359" s="8" t="s">
        <v>1223</v>
      </c>
      <c r="E359" s="9">
        <v>22.3</v>
      </c>
      <c r="F359" s="8" t="s">
        <v>1740</v>
      </c>
      <c r="G359" s="10">
        <v>3119</v>
      </c>
      <c r="H359" s="11">
        <f t="array" ref="H359">IF(OR(N359&gt;0,AC359&gt;0),MAX(N359,AC359),MAX(AK359,V359))</f>
        <v>46249</v>
      </c>
      <c r="I359" s="143">
        <f t="array" ref="I359">IF(SUM(O359,AD359)&gt;0,SUM(O359,AD359),SUM(AL359,W359))</f>
        <v>115</v>
      </c>
      <c r="J359" s="9">
        <f t="shared" si="55"/>
        <v>3.687079192048734</v>
      </c>
      <c r="K359" s="143">
        <f t="shared" si="65"/>
        <v>2</v>
      </c>
      <c r="L359" s="9">
        <f t="shared" si="56"/>
        <v>1.7391304347826086</v>
      </c>
      <c r="M359" s="8" t="str">
        <f t="array" ref="M359">IF(L359&gt;5,"Perlu Sensus",IF(AND(L359&gt;=0,I359&gt;0),"Tetap Deteksi","Belum Deteksi"))</f>
        <v>Tetap Deteksi</v>
      </c>
      <c r="N359" s="11">
        <v>46249</v>
      </c>
      <c r="O359" s="143">
        <v>115</v>
      </c>
      <c r="P359" s="9">
        <f t="array" ref="P359">IFERROR(O359/$G359*100,0)</f>
        <v>3.687079192048734</v>
      </c>
      <c r="Q359" s="143">
        <v>2</v>
      </c>
      <c r="R359" s="9">
        <f t="shared" si="57"/>
        <v>1.7391304347826086</v>
      </c>
      <c r="S359" s="8" t="str">
        <f t="array" ref="S359">IF(R359&gt;5,"Perlu Sensus",IF(AND(R359&gt;=0,O359&gt;0),"Tetap Deteksi","Belum Deteksi"))</f>
        <v>Tetap Deteksi</v>
      </c>
      <c r="T359" s="143">
        <v>4</v>
      </c>
      <c r="U359" s="9">
        <f t="shared" si="58"/>
        <v>3.4782608695652173</v>
      </c>
      <c r="V359" s="132">
        <v>46249</v>
      </c>
      <c r="W359" s="143">
        <v>307</v>
      </c>
      <c r="X359" s="143">
        <v>7</v>
      </c>
      <c r="Y359" s="9">
        <f t="shared" si="59"/>
        <v>2.2801302931596092</v>
      </c>
      <c r="Z359" s="8" t="str">
        <f t="array" ref="Z359">IF(Y359&gt;5,"Perlu Sensus",IF(AND(Y359&gt;=0,W359&gt;0),"Tetap Deteksi","Belum Deteksi"))</f>
        <v>Tetap Deteksi</v>
      </c>
      <c r="AA359" s="143">
        <v>35</v>
      </c>
      <c r="AB359" s="9">
        <f t="shared" si="60"/>
        <v>11.400651465798045</v>
      </c>
      <c r="AC359" s="11"/>
      <c r="AD359" s="143"/>
      <c r="AE359" s="9">
        <f t="array" ref="AE359">IFERROR(AD359/$G359*100,0)</f>
        <v>0</v>
      </c>
      <c r="AF359" s="143"/>
      <c r="AG359" s="9">
        <f t="shared" si="61"/>
        <v>0</v>
      </c>
      <c r="AH359" s="8" t="str">
        <f t="array" ref="AH359">IF(AG359&gt;5,"Perlu Sensus",IF(AND(AG359&gt;=0,AD359&gt;0),"Tetap Deteksi","Belum Deteksi"))</f>
        <v>Belum Deteksi</v>
      </c>
      <c r="AI359" s="143"/>
      <c r="AJ359" s="9">
        <f t="shared" si="62"/>
        <v>0</v>
      </c>
      <c r="AK359" s="11"/>
      <c r="AL359" s="143"/>
      <c r="AM359" s="143"/>
      <c r="AN359" s="9">
        <f t="shared" si="63"/>
        <v>0</v>
      </c>
      <c r="AO359" s="8" t="str">
        <f t="array" ref="AO359">IF(AN359&gt;5,"Perlu Sensus",IF(AND(AN359&gt;=0,AL359&gt;0),"Tetap Deteksi","Belum Deteksi"))</f>
        <v>Belum Deteksi</v>
      </c>
      <c r="AP359" s="143"/>
      <c r="AQ359" s="9">
        <f t="shared" si="64"/>
        <v>0</v>
      </c>
    </row>
    <row r="360" spans="1:43" x14ac:dyDescent="0.15">
      <c r="A360" s="8" t="s">
        <v>1739</v>
      </c>
      <c r="B360" s="8" t="s">
        <v>14</v>
      </c>
      <c r="C360" s="8" t="s">
        <v>380</v>
      </c>
      <c r="D360" s="8" t="s">
        <v>1224</v>
      </c>
      <c r="E360" s="9">
        <v>25.53</v>
      </c>
      <c r="F360" s="8" t="s">
        <v>1740</v>
      </c>
      <c r="G360" s="10">
        <v>3344</v>
      </c>
      <c r="H360" s="11">
        <f t="array" ref="H360">IF(OR(N360&gt;0,AC360&gt;0),MAX(N360,AC360),MAX(AK360,V360))</f>
        <v>46249</v>
      </c>
      <c r="I360" s="143">
        <f t="array" ref="I360">IF(SUM(O360,AD360)&gt;0,SUM(O360,AD360),SUM(AL360,W360))</f>
        <v>90</v>
      </c>
      <c r="J360" s="9">
        <f t="shared" si="55"/>
        <v>2.6913875598086126</v>
      </c>
      <c r="K360" s="143">
        <f t="shared" si="65"/>
        <v>1</v>
      </c>
      <c r="L360" s="9">
        <f t="shared" si="56"/>
        <v>1.1111111111111112</v>
      </c>
      <c r="M360" s="8" t="str">
        <f t="array" ref="M360">IF(L360&gt;5,"Perlu Sensus",IF(AND(L360&gt;=0,I360&gt;0),"Tetap Deteksi","Belum Deteksi"))</f>
        <v>Tetap Deteksi</v>
      </c>
      <c r="N360" s="11">
        <v>46249</v>
      </c>
      <c r="O360" s="143">
        <v>90</v>
      </c>
      <c r="P360" s="9">
        <f t="array" ref="P360">IFERROR(O360/$G360*100,0)</f>
        <v>2.6913875598086126</v>
      </c>
      <c r="Q360" s="143">
        <v>1</v>
      </c>
      <c r="R360" s="9">
        <f t="shared" si="57"/>
        <v>1.1111111111111112</v>
      </c>
      <c r="S360" s="8" t="str">
        <f t="array" ref="S360">IF(R360&gt;5,"Perlu Sensus",IF(AND(R360&gt;=0,O360&gt;0),"Tetap Deteksi","Belum Deteksi"))</f>
        <v>Tetap Deteksi</v>
      </c>
      <c r="T360" s="143">
        <v>3</v>
      </c>
      <c r="U360" s="9">
        <f t="shared" si="58"/>
        <v>3.3333333333333335</v>
      </c>
      <c r="V360" s="132">
        <v>46249</v>
      </c>
      <c r="W360" s="143">
        <v>341</v>
      </c>
      <c r="X360" s="143">
        <v>9</v>
      </c>
      <c r="Y360" s="9">
        <f t="shared" si="59"/>
        <v>2.6392961876832843</v>
      </c>
      <c r="Z360" s="8" t="str">
        <f t="array" ref="Z360">IF(Y360&gt;5,"Perlu Sensus",IF(AND(Y360&gt;=0,W360&gt;0),"Tetap Deteksi","Belum Deteksi"))</f>
        <v>Tetap Deteksi</v>
      </c>
      <c r="AA360" s="143">
        <v>17</v>
      </c>
      <c r="AB360" s="9">
        <f t="shared" si="60"/>
        <v>4.9853372434017595</v>
      </c>
      <c r="AC360" s="11"/>
      <c r="AD360" s="143"/>
      <c r="AE360" s="9">
        <f t="array" ref="AE360">IFERROR(AD360/$G360*100,0)</f>
        <v>0</v>
      </c>
      <c r="AF360" s="143"/>
      <c r="AG360" s="9">
        <f t="shared" si="61"/>
        <v>0</v>
      </c>
      <c r="AH360" s="8" t="str">
        <f t="array" ref="AH360">IF(AG360&gt;5,"Perlu Sensus",IF(AND(AG360&gt;=0,AD360&gt;0),"Tetap Deteksi","Belum Deteksi"))</f>
        <v>Belum Deteksi</v>
      </c>
      <c r="AI360" s="143"/>
      <c r="AJ360" s="9">
        <f t="shared" si="62"/>
        <v>0</v>
      </c>
      <c r="AK360" s="11"/>
      <c r="AL360" s="143"/>
      <c r="AM360" s="143"/>
      <c r="AN360" s="9">
        <f t="shared" si="63"/>
        <v>0</v>
      </c>
      <c r="AO360" s="8" t="str">
        <f t="array" ref="AO360">IF(AN360&gt;5,"Perlu Sensus",IF(AND(AN360&gt;=0,AL360&gt;0),"Tetap Deteksi","Belum Deteksi"))</f>
        <v>Belum Deteksi</v>
      </c>
      <c r="AP360" s="143"/>
      <c r="AQ360" s="9">
        <f t="shared" si="64"/>
        <v>0</v>
      </c>
    </row>
    <row r="361" spans="1:43" x14ac:dyDescent="0.15">
      <c r="A361" s="8" t="s">
        <v>1739</v>
      </c>
      <c r="B361" s="8" t="s">
        <v>14</v>
      </c>
      <c r="C361" s="8" t="s">
        <v>380</v>
      </c>
      <c r="D361" s="8" t="s">
        <v>1225</v>
      </c>
      <c r="E361" s="9">
        <v>28.66</v>
      </c>
      <c r="F361" s="8" t="s">
        <v>1740</v>
      </c>
      <c r="G361" s="10">
        <v>3428</v>
      </c>
      <c r="H361" s="11">
        <f t="array" ref="H361">IF(OR(N361&gt;0,AC361&gt;0),MAX(N361,AC361),MAX(AK361,V361))</f>
        <v>46248</v>
      </c>
      <c r="I361" s="143">
        <f t="array" ref="I361">IF(SUM(O361,AD361)&gt;0,SUM(O361,AD361),SUM(AL361,W361))</f>
        <v>95</v>
      </c>
      <c r="J361" s="9">
        <f t="shared" si="55"/>
        <v>2.7712952158693116</v>
      </c>
      <c r="K361" s="143">
        <f t="shared" si="65"/>
        <v>2</v>
      </c>
      <c r="L361" s="9">
        <f t="shared" si="56"/>
        <v>2.1052631578947367</v>
      </c>
      <c r="M361" s="8" t="str">
        <f t="array" ref="M361">IF(L361&gt;5,"Perlu Sensus",IF(AND(L361&gt;=0,I361&gt;0),"Tetap Deteksi","Belum Deteksi"))</f>
        <v>Tetap Deteksi</v>
      </c>
      <c r="N361" s="11">
        <v>46248</v>
      </c>
      <c r="O361" s="143">
        <v>95</v>
      </c>
      <c r="P361" s="9">
        <f t="array" ref="P361">IFERROR(O361/$G361*100,0)</f>
        <v>2.7712952158693116</v>
      </c>
      <c r="Q361" s="143">
        <v>2</v>
      </c>
      <c r="R361" s="9">
        <f t="shared" si="57"/>
        <v>2.1052631578947367</v>
      </c>
      <c r="S361" s="8" t="str">
        <f t="array" ref="S361">IF(R361&gt;5,"Perlu Sensus",IF(AND(R361&gt;=0,O361&gt;0),"Tetap Deteksi","Belum Deteksi"))</f>
        <v>Tetap Deteksi</v>
      </c>
      <c r="T361" s="143">
        <v>8</v>
      </c>
      <c r="U361" s="9">
        <f t="shared" si="58"/>
        <v>8.4210526315789469</v>
      </c>
      <c r="V361" s="132">
        <v>46249</v>
      </c>
      <c r="W361" s="143">
        <v>402</v>
      </c>
      <c r="X361" s="143">
        <v>9</v>
      </c>
      <c r="Y361" s="9">
        <f t="shared" si="59"/>
        <v>2.2388059701492535</v>
      </c>
      <c r="Z361" s="8" t="str">
        <f t="array" ref="Z361">IF(Y361&gt;5,"Perlu Sensus",IF(AND(Y361&gt;=0,W361&gt;0),"Tetap Deteksi","Belum Deteksi"))</f>
        <v>Tetap Deteksi</v>
      </c>
      <c r="AA361" s="143">
        <v>20</v>
      </c>
      <c r="AB361" s="9">
        <f t="shared" si="60"/>
        <v>4.9751243781094532</v>
      </c>
      <c r="AC361" s="11"/>
      <c r="AD361" s="143"/>
      <c r="AE361" s="9">
        <f t="array" ref="AE361">IFERROR(AD361/$G361*100,0)</f>
        <v>0</v>
      </c>
      <c r="AF361" s="143"/>
      <c r="AG361" s="9">
        <f t="shared" si="61"/>
        <v>0</v>
      </c>
      <c r="AH361" s="8" t="str">
        <f t="array" ref="AH361">IF(AG361&gt;5,"Perlu Sensus",IF(AND(AG361&gt;=0,AD361&gt;0),"Tetap Deteksi","Belum Deteksi"))</f>
        <v>Belum Deteksi</v>
      </c>
      <c r="AI361" s="143"/>
      <c r="AJ361" s="9">
        <f t="shared" si="62"/>
        <v>0</v>
      </c>
      <c r="AK361" s="11"/>
      <c r="AL361" s="143"/>
      <c r="AM361" s="143"/>
      <c r="AN361" s="9">
        <f t="shared" si="63"/>
        <v>0</v>
      </c>
      <c r="AO361" s="8" t="str">
        <f t="array" ref="AO361">IF(AN361&gt;5,"Perlu Sensus",IF(AND(AN361&gt;=0,AL361&gt;0),"Tetap Deteksi","Belum Deteksi"))</f>
        <v>Belum Deteksi</v>
      </c>
      <c r="AP361" s="143"/>
      <c r="AQ361" s="9">
        <f t="shared" si="64"/>
        <v>0</v>
      </c>
    </row>
    <row r="362" spans="1:43" x14ac:dyDescent="0.15">
      <c r="A362" s="8" t="s">
        <v>1739</v>
      </c>
      <c r="B362" s="8" t="s">
        <v>14</v>
      </c>
      <c r="C362" s="8" t="s">
        <v>380</v>
      </c>
      <c r="D362" s="8" t="s">
        <v>1226</v>
      </c>
      <c r="E362" s="9">
        <v>27.58</v>
      </c>
      <c r="F362" s="8" t="s">
        <v>1740</v>
      </c>
      <c r="G362" s="10">
        <v>3503</v>
      </c>
      <c r="H362" s="11">
        <f t="array" ref="H362">IF(OR(N362&gt;0,AC362&gt;0),MAX(N362,AC362),MAX(AK362,V362))</f>
        <v>46248</v>
      </c>
      <c r="I362" s="143">
        <f t="array" ref="I362">IF(SUM(O362,AD362)&gt;0,SUM(O362,AD362),SUM(AL362,W362))</f>
        <v>125</v>
      </c>
      <c r="J362" s="9">
        <f t="shared" si="55"/>
        <v>3.5683699685983443</v>
      </c>
      <c r="K362" s="143">
        <f t="shared" si="65"/>
        <v>3</v>
      </c>
      <c r="L362" s="9">
        <f t="shared" si="56"/>
        <v>2.4</v>
      </c>
      <c r="M362" s="8" t="str">
        <f t="array" ref="M362">IF(L362&gt;5,"Perlu Sensus",IF(AND(L362&gt;=0,I362&gt;0),"Tetap Deteksi","Belum Deteksi"))</f>
        <v>Tetap Deteksi</v>
      </c>
      <c r="N362" s="11">
        <v>46248</v>
      </c>
      <c r="O362" s="143">
        <v>125</v>
      </c>
      <c r="P362" s="9">
        <f t="array" ref="P362">IFERROR(O362/$G362*100,0)</f>
        <v>3.5683699685983443</v>
      </c>
      <c r="Q362" s="143">
        <v>3</v>
      </c>
      <c r="R362" s="9">
        <f t="shared" si="57"/>
        <v>2.4</v>
      </c>
      <c r="S362" s="8" t="str">
        <f t="array" ref="S362">IF(R362&gt;5,"Perlu Sensus",IF(AND(R362&gt;=0,O362&gt;0),"Tetap Deteksi","Belum Deteksi"))</f>
        <v>Tetap Deteksi</v>
      </c>
      <c r="T362" s="143">
        <v>7</v>
      </c>
      <c r="U362" s="9">
        <f t="shared" si="58"/>
        <v>5.6000000000000005</v>
      </c>
      <c r="V362" s="132">
        <v>46249</v>
      </c>
      <c r="W362" s="143">
        <v>235</v>
      </c>
      <c r="X362" s="143">
        <v>7</v>
      </c>
      <c r="Y362" s="9">
        <f t="shared" si="59"/>
        <v>2.9787234042553195</v>
      </c>
      <c r="Z362" s="8" t="str">
        <f t="array" ref="Z362">IF(Y362&gt;5,"Perlu Sensus",IF(AND(Y362&gt;=0,W362&gt;0),"Tetap Deteksi","Belum Deteksi"))</f>
        <v>Tetap Deteksi</v>
      </c>
      <c r="AA362" s="143">
        <v>34</v>
      </c>
      <c r="AB362" s="9">
        <f t="shared" si="60"/>
        <v>14.468085106382977</v>
      </c>
      <c r="AC362" s="11"/>
      <c r="AD362" s="143"/>
      <c r="AE362" s="9">
        <f t="array" ref="AE362">IFERROR(AD362/$G362*100,0)</f>
        <v>0</v>
      </c>
      <c r="AF362" s="143"/>
      <c r="AG362" s="9">
        <f t="shared" si="61"/>
        <v>0</v>
      </c>
      <c r="AH362" s="8" t="str">
        <f t="array" ref="AH362">IF(AG362&gt;5,"Perlu Sensus",IF(AND(AG362&gt;=0,AD362&gt;0),"Tetap Deteksi","Belum Deteksi"))</f>
        <v>Belum Deteksi</v>
      </c>
      <c r="AI362" s="143"/>
      <c r="AJ362" s="9">
        <f t="shared" si="62"/>
        <v>0</v>
      </c>
      <c r="AK362" s="11"/>
      <c r="AL362" s="143"/>
      <c r="AM362" s="143"/>
      <c r="AN362" s="9">
        <f t="shared" si="63"/>
        <v>0</v>
      </c>
      <c r="AO362" s="8" t="str">
        <f t="array" ref="AO362">IF(AN362&gt;5,"Perlu Sensus",IF(AND(AN362&gt;=0,AL362&gt;0),"Tetap Deteksi","Belum Deteksi"))</f>
        <v>Belum Deteksi</v>
      </c>
      <c r="AP362" s="143"/>
      <c r="AQ362" s="9">
        <f t="shared" si="64"/>
        <v>0</v>
      </c>
    </row>
    <row r="363" spans="1:43" x14ac:dyDescent="0.15">
      <c r="A363" s="8" t="s">
        <v>1739</v>
      </c>
      <c r="B363" s="8" t="s">
        <v>14</v>
      </c>
      <c r="C363" s="8" t="s">
        <v>416</v>
      </c>
      <c r="D363" s="8" t="s">
        <v>1227</v>
      </c>
      <c r="E363" s="9">
        <v>0</v>
      </c>
      <c r="F363" s="8" t="s">
        <v>1740</v>
      </c>
      <c r="G363" s="10">
        <v>0</v>
      </c>
      <c r="H363" s="11">
        <f t="array" ref="H363">IF(OR(N363&gt;0,AC363&gt;0),MAX(N363,AC363),MAX(AK363,V363))</f>
        <v>0</v>
      </c>
      <c r="I363" s="143">
        <f t="array" ref="I363">IF(SUM(O363,AD363)&gt;0,SUM(O363,AD363),SUM(AL363,W363))</f>
        <v>0</v>
      </c>
      <c r="J363" s="9" t="str">
        <f t="shared" si="55"/>
        <v xml:space="preserve"> </v>
      </c>
      <c r="K363" s="143">
        <f t="shared" si="65"/>
        <v>0</v>
      </c>
      <c r="L363" s="9">
        <f t="shared" si="56"/>
        <v>0</v>
      </c>
      <c r="M363" s="8" t="str">
        <f t="array" ref="M363">IF(L363&gt;5,"Perlu Sensus",IF(AND(L363&gt;=0,I363&gt;0),"Tetap Deteksi","Belum Deteksi"))</f>
        <v>Belum Deteksi</v>
      </c>
      <c r="N363" s="11"/>
      <c r="O363" s="143"/>
      <c r="P363" s="9">
        <f t="array" ref="P363">IFERROR(O363/$G363*100,0)</f>
        <v>0</v>
      </c>
      <c r="Q363" s="143"/>
      <c r="R363" s="9">
        <f t="shared" si="57"/>
        <v>0</v>
      </c>
      <c r="S363" s="8" t="str">
        <f t="array" ref="S363">IF(R363&gt;5,"Perlu Sensus",IF(AND(R363&gt;=0,O363&gt;0),"Tetap Deteksi","Belum Deteksi"))</f>
        <v>Belum Deteksi</v>
      </c>
      <c r="T363" s="143"/>
      <c r="U363" s="9">
        <f t="shared" si="58"/>
        <v>0</v>
      </c>
      <c r="V363" s="11"/>
      <c r="W363" s="143"/>
      <c r="X363" s="143"/>
      <c r="Y363" s="9">
        <f t="shared" si="59"/>
        <v>0</v>
      </c>
      <c r="Z363" s="8" t="str">
        <f t="array" ref="Z363">IF(Y363&gt;5,"Perlu Sensus",IF(AND(Y363&gt;=0,W363&gt;0),"Tetap Deteksi","Belum Deteksi"))</f>
        <v>Belum Deteksi</v>
      </c>
      <c r="AA363" s="143"/>
      <c r="AB363" s="9">
        <f t="shared" si="60"/>
        <v>0</v>
      </c>
      <c r="AC363" s="11"/>
      <c r="AD363" s="143"/>
      <c r="AE363" s="9">
        <f t="array" ref="AE363">IFERROR(AD363/$G363*100,0)</f>
        <v>0</v>
      </c>
      <c r="AF363" s="143"/>
      <c r="AG363" s="9">
        <f t="shared" si="61"/>
        <v>0</v>
      </c>
      <c r="AH363" s="8" t="str">
        <f t="array" ref="AH363">IF(AG363&gt;5,"Perlu Sensus",IF(AND(AG363&gt;=0,AD363&gt;0),"Tetap Deteksi","Belum Deteksi"))</f>
        <v>Belum Deteksi</v>
      </c>
      <c r="AI363" s="143"/>
      <c r="AJ363" s="9">
        <f t="shared" si="62"/>
        <v>0</v>
      </c>
      <c r="AK363" s="11"/>
      <c r="AL363" s="143"/>
      <c r="AM363" s="143"/>
      <c r="AN363" s="9">
        <f t="shared" si="63"/>
        <v>0</v>
      </c>
      <c r="AO363" s="8" t="str">
        <f t="array" ref="AO363">IF(AN363&gt;5,"Perlu Sensus",IF(AND(AN363&gt;=0,AL363&gt;0),"Tetap Deteksi","Belum Deteksi"))</f>
        <v>Belum Deteksi</v>
      </c>
      <c r="AP363" s="143"/>
      <c r="AQ363" s="9">
        <f t="shared" si="64"/>
        <v>0</v>
      </c>
    </row>
    <row r="364" spans="1:43" x14ac:dyDescent="0.15">
      <c r="A364" s="8" t="s">
        <v>1739</v>
      </c>
      <c r="B364" s="8" t="s">
        <v>14</v>
      </c>
      <c r="C364" s="8" t="s">
        <v>416</v>
      </c>
      <c r="D364" s="8" t="s">
        <v>1228</v>
      </c>
      <c r="E364" s="9">
        <v>39.21</v>
      </c>
      <c r="F364" s="8" t="s">
        <v>1740</v>
      </c>
      <c r="G364" s="10">
        <v>5154</v>
      </c>
      <c r="H364" s="11">
        <f t="array" ref="H364">IF(OR(N364&gt;0,AC364&gt;0),MAX(N364,AC364),MAX(AK364,V364))</f>
        <v>46235</v>
      </c>
      <c r="I364" s="143">
        <f t="array" ref="I364">IF(SUM(O364,AD364)&gt;0,SUM(O364,AD364),SUM(AL364,W364))</f>
        <v>78</v>
      </c>
      <c r="J364" s="9">
        <f t="shared" si="55"/>
        <v>1.5133876600698486</v>
      </c>
      <c r="K364" s="143">
        <f t="shared" si="65"/>
        <v>8</v>
      </c>
      <c r="L364" s="9">
        <f t="shared" si="56"/>
        <v>10.256410256410255</v>
      </c>
      <c r="M364" s="8" t="str">
        <f t="array" ref="M364">IF(L364&gt;5,"Perlu Sensus",IF(AND(L364&gt;=0,I364&gt;0),"Tetap Deteksi","Belum Deteksi"))</f>
        <v>Perlu Sensus</v>
      </c>
      <c r="N364" s="11">
        <v>46235</v>
      </c>
      <c r="O364" s="143">
        <v>78</v>
      </c>
      <c r="P364" s="9">
        <f t="array" ref="P364">IFERROR(O364/$G364*100,0)</f>
        <v>1.5133876600698486</v>
      </c>
      <c r="Q364" s="143">
        <v>8</v>
      </c>
      <c r="R364" s="9">
        <f t="shared" si="57"/>
        <v>10.256410256410255</v>
      </c>
      <c r="S364" s="8" t="str">
        <f t="array" ref="S364">IF(R364&gt;5,"Perlu Sensus",IF(AND(R364&gt;=0,O364&gt;0),"Tetap Deteksi","Belum Deteksi"))</f>
        <v>Perlu Sensus</v>
      </c>
      <c r="T364" s="143">
        <v>11</v>
      </c>
      <c r="U364" s="9">
        <f t="shared" si="58"/>
        <v>14.102564102564102</v>
      </c>
      <c r="V364" s="132">
        <v>46249</v>
      </c>
      <c r="W364" s="143">
        <v>428</v>
      </c>
      <c r="X364" s="143">
        <v>13</v>
      </c>
      <c r="Y364" s="9">
        <f t="shared" si="59"/>
        <v>3.0373831775700935</v>
      </c>
      <c r="Z364" s="8" t="str">
        <f t="array" ref="Z364">IF(Y364&gt;5,"Perlu Sensus",IF(AND(Y364&gt;=0,W364&gt;0),"Tetap Deteksi","Belum Deteksi"))</f>
        <v>Tetap Deteksi</v>
      </c>
      <c r="AA364" s="143">
        <v>25</v>
      </c>
      <c r="AB364" s="9">
        <f t="shared" si="60"/>
        <v>5.8411214953271031</v>
      </c>
      <c r="AC364" s="11"/>
      <c r="AD364" s="143"/>
      <c r="AE364" s="9">
        <f t="array" ref="AE364">IFERROR(AD364/$G364*100,0)</f>
        <v>0</v>
      </c>
      <c r="AF364" s="143"/>
      <c r="AG364" s="9">
        <f t="shared" si="61"/>
        <v>0</v>
      </c>
      <c r="AH364" s="8" t="str">
        <f t="array" ref="AH364">IF(AG364&gt;5,"Perlu Sensus",IF(AND(AG364&gt;=0,AD364&gt;0),"Tetap Deteksi","Belum Deteksi"))</f>
        <v>Belum Deteksi</v>
      </c>
      <c r="AI364" s="143"/>
      <c r="AJ364" s="9">
        <f t="shared" si="62"/>
        <v>0</v>
      </c>
      <c r="AK364" s="11"/>
      <c r="AL364" s="143"/>
      <c r="AM364" s="143"/>
      <c r="AN364" s="9">
        <f t="shared" si="63"/>
        <v>0</v>
      </c>
      <c r="AO364" s="8" t="str">
        <f t="array" ref="AO364">IF(AN364&gt;5,"Perlu Sensus",IF(AND(AN364&gt;=0,AL364&gt;0),"Tetap Deteksi","Belum Deteksi"))</f>
        <v>Belum Deteksi</v>
      </c>
      <c r="AP364" s="143"/>
      <c r="AQ364" s="9">
        <f t="shared" si="64"/>
        <v>0</v>
      </c>
    </row>
    <row r="365" spans="1:43" x14ac:dyDescent="0.15">
      <c r="A365" s="8" t="s">
        <v>1739</v>
      </c>
      <c r="B365" s="8" t="s">
        <v>14</v>
      </c>
      <c r="C365" s="8" t="s">
        <v>416</v>
      </c>
      <c r="D365" s="8" t="s">
        <v>1229</v>
      </c>
      <c r="E365" s="9">
        <v>23.27</v>
      </c>
      <c r="F365" s="8" t="s">
        <v>1740</v>
      </c>
      <c r="G365" s="10">
        <v>2657</v>
      </c>
      <c r="H365" s="11">
        <f t="array" ref="H365">IF(OR(N365&gt;0,AC365&gt;0),MAX(N365,AC365),MAX(AK365,V365))</f>
        <v>46235</v>
      </c>
      <c r="I365" s="143">
        <f t="array" ref="I365">IF(SUM(O365,AD365)&gt;0,SUM(O365,AD365),SUM(AL365,W365))</f>
        <v>74</v>
      </c>
      <c r="J365" s="9">
        <f t="shared" si="55"/>
        <v>2.785095972901769</v>
      </c>
      <c r="K365" s="143">
        <f t="shared" si="65"/>
        <v>7</v>
      </c>
      <c r="L365" s="9">
        <f t="shared" si="56"/>
        <v>9.4594594594594597</v>
      </c>
      <c r="M365" s="8" t="str">
        <f t="array" ref="M365">IF(L365&gt;5,"Perlu Sensus",IF(AND(L365&gt;=0,I365&gt;0),"Tetap Deteksi","Belum Deteksi"))</f>
        <v>Perlu Sensus</v>
      </c>
      <c r="N365" s="11">
        <v>46235</v>
      </c>
      <c r="O365" s="143">
        <v>74</v>
      </c>
      <c r="P365" s="9">
        <f t="array" ref="P365">IFERROR(O365/$G365*100,0)</f>
        <v>2.785095972901769</v>
      </c>
      <c r="Q365" s="143">
        <v>7</v>
      </c>
      <c r="R365" s="9">
        <f t="shared" si="57"/>
        <v>9.4594594594594597</v>
      </c>
      <c r="S365" s="8" t="str">
        <f t="array" ref="S365">IF(R365&gt;5,"Perlu Sensus",IF(AND(R365&gt;=0,O365&gt;0),"Tetap Deteksi","Belum Deteksi"))</f>
        <v>Perlu Sensus</v>
      </c>
      <c r="T365" s="143">
        <v>12</v>
      </c>
      <c r="U365" s="9">
        <f t="shared" si="58"/>
        <v>16.216216216216218</v>
      </c>
      <c r="V365" s="132">
        <v>46249</v>
      </c>
      <c r="W365" s="143">
        <v>257</v>
      </c>
      <c r="X365" s="143">
        <v>16</v>
      </c>
      <c r="Y365" s="9">
        <f t="shared" si="59"/>
        <v>6.2256809338521402</v>
      </c>
      <c r="Z365" s="8" t="str">
        <f t="array" ref="Z365">IF(Y365&gt;5,"Perlu Sensus",IF(AND(Y365&gt;=0,W365&gt;0),"Tetap Deteksi","Belum Deteksi"))</f>
        <v>Perlu Sensus</v>
      </c>
      <c r="AA365" s="143">
        <v>16</v>
      </c>
      <c r="AB365" s="9">
        <f t="shared" si="60"/>
        <v>6.2256809338521402</v>
      </c>
      <c r="AC365" s="11"/>
      <c r="AD365" s="143"/>
      <c r="AE365" s="9">
        <f t="array" ref="AE365">IFERROR(AD365/$G365*100,0)</f>
        <v>0</v>
      </c>
      <c r="AF365" s="143"/>
      <c r="AG365" s="9">
        <f t="shared" si="61"/>
        <v>0</v>
      </c>
      <c r="AH365" s="8" t="str">
        <f t="array" ref="AH365">IF(AG365&gt;5,"Perlu Sensus",IF(AND(AG365&gt;=0,AD365&gt;0),"Tetap Deteksi","Belum Deteksi"))</f>
        <v>Belum Deteksi</v>
      </c>
      <c r="AI365" s="143"/>
      <c r="AJ365" s="9">
        <f t="shared" si="62"/>
        <v>0</v>
      </c>
      <c r="AK365" s="11"/>
      <c r="AL365" s="143"/>
      <c r="AM365" s="143"/>
      <c r="AN365" s="9">
        <f t="shared" si="63"/>
        <v>0</v>
      </c>
      <c r="AO365" s="8" t="str">
        <f t="array" ref="AO365">IF(AN365&gt;5,"Perlu Sensus",IF(AND(AN365&gt;=0,AL365&gt;0),"Tetap Deteksi","Belum Deteksi"))</f>
        <v>Belum Deteksi</v>
      </c>
      <c r="AP365" s="143"/>
      <c r="AQ365" s="9">
        <f t="shared" si="64"/>
        <v>0</v>
      </c>
    </row>
    <row r="366" spans="1:43" x14ac:dyDescent="0.15">
      <c r="A366" s="8" t="s">
        <v>1739</v>
      </c>
      <c r="B366" s="8" t="s">
        <v>14</v>
      </c>
      <c r="C366" s="8" t="s">
        <v>416</v>
      </c>
      <c r="D366" s="8" t="s">
        <v>1230</v>
      </c>
      <c r="E366" s="9">
        <v>26.23</v>
      </c>
      <c r="F366" s="8" t="s">
        <v>1740</v>
      </c>
      <c r="G366" s="10">
        <v>3410</v>
      </c>
      <c r="H366" s="11">
        <f t="array" ref="H366">IF(OR(N366&gt;0,AC366&gt;0),MAX(N366,AC366),MAX(AK366,V366))</f>
        <v>46238</v>
      </c>
      <c r="I366" s="143">
        <f t="array" ref="I366">IF(SUM(O366,AD366)&gt;0,SUM(O366,AD366),SUM(AL366,W366))</f>
        <v>102</v>
      </c>
      <c r="J366" s="9">
        <f t="shared" si="55"/>
        <v>2.9912023460410557</v>
      </c>
      <c r="K366" s="143">
        <f t="shared" si="65"/>
        <v>5</v>
      </c>
      <c r="L366" s="9">
        <f t="shared" si="56"/>
        <v>4.9019607843137258</v>
      </c>
      <c r="M366" s="8" t="str">
        <f t="array" ref="M366">IF(L366&gt;5,"Perlu Sensus",IF(AND(L366&gt;=0,I366&gt;0),"Tetap Deteksi","Belum Deteksi"))</f>
        <v>Tetap Deteksi</v>
      </c>
      <c r="N366" s="11">
        <v>46238</v>
      </c>
      <c r="O366" s="143">
        <v>102</v>
      </c>
      <c r="P366" s="9">
        <f t="array" ref="P366">IFERROR(O366/$G366*100,0)</f>
        <v>2.9912023460410557</v>
      </c>
      <c r="Q366" s="143">
        <v>5</v>
      </c>
      <c r="R366" s="9">
        <f t="shared" si="57"/>
        <v>4.9019607843137258</v>
      </c>
      <c r="S366" s="8" t="str">
        <f t="array" ref="S366">IF(R366&gt;5,"Perlu Sensus",IF(AND(R366&gt;=0,O366&gt;0),"Tetap Deteksi","Belum Deteksi"))</f>
        <v>Tetap Deteksi</v>
      </c>
      <c r="T366" s="143">
        <v>10</v>
      </c>
      <c r="U366" s="9">
        <f t="shared" si="58"/>
        <v>9.8039215686274517</v>
      </c>
      <c r="V366" s="132">
        <v>46249</v>
      </c>
      <c r="W366" s="143">
        <v>241</v>
      </c>
      <c r="X366" s="143">
        <v>13</v>
      </c>
      <c r="Y366" s="9">
        <f t="shared" si="59"/>
        <v>5.394190871369295</v>
      </c>
      <c r="Z366" s="8" t="str">
        <f t="array" ref="Z366">IF(Y366&gt;5,"Perlu Sensus",IF(AND(Y366&gt;=0,W366&gt;0),"Tetap Deteksi","Belum Deteksi"))</f>
        <v>Perlu Sensus</v>
      </c>
      <c r="AA366" s="143">
        <v>21</v>
      </c>
      <c r="AB366" s="9">
        <f t="shared" si="60"/>
        <v>8.7136929460580905</v>
      </c>
      <c r="AC366" s="11"/>
      <c r="AD366" s="143"/>
      <c r="AE366" s="9">
        <f t="array" ref="AE366">IFERROR(AD366/$G366*100,0)</f>
        <v>0</v>
      </c>
      <c r="AF366" s="143"/>
      <c r="AG366" s="9">
        <f t="shared" si="61"/>
        <v>0</v>
      </c>
      <c r="AH366" s="8" t="str">
        <f t="array" ref="AH366">IF(AG366&gt;5,"Perlu Sensus",IF(AND(AG366&gt;=0,AD366&gt;0),"Tetap Deteksi","Belum Deteksi"))</f>
        <v>Belum Deteksi</v>
      </c>
      <c r="AI366" s="143"/>
      <c r="AJ366" s="9">
        <f t="shared" si="62"/>
        <v>0</v>
      </c>
      <c r="AK366" s="11"/>
      <c r="AL366" s="143"/>
      <c r="AM366" s="143"/>
      <c r="AN366" s="9">
        <f t="shared" si="63"/>
        <v>0</v>
      </c>
      <c r="AO366" s="8" t="str">
        <f t="array" ref="AO366">IF(AN366&gt;5,"Perlu Sensus",IF(AND(AN366&gt;=0,AL366&gt;0),"Tetap Deteksi","Belum Deteksi"))</f>
        <v>Belum Deteksi</v>
      </c>
      <c r="AP366" s="143"/>
      <c r="AQ366" s="9">
        <f t="shared" si="64"/>
        <v>0</v>
      </c>
    </row>
    <row r="367" spans="1:43" x14ac:dyDescent="0.15">
      <c r="A367" s="8" t="s">
        <v>1739</v>
      </c>
      <c r="B367" s="8" t="s">
        <v>14</v>
      </c>
      <c r="C367" s="8" t="s">
        <v>416</v>
      </c>
      <c r="D367" s="8" t="s">
        <v>1231</v>
      </c>
      <c r="E367" s="9">
        <v>18.66</v>
      </c>
      <c r="F367" s="8" t="s">
        <v>1740</v>
      </c>
      <c r="G367" s="10">
        <v>2374</v>
      </c>
      <c r="H367" s="11">
        <f t="array" ref="H367">IF(OR(N367&gt;0,AC367&gt;0),MAX(N367,AC367),MAX(AK367,V367))</f>
        <v>46241</v>
      </c>
      <c r="I367" s="143">
        <f t="array" ref="I367">IF(SUM(O367,AD367)&gt;0,SUM(O367,AD367),SUM(AL367,W367))</f>
        <v>75</v>
      </c>
      <c r="J367" s="9">
        <f t="shared" si="55"/>
        <v>3.1592249368155008</v>
      </c>
      <c r="K367" s="143">
        <f t="shared" si="65"/>
        <v>8</v>
      </c>
      <c r="L367" s="9">
        <f t="shared" si="56"/>
        <v>10.666666666666668</v>
      </c>
      <c r="M367" s="8" t="str">
        <f t="array" ref="M367">IF(L367&gt;5,"Perlu Sensus",IF(AND(L367&gt;=0,I367&gt;0),"Tetap Deteksi","Belum Deteksi"))</f>
        <v>Perlu Sensus</v>
      </c>
      <c r="N367" s="11">
        <v>46241</v>
      </c>
      <c r="O367" s="143">
        <v>75</v>
      </c>
      <c r="P367" s="9">
        <f t="array" ref="P367">IFERROR(O367/$G367*100,0)</f>
        <v>3.1592249368155008</v>
      </c>
      <c r="Q367" s="143">
        <v>8</v>
      </c>
      <c r="R367" s="9">
        <f t="shared" si="57"/>
        <v>10.666666666666668</v>
      </c>
      <c r="S367" s="8" t="str">
        <f t="array" ref="S367">IF(R367&gt;5,"Perlu Sensus",IF(AND(R367&gt;=0,O367&gt;0),"Tetap Deteksi","Belum Deteksi"))</f>
        <v>Perlu Sensus</v>
      </c>
      <c r="T367" s="143">
        <v>12</v>
      </c>
      <c r="U367" s="9">
        <f t="shared" si="58"/>
        <v>16</v>
      </c>
      <c r="V367" s="132">
        <v>46249</v>
      </c>
      <c r="W367" s="143">
        <v>405</v>
      </c>
      <c r="X367" s="143">
        <v>11</v>
      </c>
      <c r="Y367" s="9">
        <f t="shared" si="59"/>
        <v>2.7160493827160495</v>
      </c>
      <c r="Z367" s="8" t="str">
        <f t="array" ref="Z367">IF(Y367&gt;5,"Perlu Sensus",IF(AND(Y367&gt;=0,W367&gt;0),"Tetap Deteksi","Belum Deteksi"))</f>
        <v>Tetap Deteksi</v>
      </c>
      <c r="AA367" s="143">
        <v>28</v>
      </c>
      <c r="AB367" s="9">
        <f t="shared" si="60"/>
        <v>6.9135802469135799</v>
      </c>
      <c r="AC367" s="11"/>
      <c r="AD367" s="143"/>
      <c r="AE367" s="9">
        <f t="array" ref="AE367">IFERROR(AD367/$G367*100,0)</f>
        <v>0</v>
      </c>
      <c r="AF367" s="143"/>
      <c r="AG367" s="9">
        <f t="shared" si="61"/>
        <v>0</v>
      </c>
      <c r="AH367" s="8" t="str">
        <f t="array" ref="AH367">IF(AG367&gt;5,"Perlu Sensus",IF(AND(AG367&gt;=0,AD367&gt;0),"Tetap Deteksi","Belum Deteksi"))</f>
        <v>Belum Deteksi</v>
      </c>
      <c r="AI367" s="143"/>
      <c r="AJ367" s="9">
        <f t="shared" si="62"/>
        <v>0</v>
      </c>
      <c r="AK367" s="11"/>
      <c r="AL367" s="143"/>
      <c r="AM367" s="143"/>
      <c r="AN367" s="9">
        <f t="shared" si="63"/>
        <v>0</v>
      </c>
      <c r="AO367" s="8" t="str">
        <f t="array" ref="AO367">IF(AN367&gt;5,"Perlu Sensus",IF(AND(AN367&gt;=0,AL367&gt;0),"Tetap Deteksi","Belum Deteksi"))</f>
        <v>Belum Deteksi</v>
      </c>
      <c r="AP367" s="143"/>
      <c r="AQ367" s="9">
        <f t="shared" si="64"/>
        <v>0</v>
      </c>
    </row>
    <row r="368" spans="1:43" x14ac:dyDescent="0.15">
      <c r="A368" s="8" t="s">
        <v>1739</v>
      </c>
      <c r="B368" s="8" t="s">
        <v>14</v>
      </c>
      <c r="C368" s="8" t="s">
        <v>416</v>
      </c>
      <c r="D368" s="8" t="s">
        <v>1232</v>
      </c>
      <c r="E368" s="9">
        <v>26.67</v>
      </c>
      <c r="F368" s="8" t="s">
        <v>1740</v>
      </c>
      <c r="G368" s="10">
        <v>3617</v>
      </c>
      <c r="H368" s="11">
        <f t="array" ref="H368">IF(OR(N368&gt;0,AC368&gt;0),MAX(N368,AC368),MAX(AK368,V368))</f>
        <v>46241</v>
      </c>
      <c r="I368" s="143">
        <f t="array" ref="I368">IF(SUM(O368,AD368)&gt;0,SUM(O368,AD368),SUM(AL368,W368))</f>
        <v>75</v>
      </c>
      <c r="J368" s="9">
        <f t="shared" si="55"/>
        <v>2.0735416090682888</v>
      </c>
      <c r="K368" s="143">
        <f t="shared" si="65"/>
        <v>5</v>
      </c>
      <c r="L368" s="9">
        <f t="shared" si="56"/>
        <v>6.666666666666667</v>
      </c>
      <c r="M368" s="8" t="str">
        <f t="array" ref="M368">IF(L368&gt;5,"Perlu Sensus",IF(AND(L368&gt;=0,I368&gt;0),"Tetap Deteksi","Belum Deteksi"))</f>
        <v>Perlu Sensus</v>
      </c>
      <c r="N368" s="11">
        <v>46241</v>
      </c>
      <c r="O368" s="143">
        <v>75</v>
      </c>
      <c r="P368" s="9">
        <f t="array" ref="P368">IFERROR(O368/$G368*100,0)</f>
        <v>2.0735416090682888</v>
      </c>
      <c r="Q368" s="143">
        <v>5</v>
      </c>
      <c r="R368" s="9">
        <f t="shared" si="57"/>
        <v>6.666666666666667</v>
      </c>
      <c r="S368" s="8" t="str">
        <f t="array" ref="S368">IF(R368&gt;5,"Perlu Sensus",IF(AND(R368&gt;=0,O368&gt;0),"Tetap Deteksi","Belum Deteksi"))</f>
        <v>Perlu Sensus</v>
      </c>
      <c r="T368" s="143">
        <v>10</v>
      </c>
      <c r="U368" s="9">
        <f t="shared" si="58"/>
        <v>13.333333333333334</v>
      </c>
      <c r="V368" s="132">
        <v>46249</v>
      </c>
      <c r="W368" s="143">
        <v>295</v>
      </c>
      <c r="X368" s="143">
        <v>19</v>
      </c>
      <c r="Y368" s="9">
        <f t="shared" si="59"/>
        <v>6.4406779661016946</v>
      </c>
      <c r="Z368" s="8" t="str">
        <f t="array" ref="Z368">IF(Y368&gt;5,"Perlu Sensus",IF(AND(Y368&gt;=0,W368&gt;0),"Tetap Deteksi","Belum Deteksi"))</f>
        <v>Perlu Sensus</v>
      </c>
      <c r="AA368" s="143">
        <v>19</v>
      </c>
      <c r="AB368" s="9">
        <f t="shared" si="60"/>
        <v>6.4406779661016946</v>
      </c>
      <c r="AC368" s="11"/>
      <c r="AD368" s="143"/>
      <c r="AE368" s="9">
        <f t="array" ref="AE368">IFERROR(AD368/$G368*100,0)</f>
        <v>0</v>
      </c>
      <c r="AF368" s="143"/>
      <c r="AG368" s="9">
        <f t="shared" si="61"/>
        <v>0</v>
      </c>
      <c r="AH368" s="8" t="str">
        <f t="array" ref="AH368">IF(AG368&gt;5,"Perlu Sensus",IF(AND(AG368&gt;=0,AD368&gt;0),"Tetap Deteksi","Belum Deteksi"))</f>
        <v>Belum Deteksi</v>
      </c>
      <c r="AI368" s="143"/>
      <c r="AJ368" s="9">
        <f t="shared" si="62"/>
        <v>0</v>
      </c>
      <c r="AK368" s="11"/>
      <c r="AL368" s="143"/>
      <c r="AM368" s="143"/>
      <c r="AN368" s="9">
        <f t="shared" si="63"/>
        <v>0</v>
      </c>
      <c r="AO368" s="8" t="str">
        <f t="array" ref="AO368">IF(AN368&gt;5,"Perlu Sensus",IF(AND(AN368&gt;=0,AL368&gt;0),"Tetap Deteksi","Belum Deteksi"))</f>
        <v>Belum Deteksi</v>
      </c>
      <c r="AP368" s="143"/>
      <c r="AQ368" s="9">
        <f t="shared" si="64"/>
        <v>0</v>
      </c>
    </row>
    <row r="369" spans="1:43" x14ac:dyDescent="0.15">
      <c r="A369" s="8" t="s">
        <v>1739</v>
      </c>
      <c r="B369" s="8" t="s">
        <v>14</v>
      </c>
      <c r="C369" s="8" t="s">
        <v>416</v>
      </c>
      <c r="D369" s="8" t="s">
        <v>1233</v>
      </c>
      <c r="E369" s="9">
        <v>28</v>
      </c>
      <c r="F369" s="8" t="s">
        <v>1740</v>
      </c>
      <c r="G369" s="10">
        <v>3917</v>
      </c>
      <c r="H369" s="11">
        <f t="array" ref="H369">IF(OR(N369&gt;0,AC369&gt;0),MAX(N369,AC369),MAX(AK369,V369))</f>
        <v>46241</v>
      </c>
      <c r="I369" s="143">
        <f t="array" ref="I369">IF(SUM(O369,AD369)&gt;0,SUM(O369,AD369),SUM(AL369,W369))</f>
        <v>73</v>
      </c>
      <c r="J369" s="9">
        <f t="shared" si="55"/>
        <v>1.8636711769211132</v>
      </c>
      <c r="K369" s="143">
        <f t="shared" si="65"/>
        <v>4</v>
      </c>
      <c r="L369" s="9">
        <f t="shared" si="56"/>
        <v>5.4794520547945202</v>
      </c>
      <c r="M369" s="8" t="str">
        <f t="array" ref="M369">IF(L369&gt;5,"Perlu Sensus",IF(AND(L369&gt;=0,I369&gt;0),"Tetap Deteksi","Belum Deteksi"))</f>
        <v>Perlu Sensus</v>
      </c>
      <c r="N369" s="11">
        <v>46241</v>
      </c>
      <c r="O369" s="143">
        <v>73</v>
      </c>
      <c r="P369" s="9">
        <f t="array" ref="P369">IFERROR(O369/$G369*100,0)</f>
        <v>1.8636711769211132</v>
      </c>
      <c r="Q369" s="143">
        <v>4</v>
      </c>
      <c r="R369" s="9">
        <f t="shared" si="57"/>
        <v>5.4794520547945202</v>
      </c>
      <c r="S369" s="8" t="str">
        <f t="array" ref="S369">IF(R369&gt;5,"Perlu Sensus",IF(AND(R369&gt;=0,O369&gt;0),"Tetap Deteksi","Belum Deteksi"))</f>
        <v>Perlu Sensus</v>
      </c>
      <c r="T369" s="143">
        <v>12</v>
      </c>
      <c r="U369" s="9">
        <f t="shared" si="58"/>
        <v>16.43835616438356</v>
      </c>
      <c r="V369" s="132">
        <v>46249</v>
      </c>
      <c r="W369" s="143">
        <v>316</v>
      </c>
      <c r="X369" s="143">
        <v>19</v>
      </c>
      <c r="Y369" s="9">
        <f t="shared" si="59"/>
        <v>6.0126582278481013</v>
      </c>
      <c r="Z369" s="8" t="str">
        <f t="array" ref="Z369">IF(Y369&gt;5,"Perlu Sensus",IF(AND(Y369&gt;=0,W369&gt;0),"Tetap Deteksi","Belum Deteksi"))</f>
        <v>Perlu Sensus</v>
      </c>
      <c r="AA369" s="143">
        <v>24</v>
      </c>
      <c r="AB369" s="9">
        <f t="shared" si="60"/>
        <v>7.59493670886076</v>
      </c>
      <c r="AC369" s="11"/>
      <c r="AD369" s="143"/>
      <c r="AE369" s="9">
        <f t="array" ref="AE369">IFERROR(AD369/$G369*100,0)</f>
        <v>0</v>
      </c>
      <c r="AF369" s="143"/>
      <c r="AG369" s="9">
        <f t="shared" si="61"/>
        <v>0</v>
      </c>
      <c r="AH369" s="8" t="str">
        <f t="array" ref="AH369">IF(AG369&gt;5,"Perlu Sensus",IF(AND(AG369&gt;=0,AD369&gt;0),"Tetap Deteksi","Belum Deteksi"))</f>
        <v>Belum Deteksi</v>
      </c>
      <c r="AI369" s="143"/>
      <c r="AJ369" s="9">
        <f t="shared" si="62"/>
        <v>0</v>
      </c>
      <c r="AK369" s="11"/>
      <c r="AL369" s="143"/>
      <c r="AM369" s="143"/>
      <c r="AN369" s="9">
        <f t="shared" si="63"/>
        <v>0</v>
      </c>
      <c r="AO369" s="8" t="str">
        <f t="array" ref="AO369">IF(AN369&gt;5,"Perlu Sensus",IF(AND(AN369&gt;=0,AL369&gt;0),"Tetap Deteksi","Belum Deteksi"))</f>
        <v>Belum Deteksi</v>
      </c>
      <c r="AP369" s="143"/>
      <c r="AQ369" s="9">
        <f t="shared" si="64"/>
        <v>0</v>
      </c>
    </row>
    <row r="370" spans="1:43" x14ac:dyDescent="0.15">
      <c r="A370" s="8" t="s">
        <v>1739</v>
      </c>
      <c r="B370" s="8" t="s">
        <v>14</v>
      </c>
      <c r="C370" s="8" t="s">
        <v>416</v>
      </c>
      <c r="D370" s="8" t="s">
        <v>1234</v>
      </c>
      <c r="E370" s="9">
        <v>15.23</v>
      </c>
      <c r="F370" s="8" t="s">
        <v>1740</v>
      </c>
      <c r="G370" s="10">
        <v>2455</v>
      </c>
      <c r="H370" s="11">
        <f t="array" ref="H370">IF(OR(N370&gt;0,AC370&gt;0),MAX(N370,AC370),MAX(AK370,V370))</f>
        <v>46238</v>
      </c>
      <c r="I370" s="143">
        <f t="array" ref="I370">IF(SUM(O370,AD370)&gt;0,SUM(O370,AD370),SUM(AL370,W370))</f>
        <v>85</v>
      </c>
      <c r="J370" s="9">
        <f t="shared" si="55"/>
        <v>3.4623217922606928</v>
      </c>
      <c r="K370" s="143">
        <f t="shared" si="65"/>
        <v>6</v>
      </c>
      <c r="L370" s="9">
        <f t="shared" si="56"/>
        <v>7.0588235294117645</v>
      </c>
      <c r="M370" s="8" t="str">
        <f t="array" ref="M370">IF(L370&gt;5,"Perlu Sensus",IF(AND(L370&gt;=0,I370&gt;0),"Tetap Deteksi","Belum Deteksi"))</f>
        <v>Perlu Sensus</v>
      </c>
      <c r="N370" s="11">
        <v>46238</v>
      </c>
      <c r="O370" s="143">
        <v>85</v>
      </c>
      <c r="P370" s="9">
        <f t="array" ref="P370">IFERROR(O370/$G370*100,0)</f>
        <v>3.4623217922606928</v>
      </c>
      <c r="Q370" s="143">
        <v>6</v>
      </c>
      <c r="R370" s="9">
        <f t="shared" si="57"/>
        <v>7.0588235294117645</v>
      </c>
      <c r="S370" s="8" t="str">
        <f t="array" ref="S370">IF(R370&gt;5,"Perlu Sensus",IF(AND(R370&gt;=0,O370&gt;0),"Tetap Deteksi","Belum Deteksi"))</f>
        <v>Perlu Sensus</v>
      </c>
      <c r="T370" s="143">
        <v>9</v>
      </c>
      <c r="U370" s="9">
        <f t="shared" si="58"/>
        <v>10.588235294117647</v>
      </c>
      <c r="V370" s="132">
        <v>46249</v>
      </c>
      <c r="W370" s="143">
        <v>414</v>
      </c>
      <c r="X370" s="143">
        <v>23</v>
      </c>
      <c r="Y370" s="9">
        <f t="shared" si="59"/>
        <v>5.5555555555555554</v>
      </c>
      <c r="Z370" s="8" t="str">
        <f t="array" ref="Z370">IF(Y370&gt;5,"Perlu Sensus",IF(AND(Y370&gt;=0,W370&gt;0),"Tetap Deteksi","Belum Deteksi"))</f>
        <v>Perlu Sensus</v>
      </c>
      <c r="AA370" s="143">
        <v>22</v>
      </c>
      <c r="AB370" s="9">
        <f t="shared" si="60"/>
        <v>5.3140096618357484</v>
      </c>
      <c r="AC370" s="11"/>
      <c r="AD370" s="143"/>
      <c r="AE370" s="9">
        <f t="array" ref="AE370">IFERROR(AD370/$G370*100,0)</f>
        <v>0</v>
      </c>
      <c r="AF370" s="143"/>
      <c r="AG370" s="9">
        <f t="shared" si="61"/>
        <v>0</v>
      </c>
      <c r="AH370" s="8" t="str">
        <f t="array" ref="AH370">IF(AG370&gt;5,"Perlu Sensus",IF(AND(AG370&gt;=0,AD370&gt;0),"Tetap Deteksi","Belum Deteksi"))</f>
        <v>Belum Deteksi</v>
      </c>
      <c r="AI370" s="143"/>
      <c r="AJ370" s="9">
        <f t="shared" si="62"/>
        <v>0</v>
      </c>
      <c r="AK370" s="11"/>
      <c r="AL370" s="143"/>
      <c r="AM370" s="143"/>
      <c r="AN370" s="9">
        <f t="shared" si="63"/>
        <v>0</v>
      </c>
      <c r="AO370" s="8" t="str">
        <f t="array" ref="AO370">IF(AN370&gt;5,"Perlu Sensus",IF(AND(AN370&gt;=0,AL370&gt;0),"Tetap Deteksi","Belum Deteksi"))</f>
        <v>Belum Deteksi</v>
      </c>
      <c r="AP370" s="143"/>
      <c r="AQ370" s="9">
        <f t="shared" si="64"/>
        <v>0</v>
      </c>
    </row>
    <row r="371" spans="1:43" x14ac:dyDescent="0.15">
      <c r="A371" s="8" t="s">
        <v>1739</v>
      </c>
      <c r="B371" s="8" t="s">
        <v>14</v>
      </c>
      <c r="C371" s="8" t="s">
        <v>416</v>
      </c>
      <c r="D371" s="8" t="s">
        <v>1235</v>
      </c>
      <c r="E371" s="9">
        <v>22.05</v>
      </c>
      <c r="F371" s="8" t="s">
        <v>1740</v>
      </c>
      <c r="G371" s="10">
        <v>3039</v>
      </c>
      <c r="H371" s="11">
        <f t="array" ref="H371">IF(OR(N371&gt;0,AC371&gt;0),MAX(N371,AC371),MAX(AK371,V371))</f>
        <v>46238</v>
      </c>
      <c r="I371" s="143">
        <f t="array" ref="I371">IF(SUM(O371,AD371)&gt;0,SUM(O371,AD371),SUM(AL371,W371))</f>
        <v>81</v>
      </c>
      <c r="J371" s="9">
        <f t="shared" si="55"/>
        <v>2.6653504442250742</v>
      </c>
      <c r="K371" s="143">
        <f t="shared" si="65"/>
        <v>5</v>
      </c>
      <c r="L371" s="9">
        <f t="shared" si="56"/>
        <v>6.1728395061728394</v>
      </c>
      <c r="M371" s="8" t="str">
        <f t="array" ref="M371">IF(L371&gt;5,"Perlu Sensus",IF(AND(L371&gt;=0,I371&gt;0),"Tetap Deteksi","Belum Deteksi"))</f>
        <v>Perlu Sensus</v>
      </c>
      <c r="N371" s="11">
        <v>46238</v>
      </c>
      <c r="O371" s="143">
        <v>81</v>
      </c>
      <c r="P371" s="9">
        <f t="array" ref="P371">IFERROR(O371/$G371*100,0)</f>
        <v>2.6653504442250742</v>
      </c>
      <c r="Q371" s="143">
        <v>5</v>
      </c>
      <c r="R371" s="9">
        <f t="shared" si="57"/>
        <v>6.1728395061728394</v>
      </c>
      <c r="S371" s="8" t="str">
        <f t="array" ref="S371">IF(R371&gt;5,"Perlu Sensus",IF(AND(R371&gt;=0,O371&gt;0),"Tetap Deteksi","Belum Deteksi"))</f>
        <v>Perlu Sensus</v>
      </c>
      <c r="T371" s="143">
        <v>10</v>
      </c>
      <c r="U371" s="9">
        <f t="shared" si="58"/>
        <v>12.345679012345679</v>
      </c>
      <c r="V371" s="132">
        <v>46249</v>
      </c>
      <c r="W371" s="143">
        <v>316</v>
      </c>
      <c r="X371" s="143">
        <v>14</v>
      </c>
      <c r="Y371" s="9">
        <f t="shared" si="59"/>
        <v>4.4303797468354427</v>
      </c>
      <c r="Z371" s="8" t="str">
        <f t="array" ref="Z371">IF(Y371&gt;5,"Perlu Sensus",IF(AND(Y371&gt;=0,W371&gt;0),"Tetap Deteksi","Belum Deteksi"))</f>
        <v>Tetap Deteksi</v>
      </c>
      <c r="AA371" s="143">
        <v>26</v>
      </c>
      <c r="AB371" s="9">
        <f t="shared" si="60"/>
        <v>8.2278481012658222</v>
      </c>
      <c r="AC371" s="11"/>
      <c r="AD371" s="143"/>
      <c r="AE371" s="9">
        <f t="array" ref="AE371">IFERROR(AD371/$G371*100,0)</f>
        <v>0</v>
      </c>
      <c r="AF371" s="143"/>
      <c r="AG371" s="9">
        <f t="shared" si="61"/>
        <v>0</v>
      </c>
      <c r="AH371" s="8" t="str">
        <f t="array" ref="AH371">IF(AG371&gt;5,"Perlu Sensus",IF(AND(AG371&gt;=0,AD371&gt;0),"Tetap Deteksi","Belum Deteksi"))</f>
        <v>Belum Deteksi</v>
      </c>
      <c r="AI371" s="143"/>
      <c r="AJ371" s="9">
        <f t="shared" si="62"/>
        <v>0</v>
      </c>
      <c r="AK371" s="11"/>
      <c r="AL371" s="143"/>
      <c r="AM371" s="143"/>
      <c r="AN371" s="9">
        <f t="shared" si="63"/>
        <v>0</v>
      </c>
      <c r="AO371" s="8" t="str">
        <f t="array" ref="AO371">IF(AN371&gt;5,"Perlu Sensus",IF(AND(AN371&gt;=0,AL371&gt;0),"Tetap Deteksi","Belum Deteksi"))</f>
        <v>Belum Deteksi</v>
      </c>
      <c r="AP371" s="143"/>
      <c r="AQ371" s="9">
        <f t="shared" si="64"/>
        <v>0</v>
      </c>
    </row>
    <row r="372" spans="1:43" x14ac:dyDescent="0.15">
      <c r="A372" s="8" t="s">
        <v>1739</v>
      </c>
      <c r="B372" s="8" t="s">
        <v>14</v>
      </c>
      <c r="C372" s="8" t="s">
        <v>416</v>
      </c>
      <c r="D372" s="8" t="s">
        <v>1236</v>
      </c>
      <c r="E372" s="9">
        <v>34.03</v>
      </c>
      <c r="F372" s="8" t="s">
        <v>1740</v>
      </c>
      <c r="G372" s="10">
        <v>3861</v>
      </c>
      <c r="H372" s="11">
        <f t="array" ref="H372">IF(OR(N372&gt;0,AC372&gt;0),MAX(N372,AC372),MAX(AK372,V372))</f>
        <v>46238</v>
      </c>
      <c r="I372" s="143">
        <f t="array" ref="I372">IF(SUM(O372,AD372)&gt;0,SUM(O372,AD372),SUM(AL372,W372))</f>
        <v>75</v>
      </c>
      <c r="J372" s="9">
        <f t="shared" si="55"/>
        <v>1.9425019425019423</v>
      </c>
      <c r="K372" s="143">
        <f t="shared" si="65"/>
        <v>4</v>
      </c>
      <c r="L372" s="9">
        <f t="shared" si="56"/>
        <v>5.3333333333333339</v>
      </c>
      <c r="M372" s="8" t="str">
        <f t="array" ref="M372">IF(L372&gt;5,"Perlu Sensus",IF(AND(L372&gt;=0,I372&gt;0),"Tetap Deteksi","Belum Deteksi"))</f>
        <v>Perlu Sensus</v>
      </c>
      <c r="N372" s="11">
        <v>46238</v>
      </c>
      <c r="O372" s="143">
        <v>75</v>
      </c>
      <c r="P372" s="9">
        <f t="array" ref="P372">IFERROR(O372/$G372*100,0)</f>
        <v>1.9425019425019423</v>
      </c>
      <c r="Q372" s="143">
        <v>4</v>
      </c>
      <c r="R372" s="9">
        <f t="shared" si="57"/>
        <v>5.3333333333333339</v>
      </c>
      <c r="S372" s="8" t="str">
        <f t="array" ref="S372">IF(R372&gt;5,"Perlu Sensus",IF(AND(R372&gt;=0,O372&gt;0),"Tetap Deteksi","Belum Deteksi"))</f>
        <v>Perlu Sensus</v>
      </c>
      <c r="T372" s="143">
        <v>10</v>
      </c>
      <c r="U372" s="9">
        <f t="shared" si="58"/>
        <v>13.333333333333334</v>
      </c>
      <c r="V372" s="132">
        <v>46249</v>
      </c>
      <c r="W372" s="143">
        <v>371</v>
      </c>
      <c r="X372" s="143">
        <v>13</v>
      </c>
      <c r="Y372" s="9">
        <f t="shared" si="59"/>
        <v>3.5040431266846364</v>
      </c>
      <c r="Z372" s="8" t="str">
        <f t="array" ref="Z372">IF(Y372&gt;5,"Perlu Sensus",IF(AND(Y372&gt;=0,W372&gt;0),"Tetap Deteksi","Belum Deteksi"))</f>
        <v>Tetap Deteksi</v>
      </c>
      <c r="AA372" s="143">
        <v>19</v>
      </c>
      <c r="AB372" s="9">
        <f t="shared" si="60"/>
        <v>5.1212938005390836</v>
      </c>
      <c r="AC372" s="11"/>
      <c r="AD372" s="143"/>
      <c r="AE372" s="9">
        <f t="array" ref="AE372">IFERROR(AD372/$G372*100,0)</f>
        <v>0</v>
      </c>
      <c r="AF372" s="143"/>
      <c r="AG372" s="9">
        <f t="shared" si="61"/>
        <v>0</v>
      </c>
      <c r="AH372" s="8" t="str">
        <f t="array" ref="AH372">IF(AG372&gt;5,"Perlu Sensus",IF(AND(AG372&gt;=0,AD372&gt;0),"Tetap Deteksi","Belum Deteksi"))</f>
        <v>Belum Deteksi</v>
      </c>
      <c r="AI372" s="143"/>
      <c r="AJ372" s="9">
        <f t="shared" si="62"/>
        <v>0</v>
      </c>
      <c r="AK372" s="11"/>
      <c r="AL372" s="143"/>
      <c r="AM372" s="143"/>
      <c r="AN372" s="9">
        <f t="shared" si="63"/>
        <v>0</v>
      </c>
      <c r="AO372" s="8" t="str">
        <f t="array" ref="AO372">IF(AN372&gt;5,"Perlu Sensus",IF(AND(AN372&gt;=0,AL372&gt;0),"Tetap Deteksi","Belum Deteksi"))</f>
        <v>Belum Deteksi</v>
      </c>
      <c r="AP372" s="143"/>
      <c r="AQ372" s="9">
        <f t="shared" si="64"/>
        <v>0</v>
      </c>
    </row>
    <row r="373" spans="1:43" x14ac:dyDescent="0.15">
      <c r="A373" s="8" t="s">
        <v>1739</v>
      </c>
      <c r="B373" s="8" t="s">
        <v>14</v>
      </c>
      <c r="C373" s="8" t="s">
        <v>416</v>
      </c>
      <c r="D373" s="8" t="s">
        <v>1237</v>
      </c>
      <c r="E373" s="9">
        <v>28.82</v>
      </c>
      <c r="F373" s="8" t="s">
        <v>1740</v>
      </c>
      <c r="G373" s="10">
        <v>3879</v>
      </c>
      <c r="H373" s="11">
        <f t="array" ref="H373">IF(OR(N373&gt;0,AC373&gt;0),MAX(N373,AC373),MAX(AK373,V373))</f>
        <v>46238</v>
      </c>
      <c r="I373" s="143">
        <f t="array" ref="I373">IF(SUM(O373,AD373)&gt;0,SUM(O373,AD373),SUM(AL373,W373))</f>
        <v>72</v>
      </c>
      <c r="J373" s="9">
        <f t="shared" si="55"/>
        <v>1.8561484918793503</v>
      </c>
      <c r="K373" s="143">
        <f t="shared" si="65"/>
        <v>6</v>
      </c>
      <c r="L373" s="9">
        <f t="shared" si="56"/>
        <v>8.3333333333333321</v>
      </c>
      <c r="M373" s="8" t="str">
        <f t="array" ref="M373">IF(L373&gt;5,"Perlu Sensus",IF(AND(L373&gt;=0,I373&gt;0),"Tetap Deteksi","Belum Deteksi"))</f>
        <v>Perlu Sensus</v>
      </c>
      <c r="N373" s="11">
        <v>46238</v>
      </c>
      <c r="O373" s="143">
        <v>72</v>
      </c>
      <c r="P373" s="9">
        <f t="array" ref="P373">IFERROR(O373/$G373*100,0)</f>
        <v>1.8561484918793503</v>
      </c>
      <c r="Q373" s="143">
        <v>6</v>
      </c>
      <c r="R373" s="9">
        <f t="shared" si="57"/>
        <v>8.3333333333333321</v>
      </c>
      <c r="S373" s="8" t="str">
        <f t="array" ref="S373">IF(R373&gt;5,"Perlu Sensus",IF(AND(R373&gt;=0,O373&gt;0),"Tetap Deteksi","Belum Deteksi"))</f>
        <v>Perlu Sensus</v>
      </c>
      <c r="T373" s="143">
        <v>12</v>
      </c>
      <c r="U373" s="9">
        <f t="shared" si="58"/>
        <v>16.666666666666664</v>
      </c>
      <c r="V373" s="132">
        <v>46249</v>
      </c>
      <c r="W373" s="143">
        <v>334</v>
      </c>
      <c r="X373" s="143">
        <v>21</v>
      </c>
      <c r="Y373" s="9">
        <f t="shared" si="59"/>
        <v>6.2874251497005984</v>
      </c>
      <c r="Z373" s="8" t="str">
        <f t="array" ref="Z373">IF(Y373&gt;5,"Perlu Sensus",IF(AND(Y373&gt;=0,W373&gt;0),"Tetap Deteksi","Belum Deteksi"))</f>
        <v>Perlu Sensus</v>
      </c>
      <c r="AA373" s="143">
        <v>21</v>
      </c>
      <c r="AB373" s="9">
        <f t="shared" si="60"/>
        <v>6.2874251497005984</v>
      </c>
      <c r="AC373" s="11"/>
      <c r="AD373" s="143"/>
      <c r="AE373" s="9">
        <f t="array" ref="AE373">IFERROR(AD373/$G373*100,0)</f>
        <v>0</v>
      </c>
      <c r="AF373" s="143"/>
      <c r="AG373" s="9">
        <f t="shared" si="61"/>
        <v>0</v>
      </c>
      <c r="AH373" s="8" t="str">
        <f t="array" ref="AH373">IF(AG373&gt;5,"Perlu Sensus",IF(AND(AG373&gt;=0,AD373&gt;0),"Tetap Deteksi","Belum Deteksi"))</f>
        <v>Belum Deteksi</v>
      </c>
      <c r="AI373" s="143"/>
      <c r="AJ373" s="9">
        <f t="shared" si="62"/>
        <v>0</v>
      </c>
      <c r="AK373" s="11"/>
      <c r="AL373" s="143"/>
      <c r="AM373" s="143"/>
      <c r="AN373" s="9">
        <f t="shared" si="63"/>
        <v>0</v>
      </c>
      <c r="AO373" s="8" t="str">
        <f t="array" ref="AO373">IF(AN373&gt;5,"Perlu Sensus",IF(AND(AN373&gt;=0,AL373&gt;0),"Tetap Deteksi","Belum Deteksi"))</f>
        <v>Belum Deteksi</v>
      </c>
      <c r="AP373" s="143"/>
      <c r="AQ373" s="9">
        <f t="shared" si="64"/>
        <v>0</v>
      </c>
    </row>
    <row r="374" spans="1:43" x14ac:dyDescent="0.15">
      <c r="A374" s="8" t="s">
        <v>1739</v>
      </c>
      <c r="B374" s="8" t="s">
        <v>14</v>
      </c>
      <c r="C374" s="8" t="s">
        <v>416</v>
      </c>
      <c r="D374" s="8" t="s">
        <v>1238</v>
      </c>
      <c r="E374" s="9">
        <v>29.21</v>
      </c>
      <c r="F374" s="8" t="s">
        <v>1740</v>
      </c>
      <c r="G374" s="10">
        <v>4197</v>
      </c>
      <c r="H374" s="11">
        <f t="array" ref="H374">IF(OR(N374&gt;0,AC374&gt;0),MAX(N374,AC374),MAX(AK374,V374))</f>
        <v>46244</v>
      </c>
      <c r="I374" s="143">
        <f t="array" ref="I374">IF(SUM(O374,AD374)&gt;0,SUM(O374,AD374),SUM(AL374,W374))</f>
        <v>106</v>
      </c>
      <c r="J374" s="9">
        <f t="shared" si="55"/>
        <v>2.5256135334762924</v>
      </c>
      <c r="K374" s="143">
        <f t="shared" si="65"/>
        <v>5</v>
      </c>
      <c r="L374" s="9">
        <f t="shared" si="56"/>
        <v>4.716981132075472</v>
      </c>
      <c r="M374" s="8" t="str">
        <f t="array" ref="M374">IF(L374&gt;5,"Perlu Sensus",IF(AND(L374&gt;=0,I374&gt;0),"Tetap Deteksi","Belum Deteksi"))</f>
        <v>Tetap Deteksi</v>
      </c>
      <c r="N374" s="11">
        <v>46244</v>
      </c>
      <c r="O374" s="143">
        <v>106</v>
      </c>
      <c r="P374" s="9">
        <f t="array" ref="P374">IFERROR(O374/$G374*100,0)</f>
        <v>2.5256135334762924</v>
      </c>
      <c r="Q374" s="143">
        <v>5</v>
      </c>
      <c r="R374" s="9">
        <f t="shared" si="57"/>
        <v>4.716981132075472</v>
      </c>
      <c r="S374" s="8" t="str">
        <f t="array" ref="S374">IF(R374&gt;5,"Perlu Sensus",IF(AND(R374&gt;=0,O374&gt;0),"Tetap Deteksi","Belum Deteksi"))</f>
        <v>Tetap Deteksi</v>
      </c>
      <c r="T374" s="143">
        <v>11</v>
      </c>
      <c r="U374" s="9">
        <f t="shared" si="58"/>
        <v>10.377358490566039</v>
      </c>
      <c r="V374" s="132">
        <v>46249</v>
      </c>
      <c r="W374" s="143">
        <v>313</v>
      </c>
      <c r="X374" s="143">
        <v>17</v>
      </c>
      <c r="Y374" s="9">
        <f t="shared" si="59"/>
        <v>5.4313099041533546</v>
      </c>
      <c r="Z374" s="8" t="str">
        <f t="array" ref="Z374">IF(Y374&gt;5,"Perlu Sensus",IF(AND(Y374&gt;=0,W374&gt;0),"Tetap Deteksi","Belum Deteksi"))</f>
        <v>Perlu Sensus</v>
      </c>
      <c r="AA374" s="143">
        <v>23</v>
      </c>
      <c r="AB374" s="9">
        <f t="shared" si="60"/>
        <v>7.3482428115015974</v>
      </c>
      <c r="AC374" s="11"/>
      <c r="AD374" s="143"/>
      <c r="AE374" s="9">
        <f t="array" ref="AE374">IFERROR(AD374/$G374*100,0)</f>
        <v>0</v>
      </c>
      <c r="AF374" s="143"/>
      <c r="AG374" s="9">
        <f t="shared" si="61"/>
        <v>0</v>
      </c>
      <c r="AH374" s="8" t="str">
        <f t="array" ref="AH374">IF(AG374&gt;5,"Perlu Sensus",IF(AND(AG374&gt;=0,AD374&gt;0),"Tetap Deteksi","Belum Deteksi"))</f>
        <v>Belum Deteksi</v>
      </c>
      <c r="AI374" s="143"/>
      <c r="AJ374" s="9">
        <f t="shared" si="62"/>
        <v>0</v>
      </c>
      <c r="AK374" s="11"/>
      <c r="AL374" s="143"/>
      <c r="AM374" s="143"/>
      <c r="AN374" s="9">
        <f t="shared" si="63"/>
        <v>0</v>
      </c>
      <c r="AO374" s="8" t="str">
        <f t="array" ref="AO374">IF(AN374&gt;5,"Perlu Sensus",IF(AND(AN374&gt;=0,AL374&gt;0),"Tetap Deteksi","Belum Deteksi"))</f>
        <v>Belum Deteksi</v>
      </c>
      <c r="AP374" s="143"/>
      <c r="AQ374" s="9">
        <f t="shared" si="64"/>
        <v>0</v>
      </c>
    </row>
    <row r="375" spans="1:43" x14ac:dyDescent="0.15">
      <c r="A375" s="8" t="s">
        <v>1739</v>
      </c>
      <c r="B375" s="8" t="s">
        <v>14</v>
      </c>
      <c r="C375" s="8" t="s">
        <v>416</v>
      </c>
      <c r="D375" s="8" t="s">
        <v>1239</v>
      </c>
      <c r="E375" s="9">
        <v>27.05</v>
      </c>
      <c r="F375" s="8" t="s">
        <v>1740</v>
      </c>
      <c r="G375" s="10">
        <v>4061</v>
      </c>
      <c r="H375" s="11">
        <f t="array" ref="H375">IF(OR(N375&gt;0,AC375&gt;0),MAX(N375,AC375),MAX(AK375,V375))</f>
        <v>46246</v>
      </c>
      <c r="I375" s="143">
        <f t="array" ref="I375">IF(SUM(O375,AD375)&gt;0,SUM(O375,AD375),SUM(AL375,W375))</f>
        <v>111</v>
      </c>
      <c r="J375" s="9">
        <f t="shared" si="55"/>
        <v>2.7333169170155136</v>
      </c>
      <c r="K375" s="143">
        <f t="shared" si="65"/>
        <v>6</v>
      </c>
      <c r="L375" s="9">
        <f t="shared" si="56"/>
        <v>5.4054054054054053</v>
      </c>
      <c r="M375" s="8" t="str">
        <f t="array" ref="M375">IF(L375&gt;5,"Perlu Sensus",IF(AND(L375&gt;=0,I375&gt;0),"Tetap Deteksi","Belum Deteksi"))</f>
        <v>Perlu Sensus</v>
      </c>
      <c r="N375" s="11">
        <v>46246</v>
      </c>
      <c r="O375" s="143">
        <v>111</v>
      </c>
      <c r="P375" s="9">
        <f t="array" ref="P375">IFERROR(O375/$G375*100,0)</f>
        <v>2.7333169170155136</v>
      </c>
      <c r="Q375" s="143">
        <v>6</v>
      </c>
      <c r="R375" s="9">
        <f t="shared" si="57"/>
        <v>5.4054054054054053</v>
      </c>
      <c r="S375" s="8" t="str">
        <f t="array" ref="S375">IF(R375&gt;5,"Perlu Sensus",IF(AND(R375&gt;=0,O375&gt;0),"Tetap Deteksi","Belum Deteksi"))</f>
        <v>Perlu Sensus</v>
      </c>
      <c r="T375" s="143">
        <v>13</v>
      </c>
      <c r="U375" s="9">
        <f t="shared" si="58"/>
        <v>11.711711711711711</v>
      </c>
      <c r="V375" s="132">
        <v>46249</v>
      </c>
      <c r="W375" s="143">
        <v>341</v>
      </c>
      <c r="X375" s="143">
        <v>27</v>
      </c>
      <c r="Y375" s="9">
        <f t="shared" si="59"/>
        <v>7.9178885630498534</v>
      </c>
      <c r="Z375" s="8" t="str">
        <f t="array" ref="Z375">IF(Y375&gt;5,"Perlu Sensus",IF(AND(Y375&gt;=0,W375&gt;0),"Tetap Deteksi","Belum Deteksi"))</f>
        <v>Perlu Sensus</v>
      </c>
      <c r="AA375" s="143">
        <v>19</v>
      </c>
      <c r="AB375" s="9">
        <f t="shared" si="60"/>
        <v>5.5718475073313778</v>
      </c>
      <c r="AC375" s="11"/>
      <c r="AD375" s="143"/>
      <c r="AE375" s="9">
        <f t="array" ref="AE375">IFERROR(AD375/$G375*100,0)</f>
        <v>0</v>
      </c>
      <c r="AF375" s="143"/>
      <c r="AG375" s="9">
        <f t="shared" si="61"/>
        <v>0</v>
      </c>
      <c r="AH375" s="8" t="str">
        <f t="array" ref="AH375">IF(AG375&gt;5,"Perlu Sensus",IF(AND(AG375&gt;=0,AD375&gt;0),"Tetap Deteksi","Belum Deteksi"))</f>
        <v>Belum Deteksi</v>
      </c>
      <c r="AI375" s="143"/>
      <c r="AJ375" s="9">
        <f t="shared" si="62"/>
        <v>0</v>
      </c>
      <c r="AK375" s="11"/>
      <c r="AL375" s="143"/>
      <c r="AM375" s="143"/>
      <c r="AN375" s="9">
        <f t="shared" si="63"/>
        <v>0</v>
      </c>
      <c r="AO375" s="8" t="str">
        <f t="array" ref="AO375">IF(AN375&gt;5,"Perlu Sensus",IF(AND(AN375&gt;=0,AL375&gt;0),"Tetap Deteksi","Belum Deteksi"))</f>
        <v>Belum Deteksi</v>
      </c>
      <c r="AP375" s="143"/>
      <c r="AQ375" s="9">
        <f t="shared" si="64"/>
        <v>0</v>
      </c>
    </row>
    <row r="376" spans="1:43" x14ac:dyDescent="0.15">
      <c r="A376" s="8" t="s">
        <v>1739</v>
      </c>
      <c r="B376" s="8" t="s">
        <v>14</v>
      </c>
      <c r="C376" s="8" t="s">
        <v>416</v>
      </c>
      <c r="D376" s="8" t="s">
        <v>1240</v>
      </c>
      <c r="E376" s="9">
        <v>21.88</v>
      </c>
      <c r="F376" s="8" t="s">
        <v>1740</v>
      </c>
      <c r="G376" s="10">
        <v>3087</v>
      </c>
      <c r="H376" s="11">
        <f t="array" ref="H376">IF(OR(N376&gt;0,AC376&gt;0),MAX(N376,AC376),MAX(AK376,V376))</f>
        <v>46246</v>
      </c>
      <c r="I376" s="143">
        <f t="array" ref="I376">IF(SUM(O376,AD376)&gt;0,SUM(O376,AD376),SUM(AL376,W376))</f>
        <v>88</v>
      </c>
      <c r="J376" s="9">
        <f t="shared" si="55"/>
        <v>2.8506640751538708</v>
      </c>
      <c r="K376" s="143">
        <f t="shared" si="65"/>
        <v>4</v>
      </c>
      <c r="L376" s="9">
        <f t="shared" si="56"/>
        <v>4.5454545454545459</v>
      </c>
      <c r="M376" s="8" t="str">
        <f t="array" ref="M376">IF(L376&gt;5,"Perlu Sensus",IF(AND(L376&gt;=0,I376&gt;0),"Tetap Deteksi","Belum Deteksi"))</f>
        <v>Tetap Deteksi</v>
      </c>
      <c r="N376" s="11">
        <v>46246</v>
      </c>
      <c r="O376" s="143">
        <v>88</v>
      </c>
      <c r="P376" s="9">
        <f t="array" ref="P376">IFERROR(O376/$G376*100,0)</f>
        <v>2.8506640751538708</v>
      </c>
      <c r="Q376" s="143">
        <v>4</v>
      </c>
      <c r="R376" s="9">
        <f t="shared" si="57"/>
        <v>4.5454545454545459</v>
      </c>
      <c r="S376" s="8" t="str">
        <f t="array" ref="S376">IF(R376&gt;5,"Perlu Sensus",IF(AND(R376&gt;=0,O376&gt;0),"Tetap Deteksi","Belum Deteksi"))</f>
        <v>Tetap Deteksi</v>
      </c>
      <c r="T376" s="143">
        <v>12</v>
      </c>
      <c r="U376" s="9">
        <f t="shared" si="58"/>
        <v>13.636363636363635</v>
      </c>
      <c r="V376" s="132">
        <v>46249</v>
      </c>
      <c r="W376" s="143">
        <v>409</v>
      </c>
      <c r="X376" s="143">
        <v>16</v>
      </c>
      <c r="Y376" s="9">
        <f t="shared" si="59"/>
        <v>3.9119804400977993</v>
      </c>
      <c r="Z376" s="8" t="str">
        <f t="array" ref="Z376">IF(Y376&gt;5,"Perlu Sensus",IF(AND(Y376&gt;=0,W376&gt;0),"Tetap Deteksi","Belum Deteksi"))</f>
        <v>Tetap Deteksi</v>
      </c>
      <c r="AA376" s="143">
        <v>26</v>
      </c>
      <c r="AB376" s="9">
        <f t="shared" si="60"/>
        <v>6.3569682151589246</v>
      </c>
      <c r="AC376" s="11"/>
      <c r="AD376" s="143"/>
      <c r="AE376" s="9">
        <f t="array" ref="AE376">IFERROR(AD376/$G376*100,0)</f>
        <v>0</v>
      </c>
      <c r="AF376" s="143"/>
      <c r="AG376" s="9">
        <f t="shared" si="61"/>
        <v>0</v>
      </c>
      <c r="AH376" s="8" t="str">
        <f t="array" ref="AH376">IF(AG376&gt;5,"Perlu Sensus",IF(AND(AG376&gt;=0,AD376&gt;0),"Tetap Deteksi","Belum Deteksi"))</f>
        <v>Belum Deteksi</v>
      </c>
      <c r="AI376" s="143"/>
      <c r="AJ376" s="9">
        <f t="shared" si="62"/>
        <v>0</v>
      </c>
      <c r="AK376" s="11"/>
      <c r="AL376" s="143"/>
      <c r="AM376" s="143"/>
      <c r="AN376" s="9">
        <f t="shared" si="63"/>
        <v>0</v>
      </c>
      <c r="AO376" s="8" t="str">
        <f t="array" ref="AO376">IF(AN376&gt;5,"Perlu Sensus",IF(AND(AN376&gt;=0,AL376&gt;0),"Tetap Deteksi","Belum Deteksi"))</f>
        <v>Belum Deteksi</v>
      </c>
      <c r="AP376" s="143"/>
      <c r="AQ376" s="9">
        <f t="shared" si="64"/>
        <v>0</v>
      </c>
    </row>
    <row r="377" spans="1:43" x14ac:dyDescent="0.15">
      <c r="A377" s="8" t="s">
        <v>1739</v>
      </c>
      <c r="B377" s="8" t="s">
        <v>14</v>
      </c>
      <c r="C377" s="8" t="s">
        <v>416</v>
      </c>
      <c r="D377" s="8" t="s">
        <v>1241</v>
      </c>
      <c r="E377" s="9">
        <v>22.46</v>
      </c>
      <c r="F377" s="8" t="s">
        <v>1740</v>
      </c>
      <c r="G377" s="10">
        <v>2354</v>
      </c>
      <c r="H377" s="11">
        <f t="array" ref="H377">IF(OR(N377&gt;0,AC377&gt;0),MAX(N377,AC377),MAX(AK377,V377))</f>
        <v>46246</v>
      </c>
      <c r="I377" s="143">
        <f t="array" ref="I377">IF(SUM(O377,AD377)&gt;0,SUM(O377,AD377),SUM(AL377,W377))</f>
        <v>86</v>
      </c>
      <c r="J377" s="9">
        <f t="shared" si="55"/>
        <v>3.653355989804588</v>
      </c>
      <c r="K377" s="143">
        <f t="shared" si="65"/>
        <v>5</v>
      </c>
      <c r="L377" s="9">
        <f t="shared" si="56"/>
        <v>5.8139534883720927</v>
      </c>
      <c r="M377" s="8" t="str">
        <f t="array" ref="M377">IF(L377&gt;5,"Perlu Sensus",IF(AND(L377&gt;=0,I377&gt;0),"Tetap Deteksi","Belum Deteksi"))</f>
        <v>Perlu Sensus</v>
      </c>
      <c r="N377" s="11">
        <v>46246</v>
      </c>
      <c r="O377" s="143">
        <v>86</v>
      </c>
      <c r="P377" s="9">
        <f t="array" ref="P377">IFERROR(O377/$G377*100,0)</f>
        <v>3.653355989804588</v>
      </c>
      <c r="Q377" s="143">
        <v>5</v>
      </c>
      <c r="R377" s="9">
        <f t="shared" si="57"/>
        <v>5.8139534883720927</v>
      </c>
      <c r="S377" s="8" t="str">
        <f t="array" ref="S377">IF(R377&gt;5,"Perlu Sensus",IF(AND(R377&gt;=0,O377&gt;0),"Tetap Deteksi","Belum Deteksi"))</f>
        <v>Perlu Sensus</v>
      </c>
      <c r="T377" s="143">
        <v>15</v>
      </c>
      <c r="U377" s="9">
        <f t="shared" si="58"/>
        <v>17.441860465116278</v>
      </c>
      <c r="V377" s="132">
        <v>46249</v>
      </c>
      <c r="W377" s="143">
        <v>435</v>
      </c>
      <c r="X377" s="143">
        <v>19</v>
      </c>
      <c r="Y377" s="9">
        <f t="shared" si="59"/>
        <v>4.3678160919540225</v>
      </c>
      <c r="Z377" s="8" t="str">
        <f t="array" ref="Z377">IF(Y377&gt;5,"Perlu Sensus",IF(AND(Y377&gt;=0,W377&gt;0),"Tetap Deteksi","Belum Deteksi"))</f>
        <v>Tetap Deteksi</v>
      </c>
      <c r="AA377" s="143">
        <v>21</v>
      </c>
      <c r="AB377" s="9">
        <f t="shared" si="60"/>
        <v>4.8275862068965516</v>
      </c>
      <c r="AC377" s="11"/>
      <c r="AD377" s="143"/>
      <c r="AE377" s="9">
        <f t="array" ref="AE377">IFERROR(AD377/$G377*100,0)</f>
        <v>0</v>
      </c>
      <c r="AF377" s="143"/>
      <c r="AG377" s="9">
        <f t="shared" si="61"/>
        <v>0</v>
      </c>
      <c r="AH377" s="8" t="str">
        <f t="array" ref="AH377">IF(AG377&gt;5,"Perlu Sensus",IF(AND(AG377&gt;=0,AD377&gt;0),"Tetap Deteksi","Belum Deteksi"))</f>
        <v>Belum Deteksi</v>
      </c>
      <c r="AI377" s="143"/>
      <c r="AJ377" s="9">
        <f t="shared" si="62"/>
        <v>0</v>
      </c>
      <c r="AK377" s="11"/>
      <c r="AL377" s="143"/>
      <c r="AM377" s="143"/>
      <c r="AN377" s="9">
        <f t="shared" si="63"/>
        <v>0</v>
      </c>
      <c r="AO377" s="8" t="str">
        <f t="array" ref="AO377">IF(AN377&gt;5,"Perlu Sensus",IF(AND(AN377&gt;=0,AL377&gt;0),"Tetap Deteksi","Belum Deteksi"))</f>
        <v>Belum Deteksi</v>
      </c>
      <c r="AP377" s="143"/>
      <c r="AQ377" s="9">
        <f t="shared" si="64"/>
        <v>0</v>
      </c>
    </row>
    <row r="378" spans="1:43" x14ac:dyDescent="0.15">
      <c r="A378" s="8" t="s">
        <v>1739</v>
      </c>
      <c r="B378" s="8" t="s">
        <v>14</v>
      </c>
      <c r="C378" s="8" t="s">
        <v>416</v>
      </c>
      <c r="D378" s="8" t="s">
        <v>1242</v>
      </c>
      <c r="E378" s="9">
        <v>28.29</v>
      </c>
      <c r="F378" s="8" t="s">
        <v>1740</v>
      </c>
      <c r="G378" s="10">
        <v>3163</v>
      </c>
      <c r="H378" s="11">
        <f t="array" ref="H378">IF(OR(N378&gt;0,AC378&gt;0),MAX(N378,AC378),MAX(AK378,V378))</f>
        <v>46246</v>
      </c>
      <c r="I378" s="143">
        <f t="array" ref="I378">IF(SUM(O378,AD378)&gt;0,SUM(O378,AD378),SUM(AL378,W378))</f>
        <v>87</v>
      </c>
      <c r="J378" s="9">
        <f t="shared" si="55"/>
        <v>2.7505532722099271</v>
      </c>
      <c r="K378" s="143">
        <f t="shared" si="65"/>
        <v>6</v>
      </c>
      <c r="L378" s="9">
        <f t="shared" si="56"/>
        <v>6.8965517241379306</v>
      </c>
      <c r="M378" s="8" t="str">
        <f t="array" ref="M378">IF(L378&gt;5,"Perlu Sensus",IF(AND(L378&gt;=0,I378&gt;0),"Tetap Deteksi","Belum Deteksi"))</f>
        <v>Perlu Sensus</v>
      </c>
      <c r="N378" s="11">
        <v>46246</v>
      </c>
      <c r="O378" s="143">
        <v>87</v>
      </c>
      <c r="P378" s="9">
        <f t="array" ref="P378">IFERROR(O378/$G378*100,0)</f>
        <v>2.7505532722099271</v>
      </c>
      <c r="Q378" s="143">
        <v>6</v>
      </c>
      <c r="R378" s="9">
        <f t="shared" si="57"/>
        <v>6.8965517241379306</v>
      </c>
      <c r="S378" s="8" t="str">
        <f t="array" ref="S378">IF(R378&gt;5,"Perlu Sensus",IF(AND(R378&gt;=0,O378&gt;0),"Tetap Deteksi","Belum Deteksi"))</f>
        <v>Perlu Sensus</v>
      </c>
      <c r="T378" s="143">
        <v>15</v>
      </c>
      <c r="U378" s="9">
        <f t="shared" si="58"/>
        <v>17.241379310344829</v>
      </c>
      <c r="V378" s="132">
        <v>46249</v>
      </c>
      <c r="W378" s="143">
        <v>306</v>
      </c>
      <c r="X378" s="143">
        <v>27</v>
      </c>
      <c r="Y378" s="9">
        <f t="shared" si="59"/>
        <v>8.8235294117647065</v>
      </c>
      <c r="Z378" s="8" t="str">
        <f t="array" ref="Z378">IF(Y378&gt;5,"Perlu Sensus",IF(AND(Y378&gt;=0,W378&gt;0),"Tetap Deteksi","Belum Deteksi"))</f>
        <v>Perlu Sensus</v>
      </c>
      <c r="AA378" s="143">
        <v>27</v>
      </c>
      <c r="AB378" s="9">
        <f t="shared" si="60"/>
        <v>8.8235294117647065</v>
      </c>
      <c r="AC378" s="11"/>
      <c r="AD378" s="143"/>
      <c r="AE378" s="9">
        <f t="array" ref="AE378">IFERROR(AD378/$G378*100,0)</f>
        <v>0</v>
      </c>
      <c r="AF378" s="143"/>
      <c r="AG378" s="9">
        <f t="shared" si="61"/>
        <v>0</v>
      </c>
      <c r="AH378" s="8" t="str">
        <f t="array" ref="AH378">IF(AG378&gt;5,"Perlu Sensus",IF(AND(AG378&gt;=0,AD378&gt;0),"Tetap Deteksi","Belum Deteksi"))</f>
        <v>Belum Deteksi</v>
      </c>
      <c r="AI378" s="143"/>
      <c r="AJ378" s="9">
        <f t="shared" si="62"/>
        <v>0</v>
      </c>
      <c r="AK378" s="11"/>
      <c r="AL378" s="143"/>
      <c r="AM378" s="143"/>
      <c r="AN378" s="9">
        <f t="shared" si="63"/>
        <v>0</v>
      </c>
      <c r="AO378" s="8" t="str">
        <f t="array" ref="AO378">IF(AN378&gt;5,"Perlu Sensus",IF(AND(AN378&gt;=0,AL378&gt;0),"Tetap Deteksi","Belum Deteksi"))</f>
        <v>Belum Deteksi</v>
      </c>
      <c r="AP378" s="143"/>
      <c r="AQ378" s="9">
        <f t="shared" si="64"/>
        <v>0</v>
      </c>
    </row>
    <row r="379" spans="1:43" x14ac:dyDescent="0.15">
      <c r="A379" s="8" t="s">
        <v>1739</v>
      </c>
      <c r="B379" s="8" t="s">
        <v>14</v>
      </c>
      <c r="C379" s="8" t="s">
        <v>416</v>
      </c>
      <c r="D379" s="8" t="s">
        <v>1243</v>
      </c>
      <c r="E379" s="9">
        <v>28.85</v>
      </c>
      <c r="F379" s="8" t="s">
        <v>1740</v>
      </c>
      <c r="G379" s="10">
        <v>3771</v>
      </c>
      <c r="H379" s="11">
        <f t="array" ref="H379">IF(OR(N379&gt;0,AC379&gt;0),MAX(N379,AC379),MAX(AK379,V379))</f>
        <v>46246</v>
      </c>
      <c r="I379" s="143">
        <f t="array" ref="I379">IF(SUM(O379,AD379)&gt;0,SUM(O379,AD379),SUM(AL379,W379))</f>
        <v>65</v>
      </c>
      <c r="J379" s="9">
        <f t="shared" si="55"/>
        <v>1.7236807212940866</v>
      </c>
      <c r="K379" s="143">
        <f t="shared" si="65"/>
        <v>5</v>
      </c>
      <c r="L379" s="9">
        <f t="shared" si="56"/>
        <v>7.6923076923076925</v>
      </c>
      <c r="M379" s="8" t="str">
        <f t="array" ref="M379">IF(L379&gt;5,"Perlu Sensus",IF(AND(L379&gt;=0,I379&gt;0),"Tetap Deteksi","Belum Deteksi"))</f>
        <v>Perlu Sensus</v>
      </c>
      <c r="N379" s="11">
        <v>46246</v>
      </c>
      <c r="O379" s="143">
        <v>65</v>
      </c>
      <c r="P379" s="9">
        <f t="array" ref="P379">IFERROR(O379/$G379*100,0)</f>
        <v>1.7236807212940866</v>
      </c>
      <c r="Q379" s="143">
        <v>5</v>
      </c>
      <c r="R379" s="9">
        <f t="shared" si="57"/>
        <v>7.6923076923076925</v>
      </c>
      <c r="S379" s="8" t="str">
        <f t="array" ref="S379">IF(R379&gt;5,"Perlu Sensus",IF(AND(R379&gt;=0,O379&gt;0),"Tetap Deteksi","Belum Deteksi"))</f>
        <v>Perlu Sensus</v>
      </c>
      <c r="T379" s="143">
        <v>16</v>
      </c>
      <c r="U379" s="9">
        <f t="shared" si="58"/>
        <v>24.615384615384617</v>
      </c>
      <c r="V379" s="132">
        <v>46249</v>
      </c>
      <c r="W379" s="143">
        <v>288</v>
      </c>
      <c r="X379" s="143">
        <v>14</v>
      </c>
      <c r="Y379" s="9">
        <f t="shared" si="59"/>
        <v>4.8611111111111116</v>
      </c>
      <c r="Z379" s="8" t="str">
        <f t="array" ref="Z379">IF(Y379&gt;5,"Perlu Sensus",IF(AND(Y379&gt;=0,W379&gt;0),"Tetap Deteksi","Belum Deteksi"))</f>
        <v>Tetap Deteksi</v>
      </c>
      <c r="AA379" s="143">
        <v>22</v>
      </c>
      <c r="AB379" s="9">
        <f t="shared" si="60"/>
        <v>7.6388888888888893</v>
      </c>
      <c r="AC379" s="11"/>
      <c r="AD379" s="143"/>
      <c r="AE379" s="9">
        <f t="array" ref="AE379">IFERROR(AD379/$G379*100,0)</f>
        <v>0</v>
      </c>
      <c r="AF379" s="143"/>
      <c r="AG379" s="9">
        <f t="shared" si="61"/>
        <v>0</v>
      </c>
      <c r="AH379" s="8" t="str">
        <f t="array" ref="AH379">IF(AG379&gt;5,"Perlu Sensus",IF(AND(AG379&gt;=0,AD379&gt;0),"Tetap Deteksi","Belum Deteksi"))</f>
        <v>Belum Deteksi</v>
      </c>
      <c r="AI379" s="143"/>
      <c r="AJ379" s="9">
        <f t="shared" si="62"/>
        <v>0</v>
      </c>
      <c r="AK379" s="11"/>
      <c r="AL379" s="143"/>
      <c r="AM379" s="143"/>
      <c r="AN379" s="9">
        <f t="shared" si="63"/>
        <v>0</v>
      </c>
      <c r="AO379" s="8" t="str">
        <f t="array" ref="AO379">IF(AN379&gt;5,"Perlu Sensus",IF(AND(AN379&gt;=0,AL379&gt;0),"Tetap Deteksi","Belum Deteksi"))</f>
        <v>Belum Deteksi</v>
      </c>
      <c r="AP379" s="143"/>
      <c r="AQ379" s="9">
        <f t="shared" si="64"/>
        <v>0</v>
      </c>
    </row>
    <row r="380" spans="1:43" x14ac:dyDescent="0.15">
      <c r="A380" s="8" t="s">
        <v>1739</v>
      </c>
      <c r="B380" s="8" t="s">
        <v>14</v>
      </c>
      <c r="C380" s="8" t="s">
        <v>416</v>
      </c>
      <c r="D380" s="8" t="s">
        <v>1244</v>
      </c>
      <c r="E380" s="9">
        <v>27.58</v>
      </c>
      <c r="F380" s="8" t="s">
        <v>1740</v>
      </c>
      <c r="G380" s="10">
        <v>3456</v>
      </c>
      <c r="H380" s="11">
        <f t="array" ref="H380">IF(OR(N380&gt;0,AC380&gt;0),MAX(N380,AC380),MAX(AK380,V380))</f>
        <v>46247</v>
      </c>
      <c r="I380" s="143">
        <f t="array" ref="I380">IF(SUM(O380,AD380)&gt;0,SUM(O380,AD380),SUM(AL380,W380))</f>
        <v>98</v>
      </c>
      <c r="J380" s="9">
        <f t="shared" si="55"/>
        <v>2.8356481481481484</v>
      </c>
      <c r="K380" s="143">
        <f t="shared" si="65"/>
        <v>2</v>
      </c>
      <c r="L380" s="9">
        <f t="shared" si="56"/>
        <v>2.0408163265306123</v>
      </c>
      <c r="M380" s="8" t="str">
        <f t="array" ref="M380">IF(L380&gt;5,"Perlu Sensus",IF(AND(L380&gt;=0,I380&gt;0),"Tetap Deteksi","Belum Deteksi"))</f>
        <v>Tetap Deteksi</v>
      </c>
      <c r="N380" s="11">
        <v>46247</v>
      </c>
      <c r="O380" s="143">
        <v>98</v>
      </c>
      <c r="P380" s="9">
        <f t="array" ref="P380">IFERROR(O380/$G380*100,0)</f>
        <v>2.8356481481481484</v>
      </c>
      <c r="Q380" s="143">
        <v>2</v>
      </c>
      <c r="R380" s="9">
        <f t="shared" si="57"/>
        <v>2.0408163265306123</v>
      </c>
      <c r="S380" s="8" t="str">
        <f t="array" ref="S380">IF(R380&gt;5,"Perlu Sensus",IF(AND(R380&gt;=0,O380&gt;0),"Tetap Deteksi","Belum Deteksi"))</f>
        <v>Tetap Deteksi</v>
      </c>
      <c r="T380" s="143">
        <v>12</v>
      </c>
      <c r="U380" s="9">
        <f t="shared" si="58"/>
        <v>12.244897959183673</v>
      </c>
      <c r="V380" s="132">
        <v>46249</v>
      </c>
      <c r="W380" s="143">
        <v>259</v>
      </c>
      <c r="X380" s="143">
        <v>11</v>
      </c>
      <c r="Y380" s="9">
        <f t="shared" si="59"/>
        <v>4.2471042471042466</v>
      </c>
      <c r="Z380" s="8" t="str">
        <f t="array" ref="Z380">IF(Y380&gt;5,"Perlu Sensus",IF(AND(Y380&gt;=0,W380&gt;0),"Tetap Deteksi","Belum Deteksi"))</f>
        <v>Tetap Deteksi</v>
      </c>
      <c r="AA380" s="143">
        <v>25</v>
      </c>
      <c r="AB380" s="9">
        <f t="shared" si="60"/>
        <v>9.6525096525096519</v>
      </c>
      <c r="AC380" s="11"/>
      <c r="AD380" s="143"/>
      <c r="AE380" s="9">
        <f t="array" ref="AE380">IFERROR(AD380/$G380*100,0)</f>
        <v>0</v>
      </c>
      <c r="AF380" s="143"/>
      <c r="AG380" s="9">
        <f t="shared" si="61"/>
        <v>0</v>
      </c>
      <c r="AH380" s="8" t="str">
        <f t="array" ref="AH380">IF(AG380&gt;5,"Perlu Sensus",IF(AND(AG380&gt;=0,AD380&gt;0),"Tetap Deteksi","Belum Deteksi"))</f>
        <v>Belum Deteksi</v>
      </c>
      <c r="AI380" s="143"/>
      <c r="AJ380" s="9">
        <f t="shared" si="62"/>
        <v>0</v>
      </c>
      <c r="AK380" s="11"/>
      <c r="AL380" s="143"/>
      <c r="AM380" s="143"/>
      <c r="AN380" s="9">
        <f t="shared" si="63"/>
        <v>0</v>
      </c>
      <c r="AO380" s="8" t="str">
        <f t="array" ref="AO380">IF(AN380&gt;5,"Perlu Sensus",IF(AND(AN380&gt;=0,AL380&gt;0),"Tetap Deteksi","Belum Deteksi"))</f>
        <v>Belum Deteksi</v>
      </c>
      <c r="AP380" s="143"/>
      <c r="AQ380" s="9">
        <f t="shared" si="64"/>
        <v>0</v>
      </c>
    </row>
    <row r="381" spans="1:43" x14ac:dyDescent="0.15">
      <c r="A381" s="8" t="s">
        <v>1739</v>
      </c>
      <c r="B381" s="8" t="s">
        <v>14</v>
      </c>
      <c r="C381" s="8" t="s">
        <v>416</v>
      </c>
      <c r="D381" s="8" t="s">
        <v>1245</v>
      </c>
      <c r="E381" s="9">
        <v>26.48</v>
      </c>
      <c r="F381" s="8" t="s">
        <v>1740</v>
      </c>
      <c r="G381" s="10">
        <v>3210</v>
      </c>
      <c r="H381" s="11">
        <f t="array" ref="H381">IF(OR(N381&gt;0,AC381&gt;0),MAX(N381,AC381),MAX(AK381,V381))</f>
        <v>46247</v>
      </c>
      <c r="I381" s="143">
        <f t="array" ref="I381">IF(SUM(O381,AD381)&gt;0,SUM(O381,AD381),SUM(AL381,W381))</f>
        <v>84</v>
      </c>
      <c r="J381" s="9">
        <f t="shared" si="55"/>
        <v>2.6168224299065423</v>
      </c>
      <c r="K381" s="143">
        <f t="shared" si="65"/>
        <v>4</v>
      </c>
      <c r="L381" s="9">
        <f t="shared" si="56"/>
        <v>4.7619047619047619</v>
      </c>
      <c r="M381" s="8" t="str">
        <f t="array" ref="M381">IF(L381&gt;5,"Perlu Sensus",IF(AND(L381&gt;=0,I381&gt;0),"Tetap Deteksi","Belum Deteksi"))</f>
        <v>Tetap Deteksi</v>
      </c>
      <c r="N381" s="11">
        <v>46247</v>
      </c>
      <c r="O381" s="143">
        <v>84</v>
      </c>
      <c r="P381" s="9">
        <f t="array" ref="P381">IFERROR(O381/$G381*100,0)</f>
        <v>2.6168224299065423</v>
      </c>
      <c r="Q381" s="143">
        <v>4</v>
      </c>
      <c r="R381" s="9">
        <f t="shared" si="57"/>
        <v>4.7619047619047619</v>
      </c>
      <c r="S381" s="8" t="str">
        <f t="array" ref="S381">IF(R381&gt;5,"Perlu Sensus",IF(AND(R381&gt;=0,O381&gt;0),"Tetap Deteksi","Belum Deteksi"))</f>
        <v>Tetap Deteksi</v>
      </c>
      <c r="T381" s="143">
        <v>15</v>
      </c>
      <c r="U381" s="9">
        <f t="shared" si="58"/>
        <v>17.857142857142858</v>
      </c>
      <c r="V381" s="132">
        <v>46249</v>
      </c>
      <c r="W381" s="143">
        <v>437</v>
      </c>
      <c r="X381" s="143">
        <v>26</v>
      </c>
      <c r="Y381" s="9">
        <f t="shared" si="59"/>
        <v>5.9496567505720828</v>
      </c>
      <c r="Z381" s="8" t="str">
        <f t="array" ref="Z381">IF(Y381&gt;5,"Perlu Sensus",IF(AND(Y381&gt;=0,W381&gt;0),"Tetap Deteksi","Belum Deteksi"))</f>
        <v>Perlu Sensus</v>
      </c>
      <c r="AA381" s="143">
        <v>27</v>
      </c>
      <c r="AB381" s="9">
        <f t="shared" si="60"/>
        <v>6.1784897025171626</v>
      </c>
      <c r="AC381" s="11"/>
      <c r="AD381" s="143"/>
      <c r="AE381" s="9">
        <f t="array" ref="AE381">IFERROR(AD381/$G381*100,0)</f>
        <v>0</v>
      </c>
      <c r="AF381" s="143"/>
      <c r="AG381" s="9">
        <f t="shared" si="61"/>
        <v>0</v>
      </c>
      <c r="AH381" s="8" t="str">
        <f t="array" ref="AH381">IF(AG381&gt;5,"Perlu Sensus",IF(AND(AG381&gt;=0,AD381&gt;0),"Tetap Deteksi","Belum Deteksi"))</f>
        <v>Belum Deteksi</v>
      </c>
      <c r="AI381" s="143"/>
      <c r="AJ381" s="9">
        <f t="shared" si="62"/>
        <v>0</v>
      </c>
      <c r="AK381" s="11"/>
      <c r="AL381" s="143"/>
      <c r="AM381" s="143"/>
      <c r="AN381" s="9">
        <f t="shared" si="63"/>
        <v>0</v>
      </c>
      <c r="AO381" s="8" t="str">
        <f t="array" ref="AO381">IF(AN381&gt;5,"Perlu Sensus",IF(AND(AN381&gt;=0,AL381&gt;0),"Tetap Deteksi","Belum Deteksi"))</f>
        <v>Belum Deteksi</v>
      </c>
      <c r="AP381" s="143"/>
      <c r="AQ381" s="9">
        <f t="shared" si="64"/>
        <v>0</v>
      </c>
    </row>
    <row r="382" spans="1:43" x14ac:dyDescent="0.15">
      <c r="A382" s="8" t="s">
        <v>1739</v>
      </c>
      <c r="B382" s="8" t="s">
        <v>14</v>
      </c>
      <c r="C382" s="8" t="s">
        <v>416</v>
      </c>
      <c r="D382" s="8" t="s">
        <v>1246</v>
      </c>
      <c r="E382" s="9">
        <v>24.28</v>
      </c>
      <c r="F382" s="8" t="s">
        <v>1740</v>
      </c>
      <c r="G382" s="10">
        <v>3407</v>
      </c>
      <c r="H382" s="11">
        <f t="array" ref="H382">IF(OR(N382&gt;0,AC382&gt;0),MAX(N382,AC382),MAX(AK382,V382))</f>
        <v>46247</v>
      </c>
      <c r="I382" s="143">
        <f t="array" ref="I382">IF(SUM(O382,AD382)&gt;0,SUM(O382,AD382),SUM(AL382,W382))</f>
        <v>68</v>
      </c>
      <c r="J382" s="9">
        <f t="shared" si="55"/>
        <v>1.995890813031993</v>
      </c>
      <c r="K382" s="143">
        <f t="shared" si="65"/>
        <v>5</v>
      </c>
      <c r="L382" s="9">
        <f t="shared" si="56"/>
        <v>7.3529411764705888</v>
      </c>
      <c r="M382" s="8" t="str">
        <f t="array" ref="M382">IF(L382&gt;5,"Perlu Sensus",IF(AND(L382&gt;=0,I382&gt;0),"Tetap Deteksi","Belum Deteksi"))</f>
        <v>Perlu Sensus</v>
      </c>
      <c r="N382" s="11">
        <v>46247</v>
      </c>
      <c r="O382" s="143">
        <v>68</v>
      </c>
      <c r="P382" s="9">
        <f t="array" ref="P382">IFERROR(O382/$G382*100,0)</f>
        <v>1.995890813031993</v>
      </c>
      <c r="Q382" s="143">
        <v>5</v>
      </c>
      <c r="R382" s="9">
        <f t="shared" si="57"/>
        <v>7.3529411764705888</v>
      </c>
      <c r="S382" s="8" t="str">
        <f t="array" ref="S382">IF(R382&gt;5,"Perlu Sensus",IF(AND(R382&gt;=0,O382&gt;0),"Tetap Deteksi","Belum Deteksi"))</f>
        <v>Perlu Sensus</v>
      </c>
      <c r="T382" s="143">
        <v>13</v>
      </c>
      <c r="U382" s="9">
        <f t="shared" si="58"/>
        <v>19.117647058823529</v>
      </c>
      <c r="V382" s="132">
        <v>46249</v>
      </c>
      <c r="W382" s="143">
        <v>374</v>
      </c>
      <c r="X382" s="143">
        <v>15</v>
      </c>
      <c r="Y382" s="9">
        <f t="shared" si="59"/>
        <v>4.0106951871657754</v>
      </c>
      <c r="Z382" s="8" t="str">
        <f t="array" ref="Z382">IF(Y382&gt;5,"Perlu Sensus",IF(AND(Y382&gt;=0,W382&gt;0),"Tetap Deteksi","Belum Deteksi"))</f>
        <v>Tetap Deteksi</v>
      </c>
      <c r="AA382" s="143">
        <v>21</v>
      </c>
      <c r="AB382" s="9">
        <f t="shared" si="60"/>
        <v>5.6149732620320858</v>
      </c>
      <c r="AC382" s="11"/>
      <c r="AD382" s="143"/>
      <c r="AE382" s="9">
        <f t="array" ref="AE382">IFERROR(AD382/$G382*100,0)</f>
        <v>0</v>
      </c>
      <c r="AF382" s="143"/>
      <c r="AG382" s="9">
        <f t="shared" si="61"/>
        <v>0</v>
      </c>
      <c r="AH382" s="8" t="str">
        <f t="array" ref="AH382">IF(AG382&gt;5,"Perlu Sensus",IF(AND(AG382&gt;=0,AD382&gt;0),"Tetap Deteksi","Belum Deteksi"))</f>
        <v>Belum Deteksi</v>
      </c>
      <c r="AI382" s="143"/>
      <c r="AJ382" s="9">
        <f t="shared" si="62"/>
        <v>0</v>
      </c>
      <c r="AK382" s="11"/>
      <c r="AL382" s="143"/>
      <c r="AM382" s="143"/>
      <c r="AN382" s="9">
        <f t="shared" si="63"/>
        <v>0</v>
      </c>
      <c r="AO382" s="8" t="str">
        <f t="array" ref="AO382">IF(AN382&gt;5,"Perlu Sensus",IF(AND(AN382&gt;=0,AL382&gt;0),"Tetap Deteksi","Belum Deteksi"))</f>
        <v>Belum Deteksi</v>
      </c>
      <c r="AP382" s="143"/>
      <c r="AQ382" s="9">
        <f t="shared" si="64"/>
        <v>0</v>
      </c>
    </row>
    <row r="383" spans="1:43" x14ac:dyDescent="0.15">
      <c r="A383" s="8" t="s">
        <v>1739</v>
      </c>
      <c r="B383" s="8" t="s">
        <v>14</v>
      </c>
      <c r="C383" s="8" t="s">
        <v>416</v>
      </c>
      <c r="D383" s="8" t="s">
        <v>1247</v>
      </c>
      <c r="E383" s="9">
        <v>29.73</v>
      </c>
      <c r="F383" s="8" t="s">
        <v>1740</v>
      </c>
      <c r="G383" s="10">
        <v>4080</v>
      </c>
      <c r="H383" s="11">
        <f t="array" ref="H383">IF(OR(N383&gt;0,AC383&gt;0),MAX(N383,AC383),MAX(AK383,V383))</f>
        <v>46247</v>
      </c>
      <c r="I383" s="143">
        <f t="array" ref="I383">IF(SUM(O383,AD383)&gt;0,SUM(O383,AD383),SUM(AL383,W383))</f>
        <v>75</v>
      </c>
      <c r="J383" s="9">
        <f t="shared" si="55"/>
        <v>1.8382352941176472</v>
      </c>
      <c r="K383" s="143">
        <f t="shared" si="65"/>
        <v>3</v>
      </c>
      <c r="L383" s="9">
        <f t="shared" si="56"/>
        <v>4</v>
      </c>
      <c r="M383" s="8" t="str">
        <f t="array" ref="M383">IF(L383&gt;5,"Perlu Sensus",IF(AND(L383&gt;=0,I383&gt;0),"Tetap Deteksi","Belum Deteksi"))</f>
        <v>Tetap Deteksi</v>
      </c>
      <c r="N383" s="11">
        <v>46247</v>
      </c>
      <c r="O383" s="143">
        <v>75</v>
      </c>
      <c r="P383" s="9">
        <f t="array" ref="P383">IFERROR(O383/$G383*100,0)</f>
        <v>1.8382352941176472</v>
      </c>
      <c r="Q383" s="143">
        <v>3</v>
      </c>
      <c r="R383" s="9">
        <f t="shared" si="57"/>
        <v>4</v>
      </c>
      <c r="S383" s="8" t="str">
        <f t="array" ref="S383">IF(R383&gt;5,"Perlu Sensus",IF(AND(R383&gt;=0,O383&gt;0),"Tetap Deteksi","Belum Deteksi"))</f>
        <v>Tetap Deteksi</v>
      </c>
      <c r="T383" s="143">
        <v>12</v>
      </c>
      <c r="U383" s="9">
        <f t="shared" si="58"/>
        <v>16</v>
      </c>
      <c r="V383" s="132">
        <v>46249</v>
      </c>
      <c r="W383" s="143">
        <v>388</v>
      </c>
      <c r="X383" s="143">
        <v>15</v>
      </c>
      <c r="Y383" s="9">
        <f t="shared" si="59"/>
        <v>3.865979381443299</v>
      </c>
      <c r="Z383" s="8" t="str">
        <f t="array" ref="Z383">IF(Y383&gt;5,"Perlu Sensus",IF(AND(Y383&gt;=0,W383&gt;0),"Tetap Deteksi","Belum Deteksi"))</f>
        <v>Tetap Deteksi</v>
      </c>
      <c r="AA383" s="143">
        <v>17</v>
      </c>
      <c r="AB383" s="9">
        <f t="shared" si="60"/>
        <v>4.3814432989690717</v>
      </c>
      <c r="AC383" s="11"/>
      <c r="AD383" s="143"/>
      <c r="AE383" s="9">
        <f t="array" ref="AE383">IFERROR(AD383/$G383*100,0)</f>
        <v>0</v>
      </c>
      <c r="AF383" s="143"/>
      <c r="AG383" s="9">
        <f t="shared" si="61"/>
        <v>0</v>
      </c>
      <c r="AH383" s="8" t="str">
        <f t="array" ref="AH383">IF(AG383&gt;5,"Perlu Sensus",IF(AND(AG383&gt;=0,AD383&gt;0),"Tetap Deteksi","Belum Deteksi"))</f>
        <v>Belum Deteksi</v>
      </c>
      <c r="AI383" s="143"/>
      <c r="AJ383" s="9">
        <f t="shared" si="62"/>
        <v>0</v>
      </c>
      <c r="AK383" s="11"/>
      <c r="AL383" s="143"/>
      <c r="AM383" s="143"/>
      <c r="AN383" s="9">
        <f t="shared" si="63"/>
        <v>0</v>
      </c>
      <c r="AO383" s="8" t="str">
        <f t="array" ref="AO383">IF(AN383&gt;5,"Perlu Sensus",IF(AND(AN383&gt;=0,AL383&gt;0),"Tetap Deteksi","Belum Deteksi"))</f>
        <v>Belum Deteksi</v>
      </c>
      <c r="AP383" s="143"/>
      <c r="AQ383" s="9">
        <f t="shared" si="64"/>
        <v>0</v>
      </c>
    </row>
    <row r="384" spans="1:43" x14ac:dyDescent="0.15">
      <c r="A384" s="8" t="s">
        <v>1739</v>
      </c>
      <c r="B384" s="8" t="s">
        <v>14</v>
      </c>
      <c r="C384" s="8" t="s">
        <v>416</v>
      </c>
      <c r="D384" s="8" t="s">
        <v>1248</v>
      </c>
      <c r="E384" s="9">
        <v>29.54</v>
      </c>
      <c r="F384" s="8" t="s">
        <v>1740</v>
      </c>
      <c r="G384" s="10">
        <v>3594</v>
      </c>
      <c r="H384" s="11">
        <f t="array" ref="H384">IF(OR(N384&gt;0,AC384&gt;0),MAX(N384,AC384),MAX(AK384,V384))</f>
        <v>46248</v>
      </c>
      <c r="I384" s="143">
        <f t="array" ref="I384">IF(SUM(O384,AD384)&gt;0,SUM(O384,AD384),SUM(AL384,W384))</f>
        <v>86</v>
      </c>
      <c r="J384" s="9">
        <f t="shared" si="55"/>
        <v>2.3928770172509739</v>
      </c>
      <c r="K384" s="143">
        <f t="shared" si="65"/>
        <v>5</v>
      </c>
      <c r="L384" s="9">
        <f t="shared" si="56"/>
        <v>5.8139534883720927</v>
      </c>
      <c r="M384" s="8" t="str">
        <f t="array" ref="M384">IF(L384&gt;5,"Perlu Sensus",IF(AND(L384&gt;=0,I384&gt;0),"Tetap Deteksi","Belum Deteksi"))</f>
        <v>Perlu Sensus</v>
      </c>
      <c r="N384" s="11">
        <v>46248</v>
      </c>
      <c r="O384" s="143">
        <v>86</v>
      </c>
      <c r="P384" s="9">
        <f t="array" ref="P384">IFERROR(O384/$G384*100,0)</f>
        <v>2.3928770172509739</v>
      </c>
      <c r="Q384" s="143">
        <v>5</v>
      </c>
      <c r="R384" s="9">
        <f t="shared" si="57"/>
        <v>5.8139534883720927</v>
      </c>
      <c r="S384" s="8" t="str">
        <f t="array" ref="S384">IF(R384&gt;5,"Perlu Sensus",IF(AND(R384&gt;=0,O384&gt;0),"Tetap Deteksi","Belum Deteksi"))</f>
        <v>Perlu Sensus</v>
      </c>
      <c r="T384" s="143">
        <v>12</v>
      </c>
      <c r="U384" s="9">
        <f t="shared" si="58"/>
        <v>13.953488372093023</v>
      </c>
      <c r="V384" s="132">
        <v>46249</v>
      </c>
      <c r="W384" s="143">
        <v>232</v>
      </c>
      <c r="X384" s="143">
        <v>19</v>
      </c>
      <c r="Y384" s="9">
        <f t="shared" si="59"/>
        <v>8.1896551724137936</v>
      </c>
      <c r="Z384" s="8" t="str">
        <f t="array" ref="Z384">IF(Y384&gt;5,"Perlu Sensus",IF(AND(Y384&gt;=0,W384&gt;0),"Tetap Deteksi","Belum Deteksi"))</f>
        <v>Perlu Sensus</v>
      </c>
      <c r="AA384" s="143">
        <v>17</v>
      </c>
      <c r="AB384" s="9">
        <f t="shared" si="60"/>
        <v>7.3275862068965507</v>
      </c>
      <c r="AC384" s="11"/>
      <c r="AD384" s="143"/>
      <c r="AE384" s="9">
        <f t="array" ref="AE384">IFERROR(AD384/$G384*100,0)</f>
        <v>0</v>
      </c>
      <c r="AF384" s="143"/>
      <c r="AG384" s="9">
        <f t="shared" si="61"/>
        <v>0</v>
      </c>
      <c r="AH384" s="8" t="str">
        <f t="array" ref="AH384">IF(AG384&gt;5,"Perlu Sensus",IF(AND(AG384&gt;=0,AD384&gt;0),"Tetap Deteksi","Belum Deteksi"))</f>
        <v>Belum Deteksi</v>
      </c>
      <c r="AI384" s="143"/>
      <c r="AJ384" s="9">
        <f t="shared" si="62"/>
        <v>0</v>
      </c>
      <c r="AK384" s="11"/>
      <c r="AL384" s="143"/>
      <c r="AM384" s="143"/>
      <c r="AN384" s="9">
        <f t="shared" si="63"/>
        <v>0</v>
      </c>
      <c r="AO384" s="8" t="str">
        <f t="array" ref="AO384">IF(AN384&gt;5,"Perlu Sensus",IF(AND(AN384&gt;=0,AL384&gt;0),"Tetap Deteksi","Belum Deteksi"))</f>
        <v>Belum Deteksi</v>
      </c>
      <c r="AP384" s="143"/>
      <c r="AQ384" s="9">
        <f t="shared" si="64"/>
        <v>0</v>
      </c>
    </row>
    <row r="385" spans="1:43" x14ac:dyDescent="0.15">
      <c r="A385" s="8" t="s">
        <v>1739</v>
      </c>
      <c r="B385" s="8" t="s">
        <v>14</v>
      </c>
      <c r="C385" s="8" t="s">
        <v>416</v>
      </c>
      <c r="D385" s="8" t="s">
        <v>1249</v>
      </c>
      <c r="E385" s="9">
        <v>29.37</v>
      </c>
      <c r="F385" s="8" t="s">
        <v>1740</v>
      </c>
      <c r="G385" s="10">
        <v>3727</v>
      </c>
      <c r="H385" s="11">
        <f t="array" ref="H385">IF(OR(N385&gt;0,AC385&gt;0),MAX(N385,AC385),MAX(AK385,V385))</f>
        <v>46248</v>
      </c>
      <c r="I385" s="143">
        <f t="array" ref="I385">IF(SUM(O385,AD385)&gt;0,SUM(O385,AD385),SUM(AL385,W385))</f>
        <v>95</v>
      </c>
      <c r="J385" s="9">
        <f t="shared" si="55"/>
        <v>2.5489669975851892</v>
      </c>
      <c r="K385" s="143">
        <f t="shared" si="65"/>
        <v>5</v>
      </c>
      <c r="L385" s="9">
        <f t="shared" si="56"/>
        <v>5.2631578947368416</v>
      </c>
      <c r="M385" s="8" t="str">
        <f t="array" ref="M385">IF(L385&gt;5,"Perlu Sensus",IF(AND(L385&gt;=0,I385&gt;0),"Tetap Deteksi","Belum Deteksi"))</f>
        <v>Perlu Sensus</v>
      </c>
      <c r="N385" s="11">
        <v>46248</v>
      </c>
      <c r="O385" s="143">
        <v>95</v>
      </c>
      <c r="P385" s="9">
        <f t="array" ref="P385">IFERROR(O385/$G385*100,0)</f>
        <v>2.5489669975851892</v>
      </c>
      <c r="Q385" s="143">
        <v>5</v>
      </c>
      <c r="R385" s="9">
        <f t="shared" si="57"/>
        <v>5.2631578947368416</v>
      </c>
      <c r="S385" s="8" t="str">
        <f t="array" ref="S385">IF(R385&gt;5,"Perlu Sensus",IF(AND(R385&gt;=0,O385&gt;0),"Tetap Deteksi","Belum Deteksi"))</f>
        <v>Perlu Sensus</v>
      </c>
      <c r="T385" s="143">
        <v>14</v>
      </c>
      <c r="U385" s="9">
        <f t="shared" si="58"/>
        <v>14.736842105263156</v>
      </c>
      <c r="V385" s="132">
        <v>46249</v>
      </c>
      <c r="W385" s="143">
        <v>239</v>
      </c>
      <c r="X385" s="143">
        <v>12</v>
      </c>
      <c r="Y385" s="9">
        <f t="shared" si="59"/>
        <v>5.02092050209205</v>
      </c>
      <c r="Z385" s="8" t="str">
        <f t="array" ref="Z385">IF(Y385&gt;5,"Perlu Sensus",IF(AND(Y385&gt;=0,W385&gt;0),"Tetap Deteksi","Belum Deteksi"))</f>
        <v>Perlu Sensus</v>
      </c>
      <c r="AA385" s="143">
        <v>28</v>
      </c>
      <c r="AB385" s="9">
        <f t="shared" si="60"/>
        <v>11.715481171548117</v>
      </c>
      <c r="AC385" s="11"/>
      <c r="AD385" s="143"/>
      <c r="AE385" s="9">
        <f t="array" ref="AE385">IFERROR(AD385/$G385*100,0)</f>
        <v>0</v>
      </c>
      <c r="AF385" s="143"/>
      <c r="AG385" s="9">
        <f t="shared" si="61"/>
        <v>0</v>
      </c>
      <c r="AH385" s="8" t="str">
        <f t="array" ref="AH385">IF(AG385&gt;5,"Perlu Sensus",IF(AND(AG385&gt;=0,AD385&gt;0),"Tetap Deteksi","Belum Deteksi"))</f>
        <v>Belum Deteksi</v>
      </c>
      <c r="AI385" s="143"/>
      <c r="AJ385" s="9">
        <f t="shared" si="62"/>
        <v>0</v>
      </c>
      <c r="AK385" s="11"/>
      <c r="AL385" s="143"/>
      <c r="AM385" s="143"/>
      <c r="AN385" s="9">
        <f t="shared" si="63"/>
        <v>0</v>
      </c>
      <c r="AO385" s="8" t="str">
        <f t="array" ref="AO385">IF(AN385&gt;5,"Perlu Sensus",IF(AND(AN385&gt;=0,AL385&gt;0),"Tetap Deteksi","Belum Deteksi"))</f>
        <v>Belum Deteksi</v>
      </c>
      <c r="AP385" s="143"/>
      <c r="AQ385" s="9">
        <f t="shared" si="64"/>
        <v>0</v>
      </c>
    </row>
    <row r="386" spans="1:43" x14ac:dyDescent="0.15">
      <c r="A386" s="8" t="s">
        <v>1739</v>
      </c>
      <c r="B386" s="8" t="s">
        <v>14</v>
      </c>
      <c r="C386" s="8" t="s">
        <v>416</v>
      </c>
      <c r="D386" s="8" t="s">
        <v>1250</v>
      </c>
      <c r="E386" s="9">
        <v>33.299999999999997</v>
      </c>
      <c r="F386" s="8" t="s">
        <v>1740</v>
      </c>
      <c r="G386" s="10">
        <v>5009</v>
      </c>
      <c r="H386" s="11">
        <f t="array" ref="H386">IF(OR(N386&gt;0,AC386&gt;0),MAX(N386,AC386),MAX(AK386,V386))</f>
        <v>46249</v>
      </c>
      <c r="I386" s="143">
        <f t="array" ref="I386">IF(SUM(O386,AD386)&gt;0,SUM(O386,AD386),SUM(AL386,W386))</f>
        <v>86</v>
      </c>
      <c r="J386" s="9">
        <f t="shared" si="55"/>
        <v>1.7169095627869835</v>
      </c>
      <c r="K386" s="143">
        <f t="shared" si="65"/>
        <v>3</v>
      </c>
      <c r="L386" s="9">
        <f t="shared" si="56"/>
        <v>3.4883720930232558</v>
      </c>
      <c r="M386" s="8" t="str">
        <f t="array" ref="M386">IF(L386&gt;5,"Perlu Sensus",IF(AND(L386&gt;=0,I386&gt;0),"Tetap Deteksi","Belum Deteksi"))</f>
        <v>Tetap Deteksi</v>
      </c>
      <c r="N386" s="11">
        <v>46249</v>
      </c>
      <c r="O386" s="143">
        <v>86</v>
      </c>
      <c r="P386" s="9">
        <f t="array" ref="P386">IFERROR(O386/$G386*100,0)</f>
        <v>1.7169095627869835</v>
      </c>
      <c r="Q386" s="143">
        <v>3</v>
      </c>
      <c r="R386" s="9">
        <f t="shared" si="57"/>
        <v>3.4883720930232558</v>
      </c>
      <c r="S386" s="8" t="str">
        <f t="array" ref="S386">IF(R386&gt;5,"Perlu Sensus",IF(AND(R386&gt;=0,O386&gt;0),"Tetap Deteksi","Belum Deteksi"))</f>
        <v>Tetap Deteksi</v>
      </c>
      <c r="T386" s="143">
        <v>10</v>
      </c>
      <c r="U386" s="9">
        <f t="shared" si="58"/>
        <v>11.627906976744185</v>
      </c>
      <c r="V386" s="132">
        <v>46249</v>
      </c>
      <c r="W386" s="143">
        <v>266</v>
      </c>
      <c r="X386" s="143">
        <v>12</v>
      </c>
      <c r="Y386" s="9">
        <f t="shared" si="59"/>
        <v>4.5112781954887211</v>
      </c>
      <c r="Z386" s="8" t="str">
        <f t="array" ref="Z386">IF(Y386&gt;5,"Perlu Sensus",IF(AND(Y386&gt;=0,W386&gt;0),"Tetap Deteksi","Belum Deteksi"))</f>
        <v>Tetap Deteksi</v>
      </c>
      <c r="AA386" s="143">
        <v>17</v>
      </c>
      <c r="AB386" s="9">
        <f t="shared" si="60"/>
        <v>6.3909774436090219</v>
      </c>
      <c r="AC386" s="11"/>
      <c r="AD386" s="143"/>
      <c r="AE386" s="9">
        <f t="array" ref="AE386">IFERROR(AD386/$G386*100,0)</f>
        <v>0</v>
      </c>
      <c r="AF386" s="143"/>
      <c r="AG386" s="9">
        <f t="shared" si="61"/>
        <v>0</v>
      </c>
      <c r="AH386" s="8" t="str">
        <f t="array" ref="AH386">IF(AG386&gt;5,"Perlu Sensus",IF(AND(AG386&gt;=0,AD386&gt;0),"Tetap Deteksi","Belum Deteksi"))</f>
        <v>Belum Deteksi</v>
      </c>
      <c r="AI386" s="143"/>
      <c r="AJ386" s="9">
        <f t="shared" si="62"/>
        <v>0</v>
      </c>
      <c r="AK386" s="11"/>
      <c r="AL386" s="143"/>
      <c r="AM386" s="143"/>
      <c r="AN386" s="9">
        <f t="shared" si="63"/>
        <v>0</v>
      </c>
      <c r="AO386" s="8" t="str">
        <f t="array" ref="AO386">IF(AN386&gt;5,"Perlu Sensus",IF(AND(AN386&gt;=0,AL386&gt;0),"Tetap Deteksi","Belum Deteksi"))</f>
        <v>Belum Deteksi</v>
      </c>
      <c r="AP386" s="143"/>
      <c r="AQ386" s="9">
        <f t="shared" si="64"/>
        <v>0</v>
      </c>
    </row>
    <row r="387" spans="1:43" x14ac:dyDescent="0.15">
      <c r="A387" s="8" t="s">
        <v>1739</v>
      </c>
      <c r="B387" s="8" t="s">
        <v>14</v>
      </c>
      <c r="C387" s="8" t="s">
        <v>416</v>
      </c>
      <c r="D387" s="8" t="s">
        <v>1251</v>
      </c>
      <c r="E387" s="9">
        <v>32.6</v>
      </c>
      <c r="F387" s="8" t="s">
        <v>1740</v>
      </c>
      <c r="G387" s="10">
        <v>4360</v>
      </c>
      <c r="H387" s="11">
        <f t="array" ref="H387">IF(OR(N387&gt;0,AC387&gt;0),MAX(N387,AC387),MAX(AK387,V387))</f>
        <v>46249</v>
      </c>
      <c r="I387" s="143">
        <f t="array" ref="I387">IF(SUM(O387,AD387)&gt;0,SUM(O387,AD387),SUM(AL387,W387))</f>
        <v>84</v>
      </c>
      <c r="J387" s="9">
        <f t="shared" si="55"/>
        <v>1.926605504587156</v>
      </c>
      <c r="K387" s="143">
        <f t="shared" si="65"/>
        <v>3</v>
      </c>
      <c r="L387" s="9">
        <f t="shared" si="56"/>
        <v>3.5714285714285712</v>
      </c>
      <c r="M387" s="8" t="str">
        <f t="array" ref="M387">IF(L387&gt;5,"Perlu Sensus",IF(AND(L387&gt;=0,I387&gt;0),"Tetap Deteksi","Belum Deteksi"))</f>
        <v>Tetap Deteksi</v>
      </c>
      <c r="N387" s="11">
        <v>46249</v>
      </c>
      <c r="O387" s="143">
        <v>84</v>
      </c>
      <c r="P387" s="9">
        <f t="array" ref="P387">IFERROR(O387/$G387*100,0)</f>
        <v>1.926605504587156</v>
      </c>
      <c r="Q387" s="143">
        <v>3</v>
      </c>
      <c r="R387" s="9">
        <f t="shared" si="57"/>
        <v>3.5714285714285712</v>
      </c>
      <c r="S387" s="8" t="str">
        <f t="array" ref="S387">IF(R387&gt;5,"Perlu Sensus",IF(AND(R387&gt;=0,O387&gt;0),"Tetap Deteksi","Belum Deteksi"))</f>
        <v>Tetap Deteksi</v>
      </c>
      <c r="T387" s="143">
        <v>9</v>
      </c>
      <c r="U387" s="9">
        <f t="shared" si="58"/>
        <v>10.714285714285714</v>
      </c>
      <c r="V387" s="132">
        <v>46249</v>
      </c>
      <c r="W387" s="143">
        <v>246</v>
      </c>
      <c r="X387" s="143">
        <v>11</v>
      </c>
      <c r="Y387" s="9">
        <f t="shared" si="59"/>
        <v>4.4715447154471546</v>
      </c>
      <c r="Z387" s="8" t="str">
        <f t="array" ref="Z387">IF(Y387&gt;5,"Perlu Sensus",IF(AND(Y387&gt;=0,W387&gt;0),"Tetap Deteksi","Belum Deteksi"))</f>
        <v>Tetap Deteksi</v>
      </c>
      <c r="AA387" s="143">
        <v>21</v>
      </c>
      <c r="AB387" s="9">
        <f t="shared" si="60"/>
        <v>8.536585365853659</v>
      </c>
      <c r="AC387" s="11"/>
      <c r="AD387" s="143"/>
      <c r="AE387" s="9">
        <f t="array" ref="AE387">IFERROR(AD387/$G387*100,0)</f>
        <v>0</v>
      </c>
      <c r="AF387" s="143"/>
      <c r="AG387" s="9">
        <f t="shared" si="61"/>
        <v>0</v>
      </c>
      <c r="AH387" s="8" t="str">
        <f t="array" ref="AH387">IF(AG387&gt;5,"Perlu Sensus",IF(AND(AG387&gt;=0,AD387&gt;0),"Tetap Deteksi","Belum Deteksi"))</f>
        <v>Belum Deteksi</v>
      </c>
      <c r="AI387" s="143"/>
      <c r="AJ387" s="9">
        <f t="shared" si="62"/>
        <v>0</v>
      </c>
      <c r="AK387" s="11"/>
      <c r="AL387" s="143"/>
      <c r="AM387" s="143"/>
      <c r="AN387" s="9">
        <f t="shared" si="63"/>
        <v>0</v>
      </c>
      <c r="AO387" s="8" t="str">
        <f t="array" ref="AO387">IF(AN387&gt;5,"Perlu Sensus",IF(AND(AN387&gt;=0,AL387&gt;0),"Tetap Deteksi","Belum Deteksi"))</f>
        <v>Belum Deteksi</v>
      </c>
      <c r="AP387" s="143"/>
      <c r="AQ387" s="9">
        <f t="shared" si="64"/>
        <v>0</v>
      </c>
    </row>
    <row r="388" spans="1:43" x14ac:dyDescent="0.15">
      <c r="A388" s="8" t="s">
        <v>1739</v>
      </c>
      <c r="B388" s="8" t="s">
        <v>14</v>
      </c>
      <c r="C388" s="8" t="s">
        <v>416</v>
      </c>
      <c r="D388" s="8" t="s">
        <v>1252</v>
      </c>
      <c r="E388" s="9">
        <v>21.81</v>
      </c>
      <c r="F388" s="8" t="s">
        <v>1740</v>
      </c>
      <c r="G388" s="10">
        <v>2638</v>
      </c>
      <c r="H388" s="11">
        <f t="array" ref="H388">IF(OR(N388&gt;0,AC388&gt;0),MAX(N388,AC388),MAX(AK388,V388))</f>
        <v>46249</v>
      </c>
      <c r="I388" s="143">
        <f t="array" ref="I388">IF(SUM(O388,AD388)&gt;0,SUM(O388,AD388),SUM(AL388,W388))</f>
        <v>88</v>
      </c>
      <c r="J388" s="9">
        <f t="shared" si="55"/>
        <v>3.3358605003790753</v>
      </c>
      <c r="K388" s="143">
        <f t="shared" si="65"/>
        <v>4</v>
      </c>
      <c r="L388" s="9">
        <f t="shared" si="56"/>
        <v>4.5454545454545459</v>
      </c>
      <c r="M388" s="8" t="str">
        <f t="array" ref="M388">IF(L388&gt;5,"Perlu Sensus",IF(AND(L388&gt;=0,I388&gt;0),"Tetap Deteksi","Belum Deteksi"))</f>
        <v>Tetap Deteksi</v>
      </c>
      <c r="N388" s="11">
        <v>46249</v>
      </c>
      <c r="O388" s="143">
        <v>88</v>
      </c>
      <c r="P388" s="9">
        <f t="array" ref="P388">IFERROR(O388/$G388*100,0)</f>
        <v>3.3358605003790753</v>
      </c>
      <c r="Q388" s="143">
        <v>4</v>
      </c>
      <c r="R388" s="9">
        <f t="shared" si="57"/>
        <v>4.5454545454545459</v>
      </c>
      <c r="S388" s="8" t="str">
        <f t="array" ref="S388">IF(R388&gt;5,"Perlu Sensus",IF(AND(R388&gt;=0,O388&gt;0),"Tetap Deteksi","Belum Deteksi"))</f>
        <v>Tetap Deteksi</v>
      </c>
      <c r="T388" s="143">
        <v>8</v>
      </c>
      <c r="U388" s="9">
        <f t="shared" si="58"/>
        <v>9.0909090909090917</v>
      </c>
      <c r="V388" s="132">
        <v>46249</v>
      </c>
      <c r="W388" s="143">
        <v>327</v>
      </c>
      <c r="X388" s="143">
        <v>18</v>
      </c>
      <c r="Y388" s="9">
        <f t="shared" si="59"/>
        <v>5.5045871559633035</v>
      </c>
      <c r="Z388" s="8" t="str">
        <f t="array" ref="Z388">IF(Y388&gt;5,"Perlu Sensus",IF(AND(Y388&gt;=0,W388&gt;0),"Tetap Deteksi","Belum Deteksi"))</f>
        <v>Perlu Sensus</v>
      </c>
      <c r="AA388" s="143">
        <v>21</v>
      </c>
      <c r="AB388" s="9">
        <f t="shared" si="60"/>
        <v>6.4220183486238538</v>
      </c>
      <c r="AC388" s="11"/>
      <c r="AD388" s="143"/>
      <c r="AE388" s="9">
        <f t="array" ref="AE388">IFERROR(AD388/$G388*100,0)</f>
        <v>0</v>
      </c>
      <c r="AF388" s="143"/>
      <c r="AG388" s="9">
        <f t="shared" si="61"/>
        <v>0</v>
      </c>
      <c r="AH388" s="8" t="str">
        <f t="array" ref="AH388">IF(AG388&gt;5,"Perlu Sensus",IF(AND(AG388&gt;=0,AD388&gt;0),"Tetap Deteksi","Belum Deteksi"))</f>
        <v>Belum Deteksi</v>
      </c>
      <c r="AI388" s="143"/>
      <c r="AJ388" s="9">
        <f t="shared" si="62"/>
        <v>0</v>
      </c>
      <c r="AK388" s="11"/>
      <c r="AL388" s="143"/>
      <c r="AM388" s="143"/>
      <c r="AN388" s="9">
        <f t="shared" si="63"/>
        <v>0</v>
      </c>
      <c r="AO388" s="8" t="str">
        <f t="array" ref="AO388">IF(AN388&gt;5,"Perlu Sensus",IF(AND(AN388&gt;=0,AL388&gt;0),"Tetap Deteksi","Belum Deteksi"))</f>
        <v>Belum Deteksi</v>
      </c>
      <c r="AP388" s="143"/>
      <c r="AQ388" s="9">
        <f t="shared" si="64"/>
        <v>0</v>
      </c>
    </row>
    <row r="389" spans="1:43" x14ac:dyDescent="0.15">
      <c r="A389" s="8" t="s">
        <v>1739</v>
      </c>
      <c r="B389" s="8" t="s">
        <v>14</v>
      </c>
      <c r="C389" s="8" t="s">
        <v>416</v>
      </c>
      <c r="D389" s="8" t="s">
        <v>1253</v>
      </c>
      <c r="E389" s="9">
        <v>24.09</v>
      </c>
      <c r="F389" s="8" t="s">
        <v>1740</v>
      </c>
      <c r="G389" s="10">
        <v>3113</v>
      </c>
      <c r="H389" s="11">
        <f t="array" ref="H389">IF(OR(N389&gt;0,AC389&gt;0),MAX(N389,AC389),MAX(AK389,V389))</f>
        <v>46244</v>
      </c>
      <c r="I389" s="143">
        <f t="array" ref="I389">IF(SUM(O389,AD389)&gt;0,SUM(O389,AD389),SUM(AL389,W389))</f>
        <v>112</v>
      </c>
      <c r="J389" s="9">
        <f t="shared" si="55"/>
        <v>3.5978156119498874</v>
      </c>
      <c r="K389" s="143">
        <f t="shared" si="65"/>
        <v>4</v>
      </c>
      <c r="L389" s="9">
        <f t="shared" si="56"/>
        <v>3.5714285714285712</v>
      </c>
      <c r="M389" s="8" t="str">
        <f t="array" ref="M389">IF(L389&gt;5,"Perlu Sensus",IF(AND(L389&gt;=0,I389&gt;0),"Tetap Deteksi","Belum Deteksi"))</f>
        <v>Tetap Deteksi</v>
      </c>
      <c r="N389" s="11">
        <v>46244</v>
      </c>
      <c r="O389" s="143">
        <v>112</v>
      </c>
      <c r="P389" s="9">
        <f t="array" ref="P389">IFERROR(O389/$G389*100,0)</f>
        <v>3.5978156119498874</v>
      </c>
      <c r="Q389" s="143">
        <v>4</v>
      </c>
      <c r="R389" s="9">
        <f t="shared" si="57"/>
        <v>3.5714285714285712</v>
      </c>
      <c r="S389" s="8" t="str">
        <f t="array" ref="S389">IF(R389&gt;5,"Perlu Sensus",IF(AND(R389&gt;=0,O389&gt;0),"Tetap Deteksi","Belum Deteksi"))</f>
        <v>Tetap Deteksi</v>
      </c>
      <c r="T389" s="143">
        <v>10</v>
      </c>
      <c r="U389" s="9">
        <f t="shared" si="58"/>
        <v>8.9285714285714288</v>
      </c>
      <c r="V389" s="132">
        <v>46249</v>
      </c>
      <c r="W389" s="143">
        <v>347</v>
      </c>
      <c r="X389" s="143">
        <v>23</v>
      </c>
      <c r="Y389" s="9">
        <f t="shared" si="59"/>
        <v>6.6282420749279538</v>
      </c>
      <c r="Z389" s="8" t="str">
        <f t="array" ref="Z389">IF(Y389&gt;5,"Perlu Sensus",IF(AND(Y389&gt;=0,W389&gt;0),"Tetap Deteksi","Belum Deteksi"))</f>
        <v>Perlu Sensus</v>
      </c>
      <c r="AA389" s="143">
        <v>28</v>
      </c>
      <c r="AB389" s="9">
        <f t="shared" si="60"/>
        <v>8.0691642651296824</v>
      </c>
      <c r="AC389" s="11"/>
      <c r="AD389" s="143"/>
      <c r="AE389" s="9">
        <f t="array" ref="AE389">IFERROR(AD389/$G389*100,0)</f>
        <v>0</v>
      </c>
      <c r="AF389" s="143"/>
      <c r="AG389" s="9">
        <f t="shared" si="61"/>
        <v>0</v>
      </c>
      <c r="AH389" s="8" t="str">
        <f t="array" ref="AH389">IF(AG389&gt;5,"Perlu Sensus",IF(AND(AG389&gt;=0,AD389&gt;0),"Tetap Deteksi","Belum Deteksi"))</f>
        <v>Belum Deteksi</v>
      </c>
      <c r="AI389" s="143"/>
      <c r="AJ389" s="9">
        <f t="shared" si="62"/>
        <v>0</v>
      </c>
      <c r="AK389" s="11"/>
      <c r="AL389" s="143"/>
      <c r="AM389" s="143"/>
      <c r="AN389" s="9">
        <f t="shared" si="63"/>
        <v>0</v>
      </c>
      <c r="AO389" s="8" t="str">
        <f t="array" ref="AO389">IF(AN389&gt;5,"Perlu Sensus",IF(AND(AN389&gt;=0,AL389&gt;0),"Tetap Deteksi","Belum Deteksi"))</f>
        <v>Belum Deteksi</v>
      </c>
      <c r="AP389" s="143"/>
      <c r="AQ389" s="9">
        <f t="shared" si="64"/>
        <v>0</v>
      </c>
    </row>
    <row r="390" spans="1:43" x14ac:dyDescent="0.15">
      <c r="A390" s="8" t="s">
        <v>1739</v>
      </c>
      <c r="B390" s="8" t="s">
        <v>14</v>
      </c>
      <c r="C390" s="8" t="s">
        <v>416</v>
      </c>
      <c r="D390" s="8" t="s">
        <v>1254</v>
      </c>
      <c r="E390" s="9">
        <v>23.88</v>
      </c>
      <c r="F390" s="8" t="s">
        <v>1740</v>
      </c>
      <c r="G390" s="10">
        <v>3157</v>
      </c>
      <c r="H390" s="11">
        <f t="array" ref="H390">IF(OR(N390&gt;0,AC390&gt;0),MAX(N390,AC390),MAX(AK390,V390))</f>
        <v>46244</v>
      </c>
      <c r="I390" s="143">
        <f t="array" ref="I390">IF(SUM(O390,AD390)&gt;0,SUM(O390,AD390),SUM(AL390,W390))</f>
        <v>125</v>
      </c>
      <c r="J390" s="9">
        <f t="shared" ref="J390:J393" si="66">IF(P390&gt;0,P390," ")</f>
        <v>3.959455178967374</v>
      </c>
      <c r="K390" s="143">
        <f t="shared" si="65"/>
        <v>4</v>
      </c>
      <c r="L390" s="9">
        <f t="shared" ref="L390:L393" si="67">IFERROR(K390/I390*100,0)</f>
        <v>3.2</v>
      </c>
      <c r="M390" s="8" t="str">
        <f t="array" ref="M390">IF(L390&gt;5,"Perlu Sensus",IF(AND(L390&gt;=0,I390&gt;0),"Tetap Deteksi","Belum Deteksi"))</f>
        <v>Tetap Deteksi</v>
      </c>
      <c r="N390" s="11">
        <v>46244</v>
      </c>
      <c r="O390" s="143">
        <v>125</v>
      </c>
      <c r="P390" s="9">
        <f t="array" ref="P390">IFERROR(O390/$G390*100,0)</f>
        <v>3.959455178967374</v>
      </c>
      <c r="Q390" s="143">
        <v>4</v>
      </c>
      <c r="R390" s="9">
        <f t="shared" ref="R390:R393" si="68">IFERROR(Q390/O390*100,0)</f>
        <v>3.2</v>
      </c>
      <c r="S390" s="8" t="str">
        <f t="array" ref="S390">IF(R390&gt;5,"Perlu Sensus",IF(AND(R390&gt;=0,O390&gt;0),"Tetap Deteksi","Belum Deteksi"))</f>
        <v>Tetap Deteksi</v>
      </c>
      <c r="T390" s="143">
        <v>8</v>
      </c>
      <c r="U390" s="9">
        <f t="shared" ref="U390:U393" si="69">IFERROR(T390/O390*100,0)</f>
        <v>6.4</v>
      </c>
      <c r="V390" s="132">
        <v>46249</v>
      </c>
      <c r="W390" s="143">
        <v>252</v>
      </c>
      <c r="X390" s="143">
        <v>9</v>
      </c>
      <c r="Y390" s="9">
        <f t="shared" ref="Y390:Y393" si="70">IFERROR(X390/W390*100,0)</f>
        <v>3.5714285714285712</v>
      </c>
      <c r="Z390" s="8" t="str">
        <f t="array" ref="Z390">IF(Y390&gt;5,"Perlu Sensus",IF(AND(Y390&gt;=0,W390&gt;0),"Tetap Deteksi","Belum Deteksi"))</f>
        <v>Tetap Deteksi</v>
      </c>
      <c r="AA390" s="143">
        <v>16</v>
      </c>
      <c r="AB390" s="9">
        <f t="shared" ref="AB390:AB393" si="71">IFERROR(AA390/W390*100,0)</f>
        <v>6.3492063492063489</v>
      </c>
      <c r="AC390" s="11"/>
      <c r="AD390" s="143"/>
      <c r="AE390" s="9">
        <f t="array" ref="AE390">IFERROR(AD390/$G390*100,0)</f>
        <v>0</v>
      </c>
      <c r="AF390" s="143"/>
      <c r="AG390" s="9">
        <f t="shared" ref="AG390:AG393" si="72">IFERROR(AF390/AD390*100,0)</f>
        <v>0</v>
      </c>
      <c r="AH390" s="8" t="str">
        <f t="array" ref="AH390">IF(AG390&gt;5,"Perlu Sensus",IF(AND(AG390&gt;=0,AD390&gt;0),"Tetap Deteksi","Belum Deteksi"))</f>
        <v>Belum Deteksi</v>
      </c>
      <c r="AI390" s="143"/>
      <c r="AJ390" s="9">
        <f t="shared" ref="AJ390:AJ393" si="73">IFERROR(AI390/AD390*100,0)</f>
        <v>0</v>
      </c>
      <c r="AK390" s="11"/>
      <c r="AL390" s="143"/>
      <c r="AM390" s="143"/>
      <c r="AN390" s="9">
        <f t="shared" ref="AN390:AN393" si="74">IFERROR(AM390/AL390*100,0)</f>
        <v>0</v>
      </c>
      <c r="AO390" s="8" t="str">
        <f t="array" ref="AO390">IF(AN390&gt;5,"Perlu Sensus",IF(AND(AN390&gt;=0,AL390&gt;0),"Tetap Deteksi","Belum Deteksi"))</f>
        <v>Belum Deteksi</v>
      </c>
      <c r="AP390" s="143"/>
      <c r="AQ390" s="9">
        <f t="shared" ref="AQ390:AQ393" si="75">IFERROR(AP390/AL390*100,0)</f>
        <v>0</v>
      </c>
    </row>
    <row r="391" spans="1:43" x14ac:dyDescent="0.15">
      <c r="A391" s="8" t="s">
        <v>1739</v>
      </c>
      <c r="B391" s="8" t="s">
        <v>14</v>
      </c>
      <c r="C391" s="8" t="s">
        <v>416</v>
      </c>
      <c r="D391" s="8" t="s">
        <v>1255</v>
      </c>
      <c r="E391" s="9">
        <v>23.69</v>
      </c>
      <c r="F391" s="8" t="s">
        <v>1740</v>
      </c>
      <c r="G391" s="10">
        <v>2671</v>
      </c>
      <c r="H391" s="11">
        <f t="array" ref="H391">IF(OR(N391&gt;0,AC391&gt;0),MAX(N391,AC391),MAX(AK391,V391))</f>
        <v>46238</v>
      </c>
      <c r="I391" s="143">
        <f t="array" ref="I391">IF(SUM(O391,AD391)&gt;0,SUM(O391,AD391),SUM(AL391,W391))</f>
        <v>98</v>
      </c>
      <c r="J391" s="9">
        <f t="shared" si="66"/>
        <v>3.6690378135529764</v>
      </c>
      <c r="K391" s="143">
        <f t="shared" ref="K391:K393" si="76">IF(SUM(Q391,AF391)&gt;0,SUM(Q391,AF391),SUM(AM391,X391))</f>
        <v>5</v>
      </c>
      <c r="L391" s="9">
        <f t="shared" si="67"/>
        <v>5.1020408163265305</v>
      </c>
      <c r="M391" s="8" t="str">
        <f t="array" ref="M391">IF(L391&gt;5,"Perlu Sensus",IF(AND(L391&gt;=0,I391&gt;0),"Tetap Deteksi","Belum Deteksi"))</f>
        <v>Perlu Sensus</v>
      </c>
      <c r="N391" s="11">
        <v>46238</v>
      </c>
      <c r="O391" s="143">
        <v>98</v>
      </c>
      <c r="P391" s="9">
        <f t="array" ref="P391">IFERROR(O391/$G391*100,0)</f>
        <v>3.6690378135529764</v>
      </c>
      <c r="Q391" s="143">
        <v>5</v>
      </c>
      <c r="R391" s="9">
        <f t="shared" si="68"/>
        <v>5.1020408163265305</v>
      </c>
      <c r="S391" s="8" t="str">
        <f t="array" ref="S391">IF(R391&gt;5,"Perlu Sensus",IF(AND(R391&gt;=0,O391&gt;0),"Tetap Deteksi","Belum Deteksi"))</f>
        <v>Perlu Sensus</v>
      </c>
      <c r="T391" s="143">
        <v>12</v>
      </c>
      <c r="U391" s="9">
        <f t="shared" si="69"/>
        <v>12.244897959183673</v>
      </c>
      <c r="V391" s="132">
        <v>46249</v>
      </c>
      <c r="W391" s="143">
        <v>242</v>
      </c>
      <c r="X391" s="143">
        <v>20</v>
      </c>
      <c r="Y391" s="9">
        <f t="shared" si="70"/>
        <v>8.2644628099173563</v>
      </c>
      <c r="Z391" s="8" t="str">
        <f t="array" ref="Z391">IF(Y391&gt;5,"Perlu Sensus",IF(AND(Y391&gt;=0,W391&gt;0),"Tetap Deteksi","Belum Deteksi"))</f>
        <v>Perlu Sensus</v>
      </c>
      <c r="AA391" s="143">
        <v>24</v>
      </c>
      <c r="AB391" s="9">
        <f t="shared" si="71"/>
        <v>9.9173553719008272</v>
      </c>
      <c r="AC391" s="11"/>
      <c r="AD391" s="143"/>
      <c r="AE391" s="9">
        <f t="array" ref="AE391">IFERROR(AD391/$G391*100,0)</f>
        <v>0</v>
      </c>
      <c r="AF391" s="143"/>
      <c r="AG391" s="9">
        <f t="shared" si="72"/>
        <v>0</v>
      </c>
      <c r="AH391" s="8" t="str">
        <f t="array" ref="AH391">IF(AG391&gt;5,"Perlu Sensus",IF(AND(AG391&gt;=0,AD391&gt;0),"Tetap Deteksi","Belum Deteksi"))</f>
        <v>Belum Deteksi</v>
      </c>
      <c r="AI391" s="143"/>
      <c r="AJ391" s="9">
        <f t="shared" si="73"/>
        <v>0</v>
      </c>
      <c r="AK391" s="11"/>
      <c r="AL391" s="143"/>
      <c r="AM391" s="143"/>
      <c r="AN391" s="9">
        <f t="shared" si="74"/>
        <v>0</v>
      </c>
      <c r="AO391" s="8" t="str">
        <f t="array" ref="AO391">IF(AN391&gt;5,"Perlu Sensus",IF(AND(AN391&gt;=0,AL391&gt;0),"Tetap Deteksi","Belum Deteksi"))</f>
        <v>Belum Deteksi</v>
      </c>
      <c r="AP391" s="143"/>
      <c r="AQ391" s="9">
        <f t="shared" si="75"/>
        <v>0</v>
      </c>
    </row>
    <row r="392" spans="1:43" x14ac:dyDescent="0.15">
      <c r="A392" s="8" t="s">
        <v>1739</v>
      </c>
      <c r="B392" s="8" t="s">
        <v>14</v>
      </c>
      <c r="C392" s="8" t="s">
        <v>416</v>
      </c>
      <c r="D392" s="8" t="s">
        <v>1256</v>
      </c>
      <c r="E392" s="9">
        <v>40.270000000000003</v>
      </c>
      <c r="F392" s="8" t="s">
        <v>1740</v>
      </c>
      <c r="G392" s="10">
        <v>5410</v>
      </c>
      <c r="H392" s="11">
        <f t="array" ref="H392">IF(OR(N392&gt;0,AC392&gt;0),MAX(N392,AC392),MAX(AK392,V392))</f>
        <v>46238</v>
      </c>
      <c r="I392" s="143">
        <f t="array" ref="I392">IF(SUM(O392,AD392)&gt;0,SUM(O392,AD392),SUM(AL392,W392))</f>
        <v>86</v>
      </c>
      <c r="J392" s="9">
        <f t="shared" si="66"/>
        <v>1.5896487985212568</v>
      </c>
      <c r="K392" s="143">
        <f t="shared" si="76"/>
        <v>4</v>
      </c>
      <c r="L392" s="9">
        <f t="shared" si="67"/>
        <v>4.6511627906976747</v>
      </c>
      <c r="M392" s="8" t="str">
        <f t="array" ref="M392">IF(L392&gt;5,"Perlu Sensus",IF(AND(L392&gt;=0,I392&gt;0),"Tetap Deteksi","Belum Deteksi"))</f>
        <v>Tetap Deteksi</v>
      </c>
      <c r="N392" s="11">
        <v>46238</v>
      </c>
      <c r="O392" s="143">
        <v>86</v>
      </c>
      <c r="P392" s="9">
        <f t="array" ref="P392">IFERROR(O392/$G392*100,0)</f>
        <v>1.5896487985212568</v>
      </c>
      <c r="Q392" s="143">
        <v>4</v>
      </c>
      <c r="R392" s="9">
        <f t="shared" si="68"/>
        <v>4.6511627906976747</v>
      </c>
      <c r="S392" s="8" t="str">
        <f t="array" ref="S392">IF(R392&gt;5,"Perlu Sensus",IF(AND(R392&gt;=0,O392&gt;0),"Tetap Deteksi","Belum Deteksi"))</f>
        <v>Tetap Deteksi</v>
      </c>
      <c r="T392" s="143">
        <v>11</v>
      </c>
      <c r="U392" s="9">
        <f t="shared" si="69"/>
        <v>12.790697674418606</v>
      </c>
      <c r="V392" s="132">
        <v>46249</v>
      </c>
      <c r="W392" s="143">
        <v>239</v>
      </c>
      <c r="X392" s="143">
        <v>21</v>
      </c>
      <c r="Y392" s="9">
        <f t="shared" si="70"/>
        <v>8.7866108786610866</v>
      </c>
      <c r="Z392" s="8" t="str">
        <f t="array" ref="Z392">IF(Y392&gt;5,"Perlu Sensus",IF(AND(Y392&gt;=0,W392&gt;0),"Tetap Deteksi","Belum Deteksi"))</f>
        <v>Perlu Sensus</v>
      </c>
      <c r="AA392" s="143">
        <v>16</v>
      </c>
      <c r="AB392" s="9">
        <f t="shared" si="71"/>
        <v>6.6945606694560666</v>
      </c>
      <c r="AC392" s="11"/>
      <c r="AD392" s="143"/>
      <c r="AE392" s="9">
        <f t="array" ref="AE392">IFERROR(AD392/$G392*100,0)</f>
        <v>0</v>
      </c>
      <c r="AF392" s="143"/>
      <c r="AG392" s="9">
        <f t="shared" si="72"/>
        <v>0</v>
      </c>
      <c r="AH392" s="8" t="str">
        <f t="array" ref="AH392">IF(AG392&gt;5,"Perlu Sensus",IF(AND(AG392&gt;=0,AD392&gt;0),"Tetap Deteksi","Belum Deteksi"))</f>
        <v>Belum Deteksi</v>
      </c>
      <c r="AI392" s="143"/>
      <c r="AJ392" s="9">
        <f t="shared" si="73"/>
        <v>0</v>
      </c>
      <c r="AK392" s="11"/>
      <c r="AL392" s="143"/>
      <c r="AM392" s="143"/>
      <c r="AN392" s="9">
        <f t="shared" si="74"/>
        <v>0</v>
      </c>
      <c r="AO392" s="8" t="str">
        <f t="array" ref="AO392">IF(AN392&gt;5,"Perlu Sensus",IF(AND(AN392&gt;=0,AL392&gt;0),"Tetap Deteksi","Belum Deteksi"))</f>
        <v>Belum Deteksi</v>
      </c>
      <c r="AP392" s="143"/>
      <c r="AQ392" s="9">
        <f t="shared" si="75"/>
        <v>0</v>
      </c>
    </row>
    <row r="393" spans="1:43" x14ac:dyDescent="0.15">
      <c r="A393" s="8" t="s">
        <v>1739</v>
      </c>
      <c r="B393" s="8" t="s">
        <v>14</v>
      </c>
      <c r="C393" s="8" t="s">
        <v>416</v>
      </c>
      <c r="D393" s="8" t="s">
        <v>1257</v>
      </c>
      <c r="E393" s="9">
        <v>37.99</v>
      </c>
      <c r="F393" s="8" t="s">
        <v>1740</v>
      </c>
      <c r="G393" s="10">
        <v>5100</v>
      </c>
      <c r="H393" s="11">
        <f t="array" ref="H393">IF(OR(N393&gt;0,AC393&gt;0),MAX(N393,AC393),MAX(AK393,V393))</f>
        <v>46238</v>
      </c>
      <c r="I393" s="143">
        <f t="array" ref="I393">IF(SUM(O393,AD393)&gt;0,SUM(O393,AD393),SUM(AL393,W393))</f>
        <v>90</v>
      </c>
      <c r="J393" s="9">
        <f t="shared" si="66"/>
        <v>1.7647058823529411</v>
      </c>
      <c r="K393" s="143">
        <f t="shared" si="76"/>
        <v>6</v>
      </c>
      <c r="L393" s="9">
        <f t="shared" si="67"/>
        <v>6.666666666666667</v>
      </c>
      <c r="M393" s="8" t="str">
        <f t="array" ref="M393">IF(L393&gt;5,"Perlu Sensus",IF(AND(L393&gt;=0,I393&gt;0),"Tetap Deteksi","Belum Deteksi"))</f>
        <v>Perlu Sensus</v>
      </c>
      <c r="N393" s="11">
        <v>46238</v>
      </c>
      <c r="O393" s="143">
        <v>90</v>
      </c>
      <c r="P393" s="9">
        <f t="array" ref="P393">IFERROR(O393/$G393*100,0)</f>
        <v>1.7647058823529411</v>
      </c>
      <c r="Q393" s="143">
        <v>6</v>
      </c>
      <c r="R393" s="9">
        <f t="shared" si="68"/>
        <v>6.666666666666667</v>
      </c>
      <c r="S393" s="8" t="str">
        <f t="array" ref="S393">IF(R393&gt;5,"Perlu Sensus",IF(AND(R393&gt;=0,O393&gt;0),"Tetap Deteksi","Belum Deteksi"))</f>
        <v>Perlu Sensus</v>
      </c>
      <c r="T393" s="143">
        <v>9</v>
      </c>
      <c r="U393" s="9">
        <f t="shared" si="69"/>
        <v>10</v>
      </c>
      <c r="V393" s="132">
        <v>46249</v>
      </c>
      <c r="W393" s="143">
        <v>438</v>
      </c>
      <c r="X393" s="143">
        <v>16</v>
      </c>
      <c r="Y393" s="9">
        <f t="shared" si="70"/>
        <v>3.6529680365296802</v>
      </c>
      <c r="Z393" s="8" t="str">
        <f t="array" ref="Z393">IF(Y393&gt;5,"Perlu Sensus",IF(AND(Y393&gt;=0,W393&gt;0),"Tetap Deteksi","Belum Deteksi"))</f>
        <v>Tetap Deteksi</v>
      </c>
      <c r="AA393" s="143">
        <v>22</v>
      </c>
      <c r="AB393" s="9">
        <f t="shared" si="71"/>
        <v>5.0228310502283104</v>
      </c>
      <c r="AC393" s="11"/>
      <c r="AD393" s="143"/>
      <c r="AE393" s="9">
        <f t="array" ref="AE393">IFERROR(AD393/$G393*100,0)</f>
        <v>0</v>
      </c>
      <c r="AF393" s="143"/>
      <c r="AG393" s="9">
        <f t="shared" si="72"/>
        <v>0</v>
      </c>
      <c r="AH393" s="8" t="str">
        <f t="array" ref="AH393">IF(AG393&gt;5,"Perlu Sensus",IF(AND(AG393&gt;=0,AD393&gt;0),"Tetap Deteksi","Belum Deteksi"))</f>
        <v>Belum Deteksi</v>
      </c>
      <c r="AI393" s="143"/>
      <c r="AJ393" s="9">
        <f t="shared" si="73"/>
        <v>0</v>
      </c>
      <c r="AK393" s="11"/>
      <c r="AL393" s="143"/>
      <c r="AM393" s="143"/>
      <c r="AN393" s="9">
        <f t="shared" si="74"/>
        <v>0</v>
      </c>
      <c r="AO393" s="8" t="str">
        <f t="array" ref="AO393">IF(AN393&gt;5,"Perlu Sensus",IF(AND(AN393&gt;=0,AL393&gt;0),"Tetap Deteksi","Belum Deteksi"))</f>
        <v>Belum Deteksi</v>
      </c>
      <c r="AP393" s="143"/>
      <c r="AQ393" s="9">
        <f t="shared" si="75"/>
        <v>0</v>
      </c>
    </row>
    <row r="394" spans="1:43" x14ac:dyDescent="0.15">
      <c r="A394" s="8"/>
      <c r="B394" s="8"/>
      <c r="C394" s="8"/>
      <c r="D394" s="8"/>
      <c r="E394" s="9"/>
      <c r="F394" s="8"/>
      <c r="G394" s="10"/>
      <c r="H394" s="11"/>
      <c r="I394" s="8"/>
      <c r="J394" s="9"/>
      <c r="K394" s="8"/>
      <c r="L394" s="9"/>
      <c r="M394" s="8"/>
      <c r="N394" s="11"/>
      <c r="O394" s="8"/>
      <c r="P394" s="9"/>
      <c r="Q394" s="8"/>
      <c r="R394" s="9"/>
      <c r="S394" s="8"/>
      <c r="T394" s="8"/>
      <c r="U394" s="8"/>
      <c r="V394" s="11"/>
      <c r="W394" s="8"/>
      <c r="X394" s="8"/>
      <c r="Y394" s="9"/>
      <c r="Z394" s="8"/>
      <c r="AA394" s="8"/>
      <c r="AB394" s="8"/>
      <c r="AC394" s="11"/>
      <c r="AD394" s="8"/>
      <c r="AE394" s="9"/>
      <c r="AF394" s="8"/>
      <c r="AG394" s="9"/>
      <c r="AH394" s="8"/>
      <c r="AI394" s="8"/>
      <c r="AJ394" s="8"/>
      <c r="AK394" s="11"/>
      <c r="AL394" s="8"/>
      <c r="AM394" s="8"/>
      <c r="AN394" s="9"/>
      <c r="AO394" s="8"/>
      <c r="AP394" s="8"/>
      <c r="AQ394" s="8"/>
    </row>
    <row r="395" spans="1:43" x14ac:dyDescent="0.15">
      <c r="A395" s="8"/>
      <c r="B395" s="8"/>
      <c r="C395" s="8"/>
      <c r="D395" s="8"/>
      <c r="E395" s="9"/>
      <c r="F395" s="8"/>
      <c r="G395" s="10"/>
      <c r="H395" s="11"/>
      <c r="I395" s="8"/>
      <c r="J395" s="9"/>
      <c r="K395" s="8"/>
      <c r="L395" s="9"/>
      <c r="M395" s="8"/>
      <c r="N395" s="11"/>
      <c r="O395" s="8"/>
      <c r="P395" s="9"/>
      <c r="Q395" s="8"/>
      <c r="R395" s="9"/>
      <c r="S395" s="8"/>
      <c r="T395" s="8"/>
      <c r="U395" s="8"/>
      <c r="V395" s="11"/>
      <c r="W395" s="8"/>
      <c r="X395" s="8"/>
      <c r="Y395" s="9"/>
      <c r="Z395" s="8"/>
      <c r="AA395" s="8"/>
      <c r="AB395" s="8"/>
      <c r="AC395" s="11"/>
      <c r="AD395" s="8"/>
      <c r="AE395" s="9"/>
      <c r="AF395" s="8"/>
      <c r="AG395" s="9"/>
      <c r="AH395" s="8"/>
      <c r="AI395" s="8"/>
      <c r="AJ395" s="8"/>
      <c r="AK395" s="11"/>
      <c r="AL395" s="8"/>
      <c r="AM395" s="8"/>
      <c r="AN395" s="9"/>
      <c r="AO395" s="8"/>
      <c r="AP395" s="8"/>
      <c r="AQ395" s="8"/>
    </row>
    <row r="396" spans="1:43" x14ac:dyDescent="0.15">
      <c r="A396" s="8"/>
      <c r="B396" s="8"/>
      <c r="C396" s="8"/>
      <c r="D396" s="8"/>
      <c r="E396" s="9"/>
      <c r="F396" s="8"/>
      <c r="G396" s="10"/>
      <c r="H396" s="11"/>
      <c r="I396" s="8"/>
      <c r="J396" s="9"/>
      <c r="K396" s="8"/>
      <c r="L396" s="9"/>
      <c r="M396" s="8"/>
      <c r="N396" s="11"/>
      <c r="O396" s="8"/>
      <c r="P396" s="9"/>
      <c r="Q396" s="8"/>
      <c r="R396" s="9"/>
      <c r="S396" s="8"/>
      <c r="T396" s="8"/>
      <c r="U396" s="8"/>
      <c r="V396" s="11"/>
      <c r="W396" s="8"/>
      <c r="X396" s="8"/>
      <c r="Y396" s="9"/>
      <c r="Z396" s="8"/>
      <c r="AA396" s="8"/>
      <c r="AB396" s="8"/>
      <c r="AC396" s="11"/>
      <c r="AD396" s="8"/>
      <c r="AE396" s="9"/>
      <c r="AF396" s="8"/>
      <c r="AG396" s="9"/>
      <c r="AH396" s="8"/>
      <c r="AI396" s="8"/>
      <c r="AJ396" s="8"/>
      <c r="AK396" s="11"/>
      <c r="AL396" s="8"/>
      <c r="AM396" s="8"/>
      <c r="AN396" s="9"/>
      <c r="AO396" s="8"/>
      <c r="AP396" s="8"/>
      <c r="AQ396" s="8"/>
    </row>
    <row r="397" spans="1:43" x14ac:dyDescent="0.15">
      <c r="A397" s="8"/>
      <c r="B397" s="8"/>
      <c r="C397" s="8"/>
      <c r="D397" s="8"/>
      <c r="E397" s="9"/>
      <c r="F397" s="8"/>
      <c r="G397" s="10"/>
      <c r="H397" s="11"/>
      <c r="I397" s="8"/>
      <c r="J397" s="9"/>
      <c r="K397" s="8"/>
      <c r="L397" s="9"/>
      <c r="M397" s="8"/>
      <c r="N397" s="11"/>
      <c r="O397" s="8"/>
      <c r="P397" s="9"/>
      <c r="Q397" s="8"/>
      <c r="R397" s="9"/>
      <c r="S397" s="8"/>
      <c r="T397" s="8"/>
      <c r="U397" s="8"/>
      <c r="V397" s="11"/>
      <c r="W397" s="8"/>
      <c r="X397" s="8"/>
      <c r="Y397" s="9"/>
      <c r="Z397" s="8"/>
      <c r="AA397" s="8"/>
      <c r="AB397" s="8"/>
      <c r="AC397" s="11"/>
      <c r="AD397" s="8"/>
      <c r="AE397" s="9"/>
      <c r="AF397" s="8"/>
      <c r="AG397" s="9"/>
      <c r="AH397" s="8"/>
      <c r="AI397" s="8"/>
      <c r="AJ397" s="8"/>
      <c r="AK397" s="11"/>
      <c r="AL397" s="8"/>
      <c r="AM397" s="8"/>
      <c r="AN397" s="9"/>
      <c r="AO397" s="8"/>
      <c r="AP397" s="8"/>
      <c r="AQ397" s="8"/>
    </row>
    <row r="398" spans="1:43" x14ac:dyDescent="0.15">
      <c r="A398" s="8"/>
      <c r="B398" s="8"/>
      <c r="C398" s="8"/>
      <c r="D398" s="8"/>
      <c r="E398" s="9"/>
      <c r="F398" s="8"/>
      <c r="G398" s="10"/>
      <c r="H398" s="11"/>
      <c r="I398" s="8"/>
      <c r="J398" s="9"/>
      <c r="K398" s="8"/>
      <c r="L398" s="9"/>
      <c r="M398" s="8"/>
      <c r="N398" s="11"/>
      <c r="O398" s="8"/>
      <c r="P398" s="9"/>
      <c r="Q398" s="8"/>
      <c r="R398" s="9"/>
      <c r="S398" s="8"/>
      <c r="T398" s="8"/>
      <c r="U398" s="8"/>
      <c r="V398" s="11"/>
      <c r="W398" s="8"/>
      <c r="X398" s="8"/>
      <c r="Y398" s="9"/>
      <c r="Z398" s="8"/>
      <c r="AA398" s="8"/>
      <c r="AB398" s="8"/>
      <c r="AC398" s="11"/>
      <c r="AD398" s="8"/>
      <c r="AE398" s="9"/>
      <c r="AF398" s="8"/>
      <c r="AG398" s="9"/>
      <c r="AH398" s="8"/>
      <c r="AI398" s="8"/>
      <c r="AJ398" s="8"/>
      <c r="AK398" s="11"/>
      <c r="AL398" s="8"/>
      <c r="AM398" s="8"/>
      <c r="AN398" s="9"/>
      <c r="AO398" s="8"/>
      <c r="AP398" s="8"/>
      <c r="AQ398" s="8"/>
    </row>
    <row r="399" spans="1:43" x14ac:dyDescent="0.15">
      <c r="A399" s="8"/>
      <c r="B399" s="8"/>
      <c r="C399" s="8"/>
      <c r="D399" s="8"/>
      <c r="E399" s="9"/>
      <c r="F399" s="8"/>
      <c r="G399" s="10"/>
      <c r="H399" s="11"/>
      <c r="I399" s="8"/>
      <c r="J399" s="9"/>
      <c r="K399" s="8"/>
      <c r="L399" s="9"/>
      <c r="M399" s="8"/>
      <c r="N399" s="11"/>
      <c r="O399" s="8"/>
      <c r="P399" s="9"/>
      <c r="Q399" s="8"/>
      <c r="R399" s="9"/>
      <c r="S399" s="8"/>
      <c r="T399" s="8"/>
      <c r="U399" s="8"/>
      <c r="V399" s="11"/>
      <c r="W399" s="8"/>
      <c r="X399" s="8"/>
      <c r="Y399" s="9"/>
      <c r="Z399" s="8"/>
      <c r="AA399" s="8"/>
      <c r="AB399" s="8"/>
      <c r="AC399" s="11"/>
      <c r="AD399" s="8"/>
      <c r="AE399" s="9"/>
      <c r="AF399" s="8"/>
      <c r="AG399" s="9"/>
      <c r="AH399" s="8"/>
      <c r="AI399" s="8"/>
      <c r="AJ399" s="8"/>
      <c r="AK399" s="11"/>
      <c r="AL399" s="8"/>
      <c r="AM399" s="8"/>
      <c r="AN399" s="9"/>
      <c r="AO399" s="8"/>
      <c r="AP399" s="8"/>
      <c r="AQ399" s="8"/>
    </row>
    <row r="400" spans="1:43" x14ac:dyDescent="0.15">
      <c r="A400" s="8"/>
      <c r="B400" s="8"/>
      <c r="C400" s="8"/>
      <c r="D400" s="8"/>
      <c r="E400" s="9"/>
      <c r="F400" s="8"/>
      <c r="G400" s="10"/>
      <c r="H400" s="11"/>
      <c r="I400" s="8"/>
      <c r="J400" s="9"/>
      <c r="K400" s="8"/>
      <c r="L400" s="9"/>
      <c r="M400" s="8"/>
      <c r="N400" s="11"/>
      <c r="O400" s="8"/>
      <c r="P400" s="9"/>
      <c r="Q400" s="8"/>
      <c r="R400" s="9"/>
      <c r="S400" s="8"/>
      <c r="T400" s="8"/>
      <c r="U400" s="8"/>
      <c r="V400" s="11"/>
      <c r="W400" s="8"/>
      <c r="X400" s="8"/>
      <c r="Y400" s="9"/>
      <c r="Z400" s="8"/>
      <c r="AA400" s="8"/>
      <c r="AB400" s="8"/>
      <c r="AC400" s="11"/>
      <c r="AD400" s="8"/>
      <c r="AE400" s="9"/>
      <c r="AF400" s="8"/>
      <c r="AG400" s="9"/>
      <c r="AH400" s="8"/>
      <c r="AI400" s="8"/>
      <c r="AJ400" s="8"/>
      <c r="AK400" s="11"/>
      <c r="AL400" s="8"/>
      <c r="AM400" s="8"/>
      <c r="AN400" s="9"/>
      <c r="AO400" s="8"/>
      <c r="AP400" s="8"/>
      <c r="AQ400" s="8"/>
    </row>
    <row r="401" spans="1:43" x14ac:dyDescent="0.15">
      <c r="A401" s="8"/>
      <c r="B401" s="8"/>
      <c r="C401" s="8"/>
      <c r="D401" s="8"/>
      <c r="E401" s="9"/>
      <c r="F401" s="8"/>
      <c r="G401" s="10"/>
      <c r="H401" s="11"/>
      <c r="I401" s="8"/>
      <c r="J401" s="9"/>
      <c r="K401" s="8"/>
      <c r="L401" s="9"/>
      <c r="M401" s="8"/>
      <c r="N401" s="11"/>
      <c r="O401" s="8"/>
      <c r="P401" s="9"/>
      <c r="Q401" s="8"/>
      <c r="R401" s="9"/>
      <c r="S401" s="8"/>
      <c r="T401" s="8"/>
      <c r="U401" s="8"/>
      <c r="V401" s="11"/>
      <c r="W401" s="8"/>
      <c r="X401" s="8"/>
      <c r="Y401" s="9"/>
      <c r="Z401" s="8"/>
      <c r="AA401" s="8"/>
      <c r="AB401" s="8"/>
      <c r="AC401" s="11"/>
      <c r="AD401" s="8"/>
      <c r="AE401" s="9"/>
      <c r="AF401" s="8"/>
      <c r="AG401" s="9"/>
      <c r="AH401" s="8"/>
      <c r="AI401" s="8"/>
      <c r="AJ401" s="8"/>
      <c r="AK401" s="11"/>
      <c r="AL401" s="8"/>
      <c r="AM401" s="8"/>
      <c r="AN401" s="9"/>
      <c r="AO401" s="8"/>
      <c r="AP401" s="8"/>
      <c r="AQ401" s="8"/>
    </row>
    <row r="402" spans="1:43" x14ac:dyDescent="0.15">
      <c r="A402" s="8"/>
      <c r="B402" s="8"/>
      <c r="C402" s="8"/>
      <c r="D402" s="8"/>
      <c r="E402" s="9"/>
      <c r="F402" s="8"/>
      <c r="G402" s="10"/>
      <c r="H402" s="11"/>
      <c r="I402" s="8"/>
      <c r="J402" s="9"/>
      <c r="K402" s="8"/>
      <c r="L402" s="9"/>
      <c r="M402" s="8"/>
      <c r="N402" s="11"/>
      <c r="O402" s="8"/>
      <c r="P402" s="9"/>
      <c r="Q402" s="8"/>
      <c r="R402" s="9"/>
      <c r="S402" s="8"/>
      <c r="T402" s="8"/>
      <c r="U402" s="8"/>
      <c r="V402" s="11"/>
      <c r="W402" s="8"/>
      <c r="X402" s="8"/>
      <c r="Y402" s="9"/>
      <c r="Z402" s="8"/>
      <c r="AA402" s="8"/>
      <c r="AB402" s="8"/>
      <c r="AC402" s="11"/>
      <c r="AD402" s="8"/>
      <c r="AE402" s="9"/>
      <c r="AF402" s="8"/>
      <c r="AG402" s="9"/>
      <c r="AH402" s="8"/>
      <c r="AI402" s="8"/>
      <c r="AJ402" s="8"/>
      <c r="AK402" s="11"/>
      <c r="AL402" s="8"/>
      <c r="AM402" s="8"/>
      <c r="AN402" s="9"/>
      <c r="AO402" s="8"/>
      <c r="AP402" s="8"/>
      <c r="AQ402" s="8"/>
    </row>
    <row r="403" spans="1:43" x14ac:dyDescent="0.15">
      <c r="A403" s="8"/>
      <c r="B403" s="8"/>
      <c r="C403" s="8"/>
      <c r="D403" s="8"/>
      <c r="E403" s="9"/>
      <c r="F403" s="8"/>
      <c r="G403" s="10"/>
      <c r="H403" s="11"/>
      <c r="I403" s="8"/>
      <c r="J403" s="9"/>
      <c r="K403" s="8"/>
      <c r="L403" s="9"/>
      <c r="M403" s="8"/>
      <c r="N403" s="11"/>
      <c r="O403" s="8"/>
      <c r="P403" s="9"/>
      <c r="Q403" s="8"/>
      <c r="R403" s="9"/>
      <c r="S403" s="8"/>
      <c r="T403" s="8"/>
      <c r="U403" s="8"/>
      <c r="V403" s="11"/>
      <c r="W403" s="8"/>
      <c r="X403" s="8"/>
      <c r="Y403" s="9"/>
      <c r="Z403" s="8"/>
      <c r="AA403" s="8"/>
      <c r="AB403" s="8"/>
      <c r="AC403" s="11"/>
      <c r="AD403" s="8"/>
      <c r="AE403" s="9"/>
      <c r="AF403" s="8"/>
      <c r="AG403" s="9"/>
      <c r="AH403" s="8"/>
      <c r="AI403" s="8"/>
      <c r="AJ403" s="8"/>
      <c r="AK403" s="11"/>
      <c r="AL403" s="8"/>
      <c r="AM403" s="8"/>
      <c r="AN403" s="9"/>
      <c r="AO403" s="8"/>
      <c r="AP403" s="8"/>
      <c r="AQ403" s="8"/>
    </row>
    <row r="404" spans="1:43" x14ac:dyDescent="0.15">
      <c r="A404" s="8"/>
      <c r="B404" s="8"/>
      <c r="C404" s="8"/>
      <c r="D404" s="8"/>
      <c r="E404" s="9"/>
      <c r="F404" s="8"/>
      <c r="G404" s="10"/>
      <c r="H404" s="11"/>
      <c r="I404" s="8"/>
      <c r="J404" s="9"/>
      <c r="K404" s="8"/>
      <c r="L404" s="9"/>
      <c r="M404" s="8"/>
      <c r="N404" s="11"/>
      <c r="O404" s="8"/>
      <c r="P404" s="9"/>
      <c r="Q404" s="8"/>
      <c r="R404" s="9"/>
      <c r="S404" s="8"/>
      <c r="T404" s="8"/>
      <c r="U404" s="8"/>
      <c r="V404" s="11"/>
      <c r="W404" s="8"/>
      <c r="X404" s="8"/>
      <c r="Y404" s="9"/>
      <c r="Z404" s="8"/>
      <c r="AA404" s="8"/>
      <c r="AB404" s="8"/>
      <c r="AC404" s="11"/>
      <c r="AD404" s="8"/>
      <c r="AE404" s="9"/>
      <c r="AF404" s="8"/>
      <c r="AG404" s="9"/>
      <c r="AH404" s="8"/>
      <c r="AI404" s="8"/>
      <c r="AJ404" s="8"/>
      <c r="AK404" s="11"/>
      <c r="AL404" s="8"/>
      <c r="AM404" s="8"/>
      <c r="AN404" s="9"/>
      <c r="AO404" s="8"/>
      <c r="AP404" s="8"/>
      <c r="AQ404" s="8"/>
    </row>
    <row r="405" spans="1:43" x14ac:dyDescent="0.15">
      <c r="A405" s="8"/>
      <c r="B405" s="8"/>
      <c r="C405" s="8"/>
      <c r="D405" s="8"/>
      <c r="E405" s="9"/>
      <c r="F405" s="8"/>
      <c r="G405" s="10"/>
      <c r="H405" s="11"/>
      <c r="I405" s="8"/>
      <c r="J405" s="9"/>
      <c r="K405" s="8"/>
      <c r="L405" s="9"/>
      <c r="M405" s="8"/>
      <c r="N405" s="11"/>
      <c r="O405" s="8"/>
      <c r="P405" s="9"/>
      <c r="Q405" s="8"/>
      <c r="R405" s="9"/>
      <c r="S405" s="8"/>
      <c r="T405" s="8"/>
      <c r="U405" s="8"/>
      <c r="V405" s="11"/>
      <c r="W405" s="8"/>
      <c r="X405" s="8"/>
      <c r="Y405" s="9"/>
      <c r="Z405" s="8"/>
      <c r="AA405" s="8"/>
      <c r="AB405" s="8"/>
      <c r="AC405" s="11"/>
      <c r="AD405" s="8"/>
      <c r="AE405" s="9"/>
      <c r="AF405" s="8"/>
      <c r="AG405" s="9"/>
      <c r="AH405" s="8"/>
      <c r="AI405" s="8"/>
      <c r="AJ405" s="8"/>
      <c r="AK405" s="11"/>
      <c r="AL405" s="8"/>
      <c r="AM405" s="8"/>
      <c r="AN405" s="9"/>
      <c r="AO405" s="8"/>
      <c r="AP405" s="8"/>
      <c r="AQ405" s="8"/>
    </row>
    <row r="406" spans="1:43" x14ac:dyDescent="0.15">
      <c r="A406" s="8"/>
      <c r="B406" s="8"/>
      <c r="C406" s="8"/>
      <c r="D406" s="8"/>
      <c r="E406" s="9"/>
      <c r="F406" s="8"/>
      <c r="G406" s="10"/>
      <c r="H406" s="11"/>
      <c r="I406" s="8"/>
      <c r="J406" s="9"/>
      <c r="K406" s="8"/>
      <c r="L406" s="9"/>
      <c r="M406" s="8"/>
      <c r="N406" s="11"/>
      <c r="O406" s="8"/>
      <c r="P406" s="9"/>
      <c r="Q406" s="8"/>
      <c r="R406" s="9"/>
      <c r="S406" s="8"/>
      <c r="T406" s="8"/>
      <c r="U406" s="8"/>
      <c r="V406" s="11"/>
      <c r="W406" s="8"/>
      <c r="X406" s="8"/>
      <c r="Y406" s="9"/>
      <c r="Z406" s="8"/>
      <c r="AA406" s="8"/>
      <c r="AB406" s="8"/>
      <c r="AC406" s="11"/>
      <c r="AD406" s="8"/>
      <c r="AE406" s="9"/>
      <c r="AF406" s="8"/>
      <c r="AG406" s="9"/>
      <c r="AH406" s="8"/>
      <c r="AI406" s="8"/>
      <c r="AJ406" s="8"/>
      <c r="AK406" s="11"/>
      <c r="AL406" s="8"/>
      <c r="AM406" s="8"/>
      <c r="AN406" s="9"/>
      <c r="AO406" s="8"/>
      <c r="AP406" s="8"/>
      <c r="AQ406" s="8"/>
    </row>
    <row r="407" spans="1:43" x14ac:dyDescent="0.15">
      <c r="A407" s="8"/>
      <c r="B407" s="8"/>
      <c r="C407" s="8"/>
      <c r="D407" s="8"/>
      <c r="E407" s="9"/>
      <c r="F407" s="8"/>
      <c r="G407" s="10"/>
      <c r="H407" s="11"/>
      <c r="I407" s="8"/>
      <c r="J407" s="9"/>
      <c r="K407" s="8"/>
      <c r="L407" s="9"/>
      <c r="M407" s="8"/>
      <c r="N407" s="11"/>
      <c r="O407" s="8"/>
      <c r="P407" s="9"/>
      <c r="Q407" s="8"/>
      <c r="R407" s="9"/>
      <c r="S407" s="8"/>
      <c r="T407" s="8"/>
      <c r="U407" s="8"/>
      <c r="V407" s="11"/>
      <c r="W407" s="8"/>
      <c r="X407" s="8"/>
      <c r="Y407" s="9"/>
      <c r="Z407" s="8"/>
      <c r="AA407" s="8"/>
      <c r="AB407" s="8"/>
      <c r="AC407" s="11"/>
      <c r="AD407" s="8"/>
      <c r="AE407" s="9"/>
      <c r="AF407" s="8"/>
      <c r="AG407" s="9"/>
      <c r="AH407" s="8"/>
      <c r="AI407" s="8"/>
      <c r="AJ407" s="8"/>
      <c r="AK407" s="11"/>
      <c r="AL407" s="8"/>
      <c r="AM407" s="8"/>
      <c r="AN407" s="9"/>
      <c r="AO407" s="8"/>
      <c r="AP407" s="8"/>
      <c r="AQ407" s="8"/>
    </row>
    <row r="408" spans="1:43" x14ac:dyDescent="0.15">
      <c r="A408" s="8"/>
      <c r="B408" s="8"/>
      <c r="C408" s="8"/>
      <c r="D408" s="8"/>
      <c r="E408" s="9"/>
      <c r="F408" s="8"/>
      <c r="G408" s="10"/>
      <c r="H408" s="11"/>
      <c r="I408" s="8"/>
      <c r="J408" s="9"/>
      <c r="K408" s="8"/>
      <c r="L408" s="9"/>
      <c r="M408" s="8"/>
      <c r="N408" s="11"/>
      <c r="O408" s="8"/>
      <c r="P408" s="9"/>
      <c r="Q408" s="8"/>
      <c r="R408" s="9"/>
      <c r="S408" s="8"/>
      <c r="T408" s="8"/>
      <c r="U408" s="8"/>
      <c r="V408" s="11"/>
      <c r="W408" s="8"/>
      <c r="X408" s="8"/>
      <c r="Y408" s="9"/>
      <c r="Z408" s="8"/>
      <c r="AA408" s="8"/>
      <c r="AB408" s="8"/>
      <c r="AC408" s="11"/>
      <c r="AD408" s="8"/>
      <c r="AE408" s="9"/>
      <c r="AF408" s="8"/>
      <c r="AG408" s="9"/>
      <c r="AH408" s="8"/>
      <c r="AI408" s="8"/>
      <c r="AJ408" s="8"/>
      <c r="AK408" s="11"/>
      <c r="AL408" s="8"/>
      <c r="AM408" s="8"/>
      <c r="AN408" s="9"/>
      <c r="AO408" s="8"/>
      <c r="AP408" s="8"/>
      <c r="AQ408" s="8"/>
    </row>
    <row r="409" spans="1:43" x14ac:dyDescent="0.15">
      <c r="A409" s="8"/>
      <c r="B409" s="8"/>
      <c r="C409" s="8"/>
      <c r="D409" s="8"/>
      <c r="E409" s="9"/>
      <c r="F409" s="8"/>
      <c r="G409" s="10"/>
      <c r="H409" s="11"/>
      <c r="I409" s="8"/>
      <c r="J409" s="9"/>
      <c r="K409" s="8"/>
      <c r="L409" s="9"/>
      <c r="M409" s="8"/>
      <c r="N409" s="11"/>
      <c r="O409" s="8"/>
      <c r="P409" s="9"/>
      <c r="Q409" s="8"/>
      <c r="R409" s="9"/>
      <c r="S409" s="8"/>
      <c r="T409" s="8"/>
      <c r="U409" s="8"/>
      <c r="V409" s="11"/>
      <c r="W409" s="8"/>
      <c r="X409" s="8"/>
      <c r="Y409" s="9"/>
      <c r="Z409" s="8"/>
      <c r="AA409" s="8"/>
      <c r="AB409" s="8"/>
      <c r="AC409" s="11"/>
      <c r="AD409" s="8"/>
      <c r="AE409" s="9"/>
      <c r="AF409" s="8"/>
      <c r="AG409" s="9"/>
      <c r="AH409" s="8"/>
      <c r="AI409" s="8"/>
      <c r="AJ409" s="8"/>
      <c r="AK409" s="11"/>
      <c r="AL409" s="8"/>
      <c r="AM409" s="8"/>
      <c r="AN409" s="9"/>
      <c r="AO409" s="8"/>
      <c r="AP409" s="8"/>
      <c r="AQ409" s="8"/>
    </row>
    <row r="410" spans="1:43" x14ac:dyDescent="0.15">
      <c r="A410" s="8"/>
      <c r="B410" s="8"/>
      <c r="C410" s="8"/>
      <c r="D410" s="8"/>
      <c r="E410" s="9"/>
      <c r="F410" s="8"/>
      <c r="G410" s="10"/>
      <c r="H410" s="11"/>
      <c r="I410" s="8"/>
      <c r="J410" s="9"/>
      <c r="K410" s="8"/>
      <c r="L410" s="9"/>
      <c r="M410" s="8"/>
      <c r="N410" s="11"/>
      <c r="O410" s="8"/>
      <c r="P410" s="9"/>
      <c r="Q410" s="8"/>
      <c r="R410" s="9"/>
      <c r="S410" s="8"/>
      <c r="T410" s="8"/>
      <c r="U410" s="8"/>
      <c r="V410" s="11"/>
      <c r="W410" s="8"/>
      <c r="X410" s="8"/>
      <c r="Y410" s="9"/>
      <c r="Z410" s="8"/>
      <c r="AA410" s="8"/>
      <c r="AB410" s="8"/>
      <c r="AC410" s="11"/>
      <c r="AD410" s="8"/>
      <c r="AE410" s="9"/>
      <c r="AF410" s="8"/>
      <c r="AG410" s="9"/>
      <c r="AH410" s="8"/>
      <c r="AI410" s="8"/>
      <c r="AJ410" s="8"/>
      <c r="AK410" s="11"/>
      <c r="AL410" s="8"/>
      <c r="AM410" s="8"/>
      <c r="AN410" s="9"/>
      <c r="AO410" s="8"/>
      <c r="AP410" s="8"/>
      <c r="AQ410" s="8"/>
    </row>
    <row r="411" spans="1:43" x14ac:dyDescent="0.15">
      <c r="A411" s="8"/>
      <c r="B411" s="8"/>
      <c r="C411" s="8"/>
      <c r="D411" s="8"/>
      <c r="E411" s="9"/>
      <c r="F411" s="8"/>
      <c r="G411" s="10"/>
      <c r="H411" s="11"/>
      <c r="I411" s="8"/>
      <c r="J411" s="9"/>
      <c r="K411" s="8"/>
      <c r="L411" s="9"/>
      <c r="M411" s="8"/>
      <c r="N411" s="11"/>
      <c r="O411" s="8"/>
      <c r="P411" s="9"/>
      <c r="Q411" s="8"/>
      <c r="R411" s="9"/>
      <c r="S411" s="8"/>
      <c r="T411" s="8"/>
      <c r="U411" s="8"/>
      <c r="V411" s="11"/>
      <c r="W411" s="8"/>
      <c r="X411" s="8"/>
      <c r="Y411" s="9"/>
      <c r="Z411" s="8"/>
      <c r="AA411" s="8"/>
      <c r="AB411" s="8"/>
      <c r="AC411" s="11"/>
      <c r="AD411" s="8"/>
      <c r="AE411" s="9"/>
      <c r="AF411" s="8"/>
      <c r="AG411" s="9"/>
      <c r="AH411" s="8"/>
      <c r="AI411" s="8"/>
      <c r="AJ411" s="8"/>
      <c r="AK411" s="11"/>
      <c r="AL411" s="8"/>
      <c r="AM411" s="8"/>
      <c r="AN411" s="9"/>
      <c r="AO411" s="8"/>
      <c r="AP411" s="8"/>
      <c r="AQ411" s="8"/>
    </row>
    <row r="412" spans="1:43" x14ac:dyDescent="0.15">
      <c r="A412" s="8"/>
      <c r="B412" s="8"/>
      <c r="C412" s="8"/>
      <c r="D412" s="8"/>
      <c r="E412" s="9"/>
      <c r="F412" s="8"/>
      <c r="G412" s="10"/>
      <c r="H412" s="11"/>
      <c r="I412" s="8"/>
      <c r="J412" s="9"/>
      <c r="K412" s="8"/>
      <c r="L412" s="9"/>
      <c r="M412" s="8"/>
      <c r="N412" s="11"/>
      <c r="O412" s="8"/>
      <c r="P412" s="9"/>
      <c r="Q412" s="8"/>
      <c r="R412" s="9"/>
      <c r="S412" s="8"/>
      <c r="T412" s="8"/>
      <c r="U412" s="8"/>
      <c r="V412" s="11"/>
      <c r="W412" s="8"/>
      <c r="X412" s="8"/>
      <c r="Y412" s="9"/>
      <c r="Z412" s="8"/>
      <c r="AA412" s="8"/>
      <c r="AB412" s="8"/>
      <c r="AC412" s="11"/>
      <c r="AD412" s="8"/>
      <c r="AE412" s="9"/>
      <c r="AF412" s="8"/>
      <c r="AG412" s="9"/>
      <c r="AH412" s="8"/>
      <c r="AI412" s="8"/>
      <c r="AJ412" s="8"/>
      <c r="AK412" s="11"/>
      <c r="AL412" s="8"/>
      <c r="AM412" s="8"/>
      <c r="AN412" s="9"/>
      <c r="AO412" s="8"/>
      <c r="AP412" s="8"/>
      <c r="AQ412" s="8"/>
    </row>
    <row r="413" spans="1:43" x14ac:dyDescent="0.15">
      <c r="A413" s="8"/>
      <c r="B413" s="8"/>
      <c r="C413" s="8"/>
      <c r="D413" s="8"/>
      <c r="E413" s="9"/>
      <c r="F413" s="8"/>
      <c r="G413" s="10"/>
      <c r="H413" s="11"/>
      <c r="I413" s="8"/>
      <c r="J413" s="9"/>
      <c r="K413" s="8"/>
      <c r="L413" s="9"/>
      <c r="M413" s="8"/>
      <c r="N413" s="11"/>
      <c r="O413" s="8"/>
      <c r="P413" s="9"/>
      <c r="Q413" s="8"/>
      <c r="R413" s="9"/>
      <c r="S413" s="8"/>
      <c r="T413" s="8"/>
      <c r="U413" s="8"/>
      <c r="V413" s="11"/>
      <c r="W413" s="8"/>
      <c r="X413" s="8"/>
      <c r="Y413" s="9"/>
      <c r="Z413" s="8"/>
      <c r="AA413" s="8"/>
      <c r="AB413" s="8"/>
      <c r="AC413" s="11"/>
      <c r="AD413" s="8"/>
      <c r="AE413" s="9"/>
      <c r="AF413" s="8"/>
      <c r="AG413" s="9"/>
      <c r="AH413" s="8"/>
      <c r="AI413" s="8"/>
      <c r="AJ413" s="8"/>
      <c r="AK413" s="11"/>
      <c r="AL413" s="8"/>
      <c r="AM413" s="8"/>
      <c r="AN413" s="9"/>
      <c r="AO413" s="8"/>
      <c r="AP413" s="8"/>
      <c r="AQ413" s="8"/>
    </row>
    <row r="414" spans="1:43" x14ac:dyDescent="0.15">
      <c r="A414" s="8"/>
      <c r="B414" s="8"/>
      <c r="C414" s="8"/>
      <c r="D414" s="8"/>
      <c r="E414" s="9"/>
      <c r="F414" s="8"/>
      <c r="G414" s="10"/>
      <c r="H414" s="11"/>
      <c r="I414" s="8"/>
      <c r="J414" s="9"/>
      <c r="K414" s="8"/>
      <c r="L414" s="9"/>
      <c r="M414" s="8"/>
      <c r="N414" s="11"/>
      <c r="O414" s="8"/>
      <c r="P414" s="9"/>
      <c r="Q414" s="8"/>
      <c r="R414" s="9"/>
      <c r="S414" s="8"/>
      <c r="T414" s="8"/>
      <c r="U414" s="8"/>
      <c r="V414" s="11"/>
      <c r="W414" s="8"/>
      <c r="X414" s="8"/>
      <c r="Y414" s="9"/>
      <c r="Z414" s="8"/>
      <c r="AA414" s="8"/>
      <c r="AB414" s="8"/>
      <c r="AC414" s="11"/>
      <c r="AD414" s="8"/>
      <c r="AE414" s="9"/>
      <c r="AF414" s="8"/>
      <c r="AG414" s="9"/>
      <c r="AH414" s="8"/>
      <c r="AI414" s="8"/>
      <c r="AJ414" s="8"/>
      <c r="AK414" s="11"/>
      <c r="AL414" s="8"/>
      <c r="AM414" s="8"/>
      <c r="AN414" s="9"/>
      <c r="AO414" s="8"/>
      <c r="AP414" s="8"/>
      <c r="AQ414" s="8"/>
    </row>
    <row r="415" spans="1:43" x14ac:dyDescent="0.15">
      <c r="A415" s="8"/>
      <c r="B415" s="8"/>
      <c r="C415" s="8"/>
      <c r="D415" s="8"/>
      <c r="E415" s="9"/>
      <c r="F415" s="8"/>
      <c r="G415" s="10"/>
      <c r="H415" s="11"/>
      <c r="I415" s="8"/>
      <c r="J415" s="9"/>
      <c r="K415" s="8"/>
      <c r="L415" s="9"/>
      <c r="M415" s="8"/>
      <c r="N415" s="11"/>
      <c r="O415" s="8"/>
      <c r="P415" s="9"/>
      <c r="Q415" s="8"/>
      <c r="R415" s="9"/>
      <c r="S415" s="8"/>
      <c r="T415" s="8"/>
      <c r="U415" s="8"/>
      <c r="V415" s="11"/>
      <c r="W415" s="8"/>
      <c r="X415" s="8"/>
      <c r="Y415" s="9"/>
      <c r="Z415" s="8"/>
      <c r="AA415" s="8"/>
      <c r="AB415" s="8"/>
      <c r="AC415" s="11"/>
      <c r="AD415" s="8"/>
      <c r="AE415" s="9"/>
      <c r="AF415" s="8"/>
      <c r="AG415" s="9"/>
      <c r="AH415" s="8"/>
      <c r="AI415" s="8"/>
      <c r="AJ415" s="8"/>
      <c r="AK415" s="11"/>
      <c r="AL415" s="8"/>
      <c r="AM415" s="8"/>
      <c r="AN415" s="9"/>
      <c r="AO415" s="8"/>
      <c r="AP415" s="8"/>
      <c r="AQ415" s="8"/>
    </row>
    <row r="416" spans="1:43" x14ac:dyDescent="0.15">
      <c r="A416" s="8"/>
      <c r="B416" s="8"/>
      <c r="C416" s="8"/>
      <c r="D416" s="8"/>
      <c r="E416" s="9"/>
      <c r="F416" s="8"/>
      <c r="G416" s="10"/>
      <c r="H416" s="11"/>
      <c r="I416" s="8"/>
      <c r="J416" s="9"/>
      <c r="K416" s="8"/>
      <c r="L416" s="9"/>
      <c r="M416" s="8"/>
      <c r="N416" s="11"/>
      <c r="O416" s="8"/>
      <c r="P416" s="9"/>
      <c r="Q416" s="8"/>
      <c r="R416" s="9"/>
      <c r="S416" s="8"/>
      <c r="T416" s="8"/>
      <c r="U416" s="8"/>
      <c r="V416" s="11"/>
      <c r="W416" s="8"/>
      <c r="X416" s="8"/>
      <c r="Y416" s="9"/>
      <c r="Z416" s="8"/>
      <c r="AA416" s="8"/>
      <c r="AB416" s="8"/>
      <c r="AC416" s="11"/>
      <c r="AD416" s="8"/>
      <c r="AE416" s="9"/>
      <c r="AF416" s="8"/>
      <c r="AG416" s="9"/>
      <c r="AH416" s="8"/>
      <c r="AI416" s="8"/>
      <c r="AJ416" s="8"/>
      <c r="AK416" s="11"/>
      <c r="AL416" s="8"/>
      <c r="AM416" s="8"/>
      <c r="AN416" s="9"/>
      <c r="AO416" s="8"/>
      <c r="AP416" s="8"/>
      <c r="AQ416" s="8"/>
    </row>
    <row r="417" spans="1:43" x14ac:dyDescent="0.15">
      <c r="A417" s="8"/>
      <c r="B417" s="8"/>
      <c r="C417" s="8"/>
      <c r="D417" s="8"/>
      <c r="E417" s="9"/>
      <c r="F417" s="8"/>
      <c r="G417" s="10"/>
      <c r="H417" s="11"/>
      <c r="I417" s="8"/>
      <c r="J417" s="9"/>
      <c r="K417" s="8"/>
      <c r="L417" s="9"/>
      <c r="M417" s="8"/>
      <c r="N417" s="11"/>
      <c r="O417" s="8"/>
      <c r="P417" s="9"/>
      <c r="Q417" s="8"/>
      <c r="R417" s="9"/>
      <c r="S417" s="8"/>
      <c r="T417" s="8"/>
      <c r="U417" s="8"/>
      <c r="V417" s="11"/>
      <c r="W417" s="8"/>
      <c r="X417" s="8"/>
      <c r="Y417" s="9"/>
      <c r="Z417" s="8"/>
      <c r="AA417" s="8"/>
      <c r="AB417" s="8"/>
      <c r="AC417" s="11"/>
      <c r="AD417" s="8"/>
      <c r="AE417" s="9"/>
      <c r="AF417" s="8"/>
      <c r="AG417" s="9"/>
      <c r="AH417" s="8"/>
      <c r="AI417" s="8"/>
      <c r="AJ417" s="8"/>
      <c r="AK417" s="11"/>
      <c r="AL417" s="8"/>
      <c r="AM417" s="8"/>
      <c r="AN417" s="9"/>
      <c r="AO417" s="8"/>
      <c r="AP417" s="8"/>
      <c r="AQ417" s="8"/>
    </row>
    <row r="418" spans="1:43" x14ac:dyDescent="0.15">
      <c r="A418" s="8"/>
      <c r="B418" s="8"/>
      <c r="C418" s="8"/>
      <c r="D418" s="8"/>
      <c r="E418" s="9"/>
      <c r="F418" s="8"/>
      <c r="G418" s="10"/>
      <c r="H418" s="11"/>
      <c r="I418" s="8"/>
      <c r="J418" s="9"/>
      <c r="K418" s="8"/>
      <c r="L418" s="9"/>
      <c r="M418" s="8"/>
      <c r="N418" s="11"/>
      <c r="O418" s="8"/>
      <c r="P418" s="9"/>
      <c r="Q418" s="8"/>
      <c r="R418" s="9"/>
      <c r="S418" s="8"/>
      <c r="T418" s="8"/>
      <c r="U418" s="8"/>
      <c r="V418" s="11"/>
      <c r="W418" s="8"/>
      <c r="X418" s="8"/>
      <c r="Y418" s="9"/>
      <c r="Z418" s="8"/>
      <c r="AA418" s="8"/>
      <c r="AB418" s="8"/>
      <c r="AC418" s="11"/>
      <c r="AD418" s="8"/>
      <c r="AE418" s="9"/>
      <c r="AF418" s="8"/>
      <c r="AG418" s="9"/>
      <c r="AH418" s="8"/>
      <c r="AI418" s="8"/>
      <c r="AJ418" s="8"/>
      <c r="AK418" s="11"/>
      <c r="AL418" s="8"/>
      <c r="AM418" s="8"/>
      <c r="AN418" s="9"/>
      <c r="AO418" s="8"/>
      <c r="AP418" s="8"/>
      <c r="AQ418" s="8"/>
    </row>
    <row r="419" spans="1:43" x14ac:dyDescent="0.15">
      <c r="A419" s="8"/>
      <c r="B419" s="8"/>
      <c r="C419" s="8"/>
      <c r="D419" s="8"/>
      <c r="E419" s="9"/>
      <c r="F419" s="8"/>
      <c r="G419" s="10"/>
      <c r="H419" s="11"/>
      <c r="I419" s="8"/>
      <c r="J419" s="9"/>
      <c r="K419" s="8"/>
      <c r="L419" s="9"/>
      <c r="M419" s="8"/>
      <c r="N419" s="11"/>
      <c r="O419" s="8"/>
      <c r="P419" s="9"/>
      <c r="Q419" s="8"/>
      <c r="R419" s="9"/>
      <c r="S419" s="8"/>
      <c r="T419" s="8"/>
      <c r="U419" s="8"/>
      <c r="V419" s="11"/>
      <c r="W419" s="8"/>
      <c r="X419" s="8"/>
      <c r="Y419" s="9"/>
      <c r="Z419" s="8"/>
      <c r="AA419" s="8"/>
      <c r="AB419" s="8"/>
      <c r="AC419" s="11"/>
      <c r="AD419" s="8"/>
      <c r="AE419" s="9"/>
      <c r="AF419" s="8"/>
      <c r="AG419" s="9"/>
      <c r="AH419" s="8"/>
      <c r="AI419" s="8"/>
      <c r="AJ419" s="8"/>
      <c r="AK419" s="11"/>
      <c r="AL419" s="8"/>
      <c r="AM419" s="8"/>
      <c r="AN419" s="9"/>
      <c r="AO419" s="8"/>
      <c r="AP419" s="8"/>
      <c r="AQ419" s="8"/>
    </row>
    <row r="420" spans="1:43" x14ac:dyDescent="0.15">
      <c r="A420" s="8"/>
      <c r="B420" s="8"/>
      <c r="C420" s="8"/>
      <c r="D420" s="8"/>
      <c r="E420" s="9"/>
      <c r="F420" s="8"/>
      <c r="G420" s="10"/>
      <c r="H420" s="11"/>
      <c r="I420" s="8"/>
      <c r="J420" s="9"/>
      <c r="K420" s="8"/>
      <c r="L420" s="9"/>
      <c r="M420" s="8"/>
      <c r="N420" s="11"/>
      <c r="O420" s="8"/>
      <c r="P420" s="9"/>
      <c r="Q420" s="8"/>
      <c r="R420" s="9"/>
      <c r="S420" s="8"/>
      <c r="T420" s="8"/>
      <c r="U420" s="8"/>
      <c r="V420" s="11"/>
      <c r="W420" s="8"/>
      <c r="X420" s="8"/>
      <c r="Y420" s="9"/>
      <c r="Z420" s="8"/>
      <c r="AA420" s="8"/>
      <c r="AB420" s="8"/>
      <c r="AC420" s="11"/>
      <c r="AD420" s="8"/>
      <c r="AE420" s="9"/>
      <c r="AF420" s="8"/>
      <c r="AG420" s="9"/>
      <c r="AH420" s="8"/>
      <c r="AI420" s="8"/>
      <c r="AJ420" s="8"/>
      <c r="AK420" s="11"/>
      <c r="AL420" s="8"/>
      <c r="AM420" s="8"/>
      <c r="AN420" s="9"/>
      <c r="AO420" s="8"/>
      <c r="AP420" s="8"/>
      <c r="AQ420" s="8"/>
    </row>
    <row r="421" spans="1:43" x14ac:dyDescent="0.15">
      <c r="A421" s="8"/>
      <c r="B421" s="8"/>
      <c r="C421" s="8"/>
      <c r="D421" s="8"/>
      <c r="E421" s="9"/>
      <c r="F421" s="8"/>
      <c r="G421" s="10"/>
      <c r="H421" s="11"/>
      <c r="I421" s="8"/>
      <c r="J421" s="9"/>
      <c r="K421" s="8"/>
      <c r="L421" s="9"/>
      <c r="M421" s="8"/>
      <c r="N421" s="11"/>
      <c r="O421" s="8"/>
      <c r="P421" s="9"/>
      <c r="Q421" s="8"/>
      <c r="R421" s="9"/>
      <c r="S421" s="8"/>
      <c r="T421" s="8"/>
      <c r="U421" s="8"/>
      <c r="V421" s="11"/>
      <c r="W421" s="8"/>
      <c r="X421" s="8"/>
      <c r="Y421" s="9"/>
      <c r="Z421" s="8"/>
      <c r="AA421" s="8"/>
      <c r="AB421" s="8"/>
      <c r="AC421" s="11"/>
      <c r="AD421" s="8"/>
      <c r="AE421" s="9"/>
      <c r="AF421" s="8"/>
      <c r="AG421" s="9"/>
      <c r="AH421" s="8"/>
      <c r="AI421" s="8"/>
      <c r="AJ421" s="8"/>
      <c r="AK421" s="11"/>
      <c r="AL421" s="8"/>
      <c r="AM421" s="8"/>
      <c r="AN421" s="9"/>
      <c r="AO421" s="8"/>
      <c r="AP421" s="8"/>
      <c r="AQ421" s="8"/>
    </row>
    <row r="422" spans="1:43" x14ac:dyDescent="0.15">
      <c r="A422" s="8"/>
      <c r="B422" s="8"/>
      <c r="C422" s="8"/>
      <c r="D422" s="8"/>
      <c r="E422" s="9"/>
      <c r="F422" s="8"/>
      <c r="G422" s="10"/>
      <c r="H422" s="11"/>
      <c r="I422" s="8"/>
      <c r="J422" s="9"/>
      <c r="K422" s="8"/>
      <c r="L422" s="9"/>
      <c r="M422" s="8"/>
      <c r="N422" s="11"/>
      <c r="O422" s="8"/>
      <c r="P422" s="9"/>
      <c r="Q422" s="8"/>
      <c r="R422" s="9"/>
      <c r="S422" s="8"/>
      <c r="T422" s="8"/>
      <c r="U422" s="8"/>
      <c r="V422" s="11"/>
      <c r="W422" s="8"/>
      <c r="X422" s="8"/>
      <c r="Y422" s="9"/>
      <c r="Z422" s="8"/>
      <c r="AA422" s="8"/>
      <c r="AB422" s="8"/>
      <c r="AC422" s="11"/>
      <c r="AD422" s="8"/>
      <c r="AE422" s="9"/>
      <c r="AF422" s="8"/>
      <c r="AG422" s="9"/>
      <c r="AH422" s="8"/>
      <c r="AI422" s="8"/>
      <c r="AJ422" s="8"/>
      <c r="AK422" s="11"/>
      <c r="AL422" s="8"/>
      <c r="AM422" s="8"/>
      <c r="AN422" s="9"/>
      <c r="AO422" s="8"/>
      <c r="AP422" s="8"/>
      <c r="AQ422" s="8"/>
    </row>
    <row r="423" spans="1:43" x14ac:dyDescent="0.15">
      <c r="A423" s="8"/>
      <c r="B423" s="8"/>
      <c r="C423" s="8"/>
      <c r="D423" s="8"/>
      <c r="E423" s="9"/>
      <c r="F423" s="8"/>
      <c r="G423" s="10"/>
      <c r="H423" s="11"/>
      <c r="I423" s="8"/>
      <c r="J423" s="9"/>
      <c r="K423" s="8"/>
      <c r="L423" s="9"/>
      <c r="M423" s="8"/>
      <c r="N423" s="11"/>
      <c r="O423" s="8"/>
      <c r="P423" s="9"/>
      <c r="Q423" s="8"/>
      <c r="R423" s="9"/>
      <c r="S423" s="8"/>
      <c r="T423" s="8"/>
      <c r="U423" s="8"/>
      <c r="V423" s="11"/>
      <c r="W423" s="8"/>
      <c r="X423" s="8"/>
      <c r="Y423" s="9"/>
      <c r="Z423" s="8"/>
      <c r="AA423" s="8"/>
      <c r="AB423" s="8"/>
      <c r="AC423" s="11"/>
      <c r="AD423" s="8"/>
      <c r="AE423" s="9"/>
      <c r="AF423" s="8"/>
      <c r="AG423" s="9"/>
      <c r="AH423" s="8"/>
      <c r="AI423" s="8"/>
      <c r="AJ423" s="8"/>
      <c r="AK423" s="11"/>
      <c r="AL423" s="8"/>
      <c r="AM423" s="8"/>
      <c r="AN423" s="9"/>
      <c r="AO423" s="8"/>
      <c r="AP423" s="8"/>
      <c r="AQ423" s="8"/>
    </row>
    <row r="424" spans="1:43" x14ac:dyDescent="0.15">
      <c r="A424" s="8"/>
      <c r="B424" s="8"/>
      <c r="C424" s="8"/>
      <c r="D424" s="8"/>
      <c r="E424" s="9"/>
      <c r="F424" s="8"/>
      <c r="G424" s="10"/>
      <c r="H424" s="11"/>
      <c r="I424" s="8"/>
      <c r="J424" s="9"/>
      <c r="K424" s="8"/>
      <c r="L424" s="9"/>
      <c r="M424" s="8"/>
      <c r="N424" s="11"/>
      <c r="O424" s="8"/>
      <c r="P424" s="9"/>
      <c r="Q424" s="8"/>
      <c r="R424" s="9"/>
      <c r="S424" s="8"/>
      <c r="T424" s="8"/>
      <c r="U424" s="8"/>
      <c r="V424" s="11"/>
      <c r="W424" s="8"/>
      <c r="X424" s="8"/>
      <c r="Y424" s="9"/>
      <c r="Z424" s="8"/>
      <c r="AA424" s="8"/>
      <c r="AB424" s="8"/>
      <c r="AC424" s="11"/>
      <c r="AD424" s="8"/>
      <c r="AE424" s="9"/>
      <c r="AF424" s="8"/>
      <c r="AG424" s="9"/>
      <c r="AH424" s="8"/>
      <c r="AI424" s="8"/>
      <c r="AJ424" s="8"/>
      <c r="AK424" s="11"/>
      <c r="AL424" s="8"/>
      <c r="AM424" s="8"/>
      <c r="AN424" s="9"/>
      <c r="AO424" s="8"/>
      <c r="AP424" s="8"/>
      <c r="AQ424" s="8"/>
    </row>
    <row r="425" spans="1:43" x14ac:dyDescent="0.15">
      <c r="A425" s="8"/>
      <c r="B425" s="8"/>
      <c r="C425" s="8"/>
      <c r="D425" s="8"/>
      <c r="E425" s="9"/>
      <c r="F425" s="8"/>
      <c r="G425" s="10"/>
      <c r="H425" s="11"/>
      <c r="I425" s="8"/>
      <c r="J425" s="9"/>
      <c r="K425" s="8"/>
      <c r="L425" s="9"/>
      <c r="M425" s="8"/>
      <c r="N425" s="11"/>
      <c r="O425" s="8"/>
      <c r="P425" s="9"/>
      <c r="Q425" s="8"/>
      <c r="R425" s="9"/>
      <c r="S425" s="8"/>
      <c r="T425" s="8"/>
      <c r="U425" s="8"/>
      <c r="V425" s="11"/>
      <c r="W425" s="8"/>
      <c r="X425" s="8"/>
      <c r="Y425" s="9"/>
      <c r="Z425" s="8"/>
      <c r="AA425" s="8"/>
      <c r="AB425" s="8"/>
      <c r="AC425" s="11"/>
      <c r="AD425" s="8"/>
      <c r="AE425" s="9"/>
      <c r="AF425" s="8"/>
      <c r="AG425" s="9"/>
      <c r="AH425" s="8"/>
      <c r="AI425" s="8"/>
      <c r="AJ425" s="8"/>
      <c r="AK425" s="11"/>
      <c r="AL425" s="8"/>
      <c r="AM425" s="8"/>
      <c r="AN425" s="9"/>
      <c r="AO425" s="8"/>
      <c r="AP425" s="8"/>
      <c r="AQ425" s="8"/>
    </row>
    <row r="426" spans="1:43" x14ac:dyDescent="0.15">
      <c r="A426" s="8"/>
      <c r="B426" s="8"/>
      <c r="C426" s="8"/>
      <c r="D426" s="8"/>
      <c r="E426" s="9"/>
      <c r="F426" s="8"/>
      <c r="G426" s="10"/>
      <c r="H426" s="11"/>
      <c r="I426" s="8"/>
      <c r="J426" s="9"/>
      <c r="K426" s="8"/>
      <c r="L426" s="9"/>
      <c r="M426" s="8"/>
      <c r="N426" s="11"/>
      <c r="O426" s="8"/>
      <c r="P426" s="9"/>
      <c r="Q426" s="8"/>
      <c r="R426" s="9"/>
      <c r="S426" s="8"/>
      <c r="T426" s="8"/>
      <c r="U426" s="8"/>
      <c r="V426" s="11"/>
      <c r="W426" s="8"/>
      <c r="X426" s="8"/>
      <c r="Y426" s="9"/>
      <c r="Z426" s="8"/>
      <c r="AA426" s="8"/>
      <c r="AB426" s="8"/>
      <c r="AC426" s="11"/>
      <c r="AD426" s="8"/>
      <c r="AE426" s="9"/>
      <c r="AF426" s="8"/>
      <c r="AG426" s="9"/>
      <c r="AH426" s="8"/>
      <c r="AI426" s="8"/>
      <c r="AJ426" s="8"/>
      <c r="AK426" s="11"/>
      <c r="AL426" s="8"/>
      <c r="AM426" s="8"/>
      <c r="AN426" s="9"/>
      <c r="AO426" s="8"/>
      <c r="AP426" s="8"/>
      <c r="AQ426" s="8"/>
    </row>
    <row r="427" spans="1:43" x14ac:dyDescent="0.15">
      <c r="A427" s="8"/>
      <c r="B427" s="8"/>
      <c r="C427" s="8"/>
      <c r="D427" s="8"/>
      <c r="E427" s="9"/>
      <c r="F427" s="8"/>
      <c r="G427" s="10"/>
      <c r="H427" s="11"/>
      <c r="I427" s="8"/>
      <c r="J427" s="9"/>
      <c r="K427" s="8"/>
      <c r="L427" s="9"/>
      <c r="M427" s="8"/>
      <c r="N427" s="11"/>
      <c r="O427" s="8"/>
      <c r="P427" s="9"/>
      <c r="Q427" s="8"/>
      <c r="R427" s="9"/>
      <c r="S427" s="8"/>
      <c r="T427" s="8"/>
      <c r="U427" s="8"/>
      <c r="V427" s="11"/>
      <c r="W427" s="8"/>
      <c r="X427" s="8"/>
      <c r="Y427" s="9"/>
      <c r="Z427" s="8"/>
      <c r="AA427" s="8"/>
      <c r="AB427" s="8"/>
      <c r="AC427" s="11"/>
      <c r="AD427" s="8"/>
      <c r="AE427" s="9"/>
      <c r="AF427" s="8"/>
      <c r="AG427" s="9"/>
      <c r="AH427" s="8"/>
      <c r="AI427" s="8"/>
      <c r="AJ427" s="8"/>
      <c r="AK427" s="11"/>
      <c r="AL427" s="8"/>
      <c r="AM427" s="8"/>
      <c r="AN427" s="9"/>
      <c r="AO427" s="8"/>
      <c r="AP427" s="8"/>
      <c r="AQ427" s="8"/>
    </row>
    <row r="428" spans="1:43" x14ac:dyDescent="0.15">
      <c r="A428" s="8"/>
      <c r="B428" s="8"/>
      <c r="C428" s="8"/>
      <c r="D428" s="8"/>
      <c r="E428" s="9"/>
      <c r="F428" s="8"/>
      <c r="G428" s="10"/>
      <c r="H428" s="11"/>
      <c r="I428" s="8"/>
      <c r="J428" s="9"/>
      <c r="K428" s="8"/>
      <c r="L428" s="9"/>
      <c r="M428" s="8"/>
      <c r="N428" s="11"/>
      <c r="O428" s="8"/>
      <c r="P428" s="9"/>
      <c r="Q428" s="8"/>
      <c r="R428" s="9"/>
      <c r="S428" s="8"/>
      <c r="T428" s="8"/>
      <c r="U428" s="8"/>
      <c r="V428" s="11"/>
      <c r="W428" s="8"/>
      <c r="X428" s="8"/>
      <c r="Y428" s="9"/>
      <c r="Z428" s="8"/>
      <c r="AA428" s="8"/>
      <c r="AB428" s="8"/>
      <c r="AC428" s="11"/>
      <c r="AD428" s="8"/>
      <c r="AE428" s="9"/>
      <c r="AF428" s="8"/>
      <c r="AG428" s="9"/>
      <c r="AH428" s="8"/>
      <c r="AI428" s="8"/>
      <c r="AJ428" s="8"/>
      <c r="AK428" s="11"/>
      <c r="AL428" s="8"/>
      <c r="AM428" s="8"/>
      <c r="AN428" s="9"/>
      <c r="AO428" s="8"/>
      <c r="AP428" s="8"/>
      <c r="AQ428" s="8"/>
    </row>
    <row r="429" spans="1:43" x14ac:dyDescent="0.15">
      <c r="A429" s="8"/>
      <c r="B429" s="8"/>
      <c r="C429" s="8"/>
      <c r="D429" s="8"/>
      <c r="E429" s="9"/>
      <c r="F429" s="8"/>
      <c r="G429" s="10"/>
      <c r="H429" s="11"/>
      <c r="I429" s="8"/>
      <c r="J429" s="9"/>
      <c r="K429" s="8"/>
      <c r="L429" s="9"/>
      <c r="M429" s="8"/>
      <c r="N429" s="11"/>
      <c r="O429" s="8"/>
      <c r="P429" s="9"/>
      <c r="Q429" s="8"/>
      <c r="R429" s="9"/>
      <c r="S429" s="8"/>
      <c r="T429" s="8"/>
      <c r="U429" s="8"/>
      <c r="V429" s="11"/>
      <c r="W429" s="8"/>
      <c r="X429" s="8"/>
      <c r="Y429" s="9"/>
      <c r="Z429" s="8"/>
      <c r="AA429" s="8"/>
      <c r="AB429" s="8"/>
      <c r="AC429" s="11"/>
      <c r="AD429" s="8"/>
      <c r="AE429" s="9"/>
      <c r="AF429" s="8"/>
      <c r="AG429" s="9"/>
      <c r="AH429" s="8"/>
      <c r="AI429" s="8"/>
      <c r="AJ429" s="8"/>
      <c r="AK429" s="11"/>
      <c r="AL429" s="8"/>
      <c r="AM429" s="8"/>
      <c r="AN429" s="9"/>
      <c r="AO429" s="8"/>
      <c r="AP429" s="8"/>
      <c r="AQ429" s="8"/>
    </row>
    <row r="430" spans="1:43" x14ac:dyDescent="0.15">
      <c r="A430" s="8"/>
      <c r="B430" s="8"/>
      <c r="C430" s="8"/>
      <c r="D430" s="8"/>
      <c r="E430" s="9"/>
      <c r="F430" s="8"/>
      <c r="G430" s="10"/>
      <c r="H430" s="11"/>
      <c r="I430" s="8"/>
      <c r="J430" s="9"/>
      <c r="K430" s="8"/>
      <c r="L430" s="9"/>
      <c r="M430" s="8"/>
      <c r="N430" s="11"/>
      <c r="O430" s="8"/>
      <c r="P430" s="9"/>
      <c r="Q430" s="8"/>
      <c r="R430" s="9"/>
      <c r="S430" s="8"/>
      <c r="T430" s="8"/>
      <c r="U430" s="8"/>
      <c r="V430" s="11"/>
      <c r="W430" s="8"/>
      <c r="X430" s="8"/>
      <c r="Y430" s="9"/>
      <c r="Z430" s="8"/>
      <c r="AA430" s="8"/>
      <c r="AB430" s="8"/>
      <c r="AC430" s="11"/>
      <c r="AD430" s="8"/>
      <c r="AE430" s="9"/>
      <c r="AF430" s="8"/>
      <c r="AG430" s="9"/>
      <c r="AH430" s="8"/>
      <c r="AI430" s="8"/>
      <c r="AJ430" s="8"/>
      <c r="AK430" s="11"/>
      <c r="AL430" s="8"/>
      <c r="AM430" s="8"/>
      <c r="AN430" s="9"/>
      <c r="AO430" s="8"/>
      <c r="AP430" s="8"/>
      <c r="AQ430" s="8"/>
    </row>
    <row r="431" spans="1:43" x14ac:dyDescent="0.15">
      <c r="A431" s="8"/>
      <c r="B431" s="8"/>
      <c r="C431" s="8"/>
      <c r="D431" s="8"/>
      <c r="E431" s="9"/>
      <c r="F431" s="8"/>
      <c r="G431" s="10"/>
      <c r="H431" s="11"/>
      <c r="I431" s="8"/>
      <c r="J431" s="9"/>
      <c r="K431" s="8"/>
      <c r="L431" s="9"/>
      <c r="M431" s="8"/>
      <c r="N431" s="11"/>
      <c r="O431" s="8"/>
      <c r="P431" s="9"/>
      <c r="Q431" s="8"/>
      <c r="R431" s="9"/>
      <c r="S431" s="8"/>
      <c r="T431" s="8"/>
      <c r="U431" s="8"/>
      <c r="V431" s="11"/>
      <c r="W431" s="8"/>
      <c r="X431" s="8"/>
      <c r="Y431" s="9"/>
      <c r="Z431" s="8"/>
      <c r="AA431" s="8"/>
      <c r="AB431" s="8"/>
      <c r="AC431" s="11"/>
      <c r="AD431" s="8"/>
      <c r="AE431" s="9"/>
      <c r="AF431" s="8"/>
      <c r="AG431" s="9"/>
      <c r="AH431" s="8"/>
      <c r="AI431" s="8"/>
      <c r="AJ431" s="8"/>
      <c r="AK431" s="11"/>
      <c r="AL431" s="8"/>
      <c r="AM431" s="8"/>
      <c r="AN431" s="9"/>
      <c r="AO431" s="8"/>
      <c r="AP431" s="8"/>
      <c r="AQ431" s="8"/>
    </row>
    <row r="432" spans="1:43" x14ac:dyDescent="0.15">
      <c r="A432" s="8"/>
      <c r="B432" s="8"/>
      <c r="C432" s="8"/>
      <c r="D432" s="8"/>
      <c r="E432" s="9"/>
      <c r="F432" s="8"/>
      <c r="G432" s="10"/>
      <c r="H432" s="11"/>
      <c r="I432" s="8"/>
      <c r="J432" s="9"/>
      <c r="K432" s="8"/>
      <c r="L432" s="9"/>
      <c r="M432" s="8"/>
      <c r="N432" s="11"/>
      <c r="O432" s="8"/>
      <c r="P432" s="9"/>
      <c r="Q432" s="8"/>
      <c r="R432" s="9"/>
      <c r="S432" s="8"/>
      <c r="T432" s="8"/>
      <c r="U432" s="8"/>
      <c r="V432" s="11"/>
      <c r="W432" s="8"/>
      <c r="X432" s="8"/>
      <c r="Y432" s="9"/>
      <c r="Z432" s="8"/>
      <c r="AA432" s="8"/>
      <c r="AB432" s="8"/>
      <c r="AC432" s="11"/>
      <c r="AD432" s="8"/>
      <c r="AE432" s="9"/>
      <c r="AF432" s="8"/>
      <c r="AG432" s="9"/>
      <c r="AH432" s="8"/>
      <c r="AI432" s="8"/>
      <c r="AJ432" s="8"/>
      <c r="AK432" s="11"/>
      <c r="AL432" s="8"/>
      <c r="AM432" s="8"/>
      <c r="AN432" s="9"/>
      <c r="AO432" s="8"/>
      <c r="AP432" s="8"/>
      <c r="AQ432" s="8"/>
    </row>
    <row r="433" spans="1:43" x14ac:dyDescent="0.15">
      <c r="A433" s="8"/>
      <c r="B433" s="8"/>
      <c r="C433" s="8"/>
      <c r="D433" s="8"/>
      <c r="E433" s="9"/>
      <c r="F433" s="8"/>
      <c r="G433" s="10"/>
      <c r="H433" s="11"/>
      <c r="I433" s="8"/>
      <c r="J433" s="9"/>
      <c r="K433" s="8"/>
      <c r="L433" s="9"/>
      <c r="M433" s="8"/>
      <c r="N433" s="11"/>
      <c r="O433" s="8"/>
      <c r="P433" s="9"/>
      <c r="Q433" s="8"/>
      <c r="R433" s="9"/>
      <c r="S433" s="8"/>
      <c r="T433" s="8"/>
      <c r="U433" s="8"/>
      <c r="V433" s="11"/>
      <c r="W433" s="8"/>
      <c r="X433" s="8"/>
      <c r="Y433" s="9"/>
      <c r="Z433" s="8"/>
      <c r="AA433" s="8"/>
      <c r="AB433" s="8"/>
      <c r="AC433" s="11"/>
      <c r="AD433" s="8"/>
      <c r="AE433" s="9"/>
      <c r="AF433" s="8"/>
      <c r="AG433" s="9"/>
      <c r="AH433" s="8"/>
      <c r="AI433" s="8"/>
      <c r="AJ433" s="8"/>
      <c r="AK433" s="11"/>
      <c r="AL433" s="8"/>
      <c r="AM433" s="8"/>
      <c r="AN433" s="9"/>
      <c r="AO433" s="8"/>
      <c r="AP433" s="8"/>
      <c r="AQ433" s="8"/>
    </row>
    <row r="434" spans="1:43" x14ac:dyDescent="0.15">
      <c r="A434" s="8"/>
      <c r="B434" s="8"/>
      <c r="C434" s="8"/>
      <c r="D434" s="8"/>
      <c r="E434" s="9"/>
      <c r="F434" s="8"/>
      <c r="G434" s="10"/>
      <c r="H434" s="11"/>
      <c r="I434" s="8"/>
      <c r="J434" s="9"/>
      <c r="K434" s="8"/>
      <c r="L434" s="9"/>
      <c r="M434" s="8"/>
      <c r="N434" s="11"/>
      <c r="O434" s="8"/>
      <c r="P434" s="9"/>
      <c r="Q434" s="8"/>
      <c r="R434" s="9"/>
      <c r="S434" s="8"/>
      <c r="T434" s="8"/>
      <c r="U434" s="8"/>
      <c r="V434" s="11"/>
      <c r="W434" s="8"/>
      <c r="X434" s="8"/>
      <c r="Y434" s="9"/>
      <c r="Z434" s="8"/>
      <c r="AA434" s="8"/>
      <c r="AB434" s="8"/>
      <c r="AC434" s="11"/>
      <c r="AD434" s="8"/>
      <c r="AE434" s="9"/>
      <c r="AF434" s="8"/>
      <c r="AG434" s="9"/>
      <c r="AH434" s="8"/>
      <c r="AI434" s="8"/>
      <c r="AJ434" s="8"/>
      <c r="AK434" s="11"/>
      <c r="AL434" s="8"/>
      <c r="AM434" s="8"/>
      <c r="AN434" s="9"/>
      <c r="AO434" s="8"/>
      <c r="AP434" s="8"/>
      <c r="AQ434" s="8"/>
    </row>
    <row r="435" spans="1:43" x14ac:dyDescent="0.15">
      <c r="A435" s="8"/>
      <c r="B435" s="8"/>
      <c r="C435" s="8"/>
      <c r="D435" s="8"/>
      <c r="E435" s="9"/>
      <c r="F435" s="8"/>
      <c r="G435" s="10"/>
      <c r="H435" s="11"/>
      <c r="I435" s="8"/>
      <c r="J435" s="9"/>
      <c r="K435" s="8"/>
      <c r="L435" s="9"/>
      <c r="M435" s="8"/>
      <c r="N435" s="11"/>
      <c r="O435" s="8"/>
      <c r="P435" s="9"/>
      <c r="Q435" s="8"/>
      <c r="R435" s="9"/>
      <c r="S435" s="8"/>
      <c r="T435" s="8"/>
      <c r="U435" s="8"/>
      <c r="V435" s="11"/>
      <c r="W435" s="8"/>
      <c r="X435" s="8"/>
      <c r="Y435" s="9"/>
      <c r="Z435" s="8"/>
      <c r="AA435" s="8"/>
      <c r="AB435" s="8"/>
      <c r="AC435" s="11"/>
      <c r="AD435" s="8"/>
      <c r="AE435" s="9"/>
      <c r="AF435" s="8"/>
      <c r="AG435" s="9"/>
      <c r="AH435" s="8"/>
      <c r="AI435" s="8"/>
      <c r="AJ435" s="8"/>
      <c r="AK435" s="11"/>
      <c r="AL435" s="8"/>
      <c r="AM435" s="8"/>
      <c r="AN435" s="9"/>
      <c r="AO435" s="8"/>
      <c r="AP435" s="8"/>
      <c r="AQ435" s="8"/>
    </row>
    <row r="436" spans="1:43" x14ac:dyDescent="0.15">
      <c r="A436" s="8"/>
      <c r="B436" s="8"/>
      <c r="C436" s="8"/>
      <c r="D436" s="8"/>
      <c r="E436" s="9"/>
      <c r="F436" s="8"/>
      <c r="G436" s="10"/>
      <c r="H436" s="11"/>
      <c r="I436" s="8"/>
      <c r="J436" s="9"/>
      <c r="K436" s="8"/>
      <c r="L436" s="9"/>
      <c r="M436" s="8"/>
      <c r="N436" s="11"/>
      <c r="O436" s="8"/>
      <c r="P436" s="9"/>
      <c r="Q436" s="8"/>
      <c r="R436" s="9"/>
      <c r="S436" s="8"/>
      <c r="T436" s="8"/>
      <c r="U436" s="8"/>
      <c r="V436" s="11"/>
      <c r="W436" s="8"/>
      <c r="X436" s="8"/>
      <c r="Y436" s="9"/>
      <c r="Z436" s="8"/>
      <c r="AA436" s="8"/>
      <c r="AB436" s="8"/>
      <c r="AC436" s="11"/>
      <c r="AD436" s="8"/>
      <c r="AE436" s="9"/>
      <c r="AF436" s="8"/>
      <c r="AG436" s="9"/>
      <c r="AH436" s="8"/>
      <c r="AI436" s="8"/>
      <c r="AJ436" s="8"/>
      <c r="AK436" s="11"/>
      <c r="AL436" s="8"/>
      <c r="AM436" s="8"/>
      <c r="AN436" s="9"/>
      <c r="AO436" s="8"/>
      <c r="AP436" s="8"/>
      <c r="AQ436" s="8"/>
    </row>
    <row r="437" spans="1:43" x14ac:dyDescent="0.15">
      <c r="A437" s="8"/>
      <c r="B437" s="8"/>
      <c r="C437" s="8"/>
      <c r="D437" s="8"/>
      <c r="E437" s="9"/>
      <c r="F437" s="8"/>
      <c r="G437" s="10"/>
      <c r="H437" s="11"/>
      <c r="I437" s="8"/>
      <c r="J437" s="9"/>
      <c r="K437" s="8"/>
      <c r="L437" s="9"/>
      <c r="M437" s="8"/>
      <c r="N437" s="11"/>
      <c r="O437" s="8"/>
      <c r="P437" s="9"/>
      <c r="Q437" s="8"/>
      <c r="R437" s="9"/>
      <c r="S437" s="8"/>
      <c r="T437" s="8"/>
      <c r="U437" s="8"/>
      <c r="V437" s="11"/>
      <c r="W437" s="8"/>
      <c r="X437" s="8"/>
      <c r="Y437" s="9"/>
      <c r="Z437" s="8"/>
      <c r="AA437" s="8"/>
      <c r="AB437" s="8"/>
      <c r="AC437" s="11"/>
      <c r="AD437" s="8"/>
      <c r="AE437" s="9"/>
      <c r="AF437" s="8"/>
      <c r="AG437" s="9"/>
      <c r="AH437" s="8"/>
      <c r="AI437" s="8"/>
      <c r="AJ437" s="8"/>
      <c r="AK437" s="11"/>
      <c r="AL437" s="8"/>
      <c r="AM437" s="8"/>
      <c r="AN437" s="9"/>
      <c r="AO437" s="8"/>
      <c r="AP437" s="8"/>
      <c r="AQ437" s="8"/>
    </row>
    <row r="438" spans="1:43" x14ac:dyDescent="0.15">
      <c r="A438" s="8"/>
      <c r="B438" s="8"/>
      <c r="C438" s="8"/>
      <c r="D438" s="8"/>
      <c r="E438" s="9"/>
      <c r="F438" s="8"/>
      <c r="G438" s="10"/>
      <c r="H438" s="11"/>
      <c r="I438" s="8"/>
      <c r="J438" s="9"/>
      <c r="K438" s="8"/>
      <c r="L438" s="9"/>
      <c r="M438" s="8"/>
      <c r="N438" s="11"/>
      <c r="O438" s="8"/>
      <c r="P438" s="9"/>
      <c r="Q438" s="8"/>
      <c r="R438" s="9"/>
      <c r="S438" s="8"/>
      <c r="T438" s="8"/>
      <c r="U438" s="8"/>
      <c r="V438" s="11"/>
      <c r="W438" s="8"/>
      <c r="X438" s="8"/>
      <c r="Y438" s="9"/>
      <c r="Z438" s="8"/>
      <c r="AA438" s="8"/>
      <c r="AB438" s="8"/>
      <c r="AC438" s="11"/>
      <c r="AD438" s="8"/>
      <c r="AE438" s="9"/>
      <c r="AF438" s="8"/>
      <c r="AG438" s="9"/>
      <c r="AH438" s="8"/>
      <c r="AI438" s="8"/>
      <c r="AJ438" s="8"/>
      <c r="AK438" s="11"/>
      <c r="AL438" s="8"/>
      <c r="AM438" s="8"/>
      <c r="AN438" s="9"/>
      <c r="AO438" s="8"/>
      <c r="AP438" s="8"/>
      <c r="AQ438" s="8"/>
    </row>
    <row r="439" spans="1:43" x14ac:dyDescent="0.15">
      <c r="A439" s="8"/>
      <c r="B439" s="8"/>
      <c r="C439" s="8"/>
      <c r="D439" s="8"/>
      <c r="E439" s="9"/>
      <c r="F439" s="8"/>
      <c r="G439" s="10"/>
      <c r="H439" s="11"/>
      <c r="I439" s="8"/>
      <c r="J439" s="9"/>
      <c r="K439" s="8"/>
      <c r="L439" s="9"/>
      <c r="M439" s="8"/>
      <c r="N439" s="11"/>
      <c r="O439" s="8"/>
      <c r="P439" s="9"/>
      <c r="Q439" s="8"/>
      <c r="R439" s="9"/>
      <c r="S439" s="8"/>
      <c r="T439" s="8"/>
      <c r="U439" s="8"/>
      <c r="V439" s="11"/>
      <c r="W439" s="8"/>
      <c r="X439" s="8"/>
      <c r="Y439" s="9"/>
      <c r="Z439" s="8"/>
      <c r="AA439" s="8"/>
      <c r="AB439" s="8"/>
      <c r="AC439" s="11"/>
      <c r="AD439" s="8"/>
      <c r="AE439" s="9"/>
      <c r="AF439" s="8"/>
      <c r="AG439" s="9"/>
      <c r="AH439" s="8"/>
      <c r="AI439" s="8"/>
      <c r="AJ439" s="8"/>
      <c r="AK439" s="11"/>
      <c r="AL439" s="8"/>
      <c r="AM439" s="8"/>
      <c r="AN439" s="9"/>
      <c r="AO439" s="8"/>
      <c r="AP439" s="8"/>
      <c r="AQ439" s="8"/>
    </row>
    <row r="440" spans="1:43" x14ac:dyDescent="0.15">
      <c r="A440" s="8"/>
      <c r="B440" s="8"/>
      <c r="C440" s="8"/>
      <c r="D440" s="8"/>
      <c r="E440" s="9"/>
      <c r="F440" s="8"/>
      <c r="G440" s="10"/>
      <c r="H440" s="11"/>
      <c r="I440" s="8"/>
      <c r="J440" s="9"/>
      <c r="K440" s="8"/>
      <c r="L440" s="9"/>
      <c r="M440" s="8"/>
      <c r="N440" s="11"/>
      <c r="O440" s="8"/>
      <c r="P440" s="9"/>
      <c r="Q440" s="8"/>
      <c r="R440" s="9"/>
      <c r="S440" s="8"/>
      <c r="T440" s="8"/>
      <c r="U440" s="8"/>
      <c r="V440" s="11"/>
      <c r="W440" s="8"/>
      <c r="X440" s="8"/>
      <c r="Y440" s="9"/>
      <c r="Z440" s="8"/>
      <c r="AA440" s="8"/>
      <c r="AB440" s="8"/>
      <c r="AC440" s="11"/>
      <c r="AD440" s="8"/>
      <c r="AE440" s="9"/>
      <c r="AF440" s="8"/>
      <c r="AG440" s="9"/>
      <c r="AH440" s="8"/>
      <c r="AI440" s="8"/>
      <c r="AJ440" s="8"/>
      <c r="AK440" s="11"/>
      <c r="AL440" s="8"/>
      <c r="AM440" s="8"/>
      <c r="AN440" s="9"/>
      <c r="AO440" s="8"/>
      <c r="AP440" s="8"/>
      <c r="AQ440" s="8"/>
    </row>
    <row r="441" spans="1:43" x14ac:dyDescent="0.15">
      <c r="A441" s="8"/>
      <c r="B441" s="8"/>
      <c r="C441" s="8"/>
      <c r="D441" s="8"/>
      <c r="E441" s="9"/>
      <c r="F441" s="8"/>
      <c r="G441" s="10"/>
      <c r="H441" s="11"/>
      <c r="I441" s="8"/>
      <c r="J441" s="9"/>
      <c r="K441" s="8"/>
      <c r="L441" s="9"/>
      <c r="M441" s="8"/>
      <c r="N441" s="11"/>
      <c r="O441" s="8"/>
      <c r="P441" s="9"/>
      <c r="Q441" s="8"/>
      <c r="R441" s="9"/>
      <c r="S441" s="8"/>
      <c r="T441" s="8"/>
      <c r="U441" s="8"/>
      <c r="V441" s="11"/>
      <c r="W441" s="8"/>
      <c r="X441" s="8"/>
      <c r="Y441" s="9"/>
      <c r="Z441" s="8"/>
      <c r="AA441" s="8"/>
      <c r="AB441" s="8"/>
      <c r="AC441" s="11"/>
      <c r="AD441" s="8"/>
      <c r="AE441" s="9"/>
      <c r="AF441" s="8"/>
      <c r="AG441" s="9"/>
      <c r="AH441" s="8"/>
      <c r="AI441" s="8"/>
      <c r="AJ441" s="8"/>
      <c r="AK441" s="11"/>
      <c r="AL441" s="8"/>
      <c r="AM441" s="8"/>
      <c r="AN441" s="9"/>
      <c r="AO441" s="8"/>
      <c r="AP441" s="8"/>
      <c r="AQ441" s="8"/>
    </row>
    <row r="442" spans="1:43" x14ac:dyDescent="0.15">
      <c r="A442" s="8"/>
      <c r="B442" s="8"/>
      <c r="C442" s="8"/>
      <c r="D442" s="8"/>
      <c r="E442" s="9"/>
      <c r="F442" s="8"/>
      <c r="G442" s="10"/>
      <c r="H442" s="11"/>
      <c r="I442" s="8"/>
      <c r="J442" s="9"/>
      <c r="K442" s="8"/>
      <c r="L442" s="9"/>
      <c r="M442" s="8"/>
      <c r="N442" s="11"/>
      <c r="O442" s="8"/>
      <c r="P442" s="9"/>
      <c r="Q442" s="8"/>
      <c r="R442" s="9"/>
      <c r="S442" s="8"/>
      <c r="T442" s="8"/>
      <c r="U442" s="8"/>
      <c r="V442" s="11"/>
      <c r="W442" s="8"/>
      <c r="X442" s="8"/>
      <c r="Y442" s="9"/>
      <c r="Z442" s="8"/>
      <c r="AA442" s="8"/>
      <c r="AB442" s="8"/>
      <c r="AC442" s="11"/>
      <c r="AD442" s="8"/>
      <c r="AE442" s="9"/>
      <c r="AF442" s="8"/>
      <c r="AG442" s="9"/>
      <c r="AH442" s="8"/>
      <c r="AI442" s="8"/>
      <c r="AJ442" s="8"/>
      <c r="AK442" s="11"/>
      <c r="AL442" s="8"/>
      <c r="AM442" s="8"/>
      <c r="AN442" s="9"/>
      <c r="AO442" s="8"/>
      <c r="AP442" s="8"/>
      <c r="AQ442" s="8"/>
    </row>
    <row r="443" spans="1:43" x14ac:dyDescent="0.15">
      <c r="A443" s="8"/>
      <c r="B443" s="8"/>
      <c r="C443" s="8"/>
      <c r="D443" s="8"/>
      <c r="E443" s="9"/>
      <c r="F443" s="8"/>
      <c r="G443" s="10"/>
      <c r="H443" s="11"/>
      <c r="I443" s="8"/>
      <c r="J443" s="9"/>
      <c r="K443" s="8"/>
      <c r="L443" s="9"/>
      <c r="M443" s="8"/>
      <c r="N443" s="11"/>
      <c r="O443" s="8"/>
      <c r="P443" s="9"/>
      <c r="Q443" s="8"/>
      <c r="R443" s="9"/>
      <c r="S443" s="8"/>
      <c r="T443" s="8"/>
      <c r="U443" s="8"/>
      <c r="V443" s="11"/>
      <c r="W443" s="8"/>
      <c r="X443" s="8"/>
      <c r="Y443" s="9"/>
      <c r="Z443" s="8"/>
      <c r="AA443" s="8"/>
      <c r="AB443" s="8"/>
      <c r="AC443" s="11"/>
      <c r="AD443" s="8"/>
      <c r="AE443" s="9"/>
      <c r="AF443" s="8"/>
      <c r="AG443" s="9"/>
      <c r="AH443" s="8"/>
      <c r="AI443" s="8"/>
      <c r="AJ443" s="8"/>
      <c r="AK443" s="11"/>
      <c r="AL443" s="8"/>
      <c r="AM443" s="8"/>
      <c r="AN443" s="9"/>
      <c r="AO443" s="8"/>
      <c r="AP443" s="8"/>
      <c r="AQ443" s="8"/>
    </row>
    <row r="444" spans="1:43" x14ac:dyDescent="0.15">
      <c r="A444" s="8"/>
      <c r="B444" s="8"/>
      <c r="C444" s="8"/>
      <c r="D444" s="8"/>
      <c r="E444" s="9"/>
      <c r="F444" s="8"/>
      <c r="G444" s="10"/>
      <c r="H444" s="11"/>
      <c r="I444" s="8"/>
      <c r="J444" s="9"/>
      <c r="K444" s="8"/>
      <c r="L444" s="9"/>
      <c r="M444" s="8"/>
      <c r="N444" s="11"/>
      <c r="O444" s="8"/>
      <c r="P444" s="9"/>
      <c r="Q444" s="8"/>
      <c r="R444" s="9"/>
      <c r="S444" s="8"/>
      <c r="T444" s="8"/>
      <c r="U444" s="8"/>
      <c r="V444" s="11"/>
      <c r="W444" s="8"/>
      <c r="X444" s="8"/>
      <c r="Y444" s="9"/>
      <c r="Z444" s="8"/>
      <c r="AA444" s="8"/>
      <c r="AB444" s="8"/>
      <c r="AC444" s="11"/>
      <c r="AD444" s="8"/>
      <c r="AE444" s="9"/>
      <c r="AF444" s="8"/>
      <c r="AG444" s="9"/>
      <c r="AH444" s="8"/>
      <c r="AI444" s="8"/>
      <c r="AJ444" s="8"/>
      <c r="AK444" s="11"/>
      <c r="AL444" s="8"/>
      <c r="AM444" s="8"/>
      <c r="AN444" s="9"/>
      <c r="AO444" s="8"/>
      <c r="AP444" s="8"/>
      <c r="AQ444" s="8"/>
    </row>
    <row r="445" spans="1:43" x14ac:dyDescent="0.15">
      <c r="A445" s="8"/>
      <c r="B445" s="8"/>
      <c r="C445" s="8"/>
      <c r="D445" s="8"/>
      <c r="E445" s="9"/>
      <c r="F445" s="8"/>
      <c r="G445" s="10"/>
      <c r="H445" s="11"/>
      <c r="I445" s="8"/>
      <c r="J445" s="9"/>
      <c r="K445" s="8"/>
      <c r="L445" s="9"/>
      <c r="M445" s="8"/>
      <c r="N445" s="11"/>
      <c r="O445" s="8"/>
      <c r="P445" s="9"/>
      <c r="Q445" s="8"/>
      <c r="R445" s="9"/>
      <c r="S445" s="8"/>
      <c r="T445" s="8"/>
      <c r="U445" s="8"/>
      <c r="V445" s="11"/>
      <c r="W445" s="8"/>
      <c r="X445" s="8"/>
      <c r="Y445" s="9"/>
      <c r="Z445" s="8"/>
      <c r="AA445" s="8"/>
      <c r="AB445" s="8"/>
      <c r="AC445" s="11"/>
      <c r="AD445" s="8"/>
      <c r="AE445" s="9"/>
      <c r="AF445" s="8"/>
      <c r="AG445" s="9"/>
      <c r="AH445" s="8"/>
      <c r="AI445" s="8"/>
      <c r="AJ445" s="8"/>
      <c r="AK445" s="11"/>
      <c r="AL445" s="8"/>
      <c r="AM445" s="8"/>
      <c r="AN445" s="9"/>
      <c r="AO445" s="8"/>
      <c r="AP445" s="8"/>
      <c r="AQ445" s="8"/>
    </row>
    <row r="446" spans="1:43" x14ac:dyDescent="0.15">
      <c r="A446" s="8"/>
      <c r="B446" s="8"/>
      <c r="C446" s="8"/>
      <c r="D446" s="8"/>
      <c r="E446" s="9"/>
      <c r="F446" s="8"/>
      <c r="G446" s="10"/>
      <c r="H446" s="11"/>
      <c r="I446" s="8"/>
      <c r="J446" s="9"/>
      <c r="K446" s="8"/>
      <c r="L446" s="9"/>
      <c r="M446" s="8"/>
      <c r="N446" s="11"/>
      <c r="O446" s="8"/>
      <c r="P446" s="9"/>
      <c r="Q446" s="8"/>
      <c r="R446" s="9"/>
      <c r="S446" s="8"/>
      <c r="T446" s="8"/>
      <c r="U446" s="8"/>
      <c r="V446" s="11"/>
      <c r="W446" s="8"/>
      <c r="X446" s="8"/>
      <c r="Y446" s="9"/>
      <c r="Z446" s="8"/>
      <c r="AA446" s="8"/>
      <c r="AB446" s="8"/>
      <c r="AC446" s="11"/>
      <c r="AD446" s="8"/>
      <c r="AE446" s="9"/>
      <c r="AF446" s="8"/>
      <c r="AG446" s="9"/>
      <c r="AH446" s="8"/>
      <c r="AI446" s="8"/>
      <c r="AJ446" s="8"/>
      <c r="AK446" s="11"/>
      <c r="AL446" s="8"/>
      <c r="AM446" s="8"/>
      <c r="AN446" s="9"/>
      <c r="AO446" s="8"/>
      <c r="AP446" s="8"/>
      <c r="AQ446" s="8"/>
    </row>
    <row r="447" spans="1:43" x14ac:dyDescent="0.15">
      <c r="A447" s="8"/>
      <c r="B447" s="8"/>
      <c r="C447" s="8"/>
      <c r="D447" s="8"/>
      <c r="E447" s="9"/>
      <c r="F447" s="8"/>
      <c r="G447" s="10"/>
      <c r="H447" s="11"/>
      <c r="I447" s="8"/>
      <c r="J447" s="9"/>
      <c r="K447" s="8"/>
      <c r="L447" s="9"/>
      <c r="M447" s="8"/>
      <c r="N447" s="11"/>
      <c r="O447" s="8"/>
      <c r="P447" s="9"/>
      <c r="Q447" s="8"/>
      <c r="R447" s="9"/>
      <c r="S447" s="8"/>
      <c r="T447" s="8"/>
      <c r="U447" s="8"/>
      <c r="V447" s="11"/>
      <c r="W447" s="8"/>
      <c r="X447" s="8"/>
      <c r="Y447" s="9"/>
      <c r="Z447" s="8"/>
      <c r="AA447" s="8"/>
      <c r="AB447" s="8"/>
      <c r="AC447" s="11"/>
      <c r="AD447" s="8"/>
      <c r="AE447" s="9"/>
      <c r="AF447" s="8"/>
      <c r="AG447" s="9"/>
      <c r="AH447" s="8"/>
      <c r="AI447" s="8"/>
      <c r="AJ447" s="8"/>
      <c r="AK447" s="11"/>
      <c r="AL447" s="8"/>
      <c r="AM447" s="8"/>
      <c r="AN447" s="9"/>
      <c r="AO447" s="8"/>
      <c r="AP447" s="8"/>
      <c r="AQ447" s="8"/>
    </row>
    <row r="448" spans="1:43" x14ac:dyDescent="0.15">
      <c r="A448" s="8"/>
      <c r="B448" s="8"/>
      <c r="C448" s="8"/>
      <c r="D448" s="8"/>
      <c r="E448" s="9"/>
      <c r="F448" s="8"/>
      <c r="G448" s="10"/>
      <c r="H448" s="11"/>
      <c r="I448" s="8"/>
      <c r="J448" s="9"/>
      <c r="K448" s="8"/>
      <c r="L448" s="9"/>
      <c r="M448" s="8"/>
      <c r="N448" s="11"/>
      <c r="O448" s="8"/>
      <c r="P448" s="9"/>
      <c r="Q448" s="8"/>
      <c r="R448" s="9"/>
      <c r="S448" s="8"/>
      <c r="T448" s="8"/>
      <c r="U448" s="8"/>
      <c r="V448" s="11"/>
      <c r="W448" s="8"/>
      <c r="X448" s="8"/>
      <c r="Y448" s="9"/>
      <c r="Z448" s="8"/>
      <c r="AA448" s="8"/>
      <c r="AB448" s="8"/>
      <c r="AC448" s="11"/>
      <c r="AD448" s="8"/>
      <c r="AE448" s="9"/>
      <c r="AF448" s="8"/>
      <c r="AG448" s="9"/>
      <c r="AH448" s="8"/>
      <c r="AI448" s="8"/>
      <c r="AJ448" s="8"/>
      <c r="AK448" s="11"/>
      <c r="AL448" s="8"/>
      <c r="AM448" s="8"/>
      <c r="AN448" s="9"/>
      <c r="AO448" s="8"/>
      <c r="AP448" s="8"/>
      <c r="AQ448" s="8"/>
    </row>
    <row r="449" spans="1:43" x14ac:dyDescent="0.15">
      <c r="A449" s="8"/>
      <c r="B449" s="8"/>
      <c r="C449" s="8"/>
      <c r="D449" s="8"/>
      <c r="E449" s="9"/>
      <c r="F449" s="8"/>
      <c r="G449" s="10"/>
      <c r="H449" s="11"/>
      <c r="I449" s="8"/>
      <c r="J449" s="9"/>
      <c r="K449" s="8"/>
      <c r="L449" s="9"/>
      <c r="M449" s="8"/>
      <c r="N449" s="11"/>
      <c r="O449" s="8"/>
      <c r="P449" s="9"/>
      <c r="Q449" s="8"/>
      <c r="R449" s="9"/>
      <c r="S449" s="8"/>
      <c r="T449" s="8"/>
      <c r="U449" s="8"/>
      <c r="V449" s="11"/>
      <c r="W449" s="8"/>
      <c r="X449" s="8"/>
      <c r="Y449" s="9"/>
      <c r="Z449" s="8"/>
      <c r="AA449" s="8"/>
      <c r="AB449" s="8"/>
      <c r="AC449" s="11"/>
      <c r="AD449" s="8"/>
      <c r="AE449" s="9"/>
      <c r="AF449" s="8"/>
      <c r="AG449" s="9"/>
      <c r="AH449" s="8"/>
      <c r="AI449" s="8"/>
      <c r="AJ449" s="8"/>
      <c r="AK449" s="11"/>
      <c r="AL449" s="8"/>
      <c r="AM449" s="8"/>
      <c r="AN449" s="9"/>
      <c r="AO449" s="8"/>
      <c r="AP449" s="8"/>
      <c r="AQ449" s="8"/>
    </row>
    <row r="450" spans="1:43" x14ac:dyDescent="0.15">
      <c r="A450" s="8"/>
      <c r="B450" s="8"/>
      <c r="C450" s="8"/>
      <c r="D450" s="8"/>
      <c r="E450" s="9"/>
      <c r="F450" s="8"/>
      <c r="G450" s="10"/>
      <c r="H450" s="11"/>
      <c r="I450" s="8"/>
      <c r="J450" s="9"/>
      <c r="K450" s="8"/>
      <c r="L450" s="9"/>
      <c r="M450" s="8"/>
      <c r="N450" s="11"/>
      <c r="O450" s="8"/>
      <c r="P450" s="9"/>
      <c r="Q450" s="8"/>
      <c r="R450" s="9"/>
      <c r="S450" s="8"/>
      <c r="T450" s="8"/>
      <c r="U450" s="8"/>
      <c r="V450" s="11"/>
      <c r="W450" s="8"/>
      <c r="X450" s="8"/>
      <c r="Y450" s="9"/>
      <c r="Z450" s="8"/>
      <c r="AA450" s="8"/>
      <c r="AB450" s="8"/>
      <c r="AC450" s="11"/>
      <c r="AD450" s="8"/>
      <c r="AE450" s="9"/>
      <c r="AF450" s="8"/>
      <c r="AG450" s="9"/>
      <c r="AH450" s="8"/>
      <c r="AI450" s="8"/>
      <c r="AJ450" s="8"/>
      <c r="AK450" s="11"/>
      <c r="AL450" s="8"/>
      <c r="AM450" s="8"/>
      <c r="AN450" s="9"/>
      <c r="AO450" s="8"/>
      <c r="AP450" s="8"/>
      <c r="AQ450" s="8"/>
    </row>
    <row r="451" spans="1:43" x14ac:dyDescent="0.15">
      <c r="A451" s="8"/>
      <c r="B451" s="8"/>
      <c r="C451" s="8"/>
      <c r="D451" s="8"/>
      <c r="E451" s="9"/>
      <c r="F451" s="8"/>
      <c r="G451" s="10"/>
      <c r="H451" s="11"/>
      <c r="I451" s="8"/>
      <c r="J451" s="9"/>
      <c r="K451" s="8"/>
      <c r="L451" s="9"/>
      <c r="M451" s="8"/>
      <c r="N451" s="11"/>
      <c r="O451" s="8"/>
      <c r="P451" s="9"/>
      <c r="Q451" s="8"/>
      <c r="R451" s="9"/>
      <c r="S451" s="8"/>
      <c r="T451" s="8"/>
      <c r="U451" s="8"/>
      <c r="V451" s="11"/>
      <c r="W451" s="8"/>
      <c r="X451" s="8"/>
      <c r="Y451" s="9"/>
      <c r="Z451" s="8"/>
      <c r="AA451" s="8"/>
      <c r="AB451" s="8"/>
      <c r="AC451" s="11"/>
      <c r="AD451" s="8"/>
      <c r="AE451" s="9"/>
      <c r="AF451" s="8"/>
      <c r="AG451" s="9"/>
      <c r="AH451" s="8"/>
      <c r="AI451" s="8"/>
      <c r="AJ451" s="8"/>
      <c r="AK451" s="11"/>
      <c r="AL451" s="8"/>
      <c r="AM451" s="8"/>
      <c r="AN451" s="9"/>
      <c r="AO451" s="8"/>
      <c r="AP451" s="8"/>
      <c r="AQ451" s="8"/>
    </row>
    <row r="452" spans="1:43" x14ac:dyDescent="0.15">
      <c r="A452" s="8"/>
      <c r="B452" s="8"/>
      <c r="C452" s="8"/>
      <c r="D452" s="8"/>
      <c r="E452" s="9"/>
      <c r="F452" s="8"/>
      <c r="G452" s="10"/>
      <c r="H452" s="11"/>
      <c r="I452" s="8"/>
      <c r="J452" s="9"/>
      <c r="K452" s="8"/>
      <c r="L452" s="9"/>
      <c r="M452" s="8"/>
      <c r="N452" s="11"/>
      <c r="O452" s="8"/>
      <c r="P452" s="9"/>
      <c r="Q452" s="8"/>
      <c r="R452" s="9"/>
      <c r="S452" s="8"/>
      <c r="T452" s="8"/>
      <c r="U452" s="8"/>
      <c r="V452" s="11"/>
      <c r="W452" s="8"/>
      <c r="X452" s="8"/>
      <c r="Y452" s="9"/>
      <c r="Z452" s="8"/>
      <c r="AA452" s="8"/>
      <c r="AB452" s="8"/>
      <c r="AC452" s="11"/>
      <c r="AD452" s="8"/>
      <c r="AE452" s="9"/>
      <c r="AF452" s="8"/>
      <c r="AG452" s="9"/>
      <c r="AH452" s="8"/>
      <c r="AI452" s="8"/>
      <c r="AJ452" s="8"/>
      <c r="AK452" s="11"/>
      <c r="AL452" s="8"/>
      <c r="AM452" s="8"/>
      <c r="AN452" s="9"/>
      <c r="AO452" s="8"/>
      <c r="AP452" s="8"/>
      <c r="AQ452" s="8"/>
    </row>
    <row r="453" spans="1:43" x14ac:dyDescent="0.15">
      <c r="A453" s="8"/>
      <c r="B453" s="8"/>
      <c r="C453" s="8"/>
      <c r="D453" s="8"/>
      <c r="E453" s="9"/>
      <c r="F453" s="8"/>
      <c r="G453" s="10"/>
      <c r="H453" s="11"/>
      <c r="I453" s="8"/>
      <c r="J453" s="9"/>
      <c r="K453" s="8"/>
      <c r="L453" s="9"/>
      <c r="M453" s="8"/>
      <c r="N453" s="11"/>
      <c r="O453" s="8"/>
      <c r="P453" s="9"/>
      <c r="Q453" s="8"/>
      <c r="R453" s="9"/>
      <c r="S453" s="8"/>
      <c r="T453" s="8"/>
      <c r="U453" s="8"/>
      <c r="V453" s="11"/>
      <c r="W453" s="8"/>
      <c r="X453" s="8"/>
      <c r="Y453" s="9"/>
      <c r="Z453" s="8"/>
      <c r="AA453" s="8"/>
      <c r="AB453" s="8"/>
      <c r="AC453" s="11"/>
      <c r="AD453" s="8"/>
      <c r="AE453" s="9"/>
      <c r="AF453" s="8"/>
      <c r="AG453" s="9"/>
      <c r="AH453" s="8"/>
      <c r="AI453" s="8"/>
      <c r="AJ453" s="8"/>
      <c r="AK453" s="11"/>
      <c r="AL453" s="8"/>
      <c r="AM453" s="8"/>
      <c r="AN453" s="9"/>
      <c r="AO453" s="8"/>
      <c r="AP453" s="8"/>
      <c r="AQ453" s="8"/>
    </row>
    <row r="454" spans="1:43" x14ac:dyDescent="0.15">
      <c r="A454" s="8"/>
      <c r="B454" s="8"/>
      <c r="C454" s="8"/>
      <c r="D454" s="8"/>
      <c r="E454" s="9"/>
      <c r="F454" s="8"/>
      <c r="G454" s="10"/>
      <c r="H454" s="11"/>
      <c r="I454" s="8"/>
      <c r="J454" s="9"/>
      <c r="K454" s="8"/>
      <c r="L454" s="9"/>
      <c r="M454" s="8"/>
      <c r="N454" s="11"/>
      <c r="O454" s="8"/>
      <c r="P454" s="9"/>
      <c r="Q454" s="8"/>
      <c r="R454" s="9"/>
      <c r="S454" s="8"/>
      <c r="T454" s="8"/>
      <c r="U454" s="8"/>
      <c r="V454" s="11"/>
      <c r="W454" s="8"/>
      <c r="X454" s="8"/>
      <c r="Y454" s="9"/>
      <c r="Z454" s="8"/>
      <c r="AA454" s="8"/>
      <c r="AB454" s="8"/>
      <c r="AC454" s="11"/>
      <c r="AD454" s="8"/>
      <c r="AE454" s="9"/>
      <c r="AF454" s="8"/>
      <c r="AG454" s="9"/>
      <c r="AH454" s="8"/>
      <c r="AI454" s="8"/>
      <c r="AJ454" s="8"/>
      <c r="AK454" s="11"/>
      <c r="AL454" s="8"/>
      <c r="AM454" s="8"/>
      <c r="AN454" s="9"/>
      <c r="AO454" s="8"/>
      <c r="AP454" s="8"/>
      <c r="AQ454" s="8"/>
    </row>
    <row r="455" spans="1:43" x14ac:dyDescent="0.15">
      <c r="A455" s="8"/>
      <c r="B455" s="8"/>
      <c r="C455" s="8"/>
      <c r="D455" s="8"/>
      <c r="E455" s="9"/>
      <c r="F455" s="8"/>
      <c r="G455" s="10"/>
      <c r="H455" s="11"/>
      <c r="I455" s="8"/>
      <c r="J455" s="9"/>
      <c r="K455" s="8"/>
      <c r="L455" s="9"/>
      <c r="M455" s="8"/>
      <c r="N455" s="11"/>
      <c r="O455" s="8"/>
      <c r="P455" s="9"/>
      <c r="Q455" s="8"/>
      <c r="R455" s="9"/>
      <c r="S455" s="8"/>
      <c r="T455" s="8"/>
      <c r="U455" s="8"/>
      <c r="V455" s="11"/>
      <c r="W455" s="8"/>
      <c r="X455" s="8"/>
      <c r="Y455" s="9"/>
      <c r="Z455" s="8"/>
      <c r="AA455" s="8"/>
      <c r="AB455" s="8"/>
      <c r="AC455" s="11"/>
      <c r="AD455" s="8"/>
      <c r="AE455" s="9"/>
      <c r="AF455" s="8"/>
      <c r="AG455" s="9"/>
      <c r="AH455" s="8"/>
      <c r="AI455" s="8"/>
      <c r="AJ455" s="8"/>
      <c r="AK455" s="11"/>
      <c r="AL455" s="8"/>
      <c r="AM455" s="8"/>
      <c r="AN455" s="9"/>
      <c r="AO455" s="8"/>
      <c r="AP455" s="8"/>
      <c r="AQ455" s="8"/>
    </row>
    <row r="456" spans="1:43" x14ac:dyDescent="0.15">
      <c r="A456" s="8"/>
      <c r="B456" s="8"/>
      <c r="C456" s="8"/>
      <c r="D456" s="8"/>
      <c r="E456" s="9"/>
      <c r="F456" s="8"/>
      <c r="G456" s="10"/>
      <c r="H456" s="11"/>
      <c r="I456" s="8"/>
      <c r="J456" s="9"/>
      <c r="K456" s="8"/>
      <c r="L456" s="9"/>
      <c r="M456" s="8"/>
      <c r="N456" s="11"/>
      <c r="O456" s="8"/>
      <c r="P456" s="9"/>
      <c r="Q456" s="8"/>
      <c r="R456" s="9"/>
      <c r="S456" s="8"/>
      <c r="T456" s="8"/>
      <c r="U456" s="8"/>
      <c r="V456" s="11"/>
      <c r="W456" s="8"/>
      <c r="X456" s="8"/>
      <c r="Y456" s="9"/>
      <c r="Z456" s="8"/>
      <c r="AA456" s="8"/>
      <c r="AB456" s="8"/>
      <c r="AC456" s="11"/>
      <c r="AD456" s="8"/>
      <c r="AE456" s="9"/>
      <c r="AF456" s="8"/>
      <c r="AG456" s="9"/>
      <c r="AH456" s="8"/>
      <c r="AI456" s="8"/>
      <c r="AJ456" s="8"/>
      <c r="AK456" s="11"/>
      <c r="AL456" s="8"/>
      <c r="AM456" s="8"/>
      <c r="AN456" s="9"/>
      <c r="AO456" s="8"/>
      <c r="AP456" s="8"/>
      <c r="AQ456" s="8"/>
    </row>
    <row r="457" spans="1:43" x14ac:dyDescent="0.15">
      <c r="A457" s="8"/>
      <c r="B457" s="8"/>
      <c r="C457" s="8"/>
      <c r="D457" s="8"/>
      <c r="E457" s="9"/>
      <c r="F457" s="8"/>
      <c r="G457" s="10"/>
      <c r="H457" s="11"/>
      <c r="I457" s="8"/>
      <c r="J457" s="9"/>
      <c r="K457" s="8"/>
      <c r="L457" s="9"/>
      <c r="M457" s="8"/>
      <c r="N457" s="11"/>
      <c r="O457" s="8"/>
      <c r="P457" s="9"/>
      <c r="Q457" s="8"/>
      <c r="R457" s="9"/>
      <c r="S457" s="8"/>
      <c r="T457" s="8"/>
      <c r="U457" s="8"/>
      <c r="V457" s="11"/>
      <c r="W457" s="8"/>
      <c r="X457" s="8"/>
      <c r="Y457" s="9"/>
      <c r="Z457" s="8"/>
      <c r="AA457" s="8"/>
      <c r="AB457" s="8"/>
      <c r="AC457" s="11"/>
      <c r="AD457" s="8"/>
      <c r="AE457" s="9"/>
      <c r="AF457" s="8"/>
      <c r="AG457" s="9"/>
      <c r="AH457" s="8"/>
      <c r="AI457" s="8"/>
      <c r="AJ457" s="8"/>
      <c r="AK457" s="11"/>
      <c r="AL457" s="8"/>
      <c r="AM457" s="8"/>
      <c r="AN457" s="9"/>
      <c r="AO457" s="8"/>
      <c r="AP457" s="8"/>
      <c r="AQ457" s="8"/>
    </row>
    <row r="458" spans="1:43" x14ac:dyDescent="0.15">
      <c r="A458" s="8"/>
      <c r="B458" s="8"/>
      <c r="C458" s="8"/>
      <c r="D458" s="8"/>
      <c r="E458" s="9"/>
      <c r="F458" s="8"/>
      <c r="G458" s="10"/>
      <c r="H458" s="11"/>
      <c r="I458" s="8"/>
      <c r="J458" s="9"/>
      <c r="K458" s="8"/>
      <c r="L458" s="9"/>
      <c r="M458" s="8"/>
      <c r="N458" s="11"/>
      <c r="O458" s="8"/>
      <c r="P458" s="9"/>
      <c r="Q458" s="8"/>
      <c r="R458" s="9"/>
      <c r="S458" s="8"/>
      <c r="T458" s="8"/>
      <c r="U458" s="8"/>
      <c r="V458" s="11"/>
      <c r="W458" s="8"/>
      <c r="X458" s="8"/>
      <c r="Y458" s="9"/>
      <c r="Z458" s="8"/>
      <c r="AA458" s="8"/>
      <c r="AB458" s="8"/>
      <c r="AC458" s="11"/>
      <c r="AD458" s="8"/>
      <c r="AE458" s="9"/>
      <c r="AF458" s="8"/>
      <c r="AG458" s="9"/>
      <c r="AH458" s="8"/>
      <c r="AI458" s="8"/>
      <c r="AJ458" s="8"/>
      <c r="AK458" s="11"/>
      <c r="AL458" s="8"/>
      <c r="AM458" s="8"/>
      <c r="AN458" s="9"/>
      <c r="AO458" s="8"/>
      <c r="AP458" s="8"/>
      <c r="AQ458" s="8"/>
    </row>
    <row r="459" spans="1:43" x14ac:dyDescent="0.15">
      <c r="A459" s="8"/>
      <c r="B459" s="8"/>
      <c r="C459" s="8"/>
      <c r="D459" s="8"/>
      <c r="E459" s="9"/>
      <c r="F459" s="8"/>
      <c r="G459" s="10"/>
      <c r="H459" s="11"/>
      <c r="I459" s="8"/>
      <c r="J459" s="9"/>
      <c r="K459" s="8"/>
      <c r="L459" s="9"/>
      <c r="M459" s="8"/>
      <c r="N459" s="11"/>
      <c r="O459" s="8"/>
      <c r="P459" s="9"/>
      <c r="Q459" s="8"/>
      <c r="R459" s="9"/>
      <c r="S459" s="8"/>
      <c r="T459" s="8"/>
      <c r="U459" s="8"/>
      <c r="V459" s="11"/>
      <c r="W459" s="8"/>
      <c r="X459" s="8"/>
      <c r="Y459" s="9"/>
      <c r="Z459" s="8"/>
      <c r="AA459" s="8"/>
      <c r="AB459" s="8"/>
      <c r="AC459" s="11"/>
      <c r="AD459" s="8"/>
      <c r="AE459" s="9"/>
      <c r="AF459" s="8"/>
      <c r="AG459" s="9"/>
      <c r="AH459" s="8"/>
      <c r="AI459" s="8"/>
      <c r="AJ459" s="8"/>
      <c r="AK459" s="11"/>
      <c r="AL459" s="8"/>
      <c r="AM459" s="8"/>
      <c r="AN459" s="9"/>
      <c r="AO459" s="8"/>
      <c r="AP459" s="8"/>
      <c r="AQ459" s="8"/>
    </row>
    <row r="460" spans="1:43" x14ac:dyDescent="0.15">
      <c r="A460" s="8"/>
      <c r="B460" s="8"/>
      <c r="C460" s="8"/>
      <c r="D460" s="8"/>
      <c r="E460" s="9"/>
      <c r="F460" s="8"/>
      <c r="G460" s="10"/>
      <c r="H460" s="11"/>
      <c r="I460" s="8"/>
      <c r="J460" s="9"/>
      <c r="K460" s="8"/>
      <c r="L460" s="9"/>
      <c r="M460" s="8"/>
      <c r="N460" s="11"/>
      <c r="O460" s="8"/>
      <c r="P460" s="9"/>
      <c r="Q460" s="8"/>
      <c r="R460" s="9"/>
      <c r="S460" s="8"/>
      <c r="T460" s="8"/>
      <c r="U460" s="8"/>
      <c r="V460" s="11"/>
      <c r="W460" s="8"/>
      <c r="X460" s="8"/>
      <c r="Y460" s="9"/>
      <c r="Z460" s="8"/>
      <c r="AA460" s="8"/>
      <c r="AB460" s="8"/>
      <c r="AC460" s="11"/>
      <c r="AD460" s="8"/>
      <c r="AE460" s="9"/>
      <c r="AF460" s="8"/>
      <c r="AG460" s="9"/>
      <c r="AH460" s="8"/>
      <c r="AI460" s="8"/>
      <c r="AJ460" s="8"/>
      <c r="AK460" s="11"/>
      <c r="AL460" s="8"/>
      <c r="AM460" s="8"/>
      <c r="AN460" s="9"/>
      <c r="AO460" s="8"/>
      <c r="AP460" s="8"/>
      <c r="AQ460" s="8"/>
    </row>
    <row r="461" spans="1:43" x14ac:dyDescent="0.15">
      <c r="A461" s="8"/>
      <c r="B461" s="8"/>
      <c r="C461" s="8"/>
      <c r="D461" s="8"/>
      <c r="E461" s="9"/>
      <c r="F461" s="8"/>
      <c r="G461" s="10"/>
      <c r="H461" s="11"/>
      <c r="I461" s="8"/>
      <c r="J461" s="9"/>
      <c r="K461" s="8"/>
      <c r="L461" s="9"/>
      <c r="M461" s="8"/>
      <c r="N461" s="11"/>
      <c r="O461" s="8"/>
      <c r="P461" s="9"/>
      <c r="Q461" s="8"/>
      <c r="R461" s="9"/>
      <c r="S461" s="8"/>
      <c r="T461" s="8"/>
      <c r="U461" s="8"/>
      <c r="V461" s="11"/>
      <c r="W461" s="8"/>
      <c r="X461" s="8"/>
      <c r="Y461" s="9"/>
      <c r="Z461" s="8"/>
      <c r="AA461" s="8"/>
      <c r="AB461" s="8"/>
      <c r="AC461" s="11"/>
      <c r="AD461" s="8"/>
      <c r="AE461" s="9"/>
      <c r="AF461" s="8"/>
      <c r="AG461" s="9"/>
      <c r="AH461" s="8"/>
      <c r="AI461" s="8"/>
      <c r="AJ461" s="8"/>
      <c r="AK461" s="11"/>
      <c r="AL461" s="8"/>
      <c r="AM461" s="8"/>
      <c r="AN461" s="9"/>
      <c r="AO461" s="8"/>
      <c r="AP461" s="8"/>
      <c r="AQ461" s="8"/>
    </row>
    <row r="462" spans="1:43" x14ac:dyDescent="0.15">
      <c r="A462" s="8"/>
      <c r="B462" s="8"/>
      <c r="C462" s="8"/>
      <c r="D462" s="8"/>
      <c r="E462" s="9"/>
      <c r="F462" s="8"/>
      <c r="G462" s="10"/>
      <c r="H462" s="11"/>
      <c r="I462" s="8"/>
      <c r="J462" s="9"/>
      <c r="K462" s="8"/>
      <c r="L462" s="9"/>
      <c r="M462" s="8"/>
      <c r="N462" s="11"/>
      <c r="O462" s="8"/>
      <c r="P462" s="9"/>
      <c r="Q462" s="8"/>
      <c r="R462" s="9"/>
      <c r="S462" s="8"/>
      <c r="T462" s="8"/>
      <c r="U462" s="8"/>
      <c r="V462" s="11"/>
      <c r="W462" s="8"/>
      <c r="X462" s="8"/>
      <c r="Y462" s="9"/>
      <c r="Z462" s="8"/>
      <c r="AA462" s="8"/>
      <c r="AB462" s="8"/>
      <c r="AC462" s="11"/>
      <c r="AD462" s="8"/>
      <c r="AE462" s="9"/>
      <c r="AF462" s="8"/>
      <c r="AG462" s="9"/>
      <c r="AH462" s="8"/>
      <c r="AI462" s="8"/>
      <c r="AJ462" s="8"/>
      <c r="AK462" s="11"/>
      <c r="AL462" s="8"/>
      <c r="AM462" s="8"/>
      <c r="AN462" s="9"/>
      <c r="AO462" s="8"/>
      <c r="AP462" s="8"/>
      <c r="AQ462" s="8"/>
    </row>
    <row r="463" spans="1:43" x14ac:dyDescent="0.15">
      <c r="A463" s="8"/>
      <c r="B463" s="8"/>
      <c r="C463" s="8"/>
      <c r="D463" s="8"/>
      <c r="E463" s="9"/>
      <c r="F463" s="8"/>
      <c r="G463" s="10"/>
      <c r="H463" s="11"/>
      <c r="I463" s="8"/>
      <c r="J463" s="9"/>
      <c r="K463" s="8"/>
      <c r="L463" s="9"/>
      <c r="M463" s="8"/>
      <c r="N463" s="11"/>
      <c r="O463" s="8"/>
      <c r="P463" s="9"/>
      <c r="Q463" s="8"/>
      <c r="R463" s="9"/>
      <c r="S463" s="8"/>
      <c r="T463" s="8"/>
      <c r="U463" s="8"/>
      <c r="V463" s="11"/>
      <c r="W463" s="8"/>
      <c r="X463" s="8"/>
      <c r="Y463" s="9"/>
      <c r="Z463" s="8"/>
      <c r="AA463" s="8"/>
      <c r="AB463" s="8"/>
      <c r="AC463" s="11"/>
      <c r="AD463" s="8"/>
      <c r="AE463" s="9"/>
      <c r="AF463" s="8"/>
      <c r="AG463" s="9"/>
      <c r="AH463" s="8"/>
      <c r="AI463" s="8"/>
      <c r="AJ463" s="8"/>
      <c r="AK463" s="11"/>
      <c r="AL463" s="8"/>
      <c r="AM463" s="8"/>
      <c r="AN463" s="9"/>
      <c r="AO463" s="8"/>
      <c r="AP463" s="8"/>
      <c r="AQ463" s="8"/>
    </row>
    <row r="464" spans="1:43" x14ac:dyDescent="0.15">
      <c r="A464" s="8"/>
      <c r="B464" s="8"/>
      <c r="C464" s="8"/>
      <c r="D464" s="8"/>
      <c r="E464" s="9"/>
      <c r="F464" s="8"/>
      <c r="G464" s="10"/>
      <c r="H464" s="11"/>
      <c r="I464" s="8"/>
      <c r="J464" s="9"/>
      <c r="K464" s="8"/>
      <c r="L464" s="9"/>
      <c r="M464" s="8"/>
      <c r="N464" s="11"/>
      <c r="O464" s="8"/>
      <c r="P464" s="9"/>
      <c r="Q464" s="8"/>
      <c r="R464" s="9"/>
      <c r="S464" s="8"/>
      <c r="T464" s="8"/>
      <c r="U464" s="8"/>
      <c r="V464" s="11"/>
      <c r="W464" s="8"/>
      <c r="X464" s="8"/>
      <c r="Y464" s="9"/>
      <c r="Z464" s="8"/>
      <c r="AA464" s="8"/>
      <c r="AB464" s="8"/>
      <c r="AC464" s="11"/>
      <c r="AD464" s="8"/>
      <c r="AE464" s="9"/>
      <c r="AF464" s="8"/>
      <c r="AG464" s="9"/>
      <c r="AH464" s="8"/>
      <c r="AI464" s="8"/>
      <c r="AJ464" s="8"/>
      <c r="AK464" s="11"/>
      <c r="AL464" s="8"/>
      <c r="AM464" s="8"/>
      <c r="AN464" s="9"/>
      <c r="AO464" s="8"/>
      <c r="AP464" s="8"/>
      <c r="AQ464" s="8"/>
    </row>
    <row r="465" spans="1:43" x14ac:dyDescent="0.15">
      <c r="A465" s="8"/>
      <c r="B465" s="8"/>
      <c r="C465" s="8"/>
      <c r="D465" s="8"/>
      <c r="E465" s="9"/>
      <c r="F465" s="8"/>
      <c r="G465" s="10"/>
      <c r="H465" s="11"/>
      <c r="I465" s="8"/>
      <c r="J465" s="9"/>
      <c r="K465" s="8"/>
      <c r="L465" s="9"/>
      <c r="M465" s="8"/>
      <c r="N465" s="11"/>
      <c r="O465" s="8"/>
      <c r="P465" s="9"/>
      <c r="Q465" s="8"/>
      <c r="R465" s="9"/>
      <c r="S465" s="8"/>
      <c r="T465" s="8"/>
      <c r="U465" s="8"/>
      <c r="V465" s="11"/>
      <c r="W465" s="8"/>
      <c r="X465" s="8"/>
      <c r="Y465" s="9"/>
      <c r="Z465" s="8"/>
      <c r="AA465" s="8"/>
      <c r="AB465" s="8"/>
      <c r="AC465" s="11"/>
      <c r="AD465" s="8"/>
      <c r="AE465" s="9"/>
      <c r="AF465" s="8"/>
      <c r="AG465" s="9"/>
      <c r="AH465" s="8"/>
      <c r="AI465" s="8"/>
      <c r="AJ465" s="8"/>
      <c r="AK465" s="11"/>
      <c r="AL465" s="8"/>
      <c r="AM465" s="8"/>
      <c r="AN465" s="9"/>
      <c r="AO465" s="8"/>
      <c r="AP465" s="8"/>
      <c r="AQ465" s="8"/>
    </row>
    <row r="466" spans="1:43" x14ac:dyDescent="0.15">
      <c r="A466" s="8"/>
      <c r="B466" s="8"/>
      <c r="C466" s="8"/>
      <c r="D466" s="8"/>
      <c r="E466" s="9"/>
      <c r="F466" s="8"/>
      <c r="G466" s="10"/>
      <c r="H466" s="11"/>
      <c r="I466" s="8"/>
      <c r="J466" s="9"/>
      <c r="K466" s="8"/>
      <c r="L466" s="9"/>
      <c r="M466" s="8"/>
      <c r="N466" s="11"/>
      <c r="O466" s="8"/>
      <c r="P466" s="9"/>
      <c r="Q466" s="8"/>
      <c r="R466" s="9"/>
      <c r="S466" s="8"/>
      <c r="T466" s="8"/>
      <c r="U466" s="8"/>
      <c r="V466" s="11"/>
      <c r="W466" s="8"/>
      <c r="X466" s="8"/>
      <c r="Y466" s="9"/>
      <c r="Z466" s="8"/>
      <c r="AA466" s="8"/>
      <c r="AB466" s="8"/>
      <c r="AC466" s="11"/>
      <c r="AD466" s="8"/>
      <c r="AE466" s="9"/>
      <c r="AF466" s="8"/>
      <c r="AG466" s="9"/>
      <c r="AH466" s="8"/>
      <c r="AI466" s="8"/>
      <c r="AJ466" s="8"/>
      <c r="AK466" s="11"/>
      <c r="AL466" s="8"/>
      <c r="AM466" s="8"/>
      <c r="AN466" s="9"/>
      <c r="AO466" s="8"/>
      <c r="AP466" s="8"/>
      <c r="AQ466" s="8"/>
    </row>
    <row r="467" spans="1:43" x14ac:dyDescent="0.15">
      <c r="A467" s="8"/>
      <c r="B467" s="8"/>
      <c r="C467" s="8"/>
      <c r="D467" s="8"/>
      <c r="E467" s="9"/>
      <c r="F467" s="8"/>
      <c r="G467" s="10"/>
      <c r="H467" s="11"/>
      <c r="I467" s="8"/>
      <c r="J467" s="9"/>
      <c r="K467" s="8"/>
      <c r="L467" s="9"/>
      <c r="M467" s="8"/>
      <c r="N467" s="11"/>
      <c r="O467" s="8"/>
      <c r="P467" s="9"/>
      <c r="Q467" s="8"/>
      <c r="R467" s="9"/>
      <c r="S467" s="8"/>
      <c r="T467" s="8"/>
      <c r="U467" s="8"/>
      <c r="V467" s="11"/>
      <c r="W467" s="8"/>
      <c r="X467" s="8"/>
      <c r="Y467" s="9"/>
      <c r="Z467" s="8"/>
      <c r="AA467" s="8"/>
      <c r="AB467" s="8"/>
      <c r="AC467" s="11"/>
      <c r="AD467" s="8"/>
      <c r="AE467" s="9"/>
      <c r="AF467" s="8"/>
      <c r="AG467" s="9"/>
      <c r="AH467" s="8"/>
      <c r="AI467" s="8"/>
      <c r="AJ467" s="8"/>
      <c r="AK467" s="11"/>
      <c r="AL467" s="8"/>
      <c r="AM467" s="8"/>
      <c r="AN467" s="9"/>
      <c r="AO467" s="8"/>
      <c r="AP467" s="8"/>
      <c r="AQ467" s="8"/>
    </row>
    <row r="468" spans="1:43" x14ac:dyDescent="0.15">
      <c r="A468" s="8"/>
      <c r="B468" s="8"/>
      <c r="C468" s="8"/>
      <c r="D468" s="8"/>
      <c r="E468" s="9"/>
      <c r="F468" s="8"/>
      <c r="G468" s="10"/>
      <c r="H468" s="11"/>
      <c r="I468" s="8"/>
      <c r="J468" s="9"/>
      <c r="K468" s="8"/>
      <c r="L468" s="9"/>
      <c r="M468" s="8"/>
      <c r="N468" s="11"/>
      <c r="O468" s="8"/>
      <c r="P468" s="9"/>
      <c r="Q468" s="8"/>
      <c r="R468" s="9"/>
      <c r="S468" s="8"/>
      <c r="T468" s="8"/>
      <c r="U468" s="8"/>
      <c r="V468" s="11"/>
      <c r="W468" s="8"/>
      <c r="X468" s="8"/>
      <c r="Y468" s="9"/>
      <c r="Z468" s="8"/>
      <c r="AA468" s="8"/>
      <c r="AB468" s="8"/>
      <c r="AC468" s="11"/>
      <c r="AD468" s="8"/>
      <c r="AE468" s="9"/>
      <c r="AF468" s="8"/>
      <c r="AG468" s="9"/>
      <c r="AH468" s="8"/>
      <c r="AI468" s="8"/>
      <c r="AJ468" s="8"/>
      <c r="AK468" s="11"/>
      <c r="AL468" s="8"/>
      <c r="AM468" s="8"/>
      <c r="AN468" s="9"/>
      <c r="AO468" s="8"/>
      <c r="AP468" s="8"/>
      <c r="AQ468" s="8"/>
    </row>
    <row r="469" spans="1:43" x14ac:dyDescent="0.15">
      <c r="A469" s="8"/>
      <c r="B469" s="8"/>
      <c r="C469" s="8"/>
      <c r="D469" s="8"/>
      <c r="E469" s="9"/>
      <c r="F469" s="8"/>
      <c r="G469" s="10"/>
      <c r="H469" s="11"/>
      <c r="I469" s="8"/>
      <c r="J469" s="9"/>
      <c r="K469" s="8"/>
      <c r="L469" s="9"/>
      <c r="M469" s="8"/>
      <c r="N469" s="11"/>
      <c r="O469" s="8"/>
      <c r="P469" s="9"/>
      <c r="Q469" s="8"/>
      <c r="R469" s="9"/>
      <c r="S469" s="8"/>
      <c r="T469" s="8"/>
      <c r="U469" s="8"/>
      <c r="V469" s="11"/>
      <c r="W469" s="8"/>
      <c r="X469" s="8"/>
      <c r="Y469" s="9"/>
      <c r="Z469" s="8"/>
      <c r="AA469" s="8"/>
      <c r="AB469" s="8"/>
      <c r="AC469" s="11"/>
      <c r="AD469" s="8"/>
      <c r="AE469" s="9"/>
      <c r="AF469" s="8"/>
      <c r="AG469" s="9"/>
      <c r="AH469" s="8"/>
      <c r="AI469" s="8"/>
      <c r="AJ469" s="8"/>
      <c r="AK469" s="11"/>
      <c r="AL469" s="8"/>
      <c r="AM469" s="8"/>
      <c r="AN469" s="9"/>
      <c r="AO469" s="8"/>
      <c r="AP469" s="8"/>
      <c r="AQ469" s="8"/>
    </row>
    <row r="470" spans="1:43" x14ac:dyDescent="0.15">
      <c r="A470" s="8"/>
      <c r="B470" s="8"/>
      <c r="C470" s="8"/>
      <c r="D470" s="8"/>
      <c r="E470" s="9"/>
      <c r="F470" s="8"/>
      <c r="G470" s="10"/>
      <c r="H470" s="11"/>
      <c r="I470" s="8"/>
      <c r="J470" s="9"/>
      <c r="K470" s="8"/>
      <c r="L470" s="9"/>
      <c r="M470" s="8"/>
      <c r="N470" s="11"/>
      <c r="O470" s="8"/>
      <c r="P470" s="9"/>
      <c r="Q470" s="8"/>
      <c r="R470" s="9"/>
      <c r="S470" s="8"/>
      <c r="T470" s="8"/>
      <c r="U470" s="8"/>
      <c r="V470" s="11"/>
      <c r="W470" s="8"/>
      <c r="X470" s="8"/>
      <c r="Y470" s="9"/>
      <c r="Z470" s="8"/>
      <c r="AA470" s="8"/>
      <c r="AB470" s="8"/>
      <c r="AC470" s="11"/>
      <c r="AD470" s="8"/>
      <c r="AE470" s="9"/>
      <c r="AF470" s="8"/>
      <c r="AG470" s="9"/>
      <c r="AH470" s="8"/>
      <c r="AI470" s="8"/>
      <c r="AJ470" s="8"/>
      <c r="AK470" s="11"/>
      <c r="AL470" s="8"/>
      <c r="AM470" s="8"/>
      <c r="AN470" s="9"/>
      <c r="AO470" s="8"/>
      <c r="AP470" s="8"/>
      <c r="AQ470" s="8"/>
    </row>
    <row r="471" spans="1:43" x14ac:dyDescent="0.15">
      <c r="A471" s="8"/>
      <c r="B471" s="8"/>
      <c r="C471" s="8"/>
      <c r="D471" s="8"/>
      <c r="E471" s="9"/>
      <c r="F471" s="8"/>
      <c r="G471" s="10"/>
      <c r="H471" s="11"/>
      <c r="I471" s="8"/>
      <c r="J471" s="9"/>
      <c r="K471" s="8"/>
      <c r="L471" s="9"/>
      <c r="M471" s="8"/>
      <c r="N471" s="11"/>
      <c r="O471" s="8"/>
      <c r="P471" s="9"/>
      <c r="Q471" s="8"/>
      <c r="R471" s="9"/>
      <c r="S471" s="8"/>
      <c r="T471" s="8"/>
      <c r="U471" s="8"/>
      <c r="V471" s="11"/>
      <c r="W471" s="8"/>
      <c r="X471" s="8"/>
      <c r="Y471" s="9"/>
      <c r="Z471" s="8"/>
      <c r="AA471" s="8"/>
      <c r="AB471" s="8"/>
      <c r="AC471" s="11"/>
      <c r="AD471" s="8"/>
      <c r="AE471" s="9"/>
      <c r="AF471" s="8"/>
      <c r="AG471" s="9"/>
      <c r="AH471" s="8"/>
      <c r="AI471" s="8"/>
      <c r="AJ471" s="8"/>
      <c r="AK471" s="11"/>
      <c r="AL471" s="8"/>
      <c r="AM471" s="8"/>
      <c r="AN471" s="9"/>
      <c r="AO471" s="8"/>
      <c r="AP471" s="8"/>
      <c r="AQ471" s="8"/>
    </row>
    <row r="472" spans="1:43" x14ac:dyDescent="0.15">
      <c r="A472" s="8"/>
      <c r="B472" s="8"/>
      <c r="C472" s="8"/>
      <c r="D472" s="8"/>
      <c r="E472" s="9"/>
      <c r="F472" s="8"/>
      <c r="G472" s="10"/>
      <c r="H472" s="11"/>
      <c r="I472" s="8"/>
      <c r="J472" s="9"/>
      <c r="K472" s="8"/>
      <c r="L472" s="9"/>
      <c r="M472" s="8"/>
      <c r="N472" s="11"/>
      <c r="O472" s="8"/>
      <c r="P472" s="9"/>
      <c r="Q472" s="8"/>
      <c r="R472" s="9"/>
      <c r="S472" s="8"/>
      <c r="T472" s="8"/>
      <c r="U472" s="8"/>
      <c r="V472" s="11"/>
      <c r="W472" s="8"/>
      <c r="X472" s="8"/>
      <c r="Y472" s="9"/>
      <c r="Z472" s="8"/>
      <c r="AA472" s="8"/>
      <c r="AB472" s="8"/>
      <c r="AC472" s="11"/>
      <c r="AD472" s="8"/>
      <c r="AE472" s="9"/>
      <c r="AF472" s="8"/>
      <c r="AG472" s="9"/>
      <c r="AH472" s="8"/>
      <c r="AI472" s="8"/>
      <c r="AJ472" s="8"/>
      <c r="AK472" s="11"/>
      <c r="AL472" s="8"/>
      <c r="AM472" s="8"/>
      <c r="AN472" s="9"/>
      <c r="AO472" s="8"/>
      <c r="AP472" s="8"/>
      <c r="AQ472" s="8"/>
    </row>
    <row r="473" spans="1:43" x14ac:dyDescent="0.15">
      <c r="A473" s="8"/>
      <c r="B473" s="8"/>
      <c r="C473" s="8"/>
      <c r="D473" s="8"/>
      <c r="E473" s="9"/>
      <c r="F473" s="8"/>
      <c r="G473" s="10"/>
      <c r="H473" s="11"/>
      <c r="I473" s="8"/>
      <c r="J473" s="9"/>
      <c r="K473" s="8"/>
      <c r="L473" s="9"/>
      <c r="M473" s="8"/>
      <c r="N473" s="11"/>
      <c r="O473" s="8"/>
      <c r="P473" s="9"/>
      <c r="Q473" s="8"/>
      <c r="R473" s="9"/>
      <c r="S473" s="8"/>
      <c r="T473" s="8"/>
      <c r="U473" s="8"/>
      <c r="V473" s="11"/>
      <c r="W473" s="8"/>
      <c r="X473" s="8"/>
      <c r="Y473" s="9"/>
      <c r="Z473" s="8"/>
      <c r="AA473" s="8"/>
      <c r="AB473" s="8"/>
      <c r="AC473" s="11"/>
      <c r="AD473" s="8"/>
      <c r="AE473" s="9"/>
      <c r="AF473" s="8"/>
      <c r="AG473" s="9"/>
      <c r="AH473" s="8"/>
      <c r="AI473" s="8"/>
      <c r="AJ473" s="8"/>
      <c r="AK473" s="11"/>
      <c r="AL473" s="8"/>
      <c r="AM473" s="8"/>
      <c r="AN473" s="9"/>
      <c r="AO473" s="8"/>
      <c r="AP473" s="8"/>
      <c r="AQ473" s="8"/>
    </row>
    <row r="474" spans="1:43" x14ac:dyDescent="0.15">
      <c r="A474" s="8"/>
      <c r="B474" s="8"/>
      <c r="C474" s="8"/>
      <c r="D474" s="8"/>
      <c r="E474" s="9"/>
      <c r="F474" s="8"/>
      <c r="G474" s="10"/>
      <c r="H474" s="11"/>
      <c r="I474" s="8"/>
      <c r="J474" s="9"/>
      <c r="K474" s="8"/>
      <c r="L474" s="9"/>
      <c r="M474" s="8"/>
      <c r="N474" s="11"/>
      <c r="O474" s="8"/>
      <c r="P474" s="9"/>
      <c r="Q474" s="8"/>
      <c r="R474" s="9"/>
      <c r="S474" s="8"/>
      <c r="T474" s="8"/>
      <c r="U474" s="8"/>
      <c r="V474" s="11"/>
      <c r="W474" s="8"/>
      <c r="X474" s="8"/>
      <c r="Y474" s="9"/>
      <c r="Z474" s="8"/>
      <c r="AA474" s="8"/>
      <c r="AB474" s="8"/>
      <c r="AC474" s="11"/>
      <c r="AD474" s="8"/>
      <c r="AE474" s="9"/>
      <c r="AF474" s="8"/>
      <c r="AG474" s="9"/>
      <c r="AH474" s="8"/>
      <c r="AI474" s="8"/>
      <c r="AJ474" s="8"/>
      <c r="AK474" s="11"/>
      <c r="AL474" s="8"/>
      <c r="AM474" s="8"/>
      <c r="AN474" s="9"/>
      <c r="AO474" s="8"/>
      <c r="AP474" s="8"/>
      <c r="AQ474" s="8"/>
    </row>
    <row r="475" spans="1:43" x14ac:dyDescent="0.15">
      <c r="A475" s="8"/>
      <c r="B475" s="8"/>
      <c r="C475" s="8"/>
      <c r="D475" s="8"/>
      <c r="E475" s="9"/>
      <c r="F475" s="8"/>
      <c r="G475" s="10"/>
      <c r="H475" s="11"/>
      <c r="I475" s="8"/>
      <c r="J475" s="9"/>
      <c r="K475" s="8"/>
      <c r="L475" s="9"/>
      <c r="M475" s="8"/>
      <c r="N475" s="11"/>
      <c r="O475" s="8"/>
      <c r="P475" s="9"/>
      <c r="Q475" s="8"/>
      <c r="R475" s="9"/>
      <c r="S475" s="8"/>
      <c r="T475" s="8"/>
      <c r="U475" s="8"/>
      <c r="V475" s="11"/>
      <c r="W475" s="8"/>
      <c r="X475" s="8"/>
      <c r="Y475" s="9"/>
      <c r="Z475" s="8"/>
      <c r="AA475" s="8"/>
      <c r="AB475" s="8"/>
      <c r="AC475" s="11"/>
      <c r="AD475" s="8"/>
      <c r="AE475" s="9"/>
      <c r="AF475" s="8"/>
      <c r="AG475" s="9"/>
      <c r="AH475" s="8"/>
      <c r="AI475" s="8"/>
      <c r="AJ475" s="8"/>
      <c r="AK475" s="11"/>
      <c r="AL475" s="8"/>
      <c r="AM475" s="8"/>
      <c r="AN475" s="9"/>
      <c r="AO475" s="8"/>
      <c r="AP475" s="8"/>
      <c r="AQ475" s="8"/>
    </row>
    <row r="476" spans="1:43" x14ac:dyDescent="0.15">
      <c r="A476" s="8"/>
      <c r="B476" s="8"/>
      <c r="C476" s="8"/>
      <c r="D476" s="8"/>
      <c r="E476" s="9"/>
      <c r="F476" s="8"/>
      <c r="G476" s="10"/>
      <c r="H476" s="11"/>
      <c r="I476" s="8"/>
      <c r="J476" s="9"/>
      <c r="K476" s="8"/>
      <c r="L476" s="9"/>
      <c r="M476" s="8"/>
      <c r="N476" s="11"/>
      <c r="O476" s="8"/>
      <c r="P476" s="9"/>
      <c r="Q476" s="8"/>
      <c r="R476" s="9"/>
      <c r="S476" s="8"/>
      <c r="T476" s="8"/>
      <c r="U476" s="8"/>
      <c r="V476" s="11"/>
      <c r="W476" s="8"/>
      <c r="X476" s="8"/>
      <c r="Y476" s="9"/>
      <c r="Z476" s="8"/>
      <c r="AA476" s="8"/>
      <c r="AB476" s="8"/>
      <c r="AC476" s="11"/>
      <c r="AD476" s="8"/>
      <c r="AE476" s="9"/>
      <c r="AF476" s="8"/>
      <c r="AG476" s="9"/>
      <c r="AH476" s="8"/>
      <c r="AI476" s="8"/>
      <c r="AJ476" s="8"/>
      <c r="AK476" s="11"/>
      <c r="AL476" s="8"/>
      <c r="AM476" s="8"/>
      <c r="AN476" s="9"/>
      <c r="AO476" s="8"/>
      <c r="AP476" s="8"/>
      <c r="AQ476" s="8"/>
    </row>
    <row r="477" spans="1:43" x14ac:dyDescent="0.15">
      <c r="A477" s="8"/>
      <c r="B477" s="8"/>
      <c r="C477" s="8"/>
      <c r="D477" s="8"/>
      <c r="E477" s="9"/>
      <c r="F477" s="8"/>
      <c r="G477" s="10"/>
      <c r="H477" s="11"/>
      <c r="I477" s="8"/>
      <c r="J477" s="9"/>
      <c r="K477" s="8"/>
      <c r="L477" s="9"/>
      <c r="M477" s="8"/>
      <c r="N477" s="11"/>
      <c r="O477" s="8"/>
      <c r="P477" s="9"/>
      <c r="Q477" s="8"/>
      <c r="R477" s="9"/>
      <c r="S477" s="8"/>
      <c r="T477" s="8"/>
      <c r="U477" s="8"/>
      <c r="V477" s="11"/>
      <c r="W477" s="8"/>
      <c r="X477" s="8"/>
      <c r="Y477" s="9"/>
      <c r="Z477" s="8"/>
      <c r="AA477" s="8"/>
      <c r="AB477" s="8"/>
      <c r="AC477" s="11"/>
      <c r="AD477" s="8"/>
      <c r="AE477" s="9"/>
      <c r="AF477" s="8"/>
      <c r="AG477" s="9"/>
      <c r="AH477" s="8"/>
      <c r="AI477" s="8"/>
      <c r="AJ477" s="8"/>
      <c r="AK477" s="11"/>
      <c r="AL477" s="8"/>
      <c r="AM477" s="8"/>
      <c r="AN477" s="9"/>
      <c r="AO477" s="8"/>
      <c r="AP477" s="8"/>
      <c r="AQ477" s="8"/>
    </row>
    <row r="478" spans="1:43" x14ac:dyDescent="0.15">
      <c r="A478" s="8"/>
      <c r="B478" s="8"/>
      <c r="C478" s="8"/>
      <c r="D478" s="8"/>
      <c r="E478" s="9"/>
      <c r="F478" s="8"/>
      <c r="G478" s="10"/>
      <c r="H478" s="11"/>
      <c r="I478" s="8"/>
      <c r="J478" s="9"/>
      <c r="K478" s="8"/>
      <c r="L478" s="9"/>
      <c r="M478" s="8"/>
      <c r="N478" s="11"/>
      <c r="O478" s="8"/>
      <c r="P478" s="9"/>
      <c r="Q478" s="8"/>
      <c r="R478" s="9"/>
      <c r="S478" s="8"/>
      <c r="T478" s="8"/>
      <c r="U478" s="8"/>
      <c r="V478" s="11"/>
      <c r="W478" s="8"/>
      <c r="X478" s="8"/>
      <c r="Y478" s="9"/>
      <c r="Z478" s="8"/>
      <c r="AA478" s="8"/>
      <c r="AB478" s="8"/>
      <c r="AC478" s="11"/>
      <c r="AD478" s="8"/>
      <c r="AE478" s="9"/>
      <c r="AF478" s="8"/>
      <c r="AG478" s="9"/>
      <c r="AH478" s="8"/>
      <c r="AI478" s="8"/>
      <c r="AJ478" s="8"/>
      <c r="AK478" s="11"/>
      <c r="AL478" s="8"/>
      <c r="AM478" s="8"/>
      <c r="AN478" s="9"/>
      <c r="AO478" s="8"/>
      <c r="AP478" s="8"/>
      <c r="AQ478" s="8"/>
    </row>
    <row r="479" spans="1:43" x14ac:dyDescent="0.15">
      <c r="A479" s="8"/>
      <c r="B479" s="8"/>
      <c r="C479" s="8"/>
      <c r="D479" s="8"/>
      <c r="E479" s="9"/>
      <c r="F479" s="8"/>
      <c r="G479" s="10"/>
      <c r="H479" s="11"/>
      <c r="I479" s="8"/>
      <c r="J479" s="9"/>
      <c r="K479" s="8"/>
      <c r="L479" s="9"/>
      <c r="M479" s="8"/>
      <c r="N479" s="11"/>
      <c r="O479" s="8"/>
      <c r="P479" s="9"/>
      <c r="Q479" s="8"/>
      <c r="R479" s="9"/>
      <c r="S479" s="8"/>
      <c r="T479" s="8"/>
      <c r="U479" s="8"/>
      <c r="V479" s="11"/>
      <c r="W479" s="8"/>
      <c r="X479" s="8"/>
      <c r="Y479" s="9"/>
      <c r="Z479" s="8"/>
      <c r="AA479" s="8"/>
      <c r="AB479" s="8"/>
      <c r="AC479" s="11"/>
      <c r="AD479" s="8"/>
      <c r="AE479" s="9"/>
      <c r="AF479" s="8"/>
      <c r="AG479" s="9"/>
      <c r="AH479" s="8"/>
      <c r="AI479" s="8"/>
      <c r="AJ479" s="8"/>
      <c r="AK479" s="11"/>
      <c r="AL479" s="8"/>
      <c r="AM479" s="8"/>
      <c r="AN479" s="9"/>
      <c r="AO479" s="8"/>
      <c r="AP479" s="8"/>
      <c r="AQ479" s="8"/>
    </row>
    <row r="480" spans="1:43" x14ac:dyDescent="0.15">
      <c r="A480" s="8"/>
      <c r="B480" s="8"/>
      <c r="C480" s="8"/>
      <c r="D480" s="8"/>
      <c r="E480" s="9"/>
      <c r="F480" s="8"/>
      <c r="G480" s="10"/>
      <c r="H480" s="11"/>
      <c r="I480" s="8"/>
      <c r="J480" s="9"/>
      <c r="K480" s="8"/>
      <c r="L480" s="9"/>
      <c r="M480" s="8"/>
      <c r="N480" s="11"/>
      <c r="O480" s="8"/>
      <c r="P480" s="9"/>
      <c r="Q480" s="8"/>
      <c r="R480" s="9"/>
      <c r="S480" s="8"/>
      <c r="T480" s="8"/>
      <c r="U480" s="8"/>
      <c r="V480" s="11"/>
      <c r="W480" s="8"/>
      <c r="X480" s="8"/>
      <c r="Y480" s="9"/>
      <c r="Z480" s="8"/>
      <c r="AA480" s="8"/>
      <c r="AB480" s="8"/>
      <c r="AC480" s="11"/>
      <c r="AD480" s="8"/>
      <c r="AE480" s="9"/>
      <c r="AF480" s="8"/>
      <c r="AG480" s="9"/>
      <c r="AH480" s="8"/>
      <c r="AI480" s="8"/>
      <c r="AJ480" s="8"/>
      <c r="AK480" s="11"/>
      <c r="AL480" s="8"/>
      <c r="AM480" s="8"/>
      <c r="AN480" s="9"/>
      <c r="AO480" s="8"/>
      <c r="AP480" s="8"/>
      <c r="AQ480" s="8"/>
    </row>
    <row r="481" spans="1:43" x14ac:dyDescent="0.15">
      <c r="A481" s="8"/>
      <c r="B481" s="8"/>
      <c r="C481" s="8"/>
      <c r="D481" s="8"/>
      <c r="E481" s="9"/>
      <c r="F481" s="8"/>
      <c r="G481" s="10"/>
      <c r="H481" s="11"/>
      <c r="I481" s="8"/>
      <c r="J481" s="9"/>
      <c r="K481" s="8"/>
      <c r="L481" s="9"/>
      <c r="M481" s="8"/>
      <c r="N481" s="11"/>
      <c r="O481" s="8"/>
      <c r="P481" s="9"/>
      <c r="Q481" s="8"/>
      <c r="R481" s="9"/>
      <c r="S481" s="8"/>
      <c r="T481" s="8"/>
      <c r="U481" s="8"/>
      <c r="V481" s="11"/>
      <c r="W481" s="8"/>
      <c r="X481" s="8"/>
      <c r="Y481" s="9"/>
      <c r="Z481" s="8"/>
      <c r="AA481" s="8"/>
      <c r="AB481" s="8"/>
      <c r="AC481" s="11"/>
      <c r="AD481" s="8"/>
      <c r="AE481" s="9"/>
      <c r="AF481" s="8"/>
      <c r="AG481" s="9"/>
      <c r="AH481" s="8"/>
      <c r="AI481" s="8"/>
      <c r="AJ481" s="8"/>
      <c r="AK481" s="11"/>
      <c r="AL481" s="8"/>
      <c r="AM481" s="8"/>
      <c r="AN481" s="9"/>
      <c r="AO481" s="8"/>
      <c r="AP481" s="8"/>
      <c r="AQ481" s="8"/>
    </row>
    <row r="482" spans="1:43" x14ac:dyDescent="0.15">
      <c r="A482" s="8"/>
      <c r="B482" s="8"/>
      <c r="C482" s="8"/>
      <c r="D482" s="8"/>
      <c r="E482" s="9"/>
      <c r="F482" s="8"/>
      <c r="G482" s="10"/>
      <c r="H482" s="11"/>
      <c r="I482" s="8"/>
      <c r="J482" s="9"/>
      <c r="K482" s="8"/>
      <c r="L482" s="9"/>
      <c r="M482" s="8"/>
      <c r="N482" s="11"/>
      <c r="O482" s="8"/>
      <c r="P482" s="9"/>
      <c r="Q482" s="8"/>
      <c r="R482" s="9"/>
      <c r="S482" s="8"/>
      <c r="T482" s="8"/>
      <c r="U482" s="8"/>
      <c r="V482" s="11"/>
      <c r="W482" s="8"/>
      <c r="X482" s="8"/>
      <c r="Y482" s="9"/>
      <c r="Z482" s="8"/>
      <c r="AA482" s="8"/>
      <c r="AB482" s="8"/>
      <c r="AC482" s="11"/>
      <c r="AD482" s="8"/>
      <c r="AE482" s="9"/>
      <c r="AF482" s="8"/>
      <c r="AG482" s="9"/>
      <c r="AH482" s="8"/>
      <c r="AI482" s="8"/>
      <c r="AJ482" s="8"/>
      <c r="AK482" s="11"/>
      <c r="AL482" s="8"/>
      <c r="AM482" s="8"/>
      <c r="AN482" s="9"/>
      <c r="AO482" s="8"/>
      <c r="AP482" s="8"/>
      <c r="AQ482" s="8"/>
    </row>
    <row r="483" spans="1:43" x14ac:dyDescent="0.15">
      <c r="A483" s="8"/>
      <c r="B483" s="8"/>
      <c r="C483" s="8"/>
      <c r="D483" s="8"/>
      <c r="E483" s="9"/>
      <c r="F483" s="8"/>
      <c r="G483" s="10"/>
      <c r="H483" s="11"/>
      <c r="I483" s="8"/>
      <c r="J483" s="9"/>
      <c r="K483" s="8"/>
      <c r="L483" s="9"/>
      <c r="M483" s="8"/>
      <c r="N483" s="11"/>
      <c r="O483" s="8"/>
      <c r="P483" s="9"/>
      <c r="Q483" s="8"/>
      <c r="R483" s="9"/>
      <c r="S483" s="8"/>
      <c r="T483" s="8"/>
      <c r="U483" s="8"/>
      <c r="V483" s="11"/>
      <c r="W483" s="8"/>
      <c r="X483" s="8"/>
      <c r="Y483" s="9"/>
      <c r="Z483" s="8"/>
      <c r="AA483" s="8"/>
      <c r="AB483" s="8"/>
      <c r="AC483" s="11"/>
      <c r="AD483" s="8"/>
      <c r="AE483" s="9"/>
      <c r="AF483" s="8"/>
      <c r="AG483" s="9"/>
      <c r="AH483" s="8"/>
      <c r="AI483" s="8"/>
      <c r="AJ483" s="8"/>
      <c r="AK483" s="11"/>
      <c r="AL483" s="8"/>
      <c r="AM483" s="8"/>
      <c r="AN483" s="9"/>
      <c r="AO483" s="8"/>
      <c r="AP483" s="8"/>
      <c r="AQ483" s="8"/>
    </row>
    <row r="484" spans="1:43" x14ac:dyDescent="0.15">
      <c r="A484" s="8"/>
      <c r="B484" s="8"/>
      <c r="C484" s="8"/>
      <c r="D484" s="8"/>
      <c r="E484" s="9"/>
      <c r="F484" s="8"/>
      <c r="G484" s="10"/>
      <c r="H484" s="11"/>
      <c r="I484" s="8"/>
      <c r="J484" s="9"/>
      <c r="K484" s="8"/>
      <c r="L484" s="9"/>
      <c r="M484" s="8"/>
      <c r="N484" s="11"/>
      <c r="O484" s="8"/>
      <c r="P484" s="9"/>
      <c r="Q484" s="8"/>
      <c r="R484" s="9"/>
      <c r="S484" s="8"/>
      <c r="T484" s="8"/>
      <c r="U484" s="8"/>
      <c r="V484" s="11"/>
      <c r="W484" s="8"/>
      <c r="X484" s="8"/>
      <c r="Y484" s="9"/>
      <c r="Z484" s="8"/>
      <c r="AA484" s="8"/>
      <c r="AB484" s="8"/>
      <c r="AC484" s="11"/>
      <c r="AD484" s="8"/>
      <c r="AE484" s="9"/>
      <c r="AF484" s="8"/>
      <c r="AG484" s="9"/>
      <c r="AH484" s="8"/>
      <c r="AI484" s="8"/>
      <c r="AJ484" s="8"/>
      <c r="AK484" s="11"/>
      <c r="AL484" s="8"/>
      <c r="AM484" s="8"/>
      <c r="AN484" s="9"/>
      <c r="AO484" s="8"/>
      <c r="AP484" s="8"/>
      <c r="AQ484" s="8"/>
    </row>
    <row r="485" spans="1:43" x14ac:dyDescent="0.15">
      <c r="A485" s="8"/>
      <c r="B485" s="8"/>
      <c r="C485" s="8"/>
      <c r="D485" s="8"/>
      <c r="E485" s="9"/>
      <c r="F485" s="8"/>
      <c r="G485" s="10"/>
      <c r="H485" s="11"/>
      <c r="I485" s="8"/>
      <c r="J485" s="9"/>
      <c r="K485" s="8"/>
      <c r="L485" s="9"/>
      <c r="M485" s="8"/>
      <c r="N485" s="11"/>
      <c r="O485" s="8"/>
      <c r="P485" s="9"/>
      <c r="Q485" s="8"/>
      <c r="R485" s="9"/>
      <c r="S485" s="8"/>
      <c r="T485" s="8"/>
      <c r="U485" s="8"/>
      <c r="V485" s="11"/>
      <c r="W485" s="8"/>
      <c r="X485" s="8"/>
      <c r="Y485" s="9"/>
      <c r="Z485" s="8"/>
      <c r="AA485" s="8"/>
      <c r="AB485" s="8"/>
      <c r="AC485" s="11"/>
      <c r="AD485" s="8"/>
      <c r="AE485" s="9"/>
      <c r="AF485" s="8"/>
      <c r="AG485" s="9"/>
      <c r="AH485" s="8"/>
      <c r="AI485" s="8"/>
      <c r="AJ485" s="8"/>
      <c r="AK485" s="11"/>
      <c r="AL485" s="8"/>
      <c r="AM485" s="8"/>
      <c r="AN485" s="9"/>
      <c r="AO485" s="8"/>
      <c r="AP485" s="8"/>
      <c r="AQ485" s="8"/>
    </row>
    <row r="486" spans="1:43" x14ac:dyDescent="0.15">
      <c r="A486" s="8"/>
      <c r="B486" s="8"/>
      <c r="C486" s="8"/>
      <c r="D486" s="8"/>
      <c r="E486" s="9"/>
      <c r="F486" s="8"/>
      <c r="G486" s="10"/>
      <c r="H486" s="11"/>
      <c r="I486" s="8"/>
      <c r="J486" s="9"/>
      <c r="K486" s="8"/>
      <c r="L486" s="9"/>
      <c r="M486" s="8"/>
      <c r="N486" s="11"/>
      <c r="O486" s="8"/>
      <c r="P486" s="9"/>
      <c r="Q486" s="8"/>
      <c r="R486" s="9"/>
      <c r="S486" s="8"/>
      <c r="T486" s="8"/>
      <c r="U486" s="8"/>
      <c r="V486" s="11"/>
      <c r="W486" s="8"/>
      <c r="X486" s="8"/>
      <c r="Y486" s="9"/>
      <c r="Z486" s="8"/>
      <c r="AA486" s="8"/>
      <c r="AB486" s="8"/>
      <c r="AC486" s="11"/>
      <c r="AD486" s="8"/>
      <c r="AE486" s="9"/>
      <c r="AF486" s="8"/>
      <c r="AG486" s="9"/>
      <c r="AH486" s="8"/>
      <c r="AI486" s="8"/>
      <c r="AJ486" s="8"/>
      <c r="AK486" s="11"/>
      <c r="AL486" s="8"/>
      <c r="AM486" s="8"/>
      <c r="AN486" s="9"/>
      <c r="AO486" s="8"/>
      <c r="AP486" s="8"/>
      <c r="AQ486" s="8"/>
    </row>
    <row r="487" spans="1:43" x14ac:dyDescent="0.15">
      <c r="A487" s="8"/>
      <c r="B487" s="8"/>
      <c r="C487" s="8"/>
      <c r="D487" s="8"/>
      <c r="E487" s="9"/>
      <c r="F487" s="8"/>
      <c r="G487" s="10"/>
      <c r="H487" s="11"/>
      <c r="I487" s="8"/>
      <c r="J487" s="9"/>
      <c r="K487" s="8"/>
      <c r="L487" s="9"/>
      <c r="M487" s="8"/>
      <c r="N487" s="11"/>
      <c r="O487" s="8"/>
      <c r="P487" s="9"/>
      <c r="Q487" s="8"/>
      <c r="R487" s="9"/>
      <c r="S487" s="8"/>
      <c r="T487" s="8"/>
      <c r="U487" s="8"/>
      <c r="V487" s="11"/>
      <c r="W487" s="8"/>
      <c r="X487" s="8"/>
      <c r="Y487" s="9"/>
      <c r="Z487" s="8"/>
      <c r="AA487" s="8"/>
      <c r="AB487" s="8"/>
      <c r="AC487" s="11"/>
      <c r="AD487" s="8"/>
      <c r="AE487" s="9"/>
      <c r="AF487" s="8"/>
      <c r="AG487" s="9"/>
      <c r="AH487" s="8"/>
      <c r="AI487" s="8"/>
      <c r="AJ487" s="8"/>
      <c r="AK487" s="11"/>
      <c r="AL487" s="8"/>
      <c r="AM487" s="8"/>
      <c r="AN487" s="9"/>
      <c r="AO487" s="8"/>
      <c r="AP487" s="8"/>
      <c r="AQ487" s="8"/>
    </row>
    <row r="488" spans="1:43" x14ac:dyDescent="0.15">
      <c r="A488" s="8"/>
      <c r="B488" s="8"/>
      <c r="C488" s="8"/>
      <c r="D488" s="8"/>
      <c r="E488" s="9"/>
      <c r="F488" s="8"/>
      <c r="G488" s="10"/>
      <c r="H488" s="11"/>
      <c r="I488" s="8"/>
      <c r="J488" s="9"/>
      <c r="K488" s="8"/>
      <c r="L488" s="9"/>
      <c r="M488" s="8"/>
      <c r="N488" s="11"/>
      <c r="O488" s="8"/>
      <c r="P488" s="9"/>
      <c r="Q488" s="8"/>
      <c r="R488" s="9"/>
      <c r="S488" s="8"/>
      <c r="T488" s="8"/>
      <c r="U488" s="8"/>
      <c r="V488" s="11"/>
      <c r="W488" s="8"/>
      <c r="X488" s="8"/>
      <c r="Y488" s="9"/>
      <c r="Z488" s="8"/>
      <c r="AA488" s="8"/>
      <c r="AB488" s="8"/>
      <c r="AC488" s="11"/>
      <c r="AD488" s="8"/>
      <c r="AE488" s="9"/>
      <c r="AF488" s="8"/>
      <c r="AG488" s="9"/>
      <c r="AH488" s="8"/>
      <c r="AI488" s="8"/>
      <c r="AJ488" s="8"/>
      <c r="AK488" s="11"/>
      <c r="AL488" s="8"/>
      <c r="AM488" s="8"/>
      <c r="AN488" s="9"/>
      <c r="AO488" s="8"/>
      <c r="AP488" s="8"/>
      <c r="AQ488" s="8"/>
    </row>
    <row r="489" spans="1:43" x14ac:dyDescent="0.15">
      <c r="A489" s="8"/>
      <c r="B489" s="8"/>
      <c r="C489" s="8"/>
      <c r="D489" s="8"/>
      <c r="E489" s="9"/>
      <c r="F489" s="8"/>
      <c r="G489" s="10"/>
      <c r="H489" s="11"/>
      <c r="I489" s="8"/>
      <c r="J489" s="9"/>
      <c r="K489" s="8"/>
      <c r="L489" s="9"/>
      <c r="M489" s="8"/>
      <c r="N489" s="11"/>
      <c r="O489" s="8"/>
      <c r="P489" s="9"/>
      <c r="Q489" s="8"/>
      <c r="R489" s="9"/>
      <c r="S489" s="8"/>
      <c r="T489" s="8"/>
      <c r="U489" s="8"/>
      <c r="V489" s="11"/>
      <c r="W489" s="8"/>
      <c r="X489" s="8"/>
      <c r="Y489" s="9"/>
      <c r="Z489" s="8"/>
      <c r="AA489" s="8"/>
      <c r="AB489" s="8"/>
      <c r="AC489" s="11"/>
      <c r="AD489" s="8"/>
      <c r="AE489" s="9"/>
      <c r="AF489" s="8"/>
      <c r="AG489" s="9"/>
      <c r="AH489" s="8"/>
      <c r="AI489" s="8"/>
      <c r="AJ489" s="8"/>
      <c r="AK489" s="11"/>
      <c r="AL489" s="8"/>
      <c r="AM489" s="8"/>
      <c r="AN489" s="9"/>
      <c r="AO489" s="8"/>
      <c r="AP489" s="8"/>
      <c r="AQ489" s="8"/>
    </row>
    <row r="490" spans="1:43" x14ac:dyDescent="0.15">
      <c r="A490" s="8"/>
      <c r="B490" s="8"/>
      <c r="C490" s="8"/>
      <c r="D490" s="8"/>
      <c r="E490" s="9"/>
      <c r="F490" s="8"/>
      <c r="G490" s="10"/>
      <c r="H490" s="11"/>
      <c r="I490" s="8"/>
      <c r="J490" s="9"/>
      <c r="K490" s="8"/>
      <c r="L490" s="9"/>
      <c r="M490" s="8"/>
      <c r="N490" s="11"/>
      <c r="O490" s="8"/>
      <c r="P490" s="9"/>
      <c r="Q490" s="8"/>
      <c r="R490" s="9"/>
      <c r="S490" s="8"/>
      <c r="T490" s="8"/>
      <c r="U490" s="8"/>
      <c r="V490" s="11"/>
      <c r="W490" s="8"/>
      <c r="X490" s="8"/>
      <c r="Y490" s="9"/>
      <c r="Z490" s="8"/>
      <c r="AA490" s="8"/>
      <c r="AB490" s="8"/>
      <c r="AC490" s="11"/>
      <c r="AD490" s="8"/>
      <c r="AE490" s="9"/>
      <c r="AF490" s="8"/>
      <c r="AG490" s="9"/>
      <c r="AH490" s="8"/>
      <c r="AI490" s="8"/>
      <c r="AJ490" s="8"/>
      <c r="AK490" s="11"/>
      <c r="AL490" s="8"/>
      <c r="AM490" s="8"/>
      <c r="AN490" s="9"/>
      <c r="AO490" s="8"/>
      <c r="AP490" s="8"/>
      <c r="AQ490" s="8"/>
    </row>
    <row r="491" spans="1:43" x14ac:dyDescent="0.15">
      <c r="A491" s="8"/>
      <c r="B491" s="8"/>
      <c r="C491" s="8"/>
      <c r="D491" s="8"/>
      <c r="E491" s="9"/>
      <c r="F491" s="8"/>
      <c r="G491" s="10"/>
      <c r="H491" s="11"/>
      <c r="I491" s="8"/>
      <c r="J491" s="9"/>
      <c r="K491" s="8"/>
      <c r="L491" s="9"/>
      <c r="M491" s="8"/>
      <c r="N491" s="11"/>
      <c r="O491" s="8"/>
      <c r="P491" s="9"/>
      <c r="Q491" s="8"/>
      <c r="R491" s="9"/>
      <c r="S491" s="8"/>
      <c r="T491" s="8"/>
      <c r="U491" s="8"/>
      <c r="V491" s="11"/>
      <c r="W491" s="8"/>
      <c r="X491" s="8"/>
      <c r="Y491" s="9"/>
      <c r="Z491" s="8"/>
      <c r="AA491" s="8"/>
      <c r="AB491" s="8"/>
      <c r="AC491" s="11"/>
      <c r="AD491" s="8"/>
      <c r="AE491" s="9"/>
      <c r="AF491" s="8"/>
      <c r="AG491" s="9"/>
      <c r="AH491" s="8"/>
      <c r="AI491" s="8"/>
      <c r="AJ491" s="8"/>
      <c r="AK491" s="11"/>
      <c r="AL491" s="8"/>
      <c r="AM491" s="8"/>
      <c r="AN491" s="9"/>
      <c r="AO491" s="8"/>
      <c r="AP491" s="8"/>
      <c r="AQ491" s="8"/>
    </row>
    <row r="492" spans="1:43" x14ac:dyDescent="0.15">
      <c r="A492" s="8"/>
      <c r="B492" s="8"/>
      <c r="C492" s="8"/>
      <c r="D492" s="8"/>
      <c r="E492" s="9"/>
      <c r="F492" s="8"/>
      <c r="G492" s="10"/>
      <c r="H492" s="11"/>
      <c r="I492" s="8"/>
      <c r="J492" s="9"/>
      <c r="K492" s="8"/>
      <c r="L492" s="9"/>
      <c r="M492" s="8"/>
      <c r="N492" s="11"/>
      <c r="O492" s="8"/>
      <c r="P492" s="9"/>
      <c r="Q492" s="8"/>
      <c r="R492" s="9"/>
      <c r="S492" s="8"/>
      <c r="T492" s="8"/>
      <c r="U492" s="8"/>
      <c r="V492" s="11"/>
      <c r="W492" s="8"/>
      <c r="X492" s="8"/>
      <c r="Y492" s="9"/>
      <c r="Z492" s="8"/>
      <c r="AA492" s="8"/>
      <c r="AB492" s="8"/>
      <c r="AC492" s="11"/>
      <c r="AD492" s="8"/>
      <c r="AE492" s="9"/>
      <c r="AF492" s="8"/>
      <c r="AG492" s="9"/>
      <c r="AH492" s="8"/>
      <c r="AI492" s="8"/>
      <c r="AJ492" s="8"/>
      <c r="AK492" s="11"/>
      <c r="AL492" s="8"/>
      <c r="AM492" s="8"/>
      <c r="AN492" s="9"/>
      <c r="AO492" s="8"/>
      <c r="AP492" s="8"/>
      <c r="AQ492" s="8"/>
    </row>
    <row r="493" spans="1:43" x14ac:dyDescent="0.15">
      <c r="A493" s="8"/>
      <c r="B493" s="8"/>
      <c r="C493" s="8"/>
      <c r="D493" s="8"/>
      <c r="E493" s="9"/>
      <c r="F493" s="8"/>
      <c r="G493" s="10"/>
      <c r="H493" s="11"/>
      <c r="I493" s="8"/>
      <c r="J493" s="9"/>
      <c r="K493" s="8"/>
      <c r="L493" s="9"/>
      <c r="M493" s="8"/>
      <c r="N493" s="11"/>
      <c r="O493" s="8"/>
      <c r="P493" s="9"/>
      <c r="Q493" s="8"/>
      <c r="R493" s="9"/>
      <c r="S493" s="8"/>
      <c r="T493" s="8"/>
      <c r="U493" s="8"/>
      <c r="V493" s="11"/>
      <c r="W493" s="8"/>
      <c r="X493" s="8"/>
      <c r="Y493" s="9"/>
      <c r="Z493" s="8"/>
      <c r="AA493" s="8"/>
      <c r="AB493" s="8"/>
      <c r="AC493" s="11"/>
      <c r="AD493" s="8"/>
      <c r="AE493" s="9"/>
      <c r="AF493" s="8"/>
      <c r="AG493" s="9"/>
      <c r="AH493" s="8"/>
      <c r="AI493" s="8"/>
      <c r="AJ493" s="8"/>
      <c r="AK493" s="11"/>
      <c r="AL493" s="8"/>
      <c r="AM493" s="8"/>
      <c r="AN493" s="9"/>
      <c r="AO493" s="8"/>
      <c r="AP493" s="8"/>
      <c r="AQ493" s="8"/>
    </row>
    <row r="494" spans="1:43" x14ac:dyDescent="0.15">
      <c r="A494" s="8"/>
      <c r="B494" s="8"/>
      <c r="C494" s="8"/>
      <c r="D494" s="8"/>
      <c r="E494" s="9"/>
      <c r="F494" s="8"/>
      <c r="G494" s="10"/>
      <c r="H494" s="11"/>
      <c r="I494" s="8"/>
      <c r="J494" s="9"/>
      <c r="K494" s="8"/>
      <c r="L494" s="9"/>
      <c r="M494" s="8"/>
      <c r="N494" s="11"/>
      <c r="O494" s="8"/>
      <c r="P494" s="9"/>
      <c r="Q494" s="8"/>
      <c r="R494" s="9"/>
      <c r="S494" s="8"/>
      <c r="T494" s="8"/>
      <c r="U494" s="8"/>
      <c r="V494" s="11"/>
      <c r="W494" s="8"/>
      <c r="X494" s="8"/>
      <c r="Y494" s="9"/>
      <c r="Z494" s="8"/>
      <c r="AA494" s="8"/>
      <c r="AB494" s="8"/>
      <c r="AC494" s="11"/>
      <c r="AD494" s="8"/>
      <c r="AE494" s="9"/>
      <c r="AF494" s="8"/>
      <c r="AG494" s="9"/>
      <c r="AH494" s="8"/>
      <c r="AI494" s="8"/>
      <c r="AJ494" s="8"/>
      <c r="AK494" s="11"/>
      <c r="AL494" s="8"/>
      <c r="AM494" s="8"/>
      <c r="AN494" s="9"/>
      <c r="AO494" s="8"/>
      <c r="AP494" s="8"/>
      <c r="AQ494" s="8"/>
    </row>
    <row r="495" spans="1:43" x14ac:dyDescent="0.15">
      <c r="A495" s="8"/>
      <c r="B495" s="8"/>
      <c r="C495" s="8"/>
      <c r="D495" s="8"/>
      <c r="E495" s="9"/>
      <c r="F495" s="8"/>
      <c r="G495" s="10"/>
      <c r="H495" s="11"/>
      <c r="I495" s="8"/>
      <c r="J495" s="9"/>
      <c r="K495" s="8"/>
      <c r="L495" s="9"/>
      <c r="M495" s="8"/>
      <c r="N495" s="11"/>
      <c r="O495" s="8"/>
      <c r="P495" s="9"/>
      <c r="Q495" s="8"/>
      <c r="R495" s="9"/>
      <c r="S495" s="8"/>
      <c r="T495" s="8"/>
      <c r="U495" s="8"/>
      <c r="V495" s="11"/>
      <c r="W495" s="8"/>
      <c r="X495" s="8"/>
      <c r="Y495" s="9"/>
      <c r="Z495" s="8"/>
      <c r="AA495" s="8"/>
      <c r="AB495" s="8"/>
      <c r="AC495" s="11"/>
      <c r="AD495" s="8"/>
      <c r="AE495" s="9"/>
      <c r="AF495" s="8"/>
      <c r="AG495" s="9"/>
      <c r="AH495" s="8"/>
      <c r="AI495" s="8"/>
      <c r="AJ495" s="8"/>
      <c r="AK495" s="11"/>
      <c r="AL495" s="8"/>
      <c r="AM495" s="8"/>
      <c r="AN495" s="9"/>
      <c r="AO495" s="8"/>
      <c r="AP495" s="8"/>
      <c r="AQ495" s="8"/>
    </row>
    <row r="496" spans="1:43" x14ac:dyDescent="0.15">
      <c r="A496" s="8"/>
      <c r="B496" s="8"/>
      <c r="C496" s="8"/>
      <c r="D496" s="8"/>
      <c r="E496" s="9"/>
      <c r="F496" s="8"/>
      <c r="G496" s="10"/>
      <c r="H496" s="11"/>
      <c r="I496" s="8"/>
      <c r="J496" s="9"/>
      <c r="K496" s="8"/>
      <c r="L496" s="9"/>
      <c r="M496" s="8"/>
      <c r="N496" s="11"/>
      <c r="O496" s="8"/>
      <c r="P496" s="9"/>
      <c r="Q496" s="8"/>
      <c r="R496" s="9"/>
      <c r="S496" s="8"/>
      <c r="T496" s="8"/>
      <c r="U496" s="8"/>
      <c r="V496" s="11"/>
      <c r="W496" s="8"/>
      <c r="X496" s="8"/>
      <c r="Y496" s="9"/>
      <c r="Z496" s="8"/>
      <c r="AA496" s="8"/>
      <c r="AB496" s="8"/>
      <c r="AC496" s="11"/>
      <c r="AD496" s="8"/>
      <c r="AE496" s="9"/>
      <c r="AF496" s="8"/>
      <c r="AG496" s="9"/>
      <c r="AH496" s="8"/>
      <c r="AI496" s="8"/>
      <c r="AJ496" s="8"/>
      <c r="AK496" s="11"/>
      <c r="AL496" s="8"/>
      <c r="AM496" s="8"/>
      <c r="AN496" s="9"/>
      <c r="AO496" s="8"/>
      <c r="AP496" s="8"/>
      <c r="AQ496" s="8"/>
    </row>
    <row r="497" spans="1:43" x14ac:dyDescent="0.15">
      <c r="A497" s="8"/>
      <c r="B497" s="8"/>
      <c r="C497" s="8"/>
      <c r="D497" s="8"/>
      <c r="E497" s="9"/>
      <c r="F497" s="8"/>
      <c r="G497" s="10"/>
      <c r="H497" s="11"/>
      <c r="I497" s="8"/>
      <c r="J497" s="9"/>
      <c r="K497" s="8"/>
      <c r="L497" s="9"/>
      <c r="M497" s="8"/>
      <c r="N497" s="11"/>
      <c r="O497" s="8"/>
      <c r="P497" s="9"/>
      <c r="Q497" s="8"/>
      <c r="R497" s="9"/>
      <c r="S497" s="8"/>
      <c r="T497" s="8"/>
      <c r="U497" s="8"/>
      <c r="V497" s="11"/>
      <c r="W497" s="8"/>
      <c r="X497" s="8"/>
      <c r="Y497" s="9"/>
      <c r="Z497" s="8"/>
      <c r="AA497" s="8"/>
      <c r="AB497" s="8"/>
      <c r="AC497" s="11"/>
      <c r="AD497" s="8"/>
      <c r="AE497" s="9"/>
      <c r="AF497" s="8"/>
      <c r="AG497" s="9"/>
      <c r="AH497" s="8"/>
      <c r="AI497" s="8"/>
      <c r="AJ497" s="8"/>
      <c r="AK497" s="11"/>
      <c r="AL497" s="8"/>
      <c r="AM497" s="8"/>
      <c r="AN497" s="9"/>
      <c r="AO497" s="8"/>
      <c r="AP497" s="8"/>
      <c r="AQ497" s="8"/>
    </row>
    <row r="498" spans="1:43" x14ac:dyDescent="0.15">
      <c r="A498" s="8"/>
      <c r="B498" s="8"/>
      <c r="C498" s="8"/>
      <c r="D498" s="8"/>
      <c r="E498" s="9"/>
      <c r="F498" s="8"/>
      <c r="G498" s="10"/>
      <c r="H498" s="11"/>
      <c r="I498" s="8"/>
      <c r="J498" s="9"/>
      <c r="K498" s="8"/>
      <c r="L498" s="9"/>
      <c r="M498" s="8"/>
      <c r="N498" s="11"/>
      <c r="O498" s="8"/>
      <c r="P498" s="9"/>
      <c r="Q498" s="8"/>
      <c r="R498" s="9"/>
      <c r="S498" s="8"/>
      <c r="T498" s="8"/>
      <c r="U498" s="8"/>
      <c r="V498" s="11"/>
      <c r="W498" s="8"/>
      <c r="X498" s="8"/>
      <c r="Y498" s="9"/>
      <c r="Z498" s="8"/>
      <c r="AA498" s="8"/>
      <c r="AB498" s="8"/>
      <c r="AC498" s="11"/>
      <c r="AD498" s="8"/>
      <c r="AE498" s="9"/>
      <c r="AF498" s="8"/>
      <c r="AG498" s="9"/>
      <c r="AH498" s="8"/>
      <c r="AI498" s="8"/>
      <c r="AJ498" s="8"/>
      <c r="AK498" s="11"/>
      <c r="AL498" s="8"/>
      <c r="AM498" s="8"/>
      <c r="AN498" s="9"/>
      <c r="AO498" s="8"/>
      <c r="AP498" s="8"/>
      <c r="AQ498" s="8"/>
    </row>
    <row r="499" spans="1:43" x14ac:dyDescent="0.15">
      <c r="A499" s="8"/>
      <c r="B499" s="8"/>
      <c r="C499" s="8"/>
      <c r="D499" s="8"/>
      <c r="E499" s="9"/>
      <c r="F499" s="8"/>
      <c r="G499" s="10"/>
      <c r="H499" s="11"/>
      <c r="I499" s="8"/>
      <c r="J499" s="9"/>
      <c r="K499" s="8"/>
      <c r="L499" s="9"/>
      <c r="M499" s="8"/>
      <c r="N499" s="11"/>
      <c r="O499" s="8"/>
      <c r="P499" s="9"/>
      <c r="Q499" s="8"/>
      <c r="R499" s="9"/>
      <c r="S499" s="8"/>
      <c r="T499" s="8"/>
      <c r="U499" s="8"/>
      <c r="V499" s="11"/>
      <c r="W499" s="8"/>
      <c r="X499" s="8"/>
      <c r="Y499" s="9"/>
      <c r="Z499" s="8"/>
      <c r="AA499" s="8"/>
      <c r="AB499" s="8"/>
      <c r="AC499" s="11"/>
      <c r="AD499" s="8"/>
      <c r="AE499" s="9"/>
      <c r="AF499" s="8"/>
      <c r="AG499" s="9"/>
      <c r="AH499" s="8"/>
      <c r="AI499" s="8"/>
      <c r="AJ499" s="8"/>
      <c r="AK499" s="11"/>
      <c r="AL499" s="8"/>
      <c r="AM499" s="8"/>
      <c r="AN499" s="9"/>
      <c r="AO499" s="8"/>
      <c r="AP499" s="8"/>
      <c r="AQ499" s="8"/>
    </row>
    <row r="500" spans="1:43" x14ac:dyDescent="0.15">
      <c r="A500" s="8"/>
      <c r="B500" s="8"/>
      <c r="C500" s="8"/>
      <c r="D500" s="8"/>
      <c r="E500" s="9"/>
      <c r="F500" s="8"/>
      <c r="G500" s="10"/>
      <c r="H500" s="11"/>
      <c r="I500" s="8"/>
      <c r="J500" s="9"/>
      <c r="K500" s="8"/>
      <c r="L500" s="9"/>
      <c r="M500" s="8"/>
      <c r="N500" s="11"/>
      <c r="O500" s="8"/>
      <c r="P500" s="9"/>
      <c r="Q500" s="8"/>
      <c r="R500" s="9"/>
      <c r="S500" s="8"/>
      <c r="T500" s="8"/>
      <c r="U500" s="8"/>
      <c r="V500" s="11"/>
      <c r="W500" s="8"/>
      <c r="X500" s="8"/>
      <c r="Y500" s="9"/>
      <c r="Z500" s="8"/>
      <c r="AA500" s="8"/>
      <c r="AB500" s="8"/>
      <c r="AC500" s="11"/>
      <c r="AD500" s="8"/>
      <c r="AE500" s="9"/>
      <c r="AF500" s="8"/>
      <c r="AG500" s="9"/>
      <c r="AH500" s="8"/>
      <c r="AI500" s="8"/>
      <c r="AJ500" s="8"/>
      <c r="AK500" s="11"/>
      <c r="AL500" s="8"/>
      <c r="AM500" s="8"/>
      <c r="AN500" s="9"/>
      <c r="AO500" s="8"/>
      <c r="AP500" s="8"/>
      <c r="AQ500" s="8"/>
    </row>
    <row r="501" spans="1:43" x14ac:dyDescent="0.15">
      <c r="A501" s="8"/>
      <c r="B501" s="8"/>
      <c r="C501" s="8"/>
      <c r="D501" s="8"/>
      <c r="E501" s="9"/>
      <c r="F501" s="8"/>
      <c r="G501" s="10"/>
      <c r="H501" s="11"/>
      <c r="I501" s="8"/>
      <c r="J501" s="9"/>
      <c r="K501" s="8"/>
      <c r="L501" s="9"/>
      <c r="M501" s="8"/>
      <c r="N501" s="11"/>
      <c r="O501" s="8"/>
      <c r="P501" s="9"/>
      <c r="Q501" s="8"/>
      <c r="R501" s="9"/>
      <c r="S501" s="8"/>
      <c r="T501" s="8"/>
      <c r="U501" s="8"/>
      <c r="V501" s="11"/>
      <c r="W501" s="8"/>
      <c r="X501" s="8"/>
      <c r="Y501" s="9"/>
      <c r="Z501" s="8"/>
      <c r="AA501" s="8"/>
      <c r="AB501" s="8"/>
      <c r="AC501" s="11"/>
      <c r="AD501" s="8"/>
      <c r="AE501" s="9"/>
      <c r="AF501" s="8"/>
      <c r="AG501" s="9"/>
      <c r="AH501" s="8"/>
      <c r="AI501" s="8"/>
      <c r="AJ501" s="8"/>
      <c r="AK501" s="11"/>
      <c r="AL501" s="8"/>
      <c r="AM501" s="8"/>
      <c r="AN501" s="9"/>
      <c r="AO501" s="8"/>
      <c r="AP501" s="8"/>
      <c r="AQ501" s="8"/>
    </row>
    <row r="502" spans="1:43" x14ac:dyDescent="0.15">
      <c r="A502" s="8"/>
      <c r="B502" s="8"/>
      <c r="C502" s="8"/>
      <c r="D502" s="8"/>
      <c r="E502" s="9"/>
      <c r="F502" s="8"/>
      <c r="G502" s="10"/>
      <c r="H502" s="11"/>
      <c r="I502" s="8"/>
      <c r="J502" s="9"/>
      <c r="K502" s="8"/>
      <c r="L502" s="9"/>
      <c r="M502" s="8"/>
      <c r="N502" s="11"/>
      <c r="O502" s="8"/>
      <c r="P502" s="9"/>
      <c r="Q502" s="8"/>
      <c r="R502" s="9"/>
      <c r="S502" s="8"/>
      <c r="T502" s="8"/>
      <c r="U502" s="8"/>
      <c r="V502" s="11"/>
      <c r="W502" s="8"/>
      <c r="X502" s="8"/>
      <c r="Y502" s="9"/>
      <c r="Z502" s="8"/>
      <c r="AA502" s="8"/>
      <c r="AB502" s="8"/>
      <c r="AC502" s="11"/>
      <c r="AD502" s="8"/>
      <c r="AE502" s="9"/>
      <c r="AF502" s="8"/>
      <c r="AG502" s="9"/>
      <c r="AH502" s="8"/>
      <c r="AI502" s="8"/>
      <c r="AJ502" s="8"/>
      <c r="AK502" s="11"/>
      <c r="AL502" s="8"/>
      <c r="AM502" s="8"/>
      <c r="AN502" s="9"/>
      <c r="AO502" s="8"/>
      <c r="AP502" s="8"/>
      <c r="AQ502" s="8"/>
    </row>
    <row r="503" spans="1:43" x14ac:dyDescent="0.15">
      <c r="A503" s="8"/>
      <c r="B503" s="8"/>
      <c r="C503" s="8"/>
      <c r="D503" s="8"/>
      <c r="E503" s="9"/>
      <c r="F503" s="8"/>
      <c r="G503" s="10"/>
      <c r="H503" s="11"/>
      <c r="I503" s="8"/>
      <c r="J503" s="9"/>
      <c r="K503" s="8"/>
      <c r="L503" s="9"/>
      <c r="M503" s="8"/>
      <c r="N503" s="11"/>
      <c r="O503" s="8"/>
      <c r="P503" s="9"/>
      <c r="Q503" s="8"/>
      <c r="R503" s="9"/>
      <c r="S503" s="8"/>
      <c r="T503" s="8"/>
      <c r="U503" s="8"/>
      <c r="V503" s="11"/>
      <c r="W503" s="8"/>
      <c r="X503" s="8"/>
      <c r="Y503" s="9"/>
      <c r="Z503" s="8"/>
      <c r="AA503" s="8"/>
      <c r="AB503" s="8"/>
      <c r="AC503" s="11"/>
      <c r="AD503" s="8"/>
      <c r="AE503" s="9"/>
      <c r="AF503" s="8"/>
      <c r="AG503" s="9"/>
      <c r="AH503" s="8"/>
      <c r="AI503" s="8"/>
      <c r="AJ503" s="8"/>
      <c r="AK503" s="11"/>
      <c r="AL503" s="8"/>
      <c r="AM503" s="8"/>
      <c r="AN503" s="9"/>
      <c r="AO503" s="8"/>
      <c r="AP503" s="8"/>
      <c r="AQ503" s="8"/>
    </row>
    <row r="504" spans="1:43" x14ac:dyDescent="0.15">
      <c r="A504" s="8"/>
      <c r="B504" s="8"/>
      <c r="C504" s="8"/>
      <c r="D504" s="8"/>
      <c r="E504" s="9"/>
      <c r="F504" s="8"/>
      <c r="G504" s="10"/>
      <c r="H504" s="11"/>
      <c r="I504" s="8"/>
      <c r="J504" s="9"/>
      <c r="K504" s="8"/>
      <c r="L504" s="9"/>
      <c r="M504" s="8"/>
      <c r="N504" s="11"/>
      <c r="O504" s="8"/>
      <c r="P504" s="9"/>
      <c r="Q504" s="8"/>
      <c r="R504" s="9"/>
      <c r="S504" s="8"/>
      <c r="T504" s="8"/>
      <c r="U504" s="8"/>
      <c r="V504" s="11"/>
      <c r="W504" s="8"/>
      <c r="X504" s="8"/>
      <c r="Y504" s="9"/>
      <c r="Z504" s="8"/>
      <c r="AA504" s="8"/>
      <c r="AB504" s="8"/>
      <c r="AC504" s="11"/>
      <c r="AD504" s="8"/>
      <c r="AE504" s="9"/>
      <c r="AF504" s="8"/>
      <c r="AG504" s="9"/>
      <c r="AH504" s="8"/>
      <c r="AI504" s="8"/>
      <c r="AJ504" s="8"/>
      <c r="AK504" s="11"/>
      <c r="AL504" s="8"/>
      <c r="AM504" s="8"/>
      <c r="AN504" s="9"/>
      <c r="AO504" s="8"/>
      <c r="AP504" s="8"/>
      <c r="AQ504" s="8"/>
    </row>
    <row r="505" spans="1:43" x14ac:dyDescent="0.15">
      <c r="A505" s="8"/>
      <c r="B505" s="8"/>
      <c r="C505" s="8"/>
      <c r="D505" s="8"/>
      <c r="E505" s="9"/>
      <c r="F505" s="8"/>
      <c r="G505" s="10"/>
      <c r="H505" s="11"/>
      <c r="I505" s="8"/>
      <c r="J505" s="9"/>
      <c r="K505" s="8"/>
      <c r="L505" s="9"/>
      <c r="M505" s="8"/>
      <c r="N505" s="11"/>
      <c r="O505" s="8"/>
      <c r="P505" s="9"/>
      <c r="Q505" s="8"/>
      <c r="R505" s="9"/>
      <c r="S505" s="8"/>
      <c r="T505" s="8"/>
      <c r="U505" s="8"/>
      <c r="V505" s="11"/>
      <c r="W505" s="8"/>
      <c r="X505" s="8"/>
      <c r="Y505" s="9"/>
      <c r="Z505" s="8"/>
      <c r="AA505" s="8"/>
      <c r="AB505" s="8"/>
      <c r="AC505" s="11"/>
      <c r="AD505" s="8"/>
      <c r="AE505" s="9"/>
      <c r="AF505" s="8"/>
      <c r="AG505" s="9"/>
      <c r="AH505" s="8"/>
      <c r="AI505" s="8"/>
      <c r="AJ505" s="8"/>
      <c r="AK505" s="11"/>
      <c r="AL505" s="8"/>
      <c r="AM505" s="8"/>
      <c r="AN505" s="9"/>
      <c r="AO505" s="8"/>
      <c r="AP505" s="8"/>
      <c r="AQ505" s="8"/>
    </row>
    <row r="506" spans="1:43" x14ac:dyDescent="0.15">
      <c r="A506" s="8"/>
      <c r="B506" s="8"/>
      <c r="C506" s="8"/>
      <c r="D506" s="8"/>
      <c r="E506" s="9"/>
      <c r="F506" s="8"/>
      <c r="G506" s="10"/>
      <c r="H506" s="11"/>
      <c r="I506" s="8"/>
      <c r="J506" s="9"/>
      <c r="K506" s="8"/>
      <c r="L506" s="9"/>
      <c r="M506" s="8"/>
      <c r="N506" s="11"/>
      <c r="O506" s="8"/>
      <c r="P506" s="9"/>
      <c r="Q506" s="8"/>
      <c r="R506" s="9"/>
      <c r="S506" s="8"/>
      <c r="T506" s="8"/>
      <c r="U506" s="8"/>
      <c r="V506" s="11"/>
      <c r="W506" s="8"/>
      <c r="X506" s="8"/>
      <c r="Y506" s="9"/>
      <c r="Z506" s="8"/>
      <c r="AA506" s="8"/>
      <c r="AB506" s="8"/>
      <c r="AC506" s="11"/>
      <c r="AD506" s="8"/>
      <c r="AE506" s="9"/>
      <c r="AF506" s="8"/>
      <c r="AG506" s="9"/>
      <c r="AH506" s="8"/>
      <c r="AI506" s="8"/>
      <c r="AJ506" s="8"/>
      <c r="AK506" s="11"/>
      <c r="AL506" s="8"/>
      <c r="AM506" s="8"/>
      <c r="AN506" s="9"/>
      <c r="AO506" s="8"/>
      <c r="AP506" s="8"/>
      <c r="AQ506" s="8"/>
    </row>
    <row r="507" spans="1:43" x14ac:dyDescent="0.15">
      <c r="A507" s="8"/>
      <c r="B507" s="8"/>
      <c r="C507" s="8"/>
      <c r="D507" s="8"/>
      <c r="E507" s="9"/>
      <c r="F507" s="8"/>
      <c r="G507" s="10"/>
      <c r="H507" s="11"/>
      <c r="I507" s="8"/>
      <c r="J507" s="9"/>
      <c r="K507" s="8"/>
      <c r="L507" s="9"/>
      <c r="M507" s="8"/>
      <c r="N507" s="11"/>
      <c r="O507" s="8"/>
      <c r="P507" s="9"/>
      <c r="Q507" s="8"/>
      <c r="R507" s="9"/>
      <c r="S507" s="8"/>
      <c r="T507" s="8"/>
      <c r="U507" s="8"/>
      <c r="V507" s="11"/>
      <c r="W507" s="8"/>
      <c r="X507" s="8"/>
      <c r="Y507" s="9"/>
      <c r="Z507" s="8"/>
      <c r="AA507" s="8"/>
      <c r="AB507" s="8"/>
      <c r="AC507" s="11"/>
      <c r="AD507" s="8"/>
      <c r="AE507" s="9"/>
      <c r="AF507" s="8"/>
      <c r="AG507" s="9"/>
      <c r="AH507" s="8"/>
      <c r="AI507" s="8"/>
      <c r="AJ507" s="8"/>
      <c r="AK507" s="11"/>
      <c r="AL507" s="8"/>
      <c r="AM507" s="8"/>
      <c r="AN507" s="9"/>
      <c r="AO507" s="8"/>
      <c r="AP507" s="8"/>
      <c r="AQ507" s="8"/>
    </row>
    <row r="508" spans="1:43" x14ac:dyDescent="0.15">
      <c r="A508" s="8"/>
      <c r="B508" s="8"/>
      <c r="C508" s="8"/>
      <c r="D508" s="8"/>
      <c r="E508" s="9"/>
      <c r="F508" s="8"/>
      <c r="G508" s="10"/>
      <c r="H508" s="11"/>
      <c r="I508" s="8"/>
      <c r="J508" s="9"/>
      <c r="K508" s="8"/>
      <c r="L508" s="9"/>
      <c r="M508" s="8"/>
      <c r="N508" s="11"/>
      <c r="O508" s="8"/>
      <c r="P508" s="9"/>
      <c r="Q508" s="8"/>
      <c r="R508" s="9"/>
      <c r="S508" s="8"/>
      <c r="T508" s="8"/>
      <c r="U508" s="8"/>
      <c r="V508" s="11"/>
      <c r="W508" s="8"/>
      <c r="X508" s="8"/>
      <c r="Y508" s="9"/>
      <c r="Z508" s="8"/>
      <c r="AA508" s="8"/>
      <c r="AB508" s="8"/>
      <c r="AC508" s="11"/>
      <c r="AD508" s="8"/>
      <c r="AE508" s="9"/>
      <c r="AF508" s="8"/>
      <c r="AG508" s="9"/>
      <c r="AH508" s="8"/>
      <c r="AI508" s="8"/>
      <c r="AJ508" s="8"/>
      <c r="AK508" s="11"/>
      <c r="AL508" s="8"/>
      <c r="AM508" s="8"/>
      <c r="AN508" s="9"/>
      <c r="AO508" s="8"/>
      <c r="AP508" s="8"/>
      <c r="AQ508" s="8"/>
    </row>
    <row r="509" spans="1:43" x14ac:dyDescent="0.15">
      <c r="A509" s="8"/>
      <c r="B509" s="8"/>
      <c r="C509" s="8"/>
      <c r="D509" s="8"/>
      <c r="E509" s="9"/>
      <c r="F509" s="8"/>
      <c r="G509" s="10"/>
      <c r="H509" s="11"/>
      <c r="I509" s="8"/>
      <c r="J509" s="9"/>
      <c r="K509" s="8"/>
      <c r="L509" s="9"/>
      <c r="M509" s="8"/>
      <c r="N509" s="11"/>
      <c r="O509" s="8"/>
      <c r="P509" s="9"/>
      <c r="Q509" s="8"/>
      <c r="R509" s="9"/>
      <c r="S509" s="8"/>
      <c r="T509" s="8"/>
      <c r="U509" s="8"/>
      <c r="V509" s="11"/>
      <c r="W509" s="8"/>
      <c r="X509" s="8"/>
      <c r="Y509" s="9"/>
      <c r="Z509" s="8"/>
      <c r="AA509" s="8"/>
      <c r="AB509" s="8"/>
      <c r="AC509" s="11"/>
      <c r="AD509" s="8"/>
      <c r="AE509" s="9"/>
      <c r="AF509" s="8"/>
      <c r="AG509" s="9"/>
      <c r="AH509" s="8"/>
      <c r="AI509" s="8"/>
      <c r="AJ509" s="8"/>
      <c r="AK509" s="11"/>
      <c r="AL509" s="8"/>
      <c r="AM509" s="8"/>
      <c r="AN509" s="9"/>
      <c r="AO509" s="8"/>
      <c r="AP509" s="8"/>
      <c r="AQ509" s="8"/>
    </row>
    <row r="510" spans="1:43" x14ac:dyDescent="0.15">
      <c r="A510" s="8"/>
      <c r="B510" s="8"/>
      <c r="C510" s="8"/>
      <c r="D510" s="8"/>
      <c r="E510" s="9"/>
      <c r="F510" s="8"/>
      <c r="G510" s="10"/>
      <c r="H510" s="11"/>
      <c r="I510" s="8"/>
      <c r="J510" s="9"/>
      <c r="K510" s="8"/>
      <c r="L510" s="9"/>
      <c r="M510" s="8"/>
      <c r="N510" s="11"/>
      <c r="O510" s="8"/>
      <c r="P510" s="9"/>
      <c r="Q510" s="8"/>
      <c r="R510" s="9"/>
      <c r="S510" s="8"/>
      <c r="T510" s="8"/>
      <c r="U510" s="8"/>
      <c r="V510" s="11"/>
      <c r="W510" s="8"/>
      <c r="X510" s="8"/>
      <c r="Y510" s="9"/>
      <c r="Z510" s="8"/>
      <c r="AA510" s="8"/>
      <c r="AB510" s="8"/>
      <c r="AC510" s="11"/>
      <c r="AD510" s="8"/>
      <c r="AE510" s="9"/>
      <c r="AF510" s="8"/>
      <c r="AG510" s="9"/>
      <c r="AH510" s="8"/>
      <c r="AI510" s="8"/>
      <c r="AJ510" s="8"/>
      <c r="AK510" s="11"/>
      <c r="AL510" s="8"/>
      <c r="AM510" s="8"/>
      <c r="AN510" s="9"/>
      <c r="AO510" s="8"/>
      <c r="AP510" s="8"/>
      <c r="AQ510" s="8"/>
    </row>
    <row r="511" spans="1:43" x14ac:dyDescent="0.15">
      <c r="A511" s="8"/>
      <c r="B511" s="8"/>
      <c r="C511" s="8"/>
      <c r="D511" s="8"/>
      <c r="E511" s="9"/>
      <c r="F511" s="8"/>
      <c r="G511" s="10"/>
      <c r="H511" s="11"/>
      <c r="I511" s="8"/>
      <c r="J511" s="9"/>
      <c r="K511" s="8"/>
      <c r="L511" s="9"/>
      <c r="M511" s="8"/>
      <c r="N511" s="11"/>
      <c r="O511" s="8"/>
      <c r="P511" s="9"/>
      <c r="Q511" s="8"/>
      <c r="R511" s="9"/>
      <c r="S511" s="8"/>
      <c r="T511" s="8"/>
      <c r="U511" s="8"/>
      <c r="V511" s="11"/>
      <c r="W511" s="8"/>
      <c r="X511" s="8"/>
      <c r="Y511" s="9"/>
      <c r="Z511" s="8"/>
      <c r="AA511" s="8"/>
      <c r="AB511" s="8"/>
      <c r="AC511" s="11"/>
      <c r="AD511" s="8"/>
      <c r="AE511" s="9"/>
      <c r="AF511" s="8"/>
      <c r="AG511" s="9"/>
      <c r="AH511" s="8"/>
      <c r="AI511" s="8"/>
      <c r="AJ511" s="8"/>
      <c r="AK511" s="11"/>
      <c r="AL511" s="8"/>
      <c r="AM511" s="8"/>
      <c r="AN511" s="9"/>
      <c r="AO511" s="8"/>
      <c r="AP511" s="8"/>
      <c r="AQ511" s="8"/>
    </row>
    <row r="512" spans="1:43" x14ac:dyDescent="0.15">
      <c r="A512" s="8"/>
      <c r="B512" s="8"/>
      <c r="C512" s="8"/>
      <c r="D512" s="8"/>
      <c r="E512" s="9"/>
      <c r="F512" s="8"/>
      <c r="G512" s="10"/>
      <c r="H512" s="11"/>
      <c r="I512" s="8"/>
      <c r="J512" s="9"/>
      <c r="K512" s="8"/>
      <c r="L512" s="9"/>
      <c r="M512" s="8"/>
      <c r="N512" s="11"/>
      <c r="O512" s="8"/>
      <c r="P512" s="9"/>
      <c r="Q512" s="8"/>
      <c r="R512" s="9"/>
      <c r="S512" s="8"/>
      <c r="T512" s="8"/>
      <c r="U512" s="8"/>
      <c r="V512" s="11"/>
      <c r="W512" s="8"/>
      <c r="X512" s="8"/>
      <c r="Y512" s="9"/>
      <c r="Z512" s="8"/>
      <c r="AA512" s="8"/>
      <c r="AB512" s="8"/>
      <c r="AC512" s="11"/>
      <c r="AD512" s="8"/>
      <c r="AE512" s="9"/>
      <c r="AF512" s="8"/>
      <c r="AG512" s="9"/>
      <c r="AH512" s="8"/>
      <c r="AI512" s="8"/>
      <c r="AJ512" s="8"/>
      <c r="AK512" s="11"/>
      <c r="AL512" s="8"/>
      <c r="AM512" s="8"/>
      <c r="AN512" s="9"/>
      <c r="AO512" s="8"/>
      <c r="AP512" s="8"/>
      <c r="AQ512" s="8"/>
    </row>
    <row r="513" spans="1:43" x14ac:dyDescent="0.15">
      <c r="A513" s="8"/>
      <c r="B513" s="8"/>
      <c r="C513" s="8"/>
      <c r="D513" s="8"/>
      <c r="E513" s="9"/>
      <c r="F513" s="8"/>
      <c r="G513" s="10"/>
      <c r="H513" s="11"/>
      <c r="I513" s="8"/>
      <c r="J513" s="9"/>
      <c r="K513" s="8"/>
      <c r="L513" s="9"/>
      <c r="M513" s="8"/>
      <c r="N513" s="11"/>
      <c r="O513" s="8"/>
      <c r="P513" s="9"/>
      <c r="Q513" s="8"/>
      <c r="R513" s="9"/>
      <c r="S513" s="8"/>
      <c r="T513" s="8"/>
      <c r="U513" s="8"/>
      <c r="V513" s="11"/>
      <c r="W513" s="8"/>
      <c r="X513" s="8"/>
      <c r="Y513" s="9"/>
      <c r="Z513" s="8"/>
      <c r="AA513" s="8"/>
      <c r="AB513" s="8"/>
      <c r="AC513" s="11"/>
      <c r="AD513" s="8"/>
      <c r="AE513" s="9"/>
      <c r="AF513" s="8"/>
      <c r="AG513" s="9"/>
      <c r="AH513" s="8"/>
      <c r="AI513" s="8"/>
      <c r="AJ513" s="8"/>
      <c r="AK513" s="11"/>
      <c r="AL513" s="8"/>
      <c r="AM513" s="8"/>
      <c r="AN513" s="9"/>
      <c r="AO513" s="8"/>
      <c r="AP513" s="8"/>
      <c r="AQ513" s="8"/>
    </row>
    <row r="514" spans="1:43" x14ac:dyDescent="0.15">
      <c r="A514" s="8"/>
      <c r="B514" s="8"/>
      <c r="C514" s="8"/>
      <c r="D514" s="8"/>
      <c r="E514" s="9"/>
      <c r="F514" s="8"/>
      <c r="G514" s="10"/>
      <c r="H514" s="11"/>
      <c r="I514" s="8"/>
      <c r="J514" s="9"/>
      <c r="K514" s="8"/>
      <c r="L514" s="9"/>
      <c r="M514" s="8"/>
      <c r="N514" s="11"/>
      <c r="O514" s="8"/>
      <c r="P514" s="9"/>
      <c r="Q514" s="8"/>
      <c r="R514" s="9"/>
      <c r="S514" s="8"/>
      <c r="T514" s="8"/>
      <c r="U514" s="8"/>
      <c r="V514" s="11"/>
      <c r="W514" s="8"/>
      <c r="X514" s="8"/>
      <c r="Y514" s="9"/>
      <c r="Z514" s="8"/>
      <c r="AA514" s="8"/>
      <c r="AB514" s="8"/>
      <c r="AC514" s="11"/>
      <c r="AD514" s="8"/>
      <c r="AE514" s="9"/>
      <c r="AF514" s="8"/>
      <c r="AG514" s="9"/>
      <c r="AH514" s="8"/>
      <c r="AI514" s="8"/>
      <c r="AJ514" s="8"/>
      <c r="AK514" s="11"/>
      <c r="AL514" s="8"/>
      <c r="AM514" s="8"/>
      <c r="AN514" s="9"/>
      <c r="AO514" s="8"/>
      <c r="AP514" s="8"/>
      <c r="AQ514" s="8"/>
    </row>
    <row r="515" spans="1:43" x14ac:dyDescent="0.15">
      <c r="A515" s="8"/>
      <c r="B515" s="8"/>
      <c r="C515" s="8"/>
      <c r="D515" s="8"/>
      <c r="E515" s="9"/>
      <c r="F515" s="8"/>
      <c r="G515" s="10"/>
      <c r="H515" s="11"/>
      <c r="I515" s="8"/>
      <c r="J515" s="9"/>
      <c r="K515" s="8"/>
      <c r="L515" s="9"/>
      <c r="M515" s="8"/>
      <c r="N515" s="11"/>
      <c r="O515" s="8"/>
      <c r="P515" s="9"/>
      <c r="Q515" s="8"/>
      <c r="R515" s="9"/>
      <c r="S515" s="8"/>
      <c r="T515" s="8"/>
      <c r="U515" s="8"/>
      <c r="V515" s="11"/>
      <c r="W515" s="8"/>
      <c r="X515" s="8"/>
      <c r="Y515" s="9"/>
      <c r="Z515" s="8"/>
      <c r="AA515" s="8"/>
      <c r="AB515" s="8"/>
      <c r="AC515" s="11"/>
      <c r="AD515" s="8"/>
      <c r="AE515" s="9"/>
      <c r="AF515" s="8"/>
      <c r="AG515" s="9"/>
      <c r="AH515" s="8"/>
      <c r="AI515" s="8"/>
      <c r="AJ515" s="8"/>
      <c r="AK515" s="11"/>
      <c r="AL515" s="8"/>
      <c r="AM515" s="8"/>
      <c r="AN515" s="9"/>
      <c r="AO515" s="8"/>
      <c r="AP515" s="8"/>
      <c r="AQ515" s="8"/>
    </row>
    <row r="516" spans="1:43" x14ac:dyDescent="0.15">
      <c r="A516" s="8"/>
      <c r="B516" s="8"/>
      <c r="C516" s="8"/>
      <c r="D516" s="8"/>
      <c r="E516" s="9"/>
      <c r="F516" s="8"/>
      <c r="G516" s="10"/>
      <c r="H516" s="11"/>
      <c r="I516" s="8"/>
      <c r="J516" s="9"/>
      <c r="K516" s="8"/>
      <c r="L516" s="9"/>
      <c r="M516" s="8"/>
      <c r="N516" s="11"/>
      <c r="O516" s="8"/>
      <c r="P516" s="9"/>
      <c r="Q516" s="8"/>
      <c r="R516" s="9"/>
      <c r="S516" s="8"/>
      <c r="T516" s="8"/>
      <c r="U516" s="8"/>
      <c r="V516" s="11"/>
      <c r="W516" s="8"/>
      <c r="X516" s="8"/>
      <c r="Y516" s="9"/>
      <c r="Z516" s="8"/>
      <c r="AA516" s="8"/>
      <c r="AB516" s="8"/>
      <c r="AC516" s="11"/>
      <c r="AD516" s="8"/>
      <c r="AE516" s="9"/>
      <c r="AF516" s="8"/>
      <c r="AG516" s="9"/>
      <c r="AH516" s="8"/>
      <c r="AI516" s="8"/>
      <c r="AJ516" s="8"/>
      <c r="AK516" s="11"/>
      <c r="AL516" s="8"/>
      <c r="AM516" s="8"/>
      <c r="AN516" s="9"/>
      <c r="AO516" s="8"/>
      <c r="AP516" s="8"/>
      <c r="AQ516" s="8"/>
    </row>
    <row r="517" spans="1:43" x14ac:dyDescent="0.15">
      <c r="A517" s="8"/>
      <c r="B517" s="8"/>
      <c r="C517" s="8"/>
      <c r="D517" s="8"/>
      <c r="E517" s="9"/>
      <c r="F517" s="8"/>
      <c r="G517" s="10"/>
      <c r="H517" s="11"/>
      <c r="I517" s="8"/>
      <c r="J517" s="9"/>
      <c r="K517" s="8"/>
      <c r="L517" s="9"/>
      <c r="M517" s="8"/>
      <c r="N517" s="11"/>
      <c r="O517" s="8"/>
      <c r="P517" s="9"/>
      <c r="Q517" s="8"/>
      <c r="R517" s="9"/>
      <c r="S517" s="8"/>
      <c r="T517" s="8"/>
      <c r="U517" s="8"/>
      <c r="V517" s="11"/>
      <c r="W517" s="8"/>
      <c r="X517" s="8"/>
      <c r="Y517" s="9"/>
      <c r="Z517" s="8"/>
      <c r="AA517" s="8"/>
      <c r="AB517" s="8"/>
      <c r="AC517" s="11"/>
      <c r="AD517" s="8"/>
      <c r="AE517" s="9"/>
      <c r="AF517" s="8"/>
      <c r="AG517" s="9"/>
      <c r="AH517" s="8"/>
      <c r="AI517" s="8"/>
      <c r="AJ517" s="8"/>
      <c r="AK517" s="11"/>
      <c r="AL517" s="8"/>
      <c r="AM517" s="8"/>
      <c r="AN517" s="9"/>
      <c r="AO517" s="8"/>
      <c r="AP517" s="8"/>
      <c r="AQ517" s="8"/>
    </row>
    <row r="518" spans="1:43" x14ac:dyDescent="0.15">
      <c r="A518" s="8"/>
      <c r="B518" s="8"/>
      <c r="C518" s="8"/>
      <c r="D518" s="8"/>
      <c r="E518" s="9"/>
      <c r="F518" s="8"/>
      <c r="G518" s="10"/>
      <c r="H518" s="11"/>
      <c r="I518" s="8"/>
      <c r="J518" s="9"/>
      <c r="K518" s="8"/>
      <c r="L518" s="9"/>
      <c r="M518" s="8"/>
      <c r="N518" s="11"/>
      <c r="O518" s="8"/>
      <c r="P518" s="9"/>
      <c r="Q518" s="8"/>
      <c r="R518" s="9"/>
      <c r="S518" s="8"/>
      <c r="T518" s="8"/>
      <c r="U518" s="8"/>
      <c r="V518" s="11"/>
      <c r="W518" s="8"/>
      <c r="X518" s="8"/>
      <c r="Y518" s="9"/>
      <c r="Z518" s="8"/>
      <c r="AA518" s="8"/>
      <c r="AB518" s="8"/>
      <c r="AC518" s="11"/>
      <c r="AD518" s="8"/>
      <c r="AE518" s="9"/>
      <c r="AF518" s="8"/>
      <c r="AG518" s="9"/>
      <c r="AH518" s="8"/>
      <c r="AI518" s="8"/>
      <c r="AJ518" s="8"/>
      <c r="AK518" s="11"/>
      <c r="AL518" s="8"/>
      <c r="AM518" s="8"/>
      <c r="AN518" s="9"/>
      <c r="AO518" s="8"/>
      <c r="AP518" s="8"/>
      <c r="AQ518" s="8"/>
    </row>
    <row r="519" spans="1:43" x14ac:dyDescent="0.15">
      <c r="A519" s="8"/>
      <c r="B519" s="8"/>
      <c r="C519" s="8"/>
      <c r="D519" s="8"/>
      <c r="E519" s="8"/>
      <c r="F519" s="8"/>
      <c r="G519" s="10"/>
      <c r="H519" s="11"/>
      <c r="I519" s="8"/>
      <c r="J519" s="9"/>
      <c r="K519" s="8"/>
      <c r="L519" s="9"/>
      <c r="M519" s="8"/>
      <c r="N519" s="11"/>
      <c r="O519" s="8"/>
      <c r="P519" s="9"/>
      <c r="Q519" s="8"/>
      <c r="R519" s="9"/>
      <c r="S519" s="8"/>
      <c r="T519" s="8"/>
      <c r="U519" s="8"/>
      <c r="V519" s="11"/>
      <c r="W519" s="8"/>
      <c r="X519" s="8"/>
      <c r="Y519" s="9"/>
      <c r="Z519" s="8"/>
      <c r="AA519" s="8"/>
      <c r="AB519" s="8"/>
      <c r="AC519" s="11"/>
      <c r="AD519" s="8"/>
      <c r="AE519" s="9"/>
      <c r="AF519" s="8"/>
      <c r="AG519" s="9"/>
      <c r="AH519" s="8"/>
      <c r="AI519" s="8"/>
      <c r="AJ519" s="8"/>
      <c r="AK519" s="11"/>
      <c r="AL519" s="8"/>
      <c r="AM519" s="8"/>
      <c r="AN519" s="9"/>
      <c r="AO519" s="8"/>
      <c r="AP519" s="8"/>
      <c r="AQ519" s="8"/>
    </row>
    <row r="520" spans="1:43" x14ac:dyDescent="0.15">
      <c r="A520" s="8"/>
      <c r="B520" s="8"/>
      <c r="C520" s="8"/>
      <c r="D520" s="8"/>
      <c r="E520" s="8"/>
      <c r="F520" s="8"/>
      <c r="G520" s="10"/>
      <c r="H520" s="11"/>
      <c r="I520" s="8"/>
      <c r="J520" s="9"/>
      <c r="K520" s="8"/>
      <c r="L520" s="9"/>
      <c r="M520" s="8"/>
      <c r="N520" s="11"/>
      <c r="O520" s="8"/>
      <c r="P520" s="9"/>
      <c r="Q520" s="8"/>
      <c r="R520" s="9"/>
      <c r="S520" s="8"/>
      <c r="T520" s="8"/>
      <c r="U520" s="8"/>
      <c r="V520" s="11"/>
      <c r="W520" s="8"/>
      <c r="X520" s="8"/>
      <c r="Y520" s="9"/>
      <c r="Z520" s="8"/>
      <c r="AA520" s="8"/>
      <c r="AB520" s="8"/>
      <c r="AC520" s="11"/>
      <c r="AD520" s="8"/>
      <c r="AE520" s="9"/>
      <c r="AF520" s="8"/>
      <c r="AG520" s="9"/>
      <c r="AH520" s="8"/>
      <c r="AI520" s="8"/>
      <c r="AJ520" s="8"/>
      <c r="AK520" s="11"/>
      <c r="AL520" s="8"/>
      <c r="AM520" s="8"/>
      <c r="AN520" s="9"/>
      <c r="AO520" s="8"/>
      <c r="AP520" s="8"/>
      <c r="AQ520" s="8"/>
    </row>
    <row r="521" spans="1:43" x14ac:dyDescent="0.15">
      <c r="A521" s="8"/>
      <c r="B521" s="8"/>
      <c r="C521" s="8"/>
      <c r="D521" s="8"/>
      <c r="E521" s="8"/>
      <c r="F521" s="8"/>
      <c r="G521" s="10"/>
      <c r="H521" s="11"/>
      <c r="I521" s="8"/>
      <c r="J521" s="9"/>
      <c r="K521" s="8"/>
      <c r="L521" s="9"/>
      <c r="M521" s="8"/>
      <c r="N521" s="11"/>
      <c r="O521" s="8"/>
      <c r="P521" s="9"/>
      <c r="Q521" s="8"/>
      <c r="R521" s="9"/>
      <c r="S521" s="8"/>
      <c r="T521" s="8"/>
      <c r="U521" s="8"/>
      <c r="V521" s="11"/>
      <c r="W521" s="8"/>
      <c r="X521" s="8"/>
      <c r="Y521" s="9"/>
      <c r="Z521" s="8"/>
      <c r="AA521" s="8"/>
      <c r="AB521" s="8"/>
      <c r="AC521" s="11"/>
      <c r="AD521" s="8"/>
      <c r="AE521" s="9"/>
      <c r="AF521" s="8"/>
      <c r="AG521" s="9"/>
      <c r="AH521" s="8"/>
      <c r="AI521" s="8"/>
      <c r="AJ521" s="8"/>
      <c r="AK521" s="11"/>
      <c r="AL521" s="8"/>
      <c r="AM521" s="8"/>
      <c r="AN521" s="9"/>
      <c r="AO521" s="8"/>
      <c r="AP521" s="8"/>
      <c r="AQ521" s="8"/>
    </row>
    <row r="522" spans="1:43" x14ac:dyDescent="0.15">
      <c r="A522" s="8"/>
      <c r="B522" s="8"/>
      <c r="C522" s="8"/>
      <c r="D522" s="8"/>
      <c r="E522" s="8"/>
      <c r="F522" s="8"/>
      <c r="G522" s="10"/>
      <c r="H522" s="11"/>
      <c r="I522" s="8"/>
      <c r="J522" s="9"/>
      <c r="K522" s="8"/>
      <c r="L522" s="9"/>
      <c r="M522" s="8"/>
      <c r="N522" s="11"/>
      <c r="O522" s="8"/>
      <c r="P522" s="9"/>
      <c r="Q522" s="8"/>
      <c r="R522" s="9"/>
      <c r="S522" s="8"/>
      <c r="T522" s="8"/>
      <c r="U522" s="8"/>
      <c r="V522" s="11"/>
      <c r="W522" s="8"/>
      <c r="X522" s="8"/>
      <c r="Y522" s="9"/>
      <c r="Z522" s="8"/>
      <c r="AA522" s="8"/>
      <c r="AB522" s="8"/>
      <c r="AC522" s="11"/>
      <c r="AD522" s="8"/>
      <c r="AE522" s="9"/>
      <c r="AF522" s="8"/>
      <c r="AG522" s="9"/>
      <c r="AH522" s="8"/>
      <c r="AI522" s="8"/>
      <c r="AJ522" s="8"/>
      <c r="AK522" s="11"/>
      <c r="AL522" s="8"/>
      <c r="AM522" s="8"/>
      <c r="AN522" s="9"/>
      <c r="AO522" s="8"/>
      <c r="AP522" s="8"/>
      <c r="AQ522" s="8"/>
    </row>
    <row r="523" spans="1:43" x14ac:dyDescent="0.15">
      <c r="A523" s="8"/>
      <c r="B523" s="8"/>
      <c r="C523" s="8"/>
      <c r="D523" s="8"/>
      <c r="E523" s="8"/>
      <c r="F523" s="8"/>
      <c r="G523" s="10"/>
      <c r="H523" s="11"/>
      <c r="I523" s="8"/>
      <c r="J523" s="9"/>
      <c r="K523" s="8"/>
      <c r="L523" s="9"/>
      <c r="M523" s="8"/>
      <c r="N523" s="11"/>
      <c r="O523" s="8"/>
      <c r="P523" s="9"/>
      <c r="Q523" s="8"/>
      <c r="R523" s="9"/>
      <c r="S523" s="8"/>
      <c r="T523" s="8"/>
      <c r="U523" s="8"/>
      <c r="V523" s="11"/>
      <c r="W523" s="8"/>
      <c r="X523" s="8"/>
      <c r="Y523" s="9"/>
      <c r="Z523" s="8"/>
      <c r="AA523" s="8"/>
      <c r="AB523" s="8"/>
      <c r="AC523" s="11"/>
      <c r="AD523" s="8"/>
      <c r="AE523" s="9"/>
      <c r="AF523" s="8"/>
      <c r="AG523" s="9"/>
      <c r="AH523" s="8"/>
      <c r="AI523" s="8"/>
      <c r="AJ523" s="8"/>
      <c r="AK523" s="11"/>
      <c r="AL523" s="8"/>
      <c r="AM523" s="8"/>
      <c r="AN523" s="9"/>
      <c r="AO523" s="8"/>
      <c r="AP523" s="8"/>
      <c r="AQ523" s="8"/>
    </row>
    <row r="524" spans="1:43" x14ac:dyDescent="0.15">
      <c r="A524" s="8"/>
      <c r="B524" s="8"/>
      <c r="C524" s="8"/>
      <c r="D524" s="8"/>
      <c r="E524" s="8"/>
      <c r="F524" s="8"/>
      <c r="G524" s="10"/>
      <c r="H524" s="11"/>
      <c r="I524" s="8"/>
      <c r="J524" s="9"/>
      <c r="K524" s="8"/>
      <c r="L524" s="9"/>
      <c r="M524" s="8"/>
      <c r="N524" s="11"/>
      <c r="O524" s="8"/>
      <c r="P524" s="9"/>
      <c r="Q524" s="8"/>
      <c r="R524" s="9"/>
      <c r="S524" s="8"/>
      <c r="T524" s="8"/>
      <c r="U524" s="8"/>
      <c r="V524" s="11"/>
      <c r="W524" s="8"/>
      <c r="X524" s="8"/>
      <c r="Y524" s="9"/>
      <c r="Z524" s="8"/>
      <c r="AA524" s="8"/>
      <c r="AB524" s="8"/>
      <c r="AC524" s="11"/>
      <c r="AD524" s="8"/>
      <c r="AE524" s="9"/>
      <c r="AF524" s="8"/>
      <c r="AG524" s="9"/>
      <c r="AH524" s="8"/>
      <c r="AI524" s="8"/>
      <c r="AJ524" s="8"/>
      <c r="AK524" s="11"/>
      <c r="AL524" s="8"/>
      <c r="AM524" s="8"/>
      <c r="AN524" s="9"/>
      <c r="AO524" s="8"/>
      <c r="AP524" s="8"/>
      <c r="AQ524" s="8"/>
    </row>
    <row r="525" spans="1:43" x14ac:dyDescent="0.15">
      <c r="A525" s="8"/>
      <c r="B525" s="8"/>
      <c r="C525" s="8"/>
      <c r="D525" s="8"/>
      <c r="E525" s="8"/>
      <c r="F525" s="8"/>
      <c r="G525" s="10"/>
      <c r="H525" s="11"/>
      <c r="I525" s="8"/>
      <c r="J525" s="9"/>
      <c r="K525" s="8"/>
      <c r="L525" s="9"/>
      <c r="M525" s="8"/>
      <c r="N525" s="11"/>
      <c r="O525" s="8"/>
      <c r="P525" s="9"/>
      <c r="Q525" s="8"/>
      <c r="R525" s="9"/>
      <c r="S525" s="8"/>
      <c r="T525" s="8"/>
      <c r="U525" s="8"/>
      <c r="V525" s="11"/>
      <c r="W525" s="8"/>
      <c r="X525" s="8"/>
      <c r="Y525" s="9"/>
      <c r="Z525" s="8"/>
      <c r="AA525" s="8"/>
      <c r="AB525" s="8"/>
      <c r="AC525" s="11"/>
      <c r="AD525" s="8"/>
      <c r="AE525" s="9"/>
      <c r="AF525" s="8"/>
      <c r="AG525" s="9"/>
      <c r="AH525" s="8"/>
      <c r="AI525" s="8"/>
      <c r="AJ525" s="8"/>
      <c r="AK525" s="11"/>
      <c r="AL525" s="8"/>
      <c r="AM525" s="8"/>
      <c r="AN525" s="9"/>
      <c r="AO525" s="8"/>
      <c r="AP525" s="8"/>
      <c r="AQ525" s="8"/>
    </row>
    <row r="526" spans="1:43" x14ac:dyDescent="0.15">
      <c r="A526" s="8"/>
      <c r="B526" s="8"/>
      <c r="C526" s="8"/>
      <c r="D526" s="8"/>
      <c r="E526" s="8"/>
      <c r="F526" s="8"/>
      <c r="G526" s="10"/>
      <c r="H526" s="11"/>
      <c r="I526" s="8"/>
      <c r="J526" s="9"/>
      <c r="K526" s="8"/>
      <c r="L526" s="9"/>
      <c r="M526" s="8"/>
      <c r="N526" s="11"/>
      <c r="O526" s="8"/>
      <c r="P526" s="9"/>
      <c r="Q526" s="8"/>
      <c r="R526" s="9"/>
      <c r="S526" s="8"/>
      <c r="T526" s="8"/>
      <c r="U526" s="8"/>
      <c r="V526" s="11"/>
      <c r="W526" s="8"/>
      <c r="X526" s="8"/>
      <c r="Y526" s="9"/>
      <c r="Z526" s="8"/>
      <c r="AA526" s="8"/>
      <c r="AB526" s="8"/>
      <c r="AC526" s="11"/>
      <c r="AD526" s="8"/>
      <c r="AE526" s="9"/>
      <c r="AF526" s="8"/>
      <c r="AG526" s="9"/>
      <c r="AH526" s="8"/>
      <c r="AI526" s="8"/>
      <c r="AJ526" s="8"/>
      <c r="AK526" s="11"/>
      <c r="AL526" s="8"/>
      <c r="AM526" s="8"/>
      <c r="AN526" s="9"/>
      <c r="AO526" s="8"/>
      <c r="AP526" s="8"/>
      <c r="AQ526" s="8"/>
    </row>
    <row r="527" spans="1:43" x14ac:dyDescent="0.15">
      <c r="A527" s="8"/>
      <c r="B527" s="8"/>
      <c r="C527" s="8"/>
      <c r="D527" s="8"/>
      <c r="E527" s="8"/>
      <c r="F527" s="8"/>
      <c r="G527" s="10"/>
      <c r="H527" s="11"/>
      <c r="I527" s="8"/>
      <c r="J527" s="9"/>
      <c r="K527" s="8"/>
      <c r="L527" s="9"/>
      <c r="M527" s="8"/>
      <c r="N527" s="11"/>
      <c r="O527" s="8"/>
      <c r="P527" s="9"/>
      <c r="Q527" s="8"/>
      <c r="R527" s="9"/>
      <c r="S527" s="8"/>
      <c r="T527" s="8"/>
      <c r="U527" s="8"/>
      <c r="V527" s="11"/>
      <c r="W527" s="8"/>
      <c r="X527" s="8"/>
      <c r="Y527" s="9"/>
      <c r="Z527" s="8"/>
      <c r="AA527" s="8"/>
      <c r="AB527" s="8"/>
      <c r="AC527" s="11"/>
      <c r="AD527" s="8"/>
      <c r="AE527" s="9"/>
      <c r="AF527" s="8"/>
      <c r="AG527" s="9"/>
      <c r="AH527" s="8"/>
      <c r="AI527" s="8"/>
      <c r="AJ527" s="8"/>
      <c r="AK527" s="11"/>
      <c r="AL527" s="8"/>
      <c r="AM527" s="8"/>
      <c r="AN527" s="9"/>
      <c r="AO527" s="8"/>
      <c r="AP527" s="8"/>
      <c r="AQ527" s="8"/>
    </row>
    <row r="528" spans="1:43" x14ac:dyDescent="0.15">
      <c r="A528" s="8"/>
      <c r="B528" s="8"/>
      <c r="C528" s="8"/>
      <c r="D528" s="8"/>
      <c r="E528" s="8"/>
      <c r="F528" s="8"/>
      <c r="G528" s="10"/>
      <c r="H528" s="11"/>
      <c r="I528" s="8"/>
      <c r="J528" s="9"/>
      <c r="K528" s="8"/>
      <c r="L528" s="9"/>
      <c r="M528" s="8"/>
      <c r="N528" s="11"/>
      <c r="O528" s="8"/>
      <c r="P528" s="9"/>
      <c r="Q528" s="8"/>
      <c r="R528" s="9"/>
      <c r="S528" s="8"/>
      <c r="T528" s="8"/>
      <c r="U528" s="8"/>
      <c r="V528" s="11"/>
      <c r="W528" s="8"/>
      <c r="X528" s="8"/>
      <c r="Y528" s="9"/>
      <c r="Z528" s="8"/>
      <c r="AA528" s="8"/>
      <c r="AB528" s="8"/>
      <c r="AC528" s="11"/>
      <c r="AD528" s="8"/>
      <c r="AE528" s="9"/>
      <c r="AF528" s="8"/>
      <c r="AG528" s="9"/>
      <c r="AH528" s="8"/>
      <c r="AI528" s="8"/>
      <c r="AJ528" s="8"/>
      <c r="AK528" s="11"/>
      <c r="AL528" s="8"/>
      <c r="AM528" s="8"/>
      <c r="AN528" s="9"/>
      <c r="AO528" s="8"/>
      <c r="AP528" s="8"/>
      <c r="AQ528" s="8"/>
    </row>
    <row r="529" spans="1:43" x14ac:dyDescent="0.15">
      <c r="A529" s="8"/>
      <c r="B529" s="8"/>
      <c r="C529" s="8"/>
      <c r="D529" s="8"/>
      <c r="E529" s="8"/>
      <c r="F529" s="8"/>
      <c r="G529" s="10"/>
      <c r="H529" s="11"/>
      <c r="I529" s="8"/>
      <c r="J529" s="9"/>
      <c r="K529" s="8"/>
      <c r="L529" s="9"/>
      <c r="M529" s="8"/>
      <c r="N529" s="11"/>
      <c r="O529" s="8"/>
      <c r="P529" s="9"/>
      <c r="Q529" s="8"/>
      <c r="R529" s="9"/>
      <c r="S529" s="8"/>
      <c r="T529" s="8"/>
      <c r="U529" s="8"/>
      <c r="V529" s="11"/>
      <c r="W529" s="8"/>
      <c r="X529" s="8"/>
      <c r="Y529" s="9"/>
      <c r="Z529" s="8"/>
      <c r="AA529" s="8"/>
      <c r="AB529" s="8"/>
      <c r="AC529" s="11"/>
      <c r="AD529" s="8"/>
      <c r="AE529" s="9"/>
      <c r="AF529" s="8"/>
      <c r="AG529" s="9"/>
      <c r="AH529" s="8"/>
      <c r="AI529" s="8"/>
      <c r="AJ529" s="8"/>
      <c r="AK529" s="11"/>
      <c r="AL529" s="8"/>
      <c r="AM529" s="8"/>
      <c r="AN529" s="9"/>
      <c r="AO529" s="8"/>
      <c r="AP529" s="8"/>
      <c r="AQ529" s="8"/>
    </row>
    <row r="530" spans="1:43" x14ac:dyDescent="0.15">
      <c r="A530" s="8"/>
      <c r="B530" s="8"/>
      <c r="C530" s="8"/>
      <c r="D530" s="8"/>
      <c r="E530" s="8"/>
      <c r="F530" s="8"/>
      <c r="G530" s="10"/>
      <c r="H530" s="11"/>
      <c r="I530" s="8"/>
      <c r="J530" s="9"/>
      <c r="K530" s="8"/>
      <c r="L530" s="9"/>
      <c r="M530" s="8"/>
      <c r="N530" s="11"/>
      <c r="O530" s="8"/>
      <c r="P530" s="9"/>
      <c r="Q530" s="8"/>
      <c r="R530" s="9"/>
      <c r="S530" s="8"/>
      <c r="T530" s="8"/>
      <c r="U530" s="8"/>
      <c r="V530" s="11"/>
      <c r="W530" s="8"/>
      <c r="X530" s="8"/>
      <c r="Y530" s="9"/>
      <c r="Z530" s="8"/>
      <c r="AA530" s="8"/>
      <c r="AB530" s="8"/>
      <c r="AC530" s="11"/>
      <c r="AD530" s="8"/>
      <c r="AE530" s="9"/>
      <c r="AF530" s="8"/>
      <c r="AG530" s="9"/>
      <c r="AH530" s="8"/>
      <c r="AI530" s="8"/>
      <c r="AJ530" s="8"/>
      <c r="AK530" s="11"/>
      <c r="AL530" s="8"/>
      <c r="AM530" s="8"/>
      <c r="AN530" s="9"/>
      <c r="AO530" s="8"/>
      <c r="AP530" s="8"/>
      <c r="AQ530" s="8"/>
    </row>
    <row r="531" spans="1:43" x14ac:dyDescent="0.15">
      <c r="A531" s="8"/>
      <c r="B531" s="8"/>
      <c r="C531" s="8"/>
      <c r="D531" s="8"/>
      <c r="E531" s="8"/>
      <c r="F531" s="8"/>
      <c r="G531" s="10"/>
      <c r="H531" s="11"/>
      <c r="I531" s="8"/>
      <c r="J531" s="9"/>
      <c r="K531" s="8"/>
      <c r="L531" s="9"/>
      <c r="M531" s="8"/>
      <c r="N531" s="11"/>
      <c r="O531" s="8"/>
      <c r="P531" s="9"/>
      <c r="Q531" s="8"/>
      <c r="R531" s="9"/>
      <c r="S531" s="8"/>
      <c r="T531" s="8"/>
      <c r="U531" s="8"/>
      <c r="V531" s="11"/>
      <c r="W531" s="8"/>
      <c r="X531" s="8"/>
      <c r="Y531" s="9"/>
      <c r="Z531" s="8"/>
      <c r="AA531" s="8"/>
      <c r="AB531" s="8"/>
      <c r="AC531" s="11"/>
      <c r="AD531" s="8"/>
      <c r="AE531" s="9"/>
      <c r="AF531" s="8"/>
      <c r="AG531" s="9"/>
      <c r="AH531" s="8"/>
      <c r="AI531" s="8"/>
      <c r="AJ531" s="8"/>
      <c r="AK531" s="11"/>
      <c r="AL531" s="8"/>
      <c r="AM531" s="8"/>
      <c r="AN531" s="9"/>
      <c r="AO531" s="8"/>
      <c r="AP531" s="8"/>
      <c r="AQ531" s="8"/>
    </row>
    <row r="532" spans="1:43" x14ac:dyDescent="0.15">
      <c r="A532" s="8"/>
      <c r="B532" s="8"/>
      <c r="C532" s="8"/>
      <c r="D532" s="8"/>
      <c r="E532" s="8"/>
      <c r="F532" s="8"/>
      <c r="G532" s="10"/>
      <c r="H532" s="11"/>
      <c r="I532" s="8"/>
      <c r="J532" s="9"/>
      <c r="K532" s="8"/>
      <c r="L532" s="9"/>
      <c r="M532" s="8"/>
      <c r="N532" s="11"/>
      <c r="O532" s="8"/>
      <c r="P532" s="9"/>
      <c r="Q532" s="8"/>
      <c r="R532" s="9"/>
      <c r="S532" s="8"/>
      <c r="T532" s="8"/>
      <c r="U532" s="8"/>
      <c r="V532" s="11"/>
      <c r="W532" s="8"/>
      <c r="X532" s="8"/>
      <c r="Y532" s="9"/>
      <c r="Z532" s="8"/>
      <c r="AA532" s="8"/>
      <c r="AB532" s="8"/>
      <c r="AC532" s="11"/>
      <c r="AD532" s="8"/>
      <c r="AE532" s="9"/>
      <c r="AF532" s="8"/>
      <c r="AG532" s="9"/>
      <c r="AH532" s="8"/>
      <c r="AI532" s="8"/>
      <c r="AJ532" s="8"/>
      <c r="AK532" s="11"/>
      <c r="AL532" s="8"/>
      <c r="AM532" s="8"/>
      <c r="AN532" s="9"/>
      <c r="AO532" s="8"/>
      <c r="AP532" s="8"/>
      <c r="AQ532" s="8"/>
    </row>
    <row r="533" spans="1:43" x14ac:dyDescent="0.15">
      <c r="A533" s="8"/>
      <c r="B533" s="8"/>
      <c r="C533" s="8"/>
      <c r="D533" s="8"/>
      <c r="E533" s="8"/>
      <c r="F533" s="8"/>
      <c r="G533" s="10"/>
      <c r="H533" s="11"/>
      <c r="I533" s="8"/>
      <c r="J533" s="9"/>
      <c r="K533" s="8"/>
      <c r="L533" s="9"/>
      <c r="M533" s="8"/>
      <c r="N533" s="11"/>
      <c r="O533" s="8"/>
      <c r="P533" s="9"/>
      <c r="Q533" s="8"/>
      <c r="R533" s="9"/>
      <c r="S533" s="8"/>
      <c r="T533" s="8"/>
      <c r="U533" s="8"/>
      <c r="V533" s="11"/>
      <c r="W533" s="8"/>
      <c r="X533" s="8"/>
      <c r="Y533" s="9"/>
      <c r="Z533" s="8"/>
      <c r="AA533" s="8"/>
      <c r="AB533" s="8"/>
      <c r="AC533" s="11"/>
      <c r="AD533" s="8"/>
      <c r="AE533" s="9"/>
      <c r="AF533" s="8"/>
      <c r="AG533" s="9"/>
      <c r="AH533" s="8"/>
      <c r="AI533" s="8"/>
      <c r="AJ533" s="8"/>
      <c r="AK533" s="11"/>
      <c r="AL533" s="8"/>
      <c r="AM533" s="8"/>
      <c r="AN533" s="9"/>
      <c r="AO533" s="8"/>
      <c r="AP533" s="8"/>
      <c r="AQ533" s="8"/>
    </row>
    <row r="534" spans="1:43" x14ac:dyDescent="0.15">
      <c r="A534" s="8"/>
      <c r="B534" s="8"/>
      <c r="C534" s="8"/>
      <c r="D534" s="8"/>
      <c r="E534" s="8"/>
      <c r="F534" s="8"/>
      <c r="G534" s="10"/>
      <c r="H534" s="11"/>
      <c r="I534" s="8"/>
      <c r="J534" s="9"/>
      <c r="K534" s="8"/>
      <c r="L534" s="9"/>
      <c r="M534" s="8"/>
      <c r="N534" s="11"/>
      <c r="O534" s="8"/>
      <c r="P534" s="9"/>
      <c r="Q534" s="8"/>
      <c r="R534" s="9"/>
      <c r="S534" s="8"/>
      <c r="T534" s="8"/>
      <c r="U534" s="8"/>
      <c r="V534" s="11"/>
      <c r="W534" s="8"/>
      <c r="X534" s="8"/>
      <c r="Y534" s="9"/>
      <c r="Z534" s="8"/>
      <c r="AA534" s="8"/>
      <c r="AB534" s="8"/>
      <c r="AC534" s="11"/>
      <c r="AD534" s="8"/>
      <c r="AE534" s="9"/>
      <c r="AF534" s="8"/>
      <c r="AG534" s="9"/>
      <c r="AH534" s="8"/>
      <c r="AI534" s="8"/>
      <c r="AJ534" s="8"/>
      <c r="AK534" s="11"/>
      <c r="AL534" s="8"/>
      <c r="AM534" s="8"/>
      <c r="AN534" s="9"/>
      <c r="AO534" s="8"/>
      <c r="AP534" s="8"/>
      <c r="AQ534" s="8"/>
    </row>
    <row r="535" spans="1:43" x14ac:dyDescent="0.15">
      <c r="A535" s="8"/>
      <c r="B535" s="8"/>
      <c r="C535" s="8"/>
      <c r="D535" s="8"/>
      <c r="E535" s="8"/>
      <c r="F535" s="8"/>
      <c r="G535" s="10"/>
      <c r="H535" s="11"/>
      <c r="I535" s="8"/>
      <c r="J535" s="9"/>
      <c r="K535" s="8"/>
      <c r="L535" s="9"/>
      <c r="M535" s="8"/>
      <c r="N535" s="11"/>
      <c r="O535" s="8"/>
      <c r="P535" s="9"/>
      <c r="Q535" s="8"/>
      <c r="R535" s="9"/>
      <c r="S535" s="8"/>
      <c r="T535" s="8"/>
      <c r="U535" s="8"/>
      <c r="V535" s="11"/>
      <c r="W535" s="8"/>
      <c r="X535" s="8"/>
      <c r="Y535" s="9"/>
      <c r="Z535" s="8"/>
      <c r="AA535" s="8"/>
      <c r="AB535" s="8"/>
      <c r="AC535" s="11"/>
      <c r="AD535" s="8"/>
      <c r="AE535" s="9"/>
      <c r="AF535" s="8"/>
      <c r="AG535" s="9"/>
      <c r="AH535" s="8"/>
      <c r="AI535" s="8"/>
      <c r="AJ535" s="8"/>
      <c r="AK535" s="11"/>
      <c r="AL535" s="8"/>
      <c r="AM535" s="8"/>
      <c r="AN535" s="9"/>
      <c r="AO535" s="8"/>
      <c r="AP535" s="8"/>
      <c r="AQ535" s="8"/>
    </row>
    <row r="536" spans="1:43" x14ac:dyDescent="0.15">
      <c r="A536" s="8"/>
      <c r="B536" s="8"/>
      <c r="C536" s="8"/>
      <c r="D536" s="8"/>
      <c r="E536" s="8"/>
      <c r="F536" s="8"/>
      <c r="G536" s="10"/>
      <c r="H536" s="11"/>
      <c r="I536" s="8"/>
      <c r="J536" s="9"/>
      <c r="K536" s="8"/>
      <c r="L536" s="9"/>
      <c r="M536" s="8"/>
      <c r="N536" s="11"/>
      <c r="O536" s="8"/>
      <c r="P536" s="9"/>
      <c r="Q536" s="8"/>
      <c r="R536" s="9"/>
      <c r="S536" s="8"/>
      <c r="T536" s="8"/>
      <c r="U536" s="8"/>
      <c r="V536" s="11"/>
      <c r="W536" s="8"/>
      <c r="X536" s="8"/>
      <c r="Y536" s="9"/>
      <c r="Z536" s="8"/>
      <c r="AA536" s="8"/>
      <c r="AB536" s="8"/>
      <c r="AC536" s="11"/>
      <c r="AD536" s="8"/>
      <c r="AE536" s="9"/>
      <c r="AF536" s="8"/>
      <c r="AG536" s="9"/>
      <c r="AH536" s="8"/>
      <c r="AI536" s="8"/>
      <c r="AJ536" s="8"/>
      <c r="AK536" s="11"/>
      <c r="AL536" s="8"/>
      <c r="AM536" s="8"/>
      <c r="AN536" s="9"/>
      <c r="AO536" s="8"/>
      <c r="AP536" s="8"/>
      <c r="AQ536" s="8"/>
    </row>
    <row r="537" spans="1:43" x14ac:dyDescent="0.15">
      <c r="A537" s="8"/>
      <c r="B537" s="8"/>
      <c r="C537" s="8"/>
      <c r="D537" s="8"/>
      <c r="E537" s="8"/>
      <c r="F537" s="8"/>
      <c r="G537" s="10"/>
      <c r="H537" s="11"/>
      <c r="I537" s="8"/>
      <c r="J537" s="9"/>
      <c r="K537" s="8"/>
      <c r="L537" s="9"/>
      <c r="M537" s="8"/>
      <c r="N537" s="11"/>
      <c r="O537" s="8"/>
      <c r="P537" s="9"/>
      <c r="Q537" s="8"/>
      <c r="R537" s="9"/>
      <c r="S537" s="8"/>
      <c r="T537" s="8"/>
      <c r="U537" s="8"/>
      <c r="V537" s="11"/>
      <c r="W537" s="8"/>
      <c r="X537" s="8"/>
      <c r="Y537" s="9"/>
      <c r="Z537" s="8"/>
      <c r="AA537" s="8"/>
      <c r="AB537" s="8"/>
      <c r="AC537" s="11"/>
      <c r="AD537" s="8"/>
      <c r="AE537" s="9"/>
      <c r="AF537" s="8"/>
      <c r="AG537" s="9"/>
      <c r="AH537" s="8"/>
      <c r="AI537" s="8"/>
      <c r="AJ537" s="8"/>
      <c r="AK537" s="11"/>
      <c r="AL537" s="8"/>
      <c r="AM537" s="8"/>
      <c r="AN537" s="9"/>
      <c r="AO537" s="8"/>
      <c r="AP537" s="8"/>
      <c r="AQ537" s="8"/>
    </row>
    <row r="538" spans="1:43" x14ac:dyDescent="0.15">
      <c r="A538" s="8"/>
      <c r="B538" s="8"/>
      <c r="C538" s="8"/>
      <c r="D538" s="8"/>
      <c r="E538" s="8"/>
      <c r="F538" s="8"/>
      <c r="G538" s="10"/>
      <c r="H538" s="11"/>
      <c r="I538" s="8"/>
      <c r="J538" s="9"/>
      <c r="K538" s="8"/>
      <c r="L538" s="9"/>
      <c r="M538" s="8"/>
      <c r="N538" s="11"/>
      <c r="O538" s="8"/>
      <c r="P538" s="9"/>
      <c r="Q538" s="8"/>
      <c r="R538" s="9"/>
      <c r="S538" s="8"/>
      <c r="T538" s="8"/>
      <c r="U538" s="8"/>
      <c r="V538" s="11"/>
      <c r="W538" s="8"/>
      <c r="X538" s="8"/>
      <c r="Y538" s="9"/>
      <c r="Z538" s="8"/>
      <c r="AA538" s="8"/>
      <c r="AB538" s="8"/>
      <c r="AC538" s="11"/>
      <c r="AD538" s="8"/>
      <c r="AE538" s="9"/>
      <c r="AF538" s="8"/>
      <c r="AG538" s="9"/>
      <c r="AH538" s="8"/>
      <c r="AI538" s="8"/>
      <c r="AJ538" s="8"/>
      <c r="AK538" s="11"/>
      <c r="AL538" s="8"/>
      <c r="AM538" s="8"/>
      <c r="AN538" s="9"/>
      <c r="AO538" s="8"/>
      <c r="AP538" s="8"/>
      <c r="AQ538" s="8"/>
    </row>
    <row r="539" spans="1:43" x14ac:dyDescent="0.15">
      <c r="A539" s="8"/>
      <c r="B539" s="8"/>
      <c r="C539" s="8"/>
      <c r="D539" s="8"/>
      <c r="E539" s="8"/>
      <c r="F539" s="8"/>
      <c r="G539" s="10"/>
      <c r="H539" s="11"/>
      <c r="I539" s="8"/>
      <c r="J539" s="9"/>
      <c r="K539" s="8"/>
      <c r="L539" s="9"/>
      <c r="M539" s="8"/>
      <c r="N539" s="11"/>
      <c r="O539" s="8"/>
      <c r="P539" s="9"/>
      <c r="Q539" s="8"/>
      <c r="R539" s="9"/>
      <c r="S539" s="8"/>
      <c r="T539" s="8"/>
      <c r="U539" s="8"/>
      <c r="V539" s="11"/>
      <c r="W539" s="8"/>
      <c r="X539" s="8"/>
      <c r="Y539" s="9"/>
      <c r="Z539" s="8"/>
      <c r="AA539" s="8"/>
      <c r="AB539" s="8"/>
      <c r="AC539" s="11"/>
      <c r="AD539" s="8"/>
      <c r="AE539" s="9"/>
      <c r="AF539" s="8"/>
      <c r="AG539" s="9"/>
      <c r="AH539" s="8"/>
      <c r="AI539" s="8"/>
      <c r="AJ539" s="8"/>
      <c r="AK539" s="11"/>
      <c r="AL539" s="8"/>
      <c r="AM539" s="8"/>
      <c r="AN539" s="9"/>
      <c r="AO539" s="8"/>
      <c r="AP539" s="8"/>
      <c r="AQ539" s="8"/>
    </row>
    <row r="540" spans="1:43" x14ac:dyDescent="0.15">
      <c r="A540" s="8"/>
      <c r="B540" s="8"/>
      <c r="C540" s="8"/>
      <c r="D540" s="8"/>
      <c r="E540" s="8"/>
      <c r="F540" s="8"/>
      <c r="G540" s="10"/>
      <c r="H540" s="11"/>
      <c r="I540" s="8"/>
      <c r="J540" s="9"/>
      <c r="K540" s="8"/>
      <c r="L540" s="9"/>
      <c r="M540" s="8"/>
      <c r="N540" s="11"/>
      <c r="O540" s="8"/>
      <c r="P540" s="9"/>
      <c r="Q540" s="8"/>
      <c r="R540" s="9"/>
      <c r="S540" s="8"/>
      <c r="T540" s="8"/>
      <c r="U540" s="8"/>
      <c r="V540" s="11"/>
      <c r="W540" s="8"/>
      <c r="X540" s="8"/>
      <c r="Y540" s="9"/>
      <c r="Z540" s="8"/>
      <c r="AA540" s="8"/>
      <c r="AB540" s="8"/>
      <c r="AC540" s="11"/>
      <c r="AD540" s="8"/>
      <c r="AE540" s="9"/>
      <c r="AF540" s="8"/>
      <c r="AG540" s="9"/>
      <c r="AH540" s="8"/>
      <c r="AI540" s="8"/>
      <c r="AJ540" s="8"/>
      <c r="AK540" s="11"/>
      <c r="AL540" s="8"/>
      <c r="AM540" s="8"/>
      <c r="AN540" s="9"/>
      <c r="AO540" s="8"/>
      <c r="AP540" s="8"/>
      <c r="AQ540" s="8"/>
    </row>
    <row r="541" spans="1:43" x14ac:dyDescent="0.15">
      <c r="A541" s="8"/>
      <c r="B541" s="8"/>
      <c r="C541" s="8"/>
      <c r="D541" s="8"/>
      <c r="E541" s="8"/>
      <c r="F541" s="8"/>
      <c r="G541" s="10"/>
      <c r="H541" s="11"/>
      <c r="I541" s="8"/>
      <c r="J541" s="9"/>
      <c r="K541" s="8"/>
      <c r="L541" s="9"/>
      <c r="M541" s="8"/>
      <c r="N541" s="11"/>
      <c r="O541" s="8"/>
      <c r="P541" s="9"/>
      <c r="Q541" s="8"/>
      <c r="R541" s="9"/>
      <c r="S541" s="8"/>
      <c r="T541" s="8"/>
      <c r="U541" s="8"/>
      <c r="V541" s="11"/>
      <c r="W541" s="8"/>
      <c r="X541" s="8"/>
      <c r="Y541" s="9"/>
      <c r="Z541" s="8"/>
      <c r="AA541" s="8"/>
      <c r="AB541" s="8"/>
      <c r="AC541" s="11"/>
      <c r="AD541" s="8"/>
      <c r="AE541" s="9"/>
      <c r="AF541" s="8"/>
      <c r="AG541" s="9"/>
      <c r="AH541" s="8"/>
      <c r="AI541" s="8"/>
      <c r="AJ541" s="8"/>
      <c r="AK541" s="11"/>
      <c r="AL541" s="8"/>
      <c r="AM541" s="8"/>
      <c r="AN541" s="9"/>
      <c r="AO541" s="8"/>
      <c r="AP541" s="8"/>
      <c r="AQ541" s="8"/>
    </row>
    <row r="542" spans="1:43" x14ac:dyDescent="0.15">
      <c r="A542" s="8"/>
      <c r="B542" s="8"/>
      <c r="C542" s="8"/>
      <c r="D542" s="8"/>
      <c r="E542" s="8"/>
      <c r="F542" s="8"/>
      <c r="G542" s="10"/>
      <c r="H542" s="11"/>
      <c r="I542" s="8"/>
      <c r="J542" s="9"/>
      <c r="K542" s="8"/>
      <c r="L542" s="9"/>
      <c r="M542" s="8"/>
      <c r="N542" s="11"/>
      <c r="O542" s="8"/>
      <c r="P542" s="9"/>
      <c r="Q542" s="8"/>
      <c r="R542" s="9"/>
      <c r="S542" s="8"/>
      <c r="T542" s="8"/>
      <c r="U542" s="8"/>
      <c r="V542" s="11"/>
      <c r="W542" s="8"/>
      <c r="X542" s="8"/>
      <c r="Y542" s="9"/>
      <c r="Z542" s="8"/>
      <c r="AA542" s="8"/>
      <c r="AB542" s="8"/>
      <c r="AC542" s="11"/>
      <c r="AD542" s="8"/>
      <c r="AE542" s="9"/>
      <c r="AF542" s="8"/>
      <c r="AG542" s="9"/>
      <c r="AH542" s="8"/>
      <c r="AI542" s="8"/>
      <c r="AJ542" s="8"/>
      <c r="AK542" s="11"/>
      <c r="AL542" s="8"/>
      <c r="AM542" s="8"/>
      <c r="AN542" s="9"/>
      <c r="AO542" s="8"/>
      <c r="AP542" s="8"/>
      <c r="AQ542" s="8"/>
    </row>
    <row r="543" spans="1:43" x14ac:dyDescent="0.15">
      <c r="A543" s="8"/>
      <c r="B543" s="8"/>
      <c r="C543" s="8"/>
      <c r="D543" s="8"/>
      <c r="E543" s="8"/>
      <c r="F543" s="8"/>
      <c r="G543" s="10"/>
      <c r="H543" s="11"/>
      <c r="I543" s="8"/>
      <c r="J543" s="9"/>
      <c r="K543" s="8"/>
      <c r="L543" s="9"/>
      <c r="M543" s="8"/>
      <c r="N543" s="11"/>
      <c r="O543" s="8"/>
      <c r="P543" s="9"/>
      <c r="Q543" s="8"/>
      <c r="R543" s="9"/>
      <c r="S543" s="8"/>
      <c r="T543" s="8"/>
      <c r="U543" s="8"/>
      <c r="V543" s="11"/>
      <c r="W543" s="8"/>
      <c r="X543" s="8"/>
      <c r="Y543" s="9"/>
      <c r="Z543" s="8"/>
      <c r="AA543" s="8"/>
      <c r="AB543" s="8"/>
      <c r="AC543" s="11"/>
      <c r="AD543" s="8"/>
      <c r="AE543" s="9"/>
      <c r="AF543" s="8"/>
      <c r="AG543" s="9"/>
      <c r="AH543" s="8"/>
      <c r="AI543" s="8"/>
      <c r="AJ543" s="8"/>
      <c r="AK543" s="11"/>
      <c r="AL543" s="8"/>
      <c r="AM543" s="8"/>
      <c r="AN543" s="9"/>
      <c r="AO543" s="8"/>
      <c r="AP543" s="8"/>
      <c r="AQ543" s="8"/>
    </row>
    <row r="544" spans="1:43" x14ac:dyDescent="0.15">
      <c r="A544" s="8"/>
      <c r="B544" s="8"/>
      <c r="C544" s="8"/>
      <c r="D544" s="8"/>
      <c r="E544" s="8"/>
      <c r="F544" s="8"/>
      <c r="G544" s="10"/>
      <c r="H544" s="11"/>
      <c r="I544" s="8"/>
      <c r="J544" s="9"/>
      <c r="K544" s="8"/>
      <c r="L544" s="9"/>
      <c r="M544" s="8"/>
      <c r="N544" s="11"/>
      <c r="O544" s="8"/>
      <c r="P544" s="9"/>
      <c r="Q544" s="8"/>
      <c r="R544" s="9"/>
      <c r="S544" s="8"/>
      <c r="T544" s="8"/>
      <c r="U544" s="8"/>
      <c r="V544" s="11"/>
      <c r="W544" s="8"/>
      <c r="X544" s="8"/>
      <c r="Y544" s="9"/>
      <c r="Z544" s="8"/>
      <c r="AA544" s="8"/>
      <c r="AB544" s="8"/>
      <c r="AC544" s="11"/>
      <c r="AD544" s="8"/>
      <c r="AE544" s="9"/>
      <c r="AF544" s="8"/>
      <c r="AG544" s="9"/>
      <c r="AH544" s="8"/>
      <c r="AI544" s="8"/>
      <c r="AJ544" s="8"/>
      <c r="AK544" s="11"/>
      <c r="AL544" s="8"/>
      <c r="AM544" s="8"/>
      <c r="AN544" s="9"/>
      <c r="AO544" s="8"/>
      <c r="AP544" s="8"/>
      <c r="AQ544" s="8"/>
    </row>
    <row r="545" spans="1:43" x14ac:dyDescent="0.15">
      <c r="A545" s="8"/>
      <c r="B545" s="8"/>
      <c r="C545" s="8"/>
      <c r="D545" s="8"/>
      <c r="E545" s="8"/>
      <c r="F545" s="8"/>
      <c r="G545" s="10"/>
      <c r="H545" s="11"/>
      <c r="I545" s="8"/>
      <c r="J545" s="9"/>
      <c r="K545" s="8"/>
      <c r="L545" s="9"/>
      <c r="M545" s="8"/>
      <c r="N545" s="11"/>
      <c r="O545" s="8"/>
      <c r="P545" s="9"/>
      <c r="Q545" s="8"/>
      <c r="R545" s="9"/>
      <c r="S545" s="8"/>
      <c r="T545" s="8"/>
      <c r="U545" s="8"/>
      <c r="V545" s="11"/>
      <c r="W545" s="8"/>
      <c r="X545" s="8"/>
      <c r="Y545" s="9"/>
      <c r="Z545" s="8"/>
      <c r="AA545" s="8"/>
      <c r="AB545" s="8"/>
      <c r="AC545" s="11"/>
      <c r="AD545" s="8"/>
      <c r="AE545" s="9"/>
      <c r="AF545" s="8"/>
      <c r="AG545" s="9"/>
      <c r="AH545" s="8"/>
      <c r="AI545" s="8"/>
      <c r="AJ545" s="8"/>
      <c r="AK545" s="11"/>
      <c r="AL545" s="8"/>
      <c r="AM545" s="8"/>
      <c r="AN545" s="9"/>
      <c r="AO545" s="8"/>
      <c r="AP545" s="8"/>
      <c r="AQ545" s="8"/>
    </row>
    <row r="546" spans="1:43" x14ac:dyDescent="0.15">
      <c r="A546" s="8"/>
      <c r="B546" s="8"/>
      <c r="C546" s="8"/>
      <c r="D546" s="8"/>
      <c r="E546" s="8"/>
      <c r="F546" s="8"/>
      <c r="G546" s="10"/>
      <c r="H546" s="11"/>
      <c r="I546" s="8"/>
      <c r="J546" s="9"/>
      <c r="K546" s="8"/>
      <c r="L546" s="9"/>
      <c r="M546" s="8"/>
      <c r="N546" s="11"/>
      <c r="O546" s="8"/>
      <c r="P546" s="9"/>
      <c r="Q546" s="8"/>
      <c r="R546" s="9"/>
      <c r="S546" s="8"/>
      <c r="T546" s="8"/>
      <c r="U546" s="8"/>
      <c r="V546" s="11"/>
      <c r="W546" s="8"/>
      <c r="X546" s="8"/>
      <c r="Y546" s="9"/>
      <c r="Z546" s="8"/>
      <c r="AA546" s="8"/>
      <c r="AB546" s="8"/>
      <c r="AC546" s="11"/>
      <c r="AD546" s="8"/>
      <c r="AE546" s="9"/>
      <c r="AF546" s="8"/>
      <c r="AG546" s="9"/>
      <c r="AH546" s="8"/>
      <c r="AI546" s="8"/>
      <c r="AJ546" s="8"/>
      <c r="AK546" s="11"/>
      <c r="AL546" s="8"/>
      <c r="AM546" s="8"/>
      <c r="AN546" s="9"/>
      <c r="AO546" s="8"/>
      <c r="AP546" s="8"/>
      <c r="AQ546" s="8"/>
    </row>
    <row r="547" spans="1:43" x14ac:dyDescent="0.15">
      <c r="A547" s="8"/>
      <c r="B547" s="8"/>
      <c r="C547" s="8"/>
      <c r="D547" s="8"/>
      <c r="E547" s="8"/>
      <c r="F547" s="8"/>
      <c r="G547" s="10"/>
      <c r="H547" s="11"/>
      <c r="I547" s="8"/>
      <c r="J547" s="9"/>
      <c r="K547" s="8"/>
      <c r="L547" s="9"/>
      <c r="M547" s="8"/>
      <c r="N547" s="11"/>
      <c r="O547" s="8"/>
      <c r="P547" s="9"/>
      <c r="Q547" s="8"/>
      <c r="R547" s="9"/>
      <c r="S547" s="8"/>
      <c r="T547" s="8"/>
      <c r="U547" s="8"/>
      <c r="V547" s="11"/>
      <c r="W547" s="8"/>
      <c r="X547" s="8"/>
      <c r="Y547" s="9"/>
      <c r="Z547" s="8"/>
      <c r="AA547" s="8"/>
      <c r="AB547" s="8"/>
      <c r="AC547" s="11"/>
      <c r="AD547" s="8"/>
      <c r="AE547" s="9"/>
      <c r="AF547" s="8"/>
      <c r="AG547" s="9"/>
      <c r="AH547" s="8"/>
      <c r="AI547" s="8"/>
      <c r="AJ547" s="8"/>
      <c r="AK547" s="11"/>
      <c r="AL547" s="8"/>
      <c r="AM547" s="8"/>
      <c r="AN547" s="9"/>
      <c r="AO547" s="8"/>
      <c r="AP547" s="8"/>
      <c r="AQ547" s="8"/>
    </row>
    <row r="548" spans="1:43" x14ac:dyDescent="0.15">
      <c r="A548" s="8"/>
      <c r="B548" s="8"/>
      <c r="C548" s="8"/>
      <c r="D548" s="8"/>
      <c r="E548" s="8"/>
      <c r="F548" s="8"/>
      <c r="G548" s="10"/>
      <c r="H548" s="11"/>
      <c r="I548" s="8"/>
      <c r="J548" s="9"/>
      <c r="K548" s="8"/>
      <c r="L548" s="9"/>
      <c r="M548" s="8"/>
      <c r="N548" s="11"/>
      <c r="O548" s="8"/>
      <c r="P548" s="9"/>
      <c r="Q548" s="8"/>
      <c r="R548" s="9"/>
      <c r="S548" s="8"/>
      <c r="T548" s="8"/>
      <c r="U548" s="8"/>
      <c r="V548" s="11"/>
      <c r="W548" s="8"/>
      <c r="X548" s="8"/>
      <c r="Y548" s="9"/>
      <c r="Z548" s="8"/>
      <c r="AA548" s="8"/>
      <c r="AB548" s="8"/>
      <c r="AC548" s="11"/>
      <c r="AD548" s="8"/>
      <c r="AE548" s="9"/>
      <c r="AF548" s="8"/>
      <c r="AG548" s="9"/>
      <c r="AH548" s="8"/>
      <c r="AI548" s="8"/>
      <c r="AJ548" s="8"/>
      <c r="AK548" s="11"/>
      <c r="AL548" s="8"/>
      <c r="AM548" s="8"/>
      <c r="AN548" s="9"/>
      <c r="AO548" s="8"/>
      <c r="AP548" s="8"/>
      <c r="AQ548" s="8"/>
    </row>
    <row r="549" spans="1:43" x14ac:dyDescent="0.15">
      <c r="A549" s="8"/>
      <c r="B549" s="8"/>
      <c r="C549" s="8"/>
      <c r="D549" s="8"/>
      <c r="E549" s="8"/>
      <c r="F549" s="8"/>
      <c r="G549" s="10"/>
      <c r="H549" s="11"/>
      <c r="I549" s="8"/>
      <c r="J549" s="9"/>
      <c r="K549" s="8"/>
      <c r="L549" s="9"/>
      <c r="M549" s="8"/>
      <c r="N549" s="11"/>
      <c r="O549" s="8"/>
      <c r="P549" s="9"/>
      <c r="Q549" s="8"/>
      <c r="R549" s="9"/>
      <c r="S549" s="8"/>
      <c r="T549" s="8"/>
      <c r="U549" s="8"/>
      <c r="V549" s="11"/>
      <c r="W549" s="8"/>
      <c r="X549" s="8"/>
      <c r="Y549" s="9"/>
      <c r="Z549" s="8"/>
      <c r="AA549" s="8"/>
      <c r="AB549" s="8"/>
      <c r="AC549" s="11"/>
      <c r="AD549" s="8"/>
      <c r="AE549" s="9"/>
      <c r="AF549" s="8"/>
      <c r="AG549" s="9"/>
      <c r="AH549" s="8"/>
      <c r="AI549" s="8"/>
      <c r="AJ549" s="8"/>
      <c r="AK549" s="11"/>
      <c r="AL549" s="8"/>
      <c r="AM549" s="8"/>
      <c r="AN549" s="9"/>
      <c r="AO549" s="8"/>
      <c r="AP549" s="8"/>
      <c r="AQ549" s="8"/>
    </row>
    <row r="550" spans="1:43" x14ac:dyDescent="0.15">
      <c r="A550" s="8"/>
      <c r="B550" s="8"/>
      <c r="C550" s="8"/>
      <c r="D550" s="8"/>
      <c r="E550" s="8"/>
      <c r="F550" s="8"/>
      <c r="G550" s="10"/>
      <c r="H550" s="11"/>
      <c r="I550" s="8"/>
      <c r="J550" s="9"/>
      <c r="K550" s="8"/>
      <c r="L550" s="9"/>
      <c r="M550" s="8"/>
      <c r="N550" s="11"/>
      <c r="O550" s="8"/>
      <c r="P550" s="9"/>
      <c r="Q550" s="8"/>
      <c r="R550" s="9"/>
      <c r="S550" s="8"/>
      <c r="T550" s="8"/>
      <c r="U550" s="8"/>
      <c r="V550" s="11"/>
      <c r="W550" s="8"/>
      <c r="X550" s="8"/>
      <c r="Y550" s="9"/>
      <c r="Z550" s="8"/>
      <c r="AA550" s="8"/>
      <c r="AB550" s="8"/>
      <c r="AC550" s="11"/>
      <c r="AD550" s="8"/>
      <c r="AE550" s="9"/>
      <c r="AF550" s="8"/>
      <c r="AG550" s="9"/>
      <c r="AH550" s="8"/>
      <c r="AI550" s="8"/>
      <c r="AJ550" s="8"/>
      <c r="AK550" s="11"/>
      <c r="AL550" s="8"/>
      <c r="AM550" s="8"/>
      <c r="AN550" s="9"/>
      <c r="AO550" s="8"/>
      <c r="AP550" s="8"/>
      <c r="AQ550" s="8"/>
    </row>
    <row r="551" spans="1:43" x14ac:dyDescent="0.15">
      <c r="A551" s="8"/>
      <c r="B551" s="8"/>
      <c r="C551" s="8"/>
      <c r="D551" s="8"/>
      <c r="E551" s="8"/>
      <c r="F551" s="8"/>
      <c r="G551" s="10"/>
      <c r="H551" s="11"/>
      <c r="I551" s="8"/>
      <c r="J551" s="9"/>
      <c r="K551" s="8"/>
      <c r="L551" s="9"/>
      <c r="M551" s="8"/>
      <c r="N551" s="11"/>
      <c r="O551" s="8"/>
      <c r="P551" s="9"/>
      <c r="Q551" s="8"/>
      <c r="R551" s="9"/>
      <c r="S551" s="8"/>
      <c r="T551" s="8"/>
      <c r="U551" s="8"/>
      <c r="V551" s="11"/>
      <c r="W551" s="8"/>
      <c r="X551" s="8"/>
      <c r="Y551" s="9"/>
      <c r="Z551" s="8"/>
      <c r="AA551" s="8"/>
      <c r="AB551" s="8"/>
      <c r="AC551" s="11"/>
      <c r="AD551" s="8"/>
      <c r="AE551" s="9"/>
      <c r="AF551" s="8"/>
      <c r="AG551" s="9"/>
      <c r="AH551" s="8"/>
      <c r="AI551" s="8"/>
      <c r="AJ551" s="8"/>
      <c r="AK551" s="11"/>
      <c r="AL551" s="8"/>
      <c r="AM551" s="8"/>
      <c r="AN551" s="9"/>
      <c r="AO551" s="8"/>
      <c r="AP551" s="8"/>
      <c r="AQ551" s="8"/>
    </row>
    <row r="552" spans="1:43" x14ac:dyDescent="0.15">
      <c r="A552" s="8"/>
      <c r="B552" s="8"/>
      <c r="C552" s="8"/>
      <c r="D552" s="8"/>
      <c r="E552" s="8"/>
      <c r="F552" s="8"/>
      <c r="G552" s="10"/>
      <c r="H552" s="11"/>
      <c r="I552" s="8"/>
      <c r="J552" s="9"/>
      <c r="K552" s="8"/>
      <c r="L552" s="9"/>
      <c r="M552" s="8"/>
      <c r="N552" s="11"/>
      <c r="O552" s="8"/>
      <c r="P552" s="9"/>
      <c r="Q552" s="8"/>
      <c r="R552" s="9"/>
      <c r="S552" s="8"/>
      <c r="T552" s="8"/>
      <c r="U552" s="8"/>
      <c r="V552" s="11"/>
      <c r="W552" s="8"/>
      <c r="X552" s="8"/>
      <c r="Y552" s="9"/>
      <c r="Z552" s="8"/>
      <c r="AA552" s="8"/>
      <c r="AB552" s="8"/>
      <c r="AC552" s="11"/>
      <c r="AD552" s="8"/>
      <c r="AE552" s="9"/>
      <c r="AF552" s="8"/>
      <c r="AG552" s="9"/>
      <c r="AH552" s="8"/>
      <c r="AI552" s="8"/>
      <c r="AJ552" s="8"/>
      <c r="AK552" s="11"/>
      <c r="AL552" s="8"/>
      <c r="AM552" s="8"/>
      <c r="AN552" s="9"/>
      <c r="AO552" s="8"/>
      <c r="AP552" s="8"/>
      <c r="AQ552" s="8"/>
    </row>
    <row r="553" spans="1:43" x14ac:dyDescent="0.15">
      <c r="A553" s="8"/>
      <c r="B553" s="8"/>
      <c r="C553" s="8"/>
      <c r="D553" s="8"/>
      <c r="E553" s="8"/>
      <c r="F553" s="8"/>
      <c r="G553" s="10"/>
      <c r="H553" s="11"/>
      <c r="I553" s="8"/>
      <c r="J553" s="9"/>
      <c r="K553" s="8"/>
      <c r="L553" s="9"/>
      <c r="M553" s="8"/>
      <c r="N553" s="11"/>
      <c r="O553" s="8"/>
      <c r="P553" s="9"/>
      <c r="Q553" s="8"/>
      <c r="R553" s="9"/>
      <c r="S553" s="8"/>
      <c r="T553" s="8"/>
      <c r="U553" s="8"/>
      <c r="V553" s="11"/>
      <c r="W553" s="8"/>
      <c r="X553" s="8"/>
      <c r="Y553" s="9"/>
      <c r="Z553" s="8"/>
      <c r="AA553" s="8"/>
      <c r="AB553" s="8"/>
      <c r="AC553" s="11"/>
      <c r="AD553" s="8"/>
      <c r="AE553" s="9"/>
      <c r="AF553" s="8"/>
      <c r="AG553" s="9"/>
      <c r="AH553" s="8"/>
      <c r="AI553" s="8"/>
      <c r="AJ553" s="8"/>
      <c r="AK553" s="11"/>
      <c r="AL553" s="8"/>
      <c r="AM553" s="8"/>
      <c r="AN553" s="9"/>
      <c r="AO553" s="8"/>
      <c r="AP553" s="8"/>
      <c r="AQ553" s="8"/>
    </row>
    <row r="554" spans="1:43" x14ac:dyDescent="0.15">
      <c r="A554" s="8"/>
      <c r="B554" s="8"/>
      <c r="C554" s="8"/>
      <c r="D554" s="8"/>
      <c r="E554" s="8"/>
      <c r="F554" s="8"/>
      <c r="G554" s="10"/>
      <c r="H554" s="11"/>
      <c r="I554" s="8"/>
      <c r="J554" s="9"/>
      <c r="K554" s="8"/>
      <c r="L554" s="9"/>
      <c r="M554" s="8"/>
      <c r="N554" s="11"/>
      <c r="O554" s="8"/>
      <c r="P554" s="9"/>
      <c r="Q554" s="8"/>
      <c r="R554" s="9"/>
      <c r="S554" s="8"/>
      <c r="T554" s="8"/>
      <c r="U554" s="8"/>
      <c r="V554" s="11"/>
      <c r="W554" s="8"/>
      <c r="X554" s="8"/>
      <c r="Y554" s="9"/>
      <c r="Z554" s="8"/>
      <c r="AA554" s="8"/>
      <c r="AB554" s="8"/>
      <c r="AC554" s="11"/>
      <c r="AD554" s="8"/>
      <c r="AE554" s="9"/>
      <c r="AF554" s="8"/>
      <c r="AG554" s="9"/>
      <c r="AH554" s="8"/>
      <c r="AI554" s="8"/>
      <c r="AJ554" s="8"/>
      <c r="AK554" s="11"/>
      <c r="AL554" s="8"/>
      <c r="AM554" s="8"/>
      <c r="AN554" s="9"/>
      <c r="AO554" s="8"/>
      <c r="AP554" s="8"/>
      <c r="AQ554" s="8"/>
    </row>
    <row r="555" spans="1:43" x14ac:dyDescent="0.15">
      <c r="A555" s="8"/>
      <c r="B555" s="8"/>
      <c r="C555" s="8"/>
      <c r="D555" s="8"/>
      <c r="E555" s="8"/>
      <c r="F555" s="8"/>
      <c r="G555" s="10"/>
      <c r="H555" s="11"/>
      <c r="I555" s="8"/>
      <c r="J555" s="9"/>
      <c r="K555" s="8"/>
      <c r="L555" s="9"/>
      <c r="M555" s="8"/>
      <c r="N555" s="11"/>
      <c r="O555" s="8"/>
      <c r="P555" s="9"/>
      <c r="Q555" s="8"/>
      <c r="R555" s="9"/>
      <c r="S555" s="8"/>
      <c r="T555" s="8"/>
      <c r="U555" s="8"/>
      <c r="V555" s="11"/>
      <c r="W555" s="8"/>
      <c r="X555" s="8"/>
      <c r="Y555" s="9"/>
      <c r="Z555" s="8"/>
      <c r="AA555" s="8"/>
      <c r="AB555" s="8"/>
      <c r="AC555" s="11"/>
      <c r="AD555" s="8"/>
      <c r="AE555" s="9"/>
      <c r="AF555" s="8"/>
      <c r="AG555" s="9"/>
      <c r="AH555" s="8"/>
      <c r="AI555" s="8"/>
      <c r="AJ555" s="8"/>
      <c r="AK555" s="11"/>
      <c r="AL555" s="8"/>
      <c r="AM555" s="8"/>
      <c r="AN555" s="9"/>
      <c r="AO555" s="8"/>
      <c r="AP555" s="8"/>
      <c r="AQ555" s="8"/>
    </row>
    <row r="556" spans="1:43" x14ac:dyDescent="0.15">
      <c r="A556" s="8"/>
      <c r="B556" s="8"/>
      <c r="C556" s="8"/>
      <c r="D556" s="8"/>
      <c r="E556" s="8"/>
      <c r="F556" s="8"/>
      <c r="G556" s="10"/>
      <c r="H556" s="11"/>
      <c r="I556" s="8"/>
      <c r="J556" s="9"/>
      <c r="K556" s="8"/>
      <c r="L556" s="9"/>
      <c r="M556" s="8"/>
      <c r="N556" s="11"/>
      <c r="O556" s="8"/>
      <c r="P556" s="9"/>
      <c r="Q556" s="8"/>
      <c r="R556" s="9"/>
      <c r="S556" s="8"/>
      <c r="T556" s="8"/>
      <c r="U556" s="8"/>
      <c r="V556" s="11"/>
      <c r="W556" s="8"/>
      <c r="X556" s="8"/>
      <c r="Y556" s="9"/>
      <c r="Z556" s="8"/>
      <c r="AA556" s="8"/>
      <c r="AB556" s="8"/>
      <c r="AC556" s="11"/>
      <c r="AD556" s="8"/>
      <c r="AE556" s="9"/>
      <c r="AF556" s="8"/>
      <c r="AG556" s="9"/>
      <c r="AH556" s="8"/>
      <c r="AI556" s="8"/>
      <c r="AJ556" s="8"/>
      <c r="AK556" s="11"/>
      <c r="AL556" s="8"/>
      <c r="AM556" s="8"/>
      <c r="AN556" s="9"/>
      <c r="AO556" s="8"/>
      <c r="AP556" s="8"/>
      <c r="AQ556" s="8"/>
    </row>
    <row r="557" spans="1:43" x14ac:dyDescent="0.15">
      <c r="A557" s="8"/>
      <c r="B557" s="8"/>
      <c r="C557" s="8"/>
      <c r="D557" s="8"/>
      <c r="E557" s="8"/>
      <c r="F557" s="8"/>
      <c r="G557" s="10"/>
      <c r="H557" s="11"/>
      <c r="I557" s="8"/>
      <c r="J557" s="9"/>
      <c r="K557" s="8"/>
      <c r="L557" s="9"/>
      <c r="M557" s="8"/>
      <c r="N557" s="11"/>
      <c r="O557" s="8"/>
      <c r="P557" s="9"/>
      <c r="Q557" s="8"/>
      <c r="R557" s="9"/>
      <c r="S557" s="8"/>
      <c r="T557" s="8"/>
      <c r="U557" s="8"/>
      <c r="V557" s="11"/>
      <c r="W557" s="8"/>
      <c r="X557" s="8"/>
      <c r="Y557" s="9"/>
      <c r="Z557" s="8"/>
      <c r="AA557" s="8"/>
      <c r="AB557" s="8"/>
      <c r="AC557" s="11"/>
      <c r="AD557" s="8"/>
      <c r="AE557" s="9"/>
      <c r="AF557" s="8"/>
      <c r="AG557" s="9"/>
      <c r="AH557" s="8"/>
      <c r="AI557" s="8"/>
      <c r="AJ557" s="8"/>
      <c r="AK557" s="11"/>
      <c r="AL557" s="8"/>
      <c r="AM557" s="8"/>
      <c r="AN557" s="9"/>
      <c r="AO557" s="8"/>
      <c r="AP557" s="8"/>
      <c r="AQ557" s="8"/>
    </row>
    <row r="558" spans="1:43" x14ac:dyDescent="0.15">
      <c r="A558" s="8"/>
      <c r="B558" s="8"/>
      <c r="C558" s="8"/>
      <c r="D558" s="8"/>
      <c r="E558" s="8"/>
      <c r="F558" s="8"/>
      <c r="G558" s="10"/>
      <c r="H558" s="11"/>
      <c r="I558" s="8"/>
      <c r="J558" s="9"/>
      <c r="K558" s="8"/>
      <c r="L558" s="9"/>
      <c r="M558" s="8"/>
      <c r="N558" s="11"/>
      <c r="O558" s="8"/>
      <c r="P558" s="9"/>
      <c r="Q558" s="8"/>
      <c r="R558" s="9"/>
      <c r="S558" s="8"/>
      <c r="T558" s="8"/>
      <c r="U558" s="8"/>
      <c r="V558" s="11"/>
      <c r="W558" s="8"/>
      <c r="X558" s="8"/>
      <c r="Y558" s="9"/>
      <c r="Z558" s="8"/>
      <c r="AA558" s="8"/>
      <c r="AB558" s="8"/>
      <c r="AC558" s="11"/>
      <c r="AD558" s="8"/>
      <c r="AE558" s="9"/>
      <c r="AF558" s="8"/>
      <c r="AG558" s="9"/>
      <c r="AH558" s="8"/>
      <c r="AI558" s="8"/>
      <c r="AJ558" s="8"/>
      <c r="AK558" s="11"/>
      <c r="AL558" s="8"/>
      <c r="AM558" s="8"/>
      <c r="AN558" s="9"/>
      <c r="AO558" s="8"/>
      <c r="AP558" s="8"/>
      <c r="AQ558" s="8"/>
    </row>
    <row r="559" spans="1:43" x14ac:dyDescent="0.15">
      <c r="A559" s="8"/>
      <c r="B559" s="8"/>
      <c r="C559" s="8"/>
      <c r="D559" s="8"/>
      <c r="E559" s="8"/>
      <c r="F559" s="8"/>
      <c r="G559" s="10"/>
      <c r="H559" s="11"/>
      <c r="I559" s="8"/>
      <c r="J559" s="9"/>
      <c r="K559" s="8"/>
      <c r="L559" s="9"/>
      <c r="M559" s="8"/>
      <c r="N559" s="11"/>
      <c r="O559" s="8"/>
      <c r="P559" s="9"/>
      <c r="Q559" s="8"/>
      <c r="R559" s="9"/>
      <c r="S559" s="8"/>
      <c r="T559" s="8"/>
      <c r="U559" s="8"/>
      <c r="V559" s="11"/>
      <c r="W559" s="8"/>
      <c r="X559" s="8"/>
      <c r="Y559" s="9"/>
      <c r="Z559" s="8"/>
      <c r="AA559" s="8"/>
      <c r="AB559" s="8"/>
      <c r="AC559" s="11"/>
      <c r="AD559" s="8"/>
      <c r="AE559" s="9"/>
      <c r="AF559" s="8"/>
      <c r="AG559" s="9"/>
      <c r="AH559" s="8"/>
      <c r="AI559" s="8"/>
      <c r="AJ559" s="8"/>
      <c r="AK559" s="11"/>
      <c r="AL559" s="8"/>
      <c r="AM559" s="8"/>
      <c r="AN559" s="9"/>
      <c r="AO559" s="8"/>
      <c r="AP559" s="8"/>
      <c r="AQ559" s="8"/>
    </row>
    <row r="560" spans="1:43" x14ac:dyDescent="0.15">
      <c r="A560" s="8"/>
      <c r="B560" s="8"/>
      <c r="C560" s="8"/>
      <c r="D560" s="8"/>
      <c r="E560" s="8"/>
      <c r="F560" s="8"/>
      <c r="G560" s="10"/>
      <c r="H560" s="11"/>
      <c r="I560" s="8"/>
      <c r="J560" s="9"/>
      <c r="K560" s="8"/>
      <c r="L560" s="9"/>
      <c r="M560" s="8"/>
      <c r="N560" s="11"/>
      <c r="O560" s="8"/>
      <c r="P560" s="9"/>
      <c r="Q560" s="8"/>
      <c r="R560" s="9"/>
      <c r="S560" s="8"/>
      <c r="T560" s="8"/>
      <c r="U560" s="8"/>
      <c r="V560" s="11"/>
      <c r="W560" s="8"/>
      <c r="X560" s="8"/>
      <c r="Y560" s="9"/>
      <c r="Z560" s="8"/>
      <c r="AA560" s="8"/>
      <c r="AB560" s="8"/>
      <c r="AC560" s="11"/>
      <c r="AD560" s="8"/>
      <c r="AE560" s="9"/>
      <c r="AF560" s="8"/>
      <c r="AG560" s="9"/>
      <c r="AH560" s="8"/>
      <c r="AI560" s="8"/>
      <c r="AJ560" s="8"/>
      <c r="AK560" s="11"/>
      <c r="AL560" s="8"/>
      <c r="AM560" s="8"/>
      <c r="AN560" s="9"/>
      <c r="AO560" s="8"/>
      <c r="AP560" s="8"/>
      <c r="AQ560" s="8"/>
    </row>
    <row r="561" spans="1:43" x14ac:dyDescent="0.15">
      <c r="A561" s="8"/>
      <c r="B561" s="8"/>
      <c r="C561" s="8"/>
      <c r="D561" s="8"/>
      <c r="E561" s="8"/>
      <c r="F561" s="8"/>
      <c r="G561" s="10"/>
      <c r="H561" s="11"/>
      <c r="I561" s="8"/>
      <c r="J561" s="9"/>
      <c r="K561" s="8"/>
      <c r="L561" s="9"/>
      <c r="M561" s="8"/>
      <c r="N561" s="11"/>
      <c r="O561" s="8"/>
      <c r="P561" s="9"/>
      <c r="Q561" s="8"/>
      <c r="R561" s="9"/>
      <c r="S561" s="8"/>
      <c r="T561" s="8"/>
      <c r="U561" s="8"/>
      <c r="V561" s="11"/>
      <c r="W561" s="8"/>
      <c r="X561" s="8"/>
      <c r="Y561" s="9"/>
      <c r="Z561" s="8"/>
      <c r="AA561" s="8"/>
      <c r="AB561" s="8"/>
      <c r="AC561" s="11"/>
      <c r="AD561" s="8"/>
      <c r="AE561" s="9"/>
      <c r="AF561" s="8"/>
      <c r="AG561" s="9"/>
      <c r="AH561" s="8"/>
      <c r="AI561" s="8"/>
      <c r="AJ561" s="8"/>
      <c r="AK561" s="11"/>
      <c r="AL561" s="8"/>
      <c r="AM561" s="8"/>
      <c r="AN561" s="9"/>
      <c r="AO561" s="8"/>
      <c r="AP561" s="8"/>
      <c r="AQ561" s="8"/>
    </row>
    <row r="562" spans="1:43" x14ac:dyDescent="0.15">
      <c r="A562" s="8"/>
      <c r="B562" s="8"/>
      <c r="C562" s="8"/>
      <c r="D562" s="8"/>
      <c r="E562" s="8"/>
      <c r="F562" s="8"/>
      <c r="G562" s="10"/>
      <c r="H562" s="11"/>
      <c r="I562" s="8"/>
      <c r="J562" s="9"/>
      <c r="K562" s="8"/>
      <c r="L562" s="9"/>
      <c r="M562" s="8"/>
      <c r="N562" s="11"/>
      <c r="O562" s="8"/>
      <c r="P562" s="9"/>
      <c r="Q562" s="8"/>
      <c r="R562" s="9"/>
      <c r="S562" s="8"/>
      <c r="T562" s="8"/>
      <c r="U562" s="8"/>
      <c r="V562" s="11"/>
      <c r="W562" s="8"/>
      <c r="X562" s="8"/>
      <c r="Y562" s="9"/>
      <c r="Z562" s="8"/>
      <c r="AA562" s="8"/>
      <c r="AB562" s="8"/>
      <c r="AC562" s="11"/>
      <c r="AD562" s="8"/>
      <c r="AE562" s="9"/>
      <c r="AF562" s="8"/>
      <c r="AG562" s="9"/>
      <c r="AH562" s="8"/>
      <c r="AI562" s="8"/>
      <c r="AJ562" s="8"/>
      <c r="AK562" s="11"/>
      <c r="AL562" s="8"/>
      <c r="AM562" s="8"/>
      <c r="AN562" s="9"/>
      <c r="AO562" s="8"/>
      <c r="AP562" s="8"/>
      <c r="AQ562" s="8"/>
    </row>
    <row r="563" spans="1:43" x14ac:dyDescent="0.15">
      <c r="A563" s="8"/>
      <c r="B563" s="8"/>
      <c r="C563" s="8"/>
      <c r="D563" s="8"/>
      <c r="E563" s="8"/>
      <c r="F563" s="8"/>
      <c r="G563" s="10"/>
      <c r="H563" s="11"/>
      <c r="I563" s="8"/>
      <c r="J563" s="9"/>
      <c r="K563" s="8"/>
      <c r="L563" s="9"/>
      <c r="M563" s="8"/>
      <c r="N563" s="11"/>
      <c r="O563" s="8"/>
      <c r="P563" s="9"/>
      <c r="Q563" s="8"/>
      <c r="R563" s="9"/>
      <c r="S563" s="8"/>
      <c r="T563" s="8"/>
      <c r="U563" s="8"/>
      <c r="V563" s="11"/>
      <c r="W563" s="8"/>
      <c r="X563" s="8"/>
      <c r="Y563" s="9"/>
      <c r="Z563" s="8"/>
      <c r="AA563" s="8"/>
      <c r="AB563" s="8"/>
      <c r="AC563" s="11"/>
      <c r="AD563" s="8"/>
      <c r="AE563" s="9"/>
      <c r="AF563" s="8"/>
      <c r="AG563" s="9"/>
      <c r="AH563" s="8"/>
      <c r="AI563" s="8"/>
      <c r="AJ563" s="8"/>
      <c r="AK563" s="11"/>
      <c r="AL563" s="8"/>
      <c r="AM563" s="8"/>
      <c r="AN563" s="9"/>
      <c r="AO563" s="8"/>
      <c r="AP563" s="8"/>
      <c r="AQ563" s="8"/>
    </row>
    <row r="564" spans="1:43" x14ac:dyDescent="0.15">
      <c r="A564" s="8"/>
      <c r="B564" s="8"/>
      <c r="C564" s="8"/>
      <c r="D564" s="8"/>
      <c r="E564" s="8"/>
      <c r="F564" s="8"/>
      <c r="G564" s="10"/>
      <c r="H564" s="11"/>
      <c r="I564" s="8"/>
      <c r="J564" s="9"/>
      <c r="K564" s="8"/>
      <c r="L564" s="9"/>
      <c r="M564" s="8"/>
      <c r="N564" s="11"/>
      <c r="O564" s="8"/>
      <c r="P564" s="9"/>
      <c r="Q564" s="8"/>
      <c r="R564" s="9"/>
      <c r="S564" s="8"/>
      <c r="T564" s="8"/>
      <c r="U564" s="8"/>
      <c r="V564" s="11"/>
      <c r="W564" s="8"/>
      <c r="X564" s="8"/>
      <c r="Y564" s="9"/>
      <c r="Z564" s="8"/>
      <c r="AA564" s="8"/>
      <c r="AB564" s="8"/>
      <c r="AC564" s="11"/>
      <c r="AD564" s="8"/>
      <c r="AE564" s="9"/>
      <c r="AF564" s="8"/>
      <c r="AG564" s="9"/>
      <c r="AH564" s="8"/>
      <c r="AI564" s="8"/>
      <c r="AJ564" s="8"/>
      <c r="AK564" s="11"/>
      <c r="AL564" s="8"/>
      <c r="AM564" s="8"/>
      <c r="AN564" s="9"/>
      <c r="AO564" s="8"/>
      <c r="AP564" s="8"/>
      <c r="AQ564" s="8"/>
    </row>
    <row r="565" spans="1:43" x14ac:dyDescent="0.15">
      <c r="A565" s="8"/>
      <c r="B565" s="8"/>
      <c r="C565" s="8"/>
      <c r="D565" s="8"/>
      <c r="E565" s="8"/>
      <c r="F565" s="8"/>
      <c r="G565" s="10"/>
      <c r="H565" s="11"/>
      <c r="I565" s="8"/>
      <c r="J565" s="9"/>
      <c r="K565" s="8"/>
      <c r="L565" s="9"/>
      <c r="M565" s="8"/>
      <c r="N565" s="11"/>
      <c r="O565" s="8"/>
      <c r="P565" s="9"/>
      <c r="Q565" s="8"/>
      <c r="R565" s="9"/>
      <c r="S565" s="8"/>
      <c r="T565" s="8"/>
      <c r="U565" s="8"/>
      <c r="V565" s="11"/>
      <c r="W565" s="8"/>
      <c r="X565" s="8"/>
      <c r="Y565" s="9"/>
      <c r="Z565" s="8"/>
      <c r="AA565" s="8"/>
      <c r="AB565" s="8"/>
      <c r="AC565" s="11"/>
      <c r="AD565" s="8"/>
      <c r="AE565" s="9"/>
      <c r="AF565" s="8"/>
      <c r="AG565" s="9"/>
      <c r="AH565" s="8"/>
      <c r="AI565" s="8"/>
      <c r="AJ565" s="8"/>
      <c r="AK565" s="11"/>
      <c r="AL565" s="8"/>
      <c r="AM565" s="8"/>
      <c r="AN565" s="9"/>
      <c r="AO565" s="8"/>
      <c r="AP565" s="8"/>
      <c r="AQ565" s="8"/>
    </row>
    <row r="566" spans="1:43" x14ac:dyDescent="0.15">
      <c r="A566" s="8"/>
      <c r="B566" s="8"/>
      <c r="C566" s="8"/>
      <c r="D566" s="8"/>
      <c r="E566" s="8"/>
      <c r="F566" s="8"/>
      <c r="G566" s="10"/>
      <c r="H566" s="11"/>
      <c r="I566" s="8"/>
      <c r="J566" s="9"/>
      <c r="K566" s="8"/>
      <c r="L566" s="9"/>
      <c r="M566" s="8"/>
      <c r="N566" s="11"/>
      <c r="O566" s="8"/>
      <c r="P566" s="9"/>
      <c r="Q566" s="8"/>
      <c r="R566" s="9"/>
      <c r="S566" s="8"/>
      <c r="T566" s="8"/>
      <c r="U566" s="8"/>
      <c r="V566" s="11"/>
      <c r="W566" s="8"/>
      <c r="X566" s="8"/>
      <c r="Y566" s="9"/>
      <c r="Z566" s="8"/>
      <c r="AA566" s="8"/>
      <c r="AB566" s="8"/>
      <c r="AC566" s="11"/>
      <c r="AD566" s="8"/>
      <c r="AE566" s="9"/>
      <c r="AF566" s="8"/>
      <c r="AG566" s="9"/>
      <c r="AH566" s="8"/>
      <c r="AI566" s="8"/>
      <c r="AJ566" s="8"/>
      <c r="AK566" s="11"/>
      <c r="AL566" s="8"/>
      <c r="AM566" s="8"/>
      <c r="AN566" s="9"/>
      <c r="AO566" s="8"/>
      <c r="AP566" s="8"/>
      <c r="AQ566" s="8"/>
    </row>
    <row r="567" spans="1:43" x14ac:dyDescent="0.15">
      <c r="A567" s="8"/>
      <c r="B567" s="8"/>
      <c r="C567" s="8"/>
      <c r="D567" s="8"/>
      <c r="E567" s="8"/>
      <c r="F567" s="8"/>
      <c r="G567" s="10"/>
      <c r="H567" s="11"/>
      <c r="I567" s="8"/>
      <c r="J567" s="9"/>
      <c r="K567" s="8"/>
      <c r="L567" s="9"/>
      <c r="M567" s="8"/>
      <c r="N567" s="11"/>
      <c r="O567" s="8"/>
      <c r="P567" s="9"/>
      <c r="Q567" s="8"/>
      <c r="R567" s="9"/>
      <c r="S567" s="8"/>
      <c r="T567" s="8"/>
      <c r="U567" s="8"/>
      <c r="V567" s="11"/>
      <c r="W567" s="8"/>
      <c r="X567" s="8"/>
      <c r="Y567" s="9"/>
      <c r="Z567" s="8"/>
      <c r="AA567" s="8"/>
      <c r="AB567" s="8"/>
      <c r="AC567" s="11"/>
      <c r="AD567" s="8"/>
      <c r="AE567" s="9"/>
      <c r="AF567" s="8"/>
      <c r="AG567" s="9"/>
      <c r="AH567" s="8"/>
      <c r="AI567" s="8"/>
      <c r="AJ567" s="8"/>
      <c r="AK567" s="11"/>
      <c r="AL567" s="8"/>
      <c r="AM567" s="8"/>
      <c r="AN567" s="9"/>
      <c r="AO567" s="8"/>
      <c r="AP567" s="8"/>
      <c r="AQ567" s="8"/>
    </row>
    <row r="568" spans="1:43" x14ac:dyDescent="0.15">
      <c r="A568" s="8"/>
      <c r="B568" s="8"/>
      <c r="C568" s="8"/>
      <c r="D568" s="8"/>
      <c r="E568" s="8"/>
      <c r="F568" s="8"/>
      <c r="G568" s="10"/>
      <c r="H568" s="11"/>
      <c r="I568" s="8"/>
      <c r="J568" s="9"/>
      <c r="K568" s="8"/>
      <c r="L568" s="9"/>
      <c r="M568" s="8"/>
      <c r="N568" s="11"/>
      <c r="O568" s="8"/>
      <c r="P568" s="9"/>
      <c r="Q568" s="8"/>
      <c r="R568" s="9"/>
      <c r="S568" s="8"/>
      <c r="T568" s="8"/>
      <c r="U568" s="8"/>
      <c r="V568" s="11"/>
      <c r="W568" s="8"/>
      <c r="X568" s="8"/>
      <c r="Y568" s="9"/>
      <c r="Z568" s="8"/>
      <c r="AA568" s="8"/>
      <c r="AB568" s="8"/>
      <c r="AC568" s="11"/>
      <c r="AD568" s="8"/>
      <c r="AE568" s="9"/>
      <c r="AF568" s="8"/>
      <c r="AG568" s="9"/>
      <c r="AH568" s="8"/>
      <c r="AI568" s="8"/>
      <c r="AJ568" s="8"/>
      <c r="AK568" s="11"/>
      <c r="AL568" s="8"/>
      <c r="AM568" s="8"/>
      <c r="AN568" s="9"/>
      <c r="AO568" s="8"/>
      <c r="AP568" s="8"/>
      <c r="AQ568" s="8"/>
    </row>
    <row r="569" spans="1:43" x14ac:dyDescent="0.15">
      <c r="A569" s="8"/>
      <c r="B569" s="8"/>
      <c r="C569" s="8"/>
      <c r="D569" s="8"/>
      <c r="E569" s="8"/>
      <c r="F569" s="8"/>
      <c r="G569" s="10"/>
      <c r="H569" s="11"/>
      <c r="I569" s="8"/>
      <c r="J569" s="9"/>
      <c r="K569" s="8"/>
      <c r="L569" s="9"/>
      <c r="M569" s="8"/>
      <c r="N569" s="11"/>
      <c r="O569" s="8"/>
      <c r="P569" s="9"/>
      <c r="Q569" s="8"/>
      <c r="R569" s="9"/>
      <c r="S569" s="8"/>
      <c r="T569" s="8"/>
      <c r="U569" s="8"/>
      <c r="V569" s="11"/>
      <c r="W569" s="8"/>
      <c r="X569" s="8"/>
      <c r="Y569" s="9"/>
      <c r="Z569" s="8"/>
      <c r="AA569" s="8"/>
      <c r="AB569" s="8"/>
      <c r="AC569" s="11"/>
      <c r="AD569" s="8"/>
      <c r="AE569" s="9"/>
      <c r="AF569" s="8"/>
      <c r="AG569" s="9"/>
      <c r="AH569" s="8"/>
      <c r="AI569" s="8"/>
      <c r="AJ569" s="8"/>
      <c r="AK569" s="11"/>
      <c r="AL569" s="8"/>
      <c r="AM569" s="8"/>
      <c r="AN569" s="9"/>
      <c r="AO569" s="8"/>
      <c r="AP569" s="8"/>
      <c r="AQ569" s="8"/>
    </row>
    <row r="570" spans="1:43" x14ac:dyDescent="0.15">
      <c r="A570" s="8"/>
      <c r="B570" s="8"/>
      <c r="C570" s="8"/>
      <c r="D570" s="8"/>
      <c r="E570" s="8"/>
      <c r="F570" s="8"/>
      <c r="G570" s="10"/>
      <c r="H570" s="11"/>
      <c r="I570" s="8"/>
      <c r="J570" s="9"/>
      <c r="K570" s="8"/>
      <c r="L570" s="9"/>
      <c r="M570" s="8"/>
      <c r="N570" s="11"/>
      <c r="O570" s="8"/>
      <c r="P570" s="9"/>
      <c r="Q570" s="8"/>
      <c r="R570" s="9"/>
      <c r="S570" s="8"/>
      <c r="T570" s="8"/>
      <c r="U570" s="8"/>
      <c r="V570" s="11"/>
      <c r="W570" s="8"/>
      <c r="X570" s="8"/>
      <c r="Y570" s="9"/>
      <c r="Z570" s="8"/>
      <c r="AA570" s="8"/>
      <c r="AB570" s="8"/>
      <c r="AC570" s="11"/>
      <c r="AD570" s="8"/>
      <c r="AE570" s="9"/>
      <c r="AF570" s="8"/>
      <c r="AG570" s="9"/>
      <c r="AH570" s="8"/>
      <c r="AI570" s="8"/>
      <c r="AJ570" s="8"/>
      <c r="AK570" s="11"/>
      <c r="AL570" s="8"/>
      <c r="AM570" s="8"/>
      <c r="AN570" s="9"/>
      <c r="AO570" s="8"/>
      <c r="AP570" s="8"/>
      <c r="AQ570" s="8"/>
    </row>
    <row r="571" spans="1:43" x14ac:dyDescent="0.15">
      <c r="A571" s="8"/>
      <c r="B571" s="8"/>
      <c r="C571" s="8"/>
      <c r="D571" s="8"/>
      <c r="E571" s="8"/>
      <c r="F571" s="8"/>
      <c r="G571" s="10"/>
      <c r="H571" s="11"/>
      <c r="I571" s="8"/>
      <c r="J571" s="9"/>
      <c r="K571" s="8"/>
      <c r="L571" s="9"/>
      <c r="M571" s="8"/>
      <c r="N571" s="11"/>
      <c r="O571" s="8"/>
      <c r="P571" s="9"/>
      <c r="Q571" s="8"/>
      <c r="R571" s="9"/>
      <c r="S571" s="8"/>
      <c r="T571" s="8"/>
      <c r="U571" s="8"/>
      <c r="V571" s="11"/>
      <c r="W571" s="8"/>
      <c r="X571" s="8"/>
      <c r="Y571" s="9"/>
      <c r="Z571" s="8"/>
      <c r="AA571" s="8"/>
      <c r="AB571" s="8"/>
      <c r="AC571" s="11"/>
      <c r="AD571" s="8"/>
      <c r="AE571" s="9"/>
      <c r="AF571" s="8"/>
      <c r="AG571" s="9"/>
      <c r="AH571" s="8"/>
      <c r="AI571" s="8"/>
      <c r="AJ571" s="8"/>
      <c r="AK571" s="11"/>
      <c r="AL571" s="8"/>
      <c r="AM571" s="8"/>
      <c r="AN571" s="9"/>
      <c r="AO571" s="8"/>
      <c r="AP571" s="8"/>
      <c r="AQ571" s="8"/>
    </row>
    <row r="572" spans="1:43" x14ac:dyDescent="0.15">
      <c r="A572" s="8"/>
      <c r="B572" s="8"/>
      <c r="C572" s="8"/>
      <c r="D572" s="8"/>
      <c r="E572" s="8"/>
      <c r="F572" s="8"/>
      <c r="G572" s="10"/>
      <c r="H572" s="11"/>
      <c r="I572" s="8"/>
      <c r="J572" s="9"/>
      <c r="K572" s="8"/>
      <c r="L572" s="9"/>
      <c r="M572" s="8"/>
      <c r="N572" s="11"/>
      <c r="O572" s="8"/>
      <c r="P572" s="9"/>
      <c r="Q572" s="8"/>
      <c r="R572" s="9"/>
      <c r="S572" s="8"/>
      <c r="T572" s="8"/>
      <c r="U572" s="8"/>
      <c r="V572" s="11"/>
      <c r="W572" s="8"/>
      <c r="X572" s="8"/>
      <c r="Y572" s="9"/>
      <c r="Z572" s="8"/>
      <c r="AA572" s="8"/>
      <c r="AB572" s="8"/>
      <c r="AC572" s="11"/>
      <c r="AD572" s="8"/>
      <c r="AE572" s="9"/>
      <c r="AF572" s="8"/>
      <c r="AG572" s="9"/>
      <c r="AH572" s="8"/>
      <c r="AI572" s="8"/>
      <c r="AJ572" s="8"/>
      <c r="AK572" s="11"/>
      <c r="AL572" s="8"/>
      <c r="AM572" s="8"/>
      <c r="AN572" s="9"/>
      <c r="AO572" s="8"/>
      <c r="AP572" s="8"/>
      <c r="AQ572" s="8"/>
    </row>
    <row r="573" spans="1:43" x14ac:dyDescent="0.15">
      <c r="A573" s="8"/>
      <c r="B573" s="8"/>
      <c r="C573" s="8"/>
      <c r="D573" s="8"/>
      <c r="E573" s="8"/>
      <c r="F573" s="8"/>
      <c r="G573" s="10"/>
      <c r="H573" s="11"/>
      <c r="I573" s="8"/>
      <c r="J573" s="9"/>
      <c r="K573" s="8"/>
      <c r="L573" s="9"/>
      <c r="M573" s="8"/>
      <c r="N573" s="11"/>
      <c r="O573" s="8"/>
      <c r="P573" s="9"/>
      <c r="Q573" s="8"/>
      <c r="R573" s="9"/>
      <c r="S573" s="8"/>
      <c r="T573" s="8"/>
      <c r="U573" s="8"/>
      <c r="V573" s="11"/>
      <c r="W573" s="8"/>
      <c r="X573" s="8"/>
      <c r="Y573" s="9"/>
      <c r="Z573" s="8"/>
      <c r="AA573" s="8"/>
      <c r="AB573" s="8"/>
      <c r="AC573" s="11"/>
      <c r="AD573" s="8"/>
      <c r="AE573" s="9"/>
      <c r="AF573" s="8"/>
      <c r="AG573" s="9"/>
      <c r="AH573" s="8"/>
      <c r="AI573" s="8"/>
      <c r="AJ573" s="8"/>
      <c r="AK573" s="11"/>
      <c r="AL573" s="8"/>
      <c r="AM573" s="8"/>
      <c r="AN573" s="9"/>
      <c r="AO573" s="8"/>
      <c r="AP573" s="8"/>
      <c r="AQ573" s="8"/>
    </row>
    <row r="574" spans="1:43" x14ac:dyDescent="0.15">
      <c r="A574" s="8"/>
      <c r="B574" s="8"/>
      <c r="C574" s="8"/>
      <c r="D574" s="8"/>
      <c r="E574" s="8"/>
      <c r="F574" s="8"/>
      <c r="G574" s="10"/>
      <c r="H574" s="11"/>
      <c r="I574" s="8"/>
      <c r="J574" s="9"/>
      <c r="K574" s="8"/>
      <c r="L574" s="9"/>
      <c r="M574" s="8"/>
      <c r="N574" s="11"/>
      <c r="O574" s="8"/>
      <c r="P574" s="9"/>
      <c r="Q574" s="8"/>
      <c r="R574" s="9"/>
      <c r="S574" s="8"/>
      <c r="T574" s="8"/>
      <c r="U574" s="8"/>
      <c r="V574" s="11"/>
      <c r="W574" s="8"/>
      <c r="X574" s="8"/>
      <c r="Y574" s="9"/>
      <c r="Z574" s="8"/>
      <c r="AA574" s="8"/>
      <c r="AB574" s="8"/>
      <c r="AC574" s="11"/>
      <c r="AD574" s="8"/>
      <c r="AE574" s="9"/>
      <c r="AF574" s="8"/>
      <c r="AG574" s="9"/>
      <c r="AH574" s="8"/>
      <c r="AI574" s="8"/>
      <c r="AJ574" s="8"/>
      <c r="AK574" s="11"/>
      <c r="AL574" s="8"/>
      <c r="AM574" s="8"/>
      <c r="AN574" s="9"/>
      <c r="AO574" s="8"/>
      <c r="AP574" s="8"/>
      <c r="AQ574" s="8"/>
    </row>
    <row r="575" spans="1:43" x14ac:dyDescent="0.15">
      <c r="A575" s="8"/>
      <c r="B575" s="8"/>
      <c r="C575" s="8"/>
      <c r="D575" s="8"/>
      <c r="E575" s="8"/>
      <c r="F575" s="8"/>
      <c r="G575" s="10"/>
      <c r="H575" s="11"/>
      <c r="I575" s="8"/>
      <c r="J575" s="9"/>
      <c r="K575" s="8"/>
      <c r="L575" s="9"/>
      <c r="M575" s="8"/>
      <c r="N575" s="11"/>
      <c r="O575" s="8"/>
      <c r="P575" s="9"/>
      <c r="Q575" s="8"/>
      <c r="R575" s="9"/>
      <c r="S575" s="8"/>
      <c r="T575" s="8"/>
      <c r="U575" s="8"/>
      <c r="V575" s="11"/>
      <c r="W575" s="8"/>
      <c r="X575" s="8"/>
      <c r="Y575" s="9"/>
      <c r="Z575" s="8"/>
      <c r="AA575" s="8"/>
      <c r="AB575" s="8"/>
      <c r="AC575" s="11"/>
      <c r="AD575" s="8"/>
      <c r="AE575" s="9"/>
      <c r="AF575" s="8"/>
      <c r="AG575" s="9"/>
      <c r="AH575" s="8"/>
      <c r="AI575" s="8"/>
      <c r="AJ575" s="8"/>
      <c r="AK575" s="11"/>
      <c r="AL575" s="8"/>
      <c r="AM575" s="8"/>
      <c r="AN575" s="9"/>
      <c r="AO575" s="8"/>
      <c r="AP575" s="8"/>
      <c r="AQ575" s="8"/>
    </row>
    <row r="576" spans="1:43" x14ac:dyDescent="0.15">
      <c r="A576" s="8"/>
      <c r="B576" s="8"/>
      <c r="C576" s="8"/>
      <c r="D576" s="8"/>
      <c r="E576" s="8"/>
      <c r="F576" s="8"/>
      <c r="G576" s="10"/>
      <c r="H576" s="11"/>
      <c r="I576" s="8"/>
      <c r="J576" s="9"/>
      <c r="K576" s="8"/>
      <c r="L576" s="9"/>
      <c r="M576" s="8"/>
      <c r="N576" s="11"/>
      <c r="O576" s="8"/>
      <c r="P576" s="9"/>
      <c r="Q576" s="8"/>
      <c r="R576" s="9"/>
      <c r="S576" s="8"/>
      <c r="T576" s="8"/>
      <c r="U576" s="8"/>
      <c r="V576" s="11"/>
      <c r="W576" s="8"/>
      <c r="X576" s="8"/>
      <c r="Y576" s="9"/>
      <c r="Z576" s="8"/>
      <c r="AA576" s="8"/>
      <c r="AB576" s="8"/>
      <c r="AC576" s="11"/>
      <c r="AD576" s="8"/>
      <c r="AE576" s="9"/>
      <c r="AF576" s="8"/>
      <c r="AG576" s="9"/>
      <c r="AH576" s="8"/>
      <c r="AI576" s="8"/>
      <c r="AJ576" s="8"/>
      <c r="AK576" s="11"/>
      <c r="AL576" s="8"/>
      <c r="AM576" s="8"/>
      <c r="AN576" s="9"/>
      <c r="AO576" s="8"/>
      <c r="AP576" s="8"/>
      <c r="AQ576" s="8"/>
    </row>
    <row r="577" spans="1:43" x14ac:dyDescent="0.15">
      <c r="A577" s="8"/>
      <c r="B577" s="8"/>
      <c r="C577" s="8"/>
      <c r="D577" s="8"/>
      <c r="E577" s="8"/>
      <c r="F577" s="8"/>
      <c r="G577" s="10"/>
      <c r="H577" s="11"/>
      <c r="I577" s="8"/>
      <c r="J577" s="9"/>
      <c r="K577" s="8"/>
      <c r="L577" s="9"/>
      <c r="M577" s="8"/>
      <c r="N577" s="11"/>
      <c r="O577" s="8"/>
      <c r="P577" s="9"/>
      <c r="Q577" s="8"/>
      <c r="R577" s="9"/>
      <c r="S577" s="8"/>
      <c r="T577" s="8"/>
      <c r="U577" s="8"/>
      <c r="V577" s="11"/>
      <c r="W577" s="8"/>
      <c r="X577" s="8"/>
      <c r="Y577" s="9"/>
      <c r="Z577" s="8"/>
      <c r="AA577" s="8"/>
      <c r="AB577" s="8"/>
      <c r="AC577" s="11"/>
      <c r="AD577" s="8"/>
      <c r="AE577" s="9"/>
      <c r="AF577" s="8"/>
      <c r="AG577" s="9"/>
      <c r="AH577" s="8"/>
      <c r="AI577" s="8"/>
      <c r="AJ577" s="8"/>
      <c r="AK577" s="11"/>
      <c r="AL577" s="8"/>
      <c r="AM577" s="8"/>
      <c r="AN577" s="9"/>
      <c r="AO577" s="8"/>
      <c r="AP577" s="8"/>
      <c r="AQ577" s="8"/>
    </row>
    <row r="578" spans="1:43" x14ac:dyDescent="0.15">
      <c r="A578" s="8"/>
      <c r="B578" s="8"/>
      <c r="C578" s="8"/>
      <c r="D578" s="8"/>
      <c r="E578" s="8"/>
      <c r="F578" s="8"/>
      <c r="G578" s="10"/>
      <c r="H578" s="11"/>
      <c r="I578" s="8"/>
      <c r="J578" s="9"/>
      <c r="K578" s="8"/>
      <c r="L578" s="9"/>
      <c r="M578" s="8"/>
      <c r="N578" s="11"/>
      <c r="O578" s="8"/>
      <c r="P578" s="9"/>
      <c r="Q578" s="8"/>
      <c r="R578" s="9"/>
      <c r="S578" s="8"/>
      <c r="T578" s="8"/>
      <c r="U578" s="8"/>
      <c r="V578" s="11"/>
      <c r="W578" s="8"/>
      <c r="X578" s="8"/>
      <c r="Y578" s="9"/>
      <c r="Z578" s="8"/>
      <c r="AA578" s="8"/>
      <c r="AB578" s="8"/>
      <c r="AC578" s="11"/>
      <c r="AD578" s="8"/>
      <c r="AE578" s="9"/>
      <c r="AF578" s="8"/>
      <c r="AG578" s="9"/>
      <c r="AH578" s="8"/>
      <c r="AI578" s="8"/>
      <c r="AJ578" s="8"/>
      <c r="AK578" s="11"/>
      <c r="AL578" s="8"/>
      <c r="AM578" s="8"/>
      <c r="AN578" s="9"/>
      <c r="AO578" s="8"/>
      <c r="AP578" s="8"/>
      <c r="AQ578" s="8"/>
    </row>
    <row r="579" spans="1:43" outlineLevel="1" x14ac:dyDescent="0.15">
      <c r="A579" s="8"/>
      <c r="B579" s="8"/>
      <c r="C579" s="8"/>
      <c r="D579" s="8"/>
      <c r="E579" s="8"/>
      <c r="F579" s="8"/>
      <c r="G579" s="10"/>
      <c r="H579" s="11"/>
      <c r="I579" s="8"/>
      <c r="J579" s="9"/>
      <c r="K579" s="8"/>
      <c r="L579" s="9"/>
      <c r="M579" s="8"/>
      <c r="N579" s="11"/>
      <c r="O579" s="8"/>
      <c r="P579" s="9"/>
      <c r="Q579" s="8"/>
      <c r="R579" s="9"/>
      <c r="S579" s="8"/>
      <c r="T579" s="8"/>
      <c r="U579" s="8"/>
      <c r="V579" s="11"/>
      <c r="W579" s="8"/>
      <c r="X579" s="8"/>
      <c r="Y579" s="9"/>
      <c r="Z579" s="8"/>
      <c r="AA579" s="8"/>
      <c r="AB579" s="8"/>
      <c r="AC579" s="11"/>
      <c r="AD579" s="8"/>
      <c r="AE579" s="9"/>
      <c r="AF579" s="8"/>
      <c r="AG579" s="9"/>
      <c r="AH579" s="8"/>
      <c r="AI579" s="8"/>
      <c r="AJ579" s="8"/>
      <c r="AK579" s="11"/>
      <c r="AL579" s="8"/>
      <c r="AM579" s="8"/>
      <c r="AN579" s="9"/>
      <c r="AO579" s="8"/>
      <c r="AP579" s="8"/>
      <c r="AQ579" s="8"/>
    </row>
    <row r="580" spans="1:43" outlineLevel="1" x14ac:dyDescent="0.15">
      <c r="A580" s="8"/>
      <c r="B580" s="8"/>
      <c r="C580" s="8"/>
      <c r="D580" s="8"/>
      <c r="E580" s="8"/>
      <c r="F580" s="8"/>
      <c r="G580" s="10"/>
      <c r="H580" s="11"/>
      <c r="I580" s="8"/>
      <c r="J580" s="9"/>
      <c r="K580" s="8"/>
      <c r="L580" s="9"/>
      <c r="M580" s="8"/>
      <c r="N580" s="11"/>
      <c r="O580" s="8"/>
      <c r="P580" s="9"/>
      <c r="Q580" s="8"/>
      <c r="R580" s="9"/>
      <c r="S580" s="8"/>
      <c r="T580" s="8"/>
      <c r="U580" s="8"/>
      <c r="V580" s="11"/>
      <c r="W580" s="8"/>
      <c r="X580" s="8"/>
      <c r="Y580" s="9"/>
      <c r="Z580" s="8"/>
      <c r="AA580" s="8"/>
      <c r="AB580" s="8"/>
      <c r="AC580" s="11"/>
      <c r="AD580" s="8"/>
      <c r="AE580" s="9"/>
      <c r="AF580" s="8"/>
      <c r="AG580" s="9"/>
      <c r="AH580" s="8"/>
      <c r="AI580" s="8"/>
      <c r="AJ580" s="8"/>
      <c r="AK580" s="11"/>
      <c r="AL580" s="8"/>
      <c r="AM580" s="8"/>
      <c r="AN580" s="9"/>
      <c r="AO580" s="8"/>
      <c r="AP580" s="8"/>
      <c r="AQ580" s="8"/>
    </row>
    <row r="581" spans="1:43" outlineLevel="1" x14ac:dyDescent="0.15">
      <c r="A581" s="8"/>
      <c r="B581" s="8"/>
      <c r="C581" s="8"/>
      <c r="D581" s="8"/>
      <c r="E581" s="8"/>
      <c r="F581" s="8"/>
      <c r="G581" s="10"/>
      <c r="H581" s="11"/>
      <c r="I581" s="8"/>
      <c r="J581" s="9"/>
      <c r="K581" s="8"/>
      <c r="L581" s="9"/>
      <c r="M581" s="8"/>
      <c r="N581" s="11"/>
      <c r="O581" s="8"/>
      <c r="P581" s="9"/>
      <c r="Q581" s="8"/>
      <c r="R581" s="9"/>
      <c r="S581" s="8"/>
      <c r="T581" s="8"/>
      <c r="U581" s="8"/>
      <c r="V581" s="11"/>
      <c r="W581" s="8"/>
      <c r="X581" s="8"/>
      <c r="Y581" s="9"/>
      <c r="Z581" s="8"/>
      <c r="AA581" s="8"/>
      <c r="AB581" s="8"/>
      <c r="AC581" s="11"/>
      <c r="AD581" s="8"/>
      <c r="AE581" s="9"/>
      <c r="AF581" s="8"/>
      <c r="AG581" s="9"/>
      <c r="AH581" s="8"/>
      <c r="AI581" s="8"/>
      <c r="AJ581" s="8"/>
      <c r="AK581" s="11"/>
      <c r="AL581" s="8"/>
      <c r="AM581" s="8"/>
      <c r="AN581" s="9"/>
      <c r="AO581" s="8"/>
      <c r="AP581" s="8"/>
      <c r="AQ581" s="8"/>
    </row>
    <row r="582" spans="1:43" outlineLevel="1" x14ac:dyDescent="0.15">
      <c r="A582" s="8"/>
      <c r="B582" s="8"/>
      <c r="C582" s="8"/>
      <c r="D582" s="8"/>
      <c r="E582" s="8"/>
      <c r="F582" s="8"/>
      <c r="G582" s="10"/>
      <c r="H582" s="11"/>
      <c r="I582" s="8"/>
      <c r="J582" s="9"/>
      <c r="K582" s="8"/>
      <c r="L582" s="9"/>
      <c r="M582" s="8"/>
      <c r="N582" s="11"/>
      <c r="O582" s="8"/>
      <c r="P582" s="9"/>
      <c r="Q582" s="8"/>
      <c r="R582" s="9"/>
      <c r="S582" s="8"/>
      <c r="T582" s="8"/>
      <c r="U582" s="8"/>
      <c r="V582" s="11"/>
      <c r="W582" s="8"/>
      <c r="X582" s="8"/>
      <c r="Y582" s="9"/>
      <c r="Z582" s="8"/>
      <c r="AA582" s="8"/>
      <c r="AB582" s="8"/>
      <c r="AC582" s="11"/>
      <c r="AD582" s="8"/>
      <c r="AE582" s="9"/>
      <c r="AF582" s="8"/>
      <c r="AG582" s="9"/>
      <c r="AH582" s="8"/>
      <c r="AI582" s="8"/>
      <c r="AJ582" s="8"/>
      <c r="AK582" s="11"/>
      <c r="AL582" s="8"/>
      <c r="AM582" s="8"/>
      <c r="AN582" s="9"/>
      <c r="AO582" s="8"/>
      <c r="AP582" s="8"/>
      <c r="AQ582" s="8"/>
    </row>
    <row r="583" spans="1:43" outlineLevel="1" x14ac:dyDescent="0.15">
      <c r="A583" s="8"/>
      <c r="B583" s="8"/>
      <c r="C583" s="8"/>
      <c r="D583" s="8"/>
      <c r="E583" s="8"/>
      <c r="F583" s="8"/>
      <c r="G583" s="10"/>
      <c r="H583" s="11"/>
      <c r="I583" s="8"/>
      <c r="J583" s="9"/>
      <c r="K583" s="8"/>
      <c r="L583" s="9"/>
      <c r="M583" s="8"/>
      <c r="N583" s="11"/>
      <c r="O583" s="8"/>
      <c r="P583" s="9"/>
      <c r="Q583" s="8"/>
      <c r="R583" s="9"/>
      <c r="S583" s="8"/>
      <c r="T583" s="8"/>
      <c r="U583" s="8"/>
      <c r="V583" s="11"/>
      <c r="W583" s="8"/>
      <c r="X583" s="8"/>
      <c r="Y583" s="9"/>
      <c r="Z583" s="8"/>
      <c r="AA583" s="8"/>
      <c r="AB583" s="8"/>
      <c r="AC583" s="11"/>
      <c r="AD583" s="8"/>
      <c r="AE583" s="9"/>
      <c r="AF583" s="8"/>
      <c r="AG583" s="9"/>
      <c r="AH583" s="8"/>
      <c r="AI583" s="8"/>
      <c r="AJ583" s="8"/>
      <c r="AK583" s="11"/>
      <c r="AL583" s="8"/>
      <c r="AM583" s="8"/>
      <c r="AN583" s="9"/>
      <c r="AO583" s="8"/>
      <c r="AP583" s="8"/>
      <c r="AQ583" s="8"/>
    </row>
    <row r="584" spans="1:43" outlineLevel="1" x14ac:dyDescent="0.15">
      <c r="A584" s="8"/>
      <c r="B584" s="8"/>
      <c r="C584" s="8"/>
      <c r="D584" s="8"/>
      <c r="E584" s="8"/>
      <c r="F584" s="8"/>
      <c r="G584" s="10"/>
      <c r="H584" s="11"/>
      <c r="I584" s="8"/>
      <c r="J584" s="9"/>
      <c r="K584" s="8"/>
      <c r="L584" s="9"/>
      <c r="M584" s="8"/>
      <c r="N584" s="11"/>
      <c r="O584" s="8"/>
      <c r="P584" s="9"/>
      <c r="Q584" s="8"/>
      <c r="R584" s="9"/>
      <c r="S584" s="8"/>
      <c r="T584" s="8"/>
      <c r="U584" s="8"/>
      <c r="V584" s="11"/>
      <c r="W584" s="8"/>
      <c r="X584" s="8"/>
      <c r="Y584" s="9"/>
      <c r="Z584" s="8"/>
      <c r="AA584" s="8"/>
      <c r="AB584" s="8"/>
      <c r="AC584" s="11"/>
      <c r="AD584" s="8"/>
      <c r="AE584" s="9"/>
      <c r="AF584" s="8"/>
      <c r="AG584" s="9"/>
      <c r="AH584" s="8"/>
      <c r="AI584" s="8"/>
      <c r="AJ584" s="8"/>
      <c r="AK584" s="11"/>
      <c r="AL584" s="8"/>
      <c r="AM584" s="8"/>
      <c r="AN584" s="9"/>
      <c r="AO584" s="8"/>
      <c r="AP584" s="8"/>
      <c r="AQ584" s="8"/>
    </row>
    <row r="585" spans="1:43" outlineLevel="1" x14ac:dyDescent="0.15">
      <c r="A585" s="8"/>
      <c r="B585" s="8"/>
      <c r="C585" s="8"/>
      <c r="D585" s="8"/>
      <c r="E585" s="8"/>
      <c r="F585" s="8"/>
      <c r="G585" s="10"/>
      <c r="H585" s="11"/>
      <c r="I585" s="8"/>
      <c r="J585" s="9"/>
      <c r="K585" s="8"/>
      <c r="L585" s="9"/>
      <c r="M585" s="8"/>
      <c r="N585" s="11"/>
      <c r="O585" s="8"/>
      <c r="P585" s="9"/>
      <c r="Q585" s="8"/>
      <c r="R585" s="9"/>
      <c r="S585" s="8"/>
      <c r="T585" s="8"/>
      <c r="U585" s="8"/>
      <c r="V585" s="11"/>
      <c r="W585" s="8"/>
      <c r="X585" s="8"/>
      <c r="Y585" s="9"/>
      <c r="Z585" s="8"/>
      <c r="AA585" s="8"/>
      <c r="AB585" s="8"/>
      <c r="AC585" s="11"/>
      <c r="AD585" s="8"/>
      <c r="AE585" s="9"/>
      <c r="AF585" s="8"/>
      <c r="AG585" s="9"/>
      <c r="AH585" s="8"/>
      <c r="AI585" s="8"/>
      <c r="AJ585" s="8"/>
      <c r="AK585" s="11"/>
      <c r="AL585" s="8"/>
      <c r="AM585" s="8"/>
      <c r="AN585" s="9"/>
      <c r="AO585" s="8"/>
      <c r="AP585" s="8"/>
      <c r="AQ585" s="8"/>
    </row>
    <row r="586" spans="1:43" outlineLevel="1" x14ac:dyDescent="0.15">
      <c r="A586" s="8"/>
      <c r="B586" s="8"/>
      <c r="C586" s="8"/>
      <c r="D586" s="8"/>
      <c r="E586" s="8"/>
      <c r="F586" s="8"/>
      <c r="G586" s="10"/>
      <c r="H586" s="11"/>
      <c r="I586" s="8"/>
      <c r="J586" s="9"/>
      <c r="K586" s="8"/>
      <c r="L586" s="9"/>
      <c r="M586" s="8"/>
      <c r="N586" s="11"/>
      <c r="O586" s="8"/>
      <c r="P586" s="9"/>
      <c r="Q586" s="8"/>
      <c r="R586" s="9"/>
      <c r="S586" s="8"/>
      <c r="T586" s="8"/>
      <c r="U586" s="8"/>
      <c r="V586" s="11"/>
      <c r="W586" s="8"/>
      <c r="X586" s="8"/>
      <c r="Y586" s="9"/>
      <c r="Z586" s="8"/>
      <c r="AA586" s="8"/>
      <c r="AB586" s="8"/>
      <c r="AC586" s="11"/>
      <c r="AD586" s="8"/>
      <c r="AE586" s="9"/>
      <c r="AF586" s="8"/>
      <c r="AG586" s="9"/>
      <c r="AH586" s="8"/>
      <c r="AI586" s="8"/>
      <c r="AJ586" s="8"/>
      <c r="AK586" s="11"/>
      <c r="AL586" s="8"/>
      <c r="AM586" s="8"/>
      <c r="AN586" s="9"/>
      <c r="AO586" s="8"/>
      <c r="AP586" s="8"/>
      <c r="AQ586" s="8"/>
    </row>
    <row r="587" spans="1:43" outlineLevel="1" x14ac:dyDescent="0.15">
      <c r="A587" s="8"/>
      <c r="B587" s="8"/>
      <c r="C587" s="8"/>
      <c r="D587" s="8"/>
      <c r="E587" s="8"/>
      <c r="F587" s="8"/>
      <c r="G587" s="10"/>
      <c r="H587" s="11"/>
      <c r="I587" s="8"/>
      <c r="J587" s="9"/>
      <c r="K587" s="8"/>
      <c r="L587" s="9"/>
      <c r="M587" s="8"/>
      <c r="N587" s="11"/>
      <c r="O587" s="8"/>
      <c r="P587" s="9"/>
      <c r="Q587" s="8"/>
      <c r="R587" s="9"/>
      <c r="S587" s="8"/>
      <c r="T587" s="8"/>
      <c r="U587" s="8"/>
      <c r="V587" s="11"/>
      <c r="W587" s="8"/>
      <c r="X587" s="8"/>
      <c r="Y587" s="9"/>
      <c r="Z587" s="8"/>
      <c r="AA587" s="8"/>
      <c r="AB587" s="8"/>
      <c r="AC587" s="11"/>
      <c r="AD587" s="8"/>
      <c r="AE587" s="9"/>
      <c r="AF587" s="8"/>
      <c r="AG587" s="9"/>
      <c r="AH587" s="8"/>
      <c r="AI587" s="8"/>
      <c r="AJ587" s="8"/>
      <c r="AK587" s="11"/>
      <c r="AL587" s="8"/>
      <c r="AM587" s="8"/>
      <c r="AN587" s="9"/>
      <c r="AO587" s="8"/>
      <c r="AP587" s="8"/>
      <c r="AQ587" s="8"/>
    </row>
    <row r="588" spans="1:43" x14ac:dyDescent="0.15">
      <c r="A588" s="8"/>
      <c r="B588" s="8"/>
      <c r="C588" s="8"/>
      <c r="D588" s="8"/>
      <c r="E588" s="8"/>
      <c r="F588" s="8"/>
      <c r="G588" s="10"/>
      <c r="H588" s="11"/>
      <c r="I588" s="8"/>
      <c r="J588" s="9"/>
      <c r="K588" s="8"/>
      <c r="L588" s="9"/>
      <c r="M588" s="8"/>
      <c r="N588" s="11"/>
      <c r="O588" s="8"/>
      <c r="P588" s="9"/>
      <c r="Q588" s="8"/>
      <c r="R588" s="9"/>
      <c r="S588" s="8"/>
      <c r="T588" s="8"/>
      <c r="U588" s="8"/>
      <c r="V588" s="11"/>
      <c r="W588" s="8"/>
      <c r="X588" s="8"/>
      <c r="Y588" s="9"/>
      <c r="Z588" s="8"/>
      <c r="AA588" s="8"/>
      <c r="AB588" s="8"/>
      <c r="AC588" s="11"/>
      <c r="AD588" s="8"/>
      <c r="AE588" s="9"/>
      <c r="AF588" s="8"/>
      <c r="AG588" s="9"/>
      <c r="AH588" s="8"/>
      <c r="AI588" s="8"/>
      <c r="AJ588" s="8"/>
      <c r="AK588" s="11"/>
      <c r="AL588" s="8"/>
      <c r="AM588" s="8"/>
      <c r="AN588" s="9"/>
      <c r="AO588" s="8"/>
      <c r="AP588" s="8"/>
      <c r="AQ588" s="8"/>
    </row>
    <row r="589" spans="1:43" x14ac:dyDescent="0.15">
      <c r="A589" s="8"/>
      <c r="B589" s="8"/>
      <c r="C589" s="8"/>
      <c r="D589" s="8"/>
      <c r="E589" s="8"/>
      <c r="F589" s="8"/>
      <c r="G589" s="10"/>
      <c r="H589" s="11"/>
      <c r="I589" s="8"/>
      <c r="J589" s="9"/>
      <c r="K589" s="8"/>
      <c r="L589" s="9"/>
      <c r="M589" s="8"/>
      <c r="N589" s="11"/>
      <c r="O589" s="8"/>
      <c r="P589" s="9"/>
      <c r="Q589" s="8"/>
      <c r="R589" s="9"/>
      <c r="S589" s="8"/>
      <c r="T589" s="8"/>
      <c r="U589" s="8"/>
      <c r="V589" s="11"/>
      <c r="W589" s="8"/>
      <c r="X589" s="8"/>
      <c r="Y589" s="9"/>
      <c r="Z589" s="8"/>
      <c r="AA589" s="8"/>
      <c r="AB589" s="8"/>
      <c r="AC589" s="11"/>
      <c r="AD589" s="8"/>
      <c r="AE589" s="9"/>
      <c r="AF589" s="8"/>
      <c r="AG589" s="9"/>
      <c r="AH589" s="8"/>
      <c r="AI589" s="8"/>
      <c r="AJ589" s="8"/>
      <c r="AK589" s="11"/>
      <c r="AL589" s="8"/>
      <c r="AM589" s="8"/>
      <c r="AN589" s="9"/>
      <c r="AO589" s="8"/>
      <c r="AP589" s="8"/>
      <c r="AQ589" s="8"/>
    </row>
    <row r="590" spans="1:43" x14ac:dyDescent="0.15">
      <c r="A590" s="8"/>
      <c r="B590" s="8"/>
      <c r="C590" s="8"/>
      <c r="D590" s="8"/>
      <c r="E590" s="8"/>
      <c r="F590" s="8"/>
      <c r="G590" s="10"/>
      <c r="H590" s="11"/>
      <c r="I590" s="8"/>
      <c r="J590" s="9"/>
      <c r="K590" s="8"/>
      <c r="L590" s="9"/>
      <c r="M590" s="8"/>
      <c r="N590" s="11"/>
      <c r="O590" s="8"/>
      <c r="P590" s="9"/>
      <c r="Q590" s="8"/>
      <c r="R590" s="9"/>
      <c r="S590" s="8"/>
      <c r="T590" s="8"/>
      <c r="U590" s="8"/>
      <c r="V590" s="11"/>
      <c r="W590" s="8"/>
      <c r="X590" s="8"/>
      <c r="Y590" s="9"/>
      <c r="Z590" s="8"/>
      <c r="AA590" s="8"/>
      <c r="AB590" s="8"/>
      <c r="AC590" s="11"/>
      <c r="AD590" s="8"/>
      <c r="AE590" s="9"/>
      <c r="AF590" s="8"/>
      <c r="AG590" s="9"/>
      <c r="AH590" s="8"/>
      <c r="AI590" s="8"/>
      <c r="AJ590" s="8"/>
      <c r="AK590" s="11"/>
      <c r="AL590" s="8"/>
      <c r="AM590" s="8"/>
      <c r="AN590" s="9"/>
      <c r="AO590" s="8"/>
      <c r="AP590" s="8"/>
      <c r="AQ590" s="8"/>
    </row>
    <row r="591" spans="1:43" x14ac:dyDescent="0.15">
      <c r="A591" s="8"/>
      <c r="B591" s="8"/>
      <c r="C591" s="8"/>
      <c r="D591" s="8"/>
      <c r="E591" s="8"/>
      <c r="F591" s="8"/>
      <c r="G591" s="10"/>
      <c r="H591" s="11"/>
      <c r="I591" s="8"/>
      <c r="J591" s="9"/>
      <c r="K591" s="8"/>
      <c r="L591" s="9"/>
      <c r="M591" s="8"/>
      <c r="N591" s="11"/>
      <c r="O591" s="8"/>
      <c r="P591" s="9"/>
      <c r="Q591" s="8"/>
      <c r="R591" s="9"/>
      <c r="S591" s="8"/>
      <c r="T591" s="8"/>
      <c r="U591" s="8"/>
      <c r="V591" s="11"/>
      <c r="W591" s="8"/>
      <c r="X591" s="8"/>
      <c r="Y591" s="9"/>
      <c r="Z591" s="8"/>
      <c r="AA591" s="8"/>
      <c r="AB591" s="8"/>
      <c r="AC591" s="11"/>
      <c r="AD591" s="8"/>
      <c r="AE591" s="9"/>
      <c r="AF591" s="8"/>
      <c r="AG591" s="9"/>
      <c r="AH591" s="8"/>
      <c r="AI591" s="8"/>
      <c r="AJ591" s="8"/>
      <c r="AK591" s="11"/>
      <c r="AL591" s="8"/>
      <c r="AM591" s="8"/>
      <c r="AN591" s="9"/>
      <c r="AO591" s="8"/>
      <c r="AP591" s="8"/>
      <c r="AQ591" s="8"/>
    </row>
    <row r="592" spans="1:43" x14ac:dyDescent="0.15">
      <c r="A592" s="8"/>
      <c r="B592" s="8"/>
      <c r="C592" s="8"/>
      <c r="D592" s="8"/>
      <c r="E592" s="8"/>
      <c r="F592" s="8"/>
      <c r="G592" s="10"/>
      <c r="H592" s="11"/>
      <c r="I592" s="8"/>
      <c r="J592" s="9"/>
      <c r="K592" s="8"/>
      <c r="L592" s="9"/>
      <c r="M592" s="8"/>
      <c r="N592" s="11"/>
      <c r="O592" s="8"/>
      <c r="P592" s="9"/>
      <c r="Q592" s="8"/>
      <c r="R592" s="9"/>
      <c r="S592" s="8"/>
      <c r="T592" s="8"/>
      <c r="U592" s="8"/>
      <c r="V592" s="11"/>
      <c r="W592" s="8"/>
      <c r="X592" s="8"/>
      <c r="Y592" s="9"/>
      <c r="Z592" s="8"/>
      <c r="AA592" s="8"/>
      <c r="AB592" s="8"/>
      <c r="AC592" s="11"/>
      <c r="AD592" s="8"/>
      <c r="AE592" s="9"/>
      <c r="AF592" s="8"/>
      <c r="AG592" s="9"/>
      <c r="AH592" s="8"/>
      <c r="AI592" s="8"/>
      <c r="AJ592" s="8"/>
      <c r="AK592" s="11"/>
      <c r="AL592" s="8"/>
      <c r="AM592" s="8"/>
      <c r="AN592" s="9"/>
      <c r="AO592" s="8"/>
      <c r="AP592" s="8"/>
      <c r="AQ592" s="8"/>
    </row>
    <row r="593" spans="1:43" x14ac:dyDescent="0.15">
      <c r="A593" s="8"/>
      <c r="B593" s="8"/>
      <c r="C593" s="8"/>
      <c r="D593" s="8"/>
      <c r="E593" s="8"/>
      <c r="F593" s="8"/>
      <c r="G593" s="10"/>
      <c r="H593" s="11"/>
      <c r="I593" s="8"/>
      <c r="J593" s="9"/>
      <c r="K593" s="8"/>
      <c r="L593" s="9"/>
      <c r="M593" s="8"/>
      <c r="N593" s="11"/>
      <c r="O593" s="8"/>
      <c r="P593" s="9"/>
      <c r="Q593" s="8"/>
      <c r="R593" s="9"/>
      <c r="S593" s="8"/>
      <c r="T593" s="8"/>
      <c r="U593" s="8"/>
      <c r="V593" s="11"/>
      <c r="W593" s="8"/>
      <c r="X593" s="8"/>
      <c r="Y593" s="9"/>
      <c r="Z593" s="8"/>
      <c r="AA593" s="8"/>
      <c r="AB593" s="8"/>
      <c r="AC593" s="11"/>
      <c r="AD593" s="8"/>
      <c r="AE593" s="9"/>
      <c r="AF593" s="8"/>
      <c r="AG593" s="9"/>
      <c r="AH593" s="8"/>
      <c r="AI593" s="8"/>
      <c r="AJ593" s="8"/>
      <c r="AK593" s="11"/>
      <c r="AL593" s="8"/>
      <c r="AM593" s="8"/>
      <c r="AN593" s="9"/>
      <c r="AO593" s="8"/>
      <c r="AP593" s="8"/>
      <c r="AQ593" s="8"/>
    </row>
    <row r="594" spans="1:43" x14ac:dyDescent="0.15">
      <c r="A594" s="8"/>
      <c r="B594" s="8"/>
      <c r="C594" s="8"/>
      <c r="D594" s="8"/>
      <c r="E594" s="8"/>
      <c r="F594" s="8"/>
      <c r="G594" s="10"/>
      <c r="H594" s="11"/>
      <c r="I594" s="8"/>
      <c r="J594" s="9"/>
      <c r="K594" s="8"/>
      <c r="L594" s="9"/>
      <c r="M594" s="8"/>
      <c r="N594" s="11"/>
      <c r="O594" s="8"/>
      <c r="P594" s="9"/>
      <c r="Q594" s="8"/>
      <c r="R594" s="9"/>
      <c r="S594" s="8"/>
      <c r="T594" s="8"/>
      <c r="U594" s="8"/>
      <c r="V594" s="11"/>
      <c r="W594" s="8"/>
      <c r="X594" s="8"/>
      <c r="Y594" s="9"/>
      <c r="Z594" s="8"/>
      <c r="AA594" s="8"/>
      <c r="AB594" s="8"/>
      <c r="AC594" s="11"/>
      <c r="AD594" s="8"/>
      <c r="AE594" s="9"/>
      <c r="AF594" s="8"/>
      <c r="AG594" s="9"/>
      <c r="AH594" s="8"/>
      <c r="AI594" s="8"/>
      <c r="AJ594" s="8"/>
      <c r="AK594" s="11"/>
      <c r="AL594" s="8"/>
      <c r="AM594" s="8"/>
      <c r="AN594" s="9"/>
      <c r="AO594" s="8"/>
      <c r="AP594" s="8"/>
      <c r="AQ594" s="8"/>
    </row>
    <row r="595" spans="1:43" x14ac:dyDescent="0.15">
      <c r="A595" s="8"/>
      <c r="B595" s="8"/>
      <c r="C595" s="8"/>
      <c r="D595" s="8"/>
      <c r="E595" s="8"/>
      <c r="F595" s="8"/>
      <c r="G595" s="10"/>
      <c r="H595" s="11"/>
      <c r="I595" s="8"/>
      <c r="J595" s="9"/>
      <c r="K595" s="8"/>
      <c r="L595" s="9"/>
      <c r="M595" s="8"/>
      <c r="N595" s="11"/>
      <c r="O595" s="8"/>
      <c r="P595" s="9"/>
      <c r="Q595" s="8"/>
      <c r="R595" s="9"/>
      <c r="S595" s="8"/>
      <c r="T595" s="8"/>
      <c r="U595" s="8"/>
      <c r="V595" s="11"/>
      <c r="W595" s="8"/>
      <c r="X595" s="8"/>
      <c r="Y595" s="9"/>
      <c r="Z595" s="8"/>
      <c r="AA595" s="8"/>
      <c r="AB595" s="8"/>
      <c r="AC595" s="11"/>
      <c r="AD595" s="8"/>
      <c r="AE595" s="9"/>
      <c r="AF595" s="8"/>
      <c r="AG595" s="9"/>
      <c r="AH595" s="8"/>
      <c r="AI595" s="8"/>
      <c r="AJ595" s="8"/>
      <c r="AK595" s="11"/>
      <c r="AL595" s="8"/>
      <c r="AM595" s="8"/>
      <c r="AN595" s="9"/>
      <c r="AO595" s="8"/>
      <c r="AP595" s="8"/>
      <c r="AQ595" s="8"/>
    </row>
    <row r="596" spans="1:43" x14ac:dyDescent="0.15">
      <c r="A596" s="8"/>
      <c r="B596" s="8"/>
      <c r="C596" s="8"/>
      <c r="D596" s="8"/>
      <c r="E596" s="8"/>
      <c r="F596" s="8"/>
      <c r="G596" s="10"/>
      <c r="H596" s="11"/>
      <c r="I596" s="8"/>
      <c r="J596" s="9"/>
      <c r="K596" s="8"/>
      <c r="L596" s="9"/>
      <c r="M596" s="8"/>
      <c r="N596" s="11"/>
      <c r="O596" s="8"/>
      <c r="P596" s="9"/>
      <c r="Q596" s="8"/>
      <c r="R596" s="9"/>
      <c r="S596" s="8"/>
      <c r="T596" s="8"/>
      <c r="U596" s="8"/>
      <c r="V596" s="11"/>
      <c r="W596" s="8"/>
      <c r="X596" s="8"/>
      <c r="Y596" s="9"/>
      <c r="Z596" s="8"/>
      <c r="AA596" s="8"/>
      <c r="AB596" s="8"/>
      <c r="AC596" s="11"/>
      <c r="AD596" s="8"/>
      <c r="AE596" s="9"/>
      <c r="AF596" s="8"/>
      <c r="AG596" s="9"/>
      <c r="AH596" s="8"/>
      <c r="AI596" s="8"/>
      <c r="AJ596" s="8"/>
      <c r="AK596" s="11"/>
      <c r="AL596" s="8"/>
      <c r="AM596" s="8"/>
      <c r="AN596" s="9"/>
      <c r="AO596" s="8"/>
      <c r="AP596" s="8"/>
      <c r="AQ596" s="8"/>
    </row>
    <row r="597" spans="1:43" outlineLevel="1" x14ac:dyDescent="0.15">
      <c r="A597" s="8"/>
      <c r="B597" s="8"/>
      <c r="C597" s="8"/>
      <c r="D597" s="8"/>
      <c r="E597" s="8"/>
      <c r="F597" s="8"/>
      <c r="G597" s="10"/>
      <c r="H597" s="11"/>
      <c r="I597" s="8"/>
      <c r="J597" s="9"/>
      <c r="K597" s="8"/>
      <c r="L597" s="9"/>
      <c r="M597" s="8"/>
      <c r="N597" s="11"/>
      <c r="O597" s="8"/>
      <c r="P597" s="9"/>
      <c r="Q597" s="8"/>
      <c r="R597" s="9"/>
      <c r="S597" s="8"/>
      <c r="T597" s="8"/>
      <c r="U597" s="8"/>
      <c r="V597" s="11"/>
      <c r="W597" s="8"/>
      <c r="X597" s="8"/>
      <c r="Y597" s="9"/>
      <c r="Z597" s="8"/>
      <c r="AA597" s="8"/>
      <c r="AB597" s="8"/>
      <c r="AC597" s="11"/>
      <c r="AD597" s="8"/>
      <c r="AE597" s="9"/>
      <c r="AF597" s="8"/>
      <c r="AG597" s="9"/>
      <c r="AH597" s="8"/>
      <c r="AI597" s="8"/>
      <c r="AJ597" s="8"/>
      <c r="AK597" s="11"/>
      <c r="AL597" s="8"/>
      <c r="AM597" s="8"/>
      <c r="AN597" s="9"/>
      <c r="AO597" s="8"/>
      <c r="AP597" s="8"/>
      <c r="AQ597" s="8"/>
    </row>
    <row r="598" spans="1:43" outlineLevel="1" x14ac:dyDescent="0.15">
      <c r="A598" s="8"/>
      <c r="B598" s="8"/>
      <c r="C598" s="8"/>
      <c r="D598" s="8"/>
      <c r="E598" s="8"/>
      <c r="F598" s="8"/>
      <c r="G598" s="10"/>
      <c r="H598" s="11"/>
      <c r="I598" s="8"/>
      <c r="J598" s="9"/>
      <c r="K598" s="8"/>
      <c r="L598" s="9"/>
      <c r="M598" s="8"/>
      <c r="N598" s="11"/>
      <c r="O598" s="8"/>
      <c r="P598" s="9"/>
      <c r="Q598" s="8"/>
      <c r="R598" s="9"/>
      <c r="S598" s="8"/>
      <c r="T598" s="8"/>
      <c r="U598" s="8"/>
      <c r="V598" s="11"/>
      <c r="W598" s="8"/>
      <c r="X598" s="8"/>
      <c r="Y598" s="9"/>
      <c r="Z598" s="8"/>
      <c r="AA598" s="8"/>
      <c r="AB598" s="8"/>
      <c r="AC598" s="11"/>
      <c r="AD598" s="8"/>
      <c r="AE598" s="9"/>
      <c r="AF598" s="8"/>
      <c r="AG598" s="9"/>
      <c r="AH598" s="8"/>
      <c r="AI598" s="8"/>
      <c r="AJ598" s="8"/>
      <c r="AK598" s="11"/>
      <c r="AL598" s="8"/>
      <c r="AM598" s="8"/>
      <c r="AN598" s="9"/>
      <c r="AO598" s="8"/>
      <c r="AP598" s="8"/>
      <c r="AQ598" s="8"/>
    </row>
    <row r="599" spans="1:43" outlineLevel="1" x14ac:dyDescent="0.15">
      <c r="A599" s="8"/>
      <c r="B599" s="8"/>
      <c r="C599" s="8"/>
      <c r="D599" s="8"/>
      <c r="E599" s="8"/>
      <c r="F599" s="8"/>
      <c r="G599" s="10"/>
      <c r="H599" s="11"/>
      <c r="I599" s="8"/>
      <c r="J599" s="9"/>
      <c r="K599" s="8"/>
      <c r="L599" s="9"/>
      <c r="M599" s="8"/>
      <c r="N599" s="11"/>
      <c r="O599" s="8"/>
      <c r="P599" s="9"/>
      <c r="Q599" s="8"/>
      <c r="R599" s="9"/>
      <c r="S599" s="8"/>
      <c r="T599" s="8"/>
      <c r="U599" s="8"/>
      <c r="V599" s="11"/>
      <c r="W599" s="8"/>
      <c r="X599" s="8"/>
      <c r="Y599" s="9"/>
      <c r="Z599" s="8"/>
      <c r="AA599" s="8"/>
      <c r="AB599" s="8"/>
      <c r="AC599" s="11"/>
      <c r="AD599" s="8"/>
      <c r="AE599" s="9"/>
      <c r="AF599" s="8"/>
      <c r="AG599" s="9"/>
      <c r="AH599" s="8"/>
      <c r="AI599" s="8"/>
      <c r="AJ599" s="8"/>
      <c r="AK599" s="11"/>
      <c r="AL599" s="8"/>
      <c r="AM599" s="8"/>
      <c r="AN599" s="9"/>
      <c r="AO599" s="8"/>
      <c r="AP599" s="8"/>
      <c r="AQ599" s="8"/>
    </row>
    <row r="600" spans="1:43" outlineLevel="1" x14ac:dyDescent="0.15">
      <c r="A600" s="8"/>
      <c r="B600" s="8"/>
      <c r="C600" s="8"/>
      <c r="D600" s="8"/>
      <c r="E600" s="8"/>
      <c r="F600" s="8"/>
      <c r="G600" s="10"/>
      <c r="H600" s="11"/>
      <c r="I600" s="8"/>
      <c r="J600" s="9"/>
      <c r="K600" s="8"/>
      <c r="L600" s="9"/>
      <c r="M600" s="8"/>
      <c r="N600" s="11"/>
      <c r="O600" s="8"/>
      <c r="P600" s="9"/>
      <c r="Q600" s="8"/>
      <c r="R600" s="9"/>
      <c r="S600" s="8"/>
      <c r="T600" s="8"/>
      <c r="U600" s="8"/>
      <c r="V600" s="11"/>
      <c r="W600" s="8"/>
      <c r="X600" s="8"/>
      <c r="Y600" s="9"/>
      <c r="Z600" s="8"/>
      <c r="AA600" s="8"/>
      <c r="AB600" s="8"/>
      <c r="AC600" s="11"/>
      <c r="AD600" s="8"/>
      <c r="AE600" s="9"/>
      <c r="AF600" s="8"/>
      <c r="AG600" s="9"/>
      <c r="AH600" s="8"/>
      <c r="AI600" s="8"/>
      <c r="AJ600" s="8"/>
      <c r="AK600" s="11"/>
      <c r="AL600" s="8"/>
      <c r="AM600" s="8"/>
      <c r="AN600" s="9"/>
      <c r="AO600" s="8"/>
      <c r="AP600" s="8"/>
      <c r="AQ600" s="8"/>
    </row>
    <row r="601" spans="1:43" x14ac:dyDescent="0.15">
      <c r="A601" s="8"/>
      <c r="B601" s="8"/>
      <c r="C601" s="8"/>
      <c r="D601" s="8"/>
      <c r="E601" s="8"/>
      <c r="F601" s="8"/>
      <c r="G601" s="10"/>
      <c r="H601" s="11"/>
      <c r="I601" s="8"/>
      <c r="J601" s="9"/>
      <c r="K601" s="8"/>
      <c r="L601" s="9"/>
      <c r="M601" s="8"/>
      <c r="N601" s="11"/>
      <c r="O601" s="8"/>
      <c r="P601" s="9"/>
      <c r="Q601" s="8"/>
      <c r="R601" s="9"/>
      <c r="S601" s="8"/>
      <c r="T601" s="8"/>
      <c r="U601" s="8"/>
      <c r="V601" s="11"/>
      <c r="W601" s="8"/>
      <c r="X601" s="8"/>
      <c r="Y601" s="9"/>
      <c r="Z601" s="8"/>
      <c r="AA601" s="8"/>
      <c r="AB601" s="8"/>
      <c r="AC601" s="11"/>
      <c r="AD601" s="8"/>
      <c r="AE601" s="9"/>
      <c r="AF601" s="8"/>
      <c r="AG601" s="9"/>
      <c r="AH601" s="8"/>
      <c r="AI601" s="8"/>
      <c r="AJ601" s="8"/>
      <c r="AK601" s="11"/>
      <c r="AL601" s="8"/>
      <c r="AM601" s="8"/>
      <c r="AN601" s="9"/>
      <c r="AO601" s="8"/>
      <c r="AP601" s="8"/>
      <c r="AQ601" s="8"/>
    </row>
    <row r="602" spans="1:43" x14ac:dyDescent="0.15">
      <c r="A602" s="8"/>
      <c r="B602" s="8"/>
      <c r="C602" s="8"/>
      <c r="D602" s="8"/>
      <c r="E602" s="8"/>
      <c r="F602" s="8"/>
      <c r="G602" s="10"/>
      <c r="H602" s="11"/>
      <c r="I602" s="8"/>
      <c r="J602" s="9"/>
      <c r="K602" s="8"/>
      <c r="L602" s="9"/>
      <c r="M602" s="8"/>
      <c r="N602" s="11"/>
      <c r="O602" s="8"/>
      <c r="P602" s="9"/>
      <c r="Q602" s="8"/>
      <c r="R602" s="9"/>
      <c r="S602" s="8"/>
      <c r="T602" s="8"/>
      <c r="U602" s="8"/>
      <c r="V602" s="11"/>
      <c r="W602" s="8"/>
      <c r="X602" s="8"/>
      <c r="Y602" s="9"/>
      <c r="Z602" s="8"/>
      <c r="AA602" s="8"/>
      <c r="AB602" s="8"/>
      <c r="AC602" s="11"/>
      <c r="AD602" s="8"/>
      <c r="AE602" s="9"/>
      <c r="AF602" s="8"/>
      <c r="AG602" s="9"/>
      <c r="AH602" s="8"/>
      <c r="AI602" s="8"/>
      <c r="AJ602" s="8"/>
      <c r="AK602" s="11"/>
      <c r="AL602" s="8"/>
      <c r="AM602" s="8"/>
      <c r="AN602" s="9"/>
      <c r="AO602" s="8"/>
      <c r="AP602" s="8"/>
      <c r="AQ602" s="8"/>
    </row>
    <row r="603" spans="1:43" x14ac:dyDescent="0.15">
      <c r="A603" s="8"/>
      <c r="B603" s="8"/>
      <c r="C603" s="8"/>
      <c r="D603" s="8"/>
      <c r="E603" s="8"/>
      <c r="F603" s="8"/>
      <c r="G603" s="10"/>
      <c r="H603" s="11"/>
      <c r="I603" s="8"/>
      <c r="J603" s="9"/>
      <c r="K603" s="8"/>
      <c r="L603" s="9"/>
      <c r="M603" s="8"/>
      <c r="N603" s="11"/>
      <c r="O603" s="8"/>
      <c r="P603" s="9"/>
      <c r="Q603" s="8"/>
      <c r="R603" s="9"/>
      <c r="S603" s="8"/>
      <c r="T603" s="8"/>
      <c r="U603" s="8"/>
      <c r="V603" s="11"/>
      <c r="W603" s="8"/>
      <c r="X603" s="8"/>
      <c r="Y603" s="9"/>
      <c r="Z603" s="8"/>
      <c r="AA603" s="8"/>
      <c r="AB603" s="8"/>
      <c r="AC603" s="11"/>
      <c r="AD603" s="8"/>
      <c r="AE603" s="9"/>
      <c r="AF603" s="8"/>
      <c r="AG603" s="9"/>
      <c r="AH603" s="8"/>
      <c r="AI603" s="8"/>
      <c r="AJ603" s="8"/>
      <c r="AK603" s="11"/>
      <c r="AL603" s="8"/>
      <c r="AM603" s="8"/>
      <c r="AN603" s="9"/>
      <c r="AO603" s="8"/>
      <c r="AP603" s="8"/>
      <c r="AQ603" s="8"/>
    </row>
    <row r="604" spans="1:43" x14ac:dyDescent="0.15">
      <c r="A604" s="8"/>
      <c r="B604" s="8"/>
      <c r="C604" s="8"/>
      <c r="D604" s="8"/>
      <c r="E604" s="8"/>
      <c r="F604" s="8"/>
      <c r="G604" s="10"/>
      <c r="H604" s="11"/>
      <c r="I604" s="8"/>
      <c r="J604" s="9"/>
      <c r="K604" s="8"/>
      <c r="L604" s="9"/>
      <c r="M604" s="8"/>
      <c r="N604" s="11"/>
      <c r="O604" s="8"/>
      <c r="P604" s="9"/>
      <c r="Q604" s="8"/>
      <c r="R604" s="9"/>
      <c r="S604" s="8"/>
      <c r="T604" s="8"/>
      <c r="U604" s="8"/>
      <c r="V604" s="11"/>
      <c r="W604" s="8"/>
      <c r="X604" s="8"/>
      <c r="Y604" s="9"/>
      <c r="Z604" s="8"/>
      <c r="AA604" s="8"/>
      <c r="AB604" s="8"/>
      <c r="AC604" s="11"/>
      <c r="AD604" s="8"/>
      <c r="AE604" s="9"/>
      <c r="AF604" s="8"/>
      <c r="AG604" s="9"/>
      <c r="AH604" s="8"/>
      <c r="AI604" s="8"/>
      <c r="AJ604" s="8"/>
      <c r="AK604" s="11"/>
      <c r="AL604" s="8"/>
      <c r="AM604" s="8"/>
      <c r="AN604" s="9"/>
      <c r="AO604" s="8"/>
      <c r="AP604" s="8"/>
      <c r="AQ604" s="8"/>
    </row>
    <row r="605" spans="1:43" outlineLevel="1" x14ac:dyDescent="0.15">
      <c r="A605" s="8"/>
      <c r="B605" s="8"/>
      <c r="C605" s="8"/>
      <c r="D605" s="8"/>
      <c r="E605" s="8"/>
      <c r="F605" s="8"/>
      <c r="G605" s="10"/>
      <c r="H605" s="11"/>
      <c r="I605" s="8"/>
      <c r="J605" s="9"/>
      <c r="K605" s="8"/>
      <c r="L605" s="9"/>
      <c r="M605" s="8"/>
      <c r="N605" s="11"/>
      <c r="O605" s="8"/>
      <c r="P605" s="9"/>
      <c r="Q605" s="8"/>
      <c r="R605" s="9"/>
      <c r="S605" s="8"/>
      <c r="T605" s="8"/>
      <c r="U605" s="8"/>
      <c r="V605" s="11"/>
      <c r="W605" s="8"/>
      <c r="X605" s="8"/>
      <c r="Y605" s="9"/>
      <c r="Z605" s="8"/>
      <c r="AA605" s="8"/>
      <c r="AB605" s="8"/>
      <c r="AC605" s="11"/>
      <c r="AD605" s="8"/>
      <c r="AE605" s="9"/>
      <c r="AF605" s="8"/>
      <c r="AG605" s="9"/>
      <c r="AH605" s="8"/>
      <c r="AI605" s="8"/>
      <c r="AJ605" s="8"/>
      <c r="AK605" s="11"/>
      <c r="AL605" s="8"/>
      <c r="AM605" s="8"/>
      <c r="AN605" s="9"/>
      <c r="AO605" s="8"/>
      <c r="AP605" s="8"/>
      <c r="AQ605" s="8"/>
    </row>
    <row r="606" spans="1:43" outlineLevel="1" x14ac:dyDescent="0.15">
      <c r="A606" s="8"/>
      <c r="B606" s="8"/>
      <c r="C606" s="8"/>
      <c r="D606" s="8"/>
      <c r="E606" s="8"/>
      <c r="F606" s="8"/>
      <c r="G606" s="10"/>
      <c r="H606" s="11"/>
      <c r="I606" s="8"/>
      <c r="J606" s="9"/>
      <c r="K606" s="8"/>
      <c r="L606" s="9"/>
      <c r="M606" s="8"/>
      <c r="N606" s="11"/>
      <c r="O606" s="8"/>
      <c r="P606" s="9"/>
      <c r="Q606" s="8"/>
      <c r="R606" s="9"/>
      <c r="S606" s="8"/>
      <c r="T606" s="8"/>
      <c r="U606" s="8"/>
      <c r="V606" s="11"/>
      <c r="W606" s="8"/>
      <c r="X606" s="8"/>
      <c r="Y606" s="9"/>
      <c r="Z606" s="8"/>
      <c r="AA606" s="8"/>
      <c r="AB606" s="8"/>
      <c r="AC606" s="11"/>
      <c r="AD606" s="8"/>
      <c r="AE606" s="9"/>
      <c r="AF606" s="8"/>
      <c r="AG606" s="9"/>
      <c r="AH606" s="8"/>
      <c r="AI606" s="8"/>
      <c r="AJ606" s="8"/>
      <c r="AK606" s="11"/>
      <c r="AL606" s="8"/>
      <c r="AM606" s="8"/>
      <c r="AN606" s="9"/>
      <c r="AO606" s="8"/>
      <c r="AP606" s="8"/>
      <c r="AQ606" s="8"/>
    </row>
    <row r="607" spans="1:43" x14ac:dyDescent="0.15">
      <c r="A607" s="8"/>
      <c r="B607" s="8"/>
      <c r="C607" s="8"/>
      <c r="D607" s="8"/>
      <c r="E607" s="8"/>
      <c r="F607" s="8"/>
      <c r="G607" s="10"/>
      <c r="H607" s="11"/>
      <c r="I607" s="8"/>
      <c r="J607" s="9"/>
      <c r="K607" s="8"/>
      <c r="L607" s="9"/>
      <c r="M607" s="8"/>
      <c r="N607" s="11"/>
      <c r="O607" s="8"/>
      <c r="P607" s="9"/>
      <c r="Q607" s="8"/>
      <c r="R607" s="9"/>
      <c r="S607" s="8"/>
      <c r="T607" s="8"/>
      <c r="U607" s="8"/>
      <c r="V607" s="11"/>
      <c r="W607" s="8"/>
      <c r="X607" s="8"/>
      <c r="Y607" s="9"/>
      <c r="Z607" s="8"/>
      <c r="AA607" s="8"/>
      <c r="AB607" s="8"/>
      <c r="AC607" s="11"/>
      <c r="AD607" s="8"/>
      <c r="AE607" s="9"/>
      <c r="AF607" s="8"/>
      <c r="AG607" s="9"/>
      <c r="AH607" s="8"/>
      <c r="AI607" s="8"/>
      <c r="AJ607" s="8"/>
      <c r="AK607" s="11"/>
      <c r="AL607" s="8"/>
      <c r="AM607" s="8"/>
      <c r="AN607" s="9"/>
      <c r="AO607" s="8"/>
      <c r="AP607" s="8"/>
      <c r="AQ607" s="8"/>
    </row>
    <row r="608" spans="1:43" x14ac:dyDescent="0.15">
      <c r="A608" s="8"/>
      <c r="B608" s="8"/>
      <c r="C608" s="8"/>
      <c r="D608" s="8"/>
      <c r="E608" s="8"/>
      <c r="F608" s="8"/>
      <c r="G608" s="10"/>
      <c r="H608" s="11"/>
      <c r="I608" s="8"/>
      <c r="J608" s="9"/>
      <c r="K608" s="8"/>
      <c r="L608" s="9"/>
      <c r="M608" s="8"/>
      <c r="N608" s="11"/>
      <c r="O608" s="8"/>
      <c r="P608" s="9"/>
      <c r="Q608" s="8"/>
      <c r="R608" s="9"/>
      <c r="S608" s="8"/>
      <c r="T608" s="8"/>
      <c r="U608" s="8"/>
      <c r="V608" s="11"/>
      <c r="W608" s="8"/>
      <c r="X608" s="8"/>
      <c r="Y608" s="9"/>
      <c r="Z608" s="8"/>
      <c r="AA608" s="8"/>
      <c r="AB608" s="8"/>
      <c r="AC608" s="11"/>
      <c r="AD608" s="8"/>
      <c r="AE608" s="9"/>
      <c r="AF608" s="8"/>
      <c r="AG608" s="9"/>
      <c r="AH608" s="8"/>
      <c r="AI608" s="8"/>
      <c r="AJ608" s="8"/>
      <c r="AK608" s="11"/>
      <c r="AL608" s="8"/>
      <c r="AM608" s="8"/>
      <c r="AN608" s="9"/>
      <c r="AO608" s="8"/>
      <c r="AP608" s="8"/>
      <c r="AQ608" s="8"/>
    </row>
    <row r="609" spans="1:43" x14ac:dyDescent="0.15">
      <c r="A609" s="8"/>
      <c r="B609" s="8"/>
      <c r="C609" s="8"/>
      <c r="D609" s="8"/>
      <c r="E609" s="8"/>
      <c r="F609" s="8"/>
      <c r="G609" s="10"/>
      <c r="H609" s="11"/>
      <c r="I609" s="8"/>
      <c r="J609" s="9"/>
      <c r="K609" s="8"/>
      <c r="L609" s="9"/>
      <c r="M609" s="8"/>
      <c r="N609" s="11"/>
      <c r="O609" s="8"/>
      <c r="P609" s="9"/>
      <c r="Q609" s="8"/>
      <c r="R609" s="9"/>
      <c r="S609" s="8"/>
      <c r="T609" s="8"/>
      <c r="U609" s="8"/>
      <c r="V609" s="11"/>
      <c r="W609" s="8"/>
      <c r="X609" s="8"/>
      <c r="Y609" s="9"/>
      <c r="Z609" s="8"/>
      <c r="AA609" s="8"/>
      <c r="AB609" s="8"/>
      <c r="AC609" s="11"/>
      <c r="AD609" s="8"/>
      <c r="AE609" s="9"/>
      <c r="AF609" s="8"/>
      <c r="AG609" s="9"/>
      <c r="AH609" s="8"/>
      <c r="AI609" s="8"/>
      <c r="AJ609" s="8"/>
      <c r="AK609" s="11"/>
      <c r="AL609" s="8"/>
      <c r="AM609" s="8"/>
      <c r="AN609" s="9"/>
      <c r="AO609" s="8"/>
      <c r="AP609" s="8"/>
      <c r="AQ609" s="8"/>
    </row>
    <row r="621" spans="1:43" x14ac:dyDescent="0.15">
      <c r="A621" s="41"/>
    </row>
    <row r="631" spans="7:7" x14ac:dyDescent="0.15">
      <c r="G631" s="42"/>
    </row>
  </sheetData>
  <autoFilter ref="A5:BB393" xr:uid="{AF38064F-E390-4B70-A69D-0A343C3345B4}"/>
  <mergeCells count="51">
    <mergeCell ref="H1:M1"/>
    <mergeCell ref="N1:AB1"/>
    <mergeCell ref="AC1:AQ1"/>
    <mergeCell ref="H2:M2"/>
    <mergeCell ref="N2:U2"/>
    <mergeCell ref="V2:AB2"/>
    <mergeCell ref="AC2:AJ2"/>
    <mergeCell ref="AK2:AQ2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X3:X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AJ3:AJ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Q3:AQ4"/>
    <mergeCell ref="AK3:AK4"/>
    <mergeCell ref="AL3:AL4"/>
    <mergeCell ref="AM3:AM4"/>
    <mergeCell ref="AN3:AN4"/>
    <mergeCell ref="AO3:AO4"/>
    <mergeCell ref="AP3:AP4"/>
  </mergeCells>
  <conditionalFormatting sqref="L6:L609">
    <cfRule type="cellIs" dxfId="272" priority="56" operator="lessThan">
      <formula>2</formula>
    </cfRule>
    <cfRule type="cellIs" dxfId="271" priority="55" operator="between">
      <formula>2</formula>
      <formula>5</formula>
    </cfRule>
    <cfRule type="cellIs" dxfId="270" priority="54" operator="greaterThan">
      <formula>5</formula>
    </cfRule>
    <cfRule type="cellIs" dxfId="269" priority="53" operator="equal">
      <formula>"-"</formula>
    </cfRule>
  </conditionalFormatting>
  <conditionalFormatting sqref="R6:R609">
    <cfRule type="cellIs" dxfId="268" priority="5" operator="equal">
      <formula>"-"</formula>
    </cfRule>
    <cfRule type="cellIs" dxfId="267" priority="6" operator="greaterThan">
      <formula>5</formula>
    </cfRule>
    <cfRule type="cellIs" dxfId="266" priority="7" operator="between">
      <formula>2</formula>
      <formula>5</formula>
    </cfRule>
    <cfRule type="cellIs" dxfId="265" priority="8" operator="lessThan">
      <formula>2</formula>
    </cfRule>
  </conditionalFormatting>
  <conditionalFormatting sqref="U6:U393">
    <cfRule type="cellIs" dxfId="264" priority="1" operator="equal">
      <formula>"-"</formula>
    </cfRule>
    <cfRule type="cellIs" dxfId="263" priority="4" operator="lessThan">
      <formula>2</formula>
    </cfRule>
    <cfRule type="cellIs" dxfId="262" priority="3" operator="between">
      <formula>2</formula>
      <formula>5</formula>
    </cfRule>
    <cfRule type="cellIs" dxfId="261" priority="2" operator="greaterThan">
      <formula>5</formula>
    </cfRule>
  </conditionalFormatting>
  <conditionalFormatting sqref="Y6:Y609">
    <cfRule type="cellIs" dxfId="260" priority="10" operator="greaterThan">
      <formula>5</formula>
    </cfRule>
    <cfRule type="cellIs" dxfId="259" priority="11" operator="between">
      <formula>2</formula>
      <formula>5</formula>
    </cfRule>
    <cfRule type="cellIs" dxfId="258" priority="12" operator="lessThan">
      <formula>2</formula>
    </cfRule>
    <cfRule type="cellIs" dxfId="257" priority="9" operator="equal">
      <formula>"-"</formula>
    </cfRule>
  </conditionalFormatting>
  <conditionalFormatting sqref="AB6:AB393 AQ6:AQ393">
    <cfRule type="cellIs" dxfId="256" priority="49" operator="equal">
      <formula>"-"</formula>
    </cfRule>
    <cfRule type="cellIs" dxfId="255" priority="50" operator="greaterThan">
      <formula>5</formula>
    </cfRule>
    <cfRule type="cellIs" dxfId="254" priority="51" operator="between">
      <formula>2</formula>
      <formula>5</formula>
    </cfRule>
    <cfRule type="cellIs" dxfId="253" priority="52" operator="lessThan">
      <formula>2</formula>
    </cfRule>
  </conditionalFormatting>
  <conditionalFormatting sqref="AG6:AG609">
    <cfRule type="cellIs" dxfId="252" priority="42" operator="greaterThan">
      <formula>5</formula>
    </cfRule>
    <cfRule type="cellIs" dxfId="251" priority="43" operator="between">
      <formula>2</formula>
      <formula>5</formula>
    </cfRule>
    <cfRule type="cellIs" dxfId="250" priority="44" operator="lessThan">
      <formula>2</formula>
    </cfRule>
    <cfRule type="cellIs" dxfId="249" priority="41" operator="equal">
      <formula>"-"</formula>
    </cfRule>
  </conditionalFormatting>
  <conditionalFormatting sqref="AJ6:AJ393">
    <cfRule type="cellIs" dxfId="248" priority="37" operator="equal">
      <formula>"-"</formula>
    </cfRule>
    <cfRule type="cellIs" dxfId="247" priority="38" operator="greaterThan">
      <formula>5</formula>
    </cfRule>
    <cfRule type="cellIs" dxfId="246" priority="39" operator="between">
      <formula>2</formula>
      <formula>5</formula>
    </cfRule>
    <cfRule type="cellIs" dxfId="245" priority="40" operator="lessThan">
      <formula>2</formula>
    </cfRule>
  </conditionalFormatting>
  <conditionalFormatting sqref="AN6:AN609">
    <cfRule type="cellIs" dxfId="244" priority="45" operator="equal">
      <formula>"-"</formula>
    </cfRule>
    <cfRule type="cellIs" dxfId="243" priority="46" operator="greaterThan">
      <formula>5</formula>
    </cfRule>
    <cfRule type="cellIs" dxfId="242" priority="47" operator="between">
      <formula>2</formula>
      <formula>5</formula>
    </cfRule>
    <cfRule type="cellIs" dxfId="241" priority="48" operator="lessThan">
      <formula>2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F73BC-B40B-4628-905E-6191685512FA}">
  <sheetPr>
    <tabColor rgb="FF92D050"/>
  </sheetPr>
  <dimension ref="A1:AQ631"/>
  <sheetViews>
    <sheetView zoomScale="61" zoomScaleNormal="115" workbookViewId="0">
      <pane xSplit="1" ySplit="5" topLeftCell="B6" activePane="bottomRight" state="frozen"/>
      <selection activeCell="A2" sqref="A2"/>
      <selection pane="topRight" activeCell="A2" sqref="A2"/>
      <selection pane="bottomLeft" activeCell="A2" sqref="A2"/>
      <selection pane="bottomRight" activeCell="A2" sqref="A2"/>
    </sheetView>
  </sheetViews>
  <sheetFormatPr baseColWidth="10" defaultColWidth="8.6640625" defaultRowHeight="14" outlineLevelRow="1" outlineLevelCol="1" x14ac:dyDescent="0.15"/>
  <cols>
    <col min="1" max="1" width="12.5" style="3" customWidth="1"/>
    <col min="2" max="2" width="9.83203125" style="3" bestFit="1" customWidth="1" outlineLevel="1"/>
    <col min="3" max="3" width="16.33203125" style="3" customWidth="1"/>
    <col min="4" max="4" width="10.33203125" style="3" customWidth="1"/>
    <col min="5" max="5" width="10.6640625" style="3" customWidth="1"/>
    <col min="6" max="6" width="18.33203125" style="3" customWidth="1" outlineLevel="1"/>
    <col min="7" max="7" width="15.83203125" style="3" customWidth="1"/>
    <col min="8" max="8" width="13.5" style="2" customWidth="1"/>
    <col min="9" max="9" width="14.1640625" style="2" customWidth="1"/>
    <col min="10" max="10" width="17.1640625" style="2" customWidth="1"/>
    <col min="11" max="11" width="21.5" style="2" customWidth="1"/>
    <col min="12" max="12" width="11.1640625" style="3" customWidth="1"/>
    <col min="13" max="13" width="26.6640625" style="3" bestFit="1" customWidth="1"/>
    <col min="14" max="14" width="13.5" style="2" customWidth="1"/>
    <col min="15" max="15" width="14.1640625" style="2" customWidth="1"/>
    <col min="16" max="16" width="17.1640625" style="2" customWidth="1"/>
    <col min="17" max="17" width="21.5" style="2" customWidth="1"/>
    <col min="18" max="18" width="11.1640625" style="3" customWidth="1"/>
    <col min="19" max="19" width="26.6640625" style="3" bestFit="1" customWidth="1"/>
    <col min="20" max="21" width="26.6640625" style="3" customWidth="1"/>
    <col min="22" max="22" width="11.83203125" style="3" customWidth="1"/>
    <col min="23" max="23" width="11.5" style="3" customWidth="1"/>
    <col min="24" max="24" width="19.1640625" style="3" customWidth="1"/>
    <col min="25" max="25" width="8.6640625" style="3"/>
    <col min="26" max="26" width="16.6640625" style="3" bestFit="1" customWidth="1"/>
    <col min="27" max="28" width="20.83203125" style="3" customWidth="1"/>
    <col min="29" max="29" width="13.5" style="2" customWidth="1"/>
    <col min="30" max="30" width="14.1640625" style="2" customWidth="1"/>
    <col min="31" max="31" width="17.1640625" style="2" customWidth="1"/>
    <col min="32" max="32" width="21.5" style="2" customWidth="1"/>
    <col min="33" max="33" width="11.1640625" style="3" customWidth="1"/>
    <col min="34" max="34" width="26.6640625" style="3" bestFit="1" customWidth="1"/>
    <col min="35" max="36" width="26.6640625" style="3" customWidth="1"/>
    <col min="37" max="37" width="11.83203125" style="3" customWidth="1"/>
    <col min="38" max="38" width="11.5" style="3" customWidth="1"/>
    <col min="39" max="39" width="19.1640625" style="3" customWidth="1"/>
    <col min="40" max="40" width="8.6640625" style="3"/>
    <col min="41" max="41" width="16.6640625" style="3" bestFit="1" customWidth="1"/>
    <col min="42" max="43" width="20.83203125" style="3" customWidth="1"/>
    <col min="44" max="16384" width="8.6640625" style="3"/>
  </cols>
  <sheetData>
    <row r="1" spans="1:43" x14ac:dyDescent="0.15">
      <c r="H1" s="297" t="s">
        <v>2286</v>
      </c>
      <c r="I1" s="297"/>
      <c r="J1" s="297"/>
      <c r="K1" s="297"/>
      <c r="L1" s="297"/>
      <c r="M1" s="297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  <c r="Z1" s="298"/>
      <c r="AA1" s="298"/>
      <c r="AB1" s="298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</row>
    <row r="2" spans="1:43" ht="16" x14ac:dyDescent="0.2">
      <c r="A2" s="1" t="s">
        <v>2293</v>
      </c>
      <c r="B2" s="2"/>
      <c r="C2" s="2"/>
      <c r="D2" s="2"/>
      <c r="E2" s="2"/>
      <c r="F2" s="2"/>
      <c r="G2" s="2"/>
      <c r="H2" s="278" t="s">
        <v>2090</v>
      </c>
      <c r="I2" s="278"/>
      <c r="J2" s="278"/>
      <c r="K2" s="278"/>
      <c r="L2" s="278"/>
      <c r="M2" s="279"/>
      <c r="N2" s="278" t="s">
        <v>938</v>
      </c>
      <c r="O2" s="278"/>
      <c r="P2" s="278"/>
      <c r="Q2" s="278"/>
      <c r="R2" s="278"/>
      <c r="S2" s="278"/>
      <c r="T2" s="278"/>
      <c r="U2" s="278"/>
      <c r="V2" s="285" t="s">
        <v>1742</v>
      </c>
      <c r="W2" s="285"/>
      <c r="X2" s="285"/>
      <c r="Y2" s="285"/>
      <c r="Z2" s="285"/>
      <c r="AA2" s="285"/>
      <c r="AB2" s="285"/>
      <c r="AC2" s="278" t="s">
        <v>938</v>
      </c>
      <c r="AD2" s="278"/>
      <c r="AE2" s="278"/>
      <c r="AF2" s="278"/>
      <c r="AG2" s="278"/>
      <c r="AH2" s="278"/>
      <c r="AI2" s="278"/>
      <c r="AJ2" s="278"/>
      <c r="AK2" s="285" t="s">
        <v>1742</v>
      </c>
      <c r="AL2" s="285"/>
      <c r="AM2" s="285"/>
      <c r="AN2" s="285"/>
      <c r="AO2" s="285"/>
      <c r="AP2" s="285"/>
      <c r="AQ2" s="285"/>
    </row>
    <row r="3" spans="1:43" ht="13.75" customHeight="1" x14ac:dyDescent="0.15">
      <c r="A3" s="276" t="s">
        <v>1</v>
      </c>
      <c r="B3" s="276" t="s">
        <v>2</v>
      </c>
      <c r="C3" s="276" t="s">
        <v>3</v>
      </c>
      <c r="D3" s="276" t="s">
        <v>4</v>
      </c>
      <c r="E3" s="276" t="s">
        <v>5</v>
      </c>
      <c r="F3" s="276" t="s">
        <v>6</v>
      </c>
      <c r="G3" s="284" t="s">
        <v>7</v>
      </c>
      <c r="H3" s="271" t="s">
        <v>8</v>
      </c>
      <c r="I3" s="271" t="s">
        <v>2091</v>
      </c>
      <c r="J3" s="271" t="s">
        <v>626</v>
      </c>
      <c r="K3" s="271" t="s">
        <v>627</v>
      </c>
      <c r="L3" s="271" t="s">
        <v>10</v>
      </c>
      <c r="M3" s="295" t="s">
        <v>11</v>
      </c>
      <c r="N3" s="275" t="s">
        <v>8</v>
      </c>
      <c r="O3" s="275" t="s">
        <v>9</v>
      </c>
      <c r="P3" s="275" t="s">
        <v>626</v>
      </c>
      <c r="Q3" s="275" t="s">
        <v>627</v>
      </c>
      <c r="R3" s="275" t="s">
        <v>10</v>
      </c>
      <c r="S3" s="276" t="s">
        <v>11</v>
      </c>
      <c r="T3" s="275" t="s">
        <v>2096</v>
      </c>
      <c r="U3" s="275" t="s">
        <v>10</v>
      </c>
      <c r="V3" s="275" t="s">
        <v>8</v>
      </c>
      <c r="W3" s="275" t="s">
        <v>1743</v>
      </c>
      <c r="X3" s="275" t="s">
        <v>1744</v>
      </c>
      <c r="Y3" s="275" t="s">
        <v>10</v>
      </c>
      <c r="Z3" s="276" t="s">
        <v>11</v>
      </c>
      <c r="AA3" s="275" t="s">
        <v>2096</v>
      </c>
      <c r="AB3" s="275" t="s">
        <v>10</v>
      </c>
      <c r="AC3" s="275" t="s">
        <v>8</v>
      </c>
      <c r="AD3" s="275" t="s">
        <v>9</v>
      </c>
      <c r="AE3" s="275" t="s">
        <v>626</v>
      </c>
      <c r="AF3" s="275" t="s">
        <v>627</v>
      </c>
      <c r="AG3" s="275" t="s">
        <v>10</v>
      </c>
      <c r="AH3" s="276" t="s">
        <v>11</v>
      </c>
      <c r="AI3" s="275" t="s">
        <v>2096</v>
      </c>
      <c r="AJ3" s="275" t="s">
        <v>10</v>
      </c>
      <c r="AK3" s="275" t="s">
        <v>8</v>
      </c>
      <c r="AL3" s="275" t="s">
        <v>1743</v>
      </c>
      <c r="AM3" s="275" t="s">
        <v>1744</v>
      </c>
      <c r="AN3" s="275" t="s">
        <v>10</v>
      </c>
      <c r="AO3" s="276" t="s">
        <v>11</v>
      </c>
      <c r="AP3" s="275" t="s">
        <v>2096</v>
      </c>
      <c r="AQ3" s="275" t="s">
        <v>10</v>
      </c>
    </row>
    <row r="4" spans="1:43" x14ac:dyDescent="0.15">
      <c r="A4" s="276"/>
      <c r="B4" s="276"/>
      <c r="C4" s="276"/>
      <c r="D4" s="276"/>
      <c r="E4" s="276"/>
      <c r="F4" s="276"/>
      <c r="G4" s="284"/>
      <c r="H4" s="272"/>
      <c r="I4" s="272"/>
      <c r="J4" s="272"/>
      <c r="K4" s="272"/>
      <c r="L4" s="272"/>
      <c r="M4" s="296"/>
      <c r="N4" s="275"/>
      <c r="O4" s="275"/>
      <c r="P4" s="275"/>
      <c r="Q4" s="275"/>
      <c r="R4" s="275"/>
      <c r="S4" s="276"/>
      <c r="T4" s="275"/>
      <c r="U4" s="275"/>
      <c r="V4" s="275"/>
      <c r="W4" s="275"/>
      <c r="X4" s="275"/>
      <c r="Y4" s="275"/>
      <c r="Z4" s="276"/>
      <c r="AA4" s="275"/>
      <c r="AB4" s="275"/>
      <c r="AC4" s="275"/>
      <c r="AD4" s="275"/>
      <c r="AE4" s="275"/>
      <c r="AF4" s="275"/>
      <c r="AG4" s="275"/>
      <c r="AH4" s="276"/>
      <c r="AI4" s="275"/>
      <c r="AJ4" s="275"/>
      <c r="AK4" s="275"/>
      <c r="AL4" s="275"/>
      <c r="AM4" s="275"/>
      <c r="AN4" s="275"/>
      <c r="AO4" s="276"/>
      <c r="AP4" s="275"/>
      <c r="AQ4" s="275"/>
    </row>
    <row r="5" spans="1:43" ht="10.5" customHeight="1" x14ac:dyDescent="0.15">
      <c r="A5" s="4"/>
      <c r="B5" s="4"/>
      <c r="C5" s="4"/>
      <c r="D5" s="4"/>
      <c r="E5" s="4"/>
      <c r="F5" s="4"/>
      <c r="G5" s="5"/>
      <c r="H5" s="6"/>
      <c r="I5" s="6"/>
      <c r="J5" s="6"/>
      <c r="K5" s="6"/>
      <c r="L5" s="6"/>
      <c r="M5" s="185"/>
      <c r="N5" s="6"/>
      <c r="O5" s="6"/>
      <c r="P5" s="6"/>
      <c r="Q5" s="6"/>
      <c r="R5" s="6"/>
      <c r="S5" s="7"/>
      <c r="T5" s="7"/>
      <c r="U5" s="7"/>
      <c r="V5" s="6"/>
      <c r="W5" s="6"/>
      <c r="X5" s="6"/>
      <c r="Y5" s="6"/>
      <c r="Z5" s="7"/>
      <c r="AA5" s="7"/>
      <c r="AB5" s="7"/>
      <c r="AC5" s="6"/>
      <c r="AD5" s="6"/>
      <c r="AE5" s="6"/>
      <c r="AF5" s="6"/>
      <c r="AG5" s="6"/>
      <c r="AH5" s="7"/>
      <c r="AI5" s="7"/>
      <c r="AJ5" s="7"/>
      <c r="AK5" s="6"/>
      <c r="AL5" s="6"/>
      <c r="AM5" s="6"/>
      <c r="AN5" s="6"/>
      <c r="AO5" s="7"/>
      <c r="AP5" s="7"/>
      <c r="AQ5" s="7"/>
    </row>
    <row r="6" spans="1:43" outlineLevel="1" x14ac:dyDescent="0.15">
      <c r="A6" s="8" t="s">
        <v>1821</v>
      </c>
      <c r="B6" s="8"/>
      <c r="C6" s="8" t="s">
        <v>14</v>
      </c>
      <c r="D6" s="186" t="s">
        <v>1822</v>
      </c>
      <c r="E6" s="9">
        <v>35.89</v>
      </c>
      <c r="F6" s="8" t="s">
        <v>1823</v>
      </c>
      <c r="G6" s="10">
        <v>5267</v>
      </c>
      <c r="H6" s="11">
        <f t="array" ref="H6">IF(OR(N6&gt;0,AC6&gt;0),MAX(N6,AC6),MAX(AK6,V6))</f>
        <v>46241</v>
      </c>
      <c r="I6" s="143">
        <f t="array" ref="I6">IF(SUM(O6,AD6)&gt;0,SUM(O6,AD6),SUM(AL6,W6))</f>
        <v>106</v>
      </c>
      <c r="J6" s="9">
        <f t="shared" ref="J6:J69" si="0">IF(P6&gt;0,P6," ")</f>
        <v>2.0125308524776915</v>
      </c>
      <c r="K6" s="143">
        <f>IF(SUM(Q6,AF6)&gt;0,SUM(Q6,AF6),SUM(AM6,X6))</f>
        <v>13</v>
      </c>
      <c r="L6" s="9">
        <f t="shared" ref="L6:L69" si="1">IFERROR(K6/I6*100,0)</f>
        <v>12.264150943396226</v>
      </c>
      <c r="M6" s="8" t="str">
        <f t="array" ref="M6">IF(L6&gt;5,"Perlu Sensus",IF(AND(L6&gt;=0,I6&gt;0),"Tetap Deteksi","Belum Deteksi"))</f>
        <v>Perlu Sensus</v>
      </c>
      <c r="N6" s="11">
        <v>46241</v>
      </c>
      <c r="O6" s="143">
        <v>106</v>
      </c>
      <c r="P6" s="9">
        <f t="array" ref="P6">IFERROR(O6/$G6*100,0)</f>
        <v>2.0125308524776915</v>
      </c>
      <c r="Q6" s="143">
        <v>13</v>
      </c>
      <c r="R6" s="9">
        <f t="shared" ref="R6:R69" si="2">IFERROR(Q6/O6*100,0)</f>
        <v>12.264150943396226</v>
      </c>
      <c r="S6" s="8" t="str">
        <f t="array" ref="S6">IF(R6&gt;5,"Perlu Sensus",IF(AND(R6&gt;=0,O6&gt;0),"Tetap Deteksi","Belum Deteksi"))</f>
        <v>Perlu Sensus</v>
      </c>
      <c r="T6" s="143">
        <v>29</v>
      </c>
      <c r="U6" s="9">
        <f t="shared" ref="U6:U69" si="3">IFERROR(T6/O6*100,0)</f>
        <v>27.358490566037734</v>
      </c>
      <c r="V6" s="11">
        <v>0</v>
      </c>
      <c r="W6" s="143">
        <v>0</v>
      </c>
      <c r="X6" s="143">
        <v>0</v>
      </c>
      <c r="Y6" s="9">
        <f t="shared" ref="Y6:Y69" si="4">IFERROR(X6/W6*100,0)</f>
        <v>0</v>
      </c>
      <c r="Z6" s="8" t="str">
        <f t="array" ref="Z6">IF(Y6&gt;5,"Perlu Sensus",IF(AND(Y6&gt;=0,W6&gt;0),"Tetap Deteksi","Belum Deteksi"))</f>
        <v>Belum Deteksi</v>
      </c>
      <c r="AA6" s="143">
        <v>0</v>
      </c>
      <c r="AB6" s="9">
        <f t="shared" ref="AB6:AB69" si="5">IFERROR(AA6/W6*100,0)</f>
        <v>0</v>
      </c>
      <c r="AC6" s="11"/>
      <c r="AD6" s="143"/>
      <c r="AE6" s="9">
        <f t="array" ref="AE6">IFERROR(AD6/$G6*100,0)</f>
        <v>0</v>
      </c>
      <c r="AF6" s="143"/>
      <c r="AG6" s="9">
        <f t="shared" ref="AG6:AG69" si="6">IFERROR(AF6/AD6*100,0)</f>
        <v>0</v>
      </c>
      <c r="AH6" s="8" t="str">
        <f t="array" ref="AH6">IF(AG6&gt;5,"Perlu Sensus",IF(AND(AG6&gt;=0,AD6&gt;0),"Tetap Deteksi","Belum Deteksi"))</f>
        <v>Belum Deteksi</v>
      </c>
      <c r="AI6" s="143"/>
      <c r="AJ6" s="9">
        <f t="shared" ref="AJ6:AJ69" si="7">IFERROR(AI6/AD6*100,0)</f>
        <v>0</v>
      </c>
      <c r="AK6" s="11"/>
      <c r="AL6" s="143"/>
      <c r="AM6" s="143"/>
      <c r="AN6" s="9">
        <f t="shared" ref="AN6:AN69" si="8">IFERROR(AM6/AL6*100,0)</f>
        <v>0</v>
      </c>
      <c r="AO6" s="8" t="str">
        <f t="array" ref="AO6">IF(AN6&gt;5,"Perlu Sensus",IF(AND(AN6&gt;=0,AL6&gt;0),"Tetap Deteksi","Belum Deteksi"))</f>
        <v>Belum Deteksi</v>
      </c>
      <c r="AP6" s="143"/>
      <c r="AQ6" s="9">
        <f t="shared" ref="AQ6:AQ69" si="9">IFERROR(AP6/AL6*100,0)</f>
        <v>0</v>
      </c>
    </row>
    <row r="7" spans="1:43" outlineLevel="1" x14ac:dyDescent="0.15">
      <c r="A7" s="8" t="s">
        <v>1821</v>
      </c>
      <c r="B7" s="8"/>
      <c r="C7" s="8" t="s">
        <v>14</v>
      </c>
      <c r="D7" s="186" t="s">
        <v>1824</v>
      </c>
      <c r="E7" s="9">
        <v>31.93</v>
      </c>
      <c r="F7" s="8" t="s">
        <v>1823</v>
      </c>
      <c r="G7" s="10">
        <v>4570</v>
      </c>
      <c r="H7" s="11">
        <f t="array" ref="H7">IF(OR(N7&gt;0,AC7&gt;0),MAX(N7,AC7),MAX(AK7,V7))</f>
        <v>46241</v>
      </c>
      <c r="I7" s="143">
        <f t="array" ref="I7">IF(SUM(O7,AD7)&gt;0,SUM(O7,AD7),SUM(AL7,W7))</f>
        <v>116</v>
      </c>
      <c r="J7" s="9">
        <f t="shared" si="0"/>
        <v>2.5382932166301968</v>
      </c>
      <c r="K7" s="143">
        <f t="shared" ref="K7:K70" si="10">IF(SUM(Q7,AF7)&gt;0,SUM(Q7,AF7),SUM(AM7,X7))</f>
        <v>13</v>
      </c>
      <c r="L7" s="9">
        <f t="shared" si="1"/>
        <v>11.206896551724139</v>
      </c>
      <c r="M7" s="8" t="str">
        <f t="array" ref="M7">IF(L7&gt;5,"Perlu Sensus",IF(AND(L7&gt;=0,I7&gt;0),"Tetap Deteksi","Belum Deteksi"))</f>
        <v>Perlu Sensus</v>
      </c>
      <c r="N7" s="11">
        <v>46241</v>
      </c>
      <c r="O7" s="143">
        <v>116</v>
      </c>
      <c r="P7" s="9">
        <f t="array" ref="P7">IFERROR(O7/$G7*100,0)</f>
        <v>2.5382932166301968</v>
      </c>
      <c r="Q7" s="143">
        <v>13</v>
      </c>
      <c r="R7" s="9">
        <f t="shared" si="2"/>
        <v>11.206896551724139</v>
      </c>
      <c r="S7" s="8" t="str">
        <f t="array" ref="S7">IF(R7&gt;5,"Perlu Sensus",IF(AND(R7&gt;=0,O7&gt;0),"Tetap Deteksi","Belum Deteksi"))</f>
        <v>Perlu Sensus</v>
      </c>
      <c r="T7" s="143">
        <v>30</v>
      </c>
      <c r="U7" s="9">
        <f t="shared" si="3"/>
        <v>25.862068965517242</v>
      </c>
      <c r="V7" s="11">
        <v>0</v>
      </c>
      <c r="W7" s="143">
        <v>0</v>
      </c>
      <c r="X7" s="143">
        <v>0</v>
      </c>
      <c r="Y7" s="9">
        <f t="shared" si="4"/>
        <v>0</v>
      </c>
      <c r="Z7" s="8" t="str">
        <f t="array" ref="Z7">IF(Y7&gt;5,"Perlu Sensus",IF(AND(Y7&gt;=0,W7&gt;0),"Tetap Deteksi","Belum Deteksi"))</f>
        <v>Belum Deteksi</v>
      </c>
      <c r="AA7" s="143">
        <v>0</v>
      </c>
      <c r="AB7" s="9">
        <f t="shared" si="5"/>
        <v>0</v>
      </c>
      <c r="AC7" s="11"/>
      <c r="AD7" s="143"/>
      <c r="AE7" s="9">
        <f t="array" ref="AE7">IFERROR(AD7/$G7*100,0)</f>
        <v>0</v>
      </c>
      <c r="AF7" s="143"/>
      <c r="AG7" s="9">
        <f t="shared" si="6"/>
        <v>0</v>
      </c>
      <c r="AH7" s="8" t="str">
        <f t="array" ref="AH7">IF(AG7&gt;5,"Perlu Sensus",IF(AND(AG7&gt;=0,AD7&gt;0),"Tetap Deteksi","Belum Deteksi"))</f>
        <v>Belum Deteksi</v>
      </c>
      <c r="AI7" s="143"/>
      <c r="AJ7" s="9">
        <f t="shared" si="7"/>
        <v>0</v>
      </c>
      <c r="AK7" s="11"/>
      <c r="AL7" s="143"/>
      <c r="AM7" s="143"/>
      <c r="AN7" s="9">
        <f t="shared" si="8"/>
        <v>0</v>
      </c>
      <c r="AO7" s="8" t="str">
        <f t="array" ref="AO7">IF(AN7&gt;5,"Perlu Sensus",IF(AND(AN7&gt;=0,AL7&gt;0),"Tetap Deteksi","Belum Deteksi"))</f>
        <v>Belum Deteksi</v>
      </c>
      <c r="AP7" s="143"/>
      <c r="AQ7" s="9">
        <f t="shared" si="9"/>
        <v>0</v>
      </c>
    </row>
    <row r="8" spans="1:43" outlineLevel="1" x14ac:dyDescent="0.15">
      <c r="A8" s="8" t="s">
        <v>1821</v>
      </c>
      <c r="B8" s="8"/>
      <c r="C8" s="8" t="s">
        <v>14</v>
      </c>
      <c r="D8" s="186" t="s">
        <v>1814</v>
      </c>
      <c r="E8" s="9">
        <v>30.200000000000003</v>
      </c>
      <c r="F8" s="8" t="s">
        <v>1823</v>
      </c>
      <c r="G8" s="10">
        <v>3653</v>
      </c>
      <c r="H8" s="11">
        <f t="array" ref="H8">IF(OR(N8&gt;0,AC8&gt;0),MAX(N8,AC8),MAX(AK8,V8))</f>
        <v>46237</v>
      </c>
      <c r="I8" s="143">
        <f t="array" ref="I8">IF(SUM(O8,AD8)&gt;0,SUM(O8,AD8),SUM(AL8,W8))</f>
        <v>112</v>
      </c>
      <c r="J8" s="9">
        <f t="shared" si="0"/>
        <v>3.0659731727347386</v>
      </c>
      <c r="K8" s="143">
        <f t="shared" si="10"/>
        <v>11</v>
      </c>
      <c r="L8" s="9">
        <f t="shared" si="1"/>
        <v>9.8214285714285712</v>
      </c>
      <c r="M8" s="8" t="str">
        <f t="array" ref="M8">IF(L8&gt;5,"Perlu Sensus",IF(AND(L8&gt;=0,I8&gt;0),"Tetap Deteksi","Belum Deteksi"))</f>
        <v>Perlu Sensus</v>
      </c>
      <c r="N8" s="11">
        <v>46237</v>
      </c>
      <c r="O8" s="143">
        <v>112</v>
      </c>
      <c r="P8" s="9">
        <f t="array" ref="P8">IFERROR(O8/$G8*100,0)</f>
        <v>3.0659731727347386</v>
      </c>
      <c r="Q8" s="143">
        <v>11</v>
      </c>
      <c r="R8" s="9">
        <f t="shared" si="2"/>
        <v>9.8214285714285712</v>
      </c>
      <c r="S8" s="8" t="str">
        <f t="array" ref="S8">IF(R8&gt;5,"Perlu Sensus",IF(AND(R8&gt;=0,O8&gt;0),"Tetap Deteksi","Belum Deteksi"))</f>
        <v>Perlu Sensus</v>
      </c>
      <c r="T8" s="143">
        <v>26</v>
      </c>
      <c r="U8" s="9">
        <f t="shared" si="3"/>
        <v>23.214285714285715</v>
      </c>
      <c r="V8" s="11">
        <v>46245</v>
      </c>
      <c r="W8" s="143">
        <v>773</v>
      </c>
      <c r="X8" s="143">
        <v>105</v>
      </c>
      <c r="Y8" s="9">
        <f t="shared" si="4"/>
        <v>13.583441138421733</v>
      </c>
      <c r="Z8" s="8" t="str">
        <f t="array" ref="Z8">IF(Y8&gt;5,"Perlu Sensus",IF(AND(Y8&gt;=0,W8&gt;0),"Tetap Deteksi","Belum Deteksi"))</f>
        <v>Perlu Sensus</v>
      </c>
      <c r="AA8" s="143">
        <v>214</v>
      </c>
      <c r="AB8" s="9">
        <f t="shared" si="5"/>
        <v>27.684346701164298</v>
      </c>
      <c r="AC8" s="11"/>
      <c r="AD8" s="143"/>
      <c r="AE8" s="9">
        <f t="array" ref="AE8">IFERROR(AD8/$G8*100,0)</f>
        <v>0</v>
      </c>
      <c r="AF8" s="143"/>
      <c r="AG8" s="9">
        <f t="shared" si="6"/>
        <v>0</v>
      </c>
      <c r="AH8" s="8" t="str">
        <f t="array" ref="AH8">IF(AG8&gt;5,"Perlu Sensus",IF(AND(AG8&gt;=0,AD8&gt;0),"Tetap Deteksi","Belum Deteksi"))</f>
        <v>Belum Deteksi</v>
      </c>
      <c r="AI8" s="143"/>
      <c r="AJ8" s="9">
        <f t="shared" si="7"/>
        <v>0</v>
      </c>
      <c r="AK8" s="11"/>
      <c r="AL8" s="143"/>
      <c r="AM8" s="143"/>
      <c r="AN8" s="9">
        <f t="shared" si="8"/>
        <v>0</v>
      </c>
      <c r="AO8" s="8" t="str">
        <f t="array" ref="AO8">IF(AN8&gt;5,"Perlu Sensus",IF(AND(AN8&gt;=0,AL8&gt;0),"Tetap Deteksi","Belum Deteksi"))</f>
        <v>Belum Deteksi</v>
      </c>
      <c r="AP8" s="143"/>
      <c r="AQ8" s="9">
        <f t="shared" si="9"/>
        <v>0</v>
      </c>
    </row>
    <row r="9" spans="1:43" outlineLevel="1" x14ac:dyDescent="0.15">
      <c r="A9" s="8" t="s">
        <v>1821</v>
      </c>
      <c r="B9" s="8"/>
      <c r="C9" s="8" t="s">
        <v>14</v>
      </c>
      <c r="D9" s="186" t="s">
        <v>1037</v>
      </c>
      <c r="E9" s="9">
        <v>22.69</v>
      </c>
      <c r="F9" s="8" t="s">
        <v>1823</v>
      </c>
      <c r="G9" s="10">
        <v>3347.9999999999995</v>
      </c>
      <c r="H9" s="11">
        <f t="array" ref="H9">IF(OR(N9&gt;0,AC9&gt;0),MAX(N9,AC9),MAX(AK9,V9))</f>
        <v>46237</v>
      </c>
      <c r="I9" s="143">
        <f t="array" ref="I9">IF(SUM(O9,AD9)&gt;0,SUM(O9,AD9),SUM(AL9,W9))</f>
        <v>108</v>
      </c>
      <c r="J9" s="9">
        <f t="shared" si="0"/>
        <v>3.2258064516129039</v>
      </c>
      <c r="K9" s="143">
        <f t="shared" si="10"/>
        <v>9</v>
      </c>
      <c r="L9" s="9">
        <f t="shared" si="1"/>
        <v>8.3333333333333321</v>
      </c>
      <c r="M9" s="8" t="str">
        <f t="array" ref="M9">IF(L9&gt;5,"Perlu Sensus",IF(AND(L9&gt;=0,I9&gt;0),"Tetap Deteksi","Belum Deteksi"))</f>
        <v>Perlu Sensus</v>
      </c>
      <c r="N9" s="11">
        <v>46237</v>
      </c>
      <c r="O9" s="143">
        <v>108</v>
      </c>
      <c r="P9" s="9">
        <f t="array" ref="P9">IFERROR(O9/$G9*100,0)</f>
        <v>3.2258064516129039</v>
      </c>
      <c r="Q9" s="143">
        <v>9</v>
      </c>
      <c r="R9" s="9">
        <f t="shared" si="2"/>
        <v>8.3333333333333321</v>
      </c>
      <c r="S9" s="8" t="str">
        <f t="array" ref="S9">IF(R9&gt;5,"Perlu Sensus",IF(AND(R9&gt;=0,O9&gt;0),"Tetap Deteksi","Belum Deteksi"))</f>
        <v>Perlu Sensus</v>
      </c>
      <c r="T9" s="143">
        <v>22</v>
      </c>
      <c r="U9" s="9">
        <f t="shared" si="3"/>
        <v>20.37037037037037</v>
      </c>
      <c r="V9" s="11">
        <v>0</v>
      </c>
      <c r="W9" s="143">
        <v>0</v>
      </c>
      <c r="X9" s="143">
        <v>0</v>
      </c>
      <c r="Y9" s="9">
        <f t="shared" si="4"/>
        <v>0</v>
      </c>
      <c r="Z9" s="8" t="str">
        <f t="array" ref="Z9">IF(Y9&gt;5,"Perlu Sensus",IF(AND(Y9&gt;=0,W9&gt;0),"Tetap Deteksi","Belum Deteksi"))</f>
        <v>Belum Deteksi</v>
      </c>
      <c r="AA9" s="143">
        <v>0</v>
      </c>
      <c r="AB9" s="9">
        <f t="shared" si="5"/>
        <v>0</v>
      </c>
      <c r="AC9" s="11"/>
      <c r="AD9" s="143"/>
      <c r="AE9" s="9">
        <f t="array" ref="AE9">IFERROR(AD9/$G9*100,0)</f>
        <v>0</v>
      </c>
      <c r="AF9" s="143"/>
      <c r="AG9" s="9">
        <f t="shared" si="6"/>
        <v>0</v>
      </c>
      <c r="AH9" s="8" t="str">
        <f t="array" ref="AH9">IF(AG9&gt;5,"Perlu Sensus",IF(AND(AG9&gt;=0,AD9&gt;0),"Tetap Deteksi","Belum Deteksi"))</f>
        <v>Belum Deteksi</v>
      </c>
      <c r="AI9" s="143"/>
      <c r="AJ9" s="9">
        <f t="shared" si="7"/>
        <v>0</v>
      </c>
      <c r="AK9" s="11"/>
      <c r="AL9" s="143"/>
      <c r="AM9" s="143"/>
      <c r="AN9" s="9">
        <f t="shared" si="8"/>
        <v>0</v>
      </c>
      <c r="AO9" s="8" t="str">
        <f t="array" ref="AO9">IF(AN9&gt;5,"Perlu Sensus",IF(AND(AN9&gt;=0,AL9&gt;0),"Tetap Deteksi","Belum Deteksi"))</f>
        <v>Belum Deteksi</v>
      </c>
      <c r="AP9" s="143"/>
      <c r="AQ9" s="9">
        <f t="shared" si="9"/>
        <v>0</v>
      </c>
    </row>
    <row r="10" spans="1:43" outlineLevel="1" x14ac:dyDescent="0.15">
      <c r="A10" s="8" t="s">
        <v>1821</v>
      </c>
      <c r="B10" s="8"/>
      <c r="C10" s="8" t="s">
        <v>14</v>
      </c>
      <c r="D10" s="186" t="s">
        <v>1035</v>
      </c>
      <c r="E10" s="9">
        <v>24.82</v>
      </c>
      <c r="F10" s="8" t="s">
        <v>1823</v>
      </c>
      <c r="G10" s="10">
        <v>3432</v>
      </c>
      <c r="H10" s="11">
        <f t="array" ref="H10">IF(OR(N10&gt;0,AC10&gt;0),MAX(N10,AC10),MAX(AK10,V10))</f>
        <v>46248</v>
      </c>
      <c r="I10" s="143">
        <f t="array" ref="I10">IF(SUM(O10,AD10)&gt;0,SUM(O10,AD10),SUM(AL10,W10))</f>
        <v>112</v>
      </c>
      <c r="J10" s="9">
        <f t="shared" si="0"/>
        <v>3.263403263403263</v>
      </c>
      <c r="K10" s="143">
        <f t="shared" si="10"/>
        <v>4</v>
      </c>
      <c r="L10" s="9">
        <f t="shared" si="1"/>
        <v>3.5714285714285712</v>
      </c>
      <c r="M10" s="8" t="str">
        <f t="array" ref="M10">IF(L10&gt;5,"Perlu Sensus",IF(AND(L10&gt;=0,I10&gt;0),"Tetap Deteksi","Belum Deteksi"))</f>
        <v>Tetap Deteksi</v>
      </c>
      <c r="N10" s="11">
        <v>46248</v>
      </c>
      <c r="O10" s="143">
        <v>112</v>
      </c>
      <c r="P10" s="9">
        <f t="array" ref="P10">IFERROR(O10/$G10*100,0)</f>
        <v>3.263403263403263</v>
      </c>
      <c r="Q10" s="143">
        <v>4</v>
      </c>
      <c r="R10" s="9">
        <f t="shared" si="2"/>
        <v>3.5714285714285712</v>
      </c>
      <c r="S10" s="8" t="str">
        <f t="array" ref="S10">IF(R10&gt;5,"Perlu Sensus",IF(AND(R10&gt;=0,O10&gt;0),"Tetap Deteksi","Belum Deteksi"))</f>
        <v>Tetap Deteksi</v>
      </c>
      <c r="T10" s="143">
        <v>0</v>
      </c>
      <c r="U10" s="9">
        <f t="shared" si="3"/>
        <v>0</v>
      </c>
      <c r="V10" s="11">
        <v>46246</v>
      </c>
      <c r="W10" s="143">
        <v>1030</v>
      </c>
      <c r="X10" s="143">
        <v>74</v>
      </c>
      <c r="Y10" s="9">
        <f t="shared" si="4"/>
        <v>7.1844660194174752</v>
      </c>
      <c r="Z10" s="8" t="str">
        <f t="array" ref="Z10">IF(Y10&gt;5,"Perlu Sensus",IF(AND(Y10&gt;=0,W10&gt;0),"Tetap Deteksi","Belum Deteksi"))</f>
        <v>Perlu Sensus</v>
      </c>
      <c r="AA10" s="143">
        <v>93</v>
      </c>
      <c r="AB10" s="9">
        <f t="shared" si="5"/>
        <v>9.0291262135922334</v>
      </c>
      <c r="AC10" s="11"/>
      <c r="AD10" s="143"/>
      <c r="AE10" s="9">
        <f t="array" ref="AE10">IFERROR(AD10/$G10*100,0)</f>
        <v>0</v>
      </c>
      <c r="AF10" s="143"/>
      <c r="AG10" s="9">
        <f t="shared" si="6"/>
        <v>0</v>
      </c>
      <c r="AH10" s="8" t="str">
        <f t="array" ref="AH10">IF(AG10&gt;5,"Perlu Sensus",IF(AND(AG10&gt;=0,AD10&gt;0),"Tetap Deteksi","Belum Deteksi"))</f>
        <v>Belum Deteksi</v>
      </c>
      <c r="AI10" s="143"/>
      <c r="AJ10" s="9">
        <f t="shared" si="7"/>
        <v>0</v>
      </c>
      <c r="AK10" s="11"/>
      <c r="AL10" s="143"/>
      <c r="AM10" s="143"/>
      <c r="AN10" s="9">
        <f t="shared" si="8"/>
        <v>0</v>
      </c>
      <c r="AO10" s="8" t="str">
        <f t="array" ref="AO10">IF(AN10&gt;5,"Perlu Sensus",IF(AND(AN10&gt;=0,AL10&gt;0),"Tetap Deteksi","Belum Deteksi"))</f>
        <v>Belum Deteksi</v>
      </c>
      <c r="AP10" s="143"/>
      <c r="AQ10" s="9">
        <f t="shared" si="9"/>
        <v>0</v>
      </c>
    </row>
    <row r="11" spans="1:43" outlineLevel="1" x14ac:dyDescent="0.15">
      <c r="A11" s="8" t="s">
        <v>1821</v>
      </c>
      <c r="B11" s="8"/>
      <c r="C11" s="8" t="s">
        <v>14</v>
      </c>
      <c r="D11" s="186" t="s">
        <v>1286</v>
      </c>
      <c r="E11" s="9">
        <v>24.6</v>
      </c>
      <c r="F11" s="8" t="s">
        <v>1823</v>
      </c>
      <c r="G11" s="10">
        <v>3578</v>
      </c>
      <c r="H11" s="11">
        <f t="array" ref="H11">IF(OR(N11&gt;0,AC11&gt;0),MAX(N11,AC11),MAX(AK11,V11))</f>
        <v>46248</v>
      </c>
      <c r="I11" s="143">
        <f t="array" ref="I11">IF(SUM(O11,AD11)&gt;0,SUM(O11,AD11),SUM(AL11,W11))</f>
        <v>86</v>
      </c>
      <c r="J11" s="9">
        <f t="shared" si="0"/>
        <v>2.4035774175517046</v>
      </c>
      <c r="K11" s="143">
        <f t="shared" si="10"/>
        <v>5</v>
      </c>
      <c r="L11" s="9">
        <f t="shared" si="1"/>
        <v>5.8139534883720927</v>
      </c>
      <c r="M11" s="8" t="str">
        <f t="array" ref="M11">IF(L11&gt;5,"Perlu Sensus",IF(AND(L11&gt;=0,I11&gt;0),"Tetap Deteksi","Belum Deteksi"))</f>
        <v>Perlu Sensus</v>
      </c>
      <c r="N11" s="11">
        <v>46248</v>
      </c>
      <c r="O11" s="143">
        <v>86</v>
      </c>
      <c r="P11" s="9">
        <f t="array" ref="P11">IFERROR(O11/$G11*100,0)</f>
        <v>2.4035774175517046</v>
      </c>
      <c r="Q11" s="143">
        <v>5</v>
      </c>
      <c r="R11" s="9">
        <f t="shared" si="2"/>
        <v>5.8139534883720927</v>
      </c>
      <c r="S11" s="8" t="str">
        <f t="array" ref="S11">IF(R11&gt;5,"Perlu Sensus",IF(AND(R11&gt;=0,O11&gt;0),"Tetap Deteksi","Belum Deteksi"))</f>
        <v>Perlu Sensus</v>
      </c>
      <c r="T11" s="143">
        <v>0</v>
      </c>
      <c r="U11" s="9">
        <f t="shared" si="3"/>
        <v>0</v>
      </c>
      <c r="V11" s="11">
        <v>46246</v>
      </c>
      <c r="W11" s="143">
        <v>671</v>
      </c>
      <c r="X11" s="143">
        <v>27</v>
      </c>
      <c r="Y11" s="9">
        <f t="shared" si="4"/>
        <v>4.0238450074515644</v>
      </c>
      <c r="Z11" s="8" t="str">
        <f t="array" ref="Z11">IF(Y11&gt;5,"Perlu Sensus",IF(AND(Y11&gt;=0,W11&gt;0),"Tetap Deteksi","Belum Deteksi"))</f>
        <v>Tetap Deteksi</v>
      </c>
      <c r="AA11" s="143">
        <v>43</v>
      </c>
      <c r="AB11" s="9">
        <f t="shared" si="5"/>
        <v>6.4083457526080485</v>
      </c>
      <c r="AC11" s="11"/>
      <c r="AD11" s="143"/>
      <c r="AE11" s="9">
        <f t="array" ref="AE11">IFERROR(AD11/$G11*100,0)</f>
        <v>0</v>
      </c>
      <c r="AF11" s="143"/>
      <c r="AG11" s="9">
        <f t="shared" si="6"/>
        <v>0</v>
      </c>
      <c r="AH11" s="8" t="str">
        <f t="array" ref="AH11">IF(AG11&gt;5,"Perlu Sensus",IF(AND(AG11&gt;=0,AD11&gt;0),"Tetap Deteksi","Belum Deteksi"))</f>
        <v>Belum Deteksi</v>
      </c>
      <c r="AI11" s="143"/>
      <c r="AJ11" s="9">
        <f t="shared" si="7"/>
        <v>0</v>
      </c>
      <c r="AK11" s="11"/>
      <c r="AL11" s="143"/>
      <c r="AM11" s="143"/>
      <c r="AN11" s="9">
        <f t="shared" si="8"/>
        <v>0</v>
      </c>
      <c r="AO11" s="8" t="str">
        <f t="array" ref="AO11">IF(AN11&gt;5,"Perlu Sensus",IF(AND(AN11&gt;=0,AL11&gt;0),"Tetap Deteksi","Belum Deteksi"))</f>
        <v>Belum Deteksi</v>
      </c>
      <c r="AP11" s="143"/>
      <c r="AQ11" s="9">
        <f t="shared" si="9"/>
        <v>0</v>
      </c>
    </row>
    <row r="12" spans="1:43" outlineLevel="1" x14ac:dyDescent="0.15">
      <c r="A12" s="8" t="s">
        <v>1821</v>
      </c>
      <c r="B12" s="8"/>
      <c r="C12" s="8" t="s">
        <v>14</v>
      </c>
      <c r="D12" s="186" t="s">
        <v>1287</v>
      </c>
      <c r="E12" s="9">
        <v>24.05</v>
      </c>
      <c r="F12" s="8" t="s">
        <v>1823</v>
      </c>
      <c r="G12" s="10">
        <v>3510</v>
      </c>
      <c r="H12" s="11">
        <f t="array" ref="H12">IF(OR(N12&gt;0,AC12&gt;0),MAX(N12,AC12),MAX(AK12,V12))</f>
        <v>46248</v>
      </c>
      <c r="I12" s="143">
        <f t="array" ref="I12">IF(SUM(O12,AD12)&gt;0,SUM(O12,AD12),SUM(AL12,W12))</f>
        <v>56</v>
      </c>
      <c r="J12" s="9">
        <f t="shared" si="0"/>
        <v>1.5954415954415955</v>
      </c>
      <c r="K12" s="143">
        <f t="shared" si="10"/>
        <v>1</v>
      </c>
      <c r="L12" s="9">
        <f t="shared" si="1"/>
        <v>1.7857142857142856</v>
      </c>
      <c r="M12" s="8" t="str">
        <f t="array" ref="M12">IF(L12&gt;5,"Perlu Sensus",IF(AND(L12&gt;=0,I12&gt;0),"Tetap Deteksi","Belum Deteksi"))</f>
        <v>Tetap Deteksi</v>
      </c>
      <c r="N12" s="11">
        <v>46248</v>
      </c>
      <c r="O12" s="143">
        <v>56</v>
      </c>
      <c r="P12" s="9">
        <f t="array" ref="P12">IFERROR(O12/$G12*100,0)</f>
        <v>1.5954415954415955</v>
      </c>
      <c r="Q12" s="143">
        <v>1</v>
      </c>
      <c r="R12" s="9">
        <f t="shared" si="2"/>
        <v>1.7857142857142856</v>
      </c>
      <c r="S12" s="8" t="str">
        <f t="array" ref="S12">IF(R12&gt;5,"Perlu Sensus",IF(AND(R12&gt;=0,O12&gt;0),"Tetap Deteksi","Belum Deteksi"))</f>
        <v>Tetap Deteksi</v>
      </c>
      <c r="T12" s="143">
        <v>0</v>
      </c>
      <c r="U12" s="9">
        <f t="shared" si="3"/>
        <v>0</v>
      </c>
      <c r="V12" s="11">
        <v>0</v>
      </c>
      <c r="W12" s="143">
        <v>0</v>
      </c>
      <c r="X12" s="143">
        <v>0</v>
      </c>
      <c r="Y12" s="9">
        <f t="shared" si="4"/>
        <v>0</v>
      </c>
      <c r="Z12" s="8" t="str">
        <f t="array" ref="Z12">IF(Y12&gt;5,"Perlu Sensus",IF(AND(Y12&gt;=0,W12&gt;0),"Tetap Deteksi","Belum Deteksi"))</f>
        <v>Belum Deteksi</v>
      </c>
      <c r="AA12" s="143">
        <v>0</v>
      </c>
      <c r="AB12" s="9">
        <f t="shared" si="5"/>
        <v>0</v>
      </c>
      <c r="AC12" s="11"/>
      <c r="AD12" s="143"/>
      <c r="AE12" s="9">
        <f t="array" ref="AE12">IFERROR(AD12/$G12*100,0)</f>
        <v>0</v>
      </c>
      <c r="AF12" s="143"/>
      <c r="AG12" s="9">
        <f t="shared" si="6"/>
        <v>0</v>
      </c>
      <c r="AH12" s="8" t="str">
        <f t="array" ref="AH12">IF(AG12&gt;5,"Perlu Sensus",IF(AND(AG12&gt;=0,AD12&gt;0),"Tetap Deteksi","Belum Deteksi"))</f>
        <v>Belum Deteksi</v>
      </c>
      <c r="AI12" s="143"/>
      <c r="AJ12" s="9">
        <f t="shared" si="7"/>
        <v>0</v>
      </c>
      <c r="AK12" s="11"/>
      <c r="AL12" s="143"/>
      <c r="AM12" s="143"/>
      <c r="AN12" s="9">
        <f t="shared" si="8"/>
        <v>0</v>
      </c>
      <c r="AO12" s="8" t="str">
        <f t="array" ref="AO12">IF(AN12&gt;5,"Perlu Sensus",IF(AND(AN12&gt;=0,AL12&gt;0),"Tetap Deteksi","Belum Deteksi"))</f>
        <v>Belum Deteksi</v>
      </c>
      <c r="AP12" s="143"/>
      <c r="AQ12" s="9">
        <f t="shared" si="9"/>
        <v>0</v>
      </c>
    </row>
    <row r="13" spans="1:43" outlineLevel="1" x14ac:dyDescent="0.15">
      <c r="A13" s="8" t="s">
        <v>1821</v>
      </c>
      <c r="B13" s="8"/>
      <c r="C13" s="8" t="s">
        <v>14</v>
      </c>
      <c r="D13" s="186" t="s">
        <v>1288</v>
      </c>
      <c r="E13" s="9">
        <v>33.799999999999997</v>
      </c>
      <c r="F13" s="8" t="s">
        <v>1740</v>
      </c>
      <c r="G13" s="10">
        <v>4941</v>
      </c>
      <c r="H13" s="11">
        <f t="array" ref="H13">IF(OR(N13&gt;0,AC13&gt;0),MAX(N13,AC13),MAX(AK13,V13))</f>
        <v>46248</v>
      </c>
      <c r="I13" s="143">
        <f t="array" ref="I13">IF(SUM(O13,AD13)&gt;0,SUM(O13,AD13),SUM(AL13,W13))</f>
        <v>62</v>
      </c>
      <c r="J13" s="9">
        <f t="shared" si="0"/>
        <v>1.2548067192875936</v>
      </c>
      <c r="K13" s="143">
        <f t="shared" si="10"/>
        <v>1</v>
      </c>
      <c r="L13" s="9">
        <f t="shared" si="1"/>
        <v>1.6129032258064515</v>
      </c>
      <c r="M13" s="8" t="str">
        <f t="array" ref="M13">IF(L13&gt;5,"Perlu Sensus",IF(AND(L13&gt;=0,I13&gt;0),"Tetap Deteksi","Belum Deteksi"))</f>
        <v>Tetap Deteksi</v>
      </c>
      <c r="N13" s="11">
        <v>46248</v>
      </c>
      <c r="O13" s="143">
        <v>62</v>
      </c>
      <c r="P13" s="9">
        <f t="array" ref="P13">IFERROR(O13/$G13*100,0)</f>
        <v>1.2548067192875936</v>
      </c>
      <c r="Q13" s="143">
        <v>1</v>
      </c>
      <c r="R13" s="9">
        <f t="shared" si="2"/>
        <v>1.6129032258064515</v>
      </c>
      <c r="S13" s="8" t="str">
        <f t="array" ref="S13">IF(R13&gt;5,"Perlu Sensus",IF(AND(R13&gt;=0,O13&gt;0),"Tetap Deteksi","Belum Deteksi"))</f>
        <v>Tetap Deteksi</v>
      </c>
      <c r="T13" s="143">
        <v>0</v>
      </c>
      <c r="U13" s="9">
        <f t="shared" si="3"/>
        <v>0</v>
      </c>
      <c r="V13" s="11">
        <v>0</v>
      </c>
      <c r="W13" s="143">
        <v>0</v>
      </c>
      <c r="X13" s="143">
        <v>0</v>
      </c>
      <c r="Y13" s="9">
        <f t="shared" si="4"/>
        <v>0</v>
      </c>
      <c r="Z13" s="8" t="str">
        <f t="array" ref="Z13">IF(Y13&gt;5,"Perlu Sensus",IF(AND(Y13&gt;=0,W13&gt;0),"Tetap Deteksi","Belum Deteksi"))</f>
        <v>Belum Deteksi</v>
      </c>
      <c r="AA13" s="143">
        <v>0</v>
      </c>
      <c r="AB13" s="9">
        <f t="shared" si="5"/>
        <v>0</v>
      </c>
      <c r="AC13" s="11"/>
      <c r="AD13" s="143"/>
      <c r="AE13" s="9">
        <f t="array" ref="AE13">IFERROR(AD13/$G13*100,0)</f>
        <v>0</v>
      </c>
      <c r="AF13" s="143"/>
      <c r="AG13" s="9">
        <f t="shared" si="6"/>
        <v>0</v>
      </c>
      <c r="AH13" s="8" t="str">
        <f t="array" ref="AH13">IF(AG13&gt;5,"Perlu Sensus",IF(AND(AG13&gt;=0,AD13&gt;0),"Tetap Deteksi","Belum Deteksi"))</f>
        <v>Belum Deteksi</v>
      </c>
      <c r="AI13" s="143"/>
      <c r="AJ13" s="9">
        <f t="shared" si="7"/>
        <v>0</v>
      </c>
      <c r="AK13" s="11"/>
      <c r="AL13" s="143"/>
      <c r="AM13" s="143"/>
      <c r="AN13" s="9">
        <f t="shared" si="8"/>
        <v>0</v>
      </c>
      <c r="AO13" s="8" t="str">
        <f t="array" ref="AO13">IF(AN13&gt;5,"Perlu Sensus",IF(AND(AN13&gt;=0,AL13&gt;0),"Tetap Deteksi","Belum Deteksi"))</f>
        <v>Belum Deteksi</v>
      </c>
      <c r="AP13" s="143"/>
      <c r="AQ13" s="9">
        <f t="shared" si="9"/>
        <v>0</v>
      </c>
    </row>
    <row r="14" spans="1:43" outlineLevel="1" x14ac:dyDescent="0.15">
      <c r="A14" s="8" t="s">
        <v>1821</v>
      </c>
      <c r="B14" s="8"/>
      <c r="C14" s="8" t="s">
        <v>14</v>
      </c>
      <c r="D14" s="186" t="s">
        <v>1816</v>
      </c>
      <c r="E14" s="9">
        <v>29.7</v>
      </c>
      <c r="F14" s="8" t="s">
        <v>1823</v>
      </c>
      <c r="G14" s="10">
        <v>4326</v>
      </c>
      <c r="H14" s="11">
        <f t="array" ref="H14">IF(OR(N14&gt;0,AC14&gt;0),MAX(N14,AC14),MAX(AK14,V14))</f>
        <v>46248</v>
      </c>
      <c r="I14" s="143">
        <f t="array" ref="I14">IF(SUM(O14,AD14)&gt;0,SUM(O14,AD14),SUM(AL14,W14))</f>
        <v>58</v>
      </c>
      <c r="J14" s="9">
        <f t="shared" si="0"/>
        <v>1.3407304669440592</v>
      </c>
      <c r="K14" s="143">
        <f t="shared" si="10"/>
        <v>2</v>
      </c>
      <c r="L14" s="9">
        <f t="shared" si="1"/>
        <v>3.4482758620689653</v>
      </c>
      <c r="M14" s="8" t="str">
        <f t="array" ref="M14">IF(L14&gt;5,"Perlu Sensus",IF(AND(L14&gt;=0,I14&gt;0),"Tetap Deteksi","Belum Deteksi"))</f>
        <v>Tetap Deteksi</v>
      </c>
      <c r="N14" s="11">
        <v>46248</v>
      </c>
      <c r="O14" s="143">
        <v>58</v>
      </c>
      <c r="P14" s="9">
        <f t="array" ref="P14">IFERROR(O14/$G14*100,0)</f>
        <v>1.3407304669440592</v>
      </c>
      <c r="Q14" s="143">
        <v>2</v>
      </c>
      <c r="R14" s="9">
        <f t="shared" si="2"/>
        <v>3.4482758620689653</v>
      </c>
      <c r="S14" s="8" t="str">
        <f t="array" ref="S14">IF(R14&gt;5,"Perlu Sensus",IF(AND(R14&gt;=0,O14&gt;0),"Tetap Deteksi","Belum Deteksi"))</f>
        <v>Tetap Deteksi</v>
      </c>
      <c r="T14" s="143">
        <v>0</v>
      </c>
      <c r="U14" s="9">
        <f t="shared" si="3"/>
        <v>0</v>
      </c>
      <c r="V14" s="11">
        <v>0</v>
      </c>
      <c r="W14" s="143">
        <v>0</v>
      </c>
      <c r="X14" s="143">
        <v>0</v>
      </c>
      <c r="Y14" s="9">
        <f t="shared" si="4"/>
        <v>0</v>
      </c>
      <c r="Z14" s="8" t="str">
        <f t="array" ref="Z14">IF(Y14&gt;5,"Perlu Sensus",IF(AND(Y14&gt;=0,W14&gt;0),"Tetap Deteksi","Belum Deteksi"))</f>
        <v>Belum Deteksi</v>
      </c>
      <c r="AA14" s="143">
        <v>0</v>
      </c>
      <c r="AB14" s="9">
        <f t="shared" si="5"/>
        <v>0</v>
      </c>
      <c r="AC14" s="11"/>
      <c r="AD14" s="143"/>
      <c r="AE14" s="9">
        <f t="array" ref="AE14">IFERROR(AD14/$G14*100,0)</f>
        <v>0</v>
      </c>
      <c r="AF14" s="143"/>
      <c r="AG14" s="9">
        <f t="shared" si="6"/>
        <v>0</v>
      </c>
      <c r="AH14" s="8" t="str">
        <f t="array" ref="AH14">IF(AG14&gt;5,"Perlu Sensus",IF(AND(AG14&gt;=0,AD14&gt;0),"Tetap Deteksi","Belum Deteksi"))</f>
        <v>Belum Deteksi</v>
      </c>
      <c r="AI14" s="143"/>
      <c r="AJ14" s="9">
        <f t="shared" si="7"/>
        <v>0</v>
      </c>
      <c r="AK14" s="11"/>
      <c r="AL14" s="143"/>
      <c r="AM14" s="143"/>
      <c r="AN14" s="9">
        <f t="shared" si="8"/>
        <v>0</v>
      </c>
      <c r="AO14" s="8" t="str">
        <f t="array" ref="AO14">IF(AN14&gt;5,"Perlu Sensus",IF(AND(AN14&gt;=0,AL14&gt;0),"Tetap Deteksi","Belum Deteksi"))</f>
        <v>Belum Deteksi</v>
      </c>
      <c r="AP14" s="143"/>
      <c r="AQ14" s="9">
        <f t="shared" si="9"/>
        <v>0</v>
      </c>
    </row>
    <row r="15" spans="1:43" outlineLevel="1" x14ac:dyDescent="0.15">
      <c r="A15" s="8" t="s">
        <v>1821</v>
      </c>
      <c r="B15" s="8"/>
      <c r="C15" s="8" t="s">
        <v>14</v>
      </c>
      <c r="D15" s="186" t="s">
        <v>1041</v>
      </c>
      <c r="E15" s="9">
        <v>25.28</v>
      </c>
      <c r="F15" s="8" t="s">
        <v>1823</v>
      </c>
      <c r="G15" s="10">
        <v>3785</v>
      </c>
      <c r="H15" s="11">
        <f t="array" ref="H15">IF(OR(N15&gt;0,AC15&gt;0),MAX(N15,AC15),MAX(AK15,V15))</f>
        <v>46235</v>
      </c>
      <c r="I15" s="143">
        <f t="array" ref="I15">IF(SUM(O15,AD15)&gt;0,SUM(O15,AD15),SUM(AL15,W15))</f>
        <v>108</v>
      </c>
      <c r="J15" s="9">
        <f t="shared" si="0"/>
        <v>2.8533685601056806</v>
      </c>
      <c r="K15" s="143">
        <f t="shared" si="10"/>
        <v>12</v>
      </c>
      <c r="L15" s="9">
        <f t="shared" si="1"/>
        <v>11.111111111111111</v>
      </c>
      <c r="M15" s="8" t="str">
        <f t="array" ref="M15">IF(L15&gt;5,"Perlu Sensus",IF(AND(L15&gt;=0,I15&gt;0),"Tetap Deteksi","Belum Deteksi"))</f>
        <v>Perlu Sensus</v>
      </c>
      <c r="N15" s="11">
        <v>46235</v>
      </c>
      <c r="O15" s="143">
        <v>108</v>
      </c>
      <c r="P15" s="9">
        <f t="array" ref="P15">IFERROR(O15/$G15*100,0)</f>
        <v>2.8533685601056806</v>
      </c>
      <c r="Q15" s="143">
        <v>12</v>
      </c>
      <c r="R15" s="9">
        <f t="shared" si="2"/>
        <v>11.111111111111111</v>
      </c>
      <c r="S15" s="8" t="str">
        <f t="array" ref="S15">IF(R15&gt;5,"Perlu Sensus",IF(AND(R15&gt;=0,O15&gt;0),"Tetap Deteksi","Belum Deteksi"))</f>
        <v>Perlu Sensus</v>
      </c>
      <c r="T15" s="143">
        <v>23</v>
      </c>
      <c r="U15" s="9">
        <f t="shared" si="3"/>
        <v>21.296296296296298</v>
      </c>
      <c r="V15" s="11">
        <v>0</v>
      </c>
      <c r="W15" s="143">
        <v>0</v>
      </c>
      <c r="X15" s="143">
        <v>0</v>
      </c>
      <c r="Y15" s="9">
        <f t="shared" si="4"/>
        <v>0</v>
      </c>
      <c r="Z15" s="8" t="str">
        <f t="array" ref="Z15">IF(Y15&gt;5,"Perlu Sensus",IF(AND(Y15&gt;=0,W15&gt;0),"Tetap Deteksi","Belum Deteksi"))</f>
        <v>Belum Deteksi</v>
      </c>
      <c r="AA15" s="143">
        <v>0</v>
      </c>
      <c r="AB15" s="9">
        <f t="shared" si="5"/>
        <v>0</v>
      </c>
      <c r="AC15" s="11"/>
      <c r="AD15" s="143"/>
      <c r="AE15" s="9">
        <f t="array" ref="AE15">IFERROR(AD15/$G15*100,0)</f>
        <v>0</v>
      </c>
      <c r="AF15" s="143"/>
      <c r="AG15" s="9">
        <f t="shared" si="6"/>
        <v>0</v>
      </c>
      <c r="AH15" s="8" t="str">
        <f t="array" ref="AH15">IF(AG15&gt;5,"Perlu Sensus",IF(AND(AG15&gt;=0,AD15&gt;0),"Tetap Deteksi","Belum Deteksi"))</f>
        <v>Belum Deteksi</v>
      </c>
      <c r="AI15" s="143"/>
      <c r="AJ15" s="9">
        <f t="shared" si="7"/>
        <v>0</v>
      </c>
      <c r="AK15" s="11"/>
      <c r="AL15" s="143"/>
      <c r="AM15" s="143"/>
      <c r="AN15" s="9">
        <f t="shared" si="8"/>
        <v>0</v>
      </c>
      <c r="AO15" s="8" t="str">
        <f t="array" ref="AO15">IF(AN15&gt;5,"Perlu Sensus",IF(AND(AN15&gt;=0,AL15&gt;0),"Tetap Deteksi","Belum Deteksi"))</f>
        <v>Belum Deteksi</v>
      </c>
      <c r="AP15" s="143"/>
      <c r="AQ15" s="9">
        <f t="shared" si="9"/>
        <v>0</v>
      </c>
    </row>
    <row r="16" spans="1:43" outlineLevel="1" x14ac:dyDescent="0.15">
      <c r="A16" s="8" t="s">
        <v>1821</v>
      </c>
      <c r="B16" s="8"/>
      <c r="C16" s="8" t="s">
        <v>14</v>
      </c>
      <c r="D16" s="186" t="s">
        <v>1295</v>
      </c>
      <c r="E16" s="9">
        <v>31.41</v>
      </c>
      <c r="F16" s="8" t="s">
        <v>1740</v>
      </c>
      <c r="G16" s="10">
        <v>4318</v>
      </c>
      <c r="H16" s="11">
        <f t="array" ref="H16">IF(OR(N16&gt;0,AC16&gt;0),MAX(N16,AC16),MAX(AK16,V16))</f>
        <v>46235</v>
      </c>
      <c r="I16" s="143">
        <f t="array" ref="I16">IF(SUM(O16,AD16)&gt;0,SUM(O16,AD16),SUM(AL16,W16))</f>
        <v>130</v>
      </c>
      <c r="J16" s="9">
        <f t="shared" si="0"/>
        <v>3.0106530801296896</v>
      </c>
      <c r="K16" s="143">
        <f t="shared" si="10"/>
        <v>10</v>
      </c>
      <c r="L16" s="9">
        <f t="shared" si="1"/>
        <v>7.6923076923076925</v>
      </c>
      <c r="M16" s="8" t="str">
        <f t="array" ref="M16">IF(L16&gt;5,"Perlu Sensus",IF(AND(L16&gt;=0,I16&gt;0),"Tetap Deteksi","Belum Deteksi"))</f>
        <v>Perlu Sensus</v>
      </c>
      <c r="N16" s="11">
        <v>46235</v>
      </c>
      <c r="O16" s="143">
        <v>130</v>
      </c>
      <c r="P16" s="9">
        <f t="array" ref="P16">IFERROR(O16/$G16*100,0)</f>
        <v>3.0106530801296896</v>
      </c>
      <c r="Q16" s="143">
        <v>10</v>
      </c>
      <c r="R16" s="9">
        <f t="shared" si="2"/>
        <v>7.6923076923076925</v>
      </c>
      <c r="S16" s="8" t="str">
        <f t="array" ref="S16">IF(R16&gt;5,"Perlu Sensus",IF(AND(R16&gt;=0,O16&gt;0),"Tetap Deteksi","Belum Deteksi"))</f>
        <v>Perlu Sensus</v>
      </c>
      <c r="T16" s="143">
        <v>30</v>
      </c>
      <c r="U16" s="9">
        <f t="shared" si="3"/>
        <v>23.076923076923077</v>
      </c>
      <c r="V16" s="11">
        <v>0</v>
      </c>
      <c r="W16" s="143">
        <v>0</v>
      </c>
      <c r="X16" s="143">
        <v>0</v>
      </c>
      <c r="Y16" s="9">
        <f t="shared" si="4"/>
        <v>0</v>
      </c>
      <c r="Z16" s="8" t="str">
        <f t="array" ref="Z16">IF(Y16&gt;5,"Perlu Sensus",IF(AND(Y16&gt;=0,W16&gt;0),"Tetap Deteksi","Belum Deteksi"))</f>
        <v>Belum Deteksi</v>
      </c>
      <c r="AA16" s="143">
        <v>0</v>
      </c>
      <c r="AB16" s="9">
        <f t="shared" si="5"/>
        <v>0</v>
      </c>
      <c r="AC16" s="11"/>
      <c r="AD16" s="143"/>
      <c r="AE16" s="9">
        <f t="array" ref="AE16">IFERROR(AD16/$G16*100,0)</f>
        <v>0</v>
      </c>
      <c r="AF16" s="143"/>
      <c r="AG16" s="9">
        <f t="shared" si="6"/>
        <v>0</v>
      </c>
      <c r="AH16" s="8" t="str">
        <f t="array" ref="AH16">IF(AG16&gt;5,"Perlu Sensus",IF(AND(AG16&gt;=0,AD16&gt;0),"Tetap Deteksi","Belum Deteksi"))</f>
        <v>Belum Deteksi</v>
      </c>
      <c r="AI16" s="143"/>
      <c r="AJ16" s="9">
        <f t="shared" si="7"/>
        <v>0</v>
      </c>
      <c r="AK16" s="11"/>
      <c r="AL16" s="143"/>
      <c r="AM16" s="143"/>
      <c r="AN16" s="9">
        <f t="shared" si="8"/>
        <v>0</v>
      </c>
      <c r="AO16" s="8" t="str">
        <f t="array" ref="AO16">IF(AN16&gt;5,"Perlu Sensus",IF(AND(AN16&gt;=0,AL16&gt;0),"Tetap Deteksi","Belum Deteksi"))</f>
        <v>Belum Deteksi</v>
      </c>
      <c r="AP16" s="143"/>
      <c r="AQ16" s="9">
        <f t="shared" si="9"/>
        <v>0</v>
      </c>
    </row>
    <row r="17" spans="1:43" outlineLevel="1" x14ac:dyDescent="0.15">
      <c r="A17" s="8" t="s">
        <v>1821</v>
      </c>
      <c r="B17" s="8"/>
      <c r="C17" s="8" t="s">
        <v>14</v>
      </c>
      <c r="D17" s="186" t="s">
        <v>1296</v>
      </c>
      <c r="E17" s="9">
        <v>25.59</v>
      </c>
      <c r="F17" s="8" t="s">
        <v>1740</v>
      </c>
      <c r="G17" s="10">
        <v>3653.9999999999995</v>
      </c>
      <c r="H17" s="11">
        <f t="array" ref="H17">IF(OR(N17&gt;0,AC17&gt;0),MAX(N17,AC17),MAX(AK17,V17))</f>
        <v>46248</v>
      </c>
      <c r="I17" s="143">
        <f t="array" ref="I17">IF(SUM(O17,AD17)&gt;0,SUM(O17,AD17),SUM(AL17,W17))</f>
        <v>26</v>
      </c>
      <c r="J17" s="9">
        <f t="shared" si="0"/>
        <v>0.71154898741105643</v>
      </c>
      <c r="K17" s="143">
        <f t="shared" si="10"/>
        <v>1</v>
      </c>
      <c r="L17" s="9">
        <f t="shared" si="1"/>
        <v>3.8461538461538463</v>
      </c>
      <c r="M17" s="8" t="str">
        <f t="array" ref="M17">IF(L17&gt;5,"Perlu Sensus",IF(AND(L17&gt;=0,I17&gt;0),"Tetap Deteksi","Belum Deteksi"))</f>
        <v>Tetap Deteksi</v>
      </c>
      <c r="N17" s="11">
        <v>46248</v>
      </c>
      <c r="O17" s="143">
        <v>26</v>
      </c>
      <c r="P17" s="9">
        <f t="array" ref="P17">IFERROR(O17/$G17*100,0)</f>
        <v>0.71154898741105643</v>
      </c>
      <c r="Q17" s="143">
        <v>1</v>
      </c>
      <c r="R17" s="9">
        <f t="shared" si="2"/>
        <v>3.8461538461538463</v>
      </c>
      <c r="S17" s="8" t="str">
        <f t="array" ref="S17">IF(R17&gt;5,"Perlu Sensus",IF(AND(R17&gt;=0,O17&gt;0),"Tetap Deteksi","Belum Deteksi"))</f>
        <v>Tetap Deteksi</v>
      </c>
      <c r="T17" s="143">
        <v>0</v>
      </c>
      <c r="U17" s="9">
        <f t="shared" si="3"/>
        <v>0</v>
      </c>
      <c r="V17" s="11">
        <v>0</v>
      </c>
      <c r="W17" s="143">
        <v>0</v>
      </c>
      <c r="X17" s="143">
        <v>0</v>
      </c>
      <c r="Y17" s="9">
        <f t="shared" si="4"/>
        <v>0</v>
      </c>
      <c r="Z17" s="8" t="str">
        <f t="array" ref="Z17">IF(Y17&gt;5,"Perlu Sensus",IF(AND(Y17&gt;=0,W17&gt;0),"Tetap Deteksi","Belum Deteksi"))</f>
        <v>Belum Deteksi</v>
      </c>
      <c r="AA17" s="143">
        <v>0</v>
      </c>
      <c r="AB17" s="9">
        <f t="shared" si="5"/>
        <v>0</v>
      </c>
      <c r="AC17" s="11"/>
      <c r="AD17" s="143"/>
      <c r="AE17" s="9">
        <f t="array" ref="AE17">IFERROR(AD17/$G17*100,0)</f>
        <v>0</v>
      </c>
      <c r="AF17" s="143"/>
      <c r="AG17" s="9">
        <f t="shared" si="6"/>
        <v>0</v>
      </c>
      <c r="AH17" s="8" t="str">
        <f t="array" ref="AH17">IF(AG17&gt;5,"Perlu Sensus",IF(AND(AG17&gt;=0,AD17&gt;0),"Tetap Deteksi","Belum Deteksi"))</f>
        <v>Belum Deteksi</v>
      </c>
      <c r="AI17" s="143"/>
      <c r="AJ17" s="9">
        <f t="shared" si="7"/>
        <v>0</v>
      </c>
      <c r="AK17" s="11"/>
      <c r="AL17" s="143"/>
      <c r="AM17" s="143"/>
      <c r="AN17" s="9">
        <f t="shared" si="8"/>
        <v>0</v>
      </c>
      <c r="AO17" s="8" t="str">
        <f t="array" ref="AO17">IF(AN17&gt;5,"Perlu Sensus",IF(AND(AN17&gt;=0,AL17&gt;0),"Tetap Deteksi","Belum Deteksi"))</f>
        <v>Belum Deteksi</v>
      </c>
      <c r="AP17" s="143"/>
      <c r="AQ17" s="9">
        <f t="shared" si="9"/>
        <v>0</v>
      </c>
    </row>
    <row r="18" spans="1:43" outlineLevel="1" x14ac:dyDescent="0.15">
      <c r="A18" s="8" t="s">
        <v>1821</v>
      </c>
      <c r="B18" s="8"/>
      <c r="C18" s="8" t="s">
        <v>14</v>
      </c>
      <c r="D18" s="186" t="s">
        <v>1297</v>
      </c>
      <c r="E18" s="9">
        <v>30.19</v>
      </c>
      <c r="F18" s="8" t="s">
        <v>1740</v>
      </c>
      <c r="G18" s="10">
        <v>4318</v>
      </c>
      <c r="H18" s="11">
        <f t="array" ref="H18">IF(OR(N18&gt;0,AC18&gt;0),MAX(N18,AC18),MAX(AK18,V18))</f>
        <v>46248</v>
      </c>
      <c r="I18" s="143">
        <f t="array" ref="I18">IF(SUM(O18,AD18)&gt;0,SUM(O18,AD18),SUM(AL18,W18))</f>
        <v>54</v>
      </c>
      <c r="J18" s="9">
        <f t="shared" si="0"/>
        <v>1.2505789717461788</v>
      </c>
      <c r="K18" s="143">
        <f t="shared" si="10"/>
        <v>4</v>
      </c>
      <c r="L18" s="9">
        <f t="shared" si="1"/>
        <v>7.4074074074074066</v>
      </c>
      <c r="M18" s="8" t="str">
        <f t="array" ref="M18">IF(L18&gt;5,"Perlu Sensus",IF(AND(L18&gt;=0,I18&gt;0),"Tetap Deteksi","Belum Deteksi"))</f>
        <v>Perlu Sensus</v>
      </c>
      <c r="N18" s="11">
        <v>46248</v>
      </c>
      <c r="O18" s="143">
        <v>54</v>
      </c>
      <c r="P18" s="9">
        <f t="array" ref="P18">IFERROR(O18/$G18*100,0)</f>
        <v>1.2505789717461788</v>
      </c>
      <c r="Q18" s="143">
        <v>4</v>
      </c>
      <c r="R18" s="9">
        <f t="shared" si="2"/>
        <v>7.4074074074074066</v>
      </c>
      <c r="S18" s="8" t="str">
        <f t="array" ref="S18">IF(R18&gt;5,"Perlu Sensus",IF(AND(R18&gt;=0,O18&gt;0),"Tetap Deteksi","Belum Deteksi"))</f>
        <v>Perlu Sensus</v>
      </c>
      <c r="T18" s="143">
        <v>0</v>
      </c>
      <c r="U18" s="9">
        <f t="shared" si="3"/>
        <v>0</v>
      </c>
      <c r="V18" s="11">
        <v>0</v>
      </c>
      <c r="W18" s="143">
        <v>0</v>
      </c>
      <c r="X18" s="143">
        <v>0</v>
      </c>
      <c r="Y18" s="9">
        <f t="shared" si="4"/>
        <v>0</v>
      </c>
      <c r="Z18" s="8" t="str">
        <f t="array" ref="Z18">IF(Y18&gt;5,"Perlu Sensus",IF(AND(Y18&gt;=0,W18&gt;0),"Tetap Deteksi","Belum Deteksi"))</f>
        <v>Belum Deteksi</v>
      </c>
      <c r="AA18" s="143">
        <v>0</v>
      </c>
      <c r="AB18" s="9">
        <f t="shared" si="5"/>
        <v>0</v>
      </c>
      <c r="AC18" s="11"/>
      <c r="AD18" s="143"/>
      <c r="AE18" s="9">
        <f t="array" ref="AE18">IFERROR(AD18/$G18*100,0)</f>
        <v>0</v>
      </c>
      <c r="AF18" s="143"/>
      <c r="AG18" s="9">
        <f t="shared" si="6"/>
        <v>0</v>
      </c>
      <c r="AH18" s="8" t="str">
        <f t="array" ref="AH18">IF(AG18&gt;5,"Perlu Sensus",IF(AND(AG18&gt;=0,AD18&gt;0),"Tetap Deteksi","Belum Deteksi"))</f>
        <v>Belum Deteksi</v>
      </c>
      <c r="AI18" s="143"/>
      <c r="AJ18" s="9">
        <f t="shared" si="7"/>
        <v>0</v>
      </c>
      <c r="AK18" s="11"/>
      <c r="AL18" s="143"/>
      <c r="AM18" s="143"/>
      <c r="AN18" s="9">
        <f t="shared" si="8"/>
        <v>0</v>
      </c>
      <c r="AO18" s="8" t="str">
        <f t="array" ref="AO18">IF(AN18&gt;5,"Perlu Sensus",IF(AND(AN18&gt;=0,AL18&gt;0),"Tetap Deteksi","Belum Deteksi"))</f>
        <v>Belum Deteksi</v>
      </c>
      <c r="AP18" s="143"/>
      <c r="AQ18" s="9">
        <f t="shared" si="9"/>
        <v>0</v>
      </c>
    </row>
    <row r="19" spans="1:43" outlineLevel="1" x14ac:dyDescent="0.15">
      <c r="A19" s="8" t="s">
        <v>1821</v>
      </c>
      <c r="B19" s="8"/>
      <c r="C19" s="8" t="s">
        <v>14</v>
      </c>
      <c r="D19" s="186" t="s">
        <v>1825</v>
      </c>
      <c r="E19" s="9">
        <v>26.83</v>
      </c>
      <c r="F19" s="8" t="s">
        <v>1740</v>
      </c>
      <c r="G19" s="10">
        <v>3643</v>
      </c>
      <c r="H19" s="11">
        <f t="array" ref="H19">IF(OR(N19&gt;0,AC19&gt;0),MAX(N19,AC19),MAX(AK19,V19))</f>
        <v>46242</v>
      </c>
      <c r="I19" s="143">
        <f t="array" ref="I19">IF(SUM(O19,AD19)&gt;0,SUM(O19,AD19),SUM(AL19,W19))</f>
        <v>108</v>
      </c>
      <c r="J19" s="9">
        <f t="shared" si="0"/>
        <v>2.9645896239363161</v>
      </c>
      <c r="K19" s="143">
        <f t="shared" si="10"/>
        <v>12</v>
      </c>
      <c r="L19" s="9">
        <f t="shared" si="1"/>
        <v>11.111111111111111</v>
      </c>
      <c r="M19" s="8" t="str">
        <f t="array" ref="M19">IF(L19&gt;5,"Perlu Sensus",IF(AND(L19&gt;=0,I19&gt;0),"Tetap Deteksi","Belum Deteksi"))</f>
        <v>Perlu Sensus</v>
      </c>
      <c r="N19" s="11">
        <v>46242</v>
      </c>
      <c r="O19" s="143">
        <v>108</v>
      </c>
      <c r="P19" s="9">
        <f t="array" ref="P19">IFERROR(O19/$G19*100,0)</f>
        <v>2.9645896239363161</v>
      </c>
      <c r="Q19" s="143">
        <v>12</v>
      </c>
      <c r="R19" s="9">
        <f t="shared" si="2"/>
        <v>11.111111111111111</v>
      </c>
      <c r="S19" s="8" t="str">
        <f t="array" ref="S19">IF(R19&gt;5,"Perlu Sensus",IF(AND(R19&gt;=0,O19&gt;0),"Tetap Deteksi","Belum Deteksi"))</f>
        <v>Perlu Sensus</v>
      </c>
      <c r="T19" s="143">
        <v>29</v>
      </c>
      <c r="U19" s="9">
        <f t="shared" si="3"/>
        <v>26.851851851851855</v>
      </c>
      <c r="V19" s="11">
        <v>0</v>
      </c>
      <c r="W19" s="143">
        <v>0</v>
      </c>
      <c r="X19" s="143">
        <v>0</v>
      </c>
      <c r="Y19" s="9">
        <f t="shared" si="4"/>
        <v>0</v>
      </c>
      <c r="Z19" s="8" t="str">
        <f t="array" ref="Z19">IF(Y19&gt;5,"Perlu Sensus",IF(AND(Y19&gt;=0,W19&gt;0),"Tetap Deteksi","Belum Deteksi"))</f>
        <v>Belum Deteksi</v>
      </c>
      <c r="AA19" s="143">
        <v>0</v>
      </c>
      <c r="AB19" s="9">
        <f t="shared" si="5"/>
        <v>0</v>
      </c>
      <c r="AC19" s="11"/>
      <c r="AD19" s="143"/>
      <c r="AE19" s="9">
        <f t="array" ref="AE19">IFERROR(AD19/$G19*100,0)</f>
        <v>0</v>
      </c>
      <c r="AF19" s="143"/>
      <c r="AG19" s="9">
        <f t="shared" si="6"/>
        <v>0</v>
      </c>
      <c r="AH19" s="8" t="str">
        <f t="array" ref="AH19">IF(AG19&gt;5,"Perlu Sensus",IF(AND(AG19&gt;=0,AD19&gt;0),"Tetap Deteksi","Belum Deteksi"))</f>
        <v>Belum Deteksi</v>
      </c>
      <c r="AI19" s="143"/>
      <c r="AJ19" s="9">
        <f t="shared" si="7"/>
        <v>0</v>
      </c>
      <c r="AK19" s="11"/>
      <c r="AL19" s="143"/>
      <c r="AM19" s="143"/>
      <c r="AN19" s="9">
        <f t="shared" si="8"/>
        <v>0</v>
      </c>
      <c r="AO19" s="8" t="str">
        <f t="array" ref="AO19">IF(AN19&gt;5,"Perlu Sensus",IF(AND(AN19&gt;=0,AL19&gt;0),"Tetap Deteksi","Belum Deteksi"))</f>
        <v>Belum Deteksi</v>
      </c>
      <c r="AP19" s="143"/>
      <c r="AQ19" s="9">
        <f t="shared" si="9"/>
        <v>0</v>
      </c>
    </row>
    <row r="20" spans="1:43" outlineLevel="1" x14ac:dyDescent="0.15">
      <c r="A20" s="8" t="s">
        <v>1821</v>
      </c>
      <c r="B20" s="8"/>
      <c r="C20" s="8" t="s">
        <v>14</v>
      </c>
      <c r="D20" s="186" t="s">
        <v>1033</v>
      </c>
      <c r="E20" s="9">
        <v>26.49</v>
      </c>
      <c r="F20" s="8" t="s">
        <v>1740</v>
      </c>
      <c r="G20" s="10">
        <v>3843.9999999999995</v>
      </c>
      <c r="H20" s="11">
        <f t="array" ref="H20">IF(OR(N20&gt;0,AC20&gt;0),MAX(N20,AC20),MAX(AK20,V20))</f>
        <v>46242</v>
      </c>
      <c r="I20" s="143">
        <f t="array" ref="I20">IF(SUM(O20,AD20)&gt;0,SUM(O20,AD20),SUM(AL20,W20))</f>
        <v>110</v>
      </c>
      <c r="J20" s="9">
        <f t="shared" si="0"/>
        <v>2.8616024973985432</v>
      </c>
      <c r="K20" s="143">
        <f t="shared" si="10"/>
        <v>10</v>
      </c>
      <c r="L20" s="9">
        <f t="shared" si="1"/>
        <v>9.0909090909090917</v>
      </c>
      <c r="M20" s="8" t="str">
        <f t="array" ref="M20">IF(L20&gt;5,"Perlu Sensus",IF(AND(L20&gt;=0,I20&gt;0),"Tetap Deteksi","Belum Deteksi"))</f>
        <v>Perlu Sensus</v>
      </c>
      <c r="N20" s="11">
        <v>46242</v>
      </c>
      <c r="O20" s="143">
        <v>110</v>
      </c>
      <c r="P20" s="9">
        <f t="array" ref="P20">IFERROR(O20/$G20*100,0)</f>
        <v>2.8616024973985432</v>
      </c>
      <c r="Q20" s="143">
        <v>10</v>
      </c>
      <c r="R20" s="9">
        <f t="shared" si="2"/>
        <v>9.0909090909090917</v>
      </c>
      <c r="S20" s="8" t="str">
        <f t="array" ref="S20">IF(R20&gt;5,"Perlu Sensus",IF(AND(R20&gt;=0,O20&gt;0),"Tetap Deteksi","Belum Deteksi"))</f>
        <v>Perlu Sensus</v>
      </c>
      <c r="T20" s="143">
        <v>31</v>
      </c>
      <c r="U20" s="9">
        <f t="shared" si="3"/>
        <v>28.18181818181818</v>
      </c>
      <c r="V20" s="11">
        <v>0</v>
      </c>
      <c r="W20" s="143">
        <v>0</v>
      </c>
      <c r="X20" s="143">
        <v>0</v>
      </c>
      <c r="Y20" s="9">
        <f t="shared" si="4"/>
        <v>0</v>
      </c>
      <c r="Z20" s="8" t="str">
        <f t="array" ref="Z20">IF(Y20&gt;5,"Perlu Sensus",IF(AND(Y20&gt;=0,W20&gt;0),"Tetap Deteksi","Belum Deteksi"))</f>
        <v>Belum Deteksi</v>
      </c>
      <c r="AA20" s="143">
        <v>0</v>
      </c>
      <c r="AB20" s="9">
        <f t="shared" si="5"/>
        <v>0</v>
      </c>
      <c r="AC20" s="11"/>
      <c r="AD20" s="143"/>
      <c r="AE20" s="9">
        <f t="array" ref="AE20">IFERROR(AD20/$G20*100,0)</f>
        <v>0</v>
      </c>
      <c r="AF20" s="143"/>
      <c r="AG20" s="9">
        <f t="shared" si="6"/>
        <v>0</v>
      </c>
      <c r="AH20" s="8" t="str">
        <f t="array" ref="AH20">IF(AG20&gt;5,"Perlu Sensus",IF(AND(AG20&gt;=0,AD20&gt;0),"Tetap Deteksi","Belum Deteksi"))</f>
        <v>Belum Deteksi</v>
      </c>
      <c r="AI20" s="143"/>
      <c r="AJ20" s="9">
        <f t="shared" si="7"/>
        <v>0</v>
      </c>
      <c r="AK20" s="11"/>
      <c r="AL20" s="143"/>
      <c r="AM20" s="143"/>
      <c r="AN20" s="9">
        <f t="shared" si="8"/>
        <v>0</v>
      </c>
      <c r="AO20" s="8" t="str">
        <f t="array" ref="AO20">IF(AN20&gt;5,"Perlu Sensus",IF(AND(AN20&gt;=0,AL20&gt;0),"Tetap Deteksi","Belum Deteksi"))</f>
        <v>Belum Deteksi</v>
      </c>
      <c r="AP20" s="143"/>
      <c r="AQ20" s="9">
        <f t="shared" si="9"/>
        <v>0</v>
      </c>
    </row>
    <row r="21" spans="1:43" outlineLevel="1" x14ac:dyDescent="0.15">
      <c r="A21" s="8" t="s">
        <v>1821</v>
      </c>
      <c r="B21" s="8"/>
      <c r="C21" s="8" t="s">
        <v>14</v>
      </c>
      <c r="D21" s="186" t="s">
        <v>1826</v>
      </c>
      <c r="E21" s="9">
        <v>29.94</v>
      </c>
      <c r="F21" s="8" t="s">
        <v>1740</v>
      </c>
      <c r="G21" s="10">
        <v>4111</v>
      </c>
      <c r="H21" s="11">
        <f t="array" ref="H21">IF(OR(N21&gt;0,AC21&gt;0),MAX(N21,AC21),MAX(AK21,V21))</f>
        <v>46242</v>
      </c>
      <c r="I21" s="143">
        <f t="array" ref="I21">IF(SUM(O21,AD21)&gt;0,SUM(O21,AD21),SUM(AL21,W21))</f>
        <v>124</v>
      </c>
      <c r="J21" s="9">
        <f t="shared" si="0"/>
        <v>3.0162977377766969</v>
      </c>
      <c r="K21" s="143">
        <f t="shared" si="10"/>
        <v>8</v>
      </c>
      <c r="L21" s="9">
        <f t="shared" si="1"/>
        <v>6.4516129032258061</v>
      </c>
      <c r="M21" s="8" t="str">
        <f t="array" ref="M21">IF(L21&gt;5,"Perlu Sensus",IF(AND(L21&gt;=0,I21&gt;0),"Tetap Deteksi","Belum Deteksi"))</f>
        <v>Perlu Sensus</v>
      </c>
      <c r="N21" s="11">
        <v>46242</v>
      </c>
      <c r="O21" s="143">
        <v>124</v>
      </c>
      <c r="P21" s="9">
        <f t="array" ref="P21">IFERROR(O21/$G21*100,0)</f>
        <v>3.0162977377766969</v>
      </c>
      <c r="Q21" s="143">
        <v>8</v>
      </c>
      <c r="R21" s="9">
        <f t="shared" si="2"/>
        <v>6.4516129032258061</v>
      </c>
      <c r="S21" s="8" t="str">
        <f t="array" ref="S21">IF(R21&gt;5,"Perlu Sensus",IF(AND(R21&gt;=0,O21&gt;0),"Tetap Deteksi","Belum Deteksi"))</f>
        <v>Perlu Sensus</v>
      </c>
      <c r="T21" s="143">
        <v>27</v>
      </c>
      <c r="U21" s="9">
        <f t="shared" si="3"/>
        <v>21.774193548387096</v>
      </c>
      <c r="V21" s="11">
        <v>0</v>
      </c>
      <c r="W21" s="143">
        <v>747</v>
      </c>
      <c r="X21" s="143">
        <v>143</v>
      </c>
      <c r="Y21" s="9">
        <f t="shared" si="4"/>
        <v>19.143239625167336</v>
      </c>
      <c r="Z21" s="8" t="str">
        <f t="array" ref="Z21">IF(Y21&gt;5,"Perlu Sensus",IF(AND(Y21&gt;=0,W21&gt;0),"Tetap Deteksi","Belum Deteksi"))</f>
        <v>Perlu Sensus</v>
      </c>
      <c r="AA21" s="143">
        <v>164</v>
      </c>
      <c r="AB21" s="9">
        <f t="shared" si="5"/>
        <v>21.954484605087014</v>
      </c>
      <c r="AC21" s="11"/>
      <c r="AD21" s="143"/>
      <c r="AE21" s="9">
        <f t="array" ref="AE21">IFERROR(AD21/$G21*100,0)</f>
        <v>0</v>
      </c>
      <c r="AF21" s="143"/>
      <c r="AG21" s="9">
        <f t="shared" si="6"/>
        <v>0</v>
      </c>
      <c r="AH21" s="8" t="str">
        <f t="array" ref="AH21">IF(AG21&gt;5,"Perlu Sensus",IF(AND(AG21&gt;=0,AD21&gt;0),"Tetap Deteksi","Belum Deteksi"))</f>
        <v>Belum Deteksi</v>
      </c>
      <c r="AI21" s="143"/>
      <c r="AJ21" s="9">
        <f t="shared" si="7"/>
        <v>0</v>
      </c>
      <c r="AK21" s="11"/>
      <c r="AL21" s="143"/>
      <c r="AM21" s="143"/>
      <c r="AN21" s="9">
        <f t="shared" si="8"/>
        <v>0</v>
      </c>
      <c r="AO21" s="8" t="str">
        <f t="array" ref="AO21">IF(AN21&gt;5,"Perlu Sensus",IF(AND(AN21&gt;=0,AL21&gt;0),"Tetap Deteksi","Belum Deteksi"))</f>
        <v>Belum Deteksi</v>
      </c>
      <c r="AP21" s="143"/>
      <c r="AQ21" s="9">
        <f t="shared" si="9"/>
        <v>0</v>
      </c>
    </row>
    <row r="22" spans="1:43" outlineLevel="1" x14ac:dyDescent="0.15">
      <c r="A22" s="8" t="s">
        <v>1821</v>
      </c>
      <c r="B22" s="8"/>
      <c r="C22" s="8" t="s">
        <v>14</v>
      </c>
      <c r="D22" s="186" t="s">
        <v>1752</v>
      </c>
      <c r="E22" s="9">
        <v>26.75</v>
      </c>
      <c r="F22" s="8" t="s">
        <v>1823</v>
      </c>
      <c r="G22" s="10">
        <v>3788</v>
      </c>
      <c r="H22" s="11">
        <f t="array" ref="H22">IF(OR(N22&gt;0,AC22&gt;0),MAX(N22,AC22),MAX(AK22,V22))</f>
        <v>46249</v>
      </c>
      <c r="I22" s="143">
        <f t="array" ref="I22">IF(SUM(O22,AD22)&gt;0,SUM(O22,AD22),SUM(AL22,W22))</f>
        <v>56</v>
      </c>
      <c r="J22" s="9">
        <f t="shared" si="0"/>
        <v>1.4783526927138331</v>
      </c>
      <c r="K22" s="143">
        <f t="shared" si="10"/>
        <v>2</v>
      </c>
      <c r="L22" s="9">
        <f t="shared" si="1"/>
        <v>3.5714285714285712</v>
      </c>
      <c r="M22" s="8" t="str">
        <f t="array" ref="M22">IF(L22&gt;5,"Perlu Sensus",IF(AND(L22&gt;=0,I22&gt;0),"Tetap Deteksi","Belum Deteksi"))</f>
        <v>Tetap Deteksi</v>
      </c>
      <c r="N22" s="11">
        <v>46249</v>
      </c>
      <c r="O22" s="143">
        <v>56</v>
      </c>
      <c r="P22" s="9">
        <f t="array" ref="P22">IFERROR(O22/$G22*100,0)</f>
        <v>1.4783526927138331</v>
      </c>
      <c r="Q22" s="143">
        <v>2</v>
      </c>
      <c r="R22" s="9">
        <f t="shared" si="2"/>
        <v>3.5714285714285712</v>
      </c>
      <c r="S22" s="8" t="str">
        <f t="array" ref="S22">IF(R22&gt;5,"Perlu Sensus",IF(AND(R22&gt;=0,O22&gt;0),"Tetap Deteksi","Belum Deteksi"))</f>
        <v>Tetap Deteksi</v>
      </c>
      <c r="T22" s="143">
        <v>0</v>
      </c>
      <c r="U22" s="9">
        <f t="shared" si="3"/>
        <v>0</v>
      </c>
      <c r="V22" s="11">
        <v>0</v>
      </c>
      <c r="W22" s="143">
        <v>1958</v>
      </c>
      <c r="X22" s="143">
        <v>270</v>
      </c>
      <c r="Y22" s="9">
        <f t="shared" si="4"/>
        <v>13.789581205311544</v>
      </c>
      <c r="Z22" s="8" t="str">
        <f t="array" ref="Z22">IF(Y22&gt;5,"Perlu Sensus",IF(AND(Y22&gt;=0,W22&gt;0),"Tetap Deteksi","Belum Deteksi"))</f>
        <v>Perlu Sensus</v>
      </c>
      <c r="AA22" s="143">
        <v>412</v>
      </c>
      <c r="AB22" s="9">
        <f t="shared" si="5"/>
        <v>21.04187946884576</v>
      </c>
      <c r="AC22" s="11"/>
      <c r="AD22" s="143"/>
      <c r="AE22" s="9">
        <f t="array" ref="AE22">IFERROR(AD22/$G22*100,0)</f>
        <v>0</v>
      </c>
      <c r="AF22" s="143"/>
      <c r="AG22" s="9">
        <f t="shared" si="6"/>
        <v>0</v>
      </c>
      <c r="AH22" s="8" t="str">
        <f t="array" ref="AH22">IF(AG22&gt;5,"Perlu Sensus",IF(AND(AG22&gt;=0,AD22&gt;0),"Tetap Deteksi","Belum Deteksi"))</f>
        <v>Belum Deteksi</v>
      </c>
      <c r="AI22" s="143"/>
      <c r="AJ22" s="9">
        <f t="shared" si="7"/>
        <v>0</v>
      </c>
      <c r="AK22" s="11"/>
      <c r="AL22" s="143"/>
      <c r="AM22" s="143"/>
      <c r="AN22" s="9">
        <f t="shared" si="8"/>
        <v>0</v>
      </c>
      <c r="AO22" s="8" t="str">
        <f t="array" ref="AO22">IF(AN22&gt;5,"Perlu Sensus",IF(AND(AN22&gt;=0,AL22&gt;0),"Tetap Deteksi","Belum Deteksi"))</f>
        <v>Belum Deteksi</v>
      </c>
      <c r="AP22" s="143"/>
      <c r="AQ22" s="9">
        <f t="shared" si="9"/>
        <v>0</v>
      </c>
    </row>
    <row r="23" spans="1:43" outlineLevel="1" x14ac:dyDescent="0.15">
      <c r="A23" s="8" t="s">
        <v>1821</v>
      </c>
      <c r="B23" s="8"/>
      <c r="C23" s="8" t="s">
        <v>14</v>
      </c>
      <c r="D23" s="186" t="s">
        <v>1314</v>
      </c>
      <c r="E23" s="9">
        <v>30.229999999999997</v>
      </c>
      <c r="F23" s="8" t="s">
        <v>1823</v>
      </c>
      <c r="G23" s="10">
        <v>3595</v>
      </c>
      <c r="H23" s="11">
        <f t="array" ref="H23">IF(OR(N23&gt;0,AC23&gt;0),MAX(N23,AC23),MAX(AK23,V23))</f>
        <v>46249</v>
      </c>
      <c r="I23" s="143">
        <f t="array" ref="I23">IF(SUM(O23,AD23)&gt;0,SUM(O23,AD23),SUM(AL23,W23))</f>
        <v>82</v>
      </c>
      <c r="J23" s="9">
        <f t="shared" si="0"/>
        <v>2.2809457579972183</v>
      </c>
      <c r="K23" s="143">
        <f t="shared" si="10"/>
        <v>5</v>
      </c>
      <c r="L23" s="9">
        <f t="shared" si="1"/>
        <v>6.0975609756097562</v>
      </c>
      <c r="M23" s="8" t="str">
        <f t="array" ref="M23">IF(L23&gt;5,"Perlu Sensus",IF(AND(L23&gt;=0,I23&gt;0),"Tetap Deteksi","Belum Deteksi"))</f>
        <v>Perlu Sensus</v>
      </c>
      <c r="N23" s="11">
        <v>46249</v>
      </c>
      <c r="O23" s="143">
        <v>82</v>
      </c>
      <c r="P23" s="9">
        <f t="array" ref="P23">IFERROR(O23/$G23*100,0)</f>
        <v>2.2809457579972183</v>
      </c>
      <c r="Q23" s="143">
        <v>5</v>
      </c>
      <c r="R23" s="9">
        <f t="shared" si="2"/>
        <v>6.0975609756097562</v>
      </c>
      <c r="S23" s="8" t="str">
        <f t="array" ref="S23">IF(R23&gt;5,"Perlu Sensus",IF(AND(R23&gt;=0,O23&gt;0),"Tetap Deteksi","Belum Deteksi"))</f>
        <v>Perlu Sensus</v>
      </c>
      <c r="T23" s="143">
        <v>0</v>
      </c>
      <c r="U23" s="9">
        <f t="shared" si="3"/>
        <v>0</v>
      </c>
      <c r="V23" s="11">
        <v>0</v>
      </c>
      <c r="W23" s="143">
        <v>0</v>
      </c>
      <c r="X23" s="143">
        <v>0</v>
      </c>
      <c r="Y23" s="9">
        <f t="shared" si="4"/>
        <v>0</v>
      </c>
      <c r="Z23" s="8" t="str">
        <f t="array" ref="Z23">IF(Y23&gt;5,"Perlu Sensus",IF(AND(Y23&gt;=0,W23&gt;0),"Tetap Deteksi","Belum Deteksi"))</f>
        <v>Belum Deteksi</v>
      </c>
      <c r="AA23" s="143">
        <v>0</v>
      </c>
      <c r="AB23" s="9">
        <f t="shared" si="5"/>
        <v>0</v>
      </c>
      <c r="AC23" s="11"/>
      <c r="AD23" s="143"/>
      <c r="AE23" s="9">
        <f t="array" ref="AE23">IFERROR(AD23/$G23*100,0)</f>
        <v>0</v>
      </c>
      <c r="AF23" s="143"/>
      <c r="AG23" s="9">
        <f t="shared" si="6"/>
        <v>0</v>
      </c>
      <c r="AH23" s="8" t="str">
        <f t="array" ref="AH23">IF(AG23&gt;5,"Perlu Sensus",IF(AND(AG23&gt;=0,AD23&gt;0),"Tetap Deteksi","Belum Deteksi"))</f>
        <v>Belum Deteksi</v>
      </c>
      <c r="AI23" s="143"/>
      <c r="AJ23" s="9">
        <f t="shared" si="7"/>
        <v>0</v>
      </c>
      <c r="AK23" s="11"/>
      <c r="AL23" s="143"/>
      <c r="AM23" s="143"/>
      <c r="AN23" s="9">
        <f t="shared" si="8"/>
        <v>0</v>
      </c>
      <c r="AO23" s="8" t="str">
        <f t="array" ref="AO23">IF(AN23&gt;5,"Perlu Sensus",IF(AND(AN23&gt;=0,AL23&gt;0),"Tetap Deteksi","Belum Deteksi"))</f>
        <v>Belum Deteksi</v>
      </c>
      <c r="AP23" s="143"/>
      <c r="AQ23" s="9">
        <f t="shared" si="9"/>
        <v>0</v>
      </c>
    </row>
    <row r="24" spans="1:43" outlineLevel="1" x14ac:dyDescent="0.15">
      <c r="A24" s="8" t="s">
        <v>1821</v>
      </c>
      <c r="B24" s="8"/>
      <c r="C24" s="8" t="s">
        <v>14</v>
      </c>
      <c r="D24" s="186" t="s">
        <v>1315</v>
      </c>
      <c r="E24" s="9">
        <v>26.62</v>
      </c>
      <c r="F24" s="8" t="s">
        <v>1823</v>
      </c>
      <c r="G24" s="10">
        <v>3769.9999999999995</v>
      </c>
      <c r="H24" s="11">
        <f t="array" ref="H24">IF(OR(N24&gt;0,AC24&gt;0),MAX(N24,AC24),MAX(AK24,V24))</f>
        <v>46249</v>
      </c>
      <c r="I24" s="143">
        <f t="array" ref="I24">IF(SUM(O24,AD24)&gt;0,SUM(O24,AD24),SUM(AL24,W24))</f>
        <v>100</v>
      </c>
      <c r="J24" s="9">
        <f t="shared" si="0"/>
        <v>2.6525198938992047</v>
      </c>
      <c r="K24" s="143">
        <f t="shared" si="10"/>
        <v>6</v>
      </c>
      <c r="L24" s="9">
        <f t="shared" si="1"/>
        <v>6</v>
      </c>
      <c r="M24" s="8" t="str">
        <f t="array" ref="M24">IF(L24&gt;5,"Perlu Sensus",IF(AND(L24&gt;=0,I24&gt;0),"Tetap Deteksi","Belum Deteksi"))</f>
        <v>Perlu Sensus</v>
      </c>
      <c r="N24" s="11">
        <v>46249</v>
      </c>
      <c r="O24" s="143">
        <v>100</v>
      </c>
      <c r="P24" s="9">
        <f t="array" ref="P24">IFERROR(O24/$G24*100,0)</f>
        <v>2.6525198938992047</v>
      </c>
      <c r="Q24" s="143">
        <v>6</v>
      </c>
      <c r="R24" s="9">
        <f t="shared" si="2"/>
        <v>6</v>
      </c>
      <c r="S24" s="8" t="str">
        <f t="array" ref="S24">IF(R24&gt;5,"Perlu Sensus",IF(AND(R24&gt;=0,O24&gt;0),"Tetap Deteksi","Belum Deteksi"))</f>
        <v>Perlu Sensus</v>
      </c>
      <c r="T24" s="143">
        <v>0</v>
      </c>
      <c r="U24" s="9">
        <f t="shared" si="3"/>
        <v>0</v>
      </c>
      <c r="V24" s="11">
        <v>0</v>
      </c>
      <c r="W24" s="143">
        <v>0</v>
      </c>
      <c r="X24" s="143">
        <v>0</v>
      </c>
      <c r="Y24" s="9">
        <f t="shared" si="4"/>
        <v>0</v>
      </c>
      <c r="Z24" s="8" t="str">
        <f t="array" ref="Z24">IF(Y24&gt;5,"Perlu Sensus",IF(AND(Y24&gt;=0,W24&gt;0),"Tetap Deteksi","Belum Deteksi"))</f>
        <v>Belum Deteksi</v>
      </c>
      <c r="AA24" s="143">
        <v>0</v>
      </c>
      <c r="AB24" s="9">
        <f t="shared" si="5"/>
        <v>0</v>
      </c>
      <c r="AC24" s="11"/>
      <c r="AD24" s="143"/>
      <c r="AE24" s="9">
        <f t="array" ref="AE24">IFERROR(AD24/$G24*100,0)</f>
        <v>0</v>
      </c>
      <c r="AF24" s="143"/>
      <c r="AG24" s="9">
        <f t="shared" si="6"/>
        <v>0</v>
      </c>
      <c r="AH24" s="8" t="str">
        <f t="array" ref="AH24">IF(AG24&gt;5,"Perlu Sensus",IF(AND(AG24&gt;=0,AD24&gt;0),"Tetap Deteksi","Belum Deteksi"))</f>
        <v>Belum Deteksi</v>
      </c>
      <c r="AI24" s="143"/>
      <c r="AJ24" s="9">
        <f t="shared" si="7"/>
        <v>0</v>
      </c>
      <c r="AK24" s="11"/>
      <c r="AL24" s="143"/>
      <c r="AM24" s="143"/>
      <c r="AN24" s="9">
        <f t="shared" si="8"/>
        <v>0</v>
      </c>
      <c r="AO24" s="8" t="str">
        <f t="array" ref="AO24">IF(AN24&gt;5,"Perlu Sensus",IF(AND(AN24&gt;=0,AL24&gt;0),"Tetap Deteksi","Belum Deteksi"))</f>
        <v>Belum Deteksi</v>
      </c>
      <c r="AP24" s="143"/>
      <c r="AQ24" s="9">
        <f t="shared" si="9"/>
        <v>0</v>
      </c>
    </row>
    <row r="25" spans="1:43" outlineLevel="1" x14ac:dyDescent="0.15">
      <c r="A25" s="8" t="s">
        <v>1821</v>
      </c>
      <c r="B25" s="8"/>
      <c r="C25" s="8" t="s">
        <v>14</v>
      </c>
      <c r="D25" s="181" t="s">
        <v>1316</v>
      </c>
      <c r="E25" s="9">
        <v>26.39</v>
      </c>
      <c r="F25" s="8" t="s">
        <v>1823</v>
      </c>
      <c r="G25" s="10">
        <v>3271</v>
      </c>
      <c r="H25" s="11">
        <f t="array" ref="H25">IF(OR(N25&gt;0,AC25&gt;0),MAX(N25,AC25),MAX(AK25,V25))</f>
        <v>46249</v>
      </c>
      <c r="I25" s="143">
        <f t="array" ref="I25">IF(SUM(O25,AD25)&gt;0,SUM(O25,AD25),SUM(AL25,W25))</f>
        <v>120</v>
      </c>
      <c r="J25" s="9">
        <f t="shared" si="0"/>
        <v>3.668602873738918</v>
      </c>
      <c r="K25" s="143">
        <f t="shared" si="10"/>
        <v>5</v>
      </c>
      <c r="L25" s="9">
        <f t="shared" si="1"/>
        <v>4.1666666666666661</v>
      </c>
      <c r="M25" s="8" t="str">
        <f t="array" ref="M25">IF(L25&gt;5,"Perlu Sensus",IF(AND(L25&gt;=0,I25&gt;0),"Tetap Deteksi","Belum Deteksi"))</f>
        <v>Tetap Deteksi</v>
      </c>
      <c r="N25" s="11">
        <v>46249</v>
      </c>
      <c r="O25" s="143">
        <v>120</v>
      </c>
      <c r="P25" s="9">
        <f t="array" ref="P25">IFERROR(O25/$G25*100,0)</f>
        <v>3.668602873738918</v>
      </c>
      <c r="Q25" s="143">
        <v>5</v>
      </c>
      <c r="R25" s="9">
        <f t="shared" si="2"/>
        <v>4.1666666666666661</v>
      </c>
      <c r="S25" s="8" t="str">
        <f t="array" ref="S25">IF(R25&gt;5,"Perlu Sensus",IF(AND(R25&gt;=0,O25&gt;0),"Tetap Deteksi","Belum Deteksi"))</f>
        <v>Tetap Deteksi</v>
      </c>
      <c r="T25" s="143">
        <v>0</v>
      </c>
      <c r="U25" s="9">
        <f t="shared" si="3"/>
        <v>0</v>
      </c>
      <c r="V25" s="11">
        <v>0</v>
      </c>
      <c r="W25" s="143">
        <v>0</v>
      </c>
      <c r="X25" s="143">
        <v>0</v>
      </c>
      <c r="Y25" s="9">
        <f t="shared" si="4"/>
        <v>0</v>
      </c>
      <c r="Z25" s="8" t="str">
        <f t="array" ref="Z25">IF(Y25&gt;5,"Perlu Sensus",IF(AND(Y25&gt;=0,W25&gt;0),"Tetap Deteksi","Belum Deteksi"))</f>
        <v>Belum Deteksi</v>
      </c>
      <c r="AA25" s="143">
        <v>0</v>
      </c>
      <c r="AB25" s="9">
        <f t="shared" si="5"/>
        <v>0</v>
      </c>
      <c r="AC25" s="11"/>
      <c r="AD25" s="143"/>
      <c r="AE25" s="9">
        <f t="array" ref="AE25">IFERROR(AD25/$G25*100,0)</f>
        <v>0</v>
      </c>
      <c r="AF25" s="143"/>
      <c r="AG25" s="9">
        <f t="shared" si="6"/>
        <v>0</v>
      </c>
      <c r="AH25" s="8" t="str">
        <f t="array" ref="AH25">IF(AG25&gt;5,"Perlu Sensus",IF(AND(AG25&gt;=0,AD25&gt;0),"Tetap Deteksi","Belum Deteksi"))</f>
        <v>Belum Deteksi</v>
      </c>
      <c r="AI25" s="143"/>
      <c r="AJ25" s="9">
        <f t="shared" si="7"/>
        <v>0</v>
      </c>
      <c r="AK25" s="11"/>
      <c r="AL25" s="143"/>
      <c r="AM25" s="143"/>
      <c r="AN25" s="9">
        <f t="shared" si="8"/>
        <v>0</v>
      </c>
      <c r="AO25" s="8" t="str">
        <f t="array" ref="AO25">IF(AN25&gt;5,"Perlu Sensus",IF(AND(AN25&gt;=0,AL25&gt;0),"Tetap Deteksi","Belum Deteksi"))</f>
        <v>Belum Deteksi</v>
      </c>
      <c r="AP25" s="143"/>
      <c r="AQ25" s="9">
        <f t="shared" si="9"/>
        <v>0</v>
      </c>
    </row>
    <row r="26" spans="1:43" outlineLevel="1" x14ac:dyDescent="0.15">
      <c r="A26" s="8" t="s">
        <v>1821</v>
      </c>
      <c r="B26" s="8"/>
      <c r="C26" s="8" t="s">
        <v>14</v>
      </c>
      <c r="D26" s="181" t="s">
        <v>1819</v>
      </c>
      <c r="E26" s="9">
        <v>24.22</v>
      </c>
      <c r="F26" s="8" t="s">
        <v>1740</v>
      </c>
      <c r="G26" s="10">
        <v>1597.0000000000002</v>
      </c>
      <c r="H26" s="11">
        <f t="array" ref="H26">IF(OR(N26&gt;0,AC26&gt;0),MAX(N26,AC26),MAX(AK26,V26))</f>
        <v>46249</v>
      </c>
      <c r="I26" s="143">
        <f t="array" ref="I26">IF(SUM(O26,AD26)&gt;0,SUM(O26,AD26),SUM(AL26,W26))</f>
        <v>956</v>
      </c>
      <c r="J26" s="9" t="str">
        <f t="shared" si="0"/>
        <v xml:space="preserve"> </v>
      </c>
      <c r="K26" s="143">
        <f t="shared" si="10"/>
        <v>205</v>
      </c>
      <c r="L26" s="9">
        <f t="shared" si="1"/>
        <v>21.443514644351463</v>
      </c>
      <c r="M26" s="8" t="str">
        <f t="array" ref="M26">IF(L26&gt;5,"Perlu Sensus",IF(AND(L26&gt;=0,I26&gt;0),"Tetap Deteksi","Belum Deteksi"))</f>
        <v>Perlu Sensus</v>
      </c>
      <c r="N26" s="11">
        <v>46249</v>
      </c>
      <c r="O26" s="143"/>
      <c r="P26" s="9">
        <f t="array" ref="P26">IFERROR(O26/$G26*100,0)</f>
        <v>0</v>
      </c>
      <c r="Q26" s="143"/>
      <c r="R26" s="9">
        <f t="shared" si="2"/>
        <v>0</v>
      </c>
      <c r="S26" s="8" t="str">
        <f t="array" ref="S26">IF(R26&gt;5,"Perlu Sensus",IF(AND(R26&gt;=0,O26&gt;0),"Tetap Deteksi","Belum Deteksi"))</f>
        <v>Belum Deteksi</v>
      </c>
      <c r="T26" s="143">
        <v>0</v>
      </c>
      <c r="U26" s="9">
        <f t="shared" si="3"/>
        <v>0</v>
      </c>
      <c r="V26" s="11">
        <v>46242</v>
      </c>
      <c r="W26" s="143">
        <v>956</v>
      </c>
      <c r="X26" s="143">
        <v>205</v>
      </c>
      <c r="Y26" s="9">
        <f t="shared" si="4"/>
        <v>21.443514644351463</v>
      </c>
      <c r="Z26" s="8" t="str">
        <f t="array" ref="Z26">IF(Y26&gt;5,"Perlu Sensus",IF(AND(Y26&gt;=0,W26&gt;0),"Tetap Deteksi","Belum Deteksi"))</f>
        <v>Perlu Sensus</v>
      </c>
      <c r="AA26" s="143">
        <v>312</v>
      </c>
      <c r="AB26" s="9">
        <f t="shared" si="5"/>
        <v>32.635983263598327</v>
      </c>
      <c r="AC26" s="11"/>
      <c r="AD26" s="143"/>
      <c r="AE26" s="9">
        <f t="array" ref="AE26">IFERROR(AD26/$G26*100,0)</f>
        <v>0</v>
      </c>
      <c r="AF26" s="143"/>
      <c r="AG26" s="9">
        <f t="shared" si="6"/>
        <v>0</v>
      </c>
      <c r="AH26" s="8" t="str">
        <f t="array" ref="AH26">IF(AG26&gt;5,"Perlu Sensus",IF(AND(AG26&gt;=0,AD26&gt;0),"Tetap Deteksi","Belum Deteksi"))</f>
        <v>Belum Deteksi</v>
      </c>
      <c r="AI26" s="143"/>
      <c r="AJ26" s="9">
        <f t="shared" si="7"/>
        <v>0</v>
      </c>
      <c r="AK26" s="11"/>
      <c r="AL26" s="143"/>
      <c r="AM26" s="143"/>
      <c r="AN26" s="9">
        <f t="shared" si="8"/>
        <v>0</v>
      </c>
      <c r="AO26" s="8" t="str">
        <f t="array" ref="AO26">IF(AN26&gt;5,"Perlu Sensus",IF(AND(AN26&gt;=0,AL26&gt;0),"Tetap Deteksi","Belum Deteksi"))</f>
        <v>Belum Deteksi</v>
      </c>
      <c r="AP26" s="143"/>
      <c r="AQ26" s="9">
        <f t="shared" si="9"/>
        <v>0</v>
      </c>
    </row>
    <row r="27" spans="1:43" outlineLevel="1" x14ac:dyDescent="0.15">
      <c r="A27" s="8" t="s">
        <v>1821</v>
      </c>
      <c r="B27" s="8"/>
      <c r="C27" s="8" t="s">
        <v>14</v>
      </c>
      <c r="D27" s="186" t="s">
        <v>1820</v>
      </c>
      <c r="E27" s="9">
        <v>28.41</v>
      </c>
      <c r="F27" s="8" t="s">
        <v>1740</v>
      </c>
      <c r="G27" s="10">
        <v>2515</v>
      </c>
      <c r="H27" s="11">
        <f t="array" ref="H27">IF(OR(N27&gt;0,AC27&gt;0),MAX(N27,AC27),MAX(AK27,V27))</f>
        <v>0</v>
      </c>
      <c r="I27" s="143">
        <f t="array" ref="I27">IF(SUM(O27,AD27)&gt;0,SUM(O27,AD27),SUM(AL27,W27))</f>
        <v>0</v>
      </c>
      <c r="J27" s="9" t="str">
        <f t="shared" si="0"/>
        <v xml:space="preserve"> </v>
      </c>
      <c r="K27" s="143">
        <f t="shared" si="10"/>
        <v>9.9999999999999995E-7</v>
      </c>
      <c r="L27" s="9">
        <f t="shared" si="1"/>
        <v>0</v>
      </c>
      <c r="M27" s="8" t="str">
        <f t="array" ref="M27">IF(L27&gt;5,"Perlu Sensus",IF(AND(L27&gt;=0,I27&gt;0),"Tetap Deteksi","Belum Deteksi"))</f>
        <v>Belum Deteksi</v>
      </c>
      <c r="N27" s="11">
        <v>0</v>
      </c>
      <c r="O27" s="143">
        <v>0</v>
      </c>
      <c r="P27" s="9">
        <f t="array" ref="P27">IFERROR(O27/$G27*100,0)</f>
        <v>0</v>
      </c>
      <c r="Q27" s="143">
        <v>9.9999999999999995E-7</v>
      </c>
      <c r="R27" s="9">
        <f t="shared" si="2"/>
        <v>0</v>
      </c>
      <c r="S27" s="8" t="str">
        <f t="array" ref="S27">IF(R27&gt;5,"Perlu Sensus",IF(AND(R27&gt;=0,O27&gt;0),"Tetap Deteksi","Belum Deteksi"))</f>
        <v>Belum Deteksi</v>
      </c>
      <c r="T27" s="143">
        <v>0</v>
      </c>
      <c r="U27" s="9">
        <f t="shared" si="3"/>
        <v>0</v>
      </c>
      <c r="V27" s="11">
        <v>0</v>
      </c>
      <c r="W27" s="143">
        <v>0</v>
      </c>
      <c r="X27" s="143">
        <v>0</v>
      </c>
      <c r="Y27" s="9">
        <f t="shared" si="4"/>
        <v>0</v>
      </c>
      <c r="Z27" s="8" t="str">
        <f t="array" ref="Z27">IF(Y27&gt;5,"Perlu Sensus",IF(AND(Y27&gt;=0,W27&gt;0),"Tetap Deteksi","Belum Deteksi"))</f>
        <v>Belum Deteksi</v>
      </c>
      <c r="AA27" s="143">
        <v>0</v>
      </c>
      <c r="AB27" s="9">
        <f t="shared" si="5"/>
        <v>0</v>
      </c>
      <c r="AC27" s="11"/>
      <c r="AD27" s="143"/>
      <c r="AE27" s="9">
        <f t="array" ref="AE27">IFERROR(AD27/$G27*100,0)</f>
        <v>0</v>
      </c>
      <c r="AF27" s="143"/>
      <c r="AG27" s="9">
        <f t="shared" si="6"/>
        <v>0</v>
      </c>
      <c r="AH27" s="8" t="str">
        <f t="array" ref="AH27">IF(AG27&gt;5,"Perlu Sensus",IF(AND(AG27&gt;=0,AD27&gt;0),"Tetap Deteksi","Belum Deteksi"))</f>
        <v>Belum Deteksi</v>
      </c>
      <c r="AI27" s="143"/>
      <c r="AJ27" s="9">
        <f t="shared" si="7"/>
        <v>0</v>
      </c>
      <c r="AK27" s="11"/>
      <c r="AL27" s="143"/>
      <c r="AM27" s="143"/>
      <c r="AN27" s="9">
        <f t="shared" si="8"/>
        <v>0</v>
      </c>
      <c r="AO27" s="8" t="str">
        <f t="array" ref="AO27">IF(AN27&gt;5,"Perlu Sensus",IF(AND(AN27&gt;=0,AL27&gt;0),"Tetap Deteksi","Belum Deteksi"))</f>
        <v>Belum Deteksi</v>
      </c>
      <c r="AP27" s="143"/>
      <c r="AQ27" s="9">
        <f t="shared" si="9"/>
        <v>0</v>
      </c>
    </row>
    <row r="28" spans="1:43" outlineLevel="1" x14ac:dyDescent="0.15">
      <c r="A28" s="8" t="s">
        <v>1821</v>
      </c>
      <c r="B28" s="8"/>
      <c r="C28" s="8" t="s">
        <v>47</v>
      </c>
      <c r="D28" s="186" t="s">
        <v>1776</v>
      </c>
      <c r="E28" s="9">
        <v>25.84</v>
      </c>
      <c r="F28" s="8" t="s">
        <v>1823</v>
      </c>
      <c r="G28" s="10">
        <v>3801</v>
      </c>
      <c r="H28" s="11">
        <f t="array" ref="H28">IF(OR(N28&gt;0,AC28&gt;0),MAX(N28,AC28),MAX(AK28,V28))</f>
        <v>46247</v>
      </c>
      <c r="I28" s="143">
        <f t="array" ref="I28">IF(SUM(O28,AD28)&gt;0,SUM(O28,AD28),SUM(AL28,W28))</f>
        <v>586</v>
      </c>
      <c r="J28" s="9">
        <f t="shared" si="0"/>
        <v>15.416995527492766</v>
      </c>
      <c r="K28" s="143">
        <f t="shared" si="10"/>
        <v>38</v>
      </c>
      <c r="L28" s="9">
        <f t="shared" si="1"/>
        <v>6.4846416382252556</v>
      </c>
      <c r="M28" s="8" t="str">
        <f t="array" ref="M28">IF(L28&gt;5,"Perlu Sensus",IF(AND(L28&gt;=0,I28&gt;0),"Tetap Deteksi","Belum Deteksi"))</f>
        <v>Perlu Sensus</v>
      </c>
      <c r="N28" s="11">
        <v>46247</v>
      </c>
      <c r="O28" s="143">
        <v>586</v>
      </c>
      <c r="P28" s="9">
        <f t="array" ref="P28">IFERROR(O28/$G28*100,0)</f>
        <v>15.416995527492766</v>
      </c>
      <c r="Q28" s="143">
        <v>38</v>
      </c>
      <c r="R28" s="9">
        <f t="shared" si="2"/>
        <v>6.4846416382252556</v>
      </c>
      <c r="S28" s="8" t="str">
        <f t="array" ref="S28">IF(R28&gt;5,"Perlu Sensus",IF(AND(R28&gt;=0,O28&gt;0),"Tetap Deteksi","Belum Deteksi"))</f>
        <v>Perlu Sensus</v>
      </c>
      <c r="T28" s="143">
        <v>126</v>
      </c>
      <c r="U28" s="9">
        <f t="shared" si="3"/>
        <v>21.501706484641637</v>
      </c>
      <c r="V28" s="11">
        <v>0</v>
      </c>
      <c r="W28" s="143">
        <v>0</v>
      </c>
      <c r="X28" s="143">
        <v>0</v>
      </c>
      <c r="Y28" s="9">
        <f t="shared" si="4"/>
        <v>0</v>
      </c>
      <c r="Z28" s="8" t="str">
        <f t="array" ref="Z28">IF(Y28&gt;5,"Perlu Sensus",IF(AND(Y28&gt;=0,W28&gt;0),"Tetap Deteksi","Belum Deteksi"))</f>
        <v>Belum Deteksi</v>
      </c>
      <c r="AA28" s="143">
        <v>0</v>
      </c>
      <c r="AB28" s="9">
        <f t="shared" si="5"/>
        <v>0</v>
      </c>
      <c r="AC28" s="11"/>
      <c r="AD28" s="143"/>
      <c r="AE28" s="9">
        <f t="array" ref="AE28">IFERROR(AD28/$G28*100,0)</f>
        <v>0</v>
      </c>
      <c r="AF28" s="143"/>
      <c r="AG28" s="9">
        <f t="shared" si="6"/>
        <v>0</v>
      </c>
      <c r="AH28" s="8" t="str">
        <f t="array" ref="AH28">IF(AG28&gt;5,"Perlu Sensus",IF(AND(AG28&gt;=0,AD28&gt;0),"Tetap Deteksi","Belum Deteksi"))</f>
        <v>Belum Deteksi</v>
      </c>
      <c r="AI28" s="143"/>
      <c r="AJ28" s="9">
        <f t="shared" si="7"/>
        <v>0</v>
      </c>
      <c r="AK28" s="11"/>
      <c r="AL28" s="143"/>
      <c r="AM28" s="143"/>
      <c r="AN28" s="9">
        <f t="shared" si="8"/>
        <v>0</v>
      </c>
      <c r="AO28" s="8" t="str">
        <f t="array" ref="AO28">IF(AN28&gt;5,"Perlu Sensus",IF(AND(AN28&gt;=0,AL28&gt;0),"Tetap Deteksi","Belum Deteksi"))</f>
        <v>Belum Deteksi</v>
      </c>
      <c r="AP28" s="143"/>
      <c r="AQ28" s="9">
        <f t="shared" si="9"/>
        <v>0</v>
      </c>
    </row>
    <row r="29" spans="1:43" outlineLevel="1" x14ac:dyDescent="0.15">
      <c r="A29" s="8" t="s">
        <v>1821</v>
      </c>
      <c r="B29" s="8"/>
      <c r="C29" s="8" t="s">
        <v>47</v>
      </c>
      <c r="D29" s="186" t="s">
        <v>1777</v>
      </c>
      <c r="E29" s="9">
        <v>35.6</v>
      </c>
      <c r="F29" s="8" t="s">
        <v>1823</v>
      </c>
      <c r="G29" s="10">
        <v>4621</v>
      </c>
      <c r="H29" s="11">
        <f t="array" ref="H29">IF(OR(N29&gt;0,AC29&gt;0),MAX(N29,AC29),MAX(AK29,V29))</f>
        <v>46248</v>
      </c>
      <c r="I29" s="143">
        <f t="array" ref="I29">IF(SUM(O29,AD29)&gt;0,SUM(O29,AD29),SUM(AL29,W29))</f>
        <v>534</v>
      </c>
      <c r="J29" s="9">
        <f t="shared" si="0"/>
        <v>11.555940272668254</v>
      </c>
      <c r="K29" s="143">
        <f t="shared" si="10"/>
        <v>29</v>
      </c>
      <c r="L29" s="9">
        <f t="shared" si="1"/>
        <v>5.4307116104868918</v>
      </c>
      <c r="M29" s="8" t="str">
        <f t="array" ref="M29">IF(L29&gt;5,"Perlu Sensus",IF(AND(L29&gt;=0,I29&gt;0),"Tetap Deteksi","Belum Deteksi"))</f>
        <v>Perlu Sensus</v>
      </c>
      <c r="N29" s="11">
        <v>46248</v>
      </c>
      <c r="O29" s="143">
        <v>534</v>
      </c>
      <c r="P29" s="9">
        <f t="array" ref="P29">IFERROR(O29/$G29*100,0)</f>
        <v>11.555940272668254</v>
      </c>
      <c r="Q29" s="143">
        <v>29</v>
      </c>
      <c r="R29" s="9">
        <f t="shared" si="2"/>
        <v>5.4307116104868918</v>
      </c>
      <c r="S29" s="8" t="str">
        <f t="array" ref="S29">IF(R29&gt;5,"Perlu Sensus",IF(AND(R29&gt;=0,O29&gt;0),"Tetap Deteksi","Belum Deteksi"))</f>
        <v>Perlu Sensus</v>
      </c>
      <c r="T29" s="143">
        <v>118</v>
      </c>
      <c r="U29" s="9">
        <f t="shared" si="3"/>
        <v>22.09737827715356</v>
      </c>
      <c r="V29" s="11">
        <v>0</v>
      </c>
      <c r="W29" s="143">
        <v>0</v>
      </c>
      <c r="X29" s="143">
        <v>0</v>
      </c>
      <c r="Y29" s="9">
        <f t="shared" si="4"/>
        <v>0</v>
      </c>
      <c r="Z29" s="8" t="str">
        <f t="array" ref="Z29">IF(Y29&gt;5,"Perlu Sensus",IF(AND(Y29&gt;=0,W29&gt;0),"Tetap Deteksi","Belum Deteksi"))</f>
        <v>Belum Deteksi</v>
      </c>
      <c r="AA29" s="143">
        <v>0</v>
      </c>
      <c r="AB29" s="9">
        <f t="shared" si="5"/>
        <v>0</v>
      </c>
      <c r="AC29" s="11"/>
      <c r="AD29" s="143"/>
      <c r="AE29" s="9">
        <f t="array" ref="AE29">IFERROR(AD29/$G29*100,0)</f>
        <v>0</v>
      </c>
      <c r="AF29" s="143"/>
      <c r="AG29" s="9">
        <f t="shared" si="6"/>
        <v>0</v>
      </c>
      <c r="AH29" s="8" t="str">
        <f t="array" ref="AH29">IF(AG29&gt;5,"Perlu Sensus",IF(AND(AG29&gt;=0,AD29&gt;0),"Tetap Deteksi","Belum Deteksi"))</f>
        <v>Belum Deteksi</v>
      </c>
      <c r="AI29" s="143"/>
      <c r="AJ29" s="9">
        <f t="shared" si="7"/>
        <v>0</v>
      </c>
      <c r="AK29" s="11"/>
      <c r="AL29" s="143"/>
      <c r="AM29" s="143"/>
      <c r="AN29" s="9">
        <f t="shared" si="8"/>
        <v>0</v>
      </c>
      <c r="AO29" s="8" t="str">
        <f t="array" ref="AO29">IF(AN29&gt;5,"Perlu Sensus",IF(AND(AN29&gt;=0,AL29&gt;0),"Tetap Deteksi","Belum Deteksi"))</f>
        <v>Belum Deteksi</v>
      </c>
      <c r="AP29" s="143"/>
      <c r="AQ29" s="9">
        <f t="shared" si="9"/>
        <v>0</v>
      </c>
    </row>
    <row r="30" spans="1:43" outlineLevel="1" x14ac:dyDescent="0.15">
      <c r="A30" s="8" t="s">
        <v>1821</v>
      </c>
      <c r="B30" s="8"/>
      <c r="C30" s="8" t="s">
        <v>47</v>
      </c>
      <c r="D30" s="186" t="s">
        <v>1827</v>
      </c>
      <c r="E30" s="9">
        <v>23.67</v>
      </c>
      <c r="F30" s="8" t="s">
        <v>1823</v>
      </c>
      <c r="G30" s="10">
        <v>3465</v>
      </c>
      <c r="H30" s="11">
        <f t="array" ref="H30">IF(OR(N30&gt;0,AC30&gt;0),MAX(N30,AC30),MAX(AK30,V30))</f>
        <v>46240</v>
      </c>
      <c r="I30" s="143">
        <f t="array" ref="I30">IF(SUM(O30,AD30)&gt;0,SUM(O30,AD30),SUM(AL30,W30))</f>
        <v>56</v>
      </c>
      <c r="J30" s="9">
        <f t="shared" si="0"/>
        <v>1.6161616161616161</v>
      </c>
      <c r="K30" s="143">
        <f t="shared" si="10"/>
        <v>3</v>
      </c>
      <c r="L30" s="9">
        <f t="shared" si="1"/>
        <v>5.3571428571428568</v>
      </c>
      <c r="M30" s="8" t="str">
        <f t="array" ref="M30">IF(L30&gt;5,"Perlu Sensus",IF(AND(L30&gt;=0,I30&gt;0),"Tetap Deteksi","Belum Deteksi"))</f>
        <v>Perlu Sensus</v>
      </c>
      <c r="N30" s="11">
        <v>46240</v>
      </c>
      <c r="O30" s="143">
        <v>56</v>
      </c>
      <c r="P30" s="9">
        <f t="array" ref="P30">IFERROR(O30/$G30*100,0)</f>
        <v>1.6161616161616161</v>
      </c>
      <c r="Q30" s="143">
        <v>3</v>
      </c>
      <c r="R30" s="9">
        <f t="shared" si="2"/>
        <v>5.3571428571428568</v>
      </c>
      <c r="S30" s="8" t="str">
        <f t="array" ref="S30">IF(R30&gt;5,"Perlu Sensus",IF(AND(R30&gt;=0,O30&gt;0),"Tetap Deteksi","Belum Deteksi"))</f>
        <v>Perlu Sensus</v>
      </c>
      <c r="T30" s="143">
        <v>20</v>
      </c>
      <c r="U30" s="9">
        <f t="shared" si="3"/>
        <v>35.714285714285715</v>
      </c>
      <c r="V30" s="11">
        <v>0</v>
      </c>
      <c r="W30" s="143">
        <v>0</v>
      </c>
      <c r="X30" s="143">
        <v>0</v>
      </c>
      <c r="Y30" s="9">
        <f t="shared" si="4"/>
        <v>0</v>
      </c>
      <c r="Z30" s="8" t="str">
        <f t="array" ref="Z30">IF(Y30&gt;5,"Perlu Sensus",IF(AND(Y30&gt;=0,W30&gt;0),"Tetap Deteksi","Belum Deteksi"))</f>
        <v>Belum Deteksi</v>
      </c>
      <c r="AA30" s="143">
        <v>0</v>
      </c>
      <c r="AB30" s="9">
        <f t="shared" si="5"/>
        <v>0</v>
      </c>
      <c r="AC30" s="11"/>
      <c r="AD30" s="143"/>
      <c r="AE30" s="9">
        <f t="array" ref="AE30">IFERROR(AD30/$G30*100,0)</f>
        <v>0</v>
      </c>
      <c r="AF30" s="143"/>
      <c r="AG30" s="9">
        <f t="shared" si="6"/>
        <v>0</v>
      </c>
      <c r="AH30" s="8" t="str">
        <f t="array" ref="AH30">IF(AG30&gt;5,"Perlu Sensus",IF(AND(AG30&gt;=0,AD30&gt;0),"Tetap Deteksi","Belum Deteksi"))</f>
        <v>Belum Deteksi</v>
      </c>
      <c r="AI30" s="143"/>
      <c r="AJ30" s="9">
        <f t="shared" si="7"/>
        <v>0</v>
      </c>
      <c r="AK30" s="11"/>
      <c r="AL30" s="143"/>
      <c r="AM30" s="143"/>
      <c r="AN30" s="9">
        <f t="shared" si="8"/>
        <v>0</v>
      </c>
      <c r="AO30" s="8" t="str">
        <f t="array" ref="AO30">IF(AN30&gt;5,"Perlu Sensus",IF(AND(AN30&gt;=0,AL30&gt;0),"Tetap Deteksi","Belum Deteksi"))</f>
        <v>Belum Deteksi</v>
      </c>
      <c r="AP30" s="143"/>
      <c r="AQ30" s="9">
        <f t="shared" si="9"/>
        <v>0</v>
      </c>
    </row>
    <row r="31" spans="1:43" outlineLevel="1" x14ac:dyDescent="0.15">
      <c r="A31" s="8" t="s">
        <v>1821</v>
      </c>
      <c r="B31" s="8"/>
      <c r="C31" s="8" t="s">
        <v>47</v>
      </c>
      <c r="D31" s="186" t="s">
        <v>1817</v>
      </c>
      <c r="E31" s="9">
        <v>31.08</v>
      </c>
      <c r="F31" s="8" t="s">
        <v>1740</v>
      </c>
      <c r="G31" s="10">
        <v>4262</v>
      </c>
      <c r="H31" s="11">
        <f t="array" ref="H31">IF(OR(N31&gt;0,AC31&gt;0),MAX(N31,AC31),MAX(AK31,V31))</f>
        <v>46240</v>
      </c>
      <c r="I31" s="143">
        <f t="array" ref="I31">IF(SUM(O31,AD31)&gt;0,SUM(O31,AD31),SUM(AL31,W31))</f>
        <v>54</v>
      </c>
      <c r="J31" s="9">
        <f t="shared" si="0"/>
        <v>1.2670107930549039</v>
      </c>
      <c r="K31" s="143">
        <f t="shared" si="10"/>
        <v>2</v>
      </c>
      <c r="L31" s="9">
        <f t="shared" si="1"/>
        <v>3.7037037037037033</v>
      </c>
      <c r="M31" s="8" t="str">
        <f t="array" ref="M31">IF(L31&gt;5,"Perlu Sensus",IF(AND(L31&gt;=0,I31&gt;0),"Tetap Deteksi","Belum Deteksi"))</f>
        <v>Tetap Deteksi</v>
      </c>
      <c r="N31" s="11">
        <v>46240</v>
      </c>
      <c r="O31" s="143">
        <v>54</v>
      </c>
      <c r="P31" s="9">
        <f t="array" ref="P31">IFERROR(O31/$G31*100,0)</f>
        <v>1.2670107930549039</v>
      </c>
      <c r="Q31" s="143">
        <v>2</v>
      </c>
      <c r="R31" s="9">
        <f t="shared" si="2"/>
        <v>3.7037037037037033</v>
      </c>
      <c r="S31" s="8" t="str">
        <f t="array" ref="S31">IF(R31&gt;5,"Perlu Sensus",IF(AND(R31&gt;=0,O31&gt;0),"Tetap Deteksi","Belum Deteksi"))</f>
        <v>Tetap Deteksi</v>
      </c>
      <c r="T31" s="143">
        <v>21</v>
      </c>
      <c r="U31" s="9">
        <f t="shared" si="3"/>
        <v>38.888888888888893</v>
      </c>
      <c r="V31" s="11">
        <v>0</v>
      </c>
      <c r="W31" s="143">
        <v>0</v>
      </c>
      <c r="X31" s="143">
        <v>0</v>
      </c>
      <c r="Y31" s="9">
        <f t="shared" si="4"/>
        <v>0</v>
      </c>
      <c r="Z31" s="8" t="str">
        <f t="array" ref="Z31">IF(Y31&gt;5,"Perlu Sensus",IF(AND(Y31&gt;=0,W31&gt;0),"Tetap Deteksi","Belum Deteksi"))</f>
        <v>Belum Deteksi</v>
      </c>
      <c r="AA31" s="143">
        <v>0</v>
      </c>
      <c r="AB31" s="9">
        <f t="shared" si="5"/>
        <v>0</v>
      </c>
      <c r="AC31" s="11"/>
      <c r="AD31" s="143"/>
      <c r="AE31" s="9">
        <f t="array" ref="AE31">IFERROR(AD31/$G31*100,0)</f>
        <v>0</v>
      </c>
      <c r="AF31" s="143"/>
      <c r="AG31" s="9">
        <f t="shared" si="6"/>
        <v>0</v>
      </c>
      <c r="AH31" s="8" t="str">
        <f t="array" ref="AH31">IF(AG31&gt;5,"Perlu Sensus",IF(AND(AG31&gt;=0,AD31&gt;0),"Tetap Deteksi","Belum Deteksi"))</f>
        <v>Belum Deteksi</v>
      </c>
      <c r="AI31" s="143"/>
      <c r="AJ31" s="9">
        <f t="shared" si="7"/>
        <v>0</v>
      </c>
      <c r="AK31" s="11"/>
      <c r="AL31" s="143"/>
      <c r="AM31" s="143"/>
      <c r="AN31" s="9">
        <f t="shared" si="8"/>
        <v>0</v>
      </c>
      <c r="AO31" s="8" t="str">
        <f t="array" ref="AO31">IF(AN31&gt;5,"Perlu Sensus",IF(AND(AN31&gt;=0,AL31&gt;0),"Tetap Deteksi","Belum Deteksi"))</f>
        <v>Belum Deteksi</v>
      </c>
      <c r="AP31" s="143"/>
      <c r="AQ31" s="9">
        <f t="shared" si="9"/>
        <v>0</v>
      </c>
    </row>
    <row r="32" spans="1:43" outlineLevel="1" x14ac:dyDescent="0.15">
      <c r="A32" s="8" t="s">
        <v>1821</v>
      </c>
      <c r="B32" s="8"/>
      <c r="C32" s="8" t="s">
        <v>47</v>
      </c>
      <c r="D32" s="186" t="s">
        <v>1750</v>
      </c>
      <c r="E32" s="9">
        <v>32.449999999999996</v>
      </c>
      <c r="F32" s="8" t="s">
        <v>1740</v>
      </c>
      <c r="G32" s="10">
        <v>4778</v>
      </c>
      <c r="H32" s="11">
        <f t="array" ref="H32">IF(OR(N32&gt;0,AC32&gt;0),MAX(N32,AC32),MAX(AK32,V32))</f>
        <v>46248</v>
      </c>
      <c r="I32" s="143">
        <f t="array" ref="I32">IF(SUM(O32,AD32)&gt;0,SUM(O32,AD32),SUM(AL32,W32))</f>
        <v>228</v>
      </c>
      <c r="J32" s="9">
        <f t="shared" si="0"/>
        <v>4.7718710757639178</v>
      </c>
      <c r="K32" s="143">
        <f t="shared" si="10"/>
        <v>9</v>
      </c>
      <c r="L32" s="9">
        <f t="shared" si="1"/>
        <v>3.9473684210526314</v>
      </c>
      <c r="M32" s="8" t="str">
        <f t="array" ref="M32">IF(L32&gt;5,"Perlu Sensus",IF(AND(L32&gt;=0,I32&gt;0),"Tetap Deteksi","Belum Deteksi"))</f>
        <v>Tetap Deteksi</v>
      </c>
      <c r="N32" s="11">
        <v>46248</v>
      </c>
      <c r="O32" s="143">
        <v>228</v>
      </c>
      <c r="P32" s="9">
        <f t="array" ref="P32">IFERROR(O32/$G32*100,0)</f>
        <v>4.7718710757639178</v>
      </c>
      <c r="Q32" s="143">
        <v>9</v>
      </c>
      <c r="R32" s="9">
        <f t="shared" si="2"/>
        <v>3.9473684210526314</v>
      </c>
      <c r="S32" s="8" t="str">
        <f t="array" ref="S32">IF(R32&gt;5,"Perlu Sensus",IF(AND(R32&gt;=0,O32&gt;0),"Tetap Deteksi","Belum Deteksi"))</f>
        <v>Tetap Deteksi</v>
      </c>
      <c r="T32" s="143">
        <v>87</v>
      </c>
      <c r="U32" s="9">
        <f t="shared" si="3"/>
        <v>38.15789473684211</v>
      </c>
      <c r="V32" s="11">
        <v>0</v>
      </c>
      <c r="W32" s="143">
        <v>0</v>
      </c>
      <c r="X32" s="143">
        <v>0</v>
      </c>
      <c r="Y32" s="9">
        <f t="shared" si="4"/>
        <v>0</v>
      </c>
      <c r="Z32" s="8" t="str">
        <f t="array" ref="Z32">IF(Y32&gt;5,"Perlu Sensus",IF(AND(Y32&gt;=0,W32&gt;0),"Tetap Deteksi","Belum Deteksi"))</f>
        <v>Belum Deteksi</v>
      </c>
      <c r="AA32" s="143">
        <v>0</v>
      </c>
      <c r="AB32" s="9">
        <f t="shared" si="5"/>
        <v>0</v>
      </c>
      <c r="AC32" s="11"/>
      <c r="AD32" s="143"/>
      <c r="AE32" s="9">
        <f t="array" ref="AE32">IFERROR(AD32/$G32*100,0)</f>
        <v>0</v>
      </c>
      <c r="AF32" s="143"/>
      <c r="AG32" s="9">
        <f t="shared" si="6"/>
        <v>0</v>
      </c>
      <c r="AH32" s="8" t="str">
        <f t="array" ref="AH32">IF(AG32&gt;5,"Perlu Sensus",IF(AND(AG32&gt;=0,AD32&gt;0),"Tetap Deteksi","Belum Deteksi"))</f>
        <v>Belum Deteksi</v>
      </c>
      <c r="AI32" s="143"/>
      <c r="AJ32" s="9">
        <f t="shared" si="7"/>
        <v>0</v>
      </c>
      <c r="AK32" s="11"/>
      <c r="AL32" s="143"/>
      <c r="AM32" s="143"/>
      <c r="AN32" s="9">
        <f t="shared" si="8"/>
        <v>0</v>
      </c>
      <c r="AO32" s="8" t="str">
        <f t="array" ref="AO32">IF(AN32&gt;5,"Perlu Sensus",IF(AND(AN32&gt;=0,AL32&gt;0),"Tetap Deteksi","Belum Deteksi"))</f>
        <v>Belum Deteksi</v>
      </c>
      <c r="AP32" s="143"/>
      <c r="AQ32" s="9">
        <f t="shared" si="9"/>
        <v>0</v>
      </c>
    </row>
    <row r="33" spans="1:43" outlineLevel="1" x14ac:dyDescent="0.15">
      <c r="A33" s="8" t="s">
        <v>1821</v>
      </c>
      <c r="B33" s="8"/>
      <c r="C33" s="8" t="s">
        <v>47</v>
      </c>
      <c r="D33" s="186" t="s">
        <v>1751</v>
      </c>
      <c r="E33" s="9">
        <v>27.69</v>
      </c>
      <c r="F33" s="8" t="s">
        <v>1823</v>
      </c>
      <c r="G33" s="10">
        <v>4243</v>
      </c>
      <c r="H33" s="11">
        <f t="array" ref="H33">IF(OR(N33&gt;0,AC33&gt;0),MAX(N33,AC33),MAX(AK33,V33))</f>
        <v>46248</v>
      </c>
      <c r="I33" s="143">
        <f t="array" ref="I33">IF(SUM(O33,AD33)&gt;0,SUM(O33,AD33),SUM(AL33,W33))</f>
        <v>296</v>
      </c>
      <c r="J33" s="9">
        <f t="shared" si="0"/>
        <v>6.9761960876738156</v>
      </c>
      <c r="K33" s="143">
        <f t="shared" si="10"/>
        <v>16</v>
      </c>
      <c r="L33" s="9">
        <f t="shared" si="1"/>
        <v>5.4054054054054053</v>
      </c>
      <c r="M33" s="8" t="str">
        <f t="array" ref="M33">IF(L33&gt;5,"Perlu Sensus",IF(AND(L33&gt;=0,I33&gt;0),"Tetap Deteksi","Belum Deteksi"))</f>
        <v>Perlu Sensus</v>
      </c>
      <c r="N33" s="11">
        <v>46248</v>
      </c>
      <c r="O33" s="143">
        <v>296</v>
      </c>
      <c r="P33" s="9">
        <f t="array" ref="P33">IFERROR(O33/$G33*100,0)</f>
        <v>6.9761960876738156</v>
      </c>
      <c r="Q33" s="143">
        <v>16</v>
      </c>
      <c r="R33" s="9">
        <f t="shared" si="2"/>
        <v>5.4054054054054053</v>
      </c>
      <c r="S33" s="8" t="str">
        <f t="array" ref="S33">IF(R33&gt;5,"Perlu Sensus",IF(AND(R33&gt;=0,O33&gt;0),"Tetap Deteksi","Belum Deteksi"))</f>
        <v>Perlu Sensus</v>
      </c>
      <c r="T33" s="143">
        <v>80</v>
      </c>
      <c r="U33" s="9">
        <f t="shared" si="3"/>
        <v>27.027027027027028</v>
      </c>
      <c r="V33" s="11">
        <v>0</v>
      </c>
      <c r="W33" s="143">
        <v>0</v>
      </c>
      <c r="X33" s="143">
        <v>0</v>
      </c>
      <c r="Y33" s="9">
        <f t="shared" si="4"/>
        <v>0</v>
      </c>
      <c r="Z33" s="8" t="str">
        <f t="array" ref="Z33">IF(Y33&gt;5,"Perlu Sensus",IF(AND(Y33&gt;=0,W33&gt;0),"Tetap Deteksi","Belum Deteksi"))</f>
        <v>Belum Deteksi</v>
      </c>
      <c r="AA33" s="143">
        <v>0</v>
      </c>
      <c r="AB33" s="9">
        <f t="shared" si="5"/>
        <v>0</v>
      </c>
      <c r="AC33" s="11"/>
      <c r="AD33" s="143"/>
      <c r="AE33" s="9">
        <f t="array" ref="AE33">IFERROR(AD33/$G33*100,0)</f>
        <v>0</v>
      </c>
      <c r="AF33" s="143"/>
      <c r="AG33" s="9">
        <f t="shared" si="6"/>
        <v>0</v>
      </c>
      <c r="AH33" s="8" t="str">
        <f t="array" ref="AH33">IF(AG33&gt;5,"Perlu Sensus",IF(AND(AG33&gt;=0,AD33&gt;0),"Tetap Deteksi","Belum Deteksi"))</f>
        <v>Belum Deteksi</v>
      </c>
      <c r="AI33" s="143"/>
      <c r="AJ33" s="9">
        <f t="shared" si="7"/>
        <v>0</v>
      </c>
      <c r="AK33" s="11"/>
      <c r="AL33" s="143"/>
      <c r="AM33" s="143"/>
      <c r="AN33" s="9">
        <f t="shared" si="8"/>
        <v>0</v>
      </c>
      <c r="AO33" s="8" t="str">
        <f t="array" ref="AO33">IF(AN33&gt;5,"Perlu Sensus",IF(AND(AN33&gt;=0,AL33&gt;0),"Tetap Deteksi","Belum Deteksi"))</f>
        <v>Belum Deteksi</v>
      </c>
      <c r="AP33" s="143"/>
      <c r="AQ33" s="9">
        <f t="shared" si="9"/>
        <v>0</v>
      </c>
    </row>
    <row r="34" spans="1:43" outlineLevel="1" x14ac:dyDescent="0.15">
      <c r="A34" s="8" t="s">
        <v>1821</v>
      </c>
      <c r="B34" s="8"/>
      <c r="C34" s="8" t="s">
        <v>47</v>
      </c>
      <c r="D34" s="186" t="s">
        <v>1818</v>
      </c>
      <c r="E34" s="9">
        <v>31.660000000000004</v>
      </c>
      <c r="F34" s="8" t="s">
        <v>1740</v>
      </c>
      <c r="G34" s="10">
        <v>3166</v>
      </c>
      <c r="H34" s="11">
        <f t="array" ref="H34">IF(OR(N34&gt;0,AC34&gt;0),MAX(N34,AC34),MAX(AK34,V34))</f>
        <v>46248</v>
      </c>
      <c r="I34" s="143">
        <f t="array" ref="I34">IF(SUM(O34,AD34)&gt;0,SUM(O34,AD34),SUM(AL34,W34))</f>
        <v>68</v>
      </c>
      <c r="J34" s="9">
        <f t="shared" si="0"/>
        <v>2.147820593809223</v>
      </c>
      <c r="K34" s="143">
        <f t="shared" si="10"/>
        <v>3</v>
      </c>
      <c r="L34" s="9">
        <f t="shared" si="1"/>
        <v>4.4117647058823533</v>
      </c>
      <c r="M34" s="8" t="str">
        <f t="array" ref="M34">IF(L34&gt;5,"Perlu Sensus",IF(AND(L34&gt;=0,I34&gt;0),"Tetap Deteksi","Belum Deteksi"))</f>
        <v>Tetap Deteksi</v>
      </c>
      <c r="N34" s="11">
        <v>46248</v>
      </c>
      <c r="O34" s="143">
        <v>68</v>
      </c>
      <c r="P34" s="9">
        <f t="array" ref="P34">IFERROR(O34/$G34*100,0)</f>
        <v>2.147820593809223</v>
      </c>
      <c r="Q34" s="143">
        <v>3</v>
      </c>
      <c r="R34" s="9">
        <f t="shared" si="2"/>
        <v>4.4117647058823533</v>
      </c>
      <c r="S34" s="8" t="str">
        <f t="array" ref="S34">IF(R34&gt;5,"Perlu Sensus",IF(AND(R34&gt;=0,O34&gt;0),"Tetap Deteksi","Belum Deteksi"))</f>
        <v>Tetap Deteksi</v>
      </c>
      <c r="T34" s="143">
        <v>0</v>
      </c>
      <c r="U34" s="9">
        <f t="shared" si="3"/>
        <v>0</v>
      </c>
      <c r="V34" s="11">
        <v>0</v>
      </c>
      <c r="W34" s="143">
        <v>0</v>
      </c>
      <c r="X34" s="143">
        <v>0</v>
      </c>
      <c r="Y34" s="9">
        <f t="shared" si="4"/>
        <v>0</v>
      </c>
      <c r="Z34" s="8" t="str">
        <f t="array" ref="Z34">IF(Y34&gt;5,"Perlu Sensus",IF(AND(Y34&gt;=0,W34&gt;0),"Tetap Deteksi","Belum Deteksi"))</f>
        <v>Belum Deteksi</v>
      </c>
      <c r="AA34" s="143">
        <v>0</v>
      </c>
      <c r="AB34" s="9">
        <f t="shared" si="5"/>
        <v>0</v>
      </c>
      <c r="AC34" s="11"/>
      <c r="AD34" s="143"/>
      <c r="AE34" s="9">
        <f t="array" ref="AE34">IFERROR(AD34/$G34*100,0)</f>
        <v>0</v>
      </c>
      <c r="AF34" s="143"/>
      <c r="AG34" s="9">
        <f t="shared" si="6"/>
        <v>0</v>
      </c>
      <c r="AH34" s="8" t="str">
        <f t="array" ref="AH34">IF(AG34&gt;5,"Perlu Sensus",IF(AND(AG34&gt;=0,AD34&gt;0),"Tetap Deteksi","Belum Deteksi"))</f>
        <v>Belum Deteksi</v>
      </c>
      <c r="AI34" s="143"/>
      <c r="AJ34" s="9">
        <f t="shared" si="7"/>
        <v>0</v>
      </c>
      <c r="AK34" s="11"/>
      <c r="AL34" s="143"/>
      <c r="AM34" s="143"/>
      <c r="AN34" s="9">
        <f t="shared" si="8"/>
        <v>0</v>
      </c>
      <c r="AO34" s="8" t="str">
        <f t="array" ref="AO34">IF(AN34&gt;5,"Perlu Sensus",IF(AND(AN34&gt;=0,AL34&gt;0),"Tetap Deteksi","Belum Deteksi"))</f>
        <v>Belum Deteksi</v>
      </c>
      <c r="AP34" s="143"/>
      <c r="AQ34" s="9">
        <f t="shared" si="9"/>
        <v>0</v>
      </c>
    </row>
    <row r="35" spans="1:43" outlineLevel="1" x14ac:dyDescent="0.15">
      <c r="A35" s="8" t="s">
        <v>1821</v>
      </c>
      <c r="B35" s="8"/>
      <c r="C35" s="8" t="s">
        <v>47</v>
      </c>
      <c r="D35" s="181" t="s">
        <v>1828</v>
      </c>
      <c r="E35" s="9">
        <v>48.010000000000005</v>
      </c>
      <c r="F35" s="8" t="s">
        <v>1740</v>
      </c>
      <c r="G35" s="10">
        <v>3674</v>
      </c>
      <c r="H35" s="11">
        <f t="array" ref="H35">IF(OR(N35&gt;0,AC35&gt;0),MAX(N35,AC35),MAX(AK35,V35))</f>
        <v>46248</v>
      </c>
      <c r="I35" s="143">
        <f t="array" ref="I35">IF(SUM(O35,AD35)&gt;0,SUM(O35,AD35),SUM(AL35,W35))</f>
        <v>64</v>
      </c>
      <c r="J35" s="9">
        <f t="shared" si="0"/>
        <v>1.7419706042460534</v>
      </c>
      <c r="K35" s="143">
        <f t="shared" si="10"/>
        <v>4</v>
      </c>
      <c r="L35" s="9">
        <f t="shared" si="1"/>
        <v>6.25</v>
      </c>
      <c r="M35" s="8" t="str">
        <f t="array" ref="M35">IF(L35&gt;5,"Perlu Sensus",IF(AND(L35&gt;=0,I35&gt;0),"Tetap Deteksi","Belum Deteksi"))</f>
        <v>Perlu Sensus</v>
      </c>
      <c r="N35" s="11">
        <v>46248</v>
      </c>
      <c r="O35" s="143">
        <v>64</v>
      </c>
      <c r="P35" s="9">
        <f t="array" ref="P35">IFERROR(O35/$G35*100,0)</f>
        <v>1.7419706042460534</v>
      </c>
      <c r="Q35" s="143">
        <v>4</v>
      </c>
      <c r="R35" s="9">
        <f t="shared" si="2"/>
        <v>6.25</v>
      </c>
      <c r="S35" s="8" t="str">
        <f t="array" ref="S35">IF(R35&gt;5,"Perlu Sensus",IF(AND(R35&gt;=0,O35&gt;0),"Tetap Deteksi","Belum Deteksi"))</f>
        <v>Perlu Sensus</v>
      </c>
      <c r="T35" s="143">
        <v>16</v>
      </c>
      <c r="U35" s="9">
        <f t="shared" si="3"/>
        <v>25</v>
      </c>
      <c r="V35" s="11">
        <v>46244</v>
      </c>
      <c r="W35" s="143">
        <v>34</v>
      </c>
      <c r="X35" s="143">
        <v>5</v>
      </c>
      <c r="Y35" s="9">
        <f t="shared" si="4"/>
        <v>14.705882352941178</v>
      </c>
      <c r="Z35" s="8" t="str">
        <f t="array" ref="Z35">IF(Y35&gt;5,"Perlu Sensus",IF(AND(Y35&gt;=0,W35&gt;0),"Tetap Deteksi","Belum Deteksi"))</f>
        <v>Perlu Sensus</v>
      </c>
      <c r="AA35" s="143">
        <v>17</v>
      </c>
      <c r="AB35" s="9">
        <f t="shared" si="5"/>
        <v>50</v>
      </c>
      <c r="AC35" s="11"/>
      <c r="AD35" s="143"/>
      <c r="AE35" s="9">
        <f t="array" ref="AE35">IFERROR(AD35/$G35*100,0)</f>
        <v>0</v>
      </c>
      <c r="AF35" s="143"/>
      <c r="AG35" s="9">
        <f t="shared" si="6"/>
        <v>0</v>
      </c>
      <c r="AH35" s="8" t="str">
        <f t="array" ref="AH35">IF(AG35&gt;5,"Perlu Sensus",IF(AND(AG35&gt;=0,AD35&gt;0),"Tetap Deteksi","Belum Deteksi"))</f>
        <v>Belum Deteksi</v>
      </c>
      <c r="AI35" s="143"/>
      <c r="AJ35" s="9">
        <f t="shared" si="7"/>
        <v>0</v>
      </c>
      <c r="AK35" s="11"/>
      <c r="AL35" s="143"/>
      <c r="AM35" s="143"/>
      <c r="AN35" s="9">
        <f t="shared" si="8"/>
        <v>0</v>
      </c>
      <c r="AO35" s="8" t="str">
        <f t="array" ref="AO35">IF(AN35&gt;5,"Perlu Sensus",IF(AND(AN35&gt;=0,AL35&gt;0),"Tetap Deteksi","Belum Deteksi"))</f>
        <v>Belum Deteksi</v>
      </c>
      <c r="AP35" s="143"/>
      <c r="AQ35" s="9">
        <f t="shared" si="9"/>
        <v>0</v>
      </c>
    </row>
    <row r="36" spans="1:43" outlineLevel="1" x14ac:dyDescent="0.15">
      <c r="A36" s="8" t="s">
        <v>1821</v>
      </c>
      <c r="B36" s="8"/>
      <c r="C36" s="8" t="s">
        <v>47</v>
      </c>
      <c r="D36" s="186" t="s">
        <v>1829</v>
      </c>
      <c r="E36" s="9">
        <v>39.020000000000003</v>
      </c>
      <c r="F36" s="8" t="s">
        <v>1740</v>
      </c>
      <c r="G36" s="10">
        <v>1831.0000000000002</v>
      </c>
      <c r="H36" s="11">
        <f t="array" ref="H36">IF(OR(N36&gt;0,AC36&gt;0),MAX(N36,AC36),MAX(AK36,V36))</f>
        <v>46239</v>
      </c>
      <c r="I36" s="143">
        <f t="array" ref="I36">IF(SUM(O36,AD36)&gt;0,SUM(O36,AD36),SUM(AL36,W36))</f>
        <v>68</v>
      </c>
      <c r="J36" s="9">
        <f t="shared" si="0"/>
        <v>3.7138175860185689</v>
      </c>
      <c r="K36" s="143">
        <f t="shared" si="10"/>
        <v>6</v>
      </c>
      <c r="L36" s="9">
        <f t="shared" si="1"/>
        <v>8.8235294117647065</v>
      </c>
      <c r="M36" s="8" t="str">
        <f t="array" ref="M36">IF(L36&gt;5,"Perlu Sensus",IF(AND(L36&gt;=0,I36&gt;0),"Tetap Deteksi","Belum Deteksi"))</f>
        <v>Perlu Sensus</v>
      </c>
      <c r="N36" s="11">
        <v>46239</v>
      </c>
      <c r="O36" s="143">
        <v>68</v>
      </c>
      <c r="P36" s="9">
        <f t="array" ref="P36">IFERROR(O36/$G36*100,0)</f>
        <v>3.7138175860185689</v>
      </c>
      <c r="Q36" s="143">
        <v>6</v>
      </c>
      <c r="R36" s="9">
        <f t="shared" si="2"/>
        <v>8.8235294117647065</v>
      </c>
      <c r="S36" s="8" t="str">
        <f t="array" ref="S36">IF(R36&gt;5,"Perlu Sensus",IF(AND(R36&gt;=0,O36&gt;0),"Tetap Deteksi","Belum Deteksi"))</f>
        <v>Perlu Sensus</v>
      </c>
      <c r="T36" s="143">
        <v>18</v>
      </c>
      <c r="U36" s="9">
        <f t="shared" si="3"/>
        <v>26.47058823529412</v>
      </c>
      <c r="V36" s="11">
        <v>46244</v>
      </c>
      <c r="W36" s="143">
        <v>350</v>
      </c>
      <c r="X36" s="143">
        <v>49</v>
      </c>
      <c r="Y36" s="9">
        <f t="shared" si="4"/>
        <v>14.000000000000002</v>
      </c>
      <c r="Z36" s="8" t="str">
        <f t="array" ref="Z36">IF(Y36&gt;5,"Perlu Sensus",IF(AND(Y36&gt;=0,W36&gt;0),"Tetap Deteksi","Belum Deteksi"))</f>
        <v>Perlu Sensus</v>
      </c>
      <c r="AA36" s="143">
        <v>180</v>
      </c>
      <c r="AB36" s="9">
        <f t="shared" si="5"/>
        <v>51.428571428571423</v>
      </c>
      <c r="AC36" s="11"/>
      <c r="AD36" s="143"/>
      <c r="AE36" s="9">
        <f t="array" ref="AE36">IFERROR(AD36/$G36*100,0)</f>
        <v>0</v>
      </c>
      <c r="AF36" s="143"/>
      <c r="AG36" s="9">
        <f t="shared" si="6"/>
        <v>0</v>
      </c>
      <c r="AH36" s="8" t="str">
        <f t="array" ref="AH36">IF(AG36&gt;5,"Perlu Sensus",IF(AND(AG36&gt;=0,AD36&gt;0),"Tetap Deteksi","Belum Deteksi"))</f>
        <v>Belum Deteksi</v>
      </c>
      <c r="AI36" s="143"/>
      <c r="AJ36" s="9">
        <f t="shared" si="7"/>
        <v>0</v>
      </c>
      <c r="AK36" s="11"/>
      <c r="AL36" s="143"/>
      <c r="AM36" s="143"/>
      <c r="AN36" s="9">
        <f t="shared" si="8"/>
        <v>0</v>
      </c>
      <c r="AO36" s="8" t="str">
        <f t="array" ref="AO36">IF(AN36&gt;5,"Perlu Sensus",IF(AND(AN36&gt;=0,AL36&gt;0),"Tetap Deteksi","Belum Deteksi"))</f>
        <v>Belum Deteksi</v>
      </c>
      <c r="AP36" s="143"/>
      <c r="AQ36" s="9">
        <f t="shared" si="9"/>
        <v>0</v>
      </c>
    </row>
    <row r="37" spans="1:43" outlineLevel="1" x14ac:dyDescent="0.15">
      <c r="A37" s="8" t="s">
        <v>1821</v>
      </c>
      <c r="B37" s="8"/>
      <c r="C37" s="8" t="s">
        <v>47</v>
      </c>
      <c r="D37" s="186" t="s">
        <v>1830</v>
      </c>
      <c r="E37" s="9">
        <v>33.519999999999996</v>
      </c>
      <c r="F37" s="8" t="s">
        <v>1823</v>
      </c>
      <c r="G37" s="10">
        <v>3589</v>
      </c>
      <c r="H37" s="11">
        <f t="array" ref="H37">IF(OR(N37&gt;0,AC37&gt;0),MAX(N37,AC37),MAX(AK37,V37))</f>
        <v>46244</v>
      </c>
      <c r="I37" s="143">
        <f t="array" ref="I37">IF(SUM(O37,AD37)&gt;0,SUM(O37,AD37),SUM(AL37,W37))</f>
        <v>320</v>
      </c>
      <c r="J37" s="9">
        <f t="shared" si="0"/>
        <v>8.9161326274728339</v>
      </c>
      <c r="K37" s="143">
        <f t="shared" si="10"/>
        <v>18</v>
      </c>
      <c r="L37" s="9">
        <f t="shared" si="1"/>
        <v>5.625</v>
      </c>
      <c r="M37" s="8" t="str">
        <f t="array" ref="M37">IF(L37&gt;5,"Perlu Sensus",IF(AND(L37&gt;=0,I37&gt;0),"Tetap Deteksi","Belum Deteksi"))</f>
        <v>Perlu Sensus</v>
      </c>
      <c r="N37" s="11">
        <v>46244</v>
      </c>
      <c r="O37" s="143">
        <v>320</v>
      </c>
      <c r="P37" s="9">
        <f t="array" ref="P37">IFERROR(O37/$G37*100,0)</f>
        <v>8.9161326274728339</v>
      </c>
      <c r="Q37" s="143">
        <v>18</v>
      </c>
      <c r="R37" s="9">
        <f t="shared" si="2"/>
        <v>5.625</v>
      </c>
      <c r="S37" s="8" t="str">
        <f t="array" ref="S37">IF(R37&gt;5,"Perlu Sensus",IF(AND(R37&gt;=0,O37&gt;0),"Tetap Deteksi","Belum Deteksi"))</f>
        <v>Perlu Sensus</v>
      </c>
      <c r="T37" s="143">
        <v>84</v>
      </c>
      <c r="U37" s="9">
        <f t="shared" si="3"/>
        <v>26.25</v>
      </c>
      <c r="V37" s="11">
        <v>46245</v>
      </c>
      <c r="W37" s="143">
        <v>1706</v>
      </c>
      <c r="X37" s="143">
        <v>209</v>
      </c>
      <c r="Y37" s="9">
        <f t="shared" si="4"/>
        <v>12.250879249706918</v>
      </c>
      <c r="Z37" s="8" t="str">
        <f t="array" ref="Z37">IF(Y37&gt;5,"Perlu Sensus",IF(AND(Y37&gt;=0,W37&gt;0),"Tetap Deteksi","Belum Deteksi"))</f>
        <v>Perlu Sensus</v>
      </c>
      <c r="AA37" s="143">
        <v>870</v>
      </c>
      <c r="AB37" s="9">
        <f t="shared" si="5"/>
        <v>50.996483001172329</v>
      </c>
      <c r="AC37" s="11"/>
      <c r="AD37" s="143"/>
      <c r="AE37" s="9">
        <f t="array" ref="AE37">IFERROR(AD37/$G37*100,0)</f>
        <v>0</v>
      </c>
      <c r="AF37" s="143"/>
      <c r="AG37" s="9">
        <f t="shared" si="6"/>
        <v>0</v>
      </c>
      <c r="AH37" s="8" t="str">
        <f t="array" ref="AH37">IF(AG37&gt;5,"Perlu Sensus",IF(AND(AG37&gt;=0,AD37&gt;0),"Tetap Deteksi","Belum Deteksi"))</f>
        <v>Belum Deteksi</v>
      </c>
      <c r="AI37" s="143"/>
      <c r="AJ37" s="9">
        <f t="shared" si="7"/>
        <v>0</v>
      </c>
      <c r="AK37" s="11"/>
      <c r="AL37" s="143"/>
      <c r="AM37" s="143"/>
      <c r="AN37" s="9">
        <f t="shared" si="8"/>
        <v>0</v>
      </c>
      <c r="AO37" s="8" t="str">
        <f t="array" ref="AO37">IF(AN37&gt;5,"Perlu Sensus",IF(AND(AN37&gt;=0,AL37&gt;0),"Tetap Deteksi","Belum Deteksi"))</f>
        <v>Belum Deteksi</v>
      </c>
      <c r="AP37" s="143"/>
      <c r="AQ37" s="9">
        <f t="shared" si="9"/>
        <v>0</v>
      </c>
    </row>
    <row r="38" spans="1:43" outlineLevel="1" x14ac:dyDescent="0.15">
      <c r="A38" s="8" t="s">
        <v>1821</v>
      </c>
      <c r="B38" s="8"/>
      <c r="C38" s="8" t="s">
        <v>47</v>
      </c>
      <c r="D38" s="186" t="s">
        <v>1000</v>
      </c>
      <c r="E38" s="9">
        <v>46.57</v>
      </c>
      <c r="F38" s="8" t="s">
        <v>1823</v>
      </c>
      <c r="G38" s="10">
        <v>6772</v>
      </c>
      <c r="H38" s="11">
        <f t="array" ref="H38">IF(OR(N38&gt;0,AC38&gt;0),MAX(N38,AC38),MAX(AK38,V38))</f>
        <v>46244</v>
      </c>
      <c r="I38" s="143">
        <f t="array" ref="I38">IF(SUM(O38,AD38)&gt;0,SUM(O38,AD38),SUM(AL38,W38))</f>
        <v>444</v>
      </c>
      <c r="J38" s="9">
        <f t="shared" si="0"/>
        <v>6.5564087418783226</v>
      </c>
      <c r="K38" s="143">
        <f t="shared" si="10"/>
        <v>31</v>
      </c>
      <c r="L38" s="9">
        <f t="shared" si="1"/>
        <v>6.9819819819819813</v>
      </c>
      <c r="M38" s="8" t="str">
        <f t="array" ref="M38">IF(L38&gt;5,"Perlu Sensus",IF(AND(L38&gt;=0,I38&gt;0),"Tetap Deteksi","Belum Deteksi"))</f>
        <v>Perlu Sensus</v>
      </c>
      <c r="N38" s="11">
        <v>46244</v>
      </c>
      <c r="O38" s="143">
        <v>444</v>
      </c>
      <c r="P38" s="9">
        <f t="array" ref="P38">IFERROR(O38/$G38*100,0)</f>
        <v>6.5564087418783226</v>
      </c>
      <c r="Q38" s="143">
        <v>31</v>
      </c>
      <c r="R38" s="9">
        <f t="shared" si="2"/>
        <v>6.9819819819819813</v>
      </c>
      <c r="S38" s="8" t="str">
        <f t="array" ref="S38">IF(R38&gt;5,"Perlu Sensus",IF(AND(R38&gt;=0,O38&gt;0),"Tetap Deteksi","Belum Deteksi"))</f>
        <v>Perlu Sensus</v>
      </c>
      <c r="T38" s="143">
        <v>113</v>
      </c>
      <c r="U38" s="9">
        <f t="shared" si="3"/>
        <v>25.45045045045045</v>
      </c>
      <c r="V38" s="11">
        <v>46245</v>
      </c>
      <c r="W38" s="143">
        <v>1609</v>
      </c>
      <c r="X38" s="143">
        <v>260</v>
      </c>
      <c r="Y38" s="9">
        <f t="shared" si="4"/>
        <v>16.159105034182723</v>
      </c>
      <c r="Z38" s="8" t="str">
        <f t="array" ref="Z38">IF(Y38&gt;5,"Perlu Sensus",IF(AND(Y38&gt;=0,W38&gt;0),"Tetap Deteksi","Belum Deteksi"))</f>
        <v>Perlu Sensus</v>
      </c>
      <c r="AA38" s="143">
        <v>760</v>
      </c>
      <c r="AB38" s="9">
        <f t="shared" si="5"/>
        <v>47.234307022995651</v>
      </c>
      <c r="AC38" s="11"/>
      <c r="AD38" s="143"/>
      <c r="AE38" s="9">
        <f t="array" ref="AE38">IFERROR(AD38/$G38*100,0)</f>
        <v>0</v>
      </c>
      <c r="AF38" s="143"/>
      <c r="AG38" s="9">
        <f t="shared" si="6"/>
        <v>0</v>
      </c>
      <c r="AH38" s="8" t="str">
        <f t="array" ref="AH38">IF(AG38&gt;5,"Perlu Sensus",IF(AND(AG38&gt;=0,AD38&gt;0),"Tetap Deteksi","Belum Deteksi"))</f>
        <v>Belum Deteksi</v>
      </c>
      <c r="AI38" s="143"/>
      <c r="AJ38" s="9">
        <f t="shared" si="7"/>
        <v>0</v>
      </c>
      <c r="AK38" s="11"/>
      <c r="AL38" s="143"/>
      <c r="AM38" s="143"/>
      <c r="AN38" s="9">
        <f t="shared" si="8"/>
        <v>0</v>
      </c>
      <c r="AO38" s="8" t="str">
        <f t="array" ref="AO38">IF(AN38&gt;5,"Perlu Sensus",IF(AND(AN38&gt;=0,AL38&gt;0),"Tetap Deteksi","Belum Deteksi"))</f>
        <v>Belum Deteksi</v>
      </c>
      <c r="AP38" s="143"/>
      <c r="AQ38" s="9">
        <f t="shared" si="9"/>
        <v>0</v>
      </c>
    </row>
    <row r="39" spans="1:43" outlineLevel="1" x14ac:dyDescent="0.15">
      <c r="A39" s="8" t="s">
        <v>1821</v>
      </c>
      <c r="B39" s="8"/>
      <c r="C39" s="8" t="s">
        <v>47</v>
      </c>
      <c r="D39" s="186" t="s">
        <v>1831</v>
      </c>
      <c r="E39" s="9">
        <v>23.56</v>
      </c>
      <c r="F39" s="8" t="s">
        <v>1740</v>
      </c>
      <c r="G39" s="10">
        <v>1921</v>
      </c>
      <c r="H39" s="11">
        <f t="array" ref="H39">IF(OR(N39&gt;0,AC39&gt;0),MAX(N39,AC39),MAX(AK39,V39))</f>
        <v>46244</v>
      </c>
      <c r="I39" s="143">
        <f t="array" ref="I39">IF(SUM(O39,AD39)&gt;0,SUM(O39,AD39),SUM(AL39,W39))</f>
        <v>111</v>
      </c>
      <c r="J39" s="9" t="str">
        <f t="shared" si="0"/>
        <v xml:space="preserve"> </v>
      </c>
      <c r="K39" s="143">
        <f t="shared" si="10"/>
        <v>15</v>
      </c>
      <c r="L39" s="9">
        <f t="shared" si="1"/>
        <v>13.513513513513514</v>
      </c>
      <c r="M39" s="8" t="str">
        <f t="array" ref="M39">IF(L39&gt;5,"Perlu Sensus",IF(AND(L39&gt;=0,I39&gt;0),"Tetap Deteksi","Belum Deteksi"))</f>
        <v>Perlu Sensus</v>
      </c>
      <c r="N39" s="11">
        <v>0</v>
      </c>
      <c r="O39" s="143">
        <v>0</v>
      </c>
      <c r="P39" s="9">
        <f t="array" ref="P39">IFERROR(O39/$G39*100,0)</f>
        <v>0</v>
      </c>
      <c r="Q39" s="143">
        <v>0</v>
      </c>
      <c r="R39" s="9">
        <f t="shared" si="2"/>
        <v>0</v>
      </c>
      <c r="S39" s="8" t="str">
        <f t="array" ref="S39">IF(R39&gt;5,"Perlu Sensus",IF(AND(R39&gt;=0,O39&gt;0),"Tetap Deteksi","Belum Deteksi"))</f>
        <v>Belum Deteksi</v>
      </c>
      <c r="T39" s="143">
        <v>0</v>
      </c>
      <c r="U39" s="9">
        <f t="shared" si="3"/>
        <v>0</v>
      </c>
      <c r="V39" s="11">
        <v>46244</v>
      </c>
      <c r="W39" s="143">
        <v>111</v>
      </c>
      <c r="X39" s="143">
        <v>15</v>
      </c>
      <c r="Y39" s="9">
        <f t="shared" si="4"/>
        <v>13.513513513513514</v>
      </c>
      <c r="Z39" s="8" t="str">
        <f t="array" ref="Z39">IF(Y39&gt;5,"Perlu Sensus",IF(AND(Y39&gt;=0,W39&gt;0),"Tetap Deteksi","Belum Deteksi"))</f>
        <v>Perlu Sensus</v>
      </c>
      <c r="AA39" s="143">
        <v>54</v>
      </c>
      <c r="AB39" s="9">
        <f t="shared" si="5"/>
        <v>48.648648648648653</v>
      </c>
      <c r="AC39" s="11"/>
      <c r="AD39" s="143"/>
      <c r="AE39" s="9">
        <f t="array" ref="AE39">IFERROR(AD39/$G39*100,0)</f>
        <v>0</v>
      </c>
      <c r="AF39" s="143"/>
      <c r="AG39" s="9">
        <f t="shared" si="6"/>
        <v>0</v>
      </c>
      <c r="AH39" s="8" t="str">
        <f t="array" ref="AH39">IF(AG39&gt;5,"Perlu Sensus",IF(AND(AG39&gt;=0,AD39&gt;0),"Tetap Deteksi","Belum Deteksi"))</f>
        <v>Belum Deteksi</v>
      </c>
      <c r="AI39" s="143"/>
      <c r="AJ39" s="9">
        <f t="shared" si="7"/>
        <v>0</v>
      </c>
      <c r="AK39" s="11"/>
      <c r="AL39" s="143"/>
      <c r="AM39" s="143"/>
      <c r="AN39" s="9">
        <f t="shared" si="8"/>
        <v>0</v>
      </c>
      <c r="AO39" s="8" t="str">
        <f t="array" ref="AO39">IF(AN39&gt;5,"Perlu Sensus",IF(AND(AN39&gt;=0,AL39&gt;0),"Tetap Deteksi","Belum Deteksi"))</f>
        <v>Belum Deteksi</v>
      </c>
      <c r="AP39" s="143"/>
      <c r="AQ39" s="9">
        <f t="shared" si="9"/>
        <v>0</v>
      </c>
    </row>
    <row r="40" spans="1:43" outlineLevel="1" x14ac:dyDescent="0.15">
      <c r="A40" s="8" t="s">
        <v>1821</v>
      </c>
      <c r="B40" s="8"/>
      <c r="C40" s="8" t="s">
        <v>47</v>
      </c>
      <c r="D40" s="186" t="s">
        <v>1832</v>
      </c>
      <c r="E40" s="9">
        <v>32.11</v>
      </c>
      <c r="F40" s="8" t="s">
        <v>1740</v>
      </c>
      <c r="G40" s="10">
        <v>4229</v>
      </c>
      <c r="H40" s="11">
        <f t="array" ref="H40">IF(OR(N40&gt;0,AC40&gt;0),MAX(N40,AC40),MAX(AK40,V40))</f>
        <v>46242</v>
      </c>
      <c r="I40" s="143">
        <f t="array" ref="I40">IF(SUM(O40,AD40)&gt;0,SUM(O40,AD40),SUM(AL40,W40))</f>
        <v>128</v>
      </c>
      <c r="J40" s="9">
        <f t="shared" si="0"/>
        <v>3.0267202648380231</v>
      </c>
      <c r="K40" s="143">
        <f t="shared" si="10"/>
        <v>6</v>
      </c>
      <c r="L40" s="9">
        <f t="shared" si="1"/>
        <v>4.6875</v>
      </c>
      <c r="M40" s="8" t="str">
        <f t="array" ref="M40">IF(L40&gt;5,"Perlu Sensus",IF(AND(L40&gt;=0,I40&gt;0),"Tetap Deteksi","Belum Deteksi"))</f>
        <v>Tetap Deteksi</v>
      </c>
      <c r="N40" s="11">
        <v>46242</v>
      </c>
      <c r="O40" s="143">
        <v>128</v>
      </c>
      <c r="P40" s="9">
        <f t="array" ref="P40">IFERROR(O40/$G40*100,0)</f>
        <v>3.0267202648380231</v>
      </c>
      <c r="Q40" s="143">
        <v>6</v>
      </c>
      <c r="R40" s="9">
        <f t="shared" si="2"/>
        <v>4.6875</v>
      </c>
      <c r="S40" s="8" t="str">
        <f t="array" ref="S40">IF(R40&gt;5,"Perlu Sensus",IF(AND(R40&gt;=0,O40&gt;0),"Tetap Deteksi","Belum Deteksi"))</f>
        <v>Tetap Deteksi</v>
      </c>
      <c r="T40" s="143">
        <v>33</v>
      </c>
      <c r="U40" s="9">
        <f t="shared" si="3"/>
        <v>25.78125</v>
      </c>
      <c r="V40" s="11">
        <v>46237</v>
      </c>
      <c r="W40" s="143">
        <v>601</v>
      </c>
      <c r="X40" s="143">
        <v>59</v>
      </c>
      <c r="Y40" s="9">
        <f t="shared" si="4"/>
        <v>9.8169717138103163</v>
      </c>
      <c r="Z40" s="8" t="str">
        <f t="array" ref="Z40">IF(Y40&gt;5,"Perlu Sensus",IF(AND(Y40&gt;=0,W40&gt;0),"Tetap Deteksi","Belum Deteksi"))</f>
        <v>Perlu Sensus</v>
      </c>
      <c r="AA40" s="143">
        <v>257</v>
      </c>
      <c r="AB40" s="9">
        <f t="shared" si="5"/>
        <v>42.762063227953412</v>
      </c>
      <c r="AC40" s="11"/>
      <c r="AD40" s="143"/>
      <c r="AE40" s="9">
        <f t="array" ref="AE40">IFERROR(AD40/$G40*100,0)</f>
        <v>0</v>
      </c>
      <c r="AF40" s="143"/>
      <c r="AG40" s="9">
        <f t="shared" si="6"/>
        <v>0</v>
      </c>
      <c r="AH40" s="8" t="str">
        <f t="array" ref="AH40">IF(AG40&gt;5,"Perlu Sensus",IF(AND(AG40&gt;=0,AD40&gt;0),"Tetap Deteksi","Belum Deteksi"))</f>
        <v>Belum Deteksi</v>
      </c>
      <c r="AI40" s="143"/>
      <c r="AJ40" s="9">
        <f t="shared" si="7"/>
        <v>0</v>
      </c>
      <c r="AK40" s="11"/>
      <c r="AL40" s="143"/>
      <c r="AM40" s="143"/>
      <c r="AN40" s="9">
        <f t="shared" si="8"/>
        <v>0</v>
      </c>
      <c r="AO40" s="8" t="str">
        <f t="array" ref="AO40">IF(AN40&gt;5,"Perlu Sensus",IF(AND(AN40&gt;=0,AL40&gt;0),"Tetap Deteksi","Belum Deteksi"))</f>
        <v>Belum Deteksi</v>
      </c>
      <c r="AP40" s="143"/>
      <c r="AQ40" s="9">
        <f t="shared" si="9"/>
        <v>0</v>
      </c>
    </row>
    <row r="41" spans="1:43" outlineLevel="1" x14ac:dyDescent="0.15">
      <c r="A41" s="8" t="s">
        <v>1821</v>
      </c>
      <c r="B41" s="8"/>
      <c r="C41" s="8" t="s">
        <v>47</v>
      </c>
      <c r="D41" s="186" t="s">
        <v>1796</v>
      </c>
      <c r="E41" s="9">
        <v>38.5</v>
      </c>
      <c r="F41" s="8" t="s">
        <v>1833</v>
      </c>
      <c r="G41" s="10">
        <v>5841</v>
      </c>
      <c r="H41" s="11">
        <f t="array" ref="H41">IF(OR(N41&gt;0,AC41&gt;0),MAX(N41,AC41),MAX(AK41,V41))</f>
        <v>46242</v>
      </c>
      <c r="I41" s="143">
        <f t="array" ref="I41">IF(SUM(O41,AD41)&gt;0,SUM(O41,AD41),SUM(AL41,W41))</f>
        <v>416</v>
      </c>
      <c r="J41" s="9">
        <f t="shared" si="0"/>
        <v>7.1220681390172915</v>
      </c>
      <c r="K41" s="143">
        <f t="shared" si="10"/>
        <v>24</v>
      </c>
      <c r="L41" s="9">
        <f t="shared" si="1"/>
        <v>5.7692307692307692</v>
      </c>
      <c r="M41" s="8" t="str">
        <f t="array" ref="M41">IF(L41&gt;5,"Perlu Sensus",IF(AND(L41&gt;=0,I41&gt;0),"Tetap Deteksi","Belum Deteksi"))</f>
        <v>Perlu Sensus</v>
      </c>
      <c r="N41" s="11">
        <v>46242</v>
      </c>
      <c r="O41" s="143">
        <v>416</v>
      </c>
      <c r="P41" s="9">
        <f t="array" ref="P41">IFERROR(O41/$G41*100,0)</f>
        <v>7.1220681390172915</v>
      </c>
      <c r="Q41" s="143">
        <v>24</v>
      </c>
      <c r="R41" s="9">
        <f t="shared" si="2"/>
        <v>5.7692307692307692</v>
      </c>
      <c r="S41" s="8" t="str">
        <f t="array" ref="S41">IF(R41&gt;5,"Perlu Sensus",IF(AND(R41&gt;=0,O41&gt;0),"Tetap Deteksi","Belum Deteksi"))</f>
        <v>Perlu Sensus</v>
      </c>
      <c r="T41" s="143">
        <v>96</v>
      </c>
      <c r="U41" s="9">
        <f t="shared" si="3"/>
        <v>23.076923076923077</v>
      </c>
      <c r="V41" s="11">
        <v>46235</v>
      </c>
      <c r="W41" s="143">
        <v>2636</v>
      </c>
      <c r="X41" s="143">
        <v>232</v>
      </c>
      <c r="Y41" s="9">
        <f t="shared" si="4"/>
        <v>8.8012139605462814</v>
      </c>
      <c r="Z41" s="8" t="str">
        <f t="array" ref="Z41">IF(Y41&gt;5,"Perlu Sensus",IF(AND(Y41&gt;=0,W41&gt;0),"Tetap Deteksi","Belum Deteksi"))</f>
        <v>Perlu Sensus</v>
      </c>
      <c r="AA41" s="143">
        <v>1194</v>
      </c>
      <c r="AB41" s="9">
        <f t="shared" si="5"/>
        <v>45.295902883156295</v>
      </c>
      <c r="AC41" s="11"/>
      <c r="AD41" s="143"/>
      <c r="AE41" s="9">
        <f t="array" ref="AE41">IFERROR(AD41/$G41*100,0)</f>
        <v>0</v>
      </c>
      <c r="AF41" s="143"/>
      <c r="AG41" s="9">
        <f t="shared" si="6"/>
        <v>0</v>
      </c>
      <c r="AH41" s="8" t="str">
        <f t="array" ref="AH41">IF(AG41&gt;5,"Perlu Sensus",IF(AND(AG41&gt;=0,AD41&gt;0),"Tetap Deteksi","Belum Deteksi"))</f>
        <v>Belum Deteksi</v>
      </c>
      <c r="AI41" s="143"/>
      <c r="AJ41" s="9">
        <f t="shared" si="7"/>
        <v>0</v>
      </c>
      <c r="AK41" s="11"/>
      <c r="AL41" s="143"/>
      <c r="AM41" s="143"/>
      <c r="AN41" s="9">
        <f t="shared" si="8"/>
        <v>0</v>
      </c>
      <c r="AO41" s="8" t="str">
        <f t="array" ref="AO41">IF(AN41&gt;5,"Perlu Sensus",IF(AND(AN41&gt;=0,AL41&gt;0),"Tetap Deteksi","Belum Deteksi"))</f>
        <v>Belum Deteksi</v>
      </c>
      <c r="AP41" s="143"/>
      <c r="AQ41" s="9">
        <f t="shared" si="9"/>
        <v>0</v>
      </c>
    </row>
    <row r="42" spans="1:43" outlineLevel="1" x14ac:dyDescent="0.15">
      <c r="A42" s="8" t="s">
        <v>1821</v>
      </c>
      <c r="B42" s="8"/>
      <c r="C42" s="8" t="s">
        <v>47</v>
      </c>
      <c r="D42" s="186" t="s">
        <v>1029</v>
      </c>
      <c r="E42" s="9">
        <v>38.620000000000005</v>
      </c>
      <c r="F42" s="8" t="s">
        <v>1833</v>
      </c>
      <c r="G42" s="10">
        <v>5710</v>
      </c>
      <c r="H42" s="11">
        <f t="array" ref="H42">IF(OR(N42&gt;0,AC42&gt;0),MAX(N42,AC42),MAX(AK42,V42))</f>
        <v>46238</v>
      </c>
      <c r="I42" s="143">
        <f t="array" ref="I42">IF(SUM(O42,AD42)&gt;0,SUM(O42,AD42),SUM(AL42,W42))</f>
        <v>170</v>
      </c>
      <c r="J42" s="9">
        <f t="shared" si="0"/>
        <v>2.9772329246935203</v>
      </c>
      <c r="K42" s="143">
        <f t="shared" si="10"/>
        <v>11</v>
      </c>
      <c r="L42" s="9">
        <f t="shared" si="1"/>
        <v>6.4705882352941186</v>
      </c>
      <c r="M42" s="8" t="str">
        <f t="array" ref="M42">IF(L42&gt;5,"Perlu Sensus",IF(AND(L42&gt;=0,I42&gt;0),"Tetap Deteksi","Belum Deteksi"))</f>
        <v>Perlu Sensus</v>
      </c>
      <c r="N42" s="11">
        <v>46238</v>
      </c>
      <c r="O42" s="143">
        <v>170</v>
      </c>
      <c r="P42" s="9">
        <f t="array" ref="P42">IFERROR(O42/$G42*100,0)</f>
        <v>2.9772329246935203</v>
      </c>
      <c r="Q42" s="143">
        <v>11</v>
      </c>
      <c r="R42" s="9">
        <f t="shared" si="2"/>
        <v>6.4705882352941186</v>
      </c>
      <c r="S42" s="8" t="str">
        <f t="array" ref="S42">IF(R42&gt;5,"Perlu Sensus",IF(AND(R42&gt;=0,O42&gt;0),"Tetap Deteksi","Belum Deteksi"))</f>
        <v>Perlu Sensus</v>
      </c>
      <c r="T42" s="143">
        <v>41</v>
      </c>
      <c r="U42" s="9">
        <f t="shared" si="3"/>
        <v>24.117647058823529</v>
      </c>
      <c r="V42" s="11">
        <v>46235</v>
      </c>
      <c r="W42" s="143">
        <v>186</v>
      </c>
      <c r="X42" s="143">
        <v>16</v>
      </c>
      <c r="Y42" s="9">
        <f t="shared" si="4"/>
        <v>8.6021505376344098</v>
      </c>
      <c r="Z42" s="8" t="str">
        <f t="array" ref="Z42">IF(Y42&gt;5,"Perlu Sensus",IF(AND(Y42&gt;=0,W42&gt;0),"Tetap Deteksi","Belum Deteksi"))</f>
        <v>Perlu Sensus</v>
      </c>
      <c r="AA42" s="143">
        <v>84</v>
      </c>
      <c r="AB42" s="9">
        <f t="shared" si="5"/>
        <v>45.161290322580641</v>
      </c>
      <c r="AC42" s="11"/>
      <c r="AD42" s="143"/>
      <c r="AE42" s="9">
        <f t="array" ref="AE42">IFERROR(AD42/$G42*100,0)</f>
        <v>0</v>
      </c>
      <c r="AF42" s="143"/>
      <c r="AG42" s="9">
        <f t="shared" si="6"/>
        <v>0</v>
      </c>
      <c r="AH42" s="8" t="str">
        <f t="array" ref="AH42">IF(AG42&gt;5,"Perlu Sensus",IF(AND(AG42&gt;=0,AD42&gt;0),"Tetap Deteksi","Belum Deteksi"))</f>
        <v>Belum Deteksi</v>
      </c>
      <c r="AI42" s="143"/>
      <c r="AJ42" s="9">
        <f t="shared" si="7"/>
        <v>0</v>
      </c>
      <c r="AK42" s="11"/>
      <c r="AL42" s="143"/>
      <c r="AM42" s="143"/>
      <c r="AN42" s="9">
        <f t="shared" si="8"/>
        <v>0</v>
      </c>
      <c r="AO42" s="8" t="str">
        <f t="array" ref="AO42">IF(AN42&gt;5,"Perlu Sensus",IF(AND(AN42&gt;=0,AL42&gt;0),"Tetap Deteksi","Belum Deteksi"))</f>
        <v>Belum Deteksi</v>
      </c>
      <c r="AP42" s="143"/>
      <c r="AQ42" s="9">
        <f t="shared" si="9"/>
        <v>0</v>
      </c>
    </row>
    <row r="43" spans="1:43" outlineLevel="1" x14ac:dyDescent="0.15">
      <c r="A43" s="8" t="s">
        <v>1821</v>
      </c>
      <c r="B43" s="8"/>
      <c r="C43" s="8" t="s">
        <v>79</v>
      </c>
      <c r="D43" s="186" t="s">
        <v>1392</v>
      </c>
      <c r="E43" s="9">
        <v>37.620000000000005</v>
      </c>
      <c r="F43" s="8" t="s">
        <v>1833</v>
      </c>
      <c r="G43" s="10">
        <v>4899</v>
      </c>
      <c r="H43" s="11">
        <f t="array" ref="H43">IF(OR(N43&gt;0,AC43&gt;0),MAX(N43,AC43),MAX(AK43,V43))</f>
        <v>46242</v>
      </c>
      <c r="I43" s="143">
        <f t="array" ref="I43">IF(SUM(O43,AD43)&gt;0,SUM(O43,AD43),SUM(AL43,W43))</f>
        <v>412</v>
      </c>
      <c r="J43" s="9">
        <f t="shared" si="0"/>
        <v>8.4098795672586242</v>
      </c>
      <c r="K43" s="143">
        <f t="shared" si="10"/>
        <v>34</v>
      </c>
      <c r="L43" s="9">
        <f t="shared" si="1"/>
        <v>8.2524271844660202</v>
      </c>
      <c r="M43" s="8" t="str">
        <f t="array" ref="M43">IF(L43&gt;5,"Perlu Sensus",IF(AND(L43&gt;=0,I43&gt;0),"Tetap Deteksi","Belum Deteksi"))</f>
        <v>Perlu Sensus</v>
      </c>
      <c r="N43" s="11">
        <v>46242</v>
      </c>
      <c r="O43" s="143">
        <v>412</v>
      </c>
      <c r="P43" s="9">
        <f t="array" ref="P43">IFERROR(O43/$G43*100,0)</f>
        <v>8.4098795672586242</v>
      </c>
      <c r="Q43" s="143">
        <v>34</v>
      </c>
      <c r="R43" s="9">
        <f t="shared" si="2"/>
        <v>8.2524271844660202</v>
      </c>
      <c r="S43" s="8" t="str">
        <f t="array" ref="S43">IF(R43&gt;5,"Perlu Sensus",IF(AND(R43&gt;=0,O43&gt;0),"Tetap Deteksi","Belum Deteksi"))</f>
        <v>Perlu Sensus</v>
      </c>
      <c r="T43" s="143">
        <v>72</v>
      </c>
      <c r="U43" s="9">
        <f t="shared" si="3"/>
        <v>17.475728155339805</v>
      </c>
      <c r="V43" s="11">
        <v>0</v>
      </c>
      <c r="W43" s="143">
        <v>0</v>
      </c>
      <c r="X43" s="143">
        <v>0</v>
      </c>
      <c r="Y43" s="9">
        <f t="shared" si="4"/>
        <v>0</v>
      </c>
      <c r="Z43" s="8" t="str">
        <f t="array" ref="Z43">IF(Y43&gt;5,"Perlu Sensus",IF(AND(Y43&gt;=0,W43&gt;0),"Tetap Deteksi","Belum Deteksi"))</f>
        <v>Belum Deteksi</v>
      </c>
      <c r="AA43" s="143">
        <v>0</v>
      </c>
      <c r="AB43" s="9">
        <f t="shared" si="5"/>
        <v>0</v>
      </c>
      <c r="AC43" s="11"/>
      <c r="AD43" s="143"/>
      <c r="AE43" s="9">
        <f t="array" ref="AE43">IFERROR(AD43/$G43*100,0)</f>
        <v>0</v>
      </c>
      <c r="AF43" s="143"/>
      <c r="AG43" s="9">
        <f t="shared" si="6"/>
        <v>0</v>
      </c>
      <c r="AH43" s="8" t="str">
        <f t="array" ref="AH43">IF(AG43&gt;5,"Perlu Sensus",IF(AND(AG43&gt;=0,AD43&gt;0),"Tetap Deteksi","Belum Deteksi"))</f>
        <v>Belum Deteksi</v>
      </c>
      <c r="AI43" s="143"/>
      <c r="AJ43" s="9">
        <f t="shared" si="7"/>
        <v>0</v>
      </c>
      <c r="AK43" s="11"/>
      <c r="AL43" s="143"/>
      <c r="AM43" s="143"/>
      <c r="AN43" s="9">
        <f t="shared" si="8"/>
        <v>0</v>
      </c>
      <c r="AO43" s="8" t="str">
        <f t="array" ref="AO43">IF(AN43&gt;5,"Perlu Sensus",IF(AND(AN43&gt;=0,AL43&gt;0),"Tetap Deteksi","Belum Deteksi"))</f>
        <v>Belum Deteksi</v>
      </c>
      <c r="AP43" s="143"/>
      <c r="AQ43" s="9">
        <f t="shared" si="9"/>
        <v>0</v>
      </c>
    </row>
    <row r="44" spans="1:43" outlineLevel="1" x14ac:dyDescent="0.15">
      <c r="A44" s="8" t="s">
        <v>1821</v>
      </c>
      <c r="B44" s="8"/>
      <c r="C44" s="8" t="s">
        <v>79</v>
      </c>
      <c r="D44" s="186" t="s">
        <v>1393</v>
      </c>
      <c r="E44" s="9">
        <v>34.299999999999997</v>
      </c>
      <c r="F44" s="8" t="s">
        <v>1740</v>
      </c>
      <c r="G44" s="10">
        <v>4165</v>
      </c>
      <c r="H44" s="11">
        <f t="array" ref="H44">IF(OR(N44&gt;0,AC44&gt;0),MAX(N44,AC44),MAX(AK44,V44))</f>
        <v>46242</v>
      </c>
      <c r="I44" s="143">
        <f t="array" ref="I44">IF(SUM(O44,AD44)&gt;0,SUM(O44,AD44),SUM(AL44,W44))</f>
        <v>418</v>
      </c>
      <c r="J44" s="9">
        <f t="shared" si="0"/>
        <v>10.036014405762304</v>
      </c>
      <c r="K44" s="143">
        <f t="shared" si="10"/>
        <v>42</v>
      </c>
      <c r="L44" s="9">
        <f t="shared" si="1"/>
        <v>10.047846889952153</v>
      </c>
      <c r="M44" s="8" t="str">
        <f t="array" ref="M44">IF(L44&gt;5,"Perlu Sensus",IF(AND(L44&gt;=0,I44&gt;0),"Tetap Deteksi","Belum Deteksi"))</f>
        <v>Perlu Sensus</v>
      </c>
      <c r="N44" s="11">
        <v>46242</v>
      </c>
      <c r="O44" s="143">
        <v>418</v>
      </c>
      <c r="P44" s="9">
        <f t="array" ref="P44">IFERROR(O44/$G44*100,0)</f>
        <v>10.036014405762304</v>
      </c>
      <c r="Q44" s="143">
        <v>42</v>
      </c>
      <c r="R44" s="9">
        <f t="shared" si="2"/>
        <v>10.047846889952153</v>
      </c>
      <c r="S44" s="8" t="str">
        <f t="array" ref="S44">IF(R44&gt;5,"Perlu Sensus",IF(AND(R44&gt;=0,O44&gt;0),"Tetap Deteksi","Belum Deteksi"))</f>
        <v>Perlu Sensus</v>
      </c>
      <c r="T44" s="143">
        <v>92</v>
      </c>
      <c r="U44" s="9">
        <f t="shared" si="3"/>
        <v>22.009569377990431</v>
      </c>
      <c r="V44" s="11">
        <v>0</v>
      </c>
      <c r="W44" s="143">
        <v>0</v>
      </c>
      <c r="X44" s="143">
        <v>0</v>
      </c>
      <c r="Y44" s="9">
        <f t="shared" si="4"/>
        <v>0</v>
      </c>
      <c r="Z44" s="8" t="str">
        <f t="array" ref="Z44">IF(Y44&gt;5,"Perlu Sensus",IF(AND(Y44&gt;=0,W44&gt;0),"Tetap Deteksi","Belum Deteksi"))</f>
        <v>Belum Deteksi</v>
      </c>
      <c r="AA44" s="143">
        <v>0</v>
      </c>
      <c r="AB44" s="9">
        <f t="shared" si="5"/>
        <v>0</v>
      </c>
      <c r="AC44" s="11"/>
      <c r="AD44" s="143"/>
      <c r="AE44" s="9">
        <f t="array" ref="AE44">IFERROR(AD44/$G44*100,0)</f>
        <v>0</v>
      </c>
      <c r="AF44" s="143"/>
      <c r="AG44" s="9">
        <f t="shared" si="6"/>
        <v>0</v>
      </c>
      <c r="AH44" s="8" t="str">
        <f t="array" ref="AH44">IF(AG44&gt;5,"Perlu Sensus",IF(AND(AG44&gt;=0,AD44&gt;0),"Tetap Deteksi","Belum Deteksi"))</f>
        <v>Belum Deteksi</v>
      </c>
      <c r="AI44" s="143"/>
      <c r="AJ44" s="9">
        <f t="shared" si="7"/>
        <v>0</v>
      </c>
      <c r="AK44" s="11"/>
      <c r="AL44" s="143"/>
      <c r="AM44" s="143"/>
      <c r="AN44" s="9">
        <f t="shared" si="8"/>
        <v>0</v>
      </c>
      <c r="AO44" s="8" t="str">
        <f t="array" ref="AO44">IF(AN44&gt;5,"Perlu Sensus",IF(AND(AN44&gt;=0,AL44&gt;0),"Tetap Deteksi","Belum Deteksi"))</f>
        <v>Belum Deteksi</v>
      </c>
      <c r="AP44" s="143"/>
      <c r="AQ44" s="9">
        <f t="shared" si="9"/>
        <v>0</v>
      </c>
    </row>
    <row r="45" spans="1:43" outlineLevel="1" x14ac:dyDescent="0.15">
      <c r="A45" s="8" t="s">
        <v>1821</v>
      </c>
      <c r="B45" s="8"/>
      <c r="C45" s="8" t="s">
        <v>79</v>
      </c>
      <c r="D45" s="186" t="s">
        <v>1391</v>
      </c>
      <c r="E45" s="9">
        <v>40.56</v>
      </c>
      <c r="F45" s="8" t="s">
        <v>1833</v>
      </c>
      <c r="G45" s="10">
        <v>5081</v>
      </c>
      <c r="H45" s="11">
        <f t="array" ref="H45">IF(OR(N45&gt;0,AC45&gt;0),MAX(N45,AC45),MAX(AK45,V45))</f>
        <v>46241</v>
      </c>
      <c r="I45" s="143">
        <f t="array" ref="I45">IF(SUM(O45,AD45)&gt;0,SUM(O45,AD45),SUM(AL45,W45))</f>
        <v>258</v>
      </c>
      <c r="J45" s="9">
        <f t="shared" si="0"/>
        <v>5.0777406022436526</v>
      </c>
      <c r="K45" s="143">
        <f t="shared" si="10"/>
        <v>21</v>
      </c>
      <c r="L45" s="9">
        <f t="shared" si="1"/>
        <v>8.1395348837209305</v>
      </c>
      <c r="M45" s="8" t="str">
        <f t="array" ref="M45">IF(L45&gt;5,"Perlu Sensus",IF(AND(L45&gt;=0,I45&gt;0),"Tetap Deteksi","Belum Deteksi"))</f>
        <v>Perlu Sensus</v>
      </c>
      <c r="N45" s="11">
        <v>46241</v>
      </c>
      <c r="O45" s="143">
        <v>258</v>
      </c>
      <c r="P45" s="9">
        <f t="array" ref="P45">IFERROR(O45/$G45*100,0)</f>
        <v>5.0777406022436526</v>
      </c>
      <c r="Q45" s="143">
        <v>21</v>
      </c>
      <c r="R45" s="9">
        <f t="shared" si="2"/>
        <v>8.1395348837209305</v>
      </c>
      <c r="S45" s="8" t="str">
        <f t="array" ref="S45">IF(R45&gt;5,"Perlu Sensus",IF(AND(R45&gt;=0,O45&gt;0),"Tetap Deteksi","Belum Deteksi"))</f>
        <v>Perlu Sensus</v>
      </c>
      <c r="T45" s="143">
        <v>52</v>
      </c>
      <c r="U45" s="9">
        <f t="shared" si="3"/>
        <v>20.155038759689923</v>
      </c>
      <c r="V45" s="11">
        <v>0</v>
      </c>
      <c r="W45" s="143">
        <v>0</v>
      </c>
      <c r="X45" s="143">
        <v>0</v>
      </c>
      <c r="Y45" s="9">
        <f t="shared" si="4"/>
        <v>0</v>
      </c>
      <c r="Z45" s="8" t="str">
        <f t="array" ref="Z45">IF(Y45&gt;5,"Perlu Sensus",IF(AND(Y45&gt;=0,W45&gt;0),"Tetap Deteksi","Belum Deteksi"))</f>
        <v>Belum Deteksi</v>
      </c>
      <c r="AA45" s="143">
        <v>0</v>
      </c>
      <c r="AB45" s="9">
        <f t="shared" si="5"/>
        <v>0</v>
      </c>
      <c r="AC45" s="11"/>
      <c r="AD45" s="143"/>
      <c r="AE45" s="9">
        <f t="array" ref="AE45">IFERROR(AD45/$G45*100,0)</f>
        <v>0</v>
      </c>
      <c r="AF45" s="143"/>
      <c r="AG45" s="9">
        <f t="shared" si="6"/>
        <v>0</v>
      </c>
      <c r="AH45" s="8" t="str">
        <f t="array" ref="AH45">IF(AG45&gt;5,"Perlu Sensus",IF(AND(AG45&gt;=0,AD45&gt;0),"Tetap Deteksi","Belum Deteksi"))</f>
        <v>Belum Deteksi</v>
      </c>
      <c r="AI45" s="143"/>
      <c r="AJ45" s="9">
        <f t="shared" si="7"/>
        <v>0</v>
      </c>
      <c r="AK45" s="11"/>
      <c r="AL45" s="143"/>
      <c r="AM45" s="143"/>
      <c r="AN45" s="9">
        <f t="shared" si="8"/>
        <v>0</v>
      </c>
      <c r="AO45" s="8" t="str">
        <f t="array" ref="AO45">IF(AN45&gt;5,"Perlu Sensus",IF(AND(AN45&gt;=0,AL45&gt;0),"Tetap Deteksi","Belum Deteksi"))</f>
        <v>Belum Deteksi</v>
      </c>
      <c r="AP45" s="143"/>
      <c r="AQ45" s="9">
        <f t="shared" si="9"/>
        <v>0</v>
      </c>
    </row>
    <row r="46" spans="1:43" outlineLevel="1" x14ac:dyDescent="0.15">
      <c r="A46" s="8" t="s">
        <v>1821</v>
      </c>
      <c r="B46" s="8"/>
      <c r="C46" s="8" t="s">
        <v>79</v>
      </c>
      <c r="D46" s="186" t="s">
        <v>1394</v>
      </c>
      <c r="E46" s="9">
        <v>52.29</v>
      </c>
      <c r="F46" s="8" t="s">
        <v>1740</v>
      </c>
      <c r="G46" s="10">
        <v>6670</v>
      </c>
      <c r="H46" s="11">
        <f t="array" ref="H46">IF(OR(N46&gt;0,AC46&gt;0),MAX(N46,AC46),MAX(AK46,V46))</f>
        <v>46242</v>
      </c>
      <c r="I46" s="143">
        <f t="array" ref="I46">IF(SUM(O46,AD46)&gt;0,SUM(O46,AD46),SUM(AL46,W46))</f>
        <v>560</v>
      </c>
      <c r="J46" s="9">
        <f t="shared" si="0"/>
        <v>8.3958020989505258</v>
      </c>
      <c r="K46" s="143">
        <f t="shared" si="10"/>
        <v>58</v>
      </c>
      <c r="L46" s="9">
        <f t="shared" si="1"/>
        <v>10.357142857142858</v>
      </c>
      <c r="M46" s="8" t="str">
        <f t="array" ref="M46">IF(L46&gt;5,"Perlu Sensus",IF(AND(L46&gt;=0,I46&gt;0),"Tetap Deteksi","Belum Deteksi"))</f>
        <v>Perlu Sensus</v>
      </c>
      <c r="N46" s="11">
        <v>46242</v>
      </c>
      <c r="O46" s="143">
        <v>560</v>
      </c>
      <c r="P46" s="9">
        <f t="array" ref="P46">IFERROR(O46/$G46*100,0)</f>
        <v>8.3958020989505258</v>
      </c>
      <c r="Q46" s="143">
        <v>58</v>
      </c>
      <c r="R46" s="9">
        <f t="shared" si="2"/>
        <v>10.357142857142858</v>
      </c>
      <c r="S46" s="8" t="str">
        <f t="array" ref="S46">IF(R46&gt;5,"Perlu Sensus",IF(AND(R46&gt;=0,O46&gt;0),"Tetap Deteksi","Belum Deteksi"))</f>
        <v>Perlu Sensus</v>
      </c>
      <c r="T46" s="143">
        <v>119</v>
      </c>
      <c r="U46" s="9">
        <f t="shared" si="3"/>
        <v>21.25</v>
      </c>
      <c r="V46" s="11">
        <v>0</v>
      </c>
      <c r="W46" s="143">
        <v>0</v>
      </c>
      <c r="X46" s="143">
        <v>0</v>
      </c>
      <c r="Y46" s="9">
        <f t="shared" si="4"/>
        <v>0</v>
      </c>
      <c r="Z46" s="8" t="str">
        <f t="array" ref="Z46">IF(Y46&gt;5,"Perlu Sensus",IF(AND(Y46&gt;=0,W46&gt;0),"Tetap Deteksi","Belum Deteksi"))</f>
        <v>Belum Deteksi</v>
      </c>
      <c r="AA46" s="143">
        <v>0</v>
      </c>
      <c r="AB46" s="9">
        <f t="shared" si="5"/>
        <v>0</v>
      </c>
      <c r="AC46" s="11"/>
      <c r="AD46" s="143"/>
      <c r="AE46" s="9">
        <f t="array" ref="AE46">IFERROR(AD46/$G46*100,0)</f>
        <v>0</v>
      </c>
      <c r="AF46" s="143"/>
      <c r="AG46" s="9">
        <f t="shared" si="6"/>
        <v>0</v>
      </c>
      <c r="AH46" s="8" t="str">
        <f t="array" ref="AH46">IF(AG46&gt;5,"Perlu Sensus",IF(AND(AG46&gt;=0,AD46&gt;0),"Tetap Deteksi","Belum Deteksi"))</f>
        <v>Belum Deteksi</v>
      </c>
      <c r="AI46" s="143"/>
      <c r="AJ46" s="9">
        <f t="shared" si="7"/>
        <v>0</v>
      </c>
      <c r="AK46" s="11"/>
      <c r="AL46" s="143"/>
      <c r="AM46" s="143"/>
      <c r="AN46" s="9">
        <f t="shared" si="8"/>
        <v>0</v>
      </c>
      <c r="AO46" s="8" t="str">
        <f t="array" ref="AO46">IF(AN46&gt;5,"Perlu Sensus",IF(AND(AN46&gt;=0,AL46&gt;0),"Tetap Deteksi","Belum Deteksi"))</f>
        <v>Belum Deteksi</v>
      </c>
      <c r="AP46" s="143"/>
      <c r="AQ46" s="9">
        <f t="shared" si="9"/>
        <v>0</v>
      </c>
    </row>
    <row r="47" spans="1:43" outlineLevel="1" x14ac:dyDescent="0.15">
      <c r="A47" s="8" t="s">
        <v>1821</v>
      </c>
      <c r="B47" s="8"/>
      <c r="C47" s="8" t="s">
        <v>79</v>
      </c>
      <c r="D47" s="186" t="s">
        <v>1407</v>
      </c>
      <c r="E47" s="9">
        <v>46.230000000000004</v>
      </c>
      <c r="F47" s="8" t="s">
        <v>1823</v>
      </c>
      <c r="G47" s="10">
        <v>6900</v>
      </c>
      <c r="H47" s="11">
        <f t="array" ref="H47">IF(OR(N47&gt;0,AC47&gt;0),MAX(N47,AC47),MAX(AK47,V47))</f>
        <v>46249</v>
      </c>
      <c r="I47" s="143">
        <f t="array" ref="I47">IF(SUM(O47,AD47)&gt;0,SUM(O47,AD47),SUM(AL47,W47))</f>
        <v>658</v>
      </c>
      <c r="J47" s="9">
        <f t="shared" si="0"/>
        <v>9.5362318840579707</v>
      </c>
      <c r="K47" s="143">
        <f t="shared" si="10"/>
        <v>80</v>
      </c>
      <c r="L47" s="9">
        <f t="shared" si="1"/>
        <v>12.158054711246201</v>
      </c>
      <c r="M47" s="8" t="str">
        <f t="array" ref="M47">IF(L47&gt;5,"Perlu Sensus",IF(AND(L47&gt;=0,I47&gt;0),"Tetap Deteksi","Belum Deteksi"))</f>
        <v>Perlu Sensus</v>
      </c>
      <c r="N47" s="11">
        <v>46249</v>
      </c>
      <c r="O47" s="143">
        <v>658</v>
      </c>
      <c r="P47" s="9">
        <f t="array" ref="P47">IFERROR(O47/$G47*100,0)</f>
        <v>9.5362318840579707</v>
      </c>
      <c r="Q47" s="143">
        <v>80</v>
      </c>
      <c r="R47" s="9">
        <f t="shared" si="2"/>
        <v>12.158054711246201</v>
      </c>
      <c r="S47" s="8" t="str">
        <f t="array" ref="S47">IF(R47&gt;5,"Perlu Sensus",IF(AND(R47&gt;=0,O47&gt;0),"Tetap Deteksi","Belum Deteksi"))</f>
        <v>Perlu Sensus</v>
      </c>
      <c r="T47" s="143">
        <v>145</v>
      </c>
      <c r="U47" s="9">
        <f t="shared" si="3"/>
        <v>22.036474164133736</v>
      </c>
      <c r="V47" s="11">
        <v>46242</v>
      </c>
      <c r="W47" s="143">
        <v>1959</v>
      </c>
      <c r="X47" s="143">
        <v>86</v>
      </c>
      <c r="Y47" s="9">
        <f t="shared" si="4"/>
        <v>4.3899948953547732</v>
      </c>
      <c r="Z47" s="8" t="str">
        <f t="array" ref="Z47">IF(Y47&gt;5,"Perlu Sensus",IF(AND(Y47&gt;=0,W47&gt;0),"Tetap Deteksi","Belum Deteksi"))</f>
        <v>Tetap Deteksi</v>
      </c>
      <c r="AA47" s="143">
        <v>127</v>
      </c>
      <c r="AB47" s="9">
        <f t="shared" si="5"/>
        <v>6.4828994384890244</v>
      </c>
      <c r="AC47" s="11"/>
      <c r="AD47" s="143"/>
      <c r="AE47" s="9">
        <f t="array" ref="AE47">IFERROR(AD47/$G47*100,0)</f>
        <v>0</v>
      </c>
      <c r="AF47" s="143"/>
      <c r="AG47" s="9">
        <f t="shared" si="6"/>
        <v>0</v>
      </c>
      <c r="AH47" s="8" t="str">
        <f t="array" ref="AH47">IF(AG47&gt;5,"Perlu Sensus",IF(AND(AG47&gt;=0,AD47&gt;0),"Tetap Deteksi","Belum Deteksi"))</f>
        <v>Belum Deteksi</v>
      </c>
      <c r="AI47" s="143"/>
      <c r="AJ47" s="9">
        <f t="shared" si="7"/>
        <v>0</v>
      </c>
      <c r="AK47" s="11"/>
      <c r="AL47" s="143"/>
      <c r="AM47" s="143"/>
      <c r="AN47" s="9">
        <f t="shared" si="8"/>
        <v>0</v>
      </c>
      <c r="AO47" s="8" t="str">
        <f t="array" ref="AO47">IF(AN47&gt;5,"Perlu Sensus",IF(AND(AN47&gt;=0,AL47&gt;0),"Tetap Deteksi","Belum Deteksi"))</f>
        <v>Belum Deteksi</v>
      </c>
      <c r="AP47" s="143"/>
      <c r="AQ47" s="9">
        <f t="shared" si="9"/>
        <v>0</v>
      </c>
    </row>
    <row r="48" spans="1:43" outlineLevel="1" x14ac:dyDescent="0.15">
      <c r="A48" s="8" t="s">
        <v>1821</v>
      </c>
      <c r="B48" s="8"/>
      <c r="C48" s="8" t="s">
        <v>79</v>
      </c>
      <c r="D48" s="186" t="s">
        <v>1025</v>
      </c>
      <c r="E48" s="9">
        <v>28.17</v>
      </c>
      <c r="F48" s="8" t="s">
        <v>1740</v>
      </c>
      <c r="G48" s="10">
        <v>4207</v>
      </c>
      <c r="H48" s="11">
        <f t="array" ref="H48">IF(OR(N48&gt;0,AC48&gt;0),MAX(N48,AC48),MAX(AK48,V48))</f>
        <v>46242</v>
      </c>
      <c r="I48" s="143">
        <f t="array" ref="I48">IF(SUM(O48,AD48)&gt;0,SUM(O48,AD48),SUM(AL48,W48))</f>
        <v>406</v>
      </c>
      <c r="J48" s="9">
        <f t="shared" si="0"/>
        <v>9.6505823627287857</v>
      </c>
      <c r="K48" s="143">
        <f t="shared" si="10"/>
        <v>41</v>
      </c>
      <c r="L48" s="9">
        <f t="shared" si="1"/>
        <v>10.098522167487685</v>
      </c>
      <c r="M48" s="8" t="str">
        <f t="array" ref="M48">IF(L48&gt;5,"Perlu Sensus",IF(AND(L48&gt;=0,I48&gt;0),"Tetap Deteksi","Belum Deteksi"))</f>
        <v>Perlu Sensus</v>
      </c>
      <c r="N48" s="11">
        <v>46242</v>
      </c>
      <c r="O48" s="143">
        <v>406</v>
      </c>
      <c r="P48" s="9">
        <f t="array" ref="P48">IFERROR(O48/$G48*100,0)</f>
        <v>9.6505823627287857</v>
      </c>
      <c r="Q48" s="143">
        <v>41</v>
      </c>
      <c r="R48" s="9">
        <f t="shared" si="2"/>
        <v>10.098522167487685</v>
      </c>
      <c r="S48" s="8" t="str">
        <f t="array" ref="S48">IF(R48&gt;5,"Perlu Sensus",IF(AND(R48&gt;=0,O48&gt;0),"Tetap Deteksi","Belum Deteksi"))</f>
        <v>Perlu Sensus</v>
      </c>
      <c r="T48" s="143">
        <v>81</v>
      </c>
      <c r="U48" s="9">
        <f t="shared" si="3"/>
        <v>19.950738916256157</v>
      </c>
      <c r="V48" s="11">
        <v>46242</v>
      </c>
      <c r="W48" s="143">
        <v>1461</v>
      </c>
      <c r="X48" s="143">
        <v>79</v>
      </c>
      <c r="Y48" s="9">
        <f t="shared" si="4"/>
        <v>5.4072553045858998</v>
      </c>
      <c r="Z48" s="8" t="str">
        <f t="array" ref="Z48">IF(Y48&gt;5,"Perlu Sensus",IF(AND(Y48&gt;=0,W48&gt;0),"Tetap Deteksi","Belum Deteksi"))</f>
        <v>Perlu Sensus</v>
      </c>
      <c r="AA48" s="143">
        <v>119</v>
      </c>
      <c r="AB48" s="9">
        <f t="shared" si="5"/>
        <v>8.1451060917180023</v>
      </c>
      <c r="AC48" s="11"/>
      <c r="AD48" s="143"/>
      <c r="AE48" s="9">
        <f t="array" ref="AE48">IFERROR(AD48/$G48*100,0)</f>
        <v>0</v>
      </c>
      <c r="AF48" s="143"/>
      <c r="AG48" s="9">
        <f t="shared" si="6"/>
        <v>0</v>
      </c>
      <c r="AH48" s="8" t="str">
        <f t="array" ref="AH48">IF(AG48&gt;5,"Perlu Sensus",IF(AND(AG48&gt;=0,AD48&gt;0),"Tetap Deteksi","Belum Deteksi"))</f>
        <v>Belum Deteksi</v>
      </c>
      <c r="AI48" s="143"/>
      <c r="AJ48" s="9">
        <f t="shared" si="7"/>
        <v>0</v>
      </c>
      <c r="AK48" s="11"/>
      <c r="AL48" s="143"/>
      <c r="AM48" s="143"/>
      <c r="AN48" s="9">
        <f t="shared" si="8"/>
        <v>0</v>
      </c>
      <c r="AO48" s="8" t="str">
        <f t="array" ref="AO48">IF(AN48&gt;5,"Perlu Sensus",IF(AND(AN48&gt;=0,AL48&gt;0),"Tetap Deteksi","Belum Deteksi"))</f>
        <v>Belum Deteksi</v>
      </c>
      <c r="AP48" s="143"/>
      <c r="AQ48" s="9">
        <f t="shared" si="9"/>
        <v>0</v>
      </c>
    </row>
    <row r="49" spans="1:43" outlineLevel="1" x14ac:dyDescent="0.15">
      <c r="A49" s="8" t="s">
        <v>1821</v>
      </c>
      <c r="B49" s="8"/>
      <c r="C49" s="8" t="s">
        <v>79</v>
      </c>
      <c r="D49" s="186" t="s">
        <v>1027</v>
      </c>
      <c r="E49" s="9">
        <v>28.560000000000002</v>
      </c>
      <c r="F49" s="8" t="s">
        <v>1740</v>
      </c>
      <c r="G49" s="10">
        <v>4250</v>
      </c>
      <c r="H49" s="11">
        <f t="array" ref="H49">IF(OR(N49&gt;0,AC49&gt;0),MAX(N49,AC49),MAX(AK49,V49))</f>
        <v>46242</v>
      </c>
      <c r="I49" s="143">
        <f t="array" ref="I49">IF(SUM(O49,AD49)&gt;0,SUM(O49,AD49),SUM(AL49,W49))</f>
        <v>396</v>
      </c>
      <c r="J49" s="9">
        <f t="shared" si="0"/>
        <v>9.3176470588235283</v>
      </c>
      <c r="K49" s="143">
        <f t="shared" si="10"/>
        <v>40</v>
      </c>
      <c r="L49" s="9">
        <f t="shared" si="1"/>
        <v>10.1010101010101</v>
      </c>
      <c r="M49" s="8" t="str">
        <f t="array" ref="M49">IF(L49&gt;5,"Perlu Sensus",IF(AND(L49&gt;=0,I49&gt;0),"Tetap Deteksi","Belum Deteksi"))</f>
        <v>Perlu Sensus</v>
      </c>
      <c r="N49" s="11">
        <v>46242</v>
      </c>
      <c r="O49" s="143">
        <v>396</v>
      </c>
      <c r="P49" s="9">
        <f t="array" ref="P49">IFERROR(O49/$G49*100,0)</f>
        <v>9.3176470588235283</v>
      </c>
      <c r="Q49" s="143">
        <v>40</v>
      </c>
      <c r="R49" s="9">
        <f t="shared" si="2"/>
        <v>10.1010101010101</v>
      </c>
      <c r="S49" s="8" t="str">
        <f t="array" ref="S49">IF(R49&gt;5,"Perlu Sensus",IF(AND(R49&gt;=0,O49&gt;0),"Tetap Deteksi","Belum Deteksi"))</f>
        <v>Perlu Sensus</v>
      </c>
      <c r="T49" s="143">
        <v>78</v>
      </c>
      <c r="U49" s="9">
        <f t="shared" si="3"/>
        <v>19.696969696969695</v>
      </c>
      <c r="V49" s="11">
        <v>46242</v>
      </c>
      <c r="W49" s="143">
        <v>1444</v>
      </c>
      <c r="X49" s="143">
        <v>66</v>
      </c>
      <c r="Y49" s="9">
        <f t="shared" si="4"/>
        <v>4.5706371191135737</v>
      </c>
      <c r="Z49" s="8" t="str">
        <f t="array" ref="Z49">IF(Y49&gt;5,"Perlu Sensus",IF(AND(Y49&gt;=0,W49&gt;0),"Tetap Deteksi","Belum Deteksi"))</f>
        <v>Tetap Deteksi</v>
      </c>
      <c r="AA49" s="143">
        <v>106</v>
      </c>
      <c r="AB49" s="9">
        <f t="shared" si="5"/>
        <v>7.3407202216066487</v>
      </c>
      <c r="AC49" s="11"/>
      <c r="AD49" s="143"/>
      <c r="AE49" s="9">
        <f t="array" ref="AE49">IFERROR(AD49/$G49*100,0)</f>
        <v>0</v>
      </c>
      <c r="AF49" s="143"/>
      <c r="AG49" s="9">
        <f t="shared" si="6"/>
        <v>0</v>
      </c>
      <c r="AH49" s="8" t="str">
        <f t="array" ref="AH49">IF(AG49&gt;5,"Perlu Sensus",IF(AND(AG49&gt;=0,AD49&gt;0),"Tetap Deteksi","Belum Deteksi"))</f>
        <v>Belum Deteksi</v>
      </c>
      <c r="AI49" s="143"/>
      <c r="AJ49" s="9">
        <f t="shared" si="7"/>
        <v>0</v>
      </c>
      <c r="AK49" s="11"/>
      <c r="AL49" s="143"/>
      <c r="AM49" s="143"/>
      <c r="AN49" s="9">
        <f t="shared" si="8"/>
        <v>0</v>
      </c>
      <c r="AO49" s="8" t="str">
        <f t="array" ref="AO49">IF(AN49&gt;5,"Perlu Sensus",IF(AND(AN49&gt;=0,AL49&gt;0),"Tetap Deteksi","Belum Deteksi"))</f>
        <v>Belum Deteksi</v>
      </c>
      <c r="AP49" s="143"/>
      <c r="AQ49" s="9">
        <f t="shared" si="9"/>
        <v>0</v>
      </c>
    </row>
    <row r="50" spans="1:43" outlineLevel="1" x14ac:dyDescent="0.15">
      <c r="A50" s="8" t="s">
        <v>1821</v>
      </c>
      <c r="B50" s="8"/>
      <c r="C50" s="8" t="s">
        <v>79</v>
      </c>
      <c r="D50" s="186" t="s">
        <v>1366</v>
      </c>
      <c r="E50" s="9">
        <v>29.03</v>
      </c>
      <c r="F50" s="8" t="s">
        <v>1740</v>
      </c>
      <c r="G50" s="10">
        <v>3407</v>
      </c>
      <c r="H50" s="11">
        <f t="array" ref="H50">IF(OR(N50&gt;0,AC50&gt;0),MAX(N50,AC50),MAX(AK50,V50))</f>
        <v>46249</v>
      </c>
      <c r="I50" s="143">
        <f t="array" ref="I50">IF(SUM(O50,AD50)&gt;0,SUM(O50,AD50),SUM(AL50,W50))</f>
        <v>398</v>
      </c>
      <c r="J50" s="9">
        <f t="shared" si="0"/>
        <v>11.681831523334312</v>
      </c>
      <c r="K50" s="143">
        <f t="shared" si="10"/>
        <v>31</v>
      </c>
      <c r="L50" s="9">
        <f t="shared" si="1"/>
        <v>7.7889447236180906</v>
      </c>
      <c r="M50" s="8" t="str">
        <f t="array" ref="M50">IF(L50&gt;5,"Perlu Sensus",IF(AND(L50&gt;=0,I50&gt;0),"Tetap Deteksi","Belum Deteksi"))</f>
        <v>Perlu Sensus</v>
      </c>
      <c r="N50" s="11">
        <v>46249</v>
      </c>
      <c r="O50" s="143">
        <v>398</v>
      </c>
      <c r="P50" s="9">
        <f t="array" ref="P50">IFERROR(O50/$G50*100,0)</f>
        <v>11.681831523334312</v>
      </c>
      <c r="Q50" s="143">
        <v>31</v>
      </c>
      <c r="R50" s="9">
        <f t="shared" si="2"/>
        <v>7.7889447236180906</v>
      </c>
      <c r="S50" s="8" t="str">
        <f t="array" ref="S50">IF(R50&gt;5,"Perlu Sensus",IF(AND(R50&gt;=0,O50&gt;0),"Tetap Deteksi","Belum Deteksi"))</f>
        <v>Perlu Sensus</v>
      </c>
      <c r="T50" s="143">
        <v>71</v>
      </c>
      <c r="U50" s="9">
        <f t="shared" si="3"/>
        <v>17.839195979899497</v>
      </c>
      <c r="V50" s="11">
        <v>0</v>
      </c>
      <c r="W50" s="143">
        <v>0</v>
      </c>
      <c r="X50" s="143">
        <v>0</v>
      </c>
      <c r="Y50" s="9">
        <f t="shared" si="4"/>
        <v>0</v>
      </c>
      <c r="Z50" s="8" t="str">
        <f t="array" ref="Z50">IF(Y50&gt;5,"Perlu Sensus",IF(AND(Y50&gt;=0,W50&gt;0),"Tetap Deteksi","Belum Deteksi"))</f>
        <v>Belum Deteksi</v>
      </c>
      <c r="AA50" s="143">
        <v>0</v>
      </c>
      <c r="AB50" s="9">
        <f t="shared" si="5"/>
        <v>0</v>
      </c>
      <c r="AC50" s="11"/>
      <c r="AD50" s="143"/>
      <c r="AE50" s="9">
        <f t="array" ref="AE50">IFERROR(AD50/$G50*100,0)</f>
        <v>0</v>
      </c>
      <c r="AF50" s="143"/>
      <c r="AG50" s="9">
        <f t="shared" si="6"/>
        <v>0</v>
      </c>
      <c r="AH50" s="8" t="str">
        <f t="array" ref="AH50">IF(AG50&gt;5,"Perlu Sensus",IF(AND(AG50&gt;=0,AD50&gt;0),"Tetap Deteksi","Belum Deteksi"))</f>
        <v>Belum Deteksi</v>
      </c>
      <c r="AI50" s="143"/>
      <c r="AJ50" s="9">
        <f t="shared" si="7"/>
        <v>0</v>
      </c>
      <c r="AK50" s="11"/>
      <c r="AL50" s="143"/>
      <c r="AM50" s="143"/>
      <c r="AN50" s="9">
        <f t="shared" si="8"/>
        <v>0</v>
      </c>
      <c r="AO50" s="8" t="str">
        <f t="array" ref="AO50">IF(AN50&gt;5,"Perlu Sensus",IF(AND(AN50&gt;=0,AL50&gt;0),"Tetap Deteksi","Belum Deteksi"))</f>
        <v>Belum Deteksi</v>
      </c>
      <c r="AP50" s="143"/>
      <c r="AQ50" s="9">
        <f t="shared" si="9"/>
        <v>0</v>
      </c>
    </row>
    <row r="51" spans="1:43" outlineLevel="1" x14ac:dyDescent="0.15">
      <c r="A51" s="8" t="s">
        <v>1821</v>
      </c>
      <c r="B51" s="8"/>
      <c r="C51" s="8" t="s">
        <v>79</v>
      </c>
      <c r="D51" s="186" t="s">
        <v>1007</v>
      </c>
      <c r="E51" s="9">
        <v>28.91</v>
      </c>
      <c r="F51" s="8" t="s">
        <v>1740</v>
      </c>
      <c r="G51" s="10">
        <v>4157</v>
      </c>
      <c r="H51" s="11">
        <f t="array" ref="H51">IF(OR(N51&gt;0,AC51&gt;0),MAX(N51,AC51),MAX(AK51,V51))</f>
        <v>46249</v>
      </c>
      <c r="I51" s="143">
        <f t="array" ref="I51">IF(SUM(O51,AD51)&gt;0,SUM(O51,AD51),SUM(AL51,W51))</f>
        <v>394</v>
      </c>
      <c r="J51" s="9">
        <f t="shared" si="0"/>
        <v>9.4779889343276391</v>
      </c>
      <c r="K51" s="143">
        <f t="shared" si="10"/>
        <v>34</v>
      </c>
      <c r="L51" s="9">
        <f t="shared" si="1"/>
        <v>8.6294416243654819</v>
      </c>
      <c r="M51" s="8" t="str">
        <f t="array" ref="M51">IF(L51&gt;5,"Perlu Sensus",IF(AND(L51&gt;=0,I51&gt;0),"Tetap Deteksi","Belum Deteksi"))</f>
        <v>Perlu Sensus</v>
      </c>
      <c r="N51" s="11">
        <v>46249</v>
      </c>
      <c r="O51" s="143">
        <v>394</v>
      </c>
      <c r="P51" s="9">
        <f t="array" ref="P51">IFERROR(O51/$G51*100,0)</f>
        <v>9.4779889343276391</v>
      </c>
      <c r="Q51" s="143">
        <v>34</v>
      </c>
      <c r="R51" s="9">
        <f t="shared" si="2"/>
        <v>8.6294416243654819</v>
      </c>
      <c r="S51" s="8" t="str">
        <f t="array" ref="S51">IF(R51&gt;5,"Perlu Sensus",IF(AND(R51&gt;=0,O51&gt;0),"Tetap Deteksi","Belum Deteksi"))</f>
        <v>Perlu Sensus</v>
      </c>
      <c r="T51" s="143">
        <v>75</v>
      </c>
      <c r="U51" s="9">
        <f t="shared" si="3"/>
        <v>19.035532994923855</v>
      </c>
      <c r="V51" s="11">
        <v>0</v>
      </c>
      <c r="W51" s="143">
        <v>0</v>
      </c>
      <c r="X51" s="143">
        <v>0</v>
      </c>
      <c r="Y51" s="9">
        <f t="shared" si="4"/>
        <v>0</v>
      </c>
      <c r="Z51" s="8" t="str">
        <f t="array" ref="Z51">IF(Y51&gt;5,"Perlu Sensus",IF(AND(Y51&gt;=0,W51&gt;0),"Tetap Deteksi","Belum Deteksi"))</f>
        <v>Belum Deteksi</v>
      </c>
      <c r="AA51" s="143">
        <v>0</v>
      </c>
      <c r="AB51" s="9">
        <f t="shared" si="5"/>
        <v>0</v>
      </c>
      <c r="AC51" s="11"/>
      <c r="AD51" s="143"/>
      <c r="AE51" s="9">
        <f t="array" ref="AE51">IFERROR(AD51/$G51*100,0)</f>
        <v>0</v>
      </c>
      <c r="AF51" s="143"/>
      <c r="AG51" s="9">
        <f t="shared" si="6"/>
        <v>0</v>
      </c>
      <c r="AH51" s="8" t="str">
        <f t="array" ref="AH51">IF(AG51&gt;5,"Perlu Sensus",IF(AND(AG51&gt;=0,AD51&gt;0),"Tetap Deteksi","Belum Deteksi"))</f>
        <v>Belum Deteksi</v>
      </c>
      <c r="AI51" s="143"/>
      <c r="AJ51" s="9">
        <f t="shared" si="7"/>
        <v>0</v>
      </c>
      <c r="AK51" s="11"/>
      <c r="AL51" s="143"/>
      <c r="AM51" s="143"/>
      <c r="AN51" s="9">
        <f t="shared" si="8"/>
        <v>0</v>
      </c>
      <c r="AO51" s="8" t="str">
        <f t="array" ref="AO51">IF(AN51&gt;5,"Perlu Sensus",IF(AND(AN51&gt;=0,AL51&gt;0),"Tetap Deteksi","Belum Deteksi"))</f>
        <v>Belum Deteksi</v>
      </c>
      <c r="AP51" s="143"/>
      <c r="AQ51" s="9">
        <f t="shared" si="9"/>
        <v>0</v>
      </c>
    </row>
    <row r="52" spans="1:43" outlineLevel="1" x14ac:dyDescent="0.15">
      <c r="A52" s="8" t="s">
        <v>1821</v>
      </c>
      <c r="B52" s="8"/>
      <c r="C52" s="8" t="s">
        <v>79</v>
      </c>
      <c r="D52" s="186" t="s">
        <v>1009</v>
      </c>
      <c r="E52" s="9">
        <v>31.69</v>
      </c>
      <c r="F52" s="8" t="s">
        <v>1740</v>
      </c>
      <c r="G52" s="10">
        <v>3887</v>
      </c>
      <c r="H52" s="11">
        <f t="array" ref="H52">IF(OR(N52&gt;0,AC52&gt;0),MAX(N52,AC52),MAX(AK52,V52))</f>
        <v>46235</v>
      </c>
      <c r="I52" s="143">
        <f t="array" ref="I52">IF(SUM(O52,AD52)&gt;0,SUM(O52,AD52),SUM(AL52,W52))</f>
        <v>422</v>
      </c>
      <c r="J52" s="9">
        <f t="shared" si="0"/>
        <v>10.856701826601492</v>
      </c>
      <c r="K52" s="143">
        <f t="shared" si="10"/>
        <v>33</v>
      </c>
      <c r="L52" s="9">
        <f t="shared" si="1"/>
        <v>7.8199052132701423</v>
      </c>
      <c r="M52" s="8" t="str">
        <f t="array" ref="M52">IF(L52&gt;5,"Perlu Sensus",IF(AND(L52&gt;=0,I52&gt;0),"Tetap Deteksi","Belum Deteksi"))</f>
        <v>Perlu Sensus</v>
      </c>
      <c r="N52" s="11">
        <v>46235</v>
      </c>
      <c r="O52" s="143">
        <v>422</v>
      </c>
      <c r="P52" s="9">
        <f t="array" ref="P52">IFERROR(O52/$G52*100,0)</f>
        <v>10.856701826601492</v>
      </c>
      <c r="Q52" s="143">
        <v>33</v>
      </c>
      <c r="R52" s="9">
        <f t="shared" si="2"/>
        <v>7.8199052132701423</v>
      </c>
      <c r="S52" s="8" t="str">
        <f t="array" ref="S52">IF(R52&gt;5,"Perlu Sensus",IF(AND(R52&gt;=0,O52&gt;0),"Tetap Deteksi","Belum Deteksi"))</f>
        <v>Perlu Sensus</v>
      </c>
      <c r="T52" s="143">
        <v>94</v>
      </c>
      <c r="U52" s="9">
        <f t="shared" si="3"/>
        <v>22.274881516587676</v>
      </c>
      <c r="V52" s="11">
        <v>0</v>
      </c>
      <c r="W52" s="143">
        <v>0</v>
      </c>
      <c r="X52" s="143">
        <v>0</v>
      </c>
      <c r="Y52" s="9">
        <f t="shared" si="4"/>
        <v>0</v>
      </c>
      <c r="Z52" s="8" t="str">
        <f t="array" ref="Z52">IF(Y52&gt;5,"Perlu Sensus",IF(AND(Y52&gt;=0,W52&gt;0),"Tetap Deteksi","Belum Deteksi"))</f>
        <v>Belum Deteksi</v>
      </c>
      <c r="AA52" s="143">
        <v>0</v>
      </c>
      <c r="AB52" s="9">
        <f t="shared" si="5"/>
        <v>0</v>
      </c>
      <c r="AC52" s="11"/>
      <c r="AD52" s="143"/>
      <c r="AE52" s="9">
        <f t="array" ref="AE52">IFERROR(AD52/$G52*100,0)</f>
        <v>0</v>
      </c>
      <c r="AF52" s="143"/>
      <c r="AG52" s="9">
        <f t="shared" si="6"/>
        <v>0</v>
      </c>
      <c r="AH52" s="8" t="str">
        <f t="array" ref="AH52">IF(AG52&gt;5,"Perlu Sensus",IF(AND(AG52&gt;=0,AD52&gt;0),"Tetap Deteksi","Belum Deteksi"))</f>
        <v>Belum Deteksi</v>
      </c>
      <c r="AI52" s="143"/>
      <c r="AJ52" s="9">
        <f t="shared" si="7"/>
        <v>0</v>
      </c>
      <c r="AK52" s="11"/>
      <c r="AL52" s="143"/>
      <c r="AM52" s="143"/>
      <c r="AN52" s="9">
        <f t="shared" si="8"/>
        <v>0</v>
      </c>
      <c r="AO52" s="8" t="str">
        <f t="array" ref="AO52">IF(AN52&gt;5,"Perlu Sensus",IF(AND(AN52&gt;=0,AL52&gt;0),"Tetap Deteksi","Belum Deteksi"))</f>
        <v>Belum Deteksi</v>
      </c>
      <c r="AP52" s="143"/>
      <c r="AQ52" s="9">
        <f t="shared" si="9"/>
        <v>0</v>
      </c>
    </row>
    <row r="53" spans="1:43" outlineLevel="1" x14ac:dyDescent="0.15">
      <c r="A53" s="8" t="s">
        <v>1821</v>
      </c>
      <c r="B53" s="8"/>
      <c r="C53" s="8" t="s">
        <v>79</v>
      </c>
      <c r="D53" s="186" t="s">
        <v>1367</v>
      </c>
      <c r="E53" s="9">
        <v>47.849999999999994</v>
      </c>
      <c r="F53" s="8" t="s">
        <v>1833</v>
      </c>
      <c r="G53" s="10">
        <v>6681</v>
      </c>
      <c r="H53" s="11">
        <f t="array" ref="H53">IF(OR(N53&gt;0,AC53&gt;0),MAX(N53,AC53),MAX(AK53,V53))</f>
        <v>46244</v>
      </c>
      <c r="I53" s="143">
        <f t="array" ref="I53">IF(SUM(O53,AD53)&gt;0,SUM(O53,AD53),SUM(AL53,W53))</f>
        <v>420</v>
      </c>
      <c r="J53" s="9">
        <f t="shared" si="0"/>
        <v>6.2864840592725635</v>
      </c>
      <c r="K53" s="143">
        <f t="shared" si="10"/>
        <v>39</v>
      </c>
      <c r="L53" s="9">
        <f t="shared" si="1"/>
        <v>9.2857142857142865</v>
      </c>
      <c r="M53" s="8" t="str">
        <f t="array" ref="M53">IF(L53&gt;5,"Perlu Sensus",IF(AND(L53&gt;=0,I53&gt;0),"Tetap Deteksi","Belum Deteksi"))</f>
        <v>Perlu Sensus</v>
      </c>
      <c r="N53" s="11">
        <v>46244</v>
      </c>
      <c r="O53" s="143">
        <v>420</v>
      </c>
      <c r="P53" s="9">
        <f t="array" ref="P53">IFERROR(O53/$G53*100,0)</f>
        <v>6.2864840592725635</v>
      </c>
      <c r="Q53" s="143">
        <v>39</v>
      </c>
      <c r="R53" s="9">
        <f t="shared" si="2"/>
        <v>9.2857142857142865</v>
      </c>
      <c r="S53" s="8" t="str">
        <f t="array" ref="S53">IF(R53&gt;5,"Perlu Sensus",IF(AND(R53&gt;=0,O53&gt;0),"Tetap Deteksi","Belum Deteksi"))</f>
        <v>Perlu Sensus</v>
      </c>
      <c r="T53" s="143">
        <v>90</v>
      </c>
      <c r="U53" s="9">
        <f t="shared" si="3"/>
        <v>21.428571428571427</v>
      </c>
      <c r="V53" s="11">
        <v>0</v>
      </c>
      <c r="W53" s="143">
        <v>0</v>
      </c>
      <c r="X53" s="143">
        <v>0</v>
      </c>
      <c r="Y53" s="9">
        <f t="shared" si="4"/>
        <v>0</v>
      </c>
      <c r="Z53" s="8" t="str">
        <f t="array" ref="Z53">IF(Y53&gt;5,"Perlu Sensus",IF(AND(Y53&gt;=0,W53&gt;0),"Tetap Deteksi","Belum Deteksi"))</f>
        <v>Belum Deteksi</v>
      </c>
      <c r="AA53" s="143">
        <v>0</v>
      </c>
      <c r="AB53" s="9">
        <f t="shared" si="5"/>
        <v>0</v>
      </c>
      <c r="AC53" s="11"/>
      <c r="AD53" s="143"/>
      <c r="AE53" s="9">
        <f t="array" ref="AE53">IFERROR(AD53/$G53*100,0)</f>
        <v>0</v>
      </c>
      <c r="AF53" s="143"/>
      <c r="AG53" s="9">
        <f t="shared" si="6"/>
        <v>0</v>
      </c>
      <c r="AH53" s="8" t="str">
        <f t="array" ref="AH53">IF(AG53&gt;5,"Perlu Sensus",IF(AND(AG53&gt;=0,AD53&gt;0),"Tetap Deteksi","Belum Deteksi"))</f>
        <v>Belum Deteksi</v>
      </c>
      <c r="AI53" s="143"/>
      <c r="AJ53" s="9">
        <f t="shared" si="7"/>
        <v>0</v>
      </c>
      <c r="AK53" s="11"/>
      <c r="AL53" s="143"/>
      <c r="AM53" s="143"/>
      <c r="AN53" s="9">
        <f t="shared" si="8"/>
        <v>0</v>
      </c>
      <c r="AO53" s="8" t="str">
        <f t="array" ref="AO53">IF(AN53&gt;5,"Perlu Sensus",IF(AND(AN53&gt;=0,AL53&gt;0),"Tetap Deteksi","Belum Deteksi"))</f>
        <v>Belum Deteksi</v>
      </c>
      <c r="AP53" s="143"/>
      <c r="AQ53" s="9">
        <f t="shared" si="9"/>
        <v>0</v>
      </c>
    </row>
    <row r="54" spans="1:43" outlineLevel="1" x14ac:dyDescent="0.15">
      <c r="A54" s="8" t="s">
        <v>1821</v>
      </c>
      <c r="B54" s="8"/>
      <c r="C54" s="8" t="s">
        <v>79</v>
      </c>
      <c r="D54" s="186" t="s">
        <v>1358</v>
      </c>
      <c r="E54" s="9">
        <v>36.739999999999995</v>
      </c>
      <c r="F54" s="8" t="s">
        <v>1823</v>
      </c>
      <c r="G54" s="10">
        <v>5564.0000000000009</v>
      </c>
      <c r="H54" s="11">
        <f t="array" ref="H54">IF(OR(N54&gt;0,AC54&gt;0),MAX(N54,AC54),MAX(AK54,V54))</f>
        <v>46249</v>
      </c>
      <c r="I54" s="143">
        <f t="array" ref="I54">IF(SUM(O54,AD54)&gt;0,SUM(O54,AD54),SUM(AL54,W54))</f>
        <v>504</v>
      </c>
      <c r="J54" s="9">
        <f t="shared" si="0"/>
        <v>9.0582314881380288</v>
      </c>
      <c r="K54" s="143">
        <f t="shared" si="10"/>
        <v>41</v>
      </c>
      <c r="L54" s="9">
        <f t="shared" si="1"/>
        <v>8.1349206349206344</v>
      </c>
      <c r="M54" s="8" t="str">
        <f t="array" ref="M54">IF(L54&gt;5,"Perlu Sensus",IF(AND(L54&gt;=0,I54&gt;0),"Tetap Deteksi","Belum Deteksi"))</f>
        <v>Perlu Sensus</v>
      </c>
      <c r="N54" s="11">
        <v>46249</v>
      </c>
      <c r="O54" s="143">
        <v>504</v>
      </c>
      <c r="P54" s="9">
        <f t="array" ref="P54">IFERROR(O54/$G54*100,0)</f>
        <v>9.0582314881380288</v>
      </c>
      <c r="Q54" s="143">
        <v>41</v>
      </c>
      <c r="R54" s="9">
        <f t="shared" si="2"/>
        <v>8.1349206349206344</v>
      </c>
      <c r="S54" s="8" t="str">
        <f t="array" ref="S54">IF(R54&gt;5,"Perlu Sensus",IF(AND(R54&gt;=0,O54&gt;0),"Tetap Deteksi","Belum Deteksi"))</f>
        <v>Perlu Sensus</v>
      </c>
      <c r="T54" s="143">
        <v>85</v>
      </c>
      <c r="U54" s="9">
        <f t="shared" si="3"/>
        <v>16.865079365079367</v>
      </c>
      <c r="V54" s="11">
        <v>0</v>
      </c>
      <c r="W54" s="143">
        <v>0</v>
      </c>
      <c r="X54" s="143">
        <v>0</v>
      </c>
      <c r="Y54" s="9">
        <f t="shared" si="4"/>
        <v>0</v>
      </c>
      <c r="Z54" s="8" t="str">
        <f t="array" ref="Z54">IF(Y54&gt;5,"Perlu Sensus",IF(AND(Y54&gt;=0,W54&gt;0),"Tetap Deteksi","Belum Deteksi"))</f>
        <v>Belum Deteksi</v>
      </c>
      <c r="AA54" s="143">
        <v>0</v>
      </c>
      <c r="AB54" s="9">
        <f t="shared" si="5"/>
        <v>0</v>
      </c>
      <c r="AC54" s="11"/>
      <c r="AD54" s="143"/>
      <c r="AE54" s="9">
        <f t="array" ref="AE54">IFERROR(AD54/$G54*100,0)</f>
        <v>0</v>
      </c>
      <c r="AF54" s="143"/>
      <c r="AG54" s="9">
        <f t="shared" si="6"/>
        <v>0</v>
      </c>
      <c r="AH54" s="8" t="str">
        <f t="array" ref="AH54">IF(AG54&gt;5,"Perlu Sensus",IF(AND(AG54&gt;=0,AD54&gt;0),"Tetap Deteksi","Belum Deteksi"))</f>
        <v>Belum Deteksi</v>
      </c>
      <c r="AI54" s="143"/>
      <c r="AJ54" s="9">
        <f t="shared" si="7"/>
        <v>0</v>
      </c>
      <c r="AK54" s="11"/>
      <c r="AL54" s="143"/>
      <c r="AM54" s="143"/>
      <c r="AN54" s="9">
        <f t="shared" si="8"/>
        <v>0</v>
      </c>
      <c r="AO54" s="8" t="str">
        <f t="array" ref="AO54">IF(AN54&gt;5,"Perlu Sensus",IF(AND(AN54&gt;=0,AL54&gt;0),"Tetap Deteksi","Belum Deteksi"))</f>
        <v>Belum Deteksi</v>
      </c>
      <c r="AP54" s="143"/>
      <c r="AQ54" s="9">
        <f t="shared" si="9"/>
        <v>0</v>
      </c>
    </row>
    <row r="55" spans="1:43" outlineLevel="1" x14ac:dyDescent="0.15">
      <c r="A55" s="8" t="s">
        <v>1821</v>
      </c>
      <c r="B55" s="8"/>
      <c r="C55" s="8" t="s">
        <v>79</v>
      </c>
      <c r="D55" s="186" t="s">
        <v>1359</v>
      </c>
      <c r="E55" s="9">
        <v>29.15</v>
      </c>
      <c r="F55" s="8" t="s">
        <v>1823</v>
      </c>
      <c r="G55" s="10">
        <v>4288</v>
      </c>
      <c r="H55" s="11">
        <f t="array" ref="H55">IF(OR(N55&gt;0,AC55&gt;0),MAX(N55,AC55),MAX(AK55,V55))</f>
        <v>46249</v>
      </c>
      <c r="I55" s="143">
        <f t="array" ref="I55">IF(SUM(O55,AD55)&gt;0,SUM(O55,AD55),SUM(AL55,W55))</f>
        <v>522</v>
      </c>
      <c r="J55" s="9">
        <f t="shared" si="0"/>
        <v>12.173507462686567</v>
      </c>
      <c r="K55" s="143">
        <f t="shared" si="10"/>
        <v>46</v>
      </c>
      <c r="L55" s="9">
        <f t="shared" si="1"/>
        <v>8.8122605363984672</v>
      </c>
      <c r="M55" s="8" t="str">
        <f t="array" ref="M55">IF(L55&gt;5,"Perlu Sensus",IF(AND(L55&gt;=0,I55&gt;0),"Tetap Deteksi","Belum Deteksi"))</f>
        <v>Perlu Sensus</v>
      </c>
      <c r="N55" s="11">
        <v>46249</v>
      </c>
      <c r="O55" s="143">
        <v>522</v>
      </c>
      <c r="P55" s="9">
        <f t="array" ref="P55">IFERROR(O55/$G55*100,0)</f>
        <v>12.173507462686567</v>
      </c>
      <c r="Q55" s="143">
        <v>46</v>
      </c>
      <c r="R55" s="9">
        <f t="shared" si="2"/>
        <v>8.8122605363984672</v>
      </c>
      <c r="S55" s="8" t="str">
        <f t="array" ref="S55">IF(R55&gt;5,"Perlu Sensus",IF(AND(R55&gt;=0,O55&gt;0),"Tetap Deteksi","Belum Deteksi"))</f>
        <v>Perlu Sensus</v>
      </c>
      <c r="T55" s="143">
        <v>86</v>
      </c>
      <c r="U55" s="9">
        <f t="shared" si="3"/>
        <v>16.475095785440612</v>
      </c>
      <c r="V55" s="11">
        <v>0</v>
      </c>
      <c r="W55" s="143">
        <v>0</v>
      </c>
      <c r="X55" s="143">
        <v>0</v>
      </c>
      <c r="Y55" s="9">
        <f t="shared" si="4"/>
        <v>0</v>
      </c>
      <c r="Z55" s="8" t="str">
        <f t="array" ref="Z55">IF(Y55&gt;5,"Perlu Sensus",IF(AND(Y55&gt;=0,W55&gt;0),"Tetap Deteksi","Belum Deteksi"))</f>
        <v>Belum Deteksi</v>
      </c>
      <c r="AA55" s="143">
        <v>0</v>
      </c>
      <c r="AB55" s="9">
        <f t="shared" si="5"/>
        <v>0</v>
      </c>
      <c r="AC55" s="11"/>
      <c r="AD55" s="143"/>
      <c r="AE55" s="9">
        <f t="array" ref="AE55">IFERROR(AD55/$G55*100,0)</f>
        <v>0</v>
      </c>
      <c r="AF55" s="143"/>
      <c r="AG55" s="9">
        <f t="shared" si="6"/>
        <v>0</v>
      </c>
      <c r="AH55" s="8" t="str">
        <f t="array" ref="AH55">IF(AG55&gt;5,"Perlu Sensus",IF(AND(AG55&gt;=0,AD55&gt;0),"Tetap Deteksi","Belum Deteksi"))</f>
        <v>Belum Deteksi</v>
      </c>
      <c r="AI55" s="143"/>
      <c r="AJ55" s="9">
        <f t="shared" si="7"/>
        <v>0</v>
      </c>
      <c r="AK55" s="11"/>
      <c r="AL55" s="143"/>
      <c r="AM55" s="143"/>
      <c r="AN55" s="9">
        <f t="shared" si="8"/>
        <v>0</v>
      </c>
      <c r="AO55" s="8" t="str">
        <f t="array" ref="AO55">IF(AN55&gt;5,"Perlu Sensus",IF(AND(AN55&gt;=0,AL55&gt;0),"Tetap Deteksi","Belum Deteksi"))</f>
        <v>Belum Deteksi</v>
      </c>
      <c r="AP55" s="143"/>
      <c r="AQ55" s="9">
        <f t="shared" si="9"/>
        <v>0</v>
      </c>
    </row>
    <row r="56" spans="1:43" outlineLevel="1" x14ac:dyDescent="0.15">
      <c r="A56" s="8" t="s">
        <v>1821</v>
      </c>
      <c r="B56" s="8"/>
      <c r="C56" s="8" t="s">
        <v>79</v>
      </c>
      <c r="D56" s="186" t="s">
        <v>1360</v>
      </c>
      <c r="E56" s="9">
        <v>33.39</v>
      </c>
      <c r="F56" s="8" t="s">
        <v>1823</v>
      </c>
      <c r="G56" s="10">
        <v>4966</v>
      </c>
      <c r="H56" s="11">
        <f t="array" ref="H56">IF(OR(N56&gt;0,AC56&gt;0),MAX(N56,AC56),MAX(AK56,V56))</f>
        <v>46249</v>
      </c>
      <c r="I56" s="143">
        <f t="array" ref="I56">IF(SUM(O56,AD56)&gt;0,SUM(O56,AD56),SUM(AL56,W56))</f>
        <v>548</v>
      </c>
      <c r="J56" s="9">
        <f t="shared" si="0"/>
        <v>11.03503826016915</v>
      </c>
      <c r="K56" s="143">
        <f t="shared" si="10"/>
        <v>47</v>
      </c>
      <c r="L56" s="9">
        <f t="shared" si="1"/>
        <v>8.5766423357664241</v>
      </c>
      <c r="M56" s="8" t="str">
        <f t="array" ref="M56">IF(L56&gt;5,"Perlu Sensus",IF(AND(L56&gt;=0,I56&gt;0),"Tetap Deteksi","Belum Deteksi"))</f>
        <v>Perlu Sensus</v>
      </c>
      <c r="N56" s="11">
        <v>46249</v>
      </c>
      <c r="O56" s="143">
        <v>548</v>
      </c>
      <c r="P56" s="9">
        <f t="array" ref="P56">IFERROR(O56/$G56*100,0)</f>
        <v>11.03503826016915</v>
      </c>
      <c r="Q56" s="143">
        <v>47</v>
      </c>
      <c r="R56" s="9">
        <f t="shared" si="2"/>
        <v>8.5766423357664241</v>
      </c>
      <c r="S56" s="8" t="str">
        <f t="array" ref="S56">IF(R56&gt;5,"Perlu Sensus",IF(AND(R56&gt;=0,O56&gt;0),"Tetap Deteksi","Belum Deteksi"))</f>
        <v>Perlu Sensus</v>
      </c>
      <c r="T56" s="143">
        <v>102</v>
      </c>
      <c r="U56" s="9">
        <f t="shared" si="3"/>
        <v>18.613138686131386</v>
      </c>
      <c r="V56" s="11">
        <v>46239</v>
      </c>
      <c r="W56" s="143">
        <v>502</v>
      </c>
      <c r="X56" s="143">
        <v>41</v>
      </c>
      <c r="Y56" s="9">
        <f t="shared" si="4"/>
        <v>8.1673306772908365</v>
      </c>
      <c r="Z56" s="8" t="str">
        <f t="array" ref="Z56">IF(Y56&gt;5,"Perlu Sensus",IF(AND(Y56&gt;=0,W56&gt;0),"Tetap Deteksi","Belum Deteksi"))</f>
        <v>Perlu Sensus</v>
      </c>
      <c r="AA56" s="143">
        <v>60</v>
      </c>
      <c r="AB56" s="9">
        <f t="shared" si="5"/>
        <v>11.952191235059761</v>
      </c>
      <c r="AC56" s="11"/>
      <c r="AD56" s="143"/>
      <c r="AE56" s="9">
        <f t="array" ref="AE56">IFERROR(AD56/$G56*100,0)</f>
        <v>0</v>
      </c>
      <c r="AF56" s="143"/>
      <c r="AG56" s="9">
        <f t="shared" si="6"/>
        <v>0</v>
      </c>
      <c r="AH56" s="8" t="str">
        <f t="array" ref="AH56">IF(AG56&gt;5,"Perlu Sensus",IF(AND(AG56&gt;=0,AD56&gt;0),"Tetap Deteksi","Belum Deteksi"))</f>
        <v>Belum Deteksi</v>
      </c>
      <c r="AI56" s="143"/>
      <c r="AJ56" s="9">
        <f t="shared" si="7"/>
        <v>0</v>
      </c>
      <c r="AK56" s="11"/>
      <c r="AL56" s="143"/>
      <c r="AM56" s="143"/>
      <c r="AN56" s="9">
        <f t="shared" si="8"/>
        <v>0</v>
      </c>
      <c r="AO56" s="8" t="str">
        <f t="array" ref="AO56">IF(AN56&gt;5,"Perlu Sensus",IF(AND(AN56&gt;=0,AL56&gt;0),"Tetap Deteksi","Belum Deteksi"))</f>
        <v>Belum Deteksi</v>
      </c>
      <c r="AP56" s="143"/>
      <c r="AQ56" s="9">
        <f t="shared" si="9"/>
        <v>0</v>
      </c>
    </row>
    <row r="57" spans="1:43" outlineLevel="1" x14ac:dyDescent="0.15">
      <c r="A57" s="8" t="s">
        <v>1821</v>
      </c>
      <c r="B57" s="8"/>
      <c r="C57" s="8" t="s">
        <v>79</v>
      </c>
      <c r="D57" s="186" t="s">
        <v>1758</v>
      </c>
      <c r="E57" s="9">
        <v>30.22</v>
      </c>
      <c r="F57" s="8" t="s">
        <v>1823</v>
      </c>
      <c r="G57" s="10">
        <v>4289</v>
      </c>
      <c r="H57" s="11">
        <f t="array" ref="H57">IF(OR(N57&gt;0,AC57&gt;0),MAX(N57,AC57),MAX(AK57,V57))</f>
        <v>46249</v>
      </c>
      <c r="I57" s="143">
        <f t="array" ref="I57">IF(SUM(O57,AD57)&gt;0,SUM(O57,AD57),SUM(AL57,W57))</f>
        <v>678</v>
      </c>
      <c r="J57" s="9">
        <f t="shared" si="0"/>
        <v>15.807880624854279</v>
      </c>
      <c r="K57" s="143">
        <f t="shared" si="10"/>
        <v>73</v>
      </c>
      <c r="L57" s="9">
        <f t="shared" si="1"/>
        <v>10.766961651917404</v>
      </c>
      <c r="M57" s="8" t="str">
        <f t="array" ref="M57">IF(L57&gt;5,"Perlu Sensus",IF(AND(L57&gt;=0,I57&gt;0),"Tetap Deteksi","Belum Deteksi"))</f>
        <v>Perlu Sensus</v>
      </c>
      <c r="N57" s="11">
        <v>46249</v>
      </c>
      <c r="O57" s="143">
        <v>678</v>
      </c>
      <c r="P57" s="9">
        <f t="array" ref="P57">IFERROR(O57/$G57*100,0)</f>
        <v>15.807880624854279</v>
      </c>
      <c r="Q57" s="143">
        <v>73</v>
      </c>
      <c r="R57" s="9">
        <f t="shared" si="2"/>
        <v>10.766961651917404</v>
      </c>
      <c r="S57" s="8" t="str">
        <f t="array" ref="S57">IF(R57&gt;5,"Perlu Sensus",IF(AND(R57&gt;=0,O57&gt;0),"Tetap Deteksi","Belum Deteksi"))</f>
        <v>Perlu Sensus</v>
      </c>
      <c r="T57" s="143">
        <v>137</v>
      </c>
      <c r="U57" s="9">
        <f t="shared" si="3"/>
        <v>20.206489675516224</v>
      </c>
      <c r="V57" s="11">
        <v>46239</v>
      </c>
      <c r="W57" s="143">
        <v>413</v>
      </c>
      <c r="X57" s="143">
        <v>36</v>
      </c>
      <c r="Y57" s="9">
        <f t="shared" si="4"/>
        <v>8.7167070217917662</v>
      </c>
      <c r="Z57" s="8" t="str">
        <f t="array" ref="Z57">IF(Y57&gt;5,"Perlu Sensus",IF(AND(Y57&gt;=0,W57&gt;0),"Tetap Deteksi","Belum Deteksi"))</f>
        <v>Perlu Sensus</v>
      </c>
      <c r="AA57" s="143">
        <v>43</v>
      </c>
      <c r="AB57" s="9">
        <f t="shared" si="5"/>
        <v>10.411622276029057</v>
      </c>
      <c r="AC57" s="11"/>
      <c r="AD57" s="143"/>
      <c r="AE57" s="9">
        <f t="array" ref="AE57">IFERROR(AD57/$G57*100,0)</f>
        <v>0</v>
      </c>
      <c r="AF57" s="143"/>
      <c r="AG57" s="9">
        <f t="shared" si="6"/>
        <v>0</v>
      </c>
      <c r="AH57" s="8" t="str">
        <f t="array" ref="AH57">IF(AG57&gt;5,"Perlu Sensus",IF(AND(AG57&gt;=0,AD57&gt;0),"Tetap Deteksi","Belum Deteksi"))</f>
        <v>Belum Deteksi</v>
      </c>
      <c r="AI57" s="143"/>
      <c r="AJ57" s="9">
        <f t="shared" si="7"/>
        <v>0</v>
      </c>
      <c r="AK57" s="11"/>
      <c r="AL57" s="143"/>
      <c r="AM57" s="143"/>
      <c r="AN57" s="9">
        <f t="shared" si="8"/>
        <v>0</v>
      </c>
      <c r="AO57" s="8" t="str">
        <f t="array" ref="AO57">IF(AN57&gt;5,"Perlu Sensus",IF(AND(AN57&gt;=0,AL57&gt;0),"Tetap Deteksi","Belum Deteksi"))</f>
        <v>Belum Deteksi</v>
      </c>
      <c r="AP57" s="143"/>
      <c r="AQ57" s="9">
        <f t="shared" si="9"/>
        <v>0</v>
      </c>
    </row>
    <row r="58" spans="1:43" outlineLevel="1" x14ac:dyDescent="0.15">
      <c r="A58" s="8" t="s">
        <v>1821</v>
      </c>
      <c r="B58" s="8"/>
      <c r="C58" s="8" t="s">
        <v>79</v>
      </c>
      <c r="D58" s="186" t="s">
        <v>1759</v>
      </c>
      <c r="E58" s="9">
        <v>32.07</v>
      </c>
      <c r="F58" s="8" t="s">
        <v>1833</v>
      </c>
      <c r="G58" s="10">
        <v>4313</v>
      </c>
      <c r="H58" s="11">
        <f t="array" ref="H58">IF(OR(N58&gt;0,AC58&gt;0),MAX(N58,AC58),MAX(AK58,V58))</f>
        <v>46248</v>
      </c>
      <c r="I58" s="143">
        <f t="array" ref="I58">IF(SUM(O58,AD58)&gt;0,SUM(O58,AD58),SUM(AL58,W58))</f>
        <v>418</v>
      </c>
      <c r="J58" s="9">
        <f t="shared" si="0"/>
        <v>9.6916299559471373</v>
      </c>
      <c r="K58" s="143">
        <f t="shared" si="10"/>
        <v>35</v>
      </c>
      <c r="L58" s="9">
        <f t="shared" si="1"/>
        <v>8.3732057416267942</v>
      </c>
      <c r="M58" s="8" t="str">
        <f t="array" ref="M58">IF(L58&gt;5,"Perlu Sensus",IF(AND(L58&gt;=0,I58&gt;0),"Tetap Deteksi","Belum Deteksi"))</f>
        <v>Perlu Sensus</v>
      </c>
      <c r="N58" s="11">
        <v>46248</v>
      </c>
      <c r="O58" s="143">
        <v>418</v>
      </c>
      <c r="P58" s="9">
        <f t="array" ref="P58">IFERROR(O58/$G58*100,0)</f>
        <v>9.6916299559471373</v>
      </c>
      <c r="Q58" s="143">
        <v>35</v>
      </c>
      <c r="R58" s="9">
        <f t="shared" si="2"/>
        <v>8.3732057416267942</v>
      </c>
      <c r="S58" s="8" t="str">
        <f t="array" ref="S58">IF(R58&gt;5,"Perlu Sensus",IF(AND(R58&gt;=0,O58&gt;0),"Tetap Deteksi","Belum Deteksi"))</f>
        <v>Perlu Sensus</v>
      </c>
      <c r="T58" s="143">
        <v>95</v>
      </c>
      <c r="U58" s="9">
        <f t="shared" si="3"/>
        <v>22.727272727272727</v>
      </c>
      <c r="V58" s="11">
        <v>0</v>
      </c>
      <c r="W58" s="143">
        <v>0</v>
      </c>
      <c r="X58" s="143">
        <v>0</v>
      </c>
      <c r="Y58" s="9">
        <f t="shared" si="4"/>
        <v>0</v>
      </c>
      <c r="Z58" s="8" t="str">
        <f t="array" ref="Z58">IF(Y58&gt;5,"Perlu Sensus",IF(AND(Y58&gt;=0,W58&gt;0),"Tetap Deteksi","Belum Deteksi"))</f>
        <v>Belum Deteksi</v>
      </c>
      <c r="AA58" s="143">
        <v>0</v>
      </c>
      <c r="AB58" s="9">
        <f t="shared" si="5"/>
        <v>0</v>
      </c>
      <c r="AC58" s="11"/>
      <c r="AD58" s="143"/>
      <c r="AE58" s="9">
        <f t="array" ref="AE58">IFERROR(AD58/$G58*100,0)</f>
        <v>0</v>
      </c>
      <c r="AF58" s="143"/>
      <c r="AG58" s="9">
        <f t="shared" si="6"/>
        <v>0</v>
      </c>
      <c r="AH58" s="8" t="str">
        <f t="array" ref="AH58">IF(AG58&gt;5,"Perlu Sensus",IF(AND(AG58&gt;=0,AD58&gt;0),"Tetap Deteksi","Belum Deteksi"))</f>
        <v>Belum Deteksi</v>
      </c>
      <c r="AI58" s="143"/>
      <c r="AJ58" s="9">
        <f t="shared" si="7"/>
        <v>0</v>
      </c>
      <c r="AK58" s="11"/>
      <c r="AL58" s="143"/>
      <c r="AM58" s="143"/>
      <c r="AN58" s="9">
        <f t="shared" si="8"/>
        <v>0</v>
      </c>
      <c r="AO58" s="8" t="str">
        <f t="array" ref="AO58">IF(AN58&gt;5,"Perlu Sensus",IF(AND(AN58&gt;=0,AL58&gt;0),"Tetap Deteksi","Belum Deteksi"))</f>
        <v>Belum Deteksi</v>
      </c>
      <c r="AP58" s="143"/>
      <c r="AQ58" s="9">
        <f t="shared" si="9"/>
        <v>0</v>
      </c>
    </row>
    <row r="59" spans="1:43" outlineLevel="1" x14ac:dyDescent="0.15">
      <c r="A59" s="8" t="s">
        <v>1821</v>
      </c>
      <c r="B59" s="8"/>
      <c r="C59" s="8" t="s">
        <v>79</v>
      </c>
      <c r="D59" s="186" t="s">
        <v>1361</v>
      </c>
      <c r="E59" s="9">
        <v>33.760000000000005</v>
      </c>
      <c r="F59" s="8" t="s">
        <v>1833</v>
      </c>
      <c r="G59" s="10">
        <v>4862</v>
      </c>
      <c r="H59" s="11">
        <f t="array" ref="H59">IF(OR(N59&gt;0,AC59&gt;0),MAX(N59,AC59),MAX(AK59,V59))</f>
        <v>46248</v>
      </c>
      <c r="I59" s="143">
        <f t="array" ref="I59">IF(SUM(O59,AD59)&gt;0,SUM(O59,AD59),SUM(AL59,W59))</f>
        <v>410</v>
      </c>
      <c r="J59" s="9">
        <f t="shared" si="0"/>
        <v>8.4327437268613732</v>
      </c>
      <c r="K59" s="143">
        <f t="shared" si="10"/>
        <v>30</v>
      </c>
      <c r="L59" s="9">
        <f t="shared" si="1"/>
        <v>7.3170731707317067</v>
      </c>
      <c r="M59" s="8" t="str">
        <f t="array" ref="M59">IF(L59&gt;5,"Perlu Sensus",IF(AND(L59&gt;=0,I59&gt;0),"Tetap Deteksi","Belum Deteksi"))</f>
        <v>Perlu Sensus</v>
      </c>
      <c r="N59" s="11">
        <v>46248</v>
      </c>
      <c r="O59" s="143">
        <v>410</v>
      </c>
      <c r="P59" s="9">
        <f t="array" ref="P59">IFERROR(O59/$G59*100,0)</f>
        <v>8.4327437268613732</v>
      </c>
      <c r="Q59" s="143">
        <v>30</v>
      </c>
      <c r="R59" s="9">
        <f t="shared" si="2"/>
        <v>7.3170731707317067</v>
      </c>
      <c r="S59" s="8" t="str">
        <f t="array" ref="S59">IF(R59&gt;5,"Perlu Sensus",IF(AND(R59&gt;=0,O59&gt;0),"Tetap Deteksi","Belum Deteksi"))</f>
        <v>Perlu Sensus</v>
      </c>
      <c r="T59" s="143">
        <v>61</v>
      </c>
      <c r="U59" s="9">
        <f t="shared" si="3"/>
        <v>14.878048780487804</v>
      </c>
      <c r="V59" s="11">
        <v>0</v>
      </c>
      <c r="W59" s="143">
        <v>0</v>
      </c>
      <c r="X59" s="143">
        <v>0</v>
      </c>
      <c r="Y59" s="9">
        <f t="shared" si="4"/>
        <v>0</v>
      </c>
      <c r="Z59" s="8" t="str">
        <f t="array" ref="Z59">IF(Y59&gt;5,"Perlu Sensus",IF(AND(Y59&gt;=0,W59&gt;0),"Tetap Deteksi","Belum Deteksi"))</f>
        <v>Belum Deteksi</v>
      </c>
      <c r="AA59" s="143">
        <v>0</v>
      </c>
      <c r="AB59" s="9">
        <f t="shared" si="5"/>
        <v>0</v>
      </c>
      <c r="AC59" s="11"/>
      <c r="AD59" s="143"/>
      <c r="AE59" s="9">
        <f t="array" ref="AE59">IFERROR(AD59/$G59*100,0)</f>
        <v>0</v>
      </c>
      <c r="AF59" s="143"/>
      <c r="AG59" s="9">
        <f t="shared" si="6"/>
        <v>0</v>
      </c>
      <c r="AH59" s="8" t="str">
        <f t="array" ref="AH59">IF(AG59&gt;5,"Perlu Sensus",IF(AND(AG59&gt;=0,AD59&gt;0),"Tetap Deteksi","Belum Deteksi"))</f>
        <v>Belum Deteksi</v>
      </c>
      <c r="AI59" s="143"/>
      <c r="AJ59" s="9">
        <f t="shared" si="7"/>
        <v>0</v>
      </c>
      <c r="AK59" s="11"/>
      <c r="AL59" s="143"/>
      <c r="AM59" s="143"/>
      <c r="AN59" s="9">
        <f t="shared" si="8"/>
        <v>0</v>
      </c>
      <c r="AO59" s="8" t="str">
        <f t="array" ref="AO59">IF(AN59&gt;5,"Perlu Sensus",IF(AND(AN59&gt;=0,AL59&gt;0),"Tetap Deteksi","Belum Deteksi"))</f>
        <v>Belum Deteksi</v>
      </c>
      <c r="AP59" s="143"/>
      <c r="AQ59" s="9">
        <f t="shared" si="9"/>
        <v>0</v>
      </c>
    </row>
    <row r="60" spans="1:43" outlineLevel="1" x14ac:dyDescent="0.15">
      <c r="A60" s="8" t="s">
        <v>1821</v>
      </c>
      <c r="B60" s="8"/>
      <c r="C60" s="8" t="s">
        <v>79</v>
      </c>
      <c r="D60" s="8" t="s">
        <v>1385</v>
      </c>
      <c r="E60" s="9">
        <v>24.64</v>
      </c>
      <c r="F60" s="8" t="s">
        <v>1823</v>
      </c>
      <c r="G60" s="10">
        <v>2348</v>
      </c>
      <c r="H60" s="11">
        <f t="array" ref="H60">IF(OR(N60&gt;0,AC60&gt;0),MAX(N60,AC60),MAX(AK60,V60))</f>
        <v>46239</v>
      </c>
      <c r="I60" s="143">
        <f t="array" ref="I60">IF(SUM(O60,AD60)&gt;0,SUM(O60,AD60),SUM(AL60,W60))</f>
        <v>226</v>
      </c>
      <c r="J60" s="9">
        <f t="shared" si="0"/>
        <v>9.6252129471890981</v>
      </c>
      <c r="K60" s="143">
        <f t="shared" si="10"/>
        <v>27</v>
      </c>
      <c r="L60" s="9">
        <f t="shared" si="1"/>
        <v>11.946902654867257</v>
      </c>
      <c r="M60" s="8" t="str">
        <f t="array" ref="M60">IF(L60&gt;5,"Perlu Sensus",IF(AND(L60&gt;=0,I60&gt;0),"Tetap Deteksi","Belum Deteksi"))</f>
        <v>Perlu Sensus</v>
      </c>
      <c r="N60" s="11">
        <v>46239</v>
      </c>
      <c r="O60" s="143">
        <v>226</v>
      </c>
      <c r="P60" s="9">
        <f t="array" ref="P60">IFERROR(O60/$G60*100,0)</f>
        <v>9.6252129471890981</v>
      </c>
      <c r="Q60" s="143">
        <v>27</v>
      </c>
      <c r="R60" s="9">
        <f t="shared" si="2"/>
        <v>11.946902654867257</v>
      </c>
      <c r="S60" s="8" t="str">
        <f t="array" ref="S60">IF(R60&gt;5,"Perlu Sensus",IF(AND(R60&gt;=0,O60&gt;0),"Tetap Deteksi","Belum Deteksi"))</f>
        <v>Perlu Sensus</v>
      </c>
      <c r="T60" s="143">
        <v>54</v>
      </c>
      <c r="U60" s="9">
        <f t="shared" si="3"/>
        <v>23.893805309734514</v>
      </c>
      <c r="V60" s="11">
        <v>46239</v>
      </c>
      <c r="W60" s="143">
        <v>402</v>
      </c>
      <c r="X60" s="143">
        <v>22</v>
      </c>
      <c r="Y60" s="9">
        <f t="shared" si="4"/>
        <v>5.4726368159203984</v>
      </c>
      <c r="Z60" s="8" t="str">
        <f t="array" ref="Z60">IF(Y60&gt;5,"Perlu Sensus",IF(AND(Y60&gt;=0,W60&gt;0),"Tetap Deteksi","Belum Deteksi"))</f>
        <v>Perlu Sensus</v>
      </c>
      <c r="AA60" s="143">
        <v>44</v>
      </c>
      <c r="AB60" s="9">
        <f t="shared" si="5"/>
        <v>10.945273631840797</v>
      </c>
      <c r="AC60" s="11"/>
      <c r="AD60" s="143"/>
      <c r="AE60" s="9">
        <f t="array" ref="AE60">IFERROR(AD60/$G60*100,0)</f>
        <v>0</v>
      </c>
      <c r="AF60" s="143"/>
      <c r="AG60" s="9">
        <f t="shared" si="6"/>
        <v>0</v>
      </c>
      <c r="AH60" s="8" t="str">
        <f t="array" ref="AH60">IF(AG60&gt;5,"Perlu Sensus",IF(AND(AG60&gt;=0,AD60&gt;0),"Tetap Deteksi","Belum Deteksi"))</f>
        <v>Belum Deteksi</v>
      </c>
      <c r="AI60" s="143"/>
      <c r="AJ60" s="9">
        <f t="shared" si="7"/>
        <v>0</v>
      </c>
      <c r="AK60" s="11"/>
      <c r="AL60" s="143"/>
      <c r="AM60" s="143"/>
      <c r="AN60" s="9">
        <f t="shared" si="8"/>
        <v>0</v>
      </c>
      <c r="AO60" s="8" t="str">
        <f t="array" ref="AO60">IF(AN60&gt;5,"Perlu Sensus",IF(AND(AN60&gt;=0,AL60&gt;0),"Tetap Deteksi","Belum Deteksi"))</f>
        <v>Belum Deteksi</v>
      </c>
      <c r="AP60" s="143"/>
      <c r="AQ60" s="9">
        <f t="shared" si="9"/>
        <v>0</v>
      </c>
    </row>
    <row r="61" spans="1:43" outlineLevel="1" x14ac:dyDescent="0.15">
      <c r="A61" s="8" t="s">
        <v>1821</v>
      </c>
      <c r="B61" s="8"/>
      <c r="C61" s="8" t="s">
        <v>79</v>
      </c>
      <c r="D61" s="186" t="s">
        <v>1386</v>
      </c>
      <c r="E61" s="9">
        <v>25.85</v>
      </c>
      <c r="F61" s="8" t="s">
        <v>1823</v>
      </c>
      <c r="G61" s="10">
        <v>2347</v>
      </c>
      <c r="H61" s="11">
        <f t="array" ref="H61">IF(OR(N61&gt;0,AC61&gt;0),MAX(N61,AC61),MAX(AK61,V61))</f>
        <v>46249</v>
      </c>
      <c r="I61" s="143">
        <f t="array" ref="I61">IF(SUM(O61,AD61)&gt;0,SUM(O61,AD61),SUM(AL61,W61))</f>
        <v>506</v>
      </c>
      <c r="J61" s="9">
        <f t="shared" si="0"/>
        <v>21.55943757988922</v>
      </c>
      <c r="K61" s="143">
        <f t="shared" si="10"/>
        <v>45</v>
      </c>
      <c r="L61" s="9">
        <f t="shared" si="1"/>
        <v>8.8932806324110665</v>
      </c>
      <c r="M61" s="8" t="str">
        <f t="array" ref="M61">IF(L61&gt;5,"Perlu Sensus",IF(AND(L61&gt;=0,I61&gt;0),"Tetap Deteksi","Belum Deteksi"))</f>
        <v>Perlu Sensus</v>
      </c>
      <c r="N61" s="11">
        <v>46249</v>
      </c>
      <c r="O61" s="143">
        <v>506</v>
      </c>
      <c r="P61" s="9">
        <f t="array" ref="P61">IFERROR(O61/$G61*100,0)</f>
        <v>21.55943757988922</v>
      </c>
      <c r="Q61" s="143">
        <v>45</v>
      </c>
      <c r="R61" s="9">
        <f t="shared" si="2"/>
        <v>8.8932806324110665</v>
      </c>
      <c r="S61" s="8" t="str">
        <f t="array" ref="S61">IF(R61&gt;5,"Perlu Sensus",IF(AND(R61&gt;=0,O61&gt;0),"Tetap Deteksi","Belum Deteksi"))</f>
        <v>Perlu Sensus</v>
      </c>
      <c r="T61" s="143">
        <v>107</v>
      </c>
      <c r="U61" s="9">
        <f t="shared" si="3"/>
        <v>21.146245059288539</v>
      </c>
      <c r="V61" s="11">
        <v>46239</v>
      </c>
      <c r="W61" s="143">
        <v>395</v>
      </c>
      <c r="X61" s="143">
        <v>27</v>
      </c>
      <c r="Y61" s="9">
        <f t="shared" si="4"/>
        <v>6.8354430379746836</v>
      </c>
      <c r="Z61" s="8" t="str">
        <f t="array" ref="Z61">IF(Y61&gt;5,"Perlu Sensus",IF(AND(Y61&gt;=0,W61&gt;0),"Tetap Deteksi","Belum Deteksi"))</f>
        <v>Perlu Sensus</v>
      </c>
      <c r="AA61" s="143">
        <v>39</v>
      </c>
      <c r="AB61" s="9">
        <f t="shared" si="5"/>
        <v>9.8734177215189867</v>
      </c>
      <c r="AC61" s="11"/>
      <c r="AD61" s="143"/>
      <c r="AE61" s="9">
        <f t="array" ref="AE61">IFERROR(AD61/$G61*100,0)</f>
        <v>0</v>
      </c>
      <c r="AF61" s="143"/>
      <c r="AG61" s="9">
        <f t="shared" si="6"/>
        <v>0</v>
      </c>
      <c r="AH61" s="8" t="str">
        <f t="array" ref="AH61">IF(AG61&gt;5,"Perlu Sensus",IF(AND(AG61&gt;=0,AD61&gt;0),"Tetap Deteksi","Belum Deteksi"))</f>
        <v>Belum Deteksi</v>
      </c>
      <c r="AI61" s="143"/>
      <c r="AJ61" s="9">
        <f t="shared" si="7"/>
        <v>0</v>
      </c>
      <c r="AK61" s="11"/>
      <c r="AL61" s="143"/>
      <c r="AM61" s="143"/>
      <c r="AN61" s="9">
        <f t="shared" si="8"/>
        <v>0</v>
      </c>
      <c r="AO61" s="8" t="str">
        <f t="array" ref="AO61">IF(AN61&gt;5,"Perlu Sensus",IF(AND(AN61&gt;=0,AL61&gt;0),"Tetap Deteksi","Belum Deteksi"))</f>
        <v>Belum Deteksi</v>
      </c>
      <c r="AP61" s="143"/>
      <c r="AQ61" s="9">
        <f t="shared" si="9"/>
        <v>0</v>
      </c>
    </row>
    <row r="62" spans="1:43" outlineLevel="1" x14ac:dyDescent="0.15">
      <c r="A62" s="8" t="s">
        <v>1821</v>
      </c>
      <c r="B62" s="8"/>
      <c r="C62" s="8" t="s">
        <v>79</v>
      </c>
      <c r="D62" s="186" t="s">
        <v>1387</v>
      </c>
      <c r="E62" s="9">
        <v>35.08</v>
      </c>
      <c r="F62" s="8" t="s">
        <v>1740</v>
      </c>
      <c r="G62" s="10">
        <v>3661</v>
      </c>
      <c r="H62" s="11">
        <f t="array" ref="H62">IF(OR(N62&gt;0,AC62&gt;0),MAX(N62,AC62),MAX(AK62,V62))</f>
        <v>46248</v>
      </c>
      <c r="I62" s="143">
        <f t="array" ref="I62">IF(SUM(O62,AD62)&gt;0,SUM(O62,AD62),SUM(AL62,W62))</f>
        <v>524</v>
      </c>
      <c r="J62" s="9">
        <f t="shared" si="0"/>
        <v>14.313029226987162</v>
      </c>
      <c r="K62" s="143">
        <f t="shared" si="10"/>
        <v>60</v>
      </c>
      <c r="L62" s="9">
        <f t="shared" si="1"/>
        <v>11.450381679389313</v>
      </c>
      <c r="M62" s="8" t="str">
        <f t="array" ref="M62">IF(L62&gt;5,"Perlu Sensus",IF(AND(L62&gt;=0,I62&gt;0),"Tetap Deteksi","Belum Deteksi"))</f>
        <v>Perlu Sensus</v>
      </c>
      <c r="N62" s="11">
        <v>46248</v>
      </c>
      <c r="O62" s="143">
        <v>524</v>
      </c>
      <c r="P62" s="9">
        <f t="array" ref="P62">IFERROR(O62/$G62*100,0)</f>
        <v>14.313029226987162</v>
      </c>
      <c r="Q62" s="143">
        <v>60</v>
      </c>
      <c r="R62" s="9">
        <f t="shared" si="2"/>
        <v>11.450381679389313</v>
      </c>
      <c r="S62" s="8" t="str">
        <f t="array" ref="S62">IF(R62&gt;5,"Perlu Sensus",IF(AND(R62&gt;=0,O62&gt;0),"Tetap Deteksi","Belum Deteksi"))</f>
        <v>Perlu Sensus</v>
      </c>
      <c r="T62" s="143">
        <v>125</v>
      </c>
      <c r="U62" s="9">
        <f t="shared" si="3"/>
        <v>23.854961832061068</v>
      </c>
      <c r="V62" s="11">
        <v>0</v>
      </c>
      <c r="W62" s="143">
        <v>0</v>
      </c>
      <c r="X62" s="143">
        <v>0</v>
      </c>
      <c r="Y62" s="9">
        <f t="shared" si="4"/>
        <v>0</v>
      </c>
      <c r="Z62" s="8" t="str">
        <f t="array" ref="Z62">IF(Y62&gt;5,"Perlu Sensus",IF(AND(Y62&gt;=0,W62&gt;0),"Tetap Deteksi","Belum Deteksi"))</f>
        <v>Belum Deteksi</v>
      </c>
      <c r="AA62" s="143">
        <v>0</v>
      </c>
      <c r="AB62" s="9">
        <f t="shared" si="5"/>
        <v>0</v>
      </c>
      <c r="AC62" s="11"/>
      <c r="AD62" s="143"/>
      <c r="AE62" s="9">
        <f t="array" ref="AE62">IFERROR(AD62/$G62*100,0)</f>
        <v>0</v>
      </c>
      <c r="AF62" s="143"/>
      <c r="AG62" s="9">
        <f t="shared" si="6"/>
        <v>0</v>
      </c>
      <c r="AH62" s="8" t="str">
        <f t="array" ref="AH62">IF(AG62&gt;5,"Perlu Sensus",IF(AND(AG62&gt;=0,AD62&gt;0),"Tetap Deteksi","Belum Deteksi"))</f>
        <v>Belum Deteksi</v>
      </c>
      <c r="AI62" s="143"/>
      <c r="AJ62" s="9">
        <f t="shared" si="7"/>
        <v>0</v>
      </c>
      <c r="AK62" s="11"/>
      <c r="AL62" s="143"/>
      <c r="AM62" s="143"/>
      <c r="AN62" s="9">
        <f t="shared" si="8"/>
        <v>0</v>
      </c>
      <c r="AO62" s="8" t="str">
        <f t="array" ref="AO62">IF(AN62&gt;5,"Perlu Sensus",IF(AND(AN62&gt;=0,AL62&gt;0),"Tetap Deteksi","Belum Deteksi"))</f>
        <v>Belum Deteksi</v>
      </c>
      <c r="AP62" s="143"/>
      <c r="AQ62" s="9">
        <f t="shared" si="9"/>
        <v>0</v>
      </c>
    </row>
    <row r="63" spans="1:43" outlineLevel="1" x14ac:dyDescent="0.15">
      <c r="A63" s="8" t="s">
        <v>1821</v>
      </c>
      <c r="B63" s="8"/>
      <c r="C63" s="8" t="s">
        <v>107</v>
      </c>
      <c r="D63" s="186" t="s">
        <v>1357</v>
      </c>
      <c r="E63" s="9">
        <v>43.269999999999996</v>
      </c>
      <c r="F63" s="8" t="s">
        <v>1740</v>
      </c>
      <c r="G63" s="10">
        <v>5980</v>
      </c>
      <c r="H63" s="11">
        <f t="array" ref="H63">IF(OR(N63&gt;0,AC63&gt;0),MAX(N63,AC63),MAX(AK63,V63))</f>
        <v>46246</v>
      </c>
      <c r="I63" s="143">
        <f t="array" ref="I63">IF(SUM(O63,AD63)&gt;0,SUM(O63,AD63),SUM(AL63,W63))</f>
        <v>390</v>
      </c>
      <c r="J63" s="9">
        <f t="shared" si="0"/>
        <v>6.5217391304347823</v>
      </c>
      <c r="K63" s="143">
        <f t="shared" si="10"/>
        <v>17</v>
      </c>
      <c r="L63" s="9">
        <f t="shared" si="1"/>
        <v>4.3589743589743586</v>
      </c>
      <c r="M63" s="8" t="str">
        <f t="array" ref="M63">IF(L63&gt;5,"Perlu Sensus",IF(AND(L63&gt;=0,I63&gt;0),"Tetap Deteksi","Belum Deteksi"))</f>
        <v>Tetap Deteksi</v>
      </c>
      <c r="N63" s="11">
        <v>46246</v>
      </c>
      <c r="O63" s="143">
        <v>390</v>
      </c>
      <c r="P63" s="9">
        <f t="array" ref="P63">IFERROR(O63/$G63*100,0)</f>
        <v>6.5217391304347823</v>
      </c>
      <c r="Q63" s="143">
        <v>17</v>
      </c>
      <c r="R63" s="9">
        <f t="shared" si="2"/>
        <v>4.3589743589743586</v>
      </c>
      <c r="S63" s="8" t="str">
        <f t="array" ref="S63">IF(R63&gt;5,"Perlu Sensus",IF(AND(R63&gt;=0,O63&gt;0),"Tetap Deteksi","Belum Deteksi"))</f>
        <v>Tetap Deteksi</v>
      </c>
      <c r="T63" s="143">
        <v>74</v>
      </c>
      <c r="U63" s="9">
        <f t="shared" si="3"/>
        <v>18.974358974358974</v>
      </c>
      <c r="V63" s="11">
        <v>46239</v>
      </c>
      <c r="W63" s="143">
        <v>3351</v>
      </c>
      <c r="X63" s="143">
        <v>228</v>
      </c>
      <c r="Y63" s="9">
        <f t="shared" si="4"/>
        <v>6.8039391226499548</v>
      </c>
      <c r="Z63" s="8" t="str">
        <f t="array" ref="Z63">IF(Y63&gt;5,"Perlu Sensus",IF(AND(Y63&gt;=0,W63&gt;0),"Tetap Deteksi","Belum Deteksi"))</f>
        <v>Perlu Sensus</v>
      </c>
      <c r="AA63" s="143">
        <v>729</v>
      </c>
      <c r="AB63" s="9">
        <f t="shared" si="5"/>
        <v>21.754700089525514</v>
      </c>
      <c r="AC63" s="11"/>
      <c r="AD63" s="143"/>
      <c r="AE63" s="9">
        <f t="array" ref="AE63">IFERROR(AD63/$G63*100,0)</f>
        <v>0</v>
      </c>
      <c r="AF63" s="143"/>
      <c r="AG63" s="9">
        <f t="shared" si="6"/>
        <v>0</v>
      </c>
      <c r="AH63" s="8" t="str">
        <f t="array" ref="AH63">IF(AG63&gt;5,"Perlu Sensus",IF(AND(AG63&gt;=0,AD63&gt;0),"Tetap Deteksi","Belum Deteksi"))</f>
        <v>Belum Deteksi</v>
      </c>
      <c r="AI63" s="143"/>
      <c r="AJ63" s="9">
        <f t="shared" si="7"/>
        <v>0</v>
      </c>
      <c r="AK63" s="11"/>
      <c r="AL63" s="143"/>
      <c r="AM63" s="143"/>
      <c r="AN63" s="9">
        <f t="shared" si="8"/>
        <v>0</v>
      </c>
      <c r="AO63" s="8" t="str">
        <f t="array" ref="AO63">IF(AN63&gt;5,"Perlu Sensus",IF(AND(AN63&gt;=0,AL63&gt;0),"Tetap Deteksi","Belum Deteksi"))</f>
        <v>Belum Deteksi</v>
      </c>
      <c r="AP63" s="143"/>
      <c r="AQ63" s="9">
        <f t="shared" si="9"/>
        <v>0</v>
      </c>
    </row>
    <row r="64" spans="1:43" outlineLevel="1" x14ac:dyDescent="0.15">
      <c r="A64" s="8" t="s">
        <v>1821</v>
      </c>
      <c r="B64" s="8"/>
      <c r="C64" s="8" t="s">
        <v>107</v>
      </c>
      <c r="D64" s="186" t="s">
        <v>1384</v>
      </c>
      <c r="E64" s="9">
        <v>43.44</v>
      </c>
      <c r="F64" s="8" t="s">
        <v>1740</v>
      </c>
      <c r="G64" s="10">
        <v>4371</v>
      </c>
      <c r="H64" s="11">
        <f t="array" ref="H64">IF(OR(N64&gt;0,AC64&gt;0),MAX(N64,AC64),MAX(AK64,V64))</f>
        <v>46242</v>
      </c>
      <c r="I64" s="143">
        <f t="array" ref="I64">IF(SUM(O64,AD64)&gt;0,SUM(O64,AD64),SUM(AL64,W64))</f>
        <v>256</v>
      </c>
      <c r="J64" s="9">
        <f t="shared" si="0"/>
        <v>5.8567833447723636</v>
      </c>
      <c r="K64" s="143">
        <f t="shared" si="10"/>
        <v>6</v>
      </c>
      <c r="L64" s="9">
        <f t="shared" si="1"/>
        <v>2.34375</v>
      </c>
      <c r="M64" s="8" t="str">
        <f t="array" ref="M64">IF(L64&gt;5,"Perlu Sensus",IF(AND(L64&gt;=0,I64&gt;0),"Tetap Deteksi","Belum Deteksi"))</f>
        <v>Tetap Deteksi</v>
      </c>
      <c r="N64" s="11">
        <v>46242</v>
      </c>
      <c r="O64" s="143">
        <v>256</v>
      </c>
      <c r="P64" s="9">
        <f t="array" ref="P64">IFERROR(O64/$G64*100,0)</f>
        <v>5.8567833447723636</v>
      </c>
      <c r="Q64" s="143">
        <v>6</v>
      </c>
      <c r="R64" s="9">
        <f t="shared" si="2"/>
        <v>2.34375</v>
      </c>
      <c r="S64" s="8" t="str">
        <f t="array" ref="S64">IF(R64&gt;5,"Perlu Sensus",IF(AND(R64&gt;=0,O64&gt;0),"Tetap Deteksi","Belum Deteksi"))</f>
        <v>Tetap Deteksi</v>
      </c>
      <c r="T64" s="143">
        <v>60</v>
      </c>
      <c r="U64" s="9">
        <f t="shared" si="3"/>
        <v>23.4375</v>
      </c>
      <c r="V64" s="11">
        <v>46242</v>
      </c>
      <c r="W64" s="143">
        <v>1216</v>
      </c>
      <c r="X64" s="143">
        <v>111</v>
      </c>
      <c r="Y64" s="9">
        <f t="shared" si="4"/>
        <v>9.1282894736842106</v>
      </c>
      <c r="Z64" s="8" t="str">
        <f t="array" ref="Z64">IF(Y64&gt;5,"Perlu Sensus",IF(AND(Y64&gt;=0,W64&gt;0),"Tetap Deteksi","Belum Deteksi"))</f>
        <v>Perlu Sensus</v>
      </c>
      <c r="AA64" s="143">
        <v>448</v>
      </c>
      <c r="AB64" s="9">
        <f t="shared" si="5"/>
        <v>36.84210526315789</v>
      </c>
      <c r="AC64" s="11"/>
      <c r="AD64" s="143"/>
      <c r="AE64" s="9">
        <f t="array" ref="AE64">IFERROR(AD64/$G64*100,0)</f>
        <v>0</v>
      </c>
      <c r="AF64" s="143"/>
      <c r="AG64" s="9">
        <f t="shared" si="6"/>
        <v>0</v>
      </c>
      <c r="AH64" s="8" t="str">
        <f t="array" ref="AH64">IF(AG64&gt;5,"Perlu Sensus",IF(AND(AG64&gt;=0,AD64&gt;0),"Tetap Deteksi","Belum Deteksi"))</f>
        <v>Belum Deteksi</v>
      </c>
      <c r="AI64" s="143"/>
      <c r="AJ64" s="9">
        <f t="shared" si="7"/>
        <v>0</v>
      </c>
      <c r="AK64" s="11"/>
      <c r="AL64" s="143"/>
      <c r="AM64" s="143"/>
      <c r="AN64" s="9">
        <f t="shared" si="8"/>
        <v>0</v>
      </c>
      <c r="AO64" s="8" t="str">
        <f t="array" ref="AO64">IF(AN64&gt;5,"Perlu Sensus",IF(AND(AN64&gt;=0,AL64&gt;0),"Tetap Deteksi","Belum Deteksi"))</f>
        <v>Belum Deteksi</v>
      </c>
      <c r="AP64" s="143"/>
      <c r="AQ64" s="9">
        <f t="shared" si="9"/>
        <v>0</v>
      </c>
    </row>
    <row r="65" spans="1:43" outlineLevel="1" x14ac:dyDescent="0.15">
      <c r="A65" s="8" t="s">
        <v>1821</v>
      </c>
      <c r="B65" s="8"/>
      <c r="C65" s="8" t="s">
        <v>107</v>
      </c>
      <c r="D65" s="186" t="s">
        <v>1078</v>
      </c>
      <c r="E65" s="9">
        <v>38.260000000000005</v>
      </c>
      <c r="F65" s="8" t="s">
        <v>1740</v>
      </c>
      <c r="G65" s="10">
        <v>3861</v>
      </c>
      <c r="H65" s="11">
        <f t="array" ref="H65">IF(OR(N65&gt;0,AC65&gt;0),MAX(N65,AC65),MAX(AK65,V65))</f>
        <v>46248</v>
      </c>
      <c r="I65" s="143">
        <f t="array" ref="I65">IF(SUM(O65,AD65)&gt;0,SUM(O65,AD65),SUM(AL65,W65))</f>
        <v>256</v>
      </c>
      <c r="J65" s="9">
        <f t="shared" si="0"/>
        <v>6.6304066304066307</v>
      </c>
      <c r="K65" s="143">
        <f t="shared" si="10"/>
        <v>20</v>
      </c>
      <c r="L65" s="9">
        <f t="shared" si="1"/>
        <v>7.8125</v>
      </c>
      <c r="M65" s="8" t="str">
        <f t="array" ref="M65">IF(L65&gt;5,"Perlu Sensus",IF(AND(L65&gt;=0,I65&gt;0),"Tetap Deteksi","Belum Deteksi"))</f>
        <v>Perlu Sensus</v>
      </c>
      <c r="N65" s="11">
        <v>46248</v>
      </c>
      <c r="O65" s="143">
        <v>256</v>
      </c>
      <c r="P65" s="9">
        <f t="array" ref="P65">IFERROR(O65/$G65*100,0)</f>
        <v>6.6304066304066307</v>
      </c>
      <c r="Q65" s="143">
        <v>20</v>
      </c>
      <c r="R65" s="9">
        <f t="shared" si="2"/>
        <v>7.8125</v>
      </c>
      <c r="S65" s="8" t="str">
        <f t="array" ref="S65">IF(R65&gt;5,"Perlu Sensus",IF(AND(R65&gt;=0,O65&gt;0),"Tetap Deteksi","Belum Deteksi"))</f>
        <v>Perlu Sensus</v>
      </c>
      <c r="T65" s="143">
        <v>30</v>
      </c>
      <c r="U65" s="9">
        <f t="shared" si="3"/>
        <v>11.71875</v>
      </c>
      <c r="V65" s="11">
        <v>46248</v>
      </c>
      <c r="W65" s="143">
        <v>1200</v>
      </c>
      <c r="X65" s="143">
        <v>221</v>
      </c>
      <c r="Y65" s="9">
        <f t="shared" si="4"/>
        <v>18.416666666666668</v>
      </c>
      <c r="Z65" s="8" t="str">
        <f t="array" ref="Z65">IF(Y65&gt;5,"Perlu Sensus",IF(AND(Y65&gt;=0,W65&gt;0),"Tetap Deteksi","Belum Deteksi"))</f>
        <v>Perlu Sensus</v>
      </c>
      <c r="AA65" s="143">
        <v>106</v>
      </c>
      <c r="AB65" s="9">
        <f t="shared" si="5"/>
        <v>8.8333333333333339</v>
      </c>
      <c r="AC65" s="11"/>
      <c r="AD65" s="143"/>
      <c r="AE65" s="9">
        <f t="array" ref="AE65">IFERROR(AD65/$G65*100,0)</f>
        <v>0</v>
      </c>
      <c r="AF65" s="143"/>
      <c r="AG65" s="9">
        <f t="shared" si="6"/>
        <v>0</v>
      </c>
      <c r="AH65" s="8" t="str">
        <f t="array" ref="AH65">IF(AG65&gt;5,"Perlu Sensus",IF(AND(AG65&gt;=0,AD65&gt;0),"Tetap Deteksi","Belum Deteksi"))</f>
        <v>Belum Deteksi</v>
      </c>
      <c r="AI65" s="143"/>
      <c r="AJ65" s="9">
        <f t="shared" si="7"/>
        <v>0</v>
      </c>
      <c r="AK65" s="11"/>
      <c r="AL65" s="143"/>
      <c r="AM65" s="143"/>
      <c r="AN65" s="9">
        <f t="shared" si="8"/>
        <v>0</v>
      </c>
      <c r="AO65" s="8" t="str">
        <f t="array" ref="AO65">IF(AN65&gt;5,"Perlu Sensus",IF(AND(AN65&gt;=0,AL65&gt;0),"Tetap Deteksi","Belum Deteksi"))</f>
        <v>Belum Deteksi</v>
      </c>
      <c r="AP65" s="143"/>
      <c r="AQ65" s="9">
        <f t="shared" si="9"/>
        <v>0</v>
      </c>
    </row>
    <row r="66" spans="1:43" outlineLevel="1" x14ac:dyDescent="0.15">
      <c r="A66" s="8" t="s">
        <v>1821</v>
      </c>
      <c r="B66" s="8"/>
      <c r="C66" s="8" t="s">
        <v>107</v>
      </c>
      <c r="D66" s="186" t="s">
        <v>1798</v>
      </c>
      <c r="E66" s="9">
        <v>31.48</v>
      </c>
      <c r="F66" s="8" t="s">
        <v>1823</v>
      </c>
      <c r="G66" s="10">
        <v>4508</v>
      </c>
      <c r="H66" s="11">
        <f t="array" ref="H66">IF(OR(N66&gt;0,AC66&gt;0),MAX(N66,AC66),MAX(AK66,V66))</f>
        <v>46247</v>
      </c>
      <c r="I66" s="143">
        <f t="array" ref="I66">IF(SUM(O66,AD66)&gt;0,SUM(O66,AD66),SUM(AL66,W66))</f>
        <v>256</v>
      </c>
      <c r="J66" s="9">
        <f t="shared" si="0"/>
        <v>5.6787932564330079</v>
      </c>
      <c r="K66" s="143">
        <f t="shared" si="10"/>
        <v>24</v>
      </c>
      <c r="L66" s="9">
        <f t="shared" si="1"/>
        <v>9.375</v>
      </c>
      <c r="M66" s="8" t="str">
        <f t="array" ref="M66">IF(L66&gt;5,"Perlu Sensus",IF(AND(L66&gt;=0,I66&gt;0),"Tetap Deteksi","Belum Deteksi"))</f>
        <v>Perlu Sensus</v>
      </c>
      <c r="N66" s="11">
        <v>46247</v>
      </c>
      <c r="O66" s="143">
        <v>256</v>
      </c>
      <c r="P66" s="9">
        <f t="array" ref="P66">IFERROR(O66/$G66*100,0)</f>
        <v>5.6787932564330079</v>
      </c>
      <c r="Q66" s="143">
        <v>24</v>
      </c>
      <c r="R66" s="9">
        <f t="shared" si="2"/>
        <v>9.375</v>
      </c>
      <c r="S66" s="8" t="str">
        <f t="array" ref="S66">IF(R66&gt;5,"Perlu Sensus",IF(AND(R66&gt;=0,O66&gt;0),"Tetap Deteksi","Belum Deteksi"))</f>
        <v>Perlu Sensus</v>
      </c>
      <c r="T66" s="143">
        <v>30</v>
      </c>
      <c r="U66" s="9">
        <f t="shared" si="3"/>
        <v>11.71875</v>
      </c>
      <c r="V66" s="11">
        <v>46247</v>
      </c>
      <c r="W66" s="143">
        <v>470</v>
      </c>
      <c r="X66" s="143">
        <v>34</v>
      </c>
      <c r="Y66" s="9">
        <f t="shared" si="4"/>
        <v>7.2340425531914887</v>
      </c>
      <c r="Z66" s="8" t="str">
        <f t="array" ref="Z66">IF(Y66&gt;5,"Perlu Sensus",IF(AND(Y66&gt;=0,W66&gt;0),"Tetap Deteksi","Belum Deteksi"))</f>
        <v>Perlu Sensus</v>
      </c>
      <c r="AA66" s="143">
        <v>123</v>
      </c>
      <c r="AB66" s="9">
        <f t="shared" si="5"/>
        <v>26.170212765957444</v>
      </c>
      <c r="AC66" s="11"/>
      <c r="AD66" s="143"/>
      <c r="AE66" s="9">
        <f t="array" ref="AE66">IFERROR(AD66/$G66*100,0)</f>
        <v>0</v>
      </c>
      <c r="AF66" s="143"/>
      <c r="AG66" s="9">
        <f t="shared" si="6"/>
        <v>0</v>
      </c>
      <c r="AH66" s="8" t="str">
        <f t="array" ref="AH66">IF(AG66&gt;5,"Perlu Sensus",IF(AND(AG66&gt;=0,AD66&gt;0),"Tetap Deteksi","Belum Deteksi"))</f>
        <v>Belum Deteksi</v>
      </c>
      <c r="AI66" s="143"/>
      <c r="AJ66" s="9">
        <f t="shared" si="7"/>
        <v>0</v>
      </c>
      <c r="AK66" s="11"/>
      <c r="AL66" s="143"/>
      <c r="AM66" s="143"/>
      <c r="AN66" s="9">
        <f t="shared" si="8"/>
        <v>0</v>
      </c>
      <c r="AO66" s="8" t="str">
        <f t="array" ref="AO66">IF(AN66&gt;5,"Perlu Sensus",IF(AND(AN66&gt;=0,AL66&gt;0),"Tetap Deteksi","Belum Deteksi"))</f>
        <v>Belum Deteksi</v>
      </c>
      <c r="AP66" s="143"/>
      <c r="AQ66" s="9">
        <f t="shared" si="9"/>
        <v>0</v>
      </c>
    </row>
    <row r="67" spans="1:43" outlineLevel="1" x14ac:dyDescent="0.15">
      <c r="A67" s="8" t="s">
        <v>1821</v>
      </c>
      <c r="B67" s="8"/>
      <c r="C67" s="8" t="s">
        <v>107</v>
      </c>
      <c r="D67" s="186" t="s">
        <v>1790</v>
      </c>
      <c r="E67" s="9">
        <v>35.78</v>
      </c>
      <c r="F67" s="8" t="s">
        <v>1823</v>
      </c>
      <c r="G67" s="10">
        <v>1388</v>
      </c>
      <c r="H67" s="11">
        <f t="array" ref="H67">IF(OR(N67&gt;0,AC67&gt;0),MAX(N67,AC67),MAX(AK67,V67))</f>
        <v>46245</v>
      </c>
      <c r="I67" s="143">
        <f t="array" ref="I67">IF(SUM(O67,AD67)&gt;0,SUM(O67,AD67),SUM(AL67,W67))</f>
        <v>256</v>
      </c>
      <c r="J67" s="9">
        <f t="shared" si="0"/>
        <v>18.443804034582133</v>
      </c>
      <c r="K67" s="143">
        <f t="shared" si="10"/>
        <v>20</v>
      </c>
      <c r="L67" s="9">
        <f t="shared" si="1"/>
        <v>7.8125</v>
      </c>
      <c r="M67" s="8" t="str">
        <f t="array" ref="M67">IF(L67&gt;5,"Perlu Sensus",IF(AND(L67&gt;=0,I67&gt;0),"Tetap Deteksi","Belum Deteksi"))</f>
        <v>Perlu Sensus</v>
      </c>
      <c r="N67" s="11">
        <v>46245</v>
      </c>
      <c r="O67" s="143">
        <v>256</v>
      </c>
      <c r="P67" s="9">
        <f t="array" ref="P67">IFERROR(O67/$G67*100,0)</f>
        <v>18.443804034582133</v>
      </c>
      <c r="Q67" s="143">
        <v>20</v>
      </c>
      <c r="R67" s="9">
        <f t="shared" si="2"/>
        <v>7.8125</v>
      </c>
      <c r="S67" s="8" t="str">
        <f t="array" ref="S67">IF(R67&gt;5,"Perlu Sensus",IF(AND(R67&gt;=0,O67&gt;0),"Tetap Deteksi","Belum Deteksi"))</f>
        <v>Perlu Sensus</v>
      </c>
      <c r="T67" s="143">
        <v>40</v>
      </c>
      <c r="U67" s="9">
        <f t="shared" si="3"/>
        <v>15.625</v>
      </c>
      <c r="V67" s="11">
        <v>46245</v>
      </c>
      <c r="W67" s="143">
        <v>1334</v>
      </c>
      <c r="X67" s="143">
        <v>139</v>
      </c>
      <c r="Y67" s="9">
        <f t="shared" si="4"/>
        <v>10.419790104947527</v>
      </c>
      <c r="Z67" s="8" t="str">
        <f t="array" ref="Z67">IF(Y67&gt;5,"Perlu Sensus",IF(AND(Y67&gt;=0,W67&gt;0),"Tetap Deteksi","Belum Deteksi"))</f>
        <v>Perlu Sensus</v>
      </c>
      <c r="AA67" s="143">
        <v>475</v>
      </c>
      <c r="AB67" s="9">
        <f t="shared" si="5"/>
        <v>35.607196401799101</v>
      </c>
      <c r="AC67" s="11"/>
      <c r="AD67" s="143"/>
      <c r="AE67" s="9">
        <f t="array" ref="AE67">IFERROR(AD67/$G67*100,0)</f>
        <v>0</v>
      </c>
      <c r="AF67" s="143"/>
      <c r="AG67" s="9">
        <f t="shared" si="6"/>
        <v>0</v>
      </c>
      <c r="AH67" s="8" t="str">
        <f t="array" ref="AH67">IF(AG67&gt;5,"Perlu Sensus",IF(AND(AG67&gt;=0,AD67&gt;0),"Tetap Deteksi","Belum Deteksi"))</f>
        <v>Belum Deteksi</v>
      </c>
      <c r="AI67" s="143"/>
      <c r="AJ67" s="9">
        <f t="shared" si="7"/>
        <v>0</v>
      </c>
      <c r="AK67" s="11"/>
      <c r="AL67" s="143"/>
      <c r="AM67" s="143"/>
      <c r="AN67" s="9">
        <f t="shared" si="8"/>
        <v>0</v>
      </c>
      <c r="AO67" s="8" t="str">
        <f t="array" ref="AO67">IF(AN67&gt;5,"Perlu Sensus",IF(AND(AN67&gt;=0,AL67&gt;0),"Tetap Deteksi","Belum Deteksi"))</f>
        <v>Belum Deteksi</v>
      </c>
      <c r="AP67" s="143"/>
      <c r="AQ67" s="9">
        <f t="shared" si="9"/>
        <v>0</v>
      </c>
    </row>
    <row r="68" spans="1:43" outlineLevel="1" x14ac:dyDescent="0.15">
      <c r="A68" s="8" t="s">
        <v>1821</v>
      </c>
      <c r="B68" s="8"/>
      <c r="C68" s="8" t="s">
        <v>107</v>
      </c>
      <c r="D68" s="186" t="s">
        <v>1795</v>
      </c>
      <c r="E68" s="9">
        <v>36.590000000000003</v>
      </c>
      <c r="F68" s="8" t="s">
        <v>1823</v>
      </c>
      <c r="G68" s="10">
        <v>5595</v>
      </c>
      <c r="H68" s="11">
        <f t="array" ref="H68">IF(OR(N68&gt;0,AC68&gt;0),MAX(N68,AC68),MAX(AK68,V68))</f>
        <v>46245</v>
      </c>
      <c r="I68" s="143">
        <f t="array" ref="I68">IF(SUM(O68,AD68)&gt;0,SUM(O68,AD68),SUM(AL68,W68))</f>
        <v>256</v>
      </c>
      <c r="J68" s="9">
        <f t="shared" si="0"/>
        <v>4.5755138516532616</v>
      </c>
      <c r="K68" s="143">
        <f t="shared" si="10"/>
        <v>20</v>
      </c>
      <c r="L68" s="9">
        <f t="shared" si="1"/>
        <v>7.8125</v>
      </c>
      <c r="M68" s="8" t="str">
        <f t="array" ref="M68">IF(L68&gt;5,"Perlu Sensus",IF(AND(L68&gt;=0,I68&gt;0),"Tetap Deteksi","Belum Deteksi"))</f>
        <v>Perlu Sensus</v>
      </c>
      <c r="N68" s="11">
        <v>46245</v>
      </c>
      <c r="O68" s="143">
        <v>256</v>
      </c>
      <c r="P68" s="9">
        <f t="array" ref="P68">IFERROR(O68/$G68*100,0)</f>
        <v>4.5755138516532616</v>
      </c>
      <c r="Q68" s="143">
        <v>20</v>
      </c>
      <c r="R68" s="9">
        <f t="shared" si="2"/>
        <v>7.8125</v>
      </c>
      <c r="S68" s="8" t="str">
        <f t="array" ref="S68">IF(R68&gt;5,"Perlu Sensus",IF(AND(R68&gt;=0,O68&gt;0),"Tetap Deteksi","Belum Deteksi"))</f>
        <v>Perlu Sensus</v>
      </c>
      <c r="T68" s="143">
        <v>46</v>
      </c>
      <c r="U68" s="9">
        <f t="shared" si="3"/>
        <v>17.96875</v>
      </c>
      <c r="V68" s="11">
        <v>46245</v>
      </c>
      <c r="W68" s="143">
        <v>685</v>
      </c>
      <c r="X68" s="143">
        <v>85</v>
      </c>
      <c r="Y68" s="9">
        <f t="shared" si="4"/>
        <v>12.408759124087592</v>
      </c>
      <c r="Z68" s="8" t="str">
        <f t="array" ref="Z68">IF(Y68&gt;5,"Perlu Sensus",IF(AND(Y68&gt;=0,W68&gt;0),"Tetap Deteksi","Belum Deteksi"))</f>
        <v>Perlu Sensus</v>
      </c>
      <c r="AA68" s="143">
        <v>85</v>
      </c>
      <c r="AB68" s="9">
        <f t="shared" si="5"/>
        <v>12.408759124087592</v>
      </c>
      <c r="AC68" s="11"/>
      <c r="AD68" s="143"/>
      <c r="AE68" s="9">
        <f t="array" ref="AE68">IFERROR(AD68/$G68*100,0)</f>
        <v>0</v>
      </c>
      <c r="AF68" s="143"/>
      <c r="AG68" s="9">
        <f t="shared" si="6"/>
        <v>0</v>
      </c>
      <c r="AH68" s="8" t="str">
        <f t="array" ref="AH68">IF(AG68&gt;5,"Perlu Sensus",IF(AND(AG68&gt;=0,AD68&gt;0),"Tetap Deteksi","Belum Deteksi"))</f>
        <v>Belum Deteksi</v>
      </c>
      <c r="AI68" s="143"/>
      <c r="AJ68" s="9">
        <f t="shared" si="7"/>
        <v>0</v>
      </c>
      <c r="AK68" s="11"/>
      <c r="AL68" s="143"/>
      <c r="AM68" s="143"/>
      <c r="AN68" s="9">
        <f t="shared" si="8"/>
        <v>0</v>
      </c>
      <c r="AO68" s="8" t="str">
        <f t="array" ref="AO68">IF(AN68&gt;5,"Perlu Sensus",IF(AND(AN68&gt;=0,AL68&gt;0),"Tetap Deteksi","Belum Deteksi"))</f>
        <v>Belum Deteksi</v>
      </c>
      <c r="AP68" s="143"/>
      <c r="AQ68" s="9">
        <f t="shared" si="9"/>
        <v>0</v>
      </c>
    </row>
    <row r="69" spans="1:43" outlineLevel="1" x14ac:dyDescent="0.15">
      <c r="A69" s="8" t="s">
        <v>1821</v>
      </c>
      <c r="B69" s="8"/>
      <c r="C69" s="8" t="s">
        <v>107</v>
      </c>
      <c r="D69" s="186" t="s">
        <v>1021</v>
      </c>
      <c r="E69" s="9">
        <v>36.400000000000006</v>
      </c>
      <c r="F69" s="8" t="s">
        <v>1823</v>
      </c>
      <c r="G69" s="10">
        <v>5029</v>
      </c>
      <c r="H69" s="11">
        <f t="array" ref="H69">IF(OR(N69&gt;0,AC69&gt;0),MAX(N69,AC69),MAX(AK69,V69))</f>
        <v>46245</v>
      </c>
      <c r="I69" s="143">
        <f t="array" ref="I69">IF(SUM(O69,AD69)&gt;0,SUM(O69,AD69),SUM(AL69,W69))</f>
        <v>260</v>
      </c>
      <c r="J69" s="9">
        <f t="shared" si="0"/>
        <v>5.1700139192682437</v>
      </c>
      <c r="K69" s="143">
        <f t="shared" si="10"/>
        <v>24</v>
      </c>
      <c r="L69" s="9">
        <f t="shared" si="1"/>
        <v>9.2307692307692317</v>
      </c>
      <c r="M69" s="8" t="str">
        <f t="array" ref="M69">IF(L69&gt;5,"Perlu Sensus",IF(AND(L69&gt;=0,I69&gt;0),"Tetap Deteksi","Belum Deteksi"))</f>
        <v>Perlu Sensus</v>
      </c>
      <c r="N69" s="11">
        <v>46245</v>
      </c>
      <c r="O69" s="143">
        <v>260</v>
      </c>
      <c r="P69" s="9">
        <f t="array" ref="P69">IFERROR(O69/$G69*100,0)</f>
        <v>5.1700139192682437</v>
      </c>
      <c r="Q69" s="143">
        <v>24</v>
      </c>
      <c r="R69" s="9">
        <f t="shared" si="2"/>
        <v>9.2307692307692317</v>
      </c>
      <c r="S69" s="8" t="str">
        <f t="array" ref="S69">IF(R69&gt;5,"Perlu Sensus",IF(AND(R69&gt;=0,O69&gt;0),"Tetap Deteksi","Belum Deteksi"))</f>
        <v>Perlu Sensus</v>
      </c>
      <c r="T69" s="143">
        <v>30</v>
      </c>
      <c r="U69" s="9">
        <f t="shared" si="3"/>
        <v>11.538461538461538</v>
      </c>
      <c r="V69" s="11">
        <v>46245</v>
      </c>
      <c r="W69" s="143">
        <v>424</v>
      </c>
      <c r="X69" s="143">
        <v>64</v>
      </c>
      <c r="Y69" s="9">
        <f t="shared" si="4"/>
        <v>15.09433962264151</v>
      </c>
      <c r="Z69" s="8" t="str">
        <f t="array" ref="Z69">IF(Y69&gt;5,"Perlu Sensus",IF(AND(Y69&gt;=0,W69&gt;0),"Tetap Deteksi","Belum Deteksi"))</f>
        <v>Perlu Sensus</v>
      </c>
      <c r="AA69" s="143">
        <v>98</v>
      </c>
      <c r="AB69" s="9">
        <f t="shared" si="5"/>
        <v>23.113207547169811</v>
      </c>
      <c r="AC69" s="11"/>
      <c r="AD69" s="143"/>
      <c r="AE69" s="9">
        <f t="array" ref="AE69">IFERROR(AD69/$G69*100,0)</f>
        <v>0</v>
      </c>
      <c r="AF69" s="143"/>
      <c r="AG69" s="9">
        <f t="shared" si="6"/>
        <v>0</v>
      </c>
      <c r="AH69" s="8" t="str">
        <f t="array" ref="AH69">IF(AG69&gt;5,"Perlu Sensus",IF(AND(AG69&gt;=0,AD69&gt;0),"Tetap Deteksi","Belum Deteksi"))</f>
        <v>Belum Deteksi</v>
      </c>
      <c r="AI69" s="143"/>
      <c r="AJ69" s="9">
        <f t="shared" si="7"/>
        <v>0</v>
      </c>
      <c r="AK69" s="11"/>
      <c r="AL69" s="143"/>
      <c r="AM69" s="143"/>
      <c r="AN69" s="9">
        <f t="shared" si="8"/>
        <v>0</v>
      </c>
      <c r="AO69" s="8" t="str">
        <f t="array" ref="AO69">IF(AN69&gt;5,"Perlu Sensus",IF(AND(AN69&gt;=0,AL69&gt;0),"Tetap Deteksi","Belum Deteksi"))</f>
        <v>Belum Deteksi</v>
      </c>
      <c r="AP69" s="143"/>
      <c r="AQ69" s="9">
        <f t="shared" si="9"/>
        <v>0</v>
      </c>
    </row>
    <row r="70" spans="1:43" outlineLevel="1" x14ac:dyDescent="0.15">
      <c r="A70" s="8" t="s">
        <v>1821</v>
      </c>
      <c r="B70" s="8"/>
      <c r="C70" s="8" t="s">
        <v>107</v>
      </c>
      <c r="D70" s="186" t="s">
        <v>1023</v>
      </c>
      <c r="E70" s="9">
        <v>28.379999999999995</v>
      </c>
      <c r="F70" s="8" t="s">
        <v>1823</v>
      </c>
      <c r="G70" s="10">
        <v>4240</v>
      </c>
      <c r="H70" s="11">
        <f t="array" ref="H70">IF(OR(N70&gt;0,AC70&gt;0),MAX(N70,AC70),MAX(AK70,V70))</f>
        <v>46246</v>
      </c>
      <c r="I70" s="143">
        <f t="array" ref="I70">IF(SUM(O70,AD70)&gt;0,SUM(O70,AD70),SUM(AL70,W70))</f>
        <v>256</v>
      </c>
      <c r="J70" s="9">
        <f t="shared" ref="J70:J133" si="11">IF(P70&gt;0,P70," ")</f>
        <v>6.0377358490566042</v>
      </c>
      <c r="K70" s="143">
        <f t="shared" si="10"/>
        <v>24</v>
      </c>
      <c r="L70" s="9">
        <f t="shared" ref="L70:L133" si="12">IFERROR(K70/I70*100,0)</f>
        <v>9.375</v>
      </c>
      <c r="M70" s="8" t="str">
        <f t="array" ref="M70">IF(L70&gt;5,"Perlu Sensus",IF(AND(L70&gt;=0,I70&gt;0),"Tetap Deteksi","Belum Deteksi"))</f>
        <v>Perlu Sensus</v>
      </c>
      <c r="N70" s="11">
        <v>46246</v>
      </c>
      <c r="O70" s="143">
        <v>256</v>
      </c>
      <c r="P70" s="9">
        <f t="array" ref="P70">IFERROR(O70/$G70*100,0)</f>
        <v>6.0377358490566042</v>
      </c>
      <c r="Q70" s="143">
        <v>24</v>
      </c>
      <c r="R70" s="9">
        <f t="shared" ref="R70:R133" si="13">IFERROR(Q70/O70*100,0)</f>
        <v>9.375</v>
      </c>
      <c r="S70" s="8" t="str">
        <f t="array" ref="S70">IF(R70&gt;5,"Perlu Sensus",IF(AND(R70&gt;=0,O70&gt;0),"Tetap Deteksi","Belum Deteksi"))</f>
        <v>Perlu Sensus</v>
      </c>
      <c r="T70" s="143">
        <v>28</v>
      </c>
      <c r="U70" s="9">
        <f t="shared" ref="U70:U133" si="14">IFERROR(T70/O70*100,0)</f>
        <v>10.9375</v>
      </c>
      <c r="V70" s="11">
        <v>46246</v>
      </c>
      <c r="W70" s="143">
        <v>1200</v>
      </c>
      <c r="X70" s="143">
        <v>65</v>
      </c>
      <c r="Y70" s="9">
        <f t="shared" ref="Y70:Y133" si="15">IFERROR(X70/W70*100,0)</f>
        <v>5.416666666666667</v>
      </c>
      <c r="Z70" s="8" t="str">
        <f t="array" ref="Z70">IF(Y70&gt;5,"Perlu Sensus",IF(AND(Y70&gt;=0,W70&gt;0),"Tetap Deteksi","Belum Deteksi"))</f>
        <v>Perlu Sensus</v>
      </c>
      <c r="AA70" s="143">
        <v>230</v>
      </c>
      <c r="AB70" s="9">
        <f t="shared" ref="AB70:AB133" si="16">IFERROR(AA70/W70*100,0)</f>
        <v>19.166666666666668</v>
      </c>
      <c r="AC70" s="11"/>
      <c r="AD70" s="143"/>
      <c r="AE70" s="9">
        <f t="array" ref="AE70">IFERROR(AD70/$G70*100,0)</f>
        <v>0</v>
      </c>
      <c r="AF70" s="143"/>
      <c r="AG70" s="9">
        <f t="shared" ref="AG70:AG133" si="17">IFERROR(AF70/AD70*100,0)</f>
        <v>0</v>
      </c>
      <c r="AH70" s="8" t="str">
        <f t="array" ref="AH70">IF(AG70&gt;5,"Perlu Sensus",IF(AND(AG70&gt;=0,AD70&gt;0),"Tetap Deteksi","Belum Deteksi"))</f>
        <v>Belum Deteksi</v>
      </c>
      <c r="AI70" s="143"/>
      <c r="AJ70" s="9">
        <f t="shared" ref="AJ70:AJ133" si="18">IFERROR(AI70/AD70*100,0)</f>
        <v>0</v>
      </c>
      <c r="AK70" s="11"/>
      <c r="AL70" s="143"/>
      <c r="AM70" s="143"/>
      <c r="AN70" s="9">
        <f t="shared" ref="AN70:AN133" si="19">IFERROR(AM70/AL70*100,0)</f>
        <v>0</v>
      </c>
      <c r="AO70" s="8" t="str">
        <f t="array" ref="AO70">IF(AN70&gt;5,"Perlu Sensus",IF(AND(AN70&gt;=0,AL70&gt;0),"Tetap Deteksi","Belum Deteksi"))</f>
        <v>Belum Deteksi</v>
      </c>
      <c r="AP70" s="143"/>
      <c r="AQ70" s="9">
        <f t="shared" ref="AQ70:AQ133" si="20">IFERROR(AP70/AL70*100,0)</f>
        <v>0</v>
      </c>
    </row>
    <row r="71" spans="1:43" outlineLevel="1" x14ac:dyDescent="0.15">
      <c r="A71" s="8" t="s">
        <v>1821</v>
      </c>
      <c r="B71" s="8"/>
      <c r="C71" s="8" t="s">
        <v>107</v>
      </c>
      <c r="D71" s="186" t="s">
        <v>1390</v>
      </c>
      <c r="E71" s="9">
        <v>28.850000000000005</v>
      </c>
      <c r="F71" s="8" t="s">
        <v>1823</v>
      </c>
      <c r="G71" s="10">
        <v>3388</v>
      </c>
      <c r="H71" s="11">
        <f t="array" ref="H71">IF(OR(N71&gt;0,AC71&gt;0),MAX(N71,AC71),MAX(AK71,V71))</f>
        <v>46246</v>
      </c>
      <c r="I71" s="143">
        <f t="array" ref="I71">IF(SUM(O71,AD71)&gt;0,SUM(O71,AD71),SUM(AL71,W71))</f>
        <v>260</v>
      </c>
      <c r="J71" s="9">
        <f t="shared" si="11"/>
        <v>7.674144037780402</v>
      </c>
      <c r="K71" s="143">
        <f t="shared" ref="K71:K134" si="21">IF(SUM(Q71,AF71)&gt;0,SUM(Q71,AF71),SUM(AM71,X71))</f>
        <v>20</v>
      </c>
      <c r="L71" s="9">
        <f t="shared" si="12"/>
        <v>7.6923076923076925</v>
      </c>
      <c r="M71" s="8" t="str">
        <f t="array" ref="M71">IF(L71&gt;5,"Perlu Sensus",IF(AND(L71&gt;=0,I71&gt;0),"Tetap Deteksi","Belum Deteksi"))</f>
        <v>Perlu Sensus</v>
      </c>
      <c r="N71" s="11">
        <v>46246</v>
      </c>
      <c r="O71" s="143">
        <v>260</v>
      </c>
      <c r="P71" s="9">
        <f t="array" ref="P71">IFERROR(O71/$G71*100,0)</f>
        <v>7.674144037780402</v>
      </c>
      <c r="Q71" s="143">
        <v>20</v>
      </c>
      <c r="R71" s="9">
        <f t="shared" si="13"/>
        <v>7.6923076923076925</v>
      </c>
      <c r="S71" s="8" t="str">
        <f t="array" ref="S71">IF(R71&gt;5,"Perlu Sensus",IF(AND(R71&gt;=0,O71&gt;0),"Tetap Deteksi","Belum Deteksi"))</f>
        <v>Perlu Sensus</v>
      </c>
      <c r="T71" s="143">
        <v>30</v>
      </c>
      <c r="U71" s="9">
        <f t="shared" si="14"/>
        <v>11.538461538461538</v>
      </c>
      <c r="V71" s="11">
        <v>46246</v>
      </c>
      <c r="W71" s="143">
        <v>240</v>
      </c>
      <c r="X71" s="143">
        <v>43</v>
      </c>
      <c r="Y71" s="9">
        <f t="shared" si="15"/>
        <v>17.916666666666668</v>
      </c>
      <c r="Z71" s="8" t="str">
        <f t="array" ref="Z71">IF(Y71&gt;5,"Perlu Sensus",IF(AND(Y71&gt;=0,W71&gt;0),"Tetap Deteksi","Belum Deteksi"))</f>
        <v>Perlu Sensus</v>
      </c>
      <c r="AA71" s="143">
        <v>112</v>
      </c>
      <c r="AB71" s="9">
        <f t="shared" si="16"/>
        <v>46.666666666666664</v>
      </c>
      <c r="AC71" s="11"/>
      <c r="AD71" s="143"/>
      <c r="AE71" s="9">
        <f t="array" ref="AE71">IFERROR(AD71/$G71*100,0)</f>
        <v>0</v>
      </c>
      <c r="AF71" s="143"/>
      <c r="AG71" s="9">
        <f t="shared" si="17"/>
        <v>0</v>
      </c>
      <c r="AH71" s="8" t="str">
        <f t="array" ref="AH71">IF(AG71&gt;5,"Perlu Sensus",IF(AND(AG71&gt;=0,AD71&gt;0),"Tetap Deteksi","Belum Deteksi"))</f>
        <v>Belum Deteksi</v>
      </c>
      <c r="AI71" s="143"/>
      <c r="AJ71" s="9">
        <f t="shared" si="18"/>
        <v>0</v>
      </c>
      <c r="AK71" s="11"/>
      <c r="AL71" s="143"/>
      <c r="AM71" s="143"/>
      <c r="AN71" s="9">
        <f t="shared" si="19"/>
        <v>0</v>
      </c>
      <c r="AO71" s="8" t="str">
        <f t="array" ref="AO71">IF(AN71&gt;5,"Perlu Sensus",IF(AND(AN71&gt;=0,AL71&gt;0),"Tetap Deteksi","Belum Deteksi"))</f>
        <v>Belum Deteksi</v>
      </c>
      <c r="AP71" s="143"/>
      <c r="AQ71" s="9">
        <f t="shared" si="20"/>
        <v>0</v>
      </c>
    </row>
    <row r="72" spans="1:43" outlineLevel="1" x14ac:dyDescent="0.15">
      <c r="A72" s="8" t="s">
        <v>1821</v>
      </c>
      <c r="B72" s="8"/>
      <c r="C72" s="8" t="s">
        <v>107</v>
      </c>
      <c r="D72" s="181" t="s">
        <v>1002</v>
      </c>
      <c r="E72" s="9">
        <v>45.260000000000005</v>
      </c>
      <c r="F72" s="8" t="s">
        <v>1740</v>
      </c>
      <c r="G72" s="10">
        <v>4229</v>
      </c>
      <c r="H72" s="11">
        <f t="array" ref="H72">IF(OR(N72&gt;0,AC72&gt;0),MAX(N72,AC72),MAX(AK72,V72))</f>
        <v>46246</v>
      </c>
      <c r="I72" s="143">
        <f t="array" ref="I72">IF(SUM(O72,AD72)&gt;0,SUM(O72,AD72),SUM(AL72,W72))</f>
        <v>256</v>
      </c>
      <c r="J72" s="9">
        <f t="shared" si="11"/>
        <v>6.0534405296760463</v>
      </c>
      <c r="K72" s="143">
        <f t="shared" si="21"/>
        <v>20</v>
      </c>
      <c r="L72" s="9">
        <f t="shared" si="12"/>
        <v>7.8125</v>
      </c>
      <c r="M72" s="8" t="str">
        <f t="array" ref="M72">IF(L72&gt;5,"Perlu Sensus",IF(AND(L72&gt;=0,I72&gt;0),"Tetap Deteksi","Belum Deteksi"))</f>
        <v>Perlu Sensus</v>
      </c>
      <c r="N72" s="11">
        <v>46246</v>
      </c>
      <c r="O72" s="143">
        <v>256</v>
      </c>
      <c r="P72" s="9">
        <f t="array" ref="P72">IFERROR(O72/$G72*100,0)</f>
        <v>6.0534405296760463</v>
      </c>
      <c r="Q72" s="143">
        <v>20</v>
      </c>
      <c r="R72" s="9">
        <f t="shared" si="13"/>
        <v>7.8125</v>
      </c>
      <c r="S72" s="8" t="str">
        <f t="array" ref="S72">IF(R72&gt;5,"Perlu Sensus",IF(AND(R72&gt;=0,O72&gt;0),"Tetap Deteksi","Belum Deteksi"))</f>
        <v>Perlu Sensus</v>
      </c>
      <c r="T72" s="143">
        <v>30</v>
      </c>
      <c r="U72" s="9">
        <f t="shared" si="14"/>
        <v>11.71875</v>
      </c>
      <c r="V72" s="11">
        <v>46246</v>
      </c>
      <c r="W72" s="143">
        <v>320</v>
      </c>
      <c r="X72" s="143">
        <v>23</v>
      </c>
      <c r="Y72" s="9">
        <f t="shared" si="15"/>
        <v>7.1874999999999991</v>
      </c>
      <c r="Z72" s="8" t="str">
        <f t="array" ref="Z72">IF(Y72&gt;5,"Perlu Sensus",IF(AND(Y72&gt;=0,W72&gt;0),"Tetap Deteksi","Belum Deteksi"))</f>
        <v>Perlu Sensus</v>
      </c>
      <c r="AA72" s="143">
        <v>220</v>
      </c>
      <c r="AB72" s="9">
        <f t="shared" si="16"/>
        <v>68.75</v>
      </c>
      <c r="AC72" s="11"/>
      <c r="AD72" s="143"/>
      <c r="AE72" s="9">
        <f t="array" ref="AE72">IFERROR(AD72/$G72*100,0)</f>
        <v>0</v>
      </c>
      <c r="AF72" s="143"/>
      <c r="AG72" s="9">
        <f t="shared" si="17"/>
        <v>0</v>
      </c>
      <c r="AH72" s="8" t="str">
        <f t="array" ref="AH72">IF(AG72&gt;5,"Perlu Sensus",IF(AND(AG72&gt;=0,AD72&gt;0),"Tetap Deteksi","Belum Deteksi"))</f>
        <v>Belum Deteksi</v>
      </c>
      <c r="AI72" s="143"/>
      <c r="AJ72" s="9">
        <f t="shared" si="18"/>
        <v>0</v>
      </c>
      <c r="AK72" s="11"/>
      <c r="AL72" s="143"/>
      <c r="AM72" s="143"/>
      <c r="AN72" s="9">
        <f t="shared" si="19"/>
        <v>0</v>
      </c>
      <c r="AO72" s="8" t="str">
        <f t="array" ref="AO72">IF(AN72&gt;5,"Perlu Sensus",IF(AND(AN72&gt;=0,AL72&gt;0),"Tetap Deteksi","Belum Deteksi"))</f>
        <v>Belum Deteksi</v>
      </c>
      <c r="AP72" s="143"/>
      <c r="AQ72" s="9">
        <f t="shared" si="20"/>
        <v>0</v>
      </c>
    </row>
    <row r="73" spans="1:43" outlineLevel="1" x14ac:dyDescent="0.15">
      <c r="A73" s="8" t="s">
        <v>1821</v>
      </c>
      <c r="B73" s="8"/>
      <c r="C73" s="8" t="s">
        <v>107</v>
      </c>
      <c r="D73" s="186" t="s">
        <v>1405</v>
      </c>
      <c r="E73" s="9">
        <v>30.43</v>
      </c>
      <c r="F73" s="8" t="s">
        <v>1823</v>
      </c>
      <c r="G73" s="10">
        <v>4274</v>
      </c>
      <c r="H73" s="11">
        <f t="array" ref="H73">IF(OR(N73&gt;0,AC73&gt;0),MAX(N73,AC73),MAX(AK73,V73))</f>
        <v>46249</v>
      </c>
      <c r="I73" s="143">
        <f t="array" ref="I73">IF(SUM(O73,AD73)&gt;0,SUM(O73,AD73),SUM(AL73,W73))</f>
        <v>260</v>
      </c>
      <c r="J73" s="9">
        <f t="shared" si="11"/>
        <v>6.0832943378568087</v>
      </c>
      <c r="K73" s="143">
        <f t="shared" si="21"/>
        <v>24</v>
      </c>
      <c r="L73" s="9">
        <f t="shared" si="12"/>
        <v>9.2307692307692317</v>
      </c>
      <c r="M73" s="8" t="str">
        <f t="array" ref="M73">IF(L73&gt;5,"Perlu Sensus",IF(AND(L73&gt;=0,I73&gt;0),"Tetap Deteksi","Belum Deteksi"))</f>
        <v>Perlu Sensus</v>
      </c>
      <c r="N73" s="11">
        <v>46249</v>
      </c>
      <c r="O73" s="143">
        <v>260</v>
      </c>
      <c r="P73" s="9">
        <f t="array" ref="P73">IFERROR(O73/$G73*100,0)</f>
        <v>6.0832943378568087</v>
      </c>
      <c r="Q73" s="143">
        <v>24</v>
      </c>
      <c r="R73" s="9">
        <f t="shared" si="13"/>
        <v>9.2307692307692317</v>
      </c>
      <c r="S73" s="8" t="str">
        <f t="array" ref="S73">IF(R73&gt;5,"Perlu Sensus",IF(AND(R73&gt;=0,O73&gt;0),"Tetap Deteksi","Belum Deteksi"))</f>
        <v>Perlu Sensus</v>
      </c>
      <c r="T73" s="143">
        <v>26</v>
      </c>
      <c r="U73" s="9">
        <f t="shared" si="14"/>
        <v>10</v>
      </c>
      <c r="V73" s="11">
        <v>46249</v>
      </c>
      <c r="W73" s="143">
        <v>639</v>
      </c>
      <c r="X73" s="143">
        <v>44</v>
      </c>
      <c r="Y73" s="9">
        <f t="shared" si="15"/>
        <v>6.8857589984350547</v>
      </c>
      <c r="Z73" s="8" t="str">
        <f t="array" ref="Z73">IF(Y73&gt;5,"Perlu Sensus",IF(AND(Y73&gt;=0,W73&gt;0),"Tetap Deteksi","Belum Deteksi"))</f>
        <v>Perlu Sensus</v>
      </c>
      <c r="AA73" s="143">
        <v>61</v>
      </c>
      <c r="AB73" s="9">
        <f t="shared" si="16"/>
        <v>9.5461658841940533</v>
      </c>
      <c r="AC73" s="11"/>
      <c r="AD73" s="143"/>
      <c r="AE73" s="9">
        <f t="array" ref="AE73">IFERROR(AD73/$G73*100,0)</f>
        <v>0</v>
      </c>
      <c r="AF73" s="143"/>
      <c r="AG73" s="9">
        <f t="shared" si="17"/>
        <v>0</v>
      </c>
      <c r="AH73" s="8" t="str">
        <f t="array" ref="AH73">IF(AG73&gt;5,"Perlu Sensus",IF(AND(AG73&gt;=0,AD73&gt;0),"Tetap Deteksi","Belum Deteksi"))</f>
        <v>Belum Deteksi</v>
      </c>
      <c r="AI73" s="143"/>
      <c r="AJ73" s="9">
        <f t="shared" si="18"/>
        <v>0</v>
      </c>
      <c r="AK73" s="11"/>
      <c r="AL73" s="143"/>
      <c r="AM73" s="143"/>
      <c r="AN73" s="9">
        <f t="shared" si="19"/>
        <v>0</v>
      </c>
      <c r="AO73" s="8" t="str">
        <f t="array" ref="AO73">IF(AN73&gt;5,"Perlu Sensus",IF(AND(AN73&gt;=0,AL73&gt;0),"Tetap Deteksi","Belum Deteksi"))</f>
        <v>Belum Deteksi</v>
      </c>
      <c r="AP73" s="143"/>
      <c r="AQ73" s="9">
        <f t="shared" si="20"/>
        <v>0</v>
      </c>
    </row>
    <row r="74" spans="1:43" outlineLevel="1" x14ac:dyDescent="0.15">
      <c r="A74" s="8" t="s">
        <v>1821</v>
      </c>
      <c r="B74" s="8"/>
      <c r="C74" s="8" t="s">
        <v>107</v>
      </c>
      <c r="D74" s="186" t="s">
        <v>1406</v>
      </c>
      <c r="E74" s="9">
        <v>28</v>
      </c>
      <c r="F74" s="8" t="s">
        <v>1823</v>
      </c>
      <c r="G74" s="10">
        <v>3833.9999999999995</v>
      </c>
      <c r="H74" s="11">
        <f t="array" ref="H74">IF(OR(N74&gt;0,AC74&gt;0),MAX(N74,AC74),MAX(AK74,V74))</f>
        <v>46249</v>
      </c>
      <c r="I74" s="143">
        <f t="array" ref="I74">IF(SUM(O74,AD74)&gt;0,SUM(O74,AD74),SUM(AL74,W74))</f>
        <v>256</v>
      </c>
      <c r="J74" s="9">
        <f t="shared" si="11"/>
        <v>6.6770996348461145</v>
      </c>
      <c r="K74" s="143">
        <f t="shared" si="21"/>
        <v>30</v>
      </c>
      <c r="L74" s="9">
        <f t="shared" si="12"/>
        <v>11.71875</v>
      </c>
      <c r="M74" s="8" t="str">
        <f t="array" ref="M74">IF(L74&gt;5,"Perlu Sensus",IF(AND(L74&gt;=0,I74&gt;0),"Tetap Deteksi","Belum Deteksi"))</f>
        <v>Perlu Sensus</v>
      </c>
      <c r="N74" s="11">
        <v>46249</v>
      </c>
      <c r="O74" s="143">
        <v>256</v>
      </c>
      <c r="P74" s="9">
        <f t="array" ref="P74">IFERROR(O74/$G74*100,0)</f>
        <v>6.6770996348461145</v>
      </c>
      <c r="Q74" s="143">
        <v>30</v>
      </c>
      <c r="R74" s="9">
        <f t="shared" si="13"/>
        <v>11.71875</v>
      </c>
      <c r="S74" s="8" t="str">
        <f t="array" ref="S74">IF(R74&gt;5,"Perlu Sensus",IF(AND(R74&gt;=0,O74&gt;0),"Tetap Deteksi","Belum Deteksi"))</f>
        <v>Perlu Sensus</v>
      </c>
      <c r="T74" s="143">
        <v>20</v>
      </c>
      <c r="U74" s="9">
        <f t="shared" si="14"/>
        <v>7.8125</v>
      </c>
      <c r="V74" s="11">
        <v>46249</v>
      </c>
      <c r="W74" s="143">
        <v>346</v>
      </c>
      <c r="X74" s="143">
        <v>32</v>
      </c>
      <c r="Y74" s="9">
        <f t="shared" si="15"/>
        <v>9.2485549132947966</v>
      </c>
      <c r="Z74" s="8" t="str">
        <f t="array" ref="Z74">IF(Y74&gt;5,"Perlu Sensus",IF(AND(Y74&gt;=0,W74&gt;0),"Tetap Deteksi","Belum Deteksi"))</f>
        <v>Perlu Sensus</v>
      </c>
      <c r="AA74" s="143">
        <v>45</v>
      </c>
      <c r="AB74" s="9">
        <f t="shared" si="16"/>
        <v>13.005780346820808</v>
      </c>
      <c r="AC74" s="11"/>
      <c r="AD74" s="143"/>
      <c r="AE74" s="9">
        <f t="array" ref="AE74">IFERROR(AD74/$G74*100,0)</f>
        <v>0</v>
      </c>
      <c r="AF74" s="143"/>
      <c r="AG74" s="9">
        <f t="shared" si="17"/>
        <v>0</v>
      </c>
      <c r="AH74" s="8" t="str">
        <f t="array" ref="AH74">IF(AG74&gt;5,"Perlu Sensus",IF(AND(AG74&gt;=0,AD74&gt;0),"Tetap Deteksi","Belum Deteksi"))</f>
        <v>Belum Deteksi</v>
      </c>
      <c r="AI74" s="143"/>
      <c r="AJ74" s="9">
        <f t="shared" si="18"/>
        <v>0</v>
      </c>
      <c r="AK74" s="11"/>
      <c r="AL74" s="143"/>
      <c r="AM74" s="143"/>
      <c r="AN74" s="9">
        <f t="shared" si="19"/>
        <v>0</v>
      </c>
      <c r="AO74" s="8" t="str">
        <f t="array" ref="AO74">IF(AN74&gt;5,"Perlu Sensus",IF(AND(AN74&gt;=0,AL74&gt;0),"Tetap Deteksi","Belum Deteksi"))</f>
        <v>Belum Deteksi</v>
      </c>
      <c r="AP74" s="143"/>
      <c r="AQ74" s="9">
        <f t="shared" si="20"/>
        <v>0</v>
      </c>
    </row>
    <row r="75" spans="1:43" outlineLevel="1" x14ac:dyDescent="0.15">
      <c r="A75" s="8" t="s">
        <v>1821</v>
      </c>
      <c r="B75" s="8"/>
      <c r="C75" s="8" t="s">
        <v>107</v>
      </c>
      <c r="D75" s="186" t="s">
        <v>1378</v>
      </c>
      <c r="E75" s="9">
        <v>36.43</v>
      </c>
      <c r="F75" s="8" t="s">
        <v>1823</v>
      </c>
      <c r="G75" s="10">
        <v>5193.9999999999991</v>
      </c>
      <c r="H75" s="11">
        <f t="array" ref="H75">IF(OR(N75&gt;0,AC75&gt;0),MAX(N75,AC75),MAX(AK75,V75))</f>
        <v>46247</v>
      </c>
      <c r="I75" s="143">
        <f t="array" ref="I75">IF(SUM(O75,AD75)&gt;0,SUM(O75,AD75),SUM(AL75,W75))</f>
        <v>374</v>
      </c>
      <c r="J75" s="9">
        <f t="shared" si="11"/>
        <v>7.2006160954948024</v>
      </c>
      <c r="K75" s="143">
        <f t="shared" si="21"/>
        <v>23</v>
      </c>
      <c r="L75" s="9">
        <f t="shared" si="12"/>
        <v>6.1497326203208562</v>
      </c>
      <c r="M75" s="8" t="str">
        <f t="array" ref="M75">IF(L75&gt;5,"Perlu Sensus",IF(AND(L75&gt;=0,I75&gt;0),"Tetap Deteksi","Belum Deteksi"))</f>
        <v>Perlu Sensus</v>
      </c>
      <c r="N75" s="11">
        <v>46247</v>
      </c>
      <c r="O75" s="143">
        <v>374</v>
      </c>
      <c r="P75" s="9">
        <f t="array" ref="P75">IFERROR(O75/$G75*100,0)</f>
        <v>7.2006160954948024</v>
      </c>
      <c r="Q75" s="143">
        <v>23</v>
      </c>
      <c r="R75" s="9">
        <f t="shared" si="13"/>
        <v>6.1497326203208562</v>
      </c>
      <c r="S75" s="8" t="str">
        <f t="array" ref="S75">IF(R75&gt;5,"Perlu Sensus",IF(AND(R75&gt;=0,O75&gt;0),"Tetap Deteksi","Belum Deteksi"))</f>
        <v>Perlu Sensus</v>
      </c>
      <c r="T75" s="143">
        <v>52</v>
      </c>
      <c r="U75" s="9">
        <f t="shared" si="14"/>
        <v>13.903743315508022</v>
      </c>
      <c r="V75" s="11">
        <v>46237</v>
      </c>
      <c r="W75" s="143">
        <v>2952</v>
      </c>
      <c r="X75" s="143">
        <v>289</v>
      </c>
      <c r="Y75" s="9">
        <f t="shared" si="15"/>
        <v>9.7899728997289976</v>
      </c>
      <c r="Z75" s="8" t="str">
        <f t="array" ref="Z75">IF(Y75&gt;5,"Perlu Sensus",IF(AND(Y75&gt;=0,W75&gt;0),"Tetap Deteksi","Belum Deteksi"))</f>
        <v>Perlu Sensus</v>
      </c>
      <c r="AA75" s="143">
        <v>816</v>
      </c>
      <c r="AB75" s="9">
        <f t="shared" si="16"/>
        <v>27.64227642276423</v>
      </c>
      <c r="AC75" s="11"/>
      <c r="AD75" s="143"/>
      <c r="AE75" s="9">
        <f t="array" ref="AE75">IFERROR(AD75/$G75*100,0)</f>
        <v>0</v>
      </c>
      <c r="AF75" s="143"/>
      <c r="AG75" s="9">
        <f t="shared" si="17"/>
        <v>0</v>
      </c>
      <c r="AH75" s="8" t="str">
        <f t="array" ref="AH75">IF(AG75&gt;5,"Perlu Sensus",IF(AND(AG75&gt;=0,AD75&gt;0),"Tetap Deteksi","Belum Deteksi"))</f>
        <v>Belum Deteksi</v>
      </c>
      <c r="AI75" s="143"/>
      <c r="AJ75" s="9">
        <f t="shared" si="18"/>
        <v>0</v>
      </c>
      <c r="AK75" s="11"/>
      <c r="AL75" s="143"/>
      <c r="AM75" s="143"/>
      <c r="AN75" s="9">
        <f t="shared" si="19"/>
        <v>0</v>
      </c>
      <c r="AO75" s="8" t="str">
        <f t="array" ref="AO75">IF(AN75&gt;5,"Perlu Sensus",IF(AND(AN75&gt;=0,AL75&gt;0),"Tetap Deteksi","Belum Deteksi"))</f>
        <v>Belum Deteksi</v>
      </c>
      <c r="AP75" s="143"/>
      <c r="AQ75" s="9">
        <f t="shared" si="20"/>
        <v>0</v>
      </c>
    </row>
    <row r="76" spans="1:43" outlineLevel="1" x14ac:dyDescent="0.15">
      <c r="A76" s="8" t="s">
        <v>1821</v>
      </c>
      <c r="B76" s="8"/>
      <c r="C76" s="8" t="s">
        <v>107</v>
      </c>
      <c r="D76" s="186" t="s">
        <v>1379</v>
      </c>
      <c r="E76" s="9">
        <v>31.64</v>
      </c>
      <c r="F76" s="8" t="s">
        <v>1823</v>
      </c>
      <c r="G76" s="10">
        <v>4461</v>
      </c>
      <c r="H76" s="11">
        <f t="array" ref="H76">IF(OR(N76&gt;0,AC76&gt;0),MAX(N76,AC76),MAX(AK76,V76))</f>
        <v>46247</v>
      </c>
      <c r="I76" s="143">
        <f t="array" ref="I76">IF(SUM(O76,AD76)&gt;0,SUM(O76,AD76),SUM(AL76,W76))</f>
        <v>530</v>
      </c>
      <c r="J76" s="9">
        <f t="shared" si="11"/>
        <v>11.880744227751624</v>
      </c>
      <c r="K76" s="143">
        <f t="shared" si="21"/>
        <v>31</v>
      </c>
      <c r="L76" s="9">
        <f t="shared" si="12"/>
        <v>5.8490566037735849</v>
      </c>
      <c r="M76" s="8" t="str">
        <f t="array" ref="M76">IF(L76&gt;5,"Perlu Sensus",IF(AND(L76&gt;=0,I76&gt;0),"Tetap Deteksi","Belum Deteksi"))</f>
        <v>Perlu Sensus</v>
      </c>
      <c r="N76" s="11">
        <v>46247</v>
      </c>
      <c r="O76" s="143">
        <v>530</v>
      </c>
      <c r="P76" s="9">
        <f t="array" ref="P76">IFERROR(O76/$G76*100,0)</f>
        <v>11.880744227751624</v>
      </c>
      <c r="Q76" s="143">
        <v>31</v>
      </c>
      <c r="R76" s="9">
        <f t="shared" si="13"/>
        <v>5.8490566037735849</v>
      </c>
      <c r="S76" s="8" t="str">
        <f t="array" ref="S76">IF(R76&gt;5,"Perlu Sensus",IF(AND(R76&gt;=0,O76&gt;0),"Tetap Deteksi","Belum Deteksi"))</f>
        <v>Perlu Sensus</v>
      </c>
      <c r="T76" s="143">
        <v>104</v>
      </c>
      <c r="U76" s="9">
        <f t="shared" si="14"/>
        <v>19.622641509433965</v>
      </c>
      <c r="V76" s="11">
        <v>0</v>
      </c>
      <c r="W76" s="143">
        <v>0</v>
      </c>
      <c r="X76" s="143">
        <v>0</v>
      </c>
      <c r="Y76" s="9">
        <f t="shared" si="15"/>
        <v>0</v>
      </c>
      <c r="Z76" s="8" t="str">
        <f t="array" ref="Z76">IF(Y76&gt;5,"Perlu Sensus",IF(AND(Y76&gt;=0,W76&gt;0),"Tetap Deteksi","Belum Deteksi"))</f>
        <v>Belum Deteksi</v>
      </c>
      <c r="AA76" s="143">
        <v>0</v>
      </c>
      <c r="AB76" s="9">
        <f t="shared" si="16"/>
        <v>0</v>
      </c>
      <c r="AC76" s="11"/>
      <c r="AD76" s="143"/>
      <c r="AE76" s="9">
        <f t="array" ref="AE76">IFERROR(AD76/$G76*100,0)</f>
        <v>0</v>
      </c>
      <c r="AF76" s="143"/>
      <c r="AG76" s="9">
        <f t="shared" si="17"/>
        <v>0</v>
      </c>
      <c r="AH76" s="8" t="str">
        <f t="array" ref="AH76">IF(AG76&gt;5,"Perlu Sensus",IF(AND(AG76&gt;=0,AD76&gt;0),"Tetap Deteksi","Belum Deteksi"))</f>
        <v>Belum Deteksi</v>
      </c>
      <c r="AI76" s="143"/>
      <c r="AJ76" s="9">
        <f t="shared" si="18"/>
        <v>0</v>
      </c>
      <c r="AK76" s="11"/>
      <c r="AL76" s="143"/>
      <c r="AM76" s="143"/>
      <c r="AN76" s="9">
        <f t="shared" si="19"/>
        <v>0</v>
      </c>
      <c r="AO76" s="8" t="str">
        <f t="array" ref="AO76">IF(AN76&gt;5,"Perlu Sensus",IF(AND(AN76&gt;=0,AL76&gt;0),"Tetap Deteksi","Belum Deteksi"))</f>
        <v>Belum Deteksi</v>
      </c>
      <c r="AP76" s="143"/>
      <c r="AQ76" s="9">
        <f t="shared" si="20"/>
        <v>0</v>
      </c>
    </row>
    <row r="77" spans="1:43" outlineLevel="1" x14ac:dyDescent="0.15">
      <c r="A77" s="8" t="s">
        <v>1821</v>
      </c>
      <c r="B77" s="8"/>
      <c r="C77" s="8" t="s">
        <v>107</v>
      </c>
      <c r="D77" s="181" t="s">
        <v>1380</v>
      </c>
      <c r="E77" s="9">
        <v>41.48</v>
      </c>
      <c r="F77" s="8" t="s">
        <v>1823</v>
      </c>
      <c r="G77" s="10">
        <v>5172</v>
      </c>
      <c r="H77" s="11">
        <f t="array" ref="H77">IF(OR(N77&gt;0,AC77&gt;0),MAX(N77,AC77),MAX(AK77,V77))</f>
        <v>46247</v>
      </c>
      <c r="I77" s="143">
        <f t="array" ref="I77">IF(SUM(O77,AD77)&gt;0,SUM(O77,AD77),SUM(AL77,W77))</f>
        <v>660</v>
      </c>
      <c r="J77" s="9">
        <f t="shared" si="11"/>
        <v>12.761020881670534</v>
      </c>
      <c r="K77" s="143">
        <f t="shared" si="21"/>
        <v>41</v>
      </c>
      <c r="L77" s="9">
        <f t="shared" si="12"/>
        <v>6.2121212121212119</v>
      </c>
      <c r="M77" s="8" t="str">
        <f t="array" ref="M77">IF(L77&gt;5,"Perlu Sensus",IF(AND(L77&gt;=0,I77&gt;0),"Tetap Deteksi","Belum Deteksi"))</f>
        <v>Perlu Sensus</v>
      </c>
      <c r="N77" s="11">
        <v>46247</v>
      </c>
      <c r="O77" s="143">
        <v>660</v>
      </c>
      <c r="P77" s="9">
        <f t="array" ref="P77">IFERROR(O77/$G77*100,0)</f>
        <v>12.761020881670534</v>
      </c>
      <c r="Q77" s="143">
        <v>41</v>
      </c>
      <c r="R77" s="9">
        <f t="shared" si="13"/>
        <v>6.2121212121212119</v>
      </c>
      <c r="S77" s="8" t="str">
        <f t="array" ref="S77">IF(R77&gt;5,"Perlu Sensus",IF(AND(R77&gt;=0,O77&gt;0),"Tetap Deteksi","Belum Deteksi"))</f>
        <v>Perlu Sensus</v>
      </c>
      <c r="T77" s="143">
        <v>118</v>
      </c>
      <c r="U77" s="9">
        <f t="shared" si="14"/>
        <v>17.878787878787879</v>
      </c>
      <c r="V77" s="11">
        <v>46238</v>
      </c>
      <c r="W77" s="143">
        <v>1385</v>
      </c>
      <c r="X77" s="143">
        <v>43</v>
      </c>
      <c r="Y77" s="9">
        <f t="shared" si="15"/>
        <v>3.104693140794224</v>
      </c>
      <c r="Z77" s="8" t="str">
        <f t="array" ref="Z77">IF(Y77&gt;5,"Perlu Sensus",IF(AND(Y77&gt;=0,W77&gt;0),"Tetap Deteksi","Belum Deteksi"))</f>
        <v>Tetap Deteksi</v>
      </c>
      <c r="AA77" s="143">
        <v>318</v>
      </c>
      <c r="AB77" s="9">
        <f t="shared" si="16"/>
        <v>22.960288808664259</v>
      </c>
      <c r="AC77" s="11"/>
      <c r="AD77" s="143"/>
      <c r="AE77" s="9">
        <f t="array" ref="AE77">IFERROR(AD77/$G77*100,0)</f>
        <v>0</v>
      </c>
      <c r="AF77" s="143"/>
      <c r="AG77" s="9">
        <f t="shared" si="17"/>
        <v>0</v>
      </c>
      <c r="AH77" s="8" t="str">
        <f t="array" ref="AH77">IF(AG77&gt;5,"Perlu Sensus",IF(AND(AG77&gt;=0,AD77&gt;0),"Tetap Deteksi","Belum Deteksi"))</f>
        <v>Belum Deteksi</v>
      </c>
      <c r="AI77" s="143"/>
      <c r="AJ77" s="9">
        <f t="shared" si="18"/>
        <v>0</v>
      </c>
      <c r="AK77" s="11"/>
      <c r="AL77" s="143"/>
      <c r="AM77" s="143"/>
      <c r="AN77" s="9">
        <f t="shared" si="19"/>
        <v>0</v>
      </c>
      <c r="AO77" s="8" t="str">
        <f t="array" ref="AO77">IF(AN77&gt;5,"Perlu Sensus",IF(AND(AN77&gt;=0,AL77&gt;0),"Tetap Deteksi","Belum Deteksi"))</f>
        <v>Belum Deteksi</v>
      </c>
      <c r="AP77" s="143"/>
      <c r="AQ77" s="9">
        <f t="shared" si="20"/>
        <v>0</v>
      </c>
    </row>
    <row r="78" spans="1:43" outlineLevel="1" x14ac:dyDescent="0.15">
      <c r="A78" s="8" t="s">
        <v>1821</v>
      </c>
      <c r="B78" s="8"/>
      <c r="C78" s="8" t="s">
        <v>107</v>
      </c>
      <c r="D78" s="186" t="s">
        <v>1356</v>
      </c>
      <c r="E78" s="9">
        <v>25.150000000000002</v>
      </c>
      <c r="F78" s="8" t="s">
        <v>1740</v>
      </c>
      <c r="G78" s="10">
        <v>3391</v>
      </c>
      <c r="H78" s="11">
        <f t="array" ref="H78">IF(OR(N78&gt;0,AC78&gt;0),MAX(N78,AC78),MAX(AK78,V78))</f>
        <v>46246</v>
      </c>
      <c r="I78" s="143">
        <f t="array" ref="I78">IF(SUM(O78,AD78)&gt;0,SUM(O78,AD78),SUM(AL78,W78))</f>
        <v>380</v>
      </c>
      <c r="J78" s="9">
        <f t="shared" si="11"/>
        <v>11.206133883810084</v>
      </c>
      <c r="K78" s="143">
        <f t="shared" si="21"/>
        <v>35</v>
      </c>
      <c r="L78" s="9">
        <f t="shared" si="12"/>
        <v>9.2105263157894726</v>
      </c>
      <c r="M78" s="8" t="str">
        <f t="array" ref="M78">IF(L78&gt;5,"Perlu Sensus",IF(AND(L78&gt;=0,I78&gt;0),"Tetap Deteksi","Belum Deteksi"))</f>
        <v>Perlu Sensus</v>
      </c>
      <c r="N78" s="11">
        <v>46246</v>
      </c>
      <c r="O78" s="143">
        <v>380</v>
      </c>
      <c r="P78" s="9">
        <f t="array" ref="P78">IFERROR(O78/$G78*100,0)</f>
        <v>11.206133883810084</v>
      </c>
      <c r="Q78" s="143">
        <v>35</v>
      </c>
      <c r="R78" s="9">
        <f t="shared" si="13"/>
        <v>9.2105263157894726</v>
      </c>
      <c r="S78" s="8" t="str">
        <f t="array" ref="S78">IF(R78&gt;5,"Perlu Sensus",IF(AND(R78&gt;=0,O78&gt;0),"Tetap Deteksi","Belum Deteksi"))</f>
        <v>Perlu Sensus</v>
      </c>
      <c r="T78" s="143">
        <v>112</v>
      </c>
      <c r="U78" s="9">
        <f t="shared" si="14"/>
        <v>29.473684210526311</v>
      </c>
      <c r="V78" s="11">
        <v>0</v>
      </c>
      <c r="W78" s="143">
        <v>0</v>
      </c>
      <c r="X78" s="143">
        <v>0</v>
      </c>
      <c r="Y78" s="9">
        <f t="shared" si="15"/>
        <v>0</v>
      </c>
      <c r="Z78" s="8" t="str">
        <f t="array" ref="Z78">IF(Y78&gt;5,"Perlu Sensus",IF(AND(Y78&gt;=0,W78&gt;0),"Tetap Deteksi","Belum Deteksi"))</f>
        <v>Belum Deteksi</v>
      </c>
      <c r="AA78" s="143">
        <v>0</v>
      </c>
      <c r="AB78" s="9">
        <f t="shared" si="16"/>
        <v>0</v>
      </c>
      <c r="AC78" s="11"/>
      <c r="AD78" s="143"/>
      <c r="AE78" s="9">
        <f t="array" ref="AE78">IFERROR(AD78/$G78*100,0)</f>
        <v>0</v>
      </c>
      <c r="AF78" s="143"/>
      <c r="AG78" s="9">
        <f t="shared" si="17"/>
        <v>0</v>
      </c>
      <c r="AH78" s="8" t="str">
        <f t="array" ref="AH78">IF(AG78&gt;5,"Perlu Sensus",IF(AND(AG78&gt;=0,AD78&gt;0),"Tetap Deteksi","Belum Deteksi"))</f>
        <v>Belum Deteksi</v>
      </c>
      <c r="AI78" s="143"/>
      <c r="AJ78" s="9">
        <f t="shared" si="18"/>
        <v>0</v>
      </c>
      <c r="AK78" s="11"/>
      <c r="AL78" s="143"/>
      <c r="AM78" s="143"/>
      <c r="AN78" s="9">
        <f t="shared" si="19"/>
        <v>0</v>
      </c>
      <c r="AO78" s="8" t="str">
        <f t="array" ref="AO78">IF(AN78&gt;5,"Perlu Sensus",IF(AND(AN78&gt;=0,AL78&gt;0),"Tetap Deteksi","Belum Deteksi"))</f>
        <v>Belum Deteksi</v>
      </c>
      <c r="AP78" s="143"/>
      <c r="AQ78" s="9">
        <f t="shared" si="20"/>
        <v>0</v>
      </c>
    </row>
    <row r="79" spans="1:43" outlineLevel="1" x14ac:dyDescent="0.15">
      <c r="A79" s="8" t="s">
        <v>1821</v>
      </c>
      <c r="B79" s="8"/>
      <c r="C79" s="8" t="s">
        <v>107</v>
      </c>
      <c r="D79" s="186" t="s">
        <v>1381</v>
      </c>
      <c r="E79" s="9">
        <v>7.22</v>
      </c>
      <c r="F79" s="8" t="s">
        <v>1740</v>
      </c>
      <c r="G79" s="10">
        <v>924</v>
      </c>
      <c r="H79" s="11">
        <f t="array" ref="H79">IF(OR(N79&gt;0,AC79&gt;0),MAX(N79,AC79),MAX(AK79,V79))</f>
        <v>0</v>
      </c>
      <c r="I79" s="143">
        <f t="array" ref="I79">IF(SUM(O79,AD79)&gt;0,SUM(O79,AD79),SUM(AL79,W79))</f>
        <v>0</v>
      </c>
      <c r="J79" s="9" t="str">
        <f t="shared" si="11"/>
        <v xml:space="preserve"> </v>
      </c>
      <c r="K79" s="143">
        <f t="shared" si="21"/>
        <v>0</v>
      </c>
      <c r="L79" s="9">
        <f t="shared" si="12"/>
        <v>0</v>
      </c>
      <c r="M79" s="8" t="str">
        <f t="array" ref="M79">IF(L79&gt;5,"Perlu Sensus",IF(AND(L79&gt;=0,I79&gt;0),"Tetap Deteksi","Belum Deteksi"))</f>
        <v>Belum Deteksi</v>
      </c>
      <c r="N79" s="11">
        <v>0</v>
      </c>
      <c r="O79" s="143">
        <v>0</v>
      </c>
      <c r="P79" s="9">
        <f t="array" ref="P79">IFERROR(O79/$G79*100,0)</f>
        <v>0</v>
      </c>
      <c r="Q79" s="143">
        <v>0</v>
      </c>
      <c r="R79" s="9">
        <f t="shared" si="13"/>
        <v>0</v>
      </c>
      <c r="S79" s="8" t="str">
        <f t="array" ref="S79">IF(R79&gt;5,"Perlu Sensus",IF(AND(R79&gt;=0,O79&gt;0),"Tetap Deteksi","Belum Deteksi"))</f>
        <v>Belum Deteksi</v>
      </c>
      <c r="T79" s="143">
        <v>0</v>
      </c>
      <c r="U79" s="9">
        <f t="shared" si="14"/>
        <v>0</v>
      </c>
      <c r="V79" s="11">
        <v>0</v>
      </c>
      <c r="W79" s="143">
        <v>0</v>
      </c>
      <c r="X79" s="143">
        <v>0</v>
      </c>
      <c r="Y79" s="9">
        <f t="shared" si="15"/>
        <v>0</v>
      </c>
      <c r="Z79" s="8" t="str">
        <f t="array" ref="Z79">IF(Y79&gt;5,"Perlu Sensus",IF(AND(Y79&gt;=0,W79&gt;0),"Tetap Deteksi","Belum Deteksi"))</f>
        <v>Belum Deteksi</v>
      </c>
      <c r="AA79" s="143">
        <v>0</v>
      </c>
      <c r="AB79" s="9">
        <f t="shared" si="16"/>
        <v>0</v>
      </c>
      <c r="AC79" s="11"/>
      <c r="AD79" s="143"/>
      <c r="AE79" s="9">
        <f t="array" ref="AE79">IFERROR(AD79/$G79*100,0)</f>
        <v>0</v>
      </c>
      <c r="AF79" s="143"/>
      <c r="AG79" s="9">
        <f t="shared" si="17"/>
        <v>0</v>
      </c>
      <c r="AH79" s="8" t="str">
        <f t="array" ref="AH79">IF(AG79&gt;5,"Perlu Sensus",IF(AND(AG79&gt;=0,AD79&gt;0),"Tetap Deteksi","Belum Deteksi"))</f>
        <v>Belum Deteksi</v>
      </c>
      <c r="AI79" s="143"/>
      <c r="AJ79" s="9">
        <f t="shared" si="18"/>
        <v>0</v>
      </c>
      <c r="AK79" s="11"/>
      <c r="AL79" s="143"/>
      <c r="AM79" s="143"/>
      <c r="AN79" s="9">
        <f t="shared" si="19"/>
        <v>0</v>
      </c>
      <c r="AO79" s="8" t="str">
        <f t="array" ref="AO79">IF(AN79&gt;5,"Perlu Sensus",IF(AND(AN79&gt;=0,AL79&gt;0),"Tetap Deteksi","Belum Deteksi"))</f>
        <v>Belum Deteksi</v>
      </c>
      <c r="AP79" s="143"/>
      <c r="AQ79" s="9">
        <f t="shared" si="20"/>
        <v>0</v>
      </c>
    </row>
    <row r="80" spans="1:43" outlineLevel="1" x14ac:dyDescent="0.15">
      <c r="A80" s="8" t="s">
        <v>1821</v>
      </c>
      <c r="B80" s="8"/>
      <c r="C80" s="8" t="s">
        <v>107</v>
      </c>
      <c r="D80" s="186" t="s">
        <v>1383</v>
      </c>
      <c r="E80" s="9">
        <v>47.190000000000005</v>
      </c>
      <c r="F80" s="8" t="s">
        <v>1740</v>
      </c>
      <c r="G80" s="10">
        <v>6940</v>
      </c>
      <c r="H80" s="11">
        <f t="array" ref="H80">IF(OR(N80&gt;0,AC80&gt;0),MAX(N80,AC80),MAX(AK80,V80))</f>
        <v>46242</v>
      </c>
      <c r="I80" s="143">
        <f t="array" ref="I80">IF(SUM(O80,AD80)&gt;0,SUM(O80,AD80),SUM(AL80,W80))</f>
        <v>256</v>
      </c>
      <c r="J80" s="9">
        <f t="shared" si="11"/>
        <v>3.6887608069164268</v>
      </c>
      <c r="K80" s="143">
        <f t="shared" si="21"/>
        <v>6</v>
      </c>
      <c r="L80" s="9">
        <f t="shared" si="12"/>
        <v>2.34375</v>
      </c>
      <c r="M80" s="8" t="str">
        <f t="array" ref="M80">IF(L80&gt;5,"Perlu Sensus",IF(AND(L80&gt;=0,I80&gt;0),"Tetap Deteksi","Belum Deteksi"))</f>
        <v>Tetap Deteksi</v>
      </c>
      <c r="N80" s="11">
        <v>46242</v>
      </c>
      <c r="O80" s="143">
        <v>256</v>
      </c>
      <c r="P80" s="9">
        <f t="array" ref="P80">IFERROR(O80/$G80*100,0)</f>
        <v>3.6887608069164268</v>
      </c>
      <c r="Q80" s="143">
        <v>6</v>
      </c>
      <c r="R80" s="9">
        <f t="shared" si="13"/>
        <v>2.34375</v>
      </c>
      <c r="S80" s="8" t="str">
        <f t="array" ref="S80">IF(R80&gt;5,"Perlu Sensus",IF(AND(R80&gt;=0,O80&gt;0),"Tetap Deteksi","Belum Deteksi"))</f>
        <v>Tetap Deteksi</v>
      </c>
      <c r="T80" s="143">
        <v>46</v>
      </c>
      <c r="U80" s="9">
        <f t="shared" si="14"/>
        <v>17.96875</v>
      </c>
      <c r="V80" s="11">
        <v>0</v>
      </c>
      <c r="W80" s="143">
        <v>0</v>
      </c>
      <c r="X80" s="143">
        <v>0</v>
      </c>
      <c r="Y80" s="9">
        <f t="shared" si="15"/>
        <v>0</v>
      </c>
      <c r="Z80" s="8" t="str">
        <f t="array" ref="Z80">IF(Y80&gt;5,"Perlu Sensus",IF(AND(Y80&gt;=0,W80&gt;0),"Tetap Deteksi","Belum Deteksi"))</f>
        <v>Belum Deteksi</v>
      </c>
      <c r="AA80" s="143">
        <v>0</v>
      </c>
      <c r="AB80" s="9">
        <f t="shared" si="16"/>
        <v>0</v>
      </c>
      <c r="AC80" s="11"/>
      <c r="AD80" s="143"/>
      <c r="AE80" s="9">
        <f t="array" ref="AE80">IFERROR(AD80/$G80*100,0)</f>
        <v>0</v>
      </c>
      <c r="AF80" s="143"/>
      <c r="AG80" s="9">
        <f t="shared" si="17"/>
        <v>0</v>
      </c>
      <c r="AH80" s="8" t="str">
        <f t="array" ref="AH80">IF(AG80&gt;5,"Perlu Sensus",IF(AND(AG80&gt;=0,AD80&gt;0),"Tetap Deteksi","Belum Deteksi"))</f>
        <v>Belum Deteksi</v>
      </c>
      <c r="AI80" s="143"/>
      <c r="AJ80" s="9">
        <f t="shared" si="18"/>
        <v>0</v>
      </c>
      <c r="AK80" s="11"/>
      <c r="AL80" s="143"/>
      <c r="AM80" s="143"/>
      <c r="AN80" s="9">
        <f t="shared" si="19"/>
        <v>0</v>
      </c>
      <c r="AO80" s="8" t="str">
        <f t="array" ref="AO80">IF(AN80&gt;5,"Perlu Sensus",IF(AND(AN80&gt;=0,AL80&gt;0),"Tetap Deteksi","Belum Deteksi"))</f>
        <v>Belum Deteksi</v>
      </c>
      <c r="AP80" s="143"/>
      <c r="AQ80" s="9">
        <f t="shared" si="20"/>
        <v>0</v>
      </c>
    </row>
    <row r="81" spans="1:43" outlineLevel="1" x14ac:dyDescent="0.15">
      <c r="A81" s="8" t="s">
        <v>1821</v>
      </c>
      <c r="B81" s="8"/>
      <c r="C81" s="8" t="s">
        <v>107</v>
      </c>
      <c r="D81" s="186" t="s">
        <v>1429</v>
      </c>
      <c r="E81" s="9">
        <v>29.620000000000005</v>
      </c>
      <c r="F81" s="8" t="s">
        <v>1740</v>
      </c>
      <c r="G81" s="10">
        <v>4793</v>
      </c>
      <c r="H81" s="11">
        <f t="array" ref="H81">IF(OR(N81&gt;0,AC81&gt;0),MAX(N81,AC81),MAX(AK81,V81))</f>
        <v>46249</v>
      </c>
      <c r="I81" s="143">
        <f t="array" ref="I81">IF(SUM(O81,AD81)&gt;0,SUM(O81,AD81),SUM(AL81,W81))</f>
        <v>122</v>
      </c>
      <c r="J81" s="9">
        <f t="shared" si="11"/>
        <v>2.5453786772376379</v>
      </c>
      <c r="K81" s="143">
        <f t="shared" si="21"/>
        <v>4</v>
      </c>
      <c r="L81" s="9">
        <f t="shared" si="12"/>
        <v>3.278688524590164</v>
      </c>
      <c r="M81" s="8" t="str">
        <f t="array" ref="M81">IF(L81&gt;5,"Perlu Sensus",IF(AND(L81&gt;=0,I81&gt;0),"Tetap Deteksi","Belum Deteksi"))</f>
        <v>Tetap Deteksi</v>
      </c>
      <c r="N81" s="11">
        <v>46249</v>
      </c>
      <c r="O81" s="143">
        <v>122</v>
      </c>
      <c r="P81" s="9">
        <f t="array" ref="P81">IFERROR(O81/$G81*100,0)</f>
        <v>2.5453786772376379</v>
      </c>
      <c r="Q81" s="143">
        <v>4</v>
      </c>
      <c r="R81" s="9">
        <f t="shared" si="13"/>
        <v>3.278688524590164</v>
      </c>
      <c r="S81" s="8" t="str">
        <f t="array" ref="S81">IF(R81&gt;5,"Perlu Sensus",IF(AND(R81&gt;=0,O81&gt;0),"Tetap Deteksi","Belum Deteksi"))</f>
        <v>Tetap Deteksi</v>
      </c>
      <c r="T81" s="143">
        <v>0</v>
      </c>
      <c r="U81" s="9">
        <f t="shared" si="14"/>
        <v>0</v>
      </c>
      <c r="V81" s="11">
        <v>0</v>
      </c>
      <c r="W81" s="143">
        <v>0</v>
      </c>
      <c r="X81" s="143">
        <v>0</v>
      </c>
      <c r="Y81" s="9">
        <f t="shared" si="15"/>
        <v>0</v>
      </c>
      <c r="Z81" s="8" t="str">
        <f t="array" ref="Z81">IF(Y81&gt;5,"Perlu Sensus",IF(AND(Y81&gt;=0,W81&gt;0),"Tetap Deteksi","Belum Deteksi"))</f>
        <v>Belum Deteksi</v>
      </c>
      <c r="AA81" s="143">
        <v>0</v>
      </c>
      <c r="AB81" s="9">
        <f t="shared" si="16"/>
        <v>0</v>
      </c>
      <c r="AC81" s="11"/>
      <c r="AD81" s="143"/>
      <c r="AE81" s="9">
        <f t="array" ref="AE81">IFERROR(AD81/$G81*100,0)</f>
        <v>0</v>
      </c>
      <c r="AF81" s="143"/>
      <c r="AG81" s="9">
        <f t="shared" si="17"/>
        <v>0</v>
      </c>
      <c r="AH81" s="8" t="str">
        <f t="array" ref="AH81">IF(AG81&gt;5,"Perlu Sensus",IF(AND(AG81&gt;=0,AD81&gt;0),"Tetap Deteksi","Belum Deteksi"))</f>
        <v>Belum Deteksi</v>
      </c>
      <c r="AI81" s="143"/>
      <c r="AJ81" s="9">
        <f t="shared" si="18"/>
        <v>0</v>
      </c>
      <c r="AK81" s="11"/>
      <c r="AL81" s="143"/>
      <c r="AM81" s="143"/>
      <c r="AN81" s="9">
        <f t="shared" si="19"/>
        <v>0</v>
      </c>
      <c r="AO81" s="8" t="str">
        <f t="array" ref="AO81">IF(AN81&gt;5,"Perlu Sensus",IF(AND(AN81&gt;=0,AL81&gt;0),"Tetap Deteksi","Belum Deteksi"))</f>
        <v>Belum Deteksi</v>
      </c>
      <c r="AP81" s="143"/>
      <c r="AQ81" s="9">
        <f t="shared" si="20"/>
        <v>0</v>
      </c>
    </row>
    <row r="82" spans="1:43" outlineLevel="1" x14ac:dyDescent="0.15">
      <c r="A82" s="8" t="s">
        <v>1821</v>
      </c>
      <c r="B82" s="8"/>
      <c r="C82" s="8" t="s">
        <v>107</v>
      </c>
      <c r="D82" s="186" t="s">
        <v>1430</v>
      </c>
      <c r="E82" s="9">
        <v>37.729999999999997</v>
      </c>
      <c r="F82" s="8" t="s">
        <v>1740</v>
      </c>
      <c r="G82" s="10">
        <v>4988</v>
      </c>
      <c r="H82" s="11">
        <f t="array" ref="H82">IF(OR(N82&gt;0,AC82&gt;0),MAX(N82,AC82),MAX(AK82,V82))</f>
        <v>46244</v>
      </c>
      <c r="I82" s="143">
        <f t="array" ref="I82">IF(SUM(O82,AD82)&gt;0,SUM(O82,AD82),SUM(AL82,W82))</f>
        <v>264</v>
      </c>
      <c r="J82" s="9">
        <f t="shared" si="11"/>
        <v>5.292702485966319</v>
      </c>
      <c r="K82" s="143">
        <f t="shared" si="21"/>
        <v>8</v>
      </c>
      <c r="L82" s="9">
        <f t="shared" si="12"/>
        <v>3.0303030303030303</v>
      </c>
      <c r="M82" s="8" t="str">
        <f t="array" ref="M82">IF(L82&gt;5,"Perlu Sensus",IF(AND(L82&gt;=0,I82&gt;0),"Tetap Deteksi","Belum Deteksi"))</f>
        <v>Tetap Deteksi</v>
      </c>
      <c r="N82" s="11">
        <v>46244</v>
      </c>
      <c r="O82" s="143">
        <v>264</v>
      </c>
      <c r="P82" s="9">
        <f t="array" ref="P82">IFERROR(O82/$G82*100,0)</f>
        <v>5.292702485966319</v>
      </c>
      <c r="Q82" s="143">
        <v>8</v>
      </c>
      <c r="R82" s="9">
        <f t="shared" si="13"/>
        <v>3.0303030303030303</v>
      </c>
      <c r="S82" s="8" t="str">
        <f t="array" ref="S82">IF(R82&gt;5,"Perlu Sensus",IF(AND(R82&gt;=0,O82&gt;0),"Tetap Deteksi","Belum Deteksi"))</f>
        <v>Tetap Deteksi</v>
      </c>
      <c r="T82" s="143">
        <v>60</v>
      </c>
      <c r="U82" s="9">
        <f t="shared" si="14"/>
        <v>22.727272727272727</v>
      </c>
      <c r="V82" s="11">
        <v>46244</v>
      </c>
      <c r="W82" s="143">
        <v>1200</v>
      </c>
      <c r="X82" s="143">
        <v>231</v>
      </c>
      <c r="Y82" s="9">
        <f t="shared" si="15"/>
        <v>19.25</v>
      </c>
      <c r="Z82" s="8" t="str">
        <f t="array" ref="Z82">IF(Y82&gt;5,"Perlu Sensus",IF(AND(Y82&gt;=0,W82&gt;0),"Tetap Deteksi","Belum Deteksi"))</f>
        <v>Perlu Sensus</v>
      </c>
      <c r="AA82" s="143">
        <v>432</v>
      </c>
      <c r="AB82" s="9">
        <f t="shared" si="16"/>
        <v>36</v>
      </c>
      <c r="AC82" s="11"/>
      <c r="AD82" s="143"/>
      <c r="AE82" s="9">
        <f t="array" ref="AE82">IFERROR(AD82/$G82*100,0)</f>
        <v>0</v>
      </c>
      <c r="AF82" s="143"/>
      <c r="AG82" s="9">
        <f t="shared" si="17"/>
        <v>0</v>
      </c>
      <c r="AH82" s="8" t="str">
        <f t="array" ref="AH82">IF(AG82&gt;5,"Perlu Sensus",IF(AND(AG82&gt;=0,AD82&gt;0),"Tetap Deteksi","Belum Deteksi"))</f>
        <v>Belum Deteksi</v>
      </c>
      <c r="AI82" s="143"/>
      <c r="AJ82" s="9">
        <f t="shared" si="18"/>
        <v>0</v>
      </c>
      <c r="AK82" s="11"/>
      <c r="AL82" s="143"/>
      <c r="AM82" s="143"/>
      <c r="AN82" s="9">
        <f t="shared" si="19"/>
        <v>0</v>
      </c>
      <c r="AO82" s="8" t="str">
        <f t="array" ref="AO82">IF(AN82&gt;5,"Perlu Sensus",IF(AND(AN82&gt;=0,AL82&gt;0),"Tetap Deteksi","Belum Deteksi"))</f>
        <v>Belum Deteksi</v>
      </c>
      <c r="AP82" s="143"/>
      <c r="AQ82" s="9">
        <f t="shared" si="20"/>
        <v>0</v>
      </c>
    </row>
    <row r="83" spans="1:43" outlineLevel="1" x14ac:dyDescent="0.15">
      <c r="A83" s="8" t="s">
        <v>1821</v>
      </c>
      <c r="B83" s="8"/>
      <c r="C83" s="8" t="s">
        <v>144</v>
      </c>
      <c r="D83" s="186" t="s">
        <v>1784</v>
      </c>
      <c r="E83" s="9">
        <v>23.37</v>
      </c>
      <c r="F83" s="8" t="s">
        <v>1740</v>
      </c>
      <c r="G83" s="10">
        <v>3479</v>
      </c>
      <c r="H83" s="11">
        <f t="array" ref="H83">IF(OR(N83&gt;0,AC83&gt;0),MAX(N83,AC83),MAX(AK83,V83))</f>
        <v>46240</v>
      </c>
      <c r="I83" s="143">
        <f t="array" ref="I83">IF(SUM(O83,AD83)&gt;0,SUM(O83,AD83),SUM(AL83,W83))</f>
        <v>456</v>
      </c>
      <c r="J83" s="9">
        <f t="shared" si="11"/>
        <v>13.107214716872665</v>
      </c>
      <c r="K83" s="143">
        <f t="shared" si="21"/>
        <v>33</v>
      </c>
      <c r="L83" s="9">
        <f t="shared" si="12"/>
        <v>7.2368421052631584</v>
      </c>
      <c r="M83" s="8" t="str">
        <f t="array" ref="M83">IF(L83&gt;5,"Perlu Sensus",IF(AND(L83&gt;=0,I83&gt;0),"Tetap Deteksi","Belum Deteksi"))</f>
        <v>Perlu Sensus</v>
      </c>
      <c r="N83" s="11">
        <v>46240</v>
      </c>
      <c r="O83" s="143">
        <v>456</v>
      </c>
      <c r="P83" s="9">
        <f t="array" ref="P83">IFERROR(O83/$G83*100,0)</f>
        <v>13.107214716872665</v>
      </c>
      <c r="Q83" s="143">
        <v>33</v>
      </c>
      <c r="R83" s="9">
        <f t="shared" si="13"/>
        <v>7.2368421052631584</v>
      </c>
      <c r="S83" s="8" t="str">
        <f t="array" ref="S83">IF(R83&gt;5,"Perlu Sensus",IF(AND(R83&gt;=0,O83&gt;0),"Tetap Deteksi","Belum Deteksi"))</f>
        <v>Perlu Sensus</v>
      </c>
      <c r="T83" s="143">
        <v>45</v>
      </c>
      <c r="U83" s="9">
        <f t="shared" si="14"/>
        <v>9.8684210526315788</v>
      </c>
      <c r="V83" s="11">
        <v>46240</v>
      </c>
      <c r="W83" s="143">
        <v>336</v>
      </c>
      <c r="X83" s="143">
        <v>11</v>
      </c>
      <c r="Y83" s="9">
        <f t="shared" si="15"/>
        <v>3.2738095238095242</v>
      </c>
      <c r="Z83" s="8" t="str">
        <f t="array" ref="Z83">IF(Y83&gt;5,"Perlu Sensus",IF(AND(Y83&gt;=0,W83&gt;0),"Tetap Deteksi","Belum Deteksi"))</f>
        <v>Tetap Deteksi</v>
      </c>
      <c r="AA83" s="143">
        <v>16</v>
      </c>
      <c r="AB83" s="9">
        <f t="shared" si="16"/>
        <v>4.7619047619047619</v>
      </c>
      <c r="AC83" s="11"/>
      <c r="AD83" s="143"/>
      <c r="AE83" s="9">
        <f t="array" ref="AE83">IFERROR(AD83/$G83*100,0)</f>
        <v>0</v>
      </c>
      <c r="AF83" s="143"/>
      <c r="AG83" s="9">
        <f t="shared" si="17"/>
        <v>0</v>
      </c>
      <c r="AH83" s="8" t="str">
        <f t="array" ref="AH83">IF(AG83&gt;5,"Perlu Sensus",IF(AND(AG83&gt;=0,AD83&gt;0),"Tetap Deteksi","Belum Deteksi"))</f>
        <v>Belum Deteksi</v>
      </c>
      <c r="AI83" s="143"/>
      <c r="AJ83" s="9">
        <f t="shared" si="18"/>
        <v>0</v>
      </c>
      <c r="AK83" s="11"/>
      <c r="AL83" s="143"/>
      <c r="AM83" s="143"/>
      <c r="AN83" s="9">
        <f t="shared" si="19"/>
        <v>0</v>
      </c>
      <c r="AO83" s="8" t="str">
        <f t="array" ref="AO83">IF(AN83&gt;5,"Perlu Sensus",IF(AND(AN83&gt;=0,AL83&gt;0),"Tetap Deteksi","Belum Deteksi"))</f>
        <v>Belum Deteksi</v>
      </c>
      <c r="AP83" s="143"/>
      <c r="AQ83" s="9">
        <f t="shared" si="20"/>
        <v>0</v>
      </c>
    </row>
    <row r="84" spans="1:43" outlineLevel="1" x14ac:dyDescent="0.15">
      <c r="A84" s="8" t="s">
        <v>1821</v>
      </c>
      <c r="B84" s="8"/>
      <c r="C84" s="8" t="s">
        <v>144</v>
      </c>
      <c r="D84" s="186" t="s">
        <v>1785</v>
      </c>
      <c r="E84" s="9">
        <v>49.410000000000004</v>
      </c>
      <c r="F84" s="8" t="s">
        <v>1740</v>
      </c>
      <c r="G84" s="10">
        <v>7167</v>
      </c>
      <c r="H84" s="11">
        <f t="array" ref="H84">IF(OR(N84&gt;0,AC84&gt;0),MAX(N84,AC84),MAX(AK84,V84))</f>
        <v>46239</v>
      </c>
      <c r="I84" s="143">
        <f t="array" ref="I84">IF(SUM(O84,AD84)&gt;0,SUM(O84,AD84),SUM(AL84,W84))</f>
        <v>340</v>
      </c>
      <c r="J84" s="9">
        <f t="shared" si="11"/>
        <v>4.7439653969582807</v>
      </c>
      <c r="K84" s="143">
        <f t="shared" si="21"/>
        <v>28</v>
      </c>
      <c r="L84" s="9">
        <f t="shared" si="12"/>
        <v>8.235294117647058</v>
      </c>
      <c r="M84" s="8" t="str">
        <f t="array" ref="M84">IF(L84&gt;5,"Perlu Sensus",IF(AND(L84&gt;=0,I84&gt;0),"Tetap Deteksi","Belum Deteksi"))</f>
        <v>Perlu Sensus</v>
      </c>
      <c r="N84" s="11">
        <v>46239</v>
      </c>
      <c r="O84" s="143">
        <v>340</v>
      </c>
      <c r="P84" s="9">
        <f t="array" ref="P84">IFERROR(O84/$G84*100,0)</f>
        <v>4.7439653969582807</v>
      </c>
      <c r="Q84" s="143">
        <v>28</v>
      </c>
      <c r="R84" s="9">
        <f t="shared" si="13"/>
        <v>8.235294117647058</v>
      </c>
      <c r="S84" s="8" t="str">
        <f t="array" ref="S84">IF(R84&gt;5,"Perlu Sensus",IF(AND(R84&gt;=0,O84&gt;0),"Tetap Deteksi","Belum Deteksi"))</f>
        <v>Perlu Sensus</v>
      </c>
      <c r="T84" s="143">
        <v>38</v>
      </c>
      <c r="U84" s="9">
        <f t="shared" si="14"/>
        <v>11.176470588235295</v>
      </c>
      <c r="V84" s="11">
        <v>46240</v>
      </c>
      <c r="W84" s="143">
        <v>317</v>
      </c>
      <c r="X84" s="143">
        <v>12</v>
      </c>
      <c r="Y84" s="9">
        <f t="shared" si="15"/>
        <v>3.7854889589905363</v>
      </c>
      <c r="Z84" s="8" t="str">
        <f t="array" ref="Z84">IF(Y84&gt;5,"Perlu Sensus",IF(AND(Y84&gt;=0,W84&gt;0),"Tetap Deteksi","Belum Deteksi"))</f>
        <v>Tetap Deteksi</v>
      </c>
      <c r="AA84" s="143">
        <v>19</v>
      </c>
      <c r="AB84" s="9">
        <f t="shared" si="16"/>
        <v>5.9936908517350158</v>
      </c>
      <c r="AC84" s="11"/>
      <c r="AD84" s="143"/>
      <c r="AE84" s="9">
        <f t="array" ref="AE84">IFERROR(AD84/$G84*100,0)</f>
        <v>0</v>
      </c>
      <c r="AF84" s="143"/>
      <c r="AG84" s="9">
        <f t="shared" si="17"/>
        <v>0</v>
      </c>
      <c r="AH84" s="8" t="str">
        <f t="array" ref="AH84">IF(AG84&gt;5,"Perlu Sensus",IF(AND(AG84&gt;=0,AD84&gt;0),"Tetap Deteksi","Belum Deteksi"))</f>
        <v>Belum Deteksi</v>
      </c>
      <c r="AI84" s="143"/>
      <c r="AJ84" s="9">
        <f t="shared" si="18"/>
        <v>0</v>
      </c>
      <c r="AK84" s="11"/>
      <c r="AL84" s="143"/>
      <c r="AM84" s="143"/>
      <c r="AN84" s="9">
        <f t="shared" si="19"/>
        <v>0</v>
      </c>
      <c r="AO84" s="8" t="str">
        <f t="array" ref="AO84">IF(AN84&gt;5,"Perlu Sensus",IF(AND(AN84&gt;=0,AL84&gt;0),"Tetap Deteksi","Belum Deteksi"))</f>
        <v>Belum Deteksi</v>
      </c>
      <c r="AP84" s="143"/>
      <c r="AQ84" s="9">
        <f t="shared" si="20"/>
        <v>0</v>
      </c>
    </row>
    <row r="85" spans="1:43" outlineLevel="1" x14ac:dyDescent="0.15">
      <c r="A85" s="8" t="s">
        <v>1821</v>
      </c>
      <c r="B85" s="8"/>
      <c r="C85" s="8" t="s">
        <v>144</v>
      </c>
      <c r="D85" s="186" t="s">
        <v>1423</v>
      </c>
      <c r="E85" s="9">
        <v>40.069999999999993</v>
      </c>
      <c r="F85" s="8" t="s">
        <v>1740</v>
      </c>
      <c r="G85" s="10">
        <v>5657</v>
      </c>
      <c r="H85" s="11">
        <f t="array" ref="H85">IF(OR(N85&gt;0,AC85&gt;0),MAX(N85,AC85),MAX(AK85,V85))</f>
        <v>46239</v>
      </c>
      <c r="I85" s="143">
        <f t="array" ref="I85">IF(SUM(O85,AD85)&gt;0,SUM(O85,AD85),SUM(AL85,W85))</f>
        <v>468</v>
      </c>
      <c r="J85" s="9">
        <f t="shared" si="11"/>
        <v>8.272936185257203</v>
      </c>
      <c r="K85" s="143">
        <f t="shared" si="21"/>
        <v>22</v>
      </c>
      <c r="L85" s="9">
        <f t="shared" si="12"/>
        <v>4.700854700854701</v>
      </c>
      <c r="M85" s="8" t="str">
        <f t="array" ref="M85">IF(L85&gt;5,"Perlu Sensus",IF(AND(L85&gt;=0,I85&gt;0),"Tetap Deteksi","Belum Deteksi"))</f>
        <v>Tetap Deteksi</v>
      </c>
      <c r="N85" s="11">
        <v>46239</v>
      </c>
      <c r="O85" s="143">
        <v>468</v>
      </c>
      <c r="P85" s="9">
        <f t="array" ref="P85">IFERROR(O85/$G85*100,0)</f>
        <v>8.272936185257203</v>
      </c>
      <c r="Q85" s="143">
        <v>22</v>
      </c>
      <c r="R85" s="9">
        <f t="shared" si="13"/>
        <v>4.700854700854701</v>
      </c>
      <c r="S85" s="8" t="str">
        <f t="array" ref="S85">IF(R85&gt;5,"Perlu Sensus",IF(AND(R85&gt;=0,O85&gt;0),"Tetap Deteksi","Belum Deteksi"))</f>
        <v>Tetap Deteksi</v>
      </c>
      <c r="T85" s="143">
        <v>40</v>
      </c>
      <c r="U85" s="9">
        <f t="shared" si="14"/>
        <v>8.5470085470085468</v>
      </c>
      <c r="V85" s="11">
        <v>46237</v>
      </c>
      <c r="W85" s="143">
        <v>242</v>
      </c>
      <c r="X85" s="143">
        <v>11</v>
      </c>
      <c r="Y85" s="9">
        <f t="shared" si="15"/>
        <v>4.5454545454545459</v>
      </c>
      <c r="Z85" s="8" t="str">
        <f t="array" ref="Z85">IF(Y85&gt;5,"Perlu Sensus",IF(AND(Y85&gt;=0,W85&gt;0),"Tetap Deteksi","Belum Deteksi"))</f>
        <v>Tetap Deteksi</v>
      </c>
      <c r="AA85" s="143">
        <v>32</v>
      </c>
      <c r="AB85" s="9">
        <f t="shared" si="16"/>
        <v>13.223140495867769</v>
      </c>
      <c r="AC85" s="11"/>
      <c r="AD85" s="143"/>
      <c r="AE85" s="9">
        <f t="array" ref="AE85">IFERROR(AD85/$G85*100,0)</f>
        <v>0</v>
      </c>
      <c r="AF85" s="143"/>
      <c r="AG85" s="9">
        <f t="shared" si="17"/>
        <v>0</v>
      </c>
      <c r="AH85" s="8" t="str">
        <f t="array" ref="AH85">IF(AG85&gt;5,"Perlu Sensus",IF(AND(AG85&gt;=0,AD85&gt;0),"Tetap Deteksi","Belum Deteksi"))</f>
        <v>Belum Deteksi</v>
      </c>
      <c r="AI85" s="143"/>
      <c r="AJ85" s="9">
        <f t="shared" si="18"/>
        <v>0</v>
      </c>
      <c r="AK85" s="11"/>
      <c r="AL85" s="143"/>
      <c r="AM85" s="143"/>
      <c r="AN85" s="9">
        <f t="shared" si="19"/>
        <v>0</v>
      </c>
      <c r="AO85" s="8" t="str">
        <f t="array" ref="AO85">IF(AN85&gt;5,"Perlu Sensus",IF(AND(AN85&gt;=0,AL85&gt;0),"Tetap Deteksi","Belum Deteksi"))</f>
        <v>Belum Deteksi</v>
      </c>
      <c r="AP85" s="143"/>
      <c r="AQ85" s="9">
        <f t="shared" si="20"/>
        <v>0</v>
      </c>
    </row>
    <row r="86" spans="1:43" outlineLevel="1" x14ac:dyDescent="0.15">
      <c r="A86" s="8" t="s">
        <v>1821</v>
      </c>
      <c r="B86" s="8"/>
      <c r="C86" s="8" t="s">
        <v>144</v>
      </c>
      <c r="D86" s="186" t="s">
        <v>1424</v>
      </c>
      <c r="E86" s="9">
        <v>40.770000000000003</v>
      </c>
      <c r="F86" s="8" t="s">
        <v>1823</v>
      </c>
      <c r="G86" s="10">
        <v>6004</v>
      </c>
      <c r="H86" s="11">
        <f t="array" ref="H86">IF(OR(N86&gt;0,AC86&gt;0),MAX(N86,AC86),MAX(AK86,V86))</f>
        <v>46238</v>
      </c>
      <c r="I86" s="143">
        <f t="array" ref="I86">IF(SUM(O86,AD86)&gt;0,SUM(O86,AD86),SUM(AL86,W86))</f>
        <v>346</v>
      </c>
      <c r="J86" s="9">
        <f t="shared" si="11"/>
        <v>5.762824783477682</v>
      </c>
      <c r="K86" s="143">
        <f t="shared" si="21"/>
        <v>24</v>
      </c>
      <c r="L86" s="9">
        <f t="shared" si="12"/>
        <v>6.9364161849710975</v>
      </c>
      <c r="M86" s="8" t="str">
        <f t="array" ref="M86">IF(L86&gt;5,"Perlu Sensus",IF(AND(L86&gt;=0,I86&gt;0),"Tetap Deteksi","Belum Deteksi"))</f>
        <v>Perlu Sensus</v>
      </c>
      <c r="N86" s="11">
        <v>46238</v>
      </c>
      <c r="O86" s="143">
        <v>346</v>
      </c>
      <c r="P86" s="9">
        <f t="array" ref="P86">IFERROR(O86/$G86*100,0)</f>
        <v>5.762824783477682</v>
      </c>
      <c r="Q86" s="143">
        <v>24</v>
      </c>
      <c r="R86" s="9">
        <f t="shared" si="13"/>
        <v>6.9364161849710975</v>
      </c>
      <c r="S86" s="8" t="str">
        <f t="array" ref="S86">IF(R86&gt;5,"Perlu Sensus",IF(AND(R86&gt;=0,O86&gt;0),"Tetap Deteksi","Belum Deteksi"))</f>
        <v>Perlu Sensus</v>
      </c>
      <c r="T86" s="143">
        <v>29</v>
      </c>
      <c r="U86" s="9">
        <f t="shared" si="14"/>
        <v>8.3815028901734099</v>
      </c>
      <c r="V86" s="11">
        <v>46237</v>
      </c>
      <c r="W86" s="143">
        <v>198</v>
      </c>
      <c r="X86" s="143">
        <v>24</v>
      </c>
      <c r="Y86" s="9">
        <f t="shared" si="15"/>
        <v>12.121212121212121</v>
      </c>
      <c r="Z86" s="8" t="str">
        <f t="array" ref="Z86">IF(Y86&gt;5,"Perlu Sensus",IF(AND(Y86&gt;=0,W86&gt;0),"Tetap Deteksi","Belum Deteksi"))</f>
        <v>Perlu Sensus</v>
      </c>
      <c r="AA86" s="143">
        <v>42</v>
      </c>
      <c r="AB86" s="9">
        <f t="shared" si="16"/>
        <v>21.212121212121211</v>
      </c>
      <c r="AC86" s="11"/>
      <c r="AD86" s="143"/>
      <c r="AE86" s="9">
        <f t="array" ref="AE86">IFERROR(AD86/$G86*100,0)</f>
        <v>0</v>
      </c>
      <c r="AF86" s="143"/>
      <c r="AG86" s="9">
        <f t="shared" si="17"/>
        <v>0</v>
      </c>
      <c r="AH86" s="8" t="str">
        <f t="array" ref="AH86">IF(AG86&gt;5,"Perlu Sensus",IF(AND(AG86&gt;=0,AD86&gt;0),"Tetap Deteksi","Belum Deteksi"))</f>
        <v>Belum Deteksi</v>
      </c>
      <c r="AI86" s="143"/>
      <c r="AJ86" s="9">
        <f t="shared" si="18"/>
        <v>0</v>
      </c>
      <c r="AK86" s="11"/>
      <c r="AL86" s="143"/>
      <c r="AM86" s="143"/>
      <c r="AN86" s="9">
        <f t="shared" si="19"/>
        <v>0</v>
      </c>
      <c r="AO86" s="8" t="str">
        <f t="array" ref="AO86">IF(AN86&gt;5,"Perlu Sensus",IF(AND(AN86&gt;=0,AL86&gt;0),"Tetap Deteksi","Belum Deteksi"))</f>
        <v>Belum Deteksi</v>
      </c>
      <c r="AP86" s="143"/>
      <c r="AQ86" s="9">
        <f t="shared" si="20"/>
        <v>0</v>
      </c>
    </row>
    <row r="87" spans="1:43" outlineLevel="1" x14ac:dyDescent="0.15">
      <c r="A87" s="8" t="s">
        <v>1821</v>
      </c>
      <c r="B87" s="8"/>
      <c r="C87" s="8" t="s">
        <v>144</v>
      </c>
      <c r="D87" s="186" t="s">
        <v>1425</v>
      </c>
      <c r="E87" s="9">
        <v>23.82</v>
      </c>
      <c r="F87" s="8" t="s">
        <v>1823</v>
      </c>
      <c r="G87" s="10">
        <v>3247.0000000000005</v>
      </c>
      <c r="H87" s="11">
        <f t="array" ref="H87">IF(OR(N87&gt;0,AC87&gt;0),MAX(N87,AC87),MAX(AK87,V87))</f>
        <v>46238</v>
      </c>
      <c r="I87" s="143">
        <f t="array" ref="I87">IF(SUM(O87,AD87)&gt;0,SUM(O87,AD87),SUM(AL87,W87))</f>
        <v>458</v>
      </c>
      <c r="J87" s="9">
        <f t="shared" si="11"/>
        <v>14.105327995072372</v>
      </c>
      <c r="K87" s="143">
        <f t="shared" si="21"/>
        <v>18</v>
      </c>
      <c r="L87" s="9">
        <f t="shared" si="12"/>
        <v>3.9301310043668125</v>
      </c>
      <c r="M87" s="8" t="str">
        <f t="array" ref="M87">IF(L87&gt;5,"Perlu Sensus",IF(AND(L87&gt;=0,I87&gt;0),"Tetap Deteksi","Belum Deteksi"))</f>
        <v>Tetap Deteksi</v>
      </c>
      <c r="N87" s="11">
        <v>46238</v>
      </c>
      <c r="O87" s="143">
        <v>458</v>
      </c>
      <c r="P87" s="9">
        <f t="array" ref="P87">IFERROR(O87/$G87*100,0)</f>
        <v>14.105327995072372</v>
      </c>
      <c r="Q87" s="143">
        <v>18</v>
      </c>
      <c r="R87" s="9">
        <f t="shared" si="13"/>
        <v>3.9301310043668125</v>
      </c>
      <c r="S87" s="8" t="str">
        <f t="array" ref="S87">IF(R87&gt;5,"Perlu Sensus",IF(AND(R87&gt;=0,O87&gt;0),"Tetap Deteksi","Belum Deteksi"))</f>
        <v>Tetap Deteksi</v>
      </c>
      <c r="T87" s="143">
        <v>33</v>
      </c>
      <c r="U87" s="9">
        <f t="shared" si="14"/>
        <v>7.2052401746724897</v>
      </c>
      <c r="V87" s="11">
        <v>46237</v>
      </c>
      <c r="W87" s="143">
        <v>230</v>
      </c>
      <c r="X87" s="143">
        <v>28</v>
      </c>
      <c r="Y87" s="9">
        <f t="shared" si="15"/>
        <v>12.173913043478262</v>
      </c>
      <c r="Z87" s="8" t="str">
        <f t="array" ref="Z87">IF(Y87&gt;5,"Perlu Sensus",IF(AND(Y87&gt;=0,W87&gt;0),"Tetap Deteksi","Belum Deteksi"))</f>
        <v>Perlu Sensus</v>
      </c>
      <c r="AA87" s="143">
        <v>48</v>
      </c>
      <c r="AB87" s="9">
        <f t="shared" si="16"/>
        <v>20.869565217391305</v>
      </c>
      <c r="AC87" s="11"/>
      <c r="AD87" s="143"/>
      <c r="AE87" s="9">
        <f t="array" ref="AE87">IFERROR(AD87/$G87*100,0)</f>
        <v>0</v>
      </c>
      <c r="AF87" s="143"/>
      <c r="AG87" s="9">
        <f t="shared" si="17"/>
        <v>0</v>
      </c>
      <c r="AH87" s="8" t="str">
        <f t="array" ref="AH87">IF(AG87&gt;5,"Perlu Sensus",IF(AND(AG87&gt;=0,AD87&gt;0),"Tetap Deteksi","Belum Deteksi"))</f>
        <v>Belum Deteksi</v>
      </c>
      <c r="AI87" s="143"/>
      <c r="AJ87" s="9">
        <f t="shared" si="18"/>
        <v>0</v>
      </c>
      <c r="AK87" s="11"/>
      <c r="AL87" s="143"/>
      <c r="AM87" s="143"/>
      <c r="AN87" s="9">
        <f t="shared" si="19"/>
        <v>0</v>
      </c>
      <c r="AO87" s="8" t="str">
        <f t="array" ref="AO87">IF(AN87&gt;5,"Perlu Sensus",IF(AND(AN87&gt;=0,AL87&gt;0),"Tetap Deteksi","Belum Deteksi"))</f>
        <v>Belum Deteksi</v>
      </c>
      <c r="AP87" s="143"/>
      <c r="AQ87" s="9">
        <f t="shared" si="20"/>
        <v>0</v>
      </c>
    </row>
    <row r="88" spans="1:43" outlineLevel="1" x14ac:dyDescent="0.15">
      <c r="A88" s="8" t="s">
        <v>1821</v>
      </c>
      <c r="B88" s="8"/>
      <c r="C88" s="8" t="s">
        <v>144</v>
      </c>
      <c r="D88" s="186" t="s">
        <v>1427</v>
      </c>
      <c r="E88" s="9">
        <v>21.45</v>
      </c>
      <c r="F88" s="8" t="s">
        <v>1740</v>
      </c>
      <c r="G88" s="10">
        <v>3543</v>
      </c>
      <c r="H88" s="11">
        <f t="array" ref="H88">IF(OR(N88&gt;0,AC88&gt;0),MAX(N88,AC88),MAX(AK88,V88))</f>
        <v>46249</v>
      </c>
      <c r="I88" s="143">
        <f t="array" ref="I88">IF(SUM(O88,AD88)&gt;0,SUM(O88,AD88),SUM(AL88,W88))</f>
        <v>422</v>
      </c>
      <c r="J88" s="9">
        <f t="shared" si="11"/>
        <v>11.910810047981936</v>
      </c>
      <c r="K88" s="143">
        <f t="shared" si="21"/>
        <v>12</v>
      </c>
      <c r="L88" s="9">
        <f t="shared" si="12"/>
        <v>2.8436018957345972</v>
      </c>
      <c r="M88" s="8" t="str">
        <f t="array" ref="M88">IF(L88&gt;5,"Perlu Sensus",IF(AND(L88&gt;=0,I88&gt;0),"Tetap Deteksi","Belum Deteksi"))</f>
        <v>Tetap Deteksi</v>
      </c>
      <c r="N88" s="11">
        <v>46249</v>
      </c>
      <c r="O88" s="143">
        <v>422</v>
      </c>
      <c r="P88" s="9">
        <f t="array" ref="P88">IFERROR(O88/$G88*100,0)</f>
        <v>11.910810047981936</v>
      </c>
      <c r="Q88" s="143">
        <v>12</v>
      </c>
      <c r="R88" s="9">
        <f t="shared" si="13"/>
        <v>2.8436018957345972</v>
      </c>
      <c r="S88" s="8" t="str">
        <f t="array" ref="S88">IF(R88&gt;5,"Perlu Sensus",IF(AND(R88&gt;=0,O88&gt;0),"Tetap Deteksi","Belum Deteksi"))</f>
        <v>Tetap Deteksi</v>
      </c>
      <c r="T88" s="143">
        <v>0</v>
      </c>
      <c r="U88" s="9">
        <f t="shared" si="14"/>
        <v>0</v>
      </c>
      <c r="V88" s="11">
        <v>0</v>
      </c>
      <c r="W88" s="143">
        <v>0</v>
      </c>
      <c r="X88" s="143">
        <v>0</v>
      </c>
      <c r="Y88" s="9">
        <f t="shared" si="15"/>
        <v>0</v>
      </c>
      <c r="Z88" s="8" t="str">
        <f t="array" ref="Z88">IF(Y88&gt;5,"Perlu Sensus",IF(AND(Y88&gt;=0,W88&gt;0),"Tetap Deteksi","Belum Deteksi"))</f>
        <v>Belum Deteksi</v>
      </c>
      <c r="AA88" s="143">
        <v>0</v>
      </c>
      <c r="AB88" s="9">
        <f t="shared" si="16"/>
        <v>0</v>
      </c>
      <c r="AC88" s="11"/>
      <c r="AD88" s="143"/>
      <c r="AE88" s="9">
        <f t="array" ref="AE88">IFERROR(AD88/$G88*100,0)</f>
        <v>0</v>
      </c>
      <c r="AF88" s="143"/>
      <c r="AG88" s="9">
        <f t="shared" si="17"/>
        <v>0</v>
      </c>
      <c r="AH88" s="8" t="str">
        <f t="array" ref="AH88">IF(AG88&gt;5,"Perlu Sensus",IF(AND(AG88&gt;=0,AD88&gt;0),"Tetap Deteksi","Belum Deteksi"))</f>
        <v>Belum Deteksi</v>
      </c>
      <c r="AI88" s="143"/>
      <c r="AJ88" s="9">
        <f t="shared" si="18"/>
        <v>0</v>
      </c>
      <c r="AK88" s="11"/>
      <c r="AL88" s="143"/>
      <c r="AM88" s="143"/>
      <c r="AN88" s="9">
        <f t="shared" si="19"/>
        <v>0</v>
      </c>
      <c r="AO88" s="8" t="str">
        <f t="array" ref="AO88">IF(AN88&gt;5,"Perlu Sensus",IF(AND(AN88&gt;=0,AL88&gt;0),"Tetap Deteksi","Belum Deteksi"))</f>
        <v>Belum Deteksi</v>
      </c>
      <c r="AP88" s="143"/>
      <c r="AQ88" s="9">
        <f t="shared" si="20"/>
        <v>0</v>
      </c>
    </row>
    <row r="89" spans="1:43" outlineLevel="1" x14ac:dyDescent="0.15">
      <c r="A89" s="8" t="s">
        <v>1821</v>
      </c>
      <c r="B89" s="8"/>
      <c r="C89" s="8" t="s">
        <v>144</v>
      </c>
      <c r="D89" s="181" t="s">
        <v>1834</v>
      </c>
      <c r="E89" s="9">
        <v>33.28</v>
      </c>
      <c r="F89" s="8" t="s">
        <v>1740</v>
      </c>
      <c r="G89" s="10">
        <v>3770.9999999999995</v>
      </c>
      <c r="H89" s="11">
        <f t="array" ref="H89">IF(OR(N89&gt;0,AC89&gt;0),MAX(N89,AC89),MAX(AK89,V89))</f>
        <v>46240</v>
      </c>
      <c r="I89" s="143">
        <f t="array" ref="I89">IF(SUM(O89,AD89)&gt;0,SUM(O89,AD89),SUM(AL89,W89))</f>
        <v>472</v>
      </c>
      <c r="J89" s="9">
        <f t="shared" si="11"/>
        <v>12.516573853089369</v>
      </c>
      <c r="K89" s="143">
        <f t="shared" si="21"/>
        <v>24</v>
      </c>
      <c r="L89" s="9">
        <f t="shared" si="12"/>
        <v>5.0847457627118651</v>
      </c>
      <c r="M89" s="8" t="str">
        <f t="array" ref="M89">IF(L89&gt;5,"Perlu Sensus",IF(AND(L89&gt;=0,I89&gt;0),"Tetap Deteksi","Belum Deteksi"))</f>
        <v>Perlu Sensus</v>
      </c>
      <c r="N89" s="11">
        <v>46240</v>
      </c>
      <c r="O89" s="143">
        <v>472</v>
      </c>
      <c r="P89" s="9">
        <f t="array" ref="P89">IFERROR(O89/$G89*100,0)</f>
        <v>12.516573853089369</v>
      </c>
      <c r="Q89" s="143">
        <v>24</v>
      </c>
      <c r="R89" s="9">
        <f t="shared" si="13"/>
        <v>5.0847457627118651</v>
      </c>
      <c r="S89" s="8" t="str">
        <f t="array" ref="S89">IF(R89&gt;5,"Perlu Sensus",IF(AND(R89&gt;=0,O89&gt;0),"Tetap Deteksi","Belum Deteksi"))</f>
        <v>Perlu Sensus</v>
      </c>
      <c r="T89" s="143">
        <v>46</v>
      </c>
      <c r="U89" s="9">
        <f t="shared" si="14"/>
        <v>9.7457627118644066</v>
      </c>
      <c r="V89" s="11">
        <v>46239</v>
      </c>
      <c r="W89" s="143">
        <v>325</v>
      </c>
      <c r="X89" s="143">
        <v>15</v>
      </c>
      <c r="Y89" s="9">
        <f t="shared" si="15"/>
        <v>4.6153846153846159</v>
      </c>
      <c r="Z89" s="8" t="str">
        <f t="array" ref="Z89">IF(Y89&gt;5,"Perlu Sensus",IF(AND(Y89&gt;=0,W89&gt;0),"Tetap Deteksi","Belum Deteksi"))</f>
        <v>Tetap Deteksi</v>
      </c>
      <c r="AA89" s="143">
        <v>22</v>
      </c>
      <c r="AB89" s="9">
        <f t="shared" si="16"/>
        <v>6.7692307692307692</v>
      </c>
      <c r="AC89" s="11"/>
      <c r="AD89" s="143"/>
      <c r="AE89" s="9">
        <f t="array" ref="AE89">IFERROR(AD89/$G89*100,0)</f>
        <v>0</v>
      </c>
      <c r="AF89" s="143"/>
      <c r="AG89" s="9">
        <f t="shared" si="17"/>
        <v>0</v>
      </c>
      <c r="AH89" s="8" t="str">
        <f t="array" ref="AH89">IF(AG89&gt;5,"Perlu Sensus",IF(AND(AG89&gt;=0,AD89&gt;0),"Tetap Deteksi","Belum Deteksi"))</f>
        <v>Belum Deteksi</v>
      </c>
      <c r="AI89" s="143"/>
      <c r="AJ89" s="9">
        <f t="shared" si="18"/>
        <v>0</v>
      </c>
      <c r="AK89" s="11"/>
      <c r="AL89" s="143"/>
      <c r="AM89" s="143"/>
      <c r="AN89" s="9">
        <f t="shared" si="19"/>
        <v>0</v>
      </c>
      <c r="AO89" s="8" t="str">
        <f t="array" ref="AO89">IF(AN89&gt;5,"Perlu Sensus",IF(AND(AN89&gt;=0,AL89&gt;0),"Tetap Deteksi","Belum Deteksi"))</f>
        <v>Belum Deteksi</v>
      </c>
      <c r="AP89" s="143"/>
      <c r="AQ89" s="9">
        <f t="shared" si="20"/>
        <v>0</v>
      </c>
    </row>
    <row r="90" spans="1:43" outlineLevel="1" x14ac:dyDescent="0.15">
      <c r="A90" s="8" t="s">
        <v>1821</v>
      </c>
      <c r="B90" s="8"/>
      <c r="C90" s="8" t="s">
        <v>144</v>
      </c>
      <c r="D90" s="186" t="s">
        <v>1431</v>
      </c>
      <c r="E90" s="9">
        <v>36.799999999999997</v>
      </c>
      <c r="F90" s="8" t="s">
        <v>1740</v>
      </c>
      <c r="G90" s="10">
        <v>4785</v>
      </c>
      <c r="H90" s="11">
        <f t="array" ref="H90">IF(OR(N90&gt;0,AC90&gt;0),MAX(N90,AC90),MAX(AK90,V90))</f>
        <v>46238</v>
      </c>
      <c r="I90" s="143">
        <f t="array" ref="I90">IF(SUM(O90,AD90)&gt;0,SUM(O90,AD90),SUM(AL90,W90))</f>
        <v>352</v>
      </c>
      <c r="J90" s="9">
        <f t="shared" si="11"/>
        <v>7.3563218390804597</v>
      </c>
      <c r="K90" s="143">
        <f t="shared" si="21"/>
        <v>19</v>
      </c>
      <c r="L90" s="9">
        <f t="shared" si="12"/>
        <v>5.3977272727272725</v>
      </c>
      <c r="M90" s="8" t="str">
        <f t="array" ref="M90">IF(L90&gt;5,"Perlu Sensus",IF(AND(L90&gt;=0,I90&gt;0),"Tetap Deteksi","Belum Deteksi"))</f>
        <v>Perlu Sensus</v>
      </c>
      <c r="N90" s="11">
        <v>46238</v>
      </c>
      <c r="O90" s="143">
        <v>352</v>
      </c>
      <c r="P90" s="9">
        <f t="array" ref="P90">IFERROR(O90/$G90*100,0)</f>
        <v>7.3563218390804597</v>
      </c>
      <c r="Q90" s="143">
        <v>19</v>
      </c>
      <c r="R90" s="9">
        <f t="shared" si="13"/>
        <v>5.3977272727272725</v>
      </c>
      <c r="S90" s="8" t="str">
        <f t="array" ref="S90">IF(R90&gt;5,"Perlu Sensus",IF(AND(R90&gt;=0,O90&gt;0),"Tetap Deteksi","Belum Deteksi"))</f>
        <v>Perlu Sensus</v>
      </c>
      <c r="T90" s="143">
        <v>31</v>
      </c>
      <c r="U90" s="9">
        <f t="shared" si="14"/>
        <v>8.8068181818181817</v>
      </c>
      <c r="V90" s="11">
        <v>46239</v>
      </c>
      <c r="W90" s="143">
        <v>267</v>
      </c>
      <c r="X90" s="143">
        <v>15</v>
      </c>
      <c r="Y90" s="9">
        <f t="shared" si="15"/>
        <v>5.6179775280898872</v>
      </c>
      <c r="Z90" s="8" t="str">
        <f t="array" ref="Z90">IF(Y90&gt;5,"Perlu Sensus",IF(AND(Y90&gt;=0,W90&gt;0),"Tetap Deteksi","Belum Deteksi"))</f>
        <v>Perlu Sensus</v>
      </c>
      <c r="AA90" s="143">
        <v>18</v>
      </c>
      <c r="AB90" s="9">
        <f t="shared" si="16"/>
        <v>6.7415730337078648</v>
      </c>
      <c r="AC90" s="11"/>
      <c r="AD90" s="143"/>
      <c r="AE90" s="9">
        <f t="array" ref="AE90">IFERROR(AD90/$G90*100,0)</f>
        <v>0</v>
      </c>
      <c r="AF90" s="143"/>
      <c r="AG90" s="9">
        <f t="shared" si="17"/>
        <v>0</v>
      </c>
      <c r="AH90" s="8" t="str">
        <f t="array" ref="AH90">IF(AG90&gt;5,"Perlu Sensus",IF(AND(AG90&gt;=0,AD90&gt;0),"Tetap Deteksi","Belum Deteksi"))</f>
        <v>Belum Deteksi</v>
      </c>
      <c r="AI90" s="143"/>
      <c r="AJ90" s="9">
        <f t="shared" si="18"/>
        <v>0</v>
      </c>
      <c r="AK90" s="11"/>
      <c r="AL90" s="143"/>
      <c r="AM90" s="143"/>
      <c r="AN90" s="9">
        <f t="shared" si="19"/>
        <v>0</v>
      </c>
      <c r="AO90" s="8" t="str">
        <f t="array" ref="AO90">IF(AN90&gt;5,"Perlu Sensus",IF(AND(AN90&gt;=0,AL90&gt;0),"Tetap Deteksi","Belum Deteksi"))</f>
        <v>Belum Deteksi</v>
      </c>
      <c r="AP90" s="143"/>
      <c r="AQ90" s="9">
        <f t="shared" si="20"/>
        <v>0</v>
      </c>
    </row>
    <row r="91" spans="1:43" outlineLevel="1" x14ac:dyDescent="0.15">
      <c r="A91" s="8" t="s">
        <v>1821</v>
      </c>
      <c r="B91" s="8"/>
      <c r="C91" s="8" t="s">
        <v>144</v>
      </c>
      <c r="D91" s="186" t="s">
        <v>1432</v>
      </c>
      <c r="E91" s="9">
        <v>26.93</v>
      </c>
      <c r="F91" s="8" t="s">
        <v>1823</v>
      </c>
      <c r="G91" s="10">
        <v>4041.9999999999995</v>
      </c>
      <c r="H91" s="11">
        <f t="array" ref="H91">IF(OR(N91&gt;0,AC91&gt;0),MAX(N91,AC91),MAX(AK91,V91))</f>
        <v>46240</v>
      </c>
      <c r="I91" s="143">
        <f t="array" ref="I91">IF(SUM(O91,AD91)&gt;0,SUM(O91,AD91),SUM(AL91,W91))</f>
        <v>342</v>
      </c>
      <c r="J91" s="9">
        <f t="shared" si="11"/>
        <v>8.4611578426521525</v>
      </c>
      <c r="K91" s="143">
        <f t="shared" si="21"/>
        <v>20</v>
      </c>
      <c r="L91" s="9">
        <f t="shared" si="12"/>
        <v>5.8479532163742682</v>
      </c>
      <c r="M91" s="8" t="str">
        <f t="array" ref="M91">IF(L91&gt;5,"Perlu Sensus",IF(AND(L91&gt;=0,I91&gt;0),"Tetap Deteksi","Belum Deteksi"))</f>
        <v>Perlu Sensus</v>
      </c>
      <c r="N91" s="11">
        <v>46240</v>
      </c>
      <c r="O91" s="143">
        <v>342</v>
      </c>
      <c r="P91" s="9">
        <f t="array" ref="P91">IFERROR(O91/$G91*100,0)</f>
        <v>8.4611578426521525</v>
      </c>
      <c r="Q91" s="143">
        <v>20</v>
      </c>
      <c r="R91" s="9">
        <f t="shared" si="13"/>
        <v>5.8479532163742682</v>
      </c>
      <c r="S91" s="8" t="str">
        <f t="array" ref="S91">IF(R91&gt;5,"Perlu Sensus",IF(AND(R91&gt;=0,O91&gt;0),"Tetap Deteksi","Belum Deteksi"))</f>
        <v>Perlu Sensus</v>
      </c>
      <c r="T91" s="143">
        <v>29</v>
      </c>
      <c r="U91" s="9">
        <f t="shared" si="14"/>
        <v>8.4795321637426895</v>
      </c>
      <c r="V91" s="11">
        <v>46241</v>
      </c>
      <c r="W91" s="143">
        <v>197</v>
      </c>
      <c r="X91" s="143">
        <v>20</v>
      </c>
      <c r="Y91" s="9">
        <f t="shared" si="15"/>
        <v>10.152284263959391</v>
      </c>
      <c r="Z91" s="8" t="str">
        <f t="array" ref="Z91">IF(Y91&gt;5,"Perlu Sensus",IF(AND(Y91&gt;=0,W91&gt;0),"Tetap Deteksi","Belum Deteksi"))</f>
        <v>Perlu Sensus</v>
      </c>
      <c r="AA91" s="143">
        <v>42</v>
      </c>
      <c r="AB91" s="9">
        <f t="shared" si="16"/>
        <v>21.319796954314722</v>
      </c>
      <c r="AC91" s="11"/>
      <c r="AD91" s="143"/>
      <c r="AE91" s="9">
        <f t="array" ref="AE91">IFERROR(AD91/$G91*100,0)</f>
        <v>0</v>
      </c>
      <c r="AF91" s="143"/>
      <c r="AG91" s="9">
        <f t="shared" si="17"/>
        <v>0</v>
      </c>
      <c r="AH91" s="8" t="str">
        <f t="array" ref="AH91">IF(AG91&gt;5,"Perlu Sensus",IF(AND(AG91&gt;=0,AD91&gt;0),"Tetap Deteksi","Belum Deteksi"))</f>
        <v>Belum Deteksi</v>
      </c>
      <c r="AI91" s="143"/>
      <c r="AJ91" s="9">
        <f t="shared" si="18"/>
        <v>0</v>
      </c>
      <c r="AK91" s="11"/>
      <c r="AL91" s="143"/>
      <c r="AM91" s="143"/>
      <c r="AN91" s="9">
        <f t="shared" si="19"/>
        <v>0</v>
      </c>
      <c r="AO91" s="8" t="str">
        <f t="array" ref="AO91">IF(AN91&gt;5,"Perlu Sensus",IF(AND(AN91&gt;=0,AL91&gt;0),"Tetap Deteksi","Belum Deteksi"))</f>
        <v>Belum Deteksi</v>
      </c>
      <c r="AP91" s="143"/>
      <c r="AQ91" s="9">
        <f t="shared" si="20"/>
        <v>0</v>
      </c>
    </row>
    <row r="92" spans="1:43" outlineLevel="1" x14ac:dyDescent="0.15">
      <c r="A92" s="8" t="s">
        <v>1821</v>
      </c>
      <c r="B92" s="8"/>
      <c r="C92" s="8" t="s">
        <v>144</v>
      </c>
      <c r="D92" s="186" t="s">
        <v>1835</v>
      </c>
      <c r="E92" s="9">
        <v>31.19</v>
      </c>
      <c r="F92" s="8" t="s">
        <v>1740</v>
      </c>
      <c r="G92" s="10">
        <v>4924</v>
      </c>
      <c r="H92" s="11">
        <f t="array" ref="H92">IF(OR(N92&gt;0,AC92&gt;0),MAX(N92,AC92),MAX(AK92,V92))</f>
        <v>46241</v>
      </c>
      <c r="I92" s="143">
        <f t="array" ref="I92">IF(SUM(O92,AD92)&gt;0,SUM(O92,AD92),SUM(AL92,W92))</f>
        <v>450</v>
      </c>
      <c r="J92" s="9">
        <f t="shared" si="11"/>
        <v>9.1389114541023559</v>
      </c>
      <c r="K92" s="143">
        <f t="shared" si="21"/>
        <v>23</v>
      </c>
      <c r="L92" s="9">
        <f t="shared" si="12"/>
        <v>5.1111111111111116</v>
      </c>
      <c r="M92" s="8" t="str">
        <f t="array" ref="M92">IF(L92&gt;5,"Perlu Sensus",IF(AND(L92&gt;=0,I92&gt;0),"Tetap Deteksi","Belum Deteksi"))</f>
        <v>Perlu Sensus</v>
      </c>
      <c r="N92" s="11">
        <v>46241</v>
      </c>
      <c r="O92" s="143">
        <v>450</v>
      </c>
      <c r="P92" s="9">
        <f t="array" ref="P92">IFERROR(O92/$G92*100,0)</f>
        <v>9.1389114541023559</v>
      </c>
      <c r="Q92" s="143">
        <v>23</v>
      </c>
      <c r="R92" s="9">
        <f t="shared" si="13"/>
        <v>5.1111111111111116</v>
      </c>
      <c r="S92" s="8" t="str">
        <f t="array" ref="S92">IF(R92&gt;5,"Perlu Sensus",IF(AND(R92&gt;=0,O92&gt;0),"Tetap Deteksi","Belum Deteksi"))</f>
        <v>Perlu Sensus</v>
      </c>
      <c r="T92" s="143">
        <v>31</v>
      </c>
      <c r="U92" s="9">
        <f t="shared" si="14"/>
        <v>6.8888888888888893</v>
      </c>
      <c r="V92" s="11">
        <v>0</v>
      </c>
      <c r="W92" s="143">
        <v>0</v>
      </c>
      <c r="X92" s="143">
        <v>0</v>
      </c>
      <c r="Y92" s="9">
        <f t="shared" si="15"/>
        <v>0</v>
      </c>
      <c r="Z92" s="8" t="str">
        <f t="array" ref="Z92">IF(Y92&gt;5,"Perlu Sensus",IF(AND(Y92&gt;=0,W92&gt;0),"Tetap Deteksi","Belum Deteksi"))</f>
        <v>Belum Deteksi</v>
      </c>
      <c r="AA92" s="143">
        <v>0</v>
      </c>
      <c r="AB92" s="9">
        <f t="shared" si="16"/>
        <v>0</v>
      </c>
      <c r="AC92" s="11"/>
      <c r="AD92" s="143"/>
      <c r="AE92" s="9">
        <f t="array" ref="AE92">IFERROR(AD92/$G92*100,0)</f>
        <v>0</v>
      </c>
      <c r="AF92" s="143"/>
      <c r="AG92" s="9">
        <f t="shared" si="17"/>
        <v>0</v>
      </c>
      <c r="AH92" s="8" t="str">
        <f t="array" ref="AH92">IF(AG92&gt;5,"Perlu Sensus",IF(AND(AG92&gt;=0,AD92&gt;0),"Tetap Deteksi","Belum Deteksi"))</f>
        <v>Belum Deteksi</v>
      </c>
      <c r="AI92" s="143"/>
      <c r="AJ92" s="9">
        <f t="shared" si="18"/>
        <v>0</v>
      </c>
      <c r="AK92" s="11"/>
      <c r="AL92" s="143"/>
      <c r="AM92" s="143"/>
      <c r="AN92" s="9">
        <f t="shared" si="19"/>
        <v>0</v>
      </c>
      <c r="AO92" s="8" t="str">
        <f t="array" ref="AO92">IF(AN92&gt;5,"Perlu Sensus",IF(AND(AN92&gt;=0,AL92&gt;0),"Tetap Deteksi","Belum Deteksi"))</f>
        <v>Belum Deteksi</v>
      </c>
      <c r="AP92" s="143"/>
      <c r="AQ92" s="9">
        <f t="shared" si="20"/>
        <v>0</v>
      </c>
    </row>
    <row r="93" spans="1:43" outlineLevel="1" x14ac:dyDescent="0.15">
      <c r="A93" s="8" t="s">
        <v>1821</v>
      </c>
      <c r="B93" s="8"/>
      <c r="C93" s="8" t="s">
        <v>144</v>
      </c>
      <c r="D93" s="186" t="s">
        <v>1836</v>
      </c>
      <c r="E93" s="9">
        <v>35.020000000000003</v>
      </c>
      <c r="F93" s="8" t="s">
        <v>1740</v>
      </c>
      <c r="G93" s="10">
        <v>4778</v>
      </c>
      <c r="H93" s="11">
        <f t="array" ref="H93">IF(OR(N93&gt;0,AC93&gt;0),MAX(N93,AC93),MAX(AK93,V93))</f>
        <v>46241</v>
      </c>
      <c r="I93" s="143">
        <f t="array" ref="I93">IF(SUM(O93,AD93)&gt;0,SUM(O93,AD93),SUM(AL93,W93))</f>
        <v>444</v>
      </c>
      <c r="J93" s="9">
        <f t="shared" si="11"/>
        <v>9.2925910422771025</v>
      </c>
      <c r="K93" s="143">
        <f t="shared" si="21"/>
        <v>24</v>
      </c>
      <c r="L93" s="9">
        <f t="shared" si="12"/>
        <v>5.4054054054054053</v>
      </c>
      <c r="M93" s="8" t="str">
        <f t="array" ref="M93">IF(L93&gt;5,"Perlu Sensus",IF(AND(L93&gt;=0,I93&gt;0),"Tetap Deteksi","Belum Deteksi"))</f>
        <v>Perlu Sensus</v>
      </c>
      <c r="N93" s="11">
        <v>46241</v>
      </c>
      <c r="O93" s="143">
        <v>444</v>
      </c>
      <c r="P93" s="9">
        <f t="array" ref="P93">IFERROR(O93/$G93*100,0)</f>
        <v>9.2925910422771025</v>
      </c>
      <c r="Q93" s="143">
        <v>24</v>
      </c>
      <c r="R93" s="9">
        <f t="shared" si="13"/>
        <v>5.4054054054054053</v>
      </c>
      <c r="S93" s="8" t="str">
        <f t="array" ref="S93">IF(R93&gt;5,"Perlu Sensus",IF(AND(R93&gt;=0,O93&gt;0),"Tetap Deteksi","Belum Deteksi"))</f>
        <v>Perlu Sensus</v>
      </c>
      <c r="T93" s="143">
        <v>37</v>
      </c>
      <c r="U93" s="9">
        <f t="shared" si="14"/>
        <v>8.3333333333333321</v>
      </c>
      <c r="V93" s="11">
        <v>46244</v>
      </c>
      <c r="W93" s="143">
        <v>263</v>
      </c>
      <c r="X93" s="143">
        <v>14</v>
      </c>
      <c r="Y93" s="9">
        <f t="shared" si="15"/>
        <v>5.3231939163498092</v>
      </c>
      <c r="Z93" s="8" t="str">
        <f t="array" ref="Z93">IF(Y93&gt;5,"Perlu Sensus",IF(AND(Y93&gt;=0,W93&gt;0),"Tetap Deteksi","Belum Deteksi"))</f>
        <v>Perlu Sensus</v>
      </c>
      <c r="AA93" s="143">
        <v>25</v>
      </c>
      <c r="AB93" s="9">
        <f t="shared" si="16"/>
        <v>9.5057034220532319</v>
      </c>
      <c r="AC93" s="11"/>
      <c r="AD93" s="143"/>
      <c r="AE93" s="9">
        <f t="array" ref="AE93">IFERROR(AD93/$G93*100,0)</f>
        <v>0</v>
      </c>
      <c r="AF93" s="143"/>
      <c r="AG93" s="9">
        <f t="shared" si="17"/>
        <v>0</v>
      </c>
      <c r="AH93" s="8" t="str">
        <f t="array" ref="AH93">IF(AG93&gt;5,"Perlu Sensus",IF(AND(AG93&gt;=0,AD93&gt;0),"Tetap Deteksi","Belum Deteksi"))</f>
        <v>Belum Deteksi</v>
      </c>
      <c r="AI93" s="143"/>
      <c r="AJ93" s="9">
        <f t="shared" si="18"/>
        <v>0</v>
      </c>
      <c r="AK93" s="11"/>
      <c r="AL93" s="143"/>
      <c r="AM93" s="143"/>
      <c r="AN93" s="9">
        <f t="shared" si="19"/>
        <v>0</v>
      </c>
      <c r="AO93" s="8" t="str">
        <f t="array" ref="AO93">IF(AN93&gt;5,"Perlu Sensus",IF(AND(AN93&gt;=0,AL93&gt;0),"Tetap Deteksi","Belum Deteksi"))</f>
        <v>Belum Deteksi</v>
      </c>
      <c r="AP93" s="143"/>
      <c r="AQ93" s="9">
        <f t="shared" si="20"/>
        <v>0</v>
      </c>
    </row>
    <row r="94" spans="1:43" outlineLevel="1" x14ac:dyDescent="0.15">
      <c r="A94" s="8" t="s">
        <v>1821</v>
      </c>
      <c r="B94" s="8"/>
      <c r="C94" s="8" t="s">
        <v>144</v>
      </c>
      <c r="D94" s="186" t="s">
        <v>1781</v>
      </c>
      <c r="E94" s="9">
        <v>27.910000000000004</v>
      </c>
      <c r="F94" s="8" t="s">
        <v>1740</v>
      </c>
      <c r="G94" s="10">
        <v>4350</v>
      </c>
      <c r="H94" s="11">
        <f t="array" ref="H94">IF(OR(N94&gt;0,AC94&gt;0),MAX(N94,AC94),MAX(AK94,V94))</f>
        <v>46244</v>
      </c>
      <c r="I94" s="143">
        <f t="array" ref="I94">IF(SUM(O94,AD94)&gt;0,SUM(O94,AD94),SUM(AL94,W94))</f>
        <v>456</v>
      </c>
      <c r="J94" s="9">
        <f t="shared" si="11"/>
        <v>10.482758620689655</v>
      </c>
      <c r="K94" s="143">
        <f t="shared" si="21"/>
        <v>21</v>
      </c>
      <c r="L94" s="9">
        <f t="shared" si="12"/>
        <v>4.6052631578947363</v>
      </c>
      <c r="M94" s="8" t="str">
        <f t="array" ref="M94">IF(L94&gt;5,"Perlu Sensus",IF(AND(L94&gt;=0,I94&gt;0),"Tetap Deteksi","Belum Deteksi"))</f>
        <v>Tetap Deteksi</v>
      </c>
      <c r="N94" s="11">
        <v>46244</v>
      </c>
      <c r="O94" s="143">
        <v>456</v>
      </c>
      <c r="P94" s="9">
        <f t="array" ref="P94">IFERROR(O94/$G94*100,0)</f>
        <v>10.482758620689655</v>
      </c>
      <c r="Q94" s="143">
        <v>21</v>
      </c>
      <c r="R94" s="9">
        <f t="shared" si="13"/>
        <v>4.6052631578947363</v>
      </c>
      <c r="S94" s="8" t="str">
        <f t="array" ref="S94">IF(R94&gt;5,"Perlu Sensus",IF(AND(R94&gt;=0,O94&gt;0),"Tetap Deteksi","Belum Deteksi"))</f>
        <v>Tetap Deteksi</v>
      </c>
      <c r="T94" s="143">
        <v>36</v>
      </c>
      <c r="U94" s="9">
        <f t="shared" si="14"/>
        <v>7.8947368421052628</v>
      </c>
      <c r="V94" s="11">
        <v>46244</v>
      </c>
      <c r="W94" s="143">
        <v>250</v>
      </c>
      <c r="X94" s="143">
        <v>17</v>
      </c>
      <c r="Y94" s="9">
        <f t="shared" si="15"/>
        <v>6.8000000000000007</v>
      </c>
      <c r="Z94" s="8" t="str">
        <f t="array" ref="Z94">IF(Y94&gt;5,"Perlu Sensus",IF(AND(Y94&gt;=0,W94&gt;0),"Tetap Deteksi","Belum Deteksi"))</f>
        <v>Perlu Sensus</v>
      </c>
      <c r="AA94" s="143">
        <v>29</v>
      </c>
      <c r="AB94" s="9">
        <f t="shared" si="16"/>
        <v>11.600000000000001</v>
      </c>
      <c r="AC94" s="11"/>
      <c r="AD94" s="143"/>
      <c r="AE94" s="9">
        <f t="array" ref="AE94">IFERROR(AD94/$G94*100,0)</f>
        <v>0</v>
      </c>
      <c r="AF94" s="143"/>
      <c r="AG94" s="9">
        <f t="shared" si="17"/>
        <v>0</v>
      </c>
      <c r="AH94" s="8" t="str">
        <f t="array" ref="AH94">IF(AG94&gt;5,"Perlu Sensus",IF(AND(AG94&gt;=0,AD94&gt;0),"Tetap Deteksi","Belum Deteksi"))</f>
        <v>Belum Deteksi</v>
      </c>
      <c r="AI94" s="143"/>
      <c r="AJ94" s="9">
        <f t="shared" si="18"/>
        <v>0</v>
      </c>
      <c r="AK94" s="11"/>
      <c r="AL94" s="143"/>
      <c r="AM94" s="143"/>
      <c r="AN94" s="9">
        <f t="shared" si="19"/>
        <v>0</v>
      </c>
      <c r="AO94" s="8" t="str">
        <f t="array" ref="AO94">IF(AN94&gt;5,"Perlu Sensus",IF(AND(AN94&gt;=0,AL94&gt;0),"Tetap Deteksi","Belum Deteksi"))</f>
        <v>Belum Deteksi</v>
      </c>
      <c r="AP94" s="143"/>
      <c r="AQ94" s="9">
        <f t="shared" si="20"/>
        <v>0</v>
      </c>
    </row>
    <row r="95" spans="1:43" outlineLevel="1" x14ac:dyDescent="0.15">
      <c r="A95" s="8" t="s">
        <v>1821</v>
      </c>
      <c r="B95" s="8"/>
      <c r="C95" s="8" t="s">
        <v>144</v>
      </c>
      <c r="D95" s="186" t="s">
        <v>1837</v>
      </c>
      <c r="E95" s="9">
        <v>30.97</v>
      </c>
      <c r="F95" s="8" t="s">
        <v>1740</v>
      </c>
      <c r="G95" s="10">
        <v>4692</v>
      </c>
      <c r="H95" s="11">
        <f t="array" ref="H95">IF(OR(N95&gt;0,AC95&gt;0),MAX(N95,AC95),MAX(AK95,V95))</f>
        <v>46244</v>
      </c>
      <c r="I95" s="143">
        <f t="array" ref="I95">IF(SUM(O95,AD95)&gt;0,SUM(O95,AD95),SUM(AL95,W95))</f>
        <v>346</v>
      </c>
      <c r="J95" s="9">
        <f t="shared" si="11"/>
        <v>7.3742540494458648</v>
      </c>
      <c r="K95" s="143">
        <f t="shared" si="21"/>
        <v>16</v>
      </c>
      <c r="L95" s="9">
        <f t="shared" si="12"/>
        <v>4.6242774566473983</v>
      </c>
      <c r="M95" s="8" t="str">
        <f t="array" ref="M95">IF(L95&gt;5,"Perlu Sensus",IF(AND(L95&gt;=0,I95&gt;0),"Tetap Deteksi","Belum Deteksi"))</f>
        <v>Tetap Deteksi</v>
      </c>
      <c r="N95" s="11">
        <v>46244</v>
      </c>
      <c r="O95" s="143">
        <v>346</v>
      </c>
      <c r="P95" s="9">
        <f t="array" ref="P95">IFERROR(O95/$G95*100,0)</f>
        <v>7.3742540494458648</v>
      </c>
      <c r="Q95" s="143">
        <v>16</v>
      </c>
      <c r="R95" s="9">
        <f t="shared" si="13"/>
        <v>4.6242774566473983</v>
      </c>
      <c r="S95" s="8" t="str">
        <f t="array" ref="S95">IF(R95&gt;5,"Perlu Sensus",IF(AND(R95&gt;=0,O95&gt;0),"Tetap Deteksi","Belum Deteksi"))</f>
        <v>Tetap Deteksi</v>
      </c>
      <c r="T95" s="143">
        <v>27</v>
      </c>
      <c r="U95" s="9">
        <f t="shared" si="14"/>
        <v>7.803468208092486</v>
      </c>
      <c r="V95" s="11">
        <v>46245</v>
      </c>
      <c r="W95" s="143">
        <v>302</v>
      </c>
      <c r="X95" s="143">
        <v>12</v>
      </c>
      <c r="Y95" s="9">
        <f t="shared" si="15"/>
        <v>3.9735099337748347</v>
      </c>
      <c r="Z95" s="8" t="str">
        <f t="array" ref="Z95">IF(Y95&gt;5,"Perlu Sensus",IF(AND(Y95&gt;=0,W95&gt;0),"Tetap Deteksi","Belum Deteksi"))</f>
        <v>Tetap Deteksi</v>
      </c>
      <c r="AA95" s="143">
        <v>21</v>
      </c>
      <c r="AB95" s="9">
        <f t="shared" si="16"/>
        <v>6.9536423841059598</v>
      </c>
      <c r="AC95" s="11"/>
      <c r="AD95" s="143"/>
      <c r="AE95" s="9">
        <f t="array" ref="AE95">IFERROR(AD95/$G95*100,0)</f>
        <v>0</v>
      </c>
      <c r="AF95" s="143"/>
      <c r="AG95" s="9">
        <f t="shared" si="17"/>
        <v>0</v>
      </c>
      <c r="AH95" s="8" t="str">
        <f t="array" ref="AH95">IF(AG95&gt;5,"Perlu Sensus",IF(AND(AG95&gt;=0,AD95&gt;0),"Tetap Deteksi","Belum Deteksi"))</f>
        <v>Belum Deteksi</v>
      </c>
      <c r="AI95" s="143"/>
      <c r="AJ95" s="9">
        <f t="shared" si="18"/>
        <v>0</v>
      </c>
      <c r="AK95" s="11"/>
      <c r="AL95" s="143"/>
      <c r="AM95" s="143"/>
      <c r="AN95" s="9">
        <f t="shared" si="19"/>
        <v>0</v>
      </c>
      <c r="AO95" s="8" t="str">
        <f t="array" ref="AO95">IF(AN95&gt;5,"Perlu Sensus",IF(AND(AN95&gt;=0,AL95&gt;0),"Tetap Deteksi","Belum Deteksi"))</f>
        <v>Belum Deteksi</v>
      </c>
      <c r="AP95" s="143"/>
      <c r="AQ95" s="9">
        <f t="shared" si="20"/>
        <v>0</v>
      </c>
    </row>
    <row r="96" spans="1:43" outlineLevel="1" x14ac:dyDescent="0.15">
      <c r="A96" s="8" t="s">
        <v>1821</v>
      </c>
      <c r="B96" s="8"/>
      <c r="C96" s="8" t="s">
        <v>144</v>
      </c>
      <c r="D96" s="186" t="s">
        <v>1838</v>
      </c>
      <c r="E96" s="9">
        <v>42.819999999999986</v>
      </c>
      <c r="F96" s="8" t="s">
        <v>1740</v>
      </c>
      <c r="G96" s="10">
        <v>6141</v>
      </c>
      <c r="H96" s="11">
        <f t="array" ref="H96">IF(OR(N96&gt;0,AC96&gt;0),MAX(N96,AC96),MAX(AK96,V96))</f>
        <v>46245</v>
      </c>
      <c r="I96" s="143">
        <f t="array" ref="I96">IF(SUM(O96,AD96)&gt;0,SUM(O96,AD96),SUM(AL96,W96))</f>
        <v>464</v>
      </c>
      <c r="J96" s="9">
        <f t="shared" si="11"/>
        <v>7.5557726754600223</v>
      </c>
      <c r="K96" s="143">
        <f t="shared" si="21"/>
        <v>17</v>
      </c>
      <c r="L96" s="9">
        <f t="shared" si="12"/>
        <v>3.6637931034482754</v>
      </c>
      <c r="M96" s="8" t="str">
        <f t="array" ref="M96">IF(L96&gt;5,"Perlu Sensus",IF(AND(L96&gt;=0,I96&gt;0),"Tetap Deteksi","Belum Deteksi"))</f>
        <v>Tetap Deteksi</v>
      </c>
      <c r="N96" s="11">
        <v>46245</v>
      </c>
      <c r="O96" s="143">
        <v>464</v>
      </c>
      <c r="P96" s="9">
        <f t="array" ref="P96">IFERROR(O96/$G96*100,0)</f>
        <v>7.5557726754600223</v>
      </c>
      <c r="Q96" s="143">
        <v>17</v>
      </c>
      <c r="R96" s="9">
        <f t="shared" si="13"/>
        <v>3.6637931034482754</v>
      </c>
      <c r="S96" s="8" t="str">
        <f t="array" ref="S96">IF(R96&gt;5,"Perlu Sensus",IF(AND(R96&gt;=0,O96&gt;0),"Tetap Deteksi","Belum Deteksi"))</f>
        <v>Tetap Deteksi</v>
      </c>
      <c r="T96" s="143">
        <v>37</v>
      </c>
      <c r="U96" s="9">
        <f t="shared" si="14"/>
        <v>7.9741379310344831</v>
      </c>
      <c r="V96" s="11">
        <v>46245</v>
      </c>
      <c r="W96" s="143">
        <v>257</v>
      </c>
      <c r="X96" s="143">
        <v>14</v>
      </c>
      <c r="Y96" s="9">
        <f t="shared" si="15"/>
        <v>5.4474708171206228</v>
      </c>
      <c r="Z96" s="8" t="str">
        <f t="array" ref="Z96">IF(Y96&gt;5,"Perlu Sensus",IF(AND(Y96&gt;=0,W96&gt;0),"Tetap Deteksi","Belum Deteksi"))</f>
        <v>Perlu Sensus</v>
      </c>
      <c r="AA96" s="143">
        <v>20</v>
      </c>
      <c r="AB96" s="9">
        <f t="shared" si="16"/>
        <v>7.782101167315175</v>
      </c>
      <c r="AC96" s="11"/>
      <c r="AD96" s="143"/>
      <c r="AE96" s="9">
        <f t="array" ref="AE96">IFERROR(AD96/$G96*100,0)</f>
        <v>0</v>
      </c>
      <c r="AF96" s="143"/>
      <c r="AG96" s="9">
        <f t="shared" si="17"/>
        <v>0</v>
      </c>
      <c r="AH96" s="8" t="str">
        <f t="array" ref="AH96">IF(AG96&gt;5,"Perlu Sensus",IF(AND(AG96&gt;=0,AD96&gt;0),"Tetap Deteksi","Belum Deteksi"))</f>
        <v>Belum Deteksi</v>
      </c>
      <c r="AI96" s="143"/>
      <c r="AJ96" s="9">
        <f t="shared" si="18"/>
        <v>0</v>
      </c>
      <c r="AK96" s="11"/>
      <c r="AL96" s="143"/>
      <c r="AM96" s="143"/>
      <c r="AN96" s="9">
        <f t="shared" si="19"/>
        <v>0</v>
      </c>
      <c r="AO96" s="8" t="str">
        <f t="array" ref="AO96">IF(AN96&gt;5,"Perlu Sensus",IF(AND(AN96&gt;=0,AL96&gt;0),"Tetap Deteksi","Belum Deteksi"))</f>
        <v>Belum Deteksi</v>
      </c>
      <c r="AP96" s="143"/>
      <c r="AQ96" s="9">
        <f t="shared" si="20"/>
        <v>0</v>
      </c>
    </row>
    <row r="97" spans="1:43" outlineLevel="1" x14ac:dyDescent="0.15">
      <c r="A97" s="8" t="s">
        <v>1821</v>
      </c>
      <c r="B97" s="8"/>
      <c r="C97" s="8" t="s">
        <v>144</v>
      </c>
      <c r="D97" s="186" t="s">
        <v>1839</v>
      </c>
      <c r="E97" s="9">
        <v>33.57</v>
      </c>
      <c r="F97" s="8" t="s">
        <v>1740</v>
      </c>
      <c r="G97" s="10">
        <v>4960.9999999999991</v>
      </c>
      <c r="H97" s="11">
        <f t="array" ref="H97">IF(OR(N97&gt;0,AC97&gt;0),MAX(N97,AC97),MAX(AK97,V97))</f>
        <v>46245</v>
      </c>
      <c r="I97" s="143">
        <f t="array" ref="I97">IF(SUM(O97,AD97)&gt;0,SUM(O97,AD97),SUM(AL97,W97))</f>
        <v>456</v>
      </c>
      <c r="J97" s="9">
        <f t="shared" si="11"/>
        <v>9.1916952227373532</v>
      </c>
      <c r="K97" s="143">
        <f t="shared" si="21"/>
        <v>16</v>
      </c>
      <c r="L97" s="9">
        <f t="shared" si="12"/>
        <v>3.5087719298245612</v>
      </c>
      <c r="M97" s="8" t="str">
        <f t="array" ref="M97">IF(L97&gt;5,"Perlu Sensus",IF(AND(L97&gt;=0,I97&gt;0),"Tetap Deteksi","Belum Deteksi"))</f>
        <v>Tetap Deteksi</v>
      </c>
      <c r="N97" s="11">
        <v>46245</v>
      </c>
      <c r="O97" s="143">
        <v>456</v>
      </c>
      <c r="P97" s="9">
        <f t="array" ref="P97">IFERROR(O97/$G97*100,0)</f>
        <v>9.1916952227373532</v>
      </c>
      <c r="Q97" s="143">
        <v>16</v>
      </c>
      <c r="R97" s="9">
        <f t="shared" si="13"/>
        <v>3.5087719298245612</v>
      </c>
      <c r="S97" s="8" t="str">
        <f t="array" ref="S97">IF(R97&gt;5,"Perlu Sensus",IF(AND(R97&gt;=0,O97&gt;0),"Tetap Deteksi","Belum Deteksi"))</f>
        <v>Tetap Deteksi</v>
      </c>
      <c r="T97" s="143">
        <v>27</v>
      </c>
      <c r="U97" s="9">
        <f t="shared" si="14"/>
        <v>5.9210526315789469</v>
      </c>
      <c r="V97" s="11">
        <v>0</v>
      </c>
      <c r="W97" s="143">
        <v>0</v>
      </c>
      <c r="X97" s="143">
        <v>0</v>
      </c>
      <c r="Y97" s="9">
        <f t="shared" si="15"/>
        <v>0</v>
      </c>
      <c r="Z97" s="8" t="str">
        <f t="array" ref="Z97">IF(Y97&gt;5,"Perlu Sensus",IF(AND(Y97&gt;=0,W97&gt;0),"Tetap Deteksi","Belum Deteksi"))</f>
        <v>Belum Deteksi</v>
      </c>
      <c r="AA97" s="143">
        <v>0</v>
      </c>
      <c r="AB97" s="9">
        <f t="shared" si="16"/>
        <v>0</v>
      </c>
      <c r="AC97" s="11"/>
      <c r="AD97" s="143"/>
      <c r="AE97" s="9">
        <f t="array" ref="AE97">IFERROR(AD97/$G97*100,0)</f>
        <v>0</v>
      </c>
      <c r="AF97" s="143"/>
      <c r="AG97" s="9">
        <f t="shared" si="17"/>
        <v>0</v>
      </c>
      <c r="AH97" s="8" t="str">
        <f t="array" ref="AH97">IF(AG97&gt;5,"Perlu Sensus",IF(AND(AG97&gt;=0,AD97&gt;0),"Tetap Deteksi","Belum Deteksi"))</f>
        <v>Belum Deteksi</v>
      </c>
      <c r="AI97" s="143"/>
      <c r="AJ97" s="9">
        <f t="shared" si="18"/>
        <v>0</v>
      </c>
      <c r="AK97" s="11"/>
      <c r="AL97" s="143"/>
      <c r="AM97" s="143"/>
      <c r="AN97" s="9">
        <f t="shared" si="19"/>
        <v>0</v>
      </c>
      <c r="AO97" s="8" t="str">
        <f t="array" ref="AO97">IF(AN97&gt;5,"Perlu Sensus",IF(AND(AN97&gt;=0,AL97&gt;0),"Tetap Deteksi","Belum Deteksi"))</f>
        <v>Belum Deteksi</v>
      </c>
      <c r="AP97" s="143"/>
      <c r="AQ97" s="9">
        <f t="shared" si="20"/>
        <v>0</v>
      </c>
    </row>
    <row r="98" spans="1:43" outlineLevel="1" x14ac:dyDescent="0.15">
      <c r="A98" s="8" t="s">
        <v>1821</v>
      </c>
      <c r="B98" s="8"/>
      <c r="C98" s="8" t="s">
        <v>144</v>
      </c>
      <c r="D98" s="181" t="s">
        <v>1779</v>
      </c>
      <c r="E98" s="9">
        <v>29.13</v>
      </c>
      <c r="F98" s="8" t="s">
        <v>1740</v>
      </c>
      <c r="G98" s="10">
        <v>4185</v>
      </c>
      <c r="H98" s="11">
        <f t="array" ref="H98">IF(OR(N98&gt;0,AC98&gt;0),MAX(N98,AC98),MAX(AK98,V98))</f>
        <v>46245</v>
      </c>
      <c r="I98" s="143">
        <f t="array" ref="I98">IF(SUM(O98,AD98)&gt;0,SUM(O98,AD98),SUM(AL98,W98))</f>
        <v>232</v>
      </c>
      <c r="J98" s="9">
        <f t="shared" si="11"/>
        <v>5.5436081242532858</v>
      </c>
      <c r="K98" s="143">
        <f t="shared" si="21"/>
        <v>8</v>
      </c>
      <c r="L98" s="9">
        <f t="shared" si="12"/>
        <v>3.4482758620689653</v>
      </c>
      <c r="M98" s="8" t="str">
        <f t="array" ref="M98">IF(L98&gt;5,"Perlu Sensus",IF(AND(L98&gt;=0,I98&gt;0),"Tetap Deteksi","Belum Deteksi"))</f>
        <v>Tetap Deteksi</v>
      </c>
      <c r="N98" s="11">
        <v>46245</v>
      </c>
      <c r="O98" s="143">
        <v>232</v>
      </c>
      <c r="P98" s="9">
        <f t="array" ref="P98">IFERROR(O98/$G98*100,0)</f>
        <v>5.5436081242532858</v>
      </c>
      <c r="Q98" s="143">
        <v>8</v>
      </c>
      <c r="R98" s="9">
        <f t="shared" si="13"/>
        <v>3.4482758620689653</v>
      </c>
      <c r="S98" s="8" t="str">
        <f t="array" ref="S98">IF(R98&gt;5,"Perlu Sensus",IF(AND(R98&gt;=0,O98&gt;0),"Tetap Deteksi","Belum Deteksi"))</f>
        <v>Tetap Deteksi</v>
      </c>
      <c r="T98" s="143">
        <v>22</v>
      </c>
      <c r="U98" s="9">
        <f t="shared" si="14"/>
        <v>9.4827586206896548</v>
      </c>
      <c r="V98" s="11">
        <v>46247</v>
      </c>
      <c r="W98" s="143">
        <v>289</v>
      </c>
      <c r="X98" s="143">
        <v>14</v>
      </c>
      <c r="Y98" s="9">
        <f t="shared" si="15"/>
        <v>4.844290657439446</v>
      </c>
      <c r="Z98" s="8" t="str">
        <f t="array" ref="Z98">IF(Y98&gt;5,"Perlu Sensus",IF(AND(Y98&gt;=0,W98&gt;0),"Tetap Deteksi","Belum Deteksi"))</f>
        <v>Tetap Deteksi</v>
      </c>
      <c r="AA98" s="143">
        <v>23</v>
      </c>
      <c r="AB98" s="9">
        <f t="shared" si="16"/>
        <v>7.9584775086505193</v>
      </c>
      <c r="AC98" s="11"/>
      <c r="AD98" s="143"/>
      <c r="AE98" s="9">
        <f t="array" ref="AE98">IFERROR(AD98/$G98*100,0)</f>
        <v>0</v>
      </c>
      <c r="AF98" s="143"/>
      <c r="AG98" s="9">
        <f t="shared" si="17"/>
        <v>0</v>
      </c>
      <c r="AH98" s="8" t="str">
        <f t="array" ref="AH98">IF(AG98&gt;5,"Perlu Sensus",IF(AND(AG98&gt;=0,AD98&gt;0),"Tetap Deteksi","Belum Deteksi"))</f>
        <v>Belum Deteksi</v>
      </c>
      <c r="AI98" s="143"/>
      <c r="AJ98" s="9">
        <f t="shared" si="18"/>
        <v>0</v>
      </c>
      <c r="AK98" s="11"/>
      <c r="AL98" s="143"/>
      <c r="AM98" s="143"/>
      <c r="AN98" s="9">
        <f t="shared" si="19"/>
        <v>0</v>
      </c>
      <c r="AO98" s="8" t="str">
        <f t="array" ref="AO98">IF(AN98&gt;5,"Perlu Sensus",IF(AND(AN98&gt;=0,AL98&gt;0),"Tetap Deteksi","Belum Deteksi"))</f>
        <v>Belum Deteksi</v>
      </c>
      <c r="AP98" s="143"/>
      <c r="AQ98" s="9">
        <f t="shared" si="20"/>
        <v>0</v>
      </c>
    </row>
    <row r="99" spans="1:43" outlineLevel="1" x14ac:dyDescent="0.15">
      <c r="A99" s="8" t="s">
        <v>1821</v>
      </c>
      <c r="B99" s="8"/>
      <c r="C99" s="8" t="s">
        <v>144</v>
      </c>
      <c r="D99" s="186" t="s">
        <v>1416</v>
      </c>
      <c r="E99" s="9">
        <v>31.31</v>
      </c>
      <c r="F99" s="8" t="s">
        <v>1823</v>
      </c>
      <c r="G99" s="10">
        <v>4888</v>
      </c>
      <c r="H99" s="11">
        <f t="array" ref="H99">IF(OR(N99&gt;0,AC99&gt;0),MAX(N99,AC99),MAX(AK99,V99))</f>
        <v>46247</v>
      </c>
      <c r="I99" s="143">
        <f t="array" ref="I99">IF(SUM(O99,AD99)&gt;0,SUM(O99,AD99),SUM(AL99,W99))</f>
        <v>468</v>
      </c>
      <c r="J99" s="9">
        <f t="shared" si="11"/>
        <v>9.5744680851063837</v>
      </c>
      <c r="K99" s="143">
        <f t="shared" si="21"/>
        <v>20</v>
      </c>
      <c r="L99" s="9">
        <f t="shared" si="12"/>
        <v>4.2735042735042734</v>
      </c>
      <c r="M99" s="8" t="str">
        <f t="array" ref="M99">IF(L99&gt;5,"Perlu Sensus",IF(AND(L99&gt;=0,I99&gt;0),"Tetap Deteksi","Belum Deteksi"))</f>
        <v>Tetap Deteksi</v>
      </c>
      <c r="N99" s="11">
        <v>46247</v>
      </c>
      <c r="O99" s="143">
        <v>468</v>
      </c>
      <c r="P99" s="9">
        <f t="array" ref="P99">IFERROR(O99/$G99*100,0)</f>
        <v>9.5744680851063837</v>
      </c>
      <c r="Q99" s="143">
        <v>20</v>
      </c>
      <c r="R99" s="9">
        <f t="shared" si="13"/>
        <v>4.2735042735042734</v>
      </c>
      <c r="S99" s="8" t="str">
        <f t="array" ref="S99">IF(R99&gt;5,"Perlu Sensus",IF(AND(R99&gt;=0,O99&gt;0),"Tetap Deteksi","Belum Deteksi"))</f>
        <v>Tetap Deteksi</v>
      </c>
      <c r="T99" s="143">
        <v>51</v>
      </c>
      <c r="U99" s="9">
        <f t="shared" si="14"/>
        <v>10.897435897435898</v>
      </c>
      <c r="V99" s="11">
        <v>0</v>
      </c>
      <c r="W99" s="143">
        <v>0</v>
      </c>
      <c r="X99" s="143">
        <v>0</v>
      </c>
      <c r="Y99" s="9">
        <f t="shared" si="15"/>
        <v>0</v>
      </c>
      <c r="Z99" s="8" t="str">
        <f t="array" ref="Z99">IF(Y99&gt;5,"Perlu Sensus",IF(AND(Y99&gt;=0,W99&gt;0),"Tetap Deteksi","Belum Deteksi"))</f>
        <v>Belum Deteksi</v>
      </c>
      <c r="AA99" s="143">
        <v>0</v>
      </c>
      <c r="AB99" s="9">
        <f t="shared" si="16"/>
        <v>0</v>
      </c>
      <c r="AC99" s="11"/>
      <c r="AD99" s="143"/>
      <c r="AE99" s="9">
        <f t="array" ref="AE99">IFERROR(AD99/$G99*100,0)</f>
        <v>0</v>
      </c>
      <c r="AF99" s="143"/>
      <c r="AG99" s="9">
        <f t="shared" si="17"/>
        <v>0</v>
      </c>
      <c r="AH99" s="8" t="str">
        <f t="array" ref="AH99">IF(AG99&gt;5,"Perlu Sensus",IF(AND(AG99&gt;=0,AD99&gt;0),"Tetap Deteksi","Belum Deteksi"))</f>
        <v>Belum Deteksi</v>
      </c>
      <c r="AI99" s="143"/>
      <c r="AJ99" s="9">
        <f t="shared" si="18"/>
        <v>0</v>
      </c>
      <c r="AK99" s="11"/>
      <c r="AL99" s="143"/>
      <c r="AM99" s="143"/>
      <c r="AN99" s="9">
        <f t="shared" si="19"/>
        <v>0</v>
      </c>
      <c r="AO99" s="8" t="str">
        <f t="array" ref="AO99">IF(AN99&gt;5,"Perlu Sensus",IF(AND(AN99&gt;=0,AL99&gt;0),"Tetap Deteksi","Belum Deteksi"))</f>
        <v>Belum Deteksi</v>
      </c>
      <c r="AP99" s="143"/>
      <c r="AQ99" s="9">
        <f t="shared" si="20"/>
        <v>0</v>
      </c>
    </row>
    <row r="100" spans="1:43" outlineLevel="1" x14ac:dyDescent="0.15">
      <c r="A100" s="8" t="s">
        <v>1821</v>
      </c>
      <c r="B100" s="8"/>
      <c r="C100" s="8" t="s">
        <v>144</v>
      </c>
      <c r="D100" s="186" t="s">
        <v>1417</v>
      </c>
      <c r="E100" s="9">
        <v>37.44</v>
      </c>
      <c r="F100" s="8" t="s">
        <v>1823</v>
      </c>
      <c r="G100" s="10">
        <v>5793</v>
      </c>
      <c r="H100" s="11">
        <f t="array" ref="H100">IF(OR(N100&gt;0,AC100&gt;0),MAX(N100,AC100),MAX(AK100,V100))</f>
        <v>46247</v>
      </c>
      <c r="I100" s="143">
        <f t="array" ref="I100">IF(SUM(O100,AD100)&gt;0,SUM(O100,AD100),SUM(AL100,W100))</f>
        <v>468</v>
      </c>
      <c r="J100" s="9">
        <f t="shared" si="11"/>
        <v>8.0787156913516309</v>
      </c>
      <c r="K100" s="143">
        <f t="shared" si="21"/>
        <v>24</v>
      </c>
      <c r="L100" s="9">
        <f t="shared" si="12"/>
        <v>5.1282051282051277</v>
      </c>
      <c r="M100" s="8" t="str">
        <f t="array" ref="M100">IF(L100&gt;5,"Perlu Sensus",IF(AND(L100&gt;=0,I100&gt;0),"Tetap Deteksi","Belum Deteksi"))</f>
        <v>Perlu Sensus</v>
      </c>
      <c r="N100" s="11">
        <v>46247</v>
      </c>
      <c r="O100" s="143">
        <v>468</v>
      </c>
      <c r="P100" s="9">
        <f t="array" ref="P100">IFERROR(O100/$G100*100,0)</f>
        <v>8.0787156913516309</v>
      </c>
      <c r="Q100" s="143">
        <v>24</v>
      </c>
      <c r="R100" s="9">
        <f t="shared" si="13"/>
        <v>5.1282051282051277</v>
      </c>
      <c r="S100" s="8" t="str">
        <f t="array" ref="S100">IF(R100&gt;5,"Perlu Sensus",IF(AND(R100&gt;=0,O100&gt;0),"Tetap Deteksi","Belum Deteksi"))</f>
        <v>Perlu Sensus</v>
      </c>
      <c r="T100" s="143">
        <v>50</v>
      </c>
      <c r="U100" s="9">
        <f t="shared" si="14"/>
        <v>10.683760683760683</v>
      </c>
      <c r="V100" s="11">
        <v>0</v>
      </c>
      <c r="W100" s="143">
        <v>0</v>
      </c>
      <c r="X100" s="143">
        <v>0</v>
      </c>
      <c r="Y100" s="9">
        <f t="shared" si="15"/>
        <v>0</v>
      </c>
      <c r="Z100" s="8" t="str">
        <f t="array" ref="Z100">IF(Y100&gt;5,"Perlu Sensus",IF(AND(Y100&gt;=0,W100&gt;0),"Tetap Deteksi","Belum Deteksi"))</f>
        <v>Belum Deteksi</v>
      </c>
      <c r="AA100" s="143">
        <v>0</v>
      </c>
      <c r="AB100" s="9">
        <f t="shared" si="16"/>
        <v>0</v>
      </c>
      <c r="AC100" s="11"/>
      <c r="AD100" s="143"/>
      <c r="AE100" s="9">
        <f t="array" ref="AE100">IFERROR(AD100/$G100*100,0)</f>
        <v>0</v>
      </c>
      <c r="AF100" s="143"/>
      <c r="AG100" s="9">
        <f t="shared" si="17"/>
        <v>0</v>
      </c>
      <c r="AH100" s="8" t="str">
        <f t="array" ref="AH100">IF(AG100&gt;5,"Perlu Sensus",IF(AND(AG100&gt;=0,AD100&gt;0),"Tetap Deteksi","Belum Deteksi"))</f>
        <v>Belum Deteksi</v>
      </c>
      <c r="AI100" s="143"/>
      <c r="AJ100" s="9">
        <f t="shared" si="18"/>
        <v>0</v>
      </c>
      <c r="AK100" s="11"/>
      <c r="AL100" s="143"/>
      <c r="AM100" s="143"/>
      <c r="AN100" s="9">
        <f t="shared" si="19"/>
        <v>0</v>
      </c>
      <c r="AO100" s="8" t="str">
        <f t="array" ref="AO100">IF(AN100&gt;5,"Perlu Sensus",IF(AND(AN100&gt;=0,AL100&gt;0),"Tetap Deteksi","Belum Deteksi"))</f>
        <v>Belum Deteksi</v>
      </c>
      <c r="AP100" s="143"/>
      <c r="AQ100" s="9">
        <f t="shared" si="20"/>
        <v>0</v>
      </c>
    </row>
    <row r="101" spans="1:43" outlineLevel="1" x14ac:dyDescent="0.15">
      <c r="A101" s="8" t="s">
        <v>1821</v>
      </c>
      <c r="B101" s="8"/>
      <c r="C101" s="8" t="s">
        <v>144</v>
      </c>
      <c r="D101" s="186" t="s">
        <v>1418</v>
      </c>
      <c r="E101" s="9">
        <v>23.97</v>
      </c>
      <c r="F101" s="8" t="s">
        <v>1823</v>
      </c>
      <c r="G101" s="10">
        <v>3615.9999999999995</v>
      </c>
      <c r="H101" s="11">
        <f t="array" ref="H101">IF(OR(N101&gt;0,AC101&gt;0),MAX(N101,AC101),MAX(AK101,V101))</f>
        <v>46247</v>
      </c>
      <c r="I101" s="143">
        <f t="array" ref="I101">IF(SUM(O101,AD101)&gt;0,SUM(O101,AD101),SUM(AL101,W101))</f>
        <v>232</v>
      </c>
      <c r="J101" s="9">
        <f t="shared" si="11"/>
        <v>6.4159292035398234</v>
      </c>
      <c r="K101" s="143">
        <f t="shared" si="21"/>
        <v>10</v>
      </c>
      <c r="L101" s="9">
        <f t="shared" si="12"/>
        <v>4.3103448275862073</v>
      </c>
      <c r="M101" s="8" t="str">
        <f t="array" ref="M101">IF(L101&gt;5,"Perlu Sensus",IF(AND(L101&gt;=0,I101&gt;0),"Tetap Deteksi","Belum Deteksi"))</f>
        <v>Tetap Deteksi</v>
      </c>
      <c r="N101" s="11">
        <v>46247</v>
      </c>
      <c r="O101" s="143">
        <v>232</v>
      </c>
      <c r="P101" s="9">
        <f t="array" ref="P101">IFERROR(O101/$G101*100,0)</f>
        <v>6.4159292035398234</v>
      </c>
      <c r="Q101" s="143">
        <v>10</v>
      </c>
      <c r="R101" s="9">
        <f t="shared" si="13"/>
        <v>4.3103448275862073</v>
      </c>
      <c r="S101" s="8" t="str">
        <f t="array" ref="S101">IF(R101&gt;5,"Perlu Sensus",IF(AND(R101&gt;=0,O101&gt;0),"Tetap Deteksi","Belum Deteksi"))</f>
        <v>Tetap Deteksi</v>
      </c>
      <c r="T101" s="143">
        <v>17</v>
      </c>
      <c r="U101" s="9">
        <f t="shared" si="14"/>
        <v>7.3275862068965507</v>
      </c>
      <c r="V101" s="11">
        <v>0</v>
      </c>
      <c r="W101" s="143">
        <v>0</v>
      </c>
      <c r="X101" s="143">
        <v>0</v>
      </c>
      <c r="Y101" s="9">
        <f t="shared" si="15"/>
        <v>0</v>
      </c>
      <c r="Z101" s="8" t="str">
        <f t="array" ref="Z101">IF(Y101&gt;5,"Perlu Sensus",IF(AND(Y101&gt;=0,W101&gt;0),"Tetap Deteksi","Belum Deteksi"))</f>
        <v>Belum Deteksi</v>
      </c>
      <c r="AA101" s="143">
        <v>0</v>
      </c>
      <c r="AB101" s="9">
        <f t="shared" si="16"/>
        <v>0</v>
      </c>
      <c r="AC101" s="11"/>
      <c r="AD101" s="143"/>
      <c r="AE101" s="9">
        <f t="array" ref="AE101">IFERROR(AD101/$G101*100,0)</f>
        <v>0</v>
      </c>
      <c r="AF101" s="143"/>
      <c r="AG101" s="9">
        <f t="shared" si="17"/>
        <v>0</v>
      </c>
      <c r="AH101" s="8" t="str">
        <f t="array" ref="AH101">IF(AG101&gt;5,"Perlu Sensus",IF(AND(AG101&gt;=0,AD101&gt;0),"Tetap Deteksi","Belum Deteksi"))</f>
        <v>Belum Deteksi</v>
      </c>
      <c r="AI101" s="143"/>
      <c r="AJ101" s="9">
        <f t="shared" si="18"/>
        <v>0</v>
      </c>
      <c r="AK101" s="11"/>
      <c r="AL101" s="143"/>
      <c r="AM101" s="143"/>
      <c r="AN101" s="9">
        <f t="shared" si="19"/>
        <v>0</v>
      </c>
      <c r="AO101" s="8" t="str">
        <f t="array" ref="AO101">IF(AN101&gt;5,"Perlu Sensus",IF(AND(AN101&gt;=0,AL101&gt;0),"Tetap Deteksi","Belum Deteksi"))</f>
        <v>Belum Deteksi</v>
      </c>
      <c r="AP101" s="143"/>
      <c r="AQ101" s="9">
        <f t="shared" si="20"/>
        <v>0</v>
      </c>
    </row>
    <row r="102" spans="1:43" outlineLevel="1" x14ac:dyDescent="0.15">
      <c r="A102" s="8" t="s">
        <v>1821</v>
      </c>
      <c r="B102" s="8"/>
      <c r="C102" s="8" t="s">
        <v>144</v>
      </c>
      <c r="D102" s="186" t="s">
        <v>1419</v>
      </c>
      <c r="E102" s="9">
        <v>31.41</v>
      </c>
      <c r="F102" s="8" t="s">
        <v>1823</v>
      </c>
      <c r="G102" s="10">
        <v>4736</v>
      </c>
      <c r="H102" s="11">
        <f t="array" ref="H102">IF(OR(N102&gt;0,AC102&gt;0),MAX(N102,AC102),MAX(AK102,V102))</f>
        <v>46247</v>
      </c>
      <c r="I102" s="143">
        <f t="array" ref="I102">IF(SUM(O102,AD102)&gt;0,SUM(O102,AD102),SUM(AL102,W102))</f>
        <v>112</v>
      </c>
      <c r="J102" s="9">
        <f t="shared" si="11"/>
        <v>2.3648648648648649</v>
      </c>
      <c r="K102" s="143">
        <f t="shared" si="21"/>
        <v>3</v>
      </c>
      <c r="L102" s="9">
        <f t="shared" si="12"/>
        <v>2.6785714285714284</v>
      </c>
      <c r="M102" s="8" t="str">
        <f t="array" ref="M102">IF(L102&gt;5,"Perlu Sensus",IF(AND(L102&gt;=0,I102&gt;0),"Tetap Deteksi","Belum Deteksi"))</f>
        <v>Tetap Deteksi</v>
      </c>
      <c r="N102" s="11">
        <v>46247</v>
      </c>
      <c r="O102" s="143">
        <v>112</v>
      </c>
      <c r="P102" s="9">
        <f t="array" ref="P102">IFERROR(O102/$G102*100,0)</f>
        <v>2.3648648648648649</v>
      </c>
      <c r="Q102" s="143">
        <v>3</v>
      </c>
      <c r="R102" s="9">
        <f t="shared" si="13"/>
        <v>2.6785714285714284</v>
      </c>
      <c r="S102" s="8" t="str">
        <f t="array" ref="S102">IF(R102&gt;5,"Perlu Sensus",IF(AND(R102&gt;=0,O102&gt;0),"Tetap Deteksi","Belum Deteksi"))</f>
        <v>Tetap Deteksi</v>
      </c>
      <c r="T102" s="143">
        <v>8</v>
      </c>
      <c r="U102" s="9">
        <f t="shared" si="14"/>
        <v>7.1428571428571423</v>
      </c>
      <c r="V102" s="11">
        <v>0</v>
      </c>
      <c r="W102" s="143">
        <v>0</v>
      </c>
      <c r="X102" s="143">
        <v>0</v>
      </c>
      <c r="Y102" s="9">
        <f t="shared" si="15"/>
        <v>0</v>
      </c>
      <c r="Z102" s="8" t="str">
        <f t="array" ref="Z102">IF(Y102&gt;5,"Perlu Sensus",IF(AND(Y102&gt;=0,W102&gt;0),"Tetap Deteksi","Belum Deteksi"))</f>
        <v>Belum Deteksi</v>
      </c>
      <c r="AA102" s="143">
        <v>0</v>
      </c>
      <c r="AB102" s="9">
        <f t="shared" si="16"/>
        <v>0</v>
      </c>
      <c r="AC102" s="11"/>
      <c r="AD102" s="143"/>
      <c r="AE102" s="9">
        <f t="array" ref="AE102">IFERROR(AD102/$G102*100,0)</f>
        <v>0</v>
      </c>
      <c r="AF102" s="143"/>
      <c r="AG102" s="9">
        <f t="shared" si="17"/>
        <v>0</v>
      </c>
      <c r="AH102" s="8" t="str">
        <f t="array" ref="AH102">IF(AG102&gt;5,"Perlu Sensus",IF(AND(AG102&gt;=0,AD102&gt;0),"Tetap Deteksi","Belum Deteksi"))</f>
        <v>Belum Deteksi</v>
      </c>
      <c r="AI102" s="143"/>
      <c r="AJ102" s="9">
        <f t="shared" si="18"/>
        <v>0</v>
      </c>
      <c r="AK102" s="11"/>
      <c r="AL102" s="143"/>
      <c r="AM102" s="143"/>
      <c r="AN102" s="9">
        <f t="shared" si="19"/>
        <v>0</v>
      </c>
      <c r="AO102" s="8" t="str">
        <f t="array" ref="AO102">IF(AN102&gt;5,"Perlu Sensus",IF(AND(AN102&gt;=0,AL102&gt;0),"Tetap Deteksi","Belum Deteksi"))</f>
        <v>Belum Deteksi</v>
      </c>
      <c r="AP102" s="143"/>
      <c r="AQ102" s="9">
        <f t="shared" si="20"/>
        <v>0</v>
      </c>
    </row>
    <row r="103" spans="1:43" outlineLevel="1" x14ac:dyDescent="0.15">
      <c r="A103" s="8" t="s">
        <v>1821</v>
      </c>
      <c r="B103" s="8"/>
      <c r="C103" s="8" t="s">
        <v>173</v>
      </c>
      <c r="D103" s="186" t="s">
        <v>1840</v>
      </c>
      <c r="E103" s="9">
        <v>41.35</v>
      </c>
      <c r="F103" s="8" t="s">
        <v>1740</v>
      </c>
      <c r="G103" s="10">
        <v>6175.0000000000009</v>
      </c>
      <c r="H103" s="11">
        <f t="array" ref="H103">IF(OR(N103&gt;0,AC103&gt;0),MAX(N103,AC103),MAX(AK103,V103))</f>
        <v>46249</v>
      </c>
      <c r="I103" s="143">
        <f t="array" ref="I103">IF(SUM(O103,AD103)&gt;0,SUM(O103,AD103),SUM(AL103,W103))</f>
        <v>122</v>
      </c>
      <c r="J103" s="9">
        <f t="shared" si="11"/>
        <v>1.9757085020242913</v>
      </c>
      <c r="K103" s="143">
        <f t="shared" si="21"/>
        <v>4</v>
      </c>
      <c r="L103" s="9">
        <f t="shared" si="12"/>
        <v>3.278688524590164</v>
      </c>
      <c r="M103" s="8" t="str">
        <f t="array" ref="M103">IF(L103&gt;5,"Perlu Sensus",IF(AND(L103&gt;=0,I103&gt;0),"Tetap Deteksi","Belum Deteksi"))</f>
        <v>Tetap Deteksi</v>
      </c>
      <c r="N103" s="11">
        <v>46249</v>
      </c>
      <c r="O103" s="143">
        <v>122</v>
      </c>
      <c r="P103" s="9">
        <f t="array" ref="P103">IFERROR(O103/$G103*100,0)</f>
        <v>1.9757085020242913</v>
      </c>
      <c r="Q103" s="143">
        <v>4</v>
      </c>
      <c r="R103" s="9">
        <f t="shared" si="13"/>
        <v>3.278688524590164</v>
      </c>
      <c r="S103" s="8" t="str">
        <f t="array" ref="S103">IF(R103&gt;5,"Perlu Sensus",IF(AND(R103&gt;=0,O103&gt;0),"Tetap Deteksi","Belum Deteksi"))</f>
        <v>Tetap Deteksi</v>
      </c>
      <c r="T103" s="143">
        <v>0</v>
      </c>
      <c r="U103" s="9">
        <f t="shared" si="14"/>
        <v>0</v>
      </c>
      <c r="V103" s="11">
        <v>0</v>
      </c>
      <c r="W103" s="143">
        <v>0</v>
      </c>
      <c r="X103" s="143">
        <v>0</v>
      </c>
      <c r="Y103" s="9">
        <f t="shared" si="15"/>
        <v>0</v>
      </c>
      <c r="Z103" s="8" t="str">
        <f t="array" ref="Z103">IF(Y103&gt;5,"Perlu Sensus",IF(AND(Y103&gt;=0,W103&gt;0),"Tetap Deteksi","Belum Deteksi"))</f>
        <v>Belum Deteksi</v>
      </c>
      <c r="AA103" s="143">
        <v>0</v>
      </c>
      <c r="AB103" s="9">
        <f t="shared" si="16"/>
        <v>0</v>
      </c>
      <c r="AC103" s="11"/>
      <c r="AD103" s="143"/>
      <c r="AE103" s="9">
        <f t="array" ref="AE103">IFERROR(AD103/$G103*100,0)</f>
        <v>0</v>
      </c>
      <c r="AF103" s="143"/>
      <c r="AG103" s="9">
        <f t="shared" si="17"/>
        <v>0</v>
      </c>
      <c r="AH103" s="8" t="str">
        <f t="array" ref="AH103">IF(AG103&gt;5,"Perlu Sensus",IF(AND(AG103&gt;=0,AD103&gt;0),"Tetap Deteksi","Belum Deteksi"))</f>
        <v>Belum Deteksi</v>
      </c>
      <c r="AI103" s="143"/>
      <c r="AJ103" s="9">
        <f t="shared" si="18"/>
        <v>0</v>
      </c>
      <c r="AK103" s="11"/>
      <c r="AL103" s="143"/>
      <c r="AM103" s="143"/>
      <c r="AN103" s="9">
        <f t="shared" si="19"/>
        <v>0</v>
      </c>
      <c r="AO103" s="8" t="str">
        <f t="array" ref="AO103">IF(AN103&gt;5,"Perlu Sensus",IF(AND(AN103&gt;=0,AL103&gt;0),"Tetap Deteksi","Belum Deteksi"))</f>
        <v>Belum Deteksi</v>
      </c>
      <c r="AP103" s="143"/>
      <c r="AQ103" s="9">
        <f t="shared" si="20"/>
        <v>0</v>
      </c>
    </row>
    <row r="104" spans="1:43" outlineLevel="1" x14ac:dyDescent="0.15">
      <c r="A104" s="8" t="s">
        <v>1821</v>
      </c>
      <c r="B104" s="8"/>
      <c r="C104" s="8" t="s">
        <v>173</v>
      </c>
      <c r="D104" s="186" t="s">
        <v>1841</v>
      </c>
      <c r="E104" s="9">
        <v>24.729999999999997</v>
      </c>
      <c r="F104" s="8" t="s">
        <v>1740</v>
      </c>
      <c r="G104" s="10">
        <v>3927</v>
      </c>
      <c r="H104" s="11">
        <f t="array" ref="H104">IF(OR(N104&gt;0,AC104&gt;0),MAX(N104,AC104),MAX(AK104,V104))</f>
        <v>46249</v>
      </c>
      <c r="I104" s="143">
        <f t="array" ref="I104">IF(SUM(O104,AD104)&gt;0,SUM(O104,AD104),SUM(AL104,W104))</f>
        <v>118</v>
      </c>
      <c r="J104" s="9">
        <f t="shared" si="11"/>
        <v>3.0048382989559461</v>
      </c>
      <c r="K104" s="143">
        <f t="shared" si="21"/>
        <v>5</v>
      </c>
      <c r="L104" s="9">
        <f t="shared" si="12"/>
        <v>4.2372881355932197</v>
      </c>
      <c r="M104" s="8" t="str">
        <f t="array" ref="M104">IF(L104&gt;5,"Perlu Sensus",IF(AND(L104&gt;=0,I104&gt;0),"Tetap Deteksi","Belum Deteksi"))</f>
        <v>Tetap Deteksi</v>
      </c>
      <c r="N104" s="11">
        <v>46249</v>
      </c>
      <c r="O104" s="143">
        <v>118</v>
      </c>
      <c r="P104" s="9">
        <f t="array" ref="P104">IFERROR(O104/$G104*100,0)</f>
        <v>3.0048382989559461</v>
      </c>
      <c r="Q104" s="143">
        <v>5</v>
      </c>
      <c r="R104" s="9">
        <f t="shared" si="13"/>
        <v>4.2372881355932197</v>
      </c>
      <c r="S104" s="8" t="str">
        <f t="array" ref="S104">IF(R104&gt;5,"Perlu Sensus",IF(AND(R104&gt;=0,O104&gt;0),"Tetap Deteksi","Belum Deteksi"))</f>
        <v>Tetap Deteksi</v>
      </c>
      <c r="T104" s="143">
        <v>14</v>
      </c>
      <c r="U104" s="9">
        <f t="shared" si="14"/>
        <v>11.864406779661017</v>
      </c>
      <c r="V104" s="11">
        <v>0</v>
      </c>
      <c r="W104" s="143">
        <v>0</v>
      </c>
      <c r="X104" s="143">
        <v>0</v>
      </c>
      <c r="Y104" s="9">
        <f t="shared" si="15"/>
        <v>0</v>
      </c>
      <c r="Z104" s="8" t="str">
        <f t="array" ref="Z104">IF(Y104&gt;5,"Perlu Sensus",IF(AND(Y104&gt;=0,W104&gt;0),"Tetap Deteksi","Belum Deteksi"))</f>
        <v>Belum Deteksi</v>
      </c>
      <c r="AA104" s="143">
        <v>0</v>
      </c>
      <c r="AB104" s="9">
        <f t="shared" si="16"/>
        <v>0</v>
      </c>
      <c r="AC104" s="11"/>
      <c r="AD104" s="143"/>
      <c r="AE104" s="9">
        <f t="array" ref="AE104">IFERROR(AD104/$G104*100,0)</f>
        <v>0</v>
      </c>
      <c r="AF104" s="143"/>
      <c r="AG104" s="9">
        <f t="shared" si="17"/>
        <v>0</v>
      </c>
      <c r="AH104" s="8" t="str">
        <f t="array" ref="AH104">IF(AG104&gt;5,"Perlu Sensus",IF(AND(AG104&gt;=0,AD104&gt;0),"Tetap Deteksi","Belum Deteksi"))</f>
        <v>Belum Deteksi</v>
      </c>
      <c r="AI104" s="143"/>
      <c r="AJ104" s="9">
        <f t="shared" si="18"/>
        <v>0</v>
      </c>
      <c r="AK104" s="11"/>
      <c r="AL104" s="143"/>
      <c r="AM104" s="143"/>
      <c r="AN104" s="9">
        <f t="shared" si="19"/>
        <v>0</v>
      </c>
      <c r="AO104" s="8" t="str">
        <f t="array" ref="AO104">IF(AN104&gt;5,"Perlu Sensus",IF(AND(AN104&gt;=0,AL104&gt;0),"Tetap Deteksi","Belum Deteksi"))</f>
        <v>Belum Deteksi</v>
      </c>
      <c r="AP104" s="143"/>
      <c r="AQ104" s="9">
        <f t="shared" si="20"/>
        <v>0</v>
      </c>
    </row>
    <row r="105" spans="1:43" outlineLevel="1" x14ac:dyDescent="0.15">
      <c r="A105" s="8" t="s">
        <v>1821</v>
      </c>
      <c r="B105" s="8"/>
      <c r="C105" s="8" t="s">
        <v>173</v>
      </c>
      <c r="D105" s="186" t="s">
        <v>1842</v>
      </c>
      <c r="E105" s="9">
        <v>23.970000000000002</v>
      </c>
      <c r="F105" s="8" t="s">
        <v>1740</v>
      </c>
      <c r="G105" s="10">
        <v>3904.0000000000005</v>
      </c>
      <c r="H105" s="11">
        <f t="array" ref="H105">IF(OR(N105&gt;0,AC105&gt;0),MAX(N105,AC105),MAX(AK105,V105))</f>
        <v>46249</v>
      </c>
      <c r="I105" s="143">
        <f t="array" ref="I105">IF(SUM(O105,AD105)&gt;0,SUM(O105,AD105),SUM(AL105,W105))</f>
        <v>244</v>
      </c>
      <c r="J105" s="9">
        <f t="shared" si="11"/>
        <v>6.2499999999999991</v>
      </c>
      <c r="K105" s="143">
        <f t="shared" si="21"/>
        <v>7</v>
      </c>
      <c r="L105" s="9">
        <f t="shared" si="12"/>
        <v>2.8688524590163933</v>
      </c>
      <c r="M105" s="8" t="str">
        <f t="array" ref="M105">IF(L105&gt;5,"Perlu Sensus",IF(AND(L105&gt;=0,I105&gt;0),"Tetap Deteksi","Belum Deteksi"))</f>
        <v>Tetap Deteksi</v>
      </c>
      <c r="N105" s="11">
        <v>46249</v>
      </c>
      <c r="O105" s="143">
        <v>244</v>
      </c>
      <c r="P105" s="9">
        <f t="array" ref="P105">IFERROR(O105/$G105*100,0)</f>
        <v>6.2499999999999991</v>
      </c>
      <c r="Q105" s="143">
        <v>7</v>
      </c>
      <c r="R105" s="9">
        <f t="shared" si="13"/>
        <v>2.8688524590163933</v>
      </c>
      <c r="S105" s="8" t="str">
        <f t="array" ref="S105">IF(R105&gt;5,"Perlu Sensus",IF(AND(R105&gt;=0,O105&gt;0),"Tetap Deteksi","Belum Deteksi"))</f>
        <v>Tetap Deteksi</v>
      </c>
      <c r="T105" s="143">
        <v>28</v>
      </c>
      <c r="U105" s="9">
        <f t="shared" si="14"/>
        <v>11.475409836065573</v>
      </c>
      <c r="V105" s="11">
        <v>46249</v>
      </c>
      <c r="W105" s="143">
        <v>1332</v>
      </c>
      <c r="X105" s="143">
        <v>52</v>
      </c>
      <c r="Y105" s="9">
        <f t="shared" si="15"/>
        <v>3.9039039039039038</v>
      </c>
      <c r="Z105" s="8" t="str">
        <f t="array" ref="Z105">IF(Y105&gt;5,"Perlu Sensus",IF(AND(Y105&gt;=0,W105&gt;0),"Tetap Deteksi","Belum Deteksi"))</f>
        <v>Tetap Deteksi</v>
      </c>
      <c r="AA105" s="143">
        <v>135</v>
      </c>
      <c r="AB105" s="9">
        <f t="shared" si="16"/>
        <v>10.135135135135135</v>
      </c>
      <c r="AC105" s="11"/>
      <c r="AD105" s="143"/>
      <c r="AE105" s="9">
        <f t="array" ref="AE105">IFERROR(AD105/$G105*100,0)</f>
        <v>0</v>
      </c>
      <c r="AF105" s="143"/>
      <c r="AG105" s="9">
        <f t="shared" si="17"/>
        <v>0</v>
      </c>
      <c r="AH105" s="8" t="str">
        <f t="array" ref="AH105">IF(AG105&gt;5,"Perlu Sensus",IF(AND(AG105&gt;=0,AD105&gt;0),"Tetap Deteksi","Belum Deteksi"))</f>
        <v>Belum Deteksi</v>
      </c>
      <c r="AI105" s="143"/>
      <c r="AJ105" s="9">
        <f t="shared" si="18"/>
        <v>0</v>
      </c>
      <c r="AK105" s="11"/>
      <c r="AL105" s="143"/>
      <c r="AM105" s="143"/>
      <c r="AN105" s="9">
        <f t="shared" si="19"/>
        <v>0</v>
      </c>
      <c r="AO105" s="8" t="str">
        <f t="array" ref="AO105">IF(AN105&gt;5,"Perlu Sensus",IF(AND(AN105&gt;=0,AL105&gt;0),"Tetap Deteksi","Belum Deteksi"))</f>
        <v>Belum Deteksi</v>
      </c>
      <c r="AP105" s="143"/>
      <c r="AQ105" s="9">
        <f t="shared" si="20"/>
        <v>0</v>
      </c>
    </row>
    <row r="106" spans="1:43" outlineLevel="1" x14ac:dyDescent="0.15">
      <c r="A106" s="8" t="s">
        <v>1821</v>
      </c>
      <c r="B106" s="8"/>
      <c r="C106" s="8" t="s">
        <v>173</v>
      </c>
      <c r="D106" s="8" t="s">
        <v>1792</v>
      </c>
      <c r="E106" s="9">
        <v>24.01</v>
      </c>
      <c r="F106" s="8" t="s">
        <v>1823</v>
      </c>
      <c r="G106" s="10">
        <v>3460.0000000000005</v>
      </c>
      <c r="H106" s="11">
        <f t="array" ref="H106">IF(OR(N106&gt;0,AC106&gt;0),MAX(N106,AC106),MAX(AK106,V106))</f>
        <v>46248</v>
      </c>
      <c r="I106" s="143">
        <f t="array" ref="I106">IF(SUM(O106,AD106)&gt;0,SUM(O106,AD106),SUM(AL106,W106))</f>
        <v>240</v>
      </c>
      <c r="J106" s="9">
        <f t="shared" si="11"/>
        <v>6.9364161849710975</v>
      </c>
      <c r="K106" s="143">
        <f t="shared" si="21"/>
        <v>7</v>
      </c>
      <c r="L106" s="9">
        <f t="shared" si="12"/>
        <v>2.9166666666666665</v>
      </c>
      <c r="M106" s="8" t="str">
        <f t="array" ref="M106">IF(L106&gt;5,"Perlu Sensus",IF(AND(L106&gt;=0,I106&gt;0),"Tetap Deteksi","Belum Deteksi"))</f>
        <v>Tetap Deteksi</v>
      </c>
      <c r="N106" s="11">
        <v>46248</v>
      </c>
      <c r="O106" s="143">
        <v>240</v>
      </c>
      <c r="P106" s="9">
        <f t="array" ref="P106">IFERROR(O106/$G106*100,0)</f>
        <v>6.9364161849710975</v>
      </c>
      <c r="Q106" s="143">
        <v>7</v>
      </c>
      <c r="R106" s="9">
        <f t="shared" si="13"/>
        <v>2.9166666666666665</v>
      </c>
      <c r="S106" s="8" t="str">
        <f t="array" ref="S106">IF(R106&gt;5,"Perlu Sensus",IF(AND(R106&gt;=0,O106&gt;0),"Tetap Deteksi","Belum Deteksi"))</f>
        <v>Tetap Deteksi</v>
      </c>
      <c r="T106" s="143">
        <v>36</v>
      </c>
      <c r="U106" s="9">
        <f t="shared" si="14"/>
        <v>15</v>
      </c>
      <c r="V106" s="11">
        <v>46247</v>
      </c>
      <c r="W106" s="143">
        <v>1874</v>
      </c>
      <c r="X106" s="143">
        <v>63</v>
      </c>
      <c r="Y106" s="9">
        <f t="shared" si="15"/>
        <v>3.3617929562433297</v>
      </c>
      <c r="Z106" s="8" t="str">
        <f t="array" ref="Z106">IF(Y106&gt;5,"Perlu Sensus",IF(AND(Y106&gt;=0,W106&gt;0),"Tetap Deteksi","Belum Deteksi"))</f>
        <v>Tetap Deteksi</v>
      </c>
      <c r="AA106" s="143">
        <v>243</v>
      </c>
      <c r="AB106" s="9">
        <f t="shared" si="16"/>
        <v>12.966915688367129</v>
      </c>
      <c r="AC106" s="11"/>
      <c r="AD106" s="143"/>
      <c r="AE106" s="9">
        <f t="array" ref="AE106">IFERROR(AD106/$G106*100,0)</f>
        <v>0</v>
      </c>
      <c r="AF106" s="143"/>
      <c r="AG106" s="9">
        <f t="shared" si="17"/>
        <v>0</v>
      </c>
      <c r="AH106" s="8" t="str">
        <f t="array" ref="AH106">IF(AG106&gt;5,"Perlu Sensus",IF(AND(AG106&gt;=0,AD106&gt;0),"Tetap Deteksi","Belum Deteksi"))</f>
        <v>Belum Deteksi</v>
      </c>
      <c r="AI106" s="143"/>
      <c r="AJ106" s="9">
        <f t="shared" si="18"/>
        <v>0</v>
      </c>
      <c r="AK106" s="11"/>
      <c r="AL106" s="143"/>
      <c r="AM106" s="143"/>
      <c r="AN106" s="9">
        <f t="shared" si="19"/>
        <v>0</v>
      </c>
      <c r="AO106" s="8" t="str">
        <f t="array" ref="AO106">IF(AN106&gt;5,"Perlu Sensus",IF(AND(AN106&gt;=0,AL106&gt;0),"Tetap Deteksi","Belum Deteksi"))</f>
        <v>Belum Deteksi</v>
      </c>
      <c r="AP106" s="143"/>
      <c r="AQ106" s="9">
        <f t="shared" si="20"/>
        <v>0</v>
      </c>
    </row>
    <row r="107" spans="1:43" outlineLevel="1" x14ac:dyDescent="0.15">
      <c r="A107" s="8" t="s">
        <v>1821</v>
      </c>
      <c r="B107" s="8"/>
      <c r="C107" s="8" t="s">
        <v>173</v>
      </c>
      <c r="D107" s="186" t="s">
        <v>1016</v>
      </c>
      <c r="E107" s="9">
        <v>35.71</v>
      </c>
      <c r="F107" s="8" t="s">
        <v>1740</v>
      </c>
      <c r="G107" s="10">
        <v>5444</v>
      </c>
      <c r="H107" s="11">
        <f t="array" ref="H107">IF(OR(N107&gt;0,AC107&gt;0),MAX(N107,AC107),MAX(AK107,V107))</f>
        <v>46247</v>
      </c>
      <c r="I107" s="143">
        <f t="array" ref="I107">IF(SUM(O107,AD107)&gt;0,SUM(O107,AD107),SUM(AL107,W107))</f>
        <v>118</v>
      </c>
      <c r="J107" s="9">
        <f t="shared" si="11"/>
        <v>2.1675238795003673</v>
      </c>
      <c r="K107" s="143">
        <f t="shared" si="21"/>
        <v>4</v>
      </c>
      <c r="L107" s="9">
        <f t="shared" si="12"/>
        <v>3.3898305084745761</v>
      </c>
      <c r="M107" s="8" t="str">
        <f t="array" ref="M107">IF(L107&gt;5,"Perlu Sensus",IF(AND(L107&gt;=0,I107&gt;0),"Tetap Deteksi","Belum Deteksi"))</f>
        <v>Tetap Deteksi</v>
      </c>
      <c r="N107" s="11">
        <v>46247</v>
      </c>
      <c r="O107" s="143">
        <v>118</v>
      </c>
      <c r="P107" s="9">
        <f t="array" ref="P107">IFERROR(O107/$G107*100,0)</f>
        <v>2.1675238795003673</v>
      </c>
      <c r="Q107" s="143">
        <v>4</v>
      </c>
      <c r="R107" s="9">
        <f t="shared" si="13"/>
        <v>3.3898305084745761</v>
      </c>
      <c r="S107" s="8" t="str">
        <f t="array" ref="S107">IF(R107&gt;5,"Perlu Sensus",IF(AND(R107&gt;=0,O107&gt;0),"Tetap Deteksi","Belum Deteksi"))</f>
        <v>Tetap Deteksi</v>
      </c>
      <c r="T107" s="143">
        <v>21</v>
      </c>
      <c r="U107" s="9">
        <f t="shared" si="14"/>
        <v>17.796610169491526</v>
      </c>
      <c r="V107" s="11">
        <v>46248</v>
      </c>
      <c r="W107" s="143">
        <v>1633</v>
      </c>
      <c r="X107" s="143">
        <v>79</v>
      </c>
      <c r="Y107" s="9">
        <f t="shared" si="15"/>
        <v>4.8377219840783834</v>
      </c>
      <c r="Z107" s="8" t="str">
        <f t="array" ref="Z107">IF(Y107&gt;5,"Perlu Sensus",IF(AND(Y107&gt;=0,W107&gt;0),"Tetap Deteksi","Belum Deteksi"))</f>
        <v>Tetap Deteksi</v>
      </c>
      <c r="AA107" s="143">
        <v>128</v>
      </c>
      <c r="AB107" s="9">
        <f t="shared" si="16"/>
        <v>7.8383343539497856</v>
      </c>
      <c r="AC107" s="11"/>
      <c r="AD107" s="143"/>
      <c r="AE107" s="9">
        <f t="array" ref="AE107">IFERROR(AD107/$G107*100,0)</f>
        <v>0</v>
      </c>
      <c r="AF107" s="143"/>
      <c r="AG107" s="9">
        <f t="shared" si="17"/>
        <v>0</v>
      </c>
      <c r="AH107" s="8" t="str">
        <f t="array" ref="AH107">IF(AG107&gt;5,"Perlu Sensus",IF(AND(AG107&gt;=0,AD107&gt;0),"Tetap Deteksi","Belum Deteksi"))</f>
        <v>Belum Deteksi</v>
      </c>
      <c r="AI107" s="143"/>
      <c r="AJ107" s="9">
        <f t="shared" si="18"/>
        <v>0</v>
      </c>
      <c r="AK107" s="11"/>
      <c r="AL107" s="143"/>
      <c r="AM107" s="143"/>
      <c r="AN107" s="9">
        <f t="shared" si="19"/>
        <v>0</v>
      </c>
      <c r="AO107" s="8" t="str">
        <f t="array" ref="AO107">IF(AN107&gt;5,"Perlu Sensus",IF(AND(AN107&gt;=0,AL107&gt;0),"Tetap Deteksi","Belum Deteksi"))</f>
        <v>Belum Deteksi</v>
      </c>
      <c r="AP107" s="143"/>
      <c r="AQ107" s="9">
        <f t="shared" si="20"/>
        <v>0</v>
      </c>
    </row>
    <row r="108" spans="1:43" outlineLevel="1" x14ac:dyDescent="0.15">
      <c r="A108" s="8" t="s">
        <v>1821</v>
      </c>
      <c r="B108" s="8"/>
      <c r="C108" s="8" t="s">
        <v>173</v>
      </c>
      <c r="D108" s="186" t="s">
        <v>1843</v>
      </c>
      <c r="E108" s="9">
        <v>37.54</v>
      </c>
      <c r="F108" s="8" t="s">
        <v>1833</v>
      </c>
      <c r="G108" s="10">
        <v>5848</v>
      </c>
      <c r="H108" s="11">
        <f t="array" ref="H108">IF(OR(N108&gt;0,AC108&gt;0),MAX(N108,AC108),MAX(AK108,V108))</f>
        <v>46249</v>
      </c>
      <c r="I108" s="143">
        <f t="array" ref="I108">IF(SUM(O108,AD108)&gt;0,SUM(O108,AD108),SUM(AL108,W108))</f>
        <v>64</v>
      </c>
      <c r="J108" s="9">
        <f t="shared" si="11"/>
        <v>1.094391244870041</v>
      </c>
      <c r="K108" s="143">
        <f t="shared" si="21"/>
        <v>1</v>
      </c>
      <c r="L108" s="9">
        <f t="shared" si="12"/>
        <v>1.5625</v>
      </c>
      <c r="M108" s="8" t="str">
        <f t="array" ref="M108">IF(L108&gt;5,"Perlu Sensus",IF(AND(L108&gt;=0,I108&gt;0),"Tetap Deteksi","Belum Deteksi"))</f>
        <v>Tetap Deteksi</v>
      </c>
      <c r="N108" s="11">
        <v>46249</v>
      </c>
      <c r="O108" s="143">
        <v>64</v>
      </c>
      <c r="P108" s="9">
        <f t="array" ref="P108">IFERROR(O108/$G108*100,0)</f>
        <v>1.094391244870041</v>
      </c>
      <c r="Q108" s="143">
        <v>1</v>
      </c>
      <c r="R108" s="9">
        <f t="shared" si="13"/>
        <v>1.5625</v>
      </c>
      <c r="S108" s="8" t="str">
        <f t="array" ref="S108">IF(R108&gt;5,"Perlu Sensus",IF(AND(R108&gt;=0,O108&gt;0),"Tetap Deteksi","Belum Deteksi"))</f>
        <v>Tetap Deteksi</v>
      </c>
      <c r="T108" s="143">
        <v>0</v>
      </c>
      <c r="U108" s="9">
        <f t="shared" si="14"/>
        <v>0</v>
      </c>
      <c r="V108" s="11">
        <v>0</v>
      </c>
      <c r="W108" s="143">
        <v>0</v>
      </c>
      <c r="X108" s="143">
        <v>0</v>
      </c>
      <c r="Y108" s="9">
        <f t="shared" si="15"/>
        <v>0</v>
      </c>
      <c r="Z108" s="8" t="str">
        <f t="array" ref="Z108">IF(Y108&gt;5,"Perlu Sensus",IF(AND(Y108&gt;=0,W108&gt;0),"Tetap Deteksi","Belum Deteksi"))</f>
        <v>Belum Deteksi</v>
      </c>
      <c r="AA108" s="143">
        <v>0</v>
      </c>
      <c r="AB108" s="9">
        <f t="shared" si="16"/>
        <v>0</v>
      </c>
      <c r="AC108" s="11"/>
      <c r="AD108" s="143"/>
      <c r="AE108" s="9">
        <f t="array" ref="AE108">IFERROR(AD108/$G108*100,0)</f>
        <v>0</v>
      </c>
      <c r="AF108" s="143"/>
      <c r="AG108" s="9">
        <f t="shared" si="17"/>
        <v>0</v>
      </c>
      <c r="AH108" s="8" t="str">
        <f t="array" ref="AH108">IF(AG108&gt;5,"Perlu Sensus",IF(AND(AG108&gt;=0,AD108&gt;0),"Tetap Deteksi","Belum Deteksi"))</f>
        <v>Belum Deteksi</v>
      </c>
      <c r="AI108" s="143"/>
      <c r="AJ108" s="9">
        <f t="shared" si="18"/>
        <v>0</v>
      </c>
      <c r="AK108" s="11"/>
      <c r="AL108" s="143"/>
      <c r="AM108" s="143"/>
      <c r="AN108" s="9">
        <f t="shared" si="19"/>
        <v>0</v>
      </c>
      <c r="AO108" s="8" t="str">
        <f t="array" ref="AO108">IF(AN108&gt;5,"Perlu Sensus",IF(AND(AN108&gt;=0,AL108&gt;0),"Tetap Deteksi","Belum Deteksi"))</f>
        <v>Belum Deteksi</v>
      </c>
      <c r="AP108" s="143"/>
      <c r="AQ108" s="9">
        <f t="shared" si="20"/>
        <v>0</v>
      </c>
    </row>
    <row r="109" spans="1:43" outlineLevel="1" x14ac:dyDescent="0.15">
      <c r="A109" s="8" t="s">
        <v>1821</v>
      </c>
      <c r="B109" s="8"/>
      <c r="C109" s="8" t="s">
        <v>173</v>
      </c>
      <c r="D109" s="186" t="s">
        <v>1844</v>
      </c>
      <c r="E109" s="9">
        <v>27.05</v>
      </c>
      <c r="F109" s="8" t="s">
        <v>1833</v>
      </c>
      <c r="G109" s="10">
        <v>4095.9999999999995</v>
      </c>
      <c r="H109" s="11">
        <f t="array" ref="H109">IF(OR(N109&gt;0,AC109&gt;0),MAX(N109,AC109),MAX(AK109,V109))</f>
        <v>46249</v>
      </c>
      <c r="I109" s="143">
        <f t="array" ref="I109">IF(SUM(O109,AD109)&gt;0,SUM(O109,AD109),SUM(AL109,W109))</f>
        <v>68</v>
      </c>
      <c r="J109" s="9">
        <f t="shared" si="11"/>
        <v>1.6601562500000004</v>
      </c>
      <c r="K109" s="143">
        <f t="shared" si="21"/>
        <v>2</v>
      </c>
      <c r="L109" s="9">
        <f t="shared" si="12"/>
        <v>2.9411764705882351</v>
      </c>
      <c r="M109" s="8" t="str">
        <f t="array" ref="M109">IF(L109&gt;5,"Perlu Sensus",IF(AND(L109&gt;=0,I109&gt;0),"Tetap Deteksi","Belum Deteksi"))</f>
        <v>Tetap Deteksi</v>
      </c>
      <c r="N109" s="11">
        <v>46249</v>
      </c>
      <c r="O109" s="143">
        <v>68</v>
      </c>
      <c r="P109" s="9">
        <f t="array" ref="P109">IFERROR(O109/$G109*100,0)</f>
        <v>1.6601562500000004</v>
      </c>
      <c r="Q109" s="143">
        <v>2</v>
      </c>
      <c r="R109" s="9">
        <f t="shared" si="13"/>
        <v>2.9411764705882351</v>
      </c>
      <c r="S109" s="8" t="str">
        <f t="array" ref="S109">IF(R109&gt;5,"Perlu Sensus",IF(AND(R109&gt;=0,O109&gt;0),"Tetap Deteksi","Belum Deteksi"))</f>
        <v>Tetap Deteksi</v>
      </c>
      <c r="T109" s="143">
        <v>0</v>
      </c>
      <c r="U109" s="9">
        <f t="shared" si="14"/>
        <v>0</v>
      </c>
      <c r="V109" s="11">
        <v>0</v>
      </c>
      <c r="W109" s="143">
        <v>0</v>
      </c>
      <c r="X109" s="143">
        <v>0</v>
      </c>
      <c r="Y109" s="9">
        <f t="shared" si="15"/>
        <v>0</v>
      </c>
      <c r="Z109" s="8" t="str">
        <f t="array" ref="Z109">IF(Y109&gt;5,"Perlu Sensus",IF(AND(Y109&gt;=0,W109&gt;0),"Tetap Deteksi","Belum Deteksi"))</f>
        <v>Belum Deteksi</v>
      </c>
      <c r="AA109" s="143">
        <v>0</v>
      </c>
      <c r="AB109" s="9">
        <f t="shared" si="16"/>
        <v>0</v>
      </c>
      <c r="AC109" s="11"/>
      <c r="AD109" s="143"/>
      <c r="AE109" s="9">
        <f t="array" ref="AE109">IFERROR(AD109/$G109*100,0)</f>
        <v>0</v>
      </c>
      <c r="AF109" s="143"/>
      <c r="AG109" s="9">
        <f t="shared" si="17"/>
        <v>0</v>
      </c>
      <c r="AH109" s="8" t="str">
        <f t="array" ref="AH109">IF(AG109&gt;5,"Perlu Sensus",IF(AND(AG109&gt;=0,AD109&gt;0),"Tetap Deteksi","Belum Deteksi"))</f>
        <v>Belum Deteksi</v>
      </c>
      <c r="AI109" s="143"/>
      <c r="AJ109" s="9">
        <f t="shared" si="18"/>
        <v>0</v>
      </c>
      <c r="AK109" s="11"/>
      <c r="AL109" s="143"/>
      <c r="AM109" s="143"/>
      <c r="AN109" s="9">
        <f t="shared" si="19"/>
        <v>0</v>
      </c>
      <c r="AO109" s="8" t="str">
        <f t="array" ref="AO109">IF(AN109&gt;5,"Perlu Sensus",IF(AND(AN109&gt;=0,AL109&gt;0),"Tetap Deteksi","Belum Deteksi"))</f>
        <v>Belum Deteksi</v>
      </c>
      <c r="AP109" s="143"/>
      <c r="AQ109" s="9">
        <f t="shared" si="20"/>
        <v>0</v>
      </c>
    </row>
    <row r="110" spans="1:43" outlineLevel="1" x14ac:dyDescent="0.15">
      <c r="A110" s="8" t="s">
        <v>1821</v>
      </c>
      <c r="B110" s="8"/>
      <c r="C110" s="8" t="s">
        <v>173</v>
      </c>
      <c r="D110" s="186" t="s">
        <v>1845</v>
      </c>
      <c r="E110" s="9">
        <v>25.73</v>
      </c>
      <c r="F110" s="8" t="s">
        <v>1740</v>
      </c>
      <c r="G110" s="10">
        <v>3760.9999999999995</v>
      </c>
      <c r="H110" s="11">
        <f t="array" ref="H110">IF(OR(N110&gt;0,AC110&gt;0),MAX(N110,AC110),MAX(AK110,V110))</f>
        <v>46249</v>
      </c>
      <c r="I110" s="143">
        <f t="array" ref="I110">IF(SUM(O110,AD110)&gt;0,SUM(O110,AD110),SUM(AL110,W110))</f>
        <v>60</v>
      </c>
      <c r="J110" s="9">
        <f t="shared" si="11"/>
        <v>1.5953203935123641</v>
      </c>
      <c r="K110" s="143">
        <f t="shared" si="21"/>
        <v>3</v>
      </c>
      <c r="L110" s="9">
        <f t="shared" si="12"/>
        <v>5</v>
      </c>
      <c r="M110" s="8" t="str">
        <f t="array" ref="M110">IF(L110&gt;5,"Perlu Sensus",IF(AND(L110&gt;=0,I110&gt;0),"Tetap Deteksi","Belum Deteksi"))</f>
        <v>Tetap Deteksi</v>
      </c>
      <c r="N110" s="11">
        <v>46249</v>
      </c>
      <c r="O110" s="143">
        <v>60</v>
      </c>
      <c r="P110" s="9">
        <f t="array" ref="P110">IFERROR(O110/$G110*100,0)</f>
        <v>1.5953203935123641</v>
      </c>
      <c r="Q110" s="143">
        <v>3</v>
      </c>
      <c r="R110" s="9">
        <f t="shared" si="13"/>
        <v>5</v>
      </c>
      <c r="S110" s="8" t="str">
        <f t="array" ref="S110">IF(R110&gt;5,"Perlu Sensus",IF(AND(R110&gt;=0,O110&gt;0),"Tetap Deteksi","Belum Deteksi"))</f>
        <v>Tetap Deteksi</v>
      </c>
      <c r="T110" s="143">
        <v>0</v>
      </c>
      <c r="U110" s="9">
        <f t="shared" si="14"/>
        <v>0</v>
      </c>
      <c r="V110" s="11">
        <v>0</v>
      </c>
      <c r="W110" s="143">
        <v>0</v>
      </c>
      <c r="X110" s="143">
        <v>0</v>
      </c>
      <c r="Y110" s="9">
        <f t="shared" si="15"/>
        <v>0</v>
      </c>
      <c r="Z110" s="8" t="str">
        <f t="array" ref="Z110">IF(Y110&gt;5,"Perlu Sensus",IF(AND(Y110&gt;=0,W110&gt;0),"Tetap Deteksi","Belum Deteksi"))</f>
        <v>Belum Deteksi</v>
      </c>
      <c r="AA110" s="143">
        <v>0</v>
      </c>
      <c r="AB110" s="9">
        <f t="shared" si="16"/>
        <v>0</v>
      </c>
      <c r="AC110" s="11"/>
      <c r="AD110" s="143"/>
      <c r="AE110" s="9">
        <f t="array" ref="AE110">IFERROR(AD110/$G110*100,0)</f>
        <v>0</v>
      </c>
      <c r="AF110" s="143"/>
      <c r="AG110" s="9">
        <f t="shared" si="17"/>
        <v>0</v>
      </c>
      <c r="AH110" s="8" t="str">
        <f t="array" ref="AH110">IF(AG110&gt;5,"Perlu Sensus",IF(AND(AG110&gt;=0,AD110&gt;0),"Tetap Deteksi","Belum Deteksi"))</f>
        <v>Belum Deteksi</v>
      </c>
      <c r="AI110" s="143"/>
      <c r="AJ110" s="9">
        <f t="shared" si="18"/>
        <v>0</v>
      </c>
      <c r="AK110" s="11"/>
      <c r="AL110" s="143"/>
      <c r="AM110" s="143"/>
      <c r="AN110" s="9">
        <f t="shared" si="19"/>
        <v>0</v>
      </c>
      <c r="AO110" s="8" t="str">
        <f t="array" ref="AO110">IF(AN110&gt;5,"Perlu Sensus",IF(AND(AN110&gt;=0,AL110&gt;0),"Tetap Deteksi","Belum Deteksi"))</f>
        <v>Belum Deteksi</v>
      </c>
      <c r="AP110" s="143"/>
      <c r="AQ110" s="9">
        <f t="shared" si="20"/>
        <v>0</v>
      </c>
    </row>
    <row r="111" spans="1:43" outlineLevel="1" x14ac:dyDescent="0.15">
      <c r="A111" s="8" t="s">
        <v>1821</v>
      </c>
      <c r="B111" s="8"/>
      <c r="C111" s="8" t="s">
        <v>173</v>
      </c>
      <c r="D111" s="186" t="s">
        <v>1846</v>
      </c>
      <c r="E111" s="9">
        <v>24.05</v>
      </c>
      <c r="F111" s="8" t="s">
        <v>1740</v>
      </c>
      <c r="G111" s="10">
        <v>3465.9999999999995</v>
      </c>
      <c r="H111" s="11">
        <f t="array" ref="H111">IF(OR(N111&gt;0,AC111&gt;0),MAX(N111,AC111),MAX(AK111,V111))</f>
        <v>46249</v>
      </c>
      <c r="I111" s="143">
        <f t="array" ref="I111">IF(SUM(O111,AD111)&gt;0,SUM(O111,AD111),SUM(AL111,W111))</f>
        <v>54</v>
      </c>
      <c r="J111" s="9">
        <f t="shared" si="11"/>
        <v>1.55799192152337</v>
      </c>
      <c r="K111" s="143">
        <f t="shared" si="21"/>
        <v>2</v>
      </c>
      <c r="L111" s="9">
        <f t="shared" si="12"/>
        <v>3.7037037037037033</v>
      </c>
      <c r="M111" s="8" t="str">
        <f t="array" ref="M111">IF(L111&gt;5,"Perlu Sensus",IF(AND(L111&gt;=0,I111&gt;0),"Tetap Deteksi","Belum Deteksi"))</f>
        <v>Tetap Deteksi</v>
      </c>
      <c r="N111" s="11">
        <v>46249</v>
      </c>
      <c r="O111" s="143">
        <v>54</v>
      </c>
      <c r="P111" s="9">
        <f t="array" ref="P111">IFERROR(O111/$G111*100,0)</f>
        <v>1.55799192152337</v>
      </c>
      <c r="Q111" s="143">
        <v>2</v>
      </c>
      <c r="R111" s="9">
        <f t="shared" si="13"/>
        <v>3.7037037037037033</v>
      </c>
      <c r="S111" s="8" t="str">
        <f t="array" ref="S111">IF(R111&gt;5,"Perlu Sensus",IF(AND(R111&gt;=0,O111&gt;0),"Tetap Deteksi","Belum Deteksi"))</f>
        <v>Tetap Deteksi</v>
      </c>
      <c r="T111" s="143">
        <v>0</v>
      </c>
      <c r="U111" s="9">
        <f t="shared" si="14"/>
        <v>0</v>
      </c>
      <c r="V111" s="11">
        <v>0</v>
      </c>
      <c r="W111" s="143">
        <v>0</v>
      </c>
      <c r="X111" s="143">
        <v>0</v>
      </c>
      <c r="Y111" s="9">
        <f t="shared" si="15"/>
        <v>0</v>
      </c>
      <c r="Z111" s="8" t="str">
        <f t="array" ref="Z111">IF(Y111&gt;5,"Perlu Sensus",IF(AND(Y111&gt;=0,W111&gt;0),"Tetap Deteksi","Belum Deteksi"))</f>
        <v>Belum Deteksi</v>
      </c>
      <c r="AA111" s="143">
        <v>0</v>
      </c>
      <c r="AB111" s="9">
        <f t="shared" si="16"/>
        <v>0</v>
      </c>
      <c r="AC111" s="11"/>
      <c r="AD111" s="143"/>
      <c r="AE111" s="9">
        <f t="array" ref="AE111">IFERROR(AD111/$G111*100,0)</f>
        <v>0</v>
      </c>
      <c r="AF111" s="143"/>
      <c r="AG111" s="9">
        <f t="shared" si="17"/>
        <v>0</v>
      </c>
      <c r="AH111" s="8" t="str">
        <f t="array" ref="AH111">IF(AG111&gt;5,"Perlu Sensus",IF(AND(AG111&gt;=0,AD111&gt;0),"Tetap Deteksi","Belum Deteksi"))</f>
        <v>Belum Deteksi</v>
      </c>
      <c r="AI111" s="143"/>
      <c r="AJ111" s="9">
        <f t="shared" si="18"/>
        <v>0</v>
      </c>
      <c r="AK111" s="11"/>
      <c r="AL111" s="143"/>
      <c r="AM111" s="143"/>
      <c r="AN111" s="9">
        <f t="shared" si="19"/>
        <v>0</v>
      </c>
      <c r="AO111" s="8" t="str">
        <f t="array" ref="AO111">IF(AN111&gt;5,"Perlu Sensus",IF(AND(AN111&gt;=0,AL111&gt;0),"Tetap Deteksi","Belum Deteksi"))</f>
        <v>Belum Deteksi</v>
      </c>
      <c r="AP111" s="143"/>
      <c r="AQ111" s="9">
        <f t="shared" si="20"/>
        <v>0</v>
      </c>
    </row>
    <row r="112" spans="1:43" outlineLevel="1" x14ac:dyDescent="0.15">
      <c r="A112" s="8" t="s">
        <v>1821</v>
      </c>
      <c r="B112" s="8"/>
      <c r="C112" s="8" t="s">
        <v>173</v>
      </c>
      <c r="D112" s="186" t="s">
        <v>1847</v>
      </c>
      <c r="E112" s="9">
        <v>25.49</v>
      </c>
      <c r="F112" s="8" t="s">
        <v>1740</v>
      </c>
      <c r="G112" s="10">
        <v>3797</v>
      </c>
      <c r="H112" s="11">
        <f t="array" ref="H112">IF(OR(N112&gt;0,AC112&gt;0),MAX(N112,AC112),MAX(AK112,V112))</f>
        <v>46249</v>
      </c>
      <c r="I112" s="143">
        <f t="array" ref="I112">IF(SUM(O112,AD112)&gt;0,SUM(O112,AD112),SUM(AL112,W112))</f>
        <v>56</v>
      </c>
      <c r="J112" s="9">
        <f t="shared" si="11"/>
        <v>1.4748485646563076</v>
      </c>
      <c r="K112" s="143">
        <f t="shared" si="21"/>
        <v>1</v>
      </c>
      <c r="L112" s="9">
        <f t="shared" si="12"/>
        <v>1.7857142857142856</v>
      </c>
      <c r="M112" s="8" t="str">
        <f t="array" ref="M112">IF(L112&gt;5,"Perlu Sensus",IF(AND(L112&gt;=0,I112&gt;0),"Tetap Deteksi","Belum Deteksi"))</f>
        <v>Tetap Deteksi</v>
      </c>
      <c r="N112" s="11">
        <v>46249</v>
      </c>
      <c r="O112" s="143">
        <v>56</v>
      </c>
      <c r="P112" s="9">
        <f t="array" ref="P112">IFERROR(O112/$G112*100,0)</f>
        <v>1.4748485646563076</v>
      </c>
      <c r="Q112" s="143">
        <v>1</v>
      </c>
      <c r="R112" s="9">
        <f t="shared" si="13"/>
        <v>1.7857142857142856</v>
      </c>
      <c r="S112" s="8" t="str">
        <f t="array" ref="S112">IF(R112&gt;5,"Perlu Sensus",IF(AND(R112&gt;=0,O112&gt;0),"Tetap Deteksi","Belum Deteksi"))</f>
        <v>Tetap Deteksi</v>
      </c>
      <c r="T112" s="143">
        <v>0</v>
      </c>
      <c r="U112" s="9">
        <f t="shared" si="14"/>
        <v>0</v>
      </c>
      <c r="V112" s="11">
        <v>0</v>
      </c>
      <c r="W112" s="143">
        <v>0</v>
      </c>
      <c r="X112" s="143">
        <v>0</v>
      </c>
      <c r="Y112" s="9">
        <f t="shared" si="15"/>
        <v>0</v>
      </c>
      <c r="Z112" s="8" t="str">
        <f t="array" ref="Z112">IF(Y112&gt;5,"Perlu Sensus",IF(AND(Y112&gt;=0,W112&gt;0),"Tetap Deteksi","Belum Deteksi"))</f>
        <v>Belum Deteksi</v>
      </c>
      <c r="AA112" s="143">
        <v>0</v>
      </c>
      <c r="AB112" s="9">
        <f t="shared" si="16"/>
        <v>0</v>
      </c>
      <c r="AC112" s="11"/>
      <c r="AD112" s="143"/>
      <c r="AE112" s="9">
        <f t="array" ref="AE112">IFERROR(AD112/$G112*100,0)</f>
        <v>0</v>
      </c>
      <c r="AF112" s="143"/>
      <c r="AG112" s="9">
        <f t="shared" si="17"/>
        <v>0</v>
      </c>
      <c r="AH112" s="8" t="str">
        <f t="array" ref="AH112">IF(AG112&gt;5,"Perlu Sensus",IF(AND(AG112&gt;=0,AD112&gt;0),"Tetap Deteksi","Belum Deteksi"))</f>
        <v>Belum Deteksi</v>
      </c>
      <c r="AI112" s="143"/>
      <c r="AJ112" s="9">
        <f t="shared" si="18"/>
        <v>0</v>
      </c>
      <c r="AK112" s="11"/>
      <c r="AL112" s="143"/>
      <c r="AM112" s="143"/>
      <c r="AN112" s="9">
        <f t="shared" si="19"/>
        <v>0</v>
      </c>
      <c r="AO112" s="8" t="str">
        <f t="array" ref="AO112">IF(AN112&gt;5,"Perlu Sensus",IF(AND(AN112&gt;=0,AL112&gt;0),"Tetap Deteksi","Belum Deteksi"))</f>
        <v>Belum Deteksi</v>
      </c>
      <c r="AP112" s="143"/>
      <c r="AQ112" s="9">
        <f t="shared" si="20"/>
        <v>0</v>
      </c>
    </row>
    <row r="113" spans="1:43" outlineLevel="1" x14ac:dyDescent="0.15">
      <c r="A113" s="8" t="s">
        <v>1821</v>
      </c>
      <c r="B113" s="8"/>
      <c r="C113" s="8" t="s">
        <v>173</v>
      </c>
      <c r="D113" s="186" t="s">
        <v>1848</v>
      </c>
      <c r="E113" s="9">
        <v>26.65</v>
      </c>
      <c r="F113" s="8" t="s">
        <v>1740</v>
      </c>
      <c r="G113" s="10">
        <v>4185</v>
      </c>
      <c r="H113" s="11">
        <f t="array" ref="H113">IF(OR(N113&gt;0,AC113&gt;0),MAX(N113,AC113),MAX(AK113,V113))</f>
        <v>46249</v>
      </c>
      <c r="I113" s="143">
        <f t="array" ref="I113">IF(SUM(O113,AD113)&gt;0,SUM(O113,AD113),SUM(AL113,W113))</f>
        <v>62</v>
      </c>
      <c r="J113" s="9">
        <f t="shared" si="11"/>
        <v>1.4814814814814816</v>
      </c>
      <c r="K113" s="143">
        <f t="shared" si="21"/>
        <v>2</v>
      </c>
      <c r="L113" s="9">
        <f t="shared" si="12"/>
        <v>3.225806451612903</v>
      </c>
      <c r="M113" s="8" t="str">
        <f t="array" ref="M113">IF(L113&gt;5,"Perlu Sensus",IF(AND(L113&gt;=0,I113&gt;0),"Tetap Deteksi","Belum Deteksi"))</f>
        <v>Tetap Deteksi</v>
      </c>
      <c r="N113" s="11">
        <v>46249</v>
      </c>
      <c r="O113" s="143">
        <v>62</v>
      </c>
      <c r="P113" s="9">
        <f t="array" ref="P113">IFERROR(O113/$G113*100,0)</f>
        <v>1.4814814814814816</v>
      </c>
      <c r="Q113" s="143">
        <v>2</v>
      </c>
      <c r="R113" s="9">
        <f t="shared" si="13"/>
        <v>3.225806451612903</v>
      </c>
      <c r="S113" s="8" t="str">
        <f t="array" ref="S113">IF(R113&gt;5,"Perlu Sensus",IF(AND(R113&gt;=0,O113&gt;0),"Tetap Deteksi","Belum Deteksi"))</f>
        <v>Tetap Deteksi</v>
      </c>
      <c r="T113" s="143">
        <v>0</v>
      </c>
      <c r="U113" s="9">
        <f t="shared" si="14"/>
        <v>0</v>
      </c>
      <c r="V113" s="11">
        <v>0</v>
      </c>
      <c r="W113" s="143">
        <v>0</v>
      </c>
      <c r="X113" s="143">
        <v>0</v>
      </c>
      <c r="Y113" s="9">
        <f t="shared" si="15"/>
        <v>0</v>
      </c>
      <c r="Z113" s="8" t="str">
        <f t="array" ref="Z113">IF(Y113&gt;5,"Perlu Sensus",IF(AND(Y113&gt;=0,W113&gt;0),"Tetap Deteksi","Belum Deteksi"))</f>
        <v>Belum Deteksi</v>
      </c>
      <c r="AA113" s="143">
        <v>0</v>
      </c>
      <c r="AB113" s="9">
        <f t="shared" si="16"/>
        <v>0</v>
      </c>
      <c r="AC113" s="11"/>
      <c r="AD113" s="143"/>
      <c r="AE113" s="9">
        <f t="array" ref="AE113">IFERROR(AD113/$G113*100,0)</f>
        <v>0</v>
      </c>
      <c r="AF113" s="143"/>
      <c r="AG113" s="9">
        <f t="shared" si="17"/>
        <v>0</v>
      </c>
      <c r="AH113" s="8" t="str">
        <f t="array" ref="AH113">IF(AG113&gt;5,"Perlu Sensus",IF(AND(AG113&gt;=0,AD113&gt;0),"Tetap Deteksi","Belum Deteksi"))</f>
        <v>Belum Deteksi</v>
      </c>
      <c r="AI113" s="143"/>
      <c r="AJ113" s="9">
        <f t="shared" si="18"/>
        <v>0</v>
      </c>
      <c r="AK113" s="11"/>
      <c r="AL113" s="143"/>
      <c r="AM113" s="143"/>
      <c r="AN113" s="9">
        <f t="shared" si="19"/>
        <v>0</v>
      </c>
      <c r="AO113" s="8" t="str">
        <f t="array" ref="AO113">IF(AN113&gt;5,"Perlu Sensus",IF(AND(AN113&gt;=0,AL113&gt;0),"Tetap Deteksi","Belum Deteksi"))</f>
        <v>Belum Deteksi</v>
      </c>
      <c r="AP113" s="143"/>
      <c r="AQ113" s="9">
        <f t="shared" si="20"/>
        <v>0</v>
      </c>
    </row>
    <row r="114" spans="1:43" outlineLevel="1" x14ac:dyDescent="0.15">
      <c r="A114" s="8" t="s">
        <v>1821</v>
      </c>
      <c r="B114" s="8"/>
      <c r="C114" s="8" t="s">
        <v>173</v>
      </c>
      <c r="D114" s="186" t="s">
        <v>1849</v>
      </c>
      <c r="E114" s="9">
        <v>25.480000000000004</v>
      </c>
      <c r="F114" s="8" t="s">
        <v>1740</v>
      </c>
      <c r="G114" s="10">
        <v>3897</v>
      </c>
      <c r="H114" s="11">
        <f t="array" ref="H114">IF(OR(N114&gt;0,AC114&gt;0),MAX(N114,AC114),MAX(AK114,V114))</f>
        <v>46249</v>
      </c>
      <c r="I114" s="143">
        <f t="array" ref="I114">IF(SUM(O114,AD114)&gt;0,SUM(O114,AD114),SUM(AL114,W114))</f>
        <v>66</v>
      </c>
      <c r="J114" s="9">
        <f t="shared" si="11"/>
        <v>1.6936104695919936</v>
      </c>
      <c r="K114" s="143">
        <f t="shared" si="21"/>
        <v>5</v>
      </c>
      <c r="L114" s="9">
        <f t="shared" si="12"/>
        <v>7.5757575757575761</v>
      </c>
      <c r="M114" s="8" t="str">
        <f t="array" ref="M114">IF(L114&gt;5,"Perlu Sensus",IF(AND(L114&gt;=0,I114&gt;0),"Tetap Deteksi","Belum Deteksi"))</f>
        <v>Perlu Sensus</v>
      </c>
      <c r="N114" s="11">
        <v>46249</v>
      </c>
      <c r="O114" s="143">
        <v>66</v>
      </c>
      <c r="P114" s="9">
        <f t="array" ref="P114">IFERROR(O114/$G114*100,0)</f>
        <v>1.6936104695919936</v>
      </c>
      <c r="Q114" s="143">
        <v>5</v>
      </c>
      <c r="R114" s="9">
        <f t="shared" si="13"/>
        <v>7.5757575757575761</v>
      </c>
      <c r="S114" s="8" t="str">
        <f t="array" ref="S114">IF(R114&gt;5,"Perlu Sensus",IF(AND(R114&gt;=0,O114&gt;0),"Tetap Deteksi","Belum Deteksi"))</f>
        <v>Perlu Sensus</v>
      </c>
      <c r="T114" s="143">
        <v>0</v>
      </c>
      <c r="U114" s="9">
        <f t="shared" si="14"/>
        <v>0</v>
      </c>
      <c r="V114" s="11">
        <v>0</v>
      </c>
      <c r="W114" s="143">
        <v>0</v>
      </c>
      <c r="X114" s="143">
        <v>0</v>
      </c>
      <c r="Y114" s="9">
        <f t="shared" si="15"/>
        <v>0</v>
      </c>
      <c r="Z114" s="8" t="str">
        <f t="array" ref="Z114">IF(Y114&gt;5,"Perlu Sensus",IF(AND(Y114&gt;=0,W114&gt;0),"Tetap Deteksi","Belum Deteksi"))</f>
        <v>Belum Deteksi</v>
      </c>
      <c r="AA114" s="143">
        <v>0</v>
      </c>
      <c r="AB114" s="9">
        <f t="shared" si="16"/>
        <v>0</v>
      </c>
      <c r="AC114" s="11"/>
      <c r="AD114" s="143"/>
      <c r="AE114" s="9">
        <f t="array" ref="AE114">IFERROR(AD114/$G114*100,0)</f>
        <v>0</v>
      </c>
      <c r="AF114" s="143"/>
      <c r="AG114" s="9">
        <f t="shared" si="17"/>
        <v>0</v>
      </c>
      <c r="AH114" s="8" t="str">
        <f t="array" ref="AH114">IF(AG114&gt;5,"Perlu Sensus",IF(AND(AG114&gt;=0,AD114&gt;0),"Tetap Deteksi","Belum Deteksi"))</f>
        <v>Belum Deteksi</v>
      </c>
      <c r="AI114" s="143"/>
      <c r="AJ114" s="9">
        <f t="shared" si="18"/>
        <v>0</v>
      </c>
      <c r="AK114" s="11"/>
      <c r="AL114" s="143"/>
      <c r="AM114" s="143"/>
      <c r="AN114" s="9">
        <f t="shared" si="19"/>
        <v>0</v>
      </c>
      <c r="AO114" s="8" t="str">
        <f t="array" ref="AO114">IF(AN114&gt;5,"Perlu Sensus",IF(AND(AN114&gt;=0,AL114&gt;0),"Tetap Deteksi","Belum Deteksi"))</f>
        <v>Belum Deteksi</v>
      </c>
      <c r="AP114" s="143"/>
      <c r="AQ114" s="9">
        <f t="shared" si="20"/>
        <v>0</v>
      </c>
    </row>
    <row r="115" spans="1:43" outlineLevel="1" x14ac:dyDescent="0.15">
      <c r="A115" s="8" t="s">
        <v>1821</v>
      </c>
      <c r="B115" s="8"/>
      <c r="C115" s="8" t="s">
        <v>173</v>
      </c>
      <c r="D115" s="186" t="s">
        <v>1850</v>
      </c>
      <c r="E115" s="9">
        <v>32.28</v>
      </c>
      <c r="F115" s="8" t="s">
        <v>1740</v>
      </c>
      <c r="G115" s="10">
        <v>5247</v>
      </c>
      <c r="H115" s="11">
        <f t="array" ref="H115">IF(OR(N115&gt;0,AC115&gt;0),MAX(N115,AC115),MAX(AK115,V115))</f>
        <v>46240</v>
      </c>
      <c r="I115" s="143">
        <f t="array" ref="I115">IF(SUM(O115,AD115)&gt;0,SUM(O115,AD115),SUM(AL115,W115))</f>
        <v>242</v>
      </c>
      <c r="J115" s="9">
        <f t="shared" si="11"/>
        <v>4.6121593291404608</v>
      </c>
      <c r="K115" s="143">
        <f t="shared" si="21"/>
        <v>10</v>
      </c>
      <c r="L115" s="9">
        <f t="shared" si="12"/>
        <v>4.1322314049586781</v>
      </c>
      <c r="M115" s="8" t="str">
        <f t="array" ref="M115">IF(L115&gt;5,"Perlu Sensus",IF(AND(L115&gt;=0,I115&gt;0),"Tetap Deteksi","Belum Deteksi"))</f>
        <v>Tetap Deteksi</v>
      </c>
      <c r="N115" s="11">
        <v>46240</v>
      </c>
      <c r="O115" s="143">
        <v>242</v>
      </c>
      <c r="P115" s="9">
        <f t="array" ref="P115">IFERROR(O115/$G115*100,0)</f>
        <v>4.6121593291404608</v>
      </c>
      <c r="Q115" s="143">
        <v>10</v>
      </c>
      <c r="R115" s="9">
        <f t="shared" si="13"/>
        <v>4.1322314049586781</v>
      </c>
      <c r="S115" s="8" t="str">
        <f t="array" ref="S115">IF(R115&gt;5,"Perlu Sensus",IF(AND(R115&gt;=0,O115&gt;0),"Tetap Deteksi","Belum Deteksi"))</f>
        <v>Tetap Deteksi</v>
      </c>
      <c r="T115" s="143">
        <v>29</v>
      </c>
      <c r="U115" s="9">
        <f t="shared" si="14"/>
        <v>11.983471074380166</v>
      </c>
      <c r="V115" s="11">
        <v>46238</v>
      </c>
      <c r="W115" s="143">
        <v>2245</v>
      </c>
      <c r="X115" s="143">
        <v>112</v>
      </c>
      <c r="Y115" s="9">
        <f t="shared" si="15"/>
        <v>4.9888641425389757</v>
      </c>
      <c r="Z115" s="8" t="str">
        <f t="array" ref="Z115">IF(Y115&gt;5,"Perlu Sensus",IF(AND(Y115&gt;=0,W115&gt;0),"Tetap Deteksi","Belum Deteksi"))</f>
        <v>Tetap Deteksi</v>
      </c>
      <c r="AA115" s="143">
        <v>197</v>
      </c>
      <c r="AB115" s="9">
        <f t="shared" si="16"/>
        <v>8.7750556792873056</v>
      </c>
      <c r="AC115" s="11"/>
      <c r="AD115" s="143"/>
      <c r="AE115" s="9">
        <f t="array" ref="AE115">IFERROR(AD115/$G115*100,0)</f>
        <v>0</v>
      </c>
      <c r="AF115" s="143"/>
      <c r="AG115" s="9">
        <f t="shared" si="17"/>
        <v>0</v>
      </c>
      <c r="AH115" s="8" t="str">
        <f t="array" ref="AH115">IF(AG115&gt;5,"Perlu Sensus",IF(AND(AG115&gt;=0,AD115&gt;0),"Tetap Deteksi","Belum Deteksi"))</f>
        <v>Belum Deteksi</v>
      </c>
      <c r="AI115" s="143"/>
      <c r="AJ115" s="9">
        <f t="shared" si="18"/>
        <v>0</v>
      </c>
      <c r="AK115" s="11"/>
      <c r="AL115" s="143"/>
      <c r="AM115" s="143"/>
      <c r="AN115" s="9">
        <f t="shared" si="19"/>
        <v>0</v>
      </c>
      <c r="AO115" s="8" t="str">
        <f t="array" ref="AO115">IF(AN115&gt;5,"Perlu Sensus",IF(AND(AN115&gt;=0,AL115&gt;0),"Tetap Deteksi","Belum Deteksi"))</f>
        <v>Belum Deteksi</v>
      </c>
      <c r="AP115" s="143"/>
      <c r="AQ115" s="9">
        <f t="shared" si="20"/>
        <v>0</v>
      </c>
    </row>
    <row r="116" spans="1:43" outlineLevel="1" x14ac:dyDescent="0.15">
      <c r="A116" s="8" t="s">
        <v>1821</v>
      </c>
      <c r="B116" s="8"/>
      <c r="C116" s="8" t="s">
        <v>173</v>
      </c>
      <c r="D116" s="186" t="s">
        <v>1851</v>
      </c>
      <c r="E116" s="9">
        <v>40.699999999999996</v>
      </c>
      <c r="F116" s="8" t="s">
        <v>1833</v>
      </c>
      <c r="G116" s="10">
        <v>6296.9999999999991</v>
      </c>
      <c r="H116" s="11">
        <f t="array" ref="H116">IF(OR(N116&gt;0,AC116&gt;0),MAX(N116,AC116),MAX(AK116,V116))</f>
        <v>46237</v>
      </c>
      <c r="I116" s="143">
        <f t="array" ref="I116">IF(SUM(O116,AD116)&gt;0,SUM(O116,AD116),SUM(AL116,W116))</f>
        <v>120</v>
      </c>
      <c r="J116" s="9">
        <f t="shared" si="11"/>
        <v>1.905669366364936</v>
      </c>
      <c r="K116" s="143">
        <f t="shared" si="21"/>
        <v>4</v>
      </c>
      <c r="L116" s="9">
        <f t="shared" si="12"/>
        <v>3.3333333333333335</v>
      </c>
      <c r="M116" s="8" t="str">
        <f t="array" ref="M116">IF(L116&gt;5,"Perlu Sensus",IF(AND(L116&gt;=0,I116&gt;0),"Tetap Deteksi","Belum Deteksi"))</f>
        <v>Tetap Deteksi</v>
      </c>
      <c r="N116" s="11">
        <v>46237</v>
      </c>
      <c r="O116" s="143">
        <v>120</v>
      </c>
      <c r="P116" s="9">
        <f t="array" ref="P116">IFERROR(O116/$G116*100,0)</f>
        <v>1.905669366364936</v>
      </c>
      <c r="Q116" s="143">
        <v>4</v>
      </c>
      <c r="R116" s="9">
        <f t="shared" si="13"/>
        <v>3.3333333333333335</v>
      </c>
      <c r="S116" s="8" t="str">
        <f t="array" ref="S116">IF(R116&gt;5,"Perlu Sensus",IF(AND(R116&gt;=0,O116&gt;0),"Tetap Deteksi","Belum Deteksi"))</f>
        <v>Tetap Deteksi</v>
      </c>
      <c r="T116" s="143">
        <v>19</v>
      </c>
      <c r="U116" s="9">
        <f t="shared" si="14"/>
        <v>15.833333333333332</v>
      </c>
      <c r="V116" s="11">
        <v>46237</v>
      </c>
      <c r="W116" s="143">
        <v>2812</v>
      </c>
      <c r="X116" s="143">
        <v>105</v>
      </c>
      <c r="Y116" s="9">
        <f t="shared" si="15"/>
        <v>3.7339971550497868</v>
      </c>
      <c r="Z116" s="8" t="str">
        <f t="array" ref="Z116">IF(Y116&gt;5,"Perlu Sensus",IF(AND(Y116&gt;=0,W116&gt;0),"Tetap Deteksi","Belum Deteksi"))</f>
        <v>Tetap Deteksi</v>
      </c>
      <c r="AA116" s="143">
        <v>214</v>
      </c>
      <c r="AB116" s="9">
        <f t="shared" si="16"/>
        <v>7.6102418207681364</v>
      </c>
      <c r="AC116" s="11"/>
      <c r="AD116" s="143"/>
      <c r="AE116" s="9">
        <f t="array" ref="AE116">IFERROR(AD116/$G116*100,0)</f>
        <v>0</v>
      </c>
      <c r="AF116" s="143"/>
      <c r="AG116" s="9">
        <f t="shared" si="17"/>
        <v>0</v>
      </c>
      <c r="AH116" s="8" t="str">
        <f t="array" ref="AH116">IF(AG116&gt;5,"Perlu Sensus",IF(AND(AG116&gt;=0,AD116&gt;0),"Tetap Deteksi","Belum Deteksi"))</f>
        <v>Belum Deteksi</v>
      </c>
      <c r="AI116" s="143"/>
      <c r="AJ116" s="9">
        <f t="shared" si="18"/>
        <v>0</v>
      </c>
      <c r="AK116" s="11"/>
      <c r="AL116" s="143"/>
      <c r="AM116" s="143"/>
      <c r="AN116" s="9">
        <f t="shared" si="19"/>
        <v>0</v>
      </c>
      <c r="AO116" s="8" t="str">
        <f t="array" ref="AO116">IF(AN116&gt;5,"Perlu Sensus",IF(AND(AN116&gt;=0,AL116&gt;0),"Tetap Deteksi","Belum Deteksi"))</f>
        <v>Belum Deteksi</v>
      </c>
      <c r="AP116" s="143"/>
      <c r="AQ116" s="9">
        <f t="shared" si="20"/>
        <v>0</v>
      </c>
    </row>
    <row r="117" spans="1:43" outlineLevel="1" x14ac:dyDescent="0.15">
      <c r="A117" s="8" t="s">
        <v>1821</v>
      </c>
      <c r="B117" s="8"/>
      <c r="C117" s="8" t="s">
        <v>173</v>
      </c>
      <c r="D117" s="186" t="s">
        <v>1852</v>
      </c>
      <c r="E117" s="9">
        <v>24.86</v>
      </c>
      <c r="F117" s="8" t="s">
        <v>1740</v>
      </c>
      <c r="G117" s="10">
        <v>3976</v>
      </c>
      <c r="H117" s="11">
        <f t="array" ref="H117">IF(OR(N117&gt;0,AC117&gt;0),MAX(N117,AC117),MAX(AK117,V117))</f>
        <v>46249</v>
      </c>
      <c r="I117" s="143">
        <f t="array" ref="I117">IF(SUM(O117,AD117)&gt;0,SUM(O117,AD117),SUM(AL117,W117))</f>
        <v>82</v>
      </c>
      <c r="J117" s="9">
        <f t="shared" si="11"/>
        <v>2.0623742454728369</v>
      </c>
      <c r="K117" s="143">
        <f t="shared" si="21"/>
        <v>2</v>
      </c>
      <c r="L117" s="9">
        <f t="shared" si="12"/>
        <v>2.4390243902439024</v>
      </c>
      <c r="M117" s="8" t="str">
        <f t="array" ref="M117">IF(L117&gt;5,"Perlu Sensus",IF(AND(L117&gt;=0,I117&gt;0),"Tetap Deteksi","Belum Deteksi"))</f>
        <v>Tetap Deteksi</v>
      </c>
      <c r="N117" s="11">
        <v>46249</v>
      </c>
      <c r="O117" s="143">
        <v>82</v>
      </c>
      <c r="P117" s="9">
        <f t="array" ref="P117">IFERROR(O117/$G117*100,0)</f>
        <v>2.0623742454728369</v>
      </c>
      <c r="Q117" s="143">
        <v>2</v>
      </c>
      <c r="R117" s="9">
        <f t="shared" si="13"/>
        <v>2.4390243902439024</v>
      </c>
      <c r="S117" s="8" t="str">
        <f t="array" ref="S117">IF(R117&gt;5,"Perlu Sensus",IF(AND(R117&gt;=0,O117&gt;0),"Tetap Deteksi","Belum Deteksi"))</f>
        <v>Tetap Deteksi</v>
      </c>
      <c r="T117" s="143">
        <v>0</v>
      </c>
      <c r="U117" s="9">
        <f t="shared" si="14"/>
        <v>0</v>
      </c>
      <c r="V117" s="11">
        <v>0</v>
      </c>
      <c r="W117" s="143">
        <v>0</v>
      </c>
      <c r="X117" s="143">
        <v>0</v>
      </c>
      <c r="Y117" s="9">
        <f t="shared" si="15"/>
        <v>0</v>
      </c>
      <c r="Z117" s="8" t="str">
        <f t="array" ref="Z117">IF(Y117&gt;5,"Perlu Sensus",IF(AND(Y117&gt;=0,W117&gt;0),"Tetap Deteksi","Belum Deteksi"))</f>
        <v>Belum Deteksi</v>
      </c>
      <c r="AA117" s="143">
        <v>0</v>
      </c>
      <c r="AB117" s="9">
        <f t="shared" si="16"/>
        <v>0</v>
      </c>
      <c r="AC117" s="11"/>
      <c r="AD117" s="143"/>
      <c r="AE117" s="9">
        <f t="array" ref="AE117">IFERROR(AD117/$G117*100,0)</f>
        <v>0</v>
      </c>
      <c r="AF117" s="143"/>
      <c r="AG117" s="9">
        <f t="shared" si="17"/>
        <v>0</v>
      </c>
      <c r="AH117" s="8" t="str">
        <f t="array" ref="AH117">IF(AG117&gt;5,"Perlu Sensus",IF(AND(AG117&gt;=0,AD117&gt;0),"Tetap Deteksi","Belum Deteksi"))</f>
        <v>Belum Deteksi</v>
      </c>
      <c r="AI117" s="143"/>
      <c r="AJ117" s="9">
        <f t="shared" si="18"/>
        <v>0</v>
      </c>
      <c r="AK117" s="11"/>
      <c r="AL117" s="143"/>
      <c r="AM117" s="143"/>
      <c r="AN117" s="9">
        <f t="shared" si="19"/>
        <v>0</v>
      </c>
      <c r="AO117" s="8" t="str">
        <f t="array" ref="AO117">IF(AN117&gt;5,"Perlu Sensus",IF(AND(AN117&gt;=0,AL117&gt;0),"Tetap Deteksi","Belum Deteksi"))</f>
        <v>Belum Deteksi</v>
      </c>
      <c r="AP117" s="143"/>
      <c r="AQ117" s="9">
        <f t="shared" si="20"/>
        <v>0</v>
      </c>
    </row>
    <row r="118" spans="1:43" outlineLevel="1" x14ac:dyDescent="0.15">
      <c r="A118" s="8" t="s">
        <v>1821</v>
      </c>
      <c r="B118" s="8"/>
      <c r="C118" s="8" t="s">
        <v>173</v>
      </c>
      <c r="D118" s="186" t="s">
        <v>1853</v>
      </c>
      <c r="E118" s="9">
        <v>39.099999999999994</v>
      </c>
      <c r="F118" s="8" t="s">
        <v>1740</v>
      </c>
      <c r="G118" s="10">
        <v>5831</v>
      </c>
      <c r="H118" s="11">
        <f t="array" ref="H118">IF(OR(N118&gt;0,AC118&gt;0),MAX(N118,AC118),MAX(AK118,V118))</f>
        <v>46238</v>
      </c>
      <c r="I118" s="143">
        <f t="array" ref="I118">IF(SUM(O118,AD118)&gt;0,SUM(O118,AD118),SUM(AL118,W118))</f>
        <v>240</v>
      </c>
      <c r="J118" s="9">
        <f t="shared" si="11"/>
        <v>4.1159320871205631</v>
      </c>
      <c r="K118" s="143">
        <f t="shared" si="21"/>
        <v>12</v>
      </c>
      <c r="L118" s="9">
        <f t="shared" si="12"/>
        <v>5</v>
      </c>
      <c r="M118" s="8" t="str">
        <f t="array" ref="M118">IF(L118&gt;5,"Perlu Sensus",IF(AND(L118&gt;=0,I118&gt;0),"Tetap Deteksi","Belum Deteksi"))</f>
        <v>Tetap Deteksi</v>
      </c>
      <c r="N118" s="11">
        <v>46238</v>
      </c>
      <c r="O118" s="143">
        <v>240</v>
      </c>
      <c r="P118" s="9">
        <f t="array" ref="P118">IFERROR(O118/$G118*100,0)</f>
        <v>4.1159320871205631</v>
      </c>
      <c r="Q118" s="143">
        <v>12</v>
      </c>
      <c r="R118" s="9">
        <f t="shared" si="13"/>
        <v>5</v>
      </c>
      <c r="S118" s="8" t="str">
        <f t="array" ref="S118">IF(R118&gt;5,"Perlu Sensus",IF(AND(R118&gt;=0,O118&gt;0),"Tetap Deteksi","Belum Deteksi"))</f>
        <v>Tetap Deteksi</v>
      </c>
      <c r="T118" s="143">
        <v>48</v>
      </c>
      <c r="U118" s="9">
        <f t="shared" si="14"/>
        <v>20</v>
      </c>
      <c r="V118" s="11">
        <v>46235</v>
      </c>
      <c r="W118" s="143">
        <v>2866</v>
      </c>
      <c r="X118" s="143">
        <v>93</v>
      </c>
      <c r="Y118" s="9">
        <f t="shared" si="15"/>
        <v>3.2449406838799724</v>
      </c>
      <c r="Z118" s="8" t="str">
        <f t="array" ref="Z118">IF(Y118&gt;5,"Perlu Sensus",IF(AND(Y118&gt;=0,W118&gt;0),"Tetap Deteksi","Belum Deteksi"))</f>
        <v>Tetap Deteksi</v>
      </c>
      <c r="AA118" s="143">
        <v>176</v>
      </c>
      <c r="AB118" s="9">
        <f t="shared" si="16"/>
        <v>6.1409630146545702</v>
      </c>
      <c r="AC118" s="11"/>
      <c r="AD118" s="143"/>
      <c r="AE118" s="9">
        <f t="array" ref="AE118">IFERROR(AD118/$G118*100,0)</f>
        <v>0</v>
      </c>
      <c r="AF118" s="143"/>
      <c r="AG118" s="9">
        <f t="shared" si="17"/>
        <v>0</v>
      </c>
      <c r="AH118" s="8" t="str">
        <f t="array" ref="AH118">IF(AG118&gt;5,"Perlu Sensus",IF(AND(AG118&gt;=0,AD118&gt;0),"Tetap Deteksi","Belum Deteksi"))</f>
        <v>Belum Deteksi</v>
      </c>
      <c r="AI118" s="143"/>
      <c r="AJ118" s="9">
        <f t="shared" si="18"/>
        <v>0</v>
      </c>
      <c r="AK118" s="11"/>
      <c r="AL118" s="143"/>
      <c r="AM118" s="143"/>
      <c r="AN118" s="9">
        <f t="shared" si="19"/>
        <v>0</v>
      </c>
      <c r="AO118" s="8" t="str">
        <f t="array" ref="AO118">IF(AN118&gt;5,"Perlu Sensus",IF(AND(AN118&gt;=0,AL118&gt;0),"Tetap Deteksi","Belum Deteksi"))</f>
        <v>Belum Deteksi</v>
      </c>
      <c r="AP118" s="143"/>
      <c r="AQ118" s="9">
        <f t="shared" si="20"/>
        <v>0</v>
      </c>
    </row>
    <row r="119" spans="1:43" outlineLevel="1" x14ac:dyDescent="0.15">
      <c r="A119" s="8" t="s">
        <v>1821</v>
      </c>
      <c r="B119" s="8"/>
      <c r="C119" s="8" t="s">
        <v>173</v>
      </c>
      <c r="D119" s="186" t="s">
        <v>1854</v>
      </c>
      <c r="E119" s="9">
        <v>39.260000000000005</v>
      </c>
      <c r="F119" s="8" t="s">
        <v>1740</v>
      </c>
      <c r="G119" s="10">
        <v>5308</v>
      </c>
      <c r="H119" s="11">
        <f t="array" ref="H119">IF(OR(N119&gt;0,AC119&gt;0),MAX(N119,AC119),MAX(AK119,V119))</f>
        <v>46239</v>
      </c>
      <c r="I119" s="143">
        <f t="array" ref="I119">IF(SUM(O119,AD119)&gt;0,SUM(O119,AD119),SUM(AL119,W119))</f>
        <v>240</v>
      </c>
      <c r="J119" s="9">
        <f t="shared" si="11"/>
        <v>4.5214770158251696</v>
      </c>
      <c r="K119" s="143">
        <f t="shared" si="21"/>
        <v>4</v>
      </c>
      <c r="L119" s="9">
        <f t="shared" si="12"/>
        <v>1.6666666666666667</v>
      </c>
      <c r="M119" s="8" t="str">
        <f t="array" ref="M119">IF(L119&gt;5,"Perlu Sensus",IF(AND(L119&gt;=0,I119&gt;0),"Tetap Deteksi","Belum Deteksi"))</f>
        <v>Tetap Deteksi</v>
      </c>
      <c r="N119" s="11">
        <v>46239</v>
      </c>
      <c r="O119" s="143">
        <v>240</v>
      </c>
      <c r="P119" s="9">
        <f t="array" ref="P119">IFERROR(O119/$G119*100,0)</f>
        <v>4.5214770158251696</v>
      </c>
      <c r="Q119" s="143">
        <v>4</v>
      </c>
      <c r="R119" s="9">
        <f t="shared" si="13"/>
        <v>1.6666666666666667</v>
      </c>
      <c r="S119" s="8" t="str">
        <f t="array" ref="S119">IF(R119&gt;5,"Perlu Sensus",IF(AND(R119&gt;=0,O119&gt;0),"Tetap Deteksi","Belum Deteksi"))</f>
        <v>Tetap Deteksi</v>
      </c>
      <c r="T119" s="143">
        <v>26</v>
      </c>
      <c r="U119" s="9">
        <f t="shared" si="14"/>
        <v>10.833333333333334</v>
      </c>
      <c r="V119" s="11">
        <v>46240</v>
      </c>
      <c r="W119" s="143">
        <v>2134</v>
      </c>
      <c r="X119" s="143">
        <v>95</v>
      </c>
      <c r="Y119" s="9">
        <f t="shared" si="15"/>
        <v>4.4517338331771326</v>
      </c>
      <c r="Z119" s="8" t="str">
        <f t="array" ref="Z119">IF(Y119&gt;5,"Perlu Sensus",IF(AND(Y119&gt;=0,W119&gt;0),"Tetap Deteksi","Belum Deteksi"))</f>
        <v>Tetap Deteksi</v>
      </c>
      <c r="AA119" s="143">
        <v>182</v>
      </c>
      <c r="AB119" s="9">
        <f t="shared" si="16"/>
        <v>8.5285848172446102</v>
      </c>
      <c r="AC119" s="11"/>
      <c r="AD119" s="143"/>
      <c r="AE119" s="9">
        <f t="array" ref="AE119">IFERROR(AD119/$G119*100,0)</f>
        <v>0</v>
      </c>
      <c r="AF119" s="143"/>
      <c r="AG119" s="9">
        <f t="shared" si="17"/>
        <v>0</v>
      </c>
      <c r="AH119" s="8" t="str">
        <f t="array" ref="AH119">IF(AG119&gt;5,"Perlu Sensus",IF(AND(AG119&gt;=0,AD119&gt;0),"Tetap Deteksi","Belum Deteksi"))</f>
        <v>Belum Deteksi</v>
      </c>
      <c r="AI119" s="143"/>
      <c r="AJ119" s="9">
        <f t="shared" si="18"/>
        <v>0</v>
      </c>
      <c r="AK119" s="11"/>
      <c r="AL119" s="143"/>
      <c r="AM119" s="143"/>
      <c r="AN119" s="9">
        <f t="shared" si="19"/>
        <v>0</v>
      </c>
      <c r="AO119" s="8" t="str">
        <f t="array" ref="AO119">IF(AN119&gt;5,"Perlu Sensus",IF(AND(AN119&gt;=0,AL119&gt;0),"Tetap Deteksi","Belum Deteksi"))</f>
        <v>Belum Deteksi</v>
      </c>
      <c r="AP119" s="143"/>
      <c r="AQ119" s="9">
        <f t="shared" si="20"/>
        <v>0</v>
      </c>
    </row>
    <row r="120" spans="1:43" outlineLevel="1" x14ac:dyDescent="0.15">
      <c r="A120" s="8" t="s">
        <v>1821</v>
      </c>
      <c r="B120" s="8"/>
      <c r="C120" s="8" t="s">
        <v>173</v>
      </c>
      <c r="D120" s="186" t="s">
        <v>1855</v>
      </c>
      <c r="E120" s="9">
        <v>46.769999999999996</v>
      </c>
      <c r="F120" s="8" t="s">
        <v>1740</v>
      </c>
      <c r="G120" s="10">
        <v>6916.0000000000009</v>
      </c>
      <c r="H120" s="11">
        <f t="array" ref="H120">IF(OR(N120&gt;0,AC120&gt;0),MAX(N120,AC120),MAX(AK120,V120))</f>
        <v>46239</v>
      </c>
      <c r="I120" s="143">
        <f t="array" ref="I120">IF(SUM(O120,AD120)&gt;0,SUM(O120,AD120),SUM(AL120,W120))</f>
        <v>244</v>
      </c>
      <c r="J120" s="9">
        <f t="shared" si="11"/>
        <v>3.5280508964719486</v>
      </c>
      <c r="K120" s="143">
        <f t="shared" si="21"/>
        <v>8</v>
      </c>
      <c r="L120" s="9">
        <f t="shared" si="12"/>
        <v>3.278688524590164</v>
      </c>
      <c r="M120" s="8" t="str">
        <f t="array" ref="M120">IF(L120&gt;5,"Perlu Sensus",IF(AND(L120&gt;=0,I120&gt;0),"Tetap Deteksi","Belum Deteksi"))</f>
        <v>Tetap Deteksi</v>
      </c>
      <c r="N120" s="11">
        <v>46239</v>
      </c>
      <c r="O120" s="143">
        <v>244</v>
      </c>
      <c r="P120" s="9">
        <f t="array" ref="P120">IFERROR(O120/$G120*100,0)</f>
        <v>3.5280508964719486</v>
      </c>
      <c r="Q120" s="143">
        <v>8</v>
      </c>
      <c r="R120" s="9">
        <f t="shared" si="13"/>
        <v>3.278688524590164</v>
      </c>
      <c r="S120" s="8" t="str">
        <f t="array" ref="S120">IF(R120&gt;5,"Perlu Sensus",IF(AND(R120&gt;=0,O120&gt;0),"Tetap Deteksi","Belum Deteksi"))</f>
        <v>Tetap Deteksi</v>
      </c>
      <c r="T120" s="143">
        <v>39</v>
      </c>
      <c r="U120" s="9">
        <f t="shared" si="14"/>
        <v>15.983606557377051</v>
      </c>
      <c r="V120" s="11">
        <v>46239</v>
      </c>
      <c r="W120" s="143">
        <v>1554</v>
      </c>
      <c r="X120" s="143">
        <v>73</v>
      </c>
      <c r="Y120" s="9">
        <f t="shared" si="15"/>
        <v>4.6975546975546978</v>
      </c>
      <c r="Z120" s="8" t="str">
        <f t="array" ref="Z120">IF(Y120&gt;5,"Perlu Sensus",IF(AND(Y120&gt;=0,W120&gt;0),"Tetap Deteksi","Belum Deteksi"))</f>
        <v>Tetap Deteksi</v>
      </c>
      <c r="AA120" s="143">
        <v>184</v>
      </c>
      <c r="AB120" s="9">
        <f t="shared" si="16"/>
        <v>11.840411840411841</v>
      </c>
      <c r="AC120" s="11"/>
      <c r="AD120" s="143"/>
      <c r="AE120" s="9">
        <f t="array" ref="AE120">IFERROR(AD120/$G120*100,0)</f>
        <v>0</v>
      </c>
      <c r="AF120" s="143"/>
      <c r="AG120" s="9">
        <f t="shared" si="17"/>
        <v>0</v>
      </c>
      <c r="AH120" s="8" t="str">
        <f t="array" ref="AH120">IF(AG120&gt;5,"Perlu Sensus",IF(AND(AG120&gt;=0,AD120&gt;0),"Tetap Deteksi","Belum Deteksi"))</f>
        <v>Belum Deteksi</v>
      </c>
      <c r="AI120" s="143"/>
      <c r="AJ120" s="9">
        <f t="shared" si="18"/>
        <v>0</v>
      </c>
      <c r="AK120" s="11"/>
      <c r="AL120" s="143"/>
      <c r="AM120" s="143"/>
      <c r="AN120" s="9">
        <f t="shared" si="19"/>
        <v>0</v>
      </c>
      <c r="AO120" s="8" t="str">
        <f t="array" ref="AO120">IF(AN120&gt;5,"Perlu Sensus",IF(AND(AN120&gt;=0,AL120&gt;0),"Tetap Deteksi","Belum Deteksi"))</f>
        <v>Belum Deteksi</v>
      </c>
      <c r="AP120" s="143"/>
      <c r="AQ120" s="9">
        <f t="shared" si="20"/>
        <v>0</v>
      </c>
    </row>
    <row r="121" spans="1:43" outlineLevel="1" x14ac:dyDescent="0.15">
      <c r="A121" s="8" t="s">
        <v>1821</v>
      </c>
      <c r="B121" s="8"/>
      <c r="C121" s="8" t="s">
        <v>173</v>
      </c>
      <c r="D121" s="186" t="s">
        <v>1856</v>
      </c>
      <c r="E121" s="9">
        <v>25.169999999999998</v>
      </c>
      <c r="F121" s="8" t="s">
        <v>1740</v>
      </c>
      <c r="G121" s="10">
        <v>3797</v>
      </c>
      <c r="H121" s="11">
        <f t="array" ref="H121">IF(OR(N121&gt;0,AC121&gt;0),MAX(N121,AC121),MAX(AK121,V121))</f>
        <v>46241</v>
      </c>
      <c r="I121" s="143">
        <f t="array" ref="I121">IF(SUM(O121,AD121)&gt;0,SUM(O121,AD121),SUM(AL121,W121))</f>
        <v>234</v>
      </c>
      <c r="J121" s="9">
        <f t="shared" si="11"/>
        <v>6.1627600737424277</v>
      </c>
      <c r="K121" s="143">
        <f t="shared" si="21"/>
        <v>5</v>
      </c>
      <c r="L121" s="9">
        <f t="shared" si="12"/>
        <v>2.1367521367521367</v>
      </c>
      <c r="M121" s="8" t="str">
        <f t="array" ref="M121">IF(L121&gt;5,"Perlu Sensus",IF(AND(L121&gt;=0,I121&gt;0),"Tetap Deteksi","Belum Deteksi"))</f>
        <v>Tetap Deteksi</v>
      </c>
      <c r="N121" s="11">
        <v>46241</v>
      </c>
      <c r="O121" s="143">
        <v>234</v>
      </c>
      <c r="P121" s="9">
        <f t="array" ref="P121">IFERROR(O121/$G121*100,0)</f>
        <v>6.1627600737424277</v>
      </c>
      <c r="Q121" s="143">
        <v>5</v>
      </c>
      <c r="R121" s="9">
        <f t="shared" si="13"/>
        <v>2.1367521367521367</v>
      </c>
      <c r="S121" s="8" t="str">
        <f t="array" ref="S121">IF(R121&gt;5,"Perlu Sensus",IF(AND(R121&gt;=0,O121&gt;0),"Tetap Deteksi","Belum Deteksi"))</f>
        <v>Tetap Deteksi</v>
      </c>
      <c r="T121" s="143">
        <v>38</v>
      </c>
      <c r="U121" s="9">
        <f t="shared" si="14"/>
        <v>16.239316239316238</v>
      </c>
      <c r="V121" s="11">
        <v>46241</v>
      </c>
      <c r="W121" s="143">
        <v>1921</v>
      </c>
      <c r="X121" s="143">
        <v>86</v>
      </c>
      <c r="Y121" s="9">
        <f t="shared" si="15"/>
        <v>4.476834981780323</v>
      </c>
      <c r="Z121" s="8" t="str">
        <f t="array" ref="Z121">IF(Y121&gt;5,"Perlu Sensus",IF(AND(Y121&gt;=0,W121&gt;0),"Tetap Deteksi","Belum Deteksi"))</f>
        <v>Tetap Deteksi</v>
      </c>
      <c r="AA121" s="143">
        <v>159</v>
      </c>
      <c r="AB121" s="9">
        <f t="shared" si="16"/>
        <v>8.2769390942217598</v>
      </c>
      <c r="AC121" s="11"/>
      <c r="AD121" s="143"/>
      <c r="AE121" s="9">
        <f t="array" ref="AE121">IFERROR(AD121/$G121*100,0)</f>
        <v>0</v>
      </c>
      <c r="AF121" s="143"/>
      <c r="AG121" s="9">
        <f t="shared" si="17"/>
        <v>0</v>
      </c>
      <c r="AH121" s="8" t="str">
        <f t="array" ref="AH121">IF(AG121&gt;5,"Perlu Sensus",IF(AND(AG121&gt;=0,AD121&gt;0),"Tetap Deteksi","Belum Deteksi"))</f>
        <v>Belum Deteksi</v>
      </c>
      <c r="AI121" s="143"/>
      <c r="AJ121" s="9">
        <f t="shared" si="18"/>
        <v>0</v>
      </c>
      <c r="AK121" s="11"/>
      <c r="AL121" s="143"/>
      <c r="AM121" s="143"/>
      <c r="AN121" s="9">
        <f t="shared" si="19"/>
        <v>0</v>
      </c>
      <c r="AO121" s="8" t="str">
        <f t="array" ref="AO121">IF(AN121&gt;5,"Perlu Sensus",IF(AND(AN121&gt;=0,AL121&gt;0),"Tetap Deteksi","Belum Deteksi"))</f>
        <v>Belum Deteksi</v>
      </c>
      <c r="AP121" s="143"/>
      <c r="AQ121" s="9">
        <f t="shared" si="20"/>
        <v>0</v>
      </c>
    </row>
    <row r="122" spans="1:43" outlineLevel="1" x14ac:dyDescent="0.15">
      <c r="A122" s="8" t="s">
        <v>1821</v>
      </c>
      <c r="B122" s="8"/>
      <c r="C122" s="8" t="s">
        <v>173</v>
      </c>
      <c r="D122" s="186" t="s">
        <v>1857</v>
      </c>
      <c r="E122" s="9">
        <v>21.79</v>
      </c>
      <c r="F122" s="8" t="s">
        <v>1740</v>
      </c>
      <c r="G122" s="10">
        <v>3335</v>
      </c>
      <c r="H122" s="11">
        <f t="array" ref="H122">IF(OR(N122&gt;0,AC122&gt;0),MAX(N122,AC122),MAX(AK122,V122))</f>
        <v>46242</v>
      </c>
      <c r="I122" s="143">
        <f t="array" ref="I122">IF(SUM(O122,AD122)&gt;0,SUM(O122,AD122),SUM(AL122,W122))</f>
        <v>228</v>
      </c>
      <c r="J122" s="9">
        <f t="shared" si="11"/>
        <v>6.8365817091454266</v>
      </c>
      <c r="K122" s="143">
        <f t="shared" si="21"/>
        <v>5</v>
      </c>
      <c r="L122" s="9">
        <f t="shared" si="12"/>
        <v>2.1929824561403506</v>
      </c>
      <c r="M122" s="8" t="str">
        <f t="array" ref="M122">IF(L122&gt;5,"Perlu Sensus",IF(AND(L122&gt;=0,I122&gt;0),"Tetap Deteksi","Belum Deteksi"))</f>
        <v>Tetap Deteksi</v>
      </c>
      <c r="N122" s="11">
        <v>46242</v>
      </c>
      <c r="O122" s="143">
        <v>228</v>
      </c>
      <c r="P122" s="9">
        <f t="array" ref="P122">IFERROR(O122/$G122*100,0)</f>
        <v>6.8365817091454266</v>
      </c>
      <c r="Q122" s="143">
        <v>5</v>
      </c>
      <c r="R122" s="9">
        <f t="shared" si="13"/>
        <v>2.1929824561403506</v>
      </c>
      <c r="S122" s="8" t="str">
        <f t="array" ref="S122">IF(R122&gt;5,"Perlu Sensus",IF(AND(R122&gt;=0,O122&gt;0),"Tetap Deteksi","Belum Deteksi"))</f>
        <v>Tetap Deteksi</v>
      </c>
      <c r="T122" s="143">
        <v>33</v>
      </c>
      <c r="U122" s="9">
        <f t="shared" si="14"/>
        <v>14.473684210526317</v>
      </c>
      <c r="V122" s="11">
        <v>46242</v>
      </c>
      <c r="W122" s="143">
        <v>837</v>
      </c>
      <c r="X122" s="143">
        <v>46</v>
      </c>
      <c r="Y122" s="9">
        <f t="shared" si="15"/>
        <v>5.4958183990442055</v>
      </c>
      <c r="Z122" s="8" t="str">
        <f t="array" ref="Z122">IF(Y122&gt;5,"Perlu Sensus",IF(AND(Y122&gt;=0,W122&gt;0),"Tetap Deteksi","Belum Deteksi"))</f>
        <v>Perlu Sensus</v>
      </c>
      <c r="AA122" s="143">
        <v>113</v>
      </c>
      <c r="AB122" s="9">
        <f t="shared" si="16"/>
        <v>13.500597371565112</v>
      </c>
      <c r="AC122" s="11"/>
      <c r="AD122" s="143"/>
      <c r="AE122" s="9">
        <f t="array" ref="AE122">IFERROR(AD122/$G122*100,0)</f>
        <v>0</v>
      </c>
      <c r="AF122" s="143"/>
      <c r="AG122" s="9">
        <f t="shared" si="17"/>
        <v>0</v>
      </c>
      <c r="AH122" s="8" t="str">
        <f t="array" ref="AH122">IF(AG122&gt;5,"Perlu Sensus",IF(AND(AG122&gt;=0,AD122&gt;0),"Tetap Deteksi","Belum Deteksi"))</f>
        <v>Belum Deteksi</v>
      </c>
      <c r="AI122" s="143"/>
      <c r="AJ122" s="9">
        <f t="shared" si="18"/>
        <v>0</v>
      </c>
      <c r="AK122" s="11"/>
      <c r="AL122" s="143"/>
      <c r="AM122" s="143"/>
      <c r="AN122" s="9">
        <f t="shared" si="19"/>
        <v>0</v>
      </c>
      <c r="AO122" s="8" t="str">
        <f t="array" ref="AO122">IF(AN122&gt;5,"Perlu Sensus",IF(AND(AN122&gt;=0,AL122&gt;0),"Tetap Deteksi","Belum Deteksi"))</f>
        <v>Belum Deteksi</v>
      </c>
      <c r="AP122" s="143"/>
      <c r="AQ122" s="9">
        <f t="shared" si="20"/>
        <v>0</v>
      </c>
    </row>
    <row r="123" spans="1:43" outlineLevel="1" x14ac:dyDescent="0.15">
      <c r="A123" s="8" t="s">
        <v>1821</v>
      </c>
      <c r="B123" s="8"/>
      <c r="C123" s="8" t="s">
        <v>173</v>
      </c>
      <c r="D123" s="186" t="s">
        <v>1858</v>
      </c>
      <c r="E123" s="9">
        <v>24.6</v>
      </c>
      <c r="F123" s="8" t="s">
        <v>1823</v>
      </c>
      <c r="G123" s="10">
        <v>3850</v>
      </c>
      <c r="H123" s="11">
        <f t="array" ref="H123">IF(OR(N123&gt;0,AC123&gt;0),MAX(N123,AC123),MAX(AK123,V123))</f>
        <v>46246</v>
      </c>
      <c r="I123" s="143">
        <f t="array" ref="I123">IF(SUM(O123,AD123)&gt;0,SUM(O123,AD123),SUM(AL123,W123))</f>
        <v>242</v>
      </c>
      <c r="J123" s="9">
        <f t="shared" si="11"/>
        <v>6.2857142857142865</v>
      </c>
      <c r="K123" s="143">
        <f t="shared" si="21"/>
        <v>8</v>
      </c>
      <c r="L123" s="9">
        <f t="shared" si="12"/>
        <v>3.3057851239669422</v>
      </c>
      <c r="M123" s="8" t="str">
        <f t="array" ref="M123">IF(L123&gt;5,"Perlu Sensus",IF(AND(L123&gt;=0,I123&gt;0),"Tetap Deteksi","Belum Deteksi"))</f>
        <v>Tetap Deteksi</v>
      </c>
      <c r="N123" s="11">
        <v>46246</v>
      </c>
      <c r="O123" s="143">
        <v>242</v>
      </c>
      <c r="P123" s="9">
        <f t="array" ref="P123">IFERROR(O123/$G123*100,0)</f>
        <v>6.2857142857142865</v>
      </c>
      <c r="Q123" s="143">
        <v>8</v>
      </c>
      <c r="R123" s="9">
        <f t="shared" si="13"/>
        <v>3.3057851239669422</v>
      </c>
      <c r="S123" s="8" t="str">
        <f t="array" ref="S123">IF(R123&gt;5,"Perlu Sensus",IF(AND(R123&gt;=0,O123&gt;0),"Tetap Deteksi","Belum Deteksi"))</f>
        <v>Tetap Deteksi</v>
      </c>
      <c r="T123" s="143">
        <v>36</v>
      </c>
      <c r="U123" s="9">
        <f t="shared" si="14"/>
        <v>14.87603305785124</v>
      </c>
      <c r="V123" s="11">
        <v>46244</v>
      </c>
      <c r="W123" s="143">
        <v>1221</v>
      </c>
      <c r="X123" s="143">
        <v>78</v>
      </c>
      <c r="Y123" s="9">
        <f t="shared" si="15"/>
        <v>6.3882063882063882</v>
      </c>
      <c r="Z123" s="8" t="str">
        <f t="array" ref="Z123">IF(Y123&gt;5,"Perlu Sensus",IF(AND(Y123&gt;=0,W123&gt;0),"Tetap Deteksi","Belum Deteksi"))</f>
        <v>Perlu Sensus</v>
      </c>
      <c r="AA123" s="143">
        <v>117</v>
      </c>
      <c r="AB123" s="9">
        <f t="shared" si="16"/>
        <v>9.5823095823095823</v>
      </c>
      <c r="AC123" s="11"/>
      <c r="AD123" s="143"/>
      <c r="AE123" s="9">
        <f t="array" ref="AE123">IFERROR(AD123/$G123*100,0)</f>
        <v>0</v>
      </c>
      <c r="AF123" s="143"/>
      <c r="AG123" s="9">
        <f t="shared" si="17"/>
        <v>0</v>
      </c>
      <c r="AH123" s="8" t="str">
        <f t="array" ref="AH123">IF(AG123&gt;5,"Perlu Sensus",IF(AND(AG123&gt;=0,AD123&gt;0),"Tetap Deteksi","Belum Deteksi"))</f>
        <v>Belum Deteksi</v>
      </c>
      <c r="AI123" s="143"/>
      <c r="AJ123" s="9">
        <f t="shared" si="18"/>
        <v>0</v>
      </c>
      <c r="AK123" s="11"/>
      <c r="AL123" s="143"/>
      <c r="AM123" s="143"/>
      <c r="AN123" s="9">
        <f t="shared" si="19"/>
        <v>0</v>
      </c>
      <c r="AO123" s="8" t="str">
        <f t="array" ref="AO123">IF(AN123&gt;5,"Perlu Sensus",IF(AND(AN123&gt;=0,AL123&gt;0),"Tetap Deteksi","Belum Deteksi"))</f>
        <v>Belum Deteksi</v>
      </c>
      <c r="AP123" s="143"/>
      <c r="AQ123" s="9">
        <f t="shared" si="20"/>
        <v>0</v>
      </c>
    </row>
    <row r="124" spans="1:43" outlineLevel="1" x14ac:dyDescent="0.15">
      <c r="A124" s="8" t="s">
        <v>1821</v>
      </c>
      <c r="B124" s="8"/>
      <c r="C124" s="8" t="s">
        <v>173</v>
      </c>
      <c r="D124" s="186" t="s">
        <v>1018</v>
      </c>
      <c r="E124" s="9">
        <v>26.11</v>
      </c>
      <c r="F124" s="8" t="s">
        <v>1823</v>
      </c>
      <c r="G124" s="10">
        <v>3887.0000000000005</v>
      </c>
      <c r="H124" s="11">
        <f t="array" ref="H124">IF(OR(N124&gt;0,AC124&gt;0),MAX(N124,AC124),MAX(AK124,V124))</f>
        <v>46245</v>
      </c>
      <c r="I124" s="143">
        <f t="array" ref="I124">IF(SUM(O124,AD124)&gt;0,SUM(O124,AD124),SUM(AL124,W124))</f>
        <v>240</v>
      </c>
      <c r="J124" s="9">
        <f t="shared" si="11"/>
        <v>6.1744275791098531</v>
      </c>
      <c r="K124" s="143">
        <f t="shared" si="21"/>
        <v>6</v>
      </c>
      <c r="L124" s="9">
        <f t="shared" si="12"/>
        <v>2.5</v>
      </c>
      <c r="M124" s="8" t="str">
        <f t="array" ref="M124">IF(L124&gt;5,"Perlu Sensus",IF(AND(L124&gt;=0,I124&gt;0),"Tetap Deteksi","Belum Deteksi"))</f>
        <v>Tetap Deteksi</v>
      </c>
      <c r="N124" s="11">
        <v>46245</v>
      </c>
      <c r="O124" s="143">
        <v>240</v>
      </c>
      <c r="P124" s="9">
        <f t="array" ref="P124">IFERROR(O124/$G124*100,0)</f>
        <v>6.1744275791098531</v>
      </c>
      <c r="Q124" s="143">
        <v>6</v>
      </c>
      <c r="R124" s="9">
        <f t="shared" si="13"/>
        <v>2.5</v>
      </c>
      <c r="S124" s="8" t="str">
        <f t="array" ref="S124">IF(R124&gt;5,"Perlu Sensus",IF(AND(R124&gt;=0,O124&gt;0),"Tetap Deteksi","Belum Deteksi"))</f>
        <v>Tetap Deteksi</v>
      </c>
      <c r="T124" s="143">
        <v>25</v>
      </c>
      <c r="U124" s="9">
        <f t="shared" si="14"/>
        <v>10.416666666666668</v>
      </c>
      <c r="V124" s="11">
        <v>46245</v>
      </c>
      <c r="W124" s="143">
        <v>1422</v>
      </c>
      <c r="X124" s="143">
        <v>69</v>
      </c>
      <c r="Y124" s="9">
        <f t="shared" si="15"/>
        <v>4.852320675105485</v>
      </c>
      <c r="Z124" s="8" t="str">
        <f t="array" ref="Z124">IF(Y124&gt;5,"Perlu Sensus",IF(AND(Y124&gt;=0,W124&gt;0),"Tetap Deteksi","Belum Deteksi"))</f>
        <v>Tetap Deteksi</v>
      </c>
      <c r="AA124" s="143">
        <v>131</v>
      </c>
      <c r="AB124" s="9">
        <f t="shared" si="16"/>
        <v>9.2123769338959214</v>
      </c>
      <c r="AC124" s="11"/>
      <c r="AD124" s="143"/>
      <c r="AE124" s="9">
        <f t="array" ref="AE124">IFERROR(AD124/$G124*100,0)</f>
        <v>0</v>
      </c>
      <c r="AF124" s="143"/>
      <c r="AG124" s="9">
        <f t="shared" si="17"/>
        <v>0</v>
      </c>
      <c r="AH124" s="8" t="str">
        <f t="array" ref="AH124">IF(AG124&gt;5,"Perlu Sensus",IF(AND(AG124&gt;=0,AD124&gt;0),"Tetap Deteksi","Belum Deteksi"))</f>
        <v>Belum Deteksi</v>
      </c>
      <c r="AI124" s="143"/>
      <c r="AJ124" s="9">
        <f t="shared" si="18"/>
        <v>0</v>
      </c>
      <c r="AK124" s="11"/>
      <c r="AL124" s="143"/>
      <c r="AM124" s="143"/>
      <c r="AN124" s="9">
        <f t="shared" si="19"/>
        <v>0</v>
      </c>
      <c r="AO124" s="8" t="str">
        <f t="array" ref="AO124">IF(AN124&gt;5,"Perlu Sensus",IF(AND(AN124&gt;=0,AL124&gt;0),"Tetap Deteksi","Belum Deteksi"))</f>
        <v>Belum Deteksi</v>
      </c>
      <c r="AP124" s="143"/>
      <c r="AQ124" s="9">
        <f t="shared" si="20"/>
        <v>0</v>
      </c>
    </row>
    <row r="125" spans="1:43" outlineLevel="1" x14ac:dyDescent="0.15">
      <c r="A125" s="8" t="s">
        <v>1821</v>
      </c>
      <c r="B125" s="8"/>
      <c r="C125" s="8" t="s">
        <v>173</v>
      </c>
      <c r="D125" s="186" t="s">
        <v>1014</v>
      </c>
      <c r="E125" s="9">
        <v>30.25</v>
      </c>
      <c r="F125" s="8" t="s">
        <v>1823</v>
      </c>
      <c r="G125" s="10">
        <v>4550</v>
      </c>
      <c r="H125" s="11">
        <f t="array" ref="H125">IF(OR(N125&gt;0,AC125&gt;0),MAX(N125,AC125),MAX(AK125,V125))</f>
        <v>46246</v>
      </c>
      <c r="I125" s="143">
        <f t="array" ref="I125">IF(SUM(O125,AD125)&gt;0,SUM(O125,AD125),SUM(AL125,W125))</f>
        <v>242</v>
      </c>
      <c r="J125" s="9">
        <f t="shared" si="11"/>
        <v>5.3186813186813193</v>
      </c>
      <c r="K125" s="143">
        <f t="shared" si="21"/>
        <v>5</v>
      </c>
      <c r="L125" s="9">
        <f t="shared" si="12"/>
        <v>2.0661157024793391</v>
      </c>
      <c r="M125" s="8" t="str">
        <f t="array" ref="M125">IF(L125&gt;5,"Perlu Sensus",IF(AND(L125&gt;=0,I125&gt;0),"Tetap Deteksi","Belum Deteksi"))</f>
        <v>Tetap Deteksi</v>
      </c>
      <c r="N125" s="11">
        <v>46246</v>
      </c>
      <c r="O125" s="143">
        <v>242</v>
      </c>
      <c r="P125" s="9">
        <f t="array" ref="P125">IFERROR(O125/$G125*100,0)</f>
        <v>5.3186813186813193</v>
      </c>
      <c r="Q125" s="143">
        <v>5</v>
      </c>
      <c r="R125" s="9">
        <f t="shared" si="13"/>
        <v>2.0661157024793391</v>
      </c>
      <c r="S125" s="8" t="str">
        <f t="array" ref="S125">IF(R125&gt;5,"Perlu Sensus",IF(AND(R125&gt;=0,O125&gt;0),"Tetap Deteksi","Belum Deteksi"))</f>
        <v>Tetap Deteksi</v>
      </c>
      <c r="T125" s="143">
        <v>19</v>
      </c>
      <c r="U125" s="9">
        <f t="shared" si="14"/>
        <v>7.8512396694214877</v>
      </c>
      <c r="V125" s="11">
        <v>46246</v>
      </c>
      <c r="W125" s="143">
        <v>1488</v>
      </c>
      <c r="X125" s="143">
        <v>58</v>
      </c>
      <c r="Y125" s="9">
        <f t="shared" si="15"/>
        <v>3.8978494623655915</v>
      </c>
      <c r="Z125" s="8" t="str">
        <f t="array" ref="Z125">IF(Y125&gt;5,"Perlu Sensus",IF(AND(Y125&gt;=0,W125&gt;0),"Tetap Deteksi","Belum Deteksi"))</f>
        <v>Tetap Deteksi</v>
      </c>
      <c r="AA125" s="143">
        <v>127</v>
      </c>
      <c r="AB125" s="9">
        <f t="shared" si="16"/>
        <v>8.53494623655914</v>
      </c>
      <c r="AC125" s="11"/>
      <c r="AD125" s="143"/>
      <c r="AE125" s="9">
        <f t="array" ref="AE125">IFERROR(AD125/$G125*100,0)</f>
        <v>0</v>
      </c>
      <c r="AF125" s="143"/>
      <c r="AG125" s="9">
        <f t="shared" si="17"/>
        <v>0</v>
      </c>
      <c r="AH125" s="8" t="str">
        <f t="array" ref="AH125">IF(AG125&gt;5,"Perlu Sensus",IF(AND(AG125&gt;=0,AD125&gt;0),"Tetap Deteksi","Belum Deteksi"))</f>
        <v>Belum Deteksi</v>
      </c>
      <c r="AI125" s="143"/>
      <c r="AJ125" s="9">
        <f t="shared" si="18"/>
        <v>0</v>
      </c>
      <c r="AK125" s="11"/>
      <c r="AL125" s="143"/>
      <c r="AM125" s="143"/>
      <c r="AN125" s="9">
        <f t="shared" si="19"/>
        <v>0</v>
      </c>
      <c r="AO125" s="8" t="str">
        <f t="array" ref="AO125">IF(AN125&gt;5,"Perlu Sensus",IF(AND(AN125&gt;=0,AL125&gt;0),"Tetap Deteksi","Belum Deteksi"))</f>
        <v>Belum Deteksi</v>
      </c>
      <c r="AP125" s="143"/>
      <c r="AQ125" s="9">
        <f t="shared" si="20"/>
        <v>0</v>
      </c>
    </row>
    <row r="126" spans="1:43" outlineLevel="1" x14ac:dyDescent="0.15">
      <c r="A126" s="8" t="s">
        <v>1821</v>
      </c>
      <c r="B126" s="8"/>
      <c r="C126" s="8" t="s">
        <v>216</v>
      </c>
      <c r="D126" s="186" t="s">
        <v>1859</v>
      </c>
      <c r="E126" s="9">
        <v>39.730000000000004</v>
      </c>
      <c r="F126" s="8" t="s">
        <v>1740</v>
      </c>
      <c r="G126" s="10">
        <v>5213</v>
      </c>
      <c r="H126" s="11">
        <f t="array" ref="H126">IF(OR(N126&gt;0,AC126&gt;0),MAX(N126,AC126),MAX(AK126,V126))</f>
        <v>46249</v>
      </c>
      <c r="I126" s="143">
        <f t="array" ref="I126">IF(SUM(O126,AD126)&gt;0,SUM(O126,AD126),SUM(AL126,W126))</f>
        <v>228</v>
      </c>
      <c r="J126" s="9">
        <f t="shared" si="11"/>
        <v>4.3736811816612313</v>
      </c>
      <c r="K126" s="143">
        <f t="shared" si="21"/>
        <v>15</v>
      </c>
      <c r="L126" s="9">
        <f t="shared" si="12"/>
        <v>6.5789473684210522</v>
      </c>
      <c r="M126" s="8" t="str">
        <f t="array" ref="M126">IF(L126&gt;5,"Perlu Sensus",IF(AND(L126&gt;=0,I126&gt;0),"Tetap Deteksi","Belum Deteksi"))</f>
        <v>Perlu Sensus</v>
      </c>
      <c r="N126" s="11">
        <v>46249</v>
      </c>
      <c r="O126" s="143">
        <v>228</v>
      </c>
      <c r="P126" s="9">
        <f t="array" ref="P126">IFERROR(O126/$G126*100,0)</f>
        <v>4.3736811816612313</v>
      </c>
      <c r="Q126" s="143">
        <v>15</v>
      </c>
      <c r="R126" s="9">
        <f t="shared" si="13"/>
        <v>6.5789473684210522</v>
      </c>
      <c r="S126" s="8" t="str">
        <f t="array" ref="S126">IF(R126&gt;5,"Perlu Sensus",IF(AND(R126&gt;=0,O126&gt;0),"Tetap Deteksi","Belum Deteksi"))</f>
        <v>Perlu Sensus</v>
      </c>
      <c r="T126" s="143">
        <v>37</v>
      </c>
      <c r="U126" s="9">
        <f t="shared" si="14"/>
        <v>16.228070175438596</v>
      </c>
      <c r="V126" s="11">
        <v>0</v>
      </c>
      <c r="W126" s="143">
        <v>0</v>
      </c>
      <c r="X126" s="143">
        <v>0</v>
      </c>
      <c r="Y126" s="9">
        <f t="shared" si="15"/>
        <v>0</v>
      </c>
      <c r="Z126" s="8" t="str">
        <f t="array" ref="Z126">IF(Y126&gt;5,"Perlu Sensus",IF(AND(Y126&gt;=0,W126&gt;0),"Tetap Deteksi","Belum Deteksi"))</f>
        <v>Belum Deteksi</v>
      </c>
      <c r="AA126" s="143">
        <v>0</v>
      </c>
      <c r="AB126" s="9">
        <f t="shared" si="16"/>
        <v>0</v>
      </c>
      <c r="AC126" s="11"/>
      <c r="AD126" s="143"/>
      <c r="AE126" s="9">
        <f t="array" ref="AE126">IFERROR(AD126/$G126*100,0)</f>
        <v>0</v>
      </c>
      <c r="AF126" s="143"/>
      <c r="AG126" s="9">
        <f t="shared" si="17"/>
        <v>0</v>
      </c>
      <c r="AH126" s="8" t="str">
        <f t="array" ref="AH126">IF(AG126&gt;5,"Perlu Sensus",IF(AND(AG126&gt;=0,AD126&gt;0),"Tetap Deteksi","Belum Deteksi"))</f>
        <v>Belum Deteksi</v>
      </c>
      <c r="AI126" s="143"/>
      <c r="AJ126" s="9">
        <f t="shared" si="18"/>
        <v>0</v>
      </c>
      <c r="AK126" s="11"/>
      <c r="AL126" s="143"/>
      <c r="AM126" s="143"/>
      <c r="AN126" s="9">
        <f t="shared" si="19"/>
        <v>0</v>
      </c>
      <c r="AO126" s="8" t="str">
        <f t="array" ref="AO126">IF(AN126&gt;5,"Perlu Sensus",IF(AND(AN126&gt;=0,AL126&gt;0),"Tetap Deteksi","Belum Deteksi"))</f>
        <v>Belum Deteksi</v>
      </c>
      <c r="AP126" s="143"/>
      <c r="AQ126" s="9">
        <f t="shared" si="20"/>
        <v>0</v>
      </c>
    </row>
    <row r="127" spans="1:43" outlineLevel="1" x14ac:dyDescent="0.15">
      <c r="A127" s="8" t="s">
        <v>1821</v>
      </c>
      <c r="B127" s="8"/>
      <c r="C127" s="8" t="s">
        <v>216</v>
      </c>
      <c r="D127" s="186" t="s">
        <v>1860</v>
      </c>
      <c r="E127" s="9">
        <v>22.19</v>
      </c>
      <c r="F127" s="8" t="s">
        <v>1740</v>
      </c>
      <c r="G127" s="10">
        <v>3220</v>
      </c>
      <c r="H127" s="11">
        <f t="array" ref="H127">IF(OR(N127&gt;0,AC127&gt;0),MAX(N127,AC127),MAX(AK127,V127))</f>
        <v>46249</v>
      </c>
      <c r="I127" s="143">
        <f t="array" ref="I127">IF(SUM(O127,AD127)&gt;0,SUM(O127,AD127),SUM(AL127,W127))</f>
        <v>224</v>
      </c>
      <c r="J127" s="9">
        <f t="shared" si="11"/>
        <v>6.9565217391304346</v>
      </c>
      <c r="K127" s="143">
        <f t="shared" si="21"/>
        <v>16</v>
      </c>
      <c r="L127" s="9">
        <f t="shared" si="12"/>
        <v>7.1428571428571423</v>
      </c>
      <c r="M127" s="8" t="str">
        <f t="array" ref="M127">IF(L127&gt;5,"Perlu Sensus",IF(AND(L127&gt;=0,I127&gt;0),"Tetap Deteksi","Belum Deteksi"))</f>
        <v>Perlu Sensus</v>
      </c>
      <c r="N127" s="11">
        <v>46249</v>
      </c>
      <c r="O127" s="143">
        <v>224</v>
      </c>
      <c r="P127" s="9">
        <f t="array" ref="P127">IFERROR(O127/$G127*100,0)</f>
        <v>6.9565217391304346</v>
      </c>
      <c r="Q127" s="143">
        <v>16</v>
      </c>
      <c r="R127" s="9">
        <f t="shared" si="13"/>
        <v>7.1428571428571423</v>
      </c>
      <c r="S127" s="8" t="str">
        <f t="array" ref="S127">IF(R127&gt;5,"Perlu Sensus",IF(AND(R127&gt;=0,O127&gt;0),"Tetap Deteksi","Belum Deteksi"))</f>
        <v>Perlu Sensus</v>
      </c>
      <c r="T127" s="143">
        <v>22</v>
      </c>
      <c r="U127" s="9">
        <f t="shared" si="14"/>
        <v>9.8214285714285712</v>
      </c>
      <c r="V127" s="11">
        <v>0</v>
      </c>
      <c r="W127" s="143">
        <v>0</v>
      </c>
      <c r="X127" s="143">
        <v>0</v>
      </c>
      <c r="Y127" s="9">
        <f t="shared" si="15"/>
        <v>0</v>
      </c>
      <c r="Z127" s="8" t="str">
        <f t="array" ref="Z127">IF(Y127&gt;5,"Perlu Sensus",IF(AND(Y127&gt;=0,W127&gt;0),"Tetap Deteksi","Belum Deteksi"))</f>
        <v>Belum Deteksi</v>
      </c>
      <c r="AA127" s="143">
        <v>0</v>
      </c>
      <c r="AB127" s="9">
        <f t="shared" si="16"/>
        <v>0</v>
      </c>
      <c r="AC127" s="11"/>
      <c r="AD127" s="143"/>
      <c r="AE127" s="9">
        <f t="array" ref="AE127">IFERROR(AD127/$G127*100,0)</f>
        <v>0</v>
      </c>
      <c r="AF127" s="143"/>
      <c r="AG127" s="9">
        <f t="shared" si="17"/>
        <v>0</v>
      </c>
      <c r="AH127" s="8" t="str">
        <f t="array" ref="AH127">IF(AG127&gt;5,"Perlu Sensus",IF(AND(AG127&gt;=0,AD127&gt;0),"Tetap Deteksi","Belum Deteksi"))</f>
        <v>Belum Deteksi</v>
      </c>
      <c r="AI127" s="143"/>
      <c r="AJ127" s="9">
        <f t="shared" si="18"/>
        <v>0</v>
      </c>
      <c r="AK127" s="11"/>
      <c r="AL127" s="143"/>
      <c r="AM127" s="143"/>
      <c r="AN127" s="9">
        <f t="shared" si="19"/>
        <v>0</v>
      </c>
      <c r="AO127" s="8" t="str">
        <f t="array" ref="AO127">IF(AN127&gt;5,"Perlu Sensus",IF(AND(AN127&gt;=0,AL127&gt;0),"Tetap Deteksi","Belum Deteksi"))</f>
        <v>Belum Deteksi</v>
      </c>
      <c r="AP127" s="143"/>
      <c r="AQ127" s="9">
        <f t="shared" si="20"/>
        <v>0</v>
      </c>
    </row>
    <row r="128" spans="1:43" outlineLevel="1" x14ac:dyDescent="0.15">
      <c r="A128" s="8" t="s">
        <v>1821</v>
      </c>
      <c r="B128" s="8"/>
      <c r="C128" s="8" t="s">
        <v>216</v>
      </c>
      <c r="D128" s="186" t="s">
        <v>1861</v>
      </c>
      <c r="E128" s="9">
        <v>23.97</v>
      </c>
      <c r="F128" s="8" t="s">
        <v>1823</v>
      </c>
      <c r="G128" s="10">
        <v>3652.9999999999995</v>
      </c>
      <c r="H128" s="11">
        <f t="array" ref="H128">IF(OR(N128&gt;0,AC128&gt;0),MAX(N128,AC128),MAX(AK128,V128))</f>
        <v>46249</v>
      </c>
      <c r="I128" s="143">
        <f t="array" ref="I128">IF(SUM(O128,AD128)&gt;0,SUM(O128,AD128),SUM(AL128,W128))</f>
        <v>226</v>
      </c>
      <c r="J128" s="9">
        <f t="shared" si="11"/>
        <v>6.1866958664111698</v>
      </c>
      <c r="K128" s="143">
        <f t="shared" si="21"/>
        <v>19</v>
      </c>
      <c r="L128" s="9">
        <f t="shared" si="12"/>
        <v>8.4070796460176993</v>
      </c>
      <c r="M128" s="8" t="str">
        <f t="array" ref="M128">IF(L128&gt;5,"Perlu Sensus",IF(AND(L128&gt;=0,I128&gt;0),"Tetap Deteksi","Belum Deteksi"))</f>
        <v>Perlu Sensus</v>
      </c>
      <c r="N128" s="11">
        <v>46249</v>
      </c>
      <c r="O128" s="143">
        <v>226</v>
      </c>
      <c r="P128" s="9">
        <f t="array" ref="P128">IFERROR(O128/$G128*100,0)</f>
        <v>6.1866958664111698</v>
      </c>
      <c r="Q128" s="143">
        <v>19</v>
      </c>
      <c r="R128" s="9">
        <f t="shared" si="13"/>
        <v>8.4070796460176993</v>
      </c>
      <c r="S128" s="8" t="str">
        <f t="array" ref="S128">IF(R128&gt;5,"Perlu Sensus",IF(AND(R128&gt;=0,O128&gt;0),"Tetap Deteksi","Belum Deteksi"))</f>
        <v>Perlu Sensus</v>
      </c>
      <c r="T128" s="143">
        <v>57</v>
      </c>
      <c r="U128" s="9">
        <f t="shared" si="14"/>
        <v>25.221238938053098</v>
      </c>
      <c r="V128" s="11">
        <v>0</v>
      </c>
      <c r="W128" s="143">
        <v>0</v>
      </c>
      <c r="X128" s="143">
        <v>0</v>
      </c>
      <c r="Y128" s="9">
        <f t="shared" si="15"/>
        <v>0</v>
      </c>
      <c r="Z128" s="8" t="str">
        <f t="array" ref="Z128">IF(Y128&gt;5,"Perlu Sensus",IF(AND(Y128&gt;=0,W128&gt;0),"Tetap Deteksi","Belum Deteksi"))</f>
        <v>Belum Deteksi</v>
      </c>
      <c r="AA128" s="143">
        <v>0</v>
      </c>
      <c r="AB128" s="9">
        <f t="shared" si="16"/>
        <v>0</v>
      </c>
      <c r="AC128" s="11"/>
      <c r="AD128" s="143"/>
      <c r="AE128" s="9">
        <f t="array" ref="AE128">IFERROR(AD128/$G128*100,0)</f>
        <v>0</v>
      </c>
      <c r="AF128" s="143"/>
      <c r="AG128" s="9">
        <f t="shared" si="17"/>
        <v>0</v>
      </c>
      <c r="AH128" s="8" t="str">
        <f t="array" ref="AH128">IF(AG128&gt;5,"Perlu Sensus",IF(AND(AG128&gt;=0,AD128&gt;0),"Tetap Deteksi","Belum Deteksi"))</f>
        <v>Belum Deteksi</v>
      </c>
      <c r="AI128" s="143"/>
      <c r="AJ128" s="9">
        <f t="shared" si="18"/>
        <v>0</v>
      </c>
      <c r="AK128" s="11"/>
      <c r="AL128" s="143"/>
      <c r="AM128" s="143"/>
      <c r="AN128" s="9">
        <f t="shared" si="19"/>
        <v>0</v>
      </c>
      <c r="AO128" s="8" t="str">
        <f t="array" ref="AO128">IF(AN128&gt;5,"Perlu Sensus",IF(AND(AN128&gt;=0,AL128&gt;0),"Tetap Deteksi","Belum Deteksi"))</f>
        <v>Belum Deteksi</v>
      </c>
      <c r="AP128" s="143"/>
      <c r="AQ128" s="9">
        <f t="shared" si="20"/>
        <v>0</v>
      </c>
    </row>
    <row r="129" spans="1:43" outlineLevel="1" x14ac:dyDescent="0.15">
      <c r="A129" s="8" t="s">
        <v>1821</v>
      </c>
      <c r="B129" s="8"/>
      <c r="C129" s="8" t="s">
        <v>216</v>
      </c>
      <c r="D129" s="186" t="s">
        <v>1862</v>
      </c>
      <c r="E129" s="9">
        <v>40.049999999999997</v>
      </c>
      <c r="F129" s="8" t="s">
        <v>1823</v>
      </c>
      <c r="G129" s="10">
        <v>6022</v>
      </c>
      <c r="H129" s="11">
        <f t="array" ref="H129">IF(OR(N129&gt;0,AC129&gt;0),MAX(N129,AC129),MAX(AK129,V129))</f>
        <v>46235</v>
      </c>
      <c r="I129" s="143">
        <f t="array" ref="I129">IF(SUM(O129,AD129)&gt;0,SUM(O129,AD129),SUM(AL129,W129))</f>
        <v>116</v>
      </c>
      <c r="J129" s="9">
        <f t="shared" si="11"/>
        <v>1.9262703420790437</v>
      </c>
      <c r="K129" s="143">
        <f t="shared" si="21"/>
        <v>6</v>
      </c>
      <c r="L129" s="9">
        <f t="shared" si="12"/>
        <v>5.1724137931034484</v>
      </c>
      <c r="M129" s="8" t="str">
        <f t="array" ref="M129">IF(L129&gt;5,"Perlu Sensus",IF(AND(L129&gt;=0,I129&gt;0),"Tetap Deteksi","Belum Deteksi"))</f>
        <v>Perlu Sensus</v>
      </c>
      <c r="N129" s="11">
        <v>46235</v>
      </c>
      <c r="O129" s="143">
        <v>116</v>
      </c>
      <c r="P129" s="9">
        <f t="array" ref="P129">IFERROR(O129/$G129*100,0)</f>
        <v>1.9262703420790437</v>
      </c>
      <c r="Q129" s="143">
        <v>6</v>
      </c>
      <c r="R129" s="9">
        <f t="shared" si="13"/>
        <v>5.1724137931034484</v>
      </c>
      <c r="S129" s="8" t="str">
        <f t="array" ref="S129">IF(R129&gt;5,"Perlu Sensus",IF(AND(R129&gt;=0,O129&gt;0),"Tetap Deteksi","Belum Deteksi"))</f>
        <v>Perlu Sensus</v>
      </c>
      <c r="T129" s="143">
        <v>11</v>
      </c>
      <c r="U129" s="9">
        <f t="shared" si="14"/>
        <v>9.4827586206896548</v>
      </c>
      <c r="V129" s="11">
        <v>0</v>
      </c>
      <c r="W129" s="143">
        <v>0</v>
      </c>
      <c r="X129" s="143">
        <v>0</v>
      </c>
      <c r="Y129" s="9">
        <f t="shared" si="15"/>
        <v>0</v>
      </c>
      <c r="Z129" s="8" t="str">
        <f t="array" ref="Z129">IF(Y129&gt;5,"Perlu Sensus",IF(AND(Y129&gt;=0,W129&gt;0),"Tetap Deteksi","Belum Deteksi"))</f>
        <v>Belum Deteksi</v>
      </c>
      <c r="AA129" s="143">
        <v>0</v>
      </c>
      <c r="AB129" s="9">
        <f t="shared" si="16"/>
        <v>0</v>
      </c>
      <c r="AC129" s="11"/>
      <c r="AD129" s="143"/>
      <c r="AE129" s="9">
        <f t="array" ref="AE129">IFERROR(AD129/$G129*100,0)</f>
        <v>0</v>
      </c>
      <c r="AF129" s="143"/>
      <c r="AG129" s="9">
        <f t="shared" si="17"/>
        <v>0</v>
      </c>
      <c r="AH129" s="8" t="str">
        <f t="array" ref="AH129">IF(AG129&gt;5,"Perlu Sensus",IF(AND(AG129&gt;=0,AD129&gt;0),"Tetap Deteksi","Belum Deteksi"))</f>
        <v>Belum Deteksi</v>
      </c>
      <c r="AI129" s="143"/>
      <c r="AJ129" s="9">
        <f t="shared" si="18"/>
        <v>0</v>
      </c>
      <c r="AK129" s="11"/>
      <c r="AL129" s="143"/>
      <c r="AM129" s="143"/>
      <c r="AN129" s="9">
        <f t="shared" si="19"/>
        <v>0</v>
      </c>
      <c r="AO129" s="8" t="str">
        <f t="array" ref="AO129">IF(AN129&gt;5,"Perlu Sensus",IF(AND(AN129&gt;=0,AL129&gt;0),"Tetap Deteksi","Belum Deteksi"))</f>
        <v>Belum Deteksi</v>
      </c>
      <c r="AP129" s="143"/>
      <c r="AQ129" s="9">
        <f t="shared" si="20"/>
        <v>0</v>
      </c>
    </row>
    <row r="130" spans="1:43" outlineLevel="1" x14ac:dyDescent="0.15">
      <c r="A130" s="8" t="s">
        <v>1821</v>
      </c>
      <c r="B130" s="8"/>
      <c r="C130" s="8" t="s">
        <v>216</v>
      </c>
      <c r="D130" s="186" t="s">
        <v>1863</v>
      </c>
      <c r="E130" s="9">
        <v>24.44</v>
      </c>
      <c r="F130" s="8" t="s">
        <v>1823</v>
      </c>
      <c r="G130" s="10">
        <v>3626</v>
      </c>
      <c r="H130" s="11">
        <f t="array" ref="H130">IF(OR(N130&gt;0,AC130&gt;0),MAX(N130,AC130),MAX(AK130,V130))</f>
        <v>46237</v>
      </c>
      <c r="I130" s="143">
        <f t="array" ref="I130">IF(SUM(O130,AD130)&gt;0,SUM(O130,AD130),SUM(AL130,W130))</f>
        <v>232</v>
      </c>
      <c r="J130" s="9">
        <f t="shared" si="11"/>
        <v>6.398234969663541</v>
      </c>
      <c r="K130" s="143">
        <f t="shared" si="21"/>
        <v>10</v>
      </c>
      <c r="L130" s="9">
        <f t="shared" si="12"/>
        <v>4.3103448275862073</v>
      </c>
      <c r="M130" s="8" t="str">
        <f t="array" ref="M130">IF(L130&gt;5,"Perlu Sensus",IF(AND(L130&gt;=0,I130&gt;0),"Tetap Deteksi","Belum Deteksi"))</f>
        <v>Tetap Deteksi</v>
      </c>
      <c r="N130" s="11">
        <v>46237</v>
      </c>
      <c r="O130" s="143">
        <v>232</v>
      </c>
      <c r="P130" s="9">
        <f t="array" ref="P130">IFERROR(O130/$G130*100,0)</f>
        <v>6.398234969663541</v>
      </c>
      <c r="Q130" s="143">
        <v>10</v>
      </c>
      <c r="R130" s="9">
        <f t="shared" si="13"/>
        <v>4.3103448275862073</v>
      </c>
      <c r="S130" s="8" t="str">
        <f t="array" ref="S130">IF(R130&gt;5,"Perlu Sensus",IF(AND(R130&gt;=0,O130&gt;0),"Tetap Deteksi","Belum Deteksi"))</f>
        <v>Tetap Deteksi</v>
      </c>
      <c r="T130" s="143">
        <v>26</v>
      </c>
      <c r="U130" s="9">
        <f t="shared" si="14"/>
        <v>11.206896551724139</v>
      </c>
      <c r="V130" s="11">
        <v>0</v>
      </c>
      <c r="W130" s="143">
        <v>0</v>
      </c>
      <c r="X130" s="143">
        <v>0</v>
      </c>
      <c r="Y130" s="9">
        <f t="shared" si="15"/>
        <v>0</v>
      </c>
      <c r="Z130" s="8" t="str">
        <f t="array" ref="Z130">IF(Y130&gt;5,"Perlu Sensus",IF(AND(Y130&gt;=0,W130&gt;0),"Tetap Deteksi","Belum Deteksi"))</f>
        <v>Belum Deteksi</v>
      </c>
      <c r="AA130" s="143">
        <v>0</v>
      </c>
      <c r="AB130" s="9">
        <f t="shared" si="16"/>
        <v>0</v>
      </c>
      <c r="AC130" s="11"/>
      <c r="AD130" s="143"/>
      <c r="AE130" s="9">
        <f t="array" ref="AE130">IFERROR(AD130/$G130*100,0)</f>
        <v>0</v>
      </c>
      <c r="AF130" s="143"/>
      <c r="AG130" s="9">
        <f t="shared" si="17"/>
        <v>0</v>
      </c>
      <c r="AH130" s="8" t="str">
        <f t="array" ref="AH130">IF(AG130&gt;5,"Perlu Sensus",IF(AND(AG130&gt;=0,AD130&gt;0),"Tetap Deteksi","Belum Deteksi"))</f>
        <v>Belum Deteksi</v>
      </c>
      <c r="AI130" s="143"/>
      <c r="AJ130" s="9">
        <f t="shared" si="18"/>
        <v>0</v>
      </c>
      <c r="AK130" s="11"/>
      <c r="AL130" s="143"/>
      <c r="AM130" s="143"/>
      <c r="AN130" s="9">
        <f t="shared" si="19"/>
        <v>0</v>
      </c>
      <c r="AO130" s="8" t="str">
        <f t="array" ref="AO130">IF(AN130&gt;5,"Perlu Sensus",IF(AND(AN130&gt;=0,AL130&gt;0),"Tetap Deteksi","Belum Deteksi"))</f>
        <v>Belum Deteksi</v>
      </c>
      <c r="AP130" s="143"/>
      <c r="AQ130" s="9">
        <f t="shared" si="20"/>
        <v>0</v>
      </c>
    </row>
    <row r="131" spans="1:43" outlineLevel="1" x14ac:dyDescent="0.15">
      <c r="A131" s="8" t="s">
        <v>1821</v>
      </c>
      <c r="B131" s="8"/>
      <c r="C131" s="8" t="s">
        <v>216</v>
      </c>
      <c r="D131" s="186" t="s">
        <v>1864</v>
      </c>
      <c r="E131" s="9">
        <v>24.03</v>
      </c>
      <c r="F131" s="8" t="s">
        <v>1823</v>
      </c>
      <c r="G131" s="10">
        <v>3553</v>
      </c>
      <c r="H131" s="11">
        <f t="array" ref="H131">IF(OR(N131&gt;0,AC131&gt;0),MAX(N131,AC131),MAX(AK131,V131))</f>
        <v>46235</v>
      </c>
      <c r="I131" s="143">
        <f t="array" ref="I131">IF(SUM(O131,AD131)&gt;0,SUM(O131,AD131),SUM(AL131,W131))</f>
        <v>108</v>
      </c>
      <c r="J131" s="9">
        <f t="shared" si="11"/>
        <v>3.0396847734309036</v>
      </c>
      <c r="K131" s="143">
        <f t="shared" si="21"/>
        <v>5</v>
      </c>
      <c r="L131" s="9">
        <f t="shared" si="12"/>
        <v>4.6296296296296298</v>
      </c>
      <c r="M131" s="8" t="str">
        <f t="array" ref="M131">IF(L131&gt;5,"Perlu Sensus",IF(AND(L131&gt;=0,I131&gt;0),"Tetap Deteksi","Belum Deteksi"))</f>
        <v>Tetap Deteksi</v>
      </c>
      <c r="N131" s="11">
        <v>46235</v>
      </c>
      <c r="O131" s="143">
        <v>108</v>
      </c>
      <c r="P131" s="9">
        <f t="array" ref="P131">IFERROR(O131/$G131*100,0)</f>
        <v>3.0396847734309036</v>
      </c>
      <c r="Q131" s="143">
        <v>5</v>
      </c>
      <c r="R131" s="9">
        <f t="shared" si="13"/>
        <v>4.6296296296296298</v>
      </c>
      <c r="S131" s="8" t="str">
        <f t="array" ref="S131">IF(R131&gt;5,"Perlu Sensus",IF(AND(R131&gt;=0,O131&gt;0),"Tetap Deteksi","Belum Deteksi"))</f>
        <v>Tetap Deteksi</v>
      </c>
      <c r="T131" s="143">
        <v>13</v>
      </c>
      <c r="U131" s="9">
        <f t="shared" si="14"/>
        <v>12.037037037037036</v>
      </c>
      <c r="V131" s="11">
        <v>0</v>
      </c>
      <c r="W131" s="143">
        <v>0</v>
      </c>
      <c r="X131" s="143">
        <v>0</v>
      </c>
      <c r="Y131" s="9">
        <f t="shared" si="15"/>
        <v>0</v>
      </c>
      <c r="Z131" s="8" t="str">
        <f t="array" ref="Z131">IF(Y131&gt;5,"Perlu Sensus",IF(AND(Y131&gt;=0,W131&gt;0),"Tetap Deteksi","Belum Deteksi"))</f>
        <v>Belum Deteksi</v>
      </c>
      <c r="AA131" s="143">
        <v>0</v>
      </c>
      <c r="AB131" s="9">
        <f t="shared" si="16"/>
        <v>0</v>
      </c>
      <c r="AC131" s="11"/>
      <c r="AD131" s="143"/>
      <c r="AE131" s="9">
        <f t="array" ref="AE131">IFERROR(AD131/$G131*100,0)</f>
        <v>0</v>
      </c>
      <c r="AF131" s="143"/>
      <c r="AG131" s="9">
        <f t="shared" si="17"/>
        <v>0</v>
      </c>
      <c r="AH131" s="8" t="str">
        <f t="array" ref="AH131">IF(AG131&gt;5,"Perlu Sensus",IF(AND(AG131&gt;=0,AD131&gt;0),"Tetap Deteksi","Belum Deteksi"))</f>
        <v>Belum Deteksi</v>
      </c>
      <c r="AI131" s="143"/>
      <c r="AJ131" s="9">
        <f t="shared" si="18"/>
        <v>0</v>
      </c>
      <c r="AK131" s="11"/>
      <c r="AL131" s="143"/>
      <c r="AM131" s="143"/>
      <c r="AN131" s="9">
        <f t="shared" si="19"/>
        <v>0</v>
      </c>
      <c r="AO131" s="8" t="str">
        <f t="array" ref="AO131">IF(AN131&gt;5,"Perlu Sensus",IF(AND(AN131&gt;=0,AL131&gt;0),"Tetap Deteksi","Belum Deteksi"))</f>
        <v>Belum Deteksi</v>
      </c>
      <c r="AP131" s="143"/>
      <c r="AQ131" s="9">
        <f t="shared" si="20"/>
        <v>0</v>
      </c>
    </row>
    <row r="132" spans="1:43" outlineLevel="1" x14ac:dyDescent="0.15">
      <c r="A132" s="8" t="s">
        <v>1821</v>
      </c>
      <c r="B132" s="8"/>
      <c r="C132" s="8" t="s">
        <v>216</v>
      </c>
      <c r="D132" s="186" t="s">
        <v>1865</v>
      </c>
      <c r="E132" s="9">
        <v>26.52</v>
      </c>
      <c r="F132" s="8" t="s">
        <v>1823</v>
      </c>
      <c r="G132" s="10">
        <v>3810.9999999999995</v>
      </c>
      <c r="H132" s="11">
        <f t="array" ref="H132">IF(OR(N132&gt;0,AC132&gt;0),MAX(N132,AC132),MAX(AK132,V132))</f>
        <v>46249</v>
      </c>
      <c r="I132" s="143">
        <f t="array" ref="I132">IF(SUM(O132,AD132)&gt;0,SUM(O132,AD132),SUM(AL132,W132))</f>
        <v>112</v>
      </c>
      <c r="J132" s="9">
        <f t="shared" si="11"/>
        <v>2.938861191288376</v>
      </c>
      <c r="K132" s="143">
        <f t="shared" si="21"/>
        <v>5</v>
      </c>
      <c r="L132" s="9">
        <f t="shared" si="12"/>
        <v>4.4642857142857144</v>
      </c>
      <c r="M132" s="8" t="str">
        <f t="array" ref="M132">IF(L132&gt;5,"Perlu Sensus",IF(AND(L132&gt;=0,I132&gt;0),"Tetap Deteksi","Belum Deteksi"))</f>
        <v>Tetap Deteksi</v>
      </c>
      <c r="N132" s="11">
        <v>46249</v>
      </c>
      <c r="O132" s="143">
        <v>112</v>
      </c>
      <c r="P132" s="9">
        <f t="array" ref="P132">IFERROR(O132/$G132*100,0)</f>
        <v>2.938861191288376</v>
      </c>
      <c r="Q132" s="143">
        <v>5</v>
      </c>
      <c r="R132" s="9">
        <f t="shared" si="13"/>
        <v>4.4642857142857144</v>
      </c>
      <c r="S132" s="8" t="str">
        <f t="array" ref="S132">IF(R132&gt;5,"Perlu Sensus",IF(AND(R132&gt;=0,O132&gt;0),"Tetap Deteksi","Belum Deteksi"))</f>
        <v>Tetap Deteksi</v>
      </c>
      <c r="T132" s="143">
        <v>0</v>
      </c>
      <c r="U132" s="9">
        <f t="shared" si="14"/>
        <v>0</v>
      </c>
      <c r="V132" s="11">
        <v>0</v>
      </c>
      <c r="W132" s="143">
        <v>0</v>
      </c>
      <c r="X132" s="143">
        <v>0</v>
      </c>
      <c r="Y132" s="9">
        <f t="shared" si="15"/>
        <v>0</v>
      </c>
      <c r="Z132" s="8" t="str">
        <f t="array" ref="Z132">IF(Y132&gt;5,"Perlu Sensus",IF(AND(Y132&gt;=0,W132&gt;0),"Tetap Deteksi","Belum Deteksi"))</f>
        <v>Belum Deteksi</v>
      </c>
      <c r="AA132" s="143">
        <v>0</v>
      </c>
      <c r="AB132" s="9">
        <f t="shared" si="16"/>
        <v>0</v>
      </c>
      <c r="AC132" s="11"/>
      <c r="AD132" s="143"/>
      <c r="AE132" s="9">
        <f t="array" ref="AE132">IFERROR(AD132/$G132*100,0)</f>
        <v>0</v>
      </c>
      <c r="AF132" s="143"/>
      <c r="AG132" s="9">
        <f t="shared" si="17"/>
        <v>0</v>
      </c>
      <c r="AH132" s="8" t="str">
        <f t="array" ref="AH132">IF(AG132&gt;5,"Perlu Sensus",IF(AND(AG132&gt;=0,AD132&gt;0),"Tetap Deteksi","Belum Deteksi"))</f>
        <v>Belum Deteksi</v>
      </c>
      <c r="AI132" s="143"/>
      <c r="AJ132" s="9">
        <f t="shared" si="18"/>
        <v>0</v>
      </c>
      <c r="AK132" s="11"/>
      <c r="AL132" s="143"/>
      <c r="AM132" s="143"/>
      <c r="AN132" s="9">
        <f t="shared" si="19"/>
        <v>0</v>
      </c>
      <c r="AO132" s="8" t="str">
        <f t="array" ref="AO132">IF(AN132&gt;5,"Perlu Sensus",IF(AND(AN132&gt;=0,AL132&gt;0),"Tetap Deteksi","Belum Deteksi"))</f>
        <v>Belum Deteksi</v>
      </c>
      <c r="AP132" s="143"/>
      <c r="AQ132" s="9">
        <f t="shared" si="20"/>
        <v>0</v>
      </c>
    </row>
    <row r="133" spans="1:43" outlineLevel="1" x14ac:dyDescent="0.15">
      <c r="A133" s="8" t="s">
        <v>1821</v>
      </c>
      <c r="B133" s="8"/>
      <c r="C133" s="8" t="s">
        <v>216</v>
      </c>
      <c r="D133" s="186" t="s">
        <v>1866</v>
      </c>
      <c r="E133" s="9">
        <v>22.51</v>
      </c>
      <c r="F133" s="8" t="s">
        <v>1823</v>
      </c>
      <c r="G133" s="10">
        <v>3393</v>
      </c>
      <c r="H133" s="11">
        <f t="array" ref="H133">IF(OR(N133&gt;0,AC133&gt;0),MAX(N133,AC133),MAX(AK133,V133))</f>
        <v>46239</v>
      </c>
      <c r="I133" s="143">
        <f t="array" ref="I133">IF(SUM(O133,AD133)&gt;0,SUM(O133,AD133),SUM(AL133,W133))</f>
        <v>466</v>
      </c>
      <c r="J133" s="9">
        <f t="shared" si="11"/>
        <v>13.734158561744769</v>
      </c>
      <c r="K133" s="143">
        <f t="shared" si="21"/>
        <v>25</v>
      </c>
      <c r="L133" s="9">
        <f t="shared" si="12"/>
        <v>5.3648068669527902</v>
      </c>
      <c r="M133" s="8" t="str">
        <f t="array" ref="M133">IF(L133&gt;5,"Perlu Sensus",IF(AND(L133&gt;=0,I133&gt;0),"Tetap Deteksi","Belum Deteksi"))</f>
        <v>Perlu Sensus</v>
      </c>
      <c r="N133" s="11">
        <v>46239</v>
      </c>
      <c r="O133" s="143">
        <v>466</v>
      </c>
      <c r="P133" s="9">
        <f t="array" ref="P133">IFERROR(O133/$G133*100,0)</f>
        <v>13.734158561744769</v>
      </c>
      <c r="Q133" s="143">
        <v>25</v>
      </c>
      <c r="R133" s="9">
        <f t="shared" si="13"/>
        <v>5.3648068669527902</v>
      </c>
      <c r="S133" s="8" t="str">
        <f t="array" ref="S133">IF(R133&gt;5,"Perlu Sensus",IF(AND(R133&gt;=0,O133&gt;0),"Tetap Deteksi","Belum Deteksi"))</f>
        <v>Perlu Sensus</v>
      </c>
      <c r="T133" s="143">
        <v>62</v>
      </c>
      <c r="U133" s="9">
        <f t="shared" si="14"/>
        <v>13.304721030042918</v>
      </c>
      <c r="V133" s="11">
        <v>0</v>
      </c>
      <c r="W133" s="143">
        <v>0</v>
      </c>
      <c r="X133" s="143">
        <v>0</v>
      </c>
      <c r="Y133" s="9">
        <f t="shared" si="15"/>
        <v>0</v>
      </c>
      <c r="Z133" s="8" t="str">
        <f t="array" ref="Z133">IF(Y133&gt;5,"Perlu Sensus",IF(AND(Y133&gt;=0,W133&gt;0),"Tetap Deteksi","Belum Deteksi"))</f>
        <v>Belum Deteksi</v>
      </c>
      <c r="AA133" s="143">
        <v>0</v>
      </c>
      <c r="AB133" s="9">
        <f t="shared" si="16"/>
        <v>0</v>
      </c>
      <c r="AC133" s="11"/>
      <c r="AD133" s="143"/>
      <c r="AE133" s="9">
        <f t="array" ref="AE133">IFERROR(AD133/$G133*100,0)</f>
        <v>0</v>
      </c>
      <c r="AF133" s="143"/>
      <c r="AG133" s="9">
        <f t="shared" si="17"/>
        <v>0</v>
      </c>
      <c r="AH133" s="8" t="str">
        <f t="array" ref="AH133">IF(AG133&gt;5,"Perlu Sensus",IF(AND(AG133&gt;=0,AD133&gt;0),"Tetap Deteksi","Belum Deteksi"))</f>
        <v>Belum Deteksi</v>
      </c>
      <c r="AI133" s="143"/>
      <c r="AJ133" s="9">
        <f t="shared" si="18"/>
        <v>0</v>
      </c>
      <c r="AK133" s="11"/>
      <c r="AL133" s="143"/>
      <c r="AM133" s="143"/>
      <c r="AN133" s="9">
        <f t="shared" si="19"/>
        <v>0</v>
      </c>
      <c r="AO133" s="8" t="str">
        <f t="array" ref="AO133">IF(AN133&gt;5,"Perlu Sensus",IF(AND(AN133&gt;=0,AL133&gt;0),"Tetap Deteksi","Belum Deteksi"))</f>
        <v>Belum Deteksi</v>
      </c>
      <c r="AP133" s="143"/>
      <c r="AQ133" s="9">
        <f t="shared" si="20"/>
        <v>0</v>
      </c>
    </row>
    <row r="134" spans="1:43" outlineLevel="1" x14ac:dyDescent="0.15">
      <c r="A134" s="8" t="s">
        <v>1821</v>
      </c>
      <c r="B134" s="8"/>
      <c r="C134" s="8" t="s">
        <v>216</v>
      </c>
      <c r="D134" s="181" t="s">
        <v>1867</v>
      </c>
      <c r="E134" s="9">
        <v>37.99</v>
      </c>
      <c r="F134" s="8" t="s">
        <v>1823</v>
      </c>
      <c r="G134" s="10">
        <v>5361</v>
      </c>
      <c r="H134" s="11">
        <f t="array" ref="H134">IF(OR(N134&gt;0,AC134&gt;0),MAX(N134,AC134),MAX(AK134,V134))</f>
        <v>46239</v>
      </c>
      <c r="I134" s="143">
        <f t="array" ref="I134">IF(SUM(O134,AD134)&gt;0,SUM(O134,AD134),SUM(AL134,W134))</f>
        <v>480</v>
      </c>
      <c r="J134" s="9">
        <f t="shared" ref="J134:J197" si="22">IF(P134&gt;0,P134," ")</f>
        <v>8.9535534415221036</v>
      </c>
      <c r="K134" s="143">
        <f t="shared" si="21"/>
        <v>39</v>
      </c>
      <c r="L134" s="9">
        <f t="shared" ref="L134:L197" si="23">IFERROR(K134/I134*100,0)</f>
        <v>8.125</v>
      </c>
      <c r="M134" s="8" t="str">
        <f t="array" ref="M134">IF(L134&gt;5,"Perlu Sensus",IF(AND(L134&gt;=0,I134&gt;0),"Tetap Deteksi","Belum Deteksi"))</f>
        <v>Perlu Sensus</v>
      </c>
      <c r="N134" s="11">
        <v>46239</v>
      </c>
      <c r="O134" s="143">
        <v>480</v>
      </c>
      <c r="P134" s="9">
        <f t="array" ref="P134">IFERROR(O134/$G134*100,0)</f>
        <v>8.9535534415221036</v>
      </c>
      <c r="Q134" s="143">
        <v>39</v>
      </c>
      <c r="R134" s="9">
        <f t="shared" ref="R134:R197" si="24">IFERROR(Q134/O134*100,0)</f>
        <v>8.125</v>
      </c>
      <c r="S134" s="8" t="str">
        <f t="array" ref="S134">IF(R134&gt;5,"Perlu Sensus",IF(AND(R134&gt;=0,O134&gt;0),"Tetap Deteksi","Belum Deteksi"))</f>
        <v>Perlu Sensus</v>
      </c>
      <c r="T134" s="143">
        <v>76</v>
      </c>
      <c r="U134" s="9">
        <f t="shared" ref="U134:U197" si="25">IFERROR(T134/O134*100,0)</f>
        <v>15.833333333333332</v>
      </c>
      <c r="V134" s="11">
        <v>0</v>
      </c>
      <c r="W134" s="143">
        <v>0</v>
      </c>
      <c r="X134" s="143">
        <v>0</v>
      </c>
      <c r="Y134" s="9">
        <f t="shared" ref="Y134:Y197" si="26">IFERROR(X134/W134*100,0)</f>
        <v>0</v>
      </c>
      <c r="Z134" s="8" t="str">
        <f t="array" ref="Z134">IF(Y134&gt;5,"Perlu Sensus",IF(AND(Y134&gt;=0,W134&gt;0),"Tetap Deteksi","Belum Deteksi"))</f>
        <v>Belum Deteksi</v>
      </c>
      <c r="AA134" s="143">
        <v>0</v>
      </c>
      <c r="AB134" s="9">
        <f t="shared" ref="AB134:AB197" si="27">IFERROR(AA134/W134*100,0)</f>
        <v>0</v>
      </c>
      <c r="AC134" s="11"/>
      <c r="AD134" s="143"/>
      <c r="AE134" s="9">
        <f t="array" ref="AE134">IFERROR(AD134/$G134*100,0)</f>
        <v>0</v>
      </c>
      <c r="AF134" s="143"/>
      <c r="AG134" s="9">
        <f t="shared" ref="AG134:AG197" si="28">IFERROR(AF134/AD134*100,0)</f>
        <v>0</v>
      </c>
      <c r="AH134" s="8" t="str">
        <f t="array" ref="AH134">IF(AG134&gt;5,"Perlu Sensus",IF(AND(AG134&gt;=0,AD134&gt;0),"Tetap Deteksi","Belum Deteksi"))</f>
        <v>Belum Deteksi</v>
      </c>
      <c r="AI134" s="143"/>
      <c r="AJ134" s="9">
        <f t="shared" ref="AJ134:AJ197" si="29">IFERROR(AI134/AD134*100,0)</f>
        <v>0</v>
      </c>
      <c r="AK134" s="11"/>
      <c r="AL134" s="143"/>
      <c r="AM134" s="143"/>
      <c r="AN134" s="9">
        <f t="shared" ref="AN134:AN197" si="30">IFERROR(AM134/AL134*100,0)</f>
        <v>0</v>
      </c>
      <c r="AO134" s="8" t="str">
        <f t="array" ref="AO134">IF(AN134&gt;5,"Perlu Sensus",IF(AND(AN134&gt;=0,AL134&gt;0),"Tetap Deteksi","Belum Deteksi"))</f>
        <v>Belum Deteksi</v>
      </c>
      <c r="AP134" s="143"/>
      <c r="AQ134" s="9">
        <f t="shared" ref="AQ134:AQ197" si="31">IFERROR(AP134/AL134*100,0)</f>
        <v>0</v>
      </c>
    </row>
    <row r="135" spans="1:43" outlineLevel="1" x14ac:dyDescent="0.15">
      <c r="A135" s="8" t="s">
        <v>1821</v>
      </c>
      <c r="B135" s="8"/>
      <c r="C135" s="8" t="s">
        <v>216</v>
      </c>
      <c r="D135" s="186" t="s">
        <v>1395</v>
      </c>
      <c r="E135" s="9">
        <v>21.52</v>
      </c>
      <c r="F135" s="8" t="s">
        <v>1823</v>
      </c>
      <c r="G135" s="10">
        <v>3128</v>
      </c>
      <c r="H135" s="11">
        <f t="array" ref="H135">IF(OR(N135&gt;0,AC135&gt;0),MAX(N135,AC135),MAX(AK135,V135))</f>
        <v>46241</v>
      </c>
      <c r="I135" s="143">
        <f t="array" ref="I135">IF(SUM(O135,AD135)&gt;0,SUM(O135,AD135),SUM(AL135,W135))</f>
        <v>470</v>
      </c>
      <c r="J135" s="9">
        <f t="shared" si="22"/>
        <v>15.025575447570333</v>
      </c>
      <c r="K135" s="143">
        <f t="shared" ref="K135:K198" si="32">IF(SUM(Q135,AF135)&gt;0,SUM(Q135,AF135),SUM(AM135,X135))</f>
        <v>23</v>
      </c>
      <c r="L135" s="9">
        <f t="shared" si="23"/>
        <v>4.8936170212765955</v>
      </c>
      <c r="M135" s="8" t="str">
        <f t="array" ref="M135">IF(L135&gt;5,"Perlu Sensus",IF(AND(L135&gt;=0,I135&gt;0),"Tetap Deteksi","Belum Deteksi"))</f>
        <v>Tetap Deteksi</v>
      </c>
      <c r="N135" s="11">
        <v>46241</v>
      </c>
      <c r="O135" s="143">
        <v>470</v>
      </c>
      <c r="P135" s="9">
        <f t="array" ref="P135">IFERROR(O135/$G135*100,0)</f>
        <v>15.025575447570333</v>
      </c>
      <c r="Q135" s="143">
        <v>23</v>
      </c>
      <c r="R135" s="9">
        <f t="shared" si="24"/>
        <v>4.8936170212765955</v>
      </c>
      <c r="S135" s="8" t="str">
        <f t="array" ref="S135">IF(R135&gt;5,"Perlu Sensus",IF(AND(R135&gt;=0,O135&gt;0),"Tetap Deteksi","Belum Deteksi"))</f>
        <v>Tetap Deteksi</v>
      </c>
      <c r="T135" s="143">
        <v>56</v>
      </c>
      <c r="U135" s="9">
        <f t="shared" si="25"/>
        <v>11.914893617021278</v>
      </c>
      <c r="V135" s="11">
        <v>0</v>
      </c>
      <c r="W135" s="143">
        <v>0</v>
      </c>
      <c r="X135" s="143">
        <v>0</v>
      </c>
      <c r="Y135" s="9">
        <f t="shared" si="26"/>
        <v>0</v>
      </c>
      <c r="Z135" s="8" t="str">
        <f t="array" ref="Z135">IF(Y135&gt;5,"Perlu Sensus",IF(AND(Y135&gt;=0,W135&gt;0),"Tetap Deteksi","Belum Deteksi"))</f>
        <v>Belum Deteksi</v>
      </c>
      <c r="AA135" s="143">
        <v>0</v>
      </c>
      <c r="AB135" s="9">
        <f t="shared" si="27"/>
        <v>0</v>
      </c>
      <c r="AC135" s="11"/>
      <c r="AD135" s="143"/>
      <c r="AE135" s="9">
        <f t="array" ref="AE135">IFERROR(AD135/$G135*100,0)</f>
        <v>0</v>
      </c>
      <c r="AF135" s="143"/>
      <c r="AG135" s="9">
        <f t="shared" si="28"/>
        <v>0</v>
      </c>
      <c r="AH135" s="8" t="str">
        <f t="array" ref="AH135">IF(AG135&gt;5,"Perlu Sensus",IF(AND(AG135&gt;=0,AD135&gt;0),"Tetap Deteksi","Belum Deteksi"))</f>
        <v>Belum Deteksi</v>
      </c>
      <c r="AI135" s="143"/>
      <c r="AJ135" s="9">
        <f t="shared" si="29"/>
        <v>0</v>
      </c>
      <c r="AK135" s="11"/>
      <c r="AL135" s="143"/>
      <c r="AM135" s="143"/>
      <c r="AN135" s="9">
        <f t="shared" si="30"/>
        <v>0</v>
      </c>
      <c r="AO135" s="8" t="str">
        <f t="array" ref="AO135">IF(AN135&gt;5,"Perlu Sensus",IF(AND(AN135&gt;=0,AL135&gt;0),"Tetap Deteksi","Belum Deteksi"))</f>
        <v>Belum Deteksi</v>
      </c>
      <c r="AP135" s="143"/>
      <c r="AQ135" s="9">
        <f t="shared" si="31"/>
        <v>0</v>
      </c>
    </row>
    <row r="136" spans="1:43" outlineLevel="1" x14ac:dyDescent="0.15">
      <c r="A136" s="8" t="s">
        <v>1821</v>
      </c>
      <c r="B136" s="8"/>
      <c r="C136" s="8" t="s">
        <v>216</v>
      </c>
      <c r="D136" s="186" t="s">
        <v>1396</v>
      </c>
      <c r="E136" s="9">
        <v>27.77</v>
      </c>
      <c r="F136" s="8" t="s">
        <v>1823</v>
      </c>
      <c r="G136" s="10">
        <v>4168</v>
      </c>
      <c r="H136" s="11">
        <f t="array" ref="H136">IF(OR(N136&gt;0,AC136&gt;0),MAX(N136,AC136),MAX(AK136,V136))</f>
        <v>46241</v>
      </c>
      <c r="I136" s="143">
        <f t="array" ref="I136">IF(SUM(O136,AD136)&gt;0,SUM(O136,AD136),SUM(AL136,W136))</f>
        <v>352</v>
      </c>
      <c r="J136" s="9">
        <f t="shared" si="22"/>
        <v>8.4452975047984644</v>
      </c>
      <c r="K136" s="143">
        <f t="shared" si="32"/>
        <v>17</v>
      </c>
      <c r="L136" s="9">
        <f t="shared" si="23"/>
        <v>4.8295454545454541</v>
      </c>
      <c r="M136" s="8" t="str">
        <f t="array" ref="M136">IF(L136&gt;5,"Perlu Sensus",IF(AND(L136&gt;=0,I136&gt;0),"Tetap Deteksi","Belum Deteksi"))</f>
        <v>Tetap Deteksi</v>
      </c>
      <c r="N136" s="11">
        <v>46241</v>
      </c>
      <c r="O136" s="143">
        <v>352</v>
      </c>
      <c r="P136" s="9">
        <f t="array" ref="P136">IFERROR(O136/$G136*100,0)</f>
        <v>8.4452975047984644</v>
      </c>
      <c r="Q136" s="143">
        <v>17</v>
      </c>
      <c r="R136" s="9">
        <f t="shared" si="24"/>
        <v>4.8295454545454541</v>
      </c>
      <c r="S136" s="8" t="str">
        <f t="array" ref="S136">IF(R136&gt;5,"Perlu Sensus",IF(AND(R136&gt;=0,O136&gt;0),"Tetap Deteksi","Belum Deteksi"))</f>
        <v>Tetap Deteksi</v>
      </c>
      <c r="T136" s="143">
        <v>37</v>
      </c>
      <c r="U136" s="9">
        <f t="shared" si="25"/>
        <v>10.511363636363637</v>
      </c>
      <c r="V136" s="11">
        <v>0</v>
      </c>
      <c r="W136" s="143">
        <v>0</v>
      </c>
      <c r="X136" s="143">
        <v>0</v>
      </c>
      <c r="Y136" s="9">
        <f t="shared" si="26"/>
        <v>0</v>
      </c>
      <c r="Z136" s="8" t="str">
        <f t="array" ref="Z136">IF(Y136&gt;5,"Perlu Sensus",IF(AND(Y136&gt;=0,W136&gt;0),"Tetap Deteksi","Belum Deteksi"))</f>
        <v>Belum Deteksi</v>
      </c>
      <c r="AA136" s="143">
        <v>0</v>
      </c>
      <c r="AB136" s="9">
        <f t="shared" si="27"/>
        <v>0</v>
      </c>
      <c r="AC136" s="11"/>
      <c r="AD136" s="143"/>
      <c r="AE136" s="9">
        <f t="array" ref="AE136">IFERROR(AD136/$G136*100,0)</f>
        <v>0</v>
      </c>
      <c r="AF136" s="143"/>
      <c r="AG136" s="9">
        <f t="shared" si="28"/>
        <v>0</v>
      </c>
      <c r="AH136" s="8" t="str">
        <f t="array" ref="AH136">IF(AG136&gt;5,"Perlu Sensus",IF(AND(AG136&gt;=0,AD136&gt;0),"Tetap Deteksi","Belum Deteksi"))</f>
        <v>Belum Deteksi</v>
      </c>
      <c r="AI136" s="143"/>
      <c r="AJ136" s="9">
        <f t="shared" si="29"/>
        <v>0</v>
      </c>
      <c r="AK136" s="11"/>
      <c r="AL136" s="143"/>
      <c r="AM136" s="143"/>
      <c r="AN136" s="9">
        <f t="shared" si="30"/>
        <v>0</v>
      </c>
      <c r="AO136" s="8" t="str">
        <f t="array" ref="AO136">IF(AN136&gt;5,"Perlu Sensus",IF(AND(AN136&gt;=0,AL136&gt;0),"Tetap Deteksi","Belum Deteksi"))</f>
        <v>Belum Deteksi</v>
      </c>
      <c r="AP136" s="143"/>
      <c r="AQ136" s="9">
        <f t="shared" si="31"/>
        <v>0</v>
      </c>
    </row>
    <row r="137" spans="1:43" outlineLevel="1" x14ac:dyDescent="0.15">
      <c r="A137" s="8" t="s">
        <v>1821</v>
      </c>
      <c r="B137" s="8"/>
      <c r="C137" s="8" t="s">
        <v>216</v>
      </c>
      <c r="D137" s="186" t="s">
        <v>1397</v>
      </c>
      <c r="E137" s="9">
        <v>23.39</v>
      </c>
      <c r="F137" s="8" t="s">
        <v>1823</v>
      </c>
      <c r="G137" s="10">
        <v>3272</v>
      </c>
      <c r="H137" s="11">
        <f t="array" ref="H137">IF(OR(N137&gt;0,AC137&gt;0),MAX(N137,AC137),MAX(AK137,V137))</f>
        <v>46242</v>
      </c>
      <c r="I137" s="143">
        <f t="array" ref="I137">IF(SUM(O137,AD137)&gt;0,SUM(O137,AD137),SUM(AL137,W137))</f>
        <v>336</v>
      </c>
      <c r="J137" s="9">
        <f t="shared" si="22"/>
        <v>10.268948655256724</v>
      </c>
      <c r="K137" s="143">
        <f t="shared" si="32"/>
        <v>13</v>
      </c>
      <c r="L137" s="9">
        <f t="shared" si="23"/>
        <v>3.8690476190476191</v>
      </c>
      <c r="M137" s="8" t="str">
        <f t="array" ref="M137">IF(L137&gt;5,"Perlu Sensus",IF(AND(L137&gt;=0,I137&gt;0),"Tetap Deteksi","Belum Deteksi"))</f>
        <v>Tetap Deteksi</v>
      </c>
      <c r="N137" s="11">
        <v>46242</v>
      </c>
      <c r="O137" s="143">
        <v>336</v>
      </c>
      <c r="P137" s="9">
        <f t="array" ref="P137">IFERROR(O137/$G137*100,0)</f>
        <v>10.268948655256724</v>
      </c>
      <c r="Q137" s="143">
        <v>13</v>
      </c>
      <c r="R137" s="9">
        <f t="shared" si="24"/>
        <v>3.8690476190476191</v>
      </c>
      <c r="S137" s="8" t="str">
        <f t="array" ref="S137">IF(R137&gt;5,"Perlu Sensus",IF(AND(R137&gt;=0,O137&gt;0),"Tetap Deteksi","Belum Deteksi"))</f>
        <v>Tetap Deteksi</v>
      </c>
      <c r="T137" s="143">
        <v>54</v>
      </c>
      <c r="U137" s="9">
        <f t="shared" si="25"/>
        <v>16.071428571428573</v>
      </c>
      <c r="V137" s="11">
        <v>0</v>
      </c>
      <c r="W137" s="143">
        <v>0</v>
      </c>
      <c r="X137" s="143">
        <v>0</v>
      </c>
      <c r="Y137" s="9">
        <f t="shared" si="26"/>
        <v>0</v>
      </c>
      <c r="Z137" s="8" t="str">
        <f t="array" ref="Z137">IF(Y137&gt;5,"Perlu Sensus",IF(AND(Y137&gt;=0,W137&gt;0),"Tetap Deteksi","Belum Deteksi"))</f>
        <v>Belum Deteksi</v>
      </c>
      <c r="AA137" s="143">
        <v>0</v>
      </c>
      <c r="AB137" s="9">
        <f t="shared" si="27"/>
        <v>0</v>
      </c>
      <c r="AC137" s="11"/>
      <c r="AD137" s="143"/>
      <c r="AE137" s="9">
        <f t="array" ref="AE137">IFERROR(AD137/$G137*100,0)</f>
        <v>0</v>
      </c>
      <c r="AF137" s="143"/>
      <c r="AG137" s="9">
        <f t="shared" si="28"/>
        <v>0</v>
      </c>
      <c r="AH137" s="8" t="str">
        <f t="array" ref="AH137">IF(AG137&gt;5,"Perlu Sensus",IF(AND(AG137&gt;=0,AD137&gt;0),"Tetap Deteksi","Belum Deteksi"))</f>
        <v>Belum Deteksi</v>
      </c>
      <c r="AI137" s="143"/>
      <c r="AJ137" s="9">
        <f t="shared" si="29"/>
        <v>0</v>
      </c>
      <c r="AK137" s="11"/>
      <c r="AL137" s="143"/>
      <c r="AM137" s="143"/>
      <c r="AN137" s="9">
        <f t="shared" si="30"/>
        <v>0</v>
      </c>
      <c r="AO137" s="8" t="str">
        <f t="array" ref="AO137">IF(AN137&gt;5,"Perlu Sensus",IF(AND(AN137&gt;=0,AL137&gt;0),"Tetap Deteksi","Belum Deteksi"))</f>
        <v>Belum Deteksi</v>
      </c>
      <c r="AP137" s="143"/>
      <c r="AQ137" s="9">
        <f t="shared" si="31"/>
        <v>0</v>
      </c>
    </row>
    <row r="138" spans="1:43" outlineLevel="1" x14ac:dyDescent="0.15">
      <c r="A138" s="8" t="s">
        <v>1821</v>
      </c>
      <c r="B138" s="8"/>
      <c r="C138" s="8" t="s">
        <v>216</v>
      </c>
      <c r="D138" s="186" t="s">
        <v>1868</v>
      </c>
      <c r="E138" s="9">
        <v>25.03</v>
      </c>
      <c r="F138" s="8" t="s">
        <v>1823</v>
      </c>
      <c r="G138" s="10">
        <v>3460</v>
      </c>
      <c r="H138" s="11">
        <f t="array" ref="H138">IF(OR(N138&gt;0,AC138&gt;0),MAX(N138,AC138),MAX(AK138,V138))</f>
        <v>46238</v>
      </c>
      <c r="I138" s="143">
        <f t="array" ref="I138">IF(SUM(O138,AD138)&gt;0,SUM(O138,AD138),SUM(AL138,W138))</f>
        <v>122</v>
      </c>
      <c r="J138" s="9">
        <f t="shared" si="22"/>
        <v>3.5260115606936417</v>
      </c>
      <c r="K138" s="143">
        <f t="shared" si="32"/>
        <v>6</v>
      </c>
      <c r="L138" s="9">
        <f t="shared" si="23"/>
        <v>4.918032786885246</v>
      </c>
      <c r="M138" s="8" t="str">
        <f t="array" ref="M138">IF(L138&gt;5,"Perlu Sensus",IF(AND(L138&gt;=0,I138&gt;0),"Tetap Deteksi","Belum Deteksi"))</f>
        <v>Tetap Deteksi</v>
      </c>
      <c r="N138" s="11">
        <v>46238</v>
      </c>
      <c r="O138" s="143">
        <v>122</v>
      </c>
      <c r="P138" s="9">
        <f t="array" ref="P138">IFERROR(O138/$G138*100,0)</f>
        <v>3.5260115606936417</v>
      </c>
      <c r="Q138" s="143">
        <v>6</v>
      </c>
      <c r="R138" s="9">
        <f t="shared" si="24"/>
        <v>4.918032786885246</v>
      </c>
      <c r="S138" s="8" t="str">
        <f t="array" ref="S138">IF(R138&gt;5,"Perlu Sensus",IF(AND(R138&gt;=0,O138&gt;0),"Tetap Deteksi","Belum Deteksi"))</f>
        <v>Tetap Deteksi</v>
      </c>
      <c r="T138" s="143">
        <v>34</v>
      </c>
      <c r="U138" s="9">
        <f t="shared" si="25"/>
        <v>27.868852459016392</v>
      </c>
      <c r="V138" s="11">
        <v>0</v>
      </c>
      <c r="W138" s="143">
        <v>0</v>
      </c>
      <c r="X138" s="143">
        <v>0</v>
      </c>
      <c r="Y138" s="9">
        <f t="shared" si="26"/>
        <v>0</v>
      </c>
      <c r="Z138" s="8" t="str">
        <f t="array" ref="Z138">IF(Y138&gt;5,"Perlu Sensus",IF(AND(Y138&gt;=0,W138&gt;0),"Tetap Deteksi","Belum Deteksi"))</f>
        <v>Belum Deteksi</v>
      </c>
      <c r="AA138" s="143">
        <v>0</v>
      </c>
      <c r="AB138" s="9">
        <f t="shared" si="27"/>
        <v>0</v>
      </c>
      <c r="AC138" s="11"/>
      <c r="AD138" s="143"/>
      <c r="AE138" s="9">
        <f t="array" ref="AE138">IFERROR(AD138/$G138*100,0)</f>
        <v>0</v>
      </c>
      <c r="AF138" s="143"/>
      <c r="AG138" s="9">
        <f t="shared" si="28"/>
        <v>0</v>
      </c>
      <c r="AH138" s="8" t="str">
        <f t="array" ref="AH138">IF(AG138&gt;5,"Perlu Sensus",IF(AND(AG138&gt;=0,AD138&gt;0),"Tetap Deteksi","Belum Deteksi"))</f>
        <v>Belum Deteksi</v>
      </c>
      <c r="AI138" s="143"/>
      <c r="AJ138" s="9">
        <f t="shared" si="29"/>
        <v>0</v>
      </c>
      <c r="AK138" s="11"/>
      <c r="AL138" s="143"/>
      <c r="AM138" s="143"/>
      <c r="AN138" s="9">
        <f t="shared" si="30"/>
        <v>0</v>
      </c>
      <c r="AO138" s="8" t="str">
        <f t="array" ref="AO138">IF(AN138&gt;5,"Perlu Sensus",IF(AND(AN138&gt;=0,AL138&gt;0),"Tetap Deteksi","Belum Deteksi"))</f>
        <v>Belum Deteksi</v>
      </c>
      <c r="AP138" s="143"/>
      <c r="AQ138" s="9">
        <f t="shared" si="31"/>
        <v>0</v>
      </c>
    </row>
    <row r="139" spans="1:43" outlineLevel="1" x14ac:dyDescent="0.15">
      <c r="A139" s="8" t="s">
        <v>1821</v>
      </c>
      <c r="B139" s="8"/>
      <c r="C139" s="8" t="s">
        <v>216</v>
      </c>
      <c r="D139" s="186" t="s">
        <v>1399</v>
      </c>
      <c r="E139" s="9">
        <v>28.84</v>
      </c>
      <c r="F139" s="8" t="s">
        <v>1823</v>
      </c>
      <c r="G139" s="10">
        <v>4055</v>
      </c>
      <c r="H139" s="11">
        <f t="array" ref="H139">IF(OR(N139&gt;0,AC139&gt;0),MAX(N139,AC139),MAX(AK139,V139))</f>
        <v>46245</v>
      </c>
      <c r="I139" s="143">
        <f t="array" ref="I139">IF(SUM(O139,AD139)&gt;0,SUM(O139,AD139),SUM(AL139,W139))</f>
        <v>574</v>
      </c>
      <c r="J139" s="9">
        <f t="shared" si="22"/>
        <v>14.155363748458694</v>
      </c>
      <c r="K139" s="143">
        <f t="shared" si="32"/>
        <v>19</v>
      </c>
      <c r="L139" s="9">
        <f t="shared" si="23"/>
        <v>3.3101045296167246</v>
      </c>
      <c r="M139" s="8" t="str">
        <f t="array" ref="M139">IF(L139&gt;5,"Perlu Sensus",IF(AND(L139&gt;=0,I139&gt;0),"Tetap Deteksi","Belum Deteksi"))</f>
        <v>Tetap Deteksi</v>
      </c>
      <c r="N139" s="11">
        <v>46245</v>
      </c>
      <c r="O139" s="143">
        <v>574</v>
      </c>
      <c r="P139" s="9">
        <f t="array" ref="P139">IFERROR(O139/$G139*100,0)</f>
        <v>14.155363748458694</v>
      </c>
      <c r="Q139" s="143">
        <v>19</v>
      </c>
      <c r="R139" s="9">
        <f t="shared" si="24"/>
        <v>3.3101045296167246</v>
      </c>
      <c r="S139" s="8" t="str">
        <f t="array" ref="S139">IF(R139&gt;5,"Perlu Sensus",IF(AND(R139&gt;=0,O139&gt;0),"Tetap Deteksi","Belum Deteksi"))</f>
        <v>Tetap Deteksi</v>
      </c>
      <c r="T139" s="143">
        <v>69</v>
      </c>
      <c r="U139" s="9">
        <f t="shared" si="25"/>
        <v>12.020905923344948</v>
      </c>
      <c r="V139" s="11">
        <v>0</v>
      </c>
      <c r="W139" s="143">
        <v>0</v>
      </c>
      <c r="X139" s="143">
        <v>0</v>
      </c>
      <c r="Y139" s="9">
        <f t="shared" si="26"/>
        <v>0</v>
      </c>
      <c r="Z139" s="8" t="str">
        <f t="array" ref="Z139">IF(Y139&gt;5,"Perlu Sensus",IF(AND(Y139&gt;=0,W139&gt;0),"Tetap Deteksi","Belum Deteksi"))</f>
        <v>Belum Deteksi</v>
      </c>
      <c r="AA139" s="143">
        <v>0</v>
      </c>
      <c r="AB139" s="9">
        <f t="shared" si="27"/>
        <v>0</v>
      </c>
      <c r="AC139" s="11"/>
      <c r="AD139" s="143"/>
      <c r="AE139" s="9">
        <f t="array" ref="AE139">IFERROR(AD139/$G139*100,0)</f>
        <v>0</v>
      </c>
      <c r="AF139" s="143"/>
      <c r="AG139" s="9">
        <f t="shared" si="28"/>
        <v>0</v>
      </c>
      <c r="AH139" s="8" t="str">
        <f t="array" ref="AH139">IF(AG139&gt;5,"Perlu Sensus",IF(AND(AG139&gt;=0,AD139&gt;0),"Tetap Deteksi","Belum Deteksi"))</f>
        <v>Belum Deteksi</v>
      </c>
      <c r="AI139" s="143"/>
      <c r="AJ139" s="9">
        <f t="shared" si="29"/>
        <v>0</v>
      </c>
      <c r="AK139" s="11"/>
      <c r="AL139" s="143"/>
      <c r="AM139" s="143"/>
      <c r="AN139" s="9">
        <f t="shared" si="30"/>
        <v>0</v>
      </c>
      <c r="AO139" s="8" t="str">
        <f t="array" ref="AO139">IF(AN139&gt;5,"Perlu Sensus",IF(AND(AN139&gt;=0,AL139&gt;0),"Tetap Deteksi","Belum Deteksi"))</f>
        <v>Belum Deteksi</v>
      </c>
      <c r="AP139" s="143"/>
      <c r="AQ139" s="9">
        <f t="shared" si="31"/>
        <v>0</v>
      </c>
    </row>
    <row r="140" spans="1:43" outlineLevel="1" x14ac:dyDescent="0.15">
      <c r="A140" s="8" t="s">
        <v>1821</v>
      </c>
      <c r="B140" s="8"/>
      <c r="C140" s="8" t="s">
        <v>216</v>
      </c>
      <c r="D140" s="186" t="s">
        <v>1869</v>
      </c>
      <c r="E140" s="9">
        <v>22.41</v>
      </c>
      <c r="F140" s="8" t="s">
        <v>1833</v>
      </c>
      <c r="G140" s="10">
        <v>3371</v>
      </c>
      <c r="H140" s="11">
        <f t="array" ref="H140">IF(OR(N140&gt;0,AC140&gt;0),MAX(N140,AC140),MAX(AK140,V140))</f>
        <v>46249</v>
      </c>
      <c r="I140" s="143">
        <f t="array" ref="I140">IF(SUM(O140,AD140)&gt;0,SUM(O140,AD140),SUM(AL140,W140))</f>
        <v>244</v>
      </c>
      <c r="J140" s="9">
        <f t="shared" si="22"/>
        <v>7.2382082468110358</v>
      </c>
      <c r="K140" s="143">
        <f t="shared" si="32"/>
        <v>12</v>
      </c>
      <c r="L140" s="9">
        <f t="shared" si="23"/>
        <v>4.918032786885246</v>
      </c>
      <c r="M140" s="8" t="str">
        <f t="array" ref="M140">IF(L140&gt;5,"Perlu Sensus",IF(AND(L140&gt;=0,I140&gt;0),"Tetap Deteksi","Belum Deteksi"))</f>
        <v>Tetap Deteksi</v>
      </c>
      <c r="N140" s="11">
        <v>46249</v>
      </c>
      <c r="O140" s="143">
        <v>244</v>
      </c>
      <c r="P140" s="9">
        <f t="array" ref="P140">IFERROR(O140/$G140*100,0)</f>
        <v>7.2382082468110358</v>
      </c>
      <c r="Q140" s="143">
        <v>12</v>
      </c>
      <c r="R140" s="9">
        <f t="shared" si="24"/>
        <v>4.918032786885246</v>
      </c>
      <c r="S140" s="8" t="str">
        <f t="array" ref="S140">IF(R140&gt;5,"Perlu Sensus",IF(AND(R140&gt;=0,O140&gt;0),"Tetap Deteksi","Belum Deteksi"))</f>
        <v>Tetap Deteksi</v>
      </c>
      <c r="T140" s="143">
        <v>0</v>
      </c>
      <c r="U140" s="9">
        <f t="shared" si="25"/>
        <v>0</v>
      </c>
      <c r="V140" s="11">
        <v>0</v>
      </c>
      <c r="W140" s="143">
        <v>0</v>
      </c>
      <c r="X140" s="143">
        <v>0</v>
      </c>
      <c r="Y140" s="9">
        <f t="shared" si="26"/>
        <v>0</v>
      </c>
      <c r="Z140" s="8" t="str">
        <f t="array" ref="Z140">IF(Y140&gt;5,"Perlu Sensus",IF(AND(Y140&gt;=0,W140&gt;0),"Tetap Deteksi","Belum Deteksi"))</f>
        <v>Belum Deteksi</v>
      </c>
      <c r="AA140" s="143">
        <v>0</v>
      </c>
      <c r="AB140" s="9">
        <f t="shared" si="27"/>
        <v>0</v>
      </c>
      <c r="AC140" s="11"/>
      <c r="AD140" s="143"/>
      <c r="AE140" s="9">
        <f t="array" ref="AE140">IFERROR(AD140/$G140*100,0)</f>
        <v>0</v>
      </c>
      <c r="AF140" s="143"/>
      <c r="AG140" s="9">
        <f t="shared" si="28"/>
        <v>0</v>
      </c>
      <c r="AH140" s="8" t="str">
        <f t="array" ref="AH140">IF(AG140&gt;5,"Perlu Sensus",IF(AND(AG140&gt;=0,AD140&gt;0),"Tetap Deteksi","Belum Deteksi"))</f>
        <v>Belum Deteksi</v>
      </c>
      <c r="AI140" s="143"/>
      <c r="AJ140" s="9">
        <f t="shared" si="29"/>
        <v>0</v>
      </c>
      <c r="AK140" s="11"/>
      <c r="AL140" s="143"/>
      <c r="AM140" s="143"/>
      <c r="AN140" s="9">
        <f t="shared" si="30"/>
        <v>0</v>
      </c>
      <c r="AO140" s="8" t="str">
        <f t="array" ref="AO140">IF(AN140&gt;5,"Perlu Sensus",IF(AND(AN140&gt;=0,AL140&gt;0),"Tetap Deteksi","Belum Deteksi"))</f>
        <v>Belum Deteksi</v>
      </c>
      <c r="AP140" s="143"/>
      <c r="AQ140" s="9">
        <f t="shared" si="31"/>
        <v>0</v>
      </c>
    </row>
    <row r="141" spans="1:43" outlineLevel="1" x14ac:dyDescent="0.15">
      <c r="A141" s="8" t="s">
        <v>1821</v>
      </c>
      <c r="B141" s="8"/>
      <c r="C141" s="8" t="s">
        <v>216</v>
      </c>
      <c r="D141" s="186" t="s">
        <v>1870</v>
      </c>
      <c r="E141" s="9">
        <v>26.72</v>
      </c>
      <c r="F141" s="8" t="s">
        <v>1823</v>
      </c>
      <c r="G141" s="10">
        <v>4020.0000000000005</v>
      </c>
      <c r="H141" s="11">
        <f t="array" ref="H141">IF(OR(N141&gt;0,AC141&gt;0),MAX(N141,AC141),MAX(AK141,V141))</f>
        <v>46249</v>
      </c>
      <c r="I141" s="143">
        <f t="array" ref="I141">IF(SUM(O141,AD141)&gt;0,SUM(O141,AD141),SUM(AL141,W141))</f>
        <v>208</v>
      </c>
      <c r="J141" s="9">
        <f t="shared" si="22"/>
        <v>5.1741293532338295</v>
      </c>
      <c r="K141" s="143">
        <f t="shared" si="32"/>
        <v>5</v>
      </c>
      <c r="L141" s="9">
        <f t="shared" si="23"/>
        <v>2.4038461538461542</v>
      </c>
      <c r="M141" s="8" t="str">
        <f t="array" ref="M141">IF(L141&gt;5,"Perlu Sensus",IF(AND(L141&gt;=0,I141&gt;0),"Tetap Deteksi","Belum Deteksi"))</f>
        <v>Tetap Deteksi</v>
      </c>
      <c r="N141" s="11">
        <v>46249</v>
      </c>
      <c r="O141" s="143">
        <v>208</v>
      </c>
      <c r="P141" s="9">
        <f t="array" ref="P141">IFERROR(O141/$G141*100,0)</f>
        <v>5.1741293532338295</v>
      </c>
      <c r="Q141" s="143">
        <v>5</v>
      </c>
      <c r="R141" s="9">
        <f t="shared" si="24"/>
        <v>2.4038461538461542</v>
      </c>
      <c r="S141" s="8" t="str">
        <f t="array" ref="S141">IF(R141&gt;5,"Perlu Sensus",IF(AND(R141&gt;=0,O141&gt;0),"Tetap Deteksi","Belum Deteksi"))</f>
        <v>Tetap Deteksi</v>
      </c>
      <c r="T141" s="143">
        <v>0</v>
      </c>
      <c r="U141" s="9">
        <f t="shared" si="25"/>
        <v>0</v>
      </c>
      <c r="V141" s="11">
        <v>0</v>
      </c>
      <c r="W141" s="143">
        <v>0</v>
      </c>
      <c r="X141" s="143">
        <v>0</v>
      </c>
      <c r="Y141" s="9">
        <f t="shared" si="26"/>
        <v>0</v>
      </c>
      <c r="Z141" s="8" t="str">
        <f t="array" ref="Z141">IF(Y141&gt;5,"Perlu Sensus",IF(AND(Y141&gt;=0,W141&gt;0),"Tetap Deteksi","Belum Deteksi"))</f>
        <v>Belum Deteksi</v>
      </c>
      <c r="AA141" s="143">
        <v>0</v>
      </c>
      <c r="AB141" s="9">
        <f t="shared" si="27"/>
        <v>0</v>
      </c>
      <c r="AC141" s="11"/>
      <c r="AD141" s="143"/>
      <c r="AE141" s="9">
        <f t="array" ref="AE141">IFERROR(AD141/$G141*100,0)</f>
        <v>0</v>
      </c>
      <c r="AF141" s="143"/>
      <c r="AG141" s="9">
        <f t="shared" si="28"/>
        <v>0</v>
      </c>
      <c r="AH141" s="8" t="str">
        <f t="array" ref="AH141">IF(AG141&gt;5,"Perlu Sensus",IF(AND(AG141&gt;=0,AD141&gt;0),"Tetap Deteksi","Belum Deteksi"))</f>
        <v>Belum Deteksi</v>
      </c>
      <c r="AI141" s="143"/>
      <c r="AJ141" s="9">
        <f t="shared" si="29"/>
        <v>0</v>
      </c>
      <c r="AK141" s="11"/>
      <c r="AL141" s="143"/>
      <c r="AM141" s="143"/>
      <c r="AN141" s="9">
        <f t="shared" si="30"/>
        <v>0</v>
      </c>
      <c r="AO141" s="8" t="str">
        <f t="array" ref="AO141">IF(AN141&gt;5,"Perlu Sensus",IF(AND(AN141&gt;=0,AL141&gt;0),"Tetap Deteksi","Belum Deteksi"))</f>
        <v>Belum Deteksi</v>
      </c>
      <c r="AP141" s="143"/>
      <c r="AQ141" s="9">
        <f t="shared" si="31"/>
        <v>0</v>
      </c>
    </row>
    <row r="142" spans="1:43" outlineLevel="1" x14ac:dyDescent="0.15">
      <c r="A142" s="8" t="s">
        <v>1821</v>
      </c>
      <c r="B142" s="8"/>
      <c r="C142" s="8" t="s">
        <v>216</v>
      </c>
      <c r="D142" s="186" t="s">
        <v>1871</v>
      </c>
      <c r="E142" s="9">
        <v>24.8</v>
      </c>
      <c r="F142" s="8" t="s">
        <v>1823</v>
      </c>
      <c r="G142" s="10">
        <v>3755</v>
      </c>
      <c r="H142" s="11">
        <f t="array" ref="H142">IF(OR(N142&gt;0,AC142&gt;0),MAX(N142,AC142),MAX(AK142,V142))</f>
        <v>46249</v>
      </c>
      <c r="I142" s="143">
        <f t="array" ref="I142">IF(SUM(O142,AD142)&gt;0,SUM(O142,AD142),SUM(AL142,W142))</f>
        <v>122</v>
      </c>
      <c r="J142" s="9">
        <f t="shared" si="22"/>
        <v>3.2490013315579227</v>
      </c>
      <c r="K142" s="143">
        <f t="shared" si="32"/>
        <v>6</v>
      </c>
      <c r="L142" s="9">
        <f t="shared" si="23"/>
        <v>4.918032786885246</v>
      </c>
      <c r="M142" s="8" t="str">
        <f t="array" ref="M142">IF(L142&gt;5,"Perlu Sensus",IF(AND(L142&gt;=0,I142&gt;0),"Tetap Deteksi","Belum Deteksi"))</f>
        <v>Tetap Deteksi</v>
      </c>
      <c r="N142" s="11">
        <v>46249</v>
      </c>
      <c r="O142" s="143">
        <v>122</v>
      </c>
      <c r="P142" s="9">
        <f t="array" ref="P142">IFERROR(O142/$G142*100,0)</f>
        <v>3.2490013315579227</v>
      </c>
      <c r="Q142" s="143">
        <v>6</v>
      </c>
      <c r="R142" s="9">
        <f t="shared" si="24"/>
        <v>4.918032786885246</v>
      </c>
      <c r="S142" s="8" t="str">
        <f t="array" ref="S142">IF(R142&gt;5,"Perlu Sensus",IF(AND(R142&gt;=0,O142&gt;0),"Tetap Deteksi","Belum Deteksi"))</f>
        <v>Tetap Deteksi</v>
      </c>
      <c r="T142" s="143">
        <v>0</v>
      </c>
      <c r="U142" s="9">
        <f t="shared" si="25"/>
        <v>0</v>
      </c>
      <c r="V142" s="11">
        <v>0</v>
      </c>
      <c r="W142" s="143">
        <v>0</v>
      </c>
      <c r="X142" s="143">
        <v>0</v>
      </c>
      <c r="Y142" s="9">
        <f t="shared" si="26"/>
        <v>0</v>
      </c>
      <c r="Z142" s="8" t="str">
        <f t="array" ref="Z142">IF(Y142&gt;5,"Perlu Sensus",IF(AND(Y142&gt;=0,W142&gt;0),"Tetap Deteksi","Belum Deteksi"))</f>
        <v>Belum Deteksi</v>
      </c>
      <c r="AA142" s="143">
        <v>0</v>
      </c>
      <c r="AB142" s="9">
        <f t="shared" si="27"/>
        <v>0</v>
      </c>
      <c r="AC142" s="11"/>
      <c r="AD142" s="143"/>
      <c r="AE142" s="9">
        <f t="array" ref="AE142">IFERROR(AD142/$G142*100,0)</f>
        <v>0</v>
      </c>
      <c r="AF142" s="143"/>
      <c r="AG142" s="9">
        <f t="shared" si="28"/>
        <v>0</v>
      </c>
      <c r="AH142" s="8" t="str">
        <f t="array" ref="AH142">IF(AG142&gt;5,"Perlu Sensus",IF(AND(AG142&gt;=0,AD142&gt;0),"Tetap Deteksi","Belum Deteksi"))</f>
        <v>Belum Deteksi</v>
      </c>
      <c r="AI142" s="143"/>
      <c r="AJ142" s="9">
        <f t="shared" si="29"/>
        <v>0</v>
      </c>
      <c r="AK142" s="11"/>
      <c r="AL142" s="143"/>
      <c r="AM142" s="143"/>
      <c r="AN142" s="9">
        <f t="shared" si="30"/>
        <v>0</v>
      </c>
      <c r="AO142" s="8" t="str">
        <f t="array" ref="AO142">IF(AN142&gt;5,"Perlu Sensus",IF(AND(AN142&gt;=0,AL142&gt;0),"Tetap Deteksi","Belum Deteksi"))</f>
        <v>Belum Deteksi</v>
      </c>
      <c r="AP142" s="143"/>
      <c r="AQ142" s="9">
        <f t="shared" si="31"/>
        <v>0</v>
      </c>
    </row>
    <row r="143" spans="1:43" outlineLevel="1" x14ac:dyDescent="0.15">
      <c r="A143" s="8" t="s">
        <v>1821</v>
      </c>
      <c r="B143" s="8"/>
      <c r="C143" s="8" t="s">
        <v>216</v>
      </c>
      <c r="D143" s="186" t="s">
        <v>1872</v>
      </c>
      <c r="E143" s="9">
        <v>23.53</v>
      </c>
      <c r="F143" s="8" t="s">
        <v>1740</v>
      </c>
      <c r="G143" s="10">
        <v>3383</v>
      </c>
      <c r="H143" s="11">
        <f t="array" ref="H143">IF(OR(N143&gt;0,AC143&gt;0),MAX(N143,AC143),MAX(AK143,V143))</f>
        <v>46247</v>
      </c>
      <c r="I143" s="143">
        <f t="array" ref="I143">IF(SUM(O143,AD143)&gt;0,SUM(O143,AD143),SUM(AL143,W143))</f>
        <v>114</v>
      </c>
      <c r="J143" s="9">
        <f t="shared" si="22"/>
        <v>3.369790127106119</v>
      </c>
      <c r="K143" s="143">
        <f t="shared" si="32"/>
        <v>4</v>
      </c>
      <c r="L143" s="9">
        <f t="shared" si="23"/>
        <v>3.5087719298245612</v>
      </c>
      <c r="M143" s="8" t="str">
        <f t="array" ref="M143">IF(L143&gt;5,"Perlu Sensus",IF(AND(L143&gt;=0,I143&gt;0),"Tetap Deteksi","Belum Deteksi"))</f>
        <v>Tetap Deteksi</v>
      </c>
      <c r="N143" s="11">
        <v>46247</v>
      </c>
      <c r="O143" s="143">
        <v>114</v>
      </c>
      <c r="P143" s="9">
        <f t="array" ref="P143">IFERROR(O143/$G143*100,0)</f>
        <v>3.369790127106119</v>
      </c>
      <c r="Q143" s="143">
        <v>4</v>
      </c>
      <c r="R143" s="9">
        <f t="shared" si="24"/>
        <v>3.5087719298245612</v>
      </c>
      <c r="S143" s="8" t="str">
        <f t="array" ref="S143">IF(R143&gt;5,"Perlu Sensus",IF(AND(R143&gt;=0,O143&gt;0),"Tetap Deteksi","Belum Deteksi"))</f>
        <v>Tetap Deteksi</v>
      </c>
      <c r="T143" s="143">
        <v>20</v>
      </c>
      <c r="U143" s="9">
        <f t="shared" si="25"/>
        <v>17.543859649122805</v>
      </c>
      <c r="V143" s="11">
        <v>0</v>
      </c>
      <c r="W143" s="143">
        <v>0</v>
      </c>
      <c r="X143" s="143">
        <v>0</v>
      </c>
      <c r="Y143" s="9">
        <f t="shared" si="26"/>
        <v>0</v>
      </c>
      <c r="Z143" s="8" t="str">
        <f t="array" ref="Z143">IF(Y143&gt;5,"Perlu Sensus",IF(AND(Y143&gt;=0,W143&gt;0),"Tetap Deteksi","Belum Deteksi"))</f>
        <v>Belum Deteksi</v>
      </c>
      <c r="AA143" s="143">
        <v>0</v>
      </c>
      <c r="AB143" s="9">
        <f t="shared" si="27"/>
        <v>0</v>
      </c>
      <c r="AC143" s="11"/>
      <c r="AD143" s="143"/>
      <c r="AE143" s="9">
        <f t="array" ref="AE143">IFERROR(AD143/$G143*100,0)</f>
        <v>0</v>
      </c>
      <c r="AF143" s="143"/>
      <c r="AG143" s="9">
        <f t="shared" si="28"/>
        <v>0</v>
      </c>
      <c r="AH143" s="8" t="str">
        <f t="array" ref="AH143">IF(AG143&gt;5,"Perlu Sensus",IF(AND(AG143&gt;=0,AD143&gt;0),"Tetap Deteksi","Belum Deteksi"))</f>
        <v>Belum Deteksi</v>
      </c>
      <c r="AI143" s="143"/>
      <c r="AJ143" s="9">
        <f t="shared" si="29"/>
        <v>0</v>
      </c>
      <c r="AK143" s="11"/>
      <c r="AL143" s="143"/>
      <c r="AM143" s="143"/>
      <c r="AN143" s="9">
        <f t="shared" si="30"/>
        <v>0</v>
      </c>
      <c r="AO143" s="8" t="str">
        <f t="array" ref="AO143">IF(AN143&gt;5,"Perlu Sensus",IF(AND(AN143&gt;=0,AL143&gt;0),"Tetap Deteksi","Belum Deteksi"))</f>
        <v>Belum Deteksi</v>
      </c>
      <c r="AP143" s="143"/>
      <c r="AQ143" s="9">
        <f t="shared" si="31"/>
        <v>0</v>
      </c>
    </row>
    <row r="144" spans="1:43" outlineLevel="1" x14ac:dyDescent="0.15">
      <c r="A144" s="8" t="s">
        <v>1821</v>
      </c>
      <c r="B144" s="8"/>
      <c r="C144" s="8" t="s">
        <v>216</v>
      </c>
      <c r="D144" s="186" t="s">
        <v>1873</v>
      </c>
      <c r="E144" s="9">
        <v>25.5</v>
      </c>
      <c r="F144" s="8" t="s">
        <v>1823</v>
      </c>
      <c r="G144" s="10">
        <v>3445</v>
      </c>
      <c r="H144" s="11">
        <f t="array" ref="H144">IF(OR(N144&gt;0,AC144&gt;0),MAX(N144,AC144),MAX(AK144,V144))</f>
        <v>46246</v>
      </c>
      <c r="I144" s="143">
        <f t="array" ref="I144">IF(SUM(O144,AD144)&gt;0,SUM(O144,AD144),SUM(AL144,W144))</f>
        <v>120</v>
      </c>
      <c r="J144" s="9">
        <f t="shared" si="22"/>
        <v>3.483309143686502</v>
      </c>
      <c r="K144" s="143">
        <f t="shared" si="32"/>
        <v>4</v>
      </c>
      <c r="L144" s="9">
        <f t="shared" si="23"/>
        <v>3.3333333333333335</v>
      </c>
      <c r="M144" s="8" t="str">
        <f t="array" ref="M144">IF(L144&gt;5,"Perlu Sensus",IF(AND(L144&gt;=0,I144&gt;0),"Tetap Deteksi","Belum Deteksi"))</f>
        <v>Tetap Deteksi</v>
      </c>
      <c r="N144" s="11">
        <v>46246</v>
      </c>
      <c r="O144" s="143">
        <v>120</v>
      </c>
      <c r="P144" s="9">
        <f t="array" ref="P144">IFERROR(O144/$G144*100,0)</f>
        <v>3.483309143686502</v>
      </c>
      <c r="Q144" s="143">
        <v>4</v>
      </c>
      <c r="R144" s="9">
        <f t="shared" si="24"/>
        <v>3.3333333333333335</v>
      </c>
      <c r="S144" s="8" t="str">
        <f t="array" ref="S144">IF(R144&gt;5,"Perlu Sensus",IF(AND(R144&gt;=0,O144&gt;0),"Tetap Deteksi","Belum Deteksi"))</f>
        <v>Tetap Deteksi</v>
      </c>
      <c r="T144" s="143">
        <v>9</v>
      </c>
      <c r="U144" s="9">
        <f t="shared" si="25"/>
        <v>7.5</v>
      </c>
      <c r="V144" s="11">
        <v>0</v>
      </c>
      <c r="W144" s="143">
        <v>0</v>
      </c>
      <c r="X144" s="143">
        <v>0</v>
      </c>
      <c r="Y144" s="9">
        <f t="shared" si="26"/>
        <v>0</v>
      </c>
      <c r="Z144" s="8" t="str">
        <f t="array" ref="Z144">IF(Y144&gt;5,"Perlu Sensus",IF(AND(Y144&gt;=0,W144&gt;0),"Tetap Deteksi","Belum Deteksi"))</f>
        <v>Belum Deteksi</v>
      </c>
      <c r="AA144" s="143">
        <v>0</v>
      </c>
      <c r="AB144" s="9">
        <f t="shared" si="27"/>
        <v>0</v>
      </c>
      <c r="AC144" s="11"/>
      <c r="AD144" s="143"/>
      <c r="AE144" s="9">
        <f t="array" ref="AE144">IFERROR(AD144/$G144*100,0)</f>
        <v>0</v>
      </c>
      <c r="AF144" s="143"/>
      <c r="AG144" s="9">
        <f t="shared" si="28"/>
        <v>0</v>
      </c>
      <c r="AH144" s="8" t="str">
        <f t="array" ref="AH144">IF(AG144&gt;5,"Perlu Sensus",IF(AND(AG144&gt;=0,AD144&gt;0),"Tetap Deteksi","Belum Deteksi"))</f>
        <v>Belum Deteksi</v>
      </c>
      <c r="AI144" s="143"/>
      <c r="AJ144" s="9">
        <f t="shared" si="29"/>
        <v>0</v>
      </c>
      <c r="AK144" s="11"/>
      <c r="AL144" s="143"/>
      <c r="AM144" s="143"/>
      <c r="AN144" s="9">
        <f t="shared" si="30"/>
        <v>0</v>
      </c>
      <c r="AO144" s="8" t="str">
        <f t="array" ref="AO144">IF(AN144&gt;5,"Perlu Sensus",IF(AND(AN144&gt;=0,AL144&gt;0),"Tetap Deteksi","Belum Deteksi"))</f>
        <v>Belum Deteksi</v>
      </c>
      <c r="AP144" s="143"/>
      <c r="AQ144" s="9">
        <f t="shared" si="31"/>
        <v>0</v>
      </c>
    </row>
    <row r="145" spans="1:43" outlineLevel="1" x14ac:dyDescent="0.15">
      <c r="A145" s="8" t="s">
        <v>1821</v>
      </c>
      <c r="B145" s="8"/>
      <c r="C145" s="8" t="s">
        <v>216</v>
      </c>
      <c r="D145" s="186" t="s">
        <v>1409</v>
      </c>
      <c r="E145" s="9">
        <v>24.85</v>
      </c>
      <c r="F145" s="8" t="s">
        <v>1740</v>
      </c>
      <c r="G145" s="10">
        <v>3353.0000000000005</v>
      </c>
      <c r="H145" s="11">
        <f t="array" ref="H145">IF(OR(N145&gt;0,AC145&gt;0),MAX(N145,AC145),MAX(AK145,V145))</f>
        <v>46246</v>
      </c>
      <c r="I145" s="143">
        <f t="array" ref="I145">IF(SUM(O145,AD145)&gt;0,SUM(O145,AD145),SUM(AL145,W145))</f>
        <v>228</v>
      </c>
      <c r="J145" s="9">
        <f t="shared" si="22"/>
        <v>6.7998807038472995</v>
      </c>
      <c r="K145" s="143">
        <f t="shared" si="32"/>
        <v>4</v>
      </c>
      <c r="L145" s="9">
        <f t="shared" si="23"/>
        <v>1.7543859649122806</v>
      </c>
      <c r="M145" s="8" t="str">
        <f t="array" ref="M145">IF(L145&gt;5,"Perlu Sensus",IF(AND(L145&gt;=0,I145&gt;0),"Tetap Deteksi","Belum Deteksi"))</f>
        <v>Tetap Deteksi</v>
      </c>
      <c r="N145" s="11">
        <v>46246</v>
      </c>
      <c r="O145" s="143">
        <v>228</v>
      </c>
      <c r="P145" s="9">
        <f t="array" ref="P145">IFERROR(O145/$G145*100,0)</f>
        <v>6.7998807038472995</v>
      </c>
      <c r="Q145" s="143">
        <v>4</v>
      </c>
      <c r="R145" s="9">
        <f t="shared" si="24"/>
        <v>1.7543859649122806</v>
      </c>
      <c r="S145" s="8" t="str">
        <f t="array" ref="S145">IF(R145&gt;5,"Perlu Sensus",IF(AND(R145&gt;=0,O145&gt;0),"Tetap Deteksi","Belum Deteksi"))</f>
        <v>Tetap Deteksi</v>
      </c>
      <c r="T145" s="143">
        <v>27</v>
      </c>
      <c r="U145" s="9">
        <f t="shared" si="25"/>
        <v>11.842105263157894</v>
      </c>
      <c r="V145" s="11">
        <v>0</v>
      </c>
      <c r="W145" s="143">
        <v>0</v>
      </c>
      <c r="X145" s="143">
        <v>0</v>
      </c>
      <c r="Y145" s="9">
        <f t="shared" si="26"/>
        <v>0</v>
      </c>
      <c r="Z145" s="8" t="str">
        <f t="array" ref="Z145">IF(Y145&gt;5,"Perlu Sensus",IF(AND(Y145&gt;=0,W145&gt;0),"Tetap Deteksi","Belum Deteksi"))</f>
        <v>Belum Deteksi</v>
      </c>
      <c r="AA145" s="143">
        <v>0</v>
      </c>
      <c r="AB145" s="9">
        <f t="shared" si="27"/>
        <v>0</v>
      </c>
      <c r="AC145" s="11"/>
      <c r="AD145" s="143"/>
      <c r="AE145" s="9">
        <f t="array" ref="AE145">IFERROR(AD145/$G145*100,0)</f>
        <v>0</v>
      </c>
      <c r="AF145" s="143"/>
      <c r="AG145" s="9">
        <f t="shared" si="28"/>
        <v>0</v>
      </c>
      <c r="AH145" s="8" t="str">
        <f t="array" ref="AH145">IF(AG145&gt;5,"Perlu Sensus",IF(AND(AG145&gt;=0,AD145&gt;0),"Tetap Deteksi","Belum Deteksi"))</f>
        <v>Belum Deteksi</v>
      </c>
      <c r="AI145" s="143"/>
      <c r="AJ145" s="9">
        <f t="shared" si="29"/>
        <v>0</v>
      </c>
      <c r="AK145" s="11"/>
      <c r="AL145" s="143"/>
      <c r="AM145" s="143"/>
      <c r="AN145" s="9">
        <f t="shared" si="30"/>
        <v>0</v>
      </c>
      <c r="AO145" s="8" t="str">
        <f t="array" ref="AO145">IF(AN145&gt;5,"Perlu Sensus",IF(AND(AN145&gt;=0,AL145&gt;0),"Tetap Deteksi","Belum Deteksi"))</f>
        <v>Belum Deteksi</v>
      </c>
      <c r="AP145" s="143"/>
      <c r="AQ145" s="9">
        <f t="shared" si="31"/>
        <v>0</v>
      </c>
    </row>
    <row r="146" spans="1:43" outlineLevel="1" x14ac:dyDescent="0.15">
      <c r="A146" s="8" t="s">
        <v>1821</v>
      </c>
      <c r="B146" s="8"/>
      <c r="C146" s="8" t="s">
        <v>216</v>
      </c>
      <c r="D146" s="186" t="s">
        <v>1410</v>
      </c>
      <c r="E146" s="9">
        <v>24.62</v>
      </c>
      <c r="F146" s="8" t="s">
        <v>1740</v>
      </c>
      <c r="G146" s="10">
        <v>3332</v>
      </c>
      <c r="H146" s="11">
        <f t="array" ref="H146">IF(OR(N146&gt;0,AC146&gt;0),MAX(N146,AC146),MAX(AK146,V146))</f>
        <v>46247</v>
      </c>
      <c r="I146" s="143">
        <f t="array" ref="I146">IF(SUM(O146,AD146)&gt;0,SUM(O146,AD146),SUM(AL146,W146))</f>
        <v>336</v>
      </c>
      <c r="J146" s="9">
        <f t="shared" si="22"/>
        <v>10.084033613445378</v>
      </c>
      <c r="K146" s="143">
        <f t="shared" si="32"/>
        <v>15</v>
      </c>
      <c r="L146" s="9">
        <f t="shared" si="23"/>
        <v>4.4642857142857144</v>
      </c>
      <c r="M146" s="8" t="str">
        <f t="array" ref="M146">IF(L146&gt;5,"Perlu Sensus",IF(AND(L146&gt;=0,I146&gt;0),"Tetap Deteksi","Belum Deteksi"))</f>
        <v>Tetap Deteksi</v>
      </c>
      <c r="N146" s="11">
        <v>46247</v>
      </c>
      <c r="O146" s="143">
        <v>336</v>
      </c>
      <c r="P146" s="9">
        <f t="array" ref="P146">IFERROR(O146/$G146*100,0)</f>
        <v>10.084033613445378</v>
      </c>
      <c r="Q146" s="143">
        <v>15</v>
      </c>
      <c r="R146" s="9">
        <f t="shared" si="24"/>
        <v>4.4642857142857144</v>
      </c>
      <c r="S146" s="8" t="str">
        <f t="array" ref="S146">IF(R146&gt;5,"Perlu Sensus",IF(AND(R146&gt;=0,O146&gt;0),"Tetap Deteksi","Belum Deteksi"))</f>
        <v>Tetap Deteksi</v>
      </c>
      <c r="T146" s="143">
        <v>105</v>
      </c>
      <c r="U146" s="9">
        <f t="shared" si="25"/>
        <v>31.25</v>
      </c>
      <c r="V146" s="11">
        <v>0</v>
      </c>
      <c r="W146" s="143">
        <v>0</v>
      </c>
      <c r="X146" s="143">
        <v>0</v>
      </c>
      <c r="Y146" s="9">
        <f t="shared" si="26"/>
        <v>0</v>
      </c>
      <c r="Z146" s="8" t="str">
        <f t="array" ref="Z146">IF(Y146&gt;5,"Perlu Sensus",IF(AND(Y146&gt;=0,W146&gt;0),"Tetap Deteksi","Belum Deteksi"))</f>
        <v>Belum Deteksi</v>
      </c>
      <c r="AA146" s="143">
        <v>0</v>
      </c>
      <c r="AB146" s="9">
        <f t="shared" si="27"/>
        <v>0</v>
      </c>
      <c r="AC146" s="11"/>
      <c r="AD146" s="143"/>
      <c r="AE146" s="9">
        <f t="array" ref="AE146">IFERROR(AD146/$G146*100,0)</f>
        <v>0</v>
      </c>
      <c r="AF146" s="143"/>
      <c r="AG146" s="9">
        <f t="shared" si="28"/>
        <v>0</v>
      </c>
      <c r="AH146" s="8" t="str">
        <f t="array" ref="AH146">IF(AG146&gt;5,"Perlu Sensus",IF(AND(AG146&gt;=0,AD146&gt;0),"Tetap Deteksi","Belum Deteksi"))</f>
        <v>Belum Deteksi</v>
      </c>
      <c r="AI146" s="143"/>
      <c r="AJ146" s="9">
        <f t="shared" si="29"/>
        <v>0</v>
      </c>
      <c r="AK146" s="11"/>
      <c r="AL146" s="143"/>
      <c r="AM146" s="143"/>
      <c r="AN146" s="9">
        <f t="shared" si="30"/>
        <v>0</v>
      </c>
      <c r="AO146" s="8" t="str">
        <f t="array" ref="AO146">IF(AN146&gt;5,"Perlu Sensus",IF(AND(AN146&gt;=0,AL146&gt;0),"Tetap Deteksi","Belum Deteksi"))</f>
        <v>Belum Deteksi</v>
      </c>
      <c r="AP146" s="143"/>
      <c r="AQ146" s="9">
        <f t="shared" si="31"/>
        <v>0</v>
      </c>
    </row>
    <row r="147" spans="1:43" outlineLevel="1" x14ac:dyDescent="0.15">
      <c r="A147" s="8" t="s">
        <v>1821</v>
      </c>
      <c r="B147" s="8"/>
      <c r="C147" s="8" t="s">
        <v>216</v>
      </c>
      <c r="D147" s="186" t="s">
        <v>1411</v>
      </c>
      <c r="E147" s="9">
        <v>44.21</v>
      </c>
      <c r="F147" s="8" t="s">
        <v>1740</v>
      </c>
      <c r="G147" s="10">
        <v>6082</v>
      </c>
      <c r="H147" s="11">
        <f t="array" ref="H147">IF(OR(N147&gt;0,AC147&gt;0),MAX(N147,AC147),MAX(AK147,V147))</f>
        <v>46248</v>
      </c>
      <c r="I147" s="143">
        <f t="array" ref="I147">IF(SUM(O147,AD147)&gt;0,SUM(O147,AD147),SUM(AL147,W147))</f>
        <v>790</v>
      </c>
      <c r="J147" s="9">
        <f t="shared" si="22"/>
        <v>12.989148306478132</v>
      </c>
      <c r="K147" s="143">
        <f t="shared" si="32"/>
        <v>29</v>
      </c>
      <c r="L147" s="9">
        <f t="shared" si="23"/>
        <v>3.6708860759493671</v>
      </c>
      <c r="M147" s="8" t="str">
        <f t="array" ref="M147">IF(L147&gt;5,"Perlu Sensus",IF(AND(L147&gt;=0,I147&gt;0),"Tetap Deteksi","Belum Deteksi"))</f>
        <v>Tetap Deteksi</v>
      </c>
      <c r="N147" s="11">
        <v>46248</v>
      </c>
      <c r="O147" s="143">
        <v>790</v>
      </c>
      <c r="P147" s="9">
        <f t="array" ref="P147">IFERROR(O147/$G147*100,0)</f>
        <v>12.989148306478132</v>
      </c>
      <c r="Q147" s="143">
        <v>29</v>
      </c>
      <c r="R147" s="9">
        <f t="shared" si="24"/>
        <v>3.6708860759493671</v>
      </c>
      <c r="S147" s="8" t="str">
        <f t="array" ref="S147">IF(R147&gt;5,"Perlu Sensus",IF(AND(R147&gt;=0,O147&gt;0),"Tetap Deteksi","Belum Deteksi"))</f>
        <v>Tetap Deteksi</v>
      </c>
      <c r="T147" s="143">
        <v>152</v>
      </c>
      <c r="U147" s="9">
        <f t="shared" si="25"/>
        <v>19.240506329113924</v>
      </c>
      <c r="V147" s="11">
        <v>0</v>
      </c>
      <c r="W147" s="143">
        <v>0</v>
      </c>
      <c r="X147" s="143">
        <v>0</v>
      </c>
      <c r="Y147" s="9">
        <f t="shared" si="26"/>
        <v>0</v>
      </c>
      <c r="Z147" s="8" t="str">
        <f t="array" ref="Z147">IF(Y147&gt;5,"Perlu Sensus",IF(AND(Y147&gt;=0,W147&gt;0),"Tetap Deteksi","Belum Deteksi"))</f>
        <v>Belum Deteksi</v>
      </c>
      <c r="AA147" s="143">
        <v>0</v>
      </c>
      <c r="AB147" s="9">
        <f t="shared" si="27"/>
        <v>0</v>
      </c>
      <c r="AC147" s="11"/>
      <c r="AD147" s="143"/>
      <c r="AE147" s="9">
        <f t="array" ref="AE147">IFERROR(AD147/$G147*100,0)</f>
        <v>0</v>
      </c>
      <c r="AF147" s="143"/>
      <c r="AG147" s="9">
        <f t="shared" si="28"/>
        <v>0</v>
      </c>
      <c r="AH147" s="8" t="str">
        <f t="array" ref="AH147">IF(AG147&gt;5,"Perlu Sensus",IF(AND(AG147&gt;=0,AD147&gt;0),"Tetap Deteksi","Belum Deteksi"))</f>
        <v>Belum Deteksi</v>
      </c>
      <c r="AI147" s="143"/>
      <c r="AJ147" s="9">
        <f t="shared" si="29"/>
        <v>0</v>
      </c>
      <c r="AK147" s="11"/>
      <c r="AL147" s="143"/>
      <c r="AM147" s="143"/>
      <c r="AN147" s="9">
        <f t="shared" si="30"/>
        <v>0</v>
      </c>
      <c r="AO147" s="8" t="str">
        <f t="array" ref="AO147">IF(AN147&gt;5,"Perlu Sensus",IF(AND(AN147&gt;=0,AL147&gt;0),"Tetap Deteksi","Belum Deteksi"))</f>
        <v>Belum Deteksi</v>
      </c>
      <c r="AP147" s="143"/>
      <c r="AQ147" s="9">
        <f t="shared" si="31"/>
        <v>0</v>
      </c>
    </row>
    <row r="148" spans="1:43" outlineLevel="1" x14ac:dyDescent="0.15">
      <c r="A148" s="8" t="s">
        <v>1821</v>
      </c>
      <c r="B148" s="8"/>
      <c r="C148" s="8" t="s">
        <v>216</v>
      </c>
      <c r="D148" s="186" t="s">
        <v>1413</v>
      </c>
      <c r="E148" s="9">
        <v>36.849999999999994</v>
      </c>
      <c r="F148" s="8" t="s">
        <v>1823</v>
      </c>
      <c r="G148" s="10">
        <v>5425</v>
      </c>
      <c r="H148" s="11">
        <f t="array" ref="H148">IF(OR(N148&gt;0,AC148&gt;0),MAX(N148,AC148),MAX(AK148,V148))</f>
        <v>46248</v>
      </c>
      <c r="I148" s="143">
        <f t="array" ref="I148">IF(SUM(O148,AD148)&gt;0,SUM(O148,AD148),SUM(AL148,W148))</f>
        <v>788</v>
      </c>
      <c r="J148" s="9">
        <f t="shared" si="22"/>
        <v>14.525345622119815</v>
      </c>
      <c r="K148" s="143">
        <f t="shared" si="32"/>
        <v>32</v>
      </c>
      <c r="L148" s="9">
        <f t="shared" si="23"/>
        <v>4.0609137055837561</v>
      </c>
      <c r="M148" s="8" t="str">
        <f t="array" ref="M148">IF(L148&gt;5,"Perlu Sensus",IF(AND(L148&gt;=0,I148&gt;0),"Tetap Deteksi","Belum Deteksi"))</f>
        <v>Tetap Deteksi</v>
      </c>
      <c r="N148" s="11">
        <v>46248</v>
      </c>
      <c r="O148" s="143">
        <v>788</v>
      </c>
      <c r="P148" s="9">
        <f t="array" ref="P148">IFERROR(O148/$G148*100,0)</f>
        <v>14.525345622119815</v>
      </c>
      <c r="Q148" s="143">
        <v>32</v>
      </c>
      <c r="R148" s="9">
        <f t="shared" si="24"/>
        <v>4.0609137055837561</v>
      </c>
      <c r="S148" s="8" t="str">
        <f t="array" ref="S148">IF(R148&gt;5,"Perlu Sensus",IF(AND(R148&gt;=0,O148&gt;0),"Tetap Deteksi","Belum Deteksi"))</f>
        <v>Tetap Deteksi</v>
      </c>
      <c r="T148" s="143">
        <v>92</v>
      </c>
      <c r="U148" s="9">
        <f t="shared" si="25"/>
        <v>11.6751269035533</v>
      </c>
      <c r="V148" s="11">
        <v>0</v>
      </c>
      <c r="W148" s="143">
        <v>0</v>
      </c>
      <c r="X148" s="143">
        <v>0</v>
      </c>
      <c r="Y148" s="9">
        <f t="shared" si="26"/>
        <v>0</v>
      </c>
      <c r="Z148" s="8" t="str">
        <f t="array" ref="Z148">IF(Y148&gt;5,"Perlu Sensus",IF(AND(Y148&gt;=0,W148&gt;0),"Tetap Deteksi","Belum Deteksi"))</f>
        <v>Belum Deteksi</v>
      </c>
      <c r="AA148" s="143">
        <v>0</v>
      </c>
      <c r="AB148" s="9">
        <f t="shared" si="27"/>
        <v>0</v>
      </c>
      <c r="AC148" s="11"/>
      <c r="AD148" s="143"/>
      <c r="AE148" s="9">
        <f t="array" ref="AE148">IFERROR(AD148/$G148*100,0)</f>
        <v>0</v>
      </c>
      <c r="AF148" s="143"/>
      <c r="AG148" s="9">
        <f t="shared" si="28"/>
        <v>0</v>
      </c>
      <c r="AH148" s="8" t="str">
        <f t="array" ref="AH148">IF(AG148&gt;5,"Perlu Sensus",IF(AND(AG148&gt;=0,AD148&gt;0),"Tetap Deteksi","Belum Deteksi"))</f>
        <v>Belum Deteksi</v>
      </c>
      <c r="AI148" s="143"/>
      <c r="AJ148" s="9">
        <f t="shared" si="29"/>
        <v>0</v>
      </c>
      <c r="AK148" s="11"/>
      <c r="AL148" s="143"/>
      <c r="AM148" s="143"/>
      <c r="AN148" s="9">
        <f t="shared" si="30"/>
        <v>0</v>
      </c>
      <c r="AO148" s="8" t="str">
        <f t="array" ref="AO148">IF(AN148&gt;5,"Perlu Sensus",IF(AND(AN148&gt;=0,AL148&gt;0),"Tetap Deteksi","Belum Deteksi"))</f>
        <v>Belum Deteksi</v>
      </c>
      <c r="AP148" s="143"/>
      <c r="AQ148" s="9">
        <f t="shared" si="31"/>
        <v>0</v>
      </c>
    </row>
    <row r="149" spans="1:43" outlineLevel="1" x14ac:dyDescent="0.15">
      <c r="A149" s="8" t="s">
        <v>1821</v>
      </c>
      <c r="B149" s="8"/>
      <c r="C149" s="8" t="s">
        <v>216</v>
      </c>
      <c r="D149" s="186" t="s">
        <v>1874</v>
      </c>
      <c r="E149" s="9">
        <v>20.96</v>
      </c>
      <c r="F149" s="8" t="s">
        <v>1740</v>
      </c>
      <c r="G149" s="10">
        <v>2821</v>
      </c>
      <c r="H149" s="11">
        <f t="array" ref="H149">IF(OR(N149&gt;0,AC149&gt;0),MAX(N149,AC149),MAX(AK149,V149))</f>
        <v>46249</v>
      </c>
      <c r="I149" s="143">
        <f t="array" ref="I149">IF(SUM(O149,AD149)&gt;0,SUM(O149,AD149),SUM(AL149,W149))</f>
        <v>224</v>
      </c>
      <c r="J149" s="9">
        <f t="shared" si="22"/>
        <v>7.9404466501240698</v>
      </c>
      <c r="K149" s="143">
        <f t="shared" si="32"/>
        <v>10</v>
      </c>
      <c r="L149" s="9">
        <f t="shared" si="23"/>
        <v>4.4642857142857144</v>
      </c>
      <c r="M149" s="8" t="str">
        <f t="array" ref="M149">IF(L149&gt;5,"Perlu Sensus",IF(AND(L149&gt;=0,I149&gt;0),"Tetap Deteksi","Belum Deteksi"))</f>
        <v>Tetap Deteksi</v>
      </c>
      <c r="N149" s="11">
        <v>46249</v>
      </c>
      <c r="O149" s="143">
        <v>224</v>
      </c>
      <c r="P149" s="9">
        <f t="array" ref="P149">IFERROR(O149/$G149*100,0)</f>
        <v>7.9404466501240698</v>
      </c>
      <c r="Q149" s="143">
        <v>10</v>
      </c>
      <c r="R149" s="9">
        <f t="shared" si="24"/>
        <v>4.4642857142857144</v>
      </c>
      <c r="S149" s="8" t="str">
        <f t="array" ref="S149">IF(R149&gt;5,"Perlu Sensus",IF(AND(R149&gt;=0,O149&gt;0),"Tetap Deteksi","Belum Deteksi"))</f>
        <v>Tetap Deteksi</v>
      </c>
      <c r="T149" s="143">
        <v>0</v>
      </c>
      <c r="U149" s="9">
        <f t="shared" si="25"/>
        <v>0</v>
      </c>
      <c r="V149" s="11">
        <v>0</v>
      </c>
      <c r="W149" s="143">
        <v>0</v>
      </c>
      <c r="X149" s="143">
        <v>0</v>
      </c>
      <c r="Y149" s="9">
        <f t="shared" si="26"/>
        <v>0</v>
      </c>
      <c r="Z149" s="8" t="str">
        <f t="array" ref="Z149">IF(Y149&gt;5,"Perlu Sensus",IF(AND(Y149&gt;=0,W149&gt;0),"Tetap Deteksi","Belum Deteksi"))</f>
        <v>Belum Deteksi</v>
      </c>
      <c r="AA149" s="143">
        <v>0</v>
      </c>
      <c r="AB149" s="9">
        <f t="shared" si="27"/>
        <v>0</v>
      </c>
      <c r="AC149" s="11"/>
      <c r="AD149" s="143"/>
      <c r="AE149" s="9">
        <f t="array" ref="AE149">IFERROR(AD149/$G149*100,0)</f>
        <v>0</v>
      </c>
      <c r="AF149" s="143"/>
      <c r="AG149" s="9">
        <f t="shared" si="28"/>
        <v>0</v>
      </c>
      <c r="AH149" s="8" t="str">
        <f t="array" ref="AH149">IF(AG149&gt;5,"Perlu Sensus",IF(AND(AG149&gt;=0,AD149&gt;0),"Tetap Deteksi","Belum Deteksi"))</f>
        <v>Belum Deteksi</v>
      </c>
      <c r="AI149" s="143"/>
      <c r="AJ149" s="9">
        <f t="shared" si="29"/>
        <v>0</v>
      </c>
      <c r="AK149" s="11"/>
      <c r="AL149" s="143"/>
      <c r="AM149" s="143"/>
      <c r="AN149" s="9">
        <f t="shared" si="30"/>
        <v>0</v>
      </c>
      <c r="AO149" s="8" t="str">
        <f t="array" ref="AO149">IF(AN149&gt;5,"Perlu Sensus",IF(AND(AN149&gt;=0,AL149&gt;0),"Tetap Deteksi","Belum Deteksi"))</f>
        <v>Belum Deteksi</v>
      </c>
      <c r="AP149" s="143"/>
      <c r="AQ149" s="9">
        <f t="shared" si="31"/>
        <v>0</v>
      </c>
    </row>
    <row r="150" spans="1:43" outlineLevel="1" x14ac:dyDescent="0.15">
      <c r="A150" s="8" t="s">
        <v>1821</v>
      </c>
      <c r="B150" s="8"/>
      <c r="C150" s="8" t="s">
        <v>216</v>
      </c>
      <c r="D150" s="186" t="s">
        <v>1875</v>
      </c>
      <c r="E150" s="9">
        <v>26.7</v>
      </c>
      <c r="F150" s="8" t="s">
        <v>1823</v>
      </c>
      <c r="G150" s="10">
        <v>4012.0000000000005</v>
      </c>
      <c r="H150" s="11">
        <f t="array" ref="H150">IF(OR(N150&gt;0,AC150&gt;0),MAX(N150,AC150),MAX(AK150,V150))</f>
        <v>46249</v>
      </c>
      <c r="I150" s="143">
        <f t="array" ref="I150">IF(SUM(O150,AD150)&gt;0,SUM(O150,AD150),SUM(AL150,W150))</f>
        <v>128</v>
      </c>
      <c r="J150" s="9">
        <f t="shared" si="22"/>
        <v>3.1904287138584246</v>
      </c>
      <c r="K150" s="143">
        <f t="shared" si="32"/>
        <v>6</v>
      </c>
      <c r="L150" s="9">
        <f t="shared" si="23"/>
        <v>4.6875</v>
      </c>
      <c r="M150" s="8" t="str">
        <f t="array" ref="M150">IF(L150&gt;5,"Perlu Sensus",IF(AND(L150&gt;=0,I150&gt;0),"Tetap Deteksi","Belum Deteksi"))</f>
        <v>Tetap Deteksi</v>
      </c>
      <c r="N150" s="11">
        <v>46249</v>
      </c>
      <c r="O150" s="143">
        <v>128</v>
      </c>
      <c r="P150" s="9">
        <f t="array" ref="P150">IFERROR(O150/$G150*100,0)</f>
        <v>3.1904287138584246</v>
      </c>
      <c r="Q150" s="143">
        <v>6</v>
      </c>
      <c r="R150" s="9">
        <f t="shared" si="24"/>
        <v>4.6875</v>
      </c>
      <c r="S150" s="8" t="str">
        <f t="array" ref="S150">IF(R150&gt;5,"Perlu Sensus",IF(AND(R150&gt;=0,O150&gt;0),"Tetap Deteksi","Belum Deteksi"))</f>
        <v>Tetap Deteksi</v>
      </c>
      <c r="T150" s="143">
        <v>0</v>
      </c>
      <c r="U150" s="9">
        <f t="shared" si="25"/>
        <v>0</v>
      </c>
      <c r="V150" s="11">
        <v>0</v>
      </c>
      <c r="W150" s="143">
        <v>0</v>
      </c>
      <c r="X150" s="143">
        <v>0</v>
      </c>
      <c r="Y150" s="9">
        <f t="shared" si="26"/>
        <v>0</v>
      </c>
      <c r="Z150" s="8" t="str">
        <f t="array" ref="Z150">IF(Y150&gt;5,"Perlu Sensus",IF(AND(Y150&gt;=0,W150&gt;0),"Tetap Deteksi","Belum Deteksi"))</f>
        <v>Belum Deteksi</v>
      </c>
      <c r="AA150" s="143">
        <v>0</v>
      </c>
      <c r="AB150" s="9">
        <f t="shared" si="27"/>
        <v>0</v>
      </c>
      <c r="AC150" s="11"/>
      <c r="AD150" s="143"/>
      <c r="AE150" s="9">
        <f t="array" ref="AE150">IFERROR(AD150/$G150*100,0)</f>
        <v>0</v>
      </c>
      <c r="AF150" s="143"/>
      <c r="AG150" s="9">
        <f t="shared" si="28"/>
        <v>0</v>
      </c>
      <c r="AH150" s="8" t="str">
        <f t="array" ref="AH150">IF(AG150&gt;5,"Perlu Sensus",IF(AND(AG150&gt;=0,AD150&gt;0),"Tetap Deteksi","Belum Deteksi"))</f>
        <v>Belum Deteksi</v>
      </c>
      <c r="AI150" s="143"/>
      <c r="AJ150" s="9">
        <f t="shared" si="29"/>
        <v>0</v>
      </c>
      <c r="AK150" s="11"/>
      <c r="AL150" s="143"/>
      <c r="AM150" s="143"/>
      <c r="AN150" s="9">
        <f t="shared" si="30"/>
        <v>0</v>
      </c>
      <c r="AO150" s="8" t="str">
        <f t="array" ref="AO150">IF(AN150&gt;5,"Perlu Sensus",IF(AND(AN150&gt;=0,AL150&gt;0),"Tetap Deteksi","Belum Deteksi"))</f>
        <v>Belum Deteksi</v>
      </c>
      <c r="AP150" s="143"/>
      <c r="AQ150" s="9">
        <f t="shared" si="31"/>
        <v>0</v>
      </c>
    </row>
    <row r="151" spans="1:43" outlineLevel="1" x14ac:dyDescent="0.15">
      <c r="A151" s="8" t="s">
        <v>1821</v>
      </c>
      <c r="B151" s="8"/>
      <c r="C151" s="8" t="s">
        <v>252</v>
      </c>
      <c r="D151" s="186" t="s">
        <v>1876</v>
      </c>
      <c r="E151" s="9">
        <v>22.93</v>
      </c>
      <c r="F151" s="8" t="s">
        <v>1740</v>
      </c>
      <c r="G151" s="10">
        <v>3279.0000000000005</v>
      </c>
      <c r="H151" s="11">
        <f t="array" ref="H151">IF(OR(N151&gt;0,AC151&gt;0),MAX(N151,AC151),MAX(AK151,V151))</f>
        <v>46249</v>
      </c>
      <c r="I151" s="143">
        <f t="array" ref="I151">IF(SUM(O151,AD151)&gt;0,SUM(O151,AD151),SUM(AL151,W151))</f>
        <v>468</v>
      </c>
      <c r="J151" s="9">
        <f t="shared" si="22"/>
        <v>14.272644098810611</v>
      </c>
      <c r="K151" s="143">
        <f t="shared" si="32"/>
        <v>17</v>
      </c>
      <c r="L151" s="9">
        <f t="shared" si="23"/>
        <v>3.6324786324786329</v>
      </c>
      <c r="M151" s="8" t="str">
        <f t="array" ref="M151">IF(L151&gt;5,"Perlu Sensus",IF(AND(L151&gt;=0,I151&gt;0),"Tetap Deteksi","Belum Deteksi"))</f>
        <v>Tetap Deteksi</v>
      </c>
      <c r="N151" s="11">
        <v>46249</v>
      </c>
      <c r="O151" s="143">
        <v>468</v>
      </c>
      <c r="P151" s="9">
        <f t="array" ref="P151">IFERROR(O151/$G151*100,0)</f>
        <v>14.272644098810611</v>
      </c>
      <c r="Q151" s="143">
        <v>17</v>
      </c>
      <c r="R151" s="9">
        <f t="shared" si="24"/>
        <v>3.6324786324786329</v>
      </c>
      <c r="S151" s="8" t="str">
        <f t="array" ref="S151">IF(R151&gt;5,"Perlu Sensus",IF(AND(R151&gt;=0,O151&gt;0),"Tetap Deteksi","Belum Deteksi"))</f>
        <v>Tetap Deteksi</v>
      </c>
      <c r="T151" s="143">
        <v>71</v>
      </c>
      <c r="U151" s="9">
        <f t="shared" si="25"/>
        <v>15.17094017094017</v>
      </c>
      <c r="V151" s="11">
        <v>46244</v>
      </c>
      <c r="W151" s="143">
        <v>964</v>
      </c>
      <c r="X151" s="143">
        <v>47</v>
      </c>
      <c r="Y151" s="9">
        <f t="shared" si="26"/>
        <v>4.8755186721991706</v>
      </c>
      <c r="Z151" s="8" t="str">
        <f t="array" ref="Z151">IF(Y151&gt;5,"Perlu Sensus",IF(AND(Y151&gt;=0,W151&gt;0),"Tetap Deteksi","Belum Deteksi"))</f>
        <v>Tetap Deteksi</v>
      </c>
      <c r="AA151" s="143">
        <v>184</v>
      </c>
      <c r="AB151" s="9">
        <f t="shared" si="27"/>
        <v>19.087136929460581</v>
      </c>
      <c r="AC151" s="11"/>
      <c r="AD151" s="143"/>
      <c r="AE151" s="9">
        <f t="array" ref="AE151">IFERROR(AD151/$G151*100,0)</f>
        <v>0</v>
      </c>
      <c r="AF151" s="143"/>
      <c r="AG151" s="9">
        <f t="shared" si="28"/>
        <v>0</v>
      </c>
      <c r="AH151" s="8" t="str">
        <f t="array" ref="AH151">IF(AG151&gt;5,"Perlu Sensus",IF(AND(AG151&gt;=0,AD151&gt;0),"Tetap Deteksi","Belum Deteksi"))</f>
        <v>Belum Deteksi</v>
      </c>
      <c r="AI151" s="143"/>
      <c r="AJ151" s="9">
        <f t="shared" si="29"/>
        <v>0</v>
      </c>
      <c r="AK151" s="11"/>
      <c r="AL151" s="143"/>
      <c r="AM151" s="143"/>
      <c r="AN151" s="9">
        <f t="shared" si="30"/>
        <v>0</v>
      </c>
      <c r="AO151" s="8" t="str">
        <f t="array" ref="AO151">IF(AN151&gt;5,"Perlu Sensus",IF(AND(AN151&gt;=0,AL151&gt;0),"Tetap Deteksi","Belum Deteksi"))</f>
        <v>Belum Deteksi</v>
      </c>
      <c r="AP151" s="143"/>
      <c r="AQ151" s="9">
        <f t="shared" si="31"/>
        <v>0</v>
      </c>
    </row>
    <row r="152" spans="1:43" outlineLevel="1" x14ac:dyDescent="0.15">
      <c r="A152" s="8" t="s">
        <v>1821</v>
      </c>
      <c r="B152" s="8"/>
      <c r="C152" s="8" t="s">
        <v>252</v>
      </c>
      <c r="D152" s="186" t="s">
        <v>1877</v>
      </c>
      <c r="E152" s="9">
        <v>24.63</v>
      </c>
      <c r="F152" s="8" t="s">
        <v>1740</v>
      </c>
      <c r="G152" s="10">
        <v>3638.9999999999995</v>
      </c>
      <c r="H152" s="11">
        <f t="array" ref="H152">IF(OR(N152&gt;0,AC152&gt;0),MAX(N152,AC152),MAX(AK152,V152))</f>
        <v>46249</v>
      </c>
      <c r="I152" s="143">
        <f t="array" ref="I152">IF(SUM(O152,AD152)&gt;0,SUM(O152,AD152),SUM(AL152,W152))</f>
        <v>576</v>
      </c>
      <c r="J152" s="9">
        <f t="shared" si="22"/>
        <v>15.828524319868098</v>
      </c>
      <c r="K152" s="143">
        <f t="shared" si="32"/>
        <v>22</v>
      </c>
      <c r="L152" s="9">
        <f t="shared" si="23"/>
        <v>3.8194444444444446</v>
      </c>
      <c r="M152" s="8" t="str">
        <f t="array" ref="M152">IF(L152&gt;5,"Perlu Sensus",IF(AND(L152&gt;=0,I152&gt;0),"Tetap Deteksi","Belum Deteksi"))</f>
        <v>Tetap Deteksi</v>
      </c>
      <c r="N152" s="11">
        <v>46249</v>
      </c>
      <c r="O152" s="143">
        <v>576</v>
      </c>
      <c r="P152" s="9">
        <f t="array" ref="P152">IFERROR(O152/$G152*100,0)</f>
        <v>15.828524319868098</v>
      </c>
      <c r="Q152" s="143">
        <v>22</v>
      </c>
      <c r="R152" s="9">
        <f t="shared" si="24"/>
        <v>3.8194444444444446</v>
      </c>
      <c r="S152" s="8" t="str">
        <f t="array" ref="S152">IF(R152&gt;5,"Perlu Sensus",IF(AND(R152&gt;=0,O152&gt;0),"Tetap Deteksi","Belum Deteksi"))</f>
        <v>Tetap Deteksi</v>
      </c>
      <c r="T152" s="143">
        <v>76</v>
      </c>
      <c r="U152" s="9">
        <f t="shared" si="25"/>
        <v>13.194444444444445</v>
      </c>
      <c r="V152" s="11">
        <v>46245</v>
      </c>
      <c r="W152" s="143">
        <v>3767</v>
      </c>
      <c r="X152" s="143">
        <v>193</v>
      </c>
      <c r="Y152" s="9">
        <f t="shared" si="26"/>
        <v>5.123440403504115</v>
      </c>
      <c r="Z152" s="8" t="str">
        <f t="array" ref="Z152">IF(Y152&gt;5,"Perlu Sensus",IF(AND(Y152&gt;=0,W152&gt;0),"Tetap Deteksi","Belum Deteksi"))</f>
        <v>Perlu Sensus</v>
      </c>
      <c r="AA152" s="143">
        <v>314</v>
      </c>
      <c r="AB152" s="9">
        <f t="shared" si="27"/>
        <v>8.335545526944518</v>
      </c>
      <c r="AC152" s="11"/>
      <c r="AD152" s="143"/>
      <c r="AE152" s="9">
        <f t="array" ref="AE152">IFERROR(AD152/$G152*100,0)</f>
        <v>0</v>
      </c>
      <c r="AF152" s="143"/>
      <c r="AG152" s="9">
        <f t="shared" si="28"/>
        <v>0</v>
      </c>
      <c r="AH152" s="8" t="str">
        <f t="array" ref="AH152">IF(AG152&gt;5,"Perlu Sensus",IF(AND(AG152&gt;=0,AD152&gt;0),"Tetap Deteksi","Belum Deteksi"))</f>
        <v>Belum Deteksi</v>
      </c>
      <c r="AI152" s="143"/>
      <c r="AJ152" s="9">
        <f t="shared" si="29"/>
        <v>0</v>
      </c>
      <c r="AK152" s="11"/>
      <c r="AL152" s="143"/>
      <c r="AM152" s="143"/>
      <c r="AN152" s="9">
        <f t="shared" si="30"/>
        <v>0</v>
      </c>
      <c r="AO152" s="8" t="str">
        <f t="array" ref="AO152">IF(AN152&gt;5,"Perlu Sensus",IF(AND(AN152&gt;=0,AL152&gt;0),"Tetap Deteksi","Belum Deteksi"))</f>
        <v>Belum Deteksi</v>
      </c>
      <c r="AP152" s="143"/>
      <c r="AQ152" s="9">
        <f t="shared" si="31"/>
        <v>0</v>
      </c>
    </row>
    <row r="153" spans="1:43" outlineLevel="1" x14ac:dyDescent="0.15">
      <c r="A153" s="8" t="s">
        <v>1821</v>
      </c>
      <c r="B153" s="8"/>
      <c r="C153" s="8" t="s">
        <v>252</v>
      </c>
      <c r="D153" s="186" t="s">
        <v>1878</v>
      </c>
      <c r="E153" s="9">
        <v>47.16</v>
      </c>
      <c r="F153" s="8" t="s">
        <v>1823</v>
      </c>
      <c r="G153" s="10">
        <v>6801</v>
      </c>
      <c r="H153" s="11">
        <f t="array" ref="H153">IF(OR(N153&gt;0,AC153&gt;0),MAX(N153,AC153),MAX(AK153,V153))</f>
        <v>46248</v>
      </c>
      <c r="I153" s="143">
        <f t="array" ref="I153">IF(SUM(O153,AD153)&gt;0,SUM(O153,AD153),SUM(AL153,W153))</f>
        <v>452</v>
      </c>
      <c r="J153" s="9">
        <f t="shared" si="22"/>
        <v>6.6460814586090278</v>
      </c>
      <c r="K153" s="143">
        <f t="shared" si="32"/>
        <v>23</v>
      </c>
      <c r="L153" s="9">
        <f t="shared" si="23"/>
        <v>5.0884955752212395</v>
      </c>
      <c r="M153" s="8" t="str">
        <f t="array" ref="M153">IF(L153&gt;5,"Perlu Sensus",IF(AND(L153&gt;=0,I153&gt;0),"Tetap Deteksi","Belum Deteksi"))</f>
        <v>Perlu Sensus</v>
      </c>
      <c r="N153" s="11">
        <v>46248</v>
      </c>
      <c r="O153" s="143">
        <v>452</v>
      </c>
      <c r="P153" s="9">
        <f t="array" ref="P153">IFERROR(O153/$G153*100,0)</f>
        <v>6.6460814586090278</v>
      </c>
      <c r="Q153" s="143">
        <v>23</v>
      </c>
      <c r="R153" s="9">
        <f t="shared" si="24"/>
        <v>5.0884955752212395</v>
      </c>
      <c r="S153" s="8" t="str">
        <f t="array" ref="S153">IF(R153&gt;5,"Perlu Sensus",IF(AND(R153&gt;=0,O153&gt;0),"Tetap Deteksi","Belum Deteksi"))</f>
        <v>Perlu Sensus</v>
      </c>
      <c r="T153" s="143">
        <v>61</v>
      </c>
      <c r="U153" s="9">
        <f t="shared" si="25"/>
        <v>13.495575221238937</v>
      </c>
      <c r="V153" s="11">
        <v>46246</v>
      </c>
      <c r="W153" s="143">
        <v>4819</v>
      </c>
      <c r="X153" s="143">
        <v>222</v>
      </c>
      <c r="Y153" s="9">
        <f t="shared" si="26"/>
        <v>4.6067648889811164</v>
      </c>
      <c r="Z153" s="8" t="str">
        <f t="array" ref="Z153">IF(Y153&gt;5,"Perlu Sensus",IF(AND(Y153&gt;=0,W153&gt;0),"Tetap Deteksi","Belum Deteksi"))</f>
        <v>Tetap Deteksi</v>
      </c>
      <c r="AA153" s="143">
        <v>366</v>
      </c>
      <c r="AB153" s="9">
        <f t="shared" si="27"/>
        <v>7.59493670886076</v>
      </c>
      <c r="AC153" s="11"/>
      <c r="AD153" s="143"/>
      <c r="AE153" s="9">
        <f t="array" ref="AE153">IFERROR(AD153/$G153*100,0)</f>
        <v>0</v>
      </c>
      <c r="AF153" s="143"/>
      <c r="AG153" s="9">
        <f t="shared" si="28"/>
        <v>0</v>
      </c>
      <c r="AH153" s="8" t="str">
        <f t="array" ref="AH153">IF(AG153&gt;5,"Perlu Sensus",IF(AND(AG153&gt;=0,AD153&gt;0),"Tetap Deteksi","Belum Deteksi"))</f>
        <v>Belum Deteksi</v>
      </c>
      <c r="AI153" s="143"/>
      <c r="AJ153" s="9">
        <f t="shared" si="29"/>
        <v>0</v>
      </c>
      <c r="AK153" s="11"/>
      <c r="AL153" s="143"/>
      <c r="AM153" s="143"/>
      <c r="AN153" s="9">
        <f t="shared" si="30"/>
        <v>0</v>
      </c>
      <c r="AO153" s="8" t="str">
        <f t="array" ref="AO153">IF(AN153&gt;5,"Perlu Sensus",IF(AND(AN153&gt;=0,AL153&gt;0),"Tetap Deteksi","Belum Deteksi"))</f>
        <v>Belum Deteksi</v>
      </c>
      <c r="AP153" s="143"/>
      <c r="AQ153" s="9">
        <f t="shared" si="31"/>
        <v>0</v>
      </c>
    </row>
    <row r="154" spans="1:43" outlineLevel="1" x14ac:dyDescent="0.15">
      <c r="A154" s="8" t="s">
        <v>1821</v>
      </c>
      <c r="B154" s="8"/>
      <c r="C154" s="8" t="s">
        <v>252</v>
      </c>
      <c r="D154" s="181" t="s">
        <v>1879</v>
      </c>
      <c r="E154" s="9">
        <v>25.43</v>
      </c>
      <c r="F154" s="8" t="s">
        <v>1823</v>
      </c>
      <c r="G154" s="10">
        <v>2071</v>
      </c>
      <c r="H154" s="11">
        <f t="array" ref="H154">IF(OR(N154&gt;0,AC154&gt;0),MAX(N154,AC154),MAX(AK154,V154))</f>
        <v>46248</v>
      </c>
      <c r="I154" s="143">
        <f t="array" ref="I154">IF(SUM(O154,AD154)&gt;0,SUM(O154,AD154),SUM(AL154,W154))</f>
        <v>352</v>
      </c>
      <c r="J154" s="9">
        <f t="shared" si="22"/>
        <v>16.996619990342829</v>
      </c>
      <c r="K154" s="143">
        <f t="shared" si="32"/>
        <v>17</v>
      </c>
      <c r="L154" s="9">
        <f t="shared" si="23"/>
        <v>4.8295454545454541</v>
      </c>
      <c r="M154" s="8" t="str">
        <f t="array" ref="M154">IF(L154&gt;5,"Perlu Sensus",IF(AND(L154&gt;=0,I154&gt;0),"Tetap Deteksi","Belum Deteksi"))</f>
        <v>Tetap Deteksi</v>
      </c>
      <c r="N154" s="11">
        <v>46248</v>
      </c>
      <c r="O154" s="143">
        <v>352</v>
      </c>
      <c r="P154" s="9">
        <f t="array" ref="P154">IFERROR(O154/$G154*100,0)</f>
        <v>16.996619990342829</v>
      </c>
      <c r="Q154" s="143">
        <v>17</v>
      </c>
      <c r="R154" s="9">
        <f t="shared" si="24"/>
        <v>4.8295454545454541</v>
      </c>
      <c r="S154" s="8" t="str">
        <f t="array" ref="S154">IF(R154&gt;5,"Perlu Sensus",IF(AND(R154&gt;=0,O154&gt;0),"Tetap Deteksi","Belum Deteksi"))</f>
        <v>Tetap Deteksi</v>
      </c>
      <c r="T154" s="143">
        <v>37</v>
      </c>
      <c r="U154" s="9">
        <f t="shared" si="25"/>
        <v>10.511363636363637</v>
      </c>
      <c r="V154" s="11">
        <v>46246</v>
      </c>
      <c r="W154" s="143">
        <v>2567</v>
      </c>
      <c r="X154" s="143">
        <v>117</v>
      </c>
      <c r="Y154" s="9">
        <f t="shared" si="26"/>
        <v>4.5578496299181923</v>
      </c>
      <c r="Z154" s="8" t="str">
        <f t="array" ref="Z154">IF(Y154&gt;5,"Perlu Sensus",IF(AND(Y154&gt;=0,W154&gt;0),"Tetap Deteksi","Belum Deteksi"))</f>
        <v>Tetap Deteksi</v>
      </c>
      <c r="AA154" s="143">
        <v>194</v>
      </c>
      <c r="AB154" s="9">
        <f t="shared" si="27"/>
        <v>7.5574600701207642</v>
      </c>
      <c r="AC154" s="11"/>
      <c r="AD154" s="143"/>
      <c r="AE154" s="9">
        <f t="array" ref="AE154">IFERROR(AD154/$G154*100,0)</f>
        <v>0</v>
      </c>
      <c r="AF154" s="143"/>
      <c r="AG154" s="9">
        <f t="shared" si="28"/>
        <v>0</v>
      </c>
      <c r="AH154" s="8" t="str">
        <f t="array" ref="AH154">IF(AG154&gt;5,"Perlu Sensus",IF(AND(AG154&gt;=0,AD154&gt;0),"Tetap Deteksi","Belum Deteksi"))</f>
        <v>Belum Deteksi</v>
      </c>
      <c r="AI154" s="143"/>
      <c r="AJ154" s="9">
        <f t="shared" si="29"/>
        <v>0</v>
      </c>
      <c r="AK154" s="11"/>
      <c r="AL154" s="143"/>
      <c r="AM154" s="143"/>
      <c r="AN154" s="9">
        <f t="shared" si="30"/>
        <v>0</v>
      </c>
      <c r="AO154" s="8" t="str">
        <f t="array" ref="AO154">IF(AN154&gt;5,"Perlu Sensus",IF(AND(AN154&gt;=0,AL154&gt;0),"Tetap Deteksi","Belum Deteksi"))</f>
        <v>Belum Deteksi</v>
      </c>
      <c r="AP154" s="143"/>
      <c r="AQ154" s="9">
        <f t="shared" si="31"/>
        <v>0</v>
      </c>
    </row>
    <row r="155" spans="1:43" outlineLevel="1" x14ac:dyDescent="0.15">
      <c r="A155" s="8" t="s">
        <v>1821</v>
      </c>
      <c r="B155" s="8"/>
      <c r="C155" s="8" t="s">
        <v>252</v>
      </c>
      <c r="D155" s="186" t="s">
        <v>1880</v>
      </c>
      <c r="E155" s="9">
        <v>34.42</v>
      </c>
      <c r="F155" s="8" t="s">
        <v>1823</v>
      </c>
      <c r="G155" s="10">
        <v>3292</v>
      </c>
      <c r="H155" s="11">
        <f t="array" ref="H155">IF(OR(N155&gt;0,AC155&gt;0),MAX(N155,AC155),MAX(AK155,V155))</f>
        <v>46249</v>
      </c>
      <c r="I155" s="143">
        <f t="array" ref="I155">IF(SUM(O155,AD155)&gt;0,SUM(O155,AD155),SUM(AL155,W155))</f>
        <v>456</v>
      </c>
      <c r="J155" s="9">
        <f t="shared" si="22"/>
        <v>13.851761846901582</v>
      </c>
      <c r="K155" s="143">
        <f t="shared" si="32"/>
        <v>18</v>
      </c>
      <c r="L155" s="9">
        <f t="shared" si="23"/>
        <v>3.9473684210526314</v>
      </c>
      <c r="M155" s="8" t="str">
        <f t="array" ref="M155">IF(L155&gt;5,"Perlu Sensus",IF(AND(L155&gt;=0,I155&gt;0),"Tetap Deteksi","Belum Deteksi"))</f>
        <v>Tetap Deteksi</v>
      </c>
      <c r="N155" s="11">
        <v>46249</v>
      </c>
      <c r="O155" s="143">
        <v>456</v>
      </c>
      <c r="P155" s="9">
        <f t="array" ref="P155">IFERROR(O155/$G155*100,0)</f>
        <v>13.851761846901582</v>
      </c>
      <c r="Q155" s="143">
        <v>18</v>
      </c>
      <c r="R155" s="9">
        <f t="shared" si="24"/>
        <v>3.9473684210526314</v>
      </c>
      <c r="S155" s="8" t="str">
        <f t="array" ref="S155">IF(R155&gt;5,"Perlu Sensus",IF(AND(R155&gt;=0,O155&gt;0),"Tetap Deteksi","Belum Deteksi"))</f>
        <v>Tetap Deteksi</v>
      </c>
      <c r="T155" s="143">
        <v>35</v>
      </c>
      <c r="U155" s="9">
        <f t="shared" si="25"/>
        <v>7.6754385964912286</v>
      </c>
      <c r="V155" s="11">
        <v>46245</v>
      </c>
      <c r="W155" s="143">
        <v>52</v>
      </c>
      <c r="X155" s="143">
        <v>2</v>
      </c>
      <c r="Y155" s="9">
        <f t="shared" si="26"/>
        <v>3.8461538461538463</v>
      </c>
      <c r="Z155" s="8" t="str">
        <f t="array" ref="Z155">IF(Y155&gt;5,"Perlu Sensus",IF(AND(Y155&gt;=0,W155&gt;0),"Tetap Deteksi","Belum Deteksi"))</f>
        <v>Tetap Deteksi</v>
      </c>
      <c r="AA155" s="143">
        <v>5</v>
      </c>
      <c r="AB155" s="9">
        <f t="shared" si="27"/>
        <v>9.6153846153846168</v>
      </c>
      <c r="AC155" s="11"/>
      <c r="AD155" s="143"/>
      <c r="AE155" s="9">
        <f t="array" ref="AE155">IFERROR(AD155/$G155*100,0)</f>
        <v>0</v>
      </c>
      <c r="AF155" s="143"/>
      <c r="AG155" s="9">
        <f t="shared" si="28"/>
        <v>0</v>
      </c>
      <c r="AH155" s="8" t="str">
        <f t="array" ref="AH155">IF(AG155&gt;5,"Perlu Sensus",IF(AND(AG155&gt;=0,AD155&gt;0),"Tetap Deteksi","Belum Deteksi"))</f>
        <v>Belum Deteksi</v>
      </c>
      <c r="AI155" s="143"/>
      <c r="AJ155" s="9">
        <f t="shared" si="29"/>
        <v>0</v>
      </c>
      <c r="AK155" s="11"/>
      <c r="AL155" s="143"/>
      <c r="AM155" s="143"/>
      <c r="AN155" s="9">
        <f t="shared" si="30"/>
        <v>0</v>
      </c>
      <c r="AO155" s="8" t="str">
        <f t="array" ref="AO155">IF(AN155&gt;5,"Perlu Sensus",IF(AND(AN155&gt;=0,AL155&gt;0),"Tetap Deteksi","Belum Deteksi"))</f>
        <v>Belum Deteksi</v>
      </c>
      <c r="AP155" s="143"/>
      <c r="AQ155" s="9">
        <f t="shared" si="31"/>
        <v>0</v>
      </c>
    </row>
    <row r="156" spans="1:43" outlineLevel="1" x14ac:dyDescent="0.15">
      <c r="A156" s="8" t="s">
        <v>1821</v>
      </c>
      <c r="B156" s="8"/>
      <c r="C156" s="8" t="s">
        <v>252</v>
      </c>
      <c r="D156" s="186" t="s">
        <v>1881</v>
      </c>
      <c r="E156" s="9">
        <v>22.91</v>
      </c>
      <c r="F156" s="8" t="s">
        <v>1823</v>
      </c>
      <c r="G156" s="10">
        <v>3258.9999999999995</v>
      </c>
      <c r="H156" s="11">
        <f t="array" ref="H156">IF(OR(N156&gt;0,AC156&gt;0),MAX(N156,AC156),MAX(AK156,V156))</f>
        <v>46246</v>
      </c>
      <c r="I156" s="143">
        <f t="array" ref="I156">IF(SUM(O156,AD156)&gt;0,SUM(O156,AD156),SUM(AL156,W156))</f>
        <v>344</v>
      </c>
      <c r="J156" s="9">
        <f t="shared" si="22"/>
        <v>10.555385087450139</v>
      </c>
      <c r="K156" s="143">
        <f t="shared" si="32"/>
        <v>12</v>
      </c>
      <c r="L156" s="9">
        <f t="shared" si="23"/>
        <v>3.4883720930232558</v>
      </c>
      <c r="M156" s="8" t="str">
        <f t="array" ref="M156">IF(L156&gt;5,"Perlu Sensus",IF(AND(L156&gt;=0,I156&gt;0),"Tetap Deteksi","Belum Deteksi"))</f>
        <v>Tetap Deteksi</v>
      </c>
      <c r="N156" s="11">
        <v>46246</v>
      </c>
      <c r="O156" s="143">
        <v>344</v>
      </c>
      <c r="P156" s="9">
        <f t="array" ref="P156">IFERROR(O156/$G156*100,0)</f>
        <v>10.555385087450139</v>
      </c>
      <c r="Q156" s="143">
        <v>12</v>
      </c>
      <c r="R156" s="9">
        <f t="shared" si="24"/>
        <v>3.4883720930232558</v>
      </c>
      <c r="S156" s="8" t="str">
        <f t="array" ref="S156">IF(R156&gt;5,"Perlu Sensus",IF(AND(R156&gt;=0,O156&gt;0),"Tetap Deteksi","Belum Deteksi"))</f>
        <v>Tetap Deteksi</v>
      </c>
      <c r="T156" s="143">
        <v>32</v>
      </c>
      <c r="U156" s="9">
        <f t="shared" si="25"/>
        <v>9.3023255813953494</v>
      </c>
      <c r="V156" s="11">
        <v>46248</v>
      </c>
      <c r="W156" s="143">
        <v>2476</v>
      </c>
      <c r="X156" s="143">
        <v>136</v>
      </c>
      <c r="Y156" s="9">
        <f t="shared" si="26"/>
        <v>5.4927302100161546</v>
      </c>
      <c r="Z156" s="8" t="str">
        <f t="array" ref="Z156">IF(Y156&gt;5,"Perlu Sensus",IF(AND(Y156&gt;=0,W156&gt;0),"Tetap Deteksi","Belum Deteksi"))</f>
        <v>Perlu Sensus</v>
      </c>
      <c r="AA156" s="143">
        <v>326</v>
      </c>
      <c r="AB156" s="9">
        <f t="shared" si="27"/>
        <v>13.166397415185784</v>
      </c>
      <c r="AC156" s="11"/>
      <c r="AD156" s="143"/>
      <c r="AE156" s="9">
        <f t="array" ref="AE156">IFERROR(AD156/$G156*100,0)</f>
        <v>0</v>
      </c>
      <c r="AF156" s="143"/>
      <c r="AG156" s="9">
        <f t="shared" si="28"/>
        <v>0</v>
      </c>
      <c r="AH156" s="8" t="str">
        <f t="array" ref="AH156">IF(AG156&gt;5,"Perlu Sensus",IF(AND(AG156&gt;=0,AD156&gt;0),"Tetap Deteksi","Belum Deteksi"))</f>
        <v>Belum Deteksi</v>
      </c>
      <c r="AI156" s="143"/>
      <c r="AJ156" s="9">
        <f t="shared" si="29"/>
        <v>0</v>
      </c>
      <c r="AK156" s="11"/>
      <c r="AL156" s="143"/>
      <c r="AM156" s="143"/>
      <c r="AN156" s="9">
        <f t="shared" si="30"/>
        <v>0</v>
      </c>
      <c r="AO156" s="8" t="str">
        <f t="array" ref="AO156">IF(AN156&gt;5,"Perlu Sensus",IF(AND(AN156&gt;=0,AL156&gt;0),"Tetap Deteksi","Belum Deteksi"))</f>
        <v>Belum Deteksi</v>
      </c>
      <c r="AP156" s="143"/>
      <c r="AQ156" s="9">
        <f t="shared" si="31"/>
        <v>0</v>
      </c>
    </row>
    <row r="157" spans="1:43" outlineLevel="1" x14ac:dyDescent="0.15">
      <c r="A157" s="8" t="s">
        <v>1821</v>
      </c>
      <c r="B157" s="8"/>
      <c r="C157" s="8" t="s">
        <v>252</v>
      </c>
      <c r="D157" s="186" t="s">
        <v>1882</v>
      </c>
      <c r="E157" s="9">
        <v>23.45</v>
      </c>
      <c r="F157" s="8" t="s">
        <v>1823</v>
      </c>
      <c r="G157" s="10">
        <v>3449</v>
      </c>
      <c r="H157" s="11">
        <f t="array" ref="H157">IF(OR(N157&gt;0,AC157&gt;0),MAX(N157,AC157),MAX(AK157,V157))</f>
        <v>46241</v>
      </c>
      <c r="I157" s="143">
        <f t="array" ref="I157">IF(SUM(O157,AD157)&gt;0,SUM(O157,AD157),SUM(AL157,W157))</f>
        <v>342</v>
      </c>
      <c r="J157" s="9">
        <f t="shared" si="22"/>
        <v>9.9159176572919687</v>
      </c>
      <c r="K157" s="143">
        <f t="shared" si="32"/>
        <v>17</v>
      </c>
      <c r="L157" s="9">
        <f t="shared" si="23"/>
        <v>4.9707602339181287</v>
      </c>
      <c r="M157" s="8" t="str">
        <f t="array" ref="M157">IF(L157&gt;5,"Perlu Sensus",IF(AND(L157&gt;=0,I157&gt;0),"Tetap Deteksi","Belum Deteksi"))</f>
        <v>Tetap Deteksi</v>
      </c>
      <c r="N157" s="11">
        <v>46241</v>
      </c>
      <c r="O157" s="143">
        <v>342</v>
      </c>
      <c r="P157" s="9">
        <f t="array" ref="P157">IFERROR(O157/$G157*100,0)</f>
        <v>9.9159176572919687</v>
      </c>
      <c r="Q157" s="143">
        <v>17</v>
      </c>
      <c r="R157" s="9">
        <f t="shared" si="24"/>
        <v>4.9707602339181287</v>
      </c>
      <c r="S157" s="8" t="str">
        <f t="array" ref="S157">IF(R157&gt;5,"Perlu Sensus",IF(AND(R157&gt;=0,O157&gt;0),"Tetap Deteksi","Belum Deteksi"))</f>
        <v>Tetap Deteksi</v>
      </c>
      <c r="T157" s="143">
        <v>38</v>
      </c>
      <c r="U157" s="9">
        <f t="shared" si="25"/>
        <v>11.111111111111111</v>
      </c>
      <c r="V157" s="11">
        <v>46248</v>
      </c>
      <c r="W157" s="143">
        <v>4259</v>
      </c>
      <c r="X157" s="143">
        <v>217</v>
      </c>
      <c r="Y157" s="9">
        <f t="shared" si="26"/>
        <v>5.0950927447757692</v>
      </c>
      <c r="Z157" s="8" t="str">
        <f t="array" ref="Z157">IF(Y157&gt;5,"Perlu Sensus",IF(AND(Y157&gt;=0,W157&gt;0),"Tetap Deteksi","Belum Deteksi"))</f>
        <v>Perlu Sensus</v>
      </c>
      <c r="AA157" s="143">
        <v>661</v>
      </c>
      <c r="AB157" s="9">
        <f t="shared" si="27"/>
        <v>15.520075135008218</v>
      </c>
      <c r="AC157" s="11"/>
      <c r="AD157" s="143"/>
      <c r="AE157" s="9">
        <f t="array" ref="AE157">IFERROR(AD157/$G157*100,0)</f>
        <v>0</v>
      </c>
      <c r="AF157" s="143"/>
      <c r="AG157" s="9">
        <f t="shared" si="28"/>
        <v>0</v>
      </c>
      <c r="AH157" s="8" t="str">
        <f t="array" ref="AH157">IF(AG157&gt;5,"Perlu Sensus",IF(AND(AG157&gt;=0,AD157&gt;0),"Tetap Deteksi","Belum Deteksi"))</f>
        <v>Belum Deteksi</v>
      </c>
      <c r="AI157" s="143"/>
      <c r="AJ157" s="9">
        <f t="shared" si="29"/>
        <v>0</v>
      </c>
      <c r="AK157" s="11"/>
      <c r="AL157" s="143"/>
      <c r="AM157" s="143"/>
      <c r="AN157" s="9">
        <f t="shared" si="30"/>
        <v>0</v>
      </c>
      <c r="AO157" s="8" t="str">
        <f t="array" ref="AO157">IF(AN157&gt;5,"Perlu Sensus",IF(AND(AN157&gt;=0,AL157&gt;0),"Tetap Deteksi","Belum Deteksi"))</f>
        <v>Belum Deteksi</v>
      </c>
      <c r="AP157" s="143"/>
      <c r="AQ157" s="9">
        <f t="shared" si="31"/>
        <v>0</v>
      </c>
    </row>
    <row r="158" spans="1:43" outlineLevel="1" x14ac:dyDescent="0.15">
      <c r="A158" s="8" t="s">
        <v>1821</v>
      </c>
      <c r="B158" s="8"/>
      <c r="C158" s="8" t="s">
        <v>252</v>
      </c>
      <c r="D158" s="186" t="s">
        <v>1883</v>
      </c>
      <c r="E158" s="9">
        <v>21.84</v>
      </c>
      <c r="F158" s="8" t="s">
        <v>1823</v>
      </c>
      <c r="G158" s="10">
        <v>3084.9999999999995</v>
      </c>
      <c r="H158" s="11">
        <f t="array" ref="H158">IF(OR(N158&gt;0,AC158&gt;0),MAX(N158,AC158),MAX(AK158,V158))</f>
        <v>46240</v>
      </c>
      <c r="I158" s="143">
        <f t="array" ref="I158">IF(SUM(O158,AD158)&gt;0,SUM(O158,AD158),SUM(AL158,W158))</f>
        <v>348</v>
      </c>
      <c r="J158" s="9">
        <f t="shared" si="22"/>
        <v>11.28038897893031</v>
      </c>
      <c r="K158" s="143">
        <f t="shared" si="32"/>
        <v>17</v>
      </c>
      <c r="L158" s="9">
        <f t="shared" si="23"/>
        <v>4.8850574712643677</v>
      </c>
      <c r="M158" s="8" t="str">
        <f t="array" ref="M158">IF(L158&gt;5,"Perlu Sensus",IF(AND(L158&gt;=0,I158&gt;0),"Tetap Deteksi","Belum Deteksi"))</f>
        <v>Tetap Deteksi</v>
      </c>
      <c r="N158" s="11">
        <v>46240</v>
      </c>
      <c r="O158" s="143">
        <v>348</v>
      </c>
      <c r="P158" s="9">
        <f t="array" ref="P158">IFERROR(O158/$G158*100,0)</f>
        <v>11.28038897893031</v>
      </c>
      <c r="Q158" s="143">
        <v>17</v>
      </c>
      <c r="R158" s="9">
        <f t="shared" si="24"/>
        <v>4.8850574712643677</v>
      </c>
      <c r="S158" s="8" t="str">
        <f t="array" ref="S158">IF(R158&gt;5,"Perlu Sensus",IF(AND(R158&gt;=0,O158&gt;0),"Tetap Deteksi","Belum Deteksi"))</f>
        <v>Tetap Deteksi</v>
      </c>
      <c r="T158" s="143">
        <v>50</v>
      </c>
      <c r="U158" s="9">
        <f t="shared" si="25"/>
        <v>14.367816091954023</v>
      </c>
      <c r="V158" s="11">
        <v>46247</v>
      </c>
      <c r="W158" s="143">
        <v>3757</v>
      </c>
      <c r="X158" s="143">
        <v>221</v>
      </c>
      <c r="Y158" s="9">
        <f t="shared" si="26"/>
        <v>5.8823529411764701</v>
      </c>
      <c r="Z158" s="8" t="str">
        <f t="array" ref="Z158">IF(Y158&gt;5,"Perlu Sensus",IF(AND(Y158&gt;=0,W158&gt;0),"Tetap Deteksi","Belum Deteksi"))</f>
        <v>Perlu Sensus</v>
      </c>
      <c r="AA158" s="143">
        <v>453</v>
      </c>
      <c r="AB158" s="9">
        <f t="shared" si="27"/>
        <v>12.05749268033005</v>
      </c>
      <c r="AC158" s="11"/>
      <c r="AD158" s="143"/>
      <c r="AE158" s="9">
        <f t="array" ref="AE158">IFERROR(AD158/$G158*100,0)</f>
        <v>0</v>
      </c>
      <c r="AF158" s="143"/>
      <c r="AG158" s="9">
        <f t="shared" si="28"/>
        <v>0</v>
      </c>
      <c r="AH158" s="8" t="str">
        <f t="array" ref="AH158">IF(AG158&gt;5,"Perlu Sensus",IF(AND(AG158&gt;=0,AD158&gt;0),"Tetap Deteksi","Belum Deteksi"))</f>
        <v>Belum Deteksi</v>
      </c>
      <c r="AI158" s="143"/>
      <c r="AJ158" s="9">
        <f t="shared" si="29"/>
        <v>0</v>
      </c>
      <c r="AK158" s="11"/>
      <c r="AL158" s="143"/>
      <c r="AM158" s="143"/>
      <c r="AN158" s="9">
        <f t="shared" si="30"/>
        <v>0</v>
      </c>
      <c r="AO158" s="8" t="str">
        <f t="array" ref="AO158">IF(AN158&gt;5,"Perlu Sensus",IF(AND(AN158&gt;=0,AL158&gt;0),"Tetap Deteksi","Belum Deteksi"))</f>
        <v>Belum Deteksi</v>
      </c>
      <c r="AP158" s="143"/>
      <c r="AQ158" s="9">
        <f t="shared" si="31"/>
        <v>0</v>
      </c>
    </row>
    <row r="159" spans="1:43" outlineLevel="1" x14ac:dyDescent="0.15">
      <c r="A159" s="8" t="s">
        <v>1821</v>
      </c>
      <c r="B159" s="8"/>
      <c r="C159" s="8" t="s">
        <v>252</v>
      </c>
      <c r="D159" s="181" t="s">
        <v>1884</v>
      </c>
      <c r="E159" s="9">
        <v>22.29</v>
      </c>
      <c r="F159" s="8" t="s">
        <v>1823</v>
      </c>
      <c r="G159" s="10">
        <v>3083.0000000000005</v>
      </c>
      <c r="H159" s="11">
        <f t="array" ref="H159">IF(OR(N159&gt;0,AC159&gt;0),MAX(N159,AC159),MAX(AK159,V159))</f>
        <v>46249</v>
      </c>
      <c r="I159" s="143">
        <f t="array" ref="I159">IF(SUM(O159,AD159)&gt;0,SUM(O159,AD159),SUM(AL159,W159))</f>
        <v>454</v>
      </c>
      <c r="J159" s="9">
        <f t="shared" si="22"/>
        <v>14.725916315277326</v>
      </c>
      <c r="K159" s="143">
        <f t="shared" si="32"/>
        <v>17</v>
      </c>
      <c r="L159" s="9">
        <f t="shared" si="23"/>
        <v>3.7444933920704844</v>
      </c>
      <c r="M159" s="8" t="str">
        <f t="array" ref="M159">IF(L159&gt;5,"Perlu Sensus",IF(AND(L159&gt;=0,I159&gt;0),"Tetap Deteksi","Belum Deteksi"))</f>
        <v>Tetap Deteksi</v>
      </c>
      <c r="N159" s="11">
        <v>46249</v>
      </c>
      <c r="O159" s="143">
        <v>454</v>
      </c>
      <c r="P159" s="9">
        <f t="array" ref="P159">IFERROR(O159/$G159*100,0)</f>
        <v>14.725916315277326</v>
      </c>
      <c r="Q159" s="143">
        <v>17</v>
      </c>
      <c r="R159" s="9">
        <f t="shared" si="24"/>
        <v>3.7444933920704844</v>
      </c>
      <c r="S159" s="8" t="str">
        <f t="array" ref="S159">IF(R159&gt;5,"Perlu Sensus",IF(AND(R159&gt;=0,O159&gt;0),"Tetap Deteksi","Belum Deteksi"))</f>
        <v>Tetap Deteksi</v>
      </c>
      <c r="T159" s="143">
        <v>26</v>
      </c>
      <c r="U159" s="9">
        <f t="shared" si="25"/>
        <v>5.7268722466960353</v>
      </c>
      <c r="V159" s="11">
        <v>46247</v>
      </c>
      <c r="W159" s="143">
        <v>2123</v>
      </c>
      <c r="X159" s="143">
        <v>105</v>
      </c>
      <c r="Y159" s="9">
        <f t="shared" si="26"/>
        <v>4.9458313707018373</v>
      </c>
      <c r="Z159" s="8" t="str">
        <f t="array" ref="Z159">IF(Y159&gt;5,"Perlu Sensus",IF(AND(Y159&gt;=0,W159&gt;0),"Tetap Deteksi","Belum Deteksi"))</f>
        <v>Tetap Deteksi</v>
      </c>
      <c r="AA159" s="143">
        <v>142</v>
      </c>
      <c r="AB159" s="9">
        <f t="shared" si="27"/>
        <v>6.6886481394253421</v>
      </c>
      <c r="AC159" s="11"/>
      <c r="AD159" s="143"/>
      <c r="AE159" s="9">
        <f t="array" ref="AE159">IFERROR(AD159/$G159*100,0)</f>
        <v>0</v>
      </c>
      <c r="AF159" s="143"/>
      <c r="AG159" s="9">
        <f t="shared" si="28"/>
        <v>0</v>
      </c>
      <c r="AH159" s="8" t="str">
        <f t="array" ref="AH159">IF(AG159&gt;5,"Perlu Sensus",IF(AND(AG159&gt;=0,AD159&gt;0),"Tetap Deteksi","Belum Deteksi"))</f>
        <v>Belum Deteksi</v>
      </c>
      <c r="AI159" s="143"/>
      <c r="AJ159" s="9">
        <f t="shared" si="29"/>
        <v>0</v>
      </c>
      <c r="AK159" s="11"/>
      <c r="AL159" s="143"/>
      <c r="AM159" s="143"/>
      <c r="AN159" s="9">
        <f t="shared" si="30"/>
        <v>0</v>
      </c>
      <c r="AO159" s="8" t="str">
        <f t="array" ref="AO159">IF(AN159&gt;5,"Perlu Sensus",IF(AND(AN159&gt;=0,AL159&gt;0),"Tetap Deteksi","Belum Deteksi"))</f>
        <v>Belum Deteksi</v>
      </c>
      <c r="AP159" s="143"/>
      <c r="AQ159" s="9">
        <f t="shared" si="31"/>
        <v>0</v>
      </c>
    </row>
    <row r="160" spans="1:43" outlineLevel="1" x14ac:dyDescent="0.15">
      <c r="A160" s="8" t="s">
        <v>1821</v>
      </c>
      <c r="B160" s="8"/>
      <c r="C160" s="8" t="s">
        <v>252</v>
      </c>
      <c r="D160" s="8" t="s">
        <v>1885</v>
      </c>
      <c r="E160" s="9">
        <v>40.9</v>
      </c>
      <c r="F160" s="8" t="s">
        <v>1823</v>
      </c>
      <c r="G160" s="10">
        <v>5004</v>
      </c>
      <c r="H160" s="11">
        <f t="array" ref="H160">IF(OR(N160&gt;0,AC160&gt;0),MAX(N160,AC160),MAX(AK160,V160))</f>
        <v>46249</v>
      </c>
      <c r="I160" s="143">
        <f t="array" ref="I160">IF(SUM(O160,AD160)&gt;0,SUM(O160,AD160),SUM(AL160,W160))</f>
        <v>460</v>
      </c>
      <c r="J160" s="9">
        <f t="shared" si="22"/>
        <v>9.1926458832933662</v>
      </c>
      <c r="K160" s="143">
        <f t="shared" si="32"/>
        <v>18</v>
      </c>
      <c r="L160" s="9">
        <f t="shared" si="23"/>
        <v>3.9130434782608701</v>
      </c>
      <c r="M160" s="8" t="str">
        <f t="array" ref="M160">IF(L160&gt;5,"Perlu Sensus",IF(AND(L160&gt;=0,I160&gt;0),"Tetap Deteksi","Belum Deteksi"))</f>
        <v>Tetap Deteksi</v>
      </c>
      <c r="N160" s="11">
        <v>46249</v>
      </c>
      <c r="O160" s="143">
        <v>460</v>
      </c>
      <c r="P160" s="9">
        <f t="array" ref="P160">IFERROR(O160/$G160*100,0)</f>
        <v>9.1926458832933662</v>
      </c>
      <c r="Q160" s="143">
        <v>18</v>
      </c>
      <c r="R160" s="9">
        <f t="shared" si="24"/>
        <v>3.9130434782608701</v>
      </c>
      <c r="S160" s="8" t="str">
        <f t="array" ref="S160">IF(R160&gt;5,"Perlu Sensus",IF(AND(R160&gt;=0,O160&gt;0),"Tetap Deteksi","Belum Deteksi"))</f>
        <v>Tetap Deteksi</v>
      </c>
      <c r="T160" s="143">
        <v>54</v>
      </c>
      <c r="U160" s="9">
        <f t="shared" si="25"/>
        <v>11.739130434782609</v>
      </c>
      <c r="V160" s="11">
        <v>46246</v>
      </c>
      <c r="W160" s="143">
        <v>368</v>
      </c>
      <c r="X160" s="143">
        <v>15</v>
      </c>
      <c r="Y160" s="9">
        <f t="shared" si="26"/>
        <v>4.0760869565217392</v>
      </c>
      <c r="Z160" s="8" t="str">
        <f t="array" ref="Z160">IF(Y160&gt;5,"Perlu Sensus",IF(AND(Y160&gt;=0,W160&gt;0),"Tetap Deteksi","Belum Deteksi"))</f>
        <v>Tetap Deteksi</v>
      </c>
      <c r="AA160" s="143">
        <v>32</v>
      </c>
      <c r="AB160" s="9">
        <f t="shared" si="27"/>
        <v>8.695652173913043</v>
      </c>
      <c r="AC160" s="11"/>
      <c r="AD160" s="143"/>
      <c r="AE160" s="9">
        <f t="array" ref="AE160">IFERROR(AD160/$G160*100,0)</f>
        <v>0</v>
      </c>
      <c r="AF160" s="143"/>
      <c r="AG160" s="9">
        <f t="shared" si="28"/>
        <v>0</v>
      </c>
      <c r="AH160" s="8" t="str">
        <f t="array" ref="AH160">IF(AG160&gt;5,"Perlu Sensus",IF(AND(AG160&gt;=0,AD160&gt;0),"Tetap Deteksi","Belum Deteksi"))</f>
        <v>Belum Deteksi</v>
      </c>
      <c r="AI160" s="143"/>
      <c r="AJ160" s="9">
        <f t="shared" si="29"/>
        <v>0</v>
      </c>
      <c r="AK160" s="11"/>
      <c r="AL160" s="143"/>
      <c r="AM160" s="143"/>
      <c r="AN160" s="9">
        <f t="shared" si="30"/>
        <v>0</v>
      </c>
      <c r="AO160" s="8" t="str">
        <f t="array" ref="AO160">IF(AN160&gt;5,"Perlu Sensus",IF(AND(AN160&gt;=0,AL160&gt;0),"Tetap Deteksi","Belum Deteksi"))</f>
        <v>Belum Deteksi</v>
      </c>
      <c r="AP160" s="143"/>
      <c r="AQ160" s="9">
        <f t="shared" si="31"/>
        <v>0</v>
      </c>
    </row>
    <row r="161" spans="1:43" outlineLevel="1" x14ac:dyDescent="0.15">
      <c r="A161" s="8" t="s">
        <v>1821</v>
      </c>
      <c r="B161" s="8"/>
      <c r="C161" s="8" t="s">
        <v>252</v>
      </c>
      <c r="D161" s="186" t="s">
        <v>1886</v>
      </c>
      <c r="E161" s="9">
        <v>25.17</v>
      </c>
      <c r="F161" s="8" t="s">
        <v>1823</v>
      </c>
      <c r="G161" s="10">
        <v>3535</v>
      </c>
      <c r="H161" s="11">
        <f t="array" ref="H161">IF(OR(N161&gt;0,AC161&gt;0),MAX(N161,AC161),MAX(AK161,V161))</f>
        <v>46245</v>
      </c>
      <c r="I161" s="143">
        <f t="array" ref="I161">IF(SUM(O161,AD161)&gt;0,SUM(O161,AD161),SUM(AL161,W161))</f>
        <v>345</v>
      </c>
      <c r="J161" s="9">
        <f t="shared" si="22"/>
        <v>9.7595473833097586</v>
      </c>
      <c r="K161" s="143">
        <f t="shared" si="32"/>
        <v>6</v>
      </c>
      <c r="L161" s="9">
        <f t="shared" si="23"/>
        <v>1.7391304347826086</v>
      </c>
      <c r="M161" s="8" t="str">
        <f t="array" ref="M161">IF(L161&gt;5,"Perlu Sensus",IF(AND(L161&gt;=0,I161&gt;0),"Tetap Deteksi","Belum Deteksi"))</f>
        <v>Tetap Deteksi</v>
      </c>
      <c r="N161" s="11">
        <v>46245</v>
      </c>
      <c r="O161" s="143">
        <v>345</v>
      </c>
      <c r="P161" s="9">
        <f t="array" ref="P161">IFERROR(O161/$G161*100,0)</f>
        <v>9.7595473833097586</v>
      </c>
      <c r="Q161" s="143">
        <v>6</v>
      </c>
      <c r="R161" s="9">
        <f t="shared" si="24"/>
        <v>1.7391304347826086</v>
      </c>
      <c r="S161" s="8" t="str">
        <f t="array" ref="S161">IF(R161&gt;5,"Perlu Sensus",IF(AND(R161&gt;=0,O161&gt;0),"Tetap Deteksi","Belum Deteksi"))</f>
        <v>Tetap Deteksi</v>
      </c>
      <c r="T161" s="143">
        <v>11</v>
      </c>
      <c r="U161" s="9">
        <f t="shared" si="25"/>
        <v>3.1884057971014492</v>
      </c>
      <c r="V161" s="11">
        <v>46248</v>
      </c>
      <c r="W161" s="143">
        <v>3369</v>
      </c>
      <c r="X161" s="143">
        <v>299</v>
      </c>
      <c r="Y161" s="9">
        <f t="shared" si="26"/>
        <v>8.875037102997922</v>
      </c>
      <c r="Z161" s="8" t="str">
        <f t="array" ref="Z161">IF(Y161&gt;5,"Perlu Sensus",IF(AND(Y161&gt;=0,W161&gt;0),"Tetap Deteksi","Belum Deteksi"))</f>
        <v>Perlu Sensus</v>
      </c>
      <c r="AA161" s="143">
        <v>647</v>
      </c>
      <c r="AB161" s="9">
        <f t="shared" si="27"/>
        <v>19.204511724547345</v>
      </c>
      <c r="AC161" s="11"/>
      <c r="AD161" s="143"/>
      <c r="AE161" s="9">
        <f t="array" ref="AE161">IFERROR(AD161/$G161*100,0)</f>
        <v>0</v>
      </c>
      <c r="AF161" s="143"/>
      <c r="AG161" s="9">
        <f t="shared" si="28"/>
        <v>0</v>
      </c>
      <c r="AH161" s="8" t="str">
        <f t="array" ref="AH161">IF(AG161&gt;5,"Perlu Sensus",IF(AND(AG161&gt;=0,AD161&gt;0),"Tetap Deteksi","Belum Deteksi"))</f>
        <v>Belum Deteksi</v>
      </c>
      <c r="AI161" s="143"/>
      <c r="AJ161" s="9">
        <f t="shared" si="29"/>
        <v>0</v>
      </c>
      <c r="AK161" s="11"/>
      <c r="AL161" s="143"/>
      <c r="AM161" s="143"/>
      <c r="AN161" s="9">
        <f t="shared" si="30"/>
        <v>0</v>
      </c>
      <c r="AO161" s="8" t="str">
        <f t="array" ref="AO161">IF(AN161&gt;5,"Perlu Sensus",IF(AND(AN161&gt;=0,AL161&gt;0),"Tetap Deteksi","Belum Deteksi"))</f>
        <v>Belum Deteksi</v>
      </c>
      <c r="AP161" s="143"/>
      <c r="AQ161" s="9">
        <f t="shared" si="31"/>
        <v>0</v>
      </c>
    </row>
    <row r="162" spans="1:43" outlineLevel="1" x14ac:dyDescent="0.15">
      <c r="A162" s="8" t="s">
        <v>1821</v>
      </c>
      <c r="B162" s="8"/>
      <c r="C162" s="8" t="s">
        <v>252</v>
      </c>
      <c r="D162" s="181" t="s">
        <v>1887</v>
      </c>
      <c r="E162" s="9">
        <v>24.92</v>
      </c>
      <c r="F162" s="8" t="s">
        <v>1823</v>
      </c>
      <c r="G162" s="10">
        <v>3607</v>
      </c>
      <c r="H162" s="11">
        <f t="array" ref="H162">IF(OR(N162&gt;0,AC162&gt;0),MAX(N162,AC162),MAX(AK162,V162))</f>
        <v>46245</v>
      </c>
      <c r="I162" s="143">
        <f t="array" ref="I162">IF(SUM(O162,AD162)&gt;0,SUM(O162,AD162),SUM(AL162,W162))</f>
        <v>348</v>
      </c>
      <c r="J162" s="9">
        <f t="shared" si="22"/>
        <v>9.6479068477959515</v>
      </c>
      <c r="K162" s="143">
        <f t="shared" si="32"/>
        <v>7</v>
      </c>
      <c r="L162" s="9">
        <f t="shared" si="23"/>
        <v>2.0114942528735633</v>
      </c>
      <c r="M162" s="8" t="str">
        <f t="array" ref="M162">IF(L162&gt;5,"Perlu Sensus",IF(AND(L162&gt;=0,I162&gt;0),"Tetap Deteksi","Belum Deteksi"))</f>
        <v>Tetap Deteksi</v>
      </c>
      <c r="N162" s="11">
        <v>46245</v>
      </c>
      <c r="O162" s="143">
        <v>348</v>
      </c>
      <c r="P162" s="9">
        <f t="array" ref="P162">IFERROR(O162/$G162*100,0)</f>
        <v>9.6479068477959515</v>
      </c>
      <c r="Q162" s="143">
        <v>7</v>
      </c>
      <c r="R162" s="9">
        <f t="shared" si="24"/>
        <v>2.0114942528735633</v>
      </c>
      <c r="S162" s="8" t="str">
        <f t="array" ref="S162">IF(R162&gt;5,"Perlu Sensus",IF(AND(R162&gt;=0,O162&gt;0),"Tetap Deteksi","Belum Deteksi"))</f>
        <v>Tetap Deteksi</v>
      </c>
      <c r="T162" s="143">
        <v>14</v>
      </c>
      <c r="U162" s="9">
        <f t="shared" si="25"/>
        <v>4.0229885057471266</v>
      </c>
      <c r="V162" s="11">
        <v>46240</v>
      </c>
      <c r="W162" s="143">
        <v>1360</v>
      </c>
      <c r="X162" s="143">
        <v>104</v>
      </c>
      <c r="Y162" s="9">
        <f t="shared" si="26"/>
        <v>7.6470588235294121</v>
      </c>
      <c r="Z162" s="8" t="str">
        <f t="array" ref="Z162">IF(Y162&gt;5,"Perlu Sensus",IF(AND(Y162&gt;=0,W162&gt;0),"Tetap Deteksi","Belum Deteksi"))</f>
        <v>Perlu Sensus</v>
      </c>
      <c r="AA162" s="143">
        <v>271</v>
      </c>
      <c r="AB162" s="9">
        <f t="shared" si="27"/>
        <v>19.926470588235297</v>
      </c>
      <c r="AC162" s="11"/>
      <c r="AD162" s="143"/>
      <c r="AE162" s="9">
        <f t="array" ref="AE162">IFERROR(AD162/$G162*100,0)</f>
        <v>0</v>
      </c>
      <c r="AF162" s="143"/>
      <c r="AG162" s="9">
        <f t="shared" si="28"/>
        <v>0</v>
      </c>
      <c r="AH162" s="8" t="str">
        <f t="array" ref="AH162">IF(AG162&gt;5,"Perlu Sensus",IF(AND(AG162&gt;=0,AD162&gt;0),"Tetap Deteksi","Belum Deteksi"))</f>
        <v>Belum Deteksi</v>
      </c>
      <c r="AI162" s="143"/>
      <c r="AJ162" s="9">
        <f t="shared" si="29"/>
        <v>0</v>
      </c>
      <c r="AK162" s="11"/>
      <c r="AL162" s="143"/>
      <c r="AM162" s="143"/>
      <c r="AN162" s="9">
        <f t="shared" si="30"/>
        <v>0</v>
      </c>
      <c r="AO162" s="8" t="str">
        <f t="array" ref="AO162">IF(AN162&gt;5,"Perlu Sensus",IF(AND(AN162&gt;=0,AL162&gt;0),"Tetap Deteksi","Belum Deteksi"))</f>
        <v>Belum Deteksi</v>
      </c>
      <c r="AP162" s="143"/>
      <c r="AQ162" s="9">
        <f t="shared" si="31"/>
        <v>0</v>
      </c>
    </row>
    <row r="163" spans="1:43" outlineLevel="1" x14ac:dyDescent="0.15">
      <c r="A163" s="8" t="s">
        <v>1821</v>
      </c>
      <c r="B163" s="8"/>
      <c r="C163" s="8" t="s">
        <v>252</v>
      </c>
      <c r="D163" s="8" t="s">
        <v>1888</v>
      </c>
      <c r="E163" s="9">
        <v>24.330000000000002</v>
      </c>
      <c r="F163" s="8" t="s">
        <v>1823</v>
      </c>
      <c r="G163" s="10">
        <v>3670.9999999999995</v>
      </c>
      <c r="H163" s="11">
        <f t="array" ref="H163">IF(OR(N163&gt;0,AC163&gt;0),MAX(N163,AC163),MAX(AK163,V163))</f>
        <v>46245</v>
      </c>
      <c r="I163" s="143">
        <f t="array" ref="I163">IF(SUM(O163,AD163)&gt;0,SUM(O163,AD163),SUM(AL163,W163))</f>
        <v>519</v>
      </c>
      <c r="J163" s="9">
        <f t="shared" si="22"/>
        <v>14.137837101607193</v>
      </c>
      <c r="K163" s="143">
        <f t="shared" si="32"/>
        <v>10</v>
      </c>
      <c r="L163" s="9">
        <f t="shared" si="23"/>
        <v>1.9267822736030826</v>
      </c>
      <c r="M163" s="8" t="str">
        <f t="array" ref="M163">IF(L163&gt;5,"Perlu Sensus",IF(AND(L163&gt;=0,I163&gt;0),"Tetap Deteksi","Belum Deteksi"))</f>
        <v>Tetap Deteksi</v>
      </c>
      <c r="N163" s="11">
        <v>46245</v>
      </c>
      <c r="O163" s="143">
        <v>519</v>
      </c>
      <c r="P163" s="9">
        <f t="array" ref="P163">IFERROR(O163/$G163*100,0)</f>
        <v>14.137837101607193</v>
      </c>
      <c r="Q163" s="143">
        <v>10</v>
      </c>
      <c r="R163" s="9">
        <f t="shared" si="24"/>
        <v>1.9267822736030826</v>
      </c>
      <c r="S163" s="8" t="str">
        <f t="array" ref="S163">IF(R163&gt;5,"Perlu Sensus",IF(AND(R163&gt;=0,O163&gt;0),"Tetap Deteksi","Belum Deteksi"))</f>
        <v>Tetap Deteksi</v>
      </c>
      <c r="T163" s="143">
        <v>17</v>
      </c>
      <c r="U163" s="9">
        <f t="shared" si="25"/>
        <v>3.2755298651252409</v>
      </c>
      <c r="V163" s="11">
        <v>0</v>
      </c>
      <c r="W163" s="143">
        <v>0</v>
      </c>
      <c r="X163" s="143">
        <v>0</v>
      </c>
      <c r="Y163" s="9">
        <f t="shared" si="26"/>
        <v>0</v>
      </c>
      <c r="Z163" s="8" t="str">
        <f t="array" ref="Z163">IF(Y163&gt;5,"Perlu Sensus",IF(AND(Y163&gt;=0,W163&gt;0),"Tetap Deteksi","Belum Deteksi"))</f>
        <v>Belum Deteksi</v>
      </c>
      <c r="AA163" s="143">
        <v>0</v>
      </c>
      <c r="AB163" s="9">
        <f t="shared" si="27"/>
        <v>0</v>
      </c>
      <c r="AC163" s="11"/>
      <c r="AD163" s="143"/>
      <c r="AE163" s="9">
        <f t="array" ref="AE163">IFERROR(AD163/$G163*100,0)</f>
        <v>0</v>
      </c>
      <c r="AF163" s="143"/>
      <c r="AG163" s="9">
        <f t="shared" si="28"/>
        <v>0</v>
      </c>
      <c r="AH163" s="8" t="str">
        <f t="array" ref="AH163">IF(AG163&gt;5,"Perlu Sensus",IF(AND(AG163&gt;=0,AD163&gt;0),"Tetap Deteksi","Belum Deteksi"))</f>
        <v>Belum Deteksi</v>
      </c>
      <c r="AI163" s="143"/>
      <c r="AJ163" s="9">
        <f t="shared" si="29"/>
        <v>0</v>
      </c>
      <c r="AK163" s="11"/>
      <c r="AL163" s="143"/>
      <c r="AM163" s="143"/>
      <c r="AN163" s="9">
        <f t="shared" si="30"/>
        <v>0</v>
      </c>
      <c r="AO163" s="8" t="str">
        <f t="array" ref="AO163">IF(AN163&gt;5,"Perlu Sensus",IF(AND(AN163&gt;=0,AL163&gt;0),"Tetap Deteksi","Belum Deteksi"))</f>
        <v>Belum Deteksi</v>
      </c>
      <c r="AP163" s="143"/>
      <c r="AQ163" s="9">
        <f t="shared" si="31"/>
        <v>0</v>
      </c>
    </row>
    <row r="164" spans="1:43" outlineLevel="1" x14ac:dyDescent="0.15">
      <c r="A164" s="8" t="s">
        <v>1821</v>
      </c>
      <c r="B164" s="8"/>
      <c r="C164" s="8" t="s">
        <v>252</v>
      </c>
      <c r="D164" s="8" t="s">
        <v>1889</v>
      </c>
      <c r="E164" s="9">
        <v>37.480000000000004</v>
      </c>
      <c r="F164" s="8" t="s">
        <v>1740</v>
      </c>
      <c r="G164" s="10">
        <v>5300</v>
      </c>
      <c r="H164" s="11">
        <f t="array" ref="H164">IF(OR(N164&gt;0,AC164&gt;0),MAX(N164,AC164),MAX(AK164,V164))</f>
        <v>46247</v>
      </c>
      <c r="I164" s="143">
        <f t="array" ref="I164">IF(SUM(O164,AD164)&gt;0,SUM(O164,AD164),SUM(AL164,W164))</f>
        <v>516</v>
      </c>
      <c r="J164" s="9">
        <f t="shared" si="22"/>
        <v>9.7358490566037741</v>
      </c>
      <c r="K164" s="143">
        <f t="shared" si="32"/>
        <v>11</v>
      </c>
      <c r="L164" s="9">
        <f t="shared" si="23"/>
        <v>2.1317829457364339</v>
      </c>
      <c r="M164" s="8" t="str">
        <f t="array" ref="M164">IF(L164&gt;5,"Perlu Sensus",IF(AND(L164&gt;=0,I164&gt;0),"Tetap Deteksi","Belum Deteksi"))</f>
        <v>Tetap Deteksi</v>
      </c>
      <c r="N164" s="11">
        <v>46247</v>
      </c>
      <c r="O164" s="143">
        <v>516</v>
      </c>
      <c r="P164" s="9">
        <f t="array" ref="P164">IFERROR(O164/$G164*100,0)</f>
        <v>9.7358490566037741</v>
      </c>
      <c r="Q164" s="143">
        <v>11</v>
      </c>
      <c r="R164" s="9">
        <f t="shared" si="24"/>
        <v>2.1317829457364339</v>
      </c>
      <c r="S164" s="8" t="str">
        <f t="array" ref="S164">IF(R164&gt;5,"Perlu Sensus",IF(AND(R164&gt;=0,O164&gt;0),"Tetap Deteksi","Belum Deteksi"))</f>
        <v>Tetap Deteksi</v>
      </c>
      <c r="T164" s="143">
        <v>18</v>
      </c>
      <c r="U164" s="9">
        <f t="shared" si="25"/>
        <v>3.4883720930232558</v>
      </c>
      <c r="V164" s="11">
        <v>46237</v>
      </c>
      <c r="W164" s="143">
        <v>2477</v>
      </c>
      <c r="X164" s="143">
        <v>271</v>
      </c>
      <c r="Y164" s="9">
        <f t="shared" si="26"/>
        <v>10.940654016955994</v>
      </c>
      <c r="Z164" s="8" t="str">
        <f t="array" ref="Z164">IF(Y164&gt;5,"Perlu Sensus",IF(AND(Y164&gt;=0,W164&gt;0),"Tetap Deteksi","Belum Deteksi"))</f>
        <v>Perlu Sensus</v>
      </c>
      <c r="AA164" s="143">
        <v>545</v>
      </c>
      <c r="AB164" s="9">
        <f t="shared" si="27"/>
        <v>22.002422285022206</v>
      </c>
      <c r="AC164" s="11"/>
      <c r="AD164" s="143"/>
      <c r="AE164" s="9">
        <f t="array" ref="AE164">IFERROR(AD164/$G164*100,0)</f>
        <v>0</v>
      </c>
      <c r="AF164" s="143"/>
      <c r="AG164" s="9">
        <f t="shared" si="28"/>
        <v>0</v>
      </c>
      <c r="AH164" s="8" t="str">
        <f t="array" ref="AH164">IF(AG164&gt;5,"Perlu Sensus",IF(AND(AG164&gt;=0,AD164&gt;0),"Tetap Deteksi","Belum Deteksi"))</f>
        <v>Belum Deteksi</v>
      </c>
      <c r="AI164" s="143"/>
      <c r="AJ164" s="9">
        <f t="shared" si="29"/>
        <v>0</v>
      </c>
      <c r="AK164" s="11"/>
      <c r="AL164" s="143"/>
      <c r="AM164" s="143"/>
      <c r="AN164" s="9">
        <f t="shared" si="30"/>
        <v>0</v>
      </c>
      <c r="AO164" s="8" t="str">
        <f t="array" ref="AO164">IF(AN164&gt;5,"Perlu Sensus",IF(AND(AN164&gt;=0,AL164&gt;0),"Tetap Deteksi","Belum Deteksi"))</f>
        <v>Belum Deteksi</v>
      </c>
      <c r="AP164" s="143"/>
      <c r="AQ164" s="9">
        <f t="shared" si="31"/>
        <v>0</v>
      </c>
    </row>
    <row r="165" spans="1:43" outlineLevel="1" x14ac:dyDescent="0.15">
      <c r="A165" s="8" t="s">
        <v>1821</v>
      </c>
      <c r="B165" s="8"/>
      <c r="C165" s="8" t="s">
        <v>252</v>
      </c>
      <c r="D165" s="8" t="s">
        <v>1890</v>
      </c>
      <c r="E165" s="9">
        <v>24.24</v>
      </c>
      <c r="F165" s="8" t="s">
        <v>1823</v>
      </c>
      <c r="G165" s="10">
        <v>2990</v>
      </c>
      <c r="H165" s="11">
        <f t="array" ref="H165">IF(OR(N165&gt;0,AC165&gt;0),MAX(N165,AC165),MAX(AK165,V165))</f>
        <v>46249</v>
      </c>
      <c r="I165" s="143">
        <f t="array" ref="I165">IF(SUM(O165,AD165)&gt;0,SUM(O165,AD165),SUM(AL165,W165))</f>
        <v>510</v>
      </c>
      <c r="J165" s="9">
        <f t="shared" si="22"/>
        <v>17.056856187290968</v>
      </c>
      <c r="K165" s="143">
        <f t="shared" si="32"/>
        <v>11</v>
      </c>
      <c r="L165" s="9">
        <f t="shared" si="23"/>
        <v>2.1568627450980391</v>
      </c>
      <c r="M165" s="8" t="str">
        <f t="array" ref="M165">IF(L165&gt;5,"Perlu Sensus",IF(AND(L165&gt;=0,I165&gt;0),"Tetap Deteksi","Belum Deteksi"))</f>
        <v>Tetap Deteksi</v>
      </c>
      <c r="N165" s="11">
        <v>46249</v>
      </c>
      <c r="O165" s="143">
        <v>510</v>
      </c>
      <c r="P165" s="9">
        <f t="array" ref="P165">IFERROR(O165/$G165*100,0)</f>
        <v>17.056856187290968</v>
      </c>
      <c r="Q165" s="143">
        <v>11</v>
      </c>
      <c r="R165" s="9">
        <f t="shared" si="24"/>
        <v>2.1568627450980391</v>
      </c>
      <c r="S165" s="8" t="str">
        <f t="array" ref="S165">IF(R165&gt;5,"Perlu Sensus",IF(AND(R165&gt;=0,O165&gt;0),"Tetap Deteksi","Belum Deteksi"))</f>
        <v>Tetap Deteksi</v>
      </c>
      <c r="T165" s="143">
        <v>17</v>
      </c>
      <c r="U165" s="9">
        <f t="shared" si="25"/>
        <v>3.3333333333333335</v>
      </c>
      <c r="V165" s="11">
        <v>46235</v>
      </c>
      <c r="W165" s="143">
        <v>1152</v>
      </c>
      <c r="X165" s="143">
        <v>123</v>
      </c>
      <c r="Y165" s="9">
        <f t="shared" si="26"/>
        <v>10.677083333333332</v>
      </c>
      <c r="Z165" s="8" t="str">
        <f t="array" ref="Z165">IF(Y165&gt;5,"Perlu Sensus",IF(AND(Y165&gt;=0,W165&gt;0),"Tetap Deteksi","Belum Deteksi"))</f>
        <v>Perlu Sensus</v>
      </c>
      <c r="AA165" s="143">
        <v>414</v>
      </c>
      <c r="AB165" s="9">
        <f t="shared" si="27"/>
        <v>35.9375</v>
      </c>
      <c r="AC165" s="11"/>
      <c r="AD165" s="143"/>
      <c r="AE165" s="9">
        <f t="array" ref="AE165">IFERROR(AD165/$G165*100,0)</f>
        <v>0</v>
      </c>
      <c r="AF165" s="143"/>
      <c r="AG165" s="9">
        <f t="shared" si="28"/>
        <v>0</v>
      </c>
      <c r="AH165" s="8" t="str">
        <f t="array" ref="AH165">IF(AG165&gt;5,"Perlu Sensus",IF(AND(AG165&gt;=0,AD165&gt;0),"Tetap Deteksi","Belum Deteksi"))</f>
        <v>Belum Deteksi</v>
      </c>
      <c r="AI165" s="143"/>
      <c r="AJ165" s="9">
        <f t="shared" si="29"/>
        <v>0</v>
      </c>
      <c r="AK165" s="11"/>
      <c r="AL165" s="143"/>
      <c r="AM165" s="143"/>
      <c r="AN165" s="9">
        <f t="shared" si="30"/>
        <v>0</v>
      </c>
      <c r="AO165" s="8" t="str">
        <f t="array" ref="AO165">IF(AN165&gt;5,"Perlu Sensus",IF(AND(AN165&gt;=0,AL165&gt;0),"Tetap Deteksi","Belum Deteksi"))</f>
        <v>Belum Deteksi</v>
      </c>
      <c r="AP165" s="143"/>
      <c r="AQ165" s="9">
        <f t="shared" si="31"/>
        <v>0</v>
      </c>
    </row>
    <row r="166" spans="1:43" outlineLevel="1" x14ac:dyDescent="0.15">
      <c r="A166" s="8" t="s">
        <v>1821</v>
      </c>
      <c r="B166" s="8"/>
      <c r="C166" s="8" t="s">
        <v>252</v>
      </c>
      <c r="D166" s="8" t="s">
        <v>1891</v>
      </c>
      <c r="E166" s="9">
        <v>31.18</v>
      </c>
      <c r="F166" s="8" t="s">
        <v>1823</v>
      </c>
      <c r="G166" s="10">
        <v>4650</v>
      </c>
      <c r="H166" s="11">
        <f t="array" ref="H166">IF(OR(N166&gt;0,AC166&gt;0),MAX(N166,AC166),MAX(AK166,V166))</f>
        <v>46248</v>
      </c>
      <c r="I166" s="143">
        <f t="array" ref="I166">IF(SUM(O166,AD166)&gt;0,SUM(O166,AD166),SUM(AL166,W166))</f>
        <v>684</v>
      </c>
      <c r="J166" s="9">
        <f t="shared" si="22"/>
        <v>14.709677419354838</v>
      </c>
      <c r="K166" s="143">
        <f t="shared" si="32"/>
        <v>12</v>
      </c>
      <c r="L166" s="9">
        <f t="shared" si="23"/>
        <v>1.7543859649122806</v>
      </c>
      <c r="M166" s="8" t="str">
        <f t="array" ref="M166">IF(L166&gt;5,"Perlu Sensus",IF(AND(L166&gt;=0,I166&gt;0),"Tetap Deteksi","Belum Deteksi"))</f>
        <v>Tetap Deteksi</v>
      </c>
      <c r="N166" s="11">
        <v>46248</v>
      </c>
      <c r="O166" s="143">
        <v>684</v>
      </c>
      <c r="P166" s="9">
        <f t="array" ref="P166">IFERROR(O166/$G166*100,0)</f>
        <v>14.709677419354838</v>
      </c>
      <c r="Q166" s="143">
        <v>12</v>
      </c>
      <c r="R166" s="9">
        <f t="shared" si="24"/>
        <v>1.7543859649122806</v>
      </c>
      <c r="S166" s="8" t="str">
        <f t="array" ref="S166">IF(R166&gt;5,"Perlu Sensus",IF(AND(R166&gt;=0,O166&gt;0),"Tetap Deteksi","Belum Deteksi"))</f>
        <v>Tetap Deteksi</v>
      </c>
      <c r="T166" s="143">
        <v>24</v>
      </c>
      <c r="U166" s="9">
        <f t="shared" si="25"/>
        <v>3.5087719298245612</v>
      </c>
      <c r="V166" s="11">
        <v>46242</v>
      </c>
      <c r="W166" s="143">
        <v>844</v>
      </c>
      <c r="X166" s="143">
        <v>42</v>
      </c>
      <c r="Y166" s="9">
        <f t="shared" si="26"/>
        <v>4.9763033175355451</v>
      </c>
      <c r="Z166" s="8" t="str">
        <f t="array" ref="Z166">IF(Y166&gt;5,"Perlu Sensus",IF(AND(Y166&gt;=0,W166&gt;0),"Tetap Deteksi","Belum Deteksi"))</f>
        <v>Tetap Deteksi</v>
      </c>
      <c r="AA166" s="143">
        <v>67</v>
      </c>
      <c r="AB166" s="9">
        <f t="shared" si="27"/>
        <v>7.9383886255924168</v>
      </c>
      <c r="AC166" s="11"/>
      <c r="AD166" s="143"/>
      <c r="AE166" s="9">
        <f t="array" ref="AE166">IFERROR(AD166/$G166*100,0)</f>
        <v>0</v>
      </c>
      <c r="AF166" s="143"/>
      <c r="AG166" s="9">
        <f t="shared" si="28"/>
        <v>0</v>
      </c>
      <c r="AH166" s="8" t="str">
        <f t="array" ref="AH166">IF(AG166&gt;5,"Perlu Sensus",IF(AND(AG166&gt;=0,AD166&gt;0),"Tetap Deteksi","Belum Deteksi"))</f>
        <v>Belum Deteksi</v>
      </c>
      <c r="AI166" s="143"/>
      <c r="AJ166" s="9">
        <f t="shared" si="29"/>
        <v>0</v>
      </c>
      <c r="AK166" s="11"/>
      <c r="AL166" s="143"/>
      <c r="AM166" s="143"/>
      <c r="AN166" s="9">
        <f t="shared" si="30"/>
        <v>0</v>
      </c>
      <c r="AO166" s="8" t="str">
        <f t="array" ref="AO166">IF(AN166&gt;5,"Perlu Sensus",IF(AND(AN166&gt;=0,AL166&gt;0),"Tetap Deteksi","Belum Deteksi"))</f>
        <v>Belum Deteksi</v>
      </c>
      <c r="AP166" s="143"/>
      <c r="AQ166" s="9">
        <f t="shared" si="31"/>
        <v>0</v>
      </c>
    </row>
    <row r="167" spans="1:43" outlineLevel="1" x14ac:dyDescent="0.15">
      <c r="A167" s="8" t="s">
        <v>1821</v>
      </c>
      <c r="B167" s="8"/>
      <c r="C167" s="8" t="s">
        <v>252</v>
      </c>
      <c r="D167" s="8" t="s">
        <v>1892</v>
      </c>
      <c r="E167" s="9">
        <v>27.4</v>
      </c>
      <c r="F167" s="8" t="s">
        <v>1823</v>
      </c>
      <c r="G167" s="10">
        <v>3489</v>
      </c>
      <c r="H167" s="11">
        <f t="array" ref="H167">IF(OR(N167&gt;0,AC167&gt;0),MAX(N167,AC167),MAX(AK167,V167))</f>
        <v>46249</v>
      </c>
      <c r="I167" s="143">
        <f t="array" ref="I167">IF(SUM(O167,AD167)&gt;0,SUM(O167,AD167),SUM(AL167,W167))</f>
        <v>342</v>
      </c>
      <c r="J167" s="9">
        <f t="shared" si="22"/>
        <v>9.8022355975924338</v>
      </c>
      <c r="K167" s="143">
        <f t="shared" si="32"/>
        <v>10</v>
      </c>
      <c r="L167" s="9">
        <f t="shared" si="23"/>
        <v>2.9239766081871341</v>
      </c>
      <c r="M167" s="8" t="str">
        <f t="array" ref="M167">IF(L167&gt;5,"Perlu Sensus",IF(AND(L167&gt;=0,I167&gt;0),"Tetap Deteksi","Belum Deteksi"))</f>
        <v>Tetap Deteksi</v>
      </c>
      <c r="N167" s="11">
        <v>46249</v>
      </c>
      <c r="O167" s="143">
        <v>342</v>
      </c>
      <c r="P167" s="9">
        <f t="array" ref="P167">IFERROR(O167/$G167*100,0)</f>
        <v>9.8022355975924338</v>
      </c>
      <c r="Q167" s="143">
        <v>10</v>
      </c>
      <c r="R167" s="9">
        <f t="shared" si="24"/>
        <v>2.9239766081871341</v>
      </c>
      <c r="S167" s="8" t="str">
        <f t="array" ref="S167">IF(R167&gt;5,"Perlu Sensus",IF(AND(R167&gt;=0,O167&gt;0),"Tetap Deteksi","Belum Deteksi"))</f>
        <v>Tetap Deteksi</v>
      </c>
      <c r="T167" s="143">
        <v>21</v>
      </c>
      <c r="U167" s="9">
        <f t="shared" si="25"/>
        <v>6.140350877192982</v>
      </c>
      <c r="V167" s="11">
        <v>46242</v>
      </c>
      <c r="W167" s="143">
        <v>2148</v>
      </c>
      <c r="X167" s="143">
        <v>136</v>
      </c>
      <c r="Y167" s="9">
        <f t="shared" si="26"/>
        <v>6.3314711359404097</v>
      </c>
      <c r="Z167" s="8" t="str">
        <f t="array" ref="Z167">IF(Y167&gt;5,"Perlu Sensus",IF(AND(Y167&gt;=0,W167&gt;0),"Tetap Deteksi","Belum Deteksi"))</f>
        <v>Perlu Sensus</v>
      </c>
      <c r="AA167" s="143">
        <v>367</v>
      </c>
      <c r="AB167" s="9">
        <f t="shared" si="27"/>
        <v>17.085661080074487</v>
      </c>
      <c r="AC167" s="11"/>
      <c r="AD167" s="143"/>
      <c r="AE167" s="9">
        <f t="array" ref="AE167">IFERROR(AD167/$G167*100,0)</f>
        <v>0</v>
      </c>
      <c r="AF167" s="143"/>
      <c r="AG167" s="9">
        <f t="shared" si="28"/>
        <v>0</v>
      </c>
      <c r="AH167" s="8" t="str">
        <f t="array" ref="AH167">IF(AG167&gt;5,"Perlu Sensus",IF(AND(AG167&gt;=0,AD167&gt;0),"Tetap Deteksi","Belum Deteksi"))</f>
        <v>Belum Deteksi</v>
      </c>
      <c r="AI167" s="143"/>
      <c r="AJ167" s="9">
        <f t="shared" si="29"/>
        <v>0</v>
      </c>
      <c r="AK167" s="11"/>
      <c r="AL167" s="143"/>
      <c r="AM167" s="143"/>
      <c r="AN167" s="9">
        <f t="shared" si="30"/>
        <v>0</v>
      </c>
      <c r="AO167" s="8" t="str">
        <f t="array" ref="AO167">IF(AN167&gt;5,"Perlu Sensus",IF(AND(AN167&gt;=0,AL167&gt;0),"Tetap Deteksi","Belum Deteksi"))</f>
        <v>Belum Deteksi</v>
      </c>
      <c r="AP167" s="143"/>
      <c r="AQ167" s="9">
        <f t="shared" si="31"/>
        <v>0</v>
      </c>
    </row>
    <row r="168" spans="1:43" outlineLevel="1" x14ac:dyDescent="0.15">
      <c r="A168" s="8" t="s">
        <v>1821</v>
      </c>
      <c r="B168" s="8"/>
      <c r="C168" s="8" t="s">
        <v>252</v>
      </c>
      <c r="D168" s="8" t="s">
        <v>1893</v>
      </c>
      <c r="E168" s="9">
        <v>30.46</v>
      </c>
      <c r="F168" s="8" t="s">
        <v>1823</v>
      </c>
      <c r="G168" s="10">
        <v>4421</v>
      </c>
      <c r="H168" s="11">
        <f t="array" ref="H168">IF(OR(N168&gt;0,AC168&gt;0),MAX(N168,AC168),MAX(AK168,V168))</f>
        <v>46249</v>
      </c>
      <c r="I168" s="143">
        <f t="array" ref="I168">IF(SUM(O168,AD168)&gt;0,SUM(O168,AD168),SUM(AL168,W168))</f>
        <v>458</v>
      </c>
      <c r="J168" s="9">
        <f t="shared" si="22"/>
        <v>10.359647138656412</v>
      </c>
      <c r="K168" s="143">
        <f t="shared" si="32"/>
        <v>17</v>
      </c>
      <c r="L168" s="9">
        <f t="shared" si="23"/>
        <v>3.7117903930131009</v>
      </c>
      <c r="M168" s="8" t="str">
        <f t="array" ref="M168">IF(L168&gt;5,"Perlu Sensus",IF(AND(L168&gt;=0,I168&gt;0),"Tetap Deteksi","Belum Deteksi"))</f>
        <v>Tetap Deteksi</v>
      </c>
      <c r="N168" s="11">
        <v>46249</v>
      </c>
      <c r="O168" s="143">
        <v>458</v>
      </c>
      <c r="P168" s="9">
        <f t="array" ref="P168">IFERROR(O168/$G168*100,0)</f>
        <v>10.359647138656412</v>
      </c>
      <c r="Q168" s="143">
        <v>17</v>
      </c>
      <c r="R168" s="9">
        <f t="shared" si="24"/>
        <v>3.7117903930131009</v>
      </c>
      <c r="S168" s="8" t="str">
        <f t="array" ref="S168">IF(R168&gt;5,"Perlu Sensus",IF(AND(R168&gt;=0,O168&gt;0),"Tetap Deteksi","Belum Deteksi"))</f>
        <v>Tetap Deteksi</v>
      </c>
      <c r="T168" s="143">
        <v>27</v>
      </c>
      <c r="U168" s="9">
        <f t="shared" si="25"/>
        <v>5.8951965065502181</v>
      </c>
      <c r="V168" s="11">
        <v>46242</v>
      </c>
      <c r="W168" s="143">
        <v>1537</v>
      </c>
      <c r="X168" s="143">
        <v>117</v>
      </c>
      <c r="Y168" s="9">
        <f t="shared" si="26"/>
        <v>7.6122316200390365</v>
      </c>
      <c r="Z168" s="8" t="str">
        <f t="array" ref="Z168">IF(Y168&gt;5,"Perlu Sensus",IF(AND(Y168&gt;=0,W168&gt;0),"Tetap Deteksi","Belum Deteksi"))</f>
        <v>Perlu Sensus</v>
      </c>
      <c r="AA168" s="143">
        <v>227</v>
      </c>
      <c r="AB168" s="9">
        <f t="shared" si="27"/>
        <v>14.769030579050096</v>
      </c>
      <c r="AC168" s="11"/>
      <c r="AD168" s="143"/>
      <c r="AE168" s="9">
        <f t="array" ref="AE168">IFERROR(AD168/$G168*100,0)</f>
        <v>0</v>
      </c>
      <c r="AF168" s="143"/>
      <c r="AG168" s="9">
        <f t="shared" si="28"/>
        <v>0</v>
      </c>
      <c r="AH168" s="8" t="str">
        <f t="array" ref="AH168">IF(AG168&gt;5,"Perlu Sensus",IF(AND(AG168&gt;=0,AD168&gt;0),"Tetap Deteksi","Belum Deteksi"))</f>
        <v>Belum Deteksi</v>
      </c>
      <c r="AI168" s="143"/>
      <c r="AJ168" s="9">
        <f t="shared" si="29"/>
        <v>0</v>
      </c>
      <c r="AK168" s="11"/>
      <c r="AL168" s="143"/>
      <c r="AM168" s="143"/>
      <c r="AN168" s="9">
        <f t="shared" si="30"/>
        <v>0</v>
      </c>
      <c r="AO168" s="8" t="str">
        <f t="array" ref="AO168">IF(AN168&gt;5,"Perlu Sensus",IF(AND(AN168&gt;=0,AL168&gt;0),"Tetap Deteksi","Belum Deteksi"))</f>
        <v>Belum Deteksi</v>
      </c>
      <c r="AP168" s="143"/>
      <c r="AQ168" s="9">
        <f t="shared" si="31"/>
        <v>0</v>
      </c>
    </row>
    <row r="169" spans="1:43" outlineLevel="1" x14ac:dyDescent="0.15">
      <c r="A169" s="8" t="s">
        <v>1821</v>
      </c>
      <c r="B169" s="8"/>
      <c r="C169" s="8" t="s">
        <v>252</v>
      </c>
      <c r="D169" s="8" t="s">
        <v>1894</v>
      </c>
      <c r="E169" s="9">
        <v>31.57</v>
      </c>
      <c r="F169" s="8" t="s">
        <v>1823</v>
      </c>
      <c r="G169" s="10">
        <v>4161</v>
      </c>
      <c r="H169" s="11">
        <f t="array" ref="H169">IF(OR(N169&gt;0,AC169&gt;0),MAX(N169,AC169),MAX(AK169,V169))</f>
        <v>46246</v>
      </c>
      <c r="I169" s="143">
        <f t="array" ref="I169">IF(SUM(O169,AD169)&gt;0,SUM(O169,AD169),SUM(AL169,W169))</f>
        <v>338</v>
      </c>
      <c r="J169" s="9">
        <f t="shared" si="22"/>
        <v>8.1230473443883682</v>
      </c>
      <c r="K169" s="143">
        <f t="shared" si="32"/>
        <v>11</v>
      </c>
      <c r="L169" s="9">
        <f t="shared" si="23"/>
        <v>3.2544378698224854</v>
      </c>
      <c r="M169" s="8" t="str">
        <f t="array" ref="M169">IF(L169&gt;5,"Perlu Sensus",IF(AND(L169&gt;=0,I169&gt;0),"Tetap Deteksi","Belum Deteksi"))</f>
        <v>Tetap Deteksi</v>
      </c>
      <c r="N169" s="11">
        <v>46246</v>
      </c>
      <c r="O169" s="143">
        <v>338</v>
      </c>
      <c r="P169" s="9">
        <f t="array" ref="P169">IFERROR(O169/$G169*100,0)</f>
        <v>8.1230473443883682</v>
      </c>
      <c r="Q169" s="143">
        <v>11</v>
      </c>
      <c r="R169" s="9">
        <f t="shared" si="24"/>
        <v>3.2544378698224854</v>
      </c>
      <c r="S169" s="8" t="str">
        <f t="array" ref="S169">IF(R169&gt;5,"Perlu Sensus",IF(AND(R169&gt;=0,O169&gt;0),"Tetap Deteksi","Belum Deteksi"))</f>
        <v>Tetap Deteksi</v>
      </c>
      <c r="T169" s="143">
        <v>20</v>
      </c>
      <c r="U169" s="9">
        <f t="shared" si="25"/>
        <v>5.9171597633136095</v>
      </c>
      <c r="V169" s="11">
        <v>46241</v>
      </c>
      <c r="W169" s="143">
        <v>2993</v>
      </c>
      <c r="X169" s="143">
        <v>241</v>
      </c>
      <c r="Y169" s="9">
        <f t="shared" si="26"/>
        <v>8.0521216171065824</v>
      </c>
      <c r="Z169" s="8" t="str">
        <f t="array" ref="Z169">IF(Y169&gt;5,"Perlu Sensus",IF(AND(Y169&gt;=0,W169&gt;0),"Tetap Deteksi","Belum Deteksi"))</f>
        <v>Perlu Sensus</v>
      </c>
      <c r="AA169" s="143">
        <v>565</v>
      </c>
      <c r="AB169" s="9">
        <f t="shared" si="27"/>
        <v>18.877380554627464</v>
      </c>
      <c r="AC169" s="11"/>
      <c r="AD169" s="143"/>
      <c r="AE169" s="9">
        <f t="array" ref="AE169">IFERROR(AD169/$G169*100,0)</f>
        <v>0</v>
      </c>
      <c r="AF169" s="143"/>
      <c r="AG169" s="9">
        <f t="shared" si="28"/>
        <v>0</v>
      </c>
      <c r="AH169" s="8" t="str">
        <f t="array" ref="AH169">IF(AG169&gt;5,"Perlu Sensus",IF(AND(AG169&gt;=0,AD169&gt;0),"Tetap Deteksi","Belum Deteksi"))</f>
        <v>Belum Deteksi</v>
      </c>
      <c r="AI169" s="143"/>
      <c r="AJ169" s="9">
        <f t="shared" si="29"/>
        <v>0</v>
      </c>
      <c r="AK169" s="11"/>
      <c r="AL169" s="143"/>
      <c r="AM169" s="143"/>
      <c r="AN169" s="9">
        <f t="shared" si="30"/>
        <v>0</v>
      </c>
      <c r="AO169" s="8" t="str">
        <f t="array" ref="AO169">IF(AN169&gt;5,"Perlu Sensus",IF(AND(AN169&gt;=0,AL169&gt;0),"Tetap Deteksi","Belum Deteksi"))</f>
        <v>Belum Deteksi</v>
      </c>
      <c r="AP169" s="143"/>
      <c r="AQ169" s="9">
        <f t="shared" si="31"/>
        <v>0</v>
      </c>
    </row>
    <row r="170" spans="1:43" outlineLevel="1" x14ac:dyDescent="0.15">
      <c r="A170" s="8" t="s">
        <v>1821</v>
      </c>
      <c r="B170" s="8"/>
      <c r="C170" s="8" t="s">
        <v>252</v>
      </c>
      <c r="D170" s="8" t="s">
        <v>1895</v>
      </c>
      <c r="E170" s="9">
        <v>25.16</v>
      </c>
      <c r="F170" s="8" t="s">
        <v>1823</v>
      </c>
      <c r="G170" s="10">
        <v>3716</v>
      </c>
      <c r="H170" s="11">
        <f t="array" ref="H170">IF(OR(N170&gt;0,AC170&gt;0),MAX(N170,AC170),MAX(AK170,V170))</f>
        <v>46245</v>
      </c>
      <c r="I170" s="143">
        <f t="array" ref="I170">IF(SUM(O170,AD170)&gt;0,SUM(O170,AD170),SUM(AL170,W170))</f>
        <v>344</v>
      </c>
      <c r="J170" s="9">
        <f t="shared" si="22"/>
        <v>9.2572658772874057</v>
      </c>
      <c r="K170" s="143">
        <f t="shared" si="32"/>
        <v>14</v>
      </c>
      <c r="L170" s="9">
        <f t="shared" si="23"/>
        <v>4.0697674418604652</v>
      </c>
      <c r="M170" s="8" t="str">
        <f t="array" ref="M170">IF(L170&gt;5,"Perlu Sensus",IF(AND(L170&gt;=0,I170&gt;0),"Tetap Deteksi","Belum Deteksi"))</f>
        <v>Tetap Deteksi</v>
      </c>
      <c r="N170" s="11">
        <v>46245</v>
      </c>
      <c r="O170" s="143">
        <v>344</v>
      </c>
      <c r="P170" s="9">
        <f t="array" ref="P170">IFERROR(O170/$G170*100,0)</f>
        <v>9.2572658772874057</v>
      </c>
      <c r="Q170" s="143">
        <v>14</v>
      </c>
      <c r="R170" s="9">
        <f t="shared" si="24"/>
        <v>4.0697674418604652</v>
      </c>
      <c r="S170" s="8" t="str">
        <f t="array" ref="S170">IF(R170&gt;5,"Perlu Sensus",IF(AND(R170&gt;=0,O170&gt;0),"Tetap Deteksi","Belum Deteksi"))</f>
        <v>Tetap Deteksi</v>
      </c>
      <c r="T170" s="143">
        <v>24</v>
      </c>
      <c r="U170" s="9">
        <f t="shared" si="25"/>
        <v>6.9767441860465116</v>
      </c>
      <c r="V170" s="11">
        <v>46240</v>
      </c>
      <c r="W170" s="143">
        <v>1438</v>
      </c>
      <c r="X170" s="143">
        <v>115</v>
      </c>
      <c r="Y170" s="9">
        <f t="shared" si="26"/>
        <v>7.9972183588317103</v>
      </c>
      <c r="Z170" s="8" t="str">
        <f t="array" ref="Z170">IF(Y170&gt;5,"Perlu Sensus",IF(AND(Y170&gt;=0,W170&gt;0),"Tetap Deteksi","Belum Deteksi"))</f>
        <v>Perlu Sensus</v>
      </c>
      <c r="AA170" s="143">
        <v>267</v>
      </c>
      <c r="AB170" s="9">
        <f t="shared" si="27"/>
        <v>18.567454798331013</v>
      </c>
      <c r="AC170" s="11"/>
      <c r="AD170" s="143"/>
      <c r="AE170" s="9">
        <f t="array" ref="AE170">IFERROR(AD170/$G170*100,0)</f>
        <v>0</v>
      </c>
      <c r="AF170" s="143"/>
      <c r="AG170" s="9">
        <f t="shared" si="28"/>
        <v>0</v>
      </c>
      <c r="AH170" s="8" t="str">
        <f t="array" ref="AH170">IF(AG170&gt;5,"Perlu Sensus",IF(AND(AG170&gt;=0,AD170&gt;0),"Tetap Deteksi","Belum Deteksi"))</f>
        <v>Belum Deteksi</v>
      </c>
      <c r="AI170" s="143"/>
      <c r="AJ170" s="9">
        <f t="shared" si="29"/>
        <v>0</v>
      </c>
      <c r="AK170" s="11"/>
      <c r="AL170" s="143"/>
      <c r="AM170" s="143"/>
      <c r="AN170" s="9">
        <f t="shared" si="30"/>
        <v>0</v>
      </c>
      <c r="AO170" s="8" t="str">
        <f t="array" ref="AO170">IF(AN170&gt;5,"Perlu Sensus",IF(AND(AN170&gt;=0,AL170&gt;0),"Tetap Deteksi","Belum Deteksi"))</f>
        <v>Belum Deteksi</v>
      </c>
      <c r="AP170" s="143"/>
      <c r="AQ170" s="9">
        <f t="shared" si="31"/>
        <v>0</v>
      </c>
    </row>
    <row r="171" spans="1:43" outlineLevel="1" x14ac:dyDescent="0.15">
      <c r="A171" s="8" t="s">
        <v>1821</v>
      </c>
      <c r="B171" s="8"/>
      <c r="C171" s="8" t="s">
        <v>252</v>
      </c>
      <c r="D171" s="8" t="s">
        <v>1400</v>
      </c>
      <c r="E171" s="9">
        <v>20.27</v>
      </c>
      <c r="F171" s="8" t="s">
        <v>1823</v>
      </c>
      <c r="G171" s="10">
        <v>2899</v>
      </c>
      <c r="H171" s="11">
        <f t="array" ref="H171">IF(OR(N171&gt;0,AC171&gt;0),MAX(N171,AC171),MAX(AK171,V171))</f>
        <v>46247</v>
      </c>
      <c r="I171" s="143">
        <f t="array" ref="I171">IF(SUM(O171,AD171)&gt;0,SUM(O171,AD171),SUM(AL171,W171))</f>
        <v>338</v>
      </c>
      <c r="J171" s="9">
        <f t="shared" si="22"/>
        <v>11.659192825112108</v>
      </c>
      <c r="K171" s="143">
        <f t="shared" si="32"/>
        <v>10</v>
      </c>
      <c r="L171" s="9">
        <f t="shared" si="23"/>
        <v>2.9585798816568047</v>
      </c>
      <c r="M171" s="8" t="str">
        <f t="array" ref="M171">IF(L171&gt;5,"Perlu Sensus",IF(AND(L171&gt;=0,I171&gt;0),"Tetap Deteksi","Belum Deteksi"))</f>
        <v>Tetap Deteksi</v>
      </c>
      <c r="N171" s="11">
        <v>46247</v>
      </c>
      <c r="O171" s="143">
        <v>338</v>
      </c>
      <c r="P171" s="9">
        <f t="array" ref="P171">IFERROR(O171/$G171*100,0)</f>
        <v>11.659192825112108</v>
      </c>
      <c r="Q171" s="143">
        <v>10</v>
      </c>
      <c r="R171" s="9">
        <f t="shared" si="24"/>
        <v>2.9585798816568047</v>
      </c>
      <c r="S171" s="8" t="str">
        <f t="array" ref="S171">IF(R171&gt;5,"Perlu Sensus",IF(AND(R171&gt;=0,O171&gt;0),"Tetap Deteksi","Belum Deteksi"))</f>
        <v>Tetap Deteksi</v>
      </c>
      <c r="T171" s="143">
        <v>22</v>
      </c>
      <c r="U171" s="9">
        <f t="shared" si="25"/>
        <v>6.5088757396449708</v>
      </c>
      <c r="V171" s="11">
        <v>46249</v>
      </c>
      <c r="W171" s="143">
        <v>2321</v>
      </c>
      <c r="X171" s="143">
        <v>92</v>
      </c>
      <c r="Y171" s="9">
        <f t="shared" si="26"/>
        <v>3.9638087031451961</v>
      </c>
      <c r="Z171" s="8" t="str">
        <f t="array" ref="Z171">IF(Y171&gt;5,"Perlu Sensus",IF(AND(Y171&gt;=0,W171&gt;0),"Tetap Deteksi","Belum Deteksi"))</f>
        <v>Tetap Deteksi</v>
      </c>
      <c r="AA171" s="143">
        <v>139</v>
      </c>
      <c r="AB171" s="9">
        <f t="shared" si="27"/>
        <v>5.9887979319258937</v>
      </c>
      <c r="AC171" s="11"/>
      <c r="AD171" s="143"/>
      <c r="AE171" s="9">
        <f t="array" ref="AE171">IFERROR(AD171/$G171*100,0)</f>
        <v>0</v>
      </c>
      <c r="AF171" s="143"/>
      <c r="AG171" s="9">
        <f t="shared" si="28"/>
        <v>0</v>
      </c>
      <c r="AH171" s="8" t="str">
        <f t="array" ref="AH171">IF(AG171&gt;5,"Perlu Sensus",IF(AND(AG171&gt;=0,AD171&gt;0),"Tetap Deteksi","Belum Deteksi"))</f>
        <v>Belum Deteksi</v>
      </c>
      <c r="AI171" s="143"/>
      <c r="AJ171" s="9">
        <f t="shared" si="29"/>
        <v>0</v>
      </c>
      <c r="AK171" s="11"/>
      <c r="AL171" s="143"/>
      <c r="AM171" s="143"/>
      <c r="AN171" s="9">
        <f t="shared" si="30"/>
        <v>0</v>
      </c>
      <c r="AO171" s="8" t="str">
        <f t="array" ref="AO171">IF(AN171&gt;5,"Perlu Sensus",IF(AND(AN171&gt;=0,AL171&gt;0),"Tetap Deteksi","Belum Deteksi"))</f>
        <v>Belum Deteksi</v>
      </c>
      <c r="AP171" s="143"/>
      <c r="AQ171" s="9">
        <f t="shared" si="31"/>
        <v>0</v>
      </c>
    </row>
    <row r="172" spans="1:43" outlineLevel="1" x14ac:dyDescent="0.15">
      <c r="A172" s="8" t="s">
        <v>1821</v>
      </c>
      <c r="B172" s="8"/>
      <c r="C172" s="8" t="s">
        <v>252</v>
      </c>
      <c r="D172" s="8" t="s">
        <v>1401</v>
      </c>
      <c r="E172" s="9">
        <v>30.450000000000003</v>
      </c>
      <c r="F172" s="8" t="s">
        <v>1823</v>
      </c>
      <c r="G172" s="10">
        <v>3836</v>
      </c>
      <c r="H172" s="11">
        <f t="array" ref="H172">IF(OR(N172&gt;0,AC172&gt;0),MAX(N172,AC172),MAX(AK172,V172))</f>
        <v>46247</v>
      </c>
      <c r="I172" s="143">
        <f t="array" ref="I172">IF(SUM(O172,AD172)&gt;0,SUM(O172,AD172),SUM(AL172,W172))</f>
        <v>340</v>
      </c>
      <c r="J172" s="9">
        <f t="shared" si="22"/>
        <v>8.8633993743482797</v>
      </c>
      <c r="K172" s="143">
        <f t="shared" si="32"/>
        <v>12</v>
      </c>
      <c r="L172" s="9">
        <f t="shared" si="23"/>
        <v>3.5294117647058822</v>
      </c>
      <c r="M172" s="8" t="str">
        <f t="array" ref="M172">IF(L172&gt;5,"Perlu Sensus",IF(AND(L172&gt;=0,I172&gt;0),"Tetap Deteksi","Belum Deteksi"))</f>
        <v>Tetap Deteksi</v>
      </c>
      <c r="N172" s="11">
        <v>46247</v>
      </c>
      <c r="O172" s="143">
        <v>340</v>
      </c>
      <c r="P172" s="9">
        <f t="array" ref="P172">IFERROR(O172/$G172*100,0)</f>
        <v>8.8633993743482797</v>
      </c>
      <c r="Q172" s="143">
        <v>12</v>
      </c>
      <c r="R172" s="9">
        <f t="shared" si="24"/>
        <v>3.5294117647058822</v>
      </c>
      <c r="S172" s="8" t="str">
        <f t="array" ref="S172">IF(R172&gt;5,"Perlu Sensus",IF(AND(R172&gt;=0,O172&gt;0),"Tetap Deteksi","Belum Deteksi"))</f>
        <v>Tetap Deteksi</v>
      </c>
      <c r="T172" s="143">
        <v>22</v>
      </c>
      <c r="U172" s="9">
        <f t="shared" si="25"/>
        <v>6.4705882352941186</v>
      </c>
      <c r="V172" s="11">
        <v>46249</v>
      </c>
      <c r="W172" s="143">
        <v>312</v>
      </c>
      <c r="X172" s="143">
        <v>9</v>
      </c>
      <c r="Y172" s="9">
        <f t="shared" si="26"/>
        <v>2.8846153846153846</v>
      </c>
      <c r="Z172" s="8" t="str">
        <f t="array" ref="Z172">IF(Y172&gt;5,"Perlu Sensus",IF(AND(Y172&gt;=0,W172&gt;0),"Tetap Deteksi","Belum Deteksi"))</f>
        <v>Tetap Deteksi</v>
      </c>
      <c r="AA172" s="143">
        <v>18</v>
      </c>
      <c r="AB172" s="9">
        <f t="shared" si="27"/>
        <v>5.7692307692307692</v>
      </c>
      <c r="AC172" s="11"/>
      <c r="AD172" s="143"/>
      <c r="AE172" s="9">
        <f t="array" ref="AE172">IFERROR(AD172/$G172*100,0)</f>
        <v>0</v>
      </c>
      <c r="AF172" s="143"/>
      <c r="AG172" s="9">
        <f t="shared" si="28"/>
        <v>0</v>
      </c>
      <c r="AH172" s="8" t="str">
        <f t="array" ref="AH172">IF(AG172&gt;5,"Perlu Sensus",IF(AND(AG172&gt;=0,AD172&gt;0),"Tetap Deteksi","Belum Deteksi"))</f>
        <v>Belum Deteksi</v>
      </c>
      <c r="AI172" s="143"/>
      <c r="AJ172" s="9">
        <f t="shared" si="29"/>
        <v>0</v>
      </c>
      <c r="AK172" s="11"/>
      <c r="AL172" s="143"/>
      <c r="AM172" s="143"/>
      <c r="AN172" s="9">
        <f t="shared" si="30"/>
        <v>0</v>
      </c>
      <c r="AO172" s="8" t="str">
        <f t="array" ref="AO172">IF(AN172&gt;5,"Perlu Sensus",IF(AND(AN172&gt;=0,AL172&gt;0),"Tetap Deteksi","Belum Deteksi"))</f>
        <v>Belum Deteksi</v>
      </c>
      <c r="AP172" s="143"/>
      <c r="AQ172" s="9">
        <f t="shared" si="31"/>
        <v>0</v>
      </c>
    </row>
    <row r="173" spans="1:43" outlineLevel="1" x14ac:dyDescent="0.15">
      <c r="A173" s="8" t="s">
        <v>1821</v>
      </c>
      <c r="B173" s="8"/>
      <c r="C173" s="8" t="s">
        <v>252</v>
      </c>
      <c r="D173" s="8" t="s">
        <v>1791</v>
      </c>
      <c r="E173" s="9">
        <v>26.47</v>
      </c>
      <c r="F173" s="8" t="s">
        <v>1823</v>
      </c>
      <c r="G173" s="10">
        <v>3038</v>
      </c>
      <c r="H173" s="11">
        <f t="array" ref="H173">IF(OR(N173&gt;0,AC173&gt;0),MAX(N173,AC173),MAX(AK173,V173))</f>
        <v>46248</v>
      </c>
      <c r="I173" s="143">
        <f t="array" ref="I173">IF(SUM(O173,AD173)&gt;0,SUM(O173,AD173),SUM(AL173,W173))</f>
        <v>340</v>
      </c>
      <c r="J173" s="9">
        <f t="shared" si="22"/>
        <v>11.191573403554971</v>
      </c>
      <c r="K173" s="143">
        <f t="shared" si="32"/>
        <v>9</v>
      </c>
      <c r="L173" s="9">
        <f t="shared" si="23"/>
        <v>2.6470588235294117</v>
      </c>
      <c r="M173" s="8" t="str">
        <f t="array" ref="M173">IF(L173&gt;5,"Perlu Sensus",IF(AND(L173&gt;=0,I173&gt;0),"Tetap Deteksi","Belum Deteksi"))</f>
        <v>Tetap Deteksi</v>
      </c>
      <c r="N173" s="11">
        <v>46248</v>
      </c>
      <c r="O173" s="143">
        <v>340</v>
      </c>
      <c r="P173" s="9">
        <f t="array" ref="P173">IFERROR(O173/$G173*100,0)</f>
        <v>11.191573403554971</v>
      </c>
      <c r="Q173" s="143">
        <v>9</v>
      </c>
      <c r="R173" s="9">
        <f t="shared" si="24"/>
        <v>2.6470588235294117</v>
      </c>
      <c r="S173" s="8" t="str">
        <f t="array" ref="S173">IF(R173&gt;5,"Perlu Sensus",IF(AND(R173&gt;=0,O173&gt;0),"Tetap Deteksi","Belum Deteksi"))</f>
        <v>Tetap Deteksi</v>
      </c>
      <c r="T173" s="143">
        <v>18</v>
      </c>
      <c r="U173" s="9">
        <f t="shared" si="25"/>
        <v>5.2941176470588234</v>
      </c>
      <c r="V173" s="11">
        <v>0</v>
      </c>
      <c r="W173" s="143">
        <v>0</v>
      </c>
      <c r="X173" s="143">
        <v>0</v>
      </c>
      <c r="Y173" s="9">
        <f t="shared" si="26"/>
        <v>0</v>
      </c>
      <c r="Z173" s="8" t="str">
        <f t="array" ref="Z173">IF(Y173&gt;5,"Perlu Sensus",IF(AND(Y173&gt;=0,W173&gt;0),"Tetap Deteksi","Belum Deteksi"))</f>
        <v>Belum Deteksi</v>
      </c>
      <c r="AA173" s="143">
        <v>0</v>
      </c>
      <c r="AB173" s="9">
        <f t="shared" si="27"/>
        <v>0</v>
      </c>
      <c r="AC173" s="11"/>
      <c r="AD173" s="143"/>
      <c r="AE173" s="9">
        <f t="array" ref="AE173">IFERROR(AD173/$G173*100,0)</f>
        <v>0</v>
      </c>
      <c r="AF173" s="143"/>
      <c r="AG173" s="9">
        <f t="shared" si="28"/>
        <v>0</v>
      </c>
      <c r="AH173" s="8" t="str">
        <f t="array" ref="AH173">IF(AG173&gt;5,"Perlu Sensus",IF(AND(AG173&gt;=0,AD173&gt;0),"Tetap Deteksi","Belum Deteksi"))</f>
        <v>Belum Deteksi</v>
      </c>
      <c r="AI173" s="143"/>
      <c r="AJ173" s="9">
        <f t="shared" si="29"/>
        <v>0</v>
      </c>
      <c r="AK173" s="11"/>
      <c r="AL173" s="143"/>
      <c r="AM173" s="143"/>
      <c r="AN173" s="9">
        <f t="shared" si="30"/>
        <v>0</v>
      </c>
      <c r="AO173" s="8" t="str">
        <f t="array" ref="AO173">IF(AN173&gt;5,"Perlu Sensus",IF(AND(AN173&gt;=0,AL173&gt;0),"Tetap Deteksi","Belum Deteksi"))</f>
        <v>Belum Deteksi</v>
      </c>
      <c r="AP173" s="143"/>
      <c r="AQ173" s="9">
        <f t="shared" si="31"/>
        <v>0</v>
      </c>
    </row>
    <row r="174" spans="1:43" outlineLevel="1" x14ac:dyDescent="0.15">
      <c r="A174" s="8" t="s">
        <v>1821</v>
      </c>
      <c r="B174" s="8"/>
      <c r="C174" s="8" t="s">
        <v>252</v>
      </c>
      <c r="D174" s="8" t="s">
        <v>1403</v>
      </c>
      <c r="E174" s="9">
        <v>29.68</v>
      </c>
      <c r="F174" s="8" t="s">
        <v>1823</v>
      </c>
      <c r="G174" s="10">
        <v>3791</v>
      </c>
      <c r="H174" s="11">
        <f t="array" ref="H174">IF(OR(N174&gt;0,AC174&gt;0),MAX(N174,AC174),MAX(AK174,V174))</f>
        <v>46248</v>
      </c>
      <c r="I174" s="143">
        <f t="array" ref="I174">IF(SUM(O174,AD174)&gt;0,SUM(O174,AD174),SUM(AL174,W174))</f>
        <v>452</v>
      </c>
      <c r="J174" s="9">
        <f t="shared" si="22"/>
        <v>11.922975468214192</v>
      </c>
      <c r="K174" s="143">
        <f t="shared" si="32"/>
        <v>16</v>
      </c>
      <c r="L174" s="9">
        <f t="shared" si="23"/>
        <v>3.5398230088495577</v>
      </c>
      <c r="M174" s="8" t="str">
        <f t="array" ref="M174">IF(L174&gt;5,"Perlu Sensus",IF(AND(L174&gt;=0,I174&gt;0),"Tetap Deteksi","Belum Deteksi"))</f>
        <v>Tetap Deteksi</v>
      </c>
      <c r="N174" s="11">
        <v>46248</v>
      </c>
      <c r="O174" s="143">
        <v>452</v>
      </c>
      <c r="P174" s="9">
        <f t="array" ref="P174">IFERROR(O174/$G174*100,0)</f>
        <v>11.922975468214192</v>
      </c>
      <c r="Q174" s="143">
        <v>16</v>
      </c>
      <c r="R174" s="9">
        <f t="shared" si="24"/>
        <v>3.5398230088495577</v>
      </c>
      <c r="S174" s="8" t="str">
        <f t="array" ref="S174">IF(R174&gt;5,"Perlu Sensus",IF(AND(R174&gt;=0,O174&gt;0),"Tetap Deteksi","Belum Deteksi"))</f>
        <v>Tetap Deteksi</v>
      </c>
      <c r="T174" s="143">
        <v>42</v>
      </c>
      <c r="U174" s="9">
        <f t="shared" si="25"/>
        <v>9.2920353982300892</v>
      </c>
      <c r="V174" s="11">
        <v>0</v>
      </c>
      <c r="W174" s="143">
        <v>0</v>
      </c>
      <c r="X174" s="143">
        <v>0</v>
      </c>
      <c r="Y174" s="9">
        <f t="shared" si="26"/>
        <v>0</v>
      </c>
      <c r="Z174" s="8" t="str">
        <f t="array" ref="Z174">IF(Y174&gt;5,"Perlu Sensus",IF(AND(Y174&gt;=0,W174&gt;0),"Tetap Deteksi","Belum Deteksi"))</f>
        <v>Belum Deteksi</v>
      </c>
      <c r="AA174" s="143">
        <v>0</v>
      </c>
      <c r="AB174" s="9">
        <f t="shared" si="27"/>
        <v>0</v>
      </c>
      <c r="AC174" s="11"/>
      <c r="AD174" s="143"/>
      <c r="AE174" s="9">
        <f t="array" ref="AE174">IFERROR(AD174/$G174*100,0)</f>
        <v>0</v>
      </c>
      <c r="AF174" s="143"/>
      <c r="AG174" s="9">
        <f t="shared" si="28"/>
        <v>0</v>
      </c>
      <c r="AH174" s="8" t="str">
        <f t="array" ref="AH174">IF(AG174&gt;5,"Perlu Sensus",IF(AND(AG174&gt;=0,AD174&gt;0),"Tetap Deteksi","Belum Deteksi"))</f>
        <v>Belum Deteksi</v>
      </c>
      <c r="AI174" s="143"/>
      <c r="AJ174" s="9">
        <f t="shared" si="29"/>
        <v>0</v>
      </c>
      <c r="AK174" s="11"/>
      <c r="AL174" s="143"/>
      <c r="AM174" s="143"/>
      <c r="AN174" s="9">
        <f t="shared" si="30"/>
        <v>0</v>
      </c>
      <c r="AO174" s="8" t="str">
        <f t="array" ref="AO174">IF(AN174&gt;5,"Perlu Sensus",IF(AND(AN174&gt;=0,AL174&gt;0),"Tetap Deteksi","Belum Deteksi"))</f>
        <v>Belum Deteksi</v>
      </c>
      <c r="AP174" s="143"/>
      <c r="AQ174" s="9">
        <f t="shared" si="31"/>
        <v>0</v>
      </c>
    </row>
    <row r="175" spans="1:43" outlineLevel="1" x14ac:dyDescent="0.15">
      <c r="A175" s="8" t="s">
        <v>1821</v>
      </c>
      <c r="B175" s="8"/>
      <c r="C175" s="8" t="s">
        <v>252</v>
      </c>
      <c r="D175" s="8" t="s">
        <v>1414</v>
      </c>
      <c r="E175" s="9">
        <v>22.46</v>
      </c>
      <c r="F175" s="8" t="s">
        <v>1823</v>
      </c>
      <c r="G175" s="10">
        <v>2967</v>
      </c>
      <c r="H175" s="11">
        <f t="array" ref="H175">IF(OR(N175&gt;0,AC175&gt;0),MAX(N175,AC175),MAX(AK175,V175))</f>
        <v>46248</v>
      </c>
      <c r="I175" s="143">
        <f t="array" ref="I175">IF(SUM(O175,AD175)&gt;0,SUM(O175,AD175),SUM(AL175,W175))</f>
        <v>454</v>
      </c>
      <c r="J175" s="9">
        <f t="shared" si="22"/>
        <v>15.301651499831479</v>
      </c>
      <c r="K175" s="143">
        <f t="shared" si="32"/>
        <v>19</v>
      </c>
      <c r="L175" s="9">
        <f t="shared" si="23"/>
        <v>4.1850220264317182</v>
      </c>
      <c r="M175" s="8" t="str">
        <f t="array" ref="M175">IF(L175&gt;5,"Perlu Sensus",IF(AND(L175&gt;=0,I175&gt;0),"Tetap Deteksi","Belum Deteksi"))</f>
        <v>Tetap Deteksi</v>
      </c>
      <c r="N175" s="11">
        <v>46248</v>
      </c>
      <c r="O175" s="143">
        <v>454</v>
      </c>
      <c r="P175" s="9">
        <f t="array" ref="P175">IFERROR(O175/$G175*100,0)</f>
        <v>15.301651499831479</v>
      </c>
      <c r="Q175" s="143">
        <v>19</v>
      </c>
      <c r="R175" s="9">
        <f t="shared" si="24"/>
        <v>4.1850220264317182</v>
      </c>
      <c r="S175" s="8" t="str">
        <f t="array" ref="S175">IF(R175&gt;5,"Perlu Sensus",IF(AND(R175&gt;=0,O175&gt;0),"Tetap Deteksi","Belum Deteksi"))</f>
        <v>Tetap Deteksi</v>
      </c>
      <c r="T175" s="143">
        <v>34</v>
      </c>
      <c r="U175" s="9">
        <f t="shared" si="25"/>
        <v>7.4889867841409687</v>
      </c>
      <c r="V175" s="11">
        <v>0</v>
      </c>
      <c r="W175" s="143">
        <v>0</v>
      </c>
      <c r="X175" s="143">
        <v>0</v>
      </c>
      <c r="Y175" s="9">
        <f t="shared" si="26"/>
        <v>0</v>
      </c>
      <c r="Z175" s="8" t="str">
        <f t="array" ref="Z175">IF(Y175&gt;5,"Perlu Sensus",IF(AND(Y175&gt;=0,W175&gt;0),"Tetap Deteksi","Belum Deteksi"))</f>
        <v>Belum Deteksi</v>
      </c>
      <c r="AA175" s="143">
        <v>0</v>
      </c>
      <c r="AB175" s="9">
        <f t="shared" si="27"/>
        <v>0</v>
      </c>
      <c r="AC175" s="11"/>
      <c r="AD175" s="143"/>
      <c r="AE175" s="9">
        <f t="array" ref="AE175">IFERROR(AD175/$G175*100,0)</f>
        <v>0</v>
      </c>
      <c r="AF175" s="143"/>
      <c r="AG175" s="9">
        <f t="shared" si="28"/>
        <v>0</v>
      </c>
      <c r="AH175" s="8" t="str">
        <f t="array" ref="AH175">IF(AG175&gt;5,"Perlu Sensus",IF(AND(AG175&gt;=0,AD175&gt;0),"Tetap Deteksi","Belum Deteksi"))</f>
        <v>Belum Deteksi</v>
      </c>
      <c r="AI175" s="143"/>
      <c r="AJ175" s="9">
        <f t="shared" si="29"/>
        <v>0</v>
      </c>
      <c r="AK175" s="11"/>
      <c r="AL175" s="143"/>
      <c r="AM175" s="143"/>
      <c r="AN175" s="9">
        <f t="shared" si="30"/>
        <v>0</v>
      </c>
      <c r="AO175" s="8" t="str">
        <f t="array" ref="AO175">IF(AN175&gt;5,"Perlu Sensus",IF(AND(AN175&gt;=0,AL175&gt;0),"Tetap Deteksi","Belum Deteksi"))</f>
        <v>Belum Deteksi</v>
      </c>
      <c r="AP175" s="143"/>
      <c r="AQ175" s="9">
        <f t="shared" si="31"/>
        <v>0</v>
      </c>
    </row>
    <row r="176" spans="1:43" outlineLevel="1" x14ac:dyDescent="0.15">
      <c r="A176" s="8" t="s">
        <v>1821</v>
      </c>
      <c r="B176" s="8"/>
      <c r="C176" s="8" t="s">
        <v>252</v>
      </c>
      <c r="D176" s="8" t="s">
        <v>1415</v>
      </c>
      <c r="E176" s="9">
        <v>34.47</v>
      </c>
      <c r="F176" s="8" t="s">
        <v>1823</v>
      </c>
      <c r="G176" s="10">
        <v>4930</v>
      </c>
      <c r="H176" s="11">
        <f t="array" ref="H176">IF(OR(N176&gt;0,AC176&gt;0),MAX(N176,AC176),MAX(AK176,V176))</f>
        <v>46242</v>
      </c>
      <c r="I176" s="143">
        <f t="array" ref="I176">IF(SUM(O176,AD176)&gt;0,SUM(O176,AD176),SUM(AL176,W176))</f>
        <v>226</v>
      </c>
      <c r="J176" s="9">
        <f t="shared" si="22"/>
        <v>4.5841784989858008</v>
      </c>
      <c r="K176" s="143">
        <f t="shared" si="32"/>
        <v>11</v>
      </c>
      <c r="L176" s="9">
        <f t="shared" si="23"/>
        <v>4.8672566371681416</v>
      </c>
      <c r="M176" s="8" t="str">
        <f t="array" ref="M176">IF(L176&gt;5,"Perlu Sensus",IF(AND(L176&gt;=0,I176&gt;0),"Tetap Deteksi","Belum Deteksi"))</f>
        <v>Tetap Deteksi</v>
      </c>
      <c r="N176" s="11">
        <v>46242</v>
      </c>
      <c r="O176" s="143">
        <v>226</v>
      </c>
      <c r="P176" s="9">
        <f t="array" ref="P176">IFERROR(O176/$G176*100,0)</f>
        <v>4.5841784989858008</v>
      </c>
      <c r="Q176" s="143">
        <v>11</v>
      </c>
      <c r="R176" s="9">
        <f t="shared" si="24"/>
        <v>4.8672566371681416</v>
      </c>
      <c r="S176" s="8" t="str">
        <f t="array" ref="S176">IF(R176&gt;5,"Perlu Sensus",IF(AND(R176&gt;=0,O176&gt;0),"Tetap Deteksi","Belum Deteksi"))</f>
        <v>Tetap Deteksi</v>
      </c>
      <c r="T176" s="143">
        <v>23</v>
      </c>
      <c r="U176" s="9">
        <f t="shared" si="25"/>
        <v>10.176991150442479</v>
      </c>
      <c r="V176" s="11">
        <v>0</v>
      </c>
      <c r="W176" s="143">
        <v>0</v>
      </c>
      <c r="X176" s="143">
        <v>0</v>
      </c>
      <c r="Y176" s="9">
        <f t="shared" si="26"/>
        <v>0</v>
      </c>
      <c r="Z176" s="8" t="str">
        <f t="array" ref="Z176">IF(Y176&gt;5,"Perlu Sensus",IF(AND(Y176&gt;=0,W176&gt;0),"Tetap Deteksi","Belum Deteksi"))</f>
        <v>Belum Deteksi</v>
      </c>
      <c r="AA176" s="143">
        <v>0</v>
      </c>
      <c r="AB176" s="9">
        <f t="shared" si="27"/>
        <v>0</v>
      </c>
      <c r="AC176" s="11"/>
      <c r="AD176" s="143"/>
      <c r="AE176" s="9">
        <f t="array" ref="AE176">IFERROR(AD176/$G176*100,0)</f>
        <v>0</v>
      </c>
      <c r="AF176" s="143"/>
      <c r="AG176" s="9">
        <f t="shared" si="28"/>
        <v>0</v>
      </c>
      <c r="AH176" s="8" t="str">
        <f t="array" ref="AH176">IF(AG176&gt;5,"Perlu Sensus",IF(AND(AG176&gt;=0,AD176&gt;0),"Tetap Deteksi","Belum Deteksi"))</f>
        <v>Belum Deteksi</v>
      </c>
      <c r="AI176" s="143"/>
      <c r="AJ176" s="9">
        <f t="shared" si="29"/>
        <v>0</v>
      </c>
      <c r="AK176" s="11"/>
      <c r="AL176" s="143"/>
      <c r="AM176" s="143"/>
      <c r="AN176" s="9">
        <f t="shared" si="30"/>
        <v>0</v>
      </c>
      <c r="AO176" s="8" t="str">
        <f t="array" ref="AO176">IF(AN176&gt;5,"Perlu Sensus",IF(AND(AN176&gt;=0,AL176&gt;0),"Tetap Deteksi","Belum Deteksi"))</f>
        <v>Belum Deteksi</v>
      </c>
      <c r="AP176" s="143"/>
      <c r="AQ176" s="9">
        <f t="shared" si="31"/>
        <v>0</v>
      </c>
    </row>
    <row r="177" spans="1:43" outlineLevel="1" x14ac:dyDescent="0.15">
      <c r="A177" s="8" t="s">
        <v>1821</v>
      </c>
      <c r="B177" s="8"/>
      <c r="C177" s="8" t="s">
        <v>290</v>
      </c>
      <c r="D177" s="8" t="s">
        <v>1896</v>
      </c>
      <c r="E177" s="9">
        <v>34.56</v>
      </c>
      <c r="F177" s="8" t="s">
        <v>1823</v>
      </c>
      <c r="G177" s="10">
        <v>2748</v>
      </c>
      <c r="H177" s="11">
        <f t="array" ref="H177">IF(OR(N177&gt;0,AC177&gt;0),MAX(N177,AC177),MAX(AK177,V177))</f>
        <v>46242</v>
      </c>
      <c r="I177" s="143">
        <f t="array" ref="I177">IF(SUM(O177,AD177)&gt;0,SUM(O177,AD177),SUM(AL177,W177))</f>
        <v>183</v>
      </c>
      <c r="J177" s="9">
        <f t="shared" si="22"/>
        <v>6.6593886462882095</v>
      </c>
      <c r="K177" s="143">
        <f t="shared" si="32"/>
        <v>10</v>
      </c>
      <c r="L177" s="9">
        <f t="shared" si="23"/>
        <v>5.4644808743169397</v>
      </c>
      <c r="M177" s="8" t="str">
        <f t="array" ref="M177">IF(L177&gt;5,"Perlu Sensus",IF(AND(L177&gt;=0,I177&gt;0),"Tetap Deteksi","Belum Deteksi"))</f>
        <v>Perlu Sensus</v>
      </c>
      <c r="N177" s="11">
        <v>46242</v>
      </c>
      <c r="O177" s="143">
        <v>183</v>
      </c>
      <c r="P177" s="9">
        <f t="array" ref="P177">IFERROR(O177/$G177*100,0)</f>
        <v>6.6593886462882095</v>
      </c>
      <c r="Q177" s="143">
        <v>10</v>
      </c>
      <c r="R177" s="9">
        <f t="shared" si="24"/>
        <v>5.4644808743169397</v>
      </c>
      <c r="S177" s="8" t="str">
        <f t="array" ref="S177">IF(R177&gt;5,"Perlu Sensus",IF(AND(R177&gt;=0,O177&gt;0),"Tetap Deteksi","Belum Deteksi"))</f>
        <v>Perlu Sensus</v>
      </c>
      <c r="T177" s="143">
        <v>55</v>
      </c>
      <c r="U177" s="9">
        <f t="shared" si="25"/>
        <v>30.05464480874317</v>
      </c>
      <c r="V177" s="11">
        <v>0</v>
      </c>
      <c r="W177" s="143">
        <v>0</v>
      </c>
      <c r="X177" s="143">
        <v>0</v>
      </c>
      <c r="Y177" s="9">
        <f t="shared" si="26"/>
        <v>0</v>
      </c>
      <c r="Z177" s="8" t="str">
        <f t="array" ref="Z177">IF(Y177&gt;5,"Perlu Sensus",IF(AND(Y177&gt;=0,W177&gt;0),"Tetap Deteksi","Belum Deteksi"))</f>
        <v>Belum Deteksi</v>
      </c>
      <c r="AA177" s="143">
        <v>0</v>
      </c>
      <c r="AB177" s="9">
        <f t="shared" si="27"/>
        <v>0</v>
      </c>
      <c r="AC177" s="11"/>
      <c r="AD177" s="143"/>
      <c r="AE177" s="9">
        <f t="array" ref="AE177">IFERROR(AD177/$G177*100,0)</f>
        <v>0</v>
      </c>
      <c r="AF177" s="143"/>
      <c r="AG177" s="9">
        <f t="shared" si="28"/>
        <v>0</v>
      </c>
      <c r="AH177" s="8" t="str">
        <f t="array" ref="AH177">IF(AG177&gt;5,"Perlu Sensus",IF(AND(AG177&gt;=0,AD177&gt;0),"Tetap Deteksi","Belum Deteksi"))</f>
        <v>Belum Deteksi</v>
      </c>
      <c r="AI177" s="143"/>
      <c r="AJ177" s="9">
        <f t="shared" si="29"/>
        <v>0</v>
      </c>
      <c r="AK177" s="11"/>
      <c r="AL177" s="143"/>
      <c r="AM177" s="143"/>
      <c r="AN177" s="9">
        <f t="shared" si="30"/>
        <v>0</v>
      </c>
      <c r="AO177" s="8" t="str">
        <f t="array" ref="AO177">IF(AN177&gt;5,"Perlu Sensus",IF(AND(AN177&gt;=0,AL177&gt;0),"Tetap Deteksi","Belum Deteksi"))</f>
        <v>Belum Deteksi</v>
      </c>
      <c r="AP177" s="143"/>
      <c r="AQ177" s="9">
        <f t="shared" si="31"/>
        <v>0</v>
      </c>
    </row>
    <row r="178" spans="1:43" outlineLevel="1" x14ac:dyDescent="0.15">
      <c r="A178" s="8" t="s">
        <v>1821</v>
      </c>
      <c r="B178" s="8"/>
      <c r="C178" s="8" t="s">
        <v>290</v>
      </c>
      <c r="D178" s="8" t="s">
        <v>1897</v>
      </c>
      <c r="E178" s="9">
        <v>24.36</v>
      </c>
      <c r="F178" s="8" t="s">
        <v>1823</v>
      </c>
      <c r="G178" s="10">
        <v>2721</v>
      </c>
      <c r="H178" s="11">
        <f t="array" ref="H178">IF(OR(N178&gt;0,AC178&gt;0),MAX(N178,AC178),MAX(AK178,V178))</f>
        <v>46242</v>
      </c>
      <c r="I178" s="143">
        <f t="array" ref="I178">IF(SUM(O178,AD178)&gt;0,SUM(O178,AD178),SUM(AL178,W178))</f>
        <v>327</v>
      </c>
      <c r="J178" s="9">
        <f t="shared" si="22"/>
        <v>12.017640573318634</v>
      </c>
      <c r="K178" s="143">
        <f t="shared" si="32"/>
        <v>19</v>
      </c>
      <c r="L178" s="9">
        <f t="shared" si="23"/>
        <v>5.81039755351682</v>
      </c>
      <c r="M178" s="8" t="str">
        <f t="array" ref="M178">IF(L178&gt;5,"Perlu Sensus",IF(AND(L178&gt;=0,I178&gt;0),"Tetap Deteksi","Belum Deteksi"))</f>
        <v>Perlu Sensus</v>
      </c>
      <c r="N178" s="11">
        <v>46242</v>
      </c>
      <c r="O178" s="143">
        <v>327</v>
      </c>
      <c r="P178" s="9">
        <f t="array" ref="P178">IFERROR(O178/$G178*100,0)</f>
        <v>12.017640573318634</v>
      </c>
      <c r="Q178" s="143">
        <v>19</v>
      </c>
      <c r="R178" s="9">
        <f t="shared" si="24"/>
        <v>5.81039755351682</v>
      </c>
      <c r="S178" s="8" t="str">
        <f t="array" ref="S178">IF(R178&gt;5,"Perlu Sensus",IF(AND(R178&gt;=0,O178&gt;0),"Tetap Deteksi","Belum Deteksi"))</f>
        <v>Perlu Sensus</v>
      </c>
      <c r="T178" s="143">
        <v>101</v>
      </c>
      <c r="U178" s="9">
        <f t="shared" si="25"/>
        <v>30.886850152905197</v>
      </c>
      <c r="V178" s="11">
        <v>0</v>
      </c>
      <c r="W178" s="143">
        <v>0</v>
      </c>
      <c r="X178" s="143">
        <v>0</v>
      </c>
      <c r="Y178" s="9">
        <f t="shared" si="26"/>
        <v>0</v>
      </c>
      <c r="Z178" s="8" t="str">
        <f t="array" ref="Z178">IF(Y178&gt;5,"Perlu Sensus",IF(AND(Y178&gt;=0,W178&gt;0),"Tetap Deteksi","Belum Deteksi"))</f>
        <v>Belum Deteksi</v>
      </c>
      <c r="AA178" s="143">
        <v>0</v>
      </c>
      <c r="AB178" s="9">
        <f t="shared" si="27"/>
        <v>0</v>
      </c>
      <c r="AC178" s="11"/>
      <c r="AD178" s="143"/>
      <c r="AE178" s="9">
        <f t="array" ref="AE178">IFERROR(AD178/$G178*100,0)</f>
        <v>0</v>
      </c>
      <c r="AF178" s="143"/>
      <c r="AG178" s="9">
        <f t="shared" si="28"/>
        <v>0</v>
      </c>
      <c r="AH178" s="8" t="str">
        <f t="array" ref="AH178">IF(AG178&gt;5,"Perlu Sensus",IF(AND(AG178&gt;=0,AD178&gt;0),"Tetap Deteksi","Belum Deteksi"))</f>
        <v>Belum Deteksi</v>
      </c>
      <c r="AI178" s="143"/>
      <c r="AJ178" s="9">
        <f t="shared" si="29"/>
        <v>0</v>
      </c>
      <c r="AK178" s="11"/>
      <c r="AL178" s="143"/>
      <c r="AM178" s="143"/>
      <c r="AN178" s="9">
        <f t="shared" si="30"/>
        <v>0</v>
      </c>
      <c r="AO178" s="8" t="str">
        <f t="array" ref="AO178">IF(AN178&gt;5,"Perlu Sensus",IF(AND(AN178&gt;=0,AL178&gt;0),"Tetap Deteksi","Belum Deteksi"))</f>
        <v>Belum Deteksi</v>
      </c>
      <c r="AP178" s="143"/>
      <c r="AQ178" s="9">
        <f t="shared" si="31"/>
        <v>0</v>
      </c>
    </row>
    <row r="179" spans="1:43" outlineLevel="1" x14ac:dyDescent="0.15">
      <c r="A179" s="8" t="s">
        <v>1821</v>
      </c>
      <c r="B179" s="8"/>
      <c r="C179" s="8" t="s">
        <v>290</v>
      </c>
      <c r="D179" s="8" t="s">
        <v>1898</v>
      </c>
      <c r="E179" s="9">
        <v>23.56</v>
      </c>
      <c r="F179" s="8" t="s">
        <v>1823</v>
      </c>
      <c r="G179" s="10">
        <v>3447</v>
      </c>
      <c r="H179" s="11">
        <f t="array" ref="H179">IF(OR(N179&gt;0,AC179&gt;0),MAX(N179,AC179),MAX(AK179,V179))</f>
        <v>46249</v>
      </c>
      <c r="I179" s="143">
        <f t="array" ref="I179">IF(SUM(O179,AD179)&gt;0,SUM(O179,AD179),SUM(AL179,W179))</f>
        <v>82</v>
      </c>
      <c r="J179" s="9">
        <f t="shared" si="22"/>
        <v>2.3788801856686974</v>
      </c>
      <c r="K179" s="143">
        <f t="shared" si="32"/>
        <v>4</v>
      </c>
      <c r="L179" s="9">
        <f t="shared" si="23"/>
        <v>4.8780487804878048</v>
      </c>
      <c r="M179" s="8" t="str">
        <f t="array" ref="M179">IF(L179&gt;5,"Perlu Sensus",IF(AND(L179&gt;=0,I179&gt;0),"Tetap Deteksi","Belum Deteksi"))</f>
        <v>Tetap Deteksi</v>
      </c>
      <c r="N179" s="11">
        <v>46249</v>
      </c>
      <c r="O179" s="143">
        <v>82</v>
      </c>
      <c r="P179" s="9">
        <f t="array" ref="P179">IFERROR(O179/$G179*100,0)</f>
        <v>2.3788801856686974</v>
      </c>
      <c r="Q179" s="143">
        <v>4</v>
      </c>
      <c r="R179" s="9">
        <f t="shared" si="24"/>
        <v>4.8780487804878048</v>
      </c>
      <c r="S179" s="8" t="str">
        <f t="array" ref="S179">IF(R179&gt;5,"Perlu Sensus",IF(AND(R179&gt;=0,O179&gt;0),"Tetap Deteksi","Belum Deteksi"))</f>
        <v>Tetap Deteksi</v>
      </c>
      <c r="T179" s="143">
        <v>0</v>
      </c>
      <c r="U179" s="9">
        <f t="shared" si="25"/>
        <v>0</v>
      </c>
      <c r="V179" s="11">
        <v>0</v>
      </c>
      <c r="W179" s="143">
        <v>0</v>
      </c>
      <c r="X179" s="143">
        <v>0</v>
      </c>
      <c r="Y179" s="9">
        <f t="shared" si="26"/>
        <v>0</v>
      </c>
      <c r="Z179" s="8" t="str">
        <f t="array" ref="Z179">IF(Y179&gt;5,"Perlu Sensus",IF(AND(Y179&gt;=0,W179&gt;0),"Tetap Deteksi","Belum Deteksi"))</f>
        <v>Belum Deteksi</v>
      </c>
      <c r="AA179" s="143">
        <v>0</v>
      </c>
      <c r="AB179" s="9">
        <f t="shared" si="27"/>
        <v>0</v>
      </c>
      <c r="AC179" s="11"/>
      <c r="AD179" s="143"/>
      <c r="AE179" s="9">
        <f t="array" ref="AE179">IFERROR(AD179/$G179*100,0)</f>
        <v>0</v>
      </c>
      <c r="AF179" s="143"/>
      <c r="AG179" s="9">
        <f t="shared" si="28"/>
        <v>0</v>
      </c>
      <c r="AH179" s="8" t="str">
        <f t="array" ref="AH179">IF(AG179&gt;5,"Perlu Sensus",IF(AND(AG179&gt;=0,AD179&gt;0),"Tetap Deteksi","Belum Deteksi"))</f>
        <v>Belum Deteksi</v>
      </c>
      <c r="AI179" s="143"/>
      <c r="AJ179" s="9">
        <f t="shared" si="29"/>
        <v>0</v>
      </c>
      <c r="AK179" s="11"/>
      <c r="AL179" s="143"/>
      <c r="AM179" s="143"/>
      <c r="AN179" s="9">
        <f t="shared" si="30"/>
        <v>0</v>
      </c>
      <c r="AO179" s="8" t="str">
        <f t="array" ref="AO179">IF(AN179&gt;5,"Perlu Sensus",IF(AND(AN179&gt;=0,AL179&gt;0),"Tetap Deteksi","Belum Deteksi"))</f>
        <v>Belum Deteksi</v>
      </c>
      <c r="AP179" s="143"/>
      <c r="AQ179" s="9">
        <f t="shared" si="31"/>
        <v>0</v>
      </c>
    </row>
    <row r="180" spans="1:43" outlineLevel="1" x14ac:dyDescent="0.15">
      <c r="A180" s="8" t="s">
        <v>1821</v>
      </c>
      <c r="B180" s="8"/>
      <c r="C180" s="8" t="s">
        <v>290</v>
      </c>
      <c r="D180" s="8" t="s">
        <v>1899</v>
      </c>
      <c r="E180" s="9">
        <v>23.12</v>
      </c>
      <c r="F180" s="8" t="s">
        <v>1823</v>
      </c>
      <c r="G180" s="10">
        <v>3014</v>
      </c>
      <c r="H180" s="11">
        <f t="array" ref="H180">IF(OR(N180&gt;0,AC180&gt;0),MAX(N180,AC180),MAX(AK180,V180))</f>
        <v>46247</v>
      </c>
      <c r="I180" s="143">
        <f t="array" ref="I180">IF(SUM(O180,AD180)&gt;0,SUM(O180,AD180),SUM(AL180,W180))</f>
        <v>306</v>
      </c>
      <c r="J180" s="9">
        <f t="shared" si="22"/>
        <v>10.152621101526211</v>
      </c>
      <c r="K180" s="143">
        <f t="shared" si="32"/>
        <v>20</v>
      </c>
      <c r="L180" s="9">
        <f t="shared" si="23"/>
        <v>6.5359477124183014</v>
      </c>
      <c r="M180" s="8" t="str">
        <f t="array" ref="M180">IF(L180&gt;5,"Perlu Sensus",IF(AND(L180&gt;=0,I180&gt;0),"Tetap Deteksi","Belum Deteksi"))</f>
        <v>Perlu Sensus</v>
      </c>
      <c r="N180" s="11">
        <v>46247</v>
      </c>
      <c r="O180" s="143">
        <v>306</v>
      </c>
      <c r="P180" s="9">
        <f t="array" ref="P180">IFERROR(O180/$G180*100,0)</f>
        <v>10.152621101526211</v>
      </c>
      <c r="Q180" s="143">
        <v>20</v>
      </c>
      <c r="R180" s="9">
        <f t="shared" si="24"/>
        <v>6.5359477124183014</v>
      </c>
      <c r="S180" s="8" t="str">
        <f t="array" ref="S180">IF(R180&gt;5,"Perlu Sensus",IF(AND(R180&gt;=0,O180&gt;0),"Tetap Deteksi","Belum Deteksi"))</f>
        <v>Perlu Sensus</v>
      </c>
      <c r="T180" s="143">
        <v>82</v>
      </c>
      <c r="U180" s="9">
        <f t="shared" si="25"/>
        <v>26.797385620915033</v>
      </c>
      <c r="V180" s="11">
        <v>46244</v>
      </c>
      <c r="W180" s="143">
        <v>301</v>
      </c>
      <c r="X180" s="143">
        <v>39</v>
      </c>
      <c r="Y180" s="9">
        <f t="shared" si="26"/>
        <v>12.956810631229235</v>
      </c>
      <c r="Z180" s="8" t="str">
        <f t="array" ref="Z180">IF(Y180&gt;5,"Perlu Sensus",IF(AND(Y180&gt;=0,W180&gt;0),"Tetap Deteksi","Belum Deteksi"))</f>
        <v>Perlu Sensus</v>
      </c>
      <c r="AA180" s="143">
        <v>78</v>
      </c>
      <c r="AB180" s="9">
        <f t="shared" si="27"/>
        <v>25.91362126245847</v>
      </c>
      <c r="AC180" s="11"/>
      <c r="AD180" s="143"/>
      <c r="AE180" s="9">
        <f t="array" ref="AE180">IFERROR(AD180/$G180*100,0)</f>
        <v>0</v>
      </c>
      <c r="AF180" s="143"/>
      <c r="AG180" s="9">
        <f t="shared" si="28"/>
        <v>0</v>
      </c>
      <c r="AH180" s="8" t="str">
        <f t="array" ref="AH180">IF(AG180&gt;5,"Perlu Sensus",IF(AND(AG180&gt;=0,AD180&gt;0),"Tetap Deteksi","Belum Deteksi"))</f>
        <v>Belum Deteksi</v>
      </c>
      <c r="AI180" s="143"/>
      <c r="AJ180" s="9">
        <f t="shared" si="29"/>
        <v>0</v>
      </c>
      <c r="AK180" s="11"/>
      <c r="AL180" s="143"/>
      <c r="AM180" s="143"/>
      <c r="AN180" s="9">
        <f t="shared" si="30"/>
        <v>0</v>
      </c>
      <c r="AO180" s="8" t="str">
        <f t="array" ref="AO180">IF(AN180&gt;5,"Perlu Sensus",IF(AND(AN180&gt;=0,AL180&gt;0),"Tetap Deteksi","Belum Deteksi"))</f>
        <v>Belum Deteksi</v>
      </c>
      <c r="AP180" s="143"/>
      <c r="AQ180" s="9">
        <f t="shared" si="31"/>
        <v>0</v>
      </c>
    </row>
    <row r="181" spans="1:43" outlineLevel="1" x14ac:dyDescent="0.15">
      <c r="A181" s="8" t="s">
        <v>1821</v>
      </c>
      <c r="B181" s="8"/>
      <c r="C181" s="8" t="s">
        <v>290</v>
      </c>
      <c r="D181" s="8" t="s">
        <v>1900</v>
      </c>
      <c r="E181" s="9">
        <v>43.49</v>
      </c>
      <c r="F181" s="8" t="s">
        <v>1823</v>
      </c>
      <c r="G181" s="10">
        <v>4663</v>
      </c>
      <c r="H181" s="11">
        <f t="array" ref="H181">IF(OR(N181&gt;0,AC181&gt;0),MAX(N181,AC181),MAX(AK181,V181))</f>
        <v>46245</v>
      </c>
      <c r="I181" s="143">
        <f t="array" ref="I181">IF(SUM(O181,AD181)&gt;0,SUM(O181,AD181),SUM(AL181,W181))</f>
        <v>516</v>
      </c>
      <c r="J181" s="9">
        <f t="shared" si="22"/>
        <v>11.065837443705769</v>
      </c>
      <c r="K181" s="143">
        <f t="shared" si="32"/>
        <v>24</v>
      </c>
      <c r="L181" s="9">
        <f t="shared" si="23"/>
        <v>4.6511627906976747</v>
      </c>
      <c r="M181" s="8" t="str">
        <f t="array" ref="M181">IF(L181&gt;5,"Perlu Sensus",IF(AND(L181&gt;=0,I181&gt;0),"Tetap Deteksi","Belum Deteksi"))</f>
        <v>Tetap Deteksi</v>
      </c>
      <c r="N181" s="11">
        <v>46245</v>
      </c>
      <c r="O181" s="143">
        <v>516</v>
      </c>
      <c r="P181" s="9">
        <f t="array" ref="P181">IFERROR(O181/$G181*100,0)</f>
        <v>11.065837443705769</v>
      </c>
      <c r="Q181" s="143">
        <v>24</v>
      </c>
      <c r="R181" s="9">
        <f t="shared" si="24"/>
        <v>4.6511627906976747</v>
      </c>
      <c r="S181" s="8" t="str">
        <f t="array" ref="S181">IF(R181&gt;5,"Perlu Sensus",IF(AND(R181&gt;=0,O181&gt;0),"Tetap Deteksi","Belum Deteksi"))</f>
        <v>Tetap Deteksi</v>
      </c>
      <c r="T181" s="143">
        <v>135</v>
      </c>
      <c r="U181" s="9">
        <f t="shared" si="25"/>
        <v>26.162790697674421</v>
      </c>
      <c r="V181" s="11">
        <v>46245</v>
      </c>
      <c r="W181" s="143">
        <v>615</v>
      </c>
      <c r="X181" s="143">
        <v>48</v>
      </c>
      <c r="Y181" s="9">
        <f t="shared" si="26"/>
        <v>7.8048780487804876</v>
      </c>
      <c r="Z181" s="8" t="str">
        <f t="array" ref="Z181">IF(Y181&gt;5,"Perlu Sensus",IF(AND(Y181&gt;=0,W181&gt;0),"Tetap Deteksi","Belum Deteksi"))</f>
        <v>Perlu Sensus</v>
      </c>
      <c r="AA181" s="143">
        <v>70</v>
      </c>
      <c r="AB181" s="9">
        <f t="shared" si="27"/>
        <v>11.38211382113821</v>
      </c>
      <c r="AC181" s="11"/>
      <c r="AD181" s="143"/>
      <c r="AE181" s="9">
        <f t="array" ref="AE181">IFERROR(AD181/$G181*100,0)</f>
        <v>0</v>
      </c>
      <c r="AF181" s="143"/>
      <c r="AG181" s="9">
        <f t="shared" si="28"/>
        <v>0</v>
      </c>
      <c r="AH181" s="8" t="str">
        <f t="array" ref="AH181">IF(AG181&gt;5,"Perlu Sensus",IF(AND(AG181&gt;=0,AD181&gt;0),"Tetap Deteksi","Belum Deteksi"))</f>
        <v>Belum Deteksi</v>
      </c>
      <c r="AI181" s="143"/>
      <c r="AJ181" s="9">
        <f t="shared" si="29"/>
        <v>0</v>
      </c>
      <c r="AK181" s="11"/>
      <c r="AL181" s="143"/>
      <c r="AM181" s="143"/>
      <c r="AN181" s="9">
        <f t="shared" si="30"/>
        <v>0</v>
      </c>
      <c r="AO181" s="8" t="str">
        <f t="array" ref="AO181">IF(AN181&gt;5,"Perlu Sensus",IF(AND(AN181&gt;=0,AL181&gt;0),"Tetap Deteksi","Belum Deteksi"))</f>
        <v>Belum Deteksi</v>
      </c>
      <c r="AP181" s="143"/>
      <c r="AQ181" s="9">
        <f t="shared" si="31"/>
        <v>0</v>
      </c>
    </row>
    <row r="182" spans="1:43" outlineLevel="1" x14ac:dyDescent="0.15">
      <c r="A182" s="8" t="s">
        <v>1821</v>
      </c>
      <c r="B182" s="8"/>
      <c r="C182" s="8" t="s">
        <v>290</v>
      </c>
      <c r="D182" s="8" t="s">
        <v>1901</v>
      </c>
      <c r="E182" s="9">
        <v>37.64</v>
      </c>
      <c r="F182" s="8" t="s">
        <v>1823</v>
      </c>
      <c r="G182" s="10">
        <v>3636</v>
      </c>
      <c r="H182" s="11">
        <f t="array" ref="H182">IF(OR(N182&gt;0,AC182&gt;0),MAX(N182,AC182),MAX(AK182,V182))</f>
        <v>46245</v>
      </c>
      <c r="I182" s="143">
        <f t="array" ref="I182">IF(SUM(O182,AD182)&gt;0,SUM(O182,AD182),SUM(AL182,W182))</f>
        <v>501</v>
      </c>
      <c r="J182" s="9">
        <f t="shared" si="22"/>
        <v>13.778877887788779</v>
      </c>
      <c r="K182" s="143">
        <f t="shared" si="32"/>
        <v>25</v>
      </c>
      <c r="L182" s="9">
        <f t="shared" si="23"/>
        <v>4.9900199600798407</v>
      </c>
      <c r="M182" s="8" t="str">
        <f t="array" ref="M182">IF(L182&gt;5,"Perlu Sensus",IF(AND(L182&gt;=0,I182&gt;0),"Tetap Deteksi","Belum Deteksi"))</f>
        <v>Tetap Deteksi</v>
      </c>
      <c r="N182" s="11">
        <v>46245</v>
      </c>
      <c r="O182" s="143">
        <v>501</v>
      </c>
      <c r="P182" s="9">
        <f t="array" ref="P182">IFERROR(O182/$G182*100,0)</f>
        <v>13.778877887788779</v>
      </c>
      <c r="Q182" s="143">
        <v>25</v>
      </c>
      <c r="R182" s="9">
        <f t="shared" si="24"/>
        <v>4.9900199600798407</v>
      </c>
      <c r="S182" s="8" t="str">
        <f t="array" ref="S182">IF(R182&gt;5,"Perlu Sensus",IF(AND(R182&gt;=0,O182&gt;0),"Tetap Deteksi","Belum Deteksi"))</f>
        <v>Tetap Deteksi</v>
      </c>
      <c r="T182" s="143">
        <v>131</v>
      </c>
      <c r="U182" s="9">
        <f t="shared" si="25"/>
        <v>26.147704590818364</v>
      </c>
      <c r="V182" s="11">
        <v>46245</v>
      </c>
      <c r="W182" s="143">
        <v>508</v>
      </c>
      <c r="X182" s="143">
        <v>34</v>
      </c>
      <c r="Y182" s="9">
        <f t="shared" si="26"/>
        <v>6.6929133858267722</v>
      </c>
      <c r="Z182" s="8" t="str">
        <f t="array" ref="Z182">IF(Y182&gt;5,"Perlu Sensus",IF(AND(Y182&gt;=0,W182&gt;0),"Tetap Deteksi","Belum Deteksi"))</f>
        <v>Perlu Sensus</v>
      </c>
      <c r="AA182" s="143">
        <v>61</v>
      </c>
      <c r="AB182" s="9">
        <f t="shared" si="27"/>
        <v>12.007874015748031</v>
      </c>
      <c r="AC182" s="11"/>
      <c r="AD182" s="143"/>
      <c r="AE182" s="9">
        <f t="array" ref="AE182">IFERROR(AD182/$G182*100,0)</f>
        <v>0</v>
      </c>
      <c r="AF182" s="143"/>
      <c r="AG182" s="9">
        <f t="shared" si="28"/>
        <v>0</v>
      </c>
      <c r="AH182" s="8" t="str">
        <f t="array" ref="AH182">IF(AG182&gt;5,"Perlu Sensus",IF(AND(AG182&gt;=0,AD182&gt;0),"Tetap Deteksi","Belum Deteksi"))</f>
        <v>Belum Deteksi</v>
      </c>
      <c r="AI182" s="143"/>
      <c r="AJ182" s="9">
        <f t="shared" si="29"/>
        <v>0</v>
      </c>
      <c r="AK182" s="11"/>
      <c r="AL182" s="143"/>
      <c r="AM182" s="143"/>
      <c r="AN182" s="9">
        <f t="shared" si="30"/>
        <v>0</v>
      </c>
      <c r="AO182" s="8" t="str">
        <f t="array" ref="AO182">IF(AN182&gt;5,"Perlu Sensus",IF(AND(AN182&gt;=0,AL182&gt;0),"Tetap Deteksi","Belum Deteksi"))</f>
        <v>Belum Deteksi</v>
      </c>
      <c r="AP182" s="143"/>
      <c r="AQ182" s="9">
        <f t="shared" si="31"/>
        <v>0</v>
      </c>
    </row>
    <row r="183" spans="1:43" outlineLevel="1" x14ac:dyDescent="0.15">
      <c r="A183" s="8" t="s">
        <v>1821</v>
      </c>
      <c r="B183" s="8"/>
      <c r="C183" s="8" t="s">
        <v>290</v>
      </c>
      <c r="D183" s="8" t="s">
        <v>1902</v>
      </c>
      <c r="E183" s="9">
        <v>24.369999999999997</v>
      </c>
      <c r="F183" s="8" t="s">
        <v>1823</v>
      </c>
      <c r="G183" s="10">
        <v>1141</v>
      </c>
      <c r="H183" s="11">
        <f t="array" ref="H183">IF(OR(N183&gt;0,AC183&gt;0),MAX(N183,AC183),MAX(AK183,V183))</f>
        <v>46246</v>
      </c>
      <c r="I183" s="143">
        <f t="array" ref="I183">IF(SUM(O183,AD183)&gt;0,SUM(O183,AD183),SUM(AL183,W183))</f>
        <v>165</v>
      </c>
      <c r="J183" s="9">
        <f t="shared" si="22"/>
        <v>14.46099912357581</v>
      </c>
      <c r="K183" s="143">
        <f t="shared" si="32"/>
        <v>7</v>
      </c>
      <c r="L183" s="9">
        <f t="shared" si="23"/>
        <v>4.2424242424242431</v>
      </c>
      <c r="M183" s="8" t="str">
        <f t="array" ref="M183">IF(L183&gt;5,"Perlu Sensus",IF(AND(L183&gt;=0,I183&gt;0),"Tetap Deteksi","Belum Deteksi"))</f>
        <v>Tetap Deteksi</v>
      </c>
      <c r="N183" s="11">
        <v>46246</v>
      </c>
      <c r="O183" s="143">
        <v>165</v>
      </c>
      <c r="P183" s="9">
        <f t="array" ref="P183">IFERROR(O183/$G183*100,0)</f>
        <v>14.46099912357581</v>
      </c>
      <c r="Q183" s="143">
        <v>7</v>
      </c>
      <c r="R183" s="9">
        <f t="shared" si="24"/>
        <v>4.2424242424242431</v>
      </c>
      <c r="S183" s="8" t="str">
        <f t="array" ref="S183">IF(R183&gt;5,"Perlu Sensus",IF(AND(R183&gt;=0,O183&gt;0),"Tetap Deteksi","Belum Deteksi"))</f>
        <v>Tetap Deteksi</v>
      </c>
      <c r="T183" s="143">
        <v>53</v>
      </c>
      <c r="U183" s="9">
        <f t="shared" si="25"/>
        <v>32.121212121212125</v>
      </c>
      <c r="V183" s="11">
        <v>46246</v>
      </c>
      <c r="W183" s="143">
        <v>429</v>
      </c>
      <c r="X183" s="143">
        <v>43</v>
      </c>
      <c r="Y183" s="9">
        <f t="shared" si="26"/>
        <v>10.023310023310025</v>
      </c>
      <c r="Z183" s="8" t="str">
        <f t="array" ref="Z183">IF(Y183&gt;5,"Perlu Sensus",IF(AND(Y183&gt;=0,W183&gt;0),"Tetap Deteksi","Belum Deteksi"))</f>
        <v>Perlu Sensus</v>
      </c>
      <c r="AA183" s="143">
        <v>68</v>
      </c>
      <c r="AB183" s="9">
        <f t="shared" si="27"/>
        <v>15.850815850815851</v>
      </c>
      <c r="AC183" s="11"/>
      <c r="AD183" s="143"/>
      <c r="AE183" s="9">
        <f t="array" ref="AE183">IFERROR(AD183/$G183*100,0)</f>
        <v>0</v>
      </c>
      <c r="AF183" s="143"/>
      <c r="AG183" s="9">
        <f t="shared" si="28"/>
        <v>0</v>
      </c>
      <c r="AH183" s="8" t="str">
        <f t="array" ref="AH183">IF(AG183&gt;5,"Perlu Sensus",IF(AND(AG183&gt;=0,AD183&gt;0),"Tetap Deteksi","Belum Deteksi"))</f>
        <v>Belum Deteksi</v>
      </c>
      <c r="AI183" s="143"/>
      <c r="AJ183" s="9">
        <f t="shared" si="29"/>
        <v>0</v>
      </c>
      <c r="AK183" s="11"/>
      <c r="AL183" s="143"/>
      <c r="AM183" s="143"/>
      <c r="AN183" s="9">
        <f t="shared" si="30"/>
        <v>0</v>
      </c>
      <c r="AO183" s="8" t="str">
        <f t="array" ref="AO183">IF(AN183&gt;5,"Perlu Sensus",IF(AND(AN183&gt;=0,AL183&gt;0),"Tetap Deteksi","Belum Deteksi"))</f>
        <v>Belum Deteksi</v>
      </c>
      <c r="AP183" s="143"/>
      <c r="AQ183" s="9">
        <f t="shared" si="31"/>
        <v>0</v>
      </c>
    </row>
    <row r="184" spans="1:43" outlineLevel="1" x14ac:dyDescent="0.15">
      <c r="A184" s="8" t="s">
        <v>1821</v>
      </c>
      <c r="B184" s="8"/>
      <c r="C184" s="8" t="s">
        <v>290</v>
      </c>
      <c r="D184" s="8" t="s">
        <v>1903</v>
      </c>
      <c r="E184" s="9">
        <v>28.85</v>
      </c>
      <c r="F184" s="8" t="s">
        <v>1823</v>
      </c>
      <c r="G184" s="10">
        <v>4209</v>
      </c>
      <c r="H184" s="11">
        <f t="array" ref="H184">IF(OR(N184&gt;0,AC184&gt;0),MAX(N184,AC184),MAX(AK184,V184))</f>
        <v>46247</v>
      </c>
      <c r="I184" s="143">
        <f t="array" ref="I184">IF(SUM(O184,AD184)&gt;0,SUM(O184,AD184),SUM(AL184,W184))</f>
        <v>336</v>
      </c>
      <c r="J184" s="9">
        <f t="shared" si="22"/>
        <v>7.9828937990021389</v>
      </c>
      <c r="K184" s="143">
        <f t="shared" si="32"/>
        <v>17</v>
      </c>
      <c r="L184" s="9">
        <f t="shared" si="23"/>
        <v>5.0595238095238093</v>
      </c>
      <c r="M184" s="8" t="str">
        <f t="array" ref="M184">IF(L184&gt;5,"Perlu Sensus",IF(AND(L184&gt;=0,I184&gt;0),"Tetap Deteksi","Belum Deteksi"))</f>
        <v>Perlu Sensus</v>
      </c>
      <c r="N184" s="11">
        <v>46247</v>
      </c>
      <c r="O184" s="143">
        <v>336</v>
      </c>
      <c r="P184" s="9">
        <f t="array" ref="P184">IFERROR(O184/$G184*100,0)</f>
        <v>7.9828937990021389</v>
      </c>
      <c r="Q184" s="143">
        <v>17</v>
      </c>
      <c r="R184" s="9">
        <f t="shared" si="24"/>
        <v>5.0595238095238093</v>
      </c>
      <c r="S184" s="8" t="str">
        <f t="array" ref="S184">IF(R184&gt;5,"Perlu Sensus",IF(AND(R184&gt;=0,O184&gt;0),"Tetap Deteksi","Belum Deteksi"))</f>
        <v>Perlu Sensus</v>
      </c>
      <c r="T184" s="143">
        <v>62</v>
      </c>
      <c r="U184" s="9">
        <f t="shared" si="25"/>
        <v>18.452380952380953</v>
      </c>
      <c r="V184" s="11">
        <v>0</v>
      </c>
      <c r="W184" s="143">
        <v>0</v>
      </c>
      <c r="X184" s="143">
        <v>0</v>
      </c>
      <c r="Y184" s="9">
        <f t="shared" si="26"/>
        <v>0</v>
      </c>
      <c r="Z184" s="8" t="str">
        <f t="array" ref="Z184">IF(Y184&gt;5,"Perlu Sensus",IF(AND(Y184&gt;=0,W184&gt;0),"Tetap Deteksi","Belum Deteksi"))</f>
        <v>Belum Deteksi</v>
      </c>
      <c r="AA184" s="143">
        <v>0</v>
      </c>
      <c r="AB184" s="9">
        <f t="shared" si="27"/>
        <v>0</v>
      </c>
      <c r="AC184" s="11"/>
      <c r="AD184" s="143"/>
      <c r="AE184" s="9">
        <f t="array" ref="AE184">IFERROR(AD184/$G184*100,0)</f>
        <v>0</v>
      </c>
      <c r="AF184" s="143"/>
      <c r="AG184" s="9">
        <f t="shared" si="28"/>
        <v>0</v>
      </c>
      <c r="AH184" s="8" t="str">
        <f t="array" ref="AH184">IF(AG184&gt;5,"Perlu Sensus",IF(AND(AG184&gt;=0,AD184&gt;0),"Tetap Deteksi","Belum Deteksi"))</f>
        <v>Belum Deteksi</v>
      </c>
      <c r="AI184" s="143"/>
      <c r="AJ184" s="9">
        <f t="shared" si="29"/>
        <v>0</v>
      </c>
      <c r="AK184" s="11"/>
      <c r="AL184" s="143"/>
      <c r="AM184" s="143"/>
      <c r="AN184" s="9">
        <f t="shared" si="30"/>
        <v>0</v>
      </c>
      <c r="AO184" s="8" t="str">
        <f t="array" ref="AO184">IF(AN184&gt;5,"Perlu Sensus",IF(AND(AN184&gt;=0,AL184&gt;0),"Tetap Deteksi","Belum Deteksi"))</f>
        <v>Belum Deteksi</v>
      </c>
      <c r="AP184" s="143"/>
      <c r="AQ184" s="9">
        <f t="shared" si="31"/>
        <v>0</v>
      </c>
    </row>
    <row r="185" spans="1:43" outlineLevel="1" x14ac:dyDescent="0.15">
      <c r="A185" s="8" t="s">
        <v>1821</v>
      </c>
      <c r="B185" s="8"/>
      <c r="C185" s="8" t="s">
        <v>290</v>
      </c>
      <c r="D185" s="8" t="s">
        <v>1904</v>
      </c>
      <c r="E185" s="9">
        <v>20.05</v>
      </c>
      <c r="F185" s="8" t="s">
        <v>1823</v>
      </c>
      <c r="G185" s="10">
        <v>3018.9999999999995</v>
      </c>
      <c r="H185" s="11">
        <f t="array" ref="H185">IF(OR(N185&gt;0,AC185&gt;0),MAX(N185,AC185),MAX(AK185,V185))</f>
        <v>46248</v>
      </c>
      <c r="I185" s="143">
        <f t="array" ref="I185">IF(SUM(O185,AD185)&gt;0,SUM(O185,AD185),SUM(AL185,W185))</f>
        <v>468</v>
      </c>
      <c r="J185" s="9">
        <f t="shared" si="22"/>
        <v>15.501821795296458</v>
      </c>
      <c r="K185" s="143">
        <f t="shared" si="32"/>
        <v>32</v>
      </c>
      <c r="L185" s="9">
        <f t="shared" si="23"/>
        <v>6.8376068376068382</v>
      </c>
      <c r="M185" s="8" t="str">
        <f t="array" ref="M185">IF(L185&gt;5,"Perlu Sensus",IF(AND(L185&gt;=0,I185&gt;0),"Tetap Deteksi","Belum Deteksi"))</f>
        <v>Perlu Sensus</v>
      </c>
      <c r="N185" s="11">
        <v>46248</v>
      </c>
      <c r="O185" s="143">
        <v>468</v>
      </c>
      <c r="P185" s="9">
        <f t="array" ref="P185">IFERROR(O185/$G185*100,0)</f>
        <v>15.501821795296458</v>
      </c>
      <c r="Q185" s="143">
        <v>32</v>
      </c>
      <c r="R185" s="9">
        <f t="shared" si="24"/>
        <v>6.8376068376068382</v>
      </c>
      <c r="S185" s="8" t="str">
        <f t="array" ref="S185">IF(R185&gt;5,"Perlu Sensus",IF(AND(R185&gt;=0,O185&gt;0),"Tetap Deteksi","Belum Deteksi"))</f>
        <v>Perlu Sensus</v>
      </c>
      <c r="T185" s="143">
        <v>105</v>
      </c>
      <c r="U185" s="9">
        <f t="shared" si="25"/>
        <v>22.435897435897438</v>
      </c>
      <c r="V185" s="11">
        <v>46235</v>
      </c>
      <c r="W185" s="143">
        <v>507</v>
      </c>
      <c r="X185" s="143">
        <v>53</v>
      </c>
      <c r="Y185" s="9">
        <f t="shared" si="26"/>
        <v>10.453648915187378</v>
      </c>
      <c r="Z185" s="8" t="str">
        <f t="array" ref="Z185">IF(Y185&gt;5,"Perlu Sensus",IF(AND(Y185&gt;=0,W185&gt;0),"Tetap Deteksi","Belum Deteksi"))</f>
        <v>Perlu Sensus</v>
      </c>
      <c r="AA185" s="143">
        <v>66</v>
      </c>
      <c r="AB185" s="9">
        <f t="shared" si="27"/>
        <v>13.017751479289942</v>
      </c>
      <c r="AC185" s="11"/>
      <c r="AD185" s="143"/>
      <c r="AE185" s="9">
        <f t="array" ref="AE185">IFERROR(AD185/$G185*100,0)</f>
        <v>0</v>
      </c>
      <c r="AF185" s="143"/>
      <c r="AG185" s="9">
        <f t="shared" si="28"/>
        <v>0</v>
      </c>
      <c r="AH185" s="8" t="str">
        <f t="array" ref="AH185">IF(AG185&gt;5,"Perlu Sensus",IF(AND(AG185&gt;=0,AD185&gt;0),"Tetap Deteksi","Belum Deteksi"))</f>
        <v>Belum Deteksi</v>
      </c>
      <c r="AI185" s="143"/>
      <c r="AJ185" s="9">
        <f t="shared" si="29"/>
        <v>0</v>
      </c>
      <c r="AK185" s="11"/>
      <c r="AL185" s="143"/>
      <c r="AM185" s="143"/>
      <c r="AN185" s="9">
        <f t="shared" si="30"/>
        <v>0</v>
      </c>
      <c r="AO185" s="8" t="str">
        <f t="array" ref="AO185">IF(AN185&gt;5,"Perlu Sensus",IF(AND(AN185&gt;=0,AL185&gt;0),"Tetap Deteksi","Belum Deteksi"))</f>
        <v>Belum Deteksi</v>
      </c>
      <c r="AP185" s="143"/>
      <c r="AQ185" s="9">
        <f t="shared" si="31"/>
        <v>0</v>
      </c>
    </row>
    <row r="186" spans="1:43" outlineLevel="1" x14ac:dyDescent="0.15">
      <c r="A186" s="8" t="s">
        <v>1821</v>
      </c>
      <c r="B186" s="8"/>
      <c r="C186" s="8" t="s">
        <v>290</v>
      </c>
      <c r="D186" s="8" t="s">
        <v>1905</v>
      </c>
      <c r="E186" s="9">
        <v>25.11</v>
      </c>
      <c r="F186" s="8" t="s">
        <v>1823</v>
      </c>
      <c r="G186" s="10">
        <v>3735</v>
      </c>
      <c r="H186" s="11">
        <f t="array" ref="H186">IF(OR(N186&gt;0,AC186&gt;0),MAX(N186,AC186),MAX(AK186,V186))</f>
        <v>46248</v>
      </c>
      <c r="I186" s="143">
        <f t="array" ref="I186">IF(SUM(O186,AD186)&gt;0,SUM(O186,AD186),SUM(AL186,W186))</f>
        <v>627</v>
      </c>
      <c r="J186" s="9">
        <f t="shared" si="22"/>
        <v>16.787148594377509</v>
      </c>
      <c r="K186" s="143">
        <f t="shared" si="32"/>
        <v>60</v>
      </c>
      <c r="L186" s="9">
        <f t="shared" si="23"/>
        <v>9.5693779904306222</v>
      </c>
      <c r="M186" s="8" t="str">
        <f t="array" ref="M186">IF(L186&gt;5,"Perlu Sensus",IF(AND(L186&gt;=0,I186&gt;0),"Tetap Deteksi","Belum Deteksi"))</f>
        <v>Perlu Sensus</v>
      </c>
      <c r="N186" s="11">
        <v>46248</v>
      </c>
      <c r="O186" s="143">
        <v>627</v>
      </c>
      <c r="P186" s="9">
        <f t="array" ref="P186">IFERROR(O186/$G186*100,0)</f>
        <v>16.787148594377509</v>
      </c>
      <c r="Q186" s="143">
        <v>60</v>
      </c>
      <c r="R186" s="9">
        <f t="shared" si="24"/>
        <v>9.5693779904306222</v>
      </c>
      <c r="S186" s="8" t="str">
        <f t="array" ref="S186">IF(R186&gt;5,"Perlu Sensus",IF(AND(R186&gt;=0,O186&gt;0),"Tetap Deteksi","Belum Deteksi"))</f>
        <v>Perlu Sensus</v>
      </c>
      <c r="T186" s="143">
        <v>138</v>
      </c>
      <c r="U186" s="9">
        <f t="shared" si="25"/>
        <v>22.009569377990431</v>
      </c>
      <c r="V186" s="11">
        <v>46246</v>
      </c>
      <c r="W186" s="143">
        <v>908</v>
      </c>
      <c r="X186" s="143">
        <v>53</v>
      </c>
      <c r="Y186" s="9">
        <f t="shared" si="26"/>
        <v>5.8370044052863435</v>
      </c>
      <c r="Z186" s="8" t="str">
        <f t="array" ref="Z186">IF(Y186&gt;5,"Perlu Sensus",IF(AND(Y186&gt;=0,W186&gt;0),"Tetap Deteksi","Belum Deteksi"))</f>
        <v>Perlu Sensus</v>
      </c>
      <c r="AA186" s="143">
        <v>92</v>
      </c>
      <c r="AB186" s="9">
        <f t="shared" si="27"/>
        <v>10.13215859030837</v>
      </c>
      <c r="AC186" s="11"/>
      <c r="AD186" s="143"/>
      <c r="AE186" s="9">
        <f t="array" ref="AE186">IFERROR(AD186/$G186*100,0)</f>
        <v>0</v>
      </c>
      <c r="AF186" s="143"/>
      <c r="AG186" s="9">
        <f t="shared" si="28"/>
        <v>0</v>
      </c>
      <c r="AH186" s="8" t="str">
        <f t="array" ref="AH186">IF(AG186&gt;5,"Perlu Sensus",IF(AND(AG186&gt;=0,AD186&gt;0),"Tetap Deteksi","Belum Deteksi"))</f>
        <v>Belum Deteksi</v>
      </c>
      <c r="AI186" s="143"/>
      <c r="AJ186" s="9">
        <f t="shared" si="29"/>
        <v>0</v>
      </c>
      <c r="AK186" s="11"/>
      <c r="AL186" s="143"/>
      <c r="AM186" s="143"/>
      <c r="AN186" s="9">
        <f t="shared" si="30"/>
        <v>0</v>
      </c>
      <c r="AO186" s="8" t="str">
        <f t="array" ref="AO186">IF(AN186&gt;5,"Perlu Sensus",IF(AND(AN186&gt;=0,AL186&gt;0),"Tetap Deteksi","Belum Deteksi"))</f>
        <v>Belum Deteksi</v>
      </c>
      <c r="AP186" s="143"/>
      <c r="AQ186" s="9">
        <f t="shared" si="31"/>
        <v>0</v>
      </c>
    </row>
    <row r="187" spans="1:43" outlineLevel="1" x14ac:dyDescent="0.15">
      <c r="A187" s="8" t="s">
        <v>1821</v>
      </c>
      <c r="B187" s="8"/>
      <c r="C187" s="8" t="s">
        <v>290</v>
      </c>
      <c r="D187" s="8" t="s">
        <v>1906</v>
      </c>
      <c r="E187" s="9">
        <v>25.75</v>
      </c>
      <c r="F187" s="8" t="s">
        <v>1823</v>
      </c>
      <c r="G187" s="10">
        <v>3783</v>
      </c>
      <c r="H187" s="11">
        <f t="array" ref="H187">IF(OR(N187&gt;0,AC187&gt;0),MAX(N187,AC187),MAX(AK187,V187))</f>
        <v>46248</v>
      </c>
      <c r="I187" s="143">
        <f t="array" ref="I187">IF(SUM(O187,AD187)&gt;0,SUM(O187,AD187),SUM(AL187,W187))</f>
        <v>348</v>
      </c>
      <c r="J187" s="9">
        <f t="shared" si="22"/>
        <v>9.1990483743061073</v>
      </c>
      <c r="K187" s="143">
        <f t="shared" si="32"/>
        <v>17</v>
      </c>
      <c r="L187" s="9">
        <f t="shared" si="23"/>
        <v>4.8850574712643677</v>
      </c>
      <c r="M187" s="8" t="str">
        <f t="array" ref="M187">IF(L187&gt;5,"Perlu Sensus",IF(AND(L187&gt;=0,I187&gt;0),"Tetap Deteksi","Belum Deteksi"))</f>
        <v>Tetap Deteksi</v>
      </c>
      <c r="N187" s="11">
        <v>46248</v>
      </c>
      <c r="O187" s="143">
        <v>348</v>
      </c>
      <c r="P187" s="9">
        <f t="array" ref="P187">IFERROR(O187/$G187*100,0)</f>
        <v>9.1990483743061073</v>
      </c>
      <c r="Q187" s="143">
        <v>17</v>
      </c>
      <c r="R187" s="9">
        <f t="shared" si="24"/>
        <v>4.8850574712643677</v>
      </c>
      <c r="S187" s="8" t="str">
        <f t="array" ref="S187">IF(R187&gt;5,"Perlu Sensus",IF(AND(R187&gt;=0,O187&gt;0),"Tetap Deteksi","Belum Deteksi"))</f>
        <v>Tetap Deteksi</v>
      </c>
      <c r="T187" s="143">
        <v>77</v>
      </c>
      <c r="U187" s="9">
        <f t="shared" si="25"/>
        <v>22.126436781609197</v>
      </c>
      <c r="V187" s="11">
        <v>0</v>
      </c>
      <c r="W187" s="143">
        <v>0</v>
      </c>
      <c r="X187" s="143">
        <v>0</v>
      </c>
      <c r="Y187" s="9">
        <f t="shared" si="26"/>
        <v>0</v>
      </c>
      <c r="Z187" s="8" t="str">
        <f t="array" ref="Z187">IF(Y187&gt;5,"Perlu Sensus",IF(AND(Y187&gt;=0,W187&gt;0),"Tetap Deteksi","Belum Deteksi"))</f>
        <v>Belum Deteksi</v>
      </c>
      <c r="AA187" s="143">
        <v>0</v>
      </c>
      <c r="AB187" s="9">
        <f t="shared" si="27"/>
        <v>0</v>
      </c>
      <c r="AC187" s="11"/>
      <c r="AD187" s="143"/>
      <c r="AE187" s="9">
        <f t="array" ref="AE187">IFERROR(AD187/$G187*100,0)</f>
        <v>0</v>
      </c>
      <c r="AF187" s="143"/>
      <c r="AG187" s="9">
        <f t="shared" si="28"/>
        <v>0</v>
      </c>
      <c r="AH187" s="8" t="str">
        <f t="array" ref="AH187">IF(AG187&gt;5,"Perlu Sensus",IF(AND(AG187&gt;=0,AD187&gt;0),"Tetap Deteksi","Belum Deteksi"))</f>
        <v>Belum Deteksi</v>
      </c>
      <c r="AI187" s="143"/>
      <c r="AJ187" s="9">
        <f t="shared" si="29"/>
        <v>0</v>
      </c>
      <c r="AK187" s="11"/>
      <c r="AL187" s="143"/>
      <c r="AM187" s="143"/>
      <c r="AN187" s="9">
        <f t="shared" si="30"/>
        <v>0</v>
      </c>
      <c r="AO187" s="8" t="str">
        <f t="array" ref="AO187">IF(AN187&gt;5,"Perlu Sensus",IF(AND(AN187&gt;=0,AL187&gt;0),"Tetap Deteksi","Belum Deteksi"))</f>
        <v>Belum Deteksi</v>
      </c>
      <c r="AP187" s="143"/>
      <c r="AQ187" s="9">
        <f t="shared" si="31"/>
        <v>0</v>
      </c>
    </row>
    <row r="188" spans="1:43" outlineLevel="1" x14ac:dyDescent="0.15">
      <c r="A188" s="8" t="s">
        <v>1821</v>
      </c>
      <c r="B188" s="8"/>
      <c r="C188" s="8" t="s">
        <v>290</v>
      </c>
      <c r="D188" s="8" t="s">
        <v>1907</v>
      </c>
      <c r="E188" s="9">
        <v>33.700000000000003</v>
      </c>
      <c r="F188" s="8" t="s">
        <v>1823</v>
      </c>
      <c r="G188" s="10">
        <v>4860</v>
      </c>
      <c r="H188" s="11">
        <f t="array" ref="H188">IF(OR(N188&gt;0,AC188&gt;0),MAX(N188,AC188),MAX(AK188,V188))</f>
        <v>46246</v>
      </c>
      <c r="I188" s="143">
        <f t="array" ref="I188">IF(SUM(O188,AD188)&gt;0,SUM(O188,AD188),SUM(AL188,W188))</f>
        <v>453</v>
      </c>
      <c r="J188" s="9">
        <f t="shared" si="22"/>
        <v>9.3209876543209873</v>
      </c>
      <c r="K188" s="143">
        <f t="shared" si="32"/>
        <v>18</v>
      </c>
      <c r="L188" s="9">
        <f t="shared" si="23"/>
        <v>3.9735099337748347</v>
      </c>
      <c r="M188" s="8" t="str">
        <f t="array" ref="M188">IF(L188&gt;5,"Perlu Sensus",IF(AND(L188&gt;=0,I188&gt;0),"Tetap Deteksi","Belum Deteksi"))</f>
        <v>Tetap Deteksi</v>
      </c>
      <c r="N188" s="11">
        <v>46246</v>
      </c>
      <c r="O188" s="143">
        <v>453</v>
      </c>
      <c r="P188" s="9">
        <f t="array" ref="P188">IFERROR(O188/$G188*100,0)</f>
        <v>9.3209876543209873</v>
      </c>
      <c r="Q188" s="143">
        <v>18</v>
      </c>
      <c r="R188" s="9">
        <f t="shared" si="24"/>
        <v>3.9735099337748347</v>
      </c>
      <c r="S188" s="8" t="str">
        <f t="array" ref="S188">IF(R188&gt;5,"Perlu Sensus",IF(AND(R188&gt;=0,O188&gt;0),"Tetap Deteksi","Belum Deteksi"))</f>
        <v>Tetap Deteksi</v>
      </c>
      <c r="T188" s="143">
        <v>112</v>
      </c>
      <c r="U188" s="9">
        <f t="shared" si="25"/>
        <v>24.724061810154527</v>
      </c>
      <c r="V188" s="11">
        <v>0</v>
      </c>
      <c r="W188" s="143">
        <v>0</v>
      </c>
      <c r="X188" s="143">
        <v>0</v>
      </c>
      <c r="Y188" s="9">
        <f t="shared" si="26"/>
        <v>0</v>
      </c>
      <c r="Z188" s="8" t="str">
        <f t="array" ref="Z188">IF(Y188&gt;5,"Perlu Sensus",IF(AND(Y188&gt;=0,W188&gt;0),"Tetap Deteksi","Belum Deteksi"))</f>
        <v>Belum Deteksi</v>
      </c>
      <c r="AA188" s="143">
        <v>0</v>
      </c>
      <c r="AB188" s="9">
        <f t="shared" si="27"/>
        <v>0</v>
      </c>
      <c r="AC188" s="11"/>
      <c r="AD188" s="143"/>
      <c r="AE188" s="9">
        <f t="array" ref="AE188">IFERROR(AD188/$G188*100,0)</f>
        <v>0</v>
      </c>
      <c r="AF188" s="143"/>
      <c r="AG188" s="9">
        <f t="shared" si="28"/>
        <v>0</v>
      </c>
      <c r="AH188" s="8" t="str">
        <f t="array" ref="AH188">IF(AG188&gt;5,"Perlu Sensus",IF(AND(AG188&gt;=0,AD188&gt;0),"Tetap Deteksi","Belum Deteksi"))</f>
        <v>Belum Deteksi</v>
      </c>
      <c r="AI188" s="143"/>
      <c r="AJ188" s="9">
        <f t="shared" si="29"/>
        <v>0</v>
      </c>
      <c r="AK188" s="11"/>
      <c r="AL188" s="143"/>
      <c r="AM188" s="143"/>
      <c r="AN188" s="9">
        <f t="shared" si="30"/>
        <v>0</v>
      </c>
      <c r="AO188" s="8" t="str">
        <f t="array" ref="AO188">IF(AN188&gt;5,"Perlu Sensus",IF(AND(AN188&gt;=0,AL188&gt;0),"Tetap Deteksi","Belum Deteksi"))</f>
        <v>Belum Deteksi</v>
      </c>
      <c r="AP188" s="143"/>
      <c r="AQ188" s="9">
        <f t="shared" si="31"/>
        <v>0</v>
      </c>
    </row>
    <row r="189" spans="1:43" outlineLevel="1" x14ac:dyDescent="0.15">
      <c r="A189" s="8" t="s">
        <v>1821</v>
      </c>
      <c r="B189" s="8"/>
      <c r="C189" s="8" t="s">
        <v>290</v>
      </c>
      <c r="D189" s="8" t="s">
        <v>1908</v>
      </c>
      <c r="E189" s="9">
        <v>32.61</v>
      </c>
      <c r="F189" s="8" t="s">
        <v>1823</v>
      </c>
      <c r="G189" s="10">
        <v>4590</v>
      </c>
      <c r="H189" s="11">
        <f t="array" ref="H189">IF(OR(N189&gt;0,AC189&gt;0),MAX(N189,AC189),MAX(AK189,V189))</f>
        <v>46246</v>
      </c>
      <c r="I189" s="143">
        <f t="array" ref="I189">IF(SUM(O189,AD189)&gt;0,SUM(O189,AD189),SUM(AL189,W189))</f>
        <v>330</v>
      </c>
      <c r="J189" s="9">
        <f t="shared" si="22"/>
        <v>7.18954248366013</v>
      </c>
      <c r="K189" s="143">
        <f t="shared" si="32"/>
        <v>14</v>
      </c>
      <c r="L189" s="9">
        <f t="shared" si="23"/>
        <v>4.2424242424242431</v>
      </c>
      <c r="M189" s="8" t="str">
        <f t="array" ref="M189">IF(L189&gt;5,"Perlu Sensus",IF(AND(L189&gt;=0,I189&gt;0),"Tetap Deteksi","Belum Deteksi"))</f>
        <v>Tetap Deteksi</v>
      </c>
      <c r="N189" s="11">
        <v>46246</v>
      </c>
      <c r="O189" s="143">
        <v>330</v>
      </c>
      <c r="P189" s="9">
        <f t="array" ref="P189">IFERROR(O189/$G189*100,0)</f>
        <v>7.18954248366013</v>
      </c>
      <c r="Q189" s="143">
        <v>14</v>
      </c>
      <c r="R189" s="9">
        <f t="shared" si="24"/>
        <v>4.2424242424242431</v>
      </c>
      <c r="S189" s="8" t="str">
        <f t="array" ref="S189">IF(R189&gt;5,"Perlu Sensus",IF(AND(R189&gt;=0,O189&gt;0),"Tetap Deteksi","Belum Deteksi"))</f>
        <v>Tetap Deteksi</v>
      </c>
      <c r="T189" s="143">
        <v>80</v>
      </c>
      <c r="U189" s="9">
        <f t="shared" si="25"/>
        <v>24.242424242424242</v>
      </c>
      <c r="V189" s="11">
        <v>0</v>
      </c>
      <c r="W189" s="143">
        <v>0</v>
      </c>
      <c r="X189" s="143">
        <v>0</v>
      </c>
      <c r="Y189" s="9">
        <f t="shared" si="26"/>
        <v>0</v>
      </c>
      <c r="Z189" s="8" t="str">
        <f t="array" ref="Z189">IF(Y189&gt;5,"Perlu Sensus",IF(AND(Y189&gt;=0,W189&gt;0),"Tetap Deteksi","Belum Deteksi"))</f>
        <v>Belum Deteksi</v>
      </c>
      <c r="AA189" s="143">
        <v>0</v>
      </c>
      <c r="AB189" s="9">
        <f t="shared" si="27"/>
        <v>0</v>
      </c>
      <c r="AC189" s="11"/>
      <c r="AD189" s="143"/>
      <c r="AE189" s="9">
        <f t="array" ref="AE189">IFERROR(AD189/$G189*100,0)</f>
        <v>0</v>
      </c>
      <c r="AF189" s="143"/>
      <c r="AG189" s="9">
        <f t="shared" si="28"/>
        <v>0</v>
      </c>
      <c r="AH189" s="8" t="str">
        <f t="array" ref="AH189">IF(AG189&gt;5,"Perlu Sensus",IF(AND(AG189&gt;=0,AD189&gt;0),"Tetap Deteksi","Belum Deteksi"))</f>
        <v>Belum Deteksi</v>
      </c>
      <c r="AI189" s="143"/>
      <c r="AJ189" s="9">
        <f t="shared" si="29"/>
        <v>0</v>
      </c>
      <c r="AK189" s="11"/>
      <c r="AL189" s="143"/>
      <c r="AM189" s="143"/>
      <c r="AN189" s="9">
        <f t="shared" si="30"/>
        <v>0</v>
      </c>
      <c r="AO189" s="8" t="str">
        <f t="array" ref="AO189">IF(AN189&gt;5,"Perlu Sensus",IF(AND(AN189&gt;=0,AL189&gt;0),"Tetap Deteksi","Belum Deteksi"))</f>
        <v>Belum Deteksi</v>
      </c>
      <c r="AP189" s="143"/>
      <c r="AQ189" s="9">
        <f t="shared" si="31"/>
        <v>0</v>
      </c>
    </row>
    <row r="190" spans="1:43" outlineLevel="1" x14ac:dyDescent="0.15">
      <c r="A190" s="8" t="s">
        <v>1821</v>
      </c>
      <c r="B190" s="8"/>
      <c r="C190" s="8" t="s">
        <v>290</v>
      </c>
      <c r="D190" s="8" t="s">
        <v>1909</v>
      </c>
      <c r="E190" s="9">
        <v>30.35</v>
      </c>
      <c r="F190" s="8" t="s">
        <v>1823</v>
      </c>
      <c r="G190" s="10">
        <v>4268</v>
      </c>
      <c r="H190" s="11">
        <f t="array" ref="H190">IF(OR(N190&gt;0,AC190&gt;0),MAX(N190,AC190),MAX(AK190,V190))</f>
        <v>46244</v>
      </c>
      <c r="I190" s="143">
        <f t="array" ref="I190">IF(SUM(O190,AD190)&gt;0,SUM(O190,AD190),SUM(AL190,W190))</f>
        <v>321</v>
      </c>
      <c r="J190" s="9">
        <f t="shared" si="22"/>
        <v>7.5210871602624181</v>
      </c>
      <c r="K190" s="143">
        <f t="shared" si="32"/>
        <v>8</v>
      </c>
      <c r="L190" s="9">
        <f t="shared" si="23"/>
        <v>2.4922118380062304</v>
      </c>
      <c r="M190" s="8" t="str">
        <f t="array" ref="M190">IF(L190&gt;5,"Perlu Sensus",IF(AND(L190&gt;=0,I190&gt;0),"Tetap Deteksi","Belum Deteksi"))</f>
        <v>Tetap Deteksi</v>
      </c>
      <c r="N190" s="11">
        <v>46244</v>
      </c>
      <c r="O190" s="143">
        <v>321</v>
      </c>
      <c r="P190" s="9">
        <f t="array" ref="P190">IFERROR(O190/$G190*100,0)</f>
        <v>7.5210871602624181</v>
      </c>
      <c r="Q190" s="143">
        <v>8</v>
      </c>
      <c r="R190" s="9">
        <f t="shared" si="24"/>
        <v>2.4922118380062304</v>
      </c>
      <c r="S190" s="8" t="str">
        <f t="array" ref="S190">IF(R190&gt;5,"Perlu Sensus",IF(AND(R190&gt;=0,O190&gt;0),"Tetap Deteksi","Belum Deteksi"))</f>
        <v>Tetap Deteksi</v>
      </c>
      <c r="T190" s="143">
        <v>91</v>
      </c>
      <c r="U190" s="9">
        <f t="shared" si="25"/>
        <v>28.348909657320871</v>
      </c>
      <c r="V190" s="11">
        <v>0</v>
      </c>
      <c r="W190" s="143">
        <v>0</v>
      </c>
      <c r="X190" s="143">
        <v>0</v>
      </c>
      <c r="Y190" s="9">
        <f t="shared" si="26"/>
        <v>0</v>
      </c>
      <c r="Z190" s="8" t="str">
        <f t="array" ref="Z190">IF(Y190&gt;5,"Perlu Sensus",IF(AND(Y190&gt;=0,W190&gt;0),"Tetap Deteksi","Belum Deteksi"))</f>
        <v>Belum Deteksi</v>
      </c>
      <c r="AA190" s="143">
        <v>0</v>
      </c>
      <c r="AB190" s="9">
        <f t="shared" si="27"/>
        <v>0</v>
      </c>
      <c r="AC190" s="11"/>
      <c r="AD190" s="143"/>
      <c r="AE190" s="9">
        <f t="array" ref="AE190">IFERROR(AD190/$G190*100,0)</f>
        <v>0</v>
      </c>
      <c r="AF190" s="143"/>
      <c r="AG190" s="9">
        <f t="shared" si="28"/>
        <v>0</v>
      </c>
      <c r="AH190" s="8" t="str">
        <f t="array" ref="AH190">IF(AG190&gt;5,"Perlu Sensus",IF(AND(AG190&gt;=0,AD190&gt;0),"Tetap Deteksi","Belum Deteksi"))</f>
        <v>Belum Deteksi</v>
      </c>
      <c r="AI190" s="143"/>
      <c r="AJ190" s="9">
        <f t="shared" si="29"/>
        <v>0</v>
      </c>
      <c r="AK190" s="11"/>
      <c r="AL190" s="143"/>
      <c r="AM190" s="143"/>
      <c r="AN190" s="9">
        <f t="shared" si="30"/>
        <v>0</v>
      </c>
      <c r="AO190" s="8" t="str">
        <f t="array" ref="AO190">IF(AN190&gt;5,"Perlu Sensus",IF(AND(AN190&gt;=0,AL190&gt;0),"Tetap Deteksi","Belum Deteksi"))</f>
        <v>Belum Deteksi</v>
      </c>
      <c r="AP190" s="143"/>
      <c r="AQ190" s="9">
        <f t="shared" si="31"/>
        <v>0</v>
      </c>
    </row>
    <row r="191" spans="1:43" outlineLevel="1" x14ac:dyDescent="0.15">
      <c r="A191" s="8" t="s">
        <v>1821</v>
      </c>
      <c r="B191" s="8"/>
      <c r="C191" s="8" t="s">
        <v>290</v>
      </c>
      <c r="D191" s="8" t="s">
        <v>1910</v>
      </c>
      <c r="E191" s="9">
        <v>18.990000000000002</v>
      </c>
      <c r="F191" s="8" t="s">
        <v>1823</v>
      </c>
      <c r="G191" s="10">
        <v>2694.0000000000005</v>
      </c>
      <c r="H191" s="11">
        <f t="array" ref="H191">IF(OR(N191&gt;0,AC191&gt;0),MAX(N191,AC191),MAX(AK191,V191))</f>
        <v>46249</v>
      </c>
      <c r="I191" s="143">
        <f t="array" ref="I191">IF(SUM(O191,AD191)&gt;0,SUM(O191,AD191),SUM(AL191,W191))</f>
        <v>68</v>
      </c>
      <c r="J191" s="9">
        <f t="shared" si="22"/>
        <v>2.5241276911655524</v>
      </c>
      <c r="K191" s="143">
        <f t="shared" si="32"/>
        <v>5</v>
      </c>
      <c r="L191" s="9">
        <f t="shared" si="23"/>
        <v>7.3529411764705888</v>
      </c>
      <c r="M191" s="8" t="str">
        <f t="array" ref="M191">IF(L191&gt;5,"Perlu Sensus",IF(AND(L191&gt;=0,I191&gt;0),"Tetap Deteksi","Belum Deteksi"))</f>
        <v>Perlu Sensus</v>
      </c>
      <c r="N191" s="11">
        <v>46249</v>
      </c>
      <c r="O191" s="143">
        <v>68</v>
      </c>
      <c r="P191" s="9">
        <f t="array" ref="P191">IFERROR(O191/$G191*100,0)</f>
        <v>2.5241276911655524</v>
      </c>
      <c r="Q191" s="143">
        <v>5</v>
      </c>
      <c r="R191" s="9">
        <f t="shared" si="24"/>
        <v>7.3529411764705888</v>
      </c>
      <c r="S191" s="8" t="str">
        <f t="array" ref="S191">IF(R191&gt;5,"Perlu Sensus",IF(AND(R191&gt;=0,O191&gt;0),"Tetap Deteksi","Belum Deteksi"))</f>
        <v>Perlu Sensus</v>
      </c>
      <c r="T191" s="143">
        <v>0</v>
      </c>
      <c r="U191" s="9">
        <f t="shared" si="25"/>
        <v>0</v>
      </c>
      <c r="V191" s="11">
        <v>0</v>
      </c>
      <c r="W191" s="143">
        <v>0</v>
      </c>
      <c r="X191" s="143">
        <v>0</v>
      </c>
      <c r="Y191" s="9">
        <f t="shared" si="26"/>
        <v>0</v>
      </c>
      <c r="Z191" s="8" t="str">
        <f t="array" ref="Z191">IF(Y191&gt;5,"Perlu Sensus",IF(AND(Y191&gt;=0,W191&gt;0),"Tetap Deteksi","Belum Deteksi"))</f>
        <v>Belum Deteksi</v>
      </c>
      <c r="AA191" s="143">
        <v>0</v>
      </c>
      <c r="AB191" s="9">
        <f t="shared" si="27"/>
        <v>0</v>
      </c>
      <c r="AC191" s="11"/>
      <c r="AD191" s="143"/>
      <c r="AE191" s="9">
        <f t="array" ref="AE191">IFERROR(AD191/$G191*100,0)</f>
        <v>0</v>
      </c>
      <c r="AF191" s="143"/>
      <c r="AG191" s="9">
        <f t="shared" si="28"/>
        <v>0</v>
      </c>
      <c r="AH191" s="8" t="str">
        <f t="array" ref="AH191">IF(AG191&gt;5,"Perlu Sensus",IF(AND(AG191&gt;=0,AD191&gt;0),"Tetap Deteksi","Belum Deteksi"))</f>
        <v>Belum Deteksi</v>
      </c>
      <c r="AI191" s="143"/>
      <c r="AJ191" s="9">
        <f t="shared" si="29"/>
        <v>0</v>
      </c>
      <c r="AK191" s="11"/>
      <c r="AL191" s="143"/>
      <c r="AM191" s="143"/>
      <c r="AN191" s="9">
        <f t="shared" si="30"/>
        <v>0</v>
      </c>
      <c r="AO191" s="8" t="str">
        <f t="array" ref="AO191">IF(AN191&gt;5,"Perlu Sensus",IF(AND(AN191&gt;=0,AL191&gt;0),"Tetap Deteksi","Belum Deteksi"))</f>
        <v>Belum Deteksi</v>
      </c>
      <c r="AP191" s="143"/>
      <c r="AQ191" s="9">
        <f t="shared" si="31"/>
        <v>0</v>
      </c>
    </row>
    <row r="192" spans="1:43" outlineLevel="1" x14ac:dyDescent="0.15">
      <c r="A192" s="8" t="s">
        <v>1821</v>
      </c>
      <c r="B192" s="8"/>
      <c r="C192" s="8" t="s">
        <v>290</v>
      </c>
      <c r="D192" s="8" t="s">
        <v>1911</v>
      </c>
      <c r="E192" s="9">
        <v>35.69</v>
      </c>
      <c r="F192" s="8" t="s">
        <v>1823</v>
      </c>
      <c r="G192" s="10">
        <v>5248</v>
      </c>
      <c r="H192" s="11">
        <f t="array" ref="H192">IF(OR(N192&gt;0,AC192&gt;0),MAX(N192,AC192),MAX(AK192,V192))</f>
        <v>46237</v>
      </c>
      <c r="I192" s="143">
        <f t="array" ref="I192">IF(SUM(O192,AD192)&gt;0,SUM(O192,AD192),SUM(AL192,W192))</f>
        <v>420</v>
      </c>
      <c r="J192" s="9">
        <f t="shared" si="22"/>
        <v>8.0030487804878057</v>
      </c>
      <c r="K192" s="143">
        <f t="shared" si="32"/>
        <v>19</v>
      </c>
      <c r="L192" s="9">
        <f t="shared" si="23"/>
        <v>4.5238095238095237</v>
      </c>
      <c r="M192" s="8" t="str">
        <f t="array" ref="M192">IF(L192&gt;5,"Perlu Sensus",IF(AND(L192&gt;=0,I192&gt;0),"Tetap Deteksi","Belum Deteksi"))</f>
        <v>Tetap Deteksi</v>
      </c>
      <c r="N192" s="11">
        <v>46237</v>
      </c>
      <c r="O192" s="143">
        <v>420</v>
      </c>
      <c r="P192" s="9">
        <f t="array" ref="P192">IFERROR(O192/$G192*100,0)</f>
        <v>8.0030487804878057</v>
      </c>
      <c r="Q192" s="143">
        <v>19</v>
      </c>
      <c r="R192" s="9">
        <f t="shared" si="24"/>
        <v>4.5238095238095237</v>
      </c>
      <c r="S192" s="8" t="str">
        <f t="array" ref="S192">IF(R192&gt;5,"Perlu Sensus",IF(AND(R192&gt;=0,O192&gt;0),"Tetap Deteksi","Belum Deteksi"))</f>
        <v>Tetap Deteksi</v>
      </c>
      <c r="T192" s="143">
        <v>93</v>
      </c>
      <c r="U192" s="9">
        <f t="shared" si="25"/>
        <v>22.142857142857142</v>
      </c>
      <c r="V192" s="11">
        <v>0</v>
      </c>
      <c r="W192" s="143">
        <v>0</v>
      </c>
      <c r="X192" s="143">
        <v>0</v>
      </c>
      <c r="Y192" s="9">
        <f t="shared" si="26"/>
        <v>0</v>
      </c>
      <c r="Z192" s="8" t="str">
        <f t="array" ref="Z192">IF(Y192&gt;5,"Perlu Sensus",IF(AND(Y192&gt;=0,W192&gt;0),"Tetap Deteksi","Belum Deteksi"))</f>
        <v>Belum Deteksi</v>
      </c>
      <c r="AA192" s="143">
        <v>0</v>
      </c>
      <c r="AB192" s="9">
        <f t="shared" si="27"/>
        <v>0</v>
      </c>
      <c r="AC192" s="11"/>
      <c r="AD192" s="143"/>
      <c r="AE192" s="9">
        <f t="array" ref="AE192">IFERROR(AD192/$G192*100,0)</f>
        <v>0</v>
      </c>
      <c r="AF192" s="143"/>
      <c r="AG192" s="9">
        <f t="shared" si="28"/>
        <v>0</v>
      </c>
      <c r="AH192" s="8" t="str">
        <f t="array" ref="AH192">IF(AG192&gt;5,"Perlu Sensus",IF(AND(AG192&gt;=0,AD192&gt;0),"Tetap Deteksi","Belum Deteksi"))</f>
        <v>Belum Deteksi</v>
      </c>
      <c r="AI192" s="143"/>
      <c r="AJ192" s="9">
        <f t="shared" si="29"/>
        <v>0</v>
      </c>
      <c r="AK192" s="11"/>
      <c r="AL192" s="143"/>
      <c r="AM192" s="143"/>
      <c r="AN192" s="9">
        <f t="shared" si="30"/>
        <v>0</v>
      </c>
      <c r="AO192" s="8" t="str">
        <f t="array" ref="AO192">IF(AN192&gt;5,"Perlu Sensus",IF(AND(AN192&gt;=0,AL192&gt;0),"Tetap Deteksi","Belum Deteksi"))</f>
        <v>Belum Deteksi</v>
      </c>
      <c r="AP192" s="143"/>
      <c r="AQ192" s="9">
        <f t="shared" si="31"/>
        <v>0</v>
      </c>
    </row>
    <row r="193" spans="1:43" outlineLevel="1" x14ac:dyDescent="0.15">
      <c r="A193" s="8" t="s">
        <v>1821</v>
      </c>
      <c r="B193" s="8"/>
      <c r="C193" s="8" t="s">
        <v>290</v>
      </c>
      <c r="D193" s="8" t="s">
        <v>1786</v>
      </c>
      <c r="E193" s="9">
        <v>23.79</v>
      </c>
      <c r="F193" s="8" t="s">
        <v>1823</v>
      </c>
      <c r="G193" s="10">
        <v>3521.0000000000005</v>
      </c>
      <c r="H193" s="11">
        <f t="array" ref="H193">IF(OR(N193&gt;0,AC193&gt;0),MAX(N193,AC193),MAX(AK193,V193))</f>
        <v>46237</v>
      </c>
      <c r="I193" s="143">
        <f t="array" ref="I193">IF(SUM(O193,AD193)&gt;0,SUM(O193,AD193),SUM(AL193,W193))</f>
        <v>668</v>
      </c>
      <c r="J193" s="9">
        <f t="shared" si="22"/>
        <v>18.971882987787559</v>
      </c>
      <c r="K193" s="143">
        <f t="shared" si="32"/>
        <v>29</v>
      </c>
      <c r="L193" s="9">
        <f t="shared" si="23"/>
        <v>4.341317365269461</v>
      </c>
      <c r="M193" s="8" t="str">
        <f t="array" ref="M193">IF(L193&gt;5,"Perlu Sensus",IF(AND(L193&gt;=0,I193&gt;0),"Tetap Deteksi","Belum Deteksi"))</f>
        <v>Tetap Deteksi</v>
      </c>
      <c r="N193" s="11">
        <v>46237</v>
      </c>
      <c r="O193" s="143">
        <v>668</v>
      </c>
      <c r="P193" s="9">
        <f t="array" ref="P193">IFERROR(O193/$G193*100,0)</f>
        <v>18.971882987787559</v>
      </c>
      <c r="Q193" s="143">
        <v>29</v>
      </c>
      <c r="R193" s="9">
        <f t="shared" si="24"/>
        <v>4.341317365269461</v>
      </c>
      <c r="S193" s="8" t="str">
        <f t="array" ref="S193">IF(R193&gt;5,"Perlu Sensus",IF(AND(R193&gt;=0,O193&gt;0),"Tetap Deteksi","Belum Deteksi"))</f>
        <v>Tetap Deteksi</v>
      </c>
      <c r="T193" s="143">
        <v>132</v>
      </c>
      <c r="U193" s="9">
        <f t="shared" si="25"/>
        <v>19.760479041916167</v>
      </c>
      <c r="V193" s="11">
        <v>0</v>
      </c>
      <c r="W193" s="143">
        <v>0</v>
      </c>
      <c r="X193" s="143">
        <v>0</v>
      </c>
      <c r="Y193" s="9">
        <f t="shared" si="26"/>
        <v>0</v>
      </c>
      <c r="Z193" s="8" t="str">
        <f t="array" ref="Z193">IF(Y193&gt;5,"Perlu Sensus",IF(AND(Y193&gt;=0,W193&gt;0),"Tetap Deteksi","Belum Deteksi"))</f>
        <v>Belum Deteksi</v>
      </c>
      <c r="AA193" s="143">
        <v>0</v>
      </c>
      <c r="AB193" s="9">
        <f t="shared" si="27"/>
        <v>0</v>
      </c>
      <c r="AC193" s="11"/>
      <c r="AD193" s="143"/>
      <c r="AE193" s="9">
        <f t="array" ref="AE193">IFERROR(AD193/$G193*100,0)</f>
        <v>0</v>
      </c>
      <c r="AF193" s="143"/>
      <c r="AG193" s="9">
        <f t="shared" si="28"/>
        <v>0</v>
      </c>
      <c r="AH193" s="8" t="str">
        <f t="array" ref="AH193">IF(AG193&gt;5,"Perlu Sensus",IF(AND(AG193&gt;=0,AD193&gt;0),"Tetap Deteksi","Belum Deteksi"))</f>
        <v>Belum Deteksi</v>
      </c>
      <c r="AI193" s="143"/>
      <c r="AJ193" s="9">
        <f t="shared" si="29"/>
        <v>0</v>
      </c>
      <c r="AK193" s="11"/>
      <c r="AL193" s="143"/>
      <c r="AM193" s="143"/>
      <c r="AN193" s="9">
        <f t="shared" si="30"/>
        <v>0</v>
      </c>
      <c r="AO193" s="8" t="str">
        <f t="array" ref="AO193">IF(AN193&gt;5,"Perlu Sensus",IF(AND(AN193&gt;=0,AL193&gt;0),"Tetap Deteksi","Belum Deteksi"))</f>
        <v>Belum Deteksi</v>
      </c>
      <c r="AP193" s="143"/>
      <c r="AQ193" s="9">
        <f t="shared" si="31"/>
        <v>0</v>
      </c>
    </row>
    <row r="194" spans="1:43" outlineLevel="1" x14ac:dyDescent="0.15">
      <c r="A194" s="8" t="s">
        <v>1821</v>
      </c>
      <c r="B194" s="8"/>
      <c r="C194" s="8" t="s">
        <v>290</v>
      </c>
      <c r="D194" s="8" t="s">
        <v>1012</v>
      </c>
      <c r="E194" s="9">
        <v>23.96</v>
      </c>
      <c r="F194" s="8" t="s">
        <v>1823</v>
      </c>
      <c r="G194" s="10">
        <v>3653</v>
      </c>
      <c r="H194" s="11">
        <f t="array" ref="H194">IF(OR(N194&gt;0,AC194&gt;0),MAX(N194,AC194),MAX(AK194,V194))</f>
        <v>46238</v>
      </c>
      <c r="I194" s="143">
        <f t="array" ref="I194">IF(SUM(O194,AD194)&gt;0,SUM(O194,AD194),SUM(AL194,W194))</f>
        <v>592</v>
      </c>
      <c r="J194" s="9">
        <f t="shared" si="22"/>
        <v>16.20585819874076</v>
      </c>
      <c r="K194" s="143">
        <f t="shared" si="32"/>
        <v>24</v>
      </c>
      <c r="L194" s="9">
        <f t="shared" si="23"/>
        <v>4.0540540540540544</v>
      </c>
      <c r="M194" s="8" t="str">
        <f t="array" ref="M194">IF(L194&gt;5,"Perlu Sensus",IF(AND(L194&gt;=0,I194&gt;0),"Tetap Deteksi","Belum Deteksi"))</f>
        <v>Tetap Deteksi</v>
      </c>
      <c r="N194" s="11">
        <v>46238</v>
      </c>
      <c r="O194" s="143">
        <v>592</v>
      </c>
      <c r="P194" s="9">
        <f t="array" ref="P194">IFERROR(O194/$G194*100,0)</f>
        <v>16.20585819874076</v>
      </c>
      <c r="Q194" s="143">
        <v>24</v>
      </c>
      <c r="R194" s="9">
        <f t="shared" si="24"/>
        <v>4.0540540540540544</v>
      </c>
      <c r="S194" s="8" t="str">
        <f t="array" ref="S194">IF(R194&gt;5,"Perlu Sensus",IF(AND(R194&gt;=0,O194&gt;0),"Tetap Deteksi","Belum Deteksi"))</f>
        <v>Tetap Deteksi</v>
      </c>
      <c r="T194" s="143">
        <v>113</v>
      </c>
      <c r="U194" s="9">
        <f t="shared" si="25"/>
        <v>19.087837837837839</v>
      </c>
      <c r="V194" s="11">
        <v>0</v>
      </c>
      <c r="W194" s="143">
        <v>0</v>
      </c>
      <c r="X194" s="143">
        <v>0</v>
      </c>
      <c r="Y194" s="9">
        <f t="shared" si="26"/>
        <v>0</v>
      </c>
      <c r="Z194" s="8" t="str">
        <f t="array" ref="Z194">IF(Y194&gt;5,"Perlu Sensus",IF(AND(Y194&gt;=0,W194&gt;0),"Tetap Deteksi","Belum Deteksi"))</f>
        <v>Belum Deteksi</v>
      </c>
      <c r="AA194" s="143">
        <v>0</v>
      </c>
      <c r="AB194" s="9">
        <f t="shared" si="27"/>
        <v>0</v>
      </c>
      <c r="AC194" s="11"/>
      <c r="AD194" s="143"/>
      <c r="AE194" s="9">
        <f t="array" ref="AE194">IFERROR(AD194/$G194*100,0)</f>
        <v>0</v>
      </c>
      <c r="AF194" s="143"/>
      <c r="AG194" s="9">
        <f t="shared" si="28"/>
        <v>0</v>
      </c>
      <c r="AH194" s="8" t="str">
        <f t="array" ref="AH194">IF(AG194&gt;5,"Perlu Sensus",IF(AND(AG194&gt;=0,AD194&gt;0),"Tetap Deteksi","Belum Deteksi"))</f>
        <v>Belum Deteksi</v>
      </c>
      <c r="AI194" s="143"/>
      <c r="AJ194" s="9">
        <f t="shared" si="29"/>
        <v>0</v>
      </c>
      <c r="AK194" s="11"/>
      <c r="AL194" s="143"/>
      <c r="AM194" s="143"/>
      <c r="AN194" s="9">
        <f t="shared" si="30"/>
        <v>0</v>
      </c>
      <c r="AO194" s="8" t="str">
        <f t="array" ref="AO194">IF(AN194&gt;5,"Perlu Sensus",IF(AND(AN194&gt;=0,AL194&gt;0),"Tetap Deteksi","Belum Deteksi"))</f>
        <v>Belum Deteksi</v>
      </c>
      <c r="AP194" s="143"/>
      <c r="AQ194" s="9">
        <f t="shared" si="31"/>
        <v>0</v>
      </c>
    </row>
    <row r="195" spans="1:43" outlineLevel="1" x14ac:dyDescent="0.15">
      <c r="A195" s="8" t="s">
        <v>1821</v>
      </c>
      <c r="B195" s="8"/>
      <c r="C195" s="8" t="s">
        <v>290</v>
      </c>
      <c r="D195" s="8" t="s">
        <v>1793</v>
      </c>
      <c r="E195" s="9">
        <v>23.259999999999998</v>
      </c>
      <c r="F195" s="8" t="s">
        <v>1823</v>
      </c>
      <c r="G195" s="10">
        <v>3504</v>
      </c>
      <c r="H195" s="11">
        <f t="array" ref="H195">IF(OR(N195&gt;0,AC195&gt;0),MAX(N195,AC195),MAX(AK195,V195))</f>
        <v>46238</v>
      </c>
      <c r="I195" s="143">
        <f t="array" ref="I195">IF(SUM(O195,AD195)&gt;0,SUM(O195,AD195),SUM(AL195,W195))</f>
        <v>688</v>
      </c>
      <c r="J195" s="9">
        <f t="shared" si="22"/>
        <v>19.634703196347029</v>
      </c>
      <c r="K195" s="143">
        <f t="shared" si="32"/>
        <v>31</v>
      </c>
      <c r="L195" s="9">
        <f t="shared" si="23"/>
        <v>4.5058139534883717</v>
      </c>
      <c r="M195" s="8" t="str">
        <f t="array" ref="M195">IF(L195&gt;5,"Perlu Sensus",IF(AND(L195&gt;=0,I195&gt;0),"Tetap Deteksi","Belum Deteksi"))</f>
        <v>Tetap Deteksi</v>
      </c>
      <c r="N195" s="11">
        <v>46238</v>
      </c>
      <c r="O195" s="143">
        <v>688</v>
      </c>
      <c r="P195" s="9">
        <f t="array" ref="P195">IFERROR(O195/$G195*100,0)</f>
        <v>19.634703196347029</v>
      </c>
      <c r="Q195" s="143">
        <v>31</v>
      </c>
      <c r="R195" s="9">
        <f t="shared" si="24"/>
        <v>4.5058139534883717</v>
      </c>
      <c r="S195" s="8" t="str">
        <f t="array" ref="S195">IF(R195&gt;5,"Perlu Sensus",IF(AND(R195&gt;=0,O195&gt;0),"Tetap Deteksi","Belum Deteksi"))</f>
        <v>Tetap Deteksi</v>
      </c>
      <c r="T195" s="143">
        <v>141</v>
      </c>
      <c r="U195" s="9">
        <f t="shared" si="25"/>
        <v>20.494186046511629</v>
      </c>
      <c r="V195" s="11">
        <v>0</v>
      </c>
      <c r="W195" s="143">
        <v>0</v>
      </c>
      <c r="X195" s="143">
        <v>0</v>
      </c>
      <c r="Y195" s="9">
        <f t="shared" si="26"/>
        <v>0</v>
      </c>
      <c r="Z195" s="8" t="str">
        <f t="array" ref="Z195">IF(Y195&gt;5,"Perlu Sensus",IF(AND(Y195&gt;=0,W195&gt;0),"Tetap Deteksi","Belum Deteksi"))</f>
        <v>Belum Deteksi</v>
      </c>
      <c r="AA195" s="143">
        <v>0</v>
      </c>
      <c r="AB195" s="9">
        <f t="shared" si="27"/>
        <v>0</v>
      </c>
      <c r="AC195" s="11"/>
      <c r="AD195" s="143"/>
      <c r="AE195" s="9">
        <f t="array" ref="AE195">IFERROR(AD195/$G195*100,0)</f>
        <v>0</v>
      </c>
      <c r="AF195" s="143"/>
      <c r="AG195" s="9">
        <f t="shared" si="28"/>
        <v>0</v>
      </c>
      <c r="AH195" s="8" t="str">
        <f t="array" ref="AH195">IF(AG195&gt;5,"Perlu Sensus",IF(AND(AG195&gt;=0,AD195&gt;0),"Tetap Deteksi","Belum Deteksi"))</f>
        <v>Belum Deteksi</v>
      </c>
      <c r="AI195" s="143"/>
      <c r="AJ195" s="9">
        <f t="shared" si="29"/>
        <v>0</v>
      </c>
      <c r="AK195" s="11"/>
      <c r="AL195" s="143"/>
      <c r="AM195" s="143"/>
      <c r="AN195" s="9">
        <f t="shared" si="30"/>
        <v>0</v>
      </c>
      <c r="AO195" s="8" t="str">
        <f t="array" ref="AO195">IF(AN195&gt;5,"Perlu Sensus",IF(AND(AN195&gt;=0,AL195&gt;0),"Tetap Deteksi","Belum Deteksi"))</f>
        <v>Belum Deteksi</v>
      </c>
      <c r="AP195" s="143"/>
      <c r="AQ195" s="9">
        <f t="shared" si="31"/>
        <v>0</v>
      </c>
    </row>
    <row r="196" spans="1:43" outlineLevel="1" x14ac:dyDescent="0.15">
      <c r="A196" s="8" t="s">
        <v>1821</v>
      </c>
      <c r="B196" s="8"/>
      <c r="C196" s="8" t="s">
        <v>290</v>
      </c>
      <c r="D196" s="8" t="s">
        <v>1794</v>
      </c>
      <c r="E196" s="9">
        <v>35.32</v>
      </c>
      <c r="F196" s="8" t="s">
        <v>1823</v>
      </c>
      <c r="G196" s="10">
        <v>5249</v>
      </c>
      <c r="H196" s="11">
        <f t="array" ref="H196">IF(OR(N196&gt;0,AC196&gt;0),MAX(N196,AC196),MAX(AK196,V196))</f>
        <v>46241</v>
      </c>
      <c r="I196" s="143">
        <f t="array" ref="I196">IF(SUM(O196,AD196)&gt;0,SUM(O196,AD196),SUM(AL196,W196))</f>
        <v>460</v>
      </c>
      <c r="J196" s="9">
        <f t="shared" si="22"/>
        <v>8.763574014097923</v>
      </c>
      <c r="K196" s="143">
        <f t="shared" si="32"/>
        <v>30</v>
      </c>
      <c r="L196" s="9">
        <f t="shared" si="23"/>
        <v>6.5217391304347823</v>
      </c>
      <c r="M196" s="8" t="str">
        <f t="array" ref="M196">IF(L196&gt;5,"Perlu Sensus",IF(AND(L196&gt;=0,I196&gt;0),"Tetap Deteksi","Belum Deteksi"))</f>
        <v>Perlu Sensus</v>
      </c>
      <c r="N196" s="11">
        <v>46241</v>
      </c>
      <c r="O196" s="143">
        <v>460</v>
      </c>
      <c r="P196" s="9">
        <f t="array" ref="P196">IFERROR(O196/$G196*100,0)</f>
        <v>8.763574014097923</v>
      </c>
      <c r="Q196" s="143">
        <v>30</v>
      </c>
      <c r="R196" s="9">
        <f t="shared" si="24"/>
        <v>6.5217391304347823</v>
      </c>
      <c r="S196" s="8" t="str">
        <f t="array" ref="S196">IF(R196&gt;5,"Perlu Sensus",IF(AND(R196&gt;=0,O196&gt;0),"Tetap Deteksi","Belum Deteksi"))</f>
        <v>Perlu Sensus</v>
      </c>
      <c r="T196" s="143">
        <v>108</v>
      </c>
      <c r="U196" s="9">
        <f t="shared" si="25"/>
        <v>23.478260869565219</v>
      </c>
      <c r="V196" s="11">
        <v>46238</v>
      </c>
      <c r="W196" s="143">
        <v>681</v>
      </c>
      <c r="X196" s="143">
        <v>49</v>
      </c>
      <c r="Y196" s="9">
        <f t="shared" si="26"/>
        <v>7.1953010279001468</v>
      </c>
      <c r="Z196" s="8" t="str">
        <f t="array" ref="Z196">IF(Y196&gt;5,"Perlu Sensus",IF(AND(Y196&gt;=0,W196&gt;0),"Tetap Deteksi","Belum Deteksi"))</f>
        <v>Perlu Sensus</v>
      </c>
      <c r="AA196" s="143">
        <v>62</v>
      </c>
      <c r="AB196" s="9">
        <f t="shared" si="27"/>
        <v>9.1042584434654916</v>
      </c>
      <c r="AC196" s="11"/>
      <c r="AD196" s="143"/>
      <c r="AE196" s="9">
        <f t="array" ref="AE196">IFERROR(AD196/$G196*100,0)</f>
        <v>0</v>
      </c>
      <c r="AF196" s="143"/>
      <c r="AG196" s="9">
        <f t="shared" si="28"/>
        <v>0</v>
      </c>
      <c r="AH196" s="8" t="str">
        <f t="array" ref="AH196">IF(AG196&gt;5,"Perlu Sensus",IF(AND(AG196&gt;=0,AD196&gt;0),"Tetap Deteksi","Belum Deteksi"))</f>
        <v>Belum Deteksi</v>
      </c>
      <c r="AI196" s="143"/>
      <c r="AJ196" s="9">
        <f t="shared" si="29"/>
        <v>0</v>
      </c>
      <c r="AK196" s="11"/>
      <c r="AL196" s="143"/>
      <c r="AM196" s="143"/>
      <c r="AN196" s="9">
        <f t="shared" si="30"/>
        <v>0</v>
      </c>
      <c r="AO196" s="8" t="str">
        <f t="array" ref="AO196">IF(AN196&gt;5,"Perlu Sensus",IF(AND(AN196&gt;=0,AL196&gt;0),"Tetap Deteksi","Belum Deteksi"))</f>
        <v>Belum Deteksi</v>
      </c>
      <c r="AP196" s="143"/>
      <c r="AQ196" s="9">
        <f t="shared" si="31"/>
        <v>0</v>
      </c>
    </row>
    <row r="197" spans="1:43" outlineLevel="1" x14ac:dyDescent="0.15">
      <c r="A197" s="8" t="s">
        <v>1821</v>
      </c>
      <c r="B197" s="8"/>
      <c r="C197" s="8" t="s">
        <v>290</v>
      </c>
      <c r="D197" s="8" t="s">
        <v>1797</v>
      </c>
      <c r="E197" s="9">
        <v>26.000000000000004</v>
      </c>
      <c r="F197" s="8" t="s">
        <v>1823</v>
      </c>
      <c r="G197" s="10">
        <v>2706</v>
      </c>
      <c r="H197" s="11">
        <f t="array" ref="H197">IF(OR(N197&gt;0,AC197&gt;0),MAX(N197,AC197),MAX(AK197,V197))</f>
        <v>46239</v>
      </c>
      <c r="I197" s="143">
        <f t="array" ref="I197">IF(SUM(O197,AD197)&gt;0,SUM(O197,AD197),SUM(AL197,W197))</f>
        <v>396</v>
      </c>
      <c r="J197" s="9">
        <f t="shared" si="22"/>
        <v>14.634146341463413</v>
      </c>
      <c r="K197" s="143">
        <f t="shared" si="32"/>
        <v>36</v>
      </c>
      <c r="L197" s="9">
        <f t="shared" si="23"/>
        <v>9.0909090909090917</v>
      </c>
      <c r="M197" s="8" t="str">
        <f t="array" ref="M197">IF(L197&gt;5,"Perlu Sensus",IF(AND(L197&gt;=0,I197&gt;0),"Tetap Deteksi","Belum Deteksi"))</f>
        <v>Perlu Sensus</v>
      </c>
      <c r="N197" s="11">
        <v>46239</v>
      </c>
      <c r="O197" s="143">
        <v>396</v>
      </c>
      <c r="P197" s="9">
        <f t="array" ref="P197">IFERROR(O197/$G197*100,0)</f>
        <v>14.634146341463413</v>
      </c>
      <c r="Q197" s="143">
        <v>36</v>
      </c>
      <c r="R197" s="9">
        <f t="shared" si="24"/>
        <v>9.0909090909090917</v>
      </c>
      <c r="S197" s="8" t="str">
        <f t="array" ref="S197">IF(R197&gt;5,"Perlu Sensus",IF(AND(R197&gt;=0,O197&gt;0),"Tetap Deteksi","Belum Deteksi"))</f>
        <v>Perlu Sensus</v>
      </c>
      <c r="T197" s="143">
        <v>48</v>
      </c>
      <c r="U197" s="9">
        <f t="shared" si="25"/>
        <v>12.121212121212121</v>
      </c>
      <c r="V197" s="11">
        <v>46239</v>
      </c>
      <c r="W197" s="143">
        <v>773</v>
      </c>
      <c r="X197" s="143">
        <v>66</v>
      </c>
      <c r="Y197" s="9">
        <f t="shared" si="26"/>
        <v>8.5381630012936611</v>
      </c>
      <c r="Z197" s="8" t="str">
        <f t="array" ref="Z197">IF(Y197&gt;5,"Perlu Sensus",IF(AND(Y197&gt;=0,W197&gt;0),"Tetap Deteksi","Belum Deteksi"))</f>
        <v>Perlu Sensus</v>
      </c>
      <c r="AA197" s="143">
        <v>102</v>
      </c>
      <c r="AB197" s="9">
        <f t="shared" si="27"/>
        <v>13.195342820181114</v>
      </c>
      <c r="AC197" s="11"/>
      <c r="AD197" s="143"/>
      <c r="AE197" s="9">
        <f t="array" ref="AE197">IFERROR(AD197/$G197*100,0)</f>
        <v>0</v>
      </c>
      <c r="AF197" s="143"/>
      <c r="AG197" s="9">
        <f t="shared" si="28"/>
        <v>0</v>
      </c>
      <c r="AH197" s="8" t="str">
        <f t="array" ref="AH197">IF(AG197&gt;5,"Perlu Sensus",IF(AND(AG197&gt;=0,AD197&gt;0),"Tetap Deteksi","Belum Deteksi"))</f>
        <v>Belum Deteksi</v>
      </c>
      <c r="AI197" s="143"/>
      <c r="AJ197" s="9">
        <f t="shared" si="29"/>
        <v>0</v>
      </c>
      <c r="AK197" s="11"/>
      <c r="AL197" s="143"/>
      <c r="AM197" s="143"/>
      <c r="AN197" s="9">
        <f t="shared" si="30"/>
        <v>0</v>
      </c>
      <c r="AO197" s="8" t="str">
        <f t="array" ref="AO197">IF(AN197&gt;5,"Perlu Sensus",IF(AND(AN197&gt;=0,AL197&gt;0),"Tetap Deteksi","Belum Deteksi"))</f>
        <v>Belum Deteksi</v>
      </c>
      <c r="AP197" s="143"/>
      <c r="AQ197" s="9">
        <f t="shared" si="31"/>
        <v>0</v>
      </c>
    </row>
    <row r="198" spans="1:43" outlineLevel="1" x14ac:dyDescent="0.15">
      <c r="A198" s="8" t="s">
        <v>1821</v>
      </c>
      <c r="B198" s="8"/>
      <c r="C198" s="8" t="s">
        <v>290</v>
      </c>
      <c r="D198" s="8" t="s">
        <v>1912</v>
      </c>
      <c r="E198" s="9">
        <v>22.910000000000004</v>
      </c>
      <c r="F198" s="8" t="s">
        <v>1823</v>
      </c>
      <c r="G198" s="10">
        <v>3463.0000000000005</v>
      </c>
      <c r="H198" s="11">
        <f t="array" ref="H198">IF(OR(N198&gt;0,AC198&gt;0),MAX(N198,AC198),MAX(AK198,V198))</f>
        <v>46241</v>
      </c>
      <c r="I198" s="143">
        <f t="array" ref="I198">IF(SUM(O198,AD198)&gt;0,SUM(O198,AD198),SUM(AL198,W198))</f>
        <v>676</v>
      </c>
      <c r="J198" s="9">
        <f t="shared" ref="J198:J201" si="33">IF(P198&gt;0,P198," ")</f>
        <v>19.520646838001728</v>
      </c>
      <c r="K198" s="143">
        <f t="shared" si="32"/>
        <v>27</v>
      </c>
      <c r="L198" s="9">
        <f t="shared" ref="L198:L201" si="34">IFERROR(K198/I198*100,0)</f>
        <v>3.9940828402366866</v>
      </c>
      <c r="M198" s="8" t="str">
        <f t="array" ref="M198">IF(L198&gt;5,"Perlu Sensus",IF(AND(L198&gt;=0,I198&gt;0),"Tetap Deteksi","Belum Deteksi"))</f>
        <v>Tetap Deteksi</v>
      </c>
      <c r="N198" s="11">
        <v>46241</v>
      </c>
      <c r="O198" s="143">
        <v>676</v>
      </c>
      <c r="P198" s="9">
        <f t="array" ref="P198">IFERROR(O198/$G198*100,0)</f>
        <v>19.520646838001728</v>
      </c>
      <c r="Q198" s="143">
        <v>27</v>
      </c>
      <c r="R198" s="9">
        <f t="shared" ref="R198:R201" si="35">IFERROR(Q198/O198*100,0)</f>
        <v>3.9940828402366866</v>
      </c>
      <c r="S198" s="8" t="str">
        <f t="array" ref="S198">IF(R198&gt;5,"Perlu Sensus",IF(AND(R198&gt;=0,O198&gt;0),"Tetap Deteksi","Belum Deteksi"))</f>
        <v>Tetap Deteksi</v>
      </c>
      <c r="T198" s="143">
        <v>153</v>
      </c>
      <c r="U198" s="9">
        <f t="shared" ref="U198:U201" si="36">IFERROR(T198/O198*100,0)</f>
        <v>22.633136094674555</v>
      </c>
      <c r="V198" s="11">
        <v>0</v>
      </c>
      <c r="W198" s="143">
        <v>501</v>
      </c>
      <c r="X198" s="143">
        <v>44</v>
      </c>
      <c r="Y198" s="9">
        <f t="shared" ref="Y198:Y201" si="37">IFERROR(X198/W198*100,0)</f>
        <v>8.7824351297405201</v>
      </c>
      <c r="Z198" s="8" t="str">
        <f t="array" ref="Z198">IF(Y198&gt;5,"Perlu Sensus",IF(AND(Y198&gt;=0,W198&gt;0),"Tetap Deteksi","Belum Deteksi"))</f>
        <v>Perlu Sensus</v>
      </c>
      <c r="AA198" s="143">
        <v>73</v>
      </c>
      <c r="AB198" s="9">
        <f t="shared" ref="AB198:AB201" si="38">IFERROR(AA198/W198*100,0)</f>
        <v>14.570858283433132</v>
      </c>
      <c r="AC198" s="11"/>
      <c r="AD198" s="143"/>
      <c r="AE198" s="9">
        <f t="array" ref="AE198">IFERROR(AD198/$G198*100,0)</f>
        <v>0</v>
      </c>
      <c r="AF198" s="143"/>
      <c r="AG198" s="9">
        <f t="shared" ref="AG198:AG201" si="39">IFERROR(AF198/AD198*100,0)</f>
        <v>0</v>
      </c>
      <c r="AH198" s="8" t="str">
        <f t="array" ref="AH198">IF(AG198&gt;5,"Perlu Sensus",IF(AND(AG198&gt;=0,AD198&gt;0),"Tetap Deteksi","Belum Deteksi"))</f>
        <v>Belum Deteksi</v>
      </c>
      <c r="AI198" s="143"/>
      <c r="AJ198" s="9">
        <f t="shared" ref="AJ198:AJ201" si="40">IFERROR(AI198/AD198*100,0)</f>
        <v>0</v>
      </c>
      <c r="AK198" s="11"/>
      <c r="AL198" s="143"/>
      <c r="AM198" s="143"/>
      <c r="AN198" s="9">
        <f t="shared" ref="AN198:AN201" si="41">IFERROR(AM198/AL198*100,0)</f>
        <v>0</v>
      </c>
      <c r="AO198" s="8" t="str">
        <f t="array" ref="AO198">IF(AN198&gt;5,"Perlu Sensus",IF(AND(AN198&gt;=0,AL198&gt;0),"Tetap Deteksi","Belum Deteksi"))</f>
        <v>Belum Deteksi</v>
      </c>
      <c r="AP198" s="143"/>
      <c r="AQ198" s="9">
        <f t="shared" ref="AQ198:AQ201" si="42">IFERROR(AP198/AL198*100,0)</f>
        <v>0</v>
      </c>
    </row>
    <row r="199" spans="1:43" outlineLevel="1" x14ac:dyDescent="0.15">
      <c r="A199" s="8" t="s">
        <v>1821</v>
      </c>
      <c r="B199" s="8"/>
      <c r="C199" s="8" t="s">
        <v>290</v>
      </c>
      <c r="D199" s="8" t="s">
        <v>1913</v>
      </c>
      <c r="E199" s="9">
        <v>43.559999999999995</v>
      </c>
      <c r="F199" s="8" t="s">
        <v>1823</v>
      </c>
      <c r="G199" s="10">
        <v>6558.9999999999991</v>
      </c>
      <c r="H199" s="11">
        <f t="array" ref="H199">IF(OR(N199&gt;0,AC199&gt;0),MAX(N199,AC199),MAX(AK199,V199))</f>
        <v>46241</v>
      </c>
      <c r="I199" s="143">
        <f t="array" ref="I199">IF(SUM(O199,AD199)&gt;0,SUM(O199,AD199),SUM(AL199,W199))</f>
        <v>652</v>
      </c>
      <c r="J199" s="9">
        <f t="shared" si="33"/>
        <v>9.9405397164201865</v>
      </c>
      <c r="K199" s="143">
        <f t="shared" ref="K199:K201" si="43">IF(SUM(Q199,AF199)&gt;0,SUM(Q199,AF199),SUM(AM199,X199))</f>
        <v>30</v>
      </c>
      <c r="L199" s="9">
        <f t="shared" si="34"/>
        <v>4.6012269938650308</v>
      </c>
      <c r="M199" s="8" t="str">
        <f t="array" ref="M199">IF(L199&gt;5,"Perlu Sensus",IF(AND(L199&gt;=0,I199&gt;0),"Tetap Deteksi","Belum Deteksi"))</f>
        <v>Tetap Deteksi</v>
      </c>
      <c r="N199" s="11">
        <v>46241</v>
      </c>
      <c r="O199" s="143">
        <v>652</v>
      </c>
      <c r="P199" s="9">
        <f t="array" ref="P199">IFERROR(O199/$G199*100,0)</f>
        <v>9.9405397164201865</v>
      </c>
      <c r="Q199" s="143">
        <v>30</v>
      </c>
      <c r="R199" s="9">
        <f t="shared" si="35"/>
        <v>4.6012269938650308</v>
      </c>
      <c r="S199" s="8" t="str">
        <f t="array" ref="S199">IF(R199&gt;5,"Perlu Sensus",IF(AND(R199&gt;=0,O199&gt;0),"Tetap Deteksi","Belum Deteksi"))</f>
        <v>Tetap Deteksi</v>
      </c>
      <c r="T199" s="143">
        <v>143</v>
      </c>
      <c r="U199" s="9">
        <f t="shared" si="36"/>
        <v>21.932515337423315</v>
      </c>
      <c r="V199" s="11">
        <v>46240</v>
      </c>
      <c r="W199" s="143">
        <v>805</v>
      </c>
      <c r="X199" s="143">
        <v>41</v>
      </c>
      <c r="Y199" s="9">
        <f t="shared" si="37"/>
        <v>5.0931677018633543</v>
      </c>
      <c r="Z199" s="8" t="str">
        <f t="array" ref="Z199">IF(Y199&gt;5,"Perlu Sensus",IF(AND(Y199&gt;=0,W199&gt;0),"Tetap Deteksi","Belum Deteksi"))</f>
        <v>Perlu Sensus</v>
      </c>
      <c r="AA199" s="143">
        <v>77</v>
      </c>
      <c r="AB199" s="9">
        <f t="shared" si="38"/>
        <v>9.5652173913043477</v>
      </c>
      <c r="AC199" s="11"/>
      <c r="AD199" s="143"/>
      <c r="AE199" s="9">
        <f t="array" ref="AE199">IFERROR(AD199/$G199*100,0)</f>
        <v>0</v>
      </c>
      <c r="AF199" s="143"/>
      <c r="AG199" s="9">
        <f t="shared" si="39"/>
        <v>0</v>
      </c>
      <c r="AH199" s="8" t="str">
        <f t="array" ref="AH199">IF(AG199&gt;5,"Perlu Sensus",IF(AND(AG199&gt;=0,AD199&gt;0),"Tetap Deteksi","Belum Deteksi"))</f>
        <v>Belum Deteksi</v>
      </c>
      <c r="AI199" s="143"/>
      <c r="AJ199" s="9">
        <f t="shared" si="40"/>
        <v>0</v>
      </c>
      <c r="AK199" s="11"/>
      <c r="AL199" s="143"/>
      <c r="AM199" s="143"/>
      <c r="AN199" s="9">
        <f t="shared" si="41"/>
        <v>0</v>
      </c>
      <c r="AO199" s="8" t="str">
        <f t="array" ref="AO199">IF(AN199&gt;5,"Perlu Sensus",IF(AND(AN199&gt;=0,AL199&gt;0),"Tetap Deteksi","Belum Deteksi"))</f>
        <v>Belum Deteksi</v>
      </c>
      <c r="AP199" s="143"/>
      <c r="AQ199" s="9">
        <f t="shared" si="42"/>
        <v>0</v>
      </c>
    </row>
    <row r="200" spans="1:43" outlineLevel="1" x14ac:dyDescent="0.15">
      <c r="A200" s="8" t="s">
        <v>1821</v>
      </c>
      <c r="B200" s="8"/>
      <c r="C200" s="8" t="s">
        <v>290</v>
      </c>
      <c r="D200" s="8" t="s">
        <v>1787</v>
      </c>
      <c r="E200" s="9">
        <v>23.56</v>
      </c>
      <c r="F200" s="8" t="s">
        <v>1823</v>
      </c>
      <c r="G200" s="10">
        <v>2971</v>
      </c>
      <c r="H200" s="11">
        <f t="array" ref="H200">IF(OR(N200&gt;0,AC200&gt;0),MAX(N200,AC200),MAX(AK200,V200))</f>
        <v>46240</v>
      </c>
      <c r="I200" s="143">
        <f t="array" ref="I200">IF(SUM(O200,AD200)&gt;0,SUM(O200,AD200),SUM(AL200,W200))</f>
        <v>339</v>
      </c>
      <c r="J200" s="9">
        <f t="shared" si="33"/>
        <v>11.41029956243689</v>
      </c>
      <c r="K200" s="143">
        <f t="shared" si="43"/>
        <v>14</v>
      </c>
      <c r="L200" s="9">
        <f t="shared" si="34"/>
        <v>4.1297935103244834</v>
      </c>
      <c r="M200" s="8" t="str">
        <f t="array" ref="M200">IF(L200&gt;5,"Perlu Sensus",IF(AND(L200&gt;=0,I200&gt;0),"Tetap Deteksi","Belum Deteksi"))</f>
        <v>Tetap Deteksi</v>
      </c>
      <c r="N200" s="11">
        <v>46240</v>
      </c>
      <c r="O200" s="143">
        <v>339</v>
      </c>
      <c r="P200" s="9">
        <f t="array" ref="P200">IFERROR(O200/$G200*100,0)</f>
        <v>11.41029956243689</v>
      </c>
      <c r="Q200" s="143">
        <v>14</v>
      </c>
      <c r="R200" s="9">
        <f t="shared" si="35"/>
        <v>4.1297935103244834</v>
      </c>
      <c r="S200" s="8" t="str">
        <f t="array" ref="S200">IF(R200&gt;5,"Perlu Sensus",IF(AND(R200&gt;=0,O200&gt;0),"Tetap Deteksi","Belum Deteksi"))</f>
        <v>Tetap Deteksi</v>
      </c>
      <c r="T200" s="143">
        <v>100</v>
      </c>
      <c r="U200" s="9">
        <f t="shared" si="36"/>
        <v>29.498525073746311</v>
      </c>
      <c r="V200" s="11">
        <v>0</v>
      </c>
      <c r="W200" s="143">
        <v>0</v>
      </c>
      <c r="X200" s="143">
        <v>0</v>
      </c>
      <c r="Y200" s="9">
        <f t="shared" si="37"/>
        <v>0</v>
      </c>
      <c r="Z200" s="8" t="str">
        <f t="array" ref="Z200">IF(Y200&gt;5,"Perlu Sensus",IF(AND(Y200&gt;=0,W200&gt;0),"Tetap Deteksi","Belum Deteksi"))</f>
        <v>Belum Deteksi</v>
      </c>
      <c r="AA200" s="143">
        <v>0</v>
      </c>
      <c r="AB200" s="9">
        <f t="shared" si="38"/>
        <v>0</v>
      </c>
      <c r="AC200" s="11"/>
      <c r="AD200" s="143"/>
      <c r="AE200" s="9">
        <f t="array" ref="AE200">IFERROR(AD200/$G200*100,0)</f>
        <v>0</v>
      </c>
      <c r="AF200" s="143"/>
      <c r="AG200" s="9">
        <f t="shared" si="39"/>
        <v>0</v>
      </c>
      <c r="AH200" s="8" t="str">
        <f t="array" ref="AH200">IF(AG200&gt;5,"Perlu Sensus",IF(AND(AG200&gt;=0,AD200&gt;0),"Tetap Deteksi","Belum Deteksi"))</f>
        <v>Belum Deteksi</v>
      </c>
      <c r="AI200" s="143"/>
      <c r="AJ200" s="9">
        <f t="shared" si="40"/>
        <v>0</v>
      </c>
      <c r="AK200" s="11"/>
      <c r="AL200" s="143"/>
      <c r="AM200" s="143"/>
      <c r="AN200" s="9">
        <f t="shared" si="41"/>
        <v>0</v>
      </c>
      <c r="AO200" s="8" t="str">
        <f t="array" ref="AO200">IF(AN200&gt;5,"Perlu Sensus",IF(AND(AN200&gt;=0,AL200&gt;0),"Tetap Deteksi","Belum Deteksi"))</f>
        <v>Belum Deteksi</v>
      </c>
      <c r="AP200" s="143"/>
      <c r="AQ200" s="9">
        <f t="shared" si="42"/>
        <v>0</v>
      </c>
    </row>
    <row r="201" spans="1:43" outlineLevel="1" x14ac:dyDescent="0.15">
      <c r="A201" s="8" t="s">
        <v>1821</v>
      </c>
      <c r="B201" s="8"/>
      <c r="C201" s="8" t="s">
        <v>290</v>
      </c>
      <c r="D201" s="8" t="s">
        <v>1788</v>
      </c>
      <c r="E201" s="9">
        <v>31.150000000000002</v>
      </c>
      <c r="F201" s="8" t="s">
        <v>1823</v>
      </c>
      <c r="G201" s="10">
        <v>4427</v>
      </c>
      <c r="H201" s="11">
        <f t="array" ref="H201">IF(OR(N201&gt;0,AC201&gt;0),MAX(N201,AC201),MAX(AK201,V201))</f>
        <v>46240</v>
      </c>
      <c r="I201" s="143">
        <f t="array" ref="I201">IF(SUM(O201,AD201)&gt;0,SUM(O201,AD201),SUM(AL201,W201))</f>
        <v>135</v>
      </c>
      <c r="J201" s="9">
        <f t="shared" si="33"/>
        <v>3.0494691664784277</v>
      </c>
      <c r="K201" s="143">
        <f t="shared" si="43"/>
        <v>4</v>
      </c>
      <c r="L201" s="9">
        <f t="shared" si="34"/>
        <v>2.9629629629629632</v>
      </c>
      <c r="M201" s="8" t="str">
        <f t="array" ref="M201">IF(L201&gt;5,"Perlu Sensus",IF(AND(L201&gt;=0,I201&gt;0),"Tetap Deteksi","Belum Deteksi"))</f>
        <v>Tetap Deteksi</v>
      </c>
      <c r="N201" s="11">
        <v>46240</v>
      </c>
      <c r="O201" s="143">
        <v>135</v>
      </c>
      <c r="P201" s="9">
        <f t="array" ref="P201">IFERROR(O201/$G201*100,0)</f>
        <v>3.0494691664784277</v>
      </c>
      <c r="Q201" s="143">
        <v>4</v>
      </c>
      <c r="R201" s="9">
        <f t="shared" si="35"/>
        <v>2.9629629629629632</v>
      </c>
      <c r="S201" s="8" t="str">
        <f t="array" ref="S201">IF(R201&gt;5,"Perlu Sensus",IF(AND(R201&gt;=0,O201&gt;0),"Tetap Deteksi","Belum Deteksi"))</f>
        <v>Tetap Deteksi</v>
      </c>
      <c r="T201" s="143">
        <v>32</v>
      </c>
      <c r="U201" s="9">
        <f t="shared" si="36"/>
        <v>23.703703703703706</v>
      </c>
      <c r="V201" s="11">
        <v>46242</v>
      </c>
      <c r="W201" s="143">
        <v>775</v>
      </c>
      <c r="X201" s="143">
        <v>66</v>
      </c>
      <c r="Y201" s="9">
        <f t="shared" si="37"/>
        <v>8.5161290322580641</v>
      </c>
      <c r="Z201" s="8" t="str">
        <f t="array" ref="Z201">IF(Y201&gt;5,"Perlu Sensus",IF(AND(Y201&gt;=0,W201&gt;0),"Tetap Deteksi","Belum Deteksi"))</f>
        <v>Perlu Sensus</v>
      </c>
      <c r="AA201" s="143">
        <v>89</v>
      </c>
      <c r="AB201" s="9">
        <f t="shared" si="38"/>
        <v>11.483870967741936</v>
      </c>
      <c r="AC201" s="11"/>
      <c r="AD201" s="143"/>
      <c r="AE201" s="9">
        <f t="array" ref="AE201">IFERROR(AD201/$G201*100,0)</f>
        <v>0</v>
      </c>
      <c r="AF201" s="143"/>
      <c r="AG201" s="9">
        <f t="shared" si="39"/>
        <v>0</v>
      </c>
      <c r="AH201" s="8" t="str">
        <f t="array" ref="AH201">IF(AG201&gt;5,"Perlu Sensus",IF(AND(AG201&gt;=0,AD201&gt;0),"Tetap Deteksi","Belum Deteksi"))</f>
        <v>Belum Deteksi</v>
      </c>
      <c r="AI201" s="143"/>
      <c r="AJ201" s="9">
        <f t="shared" si="40"/>
        <v>0</v>
      </c>
      <c r="AK201" s="11"/>
      <c r="AL201" s="143"/>
      <c r="AM201" s="143"/>
      <c r="AN201" s="9">
        <f t="shared" si="41"/>
        <v>0</v>
      </c>
      <c r="AO201" s="8" t="str">
        <f t="array" ref="AO201">IF(AN201&gt;5,"Perlu Sensus",IF(AND(AN201&gt;=0,AL201&gt;0),"Tetap Deteksi","Belum Deteksi"))</f>
        <v>Belum Deteksi</v>
      </c>
      <c r="AP201" s="143"/>
      <c r="AQ201" s="9">
        <f t="shared" si="42"/>
        <v>0</v>
      </c>
    </row>
    <row r="202" spans="1:43" outlineLevel="1" x14ac:dyDescent="0.15">
      <c r="A202" s="8"/>
      <c r="B202" s="8"/>
      <c r="C202" s="8"/>
      <c r="D202" s="8"/>
      <c r="E202" s="9"/>
      <c r="F202" s="8"/>
      <c r="G202" s="10"/>
      <c r="H202" s="132"/>
      <c r="I202" s="140"/>
      <c r="J202" s="9"/>
      <c r="K202" s="140"/>
      <c r="L202" s="9"/>
      <c r="M202" s="8"/>
      <c r="N202" s="132"/>
      <c r="O202" s="140"/>
      <c r="P202" s="9"/>
      <c r="Q202" s="140"/>
      <c r="R202" s="9"/>
      <c r="S202" s="8"/>
      <c r="T202" s="8"/>
      <c r="U202" s="8"/>
      <c r="V202" s="132"/>
      <c r="W202" s="140"/>
      <c r="X202" s="140"/>
      <c r="Y202" s="9"/>
      <c r="Z202" s="8"/>
      <c r="AA202" s="8"/>
      <c r="AB202" s="8"/>
      <c r="AC202" s="132"/>
      <c r="AD202" s="140"/>
      <c r="AE202" s="9"/>
      <c r="AF202" s="140"/>
      <c r="AG202" s="9"/>
      <c r="AH202" s="8"/>
      <c r="AI202" s="8"/>
      <c r="AJ202" s="8"/>
      <c r="AK202" s="132"/>
      <c r="AL202" s="140"/>
      <c r="AM202" s="140"/>
      <c r="AN202" s="9"/>
      <c r="AO202" s="8"/>
      <c r="AP202" s="8"/>
      <c r="AQ202" s="8"/>
    </row>
    <row r="203" spans="1:43" outlineLevel="1" x14ac:dyDescent="0.15">
      <c r="A203" s="8"/>
      <c r="B203" s="8"/>
      <c r="C203" s="8"/>
      <c r="D203" s="8"/>
      <c r="E203" s="9"/>
      <c r="F203" s="8"/>
      <c r="G203" s="10"/>
      <c r="H203" s="132"/>
      <c r="I203" s="140"/>
      <c r="J203" s="9"/>
      <c r="K203" s="140"/>
      <c r="L203" s="9"/>
      <c r="M203" s="8"/>
      <c r="N203" s="132"/>
      <c r="O203" s="140"/>
      <c r="P203" s="9"/>
      <c r="Q203" s="140"/>
      <c r="R203" s="9"/>
      <c r="S203" s="8"/>
      <c r="T203" s="8"/>
      <c r="U203" s="8"/>
      <c r="V203" s="132"/>
      <c r="W203" s="140"/>
      <c r="X203" s="140"/>
      <c r="Y203" s="9"/>
      <c r="Z203" s="8"/>
      <c r="AA203" s="8"/>
      <c r="AB203" s="8"/>
      <c r="AC203" s="132"/>
      <c r="AD203" s="140"/>
      <c r="AE203" s="9"/>
      <c r="AF203" s="140"/>
      <c r="AG203" s="9"/>
      <c r="AH203" s="8"/>
      <c r="AI203" s="8"/>
      <c r="AJ203" s="8"/>
      <c r="AK203" s="132"/>
      <c r="AL203" s="140"/>
      <c r="AM203" s="140"/>
      <c r="AN203" s="9"/>
      <c r="AO203" s="8"/>
      <c r="AP203" s="8"/>
      <c r="AQ203" s="8"/>
    </row>
    <row r="204" spans="1:43" outlineLevel="1" x14ac:dyDescent="0.15">
      <c r="A204" s="8"/>
      <c r="B204" s="8"/>
      <c r="C204" s="8"/>
      <c r="D204" s="8"/>
      <c r="E204" s="9"/>
      <c r="F204" s="8"/>
      <c r="G204" s="10"/>
      <c r="H204" s="132"/>
      <c r="I204" s="140"/>
      <c r="J204" s="9"/>
      <c r="K204" s="140"/>
      <c r="L204" s="9"/>
      <c r="M204" s="8"/>
      <c r="N204" s="132"/>
      <c r="O204" s="140"/>
      <c r="P204" s="9"/>
      <c r="Q204" s="140"/>
      <c r="R204" s="9"/>
      <c r="S204" s="8"/>
      <c r="T204" s="8"/>
      <c r="U204" s="8"/>
      <c r="V204" s="132"/>
      <c r="W204" s="140"/>
      <c r="X204" s="140"/>
      <c r="Y204" s="9"/>
      <c r="Z204" s="8"/>
      <c r="AA204" s="8"/>
      <c r="AB204" s="8"/>
      <c r="AC204" s="132"/>
      <c r="AD204" s="140"/>
      <c r="AE204" s="9"/>
      <c r="AF204" s="140"/>
      <c r="AG204" s="9"/>
      <c r="AH204" s="8"/>
      <c r="AI204" s="8"/>
      <c r="AJ204" s="8"/>
      <c r="AK204" s="132"/>
      <c r="AL204" s="140"/>
      <c r="AM204" s="140"/>
      <c r="AN204" s="9"/>
      <c r="AO204" s="8"/>
      <c r="AP204" s="8"/>
      <c r="AQ204" s="8"/>
    </row>
    <row r="205" spans="1:43" outlineLevel="1" x14ac:dyDescent="0.15">
      <c r="A205" s="8"/>
      <c r="B205" s="8"/>
      <c r="C205" s="8"/>
      <c r="D205" s="8"/>
      <c r="E205" s="9"/>
      <c r="F205" s="8"/>
      <c r="G205" s="10"/>
      <c r="H205" s="132"/>
      <c r="I205" s="140"/>
      <c r="J205" s="9"/>
      <c r="K205" s="140"/>
      <c r="L205" s="9"/>
      <c r="M205" s="8"/>
      <c r="N205" s="132"/>
      <c r="O205" s="140"/>
      <c r="P205" s="9"/>
      <c r="Q205" s="140"/>
      <c r="R205" s="9"/>
      <c r="S205" s="8"/>
      <c r="T205" s="8"/>
      <c r="U205" s="8"/>
      <c r="V205" s="132"/>
      <c r="W205" s="140"/>
      <c r="X205" s="140"/>
      <c r="Y205" s="9"/>
      <c r="Z205" s="8"/>
      <c r="AA205" s="8"/>
      <c r="AB205" s="8"/>
      <c r="AC205" s="132"/>
      <c r="AD205" s="140"/>
      <c r="AE205" s="9"/>
      <c r="AF205" s="140"/>
      <c r="AG205" s="9"/>
      <c r="AH205" s="8"/>
      <c r="AI205" s="8"/>
      <c r="AJ205" s="8"/>
      <c r="AK205" s="132"/>
      <c r="AL205" s="140"/>
      <c r="AM205" s="140"/>
      <c r="AN205" s="9"/>
      <c r="AO205" s="8"/>
      <c r="AP205" s="8"/>
      <c r="AQ205" s="8"/>
    </row>
    <row r="206" spans="1:43" outlineLevel="1" x14ac:dyDescent="0.15">
      <c r="A206" s="8"/>
      <c r="B206" s="8"/>
      <c r="C206" s="8"/>
      <c r="D206" s="8"/>
      <c r="E206" s="9"/>
      <c r="F206" s="8"/>
      <c r="G206" s="10"/>
      <c r="H206" s="132"/>
      <c r="I206" s="140"/>
      <c r="J206" s="9"/>
      <c r="K206" s="140"/>
      <c r="L206" s="9"/>
      <c r="M206" s="8"/>
      <c r="N206" s="132"/>
      <c r="O206" s="140"/>
      <c r="P206" s="9"/>
      <c r="Q206" s="140"/>
      <c r="R206" s="9"/>
      <c r="S206" s="8"/>
      <c r="T206" s="8"/>
      <c r="U206" s="8"/>
      <c r="V206" s="132"/>
      <c r="W206" s="140"/>
      <c r="X206" s="140"/>
      <c r="Y206" s="9"/>
      <c r="Z206" s="8"/>
      <c r="AA206" s="8"/>
      <c r="AB206" s="8"/>
      <c r="AC206" s="132"/>
      <c r="AD206" s="140"/>
      <c r="AE206" s="9"/>
      <c r="AF206" s="140"/>
      <c r="AG206" s="9"/>
      <c r="AH206" s="8"/>
      <c r="AI206" s="8"/>
      <c r="AJ206" s="8"/>
      <c r="AK206" s="132"/>
      <c r="AL206" s="140"/>
      <c r="AM206" s="140"/>
      <c r="AN206" s="9"/>
      <c r="AO206" s="8"/>
      <c r="AP206" s="8"/>
      <c r="AQ206" s="8"/>
    </row>
    <row r="207" spans="1:43" outlineLevel="1" x14ac:dyDescent="0.15">
      <c r="A207" s="8"/>
      <c r="B207" s="8"/>
      <c r="C207" s="8"/>
      <c r="D207" s="8"/>
      <c r="E207" s="9"/>
      <c r="F207" s="8"/>
      <c r="G207" s="10"/>
      <c r="H207" s="132"/>
      <c r="I207" s="140"/>
      <c r="J207" s="9"/>
      <c r="K207" s="140"/>
      <c r="L207" s="9"/>
      <c r="M207" s="8"/>
      <c r="N207" s="132"/>
      <c r="O207" s="140"/>
      <c r="P207" s="9"/>
      <c r="Q207" s="140"/>
      <c r="R207" s="9"/>
      <c r="S207" s="8"/>
      <c r="T207" s="8"/>
      <c r="U207" s="8"/>
      <c r="V207" s="132"/>
      <c r="W207" s="140"/>
      <c r="X207" s="140"/>
      <c r="Y207" s="9"/>
      <c r="Z207" s="8"/>
      <c r="AA207" s="8"/>
      <c r="AB207" s="8"/>
      <c r="AC207" s="132"/>
      <c r="AD207" s="140"/>
      <c r="AE207" s="9"/>
      <c r="AF207" s="140"/>
      <c r="AG207" s="9"/>
      <c r="AH207" s="8"/>
      <c r="AI207" s="8"/>
      <c r="AJ207" s="8"/>
      <c r="AK207" s="132"/>
      <c r="AL207" s="140"/>
      <c r="AM207" s="140"/>
      <c r="AN207" s="9"/>
      <c r="AO207" s="8"/>
      <c r="AP207" s="8"/>
      <c r="AQ207" s="8"/>
    </row>
    <row r="208" spans="1:43" outlineLevel="1" x14ac:dyDescent="0.15">
      <c r="A208" s="8"/>
      <c r="B208" s="8"/>
      <c r="C208" s="8"/>
      <c r="D208" s="8"/>
      <c r="E208" s="9"/>
      <c r="F208" s="8"/>
      <c r="G208" s="10"/>
      <c r="H208" s="132"/>
      <c r="I208" s="140"/>
      <c r="J208" s="9"/>
      <c r="K208" s="140"/>
      <c r="L208" s="9"/>
      <c r="M208" s="8"/>
      <c r="N208" s="132"/>
      <c r="O208" s="140"/>
      <c r="P208" s="9"/>
      <c r="Q208" s="140"/>
      <c r="R208" s="9"/>
      <c r="S208" s="8"/>
      <c r="T208" s="8"/>
      <c r="U208" s="8"/>
      <c r="V208" s="132"/>
      <c r="W208" s="140"/>
      <c r="X208" s="140"/>
      <c r="Y208" s="9"/>
      <c r="Z208" s="8"/>
      <c r="AA208" s="8"/>
      <c r="AB208" s="8"/>
      <c r="AC208" s="132"/>
      <c r="AD208" s="140"/>
      <c r="AE208" s="9"/>
      <c r="AF208" s="140"/>
      <c r="AG208" s="9"/>
      <c r="AH208" s="8"/>
      <c r="AI208" s="8"/>
      <c r="AJ208" s="8"/>
      <c r="AK208" s="132"/>
      <c r="AL208" s="140"/>
      <c r="AM208" s="140"/>
      <c r="AN208" s="9"/>
      <c r="AO208" s="8"/>
      <c r="AP208" s="8"/>
      <c r="AQ208" s="8"/>
    </row>
    <row r="209" spans="1:43" outlineLevel="1" x14ac:dyDescent="0.15">
      <c r="A209" s="8"/>
      <c r="B209" s="8"/>
      <c r="C209" s="8"/>
      <c r="D209" s="8"/>
      <c r="E209" s="9"/>
      <c r="F209" s="8"/>
      <c r="G209" s="10"/>
      <c r="H209" s="132"/>
      <c r="I209" s="140"/>
      <c r="J209" s="9"/>
      <c r="K209" s="140"/>
      <c r="L209" s="9"/>
      <c r="M209" s="8"/>
      <c r="N209" s="132"/>
      <c r="O209" s="140"/>
      <c r="P209" s="9"/>
      <c r="Q209" s="140"/>
      <c r="R209" s="9"/>
      <c r="S209" s="8"/>
      <c r="T209" s="8"/>
      <c r="U209" s="8"/>
      <c r="V209" s="132"/>
      <c r="W209" s="140"/>
      <c r="X209" s="140"/>
      <c r="Y209" s="9"/>
      <c r="Z209" s="8"/>
      <c r="AA209" s="8"/>
      <c r="AB209" s="8"/>
      <c r="AC209" s="132"/>
      <c r="AD209" s="140"/>
      <c r="AE209" s="9"/>
      <c r="AF209" s="140"/>
      <c r="AG209" s="9"/>
      <c r="AH209" s="8"/>
      <c r="AI209" s="8"/>
      <c r="AJ209" s="8"/>
      <c r="AK209" s="132"/>
      <c r="AL209" s="140"/>
      <c r="AM209" s="140"/>
      <c r="AN209" s="9"/>
      <c r="AO209" s="8"/>
      <c r="AP209" s="8"/>
      <c r="AQ209" s="8"/>
    </row>
    <row r="210" spans="1:43" outlineLevel="1" x14ac:dyDescent="0.15">
      <c r="A210" s="8"/>
      <c r="B210" s="8"/>
      <c r="C210" s="8"/>
      <c r="D210" s="8"/>
      <c r="E210" s="9"/>
      <c r="F210" s="8"/>
      <c r="G210" s="10"/>
      <c r="H210" s="132"/>
      <c r="I210" s="140"/>
      <c r="J210" s="9"/>
      <c r="K210" s="140"/>
      <c r="L210" s="9"/>
      <c r="M210" s="8"/>
      <c r="N210" s="132"/>
      <c r="O210" s="140"/>
      <c r="P210" s="9"/>
      <c r="Q210" s="140"/>
      <c r="R210" s="9"/>
      <c r="S210" s="8"/>
      <c r="T210" s="8"/>
      <c r="U210" s="8"/>
      <c r="V210" s="132"/>
      <c r="W210" s="140"/>
      <c r="X210" s="140"/>
      <c r="Y210" s="9"/>
      <c r="Z210" s="8"/>
      <c r="AA210" s="8"/>
      <c r="AB210" s="8"/>
      <c r="AC210" s="132"/>
      <c r="AD210" s="140"/>
      <c r="AE210" s="9"/>
      <c r="AF210" s="140"/>
      <c r="AG210" s="9"/>
      <c r="AH210" s="8"/>
      <c r="AI210" s="8"/>
      <c r="AJ210" s="8"/>
      <c r="AK210" s="132"/>
      <c r="AL210" s="140"/>
      <c r="AM210" s="140"/>
      <c r="AN210" s="9"/>
      <c r="AO210" s="8"/>
      <c r="AP210" s="8"/>
      <c r="AQ210" s="8"/>
    </row>
    <row r="211" spans="1:43" outlineLevel="1" x14ac:dyDescent="0.15">
      <c r="A211" s="8"/>
      <c r="B211" s="8"/>
      <c r="C211" s="8"/>
      <c r="D211" s="8"/>
      <c r="E211" s="9"/>
      <c r="F211" s="8"/>
      <c r="G211" s="10"/>
      <c r="H211" s="132"/>
      <c r="I211" s="140"/>
      <c r="J211" s="9"/>
      <c r="K211" s="140"/>
      <c r="L211" s="9"/>
      <c r="M211" s="8"/>
      <c r="N211" s="132"/>
      <c r="O211" s="140"/>
      <c r="P211" s="9"/>
      <c r="Q211" s="140"/>
      <c r="R211" s="9"/>
      <c r="S211" s="8"/>
      <c r="T211" s="8"/>
      <c r="U211" s="8"/>
      <c r="V211" s="132"/>
      <c r="W211" s="140"/>
      <c r="X211" s="140"/>
      <c r="Y211" s="9"/>
      <c r="Z211" s="8"/>
      <c r="AA211" s="8"/>
      <c r="AB211" s="8"/>
      <c r="AC211" s="132"/>
      <c r="AD211" s="140"/>
      <c r="AE211" s="9"/>
      <c r="AF211" s="140"/>
      <c r="AG211" s="9"/>
      <c r="AH211" s="8"/>
      <c r="AI211" s="8"/>
      <c r="AJ211" s="8"/>
      <c r="AK211" s="132"/>
      <c r="AL211" s="140"/>
      <c r="AM211" s="140"/>
      <c r="AN211" s="9"/>
      <c r="AO211" s="8"/>
      <c r="AP211" s="8"/>
      <c r="AQ211" s="8"/>
    </row>
    <row r="212" spans="1:43" outlineLevel="1" x14ac:dyDescent="0.15">
      <c r="A212" s="8"/>
      <c r="B212" s="8"/>
      <c r="C212" s="8"/>
      <c r="D212" s="8"/>
      <c r="E212" s="9"/>
      <c r="F212" s="8"/>
      <c r="G212" s="10"/>
      <c r="H212" s="132"/>
      <c r="I212" s="140"/>
      <c r="J212" s="9"/>
      <c r="K212" s="140"/>
      <c r="L212" s="9"/>
      <c r="M212" s="8"/>
      <c r="N212" s="132"/>
      <c r="O212" s="140"/>
      <c r="P212" s="9"/>
      <c r="Q212" s="140"/>
      <c r="R212" s="9"/>
      <c r="S212" s="8"/>
      <c r="T212" s="8"/>
      <c r="U212" s="8"/>
      <c r="V212" s="132"/>
      <c r="W212" s="140"/>
      <c r="X212" s="140"/>
      <c r="Y212" s="9"/>
      <c r="Z212" s="8"/>
      <c r="AA212" s="8"/>
      <c r="AB212" s="8"/>
      <c r="AC212" s="132"/>
      <c r="AD212" s="140"/>
      <c r="AE212" s="9"/>
      <c r="AF212" s="140"/>
      <c r="AG212" s="9"/>
      <c r="AH212" s="8"/>
      <c r="AI212" s="8"/>
      <c r="AJ212" s="8"/>
      <c r="AK212" s="132"/>
      <c r="AL212" s="140"/>
      <c r="AM212" s="140"/>
      <c r="AN212" s="9"/>
      <c r="AO212" s="8"/>
      <c r="AP212" s="8"/>
      <c r="AQ212" s="8"/>
    </row>
    <row r="213" spans="1:43" outlineLevel="1" x14ac:dyDescent="0.15">
      <c r="A213" s="8"/>
      <c r="B213" s="8"/>
      <c r="C213" s="8"/>
      <c r="D213" s="8"/>
      <c r="E213" s="9"/>
      <c r="F213" s="8"/>
      <c r="G213" s="10"/>
      <c r="H213" s="132"/>
      <c r="I213" s="140"/>
      <c r="J213" s="9"/>
      <c r="K213" s="140"/>
      <c r="L213" s="9"/>
      <c r="M213" s="8"/>
      <c r="N213" s="132"/>
      <c r="O213" s="140"/>
      <c r="P213" s="9"/>
      <c r="Q213" s="140"/>
      <c r="R213" s="9"/>
      <c r="S213" s="8"/>
      <c r="T213" s="8"/>
      <c r="U213" s="8"/>
      <c r="V213" s="132"/>
      <c r="W213" s="140"/>
      <c r="X213" s="140"/>
      <c r="Y213" s="9"/>
      <c r="Z213" s="8"/>
      <c r="AA213" s="8"/>
      <c r="AB213" s="8"/>
      <c r="AC213" s="132"/>
      <c r="AD213" s="140"/>
      <c r="AE213" s="9"/>
      <c r="AF213" s="140"/>
      <c r="AG213" s="9"/>
      <c r="AH213" s="8"/>
      <c r="AI213" s="8"/>
      <c r="AJ213" s="8"/>
      <c r="AK213" s="132"/>
      <c r="AL213" s="140"/>
      <c r="AM213" s="140"/>
      <c r="AN213" s="9"/>
      <c r="AO213" s="8"/>
      <c r="AP213" s="8"/>
      <c r="AQ213" s="8"/>
    </row>
    <row r="214" spans="1:43" outlineLevel="1" x14ac:dyDescent="0.15">
      <c r="A214" s="8"/>
      <c r="B214" s="8"/>
      <c r="C214" s="8"/>
      <c r="D214" s="8"/>
      <c r="E214" s="9"/>
      <c r="F214" s="8"/>
      <c r="G214" s="10"/>
      <c r="H214" s="132"/>
      <c r="I214" s="140"/>
      <c r="J214" s="9"/>
      <c r="K214" s="140"/>
      <c r="L214" s="9"/>
      <c r="M214" s="8"/>
      <c r="N214" s="132"/>
      <c r="O214" s="140"/>
      <c r="P214" s="9"/>
      <c r="Q214" s="140"/>
      <c r="R214" s="9"/>
      <c r="S214" s="8"/>
      <c r="T214" s="8"/>
      <c r="U214" s="8"/>
      <c r="V214" s="132"/>
      <c r="W214" s="140"/>
      <c r="X214" s="140"/>
      <c r="Y214" s="9"/>
      <c r="Z214" s="8"/>
      <c r="AA214" s="8"/>
      <c r="AB214" s="8"/>
      <c r="AC214" s="132"/>
      <c r="AD214" s="140"/>
      <c r="AE214" s="9"/>
      <c r="AF214" s="140"/>
      <c r="AG214" s="9"/>
      <c r="AH214" s="8"/>
      <c r="AI214" s="8"/>
      <c r="AJ214" s="8"/>
      <c r="AK214" s="132"/>
      <c r="AL214" s="140"/>
      <c r="AM214" s="140"/>
      <c r="AN214" s="9"/>
      <c r="AO214" s="8"/>
      <c r="AP214" s="8"/>
      <c r="AQ214" s="8"/>
    </row>
    <row r="215" spans="1:43" outlineLevel="1" x14ac:dyDescent="0.15">
      <c r="A215" s="8"/>
      <c r="B215" s="8"/>
      <c r="C215" s="8"/>
      <c r="D215" s="8"/>
      <c r="E215" s="9"/>
      <c r="F215" s="8"/>
      <c r="G215" s="10"/>
      <c r="H215" s="132"/>
      <c r="I215" s="140"/>
      <c r="J215" s="9"/>
      <c r="K215" s="140"/>
      <c r="L215" s="9"/>
      <c r="M215" s="8"/>
      <c r="N215" s="132"/>
      <c r="O215" s="140"/>
      <c r="P215" s="9"/>
      <c r="Q215" s="140"/>
      <c r="R215" s="9"/>
      <c r="S215" s="8"/>
      <c r="T215" s="8"/>
      <c r="U215" s="8"/>
      <c r="V215" s="132"/>
      <c r="W215" s="140"/>
      <c r="X215" s="140"/>
      <c r="Y215" s="9"/>
      <c r="Z215" s="8"/>
      <c r="AA215" s="8"/>
      <c r="AB215" s="8"/>
      <c r="AC215" s="132"/>
      <c r="AD215" s="140"/>
      <c r="AE215" s="9"/>
      <c r="AF215" s="140"/>
      <c r="AG215" s="9"/>
      <c r="AH215" s="8"/>
      <c r="AI215" s="8"/>
      <c r="AJ215" s="8"/>
      <c r="AK215" s="132"/>
      <c r="AL215" s="140"/>
      <c r="AM215" s="140"/>
      <c r="AN215" s="9"/>
      <c r="AO215" s="8"/>
      <c r="AP215" s="8"/>
      <c r="AQ215" s="8"/>
    </row>
    <row r="216" spans="1:43" outlineLevel="1" x14ac:dyDescent="0.15">
      <c r="A216" s="8"/>
      <c r="B216" s="8"/>
      <c r="C216" s="8"/>
      <c r="D216" s="8"/>
      <c r="E216" s="9"/>
      <c r="F216" s="8"/>
      <c r="G216" s="10"/>
      <c r="H216" s="132"/>
      <c r="I216" s="8"/>
      <c r="J216" s="9"/>
      <c r="K216" s="8"/>
      <c r="L216" s="9"/>
      <c r="M216" s="8"/>
      <c r="N216" s="132"/>
      <c r="O216" s="8"/>
      <c r="P216" s="9"/>
      <c r="Q216" s="8"/>
      <c r="R216" s="9"/>
      <c r="S216" s="8"/>
      <c r="T216" s="8"/>
      <c r="U216" s="8"/>
      <c r="V216" s="132"/>
      <c r="W216" s="8"/>
      <c r="X216" s="8"/>
      <c r="Y216" s="9"/>
      <c r="Z216" s="8"/>
      <c r="AA216" s="8"/>
      <c r="AB216" s="8"/>
      <c r="AC216" s="132"/>
      <c r="AD216" s="8"/>
      <c r="AE216" s="9"/>
      <c r="AF216" s="8"/>
      <c r="AG216" s="9"/>
      <c r="AH216" s="8"/>
      <c r="AI216" s="8"/>
      <c r="AJ216" s="8"/>
      <c r="AK216" s="132"/>
      <c r="AL216" s="8"/>
      <c r="AM216" s="8"/>
      <c r="AN216" s="9"/>
      <c r="AO216" s="8"/>
      <c r="AP216" s="8"/>
      <c r="AQ216" s="8"/>
    </row>
    <row r="217" spans="1:43" outlineLevel="1" x14ac:dyDescent="0.15">
      <c r="A217" s="8"/>
      <c r="B217" s="8"/>
      <c r="C217" s="8"/>
      <c r="D217" s="8"/>
      <c r="E217" s="9"/>
      <c r="F217" s="8"/>
      <c r="G217" s="10"/>
      <c r="H217" s="132"/>
      <c r="I217" s="8"/>
      <c r="J217" s="9"/>
      <c r="K217" s="8"/>
      <c r="L217" s="9"/>
      <c r="M217" s="8"/>
      <c r="N217" s="132"/>
      <c r="O217" s="8"/>
      <c r="P217" s="9"/>
      <c r="Q217" s="8"/>
      <c r="R217" s="9"/>
      <c r="S217" s="8"/>
      <c r="T217" s="8"/>
      <c r="U217" s="8"/>
      <c r="V217" s="132"/>
      <c r="W217" s="8"/>
      <c r="X217" s="8"/>
      <c r="Y217" s="9"/>
      <c r="Z217" s="8"/>
      <c r="AA217" s="8"/>
      <c r="AB217" s="8"/>
      <c r="AC217" s="132"/>
      <c r="AD217" s="8"/>
      <c r="AE217" s="9"/>
      <c r="AF217" s="8"/>
      <c r="AG217" s="9"/>
      <c r="AH217" s="8"/>
      <c r="AI217" s="8"/>
      <c r="AJ217" s="8"/>
      <c r="AK217" s="132"/>
      <c r="AL217" s="8"/>
      <c r="AM217" s="8"/>
      <c r="AN217" s="9"/>
      <c r="AO217" s="8"/>
      <c r="AP217" s="8"/>
      <c r="AQ217" s="8"/>
    </row>
    <row r="218" spans="1:43" outlineLevel="1" x14ac:dyDescent="0.15">
      <c r="A218" s="8"/>
      <c r="B218" s="8"/>
      <c r="C218" s="8"/>
      <c r="D218" s="8"/>
      <c r="E218" s="9"/>
      <c r="F218" s="8"/>
      <c r="G218" s="10"/>
      <c r="H218" s="132"/>
      <c r="I218" s="8"/>
      <c r="J218" s="9"/>
      <c r="K218" s="8"/>
      <c r="L218" s="9"/>
      <c r="M218" s="8"/>
      <c r="N218" s="132"/>
      <c r="O218" s="8"/>
      <c r="P218" s="9"/>
      <c r="Q218" s="8"/>
      <c r="R218" s="9"/>
      <c r="S218" s="8"/>
      <c r="T218" s="8"/>
      <c r="U218" s="8"/>
      <c r="V218" s="132"/>
      <c r="W218" s="8"/>
      <c r="X218" s="8"/>
      <c r="Y218" s="9"/>
      <c r="Z218" s="8"/>
      <c r="AA218" s="8"/>
      <c r="AB218" s="8"/>
      <c r="AC218" s="132"/>
      <c r="AD218" s="8"/>
      <c r="AE218" s="9"/>
      <c r="AF218" s="8"/>
      <c r="AG218" s="9"/>
      <c r="AH218" s="8"/>
      <c r="AI218" s="8"/>
      <c r="AJ218" s="8"/>
      <c r="AK218" s="132"/>
      <c r="AL218" s="8"/>
      <c r="AM218" s="8"/>
      <c r="AN218" s="9"/>
      <c r="AO218" s="8"/>
      <c r="AP218" s="8"/>
      <c r="AQ218" s="8"/>
    </row>
    <row r="219" spans="1:43" outlineLevel="1" x14ac:dyDescent="0.15">
      <c r="A219" s="8"/>
      <c r="B219" s="8"/>
      <c r="C219" s="8"/>
      <c r="D219" s="8"/>
      <c r="E219" s="9"/>
      <c r="F219" s="8"/>
      <c r="G219" s="10"/>
      <c r="H219" s="132"/>
      <c r="I219" s="8"/>
      <c r="J219" s="9"/>
      <c r="K219" s="8"/>
      <c r="L219" s="9"/>
      <c r="M219" s="8"/>
      <c r="N219" s="132"/>
      <c r="O219" s="8"/>
      <c r="P219" s="9"/>
      <c r="Q219" s="8"/>
      <c r="R219" s="9"/>
      <c r="S219" s="8"/>
      <c r="T219" s="8"/>
      <c r="U219" s="8"/>
      <c r="V219" s="132"/>
      <c r="W219" s="8"/>
      <c r="X219" s="8"/>
      <c r="Y219" s="9"/>
      <c r="Z219" s="8"/>
      <c r="AA219" s="8"/>
      <c r="AB219" s="8"/>
      <c r="AC219" s="132"/>
      <c r="AD219" s="8"/>
      <c r="AE219" s="9"/>
      <c r="AF219" s="8"/>
      <c r="AG219" s="9"/>
      <c r="AH219" s="8"/>
      <c r="AI219" s="8"/>
      <c r="AJ219" s="8"/>
      <c r="AK219" s="132"/>
      <c r="AL219" s="8"/>
      <c r="AM219" s="8"/>
      <c r="AN219" s="9"/>
      <c r="AO219" s="8"/>
      <c r="AP219" s="8"/>
      <c r="AQ219" s="8"/>
    </row>
    <row r="220" spans="1:43" outlineLevel="1" x14ac:dyDescent="0.15">
      <c r="A220" s="8"/>
      <c r="B220" s="8"/>
      <c r="C220" s="8"/>
      <c r="D220" s="8"/>
      <c r="E220" s="9"/>
      <c r="F220" s="8"/>
      <c r="G220" s="10"/>
      <c r="H220" s="132"/>
      <c r="I220" s="8"/>
      <c r="J220" s="9"/>
      <c r="K220" s="8"/>
      <c r="L220" s="9"/>
      <c r="M220" s="8"/>
      <c r="N220" s="132"/>
      <c r="O220" s="8"/>
      <c r="P220" s="9"/>
      <c r="Q220" s="8"/>
      <c r="R220" s="9"/>
      <c r="S220" s="8"/>
      <c r="T220" s="8"/>
      <c r="U220" s="8"/>
      <c r="V220" s="132"/>
      <c r="W220" s="8"/>
      <c r="X220" s="8"/>
      <c r="Y220" s="9"/>
      <c r="Z220" s="8"/>
      <c r="AA220" s="8"/>
      <c r="AB220" s="8"/>
      <c r="AC220" s="132"/>
      <c r="AD220" s="8"/>
      <c r="AE220" s="9"/>
      <c r="AF220" s="8"/>
      <c r="AG220" s="9"/>
      <c r="AH220" s="8"/>
      <c r="AI220" s="8"/>
      <c r="AJ220" s="8"/>
      <c r="AK220" s="132"/>
      <c r="AL220" s="8"/>
      <c r="AM220" s="8"/>
      <c r="AN220" s="9"/>
      <c r="AO220" s="8"/>
      <c r="AP220" s="8"/>
      <c r="AQ220" s="8"/>
    </row>
    <row r="221" spans="1:43" outlineLevel="1" x14ac:dyDescent="0.15">
      <c r="A221" s="8"/>
      <c r="B221" s="8"/>
      <c r="C221" s="8"/>
      <c r="D221" s="8"/>
      <c r="E221" s="9"/>
      <c r="F221" s="8"/>
      <c r="G221" s="10"/>
      <c r="H221" s="132"/>
      <c r="I221" s="8"/>
      <c r="J221" s="9"/>
      <c r="K221" s="8"/>
      <c r="L221" s="9"/>
      <c r="M221" s="8"/>
      <c r="N221" s="132"/>
      <c r="O221" s="8"/>
      <c r="P221" s="9"/>
      <c r="Q221" s="8"/>
      <c r="R221" s="9"/>
      <c r="S221" s="8"/>
      <c r="T221" s="8"/>
      <c r="U221" s="8"/>
      <c r="V221" s="132"/>
      <c r="W221" s="8"/>
      <c r="X221" s="8"/>
      <c r="Y221" s="9"/>
      <c r="Z221" s="8"/>
      <c r="AA221" s="8"/>
      <c r="AB221" s="8"/>
      <c r="AC221" s="132"/>
      <c r="AD221" s="8"/>
      <c r="AE221" s="9"/>
      <c r="AF221" s="8"/>
      <c r="AG221" s="9"/>
      <c r="AH221" s="8"/>
      <c r="AI221" s="8"/>
      <c r="AJ221" s="8"/>
      <c r="AK221" s="132"/>
      <c r="AL221" s="8"/>
      <c r="AM221" s="8"/>
      <c r="AN221" s="9"/>
      <c r="AO221" s="8"/>
      <c r="AP221" s="8"/>
      <c r="AQ221" s="8"/>
    </row>
    <row r="222" spans="1:43" outlineLevel="1" x14ac:dyDescent="0.15">
      <c r="A222" s="8"/>
      <c r="B222" s="8"/>
      <c r="C222" s="8"/>
      <c r="D222" s="8"/>
      <c r="E222" s="9"/>
      <c r="F222" s="8"/>
      <c r="G222" s="10"/>
      <c r="H222" s="132"/>
      <c r="I222" s="8"/>
      <c r="J222" s="9"/>
      <c r="K222" s="8"/>
      <c r="L222" s="9"/>
      <c r="M222" s="8"/>
      <c r="N222" s="132"/>
      <c r="O222" s="8"/>
      <c r="P222" s="9"/>
      <c r="Q222" s="8"/>
      <c r="R222" s="9"/>
      <c r="S222" s="8"/>
      <c r="T222" s="8"/>
      <c r="U222" s="8"/>
      <c r="V222" s="132"/>
      <c r="W222" s="8"/>
      <c r="X222" s="8"/>
      <c r="Y222" s="9"/>
      <c r="Z222" s="8"/>
      <c r="AA222" s="8"/>
      <c r="AB222" s="8"/>
      <c r="AC222" s="132"/>
      <c r="AD222" s="8"/>
      <c r="AE222" s="9"/>
      <c r="AF222" s="8"/>
      <c r="AG222" s="9"/>
      <c r="AH222" s="8"/>
      <c r="AI222" s="8"/>
      <c r="AJ222" s="8"/>
      <c r="AK222" s="132"/>
      <c r="AL222" s="8"/>
      <c r="AM222" s="8"/>
      <c r="AN222" s="9"/>
      <c r="AO222" s="8"/>
      <c r="AP222" s="8"/>
      <c r="AQ222" s="8"/>
    </row>
    <row r="223" spans="1:43" outlineLevel="1" x14ac:dyDescent="0.15">
      <c r="A223" s="8"/>
      <c r="B223" s="8"/>
      <c r="C223" s="8"/>
      <c r="D223" s="8"/>
      <c r="E223" s="9"/>
      <c r="F223" s="8"/>
      <c r="G223" s="10"/>
      <c r="H223" s="132"/>
      <c r="I223" s="8"/>
      <c r="J223" s="9"/>
      <c r="K223" s="8"/>
      <c r="L223" s="9"/>
      <c r="M223" s="8"/>
      <c r="N223" s="132"/>
      <c r="O223" s="8"/>
      <c r="P223" s="9"/>
      <c r="Q223" s="8"/>
      <c r="R223" s="9"/>
      <c r="S223" s="8"/>
      <c r="T223" s="8"/>
      <c r="U223" s="8"/>
      <c r="V223" s="132"/>
      <c r="W223" s="8"/>
      <c r="X223" s="8"/>
      <c r="Y223" s="9"/>
      <c r="Z223" s="8"/>
      <c r="AA223" s="8"/>
      <c r="AB223" s="8"/>
      <c r="AC223" s="132"/>
      <c r="AD223" s="8"/>
      <c r="AE223" s="9"/>
      <c r="AF223" s="8"/>
      <c r="AG223" s="9"/>
      <c r="AH223" s="8"/>
      <c r="AI223" s="8"/>
      <c r="AJ223" s="8"/>
      <c r="AK223" s="132"/>
      <c r="AL223" s="8"/>
      <c r="AM223" s="8"/>
      <c r="AN223" s="9"/>
      <c r="AO223" s="8"/>
      <c r="AP223" s="8"/>
      <c r="AQ223" s="8"/>
    </row>
    <row r="224" spans="1:43" outlineLevel="1" x14ac:dyDescent="0.15">
      <c r="A224" s="8"/>
      <c r="B224" s="8"/>
      <c r="C224" s="8"/>
      <c r="D224" s="8"/>
      <c r="E224" s="9"/>
      <c r="F224" s="8"/>
      <c r="G224" s="10"/>
      <c r="H224" s="132"/>
      <c r="I224" s="8"/>
      <c r="J224" s="9"/>
      <c r="K224" s="8"/>
      <c r="L224" s="9"/>
      <c r="M224" s="8"/>
      <c r="N224" s="132"/>
      <c r="O224" s="8"/>
      <c r="P224" s="9"/>
      <c r="Q224" s="8"/>
      <c r="R224" s="9"/>
      <c r="S224" s="8"/>
      <c r="T224" s="8"/>
      <c r="U224" s="8"/>
      <c r="V224" s="132"/>
      <c r="W224" s="8"/>
      <c r="X224" s="8"/>
      <c r="Y224" s="9"/>
      <c r="Z224" s="8"/>
      <c r="AA224" s="8"/>
      <c r="AB224" s="8"/>
      <c r="AC224" s="132"/>
      <c r="AD224" s="8"/>
      <c r="AE224" s="9"/>
      <c r="AF224" s="8"/>
      <c r="AG224" s="9"/>
      <c r="AH224" s="8"/>
      <c r="AI224" s="8"/>
      <c r="AJ224" s="8"/>
      <c r="AK224" s="132"/>
      <c r="AL224" s="8"/>
      <c r="AM224" s="8"/>
      <c r="AN224" s="9"/>
      <c r="AO224" s="8"/>
      <c r="AP224" s="8"/>
      <c r="AQ224" s="8"/>
    </row>
    <row r="225" spans="1:43" outlineLevel="1" x14ac:dyDescent="0.15">
      <c r="A225" s="8"/>
      <c r="B225" s="8"/>
      <c r="C225" s="8"/>
      <c r="D225" s="8"/>
      <c r="E225" s="9"/>
      <c r="F225" s="8"/>
      <c r="G225" s="10"/>
      <c r="H225" s="132"/>
      <c r="I225" s="8"/>
      <c r="J225" s="9"/>
      <c r="K225" s="8"/>
      <c r="L225" s="9"/>
      <c r="M225" s="8"/>
      <c r="N225" s="132"/>
      <c r="O225" s="8"/>
      <c r="P225" s="9"/>
      <c r="Q225" s="8"/>
      <c r="R225" s="9"/>
      <c r="S225" s="8"/>
      <c r="T225" s="8"/>
      <c r="U225" s="8"/>
      <c r="V225" s="132"/>
      <c r="W225" s="8"/>
      <c r="X225" s="8"/>
      <c r="Y225" s="9"/>
      <c r="Z225" s="8"/>
      <c r="AA225" s="8"/>
      <c r="AB225" s="8"/>
      <c r="AC225" s="132"/>
      <c r="AD225" s="8"/>
      <c r="AE225" s="9"/>
      <c r="AF225" s="8"/>
      <c r="AG225" s="9"/>
      <c r="AH225" s="8"/>
      <c r="AI225" s="8"/>
      <c r="AJ225" s="8"/>
      <c r="AK225" s="132"/>
      <c r="AL225" s="8"/>
      <c r="AM225" s="8"/>
      <c r="AN225" s="9"/>
      <c r="AO225" s="8"/>
      <c r="AP225" s="8"/>
      <c r="AQ225" s="8"/>
    </row>
    <row r="226" spans="1:43" outlineLevel="1" x14ac:dyDescent="0.15">
      <c r="A226" s="8"/>
      <c r="B226" s="8"/>
      <c r="C226" s="8"/>
      <c r="D226" s="8"/>
      <c r="E226" s="9"/>
      <c r="F226" s="8"/>
      <c r="G226" s="10"/>
      <c r="H226" s="132"/>
      <c r="I226" s="8"/>
      <c r="J226" s="9"/>
      <c r="K226" s="8"/>
      <c r="L226" s="9"/>
      <c r="M226" s="8"/>
      <c r="N226" s="132"/>
      <c r="O226" s="8"/>
      <c r="P226" s="9"/>
      <c r="Q226" s="8"/>
      <c r="R226" s="9"/>
      <c r="S226" s="8"/>
      <c r="T226" s="8"/>
      <c r="U226" s="8"/>
      <c r="V226" s="132"/>
      <c r="W226" s="8"/>
      <c r="X226" s="8"/>
      <c r="Y226" s="9"/>
      <c r="Z226" s="8"/>
      <c r="AA226" s="8"/>
      <c r="AB226" s="8"/>
      <c r="AC226" s="132"/>
      <c r="AD226" s="8"/>
      <c r="AE226" s="9"/>
      <c r="AF226" s="8"/>
      <c r="AG226" s="9"/>
      <c r="AH226" s="8"/>
      <c r="AI226" s="8"/>
      <c r="AJ226" s="8"/>
      <c r="AK226" s="132"/>
      <c r="AL226" s="8"/>
      <c r="AM226" s="8"/>
      <c r="AN226" s="9"/>
      <c r="AO226" s="8"/>
      <c r="AP226" s="8"/>
      <c r="AQ226" s="8"/>
    </row>
    <row r="227" spans="1:43" outlineLevel="1" x14ac:dyDescent="0.15">
      <c r="A227" s="8"/>
      <c r="B227" s="8"/>
      <c r="C227" s="8"/>
      <c r="D227" s="8"/>
      <c r="E227" s="9"/>
      <c r="F227" s="8"/>
      <c r="G227" s="10"/>
      <c r="H227" s="132"/>
      <c r="I227" s="8"/>
      <c r="J227" s="9"/>
      <c r="K227" s="8"/>
      <c r="L227" s="9"/>
      <c r="M227" s="8"/>
      <c r="N227" s="132"/>
      <c r="O227" s="8"/>
      <c r="P227" s="9"/>
      <c r="Q227" s="8"/>
      <c r="R227" s="9"/>
      <c r="S227" s="8"/>
      <c r="T227" s="8"/>
      <c r="U227" s="8"/>
      <c r="V227" s="132"/>
      <c r="W227" s="8"/>
      <c r="X227" s="8"/>
      <c r="Y227" s="9"/>
      <c r="Z227" s="8"/>
      <c r="AA227" s="8"/>
      <c r="AB227" s="8"/>
      <c r="AC227" s="132"/>
      <c r="AD227" s="8"/>
      <c r="AE227" s="9"/>
      <c r="AF227" s="8"/>
      <c r="AG227" s="9"/>
      <c r="AH227" s="8"/>
      <c r="AI227" s="8"/>
      <c r="AJ227" s="8"/>
      <c r="AK227" s="132"/>
      <c r="AL227" s="8"/>
      <c r="AM227" s="8"/>
      <c r="AN227" s="9"/>
      <c r="AO227" s="8"/>
      <c r="AP227" s="8"/>
      <c r="AQ227" s="8"/>
    </row>
    <row r="228" spans="1:43" outlineLevel="1" x14ac:dyDescent="0.15">
      <c r="A228" s="8"/>
      <c r="B228" s="8"/>
      <c r="C228" s="8"/>
      <c r="D228" s="8"/>
      <c r="E228" s="9"/>
      <c r="F228" s="8"/>
      <c r="G228" s="10"/>
      <c r="H228" s="132"/>
      <c r="I228" s="8"/>
      <c r="J228" s="9"/>
      <c r="K228" s="8"/>
      <c r="L228" s="9"/>
      <c r="M228" s="8"/>
      <c r="N228" s="132"/>
      <c r="O228" s="8"/>
      <c r="P228" s="9"/>
      <c r="Q228" s="8"/>
      <c r="R228" s="9"/>
      <c r="S228" s="8"/>
      <c r="T228" s="8"/>
      <c r="U228" s="8"/>
      <c r="V228" s="132"/>
      <c r="W228" s="8"/>
      <c r="X228" s="8"/>
      <c r="Y228" s="9"/>
      <c r="Z228" s="8"/>
      <c r="AA228" s="8"/>
      <c r="AB228" s="8"/>
      <c r="AC228" s="132"/>
      <c r="AD228" s="8"/>
      <c r="AE228" s="9"/>
      <c r="AF228" s="8"/>
      <c r="AG228" s="9"/>
      <c r="AH228" s="8"/>
      <c r="AI228" s="8"/>
      <c r="AJ228" s="8"/>
      <c r="AK228" s="132"/>
      <c r="AL228" s="8"/>
      <c r="AM228" s="8"/>
      <c r="AN228" s="9"/>
      <c r="AO228" s="8"/>
      <c r="AP228" s="8"/>
      <c r="AQ228" s="8"/>
    </row>
    <row r="229" spans="1:43" outlineLevel="1" x14ac:dyDescent="0.15">
      <c r="A229" s="8"/>
      <c r="B229" s="8"/>
      <c r="C229" s="8"/>
      <c r="D229" s="8"/>
      <c r="E229" s="9"/>
      <c r="F229" s="8"/>
      <c r="G229" s="10"/>
      <c r="H229" s="132"/>
      <c r="I229" s="8"/>
      <c r="J229" s="9"/>
      <c r="K229" s="8"/>
      <c r="L229" s="9"/>
      <c r="M229" s="8"/>
      <c r="N229" s="132"/>
      <c r="O229" s="8"/>
      <c r="P229" s="9"/>
      <c r="Q229" s="8"/>
      <c r="R229" s="9"/>
      <c r="S229" s="8"/>
      <c r="T229" s="8"/>
      <c r="U229" s="8"/>
      <c r="V229" s="132"/>
      <c r="W229" s="8"/>
      <c r="X229" s="8"/>
      <c r="Y229" s="9"/>
      <c r="Z229" s="8"/>
      <c r="AA229" s="8"/>
      <c r="AB229" s="8"/>
      <c r="AC229" s="132"/>
      <c r="AD229" s="8"/>
      <c r="AE229" s="9"/>
      <c r="AF229" s="8"/>
      <c r="AG229" s="9"/>
      <c r="AH229" s="8"/>
      <c r="AI229" s="8"/>
      <c r="AJ229" s="8"/>
      <c r="AK229" s="132"/>
      <c r="AL229" s="8"/>
      <c r="AM229" s="8"/>
      <c r="AN229" s="9"/>
      <c r="AO229" s="8"/>
      <c r="AP229" s="8"/>
      <c r="AQ229" s="8"/>
    </row>
    <row r="230" spans="1:43" outlineLevel="1" x14ac:dyDescent="0.15">
      <c r="A230" s="8"/>
      <c r="B230" s="8"/>
      <c r="C230" s="8"/>
      <c r="D230" s="8"/>
      <c r="E230" s="9"/>
      <c r="F230" s="8"/>
      <c r="G230" s="10"/>
      <c r="H230" s="132"/>
      <c r="I230" s="8"/>
      <c r="J230" s="9"/>
      <c r="K230" s="8"/>
      <c r="L230" s="9"/>
      <c r="M230" s="8"/>
      <c r="N230" s="132"/>
      <c r="O230" s="8"/>
      <c r="P230" s="9"/>
      <c r="Q230" s="8"/>
      <c r="R230" s="9"/>
      <c r="S230" s="8"/>
      <c r="T230" s="8"/>
      <c r="U230" s="8"/>
      <c r="V230" s="132"/>
      <c r="W230" s="8"/>
      <c r="X230" s="8"/>
      <c r="Y230" s="9"/>
      <c r="Z230" s="8"/>
      <c r="AA230" s="8"/>
      <c r="AB230" s="8"/>
      <c r="AC230" s="132"/>
      <c r="AD230" s="8"/>
      <c r="AE230" s="9"/>
      <c r="AF230" s="8"/>
      <c r="AG230" s="9"/>
      <c r="AH230" s="8"/>
      <c r="AI230" s="8"/>
      <c r="AJ230" s="8"/>
      <c r="AK230" s="132"/>
      <c r="AL230" s="8"/>
      <c r="AM230" s="8"/>
      <c r="AN230" s="9"/>
      <c r="AO230" s="8"/>
      <c r="AP230" s="8"/>
      <c r="AQ230" s="8"/>
    </row>
    <row r="231" spans="1:43" outlineLevel="1" x14ac:dyDescent="0.15">
      <c r="A231" s="8"/>
      <c r="B231" s="8"/>
      <c r="C231" s="8"/>
      <c r="D231" s="8"/>
      <c r="E231" s="9"/>
      <c r="F231" s="8"/>
      <c r="G231" s="10"/>
      <c r="H231" s="132"/>
      <c r="I231" s="8"/>
      <c r="J231" s="9"/>
      <c r="K231" s="8"/>
      <c r="L231" s="9"/>
      <c r="M231" s="8"/>
      <c r="N231" s="132"/>
      <c r="O231" s="8"/>
      <c r="P231" s="9"/>
      <c r="Q231" s="8"/>
      <c r="R231" s="9"/>
      <c r="S231" s="8"/>
      <c r="T231" s="8"/>
      <c r="U231" s="8"/>
      <c r="V231" s="132"/>
      <c r="W231" s="8"/>
      <c r="X231" s="8"/>
      <c r="Y231" s="9"/>
      <c r="Z231" s="8"/>
      <c r="AA231" s="8"/>
      <c r="AB231" s="8"/>
      <c r="AC231" s="132"/>
      <c r="AD231" s="8"/>
      <c r="AE231" s="9"/>
      <c r="AF231" s="8"/>
      <c r="AG231" s="9"/>
      <c r="AH231" s="8"/>
      <c r="AI231" s="8"/>
      <c r="AJ231" s="8"/>
      <c r="AK231" s="132"/>
      <c r="AL231" s="8"/>
      <c r="AM231" s="8"/>
      <c r="AN231" s="9"/>
      <c r="AO231" s="8"/>
      <c r="AP231" s="8"/>
      <c r="AQ231" s="8"/>
    </row>
    <row r="232" spans="1:43" outlineLevel="1" x14ac:dyDescent="0.15">
      <c r="A232" s="8"/>
      <c r="B232" s="8"/>
      <c r="C232" s="8"/>
      <c r="D232" s="8"/>
      <c r="E232" s="9"/>
      <c r="F232" s="8"/>
      <c r="G232" s="10"/>
      <c r="H232" s="132"/>
      <c r="I232" s="8"/>
      <c r="J232" s="9"/>
      <c r="K232" s="8"/>
      <c r="L232" s="9"/>
      <c r="M232" s="8"/>
      <c r="N232" s="132"/>
      <c r="O232" s="8"/>
      <c r="P232" s="9"/>
      <c r="Q232" s="8"/>
      <c r="R232" s="9"/>
      <c r="S232" s="8"/>
      <c r="T232" s="8"/>
      <c r="U232" s="8"/>
      <c r="V232" s="132"/>
      <c r="W232" s="8"/>
      <c r="X232" s="8"/>
      <c r="Y232" s="9"/>
      <c r="Z232" s="8"/>
      <c r="AA232" s="8"/>
      <c r="AB232" s="8"/>
      <c r="AC232" s="132"/>
      <c r="AD232" s="8"/>
      <c r="AE232" s="9"/>
      <c r="AF232" s="8"/>
      <c r="AG232" s="9"/>
      <c r="AH232" s="8"/>
      <c r="AI232" s="8"/>
      <c r="AJ232" s="8"/>
      <c r="AK232" s="132"/>
      <c r="AL232" s="8"/>
      <c r="AM232" s="8"/>
      <c r="AN232" s="9"/>
      <c r="AO232" s="8"/>
      <c r="AP232" s="8"/>
      <c r="AQ232" s="8"/>
    </row>
    <row r="233" spans="1:43" outlineLevel="1" x14ac:dyDescent="0.15">
      <c r="A233" s="8"/>
      <c r="B233" s="8"/>
      <c r="C233" s="8"/>
      <c r="D233" s="8"/>
      <c r="E233" s="9"/>
      <c r="F233" s="8"/>
      <c r="G233" s="10"/>
      <c r="H233" s="132"/>
      <c r="I233" s="8"/>
      <c r="J233" s="9"/>
      <c r="K233" s="8"/>
      <c r="L233" s="9"/>
      <c r="M233" s="8"/>
      <c r="N233" s="132"/>
      <c r="O233" s="8"/>
      <c r="P233" s="9"/>
      <c r="Q233" s="8"/>
      <c r="R233" s="9"/>
      <c r="S233" s="8"/>
      <c r="T233" s="8"/>
      <c r="U233" s="8"/>
      <c r="V233" s="132"/>
      <c r="W233" s="8"/>
      <c r="X233" s="8"/>
      <c r="Y233" s="9"/>
      <c r="Z233" s="8"/>
      <c r="AA233" s="8"/>
      <c r="AB233" s="8"/>
      <c r="AC233" s="132"/>
      <c r="AD233" s="8"/>
      <c r="AE233" s="9"/>
      <c r="AF233" s="8"/>
      <c r="AG233" s="9"/>
      <c r="AH233" s="8"/>
      <c r="AI233" s="8"/>
      <c r="AJ233" s="8"/>
      <c r="AK233" s="132"/>
      <c r="AL233" s="8"/>
      <c r="AM233" s="8"/>
      <c r="AN233" s="9"/>
      <c r="AO233" s="8"/>
      <c r="AP233" s="8"/>
      <c r="AQ233" s="8"/>
    </row>
    <row r="234" spans="1:43" outlineLevel="1" x14ac:dyDescent="0.15">
      <c r="A234" s="8"/>
      <c r="B234" s="8"/>
      <c r="C234" s="8"/>
      <c r="D234" s="8"/>
      <c r="E234" s="9"/>
      <c r="F234" s="8"/>
      <c r="G234" s="10"/>
      <c r="H234" s="132"/>
      <c r="I234" s="8"/>
      <c r="J234" s="9"/>
      <c r="K234" s="8"/>
      <c r="L234" s="9"/>
      <c r="M234" s="8"/>
      <c r="N234" s="132"/>
      <c r="O234" s="8"/>
      <c r="P234" s="9"/>
      <c r="Q234" s="8"/>
      <c r="R234" s="9"/>
      <c r="S234" s="8"/>
      <c r="T234" s="8"/>
      <c r="U234" s="8"/>
      <c r="V234" s="132"/>
      <c r="W234" s="8"/>
      <c r="X234" s="8"/>
      <c r="Y234" s="9"/>
      <c r="Z234" s="8"/>
      <c r="AA234" s="8"/>
      <c r="AB234" s="8"/>
      <c r="AC234" s="132"/>
      <c r="AD234" s="8"/>
      <c r="AE234" s="9"/>
      <c r="AF234" s="8"/>
      <c r="AG234" s="9"/>
      <c r="AH234" s="8"/>
      <c r="AI234" s="8"/>
      <c r="AJ234" s="8"/>
      <c r="AK234" s="132"/>
      <c r="AL234" s="8"/>
      <c r="AM234" s="8"/>
      <c r="AN234" s="9"/>
      <c r="AO234" s="8"/>
      <c r="AP234" s="8"/>
      <c r="AQ234" s="8"/>
    </row>
    <row r="235" spans="1:43" outlineLevel="1" x14ac:dyDescent="0.15">
      <c r="A235" s="8"/>
      <c r="B235" s="8"/>
      <c r="C235" s="8"/>
      <c r="D235" s="8"/>
      <c r="E235" s="9"/>
      <c r="F235" s="8"/>
      <c r="G235" s="10"/>
      <c r="H235" s="132"/>
      <c r="I235" s="8"/>
      <c r="J235" s="9"/>
      <c r="K235" s="8"/>
      <c r="L235" s="9"/>
      <c r="M235" s="8"/>
      <c r="N235" s="132"/>
      <c r="O235" s="8"/>
      <c r="P235" s="9"/>
      <c r="Q235" s="8"/>
      <c r="R235" s="9"/>
      <c r="S235" s="8"/>
      <c r="T235" s="8"/>
      <c r="U235" s="8"/>
      <c r="V235" s="132"/>
      <c r="W235" s="8"/>
      <c r="X235" s="8"/>
      <c r="Y235" s="9"/>
      <c r="Z235" s="8"/>
      <c r="AA235" s="8"/>
      <c r="AB235" s="8"/>
      <c r="AC235" s="132"/>
      <c r="AD235" s="8"/>
      <c r="AE235" s="9"/>
      <c r="AF235" s="8"/>
      <c r="AG235" s="9"/>
      <c r="AH235" s="8"/>
      <c r="AI235" s="8"/>
      <c r="AJ235" s="8"/>
      <c r="AK235" s="132"/>
      <c r="AL235" s="8"/>
      <c r="AM235" s="8"/>
      <c r="AN235" s="9"/>
      <c r="AO235" s="8"/>
      <c r="AP235" s="8"/>
      <c r="AQ235" s="8"/>
    </row>
    <row r="236" spans="1:43" outlineLevel="1" x14ac:dyDescent="0.15">
      <c r="A236" s="8"/>
      <c r="B236" s="8"/>
      <c r="C236" s="8"/>
      <c r="D236" s="8"/>
      <c r="E236" s="9"/>
      <c r="F236" s="8"/>
      <c r="G236" s="10"/>
      <c r="H236" s="132"/>
      <c r="I236" s="8"/>
      <c r="J236" s="9"/>
      <c r="K236" s="8"/>
      <c r="L236" s="9"/>
      <c r="M236" s="8"/>
      <c r="N236" s="132"/>
      <c r="O236" s="8"/>
      <c r="P236" s="9"/>
      <c r="Q236" s="8"/>
      <c r="R236" s="9"/>
      <c r="S236" s="8"/>
      <c r="T236" s="8"/>
      <c r="U236" s="8"/>
      <c r="V236" s="132"/>
      <c r="W236" s="8"/>
      <c r="X236" s="8"/>
      <c r="Y236" s="9"/>
      <c r="Z236" s="8"/>
      <c r="AA236" s="8"/>
      <c r="AB236" s="8"/>
      <c r="AC236" s="132"/>
      <c r="AD236" s="8"/>
      <c r="AE236" s="9"/>
      <c r="AF236" s="8"/>
      <c r="AG236" s="9"/>
      <c r="AH236" s="8"/>
      <c r="AI236" s="8"/>
      <c r="AJ236" s="8"/>
      <c r="AK236" s="132"/>
      <c r="AL236" s="8"/>
      <c r="AM236" s="8"/>
      <c r="AN236" s="9"/>
      <c r="AO236" s="8"/>
      <c r="AP236" s="8"/>
      <c r="AQ236" s="8"/>
    </row>
    <row r="237" spans="1:43" outlineLevel="1" x14ac:dyDescent="0.15">
      <c r="A237" s="8"/>
      <c r="B237" s="8"/>
      <c r="C237" s="8"/>
      <c r="D237" s="8"/>
      <c r="E237" s="9"/>
      <c r="F237" s="8"/>
      <c r="G237" s="10"/>
      <c r="H237" s="132"/>
      <c r="I237" s="8"/>
      <c r="J237" s="9"/>
      <c r="K237" s="8"/>
      <c r="L237" s="9"/>
      <c r="M237" s="8"/>
      <c r="N237" s="132"/>
      <c r="O237" s="8"/>
      <c r="P237" s="9"/>
      <c r="Q237" s="8"/>
      <c r="R237" s="9"/>
      <c r="S237" s="8"/>
      <c r="T237" s="8"/>
      <c r="U237" s="8"/>
      <c r="V237" s="132"/>
      <c r="W237" s="8"/>
      <c r="X237" s="8"/>
      <c r="Y237" s="9"/>
      <c r="Z237" s="8"/>
      <c r="AA237" s="8"/>
      <c r="AB237" s="8"/>
      <c r="AC237" s="132"/>
      <c r="AD237" s="8"/>
      <c r="AE237" s="9"/>
      <c r="AF237" s="8"/>
      <c r="AG237" s="9"/>
      <c r="AH237" s="8"/>
      <c r="AI237" s="8"/>
      <c r="AJ237" s="8"/>
      <c r="AK237" s="132"/>
      <c r="AL237" s="8"/>
      <c r="AM237" s="8"/>
      <c r="AN237" s="9"/>
      <c r="AO237" s="8"/>
      <c r="AP237" s="8"/>
      <c r="AQ237" s="8"/>
    </row>
    <row r="238" spans="1:43" outlineLevel="1" x14ac:dyDescent="0.15">
      <c r="A238" s="8"/>
      <c r="B238" s="8"/>
      <c r="C238" s="8"/>
      <c r="D238" s="8"/>
      <c r="E238" s="9"/>
      <c r="F238" s="8"/>
      <c r="G238" s="10"/>
      <c r="H238" s="132"/>
      <c r="I238" s="8"/>
      <c r="J238" s="9"/>
      <c r="K238" s="8"/>
      <c r="L238" s="9"/>
      <c r="M238" s="8"/>
      <c r="N238" s="132"/>
      <c r="O238" s="8"/>
      <c r="P238" s="9"/>
      <c r="Q238" s="8"/>
      <c r="R238" s="9"/>
      <c r="S238" s="8"/>
      <c r="T238" s="8"/>
      <c r="U238" s="8"/>
      <c r="V238" s="132"/>
      <c r="W238" s="8"/>
      <c r="X238" s="8"/>
      <c r="Y238" s="9"/>
      <c r="Z238" s="8"/>
      <c r="AA238" s="8"/>
      <c r="AB238" s="8"/>
      <c r="AC238" s="132"/>
      <c r="AD238" s="8"/>
      <c r="AE238" s="9"/>
      <c r="AF238" s="8"/>
      <c r="AG238" s="9"/>
      <c r="AH238" s="8"/>
      <c r="AI238" s="8"/>
      <c r="AJ238" s="8"/>
      <c r="AK238" s="132"/>
      <c r="AL238" s="8"/>
      <c r="AM238" s="8"/>
      <c r="AN238" s="9"/>
      <c r="AO238" s="8"/>
      <c r="AP238" s="8"/>
      <c r="AQ238" s="8"/>
    </row>
    <row r="239" spans="1:43" outlineLevel="1" x14ac:dyDescent="0.15">
      <c r="A239" s="8"/>
      <c r="B239" s="8"/>
      <c r="C239" s="8"/>
      <c r="D239" s="8"/>
      <c r="E239" s="9"/>
      <c r="F239" s="8"/>
      <c r="G239" s="10"/>
      <c r="H239" s="132"/>
      <c r="I239" s="8"/>
      <c r="J239" s="9"/>
      <c r="K239" s="8"/>
      <c r="L239" s="9"/>
      <c r="M239" s="8"/>
      <c r="N239" s="132"/>
      <c r="O239" s="8"/>
      <c r="P239" s="9"/>
      <c r="Q239" s="8"/>
      <c r="R239" s="9"/>
      <c r="S239" s="8"/>
      <c r="T239" s="8"/>
      <c r="U239" s="8"/>
      <c r="V239" s="132"/>
      <c r="W239" s="8"/>
      <c r="X239" s="8"/>
      <c r="Y239" s="9"/>
      <c r="Z239" s="8"/>
      <c r="AA239" s="8"/>
      <c r="AB239" s="8"/>
      <c r="AC239" s="132"/>
      <c r="AD239" s="8"/>
      <c r="AE239" s="9"/>
      <c r="AF239" s="8"/>
      <c r="AG239" s="9"/>
      <c r="AH239" s="8"/>
      <c r="AI239" s="8"/>
      <c r="AJ239" s="8"/>
      <c r="AK239" s="132"/>
      <c r="AL239" s="8"/>
      <c r="AM239" s="8"/>
      <c r="AN239" s="9"/>
      <c r="AO239" s="8"/>
      <c r="AP239" s="8"/>
      <c r="AQ239" s="8"/>
    </row>
    <row r="240" spans="1:43" outlineLevel="1" x14ac:dyDescent="0.15">
      <c r="A240" s="8"/>
      <c r="B240" s="8"/>
      <c r="C240" s="8"/>
      <c r="D240" s="8"/>
      <c r="E240" s="9"/>
      <c r="F240" s="8"/>
      <c r="G240" s="10"/>
      <c r="H240" s="132"/>
      <c r="I240" s="8"/>
      <c r="J240" s="9"/>
      <c r="K240" s="8"/>
      <c r="L240" s="9"/>
      <c r="M240" s="8"/>
      <c r="N240" s="132"/>
      <c r="O240" s="8"/>
      <c r="P240" s="9"/>
      <c r="Q240" s="8"/>
      <c r="R240" s="9"/>
      <c r="S240" s="8"/>
      <c r="T240" s="8"/>
      <c r="U240" s="8"/>
      <c r="V240" s="132"/>
      <c r="W240" s="8"/>
      <c r="X240" s="8"/>
      <c r="Y240" s="9"/>
      <c r="Z240" s="8"/>
      <c r="AA240" s="8"/>
      <c r="AB240" s="8"/>
      <c r="AC240" s="132"/>
      <c r="AD240" s="8"/>
      <c r="AE240" s="9"/>
      <c r="AF240" s="8"/>
      <c r="AG240" s="9"/>
      <c r="AH240" s="8"/>
      <c r="AI240" s="8"/>
      <c r="AJ240" s="8"/>
      <c r="AK240" s="132"/>
      <c r="AL240" s="8"/>
      <c r="AM240" s="8"/>
      <c r="AN240" s="9"/>
      <c r="AO240" s="8"/>
      <c r="AP240" s="8"/>
      <c r="AQ240" s="8"/>
    </row>
    <row r="241" spans="1:43" outlineLevel="1" x14ac:dyDescent="0.15">
      <c r="A241" s="8"/>
      <c r="B241" s="8"/>
      <c r="C241" s="8"/>
      <c r="D241" s="8"/>
      <c r="E241" s="9"/>
      <c r="F241" s="8"/>
      <c r="G241" s="10"/>
      <c r="H241" s="132"/>
      <c r="I241" s="8"/>
      <c r="J241" s="9"/>
      <c r="K241" s="8"/>
      <c r="L241" s="9"/>
      <c r="M241" s="8"/>
      <c r="N241" s="132"/>
      <c r="O241" s="8"/>
      <c r="P241" s="9"/>
      <c r="Q241" s="8"/>
      <c r="R241" s="9"/>
      <c r="S241" s="8"/>
      <c r="T241" s="8"/>
      <c r="U241" s="8"/>
      <c r="V241" s="132"/>
      <c r="W241" s="8"/>
      <c r="X241" s="8"/>
      <c r="Y241" s="9"/>
      <c r="Z241" s="8"/>
      <c r="AA241" s="8"/>
      <c r="AB241" s="8"/>
      <c r="AC241" s="132"/>
      <c r="AD241" s="8"/>
      <c r="AE241" s="9"/>
      <c r="AF241" s="8"/>
      <c r="AG241" s="9"/>
      <c r="AH241" s="8"/>
      <c r="AI241" s="8"/>
      <c r="AJ241" s="8"/>
      <c r="AK241" s="132"/>
      <c r="AL241" s="8"/>
      <c r="AM241" s="8"/>
      <c r="AN241" s="9"/>
      <c r="AO241" s="8"/>
      <c r="AP241" s="8"/>
      <c r="AQ241" s="8"/>
    </row>
    <row r="242" spans="1:43" outlineLevel="1" x14ac:dyDescent="0.15">
      <c r="A242" s="8"/>
      <c r="B242" s="8"/>
      <c r="C242" s="8"/>
      <c r="D242" s="8"/>
      <c r="E242" s="9"/>
      <c r="F242" s="8"/>
      <c r="G242" s="10"/>
      <c r="H242" s="132"/>
      <c r="I242" s="8"/>
      <c r="J242" s="9"/>
      <c r="K242" s="8"/>
      <c r="L242" s="9"/>
      <c r="M242" s="8"/>
      <c r="N242" s="132"/>
      <c r="O242" s="8"/>
      <c r="P242" s="9"/>
      <c r="Q242" s="8"/>
      <c r="R242" s="9"/>
      <c r="S242" s="8"/>
      <c r="T242" s="8"/>
      <c r="U242" s="8"/>
      <c r="V242" s="132"/>
      <c r="W242" s="8"/>
      <c r="X242" s="8"/>
      <c r="Y242" s="9"/>
      <c r="Z242" s="8"/>
      <c r="AA242" s="8"/>
      <c r="AB242" s="8"/>
      <c r="AC242" s="132"/>
      <c r="AD242" s="8"/>
      <c r="AE242" s="9"/>
      <c r="AF242" s="8"/>
      <c r="AG242" s="9"/>
      <c r="AH242" s="8"/>
      <c r="AI242" s="8"/>
      <c r="AJ242" s="8"/>
      <c r="AK242" s="132"/>
      <c r="AL242" s="8"/>
      <c r="AM242" s="8"/>
      <c r="AN242" s="9"/>
      <c r="AO242" s="8"/>
      <c r="AP242" s="8"/>
      <c r="AQ242" s="8"/>
    </row>
    <row r="243" spans="1:43" outlineLevel="1" x14ac:dyDescent="0.15">
      <c r="A243" s="8"/>
      <c r="B243" s="8"/>
      <c r="C243" s="8"/>
      <c r="D243" s="8"/>
      <c r="E243" s="9"/>
      <c r="F243" s="8"/>
      <c r="G243" s="10"/>
      <c r="H243" s="132"/>
      <c r="I243" s="8"/>
      <c r="J243" s="9"/>
      <c r="K243" s="8"/>
      <c r="L243" s="9"/>
      <c r="M243" s="8"/>
      <c r="N243" s="132"/>
      <c r="O243" s="8"/>
      <c r="P243" s="9"/>
      <c r="Q243" s="8"/>
      <c r="R243" s="9"/>
      <c r="S243" s="8"/>
      <c r="T243" s="8"/>
      <c r="U243" s="8"/>
      <c r="V243" s="132"/>
      <c r="W243" s="8"/>
      <c r="X243" s="8"/>
      <c r="Y243" s="9"/>
      <c r="Z243" s="8"/>
      <c r="AA243" s="8"/>
      <c r="AB243" s="8"/>
      <c r="AC243" s="132"/>
      <c r="AD243" s="8"/>
      <c r="AE243" s="9"/>
      <c r="AF243" s="8"/>
      <c r="AG243" s="9"/>
      <c r="AH243" s="8"/>
      <c r="AI243" s="8"/>
      <c r="AJ243" s="8"/>
      <c r="AK243" s="132"/>
      <c r="AL243" s="8"/>
      <c r="AM243" s="8"/>
      <c r="AN243" s="9"/>
      <c r="AO243" s="8"/>
      <c r="AP243" s="8"/>
      <c r="AQ243" s="8"/>
    </row>
    <row r="244" spans="1:43" outlineLevel="1" x14ac:dyDescent="0.15">
      <c r="A244" s="8"/>
      <c r="B244" s="8"/>
      <c r="C244" s="8"/>
      <c r="D244" s="8"/>
      <c r="E244" s="9"/>
      <c r="F244" s="8"/>
      <c r="G244" s="10"/>
      <c r="H244" s="132"/>
      <c r="I244" s="8"/>
      <c r="J244" s="9"/>
      <c r="K244" s="8"/>
      <c r="L244" s="9"/>
      <c r="M244" s="8"/>
      <c r="N244" s="132"/>
      <c r="O244" s="8"/>
      <c r="P244" s="9"/>
      <c r="Q244" s="8"/>
      <c r="R244" s="9"/>
      <c r="S244" s="8"/>
      <c r="T244" s="8"/>
      <c r="U244" s="8"/>
      <c r="V244" s="132"/>
      <c r="W244" s="8"/>
      <c r="X244" s="8"/>
      <c r="Y244" s="9"/>
      <c r="Z244" s="8"/>
      <c r="AA244" s="8"/>
      <c r="AB244" s="8"/>
      <c r="AC244" s="132"/>
      <c r="AD244" s="8"/>
      <c r="AE244" s="9"/>
      <c r="AF244" s="8"/>
      <c r="AG244" s="9"/>
      <c r="AH244" s="8"/>
      <c r="AI244" s="8"/>
      <c r="AJ244" s="8"/>
      <c r="AK244" s="132"/>
      <c r="AL244" s="8"/>
      <c r="AM244" s="8"/>
      <c r="AN244" s="9"/>
      <c r="AO244" s="8"/>
      <c r="AP244" s="8"/>
      <c r="AQ244" s="8"/>
    </row>
    <row r="245" spans="1:43" outlineLevel="1" x14ac:dyDescent="0.15">
      <c r="A245" s="8"/>
      <c r="B245" s="8"/>
      <c r="C245" s="8"/>
      <c r="D245" s="8"/>
      <c r="E245" s="9"/>
      <c r="F245" s="8"/>
      <c r="G245" s="10"/>
      <c r="H245" s="132"/>
      <c r="I245" s="8"/>
      <c r="J245" s="9"/>
      <c r="K245" s="8"/>
      <c r="L245" s="9"/>
      <c r="M245" s="8"/>
      <c r="N245" s="132"/>
      <c r="O245" s="8"/>
      <c r="P245" s="9"/>
      <c r="Q245" s="8"/>
      <c r="R245" s="9"/>
      <c r="S245" s="8"/>
      <c r="T245" s="8"/>
      <c r="U245" s="8"/>
      <c r="V245" s="132"/>
      <c r="W245" s="8"/>
      <c r="X245" s="8"/>
      <c r="Y245" s="9"/>
      <c r="Z245" s="8"/>
      <c r="AA245" s="8"/>
      <c r="AB245" s="8"/>
      <c r="AC245" s="132"/>
      <c r="AD245" s="8"/>
      <c r="AE245" s="9"/>
      <c r="AF245" s="8"/>
      <c r="AG245" s="9"/>
      <c r="AH245" s="8"/>
      <c r="AI245" s="8"/>
      <c r="AJ245" s="8"/>
      <c r="AK245" s="132"/>
      <c r="AL245" s="8"/>
      <c r="AM245" s="8"/>
      <c r="AN245" s="9"/>
      <c r="AO245" s="8"/>
      <c r="AP245" s="8"/>
      <c r="AQ245" s="8"/>
    </row>
    <row r="246" spans="1:43" outlineLevel="1" x14ac:dyDescent="0.15">
      <c r="A246" s="8"/>
      <c r="B246" s="8"/>
      <c r="C246" s="8"/>
      <c r="D246" s="8"/>
      <c r="E246" s="9"/>
      <c r="F246" s="8"/>
      <c r="G246" s="10"/>
      <c r="H246" s="132"/>
      <c r="I246" s="8"/>
      <c r="J246" s="9"/>
      <c r="K246" s="8"/>
      <c r="L246" s="9"/>
      <c r="M246" s="8"/>
      <c r="N246" s="132"/>
      <c r="O246" s="8"/>
      <c r="P246" s="9"/>
      <c r="Q246" s="8"/>
      <c r="R246" s="9"/>
      <c r="S246" s="8"/>
      <c r="T246" s="8"/>
      <c r="U246" s="8"/>
      <c r="V246" s="132"/>
      <c r="W246" s="8"/>
      <c r="X246" s="8"/>
      <c r="Y246" s="9"/>
      <c r="Z246" s="8"/>
      <c r="AA246" s="8"/>
      <c r="AB246" s="8"/>
      <c r="AC246" s="132"/>
      <c r="AD246" s="8"/>
      <c r="AE246" s="9"/>
      <c r="AF246" s="8"/>
      <c r="AG246" s="9"/>
      <c r="AH246" s="8"/>
      <c r="AI246" s="8"/>
      <c r="AJ246" s="8"/>
      <c r="AK246" s="132"/>
      <c r="AL246" s="8"/>
      <c r="AM246" s="8"/>
      <c r="AN246" s="9"/>
      <c r="AO246" s="8"/>
      <c r="AP246" s="8"/>
      <c r="AQ246" s="8"/>
    </row>
    <row r="247" spans="1:43" outlineLevel="1" x14ac:dyDescent="0.15">
      <c r="A247" s="8"/>
      <c r="B247" s="8"/>
      <c r="C247" s="8"/>
      <c r="D247" s="8"/>
      <c r="E247" s="9"/>
      <c r="F247" s="8"/>
      <c r="G247" s="10"/>
      <c r="H247" s="132"/>
      <c r="I247" s="8"/>
      <c r="J247" s="9"/>
      <c r="K247" s="8"/>
      <c r="L247" s="9"/>
      <c r="M247" s="8"/>
      <c r="N247" s="132"/>
      <c r="O247" s="8"/>
      <c r="P247" s="9"/>
      <c r="Q247" s="8"/>
      <c r="R247" s="9"/>
      <c r="S247" s="8"/>
      <c r="T247" s="8"/>
      <c r="U247" s="8"/>
      <c r="V247" s="132"/>
      <c r="W247" s="8"/>
      <c r="X247" s="8"/>
      <c r="Y247" s="9"/>
      <c r="Z247" s="8"/>
      <c r="AA247" s="8"/>
      <c r="AB247" s="8"/>
      <c r="AC247" s="132"/>
      <c r="AD247" s="8"/>
      <c r="AE247" s="9"/>
      <c r="AF247" s="8"/>
      <c r="AG247" s="9"/>
      <c r="AH247" s="8"/>
      <c r="AI247" s="8"/>
      <c r="AJ247" s="8"/>
      <c r="AK247" s="132"/>
      <c r="AL247" s="8"/>
      <c r="AM247" s="8"/>
      <c r="AN247" s="9"/>
      <c r="AO247" s="8"/>
      <c r="AP247" s="8"/>
      <c r="AQ247" s="8"/>
    </row>
    <row r="248" spans="1:43" outlineLevel="1" x14ac:dyDescent="0.15">
      <c r="A248" s="8"/>
      <c r="B248" s="8"/>
      <c r="C248" s="8"/>
      <c r="D248" s="8"/>
      <c r="E248" s="9"/>
      <c r="F248" s="8"/>
      <c r="G248" s="10"/>
      <c r="H248" s="132"/>
      <c r="I248" s="8"/>
      <c r="J248" s="9"/>
      <c r="K248" s="8"/>
      <c r="L248" s="9"/>
      <c r="M248" s="8"/>
      <c r="N248" s="132"/>
      <c r="O248" s="8"/>
      <c r="P248" s="9"/>
      <c r="Q248" s="8"/>
      <c r="R248" s="9"/>
      <c r="S248" s="8"/>
      <c r="T248" s="8"/>
      <c r="U248" s="8"/>
      <c r="V248" s="132"/>
      <c r="W248" s="8"/>
      <c r="X248" s="8"/>
      <c r="Y248" s="9"/>
      <c r="Z248" s="8"/>
      <c r="AA248" s="8"/>
      <c r="AB248" s="8"/>
      <c r="AC248" s="132"/>
      <c r="AD248" s="8"/>
      <c r="AE248" s="9"/>
      <c r="AF248" s="8"/>
      <c r="AG248" s="9"/>
      <c r="AH248" s="8"/>
      <c r="AI248" s="8"/>
      <c r="AJ248" s="8"/>
      <c r="AK248" s="132"/>
      <c r="AL248" s="8"/>
      <c r="AM248" s="8"/>
      <c r="AN248" s="9"/>
      <c r="AO248" s="8"/>
      <c r="AP248" s="8"/>
      <c r="AQ248" s="8"/>
    </row>
    <row r="249" spans="1:43" outlineLevel="1" x14ac:dyDescent="0.15">
      <c r="A249" s="8"/>
      <c r="B249" s="8"/>
      <c r="C249" s="8"/>
      <c r="D249" s="8"/>
      <c r="E249" s="9"/>
      <c r="F249" s="8"/>
      <c r="G249" s="10"/>
      <c r="H249" s="132"/>
      <c r="I249" s="8"/>
      <c r="J249" s="9"/>
      <c r="K249" s="8"/>
      <c r="L249" s="9"/>
      <c r="M249" s="8"/>
      <c r="N249" s="132"/>
      <c r="O249" s="8"/>
      <c r="P249" s="9"/>
      <c r="Q249" s="8"/>
      <c r="R249" s="9"/>
      <c r="S249" s="8"/>
      <c r="T249" s="8"/>
      <c r="U249" s="8"/>
      <c r="V249" s="132"/>
      <c r="W249" s="8"/>
      <c r="X249" s="8"/>
      <c r="Y249" s="9"/>
      <c r="Z249" s="8"/>
      <c r="AA249" s="8"/>
      <c r="AB249" s="8"/>
      <c r="AC249" s="132"/>
      <c r="AD249" s="8"/>
      <c r="AE249" s="9"/>
      <c r="AF249" s="8"/>
      <c r="AG249" s="9"/>
      <c r="AH249" s="8"/>
      <c r="AI249" s="8"/>
      <c r="AJ249" s="8"/>
      <c r="AK249" s="132"/>
      <c r="AL249" s="8"/>
      <c r="AM249" s="8"/>
      <c r="AN249" s="9"/>
      <c r="AO249" s="8"/>
      <c r="AP249" s="8"/>
      <c r="AQ249" s="8"/>
    </row>
    <row r="250" spans="1:43" outlineLevel="1" x14ac:dyDescent="0.15">
      <c r="A250" s="8"/>
      <c r="B250" s="8"/>
      <c r="C250" s="8"/>
      <c r="D250" s="8"/>
      <c r="E250" s="9"/>
      <c r="F250" s="8"/>
      <c r="G250" s="10"/>
      <c r="H250" s="132"/>
      <c r="I250" s="8"/>
      <c r="J250" s="9"/>
      <c r="K250" s="8"/>
      <c r="L250" s="9"/>
      <c r="M250" s="8"/>
      <c r="N250" s="132"/>
      <c r="O250" s="8"/>
      <c r="P250" s="9"/>
      <c r="Q250" s="8"/>
      <c r="R250" s="9"/>
      <c r="S250" s="8"/>
      <c r="T250" s="8"/>
      <c r="U250" s="8"/>
      <c r="V250" s="132"/>
      <c r="W250" s="8"/>
      <c r="X250" s="8"/>
      <c r="Y250" s="9"/>
      <c r="Z250" s="8"/>
      <c r="AA250" s="8"/>
      <c r="AB250" s="8"/>
      <c r="AC250" s="132"/>
      <c r="AD250" s="8"/>
      <c r="AE250" s="9"/>
      <c r="AF250" s="8"/>
      <c r="AG250" s="9"/>
      <c r="AH250" s="8"/>
      <c r="AI250" s="8"/>
      <c r="AJ250" s="8"/>
      <c r="AK250" s="132"/>
      <c r="AL250" s="8"/>
      <c r="AM250" s="8"/>
      <c r="AN250" s="9"/>
      <c r="AO250" s="8"/>
      <c r="AP250" s="8"/>
      <c r="AQ250" s="8"/>
    </row>
    <row r="251" spans="1:43" outlineLevel="1" x14ac:dyDescent="0.15">
      <c r="A251" s="8"/>
      <c r="B251" s="8"/>
      <c r="C251" s="8"/>
      <c r="D251" s="8"/>
      <c r="E251" s="9"/>
      <c r="F251" s="8"/>
      <c r="G251" s="10"/>
      <c r="H251" s="132"/>
      <c r="I251" s="8"/>
      <c r="J251" s="9"/>
      <c r="K251" s="8"/>
      <c r="L251" s="9"/>
      <c r="M251" s="8"/>
      <c r="N251" s="132"/>
      <c r="O251" s="8"/>
      <c r="P251" s="9"/>
      <c r="Q251" s="8"/>
      <c r="R251" s="9"/>
      <c r="S251" s="8"/>
      <c r="T251" s="8"/>
      <c r="U251" s="8"/>
      <c r="V251" s="132"/>
      <c r="W251" s="8"/>
      <c r="X251" s="8"/>
      <c r="Y251" s="9"/>
      <c r="Z251" s="8"/>
      <c r="AA251" s="8"/>
      <c r="AB251" s="8"/>
      <c r="AC251" s="132"/>
      <c r="AD251" s="8"/>
      <c r="AE251" s="9"/>
      <c r="AF251" s="8"/>
      <c r="AG251" s="9"/>
      <c r="AH251" s="8"/>
      <c r="AI251" s="8"/>
      <c r="AJ251" s="8"/>
      <c r="AK251" s="132"/>
      <c r="AL251" s="8"/>
      <c r="AM251" s="8"/>
      <c r="AN251" s="9"/>
      <c r="AO251" s="8"/>
      <c r="AP251" s="8"/>
      <c r="AQ251" s="8"/>
    </row>
    <row r="252" spans="1:43" outlineLevel="1" x14ac:dyDescent="0.15">
      <c r="A252" s="8"/>
      <c r="B252" s="8"/>
      <c r="C252" s="8"/>
      <c r="D252" s="8"/>
      <c r="E252" s="9"/>
      <c r="F252" s="8"/>
      <c r="G252" s="10"/>
      <c r="H252" s="132"/>
      <c r="I252" s="8"/>
      <c r="J252" s="9"/>
      <c r="K252" s="8"/>
      <c r="L252" s="9"/>
      <c r="M252" s="8"/>
      <c r="N252" s="132"/>
      <c r="O252" s="8"/>
      <c r="P252" s="9"/>
      <c r="Q252" s="8"/>
      <c r="R252" s="9"/>
      <c r="S252" s="8"/>
      <c r="T252" s="8"/>
      <c r="U252" s="8"/>
      <c r="V252" s="132"/>
      <c r="W252" s="8"/>
      <c r="X252" s="8"/>
      <c r="Y252" s="9"/>
      <c r="Z252" s="8"/>
      <c r="AA252" s="8"/>
      <c r="AB252" s="8"/>
      <c r="AC252" s="132"/>
      <c r="AD252" s="8"/>
      <c r="AE252" s="9"/>
      <c r="AF252" s="8"/>
      <c r="AG252" s="9"/>
      <c r="AH252" s="8"/>
      <c r="AI252" s="8"/>
      <c r="AJ252" s="8"/>
      <c r="AK252" s="132"/>
      <c r="AL252" s="8"/>
      <c r="AM252" s="8"/>
      <c r="AN252" s="9"/>
      <c r="AO252" s="8"/>
      <c r="AP252" s="8"/>
      <c r="AQ252" s="8"/>
    </row>
    <row r="253" spans="1:43" outlineLevel="1" x14ac:dyDescent="0.15">
      <c r="A253" s="8"/>
      <c r="B253" s="8"/>
      <c r="C253" s="8"/>
      <c r="D253" s="8"/>
      <c r="E253" s="9"/>
      <c r="F253" s="8"/>
      <c r="G253" s="10"/>
      <c r="H253" s="132"/>
      <c r="I253" s="8"/>
      <c r="J253" s="9"/>
      <c r="K253" s="8"/>
      <c r="L253" s="9"/>
      <c r="M253" s="8"/>
      <c r="N253" s="132"/>
      <c r="O253" s="8"/>
      <c r="P253" s="9"/>
      <c r="Q253" s="8"/>
      <c r="R253" s="9"/>
      <c r="S253" s="8"/>
      <c r="T253" s="8"/>
      <c r="U253" s="8"/>
      <c r="V253" s="132"/>
      <c r="W253" s="8"/>
      <c r="X253" s="8"/>
      <c r="Y253" s="9"/>
      <c r="Z253" s="8"/>
      <c r="AA253" s="8"/>
      <c r="AB253" s="8"/>
      <c r="AC253" s="132"/>
      <c r="AD253" s="8"/>
      <c r="AE253" s="9"/>
      <c r="AF253" s="8"/>
      <c r="AG253" s="9"/>
      <c r="AH253" s="8"/>
      <c r="AI253" s="8"/>
      <c r="AJ253" s="8"/>
      <c r="AK253" s="132"/>
      <c r="AL253" s="8"/>
      <c r="AM253" s="8"/>
      <c r="AN253" s="9"/>
      <c r="AO253" s="8"/>
      <c r="AP253" s="8"/>
      <c r="AQ253" s="8"/>
    </row>
    <row r="254" spans="1:43" outlineLevel="1" x14ac:dyDescent="0.15">
      <c r="A254" s="8"/>
      <c r="B254" s="8"/>
      <c r="C254" s="8"/>
      <c r="D254" s="8"/>
      <c r="E254" s="9"/>
      <c r="F254" s="8"/>
      <c r="G254" s="10"/>
      <c r="H254" s="132"/>
      <c r="I254" s="8"/>
      <c r="J254" s="9"/>
      <c r="K254" s="8"/>
      <c r="L254" s="9"/>
      <c r="M254" s="8"/>
      <c r="N254" s="132"/>
      <c r="O254" s="8"/>
      <c r="P254" s="9"/>
      <c r="Q254" s="8"/>
      <c r="R254" s="9"/>
      <c r="S254" s="8"/>
      <c r="T254" s="8"/>
      <c r="U254" s="8"/>
      <c r="V254" s="132"/>
      <c r="W254" s="8"/>
      <c r="X254" s="8"/>
      <c r="Y254" s="9"/>
      <c r="Z254" s="8"/>
      <c r="AA254" s="8"/>
      <c r="AB254" s="8"/>
      <c r="AC254" s="132"/>
      <c r="AD254" s="8"/>
      <c r="AE254" s="9"/>
      <c r="AF254" s="8"/>
      <c r="AG254" s="9"/>
      <c r="AH254" s="8"/>
      <c r="AI254" s="8"/>
      <c r="AJ254" s="8"/>
      <c r="AK254" s="132"/>
      <c r="AL254" s="8"/>
      <c r="AM254" s="8"/>
      <c r="AN254" s="9"/>
      <c r="AO254" s="8"/>
      <c r="AP254" s="8"/>
      <c r="AQ254" s="8"/>
    </row>
    <row r="255" spans="1:43" outlineLevel="1" x14ac:dyDescent="0.15">
      <c r="A255" s="8"/>
      <c r="B255" s="8"/>
      <c r="C255" s="8"/>
      <c r="D255" s="8"/>
      <c r="E255" s="9"/>
      <c r="F255" s="8"/>
      <c r="G255" s="10"/>
      <c r="H255" s="132"/>
      <c r="I255" s="8"/>
      <c r="J255" s="9"/>
      <c r="K255" s="8"/>
      <c r="L255" s="9"/>
      <c r="M255" s="8"/>
      <c r="N255" s="132"/>
      <c r="O255" s="8"/>
      <c r="P255" s="9"/>
      <c r="Q255" s="8"/>
      <c r="R255" s="9"/>
      <c r="S255" s="8"/>
      <c r="T255" s="8"/>
      <c r="U255" s="8"/>
      <c r="V255" s="132"/>
      <c r="W255" s="8"/>
      <c r="X255" s="8"/>
      <c r="Y255" s="9"/>
      <c r="Z255" s="8"/>
      <c r="AA255" s="8"/>
      <c r="AB255" s="8"/>
      <c r="AC255" s="132"/>
      <c r="AD255" s="8"/>
      <c r="AE255" s="9"/>
      <c r="AF255" s="8"/>
      <c r="AG255" s="9"/>
      <c r="AH255" s="8"/>
      <c r="AI255" s="8"/>
      <c r="AJ255" s="8"/>
      <c r="AK255" s="132"/>
      <c r="AL255" s="8"/>
      <c r="AM255" s="8"/>
      <c r="AN255" s="9"/>
      <c r="AO255" s="8"/>
      <c r="AP255" s="8"/>
      <c r="AQ255" s="8"/>
    </row>
    <row r="256" spans="1:43" outlineLevel="1" x14ac:dyDescent="0.15">
      <c r="A256" s="8"/>
      <c r="B256" s="8"/>
      <c r="C256" s="8"/>
      <c r="D256" s="8"/>
      <c r="E256" s="9"/>
      <c r="F256" s="8"/>
      <c r="G256" s="10"/>
      <c r="H256" s="132"/>
      <c r="I256" s="8"/>
      <c r="J256" s="9"/>
      <c r="K256" s="8"/>
      <c r="L256" s="9"/>
      <c r="M256" s="8"/>
      <c r="N256" s="132"/>
      <c r="O256" s="8"/>
      <c r="P256" s="9"/>
      <c r="Q256" s="8"/>
      <c r="R256" s="9"/>
      <c r="S256" s="8"/>
      <c r="T256" s="8"/>
      <c r="U256" s="8"/>
      <c r="V256" s="132"/>
      <c r="W256" s="8"/>
      <c r="X256" s="8"/>
      <c r="Y256" s="9"/>
      <c r="Z256" s="8"/>
      <c r="AA256" s="8"/>
      <c r="AB256" s="8"/>
      <c r="AC256" s="132"/>
      <c r="AD256" s="8"/>
      <c r="AE256" s="9"/>
      <c r="AF256" s="8"/>
      <c r="AG256" s="9"/>
      <c r="AH256" s="8"/>
      <c r="AI256" s="8"/>
      <c r="AJ256" s="8"/>
      <c r="AK256" s="132"/>
      <c r="AL256" s="8"/>
      <c r="AM256" s="8"/>
      <c r="AN256" s="9"/>
      <c r="AO256" s="8"/>
      <c r="AP256" s="8"/>
      <c r="AQ256" s="8"/>
    </row>
    <row r="257" spans="1:43" outlineLevel="1" x14ac:dyDescent="0.15">
      <c r="A257" s="8"/>
      <c r="B257" s="8"/>
      <c r="C257" s="8"/>
      <c r="D257" s="8"/>
      <c r="E257" s="9"/>
      <c r="F257" s="8"/>
      <c r="G257" s="10"/>
      <c r="H257" s="132"/>
      <c r="I257" s="8"/>
      <c r="J257" s="9"/>
      <c r="K257" s="8"/>
      <c r="L257" s="9"/>
      <c r="M257" s="8"/>
      <c r="N257" s="132"/>
      <c r="O257" s="8"/>
      <c r="P257" s="9"/>
      <c r="Q257" s="8"/>
      <c r="R257" s="9"/>
      <c r="S257" s="8"/>
      <c r="T257" s="8"/>
      <c r="U257" s="8"/>
      <c r="V257" s="132"/>
      <c r="W257" s="8"/>
      <c r="X257" s="8"/>
      <c r="Y257" s="9"/>
      <c r="Z257" s="8"/>
      <c r="AA257" s="8"/>
      <c r="AB257" s="8"/>
      <c r="AC257" s="132"/>
      <c r="AD257" s="8"/>
      <c r="AE257" s="9"/>
      <c r="AF257" s="8"/>
      <c r="AG257" s="9"/>
      <c r="AH257" s="8"/>
      <c r="AI257" s="8"/>
      <c r="AJ257" s="8"/>
      <c r="AK257" s="132"/>
      <c r="AL257" s="8"/>
      <c r="AM257" s="8"/>
      <c r="AN257" s="9"/>
      <c r="AO257" s="8"/>
      <c r="AP257" s="8"/>
      <c r="AQ257" s="8"/>
    </row>
    <row r="258" spans="1:43" outlineLevel="1" x14ac:dyDescent="0.15">
      <c r="A258" s="8"/>
      <c r="B258" s="8"/>
      <c r="C258" s="8"/>
      <c r="D258" s="8"/>
      <c r="E258" s="9"/>
      <c r="F258" s="8"/>
      <c r="G258" s="10"/>
      <c r="H258" s="132"/>
      <c r="I258" s="8"/>
      <c r="J258" s="9"/>
      <c r="K258" s="8"/>
      <c r="L258" s="9"/>
      <c r="M258" s="8"/>
      <c r="N258" s="132"/>
      <c r="O258" s="8"/>
      <c r="P258" s="9"/>
      <c r="Q258" s="8"/>
      <c r="R258" s="9"/>
      <c r="S258" s="8"/>
      <c r="T258" s="8"/>
      <c r="U258" s="8"/>
      <c r="V258" s="132"/>
      <c r="W258" s="8"/>
      <c r="X258" s="8"/>
      <c r="Y258" s="9"/>
      <c r="Z258" s="8"/>
      <c r="AA258" s="8"/>
      <c r="AB258" s="8"/>
      <c r="AC258" s="132"/>
      <c r="AD258" s="8"/>
      <c r="AE258" s="9"/>
      <c r="AF258" s="8"/>
      <c r="AG258" s="9"/>
      <c r="AH258" s="8"/>
      <c r="AI258" s="8"/>
      <c r="AJ258" s="8"/>
      <c r="AK258" s="132"/>
      <c r="AL258" s="8"/>
      <c r="AM258" s="8"/>
      <c r="AN258" s="9"/>
      <c r="AO258" s="8"/>
      <c r="AP258" s="8"/>
      <c r="AQ258" s="8"/>
    </row>
    <row r="259" spans="1:43" outlineLevel="1" x14ac:dyDescent="0.15">
      <c r="A259" s="8"/>
      <c r="B259" s="8"/>
      <c r="C259" s="8"/>
      <c r="D259" s="8"/>
      <c r="E259" s="9"/>
      <c r="F259" s="8"/>
      <c r="G259" s="10"/>
      <c r="H259" s="132"/>
      <c r="I259" s="8"/>
      <c r="J259" s="9"/>
      <c r="K259" s="8"/>
      <c r="L259" s="9"/>
      <c r="M259" s="8"/>
      <c r="N259" s="132"/>
      <c r="O259" s="8"/>
      <c r="P259" s="9"/>
      <c r="Q259" s="8"/>
      <c r="R259" s="9"/>
      <c r="S259" s="8"/>
      <c r="T259" s="8"/>
      <c r="U259" s="8"/>
      <c r="V259" s="132"/>
      <c r="W259" s="8"/>
      <c r="X259" s="8"/>
      <c r="Y259" s="9"/>
      <c r="Z259" s="8"/>
      <c r="AA259" s="8"/>
      <c r="AB259" s="8"/>
      <c r="AC259" s="132"/>
      <c r="AD259" s="8"/>
      <c r="AE259" s="9"/>
      <c r="AF259" s="8"/>
      <c r="AG259" s="9"/>
      <c r="AH259" s="8"/>
      <c r="AI259" s="8"/>
      <c r="AJ259" s="8"/>
      <c r="AK259" s="132"/>
      <c r="AL259" s="8"/>
      <c r="AM259" s="8"/>
      <c r="AN259" s="9"/>
      <c r="AO259" s="8"/>
      <c r="AP259" s="8"/>
      <c r="AQ259" s="8"/>
    </row>
    <row r="260" spans="1:43" outlineLevel="1" x14ac:dyDescent="0.15">
      <c r="A260" s="8"/>
      <c r="B260" s="8"/>
      <c r="C260" s="8"/>
      <c r="D260" s="8"/>
      <c r="E260" s="9"/>
      <c r="F260" s="8"/>
      <c r="G260" s="10"/>
      <c r="H260" s="132"/>
      <c r="I260" s="8"/>
      <c r="J260" s="9"/>
      <c r="K260" s="8"/>
      <c r="L260" s="9"/>
      <c r="M260" s="8"/>
      <c r="N260" s="132"/>
      <c r="O260" s="8"/>
      <c r="P260" s="9"/>
      <c r="Q260" s="8"/>
      <c r="R260" s="9"/>
      <c r="S260" s="8"/>
      <c r="T260" s="8"/>
      <c r="U260" s="8"/>
      <c r="V260" s="132"/>
      <c r="W260" s="8"/>
      <c r="X260" s="8"/>
      <c r="Y260" s="9"/>
      <c r="Z260" s="8"/>
      <c r="AA260" s="8"/>
      <c r="AB260" s="8"/>
      <c r="AC260" s="132"/>
      <c r="AD260" s="8"/>
      <c r="AE260" s="9"/>
      <c r="AF260" s="8"/>
      <c r="AG260" s="9"/>
      <c r="AH260" s="8"/>
      <c r="AI260" s="8"/>
      <c r="AJ260" s="8"/>
      <c r="AK260" s="132"/>
      <c r="AL260" s="8"/>
      <c r="AM260" s="8"/>
      <c r="AN260" s="9"/>
      <c r="AO260" s="8"/>
      <c r="AP260" s="8"/>
      <c r="AQ260" s="8"/>
    </row>
    <row r="261" spans="1:43" outlineLevel="1" x14ac:dyDescent="0.15">
      <c r="A261" s="8"/>
      <c r="B261" s="8"/>
      <c r="C261" s="8"/>
      <c r="D261" s="8"/>
      <c r="E261" s="9"/>
      <c r="F261" s="8"/>
      <c r="G261" s="10"/>
      <c r="H261" s="132"/>
      <c r="I261" s="8"/>
      <c r="J261" s="9"/>
      <c r="K261" s="8"/>
      <c r="L261" s="9"/>
      <c r="M261" s="8"/>
      <c r="N261" s="132"/>
      <c r="O261" s="8"/>
      <c r="P261" s="9"/>
      <c r="Q261" s="8"/>
      <c r="R261" s="9"/>
      <c r="S261" s="8"/>
      <c r="T261" s="8"/>
      <c r="U261" s="8"/>
      <c r="V261" s="132"/>
      <c r="W261" s="8"/>
      <c r="X261" s="8"/>
      <c r="Y261" s="9"/>
      <c r="Z261" s="8"/>
      <c r="AA261" s="8"/>
      <c r="AB261" s="8"/>
      <c r="AC261" s="132"/>
      <c r="AD261" s="8"/>
      <c r="AE261" s="9"/>
      <c r="AF261" s="8"/>
      <c r="AG261" s="9"/>
      <c r="AH261" s="8"/>
      <c r="AI261" s="8"/>
      <c r="AJ261" s="8"/>
      <c r="AK261" s="132"/>
      <c r="AL261" s="8"/>
      <c r="AM261" s="8"/>
      <c r="AN261" s="9"/>
      <c r="AO261" s="8"/>
      <c r="AP261" s="8"/>
      <c r="AQ261" s="8"/>
    </row>
    <row r="262" spans="1:43" outlineLevel="1" x14ac:dyDescent="0.15">
      <c r="A262" s="8"/>
      <c r="B262" s="8"/>
      <c r="C262" s="8"/>
      <c r="D262" s="8"/>
      <c r="E262" s="9"/>
      <c r="F262" s="8"/>
      <c r="G262" s="10"/>
      <c r="H262" s="132"/>
      <c r="I262" s="8"/>
      <c r="J262" s="9"/>
      <c r="K262" s="8"/>
      <c r="L262" s="9"/>
      <c r="M262" s="8"/>
      <c r="N262" s="132"/>
      <c r="O262" s="8"/>
      <c r="P262" s="9"/>
      <c r="Q262" s="8"/>
      <c r="R262" s="9"/>
      <c r="S262" s="8"/>
      <c r="T262" s="8"/>
      <c r="U262" s="8"/>
      <c r="V262" s="132"/>
      <c r="W262" s="8"/>
      <c r="X262" s="8"/>
      <c r="Y262" s="9"/>
      <c r="Z262" s="8"/>
      <c r="AA262" s="8"/>
      <c r="AB262" s="8"/>
      <c r="AC262" s="132"/>
      <c r="AD262" s="8"/>
      <c r="AE262" s="9"/>
      <c r="AF262" s="8"/>
      <c r="AG262" s="9"/>
      <c r="AH262" s="8"/>
      <c r="AI262" s="8"/>
      <c r="AJ262" s="8"/>
      <c r="AK262" s="132"/>
      <c r="AL262" s="8"/>
      <c r="AM262" s="8"/>
      <c r="AN262" s="9"/>
      <c r="AO262" s="8"/>
      <c r="AP262" s="8"/>
      <c r="AQ262" s="8"/>
    </row>
    <row r="263" spans="1:43" outlineLevel="1" x14ac:dyDescent="0.15">
      <c r="A263" s="8"/>
      <c r="B263" s="8"/>
      <c r="C263" s="8"/>
      <c r="D263" s="8"/>
      <c r="E263" s="9"/>
      <c r="F263" s="8"/>
      <c r="G263" s="10"/>
      <c r="H263" s="132"/>
      <c r="I263" s="8"/>
      <c r="J263" s="9"/>
      <c r="K263" s="8"/>
      <c r="L263" s="9"/>
      <c r="M263" s="8"/>
      <c r="N263" s="132"/>
      <c r="O263" s="8"/>
      <c r="P263" s="9"/>
      <c r="Q263" s="8"/>
      <c r="R263" s="9"/>
      <c r="S263" s="8"/>
      <c r="T263" s="8"/>
      <c r="U263" s="8"/>
      <c r="V263" s="132"/>
      <c r="W263" s="8"/>
      <c r="X263" s="8"/>
      <c r="Y263" s="9"/>
      <c r="Z263" s="8"/>
      <c r="AA263" s="8"/>
      <c r="AB263" s="8"/>
      <c r="AC263" s="132"/>
      <c r="AD263" s="8"/>
      <c r="AE263" s="9"/>
      <c r="AF263" s="8"/>
      <c r="AG263" s="9"/>
      <c r="AH263" s="8"/>
      <c r="AI263" s="8"/>
      <c r="AJ263" s="8"/>
      <c r="AK263" s="132"/>
      <c r="AL263" s="8"/>
      <c r="AM263" s="8"/>
      <c r="AN263" s="9"/>
      <c r="AO263" s="8"/>
      <c r="AP263" s="8"/>
      <c r="AQ263" s="8"/>
    </row>
    <row r="264" spans="1:43" outlineLevel="1" x14ac:dyDescent="0.15">
      <c r="A264" s="8"/>
      <c r="B264" s="8"/>
      <c r="C264" s="8"/>
      <c r="D264" s="8"/>
      <c r="E264" s="9"/>
      <c r="F264" s="8"/>
      <c r="G264" s="10"/>
      <c r="H264" s="132"/>
      <c r="I264" s="8"/>
      <c r="J264" s="9"/>
      <c r="K264" s="8"/>
      <c r="L264" s="9"/>
      <c r="M264" s="8"/>
      <c r="N264" s="132"/>
      <c r="O264" s="8"/>
      <c r="P264" s="9"/>
      <c r="Q264" s="8"/>
      <c r="R264" s="9"/>
      <c r="S264" s="8"/>
      <c r="T264" s="8"/>
      <c r="U264" s="8"/>
      <c r="V264" s="132"/>
      <c r="W264" s="8"/>
      <c r="X264" s="8"/>
      <c r="Y264" s="9"/>
      <c r="Z264" s="8"/>
      <c r="AA264" s="8"/>
      <c r="AB264" s="8"/>
      <c r="AC264" s="132"/>
      <c r="AD264" s="8"/>
      <c r="AE264" s="9"/>
      <c r="AF264" s="8"/>
      <c r="AG264" s="9"/>
      <c r="AH264" s="8"/>
      <c r="AI264" s="8"/>
      <c r="AJ264" s="8"/>
      <c r="AK264" s="132"/>
      <c r="AL264" s="8"/>
      <c r="AM264" s="8"/>
      <c r="AN264" s="9"/>
      <c r="AO264" s="8"/>
      <c r="AP264" s="8"/>
      <c r="AQ264" s="8"/>
    </row>
    <row r="265" spans="1:43" outlineLevel="1" x14ac:dyDescent="0.15">
      <c r="A265" s="8"/>
      <c r="B265" s="8"/>
      <c r="C265" s="8"/>
      <c r="D265" s="8"/>
      <c r="E265" s="9"/>
      <c r="F265" s="8"/>
      <c r="G265" s="10"/>
      <c r="H265" s="132"/>
      <c r="I265" s="8"/>
      <c r="J265" s="9"/>
      <c r="K265" s="8"/>
      <c r="L265" s="9"/>
      <c r="M265" s="8"/>
      <c r="N265" s="132"/>
      <c r="O265" s="8"/>
      <c r="P265" s="9"/>
      <c r="Q265" s="8"/>
      <c r="R265" s="9"/>
      <c r="S265" s="8"/>
      <c r="T265" s="8"/>
      <c r="U265" s="8"/>
      <c r="V265" s="132"/>
      <c r="W265" s="8"/>
      <c r="X265" s="8"/>
      <c r="Y265" s="9"/>
      <c r="Z265" s="8"/>
      <c r="AA265" s="8"/>
      <c r="AB265" s="8"/>
      <c r="AC265" s="132"/>
      <c r="AD265" s="8"/>
      <c r="AE265" s="9"/>
      <c r="AF265" s="8"/>
      <c r="AG265" s="9"/>
      <c r="AH265" s="8"/>
      <c r="AI265" s="8"/>
      <c r="AJ265" s="8"/>
      <c r="AK265" s="132"/>
      <c r="AL265" s="8"/>
      <c r="AM265" s="8"/>
      <c r="AN265" s="9"/>
      <c r="AO265" s="8"/>
      <c r="AP265" s="8"/>
      <c r="AQ265" s="8"/>
    </row>
    <row r="266" spans="1:43" outlineLevel="1" x14ac:dyDescent="0.15">
      <c r="A266" s="8"/>
      <c r="B266" s="8"/>
      <c r="C266" s="8"/>
      <c r="D266" s="8"/>
      <c r="E266" s="9"/>
      <c r="F266" s="8"/>
      <c r="G266" s="10"/>
      <c r="H266" s="132"/>
      <c r="I266" s="8"/>
      <c r="J266" s="9"/>
      <c r="K266" s="8"/>
      <c r="L266" s="9"/>
      <c r="M266" s="8"/>
      <c r="N266" s="132"/>
      <c r="O266" s="8"/>
      <c r="P266" s="9"/>
      <c r="Q266" s="8"/>
      <c r="R266" s="9"/>
      <c r="S266" s="8"/>
      <c r="T266" s="8"/>
      <c r="U266" s="8"/>
      <c r="V266" s="132"/>
      <c r="W266" s="8"/>
      <c r="X266" s="8"/>
      <c r="Y266" s="9"/>
      <c r="Z266" s="8"/>
      <c r="AA266" s="8"/>
      <c r="AB266" s="8"/>
      <c r="AC266" s="132"/>
      <c r="AD266" s="8"/>
      <c r="AE266" s="9"/>
      <c r="AF266" s="8"/>
      <c r="AG266" s="9"/>
      <c r="AH266" s="8"/>
      <c r="AI266" s="8"/>
      <c r="AJ266" s="8"/>
      <c r="AK266" s="132"/>
      <c r="AL266" s="8"/>
      <c r="AM266" s="8"/>
      <c r="AN266" s="9"/>
      <c r="AO266" s="8"/>
      <c r="AP266" s="8"/>
      <c r="AQ266" s="8"/>
    </row>
    <row r="267" spans="1:43" outlineLevel="1" x14ac:dyDescent="0.15">
      <c r="A267" s="8"/>
      <c r="B267" s="8"/>
      <c r="C267" s="8"/>
      <c r="D267" s="8"/>
      <c r="E267" s="9"/>
      <c r="F267" s="8"/>
      <c r="G267" s="10"/>
      <c r="H267" s="132"/>
      <c r="I267" s="8"/>
      <c r="J267" s="9"/>
      <c r="K267" s="8"/>
      <c r="L267" s="9"/>
      <c r="M267" s="8"/>
      <c r="N267" s="132"/>
      <c r="O267" s="8"/>
      <c r="P267" s="9"/>
      <c r="Q267" s="8"/>
      <c r="R267" s="9"/>
      <c r="S267" s="8"/>
      <c r="T267" s="8"/>
      <c r="U267" s="8"/>
      <c r="V267" s="132"/>
      <c r="W267" s="8"/>
      <c r="X267" s="8"/>
      <c r="Y267" s="9"/>
      <c r="Z267" s="8"/>
      <c r="AA267" s="8"/>
      <c r="AB267" s="8"/>
      <c r="AC267" s="132"/>
      <c r="AD267" s="8"/>
      <c r="AE267" s="9"/>
      <c r="AF267" s="8"/>
      <c r="AG267" s="9"/>
      <c r="AH267" s="8"/>
      <c r="AI267" s="8"/>
      <c r="AJ267" s="8"/>
      <c r="AK267" s="132"/>
      <c r="AL267" s="8"/>
      <c r="AM267" s="8"/>
      <c r="AN267" s="9"/>
      <c r="AO267" s="8"/>
      <c r="AP267" s="8"/>
      <c r="AQ267" s="8"/>
    </row>
    <row r="268" spans="1:43" outlineLevel="1" x14ac:dyDescent="0.15">
      <c r="A268" s="8"/>
      <c r="B268" s="8"/>
      <c r="C268" s="8"/>
      <c r="D268" s="8"/>
      <c r="E268" s="9"/>
      <c r="F268" s="8"/>
      <c r="G268" s="10"/>
      <c r="H268" s="132"/>
      <c r="I268" s="8"/>
      <c r="J268" s="9"/>
      <c r="K268" s="8"/>
      <c r="L268" s="9"/>
      <c r="M268" s="8"/>
      <c r="N268" s="132"/>
      <c r="O268" s="8"/>
      <c r="P268" s="9"/>
      <c r="Q268" s="8"/>
      <c r="R268" s="9"/>
      <c r="S268" s="8"/>
      <c r="T268" s="8"/>
      <c r="U268" s="8"/>
      <c r="V268" s="132"/>
      <c r="W268" s="8"/>
      <c r="X268" s="8"/>
      <c r="Y268" s="9"/>
      <c r="Z268" s="8"/>
      <c r="AA268" s="8"/>
      <c r="AB268" s="8"/>
      <c r="AC268" s="132"/>
      <c r="AD268" s="8"/>
      <c r="AE268" s="9"/>
      <c r="AF268" s="8"/>
      <c r="AG268" s="9"/>
      <c r="AH268" s="8"/>
      <c r="AI268" s="8"/>
      <c r="AJ268" s="8"/>
      <c r="AK268" s="132"/>
      <c r="AL268" s="8"/>
      <c r="AM268" s="8"/>
      <c r="AN268" s="9"/>
      <c r="AO268" s="8"/>
      <c r="AP268" s="8"/>
      <c r="AQ268" s="8"/>
    </row>
    <row r="269" spans="1:43" outlineLevel="1" x14ac:dyDescent="0.15">
      <c r="A269" s="8"/>
      <c r="B269" s="8"/>
      <c r="C269" s="8"/>
      <c r="D269" s="8"/>
      <c r="E269" s="9"/>
      <c r="F269" s="8"/>
      <c r="G269" s="10"/>
      <c r="H269" s="132"/>
      <c r="I269" s="8"/>
      <c r="J269" s="9"/>
      <c r="K269" s="8"/>
      <c r="L269" s="9"/>
      <c r="M269" s="8"/>
      <c r="N269" s="132"/>
      <c r="O269" s="8"/>
      <c r="P269" s="9"/>
      <c r="Q269" s="8"/>
      <c r="R269" s="9"/>
      <c r="S269" s="8"/>
      <c r="T269" s="8"/>
      <c r="U269" s="8"/>
      <c r="V269" s="132"/>
      <c r="W269" s="8"/>
      <c r="X269" s="8"/>
      <c r="Y269" s="9"/>
      <c r="Z269" s="8"/>
      <c r="AA269" s="8"/>
      <c r="AB269" s="8"/>
      <c r="AC269" s="132"/>
      <c r="AD269" s="8"/>
      <c r="AE269" s="9"/>
      <c r="AF269" s="8"/>
      <c r="AG269" s="9"/>
      <c r="AH269" s="8"/>
      <c r="AI269" s="8"/>
      <c r="AJ269" s="8"/>
      <c r="AK269" s="132"/>
      <c r="AL269" s="8"/>
      <c r="AM269" s="8"/>
      <c r="AN269" s="9"/>
      <c r="AO269" s="8"/>
      <c r="AP269" s="8"/>
      <c r="AQ269" s="8"/>
    </row>
    <row r="270" spans="1:43" outlineLevel="1" x14ac:dyDescent="0.15">
      <c r="A270" s="8"/>
      <c r="B270" s="8"/>
      <c r="C270" s="8"/>
      <c r="D270" s="8"/>
      <c r="E270" s="9"/>
      <c r="F270" s="8"/>
      <c r="G270" s="10"/>
      <c r="H270" s="132"/>
      <c r="I270" s="8"/>
      <c r="J270" s="9"/>
      <c r="K270" s="8"/>
      <c r="L270" s="9"/>
      <c r="M270" s="8"/>
      <c r="N270" s="132"/>
      <c r="O270" s="8"/>
      <c r="P270" s="9"/>
      <c r="Q270" s="8"/>
      <c r="R270" s="9"/>
      <c r="S270" s="8"/>
      <c r="T270" s="8"/>
      <c r="U270" s="8"/>
      <c r="V270" s="132"/>
      <c r="W270" s="8"/>
      <c r="X270" s="8"/>
      <c r="Y270" s="9"/>
      <c r="Z270" s="8"/>
      <c r="AA270" s="8"/>
      <c r="AB270" s="8"/>
      <c r="AC270" s="132"/>
      <c r="AD270" s="8"/>
      <c r="AE270" s="9"/>
      <c r="AF270" s="8"/>
      <c r="AG270" s="9"/>
      <c r="AH270" s="8"/>
      <c r="AI270" s="8"/>
      <c r="AJ270" s="8"/>
      <c r="AK270" s="132"/>
      <c r="AL270" s="8"/>
      <c r="AM270" s="8"/>
      <c r="AN270" s="9"/>
      <c r="AO270" s="8"/>
      <c r="AP270" s="8"/>
      <c r="AQ270" s="8"/>
    </row>
    <row r="271" spans="1:43" outlineLevel="1" x14ac:dyDescent="0.15">
      <c r="A271" s="8"/>
      <c r="B271" s="8"/>
      <c r="C271" s="8"/>
      <c r="D271" s="8"/>
      <c r="E271" s="9"/>
      <c r="F271" s="8"/>
      <c r="G271" s="10"/>
      <c r="H271" s="132"/>
      <c r="I271" s="8"/>
      <c r="J271" s="9"/>
      <c r="K271" s="8"/>
      <c r="L271" s="9"/>
      <c r="M271" s="8"/>
      <c r="N271" s="132"/>
      <c r="O271" s="8"/>
      <c r="P271" s="9"/>
      <c r="Q271" s="8"/>
      <c r="R271" s="9"/>
      <c r="S271" s="8"/>
      <c r="T271" s="8"/>
      <c r="U271" s="8"/>
      <c r="V271" s="132"/>
      <c r="W271" s="8"/>
      <c r="X271" s="8"/>
      <c r="Y271" s="9"/>
      <c r="Z271" s="8"/>
      <c r="AA271" s="8"/>
      <c r="AB271" s="8"/>
      <c r="AC271" s="132"/>
      <c r="AD271" s="8"/>
      <c r="AE271" s="9"/>
      <c r="AF271" s="8"/>
      <c r="AG271" s="9"/>
      <c r="AH271" s="8"/>
      <c r="AI271" s="8"/>
      <c r="AJ271" s="8"/>
      <c r="AK271" s="132"/>
      <c r="AL271" s="8"/>
      <c r="AM271" s="8"/>
      <c r="AN271" s="9"/>
      <c r="AO271" s="8"/>
      <c r="AP271" s="8"/>
      <c r="AQ271" s="8"/>
    </row>
    <row r="272" spans="1:43" outlineLevel="1" x14ac:dyDescent="0.15">
      <c r="A272" s="8"/>
      <c r="B272" s="8"/>
      <c r="C272" s="8"/>
      <c r="D272" s="8"/>
      <c r="E272" s="9"/>
      <c r="F272" s="8"/>
      <c r="G272" s="10"/>
      <c r="H272" s="132"/>
      <c r="I272" s="8"/>
      <c r="J272" s="9"/>
      <c r="K272" s="8"/>
      <c r="L272" s="9"/>
      <c r="M272" s="8"/>
      <c r="N272" s="132"/>
      <c r="O272" s="8"/>
      <c r="P272" s="9"/>
      <c r="Q272" s="8"/>
      <c r="R272" s="9"/>
      <c r="S272" s="8"/>
      <c r="T272" s="8"/>
      <c r="U272" s="8"/>
      <c r="V272" s="132"/>
      <c r="W272" s="8"/>
      <c r="X272" s="8"/>
      <c r="Y272" s="9"/>
      <c r="Z272" s="8"/>
      <c r="AA272" s="8"/>
      <c r="AB272" s="8"/>
      <c r="AC272" s="132"/>
      <c r="AD272" s="8"/>
      <c r="AE272" s="9"/>
      <c r="AF272" s="8"/>
      <c r="AG272" s="9"/>
      <c r="AH272" s="8"/>
      <c r="AI272" s="8"/>
      <c r="AJ272" s="8"/>
      <c r="AK272" s="132"/>
      <c r="AL272" s="8"/>
      <c r="AM272" s="8"/>
      <c r="AN272" s="9"/>
      <c r="AO272" s="8"/>
      <c r="AP272" s="8"/>
      <c r="AQ272" s="8"/>
    </row>
    <row r="273" spans="1:43" outlineLevel="1" x14ac:dyDescent="0.15">
      <c r="A273" s="8"/>
      <c r="B273" s="8"/>
      <c r="C273" s="8"/>
      <c r="D273" s="8"/>
      <c r="E273" s="9"/>
      <c r="F273" s="8"/>
      <c r="G273" s="10"/>
      <c r="H273" s="132"/>
      <c r="I273" s="8"/>
      <c r="J273" s="9"/>
      <c r="K273" s="8"/>
      <c r="L273" s="9"/>
      <c r="M273" s="8"/>
      <c r="N273" s="132"/>
      <c r="O273" s="8"/>
      <c r="P273" s="9"/>
      <c r="Q273" s="8"/>
      <c r="R273" s="9"/>
      <c r="S273" s="8"/>
      <c r="T273" s="8"/>
      <c r="U273" s="8"/>
      <c r="V273" s="132"/>
      <c r="W273" s="8"/>
      <c r="X273" s="8"/>
      <c r="Y273" s="9"/>
      <c r="Z273" s="8"/>
      <c r="AA273" s="8"/>
      <c r="AB273" s="8"/>
      <c r="AC273" s="132"/>
      <c r="AD273" s="8"/>
      <c r="AE273" s="9"/>
      <c r="AF273" s="8"/>
      <c r="AG273" s="9"/>
      <c r="AH273" s="8"/>
      <c r="AI273" s="8"/>
      <c r="AJ273" s="8"/>
      <c r="AK273" s="132"/>
      <c r="AL273" s="8"/>
      <c r="AM273" s="8"/>
      <c r="AN273" s="9"/>
      <c r="AO273" s="8"/>
      <c r="AP273" s="8"/>
      <c r="AQ273" s="8"/>
    </row>
    <row r="274" spans="1:43" outlineLevel="1" x14ac:dyDescent="0.15">
      <c r="A274" s="8"/>
      <c r="B274" s="8"/>
      <c r="C274" s="8"/>
      <c r="D274" s="8"/>
      <c r="E274" s="9"/>
      <c r="F274" s="8"/>
      <c r="G274" s="10"/>
      <c r="H274" s="132"/>
      <c r="I274" s="8"/>
      <c r="J274" s="9"/>
      <c r="K274" s="8"/>
      <c r="L274" s="9"/>
      <c r="M274" s="8"/>
      <c r="N274" s="132"/>
      <c r="O274" s="8"/>
      <c r="P274" s="9"/>
      <c r="Q274" s="8"/>
      <c r="R274" s="9"/>
      <c r="S274" s="8"/>
      <c r="T274" s="8"/>
      <c r="U274" s="8"/>
      <c r="V274" s="132"/>
      <c r="W274" s="8"/>
      <c r="X274" s="8"/>
      <c r="Y274" s="9"/>
      <c r="Z274" s="8"/>
      <c r="AA274" s="8"/>
      <c r="AB274" s="8"/>
      <c r="AC274" s="132"/>
      <c r="AD274" s="8"/>
      <c r="AE274" s="9"/>
      <c r="AF274" s="8"/>
      <c r="AG274" s="9"/>
      <c r="AH274" s="8"/>
      <c r="AI274" s="8"/>
      <c r="AJ274" s="8"/>
      <c r="AK274" s="132"/>
      <c r="AL274" s="8"/>
      <c r="AM274" s="8"/>
      <c r="AN274" s="9"/>
      <c r="AO274" s="8"/>
      <c r="AP274" s="8"/>
      <c r="AQ274" s="8"/>
    </row>
    <row r="275" spans="1:43" outlineLevel="1" x14ac:dyDescent="0.15">
      <c r="A275" s="8"/>
      <c r="B275" s="8"/>
      <c r="C275" s="8"/>
      <c r="D275" s="8"/>
      <c r="E275" s="9"/>
      <c r="F275" s="8"/>
      <c r="G275" s="10"/>
      <c r="H275" s="132"/>
      <c r="I275" s="8"/>
      <c r="J275" s="9"/>
      <c r="K275" s="8"/>
      <c r="L275" s="9"/>
      <c r="M275" s="8"/>
      <c r="N275" s="132"/>
      <c r="O275" s="8"/>
      <c r="P275" s="9"/>
      <c r="Q275" s="8"/>
      <c r="R275" s="9"/>
      <c r="S275" s="8"/>
      <c r="T275" s="8"/>
      <c r="U275" s="8"/>
      <c r="V275" s="132"/>
      <c r="W275" s="8"/>
      <c r="X275" s="8"/>
      <c r="Y275" s="9"/>
      <c r="Z275" s="8"/>
      <c r="AA275" s="8"/>
      <c r="AB275" s="8"/>
      <c r="AC275" s="132"/>
      <c r="AD275" s="8"/>
      <c r="AE275" s="9"/>
      <c r="AF275" s="8"/>
      <c r="AG275" s="9"/>
      <c r="AH275" s="8"/>
      <c r="AI275" s="8"/>
      <c r="AJ275" s="8"/>
      <c r="AK275" s="132"/>
      <c r="AL275" s="8"/>
      <c r="AM275" s="8"/>
      <c r="AN275" s="9"/>
      <c r="AO275" s="8"/>
      <c r="AP275" s="8"/>
      <c r="AQ275" s="8"/>
    </row>
    <row r="276" spans="1:43" outlineLevel="1" x14ac:dyDescent="0.15">
      <c r="A276" s="8"/>
      <c r="B276" s="8"/>
      <c r="C276" s="8"/>
      <c r="D276" s="8"/>
      <c r="E276" s="9"/>
      <c r="F276" s="8"/>
      <c r="G276" s="10"/>
      <c r="H276" s="132"/>
      <c r="I276" s="8"/>
      <c r="J276" s="9"/>
      <c r="K276" s="8"/>
      <c r="L276" s="9"/>
      <c r="M276" s="8"/>
      <c r="N276" s="132"/>
      <c r="O276" s="8"/>
      <c r="P276" s="9"/>
      <c r="Q276" s="8"/>
      <c r="R276" s="9"/>
      <c r="S276" s="8"/>
      <c r="T276" s="8"/>
      <c r="U276" s="8"/>
      <c r="V276" s="132"/>
      <c r="W276" s="8"/>
      <c r="X276" s="8"/>
      <c r="Y276" s="9"/>
      <c r="Z276" s="8"/>
      <c r="AA276" s="8"/>
      <c r="AB276" s="8"/>
      <c r="AC276" s="132"/>
      <c r="AD276" s="8"/>
      <c r="AE276" s="9"/>
      <c r="AF276" s="8"/>
      <c r="AG276" s="9"/>
      <c r="AH276" s="8"/>
      <c r="AI276" s="8"/>
      <c r="AJ276" s="8"/>
      <c r="AK276" s="132"/>
      <c r="AL276" s="8"/>
      <c r="AM276" s="8"/>
      <c r="AN276" s="9"/>
      <c r="AO276" s="8"/>
      <c r="AP276" s="8"/>
      <c r="AQ276" s="8"/>
    </row>
    <row r="277" spans="1:43" outlineLevel="1" x14ac:dyDescent="0.15">
      <c r="A277" s="8"/>
      <c r="B277" s="8"/>
      <c r="C277" s="8"/>
      <c r="D277" s="8"/>
      <c r="E277" s="9"/>
      <c r="F277" s="8"/>
      <c r="G277" s="10"/>
      <c r="H277" s="132"/>
      <c r="I277" s="8"/>
      <c r="J277" s="9"/>
      <c r="K277" s="8"/>
      <c r="L277" s="9"/>
      <c r="M277" s="8"/>
      <c r="N277" s="132"/>
      <c r="O277" s="8"/>
      <c r="P277" s="9"/>
      <c r="Q277" s="8"/>
      <c r="R277" s="9"/>
      <c r="S277" s="8"/>
      <c r="T277" s="8"/>
      <c r="U277" s="8"/>
      <c r="V277" s="132"/>
      <c r="W277" s="8"/>
      <c r="X277" s="8"/>
      <c r="Y277" s="9"/>
      <c r="Z277" s="8"/>
      <c r="AA277" s="8"/>
      <c r="AB277" s="8"/>
      <c r="AC277" s="132"/>
      <c r="AD277" s="8"/>
      <c r="AE277" s="9"/>
      <c r="AF277" s="8"/>
      <c r="AG277" s="9"/>
      <c r="AH277" s="8"/>
      <c r="AI277" s="8"/>
      <c r="AJ277" s="8"/>
      <c r="AK277" s="132"/>
      <c r="AL277" s="8"/>
      <c r="AM277" s="8"/>
      <c r="AN277" s="9"/>
      <c r="AO277" s="8"/>
      <c r="AP277" s="8"/>
      <c r="AQ277" s="8"/>
    </row>
    <row r="278" spans="1:43" outlineLevel="1" x14ac:dyDescent="0.15">
      <c r="A278" s="8"/>
      <c r="B278" s="8"/>
      <c r="C278" s="8"/>
      <c r="D278" s="8"/>
      <c r="E278" s="9"/>
      <c r="F278" s="8"/>
      <c r="G278" s="10"/>
      <c r="H278" s="132"/>
      <c r="I278" s="8"/>
      <c r="J278" s="9"/>
      <c r="K278" s="8"/>
      <c r="L278" s="9"/>
      <c r="M278" s="8"/>
      <c r="N278" s="132"/>
      <c r="O278" s="8"/>
      <c r="P278" s="9"/>
      <c r="Q278" s="8"/>
      <c r="R278" s="9"/>
      <c r="S278" s="8"/>
      <c r="T278" s="8"/>
      <c r="U278" s="8"/>
      <c r="V278" s="132"/>
      <c r="W278" s="8"/>
      <c r="X278" s="8"/>
      <c r="Y278" s="9"/>
      <c r="Z278" s="8"/>
      <c r="AA278" s="8"/>
      <c r="AB278" s="8"/>
      <c r="AC278" s="132"/>
      <c r="AD278" s="8"/>
      <c r="AE278" s="9"/>
      <c r="AF278" s="8"/>
      <c r="AG278" s="9"/>
      <c r="AH278" s="8"/>
      <c r="AI278" s="8"/>
      <c r="AJ278" s="8"/>
      <c r="AK278" s="132"/>
      <c r="AL278" s="8"/>
      <c r="AM278" s="8"/>
      <c r="AN278" s="9"/>
      <c r="AO278" s="8"/>
      <c r="AP278" s="8"/>
      <c r="AQ278" s="8"/>
    </row>
    <row r="279" spans="1:43" outlineLevel="1" x14ac:dyDescent="0.15">
      <c r="A279" s="8"/>
      <c r="B279" s="8"/>
      <c r="C279" s="8"/>
      <c r="D279" s="8"/>
      <c r="E279" s="9"/>
      <c r="F279" s="8"/>
      <c r="G279" s="10"/>
      <c r="H279" s="132"/>
      <c r="I279" s="8"/>
      <c r="J279" s="9"/>
      <c r="K279" s="8"/>
      <c r="L279" s="9"/>
      <c r="M279" s="8"/>
      <c r="N279" s="132"/>
      <c r="O279" s="8"/>
      <c r="P279" s="9"/>
      <c r="Q279" s="8"/>
      <c r="R279" s="9"/>
      <c r="S279" s="8"/>
      <c r="T279" s="8"/>
      <c r="U279" s="8"/>
      <c r="V279" s="132"/>
      <c r="W279" s="8"/>
      <c r="X279" s="8"/>
      <c r="Y279" s="9"/>
      <c r="Z279" s="8"/>
      <c r="AA279" s="8"/>
      <c r="AB279" s="8"/>
      <c r="AC279" s="132"/>
      <c r="AD279" s="8"/>
      <c r="AE279" s="9"/>
      <c r="AF279" s="8"/>
      <c r="AG279" s="9"/>
      <c r="AH279" s="8"/>
      <c r="AI279" s="8"/>
      <c r="AJ279" s="8"/>
      <c r="AK279" s="132"/>
      <c r="AL279" s="8"/>
      <c r="AM279" s="8"/>
      <c r="AN279" s="9"/>
      <c r="AO279" s="8"/>
      <c r="AP279" s="8"/>
      <c r="AQ279" s="8"/>
    </row>
    <row r="280" spans="1:43" outlineLevel="1" x14ac:dyDescent="0.15">
      <c r="A280" s="8"/>
      <c r="B280" s="8"/>
      <c r="C280" s="8"/>
      <c r="D280" s="8"/>
      <c r="E280" s="9"/>
      <c r="F280" s="8"/>
      <c r="G280" s="10"/>
      <c r="H280" s="132"/>
      <c r="I280" s="8"/>
      <c r="J280" s="9"/>
      <c r="K280" s="8"/>
      <c r="L280" s="9"/>
      <c r="M280" s="8"/>
      <c r="N280" s="132"/>
      <c r="O280" s="8"/>
      <c r="P280" s="9"/>
      <c r="Q280" s="8"/>
      <c r="R280" s="9"/>
      <c r="S280" s="8"/>
      <c r="T280" s="8"/>
      <c r="U280" s="8"/>
      <c r="V280" s="132"/>
      <c r="W280" s="8"/>
      <c r="X280" s="8"/>
      <c r="Y280" s="9"/>
      <c r="Z280" s="8"/>
      <c r="AA280" s="8"/>
      <c r="AB280" s="8"/>
      <c r="AC280" s="132"/>
      <c r="AD280" s="8"/>
      <c r="AE280" s="9"/>
      <c r="AF280" s="8"/>
      <c r="AG280" s="9"/>
      <c r="AH280" s="8"/>
      <c r="AI280" s="8"/>
      <c r="AJ280" s="8"/>
      <c r="AK280" s="132"/>
      <c r="AL280" s="8"/>
      <c r="AM280" s="8"/>
      <c r="AN280" s="9"/>
      <c r="AO280" s="8"/>
      <c r="AP280" s="8"/>
      <c r="AQ280" s="8"/>
    </row>
    <row r="281" spans="1:43" outlineLevel="1" x14ac:dyDescent="0.15">
      <c r="A281" s="8"/>
      <c r="B281" s="8"/>
      <c r="C281" s="8"/>
      <c r="D281" s="8"/>
      <c r="E281" s="9"/>
      <c r="F281" s="8"/>
      <c r="G281" s="10"/>
      <c r="H281" s="132"/>
      <c r="I281" s="8"/>
      <c r="J281" s="9"/>
      <c r="K281" s="8"/>
      <c r="L281" s="9"/>
      <c r="M281" s="8"/>
      <c r="N281" s="132"/>
      <c r="O281" s="8"/>
      <c r="P281" s="9"/>
      <c r="Q281" s="8"/>
      <c r="R281" s="9"/>
      <c r="S281" s="8"/>
      <c r="T281" s="8"/>
      <c r="U281" s="8"/>
      <c r="V281" s="132"/>
      <c r="W281" s="8"/>
      <c r="X281" s="8"/>
      <c r="Y281" s="9"/>
      <c r="Z281" s="8"/>
      <c r="AA281" s="8"/>
      <c r="AB281" s="8"/>
      <c r="AC281" s="132"/>
      <c r="AD281" s="8"/>
      <c r="AE281" s="9"/>
      <c r="AF281" s="8"/>
      <c r="AG281" s="9"/>
      <c r="AH281" s="8"/>
      <c r="AI281" s="8"/>
      <c r="AJ281" s="8"/>
      <c r="AK281" s="132"/>
      <c r="AL281" s="8"/>
      <c r="AM281" s="8"/>
      <c r="AN281" s="9"/>
      <c r="AO281" s="8"/>
      <c r="AP281" s="8"/>
      <c r="AQ281" s="8"/>
    </row>
    <row r="282" spans="1:43" outlineLevel="1" x14ac:dyDescent="0.15">
      <c r="A282" s="8"/>
      <c r="B282" s="8"/>
      <c r="C282" s="8"/>
      <c r="D282" s="8"/>
      <c r="E282" s="9"/>
      <c r="F282" s="8"/>
      <c r="G282" s="10"/>
      <c r="H282" s="132"/>
      <c r="I282" s="8"/>
      <c r="J282" s="9"/>
      <c r="K282" s="8"/>
      <c r="L282" s="9"/>
      <c r="M282" s="8"/>
      <c r="N282" s="132"/>
      <c r="O282" s="8"/>
      <c r="P282" s="9"/>
      <c r="Q282" s="8"/>
      <c r="R282" s="9"/>
      <c r="S282" s="8"/>
      <c r="T282" s="8"/>
      <c r="U282" s="8"/>
      <c r="V282" s="132"/>
      <c r="W282" s="8"/>
      <c r="X282" s="8"/>
      <c r="Y282" s="9"/>
      <c r="Z282" s="8"/>
      <c r="AA282" s="8"/>
      <c r="AB282" s="8"/>
      <c r="AC282" s="132"/>
      <c r="AD282" s="8"/>
      <c r="AE282" s="9"/>
      <c r="AF282" s="8"/>
      <c r="AG282" s="9"/>
      <c r="AH282" s="8"/>
      <c r="AI282" s="8"/>
      <c r="AJ282" s="8"/>
      <c r="AK282" s="132"/>
      <c r="AL282" s="8"/>
      <c r="AM282" s="8"/>
      <c r="AN282" s="9"/>
      <c r="AO282" s="8"/>
      <c r="AP282" s="8"/>
      <c r="AQ282" s="8"/>
    </row>
    <row r="283" spans="1:43" outlineLevel="1" x14ac:dyDescent="0.15">
      <c r="A283" s="8"/>
      <c r="B283" s="8"/>
      <c r="C283" s="8"/>
      <c r="D283" s="8"/>
      <c r="E283" s="9"/>
      <c r="F283" s="8"/>
      <c r="G283" s="10"/>
      <c r="H283" s="132"/>
      <c r="I283" s="8"/>
      <c r="J283" s="9"/>
      <c r="K283" s="8"/>
      <c r="L283" s="9"/>
      <c r="M283" s="8"/>
      <c r="N283" s="132"/>
      <c r="O283" s="8"/>
      <c r="P283" s="9"/>
      <c r="Q283" s="8"/>
      <c r="R283" s="9"/>
      <c r="S283" s="8"/>
      <c r="T283" s="8"/>
      <c r="U283" s="8"/>
      <c r="V283" s="132"/>
      <c r="W283" s="8"/>
      <c r="X283" s="8"/>
      <c r="Y283" s="9"/>
      <c r="Z283" s="8"/>
      <c r="AA283" s="8"/>
      <c r="AB283" s="8"/>
      <c r="AC283" s="132"/>
      <c r="AD283" s="8"/>
      <c r="AE283" s="9"/>
      <c r="AF283" s="8"/>
      <c r="AG283" s="9"/>
      <c r="AH283" s="8"/>
      <c r="AI283" s="8"/>
      <c r="AJ283" s="8"/>
      <c r="AK283" s="132"/>
      <c r="AL283" s="8"/>
      <c r="AM283" s="8"/>
      <c r="AN283" s="9"/>
      <c r="AO283" s="8"/>
      <c r="AP283" s="8"/>
      <c r="AQ283" s="8"/>
    </row>
    <row r="284" spans="1:43" outlineLevel="1" x14ac:dyDescent="0.15">
      <c r="A284" s="8"/>
      <c r="B284" s="8"/>
      <c r="C284" s="8"/>
      <c r="D284" s="8"/>
      <c r="E284" s="9"/>
      <c r="F284" s="8"/>
      <c r="G284" s="10"/>
      <c r="H284" s="132"/>
      <c r="I284" s="8"/>
      <c r="J284" s="9"/>
      <c r="K284" s="8"/>
      <c r="L284" s="9"/>
      <c r="M284" s="8"/>
      <c r="N284" s="132"/>
      <c r="O284" s="8"/>
      <c r="P284" s="9"/>
      <c r="Q284" s="8"/>
      <c r="R284" s="9"/>
      <c r="S284" s="8"/>
      <c r="T284" s="8"/>
      <c r="U284" s="8"/>
      <c r="V284" s="132"/>
      <c r="W284" s="8"/>
      <c r="X284" s="8"/>
      <c r="Y284" s="9"/>
      <c r="Z284" s="8"/>
      <c r="AA284" s="8"/>
      <c r="AB284" s="8"/>
      <c r="AC284" s="132"/>
      <c r="AD284" s="8"/>
      <c r="AE284" s="9"/>
      <c r="AF284" s="8"/>
      <c r="AG284" s="9"/>
      <c r="AH284" s="8"/>
      <c r="AI284" s="8"/>
      <c r="AJ284" s="8"/>
      <c r="AK284" s="132"/>
      <c r="AL284" s="8"/>
      <c r="AM284" s="8"/>
      <c r="AN284" s="9"/>
      <c r="AO284" s="8"/>
      <c r="AP284" s="8"/>
      <c r="AQ284" s="8"/>
    </row>
    <row r="285" spans="1:43" outlineLevel="1" x14ac:dyDescent="0.15">
      <c r="A285" s="8"/>
      <c r="B285" s="8"/>
      <c r="C285" s="8"/>
      <c r="D285" s="8"/>
      <c r="E285" s="9"/>
      <c r="F285" s="8"/>
      <c r="G285" s="10"/>
      <c r="H285" s="132"/>
      <c r="I285" s="8"/>
      <c r="J285" s="9"/>
      <c r="K285" s="8"/>
      <c r="L285" s="9"/>
      <c r="M285" s="8"/>
      <c r="N285" s="132"/>
      <c r="O285" s="8"/>
      <c r="P285" s="9"/>
      <c r="Q285" s="8"/>
      <c r="R285" s="9"/>
      <c r="S285" s="8"/>
      <c r="T285" s="8"/>
      <c r="U285" s="8"/>
      <c r="V285" s="132"/>
      <c r="W285" s="8"/>
      <c r="X285" s="8"/>
      <c r="Y285" s="9"/>
      <c r="Z285" s="8"/>
      <c r="AA285" s="8"/>
      <c r="AB285" s="8"/>
      <c r="AC285" s="132"/>
      <c r="AD285" s="8"/>
      <c r="AE285" s="9"/>
      <c r="AF285" s="8"/>
      <c r="AG285" s="9"/>
      <c r="AH285" s="8"/>
      <c r="AI285" s="8"/>
      <c r="AJ285" s="8"/>
      <c r="AK285" s="132"/>
      <c r="AL285" s="8"/>
      <c r="AM285" s="8"/>
      <c r="AN285" s="9"/>
      <c r="AO285" s="8"/>
      <c r="AP285" s="8"/>
      <c r="AQ285" s="8"/>
    </row>
    <row r="286" spans="1:43" outlineLevel="1" x14ac:dyDescent="0.15">
      <c r="A286" s="8"/>
      <c r="B286" s="8"/>
      <c r="C286" s="8"/>
      <c r="D286" s="8"/>
      <c r="E286" s="9"/>
      <c r="F286" s="8"/>
      <c r="G286" s="10"/>
      <c r="H286" s="132"/>
      <c r="I286" s="8"/>
      <c r="J286" s="9"/>
      <c r="K286" s="8"/>
      <c r="L286" s="9"/>
      <c r="M286" s="8"/>
      <c r="N286" s="132"/>
      <c r="O286" s="8"/>
      <c r="P286" s="9"/>
      <c r="Q286" s="8"/>
      <c r="R286" s="9"/>
      <c r="S286" s="8"/>
      <c r="T286" s="8"/>
      <c r="U286" s="8"/>
      <c r="V286" s="132"/>
      <c r="W286" s="8"/>
      <c r="X286" s="8"/>
      <c r="Y286" s="9"/>
      <c r="Z286" s="8"/>
      <c r="AA286" s="8"/>
      <c r="AB286" s="8"/>
      <c r="AC286" s="132"/>
      <c r="AD286" s="8"/>
      <c r="AE286" s="9"/>
      <c r="AF286" s="8"/>
      <c r="AG286" s="9"/>
      <c r="AH286" s="8"/>
      <c r="AI286" s="8"/>
      <c r="AJ286" s="8"/>
      <c r="AK286" s="132"/>
      <c r="AL286" s="8"/>
      <c r="AM286" s="8"/>
      <c r="AN286" s="9"/>
      <c r="AO286" s="8"/>
      <c r="AP286" s="8"/>
      <c r="AQ286" s="8"/>
    </row>
    <row r="287" spans="1:43" outlineLevel="1" x14ac:dyDescent="0.15">
      <c r="A287" s="8"/>
      <c r="B287" s="8"/>
      <c r="C287" s="8"/>
      <c r="D287" s="8"/>
      <c r="E287" s="9"/>
      <c r="F287" s="8"/>
      <c r="G287" s="10"/>
      <c r="H287" s="132"/>
      <c r="I287" s="8"/>
      <c r="J287" s="9"/>
      <c r="K287" s="8"/>
      <c r="L287" s="9"/>
      <c r="M287" s="8"/>
      <c r="N287" s="132"/>
      <c r="O287" s="8"/>
      <c r="P287" s="9"/>
      <c r="Q287" s="8"/>
      <c r="R287" s="9"/>
      <c r="S287" s="8"/>
      <c r="T287" s="8"/>
      <c r="U287" s="8"/>
      <c r="V287" s="132"/>
      <c r="W287" s="8"/>
      <c r="X287" s="8"/>
      <c r="Y287" s="9"/>
      <c r="Z287" s="8"/>
      <c r="AA287" s="8"/>
      <c r="AB287" s="8"/>
      <c r="AC287" s="132"/>
      <c r="AD287" s="8"/>
      <c r="AE287" s="9"/>
      <c r="AF287" s="8"/>
      <c r="AG287" s="9"/>
      <c r="AH287" s="8"/>
      <c r="AI287" s="8"/>
      <c r="AJ287" s="8"/>
      <c r="AK287" s="132"/>
      <c r="AL287" s="8"/>
      <c r="AM287" s="8"/>
      <c r="AN287" s="9"/>
      <c r="AO287" s="8"/>
      <c r="AP287" s="8"/>
      <c r="AQ287" s="8"/>
    </row>
    <row r="288" spans="1:43" outlineLevel="1" x14ac:dyDescent="0.15">
      <c r="A288" s="8"/>
      <c r="B288" s="8"/>
      <c r="C288" s="8"/>
      <c r="D288" s="8"/>
      <c r="E288" s="9"/>
      <c r="F288" s="8"/>
      <c r="G288" s="10"/>
      <c r="H288" s="132"/>
      <c r="I288" s="8"/>
      <c r="J288" s="9"/>
      <c r="K288" s="8"/>
      <c r="L288" s="9"/>
      <c r="M288" s="8"/>
      <c r="N288" s="132"/>
      <c r="O288" s="8"/>
      <c r="P288" s="9"/>
      <c r="Q288" s="8"/>
      <c r="R288" s="9"/>
      <c r="S288" s="8"/>
      <c r="T288" s="8"/>
      <c r="U288" s="8"/>
      <c r="V288" s="132"/>
      <c r="W288" s="8"/>
      <c r="X288" s="8"/>
      <c r="Y288" s="9"/>
      <c r="Z288" s="8"/>
      <c r="AA288" s="8"/>
      <c r="AB288" s="8"/>
      <c r="AC288" s="132"/>
      <c r="AD288" s="8"/>
      <c r="AE288" s="9"/>
      <c r="AF288" s="8"/>
      <c r="AG288" s="9"/>
      <c r="AH288" s="8"/>
      <c r="AI288" s="8"/>
      <c r="AJ288" s="8"/>
      <c r="AK288" s="132"/>
      <c r="AL288" s="8"/>
      <c r="AM288" s="8"/>
      <c r="AN288" s="9"/>
      <c r="AO288" s="8"/>
      <c r="AP288" s="8"/>
      <c r="AQ288" s="8"/>
    </row>
    <row r="289" spans="1:43" outlineLevel="1" x14ac:dyDescent="0.15">
      <c r="A289" s="8"/>
      <c r="B289" s="8"/>
      <c r="C289" s="8"/>
      <c r="D289" s="8"/>
      <c r="E289" s="9"/>
      <c r="F289" s="8"/>
      <c r="G289" s="10"/>
      <c r="H289" s="132"/>
      <c r="I289" s="8"/>
      <c r="J289" s="9"/>
      <c r="K289" s="8"/>
      <c r="L289" s="9"/>
      <c r="M289" s="8"/>
      <c r="N289" s="132"/>
      <c r="O289" s="8"/>
      <c r="P289" s="9"/>
      <c r="Q289" s="8"/>
      <c r="R289" s="9"/>
      <c r="S289" s="8"/>
      <c r="T289" s="8"/>
      <c r="U289" s="8"/>
      <c r="V289" s="132"/>
      <c r="W289" s="8"/>
      <c r="X289" s="8"/>
      <c r="Y289" s="9"/>
      <c r="Z289" s="8"/>
      <c r="AA289" s="8"/>
      <c r="AB289" s="8"/>
      <c r="AC289" s="132"/>
      <c r="AD289" s="8"/>
      <c r="AE289" s="9"/>
      <c r="AF289" s="8"/>
      <c r="AG289" s="9"/>
      <c r="AH289" s="8"/>
      <c r="AI289" s="8"/>
      <c r="AJ289" s="8"/>
      <c r="AK289" s="132"/>
      <c r="AL289" s="8"/>
      <c r="AM289" s="8"/>
      <c r="AN289" s="9"/>
      <c r="AO289" s="8"/>
      <c r="AP289" s="8"/>
      <c r="AQ289" s="8"/>
    </row>
    <row r="290" spans="1:43" outlineLevel="1" x14ac:dyDescent="0.15">
      <c r="A290" s="8"/>
      <c r="B290" s="8"/>
      <c r="C290" s="8"/>
      <c r="D290" s="8"/>
      <c r="E290" s="9"/>
      <c r="F290" s="8"/>
      <c r="G290" s="10"/>
      <c r="H290" s="132"/>
      <c r="I290" s="8"/>
      <c r="J290" s="9"/>
      <c r="K290" s="8"/>
      <c r="L290" s="9"/>
      <c r="M290" s="8"/>
      <c r="N290" s="132"/>
      <c r="O290" s="8"/>
      <c r="P290" s="9"/>
      <c r="Q290" s="8"/>
      <c r="R290" s="9"/>
      <c r="S290" s="8"/>
      <c r="T290" s="8"/>
      <c r="U290" s="8"/>
      <c r="V290" s="132"/>
      <c r="W290" s="8"/>
      <c r="X290" s="8"/>
      <c r="Y290" s="9"/>
      <c r="Z290" s="8"/>
      <c r="AA290" s="8"/>
      <c r="AB290" s="8"/>
      <c r="AC290" s="132"/>
      <c r="AD290" s="8"/>
      <c r="AE290" s="9"/>
      <c r="AF290" s="8"/>
      <c r="AG290" s="9"/>
      <c r="AH290" s="8"/>
      <c r="AI290" s="8"/>
      <c r="AJ290" s="8"/>
      <c r="AK290" s="132"/>
      <c r="AL290" s="8"/>
      <c r="AM290" s="8"/>
      <c r="AN290" s="9"/>
      <c r="AO290" s="8"/>
      <c r="AP290" s="8"/>
      <c r="AQ290" s="8"/>
    </row>
    <row r="291" spans="1:43" outlineLevel="1" x14ac:dyDescent="0.15">
      <c r="A291" s="8"/>
      <c r="B291" s="8"/>
      <c r="C291" s="8"/>
      <c r="D291" s="8"/>
      <c r="E291" s="9"/>
      <c r="F291" s="8"/>
      <c r="G291" s="10"/>
      <c r="H291" s="132"/>
      <c r="I291" s="8"/>
      <c r="J291" s="9"/>
      <c r="K291" s="8"/>
      <c r="L291" s="9"/>
      <c r="M291" s="8"/>
      <c r="N291" s="132"/>
      <c r="O291" s="8"/>
      <c r="P291" s="9"/>
      <c r="Q291" s="8"/>
      <c r="R291" s="9"/>
      <c r="S291" s="8"/>
      <c r="T291" s="8"/>
      <c r="U291" s="8"/>
      <c r="V291" s="132"/>
      <c r="W291" s="8"/>
      <c r="X291" s="8"/>
      <c r="Y291" s="9"/>
      <c r="Z291" s="8"/>
      <c r="AA291" s="8"/>
      <c r="AB291" s="8"/>
      <c r="AC291" s="132"/>
      <c r="AD291" s="8"/>
      <c r="AE291" s="9"/>
      <c r="AF291" s="8"/>
      <c r="AG291" s="9"/>
      <c r="AH291" s="8"/>
      <c r="AI291" s="8"/>
      <c r="AJ291" s="8"/>
      <c r="AK291" s="132"/>
      <c r="AL291" s="8"/>
      <c r="AM291" s="8"/>
      <c r="AN291" s="9"/>
      <c r="AO291" s="8"/>
      <c r="AP291" s="8"/>
      <c r="AQ291" s="8"/>
    </row>
    <row r="292" spans="1:43" outlineLevel="1" x14ac:dyDescent="0.15">
      <c r="A292" s="8"/>
      <c r="B292" s="8"/>
      <c r="C292" s="8"/>
      <c r="D292" s="8"/>
      <c r="E292" s="9"/>
      <c r="F292" s="8"/>
      <c r="G292" s="10"/>
      <c r="H292" s="132"/>
      <c r="I292" s="8"/>
      <c r="J292" s="9"/>
      <c r="K292" s="8"/>
      <c r="L292" s="9"/>
      <c r="M292" s="8"/>
      <c r="N292" s="132"/>
      <c r="O292" s="8"/>
      <c r="P292" s="9"/>
      <c r="Q292" s="8"/>
      <c r="R292" s="9"/>
      <c r="S292" s="8"/>
      <c r="T292" s="8"/>
      <c r="U292" s="8"/>
      <c r="V292" s="132"/>
      <c r="W292" s="8"/>
      <c r="X292" s="8"/>
      <c r="Y292" s="9"/>
      <c r="Z292" s="8"/>
      <c r="AA292" s="8"/>
      <c r="AB292" s="8"/>
      <c r="AC292" s="132"/>
      <c r="AD292" s="8"/>
      <c r="AE292" s="9"/>
      <c r="AF292" s="8"/>
      <c r="AG292" s="9"/>
      <c r="AH292" s="8"/>
      <c r="AI292" s="8"/>
      <c r="AJ292" s="8"/>
      <c r="AK292" s="132"/>
      <c r="AL292" s="8"/>
      <c r="AM292" s="8"/>
      <c r="AN292" s="9"/>
      <c r="AO292" s="8"/>
      <c r="AP292" s="8"/>
      <c r="AQ292" s="8"/>
    </row>
    <row r="293" spans="1:43" outlineLevel="1" x14ac:dyDescent="0.15">
      <c r="A293" s="8"/>
      <c r="B293" s="8"/>
      <c r="C293" s="8"/>
      <c r="D293" s="8"/>
      <c r="E293" s="9"/>
      <c r="F293" s="8"/>
      <c r="G293" s="10"/>
      <c r="H293" s="132"/>
      <c r="I293" s="8"/>
      <c r="J293" s="9"/>
      <c r="K293" s="8"/>
      <c r="L293" s="9"/>
      <c r="M293" s="8"/>
      <c r="N293" s="132"/>
      <c r="O293" s="8"/>
      <c r="P293" s="9"/>
      <c r="Q293" s="8"/>
      <c r="R293" s="9"/>
      <c r="S293" s="8"/>
      <c r="T293" s="8"/>
      <c r="U293" s="8"/>
      <c r="V293" s="132"/>
      <c r="W293" s="8"/>
      <c r="X293" s="8"/>
      <c r="Y293" s="9"/>
      <c r="Z293" s="8"/>
      <c r="AA293" s="8"/>
      <c r="AB293" s="8"/>
      <c r="AC293" s="132"/>
      <c r="AD293" s="8"/>
      <c r="AE293" s="9"/>
      <c r="AF293" s="8"/>
      <c r="AG293" s="9"/>
      <c r="AH293" s="8"/>
      <c r="AI293" s="8"/>
      <c r="AJ293" s="8"/>
      <c r="AK293" s="132"/>
      <c r="AL293" s="8"/>
      <c r="AM293" s="8"/>
      <c r="AN293" s="9"/>
      <c r="AO293" s="8"/>
      <c r="AP293" s="8"/>
      <c r="AQ293" s="8"/>
    </row>
    <row r="294" spans="1:43" outlineLevel="1" x14ac:dyDescent="0.15">
      <c r="A294" s="8"/>
      <c r="B294" s="8"/>
      <c r="C294" s="8"/>
      <c r="D294" s="8"/>
      <c r="E294" s="9"/>
      <c r="F294" s="8"/>
      <c r="G294" s="10"/>
      <c r="H294" s="132"/>
      <c r="I294" s="8"/>
      <c r="J294" s="9"/>
      <c r="K294" s="8"/>
      <c r="L294" s="9"/>
      <c r="M294" s="8"/>
      <c r="N294" s="132"/>
      <c r="O294" s="8"/>
      <c r="P294" s="9"/>
      <c r="Q294" s="8"/>
      <c r="R294" s="9"/>
      <c r="S294" s="8"/>
      <c r="T294" s="8"/>
      <c r="U294" s="8"/>
      <c r="V294" s="132"/>
      <c r="W294" s="8"/>
      <c r="X294" s="8"/>
      <c r="Y294" s="9"/>
      <c r="Z294" s="8"/>
      <c r="AA294" s="8"/>
      <c r="AB294" s="8"/>
      <c r="AC294" s="132"/>
      <c r="AD294" s="8"/>
      <c r="AE294" s="9"/>
      <c r="AF294" s="8"/>
      <c r="AG294" s="9"/>
      <c r="AH294" s="8"/>
      <c r="AI294" s="8"/>
      <c r="AJ294" s="8"/>
      <c r="AK294" s="132"/>
      <c r="AL294" s="8"/>
      <c r="AM294" s="8"/>
      <c r="AN294" s="9"/>
      <c r="AO294" s="8"/>
      <c r="AP294" s="8"/>
      <c r="AQ294" s="8"/>
    </row>
    <row r="295" spans="1:43" outlineLevel="1" x14ac:dyDescent="0.15">
      <c r="A295" s="8"/>
      <c r="B295" s="8"/>
      <c r="C295" s="8"/>
      <c r="D295" s="8"/>
      <c r="E295" s="9"/>
      <c r="F295" s="8"/>
      <c r="G295" s="10"/>
      <c r="H295" s="132"/>
      <c r="I295" s="8"/>
      <c r="J295" s="9"/>
      <c r="K295" s="8"/>
      <c r="L295" s="9"/>
      <c r="M295" s="8"/>
      <c r="N295" s="132"/>
      <c r="O295" s="8"/>
      <c r="P295" s="9"/>
      <c r="Q295" s="8"/>
      <c r="R295" s="9"/>
      <c r="S295" s="8"/>
      <c r="T295" s="8"/>
      <c r="U295" s="8"/>
      <c r="V295" s="132"/>
      <c r="W295" s="8"/>
      <c r="X295" s="8"/>
      <c r="Y295" s="9"/>
      <c r="Z295" s="8"/>
      <c r="AA295" s="8"/>
      <c r="AB295" s="8"/>
      <c r="AC295" s="132"/>
      <c r="AD295" s="8"/>
      <c r="AE295" s="9"/>
      <c r="AF295" s="8"/>
      <c r="AG295" s="9"/>
      <c r="AH295" s="8"/>
      <c r="AI295" s="8"/>
      <c r="AJ295" s="8"/>
      <c r="AK295" s="132"/>
      <c r="AL295" s="8"/>
      <c r="AM295" s="8"/>
      <c r="AN295" s="9"/>
      <c r="AO295" s="8"/>
      <c r="AP295" s="8"/>
      <c r="AQ295" s="8"/>
    </row>
    <row r="296" spans="1:43" outlineLevel="1" x14ac:dyDescent="0.15">
      <c r="A296" s="8"/>
      <c r="B296" s="8"/>
      <c r="C296" s="8"/>
      <c r="D296" s="8"/>
      <c r="E296" s="9"/>
      <c r="F296" s="8"/>
      <c r="G296" s="10"/>
      <c r="H296" s="132"/>
      <c r="I296" s="8"/>
      <c r="J296" s="9"/>
      <c r="K296" s="8"/>
      <c r="L296" s="9"/>
      <c r="M296" s="8"/>
      <c r="N296" s="132"/>
      <c r="O296" s="8"/>
      <c r="P296" s="9"/>
      <c r="Q296" s="8"/>
      <c r="R296" s="9"/>
      <c r="S296" s="8"/>
      <c r="T296" s="8"/>
      <c r="U296" s="8"/>
      <c r="V296" s="132"/>
      <c r="W296" s="8"/>
      <c r="X296" s="8"/>
      <c r="Y296" s="9"/>
      <c r="Z296" s="8"/>
      <c r="AA296" s="8"/>
      <c r="AB296" s="8"/>
      <c r="AC296" s="132"/>
      <c r="AD296" s="8"/>
      <c r="AE296" s="9"/>
      <c r="AF296" s="8"/>
      <c r="AG296" s="9"/>
      <c r="AH296" s="8"/>
      <c r="AI296" s="8"/>
      <c r="AJ296" s="8"/>
      <c r="AK296" s="132"/>
      <c r="AL296" s="8"/>
      <c r="AM296" s="8"/>
      <c r="AN296" s="9"/>
      <c r="AO296" s="8"/>
      <c r="AP296" s="8"/>
      <c r="AQ296" s="8"/>
    </row>
    <row r="297" spans="1:43" outlineLevel="1" x14ac:dyDescent="0.15">
      <c r="A297" s="8"/>
      <c r="B297" s="8"/>
      <c r="C297" s="8"/>
      <c r="D297" s="8"/>
      <c r="E297" s="9"/>
      <c r="F297" s="8"/>
      <c r="G297" s="10"/>
      <c r="H297" s="132"/>
      <c r="I297" s="8"/>
      <c r="J297" s="9"/>
      <c r="K297" s="8"/>
      <c r="L297" s="9"/>
      <c r="M297" s="8"/>
      <c r="N297" s="132"/>
      <c r="O297" s="8"/>
      <c r="P297" s="9"/>
      <c r="Q297" s="8"/>
      <c r="R297" s="9"/>
      <c r="S297" s="8"/>
      <c r="T297" s="8"/>
      <c r="U297" s="8"/>
      <c r="V297" s="132"/>
      <c r="W297" s="8"/>
      <c r="X297" s="8"/>
      <c r="Y297" s="9"/>
      <c r="Z297" s="8"/>
      <c r="AA297" s="8"/>
      <c r="AB297" s="8"/>
      <c r="AC297" s="132"/>
      <c r="AD297" s="8"/>
      <c r="AE297" s="9"/>
      <c r="AF297" s="8"/>
      <c r="AG297" s="9"/>
      <c r="AH297" s="8"/>
      <c r="AI297" s="8"/>
      <c r="AJ297" s="8"/>
      <c r="AK297" s="132"/>
      <c r="AL297" s="8"/>
      <c r="AM297" s="8"/>
      <c r="AN297" s="9"/>
      <c r="AO297" s="8"/>
      <c r="AP297" s="8"/>
      <c r="AQ297" s="8"/>
    </row>
    <row r="298" spans="1:43" outlineLevel="1" x14ac:dyDescent="0.15">
      <c r="A298" s="8"/>
      <c r="B298" s="8"/>
      <c r="C298" s="8"/>
      <c r="D298" s="8"/>
      <c r="E298" s="9"/>
      <c r="F298" s="8"/>
      <c r="G298" s="10"/>
      <c r="H298" s="132"/>
      <c r="I298" s="8"/>
      <c r="J298" s="9"/>
      <c r="K298" s="8"/>
      <c r="L298" s="9"/>
      <c r="M298" s="8"/>
      <c r="N298" s="132"/>
      <c r="O298" s="8"/>
      <c r="P298" s="9"/>
      <c r="Q298" s="8"/>
      <c r="R298" s="9"/>
      <c r="S298" s="8"/>
      <c r="T298" s="8"/>
      <c r="U298" s="8"/>
      <c r="V298" s="132"/>
      <c r="W298" s="8"/>
      <c r="X298" s="8"/>
      <c r="Y298" s="9"/>
      <c r="Z298" s="8"/>
      <c r="AA298" s="8"/>
      <c r="AB298" s="8"/>
      <c r="AC298" s="132"/>
      <c r="AD298" s="8"/>
      <c r="AE298" s="9"/>
      <c r="AF298" s="8"/>
      <c r="AG298" s="9"/>
      <c r="AH298" s="8"/>
      <c r="AI298" s="8"/>
      <c r="AJ298" s="8"/>
      <c r="AK298" s="132"/>
      <c r="AL298" s="8"/>
      <c r="AM298" s="8"/>
      <c r="AN298" s="9"/>
      <c r="AO298" s="8"/>
      <c r="AP298" s="8"/>
      <c r="AQ298" s="8"/>
    </row>
    <row r="299" spans="1:43" outlineLevel="1" x14ac:dyDescent="0.15">
      <c r="A299" s="8"/>
      <c r="B299" s="8"/>
      <c r="C299" s="8"/>
      <c r="D299" s="8"/>
      <c r="E299" s="9"/>
      <c r="F299" s="8"/>
      <c r="G299" s="10"/>
      <c r="H299" s="132"/>
      <c r="I299" s="8"/>
      <c r="J299" s="9"/>
      <c r="K299" s="8"/>
      <c r="L299" s="9"/>
      <c r="M299" s="8"/>
      <c r="N299" s="132"/>
      <c r="O299" s="8"/>
      <c r="P299" s="9"/>
      <c r="Q299" s="8"/>
      <c r="R299" s="9"/>
      <c r="S299" s="8"/>
      <c r="T299" s="8"/>
      <c r="U299" s="8"/>
      <c r="V299" s="132"/>
      <c r="W299" s="8"/>
      <c r="X299" s="8"/>
      <c r="Y299" s="9"/>
      <c r="Z299" s="8"/>
      <c r="AA299" s="8"/>
      <c r="AB299" s="8"/>
      <c r="AC299" s="132"/>
      <c r="AD299" s="8"/>
      <c r="AE299" s="9"/>
      <c r="AF299" s="8"/>
      <c r="AG299" s="9"/>
      <c r="AH299" s="8"/>
      <c r="AI299" s="8"/>
      <c r="AJ299" s="8"/>
      <c r="AK299" s="132"/>
      <c r="AL299" s="8"/>
      <c r="AM299" s="8"/>
      <c r="AN299" s="9"/>
      <c r="AO299" s="8"/>
      <c r="AP299" s="8"/>
      <c r="AQ299" s="8"/>
    </row>
    <row r="300" spans="1:43" outlineLevel="1" x14ac:dyDescent="0.15">
      <c r="A300" s="8"/>
      <c r="B300" s="8"/>
      <c r="C300" s="8"/>
      <c r="D300" s="8"/>
      <c r="E300" s="9"/>
      <c r="F300" s="8"/>
      <c r="G300" s="10"/>
      <c r="H300" s="132"/>
      <c r="I300" s="8"/>
      <c r="J300" s="9"/>
      <c r="K300" s="8"/>
      <c r="L300" s="9"/>
      <c r="M300" s="8"/>
      <c r="N300" s="132"/>
      <c r="O300" s="8"/>
      <c r="P300" s="9"/>
      <c r="Q300" s="8"/>
      <c r="R300" s="9"/>
      <c r="S300" s="8"/>
      <c r="T300" s="8"/>
      <c r="U300" s="8"/>
      <c r="V300" s="132"/>
      <c r="W300" s="8"/>
      <c r="X300" s="8"/>
      <c r="Y300" s="9"/>
      <c r="Z300" s="8"/>
      <c r="AA300" s="8"/>
      <c r="AB300" s="8"/>
      <c r="AC300" s="132"/>
      <c r="AD300" s="8"/>
      <c r="AE300" s="9"/>
      <c r="AF300" s="8"/>
      <c r="AG300" s="9"/>
      <c r="AH300" s="8"/>
      <c r="AI300" s="8"/>
      <c r="AJ300" s="8"/>
      <c r="AK300" s="132"/>
      <c r="AL300" s="8"/>
      <c r="AM300" s="8"/>
      <c r="AN300" s="9"/>
      <c r="AO300" s="8"/>
      <c r="AP300" s="8"/>
      <c r="AQ300" s="8"/>
    </row>
    <row r="301" spans="1:43" outlineLevel="1" x14ac:dyDescent="0.15">
      <c r="A301" s="8"/>
      <c r="B301" s="8"/>
      <c r="C301" s="8"/>
      <c r="D301" s="8"/>
      <c r="E301" s="9"/>
      <c r="F301" s="8"/>
      <c r="G301" s="10"/>
      <c r="H301" s="11"/>
      <c r="I301" s="8"/>
      <c r="J301" s="9"/>
      <c r="K301" s="8"/>
      <c r="L301" s="9"/>
      <c r="M301" s="8"/>
      <c r="N301" s="11"/>
      <c r="O301" s="8"/>
      <c r="P301" s="9"/>
      <c r="Q301" s="8"/>
      <c r="R301" s="9"/>
      <c r="S301" s="8"/>
      <c r="T301" s="8"/>
      <c r="U301" s="8"/>
      <c r="V301" s="132"/>
      <c r="W301" s="8"/>
      <c r="X301" s="8"/>
      <c r="Y301" s="9"/>
      <c r="Z301" s="8"/>
      <c r="AA301" s="8"/>
      <c r="AB301" s="8"/>
      <c r="AC301" s="11"/>
      <c r="AD301" s="8"/>
      <c r="AE301" s="9"/>
      <c r="AF301" s="8"/>
      <c r="AG301" s="9"/>
      <c r="AH301" s="8"/>
      <c r="AI301" s="8"/>
      <c r="AJ301" s="8"/>
      <c r="AK301" s="132"/>
      <c r="AL301" s="8"/>
      <c r="AM301" s="8"/>
      <c r="AN301" s="9"/>
      <c r="AO301" s="8"/>
      <c r="AP301" s="8"/>
      <c r="AQ301" s="8"/>
    </row>
    <row r="302" spans="1:43" outlineLevel="1" x14ac:dyDescent="0.15">
      <c r="A302" s="8"/>
      <c r="B302" s="8"/>
      <c r="C302" s="8"/>
      <c r="D302" s="8"/>
      <c r="E302" s="9"/>
      <c r="F302" s="8"/>
      <c r="G302" s="10"/>
      <c r="H302" s="132"/>
      <c r="I302" s="8"/>
      <c r="J302" s="9"/>
      <c r="K302" s="8"/>
      <c r="L302" s="9"/>
      <c r="M302" s="8"/>
      <c r="N302" s="132"/>
      <c r="O302" s="8"/>
      <c r="P302" s="9"/>
      <c r="Q302" s="8"/>
      <c r="R302" s="9"/>
      <c r="S302" s="8"/>
      <c r="T302" s="8"/>
      <c r="U302" s="8"/>
      <c r="V302" s="132"/>
      <c r="W302" s="8"/>
      <c r="X302" s="8"/>
      <c r="Y302" s="9"/>
      <c r="Z302" s="8"/>
      <c r="AA302" s="8"/>
      <c r="AB302" s="8"/>
      <c r="AC302" s="132"/>
      <c r="AD302" s="8"/>
      <c r="AE302" s="9"/>
      <c r="AF302" s="8"/>
      <c r="AG302" s="9"/>
      <c r="AH302" s="8"/>
      <c r="AI302" s="8"/>
      <c r="AJ302" s="8"/>
      <c r="AK302" s="132"/>
      <c r="AL302" s="8"/>
      <c r="AM302" s="8"/>
      <c r="AN302" s="9"/>
      <c r="AO302" s="8"/>
      <c r="AP302" s="8"/>
      <c r="AQ302" s="8"/>
    </row>
    <row r="303" spans="1:43" x14ac:dyDescent="0.15">
      <c r="A303" s="8"/>
      <c r="B303" s="8"/>
      <c r="C303" s="8"/>
      <c r="D303" s="8"/>
      <c r="E303" s="9"/>
      <c r="F303" s="8"/>
      <c r="G303" s="10"/>
      <c r="H303" s="132"/>
      <c r="I303" s="8"/>
      <c r="J303" s="9"/>
      <c r="K303" s="8"/>
      <c r="L303" s="9"/>
      <c r="M303" s="8"/>
      <c r="N303" s="132"/>
      <c r="O303" s="8"/>
      <c r="P303" s="9"/>
      <c r="Q303" s="8"/>
      <c r="R303" s="9"/>
      <c r="S303" s="8"/>
      <c r="T303" s="8"/>
      <c r="U303" s="8"/>
      <c r="V303" s="132"/>
      <c r="W303" s="8"/>
      <c r="X303" s="8"/>
      <c r="Y303" s="9"/>
      <c r="Z303" s="8"/>
      <c r="AA303" s="8"/>
      <c r="AB303" s="8"/>
      <c r="AC303" s="132"/>
      <c r="AD303" s="8"/>
      <c r="AE303" s="9"/>
      <c r="AF303" s="8"/>
      <c r="AG303" s="9"/>
      <c r="AH303" s="8"/>
      <c r="AI303" s="8"/>
      <c r="AJ303" s="8"/>
      <c r="AK303" s="132"/>
      <c r="AL303" s="8"/>
      <c r="AM303" s="8"/>
      <c r="AN303" s="9"/>
      <c r="AO303" s="8"/>
      <c r="AP303" s="8"/>
      <c r="AQ303" s="8"/>
    </row>
    <row r="304" spans="1:43" x14ac:dyDescent="0.15">
      <c r="A304" s="8"/>
      <c r="B304" s="8"/>
      <c r="C304" s="8"/>
      <c r="D304" s="8"/>
      <c r="E304" s="9"/>
      <c r="F304" s="8"/>
      <c r="G304" s="10"/>
      <c r="H304" s="11"/>
      <c r="I304" s="8"/>
      <c r="J304" s="9"/>
      <c r="K304" s="8"/>
      <c r="L304" s="9"/>
      <c r="M304" s="8"/>
      <c r="N304" s="11"/>
      <c r="O304" s="8"/>
      <c r="P304" s="9"/>
      <c r="Q304" s="8"/>
      <c r="R304" s="9"/>
      <c r="S304" s="8"/>
      <c r="T304" s="8"/>
      <c r="U304" s="8"/>
      <c r="V304" s="132"/>
      <c r="W304" s="8"/>
      <c r="X304" s="8"/>
      <c r="Y304" s="9"/>
      <c r="Z304" s="8"/>
      <c r="AA304" s="8"/>
      <c r="AB304" s="8"/>
      <c r="AC304" s="11"/>
      <c r="AD304" s="8"/>
      <c r="AE304" s="9"/>
      <c r="AF304" s="8"/>
      <c r="AG304" s="9"/>
      <c r="AH304" s="8"/>
      <c r="AI304" s="8"/>
      <c r="AJ304" s="8"/>
      <c r="AK304" s="132"/>
      <c r="AL304" s="8"/>
      <c r="AM304" s="8"/>
      <c r="AN304" s="9"/>
      <c r="AO304" s="8"/>
      <c r="AP304" s="8"/>
      <c r="AQ304" s="8"/>
    </row>
    <row r="305" spans="1:43" x14ac:dyDescent="0.15">
      <c r="A305" s="8"/>
      <c r="B305" s="8"/>
      <c r="C305" s="8"/>
      <c r="D305" s="8"/>
      <c r="E305" s="9"/>
      <c r="F305" s="8"/>
      <c r="G305" s="10"/>
      <c r="H305" s="11"/>
      <c r="I305" s="8"/>
      <c r="J305" s="9"/>
      <c r="K305" s="8"/>
      <c r="L305" s="9"/>
      <c r="M305" s="8"/>
      <c r="N305" s="11"/>
      <c r="O305" s="8"/>
      <c r="P305" s="9"/>
      <c r="Q305" s="8"/>
      <c r="R305" s="9"/>
      <c r="S305" s="8"/>
      <c r="T305" s="8"/>
      <c r="U305" s="8"/>
      <c r="V305" s="11"/>
      <c r="W305" s="8"/>
      <c r="X305" s="8"/>
      <c r="Y305" s="9"/>
      <c r="Z305" s="8"/>
      <c r="AA305" s="8"/>
      <c r="AB305" s="8"/>
      <c r="AC305" s="11"/>
      <c r="AD305" s="8"/>
      <c r="AE305" s="9"/>
      <c r="AF305" s="8"/>
      <c r="AG305" s="9"/>
      <c r="AH305" s="8"/>
      <c r="AI305" s="8"/>
      <c r="AJ305" s="8"/>
      <c r="AK305" s="11"/>
      <c r="AL305" s="8"/>
      <c r="AM305" s="8"/>
      <c r="AN305" s="9"/>
      <c r="AO305" s="8"/>
      <c r="AP305" s="8"/>
      <c r="AQ305" s="8"/>
    </row>
    <row r="306" spans="1:43" x14ac:dyDescent="0.15">
      <c r="A306" s="8"/>
      <c r="B306" s="8"/>
      <c r="C306" s="8"/>
      <c r="D306" s="8"/>
      <c r="E306" s="9"/>
      <c r="F306" s="8"/>
      <c r="G306" s="10"/>
      <c r="H306" s="11"/>
      <c r="I306" s="8"/>
      <c r="J306" s="9"/>
      <c r="K306" s="8"/>
      <c r="L306" s="9"/>
      <c r="M306" s="8"/>
      <c r="N306" s="11"/>
      <c r="O306" s="8"/>
      <c r="P306" s="9"/>
      <c r="Q306" s="8"/>
      <c r="R306" s="9"/>
      <c r="S306" s="8"/>
      <c r="T306" s="8"/>
      <c r="U306" s="8"/>
      <c r="V306" s="11"/>
      <c r="W306" s="8"/>
      <c r="X306" s="8"/>
      <c r="Y306" s="9"/>
      <c r="Z306" s="8"/>
      <c r="AA306" s="8"/>
      <c r="AB306" s="8"/>
      <c r="AC306" s="11"/>
      <c r="AD306" s="8"/>
      <c r="AE306" s="9"/>
      <c r="AF306" s="8"/>
      <c r="AG306" s="9"/>
      <c r="AH306" s="8"/>
      <c r="AI306" s="8"/>
      <c r="AJ306" s="8"/>
      <c r="AK306" s="11"/>
      <c r="AL306" s="8"/>
      <c r="AM306" s="8"/>
      <c r="AN306" s="9"/>
      <c r="AO306" s="8"/>
      <c r="AP306" s="8"/>
      <c r="AQ306" s="8"/>
    </row>
    <row r="307" spans="1:43" x14ac:dyDescent="0.15">
      <c r="A307" s="8"/>
      <c r="B307" s="8"/>
      <c r="C307" s="8"/>
      <c r="D307" s="8"/>
      <c r="E307" s="9"/>
      <c r="F307" s="8"/>
      <c r="G307" s="10"/>
      <c r="H307" s="11"/>
      <c r="I307" s="8"/>
      <c r="J307" s="9"/>
      <c r="K307" s="8"/>
      <c r="L307" s="9"/>
      <c r="M307" s="8"/>
      <c r="N307" s="11"/>
      <c r="O307" s="8"/>
      <c r="P307" s="9"/>
      <c r="Q307" s="8"/>
      <c r="R307" s="9"/>
      <c r="S307" s="8"/>
      <c r="T307" s="8"/>
      <c r="U307" s="8"/>
      <c r="V307" s="11"/>
      <c r="W307" s="8"/>
      <c r="X307" s="8"/>
      <c r="Y307" s="9"/>
      <c r="Z307" s="8"/>
      <c r="AA307" s="8"/>
      <c r="AB307" s="8"/>
      <c r="AC307" s="11"/>
      <c r="AD307" s="8"/>
      <c r="AE307" s="9"/>
      <c r="AF307" s="8"/>
      <c r="AG307" s="9"/>
      <c r="AH307" s="8"/>
      <c r="AI307" s="8"/>
      <c r="AJ307" s="8"/>
      <c r="AK307" s="11"/>
      <c r="AL307" s="8"/>
      <c r="AM307" s="8"/>
      <c r="AN307" s="9"/>
      <c r="AO307" s="8"/>
      <c r="AP307" s="8"/>
      <c r="AQ307" s="8"/>
    </row>
    <row r="308" spans="1:43" x14ac:dyDescent="0.15">
      <c r="A308" s="8"/>
      <c r="B308" s="8"/>
      <c r="C308" s="8"/>
      <c r="D308" s="8"/>
      <c r="E308" s="9"/>
      <c r="F308" s="8"/>
      <c r="G308" s="10"/>
      <c r="H308" s="11"/>
      <c r="I308" s="8"/>
      <c r="J308" s="9"/>
      <c r="K308" s="8"/>
      <c r="L308" s="9"/>
      <c r="M308" s="8"/>
      <c r="N308" s="11"/>
      <c r="O308" s="8"/>
      <c r="P308" s="9"/>
      <c r="Q308" s="8"/>
      <c r="R308" s="9"/>
      <c r="S308" s="8"/>
      <c r="T308" s="8"/>
      <c r="U308" s="8"/>
      <c r="V308" s="11"/>
      <c r="W308" s="8"/>
      <c r="X308" s="8"/>
      <c r="Y308" s="9"/>
      <c r="Z308" s="8"/>
      <c r="AA308" s="8"/>
      <c r="AB308" s="8"/>
      <c r="AC308" s="11"/>
      <c r="AD308" s="8"/>
      <c r="AE308" s="9"/>
      <c r="AF308" s="8"/>
      <c r="AG308" s="9"/>
      <c r="AH308" s="8"/>
      <c r="AI308" s="8"/>
      <c r="AJ308" s="8"/>
      <c r="AK308" s="11"/>
      <c r="AL308" s="8"/>
      <c r="AM308" s="8"/>
      <c r="AN308" s="9"/>
      <c r="AO308" s="8"/>
      <c r="AP308" s="8"/>
      <c r="AQ308" s="8"/>
    </row>
    <row r="309" spans="1:43" x14ac:dyDescent="0.15">
      <c r="A309" s="8"/>
      <c r="B309" s="8"/>
      <c r="C309" s="8"/>
      <c r="D309" s="8"/>
      <c r="E309" s="9"/>
      <c r="F309" s="8"/>
      <c r="G309" s="10"/>
      <c r="H309" s="11"/>
      <c r="I309" s="8"/>
      <c r="J309" s="9"/>
      <c r="K309" s="8"/>
      <c r="L309" s="9"/>
      <c r="M309" s="8"/>
      <c r="N309" s="11"/>
      <c r="O309" s="8"/>
      <c r="P309" s="9"/>
      <c r="Q309" s="8"/>
      <c r="R309" s="9"/>
      <c r="S309" s="8"/>
      <c r="T309" s="8"/>
      <c r="U309" s="8"/>
      <c r="V309" s="11"/>
      <c r="W309" s="8"/>
      <c r="X309" s="8"/>
      <c r="Y309" s="9"/>
      <c r="Z309" s="8"/>
      <c r="AA309" s="8"/>
      <c r="AB309" s="8"/>
      <c r="AC309" s="11"/>
      <c r="AD309" s="8"/>
      <c r="AE309" s="9"/>
      <c r="AF309" s="8"/>
      <c r="AG309" s="9"/>
      <c r="AH309" s="8"/>
      <c r="AI309" s="8"/>
      <c r="AJ309" s="8"/>
      <c r="AK309" s="11"/>
      <c r="AL309" s="8"/>
      <c r="AM309" s="8"/>
      <c r="AN309" s="9"/>
      <c r="AO309" s="8"/>
      <c r="AP309" s="8"/>
      <c r="AQ309" s="8"/>
    </row>
    <row r="310" spans="1:43" x14ac:dyDescent="0.15">
      <c r="A310" s="8"/>
      <c r="B310" s="8"/>
      <c r="C310" s="8"/>
      <c r="D310" s="8"/>
      <c r="E310" s="9"/>
      <c r="F310" s="8"/>
      <c r="G310" s="10"/>
      <c r="H310" s="11"/>
      <c r="I310" s="8"/>
      <c r="J310" s="9"/>
      <c r="K310" s="8"/>
      <c r="L310" s="9"/>
      <c r="M310" s="8"/>
      <c r="N310" s="11"/>
      <c r="O310" s="8"/>
      <c r="P310" s="9"/>
      <c r="Q310" s="8"/>
      <c r="R310" s="9"/>
      <c r="S310" s="8"/>
      <c r="T310" s="8"/>
      <c r="U310" s="8"/>
      <c r="V310" s="11"/>
      <c r="W310" s="8"/>
      <c r="X310" s="8"/>
      <c r="Y310" s="9"/>
      <c r="Z310" s="8"/>
      <c r="AA310" s="8"/>
      <c r="AB310" s="8"/>
      <c r="AC310" s="11"/>
      <c r="AD310" s="8"/>
      <c r="AE310" s="9"/>
      <c r="AF310" s="8"/>
      <c r="AG310" s="9"/>
      <c r="AH310" s="8"/>
      <c r="AI310" s="8"/>
      <c r="AJ310" s="8"/>
      <c r="AK310" s="11"/>
      <c r="AL310" s="8"/>
      <c r="AM310" s="8"/>
      <c r="AN310" s="9"/>
      <c r="AO310" s="8"/>
      <c r="AP310" s="8"/>
      <c r="AQ310" s="8"/>
    </row>
    <row r="311" spans="1:43" x14ac:dyDescent="0.15">
      <c r="A311" s="8"/>
      <c r="B311" s="8"/>
      <c r="C311" s="8"/>
      <c r="D311" s="8"/>
      <c r="E311" s="9"/>
      <c r="F311" s="8"/>
      <c r="G311" s="10"/>
      <c r="H311" s="11"/>
      <c r="I311" s="8"/>
      <c r="J311" s="9"/>
      <c r="K311" s="8"/>
      <c r="L311" s="9"/>
      <c r="M311" s="8"/>
      <c r="N311" s="11"/>
      <c r="O311" s="8"/>
      <c r="P311" s="9"/>
      <c r="Q311" s="8"/>
      <c r="R311" s="9"/>
      <c r="S311" s="8"/>
      <c r="T311" s="8"/>
      <c r="U311" s="8"/>
      <c r="V311" s="11"/>
      <c r="W311" s="8"/>
      <c r="X311" s="8"/>
      <c r="Y311" s="9"/>
      <c r="Z311" s="8"/>
      <c r="AA311" s="8"/>
      <c r="AB311" s="8"/>
      <c r="AC311" s="11"/>
      <c r="AD311" s="8"/>
      <c r="AE311" s="9"/>
      <c r="AF311" s="8"/>
      <c r="AG311" s="9"/>
      <c r="AH311" s="8"/>
      <c r="AI311" s="8"/>
      <c r="AJ311" s="8"/>
      <c r="AK311" s="11"/>
      <c r="AL311" s="8"/>
      <c r="AM311" s="8"/>
      <c r="AN311" s="9"/>
      <c r="AO311" s="8"/>
      <c r="AP311" s="8"/>
      <c r="AQ311" s="8"/>
    </row>
    <row r="312" spans="1:43" x14ac:dyDescent="0.15">
      <c r="A312" s="8"/>
      <c r="B312" s="8"/>
      <c r="C312" s="8"/>
      <c r="D312" s="8"/>
      <c r="E312" s="9"/>
      <c r="F312" s="8"/>
      <c r="G312" s="10"/>
      <c r="H312" s="11"/>
      <c r="I312" s="8"/>
      <c r="J312" s="9"/>
      <c r="K312" s="8"/>
      <c r="L312" s="9"/>
      <c r="M312" s="8"/>
      <c r="N312" s="11"/>
      <c r="O312" s="8"/>
      <c r="P312" s="9"/>
      <c r="Q312" s="8"/>
      <c r="R312" s="9"/>
      <c r="S312" s="8"/>
      <c r="T312" s="8"/>
      <c r="U312" s="8"/>
      <c r="V312" s="11"/>
      <c r="W312" s="8"/>
      <c r="X312" s="8"/>
      <c r="Y312" s="9"/>
      <c r="Z312" s="8"/>
      <c r="AA312" s="8"/>
      <c r="AB312" s="8"/>
      <c r="AC312" s="11"/>
      <c r="AD312" s="8"/>
      <c r="AE312" s="9"/>
      <c r="AF312" s="8"/>
      <c r="AG312" s="9"/>
      <c r="AH312" s="8"/>
      <c r="AI312" s="8"/>
      <c r="AJ312" s="8"/>
      <c r="AK312" s="11"/>
      <c r="AL312" s="8"/>
      <c r="AM312" s="8"/>
      <c r="AN312" s="9"/>
      <c r="AO312" s="8"/>
      <c r="AP312" s="8"/>
      <c r="AQ312" s="8"/>
    </row>
    <row r="313" spans="1:43" x14ac:dyDescent="0.15">
      <c r="A313" s="8"/>
      <c r="B313" s="8"/>
      <c r="C313" s="8"/>
      <c r="D313" s="8"/>
      <c r="E313" s="9"/>
      <c r="F313" s="8"/>
      <c r="G313" s="10"/>
      <c r="H313" s="132"/>
      <c r="I313" s="8"/>
      <c r="J313" s="9"/>
      <c r="K313" s="8"/>
      <c r="L313" s="9"/>
      <c r="M313" s="8"/>
      <c r="N313" s="132"/>
      <c r="O313" s="8"/>
      <c r="P313" s="9"/>
      <c r="Q313" s="8"/>
      <c r="R313" s="9"/>
      <c r="S313" s="8"/>
      <c r="T313" s="8"/>
      <c r="U313" s="8"/>
      <c r="V313" s="11"/>
      <c r="W313" s="8"/>
      <c r="X313" s="8"/>
      <c r="Y313" s="9"/>
      <c r="Z313" s="8"/>
      <c r="AA313" s="8"/>
      <c r="AB313" s="8"/>
      <c r="AC313" s="132"/>
      <c r="AD313" s="8"/>
      <c r="AE313" s="9"/>
      <c r="AF313" s="8"/>
      <c r="AG313" s="9"/>
      <c r="AH313" s="8"/>
      <c r="AI313" s="8"/>
      <c r="AJ313" s="8"/>
      <c r="AK313" s="11"/>
      <c r="AL313" s="8"/>
      <c r="AM313" s="8"/>
      <c r="AN313" s="9"/>
      <c r="AO313" s="8"/>
      <c r="AP313" s="8"/>
      <c r="AQ313" s="8"/>
    </row>
    <row r="314" spans="1:43" x14ac:dyDescent="0.15">
      <c r="A314" s="8"/>
      <c r="B314" s="8"/>
      <c r="C314" s="8"/>
      <c r="D314" s="8"/>
      <c r="E314" s="9"/>
      <c r="F314" s="8"/>
      <c r="G314" s="10"/>
      <c r="H314" s="132"/>
      <c r="I314" s="8"/>
      <c r="J314" s="9"/>
      <c r="K314" s="8"/>
      <c r="L314" s="9"/>
      <c r="M314" s="8"/>
      <c r="N314" s="132"/>
      <c r="O314" s="8"/>
      <c r="P314" s="9"/>
      <c r="Q314" s="8"/>
      <c r="R314" s="9"/>
      <c r="S314" s="8"/>
      <c r="T314" s="8"/>
      <c r="U314" s="8"/>
      <c r="V314" s="11"/>
      <c r="W314" s="8"/>
      <c r="X314" s="8"/>
      <c r="Y314" s="9"/>
      <c r="Z314" s="8"/>
      <c r="AA314" s="8"/>
      <c r="AB314" s="8"/>
      <c r="AC314" s="132"/>
      <c r="AD314" s="8"/>
      <c r="AE314" s="9"/>
      <c r="AF314" s="8"/>
      <c r="AG314" s="9"/>
      <c r="AH314" s="8"/>
      <c r="AI314" s="8"/>
      <c r="AJ314" s="8"/>
      <c r="AK314" s="11"/>
      <c r="AL314" s="8"/>
      <c r="AM314" s="8"/>
      <c r="AN314" s="9"/>
      <c r="AO314" s="8"/>
      <c r="AP314" s="8"/>
      <c r="AQ314" s="8"/>
    </row>
    <row r="315" spans="1:43" x14ac:dyDescent="0.15">
      <c r="A315" s="8"/>
      <c r="B315" s="8"/>
      <c r="C315" s="8"/>
      <c r="D315" s="8"/>
      <c r="E315" s="9"/>
      <c r="F315" s="8"/>
      <c r="G315" s="10"/>
      <c r="H315" s="132"/>
      <c r="I315" s="8"/>
      <c r="J315" s="9"/>
      <c r="K315" s="8"/>
      <c r="L315" s="9"/>
      <c r="M315" s="8"/>
      <c r="N315" s="132"/>
      <c r="O315" s="8"/>
      <c r="P315" s="9"/>
      <c r="Q315" s="8"/>
      <c r="R315" s="9"/>
      <c r="S315" s="8"/>
      <c r="T315" s="8"/>
      <c r="U315" s="8"/>
      <c r="V315" s="11"/>
      <c r="W315" s="8"/>
      <c r="X315" s="8"/>
      <c r="Y315" s="9"/>
      <c r="Z315" s="8"/>
      <c r="AA315" s="8"/>
      <c r="AB315" s="8"/>
      <c r="AC315" s="132"/>
      <c r="AD315" s="8"/>
      <c r="AE315" s="9"/>
      <c r="AF315" s="8"/>
      <c r="AG315" s="9"/>
      <c r="AH315" s="8"/>
      <c r="AI315" s="8"/>
      <c r="AJ315" s="8"/>
      <c r="AK315" s="11"/>
      <c r="AL315" s="8"/>
      <c r="AM315" s="8"/>
      <c r="AN315" s="9"/>
      <c r="AO315" s="8"/>
      <c r="AP315" s="8"/>
      <c r="AQ315" s="8"/>
    </row>
    <row r="316" spans="1:43" x14ac:dyDescent="0.15">
      <c r="A316" s="8"/>
      <c r="B316" s="8"/>
      <c r="C316" s="8"/>
      <c r="D316" s="8"/>
      <c r="E316" s="9"/>
      <c r="F316" s="8"/>
      <c r="G316" s="10"/>
      <c r="H316" s="11"/>
      <c r="I316" s="8"/>
      <c r="J316" s="9"/>
      <c r="K316" s="8"/>
      <c r="L316" s="9"/>
      <c r="M316" s="8"/>
      <c r="N316" s="11"/>
      <c r="O316" s="8"/>
      <c r="P316" s="9"/>
      <c r="Q316" s="8"/>
      <c r="R316" s="9"/>
      <c r="S316" s="8"/>
      <c r="T316" s="8"/>
      <c r="U316" s="8"/>
      <c r="V316" s="11"/>
      <c r="W316" s="8"/>
      <c r="X316" s="8"/>
      <c r="Y316" s="9"/>
      <c r="Z316" s="8"/>
      <c r="AA316" s="8"/>
      <c r="AB316" s="8"/>
      <c r="AC316" s="11"/>
      <c r="AD316" s="8"/>
      <c r="AE316" s="9"/>
      <c r="AF316" s="8"/>
      <c r="AG316" s="9"/>
      <c r="AH316" s="8"/>
      <c r="AI316" s="8"/>
      <c r="AJ316" s="8"/>
      <c r="AK316" s="11"/>
      <c r="AL316" s="8"/>
      <c r="AM316" s="8"/>
      <c r="AN316" s="9"/>
      <c r="AO316" s="8"/>
      <c r="AP316" s="8"/>
      <c r="AQ316" s="8"/>
    </row>
    <row r="317" spans="1:43" x14ac:dyDescent="0.15">
      <c r="A317" s="8"/>
      <c r="B317" s="8"/>
      <c r="C317" s="8"/>
      <c r="D317" s="8"/>
      <c r="E317" s="9"/>
      <c r="F317" s="8"/>
      <c r="G317" s="10"/>
      <c r="H317" s="11"/>
      <c r="I317" s="8"/>
      <c r="J317" s="9"/>
      <c r="K317" s="8"/>
      <c r="L317" s="9"/>
      <c r="M317" s="8"/>
      <c r="N317" s="11"/>
      <c r="O317" s="8"/>
      <c r="P317" s="9"/>
      <c r="Q317" s="8"/>
      <c r="R317" s="9"/>
      <c r="S317" s="8"/>
      <c r="T317" s="8"/>
      <c r="U317" s="8"/>
      <c r="V317" s="11"/>
      <c r="W317" s="8"/>
      <c r="X317" s="8"/>
      <c r="Y317" s="9"/>
      <c r="Z317" s="8"/>
      <c r="AA317" s="8"/>
      <c r="AB317" s="8"/>
      <c r="AC317" s="11"/>
      <c r="AD317" s="8"/>
      <c r="AE317" s="9"/>
      <c r="AF317" s="8"/>
      <c r="AG317" s="9"/>
      <c r="AH317" s="8"/>
      <c r="AI317" s="8"/>
      <c r="AJ317" s="8"/>
      <c r="AK317" s="11"/>
      <c r="AL317" s="8"/>
      <c r="AM317" s="8"/>
      <c r="AN317" s="9"/>
      <c r="AO317" s="8"/>
      <c r="AP317" s="8"/>
      <c r="AQ317" s="8"/>
    </row>
    <row r="318" spans="1:43" x14ac:dyDescent="0.15">
      <c r="A318" s="8"/>
      <c r="B318" s="8"/>
      <c r="C318" s="8"/>
      <c r="D318" s="8"/>
      <c r="E318" s="9"/>
      <c r="F318" s="8"/>
      <c r="G318" s="10"/>
      <c r="H318" s="11"/>
      <c r="I318" s="8"/>
      <c r="J318" s="9"/>
      <c r="K318" s="8"/>
      <c r="L318" s="9"/>
      <c r="M318" s="8"/>
      <c r="N318" s="11"/>
      <c r="O318" s="8"/>
      <c r="P318" s="9"/>
      <c r="Q318" s="8"/>
      <c r="R318" s="9"/>
      <c r="S318" s="8"/>
      <c r="T318" s="8"/>
      <c r="U318" s="8"/>
      <c r="V318" s="11"/>
      <c r="W318" s="8"/>
      <c r="X318" s="8"/>
      <c r="Y318" s="9"/>
      <c r="Z318" s="8"/>
      <c r="AA318" s="8"/>
      <c r="AB318" s="8"/>
      <c r="AC318" s="11"/>
      <c r="AD318" s="8"/>
      <c r="AE318" s="9"/>
      <c r="AF318" s="8"/>
      <c r="AG318" s="9"/>
      <c r="AH318" s="8"/>
      <c r="AI318" s="8"/>
      <c r="AJ318" s="8"/>
      <c r="AK318" s="11"/>
      <c r="AL318" s="8"/>
      <c r="AM318" s="8"/>
      <c r="AN318" s="9"/>
      <c r="AO318" s="8"/>
      <c r="AP318" s="8"/>
      <c r="AQ318" s="8"/>
    </row>
    <row r="319" spans="1:43" x14ac:dyDescent="0.15">
      <c r="A319" s="8"/>
      <c r="B319" s="8"/>
      <c r="C319" s="8"/>
      <c r="D319" s="8"/>
      <c r="E319" s="9"/>
      <c r="F319" s="8"/>
      <c r="G319" s="10"/>
      <c r="H319" s="11"/>
      <c r="I319" s="8"/>
      <c r="J319" s="9"/>
      <c r="K319" s="8"/>
      <c r="L319" s="9"/>
      <c r="M319" s="8"/>
      <c r="N319" s="11"/>
      <c r="O319" s="8"/>
      <c r="P319" s="9"/>
      <c r="Q319" s="8"/>
      <c r="R319" s="9"/>
      <c r="S319" s="8"/>
      <c r="T319" s="8"/>
      <c r="U319" s="8"/>
      <c r="V319" s="11"/>
      <c r="W319" s="8"/>
      <c r="X319" s="8"/>
      <c r="Y319" s="9"/>
      <c r="Z319" s="8"/>
      <c r="AA319" s="8"/>
      <c r="AB319" s="8"/>
      <c r="AC319" s="11"/>
      <c r="AD319" s="8"/>
      <c r="AE319" s="9"/>
      <c r="AF319" s="8"/>
      <c r="AG319" s="9"/>
      <c r="AH319" s="8"/>
      <c r="AI319" s="8"/>
      <c r="AJ319" s="8"/>
      <c r="AK319" s="11"/>
      <c r="AL319" s="8"/>
      <c r="AM319" s="8"/>
      <c r="AN319" s="9"/>
      <c r="AO319" s="8"/>
      <c r="AP319" s="8"/>
      <c r="AQ319" s="8"/>
    </row>
    <row r="320" spans="1:43" x14ac:dyDescent="0.15">
      <c r="A320" s="8"/>
      <c r="B320" s="8"/>
      <c r="C320" s="8"/>
      <c r="D320" s="8"/>
      <c r="E320" s="9"/>
      <c r="F320" s="8"/>
      <c r="G320" s="10"/>
      <c r="H320" s="11"/>
      <c r="I320" s="8"/>
      <c r="J320" s="9"/>
      <c r="K320" s="8"/>
      <c r="L320" s="9"/>
      <c r="M320" s="8"/>
      <c r="N320" s="11"/>
      <c r="O320" s="8"/>
      <c r="P320" s="9"/>
      <c r="Q320" s="8"/>
      <c r="R320" s="9"/>
      <c r="S320" s="8"/>
      <c r="T320" s="8"/>
      <c r="U320" s="8"/>
      <c r="V320" s="132"/>
      <c r="W320" s="8"/>
      <c r="X320" s="8"/>
      <c r="Y320" s="9"/>
      <c r="Z320" s="8"/>
      <c r="AA320" s="8"/>
      <c r="AB320" s="8"/>
      <c r="AC320" s="11"/>
      <c r="AD320" s="8"/>
      <c r="AE320" s="9"/>
      <c r="AF320" s="8"/>
      <c r="AG320" s="9"/>
      <c r="AH320" s="8"/>
      <c r="AI320" s="8"/>
      <c r="AJ320" s="8"/>
      <c r="AK320" s="132"/>
      <c r="AL320" s="8"/>
      <c r="AM320" s="8"/>
      <c r="AN320" s="9"/>
      <c r="AO320" s="8"/>
      <c r="AP320" s="8"/>
      <c r="AQ320" s="8"/>
    </row>
    <row r="321" spans="1:43" x14ac:dyDescent="0.15">
      <c r="A321" s="8"/>
      <c r="B321" s="8"/>
      <c r="C321" s="8"/>
      <c r="D321" s="8"/>
      <c r="E321" s="9"/>
      <c r="F321" s="8"/>
      <c r="G321" s="10"/>
      <c r="H321" s="11"/>
      <c r="I321" s="8"/>
      <c r="J321" s="9"/>
      <c r="K321" s="8"/>
      <c r="L321" s="9"/>
      <c r="M321" s="8"/>
      <c r="N321" s="11"/>
      <c r="O321" s="8"/>
      <c r="P321" s="9"/>
      <c r="Q321" s="8"/>
      <c r="R321" s="9"/>
      <c r="S321" s="8"/>
      <c r="T321" s="8"/>
      <c r="U321" s="8"/>
      <c r="V321" s="11"/>
      <c r="W321" s="8"/>
      <c r="X321" s="8"/>
      <c r="Y321" s="9"/>
      <c r="Z321" s="8"/>
      <c r="AA321" s="8"/>
      <c r="AB321" s="8"/>
      <c r="AC321" s="11"/>
      <c r="AD321" s="8"/>
      <c r="AE321" s="9"/>
      <c r="AF321" s="8"/>
      <c r="AG321" s="9"/>
      <c r="AH321" s="8"/>
      <c r="AI321" s="8"/>
      <c r="AJ321" s="8"/>
      <c r="AK321" s="11"/>
      <c r="AL321" s="8"/>
      <c r="AM321" s="8"/>
      <c r="AN321" s="9"/>
      <c r="AO321" s="8"/>
      <c r="AP321" s="8"/>
      <c r="AQ321" s="8"/>
    </row>
    <row r="322" spans="1:43" x14ac:dyDescent="0.15">
      <c r="A322" s="8"/>
      <c r="B322" s="8"/>
      <c r="C322" s="8"/>
      <c r="D322" s="8"/>
      <c r="E322" s="9"/>
      <c r="F322" s="8"/>
      <c r="G322" s="10"/>
      <c r="H322" s="11"/>
      <c r="I322" s="8"/>
      <c r="J322" s="9"/>
      <c r="K322" s="8"/>
      <c r="L322" s="9"/>
      <c r="M322" s="8"/>
      <c r="N322" s="11"/>
      <c r="O322" s="8"/>
      <c r="P322" s="9"/>
      <c r="Q322" s="8"/>
      <c r="R322" s="9"/>
      <c r="S322" s="8"/>
      <c r="T322" s="8"/>
      <c r="U322" s="8"/>
      <c r="V322" s="11"/>
      <c r="W322" s="8"/>
      <c r="X322" s="8"/>
      <c r="Y322" s="9"/>
      <c r="Z322" s="8"/>
      <c r="AA322" s="8"/>
      <c r="AB322" s="8"/>
      <c r="AC322" s="11"/>
      <c r="AD322" s="8"/>
      <c r="AE322" s="9"/>
      <c r="AF322" s="8"/>
      <c r="AG322" s="9"/>
      <c r="AH322" s="8"/>
      <c r="AI322" s="8"/>
      <c r="AJ322" s="8"/>
      <c r="AK322" s="11"/>
      <c r="AL322" s="8"/>
      <c r="AM322" s="8"/>
      <c r="AN322" s="9"/>
      <c r="AO322" s="8"/>
      <c r="AP322" s="8"/>
      <c r="AQ322" s="8"/>
    </row>
    <row r="323" spans="1:43" x14ac:dyDescent="0.15">
      <c r="A323" s="8"/>
      <c r="B323" s="8"/>
      <c r="C323" s="8"/>
      <c r="D323" s="8"/>
      <c r="E323" s="9"/>
      <c r="F323" s="8"/>
      <c r="G323" s="10"/>
      <c r="H323" s="11"/>
      <c r="I323" s="8"/>
      <c r="J323" s="9"/>
      <c r="K323" s="8"/>
      <c r="L323" s="9"/>
      <c r="M323" s="8"/>
      <c r="N323" s="11"/>
      <c r="O323" s="8"/>
      <c r="P323" s="9"/>
      <c r="Q323" s="8"/>
      <c r="R323" s="9"/>
      <c r="S323" s="8"/>
      <c r="T323" s="8"/>
      <c r="U323" s="8"/>
      <c r="V323" s="11"/>
      <c r="W323" s="8"/>
      <c r="X323" s="8"/>
      <c r="Y323" s="9"/>
      <c r="Z323" s="8"/>
      <c r="AA323" s="8"/>
      <c r="AB323" s="8"/>
      <c r="AC323" s="11"/>
      <c r="AD323" s="8"/>
      <c r="AE323" s="9"/>
      <c r="AF323" s="8"/>
      <c r="AG323" s="9"/>
      <c r="AH323" s="8"/>
      <c r="AI323" s="8"/>
      <c r="AJ323" s="8"/>
      <c r="AK323" s="11"/>
      <c r="AL323" s="8"/>
      <c r="AM323" s="8"/>
      <c r="AN323" s="9"/>
      <c r="AO323" s="8"/>
      <c r="AP323" s="8"/>
      <c r="AQ323" s="8"/>
    </row>
    <row r="324" spans="1:43" x14ac:dyDescent="0.15">
      <c r="A324" s="8"/>
      <c r="B324" s="8"/>
      <c r="C324" s="8"/>
      <c r="D324" s="8"/>
      <c r="E324" s="9"/>
      <c r="F324" s="8"/>
      <c r="G324" s="10"/>
      <c r="H324" s="11"/>
      <c r="I324" s="8"/>
      <c r="J324" s="9"/>
      <c r="K324" s="8"/>
      <c r="L324" s="9"/>
      <c r="M324" s="8"/>
      <c r="N324" s="11"/>
      <c r="O324" s="8"/>
      <c r="P324" s="9"/>
      <c r="Q324" s="8"/>
      <c r="R324" s="9"/>
      <c r="S324" s="8"/>
      <c r="T324" s="8"/>
      <c r="U324" s="8"/>
      <c r="V324" s="11"/>
      <c r="W324" s="8"/>
      <c r="X324" s="8"/>
      <c r="Y324" s="9"/>
      <c r="Z324" s="8"/>
      <c r="AA324" s="8"/>
      <c r="AB324" s="8"/>
      <c r="AC324" s="11"/>
      <c r="AD324" s="8"/>
      <c r="AE324" s="9"/>
      <c r="AF324" s="8"/>
      <c r="AG324" s="9"/>
      <c r="AH324" s="8"/>
      <c r="AI324" s="8"/>
      <c r="AJ324" s="8"/>
      <c r="AK324" s="11"/>
      <c r="AL324" s="8"/>
      <c r="AM324" s="8"/>
      <c r="AN324" s="9"/>
      <c r="AO324" s="8"/>
      <c r="AP324" s="8"/>
      <c r="AQ324" s="8"/>
    </row>
    <row r="325" spans="1:43" x14ac:dyDescent="0.15">
      <c r="A325" s="8"/>
      <c r="B325" s="8"/>
      <c r="C325" s="8"/>
      <c r="D325" s="8"/>
      <c r="E325" s="9"/>
      <c r="F325" s="8"/>
      <c r="G325" s="10"/>
      <c r="H325" s="11"/>
      <c r="I325" s="8"/>
      <c r="J325" s="9"/>
      <c r="K325" s="8"/>
      <c r="L325" s="9"/>
      <c r="M325" s="8"/>
      <c r="N325" s="11"/>
      <c r="O325" s="8"/>
      <c r="P325" s="9"/>
      <c r="Q325" s="8"/>
      <c r="R325" s="9"/>
      <c r="S325" s="8"/>
      <c r="T325" s="8"/>
      <c r="U325" s="8"/>
      <c r="V325" s="132"/>
      <c r="W325" s="8"/>
      <c r="X325" s="8"/>
      <c r="Y325" s="9"/>
      <c r="Z325" s="8"/>
      <c r="AA325" s="8"/>
      <c r="AB325" s="8"/>
      <c r="AC325" s="11"/>
      <c r="AD325" s="8"/>
      <c r="AE325" s="9"/>
      <c r="AF325" s="8"/>
      <c r="AG325" s="9"/>
      <c r="AH325" s="8"/>
      <c r="AI325" s="8"/>
      <c r="AJ325" s="8"/>
      <c r="AK325" s="132"/>
      <c r="AL325" s="8"/>
      <c r="AM325" s="8"/>
      <c r="AN325" s="9"/>
      <c r="AO325" s="8"/>
      <c r="AP325" s="8"/>
      <c r="AQ325" s="8"/>
    </row>
    <row r="326" spans="1:43" x14ac:dyDescent="0.15">
      <c r="A326" s="8"/>
      <c r="B326" s="8"/>
      <c r="C326" s="8"/>
      <c r="D326" s="8"/>
      <c r="E326" s="9"/>
      <c r="F326" s="8"/>
      <c r="G326" s="10"/>
      <c r="H326" s="11"/>
      <c r="I326" s="8"/>
      <c r="J326" s="9"/>
      <c r="K326" s="8"/>
      <c r="L326" s="9"/>
      <c r="M326" s="8"/>
      <c r="N326" s="11"/>
      <c r="O326" s="8"/>
      <c r="P326" s="9"/>
      <c r="Q326" s="8"/>
      <c r="R326" s="9"/>
      <c r="S326" s="8"/>
      <c r="T326" s="8"/>
      <c r="U326" s="8"/>
      <c r="V326" s="132"/>
      <c r="W326" s="8"/>
      <c r="X326" s="8"/>
      <c r="Y326" s="9"/>
      <c r="Z326" s="8"/>
      <c r="AA326" s="8"/>
      <c r="AB326" s="8"/>
      <c r="AC326" s="11"/>
      <c r="AD326" s="8"/>
      <c r="AE326" s="9"/>
      <c r="AF326" s="8"/>
      <c r="AG326" s="9"/>
      <c r="AH326" s="8"/>
      <c r="AI326" s="8"/>
      <c r="AJ326" s="8"/>
      <c r="AK326" s="132"/>
      <c r="AL326" s="8"/>
      <c r="AM326" s="8"/>
      <c r="AN326" s="9"/>
      <c r="AO326" s="8"/>
      <c r="AP326" s="8"/>
      <c r="AQ326" s="8"/>
    </row>
    <row r="327" spans="1:43" x14ac:dyDescent="0.15">
      <c r="A327" s="8"/>
      <c r="B327" s="8"/>
      <c r="C327" s="8"/>
      <c r="D327" s="8"/>
      <c r="E327" s="9"/>
      <c r="F327" s="8"/>
      <c r="G327" s="10"/>
      <c r="H327" s="11"/>
      <c r="I327" s="8"/>
      <c r="J327" s="9"/>
      <c r="K327" s="8"/>
      <c r="L327" s="9"/>
      <c r="M327" s="8"/>
      <c r="N327" s="11"/>
      <c r="O327" s="8"/>
      <c r="P327" s="9"/>
      <c r="Q327" s="8"/>
      <c r="R327" s="9"/>
      <c r="S327" s="8"/>
      <c r="T327" s="8"/>
      <c r="U327" s="8"/>
      <c r="V327" s="132"/>
      <c r="W327" s="8"/>
      <c r="X327" s="8"/>
      <c r="Y327" s="9"/>
      <c r="Z327" s="8"/>
      <c r="AA327" s="8"/>
      <c r="AB327" s="8"/>
      <c r="AC327" s="11"/>
      <c r="AD327" s="8"/>
      <c r="AE327" s="9"/>
      <c r="AF327" s="8"/>
      <c r="AG327" s="9"/>
      <c r="AH327" s="8"/>
      <c r="AI327" s="8"/>
      <c r="AJ327" s="8"/>
      <c r="AK327" s="132"/>
      <c r="AL327" s="8"/>
      <c r="AM327" s="8"/>
      <c r="AN327" s="9"/>
      <c r="AO327" s="8"/>
      <c r="AP327" s="8"/>
      <c r="AQ327" s="8"/>
    </row>
    <row r="328" spans="1:43" x14ac:dyDescent="0.15">
      <c r="A328" s="8"/>
      <c r="B328" s="8"/>
      <c r="C328" s="8"/>
      <c r="D328" s="8"/>
      <c r="E328" s="9"/>
      <c r="F328" s="8"/>
      <c r="G328" s="10"/>
      <c r="H328" s="132"/>
      <c r="I328" s="8"/>
      <c r="J328" s="9"/>
      <c r="K328" s="8"/>
      <c r="L328" s="9"/>
      <c r="M328" s="8"/>
      <c r="N328" s="132"/>
      <c r="O328" s="8"/>
      <c r="P328" s="9"/>
      <c r="Q328" s="8"/>
      <c r="R328" s="9"/>
      <c r="S328" s="8"/>
      <c r="T328" s="8"/>
      <c r="U328" s="8"/>
      <c r="V328" s="132"/>
      <c r="W328" s="8"/>
      <c r="X328" s="8"/>
      <c r="Y328" s="9"/>
      <c r="Z328" s="8"/>
      <c r="AA328" s="8"/>
      <c r="AB328" s="8"/>
      <c r="AC328" s="132"/>
      <c r="AD328" s="8"/>
      <c r="AE328" s="9"/>
      <c r="AF328" s="8"/>
      <c r="AG328" s="9"/>
      <c r="AH328" s="8"/>
      <c r="AI328" s="8"/>
      <c r="AJ328" s="8"/>
      <c r="AK328" s="132"/>
      <c r="AL328" s="8"/>
      <c r="AM328" s="8"/>
      <c r="AN328" s="9"/>
      <c r="AO328" s="8"/>
      <c r="AP328" s="8"/>
      <c r="AQ328" s="8"/>
    </row>
    <row r="329" spans="1:43" x14ac:dyDescent="0.15">
      <c r="A329" s="8"/>
      <c r="B329" s="8"/>
      <c r="C329" s="8"/>
      <c r="D329" s="8"/>
      <c r="E329" s="9"/>
      <c r="F329" s="8"/>
      <c r="G329" s="10"/>
      <c r="H329" s="132"/>
      <c r="I329" s="8"/>
      <c r="J329" s="9"/>
      <c r="K329" s="8"/>
      <c r="L329" s="9"/>
      <c r="M329" s="8"/>
      <c r="N329" s="132"/>
      <c r="O329" s="8"/>
      <c r="P329" s="9"/>
      <c r="Q329" s="8"/>
      <c r="R329" s="9"/>
      <c r="S329" s="8"/>
      <c r="T329" s="8"/>
      <c r="U329" s="8"/>
      <c r="V329" s="132"/>
      <c r="W329" s="8"/>
      <c r="X329" s="8"/>
      <c r="Y329" s="9"/>
      <c r="Z329" s="8"/>
      <c r="AA329" s="8"/>
      <c r="AB329" s="8"/>
      <c r="AC329" s="132"/>
      <c r="AD329" s="8"/>
      <c r="AE329" s="9"/>
      <c r="AF329" s="8"/>
      <c r="AG329" s="9"/>
      <c r="AH329" s="8"/>
      <c r="AI329" s="8"/>
      <c r="AJ329" s="8"/>
      <c r="AK329" s="132"/>
      <c r="AL329" s="8"/>
      <c r="AM329" s="8"/>
      <c r="AN329" s="9"/>
      <c r="AO329" s="8"/>
      <c r="AP329" s="8"/>
      <c r="AQ329" s="8"/>
    </row>
    <row r="330" spans="1:43" x14ac:dyDescent="0.15">
      <c r="A330" s="8"/>
      <c r="B330" s="8"/>
      <c r="C330" s="8"/>
      <c r="D330" s="8"/>
      <c r="E330" s="9"/>
      <c r="F330" s="8"/>
      <c r="G330" s="10"/>
      <c r="H330" s="11"/>
      <c r="I330" s="8"/>
      <c r="J330" s="9"/>
      <c r="K330" s="8"/>
      <c r="L330" s="9"/>
      <c r="M330" s="8"/>
      <c r="N330" s="11"/>
      <c r="O330" s="8"/>
      <c r="P330" s="9"/>
      <c r="Q330" s="8"/>
      <c r="R330" s="9"/>
      <c r="S330" s="8"/>
      <c r="T330" s="8"/>
      <c r="U330" s="8"/>
      <c r="V330" s="11"/>
      <c r="W330" s="8"/>
      <c r="X330" s="8"/>
      <c r="Y330" s="9"/>
      <c r="Z330" s="8"/>
      <c r="AA330" s="8"/>
      <c r="AB330" s="8"/>
      <c r="AC330" s="11"/>
      <c r="AD330" s="8"/>
      <c r="AE330" s="9"/>
      <c r="AF330" s="8"/>
      <c r="AG330" s="9"/>
      <c r="AH330" s="8"/>
      <c r="AI330" s="8"/>
      <c r="AJ330" s="8"/>
      <c r="AK330" s="11"/>
      <c r="AL330" s="8"/>
      <c r="AM330" s="8"/>
      <c r="AN330" s="9"/>
      <c r="AO330" s="8"/>
      <c r="AP330" s="8"/>
      <c r="AQ330" s="8"/>
    </row>
    <row r="331" spans="1:43" x14ac:dyDescent="0.15">
      <c r="A331" s="8"/>
      <c r="B331" s="8"/>
      <c r="C331" s="8"/>
      <c r="D331" s="8"/>
      <c r="E331" s="9"/>
      <c r="F331" s="8"/>
      <c r="G331" s="10"/>
      <c r="H331" s="11"/>
      <c r="I331" s="8"/>
      <c r="J331" s="9"/>
      <c r="K331" s="8"/>
      <c r="L331" s="9"/>
      <c r="M331" s="8"/>
      <c r="N331" s="11"/>
      <c r="O331" s="8"/>
      <c r="P331" s="9"/>
      <c r="Q331" s="8"/>
      <c r="R331" s="9"/>
      <c r="S331" s="8"/>
      <c r="T331" s="8"/>
      <c r="U331" s="8"/>
      <c r="V331" s="11"/>
      <c r="W331" s="8"/>
      <c r="X331" s="8"/>
      <c r="Y331" s="9"/>
      <c r="Z331" s="8"/>
      <c r="AA331" s="8"/>
      <c r="AB331" s="8"/>
      <c r="AC331" s="11"/>
      <c r="AD331" s="8"/>
      <c r="AE331" s="9"/>
      <c r="AF331" s="8"/>
      <c r="AG331" s="9"/>
      <c r="AH331" s="8"/>
      <c r="AI331" s="8"/>
      <c r="AJ331" s="8"/>
      <c r="AK331" s="11"/>
      <c r="AL331" s="8"/>
      <c r="AM331" s="8"/>
      <c r="AN331" s="9"/>
      <c r="AO331" s="8"/>
      <c r="AP331" s="8"/>
      <c r="AQ331" s="8"/>
    </row>
    <row r="332" spans="1:43" x14ac:dyDescent="0.15">
      <c r="A332" s="8"/>
      <c r="B332" s="8"/>
      <c r="C332" s="8"/>
      <c r="D332" s="8"/>
      <c r="E332" s="9"/>
      <c r="F332" s="8"/>
      <c r="G332" s="10"/>
      <c r="H332" s="132"/>
      <c r="I332" s="8"/>
      <c r="J332" s="9"/>
      <c r="K332" s="8"/>
      <c r="L332" s="9"/>
      <c r="M332" s="8"/>
      <c r="N332" s="132"/>
      <c r="O332" s="8"/>
      <c r="P332" s="9"/>
      <c r="Q332" s="8"/>
      <c r="R332" s="9"/>
      <c r="S332" s="8"/>
      <c r="T332" s="8"/>
      <c r="U332" s="8"/>
      <c r="V332" s="11"/>
      <c r="W332" s="8"/>
      <c r="X332" s="8"/>
      <c r="Y332" s="9"/>
      <c r="Z332" s="8"/>
      <c r="AA332" s="8"/>
      <c r="AB332" s="8"/>
      <c r="AC332" s="132"/>
      <c r="AD332" s="8"/>
      <c r="AE332" s="9"/>
      <c r="AF332" s="8"/>
      <c r="AG332" s="9"/>
      <c r="AH332" s="8"/>
      <c r="AI332" s="8"/>
      <c r="AJ332" s="8"/>
      <c r="AK332" s="11"/>
      <c r="AL332" s="8"/>
      <c r="AM332" s="8"/>
      <c r="AN332" s="9"/>
      <c r="AO332" s="8"/>
      <c r="AP332" s="8"/>
      <c r="AQ332" s="8"/>
    </row>
    <row r="333" spans="1:43" x14ac:dyDescent="0.15">
      <c r="A333" s="8"/>
      <c r="B333" s="8"/>
      <c r="C333" s="8"/>
      <c r="D333" s="8"/>
      <c r="E333" s="9"/>
      <c r="F333" s="8"/>
      <c r="G333" s="10"/>
      <c r="H333" s="132"/>
      <c r="I333" s="8"/>
      <c r="J333" s="9"/>
      <c r="K333" s="8"/>
      <c r="L333" s="9"/>
      <c r="M333" s="8"/>
      <c r="N333" s="132"/>
      <c r="O333" s="8"/>
      <c r="P333" s="9"/>
      <c r="Q333" s="8"/>
      <c r="R333" s="9"/>
      <c r="S333" s="8"/>
      <c r="T333" s="8"/>
      <c r="U333" s="8"/>
      <c r="V333" s="11"/>
      <c r="W333" s="8"/>
      <c r="X333" s="8"/>
      <c r="Y333" s="9"/>
      <c r="Z333" s="8"/>
      <c r="AA333" s="8"/>
      <c r="AB333" s="8"/>
      <c r="AC333" s="132"/>
      <c r="AD333" s="8"/>
      <c r="AE333" s="9"/>
      <c r="AF333" s="8"/>
      <c r="AG333" s="9"/>
      <c r="AH333" s="8"/>
      <c r="AI333" s="8"/>
      <c r="AJ333" s="8"/>
      <c r="AK333" s="11"/>
      <c r="AL333" s="8"/>
      <c r="AM333" s="8"/>
      <c r="AN333" s="9"/>
      <c r="AO333" s="8"/>
      <c r="AP333" s="8"/>
      <c r="AQ333" s="8"/>
    </row>
    <row r="334" spans="1:43" x14ac:dyDescent="0.15">
      <c r="A334" s="8"/>
      <c r="B334" s="8"/>
      <c r="C334" s="8"/>
      <c r="D334" s="8"/>
      <c r="E334" s="9"/>
      <c r="F334" s="8"/>
      <c r="G334" s="10"/>
      <c r="H334" s="11"/>
      <c r="I334" s="8"/>
      <c r="J334" s="9"/>
      <c r="K334" s="8"/>
      <c r="L334" s="9"/>
      <c r="M334" s="8"/>
      <c r="N334" s="11"/>
      <c r="O334" s="8"/>
      <c r="P334" s="9"/>
      <c r="Q334" s="8"/>
      <c r="R334" s="9"/>
      <c r="S334" s="8"/>
      <c r="T334" s="8"/>
      <c r="U334" s="8"/>
      <c r="V334" s="11"/>
      <c r="W334" s="8"/>
      <c r="X334" s="8"/>
      <c r="Y334" s="9"/>
      <c r="Z334" s="8"/>
      <c r="AA334" s="8"/>
      <c r="AB334" s="8"/>
      <c r="AC334" s="11"/>
      <c r="AD334" s="8"/>
      <c r="AE334" s="9"/>
      <c r="AF334" s="8"/>
      <c r="AG334" s="9"/>
      <c r="AH334" s="8"/>
      <c r="AI334" s="8"/>
      <c r="AJ334" s="8"/>
      <c r="AK334" s="11"/>
      <c r="AL334" s="8"/>
      <c r="AM334" s="8"/>
      <c r="AN334" s="9"/>
      <c r="AO334" s="8"/>
      <c r="AP334" s="8"/>
      <c r="AQ334" s="8"/>
    </row>
    <row r="335" spans="1:43" x14ac:dyDescent="0.15">
      <c r="A335" s="8"/>
      <c r="B335" s="8"/>
      <c r="C335" s="8"/>
      <c r="D335" s="8"/>
      <c r="E335" s="9"/>
      <c r="F335" s="8"/>
      <c r="G335" s="10"/>
      <c r="H335" s="11"/>
      <c r="I335" s="8"/>
      <c r="J335" s="9"/>
      <c r="K335" s="8"/>
      <c r="L335" s="9"/>
      <c r="M335" s="8"/>
      <c r="N335" s="11"/>
      <c r="O335" s="8"/>
      <c r="P335" s="9"/>
      <c r="Q335" s="8"/>
      <c r="R335" s="9"/>
      <c r="S335" s="8"/>
      <c r="T335" s="8"/>
      <c r="U335" s="8"/>
      <c r="V335" s="11"/>
      <c r="W335" s="8"/>
      <c r="X335" s="8"/>
      <c r="Y335" s="9"/>
      <c r="Z335" s="8"/>
      <c r="AA335" s="8"/>
      <c r="AB335" s="8"/>
      <c r="AC335" s="11"/>
      <c r="AD335" s="8"/>
      <c r="AE335" s="9"/>
      <c r="AF335" s="8"/>
      <c r="AG335" s="9"/>
      <c r="AH335" s="8"/>
      <c r="AI335" s="8"/>
      <c r="AJ335" s="8"/>
      <c r="AK335" s="11"/>
      <c r="AL335" s="8"/>
      <c r="AM335" s="8"/>
      <c r="AN335" s="9"/>
      <c r="AO335" s="8"/>
      <c r="AP335" s="8"/>
      <c r="AQ335" s="8"/>
    </row>
    <row r="336" spans="1:43" x14ac:dyDescent="0.15">
      <c r="A336" s="8"/>
      <c r="B336" s="8"/>
      <c r="C336" s="8"/>
      <c r="D336" s="8"/>
      <c r="E336" s="9"/>
      <c r="F336" s="8"/>
      <c r="G336" s="10"/>
      <c r="H336" s="11"/>
      <c r="I336" s="8"/>
      <c r="J336" s="9"/>
      <c r="K336" s="8"/>
      <c r="L336" s="9"/>
      <c r="M336" s="8"/>
      <c r="N336" s="11"/>
      <c r="O336" s="8"/>
      <c r="P336" s="9"/>
      <c r="Q336" s="8"/>
      <c r="R336" s="9"/>
      <c r="S336" s="8"/>
      <c r="T336" s="8"/>
      <c r="U336" s="8"/>
      <c r="V336" s="11"/>
      <c r="W336" s="8"/>
      <c r="X336" s="8"/>
      <c r="Y336" s="9"/>
      <c r="Z336" s="8"/>
      <c r="AA336" s="8"/>
      <c r="AB336" s="8"/>
      <c r="AC336" s="11"/>
      <c r="AD336" s="8"/>
      <c r="AE336" s="9"/>
      <c r="AF336" s="8"/>
      <c r="AG336" s="9"/>
      <c r="AH336" s="8"/>
      <c r="AI336" s="8"/>
      <c r="AJ336" s="8"/>
      <c r="AK336" s="11"/>
      <c r="AL336" s="8"/>
      <c r="AM336" s="8"/>
      <c r="AN336" s="9"/>
      <c r="AO336" s="8"/>
      <c r="AP336" s="8"/>
      <c r="AQ336" s="8"/>
    </row>
    <row r="337" spans="1:43" x14ac:dyDescent="0.15">
      <c r="A337" s="8"/>
      <c r="B337" s="8"/>
      <c r="C337" s="8"/>
      <c r="D337" s="8"/>
      <c r="E337" s="9"/>
      <c r="F337" s="8"/>
      <c r="G337" s="10"/>
      <c r="H337" s="11"/>
      <c r="I337" s="8"/>
      <c r="J337" s="9"/>
      <c r="K337" s="8"/>
      <c r="L337" s="9"/>
      <c r="M337" s="8"/>
      <c r="N337" s="11"/>
      <c r="O337" s="8"/>
      <c r="P337" s="9"/>
      <c r="Q337" s="8"/>
      <c r="R337" s="9"/>
      <c r="S337" s="8"/>
      <c r="T337" s="8"/>
      <c r="U337" s="8"/>
      <c r="V337" s="11"/>
      <c r="W337" s="8"/>
      <c r="X337" s="8"/>
      <c r="Y337" s="9"/>
      <c r="Z337" s="8"/>
      <c r="AA337" s="8"/>
      <c r="AB337" s="8"/>
      <c r="AC337" s="11"/>
      <c r="AD337" s="8"/>
      <c r="AE337" s="9"/>
      <c r="AF337" s="8"/>
      <c r="AG337" s="9"/>
      <c r="AH337" s="8"/>
      <c r="AI337" s="8"/>
      <c r="AJ337" s="8"/>
      <c r="AK337" s="11"/>
      <c r="AL337" s="8"/>
      <c r="AM337" s="8"/>
      <c r="AN337" s="9"/>
      <c r="AO337" s="8"/>
      <c r="AP337" s="8"/>
      <c r="AQ337" s="8"/>
    </row>
    <row r="338" spans="1:43" x14ac:dyDescent="0.15">
      <c r="A338" s="8"/>
      <c r="B338" s="8"/>
      <c r="C338" s="8"/>
      <c r="D338" s="8"/>
      <c r="E338" s="9"/>
      <c r="F338" s="8"/>
      <c r="G338" s="10"/>
      <c r="H338" s="11"/>
      <c r="I338" s="8"/>
      <c r="J338" s="9"/>
      <c r="K338" s="8"/>
      <c r="L338" s="9"/>
      <c r="M338" s="8"/>
      <c r="N338" s="11"/>
      <c r="O338" s="8"/>
      <c r="P338" s="9"/>
      <c r="Q338" s="8"/>
      <c r="R338" s="9"/>
      <c r="S338" s="8"/>
      <c r="T338" s="8"/>
      <c r="U338" s="8"/>
      <c r="V338" s="132"/>
      <c r="W338" s="8"/>
      <c r="X338" s="8"/>
      <c r="Y338" s="9"/>
      <c r="Z338" s="8"/>
      <c r="AA338" s="8"/>
      <c r="AB338" s="8"/>
      <c r="AC338" s="11"/>
      <c r="AD338" s="8"/>
      <c r="AE338" s="9"/>
      <c r="AF338" s="8"/>
      <c r="AG338" s="9"/>
      <c r="AH338" s="8"/>
      <c r="AI338" s="8"/>
      <c r="AJ338" s="8"/>
      <c r="AK338" s="132"/>
      <c r="AL338" s="8"/>
      <c r="AM338" s="8"/>
      <c r="AN338" s="9"/>
      <c r="AO338" s="8"/>
      <c r="AP338" s="8"/>
      <c r="AQ338" s="8"/>
    </row>
    <row r="339" spans="1:43" x14ac:dyDescent="0.15">
      <c r="A339" s="8"/>
      <c r="B339" s="8"/>
      <c r="C339" s="8"/>
      <c r="D339" s="8"/>
      <c r="E339" s="9"/>
      <c r="F339" s="8"/>
      <c r="G339" s="10"/>
      <c r="H339" s="11"/>
      <c r="I339" s="8"/>
      <c r="J339" s="9"/>
      <c r="K339" s="8"/>
      <c r="L339" s="9"/>
      <c r="M339" s="8"/>
      <c r="N339" s="11"/>
      <c r="O339" s="8"/>
      <c r="P339" s="9"/>
      <c r="Q339" s="8"/>
      <c r="R339" s="9"/>
      <c r="S339" s="8"/>
      <c r="T339" s="8"/>
      <c r="U339" s="8"/>
      <c r="V339" s="11"/>
      <c r="W339" s="8"/>
      <c r="X339" s="8"/>
      <c r="Y339" s="9"/>
      <c r="Z339" s="8"/>
      <c r="AA339" s="8"/>
      <c r="AB339" s="8"/>
      <c r="AC339" s="11"/>
      <c r="AD339" s="8"/>
      <c r="AE339" s="9"/>
      <c r="AF339" s="8"/>
      <c r="AG339" s="9"/>
      <c r="AH339" s="8"/>
      <c r="AI339" s="8"/>
      <c r="AJ339" s="8"/>
      <c r="AK339" s="11"/>
      <c r="AL339" s="8"/>
      <c r="AM339" s="8"/>
      <c r="AN339" s="9"/>
      <c r="AO339" s="8"/>
      <c r="AP339" s="8"/>
      <c r="AQ339" s="8"/>
    </row>
    <row r="340" spans="1:43" x14ac:dyDescent="0.15">
      <c r="A340" s="8"/>
      <c r="B340" s="8"/>
      <c r="C340" s="8"/>
      <c r="D340" s="8"/>
      <c r="E340" s="9"/>
      <c r="F340" s="8"/>
      <c r="G340" s="10"/>
      <c r="H340" s="11"/>
      <c r="I340" s="8"/>
      <c r="J340" s="9"/>
      <c r="K340" s="8"/>
      <c r="L340" s="9"/>
      <c r="M340" s="8"/>
      <c r="N340" s="11"/>
      <c r="O340" s="8"/>
      <c r="P340" s="9"/>
      <c r="Q340" s="8"/>
      <c r="R340" s="9"/>
      <c r="S340" s="8"/>
      <c r="T340" s="8"/>
      <c r="U340" s="8"/>
      <c r="V340" s="11"/>
      <c r="W340" s="8"/>
      <c r="X340" s="8"/>
      <c r="Y340" s="9"/>
      <c r="Z340" s="8"/>
      <c r="AA340" s="8"/>
      <c r="AB340" s="8"/>
      <c r="AC340" s="11"/>
      <c r="AD340" s="8"/>
      <c r="AE340" s="9"/>
      <c r="AF340" s="8"/>
      <c r="AG340" s="9"/>
      <c r="AH340" s="8"/>
      <c r="AI340" s="8"/>
      <c r="AJ340" s="8"/>
      <c r="AK340" s="11"/>
      <c r="AL340" s="8"/>
      <c r="AM340" s="8"/>
      <c r="AN340" s="9"/>
      <c r="AO340" s="8"/>
      <c r="AP340" s="8"/>
      <c r="AQ340" s="8"/>
    </row>
    <row r="341" spans="1:43" x14ac:dyDescent="0.15">
      <c r="A341" s="8"/>
      <c r="B341" s="8"/>
      <c r="C341" s="8"/>
      <c r="D341" s="8"/>
      <c r="E341" s="9"/>
      <c r="F341" s="8"/>
      <c r="G341" s="10"/>
      <c r="H341" s="11"/>
      <c r="I341" s="8"/>
      <c r="J341" s="9"/>
      <c r="K341" s="8"/>
      <c r="L341" s="9"/>
      <c r="M341" s="8"/>
      <c r="N341" s="11"/>
      <c r="O341" s="8"/>
      <c r="P341" s="9"/>
      <c r="Q341" s="8"/>
      <c r="R341" s="9"/>
      <c r="S341" s="8"/>
      <c r="T341" s="8"/>
      <c r="U341" s="8"/>
      <c r="V341" s="11"/>
      <c r="W341" s="8"/>
      <c r="X341" s="8"/>
      <c r="Y341" s="9"/>
      <c r="Z341" s="8"/>
      <c r="AA341" s="8"/>
      <c r="AB341" s="8"/>
      <c r="AC341" s="11"/>
      <c r="AD341" s="8"/>
      <c r="AE341" s="9"/>
      <c r="AF341" s="8"/>
      <c r="AG341" s="9"/>
      <c r="AH341" s="8"/>
      <c r="AI341" s="8"/>
      <c r="AJ341" s="8"/>
      <c r="AK341" s="11"/>
      <c r="AL341" s="8"/>
      <c r="AM341" s="8"/>
      <c r="AN341" s="9"/>
      <c r="AO341" s="8"/>
      <c r="AP341" s="8"/>
      <c r="AQ341" s="8"/>
    </row>
    <row r="342" spans="1:43" x14ac:dyDescent="0.15">
      <c r="A342" s="8"/>
      <c r="B342" s="8"/>
      <c r="C342" s="8"/>
      <c r="D342" s="8"/>
      <c r="E342" s="9"/>
      <c r="F342" s="8"/>
      <c r="G342" s="10"/>
      <c r="H342" s="11"/>
      <c r="I342" s="8"/>
      <c r="J342" s="9"/>
      <c r="K342" s="8"/>
      <c r="L342" s="9"/>
      <c r="M342" s="8"/>
      <c r="N342" s="11"/>
      <c r="O342" s="8"/>
      <c r="P342" s="9"/>
      <c r="Q342" s="8"/>
      <c r="R342" s="9"/>
      <c r="S342" s="8"/>
      <c r="T342" s="8"/>
      <c r="U342" s="8"/>
      <c r="V342" s="11"/>
      <c r="W342" s="8"/>
      <c r="X342" s="8"/>
      <c r="Y342" s="9"/>
      <c r="Z342" s="8"/>
      <c r="AA342" s="8"/>
      <c r="AB342" s="8"/>
      <c r="AC342" s="11"/>
      <c r="AD342" s="8"/>
      <c r="AE342" s="9"/>
      <c r="AF342" s="8"/>
      <c r="AG342" s="9"/>
      <c r="AH342" s="8"/>
      <c r="AI342" s="8"/>
      <c r="AJ342" s="8"/>
      <c r="AK342" s="11"/>
      <c r="AL342" s="8"/>
      <c r="AM342" s="8"/>
      <c r="AN342" s="9"/>
      <c r="AO342" s="8"/>
      <c r="AP342" s="8"/>
      <c r="AQ342" s="8"/>
    </row>
    <row r="343" spans="1:43" x14ac:dyDescent="0.15">
      <c r="A343" s="8"/>
      <c r="B343" s="8"/>
      <c r="C343" s="8"/>
      <c r="D343" s="8"/>
      <c r="E343" s="9"/>
      <c r="F343" s="8"/>
      <c r="G343" s="10"/>
      <c r="H343" s="11"/>
      <c r="I343" s="8"/>
      <c r="J343" s="9"/>
      <c r="K343" s="8"/>
      <c r="L343" s="9"/>
      <c r="M343" s="8"/>
      <c r="N343" s="11"/>
      <c r="O343" s="8"/>
      <c r="P343" s="9"/>
      <c r="Q343" s="8"/>
      <c r="R343" s="9"/>
      <c r="S343" s="8"/>
      <c r="T343" s="8"/>
      <c r="U343" s="8"/>
      <c r="V343" s="11"/>
      <c r="W343" s="8"/>
      <c r="X343" s="8"/>
      <c r="Y343" s="9"/>
      <c r="Z343" s="8"/>
      <c r="AA343" s="8"/>
      <c r="AB343" s="8"/>
      <c r="AC343" s="11"/>
      <c r="AD343" s="8"/>
      <c r="AE343" s="9"/>
      <c r="AF343" s="8"/>
      <c r="AG343" s="9"/>
      <c r="AH343" s="8"/>
      <c r="AI343" s="8"/>
      <c r="AJ343" s="8"/>
      <c r="AK343" s="11"/>
      <c r="AL343" s="8"/>
      <c r="AM343" s="8"/>
      <c r="AN343" s="9"/>
      <c r="AO343" s="8"/>
      <c r="AP343" s="8"/>
      <c r="AQ343" s="8"/>
    </row>
    <row r="344" spans="1:43" x14ac:dyDescent="0.15">
      <c r="A344" s="8"/>
      <c r="B344" s="8"/>
      <c r="C344" s="8"/>
      <c r="D344" s="8"/>
      <c r="E344" s="9"/>
      <c r="F344" s="8"/>
      <c r="G344" s="10"/>
      <c r="H344" s="11"/>
      <c r="I344" s="8"/>
      <c r="J344" s="9"/>
      <c r="K344" s="8"/>
      <c r="L344" s="9"/>
      <c r="M344" s="8"/>
      <c r="N344" s="11"/>
      <c r="O344" s="8"/>
      <c r="P344" s="9"/>
      <c r="Q344" s="8"/>
      <c r="R344" s="9"/>
      <c r="S344" s="8"/>
      <c r="T344" s="8"/>
      <c r="U344" s="8"/>
      <c r="V344" s="132"/>
      <c r="W344" s="8"/>
      <c r="X344" s="8"/>
      <c r="Y344" s="9"/>
      <c r="Z344" s="8"/>
      <c r="AA344" s="8"/>
      <c r="AB344" s="8"/>
      <c r="AC344" s="11"/>
      <c r="AD344" s="8"/>
      <c r="AE344" s="9"/>
      <c r="AF344" s="8"/>
      <c r="AG344" s="9"/>
      <c r="AH344" s="8"/>
      <c r="AI344" s="8"/>
      <c r="AJ344" s="8"/>
      <c r="AK344" s="132"/>
      <c r="AL344" s="8"/>
      <c r="AM344" s="8"/>
      <c r="AN344" s="9"/>
      <c r="AO344" s="8"/>
      <c r="AP344" s="8"/>
      <c r="AQ344" s="8"/>
    </row>
    <row r="345" spans="1:43" x14ac:dyDescent="0.15">
      <c r="A345" s="8"/>
      <c r="B345" s="8"/>
      <c r="C345" s="8"/>
      <c r="D345" s="8"/>
      <c r="E345" s="9"/>
      <c r="F345" s="8"/>
      <c r="G345" s="10"/>
      <c r="H345" s="11"/>
      <c r="I345" s="8"/>
      <c r="J345" s="9"/>
      <c r="K345" s="8"/>
      <c r="L345" s="9"/>
      <c r="M345" s="8"/>
      <c r="N345" s="11"/>
      <c r="O345" s="8"/>
      <c r="P345" s="9"/>
      <c r="Q345" s="8"/>
      <c r="R345" s="9"/>
      <c r="S345" s="8"/>
      <c r="T345" s="8"/>
      <c r="U345" s="8"/>
      <c r="V345" s="132"/>
      <c r="W345" s="8"/>
      <c r="X345" s="8"/>
      <c r="Y345" s="9"/>
      <c r="Z345" s="8"/>
      <c r="AA345" s="8"/>
      <c r="AB345" s="8"/>
      <c r="AC345" s="11"/>
      <c r="AD345" s="8"/>
      <c r="AE345" s="9"/>
      <c r="AF345" s="8"/>
      <c r="AG345" s="9"/>
      <c r="AH345" s="8"/>
      <c r="AI345" s="8"/>
      <c r="AJ345" s="8"/>
      <c r="AK345" s="132"/>
      <c r="AL345" s="8"/>
      <c r="AM345" s="8"/>
      <c r="AN345" s="9"/>
      <c r="AO345" s="8"/>
      <c r="AP345" s="8"/>
      <c r="AQ345" s="8"/>
    </row>
    <row r="346" spans="1:43" x14ac:dyDescent="0.15">
      <c r="A346" s="8"/>
      <c r="B346" s="8"/>
      <c r="C346" s="8"/>
      <c r="D346" s="8"/>
      <c r="E346" s="9"/>
      <c r="F346" s="8"/>
      <c r="G346" s="10"/>
      <c r="H346" s="11"/>
      <c r="I346" s="8"/>
      <c r="J346" s="9"/>
      <c r="K346" s="8"/>
      <c r="L346" s="9"/>
      <c r="M346" s="8"/>
      <c r="N346" s="11"/>
      <c r="O346" s="8"/>
      <c r="P346" s="9"/>
      <c r="Q346" s="8"/>
      <c r="R346" s="9"/>
      <c r="S346" s="8"/>
      <c r="T346" s="8"/>
      <c r="U346" s="8"/>
      <c r="V346" s="132"/>
      <c r="W346" s="8"/>
      <c r="X346" s="8"/>
      <c r="Y346" s="9"/>
      <c r="Z346" s="8"/>
      <c r="AA346" s="8"/>
      <c r="AB346" s="8"/>
      <c r="AC346" s="11"/>
      <c r="AD346" s="8"/>
      <c r="AE346" s="9"/>
      <c r="AF346" s="8"/>
      <c r="AG346" s="9"/>
      <c r="AH346" s="8"/>
      <c r="AI346" s="8"/>
      <c r="AJ346" s="8"/>
      <c r="AK346" s="132"/>
      <c r="AL346" s="8"/>
      <c r="AM346" s="8"/>
      <c r="AN346" s="9"/>
      <c r="AO346" s="8"/>
      <c r="AP346" s="8"/>
      <c r="AQ346" s="8"/>
    </row>
    <row r="347" spans="1:43" x14ac:dyDescent="0.15">
      <c r="A347" s="8"/>
      <c r="B347" s="8"/>
      <c r="C347" s="8"/>
      <c r="D347" s="8"/>
      <c r="E347" s="9"/>
      <c r="F347" s="8"/>
      <c r="G347" s="10"/>
      <c r="H347" s="132"/>
      <c r="I347" s="8"/>
      <c r="J347" s="9"/>
      <c r="K347" s="8"/>
      <c r="L347" s="9"/>
      <c r="M347" s="8"/>
      <c r="N347" s="132"/>
      <c r="O347" s="8"/>
      <c r="P347" s="9"/>
      <c r="Q347" s="8"/>
      <c r="R347" s="9"/>
      <c r="S347" s="8"/>
      <c r="T347" s="8"/>
      <c r="U347" s="8"/>
      <c r="V347" s="132"/>
      <c r="W347" s="8"/>
      <c r="X347" s="8"/>
      <c r="Y347" s="9"/>
      <c r="Z347" s="8"/>
      <c r="AA347" s="8"/>
      <c r="AB347" s="8"/>
      <c r="AC347" s="132"/>
      <c r="AD347" s="8"/>
      <c r="AE347" s="9"/>
      <c r="AF347" s="8"/>
      <c r="AG347" s="9"/>
      <c r="AH347" s="8"/>
      <c r="AI347" s="8"/>
      <c r="AJ347" s="8"/>
      <c r="AK347" s="132"/>
      <c r="AL347" s="8"/>
      <c r="AM347" s="8"/>
      <c r="AN347" s="9"/>
      <c r="AO347" s="8"/>
      <c r="AP347" s="8"/>
      <c r="AQ347" s="8"/>
    </row>
    <row r="348" spans="1:43" x14ac:dyDescent="0.15">
      <c r="A348" s="8"/>
      <c r="B348" s="8"/>
      <c r="C348" s="8"/>
      <c r="D348" s="8"/>
      <c r="E348" s="9"/>
      <c r="F348" s="8"/>
      <c r="G348" s="10"/>
      <c r="H348" s="132"/>
      <c r="I348" s="8"/>
      <c r="J348" s="9"/>
      <c r="K348" s="8"/>
      <c r="L348" s="9"/>
      <c r="M348" s="8"/>
      <c r="N348" s="132"/>
      <c r="O348" s="8"/>
      <c r="P348" s="9"/>
      <c r="Q348" s="8"/>
      <c r="R348" s="9"/>
      <c r="S348" s="8"/>
      <c r="T348" s="8"/>
      <c r="U348" s="8"/>
      <c r="V348" s="132"/>
      <c r="W348" s="8"/>
      <c r="X348" s="8"/>
      <c r="Y348" s="9"/>
      <c r="Z348" s="8"/>
      <c r="AA348" s="8"/>
      <c r="AB348" s="8"/>
      <c r="AC348" s="132"/>
      <c r="AD348" s="8"/>
      <c r="AE348" s="9"/>
      <c r="AF348" s="8"/>
      <c r="AG348" s="9"/>
      <c r="AH348" s="8"/>
      <c r="AI348" s="8"/>
      <c r="AJ348" s="8"/>
      <c r="AK348" s="132"/>
      <c r="AL348" s="8"/>
      <c r="AM348" s="8"/>
      <c r="AN348" s="9"/>
      <c r="AO348" s="8"/>
      <c r="AP348" s="8"/>
      <c r="AQ348" s="8"/>
    </row>
    <row r="349" spans="1:43" x14ac:dyDescent="0.15">
      <c r="A349" s="8"/>
      <c r="B349" s="8"/>
      <c r="C349" s="8"/>
      <c r="D349" s="8"/>
      <c r="E349" s="9"/>
      <c r="F349" s="8"/>
      <c r="G349" s="10"/>
      <c r="H349" s="132"/>
      <c r="I349" s="8"/>
      <c r="J349" s="9"/>
      <c r="K349" s="8"/>
      <c r="L349" s="9"/>
      <c r="M349" s="8"/>
      <c r="N349" s="132"/>
      <c r="O349" s="8"/>
      <c r="P349" s="9"/>
      <c r="Q349" s="8"/>
      <c r="R349" s="9"/>
      <c r="S349" s="8"/>
      <c r="T349" s="8"/>
      <c r="U349" s="8"/>
      <c r="V349" s="132"/>
      <c r="W349" s="8"/>
      <c r="X349" s="8"/>
      <c r="Y349" s="9"/>
      <c r="Z349" s="8"/>
      <c r="AA349" s="8"/>
      <c r="AB349" s="8"/>
      <c r="AC349" s="132"/>
      <c r="AD349" s="8"/>
      <c r="AE349" s="9"/>
      <c r="AF349" s="8"/>
      <c r="AG349" s="9"/>
      <c r="AH349" s="8"/>
      <c r="AI349" s="8"/>
      <c r="AJ349" s="8"/>
      <c r="AK349" s="132"/>
      <c r="AL349" s="8"/>
      <c r="AM349" s="8"/>
      <c r="AN349" s="9"/>
      <c r="AO349" s="8"/>
      <c r="AP349" s="8"/>
      <c r="AQ349" s="8"/>
    </row>
    <row r="350" spans="1:43" x14ac:dyDescent="0.15">
      <c r="A350" s="8"/>
      <c r="B350" s="8"/>
      <c r="C350" s="8"/>
      <c r="D350" s="8"/>
      <c r="E350" s="9"/>
      <c r="F350" s="8"/>
      <c r="G350" s="10"/>
      <c r="H350" s="11"/>
      <c r="I350" s="8"/>
      <c r="J350" s="9"/>
      <c r="K350" s="8"/>
      <c r="L350" s="9"/>
      <c r="M350" s="8"/>
      <c r="N350" s="11"/>
      <c r="O350" s="8"/>
      <c r="P350" s="9"/>
      <c r="Q350" s="8"/>
      <c r="R350" s="9"/>
      <c r="S350" s="8"/>
      <c r="T350" s="8"/>
      <c r="U350" s="8"/>
      <c r="V350" s="11"/>
      <c r="W350" s="8"/>
      <c r="X350" s="8"/>
      <c r="Y350" s="9"/>
      <c r="Z350" s="8"/>
      <c r="AA350" s="8"/>
      <c r="AB350" s="8"/>
      <c r="AC350" s="11"/>
      <c r="AD350" s="8"/>
      <c r="AE350" s="9"/>
      <c r="AF350" s="8"/>
      <c r="AG350" s="9"/>
      <c r="AH350" s="8"/>
      <c r="AI350" s="8"/>
      <c r="AJ350" s="8"/>
      <c r="AK350" s="11"/>
      <c r="AL350" s="8"/>
      <c r="AM350" s="8"/>
      <c r="AN350" s="9"/>
      <c r="AO350" s="8"/>
      <c r="AP350" s="8"/>
      <c r="AQ350" s="8"/>
    </row>
    <row r="351" spans="1:43" x14ac:dyDescent="0.15">
      <c r="A351" s="8"/>
      <c r="B351" s="8"/>
      <c r="C351" s="8"/>
      <c r="D351" s="8"/>
      <c r="E351" s="9"/>
      <c r="F351" s="8"/>
      <c r="G351" s="10"/>
      <c r="H351" s="11"/>
      <c r="I351" s="8"/>
      <c r="J351" s="9"/>
      <c r="K351" s="8"/>
      <c r="L351" s="9"/>
      <c r="M351" s="8"/>
      <c r="N351" s="11"/>
      <c r="O351" s="8"/>
      <c r="P351" s="9"/>
      <c r="Q351" s="8"/>
      <c r="R351" s="9"/>
      <c r="S351" s="8"/>
      <c r="T351" s="8"/>
      <c r="U351" s="8"/>
      <c r="V351" s="11"/>
      <c r="W351" s="8"/>
      <c r="X351" s="8"/>
      <c r="Y351" s="9"/>
      <c r="Z351" s="8"/>
      <c r="AA351" s="8"/>
      <c r="AB351" s="8"/>
      <c r="AC351" s="11"/>
      <c r="AD351" s="8"/>
      <c r="AE351" s="9"/>
      <c r="AF351" s="8"/>
      <c r="AG351" s="9"/>
      <c r="AH351" s="8"/>
      <c r="AI351" s="8"/>
      <c r="AJ351" s="8"/>
      <c r="AK351" s="11"/>
      <c r="AL351" s="8"/>
      <c r="AM351" s="8"/>
      <c r="AN351" s="9"/>
      <c r="AO351" s="8"/>
      <c r="AP351" s="8"/>
      <c r="AQ351" s="8"/>
    </row>
    <row r="352" spans="1:43" x14ac:dyDescent="0.15">
      <c r="A352" s="8"/>
      <c r="B352" s="8"/>
      <c r="C352" s="8"/>
      <c r="D352" s="8"/>
      <c r="E352" s="9"/>
      <c r="F352" s="8"/>
      <c r="G352" s="10"/>
      <c r="H352" s="132"/>
      <c r="I352" s="8"/>
      <c r="J352" s="9"/>
      <c r="K352" s="8"/>
      <c r="L352" s="9"/>
      <c r="M352" s="8"/>
      <c r="N352" s="132"/>
      <c r="O352" s="8"/>
      <c r="P352" s="9"/>
      <c r="Q352" s="8"/>
      <c r="R352" s="9"/>
      <c r="S352" s="8"/>
      <c r="T352" s="8"/>
      <c r="U352" s="8"/>
      <c r="V352" s="11"/>
      <c r="W352" s="8"/>
      <c r="X352" s="8"/>
      <c r="Y352" s="9"/>
      <c r="Z352" s="8"/>
      <c r="AA352" s="8"/>
      <c r="AB352" s="8"/>
      <c r="AC352" s="132"/>
      <c r="AD352" s="8"/>
      <c r="AE352" s="9"/>
      <c r="AF352" s="8"/>
      <c r="AG352" s="9"/>
      <c r="AH352" s="8"/>
      <c r="AI352" s="8"/>
      <c r="AJ352" s="8"/>
      <c r="AK352" s="11"/>
      <c r="AL352" s="8"/>
      <c r="AM352" s="8"/>
      <c r="AN352" s="9"/>
      <c r="AO352" s="8"/>
      <c r="AP352" s="8"/>
      <c r="AQ352" s="8"/>
    </row>
    <row r="353" spans="1:43" x14ac:dyDescent="0.15">
      <c r="A353" s="8"/>
      <c r="B353" s="8"/>
      <c r="C353" s="8"/>
      <c r="D353" s="8"/>
      <c r="E353" s="9"/>
      <c r="F353" s="8"/>
      <c r="G353" s="10"/>
      <c r="H353" s="132"/>
      <c r="I353" s="8"/>
      <c r="J353" s="9"/>
      <c r="K353" s="8"/>
      <c r="L353" s="9"/>
      <c r="M353" s="8"/>
      <c r="N353" s="132"/>
      <c r="O353" s="8"/>
      <c r="P353" s="9"/>
      <c r="Q353" s="8"/>
      <c r="R353" s="9"/>
      <c r="S353" s="8"/>
      <c r="T353" s="8"/>
      <c r="U353" s="8"/>
      <c r="V353" s="11"/>
      <c r="W353" s="8"/>
      <c r="X353" s="8"/>
      <c r="Y353" s="9"/>
      <c r="Z353" s="8"/>
      <c r="AA353" s="8"/>
      <c r="AB353" s="8"/>
      <c r="AC353" s="132"/>
      <c r="AD353" s="8"/>
      <c r="AE353" s="9"/>
      <c r="AF353" s="8"/>
      <c r="AG353" s="9"/>
      <c r="AH353" s="8"/>
      <c r="AI353" s="8"/>
      <c r="AJ353" s="8"/>
      <c r="AK353" s="11"/>
      <c r="AL353" s="8"/>
      <c r="AM353" s="8"/>
      <c r="AN353" s="9"/>
      <c r="AO353" s="8"/>
      <c r="AP353" s="8"/>
      <c r="AQ353" s="8"/>
    </row>
    <row r="354" spans="1:43" x14ac:dyDescent="0.15">
      <c r="A354" s="8"/>
      <c r="B354" s="8"/>
      <c r="C354" s="8"/>
      <c r="D354" s="8"/>
      <c r="E354" s="9"/>
      <c r="F354" s="8"/>
      <c r="G354" s="10"/>
      <c r="H354" s="11"/>
      <c r="I354" s="8"/>
      <c r="J354" s="9"/>
      <c r="K354" s="8"/>
      <c r="L354" s="9"/>
      <c r="M354" s="8"/>
      <c r="N354" s="11"/>
      <c r="O354" s="8"/>
      <c r="P354" s="9"/>
      <c r="Q354" s="8"/>
      <c r="R354" s="9"/>
      <c r="S354" s="8"/>
      <c r="T354" s="8"/>
      <c r="U354" s="8"/>
      <c r="V354" s="11"/>
      <c r="W354" s="8"/>
      <c r="X354" s="8"/>
      <c r="Y354" s="9"/>
      <c r="Z354" s="8"/>
      <c r="AA354" s="8"/>
      <c r="AB354" s="8"/>
      <c r="AC354" s="11"/>
      <c r="AD354" s="8"/>
      <c r="AE354" s="9"/>
      <c r="AF354" s="8"/>
      <c r="AG354" s="9"/>
      <c r="AH354" s="8"/>
      <c r="AI354" s="8"/>
      <c r="AJ354" s="8"/>
      <c r="AK354" s="11"/>
      <c r="AL354" s="8"/>
      <c r="AM354" s="8"/>
      <c r="AN354" s="9"/>
      <c r="AO354" s="8"/>
      <c r="AP354" s="8"/>
      <c r="AQ354" s="8"/>
    </row>
    <row r="355" spans="1:43" x14ac:dyDescent="0.15">
      <c r="A355" s="8"/>
      <c r="B355" s="8"/>
      <c r="C355" s="8"/>
      <c r="D355" s="8"/>
      <c r="E355" s="9"/>
      <c r="F355" s="8"/>
      <c r="G355" s="10"/>
      <c r="H355" s="11"/>
      <c r="I355" s="8"/>
      <c r="J355" s="9"/>
      <c r="K355" s="8"/>
      <c r="L355" s="9"/>
      <c r="M355" s="8"/>
      <c r="N355" s="11"/>
      <c r="O355" s="8"/>
      <c r="P355" s="9"/>
      <c r="Q355" s="8"/>
      <c r="R355" s="9"/>
      <c r="S355" s="8"/>
      <c r="T355" s="8"/>
      <c r="U355" s="8"/>
      <c r="V355" s="11"/>
      <c r="W355" s="8"/>
      <c r="X355" s="8"/>
      <c r="Y355" s="9"/>
      <c r="Z355" s="8"/>
      <c r="AA355" s="8"/>
      <c r="AB355" s="8"/>
      <c r="AC355" s="11"/>
      <c r="AD355" s="8"/>
      <c r="AE355" s="9"/>
      <c r="AF355" s="8"/>
      <c r="AG355" s="9"/>
      <c r="AH355" s="8"/>
      <c r="AI355" s="8"/>
      <c r="AJ355" s="8"/>
      <c r="AK355" s="11"/>
      <c r="AL355" s="8"/>
      <c r="AM355" s="8"/>
      <c r="AN355" s="9"/>
      <c r="AO355" s="8"/>
      <c r="AP355" s="8"/>
      <c r="AQ355" s="8"/>
    </row>
    <row r="356" spans="1:43" x14ac:dyDescent="0.15">
      <c r="A356" s="8"/>
      <c r="B356" s="8"/>
      <c r="C356" s="8"/>
      <c r="D356" s="8"/>
      <c r="E356" s="9"/>
      <c r="F356" s="8"/>
      <c r="G356" s="10"/>
      <c r="H356" s="11"/>
      <c r="I356" s="8"/>
      <c r="J356" s="9"/>
      <c r="K356" s="8"/>
      <c r="L356" s="9"/>
      <c r="M356" s="8"/>
      <c r="N356" s="11"/>
      <c r="O356" s="8"/>
      <c r="P356" s="9"/>
      <c r="Q356" s="8"/>
      <c r="R356" s="9"/>
      <c r="S356" s="8"/>
      <c r="T356" s="8"/>
      <c r="U356" s="8"/>
      <c r="V356" s="11"/>
      <c r="W356" s="8"/>
      <c r="X356" s="8"/>
      <c r="Y356" s="9"/>
      <c r="Z356" s="8"/>
      <c r="AA356" s="8"/>
      <c r="AB356" s="8"/>
      <c r="AC356" s="11"/>
      <c r="AD356" s="8"/>
      <c r="AE356" s="9"/>
      <c r="AF356" s="8"/>
      <c r="AG356" s="9"/>
      <c r="AH356" s="8"/>
      <c r="AI356" s="8"/>
      <c r="AJ356" s="8"/>
      <c r="AK356" s="11"/>
      <c r="AL356" s="8"/>
      <c r="AM356" s="8"/>
      <c r="AN356" s="9"/>
      <c r="AO356" s="8"/>
      <c r="AP356" s="8"/>
      <c r="AQ356" s="8"/>
    </row>
    <row r="357" spans="1:43" x14ac:dyDescent="0.15">
      <c r="A357" s="8"/>
      <c r="B357" s="8"/>
      <c r="C357" s="8"/>
      <c r="D357" s="8"/>
      <c r="E357" s="9"/>
      <c r="F357" s="8"/>
      <c r="G357" s="10"/>
      <c r="H357" s="11"/>
      <c r="I357" s="8"/>
      <c r="J357" s="9"/>
      <c r="K357" s="8"/>
      <c r="L357" s="9"/>
      <c r="M357" s="8"/>
      <c r="N357" s="11"/>
      <c r="O357" s="8"/>
      <c r="P357" s="9"/>
      <c r="Q357" s="8"/>
      <c r="R357" s="9"/>
      <c r="S357" s="8"/>
      <c r="T357" s="8"/>
      <c r="U357" s="8"/>
      <c r="V357" s="11"/>
      <c r="W357" s="8"/>
      <c r="X357" s="8"/>
      <c r="Y357" s="9"/>
      <c r="Z357" s="8"/>
      <c r="AA357" s="8"/>
      <c r="AB357" s="8"/>
      <c r="AC357" s="11"/>
      <c r="AD357" s="8"/>
      <c r="AE357" s="9"/>
      <c r="AF357" s="8"/>
      <c r="AG357" s="9"/>
      <c r="AH357" s="8"/>
      <c r="AI357" s="8"/>
      <c r="AJ357" s="8"/>
      <c r="AK357" s="11"/>
      <c r="AL357" s="8"/>
      <c r="AM357" s="8"/>
      <c r="AN357" s="9"/>
      <c r="AO357" s="8"/>
      <c r="AP357" s="8"/>
      <c r="AQ357" s="8"/>
    </row>
    <row r="358" spans="1:43" x14ac:dyDescent="0.15">
      <c r="A358" s="8"/>
      <c r="B358" s="8"/>
      <c r="C358" s="8"/>
      <c r="D358" s="8"/>
      <c r="E358" s="9"/>
      <c r="F358" s="8"/>
      <c r="G358" s="10"/>
      <c r="H358" s="11"/>
      <c r="I358" s="8"/>
      <c r="J358" s="9"/>
      <c r="K358" s="8"/>
      <c r="L358" s="9"/>
      <c r="M358" s="8"/>
      <c r="N358" s="11"/>
      <c r="O358" s="8"/>
      <c r="P358" s="9"/>
      <c r="Q358" s="8"/>
      <c r="R358" s="9"/>
      <c r="S358" s="8"/>
      <c r="T358" s="8"/>
      <c r="U358" s="8"/>
      <c r="V358" s="11"/>
      <c r="W358" s="8"/>
      <c r="X358" s="8"/>
      <c r="Y358" s="9"/>
      <c r="Z358" s="8"/>
      <c r="AA358" s="8"/>
      <c r="AB358" s="8"/>
      <c r="AC358" s="11"/>
      <c r="AD358" s="8"/>
      <c r="AE358" s="9"/>
      <c r="AF358" s="8"/>
      <c r="AG358" s="9"/>
      <c r="AH358" s="8"/>
      <c r="AI358" s="8"/>
      <c r="AJ358" s="8"/>
      <c r="AK358" s="11"/>
      <c r="AL358" s="8"/>
      <c r="AM358" s="8"/>
      <c r="AN358" s="9"/>
      <c r="AO358" s="8"/>
      <c r="AP358" s="8"/>
      <c r="AQ358" s="8"/>
    </row>
    <row r="359" spans="1:43" x14ac:dyDescent="0.15">
      <c r="A359" s="8"/>
      <c r="B359" s="8"/>
      <c r="C359" s="8"/>
      <c r="D359" s="8"/>
      <c r="E359" s="9"/>
      <c r="F359" s="8"/>
      <c r="G359" s="10"/>
      <c r="H359" s="11"/>
      <c r="I359" s="8"/>
      <c r="J359" s="9"/>
      <c r="K359" s="8"/>
      <c r="L359" s="9"/>
      <c r="M359" s="8"/>
      <c r="N359" s="11"/>
      <c r="O359" s="8"/>
      <c r="P359" s="9"/>
      <c r="Q359" s="8"/>
      <c r="R359" s="9"/>
      <c r="S359" s="8"/>
      <c r="T359" s="8"/>
      <c r="U359" s="8"/>
      <c r="V359" s="11"/>
      <c r="W359" s="8"/>
      <c r="X359" s="8"/>
      <c r="Y359" s="9"/>
      <c r="Z359" s="8"/>
      <c r="AA359" s="8"/>
      <c r="AB359" s="8"/>
      <c r="AC359" s="11"/>
      <c r="AD359" s="8"/>
      <c r="AE359" s="9"/>
      <c r="AF359" s="8"/>
      <c r="AG359" s="9"/>
      <c r="AH359" s="8"/>
      <c r="AI359" s="8"/>
      <c r="AJ359" s="8"/>
      <c r="AK359" s="11"/>
      <c r="AL359" s="8"/>
      <c r="AM359" s="8"/>
      <c r="AN359" s="9"/>
      <c r="AO359" s="8"/>
      <c r="AP359" s="8"/>
      <c r="AQ359" s="8"/>
    </row>
    <row r="360" spans="1:43" x14ac:dyDescent="0.15">
      <c r="A360" s="8"/>
      <c r="B360" s="8"/>
      <c r="C360" s="8"/>
      <c r="D360" s="8"/>
      <c r="E360" s="9"/>
      <c r="F360" s="8"/>
      <c r="G360" s="10"/>
      <c r="H360" s="11"/>
      <c r="I360" s="8"/>
      <c r="J360" s="9"/>
      <c r="K360" s="8"/>
      <c r="L360" s="9"/>
      <c r="M360" s="8"/>
      <c r="N360" s="11"/>
      <c r="O360" s="8"/>
      <c r="P360" s="9"/>
      <c r="Q360" s="8"/>
      <c r="R360" s="9"/>
      <c r="S360" s="8"/>
      <c r="T360" s="8"/>
      <c r="U360" s="8"/>
      <c r="V360" s="11"/>
      <c r="W360" s="8"/>
      <c r="X360" s="8"/>
      <c r="Y360" s="9"/>
      <c r="Z360" s="8"/>
      <c r="AA360" s="8"/>
      <c r="AB360" s="8"/>
      <c r="AC360" s="11"/>
      <c r="AD360" s="8"/>
      <c r="AE360" s="9"/>
      <c r="AF360" s="8"/>
      <c r="AG360" s="9"/>
      <c r="AH360" s="8"/>
      <c r="AI360" s="8"/>
      <c r="AJ360" s="8"/>
      <c r="AK360" s="11"/>
      <c r="AL360" s="8"/>
      <c r="AM360" s="8"/>
      <c r="AN360" s="9"/>
      <c r="AO360" s="8"/>
      <c r="AP360" s="8"/>
      <c r="AQ360" s="8"/>
    </row>
    <row r="361" spans="1:43" x14ac:dyDescent="0.15">
      <c r="A361" s="8"/>
      <c r="B361" s="8"/>
      <c r="C361" s="8"/>
      <c r="D361" s="8"/>
      <c r="E361" s="9"/>
      <c r="F361" s="8"/>
      <c r="G361" s="10"/>
      <c r="H361" s="11"/>
      <c r="I361" s="8"/>
      <c r="J361" s="9"/>
      <c r="K361" s="8"/>
      <c r="L361" s="9"/>
      <c r="M361" s="8"/>
      <c r="N361" s="11"/>
      <c r="O361" s="8"/>
      <c r="P361" s="9"/>
      <c r="Q361" s="8"/>
      <c r="R361" s="9"/>
      <c r="S361" s="8"/>
      <c r="T361" s="8"/>
      <c r="U361" s="8"/>
      <c r="V361" s="11"/>
      <c r="W361" s="8"/>
      <c r="X361" s="8"/>
      <c r="Y361" s="9"/>
      <c r="Z361" s="8"/>
      <c r="AA361" s="8"/>
      <c r="AB361" s="8"/>
      <c r="AC361" s="11"/>
      <c r="AD361" s="8"/>
      <c r="AE361" s="9"/>
      <c r="AF361" s="8"/>
      <c r="AG361" s="9"/>
      <c r="AH361" s="8"/>
      <c r="AI361" s="8"/>
      <c r="AJ361" s="8"/>
      <c r="AK361" s="11"/>
      <c r="AL361" s="8"/>
      <c r="AM361" s="8"/>
      <c r="AN361" s="9"/>
      <c r="AO361" s="8"/>
      <c r="AP361" s="8"/>
      <c r="AQ361" s="8"/>
    </row>
    <row r="362" spans="1:43" x14ac:dyDescent="0.15">
      <c r="A362" s="8"/>
      <c r="B362" s="8"/>
      <c r="C362" s="8"/>
      <c r="D362" s="8"/>
      <c r="E362" s="9"/>
      <c r="F362" s="8"/>
      <c r="G362" s="10"/>
      <c r="H362" s="11"/>
      <c r="I362" s="8"/>
      <c r="J362" s="9"/>
      <c r="K362" s="8"/>
      <c r="L362" s="9"/>
      <c r="M362" s="8"/>
      <c r="N362" s="11"/>
      <c r="O362" s="8"/>
      <c r="P362" s="9"/>
      <c r="Q362" s="8"/>
      <c r="R362" s="9"/>
      <c r="S362" s="8"/>
      <c r="T362" s="8"/>
      <c r="U362" s="8"/>
      <c r="V362" s="11"/>
      <c r="W362" s="8"/>
      <c r="X362" s="8"/>
      <c r="Y362" s="9"/>
      <c r="Z362" s="8"/>
      <c r="AA362" s="8"/>
      <c r="AB362" s="8"/>
      <c r="AC362" s="11"/>
      <c r="AD362" s="8"/>
      <c r="AE362" s="9"/>
      <c r="AF362" s="8"/>
      <c r="AG362" s="9"/>
      <c r="AH362" s="8"/>
      <c r="AI362" s="8"/>
      <c r="AJ362" s="8"/>
      <c r="AK362" s="11"/>
      <c r="AL362" s="8"/>
      <c r="AM362" s="8"/>
      <c r="AN362" s="9"/>
      <c r="AO362" s="8"/>
      <c r="AP362" s="8"/>
      <c r="AQ362" s="8"/>
    </row>
    <row r="363" spans="1:43" x14ac:dyDescent="0.15">
      <c r="A363" s="8"/>
      <c r="B363" s="8"/>
      <c r="C363" s="8"/>
      <c r="D363" s="8"/>
      <c r="E363" s="9"/>
      <c r="F363" s="8"/>
      <c r="G363" s="10"/>
      <c r="H363" s="11"/>
      <c r="I363" s="8"/>
      <c r="J363" s="9"/>
      <c r="K363" s="8"/>
      <c r="L363" s="9"/>
      <c r="M363" s="8"/>
      <c r="N363" s="11"/>
      <c r="O363" s="8"/>
      <c r="P363" s="9"/>
      <c r="Q363" s="8"/>
      <c r="R363" s="9"/>
      <c r="S363" s="8"/>
      <c r="T363" s="8"/>
      <c r="U363" s="8"/>
      <c r="V363" s="11"/>
      <c r="W363" s="8"/>
      <c r="X363" s="8"/>
      <c r="Y363" s="9"/>
      <c r="Z363" s="8"/>
      <c r="AA363" s="8"/>
      <c r="AB363" s="8"/>
      <c r="AC363" s="11"/>
      <c r="AD363" s="8"/>
      <c r="AE363" s="9"/>
      <c r="AF363" s="8"/>
      <c r="AG363" s="9"/>
      <c r="AH363" s="8"/>
      <c r="AI363" s="8"/>
      <c r="AJ363" s="8"/>
      <c r="AK363" s="11"/>
      <c r="AL363" s="8"/>
      <c r="AM363" s="8"/>
      <c r="AN363" s="9"/>
      <c r="AO363" s="8"/>
      <c r="AP363" s="8"/>
      <c r="AQ363" s="8"/>
    </row>
    <row r="364" spans="1:43" x14ac:dyDescent="0.15">
      <c r="A364" s="8"/>
      <c r="B364" s="8"/>
      <c r="C364" s="8"/>
      <c r="D364" s="8"/>
      <c r="E364" s="9"/>
      <c r="F364" s="8"/>
      <c r="G364" s="10"/>
      <c r="H364" s="11"/>
      <c r="I364" s="8"/>
      <c r="J364" s="9"/>
      <c r="K364" s="8"/>
      <c r="L364" s="9"/>
      <c r="M364" s="8"/>
      <c r="N364" s="11"/>
      <c r="O364" s="8"/>
      <c r="P364" s="9"/>
      <c r="Q364" s="8"/>
      <c r="R364" s="9"/>
      <c r="S364" s="8"/>
      <c r="T364" s="8"/>
      <c r="U364" s="8"/>
      <c r="V364" s="11"/>
      <c r="W364" s="8"/>
      <c r="X364" s="8"/>
      <c r="Y364" s="9"/>
      <c r="Z364" s="8"/>
      <c r="AA364" s="8"/>
      <c r="AB364" s="8"/>
      <c r="AC364" s="11"/>
      <c r="AD364" s="8"/>
      <c r="AE364" s="9"/>
      <c r="AF364" s="8"/>
      <c r="AG364" s="9"/>
      <c r="AH364" s="8"/>
      <c r="AI364" s="8"/>
      <c r="AJ364" s="8"/>
      <c r="AK364" s="11"/>
      <c r="AL364" s="8"/>
      <c r="AM364" s="8"/>
      <c r="AN364" s="9"/>
      <c r="AO364" s="8"/>
      <c r="AP364" s="8"/>
      <c r="AQ364" s="8"/>
    </row>
    <row r="365" spans="1:43" x14ac:dyDescent="0.15">
      <c r="A365" s="8"/>
      <c r="B365" s="8"/>
      <c r="C365" s="8"/>
      <c r="D365" s="8"/>
      <c r="E365" s="9"/>
      <c r="F365" s="8"/>
      <c r="G365" s="10"/>
      <c r="H365" s="11"/>
      <c r="I365" s="8"/>
      <c r="J365" s="9"/>
      <c r="K365" s="8"/>
      <c r="L365" s="9"/>
      <c r="M365" s="8"/>
      <c r="N365" s="11"/>
      <c r="O365" s="8"/>
      <c r="P365" s="9"/>
      <c r="Q365" s="8"/>
      <c r="R365" s="9"/>
      <c r="S365" s="8"/>
      <c r="T365" s="8"/>
      <c r="U365" s="8"/>
      <c r="V365" s="11"/>
      <c r="W365" s="8"/>
      <c r="X365" s="8"/>
      <c r="Y365" s="9"/>
      <c r="Z365" s="8"/>
      <c r="AA365" s="8"/>
      <c r="AB365" s="8"/>
      <c r="AC365" s="11"/>
      <c r="AD365" s="8"/>
      <c r="AE365" s="9"/>
      <c r="AF365" s="8"/>
      <c r="AG365" s="9"/>
      <c r="AH365" s="8"/>
      <c r="AI365" s="8"/>
      <c r="AJ365" s="8"/>
      <c r="AK365" s="11"/>
      <c r="AL365" s="8"/>
      <c r="AM365" s="8"/>
      <c r="AN365" s="9"/>
      <c r="AO365" s="8"/>
      <c r="AP365" s="8"/>
      <c r="AQ365" s="8"/>
    </row>
    <row r="366" spans="1:43" x14ac:dyDescent="0.15">
      <c r="A366" s="8"/>
      <c r="B366" s="8"/>
      <c r="C366" s="8"/>
      <c r="D366" s="8"/>
      <c r="E366" s="9"/>
      <c r="F366" s="8"/>
      <c r="G366" s="10"/>
      <c r="H366" s="11"/>
      <c r="I366" s="8"/>
      <c r="J366" s="9"/>
      <c r="K366" s="8"/>
      <c r="L366" s="9"/>
      <c r="M366" s="8"/>
      <c r="N366" s="11"/>
      <c r="O366" s="8"/>
      <c r="P366" s="9"/>
      <c r="Q366" s="8"/>
      <c r="R366" s="9"/>
      <c r="S366" s="8"/>
      <c r="T366" s="8"/>
      <c r="U366" s="8"/>
      <c r="V366" s="11"/>
      <c r="W366" s="8"/>
      <c r="X366" s="8"/>
      <c r="Y366" s="9"/>
      <c r="Z366" s="8"/>
      <c r="AA366" s="8"/>
      <c r="AB366" s="8"/>
      <c r="AC366" s="11"/>
      <c r="AD366" s="8"/>
      <c r="AE366" s="9"/>
      <c r="AF366" s="8"/>
      <c r="AG366" s="9"/>
      <c r="AH366" s="8"/>
      <c r="AI366" s="8"/>
      <c r="AJ366" s="8"/>
      <c r="AK366" s="11"/>
      <c r="AL366" s="8"/>
      <c r="AM366" s="8"/>
      <c r="AN366" s="9"/>
      <c r="AO366" s="8"/>
      <c r="AP366" s="8"/>
      <c r="AQ366" s="8"/>
    </row>
    <row r="367" spans="1:43" x14ac:dyDescent="0.15">
      <c r="A367" s="8"/>
      <c r="B367" s="8"/>
      <c r="C367" s="8"/>
      <c r="D367" s="8"/>
      <c r="E367" s="9"/>
      <c r="F367" s="8"/>
      <c r="G367" s="10"/>
      <c r="H367" s="11"/>
      <c r="I367" s="8"/>
      <c r="J367" s="9"/>
      <c r="K367" s="8"/>
      <c r="L367" s="9"/>
      <c r="M367" s="8"/>
      <c r="N367" s="11"/>
      <c r="O367" s="8"/>
      <c r="P367" s="9"/>
      <c r="Q367" s="8"/>
      <c r="R367" s="9"/>
      <c r="S367" s="8"/>
      <c r="T367" s="8"/>
      <c r="U367" s="8"/>
      <c r="V367" s="11"/>
      <c r="W367" s="8"/>
      <c r="X367" s="8"/>
      <c r="Y367" s="9"/>
      <c r="Z367" s="8"/>
      <c r="AA367" s="8"/>
      <c r="AB367" s="8"/>
      <c r="AC367" s="11"/>
      <c r="AD367" s="8"/>
      <c r="AE367" s="9"/>
      <c r="AF367" s="8"/>
      <c r="AG367" s="9"/>
      <c r="AH367" s="8"/>
      <c r="AI367" s="8"/>
      <c r="AJ367" s="8"/>
      <c r="AK367" s="11"/>
      <c r="AL367" s="8"/>
      <c r="AM367" s="8"/>
      <c r="AN367" s="9"/>
      <c r="AO367" s="8"/>
      <c r="AP367" s="8"/>
      <c r="AQ367" s="8"/>
    </row>
    <row r="368" spans="1:43" x14ac:dyDescent="0.15">
      <c r="A368" s="8"/>
      <c r="B368" s="8"/>
      <c r="C368" s="8"/>
      <c r="D368" s="8"/>
      <c r="E368" s="9"/>
      <c r="F368" s="8"/>
      <c r="G368" s="10"/>
      <c r="H368" s="11"/>
      <c r="I368" s="8"/>
      <c r="J368" s="9"/>
      <c r="K368" s="8"/>
      <c r="L368" s="9"/>
      <c r="M368" s="8"/>
      <c r="N368" s="11"/>
      <c r="O368" s="8"/>
      <c r="P368" s="9"/>
      <c r="Q368" s="8"/>
      <c r="R368" s="9"/>
      <c r="S368" s="8"/>
      <c r="T368" s="8"/>
      <c r="U368" s="8"/>
      <c r="V368" s="11"/>
      <c r="W368" s="8"/>
      <c r="X368" s="8"/>
      <c r="Y368" s="9"/>
      <c r="Z368" s="8"/>
      <c r="AA368" s="8"/>
      <c r="AB368" s="8"/>
      <c r="AC368" s="11"/>
      <c r="AD368" s="8"/>
      <c r="AE368" s="9"/>
      <c r="AF368" s="8"/>
      <c r="AG368" s="9"/>
      <c r="AH368" s="8"/>
      <c r="AI368" s="8"/>
      <c r="AJ368" s="8"/>
      <c r="AK368" s="11"/>
      <c r="AL368" s="8"/>
      <c r="AM368" s="8"/>
      <c r="AN368" s="9"/>
      <c r="AO368" s="8"/>
      <c r="AP368" s="8"/>
      <c r="AQ368" s="8"/>
    </row>
    <row r="369" spans="1:43" x14ac:dyDescent="0.15">
      <c r="A369" s="8"/>
      <c r="B369" s="8"/>
      <c r="C369" s="8"/>
      <c r="D369" s="8"/>
      <c r="E369" s="9"/>
      <c r="F369" s="8"/>
      <c r="G369" s="10"/>
      <c r="H369" s="132"/>
      <c r="I369" s="8"/>
      <c r="J369" s="9"/>
      <c r="K369" s="8"/>
      <c r="L369" s="9"/>
      <c r="M369" s="8"/>
      <c r="N369" s="132"/>
      <c r="O369" s="8"/>
      <c r="P369" s="9"/>
      <c r="Q369" s="8"/>
      <c r="R369" s="9"/>
      <c r="S369" s="8"/>
      <c r="T369" s="8"/>
      <c r="U369" s="8"/>
      <c r="V369" s="11"/>
      <c r="W369" s="8"/>
      <c r="X369" s="8"/>
      <c r="Y369" s="9"/>
      <c r="Z369" s="8"/>
      <c r="AA369" s="8"/>
      <c r="AB369" s="8"/>
      <c r="AC369" s="132"/>
      <c r="AD369" s="8"/>
      <c r="AE369" s="9"/>
      <c r="AF369" s="8"/>
      <c r="AG369" s="9"/>
      <c r="AH369" s="8"/>
      <c r="AI369" s="8"/>
      <c r="AJ369" s="8"/>
      <c r="AK369" s="11"/>
      <c r="AL369" s="8"/>
      <c r="AM369" s="8"/>
      <c r="AN369" s="9"/>
      <c r="AO369" s="8"/>
      <c r="AP369" s="8"/>
      <c r="AQ369" s="8"/>
    </row>
    <row r="370" spans="1:43" x14ac:dyDescent="0.15">
      <c r="A370" s="8"/>
      <c r="B370" s="8"/>
      <c r="C370" s="8"/>
      <c r="D370" s="8"/>
      <c r="E370" s="9"/>
      <c r="F370" s="8"/>
      <c r="G370" s="10"/>
      <c r="H370" s="11"/>
      <c r="I370" s="8"/>
      <c r="J370" s="9"/>
      <c r="K370" s="8"/>
      <c r="L370" s="9"/>
      <c r="M370" s="8"/>
      <c r="N370" s="11"/>
      <c r="O370" s="8"/>
      <c r="P370" s="9"/>
      <c r="Q370" s="8"/>
      <c r="R370" s="9"/>
      <c r="S370" s="8"/>
      <c r="T370" s="8"/>
      <c r="U370" s="8"/>
      <c r="V370" s="11"/>
      <c r="W370" s="8"/>
      <c r="X370" s="8"/>
      <c r="Y370" s="9"/>
      <c r="Z370" s="8"/>
      <c r="AA370" s="8"/>
      <c r="AB370" s="8"/>
      <c r="AC370" s="11"/>
      <c r="AD370" s="8"/>
      <c r="AE370" s="9"/>
      <c r="AF370" s="8"/>
      <c r="AG370" s="9"/>
      <c r="AH370" s="8"/>
      <c r="AI370" s="8"/>
      <c r="AJ370" s="8"/>
      <c r="AK370" s="11"/>
      <c r="AL370" s="8"/>
      <c r="AM370" s="8"/>
      <c r="AN370" s="9"/>
      <c r="AO370" s="8"/>
      <c r="AP370" s="8"/>
      <c r="AQ370" s="8"/>
    </row>
    <row r="371" spans="1:43" x14ac:dyDescent="0.15">
      <c r="A371" s="8"/>
      <c r="B371" s="8"/>
      <c r="C371" s="8"/>
      <c r="D371" s="8"/>
      <c r="E371" s="9"/>
      <c r="F371" s="8"/>
      <c r="G371" s="10"/>
      <c r="H371" s="11"/>
      <c r="I371" s="8"/>
      <c r="J371" s="9"/>
      <c r="K371" s="8"/>
      <c r="L371" s="9"/>
      <c r="M371" s="8"/>
      <c r="N371" s="11"/>
      <c r="O371" s="8"/>
      <c r="P371" s="9"/>
      <c r="Q371" s="8"/>
      <c r="R371" s="9"/>
      <c r="S371" s="8"/>
      <c r="T371" s="8"/>
      <c r="U371" s="8"/>
      <c r="V371" s="11"/>
      <c r="W371" s="8"/>
      <c r="X371" s="8"/>
      <c r="Y371" s="9"/>
      <c r="Z371" s="8"/>
      <c r="AA371" s="8"/>
      <c r="AB371" s="8"/>
      <c r="AC371" s="11"/>
      <c r="AD371" s="8"/>
      <c r="AE371" s="9"/>
      <c r="AF371" s="8"/>
      <c r="AG371" s="9"/>
      <c r="AH371" s="8"/>
      <c r="AI371" s="8"/>
      <c r="AJ371" s="8"/>
      <c r="AK371" s="11"/>
      <c r="AL371" s="8"/>
      <c r="AM371" s="8"/>
      <c r="AN371" s="9"/>
      <c r="AO371" s="8"/>
      <c r="AP371" s="8"/>
      <c r="AQ371" s="8"/>
    </row>
    <row r="372" spans="1:43" x14ac:dyDescent="0.15">
      <c r="A372" s="8"/>
      <c r="B372" s="8"/>
      <c r="C372" s="8"/>
      <c r="D372" s="8"/>
      <c r="E372" s="9"/>
      <c r="F372" s="8"/>
      <c r="G372" s="10"/>
      <c r="H372" s="11"/>
      <c r="I372" s="8"/>
      <c r="J372" s="9"/>
      <c r="K372" s="8"/>
      <c r="L372" s="9"/>
      <c r="M372" s="8"/>
      <c r="N372" s="11"/>
      <c r="O372" s="8"/>
      <c r="P372" s="9"/>
      <c r="Q372" s="8"/>
      <c r="R372" s="9"/>
      <c r="S372" s="8"/>
      <c r="T372" s="8"/>
      <c r="U372" s="8"/>
      <c r="V372" s="11"/>
      <c r="W372" s="8"/>
      <c r="X372" s="8"/>
      <c r="Y372" s="9"/>
      <c r="Z372" s="8"/>
      <c r="AA372" s="8"/>
      <c r="AB372" s="8"/>
      <c r="AC372" s="11"/>
      <c r="AD372" s="8"/>
      <c r="AE372" s="9"/>
      <c r="AF372" s="8"/>
      <c r="AG372" s="9"/>
      <c r="AH372" s="8"/>
      <c r="AI372" s="8"/>
      <c r="AJ372" s="8"/>
      <c r="AK372" s="11"/>
      <c r="AL372" s="8"/>
      <c r="AM372" s="8"/>
      <c r="AN372" s="9"/>
      <c r="AO372" s="8"/>
      <c r="AP372" s="8"/>
      <c r="AQ372" s="8"/>
    </row>
    <row r="373" spans="1:43" x14ac:dyDescent="0.15">
      <c r="A373" s="8"/>
      <c r="B373" s="8"/>
      <c r="C373" s="8"/>
      <c r="D373" s="8"/>
      <c r="E373" s="9"/>
      <c r="F373" s="8"/>
      <c r="G373" s="10"/>
      <c r="H373" s="132"/>
      <c r="I373" s="8"/>
      <c r="J373" s="9"/>
      <c r="K373" s="8"/>
      <c r="L373" s="9"/>
      <c r="M373" s="8"/>
      <c r="N373" s="132"/>
      <c r="O373" s="8"/>
      <c r="P373" s="9"/>
      <c r="Q373" s="8"/>
      <c r="R373" s="9"/>
      <c r="S373" s="8"/>
      <c r="T373" s="8"/>
      <c r="U373" s="8"/>
      <c r="V373" s="11"/>
      <c r="W373" s="8"/>
      <c r="X373" s="8"/>
      <c r="Y373" s="9"/>
      <c r="Z373" s="8"/>
      <c r="AA373" s="8"/>
      <c r="AB373" s="8"/>
      <c r="AC373" s="132"/>
      <c r="AD373" s="8"/>
      <c r="AE373" s="9"/>
      <c r="AF373" s="8"/>
      <c r="AG373" s="9"/>
      <c r="AH373" s="8"/>
      <c r="AI373" s="8"/>
      <c r="AJ373" s="8"/>
      <c r="AK373" s="11"/>
      <c r="AL373" s="8"/>
      <c r="AM373" s="8"/>
      <c r="AN373" s="9"/>
      <c r="AO373" s="8"/>
      <c r="AP373" s="8"/>
      <c r="AQ373" s="8"/>
    </row>
    <row r="374" spans="1:43" x14ac:dyDescent="0.15">
      <c r="A374" s="8"/>
      <c r="B374" s="8"/>
      <c r="C374" s="8"/>
      <c r="D374" s="8"/>
      <c r="E374" s="9"/>
      <c r="F374" s="8"/>
      <c r="G374" s="10"/>
      <c r="H374" s="132"/>
      <c r="I374" s="8"/>
      <c r="J374" s="9"/>
      <c r="K374" s="8"/>
      <c r="L374" s="9"/>
      <c r="M374" s="8"/>
      <c r="N374" s="132"/>
      <c r="O374" s="8"/>
      <c r="P374" s="9"/>
      <c r="Q374" s="8"/>
      <c r="R374" s="9"/>
      <c r="S374" s="8"/>
      <c r="T374" s="8"/>
      <c r="U374" s="8"/>
      <c r="V374" s="11"/>
      <c r="W374" s="8"/>
      <c r="X374" s="8"/>
      <c r="Y374" s="9"/>
      <c r="Z374" s="8"/>
      <c r="AA374" s="8"/>
      <c r="AB374" s="8"/>
      <c r="AC374" s="132"/>
      <c r="AD374" s="8"/>
      <c r="AE374" s="9"/>
      <c r="AF374" s="8"/>
      <c r="AG374" s="9"/>
      <c r="AH374" s="8"/>
      <c r="AI374" s="8"/>
      <c r="AJ374" s="8"/>
      <c r="AK374" s="11"/>
      <c r="AL374" s="8"/>
      <c r="AM374" s="8"/>
      <c r="AN374" s="9"/>
      <c r="AO374" s="8"/>
      <c r="AP374" s="8"/>
      <c r="AQ374" s="8"/>
    </row>
    <row r="375" spans="1:43" x14ac:dyDescent="0.15">
      <c r="A375" s="8"/>
      <c r="B375" s="8"/>
      <c r="C375" s="8"/>
      <c r="D375" s="8"/>
      <c r="E375" s="9"/>
      <c r="F375" s="8"/>
      <c r="G375" s="10"/>
      <c r="H375" s="11"/>
      <c r="I375" s="8"/>
      <c r="J375" s="9"/>
      <c r="K375" s="8"/>
      <c r="L375" s="9"/>
      <c r="M375" s="8"/>
      <c r="N375" s="11"/>
      <c r="O375" s="8"/>
      <c r="P375" s="9"/>
      <c r="Q375" s="8"/>
      <c r="R375" s="9"/>
      <c r="S375" s="8"/>
      <c r="T375" s="8"/>
      <c r="U375" s="8"/>
      <c r="V375" s="11"/>
      <c r="W375" s="8"/>
      <c r="X375" s="8"/>
      <c r="Y375" s="9"/>
      <c r="Z375" s="8"/>
      <c r="AA375" s="8"/>
      <c r="AB375" s="8"/>
      <c r="AC375" s="11"/>
      <c r="AD375" s="8"/>
      <c r="AE375" s="9"/>
      <c r="AF375" s="8"/>
      <c r="AG375" s="9"/>
      <c r="AH375" s="8"/>
      <c r="AI375" s="8"/>
      <c r="AJ375" s="8"/>
      <c r="AK375" s="11"/>
      <c r="AL375" s="8"/>
      <c r="AM375" s="8"/>
      <c r="AN375" s="9"/>
      <c r="AO375" s="8"/>
      <c r="AP375" s="8"/>
      <c r="AQ375" s="8"/>
    </row>
    <row r="376" spans="1:43" x14ac:dyDescent="0.15">
      <c r="A376" s="8"/>
      <c r="B376" s="8"/>
      <c r="C376" s="8"/>
      <c r="D376" s="8"/>
      <c r="E376" s="9"/>
      <c r="F376" s="8"/>
      <c r="G376" s="10"/>
      <c r="H376" s="132"/>
      <c r="I376" s="8"/>
      <c r="J376" s="9"/>
      <c r="K376" s="8"/>
      <c r="L376" s="9"/>
      <c r="M376" s="8"/>
      <c r="N376" s="132"/>
      <c r="O376" s="8"/>
      <c r="P376" s="9"/>
      <c r="Q376" s="8"/>
      <c r="R376" s="9"/>
      <c r="S376" s="8"/>
      <c r="T376" s="8"/>
      <c r="U376" s="8"/>
      <c r="V376" s="11"/>
      <c r="W376" s="8"/>
      <c r="X376" s="8"/>
      <c r="Y376" s="9"/>
      <c r="Z376" s="8"/>
      <c r="AA376" s="8"/>
      <c r="AB376" s="8"/>
      <c r="AC376" s="132"/>
      <c r="AD376" s="8"/>
      <c r="AE376" s="9"/>
      <c r="AF376" s="8"/>
      <c r="AG376" s="9"/>
      <c r="AH376" s="8"/>
      <c r="AI376" s="8"/>
      <c r="AJ376" s="8"/>
      <c r="AK376" s="11"/>
      <c r="AL376" s="8"/>
      <c r="AM376" s="8"/>
      <c r="AN376" s="9"/>
      <c r="AO376" s="8"/>
      <c r="AP376" s="8"/>
      <c r="AQ376" s="8"/>
    </row>
    <row r="377" spans="1:43" x14ac:dyDescent="0.15">
      <c r="A377" s="8"/>
      <c r="B377" s="8"/>
      <c r="C377" s="8"/>
      <c r="D377" s="8"/>
      <c r="E377" s="9"/>
      <c r="F377" s="8"/>
      <c r="G377" s="10"/>
      <c r="H377" s="11"/>
      <c r="I377" s="8"/>
      <c r="J377" s="9"/>
      <c r="K377" s="8"/>
      <c r="L377" s="9"/>
      <c r="M377" s="8"/>
      <c r="N377" s="11"/>
      <c r="O377" s="8"/>
      <c r="P377" s="9"/>
      <c r="Q377" s="8"/>
      <c r="R377" s="9"/>
      <c r="S377" s="8"/>
      <c r="T377" s="8"/>
      <c r="U377" s="8"/>
      <c r="V377" s="11"/>
      <c r="W377" s="8"/>
      <c r="X377" s="8"/>
      <c r="Y377" s="9"/>
      <c r="Z377" s="8"/>
      <c r="AA377" s="8"/>
      <c r="AB377" s="8"/>
      <c r="AC377" s="11"/>
      <c r="AD377" s="8"/>
      <c r="AE377" s="9"/>
      <c r="AF377" s="8"/>
      <c r="AG377" s="9"/>
      <c r="AH377" s="8"/>
      <c r="AI377" s="8"/>
      <c r="AJ377" s="8"/>
      <c r="AK377" s="11"/>
      <c r="AL377" s="8"/>
      <c r="AM377" s="8"/>
      <c r="AN377" s="9"/>
      <c r="AO377" s="8"/>
      <c r="AP377" s="8"/>
      <c r="AQ377" s="8"/>
    </row>
    <row r="378" spans="1:43" x14ac:dyDescent="0.15">
      <c r="A378" s="8"/>
      <c r="B378" s="8"/>
      <c r="C378" s="8"/>
      <c r="D378" s="8"/>
      <c r="E378" s="9"/>
      <c r="F378" s="8"/>
      <c r="G378" s="10"/>
      <c r="H378" s="11"/>
      <c r="I378" s="8"/>
      <c r="J378" s="9"/>
      <c r="K378" s="8"/>
      <c r="L378" s="9"/>
      <c r="M378" s="8"/>
      <c r="N378" s="11"/>
      <c r="O378" s="8"/>
      <c r="P378" s="9"/>
      <c r="Q378" s="8"/>
      <c r="R378" s="9"/>
      <c r="S378" s="8"/>
      <c r="T378" s="8"/>
      <c r="U378" s="8"/>
      <c r="V378" s="11"/>
      <c r="W378" s="8"/>
      <c r="X378" s="8"/>
      <c r="Y378" s="9"/>
      <c r="Z378" s="8"/>
      <c r="AA378" s="8"/>
      <c r="AB378" s="8"/>
      <c r="AC378" s="11"/>
      <c r="AD378" s="8"/>
      <c r="AE378" s="9"/>
      <c r="AF378" s="8"/>
      <c r="AG378" s="9"/>
      <c r="AH378" s="8"/>
      <c r="AI378" s="8"/>
      <c r="AJ378" s="8"/>
      <c r="AK378" s="11"/>
      <c r="AL378" s="8"/>
      <c r="AM378" s="8"/>
      <c r="AN378" s="9"/>
      <c r="AO378" s="8"/>
      <c r="AP378" s="8"/>
      <c r="AQ378" s="8"/>
    </row>
    <row r="379" spans="1:43" x14ac:dyDescent="0.15">
      <c r="A379" s="8"/>
      <c r="B379" s="8"/>
      <c r="C379" s="8"/>
      <c r="D379" s="8"/>
      <c r="E379" s="9"/>
      <c r="F379" s="8"/>
      <c r="G379" s="10"/>
      <c r="H379" s="11"/>
      <c r="I379" s="8"/>
      <c r="J379" s="9"/>
      <c r="K379" s="8"/>
      <c r="L379" s="9"/>
      <c r="M379" s="8"/>
      <c r="N379" s="11"/>
      <c r="O379" s="8"/>
      <c r="P379" s="9"/>
      <c r="Q379" s="8"/>
      <c r="R379" s="9"/>
      <c r="S379" s="8"/>
      <c r="T379" s="8"/>
      <c r="U379" s="8"/>
      <c r="V379" s="132"/>
      <c r="W379" s="8"/>
      <c r="X379" s="8"/>
      <c r="Y379" s="9"/>
      <c r="Z379" s="8"/>
      <c r="AA379" s="8"/>
      <c r="AB379" s="8"/>
      <c r="AC379" s="11"/>
      <c r="AD379" s="8"/>
      <c r="AE379" s="9"/>
      <c r="AF379" s="8"/>
      <c r="AG379" s="9"/>
      <c r="AH379" s="8"/>
      <c r="AI379" s="8"/>
      <c r="AJ379" s="8"/>
      <c r="AK379" s="132"/>
      <c r="AL379" s="8"/>
      <c r="AM379" s="8"/>
      <c r="AN379" s="9"/>
      <c r="AO379" s="8"/>
      <c r="AP379" s="8"/>
      <c r="AQ379" s="8"/>
    </row>
    <row r="380" spans="1:43" x14ac:dyDescent="0.15">
      <c r="A380" s="8"/>
      <c r="B380" s="8"/>
      <c r="C380" s="8"/>
      <c r="D380" s="8"/>
      <c r="E380" s="9"/>
      <c r="F380" s="8"/>
      <c r="G380" s="10"/>
      <c r="H380" s="11"/>
      <c r="I380" s="8"/>
      <c r="J380" s="9"/>
      <c r="K380" s="8"/>
      <c r="L380" s="9"/>
      <c r="M380" s="8"/>
      <c r="N380" s="11"/>
      <c r="O380" s="8"/>
      <c r="P380" s="9"/>
      <c r="Q380" s="8"/>
      <c r="R380" s="9"/>
      <c r="S380" s="8"/>
      <c r="T380" s="8"/>
      <c r="U380" s="8"/>
      <c r="V380" s="132"/>
      <c r="W380" s="8"/>
      <c r="X380" s="8"/>
      <c r="Y380" s="9"/>
      <c r="Z380" s="8"/>
      <c r="AA380" s="8"/>
      <c r="AB380" s="8"/>
      <c r="AC380" s="11"/>
      <c r="AD380" s="8"/>
      <c r="AE380" s="9"/>
      <c r="AF380" s="8"/>
      <c r="AG380" s="9"/>
      <c r="AH380" s="8"/>
      <c r="AI380" s="8"/>
      <c r="AJ380" s="8"/>
      <c r="AK380" s="132"/>
      <c r="AL380" s="8"/>
      <c r="AM380" s="8"/>
      <c r="AN380" s="9"/>
      <c r="AO380" s="8"/>
      <c r="AP380" s="8"/>
      <c r="AQ380" s="8"/>
    </row>
    <row r="381" spans="1:43" x14ac:dyDescent="0.15">
      <c r="A381" s="8"/>
      <c r="B381" s="8"/>
      <c r="C381" s="8"/>
      <c r="D381" s="8"/>
      <c r="E381" s="9"/>
      <c r="F381" s="8"/>
      <c r="G381" s="10"/>
      <c r="H381" s="11"/>
      <c r="I381" s="8"/>
      <c r="J381" s="9"/>
      <c r="K381" s="8"/>
      <c r="L381" s="9"/>
      <c r="M381" s="8"/>
      <c r="N381" s="11"/>
      <c r="O381" s="8"/>
      <c r="P381" s="9"/>
      <c r="Q381" s="8"/>
      <c r="R381" s="9"/>
      <c r="S381" s="8"/>
      <c r="T381" s="8"/>
      <c r="U381" s="8"/>
      <c r="V381" s="132"/>
      <c r="W381" s="8"/>
      <c r="X381" s="8"/>
      <c r="Y381" s="9"/>
      <c r="Z381" s="8"/>
      <c r="AA381" s="8"/>
      <c r="AB381" s="8"/>
      <c r="AC381" s="11"/>
      <c r="AD381" s="8"/>
      <c r="AE381" s="9"/>
      <c r="AF381" s="8"/>
      <c r="AG381" s="9"/>
      <c r="AH381" s="8"/>
      <c r="AI381" s="8"/>
      <c r="AJ381" s="8"/>
      <c r="AK381" s="132"/>
      <c r="AL381" s="8"/>
      <c r="AM381" s="8"/>
      <c r="AN381" s="9"/>
      <c r="AO381" s="8"/>
      <c r="AP381" s="8"/>
      <c r="AQ381" s="8"/>
    </row>
    <row r="382" spans="1:43" x14ac:dyDescent="0.15">
      <c r="A382" s="8"/>
      <c r="B382" s="8"/>
      <c r="C382" s="8"/>
      <c r="D382" s="8"/>
      <c r="E382" s="9"/>
      <c r="F382" s="8"/>
      <c r="G382" s="10"/>
      <c r="H382" s="11"/>
      <c r="I382" s="8"/>
      <c r="J382" s="9"/>
      <c r="K382" s="8"/>
      <c r="L382" s="9"/>
      <c r="M382" s="8"/>
      <c r="N382" s="11"/>
      <c r="O382" s="8"/>
      <c r="P382" s="9"/>
      <c r="Q382" s="8"/>
      <c r="R382" s="9"/>
      <c r="S382" s="8"/>
      <c r="T382" s="8"/>
      <c r="U382" s="8"/>
      <c r="V382" s="11"/>
      <c r="W382" s="8"/>
      <c r="X382" s="8"/>
      <c r="Y382" s="9"/>
      <c r="Z382" s="8"/>
      <c r="AA382" s="8"/>
      <c r="AB382" s="8"/>
      <c r="AC382" s="11"/>
      <c r="AD382" s="8"/>
      <c r="AE382" s="9"/>
      <c r="AF382" s="8"/>
      <c r="AG382" s="9"/>
      <c r="AH382" s="8"/>
      <c r="AI382" s="8"/>
      <c r="AJ382" s="8"/>
      <c r="AK382" s="11"/>
      <c r="AL382" s="8"/>
      <c r="AM382" s="8"/>
      <c r="AN382" s="9"/>
      <c r="AO382" s="8"/>
      <c r="AP382" s="8"/>
      <c r="AQ382" s="8"/>
    </row>
    <row r="383" spans="1:43" x14ac:dyDescent="0.15">
      <c r="A383" s="8"/>
      <c r="B383" s="8"/>
      <c r="C383" s="8"/>
      <c r="D383" s="8"/>
      <c r="E383" s="9"/>
      <c r="F383" s="8"/>
      <c r="G383" s="10"/>
      <c r="H383" s="11"/>
      <c r="I383" s="8"/>
      <c r="J383" s="9"/>
      <c r="K383" s="8"/>
      <c r="L383" s="9"/>
      <c r="M383" s="8"/>
      <c r="N383" s="11"/>
      <c r="O383" s="8"/>
      <c r="P383" s="9"/>
      <c r="Q383" s="8"/>
      <c r="R383" s="9"/>
      <c r="S383" s="8"/>
      <c r="T383" s="8"/>
      <c r="U383" s="8"/>
      <c r="V383" s="11"/>
      <c r="W383" s="8"/>
      <c r="X383" s="8"/>
      <c r="Y383" s="9"/>
      <c r="Z383" s="8"/>
      <c r="AA383" s="8"/>
      <c r="AB383" s="8"/>
      <c r="AC383" s="11"/>
      <c r="AD383" s="8"/>
      <c r="AE383" s="9"/>
      <c r="AF383" s="8"/>
      <c r="AG383" s="9"/>
      <c r="AH383" s="8"/>
      <c r="AI383" s="8"/>
      <c r="AJ383" s="8"/>
      <c r="AK383" s="11"/>
      <c r="AL383" s="8"/>
      <c r="AM383" s="8"/>
      <c r="AN383" s="9"/>
      <c r="AO383" s="8"/>
      <c r="AP383" s="8"/>
      <c r="AQ383" s="8"/>
    </row>
    <row r="384" spans="1:43" x14ac:dyDescent="0.15">
      <c r="A384" s="8"/>
      <c r="B384" s="8"/>
      <c r="C384" s="8"/>
      <c r="D384" s="8"/>
      <c r="E384" s="9"/>
      <c r="F384" s="8"/>
      <c r="G384" s="10"/>
      <c r="H384" s="11"/>
      <c r="I384" s="8"/>
      <c r="J384" s="9"/>
      <c r="K384" s="8"/>
      <c r="L384" s="9"/>
      <c r="M384" s="8"/>
      <c r="N384" s="11"/>
      <c r="O384" s="8"/>
      <c r="P384" s="9"/>
      <c r="Q384" s="8"/>
      <c r="R384" s="9"/>
      <c r="S384" s="8"/>
      <c r="T384" s="8"/>
      <c r="U384" s="8"/>
      <c r="V384" s="132"/>
      <c r="W384" s="8"/>
      <c r="X384" s="8"/>
      <c r="Y384" s="9"/>
      <c r="Z384" s="8"/>
      <c r="AA384" s="8"/>
      <c r="AB384" s="8"/>
      <c r="AC384" s="11"/>
      <c r="AD384" s="8"/>
      <c r="AE384" s="9"/>
      <c r="AF384" s="8"/>
      <c r="AG384" s="9"/>
      <c r="AH384" s="8"/>
      <c r="AI384" s="8"/>
      <c r="AJ384" s="8"/>
      <c r="AK384" s="132"/>
      <c r="AL384" s="8"/>
      <c r="AM384" s="8"/>
      <c r="AN384" s="9"/>
      <c r="AO384" s="8"/>
      <c r="AP384" s="8"/>
      <c r="AQ384" s="8"/>
    </row>
    <row r="385" spans="1:43" x14ac:dyDescent="0.15">
      <c r="A385" s="8"/>
      <c r="B385" s="8"/>
      <c r="C385" s="8"/>
      <c r="D385" s="8"/>
      <c r="E385" s="9"/>
      <c r="F385" s="8"/>
      <c r="G385" s="10"/>
      <c r="H385" s="11"/>
      <c r="I385" s="8"/>
      <c r="J385" s="9"/>
      <c r="K385" s="8"/>
      <c r="L385" s="9"/>
      <c r="M385" s="8"/>
      <c r="N385" s="11"/>
      <c r="O385" s="8"/>
      <c r="P385" s="9"/>
      <c r="Q385" s="8"/>
      <c r="R385" s="9"/>
      <c r="S385" s="8"/>
      <c r="T385" s="8"/>
      <c r="U385" s="8"/>
      <c r="V385" s="11"/>
      <c r="W385" s="8"/>
      <c r="X385" s="8"/>
      <c r="Y385" s="9"/>
      <c r="Z385" s="8"/>
      <c r="AA385" s="8"/>
      <c r="AB385" s="8"/>
      <c r="AC385" s="11"/>
      <c r="AD385" s="8"/>
      <c r="AE385" s="9"/>
      <c r="AF385" s="8"/>
      <c r="AG385" s="9"/>
      <c r="AH385" s="8"/>
      <c r="AI385" s="8"/>
      <c r="AJ385" s="8"/>
      <c r="AK385" s="11"/>
      <c r="AL385" s="8"/>
      <c r="AM385" s="8"/>
      <c r="AN385" s="9"/>
      <c r="AO385" s="8"/>
      <c r="AP385" s="8"/>
      <c r="AQ385" s="8"/>
    </row>
    <row r="386" spans="1:43" x14ac:dyDescent="0.15">
      <c r="A386" s="8"/>
      <c r="B386" s="8"/>
      <c r="C386" s="8"/>
      <c r="D386" s="8"/>
      <c r="E386" s="9"/>
      <c r="F386" s="8"/>
      <c r="G386" s="10"/>
      <c r="H386" s="132"/>
      <c r="I386" s="8"/>
      <c r="J386" s="9"/>
      <c r="K386" s="8"/>
      <c r="L386" s="9"/>
      <c r="M386" s="8"/>
      <c r="N386" s="132"/>
      <c r="O386" s="8"/>
      <c r="P386" s="9"/>
      <c r="Q386" s="8"/>
      <c r="R386" s="9"/>
      <c r="S386" s="8"/>
      <c r="T386" s="8"/>
      <c r="U386" s="8"/>
      <c r="V386" s="11"/>
      <c r="W386" s="8"/>
      <c r="X386" s="8"/>
      <c r="Y386" s="9"/>
      <c r="Z386" s="8"/>
      <c r="AA386" s="8"/>
      <c r="AB386" s="8"/>
      <c r="AC386" s="132"/>
      <c r="AD386" s="8"/>
      <c r="AE386" s="9"/>
      <c r="AF386" s="8"/>
      <c r="AG386" s="9"/>
      <c r="AH386" s="8"/>
      <c r="AI386" s="8"/>
      <c r="AJ386" s="8"/>
      <c r="AK386" s="11"/>
      <c r="AL386" s="8"/>
      <c r="AM386" s="8"/>
      <c r="AN386" s="9"/>
      <c r="AO386" s="8"/>
      <c r="AP386" s="8"/>
      <c r="AQ386" s="8"/>
    </row>
    <row r="387" spans="1:43" x14ac:dyDescent="0.15">
      <c r="A387" s="8"/>
      <c r="B387" s="8"/>
      <c r="C387" s="8"/>
      <c r="D387" s="8"/>
      <c r="E387" s="9"/>
      <c r="F387" s="8"/>
      <c r="G387" s="10"/>
      <c r="H387" s="11"/>
      <c r="I387" s="8"/>
      <c r="J387" s="9"/>
      <c r="K387" s="8"/>
      <c r="L387" s="9"/>
      <c r="M387" s="8"/>
      <c r="N387" s="11"/>
      <c r="O387" s="8"/>
      <c r="P387" s="9"/>
      <c r="Q387" s="8"/>
      <c r="R387" s="9"/>
      <c r="S387" s="8"/>
      <c r="T387" s="8"/>
      <c r="U387" s="8"/>
      <c r="V387" s="132"/>
      <c r="W387" s="8"/>
      <c r="X387" s="8"/>
      <c r="Y387" s="9"/>
      <c r="Z387" s="8"/>
      <c r="AA387" s="8"/>
      <c r="AB387" s="8"/>
      <c r="AC387" s="11"/>
      <c r="AD387" s="8"/>
      <c r="AE387" s="9"/>
      <c r="AF387" s="8"/>
      <c r="AG387" s="9"/>
      <c r="AH387" s="8"/>
      <c r="AI387" s="8"/>
      <c r="AJ387" s="8"/>
      <c r="AK387" s="132"/>
      <c r="AL387" s="8"/>
      <c r="AM387" s="8"/>
      <c r="AN387" s="9"/>
      <c r="AO387" s="8"/>
      <c r="AP387" s="8"/>
      <c r="AQ387" s="8"/>
    </row>
    <row r="388" spans="1:43" x14ac:dyDescent="0.15">
      <c r="A388" s="8"/>
      <c r="B388" s="8"/>
      <c r="C388" s="8"/>
      <c r="D388" s="8"/>
      <c r="E388" s="9"/>
      <c r="F388" s="8"/>
      <c r="G388" s="10"/>
      <c r="H388" s="132"/>
      <c r="I388" s="8"/>
      <c r="J388" s="9"/>
      <c r="K388" s="8"/>
      <c r="L388" s="9"/>
      <c r="M388" s="8"/>
      <c r="N388" s="132"/>
      <c r="O388" s="8"/>
      <c r="P388" s="9"/>
      <c r="Q388" s="8"/>
      <c r="R388" s="9"/>
      <c r="S388" s="8"/>
      <c r="T388" s="8"/>
      <c r="U388" s="8"/>
      <c r="V388" s="132"/>
      <c r="W388" s="8"/>
      <c r="X388" s="8"/>
      <c r="Y388" s="9"/>
      <c r="Z388" s="8"/>
      <c r="AA388" s="8"/>
      <c r="AB388" s="8"/>
      <c r="AC388" s="132"/>
      <c r="AD388" s="8"/>
      <c r="AE388" s="9"/>
      <c r="AF388" s="8"/>
      <c r="AG388" s="9"/>
      <c r="AH388" s="8"/>
      <c r="AI388" s="8"/>
      <c r="AJ388" s="8"/>
      <c r="AK388" s="132"/>
      <c r="AL388" s="8"/>
      <c r="AM388" s="8"/>
      <c r="AN388" s="9"/>
      <c r="AO388" s="8"/>
      <c r="AP388" s="8"/>
      <c r="AQ388" s="8"/>
    </row>
    <row r="389" spans="1:43" x14ac:dyDescent="0.15">
      <c r="A389" s="8"/>
      <c r="B389" s="8"/>
      <c r="C389" s="8"/>
      <c r="D389" s="8"/>
      <c r="E389" s="9"/>
      <c r="F389" s="8"/>
      <c r="G389" s="10"/>
      <c r="H389" s="132"/>
      <c r="I389" s="8"/>
      <c r="J389" s="9"/>
      <c r="K389" s="8"/>
      <c r="L389" s="9"/>
      <c r="M389" s="8"/>
      <c r="N389" s="132"/>
      <c r="O389" s="8"/>
      <c r="P389" s="9"/>
      <c r="Q389" s="8"/>
      <c r="R389" s="9"/>
      <c r="S389" s="8"/>
      <c r="T389" s="8"/>
      <c r="U389" s="8"/>
      <c r="V389" s="132"/>
      <c r="W389" s="8"/>
      <c r="X389" s="8"/>
      <c r="Y389" s="9"/>
      <c r="Z389" s="8"/>
      <c r="AA389" s="8"/>
      <c r="AB389" s="8"/>
      <c r="AC389" s="132"/>
      <c r="AD389" s="8"/>
      <c r="AE389" s="9"/>
      <c r="AF389" s="8"/>
      <c r="AG389" s="9"/>
      <c r="AH389" s="8"/>
      <c r="AI389" s="8"/>
      <c r="AJ389" s="8"/>
      <c r="AK389" s="132"/>
      <c r="AL389" s="8"/>
      <c r="AM389" s="8"/>
      <c r="AN389" s="9"/>
      <c r="AO389" s="8"/>
      <c r="AP389" s="8"/>
      <c r="AQ389" s="8"/>
    </row>
    <row r="390" spans="1:43" x14ac:dyDescent="0.15">
      <c r="A390" s="8"/>
      <c r="B390" s="8"/>
      <c r="C390" s="8"/>
      <c r="D390" s="8"/>
      <c r="E390" s="9"/>
      <c r="F390" s="8"/>
      <c r="G390" s="10"/>
      <c r="H390" s="132"/>
      <c r="I390" s="8"/>
      <c r="J390" s="9"/>
      <c r="K390" s="8"/>
      <c r="L390" s="9"/>
      <c r="M390" s="8"/>
      <c r="N390" s="132"/>
      <c r="O390" s="8"/>
      <c r="P390" s="9"/>
      <c r="Q390" s="8"/>
      <c r="R390" s="9"/>
      <c r="S390" s="8"/>
      <c r="T390" s="8"/>
      <c r="U390" s="8"/>
      <c r="V390" s="11"/>
      <c r="W390" s="8"/>
      <c r="X390" s="8"/>
      <c r="Y390" s="9"/>
      <c r="Z390" s="8"/>
      <c r="AA390" s="8"/>
      <c r="AB390" s="8"/>
      <c r="AC390" s="132"/>
      <c r="AD390" s="8"/>
      <c r="AE390" s="9"/>
      <c r="AF390" s="8"/>
      <c r="AG390" s="9"/>
      <c r="AH390" s="8"/>
      <c r="AI390" s="8"/>
      <c r="AJ390" s="8"/>
      <c r="AK390" s="11"/>
      <c r="AL390" s="8"/>
      <c r="AM390" s="8"/>
      <c r="AN390" s="9"/>
      <c r="AO390" s="8"/>
      <c r="AP390" s="8"/>
      <c r="AQ390" s="8"/>
    </row>
    <row r="391" spans="1:43" x14ac:dyDescent="0.15">
      <c r="A391" s="8"/>
      <c r="B391" s="8"/>
      <c r="C391" s="8"/>
      <c r="D391" s="8"/>
      <c r="E391" s="9"/>
      <c r="F391" s="8"/>
      <c r="G391" s="10"/>
      <c r="H391" s="132"/>
      <c r="I391" s="8"/>
      <c r="J391" s="9"/>
      <c r="K391" s="8"/>
      <c r="L391" s="9"/>
      <c r="M391" s="8"/>
      <c r="N391" s="132"/>
      <c r="O391" s="8"/>
      <c r="P391" s="9"/>
      <c r="Q391" s="8"/>
      <c r="R391" s="9"/>
      <c r="S391" s="8"/>
      <c r="T391" s="8"/>
      <c r="U391" s="8"/>
      <c r="V391" s="132"/>
      <c r="W391" s="8"/>
      <c r="X391" s="8"/>
      <c r="Y391" s="9"/>
      <c r="Z391" s="8"/>
      <c r="AA391" s="8"/>
      <c r="AB391" s="8"/>
      <c r="AC391" s="132"/>
      <c r="AD391" s="8"/>
      <c r="AE391" s="9"/>
      <c r="AF391" s="8"/>
      <c r="AG391" s="9"/>
      <c r="AH391" s="8"/>
      <c r="AI391" s="8"/>
      <c r="AJ391" s="8"/>
      <c r="AK391" s="132"/>
      <c r="AL391" s="8"/>
      <c r="AM391" s="8"/>
      <c r="AN391" s="9"/>
      <c r="AO391" s="8"/>
      <c r="AP391" s="8"/>
      <c r="AQ391" s="8"/>
    </row>
    <row r="392" spans="1:43" x14ac:dyDescent="0.15">
      <c r="A392" s="8"/>
      <c r="B392" s="8"/>
      <c r="C392" s="8"/>
      <c r="D392" s="8"/>
      <c r="E392" s="9"/>
      <c r="F392" s="8"/>
      <c r="G392" s="10"/>
      <c r="H392" s="11"/>
      <c r="I392" s="8"/>
      <c r="J392" s="9"/>
      <c r="K392" s="8"/>
      <c r="L392" s="9"/>
      <c r="M392" s="8"/>
      <c r="N392" s="11"/>
      <c r="O392" s="8"/>
      <c r="P392" s="9"/>
      <c r="Q392" s="8"/>
      <c r="R392" s="9"/>
      <c r="S392" s="8"/>
      <c r="T392" s="8"/>
      <c r="U392" s="8"/>
      <c r="V392" s="11"/>
      <c r="W392" s="8"/>
      <c r="X392" s="8"/>
      <c r="Y392" s="9"/>
      <c r="Z392" s="8"/>
      <c r="AA392" s="8"/>
      <c r="AB392" s="8"/>
      <c r="AC392" s="11"/>
      <c r="AD392" s="8"/>
      <c r="AE392" s="9"/>
      <c r="AF392" s="8"/>
      <c r="AG392" s="9"/>
      <c r="AH392" s="8"/>
      <c r="AI392" s="8"/>
      <c r="AJ392" s="8"/>
      <c r="AK392" s="11"/>
      <c r="AL392" s="8"/>
      <c r="AM392" s="8"/>
      <c r="AN392" s="9"/>
      <c r="AO392" s="8"/>
      <c r="AP392" s="8"/>
      <c r="AQ392" s="8"/>
    </row>
    <row r="393" spans="1:43" x14ac:dyDescent="0.15">
      <c r="A393" s="8"/>
      <c r="B393" s="8"/>
      <c r="C393" s="8"/>
      <c r="D393" s="8"/>
      <c r="E393" s="9"/>
      <c r="F393" s="8"/>
      <c r="G393" s="10"/>
      <c r="H393" s="11"/>
      <c r="I393" s="8"/>
      <c r="J393" s="9"/>
      <c r="K393" s="8"/>
      <c r="L393" s="9"/>
      <c r="M393" s="8"/>
      <c r="N393" s="11"/>
      <c r="O393" s="8"/>
      <c r="P393" s="9"/>
      <c r="Q393" s="8"/>
      <c r="R393" s="9"/>
      <c r="S393" s="8"/>
      <c r="T393" s="8"/>
      <c r="U393" s="8"/>
      <c r="V393" s="11"/>
      <c r="W393" s="8"/>
      <c r="X393" s="8"/>
      <c r="Y393" s="9"/>
      <c r="Z393" s="8"/>
      <c r="AA393" s="8"/>
      <c r="AB393" s="8"/>
      <c r="AC393" s="11"/>
      <c r="AD393" s="8"/>
      <c r="AE393" s="9"/>
      <c r="AF393" s="8"/>
      <c r="AG393" s="9"/>
      <c r="AH393" s="8"/>
      <c r="AI393" s="8"/>
      <c r="AJ393" s="8"/>
      <c r="AK393" s="11"/>
      <c r="AL393" s="8"/>
      <c r="AM393" s="8"/>
      <c r="AN393" s="9"/>
      <c r="AO393" s="8"/>
      <c r="AP393" s="8"/>
      <c r="AQ393" s="8"/>
    </row>
    <row r="394" spans="1:43" x14ac:dyDescent="0.15">
      <c r="A394" s="8"/>
      <c r="B394" s="8"/>
      <c r="C394" s="8"/>
      <c r="D394" s="8"/>
      <c r="E394" s="9"/>
      <c r="F394" s="8"/>
      <c r="G394" s="10"/>
      <c r="H394" s="11"/>
      <c r="I394" s="8"/>
      <c r="J394" s="9"/>
      <c r="K394" s="8"/>
      <c r="L394" s="9"/>
      <c r="M394" s="8"/>
      <c r="N394" s="11"/>
      <c r="O394" s="8"/>
      <c r="P394" s="9"/>
      <c r="Q394" s="8"/>
      <c r="R394" s="9"/>
      <c r="S394" s="8"/>
      <c r="T394" s="8"/>
      <c r="U394" s="8"/>
      <c r="V394" s="11"/>
      <c r="W394" s="8"/>
      <c r="X394" s="8"/>
      <c r="Y394" s="9"/>
      <c r="Z394" s="8"/>
      <c r="AA394" s="8"/>
      <c r="AB394" s="8"/>
      <c r="AC394" s="11"/>
      <c r="AD394" s="8"/>
      <c r="AE394" s="9"/>
      <c r="AF394" s="8"/>
      <c r="AG394" s="9"/>
      <c r="AH394" s="8"/>
      <c r="AI394" s="8"/>
      <c r="AJ394" s="8"/>
      <c r="AK394" s="11"/>
      <c r="AL394" s="8"/>
      <c r="AM394" s="8"/>
      <c r="AN394" s="9"/>
      <c r="AO394" s="8"/>
      <c r="AP394" s="8"/>
      <c r="AQ394" s="8"/>
    </row>
    <row r="395" spans="1:43" x14ac:dyDescent="0.15">
      <c r="A395" s="8"/>
      <c r="B395" s="8"/>
      <c r="C395" s="8"/>
      <c r="D395" s="8"/>
      <c r="E395" s="9"/>
      <c r="F395" s="8"/>
      <c r="G395" s="10"/>
      <c r="H395" s="11"/>
      <c r="I395" s="8"/>
      <c r="J395" s="9"/>
      <c r="K395" s="8"/>
      <c r="L395" s="9"/>
      <c r="M395" s="8"/>
      <c r="N395" s="11"/>
      <c r="O395" s="8"/>
      <c r="P395" s="9"/>
      <c r="Q395" s="8"/>
      <c r="R395" s="9"/>
      <c r="S395" s="8"/>
      <c r="T395" s="8"/>
      <c r="U395" s="8"/>
      <c r="V395" s="11"/>
      <c r="W395" s="8"/>
      <c r="X395" s="8"/>
      <c r="Y395" s="9"/>
      <c r="Z395" s="8"/>
      <c r="AA395" s="8"/>
      <c r="AB395" s="8"/>
      <c r="AC395" s="11"/>
      <c r="AD395" s="8"/>
      <c r="AE395" s="9"/>
      <c r="AF395" s="8"/>
      <c r="AG395" s="9"/>
      <c r="AH395" s="8"/>
      <c r="AI395" s="8"/>
      <c r="AJ395" s="8"/>
      <c r="AK395" s="11"/>
      <c r="AL395" s="8"/>
      <c r="AM395" s="8"/>
      <c r="AN395" s="9"/>
      <c r="AO395" s="8"/>
      <c r="AP395" s="8"/>
      <c r="AQ395" s="8"/>
    </row>
    <row r="396" spans="1:43" x14ac:dyDescent="0.15">
      <c r="A396" s="8"/>
      <c r="B396" s="8"/>
      <c r="C396" s="8"/>
      <c r="D396" s="8"/>
      <c r="E396" s="9"/>
      <c r="F396" s="8"/>
      <c r="G396" s="10"/>
      <c r="H396" s="11"/>
      <c r="I396" s="8"/>
      <c r="J396" s="9"/>
      <c r="K396" s="8"/>
      <c r="L396" s="9"/>
      <c r="M396" s="8"/>
      <c r="N396" s="11"/>
      <c r="O396" s="8"/>
      <c r="P396" s="9"/>
      <c r="Q396" s="8"/>
      <c r="R396" s="9"/>
      <c r="S396" s="8"/>
      <c r="T396" s="8"/>
      <c r="U396" s="8"/>
      <c r="V396" s="11"/>
      <c r="W396" s="8"/>
      <c r="X396" s="8"/>
      <c r="Y396" s="9"/>
      <c r="Z396" s="8"/>
      <c r="AA396" s="8"/>
      <c r="AB396" s="8"/>
      <c r="AC396" s="11"/>
      <c r="AD396" s="8"/>
      <c r="AE396" s="9"/>
      <c r="AF396" s="8"/>
      <c r="AG396" s="9"/>
      <c r="AH396" s="8"/>
      <c r="AI396" s="8"/>
      <c r="AJ396" s="8"/>
      <c r="AK396" s="11"/>
      <c r="AL396" s="8"/>
      <c r="AM396" s="8"/>
      <c r="AN396" s="9"/>
      <c r="AO396" s="8"/>
      <c r="AP396" s="8"/>
      <c r="AQ396" s="8"/>
    </row>
    <row r="397" spans="1:43" x14ac:dyDescent="0.15">
      <c r="A397" s="8"/>
      <c r="B397" s="8"/>
      <c r="C397" s="8"/>
      <c r="D397" s="8"/>
      <c r="E397" s="9"/>
      <c r="F397" s="8"/>
      <c r="G397" s="10"/>
      <c r="H397" s="11"/>
      <c r="I397" s="8"/>
      <c r="J397" s="9"/>
      <c r="K397" s="8"/>
      <c r="L397" s="9"/>
      <c r="M397" s="8"/>
      <c r="N397" s="11"/>
      <c r="O397" s="8"/>
      <c r="P397" s="9"/>
      <c r="Q397" s="8"/>
      <c r="R397" s="9"/>
      <c r="S397" s="8"/>
      <c r="T397" s="8"/>
      <c r="U397" s="8"/>
      <c r="V397" s="11"/>
      <c r="W397" s="8"/>
      <c r="X397" s="8"/>
      <c r="Y397" s="9"/>
      <c r="Z397" s="8"/>
      <c r="AA397" s="8"/>
      <c r="AB397" s="8"/>
      <c r="AC397" s="11"/>
      <c r="AD397" s="8"/>
      <c r="AE397" s="9"/>
      <c r="AF397" s="8"/>
      <c r="AG397" s="9"/>
      <c r="AH397" s="8"/>
      <c r="AI397" s="8"/>
      <c r="AJ397" s="8"/>
      <c r="AK397" s="11"/>
      <c r="AL397" s="8"/>
      <c r="AM397" s="8"/>
      <c r="AN397" s="9"/>
      <c r="AO397" s="8"/>
      <c r="AP397" s="8"/>
      <c r="AQ397" s="8"/>
    </row>
    <row r="398" spans="1:43" x14ac:dyDescent="0.15">
      <c r="A398" s="8"/>
      <c r="B398" s="8"/>
      <c r="C398" s="8"/>
      <c r="D398" s="8"/>
      <c r="E398" s="9"/>
      <c r="F398" s="8"/>
      <c r="G398" s="10"/>
      <c r="H398" s="11"/>
      <c r="I398" s="8"/>
      <c r="J398" s="9"/>
      <c r="K398" s="8"/>
      <c r="L398" s="9"/>
      <c r="M398" s="8"/>
      <c r="N398" s="11"/>
      <c r="O398" s="8"/>
      <c r="P398" s="9"/>
      <c r="Q398" s="8"/>
      <c r="R398" s="9"/>
      <c r="S398" s="8"/>
      <c r="T398" s="8"/>
      <c r="U398" s="8"/>
      <c r="V398" s="11"/>
      <c r="W398" s="8"/>
      <c r="X398" s="8"/>
      <c r="Y398" s="9"/>
      <c r="Z398" s="8"/>
      <c r="AA398" s="8"/>
      <c r="AB398" s="8"/>
      <c r="AC398" s="11"/>
      <c r="AD398" s="8"/>
      <c r="AE398" s="9"/>
      <c r="AF398" s="8"/>
      <c r="AG398" s="9"/>
      <c r="AH398" s="8"/>
      <c r="AI398" s="8"/>
      <c r="AJ398" s="8"/>
      <c r="AK398" s="11"/>
      <c r="AL398" s="8"/>
      <c r="AM398" s="8"/>
      <c r="AN398" s="9"/>
      <c r="AO398" s="8"/>
      <c r="AP398" s="8"/>
      <c r="AQ398" s="8"/>
    </row>
    <row r="399" spans="1:43" x14ac:dyDescent="0.15">
      <c r="A399" s="8"/>
      <c r="B399" s="8"/>
      <c r="C399" s="8"/>
      <c r="D399" s="8"/>
      <c r="E399" s="9"/>
      <c r="F399" s="8"/>
      <c r="G399" s="10"/>
      <c r="H399" s="11"/>
      <c r="I399" s="8"/>
      <c r="J399" s="9"/>
      <c r="K399" s="8"/>
      <c r="L399" s="9"/>
      <c r="M399" s="8"/>
      <c r="N399" s="11"/>
      <c r="O399" s="8"/>
      <c r="P399" s="9"/>
      <c r="Q399" s="8"/>
      <c r="R399" s="9"/>
      <c r="S399" s="8"/>
      <c r="T399" s="8"/>
      <c r="U399" s="8"/>
      <c r="V399" s="11"/>
      <c r="W399" s="8"/>
      <c r="X399" s="8"/>
      <c r="Y399" s="9"/>
      <c r="Z399" s="8"/>
      <c r="AA399" s="8"/>
      <c r="AB399" s="8"/>
      <c r="AC399" s="11"/>
      <c r="AD399" s="8"/>
      <c r="AE399" s="9"/>
      <c r="AF399" s="8"/>
      <c r="AG399" s="9"/>
      <c r="AH399" s="8"/>
      <c r="AI399" s="8"/>
      <c r="AJ399" s="8"/>
      <c r="AK399" s="11"/>
      <c r="AL399" s="8"/>
      <c r="AM399" s="8"/>
      <c r="AN399" s="9"/>
      <c r="AO399" s="8"/>
      <c r="AP399" s="8"/>
      <c r="AQ399" s="8"/>
    </row>
    <row r="400" spans="1:43" x14ac:dyDescent="0.15">
      <c r="A400" s="8"/>
      <c r="B400" s="8"/>
      <c r="C400" s="8"/>
      <c r="D400" s="8"/>
      <c r="E400" s="9"/>
      <c r="F400" s="8"/>
      <c r="G400" s="10"/>
      <c r="H400" s="11"/>
      <c r="I400" s="8"/>
      <c r="J400" s="9"/>
      <c r="K400" s="8"/>
      <c r="L400" s="9"/>
      <c r="M400" s="8"/>
      <c r="N400" s="11"/>
      <c r="O400" s="8"/>
      <c r="P400" s="9"/>
      <c r="Q400" s="8"/>
      <c r="R400" s="9"/>
      <c r="S400" s="8"/>
      <c r="T400" s="8"/>
      <c r="U400" s="8"/>
      <c r="V400" s="11"/>
      <c r="W400" s="8"/>
      <c r="X400" s="8"/>
      <c r="Y400" s="9"/>
      <c r="Z400" s="8"/>
      <c r="AA400" s="8"/>
      <c r="AB400" s="8"/>
      <c r="AC400" s="11"/>
      <c r="AD400" s="8"/>
      <c r="AE400" s="9"/>
      <c r="AF400" s="8"/>
      <c r="AG400" s="9"/>
      <c r="AH400" s="8"/>
      <c r="AI400" s="8"/>
      <c r="AJ400" s="8"/>
      <c r="AK400" s="11"/>
      <c r="AL400" s="8"/>
      <c r="AM400" s="8"/>
      <c r="AN400" s="9"/>
      <c r="AO400" s="8"/>
      <c r="AP400" s="8"/>
      <c r="AQ400" s="8"/>
    </row>
    <row r="401" spans="1:43" x14ac:dyDescent="0.15">
      <c r="A401" s="8"/>
      <c r="B401" s="8"/>
      <c r="C401" s="8"/>
      <c r="D401" s="8"/>
      <c r="E401" s="9"/>
      <c r="F401" s="8"/>
      <c r="G401" s="10"/>
      <c r="H401" s="11"/>
      <c r="I401" s="8"/>
      <c r="J401" s="9"/>
      <c r="K401" s="8"/>
      <c r="L401" s="9"/>
      <c r="M401" s="8"/>
      <c r="N401" s="11"/>
      <c r="O401" s="8"/>
      <c r="P401" s="9"/>
      <c r="Q401" s="8"/>
      <c r="R401" s="9"/>
      <c r="S401" s="8"/>
      <c r="T401" s="8"/>
      <c r="U401" s="8"/>
      <c r="V401" s="11"/>
      <c r="W401" s="8"/>
      <c r="X401" s="8"/>
      <c r="Y401" s="9"/>
      <c r="Z401" s="8"/>
      <c r="AA401" s="8"/>
      <c r="AB401" s="8"/>
      <c r="AC401" s="11"/>
      <c r="AD401" s="8"/>
      <c r="AE401" s="9"/>
      <c r="AF401" s="8"/>
      <c r="AG401" s="9"/>
      <c r="AH401" s="8"/>
      <c r="AI401" s="8"/>
      <c r="AJ401" s="8"/>
      <c r="AK401" s="11"/>
      <c r="AL401" s="8"/>
      <c r="AM401" s="8"/>
      <c r="AN401" s="9"/>
      <c r="AO401" s="8"/>
      <c r="AP401" s="8"/>
      <c r="AQ401" s="8"/>
    </row>
    <row r="402" spans="1:43" x14ac:dyDescent="0.15">
      <c r="A402" s="8"/>
      <c r="B402" s="8"/>
      <c r="C402" s="8"/>
      <c r="D402" s="8"/>
      <c r="E402" s="9"/>
      <c r="F402" s="8"/>
      <c r="G402" s="10"/>
      <c r="H402" s="11"/>
      <c r="I402" s="8"/>
      <c r="J402" s="9"/>
      <c r="K402" s="8"/>
      <c r="L402" s="9"/>
      <c r="M402" s="8"/>
      <c r="N402" s="11"/>
      <c r="O402" s="8"/>
      <c r="P402" s="9"/>
      <c r="Q402" s="8"/>
      <c r="R402" s="9"/>
      <c r="S402" s="8"/>
      <c r="T402" s="8"/>
      <c r="U402" s="8"/>
      <c r="V402" s="11"/>
      <c r="W402" s="8"/>
      <c r="X402" s="8"/>
      <c r="Y402" s="9"/>
      <c r="Z402" s="8"/>
      <c r="AA402" s="8"/>
      <c r="AB402" s="8"/>
      <c r="AC402" s="11"/>
      <c r="AD402" s="8"/>
      <c r="AE402" s="9"/>
      <c r="AF402" s="8"/>
      <c r="AG402" s="9"/>
      <c r="AH402" s="8"/>
      <c r="AI402" s="8"/>
      <c r="AJ402" s="8"/>
      <c r="AK402" s="11"/>
      <c r="AL402" s="8"/>
      <c r="AM402" s="8"/>
      <c r="AN402" s="9"/>
      <c r="AO402" s="8"/>
      <c r="AP402" s="8"/>
      <c r="AQ402" s="8"/>
    </row>
    <row r="403" spans="1:43" x14ac:dyDescent="0.15">
      <c r="A403" s="8"/>
      <c r="B403" s="8"/>
      <c r="C403" s="8"/>
      <c r="D403" s="8"/>
      <c r="E403" s="9"/>
      <c r="F403" s="8"/>
      <c r="G403" s="10"/>
      <c r="H403" s="11"/>
      <c r="I403" s="8"/>
      <c r="J403" s="9"/>
      <c r="K403" s="8"/>
      <c r="L403" s="9"/>
      <c r="M403" s="8"/>
      <c r="N403" s="11"/>
      <c r="O403" s="8"/>
      <c r="P403" s="9"/>
      <c r="Q403" s="8"/>
      <c r="R403" s="9"/>
      <c r="S403" s="8"/>
      <c r="T403" s="8"/>
      <c r="U403" s="8"/>
      <c r="V403" s="11"/>
      <c r="W403" s="8"/>
      <c r="X403" s="8"/>
      <c r="Y403" s="9"/>
      <c r="Z403" s="8"/>
      <c r="AA403" s="8"/>
      <c r="AB403" s="8"/>
      <c r="AC403" s="11"/>
      <c r="AD403" s="8"/>
      <c r="AE403" s="9"/>
      <c r="AF403" s="8"/>
      <c r="AG403" s="9"/>
      <c r="AH403" s="8"/>
      <c r="AI403" s="8"/>
      <c r="AJ403" s="8"/>
      <c r="AK403" s="11"/>
      <c r="AL403" s="8"/>
      <c r="AM403" s="8"/>
      <c r="AN403" s="9"/>
      <c r="AO403" s="8"/>
      <c r="AP403" s="8"/>
      <c r="AQ403" s="8"/>
    </row>
    <row r="404" spans="1:43" x14ac:dyDescent="0.15">
      <c r="A404" s="8"/>
      <c r="B404" s="8"/>
      <c r="C404" s="8"/>
      <c r="D404" s="8"/>
      <c r="E404" s="9"/>
      <c r="F404" s="8"/>
      <c r="G404" s="10"/>
      <c r="H404" s="11"/>
      <c r="I404" s="8"/>
      <c r="J404" s="9"/>
      <c r="K404" s="8"/>
      <c r="L404" s="9"/>
      <c r="M404" s="8"/>
      <c r="N404" s="11"/>
      <c r="O404" s="8"/>
      <c r="P404" s="9"/>
      <c r="Q404" s="8"/>
      <c r="R404" s="9"/>
      <c r="S404" s="8"/>
      <c r="T404" s="8"/>
      <c r="U404" s="8"/>
      <c r="V404" s="11"/>
      <c r="W404" s="8"/>
      <c r="X404" s="8"/>
      <c r="Y404" s="9"/>
      <c r="Z404" s="8"/>
      <c r="AA404" s="8"/>
      <c r="AB404" s="8"/>
      <c r="AC404" s="11"/>
      <c r="AD404" s="8"/>
      <c r="AE404" s="9"/>
      <c r="AF404" s="8"/>
      <c r="AG404" s="9"/>
      <c r="AH404" s="8"/>
      <c r="AI404" s="8"/>
      <c r="AJ404" s="8"/>
      <c r="AK404" s="11"/>
      <c r="AL404" s="8"/>
      <c r="AM404" s="8"/>
      <c r="AN404" s="9"/>
      <c r="AO404" s="8"/>
      <c r="AP404" s="8"/>
      <c r="AQ404" s="8"/>
    </row>
    <row r="405" spans="1:43" x14ac:dyDescent="0.15">
      <c r="A405" s="8"/>
      <c r="B405" s="8"/>
      <c r="C405" s="8"/>
      <c r="D405" s="8"/>
      <c r="E405" s="9"/>
      <c r="F405" s="8"/>
      <c r="G405" s="10"/>
      <c r="H405" s="11"/>
      <c r="I405" s="8"/>
      <c r="J405" s="9"/>
      <c r="K405" s="8"/>
      <c r="L405" s="9"/>
      <c r="M405" s="8"/>
      <c r="N405" s="11"/>
      <c r="O405" s="8"/>
      <c r="P405" s="9"/>
      <c r="Q405" s="8"/>
      <c r="R405" s="9"/>
      <c r="S405" s="8"/>
      <c r="T405" s="8"/>
      <c r="U405" s="8"/>
      <c r="V405" s="11"/>
      <c r="W405" s="8"/>
      <c r="X405" s="8"/>
      <c r="Y405" s="9"/>
      <c r="Z405" s="8"/>
      <c r="AA405" s="8"/>
      <c r="AB405" s="8"/>
      <c r="AC405" s="11"/>
      <c r="AD405" s="8"/>
      <c r="AE405" s="9"/>
      <c r="AF405" s="8"/>
      <c r="AG405" s="9"/>
      <c r="AH405" s="8"/>
      <c r="AI405" s="8"/>
      <c r="AJ405" s="8"/>
      <c r="AK405" s="11"/>
      <c r="AL405" s="8"/>
      <c r="AM405" s="8"/>
      <c r="AN405" s="9"/>
      <c r="AO405" s="8"/>
      <c r="AP405" s="8"/>
      <c r="AQ405" s="8"/>
    </row>
    <row r="406" spans="1:43" x14ac:dyDescent="0.15">
      <c r="A406" s="8"/>
      <c r="B406" s="8"/>
      <c r="C406" s="8"/>
      <c r="D406" s="8"/>
      <c r="E406" s="9"/>
      <c r="F406" s="8"/>
      <c r="G406" s="10"/>
      <c r="H406" s="11"/>
      <c r="I406" s="8"/>
      <c r="J406" s="9"/>
      <c r="K406" s="8"/>
      <c r="L406" s="9"/>
      <c r="M406" s="8"/>
      <c r="N406" s="11"/>
      <c r="O406" s="8"/>
      <c r="P406" s="9"/>
      <c r="Q406" s="8"/>
      <c r="R406" s="9"/>
      <c r="S406" s="8"/>
      <c r="T406" s="8"/>
      <c r="U406" s="8"/>
      <c r="V406" s="11"/>
      <c r="W406" s="8"/>
      <c r="X406" s="8"/>
      <c r="Y406" s="9"/>
      <c r="Z406" s="8"/>
      <c r="AA406" s="8"/>
      <c r="AB406" s="8"/>
      <c r="AC406" s="11"/>
      <c r="AD406" s="8"/>
      <c r="AE406" s="9"/>
      <c r="AF406" s="8"/>
      <c r="AG406" s="9"/>
      <c r="AH406" s="8"/>
      <c r="AI406" s="8"/>
      <c r="AJ406" s="8"/>
      <c r="AK406" s="11"/>
      <c r="AL406" s="8"/>
      <c r="AM406" s="8"/>
      <c r="AN406" s="9"/>
      <c r="AO406" s="8"/>
      <c r="AP406" s="8"/>
      <c r="AQ406" s="8"/>
    </row>
    <row r="407" spans="1:43" x14ac:dyDescent="0.15">
      <c r="A407" s="8"/>
      <c r="B407" s="8"/>
      <c r="C407" s="8"/>
      <c r="D407" s="8"/>
      <c r="E407" s="9"/>
      <c r="F407" s="8"/>
      <c r="G407" s="10"/>
      <c r="H407" s="11"/>
      <c r="I407" s="8"/>
      <c r="J407" s="9"/>
      <c r="K407" s="8"/>
      <c r="L407" s="9"/>
      <c r="M407" s="8"/>
      <c r="N407" s="11"/>
      <c r="O407" s="8"/>
      <c r="P407" s="9"/>
      <c r="Q407" s="8"/>
      <c r="R407" s="9"/>
      <c r="S407" s="8"/>
      <c r="T407" s="8"/>
      <c r="U407" s="8"/>
      <c r="V407" s="11"/>
      <c r="W407" s="8"/>
      <c r="X407" s="8"/>
      <c r="Y407" s="9"/>
      <c r="Z407" s="8"/>
      <c r="AA407" s="8"/>
      <c r="AB407" s="8"/>
      <c r="AC407" s="11"/>
      <c r="AD407" s="8"/>
      <c r="AE407" s="9"/>
      <c r="AF407" s="8"/>
      <c r="AG407" s="9"/>
      <c r="AH407" s="8"/>
      <c r="AI407" s="8"/>
      <c r="AJ407" s="8"/>
      <c r="AK407" s="11"/>
      <c r="AL407" s="8"/>
      <c r="AM407" s="8"/>
      <c r="AN407" s="9"/>
      <c r="AO407" s="8"/>
      <c r="AP407" s="8"/>
      <c r="AQ407" s="8"/>
    </row>
    <row r="408" spans="1:43" x14ac:dyDescent="0.15">
      <c r="A408" s="8"/>
      <c r="B408" s="8"/>
      <c r="C408" s="8"/>
      <c r="D408" s="8"/>
      <c r="E408" s="9"/>
      <c r="F408" s="8"/>
      <c r="G408" s="10"/>
      <c r="H408" s="11"/>
      <c r="I408" s="8"/>
      <c r="J408" s="9"/>
      <c r="K408" s="8"/>
      <c r="L408" s="9"/>
      <c r="M408" s="8"/>
      <c r="N408" s="11"/>
      <c r="O408" s="8"/>
      <c r="P408" s="9"/>
      <c r="Q408" s="8"/>
      <c r="R408" s="9"/>
      <c r="S408" s="8"/>
      <c r="T408" s="8"/>
      <c r="U408" s="8"/>
      <c r="V408" s="11"/>
      <c r="W408" s="8"/>
      <c r="X408" s="8"/>
      <c r="Y408" s="9"/>
      <c r="Z408" s="8"/>
      <c r="AA408" s="8"/>
      <c r="AB408" s="8"/>
      <c r="AC408" s="11"/>
      <c r="AD408" s="8"/>
      <c r="AE408" s="9"/>
      <c r="AF408" s="8"/>
      <c r="AG408" s="9"/>
      <c r="AH408" s="8"/>
      <c r="AI408" s="8"/>
      <c r="AJ408" s="8"/>
      <c r="AK408" s="11"/>
      <c r="AL408" s="8"/>
      <c r="AM408" s="8"/>
      <c r="AN408" s="9"/>
      <c r="AO408" s="8"/>
      <c r="AP408" s="8"/>
      <c r="AQ408" s="8"/>
    </row>
    <row r="409" spans="1:43" x14ac:dyDescent="0.15">
      <c r="A409" s="8"/>
      <c r="B409" s="8"/>
      <c r="C409" s="8"/>
      <c r="D409" s="8"/>
      <c r="E409" s="9"/>
      <c r="F409" s="8"/>
      <c r="G409" s="10"/>
      <c r="H409" s="11"/>
      <c r="I409" s="8"/>
      <c r="J409" s="9"/>
      <c r="K409" s="8"/>
      <c r="L409" s="9"/>
      <c r="M409" s="8"/>
      <c r="N409" s="11"/>
      <c r="O409" s="8"/>
      <c r="P409" s="9"/>
      <c r="Q409" s="8"/>
      <c r="R409" s="9"/>
      <c r="S409" s="8"/>
      <c r="T409" s="8"/>
      <c r="U409" s="8"/>
      <c r="V409" s="11"/>
      <c r="W409" s="8"/>
      <c r="X409" s="8"/>
      <c r="Y409" s="9"/>
      <c r="Z409" s="8"/>
      <c r="AA409" s="8"/>
      <c r="AB409" s="8"/>
      <c r="AC409" s="11"/>
      <c r="AD409" s="8"/>
      <c r="AE409" s="9"/>
      <c r="AF409" s="8"/>
      <c r="AG409" s="9"/>
      <c r="AH409" s="8"/>
      <c r="AI409" s="8"/>
      <c r="AJ409" s="8"/>
      <c r="AK409" s="11"/>
      <c r="AL409" s="8"/>
      <c r="AM409" s="8"/>
      <c r="AN409" s="9"/>
      <c r="AO409" s="8"/>
      <c r="AP409" s="8"/>
      <c r="AQ409" s="8"/>
    </row>
    <row r="410" spans="1:43" x14ac:dyDescent="0.15">
      <c r="A410" s="8"/>
      <c r="B410" s="8"/>
      <c r="C410" s="8"/>
      <c r="D410" s="8"/>
      <c r="E410" s="9"/>
      <c r="F410" s="8"/>
      <c r="G410" s="10"/>
      <c r="H410" s="11"/>
      <c r="I410" s="8"/>
      <c r="J410" s="9"/>
      <c r="K410" s="8"/>
      <c r="L410" s="9"/>
      <c r="M410" s="8"/>
      <c r="N410" s="11"/>
      <c r="O410" s="8"/>
      <c r="P410" s="9"/>
      <c r="Q410" s="8"/>
      <c r="R410" s="9"/>
      <c r="S410" s="8"/>
      <c r="T410" s="8"/>
      <c r="U410" s="8"/>
      <c r="V410" s="11"/>
      <c r="W410" s="8"/>
      <c r="X410" s="8"/>
      <c r="Y410" s="9"/>
      <c r="Z410" s="8"/>
      <c r="AA410" s="8"/>
      <c r="AB410" s="8"/>
      <c r="AC410" s="11"/>
      <c r="AD410" s="8"/>
      <c r="AE410" s="9"/>
      <c r="AF410" s="8"/>
      <c r="AG410" s="9"/>
      <c r="AH410" s="8"/>
      <c r="AI410" s="8"/>
      <c r="AJ410" s="8"/>
      <c r="AK410" s="11"/>
      <c r="AL410" s="8"/>
      <c r="AM410" s="8"/>
      <c r="AN410" s="9"/>
      <c r="AO410" s="8"/>
      <c r="AP410" s="8"/>
      <c r="AQ410" s="8"/>
    </row>
    <row r="411" spans="1:43" x14ac:dyDescent="0.15">
      <c r="A411" s="8"/>
      <c r="B411" s="8"/>
      <c r="C411" s="8"/>
      <c r="D411" s="8"/>
      <c r="E411" s="9"/>
      <c r="F411" s="8"/>
      <c r="G411" s="10"/>
      <c r="H411" s="11"/>
      <c r="I411" s="8"/>
      <c r="J411" s="9"/>
      <c r="K411" s="8"/>
      <c r="L411" s="9"/>
      <c r="M411" s="8"/>
      <c r="N411" s="11"/>
      <c r="O411" s="8"/>
      <c r="P411" s="9"/>
      <c r="Q411" s="8"/>
      <c r="R411" s="9"/>
      <c r="S411" s="8"/>
      <c r="T411" s="8"/>
      <c r="U411" s="8"/>
      <c r="V411" s="11"/>
      <c r="W411" s="8"/>
      <c r="X411" s="8"/>
      <c r="Y411" s="9"/>
      <c r="Z411" s="8"/>
      <c r="AA411" s="8"/>
      <c r="AB411" s="8"/>
      <c r="AC411" s="11"/>
      <c r="AD411" s="8"/>
      <c r="AE411" s="9"/>
      <c r="AF411" s="8"/>
      <c r="AG411" s="9"/>
      <c r="AH411" s="8"/>
      <c r="AI411" s="8"/>
      <c r="AJ411" s="8"/>
      <c r="AK411" s="11"/>
      <c r="AL411" s="8"/>
      <c r="AM411" s="8"/>
      <c r="AN411" s="9"/>
      <c r="AO411" s="8"/>
      <c r="AP411" s="8"/>
      <c r="AQ411" s="8"/>
    </row>
    <row r="412" spans="1:43" x14ac:dyDescent="0.15">
      <c r="A412" s="8"/>
      <c r="B412" s="8"/>
      <c r="C412" s="8"/>
      <c r="D412" s="8"/>
      <c r="E412" s="9"/>
      <c r="F412" s="8"/>
      <c r="G412" s="10"/>
      <c r="H412" s="11"/>
      <c r="I412" s="8"/>
      <c r="J412" s="9"/>
      <c r="K412" s="8"/>
      <c r="L412" s="9"/>
      <c r="M412" s="8"/>
      <c r="N412" s="11"/>
      <c r="O412" s="8"/>
      <c r="P412" s="9"/>
      <c r="Q412" s="8"/>
      <c r="R412" s="9"/>
      <c r="S412" s="8"/>
      <c r="T412" s="8"/>
      <c r="U412" s="8"/>
      <c r="V412" s="11"/>
      <c r="W412" s="8"/>
      <c r="X412" s="8"/>
      <c r="Y412" s="9"/>
      <c r="Z412" s="8"/>
      <c r="AA412" s="8"/>
      <c r="AB412" s="8"/>
      <c r="AC412" s="11"/>
      <c r="AD412" s="8"/>
      <c r="AE412" s="9"/>
      <c r="AF412" s="8"/>
      <c r="AG412" s="9"/>
      <c r="AH412" s="8"/>
      <c r="AI412" s="8"/>
      <c r="AJ412" s="8"/>
      <c r="AK412" s="11"/>
      <c r="AL412" s="8"/>
      <c r="AM412" s="8"/>
      <c r="AN412" s="9"/>
      <c r="AO412" s="8"/>
      <c r="AP412" s="8"/>
      <c r="AQ412" s="8"/>
    </row>
    <row r="413" spans="1:43" x14ac:dyDescent="0.15">
      <c r="A413" s="8"/>
      <c r="B413" s="8"/>
      <c r="C413" s="8"/>
      <c r="D413" s="8"/>
      <c r="E413" s="9"/>
      <c r="F413" s="8"/>
      <c r="G413" s="10"/>
      <c r="H413" s="11"/>
      <c r="I413" s="8"/>
      <c r="J413" s="9"/>
      <c r="K413" s="8"/>
      <c r="L413" s="9"/>
      <c r="M413" s="8"/>
      <c r="N413" s="11"/>
      <c r="O413" s="8"/>
      <c r="P413" s="9"/>
      <c r="Q413" s="8"/>
      <c r="R413" s="9"/>
      <c r="S413" s="8"/>
      <c r="T413" s="8"/>
      <c r="U413" s="8"/>
      <c r="V413" s="11"/>
      <c r="W413" s="8"/>
      <c r="X413" s="8"/>
      <c r="Y413" s="9"/>
      <c r="Z413" s="8"/>
      <c r="AA413" s="8"/>
      <c r="AB413" s="8"/>
      <c r="AC413" s="11"/>
      <c r="AD413" s="8"/>
      <c r="AE413" s="9"/>
      <c r="AF413" s="8"/>
      <c r="AG413" s="9"/>
      <c r="AH413" s="8"/>
      <c r="AI413" s="8"/>
      <c r="AJ413" s="8"/>
      <c r="AK413" s="11"/>
      <c r="AL413" s="8"/>
      <c r="AM413" s="8"/>
      <c r="AN413" s="9"/>
      <c r="AO413" s="8"/>
      <c r="AP413" s="8"/>
      <c r="AQ413" s="8"/>
    </row>
    <row r="414" spans="1:43" x14ac:dyDescent="0.15">
      <c r="A414" s="8"/>
      <c r="B414" s="8"/>
      <c r="C414" s="8"/>
      <c r="D414" s="8"/>
      <c r="E414" s="9"/>
      <c r="F414" s="8"/>
      <c r="G414" s="10"/>
      <c r="H414" s="11"/>
      <c r="I414" s="8"/>
      <c r="J414" s="9"/>
      <c r="K414" s="8"/>
      <c r="L414" s="9"/>
      <c r="M414" s="8"/>
      <c r="N414" s="11"/>
      <c r="O414" s="8"/>
      <c r="P414" s="9"/>
      <c r="Q414" s="8"/>
      <c r="R414" s="9"/>
      <c r="S414" s="8"/>
      <c r="T414" s="8"/>
      <c r="U414" s="8"/>
      <c r="V414" s="11"/>
      <c r="W414" s="8"/>
      <c r="X414" s="8"/>
      <c r="Y414" s="9"/>
      <c r="Z414" s="8"/>
      <c r="AA414" s="8"/>
      <c r="AB414" s="8"/>
      <c r="AC414" s="11"/>
      <c r="AD414" s="8"/>
      <c r="AE414" s="9"/>
      <c r="AF414" s="8"/>
      <c r="AG414" s="9"/>
      <c r="AH414" s="8"/>
      <c r="AI414" s="8"/>
      <c r="AJ414" s="8"/>
      <c r="AK414" s="11"/>
      <c r="AL414" s="8"/>
      <c r="AM414" s="8"/>
      <c r="AN414" s="9"/>
      <c r="AO414" s="8"/>
      <c r="AP414" s="8"/>
      <c r="AQ414" s="8"/>
    </row>
    <row r="415" spans="1:43" x14ac:dyDescent="0.15">
      <c r="A415" s="8"/>
      <c r="B415" s="8"/>
      <c r="C415" s="8"/>
      <c r="D415" s="8"/>
      <c r="E415" s="9"/>
      <c r="F415" s="8"/>
      <c r="G415" s="10"/>
      <c r="H415" s="11"/>
      <c r="I415" s="8"/>
      <c r="J415" s="9"/>
      <c r="K415" s="8"/>
      <c r="L415" s="9"/>
      <c r="M415" s="8"/>
      <c r="N415" s="11"/>
      <c r="O415" s="8"/>
      <c r="P415" s="9"/>
      <c r="Q415" s="8"/>
      <c r="R415" s="9"/>
      <c r="S415" s="8"/>
      <c r="T415" s="8"/>
      <c r="U415" s="8"/>
      <c r="V415" s="11"/>
      <c r="W415" s="8"/>
      <c r="X415" s="8"/>
      <c r="Y415" s="9"/>
      <c r="Z415" s="8"/>
      <c r="AA415" s="8"/>
      <c r="AB415" s="8"/>
      <c r="AC415" s="11"/>
      <c r="AD415" s="8"/>
      <c r="AE415" s="9"/>
      <c r="AF415" s="8"/>
      <c r="AG415" s="9"/>
      <c r="AH415" s="8"/>
      <c r="AI415" s="8"/>
      <c r="AJ415" s="8"/>
      <c r="AK415" s="11"/>
      <c r="AL415" s="8"/>
      <c r="AM415" s="8"/>
      <c r="AN415" s="9"/>
      <c r="AO415" s="8"/>
      <c r="AP415" s="8"/>
      <c r="AQ415" s="8"/>
    </row>
    <row r="416" spans="1:43" x14ac:dyDescent="0.15">
      <c r="A416" s="8"/>
      <c r="B416" s="8"/>
      <c r="C416" s="8"/>
      <c r="D416" s="8"/>
      <c r="E416" s="9"/>
      <c r="F416" s="8"/>
      <c r="G416" s="10"/>
      <c r="H416" s="11"/>
      <c r="I416" s="8"/>
      <c r="J416" s="9"/>
      <c r="K416" s="8"/>
      <c r="L416" s="9"/>
      <c r="M416" s="8"/>
      <c r="N416" s="11"/>
      <c r="O416" s="8"/>
      <c r="P416" s="9"/>
      <c r="Q416" s="8"/>
      <c r="R416" s="9"/>
      <c r="S416" s="8"/>
      <c r="T416" s="8"/>
      <c r="U416" s="8"/>
      <c r="V416" s="11"/>
      <c r="W416" s="8"/>
      <c r="X416" s="8"/>
      <c r="Y416" s="9"/>
      <c r="Z416" s="8"/>
      <c r="AA416" s="8"/>
      <c r="AB416" s="8"/>
      <c r="AC416" s="11"/>
      <c r="AD416" s="8"/>
      <c r="AE416" s="9"/>
      <c r="AF416" s="8"/>
      <c r="AG416" s="9"/>
      <c r="AH416" s="8"/>
      <c r="AI416" s="8"/>
      <c r="AJ416" s="8"/>
      <c r="AK416" s="11"/>
      <c r="AL416" s="8"/>
      <c r="AM416" s="8"/>
      <c r="AN416" s="9"/>
      <c r="AO416" s="8"/>
      <c r="AP416" s="8"/>
      <c r="AQ416" s="8"/>
    </row>
    <row r="417" spans="1:43" x14ac:dyDescent="0.15">
      <c r="A417" s="8"/>
      <c r="B417" s="8"/>
      <c r="C417" s="8"/>
      <c r="D417" s="8"/>
      <c r="E417" s="9"/>
      <c r="F417" s="8"/>
      <c r="G417" s="10"/>
      <c r="H417" s="11"/>
      <c r="I417" s="8"/>
      <c r="J417" s="9"/>
      <c r="K417" s="8"/>
      <c r="L417" s="9"/>
      <c r="M417" s="8"/>
      <c r="N417" s="11"/>
      <c r="O417" s="8"/>
      <c r="P417" s="9"/>
      <c r="Q417" s="8"/>
      <c r="R417" s="9"/>
      <c r="S417" s="8"/>
      <c r="T417" s="8"/>
      <c r="U417" s="8"/>
      <c r="V417" s="11"/>
      <c r="W417" s="8"/>
      <c r="X417" s="8"/>
      <c r="Y417" s="9"/>
      <c r="Z417" s="8"/>
      <c r="AA417" s="8"/>
      <c r="AB417" s="8"/>
      <c r="AC417" s="11"/>
      <c r="AD417" s="8"/>
      <c r="AE417" s="9"/>
      <c r="AF417" s="8"/>
      <c r="AG417" s="9"/>
      <c r="AH417" s="8"/>
      <c r="AI417" s="8"/>
      <c r="AJ417" s="8"/>
      <c r="AK417" s="11"/>
      <c r="AL417" s="8"/>
      <c r="AM417" s="8"/>
      <c r="AN417" s="9"/>
      <c r="AO417" s="8"/>
      <c r="AP417" s="8"/>
      <c r="AQ417" s="8"/>
    </row>
    <row r="418" spans="1:43" x14ac:dyDescent="0.15">
      <c r="A418" s="8"/>
      <c r="B418" s="8"/>
      <c r="C418" s="8"/>
      <c r="D418" s="8"/>
      <c r="E418" s="9"/>
      <c r="F418" s="8"/>
      <c r="G418" s="10"/>
      <c r="H418" s="11"/>
      <c r="I418" s="8"/>
      <c r="J418" s="9"/>
      <c r="K418" s="8"/>
      <c r="L418" s="9"/>
      <c r="M418" s="8"/>
      <c r="N418" s="11"/>
      <c r="O418" s="8"/>
      <c r="P418" s="9"/>
      <c r="Q418" s="8"/>
      <c r="R418" s="9"/>
      <c r="S418" s="8"/>
      <c r="T418" s="8"/>
      <c r="U418" s="8"/>
      <c r="V418" s="11"/>
      <c r="W418" s="8"/>
      <c r="X418" s="8"/>
      <c r="Y418" s="9"/>
      <c r="Z418" s="8"/>
      <c r="AA418" s="8"/>
      <c r="AB418" s="8"/>
      <c r="AC418" s="11"/>
      <c r="AD418" s="8"/>
      <c r="AE418" s="9"/>
      <c r="AF418" s="8"/>
      <c r="AG418" s="9"/>
      <c r="AH418" s="8"/>
      <c r="AI418" s="8"/>
      <c r="AJ418" s="8"/>
      <c r="AK418" s="11"/>
      <c r="AL418" s="8"/>
      <c r="AM418" s="8"/>
      <c r="AN418" s="9"/>
      <c r="AO418" s="8"/>
      <c r="AP418" s="8"/>
      <c r="AQ418" s="8"/>
    </row>
    <row r="419" spans="1:43" x14ac:dyDescent="0.15">
      <c r="A419" s="8"/>
      <c r="B419" s="8"/>
      <c r="C419" s="8"/>
      <c r="D419" s="8"/>
      <c r="E419" s="9"/>
      <c r="F419" s="8"/>
      <c r="G419" s="10"/>
      <c r="H419" s="11"/>
      <c r="I419" s="8"/>
      <c r="J419" s="9"/>
      <c r="K419" s="8"/>
      <c r="L419" s="9"/>
      <c r="M419" s="8"/>
      <c r="N419" s="11"/>
      <c r="O419" s="8"/>
      <c r="P419" s="9"/>
      <c r="Q419" s="8"/>
      <c r="R419" s="9"/>
      <c r="S419" s="8"/>
      <c r="T419" s="8"/>
      <c r="U419" s="8"/>
      <c r="V419" s="11"/>
      <c r="W419" s="8"/>
      <c r="X419" s="8"/>
      <c r="Y419" s="9"/>
      <c r="Z419" s="8"/>
      <c r="AA419" s="8"/>
      <c r="AB419" s="8"/>
      <c r="AC419" s="11"/>
      <c r="AD419" s="8"/>
      <c r="AE419" s="9"/>
      <c r="AF419" s="8"/>
      <c r="AG419" s="9"/>
      <c r="AH419" s="8"/>
      <c r="AI419" s="8"/>
      <c r="AJ419" s="8"/>
      <c r="AK419" s="11"/>
      <c r="AL419" s="8"/>
      <c r="AM419" s="8"/>
      <c r="AN419" s="9"/>
      <c r="AO419" s="8"/>
      <c r="AP419" s="8"/>
      <c r="AQ419" s="8"/>
    </row>
    <row r="420" spans="1:43" x14ac:dyDescent="0.15">
      <c r="A420" s="8"/>
      <c r="B420" s="8"/>
      <c r="C420" s="8"/>
      <c r="D420" s="8"/>
      <c r="E420" s="9"/>
      <c r="F420" s="8"/>
      <c r="G420" s="10"/>
      <c r="H420" s="11"/>
      <c r="I420" s="8"/>
      <c r="J420" s="9"/>
      <c r="K420" s="8"/>
      <c r="L420" s="9"/>
      <c r="M420" s="8"/>
      <c r="N420" s="11"/>
      <c r="O420" s="8"/>
      <c r="P420" s="9"/>
      <c r="Q420" s="8"/>
      <c r="R420" s="9"/>
      <c r="S420" s="8"/>
      <c r="T420" s="8"/>
      <c r="U420" s="8"/>
      <c r="V420" s="11"/>
      <c r="W420" s="8"/>
      <c r="X420" s="8"/>
      <c r="Y420" s="9"/>
      <c r="Z420" s="8"/>
      <c r="AA420" s="8"/>
      <c r="AB420" s="8"/>
      <c r="AC420" s="11"/>
      <c r="AD420" s="8"/>
      <c r="AE420" s="9"/>
      <c r="AF420" s="8"/>
      <c r="AG420" s="9"/>
      <c r="AH420" s="8"/>
      <c r="AI420" s="8"/>
      <c r="AJ420" s="8"/>
      <c r="AK420" s="11"/>
      <c r="AL420" s="8"/>
      <c r="AM420" s="8"/>
      <c r="AN420" s="9"/>
      <c r="AO420" s="8"/>
      <c r="AP420" s="8"/>
      <c r="AQ420" s="8"/>
    </row>
    <row r="421" spans="1:43" x14ac:dyDescent="0.15">
      <c r="A421" s="8"/>
      <c r="B421" s="8"/>
      <c r="C421" s="8"/>
      <c r="D421" s="8"/>
      <c r="E421" s="9"/>
      <c r="F421" s="8"/>
      <c r="G421" s="10"/>
      <c r="H421" s="11"/>
      <c r="I421" s="8"/>
      <c r="J421" s="9"/>
      <c r="K421" s="8"/>
      <c r="L421" s="9"/>
      <c r="M421" s="8"/>
      <c r="N421" s="11"/>
      <c r="O421" s="8"/>
      <c r="P421" s="9"/>
      <c r="Q421" s="8"/>
      <c r="R421" s="9"/>
      <c r="S421" s="8"/>
      <c r="T421" s="8"/>
      <c r="U421" s="8"/>
      <c r="V421" s="11"/>
      <c r="W421" s="8"/>
      <c r="X421" s="8"/>
      <c r="Y421" s="9"/>
      <c r="Z421" s="8"/>
      <c r="AA421" s="8"/>
      <c r="AB421" s="8"/>
      <c r="AC421" s="11"/>
      <c r="AD421" s="8"/>
      <c r="AE421" s="9"/>
      <c r="AF421" s="8"/>
      <c r="AG421" s="9"/>
      <c r="AH421" s="8"/>
      <c r="AI421" s="8"/>
      <c r="AJ421" s="8"/>
      <c r="AK421" s="11"/>
      <c r="AL421" s="8"/>
      <c r="AM421" s="8"/>
      <c r="AN421" s="9"/>
      <c r="AO421" s="8"/>
      <c r="AP421" s="8"/>
      <c r="AQ421" s="8"/>
    </row>
    <row r="422" spans="1:43" x14ac:dyDescent="0.15">
      <c r="A422" s="8"/>
      <c r="B422" s="8"/>
      <c r="C422" s="8"/>
      <c r="D422" s="8"/>
      <c r="E422" s="9"/>
      <c r="F422" s="8"/>
      <c r="G422" s="10"/>
      <c r="H422" s="11"/>
      <c r="I422" s="8"/>
      <c r="J422" s="9"/>
      <c r="K422" s="8"/>
      <c r="L422" s="9"/>
      <c r="M422" s="8"/>
      <c r="N422" s="11"/>
      <c r="O422" s="8"/>
      <c r="P422" s="9"/>
      <c r="Q422" s="8"/>
      <c r="R422" s="9"/>
      <c r="S422" s="8"/>
      <c r="T422" s="8"/>
      <c r="U422" s="8"/>
      <c r="V422" s="11"/>
      <c r="W422" s="8"/>
      <c r="X422" s="8"/>
      <c r="Y422" s="9"/>
      <c r="Z422" s="8"/>
      <c r="AA422" s="8"/>
      <c r="AB422" s="8"/>
      <c r="AC422" s="11"/>
      <c r="AD422" s="8"/>
      <c r="AE422" s="9"/>
      <c r="AF422" s="8"/>
      <c r="AG422" s="9"/>
      <c r="AH422" s="8"/>
      <c r="AI422" s="8"/>
      <c r="AJ422" s="8"/>
      <c r="AK422" s="11"/>
      <c r="AL422" s="8"/>
      <c r="AM422" s="8"/>
      <c r="AN422" s="9"/>
      <c r="AO422" s="8"/>
      <c r="AP422" s="8"/>
      <c r="AQ422" s="8"/>
    </row>
    <row r="423" spans="1:43" x14ac:dyDescent="0.15">
      <c r="A423" s="8"/>
      <c r="B423" s="8"/>
      <c r="C423" s="8"/>
      <c r="D423" s="8"/>
      <c r="E423" s="9"/>
      <c r="F423" s="8"/>
      <c r="G423" s="10"/>
      <c r="H423" s="11"/>
      <c r="I423" s="8"/>
      <c r="J423" s="9"/>
      <c r="K423" s="8"/>
      <c r="L423" s="9"/>
      <c r="M423" s="8"/>
      <c r="N423" s="11"/>
      <c r="O423" s="8"/>
      <c r="P423" s="9"/>
      <c r="Q423" s="8"/>
      <c r="R423" s="9"/>
      <c r="S423" s="8"/>
      <c r="T423" s="8"/>
      <c r="U423" s="8"/>
      <c r="V423" s="11"/>
      <c r="W423" s="8"/>
      <c r="X423" s="8"/>
      <c r="Y423" s="9"/>
      <c r="Z423" s="8"/>
      <c r="AA423" s="8"/>
      <c r="AB423" s="8"/>
      <c r="AC423" s="11"/>
      <c r="AD423" s="8"/>
      <c r="AE423" s="9"/>
      <c r="AF423" s="8"/>
      <c r="AG423" s="9"/>
      <c r="AH423" s="8"/>
      <c r="AI423" s="8"/>
      <c r="AJ423" s="8"/>
      <c r="AK423" s="11"/>
      <c r="AL423" s="8"/>
      <c r="AM423" s="8"/>
      <c r="AN423" s="9"/>
      <c r="AO423" s="8"/>
      <c r="AP423" s="8"/>
      <c r="AQ423" s="8"/>
    </row>
    <row r="424" spans="1:43" x14ac:dyDescent="0.15">
      <c r="A424" s="8"/>
      <c r="B424" s="8"/>
      <c r="C424" s="8"/>
      <c r="D424" s="8"/>
      <c r="E424" s="9"/>
      <c r="F424" s="8"/>
      <c r="G424" s="10"/>
      <c r="H424" s="11"/>
      <c r="I424" s="8"/>
      <c r="J424" s="9"/>
      <c r="K424" s="8"/>
      <c r="L424" s="9"/>
      <c r="M424" s="8"/>
      <c r="N424" s="11"/>
      <c r="O424" s="8"/>
      <c r="P424" s="9"/>
      <c r="Q424" s="8"/>
      <c r="R424" s="9"/>
      <c r="S424" s="8"/>
      <c r="T424" s="8"/>
      <c r="U424" s="8"/>
      <c r="V424" s="11"/>
      <c r="W424" s="8"/>
      <c r="X424" s="8"/>
      <c r="Y424" s="9"/>
      <c r="Z424" s="8"/>
      <c r="AA424" s="8"/>
      <c r="AB424" s="8"/>
      <c r="AC424" s="11"/>
      <c r="AD424" s="8"/>
      <c r="AE424" s="9"/>
      <c r="AF424" s="8"/>
      <c r="AG424" s="9"/>
      <c r="AH424" s="8"/>
      <c r="AI424" s="8"/>
      <c r="AJ424" s="8"/>
      <c r="AK424" s="11"/>
      <c r="AL424" s="8"/>
      <c r="AM424" s="8"/>
      <c r="AN424" s="9"/>
      <c r="AO424" s="8"/>
      <c r="AP424" s="8"/>
      <c r="AQ424" s="8"/>
    </row>
    <row r="425" spans="1:43" x14ac:dyDescent="0.15">
      <c r="A425" s="8"/>
      <c r="B425" s="8"/>
      <c r="C425" s="8"/>
      <c r="D425" s="8"/>
      <c r="E425" s="9"/>
      <c r="F425" s="8"/>
      <c r="G425" s="10"/>
      <c r="H425" s="11"/>
      <c r="I425" s="8"/>
      <c r="J425" s="9"/>
      <c r="K425" s="8"/>
      <c r="L425" s="9"/>
      <c r="M425" s="8"/>
      <c r="N425" s="11"/>
      <c r="O425" s="8"/>
      <c r="P425" s="9"/>
      <c r="Q425" s="8"/>
      <c r="R425" s="9"/>
      <c r="S425" s="8"/>
      <c r="T425" s="8"/>
      <c r="U425" s="8"/>
      <c r="V425" s="11"/>
      <c r="W425" s="8"/>
      <c r="X425" s="8"/>
      <c r="Y425" s="9"/>
      <c r="Z425" s="8"/>
      <c r="AA425" s="8"/>
      <c r="AB425" s="8"/>
      <c r="AC425" s="11"/>
      <c r="AD425" s="8"/>
      <c r="AE425" s="9"/>
      <c r="AF425" s="8"/>
      <c r="AG425" s="9"/>
      <c r="AH425" s="8"/>
      <c r="AI425" s="8"/>
      <c r="AJ425" s="8"/>
      <c r="AK425" s="11"/>
      <c r="AL425" s="8"/>
      <c r="AM425" s="8"/>
      <c r="AN425" s="9"/>
      <c r="AO425" s="8"/>
      <c r="AP425" s="8"/>
      <c r="AQ425" s="8"/>
    </row>
    <row r="426" spans="1:43" x14ac:dyDescent="0.15">
      <c r="A426" s="8"/>
      <c r="B426" s="8"/>
      <c r="C426" s="8"/>
      <c r="D426" s="8"/>
      <c r="E426" s="9"/>
      <c r="F426" s="8"/>
      <c r="G426" s="10"/>
      <c r="H426" s="11"/>
      <c r="I426" s="8"/>
      <c r="J426" s="9"/>
      <c r="K426" s="8"/>
      <c r="L426" s="9"/>
      <c r="M426" s="8"/>
      <c r="N426" s="11"/>
      <c r="O426" s="8"/>
      <c r="P426" s="9"/>
      <c r="Q426" s="8"/>
      <c r="R426" s="9"/>
      <c r="S426" s="8"/>
      <c r="T426" s="8"/>
      <c r="U426" s="8"/>
      <c r="V426" s="11"/>
      <c r="W426" s="8"/>
      <c r="X426" s="8"/>
      <c r="Y426" s="9"/>
      <c r="Z426" s="8"/>
      <c r="AA426" s="8"/>
      <c r="AB426" s="8"/>
      <c r="AC426" s="11"/>
      <c r="AD426" s="8"/>
      <c r="AE426" s="9"/>
      <c r="AF426" s="8"/>
      <c r="AG426" s="9"/>
      <c r="AH426" s="8"/>
      <c r="AI426" s="8"/>
      <c r="AJ426" s="8"/>
      <c r="AK426" s="11"/>
      <c r="AL426" s="8"/>
      <c r="AM426" s="8"/>
      <c r="AN426" s="9"/>
      <c r="AO426" s="8"/>
      <c r="AP426" s="8"/>
      <c r="AQ426" s="8"/>
    </row>
    <row r="427" spans="1:43" x14ac:dyDescent="0.15">
      <c r="A427" s="8"/>
      <c r="B427" s="8"/>
      <c r="C427" s="8"/>
      <c r="D427" s="8"/>
      <c r="E427" s="9"/>
      <c r="F427" s="8"/>
      <c r="G427" s="10"/>
      <c r="H427" s="11"/>
      <c r="I427" s="8"/>
      <c r="J427" s="9"/>
      <c r="K427" s="8"/>
      <c r="L427" s="9"/>
      <c r="M427" s="8"/>
      <c r="N427" s="11"/>
      <c r="O427" s="8"/>
      <c r="P427" s="9"/>
      <c r="Q427" s="8"/>
      <c r="R427" s="9"/>
      <c r="S427" s="8"/>
      <c r="T427" s="8"/>
      <c r="U427" s="8"/>
      <c r="V427" s="11"/>
      <c r="W427" s="8"/>
      <c r="X427" s="8"/>
      <c r="Y427" s="9"/>
      <c r="Z427" s="8"/>
      <c r="AA427" s="8"/>
      <c r="AB427" s="8"/>
      <c r="AC427" s="11"/>
      <c r="AD427" s="8"/>
      <c r="AE427" s="9"/>
      <c r="AF427" s="8"/>
      <c r="AG427" s="9"/>
      <c r="AH427" s="8"/>
      <c r="AI427" s="8"/>
      <c r="AJ427" s="8"/>
      <c r="AK427" s="11"/>
      <c r="AL427" s="8"/>
      <c r="AM427" s="8"/>
      <c r="AN427" s="9"/>
      <c r="AO427" s="8"/>
      <c r="AP427" s="8"/>
      <c r="AQ427" s="8"/>
    </row>
    <row r="428" spans="1:43" x14ac:dyDescent="0.15">
      <c r="A428" s="8"/>
      <c r="B428" s="8"/>
      <c r="C428" s="8"/>
      <c r="D428" s="8"/>
      <c r="E428" s="9"/>
      <c r="F428" s="8"/>
      <c r="G428" s="10"/>
      <c r="H428" s="11"/>
      <c r="I428" s="8"/>
      <c r="J428" s="9"/>
      <c r="K428" s="8"/>
      <c r="L428" s="9"/>
      <c r="M428" s="8"/>
      <c r="N428" s="11"/>
      <c r="O428" s="8"/>
      <c r="P428" s="9"/>
      <c r="Q428" s="8"/>
      <c r="R428" s="9"/>
      <c r="S428" s="8"/>
      <c r="T428" s="8"/>
      <c r="U428" s="8"/>
      <c r="V428" s="11"/>
      <c r="W428" s="8"/>
      <c r="X428" s="8"/>
      <c r="Y428" s="9"/>
      <c r="Z428" s="8"/>
      <c r="AA428" s="8"/>
      <c r="AB428" s="8"/>
      <c r="AC428" s="11"/>
      <c r="AD428" s="8"/>
      <c r="AE428" s="9"/>
      <c r="AF428" s="8"/>
      <c r="AG428" s="9"/>
      <c r="AH428" s="8"/>
      <c r="AI428" s="8"/>
      <c r="AJ428" s="8"/>
      <c r="AK428" s="11"/>
      <c r="AL428" s="8"/>
      <c r="AM428" s="8"/>
      <c r="AN428" s="9"/>
      <c r="AO428" s="8"/>
      <c r="AP428" s="8"/>
      <c r="AQ428" s="8"/>
    </row>
    <row r="429" spans="1:43" x14ac:dyDescent="0.15">
      <c r="A429" s="8"/>
      <c r="B429" s="8"/>
      <c r="C429" s="8"/>
      <c r="D429" s="8"/>
      <c r="E429" s="9"/>
      <c r="F429" s="8"/>
      <c r="G429" s="10"/>
      <c r="H429" s="11"/>
      <c r="I429" s="8"/>
      <c r="J429" s="9"/>
      <c r="K429" s="8"/>
      <c r="L429" s="9"/>
      <c r="M429" s="8"/>
      <c r="N429" s="11"/>
      <c r="O429" s="8"/>
      <c r="P429" s="9"/>
      <c r="Q429" s="8"/>
      <c r="R429" s="9"/>
      <c r="S429" s="8"/>
      <c r="T429" s="8"/>
      <c r="U429" s="8"/>
      <c r="V429" s="11"/>
      <c r="W429" s="8"/>
      <c r="X429" s="8"/>
      <c r="Y429" s="9"/>
      <c r="Z429" s="8"/>
      <c r="AA429" s="8"/>
      <c r="AB429" s="8"/>
      <c r="AC429" s="11"/>
      <c r="AD429" s="8"/>
      <c r="AE429" s="9"/>
      <c r="AF429" s="8"/>
      <c r="AG429" s="9"/>
      <c r="AH429" s="8"/>
      <c r="AI429" s="8"/>
      <c r="AJ429" s="8"/>
      <c r="AK429" s="11"/>
      <c r="AL429" s="8"/>
      <c r="AM429" s="8"/>
      <c r="AN429" s="9"/>
      <c r="AO429" s="8"/>
      <c r="AP429" s="8"/>
      <c r="AQ429" s="8"/>
    </row>
    <row r="430" spans="1:43" x14ac:dyDescent="0.15">
      <c r="A430" s="8"/>
      <c r="B430" s="8"/>
      <c r="C430" s="8"/>
      <c r="D430" s="8"/>
      <c r="E430" s="9"/>
      <c r="F430" s="8"/>
      <c r="G430" s="10"/>
      <c r="H430" s="11"/>
      <c r="I430" s="8"/>
      <c r="J430" s="9"/>
      <c r="K430" s="8"/>
      <c r="L430" s="9"/>
      <c r="M430" s="8"/>
      <c r="N430" s="11"/>
      <c r="O430" s="8"/>
      <c r="P430" s="9"/>
      <c r="Q430" s="8"/>
      <c r="R430" s="9"/>
      <c r="S430" s="8"/>
      <c r="T430" s="8"/>
      <c r="U430" s="8"/>
      <c r="V430" s="11"/>
      <c r="W430" s="8"/>
      <c r="X430" s="8"/>
      <c r="Y430" s="9"/>
      <c r="Z430" s="8"/>
      <c r="AA430" s="8"/>
      <c r="AB430" s="8"/>
      <c r="AC430" s="11"/>
      <c r="AD430" s="8"/>
      <c r="AE430" s="9"/>
      <c r="AF430" s="8"/>
      <c r="AG430" s="9"/>
      <c r="AH430" s="8"/>
      <c r="AI430" s="8"/>
      <c r="AJ430" s="8"/>
      <c r="AK430" s="11"/>
      <c r="AL430" s="8"/>
      <c r="AM430" s="8"/>
      <c r="AN430" s="9"/>
      <c r="AO430" s="8"/>
      <c r="AP430" s="8"/>
      <c r="AQ430" s="8"/>
    </row>
    <row r="431" spans="1:43" x14ac:dyDescent="0.15">
      <c r="A431" s="8"/>
      <c r="B431" s="8"/>
      <c r="C431" s="8"/>
      <c r="D431" s="8"/>
      <c r="E431" s="9"/>
      <c r="F431" s="8"/>
      <c r="G431" s="10"/>
      <c r="H431" s="11"/>
      <c r="I431" s="8"/>
      <c r="J431" s="9"/>
      <c r="K431" s="8"/>
      <c r="L431" s="9"/>
      <c r="M431" s="8"/>
      <c r="N431" s="11"/>
      <c r="O431" s="8"/>
      <c r="P431" s="9"/>
      <c r="Q431" s="8"/>
      <c r="R431" s="9"/>
      <c r="S431" s="8"/>
      <c r="T431" s="8"/>
      <c r="U431" s="8"/>
      <c r="V431" s="11"/>
      <c r="W431" s="8"/>
      <c r="X431" s="8"/>
      <c r="Y431" s="9"/>
      <c r="Z431" s="8"/>
      <c r="AA431" s="8"/>
      <c r="AB431" s="8"/>
      <c r="AC431" s="11"/>
      <c r="AD431" s="8"/>
      <c r="AE431" s="9"/>
      <c r="AF431" s="8"/>
      <c r="AG431" s="9"/>
      <c r="AH431" s="8"/>
      <c r="AI431" s="8"/>
      <c r="AJ431" s="8"/>
      <c r="AK431" s="11"/>
      <c r="AL431" s="8"/>
      <c r="AM431" s="8"/>
      <c r="AN431" s="9"/>
      <c r="AO431" s="8"/>
      <c r="AP431" s="8"/>
      <c r="AQ431" s="8"/>
    </row>
    <row r="432" spans="1:43" x14ac:dyDescent="0.15">
      <c r="A432" s="8"/>
      <c r="B432" s="8"/>
      <c r="C432" s="8"/>
      <c r="D432" s="8"/>
      <c r="E432" s="9"/>
      <c r="F432" s="8"/>
      <c r="G432" s="10"/>
      <c r="H432" s="11"/>
      <c r="I432" s="8"/>
      <c r="J432" s="9"/>
      <c r="K432" s="8"/>
      <c r="L432" s="9"/>
      <c r="M432" s="8"/>
      <c r="N432" s="11"/>
      <c r="O432" s="8"/>
      <c r="P432" s="9"/>
      <c r="Q432" s="8"/>
      <c r="R432" s="9"/>
      <c r="S432" s="8"/>
      <c r="T432" s="8"/>
      <c r="U432" s="8"/>
      <c r="V432" s="11"/>
      <c r="W432" s="8"/>
      <c r="X432" s="8"/>
      <c r="Y432" s="9"/>
      <c r="Z432" s="8"/>
      <c r="AA432" s="8"/>
      <c r="AB432" s="8"/>
      <c r="AC432" s="11"/>
      <c r="AD432" s="8"/>
      <c r="AE432" s="9"/>
      <c r="AF432" s="8"/>
      <c r="AG432" s="9"/>
      <c r="AH432" s="8"/>
      <c r="AI432" s="8"/>
      <c r="AJ432" s="8"/>
      <c r="AK432" s="11"/>
      <c r="AL432" s="8"/>
      <c r="AM432" s="8"/>
      <c r="AN432" s="9"/>
      <c r="AO432" s="8"/>
      <c r="AP432" s="8"/>
      <c r="AQ432" s="8"/>
    </row>
    <row r="433" spans="1:43" x14ac:dyDescent="0.15">
      <c r="A433" s="8"/>
      <c r="B433" s="8"/>
      <c r="C433" s="8"/>
      <c r="D433" s="8"/>
      <c r="E433" s="9"/>
      <c r="F433" s="8"/>
      <c r="G433" s="10"/>
      <c r="H433" s="11"/>
      <c r="I433" s="8"/>
      <c r="J433" s="9"/>
      <c r="K433" s="8"/>
      <c r="L433" s="9"/>
      <c r="M433" s="8"/>
      <c r="N433" s="11"/>
      <c r="O433" s="8"/>
      <c r="P433" s="9"/>
      <c r="Q433" s="8"/>
      <c r="R433" s="9"/>
      <c r="S433" s="8"/>
      <c r="T433" s="8"/>
      <c r="U433" s="8"/>
      <c r="V433" s="11"/>
      <c r="W433" s="8"/>
      <c r="X433" s="8"/>
      <c r="Y433" s="9"/>
      <c r="Z433" s="8"/>
      <c r="AA433" s="8"/>
      <c r="AB433" s="8"/>
      <c r="AC433" s="11"/>
      <c r="AD433" s="8"/>
      <c r="AE433" s="9"/>
      <c r="AF433" s="8"/>
      <c r="AG433" s="9"/>
      <c r="AH433" s="8"/>
      <c r="AI433" s="8"/>
      <c r="AJ433" s="8"/>
      <c r="AK433" s="11"/>
      <c r="AL433" s="8"/>
      <c r="AM433" s="8"/>
      <c r="AN433" s="9"/>
      <c r="AO433" s="8"/>
      <c r="AP433" s="8"/>
      <c r="AQ433" s="8"/>
    </row>
    <row r="434" spans="1:43" x14ac:dyDescent="0.15">
      <c r="A434" s="8"/>
      <c r="B434" s="8"/>
      <c r="C434" s="8"/>
      <c r="D434" s="8"/>
      <c r="E434" s="9"/>
      <c r="F434" s="8"/>
      <c r="G434" s="10"/>
      <c r="H434" s="11"/>
      <c r="I434" s="8"/>
      <c r="J434" s="9"/>
      <c r="K434" s="8"/>
      <c r="L434" s="9"/>
      <c r="M434" s="8"/>
      <c r="N434" s="11"/>
      <c r="O434" s="8"/>
      <c r="P434" s="9"/>
      <c r="Q434" s="8"/>
      <c r="R434" s="9"/>
      <c r="S434" s="8"/>
      <c r="T434" s="8"/>
      <c r="U434" s="8"/>
      <c r="V434" s="11"/>
      <c r="W434" s="8"/>
      <c r="X434" s="8"/>
      <c r="Y434" s="9"/>
      <c r="Z434" s="8"/>
      <c r="AA434" s="8"/>
      <c r="AB434" s="8"/>
      <c r="AC434" s="11"/>
      <c r="AD434" s="8"/>
      <c r="AE434" s="9"/>
      <c r="AF434" s="8"/>
      <c r="AG434" s="9"/>
      <c r="AH434" s="8"/>
      <c r="AI434" s="8"/>
      <c r="AJ434" s="8"/>
      <c r="AK434" s="11"/>
      <c r="AL434" s="8"/>
      <c r="AM434" s="8"/>
      <c r="AN434" s="9"/>
      <c r="AO434" s="8"/>
      <c r="AP434" s="8"/>
      <c r="AQ434" s="8"/>
    </row>
    <row r="435" spans="1:43" x14ac:dyDescent="0.15">
      <c r="A435" s="8"/>
      <c r="B435" s="8"/>
      <c r="C435" s="8"/>
      <c r="D435" s="8"/>
      <c r="E435" s="9"/>
      <c r="F435" s="8"/>
      <c r="G435" s="10"/>
      <c r="H435" s="11"/>
      <c r="I435" s="8"/>
      <c r="J435" s="9"/>
      <c r="K435" s="8"/>
      <c r="L435" s="9"/>
      <c r="M435" s="8"/>
      <c r="N435" s="11"/>
      <c r="O435" s="8"/>
      <c r="P435" s="9"/>
      <c r="Q435" s="8"/>
      <c r="R435" s="9"/>
      <c r="S435" s="8"/>
      <c r="T435" s="8"/>
      <c r="U435" s="8"/>
      <c r="V435" s="11"/>
      <c r="W435" s="8"/>
      <c r="X435" s="8"/>
      <c r="Y435" s="9"/>
      <c r="Z435" s="8"/>
      <c r="AA435" s="8"/>
      <c r="AB435" s="8"/>
      <c r="AC435" s="11"/>
      <c r="AD435" s="8"/>
      <c r="AE435" s="9"/>
      <c r="AF435" s="8"/>
      <c r="AG435" s="9"/>
      <c r="AH435" s="8"/>
      <c r="AI435" s="8"/>
      <c r="AJ435" s="8"/>
      <c r="AK435" s="11"/>
      <c r="AL435" s="8"/>
      <c r="AM435" s="8"/>
      <c r="AN435" s="9"/>
      <c r="AO435" s="8"/>
      <c r="AP435" s="8"/>
      <c r="AQ435" s="8"/>
    </row>
    <row r="436" spans="1:43" x14ac:dyDescent="0.15">
      <c r="A436" s="8"/>
      <c r="B436" s="8"/>
      <c r="C436" s="8"/>
      <c r="D436" s="8"/>
      <c r="E436" s="9"/>
      <c r="F436" s="8"/>
      <c r="G436" s="10"/>
      <c r="H436" s="11"/>
      <c r="I436" s="8"/>
      <c r="J436" s="9"/>
      <c r="K436" s="8"/>
      <c r="L436" s="9"/>
      <c r="M436" s="8"/>
      <c r="N436" s="11"/>
      <c r="O436" s="8"/>
      <c r="P436" s="9"/>
      <c r="Q436" s="8"/>
      <c r="R436" s="9"/>
      <c r="S436" s="8"/>
      <c r="T436" s="8"/>
      <c r="U436" s="8"/>
      <c r="V436" s="11"/>
      <c r="W436" s="8"/>
      <c r="X436" s="8"/>
      <c r="Y436" s="9"/>
      <c r="Z436" s="8"/>
      <c r="AA436" s="8"/>
      <c r="AB436" s="8"/>
      <c r="AC436" s="11"/>
      <c r="AD436" s="8"/>
      <c r="AE436" s="9"/>
      <c r="AF436" s="8"/>
      <c r="AG436" s="9"/>
      <c r="AH436" s="8"/>
      <c r="AI436" s="8"/>
      <c r="AJ436" s="8"/>
      <c r="AK436" s="11"/>
      <c r="AL436" s="8"/>
      <c r="AM436" s="8"/>
      <c r="AN436" s="9"/>
      <c r="AO436" s="8"/>
      <c r="AP436" s="8"/>
      <c r="AQ436" s="8"/>
    </row>
    <row r="437" spans="1:43" x14ac:dyDescent="0.15">
      <c r="A437" s="8"/>
      <c r="B437" s="8"/>
      <c r="C437" s="8"/>
      <c r="D437" s="8"/>
      <c r="E437" s="9"/>
      <c r="F437" s="8"/>
      <c r="G437" s="10"/>
      <c r="H437" s="11"/>
      <c r="I437" s="8"/>
      <c r="J437" s="9"/>
      <c r="K437" s="8"/>
      <c r="L437" s="9"/>
      <c r="M437" s="8"/>
      <c r="N437" s="11"/>
      <c r="O437" s="8"/>
      <c r="P437" s="9"/>
      <c r="Q437" s="8"/>
      <c r="R437" s="9"/>
      <c r="S437" s="8"/>
      <c r="T437" s="8"/>
      <c r="U437" s="8"/>
      <c r="V437" s="11"/>
      <c r="W437" s="8"/>
      <c r="X437" s="8"/>
      <c r="Y437" s="9"/>
      <c r="Z437" s="8"/>
      <c r="AA437" s="8"/>
      <c r="AB437" s="8"/>
      <c r="AC437" s="11"/>
      <c r="AD437" s="8"/>
      <c r="AE437" s="9"/>
      <c r="AF437" s="8"/>
      <c r="AG437" s="9"/>
      <c r="AH437" s="8"/>
      <c r="AI437" s="8"/>
      <c r="AJ437" s="8"/>
      <c r="AK437" s="11"/>
      <c r="AL437" s="8"/>
      <c r="AM437" s="8"/>
      <c r="AN437" s="9"/>
      <c r="AO437" s="8"/>
      <c r="AP437" s="8"/>
      <c r="AQ437" s="8"/>
    </row>
    <row r="438" spans="1:43" x14ac:dyDescent="0.15">
      <c r="A438" s="8"/>
      <c r="B438" s="8"/>
      <c r="C438" s="8"/>
      <c r="D438" s="8"/>
      <c r="E438" s="9"/>
      <c r="F438" s="8"/>
      <c r="G438" s="10"/>
      <c r="H438" s="11"/>
      <c r="I438" s="8"/>
      <c r="J438" s="9"/>
      <c r="K438" s="8"/>
      <c r="L438" s="9"/>
      <c r="M438" s="8"/>
      <c r="N438" s="11"/>
      <c r="O438" s="8"/>
      <c r="P438" s="9"/>
      <c r="Q438" s="8"/>
      <c r="R438" s="9"/>
      <c r="S438" s="8"/>
      <c r="T438" s="8"/>
      <c r="U438" s="8"/>
      <c r="V438" s="11"/>
      <c r="W438" s="8"/>
      <c r="X438" s="8"/>
      <c r="Y438" s="9"/>
      <c r="Z438" s="8"/>
      <c r="AA438" s="8"/>
      <c r="AB438" s="8"/>
      <c r="AC438" s="11"/>
      <c r="AD438" s="8"/>
      <c r="AE438" s="9"/>
      <c r="AF438" s="8"/>
      <c r="AG438" s="9"/>
      <c r="AH438" s="8"/>
      <c r="AI438" s="8"/>
      <c r="AJ438" s="8"/>
      <c r="AK438" s="11"/>
      <c r="AL438" s="8"/>
      <c r="AM438" s="8"/>
      <c r="AN438" s="9"/>
      <c r="AO438" s="8"/>
      <c r="AP438" s="8"/>
      <c r="AQ438" s="8"/>
    </row>
    <row r="439" spans="1:43" x14ac:dyDescent="0.15">
      <c r="A439" s="8"/>
      <c r="B439" s="8"/>
      <c r="C439" s="8"/>
      <c r="D439" s="8"/>
      <c r="E439" s="9"/>
      <c r="F439" s="8"/>
      <c r="G439" s="10"/>
      <c r="H439" s="11"/>
      <c r="I439" s="8"/>
      <c r="J439" s="9"/>
      <c r="K439" s="8"/>
      <c r="L439" s="9"/>
      <c r="M439" s="8"/>
      <c r="N439" s="11"/>
      <c r="O439" s="8"/>
      <c r="P439" s="9"/>
      <c r="Q439" s="8"/>
      <c r="R439" s="9"/>
      <c r="S439" s="8"/>
      <c r="T439" s="8"/>
      <c r="U439" s="8"/>
      <c r="V439" s="11"/>
      <c r="W439" s="8"/>
      <c r="X439" s="8"/>
      <c r="Y439" s="9"/>
      <c r="Z439" s="8"/>
      <c r="AA439" s="8"/>
      <c r="AB439" s="8"/>
      <c r="AC439" s="11"/>
      <c r="AD439" s="8"/>
      <c r="AE439" s="9"/>
      <c r="AF439" s="8"/>
      <c r="AG439" s="9"/>
      <c r="AH439" s="8"/>
      <c r="AI439" s="8"/>
      <c r="AJ439" s="8"/>
      <c r="AK439" s="11"/>
      <c r="AL439" s="8"/>
      <c r="AM439" s="8"/>
      <c r="AN439" s="9"/>
      <c r="AO439" s="8"/>
      <c r="AP439" s="8"/>
      <c r="AQ439" s="8"/>
    </row>
    <row r="440" spans="1:43" x14ac:dyDescent="0.15">
      <c r="A440" s="8"/>
      <c r="B440" s="8"/>
      <c r="C440" s="8"/>
      <c r="D440" s="8"/>
      <c r="E440" s="9"/>
      <c r="F440" s="8"/>
      <c r="G440" s="10"/>
      <c r="H440" s="11"/>
      <c r="I440" s="8"/>
      <c r="J440" s="9"/>
      <c r="K440" s="8"/>
      <c r="L440" s="9"/>
      <c r="M440" s="8"/>
      <c r="N440" s="11"/>
      <c r="O440" s="8"/>
      <c r="P440" s="9"/>
      <c r="Q440" s="8"/>
      <c r="R440" s="9"/>
      <c r="S440" s="8"/>
      <c r="T440" s="8"/>
      <c r="U440" s="8"/>
      <c r="V440" s="11"/>
      <c r="W440" s="8"/>
      <c r="X440" s="8"/>
      <c r="Y440" s="9"/>
      <c r="Z440" s="8"/>
      <c r="AA440" s="8"/>
      <c r="AB440" s="8"/>
      <c r="AC440" s="11"/>
      <c r="AD440" s="8"/>
      <c r="AE440" s="9"/>
      <c r="AF440" s="8"/>
      <c r="AG440" s="9"/>
      <c r="AH440" s="8"/>
      <c r="AI440" s="8"/>
      <c r="AJ440" s="8"/>
      <c r="AK440" s="11"/>
      <c r="AL440" s="8"/>
      <c r="AM440" s="8"/>
      <c r="AN440" s="9"/>
      <c r="AO440" s="8"/>
      <c r="AP440" s="8"/>
      <c r="AQ440" s="8"/>
    </row>
    <row r="441" spans="1:43" x14ac:dyDescent="0.15">
      <c r="A441" s="8"/>
      <c r="B441" s="8"/>
      <c r="C441" s="8"/>
      <c r="D441" s="8"/>
      <c r="E441" s="9"/>
      <c r="F441" s="8"/>
      <c r="G441" s="10"/>
      <c r="H441" s="11"/>
      <c r="I441" s="8"/>
      <c r="J441" s="9"/>
      <c r="K441" s="8"/>
      <c r="L441" s="9"/>
      <c r="M441" s="8"/>
      <c r="N441" s="11"/>
      <c r="O441" s="8"/>
      <c r="P441" s="9"/>
      <c r="Q441" s="8"/>
      <c r="R441" s="9"/>
      <c r="S441" s="8"/>
      <c r="T441" s="8"/>
      <c r="U441" s="8"/>
      <c r="V441" s="11"/>
      <c r="W441" s="8"/>
      <c r="X441" s="8"/>
      <c r="Y441" s="9"/>
      <c r="Z441" s="8"/>
      <c r="AA441" s="8"/>
      <c r="AB441" s="8"/>
      <c r="AC441" s="11"/>
      <c r="AD441" s="8"/>
      <c r="AE441" s="9"/>
      <c r="AF441" s="8"/>
      <c r="AG441" s="9"/>
      <c r="AH441" s="8"/>
      <c r="AI441" s="8"/>
      <c r="AJ441" s="8"/>
      <c r="AK441" s="11"/>
      <c r="AL441" s="8"/>
      <c r="AM441" s="8"/>
      <c r="AN441" s="9"/>
      <c r="AO441" s="8"/>
      <c r="AP441" s="8"/>
      <c r="AQ441" s="8"/>
    </row>
    <row r="442" spans="1:43" x14ac:dyDescent="0.15">
      <c r="A442" s="8"/>
      <c r="B442" s="8"/>
      <c r="C442" s="8"/>
      <c r="D442" s="8"/>
      <c r="E442" s="9"/>
      <c r="F442" s="8"/>
      <c r="G442" s="10"/>
      <c r="H442" s="11"/>
      <c r="I442" s="8"/>
      <c r="J442" s="9"/>
      <c r="K442" s="8"/>
      <c r="L442" s="9"/>
      <c r="M442" s="8"/>
      <c r="N442" s="11"/>
      <c r="O442" s="8"/>
      <c r="P442" s="9"/>
      <c r="Q442" s="8"/>
      <c r="R442" s="9"/>
      <c r="S442" s="8"/>
      <c r="T442" s="8"/>
      <c r="U442" s="8"/>
      <c r="V442" s="11"/>
      <c r="W442" s="8"/>
      <c r="X442" s="8"/>
      <c r="Y442" s="9"/>
      <c r="Z442" s="8"/>
      <c r="AA442" s="8"/>
      <c r="AB442" s="8"/>
      <c r="AC442" s="11"/>
      <c r="AD442" s="8"/>
      <c r="AE442" s="9"/>
      <c r="AF442" s="8"/>
      <c r="AG442" s="9"/>
      <c r="AH442" s="8"/>
      <c r="AI442" s="8"/>
      <c r="AJ442" s="8"/>
      <c r="AK442" s="11"/>
      <c r="AL442" s="8"/>
      <c r="AM442" s="8"/>
      <c r="AN442" s="9"/>
      <c r="AO442" s="8"/>
      <c r="AP442" s="8"/>
      <c r="AQ442" s="8"/>
    </row>
    <row r="443" spans="1:43" x14ac:dyDescent="0.15">
      <c r="A443" s="8"/>
      <c r="B443" s="8"/>
      <c r="C443" s="8"/>
      <c r="D443" s="8"/>
      <c r="E443" s="9"/>
      <c r="F443" s="8"/>
      <c r="G443" s="10"/>
      <c r="H443" s="11"/>
      <c r="I443" s="8"/>
      <c r="J443" s="9"/>
      <c r="K443" s="8"/>
      <c r="L443" s="9"/>
      <c r="M443" s="8"/>
      <c r="N443" s="11"/>
      <c r="O443" s="8"/>
      <c r="P443" s="9"/>
      <c r="Q443" s="8"/>
      <c r="R443" s="9"/>
      <c r="S443" s="8"/>
      <c r="T443" s="8"/>
      <c r="U443" s="8"/>
      <c r="V443" s="11"/>
      <c r="W443" s="8"/>
      <c r="X443" s="8"/>
      <c r="Y443" s="9"/>
      <c r="Z443" s="8"/>
      <c r="AA443" s="8"/>
      <c r="AB443" s="8"/>
      <c r="AC443" s="11"/>
      <c r="AD443" s="8"/>
      <c r="AE443" s="9"/>
      <c r="AF443" s="8"/>
      <c r="AG443" s="9"/>
      <c r="AH443" s="8"/>
      <c r="AI443" s="8"/>
      <c r="AJ443" s="8"/>
      <c r="AK443" s="11"/>
      <c r="AL443" s="8"/>
      <c r="AM443" s="8"/>
      <c r="AN443" s="9"/>
      <c r="AO443" s="8"/>
      <c r="AP443" s="8"/>
      <c r="AQ443" s="8"/>
    </row>
    <row r="444" spans="1:43" x14ac:dyDescent="0.15">
      <c r="A444" s="8"/>
      <c r="B444" s="8"/>
      <c r="C444" s="8"/>
      <c r="D444" s="8"/>
      <c r="E444" s="9"/>
      <c r="F444" s="8"/>
      <c r="G444" s="10"/>
      <c r="H444" s="11"/>
      <c r="I444" s="8"/>
      <c r="J444" s="9"/>
      <c r="K444" s="8"/>
      <c r="L444" s="9"/>
      <c r="M444" s="8"/>
      <c r="N444" s="11"/>
      <c r="O444" s="8"/>
      <c r="P444" s="9"/>
      <c r="Q444" s="8"/>
      <c r="R444" s="9"/>
      <c r="S444" s="8"/>
      <c r="T444" s="8"/>
      <c r="U444" s="8"/>
      <c r="V444" s="11"/>
      <c r="W444" s="8"/>
      <c r="X444" s="8"/>
      <c r="Y444" s="9"/>
      <c r="Z444" s="8"/>
      <c r="AA444" s="8"/>
      <c r="AB444" s="8"/>
      <c r="AC444" s="11"/>
      <c r="AD444" s="8"/>
      <c r="AE444" s="9"/>
      <c r="AF444" s="8"/>
      <c r="AG444" s="9"/>
      <c r="AH444" s="8"/>
      <c r="AI444" s="8"/>
      <c r="AJ444" s="8"/>
      <c r="AK444" s="11"/>
      <c r="AL444" s="8"/>
      <c r="AM444" s="8"/>
      <c r="AN444" s="9"/>
      <c r="AO444" s="8"/>
      <c r="AP444" s="8"/>
      <c r="AQ444" s="8"/>
    </row>
    <row r="445" spans="1:43" x14ac:dyDescent="0.15">
      <c r="A445" s="8"/>
      <c r="B445" s="8"/>
      <c r="C445" s="8"/>
      <c r="D445" s="8"/>
      <c r="E445" s="9"/>
      <c r="F445" s="8"/>
      <c r="G445" s="10"/>
      <c r="H445" s="11"/>
      <c r="I445" s="8"/>
      <c r="J445" s="9"/>
      <c r="K445" s="8"/>
      <c r="L445" s="9"/>
      <c r="M445" s="8"/>
      <c r="N445" s="11"/>
      <c r="O445" s="8"/>
      <c r="P445" s="9"/>
      <c r="Q445" s="8"/>
      <c r="R445" s="9"/>
      <c r="S445" s="8"/>
      <c r="T445" s="8"/>
      <c r="U445" s="8"/>
      <c r="V445" s="11"/>
      <c r="W445" s="8"/>
      <c r="X445" s="8"/>
      <c r="Y445" s="9"/>
      <c r="Z445" s="8"/>
      <c r="AA445" s="8"/>
      <c r="AB445" s="8"/>
      <c r="AC445" s="11"/>
      <c r="AD445" s="8"/>
      <c r="AE445" s="9"/>
      <c r="AF445" s="8"/>
      <c r="AG445" s="9"/>
      <c r="AH445" s="8"/>
      <c r="AI445" s="8"/>
      <c r="AJ445" s="8"/>
      <c r="AK445" s="11"/>
      <c r="AL445" s="8"/>
      <c r="AM445" s="8"/>
      <c r="AN445" s="9"/>
      <c r="AO445" s="8"/>
      <c r="AP445" s="8"/>
      <c r="AQ445" s="8"/>
    </row>
    <row r="446" spans="1:43" x14ac:dyDescent="0.15">
      <c r="A446" s="8"/>
      <c r="B446" s="8"/>
      <c r="C446" s="8"/>
      <c r="D446" s="8"/>
      <c r="E446" s="9"/>
      <c r="F446" s="8"/>
      <c r="G446" s="10"/>
      <c r="H446" s="11"/>
      <c r="I446" s="8"/>
      <c r="J446" s="9"/>
      <c r="K446" s="8"/>
      <c r="L446" s="9"/>
      <c r="M446" s="8"/>
      <c r="N446" s="11"/>
      <c r="O446" s="8"/>
      <c r="P446" s="9"/>
      <c r="Q446" s="8"/>
      <c r="R446" s="9"/>
      <c r="S446" s="8"/>
      <c r="T446" s="8"/>
      <c r="U446" s="8"/>
      <c r="V446" s="11"/>
      <c r="W446" s="8"/>
      <c r="X446" s="8"/>
      <c r="Y446" s="9"/>
      <c r="Z446" s="8"/>
      <c r="AA446" s="8"/>
      <c r="AB446" s="8"/>
      <c r="AC446" s="11"/>
      <c r="AD446" s="8"/>
      <c r="AE446" s="9"/>
      <c r="AF446" s="8"/>
      <c r="AG446" s="9"/>
      <c r="AH446" s="8"/>
      <c r="AI446" s="8"/>
      <c r="AJ446" s="8"/>
      <c r="AK446" s="11"/>
      <c r="AL446" s="8"/>
      <c r="AM446" s="8"/>
      <c r="AN446" s="9"/>
      <c r="AO446" s="8"/>
      <c r="AP446" s="8"/>
      <c r="AQ446" s="8"/>
    </row>
    <row r="447" spans="1:43" x14ac:dyDescent="0.15">
      <c r="A447" s="8"/>
      <c r="B447" s="8"/>
      <c r="C447" s="8"/>
      <c r="D447" s="8"/>
      <c r="E447" s="9"/>
      <c r="F447" s="8"/>
      <c r="G447" s="10"/>
      <c r="H447" s="11"/>
      <c r="I447" s="8"/>
      <c r="J447" s="9"/>
      <c r="K447" s="8"/>
      <c r="L447" s="9"/>
      <c r="M447" s="8"/>
      <c r="N447" s="11"/>
      <c r="O447" s="8"/>
      <c r="P447" s="9"/>
      <c r="Q447" s="8"/>
      <c r="R447" s="9"/>
      <c r="S447" s="8"/>
      <c r="T447" s="8"/>
      <c r="U447" s="8"/>
      <c r="V447" s="11"/>
      <c r="W447" s="8"/>
      <c r="X447" s="8"/>
      <c r="Y447" s="9"/>
      <c r="Z447" s="8"/>
      <c r="AA447" s="8"/>
      <c r="AB447" s="8"/>
      <c r="AC447" s="11"/>
      <c r="AD447" s="8"/>
      <c r="AE447" s="9"/>
      <c r="AF447" s="8"/>
      <c r="AG447" s="9"/>
      <c r="AH447" s="8"/>
      <c r="AI447" s="8"/>
      <c r="AJ447" s="8"/>
      <c r="AK447" s="11"/>
      <c r="AL447" s="8"/>
      <c r="AM447" s="8"/>
      <c r="AN447" s="9"/>
      <c r="AO447" s="8"/>
      <c r="AP447" s="8"/>
      <c r="AQ447" s="8"/>
    </row>
    <row r="448" spans="1:43" x14ac:dyDescent="0.15">
      <c r="A448" s="8"/>
      <c r="B448" s="8"/>
      <c r="C448" s="8"/>
      <c r="D448" s="8"/>
      <c r="E448" s="9"/>
      <c r="F448" s="8"/>
      <c r="G448" s="10"/>
      <c r="H448" s="11"/>
      <c r="I448" s="8"/>
      <c r="J448" s="9"/>
      <c r="K448" s="8"/>
      <c r="L448" s="9"/>
      <c r="M448" s="8"/>
      <c r="N448" s="11"/>
      <c r="O448" s="8"/>
      <c r="P448" s="9"/>
      <c r="Q448" s="8"/>
      <c r="R448" s="9"/>
      <c r="S448" s="8"/>
      <c r="T448" s="8"/>
      <c r="U448" s="8"/>
      <c r="V448" s="11"/>
      <c r="W448" s="8"/>
      <c r="X448" s="8"/>
      <c r="Y448" s="9"/>
      <c r="Z448" s="8"/>
      <c r="AA448" s="8"/>
      <c r="AB448" s="8"/>
      <c r="AC448" s="11"/>
      <c r="AD448" s="8"/>
      <c r="AE448" s="9"/>
      <c r="AF448" s="8"/>
      <c r="AG448" s="9"/>
      <c r="AH448" s="8"/>
      <c r="AI448" s="8"/>
      <c r="AJ448" s="8"/>
      <c r="AK448" s="11"/>
      <c r="AL448" s="8"/>
      <c r="AM448" s="8"/>
      <c r="AN448" s="9"/>
      <c r="AO448" s="8"/>
      <c r="AP448" s="8"/>
      <c r="AQ448" s="8"/>
    </row>
    <row r="449" spans="1:43" x14ac:dyDescent="0.15">
      <c r="A449" s="8"/>
      <c r="B449" s="8"/>
      <c r="C449" s="8"/>
      <c r="D449" s="8"/>
      <c r="E449" s="9"/>
      <c r="F449" s="8"/>
      <c r="G449" s="10"/>
      <c r="H449" s="11"/>
      <c r="I449" s="8"/>
      <c r="J449" s="9"/>
      <c r="K449" s="8"/>
      <c r="L449" s="9"/>
      <c r="M449" s="8"/>
      <c r="N449" s="11"/>
      <c r="O449" s="8"/>
      <c r="P449" s="9"/>
      <c r="Q449" s="8"/>
      <c r="R449" s="9"/>
      <c r="S449" s="8"/>
      <c r="T449" s="8"/>
      <c r="U449" s="8"/>
      <c r="V449" s="11"/>
      <c r="W449" s="8"/>
      <c r="X449" s="8"/>
      <c r="Y449" s="9"/>
      <c r="Z449" s="8"/>
      <c r="AA449" s="8"/>
      <c r="AB449" s="8"/>
      <c r="AC449" s="11"/>
      <c r="AD449" s="8"/>
      <c r="AE449" s="9"/>
      <c r="AF449" s="8"/>
      <c r="AG449" s="9"/>
      <c r="AH449" s="8"/>
      <c r="AI449" s="8"/>
      <c r="AJ449" s="8"/>
      <c r="AK449" s="11"/>
      <c r="AL449" s="8"/>
      <c r="AM449" s="8"/>
      <c r="AN449" s="9"/>
      <c r="AO449" s="8"/>
      <c r="AP449" s="8"/>
      <c r="AQ449" s="8"/>
    </row>
    <row r="450" spans="1:43" x14ac:dyDescent="0.15">
      <c r="A450" s="8"/>
      <c r="B450" s="8"/>
      <c r="C450" s="8"/>
      <c r="D450" s="8"/>
      <c r="E450" s="9"/>
      <c r="F450" s="8"/>
      <c r="G450" s="10"/>
      <c r="H450" s="11"/>
      <c r="I450" s="8"/>
      <c r="J450" s="9"/>
      <c r="K450" s="8"/>
      <c r="L450" s="9"/>
      <c r="M450" s="8"/>
      <c r="N450" s="11"/>
      <c r="O450" s="8"/>
      <c r="P450" s="9"/>
      <c r="Q450" s="8"/>
      <c r="R450" s="9"/>
      <c r="S450" s="8"/>
      <c r="T450" s="8"/>
      <c r="U450" s="8"/>
      <c r="V450" s="11"/>
      <c r="W450" s="8"/>
      <c r="X450" s="8"/>
      <c r="Y450" s="9"/>
      <c r="Z450" s="8"/>
      <c r="AA450" s="8"/>
      <c r="AB450" s="8"/>
      <c r="AC450" s="11"/>
      <c r="AD450" s="8"/>
      <c r="AE450" s="9"/>
      <c r="AF450" s="8"/>
      <c r="AG450" s="9"/>
      <c r="AH450" s="8"/>
      <c r="AI450" s="8"/>
      <c r="AJ450" s="8"/>
      <c r="AK450" s="11"/>
      <c r="AL450" s="8"/>
      <c r="AM450" s="8"/>
      <c r="AN450" s="9"/>
      <c r="AO450" s="8"/>
      <c r="AP450" s="8"/>
      <c r="AQ450" s="8"/>
    </row>
    <row r="451" spans="1:43" x14ac:dyDescent="0.15">
      <c r="A451" s="8"/>
      <c r="B451" s="8"/>
      <c r="C451" s="8"/>
      <c r="D451" s="8"/>
      <c r="E451" s="9"/>
      <c r="F451" s="8"/>
      <c r="G451" s="10"/>
      <c r="H451" s="11"/>
      <c r="I451" s="8"/>
      <c r="J451" s="9"/>
      <c r="K451" s="8"/>
      <c r="L451" s="9"/>
      <c r="M451" s="8"/>
      <c r="N451" s="11"/>
      <c r="O451" s="8"/>
      <c r="P451" s="9"/>
      <c r="Q451" s="8"/>
      <c r="R451" s="9"/>
      <c r="S451" s="8"/>
      <c r="T451" s="8"/>
      <c r="U451" s="8"/>
      <c r="V451" s="11"/>
      <c r="W451" s="8"/>
      <c r="X451" s="8"/>
      <c r="Y451" s="9"/>
      <c r="Z451" s="8"/>
      <c r="AA451" s="8"/>
      <c r="AB451" s="8"/>
      <c r="AC451" s="11"/>
      <c r="AD451" s="8"/>
      <c r="AE451" s="9"/>
      <c r="AF451" s="8"/>
      <c r="AG451" s="9"/>
      <c r="AH451" s="8"/>
      <c r="AI451" s="8"/>
      <c r="AJ451" s="8"/>
      <c r="AK451" s="11"/>
      <c r="AL451" s="8"/>
      <c r="AM451" s="8"/>
      <c r="AN451" s="9"/>
      <c r="AO451" s="8"/>
      <c r="AP451" s="8"/>
      <c r="AQ451" s="8"/>
    </row>
    <row r="452" spans="1:43" x14ac:dyDescent="0.15">
      <c r="A452" s="8"/>
      <c r="B452" s="8"/>
      <c r="C452" s="8"/>
      <c r="D452" s="8"/>
      <c r="E452" s="9"/>
      <c r="F452" s="8"/>
      <c r="G452" s="10"/>
      <c r="H452" s="11"/>
      <c r="I452" s="8"/>
      <c r="J452" s="9"/>
      <c r="K452" s="8"/>
      <c r="L452" s="9"/>
      <c r="M452" s="8"/>
      <c r="N452" s="11"/>
      <c r="O452" s="8"/>
      <c r="P452" s="9"/>
      <c r="Q452" s="8"/>
      <c r="R452" s="9"/>
      <c r="S452" s="8"/>
      <c r="T452" s="8"/>
      <c r="U452" s="8"/>
      <c r="V452" s="11"/>
      <c r="W452" s="8"/>
      <c r="X452" s="8"/>
      <c r="Y452" s="9"/>
      <c r="Z452" s="8"/>
      <c r="AA452" s="8"/>
      <c r="AB452" s="8"/>
      <c r="AC452" s="11"/>
      <c r="AD452" s="8"/>
      <c r="AE452" s="9"/>
      <c r="AF452" s="8"/>
      <c r="AG452" s="9"/>
      <c r="AH452" s="8"/>
      <c r="AI452" s="8"/>
      <c r="AJ452" s="8"/>
      <c r="AK452" s="11"/>
      <c r="AL452" s="8"/>
      <c r="AM452" s="8"/>
      <c r="AN452" s="9"/>
      <c r="AO452" s="8"/>
      <c r="AP452" s="8"/>
      <c r="AQ452" s="8"/>
    </row>
    <row r="453" spans="1:43" x14ac:dyDescent="0.15">
      <c r="A453" s="8"/>
      <c r="B453" s="8"/>
      <c r="C453" s="8"/>
      <c r="D453" s="8"/>
      <c r="E453" s="9"/>
      <c r="F453" s="8"/>
      <c r="G453" s="10"/>
      <c r="H453" s="11"/>
      <c r="I453" s="8"/>
      <c r="J453" s="9"/>
      <c r="K453" s="8"/>
      <c r="L453" s="9"/>
      <c r="M453" s="8"/>
      <c r="N453" s="11"/>
      <c r="O453" s="8"/>
      <c r="P453" s="9"/>
      <c r="Q453" s="8"/>
      <c r="R453" s="9"/>
      <c r="S453" s="8"/>
      <c r="T453" s="8"/>
      <c r="U453" s="8"/>
      <c r="V453" s="11"/>
      <c r="W453" s="8"/>
      <c r="X453" s="8"/>
      <c r="Y453" s="9"/>
      <c r="Z453" s="8"/>
      <c r="AA453" s="8"/>
      <c r="AB453" s="8"/>
      <c r="AC453" s="11"/>
      <c r="AD453" s="8"/>
      <c r="AE453" s="9"/>
      <c r="AF453" s="8"/>
      <c r="AG453" s="9"/>
      <c r="AH453" s="8"/>
      <c r="AI453" s="8"/>
      <c r="AJ453" s="8"/>
      <c r="AK453" s="11"/>
      <c r="AL453" s="8"/>
      <c r="AM453" s="8"/>
      <c r="AN453" s="9"/>
      <c r="AO453" s="8"/>
      <c r="AP453" s="8"/>
      <c r="AQ453" s="8"/>
    </row>
    <row r="454" spans="1:43" x14ac:dyDescent="0.15">
      <c r="A454" s="8"/>
      <c r="B454" s="8"/>
      <c r="C454" s="8"/>
      <c r="D454" s="8"/>
      <c r="E454" s="9"/>
      <c r="F454" s="8"/>
      <c r="G454" s="10"/>
      <c r="H454" s="11"/>
      <c r="I454" s="8"/>
      <c r="J454" s="9"/>
      <c r="K454" s="8"/>
      <c r="L454" s="9"/>
      <c r="M454" s="8"/>
      <c r="N454" s="11"/>
      <c r="O454" s="8"/>
      <c r="P454" s="9"/>
      <c r="Q454" s="8"/>
      <c r="R454" s="9"/>
      <c r="S454" s="8"/>
      <c r="T454" s="8"/>
      <c r="U454" s="8"/>
      <c r="V454" s="11"/>
      <c r="W454" s="8"/>
      <c r="X454" s="8"/>
      <c r="Y454" s="9"/>
      <c r="Z454" s="8"/>
      <c r="AA454" s="8"/>
      <c r="AB454" s="8"/>
      <c r="AC454" s="11"/>
      <c r="AD454" s="8"/>
      <c r="AE454" s="9"/>
      <c r="AF454" s="8"/>
      <c r="AG454" s="9"/>
      <c r="AH454" s="8"/>
      <c r="AI454" s="8"/>
      <c r="AJ454" s="8"/>
      <c r="AK454" s="11"/>
      <c r="AL454" s="8"/>
      <c r="AM454" s="8"/>
      <c r="AN454" s="9"/>
      <c r="AO454" s="8"/>
      <c r="AP454" s="8"/>
      <c r="AQ454" s="8"/>
    </row>
    <row r="455" spans="1:43" x14ac:dyDescent="0.15">
      <c r="A455" s="8"/>
      <c r="B455" s="8"/>
      <c r="C455" s="8"/>
      <c r="D455" s="8"/>
      <c r="E455" s="9"/>
      <c r="F455" s="8"/>
      <c r="G455" s="10"/>
      <c r="H455" s="11"/>
      <c r="I455" s="8"/>
      <c r="J455" s="9"/>
      <c r="K455" s="8"/>
      <c r="L455" s="9"/>
      <c r="M455" s="8"/>
      <c r="N455" s="11"/>
      <c r="O455" s="8"/>
      <c r="P455" s="9"/>
      <c r="Q455" s="8"/>
      <c r="R455" s="9"/>
      <c r="S455" s="8"/>
      <c r="T455" s="8"/>
      <c r="U455" s="8"/>
      <c r="V455" s="11"/>
      <c r="W455" s="8"/>
      <c r="X455" s="8"/>
      <c r="Y455" s="9"/>
      <c r="Z455" s="8"/>
      <c r="AA455" s="8"/>
      <c r="AB455" s="8"/>
      <c r="AC455" s="11"/>
      <c r="AD455" s="8"/>
      <c r="AE455" s="9"/>
      <c r="AF455" s="8"/>
      <c r="AG455" s="9"/>
      <c r="AH455" s="8"/>
      <c r="AI455" s="8"/>
      <c r="AJ455" s="8"/>
      <c r="AK455" s="11"/>
      <c r="AL455" s="8"/>
      <c r="AM455" s="8"/>
      <c r="AN455" s="9"/>
      <c r="AO455" s="8"/>
      <c r="AP455" s="8"/>
      <c r="AQ455" s="8"/>
    </row>
    <row r="456" spans="1:43" x14ac:dyDescent="0.15">
      <c r="A456" s="8"/>
      <c r="B456" s="8"/>
      <c r="C456" s="8"/>
      <c r="D456" s="8"/>
      <c r="E456" s="9"/>
      <c r="F456" s="8"/>
      <c r="G456" s="10"/>
      <c r="H456" s="11"/>
      <c r="I456" s="8"/>
      <c r="J456" s="9"/>
      <c r="K456" s="8"/>
      <c r="L456" s="9"/>
      <c r="M456" s="8"/>
      <c r="N456" s="11"/>
      <c r="O456" s="8"/>
      <c r="P456" s="9"/>
      <c r="Q456" s="8"/>
      <c r="R456" s="9"/>
      <c r="S456" s="8"/>
      <c r="T456" s="8"/>
      <c r="U456" s="8"/>
      <c r="V456" s="11"/>
      <c r="W456" s="8"/>
      <c r="X456" s="8"/>
      <c r="Y456" s="9"/>
      <c r="Z456" s="8"/>
      <c r="AA456" s="8"/>
      <c r="AB456" s="8"/>
      <c r="AC456" s="11"/>
      <c r="AD456" s="8"/>
      <c r="AE456" s="9"/>
      <c r="AF456" s="8"/>
      <c r="AG456" s="9"/>
      <c r="AH456" s="8"/>
      <c r="AI456" s="8"/>
      <c r="AJ456" s="8"/>
      <c r="AK456" s="11"/>
      <c r="AL456" s="8"/>
      <c r="AM456" s="8"/>
      <c r="AN456" s="9"/>
      <c r="AO456" s="8"/>
      <c r="AP456" s="8"/>
      <c r="AQ456" s="8"/>
    </row>
    <row r="457" spans="1:43" x14ac:dyDescent="0.15">
      <c r="A457" s="8"/>
      <c r="B457" s="8"/>
      <c r="C457" s="8"/>
      <c r="D457" s="8"/>
      <c r="E457" s="9"/>
      <c r="F457" s="8"/>
      <c r="G457" s="10"/>
      <c r="H457" s="11"/>
      <c r="I457" s="8"/>
      <c r="J457" s="9"/>
      <c r="K457" s="8"/>
      <c r="L457" s="9"/>
      <c r="M457" s="8"/>
      <c r="N457" s="11"/>
      <c r="O457" s="8"/>
      <c r="P457" s="9"/>
      <c r="Q457" s="8"/>
      <c r="R457" s="9"/>
      <c r="S457" s="8"/>
      <c r="T457" s="8"/>
      <c r="U457" s="8"/>
      <c r="V457" s="11"/>
      <c r="W457" s="8"/>
      <c r="X457" s="8"/>
      <c r="Y457" s="9"/>
      <c r="Z457" s="8"/>
      <c r="AA457" s="8"/>
      <c r="AB457" s="8"/>
      <c r="AC457" s="11"/>
      <c r="AD457" s="8"/>
      <c r="AE457" s="9"/>
      <c r="AF457" s="8"/>
      <c r="AG457" s="9"/>
      <c r="AH457" s="8"/>
      <c r="AI457" s="8"/>
      <c r="AJ457" s="8"/>
      <c r="AK457" s="11"/>
      <c r="AL457" s="8"/>
      <c r="AM457" s="8"/>
      <c r="AN457" s="9"/>
      <c r="AO457" s="8"/>
      <c r="AP457" s="8"/>
      <c r="AQ457" s="8"/>
    </row>
    <row r="458" spans="1:43" x14ac:dyDescent="0.15">
      <c r="A458" s="8"/>
      <c r="B458" s="8"/>
      <c r="C458" s="8"/>
      <c r="D458" s="8"/>
      <c r="E458" s="9"/>
      <c r="F458" s="8"/>
      <c r="G458" s="10"/>
      <c r="H458" s="11"/>
      <c r="I458" s="8"/>
      <c r="J458" s="9"/>
      <c r="K458" s="8"/>
      <c r="L458" s="9"/>
      <c r="M458" s="8"/>
      <c r="N458" s="11"/>
      <c r="O458" s="8"/>
      <c r="P458" s="9"/>
      <c r="Q458" s="8"/>
      <c r="R458" s="9"/>
      <c r="S458" s="8"/>
      <c r="T458" s="8"/>
      <c r="U458" s="8"/>
      <c r="V458" s="11"/>
      <c r="W458" s="8"/>
      <c r="X458" s="8"/>
      <c r="Y458" s="9"/>
      <c r="Z458" s="8"/>
      <c r="AA458" s="8"/>
      <c r="AB458" s="8"/>
      <c r="AC458" s="11"/>
      <c r="AD458" s="8"/>
      <c r="AE458" s="9"/>
      <c r="AF458" s="8"/>
      <c r="AG458" s="9"/>
      <c r="AH458" s="8"/>
      <c r="AI458" s="8"/>
      <c r="AJ458" s="8"/>
      <c r="AK458" s="11"/>
      <c r="AL458" s="8"/>
      <c r="AM458" s="8"/>
      <c r="AN458" s="9"/>
      <c r="AO458" s="8"/>
      <c r="AP458" s="8"/>
      <c r="AQ458" s="8"/>
    </row>
    <row r="459" spans="1:43" x14ac:dyDescent="0.15">
      <c r="A459" s="8"/>
      <c r="B459" s="8"/>
      <c r="C459" s="8"/>
      <c r="D459" s="8"/>
      <c r="E459" s="9"/>
      <c r="F459" s="8"/>
      <c r="G459" s="10"/>
      <c r="H459" s="11"/>
      <c r="I459" s="8"/>
      <c r="J459" s="9"/>
      <c r="K459" s="8"/>
      <c r="L459" s="9"/>
      <c r="M459" s="8"/>
      <c r="N459" s="11"/>
      <c r="O459" s="8"/>
      <c r="P459" s="9"/>
      <c r="Q459" s="8"/>
      <c r="R459" s="9"/>
      <c r="S459" s="8"/>
      <c r="T459" s="8"/>
      <c r="U459" s="8"/>
      <c r="V459" s="11"/>
      <c r="W459" s="8"/>
      <c r="X459" s="8"/>
      <c r="Y459" s="9"/>
      <c r="Z459" s="8"/>
      <c r="AA459" s="8"/>
      <c r="AB459" s="8"/>
      <c r="AC459" s="11"/>
      <c r="AD459" s="8"/>
      <c r="AE459" s="9"/>
      <c r="AF459" s="8"/>
      <c r="AG459" s="9"/>
      <c r="AH459" s="8"/>
      <c r="AI459" s="8"/>
      <c r="AJ459" s="8"/>
      <c r="AK459" s="11"/>
      <c r="AL459" s="8"/>
      <c r="AM459" s="8"/>
      <c r="AN459" s="9"/>
      <c r="AO459" s="8"/>
      <c r="AP459" s="8"/>
      <c r="AQ459" s="8"/>
    </row>
    <row r="460" spans="1:43" x14ac:dyDescent="0.15">
      <c r="A460" s="8"/>
      <c r="B460" s="8"/>
      <c r="C460" s="8"/>
      <c r="D460" s="8"/>
      <c r="E460" s="9"/>
      <c r="F460" s="8"/>
      <c r="G460" s="10"/>
      <c r="H460" s="11"/>
      <c r="I460" s="8"/>
      <c r="J460" s="9"/>
      <c r="K460" s="8"/>
      <c r="L460" s="9"/>
      <c r="M460" s="8"/>
      <c r="N460" s="11"/>
      <c r="O460" s="8"/>
      <c r="P460" s="9"/>
      <c r="Q460" s="8"/>
      <c r="R460" s="9"/>
      <c r="S460" s="8"/>
      <c r="T460" s="8"/>
      <c r="U460" s="8"/>
      <c r="V460" s="11"/>
      <c r="W460" s="8"/>
      <c r="X460" s="8"/>
      <c r="Y460" s="9"/>
      <c r="Z460" s="8"/>
      <c r="AA460" s="8"/>
      <c r="AB460" s="8"/>
      <c r="AC460" s="11"/>
      <c r="AD460" s="8"/>
      <c r="AE460" s="9"/>
      <c r="AF460" s="8"/>
      <c r="AG460" s="9"/>
      <c r="AH460" s="8"/>
      <c r="AI460" s="8"/>
      <c r="AJ460" s="8"/>
      <c r="AK460" s="11"/>
      <c r="AL460" s="8"/>
      <c r="AM460" s="8"/>
      <c r="AN460" s="9"/>
      <c r="AO460" s="8"/>
      <c r="AP460" s="8"/>
      <c r="AQ460" s="8"/>
    </row>
    <row r="461" spans="1:43" x14ac:dyDescent="0.15">
      <c r="A461" s="8"/>
      <c r="B461" s="8"/>
      <c r="C461" s="8"/>
      <c r="D461" s="8"/>
      <c r="E461" s="9"/>
      <c r="F461" s="8"/>
      <c r="G461" s="10"/>
      <c r="H461" s="11"/>
      <c r="I461" s="8"/>
      <c r="J461" s="9"/>
      <c r="K461" s="8"/>
      <c r="L461" s="9"/>
      <c r="M461" s="8"/>
      <c r="N461" s="11"/>
      <c r="O461" s="8"/>
      <c r="P461" s="9"/>
      <c r="Q461" s="8"/>
      <c r="R461" s="9"/>
      <c r="S461" s="8"/>
      <c r="T461" s="8"/>
      <c r="U461" s="8"/>
      <c r="V461" s="11"/>
      <c r="W461" s="8"/>
      <c r="X461" s="8"/>
      <c r="Y461" s="9"/>
      <c r="Z461" s="8"/>
      <c r="AA461" s="8"/>
      <c r="AB461" s="8"/>
      <c r="AC461" s="11"/>
      <c r="AD461" s="8"/>
      <c r="AE461" s="9"/>
      <c r="AF461" s="8"/>
      <c r="AG461" s="9"/>
      <c r="AH461" s="8"/>
      <c r="AI461" s="8"/>
      <c r="AJ461" s="8"/>
      <c r="AK461" s="11"/>
      <c r="AL461" s="8"/>
      <c r="AM461" s="8"/>
      <c r="AN461" s="9"/>
      <c r="AO461" s="8"/>
      <c r="AP461" s="8"/>
      <c r="AQ461" s="8"/>
    </row>
    <row r="462" spans="1:43" x14ac:dyDescent="0.15">
      <c r="A462" s="8"/>
      <c r="B462" s="8"/>
      <c r="C462" s="8"/>
      <c r="D462" s="8"/>
      <c r="E462" s="9"/>
      <c r="F462" s="8"/>
      <c r="G462" s="10"/>
      <c r="H462" s="11"/>
      <c r="I462" s="8"/>
      <c r="J462" s="9"/>
      <c r="K462" s="8"/>
      <c r="L462" s="9"/>
      <c r="M462" s="8"/>
      <c r="N462" s="11"/>
      <c r="O462" s="8"/>
      <c r="P462" s="9"/>
      <c r="Q462" s="8"/>
      <c r="R462" s="9"/>
      <c r="S462" s="8"/>
      <c r="T462" s="8"/>
      <c r="U462" s="8"/>
      <c r="V462" s="11"/>
      <c r="W462" s="8"/>
      <c r="X462" s="8"/>
      <c r="Y462" s="9"/>
      <c r="Z462" s="8"/>
      <c r="AA462" s="8"/>
      <c r="AB462" s="8"/>
      <c r="AC462" s="11"/>
      <c r="AD462" s="8"/>
      <c r="AE462" s="9"/>
      <c r="AF462" s="8"/>
      <c r="AG462" s="9"/>
      <c r="AH462" s="8"/>
      <c r="AI462" s="8"/>
      <c r="AJ462" s="8"/>
      <c r="AK462" s="11"/>
      <c r="AL462" s="8"/>
      <c r="AM462" s="8"/>
      <c r="AN462" s="9"/>
      <c r="AO462" s="8"/>
      <c r="AP462" s="8"/>
      <c r="AQ462" s="8"/>
    </row>
    <row r="463" spans="1:43" x14ac:dyDescent="0.15">
      <c r="A463" s="8"/>
      <c r="B463" s="8"/>
      <c r="C463" s="8"/>
      <c r="D463" s="8"/>
      <c r="E463" s="9"/>
      <c r="F463" s="8"/>
      <c r="G463" s="10"/>
      <c r="H463" s="11"/>
      <c r="I463" s="8"/>
      <c r="J463" s="9"/>
      <c r="K463" s="8"/>
      <c r="L463" s="9"/>
      <c r="M463" s="8"/>
      <c r="N463" s="11"/>
      <c r="O463" s="8"/>
      <c r="P463" s="9"/>
      <c r="Q463" s="8"/>
      <c r="R463" s="9"/>
      <c r="S463" s="8"/>
      <c r="T463" s="8"/>
      <c r="U463" s="8"/>
      <c r="V463" s="11"/>
      <c r="W463" s="8"/>
      <c r="X463" s="8"/>
      <c r="Y463" s="9"/>
      <c r="Z463" s="8"/>
      <c r="AA463" s="8"/>
      <c r="AB463" s="8"/>
      <c r="AC463" s="11"/>
      <c r="AD463" s="8"/>
      <c r="AE463" s="9"/>
      <c r="AF463" s="8"/>
      <c r="AG463" s="9"/>
      <c r="AH463" s="8"/>
      <c r="AI463" s="8"/>
      <c r="AJ463" s="8"/>
      <c r="AK463" s="11"/>
      <c r="AL463" s="8"/>
      <c r="AM463" s="8"/>
      <c r="AN463" s="9"/>
      <c r="AO463" s="8"/>
      <c r="AP463" s="8"/>
      <c r="AQ463" s="8"/>
    </row>
    <row r="464" spans="1:43" x14ac:dyDescent="0.15">
      <c r="A464" s="8"/>
      <c r="B464" s="8"/>
      <c r="C464" s="8"/>
      <c r="D464" s="8"/>
      <c r="E464" s="9"/>
      <c r="F464" s="8"/>
      <c r="G464" s="10"/>
      <c r="H464" s="11"/>
      <c r="I464" s="8"/>
      <c r="J464" s="9"/>
      <c r="K464" s="8"/>
      <c r="L464" s="9"/>
      <c r="M464" s="8"/>
      <c r="N464" s="11"/>
      <c r="O464" s="8"/>
      <c r="P464" s="9"/>
      <c r="Q464" s="8"/>
      <c r="R464" s="9"/>
      <c r="S464" s="8"/>
      <c r="T464" s="8"/>
      <c r="U464" s="8"/>
      <c r="V464" s="11"/>
      <c r="W464" s="8"/>
      <c r="X464" s="8"/>
      <c r="Y464" s="9"/>
      <c r="Z464" s="8"/>
      <c r="AA464" s="8"/>
      <c r="AB464" s="8"/>
      <c r="AC464" s="11"/>
      <c r="AD464" s="8"/>
      <c r="AE464" s="9"/>
      <c r="AF464" s="8"/>
      <c r="AG464" s="9"/>
      <c r="AH464" s="8"/>
      <c r="AI464" s="8"/>
      <c r="AJ464" s="8"/>
      <c r="AK464" s="11"/>
      <c r="AL464" s="8"/>
      <c r="AM464" s="8"/>
      <c r="AN464" s="9"/>
      <c r="AO464" s="8"/>
      <c r="AP464" s="8"/>
      <c r="AQ464" s="8"/>
    </row>
    <row r="465" spans="1:43" x14ac:dyDescent="0.15">
      <c r="A465" s="8"/>
      <c r="B465" s="8"/>
      <c r="C465" s="8"/>
      <c r="D465" s="8"/>
      <c r="E465" s="9"/>
      <c r="F465" s="8"/>
      <c r="G465" s="10"/>
      <c r="H465" s="11"/>
      <c r="I465" s="8"/>
      <c r="J465" s="9"/>
      <c r="K465" s="8"/>
      <c r="L465" s="9"/>
      <c r="M465" s="8"/>
      <c r="N465" s="11"/>
      <c r="O465" s="8"/>
      <c r="P465" s="9"/>
      <c r="Q465" s="8"/>
      <c r="R465" s="9"/>
      <c r="S465" s="8"/>
      <c r="T465" s="8"/>
      <c r="U465" s="8"/>
      <c r="V465" s="11"/>
      <c r="W465" s="8"/>
      <c r="X465" s="8"/>
      <c r="Y465" s="9"/>
      <c r="Z465" s="8"/>
      <c r="AA465" s="8"/>
      <c r="AB465" s="8"/>
      <c r="AC465" s="11"/>
      <c r="AD465" s="8"/>
      <c r="AE465" s="9"/>
      <c r="AF465" s="8"/>
      <c r="AG465" s="9"/>
      <c r="AH465" s="8"/>
      <c r="AI465" s="8"/>
      <c r="AJ465" s="8"/>
      <c r="AK465" s="11"/>
      <c r="AL465" s="8"/>
      <c r="AM465" s="8"/>
      <c r="AN465" s="9"/>
      <c r="AO465" s="8"/>
      <c r="AP465" s="8"/>
      <c r="AQ465" s="8"/>
    </row>
    <row r="466" spans="1:43" x14ac:dyDescent="0.15">
      <c r="A466" s="8"/>
      <c r="B466" s="8"/>
      <c r="C466" s="8"/>
      <c r="D466" s="8"/>
      <c r="E466" s="9"/>
      <c r="F466" s="8"/>
      <c r="G466" s="10"/>
      <c r="H466" s="11"/>
      <c r="I466" s="8"/>
      <c r="J466" s="9"/>
      <c r="K466" s="8"/>
      <c r="L466" s="9"/>
      <c r="M466" s="8"/>
      <c r="N466" s="11"/>
      <c r="O466" s="8"/>
      <c r="P466" s="9"/>
      <c r="Q466" s="8"/>
      <c r="R466" s="9"/>
      <c r="S466" s="8"/>
      <c r="T466" s="8"/>
      <c r="U466" s="8"/>
      <c r="V466" s="11"/>
      <c r="W466" s="8"/>
      <c r="X466" s="8"/>
      <c r="Y466" s="9"/>
      <c r="Z466" s="8"/>
      <c r="AA466" s="8"/>
      <c r="AB466" s="8"/>
      <c r="AC466" s="11"/>
      <c r="AD466" s="8"/>
      <c r="AE466" s="9"/>
      <c r="AF466" s="8"/>
      <c r="AG466" s="9"/>
      <c r="AH466" s="8"/>
      <c r="AI466" s="8"/>
      <c r="AJ466" s="8"/>
      <c r="AK466" s="11"/>
      <c r="AL466" s="8"/>
      <c r="AM466" s="8"/>
      <c r="AN466" s="9"/>
      <c r="AO466" s="8"/>
      <c r="AP466" s="8"/>
      <c r="AQ466" s="8"/>
    </row>
    <row r="467" spans="1:43" x14ac:dyDescent="0.15">
      <c r="A467" s="8"/>
      <c r="B467" s="8"/>
      <c r="C467" s="8"/>
      <c r="D467" s="8"/>
      <c r="E467" s="9"/>
      <c r="F467" s="8"/>
      <c r="G467" s="10"/>
      <c r="H467" s="11"/>
      <c r="I467" s="8"/>
      <c r="J467" s="9"/>
      <c r="K467" s="8"/>
      <c r="L467" s="9"/>
      <c r="M467" s="8"/>
      <c r="N467" s="11"/>
      <c r="O467" s="8"/>
      <c r="P467" s="9"/>
      <c r="Q467" s="8"/>
      <c r="R467" s="9"/>
      <c r="S467" s="8"/>
      <c r="T467" s="8"/>
      <c r="U467" s="8"/>
      <c r="V467" s="11"/>
      <c r="W467" s="8"/>
      <c r="X467" s="8"/>
      <c r="Y467" s="9"/>
      <c r="Z467" s="8"/>
      <c r="AA467" s="8"/>
      <c r="AB467" s="8"/>
      <c r="AC467" s="11"/>
      <c r="AD467" s="8"/>
      <c r="AE467" s="9"/>
      <c r="AF467" s="8"/>
      <c r="AG467" s="9"/>
      <c r="AH467" s="8"/>
      <c r="AI467" s="8"/>
      <c r="AJ467" s="8"/>
      <c r="AK467" s="11"/>
      <c r="AL467" s="8"/>
      <c r="AM467" s="8"/>
      <c r="AN467" s="9"/>
      <c r="AO467" s="8"/>
      <c r="AP467" s="8"/>
      <c r="AQ467" s="8"/>
    </row>
    <row r="468" spans="1:43" x14ac:dyDescent="0.15">
      <c r="A468" s="8"/>
      <c r="B468" s="8"/>
      <c r="C468" s="8"/>
      <c r="D468" s="8"/>
      <c r="E468" s="9"/>
      <c r="F468" s="8"/>
      <c r="G468" s="10"/>
      <c r="H468" s="11"/>
      <c r="I468" s="8"/>
      <c r="J468" s="9"/>
      <c r="K468" s="8"/>
      <c r="L468" s="9"/>
      <c r="M468" s="8"/>
      <c r="N468" s="11"/>
      <c r="O468" s="8"/>
      <c r="P468" s="9"/>
      <c r="Q468" s="8"/>
      <c r="R468" s="9"/>
      <c r="S468" s="8"/>
      <c r="T468" s="8"/>
      <c r="U468" s="8"/>
      <c r="V468" s="11"/>
      <c r="W468" s="8"/>
      <c r="X468" s="8"/>
      <c r="Y468" s="9"/>
      <c r="Z468" s="8"/>
      <c r="AA468" s="8"/>
      <c r="AB468" s="8"/>
      <c r="AC468" s="11"/>
      <c r="AD468" s="8"/>
      <c r="AE468" s="9"/>
      <c r="AF468" s="8"/>
      <c r="AG468" s="9"/>
      <c r="AH468" s="8"/>
      <c r="AI468" s="8"/>
      <c r="AJ468" s="8"/>
      <c r="AK468" s="11"/>
      <c r="AL468" s="8"/>
      <c r="AM468" s="8"/>
      <c r="AN468" s="9"/>
      <c r="AO468" s="8"/>
      <c r="AP468" s="8"/>
      <c r="AQ468" s="8"/>
    </row>
    <row r="469" spans="1:43" x14ac:dyDescent="0.15">
      <c r="A469" s="8"/>
      <c r="B469" s="8"/>
      <c r="C469" s="8"/>
      <c r="D469" s="8"/>
      <c r="E469" s="9"/>
      <c r="F469" s="8"/>
      <c r="G469" s="10"/>
      <c r="H469" s="11"/>
      <c r="I469" s="8"/>
      <c r="J469" s="9"/>
      <c r="K469" s="8"/>
      <c r="L469" s="9"/>
      <c r="M469" s="8"/>
      <c r="N469" s="11"/>
      <c r="O469" s="8"/>
      <c r="P469" s="9"/>
      <c r="Q469" s="8"/>
      <c r="R469" s="9"/>
      <c r="S469" s="8"/>
      <c r="T469" s="8"/>
      <c r="U469" s="8"/>
      <c r="V469" s="11"/>
      <c r="W469" s="8"/>
      <c r="X469" s="8"/>
      <c r="Y469" s="9"/>
      <c r="Z469" s="8"/>
      <c r="AA469" s="8"/>
      <c r="AB469" s="8"/>
      <c r="AC469" s="11"/>
      <c r="AD469" s="8"/>
      <c r="AE469" s="9"/>
      <c r="AF469" s="8"/>
      <c r="AG469" s="9"/>
      <c r="AH469" s="8"/>
      <c r="AI469" s="8"/>
      <c r="AJ469" s="8"/>
      <c r="AK469" s="11"/>
      <c r="AL469" s="8"/>
      <c r="AM469" s="8"/>
      <c r="AN469" s="9"/>
      <c r="AO469" s="8"/>
      <c r="AP469" s="8"/>
      <c r="AQ469" s="8"/>
    </row>
    <row r="470" spans="1:43" x14ac:dyDescent="0.15">
      <c r="A470" s="8"/>
      <c r="B470" s="8"/>
      <c r="C470" s="8"/>
      <c r="D470" s="8"/>
      <c r="E470" s="9"/>
      <c r="F470" s="8"/>
      <c r="G470" s="10"/>
      <c r="H470" s="11"/>
      <c r="I470" s="8"/>
      <c r="J470" s="9"/>
      <c r="K470" s="8"/>
      <c r="L470" s="9"/>
      <c r="M470" s="8"/>
      <c r="N470" s="11"/>
      <c r="O470" s="8"/>
      <c r="P470" s="9"/>
      <c r="Q470" s="8"/>
      <c r="R470" s="9"/>
      <c r="S470" s="8"/>
      <c r="T470" s="8"/>
      <c r="U470" s="8"/>
      <c r="V470" s="11"/>
      <c r="W470" s="8"/>
      <c r="X470" s="8"/>
      <c r="Y470" s="9"/>
      <c r="Z470" s="8"/>
      <c r="AA470" s="8"/>
      <c r="AB470" s="8"/>
      <c r="AC470" s="11"/>
      <c r="AD470" s="8"/>
      <c r="AE470" s="9"/>
      <c r="AF470" s="8"/>
      <c r="AG470" s="9"/>
      <c r="AH470" s="8"/>
      <c r="AI470" s="8"/>
      <c r="AJ470" s="8"/>
      <c r="AK470" s="11"/>
      <c r="AL470" s="8"/>
      <c r="AM470" s="8"/>
      <c r="AN470" s="9"/>
      <c r="AO470" s="8"/>
      <c r="AP470" s="8"/>
      <c r="AQ470" s="8"/>
    </row>
    <row r="471" spans="1:43" x14ac:dyDescent="0.15">
      <c r="A471" s="8"/>
      <c r="B471" s="8"/>
      <c r="C471" s="8"/>
      <c r="D471" s="8"/>
      <c r="E471" s="9"/>
      <c r="F471" s="8"/>
      <c r="G471" s="10"/>
      <c r="H471" s="11"/>
      <c r="I471" s="8"/>
      <c r="J471" s="9"/>
      <c r="K471" s="8"/>
      <c r="L471" s="9"/>
      <c r="M471" s="8"/>
      <c r="N471" s="11"/>
      <c r="O471" s="8"/>
      <c r="P471" s="9"/>
      <c r="Q471" s="8"/>
      <c r="R471" s="9"/>
      <c r="S471" s="8"/>
      <c r="T471" s="8"/>
      <c r="U471" s="8"/>
      <c r="V471" s="11"/>
      <c r="W471" s="8"/>
      <c r="X471" s="8"/>
      <c r="Y471" s="9"/>
      <c r="Z471" s="8"/>
      <c r="AA471" s="8"/>
      <c r="AB471" s="8"/>
      <c r="AC471" s="11"/>
      <c r="AD471" s="8"/>
      <c r="AE471" s="9"/>
      <c r="AF471" s="8"/>
      <c r="AG471" s="9"/>
      <c r="AH471" s="8"/>
      <c r="AI471" s="8"/>
      <c r="AJ471" s="8"/>
      <c r="AK471" s="11"/>
      <c r="AL471" s="8"/>
      <c r="AM471" s="8"/>
      <c r="AN471" s="9"/>
      <c r="AO471" s="8"/>
      <c r="AP471" s="8"/>
      <c r="AQ471" s="8"/>
    </row>
    <row r="472" spans="1:43" x14ac:dyDescent="0.15">
      <c r="A472" s="8"/>
      <c r="B472" s="8"/>
      <c r="C472" s="8"/>
      <c r="D472" s="8"/>
      <c r="E472" s="9"/>
      <c r="F472" s="8"/>
      <c r="G472" s="10"/>
      <c r="H472" s="11"/>
      <c r="I472" s="8"/>
      <c r="J472" s="9"/>
      <c r="K472" s="8"/>
      <c r="L472" s="9"/>
      <c r="M472" s="8"/>
      <c r="N472" s="11"/>
      <c r="O472" s="8"/>
      <c r="P472" s="9"/>
      <c r="Q472" s="8"/>
      <c r="R472" s="9"/>
      <c r="S472" s="8"/>
      <c r="T472" s="8"/>
      <c r="U472" s="8"/>
      <c r="V472" s="11"/>
      <c r="W472" s="8"/>
      <c r="X472" s="8"/>
      <c r="Y472" s="9"/>
      <c r="Z472" s="8"/>
      <c r="AA472" s="8"/>
      <c r="AB472" s="8"/>
      <c r="AC472" s="11"/>
      <c r="AD472" s="8"/>
      <c r="AE472" s="9"/>
      <c r="AF472" s="8"/>
      <c r="AG472" s="9"/>
      <c r="AH472" s="8"/>
      <c r="AI472" s="8"/>
      <c r="AJ472" s="8"/>
      <c r="AK472" s="11"/>
      <c r="AL472" s="8"/>
      <c r="AM472" s="8"/>
      <c r="AN472" s="9"/>
      <c r="AO472" s="8"/>
      <c r="AP472" s="8"/>
      <c r="AQ472" s="8"/>
    </row>
    <row r="473" spans="1:43" x14ac:dyDescent="0.15">
      <c r="A473" s="8"/>
      <c r="B473" s="8"/>
      <c r="C473" s="8"/>
      <c r="D473" s="8"/>
      <c r="E473" s="9"/>
      <c r="F473" s="8"/>
      <c r="G473" s="10"/>
      <c r="H473" s="11"/>
      <c r="I473" s="8"/>
      <c r="J473" s="9"/>
      <c r="K473" s="8"/>
      <c r="L473" s="9"/>
      <c r="M473" s="8"/>
      <c r="N473" s="11"/>
      <c r="O473" s="8"/>
      <c r="P473" s="9"/>
      <c r="Q473" s="8"/>
      <c r="R473" s="9"/>
      <c r="S473" s="8"/>
      <c r="T473" s="8"/>
      <c r="U473" s="8"/>
      <c r="V473" s="11"/>
      <c r="W473" s="8"/>
      <c r="X473" s="8"/>
      <c r="Y473" s="9"/>
      <c r="Z473" s="8"/>
      <c r="AA473" s="8"/>
      <c r="AB473" s="8"/>
      <c r="AC473" s="11"/>
      <c r="AD473" s="8"/>
      <c r="AE473" s="9"/>
      <c r="AF473" s="8"/>
      <c r="AG473" s="9"/>
      <c r="AH473" s="8"/>
      <c r="AI473" s="8"/>
      <c r="AJ473" s="8"/>
      <c r="AK473" s="11"/>
      <c r="AL473" s="8"/>
      <c r="AM473" s="8"/>
      <c r="AN473" s="9"/>
      <c r="AO473" s="8"/>
      <c r="AP473" s="8"/>
      <c r="AQ473" s="8"/>
    </row>
    <row r="474" spans="1:43" x14ac:dyDescent="0.15">
      <c r="A474" s="8"/>
      <c r="B474" s="8"/>
      <c r="C474" s="8"/>
      <c r="D474" s="8"/>
      <c r="E474" s="9"/>
      <c r="F474" s="8"/>
      <c r="G474" s="10"/>
      <c r="H474" s="11"/>
      <c r="I474" s="8"/>
      <c r="J474" s="9"/>
      <c r="K474" s="8"/>
      <c r="L474" s="9"/>
      <c r="M474" s="8"/>
      <c r="N474" s="11"/>
      <c r="O474" s="8"/>
      <c r="P474" s="9"/>
      <c r="Q474" s="8"/>
      <c r="R474" s="9"/>
      <c r="S474" s="8"/>
      <c r="T474" s="8"/>
      <c r="U474" s="8"/>
      <c r="V474" s="11"/>
      <c r="W474" s="8"/>
      <c r="X474" s="8"/>
      <c r="Y474" s="9"/>
      <c r="Z474" s="8"/>
      <c r="AA474" s="8"/>
      <c r="AB474" s="8"/>
      <c r="AC474" s="11"/>
      <c r="AD474" s="8"/>
      <c r="AE474" s="9"/>
      <c r="AF474" s="8"/>
      <c r="AG474" s="9"/>
      <c r="AH474" s="8"/>
      <c r="AI474" s="8"/>
      <c r="AJ474" s="8"/>
      <c r="AK474" s="11"/>
      <c r="AL474" s="8"/>
      <c r="AM474" s="8"/>
      <c r="AN474" s="9"/>
      <c r="AO474" s="8"/>
      <c r="AP474" s="8"/>
      <c r="AQ474" s="8"/>
    </row>
    <row r="475" spans="1:43" x14ac:dyDescent="0.15">
      <c r="A475" s="8"/>
      <c r="B475" s="8"/>
      <c r="C475" s="8"/>
      <c r="D475" s="8"/>
      <c r="E475" s="9"/>
      <c r="F475" s="8"/>
      <c r="G475" s="10"/>
      <c r="H475" s="11"/>
      <c r="I475" s="8"/>
      <c r="J475" s="9"/>
      <c r="K475" s="8"/>
      <c r="L475" s="9"/>
      <c r="M475" s="8"/>
      <c r="N475" s="11"/>
      <c r="O475" s="8"/>
      <c r="P475" s="9"/>
      <c r="Q475" s="8"/>
      <c r="R475" s="9"/>
      <c r="S475" s="8"/>
      <c r="T475" s="8"/>
      <c r="U475" s="8"/>
      <c r="V475" s="11"/>
      <c r="W475" s="8"/>
      <c r="X475" s="8"/>
      <c r="Y475" s="9"/>
      <c r="Z475" s="8"/>
      <c r="AA475" s="8"/>
      <c r="AB475" s="8"/>
      <c r="AC475" s="11"/>
      <c r="AD475" s="8"/>
      <c r="AE475" s="9"/>
      <c r="AF475" s="8"/>
      <c r="AG475" s="9"/>
      <c r="AH475" s="8"/>
      <c r="AI475" s="8"/>
      <c r="AJ475" s="8"/>
      <c r="AK475" s="11"/>
      <c r="AL475" s="8"/>
      <c r="AM475" s="8"/>
      <c r="AN475" s="9"/>
      <c r="AO475" s="8"/>
      <c r="AP475" s="8"/>
      <c r="AQ475" s="8"/>
    </row>
    <row r="476" spans="1:43" x14ac:dyDescent="0.15">
      <c r="A476" s="8"/>
      <c r="B476" s="8"/>
      <c r="C476" s="8"/>
      <c r="D476" s="8"/>
      <c r="E476" s="9"/>
      <c r="F476" s="8"/>
      <c r="G476" s="10"/>
      <c r="H476" s="11"/>
      <c r="I476" s="8"/>
      <c r="J476" s="9"/>
      <c r="K476" s="8"/>
      <c r="L476" s="9"/>
      <c r="M476" s="8"/>
      <c r="N476" s="11"/>
      <c r="O476" s="8"/>
      <c r="P476" s="9"/>
      <c r="Q476" s="8"/>
      <c r="R476" s="9"/>
      <c r="S476" s="8"/>
      <c r="T476" s="8"/>
      <c r="U476" s="8"/>
      <c r="V476" s="11"/>
      <c r="W476" s="8"/>
      <c r="X476" s="8"/>
      <c r="Y476" s="9"/>
      <c r="Z476" s="8"/>
      <c r="AA476" s="8"/>
      <c r="AB476" s="8"/>
      <c r="AC476" s="11"/>
      <c r="AD476" s="8"/>
      <c r="AE476" s="9"/>
      <c r="AF476" s="8"/>
      <c r="AG476" s="9"/>
      <c r="AH476" s="8"/>
      <c r="AI476" s="8"/>
      <c r="AJ476" s="8"/>
      <c r="AK476" s="11"/>
      <c r="AL476" s="8"/>
      <c r="AM476" s="8"/>
      <c r="AN476" s="9"/>
      <c r="AO476" s="8"/>
      <c r="AP476" s="8"/>
      <c r="AQ476" s="8"/>
    </row>
    <row r="477" spans="1:43" x14ac:dyDescent="0.15">
      <c r="A477" s="8"/>
      <c r="B477" s="8"/>
      <c r="C477" s="8"/>
      <c r="D477" s="8"/>
      <c r="E477" s="9"/>
      <c r="F477" s="8"/>
      <c r="G477" s="10"/>
      <c r="H477" s="11"/>
      <c r="I477" s="8"/>
      <c r="J477" s="9"/>
      <c r="K477" s="8"/>
      <c r="L477" s="9"/>
      <c r="M477" s="8"/>
      <c r="N477" s="11"/>
      <c r="O477" s="8"/>
      <c r="P477" s="9"/>
      <c r="Q477" s="8"/>
      <c r="R477" s="9"/>
      <c r="S477" s="8"/>
      <c r="T477" s="8"/>
      <c r="U477" s="8"/>
      <c r="V477" s="11"/>
      <c r="W477" s="8"/>
      <c r="X477" s="8"/>
      <c r="Y477" s="9"/>
      <c r="Z477" s="8"/>
      <c r="AA477" s="8"/>
      <c r="AB477" s="8"/>
      <c r="AC477" s="11"/>
      <c r="AD477" s="8"/>
      <c r="AE477" s="9"/>
      <c r="AF477" s="8"/>
      <c r="AG477" s="9"/>
      <c r="AH477" s="8"/>
      <c r="AI477" s="8"/>
      <c r="AJ477" s="8"/>
      <c r="AK477" s="11"/>
      <c r="AL477" s="8"/>
      <c r="AM477" s="8"/>
      <c r="AN477" s="9"/>
      <c r="AO477" s="8"/>
      <c r="AP477" s="8"/>
      <c r="AQ477" s="8"/>
    </row>
    <row r="478" spans="1:43" x14ac:dyDescent="0.15">
      <c r="A478" s="8"/>
      <c r="B478" s="8"/>
      <c r="C478" s="8"/>
      <c r="D478" s="8"/>
      <c r="E478" s="9"/>
      <c r="F478" s="8"/>
      <c r="G478" s="10"/>
      <c r="H478" s="11"/>
      <c r="I478" s="8"/>
      <c r="J478" s="9"/>
      <c r="K478" s="8"/>
      <c r="L478" s="9"/>
      <c r="M478" s="8"/>
      <c r="N478" s="11"/>
      <c r="O478" s="8"/>
      <c r="P478" s="9"/>
      <c r="Q478" s="8"/>
      <c r="R478" s="9"/>
      <c r="S478" s="8"/>
      <c r="T478" s="8"/>
      <c r="U478" s="8"/>
      <c r="V478" s="11"/>
      <c r="W478" s="8"/>
      <c r="X478" s="8"/>
      <c r="Y478" s="9"/>
      <c r="Z478" s="8"/>
      <c r="AA478" s="8"/>
      <c r="AB478" s="8"/>
      <c r="AC478" s="11"/>
      <c r="AD478" s="8"/>
      <c r="AE478" s="9"/>
      <c r="AF478" s="8"/>
      <c r="AG478" s="9"/>
      <c r="AH478" s="8"/>
      <c r="AI478" s="8"/>
      <c r="AJ478" s="8"/>
      <c r="AK478" s="11"/>
      <c r="AL478" s="8"/>
      <c r="AM478" s="8"/>
      <c r="AN478" s="9"/>
      <c r="AO478" s="8"/>
      <c r="AP478" s="8"/>
      <c r="AQ478" s="8"/>
    </row>
    <row r="479" spans="1:43" x14ac:dyDescent="0.15">
      <c r="A479" s="8"/>
      <c r="B479" s="8"/>
      <c r="C479" s="8"/>
      <c r="D479" s="8"/>
      <c r="E479" s="9"/>
      <c r="F479" s="8"/>
      <c r="G479" s="10"/>
      <c r="H479" s="11"/>
      <c r="I479" s="8"/>
      <c r="J479" s="9"/>
      <c r="K479" s="8"/>
      <c r="L479" s="9"/>
      <c r="M479" s="8"/>
      <c r="N479" s="11"/>
      <c r="O479" s="8"/>
      <c r="P479" s="9"/>
      <c r="Q479" s="8"/>
      <c r="R479" s="9"/>
      <c r="S479" s="8"/>
      <c r="T479" s="8"/>
      <c r="U479" s="8"/>
      <c r="V479" s="11"/>
      <c r="W479" s="8"/>
      <c r="X479" s="8"/>
      <c r="Y479" s="9"/>
      <c r="Z479" s="8"/>
      <c r="AA479" s="8"/>
      <c r="AB479" s="8"/>
      <c r="AC479" s="11"/>
      <c r="AD479" s="8"/>
      <c r="AE479" s="9"/>
      <c r="AF479" s="8"/>
      <c r="AG479" s="9"/>
      <c r="AH479" s="8"/>
      <c r="AI479" s="8"/>
      <c r="AJ479" s="8"/>
      <c r="AK479" s="11"/>
      <c r="AL479" s="8"/>
      <c r="AM479" s="8"/>
      <c r="AN479" s="9"/>
      <c r="AO479" s="8"/>
      <c r="AP479" s="8"/>
      <c r="AQ479" s="8"/>
    </row>
    <row r="480" spans="1:43" x14ac:dyDescent="0.15">
      <c r="A480" s="8"/>
      <c r="B480" s="8"/>
      <c r="C480" s="8"/>
      <c r="D480" s="8"/>
      <c r="E480" s="9"/>
      <c r="F480" s="8"/>
      <c r="G480" s="10"/>
      <c r="H480" s="11"/>
      <c r="I480" s="8"/>
      <c r="J480" s="9"/>
      <c r="K480" s="8"/>
      <c r="L480" s="9"/>
      <c r="M480" s="8"/>
      <c r="N480" s="11"/>
      <c r="O480" s="8"/>
      <c r="P480" s="9"/>
      <c r="Q480" s="8"/>
      <c r="R480" s="9"/>
      <c r="S480" s="8"/>
      <c r="T480" s="8"/>
      <c r="U480" s="8"/>
      <c r="V480" s="11"/>
      <c r="W480" s="8"/>
      <c r="X480" s="8"/>
      <c r="Y480" s="9"/>
      <c r="Z480" s="8"/>
      <c r="AA480" s="8"/>
      <c r="AB480" s="8"/>
      <c r="AC480" s="11"/>
      <c r="AD480" s="8"/>
      <c r="AE480" s="9"/>
      <c r="AF480" s="8"/>
      <c r="AG480" s="9"/>
      <c r="AH480" s="8"/>
      <c r="AI480" s="8"/>
      <c r="AJ480" s="8"/>
      <c r="AK480" s="11"/>
      <c r="AL480" s="8"/>
      <c r="AM480" s="8"/>
      <c r="AN480" s="9"/>
      <c r="AO480" s="8"/>
      <c r="AP480" s="8"/>
      <c r="AQ480" s="8"/>
    </row>
    <row r="481" spans="1:43" x14ac:dyDescent="0.15">
      <c r="A481" s="8"/>
      <c r="B481" s="8"/>
      <c r="C481" s="8"/>
      <c r="D481" s="8"/>
      <c r="E481" s="9"/>
      <c r="F481" s="8"/>
      <c r="G481" s="10"/>
      <c r="H481" s="11"/>
      <c r="I481" s="8"/>
      <c r="J481" s="9"/>
      <c r="K481" s="8"/>
      <c r="L481" s="9"/>
      <c r="M481" s="8"/>
      <c r="N481" s="11"/>
      <c r="O481" s="8"/>
      <c r="P481" s="9"/>
      <c r="Q481" s="8"/>
      <c r="R481" s="9"/>
      <c r="S481" s="8"/>
      <c r="T481" s="8"/>
      <c r="U481" s="8"/>
      <c r="V481" s="11"/>
      <c r="W481" s="8"/>
      <c r="X481" s="8"/>
      <c r="Y481" s="9"/>
      <c r="Z481" s="8"/>
      <c r="AA481" s="8"/>
      <c r="AB481" s="8"/>
      <c r="AC481" s="11"/>
      <c r="AD481" s="8"/>
      <c r="AE481" s="9"/>
      <c r="AF481" s="8"/>
      <c r="AG481" s="9"/>
      <c r="AH481" s="8"/>
      <c r="AI481" s="8"/>
      <c r="AJ481" s="8"/>
      <c r="AK481" s="11"/>
      <c r="AL481" s="8"/>
      <c r="AM481" s="8"/>
      <c r="AN481" s="9"/>
      <c r="AO481" s="8"/>
      <c r="AP481" s="8"/>
      <c r="AQ481" s="8"/>
    </row>
    <row r="482" spans="1:43" x14ac:dyDescent="0.15">
      <c r="A482" s="8"/>
      <c r="B482" s="8"/>
      <c r="C482" s="8"/>
      <c r="D482" s="8"/>
      <c r="E482" s="9"/>
      <c r="F482" s="8"/>
      <c r="G482" s="10"/>
      <c r="H482" s="11"/>
      <c r="I482" s="8"/>
      <c r="J482" s="9"/>
      <c r="K482" s="8"/>
      <c r="L482" s="9"/>
      <c r="M482" s="8"/>
      <c r="N482" s="11"/>
      <c r="O482" s="8"/>
      <c r="P482" s="9"/>
      <c r="Q482" s="8"/>
      <c r="R482" s="9"/>
      <c r="S482" s="8"/>
      <c r="T482" s="8"/>
      <c r="U482" s="8"/>
      <c r="V482" s="11"/>
      <c r="W482" s="8"/>
      <c r="X482" s="8"/>
      <c r="Y482" s="9"/>
      <c r="Z482" s="8"/>
      <c r="AA482" s="8"/>
      <c r="AB482" s="8"/>
      <c r="AC482" s="11"/>
      <c r="AD482" s="8"/>
      <c r="AE482" s="9"/>
      <c r="AF482" s="8"/>
      <c r="AG482" s="9"/>
      <c r="AH482" s="8"/>
      <c r="AI482" s="8"/>
      <c r="AJ482" s="8"/>
      <c r="AK482" s="11"/>
      <c r="AL482" s="8"/>
      <c r="AM482" s="8"/>
      <c r="AN482" s="9"/>
      <c r="AO482" s="8"/>
      <c r="AP482" s="8"/>
      <c r="AQ482" s="8"/>
    </row>
    <row r="483" spans="1:43" x14ac:dyDescent="0.15">
      <c r="A483" s="8"/>
      <c r="B483" s="8"/>
      <c r="C483" s="8"/>
      <c r="D483" s="8"/>
      <c r="E483" s="9"/>
      <c r="F483" s="8"/>
      <c r="G483" s="10"/>
      <c r="H483" s="11"/>
      <c r="I483" s="8"/>
      <c r="J483" s="9"/>
      <c r="K483" s="8"/>
      <c r="L483" s="9"/>
      <c r="M483" s="8"/>
      <c r="N483" s="11"/>
      <c r="O483" s="8"/>
      <c r="P483" s="9"/>
      <c r="Q483" s="8"/>
      <c r="R483" s="9"/>
      <c r="S483" s="8"/>
      <c r="T483" s="8"/>
      <c r="U483" s="8"/>
      <c r="V483" s="11"/>
      <c r="W483" s="8"/>
      <c r="X483" s="8"/>
      <c r="Y483" s="9"/>
      <c r="Z483" s="8"/>
      <c r="AA483" s="8"/>
      <c r="AB483" s="8"/>
      <c r="AC483" s="11"/>
      <c r="AD483" s="8"/>
      <c r="AE483" s="9"/>
      <c r="AF483" s="8"/>
      <c r="AG483" s="9"/>
      <c r="AH483" s="8"/>
      <c r="AI483" s="8"/>
      <c r="AJ483" s="8"/>
      <c r="AK483" s="11"/>
      <c r="AL483" s="8"/>
      <c r="AM483" s="8"/>
      <c r="AN483" s="9"/>
      <c r="AO483" s="8"/>
      <c r="AP483" s="8"/>
      <c r="AQ483" s="8"/>
    </row>
    <row r="484" spans="1:43" x14ac:dyDescent="0.15">
      <c r="A484" s="8"/>
      <c r="B484" s="8"/>
      <c r="C484" s="8"/>
      <c r="D484" s="8"/>
      <c r="E484" s="9"/>
      <c r="F484" s="8"/>
      <c r="G484" s="10"/>
      <c r="H484" s="11"/>
      <c r="I484" s="8"/>
      <c r="J484" s="9"/>
      <c r="K484" s="8"/>
      <c r="L484" s="9"/>
      <c r="M484" s="8"/>
      <c r="N484" s="11"/>
      <c r="O484" s="8"/>
      <c r="P484" s="9"/>
      <c r="Q484" s="8"/>
      <c r="R484" s="9"/>
      <c r="S484" s="8"/>
      <c r="T484" s="8"/>
      <c r="U484" s="8"/>
      <c r="V484" s="11"/>
      <c r="W484" s="8"/>
      <c r="X484" s="8"/>
      <c r="Y484" s="9"/>
      <c r="Z484" s="8"/>
      <c r="AA484" s="8"/>
      <c r="AB484" s="8"/>
      <c r="AC484" s="11"/>
      <c r="AD484" s="8"/>
      <c r="AE484" s="9"/>
      <c r="AF484" s="8"/>
      <c r="AG484" s="9"/>
      <c r="AH484" s="8"/>
      <c r="AI484" s="8"/>
      <c r="AJ484" s="8"/>
      <c r="AK484" s="11"/>
      <c r="AL484" s="8"/>
      <c r="AM484" s="8"/>
      <c r="AN484" s="9"/>
      <c r="AO484" s="8"/>
      <c r="AP484" s="8"/>
      <c r="AQ484" s="8"/>
    </row>
    <row r="485" spans="1:43" x14ac:dyDescent="0.15">
      <c r="A485" s="8"/>
      <c r="B485" s="8"/>
      <c r="C485" s="8"/>
      <c r="D485" s="8"/>
      <c r="E485" s="9"/>
      <c r="F485" s="8"/>
      <c r="G485" s="10"/>
      <c r="H485" s="11"/>
      <c r="I485" s="8"/>
      <c r="J485" s="9"/>
      <c r="K485" s="8"/>
      <c r="L485" s="9"/>
      <c r="M485" s="8"/>
      <c r="N485" s="11"/>
      <c r="O485" s="8"/>
      <c r="P485" s="9"/>
      <c r="Q485" s="8"/>
      <c r="R485" s="9"/>
      <c r="S485" s="8"/>
      <c r="T485" s="8"/>
      <c r="U485" s="8"/>
      <c r="V485" s="11"/>
      <c r="W485" s="8"/>
      <c r="X485" s="8"/>
      <c r="Y485" s="9"/>
      <c r="Z485" s="8"/>
      <c r="AA485" s="8"/>
      <c r="AB485" s="8"/>
      <c r="AC485" s="11"/>
      <c r="AD485" s="8"/>
      <c r="AE485" s="9"/>
      <c r="AF485" s="8"/>
      <c r="AG485" s="9"/>
      <c r="AH485" s="8"/>
      <c r="AI485" s="8"/>
      <c r="AJ485" s="8"/>
      <c r="AK485" s="11"/>
      <c r="AL485" s="8"/>
      <c r="AM485" s="8"/>
      <c r="AN485" s="9"/>
      <c r="AO485" s="8"/>
      <c r="AP485" s="8"/>
      <c r="AQ485" s="8"/>
    </row>
    <row r="486" spans="1:43" x14ac:dyDescent="0.15">
      <c r="A486" s="8"/>
      <c r="B486" s="8"/>
      <c r="C486" s="8"/>
      <c r="D486" s="8"/>
      <c r="E486" s="9"/>
      <c r="F486" s="8"/>
      <c r="G486" s="10"/>
      <c r="H486" s="11"/>
      <c r="I486" s="8"/>
      <c r="J486" s="9"/>
      <c r="K486" s="8"/>
      <c r="L486" s="9"/>
      <c r="M486" s="8"/>
      <c r="N486" s="11"/>
      <c r="O486" s="8"/>
      <c r="P486" s="9"/>
      <c r="Q486" s="8"/>
      <c r="R486" s="9"/>
      <c r="S486" s="8"/>
      <c r="T486" s="8"/>
      <c r="U486" s="8"/>
      <c r="V486" s="11"/>
      <c r="W486" s="8"/>
      <c r="X486" s="8"/>
      <c r="Y486" s="9"/>
      <c r="Z486" s="8"/>
      <c r="AA486" s="8"/>
      <c r="AB486" s="8"/>
      <c r="AC486" s="11"/>
      <c r="AD486" s="8"/>
      <c r="AE486" s="9"/>
      <c r="AF486" s="8"/>
      <c r="AG486" s="9"/>
      <c r="AH486" s="8"/>
      <c r="AI486" s="8"/>
      <c r="AJ486" s="8"/>
      <c r="AK486" s="11"/>
      <c r="AL486" s="8"/>
      <c r="AM486" s="8"/>
      <c r="AN486" s="9"/>
      <c r="AO486" s="8"/>
      <c r="AP486" s="8"/>
      <c r="AQ486" s="8"/>
    </row>
    <row r="487" spans="1:43" x14ac:dyDescent="0.15">
      <c r="A487" s="8"/>
      <c r="B487" s="8"/>
      <c r="C487" s="8"/>
      <c r="D487" s="8"/>
      <c r="E487" s="9"/>
      <c r="F487" s="8"/>
      <c r="G487" s="10"/>
      <c r="H487" s="11"/>
      <c r="I487" s="8"/>
      <c r="J487" s="9"/>
      <c r="K487" s="8"/>
      <c r="L487" s="9"/>
      <c r="M487" s="8"/>
      <c r="N487" s="11"/>
      <c r="O487" s="8"/>
      <c r="P487" s="9"/>
      <c r="Q487" s="8"/>
      <c r="R487" s="9"/>
      <c r="S487" s="8"/>
      <c r="T487" s="8"/>
      <c r="U487" s="8"/>
      <c r="V487" s="11"/>
      <c r="W487" s="8"/>
      <c r="X487" s="8"/>
      <c r="Y487" s="9"/>
      <c r="Z487" s="8"/>
      <c r="AA487" s="8"/>
      <c r="AB487" s="8"/>
      <c r="AC487" s="11"/>
      <c r="AD487" s="8"/>
      <c r="AE487" s="9"/>
      <c r="AF487" s="8"/>
      <c r="AG487" s="9"/>
      <c r="AH487" s="8"/>
      <c r="AI487" s="8"/>
      <c r="AJ487" s="8"/>
      <c r="AK487" s="11"/>
      <c r="AL487" s="8"/>
      <c r="AM487" s="8"/>
      <c r="AN487" s="9"/>
      <c r="AO487" s="8"/>
      <c r="AP487" s="8"/>
      <c r="AQ487" s="8"/>
    </row>
    <row r="488" spans="1:43" x14ac:dyDescent="0.15">
      <c r="A488" s="8"/>
      <c r="B488" s="8"/>
      <c r="C488" s="8"/>
      <c r="D488" s="8"/>
      <c r="E488" s="9"/>
      <c r="F488" s="8"/>
      <c r="G488" s="10"/>
      <c r="H488" s="11"/>
      <c r="I488" s="8"/>
      <c r="J488" s="9"/>
      <c r="K488" s="8"/>
      <c r="L488" s="9"/>
      <c r="M488" s="8"/>
      <c r="N488" s="11"/>
      <c r="O488" s="8"/>
      <c r="P488" s="9"/>
      <c r="Q488" s="8"/>
      <c r="R488" s="9"/>
      <c r="S488" s="8"/>
      <c r="T488" s="8"/>
      <c r="U488" s="8"/>
      <c r="V488" s="11"/>
      <c r="W488" s="8"/>
      <c r="X488" s="8"/>
      <c r="Y488" s="9"/>
      <c r="Z488" s="8"/>
      <c r="AA488" s="8"/>
      <c r="AB488" s="8"/>
      <c r="AC488" s="11"/>
      <c r="AD488" s="8"/>
      <c r="AE488" s="9"/>
      <c r="AF488" s="8"/>
      <c r="AG488" s="9"/>
      <c r="AH488" s="8"/>
      <c r="AI488" s="8"/>
      <c r="AJ488" s="8"/>
      <c r="AK488" s="11"/>
      <c r="AL488" s="8"/>
      <c r="AM488" s="8"/>
      <c r="AN488" s="9"/>
      <c r="AO488" s="8"/>
      <c r="AP488" s="8"/>
      <c r="AQ488" s="8"/>
    </row>
    <row r="489" spans="1:43" x14ac:dyDescent="0.15">
      <c r="A489" s="8"/>
      <c r="B489" s="8"/>
      <c r="C489" s="8"/>
      <c r="D489" s="8"/>
      <c r="E489" s="9"/>
      <c r="F489" s="8"/>
      <c r="G489" s="10"/>
      <c r="H489" s="11"/>
      <c r="I489" s="8"/>
      <c r="J489" s="9"/>
      <c r="K489" s="8"/>
      <c r="L489" s="9"/>
      <c r="M489" s="8"/>
      <c r="N489" s="11"/>
      <c r="O489" s="8"/>
      <c r="P489" s="9"/>
      <c r="Q489" s="8"/>
      <c r="R489" s="9"/>
      <c r="S489" s="8"/>
      <c r="T489" s="8"/>
      <c r="U489" s="8"/>
      <c r="V489" s="11"/>
      <c r="W489" s="8"/>
      <c r="X489" s="8"/>
      <c r="Y489" s="9"/>
      <c r="Z489" s="8"/>
      <c r="AA489" s="8"/>
      <c r="AB489" s="8"/>
      <c r="AC489" s="11"/>
      <c r="AD489" s="8"/>
      <c r="AE489" s="9"/>
      <c r="AF489" s="8"/>
      <c r="AG489" s="9"/>
      <c r="AH489" s="8"/>
      <c r="AI489" s="8"/>
      <c r="AJ489" s="8"/>
      <c r="AK489" s="11"/>
      <c r="AL489" s="8"/>
      <c r="AM489" s="8"/>
      <c r="AN489" s="9"/>
      <c r="AO489" s="8"/>
      <c r="AP489" s="8"/>
      <c r="AQ489" s="8"/>
    </row>
    <row r="490" spans="1:43" x14ac:dyDescent="0.15">
      <c r="A490" s="8"/>
      <c r="B490" s="8"/>
      <c r="C490" s="8"/>
      <c r="D490" s="8"/>
      <c r="E490" s="9"/>
      <c r="F490" s="8"/>
      <c r="G490" s="10"/>
      <c r="H490" s="11"/>
      <c r="I490" s="8"/>
      <c r="J490" s="9"/>
      <c r="K490" s="8"/>
      <c r="L490" s="9"/>
      <c r="M490" s="8"/>
      <c r="N490" s="11"/>
      <c r="O490" s="8"/>
      <c r="P490" s="9"/>
      <c r="Q490" s="8"/>
      <c r="R490" s="9"/>
      <c r="S490" s="8"/>
      <c r="T490" s="8"/>
      <c r="U490" s="8"/>
      <c r="V490" s="11"/>
      <c r="W490" s="8"/>
      <c r="X490" s="8"/>
      <c r="Y490" s="9"/>
      <c r="Z490" s="8"/>
      <c r="AA490" s="8"/>
      <c r="AB490" s="8"/>
      <c r="AC490" s="11"/>
      <c r="AD490" s="8"/>
      <c r="AE490" s="9"/>
      <c r="AF490" s="8"/>
      <c r="AG490" s="9"/>
      <c r="AH490" s="8"/>
      <c r="AI490" s="8"/>
      <c r="AJ490" s="8"/>
      <c r="AK490" s="11"/>
      <c r="AL490" s="8"/>
      <c r="AM490" s="8"/>
      <c r="AN490" s="9"/>
      <c r="AO490" s="8"/>
      <c r="AP490" s="8"/>
      <c r="AQ490" s="8"/>
    </row>
    <row r="491" spans="1:43" x14ac:dyDescent="0.15">
      <c r="A491" s="8"/>
      <c r="B491" s="8"/>
      <c r="C491" s="8"/>
      <c r="D491" s="8"/>
      <c r="E491" s="9"/>
      <c r="F491" s="8"/>
      <c r="G491" s="10"/>
      <c r="H491" s="11"/>
      <c r="I491" s="8"/>
      <c r="J491" s="9"/>
      <c r="K491" s="8"/>
      <c r="L491" s="9"/>
      <c r="M491" s="8"/>
      <c r="N491" s="11"/>
      <c r="O491" s="8"/>
      <c r="P491" s="9"/>
      <c r="Q491" s="8"/>
      <c r="R491" s="9"/>
      <c r="S491" s="8"/>
      <c r="T491" s="8"/>
      <c r="U491" s="8"/>
      <c r="V491" s="11"/>
      <c r="W491" s="8"/>
      <c r="X491" s="8"/>
      <c r="Y491" s="9"/>
      <c r="Z491" s="8"/>
      <c r="AA491" s="8"/>
      <c r="AB491" s="8"/>
      <c r="AC491" s="11"/>
      <c r="AD491" s="8"/>
      <c r="AE491" s="9"/>
      <c r="AF491" s="8"/>
      <c r="AG491" s="9"/>
      <c r="AH491" s="8"/>
      <c r="AI491" s="8"/>
      <c r="AJ491" s="8"/>
      <c r="AK491" s="11"/>
      <c r="AL491" s="8"/>
      <c r="AM491" s="8"/>
      <c r="AN491" s="9"/>
      <c r="AO491" s="8"/>
      <c r="AP491" s="8"/>
      <c r="AQ491" s="8"/>
    </row>
    <row r="492" spans="1:43" x14ac:dyDescent="0.15">
      <c r="A492" s="8"/>
      <c r="B492" s="8"/>
      <c r="C492" s="8"/>
      <c r="D492" s="8"/>
      <c r="E492" s="9"/>
      <c r="F492" s="8"/>
      <c r="G492" s="10"/>
      <c r="H492" s="11"/>
      <c r="I492" s="8"/>
      <c r="J492" s="9"/>
      <c r="K492" s="8"/>
      <c r="L492" s="9"/>
      <c r="M492" s="8"/>
      <c r="N492" s="11"/>
      <c r="O492" s="8"/>
      <c r="P492" s="9"/>
      <c r="Q492" s="8"/>
      <c r="R492" s="9"/>
      <c r="S492" s="8"/>
      <c r="T492" s="8"/>
      <c r="U492" s="8"/>
      <c r="V492" s="11"/>
      <c r="W492" s="8"/>
      <c r="X492" s="8"/>
      <c r="Y492" s="9"/>
      <c r="Z492" s="8"/>
      <c r="AA492" s="8"/>
      <c r="AB492" s="8"/>
      <c r="AC492" s="11"/>
      <c r="AD492" s="8"/>
      <c r="AE492" s="9"/>
      <c r="AF492" s="8"/>
      <c r="AG492" s="9"/>
      <c r="AH492" s="8"/>
      <c r="AI492" s="8"/>
      <c r="AJ492" s="8"/>
      <c r="AK492" s="11"/>
      <c r="AL492" s="8"/>
      <c r="AM492" s="8"/>
      <c r="AN492" s="9"/>
      <c r="AO492" s="8"/>
      <c r="AP492" s="8"/>
      <c r="AQ492" s="8"/>
    </row>
    <row r="493" spans="1:43" x14ac:dyDescent="0.15">
      <c r="A493" s="8"/>
      <c r="B493" s="8"/>
      <c r="C493" s="8"/>
      <c r="D493" s="8"/>
      <c r="E493" s="9"/>
      <c r="F493" s="8"/>
      <c r="G493" s="10"/>
      <c r="H493" s="11"/>
      <c r="I493" s="8"/>
      <c r="J493" s="9"/>
      <c r="K493" s="8"/>
      <c r="L493" s="9"/>
      <c r="M493" s="8"/>
      <c r="N493" s="11"/>
      <c r="O493" s="8"/>
      <c r="P493" s="9"/>
      <c r="Q493" s="8"/>
      <c r="R493" s="9"/>
      <c r="S493" s="8"/>
      <c r="T493" s="8"/>
      <c r="U493" s="8"/>
      <c r="V493" s="11"/>
      <c r="W493" s="8"/>
      <c r="X493" s="8"/>
      <c r="Y493" s="9"/>
      <c r="Z493" s="8"/>
      <c r="AA493" s="8"/>
      <c r="AB493" s="8"/>
      <c r="AC493" s="11"/>
      <c r="AD493" s="8"/>
      <c r="AE493" s="9"/>
      <c r="AF493" s="8"/>
      <c r="AG493" s="9"/>
      <c r="AH493" s="8"/>
      <c r="AI493" s="8"/>
      <c r="AJ493" s="8"/>
      <c r="AK493" s="11"/>
      <c r="AL493" s="8"/>
      <c r="AM493" s="8"/>
      <c r="AN493" s="9"/>
      <c r="AO493" s="8"/>
      <c r="AP493" s="8"/>
      <c r="AQ493" s="8"/>
    </row>
    <row r="494" spans="1:43" x14ac:dyDescent="0.15">
      <c r="A494" s="8"/>
      <c r="B494" s="8"/>
      <c r="C494" s="8"/>
      <c r="D494" s="8"/>
      <c r="E494" s="9"/>
      <c r="F494" s="8"/>
      <c r="G494" s="10"/>
      <c r="H494" s="11"/>
      <c r="I494" s="8"/>
      <c r="J494" s="9"/>
      <c r="K494" s="8"/>
      <c r="L494" s="9"/>
      <c r="M494" s="8"/>
      <c r="N494" s="11"/>
      <c r="O494" s="8"/>
      <c r="P494" s="9"/>
      <c r="Q494" s="8"/>
      <c r="R494" s="9"/>
      <c r="S494" s="8"/>
      <c r="T494" s="8"/>
      <c r="U494" s="8"/>
      <c r="V494" s="11"/>
      <c r="W494" s="8"/>
      <c r="X494" s="8"/>
      <c r="Y494" s="9"/>
      <c r="Z494" s="8"/>
      <c r="AA494" s="8"/>
      <c r="AB494" s="8"/>
      <c r="AC494" s="11"/>
      <c r="AD494" s="8"/>
      <c r="AE494" s="9"/>
      <c r="AF494" s="8"/>
      <c r="AG494" s="9"/>
      <c r="AH494" s="8"/>
      <c r="AI494" s="8"/>
      <c r="AJ494" s="8"/>
      <c r="AK494" s="11"/>
      <c r="AL494" s="8"/>
      <c r="AM494" s="8"/>
      <c r="AN494" s="9"/>
      <c r="AO494" s="8"/>
      <c r="AP494" s="8"/>
      <c r="AQ494" s="8"/>
    </row>
    <row r="495" spans="1:43" x14ac:dyDescent="0.15">
      <c r="A495" s="8"/>
      <c r="B495" s="8"/>
      <c r="C495" s="8"/>
      <c r="D495" s="8"/>
      <c r="E495" s="9"/>
      <c r="F495" s="8"/>
      <c r="G495" s="10"/>
      <c r="H495" s="11"/>
      <c r="I495" s="8"/>
      <c r="J495" s="9"/>
      <c r="K495" s="8"/>
      <c r="L495" s="9"/>
      <c r="M495" s="8"/>
      <c r="N495" s="11"/>
      <c r="O495" s="8"/>
      <c r="P495" s="9"/>
      <c r="Q495" s="8"/>
      <c r="R495" s="9"/>
      <c r="S495" s="8"/>
      <c r="T495" s="8"/>
      <c r="U495" s="8"/>
      <c r="V495" s="11"/>
      <c r="W495" s="8"/>
      <c r="X495" s="8"/>
      <c r="Y495" s="9"/>
      <c r="Z495" s="8"/>
      <c r="AA495" s="8"/>
      <c r="AB495" s="8"/>
      <c r="AC495" s="11"/>
      <c r="AD495" s="8"/>
      <c r="AE495" s="9"/>
      <c r="AF495" s="8"/>
      <c r="AG495" s="9"/>
      <c r="AH495" s="8"/>
      <c r="AI495" s="8"/>
      <c r="AJ495" s="8"/>
      <c r="AK495" s="11"/>
      <c r="AL495" s="8"/>
      <c r="AM495" s="8"/>
      <c r="AN495" s="9"/>
      <c r="AO495" s="8"/>
      <c r="AP495" s="8"/>
      <c r="AQ495" s="8"/>
    </row>
    <row r="496" spans="1:43" x14ac:dyDescent="0.15">
      <c r="A496" s="8"/>
      <c r="B496" s="8"/>
      <c r="C496" s="8"/>
      <c r="D496" s="8"/>
      <c r="E496" s="9"/>
      <c r="F496" s="8"/>
      <c r="G496" s="10"/>
      <c r="H496" s="11"/>
      <c r="I496" s="8"/>
      <c r="J496" s="9"/>
      <c r="K496" s="8"/>
      <c r="L496" s="9"/>
      <c r="M496" s="8"/>
      <c r="N496" s="11"/>
      <c r="O496" s="8"/>
      <c r="P496" s="9"/>
      <c r="Q496" s="8"/>
      <c r="R496" s="9"/>
      <c r="S496" s="8"/>
      <c r="T496" s="8"/>
      <c r="U496" s="8"/>
      <c r="V496" s="11"/>
      <c r="W496" s="8"/>
      <c r="X496" s="8"/>
      <c r="Y496" s="9"/>
      <c r="Z496" s="8"/>
      <c r="AA496" s="8"/>
      <c r="AB496" s="8"/>
      <c r="AC496" s="11"/>
      <c r="AD496" s="8"/>
      <c r="AE496" s="9"/>
      <c r="AF496" s="8"/>
      <c r="AG496" s="9"/>
      <c r="AH496" s="8"/>
      <c r="AI496" s="8"/>
      <c r="AJ496" s="8"/>
      <c r="AK496" s="11"/>
      <c r="AL496" s="8"/>
      <c r="AM496" s="8"/>
      <c r="AN496" s="9"/>
      <c r="AO496" s="8"/>
      <c r="AP496" s="8"/>
      <c r="AQ496" s="8"/>
    </row>
    <row r="497" spans="1:43" x14ac:dyDescent="0.15">
      <c r="A497" s="8"/>
      <c r="B497" s="8"/>
      <c r="C497" s="8"/>
      <c r="D497" s="8"/>
      <c r="E497" s="9"/>
      <c r="F497" s="8"/>
      <c r="G497" s="10"/>
      <c r="H497" s="11"/>
      <c r="I497" s="8"/>
      <c r="J497" s="9"/>
      <c r="K497" s="8"/>
      <c r="L497" s="9"/>
      <c r="M497" s="8"/>
      <c r="N497" s="11"/>
      <c r="O497" s="8"/>
      <c r="P497" s="9"/>
      <c r="Q497" s="8"/>
      <c r="R497" s="9"/>
      <c r="S497" s="8"/>
      <c r="T497" s="8"/>
      <c r="U497" s="8"/>
      <c r="V497" s="11"/>
      <c r="W497" s="8"/>
      <c r="X497" s="8"/>
      <c r="Y497" s="9"/>
      <c r="Z497" s="8"/>
      <c r="AA497" s="8"/>
      <c r="AB497" s="8"/>
      <c r="AC497" s="11"/>
      <c r="AD497" s="8"/>
      <c r="AE497" s="9"/>
      <c r="AF497" s="8"/>
      <c r="AG497" s="9"/>
      <c r="AH497" s="8"/>
      <c r="AI497" s="8"/>
      <c r="AJ497" s="8"/>
      <c r="AK497" s="11"/>
      <c r="AL497" s="8"/>
      <c r="AM497" s="8"/>
      <c r="AN497" s="9"/>
      <c r="AO497" s="8"/>
      <c r="AP497" s="8"/>
      <c r="AQ497" s="8"/>
    </row>
    <row r="498" spans="1:43" x14ac:dyDescent="0.15">
      <c r="A498" s="8"/>
      <c r="B498" s="8"/>
      <c r="C498" s="8"/>
      <c r="D498" s="8"/>
      <c r="E498" s="9"/>
      <c r="F498" s="8"/>
      <c r="G498" s="10"/>
      <c r="H498" s="11"/>
      <c r="I498" s="8"/>
      <c r="J498" s="9"/>
      <c r="K498" s="8"/>
      <c r="L498" s="9"/>
      <c r="M498" s="8"/>
      <c r="N498" s="11"/>
      <c r="O498" s="8"/>
      <c r="P498" s="9"/>
      <c r="Q498" s="8"/>
      <c r="R498" s="9"/>
      <c r="S498" s="8"/>
      <c r="T498" s="8"/>
      <c r="U498" s="8"/>
      <c r="V498" s="11"/>
      <c r="W498" s="8"/>
      <c r="X498" s="8"/>
      <c r="Y498" s="9"/>
      <c r="Z498" s="8"/>
      <c r="AA498" s="8"/>
      <c r="AB498" s="8"/>
      <c r="AC498" s="11"/>
      <c r="AD498" s="8"/>
      <c r="AE498" s="9"/>
      <c r="AF498" s="8"/>
      <c r="AG498" s="9"/>
      <c r="AH498" s="8"/>
      <c r="AI498" s="8"/>
      <c r="AJ498" s="8"/>
      <c r="AK498" s="11"/>
      <c r="AL498" s="8"/>
      <c r="AM498" s="8"/>
      <c r="AN498" s="9"/>
      <c r="AO498" s="8"/>
      <c r="AP498" s="8"/>
      <c r="AQ498" s="8"/>
    </row>
    <row r="499" spans="1:43" x14ac:dyDescent="0.15">
      <c r="A499" s="8"/>
      <c r="B499" s="8"/>
      <c r="C499" s="8"/>
      <c r="D499" s="8"/>
      <c r="E499" s="9"/>
      <c r="F499" s="8"/>
      <c r="G499" s="10"/>
      <c r="H499" s="11"/>
      <c r="I499" s="8"/>
      <c r="J499" s="9"/>
      <c r="K499" s="8"/>
      <c r="L499" s="9"/>
      <c r="M499" s="8"/>
      <c r="N499" s="11"/>
      <c r="O499" s="8"/>
      <c r="P499" s="9"/>
      <c r="Q499" s="8"/>
      <c r="R499" s="9"/>
      <c r="S499" s="8"/>
      <c r="T499" s="8"/>
      <c r="U499" s="8"/>
      <c r="V499" s="11"/>
      <c r="W499" s="8"/>
      <c r="X499" s="8"/>
      <c r="Y499" s="9"/>
      <c r="Z499" s="8"/>
      <c r="AA499" s="8"/>
      <c r="AB499" s="8"/>
      <c r="AC499" s="11"/>
      <c r="AD499" s="8"/>
      <c r="AE499" s="9"/>
      <c r="AF499" s="8"/>
      <c r="AG499" s="9"/>
      <c r="AH499" s="8"/>
      <c r="AI499" s="8"/>
      <c r="AJ499" s="8"/>
      <c r="AK499" s="11"/>
      <c r="AL499" s="8"/>
      <c r="AM499" s="8"/>
      <c r="AN499" s="9"/>
      <c r="AO499" s="8"/>
      <c r="AP499" s="8"/>
      <c r="AQ499" s="8"/>
    </row>
    <row r="500" spans="1:43" x14ac:dyDescent="0.15">
      <c r="A500" s="8"/>
      <c r="B500" s="8"/>
      <c r="C500" s="8"/>
      <c r="D500" s="8"/>
      <c r="E500" s="9"/>
      <c r="F500" s="8"/>
      <c r="G500" s="10"/>
      <c r="H500" s="11"/>
      <c r="I500" s="8"/>
      <c r="J500" s="9"/>
      <c r="K500" s="8"/>
      <c r="L500" s="9"/>
      <c r="M500" s="8"/>
      <c r="N500" s="11"/>
      <c r="O500" s="8"/>
      <c r="P500" s="9"/>
      <c r="Q500" s="8"/>
      <c r="R500" s="9"/>
      <c r="S500" s="8"/>
      <c r="T500" s="8"/>
      <c r="U500" s="8"/>
      <c r="V500" s="11"/>
      <c r="W500" s="8"/>
      <c r="X500" s="8"/>
      <c r="Y500" s="9"/>
      <c r="Z500" s="8"/>
      <c r="AA500" s="8"/>
      <c r="AB500" s="8"/>
      <c r="AC500" s="11"/>
      <c r="AD500" s="8"/>
      <c r="AE500" s="9"/>
      <c r="AF500" s="8"/>
      <c r="AG500" s="9"/>
      <c r="AH500" s="8"/>
      <c r="AI500" s="8"/>
      <c r="AJ500" s="8"/>
      <c r="AK500" s="11"/>
      <c r="AL500" s="8"/>
      <c r="AM500" s="8"/>
      <c r="AN500" s="9"/>
      <c r="AO500" s="8"/>
      <c r="AP500" s="8"/>
      <c r="AQ500" s="8"/>
    </row>
    <row r="501" spans="1:43" x14ac:dyDescent="0.15">
      <c r="A501" s="8"/>
      <c r="B501" s="8"/>
      <c r="C501" s="8"/>
      <c r="D501" s="8"/>
      <c r="E501" s="9"/>
      <c r="F501" s="8"/>
      <c r="G501" s="10"/>
      <c r="H501" s="11"/>
      <c r="I501" s="8"/>
      <c r="J501" s="9"/>
      <c r="K501" s="8"/>
      <c r="L501" s="9"/>
      <c r="M501" s="8"/>
      <c r="N501" s="11"/>
      <c r="O501" s="8"/>
      <c r="P501" s="9"/>
      <c r="Q501" s="8"/>
      <c r="R501" s="9"/>
      <c r="S501" s="8"/>
      <c r="T501" s="8"/>
      <c r="U501" s="8"/>
      <c r="V501" s="11"/>
      <c r="W501" s="8"/>
      <c r="X501" s="8"/>
      <c r="Y501" s="9"/>
      <c r="Z501" s="8"/>
      <c r="AA501" s="8"/>
      <c r="AB501" s="8"/>
      <c r="AC501" s="11"/>
      <c r="AD501" s="8"/>
      <c r="AE501" s="9"/>
      <c r="AF501" s="8"/>
      <c r="AG501" s="9"/>
      <c r="AH501" s="8"/>
      <c r="AI501" s="8"/>
      <c r="AJ501" s="8"/>
      <c r="AK501" s="11"/>
      <c r="AL501" s="8"/>
      <c r="AM501" s="8"/>
      <c r="AN501" s="9"/>
      <c r="AO501" s="8"/>
      <c r="AP501" s="8"/>
      <c r="AQ501" s="8"/>
    </row>
    <row r="502" spans="1:43" x14ac:dyDescent="0.15">
      <c r="A502" s="8"/>
      <c r="B502" s="8"/>
      <c r="C502" s="8"/>
      <c r="D502" s="8"/>
      <c r="E502" s="9"/>
      <c r="F502" s="8"/>
      <c r="G502" s="10"/>
      <c r="H502" s="11"/>
      <c r="I502" s="8"/>
      <c r="J502" s="9"/>
      <c r="K502" s="8"/>
      <c r="L502" s="9"/>
      <c r="M502" s="8"/>
      <c r="N502" s="11"/>
      <c r="O502" s="8"/>
      <c r="P502" s="9"/>
      <c r="Q502" s="8"/>
      <c r="R502" s="9"/>
      <c r="S502" s="8"/>
      <c r="T502" s="8"/>
      <c r="U502" s="8"/>
      <c r="V502" s="11"/>
      <c r="W502" s="8"/>
      <c r="X502" s="8"/>
      <c r="Y502" s="9"/>
      <c r="Z502" s="8"/>
      <c r="AA502" s="8"/>
      <c r="AB502" s="8"/>
      <c r="AC502" s="11"/>
      <c r="AD502" s="8"/>
      <c r="AE502" s="9"/>
      <c r="AF502" s="8"/>
      <c r="AG502" s="9"/>
      <c r="AH502" s="8"/>
      <c r="AI502" s="8"/>
      <c r="AJ502" s="8"/>
      <c r="AK502" s="11"/>
      <c r="AL502" s="8"/>
      <c r="AM502" s="8"/>
      <c r="AN502" s="9"/>
      <c r="AO502" s="8"/>
      <c r="AP502" s="8"/>
      <c r="AQ502" s="8"/>
    </row>
    <row r="503" spans="1:43" x14ac:dyDescent="0.15">
      <c r="A503" s="8"/>
      <c r="B503" s="8"/>
      <c r="C503" s="8"/>
      <c r="D503" s="8"/>
      <c r="E503" s="9"/>
      <c r="F503" s="8"/>
      <c r="G503" s="10"/>
      <c r="H503" s="11"/>
      <c r="I503" s="8"/>
      <c r="J503" s="9"/>
      <c r="K503" s="8"/>
      <c r="L503" s="9"/>
      <c r="M503" s="8"/>
      <c r="N503" s="11"/>
      <c r="O503" s="8"/>
      <c r="P503" s="9"/>
      <c r="Q503" s="8"/>
      <c r="R503" s="9"/>
      <c r="S503" s="8"/>
      <c r="T503" s="8"/>
      <c r="U503" s="8"/>
      <c r="V503" s="11"/>
      <c r="W503" s="8"/>
      <c r="X503" s="8"/>
      <c r="Y503" s="9"/>
      <c r="Z503" s="8"/>
      <c r="AA503" s="8"/>
      <c r="AB503" s="8"/>
      <c r="AC503" s="11"/>
      <c r="AD503" s="8"/>
      <c r="AE503" s="9"/>
      <c r="AF503" s="8"/>
      <c r="AG503" s="9"/>
      <c r="AH503" s="8"/>
      <c r="AI503" s="8"/>
      <c r="AJ503" s="8"/>
      <c r="AK503" s="11"/>
      <c r="AL503" s="8"/>
      <c r="AM503" s="8"/>
      <c r="AN503" s="9"/>
      <c r="AO503" s="8"/>
      <c r="AP503" s="8"/>
      <c r="AQ503" s="8"/>
    </row>
    <row r="504" spans="1:43" x14ac:dyDescent="0.15">
      <c r="A504" s="8"/>
      <c r="B504" s="8"/>
      <c r="C504" s="8"/>
      <c r="D504" s="8"/>
      <c r="E504" s="9"/>
      <c r="F504" s="8"/>
      <c r="G504" s="10"/>
      <c r="H504" s="11"/>
      <c r="I504" s="8"/>
      <c r="J504" s="9"/>
      <c r="K504" s="8"/>
      <c r="L504" s="9"/>
      <c r="M504" s="8"/>
      <c r="N504" s="11"/>
      <c r="O504" s="8"/>
      <c r="P504" s="9"/>
      <c r="Q504" s="8"/>
      <c r="R504" s="9"/>
      <c r="S504" s="8"/>
      <c r="T504" s="8"/>
      <c r="U504" s="8"/>
      <c r="V504" s="11"/>
      <c r="W504" s="8"/>
      <c r="X504" s="8"/>
      <c r="Y504" s="9"/>
      <c r="Z504" s="8"/>
      <c r="AA504" s="8"/>
      <c r="AB504" s="8"/>
      <c r="AC504" s="11"/>
      <c r="AD504" s="8"/>
      <c r="AE504" s="9"/>
      <c r="AF504" s="8"/>
      <c r="AG504" s="9"/>
      <c r="AH504" s="8"/>
      <c r="AI504" s="8"/>
      <c r="AJ504" s="8"/>
      <c r="AK504" s="11"/>
      <c r="AL504" s="8"/>
      <c r="AM504" s="8"/>
      <c r="AN504" s="9"/>
      <c r="AO504" s="8"/>
      <c r="AP504" s="8"/>
      <c r="AQ504" s="8"/>
    </row>
    <row r="505" spans="1:43" x14ac:dyDescent="0.15">
      <c r="A505" s="8"/>
      <c r="B505" s="8"/>
      <c r="C505" s="8"/>
      <c r="D505" s="8"/>
      <c r="E505" s="9"/>
      <c r="F505" s="8"/>
      <c r="G505" s="10"/>
      <c r="H505" s="11"/>
      <c r="I505" s="8"/>
      <c r="J505" s="9"/>
      <c r="K505" s="8"/>
      <c r="L505" s="9"/>
      <c r="M505" s="8"/>
      <c r="N505" s="11"/>
      <c r="O505" s="8"/>
      <c r="P505" s="9"/>
      <c r="Q505" s="8"/>
      <c r="R505" s="9"/>
      <c r="S505" s="8"/>
      <c r="T505" s="8"/>
      <c r="U505" s="8"/>
      <c r="V505" s="11"/>
      <c r="W505" s="8"/>
      <c r="X505" s="8"/>
      <c r="Y505" s="9"/>
      <c r="Z505" s="8"/>
      <c r="AA505" s="8"/>
      <c r="AB505" s="8"/>
      <c r="AC505" s="11"/>
      <c r="AD505" s="8"/>
      <c r="AE505" s="9"/>
      <c r="AF505" s="8"/>
      <c r="AG505" s="9"/>
      <c r="AH505" s="8"/>
      <c r="AI505" s="8"/>
      <c r="AJ505" s="8"/>
      <c r="AK505" s="11"/>
      <c r="AL505" s="8"/>
      <c r="AM505" s="8"/>
      <c r="AN505" s="9"/>
      <c r="AO505" s="8"/>
      <c r="AP505" s="8"/>
      <c r="AQ505" s="8"/>
    </row>
    <row r="506" spans="1:43" x14ac:dyDescent="0.15">
      <c r="A506" s="8"/>
      <c r="B506" s="8"/>
      <c r="C506" s="8"/>
      <c r="D506" s="8"/>
      <c r="E506" s="9"/>
      <c r="F506" s="8"/>
      <c r="G506" s="10"/>
      <c r="H506" s="11"/>
      <c r="I506" s="8"/>
      <c r="J506" s="9"/>
      <c r="K506" s="8"/>
      <c r="L506" s="9"/>
      <c r="M506" s="8"/>
      <c r="N506" s="11"/>
      <c r="O506" s="8"/>
      <c r="P506" s="9"/>
      <c r="Q506" s="8"/>
      <c r="R506" s="9"/>
      <c r="S506" s="8"/>
      <c r="T506" s="8"/>
      <c r="U506" s="8"/>
      <c r="V506" s="11"/>
      <c r="W506" s="8"/>
      <c r="X506" s="8"/>
      <c r="Y506" s="9"/>
      <c r="Z506" s="8"/>
      <c r="AA506" s="8"/>
      <c r="AB506" s="8"/>
      <c r="AC506" s="11"/>
      <c r="AD506" s="8"/>
      <c r="AE506" s="9"/>
      <c r="AF506" s="8"/>
      <c r="AG506" s="9"/>
      <c r="AH506" s="8"/>
      <c r="AI506" s="8"/>
      <c r="AJ506" s="8"/>
      <c r="AK506" s="11"/>
      <c r="AL506" s="8"/>
      <c r="AM506" s="8"/>
      <c r="AN506" s="9"/>
      <c r="AO506" s="8"/>
      <c r="AP506" s="8"/>
      <c r="AQ506" s="8"/>
    </row>
    <row r="507" spans="1:43" x14ac:dyDescent="0.15">
      <c r="A507" s="8"/>
      <c r="B507" s="8"/>
      <c r="C507" s="8"/>
      <c r="D507" s="8"/>
      <c r="E507" s="9"/>
      <c r="F507" s="8"/>
      <c r="G507" s="10"/>
      <c r="H507" s="11"/>
      <c r="I507" s="8"/>
      <c r="J507" s="9"/>
      <c r="K507" s="8"/>
      <c r="L507" s="9"/>
      <c r="M507" s="8"/>
      <c r="N507" s="11"/>
      <c r="O507" s="8"/>
      <c r="P507" s="9"/>
      <c r="Q507" s="8"/>
      <c r="R507" s="9"/>
      <c r="S507" s="8"/>
      <c r="T507" s="8"/>
      <c r="U507" s="8"/>
      <c r="V507" s="11"/>
      <c r="W507" s="8"/>
      <c r="X507" s="8"/>
      <c r="Y507" s="9"/>
      <c r="Z507" s="8"/>
      <c r="AA507" s="8"/>
      <c r="AB507" s="8"/>
      <c r="AC507" s="11"/>
      <c r="AD507" s="8"/>
      <c r="AE507" s="9"/>
      <c r="AF507" s="8"/>
      <c r="AG507" s="9"/>
      <c r="AH507" s="8"/>
      <c r="AI507" s="8"/>
      <c r="AJ507" s="8"/>
      <c r="AK507" s="11"/>
      <c r="AL507" s="8"/>
      <c r="AM507" s="8"/>
      <c r="AN507" s="9"/>
      <c r="AO507" s="8"/>
      <c r="AP507" s="8"/>
      <c r="AQ507" s="8"/>
    </row>
    <row r="508" spans="1:43" x14ac:dyDescent="0.15">
      <c r="A508" s="8"/>
      <c r="B508" s="8"/>
      <c r="C508" s="8"/>
      <c r="D508" s="8"/>
      <c r="E508" s="9"/>
      <c r="F508" s="8"/>
      <c r="G508" s="10"/>
      <c r="H508" s="11"/>
      <c r="I508" s="8"/>
      <c r="J508" s="9"/>
      <c r="K508" s="8"/>
      <c r="L508" s="9"/>
      <c r="M508" s="8"/>
      <c r="N508" s="11"/>
      <c r="O508" s="8"/>
      <c r="P508" s="9"/>
      <c r="Q508" s="8"/>
      <c r="R508" s="9"/>
      <c r="S508" s="8"/>
      <c r="T508" s="8"/>
      <c r="U508" s="8"/>
      <c r="V508" s="11"/>
      <c r="W508" s="8"/>
      <c r="X508" s="8"/>
      <c r="Y508" s="9"/>
      <c r="Z508" s="8"/>
      <c r="AA508" s="8"/>
      <c r="AB508" s="8"/>
      <c r="AC508" s="11"/>
      <c r="AD508" s="8"/>
      <c r="AE508" s="9"/>
      <c r="AF508" s="8"/>
      <c r="AG508" s="9"/>
      <c r="AH508" s="8"/>
      <c r="AI508" s="8"/>
      <c r="AJ508" s="8"/>
      <c r="AK508" s="11"/>
      <c r="AL508" s="8"/>
      <c r="AM508" s="8"/>
      <c r="AN508" s="9"/>
      <c r="AO508" s="8"/>
      <c r="AP508" s="8"/>
      <c r="AQ508" s="8"/>
    </row>
    <row r="509" spans="1:43" x14ac:dyDescent="0.15">
      <c r="A509" s="8"/>
      <c r="B509" s="8"/>
      <c r="C509" s="8"/>
      <c r="D509" s="8"/>
      <c r="E509" s="9"/>
      <c r="F509" s="8"/>
      <c r="G509" s="10"/>
      <c r="H509" s="11"/>
      <c r="I509" s="8"/>
      <c r="J509" s="9"/>
      <c r="K509" s="8"/>
      <c r="L509" s="9"/>
      <c r="M509" s="8"/>
      <c r="N509" s="11"/>
      <c r="O509" s="8"/>
      <c r="P509" s="9"/>
      <c r="Q509" s="8"/>
      <c r="R509" s="9"/>
      <c r="S509" s="8"/>
      <c r="T509" s="8"/>
      <c r="U509" s="8"/>
      <c r="V509" s="11"/>
      <c r="W509" s="8"/>
      <c r="X509" s="8"/>
      <c r="Y509" s="9"/>
      <c r="Z509" s="8"/>
      <c r="AA509" s="8"/>
      <c r="AB509" s="8"/>
      <c r="AC509" s="11"/>
      <c r="AD509" s="8"/>
      <c r="AE509" s="9"/>
      <c r="AF509" s="8"/>
      <c r="AG509" s="9"/>
      <c r="AH509" s="8"/>
      <c r="AI509" s="8"/>
      <c r="AJ509" s="8"/>
      <c r="AK509" s="11"/>
      <c r="AL509" s="8"/>
      <c r="AM509" s="8"/>
      <c r="AN509" s="9"/>
      <c r="AO509" s="8"/>
      <c r="AP509" s="8"/>
      <c r="AQ509" s="8"/>
    </row>
    <row r="510" spans="1:43" x14ac:dyDescent="0.15">
      <c r="A510" s="8"/>
      <c r="B510" s="8"/>
      <c r="C510" s="8"/>
      <c r="D510" s="8"/>
      <c r="E510" s="9"/>
      <c r="F510" s="8"/>
      <c r="G510" s="10"/>
      <c r="H510" s="11"/>
      <c r="I510" s="8"/>
      <c r="J510" s="9"/>
      <c r="K510" s="8"/>
      <c r="L510" s="9"/>
      <c r="M510" s="8"/>
      <c r="N510" s="11"/>
      <c r="O510" s="8"/>
      <c r="P510" s="9"/>
      <c r="Q510" s="8"/>
      <c r="R510" s="9"/>
      <c r="S510" s="8"/>
      <c r="T510" s="8"/>
      <c r="U510" s="8"/>
      <c r="V510" s="11"/>
      <c r="W510" s="8"/>
      <c r="X510" s="8"/>
      <c r="Y510" s="9"/>
      <c r="Z510" s="8"/>
      <c r="AA510" s="8"/>
      <c r="AB510" s="8"/>
      <c r="AC510" s="11"/>
      <c r="AD510" s="8"/>
      <c r="AE510" s="9"/>
      <c r="AF510" s="8"/>
      <c r="AG510" s="9"/>
      <c r="AH510" s="8"/>
      <c r="AI510" s="8"/>
      <c r="AJ510" s="8"/>
      <c r="AK510" s="11"/>
      <c r="AL510" s="8"/>
      <c r="AM510" s="8"/>
      <c r="AN510" s="9"/>
      <c r="AO510" s="8"/>
      <c r="AP510" s="8"/>
      <c r="AQ510" s="8"/>
    </row>
    <row r="511" spans="1:43" x14ac:dyDescent="0.15">
      <c r="A511" s="8"/>
      <c r="B511" s="8"/>
      <c r="C511" s="8"/>
      <c r="D511" s="8"/>
      <c r="E511" s="9"/>
      <c r="F511" s="8"/>
      <c r="G511" s="10"/>
      <c r="H511" s="11"/>
      <c r="I511" s="8"/>
      <c r="J511" s="9"/>
      <c r="K511" s="8"/>
      <c r="L511" s="9"/>
      <c r="M511" s="8"/>
      <c r="N511" s="11"/>
      <c r="O511" s="8"/>
      <c r="P511" s="9"/>
      <c r="Q511" s="8"/>
      <c r="R511" s="9"/>
      <c r="S511" s="8"/>
      <c r="T511" s="8"/>
      <c r="U511" s="8"/>
      <c r="V511" s="11"/>
      <c r="W511" s="8"/>
      <c r="X511" s="8"/>
      <c r="Y511" s="9"/>
      <c r="Z511" s="8"/>
      <c r="AA511" s="8"/>
      <c r="AB511" s="8"/>
      <c r="AC511" s="11"/>
      <c r="AD511" s="8"/>
      <c r="AE511" s="9"/>
      <c r="AF511" s="8"/>
      <c r="AG511" s="9"/>
      <c r="AH511" s="8"/>
      <c r="AI511" s="8"/>
      <c r="AJ511" s="8"/>
      <c r="AK511" s="11"/>
      <c r="AL511" s="8"/>
      <c r="AM511" s="8"/>
      <c r="AN511" s="9"/>
      <c r="AO511" s="8"/>
      <c r="AP511" s="8"/>
      <c r="AQ511" s="8"/>
    </row>
    <row r="512" spans="1:43" x14ac:dyDescent="0.15">
      <c r="A512" s="8"/>
      <c r="B512" s="8"/>
      <c r="C512" s="8"/>
      <c r="D512" s="8"/>
      <c r="E512" s="9"/>
      <c r="F512" s="8"/>
      <c r="G512" s="10"/>
      <c r="H512" s="11"/>
      <c r="I512" s="8"/>
      <c r="J512" s="9"/>
      <c r="K512" s="8"/>
      <c r="L512" s="9"/>
      <c r="M512" s="8"/>
      <c r="N512" s="11"/>
      <c r="O512" s="8"/>
      <c r="P512" s="9"/>
      <c r="Q512" s="8"/>
      <c r="R512" s="9"/>
      <c r="S512" s="8"/>
      <c r="T512" s="8"/>
      <c r="U512" s="8"/>
      <c r="V512" s="11"/>
      <c r="W512" s="8"/>
      <c r="X512" s="8"/>
      <c r="Y512" s="9"/>
      <c r="Z512" s="8"/>
      <c r="AA512" s="8"/>
      <c r="AB512" s="8"/>
      <c r="AC512" s="11"/>
      <c r="AD512" s="8"/>
      <c r="AE512" s="9"/>
      <c r="AF512" s="8"/>
      <c r="AG512" s="9"/>
      <c r="AH512" s="8"/>
      <c r="AI512" s="8"/>
      <c r="AJ512" s="8"/>
      <c r="AK512" s="11"/>
      <c r="AL512" s="8"/>
      <c r="AM512" s="8"/>
      <c r="AN512" s="9"/>
      <c r="AO512" s="8"/>
      <c r="AP512" s="8"/>
      <c r="AQ512" s="8"/>
    </row>
    <row r="513" spans="1:43" x14ac:dyDescent="0.15">
      <c r="A513" s="8"/>
      <c r="B513" s="8"/>
      <c r="C513" s="8"/>
      <c r="D513" s="8"/>
      <c r="E513" s="9"/>
      <c r="F513" s="8"/>
      <c r="G513" s="10"/>
      <c r="H513" s="11"/>
      <c r="I513" s="8"/>
      <c r="J513" s="9"/>
      <c r="K513" s="8"/>
      <c r="L513" s="9"/>
      <c r="M513" s="8"/>
      <c r="N513" s="11"/>
      <c r="O513" s="8"/>
      <c r="P513" s="9"/>
      <c r="Q513" s="8"/>
      <c r="R513" s="9"/>
      <c r="S513" s="8"/>
      <c r="T513" s="8"/>
      <c r="U513" s="8"/>
      <c r="V513" s="11"/>
      <c r="W513" s="8"/>
      <c r="X513" s="8"/>
      <c r="Y513" s="9"/>
      <c r="Z513" s="8"/>
      <c r="AA513" s="8"/>
      <c r="AB513" s="8"/>
      <c r="AC513" s="11"/>
      <c r="AD513" s="8"/>
      <c r="AE513" s="9"/>
      <c r="AF513" s="8"/>
      <c r="AG513" s="9"/>
      <c r="AH513" s="8"/>
      <c r="AI513" s="8"/>
      <c r="AJ513" s="8"/>
      <c r="AK513" s="11"/>
      <c r="AL513" s="8"/>
      <c r="AM513" s="8"/>
      <c r="AN513" s="9"/>
      <c r="AO513" s="8"/>
      <c r="AP513" s="8"/>
      <c r="AQ513" s="8"/>
    </row>
    <row r="514" spans="1:43" x14ac:dyDescent="0.15">
      <c r="A514" s="8"/>
      <c r="B514" s="8"/>
      <c r="C514" s="8"/>
      <c r="D514" s="8"/>
      <c r="E514" s="9"/>
      <c r="F514" s="8"/>
      <c r="G514" s="10"/>
      <c r="H514" s="11"/>
      <c r="I514" s="8"/>
      <c r="J514" s="9"/>
      <c r="K514" s="8"/>
      <c r="L514" s="9"/>
      <c r="M514" s="8"/>
      <c r="N514" s="11"/>
      <c r="O514" s="8"/>
      <c r="P514" s="9"/>
      <c r="Q514" s="8"/>
      <c r="R514" s="9"/>
      <c r="S514" s="8"/>
      <c r="T514" s="8"/>
      <c r="U514" s="8"/>
      <c r="V514" s="11"/>
      <c r="W514" s="8"/>
      <c r="X514" s="8"/>
      <c r="Y514" s="9"/>
      <c r="Z514" s="8"/>
      <c r="AA514" s="8"/>
      <c r="AB514" s="8"/>
      <c r="AC514" s="11"/>
      <c r="AD514" s="8"/>
      <c r="AE514" s="9"/>
      <c r="AF514" s="8"/>
      <c r="AG514" s="9"/>
      <c r="AH514" s="8"/>
      <c r="AI514" s="8"/>
      <c r="AJ514" s="8"/>
      <c r="AK514" s="11"/>
      <c r="AL514" s="8"/>
      <c r="AM514" s="8"/>
      <c r="AN514" s="9"/>
      <c r="AO514" s="8"/>
      <c r="AP514" s="8"/>
      <c r="AQ514" s="8"/>
    </row>
    <row r="515" spans="1:43" x14ac:dyDescent="0.15">
      <c r="A515" s="8"/>
      <c r="B515" s="8"/>
      <c r="C515" s="8"/>
      <c r="D515" s="8"/>
      <c r="E515" s="9"/>
      <c r="F515" s="8"/>
      <c r="G515" s="10"/>
      <c r="H515" s="11"/>
      <c r="I515" s="8"/>
      <c r="J515" s="9"/>
      <c r="K515" s="8"/>
      <c r="L515" s="9"/>
      <c r="M515" s="8"/>
      <c r="N515" s="11"/>
      <c r="O515" s="8"/>
      <c r="P515" s="9"/>
      <c r="Q515" s="8"/>
      <c r="R515" s="9"/>
      <c r="S515" s="8"/>
      <c r="T515" s="8"/>
      <c r="U515" s="8"/>
      <c r="V515" s="11"/>
      <c r="W515" s="8"/>
      <c r="X515" s="8"/>
      <c r="Y515" s="9"/>
      <c r="Z515" s="8"/>
      <c r="AA515" s="8"/>
      <c r="AB515" s="8"/>
      <c r="AC515" s="11"/>
      <c r="AD515" s="8"/>
      <c r="AE515" s="9"/>
      <c r="AF515" s="8"/>
      <c r="AG515" s="9"/>
      <c r="AH515" s="8"/>
      <c r="AI515" s="8"/>
      <c r="AJ515" s="8"/>
      <c r="AK515" s="11"/>
      <c r="AL515" s="8"/>
      <c r="AM515" s="8"/>
      <c r="AN515" s="9"/>
      <c r="AO515" s="8"/>
      <c r="AP515" s="8"/>
      <c r="AQ515" s="8"/>
    </row>
    <row r="516" spans="1:43" x14ac:dyDescent="0.15">
      <c r="A516" s="8"/>
      <c r="B516" s="8"/>
      <c r="C516" s="8"/>
      <c r="D516" s="8"/>
      <c r="E516" s="9"/>
      <c r="F516" s="8"/>
      <c r="G516" s="10"/>
      <c r="H516" s="11"/>
      <c r="I516" s="8"/>
      <c r="J516" s="9"/>
      <c r="K516" s="8"/>
      <c r="L516" s="9"/>
      <c r="M516" s="8"/>
      <c r="N516" s="11"/>
      <c r="O516" s="8"/>
      <c r="P516" s="9"/>
      <c r="Q516" s="8"/>
      <c r="R516" s="9"/>
      <c r="S516" s="8"/>
      <c r="T516" s="8"/>
      <c r="U516" s="8"/>
      <c r="V516" s="11"/>
      <c r="W516" s="8"/>
      <c r="X516" s="8"/>
      <c r="Y516" s="9"/>
      <c r="Z516" s="8"/>
      <c r="AA516" s="8"/>
      <c r="AB516" s="8"/>
      <c r="AC516" s="11"/>
      <c r="AD516" s="8"/>
      <c r="AE516" s="9"/>
      <c r="AF516" s="8"/>
      <c r="AG516" s="9"/>
      <c r="AH516" s="8"/>
      <c r="AI516" s="8"/>
      <c r="AJ516" s="8"/>
      <c r="AK516" s="11"/>
      <c r="AL516" s="8"/>
      <c r="AM516" s="8"/>
      <c r="AN516" s="9"/>
      <c r="AO516" s="8"/>
      <c r="AP516" s="8"/>
      <c r="AQ516" s="8"/>
    </row>
    <row r="517" spans="1:43" x14ac:dyDescent="0.15">
      <c r="A517" s="8"/>
      <c r="B517" s="8"/>
      <c r="C517" s="8"/>
      <c r="D517" s="8"/>
      <c r="E517" s="9"/>
      <c r="F517" s="8"/>
      <c r="G517" s="10"/>
      <c r="H517" s="11"/>
      <c r="I517" s="8"/>
      <c r="J517" s="9"/>
      <c r="K517" s="8"/>
      <c r="L517" s="9"/>
      <c r="M517" s="8"/>
      <c r="N517" s="11"/>
      <c r="O517" s="8"/>
      <c r="P517" s="9"/>
      <c r="Q517" s="8"/>
      <c r="R517" s="9"/>
      <c r="S517" s="8"/>
      <c r="T517" s="8"/>
      <c r="U517" s="8"/>
      <c r="V517" s="11"/>
      <c r="W517" s="8"/>
      <c r="X517" s="8"/>
      <c r="Y517" s="9"/>
      <c r="Z517" s="8"/>
      <c r="AA517" s="8"/>
      <c r="AB517" s="8"/>
      <c r="AC517" s="11"/>
      <c r="AD517" s="8"/>
      <c r="AE517" s="9"/>
      <c r="AF517" s="8"/>
      <c r="AG517" s="9"/>
      <c r="AH517" s="8"/>
      <c r="AI517" s="8"/>
      <c r="AJ517" s="8"/>
      <c r="AK517" s="11"/>
      <c r="AL517" s="8"/>
      <c r="AM517" s="8"/>
      <c r="AN517" s="9"/>
      <c r="AO517" s="8"/>
      <c r="AP517" s="8"/>
      <c r="AQ517" s="8"/>
    </row>
    <row r="518" spans="1:43" x14ac:dyDescent="0.15">
      <c r="A518" s="8"/>
      <c r="B518" s="8"/>
      <c r="C518" s="8"/>
      <c r="D518" s="8"/>
      <c r="E518" s="9"/>
      <c r="F518" s="8"/>
      <c r="G518" s="10"/>
      <c r="H518" s="11"/>
      <c r="I518" s="8"/>
      <c r="J518" s="9"/>
      <c r="K518" s="8"/>
      <c r="L518" s="9"/>
      <c r="M518" s="8"/>
      <c r="N518" s="11"/>
      <c r="O518" s="8"/>
      <c r="P518" s="9"/>
      <c r="Q518" s="8"/>
      <c r="R518" s="9"/>
      <c r="S518" s="8"/>
      <c r="T518" s="8"/>
      <c r="U518" s="8"/>
      <c r="V518" s="11"/>
      <c r="W518" s="8"/>
      <c r="X518" s="8"/>
      <c r="Y518" s="9"/>
      <c r="Z518" s="8"/>
      <c r="AA518" s="8"/>
      <c r="AB518" s="8"/>
      <c r="AC518" s="11"/>
      <c r="AD518" s="8"/>
      <c r="AE518" s="9"/>
      <c r="AF518" s="8"/>
      <c r="AG518" s="9"/>
      <c r="AH518" s="8"/>
      <c r="AI518" s="8"/>
      <c r="AJ518" s="8"/>
      <c r="AK518" s="11"/>
      <c r="AL518" s="8"/>
      <c r="AM518" s="8"/>
      <c r="AN518" s="9"/>
      <c r="AO518" s="8"/>
      <c r="AP518" s="8"/>
      <c r="AQ518" s="8"/>
    </row>
    <row r="519" spans="1:43" x14ac:dyDescent="0.15">
      <c r="A519" s="8"/>
      <c r="B519" s="8"/>
      <c r="C519" s="8"/>
      <c r="D519" s="8"/>
      <c r="E519" s="8"/>
      <c r="F519" s="8"/>
      <c r="G519" s="10"/>
      <c r="H519" s="11"/>
      <c r="I519" s="8"/>
      <c r="J519" s="9"/>
      <c r="K519" s="8"/>
      <c r="L519" s="9"/>
      <c r="M519" s="8"/>
      <c r="N519" s="11"/>
      <c r="O519" s="8"/>
      <c r="P519" s="9"/>
      <c r="Q519" s="8"/>
      <c r="R519" s="9"/>
      <c r="S519" s="8"/>
      <c r="T519" s="8"/>
      <c r="U519" s="8"/>
      <c r="V519" s="11"/>
      <c r="W519" s="8"/>
      <c r="X519" s="8"/>
      <c r="Y519" s="9"/>
      <c r="Z519" s="8"/>
      <c r="AA519" s="8"/>
      <c r="AB519" s="8"/>
      <c r="AC519" s="11"/>
      <c r="AD519" s="8"/>
      <c r="AE519" s="9"/>
      <c r="AF519" s="8"/>
      <c r="AG519" s="9"/>
      <c r="AH519" s="8"/>
      <c r="AI519" s="8"/>
      <c r="AJ519" s="8"/>
      <c r="AK519" s="11"/>
      <c r="AL519" s="8"/>
      <c r="AM519" s="8"/>
      <c r="AN519" s="9"/>
      <c r="AO519" s="8"/>
      <c r="AP519" s="8"/>
      <c r="AQ519" s="8"/>
    </row>
    <row r="520" spans="1:43" x14ac:dyDescent="0.15">
      <c r="A520" s="8"/>
      <c r="B520" s="8"/>
      <c r="C520" s="8"/>
      <c r="D520" s="8"/>
      <c r="E520" s="8"/>
      <c r="F520" s="8"/>
      <c r="G520" s="10"/>
      <c r="H520" s="11"/>
      <c r="I520" s="8"/>
      <c r="J520" s="9"/>
      <c r="K520" s="8"/>
      <c r="L520" s="9"/>
      <c r="M520" s="8"/>
      <c r="N520" s="11"/>
      <c r="O520" s="8"/>
      <c r="P520" s="9"/>
      <c r="Q520" s="8"/>
      <c r="R520" s="9"/>
      <c r="S520" s="8"/>
      <c r="T520" s="8"/>
      <c r="U520" s="8"/>
      <c r="V520" s="11"/>
      <c r="W520" s="8"/>
      <c r="X520" s="8"/>
      <c r="Y520" s="9"/>
      <c r="Z520" s="8"/>
      <c r="AA520" s="8"/>
      <c r="AB520" s="8"/>
      <c r="AC520" s="11"/>
      <c r="AD520" s="8"/>
      <c r="AE520" s="9"/>
      <c r="AF520" s="8"/>
      <c r="AG520" s="9"/>
      <c r="AH520" s="8"/>
      <c r="AI520" s="8"/>
      <c r="AJ520" s="8"/>
      <c r="AK520" s="11"/>
      <c r="AL520" s="8"/>
      <c r="AM520" s="8"/>
      <c r="AN520" s="9"/>
      <c r="AO520" s="8"/>
      <c r="AP520" s="8"/>
      <c r="AQ520" s="8"/>
    </row>
    <row r="521" spans="1:43" x14ac:dyDescent="0.15">
      <c r="A521" s="8"/>
      <c r="B521" s="8"/>
      <c r="C521" s="8"/>
      <c r="D521" s="8"/>
      <c r="E521" s="8"/>
      <c r="F521" s="8"/>
      <c r="G521" s="10"/>
      <c r="H521" s="11"/>
      <c r="I521" s="8"/>
      <c r="J521" s="9"/>
      <c r="K521" s="8"/>
      <c r="L521" s="9"/>
      <c r="M521" s="8"/>
      <c r="N521" s="11"/>
      <c r="O521" s="8"/>
      <c r="P521" s="9"/>
      <c r="Q521" s="8"/>
      <c r="R521" s="9"/>
      <c r="S521" s="8"/>
      <c r="T521" s="8"/>
      <c r="U521" s="8"/>
      <c r="V521" s="11"/>
      <c r="W521" s="8"/>
      <c r="X521" s="8"/>
      <c r="Y521" s="9"/>
      <c r="Z521" s="8"/>
      <c r="AA521" s="8"/>
      <c r="AB521" s="8"/>
      <c r="AC521" s="11"/>
      <c r="AD521" s="8"/>
      <c r="AE521" s="9"/>
      <c r="AF521" s="8"/>
      <c r="AG521" s="9"/>
      <c r="AH521" s="8"/>
      <c r="AI521" s="8"/>
      <c r="AJ521" s="8"/>
      <c r="AK521" s="11"/>
      <c r="AL521" s="8"/>
      <c r="AM521" s="8"/>
      <c r="AN521" s="9"/>
      <c r="AO521" s="8"/>
      <c r="AP521" s="8"/>
      <c r="AQ521" s="8"/>
    </row>
    <row r="522" spans="1:43" x14ac:dyDescent="0.15">
      <c r="A522" s="8"/>
      <c r="B522" s="8"/>
      <c r="C522" s="8"/>
      <c r="D522" s="8"/>
      <c r="E522" s="8"/>
      <c r="F522" s="8"/>
      <c r="G522" s="10"/>
      <c r="H522" s="11"/>
      <c r="I522" s="8"/>
      <c r="J522" s="9"/>
      <c r="K522" s="8"/>
      <c r="L522" s="9"/>
      <c r="M522" s="8"/>
      <c r="N522" s="11"/>
      <c r="O522" s="8"/>
      <c r="P522" s="9"/>
      <c r="Q522" s="8"/>
      <c r="R522" s="9"/>
      <c r="S522" s="8"/>
      <c r="T522" s="8"/>
      <c r="U522" s="8"/>
      <c r="V522" s="11"/>
      <c r="W522" s="8"/>
      <c r="X522" s="8"/>
      <c r="Y522" s="9"/>
      <c r="Z522" s="8"/>
      <c r="AA522" s="8"/>
      <c r="AB522" s="8"/>
      <c r="AC522" s="11"/>
      <c r="AD522" s="8"/>
      <c r="AE522" s="9"/>
      <c r="AF522" s="8"/>
      <c r="AG522" s="9"/>
      <c r="AH522" s="8"/>
      <c r="AI522" s="8"/>
      <c r="AJ522" s="8"/>
      <c r="AK522" s="11"/>
      <c r="AL522" s="8"/>
      <c r="AM522" s="8"/>
      <c r="AN522" s="9"/>
      <c r="AO522" s="8"/>
      <c r="AP522" s="8"/>
      <c r="AQ522" s="8"/>
    </row>
    <row r="523" spans="1:43" x14ac:dyDescent="0.15">
      <c r="A523" s="8"/>
      <c r="B523" s="8"/>
      <c r="C523" s="8"/>
      <c r="D523" s="8"/>
      <c r="E523" s="8"/>
      <c r="F523" s="8"/>
      <c r="G523" s="10"/>
      <c r="H523" s="11"/>
      <c r="I523" s="8"/>
      <c r="J523" s="9"/>
      <c r="K523" s="8"/>
      <c r="L523" s="9"/>
      <c r="M523" s="8"/>
      <c r="N523" s="11"/>
      <c r="O523" s="8"/>
      <c r="P523" s="9"/>
      <c r="Q523" s="8"/>
      <c r="R523" s="9"/>
      <c r="S523" s="8"/>
      <c r="T523" s="8"/>
      <c r="U523" s="8"/>
      <c r="V523" s="11"/>
      <c r="W523" s="8"/>
      <c r="X523" s="8"/>
      <c r="Y523" s="9"/>
      <c r="Z523" s="8"/>
      <c r="AA523" s="8"/>
      <c r="AB523" s="8"/>
      <c r="AC523" s="11"/>
      <c r="AD523" s="8"/>
      <c r="AE523" s="9"/>
      <c r="AF523" s="8"/>
      <c r="AG523" s="9"/>
      <c r="AH523" s="8"/>
      <c r="AI523" s="8"/>
      <c r="AJ523" s="8"/>
      <c r="AK523" s="11"/>
      <c r="AL523" s="8"/>
      <c r="AM523" s="8"/>
      <c r="AN523" s="9"/>
      <c r="AO523" s="8"/>
      <c r="AP523" s="8"/>
      <c r="AQ523" s="8"/>
    </row>
    <row r="524" spans="1:43" x14ac:dyDescent="0.15">
      <c r="A524" s="8"/>
      <c r="B524" s="8"/>
      <c r="C524" s="8"/>
      <c r="D524" s="8"/>
      <c r="E524" s="8"/>
      <c r="F524" s="8"/>
      <c r="G524" s="10"/>
      <c r="H524" s="11"/>
      <c r="I524" s="8"/>
      <c r="J524" s="9"/>
      <c r="K524" s="8"/>
      <c r="L524" s="9"/>
      <c r="M524" s="8"/>
      <c r="N524" s="11"/>
      <c r="O524" s="8"/>
      <c r="P524" s="9"/>
      <c r="Q524" s="8"/>
      <c r="R524" s="9"/>
      <c r="S524" s="8"/>
      <c r="T524" s="8"/>
      <c r="U524" s="8"/>
      <c r="V524" s="11"/>
      <c r="W524" s="8"/>
      <c r="X524" s="8"/>
      <c r="Y524" s="9"/>
      <c r="Z524" s="8"/>
      <c r="AA524" s="8"/>
      <c r="AB524" s="8"/>
      <c r="AC524" s="11"/>
      <c r="AD524" s="8"/>
      <c r="AE524" s="9"/>
      <c r="AF524" s="8"/>
      <c r="AG524" s="9"/>
      <c r="AH524" s="8"/>
      <c r="AI524" s="8"/>
      <c r="AJ524" s="8"/>
      <c r="AK524" s="11"/>
      <c r="AL524" s="8"/>
      <c r="AM524" s="8"/>
      <c r="AN524" s="9"/>
      <c r="AO524" s="8"/>
      <c r="AP524" s="8"/>
      <c r="AQ524" s="8"/>
    </row>
    <row r="525" spans="1:43" x14ac:dyDescent="0.15">
      <c r="A525" s="8"/>
      <c r="B525" s="8"/>
      <c r="C525" s="8"/>
      <c r="D525" s="8"/>
      <c r="E525" s="8"/>
      <c r="F525" s="8"/>
      <c r="G525" s="10"/>
      <c r="H525" s="11"/>
      <c r="I525" s="8"/>
      <c r="J525" s="9"/>
      <c r="K525" s="8"/>
      <c r="L525" s="9"/>
      <c r="M525" s="8"/>
      <c r="N525" s="11"/>
      <c r="O525" s="8"/>
      <c r="P525" s="9"/>
      <c r="Q525" s="8"/>
      <c r="R525" s="9"/>
      <c r="S525" s="8"/>
      <c r="T525" s="8"/>
      <c r="U525" s="8"/>
      <c r="V525" s="11"/>
      <c r="W525" s="8"/>
      <c r="X525" s="8"/>
      <c r="Y525" s="9"/>
      <c r="Z525" s="8"/>
      <c r="AA525" s="8"/>
      <c r="AB525" s="8"/>
      <c r="AC525" s="11"/>
      <c r="AD525" s="8"/>
      <c r="AE525" s="9"/>
      <c r="AF525" s="8"/>
      <c r="AG525" s="9"/>
      <c r="AH525" s="8"/>
      <c r="AI525" s="8"/>
      <c r="AJ525" s="8"/>
      <c r="AK525" s="11"/>
      <c r="AL525" s="8"/>
      <c r="AM525" s="8"/>
      <c r="AN525" s="9"/>
      <c r="AO525" s="8"/>
      <c r="AP525" s="8"/>
      <c r="AQ525" s="8"/>
    </row>
    <row r="526" spans="1:43" x14ac:dyDescent="0.15">
      <c r="A526" s="8"/>
      <c r="B526" s="8"/>
      <c r="C526" s="8"/>
      <c r="D526" s="8"/>
      <c r="E526" s="8"/>
      <c r="F526" s="8"/>
      <c r="G526" s="10"/>
      <c r="H526" s="11"/>
      <c r="I526" s="8"/>
      <c r="J526" s="9"/>
      <c r="K526" s="8"/>
      <c r="L526" s="9"/>
      <c r="M526" s="8"/>
      <c r="N526" s="11"/>
      <c r="O526" s="8"/>
      <c r="P526" s="9"/>
      <c r="Q526" s="8"/>
      <c r="R526" s="9"/>
      <c r="S526" s="8"/>
      <c r="T526" s="8"/>
      <c r="U526" s="8"/>
      <c r="V526" s="11"/>
      <c r="W526" s="8"/>
      <c r="X526" s="8"/>
      <c r="Y526" s="9"/>
      <c r="Z526" s="8"/>
      <c r="AA526" s="8"/>
      <c r="AB526" s="8"/>
      <c r="AC526" s="11"/>
      <c r="AD526" s="8"/>
      <c r="AE526" s="9"/>
      <c r="AF526" s="8"/>
      <c r="AG526" s="9"/>
      <c r="AH526" s="8"/>
      <c r="AI526" s="8"/>
      <c r="AJ526" s="8"/>
      <c r="AK526" s="11"/>
      <c r="AL526" s="8"/>
      <c r="AM526" s="8"/>
      <c r="AN526" s="9"/>
      <c r="AO526" s="8"/>
      <c r="AP526" s="8"/>
      <c r="AQ526" s="8"/>
    </row>
    <row r="527" spans="1:43" x14ac:dyDescent="0.15">
      <c r="A527" s="8"/>
      <c r="B527" s="8"/>
      <c r="C527" s="8"/>
      <c r="D527" s="8"/>
      <c r="E527" s="8"/>
      <c r="F527" s="8"/>
      <c r="G527" s="10"/>
      <c r="H527" s="11"/>
      <c r="I527" s="8"/>
      <c r="J527" s="9"/>
      <c r="K527" s="8"/>
      <c r="L527" s="9"/>
      <c r="M527" s="8"/>
      <c r="N527" s="11"/>
      <c r="O527" s="8"/>
      <c r="P527" s="9"/>
      <c r="Q527" s="8"/>
      <c r="R527" s="9"/>
      <c r="S527" s="8"/>
      <c r="T527" s="8"/>
      <c r="U527" s="8"/>
      <c r="V527" s="11"/>
      <c r="W527" s="8"/>
      <c r="X527" s="8"/>
      <c r="Y527" s="9"/>
      <c r="Z527" s="8"/>
      <c r="AA527" s="8"/>
      <c r="AB527" s="8"/>
      <c r="AC527" s="11"/>
      <c r="AD527" s="8"/>
      <c r="AE527" s="9"/>
      <c r="AF527" s="8"/>
      <c r="AG527" s="9"/>
      <c r="AH527" s="8"/>
      <c r="AI527" s="8"/>
      <c r="AJ527" s="8"/>
      <c r="AK527" s="11"/>
      <c r="AL527" s="8"/>
      <c r="AM527" s="8"/>
      <c r="AN527" s="9"/>
      <c r="AO527" s="8"/>
      <c r="AP527" s="8"/>
      <c r="AQ527" s="8"/>
    </row>
    <row r="528" spans="1:43" x14ac:dyDescent="0.15">
      <c r="A528" s="8"/>
      <c r="B528" s="8"/>
      <c r="C528" s="8"/>
      <c r="D528" s="8"/>
      <c r="E528" s="8"/>
      <c r="F528" s="8"/>
      <c r="G528" s="10"/>
      <c r="H528" s="11"/>
      <c r="I528" s="8"/>
      <c r="J528" s="9"/>
      <c r="K528" s="8"/>
      <c r="L528" s="9"/>
      <c r="M528" s="8"/>
      <c r="N528" s="11"/>
      <c r="O528" s="8"/>
      <c r="P528" s="9"/>
      <c r="Q528" s="8"/>
      <c r="R528" s="9"/>
      <c r="S528" s="8"/>
      <c r="T528" s="8"/>
      <c r="U528" s="8"/>
      <c r="V528" s="11"/>
      <c r="W528" s="8"/>
      <c r="X528" s="8"/>
      <c r="Y528" s="9"/>
      <c r="Z528" s="8"/>
      <c r="AA528" s="8"/>
      <c r="AB528" s="8"/>
      <c r="AC528" s="11"/>
      <c r="AD528" s="8"/>
      <c r="AE528" s="9"/>
      <c r="AF528" s="8"/>
      <c r="AG528" s="9"/>
      <c r="AH528" s="8"/>
      <c r="AI528" s="8"/>
      <c r="AJ528" s="8"/>
      <c r="AK528" s="11"/>
      <c r="AL528" s="8"/>
      <c r="AM528" s="8"/>
      <c r="AN528" s="9"/>
      <c r="AO528" s="8"/>
      <c r="AP528" s="8"/>
      <c r="AQ528" s="8"/>
    </row>
    <row r="529" spans="1:43" x14ac:dyDescent="0.15">
      <c r="A529" s="8"/>
      <c r="B529" s="8"/>
      <c r="C529" s="8"/>
      <c r="D529" s="8"/>
      <c r="E529" s="8"/>
      <c r="F529" s="8"/>
      <c r="G529" s="10"/>
      <c r="H529" s="11"/>
      <c r="I529" s="8"/>
      <c r="J529" s="9"/>
      <c r="K529" s="8"/>
      <c r="L529" s="9"/>
      <c r="M529" s="8"/>
      <c r="N529" s="11"/>
      <c r="O529" s="8"/>
      <c r="P529" s="9"/>
      <c r="Q529" s="8"/>
      <c r="R529" s="9"/>
      <c r="S529" s="8"/>
      <c r="T529" s="8"/>
      <c r="U529" s="8"/>
      <c r="V529" s="11"/>
      <c r="W529" s="8"/>
      <c r="X529" s="8"/>
      <c r="Y529" s="9"/>
      <c r="Z529" s="8"/>
      <c r="AA529" s="8"/>
      <c r="AB529" s="8"/>
      <c r="AC529" s="11"/>
      <c r="AD529" s="8"/>
      <c r="AE529" s="9"/>
      <c r="AF529" s="8"/>
      <c r="AG529" s="9"/>
      <c r="AH529" s="8"/>
      <c r="AI529" s="8"/>
      <c r="AJ529" s="8"/>
      <c r="AK529" s="11"/>
      <c r="AL529" s="8"/>
      <c r="AM529" s="8"/>
      <c r="AN529" s="9"/>
      <c r="AO529" s="8"/>
      <c r="AP529" s="8"/>
      <c r="AQ529" s="8"/>
    </row>
    <row r="530" spans="1:43" x14ac:dyDescent="0.15">
      <c r="A530" s="8"/>
      <c r="B530" s="8"/>
      <c r="C530" s="8"/>
      <c r="D530" s="8"/>
      <c r="E530" s="8"/>
      <c r="F530" s="8"/>
      <c r="G530" s="10"/>
      <c r="H530" s="11"/>
      <c r="I530" s="8"/>
      <c r="J530" s="9"/>
      <c r="K530" s="8"/>
      <c r="L530" s="9"/>
      <c r="M530" s="8"/>
      <c r="N530" s="11"/>
      <c r="O530" s="8"/>
      <c r="P530" s="9"/>
      <c r="Q530" s="8"/>
      <c r="R530" s="9"/>
      <c r="S530" s="8"/>
      <c r="T530" s="8"/>
      <c r="U530" s="8"/>
      <c r="V530" s="11"/>
      <c r="W530" s="8"/>
      <c r="X530" s="8"/>
      <c r="Y530" s="9"/>
      <c r="Z530" s="8"/>
      <c r="AA530" s="8"/>
      <c r="AB530" s="8"/>
      <c r="AC530" s="11"/>
      <c r="AD530" s="8"/>
      <c r="AE530" s="9"/>
      <c r="AF530" s="8"/>
      <c r="AG530" s="9"/>
      <c r="AH530" s="8"/>
      <c r="AI530" s="8"/>
      <c r="AJ530" s="8"/>
      <c r="AK530" s="11"/>
      <c r="AL530" s="8"/>
      <c r="AM530" s="8"/>
      <c r="AN530" s="9"/>
      <c r="AO530" s="8"/>
      <c r="AP530" s="8"/>
      <c r="AQ530" s="8"/>
    </row>
    <row r="531" spans="1:43" x14ac:dyDescent="0.15">
      <c r="A531" s="8"/>
      <c r="B531" s="8"/>
      <c r="C531" s="8"/>
      <c r="D531" s="8"/>
      <c r="E531" s="8"/>
      <c r="F531" s="8"/>
      <c r="G531" s="10"/>
      <c r="H531" s="11"/>
      <c r="I531" s="8"/>
      <c r="J531" s="9"/>
      <c r="K531" s="8"/>
      <c r="L531" s="9"/>
      <c r="M531" s="8"/>
      <c r="N531" s="11"/>
      <c r="O531" s="8"/>
      <c r="P531" s="9"/>
      <c r="Q531" s="8"/>
      <c r="R531" s="9"/>
      <c r="S531" s="8"/>
      <c r="T531" s="8"/>
      <c r="U531" s="8"/>
      <c r="V531" s="11"/>
      <c r="W531" s="8"/>
      <c r="X531" s="8"/>
      <c r="Y531" s="9"/>
      <c r="Z531" s="8"/>
      <c r="AA531" s="8"/>
      <c r="AB531" s="8"/>
      <c r="AC531" s="11"/>
      <c r="AD531" s="8"/>
      <c r="AE531" s="9"/>
      <c r="AF531" s="8"/>
      <c r="AG531" s="9"/>
      <c r="AH531" s="8"/>
      <c r="AI531" s="8"/>
      <c r="AJ531" s="8"/>
      <c r="AK531" s="11"/>
      <c r="AL531" s="8"/>
      <c r="AM531" s="8"/>
      <c r="AN531" s="9"/>
      <c r="AO531" s="8"/>
      <c r="AP531" s="8"/>
      <c r="AQ531" s="8"/>
    </row>
    <row r="532" spans="1:43" x14ac:dyDescent="0.15">
      <c r="A532" s="8"/>
      <c r="B532" s="8"/>
      <c r="C532" s="8"/>
      <c r="D532" s="8"/>
      <c r="E532" s="8"/>
      <c r="F532" s="8"/>
      <c r="G532" s="10"/>
      <c r="H532" s="11"/>
      <c r="I532" s="8"/>
      <c r="J532" s="9"/>
      <c r="K532" s="8"/>
      <c r="L532" s="9"/>
      <c r="M532" s="8"/>
      <c r="N532" s="11"/>
      <c r="O532" s="8"/>
      <c r="P532" s="9"/>
      <c r="Q532" s="8"/>
      <c r="R532" s="9"/>
      <c r="S532" s="8"/>
      <c r="T532" s="8"/>
      <c r="U532" s="8"/>
      <c r="V532" s="11"/>
      <c r="W532" s="8"/>
      <c r="X532" s="8"/>
      <c r="Y532" s="9"/>
      <c r="Z532" s="8"/>
      <c r="AA532" s="8"/>
      <c r="AB532" s="8"/>
      <c r="AC532" s="11"/>
      <c r="AD532" s="8"/>
      <c r="AE532" s="9"/>
      <c r="AF532" s="8"/>
      <c r="AG532" s="9"/>
      <c r="AH532" s="8"/>
      <c r="AI532" s="8"/>
      <c r="AJ532" s="8"/>
      <c r="AK532" s="11"/>
      <c r="AL532" s="8"/>
      <c r="AM532" s="8"/>
      <c r="AN532" s="9"/>
      <c r="AO532" s="8"/>
      <c r="AP532" s="8"/>
      <c r="AQ532" s="8"/>
    </row>
    <row r="533" spans="1:43" x14ac:dyDescent="0.15">
      <c r="A533" s="8"/>
      <c r="B533" s="8"/>
      <c r="C533" s="8"/>
      <c r="D533" s="8"/>
      <c r="E533" s="8"/>
      <c r="F533" s="8"/>
      <c r="G533" s="10"/>
      <c r="H533" s="11"/>
      <c r="I533" s="8"/>
      <c r="J533" s="9"/>
      <c r="K533" s="8"/>
      <c r="L533" s="9"/>
      <c r="M533" s="8"/>
      <c r="N533" s="11"/>
      <c r="O533" s="8"/>
      <c r="P533" s="9"/>
      <c r="Q533" s="8"/>
      <c r="R533" s="9"/>
      <c r="S533" s="8"/>
      <c r="T533" s="8"/>
      <c r="U533" s="8"/>
      <c r="V533" s="11"/>
      <c r="W533" s="8"/>
      <c r="X533" s="8"/>
      <c r="Y533" s="9"/>
      <c r="Z533" s="8"/>
      <c r="AA533" s="8"/>
      <c r="AB533" s="8"/>
      <c r="AC533" s="11"/>
      <c r="AD533" s="8"/>
      <c r="AE533" s="9"/>
      <c r="AF533" s="8"/>
      <c r="AG533" s="9"/>
      <c r="AH533" s="8"/>
      <c r="AI533" s="8"/>
      <c r="AJ533" s="8"/>
      <c r="AK533" s="11"/>
      <c r="AL533" s="8"/>
      <c r="AM533" s="8"/>
      <c r="AN533" s="9"/>
      <c r="AO533" s="8"/>
      <c r="AP533" s="8"/>
      <c r="AQ533" s="8"/>
    </row>
    <row r="534" spans="1:43" x14ac:dyDescent="0.15">
      <c r="A534" s="8"/>
      <c r="B534" s="8"/>
      <c r="C534" s="8"/>
      <c r="D534" s="8"/>
      <c r="E534" s="8"/>
      <c r="F534" s="8"/>
      <c r="G534" s="10"/>
      <c r="H534" s="11"/>
      <c r="I534" s="8"/>
      <c r="J534" s="9"/>
      <c r="K534" s="8"/>
      <c r="L534" s="9"/>
      <c r="M534" s="8"/>
      <c r="N534" s="11"/>
      <c r="O534" s="8"/>
      <c r="P534" s="9"/>
      <c r="Q534" s="8"/>
      <c r="R534" s="9"/>
      <c r="S534" s="8"/>
      <c r="T534" s="8"/>
      <c r="U534" s="8"/>
      <c r="V534" s="11"/>
      <c r="W534" s="8"/>
      <c r="X534" s="8"/>
      <c r="Y534" s="9"/>
      <c r="Z534" s="8"/>
      <c r="AA534" s="8"/>
      <c r="AB534" s="8"/>
      <c r="AC534" s="11"/>
      <c r="AD534" s="8"/>
      <c r="AE534" s="9"/>
      <c r="AF534" s="8"/>
      <c r="AG534" s="9"/>
      <c r="AH534" s="8"/>
      <c r="AI534" s="8"/>
      <c r="AJ534" s="8"/>
      <c r="AK534" s="11"/>
      <c r="AL534" s="8"/>
      <c r="AM534" s="8"/>
      <c r="AN534" s="9"/>
      <c r="AO534" s="8"/>
      <c r="AP534" s="8"/>
      <c r="AQ534" s="8"/>
    </row>
    <row r="535" spans="1:43" x14ac:dyDescent="0.15">
      <c r="A535" s="8"/>
      <c r="B535" s="8"/>
      <c r="C535" s="8"/>
      <c r="D535" s="8"/>
      <c r="E535" s="8"/>
      <c r="F535" s="8"/>
      <c r="G535" s="10"/>
      <c r="H535" s="11"/>
      <c r="I535" s="8"/>
      <c r="J535" s="9"/>
      <c r="K535" s="8"/>
      <c r="L535" s="9"/>
      <c r="M535" s="8"/>
      <c r="N535" s="11"/>
      <c r="O535" s="8"/>
      <c r="P535" s="9"/>
      <c r="Q535" s="8"/>
      <c r="R535" s="9"/>
      <c r="S535" s="8"/>
      <c r="T535" s="8"/>
      <c r="U535" s="8"/>
      <c r="V535" s="11"/>
      <c r="W535" s="8"/>
      <c r="X535" s="8"/>
      <c r="Y535" s="9"/>
      <c r="Z535" s="8"/>
      <c r="AA535" s="8"/>
      <c r="AB535" s="8"/>
      <c r="AC535" s="11"/>
      <c r="AD535" s="8"/>
      <c r="AE535" s="9"/>
      <c r="AF535" s="8"/>
      <c r="AG535" s="9"/>
      <c r="AH535" s="8"/>
      <c r="AI535" s="8"/>
      <c r="AJ535" s="8"/>
      <c r="AK535" s="11"/>
      <c r="AL535" s="8"/>
      <c r="AM535" s="8"/>
      <c r="AN535" s="9"/>
      <c r="AO535" s="8"/>
      <c r="AP535" s="8"/>
      <c r="AQ535" s="8"/>
    </row>
    <row r="536" spans="1:43" x14ac:dyDescent="0.15">
      <c r="A536" s="8"/>
      <c r="B536" s="8"/>
      <c r="C536" s="8"/>
      <c r="D536" s="8"/>
      <c r="E536" s="8"/>
      <c r="F536" s="8"/>
      <c r="G536" s="10"/>
      <c r="H536" s="11"/>
      <c r="I536" s="8"/>
      <c r="J536" s="9"/>
      <c r="K536" s="8"/>
      <c r="L536" s="9"/>
      <c r="M536" s="8"/>
      <c r="N536" s="11"/>
      <c r="O536" s="8"/>
      <c r="P536" s="9"/>
      <c r="Q536" s="8"/>
      <c r="R536" s="9"/>
      <c r="S536" s="8"/>
      <c r="T536" s="8"/>
      <c r="U536" s="8"/>
      <c r="V536" s="11"/>
      <c r="W536" s="8"/>
      <c r="X536" s="8"/>
      <c r="Y536" s="9"/>
      <c r="Z536" s="8"/>
      <c r="AA536" s="8"/>
      <c r="AB536" s="8"/>
      <c r="AC536" s="11"/>
      <c r="AD536" s="8"/>
      <c r="AE536" s="9"/>
      <c r="AF536" s="8"/>
      <c r="AG536" s="9"/>
      <c r="AH536" s="8"/>
      <c r="AI536" s="8"/>
      <c r="AJ536" s="8"/>
      <c r="AK536" s="11"/>
      <c r="AL536" s="8"/>
      <c r="AM536" s="8"/>
      <c r="AN536" s="9"/>
      <c r="AO536" s="8"/>
      <c r="AP536" s="8"/>
      <c r="AQ536" s="8"/>
    </row>
    <row r="537" spans="1:43" x14ac:dyDescent="0.15">
      <c r="A537" s="8"/>
      <c r="B537" s="8"/>
      <c r="C537" s="8"/>
      <c r="D537" s="8"/>
      <c r="E537" s="8"/>
      <c r="F537" s="8"/>
      <c r="G537" s="10"/>
      <c r="H537" s="11"/>
      <c r="I537" s="8"/>
      <c r="J537" s="9"/>
      <c r="K537" s="8"/>
      <c r="L537" s="9"/>
      <c r="M537" s="8"/>
      <c r="N537" s="11"/>
      <c r="O537" s="8"/>
      <c r="P537" s="9"/>
      <c r="Q537" s="8"/>
      <c r="R537" s="9"/>
      <c r="S537" s="8"/>
      <c r="T537" s="8"/>
      <c r="U537" s="8"/>
      <c r="V537" s="11"/>
      <c r="W537" s="8"/>
      <c r="X537" s="8"/>
      <c r="Y537" s="9"/>
      <c r="Z537" s="8"/>
      <c r="AA537" s="8"/>
      <c r="AB537" s="8"/>
      <c r="AC537" s="11"/>
      <c r="AD537" s="8"/>
      <c r="AE537" s="9"/>
      <c r="AF537" s="8"/>
      <c r="AG537" s="9"/>
      <c r="AH537" s="8"/>
      <c r="AI537" s="8"/>
      <c r="AJ537" s="8"/>
      <c r="AK537" s="11"/>
      <c r="AL537" s="8"/>
      <c r="AM537" s="8"/>
      <c r="AN537" s="9"/>
      <c r="AO537" s="8"/>
      <c r="AP537" s="8"/>
      <c r="AQ537" s="8"/>
    </row>
    <row r="538" spans="1:43" x14ac:dyDescent="0.15">
      <c r="A538" s="8"/>
      <c r="B538" s="8"/>
      <c r="C538" s="8"/>
      <c r="D538" s="8"/>
      <c r="E538" s="8"/>
      <c r="F538" s="8"/>
      <c r="G538" s="10"/>
      <c r="H538" s="11"/>
      <c r="I538" s="8"/>
      <c r="J538" s="9"/>
      <c r="K538" s="8"/>
      <c r="L538" s="9"/>
      <c r="M538" s="8"/>
      <c r="N538" s="11"/>
      <c r="O538" s="8"/>
      <c r="P538" s="9"/>
      <c r="Q538" s="8"/>
      <c r="R538" s="9"/>
      <c r="S538" s="8"/>
      <c r="T538" s="8"/>
      <c r="U538" s="8"/>
      <c r="V538" s="11"/>
      <c r="W538" s="8"/>
      <c r="X538" s="8"/>
      <c r="Y538" s="9"/>
      <c r="Z538" s="8"/>
      <c r="AA538" s="8"/>
      <c r="AB538" s="8"/>
      <c r="AC538" s="11"/>
      <c r="AD538" s="8"/>
      <c r="AE538" s="9"/>
      <c r="AF538" s="8"/>
      <c r="AG538" s="9"/>
      <c r="AH538" s="8"/>
      <c r="AI538" s="8"/>
      <c r="AJ538" s="8"/>
      <c r="AK538" s="11"/>
      <c r="AL538" s="8"/>
      <c r="AM538" s="8"/>
      <c r="AN538" s="9"/>
      <c r="AO538" s="8"/>
      <c r="AP538" s="8"/>
      <c r="AQ538" s="8"/>
    </row>
    <row r="539" spans="1:43" x14ac:dyDescent="0.15">
      <c r="A539" s="8"/>
      <c r="B539" s="8"/>
      <c r="C539" s="8"/>
      <c r="D539" s="8"/>
      <c r="E539" s="8"/>
      <c r="F539" s="8"/>
      <c r="G539" s="10"/>
      <c r="H539" s="11"/>
      <c r="I539" s="8"/>
      <c r="J539" s="9"/>
      <c r="K539" s="8"/>
      <c r="L539" s="9"/>
      <c r="M539" s="8"/>
      <c r="N539" s="11"/>
      <c r="O539" s="8"/>
      <c r="P539" s="9"/>
      <c r="Q539" s="8"/>
      <c r="R539" s="9"/>
      <c r="S539" s="8"/>
      <c r="T539" s="8"/>
      <c r="U539" s="8"/>
      <c r="V539" s="11"/>
      <c r="W539" s="8"/>
      <c r="X539" s="8"/>
      <c r="Y539" s="9"/>
      <c r="Z539" s="8"/>
      <c r="AA539" s="8"/>
      <c r="AB539" s="8"/>
      <c r="AC539" s="11"/>
      <c r="AD539" s="8"/>
      <c r="AE539" s="9"/>
      <c r="AF539" s="8"/>
      <c r="AG539" s="9"/>
      <c r="AH539" s="8"/>
      <c r="AI539" s="8"/>
      <c r="AJ539" s="8"/>
      <c r="AK539" s="11"/>
      <c r="AL539" s="8"/>
      <c r="AM539" s="8"/>
      <c r="AN539" s="9"/>
      <c r="AO539" s="8"/>
      <c r="AP539" s="8"/>
      <c r="AQ539" s="8"/>
    </row>
    <row r="540" spans="1:43" x14ac:dyDescent="0.15">
      <c r="A540" s="8"/>
      <c r="B540" s="8"/>
      <c r="C540" s="8"/>
      <c r="D540" s="8"/>
      <c r="E540" s="8"/>
      <c r="F540" s="8"/>
      <c r="G540" s="10"/>
      <c r="H540" s="11"/>
      <c r="I540" s="8"/>
      <c r="J540" s="9"/>
      <c r="K540" s="8"/>
      <c r="L540" s="9"/>
      <c r="M540" s="8"/>
      <c r="N540" s="11"/>
      <c r="O540" s="8"/>
      <c r="P540" s="9"/>
      <c r="Q540" s="8"/>
      <c r="R540" s="9"/>
      <c r="S540" s="8"/>
      <c r="T540" s="8"/>
      <c r="U540" s="8"/>
      <c r="V540" s="11"/>
      <c r="W540" s="8"/>
      <c r="X540" s="8"/>
      <c r="Y540" s="9"/>
      <c r="Z540" s="8"/>
      <c r="AA540" s="8"/>
      <c r="AB540" s="8"/>
      <c r="AC540" s="11"/>
      <c r="AD540" s="8"/>
      <c r="AE540" s="9"/>
      <c r="AF540" s="8"/>
      <c r="AG540" s="9"/>
      <c r="AH540" s="8"/>
      <c r="AI540" s="8"/>
      <c r="AJ540" s="8"/>
      <c r="AK540" s="11"/>
      <c r="AL540" s="8"/>
      <c r="AM540" s="8"/>
      <c r="AN540" s="9"/>
      <c r="AO540" s="8"/>
      <c r="AP540" s="8"/>
      <c r="AQ540" s="8"/>
    </row>
    <row r="541" spans="1:43" x14ac:dyDescent="0.15">
      <c r="A541" s="8"/>
      <c r="B541" s="8"/>
      <c r="C541" s="8"/>
      <c r="D541" s="8"/>
      <c r="E541" s="8"/>
      <c r="F541" s="8"/>
      <c r="G541" s="10"/>
      <c r="H541" s="11"/>
      <c r="I541" s="8"/>
      <c r="J541" s="9"/>
      <c r="K541" s="8"/>
      <c r="L541" s="9"/>
      <c r="M541" s="8"/>
      <c r="N541" s="11"/>
      <c r="O541" s="8"/>
      <c r="P541" s="9"/>
      <c r="Q541" s="8"/>
      <c r="R541" s="9"/>
      <c r="S541" s="8"/>
      <c r="T541" s="8"/>
      <c r="U541" s="8"/>
      <c r="V541" s="11"/>
      <c r="W541" s="8"/>
      <c r="X541" s="8"/>
      <c r="Y541" s="9"/>
      <c r="Z541" s="8"/>
      <c r="AA541" s="8"/>
      <c r="AB541" s="8"/>
      <c r="AC541" s="11"/>
      <c r="AD541" s="8"/>
      <c r="AE541" s="9"/>
      <c r="AF541" s="8"/>
      <c r="AG541" s="9"/>
      <c r="AH541" s="8"/>
      <c r="AI541" s="8"/>
      <c r="AJ541" s="8"/>
      <c r="AK541" s="11"/>
      <c r="AL541" s="8"/>
      <c r="AM541" s="8"/>
      <c r="AN541" s="9"/>
      <c r="AO541" s="8"/>
      <c r="AP541" s="8"/>
      <c r="AQ541" s="8"/>
    </row>
    <row r="542" spans="1:43" x14ac:dyDescent="0.15">
      <c r="A542" s="8"/>
      <c r="B542" s="8"/>
      <c r="C542" s="8"/>
      <c r="D542" s="8"/>
      <c r="E542" s="8"/>
      <c r="F542" s="8"/>
      <c r="G542" s="10"/>
      <c r="H542" s="11"/>
      <c r="I542" s="8"/>
      <c r="J542" s="9"/>
      <c r="K542" s="8"/>
      <c r="L542" s="9"/>
      <c r="M542" s="8"/>
      <c r="N542" s="11"/>
      <c r="O542" s="8"/>
      <c r="P542" s="9"/>
      <c r="Q542" s="8"/>
      <c r="R542" s="9"/>
      <c r="S542" s="8"/>
      <c r="T542" s="8"/>
      <c r="U542" s="8"/>
      <c r="V542" s="11"/>
      <c r="W542" s="8"/>
      <c r="X542" s="8"/>
      <c r="Y542" s="9"/>
      <c r="Z542" s="8"/>
      <c r="AA542" s="8"/>
      <c r="AB542" s="8"/>
      <c r="AC542" s="11"/>
      <c r="AD542" s="8"/>
      <c r="AE542" s="9"/>
      <c r="AF542" s="8"/>
      <c r="AG542" s="9"/>
      <c r="AH542" s="8"/>
      <c r="AI542" s="8"/>
      <c r="AJ542" s="8"/>
      <c r="AK542" s="11"/>
      <c r="AL542" s="8"/>
      <c r="AM542" s="8"/>
      <c r="AN542" s="9"/>
      <c r="AO542" s="8"/>
      <c r="AP542" s="8"/>
      <c r="AQ542" s="8"/>
    </row>
    <row r="543" spans="1:43" x14ac:dyDescent="0.15">
      <c r="A543" s="8"/>
      <c r="B543" s="8"/>
      <c r="C543" s="8"/>
      <c r="D543" s="8"/>
      <c r="E543" s="8"/>
      <c r="F543" s="8"/>
      <c r="G543" s="10"/>
      <c r="H543" s="11"/>
      <c r="I543" s="8"/>
      <c r="J543" s="9"/>
      <c r="K543" s="8"/>
      <c r="L543" s="9"/>
      <c r="M543" s="8"/>
      <c r="N543" s="11"/>
      <c r="O543" s="8"/>
      <c r="P543" s="9"/>
      <c r="Q543" s="8"/>
      <c r="R543" s="9"/>
      <c r="S543" s="8"/>
      <c r="T543" s="8"/>
      <c r="U543" s="8"/>
      <c r="V543" s="11"/>
      <c r="W543" s="8"/>
      <c r="X543" s="8"/>
      <c r="Y543" s="9"/>
      <c r="Z543" s="8"/>
      <c r="AA543" s="8"/>
      <c r="AB543" s="8"/>
      <c r="AC543" s="11"/>
      <c r="AD543" s="8"/>
      <c r="AE543" s="9"/>
      <c r="AF543" s="8"/>
      <c r="AG543" s="9"/>
      <c r="AH543" s="8"/>
      <c r="AI543" s="8"/>
      <c r="AJ543" s="8"/>
      <c r="AK543" s="11"/>
      <c r="AL543" s="8"/>
      <c r="AM543" s="8"/>
      <c r="AN543" s="9"/>
      <c r="AO543" s="8"/>
      <c r="AP543" s="8"/>
      <c r="AQ543" s="8"/>
    </row>
    <row r="544" spans="1:43" x14ac:dyDescent="0.15">
      <c r="A544" s="8"/>
      <c r="B544" s="8"/>
      <c r="C544" s="8"/>
      <c r="D544" s="8"/>
      <c r="E544" s="8"/>
      <c r="F544" s="8"/>
      <c r="G544" s="10"/>
      <c r="H544" s="11"/>
      <c r="I544" s="8"/>
      <c r="J544" s="9"/>
      <c r="K544" s="8"/>
      <c r="L544" s="9"/>
      <c r="M544" s="8"/>
      <c r="N544" s="11"/>
      <c r="O544" s="8"/>
      <c r="P544" s="9"/>
      <c r="Q544" s="8"/>
      <c r="R544" s="9"/>
      <c r="S544" s="8"/>
      <c r="T544" s="8"/>
      <c r="U544" s="8"/>
      <c r="V544" s="11"/>
      <c r="W544" s="8"/>
      <c r="X544" s="8"/>
      <c r="Y544" s="9"/>
      <c r="Z544" s="8"/>
      <c r="AA544" s="8"/>
      <c r="AB544" s="8"/>
      <c r="AC544" s="11"/>
      <c r="AD544" s="8"/>
      <c r="AE544" s="9"/>
      <c r="AF544" s="8"/>
      <c r="AG544" s="9"/>
      <c r="AH544" s="8"/>
      <c r="AI544" s="8"/>
      <c r="AJ544" s="8"/>
      <c r="AK544" s="11"/>
      <c r="AL544" s="8"/>
      <c r="AM544" s="8"/>
      <c r="AN544" s="9"/>
      <c r="AO544" s="8"/>
      <c r="AP544" s="8"/>
      <c r="AQ544" s="8"/>
    </row>
    <row r="545" spans="1:43" x14ac:dyDescent="0.15">
      <c r="A545" s="8"/>
      <c r="B545" s="8"/>
      <c r="C545" s="8"/>
      <c r="D545" s="8"/>
      <c r="E545" s="8"/>
      <c r="F545" s="8"/>
      <c r="G545" s="10"/>
      <c r="H545" s="11"/>
      <c r="I545" s="8"/>
      <c r="J545" s="9"/>
      <c r="K545" s="8"/>
      <c r="L545" s="9"/>
      <c r="M545" s="8"/>
      <c r="N545" s="11"/>
      <c r="O545" s="8"/>
      <c r="P545" s="9"/>
      <c r="Q545" s="8"/>
      <c r="R545" s="9"/>
      <c r="S545" s="8"/>
      <c r="T545" s="8"/>
      <c r="U545" s="8"/>
      <c r="V545" s="11"/>
      <c r="W545" s="8"/>
      <c r="X545" s="8"/>
      <c r="Y545" s="9"/>
      <c r="Z545" s="8"/>
      <c r="AA545" s="8"/>
      <c r="AB545" s="8"/>
      <c r="AC545" s="11"/>
      <c r="AD545" s="8"/>
      <c r="AE545" s="9"/>
      <c r="AF545" s="8"/>
      <c r="AG545" s="9"/>
      <c r="AH545" s="8"/>
      <c r="AI545" s="8"/>
      <c r="AJ545" s="8"/>
      <c r="AK545" s="11"/>
      <c r="AL545" s="8"/>
      <c r="AM545" s="8"/>
      <c r="AN545" s="9"/>
      <c r="AO545" s="8"/>
      <c r="AP545" s="8"/>
      <c r="AQ545" s="8"/>
    </row>
    <row r="546" spans="1:43" x14ac:dyDescent="0.15">
      <c r="A546" s="8"/>
      <c r="B546" s="8"/>
      <c r="C546" s="8"/>
      <c r="D546" s="8"/>
      <c r="E546" s="8"/>
      <c r="F546" s="8"/>
      <c r="G546" s="10"/>
      <c r="H546" s="11"/>
      <c r="I546" s="8"/>
      <c r="J546" s="9"/>
      <c r="K546" s="8"/>
      <c r="L546" s="9"/>
      <c r="M546" s="8"/>
      <c r="N546" s="11"/>
      <c r="O546" s="8"/>
      <c r="P546" s="9"/>
      <c r="Q546" s="8"/>
      <c r="R546" s="9"/>
      <c r="S546" s="8"/>
      <c r="T546" s="8"/>
      <c r="U546" s="8"/>
      <c r="V546" s="11"/>
      <c r="W546" s="8"/>
      <c r="X546" s="8"/>
      <c r="Y546" s="9"/>
      <c r="Z546" s="8"/>
      <c r="AA546" s="8"/>
      <c r="AB546" s="8"/>
      <c r="AC546" s="11"/>
      <c r="AD546" s="8"/>
      <c r="AE546" s="9"/>
      <c r="AF546" s="8"/>
      <c r="AG546" s="9"/>
      <c r="AH546" s="8"/>
      <c r="AI546" s="8"/>
      <c r="AJ546" s="8"/>
      <c r="AK546" s="11"/>
      <c r="AL546" s="8"/>
      <c r="AM546" s="8"/>
      <c r="AN546" s="9"/>
      <c r="AO546" s="8"/>
      <c r="AP546" s="8"/>
      <c r="AQ546" s="8"/>
    </row>
    <row r="547" spans="1:43" x14ac:dyDescent="0.15">
      <c r="A547" s="8"/>
      <c r="B547" s="8"/>
      <c r="C547" s="8"/>
      <c r="D547" s="8"/>
      <c r="E547" s="8"/>
      <c r="F547" s="8"/>
      <c r="G547" s="10"/>
      <c r="H547" s="11"/>
      <c r="I547" s="8"/>
      <c r="J547" s="9"/>
      <c r="K547" s="8"/>
      <c r="L547" s="9"/>
      <c r="M547" s="8"/>
      <c r="N547" s="11"/>
      <c r="O547" s="8"/>
      <c r="P547" s="9"/>
      <c r="Q547" s="8"/>
      <c r="R547" s="9"/>
      <c r="S547" s="8"/>
      <c r="T547" s="8"/>
      <c r="U547" s="8"/>
      <c r="V547" s="11"/>
      <c r="W547" s="8"/>
      <c r="X547" s="8"/>
      <c r="Y547" s="9"/>
      <c r="Z547" s="8"/>
      <c r="AA547" s="8"/>
      <c r="AB547" s="8"/>
      <c r="AC547" s="11"/>
      <c r="AD547" s="8"/>
      <c r="AE547" s="9"/>
      <c r="AF547" s="8"/>
      <c r="AG547" s="9"/>
      <c r="AH547" s="8"/>
      <c r="AI547" s="8"/>
      <c r="AJ547" s="8"/>
      <c r="AK547" s="11"/>
      <c r="AL547" s="8"/>
      <c r="AM547" s="8"/>
      <c r="AN547" s="9"/>
      <c r="AO547" s="8"/>
      <c r="AP547" s="8"/>
      <c r="AQ547" s="8"/>
    </row>
    <row r="548" spans="1:43" x14ac:dyDescent="0.15">
      <c r="A548" s="8"/>
      <c r="B548" s="8"/>
      <c r="C548" s="8"/>
      <c r="D548" s="8"/>
      <c r="E548" s="8"/>
      <c r="F548" s="8"/>
      <c r="G548" s="10"/>
      <c r="H548" s="11"/>
      <c r="I548" s="8"/>
      <c r="J548" s="9"/>
      <c r="K548" s="8"/>
      <c r="L548" s="9"/>
      <c r="M548" s="8"/>
      <c r="N548" s="11"/>
      <c r="O548" s="8"/>
      <c r="P548" s="9"/>
      <c r="Q548" s="8"/>
      <c r="R548" s="9"/>
      <c r="S548" s="8"/>
      <c r="T548" s="8"/>
      <c r="U548" s="8"/>
      <c r="V548" s="11"/>
      <c r="W548" s="8"/>
      <c r="X548" s="8"/>
      <c r="Y548" s="9"/>
      <c r="Z548" s="8"/>
      <c r="AA548" s="8"/>
      <c r="AB548" s="8"/>
      <c r="AC548" s="11"/>
      <c r="AD548" s="8"/>
      <c r="AE548" s="9"/>
      <c r="AF548" s="8"/>
      <c r="AG548" s="9"/>
      <c r="AH548" s="8"/>
      <c r="AI548" s="8"/>
      <c r="AJ548" s="8"/>
      <c r="AK548" s="11"/>
      <c r="AL548" s="8"/>
      <c r="AM548" s="8"/>
      <c r="AN548" s="9"/>
      <c r="AO548" s="8"/>
      <c r="AP548" s="8"/>
      <c r="AQ548" s="8"/>
    </row>
    <row r="549" spans="1:43" x14ac:dyDescent="0.15">
      <c r="A549" s="8"/>
      <c r="B549" s="8"/>
      <c r="C549" s="8"/>
      <c r="D549" s="8"/>
      <c r="E549" s="8"/>
      <c r="F549" s="8"/>
      <c r="G549" s="10"/>
      <c r="H549" s="11"/>
      <c r="I549" s="8"/>
      <c r="J549" s="9"/>
      <c r="K549" s="8"/>
      <c r="L549" s="9"/>
      <c r="M549" s="8"/>
      <c r="N549" s="11"/>
      <c r="O549" s="8"/>
      <c r="P549" s="9"/>
      <c r="Q549" s="8"/>
      <c r="R549" s="9"/>
      <c r="S549" s="8"/>
      <c r="T549" s="8"/>
      <c r="U549" s="8"/>
      <c r="V549" s="11"/>
      <c r="W549" s="8"/>
      <c r="X549" s="8"/>
      <c r="Y549" s="9"/>
      <c r="Z549" s="8"/>
      <c r="AA549" s="8"/>
      <c r="AB549" s="8"/>
      <c r="AC549" s="11"/>
      <c r="AD549" s="8"/>
      <c r="AE549" s="9"/>
      <c r="AF549" s="8"/>
      <c r="AG549" s="9"/>
      <c r="AH549" s="8"/>
      <c r="AI549" s="8"/>
      <c r="AJ549" s="8"/>
      <c r="AK549" s="11"/>
      <c r="AL549" s="8"/>
      <c r="AM549" s="8"/>
      <c r="AN549" s="9"/>
      <c r="AO549" s="8"/>
      <c r="AP549" s="8"/>
      <c r="AQ549" s="8"/>
    </row>
    <row r="550" spans="1:43" x14ac:dyDescent="0.15">
      <c r="A550" s="8"/>
      <c r="B550" s="8"/>
      <c r="C550" s="8"/>
      <c r="D550" s="8"/>
      <c r="E550" s="8"/>
      <c r="F550" s="8"/>
      <c r="G550" s="10"/>
      <c r="H550" s="11"/>
      <c r="I550" s="8"/>
      <c r="J550" s="9"/>
      <c r="K550" s="8"/>
      <c r="L550" s="9"/>
      <c r="M550" s="8"/>
      <c r="N550" s="11"/>
      <c r="O550" s="8"/>
      <c r="P550" s="9"/>
      <c r="Q550" s="8"/>
      <c r="R550" s="9"/>
      <c r="S550" s="8"/>
      <c r="T550" s="8"/>
      <c r="U550" s="8"/>
      <c r="V550" s="11"/>
      <c r="W550" s="8"/>
      <c r="X550" s="8"/>
      <c r="Y550" s="9"/>
      <c r="Z550" s="8"/>
      <c r="AA550" s="8"/>
      <c r="AB550" s="8"/>
      <c r="AC550" s="11"/>
      <c r="AD550" s="8"/>
      <c r="AE550" s="9"/>
      <c r="AF550" s="8"/>
      <c r="AG550" s="9"/>
      <c r="AH550" s="8"/>
      <c r="AI550" s="8"/>
      <c r="AJ550" s="8"/>
      <c r="AK550" s="11"/>
      <c r="AL550" s="8"/>
      <c r="AM550" s="8"/>
      <c r="AN550" s="9"/>
      <c r="AO550" s="8"/>
      <c r="AP550" s="8"/>
      <c r="AQ550" s="8"/>
    </row>
    <row r="551" spans="1:43" x14ac:dyDescent="0.15">
      <c r="A551" s="8"/>
      <c r="B551" s="8"/>
      <c r="C551" s="8"/>
      <c r="D551" s="8"/>
      <c r="E551" s="8"/>
      <c r="F551" s="8"/>
      <c r="G551" s="10"/>
      <c r="H551" s="11"/>
      <c r="I551" s="8"/>
      <c r="J551" s="9"/>
      <c r="K551" s="8"/>
      <c r="L551" s="9"/>
      <c r="M551" s="8"/>
      <c r="N551" s="11"/>
      <c r="O551" s="8"/>
      <c r="P551" s="9"/>
      <c r="Q551" s="8"/>
      <c r="R551" s="9"/>
      <c r="S551" s="8"/>
      <c r="T551" s="8"/>
      <c r="U551" s="8"/>
      <c r="V551" s="11"/>
      <c r="W551" s="8"/>
      <c r="X551" s="8"/>
      <c r="Y551" s="9"/>
      <c r="Z551" s="8"/>
      <c r="AA551" s="8"/>
      <c r="AB551" s="8"/>
      <c r="AC551" s="11"/>
      <c r="AD551" s="8"/>
      <c r="AE551" s="9"/>
      <c r="AF551" s="8"/>
      <c r="AG551" s="9"/>
      <c r="AH551" s="8"/>
      <c r="AI551" s="8"/>
      <c r="AJ551" s="8"/>
      <c r="AK551" s="11"/>
      <c r="AL551" s="8"/>
      <c r="AM551" s="8"/>
      <c r="AN551" s="9"/>
      <c r="AO551" s="8"/>
      <c r="AP551" s="8"/>
      <c r="AQ551" s="8"/>
    </row>
    <row r="552" spans="1:43" x14ac:dyDescent="0.15">
      <c r="A552" s="8"/>
      <c r="B552" s="8"/>
      <c r="C552" s="8"/>
      <c r="D552" s="8"/>
      <c r="E552" s="8"/>
      <c r="F552" s="8"/>
      <c r="G552" s="10"/>
      <c r="H552" s="11"/>
      <c r="I552" s="8"/>
      <c r="J552" s="9"/>
      <c r="K552" s="8"/>
      <c r="L552" s="9"/>
      <c r="M552" s="8"/>
      <c r="N552" s="11"/>
      <c r="O552" s="8"/>
      <c r="P552" s="9"/>
      <c r="Q552" s="8"/>
      <c r="R552" s="9"/>
      <c r="S552" s="8"/>
      <c r="T552" s="8"/>
      <c r="U552" s="8"/>
      <c r="V552" s="11"/>
      <c r="W552" s="8"/>
      <c r="X552" s="8"/>
      <c r="Y552" s="9"/>
      <c r="Z552" s="8"/>
      <c r="AA552" s="8"/>
      <c r="AB552" s="8"/>
      <c r="AC552" s="11"/>
      <c r="AD552" s="8"/>
      <c r="AE552" s="9"/>
      <c r="AF552" s="8"/>
      <c r="AG552" s="9"/>
      <c r="AH552" s="8"/>
      <c r="AI552" s="8"/>
      <c r="AJ552" s="8"/>
      <c r="AK552" s="11"/>
      <c r="AL552" s="8"/>
      <c r="AM552" s="8"/>
      <c r="AN552" s="9"/>
      <c r="AO552" s="8"/>
      <c r="AP552" s="8"/>
      <c r="AQ552" s="8"/>
    </row>
    <row r="553" spans="1:43" x14ac:dyDescent="0.15">
      <c r="A553" s="8"/>
      <c r="B553" s="8"/>
      <c r="C553" s="8"/>
      <c r="D553" s="8"/>
      <c r="E553" s="8"/>
      <c r="F553" s="8"/>
      <c r="G553" s="10"/>
      <c r="H553" s="11"/>
      <c r="I553" s="8"/>
      <c r="J553" s="9"/>
      <c r="K553" s="8"/>
      <c r="L553" s="9"/>
      <c r="M553" s="8"/>
      <c r="N553" s="11"/>
      <c r="O553" s="8"/>
      <c r="P553" s="9"/>
      <c r="Q553" s="8"/>
      <c r="R553" s="9"/>
      <c r="S553" s="8"/>
      <c r="T553" s="8"/>
      <c r="U553" s="8"/>
      <c r="V553" s="11"/>
      <c r="W553" s="8"/>
      <c r="X553" s="8"/>
      <c r="Y553" s="9"/>
      <c r="Z553" s="8"/>
      <c r="AA553" s="8"/>
      <c r="AB553" s="8"/>
      <c r="AC553" s="11"/>
      <c r="AD553" s="8"/>
      <c r="AE553" s="9"/>
      <c r="AF553" s="8"/>
      <c r="AG553" s="9"/>
      <c r="AH553" s="8"/>
      <c r="AI553" s="8"/>
      <c r="AJ553" s="8"/>
      <c r="AK553" s="11"/>
      <c r="AL553" s="8"/>
      <c r="AM553" s="8"/>
      <c r="AN553" s="9"/>
      <c r="AO553" s="8"/>
      <c r="AP553" s="8"/>
      <c r="AQ553" s="8"/>
    </row>
    <row r="554" spans="1:43" x14ac:dyDescent="0.15">
      <c r="A554" s="8"/>
      <c r="B554" s="8"/>
      <c r="C554" s="8"/>
      <c r="D554" s="8"/>
      <c r="E554" s="8"/>
      <c r="F554" s="8"/>
      <c r="G554" s="10"/>
      <c r="H554" s="11"/>
      <c r="I554" s="8"/>
      <c r="J554" s="9"/>
      <c r="K554" s="8"/>
      <c r="L554" s="9"/>
      <c r="M554" s="8"/>
      <c r="N554" s="11"/>
      <c r="O554" s="8"/>
      <c r="P554" s="9"/>
      <c r="Q554" s="8"/>
      <c r="R554" s="9"/>
      <c r="S554" s="8"/>
      <c r="T554" s="8"/>
      <c r="U554" s="8"/>
      <c r="V554" s="11"/>
      <c r="W554" s="8"/>
      <c r="X554" s="8"/>
      <c r="Y554" s="9"/>
      <c r="Z554" s="8"/>
      <c r="AA554" s="8"/>
      <c r="AB554" s="8"/>
      <c r="AC554" s="11"/>
      <c r="AD554" s="8"/>
      <c r="AE554" s="9"/>
      <c r="AF554" s="8"/>
      <c r="AG554" s="9"/>
      <c r="AH554" s="8"/>
      <c r="AI554" s="8"/>
      <c r="AJ554" s="8"/>
      <c r="AK554" s="11"/>
      <c r="AL554" s="8"/>
      <c r="AM554" s="8"/>
      <c r="AN554" s="9"/>
      <c r="AO554" s="8"/>
      <c r="AP554" s="8"/>
      <c r="AQ554" s="8"/>
    </row>
    <row r="555" spans="1:43" x14ac:dyDescent="0.15">
      <c r="A555" s="8"/>
      <c r="B555" s="8"/>
      <c r="C555" s="8"/>
      <c r="D555" s="8"/>
      <c r="E555" s="8"/>
      <c r="F555" s="8"/>
      <c r="G555" s="10"/>
      <c r="H555" s="11"/>
      <c r="I555" s="8"/>
      <c r="J555" s="9"/>
      <c r="K555" s="8"/>
      <c r="L555" s="9"/>
      <c r="M555" s="8"/>
      <c r="N555" s="11"/>
      <c r="O555" s="8"/>
      <c r="P555" s="9"/>
      <c r="Q555" s="8"/>
      <c r="R555" s="9"/>
      <c r="S555" s="8"/>
      <c r="T555" s="8"/>
      <c r="U555" s="8"/>
      <c r="V555" s="11"/>
      <c r="W555" s="8"/>
      <c r="X555" s="8"/>
      <c r="Y555" s="9"/>
      <c r="Z555" s="8"/>
      <c r="AA555" s="8"/>
      <c r="AB555" s="8"/>
      <c r="AC555" s="11"/>
      <c r="AD555" s="8"/>
      <c r="AE555" s="9"/>
      <c r="AF555" s="8"/>
      <c r="AG555" s="9"/>
      <c r="AH555" s="8"/>
      <c r="AI555" s="8"/>
      <c r="AJ555" s="8"/>
      <c r="AK555" s="11"/>
      <c r="AL555" s="8"/>
      <c r="AM555" s="8"/>
      <c r="AN555" s="9"/>
      <c r="AO555" s="8"/>
      <c r="AP555" s="8"/>
      <c r="AQ555" s="8"/>
    </row>
    <row r="556" spans="1:43" x14ac:dyDescent="0.15">
      <c r="A556" s="8"/>
      <c r="B556" s="8"/>
      <c r="C556" s="8"/>
      <c r="D556" s="8"/>
      <c r="E556" s="8"/>
      <c r="F556" s="8"/>
      <c r="G556" s="10"/>
      <c r="H556" s="11"/>
      <c r="I556" s="8"/>
      <c r="J556" s="9"/>
      <c r="K556" s="8"/>
      <c r="L556" s="9"/>
      <c r="M556" s="8"/>
      <c r="N556" s="11"/>
      <c r="O556" s="8"/>
      <c r="P556" s="9"/>
      <c r="Q556" s="8"/>
      <c r="R556" s="9"/>
      <c r="S556" s="8"/>
      <c r="T556" s="8"/>
      <c r="U556" s="8"/>
      <c r="V556" s="11"/>
      <c r="W556" s="8"/>
      <c r="X556" s="8"/>
      <c r="Y556" s="9"/>
      <c r="Z556" s="8"/>
      <c r="AA556" s="8"/>
      <c r="AB556" s="8"/>
      <c r="AC556" s="11"/>
      <c r="AD556" s="8"/>
      <c r="AE556" s="9"/>
      <c r="AF556" s="8"/>
      <c r="AG556" s="9"/>
      <c r="AH556" s="8"/>
      <c r="AI556" s="8"/>
      <c r="AJ556" s="8"/>
      <c r="AK556" s="11"/>
      <c r="AL556" s="8"/>
      <c r="AM556" s="8"/>
      <c r="AN556" s="9"/>
      <c r="AO556" s="8"/>
      <c r="AP556" s="8"/>
      <c r="AQ556" s="8"/>
    </row>
    <row r="557" spans="1:43" x14ac:dyDescent="0.15">
      <c r="A557" s="8"/>
      <c r="B557" s="8"/>
      <c r="C557" s="8"/>
      <c r="D557" s="8"/>
      <c r="E557" s="8"/>
      <c r="F557" s="8"/>
      <c r="G557" s="10"/>
      <c r="H557" s="11"/>
      <c r="I557" s="8"/>
      <c r="J557" s="9"/>
      <c r="K557" s="8"/>
      <c r="L557" s="9"/>
      <c r="M557" s="8"/>
      <c r="N557" s="11"/>
      <c r="O557" s="8"/>
      <c r="P557" s="9"/>
      <c r="Q557" s="8"/>
      <c r="R557" s="9"/>
      <c r="S557" s="8"/>
      <c r="T557" s="8"/>
      <c r="U557" s="8"/>
      <c r="V557" s="11"/>
      <c r="W557" s="8"/>
      <c r="X557" s="8"/>
      <c r="Y557" s="9"/>
      <c r="Z557" s="8"/>
      <c r="AA557" s="8"/>
      <c r="AB557" s="8"/>
      <c r="AC557" s="11"/>
      <c r="AD557" s="8"/>
      <c r="AE557" s="9"/>
      <c r="AF557" s="8"/>
      <c r="AG557" s="9"/>
      <c r="AH557" s="8"/>
      <c r="AI557" s="8"/>
      <c r="AJ557" s="8"/>
      <c r="AK557" s="11"/>
      <c r="AL557" s="8"/>
      <c r="AM557" s="8"/>
      <c r="AN557" s="9"/>
      <c r="AO557" s="8"/>
      <c r="AP557" s="8"/>
      <c r="AQ557" s="8"/>
    </row>
    <row r="558" spans="1:43" x14ac:dyDescent="0.15">
      <c r="A558" s="8"/>
      <c r="B558" s="8"/>
      <c r="C558" s="8"/>
      <c r="D558" s="8"/>
      <c r="E558" s="8"/>
      <c r="F558" s="8"/>
      <c r="G558" s="10"/>
      <c r="H558" s="11"/>
      <c r="I558" s="8"/>
      <c r="J558" s="9"/>
      <c r="K558" s="8"/>
      <c r="L558" s="9"/>
      <c r="M558" s="8"/>
      <c r="N558" s="11"/>
      <c r="O558" s="8"/>
      <c r="P558" s="9"/>
      <c r="Q558" s="8"/>
      <c r="R558" s="9"/>
      <c r="S558" s="8"/>
      <c r="T558" s="8"/>
      <c r="U558" s="8"/>
      <c r="V558" s="11"/>
      <c r="W558" s="8"/>
      <c r="X558" s="8"/>
      <c r="Y558" s="9"/>
      <c r="Z558" s="8"/>
      <c r="AA558" s="8"/>
      <c r="AB558" s="8"/>
      <c r="AC558" s="11"/>
      <c r="AD558" s="8"/>
      <c r="AE558" s="9"/>
      <c r="AF558" s="8"/>
      <c r="AG558" s="9"/>
      <c r="AH558" s="8"/>
      <c r="AI558" s="8"/>
      <c r="AJ558" s="8"/>
      <c r="AK558" s="11"/>
      <c r="AL558" s="8"/>
      <c r="AM558" s="8"/>
      <c r="AN558" s="9"/>
      <c r="AO558" s="8"/>
      <c r="AP558" s="8"/>
      <c r="AQ558" s="8"/>
    </row>
    <row r="559" spans="1:43" x14ac:dyDescent="0.15">
      <c r="A559" s="8"/>
      <c r="B559" s="8"/>
      <c r="C559" s="8"/>
      <c r="D559" s="8"/>
      <c r="E559" s="8"/>
      <c r="F559" s="8"/>
      <c r="G559" s="10"/>
      <c r="H559" s="11"/>
      <c r="I559" s="8"/>
      <c r="J559" s="9"/>
      <c r="K559" s="8"/>
      <c r="L559" s="9"/>
      <c r="M559" s="8"/>
      <c r="N559" s="11"/>
      <c r="O559" s="8"/>
      <c r="P559" s="9"/>
      <c r="Q559" s="8"/>
      <c r="R559" s="9"/>
      <c r="S559" s="8"/>
      <c r="T559" s="8"/>
      <c r="U559" s="8"/>
      <c r="V559" s="11"/>
      <c r="W559" s="8"/>
      <c r="X559" s="8"/>
      <c r="Y559" s="9"/>
      <c r="Z559" s="8"/>
      <c r="AA559" s="8"/>
      <c r="AB559" s="8"/>
      <c r="AC559" s="11"/>
      <c r="AD559" s="8"/>
      <c r="AE559" s="9"/>
      <c r="AF559" s="8"/>
      <c r="AG559" s="9"/>
      <c r="AH559" s="8"/>
      <c r="AI559" s="8"/>
      <c r="AJ559" s="8"/>
      <c r="AK559" s="11"/>
      <c r="AL559" s="8"/>
      <c r="AM559" s="8"/>
      <c r="AN559" s="9"/>
      <c r="AO559" s="8"/>
      <c r="AP559" s="8"/>
      <c r="AQ559" s="8"/>
    </row>
    <row r="560" spans="1:43" x14ac:dyDescent="0.15">
      <c r="A560" s="8"/>
      <c r="B560" s="8"/>
      <c r="C560" s="8"/>
      <c r="D560" s="8"/>
      <c r="E560" s="8"/>
      <c r="F560" s="8"/>
      <c r="G560" s="10"/>
      <c r="H560" s="11"/>
      <c r="I560" s="8"/>
      <c r="J560" s="9"/>
      <c r="K560" s="8"/>
      <c r="L560" s="9"/>
      <c r="M560" s="8"/>
      <c r="N560" s="11"/>
      <c r="O560" s="8"/>
      <c r="P560" s="9"/>
      <c r="Q560" s="8"/>
      <c r="R560" s="9"/>
      <c r="S560" s="8"/>
      <c r="T560" s="8"/>
      <c r="U560" s="8"/>
      <c r="V560" s="11"/>
      <c r="W560" s="8"/>
      <c r="X560" s="8"/>
      <c r="Y560" s="9"/>
      <c r="Z560" s="8"/>
      <c r="AA560" s="8"/>
      <c r="AB560" s="8"/>
      <c r="AC560" s="11"/>
      <c r="AD560" s="8"/>
      <c r="AE560" s="9"/>
      <c r="AF560" s="8"/>
      <c r="AG560" s="9"/>
      <c r="AH560" s="8"/>
      <c r="AI560" s="8"/>
      <c r="AJ560" s="8"/>
      <c r="AK560" s="11"/>
      <c r="AL560" s="8"/>
      <c r="AM560" s="8"/>
      <c r="AN560" s="9"/>
      <c r="AO560" s="8"/>
      <c r="AP560" s="8"/>
      <c r="AQ560" s="8"/>
    </row>
    <row r="561" spans="1:43" x14ac:dyDescent="0.15">
      <c r="A561" s="8"/>
      <c r="B561" s="8"/>
      <c r="C561" s="8"/>
      <c r="D561" s="8"/>
      <c r="E561" s="8"/>
      <c r="F561" s="8"/>
      <c r="G561" s="10"/>
      <c r="H561" s="11"/>
      <c r="I561" s="8"/>
      <c r="J561" s="9"/>
      <c r="K561" s="8"/>
      <c r="L561" s="9"/>
      <c r="M561" s="8"/>
      <c r="N561" s="11"/>
      <c r="O561" s="8"/>
      <c r="P561" s="9"/>
      <c r="Q561" s="8"/>
      <c r="R561" s="9"/>
      <c r="S561" s="8"/>
      <c r="T561" s="8"/>
      <c r="U561" s="8"/>
      <c r="V561" s="11"/>
      <c r="W561" s="8"/>
      <c r="X561" s="8"/>
      <c r="Y561" s="9"/>
      <c r="Z561" s="8"/>
      <c r="AA561" s="8"/>
      <c r="AB561" s="8"/>
      <c r="AC561" s="11"/>
      <c r="AD561" s="8"/>
      <c r="AE561" s="9"/>
      <c r="AF561" s="8"/>
      <c r="AG561" s="9"/>
      <c r="AH561" s="8"/>
      <c r="AI561" s="8"/>
      <c r="AJ561" s="8"/>
      <c r="AK561" s="11"/>
      <c r="AL561" s="8"/>
      <c r="AM561" s="8"/>
      <c r="AN561" s="9"/>
      <c r="AO561" s="8"/>
      <c r="AP561" s="8"/>
      <c r="AQ561" s="8"/>
    </row>
    <row r="562" spans="1:43" x14ac:dyDescent="0.15">
      <c r="A562" s="8"/>
      <c r="B562" s="8"/>
      <c r="C562" s="8"/>
      <c r="D562" s="8"/>
      <c r="E562" s="8"/>
      <c r="F562" s="8"/>
      <c r="G562" s="10"/>
      <c r="H562" s="11"/>
      <c r="I562" s="8"/>
      <c r="J562" s="9"/>
      <c r="K562" s="8"/>
      <c r="L562" s="9"/>
      <c r="M562" s="8"/>
      <c r="N562" s="11"/>
      <c r="O562" s="8"/>
      <c r="P562" s="9"/>
      <c r="Q562" s="8"/>
      <c r="R562" s="9"/>
      <c r="S562" s="8"/>
      <c r="T562" s="8"/>
      <c r="U562" s="8"/>
      <c r="V562" s="11"/>
      <c r="W562" s="8"/>
      <c r="X562" s="8"/>
      <c r="Y562" s="9"/>
      <c r="Z562" s="8"/>
      <c r="AA562" s="8"/>
      <c r="AB562" s="8"/>
      <c r="AC562" s="11"/>
      <c r="AD562" s="8"/>
      <c r="AE562" s="9"/>
      <c r="AF562" s="8"/>
      <c r="AG562" s="9"/>
      <c r="AH562" s="8"/>
      <c r="AI562" s="8"/>
      <c r="AJ562" s="8"/>
      <c r="AK562" s="11"/>
      <c r="AL562" s="8"/>
      <c r="AM562" s="8"/>
      <c r="AN562" s="9"/>
      <c r="AO562" s="8"/>
      <c r="AP562" s="8"/>
      <c r="AQ562" s="8"/>
    </row>
    <row r="563" spans="1:43" x14ac:dyDescent="0.15">
      <c r="A563" s="8"/>
      <c r="B563" s="8"/>
      <c r="C563" s="8"/>
      <c r="D563" s="8"/>
      <c r="E563" s="8"/>
      <c r="F563" s="8"/>
      <c r="G563" s="10"/>
      <c r="H563" s="11"/>
      <c r="I563" s="8"/>
      <c r="J563" s="9"/>
      <c r="K563" s="8"/>
      <c r="L563" s="9"/>
      <c r="M563" s="8"/>
      <c r="N563" s="11"/>
      <c r="O563" s="8"/>
      <c r="P563" s="9"/>
      <c r="Q563" s="8"/>
      <c r="R563" s="9"/>
      <c r="S563" s="8"/>
      <c r="T563" s="8"/>
      <c r="U563" s="8"/>
      <c r="V563" s="11"/>
      <c r="W563" s="8"/>
      <c r="X563" s="8"/>
      <c r="Y563" s="9"/>
      <c r="Z563" s="8"/>
      <c r="AA563" s="8"/>
      <c r="AB563" s="8"/>
      <c r="AC563" s="11"/>
      <c r="AD563" s="8"/>
      <c r="AE563" s="9"/>
      <c r="AF563" s="8"/>
      <c r="AG563" s="9"/>
      <c r="AH563" s="8"/>
      <c r="AI563" s="8"/>
      <c r="AJ563" s="8"/>
      <c r="AK563" s="11"/>
      <c r="AL563" s="8"/>
      <c r="AM563" s="8"/>
      <c r="AN563" s="9"/>
      <c r="AO563" s="8"/>
      <c r="AP563" s="8"/>
      <c r="AQ563" s="8"/>
    </row>
    <row r="564" spans="1:43" x14ac:dyDescent="0.15">
      <c r="A564" s="8"/>
      <c r="B564" s="8"/>
      <c r="C564" s="8"/>
      <c r="D564" s="8"/>
      <c r="E564" s="8"/>
      <c r="F564" s="8"/>
      <c r="G564" s="10"/>
      <c r="H564" s="11"/>
      <c r="I564" s="8"/>
      <c r="J564" s="9"/>
      <c r="K564" s="8"/>
      <c r="L564" s="9"/>
      <c r="M564" s="8"/>
      <c r="N564" s="11"/>
      <c r="O564" s="8"/>
      <c r="P564" s="9"/>
      <c r="Q564" s="8"/>
      <c r="R564" s="9"/>
      <c r="S564" s="8"/>
      <c r="T564" s="8"/>
      <c r="U564" s="8"/>
      <c r="V564" s="11"/>
      <c r="W564" s="8"/>
      <c r="X564" s="8"/>
      <c r="Y564" s="9"/>
      <c r="Z564" s="8"/>
      <c r="AA564" s="8"/>
      <c r="AB564" s="8"/>
      <c r="AC564" s="11"/>
      <c r="AD564" s="8"/>
      <c r="AE564" s="9"/>
      <c r="AF564" s="8"/>
      <c r="AG564" s="9"/>
      <c r="AH564" s="8"/>
      <c r="AI564" s="8"/>
      <c r="AJ564" s="8"/>
      <c r="AK564" s="11"/>
      <c r="AL564" s="8"/>
      <c r="AM564" s="8"/>
      <c r="AN564" s="9"/>
      <c r="AO564" s="8"/>
      <c r="AP564" s="8"/>
      <c r="AQ564" s="8"/>
    </row>
    <row r="565" spans="1:43" x14ac:dyDescent="0.15">
      <c r="A565" s="8"/>
      <c r="B565" s="8"/>
      <c r="C565" s="8"/>
      <c r="D565" s="8"/>
      <c r="E565" s="8"/>
      <c r="F565" s="8"/>
      <c r="G565" s="10"/>
      <c r="H565" s="11"/>
      <c r="I565" s="8"/>
      <c r="J565" s="9"/>
      <c r="K565" s="8"/>
      <c r="L565" s="9"/>
      <c r="M565" s="8"/>
      <c r="N565" s="11"/>
      <c r="O565" s="8"/>
      <c r="P565" s="9"/>
      <c r="Q565" s="8"/>
      <c r="R565" s="9"/>
      <c r="S565" s="8"/>
      <c r="T565" s="8"/>
      <c r="U565" s="8"/>
      <c r="V565" s="11"/>
      <c r="W565" s="8"/>
      <c r="X565" s="8"/>
      <c r="Y565" s="9"/>
      <c r="Z565" s="8"/>
      <c r="AA565" s="8"/>
      <c r="AB565" s="8"/>
      <c r="AC565" s="11"/>
      <c r="AD565" s="8"/>
      <c r="AE565" s="9"/>
      <c r="AF565" s="8"/>
      <c r="AG565" s="9"/>
      <c r="AH565" s="8"/>
      <c r="AI565" s="8"/>
      <c r="AJ565" s="8"/>
      <c r="AK565" s="11"/>
      <c r="AL565" s="8"/>
      <c r="AM565" s="8"/>
      <c r="AN565" s="9"/>
      <c r="AO565" s="8"/>
      <c r="AP565" s="8"/>
      <c r="AQ565" s="8"/>
    </row>
    <row r="566" spans="1:43" x14ac:dyDescent="0.15">
      <c r="A566" s="8"/>
      <c r="B566" s="8"/>
      <c r="C566" s="8"/>
      <c r="D566" s="8"/>
      <c r="E566" s="8"/>
      <c r="F566" s="8"/>
      <c r="G566" s="10"/>
      <c r="H566" s="11"/>
      <c r="I566" s="8"/>
      <c r="J566" s="9"/>
      <c r="K566" s="8"/>
      <c r="L566" s="9"/>
      <c r="M566" s="8"/>
      <c r="N566" s="11"/>
      <c r="O566" s="8"/>
      <c r="P566" s="9"/>
      <c r="Q566" s="8"/>
      <c r="R566" s="9"/>
      <c r="S566" s="8"/>
      <c r="T566" s="8"/>
      <c r="U566" s="8"/>
      <c r="V566" s="11"/>
      <c r="W566" s="8"/>
      <c r="X566" s="8"/>
      <c r="Y566" s="9"/>
      <c r="Z566" s="8"/>
      <c r="AA566" s="8"/>
      <c r="AB566" s="8"/>
      <c r="AC566" s="11"/>
      <c r="AD566" s="8"/>
      <c r="AE566" s="9"/>
      <c r="AF566" s="8"/>
      <c r="AG566" s="9"/>
      <c r="AH566" s="8"/>
      <c r="AI566" s="8"/>
      <c r="AJ566" s="8"/>
      <c r="AK566" s="11"/>
      <c r="AL566" s="8"/>
      <c r="AM566" s="8"/>
      <c r="AN566" s="9"/>
      <c r="AO566" s="8"/>
      <c r="AP566" s="8"/>
      <c r="AQ566" s="8"/>
    </row>
    <row r="567" spans="1:43" x14ac:dyDescent="0.15">
      <c r="A567" s="8"/>
      <c r="B567" s="8"/>
      <c r="C567" s="8"/>
      <c r="D567" s="8"/>
      <c r="E567" s="8"/>
      <c r="F567" s="8"/>
      <c r="G567" s="10"/>
      <c r="H567" s="11"/>
      <c r="I567" s="8"/>
      <c r="J567" s="9"/>
      <c r="K567" s="8"/>
      <c r="L567" s="9"/>
      <c r="M567" s="8"/>
      <c r="N567" s="11"/>
      <c r="O567" s="8"/>
      <c r="P567" s="9"/>
      <c r="Q567" s="8"/>
      <c r="R567" s="9"/>
      <c r="S567" s="8"/>
      <c r="T567" s="8"/>
      <c r="U567" s="8"/>
      <c r="V567" s="11"/>
      <c r="W567" s="8"/>
      <c r="X567" s="8"/>
      <c r="Y567" s="9"/>
      <c r="Z567" s="8"/>
      <c r="AA567" s="8"/>
      <c r="AB567" s="8"/>
      <c r="AC567" s="11"/>
      <c r="AD567" s="8"/>
      <c r="AE567" s="9"/>
      <c r="AF567" s="8"/>
      <c r="AG567" s="9"/>
      <c r="AH567" s="8"/>
      <c r="AI567" s="8"/>
      <c r="AJ567" s="8"/>
      <c r="AK567" s="11"/>
      <c r="AL567" s="8"/>
      <c r="AM567" s="8"/>
      <c r="AN567" s="9"/>
      <c r="AO567" s="8"/>
      <c r="AP567" s="8"/>
      <c r="AQ567" s="8"/>
    </row>
    <row r="568" spans="1:43" x14ac:dyDescent="0.15">
      <c r="A568" s="8"/>
      <c r="B568" s="8"/>
      <c r="C568" s="8"/>
      <c r="D568" s="8"/>
      <c r="E568" s="8"/>
      <c r="F568" s="8"/>
      <c r="G568" s="10"/>
      <c r="H568" s="11"/>
      <c r="I568" s="8"/>
      <c r="J568" s="9"/>
      <c r="K568" s="8"/>
      <c r="L568" s="9"/>
      <c r="M568" s="8"/>
      <c r="N568" s="11"/>
      <c r="O568" s="8"/>
      <c r="P568" s="9"/>
      <c r="Q568" s="8"/>
      <c r="R568" s="9"/>
      <c r="S568" s="8"/>
      <c r="T568" s="8"/>
      <c r="U568" s="8"/>
      <c r="V568" s="11"/>
      <c r="W568" s="8"/>
      <c r="X568" s="8"/>
      <c r="Y568" s="9"/>
      <c r="Z568" s="8"/>
      <c r="AA568" s="8"/>
      <c r="AB568" s="8"/>
      <c r="AC568" s="11"/>
      <c r="AD568" s="8"/>
      <c r="AE568" s="9"/>
      <c r="AF568" s="8"/>
      <c r="AG568" s="9"/>
      <c r="AH568" s="8"/>
      <c r="AI568" s="8"/>
      <c r="AJ568" s="8"/>
      <c r="AK568" s="11"/>
      <c r="AL568" s="8"/>
      <c r="AM568" s="8"/>
      <c r="AN568" s="9"/>
      <c r="AO568" s="8"/>
      <c r="AP568" s="8"/>
      <c r="AQ568" s="8"/>
    </row>
    <row r="569" spans="1:43" x14ac:dyDescent="0.15">
      <c r="A569" s="8"/>
      <c r="B569" s="8"/>
      <c r="C569" s="8"/>
      <c r="D569" s="8"/>
      <c r="E569" s="8"/>
      <c r="F569" s="8"/>
      <c r="G569" s="10"/>
      <c r="H569" s="11"/>
      <c r="I569" s="8"/>
      <c r="J569" s="9"/>
      <c r="K569" s="8"/>
      <c r="L569" s="9"/>
      <c r="M569" s="8"/>
      <c r="N569" s="11"/>
      <c r="O569" s="8"/>
      <c r="P569" s="9"/>
      <c r="Q569" s="8"/>
      <c r="R569" s="9"/>
      <c r="S569" s="8"/>
      <c r="T569" s="8"/>
      <c r="U569" s="8"/>
      <c r="V569" s="11"/>
      <c r="W569" s="8"/>
      <c r="X569" s="8"/>
      <c r="Y569" s="9"/>
      <c r="Z569" s="8"/>
      <c r="AA569" s="8"/>
      <c r="AB569" s="8"/>
      <c r="AC569" s="11"/>
      <c r="AD569" s="8"/>
      <c r="AE569" s="9"/>
      <c r="AF569" s="8"/>
      <c r="AG569" s="9"/>
      <c r="AH569" s="8"/>
      <c r="AI569" s="8"/>
      <c r="AJ569" s="8"/>
      <c r="AK569" s="11"/>
      <c r="AL569" s="8"/>
      <c r="AM569" s="8"/>
      <c r="AN569" s="9"/>
      <c r="AO569" s="8"/>
      <c r="AP569" s="8"/>
      <c r="AQ569" s="8"/>
    </row>
    <row r="570" spans="1:43" x14ac:dyDescent="0.15">
      <c r="A570" s="8"/>
      <c r="B570" s="8"/>
      <c r="C570" s="8"/>
      <c r="D570" s="8"/>
      <c r="E570" s="8"/>
      <c r="F570" s="8"/>
      <c r="G570" s="10"/>
      <c r="H570" s="11"/>
      <c r="I570" s="8"/>
      <c r="J570" s="9"/>
      <c r="K570" s="8"/>
      <c r="L570" s="9"/>
      <c r="M570" s="8"/>
      <c r="N570" s="11"/>
      <c r="O570" s="8"/>
      <c r="P570" s="9"/>
      <c r="Q570" s="8"/>
      <c r="R570" s="9"/>
      <c r="S570" s="8"/>
      <c r="T570" s="8"/>
      <c r="U570" s="8"/>
      <c r="V570" s="11"/>
      <c r="W570" s="8"/>
      <c r="X570" s="8"/>
      <c r="Y570" s="9"/>
      <c r="Z570" s="8"/>
      <c r="AA570" s="8"/>
      <c r="AB570" s="8"/>
      <c r="AC570" s="11"/>
      <c r="AD570" s="8"/>
      <c r="AE570" s="9"/>
      <c r="AF570" s="8"/>
      <c r="AG570" s="9"/>
      <c r="AH570" s="8"/>
      <c r="AI570" s="8"/>
      <c r="AJ570" s="8"/>
      <c r="AK570" s="11"/>
      <c r="AL570" s="8"/>
      <c r="AM570" s="8"/>
      <c r="AN570" s="9"/>
      <c r="AO570" s="8"/>
      <c r="AP570" s="8"/>
      <c r="AQ570" s="8"/>
    </row>
    <row r="571" spans="1:43" x14ac:dyDescent="0.15">
      <c r="A571" s="8"/>
      <c r="B571" s="8"/>
      <c r="C571" s="8"/>
      <c r="D571" s="8"/>
      <c r="E571" s="8"/>
      <c r="F571" s="8"/>
      <c r="G571" s="10"/>
      <c r="H571" s="11"/>
      <c r="I571" s="8"/>
      <c r="J571" s="9"/>
      <c r="K571" s="8"/>
      <c r="L571" s="9"/>
      <c r="M571" s="8"/>
      <c r="N571" s="11"/>
      <c r="O571" s="8"/>
      <c r="P571" s="9"/>
      <c r="Q571" s="8"/>
      <c r="R571" s="9"/>
      <c r="S571" s="8"/>
      <c r="T571" s="8"/>
      <c r="U571" s="8"/>
      <c r="V571" s="11"/>
      <c r="W571" s="8"/>
      <c r="X571" s="8"/>
      <c r="Y571" s="9"/>
      <c r="Z571" s="8"/>
      <c r="AA571" s="8"/>
      <c r="AB571" s="8"/>
      <c r="AC571" s="11"/>
      <c r="AD571" s="8"/>
      <c r="AE571" s="9"/>
      <c r="AF571" s="8"/>
      <c r="AG571" s="9"/>
      <c r="AH571" s="8"/>
      <c r="AI571" s="8"/>
      <c r="AJ571" s="8"/>
      <c r="AK571" s="11"/>
      <c r="AL571" s="8"/>
      <c r="AM571" s="8"/>
      <c r="AN571" s="9"/>
      <c r="AO571" s="8"/>
      <c r="AP571" s="8"/>
      <c r="AQ571" s="8"/>
    </row>
    <row r="572" spans="1:43" x14ac:dyDescent="0.15">
      <c r="A572" s="8"/>
      <c r="B572" s="8"/>
      <c r="C572" s="8"/>
      <c r="D572" s="8"/>
      <c r="E572" s="8"/>
      <c r="F572" s="8"/>
      <c r="G572" s="10"/>
      <c r="H572" s="11"/>
      <c r="I572" s="8"/>
      <c r="J572" s="9"/>
      <c r="K572" s="8"/>
      <c r="L572" s="9"/>
      <c r="M572" s="8"/>
      <c r="N572" s="11"/>
      <c r="O572" s="8"/>
      <c r="P572" s="9"/>
      <c r="Q572" s="8"/>
      <c r="R572" s="9"/>
      <c r="S572" s="8"/>
      <c r="T572" s="8"/>
      <c r="U572" s="8"/>
      <c r="V572" s="11"/>
      <c r="W572" s="8"/>
      <c r="X572" s="8"/>
      <c r="Y572" s="9"/>
      <c r="Z572" s="8"/>
      <c r="AA572" s="8"/>
      <c r="AB572" s="8"/>
      <c r="AC572" s="11"/>
      <c r="AD572" s="8"/>
      <c r="AE572" s="9"/>
      <c r="AF572" s="8"/>
      <c r="AG572" s="9"/>
      <c r="AH572" s="8"/>
      <c r="AI572" s="8"/>
      <c r="AJ572" s="8"/>
      <c r="AK572" s="11"/>
      <c r="AL572" s="8"/>
      <c r="AM572" s="8"/>
      <c r="AN572" s="9"/>
      <c r="AO572" s="8"/>
      <c r="AP572" s="8"/>
      <c r="AQ572" s="8"/>
    </row>
    <row r="573" spans="1:43" x14ac:dyDescent="0.15">
      <c r="A573" s="8"/>
      <c r="B573" s="8"/>
      <c r="C573" s="8"/>
      <c r="D573" s="8"/>
      <c r="E573" s="8"/>
      <c r="F573" s="8"/>
      <c r="G573" s="10"/>
      <c r="H573" s="11"/>
      <c r="I573" s="8"/>
      <c r="J573" s="9"/>
      <c r="K573" s="8"/>
      <c r="L573" s="9"/>
      <c r="M573" s="8"/>
      <c r="N573" s="11"/>
      <c r="O573" s="8"/>
      <c r="P573" s="9"/>
      <c r="Q573" s="8"/>
      <c r="R573" s="9"/>
      <c r="S573" s="8"/>
      <c r="T573" s="8"/>
      <c r="U573" s="8"/>
      <c r="V573" s="11"/>
      <c r="W573" s="8"/>
      <c r="X573" s="8"/>
      <c r="Y573" s="9"/>
      <c r="Z573" s="8"/>
      <c r="AA573" s="8"/>
      <c r="AB573" s="8"/>
      <c r="AC573" s="11"/>
      <c r="AD573" s="8"/>
      <c r="AE573" s="9"/>
      <c r="AF573" s="8"/>
      <c r="AG573" s="9"/>
      <c r="AH573" s="8"/>
      <c r="AI573" s="8"/>
      <c r="AJ573" s="8"/>
      <c r="AK573" s="11"/>
      <c r="AL573" s="8"/>
      <c r="AM573" s="8"/>
      <c r="AN573" s="9"/>
      <c r="AO573" s="8"/>
      <c r="AP573" s="8"/>
      <c r="AQ573" s="8"/>
    </row>
    <row r="574" spans="1:43" x14ac:dyDescent="0.15">
      <c r="A574" s="8"/>
      <c r="B574" s="8"/>
      <c r="C574" s="8"/>
      <c r="D574" s="8"/>
      <c r="E574" s="8"/>
      <c r="F574" s="8"/>
      <c r="G574" s="10"/>
      <c r="H574" s="11"/>
      <c r="I574" s="8"/>
      <c r="J574" s="9"/>
      <c r="K574" s="8"/>
      <c r="L574" s="9"/>
      <c r="M574" s="8"/>
      <c r="N574" s="11"/>
      <c r="O574" s="8"/>
      <c r="P574" s="9"/>
      <c r="Q574" s="8"/>
      <c r="R574" s="9"/>
      <c r="S574" s="8"/>
      <c r="T574" s="8"/>
      <c r="U574" s="8"/>
      <c r="V574" s="11"/>
      <c r="W574" s="8"/>
      <c r="X574" s="8"/>
      <c r="Y574" s="9"/>
      <c r="Z574" s="8"/>
      <c r="AA574" s="8"/>
      <c r="AB574" s="8"/>
      <c r="AC574" s="11"/>
      <c r="AD574" s="8"/>
      <c r="AE574" s="9"/>
      <c r="AF574" s="8"/>
      <c r="AG574" s="9"/>
      <c r="AH574" s="8"/>
      <c r="AI574" s="8"/>
      <c r="AJ574" s="8"/>
      <c r="AK574" s="11"/>
      <c r="AL574" s="8"/>
      <c r="AM574" s="8"/>
      <c r="AN574" s="9"/>
      <c r="AO574" s="8"/>
      <c r="AP574" s="8"/>
      <c r="AQ574" s="8"/>
    </row>
    <row r="575" spans="1:43" x14ac:dyDescent="0.15">
      <c r="A575" s="8"/>
      <c r="B575" s="8"/>
      <c r="C575" s="8"/>
      <c r="D575" s="8"/>
      <c r="E575" s="8"/>
      <c r="F575" s="8"/>
      <c r="G575" s="10"/>
      <c r="H575" s="11"/>
      <c r="I575" s="8"/>
      <c r="J575" s="9"/>
      <c r="K575" s="8"/>
      <c r="L575" s="9"/>
      <c r="M575" s="8"/>
      <c r="N575" s="11"/>
      <c r="O575" s="8"/>
      <c r="P575" s="9"/>
      <c r="Q575" s="8"/>
      <c r="R575" s="9"/>
      <c r="S575" s="8"/>
      <c r="T575" s="8"/>
      <c r="U575" s="8"/>
      <c r="V575" s="11"/>
      <c r="W575" s="8"/>
      <c r="X575" s="8"/>
      <c r="Y575" s="9"/>
      <c r="Z575" s="8"/>
      <c r="AA575" s="8"/>
      <c r="AB575" s="8"/>
      <c r="AC575" s="11"/>
      <c r="AD575" s="8"/>
      <c r="AE575" s="9"/>
      <c r="AF575" s="8"/>
      <c r="AG575" s="9"/>
      <c r="AH575" s="8"/>
      <c r="AI575" s="8"/>
      <c r="AJ575" s="8"/>
      <c r="AK575" s="11"/>
      <c r="AL575" s="8"/>
      <c r="AM575" s="8"/>
      <c r="AN575" s="9"/>
      <c r="AO575" s="8"/>
      <c r="AP575" s="8"/>
      <c r="AQ575" s="8"/>
    </row>
    <row r="576" spans="1:43" x14ac:dyDescent="0.15">
      <c r="A576" s="8"/>
      <c r="B576" s="8"/>
      <c r="C576" s="8"/>
      <c r="D576" s="8"/>
      <c r="E576" s="8"/>
      <c r="F576" s="8"/>
      <c r="G576" s="10"/>
      <c r="H576" s="11"/>
      <c r="I576" s="8"/>
      <c r="J576" s="9"/>
      <c r="K576" s="8"/>
      <c r="L576" s="9"/>
      <c r="M576" s="8"/>
      <c r="N576" s="11"/>
      <c r="O576" s="8"/>
      <c r="P576" s="9"/>
      <c r="Q576" s="8"/>
      <c r="R576" s="9"/>
      <c r="S576" s="8"/>
      <c r="T576" s="8"/>
      <c r="U576" s="8"/>
      <c r="V576" s="11"/>
      <c r="W576" s="8"/>
      <c r="X576" s="8"/>
      <c r="Y576" s="9"/>
      <c r="Z576" s="8"/>
      <c r="AA576" s="8"/>
      <c r="AB576" s="8"/>
      <c r="AC576" s="11"/>
      <c r="AD576" s="8"/>
      <c r="AE576" s="9"/>
      <c r="AF576" s="8"/>
      <c r="AG576" s="9"/>
      <c r="AH576" s="8"/>
      <c r="AI576" s="8"/>
      <c r="AJ576" s="8"/>
      <c r="AK576" s="11"/>
      <c r="AL576" s="8"/>
      <c r="AM576" s="8"/>
      <c r="AN576" s="9"/>
      <c r="AO576" s="8"/>
      <c r="AP576" s="8"/>
      <c r="AQ576" s="8"/>
    </row>
    <row r="577" spans="1:43" x14ac:dyDescent="0.15">
      <c r="A577" s="8"/>
      <c r="B577" s="8"/>
      <c r="C577" s="8"/>
      <c r="D577" s="8"/>
      <c r="E577" s="8"/>
      <c r="F577" s="8"/>
      <c r="G577" s="10"/>
      <c r="H577" s="11"/>
      <c r="I577" s="8"/>
      <c r="J577" s="9"/>
      <c r="K577" s="8"/>
      <c r="L577" s="9"/>
      <c r="M577" s="8"/>
      <c r="N577" s="11"/>
      <c r="O577" s="8"/>
      <c r="P577" s="9"/>
      <c r="Q577" s="8"/>
      <c r="R577" s="9"/>
      <c r="S577" s="8"/>
      <c r="T577" s="8"/>
      <c r="U577" s="8"/>
      <c r="V577" s="11"/>
      <c r="W577" s="8"/>
      <c r="X577" s="8"/>
      <c r="Y577" s="9"/>
      <c r="Z577" s="8"/>
      <c r="AA577" s="8"/>
      <c r="AB577" s="8"/>
      <c r="AC577" s="11"/>
      <c r="AD577" s="8"/>
      <c r="AE577" s="9"/>
      <c r="AF577" s="8"/>
      <c r="AG577" s="9"/>
      <c r="AH577" s="8"/>
      <c r="AI577" s="8"/>
      <c r="AJ577" s="8"/>
      <c r="AK577" s="11"/>
      <c r="AL577" s="8"/>
      <c r="AM577" s="8"/>
      <c r="AN577" s="9"/>
      <c r="AO577" s="8"/>
      <c r="AP577" s="8"/>
      <c r="AQ577" s="8"/>
    </row>
    <row r="578" spans="1:43" x14ac:dyDescent="0.15">
      <c r="A578" s="8"/>
      <c r="B578" s="8"/>
      <c r="C578" s="8"/>
      <c r="D578" s="8"/>
      <c r="E578" s="8"/>
      <c r="F578" s="8"/>
      <c r="G578" s="10"/>
      <c r="H578" s="11"/>
      <c r="I578" s="8"/>
      <c r="J578" s="9"/>
      <c r="K578" s="8"/>
      <c r="L578" s="9"/>
      <c r="M578" s="8"/>
      <c r="N578" s="11"/>
      <c r="O578" s="8"/>
      <c r="P578" s="9"/>
      <c r="Q578" s="8"/>
      <c r="R578" s="9"/>
      <c r="S578" s="8"/>
      <c r="T578" s="8"/>
      <c r="U578" s="8"/>
      <c r="V578" s="11"/>
      <c r="W578" s="8"/>
      <c r="X578" s="8"/>
      <c r="Y578" s="9"/>
      <c r="Z578" s="8"/>
      <c r="AA578" s="8"/>
      <c r="AB578" s="8"/>
      <c r="AC578" s="11"/>
      <c r="AD578" s="8"/>
      <c r="AE578" s="9"/>
      <c r="AF578" s="8"/>
      <c r="AG578" s="9"/>
      <c r="AH578" s="8"/>
      <c r="AI578" s="8"/>
      <c r="AJ578" s="8"/>
      <c r="AK578" s="11"/>
      <c r="AL578" s="8"/>
      <c r="AM578" s="8"/>
      <c r="AN578" s="9"/>
      <c r="AO578" s="8"/>
      <c r="AP578" s="8"/>
      <c r="AQ578" s="8"/>
    </row>
    <row r="579" spans="1:43" outlineLevel="1" x14ac:dyDescent="0.15">
      <c r="A579" s="8"/>
      <c r="B579" s="8"/>
      <c r="C579" s="8"/>
      <c r="D579" s="8"/>
      <c r="E579" s="8"/>
      <c r="F579" s="8"/>
      <c r="G579" s="10"/>
      <c r="H579" s="11"/>
      <c r="I579" s="8"/>
      <c r="J579" s="9"/>
      <c r="K579" s="8"/>
      <c r="L579" s="9"/>
      <c r="M579" s="8"/>
      <c r="N579" s="11"/>
      <c r="O579" s="8"/>
      <c r="P579" s="9"/>
      <c r="Q579" s="8"/>
      <c r="R579" s="9"/>
      <c r="S579" s="8"/>
      <c r="T579" s="8"/>
      <c r="U579" s="8"/>
      <c r="V579" s="11"/>
      <c r="W579" s="8"/>
      <c r="X579" s="8"/>
      <c r="Y579" s="9"/>
      <c r="Z579" s="8"/>
      <c r="AA579" s="8"/>
      <c r="AB579" s="8"/>
      <c r="AC579" s="11"/>
      <c r="AD579" s="8"/>
      <c r="AE579" s="9"/>
      <c r="AF579" s="8"/>
      <c r="AG579" s="9"/>
      <c r="AH579" s="8"/>
      <c r="AI579" s="8"/>
      <c r="AJ579" s="8"/>
      <c r="AK579" s="11"/>
      <c r="AL579" s="8"/>
      <c r="AM579" s="8"/>
      <c r="AN579" s="9"/>
      <c r="AO579" s="8"/>
      <c r="AP579" s="8"/>
      <c r="AQ579" s="8"/>
    </row>
    <row r="580" spans="1:43" outlineLevel="1" x14ac:dyDescent="0.15">
      <c r="A580" s="8"/>
      <c r="B580" s="8"/>
      <c r="C580" s="8"/>
      <c r="D580" s="8"/>
      <c r="E580" s="8"/>
      <c r="F580" s="8"/>
      <c r="G580" s="10"/>
      <c r="H580" s="11"/>
      <c r="I580" s="8"/>
      <c r="J580" s="9"/>
      <c r="K580" s="8"/>
      <c r="L580" s="9"/>
      <c r="M580" s="8"/>
      <c r="N580" s="11"/>
      <c r="O580" s="8"/>
      <c r="P580" s="9"/>
      <c r="Q580" s="8"/>
      <c r="R580" s="9"/>
      <c r="S580" s="8"/>
      <c r="T580" s="8"/>
      <c r="U580" s="8"/>
      <c r="V580" s="11"/>
      <c r="W580" s="8"/>
      <c r="X580" s="8"/>
      <c r="Y580" s="9"/>
      <c r="Z580" s="8"/>
      <c r="AA580" s="8"/>
      <c r="AB580" s="8"/>
      <c r="AC580" s="11"/>
      <c r="AD580" s="8"/>
      <c r="AE580" s="9"/>
      <c r="AF580" s="8"/>
      <c r="AG580" s="9"/>
      <c r="AH580" s="8"/>
      <c r="AI580" s="8"/>
      <c r="AJ580" s="8"/>
      <c r="AK580" s="11"/>
      <c r="AL580" s="8"/>
      <c r="AM580" s="8"/>
      <c r="AN580" s="9"/>
      <c r="AO580" s="8"/>
      <c r="AP580" s="8"/>
      <c r="AQ580" s="8"/>
    </row>
    <row r="581" spans="1:43" outlineLevel="1" x14ac:dyDescent="0.15">
      <c r="A581" s="8"/>
      <c r="B581" s="8"/>
      <c r="C581" s="8"/>
      <c r="D581" s="8"/>
      <c r="E581" s="8"/>
      <c r="F581" s="8"/>
      <c r="G581" s="10"/>
      <c r="H581" s="11"/>
      <c r="I581" s="8"/>
      <c r="J581" s="9"/>
      <c r="K581" s="8"/>
      <c r="L581" s="9"/>
      <c r="M581" s="8"/>
      <c r="N581" s="11"/>
      <c r="O581" s="8"/>
      <c r="P581" s="9"/>
      <c r="Q581" s="8"/>
      <c r="R581" s="9"/>
      <c r="S581" s="8"/>
      <c r="T581" s="8"/>
      <c r="U581" s="8"/>
      <c r="V581" s="11"/>
      <c r="W581" s="8"/>
      <c r="X581" s="8"/>
      <c r="Y581" s="9"/>
      <c r="Z581" s="8"/>
      <c r="AA581" s="8"/>
      <c r="AB581" s="8"/>
      <c r="AC581" s="11"/>
      <c r="AD581" s="8"/>
      <c r="AE581" s="9"/>
      <c r="AF581" s="8"/>
      <c r="AG581" s="9"/>
      <c r="AH581" s="8"/>
      <c r="AI581" s="8"/>
      <c r="AJ581" s="8"/>
      <c r="AK581" s="11"/>
      <c r="AL581" s="8"/>
      <c r="AM581" s="8"/>
      <c r="AN581" s="9"/>
      <c r="AO581" s="8"/>
      <c r="AP581" s="8"/>
      <c r="AQ581" s="8"/>
    </row>
    <row r="582" spans="1:43" outlineLevel="1" x14ac:dyDescent="0.15">
      <c r="A582" s="8"/>
      <c r="B582" s="8"/>
      <c r="C582" s="8"/>
      <c r="D582" s="8"/>
      <c r="E582" s="8"/>
      <c r="F582" s="8"/>
      <c r="G582" s="10"/>
      <c r="H582" s="11"/>
      <c r="I582" s="8"/>
      <c r="J582" s="9"/>
      <c r="K582" s="8"/>
      <c r="L582" s="9"/>
      <c r="M582" s="8"/>
      <c r="N582" s="11"/>
      <c r="O582" s="8"/>
      <c r="P582" s="9"/>
      <c r="Q582" s="8"/>
      <c r="R582" s="9"/>
      <c r="S582" s="8"/>
      <c r="T582" s="8"/>
      <c r="U582" s="8"/>
      <c r="V582" s="11"/>
      <c r="W582" s="8"/>
      <c r="X582" s="8"/>
      <c r="Y582" s="9"/>
      <c r="Z582" s="8"/>
      <c r="AA582" s="8"/>
      <c r="AB582" s="8"/>
      <c r="AC582" s="11"/>
      <c r="AD582" s="8"/>
      <c r="AE582" s="9"/>
      <c r="AF582" s="8"/>
      <c r="AG582" s="9"/>
      <c r="AH582" s="8"/>
      <c r="AI582" s="8"/>
      <c r="AJ582" s="8"/>
      <c r="AK582" s="11"/>
      <c r="AL582" s="8"/>
      <c r="AM582" s="8"/>
      <c r="AN582" s="9"/>
      <c r="AO582" s="8"/>
      <c r="AP582" s="8"/>
      <c r="AQ582" s="8"/>
    </row>
    <row r="583" spans="1:43" outlineLevel="1" x14ac:dyDescent="0.15">
      <c r="A583" s="8"/>
      <c r="B583" s="8"/>
      <c r="C583" s="8"/>
      <c r="D583" s="8"/>
      <c r="E583" s="8"/>
      <c r="F583" s="8"/>
      <c r="G583" s="10"/>
      <c r="H583" s="11"/>
      <c r="I583" s="8"/>
      <c r="J583" s="9"/>
      <c r="K583" s="8"/>
      <c r="L583" s="9"/>
      <c r="M583" s="8"/>
      <c r="N583" s="11"/>
      <c r="O583" s="8"/>
      <c r="P583" s="9"/>
      <c r="Q583" s="8"/>
      <c r="R583" s="9"/>
      <c r="S583" s="8"/>
      <c r="T583" s="8"/>
      <c r="U583" s="8"/>
      <c r="V583" s="11"/>
      <c r="W583" s="8"/>
      <c r="X583" s="8"/>
      <c r="Y583" s="9"/>
      <c r="Z583" s="8"/>
      <c r="AA583" s="8"/>
      <c r="AB583" s="8"/>
      <c r="AC583" s="11"/>
      <c r="AD583" s="8"/>
      <c r="AE583" s="9"/>
      <c r="AF583" s="8"/>
      <c r="AG583" s="9"/>
      <c r="AH583" s="8"/>
      <c r="AI583" s="8"/>
      <c r="AJ583" s="8"/>
      <c r="AK583" s="11"/>
      <c r="AL583" s="8"/>
      <c r="AM583" s="8"/>
      <c r="AN583" s="9"/>
      <c r="AO583" s="8"/>
      <c r="AP583" s="8"/>
      <c r="AQ583" s="8"/>
    </row>
    <row r="584" spans="1:43" outlineLevel="1" x14ac:dyDescent="0.15">
      <c r="A584" s="8"/>
      <c r="B584" s="8"/>
      <c r="C584" s="8"/>
      <c r="D584" s="8"/>
      <c r="E584" s="8"/>
      <c r="F584" s="8"/>
      <c r="G584" s="10"/>
      <c r="H584" s="11"/>
      <c r="I584" s="8"/>
      <c r="J584" s="9"/>
      <c r="K584" s="8"/>
      <c r="L584" s="9"/>
      <c r="M584" s="8"/>
      <c r="N584" s="11"/>
      <c r="O584" s="8"/>
      <c r="P584" s="9"/>
      <c r="Q584" s="8"/>
      <c r="R584" s="9"/>
      <c r="S584" s="8"/>
      <c r="T584" s="8"/>
      <c r="U584" s="8"/>
      <c r="V584" s="11"/>
      <c r="W584" s="8"/>
      <c r="X584" s="8"/>
      <c r="Y584" s="9"/>
      <c r="Z584" s="8"/>
      <c r="AA584" s="8"/>
      <c r="AB584" s="8"/>
      <c r="AC584" s="11"/>
      <c r="AD584" s="8"/>
      <c r="AE584" s="9"/>
      <c r="AF584" s="8"/>
      <c r="AG584" s="9"/>
      <c r="AH584" s="8"/>
      <c r="AI584" s="8"/>
      <c r="AJ584" s="8"/>
      <c r="AK584" s="11"/>
      <c r="AL584" s="8"/>
      <c r="AM584" s="8"/>
      <c r="AN584" s="9"/>
      <c r="AO584" s="8"/>
      <c r="AP584" s="8"/>
      <c r="AQ584" s="8"/>
    </row>
    <row r="585" spans="1:43" outlineLevel="1" x14ac:dyDescent="0.15">
      <c r="A585" s="8"/>
      <c r="B585" s="8"/>
      <c r="C585" s="8"/>
      <c r="D585" s="8"/>
      <c r="E585" s="8"/>
      <c r="F585" s="8"/>
      <c r="G585" s="10"/>
      <c r="H585" s="11"/>
      <c r="I585" s="8"/>
      <c r="J585" s="9"/>
      <c r="K585" s="8"/>
      <c r="L585" s="9"/>
      <c r="M585" s="8"/>
      <c r="N585" s="11"/>
      <c r="O585" s="8"/>
      <c r="P585" s="9"/>
      <c r="Q585" s="8"/>
      <c r="R585" s="9"/>
      <c r="S585" s="8"/>
      <c r="T585" s="8"/>
      <c r="U585" s="8"/>
      <c r="V585" s="11"/>
      <c r="W585" s="8"/>
      <c r="X585" s="8"/>
      <c r="Y585" s="9"/>
      <c r="Z585" s="8"/>
      <c r="AA585" s="8"/>
      <c r="AB585" s="8"/>
      <c r="AC585" s="11"/>
      <c r="AD585" s="8"/>
      <c r="AE585" s="9"/>
      <c r="AF585" s="8"/>
      <c r="AG585" s="9"/>
      <c r="AH585" s="8"/>
      <c r="AI585" s="8"/>
      <c r="AJ585" s="8"/>
      <c r="AK585" s="11"/>
      <c r="AL585" s="8"/>
      <c r="AM585" s="8"/>
      <c r="AN585" s="9"/>
      <c r="AO585" s="8"/>
      <c r="AP585" s="8"/>
      <c r="AQ585" s="8"/>
    </row>
    <row r="586" spans="1:43" outlineLevel="1" x14ac:dyDescent="0.15">
      <c r="A586" s="8"/>
      <c r="B586" s="8"/>
      <c r="C586" s="8"/>
      <c r="D586" s="8"/>
      <c r="E586" s="8"/>
      <c r="F586" s="8"/>
      <c r="G586" s="10"/>
      <c r="H586" s="11"/>
      <c r="I586" s="8"/>
      <c r="J586" s="9"/>
      <c r="K586" s="8"/>
      <c r="L586" s="9"/>
      <c r="M586" s="8"/>
      <c r="N586" s="11"/>
      <c r="O586" s="8"/>
      <c r="P586" s="9"/>
      <c r="Q586" s="8"/>
      <c r="R586" s="9"/>
      <c r="S586" s="8"/>
      <c r="T586" s="8"/>
      <c r="U586" s="8"/>
      <c r="V586" s="11"/>
      <c r="W586" s="8"/>
      <c r="X586" s="8"/>
      <c r="Y586" s="9"/>
      <c r="Z586" s="8"/>
      <c r="AA586" s="8"/>
      <c r="AB586" s="8"/>
      <c r="AC586" s="11"/>
      <c r="AD586" s="8"/>
      <c r="AE586" s="9"/>
      <c r="AF586" s="8"/>
      <c r="AG586" s="9"/>
      <c r="AH586" s="8"/>
      <c r="AI586" s="8"/>
      <c r="AJ586" s="8"/>
      <c r="AK586" s="11"/>
      <c r="AL586" s="8"/>
      <c r="AM586" s="8"/>
      <c r="AN586" s="9"/>
      <c r="AO586" s="8"/>
      <c r="AP586" s="8"/>
      <c r="AQ586" s="8"/>
    </row>
    <row r="587" spans="1:43" outlineLevel="1" x14ac:dyDescent="0.15">
      <c r="A587" s="8"/>
      <c r="B587" s="8"/>
      <c r="C587" s="8"/>
      <c r="D587" s="8"/>
      <c r="E587" s="8"/>
      <c r="F587" s="8"/>
      <c r="G587" s="10"/>
      <c r="H587" s="11"/>
      <c r="I587" s="8"/>
      <c r="J587" s="9"/>
      <c r="K587" s="8"/>
      <c r="L587" s="9"/>
      <c r="M587" s="8"/>
      <c r="N587" s="11"/>
      <c r="O587" s="8"/>
      <c r="P587" s="9"/>
      <c r="Q587" s="8"/>
      <c r="R587" s="9"/>
      <c r="S587" s="8"/>
      <c r="T587" s="8"/>
      <c r="U587" s="8"/>
      <c r="V587" s="11"/>
      <c r="W587" s="8"/>
      <c r="X587" s="8"/>
      <c r="Y587" s="9"/>
      <c r="Z587" s="8"/>
      <c r="AA587" s="8"/>
      <c r="AB587" s="8"/>
      <c r="AC587" s="11"/>
      <c r="AD587" s="8"/>
      <c r="AE587" s="9"/>
      <c r="AF587" s="8"/>
      <c r="AG587" s="9"/>
      <c r="AH587" s="8"/>
      <c r="AI587" s="8"/>
      <c r="AJ587" s="8"/>
      <c r="AK587" s="11"/>
      <c r="AL587" s="8"/>
      <c r="AM587" s="8"/>
      <c r="AN587" s="9"/>
      <c r="AO587" s="8"/>
      <c r="AP587" s="8"/>
      <c r="AQ587" s="8"/>
    </row>
    <row r="588" spans="1:43" x14ac:dyDescent="0.15">
      <c r="A588" s="8"/>
      <c r="B588" s="8"/>
      <c r="C588" s="8"/>
      <c r="D588" s="8"/>
      <c r="E588" s="8"/>
      <c r="F588" s="8"/>
      <c r="G588" s="10"/>
      <c r="H588" s="11"/>
      <c r="I588" s="8"/>
      <c r="J588" s="9"/>
      <c r="K588" s="8"/>
      <c r="L588" s="9"/>
      <c r="M588" s="8"/>
      <c r="N588" s="11"/>
      <c r="O588" s="8"/>
      <c r="P588" s="9"/>
      <c r="Q588" s="8"/>
      <c r="R588" s="9"/>
      <c r="S588" s="8"/>
      <c r="T588" s="8"/>
      <c r="U588" s="8"/>
      <c r="V588" s="11"/>
      <c r="W588" s="8"/>
      <c r="X588" s="8"/>
      <c r="Y588" s="9"/>
      <c r="Z588" s="8"/>
      <c r="AA588" s="8"/>
      <c r="AB588" s="8"/>
      <c r="AC588" s="11"/>
      <c r="AD588" s="8"/>
      <c r="AE588" s="9"/>
      <c r="AF588" s="8"/>
      <c r="AG588" s="9"/>
      <c r="AH588" s="8"/>
      <c r="AI588" s="8"/>
      <c r="AJ588" s="8"/>
      <c r="AK588" s="11"/>
      <c r="AL588" s="8"/>
      <c r="AM588" s="8"/>
      <c r="AN588" s="9"/>
      <c r="AO588" s="8"/>
      <c r="AP588" s="8"/>
      <c r="AQ588" s="8"/>
    </row>
    <row r="589" spans="1:43" x14ac:dyDescent="0.15">
      <c r="A589" s="8"/>
      <c r="B589" s="8"/>
      <c r="C589" s="8"/>
      <c r="D589" s="8"/>
      <c r="E589" s="8"/>
      <c r="F589" s="8"/>
      <c r="G589" s="10"/>
      <c r="H589" s="11"/>
      <c r="I589" s="8"/>
      <c r="J589" s="9"/>
      <c r="K589" s="8"/>
      <c r="L589" s="9"/>
      <c r="M589" s="8"/>
      <c r="N589" s="11"/>
      <c r="O589" s="8"/>
      <c r="P589" s="9"/>
      <c r="Q589" s="8"/>
      <c r="R589" s="9"/>
      <c r="S589" s="8"/>
      <c r="T589" s="8"/>
      <c r="U589" s="8"/>
      <c r="V589" s="11"/>
      <c r="W589" s="8"/>
      <c r="X589" s="8"/>
      <c r="Y589" s="9"/>
      <c r="Z589" s="8"/>
      <c r="AA589" s="8"/>
      <c r="AB589" s="8"/>
      <c r="AC589" s="11"/>
      <c r="AD589" s="8"/>
      <c r="AE589" s="9"/>
      <c r="AF589" s="8"/>
      <c r="AG589" s="9"/>
      <c r="AH589" s="8"/>
      <c r="AI589" s="8"/>
      <c r="AJ589" s="8"/>
      <c r="AK589" s="11"/>
      <c r="AL589" s="8"/>
      <c r="AM589" s="8"/>
      <c r="AN589" s="9"/>
      <c r="AO589" s="8"/>
      <c r="AP589" s="8"/>
      <c r="AQ589" s="8"/>
    </row>
    <row r="590" spans="1:43" x14ac:dyDescent="0.15">
      <c r="A590" s="8"/>
      <c r="B590" s="8"/>
      <c r="C590" s="8"/>
      <c r="D590" s="8"/>
      <c r="E590" s="8"/>
      <c r="F590" s="8"/>
      <c r="G590" s="10"/>
      <c r="H590" s="11"/>
      <c r="I590" s="8"/>
      <c r="J590" s="9"/>
      <c r="K590" s="8"/>
      <c r="L590" s="9"/>
      <c r="M590" s="8"/>
      <c r="N590" s="11"/>
      <c r="O590" s="8"/>
      <c r="P590" s="9"/>
      <c r="Q590" s="8"/>
      <c r="R590" s="9"/>
      <c r="S590" s="8"/>
      <c r="T590" s="8"/>
      <c r="U590" s="8"/>
      <c r="V590" s="11"/>
      <c r="W590" s="8"/>
      <c r="X590" s="8"/>
      <c r="Y590" s="9"/>
      <c r="Z590" s="8"/>
      <c r="AA590" s="8"/>
      <c r="AB590" s="8"/>
      <c r="AC590" s="11"/>
      <c r="AD590" s="8"/>
      <c r="AE590" s="9"/>
      <c r="AF590" s="8"/>
      <c r="AG590" s="9"/>
      <c r="AH590" s="8"/>
      <c r="AI590" s="8"/>
      <c r="AJ590" s="8"/>
      <c r="AK590" s="11"/>
      <c r="AL590" s="8"/>
      <c r="AM590" s="8"/>
      <c r="AN590" s="9"/>
      <c r="AO590" s="8"/>
      <c r="AP590" s="8"/>
      <c r="AQ590" s="8"/>
    </row>
    <row r="591" spans="1:43" x14ac:dyDescent="0.15">
      <c r="A591" s="8"/>
      <c r="B591" s="8"/>
      <c r="C591" s="8"/>
      <c r="D591" s="8"/>
      <c r="E591" s="8"/>
      <c r="F591" s="8"/>
      <c r="G591" s="10"/>
      <c r="H591" s="11"/>
      <c r="I591" s="8"/>
      <c r="J591" s="9"/>
      <c r="K591" s="8"/>
      <c r="L591" s="9"/>
      <c r="M591" s="8"/>
      <c r="N591" s="11"/>
      <c r="O591" s="8"/>
      <c r="P591" s="9"/>
      <c r="Q591" s="8"/>
      <c r="R591" s="9"/>
      <c r="S591" s="8"/>
      <c r="T591" s="8"/>
      <c r="U591" s="8"/>
      <c r="V591" s="11"/>
      <c r="W591" s="8"/>
      <c r="X591" s="8"/>
      <c r="Y591" s="9"/>
      <c r="Z591" s="8"/>
      <c r="AA591" s="8"/>
      <c r="AB591" s="8"/>
      <c r="AC591" s="11"/>
      <c r="AD591" s="8"/>
      <c r="AE591" s="9"/>
      <c r="AF591" s="8"/>
      <c r="AG591" s="9"/>
      <c r="AH591" s="8"/>
      <c r="AI591" s="8"/>
      <c r="AJ591" s="8"/>
      <c r="AK591" s="11"/>
      <c r="AL591" s="8"/>
      <c r="AM591" s="8"/>
      <c r="AN591" s="9"/>
      <c r="AO591" s="8"/>
      <c r="AP591" s="8"/>
      <c r="AQ591" s="8"/>
    </row>
    <row r="592" spans="1:43" x14ac:dyDescent="0.15">
      <c r="A592" s="8"/>
      <c r="B592" s="8"/>
      <c r="C592" s="8"/>
      <c r="D592" s="8"/>
      <c r="E592" s="8"/>
      <c r="F592" s="8"/>
      <c r="G592" s="10"/>
      <c r="H592" s="11"/>
      <c r="I592" s="8"/>
      <c r="J592" s="9"/>
      <c r="K592" s="8"/>
      <c r="L592" s="9"/>
      <c r="M592" s="8"/>
      <c r="N592" s="11"/>
      <c r="O592" s="8"/>
      <c r="P592" s="9"/>
      <c r="Q592" s="8"/>
      <c r="R592" s="9"/>
      <c r="S592" s="8"/>
      <c r="T592" s="8"/>
      <c r="U592" s="8"/>
      <c r="V592" s="11"/>
      <c r="W592" s="8"/>
      <c r="X592" s="8"/>
      <c r="Y592" s="9"/>
      <c r="Z592" s="8"/>
      <c r="AA592" s="8"/>
      <c r="AB592" s="8"/>
      <c r="AC592" s="11"/>
      <c r="AD592" s="8"/>
      <c r="AE592" s="9"/>
      <c r="AF592" s="8"/>
      <c r="AG592" s="9"/>
      <c r="AH592" s="8"/>
      <c r="AI592" s="8"/>
      <c r="AJ592" s="8"/>
      <c r="AK592" s="11"/>
      <c r="AL592" s="8"/>
      <c r="AM592" s="8"/>
      <c r="AN592" s="9"/>
      <c r="AO592" s="8"/>
      <c r="AP592" s="8"/>
      <c r="AQ592" s="8"/>
    </row>
    <row r="593" spans="1:43" x14ac:dyDescent="0.15">
      <c r="A593" s="8"/>
      <c r="B593" s="8"/>
      <c r="C593" s="8"/>
      <c r="D593" s="8"/>
      <c r="E593" s="8"/>
      <c r="F593" s="8"/>
      <c r="G593" s="10"/>
      <c r="H593" s="11"/>
      <c r="I593" s="8"/>
      <c r="J593" s="9"/>
      <c r="K593" s="8"/>
      <c r="L593" s="9"/>
      <c r="M593" s="8"/>
      <c r="N593" s="11"/>
      <c r="O593" s="8"/>
      <c r="P593" s="9"/>
      <c r="Q593" s="8"/>
      <c r="R593" s="9"/>
      <c r="S593" s="8"/>
      <c r="T593" s="8"/>
      <c r="U593" s="8"/>
      <c r="V593" s="11"/>
      <c r="W593" s="8"/>
      <c r="X593" s="8"/>
      <c r="Y593" s="9"/>
      <c r="Z593" s="8"/>
      <c r="AA593" s="8"/>
      <c r="AB593" s="8"/>
      <c r="AC593" s="11"/>
      <c r="AD593" s="8"/>
      <c r="AE593" s="9"/>
      <c r="AF593" s="8"/>
      <c r="AG593" s="9"/>
      <c r="AH593" s="8"/>
      <c r="AI593" s="8"/>
      <c r="AJ593" s="8"/>
      <c r="AK593" s="11"/>
      <c r="AL593" s="8"/>
      <c r="AM593" s="8"/>
      <c r="AN593" s="9"/>
      <c r="AO593" s="8"/>
      <c r="AP593" s="8"/>
      <c r="AQ593" s="8"/>
    </row>
    <row r="594" spans="1:43" x14ac:dyDescent="0.15">
      <c r="A594" s="8"/>
      <c r="B594" s="8"/>
      <c r="C594" s="8"/>
      <c r="D594" s="8"/>
      <c r="E594" s="8"/>
      <c r="F594" s="8"/>
      <c r="G594" s="10"/>
      <c r="H594" s="11"/>
      <c r="I594" s="8"/>
      <c r="J594" s="9"/>
      <c r="K594" s="8"/>
      <c r="L594" s="9"/>
      <c r="M594" s="8"/>
      <c r="N594" s="11"/>
      <c r="O594" s="8"/>
      <c r="P594" s="9"/>
      <c r="Q594" s="8"/>
      <c r="R594" s="9"/>
      <c r="S594" s="8"/>
      <c r="T594" s="8"/>
      <c r="U594" s="8"/>
      <c r="V594" s="11"/>
      <c r="W594" s="8"/>
      <c r="X594" s="8"/>
      <c r="Y594" s="9"/>
      <c r="Z594" s="8"/>
      <c r="AA594" s="8"/>
      <c r="AB594" s="8"/>
      <c r="AC594" s="11"/>
      <c r="AD594" s="8"/>
      <c r="AE594" s="9"/>
      <c r="AF594" s="8"/>
      <c r="AG594" s="9"/>
      <c r="AH594" s="8"/>
      <c r="AI594" s="8"/>
      <c r="AJ594" s="8"/>
      <c r="AK594" s="11"/>
      <c r="AL594" s="8"/>
      <c r="AM594" s="8"/>
      <c r="AN594" s="9"/>
      <c r="AO594" s="8"/>
      <c r="AP594" s="8"/>
      <c r="AQ594" s="8"/>
    </row>
    <row r="595" spans="1:43" x14ac:dyDescent="0.15">
      <c r="A595" s="8"/>
      <c r="B595" s="8"/>
      <c r="C595" s="8"/>
      <c r="D595" s="8"/>
      <c r="E595" s="8"/>
      <c r="F595" s="8"/>
      <c r="G595" s="10"/>
      <c r="H595" s="11"/>
      <c r="I595" s="8"/>
      <c r="J595" s="9"/>
      <c r="K595" s="8"/>
      <c r="L595" s="9"/>
      <c r="M595" s="8"/>
      <c r="N595" s="11"/>
      <c r="O595" s="8"/>
      <c r="P595" s="9"/>
      <c r="Q595" s="8"/>
      <c r="R595" s="9"/>
      <c r="S595" s="8"/>
      <c r="T595" s="8"/>
      <c r="U595" s="8"/>
      <c r="V595" s="11"/>
      <c r="W595" s="8"/>
      <c r="X595" s="8"/>
      <c r="Y595" s="9"/>
      <c r="Z595" s="8"/>
      <c r="AA595" s="8"/>
      <c r="AB595" s="8"/>
      <c r="AC595" s="11"/>
      <c r="AD595" s="8"/>
      <c r="AE595" s="9"/>
      <c r="AF595" s="8"/>
      <c r="AG595" s="9"/>
      <c r="AH595" s="8"/>
      <c r="AI595" s="8"/>
      <c r="AJ595" s="8"/>
      <c r="AK595" s="11"/>
      <c r="AL595" s="8"/>
      <c r="AM595" s="8"/>
      <c r="AN595" s="9"/>
      <c r="AO595" s="8"/>
      <c r="AP595" s="8"/>
      <c r="AQ595" s="8"/>
    </row>
    <row r="596" spans="1:43" x14ac:dyDescent="0.15">
      <c r="A596" s="8"/>
      <c r="B596" s="8"/>
      <c r="C596" s="8"/>
      <c r="D596" s="8"/>
      <c r="E596" s="8"/>
      <c r="F596" s="8"/>
      <c r="G596" s="10"/>
      <c r="H596" s="11"/>
      <c r="I596" s="8"/>
      <c r="J596" s="9"/>
      <c r="K596" s="8"/>
      <c r="L596" s="9"/>
      <c r="M596" s="8"/>
      <c r="N596" s="11"/>
      <c r="O596" s="8"/>
      <c r="P596" s="9"/>
      <c r="Q596" s="8"/>
      <c r="R596" s="9"/>
      <c r="S596" s="8"/>
      <c r="T596" s="8"/>
      <c r="U596" s="8"/>
      <c r="V596" s="11"/>
      <c r="W596" s="8"/>
      <c r="X596" s="8"/>
      <c r="Y596" s="9"/>
      <c r="Z596" s="8"/>
      <c r="AA596" s="8"/>
      <c r="AB596" s="8"/>
      <c r="AC596" s="11"/>
      <c r="AD596" s="8"/>
      <c r="AE596" s="9"/>
      <c r="AF596" s="8"/>
      <c r="AG596" s="9"/>
      <c r="AH596" s="8"/>
      <c r="AI596" s="8"/>
      <c r="AJ596" s="8"/>
      <c r="AK596" s="11"/>
      <c r="AL596" s="8"/>
      <c r="AM596" s="8"/>
      <c r="AN596" s="9"/>
      <c r="AO596" s="8"/>
      <c r="AP596" s="8"/>
      <c r="AQ596" s="8"/>
    </row>
    <row r="597" spans="1:43" outlineLevel="1" x14ac:dyDescent="0.15">
      <c r="A597" s="8"/>
      <c r="B597" s="8"/>
      <c r="C597" s="8"/>
      <c r="D597" s="8"/>
      <c r="E597" s="8"/>
      <c r="F597" s="8"/>
      <c r="G597" s="10"/>
      <c r="H597" s="11"/>
      <c r="I597" s="8"/>
      <c r="J597" s="9"/>
      <c r="K597" s="8"/>
      <c r="L597" s="9"/>
      <c r="M597" s="8"/>
      <c r="N597" s="11"/>
      <c r="O597" s="8"/>
      <c r="P597" s="9"/>
      <c r="Q597" s="8"/>
      <c r="R597" s="9"/>
      <c r="S597" s="8"/>
      <c r="T597" s="8"/>
      <c r="U597" s="8"/>
      <c r="V597" s="11"/>
      <c r="W597" s="8"/>
      <c r="X597" s="8"/>
      <c r="Y597" s="9"/>
      <c r="Z597" s="8"/>
      <c r="AA597" s="8"/>
      <c r="AB597" s="8"/>
      <c r="AC597" s="11"/>
      <c r="AD597" s="8"/>
      <c r="AE597" s="9"/>
      <c r="AF597" s="8"/>
      <c r="AG597" s="9"/>
      <c r="AH597" s="8"/>
      <c r="AI597" s="8"/>
      <c r="AJ597" s="8"/>
      <c r="AK597" s="11"/>
      <c r="AL597" s="8"/>
      <c r="AM597" s="8"/>
      <c r="AN597" s="9"/>
      <c r="AO597" s="8"/>
      <c r="AP597" s="8"/>
      <c r="AQ597" s="8"/>
    </row>
    <row r="598" spans="1:43" outlineLevel="1" x14ac:dyDescent="0.15">
      <c r="A598" s="8"/>
      <c r="B598" s="8"/>
      <c r="C598" s="8"/>
      <c r="D598" s="8"/>
      <c r="E598" s="8"/>
      <c r="F598" s="8"/>
      <c r="G598" s="10"/>
      <c r="H598" s="11"/>
      <c r="I598" s="8"/>
      <c r="J598" s="9"/>
      <c r="K598" s="8"/>
      <c r="L598" s="9"/>
      <c r="M598" s="8"/>
      <c r="N598" s="11"/>
      <c r="O598" s="8"/>
      <c r="P598" s="9"/>
      <c r="Q598" s="8"/>
      <c r="R598" s="9"/>
      <c r="S598" s="8"/>
      <c r="T598" s="8"/>
      <c r="U598" s="8"/>
      <c r="V598" s="11"/>
      <c r="W598" s="8"/>
      <c r="X598" s="8"/>
      <c r="Y598" s="9"/>
      <c r="Z598" s="8"/>
      <c r="AA598" s="8"/>
      <c r="AB598" s="8"/>
      <c r="AC598" s="11"/>
      <c r="AD598" s="8"/>
      <c r="AE598" s="9"/>
      <c r="AF598" s="8"/>
      <c r="AG598" s="9"/>
      <c r="AH598" s="8"/>
      <c r="AI598" s="8"/>
      <c r="AJ598" s="8"/>
      <c r="AK598" s="11"/>
      <c r="AL598" s="8"/>
      <c r="AM598" s="8"/>
      <c r="AN598" s="9"/>
      <c r="AO598" s="8"/>
      <c r="AP598" s="8"/>
      <c r="AQ598" s="8"/>
    </row>
    <row r="599" spans="1:43" outlineLevel="1" x14ac:dyDescent="0.15">
      <c r="A599" s="8"/>
      <c r="B599" s="8"/>
      <c r="C599" s="8"/>
      <c r="D599" s="8"/>
      <c r="E599" s="8"/>
      <c r="F599" s="8"/>
      <c r="G599" s="10"/>
      <c r="H599" s="11"/>
      <c r="I599" s="8"/>
      <c r="J599" s="9"/>
      <c r="K599" s="8"/>
      <c r="L599" s="9"/>
      <c r="M599" s="8"/>
      <c r="N599" s="11"/>
      <c r="O599" s="8"/>
      <c r="P599" s="9"/>
      <c r="Q599" s="8"/>
      <c r="R599" s="9"/>
      <c r="S599" s="8"/>
      <c r="T599" s="8"/>
      <c r="U599" s="8"/>
      <c r="V599" s="11"/>
      <c r="W599" s="8"/>
      <c r="X599" s="8"/>
      <c r="Y599" s="9"/>
      <c r="Z599" s="8"/>
      <c r="AA599" s="8"/>
      <c r="AB599" s="8"/>
      <c r="AC599" s="11"/>
      <c r="AD599" s="8"/>
      <c r="AE599" s="9"/>
      <c r="AF599" s="8"/>
      <c r="AG599" s="9"/>
      <c r="AH599" s="8"/>
      <c r="AI599" s="8"/>
      <c r="AJ599" s="8"/>
      <c r="AK599" s="11"/>
      <c r="AL599" s="8"/>
      <c r="AM599" s="8"/>
      <c r="AN599" s="9"/>
      <c r="AO599" s="8"/>
      <c r="AP599" s="8"/>
      <c r="AQ599" s="8"/>
    </row>
    <row r="600" spans="1:43" outlineLevel="1" x14ac:dyDescent="0.15">
      <c r="A600" s="8"/>
      <c r="B600" s="8"/>
      <c r="C600" s="8"/>
      <c r="D600" s="8"/>
      <c r="E600" s="8"/>
      <c r="F600" s="8"/>
      <c r="G600" s="10"/>
      <c r="H600" s="11"/>
      <c r="I600" s="8"/>
      <c r="J600" s="9"/>
      <c r="K600" s="8"/>
      <c r="L600" s="9"/>
      <c r="M600" s="8"/>
      <c r="N600" s="11"/>
      <c r="O600" s="8"/>
      <c r="P600" s="9"/>
      <c r="Q600" s="8"/>
      <c r="R600" s="9"/>
      <c r="S600" s="8"/>
      <c r="T600" s="8"/>
      <c r="U600" s="8"/>
      <c r="V600" s="11"/>
      <c r="W600" s="8"/>
      <c r="X600" s="8"/>
      <c r="Y600" s="9"/>
      <c r="Z600" s="8"/>
      <c r="AA600" s="8"/>
      <c r="AB600" s="8"/>
      <c r="AC600" s="11"/>
      <c r="AD600" s="8"/>
      <c r="AE600" s="9"/>
      <c r="AF600" s="8"/>
      <c r="AG600" s="9"/>
      <c r="AH600" s="8"/>
      <c r="AI600" s="8"/>
      <c r="AJ600" s="8"/>
      <c r="AK600" s="11"/>
      <c r="AL600" s="8"/>
      <c r="AM600" s="8"/>
      <c r="AN600" s="9"/>
      <c r="AO600" s="8"/>
      <c r="AP600" s="8"/>
      <c r="AQ600" s="8"/>
    </row>
    <row r="601" spans="1:43" x14ac:dyDescent="0.15">
      <c r="A601" s="8"/>
      <c r="B601" s="8"/>
      <c r="C601" s="8"/>
      <c r="D601" s="8"/>
      <c r="E601" s="8"/>
      <c r="F601" s="8"/>
      <c r="G601" s="10"/>
      <c r="H601" s="11"/>
      <c r="I601" s="8"/>
      <c r="J601" s="9"/>
      <c r="K601" s="8"/>
      <c r="L601" s="9"/>
      <c r="M601" s="8"/>
      <c r="N601" s="11"/>
      <c r="O601" s="8"/>
      <c r="P601" s="9"/>
      <c r="Q601" s="8"/>
      <c r="R601" s="9"/>
      <c r="S601" s="8"/>
      <c r="T601" s="8"/>
      <c r="U601" s="8"/>
      <c r="V601" s="11"/>
      <c r="W601" s="8"/>
      <c r="X601" s="8"/>
      <c r="Y601" s="9"/>
      <c r="Z601" s="8"/>
      <c r="AA601" s="8"/>
      <c r="AB601" s="8"/>
      <c r="AC601" s="11"/>
      <c r="AD601" s="8"/>
      <c r="AE601" s="9"/>
      <c r="AF601" s="8"/>
      <c r="AG601" s="9"/>
      <c r="AH601" s="8"/>
      <c r="AI601" s="8"/>
      <c r="AJ601" s="8"/>
      <c r="AK601" s="11"/>
      <c r="AL601" s="8"/>
      <c r="AM601" s="8"/>
      <c r="AN601" s="9"/>
      <c r="AO601" s="8"/>
      <c r="AP601" s="8"/>
      <c r="AQ601" s="8"/>
    </row>
    <row r="602" spans="1:43" x14ac:dyDescent="0.15">
      <c r="A602" s="8"/>
      <c r="B602" s="8"/>
      <c r="C602" s="8"/>
      <c r="D602" s="8"/>
      <c r="E602" s="8"/>
      <c r="F602" s="8"/>
      <c r="G602" s="10"/>
      <c r="H602" s="11"/>
      <c r="I602" s="8"/>
      <c r="J602" s="9"/>
      <c r="K602" s="8"/>
      <c r="L602" s="9"/>
      <c r="M602" s="8"/>
      <c r="N602" s="11"/>
      <c r="O602" s="8"/>
      <c r="P602" s="9"/>
      <c r="Q602" s="8"/>
      <c r="R602" s="9"/>
      <c r="S602" s="8"/>
      <c r="T602" s="8"/>
      <c r="U602" s="8"/>
      <c r="V602" s="11"/>
      <c r="W602" s="8"/>
      <c r="X602" s="8"/>
      <c r="Y602" s="9"/>
      <c r="Z602" s="8"/>
      <c r="AA602" s="8"/>
      <c r="AB602" s="8"/>
      <c r="AC602" s="11"/>
      <c r="AD602" s="8"/>
      <c r="AE602" s="9"/>
      <c r="AF602" s="8"/>
      <c r="AG602" s="9"/>
      <c r="AH602" s="8"/>
      <c r="AI602" s="8"/>
      <c r="AJ602" s="8"/>
      <c r="AK602" s="11"/>
      <c r="AL602" s="8"/>
      <c r="AM602" s="8"/>
      <c r="AN602" s="9"/>
      <c r="AO602" s="8"/>
      <c r="AP602" s="8"/>
      <c r="AQ602" s="8"/>
    </row>
    <row r="603" spans="1:43" x14ac:dyDescent="0.15">
      <c r="A603" s="8"/>
      <c r="B603" s="8"/>
      <c r="C603" s="8"/>
      <c r="D603" s="8"/>
      <c r="E603" s="8"/>
      <c r="F603" s="8"/>
      <c r="G603" s="10"/>
      <c r="H603" s="11"/>
      <c r="I603" s="8"/>
      <c r="J603" s="9"/>
      <c r="K603" s="8"/>
      <c r="L603" s="9"/>
      <c r="M603" s="8"/>
      <c r="N603" s="11"/>
      <c r="O603" s="8"/>
      <c r="P603" s="9"/>
      <c r="Q603" s="8"/>
      <c r="R603" s="9"/>
      <c r="S603" s="8"/>
      <c r="T603" s="8"/>
      <c r="U603" s="8"/>
      <c r="V603" s="11"/>
      <c r="W603" s="8"/>
      <c r="X603" s="8"/>
      <c r="Y603" s="9"/>
      <c r="Z603" s="8"/>
      <c r="AA603" s="8"/>
      <c r="AB603" s="8"/>
      <c r="AC603" s="11"/>
      <c r="AD603" s="8"/>
      <c r="AE603" s="9"/>
      <c r="AF603" s="8"/>
      <c r="AG603" s="9"/>
      <c r="AH603" s="8"/>
      <c r="AI603" s="8"/>
      <c r="AJ603" s="8"/>
      <c r="AK603" s="11"/>
      <c r="AL603" s="8"/>
      <c r="AM603" s="8"/>
      <c r="AN603" s="9"/>
      <c r="AO603" s="8"/>
      <c r="AP603" s="8"/>
      <c r="AQ603" s="8"/>
    </row>
    <row r="604" spans="1:43" x14ac:dyDescent="0.15">
      <c r="A604" s="8"/>
      <c r="B604" s="8"/>
      <c r="C604" s="8"/>
      <c r="D604" s="8"/>
      <c r="E604" s="8"/>
      <c r="F604" s="8"/>
      <c r="G604" s="10"/>
      <c r="H604" s="11"/>
      <c r="I604" s="8"/>
      <c r="J604" s="9"/>
      <c r="K604" s="8"/>
      <c r="L604" s="9"/>
      <c r="M604" s="8"/>
      <c r="N604" s="11"/>
      <c r="O604" s="8"/>
      <c r="P604" s="9"/>
      <c r="Q604" s="8"/>
      <c r="R604" s="9"/>
      <c r="S604" s="8"/>
      <c r="T604" s="8"/>
      <c r="U604" s="8"/>
      <c r="V604" s="11"/>
      <c r="W604" s="8"/>
      <c r="X604" s="8"/>
      <c r="Y604" s="9"/>
      <c r="Z604" s="8"/>
      <c r="AA604" s="8"/>
      <c r="AB604" s="8"/>
      <c r="AC604" s="11"/>
      <c r="AD604" s="8"/>
      <c r="AE604" s="9"/>
      <c r="AF604" s="8"/>
      <c r="AG604" s="9"/>
      <c r="AH604" s="8"/>
      <c r="AI604" s="8"/>
      <c r="AJ604" s="8"/>
      <c r="AK604" s="11"/>
      <c r="AL604" s="8"/>
      <c r="AM604" s="8"/>
      <c r="AN604" s="9"/>
      <c r="AO604" s="8"/>
      <c r="AP604" s="8"/>
      <c r="AQ604" s="8"/>
    </row>
    <row r="605" spans="1:43" outlineLevel="1" x14ac:dyDescent="0.15">
      <c r="A605" s="8"/>
      <c r="B605" s="8"/>
      <c r="C605" s="8"/>
      <c r="D605" s="8"/>
      <c r="E605" s="8"/>
      <c r="F605" s="8"/>
      <c r="G605" s="10"/>
      <c r="H605" s="11"/>
      <c r="I605" s="8"/>
      <c r="J605" s="9"/>
      <c r="K605" s="8"/>
      <c r="L605" s="9"/>
      <c r="M605" s="8"/>
      <c r="N605" s="11"/>
      <c r="O605" s="8"/>
      <c r="P605" s="9"/>
      <c r="Q605" s="8"/>
      <c r="R605" s="9"/>
      <c r="S605" s="8"/>
      <c r="T605" s="8"/>
      <c r="U605" s="8"/>
      <c r="V605" s="11"/>
      <c r="W605" s="8"/>
      <c r="X605" s="8"/>
      <c r="Y605" s="9"/>
      <c r="Z605" s="8"/>
      <c r="AA605" s="8"/>
      <c r="AB605" s="8"/>
      <c r="AC605" s="11"/>
      <c r="AD605" s="8"/>
      <c r="AE605" s="9"/>
      <c r="AF605" s="8"/>
      <c r="AG605" s="9"/>
      <c r="AH605" s="8"/>
      <c r="AI605" s="8"/>
      <c r="AJ605" s="8"/>
      <c r="AK605" s="11"/>
      <c r="AL605" s="8"/>
      <c r="AM605" s="8"/>
      <c r="AN605" s="9"/>
      <c r="AO605" s="8"/>
      <c r="AP605" s="8"/>
      <c r="AQ605" s="8"/>
    </row>
    <row r="606" spans="1:43" outlineLevel="1" x14ac:dyDescent="0.15">
      <c r="A606" s="8"/>
      <c r="B606" s="8"/>
      <c r="C606" s="8"/>
      <c r="D606" s="8"/>
      <c r="E606" s="8"/>
      <c r="F606" s="8"/>
      <c r="G606" s="10"/>
      <c r="H606" s="11"/>
      <c r="I606" s="8"/>
      <c r="J606" s="9"/>
      <c r="K606" s="8"/>
      <c r="L606" s="9"/>
      <c r="M606" s="8"/>
      <c r="N606" s="11"/>
      <c r="O606" s="8"/>
      <c r="P606" s="9"/>
      <c r="Q606" s="8"/>
      <c r="R606" s="9"/>
      <c r="S606" s="8"/>
      <c r="T606" s="8"/>
      <c r="U606" s="8"/>
      <c r="V606" s="11"/>
      <c r="W606" s="8"/>
      <c r="X606" s="8"/>
      <c r="Y606" s="9"/>
      <c r="Z606" s="8"/>
      <c r="AA606" s="8"/>
      <c r="AB606" s="8"/>
      <c r="AC606" s="11"/>
      <c r="AD606" s="8"/>
      <c r="AE606" s="9"/>
      <c r="AF606" s="8"/>
      <c r="AG606" s="9"/>
      <c r="AH606" s="8"/>
      <c r="AI606" s="8"/>
      <c r="AJ606" s="8"/>
      <c r="AK606" s="11"/>
      <c r="AL606" s="8"/>
      <c r="AM606" s="8"/>
      <c r="AN606" s="9"/>
      <c r="AO606" s="8"/>
      <c r="AP606" s="8"/>
      <c r="AQ606" s="8"/>
    </row>
    <row r="607" spans="1:43" x14ac:dyDescent="0.15">
      <c r="A607" s="8"/>
      <c r="B607" s="8"/>
      <c r="C607" s="8"/>
      <c r="D607" s="8"/>
      <c r="E607" s="8"/>
      <c r="F607" s="8"/>
      <c r="G607" s="10"/>
      <c r="H607" s="11"/>
      <c r="I607" s="8"/>
      <c r="J607" s="9"/>
      <c r="K607" s="8"/>
      <c r="L607" s="9"/>
      <c r="M607" s="8"/>
      <c r="N607" s="11"/>
      <c r="O607" s="8"/>
      <c r="P607" s="9"/>
      <c r="Q607" s="8"/>
      <c r="R607" s="9"/>
      <c r="S607" s="8"/>
      <c r="T607" s="8"/>
      <c r="U607" s="8"/>
      <c r="V607" s="11"/>
      <c r="W607" s="8"/>
      <c r="X607" s="8"/>
      <c r="Y607" s="9"/>
      <c r="Z607" s="8"/>
      <c r="AA607" s="8"/>
      <c r="AB607" s="8"/>
      <c r="AC607" s="11"/>
      <c r="AD607" s="8"/>
      <c r="AE607" s="9"/>
      <c r="AF607" s="8"/>
      <c r="AG607" s="9"/>
      <c r="AH607" s="8"/>
      <c r="AI607" s="8"/>
      <c r="AJ607" s="8"/>
      <c r="AK607" s="11"/>
      <c r="AL607" s="8"/>
      <c r="AM607" s="8"/>
      <c r="AN607" s="9"/>
      <c r="AO607" s="8"/>
      <c r="AP607" s="8"/>
      <c r="AQ607" s="8"/>
    </row>
    <row r="608" spans="1:43" x14ac:dyDescent="0.15">
      <c r="A608" s="8"/>
      <c r="B608" s="8"/>
      <c r="C608" s="8"/>
      <c r="D608" s="8"/>
      <c r="E608" s="8"/>
      <c r="F608" s="8"/>
      <c r="G608" s="10"/>
      <c r="H608" s="11"/>
      <c r="I608" s="8"/>
      <c r="J608" s="9"/>
      <c r="K608" s="8"/>
      <c r="L608" s="9"/>
      <c r="M608" s="8"/>
      <c r="N608" s="11"/>
      <c r="O608" s="8"/>
      <c r="P608" s="9"/>
      <c r="Q608" s="8"/>
      <c r="R608" s="9"/>
      <c r="S608" s="8"/>
      <c r="T608" s="8"/>
      <c r="U608" s="8"/>
      <c r="V608" s="11"/>
      <c r="W608" s="8"/>
      <c r="X608" s="8"/>
      <c r="Y608" s="9"/>
      <c r="Z608" s="8"/>
      <c r="AA608" s="8"/>
      <c r="AB608" s="8"/>
      <c r="AC608" s="11"/>
      <c r="AD608" s="8"/>
      <c r="AE608" s="9"/>
      <c r="AF608" s="8"/>
      <c r="AG608" s="9"/>
      <c r="AH608" s="8"/>
      <c r="AI608" s="8"/>
      <c r="AJ608" s="8"/>
      <c r="AK608" s="11"/>
      <c r="AL608" s="8"/>
      <c r="AM608" s="8"/>
      <c r="AN608" s="9"/>
      <c r="AO608" s="8"/>
      <c r="AP608" s="8"/>
      <c r="AQ608" s="8"/>
    </row>
    <row r="609" spans="1:43" x14ac:dyDescent="0.15">
      <c r="A609" s="8"/>
      <c r="B609" s="8"/>
      <c r="C609" s="8"/>
      <c r="D609" s="8"/>
      <c r="E609" s="8"/>
      <c r="F609" s="8"/>
      <c r="G609" s="10"/>
      <c r="H609" s="11"/>
      <c r="I609" s="8"/>
      <c r="J609" s="9"/>
      <c r="K609" s="8"/>
      <c r="L609" s="9"/>
      <c r="M609" s="8"/>
      <c r="N609" s="11"/>
      <c r="O609" s="8"/>
      <c r="P609" s="9"/>
      <c r="Q609" s="8"/>
      <c r="R609" s="9"/>
      <c r="S609" s="8"/>
      <c r="T609" s="8"/>
      <c r="U609" s="8"/>
      <c r="V609" s="11"/>
      <c r="W609" s="8"/>
      <c r="X609" s="8"/>
      <c r="Y609" s="9"/>
      <c r="Z609" s="8"/>
      <c r="AA609" s="8"/>
      <c r="AB609" s="8"/>
      <c r="AC609" s="11"/>
      <c r="AD609" s="8"/>
      <c r="AE609" s="9"/>
      <c r="AF609" s="8"/>
      <c r="AG609" s="9"/>
      <c r="AH609" s="8"/>
      <c r="AI609" s="8"/>
      <c r="AJ609" s="8"/>
      <c r="AK609" s="11"/>
      <c r="AL609" s="8"/>
      <c r="AM609" s="8"/>
      <c r="AN609" s="9"/>
      <c r="AO609" s="8"/>
      <c r="AP609" s="8"/>
      <c r="AQ609" s="8"/>
    </row>
    <row r="621" spans="1:43" x14ac:dyDescent="0.15">
      <c r="A621" s="41"/>
    </row>
    <row r="631" spans="7:7" x14ac:dyDescent="0.15">
      <c r="G631" s="42"/>
    </row>
  </sheetData>
  <autoFilter ref="A5:BB201" xr:uid="{AF38064F-E390-4B70-A69D-0A343C3345B4}"/>
  <mergeCells count="51">
    <mergeCell ref="H1:M1"/>
    <mergeCell ref="N1:AB1"/>
    <mergeCell ref="AC1:AQ1"/>
    <mergeCell ref="H2:M2"/>
    <mergeCell ref="N2:U2"/>
    <mergeCell ref="V2:AB2"/>
    <mergeCell ref="AC2:AJ2"/>
    <mergeCell ref="AK2:AQ2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X3:X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AJ3:AJ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Q3:AQ4"/>
    <mergeCell ref="AK3:AK4"/>
    <mergeCell ref="AL3:AL4"/>
    <mergeCell ref="AM3:AM4"/>
    <mergeCell ref="AN3:AN4"/>
    <mergeCell ref="AO3:AO4"/>
    <mergeCell ref="AP3:AP4"/>
  </mergeCells>
  <conditionalFormatting sqref="L6:L609">
    <cfRule type="cellIs" dxfId="240" priority="56" operator="lessThan">
      <formula>2</formula>
    </cfRule>
    <cfRule type="cellIs" dxfId="239" priority="55" operator="between">
      <formula>2</formula>
      <formula>5</formula>
    </cfRule>
    <cfRule type="cellIs" dxfId="238" priority="54" operator="greaterThan">
      <formula>5</formula>
    </cfRule>
    <cfRule type="cellIs" dxfId="237" priority="53" operator="equal">
      <formula>"-"</formula>
    </cfRule>
  </conditionalFormatting>
  <conditionalFormatting sqref="R6:R609">
    <cfRule type="cellIs" dxfId="236" priority="5" operator="equal">
      <formula>"-"</formula>
    </cfRule>
    <cfRule type="cellIs" dxfId="235" priority="6" operator="greaterThan">
      <formula>5</formula>
    </cfRule>
    <cfRule type="cellIs" dxfId="234" priority="7" operator="between">
      <formula>2</formula>
      <formula>5</formula>
    </cfRule>
    <cfRule type="cellIs" dxfId="233" priority="8" operator="lessThan">
      <formula>2</formula>
    </cfRule>
  </conditionalFormatting>
  <conditionalFormatting sqref="U6:U201">
    <cfRule type="cellIs" dxfId="232" priority="1" operator="equal">
      <formula>"-"</formula>
    </cfRule>
    <cfRule type="cellIs" dxfId="231" priority="4" operator="lessThan">
      <formula>2</formula>
    </cfRule>
    <cfRule type="cellIs" dxfId="230" priority="3" operator="between">
      <formula>2</formula>
      <formula>5</formula>
    </cfRule>
    <cfRule type="cellIs" dxfId="229" priority="2" operator="greaterThan">
      <formula>5</formula>
    </cfRule>
  </conditionalFormatting>
  <conditionalFormatting sqref="Y6:Y609">
    <cfRule type="cellIs" dxfId="228" priority="10" operator="greaterThan">
      <formula>5</formula>
    </cfRule>
    <cfRule type="cellIs" dxfId="227" priority="11" operator="between">
      <formula>2</formula>
      <formula>5</formula>
    </cfRule>
    <cfRule type="cellIs" dxfId="226" priority="12" operator="lessThan">
      <formula>2</formula>
    </cfRule>
    <cfRule type="cellIs" dxfId="225" priority="9" operator="equal">
      <formula>"-"</formula>
    </cfRule>
  </conditionalFormatting>
  <conditionalFormatting sqref="AB6:AB201 AQ6:AQ201">
    <cfRule type="cellIs" dxfId="224" priority="49" operator="equal">
      <formula>"-"</formula>
    </cfRule>
    <cfRule type="cellIs" dxfId="223" priority="50" operator="greaterThan">
      <formula>5</formula>
    </cfRule>
    <cfRule type="cellIs" dxfId="222" priority="51" operator="between">
      <formula>2</formula>
      <formula>5</formula>
    </cfRule>
    <cfRule type="cellIs" dxfId="221" priority="52" operator="lessThan">
      <formula>2</formula>
    </cfRule>
  </conditionalFormatting>
  <conditionalFormatting sqref="AG6:AG609">
    <cfRule type="cellIs" dxfId="220" priority="42" operator="greaterThan">
      <formula>5</formula>
    </cfRule>
    <cfRule type="cellIs" dxfId="219" priority="43" operator="between">
      <formula>2</formula>
      <formula>5</formula>
    </cfRule>
    <cfRule type="cellIs" dxfId="218" priority="44" operator="lessThan">
      <formula>2</formula>
    </cfRule>
    <cfRule type="cellIs" dxfId="217" priority="41" operator="equal">
      <formula>"-"</formula>
    </cfRule>
  </conditionalFormatting>
  <conditionalFormatting sqref="AJ6:AJ201">
    <cfRule type="cellIs" dxfId="216" priority="37" operator="equal">
      <formula>"-"</formula>
    </cfRule>
    <cfRule type="cellIs" dxfId="215" priority="38" operator="greaterThan">
      <formula>5</formula>
    </cfRule>
    <cfRule type="cellIs" dxfId="214" priority="39" operator="between">
      <formula>2</formula>
      <formula>5</formula>
    </cfRule>
    <cfRule type="cellIs" dxfId="213" priority="40" operator="lessThan">
      <formula>2</formula>
    </cfRule>
  </conditionalFormatting>
  <conditionalFormatting sqref="AN6:AN609">
    <cfRule type="cellIs" dxfId="212" priority="45" operator="equal">
      <formula>"-"</formula>
    </cfRule>
    <cfRule type="cellIs" dxfId="211" priority="46" operator="greaterThan">
      <formula>5</formula>
    </cfRule>
    <cfRule type="cellIs" dxfId="210" priority="47" operator="between">
      <formula>2</formula>
      <formula>5</formula>
    </cfRule>
    <cfRule type="cellIs" dxfId="209" priority="48" operator="lessThan">
      <formula>2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7479-B7C1-4BFC-8A61-16B6EA108592}">
  <sheetPr>
    <tabColor rgb="FF92D050"/>
  </sheetPr>
  <dimension ref="A1:AQ631"/>
  <sheetViews>
    <sheetView zoomScale="61" zoomScaleNormal="115" workbookViewId="0">
      <pane xSplit="1" ySplit="5" topLeftCell="B6" activePane="bottomRight" state="frozen"/>
      <selection activeCell="A2" sqref="A2"/>
      <selection pane="topRight" activeCell="A2" sqref="A2"/>
      <selection pane="bottomLeft" activeCell="A2" sqref="A2"/>
      <selection pane="bottomRight" activeCell="A2" sqref="A2"/>
    </sheetView>
  </sheetViews>
  <sheetFormatPr baseColWidth="10" defaultColWidth="8.6640625" defaultRowHeight="14" outlineLevelRow="1" outlineLevelCol="1" x14ac:dyDescent="0.15"/>
  <cols>
    <col min="1" max="1" width="12.5" style="3" customWidth="1"/>
    <col min="2" max="2" width="9.83203125" style="3" bestFit="1" customWidth="1" outlineLevel="1"/>
    <col min="3" max="3" width="16.33203125" style="3" customWidth="1"/>
    <col min="4" max="4" width="10.33203125" style="3" customWidth="1"/>
    <col min="5" max="5" width="10.6640625" style="3" customWidth="1"/>
    <col min="6" max="6" width="18.33203125" style="3" customWidth="1" outlineLevel="1"/>
    <col min="7" max="7" width="15.83203125" style="3" customWidth="1"/>
    <col min="8" max="8" width="13.5" style="2" customWidth="1"/>
    <col min="9" max="9" width="14.1640625" style="2" customWidth="1"/>
    <col min="10" max="10" width="17.1640625" style="2" customWidth="1"/>
    <col min="11" max="11" width="21.5" style="2" customWidth="1"/>
    <col min="12" max="12" width="11.1640625" style="3" customWidth="1"/>
    <col min="13" max="13" width="26.6640625" style="3" bestFit="1" customWidth="1"/>
    <col min="14" max="14" width="13.5" style="2" customWidth="1"/>
    <col min="15" max="15" width="14.1640625" style="2" customWidth="1"/>
    <col min="16" max="16" width="17.1640625" style="2" customWidth="1"/>
    <col min="17" max="17" width="21.5" style="2" customWidth="1"/>
    <col min="18" max="18" width="11.1640625" style="3" customWidth="1"/>
    <col min="19" max="19" width="26.6640625" style="3" bestFit="1" customWidth="1"/>
    <col min="20" max="21" width="26.6640625" style="3" customWidth="1"/>
    <col min="22" max="22" width="11.83203125" style="3" customWidth="1"/>
    <col min="23" max="23" width="11.5" style="3" customWidth="1"/>
    <col min="24" max="24" width="19.1640625" style="3" customWidth="1"/>
    <col min="25" max="25" width="8.6640625" style="3"/>
    <col min="26" max="26" width="16.6640625" style="3" bestFit="1" customWidth="1"/>
    <col min="27" max="28" width="20.83203125" style="3" customWidth="1"/>
    <col min="29" max="29" width="13.5" style="2" customWidth="1"/>
    <col min="30" max="30" width="14.1640625" style="2" customWidth="1"/>
    <col min="31" max="31" width="17.1640625" style="2" customWidth="1"/>
    <col min="32" max="32" width="21.5" style="2" customWidth="1"/>
    <col min="33" max="33" width="11.1640625" style="3" customWidth="1"/>
    <col min="34" max="34" width="26.6640625" style="3" bestFit="1" customWidth="1"/>
    <col min="35" max="36" width="26.6640625" style="3" customWidth="1"/>
    <col min="37" max="37" width="11.83203125" style="3" customWidth="1"/>
    <col min="38" max="38" width="11.5" style="3" customWidth="1"/>
    <col min="39" max="39" width="19.1640625" style="3" customWidth="1"/>
    <col min="40" max="40" width="8.6640625" style="3"/>
    <col min="41" max="41" width="16.6640625" style="3" bestFit="1" customWidth="1"/>
    <col min="42" max="43" width="20.83203125" style="3" customWidth="1"/>
    <col min="44" max="16384" width="8.6640625" style="3"/>
  </cols>
  <sheetData>
    <row r="1" spans="1:43" x14ac:dyDescent="0.15">
      <c r="H1" s="297" t="s">
        <v>2286</v>
      </c>
      <c r="I1" s="297"/>
      <c r="J1" s="297"/>
      <c r="K1" s="297"/>
      <c r="L1" s="297"/>
      <c r="M1" s="297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  <c r="Z1" s="298"/>
      <c r="AA1" s="298"/>
      <c r="AB1" s="298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</row>
    <row r="2" spans="1:43" ht="16" x14ac:dyDescent="0.2">
      <c r="A2" s="1" t="s">
        <v>2293</v>
      </c>
      <c r="B2" s="2"/>
      <c r="C2" s="2"/>
      <c r="D2" s="2"/>
      <c r="E2" s="2"/>
      <c r="F2" s="2"/>
      <c r="G2" s="2"/>
      <c r="H2" s="278" t="s">
        <v>2090</v>
      </c>
      <c r="I2" s="278"/>
      <c r="J2" s="278"/>
      <c r="K2" s="278"/>
      <c r="L2" s="278"/>
      <c r="M2" s="279"/>
      <c r="N2" s="278" t="s">
        <v>938</v>
      </c>
      <c r="O2" s="278"/>
      <c r="P2" s="278"/>
      <c r="Q2" s="278"/>
      <c r="R2" s="278"/>
      <c r="S2" s="278"/>
      <c r="T2" s="278"/>
      <c r="U2" s="278"/>
      <c r="V2" s="285" t="s">
        <v>1742</v>
      </c>
      <c r="W2" s="285"/>
      <c r="X2" s="285"/>
      <c r="Y2" s="285"/>
      <c r="Z2" s="285"/>
      <c r="AA2" s="285"/>
      <c r="AB2" s="285"/>
      <c r="AC2" s="278" t="s">
        <v>938</v>
      </c>
      <c r="AD2" s="278"/>
      <c r="AE2" s="278"/>
      <c r="AF2" s="278"/>
      <c r="AG2" s="278"/>
      <c r="AH2" s="278"/>
      <c r="AI2" s="278"/>
      <c r="AJ2" s="278"/>
      <c r="AK2" s="285" t="s">
        <v>1742</v>
      </c>
      <c r="AL2" s="285"/>
      <c r="AM2" s="285"/>
      <c r="AN2" s="285"/>
      <c r="AO2" s="285"/>
      <c r="AP2" s="285"/>
      <c r="AQ2" s="285"/>
    </row>
    <row r="3" spans="1:43" ht="13.75" customHeight="1" x14ac:dyDescent="0.15">
      <c r="A3" s="276" t="s">
        <v>1</v>
      </c>
      <c r="B3" s="276" t="s">
        <v>2</v>
      </c>
      <c r="C3" s="276" t="s">
        <v>3</v>
      </c>
      <c r="D3" s="276" t="s">
        <v>4</v>
      </c>
      <c r="E3" s="276" t="s">
        <v>5</v>
      </c>
      <c r="F3" s="276" t="s">
        <v>6</v>
      </c>
      <c r="G3" s="284" t="s">
        <v>7</v>
      </c>
      <c r="H3" s="271" t="s">
        <v>8</v>
      </c>
      <c r="I3" s="271" t="s">
        <v>2091</v>
      </c>
      <c r="J3" s="271" t="s">
        <v>626</v>
      </c>
      <c r="K3" s="271" t="s">
        <v>627</v>
      </c>
      <c r="L3" s="271" t="s">
        <v>10</v>
      </c>
      <c r="M3" s="295" t="s">
        <v>11</v>
      </c>
      <c r="N3" s="275" t="s">
        <v>8</v>
      </c>
      <c r="O3" s="275" t="s">
        <v>9</v>
      </c>
      <c r="P3" s="275" t="s">
        <v>626</v>
      </c>
      <c r="Q3" s="275" t="s">
        <v>627</v>
      </c>
      <c r="R3" s="275" t="s">
        <v>10</v>
      </c>
      <c r="S3" s="276" t="s">
        <v>11</v>
      </c>
      <c r="T3" s="275" t="s">
        <v>2096</v>
      </c>
      <c r="U3" s="275" t="s">
        <v>10</v>
      </c>
      <c r="V3" s="275" t="s">
        <v>8</v>
      </c>
      <c r="W3" s="275" t="s">
        <v>1743</v>
      </c>
      <c r="X3" s="275" t="s">
        <v>1744</v>
      </c>
      <c r="Y3" s="275" t="s">
        <v>10</v>
      </c>
      <c r="Z3" s="276" t="s">
        <v>11</v>
      </c>
      <c r="AA3" s="275" t="s">
        <v>2096</v>
      </c>
      <c r="AB3" s="275" t="s">
        <v>10</v>
      </c>
      <c r="AC3" s="275" t="s">
        <v>8</v>
      </c>
      <c r="AD3" s="275" t="s">
        <v>9</v>
      </c>
      <c r="AE3" s="275" t="s">
        <v>626</v>
      </c>
      <c r="AF3" s="275" t="s">
        <v>627</v>
      </c>
      <c r="AG3" s="275" t="s">
        <v>10</v>
      </c>
      <c r="AH3" s="276" t="s">
        <v>11</v>
      </c>
      <c r="AI3" s="275" t="s">
        <v>2096</v>
      </c>
      <c r="AJ3" s="275" t="s">
        <v>10</v>
      </c>
      <c r="AK3" s="275" t="s">
        <v>8</v>
      </c>
      <c r="AL3" s="275" t="s">
        <v>1743</v>
      </c>
      <c r="AM3" s="275" t="s">
        <v>1744</v>
      </c>
      <c r="AN3" s="275" t="s">
        <v>10</v>
      </c>
      <c r="AO3" s="276" t="s">
        <v>11</v>
      </c>
      <c r="AP3" s="275" t="s">
        <v>2096</v>
      </c>
      <c r="AQ3" s="275" t="s">
        <v>10</v>
      </c>
    </row>
    <row r="4" spans="1:43" x14ac:dyDescent="0.15">
      <c r="A4" s="276"/>
      <c r="B4" s="276"/>
      <c r="C4" s="276"/>
      <c r="D4" s="276"/>
      <c r="E4" s="276"/>
      <c r="F4" s="276"/>
      <c r="G4" s="284"/>
      <c r="H4" s="272"/>
      <c r="I4" s="272"/>
      <c r="J4" s="272"/>
      <c r="K4" s="272"/>
      <c r="L4" s="272"/>
      <c r="M4" s="296"/>
      <c r="N4" s="275"/>
      <c r="O4" s="275"/>
      <c r="P4" s="275"/>
      <c r="Q4" s="275"/>
      <c r="R4" s="275"/>
      <c r="S4" s="276"/>
      <c r="T4" s="275"/>
      <c r="U4" s="275"/>
      <c r="V4" s="275"/>
      <c r="W4" s="275"/>
      <c r="X4" s="275"/>
      <c r="Y4" s="275"/>
      <c r="Z4" s="276"/>
      <c r="AA4" s="275"/>
      <c r="AB4" s="275"/>
      <c r="AC4" s="275"/>
      <c r="AD4" s="275"/>
      <c r="AE4" s="275"/>
      <c r="AF4" s="275"/>
      <c r="AG4" s="275"/>
      <c r="AH4" s="276"/>
      <c r="AI4" s="275"/>
      <c r="AJ4" s="275"/>
      <c r="AK4" s="275"/>
      <c r="AL4" s="275"/>
      <c r="AM4" s="275"/>
      <c r="AN4" s="275"/>
      <c r="AO4" s="276"/>
      <c r="AP4" s="275"/>
      <c r="AQ4" s="275"/>
    </row>
    <row r="5" spans="1:43" ht="10.5" customHeight="1" x14ac:dyDescent="0.15">
      <c r="A5" s="4"/>
      <c r="B5" s="4"/>
      <c r="C5" s="4"/>
      <c r="D5" s="4"/>
      <c r="E5" s="4"/>
      <c r="F5" s="4"/>
      <c r="G5" s="5"/>
      <c r="H5" s="6"/>
      <c r="I5" s="6"/>
      <c r="J5" s="6"/>
      <c r="K5" s="6"/>
      <c r="L5" s="6"/>
      <c r="M5" s="185"/>
      <c r="N5" s="6"/>
      <c r="O5" s="6"/>
      <c r="P5" s="6"/>
      <c r="Q5" s="6"/>
      <c r="R5" s="6"/>
      <c r="S5" s="7"/>
      <c r="T5" s="7"/>
      <c r="U5" s="7"/>
      <c r="V5" s="6"/>
      <c r="W5" s="6"/>
      <c r="X5" s="6"/>
      <c r="Y5" s="6"/>
      <c r="Z5" s="7"/>
      <c r="AA5" s="7"/>
      <c r="AB5" s="7"/>
      <c r="AC5" s="6"/>
      <c r="AD5" s="6"/>
      <c r="AE5" s="6"/>
      <c r="AF5" s="6"/>
      <c r="AG5" s="6"/>
      <c r="AH5" s="7"/>
      <c r="AI5" s="7"/>
      <c r="AJ5" s="7"/>
      <c r="AK5" s="6"/>
      <c r="AL5" s="6"/>
      <c r="AM5" s="6"/>
      <c r="AN5" s="6"/>
      <c r="AO5" s="7"/>
      <c r="AP5" s="7"/>
      <c r="AQ5" s="7"/>
    </row>
    <row r="6" spans="1:43" outlineLevel="1" x14ac:dyDescent="0.15">
      <c r="A6" s="8" t="s">
        <v>1914</v>
      </c>
      <c r="B6" s="8"/>
      <c r="C6" s="8" t="s">
        <v>14</v>
      </c>
      <c r="D6" s="186" t="s">
        <v>1915</v>
      </c>
      <c r="E6" s="9">
        <v>43.17</v>
      </c>
      <c r="F6" s="8" t="s">
        <v>1740</v>
      </c>
      <c r="G6" s="10">
        <v>5343</v>
      </c>
      <c r="H6" s="11">
        <f t="array" ref="H6">IF(OR(N6&gt;0,AC6&gt;0),MAX(N6,AC6),MAX(AK6,V6))</f>
        <v>46249</v>
      </c>
      <c r="I6" s="143">
        <f t="array" ref="I6">IF(SUM(O6,AD6)&gt;0,SUM(O6,AD6),SUM(AL6,W6))</f>
        <v>204</v>
      </c>
      <c r="J6" s="9">
        <f t="shared" ref="J6:J69" si="0">IF(P6&gt;0,P6," ")</f>
        <v>3.8180797304884897</v>
      </c>
      <c r="K6" s="143">
        <f>IF(SUM(Q6,AF6)&gt;0,SUM(Q6,AF6),SUM(AM6,X6))</f>
        <v>2</v>
      </c>
      <c r="L6" s="9">
        <f t="shared" ref="L6:L69" si="1">IFERROR(K6/I6*100,0)</f>
        <v>0.98039215686274506</v>
      </c>
      <c r="M6" s="8" t="str">
        <f t="array" ref="M6">IF(L6&gt;5,"Perlu Sensus",IF(AND(L6&gt;=0,I6&gt;0),"Tetap Deteksi","Belum Deteksi"))</f>
        <v>Tetap Deteksi</v>
      </c>
      <c r="N6" s="11">
        <v>46249</v>
      </c>
      <c r="O6" s="143">
        <v>204</v>
      </c>
      <c r="P6" s="9">
        <f t="array" ref="P6">IFERROR(O6/$G6*100,0)</f>
        <v>3.8180797304884897</v>
      </c>
      <c r="Q6" s="143">
        <v>2</v>
      </c>
      <c r="R6" s="9">
        <f t="shared" ref="R6:R69" si="2">IFERROR(Q6/O6*100,0)</f>
        <v>0.98039215686274506</v>
      </c>
      <c r="S6" s="8" t="str">
        <f t="array" ref="S6">IF(R6&gt;5,"Perlu Sensus",IF(AND(R6&gt;=0,O6&gt;0),"Tetap Deteksi","Belum Deteksi"))</f>
        <v>Tetap Deteksi</v>
      </c>
      <c r="T6" s="143">
        <v>9.9999999999999995E-8</v>
      </c>
      <c r="U6" s="9">
        <f>IFERROR(T6/O6*100,0)</f>
        <v>4.9019607843137259E-8</v>
      </c>
      <c r="V6" s="11">
        <v>46249</v>
      </c>
      <c r="W6" s="143">
        <v>283</v>
      </c>
      <c r="X6" s="143">
        <v>1.0000000000000001E-9</v>
      </c>
      <c r="Y6" s="9">
        <f t="shared" ref="Y6:Y69" si="3">IFERROR(X6/W6*100,0)</f>
        <v>3.5335689045936396E-10</v>
      </c>
      <c r="Z6" s="8" t="str">
        <f t="array" ref="Z6">IF(Y6&gt;5,"Perlu Sensus",IF(AND(Y6&gt;=0,W6&gt;0),"Tetap Deteksi","Belum Deteksi"))</f>
        <v>Tetap Deteksi</v>
      </c>
      <c r="AA6" s="143">
        <v>1</v>
      </c>
      <c r="AB6" s="9">
        <f>IFERROR(AA6/W6*100,0)</f>
        <v>0.35335689045936397</v>
      </c>
      <c r="AC6" s="11"/>
      <c r="AD6" s="143"/>
      <c r="AE6" s="9">
        <f t="array" ref="AE6">IFERROR(AD6/$G6*100,0)</f>
        <v>0</v>
      </c>
      <c r="AF6" s="143"/>
      <c r="AG6" s="9">
        <f t="shared" ref="AG6:AG69" si="4">IFERROR(AF6/AD6*100,0)</f>
        <v>0</v>
      </c>
      <c r="AH6" s="8" t="str">
        <f t="array" ref="AH6">IF(AG6&gt;5,"Perlu Sensus",IF(AND(AG6&gt;=0,AD6&gt;0),"Tetap Deteksi","Belum Deteksi"))</f>
        <v>Belum Deteksi</v>
      </c>
      <c r="AI6" s="143"/>
      <c r="AJ6" s="9">
        <f>IFERROR(AI6/AD6*100,0)</f>
        <v>0</v>
      </c>
      <c r="AK6" s="11"/>
      <c r="AL6" s="143"/>
      <c r="AM6" s="143"/>
      <c r="AN6" s="9">
        <f t="shared" ref="AN6:AN69" si="5">IFERROR(AM6/AL6*100,0)</f>
        <v>0</v>
      </c>
      <c r="AO6" s="8" t="str">
        <f t="array" ref="AO6">IF(AN6&gt;5,"Perlu Sensus",IF(AND(AN6&gt;=0,AL6&gt;0),"Tetap Deteksi","Belum Deteksi"))</f>
        <v>Belum Deteksi</v>
      </c>
      <c r="AP6" s="143"/>
      <c r="AQ6" s="9">
        <f>IFERROR(AP6/AL6*100,0)</f>
        <v>0</v>
      </c>
    </row>
    <row r="7" spans="1:43" outlineLevel="1" x14ac:dyDescent="0.15">
      <c r="A7" s="8" t="s">
        <v>1914</v>
      </c>
      <c r="B7" s="8"/>
      <c r="C7" s="8" t="s">
        <v>14</v>
      </c>
      <c r="D7" s="186" t="s">
        <v>1916</v>
      </c>
      <c r="E7" s="9">
        <v>32</v>
      </c>
      <c r="F7" s="8" t="s">
        <v>1740</v>
      </c>
      <c r="G7" s="10">
        <v>4340</v>
      </c>
      <c r="H7" s="11">
        <f t="array" ref="H7">IF(OR(N7&gt;0,AC7&gt;0),MAX(N7,AC7),MAX(AK7,V7))</f>
        <v>46249</v>
      </c>
      <c r="I7" s="143">
        <f t="array" ref="I7">IF(SUM(O7,AD7)&gt;0,SUM(O7,AD7),SUM(AL7,W7))</f>
        <v>176</v>
      </c>
      <c r="J7" s="9">
        <f t="shared" si="0"/>
        <v>4.0552995391705071</v>
      </c>
      <c r="K7" s="143">
        <f t="shared" ref="K7:K70" si="6">IF(SUM(Q7,AF7)&gt;0,SUM(Q7,AF7),SUM(AM7,X7))</f>
        <v>1</v>
      </c>
      <c r="L7" s="9">
        <f t="shared" si="1"/>
        <v>0.56818181818181823</v>
      </c>
      <c r="M7" s="8" t="str">
        <f t="array" ref="M7">IF(L7&gt;5,"Perlu Sensus",IF(AND(L7&gt;=0,I7&gt;0),"Tetap Deteksi","Belum Deteksi"))</f>
        <v>Tetap Deteksi</v>
      </c>
      <c r="N7" s="11">
        <v>46249</v>
      </c>
      <c r="O7" s="143">
        <v>176</v>
      </c>
      <c r="P7" s="9">
        <f t="array" ref="P7">IFERROR(O7/$G7*100,0)</f>
        <v>4.0552995391705071</v>
      </c>
      <c r="Q7" s="143">
        <v>1</v>
      </c>
      <c r="R7" s="9">
        <f t="shared" si="2"/>
        <v>0.56818181818181823</v>
      </c>
      <c r="S7" s="8" t="str">
        <f t="array" ref="S7">IF(R7&gt;5,"Perlu Sensus",IF(AND(R7&gt;=0,O7&gt;0),"Tetap Deteksi","Belum Deteksi"))</f>
        <v>Tetap Deteksi</v>
      </c>
      <c r="T7" s="143">
        <v>9.9999999999999995E-8</v>
      </c>
      <c r="U7" s="9">
        <f t="shared" ref="U7:U70" si="7">IFERROR(T7/O7*100,0)</f>
        <v>5.6818181818181815E-8</v>
      </c>
      <c r="V7" s="11">
        <v>46237</v>
      </c>
      <c r="W7" s="143">
        <v>301</v>
      </c>
      <c r="X7" s="143">
        <v>1.0000000000000001E-9</v>
      </c>
      <c r="Y7" s="9">
        <f t="shared" si="3"/>
        <v>3.3222591362126249E-10</v>
      </c>
      <c r="Z7" s="8" t="str">
        <f t="array" ref="Z7">IF(Y7&gt;5,"Perlu Sensus",IF(AND(Y7&gt;=0,W7&gt;0),"Tetap Deteksi","Belum Deteksi"))</f>
        <v>Tetap Deteksi</v>
      </c>
      <c r="AA7" s="143">
        <v>1</v>
      </c>
      <c r="AB7" s="9">
        <f t="shared" ref="AB7:AB70" si="8">IFERROR(AA7/W7*100,0)</f>
        <v>0.33222591362126247</v>
      </c>
      <c r="AC7" s="11"/>
      <c r="AD7" s="143"/>
      <c r="AE7" s="9">
        <f t="array" ref="AE7">IFERROR(AD7/$G7*100,0)</f>
        <v>0</v>
      </c>
      <c r="AF7" s="143"/>
      <c r="AG7" s="9">
        <f t="shared" si="4"/>
        <v>0</v>
      </c>
      <c r="AH7" s="8" t="str">
        <f t="array" ref="AH7">IF(AG7&gt;5,"Perlu Sensus",IF(AND(AG7&gt;=0,AD7&gt;0),"Tetap Deteksi","Belum Deteksi"))</f>
        <v>Belum Deteksi</v>
      </c>
      <c r="AI7" s="143"/>
      <c r="AJ7" s="9">
        <f t="shared" ref="AJ7:AJ70" si="9">IFERROR(AI7/AD7*100,0)</f>
        <v>0</v>
      </c>
      <c r="AK7" s="11"/>
      <c r="AL7" s="143"/>
      <c r="AM7" s="143"/>
      <c r="AN7" s="9">
        <f t="shared" si="5"/>
        <v>0</v>
      </c>
      <c r="AO7" s="8" t="str">
        <f t="array" ref="AO7">IF(AN7&gt;5,"Perlu Sensus",IF(AND(AN7&gt;=0,AL7&gt;0),"Tetap Deteksi","Belum Deteksi"))</f>
        <v>Belum Deteksi</v>
      </c>
      <c r="AP7" s="143"/>
      <c r="AQ7" s="9">
        <f t="shared" ref="AQ7:AQ70" si="10">IFERROR(AP7/AL7*100,0)</f>
        <v>0</v>
      </c>
    </row>
    <row r="8" spans="1:43" outlineLevel="1" x14ac:dyDescent="0.15">
      <c r="A8" s="8" t="s">
        <v>1914</v>
      </c>
      <c r="B8" s="8"/>
      <c r="C8" s="8" t="s">
        <v>14</v>
      </c>
      <c r="D8" s="186" t="s">
        <v>1917</v>
      </c>
      <c r="E8" s="9">
        <v>33.97</v>
      </c>
      <c r="F8" s="8" t="s">
        <v>1740</v>
      </c>
      <c r="G8" s="10">
        <v>4256</v>
      </c>
      <c r="H8" s="11">
        <f t="array" ref="H8">IF(OR(N8&gt;0,AC8&gt;0),MAX(N8,AC8),MAX(AK8,V8))</f>
        <v>46237</v>
      </c>
      <c r="I8" s="143">
        <f t="array" ref="I8">IF(SUM(O8,AD8)&gt;0,SUM(O8,AD8),SUM(AL8,W8))</f>
        <v>182</v>
      </c>
      <c r="J8" s="9">
        <f t="shared" si="0"/>
        <v>4.2763157894736841</v>
      </c>
      <c r="K8" s="143">
        <f t="shared" si="6"/>
        <v>2</v>
      </c>
      <c r="L8" s="9">
        <f t="shared" si="1"/>
        <v>1.098901098901099</v>
      </c>
      <c r="M8" s="8" t="str">
        <f t="array" ref="M8">IF(L8&gt;5,"Perlu Sensus",IF(AND(L8&gt;=0,I8&gt;0),"Tetap Deteksi","Belum Deteksi"))</f>
        <v>Tetap Deteksi</v>
      </c>
      <c r="N8" s="11">
        <v>46237</v>
      </c>
      <c r="O8" s="143">
        <v>182</v>
      </c>
      <c r="P8" s="9">
        <f t="array" ref="P8">IFERROR(O8/$G8*100,0)</f>
        <v>4.2763157894736841</v>
      </c>
      <c r="Q8" s="143">
        <v>2</v>
      </c>
      <c r="R8" s="9">
        <f t="shared" si="2"/>
        <v>1.098901098901099</v>
      </c>
      <c r="S8" s="8" t="str">
        <f t="array" ref="S8">IF(R8&gt;5,"Perlu Sensus",IF(AND(R8&gt;=0,O8&gt;0),"Tetap Deteksi","Belum Deteksi"))</f>
        <v>Tetap Deteksi</v>
      </c>
      <c r="T8" s="143">
        <v>2</v>
      </c>
      <c r="U8" s="9">
        <f t="shared" si="7"/>
        <v>1.098901098901099</v>
      </c>
      <c r="V8" s="11">
        <v>46237</v>
      </c>
      <c r="W8" s="143">
        <v>205</v>
      </c>
      <c r="X8" s="143">
        <v>6</v>
      </c>
      <c r="Y8" s="9">
        <f t="shared" si="3"/>
        <v>2.9268292682926833</v>
      </c>
      <c r="Z8" s="8" t="str">
        <f t="array" ref="Z8">IF(Y8&gt;5,"Perlu Sensus",IF(AND(Y8&gt;=0,W8&gt;0),"Tetap Deteksi","Belum Deteksi"))</f>
        <v>Tetap Deteksi</v>
      </c>
      <c r="AA8" s="143">
        <v>2</v>
      </c>
      <c r="AB8" s="9">
        <f t="shared" si="8"/>
        <v>0.97560975609756095</v>
      </c>
      <c r="AC8" s="11"/>
      <c r="AD8" s="143"/>
      <c r="AE8" s="9">
        <f t="array" ref="AE8">IFERROR(AD8/$G8*100,0)</f>
        <v>0</v>
      </c>
      <c r="AF8" s="143"/>
      <c r="AG8" s="9">
        <f t="shared" si="4"/>
        <v>0</v>
      </c>
      <c r="AH8" s="8" t="str">
        <f t="array" ref="AH8">IF(AG8&gt;5,"Perlu Sensus",IF(AND(AG8&gt;=0,AD8&gt;0),"Tetap Deteksi","Belum Deteksi"))</f>
        <v>Belum Deteksi</v>
      </c>
      <c r="AI8" s="143"/>
      <c r="AJ8" s="9">
        <f t="shared" si="9"/>
        <v>0</v>
      </c>
      <c r="AK8" s="11"/>
      <c r="AL8" s="143"/>
      <c r="AM8" s="143"/>
      <c r="AN8" s="9">
        <f t="shared" si="5"/>
        <v>0</v>
      </c>
      <c r="AO8" s="8" t="str">
        <f t="array" ref="AO8">IF(AN8&gt;5,"Perlu Sensus",IF(AND(AN8&gt;=0,AL8&gt;0),"Tetap Deteksi","Belum Deteksi"))</f>
        <v>Belum Deteksi</v>
      </c>
      <c r="AP8" s="143"/>
      <c r="AQ8" s="9">
        <f t="shared" si="10"/>
        <v>0</v>
      </c>
    </row>
    <row r="9" spans="1:43" outlineLevel="1" x14ac:dyDescent="0.15">
      <c r="A9" s="8" t="s">
        <v>1914</v>
      </c>
      <c r="B9" s="8"/>
      <c r="C9" s="8" t="s">
        <v>14</v>
      </c>
      <c r="D9" s="186" t="s">
        <v>1830</v>
      </c>
      <c r="E9" s="9">
        <v>40.46</v>
      </c>
      <c r="F9" s="8" t="s">
        <v>1740</v>
      </c>
      <c r="G9" s="10">
        <v>5130</v>
      </c>
      <c r="H9" s="11">
        <f t="array" ref="H9">IF(OR(N9&gt;0,AC9&gt;0),MAX(N9,AC9),MAX(AK9,V9))</f>
        <v>46238</v>
      </c>
      <c r="I9" s="143">
        <f t="array" ref="I9">IF(SUM(O9,AD9)&gt;0,SUM(O9,AD9),SUM(AL9,W9))</f>
        <v>198</v>
      </c>
      <c r="J9" s="9">
        <f t="shared" si="0"/>
        <v>3.8596491228070176</v>
      </c>
      <c r="K9" s="143">
        <f t="shared" si="6"/>
        <v>4</v>
      </c>
      <c r="L9" s="9">
        <f t="shared" si="1"/>
        <v>2.0202020202020203</v>
      </c>
      <c r="M9" s="8" t="str">
        <f t="array" ref="M9">IF(L9&gt;5,"Perlu Sensus",IF(AND(L9&gt;=0,I9&gt;0),"Tetap Deteksi","Belum Deteksi"))</f>
        <v>Tetap Deteksi</v>
      </c>
      <c r="N9" s="11">
        <v>46238</v>
      </c>
      <c r="O9" s="143">
        <v>198</v>
      </c>
      <c r="P9" s="9">
        <f t="array" ref="P9">IFERROR(O9/$G9*100,0)</f>
        <v>3.8596491228070176</v>
      </c>
      <c r="Q9" s="143">
        <v>4</v>
      </c>
      <c r="R9" s="9">
        <f t="shared" si="2"/>
        <v>2.0202020202020203</v>
      </c>
      <c r="S9" s="8" t="str">
        <f t="array" ref="S9">IF(R9&gt;5,"Perlu Sensus",IF(AND(R9&gt;=0,O9&gt;0),"Tetap Deteksi","Belum Deteksi"))</f>
        <v>Tetap Deteksi</v>
      </c>
      <c r="T9" s="143">
        <v>1</v>
      </c>
      <c r="U9" s="9">
        <f t="shared" si="7"/>
        <v>0.50505050505050508</v>
      </c>
      <c r="V9" s="11">
        <v>46238</v>
      </c>
      <c r="W9" s="143">
        <v>220</v>
      </c>
      <c r="X9" s="143">
        <v>1E-8</v>
      </c>
      <c r="Y9" s="9">
        <f t="shared" si="3"/>
        <v>4.5454545454545454E-9</v>
      </c>
      <c r="Z9" s="8" t="str">
        <f t="array" ref="Z9">IF(Y9&gt;5,"Perlu Sensus",IF(AND(Y9&gt;=0,W9&gt;0),"Tetap Deteksi","Belum Deteksi"))</f>
        <v>Tetap Deteksi</v>
      </c>
      <c r="AA9" s="143">
        <v>1</v>
      </c>
      <c r="AB9" s="9">
        <f t="shared" si="8"/>
        <v>0.45454545454545453</v>
      </c>
      <c r="AC9" s="11"/>
      <c r="AD9" s="143"/>
      <c r="AE9" s="9">
        <f t="array" ref="AE9">IFERROR(AD9/$G9*100,0)</f>
        <v>0</v>
      </c>
      <c r="AF9" s="143"/>
      <c r="AG9" s="9">
        <f t="shared" si="4"/>
        <v>0</v>
      </c>
      <c r="AH9" s="8" t="str">
        <f t="array" ref="AH9">IF(AG9&gt;5,"Perlu Sensus",IF(AND(AG9&gt;=0,AD9&gt;0),"Tetap Deteksi","Belum Deteksi"))</f>
        <v>Belum Deteksi</v>
      </c>
      <c r="AI9" s="143"/>
      <c r="AJ9" s="9">
        <f t="shared" si="9"/>
        <v>0</v>
      </c>
      <c r="AK9" s="11"/>
      <c r="AL9" s="143"/>
      <c r="AM9" s="143"/>
      <c r="AN9" s="9">
        <f t="shared" si="5"/>
        <v>0</v>
      </c>
      <c r="AO9" s="8" t="str">
        <f t="array" ref="AO9">IF(AN9&gt;5,"Perlu Sensus",IF(AND(AN9&gt;=0,AL9&gt;0),"Tetap Deteksi","Belum Deteksi"))</f>
        <v>Belum Deteksi</v>
      </c>
      <c r="AP9" s="143"/>
      <c r="AQ9" s="9">
        <f t="shared" si="10"/>
        <v>0</v>
      </c>
    </row>
    <row r="10" spans="1:43" outlineLevel="1" x14ac:dyDescent="0.15">
      <c r="A10" s="8" t="s">
        <v>1914</v>
      </c>
      <c r="B10" s="8"/>
      <c r="C10" s="8" t="s">
        <v>14</v>
      </c>
      <c r="D10" s="186" t="s">
        <v>1798</v>
      </c>
      <c r="E10" s="9">
        <v>32.07</v>
      </c>
      <c r="F10" s="8" t="s">
        <v>1740</v>
      </c>
      <c r="G10" s="10">
        <v>3686</v>
      </c>
      <c r="H10" s="11">
        <f t="array" ref="H10">IF(OR(N10&gt;0,AC10&gt;0),MAX(N10,AC10),MAX(AK10,V10))</f>
        <v>46244</v>
      </c>
      <c r="I10" s="143">
        <f t="array" ref="I10">IF(SUM(O10,AD10)&gt;0,SUM(O10,AD10),SUM(AL10,W10))</f>
        <v>198</v>
      </c>
      <c r="J10" s="9">
        <f t="shared" si="0"/>
        <v>5.3716766142159518</v>
      </c>
      <c r="K10" s="143">
        <f t="shared" si="6"/>
        <v>2</v>
      </c>
      <c r="L10" s="9">
        <f t="shared" si="1"/>
        <v>1.0101010101010102</v>
      </c>
      <c r="M10" s="8" t="str">
        <f t="array" ref="M10">IF(L10&gt;5,"Perlu Sensus",IF(AND(L10&gt;=0,I10&gt;0),"Tetap Deteksi","Belum Deteksi"))</f>
        <v>Tetap Deteksi</v>
      </c>
      <c r="N10" s="11">
        <v>46244</v>
      </c>
      <c r="O10" s="143">
        <v>198</v>
      </c>
      <c r="P10" s="9">
        <f t="array" ref="P10">IFERROR(O10/$G10*100,0)</f>
        <v>5.3716766142159518</v>
      </c>
      <c r="Q10" s="143">
        <v>2</v>
      </c>
      <c r="R10" s="9">
        <f t="shared" si="2"/>
        <v>1.0101010101010102</v>
      </c>
      <c r="S10" s="8" t="str">
        <f t="array" ref="S10">IF(R10&gt;5,"Perlu Sensus",IF(AND(R10&gt;=0,O10&gt;0),"Tetap Deteksi","Belum Deteksi"))</f>
        <v>Tetap Deteksi</v>
      </c>
      <c r="T10" s="143">
        <v>2</v>
      </c>
      <c r="U10" s="9">
        <f t="shared" si="7"/>
        <v>1.0101010101010102</v>
      </c>
      <c r="V10" s="11">
        <v>46244</v>
      </c>
      <c r="W10" s="143">
        <v>198</v>
      </c>
      <c r="X10" s="143">
        <v>2</v>
      </c>
      <c r="Y10" s="9">
        <f t="shared" si="3"/>
        <v>1.0101010101010102</v>
      </c>
      <c r="Z10" s="8" t="str">
        <f t="array" ref="Z10">IF(Y10&gt;5,"Perlu Sensus",IF(AND(Y10&gt;=0,W10&gt;0),"Tetap Deteksi","Belum Deteksi"))</f>
        <v>Tetap Deteksi</v>
      </c>
      <c r="AA10" s="143">
        <v>1</v>
      </c>
      <c r="AB10" s="9">
        <f t="shared" si="8"/>
        <v>0.50505050505050508</v>
      </c>
      <c r="AC10" s="11"/>
      <c r="AD10" s="143"/>
      <c r="AE10" s="9">
        <f t="array" ref="AE10">IFERROR(AD10/$G10*100,0)</f>
        <v>0</v>
      </c>
      <c r="AF10" s="143"/>
      <c r="AG10" s="9">
        <f t="shared" si="4"/>
        <v>0</v>
      </c>
      <c r="AH10" s="8" t="str">
        <f t="array" ref="AH10">IF(AG10&gt;5,"Perlu Sensus",IF(AND(AG10&gt;=0,AD10&gt;0),"Tetap Deteksi","Belum Deteksi"))</f>
        <v>Belum Deteksi</v>
      </c>
      <c r="AI10" s="143"/>
      <c r="AJ10" s="9">
        <f t="shared" si="9"/>
        <v>0</v>
      </c>
      <c r="AK10" s="11"/>
      <c r="AL10" s="143"/>
      <c r="AM10" s="143"/>
      <c r="AN10" s="9">
        <f t="shared" si="5"/>
        <v>0</v>
      </c>
      <c r="AO10" s="8" t="str">
        <f t="array" ref="AO10">IF(AN10&gt;5,"Perlu Sensus",IF(AND(AN10&gt;=0,AL10&gt;0),"Tetap Deteksi","Belum Deteksi"))</f>
        <v>Belum Deteksi</v>
      </c>
      <c r="AP10" s="143"/>
      <c r="AQ10" s="9">
        <f t="shared" si="10"/>
        <v>0</v>
      </c>
    </row>
    <row r="11" spans="1:43" outlineLevel="1" x14ac:dyDescent="0.15">
      <c r="A11" s="8" t="s">
        <v>1914</v>
      </c>
      <c r="B11" s="8"/>
      <c r="C11" s="8" t="s">
        <v>14</v>
      </c>
      <c r="D11" s="186" t="s">
        <v>1829</v>
      </c>
      <c r="E11" s="9">
        <v>30.14</v>
      </c>
      <c r="F11" s="8" t="s">
        <v>1740</v>
      </c>
      <c r="G11" s="10">
        <v>2898</v>
      </c>
      <c r="H11" s="11">
        <f t="array" ref="H11">IF(OR(N11&gt;0,AC11&gt;0),MAX(N11,AC11),MAX(AK11,V11))</f>
        <v>46238</v>
      </c>
      <c r="I11" s="143">
        <f t="array" ref="I11">IF(SUM(O11,AD11)&gt;0,SUM(O11,AD11),SUM(AL11,W11))</f>
        <v>187</v>
      </c>
      <c r="J11" s="9">
        <f t="shared" si="0"/>
        <v>6.4527260179434096</v>
      </c>
      <c r="K11" s="143">
        <f t="shared" si="6"/>
        <v>1E-8</v>
      </c>
      <c r="L11" s="9">
        <f t="shared" si="1"/>
        <v>5.3475935828877007E-9</v>
      </c>
      <c r="M11" s="8" t="str">
        <f t="array" ref="M11">IF(L11&gt;5,"Perlu Sensus",IF(AND(L11&gt;=0,I11&gt;0),"Tetap Deteksi","Belum Deteksi"))</f>
        <v>Tetap Deteksi</v>
      </c>
      <c r="N11" s="11">
        <v>46238</v>
      </c>
      <c r="O11" s="143">
        <v>187</v>
      </c>
      <c r="P11" s="9">
        <f t="array" ref="P11">IFERROR(O11/$G11*100,0)</f>
        <v>6.4527260179434096</v>
      </c>
      <c r="Q11" s="143">
        <v>1E-8</v>
      </c>
      <c r="R11" s="9">
        <f t="shared" si="2"/>
        <v>5.3475935828877007E-9</v>
      </c>
      <c r="S11" s="8" t="str">
        <f t="array" ref="S11">IF(R11&gt;5,"Perlu Sensus",IF(AND(R11&gt;=0,O11&gt;0),"Tetap Deteksi","Belum Deteksi"))</f>
        <v>Tetap Deteksi</v>
      </c>
      <c r="T11" s="143">
        <v>1E-8</v>
      </c>
      <c r="U11" s="9">
        <f t="shared" si="7"/>
        <v>5.3475935828877007E-9</v>
      </c>
      <c r="V11" s="11">
        <v>46238</v>
      </c>
      <c r="W11" s="143">
        <v>217</v>
      </c>
      <c r="X11" s="143">
        <v>3</v>
      </c>
      <c r="Y11" s="9">
        <f t="shared" si="3"/>
        <v>1.3824884792626728</v>
      </c>
      <c r="Z11" s="8" t="str">
        <f t="array" ref="Z11">IF(Y11&gt;5,"Perlu Sensus",IF(AND(Y11&gt;=0,W11&gt;0),"Tetap Deteksi","Belum Deteksi"))</f>
        <v>Tetap Deteksi</v>
      </c>
      <c r="AA11" s="143">
        <v>2</v>
      </c>
      <c r="AB11" s="9">
        <f t="shared" si="8"/>
        <v>0.92165898617511521</v>
      </c>
      <c r="AC11" s="11"/>
      <c r="AD11" s="143"/>
      <c r="AE11" s="9">
        <f t="array" ref="AE11">IFERROR(AD11/$G11*100,0)</f>
        <v>0</v>
      </c>
      <c r="AF11" s="143"/>
      <c r="AG11" s="9">
        <f t="shared" si="4"/>
        <v>0</v>
      </c>
      <c r="AH11" s="8" t="str">
        <f t="array" ref="AH11">IF(AG11&gt;5,"Perlu Sensus",IF(AND(AG11&gt;=0,AD11&gt;0),"Tetap Deteksi","Belum Deteksi"))</f>
        <v>Belum Deteksi</v>
      </c>
      <c r="AI11" s="143"/>
      <c r="AJ11" s="9">
        <f t="shared" si="9"/>
        <v>0</v>
      </c>
      <c r="AK11" s="11"/>
      <c r="AL11" s="143"/>
      <c r="AM11" s="143"/>
      <c r="AN11" s="9">
        <f t="shared" si="5"/>
        <v>0</v>
      </c>
      <c r="AO11" s="8" t="str">
        <f t="array" ref="AO11">IF(AN11&gt;5,"Perlu Sensus",IF(AND(AN11&gt;=0,AL11&gt;0),"Tetap Deteksi","Belum Deteksi"))</f>
        <v>Belum Deteksi</v>
      </c>
      <c r="AP11" s="143"/>
      <c r="AQ11" s="9">
        <f t="shared" si="10"/>
        <v>0</v>
      </c>
    </row>
    <row r="12" spans="1:43" outlineLevel="1" x14ac:dyDescent="0.15">
      <c r="A12" s="8" t="s">
        <v>1914</v>
      </c>
      <c r="B12" s="8"/>
      <c r="C12" s="8" t="s">
        <v>14</v>
      </c>
      <c r="D12" s="186" t="s">
        <v>1000</v>
      </c>
      <c r="E12" s="9">
        <v>24.73</v>
      </c>
      <c r="F12" s="8" t="s">
        <v>1740</v>
      </c>
      <c r="G12" s="10">
        <v>3163</v>
      </c>
      <c r="H12" s="11">
        <f t="array" ref="H12">IF(OR(N12&gt;0,AC12&gt;0),MAX(N12,AC12),MAX(AK12,V12))</f>
        <v>46239</v>
      </c>
      <c r="I12" s="143">
        <f t="array" ref="I12">IF(SUM(O12,AD12)&gt;0,SUM(O12,AD12),SUM(AL12,W12))</f>
        <v>219</v>
      </c>
      <c r="J12" s="9">
        <f t="shared" si="0"/>
        <v>6.9238065128042994</v>
      </c>
      <c r="K12" s="143">
        <f t="shared" si="6"/>
        <v>9.9999999999999995E-8</v>
      </c>
      <c r="L12" s="9">
        <f t="shared" si="1"/>
        <v>4.5662100456621004E-8</v>
      </c>
      <c r="M12" s="8" t="str">
        <f t="array" ref="M12">IF(L12&gt;5,"Perlu Sensus",IF(AND(L12&gt;=0,I12&gt;0),"Tetap Deteksi","Belum Deteksi"))</f>
        <v>Tetap Deteksi</v>
      </c>
      <c r="N12" s="11">
        <v>46239</v>
      </c>
      <c r="O12" s="143">
        <v>219</v>
      </c>
      <c r="P12" s="9">
        <f t="array" ref="P12">IFERROR(O12/$G12*100,0)</f>
        <v>6.9238065128042994</v>
      </c>
      <c r="Q12" s="143">
        <v>9.9999999999999995E-8</v>
      </c>
      <c r="R12" s="9">
        <f t="shared" si="2"/>
        <v>4.5662100456621004E-8</v>
      </c>
      <c r="S12" s="8" t="str">
        <f t="array" ref="S12">IF(R12&gt;5,"Perlu Sensus",IF(AND(R12&gt;=0,O12&gt;0),"Tetap Deteksi","Belum Deteksi"))</f>
        <v>Tetap Deteksi</v>
      </c>
      <c r="T12" s="143">
        <v>9.9999999999999995E-8</v>
      </c>
      <c r="U12" s="9">
        <f t="shared" si="7"/>
        <v>4.5662100456621004E-8</v>
      </c>
      <c r="V12" s="11">
        <v>46239</v>
      </c>
      <c r="W12" s="143">
        <v>302</v>
      </c>
      <c r="X12" s="143">
        <v>3</v>
      </c>
      <c r="Y12" s="9">
        <f t="shared" si="3"/>
        <v>0.99337748344370869</v>
      </c>
      <c r="Z12" s="8" t="str">
        <f t="array" ref="Z12">IF(Y12&gt;5,"Perlu Sensus",IF(AND(Y12&gt;=0,W12&gt;0),"Tetap Deteksi","Belum Deteksi"))</f>
        <v>Tetap Deteksi</v>
      </c>
      <c r="AA12" s="143">
        <v>3</v>
      </c>
      <c r="AB12" s="9">
        <f t="shared" si="8"/>
        <v>0.99337748344370869</v>
      </c>
      <c r="AC12" s="11"/>
      <c r="AD12" s="143"/>
      <c r="AE12" s="9">
        <f t="array" ref="AE12">IFERROR(AD12/$G12*100,0)</f>
        <v>0</v>
      </c>
      <c r="AF12" s="143"/>
      <c r="AG12" s="9">
        <f t="shared" si="4"/>
        <v>0</v>
      </c>
      <c r="AH12" s="8" t="str">
        <f t="array" ref="AH12">IF(AG12&gt;5,"Perlu Sensus",IF(AND(AG12&gt;=0,AD12&gt;0),"Tetap Deteksi","Belum Deteksi"))</f>
        <v>Belum Deteksi</v>
      </c>
      <c r="AI12" s="143"/>
      <c r="AJ12" s="9">
        <f t="shared" si="9"/>
        <v>0</v>
      </c>
      <c r="AK12" s="11"/>
      <c r="AL12" s="143"/>
      <c r="AM12" s="143"/>
      <c r="AN12" s="9">
        <f t="shared" si="5"/>
        <v>0</v>
      </c>
      <c r="AO12" s="8" t="str">
        <f t="array" ref="AO12">IF(AN12&gt;5,"Perlu Sensus",IF(AND(AN12&gt;=0,AL12&gt;0),"Tetap Deteksi","Belum Deteksi"))</f>
        <v>Belum Deteksi</v>
      </c>
      <c r="AP12" s="143"/>
      <c r="AQ12" s="9">
        <f t="shared" si="10"/>
        <v>0</v>
      </c>
    </row>
    <row r="13" spans="1:43" outlineLevel="1" x14ac:dyDescent="0.15">
      <c r="A13" s="8" t="s">
        <v>1914</v>
      </c>
      <c r="B13" s="8"/>
      <c r="C13" s="8" t="s">
        <v>14</v>
      </c>
      <c r="D13" s="186" t="s">
        <v>1776</v>
      </c>
      <c r="E13" s="9">
        <v>27.71</v>
      </c>
      <c r="F13" s="8" t="s">
        <v>1740</v>
      </c>
      <c r="G13" s="10">
        <v>2983</v>
      </c>
      <c r="H13" s="11">
        <f t="array" ref="H13">IF(OR(N13&gt;0,AC13&gt;0),MAX(N13,AC13),MAX(AK13,V13))</f>
        <v>46239</v>
      </c>
      <c r="I13" s="143">
        <f t="array" ref="I13">IF(SUM(O13,AD13)&gt;0,SUM(O13,AD13),SUM(AL13,W13))</f>
        <v>213</v>
      </c>
      <c r="J13" s="9">
        <f t="shared" si="0"/>
        <v>7.1404626215219578</v>
      </c>
      <c r="K13" s="143">
        <f t="shared" si="6"/>
        <v>2</v>
      </c>
      <c r="L13" s="9">
        <f t="shared" si="1"/>
        <v>0.93896713615023475</v>
      </c>
      <c r="M13" s="8" t="str">
        <f t="array" ref="M13">IF(L13&gt;5,"Perlu Sensus",IF(AND(L13&gt;=0,I13&gt;0),"Tetap Deteksi","Belum Deteksi"))</f>
        <v>Tetap Deteksi</v>
      </c>
      <c r="N13" s="11">
        <v>46239</v>
      </c>
      <c r="O13" s="143">
        <v>213</v>
      </c>
      <c r="P13" s="9">
        <f t="array" ref="P13">IFERROR(O13/$G13*100,0)</f>
        <v>7.1404626215219578</v>
      </c>
      <c r="Q13" s="143">
        <v>2</v>
      </c>
      <c r="R13" s="9">
        <f t="shared" si="2"/>
        <v>0.93896713615023475</v>
      </c>
      <c r="S13" s="8" t="str">
        <f t="array" ref="S13">IF(R13&gt;5,"Perlu Sensus",IF(AND(R13&gt;=0,O13&gt;0),"Tetap Deteksi","Belum Deteksi"))</f>
        <v>Tetap Deteksi</v>
      </c>
      <c r="T13" s="143">
        <v>9.9999999999999995E-8</v>
      </c>
      <c r="U13" s="9">
        <f t="shared" si="7"/>
        <v>4.6948356807511732E-8</v>
      </c>
      <c r="V13" s="11">
        <v>46239</v>
      </c>
      <c r="W13" s="143">
        <v>243</v>
      </c>
      <c r="X13" s="143">
        <v>1.0000000000000001E-9</v>
      </c>
      <c r="Y13" s="9">
        <f t="shared" si="3"/>
        <v>4.1152263374485598E-10</v>
      </c>
      <c r="Z13" s="8" t="str">
        <f t="array" ref="Z13">IF(Y13&gt;5,"Perlu Sensus",IF(AND(Y13&gt;=0,W13&gt;0),"Tetap Deteksi","Belum Deteksi"))</f>
        <v>Tetap Deteksi</v>
      </c>
      <c r="AA13" s="143">
        <v>2</v>
      </c>
      <c r="AB13" s="9">
        <f t="shared" si="8"/>
        <v>0.82304526748971196</v>
      </c>
      <c r="AC13" s="11"/>
      <c r="AD13" s="143"/>
      <c r="AE13" s="9">
        <f t="array" ref="AE13">IFERROR(AD13/$G13*100,0)</f>
        <v>0</v>
      </c>
      <c r="AF13" s="143"/>
      <c r="AG13" s="9">
        <f t="shared" si="4"/>
        <v>0</v>
      </c>
      <c r="AH13" s="8" t="str">
        <f t="array" ref="AH13">IF(AG13&gt;5,"Perlu Sensus",IF(AND(AG13&gt;=0,AD13&gt;0),"Tetap Deteksi","Belum Deteksi"))</f>
        <v>Belum Deteksi</v>
      </c>
      <c r="AI13" s="143"/>
      <c r="AJ13" s="9">
        <f t="shared" si="9"/>
        <v>0</v>
      </c>
      <c r="AK13" s="11"/>
      <c r="AL13" s="143"/>
      <c r="AM13" s="143"/>
      <c r="AN13" s="9">
        <f t="shared" si="5"/>
        <v>0</v>
      </c>
      <c r="AO13" s="8" t="str">
        <f t="array" ref="AO13">IF(AN13&gt;5,"Perlu Sensus",IF(AND(AN13&gt;=0,AL13&gt;0),"Tetap Deteksi","Belum Deteksi"))</f>
        <v>Belum Deteksi</v>
      </c>
      <c r="AP13" s="143"/>
      <c r="AQ13" s="9">
        <f t="shared" si="10"/>
        <v>0</v>
      </c>
    </row>
    <row r="14" spans="1:43" outlineLevel="1" x14ac:dyDescent="0.15">
      <c r="A14" s="8" t="s">
        <v>1914</v>
      </c>
      <c r="B14" s="8"/>
      <c r="C14" s="8" t="s">
        <v>14</v>
      </c>
      <c r="D14" s="186" t="s">
        <v>1910</v>
      </c>
      <c r="E14" s="9">
        <v>32.370000000000005</v>
      </c>
      <c r="F14" s="8" t="s">
        <v>1740</v>
      </c>
      <c r="G14" s="10">
        <v>2862</v>
      </c>
      <c r="H14" s="11">
        <f t="array" ref="H14">IF(OR(N14&gt;0,AC14&gt;0),MAX(N14,AC14),MAX(AK14,V14))</f>
        <v>46239</v>
      </c>
      <c r="I14" s="143">
        <f t="array" ref="I14">IF(SUM(O14,AD14)&gt;0,SUM(O14,AD14),SUM(AL14,W14))</f>
        <v>211</v>
      </c>
      <c r="J14" s="9">
        <f t="shared" si="0"/>
        <v>7.3724668064290704</v>
      </c>
      <c r="K14" s="143">
        <f t="shared" si="6"/>
        <v>1</v>
      </c>
      <c r="L14" s="9">
        <f t="shared" si="1"/>
        <v>0.47393364928909953</v>
      </c>
      <c r="M14" s="8" t="str">
        <f t="array" ref="M14">IF(L14&gt;5,"Perlu Sensus",IF(AND(L14&gt;=0,I14&gt;0),"Tetap Deteksi","Belum Deteksi"))</f>
        <v>Tetap Deteksi</v>
      </c>
      <c r="N14" s="11">
        <v>46239</v>
      </c>
      <c r="O14" s="143">
        <v>211</v>
      </c>
      <c r="P14" s="9">
        <f t="array" ref="P14">IFERROR(O14/$G14*100,0)</f>
        <v>7.3724668064290704</v>
      </c>
      <c r="Q14" s="143">
        <v>1</v>
      </c>
      <c r="R14" s="9">
        <f t="shared" si="2"/>
        <v>0.47393364928909953</v>
      </c>
      <c r="S14" s="8" t="str">
        <f t="array" ref="S14">IF(R14&gt;5,"Perlu Sensus",IF(AND(R14&gt;=0,O14&gt;0),"Tetap Deteksi","Belum Deteksi"))</f>
        <v>Tetap Deteksi</v>
      </c>
      <c r="T14" s="143">
        <v>1</v>
      </c>
      <c r="U14" s="9">
        <f t="shared" si="7"/>
        <v>0.47393364928909953</v>
      </c>
      <c r="V14" s="11">
        <v>46239</v>
      </c>
      <c r="W14" s="143">
        <v>302</v>
      </c>
      <c r="X14" s="143">
        <v>4</v>
      </c>
      <c r="Y14" s="9">
        <f t="shared" si="3"/>
        <v>1.3245033112582782</v>
      </c>
      <c r="Z14" s="8" t="str">
        <f t="array" ref="Z14">IF(Y14&gt;5,"Perlu Sensus",IF(AND(Y14&gt;=0,W14&gt;0),"Tetap Deteksi","Belum Deteksi"))</f>
        <v>Tetap Deteksi</v>
      </c>
      <c r="AA14" s="143">
        <v>3</v>
      </c>
      <c r="AB14" s="9">
        <f t="shared" si="8"/>
        <v>0.99337748344370869</v>
      </c>
      <c r="AC14" s="11"/>
      <c r="AD14" s="143"/>
      <c r="AE14" s="9">
        <f t="array" ref="AE14">IFERROR(AD14/$G14*100,0)</f>
        <v>0</v>
      </c>
      <c r="AF14" s="143"/>
      <c r="AG14" s="9">
        <f t="shared" si="4"/>
        <v>0</v>
      </c>
      <c r="AH14" s="8" t="str">
        <f t="array" ref="AH14">IF(AG14&gt;5,"Perlu Sensus",IF(AND(AG14&gt;=0,AD14&gt;0),"Tetap Deteksi","Belum Deteksi"))</f>
        <v>Belum Deteksi</v>
      </c>
      <c r="AI14" s="143"/>
      <c r="AJ14" s="9">
        <f t="shared" si="9"/>
        <v>0</v>
      </c>
      <c r="AK14" s="11"/>
      <c r="AL14" s="143"/>
      <c r="AM14" s="143"/>
      <c r="AN14" s="9">
        <f t="shared" si="5"/>
        <v>0</v>
      </c>
      <c r="AO14" s="8" t="str">
        <f t="array" ref="AO14">IF(AN14&gt;5,"Perlu Sensus",IF(AND(AN14&gt;=0,AL14&gt;0),"Tetap Deteksi","Belum Deteksi"))</f>
        <v>Belum Deteksi</v>
      </c>
      <c r="AP14" s="143"/>
      <c r="AQ14" s="9">
        <f t="shared" si="10"/>
        <v>0</v>
      </c>
    </row>
    <row r="15" spans="1:43" outlineLevel="1" x14ac:dyDescent="0.15">
      <c r="A15" s="8" t="s">
        <v>1914</v>
      </c>
      <c r="B15" s="8"/>
      <c r="C15" s="8" t="s">
        <v>14</v>
      </c>
      <c r="D15" s="186" t="s">
        <v>1918</v>
      </c>
      <c r="E15" s="9">
        <v>30.61</v>
      </c>
      <c r="F15" s="8" t="s">
        <v>1740</v>
      </c>
      <c r="G15" s="10">
        <v>3531</v>
      </c>
      <c r="H15" s="11">
        <f t="array" ref="H15">IF(OR(N15&gt;0,AC15&gt;0),MAX(N15,AC15),MAX(AK15,V15))</f>
        <v>46240</v>
      </c>
      <c r="I15" s="143">
        <f t="array" ref="I15">IF(SUM(O15,AD15)&gt;0,SUM(O15,AD15),SUM(AL15,W15))</f>
        <v>190</v>
      </c>
      <c r="J15" s="9">
        <f t="shared" si="0"/>
        <v>5.3809119229679983</v>
      </c>
      <c r="K15" s="143">
        <f t="shared" si="6"/>
        <v>1</v>
      </c>
      <c r="L15" s="9">
        <f t="shared" si="1"/>
        <v>0.52631578947368418</v>
      </c>
      <c r="M15" s="8" t="str">
        <f t="array" ref="M15">IF(L15&gt;5,"Perlu Sensus",IF(AND(L15&gt;=0,I15&gt;0),"Tetap Deteksi","Belum Deteksi"))</f>
        <v>Tetap Deteksi</v>
      </c>
      <c r="N15" s="11">
        <v>46240</v>
      </c>
      <c r="O15" s="143">
        <v>190</v>
      </c>
      <c r="P15" s="9">
        <f t="array" ref="P15">IFERROR(O15/$G15*100,0)</f>
        <v>5.3809119229679983</v>
      </c>
      <c r="Q15" s="143">
        <v>1</v>
      </c>
      <c r="R15" s="9">
        <f t="shared" si="2"/>
        <v>0.52631578947368418</v>
      </c>
      <c r="S15" s="8" t="str">
        <f t="array" ref="S15">IF(R15&gt;5,"Perlu Sensus",IF(AND(R15&gt;=0,O15&gt;0),"Tetap Deteksi","Belum Deteksi"))</f>
        <v>Tetap Deteksi</v>
      </c>
      <c r="T15" s="143">
        <v>1</v>
      </c>
      <c r="U15" s="9">
        <f t="shared" si="7"/>
        <v>0.52631578947368418</v>
      </c>
      <c r="V15" s="11">
        <v>46240</v>
      </c>
      <c r="W15" s="143">
        <v>194</v>
      </c>
      <c r="X15" s="143">
        <v>1</v>
      </c>
      <c r="Y15" s="9">
        <f t="shared" si="3"/>
        <v>0.51546391752577314</v>
      </c>
      <c r="Z15" s="8" t="str">
        <f t="array" ref="Z15">IF(Y15&gt;5,"Perlu Sensus",IF(AND(Y15&gt;=0,W15&gt;0),"Tetap Deteksi","Belum Deteksi"))</f>
        <v>Tetap Deteksi</v>
      </c>
      <c r="AA15" s="143">
        <v>2</v>
      </c>
      <c r="AB15" s="9">
        <f t="shared" si="8"/>
        <v>1.0309278350515463</v>
      </c>
      <c r="AC15" s="11"/>
      <c r="AD15" s="143"/>
      <c r="AE15" s="9">
        <f t="array" ref="AE15">IFERROR(AD15/$G15*100,0)</f>
        <v>0</v>
      </c>
      <c r="AF15" s="143"/>
      <c r="AG15" s="9">
        <f t="shared" si="4"/>
        <v>0</v>
      </c>
      <c r="AH15" s="8" t="str">
        <f t="array" ref="AH15">IF(AG15&gt;5,"Perlu Sensus",IF(AND(AG15&gt;=0,AD15&gt;0),"Tetap Deteksi","Belum Deteksi"))</f>
        <v>Belum Deteksi</v>
      </c>
      <c r="AI15" s="143"/>
      <c r="AJ15" s="9">
        <f t="shared" si="9"/>
        <v>0</v>
      </c>
      <c r="AK15" s="11"/>
      <c r="AL15" s="143"/>
      <c r="AM15" s="143"/>
      <c r="AN15" s="9">
        <f t="shared" si="5"/>
        <v>0</v>
      </c>
      <c r="AO15" s="8" t="str">
        <f t="array" ref="AO15">IF(AN15&gt;5,"Perlu Sensus",IF(AND(AN15&gt;=0,AL15&gt;0),"Tetap Deteksi","Belum Deteksi"))</f>
        <v>Belum Deteksi</v>
      </c>
      <c r="AP15" s="143"/>
      <c r="AQ15" s="9">
        <f t="shared" si="10"/>
        <v>0</v>
      </c>
    </row>
    <row r="16" spans="1:43" outlineLevel="1" x14ac:dyDescent="0.15">
      <c r="A16" s="8" t="s">
        <v>1914</v>
      </c>
      <c r="B16" s="8"/>
      <c r="C16" s="8" t="s">
        <v>14</v>
      </c>
      <c r="D16" s="186" t="s">
        <v>1799</v>
      </c>
      <c r="E16" s="9">
        <v>31.200000000000003</v>
      </c>
      <c r="F16" s="8" t="s">
        <v>1740</v>
      </c>
      <c r="G16" s="10">
        <v>3603</v>
      </c>
      <c r="H16" s="11">
        <f t="array" ref="H16">IF(OR(N16&gt;0,AC16&gt;0),MAX(N16,AC16),MAX(AK16,V16))</f>
        <v>46244</v>
      </c>
      <c r="I16" s="143">
        <f t="array" ref="I16">IF(SUM(O16,AD16)&gt;0,SUM(O16,AD16),SUM(AL16,W16))</f>
        <v>185</v>
      </c>
      <c r="J16" s="9">
        <f t="shared" si="0"/>
        <v>5.1346100471829033</v>
      </c>
      <c r="K16" s="143">
        <f t="shared" si="6"/>
        <v>2</v>
      </c>
      <c r="L16" s="9">
        <f t="shared" si="1"/>
        <v>1.0810810810810811</v>
      </c>
      <c r="M16" s="8" t="str">
        <f t="array" ref="M16">IF(L16&gt;5,"Perlu Sensus",IF(AND(L16&gt;=0,I16&gt;0),"Tetap Deteksi","Belum Deteksi"))</f>
        <v>Tetap Deteksi</v>
      </c>
      <c r="N16" s="11">
        <v>46244</v>
      </c>
      <c r="O16" s="143">
        <v>185</v>
      </c>
      <c r="P16" s="9">
        <f t="array" ref="P16">IFERROR(O16/$G16*100,0)</f>
        <v>5.1346100471829033</v>
      </c>
      <c r="Q16" s="143">
        <v>2</v>
      </c>
      <c r="R16" s="9">
        <f t="shared" si="2"/>
        <v>1.0810810810810811</v>
      </c>
      <c r="S16" s="8" t="str">
        <f t="array" ref="S16">IF(R16&gt;5,"Perlu Sensus",IF(AND(R16&gt;=0,O16&gt;0),"Tetap Deteksi","Belum Deteksi"))</f>
        <v>Tetap Deteksi</v>
      </c>
      <c r="T16" s="143">
        <v>1</v>
      </c>
      <c r="U16" s="9">
        <f t="shared" si="7"/>
        <v>0.54054054054054057</v>
      </c>
      <c r="V16" s="11">
        <v>46244</v>
      </c>
      <c r="W16" s="143">
        <v>214</v>
      </c>
      <c r="X16" s="143">
        <v>3</v>
      </c>
      <c r="Y16" s="9">
        <f t="shared" si="3"/>
        <v>1.4018691588785046</v>
      </c>
      <c r="Z16" s="8" t="str">
        <f t="array" ref="Z16">IF(Y16&gt;5,"Perlu Sensus",IF(AND(Y16&gt;=0,W16&gt;0),"Tetap Deteksi","Belum Deteksi"))</f>
        <v>Tetap Deteksi</v>
      </c>
      <c r="AA16" s="143">
        <v>1</v>
      </c>
      <c r="AB16" s="9">
        <f t="shared" si="8"/>
        <v>0.46728971962616817</v>
      </c>
      <c r="AC16" s="11"/>
      <c r="AD16" s="143"/>
      <c r="AE16" s="9">
        <f t="array" ref="AE16">IFERROR(AD16/$G16*100,0)</f>
        <v>0</v>
      </c>
      <c r="AF16" s="143"/>
      <c r="AG16" s="9">
        <f t="shared" si="4"/>
        <v>0</v>
      </c>
      <c r="AH16" s="8" t="str">
        <f t="array" ref="AH16">IF(AG16&gt;5,"Perlu Sensus",IF(AND(AG16&gt;=0,AD16&gt;0),"Tetap Deteksi","Belum Deteksi"))</f>
        <v>Belum Deteksi</v>
      </c>
      <c r="AI16" s="143"/>
      <c r="AJ16" s="9">
        <f t="shared" si="9"/>
        <v>0</v>
      </c>
      <c r="AK16" s="11"/>
      <c r="AL16" s="143"/>
      <c r="AM16" s="143"/>
      <c r="AN16" s="9">
        <f t="shared" si="5"/>
        <v>0</v>
      </c>
      <c r="AO16" s="8" t="str">
        <f t="array" ref="AO16">IF(AN16&gt;5,"Perlu Sensus",IF(AND(AN16&gt;=0,AL16&gt;0),"Tetap Deteksi","Belum Deteksi"))</f>
        <v>Belum Deteksi</v>
      </c>
      <c r="AP16" s="143"/>
      <c r="AQ16" s="9">
        <f t="shared" si="10"/>
        <v>0</v>
      </c>
    </row>
    <row r="17" spans="1:43" outlineLevel="1" x14ac:dyDescent="0.15">
      <c r="A17" s="8" t="s">
        <v>1914</v>
      </c>
      <c r="B17" s="8"/>
      <c r="C17" s="8" t="s">
        <v>14</v>
      </c>
      <c r="D17" s="186" t="s">
        <v>1019</v>
      </c>
      <c r="E17" s="9">
        <v>37.35</v>
      </c>
      <c r="F17" s="8" t="s">
        <v>1740</v>
      </c>
      <c r="G17" s="10">
        <v>4571</v>
      </c>
      <c r="H17" s="11">
        <f t="array" ref="H17">IF(OR(N17&gt;0,AC17&gt;0),MAX(N17,AC17),MAX(AK17,V17))</f>
        <v>46246</v>
      </c>
      <c r="I17" s="143">
        <f t="array" ref="I17">IF(SUM(O17,AD17)&gt;0,SUM(O17,AD17),SUM(AL17,W17))</f>
        <v>209</v>
      </c>
      <c r="J17" s="9">
        <f t="shared" si="0"/>
        <v>4.5723036534675128</v>
      </c>
      <c r="K17" s="143">
        <f t="shared" si="6"/>
        <v>9.9999999999999995E-8</v>
      </c>
      <c r="L17" s="9">
        <f t="shared" si="1"/>
        <v>4.784688995215311E-8</v>
      </c>
      <c r="M17" s="8" t="str">
        <f t="array" ref="M17">IF(L17&gt;5,"Perlu Sensus",IF(AND(L17&gt;=0,I17&gt;0),"Tetap Deteksi","Belum Deteksi"))</f>
        <v>Tetap Deteksi</v>
      </c>
      <c r="N17" s="11">
        <v>46246</v>
      </c>
      <c r="O17" s="143">
        <v>209</v>
      </c>
      <c r="P17" s="9">
        <f t="array" ref="P17">IFERROR(O17/$G17*100,0)</f>
        <v>4.5723036534675128</v>
      </c>
      <c r="Q17" s="143">
        <v>9.9999999999999995E-8</v>
      </c>
      <c r="R17" s="9">
        <f t="shared" si="2"/>
        <v>4.784688995215311E-8</v>
      </c>
      <c r="S17" s="8" t="str">
        <f t="array" ref="S17">IF(R17&gt;5,"Perlu Sensus",IF(AND(R17&gt;=0,O17&gt;0),"Tetap Deteksi","Belum Deteksi"))</f>
        <v>Tetap Deteksi</v>
      </c>
      <c r="T17" s="143">
        <v>2</v>
      </c>
      <c r="U17" s="9">
        <f t="shared" si="7"/>
        <v>0.9569377990430622</v>
      </c>
      <c r="V17" s="11">
        <v>46246</v>
      </c>
      <c r="W17" s="143">
        <v>198</v>
      </c>
      <c r="X17" s="143">
        <v>2</v>
      </c>
      <c r="Y17" s="9">
        <f t="shared" si="3"/>
        <v>1.0101010101010102</v>
      </c>
      <c r="Z17" s="8" t="str">
        <f t="array" ref="Z17">IF(Y17&gt;5,"Perlu Sensus",IF(AND(Y17&gt;=0,W17&gt;0),"Tetap Deteksi","Belum Deteksi"))</f>
        <v>Tetap Deteksi</v>
      </c>
      <c r="AA17" s="143">
        <v>2</v>
      </c>
      <c r="AB17" s="9">
        <f t="shared" si="8"/>
        <v>1.0101010101010102</v>
      </c>
      <c r="AC17" s="11"/>
      <c r="AD17" s="143"/>
      <c r="AE17" s="9">
        <f t="array" ref="AE17">IFERROR(AD17/$G17*100,0)</f>
        <v>0</v>
      </c>
      <c r="AF17" s="143"/>
      <c r="AG17" s="9">
        <f t="shared" si="4"/>
        <v>0</v>
      </c>
      <c r="AH17" s="8" t="str">
        <f t="array" ref="AH17">IF(AG17&gt;5,"Perlu Sensus",IF(AND(AG17&gt;=0,AD17&gt;0),"Tetap Deteksi","Belum Deteksi"))</f>
        <v>Belum Deteksi</v>
      </c>
      <c r="AI17" s="143"/>
      <c r="AJ17" s="9">
        <f t="shared" si="9"/>
        <v>0</v>
      </c>
      <c r="AK17" s="11"/>
      <c r="AL17" s="143"/>
      <c r="AM17" s="143"/>
      <c r="AN17" s="9">
        <f t="shared" si="5"/>
        <v>0</v>
      </c>
      <c r="AO17" s="8" t="str">
        <f t="array" ref="AO17">IF(AN17&gt;5,"Perlu Sensus",IF(AND(AN17&gt;=0,AL17&gt;0),"Tetap Deteksi","Belum Deteksi"))</f>
        <v>Belum Deteksi</v>
      </c>
      <c r="AP17" s="143"/>
      <c r="AQ17" s="9">
        <f t="shared" si="10"/>
        <v>0</v>
      </c>
    </row>
    <row r="18" spans="1:43" outlineLevel="1" x14ac:dyDescent="0.15">
      <c r="A18" s="8" t="s">
        <v>1914</v>
      </c>
      <c r="B18" s="8"/>
      <c r="C18" s="8" t="s">
        <v>14</v>
      </c>
      <c r="D18" s="186" t="s">
        <v>1919</v>
      </c>
      <c r="E18" s="9">
        <v>44.55</v>
      </c>
      <c r="F18" s="8" t="s">
        <v>1740</v>
      </c>
      <c r="G18" s="10">
        <v>4033</v>
      </c>
      <c r="H18" s="11">
        <f t="array" ref="H18">IF(OR(N18&gt;0,AC18&gt;0),MAX(N18,AC18),MAX(AK18,V18))</f>
        <v>46240</v>
      </c>
      <c r="I18" s="143">
        <f t="array" ref="I18">IF(SUM(O18,AD18)&gt;0,SUM(O18,AD18),SUM(AL18,W18))</f>
        <v>188</v>
      </c>
      <c r="J18" s="9">
        <f t="shared" si="0"/>
        <v>4.6615422762211756</v>
      </c>
      <c r="K18" s="143">
        <f t="shared" si="6"/>
        <v>1.0000000000000001E-9</v>
      </c>
      <c r="L18" s="9">
        <f t="shared" si="1"/>
        <v>5.3191489361702129E-10</v>
      </c>
      <c r="M18" s="8" t="str">
        <f t="array" ref="M18">IF(L18&gt;5,"Perlu Sensus",IF(AND(L18&gt;=0,I18&gt;0),"Tetap Deteksi","Belum Deteksi"))</f>
        <v>Tetap Deteksi</v>
      </c>
      <c r="N18" s="11">
        <v>46240</v>
      </c>
      <c r="O18" s="143">
        <v>188</v>
      </c>
      <c r="P18" s="9">
        <f t="array" ref="P18">IFERROR(O18/$G18*100,0)</f>
        <v>4.6615422762211756</v>
      </c>
      <c r="Q18" s="143">
        <v>1.0000000000000001E-9</v>
      </c>
      <c r="R18" s="9">
        <f t="shared" si="2"/>
        <v>5.3191489361702129E-10</v>
      </c>
      <c r="S18" s="8" t="str">
        <f t="array" ref="S18">IF(R18&gt;5,"Perlu Sensus",IF(AND(R18&gt;=0,O18&gt;0),"Tetap Deteksi","Belum Deteksi"))</f>
        <v>Tetap Deteksi</v>
      </c>
      <c r="T18" s="143">
        <v>1</v>
      </c>
      <c r="U18" s="9">
        <f t="shared" si="7"/>
        <v>0.53191489361702127</v>
      </c>
      <c r="V18" s="11">
        <v>46240</v>
      </c>
      <c r="W18" s="143">
        <v>209</v>
      </c>
      <c r="X18" s="143">
        <v>1</v>
      </c>
      <c r="Y18" s="9">
        <f t="shared" si="3"/>
        <v>0.4784688995215311</v>
      </c>
      <c r="Z18" s="8" t="str">
        <f t="array" ref="Z18">IF(Y18&gt;5,"Perlu Sensus",IF(AND(Y18&gt;=0,W18&gt;0),"Tetap Deteksi","Belum Deteksi"))</f>
        <v>Tetap Deteksi</v>
      </c>
      <c r="AA18" s="143">
        <v>1</v>
      </c>
      <c r="AB18" s="9">
        <f t="shared" si="8"/>
        <v>0.4784688995215311</v>
      </c>
      <c r="AC18" s="11"/>
      <c r="AD18" s="143"/>
      <c r="AE18" s="9">
        <f t="array" ref="AE18">IFERROR(AD18/$G18*100,0)</f>
        <v>0</v>
      </c>
      <c r="AF18" s="143"/>
      <c r="AG18" s="9">
        <f t="shared" si="4"/>
        <v>0</v>
      </c>
      <c r="AH18" s="8" t="str">
        <f t="array" ref="AH18">IF(AG18&gt;5,"Perlu Sensus",IF(AND(AG18&gt;=0,AD18&gt;0),"Tetap Deteksi","Belum Deteksi"))</f>
        <v>Belum Deteksi</v>
      </c>
      <c r="AI18" s="143"/>
      <c r="AJ18" s="9">
        <f t="shared" si="9"/>
        <v>0</v>
      </c>
      <c r="AK18" s="11"/>
      <c r="AL18" s="143"/>
      <c r="AM18" s="143"/>
      <c r="AN18" s="9">
        <f t="shared" si="5"/>
        <v>0</v>
      </c>
      <c r="AO18" s="8" t="str">
        <f t="array" ref="AO18">IF(AN18&gt;5,"Perlu Sensus",IF(AND(AN18&gt;=0,AL18&gt;0),"Tetap Deteksi","Belum Deteksi"))</f>
        <v>Belum Deteksi</v>
      </c>
      <c r="AP18" s="143"/>
      <c r="AQ18" s="9">
        <f t="shared" si="10"/>
        <v>0</v>
      </c>
    </row>
    <row r="19" spans="1:43" outlineLevel="1" x14ac:dyDescent="0.15">
      <c r="A19" s="8" t="s">
        <v>1914</v>
      </c>
      <c r="B19" s="8"/>
      <c r="C19" s="8" t="s">
        <v>14</v>
      </c>
      <c r="D19" s="186" t="s">
        <v>1920</v>
      </c>
      <c r="E19" s="9">
        <v>24.84</v>
      </c>
      <c r="F19" s="8" t="s">
        <v>1740</v>
      </c>
      <c r="G19" s="10">
        <v>2687</v>
      </c>
      <c r="H19" s="11">
        <f t="array" ref="H19">IF(OR(N19&gt;0,AC19&gt;0),MAX(N19,AC19),MAX(AK19,V19))</f>
        <v>46240</v>
      </c>
      <c r="I19" s="143">
        <f t="array" ref="I19">IF(SUM(O19,AD19)&gt;0,SUM(O19,AD19),SUM(AL19,W19))</f>
        <v>205</v>
      </c>
      <c r="J19" s="9">
        <f t="shared" si="0"/>
        <v>7.6293263863044292</v>
      </c>
      <c r="K19" s="143">
        <f t="shared" si="6"/>
        <v>3</v>
      </c>
      <c r="L19" s="9">
        <f t="shared" si="1"/>
        <v>1.4634146341463417</v>
      </c>
      <c r="M19" s="8" t="str">
        <f t="array" ref="M19">IF(L19&gt;5,"Perlu Sensus",IF(AND(L19&gt;=0,I19&gt;0),"Tetap Deteksi","Belum Deteksi"))</f>
        <v>Tetap Deteksi</v>
      </c>
      <c r="N19" s="11">
        <v>46240</v>
      </c>
      <c r="O19" s="143">
        <v>205</v>
      </c>
      <c r="P19" s="9">
        <f t="array" ref="P19">IFERROR(O19/$G19*100,0)</f>
        <v>7.6293263863044292</v>
      </c>
      <c r="Q19" s="143">
        <v>3</v>
      </c>
      <c r="R19" s="9">
        <f t="shared" si="2"/>
        <v>1.4634146341463417</v>
      </c>
      <c r="S19" s="8" t="str">
        <f t="array" ref="S19">IF(R19&gt;5,"Perlu Sensus",IF(AND(R19&gt;=0,O19&gt;0),"Tetap Deteksi","Belum Deteksi"))</f>
        <v>Tetap Deteksi</v>
      </c>
      <c r="T19" s="143">
        <v>9.9999999999999995E-8</v>
      </c>
      <c r="U19" s="9">
        <f t="shared" si="7"/>
        <v>4.8780487804878047E-8</v>
      </c>
      <c r="V19" s="11">
        <v>46240</v>
      </c>
      <c r="W19" s="143">
        <v>209</v>
      </c>
      <c r="X19" s="143">
        <v>1</v>
      </c>
      <c r="Y19" s="9">
        <f t="shared" si="3"/>
        <v>0.4784688995215311</v>
      </c>
      <c r="Z19" s="8" t="str">
        <f t="array" ref="Z19">IF(Y19&gt;5,"Perlu Sensus",IF(AND(Y19&gt;=0,W19&gt;0),"Tetap Deteksi","Belum Deteksi"))</f>
        <v>Tetap Deteksi</v>
      </c>
      <c r="AA19" s="143">
        <v>1</v>
      </c>
      <c r="AB19" s="9">
        <f t="shared" si="8"/>
        <v>0.4784688995215311</v>
      </c>
      <c r="AC19" s="11"/>
      <c r="AD19" s="143"/>
      <c r="AE19" s="9">
        <f t="array" ref="AE19">IFERROR(AD19/$G19*100,0)</f>
        <v>0</v>
      </c>
      <c r="AF19" s="143"/>
      <c r="AG19" s="9">
        <f t="shared" si="4"/>
        <v>0</v>
      </c>
      <c r="AH19" s="8" t="str">
        <f t="array" ref="AH19">IF(AG19&gt;5,"Perlu Sensus",IF(AND(AG19&gt;=0,AD19&gt;0),"Tetap Deteksi","Belum Deteksi"))</f>
        <v>Belum Deteksi</v>
      </c>
      <c r="AI19" s="143"/>
      <c r="AJ19" s="9">
        <f t="shared" si="9"/>
        <v>0</v>
      </c>
      <c r="AK19" s="11"/>
      <c r="AL19" s="143"/>
      <c r="AM19" s="143"/>
      <c r="AN19" s="9">
        <f t="shared" si="5"/>
        <v>0</v>
      </c>
      <c r="AO19" s="8" t="str">
        <f t="array" ref="AO19">IF(AN19&gt;5,"Perlu Sensus",IF(AND(AN19&gt;=0,AL19&gt;0),"Tetap Deteksi","Belum Deteksi"))</f>
        <v>Belum Deteksi</v>
      </c>
      <c r="AP19" s="143"/>
      <c r="AQ19" s="9">
        <f t="shared" si="10"/>
        <v>0</v>
      </c>
    </row>
    <row r="20" spans="1:43" outlineLevel="1" x14ac:dyDescent="0.15">
      <c r="A20" s="8" t="s">
        <v>1914</v>
      </c>
      <c r="B20" s="8"/>
      <c r="C20" s="8" t="s">
        <v>14</v>
      </c>
      <c r="D20" s="186" t="s">
        <v>1921</v>
      </c>
      <c r="E20" s="9">
        <v>24.61</v>
      </c>
      <c r="F20" s="8" t="s">
        <v>1740</v>
      </c>
      <c r="G20" s="10">
        <v>3029</v>
      </c>
      <c r="H20" s="11">
        <f t="array" ref="H20">IF(OR(N20&gt;0,AC20&gt;0),MAX(N20,AC20),MAX(AK20,V20))</f>
        <v>46244</v>
      </c>
      <c r="I20" s="143">
        <f t="array" ref="I20">IF(SUM(O20,AD20)&gt;0,SUM(O20,AD20),SUM(AL20,W20))</f>
        <v>207</v>
      </c>
      <c r="J20" s="9">
        <f t="shared" si="0"/>
        <v>6.8339385935952457</v>
      </c>
      <c r="K20" s="143">
        <f t="shared" si="6"/>
        <v>3</v>
      </c>
      <c r="L20" s="9">
        <f t="shared" si="1"/>
        <v>1.4492753623188406</v>
      </c>
      <c r="M20" s="8" t="str">
        <f t="array" ref="M20">IF(L20&gt;5,"Perlu Sensus",IF(AND(L20&gt;=0,I20&gt;0),"Tetap Deteksi","Belum Deteksi"))</f>
        <v>Tetap Deteksi</v>
      </c>
      <c r="N20" s="11">
        <v>46244</v>
      </c>
      <c r="O20" s="143">
        <v>207</v>
      </c>
      <c r="P20" s="9">
        <f t="array" ref="P20">IFERROR(O20/$G20*100,0)</f>
        <v>6.8339385935952457</v>
      </c>
      <c r="Q20" s="143">
        <v>3</v>
      </c>
      <c r="R20" s="9">
        <f t="shared" si="2"/>
        <v>1.4492753623188406</v>
      </c>
      <c r="S20" s="8" t="str">
        <f t="array" ref="S20">IF(R20&gt;5,"Perlu Sensus",IF(AND(R20&gt;=0,O20&gt;0),"Tetap Deteksi","Belum Deteksi"))</f>
        <v>Tetap Deteksi</v>
      </c>
      <c r="T20" s="143">
        <v>2</v>
      </c>
      <c r="U20" s="9">
        <f t="shared" si="7"/>
        <v>0.96618357487922701</v>
      </c>
      <c r="V20" s="11">
        <v>46244</v>
      </c>
      <c r="W20" s="143">
        <v>202</v>
      </c>
      <c r="X20" s="143">
        <v>3</v>
      </c>
      <c r="Y20" s="9">
        <f t="shared" si="3"/>
        <v>1.4851485148514851</v>
      </c>
      <c r="Z20" s="8" t="str">
        <f t="array" ref="Z20">IF(Y20&gt;5,"Perlu Sensus",IF(AND(Y20&gt;=0,W20&gt;0),"Tetap Deteksi","Belum Deteksi"))</f>
        <v>Tetap Deteksi</v>
      </c>
      <c r="AA20" s="143">
        <v>3</v>
      </c>
      <c r="AB20" s="9">
        <f t="shared" si="8"/>
        <v>1.4851485148514851</v>
      </c>
      <c r="AC20" s="11"/>
      <c r="AD20" s="143"/>
      <c r="AE20" s="9">
        <f t="array" ref="AE20">IFERROR(AD20/$G20*100,0)</f>
        <v>0</v>
      </c>
      <c r="AF20" s="143"/>
      <c r="AG20" s="9">
        <f t="shared" si="4"/>
        <v>0</v>
      </c>
      <c r="AH20" s="8" t="str">
        <f t="array" ref="AH20">IF(AG20&gt;5,"Perlu Sensus",IF(AND(AG20&gt;=0,AD20&gt;0),"Tetap Deteksi","Belum Deteksi"))</f>
        <v>Belum Deteksi</v>
      </c>
      <c r="AI20" s="143"/>
      <c r="AJ20" s="9">
        <f t="shared" si="9"/>
        <v>0</v>
      </c>
      <c r="AK20" s="11"/>
      <c r="AL20" s="143"/>
      <c r="AM20" s="143"/>
      <c r="AN20" s="9">
        <f t="shared" si="5"/>
        <v>0</v>
      </c>
      <c r="AO20" s="8" t="str">
        <f t="array" ref="AO20">IF(AN20&gt;5,"Perlu Sensus",IF(AND(AN20&gt;=0,AL20&gt;0),"Tetap Deteksi","Belum Deteksi"))</f>
        <v>Belum Deteksi</v>
      </c>
      <c r="AP20" s="143"/>
      <c r="AQ20" s="9">
        <f t="shared" si="10"/>
        <v>0</v>
      </c>
    </row>
    <row r="21" spans="1:43" outlineLevel="1" x14ac:dyDescent="0.15">
      <c r="A21" s="8" t="s">
        <v>1914</v>
      </c>
      <c r="B21" s="8"/>
      <c r="C21" s="8" t="s">
        <v>14</v>
      </c>
      <c r="D21" s="186" t="s">
        <v>1812</v>
      </c>
      <c r="E21" s="9">
        <v>41.010000000000005</v>
      </c>
      <c r="F21" s="8" t="s">
        <v>1740</v>
      </c>
      <c r="G21" s="10">
        <v>4064</v>
      </c>
      <c r="H21" s="11">
        <f t="array" ref="H21">IF(OR(N21&gt;0,AC21&gt;0),MAX(N21,AC21),MAX(AK21,V21))</f>
        <v>46246</v>
      </c>
      <c r="I21" s="143">
        <f t="array" ref="I21">IF(SUM(O21,AD21)&gt;0,SUM(O21,AD21),SUM(AL21,W21))</f>
        <v>215</v>
      </c>
      <c r="J21" s="9">
        <f t="shared" si="0"/>
        <v>5.290354330708662</v>
      </c>
      <c r="K21" s="143">
        <f t="shared" si="6"/>
        <v>1</v>
      </c>
      <c r="L21" s="9">
        <f t="shared" si="1"/>
        <v>0.46511627906976744</v>
      </c>
      <c r="M21" s="8" t="str">
        <f t="array" ref="M21">IF(L21&gt;5,"Perlu Sensus",IF(AND(L21&gt;=0,I21&gt;0),"Tetap Deteksi","Belum Deteksi"))</f>
        <v>Tetap Deteksi</v>
      </c>
      <c r="N21" s="11">
        <v>46246</v>
      </c>
      <c r="O21" s="143">
        <v>215</v>
      </c>
      <c r="P21" s="9">
        <f t="array" ref="P21">IFERROR(O21/$G21*100,0)</f>
        <v>5.290354330708662</v>
      </c>
      <c r="Q21" s="143">
        <v>1</v>
      </c>
      <c r="R21" s="9">
        <f t="shared" si="2"/>
        <v>0.46511627906976744</v>
      </c>
      <c r="S21" s="8" t="str">
        <f t="array" ref="S21">IF(R21&gt;5,"Perlu Sensus",IF(AND(R21&gt;=0,O21&gt;0),"Tetap Deteksi","Belum Deteksi"))</f>
        <v>Tetap Deteksi</v>
      </c>
      <c r="T21" s="143">
        <v>2</v>
      </c>
      <c r="U21" s="9">
        <f t="shared" si="7"/>
        <v>0.93023255813953487</v>
      </c>
      <c r="V21" s="11">
        <v>46246</v>
      </c>
      <c r="W21" s="143">
        <v>201</v>
      </c>
      <c r="X21" s="143">
        <v>3</v>
      </c>
      <c r="Y21" s="9">
        <f t="shared" si="3"/>
        <v>1.4925373134328357</v>
      </c>
      <c r="Z21" s="8" t="str">
        <f t="array" ref="Z21">IF(Y21&gt;5,"Perlu Sensus",IF(AND(Y21&gt;=0,W21&gt;0),"Tetap Deteksi","Belum Deteksi"))</f>
        <v>Tetap Deteksi</v>
      </c>
      <c r="AA21" s="143">
        <v>2</v>
      </c>
      <c r="AB21" s="9">
        <f t="shared" si="8"/>
        <v>0.99502487562189057</v>
      </c>
      <c r="AC21" s="11"/>
      <c r="AD21" s="143"/>
      <c r="AE21" s="9">
        <f t="array" ref="AE21">IFERROR(AD21/$G21*100,0)</f>
        <v>0</v>
      </c>
      <c r="AF21" s="143"/>
      <c r="AG21" s="9">
        <f t="shared" si="4"/>
        <v>0</v>
      </c>
      <c r="AH21" s="8" t="str">
        <f t="array" ref="AH21">IF(AG21&gt;5,"Perlu Sensus",IF(AND(AG21&gt;=0,AD21&gt;0),"Tetap Deteksi","Belum Deteksi"))</f>
        <v>Belum Deteksi</v>
      </c>
      <c r="AI21" s="143"/>
      <c r="AJ21" s="9">
        <f t="shared" si="9"/>
        <v>0</v>
      </c>
      <c r="AK21" s="11"/>
      <c r="AL21" s="143"/>
      <c r="AM21" s="143"/>
      <c r="AN21" s="9">
        <f t="shared" si="5"/>
        <v>0</v>
      </c>
      <c r="AO21" s="8" t="str">
        <f t="array" ref="AO21">IF(AN21&gt;5,"Perlu Sensus",IF(AND(AN21&gt;=0,AL21&gt;0),"Tetap Deteksi","Belum Deteksi"))</f>
        <v>Belum Deteksi</v>
      </c>
      <c r="AP21" s="143"/>
      <c r="AQ21" s="9">
        <f t="shared" si="10"/>
        <v>0</v>
      </c>
    </row>
    <row r="22" spans="1:43" outlineLevel="1" x14ac:dyDescent="0.15">
      <c r="A22" s="8" t="s">
        <v>1914</v>
      </c>
      <c r="B22" s="8"/>
      <c r="C22" s="8" t="s">
        <v>14</v>
      </c>
      <c r="D22" s="186" t="s">
        <v>1922</v>
      </c>
      <c r="E22" s="9">
        <v>32.89</v>
      </c>
      <c r="F22" s="8" t="s">
        <v>1740</v>
      </c>
      <c r="G22" s="10">
        <v>4528</v>
      </c>
      <c r="H22" s="11">
        <f t="array" ref="H22">IF(OR(N22&gt;0,AC22&gt;0),MAX(N22,AC22),MAX(AK22,V22))</f>
        <v>46249</v>
      </c>
      <c r="I22" s="143">
        <f t="array" ref="I22">IF(SUM(O22,AD22)&gt;0,SUM(O22,AD22),SUM(AL22,W22))</f>
        <v>192</v>
      </c>
      <c r="J22" s="9">
        <f t="shared" si="0"/>
        <v>4.2402826855123674</v>
      </c>
      <c r="K22" s="143">
        <f t="shared" si="6"/>
        <v>3</v>
      </c>
      <c r="L22" s="9">
        <f t="shared" si="1"/>
        <v>1.5625</v>
      </c>
      <c r="M22" s="8" t="str">
        <f t="array" ref="M22">IF(L22&gt;5,"Perlu Sensus",IF(AND(L22&gt;=0,I22&gt;0),"Tetap Deteksi","Belum Deteksi"))</f>
        <v>Tetap Deteksi</v>
      </c>
      <c r="N22" s="11">
        <v>46249</v>
      </c>
      <c r="O22" s="143">
        <v>192</v>
      </c>
      <c r="P22" s="9">
        <f t="array" ref="P22">IFERROR(O22/$G22*100,0)</f>
        <v>4.2402826855123674</v>
      </c>
      <c r="Q22" s="143">
        <v>3</v>
      </c>
      <c r="R22" s="9">
        <f t="shared" si="2"/>
        <v>1.5625</v>
      </c>
      <c r="S22" s="8" t="str">
        <f t="array" ref="S22">IF(R22&gt;5,"Perlu Sensus",IF(AND(R22&gt;=0,O22&gt;0),"Tetap Deteksi","Belum Deteksi"))</f>
        <v>Tetap Deteksi</v>
      </c>
      <c r="T22" s="143">
        <v>1</v>
      </c>
      <c r="U22" s="9">
        <f t="shared" si="7"/>
        <v>0.52083333333333326</v>
      </c>
      <c r="V22" s="11">
        <v>46249</v>
      </c>
      <c r="W22" s="143">
        <v>277</v>
      </c>
      <c r="X22" s="143">
        <v>2</v>
      </c>
      <c r="Y22" s="9">
        <f t="shared" si="3"/>
        <v>0.72202166064981954</v>
      </c>
      <c r="Z22" s="8" t="str">
        <f t="array" ref="Z22">IF(Y22&gt;5,"Perlu Sensus",IF(AND(Y22&gt;=0,W22&gt;0),"Tetap Deteksi","Belum Deteksi"))</f>
        <v>Tetap Deteksi</v>
      </c>
      <c r="AA22" s="143">
        <v>3</v>
      </c>
      <c r="AB22" s="9">
        <f t="shared" si="8"/>
        <v>1.0830324909747291</v>
      </c>
      <c r="AC22" s="11"/>
      <c r="AD22" s="143"/>
      <c r="AE22" s="9">
        <f t="array" ref="AE22">IFERROR(AD22/$G22*100,0)</f>
        <v>0</v>
      </c>
      <c r="AF22" s="143"/>
      <c r="AG22" s="9">
        <f t="shared" si="4"/>
        <v>0</v>
      </c>
      <c r="AH22" s="8" t="str">
        <f t="array" ref="AH22">IF(AG22&gt;5,"Perlu Sensus",IF(AND(AG22&gt;=0,AD22&gt;0),"Tetap Deteksi","Belum Deteksi"))</f>
        <v>Belum Deteksi</v>
      </c>
      <c r="AI22" s="143"/>
      <c r="AJ22" s="9">
        <f t="shared" si="9"/>
        <v>0</v>
      </c>
      <c r="AK22" s="11"/>
      <c r="AL22" s="143"/>
      <c r="AM22" s="143"/>
      <c r="AN22" s="9">
        <f t="shared" si="5"/>
        <v>0</v>
      </c>
      <c r="AO22" s="8" t="str">
        <f t="array" ref="AO22">IF(AN22&gt;5,"Perlu Sensus",IF(AND(AN22&gt;=0,AL22&gt;0),"Tetap Deteksi","Belum Deteksi"))</f>
        <v>Belum Deteksi</v>
      </c>
      <c r="AP22" s="143"/>
      <c r="AQ22" s="9">
        <f t="shared" si="10"/>
        <v>0</v>
      </c>
    </row>
    <row r="23" spans="1:43" outlineLevel="1" x14ac:dyDescent="0.15">
      <c r="A23" s="8" t="s">
        <v>1914</v>
      </c>
      <c r="B23" s="8"/>
      <c r="C23" s="8" t="s">
        <v>14</v>
      </c>
      <c r="D23" s="186" t="s">
        <v>1923</v>
      </c>
      <c r="E23" s="9">
        <v>42.180000000000007</v>
      </c>
      <c r="F23" s="8" t="s">
        <v>1740</v>
      </c>
      <c r="G23" s="10">
        <v>3995</v>
      </c>
      <c r="H23" s="11">
        <f t="array" ref="H23">IF(OR(N23&gt;0,AC23&gt;0),MAX(N23,AC23),MAX(AK23,V23))</f>
        <v>46237</v>
      </c>
      <c r="I23" s="143">
        <f t="array" ref="I23">IF(SUM(O23,AD23)&gt;0,SUM(O23,AD23),SUM(AL23,W23))</f>
        <v>219</v>
      </c>
      <c r="J23" s="9">
        <f t="shared" si="0"/>
        <v>5.4818523153942431</v>
      </c>
      <c r="K23" s="143">
        <f t="shared" si="6"/>
        <v>1</v>
      </c>
      <c r="L23" s="9">
        <f t="shared" si="1"/>
        <v>0.45662100456621002</v>
      </c>
      <c r="M23" s="8" t="str">
        <f t="array" ref="M23">IF(L23&gt;5,"Perlu Sensus",IF(AND(L23&gt;=0,I23&gt;0),"Tetap Deteksi","Belum Deteksi"))</f>
        <v>Tetap Deteksi</v>
      </c>
      <c r="N23" s="11">
        <v>46237</v>
      </c>
      <c r="O23" s="143">
        <v>219</v>
      </c>
      <c r="P23" s="9">
        <f t="array" ref="P23">IFERROR(O23/$G23*100,0)</f>
        <v>5.4818523153942431</v>
      </c>
      <c r="Q23" s="143">
        <v>1</v>
      </c>
      <c r="R23" s="9">
        <f t="shared" si="2"/>
        <v>0.45662100456621002</v>
      </c>
      <c r="S23" s="8" t="str">
        <f t="array" ref="S23">IF(R23&gt;5,"Perlu Sensus",IF(AND(R23&gt;=0,O23&gt;0),"Tetap Deteksi","Belum Deteksi"))</f>
        <v>Tetap Deteksi</v>
      </c>
      <c r="T23" s="143">
        <v>1.0000000000000001E-9</v>
      </c>
      <c r="U23" s="9">
        <f t="shared" si="7"/>
        <v>4.5662100456621005E-10</v>
      </c>
      <c r="V23" s="11">
        <v>46237</v>
      </c>
      <c r="W23" s="143">
        <v>216</v>
      </c>
      <c r="X23" s="143">
        <v>4</v>
      </c>
      <c r="Y23" s="9">
        <f t="shared" si="3"/>
        <v>1.8518518518518516</v>
      </c>
      <c r="Z23" s="8" t="str">
        <f t="array" ref="Z23">IF(Y23&gt;5,"Perlu Sensus",IF(AND(Y23&gt;=0,W23&gt;0),"Tetap Deteksi","Belum Deteksi"))</f>
        <v>Tetap Deteksi</v>
      </c>
      <c r="AA23" s="143">
        <v>2</v>
      </c>
      <c r="AB23" s="9">
        <f t="shared" si="8"/>
        <v>0.92592592592592582</v>
      </c>
      <c r="AC23" s="11"/>
      <c r="AD23" s="143"/>
      <c r="AE23" s="9">
        <f t="array" ref="AE23">IFERROR(AD23/$G23*100,0)</f>
        <v>0</v>
      </c>
      <c r="AF23" s="143"/>
      <c r="AG23" s="9">
        <f t="shared" si="4"/>
        <v>0</v>
      </c>
      <c r="AH23" s="8" t="str">
        <f t="array" ref="AH23">IF(AG23&gt;5,"Perlu Sensus",IF(AND(AG23&gt;=0,AD23&gt;0),"Tetap Deteksi","Belum Deteksi"))</f>
        <v>Belum Deteksi</v>
      </c>
      <c r="AI23" s="143"/>
      <c r="AJ23" s="9">
        <f t="shared" si="9"/>
        <v>0</v>
      </c>
      <c r="AK23" s="11"/>
      <c r="AL23" s="143"/>
      <c r="AM23" s="143"/>
      <c r="AN23" s="9">
        <f t="shared" si="5"/>
        <v>0</v>
      </c>
      <c r="AO23" s="8" t="str">
        <f t="array" ref="AO23">IF(AN23&gt;5,"Perlu Sensus",IF(AND(AN23&gt;=0,AL23&gt;0),"Tetap Deteksi","Belum Deteksi"))</f>
        <v>Belum Deteksi</v>
      </c>
      <c r="AP23" s="143"/>
      <c r="AQ23" s="9">
        <f t="shared" si="10"/>
        <v>0</v>
      </c>
    </row>
    <row r="24" spans="1:43" outlineLevel="1" x14ac:dyDescent="0.15">
      <c r="A24" s="8" t="s">
        <v>1914</v>
      </c>
      <c r="B24" s="8"/>
      <c r="C24" s="8" t="s">
        <v>14</v>
      </c>
      <c r="D24" s="186" t="s">
        <v>1828</v>
      </c>
      <c r="E24" s="9">
        <v>40.22</v>
      </c>
      <c r="F24" s="8" t="s">
        <v>1740</v>
      </c>
      <c r="G24" s="10">
        <v>4043</v>
      </c>
      <c r="H24" s="11">
        <f t="array" ref="H24">IF(OR(N24&gt;0,AC24&gt;0),MAX(N24,AC24),MAX(AK24,V24))</f>
        <v>46246</v>
      </c>
      <c r="I24" s="143">
        <f t="array" ref="I24">IF(SUM(O24,AD24)&gt;0,SUM(O24,AD24),SUM(AL24,W24))</f>
        <v>182</v>
      </c>
      <c r="J24" s="9">
        <f t="shared" si="0"/>
        <v>4.501607717041801</v>
      </c>
      <c r="K24" s="143">
        <f t="shared" si="6"/>
        <v>1E-8</v>
      </c>
      <c r="L24" s="9">
        <f t="shared" si="1"/>
        <v>5.4945054945054942E-9</v>
      </c>
      <c r="M24" s="8" t="str">
        <f t="array" ref="M24">IF(L24&gt;5,"Perlu Sensus",IF(AND(L24&gt;=0,I24&gt;0),"Tetap Deteksi","Belum Deteksi"))</f>
        <v>Tetap Deteksi</v>
      </c>
      <c r="N24" s="11">
        <v>46246</v>
      </c>
      <c r="O24" s="143">
        <v>182</v>
      </c>
      <c r="P24" s="9">
        <f t="array" ref="P24">IFERROR(O24/$G24*100,0)</f>
        <v>4.501607717041801</v>
      </c>
      <c r="Q24" s="143">
        <v>1E-8</v>
      </c>
      <c r="R24" s="9">
        <f t="shared" si="2"/>
        <v>5.4945054945054942E-9</v>
      </c>
      <c r="S24" s="8" t="str">
        <f t="array" ref="S24">IF(R24&gt;5,"Perlu Sensus",IF(AND(R24&gt;=0,O24&gt;0),"Tetap Deteksi","Belum Deteksi"))</f>
        <v>Tetap Deteksi</v>
      </c>
      <c r="T24" s="143">
        <v>1</v>
      </c>
      <c r="U24" s="9">
        <f t="shared" si="7"/>
        <v>0.5494505494505495</v>
      </c>
      <c r="V24" s="11">
        <v>46238</v>
      </c>
      <c r="W24" s="143">
        <v>198</v>
      </c>
      <c r="X24" s="143">
        <v>2</v>
      </c>
      <c r="Y24" s="9">
        <f t="shared" si="3"/>
        <v>1.0101010101010102</v>
      </c>
      <c r="Z24" s="8" t="str">
        <f t="array" ref="Z24">IF(Y24&gt;5,"Perlu Sensus",IF(AND(Y24&gt;=0,W24&gt;0),"Tetap Deteksi","Belum Deteksi"))</f>
        <v>Tetap Deteksi</v>
      </c>
      <c r="AA24" s="143">
        <v>1</v>
      </c>
      <c r="AB24" s="9">
        <f t="shared" si="8"/>
        <v>0.50505050505050508</v>
      </c>
      <c r="AC24" s="11"/>
      <c r="AD24" s="143"/>
      <c r="AE24" s="9">
        <f t="array" ref="AE24">IFERROR(AD24/$G24*100,0)</f>
        <v>0</v>
      </c>
      <c r="AF24" s="143"/>
      <c r="AG24" s="9">
        <f t="shared" si="4"/>
        <v>0</v>
      </c>
      <c r="AH24" s="8" t="str">
        <f t="array" ref="AH24">IF(AG24&gt;5,"Perlu Sensus",IF(AND(AG24&gt;=0,AD24&gt;0),"Tetap Deteksi","Belum Deteksi"))</f>
        <v>Belum Deteksi</v>
      </c>
      <c r="AI24" s="143"/>
      <c r="AJ24" s="9">
        <f t="shared" si="9"/>
        <v>0</v>
      </c>
      <c r="AK24" s="11"/>
      <c r="AL24" s="143"/>
      <c r="AM24" s="143"/>
      <c r="AN24" s="9">
        <f t="shared" si="5"/>
        <v>0</v>
      </c>
      <c r="AO24" s="8" t="str">
        <f t="array" ref="AO24">IF(AN24&gt;5,"Perlu Sensus",IF(AND(AN24&gt;=0,AL24&gt;0),"Tetap Deteksi","Belum Deteksi"))</f>
        <v>Belum Deteksi</v>
      </c>
      <c r="AP24" s="143"/>
      <c r="AQ24" s="9">
        <f t="shared" si="10"/>
        <v>0</v>
      </c>
    </row>
    <row r="25" spans="1:43" outlineLevel="1" x14ac:dyDescent="0.15">
      <c r="A25" s="8" t="s">
        <v>1914</v>
      </c>
      <c r="B25" s="8"/>
      <c r="C25" s="8" t="s">
        <v>47</v>
      </c>
      <c r="D25" s="181" t="s">
        <v>1810</v>
      </c>
      <c r="E25" s="9">
        <v>26.459999999999997</v>
      </c>
      <c r="F25" s="8" t="s">
        <v>1740</v>
      </c>
      <c r="G25" s="10">
        <v>3447.0000000000005</v>
      </c>
      <c r="H25" s="11">
        <f t="array" ref="H25">IF(OR(N25&gt;0,AC25&gt;0),MAX(N25,AC25),MAX(AK25,V25))</f>
        <v>46246</v>
      </c>
      <c r="I25" s="143">
        <f t="array" ref="I25">IF(SUM(O25,AD25)&gt;0,SUM(O25,AD25),SUM(AL25,W25))</f>
        <v>177</v>
      </c>
      <c r="J25" s="9">
        <f t="shared" si="0"/>
        <v>5.1348999129677972</v>
      </c>
      <c r="K25" s="143">
        <f t="shared" si="6"/>
        <v>2</v>
      </c>
      <c r="L25" s="9">
        <f t="shared" si="1"/>
        <v>1.1299435028248588</v>
      </c>
      <c r="M25" s="8" t="str">
        <f t="array" ref="M25">IF(L25&gt;5,"Perlu Sensus",IF(AND(L25&gt;=0,I25&gt;0),"Tetap Deteksi","Belum Deteksi"))</f>
        <v>Tetap Deteksi</v>
      </c>
      <c r="N25" s="11">
        <v>46246</v>
      </c>
      <c r="O25" s="143">
        <v>177</v>
      </c>
      <c r="P25" s="9">
        <f t="array" ref="P25">IFERROR(O25/$G25*100,0)</f>
        <v>5.1348999129677972</v>
      </c>
      <c r="Q25" s="143">
        <v>2</v>
      </c>
      <c r="R25" s="9">
        <f t="shared" si="2"/>
        <v>1.1299435028248588</v>
      </c>
      <c r="S25" s="8" t="str">
        <f t="array" ref="S25">IF(R25&gt;5,"Perlu Sensus",IF(AND(R25&gt;=0,O25&gt;0),"Tetap Deteksi","Belum Deteksi"))</f>
        <v>Tetap Deteksi</v>
      </c>
      <c r="T25" s="143">
        <v>1E-8</v>
      </c>
      <c r="U25" s="9">
        <f t="shared" si="7"/>
        <v>5.6497175141242945E-9</v>
      </c>
      <c r="V25" s="11">
        <v>46246</v>
      </c>
      <c r="W25" s="143">
        <v>281</v>
      </c>
      <c r="X25" s="143">
        <v>5</v>
      </c>
      <c r="Y25" s="9">
        <f t="shared" si="3"/>
        <v>1.7793594306049825</v>
      </c>
      <c r="Z25" s="8" t="str">
        <f t="array" ref="Z25">IF(Y25&gt;5,"Perlu Sensus",IF(AND(Y25&gt;=0,W25&gt;0),"Tetap Deteksi","Belum Deteksi"))</f>
        <v>Tetap Deteksi</v>
      </c>
      <c r="AA25" s="143">
        <v>2</v>
      </c>
      <c r="AB25" s="9">
        <f t="shared" si="8"/>
        <v>0.71174377224199281</v>
      </c>
      <c r="AC25" s="11"/>
      <c r="AD25" s="143"/>
      <c r="AE25" s="9">
        <f t="array" ref="AE25">IFERROR(AD25/$G25*100,0)</f>
        <v>0</v>
      </c>
      <c r="AF25" s="143"/>
      <c r="AG25" s="9">
        <f t="shared" si="4"/>
        <v>0</v>
      </c>
      <c r="AH25" s="8" t="str">
        <f t="array" ref="AH25">IF(AG25&gt;5,"Perlu Sensus",IF(AND(AG25&gt;=0,AD25&gt;0),"Tetap Deteksi","Belum Deteksi"))</f>
        <v>Belum Deteksi</v>
      </c>
      <c r="AI25" s="143"/>
      <c r="AJ25" s="9">
        <f t="shared" si="9"/>
        <v>0</v>
      </c>
      <c r="AK25" s="11"/>
      <c r="AL25" s="143"/>
      <c r="AM25" s="143"/>
      <c r="AN25" s="9">
        <f t="shared" si="5"/>
        <v>0</v>
      </c>
      <c r="AO25" s="8" t="str">
        <f t="array" ref="AO25">IF(AN25&gt;5,"Perlu Sensus",IF(AND(AN25&gt;=0,AL25&gt;0),"Tetap Deteksi","Belum Deteksi"))</f>
        <v>Belum Deteksi</v>
      </c>
      <c r="AP25" s="143"/>
      <c r="AQ25" s="9">
        <f t="shared" si="10"/>
        <v>0</v>
      </c>
    </row>
    <row r="26" spans="1:43" outlineLevel="1" x14ac:dyDescent="0.15">
      <c r="A26" s="8" t="s">
        <v>1914</v>
      </c>
      <c r="B26" s="8"/>
      <c r="C26" s="8" t="s">
        <v>47</v>
      </c>
      <c r="D26" s="181" t="s">
        <v>1771</v>
      </c>
      <c r="E26" s="9">
        <v>31.610000000000003</v>
      </c>
      <c r="F26" s="8" t="s">
        <v>1740</v>
      </c>
      <c r="G26" s="10">
        <v>3661</v>
      </c>
      <c r="H26" s="11">
        <f t="array" ref="H26">IF(OR(N26&gt;0,AC26&gt;0),MAX(N26,AC26),MAX(AK26,V26))</f>
        <v>46249</v>
      </c>
      <c r="I26" s="143">
        <f t="array" ref="I26">IF(SUM(O26,AD26)&gt;0,SUM(O26,AD26),SUM(AL26,W26))</f>
        <v>130</v>
      </c>
      <c r="J26" s="9">
        <f t="shared" si="0"/>
        <v>3.5509423654739143</v>
      </c>
      <c r="K26" s="143">
        <f t="shared" si="6"/>
        <v>1</v>
      </c>
      <c r="L26" s="9">
        <f t="shared" si="1"/>
        <v>0.76923076923076927</v>
      </c>
      <c r="M26" s="8" t="str">
        <f t="array" ref="M26">IF(L26&gt;5,"Perlu Sensus",IF(AND(L26&gt;=0,I26&gt;0),"Tetap Deteksi","Belum Deteksi"))</f>
        <v>Tetap Deteksi</v>
      </c>
      <c r="N26" s="11">
        <v>46249</v>
      </c>
      <c r="O26" s="143">
        <v>130</v>
      </c>
      <c r="P26" s="9">
        <f t="array" ref="P26">IFERROR(O26/$G26*100,0)</f>
        <v>3.5509423654739143</v>
      </c>
      <c r="Q26" s="143">
        <v>1</v>
      </c>
      <c r="R26" s="9">
        <f t="shared" si="2"/>
        <v>0.76923076923076927</v>
      </c>
      <c r="S26" s="8" t="str">
        <f t="array" ref="S26">IF(R26&gt;5,"Perlu Sensus",IF(AND(R26&gt;=0,O26&gt;0),"Tetap Deteksi","Belum Deteksi"))</f>
        <v>Tetap Deteksi</v>
      </c>
      <c r="T26" s="143">
        <v>1</v>
      </c>
      <c r="U26" s="9">
        <f t="shared" si="7"/>
        <v>0.76923076923076927</v>
      </c>
      <c r="V26" s="11">
        <v>46249</v>
      </c>
      <c r="W26" s="143">
        <v>299</v>
      </c>
      <c r="X26" s="143">
        <v>5</v>
      </c>
      <c r="Y26" s="9">
        <f t="shared" si="3"/>
        <v>1.6722408026755853</v>
      </c>
      <c r="Z26" s="8" t="str">
        <f t="array" ref="Z26">IF(Y26&gt;5,"Perlu Sensus",IF(AND(Y26&gt;=0,W26&gt;0),"Tetap Deteksi","Belum Deteksi"))</f>
        <v>Tetap Deteksi</v>
      </c>
      <c r="AA26" s="143">
        <v>1</v>
      </c>
      <c r="AB26" s="9">
        <f t="shared" si="8"/>
        <v>0.33444816053511706</v>
      </c>
      <c r="AC26" s="11"/>
      <c r="AD26" s="143"/>
      <c r="AE26" s="9">
        <f t="array" ref="AE26">IFERROR(AD26/$G26*100,0)</f>
        <v>0</v>
      </c>
      <c r="AF26" s="143"/>
      <c r="AG26" s="9">
        <f t="shared" si="4"/>
        <v>0</v>
      </c>
      <c r="AH26" s="8" t="str">
        <f t="array" ref="AH26">IF(AG26&gt;5,"Perlu Sensus",IF(AND(AG26&gt;=0,AD26&gt;0),"Tetap Deteksi","Belum Deteksi"))</f>
        <v>Belum Deteksi</v>
      </c>
      <c r="AI26" s="143"/>
      <c r="AJ26" s="9">
        <f t="shared" si="9"/>
        <v>0</v>
      </c>
      <c r="AK26" s="11"/>
      <c r="AL26" s="143"/>
      <c r="AM26" s="143"/>
      <c r="AN26" s="9">
        <f t="shared" si="5"/>
        <v>0</v>
      </c>
      <c r="AO26" s="8" t="str">
        <f t="array" ref="AO26">IF(AN26&gt;5,"Perlu Sensus",IF(AND(AN26&gt;=0,AL26&gt;0),"Tetap Deteksi","Belum Deteksi"))</f>
        <v>Belum Deteksi</v>
      </c>
      <c r="AP26" s="143"/>
      <c r="AQ26" s="9">
        <f t="shared" si="10"/>
        <v>0</v>
      </c>
    </row>
    <row r="27" spans="1:43" outlineLevel="1" x14ac:dyDescent="0.15">
      <c r="A27" s="8" t="s">
        <v>1914</v>
      </c>
      <c r="B27" s="8"/>
      <c r="C27" s="8" t="s">
        <v>47</v>
      </c>
      <c r="D27" s="186" t="s">
        <v>1806</v>
      </c>
      <c r="E27" s="9">
        <v>29.28</v>
      </c>
      <c r="F27" s="8" t="s">
        <v>1740</v>
      </c>
      <c r="G27" s="10">
        <v>4039.0000000000005</v>
      </c>
      <c r="H27" s="11">
        <f t="array" ref="H27">IF(OR(N27&gt;0,AC27&gt;0),MAX(N27,AC27),MAX(AK27,V27))</f>
        <v>46237</v>
      </c>
      <c r="I27" s="143">
        <f t="array" ref="I27">IF(SUM(O27,AD27)&gt;0,SUM(O27,AD27),SUM(AL27,W27))</f>
        <v>201</v>
      </c>
      <c r="J27" s="9">
        <f t="shared" si="0"/>
        <v>4.9764793265659808</v>
      </c>
      <c r="K27" s="143">
        <f t="shared" si="6"/>
        <v>1.0000000000000001E-9</v>
      </c>
      <c r="L27" s="9">
        <f t="shared" si="1"/>
        <v>4.9751243781094528E-10</v>
      </c>
      <c r="M27" s="8" t="str">
        <f t="array" ref="M27">IF(L27&gt;5,"Perlu Sensus",IF(AND(L27&gt;=0,I27&gt;0),"Tetap Deteksi","Belum Deteksi"))</f>
        <v>Tetap Deteksi</v>
      </c>
      <c r="N27" s="11">
        <v>46237</v>
      </c>
      <c r="O27" s="143">
        <v>201</v>
      </c>
      <c r="P27" s="9">
        <f t="array" ref="P27">IFERROR(O27/$G27*100,0)</f>
        <v>4.9764793265659808</v>
      </c>
      <c r="Q27" s="143">
        <v>1.0000000000000001E-9</v>
      </c>
      <c r="R27" s="9">
        <f t="shared" si="2"/>
        <v>4.9751243781094528E-10</v>
      </c>
      <c r="S27" s="8" t="str">
        <f t="array" ref="S27">IF(R27&gt;5,"Perlu Sensus",IF(AND(R27&gt;=0,O27&gt;0),"Tetap Deteksi","Belum Deteksi"))</f>
        <v>Tetap Deteksi</v>
      </c>
      <c r="T27" s="143">
        <v>1.0000000000000001E-9</v>
      </c>
      <c r="U27" s="9">
        <f t="shared" si="7"/>
        <v>4.9751243781094528E-10</v>
      </c>
      <c r="V27" s="11">
        <v>46237</v>
      </c>
      <c r="W27" s="143">
        <v>230</v>
      </c>
      <c r="X27" s="143">
        <v>2</v>
      </c>
      <c r="Y27" s="9">
        <f t="shared" si="3"/>
        <v>0.86956521739130432</v>
      </c>
      <c r="Z27" s="8" t="str">
        <f t="array" ref="Z27">IF(Y27&gt;5,"Perlu Sensus",IF(AND(Y27&gt;=0,W27&gt;0),"Tetap Deteksi","Belum Deteksi"))</f>
        <v>Tetap Deteksi</v>
      </c>
      <c r="AA27" s="143">
        <v>1</v>
      </c>
      <c r="AB27" s="9">
        <f t="shared" si="8"/>
        <v>0.43478260869565216</v>
      </c>
      <c r="AC27" s="11"/>
      <c r="AD27" s="143"/>
      <c r="AE27" s="9">
        <f t="array" ref="AE27">IFERROR(AD27/$G27*100,0)</f>
        <v>0</v>
      </c>
      <c r="AF27" s="143"/>
      <c r="AG27" s="9">
        <f t="shared" si="4"/>
        <v>0</v>
      </c>
      <c r="AH27" s="8" t="str">
        <f t="array" ref="AH27">IF(AG27&gt;5,"Perlu Sensus",IF(AND(AG27&gt;=0,AD27&gt;0),"Tetap Deteksi","Belum Deteksi"))</f>
        <v>Belum Deteksi</v>
      </c>
      <c r="AI27" s="143"/>
      <c r="AJ27" s="9">
        <f t="shared" si="9"/>
        <v>0</v>
      </c>
      <c r="AK27" s="11"/>
      <c r="AL27" s="143"/>
      <c r="AM27" s="143"/>
      <c r="AN27" s="9">
        <f t="shared" si="5"/>
        <v>0</v>
      </c>
      <c r="AO27" s="8" t="str">
        <f t="array" ref="AO27">IF(AN27&gt;5,"Perlu Sensus",IF(AND(AN27&gt;=0,AL27&gt;0),"Tetap Deteksi","Belum Deteksi"))</f>
        <v>Belum Deteksi</v>
      </c>
      <c r="AP27" s="143"/>
      <c r="AQ27" s="9">
        <f t="shared" si="10"/>
        <v>0</v>
      </c>
    </row>
    <row r="28" spans="1:43" outlineLevel="1" x14ac:dyDescent="0.15">
      <c r="A28" s="8" t="s">
        <v>1914</v>
      </c>
      <c r="B28" s="8"/>
      <c r="C28" s="8" t="s">
        <v>47</v>
      </c>
      <c r="D28" s="186" t="s">
        <v>1037</v>
      </c>
      <c r="E28" s="9">
        <v>25.589999999999996</v>
      </c>
      <c r="F28" s="8" t="s">
        <v>1740</v>
      </c>
      <c r="G28" s="10">
        <v>3457.9999999999995</v>
      </c>
      <c r="H28" s="11">
        <f t="array" ref="H28">IF(OR(N28&gt;0,AC28&gt;0),MAX(N28,AC28),MAX(AK28,V28))</f>
        <v>46238</v>
      </c>
      <c r="I28" s="143">
        <f t="array" ref="I28">IF(SUM(O28,AD28)&gt;0,SUM(O28,AD28),SUM(AL28,W28))</f>
        <v>188</v>
      </c>
      <c r="J28" s="9">
        <f t="shared" si="0"/>
        <v>5.436668594563332</v>
      </c>
      <c r="K28" s="143">
        <f t="shared" si="6"/>
        <v>1E-8</v>
      </c>
      <c r="L28" s="9">
        <f t="shared" si="1"/>
        <v>5.3191489361702133E-9</v>
      </c>
      <c r="M28" s="8" t="str">
        <f t="array" ref="M28">IF(L28&gt;5,"Perlu Sensus",IF(AND(L28&gt;=0,I28&gt;0),"Tetap Deteksi","Belum Deteksi"))</f>
        <v>Tetap Deteksi</v>
      </c>
      <c r="N28" s="11">
        <v>46238</v>
      </c>
      <c r="O28" s="143">
        <v>188</v>
      </c>
      <c r="P28" s="9">
        <f t="array" ref="P28">IFERROR(O28/$G28*100,0)</f>
        <v>5.436668594563332</v>
      </c>
      <c r="Q28" s="143">
        <v>1E-8</v>
      </c>
      <c r="R28" s="9">
        <f t="shared" si="2"/>
        <v>5.3191489361702133E-9</v>
      </c>
      <c r="S28" s="8" t="str">
        <f t="array" ref="S28">IF(R28&gt;5,"Perlu Sensus",IF(AND(R28&gt;=0,O28&gt;0),"Tetap Deteksi","Belum Deteksi"))</f>
        <v>Tetap Deteksi</v>
      </c>
      <c r="T28" s="143">
        <v>2</v>
      </c>
      <c r="U28" s="9">
        <f t="shared" si="7"/>
        <v>1.0638297872340425</v>
      </c>
      <c r="V28" s="11">
        <v>46238</v>
      </c>
      <c r="W28" s="143">
        <v>341</v>
      </c>
      <c r="X28" s="143">
        <v>2</v>
      </c>
      <c r="Y28" s="9">
        <f t="shared" si="3"/>
        <v>0.5865102639296188</v>
      </c>
      <c r="Z28" s="8" t="str">
        <f t="array" ref="Z28">IF(Y28&gt;5,"Perlu Sensus",IF(AND(Y28&gt;=0,W28&gt;0),"Tetap Deteksi","Belum Deteksi"))</f>
        <v>Tetap Deteksi</v>
      </c>
      <c r="AA28" s="143">
        <v>2</v>
      </c>
      <c r="AB28" s="9">
        <f t="shared" si="8"/>
        <v>0.5865102639296188</v>
      </c>
      <c r="AC28" s="11"/>
      <c r="AD28" s="143"/>
      <c r="AE28" s="9">
        <f t="array" ref="AE28">IFERROR(AD28/$G28*100,0)</f>
        <v>0</v>
      </c>
      <c r="AF28" s="143"/>
      <c r="AG28" s="9">
        <f t="shared" si="4"/>
        <v>0</v>
      </c>
      <c r="AH28" s="8" t="str">
        <f t="array" ref="AH28">IF(AG28&gt;5,"Perlu Sensus",IF(AND(AG28&gt;=0,AD28&gt;0),"Tetap Deteksi","Belum Deteksi"))</f>
        <v>Belum Deteksi</v>
      </c>
      <c r="AI28" s="143"/>
      <c r="AJ28" s="9">
        <f t="shared" si="9"/>
        <v>0</v>
      </c>
      <c r="AK28" s="11"/>
      <c r="AL28" s="143"/>
      <c r="AM28" s="143"/>
      <c r="AN28" s="9">
        <f t="shared" si="5"/>
        <v>0</v>
      </c>
      <c r="AO28" s="8" t="str">
        <f t="array" ref="AO28">IF(AN28&gt;5,"Perlu Sensus",IF(AND(AN28&gt;=0,AL28&gt;0),"Tetap Deteksi","Belum Deteksi"))</f>
        <v>Belum Deteksi</v>
      </c>
      <c r="AP28" s="143"/>
      <c r="AQ28" s="9">
        <f t="shared" si="10"/>
        <v>0</v>
      </c>
    </row>
    <row r="29" spans="1:43" outlineLevel="1" x14ac:dyDescent="0.15">
      <c r="A29" s="8" t="s">
        <v>1914</v>
      </c>
      <c r="B29" s="8"/>
      <c r="C29" s="8" t="s">
        <v>47</v>
      </c>
      <c r="D29" s="186" t="s">
        <v>1773</v>
      </c>
      <c r="E29" s="9">
        <v>39.419999999999995</v>
      </c>
      <c r="F29" s="8" t="s">
        <v>1740</v>
      </c>
      <c r="G29" s="10">
        <v>4893</v>
      </c>
      <c r="H29" s="11">
        <f t="array" ref="H29">IF(OR(N29&gt;0,AC29&gt;0),MAX(N29,AC29),MAX(AK29,V29))</f>
        <v>46239</v>
      </c>
      <c r="I29" s="143">
        <f t="array" ref="I29">IF(SUM(O29,AD29)&gt;0,SUM(O29,AD29),SUM(AL29,W29))</f>
        <v>174</v>
      </c>
      <c r="J29" s="9">
        <f t="shared" si="0"/>
        <v>3.5561005518087065</v>
      </c>
      <c r="K29" s="143">
        <f t="shared" si="6"/>
        <v>9.9999999999999995E-8</v>
      </c>
      <c r="L29" s="9">
        <f t="shared" si="1"/>
        <v>5.7471264367816094E-8</v>
      </c>
      <c r="M29" s="8" t="str">
        <f t="array" ref="M29">IF(L29&gt;5,"Perlu Sensus",IF(AND(L29&gt;=0,I29&gt;0),"Tetap Deteksi","Belum Deteksi"))</f>
        <v>Tetap Deteksi</v>
      </c>
      <c r="N29" s="11">
        <v>46239</v>
      </c>
      <c r="O29" s="143">
        <v>174</v>
      </c>
      <c r="P29" s="9">
        <f t="array" ref="P29">IFERROR(O29/$G29*100,0)</f>
        <v>3.5561005518087065</v>
      </c>
      <c r="Q29" s="143">
        <v>9.9999999999999995E-8</v>
      </c>
      <c r="R29" s="9">
        <f t="shared" si="2"/>
        <v>5.7471264367816094E-8</v>
      </c>
      <c r="S29" s="8" t="str">
        <f t="array" ref="S29">IF(R29&gt;5,"Perlu Sensus",IF(AND(R29&gt;=0,O29&gt;0),"Tetap Deteksi","Belum Deteksi"))</f>
        <v>Tetap Deteksi</v>
      </c>
      <c r="T29" s="143">
        <v>9.9999999999999995E-8</v>
      </c>
      <c r="U29" s="9">
        <f t="shared" si="7"/>
        <v>5.7471264367816094E-8</v>
      </c>
      <c r="V29" s="11">
        <v>46239</v>
      </c>
      <c r="W29" s="143">
        <v>243</v>
      </c>
      <c r="X29" s="143">
        <v>1.0000000000000001E-9</v>
      </c>
      <c r="Y29" s="9">
        <f t="shared" si="3"/>
        <v>4.1152263374485598E-10</v>
      </c>
      <c r="Z29" s="8" t="str">
        <f t="array" ref="Z29">IF(Y29&gt;5,"Perlu Sensus",IF(AND(Y29&gt;=0,W29&gt;0),"Tetap Deteksi","Belum Deteksi"))</f>
        <v>Tetap Deteksi</v>
      </c>
      <c r="AA29" s="143">
        <v>3</v>
      </c>
      <c r="AB29" s="9">
        <f t="shared" si="8"/>
        <v>1.2345679012345678</v>
      </c>
      <c r="AC29" s="11"/>
      <c r="AD29" s="143"/>
      <c r="AE29" s="9">
        <f t="array" ref="AE29">IFERROR(AD29/$G29*100,0)</f>
        <v>0</v>
      </c>
      <c r="AF29" s="143"/>
      <c r="AG29" s="9">
        <f t="shared" si="4"/>
        <v>0</v>
      </c>
      <c r="AH29" s="8" t="str">
        <f t="array" ref="AH29">IF(AG29&gt;5,"Perlu Sensus",IF(AND(AG29&gt;=0,AD29&gt;0),"Tetap Deteksi","Belum Deteksi"))</f>
        <v>Belum Deteksi</v>
      </c>
      <c r="AI29" s="143"/>
      <c r="AJ29" s="9">
        <f t="shared" si="9"/>
        <v>0</v>
      </c>
      <c r="AK29" s="11"/>
      <c r="AL29" s="143"/>
      <c r="AM29" s="143"/>
      <c r="AN29" s="9">
        <f t="shared" si="5"/>
        <v>0</v>
      </c>
      <c r="AO29" s="8" t="str">
        <f t="array" ref="AO29">IF(AN29&gt;5,"Perlu Sensus",IF(AND(AN29&gt;=0,AL29&gt;0),"Tetap Deteksi","Belum Deteksi"))</f>
        <v>Belum Deteksi</v>
      </c>
      <c r="AP29" s="143"/>
      <c r="AQ29" s="9">
        <f t="shared" si="10"/>
        <v>0</v>
      </c>
    </row>
    <row r="30" spans="1:43" outlineLevel="1" x14ac:dyDescent="0.15">
      <c r="A30" s="8" t="s">
        <v>1914</v>
      </c>
      <c r="B30" s="8"/>
      <c r="C30" s="8" t="s">
        <v>47</v>
      </c>
      <c r="D30" s="186" t="s">
        <v>1774</v>
      </c>
      <c r="E30" s="9">
        <v>28.509999999999998</v>
      </c>
      <c r="F30" s="8" t="s">
        <v>1740</v>
      </c>
      <c r="G30" s="10">
        <v>3554</v>
      </c>
      <c r="H30" s="11">
        <f t="array" ref="H30">IF(OR(N30&gt;0,AC30&gt;0),MAX(N30,AC30),MAX(AK30,V30))</f>
        <v>46239</v>
      </c>
      <c r="I30" s="143">
        <f t="array" ref="I30">IF(SUM(O30,AD30)&gt;0,SUM(O30,AD30),SUM(AL30,W30))</f>
        <v>192</v>
      </c>
      <c r="J30" s="9">
        <f t="shared" si="0"/>
        <v>5.4023635340461453</v>
      </c>
      <c r="K30" s="143">
        <f t="shared" si="6"/>
        <v>9.9999999999999995E-8</v>
      </c>
      <c r="L30" s="9">
        <f t="shared" si="1"/>
        <v>5.2083333333333333E-8</v>
      </c>
      <c r="M30" s="8" t="str">
        <f t="array" ref="M30">IF(L30&gt;5,"Perlu Sensus",IF(AND(L30&gt;=0,I30&gt;0),"Tetap Deteksi","Belum Deteksi"))</f>
        <v>Tetap Deteksi</v>
      </c>
      <c r="N30" s="11">
        <v>46239</v>
      </c>
      <c r="O30" s="143">
        <v>192</v>
      </c>
      <c r="P30" s="9">
        <f t="array" ref="P30">IFERROR(O30/$G30*100,0)</f>
        <v>5.4023635340461453</v>
      </c>
      <c r="Q30" s="143">
        <v>9.9999999999999995E-8</v>
      </c>
      <c r="R30" s="9">
        <f t="shared" si="2"/>
        <v>5.2083333333333333E-8</v>
      </c>
      <c r="S30" s="8" t="str">
        <f t="array" ref="S30">IF(R30&gt;5,"Perlu Sensus",IF(AND(R30&gt;=0,O30&gt;0),"Tetap Deteksi","Belum Deteksi"))</f>
        <v>Tetap Deteksi</v>
      </c>
      <c r="T30" s="143">
        <v>1</v>
      </c>
      <c r="U30" s="9">
        <f t="shared" si="7"/>
        <v>0.52083333333333326</v>
      </c>
      <c r="V30" s="11">
        <v>46239</v>
      </c>
      <c r="W30" s="143">
        <v>217</v>
      </c>
      <c r="X30" s="143">
        <v>4</v>
      </c>
      <c r="Y30" s="9">
        <f t="shared" si="3"/>
        <v>1.8433179723502304</v>
      </c>
      <c r="Z30" s="8" t="str">
        <f t="array" ref="Z30">IF(Y30&gt;5,"Perlu Sensus",IF(AND(Y30&gt;=0,W30&gt;0),"Tetap Deteksi","Belum Deteksi"))</f>
        <v>Tetap Deteksi</v>
      </c>
      <c r="AA30" s="143">
        <v>4</v>
      </c>
      <c r="AB30" s="9">
        <f t="shared" si="8"/>
        <v>1.8433179723502304</v>
      </c>
      <c r="AC30" s="11"/>
      <c r="AD30" s="143"/>
      <c r="AE30" s="9">
        <f t="array" ref="AE30">IFERROR(AD30/$G30*100,0)</f>
        <v>0</v>
      </c>
      <c r="AF30" s="143"/>
      <c r="AG30" s="9">
        <f t="shared" si="4"/>
        <v>0</v>
      </c>
      <c r="AH30" s="8" t="str">
        <f t="array" ref="AH30">IF(AG30&gt;5,"Perlu Sensus",IF(AND(AG30&gt;=0,AD30&gt;0),"Tetap Deteksi","Belum Deteksi"))</f>
        <v>Belum Deteksi</v>
      </c>
      <c r="AI30" s="143"/>
      <c r="AJ30" s="9">
        <f t="shared" si="9"/>
        <v>0</v>
      </c>
      <c r="AK30" s="11"/>
      <c r="AL30" s="143"/>
      <c r="AM30" s="143"/>
      <c r="AN30" s="9">
        <f t="shared" si="5"/>
        <v>0</v>
      </c>
      <c r="AO30" s="8" t="str">
        <f t="array" ref="AO30">IF(AN30&gt;5,"Perlu Sensus",IF(AND(AN30&gt;=0,AL30&gt;0),"Tetap Deteksi","Belum Deteksi"))</f>
        <v>Belum Deteksi</v>
      </c>
      <c r="AP30" s="143"/>
      <c r="AQ30" s="9">
        <f t="shared" si="10"/>
        <v>0</v>
      </c>
    </row>
    <row r="31" spans="1:43" outlineLevel="1" x14ac:dyDescent="0.15">
      <c r="A31" s="8" t="s">
        <v>1914</v>
      </c>
      <c r="B31" s="8"/>
      <c r="C31" s="8" t="s">
        <v>47</v>
      </c>
      <c r="D31" s="186" t="s">
        <v>1775</v>
      </c>
      <c r="E31" s="9">
        <v>32.85</v>
      </c>
      <c r="F31" s="8" t="s">
        <v>1740</v>
      </c>
      <c r="G31" s="10">
        <v>4289</v>
      </c>
      <c r="H31" s="11">
        <f t="array" ref="H31">IF(OR(N31&gt;0,AC31&gt;0),MAX(N31,AC31),MAX(AK31,V31))</f>
        <v>46239</v>
      </c>
      <c r="I31" s="143">
        <f t="array" ref="I31">IF(SUM(O31,AD31)&gt;0,SUM(O31,AD31),SUM(AL31,W31))</f>
        <v>173</v>
      </c>
      <c r="J31" s="9">
        <f t="shared" si="0"/>
        <v>4.0335742597342037</v>
      </c>
      <c r="K31" s="143">
        <f t="shared" si="6"/>
        <v>4</v>
      </c>
      <c r="L31" s="9">
        <f t="shared" si="1"/>
        <v>2.3121387283236992</v>
      </c>
      <c r="M31" s="8" t="str">
        <f t="array" ref="M31">IF(L31&gt;5,"Perlu Sensus",IF(AND(L31&gt;=0,I31&gt;0),"Tetap Deteksi","Belum Deteksi"))</f>
        <v>Tetap Deteksi</v>
      </c>
      <c r="N31" s="11">
        <v>46239</v>
      </c>
      <c r="O31" s="143">
        <v>173</v>
      </c>
      <c r="P31" s="9">
        <f t="array" ref="P31">IFERROR(O31/$G31*100,0)</f>
        <v>4.0335742597342037</v>
      </c>
      <c r="Q31" s="143">
        <v>4</v>
      </c>
      <c r="R31" s="9">
        <f t="shared" si="2"/>
        <v>2.3121387283236992</v>
      </c>
      <c r="S31" s="8" t="str">
        <f t="array" ref="S31">IF(R31&gt;5,"Perlu Sensus",IF(AND(R31&gt;=0,O31&gt;0),"Tetap Deteksi","Belum Deteksi"))</f>
        <v>Tetap Deteksi</v>
      </c>
      <c r="T31" s="143">
        <v>2</v>
      </c>
      <c r="U31" s="9">
        <f t="shared" si="7"/>
        <v>1.1560693641618496</v>
      </c>
      <c r="V31" s="11">
        <v>46239</v>
      </c>
      <c r="W31" s="143">
        <v>210</v>
      </c>
      <c r="X31" s="143">
        <v>3</v>
      </c>
      <c r="Y31" s="9">
        <f t="shared" si="3"/>
        <v>1.4285714285714286</v>
      </c>
      <c r="Z31" s="8" t="str">
        <f t="array" ref="Z31">IF(Y31&gt;5,"Perlu Sensus",IF(AND(Y31&gt;=0,W31&gt;0),"Tetap Deteksi","Belum Deteksi"))</f>
        <v>Tetap Deteksi</v>
      </c>
      <c r="AA31" s="143">
        <v>5</v>
      </c>
      <c r="AB31" s="9">
        <f t="shared" si="8"/>
        <v>2.3809523809523809</v>
      </c>
      <c r="AC31" s="11"/>
      <c r="AD31" s="143"/>
      <c r="AE31" s="9">
        <f t="array" ref="AE31">IFERROR(AD31/$G31*100,0)</f>
        <v>0</v>
      </c>
      <c r="AF31" s="143"/>
      <c r="AG31" s="9">
        <f t="shared" si="4"/>
        <v>0</v>
      </c>
      <c r="AH31" s="8" t="str">
        <f t="array" ref="AH31">IF(AG31&gt;5,"Perlu Sensus",IF(AND(AG31&gt;=0,AD31&gt;0),"Tetap Deteksi","Belum Deteksi"))</f>
        <v>Belum Deteksi</v>
      </c>
      <c r="AI31" s="143"/>
      <c r="AJ31" s="9">
        <f t="shared" si="9"/>
        <v>0</v>
      </c>
      <c r="AK31" s="11"/>
      <c r="AL31" s="143"/>
      <c r="AM31" s="143"/>
      <c r="AN31" s="9">
        <f t="shared" si="5"/>
        <v>0</v>
      </c>
      <c r="AO31" s="8" t="str">
        <f t="array" ref="AO31">IF(AN31&gt;5,"Perlu Sensus",IF(AND(AN31&gt;=0,AL31&gt;0),"Tetap Deteksi","Belum Deteksi"))</f>
        <v>Belum Deteksi</v>
      </c>
      <c r="AP31" s="143"/>
      <c r="AQ31" s="9">
        <f t="shared" si="10"/>
        <v>0</v>
      </c>
    </row>
    <row r="32" spans="1:43" outlineLevel="1" x14ac:dyDescent="0.15">
      <c r="A32" s="8" t="s">
        <v>1914</v>
      </c>
      <c r="B32" s="8"/>
      <c r="C32" s="8" t="s">
        <v>47</v>
      </c>
      <c r="D32" s="186" t="s">
        <v>1031</v>
      </c>
      <c r="E32" s="9">
        <v>42.36</v>
      </c>
      <c r="F32" s="8" t="s">
        <v>1740</v>
      </c>
      <c r="G32" s="10">
        <v>4758</v>
      </c>
      <c r="H32" s="11">
        <f t="array" ref="H32">IF(OR(N32&gt;0,AC32&gt;0),MAX(N32,AC32),MAX(AK32,V32))</f>
        <v>46240</v>
      </c>
      <c r="I32" s="143">
        <f t="array" ref="I32">IF(SUM(O32,AD32)&gt;0,SUM(O32,AD32),SUM(AL32,W32))</f>
        <v>243</v>
      </c>
      <c r="J32" s="9">
        <f t="shared" si="0"/>
        <v>5.1071878940731397</v>
      </c>
      <c r="K32" s="143">
        <f t="shared" si="6"/>
        <v>1.0000000000000001E-9</v>
      </c>
      <c r="L32" s="9">
        <f t="shared" si="1"/>
        <v>4.1152263374485598E-10</v>
      </c>
      <c r="M32" s="8" t="str">
        <f t="array" ref="M32">IF(L32&gt;5,"Perlu Sensus",IF(AND(L32&gt;=0,I32&gt;0),"Tetap Deteksi","Belum Deteksi"))</f>
        <v>Tetap Deteksi</v>
      </c>
      <c r="N32" s="11">
        <v>46240</v>
      </c>
      <c r="O32" s="143">
        <v>243</v>
      </c>
      <c r="P32" s="9">
        <f t="array" ref="P32">IFERROR(O32/$G32*100,0)</f>
        <v>5.1071878940731397</v>
      </c>
      <c r="Q32" s="143">
        <v>1.0000000000000001E-9</v>
      </c>
      <c r="R32" s="9">
        <f t="shared" si="2"/>
        <v>4.1152263374485598E-10</v>
      </c>
      <c r="S32" s="8" t="str">
        <f t="array" ref="S32">IF(R32&gt;5,"Perlu Sensus",IF(AND(R32&gt;=0,O32&gt;0),"Tetap Deteksi","Belum Deteksi"))</f>
        <v>Tetap Deteksi</v>
      </c>
      <c r="T32" s="143">
        <v>9.9999999999999995E-8</v>
      </c>
      <c r="U32" s="9">
        <f t="shared" si="7"/>
        <v>4.1152263374485592E-8</v>
      </c>
      <c r="V32" s="11">
        <v>46240</v>
      </c>
      <c r="W32" s="143">
        <v>245</v>
      </c>
      <c r="X32" s="143">
        <v>1E-8</v>
      </c>
      <c r="Y32" s="9">
        <f t="shared" si="3"/>
        <v>4.0816326530612243E-9</v>
      </c>
      <c r="Z32" s="8" t="str">
        <f t="array" ref="Z32">IF(Y32&gt;5,"Perlu Sensus",IF(AND(Y32&gt;=0,W32&gt;0),"Tetap Deteksi","Belum Deteksi"))</f>
        <v>Tetap Deteksi</v>
      </c>
      <c r="AA32" s="143">
        <v>2</v>
      </c>
      <c r="AB32" s="9">
        <f t="shared" si="8"/>
        <v>0.81632653061224492</v>
      </c>
      <c r="AC32" s="11"/>
      <c r="AD32" s="143"/>
      <c r="AE32" s="9">
        <f t="array" ref="AE32">IFERROR(AD32/$G32*100,0)</f>
        <v>0</v>
      </c>
      <c r="AF32" s="143"/>
      <c r="AG32" s="9">
        <f t="shared" si="4"/>
        <v>0</v>
      </c>
      <c r="AH32" s="8" t="str">
        <f t="array" ref="AH32">IF(AG32&gt;5,"Perlu Sensus",IF(AND(AG32&gt;=0,AD32&gt;0),"Tetap Deteksi","Belum Deteksi"))</f>
        <v>Belum Deteksi</v>
      </c>
      <c r="AI32" s="143"/>
      <c r="AJ32" s="9">
        <f t="shared" si="9"/>
        <v>0</v>
      </c>
      <c r="AK32" s="11"/>
      <c r="AL32" s="143"/>
      <c r="AM32" s="143"/>
      <c r="AN32" s="9">
        <f t="shared" si="5"/>
        <v>0</v>
      </c>
      <c r="AO32" s="8" t="str">
        <f t="array" ref="AO32">IF(AN32&gt;5,"Perlu Sensus",IF(AND(AN32&gt;=0,AL32&gt;0),"Tetap Deteksi","Belum Deteksi"))</f>
        <v>Belum Deteksi</v>
      </c>
      <c r="AP32" s="143"/>
      <c r="AQ32" s="9">
        <f t="shared" si="10"/>
        <v>0</v>
      </c>
    </row>
    <row r="33" spans="1:43" outlineLevel="1" x14ac:dyDescent="0.15">
      <c r="A33" s="8" t="s">
        <v>1914</v>
      </c>
      <c r="B33" s="8"/>
      <c r="C33" s="8" t="s">
        <v>47</v>
      </c>
      <c r="D33" s="186" t="s">
        <v>1778</v>
      </c>
      <c r="E33" s="9">
        <v>40.29</v>
      </c>
      <c r="F33" s="8" t="s">
        <v>1740</v>
      </c>
      <c r="G33" s="10">
        <v>4897</v>
      </c>
      <c r="H33" s="11">
        <f t="array" ref="H33">IF(OR(N33&gt;0,AC33&gt;0),MAX(N33,AC33),MAX(AK33,V33))</f>
        <v>46240</v>
      </c>
      <c r="I33" s="143">
        <f t="array" ref="I33">IF(SUM(O33,AD33)&gt;0,SUM(O33,AD33),SUM(AL33,W33))</f>
        <v>292</v>
      </c>
      <c r="J33" s="9">
        <f t="shared" si="0"/>
        <v>5.9628343884010624</v>
      </c>
      <c r="K33" s="143">
        <f t="shared" si="6"/>
        <v>1.0000000000000001E-9</v>
      </c>
      <c r="L33" s="9">
        <f t="shared" si="1"/>
        <v>3.4246575342465755E-10</v>
      </c>
      <c r="M33" s="8" t="str">
        <f t="array" ref="M33">IF(L33&gt;5,"Perlu Sensus",IF(AND(L33&gt;=0,I33&gt;0),"Tetap Deteksi","Belum Deteksi"))</f>
        <v>Tetap Deteksi</v>
      </c>
      <c r="N33" s="11">
        <v>46240</v>
      </c>
      <c r="O33" s="143">
        <v>292</v>
      </c>
      <c r="P33" s="9">
        <f t="array" ref="P33">IFERROR(O33/$G33*100,0)</f>
        <v>5.9628343884010624</v>
      </c>
      <c r="Q33" s="143">
        <v>1.0000000000000001E-9</v>
      </c>
      <c r="R33" s="9">
        <f t="shared" si="2"/>
        <v>3.4246575342465755E-10</v>
      </c>
      <c r="S33" s="8" t="str">
        <f t="array" ref="S33">IF(R33&gt;5,"Perlu Sensus",IF(AND(R33&gt;=0,O33&gt;0),"Tetap Deteksi","Belum Deteksi"))</f>
        <v>Tetap Deteksi</v>
      </c>
      <c r="T33" s="143">
        <v>9.9999999999999995E-8</v>
      </c>
      <c r="U33" s="9">
        <f t="shared" si="7"/>
        <v>3.4246575342465753E-8</v>
      </c>
      <c r="V33" s="11">
        <v>46240</v>
      </c>
      <c r="W33" s="143">
        <v>117</v>
      </c>
      <c r="X33" s="143">
        <v>3</v>
      </c>
      <c r="Y33" s="9">
        <f t="shared" si="3"/>
        <v>2.5641025641025639</v>
      </c>
      <c r="Z33" s="8" t="str">
        <f t="array" ref="Z33">IF(Y33&gt;5,"Perlu Sensus",IF(AND(Y33&gt;=0,W33&gt;0),"Tetap Deteksi","Belum Deteksi"))</f>
        <v>Tetap Deteksi</v>
      </c>
      <c r="AA33" s="143">
        <v>1E-8</v>
      </c>
      <c r="AB33" s="9">
        <f t="shared" si="8"/>
        <v>8.5470085470085466E-9</v>
      </c>
      <c r="AC33" s="11"/>
      <c r="AD33" s="143"/>
      <c r="AE33" s="9">
        <f t="array" ref="AE33">IFERROR(AD33/$G33*100,0)</f>
        <v>0</v>
      </c>
      <c r="AF33" s="143"/>
      <c r="AG33" s="9">
        <f t="shared" si="4"/>
        <v>0</v>
      </c>
      <c r="AH33" s="8" t="str">
        <f t="array" ref="AH33">IF(AG33&gt;5,"Perlu Sensus",IF(AND(AG33&gt;=0,AD33&gt;0),"Tetap Deteksi","Belum Deteksi"))</f>
        <v>Belum Deteksi</v>
      </c>
      <c r="AI33" s="143"/>
      <c r="AJ33" s="9">
        <f t="shared" si="9"/>
        <v>0</v>
      </c>
      <c r="AK33" s="11"/>
      <c r="AL33" s="143"/>
      <c r="AM33" s="143"/>
      <c r="AN33" s="9">
        <f t="shared" si="5"/>
        <v>0</v>
      </c>
      <c r="AO33" s="8" t="str">
        <f t="array" ref="AO33">IF(AN33&gt;5,"Perlu Sensus",IF(AND(AN33&gt;=0,AL33&gt;0),"Tetap Deteksi","Belum Deteksi"))</f>
        <v>Belum Deteksi</v>
      </c>
      <c r="AP33" s="143"/>
      <c r="AQ33" s="9">
        <f t="shared" si="10"/>
        <v>0</v>
      </c>
    </row>
    <row r="34" spans="1:43" outlineLevel="1" x14ac:dyDescent="0.15">
      <c r="A34" s="8" t="s">
        <v>1914</v>
      </c>
      <c r="B34" s="8"/>
      <c r="C34" s="8" t="s">
        <v>47</v>
      </c>
      <c r="D34" s="186" t="s">
        <v>1752</v>
      </c>
      <c r="E34" s="9">
        <v>44.550000000000004</v>
      </c>
      <c r="F34" s="8" t="s">
        <v>1740</v>
      </c>
      <c r="G34" s="10">
        <v>5876</v>
      </c>
      <c r="H34" s="11">
        <f t="array" ref="H34">IF(OR(N34&gt;0,AC34&gt;0),MAX(N34,AC34),MAX(AK34,V34))</f>
        <v>46246</v>
      </c>
      <c r="I34" s="143">
        <f t="array" ref="I34">IF(SUM(O34,AD34)&gt;0,SUM(O34,AD34),SUM(AL34,W34))</f>
        <v>205</v>
      </c>
      <c r="J34" s="9">
        <f t="shared" si="0"/>
        <v>3.4887678692988429</v>
      </c>
      <c r="K34" s="143">
        <f t="shared" si="6"/>
        <v>3</v>
      </c>
      <c r="L34" s="9">
        <f t="shared" si="1"/>
        <v>1.4634146341463417</v>
      </c>
      <c r="M34" s="8" t="str">
        <f t="array" ref="M34">IF(L34&gt;5,"Perlu Sensus",IF(AND(L34&gt;=0,I34&gt;0),"Tetap Deteksi","Belum Deteksi"))</f>
        <v>Tetap Deteksi</v>
      </c>
      <c r="N34" s="11">
        <v>46246</v>
      </c>
      <c r="O34" s="143">
        <v>205</v>
      </c>
      <c r="P34" s="9">
        <f t="array" ref="P34">IFERROR(O34/$G34*100,0)</f>
        <v>3.4887678692988429</v>
      </c>
      <c r="Q34" s="143">
        <v>3</v>
      </c>
      <c r="R34" s="9">
        <f t="shared" si="2"/>
        <v>1.4634146341463417</v>
      </c>
      <c r="S34" s="8" t="str">
        <f t="array" ref="S34">IF(R34&gt;5,"Perlu Sensus",IF(AND(R34&gt;=0,O34&gt;0),"Tetap Deteksi","Belum Deteksi"))</f>
        <v>Tetap Deteksi</v>
      </c>
      <c r="T34" s="143">
        <v>2</v>
      </c>
      <c r="U34" s="9">
        <f t="shared" si="7"/>
        <v>0.97560975609756095</v>
      </c>
      <c r="V34" s="11">
        <v>46246</v>
      </c>
      <c r="W34" s="143">
        <v>216</v>
      </c>
      <c r="X34" s="143">
        <v>4</v>
      </c>
      <c r="Y34" s="9">
        <f t="shared" si="3"/>
        <v>1.8518518518518516</v>
      </c>
      <c r="Z34" s="8" t="str">
        <f t="array" ref="Z34">IF(Y34&gt;5,"Perlu Sensus",IF(AND(Y34&gt;=0,W34&gt;0),"Tetap Deteksi","Belum Deteksi"))</f>
        <v>Tetap Deteksi</v>
      </c>
      <c r="AA34" s="143">
        <v>6</v>
      </c>
      <c r="AB34" s="9">
        <f t="shared" si="8"/>
        <v>2.7777777777777777</v>
      </c>
      <c r="AC34" s="11"/>
      <c r="AD34" s="143"/>
      <c r="AE34" s="9">
        <f t="array" ref="AE34">IFERROR(AD34/$G34*100,0)</f>
        <v>0</v>
      </c>
      <c r="AF34" s="143"/>
      <c r="AG34" s="9">
        <f t="shared" si="4"/>
        <v>0</v>
      </c>
      <c r="AH34" s="8" t="str">
        <f t="array" ref="AH34">IF(AG34&gt;5,"Perlu Sensus",IF(AND(AG34&gt;=0,AD34&gt;0),"Tetap Deteksi","Belum Deteksi"))</f>
        <v>Belum Deteksi</v>
      </c>
      <c r="AI34" s="143"/>
      <c r="AJ34" s="9">
        <f t="shared" si="9"/>
        <v>0</v>
      </c>
      <c r="AK34" s="11"/>
      <c r="AL34" s="143"/>
      <c r="AM34" s="143"/>
      <c r="AN34" s="9">
        <f t="shared" si="5"/>
        <v>0</v>
      </c>
      <c r="AO34" s="8" t="str">
        <f t="array" ref="AO34">IF(AN34&gt;5,"Perlu Sensus",IF(AND(AN34&gt;=0,AL34&gt;0),"Tetap Deteksi","Belum Deteksi"))</f>
        <v>Belum Deteksi</v>
      </c>
      <c r="AP34" s="143"/>
      <c r="AQ34" s="9">
        <f t="shared" si="10"/>
        <v>0</v>
      </c>
    </row>
    <row r="35" spans="1:43" outlineLevel="1" x14ac:dyDescent="0.15">
      <c r="A35" s="8" t="s">
        <v>1914</v>
      </c>
      <c r="B35" s="8"/>
      <c r="C35" s="8" t="s">
        <v>47</v>
      </c>
      <c r="D35" s="181" t="s">
        <v>1801</v>
      </c>
      <c r="E35" s="9">
        <v>39.799999999999997</v>
      </c>
      <c r="F35" s="8" t="s">
        <v>1740</v>
      </c>
      <c r="G35" s="10">
        <v>4766</v>
      </c>
      <c r="H35" s="11">
        <f t="array" ref="H35">IF(OR(N35&gt;0,AC35&gt;0),MAX(N35,AC35),MAX(AK35,V35))</f>
        <v>46249</v>
      </c>
      <c r="I35" s="143">
        <f t="array" ref="I35">IF(SUM(O35,AD35)&gt;0,SUM(O35,AD35),SUM(AL35,W35))</f>
        <v>213</v>
      </c>
      <c r="J35" s="9">
        <f t="shared" si="0"/>
        <v>4.4691565253881658</v>
      </c>
      <c r="K35" s="143">
        <f t="shared" si="6"/>
        <v>9.9999999999999995E-8</v>
      </c>
      <c r="L35" s="9">
        <f t="shared" si="1"/>
        <v>4.6948356807511732E-8</v>
      </c>
      <c r="M35" s="8" t="str">
        <f t="array" ref="M35">IF(L35&gt;5,"Perlu Sensus",IF(AND(L35&gt;=0,I35&gt;0),"Tetap Deteksi","Belum Deteksi"))</f>
        <v>Tetap Deteksi</v>
      </c>
      <c r="N35" s="11">
        <v>46249</v>
      </c>
      <c r="O35" s="143">
        <v>213</v>
      </c>
      <c r="P35" s="9">
        <f t="array" ref="P35">IFERROR(O35/$G35*100,0)</f>
        <v>4.4691565253881658</v>
      </c>
      <c r="Q35" s="143">
        <v>9.9999999999999995E-8</v>
      </c>
      <c r="R35" s="9">
        <f t="shared" si="2"/>
        <v>4.6948356807511732E-8</v>
      </c>
      <c r="S35" s="8" t="str">
        <f t="array" ref="S35">IF(R35&gt;5,"Perlu Sensus",IF(AND(R35&gt;=0,O35&gt;0),"Tetap Deteksi","Belum Deteksi"))</f>
        <v>Tetap Deteksi</v>
      </c>
      <c r="T35" s="143">
        <v>9.9999999999999995E-8</v>
      </c>
      <c r="U35" s="9">
        <f t="shared" si="7"/>
        <v>4.6948356807511732E-8</v>
      </c>
      <c r="V35" s="11">
        <v>46249</v>
      </c>
      <c r="W35" s="143">
        <v>204</v>
      </c>
      <c r="X35" s="143">
        <v>6</v>
      </c>
      <c r="Y35" s="9">
        <f t="shared" si="3"/>
        <v>2.9411764705882351</v>
      </c>
      <c r="Z35" s="8" t="str">
        <f t="array" ref="Z35">IF(Y35&gt;5,"Perlu Sensus",IF(AND(Y35&gt;=0,W35&gt;0),"Tetap Deteksi","Belum Deteksi"))</f>
        <v>Tetap Deteksi</v>
      </c>
      <c r="AA35" s="143">
        <v>4</v>
      </c>
      <c r="AB35" s="9">
        <f t="shared" si="8"/>
        <v>1.9607843137254901</v>
      </c>
      <c r="AC35" s="11"/>
      <c r="AD35" s="143"/>
      <c r="AE35" s="9">
        <f t="array" ref="AE35">IFERROR(AD35/$G35*100,0)</f>
        <v>0</v>
      </c>
      <c r="AF35" s="143"/>
      <c r="AG35" s="9">
        <f t="shared" si="4"/>
        <v>0</v>
      </c>
      <c r="AH35" s="8" t="str">
        <f t="array" ref="AH35">IF(AG35&gt;5,"Perlu Sensus",IF(AND(AG35&gt;=0,AD35&gt;0),"Tetap Deteksi","Belum Deteksi"))</f>
        <v>Belum Deteksi</v>
      </c>
      <c r="AI35" s="143"/>
      <c r="AJ35" s="9">
        <f t="shared" si="9"/>
        <v>0</v>
      </c>
      <c r="AK35" s="11"/>
      <c r="AL35" s="143"/>
      <c r="AM35" s="143"/>
      <c r="AN35" s="9">
        <f t="shared" si="5"/>
        <v>0</v>
      </c>
      <c r="AO35" s="8" t="str">
        <f t="array" ref="AO35">IF(AN35&gt;5,"Perlu Sensus",IF(AND(AN35&gt;=0,AL35&gt;0),"Tetap Deteksi","Belum Deteksi"))</f>
        <v>Belum Deteksi</v>
      </c>
      <c r="AP35" s="143"/>
      <c r="AQ35" s="9">
        <f t="shared" si="10"/>
        <v>0</v>
      </c>
    </row>
    <row r="36" spans="1:43" outlineLevel="1" x14ac:dyDescent="0.15">
      <c r="A36" s="8" t="s">
        <v>1914</v>
      </c>
      <c r="B36" s="8"/>
      <c r="C36" s="8" t="s">
        <v>47</v>
      </c>
      <c r="D36" s="186" t="s">
        <v>1807</v>
      </c>
      <c r="E36" s="9">
        <v>29.090000000000003</v>
      </c>
      <c r="F36" s="8" t="s">
        <v>1740</v>
      </c>
      <c r="G36" s="10">
        <v>3917</v>
      </c>
      <c r="H36" s="11">
        <f t="array" ref="H36">IF(OR(N36&gt;0,AC36&gt;0),MAX(N36,AC36),MAX(AK36,V36))</f>
        <v>46237</v>
      </c>
      <c r="I36" s="143">
        <f t="array" ref="I36">IF(SUM(O36,AD36)&gt;0,SUM(O36,AD36),SUM(AL36,W36))</f>
        <v>218</v>
      </c>
      <c r="J36" s="9">
        <f t="shared" si="0"/>
        <v>5.5654837886137347</v>
      </c>
      <c r="K36" s="143">
        <f t="shared" si="6"/>
        <v>1</v>
      </c>
      <c r="L36" s="9">
        <f t="shared" si="1"/>
        <v>0.45871559633027525</v>
      </c>
      <c r="M36" s="8" t="str">
        <f t="array" ref="M36">IF(L36&gt;5,"Perlu Sensus",IF(AND(L36&gt;=0,I36&gt;0),"Tetap Deteksi","Belum Deteksi"))</f>
        <v>Tetap Deteksi</v>
      </c>
      <c r="N36" s="11">
        <v>46237</v>
      </c>
      <c r="O36" s="143">
        <v>218</v>
      </c>
      <c r="P36" s="9">
        <f t="array" ref="P36">IFERROR(O36/$G36*100,0)</f>
        <v>5.5654837886137347</v>
      </c>
      <c r="Q36" s="143">
        <v>1</v>
      </c>
      <c r="R36" s="9">
        <f t="shared" si="2"/>
        <v>0.45871559633027525</v>
      </c>
      <c r="S36" s="8" t="str">
        <f t="array" ref="S36">IF(R36&gt;5,"Perlu Sensus",IF(AND(R36&gt;=0,O36&gt;0),"Tetap Deteksi","Belum Deteksi"))</f>
        <v>Tetap Deteksi</v>
      </c>
      <c r="T36" s="143">
        <v>1</v>
      </c>
      <c r="U36" s="9">
        <f t="shared" si="7"/>
        <v>0.45871559633027525</v>
      </c>
      <c r="V36" s="11">
        <v>46237</v>
      </c>
      <c r="W36" s="143">
        <v>219</v>
      </c>
      <c r="X36" s="143">
        <v>3</v>
      </c>
      <c r="Y36" s="9">
        <f t="shared" si="3"/>
        <v>1.3698630136986301</v>
      </c>
      <c r="Z36" s="8" t="str">
        <f t="array" ref="Z36">IF(Y36&gt;5,"Perlu Sensus",IF(AND(Y36&gt;=0,W36&gt;0),"Tetap Deteksi","Belum Deteksi"))</f>
        <v>Tetap Deteksi</v>
      </c>
      <c r="AA36" s="143">
        <v>3</v>
      </c>
      <c r="AB36" s="9">
        <f t="shared" si="8"/>
        <v>1.3698630136986301</v>
      </c>
      <c r="AC36" s="11"/>
      <c r="AD36" s="143"/>
      <c r="AE36" s="9">
        <f t="array" ref="AE36">IFERROR(AD36/$G36*100,0)</f>
        <v>0</v>
      </c>
      <c r="AF36" s="143"/>
      <c r="AG36" s="9">
        <f t="shared" si="4"/>
        <v>0</v>
      </c>
      <c r="AH36" s="8" t="str">
        <f t="array" ref="AH36">IF(AG36&gt;5,"Perlu Sensus",IF(AND(AG36&gt;=0,AD36&gt;0),"Tetap Deteksi","Belum Deteksi"))</f>
        <v>Belum Deteksi</v>
      </c>
      <c r="AI36" s="143"/>
      <c r="AJ36" s="9">
        <f t="shared" si="9"/>
        <v>0</v>
      </c>
      <c r="AK36" s="11"/>
      <c r="AL36" s="143"/>
      <c r="AM36" s="143"/>
      <c r="AN36" s="9">
        <f t="shared" si="5"/>
        <v>0</v>
      </c>
      <c r="AO36" s="8" t="str">
        <f t="array" ref="AO36">IF(AN36&gt;5,"Perlu Sensus",IF(AND(AN36&gt;=0,AL36&gt;0),"Tetap Deteksi","Belum Deteksi"))</f>
        <v>Belum Deteksi</v>
      </c>
      <c r="AP36" s="143"/>
      <c r="AQ36" s="9">
        <f t="shared" si="10"/>
        <v>0</v>
      </c>
    </row>
    <row r="37" spans="1:43" outlineLevel="1" x14ac:dyDescent="0.15">
      <c r="A37" s="8" t="s">
        <v>1914</v>
      </c>
      <c r="B37" s="8"/>
      <c r="C37" s="8" t="s">
        <v>47</v>
      </c>
      <c r="D37" s="186" t="s">
        <v>1924</v>
      </c>
      <c r="E37" s="9">
        <v>45.21</v>
      </c>
      <c r="F37" s="8" t="s">
        <v>1740</v>
      </c>
      <c r="G37" s="10">
        <v>5168</v>
      </c>
      <c r="H37" s="11">
        <f t="array" ref="H37">IF(OR(N37&gt;0,AC37&gt;0),MAX(N37,AC37),MAX(AK37,V37))</f>
        <v>46238</v>
      </c>
      <c r="I37" s="143">
        <f t="array" ref="I37">IF(SUM(O37,AD37)&gt;0,SUM(O37,AD37),SUM(AL37,W37))</f>
        <v>175</v>
      </c>
      <c r="J37" s="9">
        <f t="shared" si="0"/>
        <v>3.3862229102167185</v>
      </c>
      <c r="K37" s="143">
        <f t="shared" si="6"/>
        <v>2</v>
      </c>
      <c r="L37" s="9">
        <f t="shared" si="1"/>
        <v>1.1428571428571428</v>
      </c>
      <c r="M37" s="8" t="str">
        <f t="array" ref="M37">IF(L37&gt;5,"Perlu Sensus",IF(AND(L37&gt;=0,I37&gt;0),"Tetap Deteksi","Belum Deteksi"))</f>
        <v>Tetap Deteksi</v>
      </c>
      <c r="N37" s="11">
        <v>46238</v>
      </c>
      <c r="O37" s="143">
        <v>175</v>
      </c>
      <c r="P37" s="9">
        <f t="array" ref="P37">IFERROR(O37/$G37*100,0)</f>
        <v>3.3862229102167185</v>
      </c>
      <c r="Q37" s="143">
        <v>2</v>
      </c>
      <c r="R37" s="9">
        <f t="shared" si="2"/>
        <v>1.1428571428571428</v>
      </c>
      <c r="S37" s="8" t="str">
        <f t="array" ref="S37">IF(R37&gt;5,"Perlu Sensus",IF(AND(R37&gt;=0,O37&gt;0),"Tetap Deteksi","Belum Deteksi"))</f>
        <v>Tetap Deteksi</v>
      </c>
      <c r="T37" s="143">
        <v>1E-8</v>
      </c>
      <c r="U37" s="9">
        <f t="shared" si="7"/>
        <v>5.7142857142857144E-9</v>
      </c>
      <c r="V37" s="11">
        <v>46238</v>
      </c>
      <c r="W37" s="143">
        <v>293</v>
      </c>
      <c r="X37" s="143">
        <v>1</v>
      </c>
      <c r="Y37" s="9">
        <f t="shared" si="3"/>
        <v>0.34129692832764508</v>
      </c>
      <c r="Z37" s="8" t="str">
        <f t="array" ref="Z37">IF(Y37&gt;5,"Perlu Sensus",IF(AND(Y37&gt;=0,W37&gt;0),"Tetap Deteksi","Belum Deteksi"))</f>
        <v>Tetap Deteksi</v>
      </c>
      <c r="AA37" s="143">
        <v>2</v>
      </c>
      <c r="AB37" s="9">
        <f t="shared" si="8"/>
        <v>0.68259385665529015</v>
      </c>
      <c r="AC37" s="11"/>
      <c r="AD37" s="143"/>
      <c r="AE37" s="9">
        <f t="array" ref="AE37">IFERROR(AD37/$G37*100,0)</f>
        <v>0</v>
      </c>
      <c r="AF37" s="143"/>
      <c r="AG37" s="9">
        <f t="shared" si="4"/>
        <v>0</v>
      </c>
      <c r="AH37" s="8" t="str">
        <f t="array" ref="AH37">IF(AG37&gt;5,"Perlu Sensus",IF(AND(AG37&gt;=0,AD37&gt;0),"Tetap Deteksi","Belum Deteksi"))</f>
        <v>Belum Deteksi</v>
      </c>
      <c r="AI37" s="143"/>
      <c r="AJ37" s="9">
        <f t="shared" si="9"/>
        <v>0</v>
      </c>
      <c r="AK37" s="11"/>
      <c r="AL37" s="143"/>
      <c r="AM37" s="143"/>
      <c r="AN37" s="9">
        <f t="shared" si="5"/>
        <v>0</v>
      </c>
      <c r="AO37" s="8" t="str">
        <f t="array" ref="AO37">IF(AN37&gt;5,"Perlu Sensus",IF(AND(AN37&gt;=0,AL37&gt;0),"Tetap Deteksi","Belum Deteksi"))</f>
        <v>Belum Deteksi</v>
      </c>
      <c r="AP37" s="143"/>
      <c r="AQ37" s="9">
        <f t="shared" si="10"/>
        <v>0</v>
      </c>
    </row>
    <row r="38" spans="1:43" outlineLevel="1" x14ac:dyDescent="0.15">
      <c r="A38" s="8" t="s">
        <v>1914</v>
      </c>
      <c r="B38" s="8"/>
      <c r="C38" s="8" t="s">
        <v>47</v>
      </c>
      <c r="D38" s="186" t="s">
        <v>1001</v>
      </c>
      <c r="E38" s="9">
        <v>35.549999999999997</v>
      </c>
      <c r="F38" s="8" t="s">
        <v>1740</v>
      </c>
      <c r="G38" s="10">
        <v>3936</v>
      </c>
      <c r="H38" s="11">
        <f t="array" ref="H38">IF(OR(N38&gt;0,AC38&gt;0),MAX(N38,AC38),MAX(AK38,V38))</f>
        <v>46238</v>
      </c>
      <c r="I38" s="143">
        <f t="array" ref="I38">IF(SUM(O38,AD38)&gt;0,SUM(O38,AD38),SUM(AL38,W38))</f>
        <v>193</v>
      </c>
      <c r="J38" s="9">
        <f t="shared" si="0"/>
        <v>4.9034552845528454</v>
      </c>
      <c r="K38" s="143">
        <f t="shared" si="6"/>
        <v>4</v>
      </c>
      <c r="L38" s="9">
        <f t="shared" si="1"/>
        <v>2.0725388601036272</v>
      </c>
      <c r="M38" s="8" t="str">
        <f t="array" ref="M38">IF(L38&gt;5,"Perlu Sensus",IF(AND(L38&gt;=0,I38&gt;0),"Tetap Deteksi","Belum Deteksi"))</f>
        <v>Tetap Deteksi</v>
      </c>
      <c r="N38" s="11">
        <v>46238</v>
      </c>
      <c r="O38" s="143">
        <v>193</v>
      </c>
      <c r="P38" s="9">
        <f t="array" ref="P38">IFERROR(O38/$G38*100,0)</f>
        <v>4.9034552845528454</v>
      </c>
      <c r="Q38" s="143">
        <v>4</v>
      </c>
      <c r="R38" s="9">
        <f t="shared" si="2"/>
        <v>2.0725388601036272</v>
      </c>
      <c r="S38" s="8" t="str">
        <f t="array" ref="S38">IF(R38&gt;5,"Perlu Sensus",IF(AND(R38&gt;=0,O38&gt;0),"Tetap Deteksi","Belum Deteksi"))</f>
        <v>Tetap Deteksi</v>
      </c>
      <c r="T38" s="143">
        <v>3</v>
      </c>
      <c r="U38" s="9">
        <f t="shared" si="7"/>
        <v>1.5544041450777202</v>
      </c>
      <c r="V38" s="11">
        <v>46238</v>
      </c>
      <c r="W38" s="143">
        <v>276</v>
      </c>
      <c r="X38" s="143">
        <v>2</v>
      </c>
      <c r="Y38" s="9">
        <f t="shared" si="3"/>
        <v>0.72463768115942029</v>
      </c>
      <c r="Z38" s="8" t="str">
        <f t="array" ref="Z38">IF(Y38&gt;5,"Perlu Sensus",IF(AND(Y38&gt;=0,W38&gt;0),"Tetap Deteksi","Belum Deteksi"))</f>
        <v>Tetap Deteksi</v>
      </c>
      <c r="AA38" s="143">
        <v>2</v>
      </c>
      <c r="AB38" s="9">
        <f t="shared" si="8"/>
        <v>0.72463768115942029</v>
      </c>
      <c r="AC38" s="11"/>
      <c r="AD38" s="143"/>
      <c r="AE38" s="9">
        <f t="array" ref="AE38">IFERROR(AD38/$G38*100,0)</f>
        <v>0</v>
      </c>
      <c r="AF38" s="143"/>
      <c r="AG38" s="9">
        <f t="shared" si="4"/>
        <v>0</v>
      </c>
      <c r="AH38" s="8" t="str">
        <f t="array" ref="AH38">IF(AG38&gt;5,"Perlu Sensus",IF(AND(AG38&gt;=0,AD38&gt;0),"Tetap Deteksi","Belum Deteksi"))</f>
        <v>Belum Deteksi</v>
      </c>
      <c r="AI38" s="143"/>
      <c r="AJ38" s="9">
        <f t="shared" si="9"/>
        <v>0</v>
      </c>
      <c r="AK38" s="11"/>
      <c r="AL38" s="143"/>
      <c r="AM38" s="143"/>
      <c r="AN38" s="9">
        <f t="shared" si="5"/>
        <v>0</v>
      </c>
      <c r="AO38" s="8" t="str">
        <f t="array" ref="AO38">IF(AN38&gt;5,"Perlu Sensus",IF(AND(AN38&gt;=0,AL38&gt;0),"Tetap Deteksi","Belum Deteksi"))</f>
        <v>Belum Deteksi</v>
      </c>
      <c r="AP38" s="143"/>
      <c r="AQ38" s="9">
        <f t="shared" si="10"/>
        <v>0</v>
      </c>
    </row>
    <row r="39" spans="1:43" outlineLevel="1" x14ac:dyDescent="0.15">
      <c r="A39" s="8" t="s">
        <v>1914</v>
      </c>
      <c r="B39" s="8"/>
      <c r="C39" s="8" t="s">
        <v>47</v>
      </c>
      <c r="D39" s="186" t="s">
        <v>1832</v>
      </c>
      <c r="E39" s="9">
        <v>34.480000000000004</v>
      </c>
      <c r="F39" s="8" t="s">
        <v>1740</v>
      </c>
      <c r="G39" s="10">
        <v>4187</v>
      </c>
      <c r="H39" s="11">
        <f t="array" ref="H39">IF(OR(N39&gt;0,AC39&gt;0),MAX(N39,AC39),MAX(AK39,V39))</f>
        <v>46246</v>
      </c>
      <c r="I39" s="143">
        <f t="array" ref="I39">IF(SUM(O39,AD39)&gt;0,SUM(O39,AD39),SUM(AL39,W39))</f>
        <v>186</v>
      </c>
      <c r="J39" s="9">
        <f t="shared" si="0"/>
        <v>4.4423214712204446</v>
      </c>
      <c r="K39" s="143">
        <f t="shared" si="6"/>
        <v>1</v>
      </c>
      <c r="L39" s="9">
        <f t="shared" si="1"/>
        <v>0.53763440860215062</v>
      </c>
      <c r="M39" s="8" t="str">
        <f t="array" ref="M39">IF(L39&gt;5,"Perlu Sensus",IF(AND(L39&gt;=0,I39&gt;0),"Tetap Deteksi","Belum Deteksi"))</f>
        <v>Tetap Deteksi</v>
      </c>
      <c r="N39" s="11">
        <v>46246</v>
      </c>
      <c r="O39" s="143">
        <v>186</v>
      </c>
      <c r="P39" s="9">
        <f t="array" ref="P39">IFERROR(O39/$G39*100,0)</f>
        <v>4.4423214712204446</v>
      </c>
      <c r="Q39" s="143">
        <v>1</v>
      </c>
      <c r="R39" s="9">
        <f t="shared" si="2"/>
        <v>0.53763440860215062</v>
      </c>
      <c r="S39" s="8" t="str">
        <f t="array" ref="S39">IF(R39&gt;5,"Perlu Sensus",IF(AND(R39&gt;=0,O39&gt;0),"Tetap Deteksi","Belum Deteksi"))</f>
        <v>Tetap Deteksi</v>
      </c>
      <c r="T39" s="143">
        <v>2</v>
      </c>
      <c r="U39" s="9">
        <f t="shared" si="7"/>
        <v>1.0752688172043012</v>
      </c>
      <c r="V39" s="11">
        <v>46246</v>
      </c>
      <c r="W39" s="143">
        <v>215</v>
      </c>
      <c r="X39" s="143">
        <v>4</v>
      </c>
      <c r="Y39" s="9">
        <f t="shared" si="3"/>
        <v>1.8604651162790697</v>
      </c>
      <c r="Z39" s="8" t="str">
        <f t="array" ref="Z39">IF(Y39&gt;5,"Perlu Sensus",IF(AND(Y39&gt;=0,W39&gt;0),"Tetap Deteksi","Belum Deteksi"))</f>
        <v>Tetap Deteksi</v>
      </c>
      <c r="AA39" s="143">
        <v>5</v>
      </c>
      <c r="AB39" s="9">
        <f t="shared" si="8"/>
        <v>2.3255813953488373</v>
      </c>
      <c r="AC39" s="11"/>
      <c r="AD39" s="143"/>
      <c r="AE39" s="9">
        <f t="array" ref="AE39">IFERROR(AD39/$G39*100,0)</f>
        <v>0</v>
      </c>
      <c r="AF39" s="143"/>
      <c r="AG39" s="9">
        <f t="shared" si="4"/>
        <v>0</v>
      </c>
      <c r="AH39" s="8" t="str">
        <f t="array" ref="AH39">IF(AG39&gt;5,"Perlu Sensus",IF(AND(AG39&gt;=0,AD39&gt;0),"Tetap Deteksi","Belum Deteksi"))</f>
        <v>Belum Deteksi</v>
      </c>
      <c r="AI39" s="143"/>
      <c r="AJ39" s="9">
        <f t="shared" si="9"/>
        <v>0</v>
      </c>
      <c r="AK39" s="11"/>
      <c r="AL39" s="143"/>
      <c r="AM39" s="143"/>
      <c r="AN39" s="9">
        <f t="shared" si="5"/>
        <v>0</v>
      </c>
      <c r="AO39" s="8" t="str">
        <f t="array" ref="AO39">IF(AN39&gt;5,"Perlu Sensus",IF(AND(AN39&gt;=0,AL39&gt;0),"Tetap Deteksi","Belum Deteksi"))</f>
        <v>Belum Deteksi</v>
      </c>
      <c r="AP39" s="143"/>
      <c r="AQ39" s="9">
        <f t="shared" si="10"/>
        <v>0</v>
      </c>
    </row>
    <row r="40" spans="1:43" outlineLevel="1" x14ac:dyDescent="0.15">
      <c r="A40" s="8" t="s">
        <v>1914</v>
      </c>
      <c r="B40" s="8"/>
      <c r="C40" s="8" t="s">
        <v>47</v>
      </c>
      <c r="D40" s="186" t="s">
        <v>1805</v>
      </c>
      <c r="E40" s="9">
        <v>42.169999999999995</v>
      </c>
      <c r="F40" s="8" t="s">
        <v>1740</v>
      </c>
      <c r="G40" s="10">
        <v>5079</v>
      </c>
      <c r="H40" s="11">
        <f t="array" ref="H40">IF(OR(N40&gt;0,AC40&gt;0),MAX(N40,AC40),MAX(AK40,V40))</f>
        <v>46237</v>
      </c>
      <c r="I40" s="143">
        <f t="array" ref="I40">IF(SUM(O40,AD40)&gt;0,SUM(O40,AD40),SUM(AL40,W40))</f>
        <v>209</v>
      </c>
      <c r="J40" s="9">
        <f t="shared" si="0"/>
        <v>4.1149832644221309</v>
      </c>
      <c r="K40" s="143">
        <f t="shared" si="6"/>
        <v>3</v>
      </c>
      <c r="L40" s="9">
        <f t="shared" si="1"/>
        <v>1.4354066985645932</v>
      </c>
      <c r="M40" s="8" t="str">
        <f t="array" ref="M40">IF(L40&gt;5,"Perlu Sensus",IF(AND(L40&gt;=0,I40&gt;0),"Tetap Deteksi","Belum Deteksi"))</f>
        <v>Tetap Deteksi</v>
      </c>
      <c r="N40" s="11">
        <v>46237</v>
      </c>
      <c r="O40" s="143">
        <v>209</v>
      </c>
      <c r="P40" s="9">
        <f t="array" ref="P40">IFERROR(O40/$G40*100,0)</f>
        <v>4.1149832644221309</v>
      </c>
      <c r="Q40" s="143">
        <v>3</v>
      </c>
      <c r="R40" s="9">
        <f t="shared" si="2"/>
        <v>1.4354066985645932</v>
      </c>
      <c r="S40" s="8" t="str">
        <f t="array" ref="S40">IF(R40&gt;5,"Perlu Sensus",IF(AND(R40&gt;=0,O40&gt;0),"Tetap Deteksi","Belum Deteksi"))</f>
        <v>Tetap Deteksi</v>
      </c>
      <c r="T40" s="143">
        <v>9.9999999999999995E-8</v>
      </c>
      <c r="U40" s="9">
        <f t="shared" si="7"/>
        <v>4.784688995215311E-8</v>
      </c>
      <c r="V40" s="11">
        <v>46237</v>
      </c>
      <c r="W40" s="143">
        <v>207</v>
      </c>
      <c r="X40" s="143">
        <v>3</v>
      </c>
      <c r="Y40" s="9">
        <f t="shared" si="3"/>
        <v>1.4492753623188406</v>
      </c>
      <c r="Z40" s="8" t="str">
        <f t="array" ref="Z40">IF(Y40&gt;5,"Perlu Sensus",IF(AND(Y40&gt;=0,W40&gt;0),"Tetap Deteksi","Belum Deteksi"))</f>
        <v>Tetap Deteksi</v>
      </c>
      <c r="AA40" s="143">
        <v>1</v>
      </c>
      <c r="AB40" s="9">
        <f t="shared" si="8"/>
        <v>0.48309178743961351</v>
      </c>
      <c r="AC40" s="11"/>
      <c r="AD40" s="143"/>
      <c r="AE40" s="9">
        <f t="array" ref="AE40">IFERROR(AD40/$G40*100,0)</f>
        <v>0</v>
      </c>
      <c r="AF40" s="143"/>
      <c r="AG40" s="9">
        <f t="shared" si="4"/>
        <v>0</v>
      </c>
      <c r="AH40" s="8" t="str">
        <f t="array" ref="AH40">IF(AG40&gt;5,"Perlu Sensus",IF(AND(AG40&gt;=0,AD40&gt;0),"Tetap Deteksi","Belum Deteksi"))</f>
        <v>Belum Deteksi</v>
      </c>
      <c r="AI40" s="143"/>
      <c r="AJ40" s="9">
        <f t="shared" si="9"/>
        <v>0</v>
      </c>
      <c r="AK40" s="11"/>
      <c r="AL40" s="143"/>
      <c r="AM40" s="143"/>
      <c r="AN40" s="9">
        <f t="shared" si="5"/>
        <v>0</v>
      </c>
      <c r="AO40" s="8" t="str">
        <f t="array" ref="AO40">IF(AN40&gt;5,"Perlu Sensus",IF(AND(AN40&gt;=0,AL40&gt;0),"Tetap Deteksi","Belum Deteksi"))</f>
        <v>Belum Deteksi</v>
      </c>
      <c r="AP40" s="143"/>
      <c r="AQ40" s="9">
        <f t="shared" si="10"/>
        <v>0</v>
      </c>
    </row>
    <row r="41" spans="1:43" outlineLevel="1" x14ac:dyDescent="0.15">
      <c r="A41" s="8" t="s">
        <v>1914</v>
      </c>
      <c r="B41" s="8"/>
      <c r="C41" s="8" t="s">
        <v>47</v>
      </c>
      <c r="D41" s="186" t="s">
        <v>1777</v>
      </c>
      <c r="E41" s="9">
        <v>45.63</v>
      </c>
      <c r="F41" s="8" t="s">
        <v>1740</v>
      </c>
      <c r="G41" s="10">
        <v>5344</v>
      </c>
      <c r="H41" s="11">
        <f t="array" ref="H41">IF(OR(N41&gt;0,AC41&gt;0),MAX(N41,AC41),MAX(AK41,V41))</f>
        <v>46240</v>
      </c>
      <c r="I41" s="143">
        <f t="array" ref="I41">IF(SUM(O41,AD41)&gt;0,SUM(O41,AD41),SUM(AL41,W41))</f>
        <v>188</v>
      </c>
      <c r="J41" s="9">
        <f t="shared" si="0"/>
        <v>3.5179640718562872</v>
      </c>
      <c r="K41" s="143">
        <f t="shared" si="6"/>
        <v>1.0000000000000001E-9</v>
      </c>
      <c r="L41" s="9">
        <f t="shared" si="1"/>
        <v>5.3191489361702129E-10</v>
      </c>
      <c r="M41" s="8" t="str">
        <f t="array" ref="M41">IF(L41&gt;5,"Perlu Sensus",IF(AND(L41&gt;=0,I41&gt;0),"Tetap Deteksi","Belum Deteksi"))</f>
        <v>Tetap Deteksi</v>
      </c>
      <c r="N41" s="11">
        <v>46240</v>
      </c>
      <c r="O41" s="143">
        <v>188</v>
      </c>
      <c r="P41" s="9">
        <f t="array" ref="P41">IFERROR(O41/$G41*100,0)</f>
        <v>3.5179640718562872</v>
      </c>
      <c r="Q41" s="143">
        <v>1.0000000000000001E-9</v>
      </c>
      <c r="R41" s="9">
        <f t="shared" si="2"/>
        <v>5.3191489361702129E-10</v>
      </c>
      <c r="S41" s="8" t="str">
        <f t="array" ref="S41">IF(R41&gt;5,"Perlu Sensus",IF(AND(R41&gt;=0,O41&gt;0),"Tetap Deteksi","Belum Deteksi"))</f>
        <v>Tetap Deteksi</v>
      </c>
      <c r="T41" s="143">
        <v>2</v>
      </c>
      <c r="U41" s="9">
        <f t="shared" si="7"/>
        <v>1.0638297872340425</v>
      </c>
      <c r="V41" s="11">
        <v>46240</v>
      </c>
      <c r="W41" s="143">
        <v>214</v>
      </c>
      <c r="X41" s="143">
        <v>1E-8</v>
      </c>
      <c r="Y41" s="9">
        <f t="shared" si="3"/>
        <v>4.6728971962616823E-9</v>
      </c>
      <c r="Z41" s="8" t="str">
        <f t="array" ref="Z41">IF(Y41&gt;5,"Perlu Sensus",IF(AND(Y41&gt;=0,W41&gt;0),"Tetap Deteksi","Belum Deteksi"))</f>
        <v>Tetap Deteksi</v>
      </c>
      <c r="AA41" s="143">
        <v>1E-8</v>
      </c>
      <c r="AB41" s="9">
        <f t="shared" si="8"/>
        <v>4.6728971962616823E-9</v>
      </c>
      <c r="AC41" s="11"/>
      <c r="AD41" s="143"/>
      <c r="AE41" s="9">
        <f t="array" ref="AE41">IFERROR(AD41/$G41*100,0)</f>
        <v>0</v>
      </c>
      <c r="AF41" s="143"/>
      <c r="AG41" s="9">
        <f t="shared" si="4"/>
        <v>0</v>
      </c>
      <c r="AH41" s="8" t="str">
        <f t="array" ref="AH41">IF(AG41&gt;5,"Perlu Sensus",IF(AND(AG41&gt;=0,AD41&gt;0),"Tetap Deteksi","Belum Deteksi"))</f>
        <v>Belum Deteksi</v>
      </c>
      <c r="AI41" s="143"/>
      <c r="AJ41" s="9">
        <f t="shared" si="9"/>
        <v>0</v>
      </c>
      <c r="AK41" s="11"/>
      <c r="AL41" s="143"/>
      <c r="AM41" s="143"/>
      <c r="AN41" s="9">
        <f t="shared" si="5"/>
        <v>0</v>
      </c>
      <c r="AO41" s="8" t="str">
        <f t="array" ref="AO41">IF(AN41&gt;5,"Perlu Sensus",IF(AND(AN41&gt;=0,AL41&gt;0),"Tetap Deteksi","Belum Deteksi"))</f>
        <v>Belum Deteksi</v>
      </c>
      <c r="AP41" s="143"/>
      <c r="AQ41" s="9">
        <f t="shared" si="10"/>
        <v>0</v>
      </c>
    </row>
    <row r="42" spans="1:43" outlineLevel="1" x14ac:dyDescent="0.15">
      <c r="A42" s="8" t="s">
        <v>1914</v>
      </c>
      <c r="B42" s="8"/>
      <c r="C42" s="8" t="s">
        <v>47</v>
      </c>
      <c r="D42" s="186" t="s">
        <v>1825</v>
      </c>
      <c r="E42" s="9">
        <v>39.1</v>
      </c>
      <c r="F42" s="8" t="s">
        <v>1740</v>
      </c>
      <c r="G42" s="10">
        <v>4937</v>
      </c>
      <c r="H42" s="11">
        <f t="array" ref="H42">IF(OR(N42&gt;0,AC42&gt;0),MAX(N42,AC42),MAX(AK42,V42))</f>
        <v>46244</v>
      </c>
      <c r="I42" s="143">
        <f t="array" ref="I42">IF(SUM(O42,AD42)&gt;0,SUM(O42,AD42),SUM(AL42,W42))</f>
        <v>219</v>
      </c>
      <c r="J42" s="9">
        <f t="shared" si="0"/>
        <v>4.4358922422523799</v>
      </c>
      <c r="K42" s="143">
        <f t="shared" si="6"/>
        <v>3</v>
      </c>
      <c r="L42" s="9">
        <f t="shared" si="1"/>
        <v>1.3698630136986301</v>
      </c>
      <c r="M42" s="8" t="str">
        <f t="array" ref="M42">IF(L42&gt;5,"Perlu Sensus",IF(AND(L42&gt;=0,I42&gt;0),"Tetap Deteksi","Belum Deteksi"))</f>
        <v>Tetap Deteksi</v>
      </c>
      <c r="N42" s="11">
        <v>46244</v>
      </c>
      <c r="O42" s="143">
        <v>219</v>
      </c>
      <c r="P42" s="9">
        <f t="array" ref="P42">IFERROR(O42/$G42*100,0)</f>
        <v>4.4358922422523799</v>
      </c>
      <c r="Q42" s="143">
        <v>3</v>
      </c>
      <c r="R42" s="9">
        <f t="shared" si="2"/>
        <v>1.3698630136986301</v>
      </c>
      <c r="S42" s="8" t="str">
        <f t="array" ref="S42">IF(R42&gt;5,"Perlu Sensus",IF(AND(R42&gt;=0,O42&gt;0),"Tetap Deteksi","Belum Deteksi"))</f>
        <v>Tetap Deteksi</v>
      </c>
      <c r="T42" s="143">
        <v>1</v>
      </c>
      <c r="U42" s="9">
        <f t="shared" si="7"/>
        <v>0.45662100456621002</v>
      </c>
      <c r="V42" s="11">
        <v>46244</v>
      </c>
      <c r="W42" s="143">
        <v>219</v>
      </c>
      <c r="X42" s="143">
        <v>3</v>
      </c>
      <c r="Y42" s="9">
        <f t="shared" si="3"/>
        <v>1.3698630136986301</v>
      </c>
      <c r="Z42" s="8" t="str">
        <f t="array" ref="Z42">IF(Y42&gt;5,"Perlu Sensus",IF(AND(Y42&gt;=0,W42&gt;0),"Tetap Deteksi","Belum Deteksi"))</f>
        <v>Tetap Deteksi</v>
      </c>
      <c r="AA42" s="143">
        <v>2</v>
      </c>
      <c r="AB42" s="9">
        <f t="shared" si="8"/>
        <v>0.91324200913242004</v>
      </c>
      <c r="AC42" s="11"/>
      <c r="AD42" s="143"/>
      <c r="AE42" s="9">
        <f t="array" ref="AE42">IFERROR(AD42/$G42*100,0)</f>
        <v>0</v>
      </c>
      <c r="AF42" s="143"/>
      <c r="AG42" s="9">
        <f t="shared" si="4"/>
        <v>0</v>
      </c>
      <c r="AH42" s="8" t="str">
        <f t="array" ref="AH42">IF(AG42&gt;5,"Perlu Sensus",IF(AND(AG42&gt;=0,AD42&gt;0),"Tetap Deteksi","Belum Deteksi"))</f>
        <v>Belum Deteksi</v>
      </c>
      <c r="AI42" s="143"/>
      <c r="AJ42" s="9">
        <f t="shared" si="9"/>
        <v>0</v>
      </c>
      <c r="AK42" s="11"/>
      <c r="AL42" s="143"/>
      <c r="AM42" s="143"/>
      <c r="AN42" s="9">
        <f t="shared" si="5"/>
        <v>0</v>
      </c>
      <c r="AO42" s="8" t="str">
        <f t="array" ref="AO42">IF(AN42&gt;5,"Perlu Sensus",IF(AND(AN42&gt;=0,AL42&gt;0),"Tetap Deteksi","Belum Deteksi"))</f>
        <v>Belum Deteksi</v>
      </c>
      <c r="AP42" s="143"/>
      <c r="AQ42" s="9">
        <f t="shared" si="10"/>
        <v>0</v>
      </c>
    </row>
    <row r="43" spans="1:43" outlineLevel="1" x14ac:dyDescent="0.15">
      <c r="A43" s="8" t="s">
        <v>1914</v>
      </c>
      <c r="B43" s="8"/>
      <c r="C43" s="8" t="s">
        <v>47</v>
      </c>
      <c r="D43" s="186" t="s">
        <v>1033</v>
      </c>
      <c r="E43" s="9">
        <v>33.410000000000004</v>
      </c>
      <c r="F43" s="8" t="s">
        <v>1740</v>
      </c>
      <c r="G43" s="10">
        <v>4061</v>
      </c>
      <c r="H43" s="11">
        <f t="array" ref="H43">IF(OR(N43&gt;0,AC43&gt;0),MAX(N43,AC43),MAX(AK43,V43))</f>
        <v>46244</v>
      </c>
      <c r="I43" s="143">
        <f t="array" ref="I43">IF(SUM(O43,AD43)&gt;0,SUM(O43,AD43),SUM(AL43,W43))</f>
        <v>203</v>
      </c>
      <c r="J43" s="9">
        <f t="shared" si="0"/>
        <v>4.998768776163506</v>
      </c>
      <c r="K43" s="143">
        <f t="shared" si="6"/>
        <v>2</v>
      </c>
      <c r="L43" s="9">
        <f t="shared" si="1"/>
        <v>0.98522167487684731</v>
      </c>
      <c r="M43" s="8" t="str">
        <f t="array" ref="M43">IF(L43&gt;5,"Perlu Sensus",IF(AND(L43&gt;=0,I43&gt;0),"Tetap Deteksi","Belum Deteksi"))</f>
        <v>Tetap Deteksi</v>
      </c>
      <c r="N43" s="11">
        <v>46244</v>
      </c>
      <c r="O43" s="143">
        <v>203</v>
      </c>
      <c r="P43" s="9">
        <f t="array" ref="P43">IFERROR(O43/$G43*100,0)</f>
        <v>4.998768776163506</v>
      </c>
      <c r="Q43" s="143">
        <v>2</v>
      </c>
      <c r="R43" s="9">
        <f t="shared" si="2"/>
        <v>0.98522167487684731</v>
      </c>
      <c r="S43" s="8" t="str">
        <f t="array" ref="S43">IF(R43&gt;5,"Perlu Sensus",IF(AND(R43&gt;=0,O43&gt;0),"Tetap Deteksi","Belum Deteksi"))</f>
        <v>Tetap Deteksi</v>
      </c>
      <c r="T43" s="143">
        <v>2</v>
      </c>
      <c r="U43" s="9">
        <f t="shared" si="7"/>
        <v>0.98522167487684731</v>
      </c>
      <c r="V43" s="11">
        <v>46244</v>
      </c>
      <c r="W43" s="143">
        <v>241</v>
      </c>
      <c r="X43" s="143">
        <v>4</v>
      </c>
      <c r="Y43" s="9">
        <f t="shared" si="3"/>
        <v>1.6597510373443984</v>
      </c>
      <c r="Z43" s="8" t="str">
        <f t="array" ref="Z43">IF(Y43&gt;5,"Perlu Sensus",IF(AND(Y43&gt;=0,W43&gt;0),"Tetap Deteksi","Belum Deteksi"))</f>
        <v>Tetap Deteksi</v>
      </c>
      <c r="AA43" s="143">
        <v>2</v>
      </c>
      <c r="AB43" s="9">
        <f t="shared" si="8"/>
        <v>0.82987551867219922</v>
      </c>
      <c r="AC43" s="11"/>
      <c r="AD43" s="143"/>
      <c r="AE43" s="9">
        <f t="array" ref="AE43">IFERROR(AD43/$G43*100,0)</f>
        <v>0</v>
      </c>
      <c r="AF43" s="143"/>
      <c r="AG43" s="9">
        <f t="shared" si="4"/>
        <v>0</v>
      </c>
      <c r="AH43" s="8" t="str">
        <f t="array" ref="AH43">IF(AG43&gt;5,"Perlu Sensus",IF(AND(AG43&gt;=0,AD43&gt;0),"Tetap Deteksi","Belum Deteksi"))</f>
        <v>Belum Deteksi</v>
      </c>
      <c r="AI43" s="143"/>
      <c r="AJ43" s="9">
        <f t="shared" si="9"/>
        <v>0</v>
      </c>
      <c r="AK43" s="11"/>
      <c r="AL43" s="143"/>
      <c r="AM43" s="143"/>
      <c r="AN43" s="9">
        <f t="shared" si="5"/>
        <v>0</v>
      </c>
      <c r="AO43" s="8" t="str">
        <f t="array" ref="AO43">IF(AN43&gt;5,"Perlu Sensus",IF(AND(AN43&gt;=0,AL43&gt;0),"Tetap Deteksi","Belum Deteksi"))</f>
        <v>Belum Deteksi</v>
      </c>
      <c r="AP43" s="143"/>
      <c r="AQ43" s="9">
        <f t="shared" si="10"/>
        <v>0</v>
      </c>
    </row>
    <row r="44" spans="1:43" outlineLevel="1" x14ac:dyDescent="0.15">
      <c r="A44" s="8" t="s">
        <v>1914</v>
      </c>
      <c r="B44" s="8"/>
      <c r="C44" s="8" t="s">
        <v>47</v>
      </c>
      <c r="D44" s="186" t="s">
        <v>1826</v>
      </c>
      <c r="E44" s="9">
        <v>35.17</v>
      </c>
      <c r="F44" s="8" t="s">
        <v>1740</v>
      </c>
      <c r="G44" s="10">
        <v>3815</v>
      </c>
      <c r="H44" s="11">
        <f t="array" ref="H44">IF(OR(N44&gt;0,AC44&gt;0),MAX(N44,AC44),MAX(AK44,V44))</f>
        <v>46244</v>
      </c>
      <c r="I44" s="143">
        <f t="array" ref="I44">IF(SUM(O44,AD44)&gt;0,SUM(O44,AD44),SUM(AL44,W44))</f>
        <v>159</v>
      </c>
      <c r="J44" s="9">
        <f t="shared" si="0"/>
        <v>4.1677588466579287</v>
      </c>
      <c r="K44" s="143">
        <f t="shared" si="6"/>
        <v>1E-10</v>
      </c>
      <c r="L44" s="9">
        <f t="shared" si="1"/>
        <v>6.2893081761006296E-11</v>
      </c>
      <c r="M44" s="8" t="str">
        <f t="array" ref="M44">IF(L44&gt;5,"Perlu Sensus",IF(AND(L44&gt;=0,I44&gt;0),"Tetap Deteksi","Belum Deteksi"))</f>
        <v>Tetap Deteksi</v>
      </c>
      <c r="N44" s="11">
        <v>46244</v>
      </c>
      <c r="O44" s="143">
        <v>159</v>
      </c>
      <c r="P44" s="9">
        <f t="array" ref="P44">IFERROR(O44/$G44*100,0)</f>
        <v>4.1677588466579287</v>
      </c>
      <c r="Q44" s="143">
        <v>1E-10</v>
      </c>
      <c r="R44" s="9">
        <f t="shared" si="2"/>
        <v>6.2893081761006296E-11</v>
      </c>
      <c r="S44" s="8" t="str">
        <f t="array" ref="S44">IF(R44&gt;5,"Perlu Sensus",IF(AND(R44&gt;=0,O44&gt;0),"Tetap Deteksi","Belum Deteksi"))</f>
        <v>Tetap Deteksi</v>
      </c>
      <c r="T44" s="143">
        <v>1E-10</v>
      </c>
      <c r="U44" s="9">
        <f t="shared" si="7"/>
        <v>6.2893081761006296E-11</v>
      </c>
      <c r="V44" s="11">
        <v>46244</v>
      </c>
      <c r="W44" s="143">
        <v>199</v>
      </c>
      <c r="X44" s="143">
        <v>2</v>
      </c>
      <c r="Y44" s="9">
        <f t="shared" si="3"/>
        <v>1.0050251256281406</v>
      </c>
      <c r="Z44" s="8" t="str">
        <f t="array" ref="Z44">IF(Y44&gt;5,"Perlu Sensus",IF(AND(Y44&gt;=0,W44&gt;0),"Tetap Deteksi","Belum Deteksi"))</f>
        <v>Tetap Deteksi</v>
      </c>
      <c r="AA44" s="143">
        <v>2</v>
      </c>
      <c r="AB44" s="9">
        <f t="shared" si="8"/>
        <v>1.0050251256281406</v>
      </c>
      <c r="AC44" s="11"/>
      <c r="AD44" s="143"/>
      <c r="AE44" s="9">
        <f t="array" ref="AE44">IFERROR(AD44/$G44*100,0)</f>
        <v>0</v>
      </c>
      <c r="AF44" s="143"/>
      <c r="AG44" s="9">
        <f t="shared" si="4"/>
        <v>0</v>
      </c>
      <c r="AH44" s="8" t="str">
        <f t="array" ref="AH44">IF(AG44&gt;5,"Perlu Sensus",IF(AND(AG44&gt;=0,AD44&gt;0),"Tetap Deteksi","Belum Deteksi"))</f>
        <v>Belum Deteksi</v>
      </c>
      <c r="AI44" s="143"/>
      <c r="AJ44" s="9">
        <f t="shared" si="9"/>
        <v>0</v>
      </c>
      <c r="AK44" s="11"/>
      <c r="AL44" s="143"/>
      <c r="AM44" s="143"/>
      <c r="AN44" s="9">
        <f t="shared" si="5"/>
        <v>0</v>
      </c>
      <c r="AO44" s="8" t="str">
        <f t="array" ref="AO44">IF(AN44&gt;5,"Perlu Sensus",IF(AND(AN44&gt;=0,AL44&gt;0),"Tetap Deteksi","Belum Deteksi"))</f>
        <v>Belum Deteksi</v>
      </c>
      <c r="AP44" s="143"/>
      <c r="AQ44" s="9">
        <f t="shared" si="10"/>
        <v>0</v>
      </c>
    </row>
    <row r="45" spans="1:43" outlineLevel="1" x14ac:dyDescent="0.15">
      <c r="A45" s="8" t="s">
        <v>1914</v>
      </c>
      <c r="B45" s="8"/>
      <c r="C45" s="8" t="s">
        <v>79</v>
      </c>
      <c r="D45" s="186" t="s">
        <v>1827</v>
      </c>
      <c r="E45" s="9">
        <v>34</v>
      </c>
      <c r="F45" s="8" t="s">
        <v>1740</v>
      </c>
      <c r="G45" s="10">
        <v>4453</v>
      </c>
      <c r="H45" s="11">
        <f t="array" ref="H45">IF(OR(N45&gt;0,AC45&gt;0),MAX(N45,AC45),MAX(AK45,V45))</f>
        <v>46246</v>
      </c>
      <c r="I45" s="143">
        <f t="array" ref="I45">IF(SUM(O45,AD45)&gt;0,SUM(O45,AD45),SUM(AL45,W45))</f>
        <v>163</v>
      </c>
      <c r="J45" s="9">
        <f t="shared" si="0"/>
        <v>3.6604536267684709</v>
      </c>
      <c r="K45" s="143">
        <f t="shared" si="6"/>
        <v>9.9999999999999995E-8</v>
      </c>
      <c r="L45" s="9">
        <f t="shared" si="1"/>
        <v>6.1349693251533741E-8</v>
      </c>
      <c r="M45" s="8" t="str">
        <f t="array" ref="M45">IF(L45&gt;5,"Perlu Sensus",IF(AND(L45&gt;=0,I45&gt;0),"Tetap Deteksi","Belum Deteksi"))</f>
        <v>Tetap Deteksi</v>
      </c>
      <c r="N45" s="11">
        <v>46246</v>
      </c>
      <c r="O45" s="143">
        <v>163</v>
      </c>
      <c r="P45" s="9">
        <f t="array" ref="P45">IFERROR(O45/$G45*100,0)</f>
        <v>3.6604536267684709</v>
      </c>
      <c r="Q45" s="143">
        <v>9.9999999999999995E-8</v>
      </c>
      <c r="R45" s="9">
        <f t="shared" si="2"/>
        <v>6.1349693251533741E-8</v>
      </c>
      <c r="S45" s="8" t="str">
        <f t="array" ref="S45">IF(R45&gt;5,"Perlu Sensus",IF(AND(R45&gt;=0,O45&gt;0),"Tetap Deteksi","Belum Deteksi"))</f>
        <v>Tetap Deteksi</v>
      </c>
      <c r="T45" s="143">
        <v>9.9999999999999995E-8</v>
      </c>
      <c r="U45" s="9">
        <f t="shared" si="7"/>
        <v>6.1349693251533741E-8</v>
      </c>
      <c r="V45" s="11">
        <v>46237</v>
      </c>
      <c r="W45" s="143">
        <v>276</v>
      </c>
      <c r="X45" s="143">
        <v>5</v>
      </c>
      <c r="Y45" s="9">
        <f t="shared" si="3"/>
        <v>1.8115942028985508</v>
      </c>
      <c r="Z45" s="8" t="str">
        <f t="array" ref="Z45">IF(Y45&gt;5,"Perlu Sensus",IF(AND(Y45&gt;=0,W45&gt;0),"Tetap Deteksi","Belum Deteksi"))</f>
        <v>Tetap Deteksi</v>
      </c>
      <c r="AA45" s="143">
        <v>2</v>
      </c>
      <c r="AB45" s="9">
        <f t="shared" si="8"/>
        <v>0.72463768115942029</v>
      </c>
      <c r="AC45" s="11"/>
      <c r="AD45" s="143"/>
      <c r="AE45" s="9">
        <f t="array" ref="AE45">IFERROR(AD45/$G45*100,0)</f>
        <v>0</v>
      </c>
      <c r="AF45" s="143"/>
      <c r="AG45" s="9">
        <f t="shared" si="4"/>
        <v>0</v>
      </c>
      <c r="AH45" s="8" t="str">
        <f t="array" ref="AH45">IF(AG45&gt;5,"Perlu Sensus",IF(AND(AG45&gt;=0,AD45&gt;0),"Tetap Deteksi","Belum Deteksi"))</f>
        <v>Belum Deteksi</v>
      </c>
      <c r="AI45" s="143"/>
      <c r="AJ45" s="9">
        <f t="shared" si="9"/>
        <v>0</v>
      </c>
      <c r="AK45" s="11"/>
      <c r="AL45" s="143"/>
      <c r="AM45" s="143"/>
      <c r="AN45" s="9">
        <f t="shared" si="5"/>
        <v>0</v>
      </c>
      <c r="AO45" s="8" t="str">
        <f t="array" ref="AO45">IF(AN45&gt;5,"Perlu Sensus",IF(AND(AN45&gt;=0,AL45&gt;0),"Tetap Deteksi","Belum Deteksi"))</f>
        <v>Belum Deteksi</v>
      </c>
      <c r="AP45" s="143"/>
      <c r="AQ45" s="9">
        <f t="shared" si="10"/>
        <v>0</v>
      </c>
    </row>
    <row r="46" spans="1:43" outlineLevel="1" x14ac:dyDescent="0.15">
      <c r="A46" s="8" t="s">
        <v>1914</v>
      </c>
      <c r="B46" s="8"/>
      <c r="C46" s="8" t="s">
        <v>79</v>
      </c>
      <c r="D46" s="186" t="s">
        <v>1796</v>
      </c>
      <c r="E46" s="9">
        <v>25.92</v>
      </c>
      <c r="F46" s="8" t="s">
        <v>1740</v>
      </c>
      <c r="G46" s="10">
        <v>3240</v>
      </c>
      <c r="H46" s="11">
        <f t="array" ref="H46">IF(OR(N46&gt;0,AC46&gt;0),MAX(N46,AC46),MAX(AK46,V46))</f>
        <v>46246</v>
      </c>
      <c r="I46" s="143">
        <f t="array" ref="I46">IF(SUM(O46,AD46)&gt;0,SUM(O46,AD46),SUM(AL46,W46))</f>
        <v>187</v>
      </c>
      <c r="J46" s="9">
        <f t="shared" si="0"/>
        <v>5.7716049382716053</v>
      </c>
      <c r="K46" s="143">
        <f t="shared" si="6"/>
        <v>1</v>
      </c>
      <c r="L46" s="9">
        <f t="shared" si="1"/>
        <v>0.53475935828876997</v>
      </c>
      <c r="M46" s="8" t="str">
        <f t="array" ref="M46">IF(L46&gt;5,"Perlu Sensus",IF(AND(L46&gt;=0,I46&gt;0),"Tetap Deteksi","Belum Deteksi"))</f>
        <v>Tetap Deteksi</v>
      </c>
      <c r="N46" s="11">
        <v>46246</v>
      </c>
      <c r="O46" s="143">
        <v>187</v>
      </c>
      <c r="P46" s="9">
        <f t="array" ref="P46">IFERROR(O46/$G46*100,0)</f>
        <v>5.7716049382716053</v>
      </c>
      <c r="Q46" s="143">
        <v>1</v>
      </c>
      <c r="R46" s="9">
        <f t="shared" si="2"/>
        <v>0.53475935828876997</v>
      </c>
      <c r="S46" s="8" t="str">
        <f t="array" ref="S46">IF(R46&gt;5,"Perlu Sensus",IF(AND(R46&gt;=0,O46&gt;0),"Tetap Deteksi","Belum Deteksi"))</f>
        <v>Tetap Deteksi</v>
      </c>
      <c r="T46" s="143">
        <v>1</v>
      </c>
      <c r="U46" s="9">
        <f t="shared" si="7"/>
        <v>0.53475935828876997</v>
      </c>
      <c r="V46" s="11">
        <v>46249</v>
      </c>
      <c r="W46" s="143">
        <v>219</v>
      </c>
      <c r="X46" s="143">
        <v>1</v>
      </c>
      <c r="Y46" s="9">
        <f t="shared" si="3"/>
        <v>0.45662100456621002</v>
      </c>
      <c r="Z46" s="8" t="str">
        <f t="array" ref="Z46">IF(Y46&gt;5,"Perlu Sensus",IF(AND(Y46&gt;=0,W46&gt;0),"Tetap Deteksi","Belum Deteksi"))</f>
        <v>Tetap Deteksi</v>
      </c>
      <c r="AA46" s="143">
        <v>2</v>
      </c>
      <c r="AB46" s="9">
        <f t="shared" si="8"/>
        <v>0.91324200913242004</v>
      </c>
      <c r="AC46" s="11"/>
      <c r="AD46" s="143"/>
      <c r="AE46" s="9">
        <f t="array" ref="AE46">IFERROR(AD46/$G46*100,0)</f>
        <v>0</v>
      </c>
      <c r="AF46" s="143"/>
      <c r="AG46" s="9">
        <f t="shared" si="4"/>
        <v>0</v>
      </c>
      <c r="AH46" s="8" t="str">
        <f t="array" ref="AH46">IF(AG46&gt;5,"Perlu Sensus",IF(AND(AG46&gt;=0,AD46&gt;0),"Tetap Deteksi","Belum Deteksi"))</f>
        <v>Belum Deteksi</v>
      </c>
      <c r="AI46" s="143"/>
      <c r="AJ46" s="9">
        <f t="shared" si="9"/>
        <v>0</v>
      </c>
      <c r="AK46" s="11"/>
      <c r="AL46" s="143"/>
      <c r="AM46" s="143"/>
      <c r="AN46" s="9">
        <f t="shared" si="5"/>
        <v>0</v>
      </c>
      <c r="AO46" s="8" t="str">
        <f t="array" ref="AO46">IF(AN46&gt;5,"Perlu Sensus",IF(AND(AN46&gt;=0,AL46&gt;0),"Tetap Deteksi","Belum Deteksi"))</f>
        <v>Belum Deteksi</v>
      </c>
      <c r="AP46" s="143"/>
      <c r="AQ46" s="9">
        <f t="shared" si="10"/>
        <v>0</v>
      </c>
    </row>
    <row r="47" spans="1:43" outlineLevel="1" x14ac:dyDescent="0.15">
      <c r="A47" s="8" t="s">
        <v>1914</v>
      </c>
      <c r="B47" s="8"/>
      <c r="C47" s="8" t="s">
        <v>79</v>
      </c>
      <c r="D47" s="186" t="s">
        <v>1029</v>
      </c>
      <c r="E47" s="9">
        <v>27.31</v>
      </c>
      <c r="F47" s="8" t="s">
        <v>1740</v>
      </c>
      <c r="G47" s="10">
        <v>3650.0000000000005</v>
      </c>
      <c r="H47" s="11">
        <f t="array" ref="H47">IF(OR(N47&gt;0,AC47&gt;0),MAX(N47,AC47),MAX(AK47,V47))</f>
        <v>46246</v>
      </c>
      <c r="I47" s="143">
        <f t="array" ref="I47">IF(SUM(O47,AD47)&gt;0,SUM(O47,AD47),SUM(AL47,W47))</f>
        <v>144</v>
      </c>
      <c r="J47" s="9">
        <f t="shared" si="0"/>
        <v>3.9452054794520541</v>
      </c>
      <c r="K47" s="143">
        <f t="shared" si="6"/>
        <v>9.9999999999999995E-8</v>
      </c>
      <c r="L47" s="9">
        <f t="shared" si="1"/>
        <v>6.944444444444444E-8</v>
      </c>
      <c r="M47" s="8" t="str">
        <f t="array" ref="M47">IF(L47&gt;5,"Perlu Sensus",IF(AND(L47&gt;=0,I47&gt;0),"Tetap Deteksi","Belum Deteksi"))</f>
        <v>Tetap Deteksi</v>
      </c>
      <c r="N47" s="11">
        <v>46246</v>
      </c>
      <c r="O47" s="143">
        <v>144</v>
      </c>
      <c r="P47" s="9">
        <f t="array" ref="P47">IFERROR(O47/$G47*100,0)</f>
        <v>3.9452054794520541</v>
      </c>
      <c r="Q47" s="143">
        <v>9.9999999999999995E-8</v>
      </c>
      <c r="R47" s="9">
        <f t="shared" si="2"/>
        <v>6.944444444444444E-8</v>
      </c>
      <c r="S47" s="8" t="str">
        <f t="array" ref="S47">IF(R47&gt;5,"Perlu Sensus",IF(AND(R47&gt;=0,O47&gt;0),"Tetap Deteksi","Belum Deteksi"))</f>
        <v>Tetap Deteksi</v>
      </c>
      <c r="T47" s="143">
        <v>3</v>
      </c>
      <c r="U47" s="9">
        <f t="shared" si="7"/>
        <v>2.083333333333333</v>
      </c>
      <c r="V47" s="11">
        <v>46249</v>
      </c>
      <c r="W47" s="143">
        <v>218</v>
      </c>
      <c r="X47" s="143">
        <v>1.0000000000000001E-9</v>
      </c>
      <c r="Y47" s="9">
        <f t="shared" si="3"/>
        <v>4.5871559633027524E-10</v>
      </c>
      <c r="Z47" s="8" t="str">
        <f t="array" ref="Z47">IF(Y47&gt;5,"Perlu Sensus",IF(AND(Y47&gt;=0,W47&gt;0),"Tetap Deteksi","Belum Deteksi"))</f>
        <v>Tetap Deteksi</v>
      </c>
      <c r="AA47" s="143">
        <v>1.0000000000000001E-9</v>
      </c>
      <c r="AB47" s="9">
        <f t="shared" si="8"/>
        <v>4.5871559633027524E-10</v>
      </c>
      <c r="AC47" s="11"/>
      <c r="AD47" s="143"/>
      <c r="AE47" s="9">
        <f t="array" ref="AE47">IFERROR(AD47/$G47*100,0)</f>
        <v>0</v>
      </c>
      <c r="AF47" s="143"/>
      <c r="AG47" s="9">
        <f t="shared" si="4"/>
        <v>0</v>
      </c>
      <c r="AH47" s="8" t="str">
        <f t="array" ref="AH47">IF(AG47&gt;5,"Perlu Sensus",IF(AND(AG47&gt;=0,AD47&gt;0),"Tetap Deteksi","Belum Deteksi"))</f>
        <v>Belum Deteksi</v>
      </c>
      <c r="AI47" s="143"/>
      <c r="AJ47" s="9">
        <f t="shared" si="9"/>
        <v>0</v>
      </c>
      <c r="AK47" s="11"/>
      <c r="AL47" s="143"/>
      <c r="AM47" s="143"/>
      <c r="AN47" s="9">
        <f t="shared" si="5"/>
        <v>0</v>
      </c>
      <c r="AO47" s="8" t="str">
        <f t="array" ref="AO47">IF(AN47&gt;5,"Perlu Sensus",IF(AND(AN47&gt;=0,AL47&gt;0),"Tetap Deteksi","Belum Deteksi"))</f>
        <v>Belum Deteksi</v>
      </c>
      <c r="AP47" s="143"/>
      <c r="AQ47" s="9">
        <f t="shared" si="10"/>
        <v>0</v>
      </c>
    </row>
    <row r="48" spans="1:43" outlineLevel="1" x14ac:dyDescent="0.15">
      <c r="A48" s="8" t="s">
        <v>1914</v>
      </c>
      <c r="B48" s="8"/>
      <c r="C48" s="8" t="s">
        <v>79</v>
      </c>
      <c r="D48" s="186" t="s">
        <v>1819</v>
      </c>
      <c r="E48" s="9">
        <v>36.58</v>
      </c>
      <c r="F48" s="8" t="s">
        <v>1740</v>
      </c>
      <c r="G48" s="10">
        <v>4879</v>
      </c>
      <c r="H48" s="11">
        <f t="array" ref="H48">IF(OR(N48&gt;0,AC48&gt;0),MAX(N48,AC48),MAX(AK48,V48))</f>
        <v>46238</v>
      </c>
      <c r="I48" s="143">
        <f t="array" ref="I48">IF(SUM(O48,AD48)&gt;0,SUM(O48,AD48),SUM(AL48,W48))</f>
        <v>187</v>
      </c>
      <c r="J48" s="9">
        <f t="shared" si="0"/>
        <v>3.8327526132404177</v>
      </c>
      <c r="K48" s="143">
        <f t="shared" si="6"/>
        <v>2</v>
      </c>
      <c r="L48" s="9">
        <f t="shared" si="1"/>
        <v>1.0695187165775399</v>
      </c>
      <c r="M48" s="8" t="str">
        <f t="array" ref="M48">IF(L48&gt;5,"Perlu Sensus",IF(AND(L48&gt;=0,I48&gt;0),"Tetap Deteksi","Belum Deteksi"))</f>
        <v>Tetap Deteksi</v>
      </c>
      <c r="N48" s="11">
        <v>46238</v>
      </c>
      <c r="O48" s="143">
        <v>187</v>
      </c>
      <c r="P48" s="9">
        <f t="array" ref="P48">IFERROR(O48/$G48*100,0)</f>
        <v>3.8327526132404177</v>
      </c>
      <c r="Q48" s="143">
        <v>2</v>
      </c>
      <c r="R48" s="9">
        <f t="shared" si="2"/>
        <v>1.0695187165775399</v>
      </c>
      <c r="S48" s="8" t="str">
        <f t="array" ref="S48">IF(R48&gt;5,"Perlu Sensus",IF(AND(R48&gt;=0,O48&gt;0),"Tetap Deteksi","Belum Deteksi"))</f>
        <v>Tetap Deteksi</v>
      </c>
      <c r="T48" s="143">
        <v>1</v>
      </c>
      <c r="U48" s="9">
        <f t="shared" si="7"/>
        <v>0.53475935828876997</v>
      </c>
      <c r="V48" s="11">
        <v>46238</v>
      </c>
      <c r="W48" s="143">
        <v>244</v>
      </c>
      <c r="X48" s="143">
        <v>2</v>
      </c>
      <c r="Y48" s="9">
        <f t="shared" si="3"/>
        <v>0.81967213114754101</v>
      </c>
      <c r="Z48" s="8" t="str">
        <f t="array" ref="Z48">IF(Y48&gt;5,"Perlu Sensus",IF(AND(Y48&gt;=0,W48&gt;0),"Tetap Deteksi","Belum Deteksi"))</f>
        <v>Tetap Deteksi</v>
      </c>
      <c r="AA48" s="143">
        <v>1E-8</v>
      </c>
      <c r="AB48" s="9">
        <f t="shared" si="8"/>
        <v>4.0983606557377049E-9</v>
      </c>
      <c r="AC48" s="11"/>
      <c r="AD48" s="143"/>
      <c r="AE48" s="9">
        <f t="array" ref="AE48">IFERROR(AD48/$G48*100,0)</f>
        <v>0</v>
      </c>
      <c r="AF48" s="143"/>
      <c r="AG48" s="9">
        <f t="shared" si="4"/>
        <v>0</v>
      </c>
      <c r="AH48" s="8" t="str">
        <f t="array" ref="AH48">IF(AG48&gt;5,"Perlu Sensus",IF(AND(AG48&gt;=0,AD48&gt;0),"Tetap Deteksi","Belum Deteksi"))</f>
        <v>Belum Deteksi</v>
      </c>
      <c r="AI48" s="143"/>
      <c r="AJ48" s="9">
        <f t="shared" si="9"/>
        <v>0</v>
      </c>
      <c r="AK48" s="11"/>
      <c r="AL48" s="143"/>
      <c r="AM48" s="143"/>
      <c r="AN48" s="9">
        <f t="shared" si="5"/>
        <v>0</v>
      </c>
      <c r="AO48" s="8" t="str">
        <f t="array" ref="AO48">IF(AN48&gt;5,"Perlu Sensus",IF(AND(AN48&gt;=0,AL48&gt;0),"Tetap Deteksi","Belum Deteksi"))</f>
        <v>Belum Deteksi</v>
      </c>
      <c r="AP48" s="143"/>
      <c r="AQ48" s="9">
        <f t="shared" si="10"/>
        <v>0</v>
      </c>
    </row>
    <row r="49" spans="1:43" outlineLevel="1" x14ac:dyDescent="0.15">
      <c r="A49" s="8" t="s">
        <v>1914</v>
      </c>
      <c r="B49" s="8"/>
      <c r="C49" s="8" t="s">
        <v>79</v>
      </c>
      <c r="D49" s="186" t="s">
        <v>1925</v>
      </c>
      <c r="E49" s="9">
        <v>24.35</v>
      </c>
      <c r="F49" s="8" t="s">
        <v>1740</v>
      </c>
      <c r="G49" s="10">
        <v>3224</v>
      </c>
      <c r="H49" s="11">
        <f t="array" ref="H49">IF(OR(N49&gt;0,AC49&gt;0),MAX(N49,AC49),MAX(AK49,V49))</f>
        <v>46239</v>
      </c>
      <c r="I49" s="143">
        <f t="array" ref="I49">IF(SUM(O49,AD49)&gt;0,SUM(O49,AD49),SUM(AL49,W49))</f>
        <v>205</v>
      </c>
      <c r="J49" s="9">
        <f t="shared" si="0"/>
        <v>6.3585607940446653</v>
      </c>
      <c r="K49" s="143">
        <f t="shared" si="6"/>
        <v>9.9999999999999995E-8</v>
      </c>
      <c r="L49" s="9">
        <f t="shared" si="1"/>
        <v>4.8780487804878047E-8</v>
      </c>
      <c r="M49" s="8" t="str">
        <f t="array" ref="M49">IF(L49&gt;5,"Perlu Sensus",IF(AND(L49&gt;=0,I49&gt;0),"Tetap Deteksi","Belum Deteksi"))</f>
        <v>Tetap Deteksi</v>
      </c>
      <c r="N49" s="11">
        <v>46239</v>
      </c>
      <c r="O49" s="143">
        <v>205</v>
      </c>
      <c r="P49" s="9">
        <f t="array" ref="P49">IFERROR(O49/$G49*100,0)</f>
        <v>6.3585607940446653</v>
      </c>
      <c r="Q49" s="143">
        <v>9.9999999999999995E-8</v>
      </c>
      <c r="R49" s="9">
        <f t="shared" si="2"/>
        <v>4.8780487804878047E-8</v>
      </c>
      <c r="S49" s="8" t="str">
        <f t="array" ref="S49">IF(R49&gt;5,"Perlu Sensus",IF(AND(R49&gt;=0,O49&gt;0),"Tetap Deteksi","Belum Deteksi"))</f>
        <v>Tetap Deteksi</v>
      </c>
      <c r="T49" s="143">
        <v>9.9999999999999995E-8</v>
      </c>
      <c r="U49" s="9">
        <f t="shared" si="7"/>
        <v>4.8780487804878047E-8</v>
      </c>
      <c r="V49" s="11">
        <v>46239</v>
      </c>
      <c r="W49" s="143">
        <v>231</v>
      </c>
      <c r="X49" s="143">
        <v>1.0000000000000001E-9</v>
      </c>
      <c r="Y49" s="9">
        <f t="shared" si="3"/>
        <v>4.3290043290043295E-10</v>
      </c>
      <c r="Z49" s="8" t="str">
        <f t="array" ref="Z49">IF(Y49&gt;5,"Perlu Sensus",IF(AND(Y49&gt;=0,W49&gt;0),"Tetap Deteksi","Belum Deteksi"))</f>
        <v>Tetap Deteksi</v>
      </c>
      <c r="AA49" s="143">
        <v>1.0000000000000001E-9</v>
      </c>
      <c r="AB49" s="9">
        <f t="shared" si="8"/>
        <v>4.3290043290043295E-10</v>
      </c>
      <c r="AC49" s="11"/>
      <c r="AD49" s="143"/>
      <c r="AE49" s="9">
        <f t="array" ref="AE49">IFERROR(AD49/$G49*100,0)</f>
        <v>0</v>
      </c>
      <c r="AF49" s="143"/>
      <c r="AG49" s="9">
        <f t="shared" si="4"/>
        <v>0</v>
      </c>
      <c r="AH49" s="8" t="str">
        <f t="array" ref="AH49">IF(AG49&gt;5,"Perlu Sensus",IF(AND(AG49&gt;=0,AD49&gt;0),"Tetap Deteksi","Belum Deteksi"))</f>
        <v>Belum Deteksi</v>
      </c>
      <c r="AI49" s="143"/>
      <c r="AJ49" s="9">
        <f t="shared" si="9"/>
        <v>0</v>
      </c>
      <c r="AK49" s="11"/>
      <c r="AL49" s="143"/>
      <c r="AM49" s="143"/>
      <c r="AN49" s="9">
        <f t="shared" si="5"/>
        <v>0</v>
      </c>
      <c r="AO49" s="8" t="str">
        <f t="array" ref="AO49">IF(AN49&gt;5,"Perlu Sensus",IF(AND(AN49&gt;=0,AL49&gt;0),"Tetap Deteksi","Belum Deteksi"))</f>
        <v>Belum Deteksi</v>
      </c>
      <c r="AP49" s="143"/>
      <c r="AQ49" s="9">
        <f t="shared" si="10"/>
        <v>0</v>
      </c>
    </row>
    <row r="50" spans="1:43" outlineLevel="1" x14ac:dyDescent="0.15">
      <c r="A50" s="8" t="s">
        <v>1914</v>
      </c>
      <c r="B50" s="8"/>
      <c r="C50" s="8" t="s">
        <v>79</v>
      </c>
      <c r="D50" s="186" t="s">
        <v>1817</v>
      </c>
      <c r="E50" s="9">
        <v>24.84</v>
      </c>
      <c r="F50" s="8" t="s">
        <v>1740</v>
      </c>
      <c r="G50" s="10">
        <v>2975</v>
      </c>
      <c r="H50" s="11">
        <f t="array" ref="H50">IF(OR(N50&gt;0,AC50&gt;0),MAX(N50,AC50),MAX(AK50,V50))</f>
        <v>46237</v>
      </c>
      <c r="I50" s="143">
        <f t="array" ref="I50">IF(SUM(O50,AD50)&gt;0,SUM(O50,AD50),SUM(AL50,W50))</f>
        <v>177</v>
      </c>
      <c r="J50" s="9">
        <f t="shared" si="0"/>
        <v>5.9495798319327733</v>
      </c>
      <c r="K50" s="143">
        <f t="shared" si="6"/>
        <v>1.0000000000000001E-9</v>
      </c>
      <c r="L50" s="9">
        <f t="shared" si="1"/>
        <v>5.6497175141242941E-10</v>
      </c>
      <c r="M50" s="8" t="str">
        <f t="array" ref="M50">IF(L50&gt;5,"Perlu Sensus",IF(AND(L50&gt;=0,I50&gt;0),"Tetap Deteksi","Belum Deteksi"))</f>
        <v>Tetap Deteksi</v>
      </c>
      <c r="N50" s="11">
        <v>46237</v>
      </c>
      <c r="O50" s="143">
        <v>177</v>
      </c>
      <c r="P50" s="9">
        <f t="array" ref="P50">IFERROR(O50/$G50*100,0)</f>
        <v>5.9495798319327733</v>
      </c>
      <c r="Q50" s="143">
        <v>1.0000000000000001E-9</v>
      </c>
      <c r="R50" s="9">
        <f t="shared" si="2"/>
        <v>5.6497175141242941E-10</v>
      </c>
      <c r="S50" s="8" t="str">
        <f t="array" ref="S50">IF(R50&gt;5,"Perlu Sensus",IF(AND(R50&gt;=0,O50&gt;0),"Tetap Deteksi","Belum Deteksi"))</f>
        <v>Tetap Deteksi</v>
      </c>
      <c r="T50" s="143">
        <v>1.0000000000000001E-9</v>
      </c>
      <c r="U50" s="9">
        <f t="shared" si="7"/>
        <v>5.6497175141242941E-10</v>
      </c>
      <c r="V50" s="11">
        <v>46237</v>
      </c>
      <c r="W50" s="143">
        <v>214</v>
      </c>
      <c r="X50" s="143">
        <v>2</v>
      </c>
      <c r="Y50" s="9">
        <f t="shared" si="3"/>
        <v>0.93457943925233633</v>
      </c>
      <c r="Z50" s="8" t="str">
        <f t="array" ref="Z50">IF(Y50&gt;5,"Perlu Sensus",IF(AND(Y50&gt;=0,W50&gt;0),"Tetap Deteksi","Belum Deteksi"))</f>
        <v>Tetap Deteksi</v>
      </c>
      <c r="AA50" s="143">
        <v>1</v>
      </c>
      <c r="AB50" s="9">
        <f t="shared" si="8"/>
        <v>0.46728971962616817</v>
      </c>
      <c r="AC50" s="11"/>
      <c r="AD50" s="143"/>
      <c r="AE50" s="9">
        <f t="array" ref="AE50">IFERROR(AD50/$G50*100,0)</f>
        <v>0</v>
      </c>
      <c r="AF50" s="143"/>
      <c r="AG50" s="9">
        <f t="shared" si="4"/>
        <v>0</v>
      </c>
      <c r="AH50" s="8" t="str">
        <f t="array" ref="AH50">IF(AG50&gt;5,"Perlu Sensus",IF(AND(AG50&gt;=0,AD50&gt;0),"Tetap Deteksi","Belum Deteksi"))</f>
        <v>Belum Deteksi</v>
      </c>
      <c r="AI50" s="143"/>
      <c r="AJ50" s="9">
        <f t="shared" si="9"/>
        <v>0</v>
      </c>
      <c r="AK50" s="11"/>
      <c r="AL50" s="143"/>
      <c r="AM50" s="143"/>
      <c r="AN50" s="9">
        <f t="shared" si="5"/>
        <v>0</v>
      </c>
      <c r="AO50" s="8" t="str">
        <f t="array" ref="AO50">IF(AN50&gt;5,"Perlu Sensus",IF(AND(AN50&gt;=0,AL50&gt;0),"Tetap Deteksi","Belum Deteksi"))</f>
        <v>Belum Deteksi</v>
      </c>
      <c r="AP50" s="143"/>
      <c r="AQ50" s="9">
        <f t="shared" si="10"/>
        <v>0</v>
      </c>
    </row>
    <row r="51" spans="1:43" outlineLevel="1" x14ac:dyDescent="0.15">
      <c r="A51" s="8" t="s">
        <v>1914</v>
      </c>
      <c r="B51" s="8"/>
      <c r="C51" s="8" t="s">
        <v>79</v>
      </c>
      <c r="D51" s="186" t="s">
        <v>1750</v>
      </c>
      <c r="E51" s="9">
        <v>29.330000000000002</v>
      </c>
      <c r="F51" s="8" t="s">
        <v>1740</v>
      </c>
      <c r="G51" s="10">
        <v>3924.0000000000005</v>
      </c>
      <c r="H51" s="11">
        <f t="array" ref="H51">IF(OR(N51&gt;0,AC51&gt;0),MAX(N51,AC51),MAX(AK51,V51))</f>
        <v>46237</v>
      </c>
      <c r="I51" s="143">
        <f t="array" ref="I51">IF(SUM(O51,AD51)&gt;0,SUM(O51,AD51),SUM(AL51,W51))</f>
        <v>211</v>
      </c>
      <c r="J51" s="9">
        <f t="shared" si="0"/>
        <v>5.3771661569826694</v>
      </c>
      <c r="K51" s="143">
        <f t="shared" si="6"/>
        <v>3</v>
      </c>
      <c r="L51" s="9">
        <f t="shared" si="1"/>
        <v>1.4218009478672986</v>
      </c>
      <c r="M51" s="8" t="str">
        <f t="array" ref="M51">IF(L51&gt;5,"Perlu Sensus",IF(AND(L51&gt;=0,I51&gt;0),"Tetap Deteksi","Belum Deteksi"))</f>
        <v>Tetap Deteksi</v>
      </c>
      <c r="N51" s="11">
        <v>46237</v>
      </c>
      <c r="O51" s="143">
        <v>211</v>
      </c>
      <c r="P51" s="9">
        <f t="array" ref="P51">IFERROR(O51/$G51*100,0)</f>
        <v>5.3771661569826694</v>
      </c>
      <c r="Q51" s="143">
        <v>3</v>
      </c>
      <c r="R51" s="9">
        <f t="shared" si="2"/>
        <v>1.4218009478672986</v>
      </c>
      <c r="S51" s="8" t="str">
        <f t="array" ref="S51">IF(R51&gt;5,"Perlu Sensus",IF(AND(R51&gt;=0,O51&gt;0),"Tetap Deteksi","Belum Deteksi"))</f>
        <v>Tetap Deteksi</v>
      </c>
      <c r="T51" s="143">
        <v>5</v>
      </c>
      <c r="U51" s="9">
        <f t="shared" si="7"/>
        <v>2.3696682464454977</v>
      </c>
      <c r="V51" s="11">
        <v>46237</v>
      </c>
      <c r="W51" s="143">
        <v>209</v>
      </c>
      <c r="X51" s="143">
        <v>4</v>
      </c>
      <c r="Y51" s="9">
        <f t="shared" si="3"/>
        <v>1.9138755980861244</v>
      </c>
      <c r="Z51" s="8" t="str">
        <f t="array" ref="Z51">IF(Y51&gt;5,"Perlu Sensus",IF(AND(Y51&gt;=0,W51&gt;0),"Tetap Deteksi","Belum Deteksi"))</f>
        <v>Tetap Deteksi</v>
      </c>
      <c r="AA51" s="143">
        <v>2</v>
      </c>
      <c r="AB51" s="9">
        <f t="shared" si="8"/>
        <v>0.9569377990430622</v>
      </c>
      <c r="AC51" s="11"/>
      <c r="AD51" s="143"/>
      <c r="AE51" s="9">
        <f t="array" ref="AE51">IFERROR(AD51/$G51*100,0)</f>
        <v>0</v>
      </c>
      <c r="AF51" s="143"/>
      <c r="AG51" s="9">
        <f t="shared" si="4"/>
        <v>0</v>
      </c>
      <c r="AH51" s="8" t="str">
        <f t="array" ref="AH51">IF(AG51&gt;5,"Perlu Sensus",IF(AND(AG51&gt;=0,AD51&gt;0),"Tetap Deteksi","Belum Deteksi"))</f>
        <v>Belum Deteksi</v>
      </c>
      <c r="AI51" s="143"/>
      <c r="AJ51" s="9">
        <f t="shared" si="9"/>
        <v>0</v>
      </c>
      <c r="AK51" s="11"/>
      <c r="AL51" s="143"/>
      <c r="AM51" s="143"/>
      <c r="AN51" s="9">
        <f t="shared" si="5"/>
        <v>0</v>
      </c>
      <c r="AO51" s="8" t="str">
        <f t="array" ref="AO51">IF(AN51&gt;5,"Perlu Sensus",IF(AND(AN51&gt;=0,AL51&gt;0),"Tetap Deteksi","Belum Deteksi"))</f>
        <v>Belum Deteksi</v>
      </c>
      <c r="AP51" s="143"/>
      <c r="AQ51" s="9">
        <f t="shared" si="10"/>
        <v>0</v>
      </c>
    </row>
    <row r="52" spans="1:43" outlineLevel="1" x14ac:dyDescent="0.15">
      <c r="A52" s="8" t="s">
        <v>1914</v>
      </c>
      <c r="B52" s="8"/>
      <c r="C52" s="8" t="s">
        <v>79</v>
      </c>
      <c r="D52" s="186" t="s">
        <v>1751</v>
      </c>
      <c r="E52" s="9">
        <v>35.86</v>
      </c>
      <c r="F52" s="8" t="s">
        <v>1740</v>
      </c>
      <c r="G52" s="10">
        <v>4757</v>
      </c>
      <c r="H52" s="11">
        <f t="array" ref="H52">IF(OR(N52&gt;0,AC52&gt;0),MAX(N52,AC52),MAX(AK52,V52))</f>
        <v>46238</v>
      </c>
      <c r="I52" s="143">
        <f t="array" ref="I52">IF(SUM(O52,AD52)&gt;0,SUM(O52,AD52),SUM(AL52,W52))</f>
        <v>192</v>
      </c>
      <c r="J52" s="9">
        <f t="shared" si="0"/>
        <v>4.0361572419592182</v>
      </c>
      <c r="K52" s="143">
        <f t="shared" si="6"/>
        <v>1E-8</v>
      </c>
      <c r="L52" s="9">
        <f t="shared" si="1"/>
        <v>5.2083333333333336E-9</v>
      </c>
      <c r="M52" s="8" t="str">
        <f t="array" ref="M52">IF(L52&gt;5,"Perlu Sensus",IF(AND(L52&gt;=0,I52&gt;0),"Tetap Deteksi","Belum Deteksi"))</f>
        <v>Tetap Deteksi</v>
      </c>
      <c r="N52" s="11">
        <v>46238</v>
      </c>
      <c r="O52" s="143">
        <v>192</v>
      </c>
      <c r="P52" s="9">
        <f t="array" ref="P52">IFERROR(O52/$G52*100,0)</f>
        <v>4.0361572419592182</v>
      </c>
      <c r="Q52" s="143">
        <v>1E-8</v>
      </c>
      <c r="R52" s="9">
        <f t="shared" si="2"/>
        <v>5.2083333333333336E-9</v>
      </c>
      <c r="S52" s="8" t="str">
        <f t="array" ref="S52">IF(R52&gt;5,"Perlu Sensus",IF(AND(R52&gt;=0,O52&gt;0),"Tetap Deteksi","Belum Deteksi"))</f>
        <v>Tetap Deteksi</v>
      </c>
      <c r="T52" s="143">
        <v>1</v>
      </c>
      <c r="U52" s="9">
        <f t="shared" si="7"/>
        <v>0.52083333333333326</v>
      </c>
      <c r="V52" s="11">
        <v>46238</v>
      </c>
      <c r="W52" s="143">
        <v>256</v>
      </c>
      <c r="X52" s="143">
        <v>4</v>
      </c>
      <c r="Y52" s="9">
        <f t="shared" si="3"/>
        <v>1.5625</v>
      </c>
      <c r="Z52" s="8" t="str">
        <f t="array" ref="Z52">IF(Y52&gt;5,"Perlu Sensus",IF(AND(Y52&gt;=0,W52&gt;0),"Tetap Deteksi","Belum Deteksi"))</f>
        <v>Tetap Deteksi</v>
      </c>
      <c r="AA52" s="143">
        <v>1</v>
      </c>
      <c r="AB52" s="9">
        <f t="shared" si="8"/>
        <v>0.390625</v>
      </c>
      <c r="AC52" s="11"/>
      <c r="AD52" s="143"/>
      <c r="AE52" s="9">
        <f t="array" ref="AE52">IFERROR(AD52/$G52*100,0)</f>
        <v>0</v>
      </c>
      <c r="AF52" s="143"/>
      <c r="AG52" s="9">
        <f t="shared" si="4"/>
        <v>0</v>
      </c>
      <c r="AH52" s="8" t="str">
        <f t="array" ref="AH52">IF(AG52&gt;5,"Perlu Sensus",IF(AND(AG52&gt;=0,AD52&gt;0),"Tetap Deteksi","Belum Deteksi"))</f>
        <v>Belum Deteksi</v>
      </c>
      <c r="AI52" s="143"/>
      <c r="AJ52" s="9">
        <f t="shared" si="9"/>
        <v>0</v>
      </c>
      <c r="AK52" s="11"/>
      <c r="AL52" s="143"/>
      <c r="AM52" s="143"/>
      <c r="AN52" s="9">
        <f t="shared" si="5"/>
        <v>0</v>
      </c>
      <c r="AO52" s="8" t="str">
        <f t="array" ref="AO52">IF(AN52&gt;5,"Perlu Sensus",IF(AND(AN52&gt;=0,AL52&gt;0),"Tetap Deteksi","Belum Deteksi"))</f>
        <v>Belum Deteksi</v>
      </c>
      <c r="AP52" s="143"/>
      <c r="AQ52" s="9">
        <f t="shared" si="10"/>
        <v>0</v>
      </c>
    </row>
    <row r="53" spans="1:43" outlineLevel="1" x14ac:dyDescent="0.15">
      <c r="A53" s="8" t="s">
        <v>1914</v>
      </c>
      <c r="B53" s="8"/>
      <c r="C53" s="8" t="s">
        <v>79</v>
      </c>
      <c r="D53" s="186" t="s">
        <v>1818</v>
      </c>
      <c r="E53" s="9">
        <v>29.27</v>
      </c>
      <c r="F53" s="8" t="s">
        <v>1740</v>
      </c>
      <c r="G53" s="10">
        <v>4116</v>
      </c>
      <c r="H53" s="11">
        <f t="array" ref="H53">IF(OR(N53&gt;0,AC53&gt;0),MAX(N53,AC53),MAX(AK53,V53))</f>
        <v>46238</v>
      </c>
      <c r="I53" s="143">
        <f t="array" ref="I53">IF(SUM(O53,AD53)&gt;0,SUM(O53,AD53),SUM(AL53,W53))</f>
        <v>213</v>
      </c>
      <c r="J53" s="9">
        <f t="shared" si="0"/>
        <v>5.1749271137026236</v>
      </c>
      <c r="K53" s="143">
        <f t="shared" si="6"/>
        <v>1E-8</v>
      </c>
      <c r="L53" s="9">
        <f t="shared" si="1"/>
        <v>4.6948356807511736E-9</v>
      </c>
      <c r="M53" s="8" t="str">
        <f t="array" ref="M53">IF(L53&gt;5,"Perlu Sensus",IF(AND(L53&gt;=0,I53&gt;0),"Tetap Deteksi","Belum Deteksi"))</f>
        <v>Tetap Deteksi</v>
      </c>
      <c r="N53" s="11">
        <v>46238</v>
      </c>
      <c r="O53" s="143">
        <v>213</v>
      </c>
      <c r="P53" s="9">
        <f t="array" ref="P53">IFERROR(O53/$G53*100,0)</f>
        <v>5.1749271137026236</v>
      </c>
      <c r="Q53" s="143">
        <v>1E-8</v>
      </c>
      <c r="R53" s="9">
        <f t="shared" si="2"/>
        <v>4.6948356807511736E-9</v>
      </c>
      <c r="S53" s="8" t="str">
        <f t="array" ref="S53">IF(R53&gt;5,"Perlu Sensus",IF(AND(R53&gt;=0,O53&gt;0),"Tetap Deteksi","Belum Deteksi"))</f>
        <v>Tetap Deteksi</v>
      </c>
      <c r="T53" s="143">
        <v>1E-8</v>
      </c>
      <c r="U53" s="9">
        <f t="shared" si="7"/>
        <v>4.6948356807511736E-9</v>
      </c>
      <c r="V53" s="11">
        <v>46238</v>
      </c>
      <c r="W53" s="143">
        <v>275</v>
      </c>
      <c r="X53" s="143">
        <v>2</v>
      </c>
      <c r="Y53" s="9">
        <f t="shared" si="3"/>
        <v>0.72727272727272729</v>
      </c>
      <c r="Z53" s="8" t="str">
        <f t="array" ref="Z53">IF(Y53&gt;5,"Perlu Sensus",IF(AND(Y53&gt;=0,W53&gt;0),"Tetap Deteksi","Belum Deteksi"))</f>
        <v>Tetap Deteksi</v>
      </c>
      <c r="AA53" s="143">
        <v>1E-8</v>
      </c>
      <c r="AB53" s="9">
        <f t="shared" si="8"/>
        <v>3.636363636363636E-9</v>
      </c>
      <c r="AC53" s="11"/>
      <c r="AD53" s="143"/>
      <c r="AE53" s="9">
        <f t="array" ref="AE53">IFERROR(AD53/$G53*100,0)</f>
        <v>0</v>
      </c>
      <c r="AF53" s="143"/>
      <c r="AG53" s="9">
        <f t="shared" si="4"/>
        <v>0</v>
      </c>
      <c r="AH53" s="8" t="str">
        <f t="array" ref="AH53">IF(AG53&gt;5,"Perlu Sensus",IF(AND(AG53&gt;=0,AD53&gt;0),"Tetap Deteksi","Belum Deteksi"))</f>
        <v>Belum Deteksi</v>
      </c>
      <c r="AI53" s="143"/>
      <c r="AJ53" s="9">
        <f t="shared" si="9"/>
        <v>0</v>
      </c>
      <c r="AK53" s="11"/>
      <c r="AL53" s="143"/>
      <c r="AM53" s="143"/>
      <c r="AN53" s="9">
        <f t="shared" si="5"/>
        <v>0</v>
      </c>
      <c r="AO53" s="8" t="str">
        <f t="array" ref="AO53">IF(AN53&gt;5,"Perlu Sensus",IF(AND(AN53&gt;=0,AL53&gt;0),"Tetap Deteksi","Belum Deteksi"))</f>
        <v>Belum Deteksi</v>
      </c>
      <c r="AP53" s="143"/>
      <c r="AQ53" s="9">
        <f t="shared" si="10"/>
        <v>0</v>
      </c>
    </row>
    <row r="54" spans="1:43" outlineLevel="1" x14ac:dyDescent="0.15">
      <c r="A54" s="8" t="s">
        <v>1914</v>
      </c>
      <c r="B54" s="8"/>
      <c r="C54" s="8" t="s">
        <v>79</v>
      </c>
      <c r="D54" s="186" t="s">
        <v>1336</v>
      </c>
      <c r="E54" s="9">
        <v>29.52</v>
      </c>
      <c r="F54" s="8" t="s">
        <v>1740</v>
      </c>
      <c r="G54" s="10">
        <v>4107</v>
      </c>
      <c r="H54" s="11">
        <f t="array" ref="H54">IF(OR(N54&gt;0,AC54&gt;0),MAX(N54,AC54),MAX(AK54,V54))</f>
        <v>46240</v>
      </c>
      <c r="I54" s="143">
        <f t="array" ref="I54">IF(SUM(O54,AD54)&gt;0,SUM(O54,AD54),SUM(AL54,W54))</f>
        <v>182</v>
      </c>
      <c r="J54" s="9">
        <f t="shared" si="0"/>
        <v>4.4314584855125396</v>
      </c>
      <c r="K54" s="143">
        <f t="shared" si="6"/>
        <v>2</v>
      </c>
      <c r="L54" s="9">
        <f t="shared" si="1"/>
        <v>1.098901098901099</v>
      </c>
      <c r="M54" s="8" t="str">
        <f t="array" ref="M54">IF(L54&gt;5,"Perlu Sensus",IF(AND(L54&gt;=0,I54&gt;0),"Tetap Deteksi","Belum Deteksi"))</f>
        <v>Tetap Deteksi</v>
      </c>
      <c r="N54" s="11">
        <v>46240</v>
      </c>
      <c r="O54" s="143">
        <v>182</v>
      </c>
      <c r="P54" s="9">
        <f t="array" ref="P54">IFERROR(O54/$G54*100,0)</f>
        <v>4.4314584855125396</v>
      </c>
      <c r="Q54" s="143">
        <v>2</v>
      </c>
      <c r="R54" s="9">
        <f t="shared" si="2"/>
        <v>1.098901098901099</v>
      </c>
      <c r="S54" s="8" t="str">
        <f t="array" ref="S54">IF(R54&gt;5,"Perlu Sensus",IF(AND(R54&gt;=0,O54&gt;0),"Tetap Deteksi","Belum Deteksi"))</f>
        <v>Tetap Deteksi</v>
      </c>
      <c r="T54" s="143">
        <v>3</v>
      </c>
      <c r="U54" s="9">
        <f t="shared" si="7"/>
        <v>1.6483516483516485</v>
      </c>
      <c r="V54" s="11">
        <v>46240</v>
      </c>
      <c r="W54" s="143">
        <v>251</v>
      </c>
      <c r="X54" s="143">
        <v>1E-8</v>
      </c>
      <c r="Y54" s="9">
        <f t="shared" si="3"/>
        <v>3.9840637450199202E-9</v>
      </c>
      <c r="Z54" s="8" t="str">
        <f t="array" ref="Z54">IF(Y54&gt;5,"Perlu Sensus",IF(AND(Y54&gt;=0,W54&gt;0),"Tetap Deteksi","Belum Deteksi"))</f>
        <v>Tetap Deteksi</v>
      </c>
      <c r="AA54" s="143">
        <v>2</v>
      </c>
      <c r="AB54" s="9">
        <f t="shared" si="8"/>
        <v>0.79681274900398402</v>
      </c>
      <c r="AC54" s="11"/>
      <c r="AD54" s="143"/>
      <c r="AE54" s="9">
        <f t="array" ref="AE54">IFERROR(AD54/$G54*100,0)</f>
        <v>0</v>
      </c>
      <c r="AF54" s="143"/>
      <c r="AG54" s="9">
        <f t="shared" si="4"/>
        <v>0</v>
      </c>
      <c r="AH54" s="8" t="str">
        <f t="array" ref="AH54">IF(AG54&gt;5,"Perlu Sensus",IF(AND(AG54&gt;=0,AD54&gt;0),"Tetap Deteksi","Belum Deteksi"))</f>
        <v>Belum Deteksi</v>
      </c>
      <c r="AI54" s="143"/>
      <c r="AJ54" s="9">
        <f t="shared" si="9"/>
        <v>0</v>
      </c>
      <c r="AK54" s="11"/>
      <c r="AL54" s="143"/>
      <c r="AM54" s="143"/>
      <c r="AN54" s="9">
        <f t="shared" si="5"/>
        <v>0</v>
      </c>
      <c r="AO54" s="8" t="str">
        <f t="array" ref="AO54">IF(AN54&gt;5,"Perlu Sensus",IF(AND(AN54&gt;=0,AL54&gt;0),"Tetap Deteksi","Belum Deteksi"))</f>
        <v>Belum Deteksi</v>
      </c>
      <c r="AP54" s="143"/>
      <c r="AQ54" s="9">
        <f t="shared" si="10"/>
        <v>0</v>
      </c>
    </row>
    <row r="55" spans="1:43" outlineLevel="1" x14ac:dyDescent="0.15">
      <c r="A55" s="8" t="s">
        <v>1914</v>
      </c>
      <c r="B55" s="8"/>
      <c r="C55" s="8" t="s">
        <v>79</v>
      </c>
      <c r="D55" s="186" t="s">
        <v>1337</v>
      </c>
      <c r="E55" s="9">
        <v>25</v>
      </c>
      <c r="F55" s="8" t="s">
        <v>1740</v>
      </c>
      <c r="G55" s="10">
        <v>3819</v>
      </c>
      <c r="H55" s="11">
        <f t="array" ref="H55">IF(OR(N55&gt;0,AC55&gt;0),MAX(N55,AC55),MAX(AK55,V55))</f>
        <v>46240</v>
      </c>
      <c r="I55" s="143">
        <f t="array" ref="I55">IF(SUM(O55,AD55)&gt;0,SUM(O55,AD55),SUM(AL55,W55))</f>
        <v>155</v>
      </c>
      <c r="J55" s="9">
        <f t="shared" si="0"/>
        <v>4.0586540979313952</v>
      </c>
      <c r="K55" s="143">
        <f t="shared" si="6"/>
        <v>3</v>
      </c>
      <c r="L55" s="9">
        <f t="shared" si="1"/>
        <v>1.935483870967742</v>
      </c>
      <c r="M55" s="8" t="str">
        <f t="array" ref="M55">IF(L55&gt;5,"Perlu Sensus",IF(AND(L55&gt;=0,I55&gt;0),"Tetap Deteksi","Belum Deteksi"))</f>
        <v>Tetap Deteksi</v>
      </c>
      <c r="N55" s="11">
        <v>46240</v>
      </c>
      <c r="O55" s="143">
        <v>155</v>
      </c>
      <c r="P55" s="9">
        <f t="array" ref="P55">IFERROR(O55/$G55*100,0)</f>
        <v>4.0586540979313952</v>
      </c>
      <c r="Q55" s="143">
        <v>3</v>
      </c>
      <c r="R55" s="9">
        <f t="shared" si="2"/>
        <v>1.935483870967742</v>
      </c>
      <c r="S55" s="8" t="str">
        <f t="array" ref="S55">IF(R55&gt;5,"Perlu Sensus",IF(AND(R55&gt;=0,O55&gt;0),"Tetap Deteksi","Belum Deteksi"))</f>
        <v>Tetap Deteksi</v>
      </c>
      <c r="T55" s="143">
        <v>1</v>
      </c>
      <c r="U55" s="9">
        <f t="shared" si="7"/>
        <v>0.64516129032258063</v>
      </c>
      <c r="V55" s="11">
        <v>46240</v>
      </c>
      <c r="W55" s="143">
        <v>187</v>
      </c>
      <c r="X55" s="143">
        <v>2</v>
      </c>
      <c r="Y55" s="9">
        <f t="shared" si="3"/>
        <v>1.0695187165775399</v>
      </c>
      <c r="Z55" s="8" t="str">
        <f t="array" ref="Z55">IF(Y55&gt;5,"Perlu Sensus",IF(AND(Y55&gt;=0,W55&gt;0),"Tetap Deteksi","Belum Deteksi"))</f>
        <v>Tetap Deteksi</v>
      </c>
      <c r="AA55" s="143">
        <v>1</v>
      </c>
      <c r="AB55" s="9">
        <f t="shared" si="8"/>
        <v>0.53475935828876997</v>
      </c>
      <c r="AC55" s="11"/>
      <c r="AD55" s="143"/>
      <c r="AE55" s="9">
        <f t="array" ref="AE55">IFERROR(AD55/$G55*100,0)</f>
        <v>0</v>
      </c>
      <c r="AF55" s="143"/>
      <c r="AG55" s="9">
        <f t="shared" si="4"/>
        <v>0</v>
      </c>
      <c r="AH55" s="8" t="str">
        <f t="array" ref="AH55">IF(AG55&gt;5,"Perlu Sensus",IF(AND(AG55&gt;=0,AD55&gt;0),"Tetap Deteksi","Belum Deteksi"))</f>
        <v>Belum Deteksi</v>
      </c>
      <c r="AI55" s="143"/>
      <c r="AJ55" s="9">
        <f t="shared" si="9"/>
        <v>0</v>
      </c>
      <c r="AK55" s="11"/>
      <c r="AL55" s="143"/>
      <c r="AM55" s="143"/>
      <c r="AN55" s="9">
        <f t="shared" si="5"/>
        <v>0</v>
      </c>
      <c r="AO55" s="8" t="str">
        <f t="array" ref="AO55">IF(AN55&gt;5,"Perlu Sensus",IF(AND(AN55&gt;=0,AL55&gt;0),"Tetap Deteksi","Belum Deteksi"))</f>
        <v>Belum Deteksi</v>
      </c>
      <c r="AP55" s="143"/>
      <c r="AQ55" s="9">
        <f t="shared" si="10"/>
        <v>0</v>
      </c>
    </row>
    <row r="56" spans="1:43" outlineLevel="1" x14ac:dyDescent="0.15">
      <c r="A56" s="8" t="s">
        <v>1914</v>
      </c>
      <c r="B56" s="8"/>
      <c r="C56" s="8" t="s">
        <v>79</v>
      </c>
      <c r="D56" s="186" t="s">
        <v>1338</v>
      </c>
      <c r="E56" s="9">
        <v>30.22</v>
      </c>
      <c r="F56" s="8" t="s">
        <v>1740</v>
      </c>
      <c r="G56" s="10">
        <v>3920.0000000000005</v>
      </c>
      <c r="H56" s="11">
        <f t="array" ref="H56">IF(OR(N56&gt;0,AC56&gt;0),MAX(N56,AC56),MAX(AK56,V56))</f>
        <v>46240</v>
      </c>
      <c r="I56" s="143">
        <f t="array" ref="I56">IF(SUM(O56,AD56)&gt;0,SUM(O56,AD56),SUM(AL56,W56))</f>
        <v>209</v>
      </c>
      <c r="J56" s="9">
        <f t="shared" si="0"/>
        <v>5.3316326530612237</v>
      </c>
      <c r="K56" s="143">
        <f t="shared" si="6"/>
        <v>3</v>
      </c>
      <c r="L56" s="9">
        <f t="shared" si="1"/>
        <v>1.4354066985645932</v>
      </c>
      <c r="M56" s="8" t="str">
        <f t="array" ref="M56">IF(L56&gt;5,"Perlu Sensus",IF(AND(L56&gt;=0,I56&gt;0),"Tetap Deteksi","Belum Deteksi"))</f>
        <v>Tetap Deteksi</v>
      </c>
      <c r="N56" s="11">
        <v>46240</v>
      </c>
      <c r="O56" s="143">
        <v>209</v>
      </c>
      <c r="P56" s="9">
        <f t="array" ref="P56">IFERROR(O56/$G56*100,0)</f>
        <v>5.3316326530612237</v>
      </c>
      <c r="Q56" s="143">
        <v>3</v>
      </c>
      <c r="R56" s="9">
        <f t="shared" si="2"/>
        <v>1.4354066985645932</v>
      </c>
      <c r="S56" s="8" t="str">
        <f t="array" ref="S56">IF(R56&gt;5,"Perlu Sensus",IF(AND(R56&gt;=0,O56&gt;0),"Tetap Deteksi","Belum Deteksi"))</f>
        <v>Tetap Deteksi</v>
      </c>
      <c r="T56" s="143">
        <v>1E-8</v>
      </c>
      <c r="U56" s="9">
        <f t="shared" si="7"/>
        <v>4.7846889952153107E-9</v>
      </c>
      <c r="V56" s="11">
        <v>46240</v>
      </c>
      <c r="W56" s="143">
        <v>167</v>
      </c>
      <c r="X56" s="143">
        <v>3</v>
      </c>
      <c r="Y56" s="9">
        <f t="shared" si="3"/>
        <v>1.7964071856287425</v>
      </c>
      <c r="Z56" s="8" t="str">
        <f t="array" ref="Z56">IF(Y56&gt;5,"Perlu Sensus",IF(AND(Y56&gt;=0,W56&gt;0),"Tetap Deteksi","Belum Deteksi"))</f>
        <v>Tetap Deteksi</v>
      </c>
      <c r="AA56" s="143">
        <v>5</v>
      </c>
      <c r="AB56" s="9">
        <f t="shared" si="8"/>
        <v>2.9940119760479043</v>
      </c>
      <c r="AC56" s="11"/>
      <c r="AD56" s="143"/>
      <c r="AE56" s="9">
        <f t="array" ref="AE56">IFERROR(AD56/$G56*100,0)</f>
        <v>0</v>
      </c>
      <c r="AF56" s="143"/>
      <c r="AG56" s="9">
        <f t="shared" si="4"/>
        <v>0</v>
      </c>
      <c r="AH56" s="8" t="str">
        <f t="array" ref="AH56">IF(AG56&gt;5,"Perlu Sensus",IF(AND(AG56&gt;=0,AD56&gt;0),"Tetap Deteksi","Belum Deteksi"))</f>
        <v>Belum Deteksi</v>
      </c>
      <c r="AI56" s="143"/>
      <c r="AJ56" s="9">
        <f t="shared" si="9"/>
        <v>0</v>
      </c>
      <c r="AK56" s="11"/>
      <c r="AL56" s="143"/>
      <c r="AM56" s="143"/>
      <c r="AN56" s="9">
        <f t="shared" si="5"/>
        <v>0</v>
      </c>
      <c r="AO56" s="8" t="str">
        <f t="array" ref="AO56">IF(AN56&gt;5,"Perlu Sensus",IF(AND(AN56&gt;=0,AL56&gt;0),"Tetap Deteksi","Belum Deteksi"))</f>
        <v>Belum Deteksi</v>
      </c>
      <c r="AP56" s="143"/>
      <c r="AQ56" s="9">
        <f t="shared" si="10"/>
        <v>0</v>
      </c>
    </row>
    <row r="57" spans="1:43" outlineLevel="1" x14ac:dyDescent="0.15">
      <c r="A57" s="8" t="s">
        <v>1914</v>
      </c>
      <c r="B57" s="8"/>
      <c r="C57" s="8" t="s">
        <v>79</v>
      </c>
      <c r="D57" s="186" t="s">
        <v>1820</v>
      </c>
      <c r="E57" s="9">
        <v>24.1</v>
      </c>
      <c r="F57" s="8" t="s">
        <v>1740</v>
      </c>
      <c r="G57" s="10">
        <v>3162.9999999999995</v>
      </c>
      <c r="H57" s="11">
        <f t="array" ref="H57">IF(OR(N57&gt;0,AC57&gt;0),MAX(N57,AC57),MAX(AK57,V57))</f>
        <v>46239</v>
      </c>
      <c r="I57" s="143">
        <f t="array" ref="I57">IF(SUM(O57,AD57)&gt;0,SUM(O57,AD57),SUM(AL57,W57))</f>
        <v>200</v>
      </c>
      <c r="J57" s="9">
        <f t="shared" si="0"/>
        <v>6.3231109705975355</v>
      </c>
      <c r="K57" s="143">
        <f t="shared" si="6"/>
        <v>2</v>
      </c>
      <c r="L57" s="9">
        <f t="shared" si="1"/>
        <v>1</v>
      </c>
      <c r="M57" s="8" t="str">
        <f t="array" ref="M57">IF(L57&gt;5,"Perlu Sensus",IF(AND(L57&gt;=0,I57&gt;0),"Tetap Deteksi","Belum Deteksi"))</f>
        <v>Tetap Deteksi</v>
      </c>
      <c r="N57" s="11">
        <v>46239</v>
      </c>
      <c r="O57" s="143">
        <v>200</v>
      </c>
      <c r="P57" s="9">
        <f t="array" ref="P57">IFERROR(O57/$G57*100,0)</f>
        <v>6.3231109705975355</v>
      </c>
      <c r="Q57" s="143">
        <v>2</v>
      </c>
      <c r="R57" s="9">
        <f t="shared" si="2"/>
        <v>1</v>
      </c>
      <c r="S57" s="8" t="str">
        <f t="array" ref="S57">IF(R57&gt;5,"Perlu Sensus",IF(AND(R57&gt;=0,O57&gt;0),"Tetap Deteksi","Belum Deteksi"))</f>
        <v>Tetap Deteksi</v>
      </c>
      <c r="T57" s="143">
        <v>4</v>
      </c>
      <c r="U57" s="9">
        <f t="shared" si="7"/>
        <v>2</v>
      </c>
      <c r="V57" s="11">
        <v>46239</v>
      </c>
      <c r="W57" s="143">
        <v>263</v>
      </c>
      <c r="X57" s="143">
        <v>1.0000000000000001E-9</v>
      </c>
      <c r="Y57" s="9">
        <f t="shared" si="3"/>
        <v>3.8022813688212929E-10</v>
      </c>
      <c r="Z57" s="8" t="str">
        <f t="array" ref="Z57">IF(Y57&gt;5,"Perlu Sensus",IF(AND(Y57&gt;=0,W57&gt;0),"Tetap Deteksi","Belum Deteksi"))</f>
        <v>Tetap Deteksi</v>
      </c>
      <c r="AA57" s="143">
        <v>2</v>
      </c>
      <c r="AB57" s="9">
        <f t="shared" si="8"/>
        <v>0.76045627376425851</v>
      </c>
      <c r="AC57" s="11"/>
      <c r="AD57" s="143"/>
      <c r="AE57" s="9">
        <f t="array" ref="AE57">IFERROR(AD57/$G57*100,0)</f>
        <v>0</v>
      </c>
      <c r="AF57" s="143"/>
      <c r="AG57" s="9">
        <f t="shared" si="4"/>
        <v>0</v>
      </c>
      <c r="AH57" s="8" t="str">
        <f t="array" ref="AH57">IF(AG57&gt;5,"Perlu Sensus",IF(AND(AG57&gt;=0,AD57&gt;0),"Tetap Deteksi","Belum Deteksi"))</f>
        <v>Belum Deteksi</v>
      </c>
      <c r="AI57" s="143"/>
      <c r="AJ57" s="9">
        <f t="shared" si="9"/>
        <v>0</v>
      </c>
      <c r="AK57" s="11"/>
      <c r="AL57" s="143"/>
      <c r="AM57" s="143"/>
      <c r="AN57" s="9">
        <f t="shared" si="5"/>
        <v>0</v>
      </c>
      <c r="AO57" s="8" t="str">
        <f t="array" ref="AO57">IF(AN57&gt;5,"Perlu Sensus",IF(AND(AN57&gt;=0,AL57&gt;0),"Tetap Deteksi","Belum Deteksi"))</f>
        <v>Belum Deteksi</v>
      </c>
      <c r="AP57" s="143"/>
      <c r="AQ57" s="9">
        <f t="shared" si="10"/>
        <v>0</v>
      </c>
    </row>
    <row r="58" spans="1:43" outlineLevel="1" x14ac:dyDescent="0.15">
      <c r="A58" s="8" t="s">
        <v>1914</v>
      </c>
      <c r="B58" s="8"/>
      <c r="C58" s="8" t="s">
        <v>79</v>
      </c>
      <c r="D58" s="186" t="s">
        <v>1753</v>
      </c>
      <c r="E58" s="9">
        <v>46.109999999999992</v>
      </c>
      <c r="F58" s="8" t="s">
        <v>1740</v>
      </c>
      <c r="G58" s="10">
        <v>6140</v>
      </c>
      <c r="H58" s="11">
        <f t="array" ref="H58">IF(OR(N58&gt;0,AC58&gt;0),MAX(N58,AC58),MAX(AK58,V58))</f>
        <v>46239</v>
      </c>
      <c r="I58" s="143">
        <f t="array" ref="I58">IF(SUM(O58,AD58)&gt;0,SUM(O58,AD58),SUM(AL58,W58))</f>
        <v>167</v>
      </c>
      <c r="J58" s="9">
        <f t="shared" si="0"/>
        <v>2.7198697068403908</v>
      </c>
      <c r="K58" s="143">
        <f t="shared" si="6"/>
        <v>9.9999999999999995E-8</v>
      </c>
      <c r="L58" s="9">
        <f t="shared" si="1"/>
        <v>5.9880239520958083E-8</v>
      </c>
      <c r="M58" s="8" t="str">
        <f t="array" ref="M58">IF(L58&gt;5,"Perlu Sensus",IF(AND(L58&gt;=0,I58&gt;0),"Tetap Deteksi","Belum Deteksi"))</f>
        <v>Tetap Deteksi</v>
      </c>
      <c r="N58" s="11">
        <v>46239</v>
      </c>
      <c r="O58" s="143">
        <v>167</v>
      </c>
      <c r="P58" s="9">
        <f t="array" ref="P58">IFERROR(O58/$G58*100,0)</f>
        <v>2.7198697068403908</v>
      </c>
      <c r="Q58" s="143">
        <v>9.9999999999999995E-8</v>
      </c>
      <c r="R58" s="9">
        <f t="shared" si="2"/>
        <v>5.9880239520958083E-8</v>
      </c>
      <c r="S58" s="8" t="str">
        <f t="array" ref="S58">IF(R58&gt;5,"Perlu Sensus",IF(AND(R58&gt;=0,O58&gt;0),"Tetap Deteksi","Belum Deteksi"))</f>
        <v>Tetap Deteksi</v>
      </c>
      <c r="T58" s="143">
        <v>1</v>
      </c>
      <c r="U58" s="9">
        <f t="shared" si="7"/>
        <v>0.5988023952095809</v>
      </c>
      <c r="V58" s="11">
        <v>46239</v>
      </c>
      <c r="W58" s="143">
        <v>220</v>
      </c>
      <c r="X58" s="143">
        <v>2</v>
      </c>
      <c r="Y58" s="9">
        <f t="shared" si="3"/>
        <v>0.90909090909090906</v>
      </c>
      <c r="Z58" s="8" t="str">
        <f t="array" ref="Z58">IF(Y58&gt;5,"Perlu Sensus",IF(AND(Y58&gt;=0,W58&gt;0),"Tetap Deteksi","Belum Deteksi"))</f>
        <v>Tetap Deteksi</v>
      </c>
      <c r="AA58" s="143">
        <v>4</v>
      </c>
      <c r="AB58" s="9">
        <f t="shared" si="8"/>
        <v>1.8181818181818181</v>
      </c>
      <c r="AC58" s="11"/>
      <c r="AD58" s="143"/>
      <c r="AE58" s="9">
        <f t="array" ref="AE58">IFERROR(AD58/$G58*100,0)</f>
        <v>0</v>
      </c>
      <c r="AF58" s="143"/>
      <c r="AG58" s="9">
        <f t="shared" si="4"/>
        <v>0</v>
      </c>
      <c r="AH58" s="8" t="str">
        <f t="array" ref="AH58">IF(AG58&gt;5,"Perlu Sensus",IF(AND(AG58&gt;=0,AD58&gt;0),"Tetap Deteksi","Belum Deteksi"))</f>
        <v>Belum Deteksi</v>
      </c>
      <c r="AI58" s="143"/>
      <c r="AJ58" s="9">
        <f t="shared" si="9"/>
        <v>0</v>
      </c>
      <c r="AK58" s="11"/>
      <c r="AL58" s="143"/>
      <c r="AM58" s="143"/>
      <c r="AN58" s="9">
        <f t="shared" si="5"/>
        <v>0</v>
      </c>
      <c r="AO58" s="8" t="str">
        <f t="array" ref="AO58">IF(AN58&gt;5,"Perlu Sensus",IF(AND(AN58&gt;=0,AL58&gt;0),"Tetap Deteksi","Belum Deteksi"))</f>
        <v>Belum Deteksi</v>
      </c>
      <c r="AP58" s="143"/>
      <c r="AQ58" s="9">
        <f t="shared" si="10"/>
        <v>0</v>
      </c>
    </row>
    <row r="59" spans="1:43" outlineLevel="1" x14ac:dyDescent="0.15">
      <c r="A59" s="8" t="s">
        <v>1914</v>
      </c>
      <c r="B59" s="8"/>
      <c r="C59" s="8" t="s">
        <v>79</v>
      </c>
      <c r="D59" s="186" t="s">
        <v>1339</v>
      </c>
      <c r="E59" s="9">
        <v>35.56</v>
      </c>
      <c r="F59" s="8" t="s">
        <v>1740</v>
      </c>
      <c r="G59" s="10">
        <v>5433</v>
      </c>
      <c r="H59" s="11">
        <f t="array" ref="H59">IF(OR(N59&gt;0,AC59&gt;0),MAX(N59,AC59),MAX(AK59,V59))</f>
        <v>46249</v>
      </c>
      <c r="I59" s="143">
        <f t="array" ref="I59">IF(SUM(O59,AD59)&gt;0,SUM(O59,AD59),SUM(AL59,W59))</f>
        <v>218</v>
      </c>
      <c r="J59" s="9">
        <f t="shared" si="0"/>
        <v>4.0125161052825327</v>
      </c>
      <c r="K59" s="143">
        <f t="shared" si="6"/>
        <v>3</v>
      </c>
      <c r="L59" s="9">
        <f t="shared" si="1"/>
        <v>1.3761467889908259</v>
      </c>
      <c r="M59" s="8" t="str">
        <f t="array" ref="M59">IF(L59&gt;5,"Perlu Sensus",IF(AND(L59&gt;=0,I59&gt;0),"Tetap Deteksi","Belum Deteksi"))</f>
        <v>Tetap Deteksi</v>
      </c>
      <c r="N59" s="11">
        <v>46249</v>
      </c>
      <c r="O59" s="143">
        <v>218</v>
      </c>
      <c r="P59" s="9">
        <f t="array" ref="P59">IFERROR(O59/$G59*100,0)</f>
        <v>4.0125161052825327</v>
      </c>
      <c r="Q59" s="143">
        <v>3</v>
      </c>
      <c r="R59" s="9">
        <f t="shared" si="2"/>
        <v>1.3761467889908259</v>
      </c>
      <c r="S59" s="8" t="str">
        <f t="array" ref="S59">IF(R59&gt;5,"Perlu Sensus",IF(AND(R59&gt;=0,O59&gt;0),"Tetap Deteksi","Belum Deteksi"))</f>
        <v>Tetap Deteksi</v>
      </c>
      <c r="T59" s="143">
        <v>9.9999999999999994E-12</v>
      </c>
      <c r="U59" s="9">
        <f t="shared" si="7"/>
        <v>4.5871559633027518E-12</v>
      </c>
      <c r="V59" s="11">
        <v>46244</v>
      </c>
      <c r="W59" s="143">
        <v>209</v>
      </c>
      <c r="X59" s="143">
        <v>3</v>
      </c>
      <c r="Y59" s="9">
        <f t="shared" si="3"/>
        <v>1.4354066985645932</v>
      </c>
      <c r="Z59" s="8" t="str">
        <f t="array" ref="Z59">IF(Y59&gt;5,"Perlu Sensus",IF(AND(Y59&gt;=0,W59&gt;0),"Tetap Deteksi","Belum Deteksi"))</f>
        <v>Tetap Deteksi</v>
      </c>
      <c r="AA59" s="143">
        <v>1</v>
      </c>
      <c r="AB59" s="9">
        <f t="shared" si="8"/>
        <v>0.4784688995215311</v>
      </c>
      <c r="AC59" s="11"/>
      <c r="AD59" s="143"/>
      <c r="AE59" s="9">
        <f t="array" ref="AE59">IFERROR(AD59/$G59*100,0)</f>
        <v>0</v>
      </c>
      <c r="AF59" s="143"/>
      <c r="AG59" s="9">
        <f t="shared" si="4"/>
        <v>0</v>
      </c>
      <c r="AH59" s="8" t="str">
        <f t="array" ref="AH59">IF(AG59&gt;5,"Perlu Sensus",IF(AND(AG59&gt;=0,AD59&gt;0),"Tetap Deteksi","Belum Deteksi"))</f>
        <v>Belum Deteksi</v>
      </c>
      <c r="AI59" s="143"/>
      <c r="AJ59" s="9">
        <f t="shared" si="9"/>
        <v>0</v>
      </c>
      <c r="AK59" s="11"/>
      <c r="AL59" s="143"/>
      <c r="AM59" s="143"/>
      <c r="AN59" s="9">
        <f t="shared" si="5"/>
        <v>0</v>
      </c>
      <c r="AO59" s="8" t="str">
        <f t="array" ref="AO59">IF(AN59&gt;5,"Perlu Sensus",IF(AND(AN59&gt;=0,AL59&gt;0),"Tetap Deteksi","Belum Deteksi"))</f>
        <v>Belum Deteksi</v>
      </c>
      <c r="AP59" s="143"/>
      <c r="AQ59" s="9">
        <f t="shared" si="10"/>
        <v>0</v>
      </c>
    </row>
    <row r="60" spans="1:43" outlineLevel="1" x14ac:dyDescent="0.15">
      <c r="A60" s="8" t="s">
        <v>1914</v>
      </c>
      <c r="B60" s="8"/>
      <c r="C60" s="8" t="s">
        <v>79</v>
      </c>
      <c r="D60" s="8" t="s">
        <v>1341</v>
      </c>
      <c r="E60" s="9">
        <v>39.21</v>
      </c>
      <c r="F60" s="8" t="s">
        <v>1740</v>
      </c>
      <c r="G60" s="10">
        <v>5910</v>
      </c>
      <c r="H60" s="11">
        <f t="array" ref="H60">IF(OR(N60&gt;0,AC60&gt;0),MAX(N60,AC60),MAX(AK60,V60))</f>
        <v>46244</v>
      </c>
      <c r="I60" s="143">
        <f t="array" ref="I60">IF(SUM(O60,AD60)&gt;0,SUM(O60,AD60),SUM(AL60,W60))</f>
        <v>188</v>
      </c>
      <c r="J60" s="9">
        <f t="shared" si="0"/>
        <v>3.1810490693739424</v>
      </c>
      <c r="K60" s="143">
        <f t="shared" si="6"/>
        <v>1</v>
      </c>
      <c r="L60" s="9">
        <f t="shared" si="1"/>
        <v>0.53191489361702127</v>
      </c>
      <c r="M60" s="8" t="str">
        <f t="array" ref="M60">IF(L60&gt;5,"Perlu Sensus",IF(AND(L60&gt;=0,I60&gt;0),"Tetap Deteksi","Belum Deteksi"))</f>
        <v>Tetap Deteksi</v>
      </c>
      <c r="N60" s="11">
        <v>46244</v>
      </c>
      <c r="O60" s="143">
        <v>188</v>
      </c>
      <c r="P60" s="9">
        <f t="array" ref="P60">IFERROR(O60/$G60*100,0)</f>
        <v>3.1810490693739424</v>
      </c>
      <c r="Q60" s="143">
        <v>1</v>
      </c>
      <c r="R60" s="9">
        <f t="shared" si="2"/>
        <v>0.53191489361702127</v>
      </c>
      <c r="S60" s="8" t="str">
        <f t="array" ref="S60">IF(R60&gt;5,"Perlu Sensus",IF(AND(R60&gt;=0,O60&gt;0),"Tetap Deteksi","Belum Deteksi"))</f>
        <v>Tetap Deteksi</v>
      </c>
      <c r="T60" s="143">
        <v>1.0000000000000001E-9</v>
      </c>
      <c r="U60" s="9">
        <f t="shared" si="7"/>
        <v>5.3191489361702129E-10</v>
      </c>
      <c r="V60" s="11">
        <v>46244</v>
      </c>
      <c r="W60" s="143">
        <v>216</v>
      </c>
      <c r="X60" s="143">
        <v>3</v>
      </c>
      <c r="Y60" s="9">
        <f t="shared" si="3"/>
        <v>1.3888888888888888</v>
      </c>
      <c r="Z60" s="8" t="str">
        <f t="array" ref="Z60">IF(Y60&gt;5,"Perlu Sensus",IF(AND(Y60&gt;=0,W60&gt;0),"Tetap Deteksi","Belum Deteksi"))</f>
        <v>Tetap Deteksi</v>
      </c>
      <c r="AA60" s="143">
        <v>2</v>
      </c>
      <c r="AB60" s="9">
        <f t="shared" si="8"/>
        <v>0.92592592592592582</v>
      </c>
      <c r="AC60" s="11"/>
      <c r="AD60" s="143"/>
      <c r="AE60" s="9">
        <f t="array" ref="AE60">IFERROR(AD60/$G60*100,0)</f>
        <v>0</v>
      </c>
      <c r="AF60" s="143"/>
      <c r="AG60" s="9">
        <f t="shared" si="4"/>
        <v>0</v>
      </c>
      <c r="AH60" s="8" t="str">
        <f t="array" ref="AH60">IF(AG60&gt;5,"Perlu Sensus",IF(AND(AG60&gt;=0,AD60&gt;0),"Tetap Deteksi","Belum Deteksi"))</f>
        <v>Belum Deteksi</v>
      </c>
      <c r="AI60" s="143"/>
      <c r="AJ60" s="9">
        <f t="shared" si="9"/>
        <v>0</v>
      </c>
      <c r="AK60" s="11"/>
      <c r="AL60" s="143"/>
      <c r="AM60" s="143"/>
      <c r="AN60" s="9">
        <f t="shared" si="5"/>
        <v>0</v>
      </c>
      <c r="AO60" s="8" t="str">
        <f t="array" ref="AO60">IF(AN60&gt;5,"Perlu Sensus",IF(AND(AN60&gt;=0,AL60&gt;0),"Tetap Deteksi","Belum Deteksi"))</f>
        <v>Belum Deteksi</v>
      </c>
      <c r="AP60" s="143"/>
      <c r="AQ60" s="9">
        <f t="shared" si="10"/>
        <v>0</v>
      </c>
    </row>
    <row r="61" spans="1:43" outlineLevel="1" x14ac:dyDescent="0.15">
      <c r="A61" s="8" t="s">
        <v>1914</v>
      </c>
      <c r="B61" s="8"/>
      <c r="C61" s="8" t="s">
        <v>79</v>
      </c>
      <c r="D61" s="186" t="s">
        <v>1340</v>
      </c>
      <c r="E61" s="9">
        <v>35.43</v>
      </c>
      <c r="F61" s="8" t="s">
        <v>1740</v>
      </c>
      <c r="G61" s="10">
        <v>4924</v>
      </c>
      <c r="H61" s="11">
        <f t="array" ref="H61">IF(OR(N61&gt;0,AC61&gt;0),MAX(N61,AC61),MAX(AK61,V61))</f>
        <v>46249</v>
      </c>
      <c r="I61" s="143">
        <f t="array" ref="I61">IF(SUM(O61,AD61)&gt;0,SUM(O61,AD61),SUM(AL61,W61))</f>
        <v>203</v>
      </c>
      <c r="J61" s="9">
        <f t="shared" si="0"/>
        <v>4.1226645004061737</v>
      </c>
      <c r="K61" s="143">
        <f t="shared" si="6"/>
        <v>1</v>
      </c>
      <c r="L61" s="9">
        <f t="shared" si="1"/>
        <v>0.49261083743842365</v>
      </c>
      <c r="M61" s="8" t="str">
        <f t="array" ref="M61">IF(L61&gt;5,"Perlu Sensus",IF(AND(L61&gt;=0,I61&gt;0),"Tetap Deteksi","Belum Deteksi"))</f>
        <v>Tetap Deteksi</v>
      </c>
      <c r="N61" s="11">
        <v>46249</v>
      </c>
      <c r="O61" s="143">
        <v>203</v>
      </c>
      <c r="P61" s="9">
        <f t="array" ref="P61">IFERROR(O61/$G61*100,0)</f>
        <v>4.1226645004061737</v>
      </c>
      <c r="Q61" s="143">
        <v>1</v>
      </c>
      <c r="R61" s="9">
        <f t="shared" si="2"/>
        <v>0.49261083743842365</v>
      </c>
      <c r="S61" s="8" t="str">
        <f t="array" ref="S61">IF(R61&gt;5,"Perlu Sensus",IF(AND(R61&gt;=0,O61&gt;0),"Tetap Deteksi","Belum Deteksi"))</f>
        <v>Tetap Deteksi</v>
      </c>
      <c r="T61" s="143">
        <v>1</v>
      </c>
      <c r="U61" s="9">
        <f t="shared" si="7"/>
        <v>0.49261083743842365</v>
      </c>
      <c r="V61" s="11">
        <v>46244</v>
      </c>
      <c r="W61" s="143">
        <v>187</v>
      </c>
      <c r="X61" s="143">
        <v>2</v>
      </c>
      <c r="Y61" s="9">
        <f t="shared" si="3"/>
        <v>1.0695187165775399</v>
      </c>
      <c r="Z61" s="8" t="str">
        <f t="array" ref="Z61">IF(Y61&gt;5,"Perlu Sensus",IF(AND(Y61&gt;=0,W61&gt;0),"Tetap Deteksi","Belum Deteksi"))</f>
        <v>Tetap Deteksi</v>
      </c>
      <c r="AA61" s="143">
        <v>2</v>
      </c>
      <c r="AB61" s="9">
        <f t="shared" si="8"/>
        <v>1.0695187165775399</v>
      </c>
      <c r="AC61" s="11"/>
      <c r="AD61" s="143"/>
      <c r="AE61" s="9">
        <f t="array" ref="AE61">IFERROR(AD61/$G61*100,0)</f>
        <v>0</v>
      </c>
      <c r="AF61" s="143"/>
      <c r="AG61" s="9">
        <f t="shared" si="4"/>
        <v>0</v>
      </c>
      <c r="AH61" s="8" t="str">
        <f t="array" ref="AH61">IF(AG61&gt;5,"Perlu Sensus",IF(AND(AG61&gt;=0,AD61&gt;0),"Tetap Deteksi","Belum Deteksi"))</f>
        <v>Belum Deteksi</v>
      </c>
      <c r="AI61" s="143"/>
      <c r="AJ61" s="9">
        <f t="shared" si="9"/>
        <v>0</v>
      </c>
      <c r="AK61" s="11"/>
      <c r="AL61" s="143"/>
      <c r="AM61" s="143"/>
      <c r="AN61" s="9">
        <f t="shared" si="5"/>
        <v>0</v>
      </c>
      <c r="AO61" s="8" t="str">
        <f t="array" ref="AO61">IF(AN61&gt;5,"Perlu Sensus",IF(AND(AN61&gt;=0,AL61&gt;0),"Tetap Deteksi","Belum Deteksi"))</f>
        <v>Belum Deteksi</v>
      </c>
      <c r="AP61" s="143"/>
      <c r="AQ61" s="9">
        <f t="shared" si="10"/>
        <v>0</v>
      </c>
    </row>
    <row r="62" spans="1:43" outlineLevel="1" x14ac:dyDescent="0.15">
      <c r="A62" s="8" t="s">
        <v>1914</v>
      </c>
      <c r="B62" s="8"/>
      <c r="C62" s="8" t="s">
        <v>107</v>
      </c>
      <c r="D62" s="186" t="s">
        <v>1333</v>
      </c>
      <c r="E62" s="9">
        <v>38.540000000000006</v>
      </c>
      <c r="F62" s="8" t="s">
        <v>1740</v>
      </c>
      <c r="G62" s="10">
        <v>4905</v>
      </c>
      <c r="H62" s="11">
        <f t="array" ref="H62">IF(OR(N62&gt;0,AC62&gt;0),MAX(N62,AC62),MAX(AK62,V62))</f>
        <v>46249</v>
      </c>
      <c r="I62" s="143">
        <f t="array" ref="I62">IF(SUM(O62,AD62)&gt;0,SUM(O62,AD62),SUM(AL62,W62))</f>
        <v>172</v>
      </c>
      <c r="J62" s="9">
        <f t="shared" si="0"/>
        <v>3.5066258919469928</v>
      </c>
      <c r="K62" s="143">
        <f t="shared" si="6"/>
        <v>1.0000000000000001E-9</v>
      </c>
      <c r="L62" s="9">
        <f t="shared" si="1"/>
        <v>5.813953488372093E-10</v>
      </c>
      <c r="M62" s="8" t="str">
        <f t="array" ref="M62">IF(L62&gt;5,"Perlu Sensus",IF(AND(L62&gt;=0,I62&gt;0),"Tetap Deteksi","Belum Deteksi"))</f>
        <v>Tetap Deteksi</v>
      </c>
      <c r="N62" s="11">
        <v>46249</v>
      </c>
      <c r="O62" s="143">
        <v>172</v>
      </c>
      <c r="P62" s="9">
        <f t="array" ref="P62">IFERROR(O62/$G62*100,0)</f>
        <v>3.5066258919469928</v>
      </c>
      <c r="Q62" s="143">
        <v>1.0000000000000001E-9</v>
      </c>
      <c r="R62" s="9">
        <f t="shared" si="2"/>
        <v>5.813953488372093E-10</v>
      </c>
      <c r="S62" s="8" t="str">
        <f t="array" ref="S62">IF(R62&gt;5,"Perlu Sensus",IF(AND(R62&gt;=0,O62&gt;0),"Tetap Deteksi","Belum Deteksi"))</f>
        <v>Tetap Deteksi</v>
      </c>
      <c r="T62" s="143">
        <v>1.0000000000000001E-9</v>
      </c>
      <c r="U62" s="9">
        <f t="shared" si="7"/>
        <v>5.813953488372093E-10</v>
      </c>
      <c r="V62" s="11">
        <v>46249</v>
      </c>
      <c r="W62" s="143">
        <v>198</v>
      </c>
      <c r="X62" s="143">
        <v>5</v>
      </c>
      <c r="Y62" s="9">
        <f t="shared" si="3"/>
        <v>2.5252525252525251</v>
      </c>
      <c r="Z62" s="8" t="str">
        <f t="array" ref="Z62">IF(Y62&gt;5,"Perlu Sensus",IF(AND(Y62&gt;=0,W62&gt;0),"Tetap Deteksi","Belum Deteksi"))</f>
        <v>Tetap Deteksi</v>
      </c>
      <c r="AA62" s="143">
        <v>4</v>
      </c>
      <c r="AB62" s="9">
        <f t="shared" si="8"/>
        <v>2.0202020202020203</v>
      </c>
      <c r="AC62" s="11"/>
      <c r="AD62" s="143"/>
      <c r="AE62" s="9">
        <f t="array" ref="AE62">IFERROR(AD62/$G62*100,0)</f>
        <v>0</v>
      </c>
      <c r="AF62" s="143"/>
      <c r="AG62" s="9">
        <f t="shared" si="4"/>
        <v>0</v>
      </c>
      <c r="AH62" s="8" t="str">
        <f t="array" ref="AH62">IF(AG62&gt;5,"Perlu Sensus",IF(AND(AG62&gt;=0,AD62&gt;0),"Tetap Deteksi","Belum Deteksi"))</f>
        <v>Belum Deteksi</v>
      </c>
      <c r="AI62" s="143"/>
      <c r="AJ62" s="9">
        <f t="shared" si="9"/>
        <v>0</v>
      </c>
      <c r="AK62" s="11"/>
      <c r="AL62" s="143"/>
      <c r="AM62" s="143"/>
      <c r="AN62" s="9">
        <f t="shared" si="5"/>
        <v>0</v>
      </c>
      <c r="AO62" s="8" t="str">
        <f t="array" ref="AO62">IF(AN62&gt;5,"Perlu Sensus",IF(AND(AN62&gt;=0,AL62&gt;0),"Tetap Deteksi","Belum Deteksi"))</f>
        <v>Belum Deteksi</v>
      </c>
      <c r="AP62" s="143"/>
      <c r="AQ62" s="9">
        <f t="shared" si="10"/>
        <v>0</v>
      </c>
    </row>
    <row r="63" spans="1:43" outlineLevel="1" x14ac:dyDescent="0.15">
      <c r="A63" s="8" t="s">
        <v>1914</v>
      </c>
      <c r="B63" s="8"/>
      <c r="C63" s="8" t="s">
        <v>107</v>
      </c>
      <c r="D63" s="186" t="s">
        <v>1372</v>
      </c>
      <c r="E63" s="9">
        <v>38.5</v>
      </c>
      <c r="F63" s="8" t="s">
        <v>1740</v>
      </c>
      <c r="G63" s="10">
        <v>4520</v>
      </c>
      <c r="H63" s="11">
        <f t="array" ref="H63">IF(OR(N63&gt;0,AC63&gt;0),MAX(N63,AC63),MAX(AK63,V63))</f>
        <v>46238</v>
      </c>
      <c r="I63" s="143">
        <f t="array" ref="I63">IF(SUM(O63,AD63)&gt;0,SUM(O63,AD63),SUM(AL63,W63))</f>
        <v>147</v>
      </c>
      <c r="J63" s="9">
        <f t="shared" si="0"/>
        <v>3.2522123893805306</v>
      </c>
      <c r="K63" s="143">
        <f t="shared" si="6"/>
        <v>1E-8</v>
      </c>
      <c r="L63" s="9">
        <f t="shared" si="1"/>
        <v>6.802721088435375E-9</v>
      </c>
      <c r="M63" s="8" t="str">
        <f t="array" ref="M63">IF(L63&gt;5,"Perlu Sensus",IF(AND(L63&gt;=0,I63&gt;0),"Tetap Deteksi","Belum Deteksi"))</f>
        <v>Tetap Deteksi</v>
      </c>
      <c r="N63" s="11">
        <v>46238</v>
      </c>
      <c r="O63" s="143">
        <v>147</v>
      </c>
      <c r="P63" s="9">
        <f t="array" ref="P63">IFERROR(O63/$G63*100,0)</f>
        <v>3.2522123893805306</v>
      </c>
      <c r="Q63" s="143">
        <v>1E-8</v>
      </c>
      <c r="R63" s="9">
        <f t="shared" si="2"/>
        <v>6.802721088435375E-9</v>
      </c>
      <c r="S63" s="8" t="str">
        <f t="array" ref="S63">IF(R63&gt;5,"Perlu Sensus",IF(AND(R63&gt;=0,O63&gt;0),"Tetap Deteksi","Belum Deteksi"))</f>
        <v>Tetap Deteksi</v>
      </c>
      <c r="T63" s="143">
        <v>1</v>
      </c>
      <c r="U63" s="9">
        <f t="shared" si="7"/>
        <v>0.68027210884353739</v>
      </c>
      <c r="V63" s="11">
        <v>46238</v>
      </c>
      <c r="W63" s="143">
        <v>298</v>
      </c>
      <c r="X63" s="143">
        <v>1E-8</v>
      </c>
      <c r="Y63" s="9">
        <f t="shared" si="3"/>
        <v>3.3557046979865772E-9</v>
      </c>
      <c r="Z63" s="8" t="str">
        <f t="array" ref="Z63">IF(Y63&gt;5,"Perlu Sensus",IF(AND(Y63&gt;=0,W63&gt;0),"Tetap Deteksi","Belum Deteksi"))</f>
        <v>Tetap Deteksi</v>
      </c>
      <c r="AA63" s="143">
        <v>2</v>
      </c>
      <c r="AB63" s="9">
        <f t="shared" si="8"/>
        <v>0.67114093959731547</v>
      </c>
      <c r="AC63" s="11"/>
      <c r="AD63" s="143"/>
      <c r="AE63" s="9">
        <f t="array" ref="AE63">IFERROR(AD63/$G63*100,0)</f>
        <v>0</v>
      </c>
      <c r="AF63" s="143"/>
      <c r="AG63" s="9">
        <f t="shared" si="4"/>
        <v>0</v>
      </c>
      <c r="AH63" s="8" t="str">
        <f t="array" ref="AH63">IF(AG63&gt;5,"Perlu Sensus",IF(AND(AG63&gt;=0,AD63&gt;0),"Tetap Deteksi","Belum Deteksi"))</f>
        <v>Belum Deteksi</v>
      </c>
      <c r="AI63" s="143"/>
      <c r="AJ63" s="9">
        <f t="shared" si="9"/>
        <v>0</v>
      </c>
      <c r="AK63" s="11"/>
      <c r="AL63" s="143"/>
      <c r="AM63" s="143"/>
      <c r="AN63" s="9">
        <f t="shared" si="5"/>
        <v>0</v>
      </c>
      <c r="AO63" s="8" t="str">
        <f t="array" ref="AO63">IF(AN63&gt;5,"Perlu Sensus",IF(AND(AN63&gt;=0,AL63&gt;0),"Tetap Deteksi","Belum Deteksi"))</f>
        <v>Belum Deteksi</v>
      </c>
      <c r="AP63" s="143"/>
      <c r="AQ63" s="9">
        <f t="shared" si="10"/>
        <v>0</v>
      </c>
    </row>
    <row r="64" spans="1:43" outlineLevel="1" x14ac:dyDescent="0.15">
      <c r="A64" s="8" t="s">
        <v>1914</v>
      </c>
      <c r="B64" s="8"/>
      <c r="C64" s="8" t="s">
        <v>107</v>
      </c>
      <c r="D64" s="186" t="s">
        <v>956</v>
      </c>
      <c r="E64" s="9">
        <v>29.11</v>
      </c>
      <c r="F64" s="8" t="s">
        <v>1740</v>
      </c>
      <c r="G64" s="10">
        <v>3457</v>
      </c>
      <c r="H64" s="11">
        <f t="array" ref="H64">IF(OR(N64&gt;0,AC64&gt;0),MAX(N64,AC64),MAX(AK64,V64))</f>
        <v>46238</v>
      </c>
      <c r="I64" s="143">
        <f t="array" ref="I64">IF(SUM(O64,AD64)&gt;0,SUM(O64,AD64),SUM(AL64,W64))</f>
        <v>200</v>
      </c>
      <c r="J64" s="9">
        <f t="shared" si="0"/>
        <v>5.7853630315302285</v>
      </c>
      <c r="K64" s="143">
        <f t="shared" si="6"/>
        <v>1E-8</v>
      </c>
      <c r="L64" s="9">
        <f t="shared" si="1"/>
        <v>5.0000000000000001E-9</v>
      </c>
      <c r="M64" s="8" t="str">
        <f t="array" ref="M64">IF(L64&gt;5,"Perlu Sensus",IF(AND(L64&gt;=0,I64&gt;0),"Tetap Deteksi","Belum Deteksi"))</f>
        <v>Tetap Deteksi</v>
      </c>
      <c r="N64" s="11">
        <v>46238</v>
      </c>
      <c r="O64" s="143">
        <v>200</v>
      </c>
      <c r="P64" s="9">
        <f t="array" ref="P64">IFERROR(O64/$G64*100,0)</f>
        <v>5.7853630315302285</v>
      </c>
      <c r="Q64" s="143">
        <v>1E-8</v>
      </c>
      <c r="R64" s="9">
        <f t="shared" si="2"/>
        <v>5.0000000000000001E-9</v>
      </c>
      <c r="S64" s="8" t="str">
        <f t="array" ref="S64">IF(R64&gt;5,"Perlu Sensus",IF(AND(R64&gt;=0,O64&gt;0),"Tetap Deteksi","Belum Deteksi"))</f>
        <v>Tetap Deteksi</v>
      </c>
      <c r="T64" s="143">
        <v>1E-8</v>
      </c>
      <c r="U64" s="9">
        <f t="shared" si="7"/>
        <v>5.0000000000000001E-9</v>
      </c>
      <c r="V64" s="11">
        <v>46238</v>
      </c>
      <c r="W64" s="143">
        <v>213</v>
      </c>
      <c r="X64" s="143">
        <v>3</v>
      </c>
      <c r="Y64" s="9">
        <f t="shared" si="3"/>
        <v>1.4084507042253522</v>
      </c>
      <c r="Z64" s="8" t="str">
        <f t="array" ref="Z64">IF(Y64&gt;5,"Perlu Sensus",IF(AND(Y64&gt;=0,W64&gt;0),"Tetap Deteksi","Belum Deteksi"))</f>
        <v>Tetap Deteksi</v>
      </c>
      <c r="AA64" s="143">
        <v>1</v>
      </c>
      <c r="AB64" s="9">
        <f t="shared" si="8"/>
        <v>0.46948356807511737</v>
      </c>
      <c r="AC64" s="11"/>
      <c r="AD64" s="143"/>
      <c r="AE64" s="9">
        <f t="array" ref="AE64">IFERROR(AD64/$G64*100,0)</f>
        <v>0</v>
      </c>
      <c r="AF64" s="143"/>
      <c r="AG64" s="9">
        <f t="shared" si="4"/>
        <v>0</v>
      </c>
      <c r="AH64" s="8" t="str">
        <f t="array" ref="AH64">IF(AG64&gt;5,"Perlu Sensus",IF(AND(AG64&gt;=0,AD64&gt;0),"Tetap Deteksi","Belum Deteksi"))</f>
        <v>Belum Deteksi</v>
      </c>
      <c r="AI64" s="143"/>
      <c r="AJ64" s="9">
        <f t="shared" si="9"/>
        <v>0</v>
      </c>
      <c r="AK64" s="11"/>
      <c r="AL64" s="143"/>
      <c r="AM64" s="143"/>
      <c r="AN64" s="9">
        <f t="shared" si="5"/>
        <v>0</v>
      </c>
      <c r="AO64" s="8" t="str">
        <f t="array" ref="AO64">IF(AN64&gt;5,"Perlu Sensus",IF(AND(AN64&gt;=0,AL64&gt;0),"Tetap Deteksi","Belum Deteksi"))</f>
        <v>Belum Deteksi</v>
      </c>
      <c r="AP64" s="143"/>
      <c r="AQ64" s="9">
        <f t="shared" si="10"/>
        <v>0</v>
      </c>
    </row>
    <row r="65" spans="1:43" outlineLevel="1" x14ac:dyDescent="0.15">
      <c r="A65" s="8" t="s">
        <v>1914</v>
      </c>
      <c r="B65" s="8"/>
      <c r="C65" s="8" t="s">
        <v>107</v>
      </c>
      <c r="D65" s="186" t="s">
        <v>1363</v>
      </c>
      <c r="E65" s="9">
        <v>37.25</v>
      </c>
      <c r="F65" s="8" t="s">
        <v>1740</v>
      </c>
      <c r="G65" s="10">
        <v>4633</v>
      </c>
      <c r="H65" s="11">
        <f t="array" ref="H65">IF(OR(N65&gt;0,AC65&gt;0),MAX(N65,AC65),MAX(AK65,V65))</f>
        <v>46246</v>
      </c>
      <c r="I65" s="143">
        <f t="array" ref="I65">IF(SUM(O65,AD65)&gt;0,SUM(O65,AD65),SUM(AL65,W65))</f>
        <v>187</v>
      </c>
      <c r="J65" s="9">
        <f t="shared" si="0"/>
        <v>4.0362616015540684</v>
      </c>
      <c r="K65" s="143">
        <f t="shared" si="6"/>
        <v>9.9999999999999995E-8</v>
      </c>
      <c r="L65" s="9">
        <f t="shared" si="1"/>
        <v>5.3475935828877005E-8</v>
      </c>
      <c r="M65" s="8" t="str">
        <f t="array" ref="M65">IF(L65&gt;5,"Perlu Sensus",IF(AND(L65&gt;=0,I65&gt;0),"Tetap Deteksi","Belum Deteksi"))</f>
        <v>Tetap Deteksi</v>
      </c>
      <c r="N65" s="11">
        <v>46246</v>
      </c>
      <c r="O65" s="143">
        <v>187</v>
      </c>
      <c r="P65" s="9">
        <f t="array" ref="P65">IFERROR(O65/$G65*100,0)</f>
        <v>4.0362616015540684</v>
      </c>
      <c r="Q65" s="143">
        <v>9.9999999999999995E-8</v>
      </c>
      <c r="R65" s="9">
        <f t="shared" si="2"/>
        <v>5.3475935828877005E-8</v>
      </c>
      <c r="S65" s="8" t="str">
        <f t="array" ref="S65">IF(R65&gt;5,"Perlu Sensus",IF(AND(R65&gt;=0,O65&gt;0),"Tetap Deteksi","Belum Deteksi"))</f>
        <v>Tetap Deteksi</v>
      </c>
      <c r="T65" s="143">
        <v>9.9999999999999995E-8</v>
      </c>
      <c r="U65" s="9">
        <f t="shared" si="7"/>
        <v>5.3475935828877005E-8</v>
      </c>
      <c r="V65" s="11">
        <v>46235</v>
      </c>
      <c r="W65" s="143">
        <v>187</v>
      </c>
      <c r="X65" s="143">
        <v>3</v>
      </c>
      <c r="Y65" s="9">
        <f t="shared" si="3"/>
        <v>1.6042780748663104</v>
      </c>
      <c r="Z65" s="8" t="str">
        <f t="array" ref="Z65">IF(Y65&gt;5,"Perlu Sensus",IF(AND(Y65&gt;=0,W65&gt;0),"Tetap Deteksi","Belum Deteksi"))</f>
        <v>Tetap Deteksi</v>
      </c>
      <c r="AA65" s="143">
        <v>1</v>
      </c>
      <c r="AB65" s="9">
        <f t="shared" si="8"/>
        <v>0.53475935828876997</v>
      </c>
      <c r="AC65" s="11"/>
      <c r="AD65" s="143"/>
      <c r="AE65" s="9">
        <f t="array" ref="AE65">IFERROR(AD65/$G65*100,0)</f>
        <v>0</v>
      </c>
      <c r="AF65" s="143"/>
      <c r="AG65" s="9">
        <f t="shared" si="4"/>
        <v>0</v>
      </c>
      <c r="AH65" s="8" t="str">
        <f t="array" ref="AH65">IF(AG65&gt;5,"Perlu Sensus",IF(AND(AG65&gt;=0,AD65&gt;0),"Tetap Deteksi","Belum Deteksi"))</f>
        <v>Belum Deteksi</v>
      </c>
      <c r="AI65" s="143"/>
      <c r="AJ65" s="9">
        <f t="shared" si="9"/>
        <v>0</v>
      </c>
      <c r="AK65" s="11"/>
      <c r="AL65" s="143"/>
      <c r="AM65" s="143"/>
      <c r="AN65" s="9">
        <f t="shared" si="5"/>
        <v>0</v>
      </c>
      <c r="AO65" s="8" t="str">
        <f t="array" ref="AO65">IF(AN65&gt;5,"Perlu Sensus",IF(AND(AN65&gt;=0,AL65&gt;0),"Tetap Deteksi","Belum Deteksi"))</f>
        <v>Belum Deteksi</v>
      </c>
      <c r="AP65" s="143"/>
      <c r="AQ65" s="9">
        <f t="shared" si="10"/>
        <v>0</v>
      </c>
    </row>
    <row r="66" spans="1:43" outlineLevel="1" x14ac:dyDescent="0.15">
      <c r="A66" s="8" t="s">
        <v>1914</v>
      </c>
      <c r="B66" s="8"/>
      <c r="C66" s="8" t="s">
        <v>107</v>
      </c>
      <c r="D66" s="186" t="s">
        <v>1364</v>
      </c>
      <c r="E66" s="9">
        <v>29.28</v>
      </c>
      <c r="F66" s="8" t="s">
        <v>1740</v>
      </c>
      <c r="G66" s="10">
        <v>3795</v>
      </c>
      <c r="H66" s="11">
        <f t="array" ref="H66">IF(OR(N66&gt;0,AC66&gt;0),MAX(N66,AC66),MAX(AK66,V66))</f>
        <v>46246</v>
      </c>
      <c r="I66" s="143">
        <f t="array" ref="I66">IF(SUM(O66,AD66)&gt;0,SUM(O66,AD66),SUM(AL66,W66))</f>
        <v>192</v>
      </c>
      <c r="J66" s="9">
        <f t="shared" si="0"/>
        <v>5.0592885375494072</v>
      </c>
      <c r="K66" s="143">
        <f t="shared" si="6"/>
        <v>2</v>
      </c>
      <c r="L66" s="9">
        <f t="shared" si="1"/>
        <v>1.0416666666666665</v>
      </c>
      <c r="M66" s="8" t="str">
        <f t="array" ref="M66">IF(L66&gt;5,"Perlu Sensus",IF(AND(L66&gt;=0,I66&gt;0),"Tetap Deteksi","Belum Deteksi"))</f>
        <v>Tetap Deteksi</v>
      </c>
      <c r="N66" s="11">
        <v>46246</v>
      </c>
      <c r="O66" s="143">
        <v>192</v>
      </c>
      <c r="P66" s="9">
        <f t="array" ref="P66">IFERROR(O66/$G66*100,0)</f>
        <v>5.0592885375494072</v>
      </c>
      <c r="Q66" s="143">
        <v>2</v>
      </c>
      <c r="R66" s="9">
        <f t="shared" si="2"/>
        <v>1.0416666666666665</v>
      </c>
      <c r="S66" s="8" t="str">
        <f t="array" ref="S66">IF(R66&gt;5,"Perlu Sensus",IF(AND(R66&gt;=0,O66&gt;0),"Tetap Deteksi","Belum Deteksi"))</f>
        <v>Tetap Deteksi</v>
      </c>
      <c r="T66" s="143">
        <v>1</v>
      </c>
      <c r="U66" s="9">
        <f t="shared" si="7"/>
        <v>0.52083333333333326</v>
      </c>
      <c r="V66" s="11">
        <v>46235</v>
      </c>
      <c r="W66" s="143">
        <v>177</v>
      </c>
      <c r="X66" s="143">
        <v>2</v>
      </c>
      <c r="Y66" s="9">
        <f t="shared" si="3"/>
        <v>1.1299435028248588</v>
      </c>
      <c r="Z66" s="8" t="str">
        <f t="array" ref="Z66">IF(Y66&gt;5,"Perlu Sensus",IF(AND(Y66&gt;=0,W66&gt;0),"Tetap Deteksi","Belum Deteksi"))</f>
        <v>Tetap Deteksi</v>
      </c>
      <c r="AA66" s="143">
        <v>1.0000000000000001E-9</v>
      </c>
      <c r="AB66" s="9">
        <f t="shared" si="8"/>
        <v>5.6497175141242941E-10</v>
      </c>
      <c r="AC66" s="11"/>
      <c r="AD66" s="143"/>
      <c r="AE66" s="9">
        <f t="array" ref="AE66">IFERROR(AD66/$G66*100,0)</f>
        <v>0</v>
      </c>
      <c r="AF66" s="143"/>
      <c r="AG66" s="9">
        <f t="shared" si="4"/>
        <v>0</v>
      </c>
      <c r="AH66" s="8" t="str">
        <f t="array" ref="AH66">IF(AG66&gt;5,"Perlu Sensus",IF(AND(AG66&gt;=0,AD66&gt;0),"Tetap Deteksi","Belum Deteksi"))</f>
        <v>Belum Deteksi</v>
      </c>
      <c r="AI66" s="143"/>
      <c r="AJ66" s="9">
        <f t="shared" si="9"/>
        <v>0</v>
      </c>
      <c r="AK66" s="11"/>
      <c r="AL66" s="143"/>
      <c r="AM66" s="143"/>
      <c r="AN66" s="9">
        <f t="shared" si="5"/>
        <v>0</v>
      </c>
      <c r="AO66" s="8" t="str">
        <f t="array" ref="AO66">IF(AN66&gt;5,"Perlu Sensus",IF(AND(AN66&gt;=0,AL66&gt;0),"Tetap Deteksi","Belum Deteksi"))</f>
        <v>Belum Deteksi</v>
      </c>
      <c r="AP66" s="143"/>
      <c r="AQ66" s="9">
        <f t="shared" si="10"/>
        <v>0</v>
      </c>
    </row>
    <row r="67" spans="1:43" outlineLevel="1" x14ac:dyDescent="0.15">
      <c r="A67" s="8" t="s">
        <v>1914</v>
      </c>
      <c r="B67" s="8"/>
      <c r="C67" s="8" t="s">
        <v>107</v>
      </c>
      <c r="D67" s="186" t="s">
        <v>1365</v>
      </c>
      <c r="E67" s="9">
        <v>35.83</v>
      </c>
      <c r="F67" s="8" t="s">
        <v>1740</v>
      </c>
      <c r="G67" s="10">
        <v>4298</v>
      </c>
      <c r="H67" s="11">
        <f t="array" ref="H67">IF(OR(N67&gt;0,AC67&gt;0),MAX(N67,AC67),MAX(AK67,V67))</f>
        <v>46249</v>
      </c>
      <c r="I67" s="143">
        <f t="array" ref="I67">IF(SUM(O67,AD67)&gt;0,SUM(O67,AD67),SUM(AL67,W67))</f>
        <v>183</v>
      </c>
      <c r="J67" s="9">
        <f t="shared" si="0"/>
        <v>4.257794322940903</v>
      </c>
      <c r="K67" s="143">
        <f t="shared" si="6"/>
        <v>1</v>
      </c>
      <c r="L67" s="9">
        <f t="shared" si="1"/>
        <v>0.54644808743169404</v>
      </c>
      <c r="M67" s="8" t="str">
        <f t="array" ref="M67">IF(L67&gt;5,"Perlu Sensus",IF(AND(L67&gt;=0,I67&gt;0),"Tetap Deteksi","Belum Deteksi"))</f>
        <v>Tetap Deteksi</v>
      </c>
      <c r="N67" s="11">
        <v>46249</v>
      </c>
      <c r="O67" s="143">
        <v>183</v>
      </c>
      <c r="P67" s="9">
        <f t="array" ref="P67">IFERROR(O67/$G67*100,0)</f>
        <v>4.257794322940903</v>
      </c>
      <c r="Q67" s="143">
        <v>1</v>
      </c>
      <c r="R67" s="9">
        <f t="shared" si="2"/>
        <v>0.54644808743169404</v>
      </c>
      <c r="S67" s="8" t="str">
        <f t="array" ref="S67">IF(R67&gt;5,"Perlu Sensus",IF(AND(R67&gt;=0,O67&gt;0),"Tetap Deteksi","Belum Deteksi"))</f>
        <v>Tetap Deteksi</v>
      </c>
      <c r="T67" s="143">
        <v>1</v>
      </c>
      <c r="U67" s="9">
        <f t="shared" si="7"/>
        <v>0.54644808743169404</v>
      </c>
      <c r="V67" s="11">
        <v>46249</v>
      </c>
      <c r="W67" s="143">
        <v>203</v>
      </c>
      <c r="X67" s="143">
        <v>1</v>
      </c>
      <c r="Y67" s="9">
        <f t="shared" si="3"/>
        <v>0.49261083743842365</v>
      </c>
      <c r="Z67" s="8" t="str">
        <f t="array" ref="Z67">IF(Y67&gt;5,"Perlu Sensus",IF(AND(Y67&gt;=0,W67&gt;0),"Tetap Deteksi","Belum Deteksi"))</f>
        <v>Tetap Deteksi</v>
      </c>
      <c r="AA67" s="143">
        <v>1</v>
      </c>
      <c r="AB67" s="9">
        <f t="shared" si="8"/>
        <v>0.49261083743842365</v>
      </c>
      <c r="AC67" s="11"/>
      <c r="AD67" s="143"/>
      <c r="AE67" s="9">
        <f t="array" ref="AE67">IFERROR(AD67/$G67*100,0)</f>
        <v>0</v>
      </c>
      <c r="AF67" s="143"/>
      <c r="AG67" s="9">
        <f t="shared" si="4"/>
        <v>0</v>
      </c>
      <c r="AH67" s="8" t="str">
        <f t="array" ref="AH67">IF(AG67&gt;5,"Perlu Sensus",IF(AND(AG67&gt;=0,AD67&gt;0),"Tetap Deteksi","Belum Deteksi"))</f>
        <v>Belum Deteksi</v>
      </c>
      <c r="AI67" s="143"/>
      <c r="AJ67" s="9">
        <f t="shared" si="9"/>
        <v>0</v>
      </c>
      <c r="AK67" s="11"/>
      <c r="AL67" s="143"/>
      <c r="AM67" s="143"/>
      <c r="AN67" s="9">
        <f t="shared" si="5"/>
        <v>0</v>
      </c>
      <c r="AO67" s="8" t="str">
        <f t="array" ref="AO67">IF(AN67&gt;5,"Perlu Sensus",IF(AND(AN67&gt;=0,AL67&gt;0),"Tetap Deteksi","Belum Deteksi"))</f>
        <v>Belum Deteksi</v>
      </c>
      <c r="AP67" s="143"/>
      <c r="AQ67" s="9">
        <f t="shared" si="10"/>
        <v>0</v>
      </c>
    </row>
    <row r="68" spans="1:43" outlineLevel="1" x14ac:dyDescent="0.15">
      <c r="A68" s="8" t="s">
        <v>1914</v>
      </c>
      <c r="B68" s="8"/>
      <c r="C68" s="8" t="s">
        <v>107</v>
      </c>
      <c r="D68" s="186" t="s">
        <v>1334</v>
      </c>
      <c r="E68" s="9">
        <v>32.1</v>
      </c>
      <c r="F68" s="8" t="s">
        <v>1740</v>
      </c>
      <c r="G68" s="10">
        <v>4153</v>
      </c>
      <c r="H68" s="11">
        <f t="array" ref="H68">IF(OR(N68&gt;0,AC68&gt;0),MAX(N68,AC68),MAX(AK68,V68))</f>
        <v>46237</v>
      </c>
      <c r="I68" s="143">
        <f t="array" ref="I68">IF(SUM(O68,AD68)&gt;0,SUM(O68,AD68),SUM(AL68,W68))</f>
        <v>199</v>
      </c>
      <c r="J68" s="9">
        <f t="shared" si="0"/>
        <v>4.7917168312063563</v>
      </c>
      <c r="K68" s="143">
        <f t="shared" si="6"/>
        <v>1.0000000000000001E-9</v>
      </c>
      <c r="L68" s="9">
        <f t="shared" si="1"/>
        <v>5.0251256281407039E-10</v>
      </c>
      <c r="M68" s="8" t="str">
        <f t="array" ref="M68">IF(L68&gt;5,"Perlu Sensus",IF(AND(L68&gt;=0,I68&gt;0),"Tetap Deteksi","Belum Deteksi"))</f>
        <v>Tetap Deteksi</v>
      </c>
      <c r="N68" s="11">
        <v>46237</v>
      </c>
      <c r="O68" s="143">
        <v>199</v>
      </c>
      <c r="P68" s="9">
        <f t="array" ref="P68">IFERROR(O68/$G68*100,0)</f>
        <v>4.7917168312063563</v>
      </c>
      <c r="Q68" s="143">
        <v>1.0000000000000001E-9</v>
      </c>
      <c r="R68" s="9">
        <f t="shared" si="2"/>
        <v>5.0251256281407039E-10</v>
      </c>
      <c r="S68" s="8" t="str">
        <f t="array" ref="S68">IF(R68&gt;5,"Perlu Sensus",IF(AND(R68&gt;=0,O68&gt;0),"Tetap Deteksi","Belum Deteksi"))</f>
        <v>Tetap Deteksi</v>
      </c>
      <c r="T68" s="143">
        <v>1</v>
      </c>
      <c r="U68" s="9">
        <f t="shared" si="7"/>
        <v>0.50251256281407031</v>
      </c>
      <c r="V68" s="11">
        <v>46237</v>
      </c>
      <c r="W68" s="143">
        <v>176</v>
      </c>
      <c r="X68" s="143">
        <v>2</v>
      </c>
      <c r="Y68" s="9">
        <f t="shared" si="3"/>
        <v>1.1363636363636365</v>
      </c>
      <c r="Z68" s="8" t="str">
        <f t="array" ref="Z68">IF(Y68&gt;5,"Perlu Sensus",IF(AND(Y68&gt;=0,W68&gt;0),"Tetap Deteksi","Belum Deteksi"))</f>
        <v>Tetap Deteksi</v>
      </c>
      <c r="AA68" s="143">
        <v>2</v>
      </c>
      <c r="AB68" s="9">
        <f t="shared" si="8"/>
        <v>1.1363636363636365</v>
      </c>
      <c r="AC68" s="11"/>
      <c r="AD68" s="143"/>
      <c r="AE68" s="9">
        <f t="array" ref="AE68">IFERROR(AD68/$G68*100,0)</f>
        <v>0</v>
      </c>
      <c r="AF68" s="143"/>
      <c r="AG68" s="9">
        <f t="shared" si="4"/>
        <v>0</v>
      </c>
      <c r="AH68" s="8" t="str">
        <f t="array" ref="AH68">IF(AG68&gt;5,"Perlu Sensus",IF(AND(AG68&gt;=0,AD68&gt;0),"Tetap Deteksi","Belum Deteksi"))</f>
        <v>Belum Deteksi</v>
      </c>
      <c r="AI68" s="143"/>
      <c r="AJ68" s="9">
        <f t="shared" si="9"/>
        <v>0</v>
      </c>
      <c r="AK68" s="11"/>
      <c r="AL68" s="143"/>
      <c r="AM68" s="143"/>
      <c r="AN68" s="9">
        <f t="shared" si="5"/>
        <v>0</v>
      </c>
      <c r="AO68" s="8" t="str">
        <f t="array" ref="AO68">IF(AN68&gt;5,"Perlu Sensus",IF(AND(AN68&gt;=0,AL68&gt;0),"Tetap Deteksi","Belum Deteksi"))</f>
        <v>Belum Deteksi</v>
      </c>
      <c r="AP68" s="143"/>
      <c r="AQ68" s="9">
        <f t="shared" si="10"/>
        <v>0</v>
      </c>
    </row>
    <row r="69" spans="1:43" outlineLevel="1" x14ac:dyDescent="0.15">
      <c r="A69" s="8" t="s">
        <v>1914</v>
      </c>
      <c r="B69" s="8"/>
      <c r="C69" s="8" t="s">
        <v>107</v>
      </c>
      <c r="D69" s="186" t="s">
        <v>1335</v>
      </c>
      <c r="E69" s="9">
        <v>33.49</v>
      </c>
      <c r="F69" s="8" t="s">
        <v>1740</v>
      </c>
      <c r="G69" s="10">
        <v>4900</v>
      </c>
      <c r="H69" s="11">
        <f t="array" ref="H69">IF(OR(N69&gt;0,AC69&gt;0),MAX(N69,AC69),MAX(AK69,V69))</f>
        <v>46238</v>
      </c>
      <c r="I69" s="143">
        <f t="array" ref="I69">IF(SUM(O69,AD69)&gt;0,SUM(O69,AD69),SUM(AL69,W69))</f>
        <v>179</v>
      </c>
      <c r="J69" s="9">
        <f t="shared" si="0"/>
        <v>3.6530612244897962</v>
      </c>
      <c r="K69" s="143">
        <f t="shared" si="6"/>
        <v>4</v>
      </c>
      <c r="L69" s="9">
        <f t="shared" si="1"/>
        <v>2.2346368715083798</v>
      </c>
      <c r="M69" s="8" t="str">
        <f t="array" ref="M69">IF(L69&gt;5,"Perlu Sensus",IF(AND(L69&gt;=0,I69&gt;0),"Tetap Deteksi","Belum Deteksi"))</f>
        <v>Tetap Deteksi</v>
      </c>
      <c r="N69" s="11">
        <v>46238</v>
      </c>
      <c r="O69" s="143">
        <v>179</v>
      </c>
      <c r="P69" s="9">
        <f t="array" ref="P69">IFERROR(O69/$G69*100,0)</f>
        <v>3.6530612244897962</v>
      </c>
      <c r="Q69" s="143">
        <v>4</v>
      </c>
      <c r="R69" s="9">
        <f t="shared" si="2"/>
        <v>2.2346368715083798</v>
      </c>
      <c r="S69" s="8" t="str">
        <f t="array" ref="S69">IF(R69&gt;5,"Perlu Sensus",IF(AND(R69&gt;=0,O69&gt;0),"Tetap Deteksi","Belum Deteksi"))</f>
        <v>Tetap Deteksi</v>
      </c>
      <c r="T69" s="143">
        <v>2</v>
      </c>
      <c r="U69" s="9">
        <f t="shared" si="7"/>
        <v>1.1173184357541899</v>
      </c>
      <c r="V69" s="11">
        <v>46238</v>
      </c>
      <c r="W69" s="143">
        <v>303</v>
      </c>
      <c r="X69" s="143">
        <v>2</v>
      </c>
      <c r="Y69" s="9">
        <f t="shared" si="3"/>
        <v>0.66006600660066006</v>
      </c>
      <c r="Z69" s="8" t="str">
        <f t="array" ref="Z69">IF(Y69&gt;5,"Perlu Sensus",IF(AND(Y69&gt;=0,W69&gt;0),"Tetap Deteksi","Belum Deteksi"))</f>
        <v>Tetap Deteksi</v>
      </c>
      <c r="AA69" s="143">
        <v>1</v>
      </c>
      <c r="AB69" s="9">
        <f t="shared" si="8"/>
        <v>0.33003300330033003</v>
      </c>
      <c r="AC69" s="11"/>
      <c r="AD69" s="143"/>
      <c r="AE69" s="9">
        <f t="array" ref="AE69">IFERROR(AD69/$G69*100,0)</f>
        <v>0</v>
      </c>
      <c r="AF69" s="143"/>
      <c r="AG69" s="9">
        <f t="shared" si="4"/>
        <v>0</v>
      </c>
      <c r="AH69" s="8" t="str">
        <f t="array" ref="AH69">IF(AG69&gt;5,"Perlu Sensus",IF(AND(AG69&gt;=0,AD69&gt;0),"Tetap Deteksi","Belum Deteksi"))</f>
        <v>Belum Deteksi</v>
      </c>
      <c r="AI69" s="143"/>
      <c r="AJ69" s="9">
        <f t="shared" si="9"/>
        <v>0</v>
      </c>
      <c r="AK69" s="11"/>
      <c r="AL69" s="143"/>
      <c r="AM69" s="143"/>
      <c r="AN69" s="9">
        <f t="shared" si="5"/>
        <v>0</v>
      </c>
      <c r="AO69" s="8" t="str">
        <f t="array" ref="AO69">IF(AN69&gt;5,"Perlu Sensus",IF(AND(AN69&gt;=0,AL69&gt;0),"Tetap Deteksi","Belum Deteksi"))</f>
        <v>Belum Deteksi</v>
      </c>
      <c r="AP69" s="143"/>
      <c r="AQ69" s="9">
        <f t="shared" si="10"/>
        <v>0</v>
      </c>
    </row>
    <row r="70" spans="1:43" outlineLevel="1" x14ac:dyDescent="0.15">
      <c r="A70" s="8" t="s">
        <v>1914</v>
      </c>
      <c r="B70" s="8"/>
      <c r="C70" s="8" t="s">
        <v>107</v>
      </c>
      <c r="D70" s="186" t="s">
        <v>1346</v>
      </c>
      <c r="E70" s="9">
        <v>25.96</v>
      </c>
      <c r="F70" s="8" t="s">
        <v>1740</v>
      </c>
      <c r="G70" s="10">
        <v>3153</v>
      </c>
      <c r="H70" s="11">
        <f t="array" ref="H70">IF(OR(N70&gt;0,AC70&gt;0),MAX(N70,AC70),MAX(AK70,V70))</f>
        <v>46239</v>
      </c>
      <c r="I70" s="143">
        <f t="array" ref="I70">IF(SUM(O70,AD70)&gt;0,SUM(O70,AD70),SUM(AL70,W70))</f>
        <v>187</v>
      </c>
      <c r="J70" s="9">
        <f t="shared" ref="J70:J133" si="11">IF(P70&gt;0,P70," ")</f>
        <v>5.9308594988899461</v>
      </c>
      <c r="K70" s="143">
        <f t="shared" si="6"/>
        <v>1</v>
      </c>
      <c r="L70" s="9">
        <f t="shared" ref="L70:L133" si="12">IFERROR(K70/I70*100,0)</f>
        <v>0.53475935828876997</v>
      </c>
      <c r="M70" s="8" t="str">
        <f t="array" ref="M70">IF(L70&gt;5,"Perlu Sensus",IF(AND(L70&gt;=0,I70&gt;0),"Tetap Deteksi","Belum Deteksi"))</f>
        <v>Tetap Deteksi</v>
      </c>
      <c r="N70" s="11">
        <v>46239</v>
      </c>
      <c r="O70" s="143">
        <v>187</v>
      </c>
      <c r="P70" s="9">
        <f t="array" ref="P70">IFERROR(O70/$G70*100,0)</f>
        <v>5.9308594988899461</v>
      </c>
      <c r="Q70" s="143">
        <v>1</v>
      </c>
      <c r="R70" s="9">
        <f t="shared" ref="R70:R133" si="13">IFERROR(Q70/O70*100,0)</f>
        <v>0.53475935828876997</v>
      </c>
      <c r="S70" s="8" t="str">
        <f t="array" ref="S70">IF(R70&gt;5,"Perlu Sensus",IF(AND(R70&gt;=0,O70&gt;0),"Tetap Deteksi","Belum Deteksi"))</f>
        <v>Tetap Deteksi</v>
      </c>
      <c r="T70" s="143">
        <v>2</v>
      </c>
      <c r="U70" s="9">
        <f t="shared" si="7"/>
        <v>1.0695187165775399</v>
      </c>
      <c r="V70" s="11">
        <v>46239</v>
      </c>
      <c r="W70" s="143">
        <v>237</v>
      </c>
      <c r="X70" s="143">
        <v>1</v>
      </c>
      <c r="Y70" s="9">
        <f t="shared" ref="Y70:Y133" si="14">IFERROR(X70/W70*100,0)</f>
        <v>0.42194092827004215</v>
      </c>
      <c r="Z70" s="8" t="str">
        <f t="array" ref="Z70">IF(Y70&gt;5,"Perlu Sensus",IF(AND(Y70&gt;=0,W70&gt;0),"Tetap Deteksi","Belum Deteksi"))</f>
        <v>Tetap Deteksi</v>
      </c>
      <c r="AA70" s="143">
        <v>1</v>
      </c>
      <c r="AB70" s="9">
        <f t="shared" si="8"/>
        <v>0.42194092827004215</v>
      </c>
      <c r="AC70" s="11"/>
      <c r="AD70" s="143"/>
      <c r="AE70" s="9">
        <f t="array" ref="AE70">IFERROR(AD70/$G70*100,0)</f>
        <v>0</v>
      </c>
      <c r="AF70" s="143"/>
      <c r="AG70" s="9">
        <f t="shared" ref="AG70:AG133" si="15">IFERROR(AF70/AD70*100,0)</f>
        <v>0</v>
      </c>
      <c r="AH70" s="8" t="str">
        <f t="array" ref="AH70">IF(AG70&gt;5,"Perlu Sensus",IF(AND(AG70&gt;=0,AD70&gt;0),"Tetap Deteksi","Belum Deteksi"))</f>
        <v>Belum Deteksi</v>
      </c>
      <c r="AI70" s="143"/>
      <c r="AJ70" s="9">
        <f t="shared" si="9"/>
        <v>0</v>
      </c>
      <c r="AK70" s="11"/>
      <c r="AL70" s="143"/>
      <c r="AM70" s="143"/>
      <c r="AN70" s="9">
        <f t="shared" ref="AN70:AN133" si="16">IFERROR(AM70/AL70*100,0)</f>
        <v>0</v>
      </c>
      <c r="AO70" s="8" t="str">
        <f t="array" ref="AO70">IF(AN70&gt;5,"Perlu Sensus",IF(AND(AN70&gt;=0,AL70&gt;0),"Tetap Deteksi","Belum Deteksi"))</f>
        <v>Belum Deteksi</v>
      </c>
      <c r="AP70" s="143"/>
      <c r="AQ70" s="9">
        <f t="shared" si="10"/>
        <v>0</v>
      </c>
    </row>
    <row r="71" spans="1:43" outlineLevel="1" x14ac:dyDescent="0.15">
      <c r="A71" s="8" t="s">
        <v>1914</v>
      </c>
      <c r="B71" s="8"/>
      <c r="C71" s="8" t="s">
        <v>107</v>
      </c>
      <c r="D71" s="186" t="s">
        <v>1347</v>
      </c>
      <c r="E71" s="9">
        <v>45.239999999999995</v>
      </c>
      <c r="F71" s="8" t="s">
        <v>1740</v>
      </c>
      <c r="G71" s="10">
        <v>5645</v>
      </c>
      <c r="H71" s="11">
        <f t="array" ref="H71">IF(OR(N71&gt;0,AC71&gt;0),MAX(N71,AC71),MAX(AK71,V71))</f>
        <v>46239</v>
      </c>
      <c r="I71" s="143">
        <f t="array" ref="I71">IF(SUM(O71,AD71)&gt;0,SUM(O71,AD71),SUM(AL71,W71))</f>
        <v>193</v>
      </c>
      <c r="J71" s="9">
        <f t="shared" si="11"/>
        <v>3.4189548272807797</v>
      </c>
      <c r="K71" s="143">
        <f t="shared" ref="K71:K134" si="17">IF(SUM(Q71,AF71)&gt;0,SUM(Q71,AF71),SUM(AM71,X71))</f>
        <v>9.9999999999999995E-8</v>
      </c>
      <c r="L71" s="9">
        <f t="shared" si="12"/>
        <v>5.1813471502590675E-8</v>
      </c>
      <c r="M71" s="8" t="str">
        <f t="array" ref="M71">IF(L71&gt;5,"Perlu Sensus",IF(AND(L71&gt;=0,I71&gt;0),"Tetap Deteksi","Belum Deteksi"))</f>
        <v>Tetap Deteksi</v>
      </c>
      <c r="N71" s="11">
        <v>46239</v>
      </c>
      <c r="O71" s="143">
        <v>193</v>
      </c>
      <c r="P71" s="9">
        <f t="array" ref="P71">IFERROR(O71/$G71*100,0)</f>
        <v>3.4189548272807797</v>
      </c>
      <c r="Q71" s="143">
        <v>9.9999999999999995E-8</v>
      </c>
      <c r="R71" s="9">
        <f t="shared" si="13"/>
        <v>5.1813471502590675E-8</v>
      </c>
      <c r="S71" s="8" t="str">
        <f t="array" ref="S71">IF(R71&gt;5,"Perlu Sensus",IF(AND(R71&gt;=0,O71&gt;0),"Tetap Deteksi","Belum Deteksi"))</f>
        <v>Tetap Deteksi</v>
      </c>
      <c r="T71" s="143">
        <v>9.9999999999999995E-8</v>
      </c>
      <c r="U71" s="9">
        <f t="shared" ref="U71:U134" si="18">IFERROR(T71/O71*100,0)</f>
        <v>5.1813471502590675E-8</v>
      </c>
      <c r="V71" s="11">
        <v>46239</v>
      </c>
      <c r="W71" s="143">
        <v>219</v>
      </c>
      <c r="X71" s="143">
        <v>3</v>
      </c>
      <c r="Y71" s="9">
        <f t="shared" si="14"/>
        <v>1.3698630136986301</v>
      </c>
      <c r="Z71" s="8" t="str">
        <f t="array" ref="Z71">IF(Y71&gt;5,"Perlu Sensus",IF(AND(Y71&gt;=0,W71&gt;0),"Tetap Deteksi","Belum Deteksi"))</f>
        <v>Tetap Deteksi</v>
      </c>
      <c r="AA71" s="143">
        <v>2</v>
      </c>
      <c r="AB71" s="9">
        <f t="shared" ref="AB71:AB134" si="19">IFERROR(AA71/W71*100,0)</f>
        <v>0.91324200913242004</v>
      </c>
      <c r="AC71" s="11"/>
      <c r="AD71" s="143"/>
      <c r="AE71" s="9">
        <f t="array" ref="AE71">IFERROR(AD71/$G71*100,0)</f>
        <v>0</v>
      </c>
      <c r="AF71" s="143"/>
      <c r="AG71" s="9">
        <f t="shared" si="15"/>
        <v>0</v>
      </c>
      <c r="AH71" s="8" t="str">
        <f t="array" ref="AH71">IF(AG71&gt;5,"Perlu Sensus",IF(AND(AG71&gt;=0,AD71&gt;0),"Tetap Deteksi","Belum Deteksi"))</f>
        <v>Belum Deteksi</v>
      </c>
      <c r="AI71" s="143"/>
      <c r="AJ71" s="9">
        <f t="shared" ref="AJ71:AJ134" si="20">IFERROR(AI71/AD71*100,0)</f>
        <v>0</v>
      </c>
      <c r="AK71" s="11"/>
      <c r="AL71" s="143"/>
      <c r="AM71" s="143"/>
      <c r="AN71" s="9">
        <f t="shared" si="16"/>
        <v>0</v>
      </c>
      <c r="AO71" s="8" t="str">
        <f t="array" ref="AO71">IF(AN71&gt;5,"Perlu Sensus",IF(AND(AN71&gt;=0,AL71&gt;0),"Tetap Deteksi","Belum Deteksi"))</f>
        <v>Belum Deteksi</v>
      </c>
      <c r="AP71" s="143"/>
      <c r="AQ71" s="9">
        <f t="shared" ref="AQ71:AQ134" si="21">IFERROR(AP71/AL71*100,0)</f>
        <v>0</v>
      </c>
    </row>
    <row r="72" spans="1:43" outlineLevel="1" x14ac:dyDescent="0.15">
      <c r="A72" s="8" t="s">
        <v>1914</v>
      </c>
      <c r="B72" s="8"/>
      <c r="C72" s="8" t="s">
        <v>107</v>
      </c>
      <c r="D72" s="181" t="s">
        <v>1005</v>
      </c>
      <c r="E72" s="9">
        <v>43.989999999999995</v>
      </c>
      <c r="F72" s="8" t="s">
        <v>1740</v>
      </c>
      <c r="G72" s="10">
        <v>5720</v>
      </c>
      <c r="H72" s="11">
        <f t="array" ref="H72">IF(OR(N72&gt;0,AC72&gt;0),MAX(N72,AC72),MAX(AK72,V72))</f>
        <v>46240</v>
      </c>
      <c r="I72" s="143">
        <f t="array" ref="I72">IF(SUM(O72,AD72)&gt;0,SUM(O72,AD72),SUM(AL72,W72))</f>
        <v>194</v>
      </c>
      <c r="J72" s="9">
        <f t="shared" si="11"/>
        <v>3.3916083916083917</v>
      </c>
      <c r="K72" s="143">
        <f t="shared" si="17"/>
        <v>3</v>
      </c>
      <c r="L72" s="9">
        <f t="shared" si="12"/>
        <v>1.5463917525773196</v>
      </c>
      <c r="M72" s="8" t="str">
        <f t="array" ref="M72">IF(L72&gt;5,"Perlu Sensus",IF(AND(L72&gt;=0,I72&gt;0),"Tetap Deteksi","Belum Deteksi"))</f>
        <v>Tetap Deteksi</v>
      </c>
      <c r="N72" s="11">
        <v>46240</v>
      </c>
      <c r="O72" s="143">
        <v>194</v>
      </c>
      <c r="P72" s="9">
        <f t="array" ref="P72">IFERROR(O72/$G72*100,0)</f>
        <v>3.3916083916083917</v>
      </c>
      <c r="Q72" s="143">
        <v>3</v>
      </c>
      <c r="R72" s="9">
        <f t="shared" si="13"/>
        <v>1.5463917525773196</v>
      </c>
      <c r="S72" s="8" t="str">
        <f t="array" ref="S72">IF(R72&gt;5,"Perlu Sensus",IF(AND(R72&gt;=0,O72&gt;0),"Tetap Deteksi","Belum Deteksi"))</f>
        <v>Tetap Deteksi</v>
      </c>
      <c r="T72" s="143">
        <v>1</v>
      </c>
      <c r="U72" s="9">
        <f t="shared" si="18"/>
        <v>0.51546391752577314</v>
      </c>
      <c r="V72" s="11">
        <v>46240</v>
      </c>
      <c r="W72" s="143">
        <v>156</v>
      </c>
      <c r="X72" s="143">
        <v>1</v>
      </c>
      <c r="Y72" s="9">
        <f t="shared" si="14"/>
        <v>0.64102564102564097</v>
      </c>
      <c r="Z72" s="8" t="str">
        <f t="array" ref="Z72">IF(Y72&gt;5,"Perlu Sensus",IF(AND(Y72&gt;=0,W72&gt;0),"Tetap Deteksi","Belum Deteksi"))</f>
        <v>Tetap Deteksi</v>
      </c>
      <c r="AA72" s="143">
        <v>1</v>
      </c>
      <c r="AB72" s="9">
        <f t="shared" si="19"/>
        <v>0.64102564102564097</v>
      </c>
      <c r="AC72" s="11"/>
      <c r="AD72" s="143"/>
      <c r="AE72" s="9">
        <f t="array" ref="AE72">IFERROR(AD72/$G72*100,0)</f>
        <v>0</v>
      </c>
      <c r="AF72" s="143"/>
      <c r="AG72" s="9">
        <f t="shared" si="15"/>
        <v>0</v>
      </c>
      <c r="AH72" s="8" t="str">
        <f t="array" ref="AH72">IF(AG72&gt;5,"Perlu Sensus",IF(AND(AG72&gt;=0,AD72&gt;0),"Tetap Deteksi","Belum Deteksi"))</f>
        <v>Belum Deteksi</v>
      </c>
      <c r="AI72" s="143"/>
      <c r="AJ72" s="9">
        <f t="shared" si="20"/>
        <v>0</v>
      </c>
      <c r="AK72" s="11"/>
      <c r="AL72" s="143"/>
      <c r="AM72" s="143"/>
      <c r="AN72" s="9">
        <f t="shared" si="16"/>
        <v>0</v>
      </c>
      <c r="AO72" s="8" t="str">
        <f t="array" ref="AO72">IF(AN72&gt;5,"Perlu Sensus",IF(AND(AN72&gt;=0,AL72&gt;0),"Tetap Deteksi","Belum Deteksi"))</f>
        <v>Belum Deteksi</v>
      </c>
      <c r="AP72" s="143"/>
      <c r="AQ72" s="9">
        <f t="shared" si="21"/>
        <v>0</v>
      </c>
    </row>
    <row r="73" spans="1:43" outlineLevel="1" x14ac:dyDescent="0.15">
      <c r="A73" s="8" t="s">
        <v>1914</v>
      </c>
      <c r="B73" s="8"/>
      <c r="C73" s="8" t="s">
        <v>107</v>
      </c>
      <c r="D73" s="186" t="s">
        <v>1376</v>
      </c>
      <c r="E73" s="9">
        <v>25.330000000000002</v>
      </c>
      <c r="F73" s="8" t="s">
        <v>1740</v>
      </c>
      <c r="G73" s="10">
        <v>3425</v>
      </c>
      <c r="H73" s="11">
        <f t="array" ref="H73">IF(OR(N73&gt;0,AC73&gt;0),MAX(N73,AC73),MAX(AK73,V73))</f>
        <v>46244</v>
      </c>
      <c r="I73" s="143">
        <f t="array" ref="I73">IF(SUM(O73,AD73)&gt;0,SUM(O73,AD73),SUM(AL73,W73))</f>
        <v>214</v>
      </c>
      <c r="J73" s="9">
        <f t="shared" si="11"/>
        <v>6.2481751824817513</v>
      </c>
      <c r="K73" s="143">
        <f t="shared" si="17"/>
        <v>2</v>
      </c>
      <c r="L73" s="9">
        <f t="shared" si="12"/>
        <v>0.93457943925233633</v>
      </c>
      <c r="M73" s="8" t="str">
        <f t="array" ref="M73">IF(L73&gt;5,"Perlu Sensus",IF(AND(L73&gt;=0,I73&gt;0),"Tetap Deteksi","Belum Deteksi"))</f>
        <v>Tetap Deteksi</v>
      </c>
      <c r="N73" s="11">
        <v>46244</v>
      </c>
      <c r="O73" s="143">
        <v>214</v>
      </c>
      <c r="P73" s="9">
        <f t="array" ref="P73">IFERROR(O73/$G73*100,0)</f>
        <v>6.2481751824817513</v>
      </c>
      <c r="Q73" s="143">
        <v>2</v>
      </c>
      <c r="R73" s="9">
        <f t="shared" si="13"/>
        <v>0.93457943925233633</v>
      </c>
      <c r="S73" s="8" t="str">
        <f t="array" ref="S73">IF(R73&gt;5,"Perlu Sensus",IF(AND(R73&gt;=0,O73&gt;0),"Tetap Deteksi","Belum Deteksi"))</f>
        <v>Tetap Deteksi</v>
      </c>
      <c r="T73" s="143">
        <v>2</v>
      </c>
      <c r="U73" s="9">
        <f t="shared" si="18"/>
        <v>0.93457943925233633</v>
      </c>
      <c r="V73" s="11">
        <v>46244</v>
      </c>
      <c r="W73" s="143">
        <v>177</v>
      </c>
      <c r="X73" s="143">
        <v>2</v>
      </c>
      <c r="Y73" s="9">
        <f t="shared" si="14"/>
        <v>1.1299435028248588</v>
      </c>
      <c r="Z73" s="8" t="str">
        <f t="array" ref="Z73">IF(Y73&gt;5,"Perlu Sensus",IF(AND(Y73&gt;=0,W73&gt;0),"Tetap Deteksi","Belum Deteksi"))</f>
        <v>Tetap Deteksi</v>
      </c>
      <c r="AA73" s="143">
        <v>2</v>
      </c>
      <c r="AB73" s="9">
        <f t="shared" si="19"/>
        <v>1.1299435028248588</v>
      </c>
      <c r="AC73" s="11"/>
      <c r="AD73" s="143"/>
      <c r="AE73" s="9">
        <f t="array" ref="AE73">IFERROR(AD73/$G73*100,0)</f>
        <v>0</v>
      </c>
      <c r="AF73" s="143"/>
      <c r="AG73" s="9">
        <f t="shared" si="15"/>
        <v>0</v>
      </c>
      <c r="AH73" s="8" t="str">
        <f t="array" ref="AH73">IF(AG73&gt;5,"Perlu Sensus",IF(AND(AG73&gt;=0,AD73&gt;0),"Tetap Deteksi","Belum Deteksi"))</f>
        <v>Belum Deteksi</v>
      </c>
      <c r="AI73" s="143"/>
      <c r="AJ73" s="9">
        <f t="shared" si="20"/>
        <v>0</v>
      </c>
      <c r="AK73" s="11"/>
      <c r="AL73" s="143"/>
      <c r="AM73" s="143"/>
      <c r="AN73" s="9">
        <f t="shared" si="16"/>
        <v>0</v>
      </c>
      <c r="AO73" s="8" t="str">
        <f t="array" ref="AO73">IF(AN73&gt;5,"Perlu Sensus",IF(AND(AN73&gt;=0,AL73&gt;0),"Tetap Deteksi","Belum Deteksi"))</f>
        <v>Belum Deteksi</v>
      </c>
      <c r="AP73" s="143"/>
      <c r="AQ73" s="9">
        <f t="shared" si="21"/>
        <v>0</v>
      </c>
    </row>
    <row r="74" spans="1:43" outlineLevel="1" x14ac:dyDescent="0.15">
      <c r="A74" s="8" t="s">
        <v>1914</v>
      </c>
      <c r="B74" s="8"/>
      <c r="C74" s="8" t="s">
        <v>107</v>
      </c>
      <c r="D74" s="186" t="s">
        <v>1377</v>
      </c>
      <c r="E74" s="9">
        <v>37.47</v>
      </c>
      <c r="F74" s="8" t="s">
        <v>1740</v>
      </c>
      <c r="G74" s="10">
        <v>4480</v>
      </c>
      <c r="H74" s="11">
        <f t="array" ref="H74">IF(OR(N74&gt;0,AC74&gt;0),MAX(N74,AC74),MAX(AK74,V74))</f>
        <v>46244</v>
      </c>
      <c r="I74" s="143">
        <f t="array" ref="I74">IF(SUM(O74,AD74)&gt;0,SUM(O74,AD74),SUM(AL74,W74))</f>
        <v>196</v>
      </c>
      <c r="J74" s="9">
        <f t="shared" si="11"/>
        <v>4.375</v>
      </c>
      <c r="K74" s="143">
        <f t="shared" si="17"/>
        <v>3</v>
      </c>
      <c r="L74" s="9">
        <f t="shared" si="12"/>
        <v>1.5306122448979591</v>
      </c>
      <c r="M74" s="8" t="str">
        <f t="array" ref="M74">IF(L74&gt;5,"Perlu Sensus",IF(AND(L74&gt;=0,I74&gt;0),"Tetap Deteksi","Belum Deteksi"))</f>
        <v>Tetap Deteksi</v>
      </c>
      <c r="N74" s="11">
        <v>46244</v>
      </c>
      <c r="O74" s="143">
        <v>196</v>
      </c>
      <c r="P74" s="9">
        <f t="array" ref="P74">IFERROR(O74/$G74*100,0)</f>
        <v>4.375</v>
      </c>
      <c r="Q74" s="143">
        <v>3</v>
      </c>
      <c r="R74" s="9">
        <f t="shared" si="13"/>
        <v>1.5306122448979591</v>
      </c>
      <c r="S74" s="8" t="str">
        <f t="array" ref="S74">IF(R74&gt;5,"Perlu Sensus",IF(AND(R74&gt;=0,O74&gt;0),"Tetap Deteksi","Belum Deteksi"))</f>
        <v>Tetap Deteksi</v>
      </c>
      <c r="T74" s="143">
        <v>4</v>
      </c>
      <c r="U74" s="9">
        <f t="shared" si="18"/>
        <v>2.0408163265306123</v>
      </c>
      <c r="V74" s="11">
        <v>46244</v>
      </c>
      <c r="W74" s="143">
        <v>213</v>
      </c>
      <c r="X74" s="143">
        <v>1</v>
      </c>
      <c r="Y74" s="9">
        <f t="shared" si="14"/>
        <v>0.46948356807511737</v>
      </c>
      <c r="Z74" s="8" t="str">
        <f t="array" ref="Z74">IF(Y74&gt;5,"Perlu Sensus",IF(AND(Y74&gt;=0,W74&gt;0),"Tetap Deteksi","Belum Deteksi"))</f>
        <v>Tetap Deteksi</v>
      </c>
      <c r="AA74" s="143">
        <v>2</v>
      </c>
      <c r="AB74" s="9">
        <f t="shared" si="19"/>
        <v>0.93896713615023475</v>
      </c>
      <c r="AC74" s="11"/>
      <c r="AD74" s="143"/>
      <c r="AE74" s="9">
        <f t="array" ref="AE74">IFERROR(AD74/$G74*100,0)</f>
        <v>0</v>
      </c>
      <c r="AF74" s="143"/>
      <c r="AG74" s="9">
        <f t="shared" si="15"/>
        <v>0</v>
      </c>
      <c r="AH74" s="8" t="str">
        <f t="array" ref="AH74">IF(AG74&gt;5,"Perlu Sensus",IF(AND(AG74&gt;=0,AD74&gt;0),"Tetap Deteksi","Belum Deteksi"))</f>
        <v>Belum Deteksi</v>
      </c>
      <c r="AI74" s="143"/>
      <c r="AJ74" s="9">
        <f t="shared" si="20"/>
        <v>0</v>
      </c>
      <c r="AK74" s="11"/>
      <c r="AL74" s="143"/>
      <c r="AM74" s="143"/>
      <c r="AN74" s="9">
        <f t="shared" si="16"/>
        <v>0</v>
      </c>
      <c r="AO74" s="8" t="str">
        <f t="array" ref="AO74">IF(AN74&gt;5,"Perlu Sensus",IF(AND(AN74&gt;=0,AL74&gt;0),"Tetap Deteksi","Belum Deteksi"))</f>
        <v>Belum Deteksi</v>
      </c>
      <c r="AP74" s="143"/>
      <c r="AQ74" s="9">
        <f t="shared" si="21"/>
        <v>0</v>
      </c>
    </row>
    <row r="75" spans="1:43" outlineLevel="1" x14ac:dyDescent="0.15">
      <c r="A75" s="8" t="s">
        <v>1914</v>
      </c>
      <c r="B75" s="8"/>
      <c r="C75" s="8" t="s">
        <v>107</v>
      </c>
      <c r="D75" s="186" t="s">
        <v>1348</v>
      </c>
      <c r="E75" s="9">
        <v>37.58</v>
      </c>
      <c r="F75" s="8" t="s">
        <v>1740</v>
      </c>
      <c r="G75" s="10">
        <v>5272.9999999999991</v>
      </c>
      <c r="H75" s="11">
        <f t="array" ref="H75">IF(OR(N75&gt;0,AC75&gt;0),MAX(N75,AC75),MAX(AK75,V75))</f>
        <v>46239</v>
      </c>
      <c r="I75" s="143">
        <f t="array" ref="I75">IF(SUM(O75,AD75)&gt;0,SUM(O75,AD75),SUM(AL75,W75))</f>
        <v>127</v>
      </c>
      <c r="J75" s="9">
        <f t="shared" si="11"/>
        <v>2.4084961122700554</v>
      </c>
      <c r="K75" s="143">
        <f t="shared" si="17"/>
        <v>2</v>
      </c>
      <c r="L75" s="9">
        <f t="shared" si="12"/>
        <v>1.5748031496062991</v>
      </c>
      <c r="M75" s="8" t="str">
        <f t="array" ref="M75">IF(L75&gt;5,"Perlu Sensus",IF(AND(L75&gt;=0,I75&gt;0),"Tetap Deteksi","Belum Deteksi"))</f>
        <v>Tetap Deteksi</v>
      </c>
      <c r="N75" s="11">
        <v>46239</v>
      </c>
      <c r="O75" s="143">
        <v>127</v>
      </c>
      <c r="P75" s="9">
        <f t="array" ref="P75">IFERROR(O75/$G75*100,0)</f>
        <v>2.4084961122700554</v>
      </c>
      <c r="Q75" s="143">
        <v>2</v>
      </c>
      <c r="R75" s="9">
        <f t="shared" si="13"/>
        <v>1.5748031496062991</v>
      </c>
      <c r="S75" s="8" t="str">
        <f t="array" ref="S75">IF(R75&gt;5,"Perlu Sensus",IF(AND(R75&gt;=0,O75&gt;0),"Tetap Deteksi","Belum Deteksi"))</f>
        <v>Tetap Deteksi</v>
      </c>
      <c r="T75" s="143">
        <v>2</v>
      </c>
      <c r="U75" s="9">
        <f t="shared" si="18"/>
        <v>1.5748031496062991</v>
      </c>
      <c r="V75" s="11">
        <v>46239</v>
      </c>
      <c r="W75" s="143">
        <v>187</v>
      </c>
      <c r="X75" s="143">
        <v>2</v>
      </c>
      <c r="Y75" s="9">
        <f t="shared" si="14"/>
        <v>1.0695187165775399</v>
      </c>
      <c r="Z75" s="8" t="str">
        <f t="array" ref="Z75">IF(Y75&gt;5,"Perlu Sensus",IF(AND(Y75&gt;=0,W75&gt;0),"Tetap Deteksi","Belum Deteksi"))</f>
        <v>Tetap Deteksi</v>
      </c>
      <c r="AA75" s="143">
        <v>1</v>
      </c>
      <c r="AB75" s="9">
        <f t="shared" si="19"/>
        <v>0.53475935828876997</v>
      </c>
      <c r="AC75" s="11"/>
      <c r="AD75" s="143"/>
      <c r="AE75" s="9">
        <f t="array" ref="AE75">IFERROR(AD75/$G75*100,0)</f>
        <v>0</v>
      </c>
      <c r="AF75" s="143"/>
      <c r="AG75" s="9">
        <f t="shared" si="15"/>
        <v>0</v>
      </c>
      <c r="AH75" s="8" t="str">
        <f t="array" ref="AH75">IF(AG75&gt;5,"Perlu Sensus",IF(AND(AG75&gt;=0,AD75&gt;0),"Tetap Deteksi","Belum Deteksi"))</f>
        <v>Belum Deteksi</v>
      </c>
      <c r="AI75" s="143"/>
      <c r="AJ75" s="9">
        <f t="shared" si="20"/>
        <v>0</v>
      </c>
      <c r="AK75" s="11"/>
      <c r="AL75" s="143"/>
      <c r="AM75" s="143"/>
      <c r="AN75" s="9">
        <f t="shared" si="16"/>
        <v>0</v>
      </c>
      <c r="AO75" s="8" t="str">
        <f t="array" ref="AO75">IF(AN75&gt;5,"Perlu Sensus",IF(AND(AN75&gt;=0,AL75&gt;0),"Tetap Deteksi","Belum Deteksi"))</f>
        <v>Belum Deteksi</v>
      </c>
      <c r="AP75" s="143"/>
      <c r="AQ75" s="9">
        <f t="shared" si="21"/>
        <v>0</v>
      </c>
    </row>
    <row r="76" spans="1:43" outlineLevel="1" x14ac:dyDescent="0.15">
      <c r="A76" s="8" t="s">
        <v>1914</v>
      </c>
      <c r="B76" s="8"/>
      <c r="C76" s="8" t="s">
        <v>107</v>
      </c>
      <c r="D76" s="186" t="s">
        <v>1374</v>
      </c>
      <c r="E76" s="9">
        <v>26.55</v>
      </c>
      <c r="F76" s="8" t="s">
        <v>1740</v>
      </c>
      <c r="G76" s="10">
        <v>3900</v>
      </c>
      <c r="H76" s="11">
        <f t="array" ref="H76">IF(OR(N76&gt;0,AC76&gt;0),MAX(N76,AC76),MAX(AK76,V76))</f>
        <v>46240</v>
      </c>
      <c r="I76" s="143">
        <f t="array" ref="I76">IF(SUM(O76,AD76)&gt;0,SUM(O76,AD76),SUM(AL76,W76))</f>
        <v>154</v>
      </c>
      <c r="J76" s="9">
        <f t="shared" si="11"/>
        <v>3.9487179487179489</v>
      </c>
      <c r="K76" s="143">
        <f t="shared" si="17"/>
        <v>1.0000000000000001E-9</v>
      </c>
      <c r="L76" s="9">
        <f t="shared" si="12"/>
        <v>6.493506493506494E-10</v>
      </c>
      <c r="M76" s="8" t="str">
        <f t="array" ref="M76">IF(L76&gt;5,"Perlu Sensus",IF(AND(L76&gt;=0,I76&gt;0),"Tetap Deteksi","Belum Deteksi"))</f>
        <v>Tetap Deteksi</v>
      </c>
      <c r="N76" s="11">
        <v>46240</v>
      </c>
      <c r="O76" s="143">
        <v>154</v>
      </c>
      <c r="P76" s="9">
        <f t="array" ref="P76">IFERROR(O76/$G76*100,0)</f>
        <v>3.9487179487179489</v>
      </c>
      <c r="Q76" s="143">
        <v>1.0000000000000001E-9</v>
      </c>
      <c r="R76" s="9">
        <f t="shared" si="13"/>
        <v>6.493506493506494E-10</v>
      </c>
      <c r="S76" s="8" t="str">
        <f t="array" ref="S76">IF(R76&gt;5,"Perlu Sensus",IF(AND(R76&gt;=0,O76&gt;0),"Tetap Deteksi","Belum Deteksi"))</f>
        <v>Tetap Deteksi</v>
      </c>
      <c r="T76" s="143">
        <v>2</v>
      </c>
      <c r="U76" s="9">
        <f t="shared" si="18"/>
        <v>1.2987012987012987</v>
      </c>
      <c r="V76" s="11">
        <v>46240</v>
      </c>
      <c r="W76" s="143">
        <v>239</v>
      </c>
      <c r="X76" s="143">
        <v>1E-8</v>
      </c>
      <c r="Y76" s="9">
        <f t="shared" si="14"/>
        <v>4.1841004184100421E-9</v>
      </c>
      <c r="Z76" s="8" t="str">
        <f t="array" ref="Z76">IF(Y76&gt;5,"Perlu Sensus",IF(AND(Y76&gt;=0,W76&gt;0),"Tetap Deteksi","Belum Deteksi"))</f>
        <v>Tetap Deteksi</v>
      </c>
      <c r="AA76" s="143">
        <v>2</v>
      </c>
      <c r="AB76" s="9">
        <f t="shared" si="19"/>
        <v>0.83682008368200833</v>
      </c>
      <c r="AC76" s="11"/>
      <c r="AD76" s="143"/>
      <c r="AE76" s="9">
        <f t="array" ref="AE76">IFERROR(AD76/$G76*100,0)</f>
        <v>0</v>
      </c>
      <c r="AF76" s="143"/>
      <c r="AG76" s="9">
        <f t="shared" si="15"/>
        <v>0</v>
      </c>
      <c r="AH76" s="8" t="str">
        <f t="array" ref="AH76">IF(AG76&gt;5,"Perlu Sensus",IF(AND(AG76&gt;=0,AD76&gt;0),"Tetap Deteksi","Belum Deteksi"))</f>
        <v>Belum Deteksi</v>
      </c>
      <c r="AI76" s="143"/>
      <c r="AJ76" s="9">
        <f t="shared" si="20"/>
        <v>0</v>
      </c>
      <c r="AK76" s="11"/>
      <c r="AL76" s="143"/>
      <c r="AM76" s="143"/>
      <c r="AN76" s="9">
        <f t="shared" si="16"/>
        <v>0</v>
      </c>
      <c r="AO76" s="8" t="str">
        <f t="array" ref="AO76">IF(AN76&gt;5,"Perlu Sensus",IF(AND(AN76&gt;=0,AL76&gt;0),"Tetap Deteksi","Belum Deteksi"))</f>
        <v>Belum Deteksi</v>
      </c>
      <c r="AP76" s="143"/>
      <c r="AQ76" s="9">
        <f t="shared" si="21"/>
        <v>0</v>
      </c>
    </row>
    <row r="77" spans="1:43" outlineLevel="1" x14ac:dyDescent="0.15">
      <c r="A77" s="8" t="s">
        <v>1914</v>
      </c>
      <c r="B77" s="8"/>
      <c r="C77" s="8" t="s">
        <v>107</v>
      </c>
      <c r="D77" s="181" t="s">
        <v>1375</v>
      </c>
      <c r="E77" s="9">
        <v>35.440000000000005</v>
      </c>
      <c r="F77" s="8" t="s">
        <v>1740</v>
      </c>
      <c r="G77" s="10">
        <v>4859</v>
      </c>
      <c r="H77" s="11">
        <f t="array" ref="H77">IF(OR(N77&gt;0,AC77&gt;0),MAX(N77,AC77),MAX(AK77,V77))</f>
        <v>46240</v>
      </c>
      <c r="I77" s="143">
        <f t="array" ref="I77">IF(SUM(O77,AD77)&gt;0,SUM(O77,AD77),SUM(AL77,W77))</f>
        <v>173</v>
      </c>
      <c r="J77" s="9">
        <f t="shared" si="11"/>
        <v>3.5604033751800781</v>
      </c>
      <c r="K77" s="143">
        <f t="shared" si="17"/>
        <v>1.0000000000000001E-9</v>
      </c>
      <c r="L77" s="9">
        <f t="shared" si="12"/>
        <v>5.7803468208092491E-10</v>
      </c>
      <c r="M77" s="8" t="str">
        <f t="array" ref="M77">IF(L77&gt;5,"Perlu Sensus",IF(AND(L77&gt;=0,I77&gt;0),"Tetap Deteksi","Belum Deteksi"))</f>
        <v>Tetap Deteksi</v>
      </c>
      <c r="N77" s="11">
        <v>46240</v>
      </c>
      <c r="O77" s="143">
        <v>173</v>
      </c>
      <c r="P77" s="9">
        <f t="array" ref="P77">IFERROR(O77/$G77*100,0)</f>
        <v>3.5604033751800781</v>
      </c>
      <c r="Q77" s="143">
        <v>1.0000000000000001E-9</v>
      </c>
      <c r="R77" s="9">
        <f t="shared" si="13"/>
        <v>5.7803468208092491E-10</v>
      </c>
      <c r="S77" s="8" t="str">
        <f t="array" ref="S77">IF(R77&gt;5,"Perlu Sensus",IF(AND(R77&gt;=0,O77&gt;0),"Tetap Deteksi","Belum Deteksi"))</f>
        <v>Tetap Deteksi</v>
      </c>
      <c r="T77" s="143">
        <v>9.9999999999999995E-8</v>
      </c>
      <c r="U77" s="9">
        <f t="shared" si="18"/>
        <v>5.7803468208092479E-8</v>
      </c>
      <c r="V77" s="11">
        <v>46240</v>
      </c>
      <c r="W77" s="143">
        <v>187</v>
      </c>
      <c r="X77" s="143">
        <v>2</v>
      </c>
      <c r="Y77" s="9">
        <f t="shared" si="14"/>
        <v>1.0695187165775399</v>
      </c>
      <c r="Z77" s="8" t="str">
        <f t="array" ref="Z77">IF(Y77&gt;5,"Perlu Sensus",IF(AND(Y77&gt;=0,W77&gt;0),"Tetap Deteksi","Belum Deteksi"))</f>
        <v>Tetap Deteksi</v>
      </c>
      <c r="AA77" s="143">
        <v>1</v>
      </c>
      <c r="AB77" s="9">
        <f t="shared" si="19"/>
        <v>0.53475935828876997</v>
      </c>
      <c r="AC77" s="11"/>
      <c r="AD77" s="143"/>
      <c r="AE77" s="9">
        <f t="array" ref="AE77">IFERROR(AD77/$G77*100,0)</f>
        <v>0</v>
      </c>
      <c r="AF77" s="143"/>
      <c r="AG77" s="9">
        <f t="shared" si="15"/>
        <v>0</v>
      </c>
      <c r="AH77" s="8" t="str">
        <f t="array" ref="AH77">IF(AG77&gt;5,"Perlu Sensus",IF(AND(AG77&gt;=0,AD77&gt;0),"Tetap Deteksi","Belum Deteksi"))</f>
        <v>Belum Deteksi</v>
      </c>
      <c r="AI77" s="143"/>
      <c r="AJ77" s="9">
        <f t="shared" si="20"/>
        <v>0</v>
      </c>
      <c r="AK77" s="11"/>
      <c r="AL77" s="143"/>
      <c r="AM77" s="143"/>
      <c r="AN77" s="9">
        <f t="shared" si="16"/>
        <v>0</v>
      </c>
      <c r="AO77" s="8" t="str">
        <f t="array" ref="AO77">IF(AN77&gt;5,"Perlu Sensus",IF(AND(AN77&gt;=0,AL77&gt;0),"Tetap Deteksi","Belum Deteksi"))</f>
        <v>Belum Deteksi</v>
      </c>
      <c r="AP77" s="143"/>
      <c r="AQ77" s="9">
        <f t="shared" si="21"/>
        <v>0</v>
      </c>
    </row>
    <row r="78" spans="1:43" outlineLevel="1" x14ac:dyDescent="0.15">
      <c r="A78" s="8" t="s">
        <v>1914</v>
      </c>
      <c r="B78" s="8"/>
      <c r="C78" s="8" t="s">
        <v>144</v>
      </c>
      <c r="D78" s="186" t="s">
        <v>1007</v>
      </c>
      <c r="E78" s="9">
        <v>33.14</v>
      </c>
      <c r="F78" s="8" t="s">
        <v>1740</v>
      </c>
      <c r="G78" s="10">
        <v>3850</v>
      </c>
      <c r="H78" s="11">
        <f t="array" ref="H78">IF(OR(N78&gt;0,AC78&gt;0),MAX(N78,AC78),MAX(AK78,V78))</f>
        <v>46238</v>
      </c>
      <c r="I78" s="143">
        <f t="array" ref="I78">IF(SUM(O78,AD78)&gt;0,SUM(O78,AD78),SUM(AL78,W78))</f>
        <v>184</v>
      </c>
      <c r="J78" s="9">
        <f t="shared" si="11"/>
        <v>4.7792207792207799</v>
      </c>
      <c r="K78" s="143">
        <f t="shared" si="17"/>
        <v>9.9999999999999995E-8</v>
      </c>
      <c r="L78" s="9">
        <f t="shared" si="12"/>
        <v>5.4347826086956524E-8</v>
      </c>
      <c r="M78" s="8" t="str">
        <f t="array" ref="M78">IF(L78&gt;5,"Perlu Sensus",IF(AND(L78&gt;=0,I78&gt;0),"Tetap Deteksi","Belum Deteksi"))</f>
        <v>Tetap Deteksi</v>
      </c>
      <c r="N78" s="11">
        <v>46238</v>
      </c>
      <c r="O78" s="143">
        <v>184</v>
      </c>
      <c r="P78" s="9">
        <f t="array" ref="P78">IFERROR(O78/$G78*100,0)</f>
        <v>4.7792207792207799</v>
      </c>
      <c r="Q78" s="143">
        <v>9.9999999999999995E-8</v>
      </c>
      <c r="R78" s="9">
        <f t="shared" si="13"/>
        <v>5.4347826086956524E-8</v>
      </c>
      <c r="S78" s="8" t="str">
        <f t="array" ref="S78">IF(R78&gt;5,"Perlu Sensus",IF(AND(R78&gt;=0,O78&gt;0),"Tetap Deteksi","Belum Deteksi"))</f>
        <v>Tetap Deteksi</v>
      </c>
      <c r="T78" s="143">
        <v>9.9999999999999995E-8</v>
      </c>
      <c r="U78" s="9">
        <f t="shared" si="18"/>
        <v>5.4347826086956524E-8</v>
      </c>
      <c r="V78" s="11">
        <v>46238</v>
      </c>
      <c r="W78" s="143">
        <v>330</v>
      </c>
      <c r="X78" s="143">
        <v>2</v>
      </c>
      <c r="Y78" s="9">
        <f t="shared" si="14"/>
        <v>0.60606060606060608</v>
      </c>
      <c r="Z78" s="8" t="str">
        <f t="array" ref="Z78">IF(Y78&gt;5,"Perlu Sensus",IF(AND(Y78&gt;=0,W78&gt;0),"Tetap Deteksi","Belum Deteksi"))</f>
        <v>Tetap Deteksi</v>
      </c>
      <c r="AA78" s="143">
        <v>5</v>
      </c>
      <c r="AB78" s="9">
        <f t="shared" si="19"/>
        <v>1.5151515151515151</v>
      </c>
      <c r="AC78" s="11"/>
      <c r="AD78" s="143"/>
      <c r="AE78" s="9">
        <f t="array" ref="AE78">IFERROR(AD78/$G78*100,0)</f>
        <v>0</v>
      </c>
      <c r="AF78" s="143"/>
      <c r="AG78" s="9">
        <f t="shared" si="15"/>
        <v>0</v>
      </c>
      <c r="AH78" s="8" t="str">
        <f t="array" ref="AH78">IF(AG78&gt;5,"Perlu Sensus",IF(AND(AG78&gt;=0,AD78&gt;0),"Tetap Deteksi","Belum Deteksi"))</f>
        <v>Belum Deteksi</v>
      </c>
      <c r="AI78" s="143"/>
      <c r="AJ78" s="9">
        <f t="shared" si="20"/>
        <v>0</v>
      </c>
      <c r="AK78" s="11"/>
      <c r="AL78" s="143"/>
      <c r="AM78" s="143"/>
      <c r="AN78" s="9">
        <f t="shared" si="16"/>
        <v>0</v>
      </c>
      <c r="AO78" s="8" t="str">
        <f t="array" ref="AO78">IF(AN78&gt;5,"Perlu Sensus",IF(AND(AN78&gt;=0,AL78&gt;0),"Tetap Deteksi","Belum Deteksi"))</f>
        <v>Belum Deteksi</v>
      </c>
      <c r="AP78" s="143"/>
      <c r="AQ78" s="9">
        <f t="shared" si="21"/>
        <v>0</v>
      </c>
    </row>
    <row r="79" spans="1:43" outlineLevel="1" x14ac:dyDescent="0.15">
      <c r="A79" s="8" t="s">
        <v>1914</v>
      </c>
      <c r="B79" s="8"/>
      <c r="C79" s="8" t="s">
        <v>144</v>
      </c>
      <c r="D79" s="186" t="s">
        <v>1394</v>
      </c>
      <c r="E79" s="9">
        <v>27.29</v>
      </c>
      <c r="F79" s="8" t="s">
        <v>1740</v>
      </c>
      <c r="G79" s="10">
        <v>3082</v>
      </c>
      <c r="H79" s="11">
        <f t="array" ref="H79">IF(OR(N79&gt;0,AC79&gt;0),MAX(N79,AC79),MAX(AK79,V79))</f>
        <v>46249</v>
      </c>
      <c r="I79" s="143">
        <f t="array" ref="I79">IF(SUM(O79,AD79)&gt;0,SUM(O79,AD79),SUM(AL79,W79))</f>
        <v>194</v>
      </c>
      <c r="J79" s="9">
        <f t="shared" si="11"/>
        <v>6.2946138870863075</v>
      </c>
      <c r="K79" s="143">
        <f t="shared" si="17"/>
        <v>1.0000000000000001E-9</v>
      </c>
      <c r="L79" s="9">
        <f t="shared" si="12"/>
        <v>5.1546391752577322E-10</v>
      </c>
      <c r="M79" s="8" t="str">
        <f t="array" ref="M79">IF(L79&gt;5,"Perlu Sensus",IF(AND(L79&gt;=0,I79&gt;0),"Tetap Deteksi","Belum Deteksi"))</f>
        <v>Tetap Deteksi</v>
      </c>
      <c r="N79" s="11">
        <v>46249</v>
      </c>
      <c r="O79" s="143">
        <v>194</v>
      </c>
      <c r="P79" s="9">
        <f t="array" ref="P79">IFERROR(O79/$G79*100,0)</f>
        <v>6.2946138870863075</v>
      </c>
      <c r="Q79" s="143">
        <v>1.0000000000000001E-9</v>
      </c>
      <c r="R79" s="9">
        <f t="shared" si="13"/>
        <v>5.1546391752577322E-10</v>
      </c>
      <c r="S79" s="8" t="str">
        <f t="array" ref="S79">IF(R79&gt;5,"Perlu Sensus",IF(AND(R79&gt;=0,O79&gt;0),"Tetap Deteksi","Belum Deteksi"))</f>
        <v>Tetap Deteksi</v>
      </c>
      <c r="T79" s="143">
        <v>1.0000000000000001E-9</v>
      </c>
      <c r="U79" s="9">
        <f t="shared" si="18"/>
        <v>5.1546391752577322E-10</v>
      </c>
      <c r="V79" s="11">
        <v>46237</v>
      </c>
      <c r="W79" s="143">
        <v>177</v>
      </c>
      <c r="X79" s="143">
        <v>4</v>
      </c>
      <c r="Y79" s="9">
        <f t="shared" si="14"/>
        <v>2.2598870056497176</v>
      </c>
      <c r="Z79" s="8" t="str">
        <f t="array" ref="Z79">IF(Y79&gt;5,"Perlu Sensus",IF(AND(Y79&gt;=0,W79&gt;0),"Tetap Deteksi","Belum Deteksi"))</f>
        <v>Tetap Deteksi</v>
      </c>
      <c r="AA79" s="143">
        <v>4</v>
      </c>
      <c r="AB79" s="9">
        <f t="shared" si="19"/>
        <v>2.2598870056497176</v>
      </c>
      <c r="AC79" s="11"/>
      <c r="AD79" s="143"/>
      <c r="AE79" s="9">
        <f t="array" ref="AE79">IFERROR(AD79/$G79*100,0)</f>
        <v>0</v>
      </c>
      <c r="AF79" s="143"/>
      <c r="AG79" s="9">
        <f t="shared" si="15"/>
        <v>0</v>
      </c>
      <c r="AH79" s="8" t="str">
        <f t="array" ref="AH79">IF(AG79&gt;5,"Perlu Sensus",IF(AND(AG79&gt;=0,AD79&gt;0),"Tetap Deteksi","Belum Deteksi"))</f>
        <v>Belum Deteksi</v>
      </c>
      <c r="AI79" s="143"/>
      <c r="AJ79" s="9">
        <f t="shared" si="20"/>
        <v>0</v>
      </c>
      <c r="AK79" s="11"/>
      <c r="AL79" s="143"/>
      <c r="AM79" s="143"/>
      <c r="AN79" s="9">
        <f t="shared" si="16"/>
        <v>0</v>
      </c>
      <c r="AO79" s="8" t="str">
        <f t="array" ref="AO79">IF(AN79&gt;5,"Perlu Sensus",IF(AND(AN79&gt;=0,AL79&gt;0),"Tetap Deteksi","Belum Deteksi"))</f>
        <v>Belum Deteksi</v>
      </c>
      <c r="AP79" s="143"/>
      <c r="AQ79" s="9">
        <f t="shared" si="21"/>
        <v>0</v>
      </c>
    </row>
    <row r="80" spans="1:43" outlineLevel="1" x14ac:dyDescent="0.15">
      <c r="A80" s="8" t="s">
        <v>1914</v>
      </c>
      <c r="B80" s="8"/>
      <c r="C80" s="8" t="s">
        <v>144</v>
      </c>
      <c r="D80" s="186" t="s">
        <v>1392</v>
      </c>
      <c r="E80" s="9">
        <v>28.23</v>
      </c>
      <c r="F80" s="8" t="s">
        <v>1740</v>
      </c>
      <c r="G80" s="10">
        <v>3378</v>
      </c>
      <c r="H80" s="11">
        <f t="array" ref="H80">IF(OR(N80&gt;0,AC80&gt;0),MAX(N80,AC80),MAX(AK80,V80))</f>
        <v>46246</v>
      </c>
      <c r="I80" s="143">
        <f t="array" ref="I80">IF(SUM(O80,AD80)&gt;0,SUM(O80,AD80),SUM(AL80,W80))</f>
        <v>177</v>
      </c>
      <c r="J80" s="9">
        <f t="shared" si="11"/>
        <v>5.2397868561278864</v>
      </c>
      <c r="K80" s="143">
        <f t="shared" si="17"/>
        <v>2</v>
      </c>
      <c r="L80" s="9">
        <f t="shared" si="12"/>
        <v>1.1299435028248588</v>
      </c>
      <c r="M80" s="8" t="str">
        <f t="array" ref="M80">IF(L80&gt;5,"Perlu Sensus",IF(AND(L80&gt;=0,I80&gt;0),"Tetap Deteksi","Belum Deteksi"))</f>
        <v>Tetap Deteksi</v>
      </c>
      <c r="N80" s="11">
        <v>46246</v>
      </c>
      <c r="O80" s="143">
        <v>177</v>
      </c>
      <c r="P80" s="9">
        <f t="array" ref="P80">IFERROR(O80/$G80*100,0)</f>
        <v>5.2397868561278864</v>
      </c>
      <c r="Q80" s="143">
        <v>2</v>
      </c>
      <c r="R80" s="9">
        <f t="shared" si="13"/>
        <v>1.1299435028248588</v>
      </c>
      <c r="S80" s="8" t="str">
        <f t="array" ref="S80">IF(R80&gt;5,"Perlu Sensus",IF(AND(R80&gt;=0,O80&gt;0),"Tetap Deteksi","Belum Deteksi"))</f>
        <v>Tetap Deteksi</v>
      </c>
      <c r="T80" s="143">
        <v>9.9999999999999995E-8</v>
      </c>
      <c r="U80" s="9">
        <f t="shared" si="18"/>
        <v>5.6497175141242928E-8</v>
      </c>
      <c r="V80" s="11">
        <v>46237</v>
      </c>
      <c r="W80" s="143">
        <v>208</v>
      </c>
      <c r="X80" s="143">
        <v>3</v>
      </c>
      <c r="Y80" s="9">
        <f t="shared" si="14"/>
        <v>1.4423076923076923</v>
      </c>
      <c r="Z80" s="8" t="str">
        <f t="array" ref="Z80">IF(Y80&gt;5,"Perlu Sensus",IF(AND(Y80&gt;=0,W80&gt;0),"Tetap Deteksi","Belum Deteksi"))</f>
        <v>Tetap Deteksi</v>
      </c>
      <c r="AA80" s="143">
        <v>1</v>
      </c>
      <c r="AB80" s="9">
        <f t="shared" si="19"/>
        <v>0.48076923076923078</v>
      </c>
      <c r="AC80" s="11"/>
      <c r="AD80" s="143"/>
      <c r="AE80" s="9">
        <f t="array" ref="AE80">IFERROR(AD80/$G80*100,0)</f>
        <v>0</v>
      </c>
      <c r="AF80" s="143"/>
      <c r="AG80" s="9">
        <f t="shared" si="15"/>
        <v>0</v>
      </c>
      <c r="AH80" s="8" t="str">
        <f t="array" ref="AH80">IF(AG80&gt;5,"Perlu Sensus",IF(AND(AG80&gt;=0,AD80&gt;0),"Tetap Deteksi","Belum Deteksi"))</f>
        <v>Belum Deteksi</v>
      </c>
      <c r="AI80" s="143"/>
      <c r="AJ80" s="9">
        <f t="shared" si="20"/>
        <v>0</v>
      </c>
      <c r="AK80" s="11"/>
      <c r="AL80" s="143"/>
      <c r="AM80" s="143"/>
      <c r="AN80" s="9">
        <f t="shared" si="16"/>
        <v>0</v>
      </c>
      <c r="AO80" s="8" t="str">
        <f t="array" ref="AO80">IF(AN80&gt;5,"Perlu Sensus",IF(AND(AN80&gt;=0,AL80&gt;0),"Tetap Deteksi","Belum Deteksi"))</f>
        <v>Belum Deteksi</v>
      </c>
      <c r="AP80" s="143"/>
      <c r="AQ80" s="9">
        <f t="shared" si="21"/>
        <v>0</v>
      </c>
    </row>
    <row r="81" spans="1:43" outlineLevel="1" x14ac:dyDescent="0.15">
      <c r="A81" s="8" t="s">
        <v>1914</v>
      </c>
      <c r="B81" s="8"/>
      <c r="C81" s="8" t="s">
        <v>144</v>
      </c>
      <c r="D81" s="186" t="s">
        <v>1393</v>
      </c>
      <c r="E81" s="9">
        <v>30.55</v>
      </c>
      <c r="F81" s="8" t="s">
        <v>1740</v>
      </c>
      <c r="G81" s="10">
        <v>3471</v>
      </c>
      <c r="H81" s="11">
        <f t="array" ref="H81">IF(OR(N81&gt;0,AC81&gt;0),MAX(N81,AC81),MAX(AK81,V81))</f>
        <v>46249</v>
      </c>
      <c r="I81" s="143">
        <f t="array" ref="I81">IF(SUM(O81,AD81)&gt;0,SUM(O81,AD81),SUM(AL81,W81))</f>
        <v>204</v>
      </c>
      <c r="J81" s="9">
        <f t="shared" si="11"/>
        <v>5.8772687986171137</v>
      </c>
      <c r="K81" s="143">
        <f t="shared" si="17"/>
        <v>3</v>
      </c>
      <c r="L81" s="9">
        <f t="shared" si="12"/>
        <v>1.4705882352941175</v>
      </c>
      <c r="M81" s="8" t="str">
        <f t="array" ref="M81">IF(L81&gt;5,"Perlu Sensus",IF(AND(L81&gt;=0,I81&gt;0),"Tetap Deteksi","Belum Deteksi"))</f>
        <v>Tetap Deteksi</v>
      </c>
      <c r="N81" s="11">
        <v>46249</v>
      </c>
      <c r="O81" s="143">
        <v>204</v>
      </c>
      <c r="P81" s="9">
        <f t="array" ref="P81">IFERROR(O81/$G81*100,0)</f>
        <v>5.8772687986171137</v>
      </c>
      <c r="Q81" s="143">
        <v>3</v>
      </c>
      <c r="R81" s="9">
        <f t="shared" si="13"/>
        <v>1.4705882352941175</v>
      </c>
      <c r="S81" s="8" t="str">
        <f t="array" ref="S81">IF(R81&gt;5,"Perlu Sensus",IF(AND(R81&gt;=0,O81&gt;0),"Tetap Deteksi","Belum Deteksi"))</f>
        <v>Tetap Deteksi</v>
      </c>
      <c r="T81" s="143">
        <v>2</v>
      </c>
      <c r="U81" s="9">
        <f t="shared" si="18"/>
        <v>0.98039215686274506</v>
      </c>
      <c r="V81" s="11">
        <v>46237</v>
      </c>
      <c r="W81" s="143">
        <v>204</v>
      </c>
      <c r="X81" s="143">
        <v>3</v>
      </c>
      <c r="Y81" s="9">
        <f t="shared" si="14"/>
        <v>1.4705882352941175</v>
      </c>
      <c r="Z81" s="8" t="str">
        <f t="array" ref="Z81">IF(Y81&gt;5,"Perlu Sensus",IF(AND(Y81&gt;=0,W81&gt;0),"Tetap Deteksi","Belum Deteksi"))</f>
        <v>Tetap Deteksi</v>
      </c>
      <c r="AA81" s="143">
        <v>2</v>
      </c>
      <c r="AB81" s="9">
        <f t="shared" si="19"/>
        <v>0.98039215686274506</v>
      </c>
      <c r="AC81" s="11"/>
      <c r="AD81" s="143"/>
      <c r="AE81" s="9">
        <f t="array" ref="AE81">IFERROR(AD81/$G81*100,0)</f>
        <v>0</v>
      </c>
      <c r="AF81" s="143"/>
      <c r="AG81" s="9">
        <f t="shared" si="15"/>
        <v>0</v>
      </c>
      <c r="AH81" s="8" t="str">
        <f t="array" ref="AH81">IF(AG81&gt;5,"Perlu Sensus",IF(AND(AG81&gt;=0,AD81&gt;0),"Tetap Deteksi","Belum Deteksi"))</f>
        <v>Belum Deteksi</v>
      </c>
      <c r="AI81" s="143"/>
      <c r="AJ81" s="9">
        <f t="shared" si="20"/>
        <v>0</v>
      </c>
      <c r="AK81" s="11"/>
      <c r="AL81" s="143"/>
      <c r="AM81" s="143"/>
      <c r="AN81" s="9">
        <f t="shared" si="16"/>
        <v>0</v>
      </c>
      <c r="AO81" s="8" t="str">
        <f t="array" ref="AO81">IF(AN81&gt;5,"Perlu Sensus",IF(AND(AN81&gt;=0,AL81&gt;0),"Tetap Deteksi","Belum Deteksi"))</f>
        <v>Belum Deteksi</v>
      </c>
      <c r="AP81" s="143"/>
      <c r="AQ81" s="9">
        <f t="shared" si="21"/>
        <v>0</v>
      </c>
    </row>
    <row r="82" spans="1:43" outlineLevel="1" x14ac:dyDescent="0.15">
      <c r="A82" s="8" t="s">
        <v>1914</v>
      </c>
      <c r="B82" s="8"/>
      <c r="C82" s="8" t="s">
        <v>144</v>
      </c>
      <c r="D82" s="186" t="s">
        <v>1009</v>
      </c>
      <c r="E82" s="9">
        <v>26.23</v>
      </c>
      <c r="F82" s="8" t="s">
        <v>1740</v>
      </c>
      <c r="G82" s="10">
        <v>2978</v>
      </c>
      <c r="H82" s="11">
        <f t="array" ref="H82">IF(OR(N82&gt;0,AC82&gt;0),MAX(N82,AC82),MAX(AK82,V82))</f>
        <v>46239</v>
      </c>
      <c r="I82" s="143">
        <f t="array" ref="I82">IF(SUM(O82,AD82)&gt;0,SUM(O82,AD82),SUM(AL82,W82))</f>
        <v>154</v>
      </c>
      <c r="J82" s="9">
        <f t="shared" si="11"/>
        <v>5.1712558764271321</v>
      </c>
      <c r="K82" s="143">
        <f t="shared" si="17"/>
        <v>1</v>
      </c>
      <c r="L82" s="9">
        <f t="shared" si="12"/>
        <v>0.64935064935064934</v>
      </c>
      <c r="M82" s="8" t="str">
        <f t="array" ref="M82">IF(L82&gt;5,"Perlu Sensus",IF(AND(L82&gt;=0,I82&gt;0),"Tetap Deteksi","Belum Deteksi"))</f>
        <v>Tetap Deteksi</v>
      </c>
      <c r="N82" s="11">
        <v>46239</v>
      </c>
      <c r="O82" s="143">
        <v>154</v>
      </c>
      <c r="P82" s="9">
        <f t="array" ref="P82">IFERROR(O82/$G82*100,0)</f>
        <v>5.1712558764271321</v>
      </c>
      <c r="Q82" s="143">
        <v>1</v>
      </c>
      <c r="R82" s="9">
        <f t="shared" si="13"/>
        <v>0.64935064935064934</v>
      </c>
      <c r="S82" s="8" t="str">
        <f t="array" ref="S82">IF(R82&gt;5,"Perlu Sensus",IF(AND(R82&gt;=0,O82&gt;0),"Tetap Deteksi","Belum Deteksi"))</f>
        <v>Tetap Deteksi</v>
      </c>
      <c r="T82" s="143">
        <v>2</v>
      </c>
      <c r="U82" s="9">
        <f t="shared" si="18"/>
        <v>1.2987012987012987</v>
      </c>
      <c r="V82" s="11">
        <v>46239</v>
      </c>
      <c r="W82" s="143">
        <v>230</v>
      </c>
      <c r="X82" s="143">
        <v>1.0000000000000001E-9</v>
      </c>
      <c r="Y82" s="9">
        <f t="shared" si="14"/>
        <v>4.347826086956522E-10</v>
      </c>
      <c r="Z82" s="8" t="str">
        <f t="array" ref="Z82">IF(Y82&gt;5,"Perlu Sensus",IF(AND(Y82&gt;=0,W82&gt;0),"Tetap Deteksi","Belum Deteksi"))</f>
        <v>Tetap Deteksi</v>
      </c>
      <c r="AA82" s="143">
        <v>1.0000000000000001E-9</v>
      </c>
      <c r="AB82" s="9">
        <f t="shared" si="19"/>
        <v>4.347826086956522E-10</v>
      </c>
      <c r="AC82" s="11"/>
      <c r="AD82" s="143"/>
      <c r="AE82" s="9">
        <f t="array" ref="AE82">IFERROR(AD82/$G82*100,0)</f>
        <v>0</v>
      </c>
      <c r="AF82" s="143"/>
      <c r="AG82" s="9">
        <f t="shared" si="15"/>
        <v>0</v>
      </c>
      <c r="AH82" s="8" t="str">
        <f t="array" ref="AH82">IF(AG82&gt;5,"Perlu Sensus",IF(AND(AG82&gt;=0,AD82&gt;0),"Tetap Deteksi","Belum Deteksi"))</f>
        <v>Belum Deteksi</v>
      </c>
      <c r="AI82" s="143"/>
      <c r="AJ82" s="9">
        <f t="shared" si="20"/>
        <v>0</v>
      </c>
      <c r="AK82" s="11"/>
      <c r="AL82" s="143"/>
      <c r="AM82" s="143"/>
      <c r="AN82" s="9">
        <f t="shared" si="16"/>
        <v>0</v>
      </c>
      <c r="AO82" s="8" t="str">
        <f t="array" ref="AO82">IF(AN82&gt;5,"Perlu Sensus",IF(AND(AN82&gt;=0,AL82&gt;0),"Tetap Deteksi","Belum Deteksi"))</f>
        <v>Belum Deteksi</v>
      </c>
      <c r="AP82" s="143"/>
      <c r="AQ82" s="9">
        <f t="shared" si="21"/>
        <v>0</v>
      </c>
    </row>
    <row r="83" spans="1:43" outlineLevel="1" x14ac:dyDescent="0.15">
      <c r="A83" s="8" t="s">
        <v>1914</v>
      </c>
      <c r="B83" s="8"/>
      <c r="C83" s="8" t="s">
        <v>144</v>
      </c>
      <c r="D83" s="186" t="s">
        <v>1367</v>
      </c>
      <c r="E83" s="9">
        <v>40.26</v>
      </c>
      <c r="F83" s="8" t="s">
        <v>1740</v>
      </c>
      <c r="G83" s="10">
        <v>4789</v>
      </c>
      <c r="H83" s="11">
        <f t="array" ref="H83">IF(OR(N83&gt;0,AC83&gt;0),MAX(N83,AC83),MAX(AK83,V83))</f>
        <v>46239</v>
      </c>
      <c r="I83" s="143">
        <f t="array" ref="I83">IF(SUM(O83,AD83)&gt;0,SUM(O83,AD83),SUM(AL83,W83))</f>
        <v>167</v>
      </c>
      <c r="J83" s="9">
        <f t="shared" si="11"/>
        <v>3.4871580705784089</v>
      </c>
      <c r="K83" s="143">
        <f t="shared" si="17"/>
        <v>9.9999999999999995E-8</v>
      </c>
      <c r="L83" s="9">
        <f t="shared" si="12"/>
        <v>5.9880239520958083E-8</v>
      </c>
      <c r="M83" s="8" t="str">
        <f t="array" ref="M83">IF(L83&gt;5,"Perlu Sensus",IF(AND(L83&gt;=0,I83&gt;0),"Tetap Deteksi","Belum Deteksi"))</f>
        <v>Tetap Deteksi</v>
      </c>
      <c r="N83" s="11">
        <v>46239</v>
      </c>
      <c r="O83" s="143">
        <v>167</v>
      </c>
      <c r="P83" s="9">
        <f t="array" ref="P83">IFERROR(O83/$G83*100,0)</f>
        <v>3.4871580705784089</v>
      </c>
      <c r="Q83" s="143">
        <v>9.9999999999999995E-8</v>
      </c>
      <c r="R83" s="9">
        <f t="shared" si="13"/>
        <v>5.9880239520958083E-8</v>
      </c>
      <c r="S83" s="8" t="str">
        <f t="array" ref="S83">IF(R83&gt;5,"Perlu Sensus",IF(AND(R83&gt;=0,O83&gt;0),"Tetap Deteksi","Belum Deteksi"))</f>
        <v>Tetap Deteksi</v>
      </c>
      <c r="T83" s="143">
        <v>9.9999999999999995E-8</v>
      </c>
      <c r="U83" s="9">
        <f t="shared" si="18"/>
        <v>5.9880239520958083E-8</v>
      </c>
      <c r="V83" s="11">
        <v>46239</v>
      </c>
      <c r="W83" s="143">
        <v>214</v>
      </c>
      <c r="X83" s="143">
        <v>3</v>
      </c>
      <c r="Y83" s="9">
        <f t="shared" si="14"/>
        <v>1.4018691588785046</v>
      </c>
      <c r="Z83" s="8" t="str">
        <f t="array" ref="Z83">IF(Y83&gt;5,"Perlu Sensus",IF(AND(Y83&gt;=0,W83&gt;0),"Tetap Deteksi","Belum Deteksi"))</f>
        <v>Tetap Deteksi</v>
      </c>
      <c r="AA83" s="143">
        <v>1.0000000000000001E-9</v>
      </c>
      <c r="AB83" s="9">
        <f t="shared" si="19"/>
        <v>4.6728971962616827E-10</v>
      </c>
      <c r="AC83" s="11"/>
      <c r="AD83" s="143"/>
      <c r="AE83" s="9">
        <f t="array" ref="AE83">IFERROR(AD83/$G83*100,0)</f>
        <v>0</v>
      </c>
      <c r="AF83" s="143"/>
      <c r="AG83" s="9">
        <f t="shared" si="15"/>
        <v>0</v>
      </c>
      <c r="AH83" s="8" t="str">
        <f t="array" ref="AH83">IF(AG83&gt;5,"Perlu Sensus",IF(AND(AG83&gt;=0,AD83&gt;0),"Tetap Deteksi","Belum Deteksi"))</f>
        <v>Belum Deteksi</v>
      </c>
      <c r="AI83" s="143"/>
      <c r="AJ83" s="9">
        <f t="shared" si="20"/>
        <v>0</v>
      </c>
      <c r="AK83" s="11"/>
      <c r="AL83" s="143"/>
      <c r="AM83" s="143"/>
      <c r="AN83" s="9">
        <f t="shared" si="16"/>
        <v>0</v>
      </c>
      <c r="AO83" s="8" t="str">
        <f t="array" ref="AO83">IF(AN83&gt;5,"Perlu Sensus",IF(AND(AN83&gt;=0,AL83&gt;0),"Tetap Deteksi","Belum Deteksi"))</f>
        <v>Belum Deteksi</v>
      </c>
      <c r="AP83" s="143"/>
      <c r="AQ83" s="9">
        <f t="shared" si="21"/>
        <v>0</v>
      </c>
    </row>
    <row r="84" spans="1:43" outlineLevel="1" x14ac:dyDescent="0.15">
      <c r="A84" s="8" t="s">
        <v>1914</v>
      </c>
      <c r="B84" s="8"/>
      <c r="C84" s="8" t="s">
        <v>144</v>
      </c>
      <c r="D84" s="186" t="s">
        <v>1391</v>
      </c>
      <c r="E84" s="9">
        <v>25.2</v>
      </c>
      <c r="F84" s="8" t="s">
        <v>1740</v>
      </c>
      <c r="G84" s="10">
        <v>3339</v>
      </c>
      <c r="H84" s="11">
        <f t="array" ref="H84">IF(OR(N84&gt;0,AC84&gt;0),MAX(N84,AC84),MAX(AK84,V84))</f>
        <v>46246</v>
      </c>
      <c r="I84" s="143">
        <f t="array" ref="I84">IF(SUM(O84,AD84)&gt;0,SUM(O84,AD84),SUM(AL84,W84))</f>
        <v>187</v>
      </c>
      <c r="J84" s="9">
        <f t="shared" si="11"/>
        <v>5.6004791853848452</v>
      </c>
      <c r="K84" s="143">
        <f t="shared" si="17"/>
        <v>9.9999999999999995E-8</v>
      </c>
      <c r="L84" s="9">
        <f t="shared" si="12"/>
        <v>5.3475935828877005E-8</v>
      </c>
      <c r="M84" s="8" t="str">
        <f t="array" ref="M84">IF(L84&gt;5,"Perlu Sensus",IF(AND(L84&gt;=0,I84&gt;0),"Tetap Deteksi","Belum Deteksi"))</f>
        <v>Tetap Deteksi</v>
      </c>
      <c r="N84" s="11">
        <v>46246</v>
      </c>
      <c r="O84" s="143">
        <v>187</v>
      </c>
      <c r="P84" s="9">
        <f t="array" ref="P84">IFERROR(O84/$G84*100,0)</f>
        <v>5.6004791853848452</v>
      </c>
      <c r="Q84" s="143">
        <v>9.9999999999999995E-8</v>
      </c>
      <c r="R84" s="9">
        <f t="shared" si="13"/>
        <v>5.3475935828877005E-8</v>
      </c>
      <c r="S84" s="8" t="str">
        <f t="array" ref="S84">IF(R84&gt;5,"Perlu Sensus",IF(AND(R84&gt;=0,O84&gt;0),"Tetap Deteksi","Belum Deteksi"))</f>
        <v>Tetap Deteksi</v>
      </c>
      <c r="T84" s="143">
        <v>2</v>
      </c>
      <c r="U84" s="9">
        <f t="shared" si="18"/>
        <v>1.0695187165775399</v>
      </c>
      <c r="V84" s="11">
        <v>46249</v>
      </c>
      <c r="W84" s="143">
        <v>223</v>
      </c>
      <c r="X84" s="143">
        <v>1</v>
      </c>
      <c r="Y84" s="9">
        <f t="shared" si="14"/>
        <v>0.44843049327354262</v>
      </c>
      <c r="Z84" s="8" t="str">
        <f t="array" ref="Z84">IF(Y84&gt;5,"Perlu Sensus",IF(AND(Y84&gt;=0,W84&gt;0),"Tetap Deteksi","Belum Deteksi"))</f>
        <v>Tetap Deteksi</v>
      </c>
      <c r="AA84" s="143">
        <v>1</v>
      </c>
      <c r="AB84" s="9">
        <f t="shared" si="19"/>
        <v>0.44843049327354262</v>
      </c>
      <c r="AC84" s="11"/>
      <c r="AD84" s="143"/>
      <c r="AE84" s="9">
        <f t="array" ref="AE84">IFERROR(AD84/$G84*100,0)</f>
        <v>0</v>
      </c>
      <c r="AF84" s="143"/>
      <c r="AG84" s="9">
        <f t="shared" si="15"/>
        <v>0</v>
      </c>
      <c r="AH84" s="8" t="str">
        <f t="array" ref="AH84">IF(AG84&gt;5,"Perlu Sensus",IF(AND(AG84&gt;=0,AD84&gt;0),"Tetap Deteksi","Belum Deteksi"))</f>
        <v>Belum Deteksi</v>
      </c>
      <c r="AI84" s="143"/>
      <c r="AJ84" s="9">
        <f t="shared" si="20"/>
        <v>0</v>
      </c>
      <c r="AK84" s="11"/>
      <c r="AL84" s="143"/>
      <c r="AM84" s="143"/>
      <c r="AN84" s="9">
        <f t="shared" si="16"/>
        <v>0</v>
      </c>
      <c r="AO84" s="8" t="str">
        <f t="array" ref="AO84">IF(AN84&gt;5,"Perlu Sensus",IF(AND(AN84&gt;=0,AL84&gt;0),"Tetap Deteksi","Belum Deteksi"))</f>
        <v>Belum Deteksi</v>
      </c>
      <c r="AP84" s="143"/>
      <c r="AQ84" s="9">
        <f t="shared" si="21"/>
        <v>0</v>
      </c>
    </row>
    <row r="85" spans="1:43" outlineLevel="1" x14ac:dyDescent="0.15">
      <c r="A85" s="8" t="s">
        <v>1914</v>
      </c>
      <c r="B85" s="8"/>
      <c r="C85" s="8" t="s">
        <v>144</v>
      </c>
      <c r="D85" s="186" t="s">
        <v>1373</v>
      </c>
      <c r="E85" s="9">
        <v>39.08</v>
      </c>
      <c r="F85" s="8" t="s">
        <v>1740</v>
      </c>
      <c r="G85" s="10">
        <v>5306</v>
      </c>
      <c r="H85" s="11">
        <f t="array" ref="H85">IF(OR(N85&gt;0,AC85&gt;0),MAX(N85,AC85),MAX(AK85,V85))</f>
        <v>46244</v>
      </c>
      <c r="I85" s="143">
        <f t="array" ref="I85">IF(SUM(O85,AD85)&gt;0,SUM(O85,AD85),SUM(AL85,W85))</f>
        <v>193</v>
      </c>
      <c r="J85" s="9">
        <f t="shared" si="11"/>
        <v>3.6373916321145874</v>
      </c>
      <c r="K85" s="143">
        <f t="shared" si="17"/>
        <v>1.0000000000000001E-9</v>
      </c>
      <c r="L85" s="9">
        <f t="shared" si="12"/>
        <v>5.1813471502590674E-10</v>
      </c>
      <c r="M85" s="8" t="str">
        <f t="array" ref="M85">IF(L85&gt;5,"Perlu Sensus",IF(AND(L85&gt;=0,I85&gt;0),"Tetap Deteksi","Belum Deteksi"))</f>
        <v>Tetap Deteksi</v>
      </c>
      <c r="N85" s="11">
        <v>46244</v>
      </c>
      <c r="O85" s="143">
        <v>193</v>
      </c>
      <c r="P85" s="9">
        <f t="array" ref="P85">IFERROR(O85/$G85*100,0)</f>
        <v>3.6373916321145874</v>
      </c>
      <c r="Q85" s="143">
        <v>1.0000000000000001E-9</v>
      </c>
      <c r="R85" s="9">
        <f t="shared" si="13"/>
        <v>5.1813471502590674E-10</v>
      </c>
      <c r="S85" s="8" t="str">
        <f t="array" ref="S85">IF(R85&gt;5,"Perlu Sensus",IF(AND(R85&gt;=0,O85&gt;0),"Tetap Deteksi","Belum Deteksi"))</f>
        <v>Tetap Deteksi</v>
      </c>
      <c r="T85" s="143">
        <v>1.0000000000000001E-9</v>
      </c>
      <c r="U85" s="9">
        <f t="shared" si="18"/>
        <v>5.1813471502590674E-10</v>
      </c>
      <c r="V85" s="11">
        <v>46244</v>
      </c>
      <c r="W85" s="143">
        <v>188</v>
      </c>
      <c r="X85" s="143">
        <v>1</v>
      </c>
      <c r="Y85" s="9">
        <f t="shared" si="14"/>
        <v>0.53191489361702127</v>
      </c>
      <c r="Z85" s="8" t="str">
        <f t="array" ref="Z85">IF(Y85&gt;5,"Perlu Sensus",IF(AND(Y85&gt;=0,W85&gt;0),"Tetap Deteksi","Belum Deteksi"))</f>
        <v>Tetap Deteksi</v>
      </c>
      <c r="AA85" s="143">
        <v>3</v>
      </c>
      <c r="AB85" s="9">
        <f t="shared" si="19"/>
        <v>1.5957446808510638</v>
      </c>
      <c r="AC85" s="11"/>
      <c r="AD85" s="143"/>
      <c r="AE85" s="9">
        <f t="array" ref="AE85">IFERROR(AD85/$G85*100,0)</f>
        <v>0</v>
      </c>
      <c r="AF85" s="143"/>
      <c r="AG85" s="9">
        <f t="shared" si="15"/>
        <v>0</v>
      </c>
      <c r="AH85" s="8" t="str">
        <f t="array" ref="AH85">IF(AG85&gt;5,"Perlu Sensus",IF(AND(AG85&gt;=0,AD85&gt;0),"Tetap Deteksi","Belum Deteksi"))</f>
        <v>Belum Deteksi</v>
      </c>
      <c r="AI85" s="143"/>
      <c r="AJ85" s="9">
        <f t="shared" si="20"/>
        <v>0</v>
      </c>
      <c r="AK85" s="11"/>
      <c r="AL85" s="143"/>
      <c r="AM85" s="143"/>
      <c r="AN85" s="9">
        <f t="shared" si="16"/>
        <v>0</v>
      </c>
      <c r="AO85" s="8" t="str">
        <f t="array" ref="AO85">IF(AN85&gt;5,"Perlu Sensus",IF(AND(AN85&gt;=0,AL85&gt;0),"Tetap Deteksi","Belum Deteksi"))</f>
        <v>Belum Deteksi</v>
      </c>
      <c r="AP85" s="143"/>
      <c r="AQ85" s="9">
        <f t="shared" si="21"/>
        <v>0</v>
      </c>
    </row>
    <row r="86" spans="1:43" outlineLevel="1" x14ac:dyDescent="0.15">
      <c r="A86" s="8" t="s">
        <v>1914</v>
      </c>
      <c r="B86" s="8"/>
      <c r="C86" s="8" t="s">
        <v>144</v>
      </c>
      <c r="D86" s="186" t="s">
        <v>1002</v>
      </c>
      <c r="E86" s="9">
        <v>49.580000000000005</v>
      </c>
      <c r="F86" s="8" t="s">
        <v>1740</v>
      </c>
      <c r="G86" s="10">
        <v>5977</v>
      </c>
      <c r="H86" s="11">
        <f t="array" ref="H86">IF(OR(N86&gt;0,AC86&gt;0),MAX(N86,AC86),MAX(AK86,V86))</f>
        <v>46246</v>
      </c>
      <c r="I86" s="143">
        <f t="array" ref="I86">IF(SUM(O86,AD86)&gt;0,SUM(O86,AD86),SUM(AL86,W86))</f>
        <v>176</v>
      </c>
      <c r="J86" s="9">
        <f t="shared" si="11"/>
        <v>2.9446210473481682</v>
      </c>
      <c r="K86" s="143">
        <f t="shared" si="17"/>
        <v>9.9999999999999995E-8</v>
      </c>
      <c r="L86" s="9">
        <f t="shared" si="12"/>
        <v>5.6818181818181815E-8</v>
      </c>
      <c r="M86" s="8" t="str">
        <f t="array" ref="M86">IF(L86&gt;5,"Perlu Sensus",IF(AND(L86&gt;=0,I86&gt;0),"Tetap Deteksi","Belum Deteksi"))</f>
        <v>Tetap Deteksi</v>
      </c>
      <c r="N86" s="11">
        <v>46246</v>
      </c>
      <c r="O86" s="143">
        <v>176</v>
      </c>
      <c r="P86" s="9">
        <f t="array" ref="P86">IFERROR(O86/$G86*100,0)</f>
        <v>2.9446210473481682</v>
      </c>
      <c r="Q86" s="143">
        <v>9.9999999999999995E-8</v>
      </c>
      <c r="R86" s="9">
        <f t="shared" si="13"/>
        <v>5.6818181818181815E-8</v>
      </c>
      <c r="S86" s="8" t="str">
        <f t="array" ref="S86">IF(R86&gt;5,"Perlu Sensus",IF(AND(R86&gt;=0,O86&gt;0),"Tetap Deteksi","Belum Deteksi"))</f>
        <v>Tetap Deteksi</v>
      </c>
      <c r="T86" s="143">
        <v>9.9999999999999995E-8</v>
      </c>
      <c r="U86" s="9">
        <f t="shared" si="18"/>
        <v>5.6818181818181815E-8</v>
      </c>
      <c r="V86" s="11">
        <v>46249</v>
      </c>
      <c r="W86" s="143">
        <v>243</v>
      </c>
      <c r="X86" s="143">
        <v>1.0000000000000001E-9</v>
      </c>
      <c r="Y86" s="9">
        <f t="shared" si="14"/>
        <v>4.1152263374485598E-10</v>
      </c>
      <c r="Z86" s="8" t="str">
        <f t="array" ref="Z86">IF(Y86&gt;5,"Perlu Sensus",IF(AND(Y86&gt;=0,W86&gt;0),"Tetap Deteksi","Belum Deteksi"))</f>
        <v>Tetap Deteksi</v>
      </c>
      <c r="AA86" s="143">
        <v>1</v>
      </c>
      <c r="AB86" s="9">
        <f t="shared" si="19"/>
        <v>0.41152263374485598</v>
      </c>
      <c r="AC86" s="11"/>
      <c r="AD86" s="143"/>
      <c r="AE86" s="9">
        <f t="array" ref="AE86">IFERROR(AD86/$G86*100,0)</f>
        <v>0</v>
      </c>
      <c r="AF86" s="143"/>
      <c r="AG86" s="9">
        <f t="shared" si="15"/>
        <v>0</v>
      </c>
      <c r="AH86" s="8" t="str">
        <f t="array" ref="AH86">IF(AG86&gt;5,"Perlu Sensus",IF(AND(AG86&gt;=0,AD86&gt;0),"Tetap Deteksi","Belum Deteksi"))</f>
        <v>Belum Deteksi</v>
      </c>
      <c r="AI86" s="143"/>
      <c r="AJ86" s="9">
        <f t="shared" si="20"/>
        <v>0</v>
      </c>
      <c r="AK86" s="11"/>
      <c r="AL86" s="143"/>
      <c r="AM86" s="143"/>
      <c r="AN86" s="9">
        <f t="shared" si="16"/>
        <v>0</v>
      </c>
      <c r="AO86" s="8" t="str">
        <f t="array" ref="AO86">IF(AN86&gt;5,"Perlu Sensus",IF(AND(AN86&gt;=0,AL86&gt;0),"Tetap Deteksi","Belum Deteksi"))</f>
        <v>Belum Deteksi</v>
      </c>
      <c r="AP86" s="143"/>
      <c r="AQ86" s="9">
        <f t="shared" si="21"/>
        <v>0</v>
      </c>
    </row>
    <row r="87" spans="1:43" outlineLevel="1" x14ac:dyDescent="0.15">
      <c r="A87" s="8" t="s">
        <v>1914</v>
      </c>
      <c r="B87" s="8"/>
      <c r="C87" s="8" t="s">
        <v>144</v>
      </c>
      <c r="D87" s="186" t="s">
        <v>1362</v>
      </c>
      <c r="E87" s="9">
        <v>54.38000000000001</v>
      </c>
      <c r="F87" s="8" t="s">
        <v>1740</v>
      </c>
      <c r="G87" s="10">
        <v>6184</v>
      </c>
      <c r="H87" s="11">
        <f t="array" ref="H87">IF(OR(N87&gt;0,AC87&gt;0),MAX(N87,AC87),MAX(AK87,V87))</f>
        <v>46249</v>
      </c>
      <c r="I87" s="143">
        <f t="array" ref="I87">IF(SUM(O87,AD87)&gt;0,SUM(O87,AD87),SUM(AL87,W87))</f>
        <v>234</v>
      </c>
      <c r="J87" s="9">
        <f t="shared" si="11"/>
        <v>3.7839586028460541</v>
      </c>
      <c r="K87" s="143">
        <f t="shared" si="17"/>
        <v>1</v>
      </c>
      <c r="L87" s="9">
        <f t="shared" si="12"/>
        <v>0.42735042735042739</v>
      </c>
      <c r="M87" s="8" t="str">
        <f t="array" ref="M87">IF(L87&gt;5,"Perlu Sensus",IF(AND(L87&gt;=0,I87&gt;0),"Tetap Deteksi","Belum Deteksi"))</f>
        <v>Tetap Deteksi</v>
      </c>
      <c r="N87" s="11">
        <v>46249</v>
      </c>
      <c r="O87" s="143">
        <v>234</v>
      </c>
      <c r="P87" s="9">
        <f t="array" ref="P87">IFERROR(O87/$G87*100,0)</f>
        <v>3.7839586028460541</v>
      </c>
      <c r="Q87" s="143">
        <v>1</v>
      </c>
      <c r="R87" s="9">
        <f t="shared" si="13"/>
        <v>0.42735042735042739</v>
      </c>
      <c r="S87" s="8" t="str">
        <f t="array" ref="S87">IF(R87&gt;5,"Perlu Sensus",IF(AND(R87&gt;=0,O87&gt;0),"Tetap Deteksi","Belum Deteksi"))</f>
        <v>Tetap Deteksi</v>
      </c>
      <c r="T87" s="143">
        <v>1</v>
      </c>
      <c r="U87" s="9">
        <f t="shared" si="18"/>
        <v>0.42735042735042739</v>
      </c>
      <c r="V87" s="11">
        <v>46238</v>
      </c>
      <c r="W87" s="143">
        <v>187</v>
      </c>
      <c r="X87" s="143">
        <v>2</v>
      </c>
      <c r="Y87" s="9">
        <f t="shared" si="14"/>
        <v>1.0695187165775399</v>
      </c>
      <c r="Z87" s="8" t="str">
        <f t="array" ref="Z87">IF(Y87&gt;5,"Perlu Sensus",IF(AND(Y87&gt;=0,W87&gt;0),"Tetap Deteksi","Belum Deteksi"))</f>
        <v>Tetap Deteksi</v>
      </c>
      <c r="AA87" s="143">
        <v>2</v>
      </c>
      <c r="AB87" s="9">
        <f t="shared" si="19"/>
        <v>1.0695187165775399</v>
      </c>
      <c r="AC87" s="11"/>
      <c r="AD87" s="143"/>
      <c r="AE87" s="9">
        <f t="array" ref="AE87">IFERROR(AD87/$G87*100,0)</f>
        <v>0</v>
      </c>
      <c r="AF87" s="143"/>
      <c r="AG87" s="9">
        <f t="shared" si="15"/>
        <v>0</v>
      </c>
      <c r="AH87" s="8" t="str">
        <f t="array" ref="AH87">IF(AG87&gt;5,"Perlu Sensus",IF(AND(AG87&gt;=0,AD87&gt;0),"Tetap Deteksi","Belum Deteksi"))</f>
        <v>Belum Deteksi</v>
      </c>
      <c r="AI87" s="143"/>
      <c r="AJ87" s="9">
        <f t="shared" si="20"/>
        <v>0</v>
      </c>
      <c r="AK87" s="11"/>
      <c r="AL87" s="143"/>
      <c r="AM87" s="143"/>
      <c r="AN87" s="9">
        <f t="shared" si="16"/>
        <v>0</v>
      </c>
      <c r="AO87" s="8" t="str">
        <f t="array" ref="AO87">IF(AN87&gt;5,"Perlu Sensus",IF(AND(AN87&gt;=0,AL87&gt;0),"Tetap Deteksi","Belum Deteksi"))</f>
        <v>Belum Deteksi</v>
      </c>
      <c r="AP87" s="143"/>
      <c r="AQ87" s="9">
        <f t="shared" si="21"/>
        <v>0</v>
      </c>
    </row>
    <row r="88" spans="1:43" outlineLevel="1" x14ac:dyDescent="0.15">
      <c r="A88" s="8" t="s">
        <v>1914</v>
      </c>
      <c r="B88" s="8"/>
      <c r="C88" s="8" t="s">
        <v>144</v>
      </c>
      <c r="D88" s="186" t="s">
        <v>1368</v>
      </c>
      <c r="E88" s="9">
        <v>31.79</v>
      </c>
      <c r="F88" s="8" t="s">
        <v>1740</v>
      </c>
      <c r="G88" s="10">
        <v>4189</v>
      </c>
      <c r="H88" s="11">
        <f t="array" ref="H88">IF(OR(N88&gt;0,AC88&gt;0),MAX(N88,AC88),MAX(AK88,V88))</f>
        <v>46239</v>
      </c>
      <c r="I88" s="143">
        <f t="array" ref="I88">IF(SUM(O88,AD88)&gt;0,SUM(O88,AD88),SUM(AL88,W88))</f>
        <v>171</v>
      </c>
      <c r="J88" s="9">
        <f t="shared" si="11"/>
        <v>4.0821198376700885</v>
      </c>
      <c r="K88" s="143">
        <f t="shared" si="17"/>
        <v>1</v>
      </c>
      <c r="L88" s="9">
        <f t="shared" si="12"/>
        <v>0.58479532163742687</v>
      </c>
      <c r="M88" s="8" t="str">
        <f t="array" ref="M88">IF(L88&gt;5,"Perlu Sensus",IF(AND(L88&gt;=0,I88&gt;0),"Tetap Deteksi","Belum Deteksi"))</f>
        <v>Tetap Deteksi</v>
      </c>
      <c r="N88" s="11">
        <v>46239</v>
      </c>
      <c r="O88" s="143">
        <v>171</v>
      </c>
      <c r="P88" s="9">
        <f t="array" ref="P88">IFERROR(O88/$G88*100,0)</f>
        <v>4.0821198376700885</v>
      </c>
      <c r="Q88" s="143">
        <v>1</v>
      </c>
      <c r="R88" s="9">
        <f t="shared" si="13"/>
        <v>0.58479532163742687</v>
      </c>
      <c r="S88" s="8" t="str">
        <f t="array" ref="S88">IF(R88&gt;5,"Perlu Sensus",IF(AND(R88&gt;=0,O88&gt;0),"Tetap Deteksi","Belum Deteksi"))</f>
        <v>Tetap Deteksi</v>
      </c>
      <c r="T88" s="143">
        <v>1</v>
      </c>
      <c r="U88" s="9">
        <f t="shared" si="18"/>
        <v>0.58479532163742687</v>
      </c>
      <c r="V88" s="11">
        <v>46239</v>
      </c>
      <c r="W88" s="143">
        <v>259</v>
      </c>
      <c r="X88" s="143">
        <v>1.0000000000000001E-9</v>
      </c>
      <c r="Y88" s="9">
        <f t="shared" si="14"/>
        <v>3.8610038610038612E-10</v>
      </c>
      <c r="Z88" s="8" t="str">
        <f t="array" ref="Z88">IF(Y88&gt;5,"Perlu Sensus",IF(AND(Y88&gt;=0,W88&gt;0),"Tetap Deteksi","Belum Deteksi"))</f>
        <v>Tetap Deteksi</v>
      </c>
      <c r="AA88" s="143">
        <v>3</v>
      </c>
      <c r="AB88" s="9">
        <f t="shared" si="19"/>
        <v>1.1583011583011582</v>
      </c>
      <c r="AC88" s="11"/>
      <c r="AD88" s="143"/>
      <c r="AE88" s="9">
        <f t="array" ref="AE88">IFERROR(AD88/$G88*100,0)</f>
        <v>0</v>
      </c>
      <c r="AF88" s="143"/>
      <c r="AG88" s="9">
        <f t="shared" si="15"/>
        <v>0</v>
      </c>
      <c r="AH88" s="8" t="str">
        <f t="array" ref="AH88">IF(AG88&gt;5,"Perlu Sensus",IF(AND(AG88&gt;=0,AD88&gt;0),"Tetap Deteksi","Belum Deteksi"))</f>
        <v>Belum Deteksi</v>
      </c>
      <c r="AI88" s="143"/>
      <c r="AJ88" s="9">
        <f t="shared" si="20"/>
        <v>0</v>
      </c>
      <c r="AK88" s="11"/>
      <c r="AL88" s="143"/>
      <c r="AM88" s="143"/>
      <c r="AN88" s="9">
        <f t="shared" si="16"/>
        <v>0</v>
      </c>
      <c r="AO88" s="8" t="str">
        <f t="array" ref="AO88">IF(AN88&gt;5,"Perlu Sensus",IF(AND(AN88&gt;=0,AL88&gt;0),"Tetap Deteksi","Belum Deteksi"))</f>
        <v>Belum Deteksi</v>
      </c>
      <c r="AP88" s="143"/>
      <c r="AQ88" s="9">
        <f t="shared" si="21"/>
        <v>0</v>
      </c>
    </row>
    <row r="89" spans="1:43" outlineLevel="1" x14ac:dyDescent="0.15">
      <c r="A89" s="8" t="s">
        <v>1914</v>
      </c>
      <c r="B89" s="8"/>
      <c r="C89" s="8" t="s">
        <v>144</v>
      </c>
      <c r="D89" s="181" t="s">
        <v>1370</v>
      </c>
      <c r="E89" s="9">
        <v>42.17</v>
      </c>
      <c r="F89" s="8" t="s">
        <v>1740</v>
      </c>
      <c r="G89" s="10">
        <v>4546</v>
      </c>
      <c r="H89" s="11">
        <f t="array" ref="H89">IF(OR(N89&gt;0,AC89&gt;0),MAX(N89,AC89),MAX(AK89,V89))</f>
        <v>46240</v>
      </c>
      <c r="I89" s="143">
        <f t="array" ref="I89">IF(SUM(O89,AD89)&gt;0,SUM(O89,AD89),SUM(AL89,W89))</f>
        <v>126</v>
      </c>
      <c r="J89" s="9">
        <f t="shared" si="11"/>
        <v>2.7716673999120105</v>
      </c>
      <c r="K89" s="143">
        <f t="shared" si="17"/>
        <v>1.0000000000000001E-9</v>
      </c>
      <c r="L89" s="9">
        <f t="shared" si="12"/>
        <v>7.9365079365079374E-10</v>
      </c>
      <c r="M89" s="8" t="str">
        <f t="array" ref="M89">IF(L89&gt;5,"Perlu Sensus",IF(AND(L89&gt;=0,I89&gt;0),"Tetap Deteksi","Belum Deteksi"))</f>
        <v>Tetap Deteksi</v>
      </c>
      <c r="N89" s="11">
        <v>46240</v>
      </c>
      <c r="O89" s="143">
        <v>126</v>
      </c>
      <c r="P89" s="9">
        <f t="array" ref="P89">IFERROR(O89/$G89*100,0)</f>
        <v>2.7716673999120105</v>
      </c>
      <c r="Q89" s="143">
        <v>1.0000000000000001E-9</v>
      </c>
      <c r="R89" s="9">
        <f t="shared" si="13"/>
        <v>7.9365079365079374E-10</v>
      </c>
      <c r="S89" s="8" t="str">
        <f t="array" ref="S89">IF(R89&gt;5,"Perlu Sensus",IF(AND(R89&gt;=0,O89&gt;0),"Tetap Deteksi","Belum Deteksi"))</f>
        <v>Tetap Deteksi</v>
      </c>
      <c r="T89" s="143">
        <v>1</v>
      </c>
      <c r="U89" s="9">
        <f t="shared" si="18"/>
        <v>0.79365079365079361</v>
      </c>
      <c r="V89" s="11">
        <v>46240</v>
      </c>
      <c r="W89" s="143">
        <v>218</v>
      </c>
      <c r="X89" s="143">
        <v>4</v>
      </c>
      <c r="Y89" s="9">
        <f t="shared" si="14"/>
        <v>1.834862385321101</v>
      </c>
      <c r="Z89" s="8" t="str">
        <f t="array" ref="Z89">IF(Y89&gt;5,"Perlu Sensus",IF(AND(Y89&gt;=0,W89&gt;0),"Tetap Deteksi","Belum Deteksi"))</f>
        <v>Tetap Deteksi</v>
      </c>
      <c r="AA89" s="143">
        <v>2</v>
      </c>
      <c r="AB89" s="9">
        <f t="shared" si="19"/>
        <v>0.91743119266055051</v>
      </c>
      <c r="AC89" s="11"/>
      <c r="AD89" s="143"/>
      <c r="AE89" s="9">
        <f t="array" ref="AE89">IFERROR(AD89/$G89*100,0)</f>
        <v>0</v>
      </c>
      <c r="AF89" s="143"/>
      <c r="AG89" s="9">
        <f t="shared" si="15"/>
        <v>0</v>
      </c>
      <c r="AH89" s="8" t="str">
        <f t="array" ref="AH89">IF(AG89&gt;5,"Perlu Sensus",IF(AND(AG89&gt;=0,AD89&gt;0),"Tetap Deteksi","Belum Deteksi"))</f>
        <v>Belum Deteksi</v>
      </c>
      <c r="AI89" s="143"/>
      <c r="AJ89" s="9">
        <f t="shared" si="20"/>
        <v>0</v>
      </c>
      <c r="AK89" s="11"/>
      <c r="AL89" s="143"/>
      <c r="AM89" s="143"/>
      <c r="AN89" s="9">
        <f t="shared" si="16"/>
        <v>0</v>
      </c>
      <c r="AO89" s="8" t="str">
        <f t="array" ref="AO89">IF(AN89&gt;5,"Perlu Sensus",IF(AND(AN89&gt;=0,AL89&gt;0),"Tetap Deteksi","Belum Deteksi"))</f>
        <v>Belum Deteksi</v>
      </c>
      <c r="AP89" s="143"/>
      <c r="AQ89" s="9">
        <f t="shared" si="21"/>
        <v>0</v>
      </c>
    </row>
    <row r="90" spans="1:43" outlineLevel="1" x14ac:dyDescent="0.15">
      <c r="A90" s="8" t="s">
        <v>1914</v>
      </c>
      <c r="B90" s="8"/>
      <c r="C90" s="8" t="s">
        <v>144</v>
      </c>
      <c r="D90" s="186" t="s">
        <v>1371</v>
      </c>
      <c r="E90" s="9">
        <v>25.4</v>
      </c>
      <c r="F90" s="8" t="s">
        <v>1740</v>
      </c>
      <c r="G90" s="10">
        <v>3103</v>
      </c>
      <c r="H90" s="11">
        <f t="array" ref="H90">IF(OR(N90&gt;0,AC90&gt;0),MAX(N90,AC90),MAX(AK90,V90))</f>
        <v>46240</v>
      </c>
      <c r="I90" s="143">
        <f t="array" ref="I90">IF(SUM(O90,AD90)&gt;0,SUM(O90,AD90),SUM(AL90,W90))</f>
        <v>174</v>
      </c>
      <c r="J90" s="9">
        <f t="shared" si="11"/>
        <v>5.6074766355140184</v>
      </c>
      <c r="K90" s="143">
        <f t="shared" si="17"/>
        <v>2</v>
      </c>
      <c r="L90" s="9">
        <f t="shared" si="12"/>
        <v>1.1494252873563218</v>
      </c>
      <c r="M90" s="8" t="str">
        <f t="array" ref="M90">IF(L90&gt;5,"Perlu Sensus",IF(AND(L90&gt;=0,I90&gt;0),"Tetap Deteksi","Belum Deteksi"))</f>
        <v>Tetap Deteksi</v>
      </c>
      <c r="N90" s="11">
        <v>46240</v>
      </c>
      <c r="O90" s="143">
        <v>174</v>
      </c>
      <c r="P90" s="9">
        <f t="array" ref="P90">IFERROR(O90/$G90*100,0)</f>
        <v>5.6074766355140184</v>
      </c>
      <c r="Q90" s="143">
        <v>2</v>
      </c>
      <c r="R90" s="9">
        <f t="shared" si="13"/>
        <v>1.1494252873563218</v>
      </c>
      <c r="S90" s="8" t="str">
        <f t="array" ref="S90">IF(R90&gt;5,"Perlu Sensus",IF(AND(R90&gt;=0,O90&gt;0),"Tetap Deteksi","Belum Deteksi"))</f>
        <v>Tetap Deteksi</v>
      </c>
      <c r="T90" s="143">
        <v>1.0000000000000001E-5</v>
      </c>
      <c r="U90" s="9">
        <f t="shared" si="18"/>
        <v>5.7471264367816091E-6</v>
      </c>
      <c r="V90" s="11">
        <v>46240</v>
      </c>
      <c r="W90" s="143">
        <v>209</v>
      </c>
      <c r="X90" s="143">
        <v>1</v>
      </c>
      <c r="Y90" s="9">
        <f t="shared" si="14"/>
        <v>0.4784688995215311</v>
      </c>
      <c r="Z90" s="8" t="str">
        <f t="array" ref="Z90">IF(Y90&gt;5,"Perlu Sensus",IF(AND(Y90&gt;=0,W90&gt;0),"Tetap Deteksi","Belum Deteksi"))</f>
        <v>Tetap Deteksi</v>
      </c>
      <c r="AA90" s="143">
        <v>2</v>
      </c>
      <c r="AB90" s="9">
        <f t="shared" si="19"/>
        <v>0.9569377990430622</v>
      </c>
      <c r="AC90" s="11"/>
      <c r="AD90" s="143"/>
      <c r="AE90" s="9">
        <f t="array" ref="AE90">IFERROR(AD90/$G90*100,0)</f>
        <v>0</v>
      </c>
      <c r="AF90" s="143"/>
      <c r="AG90" s="9">
        <f t="shared" si="15"/>
        <v>0</v>
      </c>
      <c r="AH90" s="8" t="str">
        <f t="array" ref="AH90">IF(AG90&gt;5,"Perlu Sensus",IF(AND(AG90&gt;=0,AD90&gt;0),"Tetap Deteksi","Belum Deteksi"))</f>
        <v>Belum Deteksi</v>
      </c>
      <c r="AI90" s="143"/>
      <c r="AJ90" s="9">
        <f t="shared" si="20"/>
        <v>0</v>
      </c>
      <c r="AK90" s="11"/>
      <c r="AL90" s="143"/>
      <c r="AM90" s="143"/>
      <c r="AN90" s="9">
        <f t="shared" si="16"/>
        <v>0</v>
      </c>
      <c r="AO90" s="8" t="str">
        <f t="array" ref="AO90">IF(AN90&gt;5,"Perlu Sensus",IF(AND(AN90&gt;=0,AL90&gt;0),"Tetap Deteksi","Belum Deteksi"))</f>
        <v>Belum Deteksi</v>
      </c>
      <c r="AP90" s="143"/>
      <c r="AQ90" s="9">
        <f t="shared" si="21"/>
        <v>0</v>
      </c>
    </row>
    <row r="91" spans="1:43" outlineLevel="1" x14ac:dyDescent="0.15">
      <c r="A91" s="8" t="s">
        <v>1914</v>
      </c>
      <c r="B91" s="8"/>
      <c r="C91" s="8" t="s">
        <v>144</v>
      </c>
      <c r="D91" s="186" t="s">
        <v>1366</v>
      </c>
      <c r="E91" s="9">
        <v>46.31</v>
      </c>
      <c r="F91" s="8" t="s">
        <v>1740</v>
      </c>
      <c r="G91" s="10">
        <v>4940</v>
      </c>
      <c r="H91" s="11">
        <f t="array" ref="H91">IF(OR(N91&gt;0,AC91&gt;0),MAX(N91,AC91),MAX(AK91,V91))</f>
        <v>46238</v>
      </c>
      <c r="I91" s="143">
        <f t="array" ref="I91">IF(SUM(O91,AD91)&gt;0,SUM(O91,AD91),SUM(AL91,W91))</f>
        <v>215</v>
      </c>
      <c r="J91" s="9">
        <f t="shared" si="11"/>
        <v>4.3522267206477734</v>
      </c>
      <c r="K91" s="143">
        <f t="shared" si="17"/>
        <v>1E-8</v>
      </c>
      <c r="L91" s="9">
        <f t="shared" si="12"/>
        <v>4.6511627906976744E-9</v>
      </c>
      <c r="M91" s="8" t="str">
        <f t="array" ref="M91">IF(L91&gt;5,"Perlu Sensus",IF(AND(L91&gt;=0,I91&gt;0),"Tetap Deteksi","Belum Deteksi"))</f>
        <v>Tetap Deteksi</v>
      </c>
      <c r="N91" s="11">
        <v>46238</v>
      </c>
      <c r="O91" s="143">
        <v>215</v>
      </c>
      <c r="P91" s="9">
        <f t="array" ref="P91">IFERROR(O91/$G91*100,0)</f>
        <v>4.3522267206477734</v>
      </c>
      <c r="Q91" s="143">
        <v>1E-8</v>
      </c>
      <c r="R91" s="9">
        <f t="shared" si="13"/>
        <v>4.6511627906976744E-9</v>
      </c>
      <c r="S91" s="8" t="str">
        <f t="array" ref="S91">IF(R91&gt;5,"Perlu Sensus",IF(AND(R91&gt;=0,O91&gt;0),"Tetap Deteksi","Belum Deteksi"))</f>
        <v>Tetap Deteksi</v>
      </c>
      <c r="T91" s="143">
        <v>1E-8</v>
      </c>
      <c r="U91" s="9">
        <f t="shared" si="18"/>
        <v>4.6511627906976744E-9</v>
      </c>
      <c r="V91" s="11">
        <v>46238</v>
      </c>
      <c r="W91" s="143">
        <v>301</v>
      </c>
      <c r="X91" s="143">
        <v>1E-8</v>
      </c>
      <c r="Y91" s="9">
        <f t="shared" si="14"/>
        <v>3.3222591362126249E-9</v>
      </c>
      <c r="Z91" s="8" t="str">
        <f t="array" ref="Z91">IF(Y91&gt;5,"Perlu Sensus",IF(AND(Y91&gt;=0,W91&gt;0),"Tetap Deteksi","Belum Deteksi"))</f>
        <v>Tetap Deteksi</v>
      </c>
      <c r="AA91" s="143">
        <v>1E-8</v>
      </c>
      <c r="AB91" s="9">
        <f t="shared" si="19"/>
        <v>3.3222591362126249E-9</v>
      </c>
      <c r="AC91" s="11"/>
      <c r="AD91" s="143"/>
      <c r="AE91" s="9">
        <f t="array" ref="AE91">IFERROR(AD91/$G91*100,0)</f>
        <v>0</v>
      </c>
      <c r="AF91" s="143"/>
      <c r="AG91" s="9">
        <f t="shared" si="15"/>
        <v>0</v>
      </c>
      <c r="AH91" s="8" t="str">
        <f t="array" ref="AH91">IF(AG91&gt;5,"Perlu Sensus",IF(AND(AG91&gt;=0,AD91&gt;0),"Tetap Deteksi","Belum Deteksi"))</f>
        <v>Belum Deteksi</v>
      </c>
      <c r="AI91" s="143"/>
      <c r="AJ91" s="9">
        <f t="shared" si="20"/>
        <v>0</v>
      </c>
      <c r="AK91" s="11"/>
      <c r="AL91" s="143"/>
      <c r="AM91" s="143"/>
      <c r="AN91" s="9">
        <f t="shared" si="16"/>
        <v>0</v>
      </c>
      <c r="AO91" s="8" t="str">
        <f t="array" ref="AO91">IF(AN91&gt;5,"Perlu Sensus",IF(AND(AN91&gt;=0,AL91&gt;0),"Tetap Deteksi","Belum Deteksi"))</f>
        <v>Belum Deteksi</v>
      </c>
      <c r="AP91" s="143"/>
      <c r="AQ91" s="9">
        <f t="shared" si="21"/>
        <v>0</v>
      </c>
    </row>
    <row r="92" spans="1:43" outlineLevel="1" x14ac:dyDescent="0.15">
      <c r="A92" s="8" t="s">
        <v>1914</v>
      </c>
      <c r="B92" s="8"/>
      <c r="C92" s="8" t="s">
        <v>144</v>
      </c>
      <c r="D92" s="186" t="s">
        <v>1369</v>
      </c>
      <c r="E92" s="9">
        <v>38.75</v>
      </c>
      <c r="F92" s="8" t="s">
        <v>1740</v>
      </c>
      <c r="G92" s="10">
        <v>4909</v>
      </c>
      <c r="H92" s="11">
        <f t="array" ref="H92">IF(OR(N92&gt;0,AC92&gt;0),MAX(N92,AC92),MAX(AK92,V92))</f>
        <v>46240</v>
      </c>
      <c r="I92" s="143">
        <f t="array" ref="I92">IF(SUM(O92,AD92)&gt;0,SUM(O92,AD92),SUM(AL92,W92))</f>
        <v>143</v>
      </c>
      <c r="J92" s="9">
        <f t="shared" si="11"/>
        <v>2.9130169077205132</v>
      </c>
      <c r="K92" s="143">
        <f t="shared" si="17"/>
        <v>1.0000000000000001E-9</v>
      </c>
      <c r="L92" s="9">
        <f t="shared" si="12"/>
        <v>6.9930069930069931E-10</v>
      </c>
      <c r="M92" s="8" t="str">
        <f t="array" ref="M92">IF(L92&gt;5,"Perlu Sensus",IF(AND(L92&gt;=0,I92&gt;0),"Tetap Deteksi","Belum Deteksi"))</f>
        <v>Tetap Deteksi</v>
      </c>
      <c r="N92" s="11">
        <v>46240</v>
      </c>
      <c r="O92" s="143">
        <v>143</v>
      </c>
      <c r="P92" s="9">
        <f t="array" ref="P92">IFERROR(O92/$G92*100,0)</f>
        <v>2.9130169077205132</v>
      </c>
      <c r="Q92" s="143">
        <v>1.0000000000000001E-9</v>
      </c>
      <c r="R92" s="9">
        <f t="shared" si="13"/>
        <v>6.9930069930069931E-10</v>
      </c>
      <c r="S92" s="8" t="str">
        <f t="array" ref="S92">IF(R92&gt;5,"Perlu Sensus",IF(AND(R92&gt;=0,O92&gt;0),"Tetap Deteksi","Belum Deteksi"))</f>
        <v>Tetap Deteksi</v>
      </c>
      <c r="T92" s="143">
        <v>9.9999999999999995E-8</v>
      </c>
      <c r="U92" s="9">
        <f t="shared" si="18"/>
        <v>6.9930069930069933E-8</v>
      </c>
      <c r="V92" s="11">
        <v>46240</v>
      </c>
      <c r="W92" s="143">
        <v>233</v>
      </c>
      <c r="X92" s="143">
        <v>3</v>
      </c>
      <c r="Y92" s="9">
        <f t="shared" si="14"/>
        <v>1.2875536480686696</v>
      </c>
      <c r="Z92" s="8" t="str">
        <f t="array" ref="Z92">IF(Y92&gt;5,"Perlu Sensus",IF(AND(Y92&gt;=0,W92&gt;0),"Tetap Deteksi","Belum Deteksi"))</f>
        <v>Tetap Deteksi</v>
      </c>
      <c r="AA92" s="143">
        <v>1</v>
      </c>
      <c r="AB92" s="9">
        <f t="shared" si="19"/>
        <v>0.42918454935622319</v>
      </c>
      <c r="AC92" s="11"/>
      <c r="AD92" s="143"/>
      <c r="AE92" s="9">
        <f t="array" ref="AE92">IFERROR(AD92/$G92*100,0)</f>
        <v>0</v>
      </c>
      <c r="AF92" s="143"/>
      <c r="AG92" s="9">
        <f t="shared" si="15"/>
        <v>0</v>
      </c>
      <c r="AH92" s="8" t="str">
        <f t="array" ref="AH92">IF(AG92&gt;5,"Perlu Sensus",IF(AND(AG92&gt;=0,AD92&gt;0),"Tetap Deteksi","Belum Deteksi"))</f>
        <v>Belum Deteksi</v>
      </c>
      <c r="AI92" s="143"/>
      <c r="AJ92" s="9">
        <f t="shared" si="20"/>
        <v>0</v>
      </c>
      <c r="AK92" s="11"/>
      <c r="AL92" s="143"/>
      <c r="AM92" s="143"/>
      <c r="AN92" s="9">
        <f t="shared" si="16"/>
        <v>0</v>
      </c>
      <c r="AO92" s="8" t="str">
        <f t="array" ref="AO92">IF(AN92&gt;5,"Perlu Sensus",IF(AND(AN92&gt;=0,AL92&gt;0),"Tetap Deteksi","Belum Deteksi"))</f>
        <v>Belum Deteksi</v>
      </c>
      <c r="AP92" s="143"/>
      <c r="AQ92" s="9">
        <f t="shared" si="21"/>
        <v>0</v>
      </c>
    </row>
    <row r="93" spans="1:43" outlineLevel="1" x14ac:dyDescent="0.15">
      <c r="A93" s="8" t="s">
        <v>1914</v>
      </c>
      <c r="B93" s="8"/>
      <c r="C93" s="8" t="s">
        <v>144</v>
      </c>
      <c r="D93" s="186" t="s">
        <v>1004</v>
      </c>
      <c r="E93" s="9">
        <v>32.29</v>
      </c>
      <c r="F93" s="8" t="s">
        <v>1740</v>
      </c>
      <c r="G93" s="10">
        <v>3362</v>
      </c>
      <c r="H93" s="11">
        <f t="array" ref="H93">IF(OR(N93&gt;0,AC93&gt;0),MAX(N93,AC93),MAX(AK93,V93))</f>
        <v>46244</v>
      </c>
      <c r="I93" s="143">
        <f t="array" ref="I93">IF(SUM(O93,AD93)&gt;0,SUM(O93,AD93),SUM(AL93,W93))</f>
        <v>169</v>
      </c>
      <c r="J93" s="9">
        <f t="shared" si="11"/>
        <v>5.0267697798929207</v>
      </c>
      <c r="K93" s="143">
        <f t="shared" si="17"/>
        <v>2</v>
      </c>
      <c r="L93" s="9">
        <f t="shared" si="12"/>
        <v>1.1834319526627219</v>
      </c>
      <c r="M93" s="8" t="str">
        <f t="array" ref="M93">IF(L93&gt;5,"Perlu Sensus",IF(AND(L93&gt;=0,I93&gt;0),"Tetap Deteksi","Belum Deteksi"))</f>
        <v>Tetap Deteksi</v>
      </c>
      <c r="N93" s="11">
        <v>46244</v>
      </c>
      <c r="O93" s="143">
        <v>169</v>
      </c>
      <c r="P93" s="9">
        <f t="array" ref="P93">IFERROR(O93/$G93*100,0)</f>
        <v>5.0267697798929207</v>
      </c>
      <c r="Q93" s="143">
        <v>2</v>
      </c>
      <c r="R93" s="9">
        <f t="shared" si="13"/>
        <v>1.1834319526627219</v>
      </c>
      <c r="S93" s="8" t="str">
        <f t="array" ref="S93">IF(R93&gt;5,"Perlu Sensus",IF(AND(R93&gt;=0,O93&gt;0),"Tetap Deteksi","Belum Deteksi"))</f>
        <v>Tetap Deteksi</v>
      </c>
      <c r="T93" s="143">
        <v>2</v>
      </c>
      <c r="U93" s="9">
        <f t="shared" si="18"/>
        <v>1.1834319526627219</v>
      </c>
      <c r="V93" s="11">
        <v>46244</v>
      </c>
      <c r="W93" s="143">
        <v>221</v>
      </c>
      <c r="X93" s="143">
        <v>3</v>
      </c>
      <c r="Y93" s="9">
        <f t="shared" si="14"/>
        <v>1.3574660633484164</v>
      </c>
      <c r="Z93" s="8" t="str">
        <f t="array" ref="Z93">IF(Y93&gt;5,"Perlu Sensus",IF(AND(Y93&gt;=0,W93&gt;0),"Tetap Deteksi","Belum Deteksi"))</f>
        <v>Tetap Deteksi</v>
      </c>
      <c r="AA93" s="143">
        <v>2</v>
      </c>
      <c r="AB93" s="9">
        <f t="shared" si="19"/>
        <v>0.90497737556561098</v>
      </c>
      <c r="AC93" s="11"/>
      <c r="AD93" s="143"/>
      <c r="AE93" s="9">
        <f t="array" ref="AE93">IFERROR(AD93/$G93*100,0)</f>
        <v>0</v>
      </c>
      <c r="AF93" s="143"/>
      <c r="AG93" s="9">
        <f t="shared" si="15"/>
        <v>0</v>
      </c>
      <c r="AH93" s="8" t="str">
        <f t="array" ref="AH93">IF(AG93&gt;5,"Perlu Sensus",IF(AND(AG93&gt;=0,AD93&gt;0),"Tetap Deteksi","Belum Deteksi"))</f>
        <v>Belum Deteksi</v>
      </c>
      <c r="AI93" s="143"/>
      <c r="AJ93" s="9">
        <f t="shared" si="20"/>
        <v>0</v>
      </c>
      <c r="AK93" s="11"/>
      <c r="AL93" s="143"/>
      <c r="AM93" s="143"/>
      <c r="AN93" s="9">
        <f t="shared" si="16"/>
        <v>0</v>
      </c>
      <c r="AO93" s="8" t="str">
        <f t="array" ref="AO93">IF(AN93&gt;5,"Perlu Sensus",IF(AND(AN93&gt;=0,AL93&gt;0),"Tetap Deteksi","Belum Deteksi"))</f>
        <v>Belum Deteksi</v>
      </c>
      <c r="AP93" s="143"/>
      <c r="AQ93" s="9">
        <f t="shared" si="21"/>
        <v>0</v>
      </c>
    </row>
    <row r="94" spans="1:43" outlineLevel="1" x14ac:dyDescent="0.15">
      <c r="A94" s="8" t="s">
        <v>1914</v>
      </c>
      <c r="B94" s="8"/>
      <c r="C94" s="8" t="s">
        <v>144</v>
      </c>
      <c r="D94" s="186" t="s">
        <v>1011</v>
      </c>
      <c r="E94" s="9">
        <v>29.04</v>
      </c>
      <c r="F94" s="8" t="s">
        <v>1740</v>
      </c>
      <c r="G94" s="10">
        <v>3580</v>
      </c>
      <c r="H94" s="11">
        <f t="array" ref="H94">IF(OR(N94&gt;0,AC94&gt;0),MAX(N94,AC94),MAX(AK94,V94))</f>
        <v>46244</v>
      </c>
      <c r="I94" s="143">
        <f t="array" ref="I94">IF(SUM(O94,AD94)&gt;0,SUM(O94,AD94),SUM(AL94,W94))</f>
        <v>204</v>
      </c>
      <c r="J94" s="9">
        <f t="shared" si="11"/>
        <v>5.6983240223463687</v>
      </c>
      <c r="K94" s="143">
        <f t="shared" si="17"/>
        <v>3</v>
      </c>
      <c r="L94" s="9">
        <f t="shared" si="12"/>
        <v>1.4705882352941175</v>
      </c>
      <c r="M94" s="8" t="str">
        <f t="array" ref="M94">IF(L94&gt;5,"Perlu Sensus",IF(AND(L94&gt;=0,I94&gt;0),"Tetap Deteksi","Belum Deteksi"))</f>
        <v>Tetap Deteksi</v>
      </c>
      <c r="N94" s="11">
        <v>46244</v>
      </c>
      <c r="O94" s="143">
        <v>204</v>
      </c>
      <c r="P94" s="9">
        <f t="array" ref="P94">IFERROR(O94/$G94*100,0)</f>
        <v>5.6983240223463687</v>
      </c>
      <c r="Q94" s="143">
        <v>3</v>
      </c>
      <c r="R94" s="9">
        <f t="shared" si="13"/>
        <v>1.4705882352941175</v>
      </c>
      <c r="S94" s="8" t="str">
        <f t="array" ref="S94">IF(R94&gt;5,"Perlu Sensus",IF(AND(R94&gt;=0,O94&gt;0),"Tetap Deteksi","Belum Deteksi"))</f>
        <v>Tetap Deteksi</v>
      </c>
      <c r="T94" s="143">
        <v>2</v>
      </c>
      <c r="U94" s="9">
        <f t="shared" si="18"/>
        <v>0.98039215686274506</v>
      </c>
      <c r="V94" s="11">
        <v>46244</v>
      </c>
      <c r="W94" s="143">
        <v>216</v>
      </c>
      <c r="X94" s="143">
        <v>4</v>
      </c>
      <c r="Y94" s="9">
        <f t="shared" si="14"/>
        <v>1.8518518518518516</v>
      </c>
      <c r="Z94" s="8" t="str">
        <f t="array" ref="Z94">IF(Y94&gt;5,"Perlu Sensus",IF(AND(Y94&gt;=0,W94&gt;0),"Tetap Deteksi","Belum Deteksi"))</f>
        <v>Tetap Deteksi</v>
      </c>
      <c r="AA94" s="143">
        <v>3</v>
      </c>
      <c r="AB94" s="9">
        <f t="shared" si="19"/>
        <v>1.3888888888888888</v>
      </c>
      <c r="AC94" s="11"/>
      <c r="AD94" s="143"/>
      <c r="AE94" s="9">
        <f t="array" ref="AE94">IFERROR(AD94/$G94*100,0)</f>
        <v>0</v>
      </c>
      <c r="AF94" s="143"/>
      <c r="AG94" s="9">
        <f t="shared" si="15"/>
        <v>0</v>
      </c>
      <c r="AH94" s="8" t="str">
        <f t="array" ref="AH94">IF(AG94&gt;5,"Perlu Sensus",IF(AND(AG94&gt;=0,AD94&gt;0),"Tetap Deteksi","Belum Deteksi"))</f>
        <v>Belum Deteksi</v>
      </c>
      <c r="AI94" s="143"/>
      <c r="AJ94" s="9">
        <f t="shared" si="20"/>
        <v>0</v>
      </c>
      <c r="AK94" s="11"/>
      <c r="AL94" s="143"/>
      <c r="AM94" s="143"/>
      <c r="AN94" s="9">
        <f t="shared" si="16"/>
        <v>0</v>
      </c>
      <c r="AO94" s="8" t="str">
        <f t="array" ref="AO94">IF(AN94&gt;5,"Perlu Sensus",IF(AND(AN94&gt;=0,AL94&gt;0),"Tetap Deteksi","Belum Deteksi"))</f>
        <v>Belum Deteksi</v>
      </c>
      <c r="AP94" s="143"/>
      <c r="AQ94" s="9">
        <f t="shared" si="21"/>
        <v>0</v>
      </c>
    </row>
    <row r="95" spans="1:43" outlineLevel="1" x14ac:dyDescent="0.15">
      <c r="A95" s="8" t="s">
        <v>1914</v>
      </c>
      <c r="B95" s="8"/>
      <c r="C95" s="8" t="s">
        <v>173</v>
      </c>
      <c r="D95" s="186" t="s">
        <v>1382</v>
      </c>
      <c r="E95" s="9">
        <v>27.76</v>
      </c>
      <c r="F95" s="8" t="s">
        <v>1740</v>
      </c>
      <c r="G95" s="10">
        <v>3505</v>
      </c>
      <c r="H95" s="11">
        <f t="array" ref="H95">IF(OR(N95&gt;0,AC95&gt;0),MAX(N95,AC95),MAX(AK95,V95))</f>
        <v>46238</v>
      </c>
      <c r="I95" s="143">
        <f t="array" ref="I95">IF(SUM(O95,AD95)&gt;0,SUM(O95,AD95),SUM(AL95,W95))</f>
        <v>243</v>
      </c>
      <c r="J95" s="9">
        <f t="shared" si="11"/>
        <v>6.9329529243937236</v>
      </c>
      <c r="K95" s="143">
        <f t="shared" si="17"/>
        <v>4</v>
      </c>
      <c r="L95" s="9">
        <f t="shared" si="12"/>
        <v>1.6460905349794239</v>
      </c>
      <c r="M95" s="8" t="str">
        <f t="array" ref="M95">IF(L95&gt;5,"Perlu Sensus",IF(AND(L95&gt;=0,I95&gt;0),"Tetap Deteksi","Belum Deteksi"))</f>
        <v>Tetap Deteksi</v>
      </c>
      <c r="N95" s="11">
        <v>46238</v>
      </c>
      <c r="O95" s="143">
        <v>243</v>
      </c>
      <c r="P95" s="9">
        <f t="array" ref="P95">IFERROR(O95/$G95*100,0)</f>
        <v>6.9329529243937236</v>
      </c>
      <c r="Q95" s="143">
        <v>4</v>
      </c>
      <c r="R95" s="9">
        <f t="shared" si="13"/>
        <v>1.6460905349794239</v>
      </c>
      <c r="S95" s="8" t="str">
        <f t="array" ref="S95">IF(R95&gt;5,"Perlu Sensus",IF(AND(R95&gt;=0,O95&gt;0),"Tetap Deteksi","Belum Deteksi"))</f>
        <v>Tetap Deteksi</v>
      </c>
      <c r="T95" s="143">
        <v>1</v>
      </c>
      <c r="U95" s="9">
        <f t="shared" si="18"/>
        <v>0.41152263374485598</v>
      </c>
      <c r="V95" s="11">
        <v>46238</v>
      </c>
      <c r="W95" s="143">
        <v>298</v>
      </c>
      <c r="X95" s="143">
        <v>5</v>
      </c>
      <c r="Y95" s="9">
        <f t="shared" si="14"/>
        <v>1.6778523489932886</v>
      </c>
      <c r="Z95" s="8" t="str">
        <f t="array" ref="Z95">IF(Y95&gt;5,"Perlu Sensus",IF(AND(Y95&gt;=0,W95&gt;0),"Tetap Deteksi","Belum Deteksi"))</f>
        <v>Tetap Deteksi</v>
      </c>
      <c r="AA95" s="143">
        <v>1E-8</v>
      </c>
      <c r="AB95" s="9">
        <f t="shared" si="19"/>
        <v>3.3557046979865772E-9</v>
      </c>
      <c r="AC95" s="11"/>
      <c r="AD95" s="143"/>
      <c r="AE95" s="9">
        <f t="array" ref="AE95">IFERROR(AD95/$G95*100,0)</f>
        <v>0</v>
      </c>
      <c r="AF95" s="143"/>
      <c r="AG95" s="9">
        <f t="shared" si="15"/>
        <v>0</v>
      </c>
      <c r="AH95" s="8" t="str">
        <f t="array" ref="AH95">IF(AG95&gt;5,"Perlu Sensus",IF(AND(AG95&gt;=0,AD95&gt;0),"Tetap Deteksi","Belum Deteksi"))</f>
        <v>Belum Deteksi</v>
      </c>
      <c r="AI95" s="143"/>
      <c r="AJ95" s="9">
        <f t="shared" si="20"/>
        <v>0</v>
      </c>
      <c r="AK95" s="11"/>
      <c r="AL95" s="143"/>
      <c r="AM95" s="143"/>
      <c r="AN95" s="9">
        <f t="shared" si="16"/>
        <v>0</v>
      </c>
      <c r="AO95" s="8" t="str">
        <f t="array" ref="AO95">IF(AN95&gt;5,"Perlu Sensus",IF(AND(AN95&gt;=0,AL95&gt;0),"Tetap Deteksi","Belum Deteksi"))</f>
        <v>Belum Deteksi</v>
      </c>
      <c r="AP95" s="143"/>
      <c r="AQ95" s="9">
        <f t="shared" si="21"/>
        <v>0</v>
      </c>
    </row>
    <row r="96" spans="1:43" outlineLevel="1" x14ac:dyDescent="0.15">
      <c r="A96" s="8" t="s">
        <v>1914</v>
      </c>
      <c r="B96" s="8"/>
      <c r="C96" s="8" t="s">
        <v>173</v>
      </c>
      <c r="D96" s="186" t="s">
        <v>1422</v>
      </c>
      <c r="E96" s="9">
        <v>37.660000000000004</v>
      </c>
      <c r="F96" s="8" t="s">
        <v>1740</v>
      </c>
      <c r="G96" s="10">
        <v>4115</v>
      </c>
      <c r="H96" s="11">
        <f t="array" ref="H96">IF(OR(N96&gt;0,AC96&gt;0),MAX(N96,AC96),MAX(AK96,V96))</f>
        <v>46237</v>
      </c>
      <c r="I96" s="143">
        <f t="array" ref="I96">IF(SUM(O96,AD96)&gt;0,SUM(O96,AD96),SUM(AL96,W96))</f>
        <v>224</v>
      </c>
      <c r="J96" s="9">
        <f t="shared" si="11"/>
        <v>5.4434993924665855</v>
      </c>
      <c r="K96" s="143">
        <f t="shared" si="17"/>
        <v>2</v>
      </c>
      <c r="L96" s="9">
        <f t="shared" si="12"/>
        <v>0.89285714285714279</v>
      </c>
      <c r="M96" s="8" t="str">
        <f t="array" ref="M96">IF(L96&gt;5,"Perlu Sensus",IF(AND(L96&gt;=0,I96&gt;0),"Tetap Deteksi","Belum Deteksi"))</f>
        <v>Tetap Deteksi</v>
      </c>
      <c r="N96" s="11">
        <v>46237</v>
      </c>
      <c r="O96" s="143">
        <v>224</v>
      </c>
      <c r="P96" s="9">
        <f t="array" ref="P96">IFERROR(O96/$G96*100,0)</f>
        <v>5.4434993924665855</v>
      </c>
      <c r="Q96" s="143">
        <v>2</v>
      </c>
      <c r="R96" s="9">
        <f t="shared" si="13"/>
        <v>0.89285714285714279</v>
      </c>
      <c r="S96" s="8" t="str">
        <f t="array" ref="S96">IF(R96&gt;5,"Perlu Sensus",IF(AND(R96&gt;=0,O96&gt;0),"Tetap Deteksi","Belum Deteksi"))</f>
        <v>Tetap Deteksi</v>
      </c>
      <c r="T96" s="143">
        <v>2</v>
      </c>
      <c r="U96" s="9">
        <f t="shared" si="18"/>
        <v>0.89285714285714279</v>
      </c>
      <c r="V96" s="11">
        <v>46237</v>
      </c>
      <c r="W96" s="143">
        <v>200</v>
      </c>
      <c r="X96" s="143">
        <v>1</v>
      </c>
      <c r="Y96" s="9">
        <f t="shared" si="14"/>
        <v>0.5</v>
      </c>
      <c r="Z96" s="8" t="str">
        <f t="array" ref="Z96">IF(Y96&gt;5,"Perlu Sensus",IF(AND(Y96&gt;=0,W96&gt;0),"Tetap Deteksi","Belum Deteksi"))</f>
        <v>Tetap Deteksi</v>
      </c>
      <c r="AA96" s="143">
        <v>1</v>
      </c>
      <c r="AB96" s="9">
        <f t="shared" si="19"/>
        <v>0.5</v>
      </c>
      <c r="AC96" s="11"/>
      <c r="AD96" s="143"/>
      <c r="AE96" s="9">
        <f t="array" ref="AE96">IFERROR(AD96/$G96*100,0)</f>
        <v>0</v>
      </c>
      <c r="AF96" s="143"/>
      <c r="AG96" s="9">
        <f t="shared" si="15"/>
        <v>0</v>
      </c>
      <c r="AH96" s="8" t="str">
        <f t="array" ref="AH96">IF(AG96&gt;5,"Perlu Sensus",IF(AND(AG96&gt;=0,AD96&gt;0),"Tetap Deteksi","Belum Deteksi"))</f>
        <v>Belum Deteksi</v>
      </c>
      <c r="AI96" s="143"/>
      <c r="AJ96" s="9">
        <f t="shared" si="20"/>
        <v>0</v>
      </c>
      <c r="AK96" s="11"/>
      <c r="AL96" s="143"/>
      <c r="AM96" s="143"/>
      <c r="AN96" s="9">
        <f t="shared" si="16"/>
        <v>0</v>
      </c>
      <c r="AO96" s="8" t="str">
        <f t="array" ref="AO96">IF(AN96&gt;5,"Perlu Sensus",IF(AND(AN96&gt;=0,AL96&gt;0),"Tetap Deteksi","Belum Deteksi"))</f>
        <v>Belum Deteksi</v>
      </c>
      <c r="AP96" s="143"/>
      <c r="AQ96" s="9">
        <f t="shared" si="21"/>
        <v>0</v>
      </c>
    </row>
    <row r="97" spans="1:43" outlineLevel="1" x14ac:dyDescent="0.15">
      <c r="A97" s="8" t="s">
        <v>1914</v>
      </c>
      <c r="B97" s="8"/>
      <c r="C97" s="8" t="s">
        <v>173</v>
      </c>
      <c r="D97" s="186" t="s">
        <v>1385</v>
      </c>
      <c r="E97" s="9">
        <v>21.16</v>
      </c>
      <c r="F97" s="8" t="s">
        <v>1740</v>
      </c>
      <c r="G97" s="10">
        <v>2017.9999999999998</v>
      </c>
      <c r="H97" s="11">
        <f t="array" ref="H97">IF(OR(N97&gt;0,AC97&gt;0),MAX(N97,AC97),MAX(AK97,V97))</f>
        <v>46239</v>
      </c>
      <c r="I97" s="143">
        <f t="array" ref="I97">IF(SUM(O97,AD97)&gt;0,SUM(O97,AD97),SUM(AL97,W97))</f>
        <v>149</v>
      </c>
      <c r="J97" s="9">
        <f t="shared" si="11"/>
        <v>7.3835480673934599</v>
      </c>
      <c r="K97" s="143">
        <f t="shared" si="17"/>
        <v>9.9999999999999995E-8</v>
      </c>
      <c r="L97" s="9">
        <f t="shared" si="12"/>
        <v>6.7114093959731536E-8</v>
      </c>
      <c r="M97" s="8" t="str">
        <f t="array" ref="M97">IF(L97&gt;5,"Perlu Sensus",IF(AND(L97&gt;=0,I97&gt;0),"Tetap Deteksi","Belum Deteksi"))</f>
        <v>Tetap Deteksi</v>
      </c>
      <c r="N97" s="11">
        <v>46239</v>
      </c>
      <c r="O97" s="143">
        <v>149</v>
      </c>
      <c r="P97" s="9">
        <f t="array" ref="P97">IFERROR(O97/$G97*100,0)</f>
        <v>7.3835480673934599</v>
      </c>
      <c r="Q97" s="143">
        <v>9.9999999999999995E-8</v>
      </c>
      <c r="R97" s="9">
        <f t="shared" si="13"/>
        <v>6.7114093959731536E-8</v>
      </c>
      <c r="S97" s="8" t="str">
        <f t="array" ref="S97">IF(R97&gt;5,"Perlu Sensus",IF(AND(R97&gt;=0,O97&gt;0),"Tetap Deteksi","Belum Deteksi"))</f>
        <v>Tetap Deteksi</v>
      </c>
      <c r="T97" s="143">
        <v>1</v>
      </c>
      <c r="U97" s="9">
        <f t="shared" si="18"/>
        <v>0.67114093959731547</v>
      </c>
      <c r="V97" s="11">
        <v>46239</v>
      </c>
      <c r="W97" s="143">
        <v>304</v>
      </c>
      <c r="X97" s="143">
        <v>3</v>
      </c>
      <c r="Y97" s="9">
        <f t="shared" si="14"/>
        <v>0.98684210526315785</v>
      </c>
      <c r="Z97" s="8" t="str">
        <f t="array" ref="Z97">IF(Y97&gt;5,"Perlu Sensus",IF(AND(Y97&gt;=0,W97&gt;0),"Tetap Deteksi","Belum Deteksi"))</f>
        <v>Tetap Deteksi</v>
      </c>
      <c r="AA97" s="143">
        <v>3</v>
      </c>
      <c r="AB97" s="9">
        <f t="shared" si="19"/>
        <v>0.98684210526315785</v>
      </c>
      <c r="AC97" s="11"/>
      <c r="AD97" s="143"/>
      <c r="AE97" s="9">
        <f t="array" ref="AE97">IFERROR(AD97/$G97*100,0)</f>
        <v>0</v>
      </c>
      <c r="AF97" s="143"/>
      <c r="AG97" s="9">
        <f t="shared" si="15"/>
        <v>0</v>
      </c>
      <c r="AH97" s="8" t="str">
        <f t="array" ref="AH97">IF(AG97&gt;5,"Perlu Sensus",IF(AND(AG97&gt;=0,AD97&gt;0),"Tetap Deteksi","Belum Deteksi"))</f>
        <v>Belum Deteksi</v>
      </c>
      <c r="AI97" s="143"/>
      <c r="AJ97" s="9">
        <f t="shared" si="20"/>
        <v>0</v>
      </c>
      <c r="AK97" s="11"/>
      <c r="AL97" s="143"/>
      <c r="AM97" s="143"/>
      <c r="AN97" s="9">
        <f t="shared" si="16"/>
        <v>0</v>
      </c>
      <c r="AO97" s="8" t="str">
        <f t="array" ref="AO97">IF(AN97&gt;5,"Perlu Sensus",IF(AND(AN97&gt;=0,AL97&gt;0),"Tetap Deteksi","Belum Deteksi"))</f>
        <v>Belum Deteksi</v>
      </c>
      <c r="AP97" s="143"/>
      <c r="AQ97" s="9">
        <f t="shared" si="21"/>
        <v>0</v>
      </c>
    </row>
    <row r="98" spans="1:43" outlineLevel="1" x14ac:dyDescent="0.15">
      <c r="A98" s="8" t="s">
        <v>1914</v>
      </c>
      <c r="B98" s="8"/>
      <c r="C98" s="8" t="s">
        <v>173</v>
      </c>
      <c r="D98" s="181" t="s">
        <v>1427</v>
      </c>
      <c r="E98" s="9">
        <v>27.029999999999998</v>
      </c>
      <c r="F98" s="8" t="s">
        <v>1740</v>
      </c>
      <c r="G98" s="10">
        <v>2812</v>
      </c>
      <c r="H98" s="11">
        <f t="array" ref="H98">IF(OR(N98&gt;0,AC98&gt;0),MAX(N98,AC98),MAX(AK98,V98))</f>
        <v>46239</v>
      </c>
      <c r="I98" s="143">
        <f t="array" ref="I98">IF(SUM(O98,AD98)&gt;0,SUM(O98,AD98),SUM(AL98,W98))</f>
        <v>152</v>
      </c>
      <c r="J98" s="9">
        <f t="shared" si="11"/>
        <v>5.4054054054054053</v>
      </c>
      <c r="K98" s="143">
        <f t="shared" si="17"/>
        <v>1</v>
      </c>
      <c r="L98" s="9">
        <f t="shared" si="12"/>
        <v>0.6578947368421052</v>
      </c>
      <c r="M98" s="8" t="str">
        <f t="array" ref="M98">IF(L98&gt;5,"Perlu Sensus",IF(AND(L98&gt;=0,I98&gt;0),"Tetap Deteksi","Belum Deteksi"))</f>
        <v>Tetap Deteksi</v>
      </c>
      <c r="N98" s="11">
        <v>46239</v>
      </c>
      <c r="O98" s="143">
        <v>152</v>
      </c>
      <c r="P98" s="9">
        <f t="array" ref="P98">IFERROR(O98/$G98*100,0)</f>
        <v>5.4054054054054053</v>
      </c>
      <c r="Q98" s="143">
        <v>1</v>
      </c>
      <c r="R98" s="9">
        <f t="shared" si="13"/>
        <v>0.6578947368421052</v>
      </c>
      <c r="S98" s="8" t="str">
        <f t="array" ref="S98">IF(R98&gt;5,"Perlu Sensus",IF(AND(R98&gt;=0,O98&gt;0),"Tetap Deteksi","Belum Deteksi"))</f>
        <v>Tetap Deteksi</v>
      </c>
      <c r="T98" s="143">
        <v>1</v>
      </c>
      <c r="U98" s="9">
        <f t="shared" si="18"/>
        <v>0.6578947368421052</v>
      </c>
      <c r="V98" s="11">
        <v>46239</v>
      </c>
      <c r="W98" s="143">
        <v>287</v>
      </c>
      <c r="X98" s="143">
        <v>1</v>
      </c>
      <c r="Y98" s="9">
        <f t="shared" si="14"/>
        <v>0.34843205574912894</v>
      </c>
      <c r="Z98" s="8" t="str">
        <f t="array" ref="Z98">IF(Y98&gt;5,"Perlu Sensus",IF(AND(Y98&gt;=0,W98&gt;0),"Tetap Deteksi","Belum Deteksi"))</f>
        <v>Tetap Deteksi</v>
      </c>
      <c r="AA98" s="143">
        <v>3</v>
      </c>
      <c r="AB98" s="9">
        <f t="shared" si="19"/>
        <v>1.0452961672473868</v>
      </c>
      <c r="AC98" s="11"/>
      <c r="AD98" s="143"/>
      <c r="AE98" s="9">
        <f t="array" ref="AE98">IFERROR(AD98/$G98*100,0)</f>
        <v>0</v>
      </c>
      <c r="AF98" s="143"/>
      <c r="AG98" s="9">
        <f t="shared" si="15"/>
        <v>0</v>
      </c>
      <c r="AH98" s="8" t="str">
        <f t="array" ref="AH98">IF(AG98&gt;5,"Perlu Sensus",IF(AND(AG98&gt;=0,AD98&gt;0),"Tetap Deteksi","Belum Deteksi"))</f>
        <v>Belum Deteksi</v>
      </c>
      <c r="AI98" s="143"/>
      <c r="AJ98" s="9">
        <f t="shared" si="20"/>
        <v>0</v>
      </c>
      <c r="AK98" s="11"/>
      <c r="AL98" s="143"/>
      <c r="AM98" s="143"/>
      <c r="AN98" s="9">
        <f t="shared" si="16"/>
        <v>0</v>
      </c>
      <c r="AO98" s="8" t="str">
        <f t="array" ref="AO98">IF(AN98&gt;5,"Perlu Sensus",IF(AND(AN98&gt;=0,AL98&gt;0),"Tetap Deteksi","Belum Deteksi"))</f>
        <v>Belum Deteksi</v>
      </c>
      <c r="AP98" s="143"/>
      <c r="AQ98" s="9">
        <f t="shared" si="21"/>
        <v>0</v>
      </c>
    </row>
    <row r="99" spans="1:43" outlineLevel="1" x14ac:dyDescent="0.15">
      <c r="A99" s="8" t="s">
        <v>1914</v>
      </c>
      <c r="B99" s="8"/>
      <c r="C99" s="8" t="s">
        <v>173</v>
      </c>
      <c r="D99" s="186" t="s">
        <v>1421</v>
      </c>
      <c r="E99" s="9">
        <v>35.57</v>
      </c>
      <c r="F99" s="8" t="s">
        <v>1740</v>
      </c>
      <c r="G99" s="10">
        <v>3382</v>
      </c>
      <c r="H99" s="11">
        <f t="array" ref="H99">IF(OR(N99&gt;0,AC99&gt;0),MAX(N99,AC99),MAX(AK99,V99))</f>
        <v>46237</v>
      </c>
      <c r="I99" s="143">
        <f t="array" ref="I99">IF(SUM(O99,AD99)&gt;0,SUM(O99,AD99),SUM(AL99,W99))</f>
        <v>203</v>
      </c>
      <c r="J99" s="9">
        <f t="shared" si="11"/>
        <v>6.0023654642223532</v>
      </c>
      <c r="K99" s="143">
        <f t="shared" si="17"/>
        <v>2</v>
      </c>
      <c r="L99" s="9">
        <f t="shared" si="12"/>
        <v>0.98522167487684731</v>
      </c>
      <c r="M99" s="8" t="str">
        <f t="array" ref="M99">IF(L99&gt;5,"Perlu Sensus",IF(AND(L99&gt;=0,I99&gt;0),"Tetap Deteksi","Belum Deteksi"))</f>
        <v>Tetap Deteksi</v>
      </c>
      <c r="N99" s="11">
        <v>46237</v>
      </c>
      <c r="O99" s="143">
        <v>203</v>
      </c>
      <c r="P99" s="9">
        <f t="array" ref="P99">IFERROR(O99/$G99*100,0)</f>
        <v>6.0023654642223532</v>
      </c>
      <c r="Q99" s="143">
        <v>2</v>
      </c>
      <c r="R99" s="9">
        <f t="shared" si="13"/>
        <v>0.98522167487684731</v>
      </c>
      <c r="S99" s="8" t="str">
        <f t="array" ref="S99">IF(R99&gt;5,"Perlu Sensus",IF(AND(R99&gt;=0,O99&gt;0),"Tetap Deteksi","Belum Deteksi"))</f>
        <v>Tetap Deteksi</v>
      </c>
      <c r="T99" s="143">
        <v>1.0000000000000001E-9</v>
      </c>
      <c r="U99" s="9">
        <f t="shared" si="18"/>
        <v>4.9261083743842372E-10</v>
      </c>
      <c r="V99" s="11">
        <v>46237</v>
      </c>
      <c r="W99" s="143">
        <v>174</v>
      </c>
      <c r="X99" s="143">
        <v>1</v>
      </c>
      <c r="Y99" s="9">
        <f t="shared" si="14"/>
        <v>0.57471264367816088</v>
      </c>
      <c r="Z99" s="8" t="str">
        <f t="array" ref="Z99">IF(Y99&gt;5,"Perlu Sensus",IF(AND(Y99&gt;=0,W99&gt;0),"Tetap Deteksi","Belum Deteksi"))</f>
        <v>Tetap Deteksi</v>
      </c>
      <c r="AA99" s="143">
        <v>2</v>
      </c>
      <c r="AB99" s="9">
        <f t="shared" si="19"/>
        <v>1.1494252873563218</v>
      </c>
      <c r="AC99" s="11"/>
      <c r="AD99" s="143"/>
      <c r="AE99" s="9">
        <f t="array" ref="AE99">IFERROR(AD99/$G99*100,0)</f>
        <v>0</v>
      </c>
      <c r="AF99" s="143"/>
      <c r="AG99" s="9">
        <f t="shared" si="15"/>
        <v>0</v>
      </c>
      <c r="AH99" s="8" t="str">
        <f t="array" ref="AH99">IF(AG99&gt;5,"Perlu Sensus",IF(AND(AG99&gt;=0,AD99&gt;0),"Tetap Deteksi","Belum Deteksi"))</f>
        <v>Belum Deteksi</v>
      </c>
      <c r="AI99" s="143"/>
      <c r="AJ99" s="9">
        <f t="shared" si="20"/>
        <v>0</v>
      </c>
      <c r="AK99" s="11"/>
      <c r="AL99" s="143"/>
      <c r="AM99" s="143"/>
      <c r="AN99" s="9">
        <f t="shared" si="16"/>
        <v>0</v>
      </c>
      <c r="AO99" s="8" t="str">
        <f t="array" ref="AO99">IF(AN99&gt;5,"Perlu Sensus",IF(AND(AN99&gt;=0,AL99&gt;0),"Tetap Deteksi","Belum Deteksi"))</f>
        <v>Belum Deteksi</v>
      </c>
      <c r="AP99" s="143"/>
      <c r="AQ99" s="9">
        <f t="shared" si="21"/>
        <v>0</v>
      </c>
    </row>
    <row r="100" spans="1:43" outlineLevel="1" x14ac:dyDescent="0.15">
      <c r="A100" s="8" t="s">
        <v>1914</v>
      </c>
      <c r="B100" s="8"/>
      <c r="C100" s="8" t="s">
        <v>173</v>
      </c>
      <c r="D100" s="186" t="s">
        <v>1383</v>
      </c>
      <c r="E100" s="9">
        <v>45.23</v>
      </c>
      <c r="F100" s="8" t="s">
        <v>1740</v>
      </c>
      <c r="G100" s="10">
        <v>6082</v>
      </c>
      <c r="H100" s="11">
        <f t="array" ref="H100">IF(OR(N100&gt;0,AC100&gt;0),MAX(N100,AC100),MAX(AK100,V100))</f>
        <v>46238</v>
      </c>
      <c r="I100" s="143">
        <f t="array" ref="I100">IF(SUM(O100,AD100)&gt;0,SUM(O100,AD100),SUM(AL100,W100))</f>
        <v>218</v>
      </c>
      <c r="J100" s="9">
        <f t="shared" si="11"/>
        <v>3.5843472541926999</v>
      </c>
      <c r="K100" s="143">
        <f t="shared" si="17"/>
        <v>2</v>
      </c>
      <c r="L100" s="9">
        <f t="shared" si="12"/>
        <v>0.91743119266055051</v>
      </c>
      <c r="M100" s="8" t="str">
        <f t="array" ref="M100">IF(L100&gt;5,"Perlu Sensus",IF(AND(L100&gt;=0,I100&gt;0),"Tetap Deteksi","Belum Deteksi"))</f>
        <v>Tetap Deteksi</v>
      </c>
      <c r="N100" s="11">
        <v>46238</v>
      </c>
      <c r="O100" s="143">
        <v>218</v>
      </c>
      <c r="P100" s="9">
        <f t="array" ref="P100">IFERROR(O100/$G100*100,0)</f>
        <v>3.5843472541926999</v>
      </c>
      <c r="Q100" s="143">
        <v>2</v>
      </c>
      <c r="R100" s="9">
        <f t="shared" si="13"/>
        <v>0.91743119266055051</v>
      </c>
      <c r="S100" s="8" t="str">
        <f t="array" ref="S100">IF(R100&gt;5,"Perlu Sensus",IF(AND(R100&gt;=0,O100&gt;0),"Tetap Deteksi","Belum Deteksi"))</f>
        <v>Tetap Deteksi</v>
      </c>
      <c r="T100" s="143">
        <v>2</v>
      </c>
      <c r="U100" s="9">
        <f t="shared" si="18"/>
        <v>0.91743119266055051</v>
      </c>
      <c r="V100" s="11">
        <v>46238</v>
      </c>
      <c r="W100" s="143">
        <v>287</v>
      </c>
      <c r="X100" s="143">
        <v>1E-8</v>
      </c>
      <c r="Y100" s="9">
        <f t="shared" si="14"/>
        <v>3.4843205574912892E-9</v>
      </c>
      <c r="Z100" s="8" t="str">
        <f t="array" ref="Z100">IF(Y100&gt;5,"Perlu Sensus",IF(AND(Y100&gt;=0,W100&gt;0),"Tetap Deteksi","Belum Deteksi"))</f>
        <v>Tetap Deteksi</v>
      </c>
      <c r="AA100" s="143">
        <v>2</v>
      </c>
      <c r="AB100" s="9">
        <f t="shared" si="19"/>
        <v>0.69686411149825789</v>
      </c>
      <c r="AC100" s="11"/>
      <c r="AD100" s="143"/>
      <c r="AE100" s="9">
        <f t="array" ref="AE100">IFERROR(AD100/$G100*100,0)</f>
        <v>0</v>
      </c>
      <c r="AF100" s="143"/>
      <c r="AG100" s="9">
        <f t="shared" si="15"/>
        <v>0</v>
      </c>
      <c r="AH100" s="8" t="str">
        <f t="array" ref="AH100">IF(AG100&gt;5,"Perlu Sensus",IF(AND(AG100&gt;=0,AD100&gt;0),"Tetap Deteksi","Belum Deteksi"))</f>
        <v>Belum Deteksi</v>
      </c>
      <c r="AI100" s="143"/>
      <c r="AJ100" s="9">
        <f t="shared" si="20"/>
        <v>0</v>
      </c>
      <c r="AK100" s="11"/>
      <c r="AL100" s="143"/>
      <c r="AM100" s="143"/>
      <c r="AN100" s="9">
        <f t="shared" si="16"/>
        <v>0</v>
      </c>
      <c r="AO100" s="8" t="str">
        <f t="array" ref="AO100">IF(AN100&gt;5,"Perlu Sensus",IF(AND(AN100&gt;=0,AL100&gt;0),"Tetap Deteksi","Belum Deteksi"))</f>
        <v>Belum Deteksi</v>
      </c>
      <c r="AP100" s="143"/>
      <c r="AQ100" s="9">
        <f t="shared" si="21"/>
        <v>0</v>
      </c>
    </row>
    <row r="101" spans="1:43" outlineLevel="1" x14ac:dyDescent="0.15">
      <c r="A101" s="8" t="s">
        <v>1914</v>
      </c>
      <c r="B101" s="8"/>
      <c r="C101" s="8" t="s">
        <v>173</v>
      </c>
      <c r="D101" s="186" t="s">
        <v>1384</v>
      </c>
      <c r="E101" s="9">
        <v>37.28</v>
      </c>
      <c r="F101" s="8" t="s">
        <v>1740</v>
      </c>
      <c r="G101" s="10">
        <v>5048.0000000000009</v>
      </c>
      <c r="H101" s="11">
        <f t="array" ref="H101">IF(OR(N101&gt;0,AC101&gt;0),MAX(N101,AC101),MAX(AK101,V101))</f>
        <v>46239</v>
      </c>
      <c r="I101" s="143">
        <f t="array" ref="I101">IF(SUM(O101,AD101)&gt;0,SUM(O101,AD101),SUM(AL101,W101))</f>
        <v>180</v>
      </c>
      <c r="J101" s="9">
        <f t="shared" si="11"/>
        <v>3.5657686212361326</v>
      </c>
      <c r="K101" s="143">
        <f t="shared" si="17"/>
        <v>9.9999999999999995E-8</v>
      </c>
      <c r="L101" s="9">
        <f t="shared" si="12"/>
        <v>5.5555555555555555E-8</v>
      </c>
      <c r="M101" s="8" t="str">
        <f t="array" ref="M101">IF(L101&gt;5,"Perlu Sensus",IF(AND(L101&gt;=0,I101&gt;0),"Tetap Deteksi","Belum Deteksi"))</f>
        <v>Tetap Deteksi</v>
      </c>
      <c r="N101" s="11">
        <v>46239</v>
      </c>
      <c r="O101" s="143">
        <v>180</v>
      </c>
      <c r="P101" s="9">
        <f t="array" ref="P101">IFERROR(O101/$G101*100,0)</f>
        <v>3.5657686212361326</v>
      </c>
      <c r="Q101" s="143">
        <v>9.9999999999999995E-8</v>
      </c>
      <c r="R101" s="9">
        <f t="shared" si="13"/>
        <v>5.5555555555555555E-8</v>
      </c>
      <c r="S101" s="8" t="str">
        <f t="array" ref="S101">IF(R101&gt;5,"Perlu Sensus",IF(AND(R101&gt;=0,O101&gt;0),"Tetap Deteksi","Belum Deteksi"))</f>
        <v>Tetap Deteksi</v>
      </c>
      <c r="T101" s="143">
        <v>9.9999999999999995E-8</v>
      </c>
      <c r="U101" s="9">
        <f t="shared" si="18"/>
        <v>5.5555555555555555E-8</v>
      </c>
      <c r="V101" s="11">
        <v>46239</v>
      </c>
      <c r="W101" s="143">
        <v>190</v>
      </c>
      <c r="X101" s="143">
        <v>2</v>
      </c>
      <c r="Y101" s="9">
        <f t="shared" si="14"/>
        <v>1.0526315789473684</v>
      </c>
      <c r="Z101" s="8" t="str">
        <f t="array" ref="Z101">IF(Y101&gt;5,"Perlu Sensus",IF(AND(Y101&gt;=0,W101&gt;0),"Tetap Deteksi","Belum Deteksi"))</f>
        <v>Tetap Deteksi</v>
      </c>
      <c r="AA101" s="143">
        <v>2</v>
      </c>
      <c r="AB101" s="9">
        <f t="shared" si="19"/>
        <v>1.0526315789473684</v>
      </c>
      <c r="AC101" s="11"/>
      <c r="AD101" s="143"/>
      <c r="AE101" s="9">
        <f t="array" ref="AE101">IFERROR(AD101/$G101*100,0)</f>
        <v>0</v>
      </c>
      <c r="AF101" s="143"/>
      <c r="AG101" s="9">
        <f t="shared" si="15"/>
        <v>0</v>
      </c>
      <c r="AH101" s="8" t="str">
        <f t="array" ref="AH101">IF(AG101&gt;5,"Perlu Sensus",IF(AND(AG101&gt;=0,AD101&gt;0),"Tetap Deteksi","Belum Deteksi"))</f>
        <v>Belum Deteksi</v>
      </c>
      <c r="AI101" s="143"/>
      <c r="AJ101" s="9">
        <f t="shared" si="20"/>
        <v>0</v>
      </c>
      <c r="AK101" s="11"/>
      <c r="AL101" s="143"/>
      <c r="AM101" s="143"/>
      <c r="AN101" s="9">
        <f t="shared" si="16"/>
        <v>0</v>
      </c>
      <c r="AO101" s="8" t="str">
        <f t="array" ref="AO101">IF(AN101&gt;5,"Perlu Sensus",IF(AND(AN101&gt;=0,AL101&gt;0),"Tetap Deteksi","Belum Deteksi"))</f>
        <v>Belum Deteksi</v>
      </c>
      <c r="AP101" s="143"/>
      <c r="AQ101" s="9">
        <f t="shared" si="21"/>
        <v>0</v>
      </c>
    </row>
    <row r="102" spans="1:43" outlineLevel="1" x14ac:dyDescent="0.15">
      <c r="A102" s="8" t="s">
        <v>1914</v>
      </c>
      <c r="B102" s="8"/>
      <c r="C102" s="8" t="s">
        <v>173</v>
      </c>
      <c r="D102" s="186" t="s">
        <v>1381</v>
      </c>
      <c r="E102" s="9">
        <v>26.650000000000002</v>
      </c>
      <c r="F102" s="8" t="s">
        <v>1740</v>
      </c>
      <c r="G102" s="10">
        <v>3416</v>
      </c>
      <c r="H102" s="11">
        <f t="array" ref="H102">IF(OR(N102&gt;0,AC102&gt;0),MAX(N102,AC102),MAX(AK102,V102))</f>
        <v>46238</v>
      </c>
      <c r="I102" s="143">
        <f t="array" ref="I102">IF(SUM(O102,AD102)&gt;0,SUM(O102,AD102),SUM(AL102,W102))</f>
        <v>236</v>
      </c>
      <c r="J102" s="9">
        <f t="shared" si="11"/>
        <v>6.9086651053864161</v>
      </c>
      <c r="K102" s="143">
        <f t="shared" si="17"/>
        <v>1E-8</v>
      </c>
      <c r="L102" s="9">
        <f t="shared" si="12"/>
        <v>4.2372881355932205E-9</v>
      </c>
      <c r="M102" s="8" t="str">
        <f t="array" ref="M102">IF(L102&gt;5,"Perlu Sensus",IF(AND(L102&gt;=0,I102&gt;0),"Tetap Deteksi","Belum Deteksi"))</f>
        <v>Tetap Deteksi</v>
      </c>
      <c r="N102" s="11">
        <v>46238</v>
      </c>
      <c r="O102" s="143">
        <v>236</v>
      </c>
      <c r="P102" s="9">
        <f t="array" ref="P102">IFERROR(O102/$G102*100,0)</f>
        <v>6.9086651053864161</v>
      </c>
      <c r="Q102" s="143">
        <v>1E-8</v>
      </c>
      <c r="R102" s="9">
        <f t="shared" si="13"/>
        <v>4.2372881355932205E-9</v>
      </c>
      <c r="S102" s="8" t="str">
        <f t="array" ref="S102">IF(R102&gt;5,"Perlu Sensus",IF(AND(R102&gt;=0,O102&gt;0),"Tetap Deteksi","Belum Deteksi"))</f>
        <v>Tetap Deteksi</v>
      </c>
      <c r="T102" s="143">
        <v>1E-8</v>
      </c>
      <c r="U102" s="9">
        <f t="shared" si="18"/>
        <v>4.2372881355932205E-9</v>
      </c>
      <c r="V102" s="11">
        <v>46238</v>
      </c>
      <c r="W102" s="143">
        <v>276</v>
      </c>
      <c r="X102" s="143">
        <v>4</v>
      </c>
      <c r="Y102" s="9">
        <f t="shared" si="14"/>
        <v>1.4492753623188406</v>
      </c>
      <c r="Z102" s="8" t="str">
        <f t="array" ref="Z102">IF(Y102&gt;5,"Perlu Sensus",IF(AND(Y102&gt;=0,W102&gt;0),"Tetap Deteksi","Belum Deteksi"))</f>
        <v>Tetap Deteksi</v>
      </c>
      <c r="AA102" s="143">
        <v>4</v>
      </c>
      <c r="AB102" s="9">
        <f t="shared" si="19"/>
        <v>1.4492753623188406</v>
      </c>
      <c r="AC102" s="11"/>
      <c r="AD102" s="143"/>
      <c r="AE102" s="9">
        <f t="array" ref="AE102">IFERROR(AD102/$G102*100,0)</f>
        <v>0</v>
      </c>
      <c r="AF102" s="143"/>
      <c r="AG102" s="9">
        <f t="shared" si="15"/>
        <v>0</v>
      </c>
      <c r="AH102" s="8" t="str">
        <f t="array" ref="AH102">IF(AG102&gt;5,"Perlu Sensus",IF(AND(AG102&gt;=0,AD102&gt;0),"Tetap Deteksi","Belum Deteksi"))</f>
        <v>Belum Deteksi</v>
      </c>
      <c r="AI102" s="143"/>
      <c r="AJ102" s="9">
        <f t="shared" si="20"/>
        <v>0</v>
      </c>
      <c r="AK102" s="11"/>
      <c r="AL102" s="143"/>
      <c r="AM102" s="143"/>
      <c r="AN102" s="9">
        <f t="shared" si="16"/>
        <v>0</v>
      </c>
      <c r="AO102" s="8" t="str">
        <f t="array" ref="AO102">IF(AN102&gt;5,"Perlu Sensus",IF(AND(AN102&gt;=0,AL102&gt;0),"Tetap Deteksi","Belum Deteksi"))</f>
        <v>Belum Deteksi</v>
      </c>
      <c r="AP102" s="143"/>
      <c r="AQ102" s="9">
        <f t="shared" si="21"/>
        <v>0</v>
      </c>
    </row>
    <row r="103" spans="1:43" outlineLevel="1" x14ac:dyDescent="0.15">
      <c r="A103" s="8" t="s">
        <v>1914</v>
      </c>
      <c r="B103" s="8"/>
      <c r="C103" s="8" t="s">
        <v>173</v>
      </c>
      <c r="D103" s="186" t="s">
        <v>1428</v>
      </c>
      <c r="E103" s="9">
        <v>36.010000000000005</v>
      </c>
      <c r="F103" s="8" t="s">
        <v>1740</v>
      </c>
      <c r="G103" s="10">
        <v>4529</v>
      </c>
      <c r="H103" s="11">
        <f t="array" ref="H103">IF(OR(N103&gt;0,AC103&gt;0),MAX(N103,AC103),MAX(AK103,V103))</f>
        <v>46240</v>
      </c>
      <c r="I103" s="143">
        <f t="array" ref="I103">IF(SUM(O103,AD103)&gt;0,SUM(O103,AD103),SUM(AL103,W103))</f>
        <v>214</v>
      </c>
      <c r="J103" s="9">
        <f t="shared" si="11"/>
        <v>4.7251048796643849</v>
      </c>
      <c r="K103" s="143">
        <f t="shared" si="17"/>
        <v>1</v>
      </c>
      <c r="L103" s="9">
        <f t="shared" si="12"/>
        <v>0.46728971962616817</v>
      </c>
      <c r="M103" s="8" t="str">
        <f t="array" ref="M103">IF(L103&gt;5,"Perlu Sensus",IF(AND(L103&gt;=0,I103&gt;0),"Tetap Deteksi","Belum Deteksi"))</f>
        <v>Tetap Deteksi</v>
      </c>
      <c r="N103" s="11">
        <v>46240</v>
      </c>
      <c r="O103" s="143">
        <v>214</v>
      </c>
      <c r="P103" s="9">
        <f t="array" ref="P103">IFERROR(O103/$G103*100,0)</f>
        <v>4.7251048796643849</v>
      </c>
      <c r="Q103" s="143">
        <v>1</v>
      </c>
      <c r="R103" s="9">
        <f t="shared" si="13"/>
        <v>0.46728971962616817</v>
      </c>
      <c r="S103" s="8" t="str">
        <f t="array" ref="S103">IF(R103&gt;5,"Perlu Sensus",IF(AND(R103&gt;=0,O103&gt;0),"Tetap Deteksi","Belum Deteksi"))</f>
        <v>Tetap Deteksi</v>
      </c>
      <c r="T103" s="143">
        <v>2</v>
      </c>
      <c r="U103" s="9">
        <f t="shared" si="18"/>
        <v>0.93457943925233633</v>
      </c>
      <c r="V103" s="11">
        <v>46249</v>
      </c>
      <c r="W103" s="143">
        <v>214</v>
      </c>
      <c r="X103" s="143">
        <v>1</v>
      </c>
      <c r="Y103" s="9">
        <f t="shared" si="14"/>
        <v>0.46728971962616817</v>
      </c>
      <c r="Z103" s="8" t="str">
        <f t="array" ref="Z103">IF(Y103&gt;5,"Perlu Sensus",IF(AND(Y103&gt;=0,W103&gt;0),"Tetap Deteksi","Belum Deteksi"))</f>
        <v>Tetap Deteksi</v>
      </c>
      <c r="AA103" s="143">
        <v>3</v>
      </c>
      <c r="AB103" s="9">
        <f t="shared" si="19"/>
        <v>1.4018691588785046</v>
      </c>
      <c r="AC103" s="11"/>
      <c r="AD103" s="143"/>
      <c r="AE103" s="9">
        <f t="array" ref="AE103">IFERROR(AD103/$G103*100,0)</f>
        <v>0</v>
      </c>
      <c r="AF103" s="143"/>
      <c r="AG103" s="9">
        <f t="shared" si="15"/>
        <v>0</v>
      </c>
      <c r="AH103" s="8" t="str">
        <f t="array" ref="AH103">IF(AG103&gt;5,"Perlu Sensus",IF(AND(AG103&gt;=0,AD103&gt;0),"Tetap Deteksi","Belum Deteksi"))</f>
        <v>Belum Deteksi</v>
      </c>
      <c r="AI103" s="143"/>
      <c r="AJ103" s="9">
        <f t="shared" si="20"/>
        <v>0</v>
      </c>
      <c r="AK103" s="11"/>
      <c r="AL103" s="143"/>
      <c r="AM103" s="143"/>
      <c r="AN103" s="9">
        <f t="shared" si="16"/>
        <v>0</v>
      </c>
      <c r="AO103" s="8" t="str">
        <f t="array" ref="AO103">IF(AN103&gt;5,"Perlu Sensus",IF(AND(AN103&gt;=0,AL103&gt;0),"Tetap Deteksi","Belum Deteksi"))</f>
        <v>Belum Deteksi</v>
      </c>
      <c r="AP103" s="143"/>
      <c r="AQ103" s="9">
        <f t="shared" si="21"/>
        <v>0</v>
      </c>
    </row>
    <row r="104" spans="1:43" outlineLevel="1" x14ac:dyDescent="0.15">
      <c r="A104" s="8" t="s">
        <v>1914</v>
      </c>
      <c r="B104" s="8"/>
      <c r="C104" s="8" t="s">
        <v>173</v>
      </c>
      <c r="D104" s="186" t="s">
        <v>1412</v>
      </c>
      <c r="E104" s="9">
        <v>28.26</v>
      </c>
      <c r="F104" s="8" t="s">
        <v>1740</v>
      </c>
      <c r="G104" s="10">
        <v>3220</v>
      </c>
      <c r="H104" s="11">
        <f t="array" ref="H104">IF(OR(N104&gt;0,AC104&gt;0),MAX(N104,AC104),MAX(AK104,V104))</f>
        <v>46249</v>
      </c>
      <c r="I104" s="143">
        <f t="array" ref="I104">IF(SUM(O104,AD104)&gt;0,SUM(O104,AD104),SUM(AL104,W104))</f>
        <v>218</v>
      </c>
      <c r="J104" s="9">
        <f t="shared" si="11"/>
        <v>6.7701863354037268</v>
      </c>
      <c r="K104" s="143">
        <f t="shared" si="17"/>
        <v>9.9999999999999995E-8</v>
      </c>
      <c r="L104" s="9">
        <f t="shared" si="12"/>
        <v>4.5871559633027516E-8</v>
      </c>
      <c r="M104" s="8" t="str">
        <f t="array" ref="M104">IF(L104&gt;5,"Perlu Sensus",IF(AND(L104&gt;=0,I104&gt;0),"Tetap Deteksi","Belum Deteksi"))</f>
        <v>Tetap Deteksi</v>
      </c>
      <c r="N104" s="11">
        <v>46249</v>
      </c>
      <c r="O104" s="143">
        <v>218</v>
      </c>
      <c r="P104" s="9">
        <f t="array" ref="P104">IFERROR(O104/$G104*100,0)</f>
        <v>6.7701863354037268</v>
      </c>
      <c r="Q104" s="143">
        <v>9.9999999999999995E-8</v>
      </c>
      <c r="R104" s="9">
        <f t="shared" si="13"/>
        <v>4.5871559633027516E-8</v>
      </c>
      <c r="S104" s="8" t="str">
        <f t="array" ref="S104">IF(R104&gt;5,"Perlu Sensus",IF(AND(R104&gt;=0,O104&gt;0),"Tetap Deteksi","Belum Deteksi"))</f>
        <v>Tetap Deteksi</v>
      </c>
      <c r="T104" s="143">
        <v>9.9999999999999995E-8</v>
      </c>
      <c r="U104" s="9">
        <f t="shared" si="18"/>
        <v>4.5871559633027516E-8</v>
      </c>
      <c r="V104" s="11">
        <v>46235</v>
      </c>
      <c r="W104" s="143">
        <v>220</v>
      </c>
      <c r="X104" s="143">
        <v>4</v>
      </c>
      <c r="Y104" s="9">
        <f t="shared" si="14"/>
        <v>1.8181818181818181</v>
      </c>
      <c r="Z104" s="8" t="str">
        <f t="array" ref="Z104">IF(Y104&gt;5,"Perlu Sensus",IF(AND(Y104&gt;=0,W104&gt;0),"Tetap Deteksi","Belum Deteksi"))</f>
        <v>Tetap Deteksi</v>
      </c>
      <c r="AA104" s="143">
        <v>2</v>
      </c>
      <c r="AB104" s="9">
        <f t="shared" si="19"/>
        <v>0.90909090909090906</v>
      </c>
      <c r="AC104" s="11"/>
      <c r="AD104" s="143"/>
      <c r="AE104" s="9">
        <f t="array" ref="AE104">IFERROR(AD104/$G104*100,0)</f>
        <v>0</v>
      </c>
      <c r="AF104" s="143"/>
      <c r="AG104" s="9">
        <f t="shared" si="15"/>
        <v>0</v>
      </c>
      <c r="AH104" s="8" t="str">
        <f t="array" ref="AH104">IF(AG104&gt;5,"Perlu Sensus",IF(AND(AG104&gt;=0,AD104&gt;0),"Tetap Deteksi","Belum Deteksi"))</f>
        <v>Belum Deteksi</v>
      </c>
      <c r="AI104" s="143"/>
      <c r="AJ104" s="9">
        <f t="shared" si="20"/>
        <v>0</v>
      </c>
      <c r="AK104" s="11"/>
      <c r="AL104" s="143"/>
      <c r="AM104" s="143"/>
      <c r="AN104" s="9">
        <f t="shared" si="16"/>
        <v>0</v>
      </c>
      <c r="AO104" s="8" t="str">
        <f t="array" ref="AO104">IF(AN104&gt;5,"Perlu Sensus",IF(AND(AN104&gt;=0,AL104&gt;0),"Tetap Deteksi","Belum Deteksi"))</f>
        <v>Belum Deteksi</v>
      </c>
      <c r="AP104" s="143"/>
      <c r="AQ104" s="9">
        <f t="shared" si="21"/>
        <v>0</v>
      </c>
    </row>
    <row r="105" spans="1:43" outlineLevel="1" x14ac:dyDescent="0.15">
      <c r="A105" s="8" t="s">
        <v>1914</v>
      </c>
      <c r="B105" s="8"/>
      <c r="C105" s="8" t="s">
        <v>173</v>
      </c>
      <c r="D105" s="186" t="s">
        <v>1420</v>
      </c>
      <c r="E105" s="9">
        <v>35.549999999999997</v>
      </c>
      <c r="F105" s="8" t="s">
        <v>1740</v>
      </c>
      <c r="G105" s="10">
        <v>4304</v>
      </c>
      <c r="H105" s="11">
        <f t="array" ref="H105">IF(OR(N105&gt;0,AC105&gt;0),MAX(N105,AC105),MAX(AK105,V105))</f>
        <v>46249</v>
      </c>
      <c r="I105" s="143">
        <f t="array" ref="I105">IF(SUM(O105,AD105)&gt;0,SUM(O105,AD105),SUM(AL105,W105))</f>
        <v>188</v>
      </c>
      <c r="J105" s="9">
        <f t="shared" si="11"/>
        <v>4.3680297397769516</v>
      </c>
      <c r="K105" s="143">
        <f t="shared" si="17"/>
        <v>1</v>
      </c>
      <c r="L105" s="9">
        <f t="shared" si="12"/>
        <v>0.53191489361702127</v>
      </c>
      <c r="M105" s="8" t="str">
        <f t="array" ref="M105">IF(L105&gt;5,"Perlu Sensus",IF(AND(L105&gt;=0,I105&gt;0),"Tetap Deteksi","Belum Deteksi"))</f>
        <v>Tetap Deteksi</v>
      </c>
      <c r="N105" s="11">
        <v>46249</v>
      </c>
      <c r="O105" s="143">
        <v>188</v>
      </c>
      <c r="P105" s="9">
        <f t="array" ref="P105">IFERROR(O105/$G105*100,0)</f>
        <v>4.3680297397769516</v>
      </c>
      <c r="Q105" s="143">
        <v>1</v>
      </c>
      <c r="R105" s="9">
        <f t="shared" si="13"/>
        <v>0.53191489361702127</v>
      </c>
      <c r="S105" s="8" t="str">
        <f t="array" ref="S105">IF(R105&gt;5,"Perlu Sensus",IF(AND(R105&gt;=0,O105&gt;0),"Tetap Deteksi","Belum Deteksi"))</f>
        <v>Tetap Deteksi</v>
      </c>
      <c r="T105" s="143">
        <v>9.9999999999999995E-8</v>
      </c>
      <c r="U105" s="9">
        <f t="shared" si="18"/>
        <v>5.319148936170213E-8</v>
      </c>
      <c r="V105" s="11">
        <v>46237</v>
      </c>
      <c r="W105" s="143">
        <v>178</v>
      </c>
      <c r="X105" s="143">
        <v>1.0000000000000001E-9</v>
      </c>
      <c r="Y105" s="9">
        <f t="shared" si="14"/>
        <v>5.617977528089888E-10</v>
      </c>
      <c r="Z105" s="8" t="str">
        <f t="array" ref="Z105">IF(Y105&gt;5,"Perlu Sensus",IF(AND(Y105&gt;=0,W105&gt;0),"Tetap Deteksi","Belum Deteksi"))</f>
        <v>Tetap Deteksi</v>
      </c>
      <c r="AA105" s="143">
        <v>1.0000000000000001E-9</v>
      </c>
      <c r="AB105" s="9">
        <f t="shared" si="19"/>
        <v>5.617977528089888E-10</v>
      </c>
      <c r="AC105" s="11"/>
      <c r="AD105" s="143"/>
      <c r="AE105" s="9">
        <f t="array" ref="AE105">IFERROR(AD105/$G105*100,0)</f>
        <v>0</v>
      </c>
      <c r="AF105" s="143"/>
      <c r="AG105" s="9">
        <f t="shared" si="15"/>
        <v>0</v>
      </c>
      <c r="AH105" s="8" t="str">
        <f t="array" ref="AH105">IF(AG105&gt;5,"Perlu Sensus",IF(AND(AG105&gt;=0,AD105&gt;0),"Tetap Deteksi","Belum Deteksi"))</f>
        <v>Belum Deteksi</v>
      </c>
      <c r="AI105" s="143"/>
      <c r="AJ105" s="9">
        <f t="shared" si="20"/>
        <v>0</v>
      </c>
      <c r="AK105" s="11"/>
      <c r="AL105" s="143"/>
      <c r="AM105" s="143"/>
      <c r="AN105" s="9">
        <f t="shared" si="16"/>
        <v>0</v>
      </c>
      <c r="AO105" s="8" t="str">
        <f t="array" ref="AO105">IF(AN105&gt;5,"Perlu Sensus",IF(AND(AN105&gt;=0,AL105&gt;0),"Tetap Deteksi","Belum Deteksi"))</f>
        <v>Belum Deteksi</v>
      </c>
      <c r="AP105" s="143"/>
      <c r="AQ105" s="9">
        <f t="shared" si="21"/>
        <v>0</v>
      </c>
    </row>
    <row r="106" spans="1:43" outlineLevel="1" x14ac:dyDescent="0.15">
      <c r="A106" s="8" t="s">
        <v>1914</v>
      </c>
      <c r="B106" s="8"/>
      <c r="C106" s="8" t="s">
        <v>173</v>
      </c>
      <c r="D106" s="8" t="s">
        <v>1413</v>
      </c>
      <c r="E106" s="9">
        <v>31.540000000000003</v>
      </c>
      <c r="F106" s="8" t="s">
        <v>1740</v>
      </c>
      <c r="G106" s="10">
        <v>3604</v>
      </c>
      <c r="H106" s="11">
        <f t="array" ref="H106">IF(OR(N106&gt;0,AC106&gt;0),MAX(N106,AC106),MAX(AK106,V106))</f>
        <v>46249</v>
      </c>
      <c r="I106" s="143">
        <f t="array" ref="I106">IF(SUM(O106,AD106)&gt;0,SUM(O106,AD106),SUM(AL106,W106))</f>
        <v>220</v>
      </c>
      <c r="J106" s="9">
        <f t="shared" si="11"/>
        <v>6.1043285238623746</v>
      </c>
      <c r="K106" s="143">
        <f t="shared" si="17"/>
        <v>3</v>
      </c>
      <c r="L106" s="9">
        <f t="shared" si="12"/>
        <v>1.3636363636363635</v>
      </c>
      <c r="M106" s="8" t="str">
        <f t="array" ref="M106">IF(L106&gt;5,"Perlu Sensus",IF(AND(L106&gt;=0,I106&gt;0),"Tetap Deteksi","Belum Deteksi"))</f>
        <v>Tetap Deteksi</v>
      </c>
      <c r="N106" s="11">
        <v>46249</v>
      </c>
      <c r="O106" s="143">
        <v>220</v>
      </c>
      <c r="P106" s="9">
        <f t="array" ref="P106">IFERROR(O106/$G106*100,0)</f>
        <v>6.1043285238623746</v>
      </c>
      <c r="Q106" s="143">
        <v>3</v>
      </c>
      <c r="R106" s="9">
        <f t="shared" si="13"/>
        <v>1.3636363636363635</v>
      </c>
      <c r="S106" s="8" t="str">
        <f t="array" ref="S106">IF(R106&gt;5,"Perlu Sensus",IF(AND(R106&gt;=0,O106&gt;0),"Tetap Deteksi","Belum Deteksi"))</f>
        <v>Tetap Deteksi</v>
      </c>
      <c r="T106" s="143">
        <v>1</v>
      </c>
      <c r="U106" s="9">
        <f t="shared" si="18"/>
        <v>0.45454545454545453</v>
      </c>
      <c r="V106" s="11">
        <v>46235</v>
      </c>
      <c r="W106" s="143">
        <v>231</v>
      </c>
      <c r="X106" s="143">
        <v>2</v>
      </c>
      <c r="Y106" s="9">
        <f t="shared" si="14"/>
        <v>0.86580086580086579</v>
      </c>
      <c r="Z106" s="8" t="str">
        <f t="array" ref="Z106">IF(Y106&gt;5,"Perlu Sensus",IF(AND(Y106&gt;=0,W106&gt;0),"Tetap Deteksi","Belum Deteksi"))</f>
        <v>Tetap Deteksi</v>
      </c>
      <c r="AA106" s="143">
        <v>2</v>
      </c>
      <c r="AB106" s="9">
        <f t="shared" si="19"/>
        <v>0.86580086580086579</v>
      </c>
      <c r="AC106" s="11"/>
      <c r="AD106" s="143"/>
      <c r="AE106" s="9">
        <f t="array" ref="AE106">IFERROR(AD106/$G106*100,0)</f>
        <v>0</v>
      </c>
      <c r="AF106" s="143"/>
      <c r="AG106" s="9">
        <f t="shared" si="15"/>
        <v>0</v>
      </c>
      <c r="AH106" s="8" t="str">
        <f t="array" ref="AH106">IF(AG106&gt;5,"Perlu Sensus",IF(AND(AG106&gt;=0,AD106&gt;0),"Tetap Deteksi","Belum Deteksi"))</f>
        <v>Belum Deteksi</v>
      </c>
      <c r="AI106" s="143"/>
      <c r="AJ106" s="9">
        <f t="shared" si="20"/>
        <v>0</v>
      </c>
      <c r="AK106" s="11"/>
      <c r="AL106" s="143"/>
      <c r="AM106" s="143"/>
      <c r="AN106" s="9">
        <f t="shared" si="16"/>
        <v>0</v>
      </c>
      <c r="AO106" s="8" t="str">
        <f t="array" ref="AO106">IF(AN106&gt;5,"Perlu Sensus",IF(AND(AN106&gt;=0,AL106&gt;0),"Tetap Deteksi","Belum Deteksi"))</f>
        <v>Belum Deteksi</v>
      </c>
      <c r="AP106" s="143"/>
      <c r="AQ106" s="9">
        <f t="shared" si="21"/>
        <v>0</v>
      </c>
    </row>
    <row r="107" spans="1:43" outlineLevel="1" x14ac:dyDescent="0.15">
      <c r="A107" s="8" t="s">
        <v>1914</v>
      </c>
      <c r="B107" s="8"/>
      <c r="C107" s="8" t="s">
        <v>173</v>
      </c>
      <c r="D107" s="186" t="s">
        <v>1433</v>
      </c>
      <c r="E107" s="9">
        <v>34.059999999999995</v>
      </c>
      <c r="F107" s="8" t="s">
        <v>1740</v>
      </c>
      <c r="G107" s="10">
        <v>4421</v>
      </c>
      <c r="H107" s="11">
        <f t="array" ref="H107">IF(OR(N107&gt;0,AC107&gt;0),MAX(N107,AC107),MAX(AK107,V107))</f>
        <v>46240</v>
      </c>
      <c r="I107" s="143">
        <f t="array" ref="I107">IF(SUM(O107,AD107)&gt;0,SUM(O107,AD107),SUM(AL107,W107))</f>
        <v>156</v>
      </c>
      <c r="J107" s="9">
        <f t="shared" si="11"/>
        <v>3.5286134358742367</v>
      </c>
      <c r="K107" s="143">
        <f t="shared" si="17"/>
        <v>1.0000000000000001E-9</v>
      </c>
      <c r="L107" s="9">
        <f t="shared" si="12"/>
        <v>6.4102564102564112E-10</v>
      </c>
      <c r="M107" s="8" t="str">
        <f t="array" ref="M107">IF(L107&gt;5,"Perlu Sensus",IF(AND(L107&gt;=0,I107&gt;0),"Tetap Deteksi","Belum Deteksi"))</f>
        <v>Tetap Deteksi</v>
      </c>
      <c r="N107" s="11">
        <v>46240</v>
      </c>
      <c r="O107" s="143">
        <v>156</v>
      </c>
      <c r="P107" s="9">
        <f t="array" ref="P107">IFERROR(O107/$G107*100,0)</f>
        <v>3.5286134358742367</v>
      </c>
      <c r="Q107" s="143">
        <v>1.0000000000000001E-9</v>
      </c>
      <c r="R107" s="9">
        <f t="shared" si="13"/>
        <v>6.4102564102564112E-10</v>
      </c>
      <c r="S107" s="8" t="str">
        <f t="array" ref="S107">IF(R107&gt;5,"Perlu Sensus",IF(AND(R107&gt;=0,O107&gt;0),"Tetap Deteksi","Belum Deteksi"))</f>
        <v>Tetap Deteksi</v>
      </c>
      <c r="T107" s="143">
        <v>9.9999999999999995E-8</v>
      </c>
      <c r="U107" s="9">
        <f t="shared" si="18"/>
        <v>6.4102564102564104E-8</v>
      </c>
      <c r="V107" s="11">
        <v>46249</v>
      </c>
      <c r="W107" s="143">
        <v>243</v>
      </c>
      <c r="X107" s="143">
        <v>3</v>
      </c>
      <c r="Y107" s="9">
        <f t="shared" si="14"/>
        <v>1.2345679012345678</v>
      </c>
      <c r="Z107" s="8" t="str">
        <f t="array" ref="Z107">IF(Y107&gt;5,"Perlu Sensus",IF(AND(Y107&gt;=0,W107&gt;0),"Tetap Deteksi","Belum Deteksi"))</f>
        <v>Tetap Deteksi</v>
      </c>
      <c r="AA107" s="143">
        <v>2</v>
      </c>
      <c r="AB107" s="9">
        <f t="shared" si="19"/>
        <v>0.82304526748971196</v>
      </c>
      <c r="AC107" s="11"/>
      <c r="AD107" s="143"/>
      <c r="AE107" s="9">
        <f t="array" ref="AE107">IFERROR(AD107/$G107*100,0)</f>
        <v>0</v>
      </c>
      <c r="AF107" s="143"/>
      <c r="AG107" s="9">
        <f t="shared" si="15"/>
        <v>0</v>
      </c>
      <c r="AH107" s="8" t="str">
        <f t="array" ref="AH107">IF(AG107&gt;5,"Perlu Sensus",IF(AND(AG107&gt;=0,AD107&gt;0),"Tetap Deteksi","Belum Deteksi"))</f>
        <v>Belum Deteksi</v>
      </c>
      <c r="AI107" s="143"/>
      <c r="AJ107" s="9">
        <f t="shared" si="20"/>
        <v>0</v>
      </c>
      <c r="AK107" s="11"/>
      <c r="AL107" s="143"/>
      <c r="AM107" s="143"/>
      <c r="AN107" s="9">
        <f t="shared" si="16"/>
        <v>0</v>
      </c>
      <c r="AO107" s="8" t="str">
        <f t="array" ref="AO107">IF(AN107&gt;5,"Perlu Sensus",IF(AND(AN107&gt;=0,AL107&gt;0),"Tetap Deteksi","Belum Deteksi"))</f>
        <v>Belum Deteksi</v>
      </c>
      <c r="AP107" s="143"/>
      <c r="AQ107" s="9">
        <f t="shared" si="21"/>
        <v>0</v>
      </c>
    </row>
    <row r="108" spans="1:43" outlineLevel="1" x14ac:dyDescent="0.15">
      <c r="A108" s="8" t="s">
        <v>1914</v>
      </c>
      <c r="B108" s="8"/>
      <c r="C108" s="8" t="s">
        <v>173</v>
      </c>
      <c r="D108" s="186" t="s">
        <v>1445</v>
      </c>
      <c r="E108" s="9">
        <v>23.67</v>
      </c>
      <c r="F108" s="8" t="s">
        <v>1740</v>
      </c>
      <c r="G108" s="10">
        <v>2279</v>
      </c>
      <c r="H108" s="11">
        <f t="array" ref="H108">IF(OR(N108&gt;0,AC108&gt;0),MAX(N108,AC108),MAX(AK108,V108))</f>
        <v>46244</v>
      </c>
      <c r="I108" s="143">
        <f t="array" ref="I108">IF(SUM(O108,AD108)&gt;0,SUM(O108,AD108),SUM(AL108,W108))</f>
        <v>196</v>
      </c>
      <c r="J108" s="9">
        <f t="shared" si="11"/>
        <v>8.6002632733655116</v>
      </c>
      <c r="K108" s="143">
        <f t="shared" si="17"/>
        <v>1</v>
      </c>
      <c r="L108" s="9">
        <f t="shared" si="12"/>
        <v>0.51020408163265307</v>
      </c>
      <c r="M108" s="8" t="str">
        <f t="array" ref="M108">IF(L108&gt;5,"Perlu Sensus",IF(AND(L108&gt;=0,I108&gt;0),"Tetap Deteksi","Belum Deteksi"))</f>
        <v>Tetap Deteksi</v>
      </c>
      <c r="N108" s="11">
        <v>46244</v>
      </c>
      <c r="O108" s="143">
        <v>196</v>
      </c>
      <c r="P108" s="9">
        <f t="array" ref="P108">IFERROR(O108/$G108*100,0)</f>
        <v>8.6002632733655116</v>
      </c>
      <c r="Q108" s="143">
        <v>1</v>
      </c>
      <c r="R108" s="9">
        <f t="shared" si="13"/>
        <v>0.51020408163265307</v>
      </c>
      <c r="S108" s="8" t="str">
        <f t="array" ref="S108">IF(R108&gt;5,"Perlu Sensus",IF(AND(R108&gt;=0,O108&gt;0),"Tetap Deteksi","Belum Deteksi"))</f>
        <v>Tetap Deteksi</v>
      </c>
      <c r="T108" s="143">
        <v>2</v>
      </c>
      <c r="U108" s="9">
        <f t="shared" si="18"/>
        <v>1.0204081632653061</v>
      </c>
      <c r="V108" s="11">
        <v>46244</v>
      </c>
      <c r="W108" s="143">
        <v>198</v>
      </c>
      <c r="X108" s="143">
        <v>2</v>
      </c>
      <c r="Y108" s="9">
        <f t="shared" si="14"/>
        <v>1.0101010101010102</v>
      </c>
      <c r="Z108" s="8" t="str">
        <f t="array" ref="Z108">IF(Y108&gt;5,"Perlu Sensus",IF(AND(Y108&gt;=0,W108&gt;0),"Tetap Deteksi","Belum Deteksi"))</f>
        <v>Tetap Deteksi</v>
      </c>
      <c r="AA108" s="143">
        <v>2</v>
      </c>
      <c r="AB108" s="9">
        <f t="shared" si="19"/>
        <v>1.0101010101010102</v>
      </c>
      <c r="AC108" s="11"/>
      <c r="AD108" s="143"/>
      <c r="AE108" s="9">
        <f t="array" ref="AE108">IFERROR(AD108/$G108*100,0)</f>
        <v>0</v>
      </c>
      <c r="AF108" s="143"/>
      <c r="AG108" s="9">
        <f t="shared" si="15"/>
        <v>0</v>
      </c>
      <c r="AH108" s="8" t="str">
        <f t="array" ref="AH108">IF(AG108&gt;5,"Perlu Sensus",IF(AND(AG108&gt;=0,AD108&gt;0),"Tetap Deteksi","Belum Deteksi"))</f>
        <v>Belum Deteksi</v>
      </c>
      <c r="AI108" s="143"/>
      <c r="AJ108" s="9">
        <f t="shared" si="20"/>
        <v>0</v>
      </c>
      <c r="AK108" s="11"/>
      <c r="AL108" s="143"/>
      <c r="AM108" s="143"/>
      <c r="AN108" s="9">
        <f t="shared" si="16"/>
        <v>0</v>
      </c>
      <c r="AO108" s="8" t="str">
        <f t="array" ref="AO108">IF(AN108&gt;5,"Perlu Sensus",IF(AND(AN108&gt;=0,AL108&gt;0),"Tetap Deteksi","Belum Deteksi"))</f>
        <v>Belum Deteksi</v>
      </c>
      <c r="AP108" s="143"/>
      <c r="AQ108" s="9">
        <f t="shared" si="21"/>
        <v>0</v>
      </c>
    </row>
    <row r="109" spans="1:43" outlineLevel="1" x14ac:dyDescent="0.15">
      <c r="A109" s="8" t="s">
        <v>1914</v>
      </c>
      <c r="B109" s="8"/>
      <c r="C109" s="8" t="s">
        <v>173</v>
      </c>
      <c r="D109" s="186" t="s">
        <v>1444</v>
      </c>
      <c r="E109" s="9">
        <v>34.049999999999997</v>
      </c>
      <c r="F109" s="8" t="s">
        <v>1740</v>
      </c>
      <c r="G109" s="10">
        <v>4034</v>
      </c>
      <c r="H109" s="11">
        <f t="array" ref="H109">IF(OR(N109&gt;0,AC109&gt;0),MAX(N109,AC109),MAX(AK109,V109))</f>
        <v>46244</v>
      </c>
      <c r="I109" s="143">
        <f t="array" ref="I109">IF(SUM(O109,AD109)&gt;0,SUM(O109,AD109),SUM(AL109,W109))</f>
        <v>228</v>
      </c>
      <c r="J109" s="9">
        <f t="shared" si="11"/>
        <v>5.651958353991076</v>
      </c>
      <c r="K109" s="143">
        <f t="shared" si="17"/>
        <v>2</v>
      </c>
      <c r="L109" s="9">
        <f t="shared" si="12"/>
        <v>0.8771929824561403</v>
      </c>
      <c r="M109" s="8" t="str">
        <f t="array" ref="M109">IF(L109&gt;5,"Perlu Sensus",IF(AND(L109&gt;=0,I109&gt;0),"Tetap Deteksi","Belum Deteksi"))</f>
        <v>Tetap Deteksi</v>
      </c>
      <c r="N109" s="11">
        <v>46244</v>
      </c>
      <c r="O109" s="143">
        <v>228</v>
      </c>
      <c r="P109" s="9">
        <f t="array" ref="P109">IFERROR(O109/$G109*100,0)</f>
        <v>5.651958353991076</v>
      </c>
      <c r="Q109" s="143">
        <v>2</v>
      </c>
      <c r="R109" s="9">
        <f t="shared" si="13"/>
        <v>0.8771929824561403</v>
      </c>
      <c r="S109" s="8" t="str">
        <f t="array" ref="S109">IF(R109&gt;5,"Perlu Sensus",IF(AND(R109&gt;=0,O109&gt;0),"Tetap Deteksi","Belum Deteksi"))</f>
        <v>Tetap Deteksi</v>
      </c>
      <c r="T109" s="143">
        <v>1.0000000000000001E-9</v>
      </c>
      <c r="U109" s="9">
        <f t="shared" si="18"/>
        <v>4.3859649122807023E-10</v>
      </c>
      <c r="V109" s="11">
        <v>46244</v>
      </c>
      <c r="W109" s="143">
        <v>217</v>
      </c>
      <c r="X109" s="143">
        <v>3</v>
      </c>
      <c r="Y109" s="9">
        <f t="shared" si="14"/>
        <v>1.3824884792626728</v>
      </c>
      <c r="Z109" s="8" t="str">
        <f t="array" ref="Z109">IF(Y109&gt;5,"Perlu Sensus",IF(AND(Y109&gt;=0,W109&gt;0),"Tetap Deteksi","Belum Deteksi"))</f>
        <v>Tetap Deteksi</v>
      </c>
      <c r="AA109" s="143">
        <v>3</v>
      </c>
      <c r="AB109" s="9">
        <f t="shared" si="19"/>
        <v>1.3824884792626728</v>
      </c>
      <c r="AC109" s="11"/>
      <c r="AD109" s="143"/>
      <c r="AE109" s="9">
        <f t="array" ref="AE109">IFERROR(AD109/$G109*100,0)</f>
        <v>0</v>
      </c>
      <c r="AF109" s="143"/>
      <c r="AG109" s="9">
        <f t="shared" si="15"/>
        <v>0</v>
      </c>
      <c r="AH109" s="8" t="str">
        <f t="array" ref="AH109">IF(AG109&gt;5,"Perlu Sensus",IF(AND(AG109&gt;=0,AD109&gt;0),"Tetap Deteksi","Belum Deteksi"))</f>
        <v>Belum Deteksi</v>
      </c>
      <c r="AI109" s="143"/>
      <c r="AJ109" s="9">
        <f t="shared" si="20"/>
        <v>0</v>
      </c>
      <c r="AK109" s="11"/>
      <c r="AL109" s="143"/>
      <c r="AM109" s="143"/>
      <c r="AN109" s="9">
        <f t="shared" si="16"/>
        <v>0</v>
      </c>
      <c r="AO109" s="8" t="str">
        <f t="array" ref="AO109">IF(AN109&gt;5,"Perlu Sensus",IF(AND(AN109&gt;=0,AL109&gt;0),"Tetap Deteksi","Belum Deteksi"))</f>
        <v>Belum Deteksi</v>
      </c>
      <c r="AP109" s="143"/>
      <c r="AQ109" s="9">
        <f t="shared" si="21"/>
        <v>0</v>
      </c>
    </row>
    <row r="110" spans="1:43" outlineLevel="1" x14ac:dyDescent="0.15">
      <c r="A110" s="8" t="s">
        <v>1914</v>
      </c>
      <c r="B110" s="8"/>
      <c r="C110" s="8" t="s">
        <v>173</v>
      </c>
      <c r="D110" s="186" t="s">
        <v>1096</v>
      </c>
      <c r="E110" s="9">
        <v>25.81</v>
      </c>
      <c r="F110" s="8" t="s">
        <v>1740</v>
      </c>
      <c r="G110" s="10">
        <v>3265</v>
      </c>
      <c r="H110" s="11">
        <f t="array" ref="H110">IF(OR(N110&gt;0,AC110&gt;0),MAX(N110,AC110),MAX(AK110,V110))</f>
        <v>46246</v>
      </c>
      <c r="I110" s="143">
        <f t="array" ref="I110">IF(SUM(O110,AD110)&gt;0,SUM(O110,AD110),SUM(AL110,W110))</f>
        <v>198</v>
      </c>
      <c r="J110" s="9">
        <f t="shared" si="11"/>
        <v>6.0643185298621747</v>
      </c>
      <c r="K110" s="143">
        <f t="shared" si="17"/>
        <v>1</v>
      </c>
      <c r="L110" s="9">
        <f t="shared" si="12"/>
        <v>0.50505050505050508</v>
      </c>
      <c r="M110" s="8" t="str">
        <f t="array" ref="M110">IF(L110&gt;5,"Perlu Sensus",IF(AND(L110&gt;=0,I110&gt;0),"Tetap Deteksi","Belum Deteksi"))</f>
        <v>Tetap Deteksi</v>
      </c>
      <c r="N110" s="11">
        <v>46246</v>
      </c>
      <c r="O110" s="143">
        <v>198</v>
      </c>
      <c r="P110" s="9">
        <f t="array" ref="P110">IFERROR(O110/$G110*100,0)</f>
        <v>6.0643185298621747</v>
      </c>
      <c r="Q110" s="143">
        <v>1</v>
      </c>
      <c r="R110" s="9">
        <f t="shared" si="13"/>
        <v>0.50505050505050508</v>
      </c>
      <c r="S110" s="8" t="str">
        <f t="array" ref="S110">IF(R110&gt;5,"Perlu Sensus",IF(AND(R110&gt;=0,O110&gt;0),"Tetap Deteksi","Belum Deteksi"))</f>
        <v>Tetap Deteksi</v>
      </c>
      <c r="T110" s="143">
        <v>3</v>
      </c>
      <c r="U110" s="9">
        <f t="shared" si="18"/>
        <v>1.5151515151515151</v>
      </c>
      <c r="V110" s="11">
        <v>46246</v>
      </c>
      <c r="W110" s="143">
        <v>216</v>
      </c>
      <c r="X110" s="143">
        <v>3</v>
      </c>
      <c r="Y110" s="9">
        <f t="shared" si="14"/>
        <v>1.3888888888888888</v>
      </c>
      <c r="Z110" s="8" t="str">
        <f t="array" ref="Z110">IF(Y110&gt;5,"Perlu Sensus",IF(AND(Y110&gt;=0,W110&gt;0),"Tetap Deteksi","Belum Deteksi"))</f>
        <v>Tetap Deteksi</v>
      </c>
      <c r="AA110" s="143">
        <v>1</v>
      </c>
      <c r="AB110" s="9">
        <f t="shared" si="19"/>
        <v>0.46296296296296291</v>
      </c>
      <c r="AC110" s="11"/>
      <c r="AD110" s="143"/>
      <c r="AE110" s="9">
        <f t="array" ref="AE110">IFERROR(AD110/$G110*100,0)</f>
        <v>0</v>
      </c>
      <c r="AF110" s="143"/>
      <c r="AG110" s="9">
        <f t="shared" si="15"/>
        <v>0</v>
      </c>
      <c r="AH110" s="8" t="str">
        <f t="array" ref="AH110">IF(AG110&gt;5,"Perlu Sensus",IF(AND(AG110&gt;=0,AD110&gt;0),"Tetap Deteksi","Belum Deteksi"))</f>
        <v>Belum Deteksi</v>
      </c>
      <c r="AI110" s="143"/>
      <c r="AJ110" s="9">
        <f t="shared" si="20"/>
        <v>0</v>
      </c>
      <c r="AK110" s="11"/>
      <c r="AL110" s="143"/>
      <c r="AM110" s="143"/>
      <c r="AN110" s="9">
        <f t="shared" si="16"/>
        <v>0</v>
      </c>
      <c r="AO110" s="8" t="str">
        <f t="array" ref="AO110">IF(AN110&gt;5,"Perlu Sensus",IF(AND(AN110&gt;=0,AL110&gt;0),"Tetap Deteksi","Belum Deteksi"))</f>
        <v>Belum Deteksi</v>
      </c>
      <c r="AP110" s="143"/>
      <c r="AQ110" s="9">
        <f t="shared" si="21"/>
        <v>0</v>
      </c>
    </row>
    <row r="111" spans="1:43" outlineLevel="1" x14ac:dyDescent="0.15">
      <c r="A111" s="8" t="s">
        <v>1914</v>
      </c>
      <c r="B111" s="8"/>
      <c r="C111" s="8" t="s">
        <v>173</v>
      </c>
      <c r="D111" s="186" t="s">
        <v>1446</v>
      </c>
      <c r="E111" s="9">
        <v>23.83</v>
      </c>
      <c r="F111" s="8" t="s">
        <v>1740</v>
      </c>
      <c r="G111" s="10">
        <v>2605</v>
      </c>
      <c r="H111" s="11">
        <f t="array" ref="H111">IF(OR(N111&gt;0,AC111&gt;0),MAX(N111,AC111),MAX(AK111,V111))</f>
        <v>46246</v>
      </c>
      <c r="I111" s="143">
        <f t="array" ref="I111">IF(SUM(O111,AD111)&gt;0,SUM(O111,AD111),SUM(AL111,W111))</f>
        <v>183</v>
      </c>
      <c r="J111" s="9">
        <f t="shared" si="11"/>
        <v>7.024952015355086</v>
      </c>
      <c r="K111" s="143">
        <f t="shared" si="17"/>
        <v>1E-8</v>
      </c>
      <c r="L111" s="9">
        <f t="shared" si="12"/>
        <v>5.4644808743169399E-9</v>
      </c>
      <c r="M111" s="8" t="str">
        <f t="array" ref="M111">IF(L111&gt;5,"Perlu Sensus",IF(AND(L111&gt;=0,I111&gt;0),"Tetap Deteksi","Belum Deteksi"))</f>
        <v>Tetap Deteksi</v>
      </c>
      <c r="N111" s="11">
        <v>46246</v>
      </c>
      <c r="O111" s="143">
        <v>183</v>
      </c>
      <c r="P111" s="9">
        <f t="array" ref="P111">IFERROR(O111/$G111*100,0)</f>
        <v>7.024952015355086</v>
      </c>
      <c r="Q111" s="143">
        <v>1E-8</v>
      </c>
      <c r="R111" s="9">
        <f t="shared" si="13"/>
        <v>5.4644808743169399E-9</v>
      </c>
      <c r="S111" s="8" t="str">
        <f t="array" ref="S111">IF(R111&gt;5,"Perlu Sensus",IF(AND(R111&gt;=0,O111&gt;0),"Tetap Deteksi","Belum Deteksi"))</f>
        <v>Tetap Deteksi</v>
      </c>
      <c r="T111" s="143">
        <v>4</v>
      </c>
      <c r="U111" s="9">
        <f t="shared" si="18"/>
        <v>2.1857923497267762</v>
      </c>
      <c r="V111" s="11">
        <v>46246</v>
      </c>
      <c r="W111" s="143">
        <v>187</v>
      </c>
      <c r="X111" s="143">
        <v>4</v>
      </c>
      <c r="Y111" s="9">
        <f t="shared" si="14"/>
        <v>2.1390374331550799</v>
      </c>
      <c r="Z111" s="8" t="str">
        <f t="array" ref="Z111">IF(Y111&gt;5,"Perlu Sensus",IF(AND(Y111&gt;=0,W111&gt;0),"Tetap Deteksi","Belum Deteksi"))</f>
        <v>Tetap Deteksi</v>
      </c>
      <c r="AA111" s="143">
        <v>2</v>
      </c>
      <c r="AB111" s="9">
        <f t="shared" si="19"/>
        <v>1.0695187165775399</v>
      </c>
      <c r="AC111" s="11"/>
      <c r="AD111" s="143"/>
      <c r="AE111" s="9">
        <f t="array" ref="AE111">IFERROR(AD111/$G111*100,0)</f>
        <v>0</v>
      </c>
      <c r="AF111" s="143"/>
      <c r="AG111" s="9">
        <f t="shared" si="15"/>
        <v>0</v>
      </c>
      <c r="AH111" s="8" t="str">
        <f t="array" ref="AH111">IF(AG111&gt;5,"Perlu Sensus",IF(AND(AG111&gt;=0,AD111&gt;0),"Tetap Deteksi","Belum Deteksi"))</f>
        <v>Belum Deteksi</v>
      </c>
      <c r="AI111" s="143"/>
      <c r="AJ111" s="9">
        <f t="shared" si="20"/>
        <v>0</v>
      </c>
      <c r="AK111" s="11"/>
      <c r="AL111" s="143"/>
      <c r="AM111" s="143"/>
      <c r="AN111" s="9">
        <f t="shared" si="16"/>
        <v>0</v>
      </c>
      <c r="AO111" s="8" t="str">
        <f t="array" ref="AO111">IF(AN111&gt;5,"Perlu Sensus",IF(AND(AN111&gt;=0,AL111&gt;0),"Tetap Deteksi","Belum Deteksi"))</f>
        <v>Belum Deteksi</v>
      </c>
      <c r="AP111" s="143"/>
      <c r="AQ111" s="9">
        <f t="shared" si="21"/>
        <v>0</v>
      </c>
    </row>
    <row r="112" spans="1:43" outlineLevel="1" x14ac:dyDescent="0.15">
      <c r="A112" s="8" t="s">
        <v>1914</v>
      </c>
      <c r="B112" s="8"/>
      <c r="C112" s="8" t="s">
        <v>173</v>
      </c>
      <c r="D112" s="186" t="s">
        <v>1434</v>
      </c>
      <c r="E112" s="9">
        <v>35.650000000000006</v>
      </c>
      <c r="F112" s="8" t="s">
        <v>1740</v>
      </c>
      <c r="G112" s="10">
        <v>4174</v>
      </c>
      <c r="H112" s="11">
        <f t="array" ref="H112">IF(OR(N112&gt;0,AC112&gt;0),MAX(N112,AC112),MAX(AK112,V112))</f>
        <v>46240</v>
      </c>
      <c r="I112" s="143">
        <f t="array" ref="I112">IF(SUM(O112,AD112)&gt;0,SUM(O112,AD112),SUM(AL112,W112))</f>
        <v>172</v>
      </c>
      <c r="J112" s="9">
        <f t="shared" si="11"/>
        <v>4.1207474844274072</v>
      </c>
      <c r="K112" s="143">
        <f t="shared" si="17"/>
        <v>2</v>
      </c>
      <c r="L112" s="9">
        <f t="shared" si="12"/>
        <v>1.1627906976744187</v>
      </c>
      <c r="M112" s="8" t="str">
        <f t="array" ref="M112">IF(L112&gt;5,"Perlu Sensus",IF(AND(L112&gt;=0,I112&gt;0),"Tetap Deteksi","Belum Deteksi"))</f>
        <v>Tetap Deteksi</v>
      </c>
      <c r="N112" s="11">
        <v>46240</v>
      </c>
      <c r="O112" s="143">
        <v>172</v>
      </c>
      <c r="P112" s="9">
        <f t="array" ref="P112">IFERROR(O112/$G112*100,0)</f>
        <v>4.1207474844274072</v>
      </c>
      <c r="Q112" s="143">
        <v>2</v>
      </c>
      <c r="R112" s="9">
        <f t="shared" si="13"/>
        <v>1.1627906976744187</v>
      </c>
      <c r="S112" s="8" t="str">
        <f t="array" ref="S112">IF(R112&gt;5,"Perlu Sensus",IF(AND(R112&gt;=0,O112&gt;0),"Tetap Deteksi","Belum Deteksi"))</f>
        <v>Tetap Deteksi</v>
      </c>
      <c r="T112" s="143">
        <v>1</v>
      </c>
      <c r="U112" s="9">
        <f t="shared" si="18"/>
        <v>0.58139534883720934</v>
      </c>
      <c r="V112" s="11">
        <v>46240</v>
      </c>
      <c r="W112" s="143">
        <v>276</v>
      </c>
      <c r="X112" s="143">
        <v>7</v>
      </c>
      <c r="Y112" s="9">
        <f t="shared" si="14"/>
        <v>2.5362318840579712</v>
      </c>
      <c r="Z112" s="8" t="str">
        <f t="array" ref="Z112">IF(Y112&gt;5,"Perlu Sensus",IF(AND(Y112&gt;=0,W112&gt;0),"Tetap Deteksi","Belum Deteksi"))</f>
        <v>Tetap Deteksi</v>
      </c>
      <c r="AA112" s="143">
        <v>1</v>
      </c>
      <c r="AB112" s="9">
        <f t="shared" si="19"/>
        <v>0.36231884057971014</v>
      </c>
      <c r="AC112" s="11"/>
      <c r="AD112" s="143"/>
      <c r="AE112" s="9">
        <f t="array" ref="AE112">IFERROR(AD112/$G112*100,0)</f>
        <v>0</v>
      </c>
      <c r="AF112" s="143"/>
      <c r="AG112" s="9">
        <f t="shared" si="15"/>
        <v>0</v>
      </c>
      <c r="AH112" s="8" t="str">
        <f t="array" ref="AH112">IF(AG112&gt;5,"Perlu Sensus",IF(AND(AG112&gt;=0,AD112&gt;0),"Tetap Deteksi","Belum Deteksi"))</f>
        <v>Belum Deteksi</v>
      </c>
      <c r="AI112" s="143"/>
      <c r="AJ112" s="9">
        <f t="shared" si="20"/>
        <v>0</v>
      </c>
      <c r="AK112" s="11"/>
      <c r="AL112" s="143"/>
      <c r="AM112" s="143"/>
      <c r="AN112" s="9">
        <f t="shared" si="16"/>
        <v>0</v>
      </c>
      <c r="AO112" s="8" t="str">
        <f t="array" ref="AO112">IF(AN112&gt;5,"Perlu Sensus",IF(AND(AN112&gt;=0,AL112&gt;0),"Tetap Deteksi","Belum Deteksi"))</f>
        <v>Belum Deteksi</v>
      </c>
      <c r="AP112" s="143"/>
      <c r="AQ112" s="9">
        <f t="shared" si="21"/>
        <v>0</v>
      </c>
    </row>
    <row r="113" spans="1:43" outlineLevel="1" x14ac:dyDescent="0.15">
      <c r="A113" s="8" t="s">
        <v>1914</v>
      </c>
      <c r="B113" s="8"/>
      <c r="C113" s="8" t="s">
        <v>173</v>
      </c>
      <c r="D113" s="186" t="s">
        <v>1435</v>
      </c>
      <c r="E113" s="9">
        <v>27.599999999999994</v>
      </c>
      <c r="F113" s="8" t="s">
        <v>1740</v>
      </c>
      <c r="G113" s="10">
        <v>3127</v>
      </c>
      <c r="H113" s="11">
        <f t="array" ref="H113">IF(OR(N113&gt;0,AC113&gt;0),MAX(N113,AC113),MAX(AK113,V113))</f>
        <v>46244</v>
      </c>
      <c r="I113" s="143">
        <f t="array" ref="I113">IF(SUM(O113,AD113)&gt;0,SUM(O113,AD113),SUM(AL113,W113))</f>
        <v>214</v>
      </c>
      <c r="J113" s="9">
        <f t="shared" si="11"/>
        <v>6.8436200831467859</v>
      </c>
      <c r="K113" s="143">
        <f t="shared" si="17"/>
        <v>3</v>
      </c>
      <c r="L113" s="9">
        <f t="shared" si="12"/>
        <v>1.4018691588785046</v>
      </c>
      <c r="M113" s="8" t="str">
        <f t="array" ref="M113">IF(L113&gt;5,"Perlu Sensus",IF(AND(L113&gt;=0,I113&gt;0),"Tetap Deteksi","Belum Deteksi"))</f>
        <v>Tetap Deteksi</v>
      </c>
      <c r="N113" s="11">
        <v>46244</v>
      </c>
      <c r="O113" s="143">
        <v>214</v>
      </c>
      <c r="P113" s="9">
        <f t="array" ref="P113">IFERROR(O113/$G113*100,0)</f>
        <v>6.8436200831467859</v>
      </c>
      <c r="Q113" s="143">
        <v>3</v>
      </c>
      <c r="R113" s="9">
        <f t="shared" si="13"/>
        <v>1.4018691588785046</v>
      </c>
      <c r="S113" s="8" t="str">
        <f t="array" ref="S113">IF(R113&gt;5,"Perlu Sensus",IF(AND(R113&gt;=0,O113&gt;0),"Tetap Deteksi","Belum Deteksi"))</f>
        <v>Tetap Deteksi</v>
      </c>
      <c r="T113" s="143">
        <v>2</v>
      </c>
      <c r="U113" s="9">
        <f t="shared" si="18"/>
        <v>0.93457943925233633</v>
      </c>
      <c r="V113" s="11">
        <v>46244</v>
      </c>
      <c r="W113" s="143">
        <v>187</v>
      </c>
      <c r="X113" s="143">
        <v>4</v>
      </c>
      <c r="Y113" s="9">
        <f t="shared" si="14"/>
        <v>2.1390374331550799</v>
      </c>
      <c r="Z113" s="8" t="str">
        <f t="array" ref="Z113">IF(Y113&gt;5,"Perlu Sensus",IF(AND(Y113&gt;=0,W113&gt;0),"Tetap Deteksi","Belum Deteksi"))</f>
        <v>Tetap Deteksi</v>
      </c>
      <c r="AA113" s="143">
        <v>2</v>
      </c>
      <c r="AB113" s="9">
        <f t="shared" si="19"/>
        <v>1.0695187165775399</v>
      </c>
      <c r="AC113" s="11"/>
      <c r="AD113" s="143"/>
      <c r="AE113" s="9">
        <f t="array" ref="AE113">IFERROR(AD113/$G113*100,0)</f>
        <v>0</v>
      </c>
      <c r="AF113" s="143"/>
      <c r="AG113" s="9">
        <f t="shared" si="15"/>
        <v>0</v>
      </c>
      <c r="AH113" s="8" t="str">
        <f t="array" ref="AH113">IF(AG113&gt;5,"Perlu Sensus",IF(AND(AG113&gt;=0,AD113&gt;0),"Tetap Deteksi","Belum Deteksi"))</f>
        <v>Belum Deteksi</v>
      </c>
      <c r="AI113" s="143"/>
      <c r="AJ113" s="9">
        <f t="shared" si="20"/>
        <v>0</v>
      </c>
      <c r="AK113" s="11"/>
      <c r="AL113" s="143"/>
      <c r="AM113" s="143"/>
      <c r="AN113" s="9">
        <f t="shared" si="16"/>
        <v>0</v>
      </c>
      <c r="AO113" s="8" t="str">
        <f t="array" ref="AO113">IF(AN113&gt;5,"Perlu Sensus",IF(AND(AN113&gt;=0,AL113&gt;0),"Tetap Deteksi","Belum Deteksi"))</f>
        <v>Belum Deteksi</v>
      </c>
      <c r="AP113" s="143"/>
      <c r="AQ113" s="9">
        <f t="shared" si="21"/>
        <v>0</v>
      </c>
    </row>
    <row r="114" spans="1:43" outlineLevel="1" x14ac:dyDescent="0.15">
      <c r="A114" s="8" t="s">
        <v>1914</v>
      </c>
      <c r="B114" s="8"/>
      <c r="C114" s="8" t="s">
        <v>173</v>
      </c>
      <c r="D114" s="186" t="s">
        <v>1097</v>
      </c>
      <c r="E114" s="9">
        <v>39.089999999999996</v>
      </c>
      <c r="F114" s="8" t="s">
        <v>1740</v>
      </c>
      <c r="G114" s="10">
        <v>4423</v>
      </c>
      <c r="H114" s="11">
        <f t="array" ref="H114">IF(OR(N114&gt;0,AC114&gt;0),MAX(N114,AC114),MAX(AK114,V114))</f>
        <v>46246</v>
      </c>
      <c r="I114" s="143">
        <f t="array" ref="I114">IF(SUM(O114,AD114)&gt;0,SUM(O114,AD114),SUM(AL114,W114))</f>
        <v>220</v>
      </c>
      <c r="J114" s="9">
        <f t="shared" si="11"/>
        <v>4.9739995478182228</v>
      </c>
      <c r="K114" s="143">
        <f t="shared" si="17"/>
        <v>3</v>
      </c>
      <c r="L114" s="9">
        <f t="shared" si="12"/>
        <v>1.3636363636363635</v>
      </c>
      <c r="M114" s="8" t="str">
        <f t="array" ref="M114">IF(L114&gt;5,"Perlu Sensus",IF(AND(L114&gt;=0,I114&gt;0),"Tetap Deteksi","Belum Deteksi"))</f>
        <v>Tetap Deteksi</v>
      </c>
      <c r="N114" s="11">
        <v>46246</v>
      </c>
      <c r="O114" s="143">
        <v>220</v>
      </c>
      <c r="P114" s="9">
        <f t="array" ref="P114">IFERROR(O114/$G114*100,0)</f>
        <v>4.9739995478182228</v>
      </c>
      <c r="Q114" s="143">
        <v>3</v>
      </c>
      <c r="R114" s="9">
        <f t="shared" si="13"/>
        <v>1.3636363636363635</v>
      </c>
      <c r="S114" s="8" t="str">
        <f t="array" ref="S114">IF(R114&gt;5,"Perlu Sensus",IF(AND(R114&gt;=0,O114&gt;0),"Tetap Deteksi","Belum Deteksi"))</f>
        <v>Tetap Deteksi</v>
      </c>
      <c r="T114" s="143">
        <v>2</v>
      </c>
      <c r="U114" s="9">
        <f t="shared" si="18"/>
        <v>0.90909090909090906</v>
      </c>
      <c r="V114" s="11">
        <v>46246</v>
      </c>
      <c r="W114" s="143">
        <v>198</v>
      </c>
      <c r="X114" s="143">
        <v>1</v>
      </c>
      <c r="Y114" s="9">
        <f t="shared" si="14"/>
        <v>0.50505050505050508</v>
      </c>
      <c r="Z114" s="8" t="str">
        <f t="array" ref="Z114">IF(Y114&gt;5,"Perlu Sensus",IF(AND(Y114&gt;=0,W114&gt;0),"Tetap Deteksi","Belum Deteksi"))</f>
        <v>Tetap Deteksi</v>
      </c>
      <c r="AA114" s="143">
        <v>1</v>
      </c>
      <c r="AB114" s="9">
        <f t="shared" si="19"/>
        <v>0.50505050505050508</v>
      </c>
      <c r="AC114" s="11"/>
      <c r="AD114" s="143"/>
      <c r="AE114" s="9">
        <f t="array" ref="AE114">IFERROR(AD114/$G114*100,0)</f>
        <v>0</v>
      </c>
      <c r="AF114" s="143"/>
      <c r="AG114" s="9">
        <f t="shared" si="15"/>
        <v>0</v>
      </c>
      <c r="AH114" s="8" t="str">
        <f t="array" ref="AH114">IF(AG114&gt;5,"Perlu Sensus",IF(AND(AG114&gt;=0,AD114&gt;0),"Tetap Deteksi","Belum Deteksi"))</f>
        <v>Belum Deteksi</v>
      </c>
      <c r="AI114" s="143"/>
      <c r="AJ114" s="9">
        <f t="shared" si="20"/>
        <v>0</v>
      </c>
      <c r="AK114" s="11"/>
      <c r="AL114" s="143"/>
      <c r="AM114" s="143"/>
      <c r="AN114" s="9">
        <f t="shared" si="16"/>
        <v>0</v>
      </c>
      <c r="AO114" s="8" t="str">
        <f t="array" ref="AO114">IF(AN114&gt;5,"Perlu Sensus",IF(AND(AN114&gt;=0,AL114&gt;0),"Tetap Deteksi","Belum Deteksi"))</f>
        <v>Belum Deteksi</v>
      </c>
      <c r="AP114" s="143"/>
      <c r="AQ114" s="9">
        <f t="shared" si="21"/>
        <v>0</v>
      </c>
    </row>
    <row r="115" spans="1:43" outlineLevel="1" x14ac:dyDescent="0.15">
      <c r="A115" s="8" t="s">
        <v>1914</v>
      </c>
      <c r="B115" s="8"/>
      <c r="C115" s="8" t="s">
        <v>216</v>
      </c>
      <c r="D115" s="186" t="s">
        <v>1431</v>
      </c>
      <c r="E115" s="9">
        <v>35.300000000000004</v>
      </c>
      <c r="F115" s="8" t="s">
        <v>1740</v>
      </c>
      <c r="G115" s="10">
        <v>4585</v>
      </c>
      <c r="H115" s="11">
        <f t="array" ref="H115">IF(OR(N115&gt;0,AC115&gt;0),MAX(N115,AC115),MAX(AK115,V115))</f>
        <v>46239</v>
      </c>
      <c r="I115" s="143">
        <f t="array" ref="I115">IF(SUM(O115,AD115)&gt;0,SUM(O115,AD115),SUM(AL115,W115))</f>
        <v>175</v>
      </c>
      <c r="J115" s="9">
        <f t="shared" si="11"/>
        <v>3.8167938931297711</v>
      </c>
      <c r="K115" s="143">
        <f t="shared" si="17"/>
        <v>2</v>
      </c>
      <c r="L115" s="9">
        <f t="shared" si="12"/>
        <v>1.1428571428571428</v>
      </c>
      <c r="M115" s="8" t="str">
        <f t="array" ref="M115">IF(L115&gt;5,"Perlu Sensus",IF(AND(L115&gt;=0,I115&gt;0),"Tetap Deteksi","Belum Deteksi"))</f>
        <v>Tetap Deteksi</v>
      </c>
      <c r="N115" s="11">
        <v>46239</v>
      </c>
      <c r="O115" s="143">
        <v>175</v>
      </c>
      <c r="P115" s="9">
        <f t="array" ref="P115">IFERROR(O115/$G115*100,0)</f>
        <v>3.8167938931297711</v>
      </c>
      <c r="Q115" s="143">
        <v>2</v>
      </c>
      <c r="R115" s="9">
        <f t="shared" si="13"/>
        <v>1.1428571428571428</v>
      </c>
      <c r="S115" s="8" t="str">
        <f t="array" ref="S115">IF(R115&gt;5,"Perlu Sensus",IF(AND(R115&gt;=0,O115&gt;0),"Tetap Deteksi","Belum Deteksi"))</f>
        <v>Tetap Deteksi</v>
      </c>
      <c r="T115" s="143">
        <v>1</v>
      </c>
      <c r="U115" s="9">
        <f t="shared" si="18"/>
        <v>0.5714285714285714</v>
      </c>
      <c r="V115" s="11">
        <v>46239</v>
      </c>
      <c r="W115" s="143">
        <v>210</v>
      </c>
      <c r="X115" s="143">
        <v>5</v>
      </c>
      <c r="Y115" s="9">
        <f t="shared" si="14"/>
        <v>2.3809523809523809</v>
      </c>
      <c r="Z115" s="8" t="str">
        <f t="array" ref="Z115">IF(Y115&gt;5,"Perlu Sensus",IF(AND(Y115&gt;=0,W115&gt;0),"Tetap Deteksi","Belum Deteksi"))</f>
        <v>Tetap Deteksi</v>
      </c>
      <c r="AA115" s="143">
        <v>1</v>
      </c>
      <c r="AB115" s="9">
        <f t="shared" si="19"/>
        <v>0.47619047619047622</v>
      </c>
      <c r="AC115" s="11"/>
      <c r="AD115" s="143"/>
      <c r="AE115" s="9">
        <f t="array" ref="AE115">IFERROR(AD115/$G115*100,0)</f>
        <v>0</v>
      </c>
      <c r="AF115" s="143"/>
      <c r="AG115" s="9">
        <f t="shared" si="15"/>
        <v>0</v>
      </c>
      <c r="AH115" s="8" t="str">
        <f t="array" ref="AH115">IF(AG115&gt;5,"Perlu Sensus",IF(AND(AG115&gt;=0,AD115&gt;0),"Tetap Deteksi","Belum Deteksi"))</f>
        <v>Belum Deteksi</v>
      </c>
      <c r="AI115" s="143"/>
      <c r="AJ115" s="9">
        <f t="shared" si="20"/>
        <v>0</v>
      </c>
      <c r="AK115" s="11"/>
      <c r="AL115" s="143"/>
      <c r="AM115" s="143"/>
      <c r="AN115" s="9">
        <f t="shared" si="16"/>
        <v>0</v>
      </c>
      <c r="AO115" s="8" t="str">
        <f t="array" ref="AO115">IF(AN115&gt;5,"Perlu Sensus",IF(AND(AN115&gt;=0,AL115&gt;0),"Tetap Deteksi","Belum Deteksi"))</f>
        <v>Belum Deteksi</v>
      </c>
      <c r="AP115" s="143"/>
      <c r="AQ115" s="9">
        <f t="shared" si="21"/>
        <v>0</v>
      </c>
    </row>
    <row r="116" spans="1:43" outlineLevel="1" x14ac:dyDescent="0.15">
      <c r="A116" s="8" t="s">
        <v>1914</v>
      </c>
      <c r="B116" s="8"/>
      <c r="C116" s="8" t="s">
        <v>216</v>
      </c>
      <c r="D116" s="186" t="s">
        <v>1443</v>
      </c>
      <c r="E116" s="9">
        <v>32.29</v>
      </c>
      <c r="F116" s="8" t="s">
        <v>1740</v>
      </c>
      <c r="G116" s="10">
        <v>4046</v>
      </c>
      <c r="H116" s="11">
        <f t="array" ref="H116">IF(OR(N116&gt;0,AC116&gt;0),MAX(N116,AC116),MAX(AK116,V116))</f>
        <v>46244</v>
      </c>
      <c r="I116" s="143">
        <f t="array" ref="I116">IF(SUM(O116,AD116)&gt;0,SUM(O116,AD116),SUM(AL116,W116))</f>
        <v>201</v>
      </c>
      <c r="J116" s="9">
        <f t="shared" si="11"/>
        <v>4.9678695007414735</v>
      </c>
      <c r="K116" s="143">
        <f t="shared" si="17"/>
        <v>2</v>
      </c>
      <c r="L116" s="9">
        <f t="shared" si="12"/>
        <v>0.99502487562189057</v>
      </c>
      <c r="M116" s="8" t="str">
        <f t="array" ref="M116">IF(L116&gt;5,"Perlu Sensus",IF(AND(L116&gt;=0,I116&gt;0),"Tetap Deteksi","Belum Deteksi"))</f>
        <v>Tetap Deteksi</v>
      </c>
      <c r="N116" s="11">
        <v>46244</v>
      </c>
      <c r="O116" s="143">
        <v>201</v>
      </c>
      <c r="P116" s="9">
        <f t="array" ref="P116">IFERROR(O116/$G116*100,0)</f>
        <v>4.9678695007414735</v>
      </c>
      <c r="Q116" s="143">
        <v>2</v>
      </c>
      <c r="R116" s="9">
        <f t="shared" si="13"/>
        <v>0.99502487562189057</v>
      </c>
      <c r="S116" s="8" t="str">
        <f t="array" ref="S116">IF(R116&gt;5,"Perlu Sensus",IF(AND(R116&gt;=0,O116&gt;0),"Tetap Deteksi","Belum Deteksi"))</f>
        <v>Tetap Deteksi</v>
      </c>
      <c r="T116" s="143">
        <v>1E-8</v>
      </c>
      <c r="U116" s="9">
        <f t="shared" si="18"/>
        <v>4.9751243781094524E-9</v>
      </c>
      <c r="V116" s="11">
        <v>46244</v>
      </c>
      <c r="W116" s="143">
        <v>188</v>
      </c>
      <c r="X116" s="143">
        <v>1</v>
      </c>
      <c r="Y116" s="9">
        <f t="shared" si="14"/>
        <v>0.53191489361702127</v>
      </c>
      <c r="Z116" s="8" t="str">
        <f t="array" ref="Z116">IF(Y116&gt;5,"Perlu Sensus",IF(AND(Y116&gt;=0,W116&gt;0),"Tetap Deteksi","Belum Deteksi"))</f>
        <v>Tetap Deteksi</v>
      </c>
      <c r="AA116" s="143">
        <v>1</v>
      </c>
      <c r="AB116" s="9">
        <f t="shared" si="19"/>
        <v>0.53191489361702127</v>
      </c>
      <c r="AC116" s="11"/>
      <c r="AD116" s="143"/>
      <c r="AE116" s="9">
        <f t="array" ref="AE116">IFERROR(AD116/$G116*100,0)</f>
        <v>0</v>
      </c>
      <c r="AF116" s="143"/>
      <c r="AG116" s="9">
        <f t="shared" si="15"/>
        <v>0</v>
      </c>
      <c r="AH116" s="8" t="str">
        <f t="array" ref="AH116">IF(AG116&gt;5,"Perlu Sensus",IF(AND(AG116&gt;=0,AD116&gt;0),"Tetap Deteksi","Belum Deteksi"))</f>
        <v>Belum Deteksi</v>
      </c>
      <c r="AI116" s="143"/>
      <c r="AJ116" s="9">
        <f t="shared" si="20"/>
        <v>0</v>
      </c>
      <c r="AK116" s="11"/>
      <c r="AL116" s="143"/>
      <c r="AM116" s="143"/>
      <c r="AN116" s="9">
        <f t="shared" si="16"/>
        <v>0</v>
      </c>
      <c r="AO116" s="8" t="str">
        <f t="array" ref="AO116">IF(AN116&gt;5,"Perlu Sensus",IF(AND(AN116&gt;=0,AL116&gt;0),"Tetap Deteksi","Belum Deteksi"))</f>
        <v>Belum Deteksi</v>
      </c>
      <c r="AP116" s="143"/>
      <c r="AQ116" s="9">
        <f t="shared" si="21"/>
        <v>0</v>
      </c>
    </row>
    <row r="117" spans="1:43" outlineLevel="1" x14ac:dyDescent="0.15">
      <c r="A117" s="8" t="s">
        <v>1914</v>
      </c>
      <c r="B117" s="8"/>
      <c r="C117" s="8" t="s">
        <v>216</v>
      </c>
      <c r="D117" s="186" t="s">
        <v>1426</v>
      </c>
      <c r="E117" s="9">
        <v>40.56</v>
      </c>
      <c r="F117" s="8" t="s">
        <v>1740</v>
      </c>
      <c r="G117" s="10">
        <v>5033</v>
      </c>
      <c r="H117" s="11">
        <f t="array" ref="H117">IF(OR(N117&gt;0,AC117&gt;0),MAX(N117,AC117),MAX(AK117,V117))</f>
        <v>46246</v>
      </c>
      <c r="I117" s="143">
        <f t="array" ref="I117">IF(SUM(O117,AD117)&gt;0,SUM(O117,AD117),SUM(AL117,W117))</f>
        <v>204</v>
      </c>
      <c r="J117" s="9">
        <f t="shared" si="11"/>
        <v>4.053248559507252</v>
      </c>
      <c r="K117" s="143">
        <f t="shared" si="17"/>
        <v>5</v>
      </c>
      <c r="L117" s="9">
        <f t="shared" si="12"/>
        <v>2.4509803921568629</v>
      </c>
      <c r="M117" s="8" t="str">
        <f t="array" ref="M117">IF(L117&gt;5,"Perlu Sensus",IF(AND(L117&gt;=0,I117&gt;0),"Tetap Deteksi","Belum Deteksi"))</f>
        <v>Tetap Deteksi</v>
      </c>
      <c r="N117" s="11">
        <v>46246</v>
      </c>
      <c r="O117" s="143">
        <v>204</v>
      </c>
      <c r="P117" s="9">
        <f t="array" ref="P117">IFERROR(O117/$G117*100,0)</f>
        <v>4.053248559507252</v>
      </c>
      <c r="Q117" s="143">
        <v>5</v>
      </c>
      <c r="R117" s="9">
        <f t="shared" si="13"/>
        <v>2.4509803921568629</v>
      </c>
      <c r="S117" s="8" t="str">
        <f t="array" ref="S117">IF(R117&gt;5,"Perlu Sensus",IF(AND(R117&gt;=0,O117&gt;0),"Tetap Deteksi","Belum Deteksi"))</f>
        <v>Tetap Deteksi</v>
      </c>
      <c r="T117" s="143">
        <v>1.0000000000000001E-9</v>
      </c>
      <c r="U117" s="9">
        <f t="shared" si="18"/>
        <v>4.9019607843137257E-10</v>
      </c>
      <c r="V117" s="11">
        <v>46237</v>
      </c>
      <c r="W117" s="143">
        <v>289</v>
      </c>
      <c r="X117" s="143">
        <v>3</v>
      </c>
      <c r="Y117" s="9">
        <f t="shared" si="14"/>
        <v>1.0380622837370241</v>
      </c>
      <c r="Z117" s="8" t="str">
        <f t="array" ref="Z117">IF(Y117&gt;5,"Perlu Sensus",IF(AND(Y117&gt;=0,W117&gt;0),"Tetap Deteksi","Belum Deteksi"))</f>
        <v>Tetap Deteksi</v>
      </c>
      <c r="AA117" s="143">
        <v>2</v>
      </c>
      <c r="AB117" s="9">
        <f t="shared" si="19"/>
        <v>0.69204152249134954</v>
      </c>
      <c r="AC117" s="11"/>
      <c r="AD117" s="143"/>
      <c r="AE117" s="9">
        <f t="array" ref="AE117">IFERROR(AD117/$G117*100,0)</f>
        <v>0</v>
      </c>
      <c r="AF117" s="143"/>
      <c r="AG117" s="9">
        <f t="shared" si="15"/>
        <v>0</v>
      </c>
      <c r="AH117" s="8" t="str">
        <f t="array" ref="AH117">IF(AG117&gt;5,"Perlu Sensus",IF(AND(AG117&gt;=0,AD117&gt;0),"Tetap Deteksi","Belum Deteksi"))</f>
        <v>Belum Deteksi</v>
      </c>
      <c r="AI117" s="143"/>
      <c r="AJ117" s="9">
        <f t="shared" si="20"/>
        <v>0</v>
      </c>
      <c r="AK117" s="11"/>
      <c r="AL117" s="143"/>
      <c r="AM117" s="143"/>
      <c r="AN117" s="9">
        <f t="shared" si="16"/>
        <v>0</v>
      </c>
      <c r="AO117" s="8" t="str">
        <f t="array" ref="AO117">IF(AN117&gt;5,"Perlu Sensus",IF(AND(AN117&gt;=0,AL117&gt;0),"Tetap Deteksi","Belum Deteksi"))</f>
        <v>Belum Deteksi</v>
      </c>
      <c r="AP117" s="143"/>
      <c r="AQ117" s="9">
        <f t="shared" si="21"/>
        <v>0</v>
      </c>
    </row>
    <row r="118" spans="1:43" outlineLevel="1" x14ac:dyDescent="0.15">
      <c r="A118" s="8" t="s">
        <v>1914</v>
      </c>
      <c r="B118" s="8"/>
      <c r="C118" s="8" t="s">
        <v>216</v>
      </c>
      <c r="D118" s="186" t="s">
        <v>1432</v>
      </c>
      <c r="E118" s="9">
        <v>36.230000000000004</v>
      </c>
      <c r="F118" s="8" t="s">
        <v>1740</v>
      </c>
      <c r="G118" s="10">
        <v>5018</v>
      </c>
      <c r="H118" s="11">
        <f t="array" ref="H118">IF(OR(N118&gt;0,AC118&gt;0),MAX(N118,AC118),MAX(AK118,V118))</f>
        <v>46239</v>
      </c>
      <c r="I118" s="143">
        <f t="array" ref="I118">IF(SUM(O118,AD118)&gt;0,SUM(O118,AD118),SUM(AL118,W118))</f>
        <v>194</v>
      </c>
      <c r="J118" s="9">
        <f t="shared" si="11"/>
        <v>3.8660821044240734</v>
      </c>
      <c r="K118" s="143">
        <f t="shared" si="17"/>
        <v>9.9999999999999995E-8</v>
      </c>
      <c r="L118" s="9">
        <f t="shared" si="12"/>
        <v>5.1546391752577318E-8</v>
      </c>
      <c r="M118" s="8" t="str">
        <f t="array" ref="M118">IF(L118&gt;5,"Perlu Sensus",IF(AND(L118&gt;=0,I118&gt;0),"Tetap Deteksi","Belum Deteksi"))</f>
        <v>Tetap Deteksi</v>
      </c>
      <c r="N118" s="11">
        <v>46239</v>
      </c>
      <c r="O118" s="143">
        <v>194</v>
      </c>
      <c r="P118" s="9">
        <f t="array" ref="P118">IFERROR(O118/$G118*100,0)</f>
        <v>3.8660821044240734</v>
      </c>
      <c r="Q118" s="143">
        <v>9.9999999999999995E-8</v>
      </c>
      <c r="R118" s="9">
        <f t="shared" si="13"/>
        <v>5.1546391752577318E-8</v>
      </c>
      <c r="S118" s="8" t="str">
        <f t="array" ref="S118">IF(R118&gt;5,"Perlu Sensus",IF(AND(R118&gt;=0,O118&gt;0),"Tetap Deteksi","Belum Deteksi"))</f>
        <v>Tetap Deteksi</v>
      </c>
      <c r="T118" s="143">
        <v>9.9999999999999995E-8</v>
      </c>
      <c r="U118" s="9">
        <f t="shared" si="18"/>
        <v>5.1546391752577318E-8</v>
      </c>
      <c r="V118" s="11">
        <v>46239</v>
      </c>
      <c r="W118" s="143">
        <v>234</v>
      </c>
      <c r="X118" s="143">
        <v>4</v>
      </c>
      <c r="Y118" s="9">
        <f t="shared" si="14"/>
        <v>1.7094017094017095</v>
      </c>
      <c r="Z118" s="8" t="str">
        <f t="array" ref="Z118">IF(Y118&gt;5,"Perlu Sensus",IF(AND(Y118&gt;=0,W118&gt;0),"Tetap Deteksi","Belum Deteksi"))</f>
        <v>Tetap Deteksi</v>
      </c>
      <c r="AA118" s="143">
        <v>5</v>
      </c>
      <c r="AB118" s="9">
        <f t="shared" si="19"/>
        <v>2.1367521367521367</v>
      </c>
      <c r="AC118" s="11"/>
      <c r="AD118" s="143"/>
      <c r="AE118" s="9">
        <f t="array" ref="AE118">IFERROR(AD118/$G118*100,0)</f>
        <v>0</v>
      </c>
      <c r="AF118" s="143"/>
      <c r="AG118" s="9">
        <f t="shared" si="15"/>
        <v>0</v>
      </c>
      <c r="AH118" s="8" t="str">
        <f t="array" ref="AH118">IF(AG118&gt;5,"Perlu Sensus",IF(AND(AG118&gt;=0,AD118&gt;0),"Tetap Deteksi","Belum Deteksi"))</f>
        <v>Belum Deteksi</v>
      </c>
      <c r="AI118" s="143"/>
      <c r="AJ118" s="9">
        <f t="shared" si="20"/>
        <v>0</v>
      </c>
      <c r="AK118" s="11"/>
      <c r="AL118" s="143"/>
      <c r="AM118" s="143"/>
      <c r="AN118" s="9">
        <f t="shared" si="16"/>
        <v>0</v>
      </c>
      <c r="AO118" s="8" t="str">
        <f t="array" ref="AO118">IF(AN118&gt;5,"Perlu Sensus",IF(AND(AN118&gt;=0,AL118&gt;0),"Tetap Deteksi","Belum Deteksi"))</f>
        <v>Belum Deteksi</v>
      </c>
      <c r="AP118" s="143"/>
      <c r="AQ118" s="9">
        <f t="shared" si="21"/>
        <v>0</v>
      </c>
    </row>
    <row r="119" spans="1:43" outlineLevel="1" x14ac:dyDescent="0.15">
      <c r="A119" s="8" t="s">
        <v>1914</v>
      </c>
      <c r="B119" s="8"/>
      <c r="C119" s="8" t="s">
        <v>216</v>
      </c>
      <c r="D119" s="186" t="s">
        <v>1441</v>
      </c>
      <c r="E119" s="9">
        <v>40.49</v>
      </c>
      <c r="F119" s="8" t="s">
        <v>1740</v>
      </c>
      <c r="G119" s="10">
        <v>5470</v>
      </c>
      <c r="H119" s="11">
        <f t="array" ref="H119">IF(OR(N119&gt;0,AC119&gt;0),MAX(N119,AC119),MAX(AK119,V119))</f>
        <v>46240</v>
      </c>
      <c r="I119" s="143">
        <f t="array" ref="I119">IF(SUM(O119,AD119)&gt;0,SUM(O119,AD119),SUM(AL119,W119))</f>
        <v>142</v>
      </c>
      <c r="J119" s="9">
        <f t="shared" si="11"/>
        <v>2.5959780621572213</v>
      </c>
      <c r="K119" s="143">
        <f t="shared" si="17"/>
        <v>9.9999999999999995E-8</v>
      </c>
      <c r="L119" s="9">
        <f t="shared" si="12"/>
        <v>7.0422535211267608E-8</v>
      </c>
      <c r="M119" s="8" t="str">
        <f t="array" ref="M119">IF(L119&gt;5,"Perlu Sensus",IF(AND(L119&gt;=0,I119&gt;0),"Tetap Deteksi","Belum Deteksi"))</f>
        <v>Tetap Deteksi</v>
      </c>
      <c r="N119" s="11">
        <v>46240</v>
      </c>
      <c r="O119" s="143">
        <v>142</v>
      </c>
      <c r="P119" s="9">
        <f t="array" ref="P119">IFERROR(O119/$G119*100,0)</f>
        <v>2.5959780621572213</v>
      </c>
      <c r="Q119" s="143">
        <v>9.9999999999999995E-8</v>
      </c>
      <c r="R119" s="9">
        <f t="shared" si="13"/>
        <v>7.0422535211267608E-8</v>
      </c>
      <c r="S119" s="8" t="str">
        <f t="array" ref="S119">IF(R119&gt;5,"Perlu Sensus",IF(AND(R119&gt;=0,O119&gt;0),"Tetap Deteksi","Belum Deteksi"))</f>
        <v>Tetap Deteksi</v>
      </c>
      <c r="T119" s="143">
        <v>1</v>
      </c>
      <c r="U119" s="9">
        <f t="shared" si="18"/>
        <v>0.70422535211267612</v>
      </c>
      <c r="V119" s="11">
        <v>46249</v>
      </c>
      <c r="W119" s="143">
        <v>215</v>
      </c>
      <c r="X119" s="143">
        <v>3</v>
      </c>
      <c r="Y119" s="9">
        <f t="shared" si="14"/>
        <v>1.3953488372093024</v>
      </c>
      <c r="Z119" s="8" t="str">
        <f t="array" ref="Z119">IF(Y119&gt;5,"Perlu Sensus",IF(AND(Y119&gt;=0,W119&gt;0),"Tetap Deteksi","Belum Deteksi"))</f>
        <v>Tetap Deteksi</v>
      </c>
      <c r="AA119" s="143">
        <v>2</v>
      </c>
      <c r="AB119" s="9">
        <f t="shared" si="19"/>
        <v>0.93023255813953487</v>
      </c>
      <c r="AC119" s="11"/>
      <c r="AD119" s="143"/>
      <c r="AE119" s="9">
        <f t="array" ref="AE119">IFERROR(AD119/$G119*100,0)</f>
        <v>0</v>
      </c>
      <c r="AF119" s="143"/>
      <c r="AG119" s="9">
        <f t="shared" si="15"/>
        <v>0</v>
      </c>
      <c r="AH119" s="8" t="str">
        <f t="array" ref="AH119">IF(AG119&gt;5,"Perlu Sensus",IF(AND(AG119&gt;=0,AD119&gt;0),"Tetap Deteksi","Belum Deteksi"))</f>
        <v>Belum Deteksi</v>
      </c>
      <c r="AI119" s="143"/>
      <c r="AJ119" s="9">
        <f t="shared" si="20"/>
        <v>0</v>
      </c>
      <c r="AK119" s="11"/>
      <c r="AL119" s="143"/>
      <c r="AM119" s="143"/>
      <c r="AN119" s="9">
        <f t="shared" si="16"/>
        <v>0</v>
      </c>
      <c r="AO119" s="8" t="str">
        <f t="array" ref="AO119">IF(AN119&gt;5,"Perlu Sensus",IF(AND(AN119&gt;=0,AL119&gt;0),"Tetap Deteksi","Belum Deteksi"))</f>
        <v>Belum Deteksi</v>
      </c>
      <c r="AP119" s="143"/>
      <c r="AQ119" s="9">
        <f t="shared" si="21"/>
        <v>0</v>
      </c>
    </row>
    <row r="120" spans="1:43" outlineLevel="1" x14ac:dyDescent="0.15">
      <c r="A120" s="8" t="s">
        <v>1914</v>
      </c>
      <c r="B120" s="8"/>
      <c r="C120" s="8" t="s">
        <v>216</v>
      </c>
      <c r="D120" s="186" t="s">
        <v>1442</v>
      </c>
      <c r="E120" s="9">
        <v>25.980000000000004</v>
      </c>
      <c r="F120" s="8" t="s">
        <v>1740</v>
      </c>
      <c r="G120" s="10">
        <v>2967</v>
      </c>
      <c r="H120" s="11">
        <f t="array" ref="H120">IF(OR(N120&gt;0,AC120&gt;0),MAX(N120,AC120),MAX(AK120,V120))</f>
        <v>46244</v>
      </c>
      <c r="I120" s="143">
        <f t="array" ref="I120">IF(SUM(O120,AD120)&gt;0,SUM(O120,AD120),SUM(AL120,W120))</f>
        <v>183</v>
      </c>
      <c r="J120" s="9">
        <f t="shared" si="11"/>
        <v>6.1678463094034379</v>
      </c>
      <c r="K120" s="143">
        <f t="shared" si="17"/>
        <v>3</v>
      </c>
      <c r="L120" s="9">
        <f t="shared" si="12"/>
        <v>1.639344262295082</v>
      </c>
      <c r="M120" s="8" t="str">
        <f t="array" ref="M120">IF(L120&gt;5,"Perlu Sensus",IF(AND(L120&gt;=0,I120&gt;0),"Tetap Deteksi","Belum Deteksi"))</f>
        <v>Tetap Deteksi</v>
      </c>
      <c r="N120" s="11">
        <v>46244</v>
      </c>
      <c r="O120" s="143">
        <v>183</v>
      </c>
      <c r="P120" s="9">
        <f t="array" ref="P120">IFERROR(O120/$G120*100,0)</f>
        <v>6.1678463094034379</v>
      </c>
      <c r="Q120" s="143">
        <v>3</v>
      </c>
      <c r="R120" s="9">
        <f t="shared" si="13"/>
        <v>1.639344262295082</v>
      </c>
      <c r="S120" s="8" t="str">
        <f t="array" ref="S120">IF(R120&gt;5,"Perlu Sensus",IF(AND(R120&gt;=0,O120&gt;0),"Tetap Deteksi","Belum Deteksi"))</f>
        <v>Tetap Deteksi</v>
      </c>
      <c r="T120" s="143">
        <v>2</v>
      </c>
      <c r="U120" s="9">
        <f t="shared" si="18"/>
        <v>1.0928961748633881</v>
      </c>
      <c r="V120" s="11">
        <v>46249</v>
      </c>
      <c r="W120" s="143">
        <v>187</v>
      </c>
      <c r="X120" s="143">
        <v>2</v>
      </c>
      <c r="Y120" s="9">
        <f t="shared" si="14"/>
        <v>1.0695187165775399</v>
      </c>
      <c r="Z120" s="8" t="str">
        <f t="array" ref="Z120">IF(Y120&gt;5,"Perlu Sensus",IF(AND(Y120&gt;=0,W120&gt;0),"Tetap Deteksi","Belum Deteksi"))</f>
        <v>Tetap Deteksi</v>
      </c>
      <c r="AA120" s="143">
        <v>1</v>
      </c>
      <c r="AB120" s="9">
        <f t="shared" si="19"/>
        <v>0.53475935828876997</v>
      </c>
      <c r="AC120" s="11"/>
      <c r="AD120" s="143"/>
      <c r="AE120" s="9">
        <f t="array" ref="AE120">IFERROR(AD120/$G120*100,0)</f>
        <v>0</v>
      </c>
      <c r="AF120" s="143"/>
      <c r="AG120" s="9">
        <f t="shared" si="15"/>
        <v>0</v>
      </c>
      <c r="AH120" s="8" t="str">
        <f t="array" ref="AH120">IF(AG120&gt;5,"Perlu Sensus",IF(AND(AG120&gt;=0,AD120&gt;0),"Tetap Deteksi","Belum Deteksi"))</f>
        <v>Belum Deteksi</v>
      </c>
      <c r="AI120" s="143"/>
      <c r="AJ120" s="9">
        <f t="shared" si="20"/>
        <v>0</v>
      </c>
      <c r="AK120" s="11"/>
      <c r="AL120" s="143"/>
      <c r="AM120" s="143"/>
      <c r="AN120" s="9">
        <f t="shared" si="16"/>
        <v>0</v>
      </c>
      <c r="AO120" s="8" t="str">
        <f t="array" ref="AO120">IF(AN120&gt;5,"Perlu Sensus",IF(AND(AN120&gt;=0,AL120&gt;0),"Tetap Deteksi","Belum Deteksi"))</f>
        <v>Belum Deteksi</v>
      </c>
      <c r="AP120" s="143"/>
      <c r="AQ120" s="9">
        <f t="shared" si="21"/>
        <v>0</v>
      </c>
    </row>
    <row r="121" spans="1:43" outlineLevel="1" x14ac:dyDescent="0.15">
      <c r="A121" s="8" t="s">
        <v>1914</v>
      </c>
      <c r="B121" s="8"/>
      <c r="C121" s="8" t="s">
        <v>216</v>
      </c>
      <c r="D121" s="186" t="s">
        <v>1424</v>
      </c>
      <c r="E121" s="9">
        <v>34.61</v>
      </c>
      <c r="F121" s="8" t="s">
        <v>1740</v>
      </c>
      <c r="G121" s="10">
        <v>4644</v>
      </c>
      <c r="H121" s="11">
        <f t="array" ref="H121">IF(OR(N121&gt;0,AC121&gt;0),MAX(N121,AC121),MAX(AK121,V121))</f>
        <v>46246</v>
      </c>
      <c r="I121" s="143">
        <f t="array" ref="I121">IF(SUM(O121,AD121)&gt;0,SUM(O121,AD121),SUM(AL121,W121))</f>
        <v>177</v>
      </c>
      <c r="J121" s="9">
        <f t="shared" si="11"/>
        <v>3.8113695090439279</v>
      </c>
      <c r="K121" s="143">
        <f t="shared" si="17"/>
        <v>1</v>
      </c>
      <c r="L121" s="9">
        <f t="shared" si="12"/>
        <v>0.56497175141242939</v>
      </c>
      <c r="M121" s="8" t="str">
        <f t="array" ref="M121">IF(L121&gt;5,"Perlu Sensus",IF(AND(L121&gt;=0,I121&gt;0),"Tetap Deteksi","Belum Deteksi"))</f>
        <v>Tetap Deteksi</v>
      </c>
      <c r="N121" s="11">
        <v>46246</v>
      </c>
      <c r="O121" s="143">
        <v>177</v>
      </c>
      <c r="P121" s="9">
        <f t="array" ref="P121">IFERROR(O121/$G121*100,0)</f>
        <v>3.8113695090439279</v>
      </c>
      <c r="Q121" s="143">
        <v>1</v>
      </c>
      <c r="R121" s="9">
        <f t="shared" si="13"/>
        <v>0.56497175141242939</v>
      </c>
      <c r="S121" s="8" t="str">
        <f t="array" ref="S121">IF(R121&gt;5,"Perlu Sensus",IF(AND(R121&gt;=0,O121&gt;0),"Tetap Deteksi","Belum Deteksi"))</f>
        <v>Tetap Deteksi</v>
      </c>
      <c r="T121" s="143">
        <v>9.9999999999999995E-8</v>
      </c>
      <c r="U121" s="9">
        <f t="shared" si="18"/>
        <v>5.6497175141242928E-8</v>
      </c>
      <c r="V121" s="11">
        <v>46237</v>
      </c>
      <c r="W121" s="143">
        <v>220</v>
      </c>
      <c r="X121" s="143">
        <v>4</v>
      </c>
      <c r="Y121" s="9">
        <f t="shared" si="14"/>
        <v>1.8181818181818181</v>
      </c>
      <c r="Z121" s="8" t="str">
        <f t="array" ref="Z121">IF(Y121&gt;5,"Perlu Sensus",IF(AND(Y121&gt;=0,W121&gt;0),"Tetap Deteksi","Belum Deteksi"))</f>
        <v>Tetap Deteksi</v>
      </c>
      <c r="AA121" s="143">
        <v>5</v>
      </c>
      <c r="AB121" s="9">
        <f t="shared" si="19"/>
        <v>2.2727272727272729</v>
      </c>
      <c r="AC121" s="11"/>
      <c r="AD121" s="143"/>
      <c r="AE121" s="9">
        <f t="array" ref="AE121">IFERROR(AD121/$G121*100,0)</f>
        <v>0</v>
      </c>
      <c r="AF121" s="143"/>
      <c r="AG121" s="9">
        <f t="shared" si="15"/>
        <v>0</v>
      </c>
      <c r="AH121" s="8" t="str">
        <f t="array" ref="AH121">IF(AG121&gt;5,"Perlu Sensus",IF(AND(AG121&gt;=0,AD121&gt;0),"Tetap Deteksi","Belum Deteksi"))</f>
        <v>Belum Deteksi</v>
      </c>
      <c r="AI121" s="143"/>
      <c r="AJ121" s="9">
        <f t="shared" si="20"/>
        <v>0</v>
      </c>
      <c r="AK121" s="11"/>
      <c r="AL121" s="143"/>
      <c r="AM121" s="143"/>
      <c r="AN121" s="9">
        <f t="shared" si="16"/>
        <v>0</v>
      </c>
      <c r="AO121" s="8" t="str">
        <f t="array" ref="AO121">IF(AN121&gt;5,"Perlu Sensus",IF(AND(AN121&gt;=0,AL121&gt;0),"Tetap Deteksi","Belum Deteksi"))</f>
        <v>Belum Deteksi</v>
      </c>
      <c r="AP121" s="143"/>
      <c r="AQ121" s="9">
        <f t="shared" si="21"/>
        <v>0</v>
      </c>
    </row>
    <row r="122" spans="1:43" outlineLevel="1" x14ac:dyDescent="0.15">
      <c r="A122" s="8" t="s">
        <v>1914</v>
      </c>
      <c r="B122" s="8"/>
      <c r="C122" s="8" t="s">
        <v>216</v>
      </c>
      <c r="D122" s="186" t="s">
        <v>1438</v>
      </c>
      <c r="E122" s="9">
        <v>27.150000000000002</v>
      </c>
      <c r="F122" s="8" t="s">
        <v>1740</v>
      </c>
      <c r="G122" s="10">
        <v>3308</v>
      </c>
      <c r="H122" s="11">
        <f t="array" ref="H122">IF(OR(N122&gt;0,AC122&gt;0),MAX(N122,AC122),MAX(AK122,V122))</f>
        <v>46239</v>
      </c>
      <c r="I122" s="143">
        <f t="array" ref="I122">IF(SUM(O122,AD122)&gt;0,SUM(O122,AD122),SUM(AL122,W122))</f>
        <v>243</v>
      </c>
      <c r="J122" s="9">
        <f t="shared" si="11"/>
        <v>7.3458282950423213</v>
      </c>
      <c r="K122" s="143">
        <f t="shared" si="17"/>
        <v>9.9999999999999995E-8</v>
      </c>
      <c r="L122" s="9">
        <f t="shared" si="12"/>
        <v>4.1152263374485592E-8</v>
      </c>
      <c r="M122" s="8" t="str">
        <f t="array" ref="M122">IF(L122&gt;5,"Perlu Sensus",IF(AND(L122&gt;=0,I122&gt;0),"Tetap Deteksi","Belum Deteksi"))</f>
        <v>Tetap Deteksi</v>
      </c>
      <c r="N122" s="11">
        <v>46239</v>
      </c>
      <c r="O122" s="143">
        <v>243</v>
      </c>
      <c r="P122" s="9">
        <f t="array" ref="P122">IFERROR(O122/$G122*100,0)</f>
        <v>7.3458282950423213</v>
      </c>
      <c r="Q122" s="143">
        <v>9.9999999999999995E-8</v>
      </c>
      <c r="R122" s="9">
        <f t="shared" si="13"/>
        <v>4.1152263374485592E-8</v>
      </c>
      <c r="S122" s="8" t="str">
        <f t="array" ref="S122">IF(R122&gt;5,"Perlu Sensus",IF(AND(R122&gt;=0,O122&gt;0),"Tetap Deteksi","Belum Deteksi"))</f>
        <v>Tetap Deteksi</v>
      </c>
      <c r="T122" s="143">
        <v>3</v>
      </c>
      <c r="U122" s="9">
        <f t="shared" si="18"/>
        <v>1.2345679012345678</v>
      </c>
      <c r="V122" s="11">
        <v>46240</v>
      </c>
      <c r="W122" s="143">
        <v>254</v>
      </c>
      <c r="X122" s="143">
        <v>1E-8</v>
      </c>
      <c r="Y122" s="9">
        <f t="shared" si="14"/>
        <v>3.9370078740157481E-9</v>
      </c>
      <c r="Z122" s="8" t="str">
        <f t="array" ref="Z122">IF(Y122&gt;5,"Perlu Sensus",IF(AND(Y122&gt;=0,W122&gt;0),"Tetap Deteksi","Belum Deteksi"))</f>
        <v>Tetap Deteksi</v>
      </c>
      <c r="AA122" s="143">
        <v>1E-8</v>
      </c>
      <c r="AB122" s="9">
        <f t="shared" si="19"/>
        <v>3.9370078740157481E-9</v>
      </c>
      <c r="AC122" s="11"/>
      <c r="AD122" s="143"/>
      <c r="AE122" s="9">
        <f t="array" ref="AE122">IFERROR(AD122/$G122*100,0)</f>
        <v>0</v>
      </c>
      <c r="AF122" s="143"/>
      <c r="AG122" s="9">
        <f t="shared" si="15"/>
        <v>0</v>
      </c>
      <c r="AH122" s="8" t="str">
        <f t="array" ref="AH122">IF(AG122&gt;5,"Perlu Sensus",IF(AND(AG122&gt;=0,AD122&gt;0),"Tetap Deteksi","Belum Deteksi"))</f>
        <v>Belum Deteksi</v>
      </c>
      <c r="AI122" s="143"/>
      <c r="AJ122" s="9">
        <f t="shared" si="20"/>
        <v>0</v>
      </c>
      <c r="AK122" s="11"/>
      <c r="AL122" s="143"/>
      <c r="AM122" s="143"/>
      <c r="AN122" s="9">
        <f t="shared" si="16"/>
        <v>0</v>
      </c>
      <c r="AO122" s="8" t="str">
        <f t="array" ref="AO122">IF(AN122&gt;5,"Perlu Sensus",IF(AND(AN122&gt;=0,AL122&gt;0),"Tetap Deteksi","Belum Deteksi"))</f>
        <v>Belum Deteksi</v>
      </c>
      <c r="AP122" s="143"/>
      <c r="AQ122" s="9">
        <f t="shared" si="21"/>
        <v>0</v>
      </c>
    </row>
    <row r="123" spans="1:43" outlineLevel="1" x14ac:dyDescent="0.15">
      <c r="A123" s="8" t="s">
        <v>1914</v>
      </c>
      <c r="B123" s="8"/>
      <c r="C123" s="8" t="s">
        <v>216</v>
      </c>
      <c r="D123" s="186" t="s">
        <v>1439</v>
      </c>
      <c r="E123" s="9">
        <v>47.43</v>
      </c>
      <c r="F123" s="8" t="s">
        <v>1740</v>
      </c>
      <c r="G123" s="10">
        <v>5366</v>
      </c>
      <c r="H123" s="11">
        <f t="array" ref="H123">IF(OR(N123&gt;0,AC123&gt;0),MAX(N123,AC123),MAX(AK123,V123))</f>
        <v>46240</v>
      </c>
      <c r="I123" s="143">
        <f t="array" ref="I123">IF(SUM(O123,AD123)&gt;0,SUM(O123,AD123),SUM(AL123,W123))</f>
        <v>166</v>
      </c>
      <c r="J123" s="9">
        <f t="shared" si="11"/>
        <v>3.0935519940365261</v>
      </c>
      <c r="K123" s="143">
        <f t="shared" si="17"/>
        <v>1</v>
      </c>
      <c r="L123" s="9">
        <f t="shared" si="12"/>
        <v>0.60240963855421692</v>
      </c>
      <c r="M123" s="8" t="str">
        <f t="array" ref="M123">IF(L123&gt;5,"Perlu Sensus",IF(AND(L123&gt;=0,I123&gt;0),"Tetap Deteksi","Belum Deteksi"))</f>
        <v>Tetap Deteksi</v>
      </c>
      <c r="N123" s="11">
        <v>46240</v>
      </c>
      <c r="O123" s="143">
        <v>166</v>
      </c>
      <c r="P123" s="9">
        <f t="array" ref="P123">IFERROR(O123/$G123*100,0)</f>
        <v>3.0935519940365261</v>
      </c>
      <c r="Q123" s="143">
        <v>1</v>
      </c>
      <c r="R123" s="9">
        <f t="shared" si="13"/>
        <v>0.60240963855421692</v>
      </c>
      <c r="S123" s="8" t="str">
        <f t="array" ref="S123">IF(R123&gt;5,"Perlu Sensus",IF(AND(R123&gt;=0,O123&gt;0),"Tetap Deteksi","Belum Deteksi"))</f>
        <v>Tetap Deteksi</v>
      </c>
      <c r="T123" s="143">
        <v>9.9999999999999995E-8</v>
      </c>
      <c r="U123" s="9">
        <f t="shared" si="18"/>
        <v>6.0240963855421685E-8</v>
      </c>
      <c r="V123" s="11">
        <v>46240</v>
      </c>
      <c r="W123" s="143">
        <v>345</v>
      </c>
      <c r="X123" s="143">
        <v>3</v>
      </c>
      <c r="Y123" s="9">
        <f t="shared" si="14"/>
        <v>0.86956521739130432</v>
      </c>
      <c r="Z123" s="8" t="str">
        <f t="array" ref="Z123">IF(Y123&gt;5,"Perlu Sensus",IF(AND(Y123&gt;=0,W123&gt;0),"Tetap Deteksi","Belum Deteksi"))</f>
        <v>Tetap Deteksi</v>
      </c>
      <c r="AA123" s="143">
        <v>2</v>
      </c>
      <c r="AB123" s="9">
        <f t="shared" si="19"/>
        <v>0.57971014492753625</v>
      </c>
      <c r="AC123" s="11"/>
      <c r="AD123" s="143"/>
      <c r="AE123" s="9">
        <f t="array" ref="AE123">IFERROR(AD123/$G123*100,0)</f>
        <v>0</v>
      </c>
      <c r="AF123" s="143"/>
      <c r="AG123" s="9">
        <f t="shared" si="15"/>
        <v>0</v>
      </c>
      <c r="AH123" s="8" t="str">
        <f t="array" ref="AH123">IF(AG123&gt;5,"Perlu Sensus",IF(AND(AG123&gt;=0,AD123&gt;0),"Tetap Deteksi","Belum Deteksi"))</f>
        <v>Belum Deteksi</v>
      </c>
      <c r="AI123" s="143"/>
      <c r="AJ123" s="9">
        <f t="shared" si="20"/>
        <v>0</v>
      </c>
      <c r="AK123" s="11"/>
      <c r="AL123" s="143"/>
      <c r="AM123" s="143"/>
      <c r="AN123" s="9">
        <f t="shared" si="16"/>
        <v>0</v>
      </c>
      <c r="AO123" s="8" t="str">
        <f t="array" ref="AO123">IF(AN123&gt;5,"Perlu Sensus",IF(AND(AN123&gt;=0,AL123&gt;0),"Tetap Deteksi","Belum Deteksi"))</f>
        <v>Belum Deteksi</v>
      </c>
      <c r="AP123" s="143"/>
      <c r="AQ123" s="9">
        <f t="shared" si="21"/>
        <v>0</v>
      </c>
    </row>
    <row r="124" spans="1:43" outlineLevel="1" x14ac:dyDescent="0.15">
      <c r="A124" s="8" t="s">
        <v>1914</v>
      </c>
      <c r="B124" s="8"/>
      <c r="C124" s="8" t="s">
        <v>216</v>
      </c>
      <c r="D124" s="186" t="s">
        <v>1416</v>
      </c>
      <c r="E124" s="9">
        <v>52.83</v>
      </c>
      <c r="F124" s="8" t="s">
        <v>1740</v>
      </c>
      <c r="G124" s="10">
        <v>7725.0000000000009</v>
      </c>
      <c r="H124" s="11">
        <f t="array" ref="H124">IF(OR(N124&gt;0,AC124&gt;0),MAX(N124,AC124),MAX(AK124,V124))</f>
        <v>46249</v>
      </c>
      <c r="I124" s="143">
        <f t="array" ref="I124">IF(SUM(O124,AD124)&gt;0,SUM(O124,AD124),SUM(AL124,W124))</f>
        <v>165</v>
      </c>
      <c r="J124" s="9">
        <f t="shared" si="11"/>
        <v>2.1359223300970869</v>
      </c>
      <c r="K124" s="143">
        <f t="shared" si="17"/>
        <v>5</v>
      </c>
      <c r="L124" s="9">
        <f t="shared" si="12"/>
        <v>3.0303030303030303</v>
      </c>
      <c r="M124" s="8" t="str">
        <f t="array" ref="M124">IF(L124&gt;5,"Perlu Sensus",IF(AND(L124&gt;=0,I124&gt;0),"Tetap Deteksi","Belum Deteksi"))</f>
        <v>Tetap Deteksi</v>
      </c>
      <c r="N124" s="11">
        <v>46249</v>
      </c>
      <c r="O124" s="143">
        <v>165</v>
      </c>
      <c r="P124" s="9">
        <f t="array" ref="P124">IFERROR(O124/$G124*100,0)</f>
        <v>2.1359223300970869</v>
      </c>
      <c r="Q124" s="143">
        <v>5</v>
      </c>
      <c r="R124" s="9">
        <f t="shared" si="13"/>
        <v>3.0303030303030303</v>
      </c>
      <c r="S124" s="8" t="str">
        <f t="array" ref="S124">IF(R124&gt;5,"Perlu Sensus",IF(AND(R124&gt;=0,O124&gt;0),"Tetap Deteksi","Belum Deteksi"))</f>
        <v>Tetap Deteksi</v>
      </c>
      <c r="T124" s="143">
        <v>1</v>
      </c>
      <c r="U124" s="9">
        <f t="shared" si="18"/>
        <v>0.60606060606060608</v>
      </c>
      <c r="V124" s="11">
        <v>46235</v>
      </c>
      <c r="W124" s="143">
        <v>192</v>
      </c>
      <c r="X124" s="143">
        <v>1.0000000000000001E-9</v>
      </c>
      <c r="Y124" s="9">
        <f t="shared" si="14"/>
        <v>5.2083333333333334E-10</v>
      </c>
      <c r="Z124" s="8" t="str">
        <f t="array" ref="Z124">IF(Y124&gt;5,"Perlu Sensus",IF(AND(Y124&gt;=0,W124&gt;0),"Tetap Deteksi","Belum Deteksi"))</f>
        <v>Tetap Deteksi</v>
      </c>
      <c r="AA124" s="143">
        <v>3</v>
      </c>
      <c r="AB124" s="9">
        <f t="shared" si="19"/>
        <v>1.5625</v>
      </c>
      <c r="AC124" s="11"/>
      <c r="AD124" s="143"/>
      <c r="AE124" s="9">
        <f t="array" ref="AE124">IFERROR(AD124/$G124*100,0)</f>
        <v>0</v>
      </c>
      <c r="AF124" s="143"/>
      <c r="AG124" s="9">
        <f t="shared" si="15"/>
        <v>0</v>
      </c>
      <c r="AH124" s="8" t="str">
        <f t="array" ref="AH124">IF(AG124&gt;5,"Perlu Sensus",IF(AND(AG124&gt;=0,AD124&gt;0),"Tetap Deteksi","Belum Deteksi"))</f>
        <v>Belum Deteksi</v>
      </c>
      <c r="AI124" s="143"/>
      <c r="AJ124" s="9">
        <f t="shared" si="20"/>
        <v>0</v>
      </c>
      <c r="AK124" s="11"/>
      <c r="AL124" s="143"/>
      <c r="AM124" s="143"/>
      <c r="AN124" s="9">
        <f t="shared" si="16"/>
        <v>0</v>
      </c>
      <c r="AO124" s="8" t="str">
        <f t="array" ref="AO124">IF(AN124&gt;5,"Perlu Sensus",IF(AND(AN124&gt;=0,AL124&gt;0),"Tetap Deteksi","Belum Deteksi"))</f>
        <v>Belum Deteksi</v>
      </c>
      <c r="AP124" s="143"/>
      <c r="AQ124" s="9">
        <f t="shared" si="21"/>
        <v>0</v>
      </c>
    </row>
    <row r="125" spans="1:43" outlineLevel="1" x14ac:dyDescent="0.15">
      <c r="A125" s="8" t="s">
        <v>1914</v>
      </c>
      <c r="B125" s="8"/>
      <c r="C125" s="8" t="s">
        <v>216</v>
      </c>
      <c r="D125" s="186" t="s">
        <v>1425</v>
      </c>
      <c r="E125" s="9">
        <v>31.97</v>
      </c>
      <c r="F125" s="8" t="s">
        <v>1740</v>
      </c>
      <c r="G125" s="10">
        <v>3888</v>
      </c>
      <c r="H125" s="11">
        <f t="array" ref="H125">IF(OR(N125&gt;0,AC125&gt;0),MAX(N125,AC125),MAX(AK125,V125))</f>
        <v>46246</v>
      </c>
      <c r="I125" s="143">
        <f t="array" ref="I125">IF(SUM(O125,AD125)&gt;0,SUM(O125,AD125),SUM(AL125,W125))</f>
        <v>195</v>
      </c>
      <c r="J125" s="9">
        <f t="shared" si="11"/>
        <v>5.0154320987654319</v>
      </c>
      <c r="K125" s="143">
        <f t="shared" si="17"/>
        <v>1.0000000000000001E-9</v>
      </c>
      <c r="L125" s="9">
        <f t="shared" si="12"/>
        <v>5.1282051282051279E-10</v>
      </c>
      <c r="M125" s="8" t="str">
        <f t="array" ref="M125">IF(L125&gt;5,"Perlu Sensus",IF(AND(L125&gt;=0,I125&gt;0),"Tetap Deteksi","Belum Deteksi"))</f>
        <v>Tetap Deteksi</v>
      </c>
      <c r="N125" s="11">
        <v>46246</v>
      </c>
      <c r="O125" s="143">
        <v>195</v>
      </c>
      <c r="P125" s="9">
        <f t="array" ref="P125">IFERROR(O125/$G125*100,0)</f>
        <v>5.0154320987654319</v>
      </c>
      <c r="Q125" s="143">
        <v>1.0000000000000001E-9</v>
      </c>
      <c r="R125" s="9">
        <f t="shared" si="13"/>
        <v>5.1282051282051279E-10</v>
      </c>
      <c r="S125" s="8" t="str">
        <f t="array" ref="S125">IF(R125&gt;5,"Perlu Sensus",IF(AND(R125&gt;=0,O125&gt;0),"Tetap Deteksi","Belum Deteksi"))</f>
        <v>Tetap Deteksi</v>
      </c>
      <c r="T125" s="143">
        <v>1</v>
      </c>
      <c r="U125" s="9">
        <f t="shared" si="18"/>
        <v>0.51282051282051277</v>
      </c>
      <c r="V125" s="11">
        <v>46237</v>
      </c>
      <c r="W125" s="143">
        <v>256</v>
      </c>
      <c r="X125" s="143">
        <v>1</v>
      </c>
      <c r="Y125" s="9">
        <f t="shared" si="14"/>
        <v>0.390625</v>
      </c>
      <c r="Z125" s="8" t="str">
        <f t="array" ref="Z125">IF(Y125&gt;5,"Perlu Sensus",IF(AND(Y125&gt;=0,W125&gt;0),"Tetap Deteksi","Belum Deteksi"))</f>
        <v>Tetap Deteksi</v>
      </c>
      <c r="AA125" s="143">
        <v>1</v>
      </c>
      <c r="AB125" s="9">
        <f t="shared" si="19"/>
        <v>0.390625</v>
      </c>
      <c r="AC125" s="11"/>
      <c r="AD125" s="143"/>
      <c r="AE125" s="9">
        <f t="array" ref="AE125">IFERROR(AD125/$G125*100,0)</f>
        <v>0</v>
      </c>
      <c r="AF125" s="143"/>
      <c r="AG125" s="9">
        <f t="shared" si="15"/>
        <v>0</v>
      </c>
      <c r="AH125" s="8" t="str">
        <f t="array" ref="AH125">IF(AG125&gt;5,"Perlu Sensus",IF(AND(AG125&gt;=0,AD125&gt;0),"Tetap Deteksi","Belum Deteksi"))</f>
        <v>Belum Deteksi</v>
      </c>
      <c r="AI125" s="143"/>
      <c r="AJ125" s="9">
        <f t="shared" si="20"/>
        <v>0</v>
      </c>
      <c r="AK125" s="11"/>
      <c r="AL125" s="143"/>
      <c r="AM125" s="143"/>
      <c r="AN125" s="9">
        <f t="shared" si="16"/>
        <v>0</v>
      </c>
      <c r="AO125" s="8" t="str">
        <f t="array" ref="AO125">IF(AN125&gt;5,"Perlu Sensus",IF(AND(AN125&gt;=0,AL125&gt;0),"Tetap Deteksi","Belum Deteksi"))</f>
        <v>Belum Deteksi</v>
      </c>
      <c r="AP125" s="143"/>
      <c r="AQ125" s="9">
        <f t="shared" si="21"/>
        <v>0</v>
      </c>
    </row>
    <row r="126" spans="1:43" outlineLevel="1" x14ac:dyDescent="0.15">
      <c r="A126" s="8" t="s">
        <v>1914</v>
      </c>
      <c r="B126" s="8"/>
      <c r="C126" s="8" t="s">
        <v>216</v>
      </c>
      <c r="D126" s="186" t="s">
        <v>1849</v>
      </c>
      <c r="E126" s="9">
        <v>23.670000000000005</v>
      </c>
      <c r="F126" s="8" t="s">
        <v>1740</v>
      </c>
      <c r="G126" s="10">
        <v>2996</v>
      </c>
      <c r="H126" s="11">
        <f t="array" ref="H126">IF(OR(N126&gt;0,AC126&gt;0),MAX(N126,AC126),MAX(AK126,V126))</f>
        <v>46238</v>
      </c>
      <c r="I126" s="143">
        <f t="array" ref="I126">IF(SUM(O126,AD126)&gt;0,SUM(O126,AD126),SUM(AL126,W126))</f>
        <v>216</v>
      </c>
      <c r="J126" s="9">
        <f t="shared" si="11"/>
        <v>7.2096128170894529</v>
      </c>
      <c r="K126" s="143">
        <f t="shared" si="17"/>
        <v>5</v>
      </c>
      <c r="L126" s="9">
        <f t="shared" si="12"/>
        <v>2.3148148148148149</v>
      </c>
      <c r="M126" s="8" t="str">
        <f t="array" ref="M126">IF(L126&gt;5,"Perlu Sensus",IF(AND(L126&gt;=0,I126&gt;0),"Tetap Deteksi","Belum Deteksi"))</f>
        <v>Tetap Deteksi</v>
      </c>
      <c r="N126" s="11">
        <v>46238</v>
      </c>
      <c r="O126" s="143">
        <v>216</v>
      </c>
      <c r="P126" s="9">
        <f t="array" ref="P126">IFERROR(O126/$G126*100,0)</f>
        <v>7.2096128170894529</v>
      </c>
      <c r="Q126" s="143">
        <v>5</v>
      </c>
      <c r="R126" s="9">
        <f t="shared" si="13"/>
        <v>2.3148148148148149</v>
      </c>
      <c r="S126" s="8" t="str">
        <f t="array" ref="S126">IF(R126&gt;5,"Perlu Sensus",IF(AND(R126&gt;=0,O126&gt;0),"Tetap Deteksi","Belum Deteksi"))</f>
        <v>Tetap Deteksi</v>
      </c>
      <c r="T126" s="143">
        <v>1</v>
      </c>
      <c r="U126" s="9">
        <f t="shared" si="18"/>
        <v>0.46296296296296291</v>
      </c>
      <c r="V126" s="11">
        <v>46238</v>
      </c>
      <c r="W126" s="143">
        <v>254</v>
      </c>
      <c r="X126" s="143">
        <v>1</v>
      </c>
      <c r="Y126" s="9">
        <f t="shared" si="14"/>
        <v>0.39370078740157477</v>
      </c>
      <c r="Z126" s="8" t="str">
        <f t="array" ref="Z126">IF(Y126&gt;5,"Perlu Sensus",IF(AND(Y126&gt;=0,W126&gt;0),"Tetap Deteksi","Belum Deteksi"))</f>
        <v>Tetap Deteksi</v>
      </c>
      <c r="AA126" s="143">
        <v>3</v>
      </c>
      <c r="AB126" s="9">
        <f t="shared" si="19"/>
        <v>1.1811023622047243</v>
      </c>
      <c r="AC126" s="11"/>
      <c r="AD126" s="143"/>
      <c r="AE126" s="9">
        <f t="array" ref="AE126">IFERROR(AD126/$G126*100,0)</f>
        <v>0</v>
      </c>
      <c r="AF126" s="143"/>
      <c r="AG126" s="9">
        <f t="shared" si="15"/>
        <v>0</v>
      </c>
      <c r="AH126" s="8" t="str">
        <f t="array" ref="AH126">IF(AG126&gt;5,"Perlu Sensus",IF(AND(AG126&gt;=0,AD126&gt;0),"Tetap Deteksi","Belum Deteksi"))</f>
        <v>Belum Deteksi</v>
      </c>
      <c r="AI126" s="143"/>
      <c r="AJ126" s="9">
        <f t="shared" si="20"/>
        <v>0</v>
      </c>
      <c r="AK126" s="11"/>
      <c r="AL126" s="143"/>
      <c r="AM126" s="143"/>
      <c r="AN126" s="9">
        <f t="shared" si="16"/>
        <v>0</v>
      </c>
      <c r="AO126" s="8" t="str">
        <f t="array" ref="AO126">IF(AN126&gt;5,"Perlu Sensus",IF(AND(AN126&gt;=0,AL126&gt;0),"Tetap Deteksi","Belum Deteksi"))</f>
        <v>Belum Deteksi</v>
      </c>
      <c r="AP126" s="143"/>
      <c r="AQ126" s="9">
        <f t="shared" si="21"/>
        <v>0</v>
      </c>
    </row>
    <row r="127" spans="1:43" outlineLevel="1" x14ac:dyDescent="0.15">
      <c r="A127" s="8" t="s">
        <v>1914</v>
      </c>
      <c r="B127" s="8"/>
      <c r="C127" s="8" t="s">
        <v>216</v>
      </c>
      <c r="D127" s="186" t="s">
        <v>1834</v>
      </c>
      <c r="E127" s="9">
        <v>41.800000000000004</v>
      </c>
      <c r="F127" s="8" t="s">
        <v>1740</v>
      </c>
      <c r="G127" s="10">
        <v>5611</v>
      </c>
      <c r="H127" s="11">
        <f t="array" ref="H127">IF(OR(N127&gt;0,AC127&gt;0),MAX(N127,AC127),MAX(AK127,V127))</f>
        <v>46238</v>
      </c>
      <c r="I127" s="143">
        <f t="array" ref="I127">IF(SUM(O127,AD127)&gt;0,SUM(O127,AD127),SUM(AL127,W127))</f>
        <v>217</v>
      </c>
      <c r="J127" s="9">
        <f t="shared" si="11"/>
        <v>3.867403314917127</v>
      </c>
      <c r="K127" s="143">
        <f t="shared" si="17"/>
        <v>1E-8</v>
      </c>
      <c r="L127" s="9">
        <f t="shared" si="12"/>
        <v>4.6082949308755763E-9</v>
      </c>
      <c r="M127" s="8" t="str">
        <f t="array" ref="M127">IF(L127&gt;5,"Perlu Sensus",IF(AND(L127&gt;=0,I127&gt;0),"Tetap Deteksi","Belum Deteksi"))</f>
        <v>Tetap Deteksi</v>
      </c>
      <c r="N127" s="11">
        <v>46238</v>
      </c>
      <c r="O127" s="143">
        <v>217</v>
      </c>
      <c r="P127" s="9">
        <f t="array" ref="P127">IFERROR(O127/$G127*100,0)</f>
        <v>3.867403314917127</v>
      </c>
      <c r="Q127" s="143">
        <v>1E-8</v>
      </c>
      <c r="R127" s="9">
        <f t="shared" si="13"/>
        <v>4.6082949308755763E-9</v>
      </c>
      <c r="S127" s="8" t="str">
        <f t="array" ref="S127">IF(R127&gt;5,"Perlu Sensus",IF(AND(R127&gt;=0,O127&gt;0),"Tetap Deteksi","Belum Deteksi"))</f>
        <v>Tetap Deteksi</v>
      </c>
      <c r="T127" s="143">
        <v>1E-8</v>
      </c>
      <c r="U127" s="9">
        <f t="shared" si="18"/>
        <v>4.6082949308755763E-9</v>
      </c>
      <c r="V127" s="11">
        <v>46238</v>
      </c>
      <c r="W127" s="143">
        <v>230</v>
      </c>
      <c r="X127" s="143">
        <v>4</v>
      </c>
      <c r="Y127" s="9">
        <f t="shared" si="14"/>
        <v>1.7391304347826086</v>
      </c>
      <c r="Z127" s="8" t="str">
        <f t="array" ref="Z127">IF(Y127&gt;5,"Perlu Sensus",IF(AND(Y127&gt;=0,W127&gt;0),"Tetap Deteksi","Belum Deteksi"))</f>
        <v>Tetap Deteksi</v>
      </c>
      <c r="AA127" s="143">
        <v>2</v>
      </c>
      <c r="AB127" s="9">
        <f t="shared" si="19"/>
        <v>0.86956521739130432</v>
      </c>
      <c r="AC127" s="11"/>
      <c r="AD127" s="143"/>
      <c r="AE127" s="9">
        <f t="array" ref="AE127">IFERROR(AD127/$G127*100,0)</f>
        <v>0</v>
      </c>
      <c r="AF127" s="143"/>
      <c r="AG127" s="9">
        <f t="shared" si="15"/>
        <v>0</v>
      </c>
      <c r="AH127" s="8" t="str">
        <f t="array" ref="AH127">IF(AG127&gt;5,"Perlu Sensus",IF(AND(AG127&gt;=0,AD127&gt;0),"Tetap Deteksi","Belum Deteksi"))</f>
        <v>Belum Deteksi</v>
      </c>
      <c r="AI127" s="143"/>
      <c r="AJ127" s="9">
        <f t="shared" si="20"/>
        <v>0</v>
      </c>
      <c r="AK127" s="11"/>
      <c r="AL127" s="143"/>
      <c r="AM127" s="143"/>
      <c r="AN127" s="9">
        <f t="shared" si="16"/>
        <v>0</v>
      </c>
      <c r="AO127" s="8" t="str">
        <f t="array" ref="AO127">IF(AN127&gt;5,"Perlu Sensus",IF(AND(AN127&gt;=0,AL127&gt;0),"Tetap Deteksi","Belum Deteksi"))</f>
        <v>Belum Deteksi</v>
      </c>
      <c r="AP127" s="143"/>
      <c r="AQ127" s="9">
        <f t="shared" si="21"/>
        <v>0</v>
      </c>
    </row>
    <row r="128" spans="1:43" outlineLevel="1" x14ac:dyDescent="0.15">
      <c r="A128" s="8" t="s">
        <v>1914</v>
      </c>
      <c r="B128" s="8"/>
      <c r="C128" s="8" t="s">
        <v>216</v>
      </c>
      <c r="D128" s="186" t="s">
        <v>1440</v>
      </c>
      <c r="E128" s="9">
        <v>43.24</v>
      </c>
      <c r="F128" s="8" t="s">
        <v>1740</v>
      </c>
      <c r="G128" s="10">
        <v>5005</v>
      </c>
      <c r="H128" s="11">
        <f t="array" ref="H128">IF(OR(N128&gt;0,AC128&gt;0),MAX(N128,AC128),MAX(AK128,V128))</f>
        <v>46240</v>
      </c>
      <c r="I128" s="143">
        <f t="array" ref="I128">IF(SUM(O128,AD128)&gt;0,SUM(O128,AD128),SUM(AL128,W128))</f>
        <v>192</v>
      </c>
      <c r="J128" s="9">
        <f t="shared" si="11"/>
        <v>3.8361638361638359</v>
      </c>
      <c r="K128" s="143">
        <f t="shared" si="17"/>
        <v>1.0000000000000001E-9</v>
      </c>
      <c r="L128" s="9">
        <f t="shared" si="12"/>
        <v>5.2083333333333334E-10</v>
      </c>
      <c r="M128" s="8" t="str">
        <f t="array" ref="M128">IF(L128&gt;5,"Perlu Sensus",IF(AND(L128&gt;=0,I128&gt;0),"Tetap Deteksi","Belum Deteksi"))</f>
        <v>Tetap Deteksi</v>
      </c>
      <c r="N128" s="11">
        <v>46240</v>
      </c>
      <c r="O128" s="143">
        <v>192</v>
      </c>
      <c r="P128" s="9">
        <f t="array" ref="P128">IFERROR(O128/$G128*100,0)</f>
        <v>3.8361638361638359</v>
      </c>
      <c r="Q128" s="143">
        <v>1.0000000000000001E-9</v>
      </c>
      <c r="R128" s="9">
        <f t="shared" si="13"/>
        <v>5.2083333333333334E-10</v>
      </c>
      <c r="S128" s="8" t="str">
        <f t="array" ref="S128">IF(R128&gt;5,"Perlu Sensus",IF(AND(R128&gt;=0,O128&gt;0),"Tetap Deteksi","Belum Deteksi"))</f>
        <v>Tetap Deteksi</v>
      </c>
      <c r="T128" s="143">
        <v>9.9999999999999995E-8</v>
      </c>
      <c r="U128" s="9">
        <f t="shared" si="18"/>
        <v>5.2083333333333333E-8</v>
      </c>
      <c r="V128" s="11">
        <v>46240</v>
      </c>
      <c r="W128" s="143">
        <v>231</v>
      </c>
      <c r="X128" s="143">
        <v>2</v>
      </c>
      <c r="Y128" s="9">
        <f t="shared" si="14"/>
        <v>0.86580086580086579</v>
      </c>
      <c r="Z128" s="8" t="str">
        <f t="array" ref="Z128">IF(Y128&gt;5,"Perlu Sensus",IF(AND(Y128&gt;=0,W128&gt;0),"Tetap Deteksi","Belum Deteksi"))</f>
        <v>Tetap Deteksi</v>
      </c>
      <c r="AA128" s="143">
        <v>3</v>
      </c>
      <c r="AB128" s="9">
        <f t="shared" si="19"/>
        <v>1.2987012987012987</v>
      </c>
      <c r="AC128" s="11"/>
      <c r="AD128" s="143"/>
      <c r="AE128" s="9">
        <f t="array" ref="AE128">IFERROR(AD128/$G128*100,0)</f>
        <v>0</v>
      </c>
      <c r="AF128" s="143"/>
      <c r="AG128" s="9">
        <f t="shared" si="15"/>
        <v>0</v>
      </c>
      <c r="AH128" s="8" t="str">
        <f t="array" ref="AH128">IF(AG128&gt;5,"Perlu Sensus",IF(AND(AG128&gt;=0,AD128&gt;0),"Tetap Deteksi","Belum Deteksi"))</f>
        <v>Belum Deteksi</v>
      </c>
      <c r="AI128" s="143"/>
      <c r="AJ128" s="9">
        <f t="shared" si="20"/>
        <v>0</v>
      </c>
      <c r="AK128" s="11"/>
      <c r="AL128" s="143"/>
      <c r="AM128" s="143"/>
      <c r="AN128" s="9">
        <f t="shared" si="16"/>
        <v>0</v>
      </c>
      <c r="AO128" s="8" t="str">
        <f t="array" ref="AO128">IF(AN128&gt;5,"Perlu Sensus",IF(AND(AN128&gt;=0,AL128&gt;0),"Tetap Deteksi","Belum Deteksi"))</f>
        <v>Belum Deteksi</v>
      </c>
      <c r="AP128" s="143"/>
      <c r="AQ128" s="9">
        <f t="shared" si="21"/>
        <v>0</v>
      </c>
    </row>
    <row r="129" spans="1:43" outlineLevel="1" x14ac:dyDescent="0.15">
      <c r="A129" s="8" t="s">
        <v>1914</v>
      </c>
      <c r="B129" s="8"/>
      <c r="C129" s="8" t="s">
        <v>216</v>
      </c>
      <c r="D129" s="186" t="s">
        <v>1847</v>
      </c>
      <c r="E129" s="9">
        <v>30.58</v>
      </c>
      <c r="F129" s="8" t="s">
        <v>1740</v>
      </c>
      <c r="G129" s="10">
        <v>3206</v>
      </c>
      <c r="H129" s="11">
        <f t="array" ref="H129">IF(OR(N129&gt;0,AC129&gt;0),MAX(N129,AC129),MAX(AK129,V129))</f>
        <v>46238</v>
      </c>
      <c r="I129" s="143">
        <f t="array" ref="I129">IF(SUM(O129,AD129)&gt;0,SUM(O129,AD129),SUM(AL129,W129))</f>
        <v>221</v>
      </c>
      <c r="J129" s="9">
        <f t="shared" si="11"/>
        <v>6.8933250155957584</v>
      </c>
      <c r="K129" s="143">
        <f t="shared" si="17"/>
        <v>1E-8</v>
      </c>
      <c r="L129" s="9">
        <f t="shared" si="12"/>
        <v>4.5248868778280543E-9</v>
      </c>
      <c r="M129" s="8" t="str">
        <f t="array" ref="M129">IF(L129&gt;5,"Perlu Sensus",IF(AND(L129&gt;=0,I129&gt;0),"Tetap Deteksi","Belum Deteksi"))</f>
        <v>Tetap Deteksi</v>
      </c>
      <c r="N129" s="11">
        <v>46238</v>
      </c>
      <c r="O129" s="143">
        <v>221</v>
      </c>
      <c r="P129" s="9">
        <f t="array" ref="P129">IFERROR(O129/$G129*100,0)</f>
        <v>6.8933250155957584</v>
      </c>
      <c r="Q129" s="143">
        <v>1E-8</v>
      </c>
      <c r="R129" s="9">
        <f t="shared" si="13"/>
        <v>4.5248868778280543E-9</v>
      </c>
      <c r="S129" s="8" t="str">
        <f t="array" ref="S129">IF(R129&gt;5,"Perlu Sensus",IF(AND(R129&gt;=0,O129&gt;0),"Tetap Deteksi","Belum Deteksi"))</f>
        <v>Tetap Deteksi</v>
      </c>
      <c r="T129" s="143">
        <v>2</v>
      </c>
      <c r="U129" s="9">
        <f t="shared" si="18"/>
        <v>0.90497737556561098</v>
      </c>
      <c r="V129" s="11">
        <v>46238</v>
      </c>
      <c r="W129" s="143">
        <v>284</v>
      </c>
      <c r="X129" s="143">
        <v>2</v>
      </c>
      <c r="Y129" s="9">
        <f t="shared" si="14"/>
        <v>0.70422535211267612</v>
      </c>
      <c r="Z129" s="8" t="str">
        <f t="array" ref="Z129">IF(Y129&gt;5,"Perlu Sensus",IF(AND(Y129&gt;=0,W129&gt;0),"Tetap Deteksi","Belum Deteksi"))</f>
        <v>Tetap Deteksi</v>
      </c>
      <c r="AA129" s="143">
        <v>1</v>
      </c>
      <c r="AB129" s="9">
        <f t="shared" si="19"/>
        <v>0.35211267605633806</v>
      </c>
      <c r="AC129" s="11"/>
      <c r="AD129" s="143"/>
      <c r="AE129" s="9">
        <f t="array" ref="AE129">IFERROR(AD129/$G129*100,0)</f>
        <v>0</v>
      </c>
      <c r="AF129" s="143"/>
      <c r="AG129" s="9">
        <f t="shared" si="15"/>
        <v>0</v>
      </c>
      <c r="AH129" s="8" t="str">
        <f t="array" ref="AH129">IF(AG129&gt;5,"Perlu Sensus",IF(AND(AG129&gt;=0,AD129&gt;0),"Tetap Deteksi","Belum Deteksi"))</f>
        <v>Belum Deteksi</v>
      </c>
      <c r="AI129" s="143"/>
      <c r="AJ129" s="9">
        <f t="shared" si="20"/>
        <v>0</v>
      </c>
      <c r="AK129" s="11"/>
      <c r="AL129" s="143"/>
      <c r="AM129" s="143"/>
      <c r="AN129" s="9">
        <f t="shared" si="16"/>
        <v>0</v>
      </c>
      <c r="AO129" s="8" t="str">
        <f t="array" ref="AO129">IF(AN129&gt;5,"Perlu Sensus",IF(AND(AN129&gt;=0,AL129&gt;0),"Tetap Deteksi","Belum Deteksi"))</f>
        <v>Belum Deteksi</v>
      </c>
      <c r="AP129" s="143"/>
      <c r="AQ129" s="9">
        <f t="shared" si="21"/>
        <v>0</v>
      </c>
    </row>
    <row r="130" spans="1:43" outlineLevel="1" x14ac:dyDescent="0.15">
      <c r="A130" s="8" t="s">
        <v>1914</v>
      </c>
      <c r="B130" s="8"/>
      <c r="C130" s="8" t="s">
        <v>216</v>
      </c>
      <c r="D130" s="186" t="s">
        <v>1016</v>
      </c>
      <c r="E130" s="9">
        <v>38.190000000000005</v>
      </c>
      <c r="F130" s="8" t="s">
        <v>1740</v>
      </c>
      <c r="G130" s="10">
        <v>4062</v>
      </c>
      <c r="H130" s="11">
        <f t="array" ref="H130">IF(OR(N130&gt;0,AC130&gt;0),MAX(N130,AC130),MAX(AK130,V130))</f>
        <v>46249</v>
      </c>
      <c r="I130" s="143">
        <f t="array" ref="I130">IF(SUM(O130,AD130)&gt;0,SUM(O130,AD130),SUM(AL130,W130))</f>
        <v>183</v>
      </c>
      <c r="J130" s="9">
        <f t="shared" si="11"/>
        <v>4.5051698670605616</v>
      </c>
      <c r="K130" s="143">
        <f t="shared" si="17"/>
        <v>9.9999999999999995E-8</v>
      </c>
      <c r="L130" s="9">
        <f t="shared" si="12"/>
        <v>5.4644808743169392E-8</v>
      </c>
      <c r="M130" s="8" t="str">
        <f t="array" ref="M130">IF(L130&gt;5,"Perlu Sensus",IF(AND(L130&gt;=0,I130&gt;0),"Tetap Deteksi","Belum Deteksi"))</f>
        <v>Tetap Deteksi</v>
      </c>
      <c r="N130" s="11">
        <v>46249</v>
      </c>
      <c r="O130" s="143">
        <v>183</v>
      </c>
      <c r="P130" s="9">
        <f t="array" ref="P130">IFERROR(O130/$G130*100,0)</f>
        <v>4.5051698670605616</v>
      </c>
      <c r="Q130" s="143">
        <v>9.9999999999999995E-8</v>
      </c>
      <c r="R130" s="9">
        <f t="shared" si="13"/>
        <v>5.4644808743169392E-8</v>
      </c>
      <c r="S130" s="8" t="str">
        <f t="array" ref="S130">IF(R130&gt;5,"Perlu Sensus",IF(AND(R130&gt;=0,O130&gt;0),"Tetap Deteksi","Belum Deteksi"))</f>
        <v>Tetap Deteksi</v>
      </c>
      <c r="T130" s="143">
        <v>9.9999999999999995E-8</v>
      </c>
      <c r="U130" s="9">
        <f t="shared" si="18"/>
        <v>5.4644808743169392E-8</v>
      </c>
      <c r="V130" s="11">
        <v>46235</v>
      </c>
      <c r="W130" s="143">
        <v>203</v>
      </c>
      <c r="X130" s="143">
        <v>5</v>
      </c>
      <c r="Y130" s="9">
        <f t="shared" si="14"/>
        <v>2.4630541871921183</v>
      </c>
      <c r="Z130" s="8" t="str">
        <f t="array" ref="Z130">IF(Y130&gt;5,"Perlu Sensus",IF(AND(Y130&gt;=0,W130&gt;0),"Tetap Deteksi","Belum Deteksi"))</f>
        <v>Tetap Deteksi</v>
      </c>
      <c r="AA130" s="143">
        <v>3</v>
      </c>
      <c r="AB130" s="9">
        <f t="shared" si="19"/>
        <v>1.4778325123152709</v>
      </c>
      <c r="AC130" s="11"/>
      <c r="AD130" s="143"/>
      <c r="AE130" s="9">
        <f t="array" ref="AE130">IFERROR(AD130/$G130*100,0)</f>
        <v>0</v>
      </c>
      <c r="AF130" s="143"/>
      <c r="AG130" s="9">
        <f t="shared" si="15"/>
        <v>0</v>
      </c>
      <c r="AH130" s="8" t="str">
        <f t="array" ref="AH130">IF(AG130&gt;5,"Perlu Sensus",IF(AND(AG130&gt;=0,AD130&gt;0),"Tetap Deteksi","Belum Deteksi"))</f>
        <v>Belum Deteksi</v>
      </c>
      <c r="AI130" s="143"/>
      <c r="AJ130" s="9">
        <f t="shared" si="20"/>
        <v>0</v>
      </c>
      <c r="AK130" s="11"/>
      <c r="AL130" s="143"/>
      <c r="AM130" s="143"/>
      <c r="AN130" s="9">
        <f t="shared" si="16"/>
        <v>0</v>
      </c>
      <c r="AO130" s="8" t="str">
        <f t="array" ref="AO130">IF(AN130&gt;5,"Perlu Sensus",IF(AND(AN130&gt;=0,AL130&gt;0),"Tetap Deteksi","Belum Deteksi"))</f>
        <v>Belum Deteksi</v>
      </c>
      <c r="AP130" s="143"/>
      <c r="AQ130" s="9">
        <f t="shared" si="21"/>
        <v>0</v>
      </c>
    </row>
    <row r="131" spans="1:43" outlineLevel="1" x14ac:dyDescent="0.15">
      <c r="A131" s="8" t="s">
        <v>1914</v>
      </c>
      <c r="B131" s="8"/>
      <c r="C131" s="8" t="s">
        <v>252</v>
      </c>
      <c r="D131" s="186" t="s">
        <v>1453</v>
      </c>
      <c r="E131" s="9">
        <v>23.580000000000002</v>
      </c>
      <c r="F131" s="8" t="s">
        <v>1740</v>
      </c>
      <c r="G131" s="10">
        <v>3228.0000000000005</v>
      </c>
      <c r="H131" s="11">
        <f t="array" ref="H131">IF(OR(N131&gt;0,AC131&gt;0),MAX(N131,AC131),MAX(AK131,V131))</f>
        <v>46237</v>
      </c>
      <c r="I131" s="143">
        <f t="array" ref="I131">IF(SUM(O131,AD131)&gt;0,SUM(O131,AD131),SUM(AL131,W131))</f>
        <v>177</v>
      </c>
      <c r="J131" s="9">
        <f t="shared" si="11"/>
        <v>5.4832713754646827</v>
      </c>
      <c r="K131" s="143">
        <f t="shared" si="17"/>
        <v>2</v>
      </c>
      <c r="L131" s="9">
        <f t="shared" si="12"/>
        <v>1.1299435028248588</v>
      </c>
      <c r="M131" s="8" t="str">
        <f t="array" ref="M131">IF(L131&gt;5,"Perlu Sensus",IF(AND(L131&gt;=0,I131&gt;0),"Tetap Deteksi","Belum Deteksi"))</f>
        <v>Tetap Deteksi</v>
      </c>
      <c r="N131" s="11">
        <v>46237</v>
      </c>
      <c r="O131" s="143">
        <v>177</v>
      </c>
      <c r="P131" s="9">
        <f t="array" ref="P131">IFERROR(O131/$G131*100,0)</f>
        <v>5.4832713754646827</v>
      </c>
      <c r="Q131" s="143">
        <v>2</v>
      </c>
      <c r="R131" s="9">
        <f t="shared" si="13"/>
        <v>1.1299435028248588</v>
      </c>
      <c r="S131" s="8" t="str">
        <f t="array" ref="S131">IF(R131&gt;5,"Perlu Sensus",IF(AND(R131&gt;=0,O131&gt;0),"Tetap Deteksi","Belum Deteksi"))</f>
        <v>Tetap Deteksi</v>
      </c>
      <c r="T131" s="143">
        <v>1</v>
      </c>
      <c r="U131" s="9">
        <f t="shared" si="18"/>
        <v>0.56497175141242939</v>
      </c>
      <c r="V131" s="11">
        <v>46237</v>
      </c>
      <c r="W131" s="143">
        <v>299</v>
      </c>
      <c r="X131" s="143">
        <v>5</v>
      </c>
      <c r="Y131" s="9">
        <f t="shared" si="14"/>
        <v>1.6722408026755853</v>
      </c>
      <c r="Z131" s="8" t="str">
        <f t="array" ref="Z131">IF(Y131&gt;5,"Perlu Sensus",IF(AND(Y131&gt;=0,W131&gt;0),"Tetap Deteksi","Belum Deteksi"))</f>
        <v>Tetap Deteksi</v>
      </c>
      <c r="AA131" s="143">
        <v>4</v>
      </c>
      <c r="AB131" s="9">
        <f t="shared" si="19"/>
        <v>1.3377926421404682</v>
      </c>
      <c r="AC131" s="11"/>
      <c r="AD131" s="143"/>
      <c r="AE131" s="9">
        <f t="array" ref="AE131">IFERROR(AD131/$G131*100,0)</f>
        <v>0</v>
      </c>
      <c r="AF131" s="143"/>
      <c r="AG131" s="9">
        <f t="shared" si="15"/>
        <v>0</v>
      </c>
      <c r="AH131" s="8" t="str">
        <f t="array" ref="AH131">IF(AG131&gt;5,"Perlu Sensus",IF(AND(AG131&gt;=0,AD131&gt;0),"Tetap Deteksi","Belum Deteksi"))</f>
        <v>Belum Deteksi</v>
      </c>
      <c r="AI131" s="143"/>
      <c r="AJ131" s="9">
        <f t="shared" si="20"/>
        <v>0</v>
      </c>
      <c r="AK131" s="11"/>
      <c r="AL131" s="143"/>
      <c r="AM131" s="143"/>
      <c r="AN131" s="9">
        <f t="shared" si="16"/>
        <v>0</v>
      </c>
      <c r="AO131" s="8" t="str">
        <f t="array" ref="AO131">IF(AN131&gt;5,"Perlu Sensus",IF(AND(AN131&gt;=0,AL131&gt;0),"Tetap Deteksi","Belum Deteksi"))</f>
        <v>Belum Deteksi</v>
      </c>
      <c r="AP131" s="143"/>
      <c r="AQ131" s="9">
        <f t="shared" si="21"/>
        <v>0</v>
      </c>
    </row>
    <row r="132" spans="1:43" outlineLevel="1" x14ac:dyDescent="0.15">
      <c r="A132" s="8" t="s">
        <v>1914</v>
      </c>
      <c r="B132" s="8"/>
      <c r="C132" s="8" t="s">
        <v>252</v>
      </c>
      <c r="D132" s="186" t="s">
        <v>1101</v>
      </c>
      <c r="E132" s="9">
        <v>25.97</v>
      </c>
      <c r="F132" s="8" t="s">
        <v>1740</v>
      </c>
      <c r="G132" s="10">
        <v>3481</v>
      </c>
      <c r="H132" s="11">
        <f t="array" ref="H132">IF(OR(N132&gt;0,AC132&gt;0),MAX(N132,AC132),MAX(AK132,V132))</f>
        <v>46238</v>
      </c>
      <c r="I132" s="143">
        <f t="array" ref="I132">IF(SUM(O132,AD132)&gt;0,SUM(O132,AD132),SUM(AL132,W132))</f>
        <v>171</v>
      </c>
      <c r="J132" s="9">
        <f t="shared" si="11"/>
        <v>4.9123814995690891</v>
      </c>
      <c r="K132" s="143">
        <f t="shared" si="17"/>
        <v>1E-8</v>
      </c>
      <c r="L132" s="9">
        <f t="shared" si="12"/>
        <v>5.847953216374269E-9</v>
      </c>
      <c r="M132" s="8" t="str">
        <f t="array" ref="M132">IF(L132&gt;5,"Perlu Sensus",IF(AND(L132&gt;=0,I132&gt;0),"Tetap Deteksi","Belum Deteksi"))</f>
        <v>Tetap Deteksi</v>
      </c>
      <c r="N132" s="11">
        <v>46238</v>
      </c>
      <c r="O132" s="143">
        <v>171</v>
      </c>
      <c r="P132" s="9">
        <f t="array" ref="P132">IFERROR(O132/$G132*100,0)</f>
        <v>4.9123814995690891</v>
      </c>
      <c r="Q132" s="143">
        <v>1E-8</v>
      </c>
      <c r="R132" s="9">
        <f t="shared" si="13"/>
        <v>5.847953216374269E-9</v>
      </c>
      <c r="S132" s="8" t="str">
        <f t="array" ref="S132">IF(R132&gt;5,"Perlu Sensus",IF(AND(R132&gt;=0,O132&gt;0),"Tetap Deteksi","Belum Deteksi"))</f>
        <v>Tetap Deteksi</v>
      </c>
      <c r="T132" s="143">
        <v>1E-8</v>
      </c>
      <c r="U132" s="9">
        <f t="shared" si="18"/>
        <v>5.847953216374269E-9</v>
      </c>
      <c r="V132" s="11">
        <v>46238</v>
      </c>
      <c r="W132" s="143">
        <v>224</v>
      </c>
      <c r="X132" s="143">
        <v>7</v>
      </c>
      <c r="Y132" s="9">
        <f t="shared" si="14"/>
        <v>3.125</v>
      </c>
      <c r="Z132" s="8" t="str">
        <f t="array" ref="Z132">IF(Y132&gt;5,"Perlu Sensus",IF(AND(Y132&gt;=0,W132&gt;0),"Tetap Deteksi","Belum Deteksi"))</f>
        <v>Tetap Deteksi</v>
      </c>
      <c r="AA132" s="143">
        <v>6</v>
      </c>
      <c r="AB132" s="9">
        <f t="shared" si="19"/>
        <v>2.6785714285714284</v>
      </c>
      <c r="AC132" s="11"/>
      <c r="AD132" s="143"/>
      <c r="AE132" s="9">
        <f t="array" ref="AE132">IFERROR(AD132/$G132*100,0)</f>
        <v>0</v>
      </c>
      <c r="AF132" s="143"/>
      <c r="AG132" s="9">
        <f t="shared" si="15"/>
        <v>0</v>
      </c>
      <c r="AH132" s="8" t="str">
        <f t="array" ref="AH132">IF(AG132&gt;5,"Perlu Sensus",IF(AND(AG132&gt;=0,AD132&gt;0),"Tetap Deteksi","Belum Deteksi"))</f>
        <v>Belum Deteksi</v>
      </c>
      <c r="AI132" s="143"/>
      <c r="AJ132" s="9">
        <f t="shared" si="20"/>
        <v>0</v>
      </c>
      <c r="AK132" s="11"/>
      <c r="AL132" s="143"/>
      <c r="AM132" s="143"/>
      <c r="AN132" s="9">
        <f t="shared" si="16"/>
        <v>0</v>
      </c>
      <c r="AO132" s="8" t="str">
        <f t="array" ref="AO132">IF(AN132&gt;5,"Perlu Sensus",IF(AND(AN132&gt;=0,AL132&gt;0),"Tetap Deteksi","Belum Deteksi"))</f>
        <v>Belum Deteksi</v>
      </c>
      <c r="AP132" s="143"/>
      <c r="AQ132" s="9">
        <f t="shared" si="21"/>
        <v>0</v>
      </c>
    </row>
    <row r="133" spans="1:43" outlineLevel="1" x14ac:dyDescent="0.15">
      <c r="A133" s="8" t="s">
        <v>1914</v>
      </c>
      <c r="B133" s="8"/>
      <c r="C133" s="8" t="s">
        <v>252</v>
      </c>
      <c r="D133" s="186" t="s">
        <v>1102</v>
      </c>
      <c r="E133" s="9">
        <v>26.89</v>
      </c>
      <c r="F133" s="8" t="s">
        <v>1740</v>
      </c>
      <c r="G133" s="10">
        <v>3531</v>
      </c>
      <c r="H133" s="11">
        <f t="array" ref="H133">IF(OR(N133&gt;0,AC133&gt;0),MAX(N133,AC133),MAX(AK133,V133))</f>
        <v>46239</v>
      </c>
      <c r="I133" s="143">
        <f t="array" ref="I133">IF(SUM(O133,AD133)&gt;0,SUM(O133,AD133),SUM(AL133,W133))</f>
        <v>228</v>
      </c>
      <c r="J133" s="9">
        <f t="shared" si="11"/>
        <v>6.4570943075615981</v>
      </c>
      <c r="K133" s="143">
        <f t="shared" si="17"/>
        <v>4</v>
      </c>
      <c r="L133" s="9">
        <f t="shared" si="12"/>
        <v>1.7543859649122806</v>
      </c>
      <c r="M133" s="8" t="str">
        <f t="array" ref="M133">IF(L133&gt;5,"Perlu Sensus",IF(AND(L133&gt;=0,I133&gt;0),"Tetap Deteksi","Belum Deteksi"))</f>
        <v>Tetap Deteksi</v>
      </c>
      <c r="N133" s="11">
        <v>46239</v>
      </c>
      <c r="O133" s="143">
        <v>228</v>
      </c>
      <c r="P133" s="9">
        <f t="array" ref="P133">IFERROR(O133/$G133*100,0)</f>
        <v>6.4570943075615981</v>
      </c>
      <c r="Q133" s="143">
        <v>4</v>
      </c>
      <c r="R133" s="9">
        <f t="shared" si="13"/>
        <v>1.7543859649122806</v>
      </c>
      <c r="S133" s="8" t="str">
        <f t="array" ref="S133">IF(R133&gt;5,"Perlu Sensus",IF(AND(R133&gt;=0,O133&gt;0),"Tetap Deteksi","Belum Deteksi"))</f>
        <v>Tetap Deteksi</v>
      </c>
      <c r="T133" s="143">
        <v>2</v>
      </c>
      <c r="U133" s="9">
        <f t="shared" si="18"/>
        <v>0.8771929824561403</v>
      </c>
      <c r="V133" s="11">
        <v>46239</v>
      </c>
      <c r="W133" s="143">
        <v>199</v>
      </c>
      <c r="X133" s="143">
        <v>6</v>
      </c>
      <c r="Y133" s="9">
        <f t="shared" si="14"/>
        <v>3.0150753768844218</v>
      </c>
      <c r="Z133" s="8" t="str">
        <f t="array" ref="Z133">IF(Y133&gt;5,"Perlu Sensus",IF(AND(Y133&gt;=0,W133&gt;0),"Tetap Deteksi","Belum Deteksi"))</f>
        <v>Tetap Deteksi</v>
      </c>
      <c r="AA133" s="143">
        <v>2</v>
      </c>
      <c r="AB133" s="9">
        <f t="shared" si="19"/>
        <v>1.0050251256281406</v>
      </c>
      <c r="AC133" s="11"/>
      <c r="AD133" s="143"/>
      <c r="AE133" s="9">
        <f t="array" ref="AE133">IFERROR(AD133/$G133*100,0)</f>
        <v>0</v>
      </c>
      <c r="AF133" s="143"/>
      <c r="AG133" s="9">
        <f t="shared" si="15"/>
        <v>0</v>
      </c>
      <c r="AH133" s="8" t="str">
        <f t="array" ref="AH133">IF(AG133&gt;5,"Perlu Sensus",IF(AND(AG133&gt;=0,AD133&gt;0),"Tetap Deteksi","Belum Deteksi"))</f>
        <v>Belum Deteksi</v>
      </c>
      <c r="AI133" s="143"/>
      <c r="AJ133" s="9">
        <f t="shared" si="20"/>
        <v>0</v>
      </c>
      <c r="AK133" s="11"/>
      <c r="AL133" s="143"/>
      <c r="AM133" s="143"/>
      <c r="AN133" s="9">
        <f t="shared" si="16"/>
        <v>0</v>
      </c>
      <c r="AO133" s="8" t="str">
        <f t="array" ref="AO133">IF(AN133&gt;5,"Perlu Sensus",IF(AND(AN133&gt;=0,AL133&gt;0),"Tetap Deteksi","Belum Deteksi"))</f>
        <v>Belum Deteksi</v>
      </c>
      <c r="AP133" s="143"/>
      <c r="AQ133" s="9">
        <f t="shared" si="21"/>
        <v>0</v>
      </c>
    </row>
    <row r="134" spans="1:43" outlineLevel="1" x14ac:dyDescent="0.15">
      <c r="A134" s="8" t="s">
        <v>1914</v>
      </c>
      <c r="B134" s="8"/>
      <c r="C134" s="8" t="s">
        <v>252</v>
      </c>
      <c r="D134" s="181" t="s">
        <v>1103</v>
      </c>
      <c r="E134" s="9">
        <v>25.74</v>
      </c>
      <c r="F134" s="8" t="s">
        <v>1740</v>
      </c>
      <c r="G134" s="10">
        <v>3396.0000000000005</v>
      </c>
      <c r="H134" s="11">
        <f t="array" ref="H134">IF(OR(N134&gt;0,AC134&gt;0),MAX(N134,AC134),MAX(AK134,V134))</f>
        <v>46239</v>
      </c>
      <c r="I134" s="143">
        <f t="array" ref="I134">IF(SUM(O134,AD134)&gt;0,SUM(O134,AD134),SUM(AL134,W134))</f>
        <v>215</v>
      </c>
      <c r="J134" s="9">
        <f t="shared" ref="J134:J159" si="22">IF(P134&gt;0,P134," ")</f>
        <v>6.3309776207302697</v>
      </c>
      <c r="K134" s="143">
        <f t="shared" si="17"/>
        <v>3</v>
      </c>
      <c r="L134" s="9">
        <f t="shared" ref="L134:L159" si="23">IFERROR(K134/I134*100,0)</f>
        <v>1.3953488372093024</v>
      </c>
      <c r="M134" s="8" t="str">
        <f t="array" ref="M134">IF(L134&gt;5,"Perlu Sensus",IF(AND(L134&gt;=0,I134&gt;0),"Tetap Deteksi","Belum Deteksi"))</f>
        <v>Tetap Deteksi</v>
      </c>
      <c r="N134" s="11">
        <v>46239</v>
      </c>
      <c r="O134" s="143">
        <v>215</v>
      </c>
      <c r="P134" s="9">
        <f t="array" ref="P134">IFERROR(O134/$G134*100,0)</f>
        <v>6.3309776207302697</v>
      </c>
      <c r="Q134" s="143">
        <v>3</v>
      </c>
      <c r="R134" s="9">
        <f t="shared" ref="R134:R159" si="24">IFERROR(Q134/O134*100,0)</f>
        <v>1.3953488372093024</v>
      </c>
      <c r="S134" s="8" t="str">
        <f t="array" ref="S134">IF(R134&gt;5,"Perlu Sensus",IF(AND(R134&gt;=0,O134&gt;0),"Tetap Deteksi","Belum Deteksi"))</f>
        <v>Tetap Deteksi</v>
      </c>
      <c r="T134" s="143">
        <v>2</v>
      </c>
      <c r="U134" s="9">
        <f t="shared" si="18"/>
        <v>0.93023255813953487</v>
      </c>
      <c r="V134" s="11">
        <v>46239</v>
      </c>
      <c r="W134" s="143">
        <v>230</v>
      </c>
      <c r="X134" s="143">
        <v>3</v>
      </c>
      <c r="Y134" s="9">
        <f t="shared" ref="Y134:Y159" si="25">IFERROR(X134/W134*100,0)</f>
        <v>1.3043478260869565</v>
      </c>
      <c r="Z134" s="8" t="str">
        <f t="array" ref="Z134">IF(Y134&gt;5,"Perlu Sensus",IF(AND(Y134&gt;=0,W134&gt;0),"Tetap Deteksi","Belum Deteksi"))</f>
        <v>Tetap Deteksi</v>
      </c>
      <c r="AA134" s="143">
        <v>4</v>
      </c>
      <c r="AB134" s="9">
        <f t="shared" si="19"/>
        <v>1.7391304347826086</v>
      </c>
      <c r="AC134" s="11"/>
      <c r="AD134" s="143"/>
      <c r="AE134" s="9">
        <f t="array" ref="AE134">IFERROR(AD134/$G134*100,0)</f>
        <v>0</v>
      </c>
      <c r="AF134" s="143"/>
      <c r="AG134" s="9">
        <f t="shared" ref="AG134:AG159" si="26">IFERROR(AF134/AD134*100,0)</f>
        <v>0</v>
      </c>
      <c r="AH134" s="8" t="str">
        <f t="array" ref="AH134">IF(AG134&gt;5,"Perlu Sensus",IF(AND(AG134&gt;=0,AD134&gt;0),"Tetap Deteksi","Belum Deteksi"))</f>
        <v>Belum Deteksi</v>
      </c>
      <c r="AI134" s="143"/>
      <c r="AJ134" s="9">
        <f t="shared" si="20"/>
        <v>0</v>
      </c>
      <c r="AK134" s="11"/>
      <c r="AL134" s="143"/>
      <c r="AM134" s="143"/>
      <c r="AN134" s="9">
        <f t="shared" ref="AN134:AN159" si="27">IFERROR(AM134/AL134*100,0)</f>
        <v>0</v>
      </c>
      <c r="AO134" s="8" t="str">
        <f t="array" ref="AO134">IF(AN134&gt;5,"Perlu Sensus",IF(AND(AN134&gt;=0,AL134&gt;0),"Tetap Deteksi","Belum Deteksi"))</f>
        <v>Belum Deteksi</v>
      </c>
      <c r="AP134" s="143"/>
      <c r="AQ134" s="9">
        <f t="shared" si="21"/>
        <v>0</v>
      </c>
    </row>
    <row r="135" spans="1:43" outlineLevel="1" x14ac:dyDescent="0.15">
      <c r="A135" s="8" t="s">
        <v>1914</v>
      </c>
      <c r="B135" s="8"/>
      <c r="C135" s="8" t="s">
        <v>252</v>
      </c>
      <c r="D135" s="186" t="s">
        <v>1105</v>
      </c>
      <c r="E135" s="9">
        <v>36.629999999999995</v>
      </c>
      <c r="F135" s="8" t="s">
        <v>1740</v>
      </c>
      <c r="G135" s="10">
        <v>4170</v>
      </c>
      <c r="H135" s="11">
        <f t="array" ref="H135">IF(OR(N135&gt;0,AC135&gt;0),MAX(N135,AC135),MAX(AK135,V135))</f>
        <v>46240</v>
      </c>
      <c r="I135" s="143">
        <f t="array" ref="I135">IF(SUM(O135,AD135)&gt;0,SUM(O135,AD135),SUM(AL135,W135))</f>
        <v>188</v>
      </c>
      <c r="J135" s="9">
        <f t="shared" si="22"/>
        <v>4.508393285371703</v>
      </c>
      <c r="K135" s="143">
        <f t="shared" ref="K135:K159" si="28">IF(SUM(Q135,AF135)&gt;0,SUM(Q135,AF135),SUM(AM135,X135))</f>
        <v>3</v>
      </c>
      <c r="L135" s="9">
        <f t="shared" si="23"/>
        <v>1.5957446808510638</v>
      </c>
      <c r="M135" s="8" t="str">
        <f t="array" ref="M135">IF(L135&gt;5,"Perlu Sensus",IF(AND(L135&gt;=0,I135&gt;0),"Tetap Deteksi","Belum Deteksi"))</f>
        <v>Tetap Deteksi</v>
      </c>
      <c r="N135" s="11">
        <v>46240</v>
      </c>
      <c r="O135" s="143">
        <v>188</v>
      </c>
      <c r="P135" s="9">
        <f t="array" ref="P135">IFERROR(O135/$G135*100,0)</f>
        <v>4.508393285371703</v>
      </c>
      <c r="Q135" s="143">
        <v>3</v>
      </c>
      <c r="R135" s="9">
        <f t="shared" si="24"/>
        <v>1.5957446808510638</v>
      </c>
      <c r="S135" s="8" t="str">
        <f t="array" ref="S135">IF(R135&gt;5,"Perlu Sensus",IF(AND(R135&gt;=0,O135&gt;0),"Tetap Deteksi","Belum Deteksi"))</f>
        <v>Tetap Deteksi</v>
      </c>
      <c r="T135" s="143">
        <v>2</v>
      </c>
      <c r="U135" s="9">
        <f t="shared" ref="U135:U159" si="29">IFERROR(T135/O135*100,0)</f>
        <v>1.0638297872340425</v>
      </c>
      <c r="V135" s="11">
        <v>46239</v>
      </c>
      <c r="W135" s="143">
        <v>276</v>
      </c>
      <c r="X135" s="143">
        <v>2</v>
      </c>
      <c r="Y135" s="9">
        <f t="shared" si="25"/>
        <v>0.72463768115942029</v>
      </c>
      <c r="Z135" s="8" t="str">
        <f t="array" ref="Z135">IF(Y135&gt;5,"Perlu Sensus",IF(AND(Y135&gt;=0,W135&gt;0),"Tetap Deteksi","Belum Deteksi"))</f>
        <v>Tetap Deteksi</v>
      </c>
      <c r="AA135" s="143">
        <v>3</v>
      </c>
      <c r="AB135" s="9">
        <f t="shared" ref="AB135:AB159" si="30">IFERROR(AA135/W135*100,0)</f>
        <v>1.0869565217391304</v>
      </c>
      <c r="AC135" s="11"/>
      <c r="AD135" s="143"/>
      <c r="AE135" s="9">
        <f t="array" ref="AE135">IFERROR(AD135/$G135*100,0)</f>
        <v>0</v>
      </c>
      <c r="AF135" s="143"/>
      <c r="AG135" s="9">
        <f t="shared" si="26"/>
        <v>0</v>
      </c>
      <c r="AH135" s="8" t="str">
        <f t="array" ref="AH135">IF(AG135&gt;5,"Perlu Sensus",IF(AND(AG135&gt;=0,AD135&gt;0),"Tetap Deteksi","Belum Deteksi"))</f>
        <v>Belum Deteksi</v>
      </c>
      <c r="AI135" s="143"/>
      <c r="AJ135" s="9">
        <f t="shared" ref="AJ135:AJ159" si="31">IFERROR(AI135/AD135*100,0)</f>
        <v>0</v>
      </c>
      <c r="AK135" s="11"/>
      <c r="AL135" s="143"/>
      <c r="AM135" s="143"/>
      <c r="AN135" s="9">
        <f t="shared" si="27"/>
        <v>0</v>
      </c>
      <c r="AO135" s="8" t="str">
        <f t="array" ref="AO135">IF(AN135&gt;5,"Perlu Sensus",IF(AND(AN135&gt;=0,AL135&gt;0),"Tetap Deteksi","Belum Deteksi"))</f>
        <v>Belum Deteksi</v>
      </c>
      <c r="AP135" s="143"/>
      <c r="AQ135" s="9">
        <f t="shared" ref="AQ135:AQ159" si="32">IFERROR(AP135/AL135*100,0)</f>
        <v>0</v>
      </c>
    </row>
    <row r="136" spans="1:43" outlineLevel="1" x14ac:dyDescent="0.15">
      <c r="A136" s="8" t="s">
        <v>1914</v>
      </c>
      <c r="B136" s="8"/>
      <c r="C136" s="8" t="s">
        <v>252</v>
      </c>
      <c r="D136" s="186" t="s">
        <v>1462</v>
      </c>
      <c r="E136" s="9">
        <v>27.6</v>
      </c>
      <c r="F136" s="8" t="s">
        <v>1740</v>
      </c>
      <c r="G136" s="10">
        <v>3703</v>
      </c>
      <c r="H136" s="11">
        <f t="array" ref="H136">IF(OR(N136&gt;0,AC136&gt;0),MAX(N136,AC136),MAX(AK136,V136))</f>
        <v>46244</v>
      </c>
      <c r="I136" s="143">
        <f t="array" ref="I136">IF(SUM(O136,AD136)&gt;0,SUM(O136,AD136),SUM(AL136,W136))</f>
        <v>234</v>
      </c>
      <c r="J136" s="9">
        <f t="shared" si="22"/>
        <v>6.319200648123144</v>
      </c>
      <c r="K136" s="143">
        <f t="shared" si="28"/>
        <v>3</v>
      </c>
      <c r="L136" s="9">
        <f t="shared" si="23"/>
        <v>1.2820512820512819</v>
      </c>
      <c r="M136" s="8" t="str">
        <f t="array" ref="M136">IF(L136&gt;5,"Perlu Sensus",IF(AND(L136&gt;=0,I136&gt;0),"Tetap Deteksi","Belum Deteksi"))</f>
        <v>Tetap Deteksi</v>
      </c>
      <c r="N136" s="11">
        <v>46244</v>
      </c>
      <c r="O136" s="143">
        <v>234</v>
      </c>
      <c r="P136" s="9">
        <f t="array" ref="P136">IFERROR(O136/$G136*100,0)</f>
        <v>6.319200648123144</v>
      </c>
      <c r="Q136" s="143">
        <v>3</v>
      </c>
      <c r="R136" s="9">
        <f t="shared" si="24"/>
        <v>1.2820512820512819</v>
      </c>
      <c r="S136" s="8" t="str">
        <f t="array" ref="S136">IF(R136&gt;5,"Perlu Sensus",IF(AND(R136&gt;=0,O136&gt;0),"Tetap Deteksi","Belum Deteksi"))</f>
        <v>Tetap Deteksi</v>
      </c>
      <c r="T136" s="143">
        <v>3</v>
      </c>
      <c r="U136" s="9">
        <f t="shared" si="29"/>
        <v>1.2820512820512819</v>
      </c>
      <c r="V136" s="11">
        <v>46244</v>
      </c>
      <c r="W136" s="143">
        <v>281</v>
      </c>
      <c r="X136" s="143">
        <v>5</v>
      </c>
      <c r="Y136" s="9">
        <f t="shared" si="25"/>
        <v>1.7793594306049825</v>
      </c>
      <c r="Z136" s="8" t="str">
        <f t="array" ref="Z136">IF(Y136&gt;5,"Perlu Sensus",IF(AND(Y136&gt;=0,W136&gt;0),"Tetap Deteksi","Belum Deteksi"))</f>
        <v>Tetap Deteksi</v>
      </c>
      <c r="AA136" s="143">
        <v>6</v>
      </c>
      <c r="AB136" s="9">
        <f t="shared" si="30"/>
        <v>2.1352313167259789</v>
      </c>
      <c r="AC136" s="11"/>
      <c r="AD136" s="143"/>
      <c r="AE136" s="9">
        <f t="array" ref="AE136">IFERROR(AD136/$G136*100,0)</f>
        <v>0</v>
      </c>
      <c r="AF136" s="143"/>
      <c r="AG136" s="9">
        <f t="shared" si="26"/>
        <v>0</v>
      </c>
      <c r="AH136" s="8" t="str">
        <f t="array" ref="AH136">IF(AG136&gt;5,"Perlu Sensus",IF(AND(AG136&gt;=0,AD136&gt;0),"Tetap Deteksi","Belum Deteksi"))</f>
        <v>Belum Deteksi</v>
      </c>
      <c r="AI136" s="143"/>
      <c r="AJ136" s="9">
        <f t="shared" si="31"/>
        <v>0</v>
      </c>
      <c r="AK136" s="11"/>
      <c r="AL136" s="143"/>
      <c r="AM136" s="143"/>
      <c r="AN136" s="9">
        <f t="shared" si="27"/>
        <v>0</v>
      </c>
      <c r="AO136" s="8" t="str">
        <f t="array" ref="AO136">IF(AN136&gt;5,"Perlu Sensus",IF(AND(AN136&gt;=0,AL136&gt;0),"Tetap Deteksi","Belum Deteksi"))</f>
        <v>Belum Deteksi</v>
      </c>
      <c r="AP136" s="143"/>
      <c r="AQ136" s="9">
        <f t="shared" si="32"/>
        <v>0</v>
      </c>
    </row>
    <row r="137" spans="1:43" outlineLevel="1" x14ac:dyDescent="0.15">
      <c r="A137" s="8" t="s">
        <v>1914</v>
      </c>
      <c r="B137" s="8"/>
      <c r="C137" s="8" t="s">
        <v>252</v>
      </c>
      <c r="D137" s="186" t="s">
        <v>1107</v>
      </c>
      <c r="E137" s="9">
        <v>32.9</v>
      </c>
      <c r="F137" s="8" t="s">
        <v>1740</v>
      </c>
      <c r="G137" s="10">
        <v>4432</v>
      </c>
      <c r="H137" s="11">
        <f t="array" ref="H137">IF(OR(N137&gt;0,AC137&gt;0),MAX(N137,AC137),MAX(AK137,V137))</f>
        <v>46244</v>
      </c>
      <c r="I137" s="143">
        <f t="array" ref="I137">IF(SUM(O137,AD137)&gt;0,SUM(O137,AD137),SUM(AL137,W137))</f>
        <v>227</v>
      </c>
      <c r="J137" s="9">
        <f t="shared" si="22"/>
        <v>5.121841155234657</v>
      </c>
      <c r="K137" s="143">
        <f t="shared" si="28"/>
        <v>4</v>
      </c>
      <c r="L137" s="9">
        <f t="shared" si="23"/>
        <v>1.7621145374449341</v>
      </c>
      <c r="M137" s="8" t="str">
        <f t="array" ref="M137">IF(L137&gt;5,"Perlu Sensus",IF(AND(L137&gt;=0,I137&gt;0),"Tetap Deteksi","Belum Deteksi"))</f>
        <v>Tetap Deteksi</v>
      </c>
      <c r="N137" s="11">
        <v>46244</v>
      </c>
      <c r="O137" s="143">
        <v>227</v>
      </c>
      <c r="P137" s="9">
        <f t="array" ref="P137">IFERROR(O137/$G137*100,0)</f>
        <v>5.121841155234657</v>
      </c>
      <c r="Q137" s="143">
        <v>4</v>
      </c>
      <c r="R137" s="9">
        <f t="shared" si="24"/>
        <v>1.7621145374449341</v>
      </c>
      <c r="S137" s="8" t="str">
        <f t="array" ref="S137">IF(R137&gt;5,"Perlu Sensus",IF(AND(R137&gt;=0,O137&gt;0),"Tetap Deteksi","Belum Deteksi"))</f>
        <v>Tetap Deteksi</v>
      </c>
      <c r="T137" s="143">
        <v>2</v>
      </c>
      <c r="U137" s="9">
        <f t="shared" si="29"/>
        <v>0.88105726872246704</v>
      </c>
      <c r="V137" s="11">
        <v>46244</v>
      </c>
      <c r="W137" s="143">
        <v>266</v>
      </c>
      <c r="X137" s="143">
        <v>3</v>
      </c>
      <c r="Y137" s="9">
        <f t="shared" si="25"/>
        <v>1.1278195488721803</v>
      </c>
      <c r="Z137" s="8" t="str">
        <f t="array" ref="Z137">IF(Y137&gt;5,"Perlu Sensus",IF(AND(Y137&gt;=0,W137&gt;0),"Tetap Deteksi","Belum Deteksi"))</f>
        <v>Tetap Deteksi</v>
      </c>
      <c r="AA137" s="143">
        <v>5</v>
      </c>
      <c r="AB137" s="9">
        <f t="shared" si="30"/>
        <v>1.8796992481203008</v>
      </c>
      <c r="AC137" s="11"/>
      <c r="AD137" s="143"/>
      <c r="AE137" s="9">
        <f t="array" ref="AE137">IFERROR(AD137/$G137*100,0)</f>
        <v>0</v>
      </c>
      <c r="AF137" s="143"/>
      <c r="AG137" s="9">
        <f t="shared" si="26"/>
        <v>0</v>
      </c>
      <c r="AH137" s="8" t="str">
        <f t="array" ref="AH137">IF(AG137&gt;5,"Perlu Sensus",IF(AND(AG137&gt;=0,AD137&gt;0),"Tetap Deteksi","Belum Deteksi"))</f>
        <v>Belum Deteksi</v>
      </c>
      <c r="AI137" s="143"/>
      <c r="AJ137" s="9">
        <f t="shared" si="31"/>
        <v>0</v>
      </c>
      <c r="AK137" s="11"/>
      <c r="AL137" s="143"/>
      <c r="AM137" s="143"/>
      <c r="AN137" s="9">
        <f t="shared" si="27"/>
        <v>0</v>
      </c>
      <c r="AO137" s="8" t="str">
        <f t="array" ref="AO137">IF(AN137&gt;5,"Perlu Sensus",IF(AND(AN137&gt;=0,AL137&gt;0),"Tetap Deteksi","Belum Deteksi"))</f>
        <v>Belum Deteksi</v>
      </c>
      <c r="AP137" s="143"/>
      <c r="AQ137" s="9">
        <f t="shared" si="32"/>
        <v>0</v>
      </c>
    </row>
    <row r="138" spans="1:43" outlineLevel="1" x14ac:dyDescent="0.15">
      <c r="A138" s="8" t="s">
        <v>1914</v>
      </c>
      <c r="B138" s="8"/>
      <c r="C138" s="8" t="s">
        <v>252</v>
      </c>
      <c r="D138" s="186" t="s">
        <v>1108</v>
      </c>
      <c r="E138" s="9">
        <v>30.9</v>
      </c>
      <c r="F138" s="8" t="s">
        <v>1740</v>
      </c>
      <c r="G138" s="10">
        <v>3867</v>
      </c>
      <c r="H138" s="11">
        <f t="array" ref="H138">IF(OR(N138&gt;0,AC138&gt;0),MAX(N138,AC138),MAX(AK138,V138))</f>
        <v>46244</v>
      </c>
      <c r="I138" s="143">
        <f t="array" ref="I138">IF(SUM(O138,AD138)&gt;0,SUM(O138,AD138),SUM(AL138,W138))</f>
        <v>213</v>
      </c>
      <c r="J138" s="9">
        <f t="shared" si="22"/>
        <v>5.5081458494957332</v>
      </c>
      <c r="K138" s="143">
        <f t="shared" si="28"/>
        <v>2</v>
      </c>
      <c r="L138" s="9">
        <f t="shared" si="23"/>
        <v>0.93896713615023475</v>
      </c>
      <c r="M138" s="8" t="str">
        <f t="array" ref="M138">IF(L138&gt;5,"Perlu Sensus",IF(AND(L138&gt;=0,I138&gt;0),"Tetap Deteksi","Belum Deteksi"))</f>
        <v>Tetap Deteksi</v>
      </c>
      <c r="N138" s="11">
        <v>46244</v>
      </c>
      <c r="O138" s="143">
        <v>213</v>
      </c>
      <c r="P138" s="9">
        <f t="array" ref="P138">IFERROR(O138/$G138*100,0)</f>
        <v>5.5081458494957332</v>
      </c>
      <c r="Q138" s="143">
        <v>2</v>
      </c>
      <c r="R138" s="9">
        <f t="shared" si="24"/>
        <v>0.93896713615023475</v>
      </c>
      <c r="S138" s="8" t="str">
        <f t="array" ref="S138">IF(R138&gt;5,"Perlu Sensus",IF(AND(R138&gt;=0,O138&gt;0),"Tetap Deteksi","Belum Deteksi"))</f>
        <v>Tetap Deteksi</v>
      </c>
      <c r="T138" s="143">
        <v>2</v>
      </c>
      <c r="U138" s="9">
        <f t="shared" si="29"/>
        <v>0.93896713615023475</v>
      </c>
      <c r="V138" s="11">
        <v>46244</v>
      </c>
      <c r="W138" s="143">
        <v>265</v>
      </c>
      <c r="X138" s="143">
        <v>2</v>
      </c>
      <c r="Y138" s="9">
        <f t="shared" si="25"/>
        <v>0.75471698113207553</v>
      </c>
      <c r="Z138" s="8" t="str">
        <f t="array" ref="Z138">IF(Y138&gt;5,"Perlu Sensus",IF(AND(Y138&gt;=0,W138&gt;0),"Tetap Deteksi","Belum Deteksi"))</f>
        <v>Tetap Deteksi</v>
      </c>
      <c r="AA138" s="143">
        <v>4</v>
      </c>
      <c r="AB138" s="9">
        <f t="shared" si="30"/>
        <v>1.5094339622641511</v>
      </c>
      <c r="AC138" s="11"/>
      <c r="AD138" s="143"/>
      <c r="AE138" s="9">
        <f t="array" ref="AE138">IFERROR(AD138/$G138*100,0)</f>
        <v>0</v>
      </c>
      <c r="AF138" s="143"/>
      <c r="AG138" s="9">
        <f t="shared" si="26"/>
        <v>0</v>
      </c>
      <c r="AH138" s="8" t="str">
        <f t="array" ref="AH138">IF(AG138&gt;5,"Perlu Sensus",IF(AND(AG138&gt;=0,AD138&gt;0),"Tetap Deteksi","Belum Deteksi"))</f>
        <v>Belum Deteksi</v>
      </c>
      <c r="AI138" s="143"/>
      <c r="AJ138" s="9">
        <f t="shared" si="31"/>
        <v>0</v>
      </c>
      <c r="AK138" s="11"/>
      <c r="AL138" s="143"/>
      <c r="AM138" s="143"/>
      <c r="AN138" s="9">
        <f t="shared" si="27"/>
        <v>0</v>
      </c>
      <c r="AO138" s="8" t="str">
        <f t="array" ref="AO138">IF(AN138&gt;5,"Perlu Sensus",IF(AND(AN138&gt;=0,AL138&gt;0),"Tetap Deteksi","Belum Deteksi"))</f>
        <v>Belum Deteksi</v>
      </c>
      <c r="AP138" s="143"/>
      <c r="AQ138" s="9">
        <f t="shared" si="32"/>
        <v>0</v>
      </c>
    </row>
    <row r="139" spans="1:43" outlineLevel="1" x14ac:dyDescent="0.15">
      <c r="A139" s="8" t="s">
        <v>1914</v>
      </c>
      <c r="B139" s="8"/>
      <c r="C139" s="8" t="s">
        <v>252</v>
      </c>
      <c r="D139" s="186" t="s">
        <v>1110</v>
      </c>
      <c r="E139" s="9">
        <v>28.58</v>
      </c>
      <c r="F139" s="8" t="s">
        <v>1740</v>
      </c>
      <c r="G139" s="10">
        <v>3592</v>
      </c>
      <c r="H139" s="11">
        <f t="array" ref="H139">IF(OR(N139&gt;0,AC139&gt;0),MAX(N139,AC139),MAX(AK139,V139))</f>
        <v>46246</v>
      </c>
      <c r="I139" s="143">
        <f t="array" ref="I139">IF(SUM(O139,AD139)&gt;0,SUM(O139,AD139),SUM(AL139,W139))</f>
        <v>213</v>
      </c>
      <c r="J139" s="9">
        <f t="shared" si="22"/>
        <v>5.929844097995546</v>
      </c>
      <c r="K139" s="143">
        <f t="shared" si="28"/>
        <v>3</v>
      </c>
      <c r="L139" s="9">
        <f t="shared" si="23"/>
        <v>1.4084507042253522</v>
      </c>
      <c r="M139" s="8" t="str">
        <f t="array" ref="M139">IF(L139&gt;5,"Perlu Sensus",IF(AND(L139&gt;=0,I139&gt;0),"Tetap Deteksi","Belum Deteksi"))</f>
        <v>Tetap Deteksi</v>
      </c>
      <c r="N139" s="11">
        <v>46246</v>
      </c>
      <c r="O139" s="143">
        <v>213</v>
      </c>
      <c r="P139" s="9">
        <f t="array" ref="P139">IFERROR(O139/$G139*100,0)</f>
        <v>5.929844097995546</v>
      </c>
      <c r="Q139" s="143">
        <v>3</v>
      </c>
      <c r="R139" s="9">
        <f t="shared" si="24"/>
        <v>1.4084507042253522</v>
      </c>
      <c r="S139" s="8" t="str">
        <f t="array" ref="S139">IF(R139&gt;5,"Perlu Sensus",IF(AND(R139&gt;=0,O139&gt;0),"Tetap Deteksi","Belum Deteksi"))</f>
        <v>Tetap Deteksi</v>
      </c>
      <c r="T139" s="143">
        <v>4</v>
      </c>
      <c r="U139" s="9">
        <f t="shared" si="29"/>
        <v>1.8779342723004695</v>
      </c>
      <c r="V139" s="11">
        <v>46246</v>
      </c>
      <c r="W139" s="143">
        <v>187</v>
      </c>
      <c r="X139" s="143">
        <v>3</v>
      </c>
      <c r="Y139" s="9">
        <f t="shared" si="25"/>
        <v>1.6042780748663104</v>
      </c>
      <c r="Z139" s="8" t="str">
        <f t="array" ref="Z139">IF(Y139&gt;5,"Perlu Sensus",IF(AND(Y139&gt;=0,W139&gt;0),"Tetap Deteksi","Belum Deteksi"))</f>
        <v>Tetap Deteksi</v>
      </c>
      <c r="AA139" s="143">
        <v>2</v>
      </c>
      <c r="AB139" s="9">
        <f t="shared" si="30"/>
        <v>1.0695187165775399</v>
      </c>
      <c r="AC139" s="11"/>
      <c r="AD139" s="143"/>
      <c r="AE139" s="9">
        <f t="array" ref="AE139">IFERROR(AD139/$G139*100,0)</f>
        <v>0</v>
      </c>
      <c r="AF139" s="143"/>
      <c r="AG139" s="9">
        <f t="shared" si="26"/>
        <v>0</v>
      </c>
      <c r="AH139" s="8" t="str">
        <f t="array" ref="AH139">IF(AG139&gt;5,"Perlu Sensus",IF(AND(AG139&gt;=0,AD139&gt;0),"Tetap Deteksi","Belum Deteksi"))</f>
        <v>Belum Deteksi</v>
      </c>
      <c r="AI139" s="143"/>
      <c r="AJ139" s="9">
        <f t="shared" si="31"/>
        <v>0</v>
      </c>
      <c r="AK139" s="11"/>
      <c r="AL139" s="143"/>
      <c r="AM139" s="143"/>
      <c r="AN139" s="9">
        <f t="shared" si="27"/>
        <v>0</v>
      </c>
      <c r="AO139" s="8" t="str">
        <f t="array" ref="AO139">IF(AN139&gt;5,"Perlu Sensus",IF(AND(AN139&gt;=0,AL139&gt;0),"Tetap Deteksi","Belum Deteksi"))</f>
        <v>Belum Deteksi</v>
      </c>
      <c r="AP139" s="143"/>
      <c r="AQ139" s="9">
        <f t="shared" si="32"/>
        <v>0</v>
      </c>
    </row>
    <row r="140" spans="1:43" outlineLevel="1" x14ac:dyDescent="0.15">
      <c r="A140" s="8" t="s">
        <v>1914</v>
      </c>
      <c r="B140" s="8"/>
      <c r="C140" s="8" t="s">
        <v>252</v>
      </c>
      <c r="D140" s="186" t="s">
        <v>1139</v>
      </c>
      <c r="E140" s="9">
        <v>24.97</v>
      </c>
      <c r="F140" s="8" t="s">
        <v>1740</v>
      </c>
      <c r="G140" s="10">
        <v>3185</v>
      </c>
      <c r="H140" s="11">
        <f t="array" ref="H140">IF(OR(N140&gt;0,AC140&gt;0),MAX(N140,AC140),MAX(AK140,V140))</f>
        <v>46249</v>
      </c>
      <c r="I140" s="143">
        <f t="array" ref="I140">IF(SUM(O140,AD140)&gt;0,SUM(O140,AD140),SUM(AL140,W140))</f>
        <v>222</v>
      </c>
      <c r="J140" s="9">
        <f t="shared" si="22"/>
        <v>6.9701726844583991</v>
      </c>
      <c r="K140" s="143">
        <f t="shared" si="28"/>
        <v>5</v>
      </c>
      <c r="L140" s="9">
        <f t="shared" si="23"/>
        <v>2.2522522522522523</v>
      </c>
      <c r="M140" s="8" t="str">
        <f t="array" ref="M140">IF(L140&gt;5,"Perlu Sensus",IF(AND(L140&gt;=0,I140&gt;0),"Tetap Deteksi","Belum Deteksi"))</f>
        <v>Tetap Deteksi</v>
      </c>
      <c r="N140" s="11">
        <v>46249</v>
      </c>
      <c r="O140" s="143">
        <v>222</v>
      </c>
      <c r="P140" s="9">
        <f t="array" ref="P140">IFERROR(O140/$G140*100,0)</f>
        <v>6.9701726844583991</v>
      </c>
      <c r="Q140" s="143">
        <v>5</v>
      </c>
      <c r="R140" s="9">
        <f t="shared" si="24"/>
        <v>2.2522522522522523</v>
      </c>
      <c r="S140" s="8" t="str">
        <f t="array" ref="S140">IF(R140&gt;5,"Perlu Sensus",IF(AND(R140&gt;=0,O140&gt;0),"Tetap Deteksi","Belum Deteksi"))</f>
        <v>Tetap Deteksi</v>
      </c>
      <c r="T140" s="143">
        <v>3</v>
      </c>
      <c r="U140" s="9">
        <f t="shared" si="29"/>
        <v>1.3513513513513513</v>
      </c>
      <c r="V140" s="11">
        <v>46245</v>
      </c>
      <c r="W140" s="143">
        <v>226</v>
      </c>
      <c r="X140" s="143">
        <v>5</v>
      </c>
      <c r="Y140" s="9">
        <f t="shared" si="25"/>
        <v>2.2123893805309733</v>
      </c>
      <c r="Z140" s="8" t="str">
        <f t="array" ref="Z140">IF(Y140&gt;5,"Perlu Sensus",IF(AND(Y140&gt;=0,W140&gt;0),"Tetap Deteksi","Belum Deteksi"))</f>
        <v>Tetap Deteksi</v>
      </c>
      <c r="AA140" s="143">
        <v>3</v>
      </c>
      <c r="AB140" s="9">
        <f t="shared" si="30"/>
        <v>1.3274336283185841</v>
      </c>
      <c r="AC140" s="11"/>
      <c r="AD140" s="143"/>
      <c r="AE140" s="9">
        <f t="array" ref="AE140">IFERROR(AD140/$G140*100,0)</f>
        <v>0</v>
      </c>
      <c r="AF140" s="143"/>
      <c r="AG140" s="9">
        <f t="shared" si="26"/>
        <v>0</v>
      </c>
      <c r="AH140" s="8" t="str">
        <f t="array" ref="AH140">IF(AG140&gt;5,"Perlu Sensus",IF(AND(AG140&gt;=0,AD140&gt;0),"Tetap Deteksi","Belum Deteksi"))</f>
        <v>Belum Deteksi</v>
      </c>
      <c r="AI140" s="143"/>
      <c r="AJ140" s="9">
        <f t="shared" si="31"/>
        <v>0</v>
      </c>
      <c r="AK140" s="11"/>
      <c r="AL140" s="143"/>
      <c r="AM140" s="143"/>
      <c r="AN140" s="9">
        <f t="shared" si="27"/>
        <v>0</v>
      </c>
      <c r="AO140" s="8" t="str">
        <f t="array" ref="AO140">IF(AN140&gt;5,"Perlu Sensus",IF(AND(AN140&gt;=0,AL140&gt;0),"Tetap Deteksi","Belum Deteksi"))</f>
        <v>Belum Deteksi</v>
      </c>
      <c r="AP140" s="143"/>
      <c r="AQ140" s="9">
        <f t="shared" si="32"/>
        <v>0</v>
      </c>
    </row>
    <row r="141" spans="1:43" outlineLevel="1" x14ac:dyDescent="0.15">
      <c r="A141" s="8" t="s">
        <v>1914</v>
      </c>
      <c r="B141" s="8"/>
      <c r="C141" s="8" t="s">
        <v>252</v>
      </c>
      <c r="D141" s="186" t="s">
        <v>1450</v>
      </c>
      <c r="E141" s="9">
        <v>35.94</v>
      </c>
      <c r="F141" s="8" t="s">
        <v>1740</v>
      </c>
      <c r="G141" s="10">
        <v>4684</v>
      </c>
      <c r="H141" s="11">
        <f t="array" ref="H141">IF(OR(N141&gt;0,AC141&gt;0),MAX(N141,AC141),MAX(AK141,V141))</f>
        <v>46237</v>
      </c>
      <c r="I141" s="143">
        <f t="array" ref="I141">IF(SUM(O141,AD141)&gt;0,SUM(O141,AD141),SUM(AL141,W141))</f>
        <v>203</v>
      </c>
      <c r="J141" s="9">
        <f t="shared" si="22"/>
        <v>4.3339026473099915</v>
      </c>
      <c r="K141" s="143">
        <f t="shared" si="28"/>
        <v>9.9999999999999995E-8</v>
      </c>
      <c r="L141" s="9">
        <f t="shared" si="23"/>
        <v>4.9261083743842361E-8</v>
      </c>
      <c r="M141" s="8" t="str">
        <f t="array" ref="M141">IF(L141&gt;5,"Perlu Sensus",IF(AND(L141&gt;=0,I141&gt;0),"Tetap Deteksi","Belum Deteksi"))</f>
        <v>Tetap Deteksi</v>
      </c>
      <c r="N141" s="11">
        <v>46237</v>
      </c>
      <c r="O141" s="143">
        <v>203</v>
      </c>
      <c r="P141" s="9">
        <f t="array" ref="P141">IFERROR(O141/$G141*100,0)</f>
        <v>4.3339026473099915</v>
      </c>
      <c r="Q141" s="143">
        <v>9.9999999999999995E-8</v>
      </c>
      <c r="R141" s="9">
        <f t="shared" si="24"/>
        <v>4.9261083743842361E-8</v>
      </c>
      <c r="S141" s="8" t="str">
        <f t="array" ref="S141">IF(R141&gt;5,"Perlu Sensus",IF(AND(R141&gt;=0,O141&gt;0),"Tetap Deteksi","Belum Deteksi"))</f>
        <v>Tetap Deteksi</v>
      </c>
      <c r="T141" s="143">
        <v>2</v>
      </c>
      <c r="U141" s="9">
        <f t="shared" si="29"/>
        <v>0.98522167487684731</v>
      </c>
      <c r="V141" s="11">
        <v>46235</v>
      </c>
      <c r="W141" s="143">
        <v>198</v>
      </c>
      <c r="X141" s="143">
        <v>1.0000000000000001E-9</v>
      </c>
      <c r="Y141" s="9">
        <f t="shared" si="25"/>
        <v>5.0505050505050507E-10</v>
      </c>
      <c r="Z141" s="8" t="str">
        <f t="array" ref="Z141">IF(Y141&gt;5,"Perlu Sensus",IF(AND(Y141&gt;=0,W141&gt;0),"Tetap Deteksi","Belum Deteksi"))</f>
        <v>Tetap Deteksi</v>
      </c>
      <c r="AA141" s="143">
        <v>2</v>
      </c>
      <c r="AB141" s="9">
        <f t="shared" si="30"/>
        <v>1.0101010101010102</v>
      </c>
      <c r="AC141" s="11"/>
      <c r="AD141" s="143"/>
      <c r="AE141" s="9">
        <f t="array" ref="AE141">IFERROR(AD141/$G141*100,0)</f>
        <v>0</v>
      </c>
      <c r="AF141" s="143"/>
      <c r="AG141" s="9">
        <f t="shared" si="26"/>
        <v>0</v>
      </c>
      <c r="AH141" s="8" t="str">
        <f t="array" ref="AH141">IF(AG141&gt;5,"Perlu Sensus",IF(AND(AG141&gt;=0,AD141&gt;0),"Tetap Deteksi","Belum Deteksi"))</f>
        <v>Belum Deteksi</v>
      </c>
      <c r="AI141" s="143"/>
      <c r="AJ141" s="9">
        <f t="shared" si="31"/>
        <v>0</v>
      </c>
      <c r="AK141" s="11"/>
      <c r="AL141" s="143"/>
      <c r="AM141" s="143"/>
      <c r="AN141" s="9">
        <f t="shared" si="27"/>
        <v>0</v>
      </c>
      <c r="AO141" s="8" t="str">
        <f t="array" ref="AO141">IF(AN141&gt;5,"Perlu Sensus",IF(AND(AN141&gt;=0,AL141&gt;0),"Tetap Deteksi","Belum Deteksi"))</f>
        <v>Belum Deteksi</v>
      </c>
      <c r="AP141" s="143"/>
      <c r="AQ141" s="9">
        <f t="shared" si="32"/>
        <v>0</v>
      </c>
    </row>
    <row r="142" spans="1:43" outlineLevel="1" x14ac:dyDescent="0.15">
      <c r="A142" s="8" t="s">
        <v>1914</v>
      </c>
      <c r="B142" s="8"/>
      <c r="C142" s="8" t="s">
        <v>252</v>
      </c>
      <c r="D142" s="186" t="s">
        <v>1452</v>
      </c>
      <c r="E142" s="9">
        <v>23.4</v>
      </c>
      <c r="F142" s="8" t="s">
        <v>1740</v>
      </c>
      <c r="G142" s="10">
        <v>3261</v>
      </c>
      <c r="H142" s="11">
        <f t="array" ref="H142">IF(OR(N142&gt;0,AC142&gt;0),MAX(N142,AC142),MAX(AK142,V142))</f>
        <v>46237</v>
      </c>
      <c r="I142" s="143">
        <f t="array" ref="I142">IF(SUM(O142,AD142)&gt;0,SUM(O142,AD142),SUM(AL142,W142))</f>
        <v>173</v>
      </c>
      <c r="J142" s="9">
        <f t="shared" si="22"/>
        <v>5.3051211284881941</v>
      </c>
      <c r="K142" s="143">
        <f t="shared" si="28"/>
        <v>3</v>
      </c>
      <c r="L142" s="9">
        <f t="shared" si="23"/>
        <v>1.7341040462427744</v>
      </c>
      <c r="M142" s="8" t="str">
        <f t="array" ref="M142">IF(L142&gt;5,"Perlu Sensus",IF(AND(L142&gt;=0,I142&gt;0),"Tetap Deteksi","Belum Deteksi"))</f>
        <v>Tetap Deteksi</v>
      </c>
      <c r="N142" s="11">
        <v>46237</v>
      </c>
      <c r="O142" s="143">
        <v>173</v>
      </c>
      <c r="P142" s="9">
        <f t="array" ref="P142">IFERROR(O142/$G142*100,0)</f>
        <v>5.3051211284881941</v>
      </c>
      <c r="Q142" s="143">
        <v>3</v>
      </c>
      <c r="R142" s="9">
        <f t="shared" si="24"/>
        <v>1.7341040462427744</v>
      </c>
      <c r="S142" s="8" t="str">
        <f t="array" ref="S142">IF(R142&gt;5,"Perlu Sensus",IF(AND(R142&gt;=0,O142&gt;0),"Tetap Deteksi","Belum Deteksi"))</f>
        <v>Tetap Deteksi</v>
      </c>
      <c r="T142" s="143">
        <v>2</v>
      </c>
      <c r="U142" s="9">
        <f t="shared" si="29"/>
        <v>1.1560693641618496</v>
      </c>
      <c r="V142" s="11">
        <v>46237</v>
      </c>
      <c r="W142" s="143">
        <v>204</v>
      </c>
      <c r="X142" s="143">
        <v>3</v>
      </c>
      <c r="Y142" s="9">
        <f t="shared" si="25"/>
        <v>1.4705882352941175</v>
      </c>
      <c r="Z142" s="8" t="str">
        <f t="array" ref="Z142">IF(Y142&gt;5,"Perlu Sensus",IF(AND(Y142&gt;=0,W142&gt;0),"Tetap Deteksi","Belum Deteksi"))</f>
        <v>Tetap Deteksi</v>
      </c>
      <c r="AA142" s="143">
        <v>2</v>
      </c>
      <c r="AB142" s="9">
        <f t="shared" si="30"/>
        <v>0.98039215686274506</v>
      </c>
      <c r="AC142" s="11"/>
      <c r="AD142" s="143"/>
      <c r="AE142" s="9">
        <f t="array" ref="AE142">IFERROR(AD142/$G142*100,0)</f>
        <v>0</v>
      </c>
      <c r="AF142" s="143"/>
      <c r="AG142" s="9">
        <f t="shared" si="26"/>
        <v>0</v>
      </c>
      <c r="AH142" s="8" t="str">
        <f t="array" ref="AH142">IF(AG142&gt;5,"Perlu Sensus",IF(AND(AG142&gt;=0,AD142&gt;0),"Tetap Deteksi","Belum Deteksi"))</f>
        <v>Belum Deteksi</v>
      </c>
      <c r="AI142" s="143"/>
      <c r="AJ142" s="9">
        <f t="shared" si="31"/>
        <v>0</v>
      </c>
      <c r="AK142" s="11"/>
      <c r="AL142" s="143"/>
      <c r="AM142" s="143"/>
      <c r="AN142" s="9">
        <f t="shared" si="27"/>
        <v>0</v>
      </c>
      <c r="AO142" s="8" t="str">
        <f t="array" ref="AO142">IF(AN142&gt;5,"Perlu Sensus",IF(AND(AN142&gt;=0,AL142&gt;0),"Tetap Deteksi","Belum Deteksi"))</f>
        <v>Belum Deteksi</v>
      </c>
      <c r="AP142" s="143"/>
      <c r="AQ142" s="9">
        <f t="shared" si="32"/>
        <v>0</v>
      </c>
    </row>
    <row r="143" spans="1:43" outlineLevel="1" x14ac:dyDescent="0.15">
      <c r="A143" s="8" t="s">
        <v>1914</v>
      </c>
      <c r="B143" s="8"/>
      <c r="C143" s="8" t="s">
        <v>252</v>
      </c>
      <c r="D143" s="186" t="s">
        <v>1454</v>
      </c>
      <c r="E143" s="9">
        <v>39.700000000000003</v>
      </c>
      <c r="F143" s="8" t="s">
        <v>1740</v>
      </c>
      <c r="G143" s="10">
        <v>5003</v>
      </c>
      <c r="H143" s="11">
        <f t="array" ref="H143">IF(OR(N143&gt;0,AC143&gt;0),MAX(N143,AC143),MAX(AK143,V143))</f>
        <v>46238</v>
      </c>
      <c r="I143" s="143">
        <f t="array" ref="I143">IF(SUM(O143,AD143)&gt;0,SUM(O143,AD143),SUM(AL143,W143))</f>
        <v>212</v>
      </c>
      <c r="J143" s="9">
        <f t="shared" si="22"/>
        <v>4.2374575254847091</v>
      </c>
      <c r="K143" s="143">
        <f t="shared" si="28"/>
        <v>2</v>
      </c>
      <c r="L143" s="9">
        <f t="shared" si="23"/>
        <v>0.94339622641509435</v>
      </c>
      <c r="M143" s="8" t="str">
        <f t="array" ref="M143">IF(L143&gt;5,"Perlu Sensus",IF(AND(L143&gt;=0,I143&gt;0),"Tetap Deteksi","Belum Deteksi"))</f>
        <v>Tetap Deteksi</v>
      </c>
      <c r="N143" s="11">
        <v>46238</v>
      </c>
      <c r="O143" s="143">
        <v>212</v>
      </c>
      <c r="P143" s="9">
        <f t="array" ref="P143">IFERROR(O143/$G143*100,0)</f>
        <v>4.2374575254847091</v>
      </c>
      <c r="Q143" s="143">
        <v>2</v>
      </c>
      <c r="R143" s="9">
        <f t="shared" si="24"/>
        <v>0.94339622641509435</v>
      </c>
      <c r="S143" s="8" t="str">
        <f t="array" ref="S143">IF(R143&gt;5,"Perlu Sensus",IF(AND(R143&gt;=0,O143&gt;0),"Tetap Deteksi","Belum Deteksi"))</f>
        <v>Tetap Deteksi</v>
      </c>
      <c r="T143" s="143">
        <v>1E-8</v>
      </c>
      <c r="U143" s="9">
        <f t="shared" si="29"/>
        <v>4.7169811320754717E-9</v>
      </c>
      <c r="V143" s="11">
        <v>46238</v>
      </c>
      <c r="W143" s="143">
        <v>241</v>
      </c>
      <c r="X143" s="143">
        <v>4</v>
      </c>
      <c r="Y143" s="9">
        <f t="shared" si="25"/>
        <v>1.6597510373443984</v>
      </c>
      <c r="Z143" s="8" t="str">
        <f t="array" ref="Z143">IF(Y143&gt;5,"Perlu Sensus",IF(AND(Y143&gt;=0,W143&gt;0),"Tetap Deteksi","Belum Deteksi"))</f>
        <v>Tetap Deteksi</v>
      </c>
      <c r="AA143" s="143">
        <v>4</v>
      </c>
      <c r="AB143" s="9">
        <f t="shared" si="30"/>
        <v>1.6597510373443984</v>
      </c>
      <c r="AC143" s="11"/>
      <c r="AD143" s="143"/>
      <c r="AE143" s="9">
        <f t="array" ref="AE143">IFERROR(AD143/$G143*100,0)</f>
        <v>0</v>
      </c>
      <c r="AF143" s="143"/>
      <c r="AG143" s="9">
        <f t="shared" si="26"/>
        <v>0</v>
      </c>
      <c r="AH143" s="8" t="str">
        <f t="array" ref="AH143">IF(AG143&gt;5,"Perlu Sensus",IF(AND(AG143&gt;=0,AD143&gt;0),"Tetap Deteksi","Belum Deteksi"))</f>
        <v>Belum Deteksi</v>
      </c>
      <c r="AI143" s="143"/>
      <c r="AJ143" s="9">
        <f t="shared" si="31"/>
        <v>0</v>
      </c>
      <c r="AK143" s="11"/>
      <c r="AL143" s="143"/>
      <c r="AM143" s="143"/>
      <c r="AN143" s="9">
        <f t="shared" si="27"/>
        <v>0</v>
      </c>
      <c r="AO143" s="8" t="str">
        <f t="array" ref="AO143">IF(AN143&gt;5,"Perlu Sensus",IF(AND(AN143&gt;=0,AL143&gt;0),"Tetap Deteksi","Belum Deteksi"))</f>
        <v>Belum Deteksi</v>
      </c>
      <c r="AP143" s="143"/>
      <c r="AQ143" s="9">
        <f t="shared" si="32"/>
        <v>0</v>
      </c>
    </row>
    <row r="144" spans="1:43" outlineLevel="1" x14ac:dyDescent="0.15">
      <c r="A144" s="8" t="s">
        <v>1914</v>
      </c>
      <c r="B144" s="8"/>
      <c r="C144" s="8" t="s">
        <v>252</v>
      </c>
      <c r="D144" s="186" t="s">
        <v>1455</v>
      </c>
      <c r="E144" s="9">
        <v>23.65</v>
      </c>
      <c r="F144" s="8" t="s">
        <v>1740</v>
      </c>
      <c r="G144" s="10">
        <v>3206.0000000000005</v>
      </c>
      <c r="H144" s="11">
        <f t="array" ref="H144">IF(OR(N144&gt;0,AC144&gt;0),MAX(N144,AC144),MAX(AK144,V144))</f>
        <v>46238</v>
      </c>
      <c r="I144" s="143">
        <f t="array" ref="I144">IF(SUM(O144,AD144)&gt;0,SUM(O144,AD144),SUM(AL144,W144))</f>
        <v>202</v>
      </c>
      <c r="J144" s="9">
        <f t="shared" si="22"/>
        <v>6.3006862133499677</v>
      </c>
      <c r="K144" s="143">
        <f t="shared" si="28"/>
        <v>5</v>
      </c>
      <c r="L144" s="9">
        <f t="shared" si="23"/>
        <v>2.4752475247524752</v>
      </c>
      <c r="M144" s="8" t="str">
        <f t="array" ref="M144">IF(L144&gt;5,"Perlu Sensus",IF(AND(L144&gt;=0,I144&gt;0),"Tetap Deteksi","Belum Deteksi"))</f>
        <v>Tetap Deteksi</v>
      </c>
      <c r="N144" s="11">
        <v>46238</v>
      </c>
      <c r="O144" s="143">
        <v>202</v>
      </c>
      <c r="P144" s="9">
        <f t="array" ref="P144">IFERROR(O144/$G144*100,0)</f>
        <v>6.3006862133499677</v>
      </c>
      <c r="Q144" s="143">
        <v>5</v>
      </c>
      <c r="R144" s="9">
        <f t="shared" si="24"/>
        <v>2.4752475247524752</v>
      </c>
      <c r="S144" s="8" t="str">
        <f t="array" ref="S144">IF(R144&gt;5,"Perlu Sensus",IF(AND(R144&gt;=0,O144&gt;0),"Tetap Deteksi","Belum Deteksi"))</f>
        <v>Tetap Deteksi</v>
      </c>
      <c r="T144" s="143">
        <v>4</v>
      </c>
      <c r="U144" s="9">
        <f t="shared" si="29"/>
        <v>1.9801980198019802</v>
      </c>
      <c r="V144" s="11">
        <v>46238</v>
      </c>
      <c r="W144" s="143">
        <v>201</v>
      </c>
      <c r="X144" s="143">
        <v>2</v>
      </c>
      <c r="Y144" s="9">
        <f t="shared" si="25"/>
        <v>0.99502487562189057</v>
      </c>
      <c r="Z144" s="8" t="str">
        <f t="array" ref="Z144">IF(Y144&gt;5,"Perlu Sensus",IF(AND(Y144&gt;=0,W144&gt;0),"Tetap Deteksi","Belum Deteksi"))</f>
        <v>Tetap Deteksi</v>
      </c>
      <c r="AA144" s="143">
        <v>3</v>
      </c>
      <c r="AB144" s="9">
        <f t="shared" si="30"/>
        <v>1.4925373134328357</v>
      </c>
      <c r="AC144" s="11"/>
      <c r="AD144" s="143"/>
      <c r="AE144" s="9">
        <f t="array" ref="AE144">IFERROR(AD144/$G144*100,0)</f>
        <v>0</v>
      </c>
      <c r="AF144" s="143"/>
      <c r="AG144" s="9">
        <f t="shared" si="26"/>
        <v>0</v>
      </c>
      <c r="AH144" s="8" t="str">
        <f t="array" ref="AH144">IF(AG144&gt;5,"Perlu Sensus",IF(AND(AG144&gt;=0,AD144&gt;0),"Tetap Deteksi","Belum Deteksi"))</f>
        <v>Belum Deteksi</v>
      </c>
      <c r="AI144" s="143"/>
      <c r="AJ144" s="9">
        <f t="shared" si="31"/>
        <v>0</v>
      </c>
      <c r="AK144" s="11"/>
      <c r="AL144" s="143"/>
      <c r="AM144" s="143"/>
      <c r="AN144" s="9">
        <f t="shared" si="27"/>
        <v>0</v>
      </c>
      <c r="AO144" s="8" t="str">
        <f t="array" ref="AO144">IF(AN144&gt;5,"Perlu Sensus",IF(AND(AN144&gt;=0,AL144&gt;0),"Tetap Deteksi","Belum Deteksi"))</f>
        <v>Belum Deteksi</v>
      </c>
      <c r="AP144" s="143"/>
      <c r="AQ144" s="9">
        <f t="shared" si="32"/>
        <v>0</v>
      </c>
    </row>
    <row r="145" spans="1:43" outlineLevel="1" x14ac:dyDescent="0.15">
      <c r="A145" s="8" t="s">
        <v>1914</v>
      </c>
      <c r="B145" s="8"/>
      <c r="C145" s="8" t="s">
        <v>252</v>
      </c>
      <c r="D145" s="186" t="s">
        <v>1104</v>
      </c>
      <c r="E145" s="9">
        <v>26.97</v>
      </c>
      <c r="F145" s="8" t="s">
        <v>1740</v>
      </c>
      <c r="G145" s="10">
        <v>3258</v>
      </c>
      <c r="H145" s="11">
        <f t="array" ref="H145">IF(OR(N145&gt;0,AC145&gt;0),MAX(N145,AC145),MAX(AK145,V145))</f>
        <v>46239</v>
      </c>
      <c r="I145" s="143">
        <f t="array" ref="I145">IF(SUM(O145,AD145)&gt;0,SUM(O145,AD145),SUM(AL145,W145))</f>
        <v>176</v>
      </c>
      <c r="J145" s="9">
        <f t="shared" si="22"/>
        <v>5.4020871700429716</v>
      </c>
      <c r="K145" s="143">
        <f t="shared" si="28"/>
        <v>4</v>
      </c>
      <c r="L145" s="9">
        <f t="shared" si="23"/>
        <v>2.2727272727272729</v>
      </c>
      <c r="M145" s="8" t="str">
        <f t="array" ref="M145">IF(L145&gt;5,"Perlu Sensus",IF(AND(L145&gt;=0,I145&gt;0),"Tetap Deteksi","Belum Deteksi"))</f>
        <v>Tetap Deteksi</v>
      </c>
      <c r="N145" s="11">
        <v>46239</v>
      </c>
      <c r="O145" s="143">
        <v>176</v>
      </c>
      <c r="P145" s="9">
        <f t="array" ref="P145">IFERROR(O145/$G145*100,0)</f>
        <v>5.4020871700429716</v>
      </c>
      <c r="Q145" s="143">
        <v>4</v>
      </c>
      <c r="R145" s="9">
        <f t="shared" si="24"/>
        <v>2.2727272727272729</v>
      </c>
      <c r="S145" s="8" t="str">
        <f t="array" ref="S145">IF(R145&gt;5,"Perlu Sensus",IF(AND(R145&gt;=0,O145&gt;0),"Tetap Deteksi","Belum Deteksi"))</f>
        <v>Tetap Deteksi</v>
      </c>
      <c r="T145" s="143">
        <v>5</v>
      </c>
      <c r="U145" s="9">
        <f t="shared" si="29"/>
        <v>2.8409090909090908</v>
      </c>
      <c r="V145" s="11">
        <v>46239</v>
      </c>
      <c r="W145" s="143">
        <v>218</v>
      </c>
      <c r="X145" s="143">
        <v>4</v>
      </c>
      <c r="Y145" s="9">
        <f t="shared" si="25"/>
        <v>1.834862385321101</v>
      </c>
      <c r="Z145" s="8" t="str">
        <f t="array" ref="Z145">IF(Y145&gt;5,"Perlu Sensus",IF(AND(Y145&gt;=0,W145&gt;0),"Tetap Deteksi","Belum Deteksi"))</f>
        <v>Tetap Deteksi</v>
      </c>
      <c r="AA145" s="143">
        <v>5</v>
      </c>
      <c r="AB145" s="9">
        <f t="shared" si="30"/>
        <v>2.2935779816513762</v>
      </c>
      <c r="AC145" s="11"/>
      <c r="AD145" s="143"/>
      <c r="AE145" s="9">
        <f t="array" ref="AE145">IFERROR(AD145/$G145*100,0)</f>
        <v>0</v>
      </c>
      <c r="AF145" s="143"/>
      <c r="AG145" s="9">
        <f t="shared" si="26"/>
        <v>0</v>
      </c>
      <c r="AH145" s="8" t="str">
        <f t="array" ref="AH145">IF(AG145&gt;5,"Perlu Sensus",IF(AND(AG145&gt;=0,AD145&gt;0),"Tetap Deteksi","Belum Deteksi"))</f>
        <v>Belum Deteksi</v>
      </c>
      <c r="AI145" s="143"/>
      <c r="AJ145" s="9">
        <f t="shared" si="31"/>
        <v>0</v>
      </c>
      <c r="AK145" s="11"/>
      <c r="AL145" s="143"/>
      <c r="AM145" s="143"/>
      <c r="AN145" s="9">
        <f t="shared" si="27"/>
        <v>0</v>
      </c>
      <c r="AO145" s="8" t="str">
        <f t="array" ref="AO145">IF(AN145&gt;5,"Perlu Sensus",IF(AND(AN145&gt;=0,AL145&gt;0),"Tetap Deteksi","Belum Deteksi"))</f>
        <v>Belum Deteksi</v>
      </c>
      <c r="AP145" s="143"/>
      <c r="AQ145" s="9">
        <f t="shared" si="32"/>
        <v>0</v>
      </c>
    </row>
    <row r="146" spans="1:43" outlineLevel="1" x14ac:dyDescent="0.15">
      <c r="A146" s="8" t="s">
        <v>1914</v>
      </c>
      <c r="B146" s="8"/>
      <c r="C146" s="8" t="s">
        <v>252</v>
      </c>
      <c r="D146" s="186" t="s">
        <v>1459</v>
      </c>
      <c r="E146" s="9">
        <v>46.84</v>
      </c>
      <c r="F146" s="8" t="s">
        <v>1740</v>
      </c>
      <c r="G146" s="10">
        <v>5838</v>
      </c>
      <c r="H146" s="11">
        <f t="array" ref="H146">IF(OR(N146&gt;0,AC146&gt;0),MAX(N146,AC146),MAX(AK146,V146))</f>
        <v>46240</v>
      </c>
      <c r="I146" s="143">
        <f t="array" ref="I146">IF(SUM(O146,AD146)&gt;0,SUM(O146,AD146),SUM(AL146,W146))</f>
        <v>127</v>
      </c>
      <c r="J146" s="9">
        <f t="shared" si="22"/>
        <v>2.1754025351147654</v>
      </c>
      <c r="K146" s="143">
        <f t="shared" si="28"/>
        <v>4</v>
      </c>
      <c r="L146" s="9">
        <f t="shared" si="23"/>
        <v>3.1496062992125982</v>
      </c>
      <c r="M146" s="8" t="str">
        <f t="array" ref="M146">IF(L146&gt;5,"Perlu Sensus",IF(AND(L146&gt;=0,I146&gt;0),"Tetap Deteksi","Belum Deteksi"))</f>
        <v>Tetap Deteksi</v>
      </c>
      <c r="N146" s="11">
        <v>46240</v>
      </c>
      <c r="O146" s="143">
        <v>127</v>
      </c>
      <c r="P146" s="9">
        <f t="array" ref="P146">IFERROR(O146/$G146*100,0)</f>
        <v>2.1754025351147654</v>
      </c>
      <c r="Q146" s="143">
        <v>4</v>
      </c>
      <c r="R146" s="9">
        <f t="shared" si="24"/>
        <v>3.1496062992125982</v>
      </c>
      <c r="S146" s="8" t="str">
        <f t="array" ref="S146">IF(R146&gt;5,"Perlu Sensus",IF(AND(R146&gt;=0,O146&gt;0),"Tetap Deteksi","Belum Deteksi"))</f>
        <v>Tetap Deteksi</v>
      </c>
      <c r="T146" s="143">
        <v>2</v>
      </c>
      <c r="U146" s="9">
        <f t="shared" si="29"/>
        <v>1.5748031496062991</v>
      </c>
      <c r="V146" s="11">
        <v>46240</v>
      </c>
      <c r="W146" s="143">
        <v>308</v>
      </c>
      <c r="X146" s="143">
        <v>5</v>
      </c>
      <c r="Y146" s="9">
        <f t="shared" si="25"/>
        <v>1.6233766233766231</v>
      </c>
      <c r="Z146" s="8" t="str">
        <f t="array" ref="Z146">IF(Y146&gt;5,"Perlu Sensus",IF(AND(Y146&gt;=0,W146&gt;0),"Tetap Deteksi","Belum Deteksi"))</f>
        <v>Tetap Deteksi</v>
      </c>
      <c r="AA146" s="143">
        <v>2</v>
      </c>
      <c r="AB146" s="9">
        <f t="shared" si="30"/>
        <v>0.64935064935064934</v>
      </c>
      <c r="AC146" s="11"/>
      <c r="AD146" s="143"/>
      <c r="AE146" s="9">
        <f t="array" ref="AE146">IFERROR(AD146/$G146*100,0)</f>
        <v>0</v>
      </c>
      <c r="AF146" s="143"/>
      <c r="AG146" s="9">
        <f t="shared" si="26"/>
        <v>0</v>
      </c>
      <c r="AH146" s="8" t="str">
        <f t="array" ref="AH146">IF(AG146&gt;5,"Perlu Sensus",IF(AND(AG146&gt;=0,AD146&gt;0),"Tetap Deteksi","Belum Deteksi"))</f>
        <v>Belum Deteksi</v>
      </c>
      <c r="AI146" s="143"/>
      <c r="AJ146" s="9">
        <f t="shared" si="31"/>
        <v>0</v>
      </c>
      <c r="AK146" s="11"/>
      <c r="AL146" s="143"/>
      <c r="AM146" s="143"/>
      <c r="AN146" s="9">
        <f t="shared" si="27"/>
        <v>0</v>
      </c>
      <c r="AO146" s="8" t="str">
        <f t="array" ref="AO146">IF(AN146&gt;5,"Perlu Sensus",IF(AND(AN146&gt;=0,AL146&gt;0),"Tetap Deteksi","Belum Deteksi"))</f>
        <v>Belum Deteksi</v>
      </c>
      <c r="AP146" s="143"/>
      <c r="AQ146" s="9">
        <f t="shared" si="32"/>
        <v>0</v>
      </c>
    </row>
    <row r="147" spans="1:43" outlineLevel="1" x14ac:dyDescent="0.15">
      <c r="A147" s="8" t="s">
        <v>1914</v>
      </c>
      <c r="B147" s="8"/>
      <c r="C147" s="8" t="s">
        <v>252</v>
      </c>
      <c r="D147" s="186" t="s">
        <v>1460</v>
      </c>
      <c r="E147" s="9">
        <v>26.5</v>
      </c>
      <c r="F147" s="8" t="s">
        <v>1740</v>
      </c>
      <c r="G147" s="10">
        <v>3388</v>
      </c>
      <c r="H147" s="11">
        <f t="array" ref="H147">IF(OR(N147&gt;0,AC147&gt;0),MAX(N147,AC147),MAX(AK147,V147))</f>
        <v>46240</v>
      </c>
      <c r="I147" s="143">
        <f t="array" ref="I147">IF(SUM(O147,AD147)&gt;0,SUM(O147,AD147),SUM(AL147,W147))</f>
        <v>209</v>
      </c>
      <c r="J147" s="9">
        <f t="shared" si="22"/>
        <v>6.1688311688311686</v>
      </c>
      <c r="K147" s="143">
        <f t="shared" si="28"/>
        <v>2</v>
      </c>
      <c r="L147" s="9">
        <f t="shared" si="23"/>
        <v>0.9569377990430622</v>
      </c>
      <c r="M147" s="8" t="str">
        <f t="array" ref="M147">IF(L147&gt;5,"Perlu Sensus",IF(AND(L147&gt;=0,I147&gt;0),"Tetap Deteksi","Belum Deteksi"))</f>
        <v>Tetap Deteksi</v>
      </c>
      <c r="N147" s="11">
        <v>46240</v>
      </c>
      <c r="O147" s="143">
        <v>209</v>
      </c>
      <c r="P147" s="9">
        <f t="array" ref="P147">IFERROR(O147/$G147*100,0)</f>
        <v>6.1688311688311686</v>
      </c>
      <c r="Q147" s="143">
        <v>2</v>
      </c>
      <c r="R147" s="9">
        <f t="shared" si="24"/>
        <v>0.9569377990430622</v>
      </c>
      <c r="S147" s="8" t="str">
        <f t="array" ref="S147">IF(R147&gt;5,"Perlu Sensus",IF(AND(R147&gt;=0,O147&gt;0),"Tetap Deteksi","Belum Deteksi"))</f>
        <v>Tetap Deteksi</v>
      </c>
      <c r="T147" s="143">
        <v>1</v>
      </c>
      <c r="U147" s="9">
        <f t="shared" si="29"/>
        <v>0.4784688995215311</v>
      </c>
      <c r="V147" s="11">
        <v>46240</v>
      </c>
      <c r="W147" s="143">
        <v>244</v>
      </c>
      <c r="X147" s="143">
        <v>4</v>
      </c>
      <c r="Y147" s="9">
        <f t="shared" si="25"/>
        <v>1.639344262295082</v>
      </c>
      <c r="Z147" s="8" t="str">
        <f t="array" ref="Z147">IF(Y147&gt;5,"Perlu Sensus",IF(AND(Y147&gt;=0,W147&gt;0),"Tetap Deteksi","Belum Deteksi"))</f>
        <v>Tetap Deteksi</v>
      </c>
      <c r="AA147" s="143">
        <v>1</v>
      </c>
      <c r="AB147" s="9">
        <f t="shared" si="30"/>
        <v>0.4098360655737705</v>
      </c>
      <c r="AC147" s="11"/>
      <c r="AD147" s="143"/>
      <c r="AE147" s="9">
        <f t="array" ref="AE147">IFERROR(AD147/$G147*100,0)</f>
        <v>0</v>
      </c>
      <c r="AF147" s="143"/>
      <c r="AG147" s="9">
        <f t="shared" si="26"/>
        <v>0</v>
      </c>
      <c r="AH147" s="8" t="str">
        <f t="array" ref="AH147">IF(AG147&gt;5,"Perlu Sensus",IF(AND(AG147&gt;=0,AD147&gt;0),"Tetap Deteksi","Belum Deteksi"))</f>
        <v>Belum Deteksi</v>
      </c>
      <c r="AI147" s="143"/>
      <c r="AJ147" s="9">
        <f t="shared" si="31"/>
        <v>0</v>
      </c>
      <c r="AK147" s="11"/>
      <c r="AL147" s="143"/>
      <c r="AM147" s="143"/>
      <c r="AN147" s="9">
        <f t="shared" si="27"/>
        <v>0</v>
      </c>
      <c r="AO147" s="8" t="str">
        <f t="array" ref="AO147">IF(AN147&gt;5,"Perlu Sensus",IF(AND(AN147&gt;=0,AL147&gt;0),"Tetap Deteksi","Belum Deteksi"))</f>
        <v>Belum Deteksi</v>
      </c>
      <c r="AP147" s="143"/>
      <c r="AQ147" s="9">
        <f t="shared" si="32"/>
        <v>0</v>
      </c>
    </row>
    <row r="148" spans="1:43" outlineLevel="1" x14ac:dyDescent="0.15">
      <c r="A148" s="8" t="s">
        <v>1914</v>
      </c>
      <c r="B148" s="8"/>
      <c r="C148" s="8" t="s">
        <v>252</v>
      </c>
      <c r="D148" s="186" t="s">
        <v>1461</v>
      </c>
      <c r="E148" s="9">
        <v>28.72</v>
      </c>
      <c r="F148" s="8" t="s">
        <v>1740</v>
      </c>
      <c r="G148" s="10">
        <v>3812</v>
      </c>
      <c r="H148" s="11">
        <f t="array" ref="H148">IF(OR(N148&gt;0,AC148&gt;0),MAX(N148,AC148),MAX(AK148,V148))</f>
        <v>46244</v>
      </c>
      <c r="I148" s="143">
        <f t="array" ref="I148">IF(SUM(O148,AD148)&gt;0,SUM(O148,AD148),SUM(AL148,W148))</f>
        <v>218</v>
      </c>
      <c r="J148" s="9">
        <f t="shared" si="22"/>
        <v>5.7187827911857294</v>
      </c>
      <c r="K148" s="143">
        <f t="shared" si="28"/>
        <v>5</v>
      </c>
      <c r="L148" s="9">
        <f t="shared" si="23"/>
        <v>2.2935779816513762</v>
      </c>
      <c r="M148" s="8" t="str">
        <f t="array" ref="M148">IF(L148&gt;5,"Perlu Sensus",IF(AND(L148&gt;=0,I148&gt;0),"Tetap Deteksi","Belum Deteksi"))</f>
        <v>Tetap Deteksi</v>
      </c>
      <c r="N148" s="11">
        <v>46244</v>
      </c>
      <c r="O148" s="143">
        <v>218</v>
      </c>
      <c r="P148" s="9">
        <f t="array" ref="P148">IFERROR(O148/$G148*100,0)</f>
        <v>5.7187827911857294</v>
      </c>
      <c r="Q148" s="143">
        <v>5</v>
      </c>
      <c r="R148" s="9">
        <f t="shared" si="24"/>
        <v>2.2935779816513762</v>
      </c>
      <c r="S148" s="8" t="str">
        <f t="array" ref="S148">IF(R148&gt;5,"Perlu Sensus",IF(AND(R148&gt;=0,O148&gt;0),"Tetap Deteksi","Belum Deteksi"))</f>
        <v>Tetap Deteksi</v>
      </c>
      <c r="T148" s="143">
        <v>4</v>
      </c>
      <c r="U148" s="9">
        <f t="shared" si="29"/>
        <v>1.834862385321101</v>
      </c>
      <c r="V148" s="11">
        <v>46240</v>
      </c>
      <c r="W148" s="143">
        <v>291</v>
      </c>
      <c r="X148" s="143">
        <v>4</v>
      </c>
      <c r="Y148" s="9">
        <f t="shared" si="25"/>
        <v>1.3745704467353952</v>
      </c>
      <c r="Z148" s="8" t="str">
        <f t="array" ref="Z148">IF(Y148&gt;5,"Perlu Sensus",IF(AND(Y148&gt;=0,W148&gt;0),"Tetap Deteksi","Belum Deteksi"))</f>
        <v>Tetap Deteksi</v>
      </c>
      <c r="AA148" s="143">
        <v>3</v>
      </c>
      <c r="AB148" s="9">
        <f t="shared" si="30"/>
        <v>1.0309278350515463</v>
      </c>
      <c r="AC148" s="11"/>
      <c r="AD148" s="143"/>
      <c r="AE148" s="9">
        <f t="array" ref="AE148">IFERROR(AD148/$G148*100,0)</f>
        <v>0</v>
      </c>
      <c r="AF148" s="143"/>
      <c r="AG148" s="9">
        <f t="shared" si="26"/>
        <v>0</v>
      </c>
      <c r="AH148" s="8" t="str">
        <f t="array" ref="AH148">IF(AG148&gt;5,"Perlu Sensus",IF(AND(AG148&gt;=0,AD148&gt;0),"Tetap Deteksi","Belum Deteksi"))</f>
        <v>Belum Deteksi</v>
      </c>
      <c r="AI148" s="143"/>
      <c r="AJ148" s="9">
        <f t="shared" si="31"/>
        <v>0</v>
      </c>
      <c r="AK148" s="11"/>
      <c r="AL148" s="143"/>
      <c r="AM148" s="143"/>
      <c r="AN148" s="9">
        <f t="shared" si="27"/>
        <v>0</v>
      </c>
      <c r="AO148" s="8" t="str">
        <f t="array" ref="AO148">IF(AN148&gt;5,"Perlu Sensus",IF(AND(AN148&gt;=0,AL148&gt;0),"Tetap Deteksi","Belum Deteksi"))</f>
        <v>Belum Deteksi</v>
      </c>
      <c r="AP148" s="143"/>
      <c r="AQ148" s="9">
        <f t="shared" si="32"/>
        <v>0</v>
      </c>
    </row>
    <row r="149" spans="1:43" outlineLevel="1" x14ac:dyDescent="0.15">
      <c r="A149" s="8" t="s">
        <v>1914</v>
      </c>
      <c r="B149" s="8"/>
      <c r="C149" s="8" t="s">
        <v>252</v>
      </c>
      <c r="D149" s="186" t="s">
        <v>1109</v>
      </c>
      <c r="E149" s="9">
        <v>32.49</v>
      </c>
      <c r="F149" s="8" t="s">
        <v>1740</v>
      </c>
      <c r="G149" s="10">
        <v>4211</v>
      </c>
      <c r="H149" s="11">
        <f t="array" ref="H149">IF(OR(N149&gt;0,AC149&gt;0),MAX(N149,AC149),MAX(AK149,V149))</f>
        <v>46246</v>
      </c>
      <c r="I149" s="143">
        <f t="array" ref="I149">IF(SUM(O149,AD149)&gt;0,SUM(O149,AD149),SUM(AL149,W149))</f>
        <v>206</v>
      </c>
      <c r="J149" s="9">
        <f t="shared" si="22"/>
        <v>4.8919496556637379</v>
      </c>
      <c r="K149" s="143">
        <f t="shared" si="28"/>
        <v>5</v>
      </c>
      <c r="L149" s="9">
        <f t="shared" si="23"/>
        <v>2.4271844660194173</v>
      </c>
      <c r="M149" s="8" t="str">
        <f t="array" ref="M149">IF(L149&gt;5,"Perlu Sensus",IF(AND(L149&gt;=0,I149&gt;0),"Tetap Deteksi","Belum Deteksi"))</f>
        <v>Tetap Deteksi</v>
      </c>
      <c r="N149" s="11">
        <v>46246</v>
      </c>
      <c r="O149" s="143">
        <v>206</v>
      </c>
      <c r="P149" s="9">
        <f t="array" ref="P149">IFERROR(O149/$G149*100,0)</f>
        <v>4.8919496556637379</v>
      </c>
      <c r="Q149" s="143">
        <v>5</v>
      </c>
      <c r="R149" s="9">
        <f t="shared" si="24"/>
        <v>2.4271844660194173</v>
      </c>
      <c r="S149" s="8" t="str">
        <f t="array" ref="S149">IF(R149&gt;5,"Perlu Sensus",IF(AND(R149&gt;=0,O149&gt;0),"Tetap Deteksi","Belum Deteksi"))</f>
        <v>Tetap Deteksi</v>
      </c>
      <c r="T149" s="143">
        <v>3</v>
      </c>
      <c r="U149" s="9">
        <f t="shared" si="29"/>
        <v>1.4563106796116505</v>
      </c>
      <c r="V149" s="11">
        <v>46244</v>
      </c>
      <c r="W149" s="143">
        <v>219</v>
      </c>
      <c r="X149" s="143">
        <v>2</v>
      </c>
      <c r="Y149" s="9">
        <f t="shared" si="25"/>
        <v>0.91324200913242004</v>
      </c>
      <c r="Z149" s="8" t="str">
        <f t="array" ref="Z149">IF(Y149&gt;5,"Perlu Sensus",IF(AND(Y149&gt;=0,W149&gt;0),"Tetap Deteksi","Belum Deteksi"))</f>
        <v>Tetap Deteksi</v>
      </c>
      <c r="AA149" s="143">
        <v>3</v>
      </c>
      <c r="AB149" s="9">
        <f t="shared" si="30"/>
        <v>1.3698630136986301</v>
      </c>
      <c r="AC149" s="11"/>
      <c r="AD149" s="143"/>
      <c r="AE149" s="9">
        <f t="array" ref="AE149">IFERROR(AD149/$G149*100,0)</f>
        <v>0</v>
      </c>
      <c r="AF149" s="143"/>
      <c r="AG149" s="9">
        <f t="shared" si="26"/>
        <v>0</v>
      </c>
      <c r="AH149" s="8" t="str">
        <f t="array" ref="AH149">IF(AG149&gt;5,"Perlu Sensus",IF(AND(AG149&gt;=0,AD149&gt;0),"Tetap Deteksi","Belum Deteksi"))</f>
        <v>Belum Deteksi</v>
      </c>
      <c r="AI149" s="143"/>
      <c r="AJ149" s="9">
        <f t="shared" si="31"/>
        <v>0</v>
      </c>
      <c r="AK149" s="11"/>
      <c r="AL149" s="143"/>
      <c r="AM149" s="143"/>
      <c r="AN149" s="9">
        <f t="shared" si="27"/>
        <v>0</v>
      </c>
      <c r="AO149" s="8" t="str">
        <f t="array" ref="AO149">IF(AN149&gt;5,"Perlu Sensus",IF(AND(AN149&gt;=0,AL149&gt;0),"Tetap Deteksi","Belum Deteksi"))</f>
        <v>Belum Deteksi</v>
      </c>
      <c r="AP149" s="143"/>
      <c r="AQ149" s="9">
        <f t="shared" si="32"/>
        <v>0</v>
      </c>
    </row>
    <row r="150" spans="1:43" outlineLevel="1" x14ac:dyDescent="0.15">
      <c r="A150" s="8" t="s">
        <v>1914</v>
      </c>
      <c r="B150" s="8"/>
      <c r="C150" s="8" t="s">
        <v>252</v>
      </c>
      <c r="D150" s="186" t="s">
        <v>1137</v>
      </c>
      <c r="E150" s="9">
        <v>27.42</v>
      </c>
      <c r="F150" s="8" t="s">
        <v>1740</v>
      </c>
      <c r="G150" s="10">
        <v>3817</v>
      </c>
      <c r="H150" s="11">
        <f t="array" ref="H150">IF(OR(N150&gt;0,AC150&gt;0),MAX(N150,AC150),MAX(AK150,V150))</f>
        <v>46245</v>
      </c>
      <c r="I150" s="143">
        <f t="array" ref="I150">IF(SUM(O150,AD150)&gt;0,SUM(O150,AD150),SUM(AL150,W150))</f>
        <v>187</v>
      </c>
      <c r="J150" s="9">
        <f t="shared" si="22"/>
        <v>4.8991354466858787</v>
      </c>
      <c r="K150" s="143">
        <f t="shared" si="28"/>
        <v>3</v>
      </c>
      <c r="L150" s="9">
        <f t="shared" si="23"/>
        <v>1.6042780748663104</v>
      </c>
      <c r="M150" s="8" t="str">
        <f t="array" ref="M150">IF(L150&gt;5,"Perlu Sensus",IF(AND(L150&gt;=0,I150&gt;0),"Tetap Deteksi","Belum Deteksi"))</f>
        <v>Tetap Deteksi</v>
      </c>
      <c r="N150" s="11">
        <v>46245</v>
      </c>
      <c r="O150" s="143">
        <v>187</v>
      </c>
      <c r="P150" s="9">
        <f t="array" ref="P150">IFERROR(O150/$G150*100,0)</f>
        <v>4.8991354466858787</v>
      </c>
      <c r="Q150" s="143">
        <v>3</v>
      </c>
      <c r="R150" s="9">
        <f t="shared" si="24"/>
        <v>1.6042780748663104</v>
      </c>
      <c r="S150" s="8" t="str">
        <f t="array" ref="S150">IF(R150&gt;5,"Perlu Sensus",IF(AND(R150&gt;=0,O150&gt;0),"Tetap Deteksi","Belum Deteksi"))</f>
        <v>Tetap Deteksi</v>
      </c>
      <c r="T150" s="143">
        <v>1</v>
      </c>
      <c r="U150" s="9">
        <f t="shared" si="29"/>
        <v>0.53475935828876997</v>
      </c>
      <c r="V150" s="11">
        <v>46246</v>
      </c>
      <c r="W150" s="143">
        <v>167</v>
      </c>
      <c r="X150" s="143">
        <v>1</v>
      </c>
      <c r="Y150" s="9">
        <f t="shared" si="25"/>
        <v>0.5988023952095809</v>
      </c>
      <c r="Z150" s="8" t="str">
        <f t="array" ref="Z150">IF(Y150&gt;5,"Perlu Sensus",IF(AND(Y150&gt;=0,W150&gt;0),"Tetap Deteksi","Belum Deteksi"))</f>
        <v>Tetap Deteksi</v>
      </c>
      <c r="AA150" s="143">
        <v>1</v>
      </c>
      <c r="AB150" s="9">
        <f t="shared" si="30"/>
        <v>0.5988023952095809</v>
      </c>
      <c r="AC150" s="11"/>
      <c r="AD150" s="143"/>
      <c r="AE150" s="9">
        <f t="array" ref="AE150">IFERROR(AD150/$G150*100,0)</f>
        <v>0</v>
      </c>
      <c r="AF150" s="143"/>
      <c r="AG150" s="9">
        <f t="shared" si="26"/>
        <v>0</v>
      </c>
      <c r="AH150" s="8" t="str">
        <f t="array" ref="AH150">IF(AG150&gt;5,"Perlu Sensus",IF(AND(AG150&gt;=0,AD150&gt;0),"Tetap Deteksi","Belum Deteksi"))</f>
        <v>Belum Deteksi</v>
      </c>
      <c r="AI150" s="143"/>
      <c r="AJ150" s="9">
        <f t="shared" si="31"/>
        <v>0</v>
      </c>
      <c r="AK150" s="11"/>
      <c r="AL150" s="143"/>
      <c r="AM150" s="143"/>
      <c r="AN150" s="9">
        <f t="shared" si="27"/>
        <v>0</v>
      </c>
      <c r="AO150" s="8" t="str">
        <f t="array" ref="AO150">IF(AN150&gt;5,"Perlu Sensus",IF(AND(AN150&gt;=0,AL150&gt;0),"Tetap Deteksi","Belum Deteksi"))</f>
        <v>Belum Deteksi</v>
      </c>
      <c r="AP150" s="143"/>
      <c r="AQ150" s="9">
        <f t="shared" si="32"/>
        <v>0</v>
      </c>
    </row>
    <row r="151" spans="1:43" outlineLevel="1" x14ac:dyDescent="0.15">
      <c r="A151" s="8" t="s">
        <v>1914</v>
      </c>
      <c r="B151" s="8"/>
      <c r="C151" s="8" t="s">
        <v>252</v>
      </c>
      <c r="D151" s="186" t="s">
        <v>1138</v>
      </c>
      <c r="E151" s="9">
        <v>24.65</v>
      </c>
      <c r="F151" s="8" t="s">
        <v>1740</v>
      </c>
      <c r="G151" s="10">
        <v>3276.9999999999995</v>
      </c>
      <c r="H151" s="11">
        <f t="array" ref="H151">IF(OR(N151&gt;0,AC151&gt;0),MAX(N151,AC151),MAX(AK151,V151))</f>
        <v>46245</v>
      </c>
      <c r="I151" s="143">
        <f t="array" ref="I151">IF(SUM(O151,AD151)&gt;0,SUM(O151,AD151),SUM(AL151,W151))</f>
        <v>214</v>
      </c>
      <c r="J151" s="9">
        <f t="shared" si="22"/>
        <v>6.5303631370155646</v>
      </c>
      <c r="K151" s="143">
        <f t="shared" si="28"/>
        <v>2</v>
      </c>
      <c r="L151" s="9">
        <f t="shared" si="23"/>
        <v>0.93457943925233633</v>
      </c>
      <c r="M151" s="8" t="str">
        <f t="array" ref="M151">IF(L151&gt;5,"Perlu Sensus",IF(AND(L151&gt;=0,I151&gt;0),"Tetap Deteksi","Belum Deteksi"))</f>
        <v>Tetap Deteksi</v>
      </c>
      <c r="N151" s="11">
        <v>46245</v>
      </c>
      <c r="O151" s="143">
        <v>214</v>
      </c>
      <c r="P151" s="9">
        <f t="array" ref="P151">IFERROR(O151/$G151*100,0)</f>
        <v>6.5303631370155646</v>
      </c>
      <c r="Q151" s="143">
        <v>2</v>
      </c>
      <c r="R151" s="9">
        <f t="shared" si="24"/>
        <v>0.93457943925233633</v>
      </c>
      <c r="S151" s="8" t="str">
        <f t="array" ref="S151">IF(R151&gt;5,"Perlu Sensus",IF(AND(R151&gt;=0,O151&gt;0),"Tetap Deteksi","Belum Deteksi"))</f>
        <v>Tetap Deteksi</v>
      </c>
      <c r="T151" s="143">
        <v>9.9999999999999995E-7</v>
      </c>
      <c r="U151" s="9">
        <f t="shared" si="29"/>
        <v>4.6728971962616824E-7</v>
      </c>
      <c r="V151" s="11">
        <v>46245</v>
      </c>
      <c r="W151" s="143">
        <v>291</v>
      </c>
      <c r="X151" s="143">
        <v>4</v>
      </c>
      <c r="Y151" s="9">
        <f t="shared" si="25"/>
        <v>1.3745704467353952</v>
      </c>
      <c r="Z151" s="8" t="str">
        <f t="array" ref="Z151">IF(Y151&gt;5,"Perlu Sensus",IF(AND(Y151&gt;=0,W151&gt;0),"Tetap Deteksi","Belum Deteksi"))</f>
        <v>Tetap Deteksi</v>
      </c>
      <c r="AA151" s="143">
        <v>4</v>
      </c>
      <c r="AB151" s="9">
        <f t="shared" si="30"/>
        <v>1.3745704467353952</v>
      </c>
      <c r="AC151" s="11"/>
      <c r="AD151" s="143"/>
      <c r="AE151" s="9">
        <f t="array" ref="AE151">IFERROR(AD151/$G151*100,0)</f>
        <v>0</v>
      </c>
      <c r="AF151" s="143"/>
      <c r="AG151" s="9">
        <f t="shared" si="26"/>
        <v>0</v>
      </c>
      <c r="AH151" s="8" t="str">
        <f t="array" ref="AH151">IF(AG151&gt;5,"Perlu Sensus",IF(AND(AG151&gt;=0,AD151&gt;0),"Tetap Deteksi","Belum Deteksi"))</f>
        <v>Belum Deteksi</v>
      </c>
      <c r="AI151" s="143"/>
      <c r="AJ151" s="9">
        <f t="shared" si="31"/>
        <v>0</v>
      </c>
      <c r="AK151" s="11"/>
      <c r="AL151" s="143"/>
      <c r="AM151" s="143"/>
      <c r="AN151" s="9">
        <f t="shared" si="27"/>
        <v>0</v>
      </c>
      <c r="AO151" s="8" t="str">
        <f t="array" ref="AO151">IF(AN151&gt;5,"Perlu Sensus",IF(AND(AN151&gt;=0,AL151&gt;0),"Tetap Deteksi","Belum Deteksi"))</f>
        <v>Belum Deteksi</v>
      </c>
      <c r="AP151" s="143"/>
      <c r="AQ151" s="9">
        <f t="shared" si="32"/>
        <v>0</v>
      </c>
    </row>
    <row r="152" spans="1:43" outlineLevel="1" x14ac:dyDescent="0.15">
      <c r="A152" s="8" t="s">
        <v>1914</v>
      </c>
      <c r="B152" s="8"/>
      <c r="C152" s="8" t="s">
        <v>252</v>
      </c>
      <c r="D152" s="186" t="s">
        <v>1161</v>
      </c>
      <c r="E152" s="9">
        <v>25.08</v>
      </c>
      <c r="F152" s="8" t="s">
        <v>1740</v>
      </c>
      <c r="G152" s="10">
        <v>3255.0000000000005</v>
      </c>
      <c r="H152" s="11">
        <f t="array" ref="H152">IF(OR(N152&gt;0,AC152&gt;0),MAX(N152,AC152),MAX(AK152,V152))</f>
        <v>46249</v>
      </c>
      <c r="I152" s="143">
        <f t="array" ref="I152">IF(SUM(O152,AD152)&gt;0,SUM(O152,AD152),SUM(AL152,W152))</f>
        <v>218</v>
      </c>
      <c r="J152" s="9">
        <f t="shared" si="22"/>
        <v>6.697388632872503</v>
      </c>
      <c r="K152" s="143">
        <f t="shared" si="28"/>
        <v>3</v>
      </c>
      <c r="L152" s="9">
        <f t="shared" si="23"/>
        <v>1.3761467889908259</v>
      </c>
      <c r="M152" s="8" t="str">
        <f t="array" ref="M152">IF(L152&gt;5,"Perlu Sensus",IF(AND(L152&gt;=0,I152&gt;0),"Tetap Deteksi","Belum Deteksi"))</f>
        <v>Tetap Deteksi</v>
      </c>
      <c r="N152" s="11">
        <v>46249</v>
      </c>
      <c r="O152" s="143">
        <v>218</v>
      </c>
      <c r="P152" s="9">
        <f t="array" ref="P152">IFERROR(O152/$G152*100,0)</f>
        <v>6.697388632872503</v>
      </c>
      <c r="Q152" s="143">
        <v>3</v>
      </c>
      <c r="R152" s="9">
        <f t="shared" si="24"/>
        <v>1.3761467889908259</v>
      </c>
      <c r="S152" s="8" t="str">
        <f t="array" ref="S152">IF(R152&gt;5,"Perlu Sensus",IF(AND(R152&gt;=0,O152&gt;0),"Tetap Deteksi","Belum Deteksi"))</f>
        <v>Tetap Deteksi</v>
      </c>
      <c r="T152" s="143">
        <v>3</v>
      </c>
      <c r="U152" s="9">
        <f t="shared" si="29"/>
        <v>1.3761467889908259</v>
      </c>
      <c r="V152" s="11">
        <v>46246</v>
      </c>
      <c r="W152" s="143">
        <v>195</v>
      </c>
      <c r="X152" s="143">
        <v>3</v>
      </c>
      <c r="Y152" s="9">
        <f t="shared" si="25"/>
        <v>1.5384615384615385</v>
      </c>
      <c r="Z152" s="8" t="str">
        <f t="array" ref="Z152">IF(Y152&gt;5,"Perlu Sensus",IF(AND(Y152&gt;=0,W152&gt;0),"Tetap Deteksi","Belum Deteksi"))</f>
        <v>Tetap Deteksi</v>
      </c>
      <c r="AA152" s="143">
        <v>1</v>
      </c>
      <c r="AB152" s="9">
        <f t="shared" si="30"/>
        <v>0.51282051282051277</v>
      </c>
      <c r="AC152" s="11"/>
      <c r="AD152" s="143"/>
      <c r="AE152" s="9">
        <f t="array" ref="AE152">IFERROR(AD152/$G152*100,0)</f>
        <v>0</v>
      </c>
      <c r="AF152" s="143"/>
      <c r="AG152" s="9">
        <f t="shared" si="26"/>
        <v>0</v>
      </c>
      <c r="AH152" s="8" t="str">
        <f t="array" ref="AH152">IF(AG152&gt;5,"Perlu Sensus",IF(AND(AG152&gt;=0,AD152&gt;0),"Tetap Deteksi","Belum Deteksi"))</f>
        <v>Belum Deteksi</v>
      </c>
      <c r="AI152" s="143"/>
      <c r="AJ152" s="9">
        <f t="shared" si="31"/>
        <v>0</v>
      </c>
      <c r="AK152" s="11"/>
      <c r="AL152" s="143"/>
      <c r="AM152" s="143"/>
      <c r="AN152" s="9">
        <f t="shared" si="27"/>
        <v>0</v>
      </c>
      <c r="AO152" s="8" t="str">
        <f t="array" ref="AO152">IF(AN152&gt;5,"Perlu Sensus",IF(AND(AN152&gt;=0,AL152&gt;0),"Tetap Deteksi","Belum Deteksi"))</f>
        <v>Belum Deteksi</v>
      </c>
      <c r="AP152" s="143"/>
      <c r="AQ152" s="9">
        <f t="shared" si="32"/>
        <v>0</v>
      </c>
    </row>
    <row r="153" spans="1:43" outlineLevel="1" x14ac:dyDescent="0.15">
      <c r="A153" s="8" t="s">
        <v>1914</v>
      </c>
      <c r="B153" s="8"/>
      <c r="C153" s="8" t="s">
        <v>252</v>
      </c>
      <c r="D153" s="186" t="s">
        <v>1226</v>
      </c>
      <c r="E153" s="9">
        <v>25.25</v>
      </c>
      <c r="F153" s="8" t="s">
        <v>1740</v>
      </c>
      <c r="G153" s="10">
        <v>3196</v>
      </c>
      <c r="H153" s="11">
        <f t="array" ref="H153">IF(OR(N153&gt;0,AC153&gt;0),MAX(N153,AC153),MAX(AK153,V153))</f>
        <v>46247</v>
      </c>
      <c r="I153" s="143">
        <f t="array" ref="I153">IF(SUM(O153,AD153)&gt;0,SUM(O153,AD153),SUM(AL153,W153))</f>
        <v>198</v>
      </c>
      <c r="J153" s="9">
        <f t="shared" si="22"/>
        <v>6.1952440550688364</v>
      </c>
      <c r="K153" s="143">
        <f t="shared" si="28"/>
        <v>3</v>
      </c>
      <c r="L153" s="9">
        <f t="shared" si="23"/>
        <v>1.5151515151515151</v>
      </c>
      <c r="M153" s="8" t="str">
        <f t="array" ref="M153">IF(L153&gt;5,"Perlu Sensus",IF(AND(L153&gt;=0,I153&gt;0),"Tetap Deteksi","Belum Deteksi"))</f>
        <v>Tetap Deteksi</v>
      </c>
      <c r="N153" s="11">
        <v>46247</v>
      </c>
      <c r="O153" s="143">
        <v>198</v>
      </c>
      <c r="P153" s="9">
        <f t="array" ref="P153">IFERROR(O153/$G153*100,0)</f>
        <v>6.1952440550688364</v>
      </c>
      <c r="Q153" s="143">
        <v>3</v>
      </c>
      <c r="R153" s="9">
        <f t="shared" si="24"/>
        <v>1.5151515151515151</v>
      </c>
      <c r="S153" s="8" t="str">
        <f t="array" ref="S153">IF(R153&gt;5,"Perlu Sensus",IF(AND(R153&gt;=0,O153&gt;0),"Tetap Deteksi","Belum Deteksi"))</f>
        <v>Tetap Deteksi</v>
      </c>
      <c r="T153" s="143">
        <v>2</v>
      </c>
      <c r="U153" s="9">
        <f t="shared" si="29"/>
        <v>1.0101010101010102</v>
      </c>
      <c r="V153" s="11">
        <v>46249</v>
      </c>
      <c r="W153" s="143">
        <v>186</v>
      </c>
      <c r="X153" s="143">
        <v>4</v>
      </c>
      <c r="Y153" s="9">
        <f t="shared" si="25"/>
        <v>2.1505376344086025</v>
      </c>
      <c r="Z153" s="8" t="str">
        <f t="array" ref="Z153">IF(Y153&gt;5,"Perlu Sensus",IF(AND(Y153&gt;=0,W153&gt;0),"Tetap Deteksi","Belum Deteksi"))</f>
        <v>Tetap Deteksi</v>
      </c>
      <c r="AA153" s="143">
        <v>2</v>
      </c>
      <c r="AB153" s="9">
        <f t="shared" si="30"/>
        <v>1.0752688172043012</v>
      </c>
      <c r="AC153" s="11"/>
      <c r="AD153" s="143"/>
      <c r="AE153" s="9">
        <f t="array" ref="AE153">IFERROR(AD153/$G153*100,0)</f>
        <v>0</v>
      </c>
      <c r="AF153" s="143"/>
      <c r="AG153" s="9">
        <f t="shared" si="26"/>
        <v>0</v>
      </c>
      <c r="AH153" s="8" t="str">
        <f t="array" ref="AH153">IF(AG153&gt;5,"Perlu Sensus",IF(AND(AG153&gt;=0,AD153&gt;0),"Tetap Deteksi","Belum Deteksi"))</f>
        <v>Belum Deteksi</v>
      </c>
      <c r="AI153" s="143"/>
      <c r="AJ153" s="9">
        <f t="shared" si="31"/>
        <v>0</v>
      </c>
      <c r="AK153" s="11"/>
      <c r="AL153" s="143"/>
      <c r="AM153" s="143"/>
      <c r="AN153" s="9">
        <f t="shared" si="27"/>
        <v>0</v>
      </c>
      <c r="AO153" s="8" t="str">
        <f t="array" ref="AO153">IF(AN153&gt;5,"Perlu Sensus",IF(AND(AN153&gt;=0,AL153&gt;0),"Tetap Deteksi","Belum Deteksi"))</f>
        <v>Belum Deteksi</v>
      </c>
      <c r="AP153" s="143"/>
      <c r="AQ153" s="9">
        <f t="shared" si="32"/>
        <v>0</v>
      </c>
    </row>
    <row r="154" spans="1:43" outlineLevel="1" x14ac:dyDescent="0.15">
      <c r="A154" s="8" t="s">
        <v>1914</v>
      </c>
      <c r="B154" s="8"/>
      <c r="C154" s="8" t="s">
        <v>252</v>
      </c>
      <c r="D154" s="181" t="s">
        <v>1449</v>
      </c>
      <c r="E154" s="9">
        <v>38.39</v>
      </c>
      <c r="F154" s="8" t="s">
        <v>1740</v>
      </c>
      <c r="G154" s="10">
        <v>4561</v>
      </c>
      <c r="H154" s="11">
        <f t="array" ref="H154">IF(OR(N154&gt;0,AC154&gt;0),MAX(N154,AC154),MAX(AK154,V154))</f>
        <v>46235</v>
      </c>
      <c r="I154" s="143">
        <f t="array" ref="I154">IF(SUM(O154,AD154)&gt;0,SUM(O154,AD154),SUM(AL154,W154))</f>
        <v>176</v>
      </c>
      <c r="J154" s="9">
        <f t="shared" si="22"/>
        <v>3.8588028941021708</v>
      </c>
      <c r="K154" s="143">
        <f t="shared" si="28"/>
        <v>9.9999999999999995E-8</v>
      </c>
      <c r="L154" s="9">
        <f t="shared" si="23"/>
        <v>5.6818181818181815E-8</v>
      </c>
      <c r="M154" s="8" t="str">
        <f t="array" ref="M154">IF(L154&gt;5,"Perlu Sensus",IF(AND(L154&gt;=0,I154&gt;0),"Tetap Deteksi","Belum Deteksi"))</f>
        <v>Tetap Deteksi</v>
      </c>
      <c r="N154" s="11">
        <v>46235</v>
      </c>
      <c r="O154" s="143">
        <v>176</v>
      </c>
      <c r="P154" s="9">
        <f t="array" ref="P154">IFERROR(O154/$G154*100,0)</f>
        <v>3.8588028941021708</v>
      </c>
      <c r="Q154" s="143">
        <v>9.9999999999999995E-8</v>
      </c>
      <c r="R154" s="9">
        <f t="shared" si="24"/>
        <v>5.6818181818181815E-8</v>
      </c>
      <c r="S154" s="8" t="str">
        <f t="array" ref="S154">IF(R154&gt;5,"Perlu Sensus",IF(AND(R154&gt;=0,O154&gt;0),"Tetap Deteksi","Belum Deteksi"))</f>
        <v>Tetap Deteksi</v>
      </c>
      <c r="T154" s="143">
        <v>9.9999999999999995E-8</v>
      </c>
      <c r="U154" s="9">
        <f t="shared" si="29"/>
        <v>5.6818181818181815E-8</v>
      </c>
      <c r="V154" s="11">
        <v>46235</v>
      </c>
      <c r="W154" s="143">
        <v>203</v>
      </c>
      <c r="X154" s="143">
        <v>5</v>
      </c>
      <c r="Y154" s="9">
        <f t="shared" si="25"/>
        <v>2.4630541871921183</v>
      </c>
      <c r="Z154" s="8" t="str">
        <f t="array" ref="Z154">IF(Y154&gt;5,"Perlu Sensus",IF(AND(Y154&gt;=0,W154&gt;0),"Tetap Deteksi","Belum Deteksi"))</f>
        <v>Tetap Deteksi</v>
      </c>
      <c r="AA154" s="143">
        <v>1.0000000000000001E-9</v>
      </c>
      <c r="AB154" s="9">
        <f t="shared" si="30"/>
        <v>4.9261083743842372E-10</v>
      </c>
      <c r="AC154" s="11"/>
      <c r="AD154" s="143"/>
      <c r="AE154" s="9">
        <f t="array" ref="AE154">IFERROR(AD154/$G154*100,0)</f>
        <v>0</v>
      </c>
      <c r="AF154" s="143"/>
      <c r="AG154" s="9">
        <f t="shared" si="26"/>
        <v>0</v>
      </c>
      <c r="AH154" s="8" t="str">
        <f t="array" ref="AH154">IF(AG154&gt;5,"Perlu Sensus",IF(AND(AG154&gt;=0,AD154&gt;0),"Tetap Deteksi","Belum Deteksi"))</f>
        <v>Belum Deteksi</v>
      </c>
      <c r="AI154" s="143"/>
      <c r="AJ154" s="9">
        <f t="shared" si="31"/>
        <v>0</v>
      </c>
      <c r="AK154" s="11"/>
      <c r="AL154" s="143"/>
      <c r="AM154" s="143"/>
      <c r="AN154" s="9">
        <f t="shared" si="27"/>
        <v>0</v>
      </c>
      <c r="AO154" s="8" t="str">
        <f t="array" ref="AO154">IF(AN154&gt;5,"Perlu Sensus",IF(AND(AN154&gt;=0,AL154&gt;0),"Tetap Deteksi","Belum Deteksi"))</f>
        <v>Belum Deteksi</v>
      </c>
      <c r="AP154" s="143"/>
      <c r="AQ154" s="9">
        <f t="shared" si="32"/>
        <v>0</v>
      </c>
    </row>
    <row r="155" spans="1:43" outlineLevel="1" x14ac:dyDescent="0.15">
      <c r="A155" s="8" t="s">
        <v>1914</v>
      </c>
      <c r="B155" s="8"/>
      <c r="C155" s="8" t="s">
        <v>252</v>
      </c>
      <c r="D155" s="186" t="s">
        <v>1451</v>
      </c>
      <c r="E155" s="9">
        <v>29.08</v>
      </c>
      <c r="F155" s="8" t="s">
        <v>1740</v>
      </c>
      <c r="G155" s="10">
        <v>3766.0000000000005</v>
      </c>
      <c r="H155" s="11">
        <f t="array" ref="H155">IF(OR(N155&gt;0,AC155&gt;0),MAX(N155,AC155),MAX(AK155,V155))</f>
        <v>46237</v>
      </c>
      <c r="I155" s="143">
        <f t="array" ref="I155">IF(SUM(O155,AD155)&gt;0,SUM(O155,AD155),SUM(AL155,W155))</f>
        <v>220</v>
      </c>
      <c r="J155" s="9">
        <f t="shared" si="22"/>
        <v>5.8417419012214546</v>
      </c>
      <c r="K155" s="143">
        <f t="shared" si="28"/>
        <v>4</v>
      </c>
      <c r="L155" s="9">
        <f t="shared" si="23"/>
        <v>1.8181818181818181</v>
      </c>
      <c r="M155" s="8" t="str">
        <f t="array" ref="M155">IF(L155&gt;5,"Perlu Sensus",IF(AND(L155&gt;=0,I155&gt;0),"Tetap Deteksi","Belum Deteksi"))</f>
        <v>Tetap Deteksi</v>
      </c>
      <c r="N155" s="11">
        <v>46237</v>
      </c>
      <c r="O155" s="143">
        <v>220</v>
      </c>
      <c r="P155" s="9">
        <f t="array" ref="P155">IFERROR(O155/$G155*100,0)</f>
        <v>5.8417419012214546</v>
      </c>
      <c r="Q155" s="143">
        <v>4</v>
      </c>
      <c r="R155" s="9">
        <f t="shared" si="24"/>
        <v>1.8181818181818181</v>
      </c>
      <c r="S155" s="8" t="str">
        <f t="array" ref="S155">IF(R155&gt;5,"Perlu Sensus",IF(AND(R155&gt;=0,O155&gt;0),"Tetap Deteksi","Belum Deteksi"))</f>
        <v>Tetap Deteksi</v>
      </c>
      <c r="T155" s="143">
        <v>3</v>
      </c>
      <c r="U155" s="9">
        <f t="shared" si="29"/>
        <v>1.3636363636363635</v>
      </c>
      <c r="V155" s="11">
        <v>46237</v>
      </c>
      <c r="W155" s="143">
        <v>301</v>
      </c>
      <c r="X155" s="143">
        <v>5</v>
      </c>
      <c r="Y155" s="9">
        <f t="shared" si="25"/>
        <v>1.6611295681063125</v>
      </c>
      <c r="Z155" s="8" t="str">
        <f t="array" ref="Z155">IF(Y155&gt;5,"Perlu Sensus",IF(AND(Y155&gt;=0,W155&gt;0),"Tetap Deteksi","Belum Deteksi"))</f>
        <v>Tetap Deteksi</v>
      </c>
      <c r="AA155" s="143">
        <v>4</v>
      </c>
      <c r="AB155" s="9">
        <f t="shared" si="30"/>
        <v>1.3289036544850499</v>
      </c>
      <c r="AC155" s="11"/>
      <c r="AD155" s="143"/>
      <c r="AE155" s="9">
        <f t="array" ref="AE155">IFERROR(AD155/$G155*100,0)</f>
        <v>0</v>
      </c>
      <c r="AF155" s="143"/>
      <c r="AG155" s="9">
        <f t="shared" si="26"/>
        <v>0</v>
      </c>
      <c r="AH155" s="8" t="str">
        <f t="array" ref="AH155">IF(AG155&gt;5,"Perlu Sensus",IF(AND(AG155&gt;=0,AD155&gt;0),"Tetap Deteksi","Belum Deteksi"))</f>
        <v>Belum Deteksi</v>
      </c>
      <c r="AI155" s="143"/>
      <c r="AJ155" s="9">
        <f t="shared" si="31"/>
        <v>0</v>
      </c>
      <c r="AK155" s="11"/>
      <c r="AL155" s="143"/>
      <c r="AM155" s="143"/>
      <c r="AN155" s="9">
        <f t="shared" si="27"/>
        <v>0</v>
      </c>
      <c r="AO155" s="8" t="str">
        <f t="array" ref="AO155">IF(AN155&gt;5,"Perlu Sensus",IF(AND(AN155&gt;=0,AL155&gt;0),"Tetap Deteksi","Belum Deteksi"))</f>
        <v>Belum Deteksi</v>
      </c>
      <c r="AP155" s="143"/>
      <c r="AQ155" s="9">
        <f t="shared" si="32"/>
        <v>0</v>
      </c>
    </row>
    <row r="156" spans="1:43" outlineLevel="1" x14ac:dyDescent="0.15">
      <c r="A156" s="8" t="s">
        <v>1914</v>
      </c>
      <c r="B156" s="8"/>
      <c r="C156" s="8" t="s">
        <v>252</v>
      </c>
      <c r="D156" s="186" t="s">
        <v>1136</v>
      </c>
      <c r="E156" s="9">
        <v>34.510000000000005</v>
      </c>
      <c r="F156" s="8" t="s">
        <v>1740</v>
      </c>
      <c r="G156" s="10">
        <v>4755</v>
      </c>
      <c r="H156" s="11">
        <f t="array" ref="H156">IF(OR(N156&gt;0,AC156&gt;0),MAX(N156,AC156),MAX(AK156,V156))</f>
        <v>46246</v>
      </c>
      <c r="I156" s="143">
        <f t="array" ref="I156">IF(SUM(O156,AD156)&gt;0,SUM(O156,AD156),SUM(AL156,W156))</f>
        <v>218</v>
      </c>
      <c r="J156" s="9">
        <f t="shared" si="22"/>
        <v>4.5846477392218716</v>
      </c>
      <c r="K156" s="143">
        <f t="shared" si="28"/>
        <v>4</v>
      </c>
      <c r="L156" s="9">
        <f t="shared" si="23"/>
        <v>1.834862385321101</v>
      </c>
      <c r="M156" s="8" t="str">
        <f t="array" ref="M156">IF(L156&gt;5,"Perlu Sensus",IF(AND(L156&gt;=0,I156&gt;0),"Tetap Deteksi","Belum Deteksi"))</f>
        <v>Tetap Deteksi</v>
      </c>
      <c r="N156" s="11">
        <v>46246</v>
      </c>
      <c r="O156" s="143">
        <v>218</v>
      </c>
      <c r="P156" s="9">
        <f t="array" ref="P156">IFERROR(O156/$G156*100,0)</f>
        <v>4.5846477392218716</v>
      </c>
      <c r="Q156" s="143">
        <v>4</v>
      </c>
      <c r="R156" s="9">
        <f t="shared" si="24"/>
        <v>1.834862385321101</v>
      </c>
      <c r="S156" s="8" t="str">
        <f t="array" ref="S156">IF(R156&gt;5,"Perlu Sensus",IF(AND(R156&gt;=0,O156&gt;0),"Tetap Deteksi","Belum Deteksi"))</f>
        <v>Tetap Deteksi</v>
      </c>
      <c r="T156" s="143">
        <v>3</v>
      </c>
      <c r="U156" s="9">
        <f t="shared" si="29"/>
        <v>1.3761467889908259</v>
      </c>
      <c r="V156" s="11">
        <v>46246</v>
      </c>
      <c r="W156" s="143">
        <v>200</v>
      </c>
      <c r="X156" s="143">
        <v>2</v>
      </c>
      <c r="Y156" s="9">
        <f t="shared" si="25"/>
        <v>1</v>
      </c>
      <c r="Z156" s="8" t="str">
        <f t="array" ref="Z156">IF(Y156&gt;5,"Perlu Sensus",IF(AND(Y156&gt;=0,W156&gt;0),"Tetap Deteksi","Belum Deteksi"))</f>
        <v>Tetap Deteksi</v>
      </c>
      <c r="AA156" s="143">
        <v>2</v>
      </c>
      <c r="AB156" s="9">
        <f t="shared" si="30"/>
        <v>1</v>
      </c>
      <c r="AC156" s="11"/>
      <c r="AD156" s="143"/>
      <c r="AE156" s="9">
        <f t="array" ref="AE156">IFERROR(AD156/$G156*100,0)</f>
        <v>0</v>
      </c>
      <c r="AF156" s="143"/>
      <c r="AG156" s="9">
        <f t="shared" si="26"/>
        <v>0</v>
      </c>
      <c r="AH156" s="8" t="str">
        <f t="array" ref="AH156">IF(AG156&gt;5,"Perlu Sensus",IF(AND(AG156&gt;=0,AD156&gt;0),"Tetap Deteksi","Belum Deteksi"))</f>
        <v>Belum Deteksi</v>
      </c>
      <c r="AI156" s="143"/>
      <c r="AJ156" s="9">
        <f t="shared" si="31"/>
        <v>0</v>
      </c>
      <c r="AK156" s="11"/>
      <c r="AL156" s="143"/>
      <c r="AM156" s="143"/>
      <c r="AN156" s="9">
        <f t="shared" si="27"/>
        <v>0</v>
      </c>
      <c r="AO156" s="8" t="str">
        <f t="array" ref="AO156">IF(AN156&gt;5,"Perlu Sensus",IF(AND(AN156&gt;=0,AL156&gt;0),"Tetap Deteksi","Belum Deteksi"))</f>
        <v>Belum Deteksi</v>
      </c>
      <c r="AP156" s="143"/>
      <c r="AQ156" s="9">
        <f t="shared" si="32"/>
        <v>0</v>
      </c>
    </row>
    <row r="157" spans="1:43" outlineLevel="1" x14ac:dyDescent="0.15">
      <c r="A157" s="8" t="s">
        <v>1914</v>
      </c>
      <c r="B157" s="8"/>
      <c r="C157" s="8" t="s">
        <v>252</v>
      </c>
      <c r="D157" s="186" t="s">
        <v>1162</v>
      </c>
      <c r="E157" s="9">
        <v>36.56</v>
      </c>
      <c r="F157" s="8" t="s">
        <v>1740</v>
      </c>
      <c r="G157" s="10">
        <v>4334</v>
      </c>
      <c r="H157" s="11">
        <f t="array" ref="H157">IF(OR(N157&gt;0,AC157&gt;0),MAX(N157,AC157),MAX(AK157,V157))</f>
        <v>46247</v>
      </c>
      <c r="I157" s="143">
        <f t="array" ref="I157">IF(SUM(O157,AD157)&gt;0,SUM(O157,AD157),SUM(AL157,W157))</f>
        <v>234</v>
      </c>
      <c r="J157" s="9">
        <f t="shared" si="22"/>
        <v>5.3991693585602212</v>
      </c>
      <c r="K157" s="143">
        <f t="shared" si="28"/>
        <v>2</v>
      </c>
      <c r="L157" s="9">
        <f t="shared" si="23"/>
        <v>0.85470085470085477</v>
      </c>
      <c r="M157" s="8" t="str">
        <f t="array" ref="M157">IF(L157&gt;5,"Perlu Sensus",IF(AND(L157&gt;=0,I157&gt;0),"Tetap Deteksi","Belum Deteksi"))</f>
        <v>Tetap Deteksi</v>
      </c>
      <c r="N157" s="11">
        <v>46247</v>
      </c>
      <c r="O157" s="143">
        <v>234</v>
      </c>
      <c r="P157" s="9">
        <f t="array" ref="P157">IFERROR(O157/$G157*100,0)</f>
        <v>5.3991693585602212</v>
      </c>
      <c r="Q157" s="143">
        <v>2</v>
      </c>
      <c r="R157" s="9">
        <f t="shared" si="24"/>
        <v>0.85470085470085477</v>
      </c>
      <c r="S157" s="8" t="str">
        <f t="array" ref="S157">IF(R157&gt;5,"Perlu Sensus",IF(AND(R157&gt;=0,O157&gt;0),"Tetap Deteksi","Belum Deteksi"))</f>
        <v>Tetap Deteksi</v>
      </c>
      <c r="T157" s="143">
        <v>2</v>
      </c>
      <c r="U157" s="9">
        <f t="shared" si="29"/>
        <v>0.85470085470085477</v>
      </c>
      <c r="V157" s="11">
        <v>46246</v>
      </c>
      <c r="W157" s="143">
        <v>208</v>
      </c>
      <c r="X157" s="143">
        <v>2</v>
      </c>
      <c r="Y157" s="9">
        <f t="shared" si="25"/>
        <v>0.96153846153846156</v>
      </c>
      <c r="Z157" s="8" t="str">
        <f t="array" ref="Z157">IF(Y157&gt;5,"Perlu Sensus",IF(AND(Y157&gt;=0,W157&gt;0),"Tetap Deteksi","Belum Deteksi"))</f>
        <v>Tetap Deteksi</v>
      </c>
      <c r="AA157" s="143">
        <v>2</v>
      </c>
      <c r="AB157" s="9">
        <f t="shared" si="30"/>
        <v>0.96153846153846156</v>
      </c>
      <c r="AC157" s="11"/>
      <c r="AD157" s="143"/>
      <c r="AE157" s="9">
        <f t="array" ref="AE157">IFERROR(AD157/$G157*100,0)</f>
        <v>0</v>
      </c>
      <c r="AF157" s="143"/>
      <c r="AG157" s="9">
        <f t="shared" si="26"/>
        <v>0</v>
      </c>
      <c r="AH157" s="8" t="str">
        <f t="array" ref="AH157">IF(AG157&gt;5,"Perlu Sensus",IF(AND(AG157&gt;=0,AD157&gt;0),"Tetap Deteksi","Belum Deteksi"))</f>
        <v>Belum Deteksi</v>
      </c>
      <c r="AI157" s="143"/>
      <c r="AJ157" s="9">
        <f t="shared" si="31"/>
        <v>0</v>
      </c>
      <c r="AK157" s="11"/>
      <c r="AL157" s="143"/>
      <c r="AM157" s="143"/>
      <c r="AN157" s="9">
        <f t="shared" si="27"/>
        <v>0</v>
      </c>
      <c r="AO157" s="8" t="str">
        <f t="array" ref="AO157">IF(AN157&gt;5,"Perlu Sensus",IF(AND(AN157&gt;=0,AL157&gt;0),"Tetap Deteksi","Belum Deteksi"))</f>
        <v>Belum Deteksi</v>
      </c>
      <c r="AP157" s="143"/>
      <c r="AQ157" s="9">
        <f t="shared" si="32"/>
        <v>0</v>
      </c>
    </row>
    <row r="158" spans="1:43" outlineLevel="1" x14ac:dyDescent="0.15">
      <c r="A158" s="8" t="s">
        <v>1914</v>
      </c>
      <c r="B158" s="8"/>
      <c r="C158" s="8" t="s">
        <v>252</v>
      </c>
      <c r="D158" s="186" t="s">
        <v>1448</v>
      </c>
      <c r="E158" s="9">
        <v>50.519999999999996</v>
      </c>
      <c r="F158" s="8" t="s">
        <v>1740</v>
      </c>
      <c r="G158" s="10">
        <v>5776</v>
      </c>
      <c r="H158" s="11">
        <f t="array" ref="H158">IF(OR(N158&gt;0,AC158&gt;0),MAX(N158,AC158),MAX(AK158,V158))</f>
        <v>46235</v>
      </c>
      <c r="I158" s="143">
        <f t="array" ref="I158">IF(SUM(O158,AD158)&gt;0,SUM(O158,AD158),SUM(AL158,W158))</f>
        <v>172</v>
      </c>
      <c r="J158" s="9">
        <f t="shared" si="22"/>
        <v>2.9778393351800556</v>
      </c>
      <c r="K158" s="143">
        <f t="shared" si="28"/>
        <v>1</v>
      </c>
      <c r="L158" s="9">
        <f t="shared" si="23"/>
        <v>0.58139534883720934</v>
      </c>
      <c r="M158" s="8" t="str">
        <f t="array" ref="M158">IF(L158&gt;5,"Perlu Sensus",IF(AND(L158&gt;=0,I158&gt;0),"Tetap Deteksi","Belum Deteksi"))</f>
        <v>Tetap Deteksi</v>
      </c>
      <c r="N158" s="11">
        <v>46235</v>
      </c>
      <c r="O158" s="143">
        <v>172</v>
      </c>
      <c r="P158" s="9">
        <f t="array" ref="P158">IFERROR(O158/$G158*100,0)</f>
        <v>2.9778393351800556</v>
      </c>
      <c r="Q158" s="143">
        <v>1</v>
      </c>
      <c r="R158" s="9">
        <f t="shared" si="24"/>
        <v>0.58139534883720934</v>
      </c>
      <c r="S158" s="8" t="str">
        <f t="array" ref="S158">IF(R158&gt;5,"Perlu Sensus",IF(AND(R158&gt;=0,O158&gt;0),"Tetap Deteksi","Belum Deteksi"))</f>
        <v>Tetap Deteksi</v>
      </c>
      <c r="T158" s="143">
        <v>2</v>
      </c>
      <c r="U158" s="9">
        <f t="shared" si="29"/>
        <v>1.1627906976744187</v>
      </c>
      <c r="V158" s="11">
        <v>46235</v>
      </c>
      <c r="W158" s="143">
        <v>192</v>
      </c>
      <c r="X158" s="143">
        <v>3</v>
      </c>
      <c r="Y158" s="9">
        <f t="shared" si="25"/>
        <v>1.5625</v>
      </c>
      <c r="Z158" s="8" t="str">
        <f t="array" ref="Z158">IF(Y158&gt;5,"Perlu Sensus",IF(AND(Y158&gt;=0,W158&gt;0),"Tetap Deteksi","Belum Deteksi"))</f>
        <v>Tetap Deteksi</v>
      </c>
      <c r="AA158" s="143">
        <v>1.0000000000000001E-9</v>
      </c>
      <c r="AB158" s="9">
        <f t="shared" si="30"/>
        <v>5.2083333333333334E-10</v>
      </c>
      <c r="AC158" s="11"/>
      <c r="AD158" s="143"/>
      <c r="AE158" s="9">
        <f t="array" ref="AE158">IFERROR(AD158/$G158*100,0)</f>
        <v>0</v>
      </c>
      <c r="AF158" s="143"/>
      <c r="AG158" s="9">
        <f t="shared" si="26"/>
        <v>0</v>
      </c>
      <c r="AH158" s="8" t="str">
        <f t="array" ref="AH158">IF(AG158&gt;5,"Perlu Sensus",IF(AND(AG158&gt;=0,AD158&gt;0),"Tetap Deteksi","Belum Deteksi"))</f>
        <v>Belum Deteksi</v>
      </c>
      <c r="AI158" s="143"/>
      <c r="AJ158" s="9">
        <f t="shared" si="31"/>
        <v>0</v>
      </c>
      <c r="AK158" s="11"/>
      <c r="AL158" s="143"/>
      <c r="AM158" s="143"/>
      <c r="AN158" s="9">
        <f t="shared" si="27"/>
        <v>0</v>
      </c>
      <c r="AO158" s="8" t="str">
        <f t="array" ref="AO158">IF(AN158&gt;5,"Perlu Sensus",IF(AND(AN158&gt;=0,AL158&gt;0),"Tetap Deteksi","Belum Deteksi"))</f>
        <v>Belum Deteksi</v>
      </c>
      <c r="AP158" s="143"/>
      <c r="AQ158" s="9">
        <f t="shared" si="32"/>
        <v>0</v>
      </c>
    </row>
    <row r="159" spans="1:43" outlineLevel="1" x14ac:dyDescent="0.15">
      <c r="A159" s="8" t="s">
        <v>1914</v>
      </c>
      <c r="B159" s="8"/>
      <c r="C159" s="8" t="s">
        <v>252</v>
      </c>
      <c r="D159" s="181" t="s">
        <v>1926</v>
      </c>
      <c r="E159" s="9">
        <v>38.32</v>
      </c>
      <c r="F159" s="8" t="s">
        <v>1740</v>
      </c>
      <c r="G159" s="10">
        <v>4427</v>
      </c>
      <c r="H159" s="11">
        <f t="array" ref="H159">IF(OR(N159&gt;0,AC159&gt;0),MAX(N159,AC159),MAX(AK159,V159))</f>
        <v>46247</v>
      </c>
      <c r="I159" s="143">
        <f t="array" ref="I159">IF(SUM(O159,AD159)&gt;0,SUM(O159,AD159),SUM(AL159,W159))</f>
        <v>211</v>
      </c>
      <c r="J159" s="9">
        <f t="shared" si="22"/>
        <v>4.7662073639033204</v>
      </c>
      <c r="K159" s="143">
        <f t="shared" si="28"/>
        <v>5</v>
      </c>
      <c r="L159" s="9">
        <f t="shared" si="23"/>
        <v>2.3696682464454977</v>
      </c>
      <c r="M159" s="8" t="str">
        <f t="array" ref="M159">IF(L159&gt;5,"Perlu Sensus",IF(AND(L159&gt;=0,I159&gt;0),"Tetap Deteksi","Belum Deteksi"))</f>
        <v>Tetap Deteksi</v>
      </c>
      <c r="N159" s="11">
        <v>46247</v>
      </c>
      <c r="O159" s="143">
        <v>211</v>
      </c>
      <c r="P159" s="9">
        <f t="array" ref="P159">IFERROR(O159/$G159*100,0)</f>
        <v>4.7662073639033204</v>
      </c>
      <c r="Q159" s="143">
        <v>5</v>
      </c>
      <c r="R159" s="9">
        <f t="shared" si="24"/>
        <v>2.3696682464454977</v>
      </c>
      <c r="S159" s="8" t="str">
        <f t="array" ref="S159">IF(R159&gt;5,"Perlu Sensus",IF(AND(R159&gt;=0,O159&gt;0),"Tetap Deteksi","Belum Deteksi"))</f>
        <v>Tetap Deteksi</v>
      </c>
      <c r="T159" s="143">
        <v>3</v>
      </c>
      <c r="U159" s="9">
        <f t="shared" si="29"/>
        <v>1.4218009478672986</v>
      </c>
      <c r="V159" s="11">
        <v>46249</v>
      </c>
      <c r="W159" s="143">
        <v>265</v>
      </c>
      <c r="X159" s="143">
        <v>2</v>
      </c>
      <c r="Y159" s="9">
        <f t="shared" si="25"/>
        <v>0.75471698113207553</v>
      </c>
      <c r="Z159" s="8" t="str">
        <f t="array" ref="Z159">IF(Y159&gt;5,"Perlu Sensus",IF(AND(Y159&gt;=0,W159&gt;0),"Tetap Deteksi","Belum Deteksi"))</f>
        <v>Tetap Deteksi</v>
      </c>
      <c r="AA159" s="143">
        <v>1</v>
      </c>
      <c r="AB159" s="9">
        <f t="shared" si="30"/>
        <v>0.37735849056603776</v>
      </c>
      <c r="AC159" s="11"/>
      <c r="AD159" s="143"/>
      <c r="AE159" s="9">
        <f t="array" ref="AE159">IFERROR(AD159/$G159*100,0)</f>
        <v>0</v>
      </c>
      <c r="AF159" s="143"/>
      <c r="AG159" s="9">
        <f t="shared" si="26"/>
        <v>0</v>
      </c>
      <c r="AH159" s="8" t="str">
        <f t="array" ref="AH159">IF(AG159&gt;5,"Perlu Sensus",IF(AND(AG159&gt;=0,AD159&gt;0),"Tetap Deteksi","Belum Deteksi"))</f>
        <v>Belum Deteksi</v>
      </c>
      <c r="AI159" s="143"/>
      <c r="AJ159" s="9">
        <f t="shared" si="31"/>
        <v>0</v>
      </c>
      <c r="AK159" s="11"/>
      <c r="AL159" s="143"/>
      <c r="AM159" s="143"/>
      <c r="AN159" s="9">
        <f t="shared" si="27"/>
        <v>0</v>
      </c>
      <c r="AO159" s="8" t="str">
        <f t="array" ref="AO159">IF(AN159&gt;5,"Perlu Sensus",IF(AND(AN159&gt;=0,AL159&gt;0),"Tetap Deteksi","Belum Deteksi"))</f>
        <v>Belum Deteksi</v>
      </c>
      <c r="AP159" s="143"/>
      <c r="AQ159" s="9">
        <f t="shared" si="32"/>
        <v>0</v>
      </c>
    </row>
    <row r="160" spans="1:43" outlineLevel="1" x14ac:dyDescent="0.15">
      <c r="A160" s="8"/>
      <c r="B160" s="8"/>
      <c r="C160" s="8"/>
      <c r="D160" s="8"/>
      <c r="E160" s="9"/>
      <c r="F160" s="8"/>
      <c r="G160" s="10"/>
      <c r="H160" s="132"/>
      <c r="I160" s="140"/>
      <c r="J160" s="9"/>
      <c r="K160" s="140"/>
      <c r="L160" s="9"/>
      <c r="M160" s="8"/>
      <c r="N160" s="132"/>
      <c r="O160" s="140"/>
      <c r="P160" s="9"/>
      <c r="Q160" s="140"/>
      <c r="R160" s="9"/>
      <c r="S160" s="8"/>
      <c r="T160" s="8"/>
      <c r="U160" s="8"/>
      <c r="V160" s="132"/>
      <c r="W160" s="140"/>
      <c r="X160" s="140"/>
      <c r="Y160" s="9"/>
      <c r="Z160" s="8"/>
      <c r="AA160" s="8"/>
      <c r="AB160" s="8"/>
      <c r="AC160" s="132"/>
      <c r="AD160" s="140"/>
      <c r="AE160" s="9"/>
      <c r="AF160" s="140"/>
      <c r="AG160" s="9"/>
      <c r="AH160" s="8"/>
      <c r="AI160" s="8"/>
      <c r="AJ160" s="8"/>
      <c r="AK160" s="132"/>
      <c r="AL160" s="140"/>
      <c r="AM160" s="140"/>
      <c r="AN160" s="9"/>
      <c r="AO160" s="8"/>
      <c r="AP160" s="8"/>
      <c r="AQ160" s="8"/>
    </row>
    <row r="161" spans="1:43" outlineLevel="1" x14ac:dyDescent="0.15">
      <c r="A161" s="8"/>
      <c r="B161" s="8"/>
      <c r="C161" s="8"/>
      <c r="D161" s="186" t="s">
        <v>938</v>
      </c>
      <c r="E161" s="9"/>
      <c r="F161" s="8"/>
      <c r="G161" s="10"/>
      <c r="H161" s="132"/>
      <c r="I161" s="140"/>
      <c r="J161" s="9"/>
      <c r="K161" s="140"/>
      <c r="L161" s="9"/>
      <c r="M161" s="8"/>
      <c r="N161" s="132"/>
      <c r="O161" s="140"/>
      <c r="P161" s="9"/>
      <c r="Q161" s="140"/>
      <c r="R161" s="9"/>
      <c r="S161" s="8"/>
      <c r="T161" s="8"/>
      <c r="U161" s="8"/>
      <c r="V161" s="132"/>
      <c r="W161" s="140"/>
      <c r="X161" s="140"/>
      <c r="Y161" s="9"/>
      <c r="Z161" s="8"/>
      <c r="AA161" s="8"/>
      <c r="AB161" s="8"/>
      <c r="AC161" s="132"/>
      <c r="AD161" s="140"/>
      <c r="AE161" s="9"/>
      <c r="AF161" s="140"/>
      <c r="AG161" s="9"/>
      <c r="AH161" s="8"/>
      <c r="AI161" s="8"/>
      <c r="AJ161" s="8"/>
      <c r="AK161" s="132"/>
      <c r="AL161" s="140"/>
      <c r="AM161" s="140"/>
      <c r="AN161" s="9"/>
      <c r="AO161" s="8"/>
      <c r="AP161" s="8"/>
      <c r="AQ161" s="8"/>
    </row>
    <row r="162" spans="1:43" outlineLevel="1" x14ac:dyDescent="0.15">
      <c r="A162" s="8"/>
      <c r="B162" s="8"/>
      <c r="C162" s="8"/>
      <c r="D162" s="181" t="s">
        <v>939</v>
      </c>
      <c r="E162" s="9"/>
      <c r="F162" s="8"/>
      <c r="G162" s="10"/>
      <c r="H162" s="132"/>
      <c r="I162" s="140"/>
      <c r="J162" s="9"/>
      <c r="K162" s="140"/>
      <c r="L162" s="9"/>
      <c r="M162" s="8"/>
      <c r="N162" s="132"/>
      <c r="O162" s="140"/>
      <c r="P162" s="9"/>
      <c r="Q162" s="140"/>
      <c r="R162" s="9"/>
      <c r="S162" s="8"/>
      <c r="T162" s="8"/>
      <c r="U162" s="8"/>
      <c r="V162" s="132"/>
      <c r="W162" s="140"/>
      <c r="X162" s="140"/>
      <c r="Y162" s="9"/>
      <c r="Z162" s="8"/>
      <c r="AA162" s="8"/>
      <c r="AB162" s="8"/>
      <c r="AC162" s="132"/>
      <c r="AD162" s="140"/>
      <c r="AE162" s="9"/>
      <c r="AF162" s="140"/>
      <c r="AG162" s="9"/>
      <c r="AH162" s="8"/>
      <c r="AI162" s="8"/>
      <c r="AJ162" s="8"/>
      <c r="AK162" s="132"/>
      <c r="AL162" s="140"/>
      <c r="AM162" s="140"/>
      <c r="AN162" s="9"/>
      <c r="AO162" s="8"/>
      <c r="AP162" s="8"/>
      <c r="AQ162" s="8"/>
    </row>
    <row r="163" spans="1:43" outlineLevel="1" x14ac:dyDescent="0.15">
      <c r="A163" s="8"/>
      <c r="B163" s="8"/>
      <c r="C163" s="8"/>
      <c r="D163" s="8"/>
      <c r="E163" s="9"/>
      <c r="F163" s="8"/>
      <c r="G163" s="10"/>
      <c r="H163" s="132"/>
      <c r="I163" s="140"/>
      <c r="J163" s="9"/>
      <c r="K163" s="140"/>
      <c r="L163" s="9"/>
      <c r="M163" s="8"/>
      <c r="N163" s="132"/>
      <c r="O163" s="140"/>
      <c r="P163" s="9"/>
      <c r="Q163" s="140"/>
      <c r="R163" s="9"/>
      <c r="S163" s="8"/>
      <c r="T163" s="8"/>
      <c r="U163" s="8"/>
      <c r="V163" s="132"/>
      <c r="W163" s="140"/>
      <c r="X163" s="140"/>
      <c r="Y163" s="9"/>
      <c r="Z163" s="8"/>
      <c r="AA163" s="8"/>
      <c r="AB163" s="8"/>
      <c r="AC163" s="132"/>
      <c r="AD163" s="140"/>
      <c r="AE163" s="9"/>
      <c r="AF163" s="140"/>
      <c r="AG163" s="9"/>
      <c r="AH163" s="8"/>
      <c r="AI163" s="8"/>
      <c r="AJ163" s="8"/>
      <c r="AK163" s="132"/>
      <c r="AL163" s="140"/>
      <c r="AM163" s="140"/>
      <c r="AN163" s="9"/>
      <c r="AO163" s="8"/>
      <c r="AP163" s="8"/>
      <c r="AQ163" s="8"/>
    </row>
    <row r="164" spans="1:43" outlineLevel="1" x14ac:dyDescent="0.15">
      <c r="A164" s="8"/>
      <c r="B164" s="8"/>
      <c r="C164" s="8"/>
      <c r="D164" s="8"/>
      <c r="E164" s="9"/>
      <c r="F164" s="8"/>
      <c r="G164" s="10"/>
      <c r="H164" s="132"/>
      <c r="I164" s="140"/>
      <c r="J164" s="9"/>
      <c r="K164" s="140"/>
      <c r="L164" s="9"/>
      <c r="M164" s="8"/>
      <c r="N164" s="132"/>
      <c r="O164" s="140"/>
      <c r="P164" s="9"/>
      <c r="Q164" s="140"/>
      <c r="R164" s="9"/>
      <c r="S164" s="8"/>
      <c r="T164" s="8"/>
      <c r="U164" s="8"/>
      <c r="V164" s="132"/>
      <c r="W164" s="140"/>
      <c r="X164" s="140"/>
      <c r="Y164" s="9"/>
      <c r="Z164" s="8"/>
      <c r="AA164" s="8"/>
      <c r="AB164" s="8"/>
      <c r="AC164" s="132"/>
      <c r="AD164" s="140"/>
      <c r="AE164" s="9"/>
      <c r="AF164" s="140"/>
      <c r="AG164" s="9"/>
      <c r="AH164" s="8"/>
      <c r="AI164" s="8"/>
      <c r="AJ164" s="8"/>
      <c r="AK164" s="132"/>
      <c r="AL164" s="140"/>
      <c r="AM164" s="140"/>
      <c r="AN164" s="9"/>
      <c r="AO164" s="8"/>
      <c r="AP164" s="8"/>
      <c r="AQ164" s="8"/>
    </row>
    <row r="165" spans="1:43" outlineLevel="1" x14ac:dyDescent="0.15">
      <c r="A165" s="8"/>
      <c r="B165" s="8"/>
      <c r="C165" s="8"/>
      <c r="D165" s="8"/>
      <c r="E165" s="9"/>
      <c r="F165" s="8"/>
      <c r="G165" s="10"/>
      <c r="H165" s="132"/>
      <c r="I165" s="140"/>
      <c r="J165" s="9"/>
      <c r="K165" s="140"/>
      <c r="L165" s="9"/>
      <c r="M165" s="8"/>
      <c r="N165" s="132"/>
      <c r="O165" s="140"/>
      <c r="P165" s="9"/>
      <c r="Q165" s="140"/>
      <c r="R165" s="9"/>
      <c r="S165" s="8"/>
      <c r="T165" s="8"/>
      <c r="U165" s="8"/>
      <c r="V165" s="132"/>
      <c r="W165" s="140"/>
      <c r="X165" s="140"/>
      <c r="Y165" s="9"/>
      <c r="Z165" s="8"/>
      <c r="AA165" s="8"/>
      <c r="AB165" s="8"/>
      <c r="AC165" s="132"/>
      <c r="AD165" s="140"/>
      <c r="AE165" s="9"/>
      <c r="AF165" s="140"/>
      <c r="AG165" s="9"/>
      <c r="AH165" s="8"/>
      <c r="AI165" s="8"/>
      <c r="AJ165" s="8"/>
      <c r="AK165" s="132"/>
      <c r="AL165" s="140"/>
      <c r="AM165" s="140"/>
      <c r="AN165" s="9"/>
      <c r="AO165" s="8"/>
      <c r="AP165" s="8"/>
      <c r="AQ165" s="8"/>
    </row>
    <row r="166" spans="1:43" outlineLevel="1" x14ac:dyDescent="0.15">
      <c r="A166" s="8"/>
      <c r="B166" s="8"/>
      <c r="C166" s="8"/>
      <c r="D166" s="8"/>
      <c r="E166" s="9"/>
      <c r="F166" s="8"/>
      <c r="G166" s="10"/>
      <c r="H166" s="132"/>
      <c r="I166" s="140"/>
      <c r="J166" s="9"/>
      <c r="K166" s="140"/>
      <c r="L166" s="9"/>
      <c r="M166" s="8"/>
      <c r="N166" s="132"/>
      <c r="O166" s="140"/>
      <c r="P166" s="9"/>
      <c r="Q166" s="140"/>
      <c r="R166" s="9"/>
      <c r="S166" s="8"/>
      <c r="T166" s="8"/>
      <c r="U166" s="8"/>
      <c r="V166" s="132"/>
      <c r="W166" s="140"/>
      <c r="X166" s="140"/>
      <c r="Y166" s="9"/>
      <c r="Z166" s="8"/>
      <c r="AA166" s="8"/>
      <c r="AB166" s="8"/>
      <c r="AC166" s="132"/>
      <c r="AD166" s="140"/>
      <c r="AE166" s="9"/>
      <c r="AF166" s="140"/>
      <c r="AG166" s="9"/>
      <c r="AH166" s="8"/>
      <c r="AI166" s="8"/>
      <c r="AJ166" s="8"/>
      <c r="AK166" s="132"/>
      <c r="AL166" s="140"/>
      <c r="AM166" s="140"/>
      <c r="AN166" s="9"/>
      <c r="AO166" s="8"/>
      <c r="AP166" s="8"/>
      <c r="AQ166" s="8"/>
    </row>
    <row r="167" spans="1:43" outlineLevel="1" x14ac:dyDescent="0.15">
      <c r="A167" s="8"/>
      <c r="B167" s="8"/>
      <c r="C167" s="8"/>
      <c r="D167" s="8"/>
      <c r="E167" s="9"/>
      <c r="F167" s="8"/>
      <c r="G167" s="10"/>
      <c r="H167" s="132"/>
      <c r="I167" s="140"/>
      <c r="J167" s="9"/>
      <c r="K167" s="140"/>
      <c r="L167" s="9"/>
      <c r="M167" s="8"/>
      <c r="N167" s="132"/>
      <c r="O167" s="140"/>
      <c r="P167" s="9"/>
      <c r="Q167" s="140"/>
      <c r="R167" s="9"/>
      <c r="S167" s="8"/>
      <c r="T167" s="8"/>
      <c r="U167" s="8"/>
      <c r="V167" s="132"/>
      <c r="W167" s="140"/>
      <c r="X167" s="140"/>
      <c r="Y167" s="9"/>
      <c r="Z167" s="8"/>
      <c r="AA167" s="8"/>
      <c r="AB167" s="8"/>
      <c r="AC167" s="132"/>
      <c r="AD167" s="140"/>
      <c r="AE167" s="9"/>
      <c r="AF167" s="140"/>
      <c r="AG167" s="9"/>
      <c r="AH167" s="8"/>
      <c r="AI167" s="8"/>
      <c r="AJ167" s="8"/>
      <c r="AK167" s="132"/>
      <c r="AL167" s="140"/>
      <c r="AM167" s="140"/>
      <c r="AN167" s="9"/>
      <c r="AO167" s="8"/>
      <c r="AP167" s="8"/>
      <c r="AQ167" s="8"/>
    </row>
    <row r="168" spans="1:43" outlineLevel="1" x14ac:dyDescent="0.15">
      <c r="A168" s="8"/>
      <c r="B168" s="8"/>
      <c r="C168" s="8"/>
      <c r="D168" s="8"/>
      <c r="E168" s="9"/>
      <c r="F168" s="8"/>
      <c r="G168" s="10"/>
      <c r="H168" s="132"/>
      <c r="I168" s="140"/>
      <c r="J168" s="9"/>
      <c r="K168" s="140"/>
      <c r="L168" s="9"/>
      <c r="M168" s="8"/>
      <c r="N168" s="132"/>
      <c r="O168" s="140"/>
      <c r="P168" s="9"/>
      <c r="Q168" s="140"/>
      <c r="R168" s="9"/>
      <c r="S168" s="8"/>
      <c r="T168" s="8"/>
      <c r="U168" s="8"/>
      <c r="V168" s="132"/>
      <c r="W168" s="140"/>
      <c r="X168" s="140"/>
      <c r="Y168" s="9"/>
      <c r="Z168" s="8"/>
      <c r="AA168" s="8"/>
      <c r="AB168" s="8"/>
      <c r="AC168" s="132"/>
      <c r="AD168" s="140"/>
      <c r="AE168" s="9"/>
      <c r="AF168" s="140"/>
      <c r="AG168" s="9"/>
      <c r="AH168" s="8"/>
      <c r="AI168" s="8"/>
      <c r="AJ168" s="8"/>
      <c r="AK168" s="132"/>
      <c r="AL168" s="140"/>
      <c r="AM168" s="140"/>
      <c r="AN168" s="9"/>
      <c r="AO168" s="8"/>
      <c r="AP168" s="8"/>
      <c r="AQ168" s="8"/>
    </row>
    <row r="169" spans="1:43" outlineLevel="1" x14ac:dyDescent="0.15">
      <c r="A169" s="8"/>
      <c r="B169" s="8"/>
      <c r="C169" s="8"/>
      <c r="D169" s="8"/>
      <c r="E169" s="9"/>
      <c r="F169" s="8"/>
      <c r="G169" s="10"/>
      <c r="H169" s="132"/>
      <c r="I169" s="140"/>
      <c r="J169" s="9"/>
      <c r="K169" s="140"/>
      <c r="L169" s="9"/>
      <c r="M169" s="8"/>
      <c r="N169" s="132"/>
      <c r="O169" s="140"/>
      <c r="P169" s="9"/>
      <c r="Q169" s="140"/>
      <c r="R169" s="9"/>
      <c r="S169" s="8"/>
      <c r="T169" s="8"/>
      <c r="U169" s="8"/>
      <c r="V169" s="132"/>
      <c r="W169" s="140"/>
      <c r="X169" s="140"/>
      <c r="Y169" s="9"/>
      <c r="Z169" s="8"/>
      <c r="AA169" s="8"/>
      <c r="AB169" s="8"/>
      <c r="AC169" s="132"/>
      <c r="AD169" s="140"/>
      <c r="AE169" s="9"/>
      <c r="AF169" s="140"/>
      <c r="AG169" s="9"/>
      <c r="AH169" s="8"/>
      <c r="AI169" s="8"/>
      <c r="AJ169" s="8"/>
      <c r="AK169" s="132"/>
      <c r="AL169" s="140"/>
      <c r="AM169" s="140"/>
      <c r="AN169" s="9"/>
      <c r="AO169" s="8"/>
      <c r="AP169" s="8"/>
      <c r="AQ169" s="8"/>
    </row>
    <row r="170" spans="1:43" outlineLevel="1" x14ac:dyDescent="0.15">
      <c r="A170" s="8"/>
      <c r="B170" s="8"/>
      <c r="C170" s="8"/>
      <c r="D170" s="8"/>
      <c r="E170" s="9"/>
      <c r="F170" s="8"/>
      <c r="G170" s="10"/>
      <c r="H170" s="132"/>
      <c r="I170" s="140"/>
      <c r="J170" s="9"/>
      <c r="K170" s="140"/>
      <c r="L170" s="9"/>
      <c r="M170" s="8"/>
      <c r="N170" s="132"/>
      <c r="O170" s="140"/>
      <c r="P170" s="9"/>
      <c r="Q170" s="140"/>
      <c r="R170" s="9"/>
      <c r="S170" s="8"/>
      <c r="T170" s="8"/>
      <c r="U170" s="8"/>
      <c r="V170" s="132"/>
      <c r="W170" s="140"/>
      <c r="X170" s="140"/>
      <c r="Y170" s="9"/>
      <c r="Z170" s="8"/>
      <c r="AA170" s="8"/>
      <c r="AB170" s="8"/>
      <c r="AC170" s="132"/>
      <c r="AD170" s="140"/>
      <c r="AE170" s="9"/>
      <c r="AF170" s="140"/>
      <c r="AG170" s="9"/>
      <c r="AH170" s="8"/>
      <c r="AI170" s="8"/>
      <c r="AJ170" s="8"/>
      <c r="AK170" s="132"/>
      <c r="AL170" s="140"/>
      <c r="AM170" s="140"/>
      <c r="AN170" s="9"/>
      <c r="AO170" s="8"/>
      <c r="AP170" s="8"/>
      <c r="AQ170" s="8"/>
    </row>
    <row r="171" spans="1:43" outlineLevel="1" x14ac:dyDescent="0.15">
      <c r="A171" s="8"/>
      <c r="B171" s="8"/>
      <c r="C171" s="8"/>
      <c r="D171" s="8"/>
      <c r="E171" s="9"/>
      <c r="F171" s="8"/>
      <c r="G171" s="10"/>
      <c r="H171" s="132"/>
      <c r="I171" s="140"/>
      <c r="J171" s="9"/>
      <c r="K171" s="140"/>
      <c r="L171" s="9"/>
      <c r="M171" s="8"/>
      <c r="N171" s="132"/>
      <c r="O171" s="140"/>
      <c r="P171" s="9"/>
      <c r="Q171" s="140"/>
      <c r="R171" s="9"/>
      <c r="S171" s="8"/>
      <c r="T171" s="8"/>
      <c r="U171" s="8"/>
      <c r="V171" s="132"/>
      <c r="W171" s="140"/>
      <c r="X171" s="140"/>
      <c r="Y171" s="9"/>
      <c r="Z171" s="8"/>
      <c r="AA171" s="8"/>
      <c r="AB171" s="8"/>
      <c r="AC171" s="132"/>
      <c r="AD171" s="140"/>
      <c r="AE171" s="9"/>
      <c r="AF171" s="140"/>
      <c r="AG171" s="9"/>
      <c r="AH171" s="8"/>
      <c r="AI171" s="8"/>
      <c r="AJ171" s="8"/>
      <c r="AK171" s="132"/>
      <c r="AL171" s="140"/>
      <c r="AM171" s="140"/>
      <c r="AN171" s="9"/>
      <c r="AO171" s="8"/>
      <c r="AP171" s="8"/>
      <c r="AQ171" s="8"/>
    </row>
    <row r="172" spans="1:43" outlineLevel="1" x14ac:dyDescent="0.15">
      <c r="A172" s="8"/>
      <c r="B172" s="8"/>
      <c r="C172" s="8"/>
      <c r="D172" s="8"/>
      <c r="E172" s="9"/>
      <c r="F172" s="8"/>
      <c r="G172" s="10"/>
      <c r="H172" s="132"/>
      <c r="I172" s="140"/>
      <c r="J172" s="9"/>
      <c r="K172" s="140"/>
      <c r="L172" s="9"/>
      <c r="M172" s="8"/>
      <c r="N172" s="132"/>
      <c r="O172" s="140"/>
      <c r="P172" s="9"/>
      <c r="Q172" s="140"/>
      <c r="R172" s="9"/>
      <c r="S172" s="8"/>
      <c r="T172" s="8"/>
      <c r="U172" s="8"/>
      <c r="V172" s="132"/>
      <c r="W172" s="140"/>
      <c r="X172" s="140"/>
      <c r="Y172" s="9"/>
      <c r="Z172" s="8"/>
      <c r="AA172" s="8"/>
      <c r="AB172" s="8"/>
      <c r="AC172" s="132"/>
      <c r="AD172" s="140"/>
      <c r="AE172" s="9"/>
      <c r="AF172" s="140"/>
      <c r="AG172" s="9"/>
      <c r="AH172" s="8"/>
      <c r="AI172" s="8"/>
      <c r="AJ172" s="8"/>
      <c r="AK172" s="132"/>
      <c r="AL172" s="140"/>
      <c r="AM172" s="140"/>
      <c r="AN172" s="9"/>
      <c r="AO172" s="8"/>
      <c r="AP172" s="8"/>
      <c r="AQ172" s="8"/>
    </row>
    <row r="173" spans="1:43" outlineLevel="1" x14ac:dyDescent="0.15">
      <c r="A173" s="8"/>
      <c r="B173" s="8"/>
      <c r="C173" s="8"/>
      <c r="D173" s="8"/>
      <c r="E173" s="9"/>
      <c r="F173" s="8"/>
      <c r="G173" s="10"/>
      <c r="H173" s="132"/>
      <c r="I173" s="140"/>
      <c r="J173" s="9"/>
      <c r="K173" s="140"/>
      <c r="L173" s="9"/>
      <c r="M173" s="8"/>
      <c r="N173" s="132"/>
      <c r="O173" s="140"/>
      <c r="P173" s="9"/>
      <c r="Q173" s="140"/>
      <c r="R173" s="9"/>
      <c r="S173" s="8"/>
      <c r="T173" s="8"/>
      <c r="U173" s="8"/>
      <c r="V173" s="132"/>
      <c r="W173" s="140"/>
      <c r="X173" s="140"/>
      <c r="Y173" s="9"/>
      <c r="Z173" s="8"/>
      <c r="AA173" s="8"/>
      <c r="AB173" s="8"/>
      <c r="AC173" s="132"/>
      <c r="AD173" s="140"/>
      <c r="AE173" s="9"/>
      <c r="AF173" s="140"/>
      <c r="AG173" s="9"/>
      <c r="AH173" s="8"/>
      <c r="AI173" s="8"/>
      <c r="AJ173" s="8"/>
      <c r="AK173" s="132"/>
      <c r="AL173" s="140"/>
      <c r="AM173" s="140"/>
      <c r="AN173" s="9"/>
      <c r="AO173" s="8"/>
      <c r="AP173" s="8"/>
      <c r="AQ173" s="8"/>
    </row>
    <row r="174" spans="1:43" outlineLevel="1" x14ac:dyDescent="0.15">
      <c r="A174" s="8"/>
      <c r="B174" s="8"/>
      <c r="C174" s="8"/>
      <c r="D174" s="8"/>
      <c r="E174" s="9"/>
      <c r="F174" s="8"/>
      <c r="G174" s="10"/>
      <c r="H174" s="132"/>
      <c r="I174" s="140"/>
      <c r="J174" s="9"/>
      <c r="K174" s="140"/>
      <c r="L174" s="9"/>
      <c r="M174" s="8"/>
      <c r="N174" s="132"/>
      <c r="O174" s="140"/>
      <c r="P174" s="9"/>
      <c r="Q174" s="140"/>
      <c r="R174" s="9"/>
      <c r="S174" s="8"/>
      <c r="T174" s="8"/>
      <c r="U174" s="8"/>
      <c r="V174" s="132"/>
      <c r="W174" s="140"/>
      <c r="X174" s="140"/>
      <c r="Y174" s="9"/>
      <c r="Z174" s="8"/>
      <c r="AA174" s="8"/>
      <c r="AB174" s="8"/>
      <c r="AC174" s="132"/>
      <c r="AD174" s="140"/>
      <c r="AE174" s="9"/>
      <c r="AF174" s="140"/>
      <c r="AG174" s="9"/>
      <c r="AH174" s="8"/>
      <c r="AI174" s="8"/>
      <c r="AJ174" s="8"/>
      <c r="AK174" s="132"/>
      <c r="AL174" s="140"/>
      <c r="AM174" s="140"/>
      <c r="AN174" s="9"/>
      <c r="AO174" s="8"/>
      <c r="AP174" s="8"/>
      <c r="AQ174" s="8"/>
    </row>
    <row r="175" spans="1:43" outlineLevel="1" x14ac:dyDescent="0.15">
      <c r="A175" s="8"/>
      <c r="B175" s="8"/>
      <c r="C175" s="8"/>
      <c r="D175" s="8"/>
      <c r="E175" s="9"/>
      <c r="F175" s="8"/>
      <c r="G175" s="10"/>
      <c r="H175" s="132"/>
      <c r="I175" s="140"/>
      <c r="J175" s="9"/>
      <c r="K175" s="140"/>
      <c r="L175" s="9"/>
      <c r="M175" s="8"/>
      <c r="N175" s="132"/>
      <c r="O175" s="140"/>
      <c r="P175" s="9"/>
      <c r="Q175" s="140"/>
      <c r="R175" s="9"/>
      <c r="S175" s="8"/>
      <c r="T175" s="8"/>
      <c r="U175" s="8"/>
      <c r="V175" s="132"/>
      <c r="W175" s="140"/>
      <c r="X175" s="140"/>
      <c r="Y175" s="9"/>
      <c r="Z175" s="8"/>
      <c r="AA175" s="8"/>
      <c r="AB175" s="8"/>
      <c r="AC175" s="132"/>
      <c r="AD175" s="140"/>
      <c r="AE175" s="9"/>
      <c r="AF175" s="140"/>
      <c r="AG175" s="9"/>
      <c r="AH175" s="8"/>
      <c r="AI175" s="8"/>
      <c r="AJ175" s="8"/>
      <c r="AK175" s="132"/>
      <c r="AL175" s="140"/>
      <c r="AM175" s="140"/>
      <c r="AN175" s="9"/>
      <c r="AO175" s="8"/>
      <c r="AP175" s="8"/>
      <c r="AQ175" s="8"/>
    </row>
    <row r="176" spans="1:43" outlineLevel="1" x14ac:dyDescent="0.15">
      <c r="A176" s="8"/>
      <c r="B176" s="8"/>
      <c r="C176" s="8"/>
      <c r="D176" s="8"/>
      <c r="E176" s="9"/>
      <c r="F176" s="8"/>
      <c r="G176" s="10"/>
      <c r="H176" s="132"/>
      <c r="I176" s="140"/>
      <c r="J176" s="9"/>
      <c r="K176" s="140"/>
      <c r="L176" s="9"/>
      <c r="M176" s="8"/>
      <c r="N176" s="132"/>
      <c r="O176" s="140"/>
      <c r="P176" s="9"/>
      <c r="Q176" s="140"/>
      <c r="R176" s="9"/>
      <c r="S176" s="8"/>
      <c r="T176" s="8"/>
      <c r="U176" s="8"/>
      <c r="V176" s="132"/>
      <c r="W176" s="140"/>
      <c r="X176" s="140"/>
      <c r="Y176" s="9"/>
      <c r="Z176" s="8"/>
      <c r="AA176" s="8"/>
      <c r="AB176" s="8"/>
      <c r="AC176" s="132"/>
      <c r="AD176" s="140"/>
      <c r="AE176" s="9"/>
      <c r="AF176" s="140"/>
      <c r="AG176" s="9"/>
      <c r="AH176" s="8"/>
      <c r="AI176" s="8"/>
      <c r="AJ176" s="8"/>
      <c r="AK176" s="132"/>
      <c r="AL176" s="140"/>
      <c r="AM176" s="140"/>
      <c r="AN176" s="9"/>
      <c r="AO176" s="8"/>
      <c r="AP176" s="8"/>
      <c r="AQ176" s="8"/>
    </row>
    <row r="177" spans="1:43" outlineLevel="1" x14ac:dyDescent="0.15">
      <c r="A177" s="8"/>
      <c r="B177" s="8"/>
      <c r="C177" s="8"/>
      <c r="D177" s="8"/>
      <c r="E177" s="9"/>
      <c r="F177" s="8"/>
      <c r="G177" s="10"/>
      <c r="H177" s="132"/>
      <c r="I177" s="140"/>
      <c r="J177" s="9"/>
      <c r="K177" s="140"/>
      <c r="L177" s="9"/>
      <c r="M177" s="8"/>
      <c r="N177" s="132"/>
      <c r="O177" s="140"/>
      <c r="P177" s="9"/>
      <c r="Q177" s="140"/>
      <c r="R177" s="9"/>
      <c r="S177" s="8"/>
      <c r="T177" s="8"/>
      <c r="U177" s="8"/>
      <c r="V177" s="132"/>
      <c r="W177" s="140"/>
      <c r="X177" s="140"/>
      <c r="Y177" s="9"/>
      <c r="Z177" s="8"/>
      <c r="AA177" s="8"/>
      <c r="AB177" s="8"/>
      <c r="AC177" s="132"/>
      <c r="AD177" s="140"/>
      <c r="AE177" s="9"/>
      <c r="AF177" s="140"/>
      <c r="AG177" s="9"/>
      <c r="AH177" s="8"/>
      <c r="AI177" s="8"/>
      <c r="AJ177" s="8"/>
      <c r="AK177" s="132"/>
      <c r="AL177" s="140"/>
      <c r="AM177" s="140"/>
      <c r="AN177" s="9"/>
      <c r="AO177" s="8"/>
      <c r="AP177" s="8"/>
      <c r="AQ177" s="8"/>
    </row>
    <row r="178" spans="1:43" outlineLevel="1" x14ac:dyDescent="0.15">
      <c r="A178" s="8"/>
      <c r="B178" s="8"/>
      <c r="C178" s="8"/>
      <c r="D178" s="8"/>
      <c r="E178" s="9"/>
      <c r="F178" s="8"/>
      <c r="G178" s="10"/>
      <c r="H178" s="132"/>
      <c r="I178" s="140"/>
      <c r="J178" s="9"/>
      <c r="K178" s="140"/>
      <c r="L178" s="9"/>
      <c r="M178" s="8"/>
      <c r="N178" s="132"/>
      <c r="O178" s="140"/>
      <c r="P178" s="9"/>
      <c r="Q178" s="140"/>
      <c r="R178" s="9"/>
      <c r="S178" s="8"/>
      <c r="T178" s="8"/>
      <c r="U178" s="8"/>
      <c r="V178" s="132"/>
      <c r="W178" s="140"/>
      <c r="X178" s="140"/>
      <c r="Y178" s="9"/>
      <c r="Z178" s="8"/>
      <c r="AA178" s="8"/>
      <c r="AB178" s="8"/>
      <c r="AC178" s="132"/>
      <c r="AD178" s="140"/>
      <c r="AE178" s="9"/>
      <c r="AF178" s="140"/>
      <c r="AG178" s="9"/>
      <c r="AH178" s="8"/>
      <c r="AI178" s="8"/>
      <c r="AJ178" s="8"/>
      <c r="AK178" s="132"/>
      <c r="AL178" s="140"/>
      <c r="AM178" s="140"/>
      <c r="AN178" s="9"/>
      <c r="AO178" s="8"/>
      <c r="AP178" s="8"/>
      <c r="AQ178" s="8"/>
    </row>
    <row r="179" spans="1:43" outlineLevel="1" x14ac:dyDescent="0.15">
      <c r="A179" s="8"/>
      <c r="B179" s="8"/>
      <c r="C179" s="8"/>
      <c r="D179" s="8"/>
      <c r="E179" s="9"/>
      <c r="F179" s="8"/>
      <c r="G179" s="10"/>
      <c r="H179" s="132"/>
      <c r="I179" s="140"/>
      <c r="J179" s="9"/>
      <c r="K179" s="140"/>
      <c r="L179" s="9"/>
      <c r="M179" s="8"/>
      <c r="N179" s="132"/>
      <c r="O179" s="140"/>
      <c r="P179" s="9"/>
      <c r="Q179" s="140"/>
      <c r="R179" s="9"/>
      <c r="S179" s="8"/>
      <c r="T179" s="8"/>
      <c r="U179" s="8"/>
      <c r="V179" s="132"/>
      <c r="W179" s="140"/>
      <c r="X179" s="140"/>
      <c r="Y179" s="9"/>
      <c r="Z179" s="8"/>
      <c r="AA179" s="8"/>
      <c r="AB179" s="8"/>
      <c r="AC179" s="132"/>
      <c r="AD179" s="140"/>
      <c r="AE179" s="9"/>
      <c r="AF179" s="140"/>
      <c r="AG179" s="9"/>
      <c r="AH179" s="8"/>
      <c r="AI179" s="8"/>
      <c r="AJ179" s="8"/>
      <c r="AK179" s="132"/>
      <c r="AL179" s="140"/>
      <c r="AM179" s="140"/>
      <c r="AN179" s="9"/>
      <c r="AO179" s="8"/>
      <c r="AP179" s="8"/>
      <c r="AQ179" s="8"/>
    </row>
    <row r="180" spans="1:43" outlineLevel="1" x14ac:dyDescent="0.15">
      <c r="A180" s="8"/>
      <c r="B180" s="8"/>
      <c r="C180" s="8"/>
      <c r="D180" s="8"/>
      <c r="E180" s="9"/>
      <c r="F180" s="8"/>
      <c r="G180" s="10"/>
      <c r="H180" s="132"/>
      <c r="I180" s="140"/>
      <c r="J180" s="9"/>
      <c r="K180" s="140"/>
      <c r="L180" s="9"/>
      <c r="M180" s="8"/>
      <c r="N180" s="132"/>
      <c r="O180" s="140"/>
      <c r="P180" s="9"/>
      <c r="Q180" s="140"/>
      <c r="R180" s="9"/>
      <c r="S180" s="8"/>
      <c r="T180" s="8"/>
      <c r="U180" s="8"/>
      <c r="V180" s="132"/>
      <c r="W180" s="140"/>
      <c r="X180" s="140"/>
      <c r="Y180" s="9"/>
      <c r="Z180" s="8"/>
      <c r="AA180" s="8"/>
      <c r="AB180" s="8"/>
      <c r="AC180" s="132"/>
      <c r="AD180" s="140"/>
      <c r="AE180" s="9"/>
      <c r="AF180" s="140"/>
      <c r="AG180" s="9"/>
      <c r="AH180" s="8"/>
      <c r="AI180" s="8"/>
      <c r="AJ180" s="8"/>
      <c r="AK180" s="132"/>
      <c r="AL180" s="140"/>
      <c r="AM180" s="140"/>
      <c r="AN180" s="9"/>
      <c r="AO180" s="8"/>
      <c r="AP180" s="8"/>
      <c r="AQ180" s="8"/>
    </row>
    <row r="181" spans="1:43" outlineLevel="1" x14ac:dyDescent="0.15">
      <c r="A181" s="8"/>
      <c r="B181" s="8"/>
      <c r="C181" s="8"/>
      <c r="D181" s="8"/>
      <c r="E181" s="9"/>
      <c r="F181" s="8"/>
      <c r="G181" s="10"/>
      <c r="H181" s="132"/>
      <c r="I181" s="140"/>
      <c r="J181" s="9"/>
      <c r="K181" s="140"/>
      <c r="L181" s="9"/>
      <c r="M181" s="8"/>
      <c r="N181" s="132"/>
      <c r="O181" s="140"/>
      <c r="P181" s="9"/>
      <c r="Q181" s="140"/>
      <c r="R181" s="9"/>
      <c r="S181" s="8"/>
      <c r="T181" s="8"/>
      <c r="U181" s="8"/>
      <c r="V181" s="132"/>
      <c r="W181" s="140"/>
      <c r="X181" s="140"/>
      <c r="Y181" s="9"/>
      <c r="Z181" s="8"/>
      <c r="AA181" s="8"/>
      <c r="AB181" s="8"/>
      <c r="AC181" s="132"/>
      <c r="AD181" s="140"/>
      <c r="AE181" s="9"/>
      <c r="AF181" s="140"/>
      <c r="AG181" s="9"/>
      <c r="AH181" s="8"/>
      <c r="AI181" s="8"/>
      <c r="AJ181" s="8"/>
      <c r="AK181" s="132"/>
      <c r="AL181" s="140"/>
      <c r="AM181" s="140"/>
      <c r="AN181" s="9"/>
      <c r="AO181" s="8"/>
      <c r="AP181" s="8"/>
      <c r="AQ181" s="8"/>
    </row>
    <row r="182" spans="1:43" outlineLevel="1" x14ac:dyDescent="0.15">
      <c r="A182" s="8"/>
      <c r="B182" s="8"/>
      <c r="C182" s="8"/>
      <c r="D182" s="8"/>
      <c r="E182" s="9"/>
      <c r="F182" s="8"/>
      <c r="G182" s="10"/>
      <c r="H182" s="132"/>
      <c r="I182" s="140"/>
      <c r="J182" s="9"/>
      <c r="K182" s="140"/>
      <c r="L182" s="9"/>
      <c r="M182" s="8"/>
      <c r="N182" s="132"/>
      <c r="O182" s="140"/>
      <c r="P182" s="9"/>
      <c r="Q182" s="140"/>
      <c r="R182" s="9"/>
      <c r="S182" s="8"/>
      <c r="T182" s="8"/>
      <c r="U182" s="8"/>
      <c r="V182" s="132"/>
      <c r="W182" s="140"/>
      <c r="X182" s="140"/>
      <c r="Y182" s="9"/>
      <c r="Z182" s="8"/>
      <c r="AA182" s="8"/>
      <c r="AB182" s="8"/>
      <c r="AC182" s="132"/>
      <c r="AD182" s="140"/>
      <c r="AE182" s="9"/>
      <c r="AF182" s="140"/>
      <c r="AG182" s="9"/>
      <c r="AH182" s="8"/>
      <c r="AI182" s="8"/>
      <c r="AJ182" s="8"/>
      <c r="AK182" s="132"/>
      <c r="AL182" s="140"/>
      <c r="AM182" s="140"/>
      <c r="AN182" s="9"/>
      <c r="AO182" s="8"/>
      <c r="AP182" s="8"/>
      <c r="AQ182" s="8"/>
    </row>
    <row r="183" spans="1:43" outlineLevel="1" x14ac:dyDescent="0.15">
      <c r="A183" s="8"/>
      <c r="B183" s="8"/>
      <c r="C183" s="8"/>
      <c r="D183" s="8"/>
      <c r="E183" s="9"/>
      <c r="F183" s="8"/>
      <c r="G183" s="10"/>
      <c r="H183" s="132"/>
      <c r="I183" s="140"/>
      <c r="J183" s="9"/>
      <c r="K183" s="140"/>
      <c r="L183" s="9"/>
      <c r="M183" s="8"/>
      <c r="N183" s="132"/>
      <c r="O183" s="140"/>
      <c r="P183" s="9"/>
      <c r="Q183" s="140"/>
      <c r="R183" s="9"/>
      <c r="S183" s="8"/>
      <c r="T183" s="8"/>
      <c r="U183" s="8"/>
      <c r="V183" s="132"/>
      <c r="W183" s="140"/>
      <c r="X183" s="140"/>
      <c r="Y183" s="9"/>
      <c r="Z183" s="8"/>
      <c r="AA183" s="8"/>
      <c r="AB183" s="8"/>
      <c r="AC183" s="132"/>
      <c r="AD183" s="140"/>
      <c r="AE183" s="9"/>
      <c r="AF183" s="140"/>
      <c r="AG183" s="9"/>
      <c r="AH183" s="8"/>
      <c r="AI183" s="8"/>
      <c r="AJ183" s="8"/>
      <c r="AK183" s="132"/>
      <c r="AL183" s="140"/>
      <c r="AM183" s="140"/>
      <c r="AN183" s="9"/>
      <c r="AO183" s="8"/>
      <c r="AP183" s="8"/>
      <c r="AQ183" s="8"/>
    </row>
    <row r="184" spans="1:43" outlineLevel="1" x14ac:dyDescent="0.15">
      <c r="A184" s="8"/>
      <c r="B184" s="8"/>
      <c r="C184" s="8"/>
      <c r="D184" s="8"/>
      <c r="E184" s="9"/>
      <c r="F184" s="8"/>
      <c r="G184" s="10"/>
      <c r="H184" s="132"/>
      <c r="I184" s="140"/>
      <c r="J184" s="9"/>
      <c r="K184" s="140"/>
      <c r="L184" s="9"/>
      <c r="M184" s="8"/>
      <c r="N184" s="132"/>
      <c r="O184" s="140"/>
      <c r="P184" s="9"/>
      <c r="Q184" s="140"/>
      <c r="R184" s="9"/>
      <c r="S184" s="8"/>
      <c r="T184" s="8"/>
      <c r="U184" s="8"/>
      <c r="V184" s="132"/>
      <c r="W184" s="140"/>
      <c r="X184" s="140"/>
      <c r="Y184" s="9"/>
      <c r="Z184" s="8"/>
      <c r="AA184" s="8"/>
      <c r="AB184" s="8"/>
      <c r="AC184" s="132"/>
      <c r="AD184" s="140"/>
      <c r="AE184" s="9"/>
      <c r="AF184" s="140"/>
      <c r="AG184" s="9"/>
      <c r="AH184" s="8"/>
      <c r="AI184" s="8"/>
      <c r="AJ184" s="8"/>
      <c r="AK184" s="132"/>
      <c r="AL184" s="140"/>
      <c r="AM184" s="140"/>
      <c r="AN184" s="9"/>
      <c r="AO184" s="8"/>
      <c r="AP184" s="8"/>
      <c r="AQ184" s="8"/>
    </row>
    <row r="185" spans="1:43" outlineLevel="1" x14ac:dyDescent="0.15">
      <c r="A185" s="8"/>
      <c r="B185" s="8"/>
      <c r="C185" s="8"/>
      <c r="D185" s="8"/>
      <c r="E185" s="9"/>
      <c r="F185" s="8"/>
      <c r="G185" s="10"/>
      <c r="H185" s="132"/>
      <c r="I185" s="140"/>
      <c r="J185" s="9"/>
      <c r="K185" s="140"/>
      <c r="L185" s="9"/>
      <c r="M185" s="8"/>
      <c r="N185" s="132"/>
      <c r="O185" s="140"/>
      <c r="P185" s="9"/>
      <c r="Q185" s="140"/>
      <c r="R185" s="9"/>
      <c r="S185" s="8"/>
      <c r="T185" s="8"/>
      <c r="U185" s="8"/>
      <c r="V185" s="132"/>
      <c r="W185" s="140"/>
      <c r="X185" s="140"/>
      <c r="Y185" s="9"/>
      <c r="Z185" s="8"/>
      <c r="AA185" s="8"/>
      <c r="AB185" s="8"/>
      <c r="AC185" s="132"/>
      <c r="AD185" s="140"/>
      <c r="AE185" s="9"/>
      <c r="AF185" s="140"/>
      <c r="AG185" s="9"/>
      <c r="AH185" s="8"/>
      <c r="AI185" s="8"/>
      <c r="AJ185" s="8"/>
      <c r="AK185" s="132"/>
      <c r="AL185" s="140"/>
      <c r="AM185" s="140"/>
      <c r="AN185" s="9"/>
      <c r="AO185" s="8"/>
      <c r="AP185" s="8"/>
      <c r="AQ185" s="8"/>
    </row>
    <row r="186" spans="1:43" outlineLevel="1" x14ac:dyDescent="0.15">
      <c r="A186" s="8"/>
      <c r="B186" s="8"/>
      <c r="C186" s="8"/>
      <c r="D186" s="8"/>
      <c r="E186" s="9"/>
      <c r="F186" s="8"/>
      <c r="G186" s="10"/>
      <c r="H186" s="132"/>
      <c r="I186" s="140"/>
      <c r="J186" s="9"/>
      <c r="K186" s="140"/>
      <c r="L186" s="9"/>
      <c r="M186" s="8"/>
      <c r="N186" s="132"/>
      <c r="O186" s="140"/>
      <c r="P186" s="9"/>
      <c r="Q186" s="140"/>
      <c r="R186" s="9"/>
      <c r="S186" s="8"/>
      <c r="T186" s="8"/>
      <c r="U186" s="8"/>
      <c r="V186" s="132"/>
      <c r="W186" s="140"/>
      <c r="X186" s="140"/>
      <c r="Y186" s="9"/>
      <c r="Z186" s="8"/>
      <c r="AA186" s="8"/>
      <c r="AB186" s="8"/>
      <c r="AC186" s="132"/>
      <c r="AD186" s="140"/>
      <c r="AE186" s="9"/>
      <c r="AF186" s="140"/>
      <c r="AG186" s="9"/>
      <c r="AH186" s="8"/>
      <c r="AI186" s="8"/>
      <c r="AJ186" s="8"/>
      <c r="AK186" s="132"/>
      <c r="AL186" s="140"/>
      <c r="AM186" s="140"/>
      <c r="AN186" s="9"/>
      <c r="AO186" s="8"/>
      <c r="AP186" s="8"/>
      <c r="AQ186" s="8"/>
    </row>
    <row r="187" spans="1:43" outlineLevel="1" x14ac:dyDescent="0.15">
      <c r="A187" s="8"/>
      <c r="B187" s="8"/>
      <c r="C187" s="8"/>
      <c r="D187" s="8"/>
      <c r="E187" s="9"/>
      <c r="F187" s="8"/>
      <c r="G187" s="10"/>
      <c r="H187" s="132"/>
      <c r="I187" s="140"/>
      <c r="J187" s="9"/>
      <c r="K187" s="140"/>
      <c r="L187" s="9"/>
      <c r="M187" s="8"/>
      <c r="N187" s="132"/>
      <c r="O187" s="140"/>
      <c r="P187" s="9"/>
      <c r="Q187" s="140"/>
      <c r="R187" s="9"/>
      <c r="S187" s="8"/>
      <c r="T187" s="8"/>
      <c r="U187" s="8"/>
      <c r="V187" s="132"/>
      <c r="W187" s="140"/>
      <c r="X187" s="140"/>
      <c r="Y187" s="9"/>
      <c r="Z187" s="8"/>
      <c r="AA187" s="8"/>
      <c r="AB187" s="8"/>
      <c r="AC187" s="132"/>
      <c r="AD187" s="140"/>
      <c r="AE187" s="9"/>
      <c r="AF187" s="140"/>
      <c r="AG187" s="9"/>
      <c r="AH187" s="8"/>
      <c r="AI187" s="8"/>
      <c r="AJ187" s="8"/>
      <c r="AK187" s="132"/>
      <c r="AL187" s="140"/>
      <c r="AM187" s="140"/>
      <c r="AN187" s="9"/>
      <c r="AO187" s="8"/>
      <c r="AP187" s="8"/>
      <c r="AQ187" s="8"/>
    </row>
    <row r="188" spans="1:43" outlineLevel="1" x14ac:dyDescent="0.15">
      <c r="A188" s="8"/>
      <c r="B188" s="8"/>
      <c r="C188" s="8"/>
      <c r="D188" s="8"/>
      <c r="E188" s="9"/>
      <c r="F188" s="8"/>
      <c r="G188" s="10"/>
      <c r="H188" s="132"/>
      <c r="I188" s="140"/>
      <c r="J188" s="9"/>
      <c r="K188" s="140"/>
      <c r="L188" s="9"/>
      <c r="M188" s="8"/>
      <c r="N188" s="132"/>
      <c r="O188" s="140"/>
      <c r="P188" s="9"/>
      <c r="Q188" s="140"/>
      <c r="R188" s="9"/>
      <c r="S188" s="8"/>
      <c r="T188" s="8"/>
      <c r="U188" s="8"/>
      <c r="V188" s="132"/>
      <c r="W188" s="140"/>
      <c r="X188" s="140"/>
      <c r="Y188" s="9"/>
      <c r="Z188" s="8"/>
      <c r="AA188" s="8"/>
      <c r="AB188" s="8"/>
      <c r="AC188" s="132"/>
      <c r="AD188" s="140"/>
      <c r="AE188" s="9"/>
      <c r="AF188" s="140"/>
      <c r="AG188" s="9"/>
      <c r="AH188" s="8"/>
      <c r="AI188" s="8"/>
      <c r="AJ188" s="8"/>
      <c r="AK188" s="132"/>
      <c r="AL188" s="140"/>
      <c r="AM188" s="140"/>
      <c r="AN188" s="9"/>
      <c r="AO188" s="8"/>
      <c r="AP188" s="8"/>
      <c r="AQ188" s="8"/>
    </row>
    <row r="189" spans="1:43" outlineLevel="1" x14ac:dyDescent="0.15">
      <c r="A189" s="8"/>
      <c r="B189" s="8"/>
      <c r="C189" s="8"/>
      <c r="D189" s="8"/>
      <c r="E189" s="9"/>
      <c r="F189" s="8"/>
      <c r="G189" s="10"/>
      <c r="H189" s="132"/>
      <c r="I189" s="140"/>
      <c r="J189" s="9"/>
      <c r="K189" s="140"/>
      <c r="L189" s="9"/>
      <c r="M189" s="8"/>
      <c r="N189" s="132"/>
      <c r="O189" s="140"/>
      <c r="P189" s="9"/>
      <c r="Q189" s="140"/>
      <c r="R189" s="9"/>
      <c r="S189" s="8"/>
      <c r="T189" s="8"/>
      <c r="U189" s="8"/>
      <c r="V189" s="132"/>
      <c r="W189" s="140"/>
      <c r="X189" s="140"/>
      <c r="Y189" s="9"/>
      <c r="Z189" s="8"/>
      <c r="AA189" s="8"/>
      <c r="AB189" s="8"/>
      <c r="AC189" s="132"/>
      <c r="AD189" s="140"/>
      <c r="AE189" s="9"/>
      <c r="AF189" s="140"/>
      <c r="AG189" s="9"/>
      <c r="AH189" s="8"/>
      <c r="AI189" s="8"/>
      <c r="AJ189" s="8"/>
      <c r="AK189" s="132"/>
      <c r="AL189" s="140"/>
      <c r="AM189" s="140"/>
      <c r="AN189" s="9"/>
      <c r="AO189" s="8"/>
      <c r="AP189" s="8"/>
      <c r="AQ189" s="8"/>
    </row>
    <row r="190" spans="1:43" outlineLevel="1" x14ac:dyDescent="0.15">
      <c r="A190" s="8"/>
      <c r="B190" s="8"/>
      <c r="C190" s="8"/>
      <c r="D190" s="8"/>
      <c r="E190" s="9"/>
      <c r="F190" s="8"/>
      <c r="G190" s="10"/>
      <c r="H190" s="132"/>
      <c r="I190" s="140"/>
      <c r="J190" s="9"/>
      <c r="K190" s="140"/>
      <c r="L190" s="9"/>
      <c r="M190" s="8"/>
      <c r="N190" s="132"/>
      <c r="O190" s="140"/>
      <c r="P190" s="9"/>
      <c r="Q190" s="140"/>
      <c r="R190" s="9"/>
      <c r="S190" s="8"/>
      <c r="T190" s="8"/>
      <c r="U190" s="8"/>
      <c r="V190" s="132"/>
      <c r="W190" s="140"/>
      <c r="X190" s="140"/>
      <c r="Y190" s="9"/>
      <c r="Z190" s="8"/>
      <c r="AA190" s="8"/>
      <c r="AB190" s="8"/>
      <c r="AC190" s="132"/>
      <c r="AD190" s="140"/>
      <c r="AE190" s="9"/>
      <c r="AF190" s="140"/>
      <c r="AG190" s="9"/>
      <c r="AH190" s="8"/>
      <c r="AI190" s="8"/>
      <c r="AJ190" s="8"/>
      <c r="AK190" s="132"/>
      <c r="AL190" s="140"/>
      <c r="AM190" s="140"/>
      <c r="AN190" s="9"/>
      <c r="AO190" s="8"/>
      <c r="AP190" s="8"/>
      <c r="AQ190" s="8"/>
    </row>
    <row r="191" spans="1:43" outlineLevel="1" x14ac:dyDescent="0.15">
      <c r="A191" s="8"/>
      <c r="B191" s="8"/>
      <c r="C191" s="8"/>
      <c r="D191" s="8"/>
      <c r="E191" s="9"/>
      <c r="F191" s="8"/>
      <c r="G191" s="10"/>
      <c r="H191" s="132"/>
      <c r="I191" s="140"/>
      <c r="J191" s="9"/>
      <c r="K191" s="140"/>
      <c r="L191" s="9"/>
      <c r="M191" s="8"/>
      <c r="N191" s="132"/>
      <c r="O191" s="140"/>
      <c r="P191" s="9"/>
      <c r="Q191" s="140"/>
      <c r="R191" s="9"/>
      <c r="S191" s="8"/>
      <c r="T191" s="8"/>
      <c r="U191" s="8"/>
      <c r="V191" s="132"/>
      <c r="W191" s="140"/>
      <c r="X191" s="140"/>
      <c r="Y191" s="9"/>
      <c r="Z191" s="8"/>
      <c r="AA191" s="8"/>
      <c r="AB191" s="8"/>
      <c r="AC191" s="132"/>
      <c r="AD191" s="140"/>
      <c r="AE191" s="9"/>
      <c r="AF191" s="140"/>
      <c r="AG191" s="9"/>
      <c r="AH191" s="8"/>
      <c r="AI191" s="8"/>
      <c r="AJ191" s="8"/>
      <c r="AK191" s="132"/>
      <c r="AL191" s="140"/>
      <c r="AM191" s="140"/>
      <c r="AN191" s="9"/>
      <c r="AO191" s="8"/>
      <c r="AP191" s="8"/>
      <c r="AQ191" s="8"/>
    </row>
    <row r="192" spans="1:43" outlineLevel="1" x14ac:dyDescent="0.15">
      <c r="A192" s="8"/>
      <c r="B192" s="8"/>
      <c r="C192" s="8"/>
      <c r="D192" s="8"/>
      <c r="E192" s="9"/>
      <c r="F192" s="8"/>
      <c r="G192" s="10"/>
      <c r="H192" s="132"/>
      <c r="I192" s="140"/>
      <c r="J192" s="9"/>
      <c r="K192" s="140"/>
      <c r="L192" s="9"/>
      <c r="M192" s="8"/>
      <c r="N192" s="132"/>
      <c r="O192" s="140"/>
      <c r="P192" s="9"/>
      <c r="Q192" s="140"/>
      <c r="R192" s="9"/>
      <c r="S192" s="8"/>
      <c r="T192" s="8"/>
      <c r="U192" s="8"/>
      <c r="V192" s="132"/>
      <c r="W192" s="140"/>
      <c r="X192" s="140"/>
      <c r="Y192" s="9"/>
      <c r="Z192" s="8"/>
      <c r="AA192" s="8"/>
      <c r="AB192" s="8"/>
      <c r="AC192" s="132"/>
      <c r="AD192" s="140"/>
      <c r="AE192" s="9"/>
      <c r="AF192" s="140"/>
      <c r="AG192" s="9"/>
      <c r="AH192" s="8"/>
      <c r="AI192" s="8"/>
      <c r="AJ192" s="8"/>
      <c r="AK192" s="132"/>
      <c r="AL192" s="140"/>
      <c r="AM192" s="140"/>
      <c r="AN192" s="9"/>
      <c r="AO192" s="8"/>
      <c r="AP192" s="8"/>
      <c r="AQ192" s="8"/>
    </row>
    <row r="193" spans="1:43" outlineLevel="1" x14ac:dyDescent="0.15">
      <c r="A193" s="8"/>
      <c r="B193" s="8"/>
      <c r="C193" s="8"/>
      <c r="D193" s="8"/>
      <c r="E193" s="9"/>
      <c r="F193" s="8"/>
      <c r="G193" s="10"/>
      <c r="H193" s="132"/>
      <c r="I193" s="140"/>
      <c r="J193" s="9"/>
      <c r="K193" s="140"/>
      <c r="L193" s="9"/>
      <c r="M193" s="8"/>
      <c r="N193" s="132"/>
      <c r="O193" s="140"/>
      <c r="P193" s="9"/>
      <c r="Q193" s="140"/>
      <c r="R193" s="9"/>
      <c r="S193" s="8"/>
      <c r="T193" s="8"/>
      <c r="U193" s="8"/>
      <c r="V193" s="132"/>
      <c r="W193" s="140"/>
      <c r="X193" s="140"/>
      <c r="Y193" s="9"/>
      <c r="Z193" s="8"/>
      <c r="AA193" s="8"/>
      <c r="AB193" s="8"/>
      <c r="AC193" s="132"/>
      <c r="AD193" s="140"/>
      <c r="AE193" s="9"/>
      <c r="AF193" s="140"/>
      <c r="AG193" s="9"/>
      <c r="AH193" s="8"/>
      <c r="AI193" s="8"/>
      <c r="AJ193" s="8"/>
      <c r="AK193" s="132"/>
      <c r="AL193" s="140"/>
      <c r="AM193" s="140"/>
      <c r="AN193" s="9"/>
      <c r="AO193" s="8"/>
      <c r="AP193" s="8"/>
      <c r="AQ193" s="8"/>
    </row>
    <row r="194" spans="1:43" outlineLevel="1" x14ac:dyDescent="0.15">
      <c r="A194" s="8"/>
      <c r="B194" s="8"/>
      <c r="C194" s="8"/>
      <c r="D194" s="8"/>
      <c r="E194" s="9"/>
      <c r="F194" s="8"/>
      <c r="G194" s="10"/>
      <c r="H194" s="132"/>
      <c r="I194" s="140"/>
      <c r="J194" s="9"/>
      <c r="K194" s="140"/>
      <c r="L194" s="9"/>
      <c r="M194" s="8"/>
      <c r="N194" s="132"/>
      <c r="O194" s="140"/>
      <c r="P194" s="9"/>
      <c r="Q194" s="140"/>
      <c r="R194" s="9"/>
      <c r="S194" s="8"/>
      <c r="T194" s="8"/>
      <c r="U194" s="8"/>
      <c r="V194" s="132"/>
      <c r="W194" s="140"/>
      <c r="X194" s="140"/>
      <c r="Y194" s="9"/>
      <c r="Z194" s="8"/>
      <c r="AA194" s="8"/>
      <c r="AB194" s="8"/>
      <c r="AC194" s="132"/>
      <c r="AD194" s="140"/>
      <c r="AE194" s="9"/>
      <c r="AF194" s="140"/>
      <c r="AG194" s="9"/>
      <c r="AH194" s="8"/>
      <c r="AI194" s="8"/>
      <c r="AJ194" s="8"/>
      <c r="AK194" s="132"/>
      <c r="AL194" s="140"/>
      <c r="AM194" s="140"/>
      <c r="AN194" s="9"/>
      <c r="AO194" s="8"/>
      <c r="AP194" s="8"/>
      <c r="AQ194" s="8"/>
    </row>
    <row r="195" spans="1:43" outlineLevel="1" x14ac:dyDescent="0.15">
      <c r="A195" s="8"/>
      <c r="B195" s="8"/>
      <c r="C195" s="8"/>
      <c r="D195" s="8"/>
      <c r="E195" s="9"/>
      <c r="F195" s="8"/>
      <c r="G195" s="10"/>
      <c r="H195" s="132"/>
      <c r="I195" s="140"/>
      <c r="J195" s="9"/>
      <c r="K195" s="140"/>
      <c r="L195" s="9"/>
      <c r="M195" s="8"/>
      <c r="N195" s="132"/>
      <c r="O195" s="140"/>
      <c r="P195" s="9"/>
      <c r="Q195" s="140"/>
      <c r="R195" s="9"/>
      <c r="S195" s="8"/>
      <c r="T195" s="8"/>
      <c r="U195" s="8"/>
      <c r="V195" s="132"/>
      <c r="W195" s="140"/>
      <c r="X195" s="140"/>
      <c r="Y195" s="9"/>
      <c r="Z195" s="8"/>
      <c r="AA195" s="8"/>
      <c r="AB195" s="8"/>
      <c r="AC195" s="132"/>
      <c r="AD195" s="140"/>
      <c r="AE195" s="9"/>
      <c r="AF195" s="140"/>
      <c r="AG195" s="9"/>
      <c r="AH195" s="8"/>
      <c r="AI195" s="8"/>
      <c r="AJ195" s="8"/>
      <c r="AK195" s="132"/>
      <c r="AL195" s="140"/>
      <c r="AM195" s="140"/>
      <c r="AN195" s="9"/>
      <c r="AO195" s="8"/>
      <c r="AP195" s="8"/>
      <c r="AQ195" s="8"/>
    </row>
    <row r="196" spans="1:43" outlineLevel="1" x14ac:dyDescent="0.15">
      <c r="A196" s="8"/>
      <c r="B196" s="8"/>
      <c r="C196" s="8"/>
      <c r="D196" s="8"/>
      <c r="E196" s="9"/>
      <c r="F196" s="8"/>
      <c r="G196" s="10"/>
      <c r="H196" s="132"/>
      <c r="I196" s="140"/>
      <c r="J196" s="9"/>
      <c r="K196" s="140"/>
      <c r="L196" s="9"/>
      <c r="M196" s="8"/>
      <c r="N196" s="132"/>
      <c r="O196" s="140"/>
      <c r="P196" s="9"/>
      <c r="Q196" s="140"/>
      <c r="R196" s="9"/>
      <c r="S196" s="8"/>
      <c r="T196" s="8"/>
      <c r="U196" s="8"/>
      <c r="V196" s="132"/>
      <c r="W196" s="140"/>
      <c r="X196" s="140"/>
      <c r="Y196" s="9"/>
      <c r="Z196" s="8"/>
      <c r="AA196" s="8"/>
      <c r="AB196" s="8"/>
      <c r="AC196" s="132"/>
      <c r="AD196" s="140"/>
      <c r="AE196" s="9"/>
      <c r="AF196" s="140"/>
      <c r="AG196" s="9"/>
      <c r="AH196" s="8"/>
      <c r="AI196" s="8"/>
      <c r="AJ196" s="8"/>
      <c r="AK196" s="132"/>
      <c r="AL196" s="140"/>
      <c r="AM196" s="140"/>
      <c r="AN196" s="9"/>
      <c r="AO196" s="8"/>
      <c r="AP196" s="8"/>
      <c r="AQ196" s="8"/>
    </row>
    <row r="197" spans="1:43" outlineLevel="1" x14ac:dyDescent="0.15">
      <c r="A197" s="8"/>
      <c r="B197" s="8"/>
      <c r="C197" s="8"/>
      <c r="D197" s="8"/>
      <c r="E197" s="9"/>
      <c r="F197" s="8"/>
      <c r="G197" s="10"/>
      <c r="H197" s="132"/>
      <c r="I197" s="140"/>
      <c r="J197" s="9"/>
      <c r="K197" s="140"/>
      <c r="L197" s="9"/>
      <c r="M197" s="8"/>
      <c r="N197" s="132"/>
      <c r="O197" s="140"/>
      <c r="P197" s="9"/>
      <c r="Q197" s="140"/>
      <c r="R197" s="9"/>
      <c r="S197" s="8"/>
      <c r="T197" s="8"/>
      <c r="U197" s="8"/>
      <c r="V197" s="132"/>
      <c r="W197" s="140"/>
      <c r="X197" s="140"/>
      <c r="Y197" s="9"/>
      <c r="Z197" s="8"/>
      <c r="AA197" s="8"/>
      <c r="AB197" s="8"/>
      <c r="AC197" s="132"/>
      <c r="AD197" s="140"/>
      <c r="AE197" s="9"/>
      <c r="AF197" s="140"/>
      <c r="AG197" s="9"/>
      <c r="AH197" s="8"/>
      <c r="AI197" s="8"/>
      <c r="AJ197" s="8"/>
      <c r="AK197" s="132"/>
      <c r="AL197" s="140"/>
      <c r="AM197" s="140"/>
      <c r="AN197" s="9"/>
      <c r="AO197" s="8"/>
      <c r="AP197" s="8"/>
      <c r="AQ197" s="8"/>
    </row>
    <row r="198" spans="1:43" outlineLevel="1" x14ac:dyDescent="0.15">
      <c r="A198" s="8"/>
      <c r="B198" s="8"/>
      <c r="C198" s="8"/>
      <c r="D198" s="8"/>
      <c r="E198" s="9"/>
      <c r="F198" s="8"/>
      <c r="G198" s="10"/>
      <c r="H198" s="132"/>
      <c r="I198" s="140"/>
      <c r="J198" s="9"/>
      <c r="K198" s="140"/>
      <c r="L198" s="9"/>
      <c r="M198" s="8"/>
      <c r="N198" s="132"/>
      <c r="O198" s="140"/>
      <c r="P198" s="9"/>
      <c r="Q198" s="140"/>
      <c r="R198" s="9"/>
      <c r="S198" s="8"/>
      <c r="T198" s="8"/>
      <c r="U198" s="8"/>
      <c r="V198" s="132"/>
      <c r="W198" s="140"/>
      <c r="X198" s="140"/>
      <c r="Y198" s="9"/>
      <c r="Z198" s="8"/>
      <c r="AA198" s="8"/>
      <c r="AB198" s="8"/>
      <c r="AC198" s="132"/>
      <c r="AD198" s="140"/>
      <c r="AE198" s="9"/>
      <c r="AF198" s="140"/>
      <c r="AG198" s="9"/>
      <c r="AH198" s="8"/>
      <c r="AI198" s="8"/>
      <c r="AJ198" s="8"/>
      <c r="AK198" s="132"/>
      <c r="AL198" s="140"/>
      <c r="AM198" s="140"/>
      <c r="AN198" s="9"/>
      <c r="AO198" s="8"/>
      <c r="AP198" s="8"/>
      <c r="AQ198" s="8"/>
    </row>
    <row r="199" spans="1:43" outlineLevel="1" x14ac:dyDescent="0.15">
      <c r="A199" s="8"/>
      <c r="B199" s="8"/>
      <c r="C199" s="8"/>
      <c r="D199" s="8"/>
      <c r="E199" s="9"/>
      <c r="F199" s="8"/>
      <c r="G199" s="10"/>
      <c r="H199" s="132"/>
      <c r="I199" s="140"/>
      <c r="J199" s="9"/>
      <c r="K199" s="140"/>
      <c r="L199" s="9"/>
      <c r="M199" s="8"/>
      <c r="N199" s="132"/>
      <c r="O199" s="140"/>
      <c r="P199" s="9"/>
      <c r="Q199" s="140"/>
      <c r="R199" s="9"/>
      <c r="S199" s="8"/>
      <c r="T199" s="8"/>
      <c r="U199" s="8"/>
      <c r="V199" s="132"/>
      <c r="W199" s="140"/>
      <c r="X199" s="140"/>
      <c r="Y199" s="9"/>
      <c r="Z199" s="8"/>
      <c r="AA199" s="8"/>
      <c r="AB199" s="8"/>
      <c r="AC199" s="132"/>
      <c r="AD199" s="140"/>
      <c r="AE199" s="9"/>
      <c r="AF199" s="140"/>
      <c r="AG199" s="9"/>
      <c r="AH199" s="8"/>
      <c r="AI199" s="8"/>
      <c r="AJ199" s="8"/>
      <c r="AK199" s="132"/>
      <c r="AL199" s="140"/>
      <c r="AM199" s="140"/>
      <c r="AN199" s="9"/>
      <c r="AO199" s="8"/>
      <c r="AP199" s="8"/>
      <c r="AQ199" s="8"/>
    </row>
    <row r="200" spans="1:43" outlineLevel="1" x14ac:dyDescent="0.15">
      <c r="A200" s="8"/>
      <c r="B200" s="8"/>
      <c r="C200" s="8"/>
      <c r="D200" s="8"/>
      <c r="E200" s="9"/>
      <c r="F200" s="8"/>
      <c r="G200" s="10"/>
      <c r="H200" s="132"/>
      <c r="I200" s="140"/>
      <c r="J200" s="9"/>
      <c r="K200" s="140"/>
      <c r="L200" s="9"/>
      <c r="M200" s="8"/>
      <c r="N200" s="132"/>
      <c r="O200" s="140"/>
      <c r="P200" s="9"/>
      <c r="Q200" s="140"/>
      <c r="R200" s="9"/>
      <c r="S200" s="8"/>
      <c r="T200" s="8"/>
      <c r="U200" s="8"/>
      <c r="V200" s="132"/>
      <c r="W200" s="140"/>
      <c r="X200" s="140"/>
      <c r="Y200" s="9"/>
      <c r="Z200" s="8"/>
      <c r="AA200" s="8"/>
      <c r="AB200" s="8"/>
      <c r="AC200" s="132"/>
      <c r="AD200" s="140"/>
      <c r="AE200" s="9"/>
      <c r="AF200" s="140"/>
      <c r="AG200" s="9"/>
      <c r="AH200" s="8"/>
      <c r="AI200" s="8"/>
      <c r="AJ200" s="8"/>
      <c r="AK200" s="132"/>
      <c r="AL200" s="140"/>
      <c r="AM200" s="140"/>
      <c r="AN200" s="9"/>
      <c r="AO200" s="8"/>
      <c r="AP200" s="8"/>
      <c r="AQ200" s="8"/>
    </row>
    <row r="201" spans="1:43" outlineLevel="1" x14ac:dyDescent="0.15">
      <c r="A201" s="8"/>
      <c r="B201" s="8"/>
      <c r="C201" s="8"/>
      <c r="D201" s="8"/>
      <c r="E201" s="9"/>
      <c r="F201" s="8"/>
      <c r="G201" s="10"/>
      <c r="H201" s="132"/>
      <c r="I201" s="140"/>
      <c r="J201" s="9"/>
      <c r="K201" s="140"/>
      <c r="L201" s="9"/>
      <c r="M201" s="8"/>
      <c r="N201" s="132"/>
      <c r="O201" s="140"/>
      <c r="P201" s="9"/>
      <c r="Q201" s="140"/>
      <c r="R201" s="9"/>
      <c r="S201" s="8"/>
      <c r="T201" s="8"/>
      <c r="U201" s="8"/>
      <c r="V201" s="132"/>
      <c r="W201" s="140"/>
      <c r="X201" s="140"/>
      <c r="Y201" s="9"/>
      <c r="Z201" s="8"/>
      <c r="AA201" s="8"/>
      <c r="AB201" s="8"/>
      <c r="AC201" s="132"/>
      <c r="AD201" s="140"/>
      <c r="AE201" s="9"/>
      <c r="AF201" s="140"/>
      <c r="AG201" s="9"/>
      <c r="AH201" s="8"/>
      <c r="AI201" s="8"/>
      <c r="AJ201" s="8"/>
      <c r="AK201" s="132"/>
      <c r="AL201" s="140"/>
      <c r="AM201" s="140"/>
      <c r="AN201" s="9"/>
      <c r="AO201" s="8"/>
      <c r="AP201" s="8"/>
      <c r="AQ201" s="8"/>
    </row>
    <row r="202" spans="1:43" outlineLevel="1" x14ac:dyDescent="0.15">
      <c r="A202" s="8"/>
      <c r="B202" s="8"/>
      <c r="C202" s="8"/>
      <c r="D202" s="8"/>
      <c r="E202" s="9"/>
      <c r="F202" s="8"/>
      <c r="G202" s="10"/>
      <c r="H202" s="132"/>
      <c r="I202" s="140"/>
      <c r="J202" s="9"/>
      <c r="K202" s="140"/>
      <c r="L202" s="9"/>
      <c r="M202" s="8"/>
      <c r="N202" s="132"/>
      <c r="O202" s="140"/>
      <c r="P202" s="9"/>
      <c r="Q202" s="140"/>
      <c r="R202" s="9"/>
      <c r="S202" s="8"/>
      <c r="T202" s="8"/>
      <c r="U202" s="8"/>
      <c r="V202" s="132"/>
      <c r="W202" s="140"/>
      <c r="X202" s="140"/>
      <c r="Y202" s="9"/>
      <c r="Z202" s="8"/>
      <c r="AA202" s="8"/>
      <c r="AB202" s="8"/>
      <c r="AC202" s="132"/>
      <c r="AD202" s="140"/>
      <c r="AE202" s="9"/>
      <c r="AF202" s="140"/>
      <c r="AG202" s="9"/>
      <c r="AH202" s="8"/>
      <c r="AI202" s="8"/>
      <c r="AJ202" s="8"/>
      <c r="AK202" s="132"/>
      <c r="AL202" s="140"/>
      <c r="AM202" s="140"/>
      <c r="AN202" s="9"/>
      <c r="AO202" s="8"/>
      <c r="AP202" s="8"/>
      <c r="AQ202" s="8"/>
    </row>
    <row r="203" spans="1:43" outlineLevel="1" x14ac:dyDescent="0.15">
      <c r="A203" s="8"/>
      <c r="B203" s="8"/>
      <c r="C203" s="8"/>
      <c r="D203" s="8"/>
      <c r="E203" s="9"/>
      <c r="F203" s="8"/>
      <c r="G203" s="10"/>
      <c r="H203" s="132"/>
      <c r="I203" s="140"/>
      <c r="J203" s="9"/>
      <c r="K203" s="140"/>
      <c r="L203" s="9"/>
      <c r="M203" s="8"/>
      <c r="N203" s="132"/>
      <c r="O203" s="140"/>
      <c r="P203" s="9"/>
      <c r="Q203" s="140"/>
      <c r="R203" s="9"/>
      <c r="S203" s="8"/>
      <c r="T203" s="8"/>
      <c r="U203" s="8"/>
      <c r="V203" s="132"/>
      <c r="W203" s="140"/>
      <c r="X203" s="140"/>
      <c r="Y203" s="9"/>
      <c r="Z203" s="8"/>
      <c r="AA203" s="8"/>
      <c r="AB203" s="8"/>
      <c r="AC203" s="132"/>
      <c r="AD203" s="140"/>
      <c r="AE203" s="9"/>
      <c r="AF203" s="140"/>
      <c r="AG203" s="9"/>
      <c r="AH203" s="8"/>
      <c r="AI203" s="8"/>
      <c r="AJ203" s="8"/>
      <c r="AK203" s="132"/>
      <c r="AL203" s="140"/>
      <c r="AM203" s="140"/>
      <c r="AN203" s="9"/>
      <c r="AO203" s="8"/>
      <c r="AP203" s="8"/>
      <c r="AQ203" s="8"/>
    </row>
    <row r="204" spans="1:43" outlineLevel="1" x14ac:dyDescent="0.15">
      <c r="A204" s="8"/>
      <c r="B204" s="8"/>
      <c r="C204" s="8"/>
      <c r="D204" s="8"/>
      <c r="E204" s="9"/>
      <c r="F204" s="8"/>
      <c r="G204" s="10"/>
      <c r="H204" s="132"/>
      <c r="I204" s="140"/>
      <c r="J204" s="9"/>
      <c r="K204" s="140"/>
      <c r="L204" s="9"/>
      <c r="M204" s="8"/>
      <c r="N204" s="132"/>
      <c r="O204" s="140"/>
      <c r="P204" s="9"/>
      <c r="Q204" s="140"/>
      <c r="R204" s="9"/>
      <c r="S204" s="8"/>
      <c r="T204" s="8"/>
      <c r="U204" s="8"/>
      <c r="V204" s="132"/>
      <c r="W204" s="140"/>
      <c r="X204" s="140"/>
      <c r="Y204" s="9"/>
      <c r="Z204" s="8"/>
      <c r="AA204" s="8"/>
      <c r="AB204" s="8"/>
      <c r="AC204" s="132"/>
      <c r="AD204" s="140"/>
      <c r="AE204" s="9"/>
      <c r="AF204" s="140"/>
      <c r="AG204" s="9"/>
      <c r="AH204" s="8"/>
      <c r="AI204" s="8"/>
      <c r="AJ204" s="8"/>
      <c r="AK204" s="132"/>
      <c r="AL204" s="140"/>
      <c r="AM204" s="140"/>
      <c r="AN204" s="9"/>
      <c r="AO204" s="8"/>
      <c r="AP204" s="8"/>
      <c r="AQ204" s="8"/>
    </row>
    <row r="205" spans="1:43" outlineLevel="1" x14ac:dyDescent="0.15">
      <c r="A205" s="8"/>
      <c r="B205" s="8"/>
      <c r="C205" s="8"/>
      <c r="D205" s="8"/>
      <c r="E205" s="9"/>
      <c r="F205" s="8"/>
      <c r="G205" s="10"/>
      <c r="H205" s="132"/>
      <c r="I205" s="140"/>
      <c r="J205" s="9"/>
      <c r="K205" s="140"/>
      <c r="L205" s="9"/>
      <c r="M205" s="8"/>
      <c r="N205" s="132"/>
      <c r="O205" s="140"/>
      <c r="P205" s="9"/>
      <c r="Q205" s="140"/>
      <c r="R205" s="9"/>
      <c r="S205" s="8"/>
      <c r="T205" s="8"/>
      <c r="U205" s="8"/>
      <c r="V205" s="132"/>
      <c r="W205" s="140"/>
      <c r="X205" s="140"/>
      <c r="Y205" s="9"/>
      <c r="Z205" s="8"/>
      <c r="AA205" s="8"/>
      <c r="AB205" s="8"/>
      <c r="AC205" s="132"/>
      <c r="AD205" s="140"/>
      <c r="AE205" s="9"/>
      <c r="AF205" s="140"/>
      <c r="AG205" s="9"/>
      <c r="AH205" s="8"/>
      <c r="AI205" s="8"/>
      <c r="AJ205" s="8"/>
      <c r="AK205" s="132"/>
      <c r="AL205" s="140"/>
      <c r="AM205" s="140"/>
      <c r="AN205" s="9"/>
      <c r="AO205" s="8"/>
      <c r="AP205" s="8"/>
      <c r="AQ205" s="8"/>
    </row>
    <row r="206" spans="1:43" outlineLevel="1" x14ac:dyDescent="0.15">
      <c r="A206" s="8"/>
      <c r="B206" s="8"/>
      <c r="C206" s="8"/>
      <c r="D206" s="8"/>
      <c r="E206" s="9"/>
      <c r="F206" s="8"/>
      <c r="G206" s="10"/>
      <c r="H206" s="132"/>
      <c r="I206" s="140"/>
      <c r="J206" s="9"/>
      <c r="K206" s="140"/>
      <c r="L206" s="9"/>
      <c r="M206" s="8"/>
      <c r="N206" s="132"/>
      <c r="O206" s="140"/>
      <c r="P206" s="9"/>
      <c r="Q206" s="140"/>
      <c r="R206" s="9"/>
      <c r="S206" s="8"/>
      <c r="T206" s="8"/>
      <c r="U206" s="8"/>
      <c r="V206" s="132"/>
      <c r="W206" s="140"/>
      <c r="X206" s="140"/>
      <c r="Y206" s="9"/>
      <c r="Z206" s="8"/>
      <c r="AA206" s="8"/>
      <c r="AB206" s="8"/>
      <c r="AC206" s="132"/>
      <c r="AD206" s="140"/>
      <c r="AE206" s="9"/>
      <c r="AF206" s="140"/>
      <c r="AG206" s="9"/>
      <c r="AH206" s="8"/>
      <c r="AI206" s="8"/>
      <c r="AJ206" s="8"/>
      <c r="AK206" s="132"/>
      <c r="AL206" s="140"/>
      <c r="AM206" s="140"/>
      <c r="AN206" s="9"/>
      <c r="AO206" s="8"/>
      <c r="AP206" s="8"/>
      <c r="AQ206" s="8"/>
    </row>
    <row r="207" spans="1:43" outlineLevel="1" x14ac:dyDescent="0.15">
      <c r="A207" s="8"/>
      <c r="B207" s="8"/>
      <c r="C207" s="8"/>
      <c r="D207" s="8"/>
      <c r="E207" s="9"/>
      <c r="F207" s="8"/>
      <c r="G207" s="10"/>
      <c r="H207" s="132"/>
      <c r="I207" s="140"/>
      <c r="J207" s="9"/>
      <c r="K207" s="140"/>
      <c r="L207" s="9"/>
      <c r="M207" s="8"/>
      <c r="N207" s="132"/>
      <c r="O207" s="140"/>
      <c r="P207" s="9"/>
      <c r="Q207" s="140"/>
      <c r="R207" s="9"/>
      <c r="S207" s="8"/>
      <c r="T207" s="8"/>
      <c r="U207" s="8"/>
      <c r="V207" s="132"/>
      <c r="W207" s="140"/>
      <c r="X207" s="140"/>
      <c r="Y207" s="9"/>
      <c r="Z207" s="8"/>
      <c r="AA207" s="8"/>
      <c r="AB207" s="8"/>
      <c r="AC207" s="132"/>
      <c r="AD207" s="140"/>
      <c r="AE207" s="9"/>
      <c r="AF207" s="140"/>
      <c r="AG207" s="9"/>
      <c r="AH207" s="8"/>
      <c r="AI207" s="8"/>
      <c r="AJ207" s="8"/>
      <c r="AK207" s="132"/>
      <c r="AL207" s="140"/>
      <c r="AM207" s="140"/>
      <c r="AN207" s="9"/>
      <c r="AO207" s="8"/>
      <c r="AP207" s="8"/>
      <c r="AQ207" s="8"/>
    </row>
    <row r="208" spans="1:43" outlineLevel="1" x14ac:dyDescent="0.15">
      <c r="A208" s="8"/>
      <c r="B208" s="8"/>
      <c r="C208" s="8"/>
      <c r="D208" s="8"/>
      <c r="E208" s="9"/>
      <c r="F208" s="8"/>
      <c r="G208" s="10"/>
      <c r="H208" s="132"/>
      <c r="I208" s="140"/>
      <c r="J208" s="9"/>
      <c r="K208" s="140"/>
      <c r="L208" s="9"/>
      <c r="M208" s="8"/>
      <c r="N208" s="132"/>
      <c r="O208" s="140"/>
      <c r="P208" s="9"/>
      <c r="Q208" s="140"/>
      <c r="R208" s="9"/>
      <c r="S208" s="8"/>
      <c r="T208" s="8"/>
      <c r="U208" s="8"/>
      <c r="V208" s="132"/>
      <c r="W208" s="140"/>
      <c r="X208" s="140"/>
      <c r="Y208" s="9"/>
      <c r="Z208" s="8"/>
      <c r="AA208" s="8"/>
      <c r="AB208" s="8"/>
      <c r="AC208" s="132"/>
      <c r="AD208" s="140"/>
      <c r="AE208" s="9"/>
      <c r="AF208" s="140"/>
      <c r="AG208" s="9"/>
      <c r="AH208" s="8"/>
      <c r="AI208" s="8"/>
      <c r="AJ208" s="8"/>
      <c r="AK208" s="132"/>
      <c r="AL208" s="140"/>
      <c r="AM208" s="140"/>
      <c r="AN208" s="9"/>
      <c r="AO208" s="8"/>
      <c r="AP208" s="8"/>
      <c r="AQ208" s="8"/>
    </row>
    <row r="209" spans="1:43" outlineLevel="1" x14ac:dyDescent="0.15">
      <c r="A209" s="8"/>
      <c r="B209" s="8"/>
      <c r="C209" s="8"/>
      <c r="D209" s="8"/>
      <c r="E209" s="9"/>
      <c r="F209" s="8"/>
      <c r="G209" s="10"/>
      <c r="H209" s="132"/>
      <c r="I209" s="140"/>
      <c r="J209" s="9"/>
      <c r="K209" s="140"/>
      <c r="L209" s="9"/>
      <c r="M209" s="8"/>
      <c r="N209" s="132"/>
      <c r="O209" s="140"/>
      <c r="P209" s="9"/>
      <c r="Q209" s="140"/>
      <c r="R209" s="9"/>
      <c r="S209" s="8"/>
      <c r="T209" s="8"/>
      <c r="U209" s="8"/>
      <c r="V209" s="132"/>
      <c r="W209" s="140"/>
      <c r="X209" s="140"/>
      <c r="Y209" s="9"/>
      <c r="Z209" s="8"/>
      <c r="AA209" s="8"/>
      <c r="AB209" s="8"/>
      <c r="AC209" s="132"/>
      <c r="AD209" s="140"/>
      <c r="AE209" s="9"/>
      <c r="AF209" s="140"/>
      <c r="AG209" s="9"/>
      <c r="AH209" s="8"/>
      <c r="AI209" s="8"/>
      <c r="AJ209" s="8"/>
      <c r="AK209" s="132"/>
      <c r="AL209" s="140"/>
      <c r="AM209" s="140"/>
      <c r="AN209" s="9"/>
      <c r="AO209" s="8"/>
      <c r="AP209" s="8"/>
      <c r="AQ209" s="8"/>
    </row>
    <row r="210" spans="1:43" outlineLevel="1" x14ac:dyDescent="0.15">
      <c r="A210" s="8"/>
      <c r="B210" s="8"/>
      <c r="C210" s="8"/>
      <c r="D210" s="8"/>
      <c r="E210" s="9"/>
      <c r="F210" s="8"/>
      <c r="G210" s="10"/>
      <c r="H210" s="132"/>
      <c r="I210" s="140"/>
      <c r="J210" s="9"/>
      <c r="K210" s="140"/>
      <c r="L210" s="9"/>
      <c r="M210" s="8"/>
      <c r="N210" s="132"/>
      <c r="O210" s="140"/>
      <c r="P210" s="9"/>
      <c r="Q210" s="140"/>
      <c r="R210" s="9"/>
      <c r="S210" s="8"/>
      <c r="T210" s="8"/>
      <c r="U210" s="8"/>
      <c r="V210" s="132"/>
      <c r="W210" s="140"/>
      <c r="X210" s="140"/>
      <c r="Y210" s="9"/>
      <c r="Z210" s="8"/>
      <c r="AA210" s="8"/>
      <c r="AB210" s="8"/>
      <c r="AC210" s="132"/>
      <c r="AD210" s="140"/>
      <c r="AE210" s="9"/>
      <c r="AF210" s="140"/>
      <c r="AG210" s="9"/>
      <c r="AH210" s="8"/>
      <c r="AI210" s="8"/>
      <c r="AJ210" s="8"/>
      <c r="AK210" s="132"/>
      <c r="AL210" s="140"/>
      <c r="AM210" s="140"/>
      <c r="AN210" s="9"/>
      <c r="AO210" s="8"/>
      <c r="AP210" s="8"/>
      <c r="AQ210" s="8"/>
    </row>
    <row r="211" spans="1:43" outlineLevel="1" x14ac:dyDescent="0.15">
      <c r="A211" s="8"/>
      <c r="B211" s="8"/>
      <c r="C211" s="8"/>
      <c r="D211" s="8"/>
      <c r="E211" s="9"/>
      <c r="F211" s="8"/>
      <c r="G211" s="10"/>
      <c r="H211" s="132"/>
      <c r="I211" s="140"/>
      <c r="J211" s="9"/>
      <c r="K211" s="140"/>
      <c r="L211" s="9"/>
      <c r="M211" s="8"/>
      <c r="N211" s="132"/>
      <c r="O211" s="140"/>
      <c r="P211" s="9"/>
      <c r="Q211" s="140"/>
      <c r="R211" s="9"/>
      <c r="S211" s="8"/>
      <c r="T211" s="8"/>
      <c r="U211" s="8"/>
      <c r="V211" s="132"/>
      <c r="W211" s="140"/>
      <c r="X211" s="140"/>
      <c r="Y211" s="9"/>
      <c r="Z211" s="8"/>
      <c r="AA211" s="8"/>
      <c r="AB211" s="8"/>
      <c r="AC211" s="132"/>
      <c r="AD211" s="140"/>
      <c r="AE211" s="9"/>
      <c r="AF211" s="140"/>
      <c r="AG211" s="9"/>
      <c r="AH211" s="8"/>
      <c r="AI211" s="8"/>
      <c r="AJ211" s="8"/>
      <c r="AK211" s="132"/>
      <c r="AL211" s="140"/>
      <c r="AM211" s="140"/>
      <c r="AN211" s="9"/>
      <c r="AO211" s="8"/>
      <c r="AP211" s="8"/>
      <c r="AQ211" s="8"/>
    </row>
    <row r="212" spans="1:43" outlineLevel="1" x14ac:dyDescent="0.15">
      <c r="A212" s="8"/>
      <c r="B212" s="8"/>
      <c r="C212" s="8"/>
      <c r="D212" s="8"/>
      <c r="E212" s="9"/>
      <c r="F212" s="8"/>
      <c r="G212" s="10"/>
      <c r="H212" s="132"/>
      <c r="I212" s="140"/>
      <c r="J212" s="9"/>
      <c r="K212" s="140"/>
      <c r="L212" s="9"/>
      <c r="M212" s="8"/>
      <c r="N212" s="132"/>
      <c r="O212" s="140"/>
      <c r="P212" s="9"/>
      <c r="Q212" s="140"/>
      <c r="R212" s="9"/>
      <c r="S212" s="8"/>
      <c r="T212" s="8"/>
      <c r="U212" s="8"/>
      <c r="V212" s="132"/>
      <c r="W212" s="140"/>
      <c r="X212" s="140"/>
      <c r="Y212" s="9"/>
      <c r="Z212" s="8"/>
      <c r="AA212" s="8"/>
      <c r="AB212" s="8"/>
      <c r="AC212" s="132"/>
      <c r="AD212" s="140"/>
      <c r="AE212" s="9"/>
      <c r="AF212" s="140"/>
      <c r="AG212" s="9"/>
      <c r="AH212" s="8"/>
      <c r="AI212" s="8"/>
      <c r="AJ212" s="8"/>
      <c r="AK212" s="132"/>
      <c r="AL212" s="140"/>
      <c r="AM212" s="140"/>
      <c r="AN212" s="9"/>
      <c r="AO212" s="8"/>
      <c r="AP212" s="8"/>
      <c r="AQ212" s="8"/>
    </row>
    <row r="213" spans="1:43" outlineLevel="1" x14ac:dyDescent="0.15">
      <c r="A213" s="8"/>
      <c r="B213" s="8"/>
      <c r="C213" s="8"/>
      <c r="D213" s="8"/>
      <c r="E213" s="9"/>
      <c r="F213" s="8"/>
      <c r="G213" s="10"/>
      <c r="H213" s="132"/>
      <c r="I213" s="140"/>
      <c r="J213" s="9"/>
      <c r="K213" s="140"/>
      <c r="L213" s="9"/>
      <c r="M213" s="8"/>
      <c r="N213" s="132"/>
      <c r="O213" s="140"/>
      <c r="P213" s="9"/>
      <c r="Q213" s="140"/>
      <c r="R213" s="9"/>
      <c r="S213" s="8"/>
      <c r="T213" s="8"/>
      <c r="U213" s="8"/>
      <c r="V213" s="132"/>
      <c r="W213" s="140"/>
      <c r="X213" s="140"/>
      <c r="Y213" s="9"/>
      <c r="Z213" s="8"/>
      <c r="AA213" s="8"/>
      <c r="AB213" s="8"/>
      <c r="AC213" s="132"/>
      <c r="AD213" s="140"/>
      <c r="AE213" s="9"/>
      <c r="AF213" s="140"/>
      <c r="AG213" s="9"/>
      <c r="AH213" s="8"/>
      <c r="AI213" s="8"/>
      <c r="AJ213" s="8"/>
      <c r="AK213" s="132"/>
      <c r="AL213" s="140"/>
      <c r="AM213" s="140"/>
      <c r="AN213" s="9"/>
      <c r="AO213" s="8"/>
      <c r="AP213" s="8"/>
      <c r="AQ213" s="8"/>
    </row>
    <row r="214" spans="1:43" outlineLevel="1" x14ac:dyDescent="0.15">
      <c r="A214" s="8"/>
      <c r="B214" s="8"/>
      <c r="C214" s="8"/>
      <c r="D214" s="8"/>
      <c r="E214" s="9"/>
      <c r="F214" s="8"/>
      <c r="G214" s="10"/>
      <c r="H214" s="132"/>
      <c r="I214" s="140"/>
      <c r="J214" s="9"/>
      <c r="K214" s="140"/>
      <c r="L214" s="9"/>
      <c r="M214" s="8"/>
      <c r="N214" s="132"/>
      <c r="O214" s="140"/>
      <c r="P214" s="9"/>
      <c r="Q214" s="140"/>
      <c r="R214" s="9"/>
      <c r="S214" s="8"/>
      <c r="T214" s="8"/>
      <c r="U214" s="8"/>
      <c r="V214" s="132"/>
      <c r="W214" s="140"/>
      <c r="X214" s="140"/>
      <c r="Y214" s="9"/>
      <c r="Z214" s="8"/>
      <c r="AA214" s="8"/>
      <c r="AB214" s="8"/>
      <c r="AC214" s="132"/>
      <c r="AD214" s="140"/>
      <c r="AE214" s="9"/>
      <c r="AF214" s="140"/>
      <c r="AG214" s="9"/>
      <c r="AH214" s="8"/>
      <c r="AI214" s="8"/>
      <c r="AJ214" s="8"/>
      <c r="AK214" s="132"/>
      <c r="AL214" s="140"/>
      <c r="AM214" s="140"/>
      <c r="AN214" s="9"/>
      <c r="AO214" s="8"/>
      <c r="AP214" s="8"/>
      <c r="AQ214" s="8"/>
    </row>
    <row r="215" spans="1:43" outlineLevel="1" x14ac:dyDescent="0.15">
      <c r="A215" s="8"/>
      <c r="B215" s="8"/>
      <c r="C215" s="8"/>
      <c r="D215" s="8"/>
      <c r="E215" s="9"/>
      <c r="F215" s="8"/>
      <c r="G215" s="10"/>
      <c r="H215" s="132"/>
      <c r="I215" s="140"/>
      <c r="J215" s="9"/>
      <c r="K215" s="140"/>
      <c r="L215" s="9"/>
      <c r="M215" s="8"/>
      <c r="N215" s="132"/>
      <c r="O215" s="140"/>
      <c r="P215" s="9"/>
      <c r="Q215" s="140"/>
      <c r="R215" s="9"/>
      <c r="S215" s="8"/>
      <c r="T215" s="8"/>
      <c r="U215" s="8"/>
      <c r="V215" s="132"/>
      <c r="W215" s="140"/>
      <c r="X215" s="140"/>
      <c r="Y215" s="9"/>
      <c r="Z215" s="8"/>
      <c r="AA215" s="8"/>
      <c r="AB215" s="8"/>
      <c r="AC215" s="132"/>
      <c r="AD215" s="140"/>
      <c r="AE215" s="9"/>
      <c r="AF215" s="140"/>
      <c r="AG215" s="9"/>
      <c r="AH215" s="8"/>
      <c r="AI215" s="8"/>
      <c r="AJ215" s="8"/>
      <c r="AK215" s="132"/>
      <c r="AL215" s="140"/>
      <c r="AM215" s="140"/>
      <c r="AN215" s="9"/>
      <c r="AO215" s="8"/>
      <c r="AP215" s="8"/>
      <c r="AQ215" s="8"/>
    </row>
    <row r="216" spans="1:43" outlineLevel="1" x14ac:dyDescent="0.15">
      <c r="A216" s="8"/>
      <c r="B216" s="8"/>
      <c r="C216" s="8"/>
      <c r="D216" s="8"/>
      <c r="E216" s="9"/>
      <c r="F216" s="8"/>
      <c r="G216" s="10"/>
      <c r="H216" s="132"/>
      <c r="I216" s="8"/>
      <c r="J216" s="9"/>
      <c r="K216" s="8"/>
      <c r="L216" s="9"/>
      <c r="M216" s="8"/>
      <c r="N216" s="132"/>
      <c r="O216" s="8"/>
      <c r="P216" s="9"/>
      <c r="Q216" s="8"/>
      <c r="R216" s="9"/>
      <c r="S216" s="8"/>
      <c r="T216" s="8"/>
      <c r="U216" s="8"/>
      <c r="V216" s="132"/>
      <c r="W216" s="8"/>
      <c r="X216" s="8"/>
      <c r="Y216" s="9"/>
      <c r="Z216" s="8"/>
      <c r="AA216" s="8"/>
      <c r="AB216" s="8"/>
      <c r="AC216" s="132"/>
      <c r="AD216" s="8"/>
      <c r="AE216" s="9"/>
      <c r="AF216" s="8"/>
      <c r="AG216" s="9"/>
      <c r="AH216" s="8"/>
      <c r="AI216" s="8"/>
      <c r="AJ216" s="8"/>
      <c r="AK216" s="132"/>
      <c r="AL216" s="8"/>
      <c r="AM216" s="8"/>
      <c r="AN216" s="9"/>
      <c r="AO216" s="8"/>
      <c r="AP216" s="8"/>
      <c r="AQ216" s="8"/>
    </row>
    <row r="217" spans="1:43" outlineLevel="1" x14ac:dyDescent="0.15">
      <c r="A217" s="8"/>
      <c r="B217" s="8"/>
      <c r="C217" s="8"/>
      <c r="D217" s="8"/>
      <c r="E217" s="9"/>
      <c r="F217" s="8"/>
      <c r="G217" s="10"/>
      <c r="H217" s="132"/>
      <c r="I217" s="8"/>
      <c r="J217" s="9"/>
      <c r="K217" s="8"/>
      <c r="L217" s="9"/>
      <c r="M217" s="8"/>
      <c r="N217" s="132"/>
      <c r="O217" s="8"/>
      <c r="P217" s="9"/>
      <c r="Q217" s="8"/>
      <c r="R217" s="9"/>
      <c r="S217" s="8"/>
      <c r="T217" s="8"/>
      <c r="U217" s="8"/>
      <c r="V217" s="132"/>
      <c r="W217" s="8"/>
      <c r="X217" s="8"/>
      <c r="Y217" s="9"/>
      <c r="Z217" s="8"/>
      <c r="AA217" s="8"/>
      <c r="AB217" s="8"/>
      <c r="AC217" s="132"/>
      <c r="AD217" s="8"/>
      <c r="AE217" s="9"/>
      <c r="AF217" s="8"/>
      <c r="AG217" s="9"/>
      <c r="AH217" s="8"/>
      <c r="AI217" s="8"/>
      <c r="AJ217" s="8"/>
      <c r="AK217" s="132"/>
      <c r="AL217" s="8"/>
      <c r="AM217" s="8"/>
      <c r="AN217" s="9"/>
      <c r="AO217" s="8"/>
      <c r="AP217" s="8"/>
      <c r="AQ217" s="8"/>
    </row>
    <row r="218" spans="1:43" outlineLevel="1" x14ac:dyDescent="0.15">
      <c r="A218" s="8"/>
      <c r="B218" s="8"/>
      <c r="C218" s="8"/>
      <c r="D218" s="8"/>
      <c r="E218" s="9"/>
      <c r="F218" s="8"/>
      <c r="G218" s="10"/>
      <c r="H218" s="132"/>
      <c r="I218" s="8"/>
      <c r="J218" s="9"/>
      <c r="K218" s="8"/>
      <c r="L218" s="9"/>
      <c r="M218" s="8"/>
      <c r="N218" s="132"/>
      <c r="O218" s="8"/>
      <c r="P218" s="9"/>
      <c r="Q218" s="8"/>
      <c r="R218" s="9"/>
      <c r="S218" s="8"/>
      <c r="T218" s="8"/>
      <c r="U218" s="8"/>
      <c r="V218" s="132"/>
      <c r="W218" s="8"/>
      <c r="X218" s="8"/>
      <c r="Y218" s="9"/>
      <c r="Z218" s="8"/>
      <c r="AA218" s="8"/>
      <c r="AB218" s="8"/>
      <c r="AC218" s="132"/>
      <c r="AD218" s="8"/>
      <c r="AE218" s="9"/>
      <c r="AF218" s="8"/>
      <c r="AG218" s="9"/>
      <c r="AH218" s="8"/>
      <c r="AI218" s="8"/>
      <c r="AJ218" s="8"/>
      <c r="AK218" s="132"/>
      <c r="AL218" s="8"/>
      <c r="AM218" s="8"/>
      <c r="AN218" s="9"/>
      <c r="AO218" s="8"/>
      <c r="AP218" s="8"/>
      <c r="AQ218" s="8"/>
    </row>
    <row r="219" spans="1:43" outlineLevel="1" x14ac:dyDescent="0.15">
      <c r="A219" s="8"/>
      <c r="B219" s="8"/>
      <c r="C219" s="8"/>
      <c r="D219" s="8"/>
      <c r="E219" s="9"/>
      <c r="F219" s="8"/>
      <c r="G219" s="10"/>
      <c r="H219" s="132"/>
      <c r="I219" s="8"/>
      <c r="J219" s="9"/>
      <c r="K219" s="8"/>
      <c r="L219" s="9"/>
      <c r="M219" s="8"/>
      <c r="N219" s="132"/>
      <c r="O219" s="8"/>
      <c r="P219" s="9"/>
      <c r="Q219" s="8"/>
      <c r="R219" s="9"/>
      <c r="S219" s="8"/>
      <c r="T219" s="8"/>
      <c r="U219" s="8"/>
      <c r="V219" s="132"/>
      <c r="W219" s="8"/>
      <c r="X219" s="8"/>
      <c r="Y219" s="9"/>
      <c r="Z219" s="8"/>
      <c r="AA219" s="8"/>
      <c r="AB219" s="8"/>
      <c r="AC219" s="132"/>
      <c r="AD219" s="8"/>
      <c r="AE219" s="9"/>
      <c r="AF219" s="8"/>
      <c r="AG219" s="9"/>
      <c r="AH219" s="8"/>
      <c r="AI219" s="8"/>
      <c r="AJ219" s="8"/>
      <c r="AK219" s="132"/>
      <c r="AL219" s="8"/>
      <c r="AM219" s="8"/>
      <c r="AN219" s="9"/>
      <c r="AO219" s="8"/>
      <c r="AP219" s="8"/>
      <c r="AQ219" s="8"/>
    </row>
    <row r="220" spans="1:43" outlineLevel="1" x14ac:dyDescent="0.15">
      <c r="A220" s="8"/>
      <c r="B220" s="8"/>
      <c r="C220" s="8"/>
      <c r="D220" s="8"/>
      <c r="E220" s="9"/>
      <c r="F220" s="8"/>
      <c r="G220" s="10"/>
      <c r="H220" s="132"/>
      <c r="I220" s="8"/>
      <c r="J220" s="9"/>
      <c r="K220" s="8"/>
      <c r="L220" s="9"/>
      <c r="M220" s="8"/>
      <c r="N220" s="132"/>
      <c r="O220" s="8"/>
      <c r="P220" s="9"/>
      <c r="Q220" s="8"/>
      <c r="R220" s="9"/>
      <c r="S220" s="8"/>
      <c r="T220" s="8"/>
      <c r="U220" s="8"/>
      <c r="V220" s="132"/>
      <c r="W220" s="8"/>
      <c r="X220" s="8"/>
      <c r="Y220" s="9"/>
      <c r="Z220" s="8"/>
      <c r="AA220" s="8"/>
      <c r="AB220" s="8"/>
      <c r="AC220" s="132"/>
      <c r="AD220" s="8"/>
      <c r="AE220" s="9"/>
      <c r="AF220" s="8"/>
      <c r="AG220" s="9"/>
      <c r="AH220" s="8"/>
      <c r="AI220" s="8"/>
      <c r="AJ220" s="8"/>
      <c r="AK220" s="132"/>
      <c r="AL220" s="8"/>
      <c r="AM220" s="8"/>
      <c r="AN220" s="9"/>
      <c r="AO220" s="8"/>
      <c r="AP220" s="8"/>
      <c r="AQ220" s="8"/>
    </row>
    <row r="221" spans="1:43" outlineLevel="1" x14ac:dyDescent="0.15">
      <c r="A221" s="8"/>
      <c r="B221" s="8"/>
      <c r="C221" s="8"/>
      <c r="D221" s="8"/>
      <c r="E221" s="9"/>
      <c r="F221" s="8"/>
      <c r="G221" s="10"/>
      <c r="H221" s="132"/>
      <c r="I221" s="8"/>
      <c r="J221" s="9"/>
      <c r="K221" s="8"/>
      <c r="L221" s="9"/>
      <c r="M221" s="8"/>
      <c r="N221" s="132"/>
      <c r="O221" s="8"/>
      <c r="P221" s="9"/>
      <c r="Q221" s="8"/>
      <c r="R221" s="9"/>
      <c r="S221" s="8"/>
      <c r="T221" s="8"/>
      <c r="U221" s="8"/>
      <c r="V221" s="132"/>
      <c r="W221" s="8"/>
      <c r="X221" s="8"/>
      <c r="Y221" s="9"/>
      <c r="Z221" s="8"/>
      <c r="AA221" s="8"/>
      <c r="AB221" s="8"/>
      <c r="AC221" s="132"/>
      <c r="AD221" s="8"/>
      <c r="AE221" s="9"/>
      <c r="AF221" s="8"/>
      <c r="AG221" s="9"/>
      <c r="AH221" s="8"/>
      <c r="AI221" s="8"/>
      <c r="AJ221" s="8"/>
      <c r="AK221" s="132"/>
      <c r="AL221" s="8"/>
      <c r="AM221" s="8"/>
      <c r="AN221" s="9"/>
      <c r="AO221" s="8"/>
      <c r="AP221" s="8"/>
      <c r="AQ221" s="8"/>
    </row>
    <row r="222" spans="1:43" outlineLevel="1" x14ac:dyDescent="0.15">
      <c r="A222" s="8"/>
      <c r="B222" s="8"/>
      <c r="C222" s="8"/>
      <c r="D222" s="8"/>
      <c r="E222" s="9"/>
      <c r="F222" s="8"/>
      <c r="G222" s="10"/>
      <c r="H222" s="132"/>
      <c r="I222" s="8"/>
      <c r="J222" s="9"/>
      <c r="K222" s="8"/>
      <c r="L222" s="9"/>
      <c r="M222" s="8"/>
      <c r="N222" s="132"/>
      <c r="O222" s="8"/>
      <c r="P222" s="9"/>
      <c r="Q222" s="8"/>
      <c r="R222" s="9"/>
      <c r="S222" s="8"/>
      <c r="T222" s="8"/>
      <c r="U222" s="8"/>
      <c r="V222" s="132"/>
      <c r="W222" s="8"/>
      <c r="X222" s="8"/>
      <c r="Y222" s="9"/>
      <c r="Z222" s="8"/>
      <c r="AA222" s="8"/>
      <c r="AB222" s="8"/>
      <c r="AC222" s="132"/>
      <c r="AD222" s="8"/>
      <c r="AE222" s="9"/>
      <c r="AF222" s="8"/>
      <c r="AG222" s="9"/>
      <c r="AH222" s="8"/>
      <c r="AI222" s="8"/>
      <c r="AJ222" s="8"/>
      <c r="AK222" s="132"/>
      <c r="AL222" s="8"/>
      <c r="AM222" s="8"/>
      <c r="AN222" s="9"/>
      <c r="AO222" s="8"/>
      <c r="AP222" s="8"/>
      <c r="AQ222" s="8"/>
    </row>
    <row r="223" spans="1:43" outlineLevel="1" x14ac:dyDescent="0.15">
      <c r="A223" s="8"/>
      <c r="B223" s="8"/>
      <c r="C223" s="8"/>
      <c r="D223" s="8"/>
      <c r="E223" s="9"/>
      <c r="F223" s="8"/>
      <c r="G223" s="10"/>
      <c r="H223" s="132"/>
      <c r="I223" s="8"/>
      <c r="J223" s="9"/>
      <c r="K223" s="8"/>
      <c r="L223" s="9"/>
      <c r="M223" s="8"/>
      <c r="N223" s="132"/>
      <c r="O223" s="8"/>
      <c r="P223" s="9"/>
      <c r="Q223" s="8"/>
      <c r="R223" s="9"/>
      <c r="S223" s="8"/>
      <c r="T223" s="8"/>
      <c r="U223" s="8"/>
      <c r="V223" s="132"/>
      <c r="W223" s="8"/>
      <c r="X223" s="8"/>
      <c r="Y223" s="9"/>
      <c r="Z223" s="8"/>
      <c r="AA223" s="8"/>
      <c r="AB223" s="8"/>
      <c r="AC223" s="132"/>
      <c r="AD223" s="8"/>
      <c r="AE223" s="9"/>
      <c r="AF223" s="8"/>
      <c r="AG223" s="9"/>
      <c r="AH223" s="8"/>
      <c r="AI223" s="8"/>
      <c r="AJ223" s="8"/>
      <c r="AK223" s="132"/>
      <c r="AL223" s="8"/>
      <c r="AM223" s="8"/>
      <c r="AN223" s="9"/>
      <c r="AO223" s="8"/>
      <c r="AP223" s="8"/>
      <c r="AQ223" s="8"/>
    </row>
    <row r="224" spans="1:43" outlineLevel="1" x14ac:dyDescent="0.15">
      <c r="A224" s="8"/>
      <c r="B224" s="8"/>
      <c r="C224" s="8"/>
      <c r="D224" s="8"/>
      <c r="E224" s="9"/>
      <c r="F224" s="8"/>
      <c r="G224" s="10"/>
      <c r="H224" s="132"/>
      <c r="I224" s="8"/>
      <c r="J224" s="9"/>
      <c r="K224" s="8"/>
      <c r="L224" s="9"/>
      <c r="M224" s="8"/>
      <c r="N224" s="132"/>
      <c r="O224" s="8"/>
      <c r="P224" s="9"/>
      <c r="Q224" s="8"/>
      <c r="R224" s="9"/>
      <c r="S224" s="8"/>
      <c r="T224" s="8"/>
      <c r="U224" s="8"/>
      <c r="V224" s="132"/>
      <c r="W224" s="8"/>
      <c r="X224" s="8"/>
      <c r="Y224" s="9"/>
      <c r="Z224" s="8"/>
      <c r="AA224" s="8"/>
      <c r="AB224" s="8"/>
      <c r="AC224" s="132"/>
      <c r="AD224" s="8"/>
      <c r="AE224" s="9"/>
      <c r="AF224" s="8"/>
      <c r="AG224" s="9"/>
      <c r="AH224" s="8"/>
      <c r="AI224" s="8"/>
      <c r="AJ224" s="8"/>
      <c r="AK224" s="132"/>
      <c r="AL224" s="8"/>
      <c r="AM224" s="8"/>
      <c r="AN224" s="9"/>
      <c r="AO224" s="8"/>
      <c r="AP224" s="8"/>
      <c r="AQ224" s="8"/>
    </row>
    <row r="225" spans="1:43" outlineLevel="1" x14ac:dyDescent="0.15">
      <c r="A225" s="8"/>
      <c r="B225" s="8"/>
      <c r="C225" s="8"/>
      <c r="D225" s="8"/>
      <c r="E225" s="9"/>
      <c r="F225" s="8"/>
      <c r="G225" s="10"/>
      <c r="H225" s="132"/>
      <c r="I225" s="8"/>
      <c r="J225" s="9"/>
      <c r="K225" s="8"/>
      <c r="L225" s="9"/>
      <c r="M225" s="8"/>
      <c r="N225" s="132"/>
      <c r="O225" s="8"/>
      <c r="P225" s="9"/>
      <c r="Q225" s="8"/>
      <c r="R225" s="9"/>
      <c r="S225" s="8"/>
      <c r="T225" s="8"/>
      <c r="U225" s="8"/>
      <c r="V225" s="132"/>
      <c r="W225" s="8"/>
      <c r="X225" s="8"/>
      <c r="Y225" s="9"/>
      <c r="Z225" s="8"/>
      <c r="AA225" s="8"/>
      <c r="AB225" s="8"/>
      <c r="AC225" s="132"/>
      <c r="AD225" s="8"/>
      <c r="AE225" s="9"/>
      <c r="AF225" s="8"/>
      <c r="AG225" s="9"/>
      <c r="AH225" s="8"/>
      <c r="AI225" s="8"/>
      <c r="AJ225" s="8"/>
      <c r="AK225" s="132"/>
      <c r="AL225" s="8"/>
      <c r="AM225" s="8"/>
      <c r="AN225" s="9"/>
      <c r="AO225" s="8"/>
      <c r="AP225" s="8"/>
      <c r="AQ225" s="8"/>
    </row>
    <row r="226" spans="1:43" outlineLevel="1" x14ac:dyDescent="0.15">
      <c r="A226" s="8"/>
      <c r="B226" s="8"/>
      <c r="C226" s="8"/>
      <c r="D226" s="8"/>
      <c r="E226" s="9"/>
      <c r="F226" s="8"/>
      <c r="G226" s="10"/>
      <c r="H226" s="132"/>
      <c r="I226" s="8"/>
      <c r="J226" s="9"/>
      <c r="K226" s="8"/>
      <c r="L226" s="9"/>
      <c r="M226" s="8"/>
      <c r="N226" s="132"/>
      <c r="O226" s="8"/>
      <c r="P226" s="9"/>
      <c r="Q226" s="8"/>
      <c r="R226" s="9"/>
      <c r="S226" s="8"/>
      <c r="T226" s="8"/>
      <c r="U226" s="8"/>
      <c r="V226" s="132"/>
      <c r="W226" s="8"/>
      <c r="X226" s="8"/>
      <c r="Y226" s="9"/>
      <c r="Z226" s="8"/>
      <c r="AA226" s="8"/>
      <c r="AB226" s="8"/>
      <c r="AC226" s="132"/>
      <c r="AD226" s="8"/>
      <c r="AE226" s="9"/>
      <c r="AF226" s="8"/>
      <c r="AG226" s="9"/>
      <c r="AH226" s="8"/>
      <c r="AI226" s="8"/>
      <c r="AJ226" s="8"/>
      <c r="AK226" s="132"/>
      <c r="AL226" s="8"/>
      <c r="AM226" s="8"/>
      <c r="AN226" s="9"/>
      <c r="AO226" s="8"/>
      <c r="AP226" s="8"/>
      <c r="AQ226" s="8"/>
    </row>
    <row r="227" spans="1:43" outlineLevel="1" x14ac:dyDescent="0.15">
      <c r="A227" s="8"/>
      <c r="B227" s="8"/>
      <c r="C227" s="8"/>
      <c r="D227" s="8"/>
      <c r="E227" s="9"/>
      <c r="F227" s="8"/>
      <c r="G227" s="10"/>
      <c r="H227" s="132"/>
      <c r="I227" s="8"/>
      <c r="J227" s="9"/>
      <c r="K227" s="8"/>
      <c r="L227" s="9"/>
      <c r="M227" s="8"/>
      <c r="N227" s="132"/>
      <c r="O227" s="8"/>
      <c r="P227" s="9"/>
      <c r="Q227" s="8"/>
      <c r="R227" s="9"/>
      <c r="S227" s="8"/>
      <c r="T227" s="8"/>
      <c r="U227" s="8"/>
      <c r="V227" s="132"/>
      <c r="W227" s="8"/>
      <c r="X227" s="8"/>
      <c r="Y227" s="9"/>
      <c r="Z227" s="8"/>
      <c r="AA227" s="8"/>
      <c r="AB227" s="8"/>
      <c r="AC227" s="132"/>
      <c r="AD227" s="8"/>
      <c r="AE227" s="9"/>
      <c r="AF227" s="8"/>
      <c r="AG227" s="9"/>
      <c r="AH227" s="8"/>
      <c r="AI227" s="8"/>
      <c r="AJ227" s="8"/>
      <c r="AK227" s="132"/>
      <c r="AL227" s="8"/>
      <c r="AM227" s="8"/>
      <c r="AN227" s="9"/>
      <c r="AO227" s="8"/>
      <c r="AP227" s="8"/>
      <c r="AQ227" s="8"/>
    </row>
    <row r="228" spans="1:43" outlineLevel="1" x14ac:dyDescent="0.15">
      <c r="A228" s="8"/>
      <c r="B228" s="8"/>
      <c r="C228" s="8"/>
      <c r="D228" s="8"/>
      <c r="E228" s="9"/>
      <c r="F228" s="8"/>
      <c r="G228" s="10"/>
      <c r="H228" s="132"/>
      <c r="I228" s="8"/>
      <c r="J228" s="9"/>
      <c r="K228" s="8"/>
      <c r="L228" s="9"/>
      <c r="M228" s="8"/>
      <c r="N228" s="132"/>
      <c r="O228" s="8"/>
      <c r="P228" s="9"/>
      <c r="Q228" s="8"/>
      <c r="R228" s="9"/>
      <c r="S228" s="8"/>
      <c r="T228" s="8"/>
      <c r="U228" s="8"/>
      <c r="V228" s="132"/>
      <c r="W228" s="8"/>
      <c r="X228" s="8"/>
      <c r="Y228" s="9"/>
      <c r="Z228" s="8"/>
      <c r="AA228" s="8"/>
      <c r="AB228" s="8"/>
      <c r="AC228" s="132"/>
      <c r="AD228" s="8"/>
      <c r="AE228" s="9"/>
      <c r="AF228" s="8"/>
      <c r="AG228" s="9"/>
      <c r="AH228" s="8"/>
      <c r="AI228" s="8"/>
      <c r="AJ228" s="8"/>
      <c r="AK228" s="132"/>
      <c r="AL228" s="8"/>
      <c r="AM228" s="8"/>
      <c r="AN228" s="9"/>
      <c r="AO228" s="8"/>
      <c r="AP228" s="8"/>
      <c r="AQ228" s="8"/>
    </row>
    <row r="229" spans="1:43" outlineLevel="1" x14ac:dyDescent="0.15">
      <c r="A229" s="8"/>
      <c r="B229" s="8"/>
      <c r="C229" s="8"/>
      <c r="D229" s="8"/>
      <c r="E229" s="9"/>
      <c r="F229" s="8"/>
      <c r="G229" s="10"/>
      <c r="H229" s="132"/>
      <c r="I229" s="8"/>
      <c r="J229" s="9"/>
      <c r="K229" s="8"/>
      <c r="L229" s="9"/>
      <c r="M229" s="8"/>
      <c r="N229" s="132"/>
      <c r="O229" s="8"/>
      <c r="P229" s="9"/>
      <c r="Q229" s="8"/>
      <c r="R229" s="9"/>
      <c r="S229" s="8"/>
      <c r="T229" s="8"/>
      <c r="U229" s="8"/>
      <c r="V229" s="132"/>
      <c r="W229" s="8"/>
      <c r="X229" s="8"/>
      <c r="Y229" s="9"/>
      <c r="Z229" s="8"/>
      <c r="AA229" s="8"/>
      <c r="AB229" s="8"/>
      <c r="AC229" s="132"/>
      <c r="AD229" s="8"/>
      <c r="AE229" s="9"/>
      <c r="AF229" s="8"/>
      <c r="AG229" s="9"/>
      <c r="AH229" s="8"/>
      <c r="AI229" s="8"/>
      <c r="AJ229" s="8"/>
      <c r="AK229" s="132"/>
      <c r="AL229" s="8"/>
      <c r="AM229" s="8"/>
      <c r="AN229" s="9"/>
      <c r="AO229" s="8"/>
      <c r="AP229" s="8"/>
      <c r="AQ229" s="8"/>
    </row>
    <row r="230" spans="1:43" outlineLevel="1" x14ac:dyDescent="0.15">
      <c r="A230" s="8"/>
      <c r="B230" s="8"/>
      <c r="C230" s="8"/>
      <c r="D230" s="8"/>
      <c r="E230" s="9"/>
      <c r="F230" s="8"/>
      <c r="G230" s="10"/>
      <c r="H230" s="132"/>
      <c r="I230" s="8"/>
      <c r="J230" s="9"/>
      <c r="K230" s="8"/>
      <c r="L230" s="9"/>
      <c r="M230" s="8"/>
      <c r="N230" s="132"/>
      <c r="O230" s="8"/>
      <c r="P230" s="9"/>
      <c r="Q230" s="8"/>
      <c r="R230" s="9"/>
      <c r="S230" s="8"/>
      <c r="T230" s="8"/>
      <c r="U230" s="8"/>
      <c r="V230" s="132"/>
      <c r="W230" s="8"/>
      <c r="X230" s="8"/>
      <c r="Y230" s="9"/>
      <c r="Z230" s="8"/>
      <c r="AA230" s="8"/>
      <c r="AB230" s="8"/>
      <c r="AC230" s="132"/>
      <c r="AD230" s="8"/>
      <c r="AE230" s="9"/>
      <c r="AF230" s="8"/>
      <c r="AG230" s="9"/>
      <c r="AH230" s="8"/>
      <c r="AI230" s="8"/>
      <c r="AJ230" s="8"/>
      <c r="AK230" s="132"/>
      <c r="AL230" s="8"/>
      <c r="AM230" s="8"/>
      <c r="AN230" s="9"/>
      <c r="AO230" s="8"/>
      <c r="AP230" s="8"/>
      <c r="AQ230" s="8"/>
    </row>
    <row r="231" spans="1:43" outlineLevel="1" x14ac:dyDescent="0.15">
      <c r="A231" s="8"/>
      <c r="B231" s="8"/>
      <c r="C231" s="8"/>
      <c r="D231" s="8"/>
      <c r="E231" s="9"/>
      <c r="F231" s="8"/>
      <c r="G231" s="10"/>
      <c r="H231" s="132"/>
      <c r="I231" s="8"/>
      <c r="J231" s="9"/>
      <c r="K231" s="8"/>
      <c r="L231" s="9"/>
      <c r="M231" s="8"/>
      <c r="N231" s="132"/>
      <c r="O231" s="8"/>
      <c r="P231" s="9"/>
      <c r="Q231" s="8"/>
      <c r="R231" s="9"/>
      <c r="S231" s="8"/>
      <c r="T231" s="8"/>
      <c r="U231" s="8"/>
      <c r="V231" s="132"/>
      <c r="W231" s="8"/>
      <c r="X231" s="8"/>
      <c r="Y231" s="9"/>
      <c r="Z231" s="8"/>
      <c r="AA231" s="8"/>
      <c r="AB231" s="8"/>
      <c r="AC231" s="132"/>
      <c r="AD231" s="8"/>
      <c r="AE231" s="9"/>
      <c r="AF231" s="8"/>
      <c r="AG231" s="9"/>
      <c r="AH231" s="8"/>
      <c r="AI231" s="8"/>
      <c r="AJ231" s="8"/>
      <c r="AK231" s="132"/>
      <c r="AL231" s="8"/>
      <c r="AM231" s="8"/>
      <c r="AN231" s="9"/>
      <c r="AO231" s="8"/>
      <c r="AP231" s="8"/>
      <c r="AQ231" s="8"/>
    </row>
    <row r="232" spans="1:43" outlineLevel="1" x14ac:dyDescent="0.15">
      <c r="A232" s="8"/>
      <c r="B232" s="8"/>
      <c r="C232" s="8"/>
      <c r="D232" s="8"/>
      <c r="E232" s="9"/>
      <c r="F232" s="8"/>
      <c r="G232" s="10"/>
      <c r="H232" s="132"/>
      <c r="I232" s="8"/>
      <c r="J232" s="9"/>
      <c r="K232" s="8"/>
      <c r="L232" s="9"/>
      <c r="M232" s="8"/>
      <c r="N232" s="132"/>
      <c r="O232" s="8"/>
      <c r="P232" s="9"/>
      <c r="Q232" s="8"/>
      <c r="R232" s="9"/>
      <c r="S232" s="8"/>
      <c r="T232" s="8"/>
      <c r="U232" s="8"/>
      <c r="V232" s="132"/>
      <c r="W232" s="8"/>
      <c r="X232" s="8"/>
      <c r="Y232" s="9"/>
      <c r="Z232" s="8"/>
      <c r="AA232" s="8"/>
      <c r="AB232" s="8"/>
      <c r="AC232" s="132"/>
      <c r="AD232" s="8"/>
      <c r="AE232" s="9"/>
      <c r="AF232" s="8"/>
      <c r="AG232" s="9"/>
      <c r="AH232" s="8"/>
      <c r="AI232" s="8"/>
      <c r="AJ232" s="8"/>
      <c r="AK232" s="132"/>
      <c r="AL232" s="8"/>
      <c r="AM232" s="8"/>
      <c r="AN232" s="9"/>
      <c r="AO232" s="8"/>
      <c r="AP232" s="8"/>
      <c r="AQ232" s="8"/>
    </row>
    <row r="233" spans="1:43" outlineLevel="1" x14ac:dyDescent="0.15">
      <c r="A233" s="8"/>
      <c r="B233" s="8"/>
      <c r="C233" s="8"/>
      <c r="D233" s="8"/>
      <c r="E233" s="9"/>
      <c r="F233" s="8"/>
      <c r="G233" s="10"/>
      <c r="H233" s="132"/>
      <c r="I233" s="8"/>
      <c r="J233" s="9"/>
      <c r="K233" s="8"/>
      <c r="L233" s="9"/>
      <c r="M233" s="8"/>
      <c r="N233" s="132"/>
      <c r="O233" s="8"/>
      <c r="P233" s="9"/>
      <c r="Q233" s="8"/>
      <c r="R233" s="9"/>
      <c r="S233" s="8"/>
      <c r="T233" s="8"/>
      <c r="U233" s="8"/>
      <c r="V233" s="132"/>
      <c r="W233" s="8"/>
      <c r="X233" s="8"/>
      <c r="Y233" s="9"/>
      <c r="Z233" s="8"/>
      <c r="AA233" s="8"/>
      <c r="AB233" s="8"/>
      <c r="AC233" s="132"/>
      <c r="AD233" s="8"/>
      <c r="AE233" s="9"/>
      <c r="AF233" s="8"/>
      <c r="AG233" s="9"/>
      <c r="AH233" s="8"/>
      <c r="AI233" s="8"/>
      <c r="AJ233" s="8"/>
      <c r="AK233" s="132"/>
      <c r="AL233" s="8"/>
      <c r="AM233" s="8"/>
      <c r="AN233" s="9"/>
      <c r="AO233" s="8"/>
      <c r="AP233" s="8"/>
      <c r="AQ233" s="8"/>
    </row>
    <row r="234" spans="1:43" outlineLevel="1" x14ac:dyDescent="0.15">
      <c r="A234" s="8"/>
      <c r="B234" s="8"/>
      <c r="C234" s="8"/>
      <c r="D234" s="8"/>
      <c r="E234" s="9"/>
      <c r="F234" s="8"/>
      <c r="G234" s="10"/>
      <c r="H234" s="132"/>
      <c r="I234" s="8"/>
      <c r="J234" s="9"/>
      <c r="K234" s="8"/>
      <c r="L234" s="9"/>
      <c r="M234" s="8"/>
      <c r="N234" s="132"/>
      <c r="O234" s="8"/>
      <c r="P234" s="9"/>
      <c r="Q234" s="8"/>
      <c r="R234" s="9"/>
      <c r="S234" s="8"/>
      <c r="T234" s="8"/>
      <c r="U234" s="8"/>
      <c r="V234" s="132"/>
      <c r="W234" s="8"/>
      <c r="X234" s="8"/>
      <c r="Y234" s="9"/>
      <c r="Z234" s="8"/>
      <c r="AA234" s="8"/>
      <c r="AB234" s="8"/>
      <c r="AC234" s="132"/>
      <c r="AD234" s="8"/>
      <c r="AE234" s="9"/>
      <c r="AF234" s="8"/>
      <c r="AG234" s="9"/>
      <c r="AH234" s="8"/>
      <c r="AI234" s="8"/>
      <c r="AJ234" s="8"/>
      <c r="AK234" s="132"/>
      <c r="AL234" s="8"/>
      <c r="AM234" s="8"/>
      <c r="AN234" s="9"/>
      <c r="AO234" s="8"/>
      <c r="AP234" s="8"/>
      <c r="AQ234" s="8"/>
    </row>
    <row r="235" spans="1:43" outlineLevel="1" x14ac:dyDescent="0.15">
      <c r="A235" s="8"/>
      <c r="B235" s="8"/>
      <c r="C235" s="8"/>
      <c r="D235" s="8"/>
      <c r="E235" s="9"/>
      <c r="F235" s="8"/>
      <c r="G235" s="10"/>
      <c r="H235" s="132"/>
      <c r="I235" s="8"/>
      <c r="J235" s="9"/>
      <c r="K235" s="8"/>
      <c r="L235" s="9"/>
      <c r="M235" s="8"/>
      <c r="N235" s="132"/>
      <c r="O235" s="8"/>
      <c r="P235" s="9"/>
      <c r="Q235" s="8"/>
      <c r="R235" s="9"/>
      <c r="S235" s="8"/>
      <c r="T235" s="8"/>
      <c r="U235" s="8"/>
      <c r="V235" s="132"/>
      <c r="W235" s="8"/>
      <c r="X235" s="8"/>
      <c r="Y235" s="9"/>
      <c r="Z235" s="8"/>
      <c r="AA235" s="8"/>
      <c r="AB235" s="8"/>
      <c r="AC235" s="132"/>
      <c r="AD235" s="8"/>
      <c r="AE235" s="9"/>
      <c r="AF235" s="8"/>
      <c r="AG235" s="9"/>
      <c r="AH235" s="8"/>
      <c r="AI235" s="8"/>
      <c r="AJ235" s="8"/>
      <c r="AK235" s="132"/>
      <c r="AL235" s="8"/>
      <c r="AM235" s="8"/>
      <c r="AN235" s="9"/>
      <c r="AO235" s="8"/>
      <c r="AP235" s="8"/>
      <c r="AQ235" s="8"/>
    </row>
    <row r="236" spans="1:43" outlineLevel="1" x14ac:dyDescent="0.15">
      <c r="A236" s="8"/>
      <c r="B236" s="8"/>
      <c r="C236" s="8"/>
      <c r="D236" s="8"/>
      <c r="E236" s="9"/>
      <c r="F236" s="8"/>
      <c r="G236" s="10"/>
      <c r="H236" s="132"/>
      <c r="I236" s="8"/>
      <c r="J236" s="9"/>
      <c r="K236" s="8"/>
      <c r="L236" s="9"/>
      <c r="M236" s="8"/>
      <c r="N236" s="132"/>
      <c r="O236" s="8"/>
      <c r="P236" s="9"/>
      <c r="Q236" s="8"/>
      <c r="R236" s="9"/>
      <c r="S236" s="8"/>
      <c r="T236" s="8"/>
      <c r="U236" s="8"/>
      <c r="V236" s="132"/>
      <c r="W236" s="8"/>
      <c r="X236" s="8"/>
      <c r="Y236" s="9"/>
      <c r="Z236" s="8"/>
      <c r="AA236" s="8"/>
      <c r="AB236" s="8"/>
      <c r="AC236" s="132"/>
      <c r="AD236" s="8"/>
      <c r="AE236" s="9"/>
      <c r="AF236" s="8"/>
      <c r="AG236" s="9"/>
      <c r="AH236" s="8"/>
      <c r="AI236" s="8"/>
      <c r="AJ236" s="8"/>
      <c r="AK236" s="132"/>
      <c r="AL236" s="8"/>
      <c r="AM236" s="8"/>
      <c r="AN236" s="9"/>
      <c r="AO236" s="8"/>
      <c r="AP236" s="8"/>
      <c r="AQ236" s="8"/>
    </row>
    <row r="237" spans="1:43" outlineLevel="1" x14ac:dyDescent="0.15">
      <c r="A237" s="8"/>
      <c r="B237" s="8"/>
      <c r="C237" s="8"/>
      <c r="D237" s="8"/>
      <c r="E237" s="9"/>
      <c r="F237" s="8"/>
      <c r="G237" s="10"/>
      <c r="H237" s="132"/>
      <c r="I237" s="8"/>
      <c r="J237" s="9"/>
      <c r="K237" s="8"/>
      <c r="L237" s="9"/>
      <c r="M237" s="8"/>
      <c r="N237" s="132"/>
      <c r="O237" s="8"/>
      <c r="P237" s="9"/>
      <c r="Q237" s="8"/>
      <c r="R237" s="9"/>
      <c r="S237" s="8"/>
      <c r="T237" s="8"/>
      <c r="U237" s="8"/>
      <c r="V237" s="132"/>
      <c r="W237" s="8"/>
      <c r="X237" s="8"/>
      <c r="Y237" s="9"/>
      <c r="Z237" s="8"/>
      <c r="AA237" s="8"/>
      <c r="AB237" s="8"/>
      <c r="AC237" s="132"/>
      <c r="AD237" s="8"/>
      <c r="AE237" s="9"/>
      <c r="AF237" s="8"/>
      <c r="AG237" s="9"/>
      <c r="AH237" s="8"/>
      <c r="AI237" s="8"/>
      <c r="AJ237" s="8"/>
      <c r="AK237" s="132"/>
      <c r="AL237" s="8"/>
      <c r="AM237" s="8"/>
      <c r="AN237" s="9"/>
      <c r="AO237" s="8"/>
      <c r="AP237" s="8"/>
      <c r="AQ237" s="8"/>
    </row>
    <row r="238" spans="1:43" outlineLevel="1" x14ac:dyDescent="0.15">
      <c r="A238" s="8"/>
      <c r="B238" s="8"/>
      <c r="C238" s="8"/>
      <c r="D238" s="8"/>
      <c r="E238" s="9"/>
      <c r="F238" s="8"/>
      <c r="G238" s="10"/>
      <c r="H238" s="132"/>
      <c r="I238" s="8"/>
      <c r="J238" s="9"/>
      <c r="K238" s="8"/>
      <c r="L238" s="9"/>
      <c r="M238" s="8"/>
      <c r="N238" s="132"/>
      <c r="O238" s="8"/>
      <c r="P238" s="9"/>
      <c r="Q238" s="8"/>
      <c r="R238" s="9"/>
      <c r="S238" s="8"/>
      <c r="T238" s="8"/>
      <c r="U238" s="8"/>
      <c r="V238" s="132"/>
      <c r="W238" s="8"/>
      <c r="X238" s="8"/>
      <c r="Y238" s="9"/>
      <c r="Z238" s="8"/>
      <c r="AA238" s="8"/>
      <c r="AB238" s="8"/>
      <c r="AC238" s="132"/>
      <c r="AD238" s="8"/>
      <c r="AE238" s="9"/>
      <c r="AF238" s="8"/>
      <c r="AG238" s="9"/>
      <c r="AH238" s="8"/>
      <c r="AI238" s="8"/>
      <c r="AJ238" s="8"/>
      <c r="AK238" s="132"/>
      <c r="AL238" s="8"/>
      <c r="AM238" s="8"/>
      <c r="AN238" s="9"/>
      <c r="AO238" s="8"/>
      <c r="AP238" s="8"/>
      <c r="AQ238" s="8"/>
    </row>
    <row r="239" spans="1:43" outlineLevel="1" x14ac:dyDescent="0.15">
      <c r="A239" s="8"/>
      <c r="B239" s="8"/>
      <c r="C239" s="8"/>
      <c r="D239" s="8"/>
      <c r="E239" s="9"/>
      <c r="F239" s="8"/>
      <c r="G239" s="10"/>
      <c r="H239" s="132"/>
      <c r="I239" s="8"/>
      <c r="J239" s="9"/>
      <c r="K239" s="8"/>
      <c r="L239" s="9"/>
      <c r="M239" s="8"/>
      <c r="N239" s="132"/>
      <c r="O239" s="8"/>
      <c r="P239" s="9"/>
      <c r="Q239" s="8"/>
      <c r="R239" s="9"/>
      <c r="S239" s="8"/>
      <c r="T239" s="8"/>
      <c r="U239" s="8"/>
      <c r="V239" s="132"/>
      <c r="W239" s="8"/>
      <c r="X239" s="8"/>
      <c r="Y239" s="9"/>
      <c r="Z239" s="8"/>
      <c r="AA239" s="8"/>
      <c r="AB239" s="8"/>
      <c r="AC239" s="132"/>
      <c r="AD239" s="8"/>
      <c r="AE239" s="9"/>
      <c r="AF239" s="8"/>
      <c r="AG239" s="9"/>
      <c r="AH239" s="8"/>
      <c r="AI239" s="8"/>
      <c r="AJ239" s="8"/>
      <c r="AK239" s="132"/>
      <c r="AL239" s="8"/>
      <c r="AM239" s="8"/>
      <c r="AN239" s="9"/>
      <c r="AO239" s="8"/>
      <c r="AP239" s="8"/>
      <c r="AQ239" s="8"/>
    </row>
    <row r="240" spans="1:43" outlineLevel="1" x14ac:dyDescent="0.15">
      <c r="A240" s="8"/>
      <c r="B240" s="8"/>
      <c r="C240" s="8"/>
      <c r="D240" s="8"/>
      <c r="E240" s="9"/>
      <c r="F240" s="8"/>
      <c r="G240" s="10"/>
      <c r="H240" s="132"/>
      <c r="I240" s="8"/>
      <c r="J240" s="9"/>
      <c r="K240" s="8"/>
      <c r="L240" s="9"/>
      <c r="M240" s="8"/>
      <c r="N240" s="132"/>
      <c r="O240" s="8"/>
      <c r="P240" s="9"/>
      <c r="Q240" s="8"/>
      <c r="R240" s="9"/>
      <c r="S240" s="8"/>
      <c r="T240" s="8"/>
      <c r="U240" s="8"/>
      <c r="V240" s="132"/>
      <c r="W240" s="8"/>
      <c r="X240" s="8"/>
      <c r="Y240" s="9"/>
      <c r="Z240" s="8"/>
      <c r="AA240" s="8"/>
      <c r="AB240" s="8"/>
      <c r="AC240" s="132"/>
      <c r="AD240" s="8"/>
      <c r="AE240" s="9"/>
      <c r="AF240" s="8"/>
      <c r="AG240" s="9"/>
      <c r="AH240" s="8"/>
      <c r="AI240" s="8"/>
      <c r="AJ240" s="8"/>
      <c r="AK240" s="132"/>
      <c r="AL240" s="8"/>
      <c r="AM240" s="8"/>
      <c r="AN240" s="9"/>
      <c r="AO240" s="8"/>
      <c r="AP240" s="8"/>
      <c r="AQ240" s="8"/>
    </row>
    <row r="241" spans="1:43" outlineLevel="1" x14ac:dyDescent="0.15">
      <c r="A241" s="8"/>
      <c r="B241" s="8"/>
      <c r="C241" s="8"/>
      <c r="D241" s="8"/>
      <c r="E241" s="9"/>
      <c r="F241" s="8"/>
      <c r="G241" s="10"/>
      <c r="H241" s="132"/>
      <c r="I241" s="8"/>
      <c r="J241" s="9"/>
      <c r="K241" s="8"/>
      <c r="L241" s="9"/>
      <c r="M241" s="8"/>
      <c r="N241" s="132"/>
      <c r="O241" s="8"/>
      <c r="P241" s="9"/>
      <c r="Q241" s="8"/>
      <c r="R241" s="9"/>
      <c r="S241" s="8"/>
      <c r="T241" s="8"/>
      <c r="U241" s="8"/>
      <c r="V241" s="132"/>
      <c r="W241" s="8"/>
      <c r="X241" s="8"/>
      <c r="Y241" s="9"/>
      <c r="Z241" s="8"/>
      <c r="AA241" s="8"/>
      <c r="AB241" s="8"/>
      <c r="AC241" s="132"/>
      <c r="AD241" s="8"/>
      <c r="AE241" s="9"/>
      <c r="AF241" s="8"/>
      <c r="AG241" s="9"/>
      <c r="AH241" s="8"/>
      <c r="AI241" s="8"/>
      <c r="AJ241" s="8"/>
      <c r="AK241" s="132"/>
      <c r="AL241" s="8"/>
      <c r="AM241" s="8"/>
      <c r="AN241" s="9"/>
      <c r="AO241" s="8"/>
      <c r="AP241" s="8"/>
      <c r="AQ241" s="8"/>
    </row>
    <row r="242" spans="1:43" outlineLevel="1" x14ac:dyDescent="0.15">
      <c r="A242" s="8"/>
      <c r="B242" s="8"/>
      <c r="C242" s="8"/>
      <c r="D242" s="8"/>
      <c r="E242" s="9"/>
      <c r="F242" s="8"/>
      <c r="G242" s="10"/>
      <c r="H242" s="132"/>
      <c r="I242" s="8"/>
      <c r="J242" s="9"/>
      <c r="K242" s="8"/>
      <c r="L242" s="9"/>
      <c r="M242" s="8"/>
      <c r="N242" s="132"/>
      <c r="O242" s="8"/>
      <c r="P242" s="9"/>
      <c r="Q242" s="8"/>
      <c r="R242" s="9"/>
      <c r="S242" s="8"/>
      <c r="T242" s="8"/>
      <c r="U242" s="8"/>
      <c r="V242" s="132"/>
      <c r="W242" s="8"/>
      <c r="X242" s="8"/>
      <c r="Y242" s="9"/>
      <c r="Z242" s="8"/>
      <c r="AA242" s="8"/>
      <c r="AB242" s="8"/>
      <c r="AC242" s="132"/>
      <c r="AD242" s="8"/>
      <c r="AE242" s="9"/>
      <c r="AF242" s="8"/>
      <c r="AG242" s="9"/>
      <c r="AH242" s="8"/>
      <c r="AI242" s="8"/>
      <c r="AJ242" s="8"/>
      <c r="AK242" s="132"/>
      <c r="AL242" s="8"/>
      <c r="AM242" s="8"/>
      <c r="AN242" s="9"/>
      <c r="AO242" s="8"/>
      <c r="AP242" s="8"/>
      <c r="AQ242" s="8"/>
    </row>
    <row r="243" spans="1:43" outlineLevel="1" x14ac:dyDescent="0.15">
      <c r="A243" s="8"/>
      <c r="B243" s="8"/>
      <c r="C243" s="8"/>
      <c r="D243" s="8"/>
      <c r="E243" s="9"/>
      <c r="F243" s="8"/>
      <c r="G243" s="10"/>
      <c r="H243" s="132"/>
      <c r="I243" s="8"/>
      <c r="J243" s="9"/>
      <c r="K243" s="8"/>
      <c r="L243" s="9"/>
      <c r="M243" s="8"/>
      <c r="N243" s="132"/>
      <c r="O243" s="8"/>
      <c r="P243" s="9"/>
      <c r="Q243" s="8"/>
      <c r="R243" s="9"/>
      <c r="S243" s="8"/>
      <c r="T243" s="8"/>
      <c r="U243" s="8"/>
      <c r="V243" s="132"/>
      <c r="W243" s="8"/>
      <c r="X243" s="8"/>
      <c r="Y243" s="9"/>
      <c r="Z243" s="8"/>
      <c r="AA243" s="8"/>
      <c r="AB243" s="8"/>
      <c r="AC243" s="132"/>
      <c r="AD243" s="8"/>
      <c r="AE243" s="9"/>
      <c r="AF243" s="8"/>
      <c r="AG243" s="9"/>
      <c r="AH243" s="8"/>
      <c r="AI243" s="8"/>
      <c r="AJ243" s="8"/>
      <c r="AK243" s="132"/>
      <c r="AL243" s="8"/>
      <c r="AM243" s="8"/>
      <c r="AN243" s="9"/>
      <c r="AO243" s="8"/>
      <c r="AP243" s="8"/>
      <c r="AQ243" s="8"/>
    </row>
    <row r="244" spans="1:43" outlineLevel="1" x14ac:dyDescent="0.15">
      <c r="A244" s="8"/>
      <c r="B244" s="8"/>
      <c r="C244" s="8"/>
      <c r="D244" s="8"/>
      <c r="E244" s="9"/>
      <c r="F244" s="8"/>
      <c r="G244" s="10"/>
      <c r="H244" s="132"/>
      <c r="I244" s="8"/>
      <c r="J244" s="9"/>
      <c r="K244" s="8"/>
      <c r="L244" s="9"/>
      <c r="M244" s="8"/>
      <c r="N244" s="132"/>
      <c r="O244" s="8"/>
      <c r="P244" s="9"/>
      <c r="Q244" s="8"/>
      <c r="R244" s="9"/>
      <c r="S244" s="8"/>
      <c r="T244" s="8"/>
      <c r="U244" s="8"/>
      <c r="V244" s="132"/>
      <c r="W244" s="8"/>
      <c r="X244" s="8"/>
      <c r="Y244" s="9"/>
      <c r="Z244" s="8"/>
      <c r="AA244" s="8"/>
      <c r="AB244" s="8"/>
      <c r="AC244" s="132"/>
      <c r="AD244" s="8"/>
      <c r="AE244" s="9"/>
      <c r="AF244" s="8"/>
      <c r="AG244" s="9"/>
      <c r="AH244" s="8"/>
      <c r="AI244" s="8"/>
      <c r="AJ244" s="8"/>
      <c r="AK244" s="132"/>
      <c r="AL244" s="8"/>
      <c r="AM244" s="8"/>
      <c r="AN244" s="9"/>
      <c r="AO244" s="8"/>
      <c r="AP244" s="8"/>
      <c r="AQ244" s="8"/>
    </row>
    <row r="245" spans="1:43" outlineLevel="1" x14ac:dyDescent="0.15">
      <c r="A245" s="8"/>
      <c r="B245" s="8"/>
      <c r="C245" s="8"/>
      <c r="D245" s="8"/>
      <c r="E245" s="9"/>
      <c r="F245" s="8"/>
      <c r="G245" s="10"/>
      <c r="H245" s="132"/>
      <c r="I245" s="8"/>
      <c r="J245" s="9"/>
      <c r="K245" s="8"/>
      <c r="L245" s="9"/>
      <c r="M245" s="8"/>
      <c r="N245" s="132"/>
      <c r="O245" s="8"/>
      <c r="P245" s="9"/>
      <c r="Q245" s="8"/>
      <c r="R245" s="9"/>
      <c r="S245" s="8"/>
      <c r="T245" s="8"/>
      <c r="U245" s="8"/>
      <c r="V245" s="132"/>
      <c r="W245" s="8"/>
      <c r="X245" s="8"/>
      <c r="Y245" s="9"/>
      <c r="Z245" s="8"/>
      <c r="AA245" s="8"/>
      <c r="AB245" s="8"/>
      <c r="AC245" s="132"/>
      <c r="AD245" s="8"/>
      <c r="AE245" s="9"/>
      <c r="AF245" s="8"/>
      <c r="AG245" s="9"/>
      <c r="AH245" s="8"/>
      <c r="AI245" s="8"/>
      <c r="AJ245" s="8"/>
      <c r="AK245" s="132"/>
      <c r="AL245" s="8"/>
      <c r="AM245" s="8"/>
      <c r="AN245" s="9"/>
      <c r="AO245" s="8"/>
      <c r="AP245" s="8"/>
      <c r="AQ245" s="8"/>
    </row>
    <row r="246" spans="1:43" outlineLevel="1" x14ac:dyDescent="0.15">
      <c r="A246" s="8"/>
      <c r="B246" s="8"/>
      <c r="C246" s="8"/>
      <c r="D246" s="8"/>
      <c r="E246" s="9"/>
      <c r="F246" s="8"/>
      <c r="G246" s="10"/>
      <c r="H246" s="132"/>
      <c r="I246" s="8"/>
      <c r="J246" s="9"/>
      <c r="K246" s="8"/>
      <c r="L246" s="9"/>
      <c r="M246" s="8"/>
      <c r="N246" s="132"/>
      <c r="O246" s="8"/>
      <c r="P246" s="9"/>
      <c r="Q246" s="8"/>
      <c r="R246" s="9"/>
      <c r="S246" s="8"/>
      <c r="T246" s="8"/>
      <c r="U246" s="8"/>
      <c r="V246" s="132"/>
      <c r="W246" s="8"/>
      <c r="X246" s="8"/>
      <c r="Y246" s="9"/>
      <c r="Z246" s="8"/>
      <c r="AA246" s="8"/>
      <c r="AB246" s="8"/>
      <c r="AC246" s="132"/>
      <c r="AD246" s="8"/>
      <c r="AE246" s="9"/>
      <c r="AF246" s="8"/>
      <c r="AG246" s="9"/>
      <c r="AH246" s="8"/>
      <c r="AI246" s="8"/>
      <c r="AJ246" s="8"/>
      <c r="AK246" s="132"/>
      <c r="AL246" s="8"/>
      <c r="AM246" s="8"/>
      <c r="AN246" s="9"/>
      <c r="AO246" s="8"/>
      <c r="AP246" s="8"/>
      <c r="AQ246" s="8"/>
    </row>
    <row r="247" spans="1:43" outlineLevel="1" x14ac:dyDescent="0.15">
      <c r="A247" s="8"/>
      <c r="B247" s="8"/>
      <c r="C247" s="8"/>
      <c r="D247" s="8"/>
      <c r="E247" s="9"/>
      <c r="F247" s="8"/>
      <c r="G247" s="10"/>
      <c r="H247" s="132"/>
      <c r="I247" s="8"/>
      <c r="J247" s="9"/>
      <c r="K247" s="8"/>
      <c r="L247" s="9"/>
      <c r="M247" s="8"/>
      <c r="N247" s="132"/>
      <c r="O247" s="8"/>
      <c r="P247" s="9"/>
      <c r="Q247" s="8"/>
      <c r="R247" s="9"/>
      <c r="S247" s="8"/>
      <c r="T247" s="8"/>
      <c r="U247" s="8"/>
      <c r="V247" s="132"/>
      <c r="W247" s="8"/>
      <c r="X247" s="8"/>
      <c r="Y247" s="9"/>
      <c r="Z247" s="8"/>
      <c r="AA247" s="8"/>
      <c r="AB247" s="8"/>
      <c r="AC247" s="132"/>
      <c r="AD247" s="8"/>
      <c r="AE247" s="9"/>
      <c r="AF247" s="8"/>
      <c r="AG247" s="9"/>
      <c r="AH247" s="8"/>
      <c r="AI247" s="8"/>
      <c r="AJ247" s="8"/>
      <c r="AK247" s="132"/>
      <c r="AL247" s="8"/>
      <c r="AM247" s="8"/>
      <c r="AN247" s="9"/>
      <c r="AO247" s="8"/>
      <c r="AP247" s="8"/>
      <c r="AQ247" s="8"/>
    </row>
    <row r="248" spans="1:43" outlineLevel="1" x14ac:dyDescent="0.15">
      <c r="A248" s="8"/>
      <c r="B248" s="8"/>
      <c r="C248" s="8"/>
      <c r="D248" s="8"/>
      <c r="E248" s="9"/>
      <c r="F248" s="8"/>
      <c r="G248" s="10"/>
      <c r="H248" s="132"/>
      <c r="I248" s="8"/>
      <c r="J248" s="9"/>
      <c r="K248" s="8"/>
      <c r="L248" s="9"/>
      <c r="M248" s="8"/>
      <c r="N248" s="132"/>
      <c r="O248" s="8"/>
      <c r="P248" s="9"/>
      <c r="Q248" s="8"/>
      <c r="R248" s="9"/>
      <c r="S248" s="8"/>
      <c r="T248" s="8"/>
      <c r="U248" s="8"/>
      <c r="V248" s="132"/>
      <c r="W248" s="8"/>
      <c r="X248" s="8"/>
      <c r="Y248" s="9"/>
      <c r="Z248" s="8"/>
      <c r="AA248" s="8"/>
      <c r="AB248" s="8"/>
      <c r="AC248" s="132"/>
      <c r="AD248" s="8"/>
      <c r="AE248" s="9"/>
      <c r="AF248" s="8"/>
      <c r="AG248" s="9"/>
      <c r="AH248" s="8"/>
      <c r="AI248" s="8"/>
      <c r="AJ248" s="8"/>
      <c r="AK248" s="132"/>
      <c r="AL248" s="8"/>
      <c r="AM248" s="8"/>
      <c r="AN248" s="9"/>
      <c r="AO248" s="8"/>
      <c r="AP248" s="8"/>
      <c r="AQ248" s="8"/>
    </row>
    <row r="249" spans="1:43" outlineLevel="1" x14ac:dyDescent="0.15">
      <c r="A249" s="8"/>
      <c r="B249" s="8"/>
      <c r="C249" s="8"/>
      <c r="D249" s="8"/>
      <c r="E249" s="9"/>
      <c r="F249" s="8"/>
      <c r="G249" s="10"/>
      <c r="H249" s="132"/>
      <c r="I249" s="8"/>
      <c r="J249" s="9"/>
      <c r="K249" s="8"/>
      <c r="L249" s="9"/>
      <c r="M249" s="8"/>
      <c r="N249" s="132"/>
      <c r="O249" s="8"/>
      <c r="P249" s="9"/>
      <c r="Q249" s="8"/>
      <c r="R249" s="9"/>
      <c r="S249" s="8"/>
      <c r="T249" s="8"/>
      <c r="U249" s="8"/>
      <c r="V249" s="132"/>
      <c r="W249" s="8"/>
      <c r="X249" s="8"/>
      <c r="Y249" s="9"/>
      <c r="Z249" s="8"/>
      <c r="AA249" s="8"/>
      <c r="AB249" s="8"/>
      <c r="AC249" s="132"/>
      <c r="AD249" s="8"/>
      <c r="AE249" s="9"/>
      <c r="AF249" s="8"/>
      <c r="AG249" s="9"/>
      <c r="AH249" s="8"/>
      <c r="AI249" s="8"/>
      <c r="AJ249" s="8"/>
      <c r="AK249" s="132"/>
      <c r="AL249" s="8"/>
      <c r="AM249" s="8"/>
      <c r="AN249" s="9"/>
      <c r="AO249" s="8"/>
      <c r="AP249" s="8"/>
      <c r="AQ249" s="8"/>
    </row>
    <row r="250" spans="1:43" outlineLevel="1" x14ac:dyDescent="0.15">
      <c r="A250" s="8"/>
      <c r="B250" s="8"/>
      <c r="C250" s="8"/>
      <c r="D250" s="8"/>
      <c r="E250" s="9"/>
      <c r="F250" s="8"/>
      <c r="G250" s="10"/>
      <c r="H250" s="132"/>
      <c r="I250" s="8"/>
      <c r="J250" s="9"/>
      <c r="K250" s="8"/>
      <c r="L250" s="9"/>
      <c r="M250" s="8"/>
      <c r="N250" s="132"/>
      <c r="O250" s="8"/>
      <c r="P250" s="9"/>
      <c r="Q250" s="8"/>
      <c r="R250" s="9"/>
      <c r="S250" s="8"/>
      <c r="T250" s="8"/>
      <c r="U250" s="8"/>
      <c r="V250" s="132"/>
      <c r="W250" s="8"/>
      <c r="X250" s="8"/>
      <c r="Y250" s="9"/>
      <c r="Z250" s="8"/>
      <c r="AA250" s="8"/>
      <c r="AB250" s="8"/>
      <c r="AC250" s="132"/>
      <c r="AD250" s="8"/>
      <c r="AE250" s="9"/>
      <c r="AF250" s="8"/>
      <c r="AG250" s="9"/>
      <c r="AH250" s="8"/>
      <c r="AI250" s="8"/>
      <c r="AJ250" s="8"/>
      <c r="AK250" s="132"/>
      <c r="AL250" s="8"/>
      <c r="AM250" s="8"/>
      <c r="AN250" s="9"/>
      <c r="AO250" s="8"/>
      <c r="AP250" s="8"/>
      <c r="AQ250" s="8"/>
    </row>
    <row r="251" spans="1:43" outlineLevel="1" x14ac:dyDescent="0.15">
      <c r="A251" s="8"/>
      <c r="B251" s="8"/>
      <c r="C251" s="8"/>
      <c r="D251" s="8"/>
      <c r="E251" s="9"/>
      <c r="F251" s="8"/>
      <c r="G251" s="10"/>
      <c r="H251" s="132"/>
      <c r="I251" s="8"/>
      <c r="J251" s="9"/>
      <c r="K251" s="8"/>
      <c r="L251" s="9"/>
      <c r="M251" s="8"/>
      <c r="N251" s="132"/>
      <c r="O251" s="8"/>
      <c r="P251" s="9"/>
      <c r="Q251" s="8"/>
      <c r="R251" s="9"/>
      <c r="S251" s="8"/>
      <c r="T251" s="8"/>
      <c r="U251" s="8"/>
      <c r="V251" s="132"/>
      <c r="W251" s="8"/>
      <c r="X251" s="8"/>
      <c r="Y251" s="9"/>
      <c r="Z251" s="8"/>
      <c r="AA251" s="8"/>
      <c r="AB251" s="8"/>
      <c r="AC251" s="132"/>
      <c r="AD251" s="8"/>
      <c r="AE251" s="9"/>
      <c r="AF251" s="8"/>
      <c r="AG251" s="9"/>
      <c r="AH251" s="8"/>
      <c r="AI251" s="8"/>
      <c r="AJ251" s="8"/>
      <c r="AK251" s="132"/>
      <c r="AL251" s="8"/>
      <c r="AM251" s="8"/>
      <c r="AN251" s="9"/>
      <c r="AO251" s="8"/>
      <c r="AP251" s="8"/>
      <c r="AQ251" s="8"/>
    </row>
    <row r="252" spans="1:43" outlineLevel="1" x14ac:dyDescent="0.15">
      <c r="A252" s="8"/>
      <c r="B252" s="8"/>
      <c r="C252" s="8"/>
      <c r="D252" s="8"/>
      <c r="E252" s="9"/>
      <c r="F252" s="8"/>
      <c r="G252" s="10"/>
      <c r="H252" s="132"/>
      <c r="I252" s="8"/>
      <c r="J252" s="9"/>
      <c r="K252" s="8"/>
      <c r="L252" s="9"/>
      <c r="M252" s="8"/>
      <c r="N252" s="132"/>
      <c r="O252" s="8"/>
      <c r="P252" s="9"/>
      <c r="Q252" s="8"/>
      <c r="R252" s="9"/>
      <c r="S252" s="8"/>
      <c r="T252" s="8"/>
      <c r="U252" s="8"/>
      <c r="V252" s="132"/>
      <c r="W252" s="8"/>
      <c r="X252" s="8"/>
      <c r="Y252" s="9"/>
      <c r="Z252" s="8"/>
      <c r="AA252" s="8"/>
      <c r="AB252" s="8"/>
      <c r="AC252" s="132"/>
      <c r="AD252" s="8"/>
      <c r="AE252" s="9"/>
      <c r="AF252" s="8"/>
      <c r="AG252" s="9"/>
      <c r="AH252" s="8"/>
      <c r="AI252" s="8"/>
      <c r="AJ252" s="8"/>
      <c r="AK252" s="132"/>
      <c r="AL252" s="8"/>
      <c r="AM252" s="8"/>
      <c r="AN252" s="9"/>
      <c r="AO252" s="8"/>
      <c r="AP252" s="8"/>
      <c r="AQ252" s="8"/>
    </row>
    <row r="253" spans="1:43" outlineLevel="1" x14ac:dyDescent="0.15">
      <c r="A253" s="8"/>
      <c r="B253" s="8"/>
      <c r="C253" s="8"/>
      <c r="D253" s="8"/>
      <c r="E253" s="9"/>
      <c r="F253" s="8"/>
      <c r="G253" s="10"/>
      <c r="H253" s="132"/>
      <c r="I253" s="8"/>
      <c r="J253" s="9"/>
      <c r="K253" s="8"/>
      <c r="L253" s="9"/>
      <c r="M253" s="8"/>
      <c r="N253" s="132"/>
      <c r="O253" s="8"/>
      <c r="P253" s="9"/>
      <c r="Q253" s="8"/>
      <c r="R253" s="9"/>
      <c r="S253" s="8"/>
      <c r="T253" s="8"/>
      <c r="U253" s="8"/>
      <c r="V253" s="132"/>
      <c r="W253" s="8"/>
      <c r="X253" s="8"/>
      <c r="Y253" s="9"/>
      <c r="Z253" s="8"/>
      <c r="AA253" s="8"/>
      <c r="AB253" s="8"/>
      <c r="AC253" s="132"/>
      <c r="AD253" s="8"/>
      <c r="AE253" s="9"/>
      <c r="AF253" s="8"/>
      <c r="AG253" s="9"/>
      <c r="AH253" s="8"/>
      <c r="AI253" s="8"/>
      <c r="AJ253" s="8"/>
      <c r="AK253" s="132"/>
      <c r="AL253" s="8"/>
      <c r="AM253" s="8"/>
      <c r="AN253" s="9"/>
      <c r="AO253" s="8"/>
      <c r="AP253" s="8"/>
      <c r="AQ253" s="8"/>
    </row>
    <row r="254" spans="1:43" outlineLevel="1" x14ac:dyDescent="0.15">
      <c r="A254" s="8"/>
      <c r="B254" s="8"/>
      <c r="C254" s="8"/>
      <c r="D254" s="8"/>
      <c r="E254" s="9"/>
      <c r="F254" s="8"/>
      <c r="G254" s="10"/>
      <c r="H254" s="132"/>
      <c r="I254" s="8"/>
      <c r="J254" s="9"/>
      <c r="K254" s="8"/>
      <c r="L254" s="9"/>
      <c r="M254" s="8"/>
      <c r="N254" s="132"/>
      <c r="O254" s="8"/>
      <c r="P254" s="9"/>
      <c r="Q254" s="8"/>
      <c r="R254" s="9"/>
      <c r="S254" s="8"/>
      <c r="T254" s="8"/>
      <c r="U254" s="8"/>
      <c r="V254" s="132"/>
      <c r="W254" s="8"/>
      <c r="X254" s="8"/>
      <c r="Y254" s="9"/>
      <c r="Z254" s="8"/>
      <c r="AA254" s="8"/>
      <c r="AB254" s="8"/>
      <c r="AC254" s="132"/>
      <c r="AD254" s="8"/>
      <c r="AE254" s="9"/>
      <c r="AF254" s="8"/>
      <c r="AG254" s="9"/>
      <c r="AH254" s="8"/>
      <c r="AI254" s="8"/>
      <c r="AJ254" s="8"/>
      <c r="AK254" s="132"/>
      <c r="AL254" s="8"/>
      <c r="AM254" s="8"/>
      <c r="AN254" s="9"/>
      <c r="AO254" s="8"/>
      <c r="AP254" s="8"/>
      <c r="AQ254" s="8"/>
    </row>
    <row r="255" spans="1:43" outlineLevel="1" x14ac:dyDescent="0.15">
      <c r="A255" s="8"/>
      <c r="B255" s="8"/>
      <c r="C255" s="8"/>
      <c r="D255" s="8"/>
      <c r="E255" s="9"/>
      <c r="F255" s="8"/>
      <c r="G255" s="10"/>
      <c r="H255" s="132"/>
      <c r="I255" s="8"/>
      <c r="J255" s="9"/>
      <c r="K255" s="8"/>
      <c r="L255" s="9"/>
      <c r="M255" s="8"/>
      <c r="N255" s="132"/>
      <c r="O255" s="8"/>
      <c r="P255" s="9"/>
      <c r="Q255" s="8"/>
      <c r="R255" s="9"/>
      <c r="S255" s="8"/>
      <c r="T255" s="8"/>
      <c r="U255" s="8"/>
      <c r="V255" s="132"/>
      <c r="W255" s="8"/>
      <c r="X255" s="8"/>
      <c r="Y255" s="9"/>
      <c r="Z255" s="8"/>
      <c r="AA255" s="8"/>
      <c r="AB255" s="8"/>
      <c r="AC255" s="132"/>
      <c r="AD255" s="8"/>
      <c r="AE255" s="9"/>
      <c r="AF255" s="8"/>
      <c r="AG255" s="9"/>
      <c r="AH255" s="8"/>
      <c r="AI255" s="8"/>
      <c r="AJ255" s="8"/>
      <c r="AK255" s="132"/>
      <c r="AL255" s="8"/>
      <c r="AM255" s="8"/>
      <c r="AN255" s="9"/>
      <c r="AO255" s="8"/>
      <c r="AP255" s="8"/>
      <c r="AQ255" s="8"/>
    </row>
    <row r="256" spans="1:43" outlineLevel="1" x14ac:dyDescent="0.15">
      <c r="A256" s="8"/>
      <c r="B256" s="8"/>
      <c r="C256" s="8"/>
      <c r="D256" s="8"/>
      <c r="E256" s="9"/>
      <c r="F256" s="8"/>
      <c r="G256" s="10"/>
      <c r="H256" s="132"/>
      <c r="I256" s="8"/>
      <c r="J256" s="9"/>
      <c r="K256" s="8"/>
      <c r="L256" s="9"/>
      <c r="M256" s="8"/>
      <c r="N256" s="132"/>
      <c r="O256" s="8"/>
      <c r="P256" s="9"/>
      <c r="Q256" s="8"/>
      <c r="R256" s="9"/>
      <c r="S256" s="8"/>
      <c r="T256" s="8"/>
      <c r="U256" s="8"/>
      <c r="V256" s="132"/>
      <c r="W256" s="8"/>
      <c r="X256" s="8"/>
      <c r="Y256" s="9"/>
      <c r="Z256" s="8"/>
      <c r="AA256" s="8"/>
      <c r="AB256" s="8"/>
      <c r="AC256" s="132"/>
      <c r="AD256" s="8"/>
      <c r="AE256" s="9"/>
      <c r="AF256" s="8"/>
      <c r="AG256" s="9"/>
      <c r="AH256" s="8"/>
      <c r="AI256" s="8"/>
      <c r="AJ256" s="8"/>
      <c r="AK256" s="132"/>
      <c r="AL256" s="8"/>
      <c r="AM256" s="8"/>
      <c r="AN256" s="9"/>
      <c r="AO256" s="8"/>
      <c r="AP256" s="8"/>
      <c r="AQ256" s="8"/>
    </row>
    <row r="257" spans="1:43" outlineLevel="1" x14ac:dyDescent="0.15">
      <c r="A257" s="8"/>
      <c r="B257" s="8"/>
      <c r="C257" s="8"/>
      <c r="D257" s="8"/>
      <c r="E257" s="9"/>
      <c r="F257" s="8"/>
      <c r="G257" s="10"/>
      <c r="H257" s="132"/>
      <c r="I257" s="8"/>
      <c r="J257" s="9"/>
      <c r="K257" s="8"/>
      <c r="L257" s="9"/>
      <c r="M257" s="8"/>
      <c r="N257" s="132"/>
      <c r="O257" s="8"/>
      <c r="P257" s="9"/>
      <c r="Q257" s="8"/>
      <c r="R257" s="9"/>
      <c r="S257" s="8"/>
      <c r="T257" s="8"/>
      <c r="U257" s="8"/>
      <c r="V257" s="132"/>
      <c r="W257" s="8"/>
      <c r="X257" s="8"/>
      <c r="Y257" s="9"/>
      <c r="Z257" s="8"/>
      <c r="AA257" s="8"/>
      <c r="AB257" s="8"/>
      <c r="AC257" s="132"/>
      <c r="AD257" s="8"/>
      <c r="AE257" s="9"/>
      <c r="AF257" s="8"/>
      <c r="AG257" s="9"/>
      <c r="AH257" s="8"/>
      <c r="AI257" s="8"/>
      <c r="AJ257" s="8"/>
      <c r="AK257" s="132"/>
      <c r="AL257" s="8"/>
      <c r="AM257" s="8"/>
      <c r="AN257" s="9"/>
      <c r="AO257" s="8"/>
      <c r="AP257" s="8"/>
      <c r="AQ257" s="8"/>
    </row>
    <row r="258" spans="1:43" outlineLevel="1" x14ac:dyDescent="0.15">
      <c r="A258" s="8"/>
      <c r="B258" s="8"/>
      <c r="C258" s="8"/>
      <c r="D258" s="8"/>
      <c r="E258" s="9"/>
      <c r="F258" s="8"/>
      <c r="G258" s="10"/>
      <c r="H258" s="132"/>
      <c r="I258" s="8"/>
      <c r="J258" s="9"/>
      <c r="K258" s="8"/>
      <c r="L258" s="9"/>
      <c r="M258" s="8"/>
      <c r="N258" s="132"/>
      <c r="O258" s="8"/>
      <c r="P258" s="9"/>
      <c r="Q258" s="8"/>
      <c r="R258" s="9"/>
      <c r="S258" s="8"/>
      <c r="T258" s="8"/>
      <c r="U258" s="8"/>
      <c r="V258" s="132"/>
      <c r="W258" s="8"/>
      <c r="X258" s="8"/>
      <c r="Y258" s="9"/>
      <c r="Z258" s="8"/>
      <c r="AA258" s="8"/>
      <c r="AB258" s="8"/>
      <c r="AC258" s="132"/>
      <c r="AD258" s="8"/>
      <c r="AE258" s="9"/>
      <c r="AF258" s="8"/>
      <c r="AG258" s="9"/>
      <c r="AH258" s="8"/>
      <c r="AI258" s="8"/>
      <c r="AJ258" s="8"/>
      <c r="AK258" s="132"/>
      <c r="AL258" s="8"/>
      <c r="AM258" s="8"/>
      <c r="AN258" s="9"/>
      <c r="AO258" s="8"/>
      <c r="AP258" s="8"/>
      <c r="AQ258" s="8"/>
    </row>
    <row r="259" spans="1:43" outlineLevel="1" x14ac:dyDescent="0.15">
      <c r="A259" s="8"/>
      <c r="B259" s="8"/>
      <c r="C259" s="8"/>
      <c r="D259" s="8"/>
      <c r="E259" s="9"/>
      <c r="F259" s="8"/>
      <c r="G259" s="10"/>
      <c r="H259" s="132"/>
      <c r="I259" s="8"/>
      <c r="J259" s="9"/>
      <c r="K259" s="8"/>
      <c r="L259" s="9"/>
      <c r="M259" s="8"/>
      <c r="N259" s="132"/>
      <c r="O259" s="8"/>
      <c r="P259" s="9"/>
      <c r="Q259" s="8"/>
      <c r="R259" s="9"/>
      <c r="S259" s="8"/>
      <c r="T259" s="8"/>
      <c r="U259" s="8"/>
      <c r="V259" s="132"/>
      <c r="W259" s="8"/>
      <c r="X259" s="8"/>
      <c r="Y259" s="9"/>
      <c r="Z259" s="8"/>
      <c r="AA259" s="8"/>
      <c r="AB259" s="8"/>
      <c r="AC259" s="132"/>
      <c r="AD259" s="8"/>
      <c r="AE259" s="9"/>
      <c r="AF259" s="8"/>
      <c r="AG259" s="9"/>
      <c r="AH259" s="8"/>
      <c r="AI259" s="8"/>
      <c r="AJ259" s="8"/>
      <c r="AK259" s="132"/>
      <c r="AL259" s="8"/>
      <c r="AM259" s="8"/>
      <c r="AN259" s="9"/>
      <c r="AO259" s="8"/>
      <c r="AP259" s="8"/>
      <c r="AQ259" s="8"/>
    </row>
    <row r="260" spans="1:43" outlineLevel="1" x14ac:dyDescent="0.15">
      <c r="A260" s="8"/>
      <c r="B260" s="8"/>
      <c r="C260" s="8"/>
      <c r="D260" s="8"/>
      <c r="E260" s="9"/>
      <c r="F260" s="8"/>
      <c r="G260" s="10"/>
      <c r="H260" s="132"/>
      <c r="I260" s="8"/>
      <c r="J260" s="9"/>
      <c r="K260" s="8"/>
      <c r="L260" s="9"/>
      <c r="M260" s="8"/>
      <c r="N260" s="132"/>
      <c r="O260" s="8"/>
      <c r="P260" s="9"/>
      <c r="Q260" s="8"/>
      <c r="R260" s="9"/>
      <c r="S260" s="8"/>
      <c r="T260" s="8"/>
      <c r="U260" s="8"/>
      <c r="V260" s="132"/>
      <c r="W260" s="8"/>
      <c r="X260" s="8"/>
      <c r="Y260" s="9"/>
      <c r="Z260" s="8"/>
      <c r="AA260" s="8"/>
      <c r="AB260" s="8"/>
      <c r="AC260" s="132"/>
      <c r="AD260" s="8"/>
      <c r="AE260" s="9"/>
      <c r="AF260" s="8"/>
      <c r="AG260" s="9"/>
      <c r="AH260" s="8"/>
      <c r="AI260" s="8"/>
      <c r="AJ260" s="8"/>
      <c r="AK260" s="132"/>
      <c r="AL260" s="8"/>
      <c r="AM260" s="8"/>
      <c r="AN260" s="9"/>
      <c r="AO260" s="8"/>
      <c r="AP260" s="8"/>
      <c r="AQ260" s="8"/>
    </row>
    <row r="261" spans="1:43" outlineLevel="1" x14ac:dyDescent="0.15">
      <c r="A261" s="8"/>
      <c r="B261" s="8"/>
      <c r="C261" s="8"/>
      <c r="D261" s="8"/>
      <c r="E261" s="9"/>
      <c r="F261" s="8"/>
      <c r="G261" s="10"/>
      <c r="H261" s="132"/>
      <c r="I261" s="8"/>
      <c r="J261" s="9"/>
      <c r="K261" s="8"/>
      <c r="L261" s="9"/>
      <c r="M261" s="8"/>
      <c r="N261" s="132"/>
      <c r="O261" s="8"/>
      <c r="P261" s="9"/>
      <c r="Q261" s="8"/>
      <c r="R261" s="9"/>
      <c r="S261" s="8"/>
      <c r="T261" s="8"/>
      <c r="U261" s="8"/>
      <c r="V261" s="132"/>
      <c r="W261" s="8"/>
      <c r="X261" s="8"/>
      <c r="Y261" s="9"/>
      <c r="Z261" s="8"/>
      <c r="AA261" s="8"/>
      <c r="AB261" s="8"/>
      <c r="AC261" s="132"/>
      <c r="AD261" s="8"/>
      <c r="AE261" s="9"/>
      <c r="AF261" s="8"/>
      <c r="AG261" s="9"/>
      <c r="AH261" s="8"/>
      <c r="AI261" s="8"/>
      <c r="AJ261" s="8"/>
      <c r="AK261" s="132"/>
      <c r="AL261" s="8"/>
      <c r="AM261" s="8"/>
      <c r="AN261" s="9"/>
      <c r="AO261" s="8"/>
      <c r="AP261" s="8"/>
      <c r="AQ261" s="8"/>
    </row>
    <row r="262" spans="1:43" outlineLevel="1" x14ac:dyDescent="0.15">
      <c r="A262" s="8"/>
      <c r="B262" s="8"/>
      <c r="C262" s="8"/>
      <c r="D262" s="8"/>
      <c r="E262" s="9"/>
      <c r="F262" s="8"/>
      <c r="G262" s="10"/>
      <c r="H262" s="132"/>
      <c r="I262" s="8"/>
      <c r="J262" s="9"/>
      <c r="K262" s="8"/>
      <c r="L262" s="9"/>
      <c r="M262" s="8"/>
      <c r="N262" s="132"/>
      <c r="O262" s="8"/>
      <c r="P262" s="9"/>
      <c r="Q262" s="8"/>
      <c r="R262" s="9"/>
      <c r="S262" s="8"/>
      <c r="T262" s="8"/>
      <c r="U262" s="8"/>
      <c r="V262" s="132"/>
      <c r="W262" s="8"/>
      <c r="X262" s="8"/>
      <c r="Y262" s="9"/>
      <c r="Z262" s="8"/>
      <c r="AA262" s="8"/>
      <c r="AB262" s="8"/>
      <c r="AC262" s="132"/>
      <c r="AD262" s="8"/>
      <c r="AE262" s="9"/>
      <c r="AF262" s="8"/>
      <c r="AG262" s="9"/>
      <c r="AH262" s="8"/>
      <c r="AI262" s="8"/>
      <c r="AJ262" s="8"/>
      <c r="AK262" s="132"/>
      <c r="AL262" s="8"/>
      <c r="AM262" s="8"/>
      <c r="AN262" s="9"/>
      <c r="AO262" s="8"/>
      <c r="AP262" s="8"/>
      <c r="AQ262" s="8"/>
    </row>
    <row r="263" spans="1:43" outlineLevel="1" x14ac:dyDescent="0.15">
      <c r="A263" s="8"/>
      <c r="B263" s="8"/>
      <c r="C263" s="8"/>
      <c r="D263" s="8"/>
      <c r="E263" s="9"/>
      <c r="F263" s="8"/>
      <c r="G263" s="10"/>
      <c r="H263" s="132"/>
      <c r="I263" s="8"/>
      <c r="J263" s="9"/>
      <c r="K263" s="8"/>
      <c r="L263" s="9"/>
      <c r="M263" s="8"/>
      <c r="N263" s="132"/>
      <c r="O263" s="8"/>
      <c r="P263" s="9"/>
      <c r="Q263" s="8"/>
      <c r="R263" s="9"/>
      <c r="S263" s="8"/>
      <c r="T263" s="8"/>
      <c r="U263" s="8"/>
      <c r="V263" s="132"/>
      <c r="W263" s="8"/>
      <c r="X263" s="8"/>
      <c r="Y263" s="9"/>
      <c r="Z263" s="8"/>
      <c r="AA263" s="8"/>
      <c r="AB263" s="8"/>
      <c r="AC263" s="132"/>
      <c r="AD263" s="8"/>
      <c r="AE263" s="9"/>
      <c r="AF263" s="8"/>
      <c r="AG263" s="9"/>
      <c r="AH263" s="8"/>
      <c r="AI263" s="8"/>
      <c r="AJ263" s="8"/>
      <c r="AK263" s="132"/>
      <c r="AL263" s="8"/>
      <c r="AM263" s="8"/>
      <c r="AN263" s="9"/>
      <c r="AO263" s="8"/>
      <c r="AP263" s="8"/>
      <c r="AQ263" s="8"/>
    </row>
    <row r="264" spans="1:43" outlineLevel="1" x14ac:dyDescent="0.15">
      <c r="A264" s="8"/>
      <c r="B264" s="8"/>
      <c r="C264" s="8"/>
      <c r="D264" s="8"/>
      <c r="E264" s="9"/>
      <c r="F264" s="8"/>
      <c r="G264" s="10"/>
      <c r="H264" s="132"/>
      <c r="I264" s="8"/>
      <c r="J264" s="9"/>
      <c r="K264" s="8"/>
      <c r="L264" s="9"/>
      <c r="M264" s="8"/>
      <c r="N264" s="132"/>
      <c r="O264" s="8"/>
      <c r="P264" s="9"/>
      <c r="Q264" s="8"/>
      <c r="R264" s="9"/>
      <c r="S264" s="8"/>
      <c r="T264" s="8"/>
      <c r="U264" s="8"/>
      <c r="V264" s="132"/>
      <c r="W264" s="8"/>
      <c r="X264" s="8"/>
      <c r="Y264" s="9"/>
      <c r="Z264" s="8"/>
      <c r="AA264" s="8"/>
      <c r="AB264" s="8"/>
      <c r="AC264" s="132"/>
      <c r="AD264" s="8"/>
      <c r="AE264" s="9"/>
      <c r="AF264" s="8"/>
      <c r="AG264" s="9"/>
      <c r="AH264" s="8"/>
      <c r="AI264" s="8"/>
      <c r="AJ264" s="8"/>
      <c r="AK264" s="132"/>
      <c r="AL264" s="8"/>
      <c r="AM264" s="8"/>
      <c r="AN264" s="9"/>
      <c r="AO264" s="8"/>
      <c r="AP264" s="8"/>
      <c r="AQ264" s="8"/>
    </row>
    <row r="265" spans="1:43" outlineLevel="1" x14ac:dyDescent="0.15">
      <c r="A265" s="8"/>
      <c r="B265" s="8"/>
      <c r="C265" s="8"/>
      <c r="D265" s="8"/>
      <c r="E265" s="9"/>
      <c r="F265" s="8"/>
      <c r="G265" s="10"/>
      <c r="H265" s="132"/>
      <c r="I265" s="8"/>
      <c r="J265" s="9"/>
      <c r="K265" s="8"/>
      <c r="L265" s="9"/>
      <c r="M265" s="8"/>
      <c r="N265" s="132"/>
      <c r="O265" s="8"/>
      <c r="P265" s="9"/>
      <c r="Q265" s="8"/>
      <c r="R265" s="9"/>
      <c r="S265" s="8"/>
      <c r="T265" s="8"/>
      <c r="U265" s="8"/>
      <c r="V265" s="132"/>
      <c r="W265" s="8"/>
      <c r="X265" s="8"/>
      <c r="Y265" s="9"/>
      <c r="Z265" s="8"/>
      <c r="AA265" s="8"/>
      <c r="AB265" s="8"/>
      <c r="AC265" s="132"/>
      <c r="AD265" s="8"/>
      <c r="AE265" s="9"/>
      <c r="AF265" s="8"/>
      <c r="AG265" s="9"/>
      <c r="AH265" s="8"/>
      <c r="AI265" s="8"/>
      <c r="AJ265" s="8"/>
      <c r="AK265" s="132"/>
      <c r="AL265" s="8"/>
      <c r="AM265" s="8"/>
      <c r="AN265" s="9"/>
      <c r="AO265" s="8"/>
      <c r="AP265" s="8"/>
      <c r="AQ265" s="8"/>
    </row>
    <row r="266" spans="1:43" outlineLevel="1" x14ac:dyDescent="0.15">
      <c r="A266" s="8"/>
      <c r="B266" s="8"/>
      <c r="C266" s="8"/>
      <c r="D266" s="8"/>
      <c r="E266" s="9"/>
      <c r="F266" s="8"/>
      <c r="G266" s="10"/>
      <c r="H266" s="132"/>
      <c r="I266" s="8"/>
      <c r="J266" s="9"/>
      <c r="K266" s="8"/>
      <c r="L266" s="9"/>
      <c r="M266" s="8"/>
      <c r="N266" s="132"/>
      <c r="O266" s="8"/>
      <c r="P266" s="9"/>
      <c r="Q266" s="8"/>
      <c r="R266" s="9"/>
      <c r="S266" s="8"/>
      <c r="T266" s="8"/>
      <c r="U266" s="8"/>
      <c r="V266" s="132"/>
      <c r="W266" s="8"/>
      <c r="X266" s="8"/>
      <c r="Y266" s="9"/>
      <c r="Z266" s="8"/>
      <c r="AA266" s="8"/>
      <c r="AB266" s="8"/>
      <c r="AC266" s="132"/>
      <c r="AD266" s="8"/>
      <c r="AE266" s="9"/>
      <c r="AF266" s="8"/>
      <c r="AG266" s="9"/>
      <c r="AH266" s="8"/>
      <c r="AI266" s="8"/>
      <c r="AJ266" s="8"/>
      <c r="AK266" s="132"/>
      <c r="AL266" s="8"/>
      <c r="AM266" s="8"/>
      <c r="AN266" s="9"/>
      <c r="AO266" s="8"/>
      <c r="AP266" s="8"/>
      <c r="AQ266" s="8"/>
    </row>
    <row r="267" spans="1:43" outlineLevel="1" x14ac:dyDescent="0.15">
      <c r="A267" s="8"/>
      <c r="B267" s="8"/>
      <c r="C267" s="8"/>
      <c r="D267" s="8"/>
      <c r="E267" s="9"/>
      <c r="F267" s="8"/>
      <c r="G267" s="10"/>
      <c r="H267" s="132"/>
      <c r="I267" s="8"/>
      <c r="J267" s="9"/>
      <c r="K267" s="8"/>
      <c r="L267" s="9"/>
      <c r="M267" s="8"/>
      <c r="N267" s="132"/>
      <c r="O267" s="8"/>
      <c r="P267" s="9"/>
      <c r="Q267" s="8"/>
      <c r="R267" s="9"/>
      <c r="S267" s="8"/>
      <c r="T267" s="8"/>
      <c r="U267" s="8"/>
      <c r="V267" s="132"/>
      <c r="W267" s="8"/>
      <c r="X267" s="8"/>
      <c r="Y267" s="9"/>
      <c r="Z267" s="8"/>
      <c r="AA267" s="8"/>
      <c r="AB267" s="8"/>
      <c r="AC267" s="132"/>
      <c r="AD267" s="8"/>
      <c r="AE267" s="9"/>
      <c r="AF267" s="8"/>
      <c r="AG267" s="9"/>
      <c r="AH267" s="8"/>
      <c r="AI267" s="8"/>
      <c r="AJ267" s="8"/>
      <c r="AK267" s="132"/>
      <c r="AL267" s="8"/>
      <c r="AM267" s="8"/>
      <c r="AN267" s="9"/>
      <c r="AO267" s="8"/>
      <c r="AP267" s="8"/>
      <c r="AQ267" s="8"/>
    </row>
    <row r="268" spans="1:43" outlineLevel="1" x14ac:dyDescent="0.15">
      <c r="A268" s="8"/>
      <c r="B268" s="8"/>
      <c r="C268" s="8"/>
      <c r="D268" s="8"/>
      <c r="E268" s="9"/>
      <c r="F268" s="8"/>
      <c r="G268" s="10"/>
      <c r="H268" s="132"/>
      <c r="I268" s="8"/>
      <c r="J268" s="9"/>
      <c r="K268" s="8"/>
      <c r="L268" s="9"/>
      <c r="M268" s="8"/>
      <c r="N268" s="132"/>
      <c r="O268" s="8"/>
      <c r="P268" s="9"/>
      <c r="Q268" s="8"/>
      <c r="R268" s="9"/>
      <c r="S268" s="8"/>
      <c r="T268" s="8"/>
      <c r="U268" s="8"/>
      <c r="V268" s="132"/>
      <c r="W268" s="8"/>
      <c r="X268" s="8"/>
      <c r="Y268" s="9"/>
      <c r="Z268" s="8"/>
      <c r="AA268" s="8"/>
      <c r="AB268" s="8"/>
      <c r="AC268" s="132"/>
      <c r="AD268" s="8"/>
      <c r="AE268" s="9"/>
      <c r="AF268" s="8"/>
      <c r="AG268" s="9"/>
      <c r="AH268" s="8"/>
      <c r="AI268" s="8"/>
      <c r="AJ268" s="8"/>
      <c r="AK268" s="132"/>
      <c r="AL268" s="8"/>
      <c r="AM268" s="8"/>
      <c r="AN268" s="9"/>
      <c r="AO268" s="8"/>
      <c r="AP268" s="8"/>
      <c r="AQ268" s="8"/>
    </row>
    <row r="269" spans="1:43" outlineLevel="1" x14ac:dyDescent="0.15">
      <c r="A269" s="8"/>
      <c r="B269" s="8"/>
      <c r="C269" s="8"/>
      <c r="D269" s="8"/>
      <c r="E269" s="9"/>
      <c r="F269" s="8"/>
      <c r="G269" s="10"/>
      <c r="H269" s="132"/>
      <c r="I269" s="8"/>
      <c r="J269" s="9"/>
      <c r="K269" s="8"/>
      <c r="L269" s="9"/>
      <c r="M269" s="8"/>
      <c r="N269" s="132"/>
      <c r="O269" s="8"/>
      <c r="P269" s="9"/>
      <c r="Q269" s="8"/>
      <c r="R269" s="9"/>
      <c r="S269" s="8"/>
      <c r="T269" s="8"/>
      <c r="U269" s="8"/>
      <c r="V269" s="132"/>
      <c r="W269" s="8"/>
      <c r="X269" s="8"/>
      <c r="Y269" s="9"/>
      <c r="Z269" s="8"/>
      <c r="AA269" s="8"/>
      <c r="AB269" s="8"/>
      <c r="AC269" s="132"/>
      <c r="AD269" s="8"/>
      <c r="AE269" s="9"/>
      <c r="AF269" s="8"/>
      <c r="AG269" s="9"/>
      <c r="AH269" s="8"/>
      <c r="AI269" s="8"/>
      <c r="AJ269" s="8"/>
      <c r="AK269" s="132"/>
      <c r="AL269" s="8"/>
      <c r="AM269" s="8"/>
      <c r="AN269" s="9"/>
      <c r="AO269" s="8"/>
      <c r="AP269" s="8"/>
      <c r="AQ269" s="8"/>
    </row>
    <row r="270" spans="1:43" outlineLevel="1" x14ac:dyDescent="0.15">
      <c r="A270" s="8"/>
      <c r="B270" s="8"/>
      <c r="C270" s="8"/>
      <c r="D270" s="8"/>
      <c r="E270" s="9"/>
      <c r="F270" s="8"/>
      <c r="G270" s="10"/>
      <c r="H270" s="132"/>
      <c r="I270" s="8"/>
      <c r="J270" s="9"/>
      <c r="K270" s="8"/>
      <c r="L270" s="9"/>
      <c r="M270" s="8"/>
      <c r="N270" s="132"/>
      <c r="O270" s="8"/>
      <c r="P270" s="9"/>
      <c r="Q270" s="8"/>
      <c r="R270" s="9"/>
      <c r="S270" s="8"/>
      <c r="T270" s="8"/>
      <c r="U270" s="8"/>
      <c r="V270" s="132"/>
      <c r="W270" s="8"/>
      <c r="X270" s="8"/>
      <c r="Y270" s="9"/>
      <c r="Z270" s="8"/>
      <c r="AA270" s="8"/>
      <c r="AB270" s="8"/>
      <c r="AC270" s="132"/>
      <c r="AD270" s="8"/>
      <c r="AE270" s="9"/>
      <c r="AF270" s="8"/>
      <c r="AG270" s="9"/>
      <c r="AH270" s="8"/>
      <c r="AI270" s="8"/>
      <c r="AJ270" s="8"/>
      <c r="AK270" s="132"/>
      <c r="AL270" s="8"/>
      <c r="AM270" s="8"/>
      <c r="AN270" s="9"/>
      <c r="AO270" s="8"/>
      <c r="AP270" s="8"/>
      <c r="AQ270" s="8"/>
    </row>
    <row r="271" spans="1:43" outlineLevel="1" x14ac:dyDescent="0.15">
      <c r="A271" s="8"/>
      <c r="B271" s="8"/>
      <c r="C271" s="8"/>
      <c r="D271" s="8"/>
      <c r="E271" s="9"/>
      <c r="F271" s="8"/>
      <c r="G271" s="10"/>
      <c r="H271" s="132"/>
      <c r="I271" s="8"/>
      <c r="J271" s="9"/>
      <c r="K271" s="8"/>
      <c r="L271" s="9"/>
      <c r="M271" s="8"/>
      <c r="N271" s="132"/>
      <c r="O271" s="8"/>
      <c r="P271" s="9"/>
      <c r="Q271" s="8"/>
      <c r="R271" s="9"/>
      <c r="S271" s="8"/>
      <c r="T271" s="8"/>
      <c r="U271" s="8"/>
      <c r="V271" s="132"/>
      <c r="W271" s="8"/>
      <c r="X271" s="8"/>
      <c r="Y271" s="9"/>
      <c r="Z271" s="8"/>
      <c r="AA271" s="8"/>
      <c r="AB271" s="8"/>
      <c r="AC271" s="132"/>
      <c r="AD271" s="8"/>
      <c r="AE271" s="9"/>
      <c r="AF271" s="8"/>
      <c r="AG271" s="9"/>
      <c r="AH271" s="8"/>
      <c r="AI271" s="8"/>
      <c r="AJ271" s="8"/>
      <c r="AK271" s="132"/>
      <c r="AL271" s="8"/>
      <c r="AM271" s="8"/>
      <c r="AN271" s="9"/>
      <c r="AO271" s="8"/>
      <c r="AP271" s="8"/>
      <c r="AQ271" s="8"/>
    </row>
    <row r="272" spans="1:43" outlineLevel="1" x14ac:dyDescent="0.15">
      <c r="A272" s="8"/>
      <c r="B272" s="8"/>
      <c r="C272" s="8"/>
      <c r="D272" s="8"/>
      <c r="E272" s="9"/>
      <c r="F272" s="8"/>
      <c r="G272" s="10"/>
      <c r="H272" s="132"/>
      <c r="I272" s="8"/>
      <c r="J272" s="9"/>
      <c r="K272" s="8"/>
      <c r="L272" s="9"/>
      <c r="M272" s="8"/>
      <c r="N272" s="132"/>
      <c r="O272" s="8"/>
      <c r="P272" s="9"/>
      <c r="Q272" s="8"/>
      <c r="R272" s="9"/>
      <c r="S272" s="8"/>
      <c r="T272" s="8"/>
      <c r="U272" s="8"/>
      <c r="V272" s="132"/>
      <c r="W272" s="8"/>
      <c r="X272" s="8"/>
      <c r="Y272" s="9"/>
      <c r="Z272" s="8"/>
      <c r="AA272" s="8"/>
      <c r="AB272" s="8"/>
      <c r="AC272" s="132"/>
      <c r="AD272" s="8"/>
      <c r="AE272" s="9"/>
      <c r="AF272" s="8"/>
      <c r="AG272" s="9"/>
      <c r="AH272" s="8"/>
      <c r="AI272" s="8"/>
      <c r="AJ272" s="8"/>
      <c r="AK272" s="132"/>
      <c r="AL272" s="8"/>
      <c r="AM272" s="8"/>
      <c r="AN272" s="9"/>
      <c r="AO272" s="8"/>
      <c r="AP272" s="8"/>
      <c r="AQ272" s="8"/>
    </row>
    <row r="273" spans="1:43" outlineLevel="1" x14ac:dyDescent="0.15">
      <c r="A273" s="8"/>
      <c r="B273" s="8"/>
      <c r="C273" s="8"/>
      <c r="D273" s="8"/>
      <c r="E273" s="9"/>
      <c r="F273" s="8"/>
      <c r="G273" s="10"/>
      <c r="H273" s="132"/>
      <c r="I273" s="8"/>
      <c r="J273" s="9"/>
      <c r="K273" s="8"/>
      <c r="L273" s="9"/>
      <c r="M273" s="8"/>
      <c r="N273" s="132"/>
      <c r="O273" s="8"/>
      <c r="P273" s="9"/>
      <c r="Q273" s="8"/>
      <c r="R273" s="9"/>
      <c r="S273" s="8"/>
      <c r="T273" s="8"/>
      <c r="U273" s="8"/>
      <c r="V273" s="132"/>
      <c r="W273" s="8"/>
      <c r="X273" s="8"/>
      <c r="Y273" s="9"/>
      <c r="Z273" s="8"/>
      <c r="AA273" s="8"/>
      <c r="AB273" s="8"/>
      <c r="AC273" s="132"/>
      <c r="AD273" s="8"/>
      <c r="AE273" s="9"/>
      <c r="AF273" s="8"/>
      <c r="AG273" s="9"/>
      <c r="AH273" s="8"/>
      <c r="AI273" s="8"/>
      <c r="AJ273" s="8"/>
      <c r="AK273" s="132"/>
      <c r="AL273" s="8"/>
      <c r="AM273" s="8"/>
      <c r="AN273" s="9"/>
      <c r="AO273" s="8"/>
      <c r="AP273" s="8"/>
      <c r="AQ273" s="8"/>
    </row>
    <row r="274" spans="1:43" outlineLevel="1" x14ac:dyDescent="0.15">
      <c r="A274" s="8"/>
      <c r="B274" s="8"/>
      <c r="C274" s="8"/>
      <c r="D274" s="8"/>
      <c r="E274" s="9"/>
      <c r="F274" s="8"/>
      <c r="G274" s="10"/>
      <c r="H274" s="132"/>
      <c r="I274" s="8"/>
      <c r="J274" s="9"/>
      <c r="K274" s="8"/>
      <c r="L274" s="9"/>
      <c r="M274" s="8"/>
      <c r="N274" s="132"/>
      <c r="O274" s="8"/>
      <c r="P274" s="9"/>
      <c r="Q274" s="8"/>
      <c r="R274" s="9"/>
      <c r="S274" s="8"/>
      <c r="T274" s="8"/>
      <c r="U274" s="8"/>
      <c r="V274" s="132"/>
      <c r="W274" s="8"/>
      <c r="X274" s="8"/>
      <c r="Y274" s="9"/>
      <c r="Z274" s="8"/>
      <c r="AA274" s="8"/>
      <c r="AB274" s="8"/>
      <c r="AC274" s="132"/>
      <c r="AD274" s="8"/>
      <c r="AE274" s="9"/>
      <c r="AF274" s="8"/>
      <c r="AG274" s="9"/>
      <c r="AH274" s="8"/>
      <c r="AI274" s="8"/>
      <c r="AJ274" s="8"/>
      <c r="AK274" s="132"/>
      <c r="AL274" s="8"/>
      <c r="AM274" s="8"/>
      <c r="AN274" s="9"/>
      <c r="AO274" s="8"/>
      <c r="AP274" s="8"/>
      <c r="AQ274" s="8"/>
    </row>
    <row r="275" spans="1:43" outlineLevel="1" x14ac:dyDescent="0.15">
      <c r="A275" s="8"/>
      <c r="B275" s="8"/>
      <c r="C275" s="8"/>
      <c r="D275" s="8"/>
      <c r="E275" s="9"/>
      <c r="F275" s="8"/>
      <c r="G275" s="10"/>
      <c r="H275" s="132"/>
      <c r="I275" s="8"/>
      <c r="J275" s="9"/>
      <c r="K275" s="8"/>
      <c r="L275" s="9"/>
      <c r="M275" s="8"/>
      <c r="N275" s="132"/>
      <c r="O275" s="8"/>
      <c r="P275" s="9"/>
      <c r="Q275" s="8"/>
      <c r="R275" s="9"/>
      <c r="S275" s="8"/>
      <c r="T275" s="8"/>
      <c r="U275" s="8"/>
      <c r="V275" s="132"/>
      <c r="W275" s="8"/>
      <c r="X275" s="8"/>
      <c r="Y275" s="9"/>
      <c r="Z275" s="8"/>
      <c r="AA275" s="8"/>
      <c r="AB275" s="8"/>
      <c r="AC275" s="132"/>
      <c r="AD275" s="8"/>
      <c r="AE275" s="9"/>
      <c r="AF275" s="8"/>
      <c r="AG275" s="9"/>
      <c r="AH275" s="8"/>
      <c r="AI275" s="8"/>
      <c r="AJ275" s="8"/>
      <c r="AK275" s="132"/>
      <c r="AL275" s="8"/>
      <c r="AM275" s="8"/>
      <c r="AN275" s="9"/>
      <c r="AO275" s="8"/>
      <c r="AP275" s="8"/>
      <c r="AQ275" s="8"/>
    </row>
    <row r="276" spans="1:43" outlineLevel="1" x14ac:dyDescent="0.15">
      <c r="A276" s="8"/>
      <c r="B276" s="8"/>
      <c r="C276" s="8"/>
      <c r="D276" s="8"/>
      <c r="E276" s="9"/>
      <c r="F276" s="8"/>
      <c r="G276" s="10"/>
      <c r="H276" s="132"/>
      <c r="I276" s="8"/>
      <c r="J276" s="9"/>
      <c r="K276" s="8"/>
      <c r="L276" s="9"/>
      <c r="M276" s="8"/>
      <c r="N276" s="132"/>
      <c r="O276" s="8"/>
      <c r="P276" s="9"/>
      <c r="Q276" s="8"/>
      <c r="R276" s="9"/>
      <c r="S276" s="8"/>
      <c r="T276" s="8"/>
      <c r="U276" s="8"/>
      <c r="V276" s="132"/>
      <c r="W276" s="8"/>
      <c r="X276" s="8"/>
      <c r="Y276" s="9"/>
      <c r="Z276" s="8"/>
      <c r="AA276" s="8"/>
      <c r="AB276" s="8"/>
      <c r="AC276" s="132"/>
      <c r="AD276" s="8"/>
      <c r="AE276" s="9"/>
      <c r="AF276" s="8"/>
      <c r="AG276" s="9"/>
      <c r="AH276" s="8"/>
      <c r="AI276" s="8"/>
      <c r="AJ276" s="8"/>
      <c r="AK276" s="132"/>
      <c r="AL276" s="8"/>
      <c r="AM276" s="8"/>
      <c r="AN276" s="9"/>
      <c r="AO276" s="8"/>
      <c r="AP276" s="8"/>
      <c r="AQ276" s="8"/>
    </row>
    <row r="277" spans="1:43" outlineLevel="1" x14ac:dyDescent="0.15">
      <c r="A277" s="8"/>
      <c r="B277" s="8"/>
      <c r="C277" s="8"/>
      <c r="D277" s="8"/>
      <c r="E277" s="9"/>
      <c r="F277" s="8"/>
      <c r="G277" s="10"/>
      <c r="H277" s="132"/>
      <c r="I277" s="8"/>
      <c r="J277" s="9"/>
      <c r="K277" s="8"/>
      <c r="L277" s="9"/>
      <c r="M277" s="8"/>
      <c r="N277" s="132"/>
      <c r="O277" s="8"/>
      <c r="P277" s="9"/>
      <c r="Q277" s="8"/>
      <c r="R277" s="9"/>
      <c r="S277" s="8"/>
      <c r="T277" s="8"/>
      <c r="U277" s="8"/>
      <c r="V277" s="132"/>
      <c r="W277" s="8"/>
      <c r="X277" s="8"/>
      <c r="Y277" s="9"/>
      <c r="Z277" s="8"/>
      <c r="AA277" s="8"/>
      <c r="AB277" s="8"/>
      <c r="AC277" s="132"/>
      <c r="AD277" s="8"/>
      <c r="AE277" s="9"/>
      <c r="AF277" s="8"/>
      <c r="AG277" s="9"/>
      <c r="AH277" s="8"/>
      <c r="AI277" s="8"/>
      <c r="AJ277" s="8"/>
      <c r="AK277" s="132"/>
      <c r="AL277" s="8"/>
      <c r="AM277" s="8"/>
      <c r="AN277" s="9"/>
      <c r="AO277" s="8"/>
      <c r="AP277" s="8"/>
      <c r="AQ277" s="8"/>
    </row>
    <row r="278" spans="1:43" outlineLevel="1" x14ac:dyDescent="0.15">
      <c r="A278" s="8"/>
      <c r="B278" s="8"/>
      <c r="C278" s="8"/>
      <c r="D278" s="8"/>
      <c r="E278" s="9"/>
      <c r="F278" s="8"/>
      <c r="G278" s="10"/>
      <c r="H278" s="132"/>
      <c r="I278" s="8"/>
      <c r="J278" s="9"/>
      <c r="K278" s="8"/>
      <c r="L278" s="9"/>
      <c r="M278" s="8"/>
      <c r="N278" s="132"/>
      <c r="O278" s="8"/>
      <c r="P278" s="9"/>
      <c r="Q278" s="8"/>
      <c r="R278" s="9"/>
      <c r="S278" s="8"/>
      <c r="T278" s="8"/>
      <c r="U278" s="8"/>
      <c r="V278" s="132"/>
      <c r="W278" s="8"/>
      <c r="X278" s="8"/>
      <c r="Y278" s="9"/>
      <c r="Z278" s="8"/>
      <c r="AA278" s="8"/>
      <c r="AB278" s="8"/>
      <c r="AC278" s="132"/>
      <c r="AD278" s="8"/>
      <c r="AE278" s="9"/>
      <c r="AF278" s="8"/>
      <c r="AG278" s="9"/>
      <c r="AH278" s="8"/>
      <c r="AI278" s="8"/>
      <c r="AJ278" s="8"/>
      <c r="AK278" s="132"/>
      <c r="AL278" s="8"/>
      <c r="AM278" s="8"/>
      <c r="AN278" s="9"/>
      <c r="AO278" s="8"/>
      <c r="AP278" s="8"/>
      <c r="AQ278" s="8"/>
    </row>
    <row r="279" spans="1:43" outlineLevel="1" x14ac:dyDescent="0.15">
      <c r="A279" s="8"/>
      <c r="B279" s="8"/>
      <c r="C279" s="8"/>
      <c r="D279" s="8"/>
      <c r="E279" s="9"/>
      <c r="F279" s="8"/>
      <c r="G279" s="10"/>
      <c r="H279" s="132"/>
      <c r="I279" s="8"/>
      <c r="J279" s="9"/>
      <c r="K279" s="8"/>
      <c r="L279" s="9"/>
      <c r="M279" s="8"/>
      <c r="N279" s="132"/>
      <c r="O279" s="8"/>
      <c r="P279" s="9"/>
      <c r="Q279" s="8"/>
      <c r="R279" s="9"/>
      <c r="S279" s="8"/>
      <c r="T279" s="8"/>
      <c r="U279" s="8"/>
      <c r="V279" s="132"/>
      <c r="W279" s="8"/>
      <c r="X279" s="8"/>
      <c r="Y279" s="9"/>
      <c r="Z279" s="8"/>
      <c r="AA279" s="8"/>
      <c r="AB279" s="8"/>
      <c r="AC279" s="132"/>
      <c r="AD279" s="8"/>
      <c r="AE279" s="9"/>
      <c r="AF279" s="8"/>
      <c r="AG279" s="9"/>
      <c r="AH279" s="8"/>
      <c r="AI279" s="8"/>
      <c r="AJ279" s="8"/>
      <c r="AK279" s="132"/>
      <c r="AL279" s="8"/>
      <c r="AM279" s="8"/>
      <c r="AN279" s="9"/>
      <c r="AO279" s="8"/>
      <c r="AP279" s="8"/>
      <c r="AQ279" s="8"/>
    </row>
    <row r="280" spans="1:43" outlineLevel="1" x14ac:dyDescent="0.15">
      <c r="A280" s="8"/>
      <c r="B280" s="8"/>
      <c r="C280" s="8"/>
      <c r="D280" s="8"/>
      <c r="E280" s="9"/>
      <c r="F280" s="8"/>
      <c r="G280" s="10"/>
      <c r="H280" s="132"/>
      <c r="I280" s="8"/>
      <c r="J280" s="9"/>
      <c r="K280" s="8"/>
      <c r="L280" s="9"/>
      <c r="M280" s="8"/>
      <c r="N280" s="132"/>
      <c r="O280" s="8"/>
      <c r="P280" s="9"/>
      <c r="Q280" s="8"/>
      <c r="R280" s="9"/>
      <c r="S280" s="8"/>
      <c r="T280" s="8"/>
      <c r="U280" s="8"/>
      <c r="V280" s="132"/>
      <c r="W280" s="8"/>
      <c r="X280" s="8"/>
      <c r="Y280" s="9"/>
      <c r="Z280" s="8"/>
      <c r="AA280" s="8"/>
      <c r="AB280" s="8"/>
      <c r="AC280" s="132"/>
      <c r="AD280" s="8"/>
      <c r="AE280" s="9"/>
      <c r="AF280" s="8"/>
      <c r="AG280" s="9"/>
      <c r="AH280" s="8"/>
      <c r="AI280" s="8"/>
      <c r="AJ280" s="8"/>
      <c r="AK280" s="132"/>
      <c r="AL280" s="8"/>
      <c r="AM280" s="8"/>
      <c r="AN280" s="9"/>
      <c r="AO280" s="8"/>
      <c r="AP280" s="8"/>
      <c r="AQ280" s="8"/>
    </row>
    <row r="281" spans="1:43" outlineLevel="1" x14ac:dyDescent="0.15">
      <c r="A281" s="8"/>
      <c r="B281" s="8"/>
      <c r="C281" s="8"/>
      <c r="D281" s="8"/>
      <c r="E281" s="9"/>
      <c r="F281" s="8"/>
      <c r="G281" s="10"/>
      <c r="H281" s="132"/>
      <c r="I281" s="8"/>
      <c r="J281" s="9"/>
      <c r="K281" s="8"/>
      <c r="L281" s="9"/>
      <c r="M281" s="8"/>
      <c r="N281" s="132"/>
      <c r="O281" s="8"/>
      <c r="P281" s="9"/>
      <c r="Q281" s="8"/>
      <c r="R281" s="9"/>
      <c r="S281" s="8"/>
      <c r="T281" s="8"/>
      <c r="U281" s="8"/>
      <c r="V281" s="132"/>
      <c r="W281" s="8"/>
      <c r="X281" s="8"/>
      <c r="Y281" s="9"/>
      <c r="Z281" s="8"/>
      <c r="AA281" s="8"/>
      <c r="AB281" s="8"/>
      <c r="AC281" s="132"/>
      <c r="AD281" s="8"/>
      <c r="AE281" s="9"/>
      <c r="AF281" s="8"/>
      <c r="AG281" s="9"/>
      <c r="AH281" s="8"/>
      <c r="AI281" s="8"/>
      <c r="AJ281" s="8"/>
      <c r="AK281" s="132"/>
      <c r="AL281" s="8"/>
      <c r="AM281" s="8"/>
      <c r="AN281" s="9"/>
      <c r="AO281" s="8"/>
      <c r="AP281" s="8"/>
      <c r="AQ281" s="8"/>
    </row>
    <row r="282" spans="1:43" outlineLevel="1" x14ac:dyDescent="0.15">
      <c r="A282" s="8"/>
      <c r="B282" s="8"/>
      <c r="C282" s="8"/>
      <c r="D282" s="8"/>
      <c r="E282" s="9"/>
      <c r="F282" s="8"/>
      <c r="G282" s="10"/>
      <c r="H282" s="132"/>
      <c r="I282" s="8"/>
      <c r="J282" s="9"/>
      <c r="K282" s="8"/>
      <c r="L282" s="9"/>
      <c r="M282" s="8"/>
      <c r="N282" s="132"/>
      <c r="O282" s="8"/>
      <c r="P282" s="9"/>
      <c r="Q282" s="8"/>
      <c r="R282" s="9"/>
      <c r="S282" s="8"/>
      <c r="T282" s="8"/>
      <c r="U282" s="8"/>
      <c r="V282" s="132"/>
      <c r="W282" s="8"/>
      <c r="X282" s="8"/>
      <c r="Y282" s="9"/>
      <c r="Z282" s="8"/>
      <c r="AA282" s="8"/>
      <c r="AB282" s="8"/>
      <c r="AC282" s="132"/>
      <c r="AD282" s="8"/>
      <c r="AE282" s="9"/>
      <c r="AF282" s="8"/>
      <c r="AG282" s="9"/>
      <c r="AH282" s="8"/>
      <c r="AI282" s="8"/>
      <c r="AJ282" s="8"/>
      <c r="AK282" s="132"/>
      <c r="AL282" s="8"/>
      <c r="AM282" s="8"/>
      <c r="AN282" s="9"/>
      <c r="AO282" s="8"/>
      <c r="AP282" s="8"/>
      <c r="AQ282" s="8"/>
    </row>
    <row r="283" spans="1:43" outlineLevel="1" x14ac:dyDescent="0.15">
      <c r="A283" s="8"/>
      <c r="B283" s="8"/>
      <c r="C283" s="8"/>
      <c r="D283" s="8"/>
      <c r="E283" s="9"/>
      <c r="F283" s="8"/>
      <c r="G283" s="10"/>
      <c r="H283" s="132"/>
      <c r="I283" s="8"/>
      <c r="J283" s="9"/>
      <c r="K283" s="8"/>
      <c r="L283" s="9"/>
      <c r="M283" s="8"/>
      <c r="N283" s="132"/>
      <c r="O283" s="8"/>
      <c r="P283" s="9"/>
      <c r="Q283" s="8"/>
      <c r="R283" s="9"/>
      <c r="S283" s="8"/>
      <c r="T283" s="8"/>
      <c r="U283" s="8"/>
      <c r="V283" s="132"/>
      <c r="W283" s="8"/>
      <c r="X283" s="8"/>
      <c r="Y283" s="9"/>
      <c r="Z283" s="8"/>
      <c r="AA283" s="8"/>
      <c r="AB283" s="8"/>
      <c r="AC283" s="132"/>
      <c r="AD283" s="8"/>
      <c r="AE283" s="9"/>
      <c r="AF283" s="8"/>
      <c r="AG283" s="9"/>
      <c r="AH283" s="8"/>
      <c r="AI283" s="8"/>
      <c r="AJ283" s="8"/>
      <c r="AK283" s="132"/>
      <c r="AL283" s="8"/>
      <c r="AM283" s="8"/>
      <c r="AN283" s="9"/>
      <c r="AO283" s="8"/>
      <c r="AP283" s="8"/>
      <c r="AQ283" s="8"/>
    </row>
    <row r="284" spans="1:43" outlineLevel="1" x14ac:dyDescent="0.15">
      <c r="A284" s="8"/>
      <c r="B284" s="8"/>
      <c r="C284" s="8"/>
      <c r="D284" s="8"/>
      <c r="E284" s="9"/>
      <c r="F284" s="8"/>
      <c r="G284" s="10"/>
      <c r="H284" s="132"/>
      <c r="I284" s="8"/>
      <c r="J284" s="9"/>
      <c r="K284" s="8"/>
      <c r="L284" s="9"/>
      <c r="M284" s="8"/>
      <c r="N284" s="132"/>
      <c r="O284" s="8"/>
      <c r="P284" s="9"/>
      <c r="Q284" s="8"/>
      <c r="R284" s="9"/>
      <c r="S284" s="8"/>
      <c r="T284" s="8"/>
      <c r="U284" s="8"/>
      <c r="V284" s="132"/>
      <c r="W284" s="8"/>
      <c r="X284" s="8"/>
      <c r="Y284" s="9"/>
      <c r="Z284" s="8"/>
      <c r="AA284" s="8"/>
      <c r="AB284" s="8"/>
      <c r="AC284" s="132"/>
      <c r="AD284" s="8"/>
      <c r="AE284" s="9"/>
      <c r="AF284" s="8"/>
      <c r="AG284" s="9"/>
      <c r="AH284" s="8"/>
      <c r="AI284" s="8"/>
      <c r="AJ284" s="8"/>
      <c r="AK284" s="132"/>
      <c r="AL284" s="8"/>
      <c r="AM284" s="8"/>
      <c r="AN284" s="9"/>
      <c r="AO284" s="8"/>
      <c r="AP284" s="8"/>
      <c r="AQ284" s="8"/>
    </row>
    <row r="285" spans="1:43" outlineLevel="1" x14ac:dyDescent="0.15">
      <c r="A285" s="8"/>
      <c r="B285" s="8"/>
      <c r="C285" s="8"/>
      <c r="D285" s="8"/>
      <c r="E285" s="9"/>
      <c r="F285" s="8"/>
      <c r="G285" s="10"/>
      <c r="H285" s="132"/>
      <c r="I285" s="8"/>
      <c r="J285" s="9"/>
      <c r="K285" s="8"/>
      <c r="L285" s="9"/>
      <c r="M285" s="8"/>
      <c r="N285" s="132"/>
      <c r="O285" s="8"/>
      <c r="P285" s="9"/>
      <c r="Q285" s="8"/>
      <c r="R285" s="9"/>
      <c r="S285" s="8"/>
      <c r="T285" s="8"/>
      <c r="U285" s="8"/>
      <c r="V285" s="132"/>
      <c r="W285" s="8"/>
      <c r="X285" s="8"/>
      <c r="Y285" s="9"/>
      <c r="Z285" s="8"/>
      <c r="AA285" s="8"/>
      <c r="AB285" s="8"/>
      <c r="AC285" s="132"/>
      <c r="AD285" s="8"/>
      <c r="AE285" s="9"/>
      <c r="AF285" s="8"/>
      <c r="AG285" s="9"/>
      <c r="AH285" s="8"/>
      <c r="AI285" s="8"/>
      <c r="AJ285" s="8"/>
      <c r="AK285" s="132"/>
      <c r="AL285" s="8"/>
      <c r="AM285" s="8"/>
      <c r="AN285" s="9"/>
      <c r="AO285" s="8"/>
      <c r="AP285" s="8"/>
      <c r="AQ285" s="8"/>
    </row>
    <row r="286" spans="1:43" outlineLevel="1" x14ac:dyDescent="0.15">
      <c r="A286" s="8"/>
      <c r="B286" s="8"/>
      <c r="C286" s="8"/>
      <c r="D286" s="8"/>
      <c r="E286" s="9"/>
      <c r="F286" s="8"/>
      <c r="G286" s="10"/>
      <c r="H286" s="132"/>
      <c r="I286" s="8"/>
      <c r="J286" s="9"/>
      <c r="K286" s="8"/>
      <c r="L286" s="9"/>
      <c r="M286" s="8"/>
      <c r="N286" s="132"/>
      <c r="O286" s="8"/>
      <c r="P286" s="9"/>
      <c r="Q286" s="8"/>
      <c r="R286" s="9"/>
      <c r="S286" s="8"/>
      <c r="T286" s="8"/>
      <c r="U286" s="8"/>
      <c r="V286" s="132"/>
      <c r="W286" s="8"/>
      <c r="X286" s="8"/>
      <c r="Y286" s="9"/>
      <c r="Z286" s="8"/>
      <c r="AA286" s="8"/>
      <c r="AB286" s="8"/>
      <c r="AC286" s="132"/>
      <c r="AD286" s="8"/>
      <c r="AE286" s="9"/>
      <c r="AF286" s="8"/>
      <c r="AG286" s="9"/>
      <c r="AH286" s="8"/>
      <c r="AI286" s="8"/>
      <c r="AJ286" s="8"/>
      <c r="AK286" s="132"/>
      <c r="AL286" s="8"/>
      <c r="AM286" s="8"/>
      <c r="AN286" s="9"/>
      <c r="AO286" s="8"/>
      <c r="AP286" s="8"/>
      <c r="AQ286" s="8"/>
    </row>
    <row r="287" spans="1:43" outlineLevel="1" x14ac:dyDescent="0.15">
      <c r="A287" s="8"/>
      <c r="B287" s="8"/>
      <c r="C287" s="8"/>
      <c r="D287" s="8"/>
      <c r="E287" s="9"/>
      <c r="F287" s="8"/>
      <c r="G287" s="10"/>
      <c r="H287" s="132"/>
      <c r="I287" s="8"/>
      <c r="J287" s="9"/>
      <c r="K287" s="8"/>
      <c r="L287" s="9"/>
      <c r="M287" s="8"/>
      <c r="N287" s="132"/>
      <c r="O287" s="8"/>
      <c r="P287" s="9"/>
      <c r="Q287" s="8"/>
      <c r="R287" s="9"/>
      <c r="S287" s="8"/>
      <c r="T287" s="8"/>
      <c r="U287" s="8"/>
      <c r="V287" s="132"/>
      <c r="W287" s="8"/>
      <c r="X287" s="8"/>
      <c r="Y287" s="9"/>
      <c r="Z287" s="8"/>
      <c r="AA287" s="8"/>
      <c r="AB287" s="8"/>
      <c r="AC287" s="132"/>
      <c r="AD287" s="8"/>
      <c r="AE287" s="9"/>
      <c r="AF287" s="8"/>
      <c r="AG287" s="9"/>
      <c r="AH287" s="8"/>
      <c r="AI287" s="8"/>
      <c r="AJ287" s="8"/>
      <c r="AK287" s="132"/>
      <c r="AL287" s="8"/>
      <c r="AM287" s="8"/>
      <c r="AN287" s="9"/>
      <c r="AO287" s="8"/>
      <c r="AP287" s="8"/>
      <c r="AQ287" s="8"/>
    </row>
    <row r="288" spans="1:43" outlineLevel="1" x14ac:dyDescent="0.15">
      <c r="A288" s="8"/>
      <c r="B288" s="8"/>
      <c r="C288" s="8"/>
      <c r="D288" s="8"/>
      <c r="E288" s="9"/>
      <c r="F288" s="8"/>
      <c r="G288" s="10"/>
      <c r="H288" s="132"/>
      <c r="I288" s="8"/>
      <c r="J288" s="9"/>
      <c r="K288" s="8"/>
      <c r="L288" s="9"/>
      <c r="M288" s="8"/>
      <c r="N288" s="132"/>
      <c r="O288" s="8"/>
      <c r="P288" s="9"/>
      <c r="Q288" s="8"/>
      <c r="R288" s="9"/>
      <c r="S288" s="8"/>
      <c r="T288" s="8"/>
      <c r="U288" s="8"/>
      <c r="V288" s="132"/>
      <c r="W288" s="8"/>
      <c r="X288" s="8"/>
      <c r="Y288" s="9"/>
      <c r="Z288" s="8"/>
      <c r="AA288" s="8"/>
      <c r="AB288" s="8"/>
      <c r="AC288" s="132"/>
      <c r="AD288" s="8"/>
      <c r="AE288" s="9"/>
      <c r="AF288" s="8"/>
      <c r="AG288" s="9"/>
      <c r="AH288" s="8"/>
      <c r="AI288" s="8"/>
      <c r="AJ288" s="8"/>
      <c r="AK288" s="132"/>
      <c r="AL288" s="8"/>
      <c r="AM288" s="8"/>
      <c r="AN288" s="9"/>
      <c r="AO288" s="8"/>
      <c r="AP288" s="8"/>
      <c r="AQ288" s="8"/>
    </row>
    <row r="289" spans="1:43" outlineLevel="1" x14ac:dyDescent="0.15">
      <c r="A289" s="8"/>
      <c r="B289" s="8"/>
      <c r="C289" s="8"/>
      <c r="D289" s="8"/>
      <c r="E289" s="9"/>
      <c r="F289" s="8"/>
      <c r="G289" s="10"/>
      <c r="H289" s="132"/>
      <c r="I289" s="8"/>
      <c r="J289" s="9"/>
      <c r="K289" s="8"/>
      <c r="L289" s="9"/>
      <c r="M289" s="8"/>
      <c r="N289" s="132"/>
      <c r="O289" s="8"/>
      <c r="P289" s="9"/>
      <c r="Q289" s="8"/>
      <c r="R289" s="9"/>
      <c r="S289" s="8"/>
      <c r="T289" s="8"/>
      <c r="U289" s="8"/>
      <c r="V289" s="132"/>
      <c r="W289" s="8"/>
      <c r="X289" s="8"/>
      <c r="Y289" s="9"/>
      <c r="Z289" s="8"/>
      <c r="AA289" s="8"/>
      <c r="AB289" s="8"/>
      <c r="AC289" s="132"/>
      <c r="AD289" s="8"/>
      <c r="AE289" s="9"/>
      <c r="AF289" s="8"/>
      <c r="AG289" s="9"/>
      <c r="AH289" s="8"/>
      <c r="AI289" s="8"/>
      <c r="AJ289" s="8"/>
      <c r="AK289" s="132"/>
      <c r="AL289" s="8"/>
      <c r="AM289" s="8"/>
      <c r="AN289" s="9"/>
      <c r="AO289" s="8"/>
      <c r="AP289" s="8"/>
      <c r="AQ289" s="8"/>
    </row>
    <row r="290" spans="1:43" outlineLevel="1" x14ac:dyDescent="0.15">
      <c r="A290" s="8"/>
      <c r="B290" s="8"/>
      <c r="C290" s="8"/>
      <c r="D290" s="8"/>
      <c r="E290" s="9"/>
      <c r="F290" s="8"/>
      <c r="G290" s="10"/>
      <c r="H290" s="132"/>
      <c r="I290" s="8"/>
      <c r="J290" s="9"/>
      <c r="K290" s="8"/>
      <c r="L290" s="9"/>
      <c r="M290" s="8"/>
      <c r="N290" s="132"/>
      <c r="O290" s="8"/>
      <c r="P290" s="9"/>
      <c r="Q290" s="8"/>
      <c r="R290" s="9"/>
      <c r="S290" s="8"/>
      <c r="T290" s="8"/>
      <c r="U290" s="8"/>
      <c r="V290" s="132"/>
      <c r="W290" s="8"/>
      <c r="X290" s="8"/>
      <c r="Y290" s="9"/>
      <c r="Z290" s="8"/>
      <c r="AA290" s="8"/>
      <c r="AB290" s="8"/>
      <c r="AC290" s="132"/>
      <c r="AD290" s="8"/>
      <c r="AE290" s="9"/>
      <c r="AF290" s="8"/>
      <c r="AG290" s="9"/>
      <c r="AH290" s="8"/>
      <c r="AI290" s="8"/>
      <c r="AJ290" s="8"/>
      <c r="AK290" s="132"/>
      <c r="AL290" s="8"/>
      <c r="AM290" s="8"/>
      <c r="AN290" s="9"/>
      <c r="AO290" s="8"/>
      <c r="AP290" s="8"/>
      <c r="AQ290" s="8"/>
    </row>
    <row r="291" spans="1:43" outlineLevel="1" x14ac:dyDescent="0.15">
      <c r="A291" s="8"/>
      <c r="B291" s="8"/>
      <c r="C291" s="8"/>
      <c r="D291" s="8"/>
      <c r="E291" s="9"/>
      <c r="F291" s="8"/>
      <c r="G291" s="10"/>
      <c r="H291" s="132"/>
      <c r="I291" s="8"/>
      <c r="J291" s="9"/>
      <c r="K291" s="8"/>
      <c r="L291" s="9"/>
      <c r="M291" s="8"/>
      <c r="N291" s="132"/>
      <c r="O291" s="8"/>
      <c r="P291" s="9"/>
      <c r="Q291" s="8"/>
      <c r="R291" s="9"/>
      <c r="S291" s="8"/>
      <c r="T291" s="8"/>
      <c r="U291" s="8"/>
      <c r="V291" s="132"/>
      <c r="W291" s="8"/>
      <c r="X291" s="8"/>
      <c r="Y291" s="9"/>
      <c r="Z291" s="8"/>
      <c r="AA291" s="8"/>
      <c r="AB291" s="8"/>
      <c r="AC291" s="132"/>
      <c r="AD291" s="8"/>
      <c r="AE291" s="9"/>
      <c r="AF291" s="8"/>
      <c r="AG291" s="9"/>
      <c r="AH291" s="8"/>
      <c r="AI291" s="8"/>
      <c r="AJ291" s="8"/>
      <c r="AK291" s="132"/>
      <c r="AL291" s="8"/>
      <c r="AM291" s="8"/>
      <c r="AN291" s="9"/>
      <c r="AO291" s="8"/>
      <c r="AP291" s="8"/>
      <c r="AQ291" s="8"/>
    </row>
    <row r="292" spans="1:43" outlineLevel="1" x14ac:dyDescent="0.15">
      <c r="A292" s="8"/>
      <c r="B292" s="8"/>
      <c r="C292" s="8"/>
      <c r="D292" s="8"/>
      <c r="E292" s="9"/>
      <c r="F292" s="8"/>
      <c r="G292" s="10"/>
      <c r="H292" s="132"/>
      <c r="I292" s="8"/>
      <c r="J292" s="9"/>
      <c r="K292" s="8"/>
      <c r="L292" s="9"/>
      <c r="M292" s="8"/>
      <c r="N292" s="132"/>
      <c r="O292" s="8"/>
      <c r="P292" s="9"/>
      <c r="Q292" s="8"/>
      <c r="R292" s="9"/>
      <c r="S292" s="8"/>
      <c r="T292" s="8"/>
      <c r="U292" s="8"/>
      <c r="V292" s="132"/>
      <c r="W292" s="8"/>
      <c r="X292" s="8"/>
      <c r="Y292" s="9"/>
      <c r="Z292" s="8"/>
      <c r="AA292" s="8"/>
      <c r="AB292" s="8"/>
      <c r="AC292" s="132"/>
      <c r="AD292" s="8"/>
      <c r="AE292" s="9"/>
      <c r="AF292" s="8"/>
      <c r="AG292" s="9"/>
      <c r="AH292" s="8"/>
      <c r="AI292" s="8"/>
      <c r="AJ292" s="8"/>
      <c r="AK292" s="132"/>
      <c r="AL292" s="8"/>
      <c r="AM292" s="8"/>
      <c r="AN292" s="9"/>
      <c r="AO292" s="8"/>
      <c r="AP292" s="8"/>
      <c r="AQ292" s="8"/>
    </row>
    <row r="293" spans="1:43" outlineLevel="1" x14ac:dyDescent="0.15">
      <c r="A293" s="8"/>
      <c r="B293" s="8"/>
      <c r="C293" s="8"/>
      <c r="D293" s="8"/>
      <c r="E293" s="9"/>
      <c r="F293" s="8"/>
      <c r="G293" s="10"/>
      <c r="H293" s="132"/>
      <c r="I293" s="8"/>
      <c r="J293" s="9"/>
      <c r="K293" s="8"/>
      <c r="L293" s="9"/>
      <c r="M293" s="8"/>
      <c r="N293" s="132"/>
      <c r="O293" s="8"/>
      <c r="P293" s="9"/>
      <c r="Q293" s="8"/>
      <c r="R293" s="9"/>
      <c r="S293" s="8"/>
      <c r="T293" s="8"/>
      <c r="U293" s="8"/>
      <c r="V293" s="132"/>
      <c r="W293" s="8"/>
      <c r="X293" s="8"/>
      <c r="Y293" s="9"/>
      <c r="Z293" s="8"/>
      <c r="AA293" s="8"/>
      <c r="AB293" s="8"/>
      <c r="AC293" s="132"/>
      <c r="AD293" s="8"/>
      <c r="AE293" s="9"/>
      <c r="AF293" s="8"/>
      <c r="AG293" s="9"/>
      <c r="AH293" s="8"/>
      <c r="AI293" s="8"/>
      <c r="AJ293" s="8"/>
      <c r="AK293" s="132"/>
      <c r="AL293" s="8"/>
      <c r="AM293" s="8"/>
      <c r="AN293" s="9"/>
      <c r="AO293" s="8"/>
      <c r="AP293" s="8"/>
      <c r="AQ293" s="8"/>
    </row>
    <row r="294" spans="1:43" outlineLevel="1" x14ac:dyDescent="0.15">
      <c r="A294" s="8"/>
      <c r="B294" s="8"/>
      <c r="C294" s="8"/>
      <c r="D294" s="8"/>
      <c r="E294" s="9"/>
      <c r="F294" s="8"/>
      <c r="G294" s="10"/>
      <c r="H294" s="132"/>
      <c r="I294" s="8"/>
      <c r="J294" s="9"/>
      <c r="K294" s="8"/>
      <c r="L294" s="9"/>
      <c r="M294" s="8"/>
      <c r="N294" s="132"/>
      <c r="O294" s="8"/>
      <c r="P294" s="9"/>
      <c r="Q294" s="8"/>
      <c r="R294" s="9"/>
      <c r="S294" s="8"/>
      <c r="T294" s="8"/>
      <c r="U294" s="8"/>
      <c r="V294" s="132"/>
      <c r="W294" s="8"/>
      <c r="X294" s="8"/>
      <c r="Y294" s="9"/>
      <c r="Z294" s="8"/>
      <c r="AA294" s="8"/>
      <c r="AB294" s="8"/>
      <c r="AC294" s="132"/>
      <c r="AD294" s="8"/>
      <c r="AE294" s="9"/>
      <c r="AF294" s="8"/>
      <c r="AG294" s="9"/>
      <c r="AH294" s="8"/>
      <c r="AI294" s="8"/>
      <c r="AJ294" s="8"/>
      <c r="AK294" s="132"/>
      <c r="AL294" s="8"/>
      <c r="AM294" s="8"/>
      <c r="AN294" s="9"/>
      <c r="AO294" s="8"/>
      <c r="AP294" s="8"/>
      <c r="AQ294" s="8"/>
    </row>
    <row r="295" spans="1:43" outlineLevel="1" x14ac:dyDescent="0.15">
      <c r="A295" s="8"/>
      <c r="B295" s="8"/>
      <c r="C295" s="8"/>
      <c r="D295" s="8"/>
      <c r="E295" s="9"/>
      <c r="F295" s="8"/>
      <c r="G295" s="10"/>
      <c r="H295" s="132"/>
      <c r="I295" s="8"/>
      <c r="J295" s="9"/>
      <c r="K295" s="8"/>
      <c r="L295" s="9"/>
      <c r="M295" s="8"/>
      <c r="N295" s="132"/>
      <c r="O295" s="8"/>
      <c r="P295" s="9"/>
      <c r="Q295" s="8"/>
      <c r="R295" s="9"/>
      <c r="S295" s="8"/>
      <c r="T295" s="8"/>
      <c r="U295" s="8"/>
      <c r="V295" s="132"/>
      <c r="W295" s="8"/>
      <c r="X295" s="8"/>
      <c r="Y295" s="9"/>
      <c r="Z295" s="8"/>
      <c r="AA295" s="8"/>
      <c r="AB295" s="8"/>
      <c r="AC295" s="132"/>
      <c r="AD295" s="8"/>
      <c r="AE295" s="9"/>
      <c r="AF295" s="8"/>
      <c r="AG295" s="9"/>
      <c r="AH295" s="8"/>
      <c r="AI295" s="8"/>
      <c r="AJ295" s="8"/>
      <c r="AK295" s="132"/>
      <c r="AL295" s="8"/>
      <c r="AM295" s="8"/>
      <c r="AN295" s="9"/>
      <c r="AO295" s="8"/>
      <c r="AP295" s="8"/>
      <c r="AQ295" s="8"/>
    </row>
    <row r="296" spans="1:43" outlineLevel="1" x14ac:dyDescent="0.15">
      <c r="A296" s="8"/>
      <c r="B296" s="8"/>
      <c r="C296" s="8"/>
      <c r="D296" s="8"/>
      <c r="E296" s="9"/>
      <c r="F296" s="8"/>
      <c r="G296" s="10"/>
      <c r="H296" s="132"/>
      <c r="I296" s="8"/>
      <c r="J296" s="9"/>
      <c r="K296" s="8"/>
      <c r="L296" s="9"/>
      <c r="M296" s="8"/>
      <c r="N296" s="132"/>
      <c r="O296" s="8"/>
      <c r="P296" s="9"/>
      <c r="Q296" s="8"/>
      <c r="R296" s="9"/>
      <c r="S296" s="8"/>
      <c r="T296" s="8"/>
      <c r="U296" s="8"/>
      <c r="V296" s="132"/>
      <c r="W296" s="8"/>
      <c r="X296" s="8"/>
      <c r="Y296" s="9"/>
      <c r="Z296" s="8"/>
      <c r="AA296" s="8"/>
      <c r="AB296" s="8"/>
      <c r="AC296" s="132"/>
      <c r="AD296" s="8"/>
      <c r="AE296" s="9"/>
      <c r="AF296" s="8"/>
      <c r="AG296" s="9"/>
      <c r="AH296" s="8"/>
      <c r="AI296" s="8"/>
      <c r="AJ296" s="8"/>
      <c r="AK296" s="132"/>
      <c r="AL296" s="8"/>
      <c r="AM296" s="8"/>
      <c r="AN296" s="9"/>
      <c r="AO296" s="8"/>
      <c r="AP296" s="8"/>
      <c r="AQ296" s="8"/>
    </row>
    <row r="297" spans="1:43" outlineLevel="1" x14ac:dyDescent="0.15">
      <c r="A297" s="8"/>
      <c r="B297" s="8"/>
      <c r="C297" s="8"/>
      <c r="D297" s="8"/>
      <c r="E297" s="9"/>
      <c r="F297" s="8"/>
      <c r="G297" s="10"/>
      <c r="H297" s="132"/>
      <c r="I297" s="8"/>
      <c r="J297" s="9"/>
      <c r="K297" s="8"/>
      <c r="L297" s="9"/>
      <c r="M297" s="8"/>
      <c r="N297" s="132"/>
      <c r="O297" s="8"/>
      <c r="P297" s="9"/>
      <c r="Q297" s="8"/>
      <c r="R297" s="9"/>
      <c r="S297" s="8"/>
      <c r="T297" s="8"/>
      <c r="U297" s="8"/>
      <c r="V297" s="132"/>
      <c r="W297" s="8"/>
      <c r="X297" s="8"/>
      <c r="Y297" s="9"/>
      <c r="Z297" s="8"/>
      <c r="AA297" s="8"/>
      <c r="AB297" s="8"/>
      <c r="AC297" s="132"/>
      <c r="AD297" s="8"/>
      <c r="AE297" s="9"/>
      <c r="AF297" s="8"/>
      <c r="AG297" s="9"/>
      <c r="AH297" s="8"/>
      <c r="AI297" s="8"/>
      <c r="AJ297" s="8"/>
      <c r="AK297" s="132"/>
      <c r="AL297" s="8"/>
      <c r="AM297" s="8"/>
      <c r="AN297" s="9"/>
      <c r="AO297" s="8"/>
      <c r="AP297" s="8"/>
      <c r="AQ297" s="8"/>
    </row>
    <row r="298" spans="1:43" outlineLevel="1" x14ac:dyDescent="0.15">
      <c r="A298" s="8"/>
      <c r="B298" s="8"/>
      <c r="C298" s="8"/>
      <c r="D298" s="8"/>
      <c r="E298" s="9"/>
      <c r="F298" s="8"/>
      <c r="G298" s="10"/>
      <c r="H298" s="132"/>
      <c r="I298" s="8"/>
      <c r="J298" s="9"/>
      <c r="K298" s="8"/>
      <c r="L298" s="9"/>
      <c r="M298" s="8"/>
      <c r="N298" s="132"/>
      <c r="O298" s="8"/>
      <c r="P298" s="9"/>
      <c r="Q298" s="8"/>
      <c r="R298" s="9"/>
      <c r="S298" s="8"/>
      <c r="T298" s="8"/>
      <c r="U298" s="8"/>
      <c r="V298" s="132"/>
      <c r="W298" s="8"/>
      <c r="X298" s="8"/>
      <c r="Y298" s="9"/>
      <c r="Z298" s="8"/>
      <c r="AA298" s="8"/>
      <c r="AB298" s="8"/>
      <c r="AC298" s="132"/>
      <c r="AD298" s="8"/>
      <c r="AE298" s="9"/>
      <c r="AF298" s="8"/>
      <c r="AG298" s="9"/>
      <c r="AH298" s="8"/>
      <c r="AI298" s="8"/>
      <c r="AJ298" s="8"/>
      <c r="AK298" s="132"/>
      <c r="AL298" s="8"/>
      <c r="AM298" s="8"/>
      <c r="AN298" s="9"/>
      <c r="AO298" s="8"/>
      <c r="AP298" s="8"/>
      <c r="AQ298" s="8"/>
    </row>
    <row r="299" spans="1:43" outlineLevel="1" x14ac:dyDescent="0.15">
      <c r="A299" s="8"/>
      <c r="B299" s="8"/>
      <c r="C299" s="8"/>
      <c r="D299" s="8"/>
      <c r="E299" s="9"/>
      <c r="F299" s="8"/>
      <c r="G299" s="10"/>
      <c r="H299" s="132"/>
      <c r="I299" s="8"/>
      <c r="J299" s="9"/>
      <c r="K299" s="8"/>
      <c r="L299" s="9"/>
      <c r="M299" s="8"/>
      <c r="N299" s="132"/>
      <c r="O299" s="8"/>
      <c r="P299" s="9"/>
      <c r="Q299" s="8"/>
      <c r="R299" s="9"/>
      <c r="S299" s="8"/>
      <c r="T299" s="8"/>
      <c r="U299" s="8"/>
      <c r="V299" s="132"/>
      <c r="W299" s="8"/>
      <c r="X299" s="8"/>
      <c r="Y299" s="9"/>
      <c r="Z299" s="8"/>
      <c r="AA299" s="8"/>
      <c r="AB299" s="8"/>
      <c r="AC299" s="132"/>
      <c r="AD299" s="8"/>
      <c r="AE299" s="9"/>
      <c r="AF299" s="8"/>
      <c r="AG299" s="9"/>
      <c r="AH299" s="8"/>
      <c r="AI299" s="8"/>
      <c r="AJ299" s="8"/>
      <c r="AK299" s="132"/>
      <c r="AL299" s="8"/>
      <c r="AM299" s="8"/>
      <c r="AN299" s="9"/>
      <c r="AO299" s="8"/>
      <c r="AP299" s="8"/>
      <c r="AQ299" s="8"/>
    </row>
    <row r="300" spans="1:43" outlineLevel="1" x14ac:dyDescent="0.15">
      <c r="A300" s="8"/>
      <c r="B300" s="8"/>
      <c r="C300" s="8"/>
      <c r="D300" s="8"/>
      <c r="E300" s="9"/>
      <c r="F300" s="8"/>
      <c r="G300" s="10"/>
      <c r="H300" s="132"/>
      <c r="I300" s="8"/>
      <c r="J300" s="9"/>
      <c r="K300" s="8"/>
      <c r="L300" s="9"/>
      <c r="M300" s="8"/>
      <c r="N300" s="132"/>
      <c r="O300" s="8"/>
      <c r="P300" s="9"/>
      <c r="Q300" s="8"/>
      <c r="R300" s="9"/>
      <c r="S300" s="8"/>
      <c r="T300" s="8"/>
      <c r="U300" s="8"/>
      <c r="V300" s="132"/>
      <c r="W300" s="8"/>
      <c r="X300" s="8"/>
      <c r="Y300" s="9"/>
      <c r="Z300" s="8"/>
      <c r="AA300" s="8"/>
      <c r="AB300" s="8"/>
      <c r="AC300" s="132"/>
      <c r="AD300" s="8"/>
      <c r="AE300" s="9"/>
      <c r="AF300" s="8"/>
      <c r="AG300" s="9"/>
      <c r="AH300" s="8"/>
      <c r="AI300" s="8"/>
      <c r="AJ300" s="8"/>
      <c r="AK300" s="132"/>
      <c r="AL300" s="8"/>
      <c r="AM300" s="8"/>
      <c r="AN300" s="9"/>
      <c r="AO300" s="8"/>
      <c r="AP300" s="8"/>
      <c r="AQ300" s="8"/>
    </row>
    <row r="301" spans="1:43" outlineLevel="1" x14ac:dyDescent="0.15">
      <c r="A301" s="8"/>
      <c r="B301" s="8"/>
      <c r="C301" s="8"/>
      <c r="D301" s="8"/>
      <c r="E301" s="9"/>
      <c r="F301" s="8"/>
      <c r="G301" s="10"/>
      <c r="H301" s="11"/>
      <c r="I301" s="8"/>
      <c r="J301" s="9"/>
      <c r="K301" s="8"/>
      <c r="L301" s="9"/>
      <c r="M301" s="8"/>
      <c r="N301" s="11"/>
      <c r="O301" s="8"/>
      <c r="P301" s="9"/>
      <c r="Q301" s="8"/>
      <c r="R301" s="9"/>
      <c r="S301" s="8"/>
      <c r="T301" s="8"/>
      <c r="U301" s="8"/>
      <c r="V301" s="132"/>
      <c r="W301" s="8"/>
      <c r="X301" s="8"/>
      <c r="Y301" s="9"/>
      <c r="Z301" s="8"/>
      <c r="AA301" s="8"/>
      <c r="AB301" s="8"/>
      <c r="AC301" s="11"/>
      <c r="AD301" s="8"/>
      <c r="AE301" s="9"/>
      <c r="AF301" s="8"/>
      <c r="AG301" s="9"/>
      <c r="AH301" s="8"/>
      <c r="AI301" s="8"/>
      <c r="AJ301" s="8"/>
      <c r="AK301" s="132"/>
      <c r="AL301" s="8"/>
      <c r="AM301" s="8"/>
      <c r="AN301" s="9"/>
      <c r="AO301" s="8"/>
      <c r="AP301" s="8"/>
      <c r="AQ301" s="8"/>
    </row>
    <row r="302" spans="1:43" outlineLevel="1" x14ac:dyDescent="0.15">
      <c r="A302" s="8"/>
      <c r="B302" s="8"/>
      <c r="C302" s="8"/>
      <c r="D302" s="8"/>
      <c r="E302" s="9"/>
      <c r="F302" s="8"/>
      <c r="G302" s="10"/>
      <c r="H302" s="132"/>
      <c r="I302" s="8"/>
      <c r="J302" s="9"/>
      <c r="K302" s="8"/>
      <c r="L302" s="9"/>
      <c r="M302" s="8"/>
      <c r="N302" s="132"/>
      <c r="O302" s="8"/>
      <c r="P302" s="9"/>
      <c r="Q302" s="8"/>
      <c r="R302" s="9"/>
      <c r="S302" s="8"/>
      <c r="T302" s="8"/>
      <c r="U302" s="8"/>
      <c r="V302" s="132"/>
      <c r="W302" s="8"/>
      <c r="X302" s="8"/>
      <c r="Y302" s="9"/>
      <c r="Z302" s="8"/>
      <c r="AA302" s="8"/>
      <c r="AB302" s="8"/>
      <c r="AC302" s="132"/>
      <c r="AD302" s="8"/>
      <c r="AE302" s="9"/>
      <c r="AF302" s="8"/>
      <c r="AG302" s="9"/>
      <c r="AH302" s="8"/>
      <c r="AI302" s="8"/>
      <c r="AJ302" s="8"/>
      <c r="AK302" s="132"/>
      <c r="AL302" s="8"/>
      <c r="AM302" s="8"/>
      <c r="AN302" s="9"/>
      <c r="AO302" s="8"/>
      <c r="AP302" s="8"/>
      <c r="AQ302" s="8"/>
    </row>
    <row r="303" spans="1:43" x14ac:dyDescent="0.15">
      <c r="A303" s="8"/>
      <c r="B303" s="8"/>
      <c r="C303" s="8"/>
      <c r="D303" s="8"/>
      <c r="E303" s="9"/>
      <c r="F303" s="8"/>
      <c r="G303" s="10"/>
      <c r="H303" s="132"/>
      <c r="I303" s="8"/>
      <c r="J303" s="9"/>
      <c r="K303" s="8"/>
      <c r="L303" s="9"/>
      <c r="M303" s="8"/>
      <c r="N303" s="132"/>
      <c r="O303" s="8"/>
      <c r="P303" s="9"/>
      <c r="Q303" s="8"/>
      <c r="R303" s="9"/>
      <c r="S303" s="8"/>
      <c r="T303" s="8"/>
      <c r="U303" s="8"/>
      <c r="V303" s="132"/>
      <c r="W303" s="8"/>
      <c r="X303" s="8"/>
      <c r="Y303" s="9"/>
      <c r="Z303" s="8"/>
      <c r="AA303" s="8"/>
      <c r="AB303" s="8"/>
      <c r="AC303" s="132"/>
      <c r="AD303" s="8"/>
      <c r="AE303" s="9"/>
      <c r="AF303" s="8"/>
      <c r="AG303" s="9"/>
      <c r="AH303" s="8"/>
      <c r="AI303" s="8"/>
      <c r="AJ303" s="8"/>
      <c r="AK303" s="132"/>
      <c r="AL303" s="8"/>
      <c r="AM303" s="8"/>
      <c r="AN303" s="9"/>
      <c r="AO303" s="8"/>
      <c r="AP303" s="8"/>
      <c r="AQ303" s="8"/>
    </row>
    <row r="304" spans="1:43" x14ac:dyDescent="0.15">
      <c r="A304" s="8"/>
      <c r="B304" s="8"/>
      <c r="C304" s="8"/>
      <c r="D304" s="8"/>
      <c r="E304" s="9"/>
      <c r="F304" s="8"/>
      <c r="G304" s="10"/>
      <c r="H304" s="11"/>
      <c r="I304" s="8"/>
      <c r="J304" s="9"/>
      <c r="K304" s="8"/>
      <c r="L304" s="9"/>
      <c r="M304" s="8"/>
      <c r="N304" s="11"/>
      <c r="O304" s="8"/>
      <c r="P304" s="9"/>
      <c r="Q304" s="8"/>
      <c r="R304" s="9"/>
      <c r="S304" s="8"/>
      <c r="T304" s="8"/>
      <c r="U304" s="8"/>
      <c r="V304" s="132"/>
      <c r="W304" s="8"/>
      <c r="X304" s="8"/>
      <c r="Y304" s="9"/>
      <c r="Z304" s="8"/>
      <c r="AA304" s="8"/>
      <c r="AB304" s="8"/>
      <c r="AC304" s="11"/>
      <c r="AD304" s="8"/>
      <c r="AE304" s="9"/>
      <c r="AF304" s="8"/>
      <c r="AG304" s="9"/>
      <c r="AH304" s="8"/>
      <c r="AI304" s="8"/>
      <c r="AJ304" s="8"/>
      <c r="AK304" s="132"/>
      <c r="AL304" s="8"/>
      <c r="AM304" s="8"/>
      <c r="AN304" s="9"/>
      <c r="AO304" s="8"/>
      <c r="AP304" s="8"/>
      <c r="AQ304" s="8"/>
    </row>
    <row r="305" spans="1:43" x14ac:dyDescent="0.15">
      <c r="A305" s="8"/>
      <c r="B305" s="8"/>
      <c r="C305" s="8"/>
      <c r="D305" s="8"/>
      <c r="E305" s="9"/>
      <c r="F305" s="8"/>
      <c r="G305" s="10"/>
      <c r="H305" s="11"/>
      <c r="I305" s="8"/>
      <c r="J305" s="9"/>
      <c r="K305" s="8"/>
      <c r="L305" s="9"/>
      <c r="M305" s="8"/>
      <c r="N305" s="11"/>
      <c r="O305" s="8"/>
      <c r="P305" s="9"/>
      <c r="Q305" s="8"/>
      <c r="R305" s="9"/>
      <c r="S305" s="8"/>
      <c r="T305" s="8"/>
      <c r="U305" s="8"/>
      <c r="V305" s="11"/>
      <c r="W305" s="8"/>
      <c r="X305" s="8"/>
      <c r="Y305" s="9"/>
      <c r="Z305" s="8"/>
      <c r="AA305" s="8"/>
      <c r="AB305" s="8"/>
      <c r="AC305" s="11"/>
      <c r="AD305" s="8"/>
      <c r="AE305" s="9"/>
      <c r="AF305" s="8"/>
      <c r="AG305" s="9"/>
      <c r="AH305" s="8"/>
      <c r="AI305" s="8"/>
      <c r="AJ305" s="8"/>
      <c r="AK305" s="11"/>
      <c r="AL305" s="8"/>
      <c r="AM305" s="8"/>
      <c r="AN305" s="9"/>
      <c r="AO305" s="8"/>
      <c r="AP305" s="8"/>
      <c r="AQ305" s="8"/>
    </row>
    <row r="306" spans="1:43" x14ac:dyDescent="0.15">
      <c r="A306" s="8"/>
      <c r="B306" s="8"/>
      <c r="C306" s="8"/>
      <c r="D306" s="8"/>
      <c r="E306" s="9"/>
      <c r="F306" s="8"/>
      <c r="G306" s="10"/>
      <c r="H306" s="11"/>
      <c r="I306" s="8"/>
      <c r="J306" s="9"/>
      <c r="K306" s="8"/>
      <c r="L306" s="9"/>
      <c r="M306" s="8"/>
      <c r="N306" s="11"/>
      <c r="O306" s="8"/>
      <c r="P306" s="9"/>
      <c r="Q306" s="8"/>
      <c r="R306" s="9"/>
      <c r="S306" s="8"/>
      <c r="T306" s="8"/>
      <c r="U306" s="8"/>
      <c r="V306" s="11"/>
      <c r="W306" s="8"/>
      <c r="X306" s="8"/>
      <c r="Y306" s="9"/>
      <c r="Z306" s="8"/>
      <c r="AA306" s="8"/>
      <c r="AB306" s="8"/>
      <c r="AC306" s="11"/>
      <c r="AD306" s="8"/>
      <c r="AE306" s="9"/>
      <c r="AF306" s="8"/>
      <c r="AG306" s="9"/>
      <c r="AH306" s="8"/>
      <c r="AI306" s="8"/>
      <c r="AJ306" s="8"/>
      <c r="AK306" s="11"/>
      <c r="AL306" s="8"/>
      <c r="AM306" s="8"/>
      <c r="AN306" s="9"/>
      <c r="AO306" s="8"/>
      <c r="AP306" s="8"/>
      <c r="AQ306" s="8"/>
    </row>
    <row r="307" spans="1:43" x14ac:dyDescent="0.15">
      <c r="A307" s="8"/>
      <c r="B307" s="8"/>
      <c r="C307" s="8"/>
      <c r="D307" s="8"/>
      <c r="E307" s="9"/>
      <c r="F307" s="8"/>
      <c r="G307" s="10"/>
      <c r="H307" s="11"/>
      <c r="I307" s="8"/>
      <c r="J307" s="9"/>
      <c r="K307" s="8"/>
      <c r="L307" s="9"/>
      <c r="M307" s="8"/>
      <c r="N307" s="11"/>
      <c r="O307" s="8"/>
      <c r="P307" s="9"/>
      <c r="Q307" s="8"/>
      <c r="R307" s="9"/>
      <c r="S307" s="8"/>
      <c r="T307" s="8"/>
      <c r="U307" s="8"/>
      <c r="V307" s="11"/>
      <c r="W307" s="8"/>
      <c r="X307" s="8"/>
      <c r="Y307" s="9"/>
      <c r="Z307" s="8"/>
      <c r="AA307" s="8"/>
      <c r="AB307" s="8"/>
      <c r="AC307" s="11"/>
      <c r="AD307" s="8"/>
      <c r="AE307" s="9"/>
      <c r="AF307" s="8"/>
      <c r="AG307" s="9"/>
      <c r="AH307" s="8"/>
      <c r="AI307" s="8"/>
      <c r="AJ307" s="8"/>
      <c r="AK307" s="11"/>
      <c r="AL307" s="8"/>
      <c r="AM307" s="8"/>
      <c r="AN307" s="9"/>
      <c r="AO307" s="8"/>
      <c r="AP307" s="8"/>
      <c r="AQ307" s="8"/>
    </row>
    <row r="308" spans="1:43" x14ac:dyDescent="0.15">
      <c r="A308" s="8"/>
      <c r="B308" s="8"/>
      <c r="C308" s="8"/>
      <c r="D308" s="8"/>
      <c r="E308" s="9"/>
      <c r="F308" s="8"/>
      <c r="G308" s="10"/>
      <c r="H308" s="11"/>
      <c r="I308" s="8"/>
      <c r="J308" s="9"/>
      <c r="K308" s="8"/>
      <c r="L308" s="9"/>
      <c r="M308" s="8"/>
      <c r="N308" s="11"/>
      <c r="O308" s="8"/>
      <c r="P308" s="9"/>
      <c r="Q308" s="8"/>
      <c r="R308" s="9"/>
      <c r="S308" s="8"/>
      <c r="T308" s="8"/>
      <c r="U308" s="8"/>
      <c r="V308" s="11"/>
      <c r="W308" s="8"/>
      <c r="X308" s="8"/>
      <c r="Y308" s="9"/>
      <c r="Z308" s="8"/>
      <c r="AA308" s="8"/>
      <c r="AB308" s="8"/>
      <c r="AC308" s="11"/>
      <c r="AD308" s="8"/>
      <c r="AE308" s="9"/>
      <c r="AF308" s="8"/>
      <c r="AG308" s="9"/>
      <c r="AH308" s="8"/>
      <c r="AI308" s="8"/>
      <c r="AJ308" s="8"/>
      <c r="AK308" s="11"/>
      <c r="AL308" s="8"/>
      <c r="AM308" s="8"/>
      <c r="AN308" s="9"/>
      <c r="AO308" s="8"/>
      <c r="AP308" s="8"/>
      <c r="AQ308" s="8"/>
    </row>
    <row r="309" spans="1:43" x14ac:dyDescent="0.15">
      <c r="A309" s="8"/>
      <c r="B309" s="8"/>
      <c r="C309" s="8"/>
      <c r="D309" s="8"/>
      <c r="E309" s="9"/>
      <c r="F309" s="8"/>
      <c r="G309" s="10"/>
      <c r="H309" s="11"/>
      <c r="I309" s="8"/>
      <c r="J309" s="9"/>
      <c r="K309" s="8"/>
      <c r="L309" s="9"/>
      <c r="M309" s="8"/>
      <c r="N309" s="11"/>
      <c r="O309" s="8"/>
      <c r="P309" s="9"/>
      <c r="Q309" s="8"/>
      <c r="R309" s="9"/>
      <c r="S309" s="8"/>
      <c r="T309" s="8"/>
      <c r="U309" s="8"/>
      <c r="V309" s="11"/>
      <c r="W309" s="8"/>
      <c r="X309" s="8"/>
      <c r="Y309" s="9"/>
      <c r="Z309" s="8"/>
      <c r="AA309" s="8"/>
      <c r="AB309" s="8"/>
      <c r="AC309" s="11"/>
      <c r="AD309" s="8"/>
      <c r="AE309" s="9"/>
      <c r="AF309" s="8"/>
      <c r="AG309" s="9"/>
      <c r="AH309" s="8"/>
      <c r="AI309" s="8"/>
      <c r="AJ309" s="8"/>
      <c r="AK309" s="11"/>
      <c r="AL309" s="8"/>
      <c r="AM309" s="8"/>
      <c r="AN309" s="9"/>
      <c r="AO309" s="8"/>
      <c r="AP309" s="8"/>
      <c r="AQ309" s="8"/>
    </row>
    <row r="310" spans="1:43" x14ac:dyDescent="0.15">
      <c r="A310" s="8"/>
      <c r="B310" s="8"/>
      <c r="C310" s="8"/>
      <c r="D310" s="8"/>
      <c r="E310" s="9"/>
      <c r="F310" s="8"/>
      <c r="G310" s="10"/>
      <c r="H310" s="11"/>
      <c r="I310" s="8"/>
      <c r="J310" s="9"/>
      <c r="K310" s="8"/>
      <c r="L310" s="9"/>
      <c r="M310" s="8"/>
      <c r="N310" s="11"/>
      <c r="O310" s="8"/>
      <c r="P310" s="9"/>
      <c r="Q310" s="8"/>
      <c r="R310" s="9"/>
      <c r="S310" s="8"/>
      <c r="T310" s="8"/>
      <c r="U310" s="8"/>
      <c r="V310" s="11"/>
      <c r="W310" s="8"/>
      <c r="X310" s="8"/>
      <c r="Y310" s="9"/>
      <c r="Z310" s="8"/>
      <c r="AA310" s="8"/>
      <c r="AB310" s="8"/>
      <c r="AC310" s="11"/>
      <c r="AD310" s="8"/>
      <c r="AE310" s="9"/>
      <c r="AF310" s="8"/>
      <c r="AG310" s="9"/>
      <c r="AH310" s="8"/>
      <c r="AI310" s="8"/>
      <c r="AJ310" s="8"/>
      <c r="AK310" s="11"/>
      <c r="AL310" s="8"/>
      <c r="AM310" s="8"/>
      <c r="AN310" s="9"/>
      <c r="AO310" s="8"/>
      <c r="AP310" s="8"/>
      <c r="AQ310" s="8"/>
    </row>
    <row r="311" spans="1:43" x14ac:dyDescent="0.15">
      <c r="A311" s="8"/>
      <c r="B311" s="8"/>
      <c r="C311" s="8"/>
      <c r="D311" s="8"/>
      <c r="E311" s="9"/>
      <c r="F311" s="8"/>
      <c r="G311" s="10"/>
      <c r="H311" s="11"/>
      <c r="I311" s="8"/>
      <c r="J311" s="9"/>
      <c r="K311" s="8"/>
      <c r="L311" s="9"/>
      <c r="M311" s="8"/>
      <c r="N311" s="11"/>
      <c r="O311" s="8"/>
      <c r="P311" s="9"/>
      <c r="Q311" s="8"/>
      <c r="R311" s="9"/>
      <c r="S311" s="8"/>
      <c r="T311" s="8"/>
      <c r="U311" s="8"/>
      <c r="V311" s="11"/>
      <c r="W311" s="8"/>
      <c r="X311" s="8"/>
      <c r="Y311" s="9"/>
      <c r="Z311" s="8"/>
      <c r="AA311" s="8"/>
      <c r="AB311" s="8"/>
      <c r="AC311" s="11"/>
      <c r="AD311" s="8"/>
      <c r="AE311" s="9"/>
      <c r="AF311" s="8"/>
      <c r="AG311" s="9"/>
      <c r="AH311" s="8"/>
      <c r="AI311" s="8"/>
      <c r="AJ311" s="8"/>
      <c r="AK311" s="11"/>
      <c r="AL311" s="8"/>
      <c r="AM311" s="8"/>
      <c r="AN311" s="9"/>
      <c r="AO311" s="8"/>
      <c r="AP311" s="8"/>
      <c r="AQ311" s="8"/>
    </row>
    <row r="312" spans="1:43" x14ac:dyDescent="0.15">
      <c r="A312" s="8"/>
      <c r="B312" s="8"/>
      <c r="C312" s="8"/>
      <c r="D312" s="8"/>
      <c r="E312" s="9"/>
      <c r="F312" s="8"/>
      <c r="G312" s="10"/>
      <c r="H312" s="11"/>
      <c r="I312" s="8"/>
      <c r="J312" s="9"/>
      <c r="K312" s="8"/>
      <c r="L312" s="9"/>
      <c r="M312" s="8"/>
      <c r="N312" s="11"/>
      <c r="O312" s="8"/>
      <c r="P312" s="9"/>
      <c r="Q312" s="8"/>
      <c r="R312" s="9"/>
      <c r="S312" s="8"/>
      <c r="T312" s="8"/>
      <c r="U312" s="8"/>
      <c r="V312" s="11"/>
      <c r="W312" s="8"/>
      <c r="X312" s="8"/>
      <c r="Y312" s="9"/>
      <c r="Z312" s="8"/>
      <c r="AA312" s="8"/>
      <c r="AB312" s="8"/>
      <c r="AC312" s="11"/>
      <c r="AD312" s="8"/>
      <c r="AE312" s="9"/>
      <c r="AF312" s="8"/>
      <c r="AG312" s="9"/>
      <c r="AH312" s="8"/>
      <c r="AI312" s="8"/>
      <c r="AJ312" s="8"/>
      <c r="AK312" s="11"/>
      <c r="AL312" s="8"/>
      <c r="AM312" s="8"/>
      <c r="AN312" s="9"/>
      <c r="AO312" s="8"/>
      <c r="AP312" s="8"/>
      <c r="AQ312" s="8"/>
    </row>
    <row r="313" spans="1:43" x14ac:dyDescent="0.15">
      <c r="A313" s="8"/>
      <c r="B313" s="8"/>
      <c r="C313" s="8"/>
      <c r="D313" s="8"/>
      <c r="E313" s="9"/>
      <c r="F313" s="8"/>
      <c r="G313" s="10"/>
      <c r="H313" s="132"/>
      <c r="I313" s="8"/>
      <c r="J313" s="9"/>
      <c r="K313" s="8"/>
      <c r="L313" s="9"/>
      <c r="M313" s="8"/>
      <c r="N313" s="132"/>
      <c r="O313" s="8"/>
      <c r="P313" s="9"/>
      <c r="Q313" s="8"/>
      <c r="R313" s="9"/>
      <c r="S313" s="8"/>
      <c r="T313" s="8"/>
      <c r="U313" s="8"/>
      <c r="V313" s="11"/>
      <c r="W313" s="8"/>
      <c r="X313" s="8"/>
      <c r="Y313" s="9"/>
      <c r="Z313" s="8"/>
      <c r="AA313" s="8"/>
      <c r="AB313" s="8"/>
      <c r="AC313" s="132"/>
      <c r="AD313" s="8"/>
      <c r="AE313" s="9"/>
      <c r="AF313" s="8"/>
      <c r="AG313" s="9"/>
      <c r="AH313" s="8"/>
      <c r="AI313" s="8"/>
      <c r="AJ313" s="8"/>
      <c r="AK313" s="11"/>
      <c r="AL313" s="8"/>
      <c r="AM313" s="8"/>
      <c r="AN313" s="9"/>
      <c r="AO313" s="8"/>
      <c r="AP313" s="8"/>
      <c r="AQ313" s="8"/>
    </row>
    <row r="314" spans="1:43" x14ac:dyDescent="0.15">
      <c r="A314" s="8"/>
      <c r="B314" s="8"/>
      <c r="C314" s="8"/>
      <c r="D314" s="8"/>
      <c r="E314" s="9"/>
      <c r="F314" s="8"/>
      <c r="G314" s="10"/>
      <c r="H314" s="132"/>
      <c r="I314" s="8"/>
      <c r="J314" s="9"/>
      <c r="K314" s="8"/>
      <c r="L314" s="9"/>
      <c r="M314" s="8"/>
      <c r="N314" s="132"/>
      <c r="O314" s="8"/>
      <c r="P314" s="9"/>
      <c r="Q314" s="8"/>
      <c r="R314" s="9"/>
      <c r="S314" s="8"/>
      <c r="T314" s="8"/>
      <c r="U314" s="8"/>
      <c r="V314" s="11"/>
      <c r="W314" s="8"/>
      <c r="X314" s="8"/>
      <c r="Y314" s="9"/>
      <c r="Z314" s="8"/>
      <c r="AA314" s="8"/>
      <c r="AB314" s="8"/>
      <c r="AC314" s="132"/>
      <c r="AD314" s="8"/>
      <c r="AE314" s="9"/>
      <c r="AF314" s="8"/>
      <c r="AG314" s="9"/>
      <c r="AH314" s="8"/>
      <c r="AI314" s="8"/>
      <c r="AJ314" s="8"/>
      <c r="AK314" s="11"/>
      <c r="AL314" s="8"/>
      <c r="AM314" s="8"/>
      <c r="AN314" s="9"/>
      <c r="AO314" s="8"/>
      <c r="AP314" s="8"/>
      <c r="AQ314" s="8"/>
    </row>
    <row r="315" spans="1:43" x14ac:dyDescent="0.15">
      <c r="A315" s="8"/>
      <c r="B315" s="8"/>
      <c r="C315" s="8"/>
      <c r="D315" s="8"/>
      <c r="E315" s="9"/>
      <c r="F315" s="8"/>
      <c r="G315" s="10"/>
      <c r="H315" s="132"/>
      <c r="I315" s="8"/>
      <c r="J315" s="9"/>
      <c r="K315" s="8"/>
      <c r="L315" s="9"/>
      <c r="M315" s="8"/>
      <c r="N315" s="132"/>
      <c r="O315" s="8"/>
      <c r="P315" s="9"/>
      <c r="Q315" s="8"/>
      <c r="R315" s="9"/>
      <c r="S315" s="8"/>
      <c r="T315" s="8"/>
      <c r="U315" s="8"/>
      <c r="V315" s="11"/>
      <c r="W315" s="8"/>
      <c r="X315" s="8"/>
      <c r="Y315" s="9"/>
      <c r="Z315" s="8"/>
      <c r="AA315" s="8"/>
      <c r="AB315" s="8"/>
      <c r="AC315" s="132"/>
      <c r="AD315" s="8"/>
      <c r="AE315" s="9"/>
      <c r="AF315" s="8"/>
      <c r="AG315" s="9"/>
      <c r="AH315" s="8"/>
      <c r="AI315" s="8"/>
      <c r="AJ315" s="8"/>
      <c r="AK315" s="11"/>
      <c r="AL315" s="8"/>
      <c r="AM315" s="8"/>
      <c r="AN315" s="9"/>
      <c r="AO315" s="8"/>
      <c r="AP315" s="8"/>
      <c r="AQ315" s="8"/>
    </row>
    <row r="316" spans="1:43" x14ac:dyDescent="0.15">
      <c r="A316" s="8"/>
      <c r="B316" s="8"/>
      <c r="C316" s="8"/>
      <c r="D316" s="8"/>
      <c r="E316" s="9"/>
      <c r="F316" s="8"/>
      <c r="G316" s="10"/>
      <c r="H316" s="11"/>
      <c r="I316" s="8"/>
      <c r="J316" s="9"/>
      <c r="K316" s="8"/>
      <c r="L316" s="9"/>
      <c r="M316" s="8"/>
      <c r="N316" s="11"/>
      <c r="O316" s="8"/>
      <c r="P316" s="9"/>
      <c r="Q316" s="8"/>
      <c r="R316" s="9"/>
      <c r="S316" s="8"/>
      <c r="T316" s="8"/>
      <c r="U316" s="8"/>
      <c r="V316" s="11"/>
      <c r="W316" s="8"/>
      <c r="X316" s="8"/>
      <c r="Y316" s="9"/>
      <c r="Z316" s="8"/>
      <c r="AA316" s="8"/>
      <c r="AB316" s="8"/>
      <c r="AC316" s="11"/>
      <c r="AD316" s="8"/>
      <c r="AE316" s="9"/>
      <c r="AF316" s="8"/>
      <c r="AG316" s="9"/>
      <c r="AH316" s="8"/>
      <c r="AI316" s="8"/>
      <c r="AJ316" s="8"/>
      <c r="AK316" s="11"/>
      <c r="AL316" s="8"/>
      <c r="AM316" s="8"/>
      <c r="AN316" s="9"/>
      <c r="AO316" s="8"/>
      <c r="AP316" s="8"/>
      <c r="AQ316" s="8"/>
    </row>
    <row r="317" spans="1:43" x14ac:dyDescent="0.15">
      <c r="A317" s="8"/>
      <c r="B317" s="8"/>
      <c r="C317" s="8"/>
      <c r="D317" s="8"/>
      <c r="E317" s="9"/>
      <c r="F317" s="8"/>
      <c r="G317" s="10"/>
      <c r="H317" s="11"/>
      <c r="I317" s="8"/>
      <c r="J317" s="9"/>
      <c r="K317" s="8"/>
      <c r="L317" s="9"/>
      <c r="M317" s="8"/>
      <c r="N317" s="11"/>
      <c r="O317" s="8"/>
      <c r="P317" s="9"/>
      <c r="Q317" s="8"/>
      <c r="R317" s="9"/>
      <c r="S317" s="8"/>
      <c r="T317" s="8"/>
      <c r="U317" s="8"/>
      <c r="V317" s="11"/>
      <c r="W317" s="8"/>
      <c r="X317" s="8"/>
      <c r="Y317" s="9"/>
      <c r="Z317" s="8"/>
      <c r="AA317" s="8"/>
      <c r="AB317" s="8"/>
      <c r="AC317" s="11"/>
      <c r="AD317" s="8"/>
      <c r="AE317" s="9"/>
      <c r="AF317" s="8"/>
      <c r="AG317" s="9"/>
      <c r="AH317" s="8"/>
      <c r="AI317" s="8"/>
      <c r="AJ317" s="8"/>
      <c r="AK317" s="11"/>
      <c r="AL317" s="8"/>
      <c r="AM317" s="8"/>
      <c r="AN317" s="9"/>
      <c r="AO317" s="8"/>
      <c r="AP317" s="8"/>
      <c r="AQ317" s="8"/>
    </row>
    <row r="318" spans="1:43" x14ac:dyDescent="0.15">
      <c r="A318" s="8"/>
      <c r="B318" s="8"/>
      <c r="C318" s="8"/>
      <c r="D318" s="8"/>
      <c r="E318" s="9"/>
      <c r="F318" s="8"/>
      <c r="G318" s="10"/>
      <c r="H318" s="11"/>
      <c r="I318" s="8"/>
      <c r="J318" s="9"/>
      <c r="K318" s="8"/>
      <c r="L318" s="9"/>
      <c r="M318" s="8"/>
      <c r="N318" s="11"/>
      <c r="O318" s="8"/>
      <c r="P318" s="9"/>
      <c r="Q318" s="8"/>
      <c r="R318" s="9"/>
      <c r="S318" s="8"/>
      <c r="T318" s="8"/>
      <c r="U318" s="8"/>
      <c r="V318" s="11"/>
      <c r="W318" s="8"/>
      <c r="X318" s="8"/>
      <c r="Y318" s="9"/>
      <c r="Z318" s="8"/>
      <c r="AA318" s="8"/>
      <c r="AB318" s="8"/>
      <c r="AC318" s="11"/>
      <c r="AD318" s="8"/>
      <c r="AE318" s="9"/>
      <c r="AF318" s="8"/>
      <c r="AG318" s="9"/>
      <c r="AH318" s="8"/>
      <c r="AI318" s="8"/>
      <c r="AJ318" s="8"/>
      <c r="AK318" s="11"/>
      <c r="AL318" s="8"/>
      <c r="AM318" s="8"/>
      <c r="AN318" s="9"/>
      <c r="AO318" s="8"/>
      <c r="AP318" s="8"/>
      <c r="AQ318" s="8"/>
    </row>
    <row r="319" spans="1:43" x14ac:dyDescent="0.15">
      <c r="A319" s="8"/>
      <c r="B319" s="8"/>
      <c r="C319" s="8"/>
      <c r="D319" s="8"/>
      <c r="E319" s="9"/>
      <c r="F319" s="8"/>
      <c r="G319" s="10"/>
      <c r="H319" s="11"/>
      <c r="I319" s="8"/>
      <c r="J319" s="9"/>
      <c r="K319" s="8"/>
      <c r="L319" s="9"/>
      <c r="M319" s="8"/>
      <c r="N319" s="11"/>
      <c r="O319" s="8"/>
      <c r="P319" s="9"/>
      <c r="Q319" s="8"/>
      <c r="R319" s="9"/>
      <c r="S319" s="8"/>
      <c r="T319" s="8"/>
      <c r="U319" s="8"/>
      <c r="V319" s="11"/>
      <c r="W319" s="8"/>
      <c r="X319" s="8"/>
      <c r="Y319" s="9"/>
      <c r="Z319" s="8"/>
      <c r="AA319" s="8"/>
      <c r="AB319" s="8"/>
      <c r="AC319" s="11"/>
      <c r="AD319" s="8"/>
      <c r="AE319" s="9"/>
      <c r="AF319" s="8"/>
      <c r="AG319" s="9"/>
      <c r="AH319" s="8"/>
      <c r="AI319" s="8"/>
      <c r="AJ319" s="8"/>
      <c r="AK319" s="11"/>
      <c r="AL319" s="8"/>
      <c r="AM319" s="8"/>
      <c r="AN319" s="9"/>
      <c r="AO319" s="8"/>
      <c r="AP319" s="8"/>
      <c r="AQ319" s="8"/>
    </row>
    <row r="320" spans="1:43" x14ac:dyDescent="0.15">
      <c r="A320" s="8"/>
      <c r="B320" s="8"/>
      <c r="C320" s="8"/>
      <c r="D320" s="8"/>
      <c r="E320" s="9"/>
      <c r="F320" s="8"/>
      <c r="G320" s="10"/>
      <c r="H320" s="11"/>
      <c r="I320" s="8"/>
      <c r="J320" s="9"/>
      <c r="K320" s="8"/>
      <c r="L320" s="9"/>
      <c r="M320" s="8"/>
      <c r="N320" s="11"/>
      <c r="O320" s="8"/>
      <c r="P320" s="9"/>
      <c r="Q320" s="8"/>
      <c r="R320" s="9"/>
      <c r="S320" s="8"/>
      <c r="T320" s="8"/>
      <c r="U320" s="8"/>
      <c r="V320" s="132"/>
      <c r="W320" s="8"/>
      <c r="X320" s="8"/>
      <c r="Y320" s="9"/>
      <c r="Z320" s="8"/>
      <c r="AA320" s="8"/>
      <c r="AB320" s="8"/>
      <c r="AC320" s="11"/>
      <c r="AD320" s="8"/>
      <c r="AE320" s="9"/>
      <c r="AF320" s="8"/>
      <c r="AG320" s="9"/>
      <c r="AH320" s="8"/>
      <c r="AI320" s="8"/>
      <c r="AJ320" s="8"/>
      <c r="AK320" s="132"/>
      <c r="AL320" s="8"/>
      <c r="AM320" s="8"/>
      <c r="AN320" s="9"/>
      <c r="AO320" s="8"/>
      <c r="AP320" s="8"/>
      <c r="AQ320" s="8"/>
    </row>
    <row r="321" spans="1:43" x14ac:dyDescent="0.15">
      <c r="A321" s="8"/>
      <c r="B321" s="8"/>
      <c r="C321" s="8"/>
      <c r="D321" s="8"/>
      <c r="E321" s="9"/>
      <c r="F321" s="8"/>
      <c r="G321" s="10"/>
      <c r="H321" s="11"/>
      <c r="I321" s="8"/>
      <c r="J321" s="9"/>
      <c r="K321" s="8"/>
      <c r="L321" s="9"/>
      <c r="M321" s="8"/>
      <c r="N321" s="11"/>
      <c r="O321" s="8"/>
      <c r="P321" s="9"/>
      <c r="Q321" s="8"/>
      <c r="R321" s="9"/>
      <c r="S321" s="8"/>
      <c r="T321" s="8"/>
      <c r="U321" s="8"/>
      <c r="V321" s="11"/>
      <c r="W321" s="8"/>
      <c r="X321" s="8"/>
      <c r="Y321" s="9"/>
      <c r="Z321" s="8"/>
      <c r="AA321" s="8"/>
      <c r="AB321" s="8"/>
      <c r="AC321" s="11"/>
      <c r="AD321" s="8"/>
      <c r="AE321" s="9"/>
      <c r="AF321" s="8"/>
      <c r="AG321" s="9"/>
      <c r="AH321" s="8"/>
      <c r="AI321" s="8"/>
      <c r="AJ321" s="8"/>
      <c r="AK321" s="11"/>
      <c r="AL321" s="8"/>
      <c r="AM321" s="8"/>
      <c r="AN321" s="9"/>
      <c r="AO321" s="8"/>
      <c r="AP321" s="8"/>
      <c r="AQ321" s="8"/>
    </row>
    <row r="322" spans="1:43" x14ac:dyDescent="0.15">
      <c r="A322" s="8"/>
      <c r="B322" s="8"/>
      <c r="C322" s="8"/>
      <c r="D322" s="8"/>
      <c r="E322" s="9"/>
      <c r="F322" s="8"/>
      <c r="G322" s="10"/>
      <c r="H322" s="11"/>
      <c r="I322" s="8"/>
      <c r="J322" s="9"/>
      <c r="K322" s="8"/>
      <c r="L322" s="9"/>
      <c r="M322" s="8"/>
      <c r="N322" s="11"/>
      <c r="O322" s="8"/>
      <c r="P322" s="9"/>
      <c r="Q322" s="8"/>
      <c r="R322" s="9"/>
      <c r="S322" s="8"/>
      <c r="T322" s="8"/>
      <c r="U322" s="8"/>
      <c r="V322" s="11"/>
      <c r="W322" s="8"/>
      <c r="X322" s="8"/>
      <c r="Y322" s="9"/>
      <c r="Z322" s="8"/>
      <c r="AA322" s="8"/>
      <c r="AB322" s="8"/>
      <c r="AC322" s="11"/>
      <c r="AD322" s="8"/>
      <c r="AE322" s="9"/>
      <c r="AF322" s="8"/>
      <c r="AG322" s="9"/>
      <c r="AH322" s="8"/>
      <c r="AI322" s="8"/>
      <c r="AJ322" s="8"/>
      <c r="AK322" s="11"/>
      <c r="AL322" s="8"/>
      <c r="AM322" s="8"/>
      <c r="AN322" s="9"/>
      <c r="AO322" s="8"/>
      <c r="AP322" s="8"/>
      <c r="AQ322" s="8"/>
    </row>
    <row r="323" spans="1:43" x14ac:dyDescent="0.15">
      <c r="A323" s="8"/>
      <c r="B323" s="8"/>
      <c r="C323" s="8"/>
      <c r="D323" s="8"/>
      <c r="E323" s="9"/>
      <c r="F323" s="8"/>
      <c r="G323" s="10"/>
      <c r="H323" s="11"/>
      <c r="I323" s="8"/>
      <c r="J323" s="9"/>
      <c r="K323" s="8"/>
      <c r="L323" s="9"/>
      <c r="M323" s="8"/>
      <c r="N323" s="11"/>
      <c r="O323" s="8"/>
      <c r="P323" s="9"/>
      <c r="Q323" s="8"/>
      <c r="R323" s="9"/>
      <c r="S323" s="8"/>
      <c r="T323" s="8"/>
      <c r="U323" s="8"/>
      <c r="V323" s="11"/>
      <c r="W323" s="8"/>
      <c r="X323" s="8"/>
      <c r="Y323" s="9"/>
      <c r="Z323" s="8"/>
      <c r="AA323" s="8"/>
      <c r="AB323" s="8"/>
      <c r="AC323" s="11"/>
      <c r="AD323" s="8"/>
      <c r="AE323" s="9"/>
      <c r="AF323" s="8"/>
      <c r="AG323" s="9"/>
      <c r="AH323" s="8"/>
      <c r="AI323" s="8"/>
      <c r="AJ323" s="8"/>
      <c r="AK323" s="11"/>
      <c r="AL323" s="8"/>
      <c r="AM323" s="8"/>
      <c r="AN323" s="9"/>
      <c r="AO323" s="8"/>
      <c r="AP323" s="8"/>
      <c r="AQ323" s="8"/>
    </row>
    <row r="324" spans="1:43" x14ac:dyDescent="0.15">
      <c r="A324" s="8"/>
      <c r="B324" s="8"/>
      <c r="C324" s="8"/>
      <c r="D324" s="8"/>
      <c r="E324" s="9"/>
      <c r="F324" s="8"/>
      <c r="G324" s="10"/>
      <c r="H324" s="11"/>
      <c r="I324" s="8"/>
      <c r="J324" s="9"/>
      <c r="K324" s="8"/>
      <c r="L324" s="9"/>
      <c r="M324" s="8"/>
      <c r="N324" s="11"/>
      <c r="O324" s="8"/>
      <c r="P324" s="9"/>
      <c r="Q324" s="8"/>
      <c r="R324" s="9"/>
      <c r="S324" s="8"/>
      <c r="T324" s="8"/>
      <c r="U324" s="8"/>
      <c r="V324" s="11"/>
      <c r="W324" s="8"/>
      <c r="X324" s="8"/>
      <c r="Y324" s="9"/>
      <c r="Z324" s="8"/>
      <c r="AA324" s="8"/>
      <c r="AB324" s="8"/>
      <c r="AC324" s="11"/>
      <c r="AD324" s="8"/>
      <c r="AE324" s="9"/>
      <c r="AF324" s="8"/>
      <c r="AG324" s="9"/>
      <c r="AH324" s="8"/>
      <c r="AI324" s="8"/>
      <c r="AJ324" s="8"/>
      <c r="AK324" s="11"/>
      <c r="AL324" s="8"/>
      <c r="AM324" s="8"/>
      <c r="AN324" s="9"/>
      <c r="AO324" s="8"/>
      <c r="AP324" s="8"/>
      <c r="AQ324" s="8"/>
    </row>
    <row r="325" spans="1:43" x14ac:dyDescent="0.15">
      <c r="A325" s="8"/>
      <c r="B325" s="8"/>
      <c r="C325" s="8"/>
      <c r="D325" s="8"/>
      <c r="E325" s="9"/>
      <c r="F325" s="8"/>
      <c r="G325" s="10"/>
      <c r="H325" s="11"/>
      <c r="I325" s="8"/>
      <c r="J325" s="9"/>
      <c r="K325" s="8"/>
      <c r="L325" s="9"/>
      <c r="M325" s="8"/>
      <c r="N325" s="11"/>
      <c r="O325" s="8"/>
      <c r="P325" s="9"/>
      <c r="Q325" s="8"/>
      <c r="R325" s="9"/>
      <c r="S325" s="8"/>
      <c r="T325" s="8"/>
      <c r="U325" s="8"/>
      <c r="V325" s="132"/>
      <c r="W325" s="8"/>
      <c r="X325" s="8"/>
      <c r="Y325" s="9"/>
      <c r="Z325" s="8"/>
      <c r="AA325" s="8"/>
      <c r="AB325" s="8"/>
      <c r="AC325" s="11"/>
      <c r="AD325" s="8"/>
      <c r="AE325" s="9"/>
      <c r="AF325" s="8"/>
      <c r="AG325" s="9"/>
      <c r="AH325" s="8"/>
      <c r="AI325" s="8"/>
      <c r="AJ325" s="8"/>
      <c r="AK325" s="132"/>
      <c r="AL325" s="8"/>
      <c r="AM325" s="8"/>
      <c r="AN325" s="9"/>
      <c r="AO325" s="8"/>
      <c r="AP325" s="8"/>
      <c r="AQ325" s="8"/>
    </row>
    <row r="326" spans="1:43" x14ac:dyDescent="0.15">
      <c r="A326" s="8"/>
      <c r="B326" s="8"/>
      <c r="C326" s="8"/>
      <c r="D326" s="8"/>
      <c r="E326" s="9"/>
      <c r="F326" s="8"/>
      <c r="G326" s="10"/>
      <c r="H326" s="11"/>
      <c r="I326" s="8"/>
      <c r="J326" s="9"/>
      <c r="K326" s="8"/>
      <c r="L326" s="9"/>
      <c r="M326" s="8"/>
      <c r="N326" s="11"/>
      <c r="O326" s="8"/>
      <c r="P326" s="9"/>
      <c r="Q326" s="8"/>
      <c r="R326" s="9"/>
      <c r="S326" s="8"/>
      <c r="T326" s="8"/>
      <c r="U326" s="8"/>
      <c r="V326" s="132"/>
      <c r="W326" s="8"/>
      <c r="X326" s="8"/>
      <c r="Y326" s="9"/>
      <c r="Z326" s="8"/>
      <c r="AA326" s="8"/>
      <c r="AB326" s="8"/>
      <c r="AC326" s="11"/>
      <c r="AD326" s="8"/>
      <c r="AE326" s="9"/>
      <c r="AF326" s="8"/>
      <c r="AG326" s="9"/>
      <c r="AH326" s="8"/>
      <c r="AI326" s="8"/>
      <c r="AJ326" s="8"/>
      <c r="AK326" s="132"/>
      <c r="AL326" s="8"/>
      <c r="AM326" s="8"/>
      <c r="AN326" s="9"/>
      <c r="AO326" s="8"/>
      <c r="AP326" s="8"/>
      <c r="AQ326" s="8"/>
    </row>
    <row r="327" spans="1:43" x14ac:dyDescent="0.15">
      <c r="A327" s="8"/>
      <c r="B327" s="8"/>
      <c r="C327" s="8"/>
      <c r="D327" s="8"/>
      <c r="E327" s="9"/>
      <c r="F327" s="8"/>
      <c r="G327" s="10"/>
      <c r="H327" s="11"/>
      <c r="I327" s="8"/>
      <c r="J327" s="9"/>
      <c r="K327" s="8"/>
      <c r="L327" s="9"/>
      <c r="M327" s="8"/>
      <c r="N327" s="11"/>
      <c r="O327" s="8"/>
      <c r="P327" s="9"/>
      <c r="Q327" s="8"/>
      <c r="R327" s="9"/>
      <c r="S327" s="8"/>
      <c r="T327" s="8"/>
      <c r="U327" s="8"/>
      <c r="V327" s="132"/>
      <c r="W327" s="8"/>
      <c r="X327" s="8"/>
      <c r="Y327" s="9"/>
      <c r="Z327" s="8"/>
      <c r="AA327" s="8"/>
      <c r="AB327" s="8"/>
      <c r="AC327" s="11"/>
      <c r="AD327" s="8"/>
      <c r="AE327" s="9"/>
      <c r="AF327" s="8"/>
      <c r="AG327" s="9"/>
      <c r="AH327" s="8"/>
      <c r="AI327" s="8"/>
      <c r="AJ327" s="8"/>
      <c r="AK327" s="132"/>
      <c r="AL327" s="8"/>
      <c r="AM327" s="8"/>
      <c r="AN327" s="9"/>
      <c r="AO327" s="8"/>
      <c r="AP327" s="8"/>
      <c r="AQ327" s="8"/>
    </row>
    <row r="328" spans="1:43" x14ac:dyDescent="0.15">
      <c r="A328" s="8"/>
      <c r="B328" s="8"/>
      <c r="C328" s="8"/>
      <c r="D328" s="8"/>
      <c r="E328" s="9"/>
      <c r="F328" s="8"/>
      <c r="G328" s="10"/>
      <c r="H328" s="132"/>
      <c r="I328" s="8"/>
      <c r="J328" s="9"/>
      <c r="K328" s="8"/>
      <c r="L328" s="9"/>
      <c r="M328" s="8"/>
      <c r="N328" s="132"/>
      <c r="O328" s="8"/>
      <c r="P328" s="9"/>
      <c r="Q328" s="8"/>
      <c r="R328" s="9"/>
      <c r="S328" s="8"/>
      <c r="T328" s="8"/>
      <c r="U328" s="8"/>
      <c r="V328" s="132"/>
      <c r="W328" s="8"/>
      <c r="X328" s="8"/>
      <c r="Y328" s="9"/>
      <c r="Z328" s="8"/>
      <c r="AA328" s="8"/>
      <c r="AB328" s="8"/>
      <c r="AC328" s="132"/>
      <c r="AD328" s="8"/>
      <c r="AE328" s="9"/>
      <c r="AF328" s="8"/>
      <c r="AG328" s="9"/>
      <c r="AH328" s="8"/>
      <c r="AI328" s="8"/>
      <c r="AJ328" s="8"/>
      <c r="AK328" s="132"/>
      <c r="AL328" s="8"/>
      <c r="AM328" s="8"/>
      <c r="AN328" s="9"/>
      <c r="AO328" s="8"/>
      <c r="AP328" s="8"/>
      <c r="AQ328" s="8"/>
    </row>
    <row r="329" spans="1:43" x14ac:dyDescent="0.15">
      <c r="A329" s="8"/>
      <c r="B329" s="8"/>
      <c r="C329" s="8"/>
      <c r="D329" s="8"/>
      <c r="E329" s="9"/>
      <c r="F329" s="8"/>
      <c r="G329" s="10"/>
      <c r="H329" s="132"/>
      <c r="I329" s="8"/>
      <c r="J329" s="9"/>
      <c r="K329" s="8"/>
      <c r="L329" s="9"/>
      <c r="M329" s="8"/>
      <c r="N329" s="132"/>
      <c r="O329" s="8"/>
      <c r="P329" s="9"/>
      <c r="Q329" s="8"/>
      <c r="R329" s="9"/>
      <c r="S329" s="8"/>
      <c r="T329" s="8"/>
      <c r="U329" s="8"/>
      <c r="V329" s="132"/>
      <c r="W329" s="8"/>
      <c r="X329" s="8"/>
      <c r="Y329" s="9"/>
      <c r="Z329" s="8"/>
      <c r="AA329" s="8"/>
      <c r="AB329" s="8"/>
      <c r="AC329" s="132"/>
      <c r="AD329" s="8"/>
      <c r="AE329" s="9"/>
      <c r="AF329" s="8"/>
      <c r="AG329" s="9"/>
      <c r="AH329" s="8"/>
      <c r="AI329" s="8"/>
      <c r="AJ329" s="8"/>
      <c r="AK329" s="132"/>
      <c r="AL329" s="8"/>
      <c r="AM329" s="8"/>
      <c r="AN329" s="9"/>
      <c r="AO329" s="8"/>
      <c r="AP329" s="8"/>
      <c r="AQ329" s="8"/>
    </row>
    <row r="330" spans="1:43" x14ac:dyDescent="0.15">
      <c r="A330" s="8"/>
      <c r="B330" s="8"/>
      <c r="C330" s="8"/>
      <c r="D330" s="8"/>
      <c r="E330" s="9"/>
      <c r="F330" s="8"/>
      <c r="G330" s="10"/>
      <c r="H330" s="11"/>
      <c r="I330" s="8"/>
      <c r="J330" s="9"/>
      <c r="K330" s="8"/>
      <c r="L330" s="9"/>
      <c r="M330" s="8"/>
      <c r="N330" s="11"/>
      <c r="O330" s="8"/>
      <c r="P330" s="9"/>
      <c r="Q330" s="8"/>
      <c r="R330" s="9"/>
      <c r="S330" s="8"/>
      <c r="T330" s="8"/>
      <c r="U330" s="8"/>
      <c r="V330" s="11"/>
      <c r="W330" s="8"/>
      <c r="X330" s="8"/>
      <c r="Y330" s="9"/>
      <c r="Z330" s="8"/>
      <c r="AA330" s="8"/>
      <c r="AB330" s="8"/>
      <c r="AC330" s="11"/>
      <c r="AD330" s="8"/>
      <c r="AE330" s="9"/>
      <c r="AF330" s="8"/>
      <c r="AG330" s="9"/>
      <c r="AH330" s="8"/>
      <c r="AI330" s="8"/>
      <c r="AJ330" s="8"/>
      <c r="AK330" s="11"/>
      <c r="AL330" s="8"/>
      <c r="AM330" s="8"/>
      <c r="AN330" s="9"/>
      <c r="AO330" s="8"/>
      <c r="AP330" s="8"/>
      <c r="AQ330" s="8"/>
    </row>
    <row r="331" spans="1:43" x14ac:dyDescent="0.15">
      <c r="A331" s="8"/>
      <c r="B331" s="8"/>
      <c r="C331" s="8"/>
      <c r="D331" s="8"/>
      <c r="E331" s="9"/>
      <c r="F331" s="8"/>
      <c r="G331" s="10"/>
      <c r="H331" s="11"/>
      <c r="I331" s="8"/>
      <c r="J331" s="9"/>
      <c r="K331" s="8"/>
      <c r="L331" s="9"/>
      <c r="M331" s="8"/>
      <c r="N331" s="11"/>
      <c r="O331" s="8"/>
      <c r="P331" s="9"/>
      <c r="Q331" s="8"/>
      <c r="R331" s="9"/>
      <c r="S331" s="8"/>
      <c r="T331" s="8"/>
      <c r="U331" s="8"/>
      <c r="V331" s="11"/>
      <c r="W331" s="8"/>
      <c r="X331" s="8"/>
      <c r="Y331" s="9"/>
      <c r="Z331" s="8"/>
      <c r="AA331" s="8"/>
      <c r="AB331" s="8"/>
      <c r="AC331" s="11"/>
      <c r="AD331" s="8"/>
      <c r="AE331" s="9"/>
      <c r="AF331" s="8"/>
      <c r="AG331" s="9"/>
      <c r="AH331" s="8"/>
      <c r="AI331" s="8"/>
      <c r="AJ331" s="8"/>
      <c r="AK331" s="11"/>
      <c r="AL331" s="8"/>
      <c r="AM331" s="8"/>
      <c r="AN331" s="9"/>
      <c r="AO331" s="8"/>
      <c r="AP331" s="8"/>
      <c r="AQ331" s="8"/>
    </row>
    <row r="332" spans="1:43" x14ac:dyDescent="0.15">
      <c r="A332" s="8"/>
      <c r="B332" s="8"/>
      <c r="C332" s="8"/>
      <c r="D332" s="8"/>
      <c r="E332" s="9"/>
      <c r="F332" s="8"/>
      <c r="G332" s="10"/>
      <c r="H332" s="132"/>
      <c r="I332" s="8"/>
      <c r="J332" s="9"/>
      <c r="K332" s="8"/>
      <c r="L332" s="9"/>
      <c r="M332" s="8"/>
      <c r="N332" s="132"/>
      <c r="O332" s="8"/>
      <c r="P332" s="9"/>
      <c r="Q332" s="8"/>
      <c r="R332" s="9"/>
      <c r="S332" s="8"/>
      <c r="T332" s="8"/>
      <c r="U332" s="8"/>
      <c r="V332" s="11"/>
      <c r="W332" s="8"/>
      <c r="X332" s="8"/>
      <c r="Y332" s="9"/>
      <c r="Z332" s="8"/>
      <c r="AA332" s="8"/>
      <c r="AB332" s="8"/>
      <c r="AC332" s="132"/>
      <c r="AD332" s="8"/>
      <c r="AE332" s="9"/>
      <c r="AF332" s="8"/>
      <c r="AG332" s="9"/>
      <c r="AH332" s="8"/>
      <c r="AI332" s="8"/>
      <c r="AJ332" s="8"/>
      <c r="AK332" s="11"/>
      <c r="AL332" s="8"/>
      <c r="AM332" s="8"/>
      <c r="AN332" s="9"/>
      <c r="AO332" s="8"/>
      <c r="AP332" s="8"/>
      <c r="AQ332" s="8"/>
    </row>
    <row r="333" spans="1:43" x14ac:dyDescent="0.15">
      <c r="A333" s="8"/>
      <c r="B333" s="8"/>
      <c r="C333" s="8"/>
      <c r="D333" s="8"/>
      <c r="E333" s="9"/>
      <c r="F333" s="8"/>
      <c r="G333" s="10"/>
      <c r="H333" s="132"/>
      <c r="I333" s="8"/>
      <c r="J333" s="9"/>
      <c r="K333" s="8"/>
      <c r="L333" s="9"/>
      <c r="M333" s="8"/>
      <c r="N333" s="132"/>
      <c r="O333" s="8"/>
      <c r="P333" s="9"/>
      <c r="Q333" s="8"/>
      <c r="R333" s="9"/>
      <c r="S333" s="8"/>
      <c r="T333" s="8"/>
      <c r="U333" s="8"/>
      <c r="V333" s="11"/>
      <c r="W333" s="8"/>
      <c r="X333" s="8"/>
      <c r="Y333" s="9"/>
      <c r="Z333" s="8"/>
      <c r="AA333" s="8"/>
      <c r="AB333" s="8"/>
      <c r="AC333" s="132"/>
      <c r="AD333" s="8"/>
      <c r="AE333" s="9"/>
      <c r="AF333" s="8"/>
      <c r="AG333" s="9"/>
      <c r="AH333" s="8"/>
      <c r="AI333" s="8"/>
      <c r="AJ333" s="8"/>
      <c r="AK333" s="11"/>
      <c r="AL333" s="8"/>
      <c r="AM333" s="8"/>
      <c r="AN333" s="9"/>
      <c r="AO333" s="8"/>
      <c r="AP333" s="8"/>
      <c r="AQ333" s="8"/>
    </row>
    <row r="334" spans="1:43" x14ac:dyDescent="0.15">
      <c r="A334" s="8"/>
      <c r="B334" s="8"/>
      <c r="C334" s="8"/>
      <c r="D334" s="8"/>
      <c r="E334" s="9"/>
      <c r="F334" s="8"/>
      <c r="G334" s="10"/>
      <c r="H334" s="11"/>
      <c r="I334" s="8"/>
      <c r="J334" s="9"/>
      <c r="K334" s="8"/>
      <c r="L334" s="9"/>
      <c r="M334" s="8"/>
      <c r="N334" s="11"/>
      <c r="O334" s="8"/>
      <c r="P334" s="9"/>
      <c r="Q334" s="8"/>
      <c r="R334" s="9"/>
      <c r="S334" s="8"/>
      <c r="T334" s="8"/>
      <c r="U334" s="8"/>
      <c r="V334" s="11"/>
      <c r="W334" s="8"/>
      <c r="X334" s="8"/>
      <c r="Y334" s="9"/>
      <c r="Z334" s="8"/>
      <c r="AA334" s="8"/>
      <c r="AB334" s="8"/>
      <c r="AC334" s="11"/>
      <c r="AD334" s="8"/>
      <c r="AE334" s="9"/>
      <c r="AF334" s="8"/>
      <c r="AG334" s="9"/>
      <c r="AH334" s="8"/>
      <c r="AI334" s="8"/>
      <c r="AJ334" s="8"/>
      <c r="AK334" s="11"/>
      <c r="AL334" s="8"/>
      <c r="AM334" s="8"/>
      <c r="AN334" s="9"/>
      <c r="AO334" s="8"/>
      <c r="AP334" s="8"/>
      <c r="AQ334" s="8"/>
    </row>
    <row r="335" spans="1:43" x14ac:dyDescent="0.15">
      <c r="A335" s="8"/>
      <c r="B335" s="8"/>
      <c r="C335" s="8"/>
      <c r="D335" s="8"/>
      <c r="E335" s="9"/>
      <c r="F335" s="8"/>
      <c r="G335" s="10"/>
      <c r="H335" s="11"/>
      <c r="I335" s="8"/>
      <c r="J335" s="9"/>
      <c r="K335" s="8"/>
      <c r="L335" s="9"/>
      <c r="M335" s="8"/>
      <c r="N335" s="11"/>
      <c r="O335" s="8"/>
      <c r="P335" s="9"/>
      <c r="Q335" s="8"/>
      <c r="R335" s="9"/>
      <c r="S335" s="8"/>
      <c r="T335" s="8"/>
      <c r="U335" s="8"/>
      <c r="V335" s="11"/>
      <c r="W335" s="8"/>
      <c r="X335" s="8"/>
      <c r="Y335" s="9"/>
      <c r="Z335" s="8"/>
      <c r="AA335" s="8"/>
      <c r="AB335" s="8"/>
      <c r="AC335" s="11"/>
      <c r="AD335" s="8"/>
      <c r="AE335" s="9"/>
      <c r="AF335" s="8"/>
      <c r="AG335" s="9"/>
      <c r="AH335" s="8"/>
      <c r="AI335" s="8"/>
      <c r="AJ335" s="8"/>
      <c r="AK335" s="11"/>
      <c r="AL335" s="8"/>
      <c r="AM335" s="8"/>
      <c r="AN335" s="9"/>
      <c r="AO335" s="8"/>
      <c r="AP335" s="8"/>
      <c r="AQ335" s="8"/>
    </row>
    <row r="336" spans="1:43" x14ac:dyDescent="0.15">
      <c r="A336" s="8"/>
      <c r="B336" s="8"/>
      <c r="C336" s="8"/>
      <c r="D336" s="8"/>
      <c r="E336" s="9"/>
      <c r="F336" s="8"/>
      <c r="G336" s="10"/>
      <c r="H336" s="11"/>
      <c r="I336" s="8"/>
      <c r="J336" s="9"/>
      <c r="K336" s="8"/>
      <c r="L336" s="9"/>
      <c r="M336" s="8"/>
      <c r="N336" s="11"/>
      <c r="O336" s="8"/>
      <c r="P336" s="9"/>
      <c r="Q336" s="8"/>
      <c r="R336" s="9"/>
      <c r="S336" s="8"/>
      <c r="T336" s="8"/>
      <c r="U336" s="8"/>
      <c r="V336" s="11"/>
      <c r="W336" s="8"/>
      <c r="X336" s="8"/>
      <c r="Y336" s="9"/>
      <c r="Z336" s="8"/>
      <c r="AA336" s="8"/>
      <c r="AB336" s="8"/>
      <c r="AC336" s="11"/>
      <c r="AD336" s="8"/>
      <c r="AE336" s="9"/>
      <c r="AF336" s="8"/>
      <c r="AG336" s="9"/>
      <c r="AH336" s="8"/>
      <c r="AI336" s="8"/>
      <c r="AJ336" s="8"/>
      <c r="AK336" s="11"/>
      <c r="AL336" s="8"/>
      <c r="AM336" s="8"/>
      <c r="AN336" s="9"/>
      <c r="AO336" s="8"/>
      <c r="AP336" s="8"/>
      <c r="AQ336" s="8"/>
    </row>
    <row r="337" spans="1:43" x14ac:dyDescent="0.15">
      <c r="A337" s="8"/>
      <c r="B337" s="8"/>
      <c r="C337" s="8"/>
      <c r="D337" s="8"/>
      <c r="E337" s="9"/>
      <c r="F337" s="8"/>
      <c r="G337" s="10"/>
      <c r="H337" s="11"/>
      <c r="I337" s="8"/>
      <c r="J337" s="9"/>
      <c r="K337" s="8"/>
      <c r="L337" s="9"/>
      <c r="M337" s="8"/>
      <c r="N337" s="11"/>
      <c r="O337" s="8"/>
      <c r="P337" s="9"/>
      <c r="Q337" s="8"/>
      <c r="R337" s="9"/>
      <c r="S337" s="8"/>
      <c r="T337" s="8"/>
      <c r="U337" s="8"/>
      <c r="V337" s="11"/>
      <c r="W337" s="8"/>
      <c r="X337" s="8"/>
      <c r="Y337" s="9"/>
      <c r="Z337" s="8"/>
      <c r="AA337" s="8"/>
      <c r="AB337" s="8"/>
      <c r="AC337" s="11"/>
      <c r="AD337" s="8"/>
      <c r="AE337" s="9"/>
      <c r="AF337" s="8"/>
      <c r="AG337" s="9"/>
      <c r="AH337" s="8"/>
      <c r="AI337" s="8"/>
      <c r="AJ337" s="8"/>
      <c r="AK337" s="11"/>
      <c r="AL337" s="8"/>
      <c r="AM337" s="8"/>
      <c r="AN337" s="9"/>
      <c r="AO337" s="8"/>
      <c r="AP337" s="8"/>
      <c r="AQ337" s="8"/>
    </row>
    <row r="338" spans="1:43" x14ac:dyDescent="0.15">
      <c r="A338" s="8"/>
      <c r="B338" s="8"/>
      <c r="C338" s="8"/>
      <c r="D338" s="8"/>
      <c r="E338" s="9"/>
      <c r="F338" s="8"/>
      <c r="G338" s="10"/>
      <c r="H338" s="11"/>
      <c r="I338" s="8"/>
      <c r="J338" s="9"/>
      <c r="K338" s="8"/>
      <c r="L338" s="9"/>
      <c r="M338" s="8"/>
      <c r="N338" s="11"/>
      <c r="O338" s="8"/>
      <c r="P338" s="9"/>
      <c r="Q338" s="8"/>
      <c r="R338" s="9"/>
      <c r="S338" s="8"/>
      <c r="T338" s="8"/>
      <c r="U338" s="8"/>
      <c r="V338" s="132"/>
      <c r="W338" s="8"/>
      <c r="X338" s="8"/>
      <c r="Y338" s="9"/>
      <c r="Z338" s="8"/>
      <c r="AA338" s="8"/>
      <c r="AB338" s="8"/>
      <c r="AC338" s="11"/>
      <c r="AD338" s="8"/>
      <c r="AE338" s="9"/>
      <c r="AF338" s="8"/>
      <c r="AG338" s="9"/>
      <c r="AH338" s="8"/>
      <c r="AI338" s="8"/>
      <c r="AJ338" s="8"/>
      <c r="AK338" s="132"/>
      <c r="AL338" s="8"/>
      <c r="AM338" s="8"/>
      <c r="AN338" s="9"/>
      <c r="AO338" s="8"/>
      <c r="AP338" s="8"/>
      <c r="AQ338" s="8"/>
    </row>
    <row r="339" spans="1:43" x14ac:dyDescent="0.15">
      <c r="A339" s="8"/>
      <c r="B339" s="8"/>
      <c r="C339" s="8"/>
      <c r="D339" s="8"/>
      <c r="E339" s="9"/>
      <c r="F339" s="8"/>
      <c r="G339" s="10"/>
      <c r="H339" s="11"/>
      <c r="I339" s="8"/>
      <c r="J339" s="9"/>
      <c r="K339" s="8"/>
      <c r="L339" s="9"/>
      <c r="M339" s="8"/>
      <c r="N339" s="11"/>
      <c r="O339" s="8"/>
      <c r="P339" s="9"/>
      <c r="Q339" s="8"/>
      <c r="R339" s="9"/>
      <c r="S339" s="8"/>
      <c r="T339" s="8"/>
      <c r="U339" s="8"/>
      <c r="V339" s="11"/>
      <c r="W339" s="8"/>
      <c r="X339" s="8"/>
      <c r="Y339" s="9"/>
      <c r="Z339" s="8"/>
      <c r="AA339" s="8"/>
      <c r="AB339" s="8"/>
      <c r="AC339" s="11"/>
      <c r="AD339" s="8"/>
      <c r="AE339" s="9"/>
      <c r="AF339" s="8"/>
      <c r="AG339" s="9"/>
      <c r="AH339" s="8"/>
      <c r="AI339" s="8"/>
      <c r="AJ339" s="8"/>
      <c r="AK339" s="11"/>
      <c r="AL339" s="8"/>
      <c r="AM339" s="8"/>
      <c r="AN339" s="9"/>
      <c r="AO339" s="8"/>
      <c r="AP339" s="8"/>
      <c r="AQ339" s="8"/>
    </row>
    <row r="340" spans="1:43" x14ac:dyDescent="0.15">
      <c r="A340" s="8"/>
      <c r="B340" s="8"/>
      <c r="C340" s="8"/>
      <c r="D340" s="8"/>
      <c r="E340" s="9"/>
      <c r="F340" s="8"/>
      <c r="G340" s="10"/>
      <c r="H340" s="11"/>
      <c r="I340" s="8"/>
      <c r="J340" s="9"/>
      <c r="K340" s="8"/>
      <c r="L340" s="9"/>
      <c r="M340" s="8"/>
      <c r="N340" s="11"/>
      <c r="O340" s="8"/>
      <c r="P340" s="9"/>
      <c r="Q340" s="8"/>
      <c r="R340" s="9"/>
      <c r="S340" s="8"/>
      <c r="T340" s="8"/>
      <c r="U340" s="8"/>
      <c r="V340" s="11"/>
      <c r="W340" s="8"/>
      <c r="X340" s="8"/>
      <c r="Y340" s="9"/>
      <c r="Z340" s="8"/>
      <c r="AA340" s="8"/>
      <c r="AB340" s="8"/>
      <c r="AC340" s="11"/>
      <c r="AD340" s="8"/>
      <c r="AE340" s="9"/>
      <c r="AF340" s="8"/>
      <c r="AG340" s="9"/>
      <c r="AH340" s="8"/>
      <c r="AI340" s="8"/>
      <c r="AJ340" s="8"/>
      <c r="AK340" s="11"/>
      <c r="AL340" s="8"/>
      <c r="AM340" s="8"/>
      <c r="AN340" s="9"/>
      <c r="AO340" s="8"/>
      <c r="AP340" s="8"/>
      <c r="AQ340" s="8"/>
    </row>
    <row r="341" spans="1:43" x14ac:dyDescent="0.15">
      <c r="A341" s="8"/>
      <c r="B341" s="8"/>
      <c r="C341" s="8"/>
      <c r="D341" s="8"/>
      <c r="E341" s="9"/>
      <c r="F341" s="8"/>
      <c r="G341" s="10"/>
      <c r="H341" s="11"/>
      <c r="I341" s="8"/>
      <c r="J341" s="9"/>
      <c r="K341" s="8"/>
      <c r="L341" s="9"/>
      <c r="M341" s="8"/>
      <c r="N341" s="11"/>
      <c r="O341" s="8"/>
      <c r="P341" s="9"/>
      <c r="Q341" s="8"/>
      <c r="R341" s="9"/>
      <c r="S341" s="8"/>
      <c r="T341" s="8"/>
      <c r="U341" s="8"/>
      <c r="V341" s="11"/>
      <c r="W341" s="8"/>
      <c r="X341" s="8"/>
      <c r="Y341" s="9"/>
      <c r="Z341" s="8"/>
      <c r="AA341" s="8"/>
      <c r="AB341" s="8"/>
      <c r="AC341" s="11"/>
      <c r="AD341" s="8"/>
      <c r="AE341" s="9"/>
      <c r="AF341" s="8"/>
      <c r="AG341" s="9"/>
      <c r="AH341" s="8"/>
      <c r="AI341" s="8"/>
      <c r="AJ341" s="8"/>
      <c r="AK341" s="11"/>
      <c r="AL341" s="8"/>
      <c r="AM341" s="8"/>
      <c r="AN341" s="9"/>
      <c r="AO341" s="8"/>
      <c r="AP341" s="8"/>
      <c r="AQ341" s="8"/>
    </row>
    <row r="342" spans="1:43" x14ac:dyDescent="0.15">
      <c r="A342" s="8"/>
      <c r="B342" s="8"/>
      <c r="C342" s="8"/>
      <c r="D342" s="8"/>
      <c r="E342" s="9"/>
      <c r="F342" s="8"/>
      <c r="G342" s="10"/>
      <c r="H342" s="11"/>
      <c r="I342" s="8"/>
      <c r="J342" s="9"/>
      <c r="K342" s="8"/>
      <c r="L342" s="9"/>
      <c r="M342" s="8"/>
      <c r="N342" s="11"/>
      <c r="O342" s="8"/>
      <c r="P342" s="9"/>
      <c r="Q342" s="8"/>
      <c r="R342" s="9"/>
      <c r="S342" s="8"/>
      <c r="T342" s="8"/>
      <c r="U342" s="8"/>
      <c r="V342" s="11"/>
      <c r="W342" s="8"/>
      <c r="X342" s="8"/>
      <c r="Y342" s="9"/>
      <c r="Z342" s="8"/>
      <c r="AA342" s="8"/>
      <c r="AB342" s="8"/>
      <c r="AC342" s="11"/>
      <c r="AD342" s="8"/>
      <c r="AE342" s="9"/>
      <c r="AF342" s="8"/>
      <c r="AG342" s="9"/>
      <c r="AH342" s="8"/>
      <c r="AI342" s="8"/>
      <c r="AJ342" s="8"/>
      <c r="AK342" s="11"/>
      <c r="AL342" s="8"/>
      <c r="AM342" s="8"/>
      <c r="AN342" s="9"/>
      <c r="AO342" s="8"/>
      <c r="AP342" s="8"/>
      <c r="AQ342" s="8"/>
    </row>
    <row r="343" spans="1:43" x14ac:dyDescent="0.15">
      <c r="A343" s="8"/>
      <c r="B343" s="8"/>
      <c r="C343" s="8"/>
      <c r="D343" s="8"/>
      <c r="E343" s="9"/>
      <c r="F343" s="8"/>
      <c r="G343" s="10"/>
      <c r="H343" s="11"/>
      <c r="I343" s="8"/>
      <c r="J343" s="9"/>
      <c r="K343" s="8"/>
      <c r="L343" s="9"/>
      <c r="M343" s="8"/>
      <c r="N343" s="11"/>
      <c r="O343" s="8"/>
      <c r="P343" s="9"/>
      <c r="Q343" s="8"/>
      <c r="R343" s="9"/>
      <c r="S343" s="8"/>
      <c r="T343" s="8"/>
      <c r="U343" s="8"/>
      <c r="V343" s="11"/>
      <c r="W343" s="8"/>
      <c r="X343" s="8"/>
      <c r="Y343" s="9"/>
      <c r="Z343" s="8"/>
      <c r="AA343" s="8"/>
      <c r="AB343" s="8"/>
      <c r="AC343" s="11"/>
      <c r="AD343" s="8"/>
      <c r="AE343" s="9"/>
      <c r="AF343" s="8"/>
      <c r="AG343" s="9"/>
      <c r="AH343" s="8"/>
      <c r="AI343" s="8"/>
      <c r="AJ343" s="8"/>
      <c r="AK343" s="11"/>
      <c r="AL343" s="8"/>
      <c r="AM343" s="8"/>
      <c r="AN343" s="9"/>
      <c r="AO343" s="8"/>
      <c r="AP343" s="8"/>
      <c r="AQ343" s="8"/>
    </row>
    <row r="344" spans="1:43" x14ac:dyDescent="0.15">
      <c r="A344" s="8"/>
      <c r="B344" s="8"/>
      <c r="C344" s="8"/>
      <c r="D344" s="8"/>
      <c r="E344" s="9"/>
      <c r="F344" s="8"/>
      <c r="G344" s="10"/>
      <c r="H344" s="11"/>
      <c r="I344" s="8"/>
      <c r="J344" s="9"/>
      <c r="K344" s="8"/>
      <c r="L344" s="9"/>
      <c r="M344" s="8"/>
      <c r="N344" s="11"/>
      <c r="O344" s="8"/>
      <c r="P344" s="9"/>
      <c r="Q344" s="8"/>
      <c r="R344" s="9"/>
      <c r="S344" s="8"/>
      <c r="T344" s="8"/>
      <c r="U344" s="8"/>
      <c r="V344" s="132"/>
      <c r="W344" s="8"/>
      <c r="X344" s="8"/>
      <c r="Y344" s="9"/>
      <c r="Z344" s="8"/>
      <c r="AA344" s="8"/>
      <c r="AB344" s="8"/>
      <c r="AC344" s="11"/>
      <c r="AD344" s="8"/>
      <c r="AE344" s="9"/>
      <c r="AF344" s="8"/>
      <c r="AG344" s="9"/>
      <c r="AH344" s="8"/>
      <c r="AI344" s="8"/>
      <c r="AJ344" s="8"/>
      <c r="AK344" s="132"/>
      <c r="AL344" s="8"/>
      <c r="AM344" s="8"/>
      <c r="AN344" s="9"/>
      <c r="AO344" s="8"/>
      <c r="AP344" s="8"/>
      <c r="AQ344" s="8"/>
    </row>
    <row r="345" spans="1:43" x14ac:dyDescent="0.15">
      <c r="A345" s="8"/>
      <c r="B345" s="8"/>
      <c r="C345" s="8"/>
      <c r="D345" s="8"/>
      <c r="E345" s="9"/>
      <c r="F345" s="8"/>
      <c r="G345" s="10"/>
      <c r="H345" s="11"/>
      <c r="I345" s="8"/>
      <c r="J345" s="9"/>
      <c r="K345" s="8"/>
      <c r="L345" s="9"/>
      <c r="M345" s="8"/>
      <c r="N345" s="11"/>
      <c r="O345" s="8"/>
      <c r="P345" s="9"/>
      <c r="Q345" s="8"/>
      <c r="R345" s="9"/>
      <c r="S345" s="8"/>
      <c r="T345" s="8"/>
      <c r="U345" s="8"/>
      <c r="V345" s="132"/>
      <c r="W345" s="8"/>
      <c r="X345" s="8"/>
      <c r="Y345" s="9"/>
      <c r="Z345" s="8"/>
      <c r="AA345" s="8"/>
      <c r="AB345" s="8"/>
      <c r="AC345" s="11"/>
      <c r="AD345" s="8"/>
      <c r="AE345" s="9"/>
      <c r="AF345" s="8"/>
      <c r="AG345" s="9"/>
      <c r="AH345" s="8"/>
      <c r="AI345" s="8"/>
      <c r="AJ345" s="8"/>
      <c r="AK345" s="132"/>
      <c r="AL345" s="8"/>
      <c r="AM345" s="8"/>
      <c r="AN345" s="9"/>
      <c r="AO345" s="8"/>
      <c r="AP345" s="8"/>
      <c r="AQ345" s="8"/>
    </row>
    <row r="346" spans="1:43" x14ac:dyDescent="0.15">
      <c r="A346" s="8"/>
      <c r="B346" s="8"/>
      <c r="C346" s="8"/>
      <c r="D346" s="8"/>
      <c r="E346" s="9"/>
      <c r="F346" s="8"/>
      <c r="G346" s="10"/>
      <c r="H346" s="11"/>
      <c r="I346" s="8"/>
      <c r="J346" s="9"/>
      <c r="K346" s="8"/>
      <c r="L346" s="9"/>
      <c r="M346" s="8"/>
      <c r="N346" s="11"/>
      <c r="O346" s="8"/>
      <c r="P346" s="9"/>
      <c r="Q346" s="8"/>
      <c r="R346" s="9"/>
      <c r="S346" s="8"/>
      <c r="T346" s="8"/>
      <c r="U346" s="8"/>
      <c r="V346" s="132"/>
      <c r="W346" s="8"/>
      <c r="X346" s="8"/>
      <c r="Y346" s="9"/>
      <c r="Z346" s="8"/>
      <c r="AA346" s="8"/>
      <c r="AB346" s="8"/>
      <c r="AC346" s="11"/>
      <c r="AD346" s="8"/>
      <c r="AE346" s="9"/>
      <c r="AF346" s="8"/>
      <c r="AG346" s="9"/>
      <c r="AH346" s="8"/>
      <c r="AI346" s="8"/>
      <c r="AJ346" s="8"/>
      <c r="AK346" s="132"/>
      <c r="AL346" s="8"/>
      <c r="AM346" s="8"/>
      <c r="AN346" s="9"/>
      <c r="AO346" s="8"/>
      <c r="AP346" s="8"/>
      <c r="AQ346" s="8"/>
    </row>
    <row r="347" spans="1:43" x14ac:dyDescent="0.15">
      <c r="A347" s="8"/>
      <c r="B347" s="8"/>
      <c r="C347" s="8"/>
      <c r="D347" s="8"/>
      <c r="E347" s="9"/>
      <c r="F347" s="8"/>
      <c r="G347" s="10"/>
      <c r="H347" s="132"/>
      <c r="I347" s="8"/>
      <c r="J347" s="9"/>
      <c r="K347" s="8"/>
      <c r="L347" s="9"/>
      <c r="M347" s="8"/>
      <c r="N347" s="132"/>
      <c r="O347" s="8"/>
      <c r="P347" s="9"/>
      <c r="Q347" s="8"/>
      <c r="R347" s="9"/>
      <c r="S347" s="8"/>
      <c r="T347" s="8"/>
      <c r="U347" s="8"/>
      <c r="V347" s="132"/>
      <c r="W347" s="8"/>
      <c r="X347" s="8"/>
      <c r="Y347" s="9"/>
      <c r="Z347" s="8"/>
      <c r="AA347" s="8"/>
      <c r="AB347" s="8"/>
      <c r="AC347" s="132"/>
      <c r="AD347" s="8"/>
      <c r="AE347" s="9"/>
      <c r="AF347" s="8"/>
      <c r="AG347" s="9"/>
      <c r="AH347" s="8"/>
      <c r="AI347" s="8"/>
      <c r="AJ347" s="8"/>
      <c r="AK347" s="132"/>
      <c r="AL347" s="8"/>
      <c r="AM347" s="8"/>
      <c r="AN347" s="9"/>
      <c r="AO347" s="8"/>
      <c r="AP347" s="8"/>
      <c r="AQ347" s="8"/>
    </row>
    <row r="348" spans="1:43" x14ac:dyDescent="0.15">
      <c r="A348" s="8"/>
      <c r="B348" s="8"/>
      <c r="C348" s="8"/>
      <c r="D348" s="8"/>
      <c r="E348" s="9"/>
      <c r="F348" s="8"/>
      <c r="G348" s="10"/>
      <c r="H348" s="132"/>
      <c r="I348" s="8"/>
      <c r="J348" s="9"/>
      <c r="K348" s="8"/>
      <c r="L348" s="9"/>
      <c r="M348" s="8"/>
      <c r="N348" s="132"/>
      <c r="O348" s="8"/>
      <c r="P348" s="9"/>
      <c r="Q348" s="8"/>
      <c r="R348" s="9"/>
      <c r="S348" s="8"/>
      <c r="T348" s="8"/>
      <c r="U348" s="8"/>
      <c r="V348" s="132"/>
      <c r="W348" s="8"/>
      <c r="X348" s="8"/>
      <c r="Y348" s="9"/>
      <c r="Z348" s="8"/>
      <c r="AA348" s="8"/>
      <c r="AB348" s="8"/>
      <c r="AC348" s="132"/>
      <c r="AD348" s="8"/>
      <c r="AE348" s="9"/>
      <c r="AF348" s="8"/>
      <c r="AG348" s="9"/>
      <c r="AH348" s="8"/>
      <c r="AI348" s="8"/>
      <c r="AJ348" s="8"/>
      <c r="AK348" s="132"/>
      <c r="AL348" s="8"/>
      <c r="AM348" s="8"/>
      <c r="AN348" s="9"/>
      <c r="AO348" s="8"/>
      <c r="AP348" s="8"/>
      <c r="AQ348" s="8"/>
    </row>
    <row r="349" spans="1:43" x14ac:dyDescent="0.15">
      <c r="A349" s="8"/>
      <c r="B349" s="8"/>
      <c r="C349" s="8"/>
      <c r="D349" s="8"/>
      <c r="E349" s="9"/>
      <c r="F349" s="8"/>
      <c r="G349" s="10"/>
      <c r="H349" s="132"/>
      <c r="I349" s="8"/>
      <c r="J349" s="9"/>
      <c r="K349" s="8"/>
      <c r="L349" s="9"/>
      <c r="M349" s="8"/>
      <c r="N349" s="132"/>
      <c r="O349" s="8"/>
      <c r="P349" s="9"/>
      <c r="Q349" s="8"/>
      <c r="R349" s="9"/>
      <c r="S349" s="8"/>
      <c r="T349" s="8"/>
      <c r="U349" s="8"/>
      <c r="V349" s="132"/>
      <c r="W349" s="8"/>
      <c r="X349" s="8"/>
      <c r="Y349" s="9"/>
      <c r="Z349" s="8"/>
      <c r="AA349" s="8"/>
      <c r="AB349" s="8"/>
      <c r="AC349" s="132"/>
      <c r="AD349" s="8"/>
      <c r="AE349" s="9"/>
      <c r="AF349" s="8"/>
      <c r="AG349" s="9"/>
      <c r="AH349" s="8"/>
      <c r="AI349" s="8"/>
      <c r="AJ349" s="8"/>
      <c r="AK349" s="132"/>
      <c r="AL349" s="8"/>
      <c r="AM349" s="8"/>
      <c r="AN349" s="9"/>
      <c r="AO349" s="8"/>
      <c r="AP349" s="8"/>
      <c r="AQ349" s="8"/>
    </row>
    <row r="350" spans="1:43" x14ac:dyDescent="0.15">
      <c r="A350" s="8"/>
      <c r="B350" s="8"/>
      <c r="C350" s="8"/>
      <c r="D350" s="8"/>
      <c r="E350" s="9"/>
      <c r="F350" s="8"/>
      <c r="G350" s="10"/>
      <c r="H350" s="11"/>
      <c r="I350" s="8"/>
      <c r="J350" s="9"/>
      <c r="K350" s="8"/>
      <c r="L350" s="9"/>
      <c r="M350" s="8"/>
      <c r="N350" s="11"/>
      <c r="O350" s="8"/>
      <c r="P350" s="9"/>
      <c r="Q350" s="8"/>
      <c r="R350" s="9"/>
      <c r="S350" s="8"/>
      <c r="T350" s="8"/>
      <c r="U350" s="8"/>
      <c r="V350" s="11"/>
      <c r="W350" s="8"/>
      <c r="X350" s="8"/>
      <c r="Y350" s="9"/>
      <c r="Z350" s="8"/>
      <c r="AA350" s="8"/>
      <c r="AB350" s="8"/>
      <c r="AC350" s="11"/>
      <c r="AD350" s="8"/>
      <c r="AE350" s="9"/>
      <c r="AF350" s="8"/>
      <c r="AG350" s="9"/>
      <c r="AH350" s="8"/>
      <c r="AI350" s="8"/>
      <c r="AJ350" s="8"/>
      <c r="AK350" s="11"/>
      <c r="AL350" s="8"/>
      <c r="AM350" s="8"/>
      <c r="AN350" s="9"/>
      <c r="AO350" s="8"/>
      <c r="AP350" s="8"/>
      <c r="AQ350" s="8"/>
    </row>
    <row r="351" spans="1:43" x14ac:dyDescent="0.15">
      <c r="A351" s="8"/>
      <c r="B351" s="8"/>
      <c r="C351" s="8"/>
      <c r="D351" s="8"/>
      <c r="E351" s="9"/>
      <c r="F351" s="8"/>
      <c r="G351" s="10"/>
      <c r="H351" s="11"/>
      <c r="I351" s="8"/>
      <c r="J351" s="9"/>
      <c r="K351" s="8"/>
      <c r="L351" s="9"/>
      <c r="M351" s="8"/>
      <c r="N351" s="11"/>
      <c r="O351" s="8"/>
      <c r="P351" s="9"/>
      <c r="Q351" s="8"/>
      <c r="R351" s="9"/>
      <c r="S351" s="8"/>
      <c r="T351" s="8"/>
      <c r="U351" s="8"/>
      <c r="V351" s="11"/>
      <c r="W351" s="8"/>
      <c r="X351" s="8"/>
      <c r="Y351" s="9"/>
      <c r="Z351" s="8"/>
      <c r="AA351" s="8"/>
      <c r="AB351" s="8"/>
      <c r="AC351" s="11"/>
      <c r="AD351" s="8"/>
      <c r="AE351" s="9"/>
      <c r="AF351" s="8"/>
      <c r="AG351" s="9"/>
      <c r="AH351" s="8"/>
      <c r="AI351" s="8"/>
      <c r="AJ351" s="8"/>
      <c r="AK351" s="11"/>
      <c r="AL351" s="8"/>
      <c r="AM351" s="8"/>
      <c r="AN351" s="9"/>
      <c r="AO351" s="8"/>
      <c r="AP351" s="8"/>
      <c r="AQ351" s="8"/>
    </row>
    <row r="352" spans="1:43" x14ac:dyDescent="0.15">
      <c r="A352" s="8"/>
      <c r="B352" s="8"/>
      <c r="C352" s="8"/>
      <c r="D352" s="8"/>
      <c r="E352" s="9"/>
      <c r="F352" s="8"/>
      <c r="G352" s="10"/>
      <c r="H352" s="132"/>
      <c r="I352" s="8"/>
      <c r="J352" s="9"/>
      <c r="K352" s="8"/>
      <c r="L352" s="9"/>
      <c r="M352" s="8"/>
      <c r="N352" s="132"/>
      <c r="O352" s="8"/>
      <c r="P352" s="9"/>
      <c r="Q352" s="8"/>
      <c r="R352" s="9"/>
      <c r="S352" s="8"/>
      <c r="T352" s="8"/>
      <c r="U352" s="8"/>
      <c r="V352" s="11"/>
      <c r="W352" s="8"/>
      <c r="X352" s="8"/>
      <c r="Y352" s="9"/>
      <c r="Z352" s="8"/>
      <c r="AA352" s="8"/>
      <c r="AB352" s="8"/>
      <c r="AC352" s="132"/>
      <c r="AD352" s="8"/>
      <c r="AE352" s="9"/>
      <c r="AF352" s="8"/>
      <c r="AG352" s="9"/>
      <c r="AH352" s="8"/>
      <c r="AI352" s="8"/>
      <c r="AJ352" s="8"/>
      <c r="AK352" s="11"/>
      <c r="AL352" s="8"/>
      <c r="AM352" s="8"/>
      <c r="AN352" s="9"/>
      <c r="AO352" s="8"/>
      <c r="AP352" s="8"/>
      <c r="AQ352" s="8"/>
    </row>
    <row r="353" spans="1:43" x14ac:dyDescent="0.15">
      <c r="A353" s="8"/>
      <c r="B353" s="8"/>
      <c r="C353" s="8"/>
      <c r="D353" s="8"/>
      <c r="E353" s="9"/>
      <c r="F353" s="8"/>
      <c r="G353" s="10"/>
      <c r="H353" s="132"/>
      <c r="I353" s="8"/>
      <c r="J353" s="9"/>
      <c r="K353" s="8"/>
      <c r="L353" s="9"/>
      <c r="M353" s="8"/>
      <c r="N353" s="132"/>
      <c r="O353" s="8"/>
      <c r="P353" s="9"/>
      <c r="Q353" s="8"/>
      <c r="R353" s="9"/>
      <c r="S353" s="8"/>
      <c r="T353" s="8"/>
      <c r="U353" s="8"/>
      <c r="V353" s="11"/>
      <c r="W353" s="8"/>
      <c r="X353" s="8"/>
      <c r="Y353" s="9"/>
      <c r="Z353" s="8"/>
      <c r="AA353" s="8"/>
      <c r="AB353" s="8"/>
      <c r="AC353" s="132"/>
      <c r="AD353" s="8"/>
      <c r="AE353" s="9"/>
      <c r="AF353" s="8"/>
      <c r="AG353" s="9"/>
      <c r="AH353" s="8"/>
      <c r="AI353" s="8"/>
      <c r="AJ353" s="8"/>
      <c r="AK353" s="11"/>
      <c r="AL353" s="8"/>
      <c r="AM353" s="8"/>
      <c r="AN353" s="9"/>
      <c r="AO353" s="8"/>
      <c r="AP353" s="8"/>
      <c r="AQ353" s="8"/>
    </row>
    <row r="354" spans="1:43" x14ac:dyDescent="0.15">
      <c r="A354" s="8"/>
      <c r="B354" s="8"/>
      <c r="C354" s="8"/>
      <c r="D354" s="8"/>
      <c r="E354" s="9"/>
      <c r="F354" s="8"/>
      <c r="G354" s="10"/>
      <c r="H354" s="11"/>
      <c r="I354" s="8"/>
      <c r="J354" s="9"/>
      <c r="K354" s="8"/>
      <c r="L354" s="9"/>
      <c r="M354" s="8"/>
      <c r="N354" s="11"/>
      <c r="O354" s="8"/>
      <c r="P354" s="9"/>
      <c r="Q354" s="8"/>
      <c r="R354" s="9"/>
      <c r="S354" s="8"/>
      <c r="T354" s="8"/>
      <c r="U354" s="8"/>
      <c r="V354" s="11"/>
      <c r="W354" s="8"/>
      <c r="X354" s="8"/>
      <c r="Y354" s="9"/>
      <c r="Z354" s="8"/>
      <c r="AA354" s="8"/>
      <c r="AB354" s="8"/>
      <c r="AC354" s="11"/>
      <c r="AD354" s="8"/>
      <c r="AE354" s="9"/>
      <c r="AF354" s="8"/>
      <c r="AG354" s="9"/>
      <c r="AH354" s="8"/>
      <c r="AI354" s="8"/>
      <c r="AJ354" s="8"/>
      <c r="AK354" s="11"/>
      <c r="AL354" s="8"/>
      <c r="AM354" s="8"/>
      <c r="AN354" s="9"/>
      <c r="AO354" s="8"/>
      <c r="AP354" s="8"/>
      <c r="AQ354" s="8"/>
    </row>
    <row r="355" spans="1:43" x14ac:dyDescent="0.15">
      <c r="A355" s="8"/>
      <c r="B355" s="8"/>
      <c r="C355" s="8"/>
      <c r="D355" s="8"/>
      <c r="E355" s="9"/>
      <c r="F355" s="8"/>
      <c r="G355" s="10"/>
      <c r="H355" s="11"/>
      <c r="I355" s="8"/>
      <c r="J355" s="9"/>
      <c r="K355" s="8"/>
      <c r="L355" s="9"/>
      <c r="M355" s="8"/>
      <c r="N355" s="11"/>
      <c r="O355" s="8"/>
      <c r="P355" s="9"/>
      <c r="Q355" s="8"/>
      <c r="R355" s="9"/>
      <c r="S355" s="8"/>
      <c r="T355" s="8"/>
      <c r="U355" s="8"/>
      <c r="V355" s="11"/>
      <c r="W355" s="8"/>
      <c r="X355" s="8"/>
      <c r="Y355" s="9"/>
      <c r="Z355" s="8"/>
      <c r="AA355" s="8"/>
      <c r="AB355" s="8"/>
      <c r="AC355" s="11"/>
      <c r="AD355" s="8"/>
      <c r="AE355" s="9"/>
      <c r="AF355" s="8"/>
      <c r="AG355" s="9"/>
      <c r="AH355" s="8"/>
      <c r="AI355" s="8"/>
      <c r="AJ355" s="8"/>
      <c r="AK355" s="11"/>
      <c r="AL355" s="8"/>
      <c r="AM355" s="8"/>
      <c r="AN355" s="9"/>
      <c r="AO355" s="8"/>
      <c r="AP355" s="8"/>
      <c r="AQ355" s="8"/>
    </row>
    <row r="356" spans="1:43" x14ac:dyDescent="0.15">
      <c r="A356" s="8"/>
      <c r="B356" s="8"/>
      <c r="C356" s="8"/>
      <c r="D356" s="8"/>
      <c r="E356" s="9"/>
      <c r="F356" s="8"/>
      <c r="G356" s="10"/>
      <c r="H356" s="11"/>
      <c r="I356" s="8"/>
      <c r="J356" s="9"/>
      <c r="K356" s="8"/>
      <c r="L356" s="9"/>
      <c r="M356" s="8"/>
      <c r="N356" s="11"/>
      <c r="O356" s="8"/>
      <c r="P356" s="9"/>
      <c r="Q356" s="8"/>
      <c r="R356" s="9"/>
      <c r="S356" s="8"/>
      <c r="T356" s="8"/>
      <c r="U356" s="8"/>
      <c r="V356" s="11"/>
      <c r="W356" s="8"/>
      <c r="X356" s="8"/>
      <c r="Y356" s="9"/>
      <c r="Z356" s="8"/>
      <c r="AA356" s="8"/>
      <c r="AB356" s="8"/>
      <c r="AC356" s="11"/>
      <c r="AD356" s="8"/>
      <c r="AE356" s="9"/>
      <c r="AF356" s="8"/>
      <c r="AG356" s="9"/>
      <c r="AH356" s="8"/>
      <c r="AI356" s="8"/>
      <c r="AJ356" s="8"/>
      <c r="AK356" s="11"/>
      <c r="AL356" s="8"/>
      <c r="AM356" s="8"/>
      <c r="AN356" s="9"/>
      <c r="AO356" s="8"/>
      <c r="AP356" s="8"/>
      <c r="AQ356" s="8"/>
    </row>
    <row r="357" spans="1:43" x14ac:dyDescent="0.15">
      <c r="A357" s="8"/>
      <c r="B357" s="8"/>
      <c r="C357" s="8"/>
      <c r="D357" s="8"/>
      <c r="E357" s="9"/>
      <c r="F357" s="8"/>
      <c r="G357" s="10"/>
      <c r="H357" s="11"/>
      <c r="I357" s="8"/>
      <c r="J357" s="9"/>
      <c r="K357" s="8"/>
      <c r="L357" s="9"/>
      <c r="M357" s="8"/>
      <c r="N357" s="11"/>
      <c r="O357" s="8"/>
      <c r="P357" s="9"/>
      <c r="Q357" s="8"/>
      <c r="R357" s="9"/>
      <c r="S357" s="8"/>
      <c r="T357" s="8"/>
      <c r="U357" s="8"/>
      <c r="V357" s="11"/>
      <c r="W357" s="8"/>
      <c r="X357" s="8"/>
      <c r="Y357" s="9"/>
      <c r="Z357" s="8"/>
      <c r="AA357" s="8"/>
      <c r="AB357" s="8"/>
      <c r="AC357" s="11"/>
      <c r="AD357" s="8"/>
      <c r="AE357" s="9"/>
      <c r="AF357" s="8"/>
      <c r="AG357" s="9"/>
      <c r="AH357" s="8"/>
      <c r="AI357" s="8"/>
      <c r="AJ357" s="8"/>
      <c r="AK357" s="11"/>
      <c r="AL357" s="8"/>
      <c r="AM357" s="8"/>
      <c r="AN357" s="9"/>
      <c r="AO357" s="8"/>
      <c r="AP357" s="8"/>
      <c r="AQ357" s="8"/>
    </row>
    <row r="358" spans="1:43" x14ac:dyDescent="0.15">
      <c r="A358" s="8"/>
      <c r="B358" s="8"/>
      <c r="C358" s="8"/>
      <c r="D358" s="8"/>
      <c r="E358" s="9"/>
      <c r="F358" s="8"/>
      <c r="G358" s="10"/>
      <c r="H358" s="11"/>
      <c r="I358" s="8"/>
      <c r="J358" s="9"/>
      <c r="K358" s="8"/>
      <c r="L358" s="9"/>
      <c r="M358" s="8"/>
      <c r="N358" s="11"/>
      <c r="O358" s="8"/>
      <c r="P358" s="9"/>
      <c r="Q358" s="8"/>
      <c r="R358" s="9"/>
      <c r="S358" s="8"/>
      <c r="T358" s="8"/>
      <c r="U358" s="8"/>
      <c r="V358" s="11"/>
      <c r="W358" s="8"/>
      <c r="X358" s="8"/>
      <c r="Y358" s="9"/>
      <c r="Z358" s="8"/>
      <c r="AA358" s="8"/>
      <c r="AB358" s="8"/>
      <c r="AC358" s="11"/>
      <c r="AD358" s="8"/>
      <c r="AE358" s="9"/>
      <c r="AF358" s="8"/>
      <c r="AG358" s="9"/>
      <c r="AH358" s="8"/>
      <c r="AI358" s="8"/>
      <c r="AJ358" s="8"/>
      <c r="AK358" s="11"/>
      <c r="AL358" s="8"/>
      <c r="AM358" s="8"/>
      <c r="AN358" s="9"/>
      <c r="AO358" s="8"/>
      <c r="AP358" s="8"/>
      <c r="AQ358" s="8"/>
    </row>
    <row r="359" spans="1:43" x14ac:dyDescent="0.15">
      <c r="A359" s="8"/>
      <c r="B359" s="8"/>
      <c r="C359" s="8"/>
      <c r="D359" s="8"/>
      <c r="E359" s="9"/>
      <c r="F359" s="8"/>
      <c r="G359" s="10"/>
      <c r="H359" s="11"/>
      <c r="I359" s="8"/>
      <c r="J359" s="9"/>
      <c r="K359" s="8"/>
      <c r="L359" s="9"/>
      <c r="M359" s="8"/>
      <c r="N359" s="11"/>
      <c r="O359" s="8"/>
      <c r="P359" s="9"/>
      <c r="Q359" s="8"/>
      <c r="R359" s="9"/>
      <c r="S359" s="8"/>
      <c r="T359" s="8"/>
      <c r="U359" s="8"/>
      <c r="V359" s="11"/>
      <c r="W359" s="8"/>
      <c r="X359" s="8"/>
      <c r="Y359" s="9"/>
      <c r="Z359" s="8"/>
      <c r="AA359" s="8"/>
      <c r="AB359" s="8"/>
      <c r="AC359" s="11"/>
      <c r="AD359" s="8"/>
      <c r="AE359" s="9"/>
      <c r="AF359" s="8"/>
      <c r="AG359" s="9"/>
      <c r="AH359" s="8"/>
      <c r="AI359" s="8"/>
      <c r="AJ359" s="8"/>
      <c r="AK359" s="11"/>
      <c r="AL359" s="8"/>
      <c r="AM359" s="8"/>
      <c r="AN359" s="9"/>
      <c r="AO359" s="8"/>
      <c r="AP359" s="8"/>
      <c r="AQ359" s="8"/>
    </row>
    <row r="360" spans="1:43" x14ac:dyDescent="0.15">
      <c r="A360" s="8"/>
      <c r="B360" s="8"/>
      <c r="C360" s="8"/>
      <c r="D360" s="8"/>
      <c r="E360" s="9"/>
      <c r="F360" s="8"/>
      <c r="G360" s="10"/>
      <c r="H360" s="11"/>
      <c r="I360" s="8"/>
      <c r="J360" s="9"/>
      <c r="K360" s="8"/>
      <c r="L360" s="9"/>
      <c r="M360" s="8"/>
      <c r="N360" s="11"/>
      <c r="O360" s="8"/>
      <c r="P360" s="9"/>
      <c r="Q360" s="8"/>
      <c r="R360" s="9"/>
      <c r="S360" s="8"/>
      <c r="T360" s="8"/>
      <c r="U360" s="8"/>
      <c r="V360" s="11"/>
      <c r="W360" s="8"/>
      <c r="X360" s="8"/>
      <c r="Y360" s="9"/>
      <c r="Z360" s="8"/>
      <c r="AA360" s="8"/>
      <c r="AB360" s="8"/>
      <c r="AC360" s="11"/>
      <c r="AD360" s="8"/>
      <c r="AE360" s="9"/>
      <c r="AF360" s="8"/>
      <c r="AG360" s="9"/>
      <c r="AH360" s="8"/>
      <c r="AI360" s="8"/>
      <c r="AJ360" s="8"/>
      <c r="AK360" s="11"/>
      <c r="AL360" s="8"/>
      <c r="AM360" s="8"/>
      <c r="AN360" s="9"/>
      <c r="AO360" s="8"/>
      <c r="AP360" s="8"/>
      <c r="AQ360" s="8"/>
    </row>
    <row r="361" spans="1:43" x14ac:dyDescent="0.15">
      <c r="A361" s="8"/>
      <c r="B361" s="8"/>
      <c r="C361" s="8"/>
      <c r="D361" s="8"/>
      <c r="E361" s="9"/>
      <c r="F361" s="8"/>
      <c r="G361" s="10"/>
      <c r="H361" s="11"/>
      <c r="I361" s="8"/>
      <c r="J361" s="9"/>
      <c r="K361" s="8"/>
      <c r="L361" s="9"/>
      <c r="M361" s="8"/>
      <c r="N361" s="11"/>
      <c r="O361" s="8"/>
      <c r="P361" s="9"/>
      <c r="Q361" s="8"/>
      <c r="R361" s="9"/>
      <c r="S361" s="8"/>
      <c r="T361" s="8"/>
      <c r="U361" s="8"/>
      <c r="V361" s="11"/>
      <c r="W361" s="8"/>
      <c r="X361" s="8"/>
      <c r="Y361" s="9"/>
      <c r="Z361" s="8"/>
      <c r="AA361" s="8"/>
      <c r="AB361" s="8"/>
      <c r="AC361" s="11"/>
      <c r="AD361" s="8"/>
      <c r="AE361" s="9"/>
      <c r="AF361" s="8"/>
      <c r="AG361" s="9"/>
      <c r="AH361" s="8"/>
      <c r="AI361" s="8"/>
      <c r="AJ361" s="8"/>
      <c r="AK361" s="11"/>
      <c r="AL361" s="8"/>
      <c r="AM361" s="8"/>
      <c r="AN361" s="9"/>
      <c r="AO361" s="8"/>
      <c r="AP361" s="8"/>
      <c r="AQ361" s="8"/>
    </row>
    <row r="362" spans="1:43" x14ac:dyDescent="0.15">
      <c r="A362" s="8"/>
      <c r="B362" s="8"/>
      <c r="C362" s="8"/>
      <c r="D362" s="8"/>
      <c r="E362" s="9"/>
      <c r="F362" s="8"/>
      <c r="G362" s="10"/>
      <c r="H362" s="11"/>
      <c r="I362" s="8"/>
      <c r="J362" s="9"/>
      <c r="K362" s="8"/>
      <c r="L362" s="9"/>
      <c r="M362" s="8"/>
      <c r="N362" s="11"/>
      <c r="O362" s="8"/>
      <c r="P362" s="9"/>
      <c r="Q362" s="8"/>
      <c r="R362" s="9"/>
      <c r="S362" s="8"/>
      <c r="T362" s="8"/>
      <c r="U362" s="8"/>
      <c r="V362" s="11"/>
      <c r="W362" s="8"/>
      <c r="X362" s="8"/>
      <c r="Y362" s="9"/>
      <c r="Z362" s="8"/>
      <c r="AA362" s="8"/>
      <c r="AB362" s="8"/>
      <c r="AC362" s="11"/>
      <c r="AD362" s="8"/>
      <c r="AE362" s="9"/>
      <c r="AF362" s="8"/>
      <c r="AG362" s="9"/>
      <c r="AH362" s="8"/>
      <c r="AI362" s="8"/>
      <c r="AJ362" s="8"/>
      <c r="AK362" s="11"/>
      <c r="AL362" s="8"/>
      <c r="AM362" s="8"/>
      <c r="AN362" s="9"/>
      <c r="AO362" s="8"/>
      <c r="AP362" s="8"/>
      <c r="AQ362" s="8"/>
    </row>
    <row r="363" spans="1:43" x14ac:dyDescent="0.15">
      <c r="A363" s="8"/>
      <c r="B363" s="8"/>
      <c r="C363" s="8"/>
      <c r="D363" s="8"/>
      <c r="E363" s="9"/>
      <c r="F363" s="8"/>
      <c r="G363" s="10"/>
      <c r="H363" s="11"/>
      <c r="I363" s="8"/>
      <c r="J363" s="9"/>
      <c r="K363" s="8"/>
      <c r="L363" s="9"/>
      <c r="M363" s="8"/>
      <c r="N363" s="11"/>
      <c r="O363" s="8"/>
      <c r="P363" s="9"/>
      <c r="Q363" s="8"/>
      <c r="R363" s="9"/>
      <c r="S363" s="8"/>
      <c r="T363" s="8"/>
      <c r="U363" s="8"/>
      <c r="V363" s="11"/>
      <c r="W363" s="8"/>
      <c r="X363" s="8"/>
      <c r="Y363" s="9"/>
      <c r="Z363" s="8"/>
      <c r="AA363" s="8"/>
      <c r="AB363" s="8"/>
      <c r="AC363" s="11"/>
      <c r="AD363" s="8"/>
      <c r="AE363" s="9"/>
      <c r="AF363" s="8"/>
      <c r="AG363" s="9"/>
      <c r="AH363" s="8"/>
      <c r="AI363" s="8"/>
      <c r="AJ363" s="8"/>
      <c r="AK363" s="11"/>
      <c r="AL363" s="8"/>
      <c r="AM363" s="8"/>
      <c r="AN363" s="9"/>
      <c r="AO363" s="8"/>
      <c r="AP363" s="8"/>
      <c r="AQ363" s="8"/>
    </row>
    <row r="364" spans="1:43" x14ac:dyDescent="0.15">
      <c r="A364" s="8"/>
      <c r="B364" s="8"/>
      <c r="C364" s="8"/>
      <c r="D364" s="8"/>
      <c r="E364" s="9"/>
      <c r="F364" s="8"/>
      <c r="G364" s="10"/>
      <c r="H364" s="11"/>
      <c r="I364" s="8"/>
      <c r="J364" s="9"/>
      <c r="K364" s="8"/>
      <c r="L364" s="9"/>
      <c r="M364" s="8"/>
      <c r="N364" s="11"/>
      <c r="O364" s="8"/>
      <c r="P364" s="9"/>
      <c r="Q364" s="8"/>
      <c r="R364" s="9"/>
      <c r="S364" s="8"/>
      <c r="T364" s="8"/>
      <c r="U364" s="8"/>
      <c r="V364" s="11"/>
      <c r="W364" s="8"/>
      <c r="X364" s="8"/>
      <c r="Y364" s="9"/>
      <c r="Z364" s="8"/>
      <c r="AA364" s="8"/>
      <c r="AB364" s="8"/>
      <c r="AC364" s="11"/>
      <c r="AD364" s="8"/>
      <c r="AE364" s="9"/>
      <c r="AF364" s="8"/>
      <c r="AG364" s="9"/>
      <c r="AH364" s="8"/>
      <c r="AI364" s="8"/>
      <c r="AJ364" s="8"/>
      <c r="AK364" s="11"/>
      <c r="AL364" s="8"/>
      <c r="AM364" s="8"/>
      <c r="AN364" s="9"/>
      <c r="AO364" s="8"/>
      <c r="AP364" s="8"/>
      <c r="AQ364" s="8"/>
    </row>
    <row r="365" spans="1:43" x14ac:dyDescent="0.15">
      <c r="A365" s="8"/>
      <c r="B365" s="8"/>
      <c r="C365" s="8"/>
      <c r="D365" s="8"/>
      <c r="E365" s="9"/>
      <c r="F365" s="8"/>
      <c r="G365" s="10"/>
      <c r="H365" s="11"/>
      <c r="I365" s="8"/>
      <c r="J365" s="9"/>
      <c r="K365" s="8"/>
      <c r="L365" s="9"/>
      <c r="M365" s="8"/>
      <c r="N365" s="11"/>
      <c r="O365" s="8"/>
      <c r="P365" s="9"/>
      <c r="Q365" s="8"/>
      <c r="R365" s="9"/>
      <c r="S365" s="8"/>
      <c r="T365" s="8"/>
      <c r="U365" s="8"/>
      <c r="V365" s="11"/>
      <c r="W365" s="8"/>
      <c r="X365" s="8"/>
      <c r="Y365" s="9"/>
      <c r="Z365" s="8"/>
      <c r="AA365" s="8"/>
      <c r="AB365" s="8"/>
      <c r="AC365" s="11"/>
      <c r="AD365" s="8"/>
      <c r="AE365" s="9"/>
      <c r="AF365" s="8"/>
      <c r="AG365" s="9"/>
      <c r="AH365" s="8"/>
      <c r="AI365" s="8"/>
      <c r="AJ365" s="8"/>
      <c r="AK365" s="11"/>
      <c r="AL365" s="8"/>
      <c r="AM365" s="8"/>
      <c r="AN365" s="9"/>
      <c r="AO365" s="8"/>
      <c r="AP365" s="8"/>
      <c r="AQ365" s="8"/>
    </row>
    <row r="366" spans="1:43" x14ac:dyDescent="0.15">
      <c r="A366" s="8"/>
      <c r="B366" s="8"/>
      <c r="C366" s="8"/>
      <c r="D366" s="8"/>
      <c r="E366" s="9"/>
      <c r="F366" s="8"/>
      <c r="G366" s="10"/>
      <c r="H366" s="11"/>
      <c r="I366" s="8"/>
      <c r="J366" s="9"/>
      <c r="K366" s="8"/>
      <c r="L366" s="9"/>
      <c r="M366" s="8"/>
      <c r="N366" s="11"/>
      <c r="O366" s="8"/>
      <c r="P366" s="9"/>
      <c r="Q366" s="8"/>
      <c r="R366" s="9"/>
      <c r="S366" s="8"/>
      <c r="T366" s="8"/>
      <c r="U366" s="8"/>
      <c r="V366" s="11"/>
      <c r="W366" s="8"/>
      <c r="X366" s="8"/>
      <c r="Y366" s="9"/>
      <c r="Z366" s="8"/>
      <c r="AA366" s="8"/>
      <c r="AB366" s="8"/>
      <c r="AC366" s="11"/>
      <c r="AD366" s="8"/>
      <c r="AE366" s="9"/>
      <c r="AF366" s="8"/>
      <c r="AG366" s="9"/>
      <c r="AH366" s="8"/>
      <c r="AI366" s="8"/>
      <c r="AJ366" s="8"/>
      <c r="AK366" s="11"/>
      <c r="AL366" s="8"/>
      <c r="AM366" s="8"/>
      <c r="AN366" s="9"/>
      <c r="AO366" s="8"/>
      <c r="AP366" s="8"/>
      <c r="AQ366" s="8"/>
    </row>
    <row r="367" spans="1:43" x14ac:dyDescent="0.15">
      <c r="A367" s="8"/>
      <c r="B367" s="8"/>
      <c r="C367" s="8"/>
      <c r="D367" s="8"/>
      <c r="E367" s="9"/>
      <c r="F367" s="8"/>
      <c r="G367" s="10"/>
      <c r="H367" s="11"/>
      <c r="I367" s="8"/>
      <c r="J367" s="9"/>
      <c r="K367" s="8"/>
      <c r="L367" s="9"/>
      <c r="M367" s="8"/>
      <c r="N367" s="11"/>
      <c r="O367" s="8"/>
      <c r="P367" s="9"/>
      <c r="Q367" s="8"/>
      <c r="R367" s="9"/>
      <c r="S367" s="8"/>
      <c r="T367" s="8"/>
      <c r="U367" s="8"/>
      <c r="V367" s="11"/>
      <c r="W367" s="8"/>
      <c r="X367" s="8"/>
      <c r="Y367" s="9"/>
      <c r="Z367" s="8"/>
      <c r="AA367" s="8"/>
      <c r="AB367" s="8"/>
      <c r="AC367" s="11"/>
      <c r="AD367" s="8"/>
      <c r="AE367" s="9"/>
      <c r="AF367" s="8"/>
      <c r="AG367" s="9"/>
      <c r="AH367" s="8"/>
      <c r="AI367" s="8"/>
      <c r="AJ367" s="8"/>
      <c r="AK367" s="11"/>
      <c r="AL367" s="8"/>
      <c r="AM367" s="8"/>
      <c r="AN367" s="9"/>
      <c r="AO367" s="8"/>
      <c r="AP367" s="8"/>
      <c r="AQ367" s="8"/>
    </row>
    <row r="368" spans="1:43" x14ac:dyDescent="0.15">
      <c r="A368" s="8"/>
      <c r="B368" s="8"/>
      <c r="C368" s="8"/>
      <c r="D368" s="8"/>
      <c r="E368" s="9"/>
      <c r="F368" s="8"/>
      <c r="G368" s="10"/>
      <c r="H368" s="11"/>
      <c r="I368" s="8"/>
      <c r="J368" s="9"/>
      <c r="K368" s="8"/>
      <c r="L368" s="9"/>
      <c r="M368" s="8"/>
      <c r="N368" s="11"/>
      <c r="O368" s="8"/>
      <c r="P368" s="9"/>
      <c r="Q368" s="8"/>
      <c r="R368" s="9"/>
      <c r="S368" s="8"/>
      <c r="T368" s="8"/>
      <c r="U368" s="8"/>
      <c r="V368" s="11"/>
      <c r="W368" s="8"/>
      <c r="X368" s="8"/>
      <c r="Y368" s="9"/>
      <c r="Z368" s="8"/>
      <c r="AA368" s="8"/>
      <c r="AB368" s="8"/>
      <c r="AC368" s="11"/>
      <c r="AD368" s="8"/>
      <c r="AE368" s="9"/>
      <c r="AF368" s="8"/>
      <c r="AG368" s="9"/>
      <c r="AH368" s="8"/>
      <c r="AI368" s="8"/>
      <c r="AJ368" s="8"/>
      <c r="AK368" s="11"/>
      <c r="AL368" s="8"/>
      <c r="AM368" s="8"/>
      <c r="AN368" s="9"/>
      <c r="AO368" s="8"/>
      <c r="AP368" s="8"/>
      <c r="AQ368" s="8"/>
    </row>
    <row r="369" spans="1:43" x14ac:dyDescent="0.15">
      <c r="A369" s="8"/>
      <c r="B369" s="8"/>
      <c r="C369" s="8"/>
      <c r="D369" s="8"/>
      <c r="E369" s="9"/>
      <c r="F369" s="8"/>
      <c r="G369" s="10"/>
      <c r="H369" s="132"/>
      <c r="I369" s="8"/>
      <c r="J369" s="9"/>
      <c r="K369" s="8"/>
      <c r="L369" s="9"/>
      <c r="M369" s="8"/>
      <c r="N369" s="132"/>
      <c r="O369" s="8"/>
      <c r="P369" s="9"/>
      <c r="Q369" s="8"/>
      <c r="R369" s="9"/>
      <c r="S369" s="8"/>
      <c r="T369" s="8"/>
      <c r="U369" s="8"/>
      <c r="V369" s="11"/>
      <c r="W369" s="8"/>
      <c r="X369" s="8"/>
      <c r="Y369" s="9"/>
      <c r="Z369" s="8"/>
      <c r="AA369" s="8"/>
      <c r="AB369" s="8"/>
      <c r="AC369" s="132"/>
      <c r="AD369" s="8"/>
      <c r="AE369" s="9"/>
      <c r="AF369" s="8"/>
      <c r="AG369" s="9"/>
      <c r="AH369" s="8"/>
      <c r="AI369" s="8"/>
      <c r="AJ369" s="8"/>
      <c r="AK369" s="11"/>
      <c r="AL369" s="8"/>
      <c r="AM369" s="8"/>
      <c r="AN369" s="9"/>
      <c r="AO369" s="8"/>
      <c r="AP369" s="8"/>
      <c r="AQ369" s="8"/>
    </row>
    <row r="370" spans="1:43" x14ac:dyDescent="0.15">
      <c r="A370" s="8"/>
      <c r="B370" s="8"/>
      <c r="C370" s="8"/>
      <c r="D370" s="8"/>
      <c r="E370" s="9"/>
      <c r="F370" s="8"/>
      <c r="G370" s="10"/>
      <c r="H370" s="11"/>
      <c r="I370" s="8"/>
      <c r="J370" s="9"/>
      <c r="K370" s="8"/>
      <c r="L370" s="9"/>
      <c r="M370" s="8"/>
      <c r="N370" s="11"/>
      <c r="O370" s="8"/>
      <c r="P370" s="9"/>
      <c r="Q370" s="8"/>
      <c r="R370" s="9"/>
      <c r="S370" s="8"/>
      <c r="T370" s="8"/>
      <c r="U370" s="8"/>
      <c r="V370" s="11"/>
      <c r="W370" s="8"/>
      <c r="X370" s="8"/>
      <c r="Y370" s="9"/>
      <c r="Z370" s="8"/>
      <c r="AA370" s="8"/>
      <c r="AB370" s="8"/>
      <c r="AC370" s="11"/>
      <c r="AD370" s="8"/>
      <c r="AE370" s="9"/>
      <c r="AF370" s="8"/>
      <c r="AG370" s="9"/>
      <c r="AH370" s="8"/>
      <c r="AI370" s="8"/>
      <c r="AJ370" s="8"/>
      <c r="AK370" s="11"/>
      <c r="AL370" s="8"/>
      <c r="AM370" s="8"/>
      <c r="AN370" s="9"/>
      <c r="AO370" s="8"/>
      <c r="AP370" s="8"/>
      <c r="AQ370" s="8"/>
    </row>
    <row r="371" spans="1:43" x14ac:dyDescent="0.15">
      <c r="A371" s="8"/>
      <c r="B371" s="8"/>
      <c r="C371" s="8"/>
      <c r="D371" s="8"/>
      <c r="E371" s="9"/>
      <c r="F371" s="8"/>
      <c r="G371" s="10"/>
      <c r="H371" s="11"/>
      <c r="I371" s="8"/>
      <c r="J371" s="9"/>
      <c r="K371" s="8"/>
      <c r="L371" s="9"/>
      <c r="M371" s="8"/>
      <c r="N371" s="11"/>
      <c r="O371" s="8"/>
      <c r="P371" s="9"/>
      <c r="Q371" s="8"/>
      <c r="R371" s="9"/>
      <c r="S371" s="8"/>
      <c r="T371" s="8"/>
      <c r="U371" s="8"/>
      <c r="V371" s="11"/>
      <c r="W371" s="8"/>
      <c r="X371" s="8"/>
      <c r="Y371" s="9"/>
      <c r="Z371" s="8"/>
      <c r="AA371" s="8"/>
      <c r="AB371" s="8"/>
      <c r="AC371" s="11"/>
      <c r="AD371" s="8"/>
      <c r="AE371" s="9"/>
      <c r="AF371" s="8"/>
      <c r="AG371" s="9"/>
      <c r="AH371" s="8"/>
      <c r="AI371" s="8"/>
      <c r="AJ371" s="8"/>
      <c r="AK371" s="11"/>
      <c r="AL371" s="8"/>
      <c r="AM371" s="8"/>
      <c r="AN371" s="9"/>
      <c r="AO371" s="8"/>
      <c r="AP371" s="8"/>
      <c r="AQ371" s="8"/>
    </row>
    <row r="372" spans="1:43" x14ac:dyDescent="0.15">
      <c r="A372" s="8"/>
      <c r="B372" s="8"/>
      <c r="C372" s="8"/>
      <c r="D372" s="8"/>
      <c r="E372" s="9"/>
      <c r="F372" s="8"/>
      <c r="G372" s="10"/>
      <c r="H372" s="11"/>
      <c r="I372" s="8"/>
      <c r="J372" s="9"/>
      <c r="K372" s="8"/>
      <c r="L372" s="9"/>
      <c r="M372" s="8"/>
      <c r="N372" s="11"/>
      <c r="O372" s="8"/>
      <c r="P372" s="9"/>
      <c r="Q372" s="8"/>
      <c r="R372" s="9"/>
      <c r="S372" s="8"/>
      <c r="T372" s="8"/>
      <c r="U372" s="8"/>
      <c r="V372" s="11"/>
      <c r="W372" s="8"/>
      <c r="X372" s="8"/>
      <c r="Y372" s="9"/>
      <c r="Z372" s="8"/>
      <c r="AA372" s="8"/>
      <c r="AB372" s="8"/>
      <c r="AC372" s="11"/>
      <c r="AD372" s="8"/>
      <c r="AE372" s="9"/>
      <c r="AF372" s="8"/>
      <c r="AG372" s="9"/>
      <c r="AH372" s="8"/>
      <c r="AI372" s="8"/>
      <c r="AJ372" s="8"/>
      <c r="AK372" s="11"/>
      <c r="AL372" s="8"/>
      <c r="AM372" s="8"/>
      <c r="AN372" s="9"/>
      <c r="AO372" s="8"/>
      <c r="AP372" s="8"/>
      <c r="AQ372" s="8"/>
    </row>
    <row r="373" spans="1:43" x14ac:dyDescent="0.15">
      <c r="A373" s="8"/>
      <c r="B373" s="8"/>
      <c r="C373" s="8"/>
      <c r="D373" s="8"/>
      <c r="E373" s="9"/>
      <c r="F373" s="8"/>
      <c r="G373" s="10"/>
      <c r="H373" s="132"/>
      <c r="I373" s="8"/>
      <c r="J373" s="9"/>
      <c r="K373" s="8"/>
      <c r="L373" s="9"/>
      <c r="M373" s="8"/>
      <c r="N373" s="132"/>
      <c r="O373" s="8"/>
      <c r="P373" s="9"/>
      <c r="Q373" s="8"/>
      <c r="R373" s="9"/>
      <c r="S373" s="8"/>
      <c r="T373" s="8"/>
      <c r="U373" s="8"/>
      <c r="V373" s="11"/>
      <c r="W373" s="8"/>
      <c r="X373" s="8"/>
      <c r="Y373" s="9"/>
      <c r="Z373" s="8"/>
      <c r="AA373" s="8"/>
      <c r="AB373" s="8"/>
      <c r="AC373" s="132"/>
      <c r="AD373" s="8"/>
      <c r="AE373" s="9"/>
      <c r="AF373" s="8"/>
      <c r="AG373" s="9"/>
      <c r="AH373" s="8"/>
      <c r="AI373" s="8"/>
      <c r="AJ373" s="8"/>
      <c r="AK373" s="11"/>
      <c r="AL373" s="8"/>
      <c r="AM373" s="8"/>
      <c r="AN373" s="9"/>
      <c r="AO373" s="8"/>
      <c r="AP373" s="8"/>
      <c r="AQ373" s="8"/>
    </row>
    <row r="374" spans="1:43" x14ac:dyDescent="0.15">
      <c r="A374" s="8"/>
      <c r="B374" s="8"/>
      <c r="C374" s="8"/>
      <c r="D374" s="8"/>
      <c r="E374" s="9"/>
      <c r="F374" s="8"/>
      <c r="G374" s="10"/>
      <c r="H374" s="132"/>
      <c r="I374" s="8"/>
      <c r="J374" s="9"/>
      <c r="K374" s="8"/>
      <c r="L374" s="9"/>
      <c r="M374" s="8"/>
      <c r="N374" s="132"/>
      <c r="O374" s="8"/>
      <c r="P374" s="9"/>
      <c r="Q374" s="8"/>
      <c r="R374" s="9"/>
      <c r="S374" s="8"/>
      <c r="T374" s="8"/>
      <c r="U374" s="8"/>
      <c r="V374" s="11"/>
      <c r="W374" s="8"/>
      <c r="X374" s="8"/>
      <c r="Y374" s="9"/>
      <c r="Z374" s="8"/>
      <c r="AA374" s="8"/>
      <c r="AB374" s="8"/>
      <c r="AC374" s="132"/>
      <c r="AD374" s="8"/>
      <c r="AE374" s="9"/>
      <c r="AF374" s="8"/>
      <c r="AG374" s="9"/>
      <c r="AH374" s="8"/>
      <c r="AI374" s="8"/>
      <c r="AJ374" s="8"/>
      <c r="AK374" s="11"/>
      <c r="AL374" s="8"/>
      <c r="AM374" s="8"/>
      <c r="AN374" s="9"/>
      <c r="AO374" s="8"/>
      <c r="AP374" s="8"/>
      <c r="AQ374" s="8"/>
    </row>
    <row r="375" spans="1:43" x14ac:dyDescent="0.15">
      <c r="A375" s="8"/>
      <c r="B375" s="8"/>
      <c r="C375" s="8"/>
      <c r="D375" s="8"/>
      <c r="E375" s="9"/>
      <c r="F375" s="8"/>
      <c r="G375" s="10"/>
      <c r="H375" s="11"/>
      <c r="I375" s="8"/>
      <c r="J375" s="9"/>
      <c r="K375" s="8"/>
      <c r="L375" s="9"/>
      <c r="M375" s="8"/>
      <c r="N375" s="11"/>
      <c r="O375" s="8"/>
      <c r="P375" s="9"/>
      <c r="Q375" s="8"/>
      <c r="R375" s="9"/>
      <c r="S375" s="8"/>
      <c r="T375" s="8"/>
      <c r="U375" s="8"/>
      <c r="V375" s="11"/>
      <c r="W375" s="8"/>
      <c r="X375" s="8"/>
      <c r="Y375" s="9"/>
      <c r="Z375" s="8"/>
      <c r="AA375" s="8"/>
      <c r="AB375" s="8"/>
      <c r="AC375" s="11"/>
      <c r="AD375" s="8"/>
      <c r="AE375" s="9"/>
      <c r="AF375" s="8"/>
      <c r="AG375" s="9"/>
      <c r="AH375" s="8"/>
      <c r="AI375" s="8"/>
      <c r="AJ375" s="8"/>
      <c r="AK375" s="11"/>
      <c r="AL375" s="8"/>
      <c r="AM375" s="8"/>
      <c r="AN375" s="9"/>
      <c r="AO375" s="8"/>
      <c r="AP375" s="8"/>
      <c r="AQ375" s="8"/>
    </row>
    <row r="376" spans="1:43" x14ac:dyDescent="0.15">
      <c r="A376" s="8"/>
      <c r="B376" s="8"/>
      <c r="C376" s="8"/>
      <c r="D376" s="8"/>
      <c r="E376" s="9"/>
      <c r="F376" s="8"/>
      <c r="G376" s="10"/>
      <c r="H376" s="132"/>
      <c r="I376" s="8"/>
      <c r="J376" s="9"/>
      <c r="K376" s="8"/>
      <c r="L376" s="9"/>
      <c r="M376" s="8"/>
      <c r="N376" s="132"/>
      <c r="O376" s="8"/>
      <c r="P376" s="9"/>
      <c r="Q376" s="8"/>
      <c r="R376" s="9"/>
      <c r="S376" s="8"/>
      <c r="T376" s="8"/>
      <c r="U376" s="8"/>
      <c r="V376" s="11"/>
      <c r="W376" s="8"/>
      <c r="X376" s="8"/>
      <c r="Y376" s="9"/>
      <c r="Z376" s="8"/>
      <c r="AA376" s="8"/>
      <c r="AB376" s="8"/>
      <c r="AC376" s="132"/>
      <c r="AD376" s="8"/>
      <c r="AE376" s="9"/>
      <c r="AF376" s="8"/>
      <c r="AG376" s="9"/>
      <c r="AH376" s="8"/>
      <c r="AI376" s="8"/>
      <c r="AJ376" s="8"/>
      <c r="AK376" s="11"/>
      <c r="AL376" s="8"/>
      <c r="AM376" s="8"/>
      <c r="AN376" s="9"/>
      <c r="AO376" s="8"/>
      <c r="AP376" s="8"/>
      <c r="AQ376" s="8"/>
    </row>
    <row r="377" spans="1:43" x14ac:dyDescent="0.15">
      <c r="A377" s="8"/>
      <c r="B377" s="8"/>
      <c r="C377" s="8"/>
      <c r="D377" s="8"/>
      <c r="E377" s="9"/>
      <c r="F377" s="8"/>
      <c r="G377" s="10"/>
      <c r="H377" s="11"/>
      <c r="I377" s="8"/>
      <c r="J377" s="9"/>
      <c r="K377" s="8"/>
      <c r="L377" s="9"/>
      <c r="M377" s="8"/>
      <c r="N377" s="11"/>
      <c r="O377" s="8"/>
      <c r="P377" s="9"/>
      <c r="Q377" s="8"/>
      <c r="R377" s="9"/>
      <c r="S377" s="8"/>
      <c r="T377" s="8"/>
      <c r="U377" s="8"/>
      <c r="V377" s="11"/>
      <c r="W377" s="8"/>
      <c r="X377" s="8"/>
      <c r="Y377" s="9"/>
      <c r="Z377" s="8"/>
      <c r="AA377" s="8"/>
      <c r="AB377" s="8"/>
      <c r="AC377" s="11"/>
      <c r="AD377" s="8"/>
      <c r="AE377" s="9"/>
      <c r="AF377" s="8"/>
      <c r="AG377" s="9"/>
      <c r="AH377" s="8"/>
      <c r="AI377" s="8"/>
      <c r="AJ377" s="8"/>
      <c r="AK377" s="11"/>
      <c r="AL377" s="8"/>
      <c r="AM377" s="8"/>
      <c r="AN377" s="9"/>
      <c r="AO377" s="8"/>
      <c r="AP377" s="8"/>
      <c r="AQ377" s="8"/>
    </row>
    <row r="378" spans="1:43" x14ac:dyDescent="0.15">
      <c r="A378" s="8"/>
      <c r="B378" s="8"/>
      <c r="C378" s="8"/>
      <c r="D378" s="8"/>
      <c r="E378" s="9"/>
      <c r="F378" s="8"/>
      <c r="G378" s="10"/>
      <c r="H378" s="11"/>
      <c r="I378" s="8"/>
      <c r="J378" s="9"/>
      <c r="K378" s="8"/>
      <c r="L378" s="9"/>
      <c r="M378" s="8"/>
      <c r="N378" s="11"/>
      <c r="O378" s="8"/>
      <c r="P378" s="9"/>
      <c r="Q378" s="8"/>
      <c r="R378" s="9"/>
      <c r="S378" s="8"/>
      <c r="T378" s="8"/>
      <c r="U378" s="8"/>
      <c r="V378" s="11"/>
      <c r="W378" s="8"/>
      <c r="X378" s="8"/>
      <c r="Y378" s="9"/>
      <c r="Z378" s="8"/>
      <c r="AA378" s="8"/>
      <c r="AB378" s="8"/>
      <c r="AC378" s="11"/>
      <c r="AD378" s="8"/>
      <c r="AE378" s="9"/>
      <c r="AF378" s="8"/>
      <c r="AG378" s="9"/>
      <c r="AH378" s="8"/>
      <c r="AI378" s="8"/>
      <c r="AJ378" s="8"/>
      <c r="AK378" s="11"/>
      <c r="AL378" s="8"/>
      <c r="AM378" s="8"/>
      <c r="AN378" s="9"/>
      <c r="AO378" s="8"/>
      <c r="AP378" s="8"/>
      <c r="AQ378" s="8"/>
    </row>
    <row r="379" spans="1:43" x14ac:dyDescent="0.15">
      <c r="A379" s="8"/>
      <c r="B379" s="8"/>
      <c r="C379" s="8"/>
      <c r="D379" s="8"/>
      <c r="E379" s="9"/>
      <c r="F379" s="8"/>
      <c r="G379" s="10"/>
      <c r="H379" s="11"/>
      <c r="I379" s="8"/>
      <c r="J379" s="9"/>
      <c r="K379" s="8"/>
      <c r="L379" s="9"/>
      <c r="M379" s="8"/>
      <c r="N379" s="11"/>
      <c r="O379" s="8"/>
      <c r="P379" s="9"/>
      <c r="Q379" s="8"/>
      <c r="R379" s="9"/>
      <c r="S379" s="8"/>
      <c r="T379" s="8"/>
      <c r="U379" s="8"/>
      <c r="V379" s="132"/>
      <c r="W379" s="8"/>
      <c r="X379" s="8"/>
      <c r="Y379" s="9"/>
      <c r="Z379" s="8"/>
      <c r="AA379" s="8"/>
      <c r="AB379" s="8"/>
      <c r="AC379" s="11"/>
      <c r="AD379" s="8"/>
      <c r="AE379" s="9"/>
      <c r="AF379" s="8"/>
      <c r="AG379" s="9"/>
      <c r="AH379" s="8"/>
      <c r="AI379" s="8"/>
      <c r="AJ379" s="8"/>
      <c r="AK379" s="132"/>
      <c r="AL379" s="8"/>
      <c r="AM379" s="8"/>
      <c r="AN379" s="9"/>
      <c r="AO379" s="8"/>
      <c r="AP379" s="8"/>
      <c r="AQ379" s="8"/>
    </row>
    <row r="380" spans="1:43" x14ac:dyDescent="0.15">
      <c r="A380" s="8"/>
      <c r="B380" s="8"/>
      <c r="C380" s="8"/>
      <c r="D380" s="8"/>
      <c r="E380" s="9"/>
      <c r="F380" s="8"/>
      <c r="G380" s="10"/>
      <c r="H380" s="11"/>
      <c r="I380" s="8"/>
      <c r="J380" s="9"/>
      <c r="K380" s="8"/>
      <c r="L380" s="9"/>
      <c r="M380" s="8"/>
      <c r="N380" s="11"/>
      <c r="O380" s="8"/>
      <c r="P380" s="9"/>
      <c r="Q380" s="8"/>
      <c r="R380" s="9"/>
      <c r="S380" s="8"/>
      <c r="T380" s="8"/>
      <c r="U380" s="8"/>
      <c r="V380" s="132"/>
      <c r="W380" s="8"/>
      <c r="X380" s="8"/>
      <c r="Y380" s="9"/>
      <c r="Z380" s="8"/>
      <c r="AA380" s="8"/>
      <c r="AB380" s="8"/>
      <c r="AC380" s="11"/>
      <c r="AD380" s="8"/>
      <c r="AE380" s="9"/>
      <c r="AF380" s="8"/>
      <c r="AG380" s="9"/>
      <c r="AH380" s="8"/>
      <c r="AI380" s="8"/>
      <c r="AJ380" s="8"/>
      <c r="AK380" s="132"/>
      <c r="AL380" s="8"/>
      <c r="AM380" s="8"/>
      <c r="AN380" s="9"/>
      <c r="AO380" s="8"/>
      <c r="AP380" s="8"/>
      <c r="AQ380" s="8"/>
    </row>
    <row r="381" spans="1:43" x14ac:dyDescent="0.15">
      <c r="A381" s="8"/>
      <c r="B381" s="8"/>
      <c r="C381" s="8"/>
      <c r="D381" s="8"/>
      <c r="E381" s="9"/>
      <c r="F381" s="8"/>
      <c r="G381" s="10"/>
      <c r="H381" s="11"/>
      <c r="I381" s="8"/>
      <c r="J381" s="9"/>
      <c r="K381" s="8"/>
      <c r="L381" s="9"/>
      <c r="M381" s="8"/>
      <c r="N381" s="11"/>
      <c r="O381" s="8"/>
      <c r="P381" s="9"/>
      <c r="Q381" s="8"/>
      <c r="R381" s="9"/>
      <c r="S381" s="8"/>
      <c r="T381" s="8"/>
      <c r="U381" s="8"/>
      <c r="V381" s="132"/>
      <c r="W381" s="8"/>
      <c r="X381" s="8"/>
      <c r="Y381" s="9"/>
      <c r="Z381" s="8"/>
      <c r="AA381" s="8"/>
      <c r="AB381" s="8"/>
      <c r="AC381" s="11"/>
      <c r="AD381" s="8"/>
      <c r="AE381" s="9"/>
      <c r="AF381" s="8"/>
      <c r="AG381" s="9"/>
      <c r="AH381" s="8"/>
      <c r="AI381" s="8"/>
      <c r="AJ381" s="8"/>
      <c r="AK381" s="132"/>
      <c r="AL381" s="8"/>
      <c r="AM381" s="8"/>
      <c r="AN381" s="9"/>
      <c r="AO381" s="8"/>
      <c r="AP381" s="8"/>
      <c r="AQ381" s="8"/>
    </row>
    <row r="382" spans="1:43" x14ac:dyDescent="0.15">
      <c r="A382" s="8"/>
      <c r="B382" s="8"/>
      <c r="C382" s="8"/>
      <c r="D382" s="8"/>
      <c r="E382" s="9"/>
      <c r="F382" s="8"/>
      <c r="G382" s="10"/>
      <c r="H382" s="11"/>
      <c r="I382" s="8"/>
      <c r="J382" s="9"/>
      <c r="K382" s="8"/>
      <c r="L382" s="9"/>
      <c r="M382" s="8"/>
      <c r="N382" s="11"/>
      <c r="O382" s="8"/>
      <c r="P382" s="9"/>
      <c r="Q382" s="8"/>
      <c r="R382" s="9"/>
      <c r="S382" s="8"/>
      <c r="T382" s="8"/>
      <c r="U382" s="8"/>
      <c r="V382" s="11"/>
      <c r="W382" s="8"/>
      <c r="X382" s="8"/>
      <c r="Y382" s="9"/>
      <c r="Z382" s="8"/>
      <c r="AA382" s="8"/>
      <c r="AB382" s="8"/>
      <c r="AC382" s="11"/>
      <c r="AD382" s="8"/>
      <c r="AE382" s="9"/>
      <c r="AF382" s="8"/>
      <c r="AG382" s="9"/>
      <c r="AH382" s="8"/>
      <c r="AI382" s="8"/>
      <c r="AJ382" s="8"/>
      <c r="AK382" s="11"/>
      <c r="AL382" s="8"/>
      <c r="AM382" s="8"/>
      <c r="AN382" s="9"/>
      <c r="AO382" s="8"/>
      <c r="AP382" s="8"/>
      <c r="AQ382" s="8"/>
    </row>
    <row r="383" spans="1:43" x14ac:dyDescent="0.15">
      <c r="A383" s="8"/>
      <c r="B383" s="8"/>
      <c r="C383" s="8"/>
      <c r="D383" s="8"/>
      <c r="E383" s="9"/>
      <c r="F383" s="8"/>
      <c r="G383" s="10"/>
      <c r="H383" s="11"/>
      <c r="I383" s="8"/>
      <c r="J383" s="9"/>
      <c r="K383" s="8"/>
      <c r="L383" s="9"/>
      <c r="M383" s="8"/>
      <c r="N383" s="11"/>
      <c r="O383" s="8"/>
      <c r="P383" s="9"/>
      <c r="Q383" s="8"/>
      <c r="R383" s="9"/>
      <c r="S383" s="8"/>
      <c r="T383" s="8"/>
      <c r="U383" s="8"/>
      <c r="V383" s="11"/>
      <c r="W383" s="8"/>
      <c r="X383" s="8"/>
      <c r="Y383" s="9"/>
      <c r="Z383" s="8"/>
      <c r="AA383" s="8"/>
      <c r="AB383" s="8"/>
      <c r="AC383" s="11"/>
      <c r="AD383" s="8"/>
      <c r="AE383" s="9"/>
      <c r="AF383" s="8"/>
      <c r="AG383" s="9"/>
      <c r="AH383" s="8"/>
      <c r="AI383" s="8"/>
      <c r="AJ383" s="8"/>
      <c r="AK383" s="11"/>
      <c r="AL383" s="8"/>
      <c r="AM383" s="8"/>
      <c r="AN383" s="9"/>
      <c r="AO383" s="8"/>
      <c r="AP383" s="8"/>
      <c r="AQ383" s="8"/>
    </row>
    <row r="384" spans="1:43" x14ac:dyDescent="0.15">
      <c r="A384" s="8"/>
      <c r="B384" s="8"/>
      <c r="C384" s="8"/>
      <c r="D384" s="8"/>
      <c r="E384" s="9"/>
      <c r="F384" s="8"/>
      <c r="G384" s="10"/>
      <c r="H384" s="11"/>
      <c r="I384" s="8"/>
      <c r="J384" s="9"/>
      <c r="K384" s="8"/>
      <c r="L384" s="9"/>
      <c r="M384" s="8"/>
      <c r="N384" s="11"/>
      <c r="O384" s="8"/>
      <c r="P384" s="9"/>
      <c r="Q384" s="8"/>
      <c r="R384" s="9"/>
      <c r="S384" s="8"/>
      <c r="T384" s="8"/>
      <c r="U384" s="8"/>
      <c r="V384" s="132"/>
      <c r="W384" s="8"/>
      <c r="X384" s="8"/>
      <c r="Y384" s="9"/>
      <c r="Z384" s="8"/>
      <c r="AA384" s="8"/>
      <c r="AB384" s="8"/>
      <c r="AC384" s="11"/>
      <c r="AD384" s="8"/>
      <c r="AE384" s="9"/>
      <c r="AF384" s="8"/>
      <c r="AG384" s="9"/>
      <c r="AH384" s="8"/>
      <c r="AI384" s="8"/>
      <c r="AJ384" s="8"/>
      <c r="AK384" s="132"/>
      <c r="AL384" s="8"/>
      <c r="AM384" s="8"/>
      <c r="AN384" s="9"/>
      <c r="AO384" s="8"/>
      <c r="AP384" s="8"/>
      <c r="AQ384" s="8"/>
    </row>
    <row r="385" spans="1:43" x14ac:dyDescent="0.15">
      <c r="A385" s="8"/>
      <c r="B385" s="8"/>
      <c r="C385" s="8"/>
      <c r="D385" s="8"/>
      <c r="E385" s="9"/>
      <c r="F385" s="8"/>
      <c r="G385" s="10"/>
      <c r="H385" s="11"/>
      <c r="I385" s="8"/>
      <c r="J385" s="9"/>
      <c r="K385" s="8"/>
      <c r="L385" s="9"/>
      <c r="M385" s="8"/>
      <c r="N385" s="11"/>
      <c r="O385" s="8"/>
      <c r="P385" s="9"/>
      <c r="Q385" s="8"/>
      <c r="R385" s="9"/>
      <c r="S385" s="8"/>
      <c r="T385" s="8"/>
      <c r="U385" s="8"/>
      <c r="V385" s="11"/>
      <c r="W385" s="8"/>
      <c r="X385" s="8"/>
      <c r="Y385" s="9"/>
      <c r="Z385" s="8"/>
      <c r="AA385" s="8"/>
      <c r="AB385" s="8"/>
      <c r="AC385" s="11"/>
      <c r="AD385" s="8"/>
      <c r="AE385" s="9"/>
      <c r="AF385" s="8"/>
      <c r="AG385" s="9"/>
      <c r="AH385" s="8"/>
      <c r="AI385" s="8"/>
      <c r="AJ385" s="8"/>
      <c r="AK385" s="11"/>
      <c r="AL385" s="8"/>
      <c r="AM385" s="8"/>
      <c r="AN385" s="9"/>
      <c r="AO385" s="8"/>
      <c r="AP385" s="8"/>
      <c r="AQ385" s="8"/>
    </row>
    <row r="386" spans="1:43" x14ac:dyDescent="0.15">
      <c r="A386" s="8"/>
      <c r="B386" s="8"/>
      <c r="C386" s="8"/>
      <c r="D386" s="8"/>
      <c r="E386" s="9"/>
      <c r="F386" s="8"/>
      <c r="G386" s="10"/>
      <c r="H386" s="132"/>
      <c r="I386" s="8"/>
      <c r="J386" s="9"/>
      <c r="K386" s="8"/>
      <c r="L386" s="9"/>
      <c r="M386" s="8"/>
      <c r="N386" s="132"/>
      <c r="O386" s="8"/>
      <c r="P386" s="9"/>
      <c r="Q386" s="8"/>
      <c r="R386" s="9"/>
      <c r="S386" s="8"/>
      <c r="T386" s="8"/>
      <c r="U386" s="8"/>
      <c r="V386" s="11"/>
      <c r="W386" s="8"/>
      <c r="X386" s="8"/>
      <c r="Y386" s="9"/>
      <c r="Z386" s="8"/>
      <c r="AA386" s="8"/>
      <c r="AB386" s="8"/>
      <c r="AC386" s="132"/>
      <c r="AD386" s="8"/>
      <c r="AE386" s="9"/>
      <c r="AF386" s="8"/>
      <c r="AG386" s="9"/>
      <c r="AH386" s="8"/>
      <c r="AI386" s="8"/>
      <c r="AJ386" s="8"/>
      <c r="AK386" s="11"/>
      <c r="AL386" s="8"/>
      <c r="AM386" s="8"/>
      <c r="AN386" s="9"/>
      <c r="AO386" s="8"/>
      <c r="AP386" s="8"/>
      <c r="AQ386" s="8"/>
    </row>
    <row r="387" spans="1:43" x14ac:dyDescent="0.15">
      <c r="A387" s="8"/>
      <c r="B387" s="8"/>
      <c r="C387" s="8"/>
      <c r="D387" s="8"/>
      <c r="E387" s="9"/>
      <c r="F387" s="8"/>
      <c r="G387" s="10"/>
      <c r="H387" s="11"/>
      <c r="I387" s="8"/>
      <c r="J387" s="9"/>
      <c r="K387" s="8"/>
      <c r="L387" s="9"/>
      <c r="M387" s="8"/>
      <c r="N387" s="11"/>
      <c r="O387" s="8"/>
      <c r="P387" s="9"/>
      <c r="Q387" s="8"/>
      <c r="R387" s="9"/>
      <c r="S387" s="8"/>
      <c r="T387" s="8"/>
      <c r="U387" s="8"/>
      <c r="V387" s="132"/>
      <c r="W387" s="8"/>
      <c r="X387" s="8"/>
      <c r="Y387" s="9"/>
      <c r="Z387" s="8"/>
      <c r="AA387" s="8"/>
      <c r="AB387" s="8"/>
      <c r="AC387" s="11"/>
      <c r="AD387" s="8"/>
      <c r="AE387" s="9"/>
      <c r="AF387" s="8"/>
      <c r="AG387" s="9"/>
      <c r="AH387" s="8"/>
      <c r="AI387" s="8"/>
      <c r="AJ387" s="8"/>
      <c r="AK387" s="132"/>
      <c r="AL387" s="8"/>
      <c r="AM387" s="8"/>
      <c r="AN387" s="9"/>
      <c r="AO387" s="8"/>
      <c r="AP387" s="8"/>
      <c r="AQ387" s="8"/>
    </row>
    <row r="388" spans="1:43" x14ac:dyDescent="0.15">
      <c r="A388" s="8"/>
      <c r="B388" s="8"/>
      <c r="C388" s="8"/>
      <c r="D388" s="8"/>
      <c r="E388" s="9"/>
      <c r="F388" s="8"/>
      <c r="G388" s="10"/>
      <c r="H388" s="132"/>
      <c r="I388" s="8"/>
      <c r="J388" s="9"/>
      <c r="K388" s="8"/>
      <c r="L388" s="9"/>
      <c r="M388" s="8"/>
      <c r="N388" s="132"/>
      <c r="O388" s="8"/>
      <c r="P388" s="9"/>
      <c r="Q388" s="8"/>
      <c r="R388" s="9"/>
      <c r="S388" s="8"/>
      <c r="T388" s="8"/>
      <c r="U388" s="8"/>
      <c r="V388" s="132"/>
      <c r="W388" s="8"/>
      <c r="X388" s="8"/>
      <c r="Y388" s="9"/>
      <c r="Z388" s="8"/>
      <c r="AA388" s="8"/>
      <c r="AB388" s="8"/>
      <c r="AC388" s="132"/>
      <c r="AD388" s="8"/>
      <c r="AE388" s="9"/>
      <c r="AF388" s="8"/>
      <c r="AG388" s="9"/>
      <c r="AH388" s="8"/>
      <c r="AI388" s="8"/>
      <c r="AJ388" s="8"/>
      <c r="AK388" s="132"/>
      <c r="AL388" s="8"/>
      <c r="AM388" s="8"/>
      <c r="AN388" s="9"/>
      <c r="AO388" s="8"/>
      <c r="AP388" s="8"/>
      <c r="AQ388" s="8"/>
    </row>
    <row r="389" spans="1:43" x14ac:dyDescent="0.15">
      <c r="A389" s="8"/>
      <c r="B389" s="8"/>
      <c r="C389" s="8"/>
      <c r="D389" s="8"/>
      <c r="E389" s="9"/>
      <c r="F389" s="8"/>
      <c r="G389" s="10"/>
      <c r="H389" s="132"/>
      <c r="I389" s="8"/>
      <c r="J389" s="9"/>
      <c r="K389" s="8"/>
      <c r="L389" s="9"/>
      <c r="M389" s="8"/>
      <c r="N389" s="132"/>
      <c r="O389" s="8"/>
      <c r="P389" s="9"/>
      <c r="Q389" s="8"/>
      <c r="R389" s="9"/>
      <c r="S389" s="8"/>
      <c r="T389" s="8"/>
      <c r="U389" s="8"/>
      <c r="V389" s="132"/>
      <c r="W389" s="8"/>
      <c r="X389" s="8"/>
      <c r="Y389" s="9"/>
      <c r="Z389" s="8"/>
      <c r="AA389" s="8"/>
      <c r="AB389" s="8"/>
      <c r="AC389" s="132"/>
      <c r="AD389" s="8"/>
      <c r="AE389" s="9"/>
      <c r="AF389" s="8"/>
      <c r="AG389" s="9"/>
      <c r="AH389" s="8"/>
      <c r="AI389" s="8"/>
      <c r="AJ389" s="8"/>
      <c r="AK389" s="132"/>
      <c r="AL389" s="8"/>
      <c r="AM389" s="8"/>
      <c r="AN389" s="9"/>
      <c r="AO389" s="8"/>
      <c r="AP389" s="8"/>
      <c r="AQ389" s="8"/>
    </row>
    <row r="390" spans="1:43" x14ac:dyDescent="0.15">
      <c r="A390" s="8"/>
      <c r="B390" s="8"/>
      <c r="C390" s="8"/>
      <c r="D390" s="8"/>
      <c r="E390" s="9"/>
      <c r="F390" s="8"/>
      <c r="G390" s="10"/>
      <c r="H390" s="132"/>
      <c r="I390" s="8"/>
      <c r="J390" s="9"/>
      <c r="K390" s="8"/>
      <c r="L390" s="9"/>
      <c r="M390" s="8"/>
      <c r="N390" s="132"/>
      <c r="O390" s="8"/>
      <c r="P390" s="9"/>
      <c r="Q390" s="8"/>
      <c r="R390" s="9"/>
      <c r="S390" s="8"/>
      <c r="T390" s="8"/>
      <c r="U390" s="8"/>
      <c r="V390" s="11"/>
      <c r="W390" s="8"/>
      <c r="X390" s="8"/>
      <c r="Y390" s="9"/>
      <c r="Z390" s="8"/>
      <c r="AA390" s="8"/>
      <c r="AB390" s="8"/>
      <c r="AC390" s="132"/>
      <c r="AD390" s="8"/>
      <c r="AE390" s="9"/>
      <c r="AF390" s="8"/>
      <c r="AG390" s="9"/>
      <c r="AH390" s="8"/>
      <c r="AI390" s="8"/>
      <c r="AJ390" s="8"/>
      <c r="AK390" s="11"/>
      <c r="AL390" s="8"/>
      <c r="AM390" s="8"/>
      <c r="AN390" s="9"/>
      <c r="AO390" s="8"/>
      <c r="AP390" s="8"/>
      <c r="AQ390" s="8"/>
    </row>
    <row r="391" spans="1:43" x14ac:dyDescent="0.15">
      <c r="A391" s="8"/>
      <c r="B391" s="8"/>
      <c r="C391" s="8"/>
      <c r="D391" s="8"/>
      <c r="E391" s="9"/>
      <c r="F391" s="8"/>
      <c r="G391" s="10"/>
      <c r="H391" s="132"/>
      <c r="I391" s="8"/>
      <c r="J391" s="9"/>
      <c r="K391" s="8"/>
      <c r="L391" s="9"/>
      <c r="M391" s="8"/>
      <c r="N391" s="132"/>
      <c r="O391" s="8"/>
      <c r="P391" s="9"/>
      <c r="Q391" s="8"/>
      <c r="R391" s="9"/>
      <c r="S391" s="8"/>
      <c r="T391" s="8"/>
      <c r="U391" s="8"/>
      <c r="V391" s="132"/>
      <c r="W391" s="8"/>
      <c r="X391" s="8"/>
      <c r="Y391" s="9"/>
      <c r="Z391" s="8"/>
      <c r="AA391" s="8"/>
      <c r="AB391" s="8"/>
      <c r="AC391" s="132"/>
      <c r="AD391" s="8"/>
      <c r="AE391" s="9"/>
      <c r="AF391" s="8"/>
      <c r="AG391" s="9"/>
      <c r="AH391" s="8"/>
      <c r="AI391" s="8"/>
      <c r="AJ391" s="8"/>
      <c r="AK391" s="132"/>
      <c r="AL391" s="8"/>
      <c r="AM391" s="8"/>
      <c r="AN391" s="9"/>
      <c r="AO391" s="8"/>
      <c r="AP391" s="8"/>
      <c r="AQ391" s="8"/>
    </row>
    <row r="392" spans="1:43" x14ac:dyDescent="0.15">
      <c r="A392" s="8"/>
      <c r="B392" s="8"/>
      <c r="C392" s="8"/>
      <c r="D392" s="8"/>
      <c r="E392" s="9"/>
      <c r="F392" s="8"/>
      <c r="G392" s="10"/>
      <c r="H392" s="11"/>
      <c r="I392" s="8"/>
      <c r="J392" s="9"/>
      <c r="K392" s="8"/>
      <c r="L392" s="9"/>
      <c r="M392" s="8"/>
      <c r="N392" s="11"/>
      <c r="O392" s="8"/>
      <c r="P392" s="9"/>
      <c r="Q392" s="8"/>
      <c r="R392" s="9"/>
      <c r="S392" s="8"/>
      <c r="T392" s="8"/>
      <c r="U392" s="8"/>
      <c r="V392" s="11"/>
      <c r="W392" s="8"/>
      <c r="X392" s="8"/>
      <c r="Y392" s="9"/>
      <c r="Z392" s="8"/>
      <c r="AA392" s="8"/>
      <c r="AB392" s="8"/>
      <c r="AC392" s="11"/>
      <c r="AD392" s="8"/>
      <c r="AE392" s="9"/>
      <c r="AF392" s="8"/>
      <c r="AG392" s="9"/>
      <c r="AH392" s="8"/>
      <c r="AI392" s="8"/>
      <c r="AJ392" s="8"/>
      <c r="AK392" s="11"/>
      <c r="AL392" s="8"/>
      <c r="AM392" s="8"/>
      <c r="AN392" s="9"/>
      <c r="AO392" s="8"/>
      <c r="AP392" s="8"/>
      <c r="AQ392" s="8"/>
    </row>
    <row r="393" spans="1:43" x14ac:dyDescent="0.15">
      <c r="A393" s="8"/>
      <c r="B393" s="8"/>
      <c r="C393" s="8"/>
      <c r="D393" s="8"/>
      <c r="E393" s="9"/>
      <c r="F393" s="8"/>
      <c r="G393" s="10"/>
      <c r="H393" s="11"/>
      <c r="I393" s="8"/>
      <c r="J393" s="9"/>
      <c r="K393" s="8"/>
      <c r="L393" s="9"/>
      <c r="M393" s="8"/>
      <c r="N393" s="11"/>
      <c r="O393" s="8"/>
      <c r="P393" s="9"/>
      <c r="Q393" s="8"/>
      <c r="R393" s="9"/>
      <c r="S393" s="8"/>
      <c r="T393" s="8"/>
      <c r="U393" s="8"/>
      <c r="V393" s="11"/>
      <c r="W393" s="8"/>
      <c r="X393" s="8"/>
      <c r="Y393" s="9"/>
      <c r="Z393" s="8"/>
      <c r="AA393" s="8"/>
      <c r="AB393" s="8"/>
      <c r="AC393" s="11"/>
      <c r="AD393" s="8"/>
      <c r="AE393" s="9"/>
      <c r="AF393" s="8"/>
      <c r="AG393" s="9"/>
      <c r="AH393" s="8"/>
      <c r="AI393" s="8"/>
      <c r="AJ393" s="8"/>
      <c r="AK393" s="11"/>
      <c r="AL393" s="8"/>
      <c r="AM393" s="8"/>
      <c r="AN393" s="9"/>
      <c r="AO393" s="8"/>
      <c r="AP393" s="8"/>
      <c r="AQ393" s="8"/>
    </row>
    <row r="394" spans="1:43" x14ac:dyDescent="0.15">
      <c r="A394" s="8"/>
      <c r="B394" s="8"/>
      <c r="C394" s="8"/>
      <c r="D394" s="8"/>
      <c r="E394" s="9"/>
      <c r="F394" s="8"/>
      <c r="G394" s="10"/>
      <c r="H394" s="11"/>
      <c r="I394" s="8"/>
      <c r="J394" s="9"/>
      <c r="K394" s="8"/>
      <c r="L394" s="9"/>
      <c r="M394" s="8"/>
      <c r="N394" s="11"/>
      <c r="O394" s="8"/>
      <c r="P394" s="9"/>
      <c r="Q394" s="8"/>
      <c r="R394" s="9"/>
      <c r="S394" s="8"/>
      <c r="T394" s="8"/>
      <c r="U394" s="8"/>
      <c r="V394" s="11"/>
      <c r="W394" s="8"/>
      <c r="X394" s="8"/>
      <c r="Y394" s="9"/>
      <c r="Z394" s="8"/>
      <c r="AA394" s="8"/>
      <c r="AB394" s="8"/>
      <c r="AC394" s="11"/>
      <c r="AD394" s="8"/>
      <c r="AE394" s="9"/>
      <c r="AF394" s="8"/>
      <c r="AG394" s="9"/>
      <c r="AH394" s="8"/>
      <c r="AI394" s="8"/>
      <c r="AJ394" s="8"/>
      <c r="AK394" s="11"/>
      <c r="AL394" s="8"/>
      <c r="AM394" s="8"/>
      <c r="AN394" s="9"/>
      <c r="AO394" s="8"/>
      <c r="AP394" s="8"/>
      <c r="AQ394" s="8"/>
    </row>
    <row r="395" spans="1:43" x14ac:dyDescent="0.15">
      <c r="A395" s="8"/>
      <c r="B395" s="8"/>
      <c r="C395" s="8"/>
      <c r="D395" s="8"/>
      <c r="E395" s="9"/>
      <c r="F395" s="8"/>
      <c r="G395" s="10"/>
      <c r="H395" s="11"/>
      <c r="I395" s="8"/>
      <c r="J395" s="9"/>
      <c r="K395" s="8"/>
      <c r="L395" s="9"/>
      <c r="M395" s="8"/>
      <c r="N395" s="11"/>
      <c r="O395" s="8"/>
      <c r="P395" s="9"/>
      <c r="Q395" s="8"/>
      <c r="R395" s="9"/>
      <c r="S395" s="8"/>
      <c r="T395" s="8"/>
      <c r="U395" s="8"/>
      <c r="V395" s="11"/>
      <c r="W395" s="8"/>
      <c r="X395" s="8"/>
      <c r="Y395" s="9"/>
      <c r="Z395" s="8"/>
      <c r="AA395" s="8"/>
      <c r="AB395" s="8"/>
      <c r="AC395" s="11"/>
      <c r="AD395" s="8"/>
      <c r="AE395" s="9"/>
      <c r="AF395" s="8"/>
      <c r="AG395" s="9"/>
      <c r="AH395" s="8"/>
      <c r="AI395" s="8"/>
      <c r="AJ395" s="8"/>
      <c r="AK395" s="11"/>
      <c r="AL395" s="8"/>
      <c r="AM395" s="8"/>
      <c r="AN395" s="9"/>
      <c r="AO395" s="8"/>
      <c r="AP395" s="8"/>
      <c r="AQ395" s="8"/>
    </row>
    <row r="396" spans="1:43" x14ac:dyDescent="0.15">
      <c r="A396" s="8"/>
      <c r="B396" s="8"/>
      <c r="C396" s="8"/>
      <c r="D396" s="8"/>
      <c r="E396" s="9"/>
      <c r="F396" s="8"/>
      <c r="G396" s="10"/>
      <c r="H396" s="11"/>
      <c r="I396" s="8"/>
      <c r="J396" s="9"/>
      <c r="K396" s="8"/>
      <c r="L396" s="9"/>
      <c r="M396" s="8"/>
      <c r="N396" s="11"/>
      <c r="O396" s="8"/>
      <c r="P396" s="9"/>
      <c r="Q396" s="8"/>
      <c r="R396" s="9"/>
      <c r="S396" s="8"/>
      <c r="T396" s="8"/>
      <c r="U396" s="8"/>
      <c r="V396" s="11"/>
      <c r="W396" s="8"/>
      <c r="X396" s="8"/>
      <c r="Y396" s="9"/>
      <c r="Z396" s="8"/>
      <c r="AA396" s="8"/>
      <c r="AB396" s="8"/>
      <c r="AC396" s="11"/>
      <c r="AD396" s="8"/>
      <c r="AE396" s="9"/>
      <c r="AF396" s="8"/>
      <c r="AG396" s="9"/>
      <c r="AH396" s="8"/>
      <c r="AI396" s="8"/>
      <c r="AJ396" s="8"/>
      <c r="AK396" s="11"/>
      <c r="AL396" s="8"/>
      <c r="AM396" s="8"/>
      <c r="AN396" s="9"/>
      <c r="AO396" s="8"/>
      <c r="AP396" s="8"/>
      <c r="AQ396" s="8"/>
    </row>
    <row r="397" spans="1:43" x14ac:dyDescent="0.15">
      <c r="A397" s="8"/>
      <c r="B397" s="8"/>
      <c r="C397" s="8"/>
      <c r="D397" s="8"/>
      <c r="E397" s="9"/>
      <c r="F397" s="8"/>
      <c r="G397" s="10"/>
      <c r="H397" s="11"/>
      <c r="I397" s="8"/>
      <c r="J397" s="9"/>
      <c r="K397" s="8"/>
      <c r="L397" s="9"/>
      <c r="M397" s="8"/>
      <c r="N397" s="11"/>
      <c r="O397" s="8"/>
      <c r="P397" s="9"/>
      <c r="Q397" s="8"/>
      <c r="R397" s="9"/>
      <c r="S397" s="8"/>
      <c r="T397" s="8"/>
      <c r="U397" s="8"/>
      <c r="V397" s="11"/>
      <c r="W397" s="8"/>
      <c r="X397" s="8"/>
      <c r="Y397" s="9"/>
      <c r="Z397" s="8"/>
      <c r="AA397" s="8"/>
      <c r="AB397" s="8"/>
      <c r="AC397" s="11"/>
      <c r="AD397" s="8"/>
      <c r="AE397" s="9"/>
      <c r="AF397" s="8"/>
      <c r="AG397" s="9"/>
      <c r="AH397" s="8"/>
      <c r="AI397" s="8"/>
      <c r="AJ397" s="8"/>
      <c r="AK397" s="11"/>
      <c r="AL397" s="8"/>
      <c r="AM397" s="8"/>
      <c r="AN397" s="9"/>
      <c r="AO397" s="8"/>
      <c r="AP397" s="8"/>
      <c r="AQ397" s="8"/>
    </row>
    <row r="398" spans="1:43" x14ac:dyDescent="0.15">
      <c r="A398" s="8"/>
      <c r="B398" s="8"/>
      <c r="C398" s="8"/>
      <c r="D398" s="8"/>
      <c r="E398" s="9"/>
      <c r="F398" s="8"/>
      <c r="G398" s="10"/>
      <c r="H398" s="11"/>
      <c r="I398" s="8"/>
      <c r="J398" s="9"/>
      <c r="K398" s="8"/>
      <c r="L398" s="9"/>
      <c r="M398" s="8"/>
      <c r="N398" s="11"/>
      <c r="O398" s="8"/>
      <c r="P398" s="9"/>
      <c r="Q398" s="8"/>
      <c r="R398" s="9"/>
      <c r="S398" s="8"/>
      <c r="T398" s="8"/>
      <c r="U398" s="8"/>
      <c r="V398" s="11"/>
      <c r="W398" s="8"/>
      <c r="X398" s="8"/>
      <c r="Y398" s="9"/>
      <c r="Z398" s="8"/>
      <c r="AA398" s="8"/>
      <c r="AB398" s="8"/>
      <c r="AC398" s="11"/>
      <c r="AD398" s="8"/>
      <c r="AE398" s="9"/>
      <c r="AF398" s="8"/>
      <c r="AG398" s="9"/>
      <c r="AH398" s="8"/>
      <c r="AI398" s="8"/>
      <c r="AJ398" s="8"/>
      <c r="AK398" s="11"/>
      <c r="AL398" s="8"/>
      <c r="AM398" s="8"/>
      <c r="AN398" s="9"/>
      <c r="AO398" s="8"/>
      <c r="AP398" s="8"/>
      <c r="AQ398" s="8"/>
    </row>
    <row r="399" spans="1:43" x14ac:dyDescent="0.15">
      <c r="A399" s="8"/>
      <c r="B399" s="8"/>
      <c r="C399" s="8"/>
      <c r="D399" s="8"/>
      <c r="E399" s="9"/>
      <c r="F399" s="8"/>
      <c r="G399" s="10"/>
      <c r="H399" s="11"/>
      <c r="I399" s="8"/>
      <c r="J399" s="9"/>
      <c r="K399" s="8"/>
      <c r="L399" s="9"/>
      <c r="M399" s="8"/>
      <c r="N399" s="11"/>
      <c r="O399" s="8"/>
      <c r="P399" s="9"/>
      <c r="Q399" s="8"/>
      <c r="R399" s="9"/>
      <c r="S399" s="8"/>
      <c r="T399" s="8"/>
      <c r="U399" s="8"/>
      <c r="V399" s="11"/>
      <c r="W399" s="8"/>
      <c r="X399" s="8"/>
      <c r="Y399" s="9"/>
      <c r="Z399" s="8"/>
      <c r="AA399" s="8"/>
      <c r="AB399" s="8"/>
      <c r="AC399" s="11"/>
      <c r="AD399" s="8"/>
      <c r="AE399" s="9"/>
      <c r="AF399" s="8"/>
      <c r="AG399" s="9"/>
      <c r="AH399" s="8"/>
      <c r="AI399" s="8"/>
      <c r="AJ399" s="8"/>
      <c r="AK399" s="11"/>
      <c r="AL399" s="8"/>
      <c r="AM399" s="8"/>
      <c r="AN399" s="9"/>
      <c r="AO399" s="8"/>
      <c r="AP399" s="8"/>
      <c r="AQ399" s="8"/>
    </row>
    <row r="400" spans="1:43" x14ac:dyDescent="0.15">
      <c r="A400" s="8"/>
      <c r="B400" s="8"/>
      <c r="C400" s="8"/>
      <c r="D400" s="8"/>
      <c r="E400" s="9"/>
      <c r="F400" s="8"/>
      <c r="G400" s="10"/>
      <c r="H400" s="11"/>
      <c r="I400" s="8"/>
      <c r="J400" s="9"/>
      <c r="K400" s="8"/>
      <c r="L400" s="9"/>
      <c r="M400" s="8"/>
      <c r="N400" s="11"/>
      <c r="O400" s="8"/>
      <c r="P400" s="9"/>
      <c r="Q400" s="8"/>
      <c r="R400" s="9"/>
      <c r="S400" s="8"/>
      <c r="T400" s="8"/>
      <c r="U400" s="8"/>
      <c r="V400" s="11"/>
      <c r="W400" s="8"/>
      <c r="X400" s="8"/>
      <c r="Y400" s="9"/>
      <c r="Z400" s="8"/>
      <c r="AA400" s="8"/>
      <c r="AB400" s="8"/>
      <c r="AC400" s="11"/>
      <c r="AD400" s="8"/>
      <c r="AE400" s="9"/>
      <c r="AF400" s="8"/>
      <c r="AG400" s="9"/>
      <c r="AH400" s="8"/>
      <c r="AI400" s="8"/>
      <c r="AJ400" s="8"/>
      <c r="AK400" s="11"/>
      <c r="AL400" s="8"/>
      <c r="AM400" s="8"/>
      <c r="AN400" s="9"/>
      <c r="AO400" s="8"/>
      <c r="AP400" s="8"/>
      <c r="AQ400" s="8"/>
    </row>
    <row r="401" spans="1:43" x14ac:dyDescent="0.15">
      <c r="A401" s="8"/>
      <c r="B401" s="8"/>
      <c r="C401" s="8"/>
      <c r="D401" s="8"/>
      <c r="E401" s="9"/>
      <c r="F401" s="8"/>
      <c r="G401" s="10"/>
      <c r="H401" s="11"/>
      <c r="I401" s="8"/>
      <c r="J401" s="9"/>
      <c r="K401" s="8"/>
      <c r="L401" s="9"/>
      <c r="M401" s="8"/>
      <c r="N401" s="11"/>
      <c r="O401" s="8"/>
      <c r="P401" s="9"/>
      <c r="Q401" s="8"/>
      <c r="R401" s="9"/>
      <c r="S401" s="8"/>
      <c r="T401" s="8"/>
      <c r="U401" s="8"/>
      <c r="V401" s="11"/>
      <c r="W401" s="8"/>
      <c r="X401" s="8"/>
      <c r="Y401" s="9"/>
      <c r="Z401" s="8"/>
      <c r="AA401" s="8"/>
      <c r="AB401" s="8"/>
      <c r="AC401" s="11"/>
      <c r="AD401" s="8"/>
      <c r="AE401" s="9"/>
      <c r="AF401" s="8"/>
      <c r="AG401" s="9"/>
      <c r="AH401" s="8"/>
      <c r="AI401" s="8"/>
      <c r="AJ401" s="8"/>
      <c r="AK401" s="11"/>
      <c r="AL401" s="8"/>
      <c r="AM401" s="8"/>
      <c r="AN401" s="9"/>
      <c r="AO401" s="8"/>
      <c r="AP401" s="8"/>
      <c r="AQ401" s="8"/>
    </row>
    <row r="402" spans="1:43" x14ac:dyDescent="0.15">
      <c r="A402" s="8"/>
      <c r="B402" s="8"/>
      <c r="C402" s="8"/>
      <c r="D402" s="8"/>
      <c r="E402" s="9"/>
      <c r="F402" s="8"/>
      <c r="G402" s="10"/>
      <c r="H402" s="11"/>
      <c r="I402" s="8"/>
      <c r="J402" s="9"/>
      <c r="K402" s="8"/>
      <c r="L402" s="9"/>
      <c r="M402" s="8"/>
      <c r="N402" s="11"/>
      <c r="O402" s="8"/>
      <c r="P402" s="9"/>
      <c r="Q402" s="8"/>
      <c r="R402" s="9"/>
      <c r="S402" s="8"/>
      <c r="T402" s="8"/>
      <c r="U402" s="8"/>
      <c r="V402" s="11"/>
      <c r="W402" s="8"/>
      <c r="X402" s="8"/>
      <c r="Y402" s="9"/>
      <c r="Z402" s="8"/>
      <c r="AA402" s="8"/>
      <c r="AB402" s="8"/>
      <c r="AC402" s="11"/>
      <c r="AD402" s="8"/>
      <c r="AE402" s="9"/>
      <c r="AF402" s="8"/>
      <c r="AG402" s="9"/>
      <c r="AH402" s="8"/>
      <c r="AI402" s="8"/>
      <c r="AJ402" s="8"/>
      <c r="AK402" s="11"/>
      <c r="AL402" s="8"/>
      <c r="AM402" s="8"/>
      <c r="AN402" s="9"/>
      <c r="AO402" s="8"/>
      <c r="AP402" s="8"/>
      <c r="AQ402" s="8"/>
    </row>
    <row r="403" spans="1:43" x14ac:dyDescent="0.15">
      <c r="A403" s="8"/>
      <c r="B403" s="8"/>
      <c r="C403" s="8"/>
      <c r="D403" s="8"/>
      <c r="E403" s="9"/>
      <c r="F403" s="8"/>
      <c r="G403" s="10"/>
      <c r="H403" s="11"/>
      <c r="I403" s="8"/>
      <c r="J403" s="9"/>
      <c r="K403" s="8"/>
      <c r="L403" s="9"/>
      <c r="M403" s="8"/>
      <c r="N403" s="11"/>
      <c r="O403" s="8"/>
      <c r="P403" s="9"/>
      <c r="Q403" s="8"/>
      <c r="R403" s="9"/>
      <c r="S403" s="8"/>
      <c r="T403" s="8"/>
      <c r="U403" s="8"/>
      <c r="V403" s="11"/>
      <c r="W403" s="8"/>
      <c r="X403" s="8"/>
      <c r="Y403" s="9"/>
      <c r="Z403" s="8"/>
      <c r="AA403" s="8"/>
      <c r="AB403" s="8"/>
      <c r="AC403" s="11"/>
      <c r="AD403" s="8"/>
      <c r="AE403" s="9"/>
      <c r="AF403" s="8"/>
      <c r="AG403" s="9"/>
      <c r="AH403" s="8"/>
      <c r="AI403" s="8"/>
      <c r="AJ403" s="8"/>
      <c r="AK403" s="11"/>
      <c r="AL403" s="8"/>
      <c r="AM403" s="8"/>
      <c r="AN403" s="9"/>
      <c r="AO403" s="8"/>
      <c r="AP403" s="8"/>
      <c r="AQ403" s="8"/>
    </row>
    <row r="404" spans="1:43" x14ac:dyDescent="0.15">
      <c r="A404" s="8"/>
      <c r="B404" s="8"/>
      <c r="C404" s="8"/>
      <c r="D404" s="8"/>
      <c r="E404" s="9"/>
      <c r="F404" s="8"/>
      <c r="G404" s="10"/>
      <c r="H404" s="11"/>
      <c r="I404" s="8"/>
      <c r="J404" s="9"/>
      <c r="K404" s="8"/>
      <c r="L404" s="9"/>
      <c r="M404" s="8"/>
      <c r="N404" s="11"/>
      <c r="O404" s="8"/>
      <c r="P404" s="9"/>
      <c r="Q404" s="8"/>
      <c r="R404" s="9"/>
      <c r="S404" s="8"/>
      <c r="T404" s="8"/>
      <c r="U404" s="8"/>
      <c r="V404" s="11"/>
      <c r="W404" s="8"/>
      <c r="X404" s="8"/>
      <c r="Y404" s="9"/>
      <c r="Z404" s="8"/>
      <c r="AA404" s="8"/>
      <c r="AB404" s="8"/>
      <c r="AC404" s="11"/>
      <c r="AD404" s="8"/>
      <c r="AE404" s="9"/>
      <c r="AF404" s="8"/>
      <c r="AG404" s="9"/>
      <c r="AH404" s="8"/>
      <c r="AI404" s="8"/>
      <c r="AJ404" s="8"/>
      <c r="AK404" s="11"/>
      <c r="AL404" s="8"/>
      <c r="AM404" s="8"/>
      <c r="AN404" s="9"/>
      <c r="AO404" s="8"/>
      <c r="AP404" s="8"/>
      <c r="AQ404" s="8"/>
    </row>
    <row r="405" spans="1:43" x14ac:dyDescent="0.15">
      <c r="A405" s="8"/>
      <c r="B405" s="8"/>
      <c r="C405" s="8"/>
      <c r="D405" s="8"/>
      <c r="E405" s="9"/>
      <c r="F405" s="8"/>
      <c r="G405" s="10"/>
      <c r="H405" s="11"/>
      <c r="I405" s="8"/>
      <c r="J405" s="9"/>
      <c r="K405" s="8"/>
      <c r="L405" s="9"/>
      <c r="M405" s="8"/>
      <c r="N405" s="11"/>
      <c r="O405" s="8"/>
      <c r="P405" s="9"/>
      <c r="Q405" s="8"/>
      <c r="R405" s="9"/>
      <c r="S405" s="8"/>
      <c r="T405" s="8"/>
      <c r="U405" s="8"/>
      <c r="V405" s="11"/>
      <c r="W405" s="8"/>
      <c r="X405" s="8"/>
      <c r="Y405" s="9"/>
      <c r="Z405" s="8"/>
      <c r="AA405" s="8"/>
      <c r="AB405" s="8"/>
      <c r="AC405" s="11"/>
      <c r="AD405" s="8"/>
      <c r="AE405" s="9"/>
      <c r="AF405" s="8"/>
      <c r="AG405" s="9"/>
      <c r="AH405" s="8"/>
      <c r="AI405" s="8"/>
      <c r="AJ405" s="8"/>
      <c r="AK405" s="11"/>
      <c r="AL405" s="8"/>
      <c r="AM405" s="8"/>
      <c r="AN405" s="9"/>
      <c r="AO405" s="8"/>
      <c r="AP405" s="8"/>
      <c r="AQ405" s="8"/>
    </row>
    <row r="406" spans="1:43" x14ac:dyDescent="0.15">
      <c r="A406" s="8"/>
      <c r="B406" s="8"/>
      <c r="C406" s="8"/>
      <c r="D406" s="8"/>
      <c r="E406" s="9"/>
      <c r="F406" s="8"/>
      <c r="G406" s="10"/>
      <c r="H406" s="11"/>
      <c r="I406" s="8"/>
      <c r="J406" s="9"/>
      <c r="K406" s="8"/>
      <c r="L406" s="9"/>
      <c r="M406" s="8"/>
      <c r="N406" s="11"/>
      <c r="O406" s="8"/>
      <c r="P406" s="9"/>
      <c r="Q406" s="8"/>
      <c r="R406" s="9"/>
      <c r="S406" s="8"/>
      <c r="T406" s="8"/>
      <c r="U406" s="8"/>
      <c r="V406" s="11"/>
      <c r="W406" s="8"/>
      <c r="X406" s="8"/>
      <c r="Y406" s="9"/>
      <c r="Z406" s="8"/>
      <c r="AA406" s="8"/>
      <c r="AB406" s="8"/>
      <c r="AC406" s="11"/>
      <c r="AD406" s="8"/>
      <c r="AE406" s="9"/>
      <c r="AF406" s="8"/>
      <c r="AG406" s="9"/>
      <c r="AH406" s="8"/>
      <c r="AI406" s="8"/>
      <c r="AJ406" s="8"/>
      <c r="AK406" s="11"/>
      <c r="AL406" s="8"/>
      <c r="AM406" s="8"/>
      <c r="AN406" s="9"/>
      <c r="AO406" s="8"/>
      <c r="AP406" s="8"/>
      <c r="AQ406" s="8"/>
    </row>
    <row r="407" spans="1:43" x14ac:dyDescent="0.15">
      <c r="A407" s="8"/>
      <c r="B407" s="8"/>
      <c r="C407" s="8"/>
      <c r="D407" s="8"/>
      <c r="E407" s="9"/>
      <c r="F407" s="8"/>
      <c r="G407" s="10"/>
      <c r="H407" s="11"/>
      <c r="I407" s="8"/>
      <c r="J407" s="9"/>
      <c r="K407" s="8"/>
      <c r="L407" s="9"/>
      <c r="M407" s="8"/>
      <c r="N407" s="11"/>
      <c r="O407" s="8"/>
      <c r="P407" s="9"/>
      <c r="Q407" s="8"/>
      <c r="R407" s="9"/>
      <c r="S407" s="8"/>
      <c r="T407" s="8"/>
      <c r="U407" s="8"/>
      <c r="V407" s="11"/>
      <c r="W407" s="8"/>
      <c r="X407" s="8"/>
      <c r="Y407" s="9"/>
      <c r="Z407" s="8"/>
      <c r="AA407" s="8"/>
      <c r="AB407" s="8"/>
      <c r="AC407" s="11"/>
      <c r="AD407" s="8"/>
      <c r="AE407" s="9"/>
      <c r="AF407" s="8"/>
      <c r="AG407" s="9"/>
      <c r="AH407" s="8"/>
      <c r="AI407" s="8"/>
      <c r="AJ407" s="8"/>
      <c r="AK407" s="11"/>
      <c r="AL407" s="8"/>
      <c r="AM407" s="8"/>
      <c r="AN407" s="9"/>
      <c r="AO407" s="8"/>
      <c r="AP407" s="8"/>
      <c r="AQ407" s="8"/>
    </row>
    <row r="408" spans="1:43" x14ac:dyDescent="0.15">
      <c r="A408" s="8"/>
      <c r="B408" s="8"/>
      <c r="C408" s="8"/>
      <c r="D408" s="8"/>
      <c r="E408" s="9"/>
      <c r="F408" s="8"/>
      <c r="G408" s="10"/>
      <c r="H408" s="11"/>
      <c r="I408" s="8"/>
      <c r="J408" s="9"/>
      <c r="K408" s="8"/>
      <c r="L408" s="9"/>
      <c r="M408" s="8"/>
      <c r="N408" s="11"/>
      <c r="O408" s="8"/>
      <c r="P408" s="9"/>
      <c r="Q408" s="8"/>
      <c r="R408" s="9"/>
      <c r="S408" s="8"/>
      <c r="T408" s="8"/>
      <c r="U408" s="8"/>
      <c r="V408" s="11"/>
      <c r="W408" s="8"/>
      <c r="X408" s="8"/>
      <c r="Y408" s="9"/>
      <c r="Z408" s="8"/>
      <c r="AA408" s="8"/>
      <c r="AB408" s="8"/>
      <c r="AC408" s="11"/>
      <c r="AD408" s="8"/>
      <c r="AE408" s="9"/>
      <c r="AF408" s="8"/>
      <c r="AG408" s="9"/>
      <c r="AH408" s="8"/>
      <c r="AI408" s="8"/>
      <c r="AJ408" s="8"/>
      <c r="AK408" s="11"/>
      <c r="AL408" s="8"/>
      <c r="AM408" s="8"/>
      <c r="AN408" s="9"/>
      <c r="AO408" s="8"/>
      <c r="AP408" s="8"/>
      <c r="AQ408" s="8"/>
    </row>
    <row r="409" spans="1:43" x14ac:dyDescent="0.15">
      <c r="A409" s="8"/>
      <c r="B409" s="8"/>
      <c r="C409" s="8"/>
      <c r="D409" s="8"/>
      <c r="E409" s="9"/>
      <c r="F409" s="8"/>
      <c r="G409" s="10"/>
      <c r="H409" s="11"/>
      <c r="I409" s="8"/>
      <c r="J409" s="9"/>
      <c r="K409" s="8"/>
      <c r="L409" s="9"/>
      <c r="M409" s="8"/>
      <c r="N409" s="11"/>
      <c r="O409" s="8"/>
      <c r="P409" s="9"/>
      <c r="Q409" s="8"/>
      <c r="R409" s="9"/>
      <c r="S409" s="8"/>
      <c r="T409" s="8"/>
      <c r="U409" s="8"/>
      <c r="V409" s="11"/>
      <c r="W409" s="8"/>
      <c r="X409" s="8"/>
      <c r="Y409" s="9"/>
      <c r="Z409" s="8"/>
      <c r="AA409" s="8"/>
      <c r="AB409" s="8"/>
      <c r="AC409" s="11"/>
      <c r="AD409" s="8"/>
      <c r="AE409" s="9"/>
      <c r="AF409" s="8"/>
      <c r="AG409" s="9"/>
      <c r="AH409" s="8"/>
      <c r="AI409" s="8"/>
      <c r="AJ409" s="8"/>
      <c r="AK409" s="11"/>
      <c r="AL409" s="8"/>
      <c r="AM409" s="8"/>
      <c r="AN409" s="9"/>
      <c r="AO409" s="8"/>
      <c r="AP409" s="8"/>
      <c r="AQ409" s="8"/>
    </row>
    <row r="410" spans="1:43" x14ac:dyDescent="0.15">
      <c r="A410" s="8"/>
      <c r="B410" s="8"/>
      <c r="C410" s="8"/>
      <c r="D410" s="8"/>
      <c r="E410" s="9"/>
      <c r="F410" s="8"/>
      <c r="G410" s="10"/>
      <c r="H410" s="11"/>
      <c r="I410" s="8"/>
      <c r="J410" s="9"/>
      <c r="K410" s="8"/>
      <c r="L410" s="9"/>
      <c r="M410" s="8"/>
      <c r="N410" s="11"/>
      <c r="O410" s="8"/>
      <c r="P410" s="9"/>
      <c r="Q410" s="8"/>
      <c r="R410" s="9"/>
      <c r="S410" s="8"/>
      <c r="T410" s="8"/>
      <c r="U410" s="8"/>
      <c r="V410" s="11"/>
      <c r="W410" s="8"/>
      <c r="X410" s="8"/>
      <c r="Y410" s="9"/>
      <c r="Z410" s="8"/>
      <c r="AA410" s="8"/>
      <c r="AB410" s="8"/>
      <c r="AC410" s="11"/>
      <c r="AD410" s="8"/>
      <c r="AE410" s="9"/>
      <c r="AF410" s="8"/>
      <c r="AG410" s="9"/>
      <c r="AH410" s="8"/>
      <c r="AI410" s="8"/>
      <c r="AJ410" s="8"/>
      <c r="AK410" s="11"/>
      <c r="AL410" s="8"/>
      <c r="AM410" s="8"/>
      <c r="AN410" s="9"/>
      <c r="AO410" s="8"/>
      <c r="AP410" s="8"/>
      <c r="AQ410" s="8"/>
    </row>
    <row r="411" spans="1:43" x14ac:dyDescent="0.15">
      <c r="A411" s="8"/>
      <c r="B411" s="8"/>
      <c r="C411" s="8"/>
      <c r="D411" s="8"/>
      <c r="E411" s="9"/>
      <c r="F411" s="8"/>
      <c r="G411" s="10"/>
      <c r="H411" s="11"/>
      <c r="I411" s="8"/>
      <c r="J411" s="9"/>
      <c r="K411" s="8"/>
      <c r="L411" s="9"/>
      <c r="M411" s="8"/>
      <c r="N411" s="11"/>
      <c r="O411" s="8"/>
      <c r="P411" s="9"/>
      <c r="Q411" s="8"/>
      <c r="R411" s="9"/>
      <c r="S411" s="8"/>
      <c r="T411" s="8"/>
      <c r="U411" s="8"/>
      <c r="V411" s="11"/>
      <c r="W411" s="8"/>
      <c r="X411" s="8"/>
      <c r="Y411" s="9"/>
      <c r="Z411" s="8"/>
      <c r="AA411" s="8"/>
      <c r="AB411" s="8"/>
      <c r="AC411" s="11"/>
      <c r="AD411" s="8"/>
      <c r="AE411" s="9"/>
      <c r="AF411" s="8"/>
      <c r="AG411" s="9"/>
      <c r="AH411" s="8"/>
      <c r="AI411" s="8"/>
      <c r="AJ411" s="8"/>
      <c r="AK411" s="11"/>
      <c r="AL411" s="8"/>
      <c r="AM411" s="8"/>
      <c r="AN411" s="9"/>
      <c r="AO411" s="8"/>
      <c r="AP411" s="8"/>
      <c r="AQ411" s="8"/>
    </row>
    <row r="412" spans="1:43" x14ac:dyDescent="0.15">
      <c r="A412" s="8"/>
      <c r="B412" s="8"/>
      <c r="C412" s="8"/>
      <c r="D412" s="8"/>
      <c r="E412" s="9"/>
      <c r="F412" s="8"/>
      <c r="G412" s="10"/>
      <c r="H412" s="11"/>
      <c r="I412" s="8"/>
      <c r="J412" s="9"/>
      <c r="K412" s="8"/>
      <c r="L412" s="9"/>
      <c r="M412" s="8"/>
      <c r="N412" s="11"/>
      <c r="O412" s="8"/>
      <c r="P412" s="9"/>
      <c r="Q412" s="8"/>
      <c r="R412" s="9"/>
      <c r="S412" s="8"/>
      <c r="T412" s="8"/>
      <c r="U412" s="8"/>
      <c r="V412" s="11"/>
      <c r="W412" s="8"/>
      <c r="X412" s="8"/>
      <c r="Y412" s="9"/>
      <c r="Z412" s="8"/>
      <c r="AA412" s="8"/>
      <c r="AB412" s="8"/>
      <c r="AC412" s="11"/>
      <c r="AD412" s="8"/>
      <c r="AE412" s="9"/>
      <c r="AF412" s="8"/>
      <c r="AG412" s="9"/>
      <c r="AH412" s="8"/>
      <c r="AI412" s="8"/>
      <c r="AJ412" s="8"/>
      <c r="AK412" s="11"/>
      <c r="AL412" s="8"/>
      <c r="AM412" s="8"/>
      <c r="AN412" s="9"/>
      <c r="AO412" s="8"/>
      <c r="AP412" s="8"/>
      <c r="AQ412" s="8"/>
    </row>
    <row r="413" spans="1:43" x14ac:dyDescent="0.15">
      <c r="A413" s="8"/>
      <c r="B413" s="8"/>
      <c r="C413" s="8"/>
      <c r="D413" s="8"/>
      <c r="E413" s="9"/>
      <c r="F413" s="8"/>
      <c r="G413" s="10"/>
      <c r="H413" s="11"/>
      <c r="I413" s="8"/>
      <c r="J413" s="9"/>
      <c r="K413" s="8"/>
      <c r="L413" s="9"/>
      <c r="M413" s="8"/>
      <c r="N413" s="11"/>
      <c r="O413" s="8"/>
      <c r="P413" s="9"/>
      <c r="Q413" s="8"/>
      <c r="R413" s="9"/>
      <c r="S413" s="8"/>
      <c r="T413" s="8"/>
      <c r="U413" s="8"/>
      <c r="V413" s="11"/>
      <c r="W413" s="8"/>
      <c r="X413" s="8"/>
      <c r="Y413" s="9"/>
      <c r="Z413" s="8"/>
      <c r="AA413" s="8"/>
      <c r="AB413" s="8"/>
      <c r="AC413" s="11"/>
      <c r="AD413" s="8"/>
      <c r="AE413" s="9"/>
      <c r="AF413" s="8"/>
      <c r="AG413" s="9"/>
      <c r="AH413" s="8"/>
      <c r="AI413" s="8"/>
      <c r="AJ413" s="8"/>
      <c r="AK413" s="11"/>
      <c r="AL413" s="8"/>
      <c r="AM413" s="8"/>
      <c r="AN413" s="9"/>
      <c r="AO413" s="8"/>
      <c r="AP413" s="8"/>
      <c r="AQ413" s="8"/>
    </row>
    <row r="414" spans="1:43" x14ac:dyDescent="0.15">
      <c r="A414" s="8"/>
      <c r="B414" s="8"/>
      <c r="C414" s="8"/>
      <c r="D414" s="8"/>
      <c r="E414" s="9"/>
      <c r="F414" s="8"/>
      <c r="G414" s="10"/>
      <c r="H414" s="11"/>
      <c r="I414" s="8"/>
      <c r="J414" s="9"/>
      <c r="K414" s="8"/>
      <c r="L414" s="9"/>
      <c r="M414" s="8"/>
      <c r="N414" s="11"/>
      <c r="O414" s="8"/>
      <c r="P414" s="9"/>
      <c r="Q414" s="8"/>
      <c r="R414" s="9"/>
      <c r="S414" s="8"/>
      <c r="T414" s="8"/>
      <c r="U414" s="8"/>
      <c r="V414" s="11"/>
      <c r="W414" s="8"/>
      <c r="X414" s="8"/>
      <c r="Y414" s="9"/>
      <c r="Z414" s="8"/>
      <c r="AA414" s="8"/>
      <c r="AB414" s="8"/>
      <c r="AC414" s="11"/>
      <c r="AD414" s="8"/>
      <c r="AE414" s="9"/>
      <c r="AF414" s="8"/>
      <c r="AG414" s="9"/>
      <c r="AH414" s="8"/>
      <c r="AI414" s="8"/>
      <c r="AJ414" s="8"/>
      <c r="AK414" s="11"/>
      <c r="AL414" s="8"/>
      <c r="AM414" s="8"/>
      <c r="AN414" s="9"/>
      <c r="AO414" s="8"/>
      <c r="AP414" s="8"/>
      <c r="AQ414" s="8"/>
    </row>
    <row r="415" spans="1:43" x14ac:dyDescent="0.15">
      <c r="A415" s="8"/>
      <c r="B415" s="8"/>
      <c r="C415" s="8"/>
      <c r="D415" s="8"/>
      <c r="E415" s="9"/>
      <c r="F415" s="8"/>
      <c r="G415" s="10"/>
      <c r="H415" s="11"/>
      <c r="I415" s="8"/>
      <c r="J415" s="9"/>
      <c r="K415" s="8"/>
      <c r="L415" s="9"/>
      <c r="M415" s="8"/>
      <c r="N415" s="11"/>
      <c r="O415" s="8"/>
      <c r="P415" s="9"/>
      <c r="Q415" s="8"/>
      <c r="R415" s="9"/>
      <c r="S415" s="8"/>
      <c r="T415" s="8"/>
      <c r="U415" s="8"/>
      <c r="V415" s="11"/>
      <c r="W415" s="8"/>
      <c r="X415" s="8"/>
      <c r="Y415" s="9"/>
      <c r="Z415" s="8"/>
      <c r="AA415" s="8"/>
      <c r="AB415" s="8"/>
      <c r="AC415" s="11"/>
      <c r="AD415" s="8"/>
      <c r="AE415" s="9"/>
      <c r="AF415" s="8"/>
      <c r="AG415" s="9"/>
      <c r="AH415" s="8"/>
      <c r="AI415" s="8"/>
      <c r="AJ415" s="8"/>
      <c r="AK415" s="11"/>
      <c r="AL415" s="8"/>
      <c r="AM415" s="8"/>
      <c r="AN415" s="9"/>
      <c r="AO415" s="8"/>
      <c r="AP415" s="8"/>
      <c r="AQ415" s="8"/>
    </row>
    <row r="416" spans="1:43" x14ac:dyDescent="0.15">
      <c r="A416" s="8"/>
      <c r="B416" s="8"/>
      <c r="C416" s="8"/>
      <c r="D416" s="8"/>
      <c r="E416" s="9"/>
      <c r="F416" s="8"/>
      <c r="G416" s="10"/>
      <c r="H416" s="11"/>
      <c r="I416" s="8"/>
      <c r="J416" s="9"/>
      <c r="K416" s="8"/>
      <c r="L416" s="9"/>
      <c r="M416" s="8"/>
      <c r="N416" s="11"/>
      <c r="O416" s="8"/>
      <c r="P416" s="9"/>
      <c r="Q416" s="8"/>
      <c r="R416" s="9"/>
      <c r="S416" s="8"/>
      <c r="T416" s="8"/>
      <c r="U416" s="8"/>
      <c r="V416" s="11"/>
      <c r="W416" s="8"/>
      <c r="X416" s="8"/>
      <c r="Y416" s="9"/>
      <c r="Z416" s="8"/>
      <c r="AA416" s="8"/>
      <c r="AB416" s="8"/>
      <c r="AC416" s="11"/>
      <c r="AD416" s="8"/>
      <c r="AE416" s="9"/>
      <c r="AF416" s="8"/>
      <c r="AG416" s="9"/>
      <c r="AH416" s="8"/>
      <c r="AI416" s="8"/>
      <c r="AJ416" s="8"/>
      <c r="AK416" s="11"/>
      <c r="AL416" s="8"/>
      <c r="AM416" s="8"/>
      <c r="AN416" s="9"/>
      <c r="AO416" s="8"/>
      <c r="AP416" s="8"/>
      <c r="AQ416" s="8"/>
    </row>
    <row r="417" spans="1:43" x14ac:dyDescent="0.15">
      <c r="A417" s="8"/>
      <c r="B417" s="8"/>
      <c r="C417" s="8"/>
      <c r="D417" s="8"/>
      <c r="E417" s="9"/>
      <c r="F417" s="8"/>
      <c r="G417" s="10"/>
      <c r="H417" s="11"/>
      <c r="I417" s="8"/>
      <c r="J417" s="9"/>
      <c r="K417" s="8"/>
      <c r="L417" s="9"/>
      <c r="M417" s="8"/>
      <c r="N417" s="11"/>
      <c r="O417" s="8"/>
      <c r="P417" s="9"/>
      <c r="Q417" s="8"/>
      <c r="R417" s="9"/>
      <c r="S417" s="8"/>
      <c r="T417" s="8"/>
      <c r="U417" s="8"/>
      <c r="V417" s="11"/>
      <c r="W417" s="8"/>
      <c r="X417" s="8"/>
      <c r="Y417" s="9"/>
      <c r="Z417" s="8"/>
      <c r="AA417" s="8"/>
      <c r="AB417" s="8"/>
      <c r="AC417" s="11"/>
      <c r="AD417" s="8"/>
      <c r="AE417" s="9"/>
      <c r="AF417" s="8"/>
      <c r="AG417" s="9"/>
      <c r="AH417" s="8"/>
      <c r="AI417" s="8"/>
      <c r="AJ417" s="8"/>
      <c r="AK417" s="11"/>
      <c r="AL417" s="8"/>
      <c r="AM417" s="8"/>
      <c r="AN417" s="9"/>
      <c r="AO417" s="8"/>
      <c r="AP417" s="8"/>
      <c r="AQ417" s="8"/>
    </row>
    <row r="418" spans="1:43" x14ac:dyDescent="0.15">
      <c r="A418" s="8"/>
      <c r="B418" s="8"/>
      <c r="C418" s="8"/>
      <c r="D418" s="8"/>
      <c r="E418" s="9"/>
      <c r="F418" s="8"/>
      <c r="G418" s="10"/>
      <c r="H418" s="11"/>
      <c r="I418" s="8"/>
      <c r="J418" s="9"/>
      <c r="K418" s="8"/>
      <c r="L418" s="9"/>
      <c r="M418" s="8"/>
      <c r="N418" s="11"/>
      <c r="O418" s="8"/>
      <c r="P418" s="9"/>
      <c r="Q418" s="8"/>
      <c r="R418" s="9"/>
      <c r="S418" s="8"/>
      <c r="T418" s="8"/>
      <c r="U418" s="8"/>
      <c r="V418" s="11"/>
      <c r="W418" s="8"/>
      <c r="X418" s="8"/>
      <c r="Y418" s="9"/>
      <c r="Z418" s="8"/>
      <c r="AA418" s="8"/>
      <c r="AB418" s="8"/>
      <c r="AC418" s="11"/>
      <c r="AD418" s="8"/>
      <c r="AE418" s="9"/>
      <c r="AF418" s="8"/>
      <c r="AG418" s="9"/>
      <c r="AH418" s="8"/>
      <c r="AI418" s="8"/>
      <c r="AJ418" s="8"/>
      <c r="AK418" s="11"/>
      <c r="AL418" s="8"/>
      <c r="AM418" s="8"/>
      <c r="AN418" s="9"/>
      <c r="AO418" s="8"/>
      <c r="AP418" s="8"/>
      <c r="AQ418" s="8"/>
    </row>
    <row r="419" spans="1:43" x14ac:dyDescent="0.15">
      <c r="A419" s="8"/>
      <c r="B419" s="8"/>
      <c r="C419" s="8"/>
      <c r="D419" s="8"/>
      <c r="E419" s="9"/>
      <c r="F419" s="8"/>
      <c r="G419" s="10"/>
      <c r="H419" s="11"/>
      <c r="I419" s="8"/>
      <c r="J419" s="9"/>
      <c r="K419" s="8"/>
      <c r="L419" s="9"/>
      <c r="M419" s="8"/>
      <c r="N419" s="11"/>
      <c r="O419" s="8"/>
      <c r="P419" s="9"/>
      <c r="Q419" s="8"/>
      <c r="R419" s="9"/>
      <c r="S419" s="8"/>
      <c r="T419" s="8"/>
      <c r="U419" s="8"/>
      <c r="V419" s="11"/>
      <c r="W419" s="8"/>
      <c r="X419" s="8"/>
      <c r="Y419" s="9"/>
      <c r="Z419" s="8"/>
      <c r="AA419" s="8"/>
      <c r="AB419" s="8"/>
      <c r="AC419" s="11"/>
      <c r="AD419" s="8"/>
      <c r="AE419" s="9"/>
      <c r="AF419" s="8"/>
      <c r="AG419" s="9"/>
      <c r="AH419" s="8"/>
      <c r="AI419" s="8"/>
      <c r="AJ419" s="8"/>
      <c r="AK419" s="11"/>
      <c r="AL419" s="8"/>
      <c r="AM419" s="8"/>
      <c r="AN419" s="9"/>
      <c r="AO419" s="8"/>
      <c r="AP419" s="8"/>
      <c r="AQ419" s="8"/>
    </row>
    <row r="420" spans="1:43" x14ac:dyDescent="0.15">
      <c r="A420" s="8"/>
      <c r="B420" s="8"/>
      <c r="C420" s="8"/>
      <c r="D420" s="8"/>
      <c r="E420" s="9"/>
      <c r="F420" s="8"/>
      <c r="G420" s="10"/>
      <c r="H420" s="11"/>
      <c r="I420" s="8"/>
      <c r="J420" s="9"/>
      <c r="K420" s="8"/>
      <c r="L420" s="9"/>
      <c r="M420" s="8"/>
      <c r="N420" s="11"/>
      <c r="O420" s="8"/>
      <c r="P420" s="9"/>
      <c r="Q420" s="8"/>
      <c r="R420" s="9"/>
      <c r="S420" s="8"/>
      <c r="T420" s="8"/>
      <c r="U420" s="8"/>
      <c r="V420" s="11"/>
      <c r="W420" s="8"/>
      <c r="X420" s="8"/>
      <c r="Y420" s="9"/>
      <c r="Z420" s="8"/>
      <c r="AA420" s="8"/>
      <c r="AB420" s="8"/>
      <c r="AC420" s="11"/>
      <c r="AD420" s="8"/>
      <c r="AE420" s="9"/>
      <c r="AF420" s="8"/>
      <c r="AG420" s="9"/>
      <c r="AH420" s="8"/>
      <c r="AI420" s="8"/>
      <c r="AJ420" s="8"/>
      <c r="AK420" s="11"/>
      <c r="AL420" s="8"/>
      <c r="AM420" s="8"/>
      <c r="AN420" s="9"/>
      <c r="AO420" s="8"/>
      <c r="AP420" s="8"/>
      <c r="AQ420" s="8"/>
    </row>
    <row r="421" spans="1:43" x14ac:dyDescent="0.15">
      <c r="A421" s="8"/>
      <c r="B421" s="8"/>
      <c r="C421" s="8"/>
      <c r="D421" s="8"/>
      <c r="E421" s="9"/>
      <c r="F421" s="8"/>
      <c r="G421" s="10"/>
      <c r="H421" s="11"/>
      <c r="I421" s="8"/>
      <c r="J421" s="9"/>
      <c r="K421" s="8"/>
      <c r="L421" s="9"/>
      <c r="M421" s="8"/>
      <c r="N421" s="11"/>
      <c r="O421" s="8"/>
      <c r="P421" s="9"/>
      <c r="Q421" s="8"/>
      <c r="R421" s="9"/>
      <c r="S421" s="8"/>
      <c r="T421" s="8"/>
      <c r="U421" s="8"/>
      <c r="V421" s="11"/>
      <c r="W421" s="8"/>
      <c r="X421" s="8"/>
      <c r="Y421" s="9"/>
      <c r="Z421" s="8"/>
      <c r="AA421" s="8"/>
      <c r="AB421" s="8"/>
      <c r="AC421" s="11"/>
      <c r="AD421" s="8"/>
      <c r="AE421" s="9"/>
      <c r="AF421" s="8"/>
      <c r="AG421" s="9"/>
      <c r="AH421" s="8"/>
      <c r="AI421" s="8"/>
      <c r="AJ421" s="8"/>
      <c r="AK421" s="11"/>
      <c r="AL421" s="8"/>
      <c r="AM421" s="8"/>
      <c r="AN421" s="9"/>
      <c r="AO421" s="8"/>
      <c r="AP421" s="8"/>
      <c r="AQ421" s="8"/>
    </row>
    <row r="422" spans="1:43" x14ac:dyDescent="0.15">
      <c r="A422" s="8"/>
      <c r="B422" s="8"/>
      <c r="C422" s="8"/>
      <c r="D422" s="8"/>
      <c r="E422" s="9"/>
      <c r="F422" s="8"/>
      <c r="G422" s="10"/>
      <c r="H422" s="11"/>
      <c r="I422" s="8"/>
      <c r="J422" s="9"/>
      <c r="K422" s="8"/>
      <c r="L422" s="9"/>
      <c r="M422" s="8"/>
      <c r="N422" s="11"/>
      <c r="O422" s="8"/>
      <c r="P422" s="9"/>
      <c r="Q422" s="8"/>
      <c r="R422" s="9"/>
      <c r="S422" s="8"/>
      <c r="T422" s="8"/>
      <c r="U422" s="8"/>
      <c r="V422" s="11"/>
      <c r="W422" s="8"/>
      <c r="X422" s="8"/>
      <c r="Y422" s="9"/>
      <c r="Z422" s="8"/>
      <c r="AA422" s="8"/>
      <c r="AB422" s="8"/>
      <c r="AC422" s="11"/>
      <c r="AD422" s="8"/>
      <c r="AE422" s="9"/>
      <c r="AF422" s="8"/>
      <c r="AG422" s="9"/>
      <c r="AH422" s="8"/>
      <c r="AI422" s="8"/>
      <c r="AJ422" s="8"/>
      <c r="AK422" s="11"/>
      <c r="AL422" s="8"/>
      <c r="AM422" s="8"/>
      <c r="AN422" s="9"/>
      <c r="AO422" s="8"/>
      <c r="AP422" s="8"/>
      <c r="AQ422" s="8"/>
    </row>
    <row r="423" spans="1:43" x14ac:dyDescent="0.15">
      <c r="A423" s="8"/>
      <c r="B423" s="8"/>
      <c r="C423" s="8"/>
      <c r="D423" s="8"/>
      <c r="E423" s="9"/>
      <c r="F423" s="8"/>
      <c r="G423" s="10"/>
      <c r="H423" s="11"/>
      <c r="I423" s="8"/>
      <c r="J423" s="9"/>
      <c r="K423" s="8"/>
      <c r="L423" s="9"/>
      <c r="M423" s="8"/>
      <c r="N423" s="11"/>
      <c r="O423" s="8"/>
      <c r="P423" s="9"/>
      <c r="Q423" s="8"/>
      <c r="R423" s="9"/>
      <c r="S423" s="8"/>
      <c r="T423" s="8"/>
      <c r="U423" s="8"/>
      <c r="V423" s="11"/>
      <c r="W423" s="8"/>
      <c r="X423" s="8"/>
      <c r="Y423" s="9"/>
      <c r="Z423" s="8"/>
      <c r="AA423" s="8"/>
      <c r="AB423" s="8"/>
      <c r="AC423" s="11"/>
      <c r="AD423" s="8"/>
      <c r="AE423" s="9"/>
      <c r="AF423" s="8"/>
      <c r="AG423" s="9"/>
      <c r="AH423" s="8"/>
      <c r="AI423" s="8"/>
      <c r="AJ423" s="8"/>
      <c r="AK423" s="11"/>
      <c r="AL423" s="8"/>
      <c r="AM423" s="8"/>
      <c r="AN423" s="9"/>
      <c r="AO423" s="8"/>
      <c r="AP423" s="8"/>
      <c r="AQ423" s="8"/>
    </row>
    <row r="424" spans="1:43" x14ac:dyDescent="0.15">
      <c r="A424" s="8"/>
      <c r="B424" s="8"/>
      <c r="C424" s="8"/>
      <c r="D424" s="8"/>
      <c r="E424" s="9"/>
      <c r="F424" s="8"/>
      <c r="G424" s="10"/>
      <c r="H424" s="11"/>
      <c r="I424" s="8"/>
      <c r="J424" s="9"/>
      <c r="K424" s="8"/>
      <c r="L424" s="9"/>
      <c r="M424" s="8"/>
      <c r="N424" s="11"/>
      <c r="O424" s="8"/>
      <c r="P424" s="9"/>
      <c r="Q424" s="8"/>
      <c r="R424" s="9"/>
      <c r="S424" s="8"/>
      <c r="T424" s="8"/>
      <c r="U424" s="8"/>
      <c r="V424" s="11"/>
      <c r="W424" s="8"/>
      <c r="X424" s="8"/>
      <c r="Y424" s="9"/>
      <c r="Z424" s="8"/>
      <c r="AA424" s="8"/>
      <c r="AB424" s="8"/>
      <c r="AC424" s="11"/>
      <c r="AD424" s="8"/>
      <c r="AE424" s="9"/>
      <c r="AF424" s="8"/>
      <c r="AG424" s="9"/>
      <c r="AH424" s="8"/>
      <c r="AI424" s="8"/>
      <c r="AJ424" s="8"/>
      <c r="AK424" s="11"/>
      <c r="AL424" s="8"/>
      <c r="AM424" s="8"/>
      <c r="AN424" s="9"/>
      <c r="AO424" s="8"/>
      <c r="AP424" s="8"/>
      <c r="AQ424" s="8"/>
    </row>
    <row r="425" spans="1:43" x14ac:dyDescent="0.15">
      <c r="A425" s="8"/>
      <c r="B425" s="8"/>
      <c r="C425" s="8"/>
      <c r="D425" s="8"/>
      <c r="E425" s="9"/>
      <c r="F425" s="8"/>
      <c r="G425" s="10"/>
      <c r="H425" s="11"/>
      <c r="I425" s="8"/>
      <c r="J425" s="9"/>
      <c r="K425" s="8"/>
      <c r="L425" s="9"/>
      <c r="M425" s="8"/>
      <c r="N425" s="11"/>
      <c r="O425" s="8"/>
      <c r="P425" s="9"/>
      <c r="Q425" s="8"/>
      <c r="R425" s="9"/>
      <c r="S425" s="8"/>
      <c r="T425" s="8"/>
      <c r="U425" s="8"/>
      <c r="V425" s="11"/>
      <c r="W425" s="8"/>
      <c r="X425" s="8"/>
      <c r="Y425" s="9"/>
      <c r="Z425" s="8"/>
      <c r="AA425" s="8"/>
      <c r="AB425" s="8"/>
      <c r="AC425" s="11"/>
      <c r="AD425" s="8"/>
      <c r="AE425" s="9"/>
      <c r="AF425" s="8"/>
      <c r="AG425" s="9"/>
      <c r="AH425" s="8"/>
      <c r="AI425" s="8"/>
      <c r="AJ425" s="8"/>
      <c r="AK425" s="11"/>
      <c r="AL425" s="8"/>
      <c r="AM425" s="8"/>
      <c r="AN425" s="9"/>
      <c r="AO425" s="8"/>
      <c r="AP425" s="8"/>
      <c r="AQ425" s="8"/>
    </row>
    <row r="426" spans="1:43" x14ac:dyDescent="0.15">
      <c r="A426" s="8"/>
      <c r="B426" s="8"/>
      <c r="C426" s="8"/>
      <c r="D426" s="8"/>
      <c r="E426" s="9"/>
      <c r="F426" s="8"/>
      <c r="G426" s="10"/>
      <c r="H426" s="11"/>
      <c r="I426" s="8"/>
      <c r="J426" s="9"/>
      <c r="K426" s="8"/>
      <c r="L426" s="9"/>
      <c r="M426" s="8"/>
      <c r="N426" s="11"/>
      <c r="O426" s="8"/>
      <c r="P426" s="9"/>
      <c r="Q426" s="8"/>
      <c r="R426" s="9"/>
      <c r="S426" s="8"/>
      <c r="T426" s="8"/>
      <c r="U426" s="8"/>
      <c r="V426" s="11"/>
      <c r="W426" s="8"/>
      <c r="X426" s="8"/>
      <c r="Y426" s="9"/>
      <c r="Z426" s="8"/>
      <c r="AA426" s="8"/>
      <c r="AB426" s="8"/>
      <c r="AC426" s="11"/>
      <c r="AD426" s="8"/>
      <c r="AE426" s="9"/>
      <c r="AF426" s="8"/>
      <c r="AG426" s="9"/>
      <c r="AH426" s="8"/>
      <c r="AI426" s="8"/>
      <c r="AJ426" s="8"/>
      <c r="AK426" s="11"/>
      <c r="AL426" s="8"/>
      <c r="AM426" s="8"/>
      <c r="AN426" s="9"/>
      <c r="AO426" s="8"/>
      <c r="AP426" s="8"/>
      <c r="AQ426" s="8"/>
    </row>
    <row r="427" spans="1:43" x14ac:dyDescent="0.15">
      <c r="A427" s="8"/>
      <c r="B427" s="8"/>
      <c r="C427" s="8"/>
      <c r="D427" s="8"/>
      <c r="E427" s="9"/>
      <c r="F427" s="8"/>
      <c r="G427" s="10"/>
      <c r="H427" s="11"/>
      <c r="I427" s="8"/>
      <c r="J427" s="9"/>
      <c r="K427" s="8"/>
      <c r="L427" s="9"/>
      <c r="M427" s="8"/>
      <c r="N427" s="11"/>
      <c r="O427" s="8"/>
      <c r="P427" s="9"/>
      <c r="Q427" s="8"/>
      <c r="R427" s="9"/>
      <c r="S427" s="8"/>
      <c r="T427" s="8"/>
      <c r="U427" s="8"/>
      <c r="V427" s="11"/>
      <c r="W427" s="8"/>
      <c r="X427" s="8"/>
      <c r="Y427" s="9"/>
      <c r="Z427" s="8"/>
      <c r="AA427" s="8"/>
      <c r="AB427" s="8"/>
      <c r="AC427" s="11"/>
      <c r="AD427" s="8"/>
      <c r="AE427" s="9"/>
      <c r="AF427" s="8"/>
      <c r="AG427" s="9"/>
      <c r="AH427" s="8"/>
      <c r="AI427" s="8"/>
      <c r="AJ427" s="8"/>
      <c r="AK427" s="11"/>
      <c r="AL427" s="8"/>
      <c r="AM427" s="8"/>
      <c r="AN427" s="9"/>
      <c r="AO427" s="8"/>
      <c r="AP427" s="8"/>
      <c r="AQ427" s="8"/>
    </row>
    <row r="428" spans="1:43" x14ac:dyDescent="0.15">
      <c r="A428" s="8"/>
      <c r="B428" s="8"/>
      <c r="C428" s="8"/>
      <c r="D428" s="8"/>
      <c r="E428" s="9"/>
      <c r="F428" s="8"/>
      <c r="G428" s="10"/>
      <c r="H428" s="11"/>
      <c r="I428" s="8"/>
      <c r="J428" s="9"/>
      <c r="K428" s="8"/>
      <c r="L428" s="9"/>
      <c r="M428" s="8"/>
      <c r="N428" s="11"/>
      <c r="O428" s="8"/>
      <c r="P428" s="9"/>
      <c r="Q428" s="8"/>
      <c r="R428" s="9"/>
      <c r="S428" s="8"/>
      <c r="T428" s="8"/>
      <c r="U428" s="8"/>
      <c r="V428" s="11"/>
      <c r="W428" s="8"/>
      <c r="X428" s="8"/>
      <c r="Y428" s="9"/>
      <c r="Z428" s="8"/>
      <c r="AA428" s="8"/>
      <c r="AB428" s="8"/>
      <c r="AC428" s="11"/>
      <c r="AD428" s="8"/>
      <c r="AE428" s="9"/>
      <c r="AF428" s="8"/>
      <c r="AG428" s="9"/>
      <c r="AH428" s="8"/>
      <c r="AI428" s="8"/>
      <c r="AJ428" s="8"/>
      <c r="AK428" s="11"/>
      <c r="AL428" s="8"/>
      <c r="AM428" s="8"/>
      <c r="AN428" s="9"/>
      <c r="AO428" s="8"/>
      <c r="AP428" s="8"/>
      <c r="AQ428" s="8"/>
    </row>
    <row r="429" spans="1:43" x14ac:dyDescent="0.15">
      <c r="A429" s="8"/>
      <c r="B429" s="8"/>
      <c r="C429" s="8"/>
      <c r="D429" s="8"/>
      <c r="E429" s="9"/>
      <c r="F429" s="8"/>
      <c r="G429" s="10"/>
      <c r="H429" s="11"/>
      <c r="I429" s="8"/>
      <c r="J429" s="9"/>
      <c r="K429" s="8"/>
      <c r="L429" s="9"/>
      <c r="M429" s="8"/>
      <c r="N429" s="11"/>
      <c r="O429" s="8"/>
      <c r="P429" s="9"/>
      <c r="Q429" s="8"/>
      <c r="R429" s="9"/>
      <c r="S429" s="8"/>
      <c r="T429" s="8"/>
      <c r="U429" s="8"/>
      <c r="V429" s="11"/>
      <c r="W429" s="8"/>
      <c r="X429" s="8"/>
      <c r="Y429" s="9"/>
      <c r="Z429" s="8"/>
      <c r="AA429" s="8"/>
      <c r="AB429" s="8"/>
      <c r="AC429" s="11"/>
      <c r="AD429" s="8"/>
      <c r="AE429" s="9"/>
      <c r="AF429" s="8"/>
      <c r="AG429" s="9"/>
      <c r="AH429" s="8"/>
      <c r="AI429" s="8"/>
      <c r="AJ429" s="8"/>
      <c r="AK429" s="11"/>
      <c r="AL429" s="8"/>
      <c r="AM429" s="8"/>
      <c r="AN429" s="9"/>
      <c r="AO429" s="8"/>
      <c r="AP429" s="8"/>
      <c r="AQ429" s="8"/>
    </row>
    <row r="430" spans="1:43" x14ac:dyDescent="0.15">
      <c r="A430" s="8"/>
      <c r="B430" s="8"/>
      <c r="C430" s="8"/>
      <c r="D430" s="8"/>
      <c r="E430" s="9"/>
      <c r="F430" s="8"/>
      <c r="G430" s="10"/>
      <c r="H430" s="11"/>
      <c r="I430" s="8"/>
      <c r="J430" s="9"/>
      <c r="K430" s="8"/>
      <c r="L430" s="9"/>
      <c r="M430" s="8"/>
      <c r="N430" s="11"/>
      <c r="O430" s="8"/>
      <c r="P430" s="9"/>
      <c r="Q430" s="8"/>
      <c r="R430" s="9"/>
      <c r="S430" s="8"/>
      <c r="T430" s="8"/>
      <c r="U430" s="8"/>
      <c r="V430" s="11"/>
      <c r="W430" s="8"/>
      <c r="X430" s="8"/>
      <c r="Y430" s="9"/>
      <c r="Z430" s="8"/>
      <c r="AA430" s="8"/>
      <c r="AB430" s="8"/>
      <c r="AC430" s="11"/>
      <c r="AD430" s="8"/>
      <c r="AE430" s="9"/>
      <c r="AF430" s="8"/>
      <c r="AG430" s="9"/>
      <c r="AH430" s="8"/>
      <c r="AI430" s="8"/>
      <c r="AJ430" s="8"/>
      <c r="AK430" s="11"/>
      <c r="AL430" s="8"/>
      <c r="AM430" s="8"/>
      <c r="AN430" s="9"/>
      <c r="AO430" s="8"/>
      <c r="AP430" s="8"/>
      <c r="AQ430" s="8"/>
    </row>
    <row r="431" spans="1:43" x14ac:dyDescent="0.15">
      <c r="A431" s="8"/>
      <c r="B431" s="8"/>
      <c r="C431" s="8"/>
      <c r="D431" s="8"/>
      <c r="E431" s="9"/>
      <c r="F431" s="8"/>
      <c r="G431" s="10"/>
      <c r="H431" s="11"/>
      <c r="I431" s="8"/>
      <c r="J431" s="9"/>
      <c r="K431" s="8"/>
      <c r="L431" s="9"/>
      <c r="M431" s="8"/>
      <c r="N431" s="11"/>
      <c r="O431" s="8"/>
      <c r="P431" s="9"/>
      <c r="Q431" s="8"/>
      <c r="R431" s="9"/>
      <c r="S431" s="8"/>
      <c r="T431" s="8"/>
      <c r="U431" s="8"/>
      <c r="V431" s="11"/>
      <c r="W431" s="8"/>
      <c r="X431" s="8"/>
      <c r="Y431" s="9"/>
      <c r="Z431" s="8"/>
      <c r="AA431" s="8"/>
      <c r="AB431" s="8"/>
      <c r="AC431" s="11"/>
      <c r="AD431" s="8"/>
      <c r="AE431" s="9"/>
      <c r="AF431" s="8"/>
      <c r="AG431" s="9"/>
      <c r="AH431" s="8"/>
      <c r="AI431" s="8"/>
      <c r="AJ431" s="8"/>
      <c r="AK431" s="11"/>
      <c r="AL431" s="8"/>
      <c r="AM431" s="8"/>
      <c r="AN431" s="9"/>
      <c r="AO431" s="8"/>
      <c r="AP431" s="8"/>
      <c r="AQ431" s="8"/>
    </row>
    <row r="432" spans="1:43" x14ac:dyDescent="0.15">
      <c r="A432" s="8"/>
      <c r="B432" s="8"/>
      <c r="C432" s="8"/>
      <c r="D432" s="8"/>
      <c r="E432" s="9"/>
      <c r="F432" s="8"/>
      <c r="G432" s="10"/>
      <c r="H432" s="11"/>
      <c r="I432" s="8"/>
      <c r="J432" s="9"/>
      <c r="K432" s="8"/>
      <c r="L432" s="9"/>
      <c r="M432" s="8"/>
      <c r="N432" s="11"/>
      <c r="O432" s="8"/>
      <c r="P432" s="9"/>
      <c r="Q432" s="8"/>
      <c r="R432" s="9"/>
      <c r="S432" s="8"/>
      <c r="T432" s="8"/>
      <c r="U432" s="8"/>
      <c r="V432" s="11"/>
      <c r="W432" s="8"/>
      <c r="X432" s="8"/>
      <c r="Y432" s="9"/>
      <c r="Z432" s="8"/>
      <c r="AA432" s="8"/>
      <c r="AB432" s="8"/>
      <c r="AC432" s="11"/>
      <c r="AD432" s="8"/>
      <c r="AE432" s="9"/>
      <c r="AF432" s="8"/>
      <c r="AG432" s="9"/>
      <c r="AH432" s="8"/>
      <c r="AI432" s="8"/>
      <c r="AJ432" s="8"/>
      <c r="AK432" s="11"/>
      <c r="AL432" s="8"/>
      <c r="AM432" s="8"/>
      <c r="AN432" s="9"/>
      <c r="AO432" s="8"/>
      <c r="AP432" s="8"/>
      <c r="AQ432" s="8"/>
    </row>
    <row r="433" spans="1:43" x14ac:dyDescent="0.15">
      <c r="A433" s="8"/>
      <c r="B433" s="8"/>
      <c r="C433" s="8"/>
      <c r="D433" s="8"/>
      <c r="E433" s="9"/>
      <c r="F433" s="8"/>
      <c r="G433" s="10"/>
      <c r="H433" s="11"/>
      <c r="I433" s="8"/>
      <c r="J433" s="9"/>
      <c r="K433" s="8"/>
      <c r="L433" s="9"/>
      <c r="M433" s="8"/>
      <c r="N433" s="11"/>
      <c r="O433" s="8"/>
      <c r="P433" s="9"/>
      <c r="Q433" s="8"/>
      <c r="R433" s="9"/>
      <c r="S433" s="8"/>
      <c r="T433" s="8"/>
      <c r="U433" s="8"/>
      <c r="V433" s="11"/>
      <c r="W433" s="8"/>
      <c r="X433" s="8"/>
      <c r="Y433" s="9"/>
      <c r="Z433" s="8"/>
      <c r="AA433" s="8"/>
      <c r="AB433" s="8"/>
      <c r="AC433" s="11"/>
      <c r="AD433" s="8"/>
      <c r="AE433" s="9"/>
      <c r="AF433" s="8"/>
      <c r="AG433" s="9"/>
      <c r="AH433" s="8"/>
      <c r="AI433" s="8"/>
      <c r="AJ433" s="8"/>
      <c r="AK433" s="11"/>
      <c r="AL433" s="8"/>
      <c r="AM433" s="8"/>
      <c r="AN433" s="9"/>
      <c r="AO433" s="8"/>
      <c r="AP433" s="8"/>
      <c r="AQ433" s="8"/>
    </row>
    <row r="434" spans="1:43" x14ac:dyDescent="0.15">
      <c r="A434" s="8"/>
      <c r="B434" s="8"/>
      <c r="C434" s="8"/>
      <c r="D434" s="8"/>
      <c r="E434" s="9"/>
      <c r="F434" s="8"/>
      <c r="G434" s="10"/>
      <c r="H434" s="11"/>
      <c r="I434" s="8"/>
      <c r="J434" s="9"/>
      <c r="K434" s="8"/>
      <c r="L434" s="9"/>
      <c r="M434" s="8"/>
      <c r="N434" s="11"/>
      <c r="O434" s="8"/>
      <c r="P434" s="9"/>
      <c r="Q434" s="8"/>
      <c r="R434" s="9"/>
      <c r="S434" s="8"/>
      <c r="T434" s="8"/>
      <c r="U434" s="8"/>
      <c r="V434" s="11"/>
      <c r="W434" s="8"/>
      <c r="X434" s="8"/>
      <c r="Y434" s="9"/>
      <c r="Z434" s="8"/>
      <c r="AA434" s="8"/>
      <c r="AB434" s="8"/>
      <c r="AC434" s="11"/>
      <c r="AD434" s="8"/>
      <c r="AE434" s="9"/>
      <c r="AF434" s="8"/>
      <c r="AG434" s="9"/>
      <c r="AH434" s="8"/>
      <c r="AI434" s="8"/>
      <c r="AJ434" s="8"/>
      <c r="AK434" s="11"/>
      <c r="AL434" s="8"/>
      <c r="AM434" s="8"/>
      <c r="AN434" s="9"/>
      <c r="AO434" s="8"/>
      <c r="AP434" s="8"/>
      <c r="AQ434" s="8"/>
    </row>
    <row r="435" spans="1:43" x14ac:dyDescent="0.15">
      <c r="A435" s="8"/>
      <c r="B435" s="8"/>
      <c r="C435" s="8"/>
      <c r="D435" s="8"/>
      <c r="E435" s="9"/>
      <c r="F435" s="8"/>
      <c r="G435" s="10"/>
      <c r="H435" s="11"/>
      <c r="I435" s="8"/>
      <c r="J435" s="9"/>
      <c r="K435" s="8"/>
      <c r="L435" s="9"/>
      <c r="M435" s="8"/>
      <c r="N435" s="11"/>
      <c r="O435" s="8"/>
      <c r="P435" s="9"/>
      <c r="Q435" s="8"/>
      <c r="R435" s="9"/>
      <c r="S435" s="8"/>
      <c r="T435" s="8"/>
      <c r="U435" s="8"/>
      <c r="V435" s="11"/>
      <c r="W435" s="8"/>
      <c r="X435" s="8"/>
      <c r="Y435" s="9"/>
      <c r="Z435" s="8"/>
      <c r="AA435" s="8"/>
      <c r="AB435" s="8"/>
      <c r="AC435" s="11"/>
      <c r="AD435" s="8"/>
      <c r="AE435" s="9"/>
      <c r="AF435" s="8"/>
      <c r="AG435" s="9"/>
      <c r="AH435" s="8"/>
      <c r="AI435" s="8"/>
      <c r="AJ435" s="8"/>
      <c r="AK435" s="11"/>
      <c r="AL435" s="8"/>
      <c r="AM435" s="8"/>
      <c r="AN435" s="9"/>
      <c r="AO435" s="8"/>
      <c r="AP435" s="8"/>
      <c r="AQ435" s="8"/>
    </row>
    <row r="436" spans="1:43" x14ac:dyDescent="0.15">
      <c r="A436" s="8"/>
      <c r="B436" s="8"/>
      <c r="C436" s="8"/>
      <c r="D436" s="8"/>
      <c r="E436" s="9"/>
      <c r="F436" s="8"/>
      <c r="G436" s="10"/>
      <c r="H436" s="11"/>
      <c r="I436" s="8"/>
      <c r="J436" s="9"/>
      <c r="K436" s="8"/>
      <c r="L436" s="9"/>
      <c r="M436" s="8"/>
      <c r="N436" s="11"/>
      <c r="O436" s="8"/>
      <c r="P436" s="9"/>
      <c r="Q436" s="8"/>
      <c r="R436" s="9"/>
      <c r="S436" s="8"/>
      <c r="T436" s="8"/>
      <c r="U436" s="8"/>
      <c r="V436" s="11"/>
      <c r="W436" s="8"/>
      <c r="X436" s="8"/>
      <c r="Y436" s="9"/>
      <c r="Z436" s="8"/>
      <c r="AA436" s="8"/>
      <c r="AB436" s="8"/>
      <c r="AC436" s="11"/>
      <c r="AD436" s="8"/>
      <c r="AE436" s="9"/>
      <c r="AF436" s="8"/>
      <c r="AG436" s="9"/>
      <c r="AH436" s="8"/>
      <c r="AI436" s="8"/>
      <c r="AJ436" s="8"/>
      <c r="AK436" s="11"/>
      <c r="AL436" s="8"/>
      <c r="AM436" s="8"/>
      <c r="AN436" s="9"/>
      <c r="AO436" s="8"/>
      <c r="AP436" s="8"/>
      <c r="AQ436" s="8"/>
    </row>
    <row r="437" spans="1:43" x14ac:dyDescent="0.15">
      <c r="A437" s="8"/>
      <c r="B437" s="8"/>
      <c r="C437" s="8"/>
      <c r="D437" s="8"/>
      <c r="E437" s="9"/>
      <c r="F437" s="8"/>
      <c r="G437" s="10"/>
      <c r="H437" s="11"/>
      <c r="I437" s="8"/>
      <c r="J437" s="9"/>
      <c r="K437" s="8"/>
      <c r="L437" s="9"/>
      <c r="M437" s="8"/>
      <c r="N437" s="11"/>
      <c r="O437" s="8"/>
      <c r="P437" s="9"/>
      <c r="Q437" s="8"/>
      <c r="R437" s="9"/>
      <c r="S437" s="8"/>
      <c r="T437" s="8"/>
      <c r="U437" s="8"/>
      <c r="V437" s="11"/>
      <c r="W437" s="8"/>
      <c r="X437" s="8"/>
      <c r="Y437" s="9"/>
      <c r="Z437" s="8"/>
      <c r="AA437" s="8"/>
      <c r="AB437" s="8"/>
      <c r="AC437" s="11"/>
      <c r="AD437" s="8"/>
      <c r="AE437" s="9"/>
      <c r="AF437" s="8"/>
      <c r="AG437" s="9"/>
      <c r="AH437" s="8"/>
      <c r="AI437" s="8"/>
      <c r="AJ437" s="8"/>
      <c r="AK437" s="11"/>
      <c r="AL437" s="8"/>
      <c r="AM437" s="8"/>
      <c r="AN437" s="9"/>
      <c r="AO437" s="8"/>
      <c r="AP437" s="8"/>
      <c r="AQ437" s="8"/>
    </row>
    <row r="438" spans="1:43" x14ac:dyDescent="0.15">
      <c r="A438" s="8"/>
      <c r="B438" s="8"/>
      <c r="C438" s="8"/>
      <c r="D438" s="8"/>
      <c r="E438" s="9"/>
      <c r="F438" s="8"/>
      <c r="G438" s="10"/>
      <c r="H438" s="11"/>
      <c r="I438" s="8"/>
      <c r="J438" s="9"/>
      <c r="K438" s="8"/>
      <c r="L438" s="9"/>
      <c r="M438" s="8"/>
      <c r="N438" s="11"/>
      <c r="O438" s="8"/>
      <c r="P438" s="9"/>
      <c r="Q438" s="8"/>
      <c r="R438" s="9"/>
      <c r="S438" s="8"/>
      <c r="T438" s="8"/>
      <c r="U438" s="8"/>
      <c r="V438" s="11"/>
      <c r="W438" s="8"/>
      <c r="X438" s="8"/>
      <c r="Y438" s="9"/>
      <c r="Z438" s="8"/>
      <c r="AA438" s="8"/>
      <c r="AB438" s="8"/>
      <c r="AC438" s="11"/>
      <c r="AD438" s="8"/>
      <c r="AE438" s="9"/>
      <c r="AF438" s="8"/>
      <c r="AG438" s="9"/>
      <c r="AH438" s="8"/>
      <c r="AI438" s="8"/>
      <c r="AJ438" s="8"/>
      <c r="AK438" s="11"/>
      <c r="AL438" s="8"/>
      <c r="AM438" s="8"/>
      <c r="AN438" s="9"/>
      <c r="AO438" s="8"/>
      <c r="AP438" s="8"/>
      <c r="AQ438" s="8"/>
    </row>
    <row r="439" spans="1:43" x14ac:dyDescent="0.15">
      <c r="A439" s="8"/>
      <c r="B439" s="8"/>
      <c r="C439" s="8"/>
      <c r="D439" s="8"/>
      <c r="E439" s="9"/>
      <c r="F439" s="8"/>
      <c r="G439" s="10"/>
      <c r="H439" s="11"/>
      <c r="I439" s="8"/>
      <c r="J439" s="9"/>
      <c r="K439" s="8"/>
      <c r="L439" s="9"/>
      <c r="M439" s="8"/>
      <c r="N439" s="11"/>
      <c r="O439" s="8"/>
      <c r="P439" s="9"/>
      <c r="Q439" s="8"/>
      <c r="R439" s="9"/>
      <c r="S439" s="8"/>
      <c r="T439" s="8"/>
      <c r="U439" s="8"/>
      <c r="V439" s="11"/>
      <c r="W439" s="8"/>
      <c r="X439" s="8"/>
      <c r="Y439" s="9"/>
      <c r="Z439" s="8"/>
      <c r="AA439" s="8"/>
      <c r="AB439" s="8"/>
      <c r="AC439" s="11"/>
      <c r="AD439" s="8"/>
      <c r="AE439" s="9"/>
      <c r="AF439" s="8"/>
      <c r="AG439" s="9"/>
      <c r="AH439" s="8"/>
      <c r="AI439" s="8"/>
      <c r="AJ439" s="8"/>
      <c r="AK439" s="11"/>
      <c r="AL439" s="8"/>
      <c r="AM439" s="8"/>
      <c r="AN439" s="9"/>
      <c r="AO439" s="8"/>
      <c r="AP439" s="8"/>
      <c r="AQ439" s="8"/>
    </row>
    <row r="440" spans="1:43" x14ac:dyDescent="0.15">
      <c r="A440" s="8"/>
      <c r="B440" s="8"/>
      <c r="C440" s="8"/>
      <c r="D440" s="8"/>
      <c r="E440" s="9"/>
      <c r="F440" s="8"/>
      <c r="G440" s="10"/>
      <c r="H440" s="11"/>
      <c r="I440" s="8"/>
      <c r="J440" s="9"/>
      <c r="K440" s="8"/>
      <c r="L440" s="9"/>
      <c r="M440" s="8"/>
      <c r="N440" s="11"/>
      <c r="O440" s="8"/>
      <c r="P440" s="9"/>
      <c r="Q440" s="8"/>
      <c r="R440" s="9"/>
      <c r="S440" s="8"/>
      <c r="T440" s="8"/>
      <c r="U440" s="8"/>
      <c r="V440" s="11"/>
      <c r="W440" s="8"/>
      <c r="X440" s="8"/>
      <c r="Y440" s="9"/>
      <c r="Z440" s="8"/>
      <c r="AA440" s="8"/>
      <c r="AB440" s="8"/>
      <c r="AC440" s="11"/>
      <c r="AD440" s="8"/>
      <c r="AE440" s="9"/>
      <c r="AF440" s="8"/>
      <c r="AG440" s="9"/>
      <c r="AH440" s="8"/>
      <c r="AI440" s="8"/>
      <c r="AJ440" s="8"/>
      <c r="AK440" s="11"/>
      <c r="AL440" s="8"/>
      <c r="AM440" s="8"/>
      <c r="AN440" s="9"/>
      <c r="AO440" s="8"/>
      <c r="AP440" s="8"/>
      <c r="AQ440" s="8"/>
    </row>
    <row r="441" spans="1:43" x14ac:dyDescent="0.15">
      <c r="A441" s="8"/>
      <c r="B441" s="8"/>
      <c r="C441" s="8"/>
      <c r="D441" s="8"/>
      <c r="E441" s="9"/>
      <c r="F441" s="8"/>
      <c r="G441" s="10"/>
      <c r="H441" s="11"/>
      <c r="I441" s="8"/>
      <c r="J441" s="9"/>
      <c r="K441" s="8"/>
      <c r="L441" s="9"/>
      <c r="M441" s="8"/>
      <c r="N441" s="11"/>
      <c r="O441" s="8"/>
      <c r="P441" s="9"/>
      <c r="Q441" s="8"/>
      <c r="R441" s="9"/>
      <c r="S441" s="8"/>
      <c r="T441" s="8"/>
      <c r="U441" s="8"/>
      <c r="V441" s="11"/>
      <c r="W441" s="8"/>
      <c r="X441" s="8"/>
      <c r="Y441" s="9"/>
      <c r="Z441" s="8"/>
      <c r="AA441" s="8"/>
      <c r="AB441" s="8"/>
      <c r="AC441" s="11"/>
      <c r="AD441" s="8"/>
      <c r="AE441" s="9"/>
      <c r="AF441" s="8"/>
      <c r="AG441" s="9"/>
      <c r="AH441" s="8"/>
      <c r="AI441" s="8"/>
      <c r="AJ441" s="8"/>
      <c r="AK441" s="11"/>
      <c r="AL441" s="8"/>
      <c r="AM441" s="8"/>
      <c r="AN441" s="9"/>
      <c r="AO441" s="8"/>
      <c r="AP441" s="8"/>
      <c r="AQ441" s="8"/>
    </row>
    <row r="442" spans="1:43" x14ac:dyDescent="0.15">
      <c r="A442" s="8"/>
      <c r="B442" s="8"/>
      <c r="C442" s="8"/>
      <c r="D442" s="8"/>
      <c r="E442" s="9"/>
      <c r="F442" s="8"/>
      <c r="G442" s="10"/>
      <c r="H442" s="11"/>
      <c r="I442" s="8"/>
      <c r="J442" s="9"/>
      <c r="K442" s="8"/>
      <c r="L442" s="9"/>
      <c r="M442" s="8"/>
      <c r="N442" s="11"/>
      <c r="O442" s="8"/>
      <c r="P442" s="9"/>
      <c r="Q442" s="8"/>
      <c r="R442" s="9"/>
      <c r="S442" s="8"/>
      <c r="T442" s="8"/>
      <c r="U442" s="8"/>
      <c r="V442" s="11"/>
      <c r="W442" s="8"/>
      <c r="X442" s="8"/>
      <c r="Y442" s="9"/>
      <c r="Z442" s="8"/>
      <c r="AA442" s="8"/>
      <c r="AB442" s="8"/>
      <c r="AC442" s="11"/>
      <c r="AD442" s="8"/>
      <c r="AE442" s="9"/>
      <c r="AF442" s="8"/>
      <c r="AG442" s="9"/>
      <c r="AH442" s="8"/>
      <c r="AI442" s="8"/>
      <c r="AJ442" s="8"/>
      <c r="AK442" s="11"/>
      <c r="AL442" s="8"/>
      <c r="AM442" s="8"/>
      <c r="AN442" s="9"/>
      <c r="AO442" s="8"/>
      <c r="AP442" s="8"/>
      <c r="AQ442" s="8"/>
    </row>
    <row r="443" spans="1:43" x14ac:dyDescent="0.15">
      <c r="A443" s="8"/>
      <c r="B443" s="8"/>
      <c r="C443" s="8"/>
      <c r="D443" s="8"/>
      <c r="E443" s="9"/>
      <c r="F443" s="8"/>
      <c r="G443" s="10"/>
      <c r="H443" s="11"/>
      <c r="I443" s="8"/>
      <c r="J443" s="9"/>
      <c r="K443" s="8"/>
      <c r="L443" s="9"/>
      <c r="M443" s="8"/>
      <c r="N443" s="11"/>
      <c r="O443" s="8"/>
      <c r="P443" s="9"/>
      <c r="Q443" s="8"/>
      <c r="R443" s="9"/>
      <c r="S443" s="8"/>
      <c r="T443" s="8"/>
      <c r="U443" s="8"/>
      <c r="V443" s="11"/>
      <c r="W443" s="8"/>
      <c r="X443" s="8"/>
      <c r="Y443" s="9"/>
      <c r="Z443" s="8"/>
      <c r="AA443" s="8"/>
      <c r="AB443" s="8"/>
      <c r="AC443" s="11"/>
      <c r="AD443" s="8"/>
      <c r="AE443" s="9"/>
      <c r="AF443" s="8"/>
      <c r="AG443" s="9"/>
      <c r="AH443" s="8"/>
      <c r="AI443" s="8"/>
      <c r="AJ443" s="8"/>
      <c r="AK443" s="11"/>
      <c r="AL443" s="8"/>
      <c r="AM443" s="8"/>
      <c r="AN443" s="9"/>
      <c r="AO443" s="8"/>
      <c r="AP443" s="8"/>
      <c r="AQ443" s="8"/>
    </row>
    <row r="444" spans="1:43" x14ac:dyDescent="0.15">
      <c r="A444" s="8"/>
      <c r="B444" s="8"/>
      <c r="C444" s="8"/>
      <c r="D444" s="8"/>
      <c r="E444" s="9"/>
      <c r="F444" s="8"/>
      <c r="G444" s="10"/>
      <c r="H444" s="11"/>
      <c r="I444" s="8"/>
      <c r="J444" s="9"/>
      <c r="K444" s="8"/>
      <c r="L444" s="9"/>
      <c r="M444" s="8"/>
      <c r="N444" s="11"/>
      <c r="O444" s="8"/>
      <c r="P444" s="9"/>
      <c r="Q444" s="8"/>
      <c r="R444" s="9"/>
      <c r="S444" s="8"/>
      <c r="T444" s="8"/>
      <c r="U444" s="8"/>
      <c r="V444" s="11"/>
      <c r="W444" s="8"/>
      <c r="X444" s="8"/>
      <c r="Y444" s="9"/>
      <c r="Z444" s="8"/>
      <c r="AA444" s="8"/>
      <c r="AB444" s="8"/>
      <c r="AC444" s="11"/>
      <c r="AD444" s="8"/>
      <c r="AE444" s="9"/>
      <c r="AF444" s="8"/>
      <c r="AG444" s="9"/>
      <c r="AH444" s="8"/>
      <c r="AI444" s="8"/>
      <c r="AJ444" s="8"/>
      <c r="AK444" s="11"/>
      <c r="AL444" s="8"/>
      <c r="AM444" s="8"/>
      <c r="AN444" s="9"/>
      <c r="AO444" s="8"/>
      <c r="AP444" s="8"/>
      <c r="AQ444" s="8"/>
    </row>
    <row r="445" spans="1:43" x14ac:dyDescent="0.15">
      <c r="A445" s="8"/>
      <c r="B445" s="8"/>
      <c r="C445" s="8"/>
      <c r="D445" s="8"/>
      <c r="E445" s="9"/>
      <c r="F445" s="8"/>
      <c r="G445" s="10"/>
      <c r="H445" s="11"/>
      <c r="I445" s="8"/>
      <c r="J445" s="9"/>
      <c r="K445" s="8"/>
      <c r="L445" s="9"/>
      <c r="M445" s="8"/>
      <c r="N445" s="11"/>
      <c r="O445" s="8"/>
      <c r="P445" s="9"/>
      <c r="Q445" s="8"/>
      <c r="R445" s="9"/>
      <c r="S445" s="8"/>
      <c r="T445" s="8"/>
      <c r="U445" s="8"/>
      <c r="V445" s="11"/>
      <c r="W445" s="8"/>
      <c r="X445" s="8"/>
      <c r="Y445" s="9"/>
      <c r="Z445" s="8"/>
      <c r="AA445" s="8"/>
      <c r="AB445" s="8"/>
      <c r="AC445" s="11"/>
      <c r="AD445" s="8"/>
      <c r="AE445" s="9"/>
      <c r="AF445" s="8"/>
      <c r="AG445" s="9"/>
      <c r="AH445" s="8"/>
      <c r="AI445" s="8"/>
      <c r="AJ445" s="8"/>
      <c r="AK445" s="11"/>
      <c r="AL445" s="8"/>
      <c r="AM445" s="8"/>
      <c r="AN445" s="9"/>
      <c r="AO445" s="8"/>
      <c r="AP445" s="8"/>
      <c r="AQ445" s="8"/>
    </row>
    <row r="446" spans="1:43" x14ac:dyDescent="0.15">
      <c r="A446" s="8"/>
      <c r="B446" s="8"/>
      <c r="C446" s="8"/>
      <c r="D446" s="8"/>
      <c r="E446" s="9"/>
      <c r="F446" s="8"/>
      <c r="G446" s="10"/>
      <c r="H446" s="11"/>
      <c r="I446" s="8"/>
      <c r="J446" s="9"/>
      <c r="K446" s="8"/>
      <c r="L446" s="9"/>
      <c r="M446" s="8"/>
      <c r="N446" s="11"/>
      <c r="O446" s="8"/>
      <c r="P446" s="9"/>
      <c r="Q446" s="8"/>
      <c r="R446" s="9"/>
      <c r="S446" s="8"/>
      <c r="T446" s="8"/>
      <c r="U446" s="8"/>
      <c r="V446" s="11"/>
      <c r="W446" s="8"/>
      <c r="X446" s="8"/>
      <c r="Y446" s="9"/>
      <c r="Z446" s="8"/>
      <c r="AA446" s="8"/>
      <c r="AB446" s="8"/>
      <c r="AC446" s="11"/>
      <c r="AD446" s="8"/>
      <c r="AE446" s="9"/>
      <c r="AF446" s="8"/>
      <c r="AG446" s="9"/>
      <c r="AH446" s="8"/>
      <c r="AI446" s="8"/>
      <c r="AJ446" s="8"/>
      <c r="AK446" s="11"/>
      <c r="AL446" s="8"/>
      <c r="AM446" s="8"/>
      <c r="AN446" s="9"/>
      <c r="AO446" s="8"/>
      <c r="AP446" s="8"/>
      <c r="AQ446" s="8"/>
    </row>
    <row r="447" spans="1:43" x14ac:dyDescent="0.15">
      <c r="A447" s="8"/>
      <c r="B447" s="8"/>
      <c r="C447" s="8"/>
      <c r="D447" s="8"/>
      <c r="E447" s="9"/>
      <c r="F447" s="8"/>
      <c r="G447" s="10"/>
      <c r="H447" s="11"/>
      <c r="I447" s="8"/>
      <c r="J447" s="9"/>
      <c r="K447" s="8"/>
      <c r="L447" s="9"/>
      <c r="M447" s="8"/>
      <c r="N447" s="11"/>
      <c r="O447" s="8"/>
      <c r="P447" s="9"/>
      <c r="Q447" s="8"/>
      <c r="R447" s="9"/>
      <c r="S447" s="8"/>
      <c r="T447" s="8"/>
      <c r="U447" s="8"/>
      <c r="V447" s="11"/>
      <c r="W447" s="8"/>
      <c r="X447" s="8"/>
      <c r="Y447" s="9"/>
      <c r="Z447" s="8"/>
      <c r="AA447" s="8"/>
      <c r="AB447" s="8"/>
      <c r="AC447" s="11"/>
      <c r="AD447" s="8"/>
      <c r="AE447" s="9"/>
      <c r="AF447" s="8"/>
      <c r="AG447" s="9"/>
      <c r="AH447" s="8"/>
      <c r="AI447" s="8"/>
      <c r="AJ447" s="8"/>
      <c r="AK447" s="11"/>
      <c r="AL447" s="8"/>
      <c r="AM447" s="8"/>
      <c r="AN447" s="9"/>
      <c r="AO447" s="8"/>
      <c r="AP447" s="8"/>
      <c r="AQ447" s="8"/>
    </row>
    <row r="448" spans="1:43" x14ac:dyDescent="0.15">
      <c r="A448" s="8"/>
      <c r="B448" s="8"/>
      <c r="C448" s="8"/>
      <c r="D448" s="8"/>
      <c r="E448" s="9"/>
      <c r="F448" s="8"/>
      <c r="G448" s="10"/>
      <c r="H448" s="11"/>
      <c r="I448" s="8"/>
      <c r="J448" s="9"/>
      <c r="K448" s="8"/>
      <c r="L448" s="9"/>
      <c r="M448" s="8"/>
      <c r="N448" s="11"/>
      <c r="O448" s="8"/>
      <c r="P448" s="9"/>
      <c r="Q448" s="8"/>
      <c r="R448" s="9"/>
      <c r="S448" s="8"/>
      <c r="T448" s="8"/>
      <c r="U448" s="8"/>
      <c r="V448" s="11"/>
      <c r="W448" s="8"/>
      <c r="X448" s="8"/>
      <c r="Y448" s="9"/>
      <c r="Z448" s="8"/>
      <c r="AA448" s="8"/>
      <c r="AB448" s="8"/>
      <c r="AC448" s="11"/>
      <c r="AD448" s="8"/>
      <c r="AE448" s="9"/>
      <c r="AF448" s="8"/>
      <c r="AG448" s="9"/>
      <c r="AH448" s="8"/>
      <c r="AI448" s="8"/>
      <c r="AJ448" s="8"/>
      <c r="AK448" s="11"/>
      <c r="AL448" s="8"/>
      <c r="AM448" s="8"/>
      <c r="AN448" s="9"/>
      <c r="AO448" s="8"/>
      <c r="AP448" s="8"/>
      <c r="AQ448" s="8"/>
    </row>
    <row r="449" spans="1:43" x14ac:dyDescent="0.15">
      <c r="A449" s="8"/>
      <c r="B449" s="8"/>
      <c r="C449" s="8"/>
      <c r="D449" s="8"/>
      <c r="E449" s="9"/>
      <c r="F449" s="8"/>
      <c r="G449" s="10"/>
      <c r="H449" s="11"/>
      <c r="I449" s="8"/>
      <c r="J449" s="9"/>
      <c r="K449" s="8"/>
      <c r="L449" s="9"/>
      <c r="M449" s="8"/>
      <c r="N449" s="11"/>
      <c r="O449" s="8"/>
      <c r="P449" s="9"/>
      <c r="Q449" s="8"/>
      <c r="R449" s="9"/>
      <c r="S449" s="8"/>
      <c r="T449" s="8"/>
      <c r="U449" s="8"/>
      <c r="V449" s="11"/>
      <c r="W449" s="8"/>
      <c r="X449" s="8"/>
      <c r="Y449" s="9"/>
      <c r="Z449" s="8"/>
      <c r="AA449" s="8"/>
      <c r="AB449" s="8"/>
      <c r="AC449" s="11"/>
      <c r="AD449" s="8"/>
      <c r="AE449" s="9"/>
      <c r="AF449" s="8"/>
      <c r="AG449" s="9"/>
      <c r="AH449" s="8"/>
      <c r="AI449" s="8"/>
      <c r="AJ449" s="8"/>
      <c r="AK449" s="11"/>
      <c r="AL449" s="8"/>
      <c r="AM449" s="8"/>
      <c r="AN449" s="9"/>
      <c r="AO449" s="8"/>
      <c r="AP449" s="8"/>
      <c r="AQ449" s="8"/>
    </row>
    <row r="450" spans="1:43" x14ac:dyDescent="0.15">
      <c r="A450" s="8"/>
      <c r="B450" s="8"/>
      <c r="C450" s="8"/>
      <c r="D450" s="8"/>
      <c r="E450" s="9"/>
      <c r="F450" s="8"/>
      <c r="G450" s="10"/>
      <c r="H450" s="11"/>
      <c r="I450" s="8"/>
      <c r="J450" s="9"/>
      <c r="K450" s="8"/>
      <c r="L450" s="9"/>
      <c r="M450" s="8"/>
      <c r="N450" s="11"/>
      <c r="O450" s="8"/>
      <c r="P450" s="9"/>
      <c r="Q450" s="8"/>
      <c r="R450" s="9"/>
      <c r="S450" s="8"/>
      <c r="T450" s="8"/>
      <c r="U450" s="8"/>
      <c r="V450" s="11"/>
      <c r="W450" s="8"/>
      <c r="X450" s="8"/>
      <c r="Y450" s="9"/>
      <c r="Z450" s="8"/>
      <c r="AA450" s="8"/>
      <c r="AB450" s="8"/>
      <c r="AC450" s="11"/>
      <c r="AD450" s="8"/>
      <c r="AE450" s="9"/>
      <c r="AF450" s="8"/>
      <c r="AG450" s="9"/>
      <c r="AH450" s="8"/>
      <c r="AI450" s="8"/>
      <c r="AJ450" s="8"/>
      <c r="AK450" s="11"/>
      <c r="AL450" s="8"/>
      <c r="AM450" s="8"/>
      <c r="AN450" s="9"/>
      <c r="AO450" s="8"/>
      <c r="AP450" s="8"/>
      <c r="AQ450" s="8"/>
    </row>
    <row r="451" spans="1:43" x14ac:dyDescent="0.15">
      <c r="A451" s="8"/>
      <c r="B451" s="8"/>
      <c r="C451" s="8"/>
      <c r="D451" s="8"/>
      <c r="E451" s="9"/>
      <c r="F451" s="8"/>
      <c r="G451" s="10"/>
      <c r="H451" s="11"/>
      <c r="I451" s="8"/>
      <c r="J451" s="9"/>
      <c r="K451" s="8"/>
      <c r="L451" s="9"/>
      <c r="M451" s="8"/>
      <c r="N451" s="11"/>
      <c r="O451" s="8"/>
      <c r="P451" s="9"/>
      <c r="Q451" s="8"/>
      <c r="R451" s="9"/>
      <c r="S451" s="8"/>
      <c r="T451" s="8"/>
      <c r="U451" s="8"/>
      <c r="V451" s="11"/>
      <c r="W451" s="8"/>
      <c r="X451" s="8"/>
      <c r="Y451" s="9"/>
      <c r="Z451" s="8"/>
      <c r="AA451" s="8"/>
      <c r="AB451" s="8"/>
      <c r="AC451" s="11"/>
      <c r="AD451" s="8"/>
      <c r="AE451" s="9"/>
      <c r="AF451" s="8"/>
      <c r="AG451" s="9"/>
      <c r="AH451" s="8"/>
      <c r="AI451" s="8"/>
      <c r="AJ451" s="8"/>
      <c r="AK451" s="11"/>
      <c r="AL451" s="8"/>
      <c r="AM451" s="8"/>
      <c r="AN451" s="9"/>
      <c r="AO451" s="8"/>
      <c r="AP451" s="8"/>
      <c r="AQ451" s="8"/>
    </row>
    <row r="452" spans="1:43" x14ac:dyDescent="0.15">
      <c r="A452" s="8"/>
      <c r="B452" s="8"/>
      <c r="C452" s="8"/>
      <c r="D452" s="8"/>
      <c r="E452" s="9"/>
      <c r="F452" s="8"/>
      <c r="G452" s="10"/>
      <c r="H452" s="11"/>
      <c r="I452" s="8"/>
      <c r="J452" s="9"/>
      <c r="K452" s="8"/>
      <c r="L452" s="9"/>
      <c r="M452" s="8"/>
      <c r="N452" s="11"/>
      <c r="O452" s="8"/>
      <c r="P452" s="9"/>
      <c r="Q452" s="8"/>
      <c r="R452" s="9"/>
      <c r="S452" s="8"/>
      <c r="T452" s="8"/>
      <c r="U452" s="8"/>
      <c r="V452" s="11"/>
      <c r="W452" s="8"/>
      <c r="X452" s="8"/>
      <c r="Y452" s="9"/>
      <c r="Z452" s="8"/>
      <c r="AA452" s="8"/>
      <c r="AB452" s="8"/>
      <c r="AC452" s="11"/>
      <c r="AD452" s="8"/>
      <c r="AE452" s="9"/>
      <c r="AF452" s="8"/>
      <c r="AG452" s="9"/>
      <c r="AH452" s="8"/>
      <c r="AI452" s="8"/>
      <c r="AJ452" s="8"/>
      <c r="AK452" s="11"/>
      <c r="AL452" s="8"/>
      <c r="AM452" s="8"/>
      <c r="AN452" s="9"/>
      <c r="AO452" s="8"/>
      <c r="AP452" s="8"/>
      <c r="AQ452" s="8"/>
    </row>
    <row r="453" spans="1:43" x14ac:dyDescent="0.15">
      <c r="A453" s="8"/>
      <c r="B453" s="8"/>
      <c r="C453" s="8"/>
      <c r="D453" s="8"/>
      <c r="E453" s="9"/>
      <c r="F453" s="8"/>
      <c r="G453" s="10"/>
      <c r="H453" s="11"/>
      <c r="I453" s="8"/>
      <c r="J453" s="9"/>
      <c r="K453" s="8"/>
      <c r="L453" s="9"/>
      <c r="M453" s="8"/>
      <c r="N453" s="11"/>
      <c r="O453" s="8"/>
      <c r="P453" s="9"/>
      <c r="Q453" s="8"/>
      <c r="R453" s="9"/>
      <c r="S453" s="8"/>
      <c r="T453" s="8"/>
      <c r="U453" s="8"/>
      <c r="V453" s="11"/>
      <c r="W453" s="8"/>
      <c r="X453" s="8"/>
      <c r="Y453" s="9"/>
      <c r="Z453" s="8"/>
      <c r="AA453" s="8"/>
      <c r="AB453" s="8"/>
      <c r="AC453" s="11"/>
      <c r="AD453" s="8"/>
      <c r="AE453" s="9"/>
      <c r="AF453" s="8"/>
      <c r="AG453" s="9"/>
      <c r="AH453" s="8"/>
      <c r="AI453" s="8"/>
      <c r="AJ453" s="8"/>
      <c r="AK453" s="11"/>
      <c r="AL453" s="8"/>
      <c r="AM453" s="8"/>
      <c r="AN453" s="9"/>
      <c r="AO453" s="8"/>
      <c r="AP453" s="8"/>
      <c r="AQ453" s="8"/>
    </row>
    <row r="454" spans="1:43" x14ac:dyDescent="0.15">
      <c r="A454" s="8"/>
      <c r="B454" s="8"/>
      <c r="C454" s="8"/>
      <c r="D454" s="8"/>
      <c r="E454" s="9"/>
      <c r="F454" s="8"/>
      <c r="G454" s="10"/>
      <c r="H454" s="11"/>
      <c r="I454" s="8"/>
      <c r="J454" s="9"/>
      <c r="K454" s="8"/>
      <c r="L454" s="9"/>
      <c r="M454" s="8"/>
      <c r="N454" s="11"/>
      <c r="O454" s="8"/>
      <c r="P454" s="9"/>
      <c r="Q454" s="8"/>
      <c r="R454" s="9"/>
      <c r="S454" s="8"/>
      <c r="T454" s="8"/>
      <c r="U454" s="8"/>
      <c r="V454" s="11"/>
      <c r="W454" s="8"/>
      <c r="X454" s="8"/>
      <c r="Y454" s="9"/>
      <c r="Z454" s="8"/>
      <c r="AA454" s="8"/>
      <c r="AB454" s="8"/>
      <c r="AC454" s="11"/>
      <c r="AD454" s="8"/>
      <c r="AE454" s="9"/>
      <c r="AF454" s="8"/>
      <c r="AG454" s="9"/>
      <c r="AH454" s="8"/>
      <c r="AI454" s="8"/>
      <c r="AJ454" s="8"/>
      <c r="AK454" s="11"/>
      <c r="AL454" s="8"/>
      <c r="AM454" s="8"/>
      <c r="AN454" s="9"/>
      <c r="AO454" s="8"/>
      <c r="AP454" s="8"/>
      <c r="AQ454" s="8"/>
    </row>
    <row r="455" spans="1:43" x14ac:dyDescent="0.15">
      <c r="A455" s="8"/>
      <c r="B455" s="8"/>
      <c r="C455" s="8"/>
      <c r="D455" s="8"/>
      <c r="E455" s="9"/>
      <c r="F455" s="8"/>
      <c r="G455" s="10"/>
      <c r="H455" s="11"/>
      <c r="I455" s="8"/>
      <c r="J455" s="9"/>
      <c r="K455" s="8"/>
      <c r="L455" s="9"/>
      <c r="M455" s="8"/>
      <c r="N455" s="11"/>
      <c r="O455" s="8"/>
      <c r="P455" s="9"/>
      <c r="Q455" s="8"/>
      <c r="R455" s="9"/>
      <c r="S455" s="8"/>
      <c r="T455" s="8"/>
      <c r="U455" s="8"/>
      <c r="V455" s="11"/>
      <c r="W455" s="8"/>
      <c r="X455" s="8"/>
      <c r="Y455" s="9"/>
      <c r="Z455" s="8"/>
      <c r="AA455" s="8"/>
      <c r="AB455" s="8"/>
      <c r="AC455" s="11"/>
      <c r="AD455" s="8"/>
      <c r="AE455" s="9"/>
      <c r="AF455" s="8"/>
      <c r="AG455" s="9"/>
      <c r="AH455" s="8"/>
      <c r="AI455" s="8"/>
      <c r="AJ455" s="8"/>
      <c r="AK455" s="11"/>
      <c r="AL455" s="8"/>
      <c r="AM455" s="8"/>
      <c r="AN455" s="9"/>
      <c r="AO455" s="8"/>
      <c r="AP455" s="8"/>
      <c r="AQ455" s="8"/>
    </row>
    <row r="456" spans="1:43" x14ac:dyDescent="0.15">
      <c r="A456" s="8"/>
      <c r="B456" s="8"/>
      <c r="C456" s="8"/>
      <c r="D456" s="8"/>
      <c r="E456" s="9"/>
      <c r="F456" s="8"/>
      <c r="G456" s="10"/>
      <c r="H456" s="11"/>
      <c r="I456" s="8"/>
      <c r="J456" s="9"/>
      <c r="K456" s="8"/>
      <c r="L456" s="9"/>
      <c r="M456" s="8"/>
      <c r="N456" s="11"/>
      <c r="O456" s="8"/>
      <c r="P456" s="9"/>
      <c r="Q456" s="8"/>
      <c r="R456" s="9"/>
      <c r="S456" s="8"/>
      <c r="T456" s="8"/>
      <c r="U456" s="8"/>
      <c r="V456" s="11"/>
      <c r="W456" s="8"/>
      <c r="X456" s="8"/>
      <c r="Y456" s="9"/>
      <c r="Z456" s="8"/>
      <c r="AA456" s="8"/>
      <c r="AB456" s="8"/>
      <c r="AC456" s="11"/>
      <c r="AD456" s="8"/>
      <c r="AE456" s="9"/>
      <c r="AF456" s="8"/>
      <c r="AG456" s="9"/>
      <c r="AH456" s="8"/>
      <c r="AI456" s="8"/>
      <c r="AJ456" s="8"/>
      <c r="AK456" s="11"/>
      <c r="AL456" s="8"/>
      <c r="AM456" s="8"/>
      <c r="AN456" s="9"/>
      <c r="AO456" s="8"/>
      <c r="AP456" s="8"/>
      <c r="AQ456" s="8"/>
    </row>
    <row r="457" spans="1:43" x14ac:dyDescent="0.15">
      <c r="A457" s="8"/>
      <c r="B457" s="8"/>
      <c r="C457" s="8"/>
      <c r="D457" s="8"/>
      <c r="E457" s="9"/>
      <c r="F457" s="8"/>
      <c r="G457" s="10"/>
      <c r="H457" s="11"/>
      <c r="I457" s="8"/>
      <c r="J457" s="9"/>
      <c r="K457" s="8"/>
      <c r="L457" s="9"/>
      <c r="M457" s="8"/>
      <c r="N457" s="11"/>
      <c r="O457" s="8"/>
      <c r="P457" s="9"/>
      <c r="Q457" s="8"/>
      <c r="R457" s="9"/>
      <c r="S457" s="8"/>
      <c r="T457" s="8"/>
      <c r="U457" s="8"/>
      <c r="V457" s="11"/>
      <c r="W457" s="8"/>
      <c r="X457" s="8"/>
      <c r="Y457" s="9"/>
      <c r="Z457" s="8"/>
      <c r="AA457" s="8"/>
      <c r="AB457" s="8"/>
      <c r="AC457" s="11"/>
      <c r="AD457" s="8"/>
      <c r="AE457" s="9"/>
      <c r="AF457" s="8"/>
      <c r="AG457" s="9"/>
      <c r="AH457" s="8"/>
      <c r="AI457" s="8"/>
      <c r="AJ457" s="8"/>
      <c r="AK457" s="11"/>
      <c r="AL457" s="8"/>
      <c r="AM457" s="8"/>
      <c r="AN457" s="9"/>
      <c r="AO457" s="8"/>
      <c r="AP457" s="8"/>
      <c r="AQ457" s="8"/>
    </row>
    <row r="458" spans="1:43" x14ac:dyDescent="0.15">
      <c r="A458" s="8"/>
      <c r="B458" s="8"/>
      <c r="C458" s="8"/>
      <c r="D458" s="8"/>
      <c r="E458" s="9"/>
      <c r="F458" s="8"/>
      <c r="G458" s="10"/>
      <c r="H458" s="11"/>
      <c r="I458" s="8"/>
      <c r="J458" s="9"/>
      <c r="K458" s="8"/>
      <c r="L458" s="9"/>
      <c r="M458" s="8"/>
      <c r="N458" s="11"/>
      <c r="O458" s="8"/>
      <c r="P458" s="9"/>
      <c r="Q458" s="8"/>
      <c r="R458" s="9"/>
      <c r="S458" s="8"/>
      <c r="T458" s="8"/>
      <c r="U458" s="8"/>
      <c r="V458" s="11"/>
      <c r="W458" s="8"/>
      <c r="X458" s="8"/>
      <c r="Y458" s="9"/>
      <c r="Z458" s="8"/>
      <c r="AA458" s="8"/>
      <c r="AB458" s="8"/>
      <c r="AC458" s="11"/>
      <c r="AD458" s="8"/>
      <c r="AE458" s="9"/>
      <c r="AF458" s="8"/>
      <c r="AG458" s="9"/>
      <c r="AH458" s="8"/>
      <c r="AI458" s="8"/>
      <c r="AJ458" s="8"/>
      <c r="AK458" s="11"/>
      <c r="AL458" s="8"/>
      <c r="AM458" s="8"/>
      <c r="AN458" s="9"/>
      <c r="AO458" s="8"/>
      <c r="AP458" s="8"/>
      <c r="AQ458" s="8"/>
    </row>
    <row r="459" spans="1:43" x14ac:dyDescent="0.15">
      <c r="A459" s="8"/>
      <c r="B459" s="8"/>
      <c r="C459" s="8"/>
      <c r="D459" s="8"/>
      <c r="E459" s="9"/>
      <c r="F459" s="8"/>
      <c r="G459" s="10"/>
      <c r="H459" s="11"/>
      <c r="I459" s="8"/>
      <c r="J459" s="9"/>
      <c r="K459" s="8"/>
      <c r="L459" s="9"/>
      <c r="M459" s="8"/>
      <c r="N459" s="11"/>
      <c r="O459" s="8"/>
      <c r="P459" s="9"/>
      <c r="Q459" s="8"/>
      <c r="R459" s="9"/>
      <c r="S459" s="8"/>
      <c r="T459" s="8"/>
      <c r="U459" s="8"/>
      <c r="V459" s="11"/>
      <c r="W459" s="8"/>
      <c r="X459" s="8"/>
      <c r="Y459" s="9"/>
      <c r="Z459" s="8"/>
      <c r="AA459" s="8"/>
      <c r="AB459" s="8"/>
      <c r="AC459" s="11"/>
      <c r="AD459" s="8"/>
      <c r="AE459" s="9"/>
      <c r="AF459" s="8"/>
      <c r="AG459" s="9"/>
      <c r="AH459" s="8"/>
      <c r="AI459" s="8"/>
      <c r="AJ459" s="8"/>
      <c r="AK459" s="11"/>
      <c r="AL459" s="8"/>
      <c r="AM459" s="8"/>
      <c r="AN459" s="9"/>
      <c r="AO459" s="8"/>
      <c r="AP459" s="8"/>
      <c r="AQ459" s="8"/>
    </row>
    <row r="460" spans="1:43" x14ac:dyDescent="0.15">
      <c r="A460" s="8"/>
      <c r="B460" s="8"/>
      <c r="C460" s="8"/>
      <c r="D460" s="8"/>
      <c r="E460" s="9"/>
      <c r="F460" s="8"/>
      <c r="G460" s="10"/>
      <c r="H460" s="11"/>
      <c r="I460" s="8"/>
      <c r="J460" s="9"/>
      <c r="K460" s="8"/>
      <c r="L460" s="9"/>
      <c r="M460" s="8"/>
      <c r="N460" s="11"/>
      <c r="O460" s="8"/>
      <c r="P460" s="9"/>
      <c r="Q460" s="8"/>
      <c r="R460" s="9"/>
      <c r="S460" s="8"/>
      <c r="T460" s="8"/>
      <c r="U460" s="8"/>
      <c r="V460" s="11"/>
      <c r="W460" s="8"/>
      <c r="X460" s="8"/>
      <c r="Y460" s="9"/>
      <c r="Z460" s="8"/>
      <c r="AA460" s="8"/>
      <c r="AB460" s="8"/>
      <c r="AC460" s="11"/>
      <c r="AD460" s="8"/>
      <c r="AE460" s="9"/>
      <c r="AF460" s="8"/>
      <c r="AG460" s="9"/>
      <c r="AH460" s="8"/>
      <c r="AI460" s="8"/>
      <c r="AJ460" s="8"/>
      <c r="AK460" s="11"/>
      <c r="AL460" s="8"/>
      <c r="AM460" s="8"/>
      <c r="AN460" s="9"/>
      <c r="AO460" s="8"/>
      <c r="AP460" s="8"/>
      <c r="AQ460" s="8"/>
    </row>
    <row r="461" spans="1:43" x14ac:dyDescent="0.15">
      <c r="A461" s="8"/>
      <c r="B461" s="8"/>
      <c r="C461" s="8"/>
      <c r="D461" s="8"/>
      <c r="E461" s="9"/>
      <c r="F461" s="8"/>
      <c r="G461" s="10"/>
      <c r="H461" s="11"/>
      <c r="I461" s="8"/>
      <c r="J461" s="9"/>
      <c r="K461" s="8"/>
      <c r="L461" s="9"/>
      <c r="M461" s="8"/>
      <c r="N461" s="11"/>
      <c r="O461" s="8"/>
      <c r="P461" s="9"/>
      <c r="Q461" s="8"/>
      <c r="R461" s="9"/>
      <c r="S461" s="8"/>
      <c r="T461" s="8"/>
      <c r="U461" s="8"/>
      <c r="V461" s="11"/>
      <c r="W461" s="8"/>
      <c r="X461" s="8"/>
      <c r="Y461" s="9"/>
      <c r="Z461" s="8"/>
      <c r="AA461" s="8"/>
      <c r="AB461" s="8"/>
      <c r="AC461" s="11"/>
      <c r="AD461" s="8"/>
      <c r="AE461" s="9"/>
      <c r="AF461" s="8"/>
      <c r="AG461" s="9"/>
      <c r="AH461" s="8"/>
      <c r="AI461" s="8"/>
      <c r="AJ461" s="8"/>
      <c r="AK461" s="11"/>
      <c r="AL461" s="8"/>
      <c r="AM461" s="8"/>
      <c r="AN461" s="9"/>
      <c r="AO461" s="8"/>
      <c r="AP461" s="8"/>
      <c r="AQ461" s="8"/>
    </row>
    <row r="462" spans="1:43" x14ac:dyDescent="0.15">
      <c r="A462" s="8"/>
      <c r="B462" s="8"/>
      <c r="C462" s="8"/>
      <c r="D462" s="8"/>
      <c r="E462" s="9"/>
      <c r="F462" s="8"/>
      <c r="G462" s="10"/>
      <c r="H462" s="11"/>
      <c r="I462" s="8"/>
      <c r="J462" s="9"/>
      <c r="K462" s="8"/>
      <c r="L462" s="9"/>
      <c r="M462" s="8"/>
      <c r="N462" s="11"/>
      <c r="O462" s="8"/>
      <c r="P462" s="9"/>
      <c r="Q462" s="8"/>
      <c r="R462" s="9"/>
      <c r="S462" s="8"/>
      <c r="T462" s="8"/>
      <c r="U462" s="8"/>
      <c r="V462" s="11"/>
      <c r="W462" s="8"/>
      <c r="X462" s="8"/>
      <c r="Y462" s="9"/>
      <c r="Z462" s="8"/>
      <c r="AA462" s="8"/>
      <c r="AB462" s="8"/>
      <c r="AC462" s="11"/>
      <c r="AD462" s="8"/>
      <c r="AE462" s="9"/>
      <c r="AF462" s="8"/>
      <c r="AG462" s="9"/>
      <c r="AH462" s="8"/>
      <c r="AI462" s="8"/>
      <c r="AJ462" s="8"/>
      <c r="AK462" s="11"/>
      <c r="AL462" s="8"/>
      <c r="AM462" s="8"/>
      <c r="AN462" s="9"/>
      <c r="AO462" s="8"/>
      <c r="AP462" s="8"/>
      <c r="AQ462" s="8"/>
    </row>
    <row r="463" spans="1:43" x14ac:dyDescent="0.15">
      <c r="A463" s="8"/>
      <c r="B463" s="8"/>
      <c r="C463" s="8"/>
      <c r="D463" s="8"/>
      <c r="E463" s="9"/>
      <c r="F463" s="8"/>
      <c r="G463" s="10"/>
      <c r="H463" s="11"/>
      <c r="I463" s="8"/>
      <c r="J463" s="9"/>
      <c r="K463" s="8"/>
      <c r="L463" s="9"/>
      <c r="M463" s="8"/>
      <c r="N463" s="11"/>
      <c r="O463" s="8"/>
      <c r="P463" s="9"/>
      <c r="Q463" s="8"/>
      <c r="R463" s="9"/>
      <c r="S463" s="8"/>
      <c r="T463" s="8"/>
      <c r="U463" s="8"/>
      <c r="V463" s="11"/>
      <c r="W463" s="8"/>
      <c r="X463" s="8"/>
      <c r="Y463" s="9"/>
      <c r="Z463" s="8"/>
      <c r="AA463" s="8"/>
      <c r="AB463" s="8"/>
      <c r="AC463" s="11"/>
      <c r="AD463" s="8"/>
      <c r="AE463" s="9"/>
      <c r="AF463" s="8"/>
      <c r="AG463" s="9"/>
      <c r="AH463" s="8"/>
      <c r="AI463" s="8"/>
      <c r="AJ463" s="8"/>
      <c r="AK463" s="11"/>
      <c r="AL463" s="8"/>
      <c r="AM463" s="8"/>
      <c r="AN463" s="9"/>
      <c r="AO463" s="8"/>
      <c r="AP463" s="8"/>
      <c r="AQ463" s="8"/>
    </row>
    <row r="464" spans="1:43" x14ac:dyDescent="0.15">
      <c r="A464" s="8"/>
      <c r="B464" s="8"/>
      <c r="C464" s="8"/>
      <c r="D464" s="8"/>
      <c r="E464" s="9"/>
      <c r="F464" s="8"/>
      <c r="G464" s="10"/>
      <c r="H464" s="11"/>
      <c r="I464" s="8"/>
      <c r="J464" s="9"/>
      <c r="K464" s="8"/>
      <c r="L464" s="9"/>
      <c r="M464" s="8"/>
      <c r="N464" s="11"/>
      <c r="O464" s="8"/>
      <c r="P464" s="9"/>
      <c r="Q464" s="8"/>
      <c r="R464" s="9"/>
      <c r="S464" s="8"/>
      <c r="T464" s="8"/>
      <c r="U464" s="8"/>
      <c r="V464" s="11"/>
      <c r="W464" s="8"/>
      <c r="X464" s="8"/>
      <c r="Y464" s="9"/>
      <c r="Z464" s="8"/>
      <c r="AA464" s="8"/>
      <c r="AB464" s="8"/>
      <c r="AC464" s="11"/>
      <c r="AD464" s="8"/>
      <c r="AE464" s="9"/>
      <c r="AF464" s="8"/>
      <c r="AG464" s="9"/>
      <c r="AH464" s="8"/>
      <c r="AI464" s="8"/>
      <c r="AJ464" s="8"/>
      <c r="AK464" s="11"/>
      <c r="AL464" s="8"/>
      <c r="AM464" s="8"/>
      <c r="AN464" s="9"/>
      <c r="AO464" s="8"/>
      <c r="AP464" s="8"/>
      <c r="AQ464" s="8"/>
    </row>
    <row r="465" spans="1:43" x14ac:dyDescent="0.15">
      <c r="A465" s="8"/>
      <c r="B465" s="8"/>
      <c r="C465" s="8"/>
      <c r="D465" s="8"/>
      <c r="E465" s="9"/>
      <c r="F465" s="8"/>
      <c r="G465" s="10"/>
      <c r="H465" s="11"/>
      <c r="I465" s="8"/>
      <c r="J465" s="9"/>
      <c r="K465" s="8"/>
      <c r="L465" s="9"/>
      <c r="M465" s="8"/>
      <c r="N465" s="11"/>
      <c r="O465" s="8"/>
      <c r="P465" s="9"/>
      <c r="Q465" s="8"/>
      <c r="R465" s="9"/>
      <c r="S465" s="8"/>
      <c r="T465" s="8"/>
      <c r="U465" s="8"/>
      <c r="V465" s="11"/>
      <c r="W465" s="8"/>
      <c r="X465" s="8"/>
      <c r="Y465" s="9"/>
      <c r="Z465" s="8"/>
      <c r="AA465" s="8"/>
      <c r="AB465" s="8"/>
      <c r="AC465" s="11"/>
      <c r="AD465" s="8"/>
      <c r="AE465" s="9"/>
      <c r="AF465" s="8"/>
      <c r="AG465" s="9"/>
      <c r="AH465" s="8"/>
      <c r="AI465" s="8"/>
      <c r="AJ465" s="8"/>
      <c r="AK465" s="11"/>
      <c r="AL465" s="8"/>
      <c r="AM465" s="8"/>
      <c r="AN465" s="9"/>
      <c r="AO465" s="8"/>
      <c r="AP465" s="8"/>
      <c r="AQ465" s="8"/>
    </row>
    <row r="466" spans="1:43" x14ac:dyDescent="0.15">
      <c r="A466" s="8"/>
      <c r="B466" s="8"/>
      <c r="C466" s="8"/>
      <c r="D466" s="8"/>
      <c r="E466" s="9"/>
      <c r="F466" s="8"/>
      <c r="G466" s="10"/>
      <c r="H466" s="11"/>
      <c r="I466" s="8"/>
      <c r="J466" s="9"/>
      <c r="K466" s="8"/>
      <c r="L466" s="9"/>
      <c r="M466" s="8"/>
      <c r="N466" s="11"/>
      <c r="O466" s="8"/>
      <c r="P466" s="9"/>
      <c r="Q466" s="8"/>
      <c r="R466" s="9"/>
      <c r="S466" s="8"/>
      <c r="T466" s="8"/>
      <c r="U466" s="8"/>
      <c r="V466" s="11"/>
      <c r="W466" s="8"/>
      <c r="X466" s="8"/>
      <c r="Y466" s="9"/>
      <c r="Z466" s="8"/>
      <c r="AA466" s="8"/>
      <c r="AB466" s="8"/>
      <c r="AC466" s="11"/>
      <c r="AD466" s="8"/>
      <c r="AE466" s="9"/>
      <c r="AF466" s="8"/>
      <c r="AG466" s="9"/>
      <c r="AH466" s="8"/>
      <c r="AI466" s="8"/>
      <c r="AJ466" s="8"/>
      <c r="AK466" s="11"/>
      <c r="AL466" s="8"/>
      <c r="AM466" s="8"/>
      <c r="AN466" s="9"/>
      <c r="AO466" s="8"/>
      <c r="AP466" s="8"/>
      <c r="AQ466" s="8"/>
    </row>
    <row r="467" spans="1:43" x14ac:dyDescent="0.15">
      <c r="A467" s="8"/>
      <c r="B467" s="8"/>
      <c r="C467" s="8"/>
      <c r="D467" s="8"/>
      <c r="E467" s="9"/>
      <c r="F467" s="8"/>
      <c r="G467" s="10"/>
      <c r="H467" s="11"/>
      <c r="I467" s="8"/>
      <c r="J467" s="9"/>
      <c r="K467" s="8"/>
      <c r="L467" s="9"/>
      <c r="M467" s="8"/>
      <c r="N467" s="11"/>
      <c r="O467" s="8"/>
      <c r="P467" s="9"/>
      <c r="Q467" s="8"/>
      <c r="R467" s="9"/>
      <c r="S467" s="8"/>
      <c r="T467" s="8"/>
      <c r="U467" s="8"/>
      <c r="V467" s="11"/>
      <c r="W467" s="8"/>
      <c r="X467" s="8"/>
      <c r="Y467" s="9"/>
      <c r="Z467" s="8"/>
      <c r="AA467" s="8"/>
      <c r="AB467" s="8"/>
      <c r="AC467" s="11"/>
      <c r="AD467" s="8"/>
      <c r="AE467" s="9"/>
      <c r="AF467" s="8"/>
      <c r="AG467" s="9"/>
      <c r="AH467" s="8"/>
      <c r="AI467" s="8"/>
      <c r="AJ467" s="8"/>
      <c r="AK467" s="11"/>
      <c r="AL467" s="8"/>
      <c r="AM467" s="8"/>
      <c r="AN467" s="9"/>
      <c r="AO467" s="8"/>
      <c r="AP467" s="8"/>
      <c r="AQ467" s="8"/>
    </row>
    <row r="468" spans="1:43" x14ac:dyDescent="0.15">
      <c r="A468" s="8"/>
      <c r="B468" s="8"/>
      <c r="C468" s="8"/>
      <c r="D468" s="8"/>
      <c r="E468" s="9"/>
      <c r="F468" s="8"/>
      <c r="G468" s="10"/>
      <c r="H468" s="11"/>
      <c r="I468" s="8"/>
      <c r="J468" s="9"/>
      <c r="K468" s="8"/>
      <c r="L468" s="9"/>
      <c r="M468" s="8"/>
      <c r="N468" s="11"/>
      <c r="O468" s="8"/>
      <c r="P468" s="9"/>
      <c r="Q468" s="8"/>
      <c r="R468" s="9"/>
      <c r="S468" s="8"/>
      <c r="T468" s="8"/>
      <c r="U468" s="8"/>
      <c r="V468" s="11"/>
      <c r="W468" s="8"/>
      <c r="X468" s="8"/>
      <c r="Y468" s="9"/>
      <c r="Z468" s="8"/>
      <c r="AA468" s="8"/>
      <c r="AB468" s="8"/>
      <c r="AC468" s="11"/>
      <c r="AD468" s="8"/>
      <c r="AE468" s="9"/>
      <c r="AF468" s="8"/>
      <c r="AG468" s="9"/>
      <c r="AH468" s="8"/>
      <c r="AI468" s="8"/>
      <c r="AJ468" s="8"/>
      <c r="AK468" s="11"/>
      <c r="AL468" s="8"/>
      <c r="AM468" s="8"/>
      <c r="AN468" s="9"/>
      <c r="AO468" s="8"/>
      <c r="AP468" s="8"/>
      <c r="AQ468" s="8"/>
    </row>
    <row r="469" spans="1:43" x14ac:dyDescent="0.15">
      <c r="A469" s="8"/>
      <c r="B469" s="8"/>
      <c r="C469" s="8"/>
      <c r="D469" s="8"/>
      <c r="E469" s="9"/>
      <c r="F469" s="8"/>
      <c r="G469" s="10"/>
      <c r="H469" s="11"/>
      <c r="I469" s="8"/>
      <c r="J469" s="9"/>
      <c r="K469" s="8"/>
      <c r="L469" s="9"/>
      <c r="M469" s="8"/>
      <c r="N469" s="11"/>
      <c r="O469" s="8"/>
      <c r="P469" s="9"/>
      <c r="Q469" s="8"/>
      <c r="R469" s="9"/>
      <c r="S469" s="8"/>
      <c r="T469" s="8"/>
      <c r="U469" s="8"/>
      <c r="V469" s="11"/>
      <c r="W469" s="8"/>
      <c r="X469" s="8"/>
      <c r="Y469" s="9"/>
      <c r="Z469" s="8"/>
      <c r="AA469" s="8"/>
      <c r="AB469" s="8"/>
      <c r="AC469" s="11"/>
      <c r="AD469" s="8"/>
      <c r="AE469" s="9"/>
      <c r="AF469" s="8"/>
      <c r="AG469" s="9"/>
      <c r="AH469" s="8"/>
      <c r="AI469" s="8"/>
      <c r="AJ469" s="8"/>
      <c r="AK469" s="11"/>
      <c r="AL469" s="8"/>
      <c r="AM469" s="8"/>
      <c r="AN469" s="9"/>
      <c r="AO469" s="8"/>
      <c r="AP469" s="8"/>
      <c r="AQ469" s="8"/>
    </row>
    <row r="470" spans="1:43" x14ac:dyDescent="0.15">
      <c r="A470" s="8"/>
      <c r="B470" s="8"/>
      <c r="C470" s="8"/>
      <c r="D470" s="8"/>
      <c r="E470" s="9"/>
      <c r="F470" s="8"/>
      <c r="G470" s="10"/>
      <c r="H470" s="11"/>
      <c r="I470" s="8"/>
      <c r="J470" s="9"/>
      <c r="K470" s="8"/>
      <c r="L470" s="9"/>
      <c r="M470" s="8"/>
      <c r="N470" s="11"/>
      <c r="O470" s="8"/>
      <c r="P470" s="9"/>
      <c r="Q470" s="8"/>
      <c r="R470" s="9"/>
      <c r="S470" s="8"/>
      <c r="T470" s="8"/>
      <c r="U470" s="8"/>
      <c r="V470" s="11"/>
      <c r="W470" s="8"/>
      <c r="X470" s="8"/>
      <c r="Y470" s="9"/>
      <c r="Z470" s="8"/>
      <c r="AA470" s="8"/>
      <c r="AB470" s="8"/>
      <c r="AC470" s="11"/>
      <c r="AD470" s="8"/>
      <c r="AE470" s="9"/>
      <c r="AF470" s="8"/>
      <c r="AG470" s="9"/>
      <c r="AH470" s="8"/>
      <c r="AI470" s="8"/>
      <c r="AJ470" s="8"/>
      <c r="AK470" s="11"/>
      <c r="AL470" s="8"/>
      <c r="AM470" s="8"/>
      <c r="AN470" s="9"/>
      <c r="AO470" s="8"/>
      <c r="AP470" s="8"/>
      <c r="AQ470" s="8"/>
    </row>
    <row r="471" spans="1:43" x14ac:dyDescent="0.15">
      <c r="A471" s="8"/>
      <c r="B471" s="8"/>
      <c r="C471" s="8"/>
      <c r="D471" s="8"/>
      <c r="E471" s="9"/>
      <c r="F471" s="8"/>
      <c r="G471" s="10"/>
      <c r="H471" s="11"/>
      <c r="I471" s="8"/>
      <c r="J471" s="9"/>
      <c r="K471" s="8"/>
      <c r="L471" s="9"/>
      <c r="M471" s="8"/>
      <c r="N471" s="11"/>
      <c r="O471" s="8"/>
      <c r="P471" s="9"/>
      <c r="Q471" s="8"/>
      <c r="R471" s="9"/>
      <c r="S471" s="8"/>
      <c r="T471" s="8"/>
      <c r="U471" s="8"/>
      <c r="V471" s="11"/>
      <c r="W471" s="8"/>
      <c r="X471" s="8"/>
      <c r="Y471" s="9"/>
      <c r="Z471" s="8"/>
      <c r="AA471" s="8"/>
      <c r="AB471" s="8"/>
      <c r="AC471" s="11"/>
      <c r="AD471" s="8"/>
      <c r="AE471" s="9"/>
      <c r="AF471" s="8"/>
      <c r="AG471" s="9"/>
      <c r="AH471" s="8"/>
      <c r="AI471" s="8"/>
      <c r="AJ471" s="8"/>
      <c r="AK471" s="11"/>
      <c r="AL471" s="8"/>
      <c r="AM471" s="8"/>
      <c r="AN471" s="9"/>
      <c r="AO471" s="8"/>
      <c r="AP471" s="8"/>
      <c r="AQ471" s="8"/>
    </row>
    <row r="472" spans="1:43" x14ac:dyDescent="0.15">
      <c r="A472" s="8"/>
      <c r="B472" s="8"/>
      <c r="C472" s="8"/>
      <c r="D472" s="8"/>
      <c r="E472" s="9"/>
      <c r="F472" s="8"/>
      <c r="G472" s="10"/>
      <c r="H472" s="11"/>
      <c r="I472" s="8"/>
      <c r="J472" s="9"/>
      <c r="K472" s="8"/>
      <c r="L472" s="9"/>
      <c r="M472" s="8"/>
      <c r="N472" s="11"/>
      <c r="O472" s="8"/>
      <c r="P472" s="9"/>
      <c r="Q472" s="8"/>
      <c r="R472" s="9"/>
      <c r="S472" s="8"/>
      <c r="T472" s="8"/>
      <c r="U472" s="8"/>
      <c r="V472" s="11"/>
      <c r="W472" s="8"/>
      <c r="X472" s="8"/>
      <c r="Y472" s="9"/>
      <c r="Z472" s="8"/>
      <c r="AA472" s="8"/>
      <c r="AB472" s="8"/>
      <c r="AC472" s="11"/>
      <c r="AD472" s="8"/>
      <c r="AE472" s="9"/>
      <c r="AF472" s="8"/>
      <c r="AG472" s="9"/>
      <c r="AH472" s="8"/>
      <c r="AI472" s="8"/>
      <c r="AJ472" s="8"/>
      <c r="AK472" s="11"/>
      <c r="AL472" s="8"/>
      <c r="AM472" s="8"/>
      <c r="AN472" s="9"/>
      <c r="AO472" s="8"/>
      <c r="AP472" s="8"/>
      <c r="AQ472" s="8"/>
    </row>
    <row r="473" spans="1:43" x14ac:dyDescent="0.15">
      <c r="A473" s="8"/>
      <c r="B473" s="8"/>
      <c r="C473" s="8"/>
      <c r="D473" s="8"/>
      <c r="E473" s="9"/>
      <c r="F473" s="8"/>
      <c r="G473" s="10"/>
      <c r="H473" s="11"/>
      <c r="I473" s="8"/>
      <c r="J473" s="9"/>
      <c r="K473" s="8"/>
      <c r="L473" s="9"/>
      <c r="M473" s="8"/>
      <c r="N473" s="11"/>
      <c r="O473" s="8"/>
      <c r="P473" s="9"/>
      <c r="Q473" s="8"/>
      <c r="R473" s="9"/>
      <c r="S473" s="8"/>
      <c r="T473" s="8"/>
      <c r="U473" s="8"/>
      <c r="V473" s="11"/>
      <c r="W473" s="8"/>
      <c r="X473" s="8"/>
      <c r="Y473" s="9"/>
      <c r="Z473" s="8"/>
      <c r="AA473" s="8"/>
      <c r="AB473" s="8"/>
      <c r="AC473" s="11"/>
      <c r="AD473" s="8"/>
      <c r="AE473" s="9"/>
      <c r="AF473" s="8"/>
      <c r="AG473" s="9"/>
      <c r="AH473" s="8"/>
      <c r="AI473" s="8"/>
      <c r="AJ473" s="8"/>
      <c r="AK473" s="11"/>
      <c r="AL473" s="8"/>
      <c r="AM473" s="8"/>
      <c r="AN473" s="9"/>
      <c r="AO473" s="8"/>
      <c r="AP473" s="8"/>
      <c r="AQ473" s="8"/>
    </row>
    <row r="474" spans="1:43" x14ac:dyDescent="0.15">
      <c r="A474" s="8"/>
      <c r="B474" s="8"/>
      <c r="C474" s="8"/>
      <c r="D474" s="8"/>
      <c r="E474" s="9"/>
      <c r="F474" s="8"/>
      <c r="G474" s="10"/>
      <c r="H474" s="11"/>
      <c r="I474" s="8"/>
      <c r="J474" s="9"/>
      <c r="K474" s="8"/>
      <c r="L474" s="9"/>
      <c r="M474" s="8"/>
      <c r="N474" s="11"/>
      <c r="O474" s="8"/>
      <c r="P474" s="9"/>
      <c r="Q474" s="8"/>
      <c r="R474" s="9"/>
      <c r="S474" s="8"/>
      <c r="T474" s="8"/>
      <c r="U474" s="8"/>
      <c r="V474" s="11"/>
      <c r="W474" s="8"/>
      <c r="X474" s="8"/>
      <c r="Y474" s="9"/>
      <c r="Z474" s="8"/>
      <c r="AA474" s="8"/>
      <c r="AB474" s="8"/>
      <c r="AC474" s="11"/>
      <c r="AD474" s="8"/>
      <c r="AE474" s="9"/>
      <c r="AF474" s="8"/>
      <c r="AG474" s="9"/>
      <c r="AH474" s="8"/>
      <c r="AI474" s="8"/>
      <c r="AJ474" s="8"/>
      <c r="AK474" s="11"/>
      <c r="AL474" s="8"/>
      <c r="AM474" s="8"/>
      <c r="AN474" s="9"/>
      <c r="AO474" s="8"/>
      <c r="AP474" s="8"/>
      <c r="AQ474" s="8"/>
    </row>
    <row r="475" spans="1:43" x14ac:dyDescent="0.15">
      <c r="A475" s="8"/>
      <c r="B475" s="8"/>
      <c r="C475" s="8"/>
      <c r="D475" s="8"/>
      <c r="E475" s="9"/>
      <c r="F475" s="8"/>
      <c r="G475" s="10"/>
      <c r="H475" s="11"/>
      <c r="I475" s="8"/>
      <c r="J475" s="9"/>
      <c r="K475" s="8"/>
      <c r="L475" s="9"/>
      <c r="M475" s="8"/>
      <c r="N475" s="11"/>
      <c r="O475" s="8"/>
      <c r="P475" s="9"/>
      <c r="Q475" s="8"/>
      <c r="R475" s="9"/>
      <c r="S475" s="8"/>
      <c r="T475" s="8"/>
      <c r="U475" s="8"/>
      <c r="V475" s="11"/>
      <c r="W475" s="8"/>
      <c r="X475" s="8"/>
      <c r="Y475" s="9"/>
      <c r="Z475" s="8"/>
      <c r="AA475" s="8"/>
      <c r="AB475" s="8"/>
      <c r="AC475" s="11"/>
      <c r="AD475" s="8"/>
      <c r="AE475" s="9"/>
      <c r="AF475" s="8"/>
      <c r="AG475" s="9"/>
      <c r="AH475" s="8"/>
      <c r="AI475" s="8"/>
      <c r="AJ475" s="8"/>
      <c r="AK475" s="11"/>
      <c r="AL475" s="8"/>
      <c r="AM475" s="8"/>
      <c r="AN475" s="9"/>
      <c r="AO475" s="8"/>
      <c r="AP475" s="8"/>
      <c r="AQ475" s="8"/>
    </row>
    <row r="476" spans="1:43" x14ac:dyDescent="0.15">
      <c r="A476" s="8"/>
      <c r="B476" s="8"/>
      <c r="C476" s="8"/>
      <c r="D476" s="8"/>
      <c r="E476" s="9"/>
      <c r="F476" s="8"/>
      <c r="G476" s="10"/>
      <c r="H476" s="11"/>
      <c r="I476" s="8"/>
      <c r="J476" s="9"/>
      <c r="K476" s="8"/>
      <c r="L476" s="9"/>
      <c r="M476" s="8"/>
      <c r="N476" s="11"/>
      <c r="O476" s="8"/>
      <c r="P476" s="9"/>
      <c r="Q476" s="8"/>
      <c r="R476" s="9"/>
      <c r="S476" s="8"/>
      <c r="T476" s="8"/>
      <c r="U476" s="8"/>
      <c r="V476" s="11"/>
      <c r="W476" s="8"/>
      <c r="X476" s="8"/>
      <c r="Y476" s="9"/>
      <c r="Z476" s="8"/>
      <c r="AA476" s="8"/>
      <c r="AB476" s="8"/>
      <c r="AC476" s="11"/>
      <c r="AD476" s="8"/>
      <c r="AE476" s="9"/>
      <c r="AF476" s="8"/>
      <c r="AG476" s="9"/>
      <c r="AH476" s="8"/>
      <c r="AI476" s="8"/>
      <c r="AJ476" s="8"/>
      <c r="AK476" s="11"/>
      <c r="AL476" s="8"/>
      <c r="AM476" s="8"/>
      <c r="AN476" s="9"/>
      <c r="AO476" s="8"/>
      <c r="AP476" s="8"/>
      <c r="AQ476" s="8"/>
    </row>
    <row r="477" spans="1:43" x14ac:dyDescent="0.15">
      <c r="A477" s="8"/>
      <c r="B477" s="8"/>
      <c r="C477" s="8"/>
      <c r="D477" s="8"/>
      <c r="E477" s="9"/>
      <c r="F477" s="8"/>
      <c r="G477" s="10"/>
      <c r="H477" s="11"/>
      <c r="I477" s="8"/>
      <c r="J477" s="9"/>
      <c r="K477" s="8"/>
      <c r="L477" s="9"/>
      <c r="M477" s="8"/>
      <c r="N477" s="11"/>
      <c r="O477" s="8"/>
      <c r="P477" s="9"/>
      <c r="Q477" s="8"/>
      <c r="R477" s="9"/>
      <c r="S477" s="8"/>
      <c r="T477" s="8"/>
      <c r="U477" s="8"/>
      <c r="V477" s="11"/>
      <c r="W477" s="8"/>
      <c r="X477" s="8"/>
      <c r="Y477" s="9"/>
      <c r="Z477" s="8"/>
      <c r="AA477" s="8"/>
      <c r="AB477" s="8"/>
      <c r="AC477" s="11"/>
      <c r="AD477" s="8"/>
      <c r="AE477" s="9"/>
      <c r="AF477" s="8"/>
      <c r="AG477" s="9"/>
      <c r="AH477" s="8"/>
      <c r="AI477" s="8"/>
      <c r="AJ477" s="8"/>
      <c r="AK477" s="11"/>
      <c r="AL477" s="8"/>
      <c r="AM477" s="8"/>
      <c r="AN477" s="9"/>
      <c r="AO477" s="8"/>
      <c r="AP477" s="8"/>
      <c r="AQ477" s="8"/>
    </row>
    <row r="478" spans="1:43" x14ac:dyDescent="0.15">
      <c r="A478" s="8"/>
      <c r="B478" s="8"/>
      <c r="C478" s="8"/>
      <c r="D478" s="8"/>
      <c r="E478" s="9"/>
      <c r="F478" s="8"/>
      <c r="G478" s="10"/>
      <c r="H478" s="11"/>
      <c r="I478" s="8"/>
      <c r="J478" s="9"/>
      <c r="K478" s="8"/>
      <c r="L478" s="9"/>
      <c r="M478" s="8"/>
      <c r="N478" s="11"/>
      <c r="O478" s="8"/>
      <c r="P478" s="9"/>
      <c r="Q478" s="8"/>
      <c r="R478" s="9"/>
      <c r="S478" s="8"/>
      <c r="T478" s="8"/>
      <c r="U478" s="8"/>
      <c r="V478" s="11"/>
      <c r="W478" s="8"/>
      <c r="X478" s="8"/>
      <c r="Y478" s="9"/>
      <c r="Z478" s="8"/>
      <c r="AA478" s="8"/>
      <c r="AB478" s="8"/>
      <c r="AC478" s="11"/>
      <c r="AD478" s="8"/>
      <c r="AE478" s="9"/>
      <c r="AF478" s="8"/>
      <c r="AG478" s="9"/>
      <c r="AH478" s="8"/>
      <c r="AI478" s="8"/>
      <c r="AJ478" s="8"/>
      <c r="AK478" s="11"/>
      <c r="AL478" s="8"/>
      <c r="AM478" s="8"/>
      <c r="AN478" s="9"/>
      <c r="AO478" s="8"/>
      <c r="AP478" s="8"/>
      <c r="AQ478" s="8"/>
    </row>
    <row r="479" spans="1:43" x14ac:dyDescent="0.15">
      <c r="A479" s="8"/>
      <c r="B479" s="8"/>
      <c r="C479" s="8"/>
      <c r="D479" s="8"/>
      <c r="E479" s="9"/>
      <c r="F479" s="8"/>
      <c r="G479" s="10"/>
      <c r="H479" s="11"/>
      <c r="I479" s="8"/>
      <c r="J479" s="9"/>
      <c r="K479" s="8"/>
      <c r="L479" s="9"/>
      <c r="M479" s="8"/>
      <c r="N479" s="11"/>
      <c r="O479" s="8"/>
      <c r="P479" s="9"/>
      <c r="Q479" s="8"/>
      <c r="R479" s="9"/>
      <c r="S479" s="8"/>
      <c r="T479" s="8"/>
      <c r="U479" s="8"/>
      <c r="V479" s="11"/>
      <c r="W479" s="8"/>
      <c r="X479" s="8"/>
      <c r="Y479" s="9"/>
      <c r="Z479" s="8"/>
      <c r="AA479" s="8"/>
      <c r="AB479" s="8"/>
      <c r="AC479" s="11"/>
      <c r="AD479" s="8"/>
      <c r="AE479" s="9"/>
      <c r="AF479" s="8"/>
      <c r="AG479" s="9"/>
      <c r="AH479" s="8"/>
      <c r="AI479" s="8"/>
      <c r="AJ479" s="8"/>
      <c r="AK479" s="11"/>
      <c r="AL479" s="8"/>
      <c r="AM479" s="8"/>
      <c r="AN479" s="9"/>
      <c r="AO479" s="8"/>
      <c r="AP479" s="8"/>
      <c r="AQ479" s="8"/>
    </row>
    <row r="480" spans="1:43" x14ac:dyDescent="0.15">
      <c r="A480" s="8"/>
      <c r="B480" s="8"/>
      <c r="C480" s="8"/>
      <c r="D480" s="8"/>
      <c r="E480" s="9"/>
      <c r="F480" s="8"/>
      <c r="G480" s="10"/>
      <c r="H480" s="11"/>
      <c r="I480" s="8"/>
      <c r="J480" s="9"/>
      <c r="K480" s="8"/>
      <c r="L480" s="9"/>
      <c r="M480" s="8"/>
      <c r="N480" s="11"/>
      <c r="O480" s="8"/>
      <c r="P480" s="9"/>
      <c r="Q480" s="8"/>
      <c r="R480" s="9"/>
      <c r="S480" s="8"/>
      <c r="T480" s="8"/>
      <c r="U480" s="8"/>
      <c r="V480" s="11"/>
      <c r="W480" s="8"/>
      <c r="X480" s="8"/>
      <c r="Y480" s="9"/>
      <c r="Z480" s="8"/>
      <c r="AA480" s="8"/>
      <c r="AB480" s="8"/>
      <c r="AC480" s="11"/>
      <c r="AD480" s="8"/>
      <c r="AE480" s="9"/>
      <c r="AF480" s="8"/>
      <c r="AG480" s="9"/>
      <c r="AH480" s="8"/>
      <c r="AI480" s="8"/>
      <c r="AJ480" s="8"/>
      <c r="AK480" s="11"/>
      <c r="AL480" s="8"/>
      <c r="AM480" s="8"/>
      <c r="AN480" s="9"/>
      <c r="AO480" s="8"/>
      <c r="AP480" s="8"/>
      <c r="AQ480" s="8"/>
    </row>
    <row r="481" spans="1:43" x14ac:dyDescent="0.15">
      <c r="A481" s="8"/>
      <c r="B481" s="8"/>
      <c r="C481" s="8"/>
      <c r="D481" s="8"/>
      <c r="E481" s="9"/>
      <c r="F481" s="8"/>
      <c r="G481" s="10"/>
      <c r="H481" s="11"/>
      <c r="I481" s="8"/>
      <c r="J481" s="9"/>
      <c r="K481" s="8"/>
      <c r="L481" s="9"/>
      <c r="M481" s="8"/>
      <c r="N481" s="11"/>
      <c r="O481" s="8"/>
      <c r="P481" s="9"/>
      <c r="Q481" s="8"/>
      <c r="R481" s="9"/>
      <c r="S481" s="8"/>
      <c r="T481" s="8"/>
      <c r="U481" s="8"/>
      <c r="V481" s="11"/>
      <c r="W481" s="8"/>
      <c r="X481" s="8"/>
      <c r="Y481" s="9"/>
      <c r="Z481" s="8"/>
      <c r="AA481" s="8"/>
      <c r="AB481" s="8"/>
      <c r="AC481" s="11"/>
      <c r="AD481" s="8"/>
      <c r="AE481" s="9"/>
      <c r="AF481" s="8"/>
      <c r="AG481" s="9"/>
      <c r="AH481" s="8"/>
      <c r="AI481" s="8"/>
      <c r="AJ481" s="8"/>
      <c r="AK481" s="11"/>
      <c r="AL481" s="8"/>
      <c r="AM481" s="8"/>
      <c r="AN481" s="9"/>
      <c r="AO481" s="8"/>
      <c r="AP481" s="8"/>
      <c r="AQ481" s="8"/>
    </row>
    <row r="482" spans="1:43" x14ac:dyDescent="0.15">
      <c r="A482" s="8"/>
      <c r="B482" s="8"/>
      <c r="C482" s="8"/>
      <c r="D482" s="8"/>
      <c r="E482" s="9"/>
      <c r="F482" s="8"/>
      <c r="G482" s="10"/>
      <c r="H482" s="11"/>
      <c r="I482" s="8"/>
      <c r="J482" s="9"/>
      <c r="K482" s="8"/>
      <c r="L482" s="9"/>
      <c r="M482" s="8"/>
      <c r="N482" s="11"/>
      <c r="O482" s="8"/>
      <c r="P482" s="9"/>
      <c r="Q482" s="8"/>
      <c r="R482" s="9"/>
      <c r="S482" s="8"/>
      <c r="T482" s="8"/>
      <c r="U482" s="8"/>
      <c r="V482" s="11"/>
      <c r="W482" s="8"/>
      <c r="X482" s="8"/>
      <c r="Y482" s="9"/>
      <c r="Z482" s="8"/>
      <c r="AA482" s="8"/>
      <c r="AB482" s="8"/>
      <c r="AC482" s="11"/>
      <c r="AD482" s="8"/>
      <c r="AE482" s="9"/>
      <c r="AF482" s="8"/>
      <c r="AG482" s="9"/>
      <c r="AH482" s="8"/>
      <c r="AI482" s="8"/>
      <c r="AJ482" s="8"/>
      <c r="AK482" s="11"/>
      <c r="AL482" s="8"/>
      <c r="AM482" s="8"/>
      <c r="AN482" s="9"/>
      <c r="AO482" s="8"/>
      <c r="AP482" s="8"/>
      <c r="AQ482" s="8"/>
    </row>
    <row r="483" spans="1:43" x14ac:dyDescent="0.15">
      <c r="A483" s="8"/>
      <c r="B483" s="8"/>
      <c r="C483" s="8"/>
      <c r="D483" s="8"/>
      <c r="E483" s="9"/>
      <c r="F483" s="8"/>
      <c r="G483" s="10"/>
      <c r="H483" s="11"/>
      <c r="I483" s="8"/>
      <c r="J483" s="9"/>
      <c r="K483" s="8"/>
      <c r="L483" s="9"/>
      <c r="M483" s="8"/>
      <c r="N483" s="11"/>
      <c r="O483" s="8"/>
      <c r="P483" s="9"/>
      <c r="Q483" s="8"/>
      <c r="R483" s="9"/>
      <c r="S483" s="8"/>
      <c r="T483" s="8"/>
      <c r="U483" s="8"/>
      <c r="V483" s="11"/>
      <c r="W483" s="8"/>
      <c r="X483" s="8"/>
      <c r="Y483" s="9"/>
      <c r="Z483" s="8"/>
      <c r="AA483" s="8"/>
      <c r="AB483" s="8"/>
      <c r="AC483" s="11"/>
      <c r="AD483" s="8"/>
      <c r="AE483" s="9"/>
      <c r="AF483" s="8"/>
      <c r="AG483" s="9"/>
      <c r="AH483" s="8"/>
      <c r="AI483" s="8"/>
      <c r="AJ483" s="8"/>
      <c r="AK483" s="11"/>
      <c r="AL483" s="8"/>
      <c r="AM483" s="8"/>
      <c r="AN483" s="9"/>
      <c r="AO483" s="8"/>
      <c r="AP483" s="8"/>
      <c r="AQ483" s="8"/>
    </row>
    <row r="484" spans="1:43" x14ac:dyDescent="0.15">
      <c r="A484" s="8"/>
      <c r="B484" s="8"/>
      <c r="C484" s="8"/>
      <c r="D484" s="8"/>
      <c r="E484" s="9"/>
      <c r="F484" s="8"/>
      <c r="G484" s="10"/>
      <c r="H484" s="11"/>
      <c r="I484" s="8"/>
      <c r="J484" s="9"/>
      <c r="K484" s="8"/>
      <c r="L484" s="9"/>
      <c r="M484" s="8"/>
      <c r="N484" s="11"/>
      <c r="O484" s="8"/>
      <c r="P484" s="9"/>
      <c r="Q484" s="8"/>
      <c r="R484" s="9"/>
      <c r="S484" s="8"/>
      <c r="T484" s="8"/>
      <c r="U484" s="8"/>
      <c r="V484" s="11"/>
      <c r="W484" s="8"/>
      <c r="X484" s="8"/>
      <c r="Y484" s="9"/>
      <c r="Z484" s="8"/>
      <c r="AA484" s="8"/>
      <c r="AB484" s="8"/>
      <c r="AC484" s="11"/>
      <c r="AD484" s="8"/>
      <c r="AE484" s="9"/>
      <c r="AF484" s="8"/>
      <c r="AG484" s="9"/>
      <c r="AH484" s="8"/>
      <c r="AI484" s="8"/>
      <c r="AJ484" s="8"/>
      <c r="AK484" s="11"/>
      <c r="AL484" s="8"/>
      <c r="AM484" s="8"/>
      <c r="AN484" s="9"/>
      <c r="AO484" s="8"/>
      <c r="AP484" s="8"/>
      <c r="AQ484" s="8"/>
    </row>
    <row r="485" spans="1:43" x14ac:dyDescent="0.15">
      <c r="A485" s="8"/>
      <c r="B485" s="8"/>
      <c r="C485" s="8"/>
      <c r="D485" s="8"/>
      <c r="E485" s="9"/>
      <c r="F485" s="8"/>
      <c r="G485" s="10"/>
      <c r="H485" s="11"/>
      <c r="I485" s="8"/>
      <c r="J485" s="9"/>
      <c r="K485" s="8"/>
      <c r="L485" s="9"/>
      <c r="M485" s="8"/>
      <c r="N485" s="11"/>
      <c r="O485" s="8"/>
      <c r="P485" s="9"/>
      <c r="Q485" s="8"/>
      <c r="R485" s="9"/>
      <c r="S485" s="8"/>
      <c r="T485" s="8"/>
      <c r="U485" s="8"/>
      <c r="V485" s="11"/>
      <c r="W485" s="8"/>
      <c r="X485" s="8"/>
      <c r="Y485" s="9"/>
      <c r="Z485" s="8"/>
      <c r="AA485" s="8"/>
      <c r="AB485" s="8"/>
      <c r="AC485" s="11"/>
      <c r="AD485" s="8"/>
      <c r="AE485" s="9"/>
      <c r="AF485" s="8"/>
      <c r="AG485" s="9"/>
      <c r="AH485" s="8"/>
      <c r="AI485" s="8"/>
      <c r="AJ485" s="8"/>
      <c r="AK485" s="11"/>
      <c r="AL485" s="8"/>
      <c r="AM485" s="8"/>
      <c r="AN485" s="9"/>
      <c r="AO485" s="8"/>
      <c r="AP485" s="8"/>
      <c r="AQ485" s="8"/>
    </row>
    <row r="486" spans="1:43" x14ac:dyDescent="0.15">
      <c r="A486" s="8"/>
      <c r="B486" s="8"/>
      <c r="C486" s="8"/>
      <c r="D486" s="8"/>
      <c r="E486" s="9"/>
      <c r="F486" s="8"/>
      <c r="G486" s="10"/>
      <c r="H486" s="11"/>
      <c r="I486" s="8"/>
      <c r="J486" s="9"/>
      <c r="K486" s="8"/>
      <c r="L486" s="9"/>
      <c r="M486" s="8"/>
      <c r="N486" s="11"/>
      <c r="O486" s="8"/>
      <c r="P486" s="9"/>
      <c r="Q486" s="8"/>
      <c r="R486" s="9"/>
      <c r="S486" s="8"/>
      <c r="T486" s="8"/>
      <c r="U486" s="8"/>
      <c r="V486" s="11"/>
      <c r="W486" s="8"/>
      <c r="X486" s="8"/>
      <c r="Y486" s="9"/>
      <c r="Z486" s="8"/>
      <c r="AA486" s="8"/>
      <c r="AB486" s="8"/>
      <c r="AC486" s="11"/>
      <c r="AD486" s="8"/>
      <c r="AE486" s="9"/>
      <c r="AF486" s="8"/>
      <c r="AG486" s="9"/>
      <c r="AH486" s="8"/>
      <c r="AI486" s="8"/>
      <c r="AJ486" s="8"/>
      <c r="AK486" s="11"/>
      <c r="AL486" s="8"/>
      <c r="AM486" s="8"/>
      <c r="AN486" s="9"/>
      <c r="AO486" s="8"/>
      <c r="AP486" s="8"/>
      <c r="AQ486" s="8"/>
    </row>
    <row r="487" spans="1:43" x14ac:dyDescent="0.15">
      <c r="A487" s="8"/>
      <c r="B487" s="8"/>
      <c r="C487" s="8"/>
      <c r="D487" s="8"/>
      <c r="E487" s="9"/>
      <c r="F487" s="8"/>
      <c r="G487" s="10"/>
      <c r="H487" s="11"/>
      <c r="I487" s="8"/>
      <c r="J487" s="9"/>
      <c r="K487" s="8"/>
      <c r="L487" s="9"/>
      <c r="M487" s="8"/>
      <c r="N487" s="11"/>
      <c r="O487" s="8"/>
      <c r="P487" s="9"/>
      <c r="Q487" s="8"/>
      <c r="R487" s="9"/>
      <c r="S487" s="8"/>
      <c r="T487" s="8"/>
      <c r="U487" s="8"/>
      <c r="V487" s="11"/>
      <c r="W487" s="8"/>
      <c r="X487" s="8"/>
      <c r="Y487" s="9"/>
      <c r="Z487" s="8"/>
      <c r="AA487" s="8"/>
      <c r="AB487" s="8"/>
      <c r="AC487" s="11"/>
      <c r="AD487" s="8"/>
      <c r="AE487" s="9"/>
      <c r="AF487" s="8"/>
      <c r="AG487" s="9"/>
      <c r="AH487" s="8"/>
      <c r="AI487" s="8"/>
      <c r="AJ487" s="8"/>
      <c r="AK487" s="11"/>
      <c r="AL487" s="8"/>
      <c r="AM487" s="8"/>
      <c r="AN487" s="9"/>
      <c r="AO487" s="8"/>
      <c r="AP487" s="8"/>
      <c r="AQ487" s="8"/>
    </row>
    <row r="488" spans="1:43" x14ac:dyDescent="0.15">
      <c r="A488" s="8"/>
      <c r="B488" s="8"/>
      <c r="C488" s="8"/>
      <c r="D488" s="8"/>
      <c r="E488" s="9"/>
      <c r="F488" s="8"/>
      <c r="G488" s="10"/>
      <c r="H488" s="11"/>
      <c r="I488" s="8"/>
      <c r="J488" s="9"/>
      <c r="K488" s="8"/>
      <c r="L488" s="9"/>
      <c r="M488" s="8"/>
      <c r="N488" s="11"/>
      <c r="O488" s="8"/>
      <c r="P488" s="9"/>
      <c r="Q488" s="8"/>
      <c r="R488" s="9"/>
      <c r="S488" s="8"/>
      <c r="T488" s="8"/>
      <c r="U488" s="8"/>
      <c r="V488" s="11"/>
      <c r="W488" s="8"/>
      <c r="X488" s="8"/>
      <c r="Y488" s="9"/>
      <c r="Z488" s="8"/>
      <c r="AA488" s="8"/>
      <c r="AB488" s="8"/>
      <c r="AC488" s="11"/>
      <c r="AD488" s="8"/>
      <c r="AE488" s="9"/>
      <c r="AF488" s="8"/>
      <c r="AG488" s="9"/>
      <c r="AH488" s="8"/>
      <c r="AI488" s="8"/>
      <c r="AJ488" s="8"/>
      <c r="AK488" s="11"/>
      <c r="AL488" s="8"/>
      <c r="AM488" s="8"/>
      <c r="AN488" s="9"/>
      <c r="AO488" s="8"/>
      <c r="AP488" s="8"/>
      <c r="AQ488" s="8"/>
    </row>
    <row r="489" spans="1:43" x14ac:dyDescent="0.15">
      <c r="A489" s="8"/>
      <c r="B489" s="8"/>
      <c r="C489" s="8"/>
      <c r="D489" s="8"/>
      <c r="E489" s="9"/>
      <c r="F489" s="8"/>
      <c r="G489" s="10"/>
      <c r="H489" s="11"/>
      <c r="I489" s="8"/>
      <c r="J489" s="9"/>
      <c r="K489" s="8"/>
      <c r="L489" s="9"/>
      <c r="M489" s="8"/>
      <c r="N489" s="11"/>
      <c r="O489" s="8"/>
      <c r="P489" s="9"/>
      <c r="Q489" s="8"/>
      <c r="R489" s="9"/>
      <c r="S489" s="8"/>
      <c r="T489" s="8"/>
      <c r="U489" s="8"/>
      <c r="V489" s="11"/>
      <c r="W489" s="8"/>
      <c r="X489" s="8"/>
      <c r="Y489" s="9"/>
      <c r="Z489" s="8"/>
      <c r="AA489" s="8"/>
      <c r="AB489" s="8"/>
      <c r="AC489" s="11"/>
      <c r="AD489" s="8"/>
      <c r="AE489" s="9"/>
      <c r="AF489" s="8"/>
      <c r="AG489" s="9"/>
      <c r="AH489" s="8"/>
      <c r="AI489" s="8"/>
      <c r="AJ489" s="8"/>
      <c r="AK489" s="11"/>
      <c r="AL489" s="8"/>
      <c r="AM489" s="8"/>
      <c r="AN489" s="9"/>
      <c r="AO489" s="8"/>
      <c r="AP489" s="8"/>
      <c r="AQ489" s="8"/>
    </row>
    <row r="490" spans="1:43" x14ac:dyDescent="0.15">
      <c r="A490" s="8"/>
      <c r="B490" s="8"/>
      <c r="C490" s="8"/>
      <c r="D490" s="8"/>
      <c r="E490" s="9"/>
      <c r="F490" s="8"/>
      <c r="G490" s="10"/>
      <c r="H490" s="11"/>
      <c r="I490" s="8"/>
      <c r="J490" s="9"/>
      <c r="K490" s="8"/>
      <c r="L490" s="9"/>
      <c r="M490" s="8"/>
      <c r="N490" s="11"/>
      <c r="O490" s="8"/>
      <c r="P490" s="9"/>
      <c r="Q490" s="8"/>
      <c r="R490" s="9"/>
      <c r="S490" s="8"/>
      <c r="T490" s="8"/>
      <c r="U490" s="8"/>
      <c r="V490" s="11"/>
      <c r="W490" s="8"/>
      <c r="X490" s="8"/>
      <c r="Y490" s="9"/>
      <c r="Z490" s="8"/>
      <c r="AA490" s="8"/>
      <c r="AB490" s="8"/>
      <c r="AC490" s="11"/>
      <c r="AD490" s="8"/>
      <c r="AE490" s="9"/>
      <c r="AF490" s="8"/>
      <c r="AG490" s="9"/>
      <c r="AH490" s="8"/>
      <c r="AI490" s="8"/>
      <c r="AJ490" s="8"/>
      <c r="AK490" s="11"/>
      <c r="AL490" s="8"/>
      <c r="AM490" s="8"/>
      <c r="AN490" s="9"/>
      <c r="AO490" s="8"/>
      <c r="AP490" s="8"/>
      <c r="AQ490" s="8"/>
    </row>
    <row r="491" spans="1:43" x14ac:dyDescent="0.15">
      <c r="A491" s="8"/>
      <c r="B491" s="8"/>
      <c r="C491" s="8"/>
      <c r="D491" s="8"/>
      <c r="E491" s="9"/>
      <c r="F491" s="8"/>
      <c r="G491" s="10"/>
      <c r="H491" s="11"/>
      <c r="I491" s="8"/>
      <c r="J491" s="9"/>
      <c r="K491" s="8"/>
      <c r="L491" s="9"/>
      <c r="M491" s="8"/>
      <c r="N491" s="11"/>
      <c r="O491" s="8"/>
      <c r="P491" s="9"/>
      <c r="Q491" s="8"/>
      <c r="R491" s="9"/>
      <c r="S491" s="8"/>
      <c r="T491" s="8"/>
      <c r="U491" s="8"/>
      <c r="V491" s="11"/>
      <c r="W491" s="8"/>
      <c r="X491" s="8"/>
      <c r="Y491" s="9"/>
      <c r="Z491" s="8"/>
      <c r="AA491" s="8"/>
      <c r="AB491" s="8"/>
      <c r="AC491" s="11"/>
      <c r="AD491" s="8"/>
      <c r="AE491" s="9"/>
      <c r="AF491" s="8"/>
      <c r="AG491" s="9"/>
      <c r="AH491" s="8"/>
      <c r="AI491" s="8"/>
      <c r="AJ491" s="8"/>
      <c r="AK491" s="11"/>
      <c r="AL491" s="8"/>
      <c r="AM491" s="8"/>
      <c r="AN491" s="9"/>
      <c r="AO491" s="8"/>
      <c r="AP491" s="8"/>
      <c r="AQ491" s="8"/>
    </row>
    <row r="492" spans="1:43" x14ac:dyDescent="0.15">
      <c r="A492" s="8"/>
      <c r="B492" s="8"/>
      <c r="C492" s="8"/>
      <c r="D492" s="8"/>
      <c r="E492" s="9"/>
      <c r="F492" s="8"/>
      <c r="G492" s="10"/>
      <c r="H492" s="11"/>
      <c r="I492" s="8"/>
      <c r="J492" s="9"/>
      <c r="K492" s="8"/>
      <c r="L492" s="9"/>
      <c r="M492" s="8"/>
      <c r="N492" s="11"/>
      <c r="O492" s="8"/>
      <c r="P492" s="9"/>
      <c r="Q492" s="8"/>
      <c r="R492" s="9"/>
      <c r="S492" s="8"/>
      <c r="T492" s="8"/>
      <c r="U492" s="8"/>
      <c r="V492" s="11"/>
      <c r="W492" s="8"/>
      <c r="X492" s="8"/>
      <c r="Y492" s="9"/>
      <c r="Z492" s="8"/>
      <c r="AA492" s="8"/>
      <c r="AB492" s="8"/>
      <c r="AC492" s="11"/>
      <c r="AD492" s="8"/>
      <c r="AE492" s="9"/>
      <c r="AF492" s="8"/>
      <c r="AG492" s="9"/>
      <c r="AH492" s="8"/>
      <c r="AI492" s="8"/>
      <c r="AJ492" s="8"/>
      <c r="AK492" s="11"/>
      <c r="AL492" s="8"/>
      <c r="AM492" s="8"/>
      <c r="AN492" s="9"/>
      <c r="AO492" s="8"/>
      <c r="AP492" s="8"/>
      <c r="AQ492" s="8"/>
    </row>
    <row r="493" spans="1:43" x14ac:dyDescent="0.15">
      <c r="A493" s="8"/>
      <c r="B493" s="8"/>
      <c r="C493" s="8"/>
      <c r="D493" s="8"/>
      <c r="E493" s="9"/>
      <c r="F493" s="8"/>
      <c r="G493" s="10"/>
      <c r="H493" s="11"/>
      <c r="I493" s="8"/>
      <c r="J493" s="9"/>
      <c r="K493" s="8"/>
      <c r="L493" s="9"/>
      <c r="M493" s="8"/>
      <c r="N493" s="11"/>
      <c r="O493" s="8"/>
      <c r="P493" s="9"/>
      <c r="Q493" s="8"/>
      <c r="R493" s="9"/>
      <c r="S493" s="8"/>
      <c r="T493" s="8"/>
      <c r="U493" s="8"/>
      <c r="V493" s="11"/>
      <c r="W493" s="8"/>
      <c r="X493" s="8"/>
      <c r="Y493" s="9"/>
      <c r="Z493" s="8"/>
      <c r="AA493" s="8"/>
      <c r="AB493" s="8"/>
      <c r="AC493" s="11"/>
      <c r="AD493" s="8"/>
      <c r="AE493" s="9"/>
      <c r="AF493" s="8"/>
      <c r="AG493" s="9"/>
      <c r="AH493" s="8"/>
      <c r="AI493" s="8"/>
      <c r="AJ493" s="8"/>
      <c r="AK493" s="11"/>
      <c r="AL493" s="8"/>
      <c r="AM493" s="8"/>
      <c r="AN493" s="9"/>
      <c r="AO493" s="8"/>
      <c r="AP493" s="8"/>
      <c r="AQ493" s="8"/>
    </row>
    <row r="494" spans="1:43" x14ac:dyDescent="0.15">
      <c r="A494" s="8"/>
      <c r="B494" s="8"/>
      <c r="C494" s="8"/>
      <c r="D494" s="8"/>
      <c r="E494" s="9"/>
      <c r="F494" s="8"/>
      <c r="G494" s="10"/>
      <c r="H494" s="11"/>
      <c r="I494" s="8"/>
      <c r="J494" s="9"/>
      <c r="K494" s="8"/>
      <c r="L494" s="9"/>
      <c r="M494" s="8"/>
      <c r="N494" s="11"/>
      <c r="O494" s="8"/>
      <c r="P494" s="9"/>
      <c r="Q494" s="8"/>
      <c r="R494" s="9"/>
      <c r="S494" s="8"/>
      <c r="T494" s="8"/>
      <c r="U494" s="8"/>
      <c r="V494" s="11"/>
      <c r="W494" s="8"/>
      <c r="X494" s="8"/>
      <c r="Y494" s="9"/>
      <c r="Z494" s="8"/>
      <c r="AA494" s="8"/>
      <c r="AB494" s="8"/>
      <c r="AC494" s="11"/>
      <c r="AD494" s="8"/>
      <c r="AE494" s="9"/>
      <c r="AF494" s="8"/>
      <c r="AG494" s="9"/>
      <c r="AH494" s="8"/>
      <c r="AI494" s="8"/>
      <c r="AJ494" s="8"/>
      <c r="AK494" s="11"/>
      <c r="AL494" s="8"/>
      <c r="AM494" s="8"/>
      <c r="AN494" s="9"/>
      <c r="AO494" s="8"/>
      <c r="AP494" s="8"/>
      <c r="AQ494" s="8"/>
    </row>
    <row r="495" spans="1:43" x14ac:dyDescent="0.15">
      <c r="A495" s="8"/>
      <c r="B495" s="8"/>
      <c r="C495" s="8"/>
      <c r="D495" s="8"/>
      <c r="E495" s="9"/>
      <c r="F495" s="8"/>
      <c r="G495" s="10"/>
      <c r="H495" s="11"/>
      <c r="I495" s="8"/>
      <c r="J495" s="9"/>
      <c r="K495" s="8"/>
      <c r="L495" s="9"/>
      <c r="M495" s="8"/>
      <c r="N495" s="11"/>
      <c r="O495" s="8"/>
      <c r="P495" s="9"/>
      <c r="Q495" s="8"/>
      <c r="R495" s="9"/>
      <c r="S495" s="8"/>
      <c r="T495" s="8"/>
      <c r="U495" s="8"/>
      <c r="V495" s="11"/>
      <c r="W495" s="8"/>
      <c r="X495" s="8"/>
      <c r="Y495" s="9"/>
      <c r="Z495" s="8"/>
      <c r="AA495" s="8"/>
      <c r="AB495" s="8"/>
      <c r="AC495" s="11"/>
      <c r="AD495" s="8"/>
      <c r="AE495" s="9"/>
      <c r="AF495" s="8"/>
      <c r="AG495" s="9"/>
      <c r="AH495" s="8"/>
      <c r="AI495" s="8"/>
      <c r="AJ495" s="8"/>
      <c r="AK495" s="11"/>
      <c r="AL495" s="8"/>
      <c r="AM495" s="8"/>
      <c r="AN495" s="9"/>
      <c r="AO495" s="8"/>
      <c r="AP495" s="8"/>
      <c r="AQ495" s="8"/>
    </row>
    <row r="496" spans="1:43" x14ac:dyDescent="0.15">
      <c r="A496" s="8"/>
      <c r="B496" s="8"/>
      <c r="C496" s="8"/>
      <c r="D496" s="8"/>
      <c r="E496" s="9"/>
      <c r="F496" s="8"/>
      <c r="G496" s="10"/>
      <c r="H496" s="11"/>
      <c r="I496" s="8"/>
      <c r="J496" s="9"/>
      <c r="K496" s="8"/>
      <c r="L496" s="9"/>
      <c r="M496" s="8"/>
      <c r="N496" s="11"/>
      <c r="O496" s="8"/>
      <c r="P496" s="9"/>
      <c r="Q496" s="8"/>
      <c r="R496" s="9"/>
      <c r="S496" s="8"/>
      <c r="T496" s="8"/>
      <c r="U496" s="8"/>
      <c r="V496" s="11"/>
      <c r="W496" s="8"/>
      <c r="X496" s="8"/>
      <c r="Y496" s="9"/>
      <c r="Z496" s="8"/>
      <c r="AA496" s="8"/>
      <c r="AB496" s="8"/>
      <c r="AC496" s="11"/>
      <c r="AD496" s="8"/>
      <c r="AE496" s="9"/>
      <c r="AF496" s="8"/>
      <c r="AG496" s="9"/>
      <c r="AH496" s="8"/>
      <c r="AI496" s="8"/>
      <c r="AJ496" s="8"/>
      <c r="AK496" s="11"/>
      <c r="AL496" s="8"/>
      <c r="AM496" s="8"/>
      <c r="AN496" s="9"/>
      <c r="AO496" s="8"/>
      <c r="AP496" s="8"/>
      <c r="AQ496" s="8"/>
    </row>
    <row r="497" spans="1:43" x14ac:dyDescent="0.15">
      <c r="A497" s="8"/>
      <c r="B497" s="8"/>
      <c r="C497" s="8"/>
      <c r="D497" s="8"/>
      <c r="E497" s="9"/>
      <c r="F497" s="8"/>
      <c r="G497" s="10"/>
      <c r="H497" s="11"/>
      <c r="I497" s="8"/>
      <c r="J497" s="9"/>
      <c r="K497" s="8"/>
      <c r="L497" s="9"/>
      <c r="M497" s="8"/>
      <c r="N497" s="11"/>
      <c r="O497" s="8"/>
      <c r="P497" s="9"/>
      <c r="Q497" s="8"/>
      <c r="R497" s="9"/>
      <c r="S497" s="8"/>
      <c r="T497" s="8"/>
      <c r="U497" s="8"/>
      <c r="V497" s="11"/>
      <c r="W497" s="8"/>
      <c r="X497" s="8"/>
      <c r="Y497" s="9"/>
      <c r="Z497" s="8"/>
      <c r="AA497" s="8"/>
      <c r="AB497" s="8"/>
      <c r="AC497" s="11"/>
      <c r="AD497" s="8"/>
      <c r="AE497" s="9"/>
      <c r="AF497" s="8"/>
      <c r="AG497" s="9"/>
      <c r="AH497" s="8"/>
      <c r="AI497" s="8"/>
      <c r="AJ497" s="8"/>
      <c r="AK497" s="11"/>
      <c r="AL497" s="8"/>
      <c r="AM497" s="8"/>
      <c r="AN497" s="9"/>
      <c r="AO497" s="8"/>
      <c r="AP497" s="8"/>
      <c r="AQ497" s="8"/>
    </row>
    <row r="498" spans="1:43" x14ac:dyDescent="0.15">
      <c r="A498" s="8"/>
      <c r="B498" s="8"/>
      <c r="C498" s="8"/>
      <c r="D498" s="8"/>
      <c r="E498" s="9"/>
      <c r="F498" s="8"/>
      <c r="G498" s="10"/>
      <c r="H498" s="11"/>
      <c r="I498" s="8"/>
      <c r="J498" s="9"/>
      <c r="K498" s="8"/>
      <c r="L498" s="9"/>
      <c r="M498" s="8"/>
      <c r="N498" s="11"/>
      <c r="O498" s="8"/>
      <c r="P498" s="9"/>
      <c r="Q498" s="8"/>
      <c r="R498" s="9"/>
      <c r="S498" s="8"/>
      <c r="T498" s="8"/>
      <c r="U498" s="8"/>
      <c r="V498" s="11"/>
      <c r="W498" s="8"/>
      <c r="X498" s="8"/>
      <c r="Y498" s="9"/>
      <c r="Z498" s="8"/>
      <c r="AA498" s="8"/>
      <c r="AB498" s="8"/>
      <c r="AC498" s="11"/>
      <c r="AD498" s="8"/>
      <c r="AE498" s="9"/>
      <c r="AF498" s="8"/>
      <c r="AG498" s="9"/>
      <c r="AH498" s="8"/>
      <c r="AI498" s="8"/>
      <c r="AJ498" s="8"/>
      <c r="AK498" s="11"/>
      <c r="AL498" s="8"/>
      <c r="AM498" s="8"/>
      <c r="AN498" s="9"/>
      <c r="AO498" s="8"/>
      <c r="AP498" s="8"/>
      <c r="AQ498" s="8"/>
    </row>
    <row r="499" spans="1:43" x14ac:dyDescent="0.15">
      <c r="A499" s="8"/>
      <c r="B499" s="8"/>
      <c r="C499" s="8"/>
      <c r="D499" s="8"/>
      <c r="E499" s="9"/>
      <c r="F499" s="8"/>
      <c r="G499" s="10"/>
      <c r="H499" s="11"/>
      <c r="I499" s="8"/>
      <c r="J499" s="9"/>
      <c r="K499" s="8"/>
      <c r="L499" s="9"/>
      <c r="M499" s="8"/>
      <c r="N499" s="11"/>
      <c r="O499" s="8"/>
      <c r="P499" s="9"/>
      <c r="Q499" s="8"/>
      <c r="R499" s="9"/>
      <c r="S499" s="8"/>
      <c r="T499" s="8"/>
      <c r="U499" s="8"/>
      <c r="V499" s="11"/>
      <c r="W499" s="8"/>
      <c r="X499" s="8"/>
      <c r="Y499" s="9"/>
      <c r="Z499" s="8"/>
      <c r="AA499" s="8"/>
      <c r="AB499" s="8"/>
      <c r="AC499" s="11"/>
      <c r="AD499" s="8"/>
      <c r="AE499" s="9"/>
      <c r="AF499" s="8"/>
      <c r="AG499" s="9"/>
      <c r="AH499" s="8"/>
      <c r="AI499" s="8"/>
      <c r="AJ499" s="8"/>
      <c r="AK499" s="11"/>
      <c r="AL499" s="8"/>
      <c r="AM499" s="8"/>
      <c r="AN499" s="9"/>
      <c r="AO499" s="8"/>
      <c r="AP499" s="8"/>
      <c r="AQ499" s="8"/>
    </row>
    <row r="500" spans="1:43" x14ac:dyDescent="0.15">
      <c r="A500" s="8"/>
      <c r="B500" s="8"/>
      <c r="C500" s="8"/>
      <c r="D500" s="8"/>
      <c r="E500" s="9"/>
      <c r="F500" s="8"/>
      <c r="G500" s="10"/>
      <c r="H500" s="11"/>
      <c r="I500" s="8"/>
      <c r="J500" s="9"/>
      <c r="K500" s="8"/>
      <c r="L500" s="9"/>
      <c r="M500" s="8"/>
      <c r="N500" s="11"/>
      <c r="O500" s="8"/>
      <c r="P500" s="9"/>
      <c r="Q500" s="8"/>
      <c r="R500" s="9"/>
      <c r="S500" s="8"/>
      <c r="T500" s="8"/>
      <c r="U500" s="8"/>
      <c r="V500" s="11"/>
      <c r="W500" s="8"/>
      <c r="X500" s="8"/>
      <c r="Y500" s="9"/>
      <c r="Z500" s="8"/>
      <c r="AA500" s="8"/>
      <c r="AB500" s="8"/>
      <c r="AC500" s="11"/>
      <c r="AD500" s="8"/>
      <c r="AE500" s="9"/>
      <c r="AF500" s="8"/>
      <c r="AG500" s="9"/>
      <c r="AH500" s="8"/>
      <c r="AI500" s="8"/>
      <c r="AJ500" s="8"/>
      <c r="AK500" s="11"/>
      <c r="AL500" s="8"/>
      <c r="AM500" s="8"/>
      <c r="AN500" s="9"/>
      <c r="AO500" s="8"/>
      <c r="AP500" s="8"/>
      <c r="AQ500" s="8"/>
    </row>
    <row r="501" spans="1:43" x14ac:dyDescent="0.15">
      <c r="A501" s="8"/>
      <c r="B501" s="8"/>
      <c r="C501" s="8"/>
      <c r="D501" s="8"/>
      <c r="E501" s="9"/>
      <c r="F501" s="8"/>
      <c r="G501" s="10"/>
      <c r="H501" s="11"/>
      <c r="I501" s="8"/>
      <c r="J501" s="9"/>
      <c r="K501" s="8"/>
      <c r="L501" s="9"/>
      <c r="M501" s="8"/>
      <c r="N501" s="11"/>
      <c r="O501" s="8"/>
      <c r="P501" s="9"/>
      <c r="Q501" s="8"/>
      <c r="R501" s="9"/>
      <c r="S501" s="8"/>
      <c r="T501" s="8"/>
      <c r="U501" s="8"/>
      <c r="V501" s="11"/>
      <c r="W501" s="8"/>
      <c r="X501" s="8"/>
      <c r="Y501" s="9"/>
      <c r="Z501" s="8"/>
      <c r="AA501" s="8"/>
      <c r="AB501" s="8"/>
      <c r="AC501" s="11"/>
      <c r="AD501" s="8"/>
      <c r="AE501" s="9"/>
      <c r="AF501" s="8"/>
      <c r="AG501" s="9"/>
      <c r="AH501" s="8"/>
      <c r="AI501" s="8"/>
      <c r="AJ501" s="8"/>
      <c r="AK501" s="11"/>
      <c r="AL501" s="8"/>
      <c r="AM501" s="8"/>
      <c r="AN501" s="9"/>
      <c r="AO501" s="8"/>
      <c r="AP501" s="8"/>
      <c r="AQ501" s="8"/>
    </row>
    <row r="502" spans="1:43" x14ac:dyDescent="0.15">
      <c r="A502" s="8"/>
      <c r="B502" s="8"/>
      <c r="C502" s="8"/>
      <c r="D502" s="8"/>
      <c r="E502" s="9"/>
      <c r="F502" s="8"/>
      <c r="G502" s="10"/>
      <c r="H502" s="11"/>
      <c r="I502" s="8"/>
      <c r="J502" s="9"/>
      <c r="K502" s="8"/>
      <c r="L502" s="9"/>
      <c r="M502" s="8"/>
      <c r="N502" s="11"/>
      <c r="O502" s="8"/>
      <c r="P502" s="9"/>
      <c r="Q502" s="8"/>
      <c r="R502" s="9"/>
      <c r="S502" s="8"/>
      <c r="T502" s="8"/>
      <c r="U502" s="8"/>
      <c r="V502" s="11"/>
      <c r="W502" s="8"/>
      <c r="X502" s="8"/>
      <c r="Y502" s="9"/>
      <c r="Z502" s="8"/>
      <c r="AA502" s="8"/>
      <c r="AB502" s="8"/>
      <c r="AC502" s="11"/>
      <c r="AD502" s="8"/>
      <c r="AE502" s="9"/>
      <c r="AF502" s="8"/>
      <c r="AG502" s="9"/>
      <c r="AH502" s="8"/>
      <c r="AI502" s="8"/>
      <c r="AJ502" s="8"/>
      <c r="AK502" s="11"/>
      <c r="AL502" s="8"/>
      <c r="AM502" s="8"/>
      <c r="AN502" s="9"/>
      <c r="AO502" s="8"/>
      <c r="AP502" s="8"/>
      <c r="AQ502" s="8"/>
    </row>
    <row r="503" spans="1:43" x14ac:dyDescent="0.15">
      <c r="A503" s="8"/>
      <c r="B503" s="8"/>
      <c r="C503" s="8"/>
      <c r="D503" s="8"/>
      <c r="E503" s="9"/>
      <c r="F503" s="8"/>
      <c r="G503" s="10"/>
      <c r="H503" s="11"/>
      <c r="I503" s="8"/>
      <c r="J503" s="9"/>
      <c r="K503" s="8"/>
      <c r="L503" s="9"/>
      <c r="M503" s="8"/>
      <c r="N503" s="11"/>
      <c r="O503" s="8"/>
      <c r="P503" s="9"/>
      <c r="Q503" s="8"/>
      <c r="R503" s="9"/>
      <c r="S503" s="8"/>
      <c r="T503" s="8"/>
      <c r="U503" s="8"/>
      <c r="V503" s="11"/>
      <c r="W503" s="8"/>
      <c r="X503" s="8"/>
      <c r="Y503" s="9"/>
      <c r="Z503" s="8"/>
      <c r="AA503" s="8"/>
      <c r="AB503" s="8"/>
      <c r="AC503" s="11"/>
      <c r="AD503" s="8"/>
      <c r="AE503" s="9"/>
      <c r="AF503" s="8"/>
      <c r="AG503" s="9"/>
      <c r="AH503" s="8"/>
      <c r="AI503" s="8"/>
      <c r="AJ503" s="8"/>
      <c r="AK503" s="11"/>
      <c r="AL503" s="8"/>
      <c r="AM503" s="8"/>
      <c r="AN503" s="9"/>
      <c r="AO503" s="8"/>
      <c r="AP503" s="8"/>
      <c r="AQ503" s="8"/>
    </row>
    <row r="504" spans="1:43" x14ac:dyDescent="0.15">
      <c r="A504" s="8"/>
      <c r="B504" s="8"/>
      <c r="C504" s="8"/>
      <c r="D504" s="8"/>
      <c r="E504" s="9"/>
      <c r="F504" s="8"/>
      <c r="G504" s="10"/>
      <c r="H504" s="11"/>
      <c r="I504" s="8"/>
      <c r="J504" s="9"/>
      <c r="K504" s="8"/>
      <c r="L504" s="9"/>
      <c r="M504" s="8"/>
      <c r="N504" s="11"/>
      <c r="O504" s="8"/>
      <c r="P504" s="9"/>
      <c r="Q504" s="8"/>
      <c r="R504" s="9"/>
      <c r="S504" s="8"/>
      <c r="T504" s="8"/>
      <c r="U504" s="8"/>
      <c r="V504" s="11"/>
      <c r="W504" s="8"/>
      <c r="X504" s="8"/>
      <c r="Y504" s="9"/>
      <c r="Z504" s="8"/>
      <c r="AA504" s="8"/>
      <c r="AB504" s="8"/>
      <c r="AC504" s="11"/>
      <c r="AD504" s="8"/>
      <c r="AE504" s="9"/>
      <c r="AF504" s="8"/>
      <c r="AG504" s="9"/>
      <c r="AH504" s="8"/>
      <c r="AI504" s="8"/>
      <c r="AJ504" s="8"/>
      <c r="AK504" s="11"/>
      <c r="AL504" s="8"/>
      <c r="AM504" s="8"/>
      <c r="AN504" s="9"/>
      <c r="AO504" s="8"/>
      <c r="AP504" s="8"/>
      <c r="AQ504" s="8"/>
    </row>
    <row r="505" spans="1:43" x14ac:dyDescent="0.15">
      <c r="A505" s="8"/>
      <c r="B505" s="8"/>
      <c r="C505" s="8"/>
      <c r="D505" s="8"/>
      <c r="E505" s="9"/>
      <c r="F505" s="8"/>
      <c r="G505" s="10"/>
      <c r="H505" s="11"/>
      <c r="I505" s="8"/>
      <c r="J505" s="9"/>
      <c r="K505" s="8"/>
      <c r="L505" s="9"/>
      <c r="M505" s="8"/>
      <c r="N505" s="11"/>
      <c r="O505" s="8"/>
      <c r="P505" s="9"/>
      <c r="Q505" s="8"/>
      <c r="R505" s="9"/>
      <c r="S505" s="8"/>
      <c r="T505" s="8"/>
      <c r="U505" s="8"/>
      <c r="V505" s="11"/>
      <c r="W505" s="8"/>
      <c r="X505" s="8"/>
      <c r="Y505" s="9"/>
      <c r="Z505" s="8"/>
      <c r="AA505" s="8"/>
      <c r="AB505" s="8"/>
      <c r="AC505" s="11"/>
      <c r="AD505" s="8"/>
      <c r="AE505" s="9"/>
      <c r="AF505" s="8"/>
      <c r="AG505" s="9"/>
      <c r="AH505" s="8"/>
      <c r="AI505" s="8"/>
      <c r="AJ505" s="8"/>
      <c r="AK505" s="11"/>
      <c r="AL505" s="8"/>
      <c r="AM505" s="8"/>
      <c r="AN505" s="9"/>
      <c r="AO505" s="8"/>
      <c r="AP505" s="8"/>
      <c r="AQ505" s="8"/>
    </row>
    <row r="506" spans="1:43" x14ac:dyDescent="0.15">
      <c r="A506" s="8"/>
      <c r="B506" s="8"/>
      <c r="C506" s="8"/>
      <c r="D506" s="8"/>
      <c r="E506" s="9"/>
      <c r="F506" s="8"/>
      <c r="G506" s="10"/>
      <c r="H506" s="11"/>
      <c r="I506" s="8"/>
      <c r="J506" s="9"/>
      <c r="K506" s="8"/>
      <c r="L506" s="9"/>
      <c r="M506" s="8"/>
      <c r="N506" s="11"/>
      <c r="O506" s="8"/>
      <c r="P506" s="9"/>
      <c r="Q506" s="8"/>
      <c r="R506" s="9"/>
      <c r="S506" s="8"/>
      <c r="T506" s="8"/>
      <c r="U506" s="8"/>
      <c r="V506" s="11"/>
      <c r="W506" s="8"/>
      <c r="X506" s="8"/>
      <c r="Y506" s="9"/>
      <c r="Z506" s="8"/>
      <c r="AA506" s="8"/>
      <c r="AB506" s="8"/>
      <c r="AC506" s="11"/>
      <c r="AD506" s="8"/>
      <c r="AE506" s="9"/>
      <c r="AF506" s="8"/>
      <c r="AG506" s="9"/>
      <c r="AH506" s="8"/>
      <c r="AI506" s="8"/>
      <c r="AJ506" s="8"/>
      <c r="AK506" s="11"/>
      <c r="AL506" s="8"/>
      <c r="AM506" s="8"/>
      <c r="AN506" s="9"/>
      <c r="AO506" s="8"/>
      <c r="AP506" s="8"/>
      <c r="AQ506" s="8"/>
    </row>
    <row r="507" spans="1:43" x14ac:dyDescent="0.15">
      <c r="A507" s="8"/>
      <c r="B507" s="8"/>
      <c r="C507" s="8"/>
      <c r="D507" s="8"/>
      <c r="E507" s="9"/>
      <c r="F507" s="8"/>
      <c r="G507" s="10"/>
      <c r="H507" s="11"/>
      <c r="I507" s="8"/>
      <c r="J507" s="9"/>
      <c r="K507" s="8"/>
      <c r="L507" s="9"/>
      <c r="M507" s="8"/>
      <c r="N507" s="11"/>
      <c r="O507" s="8"/>
      <c r="P507" s="9"/>
      <c r="Q507" s="8"/>
      <c r="R507" s="9"/>
      <c r="S507" s="8"/>
      <c r="T507" s="8"/>
      <c r="U507" s="8"/>
      <c r="V507" s="11"/>
      <c r="W507" s="8"/>
      <c r="X507" s="8"/>
      <c r="Y507" s="9"/>
      <c r="Z507" s="8"/>
      <c r="AA507" s="8"/>
      <c r="AB507" s="8"/>
      <c r="AC507" s="11"/>
      <c r="AD507" s="8"/>
      <c r="AE507" s="9"/>
      <c r="AF507" s="8"/>
      <c r="AG507" s="9"/>
      <c r="AH507" s="8"/>
      <c r="AI507" s="8"/>
      <c r="AJ507" s="8"/>
      <c r="AK507" s="11"/>
      <c r="AL507" s="8"/>
      <c r="AM507" s="8"/>
      <c r="AN507" s="9"/>
      <c r="AO507" s="8"/>
      <c r="AP507" s="8"/>
      <c r="AQ507" s="8"/>
    </row>
    <row r="508" spans="1:43" x14ac:dyDescent="0.15">
      <c r="A508" s="8"/>
      <c r="B508" s="8"/>
      <c r="C508" s="8"/>
      <c r="D508" s="8"/>
      <c r="E508" s="9"/>
      <c r="F508" s="8"/>
      <c r="G508" s="10"/>
      <c r="H508" s="11"/>
      <c r="I508" s="8"/>
      <c r="J508" s="9"/>
      <c r="K508" s="8"/>
      <c r="L508" s="9"/>
      <c r="M508" s="8"/>
      <c r="N508" s="11"/>
      <c r="O508" s="8"/>
      <c r="P508" s="9"/>
      <c r="Q508" s="8"/>
      <c r="R508" s="9"/>
      <c r="S508" s="8"/>
      <c r="T508" s="8"/>
      <c r="U508" s="8"/>
      <c r="V508" s="11"/>
      <c r="W508" s="8"/>
      <c r="X508" s="8"/>
      <c r="Y508" s="9"/>
      <c r="Z508" s="8"/>
      <c r="AA508" s="8"/>
      <c r="AB508" s="8"/>
      <c r="AC508" s="11"/>
      <c r="AD508" s="8"/>
      <c r="AE508" s="9"/>
      <c r="AF508" s="8"/>
      <c r="AG508" s="9"/>
      <c r="AH508" s="8"/>
      <c r="AI508" s="8"/>
      <c r="AJ508" s="8"/>
      <c r="AK508" s="11"/>
      <c r="AL508" s="8"/>
      <c r="AM508" s="8"/>
      <c r="AN508" s="9"/>
      <c r="AO508" s="8"/>
      <c r="AP508" s="8"/>
      <c r="AQ508" s="8"/>
    </row>
    <row r="509" spans="1:43" x14ac:dyDescent="0.15">
      <c r="A509" s="8"/>
      <c r="B509" s="8"/>
      <c r="C509" s="8"/>
      <c r="D509" s="8"/>
      <c r="E509" s="9"/>
      <c r="F509" s="8"/>
      <c r="G509" s="10"/>
      <c r="H509" s="11"/>
      <c r="I509" s="8"/>
      <c r="J509" s="9"/>
      <c r="K509" s="8"/>
      <c r="L509" s="9"/>
      <c r="M509" s="8"/>
      <c r="N509" s="11"/>
      <c r="O509" s="8"/>
      <c r="P509" s="9"/>
      <c r="Q509" s="8"/>
      <c r="R509" s="9"/>
      <c r="S509" s="8"/>
      <c r="T509" s="8"/>
      <c r="U509" s="8"/>
      <c r="V509" s="11"/>
      <c r="W509" s="8"/>
      <c r="X509" s="8"/>
      <c r="Y509" s="9"/>
      <c r="Z509" s="8"/>
      <c r="AA509" s="8"/>
      <c r="AB509" s="8"/>
      <c r="AC509" s="11"/>
      <c r="AD509" s="8"/>
      <c r="AE509" s="9"/>
      <c r="AF509" s="8"/>
      <c r="AG509" s="9"/>
      <c r="AH509" s="8"/>
      <c r="AI509" s="8"/>
      <c r="AJ509" s="8"/>
      <c r="AK509" s="11"/>
      <c r="AL509" s="8"/>
      <c r="AM509" s="8"/>
      <c r="AN509" s="9"/>
      <c r="AO509" s="8"/>
      <c r="AP509" s="8"/>
      <c r="AQ509" s="8"/>
    </row>
    <row r="510" spans="1:43" x14ac:dyDescent="0.15">
      <c r="A510" s="8"/>
      <c r="B510" s="8"/>
      <c r="C510" s="8"/>
      <c r="D510" s="8"/>
      <c r="E510" s="9"/>
      <c r="F510" s="8"/>
      <c r="G510" s="10"/>
      <c r="H510" s="11"/>
      <c r="I510" s="8"/>
      <c r="J510" s="9"/>
      <c r="K510" s="8"/>
      <c r="L510" s="9"/>
      <c r="M510" s="8"/>
      <c r="N510" s="11"/>
      <c r="O510" s="8"/>
      <c r="P510" s="9"/>
      <c r="Q510" s="8"/>
      <c r="R510" s="9"/>
      <c r="S510" s="8"/>
      <c r="T510" s="8"/>
      <c r="U510" s="8"/>
      <c r="V510" s="11"/>
      <c r="W510" s="8"/>
      <c r="X510" s="8"/>
      <c r="Y510" s="9"/>
      <c r="Z510" s="8"/>
      <c r="AA510" s="8"/>
      <c r="AB510" s="8"/>
      <c r="AC510" s="11"/>
      <c r="AD510" s="8"/>
      <c r="AE510" s="9"/>
      <c r="AF510" s="8"/>
      <c r="AG510" s="9"/>
      <c r="AH510" s="8"/>
      <c r="AI510" s="8"/>
      <c r="AJ510" s="8"/>
      <c r="AK510" s="11"/>
      <c r="AL510" s="8"/>
      <c r="AM510" s="8"/>
      <c r="AN510" s="9"/>
      <c r="AO510" s="8"/>
      <c r="AP510" s="8"/>
      <c r="AQ510" s="8"/>
    </row>
    <row r="511" spans="1:43" x14ac:dyDescent="0.15">
      <c r="A511" s="8"/>
      <c r="B511" s="8"/>
      <c r="C511" s="8"/>
      <c r="D511" s="8"/>
      <c r="E511" s="9"/>
      <c r="F511" s="8"/>
      <c r="G511" s="10"/>
      <c r="H511" s="11"/>
      <c r="I511" s="8"/>
      <c r="J511" s="9"/>
      <c r="K511" s="8"/>
      <c r="L511" s="9"/>
      <c r="M511" s="8"/>
      <c r="N511" s="11"/>
      <c r="O511" s="8"/>
      <c r="P511" s="9"/>
      <c r="Q511" s="8"/>
      <c r="R511" s="9"/>
      <c r="S511" s="8"/>
      <c r="T511" s="8"/>
      <c r="U511" s="8"/>
      <c r="V511" s="11"/>
      <c r="W511" s="8"/>
      <c r="X511" s="8"/>
      <c r="Y511" s="9"/>
      <c r="Z511" s="8"/>
      <c r="AA511" s="8"/>
      <c r="AB511" s="8"/>
      <c r="AC511" s="11"/>
      <c r="AD511" s="8"/>
      <c r="AE511" s="9"/>
      <c r="AF511" s="8"/>
      <c r="AG511" s="9"/>
      <c r="AH511" s="8"/>
      <c r="AI511" s="8"/>
      <c r="AJ511" s="8"/>
      <c r="AK511" s="11"/>
      <c r="AL511" s="8"/>
      <c r="AM511" s="8"/>
      <c r="AN511" s="9"/>
      <c r="AO511" s="8"/>
      <c r="AP511" s="8"/>
      <c r="AQ511" s="8"/>
    </row>
    <row r="512" spans="1:43" x14ac:dyDescent="0.15">
      <c r="A512" s="8"/>
      <c r="B512" s="8"/>
      <c r="C512" s="8"/>
      <c r="D512" s="8"/>
      <c r="E512" s="9"/>
      <c r="F512" s="8"/>
      <c r="G512" s="10"/>
      <c r="H512" s="11"/>
      <c r="I512" s="8"/>
      <c r="J512" s="9"/>
      <c r="K512" s="8"/>
      <c r="L512" s="9"/>
      <c r="M512" s="8"/>
      <c r="N512" s="11"/>
      <c r="O512" s="8"/>
      <c r="P512" s="9"/>
      <c r="Q512" s="8"/>
      <c r="R512" s="9"/>
      <c r="S512" s="8"/>
      <c r="T512" s="8"/>
      <c r="U512" s="8"/>
      <c r="V512" s="11"/>
      <c r="W512" s="8"/>
      <c r="X512" s="8"/>
      <c r="Y512" s="9"/>
      <c r="Z512" s="8"/>
      <c r="AA512" s="8"/>
      <c r="AB512" s="8"/>
      <c r="AC512" s="11"/>
      <c r="AD512" s="8"/>
      <c r="AE512" s="9"/>
      <c r="AF512" s="8"/>
      <c r="AG512" s="9"/>
      <c r="AH512" s="8"/>
      <c r="AI512" s="8"/>
      <c r="AJ512" s="8"/>
      <c r="AK512" s="11"/>
      <c r="AL512" s="8"/>
      <c r="AM512" s="8"/>
      <c r="AN512" s="9"/>
      <c r="AO512" s="8"/>
      <c r="AP512" s="8"/>
      <c r="AQ512" s="8"/>
    </row>
    <row r="513" spans="1:43" x14ac:dyDescent="0.15">
      <c r="A513" s="8"/>
      <c r="B513" s="8"/>
      <c r="C513" s="8"/>
      <c r="D513" s="8"/>
      <c r="E513" s="9"/>
      <c r="F513" s="8"/>
      <c r="G513" s="10"/>
      <c r="H513" s="11"/>
      <c r="I513" s="8"/>
      <c r="J513" s="9"/>
      <c r="K513" s="8"/>
      <c r="L513" s="9"/>
      <c r="M513" s="8"/>
      <c r="N513" s="11"/>
      <c r="O513" s="8"/>
      <c r="P513" s="9"/>
      <c r="Q513" s="8"/>
      <c r="R513" s="9"/>
      <c r="S513" s="8"/>
      <c r="T513" s="8"/>
      <c r="U513" s="8"/>
      <c r="V513" s="11"/>
      <c r="W513" s="8"/>
      <c r="X513" s="8"/>
      <c r="Y513" s="9"/>
      <c r="Z513" s="8"/>
      <c r="AA513" s="8"/>
      <c r="AB513" s="8"/>
      <c r="AC513" s="11"/>
      <c r="AD513" s="8"/>
      <c r="AE513" s="9"/>
      <c r="AF513" s="8"/>
      <c r="AG513" s="9"/>
      <c r="AH513" s="8"/>
      <c r="AI513" s="8"/>
      <c r="AJ513" s="8"/>
      <c r="AK513" s="11"/>
      <c r="AL513" s="8"/>
      <c r="AM513" s="8"/>
      <c r="AN513" s="9"/>
      <c r="AO513" s="8"/>
      <c r="AP513" s="8"/>
      <c r="AQ513" s="8"/>
    </row>
    <row r="514" spans="1:43" x14ac:dyDescent="0.15">
      <c r="A514" s="8"/>
      <c r="B514" s="8"/>
      <c r="C514" s="8"/>
      <c r="D514" s="8"/>
      <c r="E514" s="9"/>
      <c r="F514" s="8"/>
      <c r="G514" s="10"/>
      <c r="H514" s="11"/>
      <c r="I514" s="8"/>
      <c r="J514" s="9"/>
      <c r="K514" s="8"/>
      <c r="L514" s="9"/>
      <c r="M514" s="8"/>
      <c r="N514" s="11"/>
      <c r="O514" s="8"/>
      <c r="P514" s="9"/>
      <c r="Q514" s="8"/>
      <c r="R514" s="9"/>
      <c r="S514" s="8"/>
      <c r="T514" s="8"/>
      <c r="U514" s="8"/>
      <c r="V514" s="11"/>
      <c r="W514" s="8"/>
      <c r="X514" s="8"/>
      <c r="Y514" s="9"/>
      <c r="Z514" s="8"/>
      <c r="AA514" s="8"/>
      <c r="AB514" s="8"/>
      <c r="AC514" s="11"/>
      <c r="AD514" s="8"/>
      <c r="AE514" s="9"/>
      <c r="AF514" s="8"/>
      <c r="AG514" s="9"/>
      <c r="AH514" s="8"/>
      <c r="AI514" s="8"/>
      <c r="AJ514" s="8"/>
      <c r="AK514" s="11"/>
      <c r="AL514" s="8"/>
      <c r="AM514" s="8"/>
      <c r="AN514" s="9"/>
      <c r="AO514" s="8"/>
      <c r="AP514" s="8"/>
      <c r="AQ514" s="8"/>
    </row>
    <row r="515" spans="1:43" x14ac:dyDescent="0.15">
      <c r="A515" s="8"/>
      <c r="B515" s="8"/>
      <c r="C515" s="8"/>
      <c r="D515" s="8"/>
      <c r="E515" s="9"/>
      <c r="F515" s="8"/>
      <c r="G515" s="10"/>
      <c r="H515" s="11"/>
      <c r="I515" s="8"/>
      <c r="J515" s="9"/>
      <c r="K515" s="8"/>
      <c r="L515" s="9"/>
      <c r="M515" s="8"/>
      <c r="N515" s="11"/>
      <c r="O515" s="8"/>
      <c r="P515" s="9"/>
      <c r="Q515" s="8"/>
      <c r="R515" s="9"/>
      <c r="S515" s="8"/>
      <c r="T515" s="8"/>
      <c r="U515" s="8"/>
      <c r="V515" s="11"/>
      <c r="W515" s="8"/>
      <c r="X515" s="8"/>
      <c r="Y515" s="9"/>
      <c r="Z515" s="8"/>
      <c r="AA515" s="8"/>
      <c r="AB515" s="8"/>
      <c r="AC515" s="11"/>
      <c r="AD515" s="8"/>
      <c r="AE515" s="9"/>
      <c r="AF515" s="8"/>
      <c r="AG515" s="9"/>
      <c r="AH515" s="8"/>
      <c r="AI515" s="8"/>
      <c r="AJ515" s="8"/>
      <c r="AK515" s="11"/>
      <c r="AL515" s="8"/>
      <c r="AM515" s="8"/>
      <c r="AN515" s="9"/>
      <c r="AO515" s="8"/>
      <c r="AP515" s="8"/>
      <c r="AQ515" s="8"/>
    </row>
    <row r="516" spans="1:43" x14ac:dyDescent="0.15">
      <c r="A516" s="8"/>
      <c r="B516" s="8"/>
      <c r="C516" s="8"/>
      <c r="D516" s="8"/>
      <c r="E516" s="9"/>
      <c r="F516" s="8"/>
      <c r="G516" s="10"/>
      <c r="H516" s="11"/>
      <c r="I516" s="8"/>
      <c r="J516" s="9"/>
      <c r="K516" s="8"/>
      <c r="L516" s="9"/>
      <c r="M516" s="8"/>
      <c r="N516" s="11"/>
      <c r="O516" s="8"/>
      <c r="P516" s="9"/>
      <c r="Q516" s="8"/>
      <c r="R516" s="9"/>
      <c r="S516" s="8"/>
      <c r="T516" s="8"/>
      <c r="U516" s="8"/>
      <c r="V516" s="11"/>
      <c r="W516" s="8"/>
      <c r="X516" s="8"/>
      <c r="Y516" s="9"/>
      <c r="Z516" s="8"/>
      <c r="AA516" s="8"/>
      <c r="AB516" s="8"/>
      <c r="AC516" s="11"/>
      <c r="AD516" s="8"/>
      <c r="AE516" s="9"/>
      <c r="AF516" s="8"/>
      <c r="AG516" s="9"/>
      <c r="AH516" s="8"/>
      <c r="AI516" s="8"/>
      <c r="AJ516" s="8"/>
      <c r="AK516" s="11"/>
      <c r="AL516" s="8"/>
      <c r="AM516" s="8"/>
      <c r="AN516" s="9"/>
      <c r="AO516" s="8"/>
      <c r="AP516" s="8"/>
      <c r="AQ516" s="8"/>
    </row>
    <row r="517" spans="1:43" x14ac:dyDescent="0.15">
      <c r="A517" s="8"/>
      <c r="B517" s="8"/>
      <c r="C517" s="8"/>
      <c r="D517" s="8"/>
      <c r="E517" s="9"/>
      <c r="F517" s="8"/>
      <c r="G517" s="10"/>
      <c r="H517" s="11"/>
      <c r="I517" s="8"/>
      <c r="J517" s="9"/>
      <c r="K517" s="8"/>
      <c r="L517" s="9"/>
      <c r="M517" s="8"/>
      <c r="N517" s="11"/>
      <c r="O517" s="8"/>
      <c r="P517" s="9"/>
      <c r="Q517" s="8"/>
      <c r="R517" s="9"/>
      <c r="S517" s="8"/>
      <c r="T517" s="8"/>
      <c r="U517" s="8"/>
      <c r="V517" s="11"/>
      <c r="W517" s="8"/>
      <c r="X517" s="8"/>
      <c r="Y517" s="9"/>
      <c r="Z517" s="8"/>
      <c r="AA517" s="8"/>
      <c r="AB517" s="8"/>
      <c r="AC517" s="11"/>
      <c r="AD517" s="8"/>
      <c r="AE517" s="9"/>
      <c r="AF517" s="8"/>
      <c r="AG517" s="9"/>
      <c r="AH517" s="8"/>
      <c r="AI517" s="8"/>
      <c r="AJ517" s="8"/>
      <c r="AK517" s="11"/>
      <c r="AL517" s="8"/>
      <c r="AM517" s="8"/>
      <c r="AN517" s="9"/>
      <c r="AO517" s="8"/>
      <c r="AP517" s="8"/>
      <c r="AQ517" s="8"/>
    </row>
    <row r="518" spans="1:43" x14ac:dyDescent="0.15">
      <c r="A518" s="8"/>
      <c r="B518" s="8"/>
      <c r="C518" s="8"/>
      <c r="D518" s="8"/>
      <c r="E518" s="9"/>
      <c r="F518" s="8"/>
      <c r="G518" s="10"/>
      <c r="H518" s="11"/>
      <c r="I518" s="8"/>
      <c r="J518" s="9"/>
      <c r="K518" s="8"/>
      <c r="L518" s="9"/>
      <c r="M518" s="8"/>
      <c r="N518" s="11"/>
      <c r="O518" s="8"/>
      <c r="P518" s="9"/>
      <c r="Q518" s="8"/>
      <c r="R518" s="9"/>
      <c r="S518" s="8"/>
      <c r="T518" s="8"/>
      <c r="U518" s="8"/>
      <c r="V518" s="11"/>
      <c r="W518" s="8"/>
      <c r="X518" s="8"/>
      <c r="Y518" s="9"/>
      <c r="Z518" s="8"/>
      <c r="AA518" s="8"/>
      <c r="AB518" s="8"/>
      <c r="AC518" s="11"/>
      <c r="AD518" s="8"/>
      <c r="AE518" s="9"/>
      <c r="AF518" s="8"/>
      <c r="AG518" s="9"/>
      <c r="AH518" s="8"/>
      <c r="AI518" s="8"/>
      <c r="AJ518" s="8"/>
      <c r="AK518" s="11"/>
      <c r="AL518" s="8"/>
      <c r="AM518" s="8"/>
      <c r="AN518" s="9"/>
      <c r="AO518" s="8"/>
      <c r="AP518" s="8"/>
      <c r="AQ518" s="8"/>
    </row>
    <row r="519" spans="1:43" x14ac:dyDescent="0.15">
      <c r="A519" s="8"/>
      <c r="B519" s="8"/>
      <c r="C519" s="8"/>
      <c r="D519" s="8"/>
      <c r="E519" s="8"/>
      <c r="F519" s="8"/>
      <c r="G519" s="10"/>
      <c r="H519" s="11"/>
      <c r="I519" s="8"/>
      <c r="J519" s="9"/>
      <c r="K519" s="8"/>
      <c r="L519" s="9"/>
      <c r="M519" s="8"/>
      <c r="N519" s="11"/>
      <c r="O519" s="8"/>
      <c r="P519" s="9"/>
      <c r="Q519" s="8"/>
      <c r="R519" s="9"/>
      <c r="S519" s="8"/>
      <c r="T519" s="8"/>
      <c r="U519" s="8"/>
      <c r="V519" s="11"/>
      <c r="W519" s="8"/>
      <c r="X519" s="8"/>
      <c r="Y519" s="9"/>
      <c r="Z519" s="8"/>
      <c r="AA519" s="8"/>
      <c r="AB519" s="8"/>
      <c r="AC519" s="11"/>
      <c r="AD519" s="8"/>
      <c r="AE519" s="9"/>
      <c r="AF519" s="8"/>
      <c r="AG519" s="9"/>
      <c r="AH519" s="8"/>
      <c r="AI519" s="8"/>
      <c r="AJ519" s="8"/>
      <c r="AK519" s="11"/>
      <c r="AL519" s="8"/>
      <c r="AM519" s="8"/>
      <c r="AN519" s="9"/>
      <c r="AO519" s="8"/>
      <c r="AP519" s="8"/>
      <c r="AQ519" s="8"/>
    </row>
    <row r="520" spans="1:43" x14ac:dyDescent="0.15">
      <c r="A520" s="8"/>
      <c r="B520" s="8"/>
      <c r="C520" s="8"/>
      <c r="D520" s="8"/>
      <c r="E520" s="8"/>
      <c r="F520" s="8"/>
      <c r="G520" s="10"/>
      <c r="H520" s="11"/>
      <c r="I520" s="8"/>
      <c r="J520" s="9"/>
      <c r="K520" s="8"/>
      <c r="L520" s="9"/>
      <c r="M520" s="8"/>
      <c r="N520" s="11"/>
      <c r="O520" s="8"/>
      <c r="P520" s="9"/>
      <c r="Q520" s="8"/>
      <c r="R520" s="9"/>
      <c r="S520" s="8"/>
      <c r="T520" s="8"/>
      <c r="U520" s="8"/>
      <c r="V520" s="11"/>
      <c r="W520" s="8"/>
      <c r="X520" s="8"/>
      <c r="Y520" s="9"/>
      <c r="Z520" s="8"/>
      <c r="AA520" s="8"/>
      <c r="AB520" s="8"/>
      <c r="AC520" s="11"/>
      <c r="AD520" s="8"/>
      <c r="AE520" s="9"/>
      <c r="AF520" s="8"/>
      <c r="AG520" s="9"/>
      <c r="AH520" s="8"/>
      <c r="AI520" s="8"/>
      <c r="AJ520" s="8"/>
      <c r="AK520" s="11"/>
      <c r="AL520" s="8"/>
      <c r="AM520" s="8"/>
      <c r="AN520" s="9"/>
      <c r="AO520" s="8"/>
      <c r="AP520" s="8"/>
      <c r="AQ520" s="8"/>
    </row>
    <row r="521" spans="1:43" x14ac:dyDescent="0.15">
      <c r="A521" s="8"/>
      <c r="B521" s="8"/>
      <c r="C521" s="8"/>
      <c r="D521" s="8"/>
      <c r="E521" s="8"/>
      <c r="F521" s="8"/>
      <c r="G521" s="10"/>
      <c r="H521" s="11"/>
      <c r="I521" s="8"/>
      <c r="J521" s="9"/>
      <c r="K521" s="8"/>
      <c r="L521" s="9"/>
      <c r="M521" s="8"/>
      <c r="N521" s="11"/>
      <c r="O521" s="8"/>
      <c r="P521" s="9"/>
      <c r="Q521" s="8"/>
      <c r="R521" s="9"/>
      <c r="S521" s="8"/>
      <c r="T521" s="8"/>
      <c r="U521" s="8"/>
      <c r="V521" s="11"/>
      <c r="W521" s="8"/>
      <c r="X521" s="8"/>
      <c r="Y521" s="9"/>
      <c r="Z521" s="8"/>
      <c r="AA521" s="8"/>
      <c r="AB521" s="8"/>
      <c r="AC521" s="11"/>
      <c r="AD521" s="8"/>
      <c r="AE521" s="9"/>
      <c r="AF521" s="8"/>
      <c r="AG521" s="9"/>
      <c r="AH521" s="8"/>
      <c r="AI521" s="8"/>
      <c r="AJ521" s="8"/>
      <c r="AK521" s="11"/>
      <c r="AL521" s="8"/>
      <c r="AM521" s="8"/>
      <c r="AN521" s="9"/>
      <c r="AO521" s="8"/>
      <c r="AP521" s="8"/>
      <c r="AQ521" s="8"/>
    </row>
    <row r="522" spans="1:43" x14ac:dyDescent="0.15">
      <c r="A522" s="8"/>
      <c r="B522" s="8"/>
      <c r="C522" s="8"/>
      <c r="D522" s="8"/>
      <c r="E522" s="8"/>
      <c r="F522" s="8"/>
      <c r="G522" s="10"/>
      <c r="H522" s="11"/>
      <c r="I522" s="8"/>
      <c r="J522" s="9"/>
      <c r="K522" s="8"/>
      <c r="L522" s="9"/>
      <c r="M522" s="8"/>
      <c r="N522" s="11"/>
      <c r="O522" s="8"/>
      <c r="P522" s="9"/>
      <c r="Q522" s="8"/>
      <c r="R522" s="9"/>
      <c r="S522" s="8"/>
      <c r="T522" s="8"/>
      <c r="U522" s="8"/>
      <c r="V522" s="11"/>
      <c r="W522" s="8"/>
      <c r="X522" s="8"/>
      <c r="Y522" s="9"/>
      <c r="Z522" s="8"/>
      <c r="AA522" s="8"/>
      <c r="AB522" s="8"/>
      <c r="AC522" s="11"/>
      <c r="AD522" s="8"/>
      <c r="AE522" s="9"/>
      <c r="AF522" s="8"/>
      <c r="AG522" s="9"/>
      <c r="AH522" s="8"/>
      <c r="AI522" s="8"/>
      <c r="AJ522" s="8"/>
      <c r="AK522" s="11"/>
      <c r="AL522" s="8"/>
      <c r="AM522" s="8"/>
      <c r="AN522" s="9"/>
      <c r="AO522" s="8"/>
      <c r="AP522" s="8"/>
      <c r="AQ522" s="8"/>
    </row>
    <row r="523" spans="1:43" x14ac:dyDescent="0.15">
      <c r="A523" s="8"/>
      <c r="B523" s="8"/>
      <c r="C523" s="8"/>
      <c r="D523" s="8"/>
      <c r="E523" s="8"/>
      <c r="F523" s="8"/>
      <c r="G523" s="10"/>
      <c r="H523" s="11"/>
      <c r="I523" s="8"/>
      <c r="J523" s="9"/>
      <c r="K523" s="8"/>
      <c r="L523" s="9"/>
      <c r="M523" s="8"/>
      <c r="N523" s="11"/>
      <c r="O523" s="8"/>
      <c r="P523" s="9"/>
      <c r="Q523" s="8"/>
      <c r="R523" s="9"/>
      <c r="S523" s="8"/>
      <c r="T523" s="8"/>
      <c r="U523" s="8"/>
      <c r="V523" s="11"/>
      <c r="W523" s="8"/>
      <c r="X523" s="8"/>
      <c r="Y523" s="9"/>
      <c r="Z523" s="8"/>
      <c r="AA523" s="8"/>
      <c r="AB523" s="8"/>
      <c r="AC523" s="11"/>
      <c r="AD523" s="8"/>
      <c r="AE523" s="9"/>
      <c r="AF523" s="8"/>
      <c r="AG523" s="9"/>
      <c r="AH523" s="8"/>
      <c r="AI523" s="8"/>
      <c r="AJ523" s="8"/>
      <c r="AK523" s="11"/>
      <c r="AL523" s="8"/>
      <c r="AM523" s="8"/>
      <c r="AN523" s="9"/>
      <c r="AO523" s="8"/>
      <c r="AP523" s="8"/>
      <c r="AQ523" s="8"/>
    </row>
    <row r="524" spans="1:43" x14ac:dyDescent="0.15">
      <c r="A524" s="8"/>
      <c r="B524" s="8"/>
      <c r="C524" s="8"/>
      <c r="D524" s="8"/>
      <c r="E524" s="8"/>
      <c r="F524" s="8"/>
      <c r="G524" s="10"/>
      <c r="H524" s="11"/>
      <c r="I524" s="8"/>
      <c r="J524" s="9"/>
      <c r="K524" s="8"/>
      <c r="L524" s="9"/>
      <c r="M524" s="8"/>
      <c r="N524" s="11"/>
      <c r="O524" s="8"/>
      <c r="P524" s="9"/>
      <c r="Q524" s="8"/>
      <c r="R524" s="9"/>
      <c r="S524" s="8"/>
      <c r="T524" s="8"/>
      <c r="U524" s="8"/>
      <c r="V524" s="11"/>
      <c r="W524" s="8"/>
      <c r="X524" s="8"/>
      <c r="Y524" s="9"/>
      <c r="Z524" s="8"/>
      <c r="AA524" s="8"/>
      <c r="AB524" s="8"/>
      <c r="AC524" s="11"/>
      <c r="AD524" s="8"/>
      <c r="AE524" s="9"/>
      <c r="AF524" s="8"/>
      <c r="AG524" s="9"/>
      <c r="AH524" s="8"/>
      <c r="AI524" s="8"/>
      <c r="AJ524" s="8"/>
      <c r="AK524" s="11"/>
      <c r="AL524" s="8"/>
      <c r="AM524" s="8"/>
      <c r="AN524" s="9"/>
      <c r="AO524" s="8"/>
      <c r="AP524" s="8"/>
      <c r="AQ524" s="8"/>
    </row>
    <row r="525" spans="1:43" x14ac:dyDescent="0.15">
      <c r="A525" s="8"/>
      <c r="B525" s="8"/>
      <c r="C525" s="8"/>
      <c r="D525" s="8"/>
      <c r="E525" s="8"/>
      <c r="F525" s="8"/>
      <c r="G525" s="10"/>
      <c r="H525" s="11"/>
      <c r="I525" s="8"/>
      <c r="J525" s="9"/>
      <c r="K525" s="8"/>
      <c r="L525" s="9"/>
      <c r="M525" s="8"/>
      <c r="N525" s="11"/>
      <c r="O525" s="8"/>
      <c r="P525" s="9"/>
      <c r="Q525" s="8"/>
      <c r="R525" s="9"/>
      <c r="S525" s="8"/>
      <c r="T525" s="8"/>
      <c r="U525" s="8"/>
      <c r="V525" s="11"/>
      <c r="W525" s="8"/>
      <c r="X525" s="8"/>
      <c r="Y525" s="9"/>
      <c r="Z525" s="8"/>
      <c r="AA525" s="8"/>
      <c r="AB525" s="8"/>
      <c r="AC525" s="11"/>
      <c r="AD525" s="8"/>
      <c r="AE525" s="9"/>
      <c r="AF525" s="8"/>
      <c r="AG525" s="9"/>
      <c r="AH525" s="8"/>
      <c r="AI525" s="8"/>
      <c r="AJ525" s="8"/>
      <c r="AK525" s="11"/>
      <c r="AL525" s="8"/>
      <c r="AM525" s="8"/>
      <c r="AN525" s="9"/>
      <c r="AO525" s="8"/>
      <c r="AP525" s="8"/>
      <c r="AQ525" s="8"/>
    </row>
    <row r="526" spans="1:43" x14ac:dyDescent="0.15">
      <c r="A526" s="8"/>
      <c r="B526" s="8"/>
      <c r="C526" s="8"/>
      <c r="D526" s="8"/>
      <c r="E526" s="8"/>
      <c r="F526" s="8"/>
      <c r="G526" s="10"/>
      <c r="H526" s="11"/>
      <c r="I526" s="8"/>
      <c r="J526" s="9"/>
      <c r="K526" s="8"/>
      <c r="L526" s="9"/>
      <c r="M526" s="8"/>
      <c r="N526" s="11"/>
      <c r="O526" s="8"/>
      <c r="P526" s="9"/>
      <c r="Q526" s="8"/>
      <c r="R526" s="9"/>
      <c r="S526" s="8"/>
      <c r="T526" s="8"/>
      <c r="U526" s="8"/>
      <c r="V526" s="11"/>
      <c r="W526" s="8"/>
      <c r="X526" s="8"/>
      <c r="Y526" s="9"/>
      <c r="Z526" s="8"/>
      <c r="AA526" s="8"/>
      <c r="AB526" s="8"/>
      <c r="AC526" s="11"/>
      <c r="AD526" s="8"/>
      <c r="AE526" s="9"/>
      <c r="AF526" s="8"/>
      <c r="AG526" s="9"/>
      <c r="AH526" s="8"/>
      <c r="AI526" s="8"/>
      <c r="AJ526" s="8"/>
      <c r="AK526" s="11"/>
      <c r="AL526" s="8"/>
      <c r="AM526" s="8"/>
      <c r="AN526" s="9"/>
      <c r="AO526" s="8"/>
      <c r="AP526" s="8"/>
      <c r="AQ526" s="8"/>
    </row>
    <row r="527" spans="1:43" x14ac:dyDescent="0.15">
      <c r="A527" s="8"/>
      <c r="B527" s="8"/>
      <c r="C527" s="8"/>
      <c r="D527" s="8"/>
      <c r="E527" s="8"/>
      <c r="F527" s="8"/>
      <c r="G527" s="10"/>
      <c r="H527" s="11"/>
      <c r="I527" s="8"/>
      <c r="J527" s="9"/>
      <c r="K527" s="8"/>
      <c r="L527" s="9"/>
      <c r="M527" s="8"/>
      <c r="N527" s="11"/>
      <c r="O527" s="8"/>
      <c r="P527" s="9"/>
      <c r="Q527" s="8"/>
      <c r="R527" s="9"/>
      <c r="S527" s="8"/>
      <c r="T527" s="8"/>
      <c r="U527" s="8"/>
      <c r="V527" s="11"/>
      <c r="W527" s="8"/>
      <c r="X527" s="8"/>
      <c r="Y527" s="9"/>
      <c r="Z527" s="8"/>
      <c r="AA527" s="8"/>
      <c r="AB527" s="8"/>
      <c r="AC527" s="11"/>
      <c r="AD527" s="8"/>
      <c r="AE527" s="9"/>
      <c r="AF527" s="8"/>
      <c r="AG527" s="9"/>
      <c r="AH527" s="8"/>
      <c r="AI527" s="8"/>
      <c r="AJ527" s="8"/>
      <c r="AK527" s="11"/>
      <c r="AL527" s="8"/>
      <c r="AM527" s="8"/>
      <c r="AN527" s="9"/>
      <c r="AO527" s="8"/>
      <c r="AP527" s="8"/>
      <c r="AQ527" s="8"/>
    </row>
    <row r="528" spans="1:43" x14ac:dyDescent="0.15">
      <c r="A528" s="8"/>
      <c r="B528" s="8"/>
      <c r="C528" s="8"/>
      <c r="D528" s="8"/>
      <c r="E528" s="8"/>
      <c r="F528" s="8"/>
      <c r="G528" s="10"/>
      <c r="H528" s="11"/>
      <c r="I528" s="8"/>
      <c r="J528" s="9"/>
      <c r="K528" s="8"/>
      <c r="L528" s="9"/>
      <c r="M528" s="8"/>
      <c r="N528" s="11"/>
      <c r="O528" s="8"/>
      <c r="P528" s="9"/>
      <c r="Q528" s="8"/>
      <c r="R528" s="9"/>
      <c r="S528" s="8"/>
      <c r="T528" s="8"/>
      <c r="U528" s="8"/>
      <c r="V528" s="11"/>
      <c r="W528" s="8"/>
      <c r="X528" s="8"/>
      <c r="Y528" s="9"/>
      <c r="Z528" s="8"/>
      <c r="AA528" s="8"/>
      <c r="AB528" s="8"/>
      <c r="AC528" s="11"/>
      <c r="AD528" s="8"/>
      <c r="AE528" s="9"/>
      <c r="AF528" s="8"/>
      <c r="AG528" s="9"/>
      <c r="AH528" s="8"/>
      <c r="AI528" s="8"/>
      <c r="AJ528" s="8"/>
      <c r="AK528" s="11"/>
      <c r="AL528" s="8"/>
      <c r="AM528" s="8"/>
      <c r="AN528" s="9"/>
      <c r="AO528" s="8"/>
      <c r="AP528" s="8"/>
      <c r="AQ528" s="8"/>
    </row>
    <row r="529" spans="1:43" x14ac:dyDescent="0.15">
      <c r="A529" s="8"/>
      <c r="B529" s="8"/>
      <c r="C529" s="8"/>
      <c r="D529" s="8"/>
      <c r="E529" s="8"/>
      <c r="F529" s="8"/>
      <c r="G529" s="10"/>
      <c r="H529" s="11"/>
      <c r="I529" s="8"/>
      <c r="J529" s="9"/>
      <c r="K529" s="8"/>
      <c r="L529" s="9"/>
      <c r="M529" s="8"/>
      <c r="N529" s="11"/>
      <c r="O529" s="8"/>
      <c r="P529" s="9"/>
      <c r="Q529" s="8"/>
      <c r="R529" s="9"/>
      <c r="S529" s="8"/>
      <c r="T529" s="8"/>
      <c r="U529" s="8"/>
      <c r="V529" s="11"/>
      <c r="W529" s="8"/>
      <c r="X529" s="8"/>
      <c r="Y529" s="9"/>
      <c r="Z529" s="8"/>
      <c r="AA529" s="8"/>
      <c r="AB529" s="8"/>
      <c r="AC529" s="11"/>
      <c r="AD529" s="8"/>
      <c r="AE529" s="9"/>
      <c r="AF529" s="8"/>
      <c r="AG529" s="9"/>
      <c r="AH529" s="8"/>
      <c r="AI529" s="8"/>
      <c r="AJ529" s="8"/>
      <c r="AK529" s="11"/>
      <c r="AL529" s="8"/>
      <c r="AM529" s="8"/>
      <c r="AN529" s="9"/>
      <c r="AO529" s="8"/>
      <c r="AP529" s="8"/>
      <c r="AQ529" s="8"/>
    </row>
    <row r="530" spans="1:43" x14ac:dyDescent="0.15">
      <c r="A530" s="8"/>
      <c r="B530" s="8"/>
      <c r="C530" s="8"/>
      <c r="D530" s="8"/>
      <c r="E530" s="8"/>
      <c r="F530" s="8"/>
      <c r="G530" s="10"/>
      <c r="H530" s="11"/>
      <c r="I530" s="8"/>
      <c r="J530" s="9"/>
      <c r="K530" s="8"/>
      <c r="L530" s="9"/>
      <c r="M530" s="8"/>
      <c r="N530" s="11"/>
      <c r="O530" s="8"/>
      <c r="P530" s="9"/>
      <c r="Q530" s="8"/>
      <c r="R530" s="9"/>
      <c r="S530" s="8"/>
      <c r="T530" s="8"/>
      <c r="U530" s="8"/>
      <c r="V530" s="11"/>
      <c r="W530" s="8"/>
      <c r="X530" s="8"/>
      <c r="Y530" s="9"/>
      <c r="Z530" s="8"/>
      <c r="AA530" s="8"/>
      <c r="AB530" s="8"/>
      <c r="AC530" s="11"/>
      <c r="AD530" s="8"/>
      <c r="AE530" s="9"/>
      <c r="AF530" s="8"/>
      <c r="AG530" s="9"/>
      <c r="AH530" s="8"/>
      <c r="AI530" s="8"/>
      <c r="AJ530" s="8"/>
      <c r="AK530" s="11"/>
      <c r="AL530" s="8"/>
      <c r="AM530" s="8"/>
      <c r="AN530" s="9"/>
      <c r="AO530" s="8"/>
      <c r="AP530" s="8"/>
      <c r="AQ530" s="8"/>
    </row>
    <row r="531" spans="1:43" x14ac:dyDescent="0.15">
      <c r="A531" s="8"/>
      <c r="B531" s="8"/>
      <c r="C531" s="8"/>
      <c r="D531" s="8"/>
      <c r="E531" s="8"/>
      <c r="F531" s="8"/>
      <c r="G531" s="10"/>
      <c r="H531" s="11"/>
      <c r="I531" s="8"/>
      <c r="J531" s="9"/>
      <c r="K531" s="8"/>
      <c r="L531" s="9"/>
      <c r="M531" s="8"/>
      <c r="N531" s="11"/>
      <c r="O531" s="8"/>
      <c r="P531" s="9"/>
      <c r="Q531" s="8"/>
      <c r="R531" s="9"/>
      <c r="S531" s="8"/>
      <c r="T531" s="8"/>
      <c r="U531" s="8"/>
      <c r="V531" s="11"/>
      <c r="W531" s="8"/>
      <c r="X531" s="8"/>
      <c r="Y531" s="9"/>
      <c r="Z531" s="8"/>
      <c r="AA531" s="8"/>
      <c r="AB531" s="8"/>
      <c r="AC531" s="11"/>
      <c r="AD531" s="8"/>
      <c r="AE531" s="9"/>
      <c r="AF531" s="8"/>
      <c r="AG531" s="9"/>
      <c r="AH531" s="8"/>
      <c r="AI531" s="8"/>
      <c r="AJ531" s="8"/>
      <c r="AK531" s="11"/>
      <c r="AL531" s="8"/>
      <c r="AM531" s="8"/>
      <c r="AN531" s="9"/>
      <c r="AO531" s="8"/>
      <c r="AP531" s="8"/>
      <c r="AQ531" s="8"/>
    </row>
    <row r="532" spans="1:43" x14ac:dyDescent="0.15">
      <c r="A532" s="8"/>
      <c r="B532" s="8"/>
      <c r="C532" s="8"/>
      <c r="D532" s="8"/>
      <c r="E532" s="8"/>
      <c r="F532" s="8"/>
      <c r="G532" s="10"/>
      <c r="H532" s="11"/>
      <c r="I532" s="8"/>
      <c r="J532" s="9"/>
      <c r="K532" s="8"/>
      <c r="L532" s="9"/>
      <c r="M532" s="8"/>
      <c r="N532" s="11"/>
      <c r="O532" s="8"/>
      <c r="P532" s="9"/>
      <c r="Q532" s="8"/>
      <c r="R532" s="9"/>
      <c r="S532" s="8"/>
      <c r="T532" s="8"/>
      <c r="U532" s="8"/>
      <c r="V532" s="11"/>
      <c r="W532" s="8"/>
      <c r="X532" s="8"/>
      <c r="Y532" s="9"/>
      <c r="Z532" s="8"/>
      <c r="AA532" s="8"/>
      <c r="AB532" s="8"/>
      <c r="AC532" s="11"/>
      <c r="AD532" s="8"/>
      <c r="AE532" s="9"/>
      <c r="AF532" s="8"/>
      <c r="AG532" s="9"/>
      <c r="AH532" s="8"/>
      <c r="AI532" s="8"/>
      <c r="AJ532" s="8"/>
      <c r="AK532" s="11"/>
      <c r="AL532" s="8"/>
      <c r="AM532" s="8"/>
      <c r="AN532" s="9"/>
      <c r="AO532" s="8"/>
      <c r="AP532" s="8"/>
      <c r="AQ532" s="8"/>
    </row>
    <row r="533" spans="1:43" x14ac:dyDescent="0.15">
      <c r="A533" s="8"/>
      <c r="B533" s="8"/>
      <c r="C533" s="8"/>
      <c r="D533" s="8"/>
      <c r="E533" s="8"/>
      <c r="F533" s="8"/>
      <c r="G533" s="10"/>
      <c r="H533" s="11"/>
      <c r="I533" s="8"/>
      <c r="J533" s="9"/>
      <c r="K533" s="8"/>
      <c r="L533" s="9"/>
      <c r="M533" s="8"/>
      <c r="N533" s="11"/>
      <c r="O533" s="8"/>
      <c r="P533" s="9"/>
      <c r="Q533" s="8"/>
      <c r="R533" s="9"/>
      <c r="S533" s="8"/>
      <c r="T533" s="8"/>
      <c r="U533" s="8"/>
      <c r="V533" s="11"/>
      <c r="W533" s="8"/>
      <c r="X533" s="8"/>
      <c r="Y533" s="9"/>
      <c r="Z533" s="8"/>
      <c r="AA533" s="8"/>
      <c r="AB533" s="8"/>
      <c r="AC533" s="11"/>
      <c r="AD533" s="8"/>
      <c r="AE533" s="9"/>
      <c r="AF533" s="8"/>
      <c r="AG533" s="9"/>
      <c r="AH533" s="8"/>
      <c r="AI533" s="8"/>
      <c r="AJ533" s="8"/>
      <c r="AK533" s="11"/>
      <c r="AL533" s="8"/>
      <c r="AM533" s="8"/>
      <c r="AN533" s="9"/>
      <c r="AO533" s="8"/>
      <c r="AP533" s="8"/>
      <c r="AQ533" s="8"/>
    </row>
    <row r="534" spans="1:43" x14ac:dyDescent="0.15">
      <c r="A534" s="8"/>
      <c r="B534" s="8"/>
      <c r="C534" s="8"/>
      <c r="D534" s="8"/>
      <c r="E534" s="8"/>
      <c r="F534" s="8"/>
      <c r="G534" s="10"/>
      <c r="H534" s="11"/>
      <c r="I534" s="8"/>
      <c r="J534" s="9"/>
      <c r="K534" s="8"/>
      <c r="L534" s="9"/>
      <c r="M534" s="8"/>
      <c r="N534" s="11"/>
      <c r="O534" s="8"/>
      <c r="P534" s="9"/>
      <c r="Q534" s="8"/>
      <c r="R534" s="9"/>
      <c r="S534" s="8"/>
      <c r="T534" s="8"/>
      <c r="U534" s="8"/>
      <c r="V534" s="11"/>
      <c r="W534" s="8"/>
      <c r="X534" s="8"/>
      <c r="Y534" s="9"/>
      <c r="Z534" s="8"/>
      <c r="AA534" s="8"/>
      <c r="AB534" s="8"/>
      <c r="AC534" s="11"/>
      <c r="AD534" s="8"/>
      <c r="AE534" s="9"/>
      <c r="AF534" s="8"/>
      <c r="AG534" s="9"/>
      <c r="AH534" s="8"/>
      <c r="AI534" s="8"/>
      <c r="AJ534" s="8"/>
      <c r="AK534" s="11"/>
      <c r="AL534" s="8"/>
      <c r="AM534" s="8"/>
      <c r="AN534" s="9"/>
      <c r="AO534" s="8"/>
      <c r="AP534" s="8"/>
      <c r="AQ534" s="8"/>
    </row>
    <row r="535" spans="1:43" x14ac:dyDescent="0.15">
      <c r="A535" s="8"/>
      <c r="B535" s="8"/>
      <c r="C535" s="8"/>
      <c r="D535" s="8"/>
      <c r="E535" s="8"/>
      <c r="F535" s="8"/>
      <c r="G535" s="10"/>
      <c r="H535" s="11"/>
      <c r="I535" s="8"/>
      <c r="J535" s="9"/>
      <c r="K535" s="8"/>
      <c r="L535" s="9"/>
      <c r="M535" s="8"/>
      <c r="N535" s="11"/>
      <c r="O535" s="8"/>
      <c r="P535" s="9"/>
      <c r="Q535" s="8"/>
      <c r="R535" s="9"/>
      <c r="S535" s="8"/>
      <c r="T535" s="8"/>
      <c r="U535" s="8"/>
      <c r="V535" s="11"/>
      <c r="W535" s="8"/>
      <c r="X535" s="8"/>
      <c r="Y535" s="9"/>
      <c r="Z535" s="8"/>
      <c r="AA535" s="8"/>
      <c r="AB535" s="8"/>
      <c r="AC535" s="11"/>
      <c r="AD535" s="8"/>
      <c r="AE535" s="9"/>
      <c r="AF535" s="8"/>
      <c r="AG535" s="9"/>
      <c r="AH535" s="8"/>
      <c r="AI535" s="8"/>
      <c r="AJ535" s="8"/>
      <c r="AK535" s="11"/>
      <c r="AL535" s="8"/>
      <c r="AM535" s="8"/>
      <c r="AN535" s="9"/>
      <c r="AO535" s="8"/>
      <c r="AP535" s="8"/>
      <c r="AQ535" s="8"/>
    </row>
    <row r="536" spans="1:43" x14ac:dyDescent="0.15">
      <c r="A536" s="8"/>
      <c r="B536" s="8"/>
      <c r="C536" s="8"/>
      <c r="D536" s="8"/>
      <c r="E536" s="8"/>
      <c r="F536" s="8"/>
      <c r="G536" s="10"/>
      <c r="H536" s="11"/>
      <c r="I536" s="8"/>
      <c r="J536" s="9"/>
      <c r="K536" s="8"/>
      <c r="L536" s="9"/>
      <c r="M536" s="8"/>
      <c r="N536" s="11"/>
      <c r="O536" s="8"/>
      <c r="P536" s="9"/>
      <c r="Q536" s="8"/>
      <c r="R536" s="9"/>
      <c r="S536" s="8"/>
      <c r="T536" s="8"/>
      <c r="U536" s="8"/>
      <c r="V536" s="11"/>
      <c r="W536" s="8"/>
      <c r="X536" s="8"/>
      <c r="Y536" s="9"/>
      <c r="Z536" s="8"/>
      <c r="AA536" s="8"/>
      <c r="AB536" s="8"/>
      <c r="AC536" s="11"/>
      <c r="AD536" s="8"/>
      <c r="AE536" s="9"/>
      <c r="AF536" s="8"/>
      <c r="AG536" s="9"/>
      <c r="AH536" s="8"/>
      <c r="AI536" s="8"/>
      <c r="AJ536" s="8"/>
      <c r="AK536" s="11"/>
      <c r="AL536" s="8"/>
      <c r="AM536" s="8"/>
      <c r="AN536" s="9"/>
      <c r="AO536" s="8"/>
      <c r="AP536" s="8"/>
      <c r="AQ536" s="8"/>
    </row>
    <row r="537" spans="1:43" x14ac:dyDescent="0.15">
      <c r="A537" s="8"/>
      <c r="B537" s="8"/>
      <c r="C537" s="8"/>
      <c r="D537" s="8"/>
      <c r="E537" s="8"/>
      <c r="F537" s="8"/>
      <c r="G537" s="10"/>
      <c r="H537" s="11"/>
      <c r="I537" s="8"/>
      <c r="J537" s="9"/>
      <c r="K537" s="8"/>
      <c r="L537" s="9"/>
      <c r="M537" s="8"/>
      <c r="N537" s="11"/>
      <c r="O537" s="8"/>
      <c r="P537" s="9"/>
      <c r="Q537" s="8"/>
      <c r="R537" s="9"/>
      <c r="S537" s="8"/>
      <c r="T537" s="8"/>
      <c r="U537" s="8"/>
      <c r="V537" s="11"/>
      <c r="W537" s="8"/>
      <c r="X537" s="8"/>
      <c r="Y537" s="9"/>
      <c r="Z537" s="8"/>
      <c r="AA537" s="8"/>
      <c r="AB537" s="8"/>
      <c r="AC537" s="11"/>
      <c r="AD537" s="8"/>
      <c r="AE537" s="9"/>
      <c r="AF537" s="8"/>
      <c r="AG537" s="9"/>
      <c r="AH537" s="8"/>
      <c r="AI537" s="8"/>
      <c r="AJ537" s="8"/>
      <c r="AK537" s="11"/>
      <c r="AL537" s="8"/>
      <c r="AM537" s="8"/>
      <c r="AN537" s="9"/>
      <c r="AO537" s="8"/>
      <c r="AP537" s="8"/>
      <c r="AQ537" s="8"/>
    </row>
    <row r="538" spans="1:43" x14ac:dyDescent="0.15">
      <c r="A538" s="8"/>
      <c r="B538" s="8"/>
      <c r="C538" s="8"/>
      <c r="D538" s="8"/>
      <c r="E538" s="8"/>
      <c r="F538" s="8"/>
      <c r="G538" s="10"/>
      <c r="H538" s="11"/>
      <c r="I538" s="8"/>
      <c r="J538" s="9"/>
      <c r="K538" s="8"/>
      <c r="L538" s="9"/>
      <c r="M538" s="8"/>
      <c r="N538" s="11"/>
      <c r="O538" s="8"/>
      <c r="P538" s="9"/>
      <c r="Q538" s="8"/>
      <c r="R538" s="9"/>
      <c r="S538" s="8"/>
      <c r="T538" s="8"/>
      <c r="U538" s="8"/>
      <c r="V538" s="11"/>
      <c r="W538" s="8"/>
      <c r="X538" s="8"/>
      <c r="Y538" s="9"/>
      <c r="Z538" s="8"/>
      <c r="AA538" s="8"/>
      <c r="AB538" s="8"/>
      <c r="AC538" s="11"/>
      <c r="AD538" s="8"/>
      <c r="AE538" s="9"/>
      <c r="AF538" s="8"/>
      <c r="AG538" s="9"/>
      <c r="AH538" s="8"/>
      <c r="AI538" s="8"/>
      <c r="AJ538" s="8"/>
      <c r="AK538" s="11"/>
      <c r="AL538" s="8"/>
      <c r="AM538" s="8"/>
      <c r="AN538" s="9"/>
      <c r="AO538" s="8"/>
      <c r="AP538" s="8"/>
      <c r="AQ538" s="8"/>
    </row>
    <row r="539" spans="1:43" x14ac:dyDescent="0.15">
      <c r="A539" s="8"/>
      <c r="B539" s="8"/>
      <c r="C539" s="8"/>
      <c r="D539" s="8"/>
      <c r="E539" s="8"/>
      <c r="F539" s="8"/>
      <c r="G539" s="10"/>
      <c r="H539" s="11"/>
      <c r="I539" s="8"/>
      <c r="J539" s="9"/>
      <c r="K539" s="8"/>
      <c r="L539" s="9"/>
      <c r="M539" s="8"/>
      <c r="N539" s="11"/>
      <c r="O539" s="8"/>
      <c r="P539" s="9"/>
      <c r="Q539" s="8"/>
      <c r="R539" s="9"/>
      <c r="S539" s="8"/>
      <c r="T539" s="8"/>
      <c r="U539" s="8"/>
      <c r="V539" s="11"/>
      <c r="W539" s="8"/>
      <c r="X539" s="8"/>
      <c r="Y539" s="9"/>
      <c r="Z539" s="8"/>
      <c r="AA539" s="8"/>
      <c r="AB539" s="8"/>
      <c r="AC539" s="11"/>
      <c r="AD539" s="8"/>
      <c r="AE539" s="9"/>
      <c r="AF539" s="8"/>
      <c r="AG539" s="9"/>
      <c r="AH539" s="8"/>
      <c r="AI539" s="8"/>
      <c r="AJ539" s="8"/>
      <c r="AK539" s="11"/>
      <c r="AL539" s="8"/>
      <c r="AM539" s="8"/>
      <c r="AN539" s="9"/>
      <c r="AO539" s="8"/>
      <c r="AP539" s="8"/>
      <c r="AQ539" s="8"/>
    </row>
    <row r="540" spans="1:43" x14ac:dyDescent="0.15">
      <c r="A540" s="8"/>
      <c r="B540" s="8"/>
      <c r="C540" s="8"/>
      <c r="D540" s="8"/>
      <c r="E540" s="8"/>
      <c r="F540" s="8"/>
      <c r="G540" s="10"/>
      <c r="H540" s="11"/>
      <c r="I540" s="8"/>
      <c r="J540" s="9"/>
      <c r="K540" s="8"/>
      <c r="L540" s="9"/>
      <c r="M540" s="8"/>
      <c r="N540" s="11"/>
      <c r="O540" s="8"/>
      <c r="P540" s="9"/>
      <c r="Q540" s="8"/>
      <c r="R540" s="9"/>
      <c r="S540" s="8"/>
      <c r="T540" s="8"/>
      <c r="U540" s="8"/>
      <c r="V540" s="11"/>
      <c r="W540" s="8"/>
      <c r="X540" s="8"/>
      <c r="Y540" s="9"/>
      <c r="Z540" s="8"/>
      <c r="AA540" s="8"/>
      <c r="AB540" s="8"/>
      <c r="AC540" s="11"/>
      <c r="AD540" s="8"/>
      <c r="AE540" s="9"/>
      <c r="AF540" s="8"/>
      <c r="AG540" s="9"/>
      <c r="AH540" s="8"/>
      <c r="AI540" s="8"/>
      <c r="AJ540" s="8"/>
      <c r="AK540" s="11"/>
      <c r="AL540" s="8"/>
      <c r="AM540" s="8"/>
      <c r="AN540" s="9"/>
      <c r="AO540" s="8"/>
      <c r="AP540" s="8"/>
      <c r="AQ540" s="8"/>
    </row>
    <row r="541" spans="1:43" x14ac:dyDescent="0.15">
      <c r="A541" s="8"/>
      <c r="B541" s="8"/>
      <c r="C541" s="8"/>
      <c r="D541" s="8"/>
      <c r="E541" s="8"/>
      <c r="F541" s="8"/>
      <c r="G541" s="10"/>
      <c r="H541" s="11"/>
      <c r="I541" s="8"/>
      <c r="J541" s="9"/>
      <c r="K541" s="8"/>
      <c r="L541" s="9"/>
      <c r="M541" s="8"/>
      <c r="N541" s="11"/>
      <c r="O541" s="8"/>
      <c r="P541" s="9"/>
      <c r="Q541" s="8"/>
      <c r="R541" s="9"/>
      <c r="S541" s="8"/>
      <c r="T541" s="8"/>
      <c r="U541" s="8"/>
      <c r="V541" s="11"/>
      <c r="W541" s="8"/>
      <c r="X541" s="8"/>
      <c r="Y541" s="9"/>
      <c r="Z541" s="8"/>
      <c r="AA541" s="8"/>
      <c r="AB541" s="8"/>
      <c r="AC541" s="11"/>
      <c r="AD541" s="8"/>
      <c r="AE541" s="9"/>
      <c r="AF541" s="8"/>
      <c r="AG541" s="9"/>
      <c r="AH541" s="8"/>
      <c r="AI541" s="8"/>
      <c r="AJ541" s="8"/>
      <c r="AK541" s="11"/>
      <c r="AL541" s="8"/>
      <c r="AM541" s="8"/>
      <c r="AN541" s="9"/>
      <c r="AO541" s="8"/>
      <c r="AP541" s="8"/>
      <c r="AQ541" s="8"/>
    </row>
    <row r="542" spans="1:43" x14ac:dyDescent="0.15">
      <c r="A542" s="8"/>
      <c r="B542" s="8"/>
      <c r="C542" s="8"/>
      <c r="D542" s="8"/>
      <c r="E542" s="8"/>
      <c r="F542" s="8"/>
      <c r="G542" s="10"/>
      <c r="H542" s="11"/>
      <c r="I542" s="8"/>
      <c r="J542" s="9"/>
      <c r="K542" s="8"/>
      <c r="L542" s="9"/>
      <c r="M542" s="8"/>
      <c r="N542" s="11"/>
      <c r="O542" s="8"/>
      <c r="P542" s="9"/>
      <c r="Q542" s="8"/>
      <c r="R542" s="9"/>
      <c r="S542" s="8"/>
      <c r="T542" s="8"/>
      <c r="U542" s="8"/>
      <c r="V542" s="11"/>
      <c r="W542" s="8"/>
      <c r="X542" s="8"/>
      <c r="Y542" s="9"/>
      <c r="Z542" s="8"/>
      <c r="AA542" s="8"/>
      <c r="AB542" s="8"/>
      <c r="AC542" s="11"/>
      <c r="AD542" s="8"/>
      <c r="AE542" s="9"/>
      <c r="AF542" s="8"/>
      <c r="AG542" s="9"/>
      <c r="AH542" s="8"/>
      <c r="AI542" s="8"/>
      <c r="AJ542" s="8"/>
      <c r="AK542" s="11"/>
      <c r="AL542" s="8"/>
      <c r="AM542" s="8"/>
      <c r="AN542" s="9"/>
      <c r="AO542" s="8"/>
      <c r="AP542" s="8"/>
      <c r="AQ542" s="8"/>
    </row>
    <row r="543" spans="1:43" x14ac:dyDescent="0.15">
      <c r="A543" s="8"/>
      <c r="B543" s="8"/>
      <c r="C543" s="8"/>
      <c r="D543" s="8"/>
      <c r="E543" s="8"/>
      <c r="F543" s="8"/>
      <c r="G543" s="10"/>
      <c r="H543" s="11"/>
      <c r="I543" s="8"/>
      <c r="J543" s="9"/>
      <c r="K543" s="8"/>
      <c r="L543" s="9"/>
      <c r="M543" s="8"/>
      <c r="N543" s="11"/>
      <c r="O543" s="8"/>
      <c r="P543" s="9"/>
      <c r="Q543" s="8"/>
      <c r="R543" s="9"/>
      <c r="S543" s="8"/>
      <c r="T543" s="8"/>
      <c r="U543" s="8"/>
      <c r="V543" s="11"/>
      <c r="W543" s="8"/>
      <c r="X543" s="8"/>
      <c r="Y543" s="9"/>
      <c r="Z543" s="8"/>
      <c r="AA543" s="8"/>
      <c r="AB543" s="8"/>
      <c r="AC543" s="11"/>
      <c r="AD543" s="8"/>
      <c r="AE543" s="9"/>
      <c r="AF543" s="8"/>
      <c r="AG543" s="9"/>
      <c r="AH543" s="8"/>
      <c r="AI543" s="8"/>
      <c r="AJ543" s="8"/>
      <c r="AK543" s="11"/>
      <c r="AL543" s="8"/>
      <c r="AM543" s="8"/>
      <c r="AN543" s="9"/>
      <c r="AO543" s="8"/>
      <c r="AP543" s="8"/>
      <c r="AQ543" s="8"/>
    </row>
    <row r="544" spans="1:43" x14ac:dyDescent="0.15">
      <c r="A544" s="8"/>
      <c r="B544" s="8"/>
      <c r="C544" s="8"/>
      <c r="D544" s="8"/>
      <c r="E544" s="8"/>
      <c r="F544" s="8"/>
      <c r="G544" s="10"/>
      <c r="H544" s="11"/>
      <c r="I544" s="8"/>
      <c r="J544" s="9"/>
      <c r="K544" s="8"/>
      <c r="L544" s="9"/>
      <c r="M544" s="8"/>
      <c r="N544" s="11"/>
      <c r="O544" s="8"/>
      <c r="P544" s="9"/>
      <c r="Q544" s="8"/>
      <c r="R544" s="9"/>
      <c r="S544" s="8"/>
      <c r="T544" s="8"/>
      <c r="U544" s="8"/>
      <c r="V544" s="11"/>
      <c r="W544" s="8"/>
      <c r="X544" s="8"/>
      <c r="Y544" s="9"/>
      <c r="Z544" s="8"/>
      <c r="AA544" s="8"/>
      <c r="AB544" s="8"/>
      <c r="AC544" s="11"/>
      <c r="AD544" s="8"/>
      <c r="AE544" s="9"/>
      <c r="AF544" s="8"/>
      <c r="AG544" s="9"/>
      <c r="AH544" s="8"/>
      <c r="AI544" s="8"/>
      <c r="AJ544" s="8"/>
      <c r="AK544" s="11"/>
      <c r="AL544" s="8"/>
      <c r="AM544" s="8"/>
      <c r="AN544" s="9"/>
      <c r="AO544" s="8"/>
      <c r="AP544" s="8"/>
      <c r="AQ544" s="8"/>
    </row>
    <row r="545" spans="1:43" x14ac:dyDescent="0.15">
      <c r="A545" s="8"/>
      <c r="B545" s="8"/>
      <c r="C545" s="8"/>
      <c r="D545" s="8"/>
      <c r="E545" s="8"/>
      <c r="F545" s="8"/>
      <c r="G545" s="10"/>
      <c r="H545" s="11"/>
      <c r="I545" s="8"/>
      <c r="J545" s="9"/>
      <c r="K545" s="8"/>
      <c r="L545" s="9"/>
      <c r="M545" s="8"/>
      <c r="N545" s="11"/>
      <c r="O545" s="8"/>
      <c r="P545" s="9"/>
      <c r="Q545" s="8"/>
      <c r="R545" s="9"/>
      <c r="S545" s="8"/>
      <c r="T545" s="8"/>
      <c r="U545" s="8"/>
      <c r="V545" s="11"/>
      <c r="W545" s="8"/>
      <c r="X545" s="8"/>
      <c r="Y545" s="9"/>
      <c r="Z545" s="8"/>
      <c r="AA545" s="8"/>
      <c r="AB545" s="8"/>
      <c r="AC545" s="11"/>
      <c r="AD545" s="8"/>
      <c r="AE545" s="9"/>
      <c r="AF545" s="8"/>
      <c r="AG545" s="9"/>
      <c r="AH545" s="8"/>
      <c r="AI545" s="8"/>
      <c r="AJ545" s="8"/>
      <c r="AK545" s="11"/>
      <c r="AL545" s="8"/>
      <c r="AM545" s="8"/>
      <c r="AN545" s="9"/>
      <c r="AO545" s="8"/>
      <c r="AP545" s="8"/>
      <c r="AQ545" s="8"/>
    </row>
    <row r="546" spans="1:43" x14ac:dyDescent="0.15">
      <c r="A546" s="8"/>
      <c r="B546" s="8"/>
      <c r="C546" s="8"/>
      <c r="D546" s="8"/>
      <c r="E546" s="8"/>
      <c r="F546" s="8"/>
      <c r="G546" s="10"/>
      <c r="H546" s="11"/>
      <c r="I546" s="8"/>
      <c r="J546" s="9"/>
      <c r="K546" s="8"/>
      <c r="L546" s="9"/>
      <c r="M546" s="8"/>
      <c r="N546" s="11"/>
      <c r="O546" s="8"/>
      <c r="P546" s="9"/>
      <c r="Q546" s="8"/>
      <c r="R546" s="9"/>
      <c r="S546" s="8"/>
      <c r="T546" s="8"/>
      <c r="U546" s="8"/>
      <c r="V546" s="11"/>
      <c r="W546" s="8"/>
      <c r="X546" s="8"/>
      <c r="Y546" s="9"/>
      <c r="Z546" s="8"/>
      <c r="AA546" s="8"/>
      <c r="AB546" s="8"/>
      <c r="AC546" s="11"/>
      <c r="AD546" s="8"/>
      <c r="AE546" s="9"/>
      <c r="AF546" s="8"/>
      <c r="AG546" s="9"/>
      <c r="AH546" s="8"/>
      <c r="AI546" s="8"/>
      <c r="AJ546" s="8"/>
      <c r="AK546" s="11"/>
      <c r="AL546" s="8"/>
      <c r="AM546" s="8"/>
      <c r="AN546" s="9"/>
      <c r="AO546" s="8"/>
      <c r="AP546" s="8"/>
      <c r="AQ546" s="8"/>
    </row>
    <row r="547" spans="1:43" x14ac:dyDescent="0.15">
      <c r="A547" s="8"/>
      <c r="B547" s="8"/>
      <c r="C547" s="8"/>
      <c r="D547" s="8"/>
      <c r="E547" s="8"/>
      <c r="F547" s="8"/>
      <c r="G547" s="10"/>
      <c r="H547" s="11"/>
      <c r="I547" s="8"/>
      <c r="J547" s="9"/>
      <c r="K547" s="8"/>
      <c r="L547" s="9"/>
      <c r="M547" s="8"/>
      <c r="N547" s="11"/>
      <c r="O547" s="8"/>
      <c r="P547" s="9"/>
      <c r="Q547" s="8"/>
      <c r="R547" s="9"/>
      <c r="S547" s="8"/>
      <c r="T547" s="8"/>
      <c r="U547" s="8"/>
      <c r="V547" s="11"/>
      <c r="W547" s="8"/>
      <c r="X547" s="8"/>
      <c r="Y547" s="9"/>
      <c r="Z547" s="8"/>
      <c r="AA547" s="8"/>
      <c r="AB547" s="8"/>
      <c r="AC547" s="11"/>
      <c r="AD547" s="8"/>
      <c r="AE547" s="9"/>
      <c r="AF547" s="8"/>
      <c r="AG547" s="9"/>
      <c r="AH547" s="8"/>
      <c r="AI547" s="8"/>
      <c r="AJ547" s="8"/>
      <c r="AK547" s="11"/>
      <c r="AL547" s="8"/>
      <c r="AM547" s="8"/>
      <c r="AN547" s="9"/>
      <c r="AO547" s="8"/>
      <c r="AP547" s="8"/>
      <c r="AQ547" s="8"/>
    </row>
    <row r="548" spans="1:43" x14ac:dyDescent="0.15">
      <c r="A548" s="8"/>
      <c r="B548" s="8"/>
      <c r="C548" s="8"/>
      <c r="D548" s="8"/>
      <c r="E548" s="8"/>
      <c r="F548" s="8"/>
      <c r="G548" s="10"/>
      <c r="H548" s="11"/>
      <c r="I548" s="8"/>
      <c r="J548" s="9"/>
      <c r="K548" s="8"/>
      <c r="L548" s="9"/>
      <c r="M548" s="8"/>
      <c r="N548" s="11"/>
      <c r="O548" s="8"/>
      <c r="P548" s="9"/>
      <c r="Q548" s="8"/>
      <c r="R548" s="9"/>
      <c r="S548" s="8"/>
      <c r="T548" s="8"/>
      <c r="U548" s="8"/>
      <c r="V548" s="11"/>
      <c r="W548" s="8"/>
      <c r="X548" s="8"/>
      <c r="Y548" s="9"/>
      <c r="Z548" s="8"/>
      <c r="AA548" s="8"/>
      <c r="AB548" s="8"/>
      <c r="AC548" s="11"/>
      <c r="AD548" s="8"/>
      <c r="AE548" s="9"/>
      <c r="AF548" s="8"/>
      <c r="AG548" s="9"/>
      <c r="AH548" s="8"/>
      <c r="AI548" s="8"/>
      <c r="AJ548" s="8"/>
      <c r="AK548" s="11"/>
      <c r="AL548" s="8"/>
      <c r="AM548" s="8"/>
      <c r="AN548" s="9"/>
      <c r="AO548" s="8"/>
      <c r="AP548" s="8"/>
      <c r="AQ548" s="8"/>
    </row>
    <row r="549" spans="1:43" x14ac:dyDescent="0.15">
      <c r="A549" s="8"/>
      <c r="B549" s="8"/>
      <c r="C549" s="8"/>
      <c r="D549" s="8"/>
      <c r="E549" s="8"/>
      <c r="F549" s="8"/>
      <c r="G549" s="10"/>
      <c r="H549" s="11"/>
      <c r="I549" s="8"/>
      <c r="J549" s="9"/>
      <c r="K549" s="8"/>
      <c r="L549" s="9"/>
      <c r="M549" s="8"/>
      <c r="N549" s="11"/>
      <c r="O549" s="8"/>
      <c r="P549" s="9"/>
      <c r="Q549" s="8"/>
      <c r="R549" s="9"/>
      <c r="S549" s="8"/>
      <c r="T549" s="8"/>
      <c r="U549" s="8"/>
      <c r="V549" s="11"/>
      <c r="W549" s="8"/>
      <c r="X549" s="8"/>
      <c r="Y549" s="9"/>
      <c r="Z549" s="8"/>
      <c r="AA549" s="8"/>
      <c r="AB549" s="8"/>
      <c r="AC549" s="11"/>
      <c r="AD549" s="8"/>
      <c r="AE549" s="9"/>
      <c r="AF549" s="8"/>
      <c r="AG549" s="9"/>
      <c r="AH549" s="8"/>
      <c r="AI549" s="8"/>
      <c r="AJ549" s="8"/>
      <c r="AK549" s="11"/>
      <c r="AL549" s="8"/>
      <c r="AM549" s="8"/>
      <c r="AN549" s="9"/>
      <c r="AO549" s="8"/>
      <c r="AP549" s="8"/>
      <c r="AQ549" s="8"/>
    </row>
    <row r="550" spans="1:43" x14ac:dyDescent="0.15">
      <c r="A550" s="8"/>
      <c r="B550" s="8"/>
      <c r="C550" s="8"/>
      <c r="D550" s="8"/>
      <c r="E550" s="8"/>
      <c r="F550" s="8"/>
      <c r="G550" s="10"/>
      <c r="H550" s="11"/>
      <c r="I550" s="8"/>
      <c r="J550" s="9"/>
      <c r="K550" s="8"/>
      <c r="L550" s="9"/>
      <c r="M550" s="8"/>
      <c r="N550" s="11"/>
      <c r="O550" s="8"/>
      <c r="P550" s="9"/>
      <c r="Q550" s="8"/>
      <c r="R550" s="9"/>
      <c r="S550" s="8"/>
      <c r="T550" s="8"/>
      <c r="U550" s="8"/>
      <c r="V550" s="11"/>
      <c r="W550" s="8"/>
      <c r="X550" s="8"/>
      <c r="Y550" s="9"/>
      <c r="Z550" s="8"/>
      <c r="AA550" s="8"/>
      <c r="AB550" s="8"/>
      <c r="AC550" s="11"/>
      <c r="AD550" s="8"/>
      <c r="AE550" s="9"/>
      <c r="AF550" s="8"/>
      <c r="AG550" s="9"/>
      <c r="AH550" s="8"/>
      <c r="AI550" s="8"/>
      <c r="AJ550" s="8"/>
      <c r="AK550" s="11"/>
      <c r="AL550" s="8"/>
      <c r="AM550" s="8"/>
      <c r="AN550" s="9"/>
      <c r="AO550" s="8"/>
      <c r="AP550" s="8"/>
      <c r="AQ550" s="8"/>
    </row>
    <row r="551" spans="1:43" x14ac:dyDescent="0.15">
      <c r="A551" s="8"/>
      <c r="B551" s="8"/>
      <c r="C551" s="8"/>
      <c r="D551" s="8"/>
      <c r="E551" s="8"/>
      <c r="F551" s="8"/>
      <c r="G551" s="10"/>
      <c r="H551" s="11"/>
      <c r="I551" s="8"/>
      <c r="J551" s="9"/>
      <c r="K551" s="8"/>
      <c r="L551" s="9"/>
      <c r="M551" s="8"/>
      <c r="N551" s="11"/>
      <c r="O551" s="8"/>
      <c r="P551" s="9"/>
      <c r="Q551" s="8"/>
      <c r="R551" s="9"/>
      <c r="S551" s="8"/>
      <c r="T551" s="8"/>
      <c r="U551" s="8"/>
      <c r="V551" s="11"/>
      <c r="W551" s="8"/>
      <c r="X551" s="8"/>
      <c r="Y551" s="9"/>
      <c r="Z551" s="8"/>
      <c r="AA551" s="8"/>
      <c r="AB551" s="8"/>
      <c r="AC551" s="11"/>
      <c r="AD551" s="8"/>
      <c r="AE551" s="9"/>
      <c r="AF551" s="8"/>
      <c r="AG551" s="9"/>
      <c r="AH551" s="8"/>
      <c r="AI551" s="8"/>
      <c r="AJ551" s="8"/>
      <c r="AK551" s="11"/>
      <c r="AL551" s="8"/>
      <c r="AM551" s="8"/>
      <c r="AN551" s="9"/>
      <c r="AO551" s="8"/>
      <c r="AP551" s="8"/>
      <c r="AQ551" s="8"/>
    </row>
    <row r="552" spans="1:43" x14ac:dyDescent="0.15">
      <c r="A552" s="8"/>
      <c r="B552" s="8"/>
      <c r="C552" s="8"/>
      <c r="D552" s="8"/>
      <c r="E552" s="8"/>
      <c r="F552" s="8"/>
      <c r="G552" s="10"/>
      <c r="H552" s="11"/>
      <c r="I552" s="8"/>
      <c r="J552" s="9"/>
      <c r="K552" s="8"/>
      <c r="L552" s="9"/>
      <c r="M552" s="8"/>
      <c r="N552" s="11"/>
      <c r="O552" s="8"/>
      <c r="P552" s="9"/>
      <c r="Q552" s="8"/>
      <c r="R552" s="9"/>
      <c r="S552" s="8"/>
      <c r="T552" s="8"/>
      <c r="U552" s="8"/>
      <c r="V552" s="11"/>
      <c r="W552" s="8"/>
      <c r="X552" s="8"/>
      <c r="Y552" s="9"/>
      <c r="Z552" s="8"/>
      <c r="AA552" s="8"/>
      <c r="AB552" s="8"/>
      <c r="AC552" s="11"/>
      <c r="AD552" s="8"/>
      <c r="AE552" s="9"/>
      <c r="AF552" s="8"/>
      <c r="AG552" s="9"/>
      <c r="AH552" s="8"/>
      <c r="AI552" s="8"/>
      <c r="AJ552" s="8"/>
      <c r="AK552" s="11"/>
      <c r="AL552" s="8"/>
      <c r="AM552" s="8"/>
      <c r="AN552" s="9"/>
      <c r="AO552" s="8"/>
      <c r="AP552" s="8"/>
      <c r="AQ552" s="8"/>
    </row>
    <row r="553" spans="1:43" x14ac:dyDescent="0.15">
      <c r="A553" s="8"/>
      <c r="B553" s="8"/>
      <c r="C553" s="8"/>
      <c r="D553" s="8"/>
      <c r="E553" s="8"/>
      <c r="F553" s="8"/>
      <c r="G553" s="10"/>
      <c r="H553" s="11"/>
      <c r="I553" s="8"/>
      <c r="J553" s="9"/>
      <c r="K553" s="8"/>
      <c r="L553" s="9"/>
      <c r="M553" s="8"/>
      <c r="N553" s="11"/>
      <c r="O553" s="8"/>
      <c r="P553" s="9"/>
      <c r="Q553" s="8"/>
      <c r="R553" s="9"/>
      <c r="S553" s="8"/>
      <c r="T553" s="8"/>
      <c r="U553" s="8"/>
      <c r="V553" s="11"/>
      <c r="W553" s="8"/>
      <c r="X553" s="8"/>
      <c r="Y553" s="9"/>
      <c r="Z553" s="8"/>
      <c r="AA553" s="8"/>
      <c r="AB553" s="8"/>
      <c r="AC553" s="11"/>
      <c r="AD553" s="8"/>
      <c r="AE553" s="9"/>
      <c r="AF553" s="8"/>
      <c r="AG553" s="9"/>
      <c r="AH553" s="8"/>
      <c r="AI553" s="8"/>
      <c r="AJ553" s="8"/>
      <c r="AK553" s="11"/>
      <c r="AL553" s="8"/>
      <c r="AM553" s="8"/>
      <c r="AN553" s="9"/>
      <c r="AO553" s="8"/>
      <c r="AP553" s="8"/>
      <c r="AQ553" s="8"/>
    </row>
    <row r="554" spans="1:43" x14ac:dyDescent="0.15">
      <c r="A554" s="8"/>
      <c r="B554" s="8"/>
      <c r="C554" s="8"/>
      <c r="D554" s="8"/>
      <c r="E554" s="8"/>
      <c r="F554" s="8"/>
      <c r="G554" s="10"/>
      <c r="H554" s="11"/>
      <c r="I554" s="8"/>
      <c r="J554" s="9"/>
      <c r="K554" s="8"/>
      <c r="L554" s="9"/>
      <c r="M554" s="8"/>
      <c r="N554" s="11"/>
      <c r="O554" s="8"/>
      <c r="P554" s="9"/>
      <c r="Q554" s="8"/>
      <c r="R554" s="9"/>
      <c r="S554" s="8"/>
      <c r="T554" s="8"/>
      <c r="U554" s="8"/>
      <c r="V554" s="11"/>
      <c r="W554" s="8"/>
      <c r="X554" s="8"/>
      <c r="Y554" s="9"/>
      <c r="Z554" s="8"/>
      <c r="AA554" s="8"/>
      <c r="AB554" s="8"/>
      <c r="AC554" s="11"/>
      <c r="AD554" s="8"/>
      <c r="AE554" s="9"/>
      <c r="AF554" s="8"/>
      <c r="AG554" s="9"/>
      <c r="AH554" s="8"/>
      <c r="AI554" s="8"/>
      <c r="AJ554" s="8"/>
      <c r="AK554" s="11"/>
      <c r="AL554" s="8"/>
      <c r="AM554" s="8"/>
      <c r="AN554" s="9"/>
      <c r="AO554" s="8"/>
      <c r="AP554" s="8"/>
      <c r="AQ554" s="8"/>
    </row>
    <row r="555" spans="1:43" x14ac:dyDescent="0.15">
      <c r="A555" s="8"/>
      <c r="B555" s="8"/>
      <c r="C555" s="8"/>
      <c r="D555" s="8"/>
      <c r="E555" s="8"/>
      <c r="F555" s="8"/>
      <c r="G555" s="10"/>
      <c r="H555" s="11"/>
      <c r="I555" s="8"/>
      <c r="J555" s="9"/>
      <c r="K555" s="8"/>
      <c r="L555" s="9"/>
      <c r="M555" s="8"/>
      <c r="N555" s="11"/>
      <c r="O555" s="8"/>
      <c r="P555" s="9"/>
      <c r="Q555" s="8"/>
      <c r="R555" s="9"/>
      <c r="S555" s="8"/>
      <c r="T555" s="8"/>
      <c r="U555" s="8"/>
      <c r="V555" s="11"/>
      <c r="W555" s="8"/>
      <c r="X555" s="8"/>
      <c r="Y555" s="9"/>
      <c r="Z555" s="8"/>
      <c r="AA555" s="8"/>
      <c r="AB555" s="8"/>
      <c r="AC555" s="11"/>
      <c r="AD555" s="8"/>
      <c r="AE555" s="9"/>
      <c r="AF555" s="8"/>
      <c r="AG555" s="9"/>
      <c r="AH555" s="8"/>
      <c r="AI555" s="8"/>
      <c r="AJ555" s="8"/>
      <c r="AK555" s="11"/>
      <c r="AL555" s="8"/>
      <c r="AM555" s="8"/>
      <c r="AN555" s="9"/>
      <c r="AO555" s="8"/>
      <c r="AP555" s="8"/>
      <c r="AQ555" s="8"/>
    </row>
    <row r="556" spans="1:43" x14ac:dyDescent="0.15">
      <c r="A556" s="8"/>
      <c r="B556" s="8"/>
      <c r="C556" s="8"/>
      <c r="D556" s="8"/>
      <c r="E556" s="8"/>
      <c r="F556" s="8"/>
      <c r="G556" s="10"/>
      <c r="H556" s="11"/>
      <c r="I556" s="8"/>
      <c r="J556" s="9"/>
      <c r="K556" s="8"/>
      <c r="L556" s="9"/>
      <c r="M556" s="8"/>
      <c r="N556" s="11"/>
      <c r="O556" s="8"/>
      <c r="P556" s="9"/>
      <c r="Q556" s="8"/>
      <c r="R556" s="9"/>
      <c r="S556" s="8"/>
      <c r="T556" s="8"/>
      <c r="U556" s="8"/>
      <c r="V556" s="11"/>
      <c r="W556" s="8"/>
      <c r="X556" s="8"/>
      <c r="Y556" s="9"/>
      <c r="Z556" s="8"/>
      <c r="AA556" s="8"/>
      <c r="AB556" s="8"/>
      <c r="AC556" s="11"/>
      <c r="AD556" s="8"/>
      <c r="AE556" s="9"/>
      <c r="AF556" s="8"/>
      <c r="AG556" s="9"/>
      <c r="AH556" s="8"/>
      <c r="AI556" s="8"/>
      <c r="AJ556" s="8"/>
      <c r="AK556" s="11"/>
      <c r="AL556" s="8"/>
      <c r="AM556" s="8"/>
      <c r="AN556" s="9"/>
      <c r="AO556" s="8"/>
      <c r="AP556" s="8"/>
      <c r="AQ556" s="8"/>
    </row>
    <row r="557" spans="1:43" x14ac:dyDescent="0.15">
      <c r="A557" s="8"/>
      <c r="B557" s="8"/>
      <c r="C557" s="8"/>
      <c r="D557" s="8"/>
      <c r="E557" s="8"/>
      <c r="F557" s="8"/>
      <c r="G557" s="10"/>
      <c r="H557" s="11"/>
      <c r="I557" s="8"/>
      <c r="J557" s="9"/>
      <c r="K557" s="8"/>
      <c r="L557" s="9"/>
      <c r="M557" s="8"/>
      <c r="N557" s="11"/>
      <c r="O557" s="8"/>
      <c r="P557" s="9"/>
      <c r="Q557" s="8"/>
      <c r="R557" s="9"/>
      <c r="S557" s="8"/>
      <c r="T557" s="8"/>
      <c r="U557" s="8"/>
      <c r="V557" s="11"/>
      <c r="W557" s="8"/>
      <c r="X557" s="8"/>
      <c r="Y557" s="9"/>
      <c r="Z557" s="8"/>
      <c r="AA557" s="8"/>
      <c r="AB557" s="8"/>
      <c r="AC557" s="11"/>
      <c r="AD557" s="8"/>
      <c r="AE557" s="9"/>
      <c r="AF557" s="8"/>
      <c r="AG557" s="9"/>
      <c r="AH557" s="8"/>
      <c r="AI557" s="8"/>
      <c r="AJ557" s="8"/>
      <c r="AK557" s="11"/>
      <c r="AL557" s="8"/>
      <c r="AM557" s="8"/>
      <c r="AN557" s="9"/>
      <c r="AO557" s="8"/>
      <c r="AP557" s="8"/>
      <c r="AQ557" s="8"/>
    </row>
    <row r="558" spans="1:43" x14ac:dyDescent="0.15">
      <c r="A558" s="8"/>
      <c r="B558" s="8"/>
      <c r="C558" s="8"/>
      <c r="D558" s="8"/>
      <c r="E558" s="8"/>
      <c r="F558" s="8"/>
      <c r="G558" s="10"/>
      <c r="H558" s="11"/>
      <c r="I558" s="8"/>
      <c r="J558" s="9"/>
      <c r="K558" s="8"/>
      <c r="L558" s="9"/>
      <c r="M558" s="8"/>
      <c r="N558" s="11"/>
      <c r="O558" s="8"/>
      <c r="P558" s="9"/>
      <c r="Q558" s="8"/>
      <c r="R558" s="9"/>
      <c r="S558" s="8"/>
      <c r="T558" s="8"/>
      <c r="U558" s="8"/>
      <c r="V558" s="11"/>
      <c r="W558" s="8"/>
      <c r="X558" s="8"/>
      <c r="Y558" s="9"/>
      <c r="Z558" s="8"/>
      <c r="AA558" s="8"/>
      <c r="AB558" s="8"/>
      <c r="AC558" s="11"/>
      <c r="AD558" s="8"/>
      <c r="AE558" s="9"/>
      <c r="AF558" s="8"/>
      <c r="AG558" s="9"/>
      <c r="AH558" s="8"/>
      <c r="AI558" s="8"/>
      <c r="AJ558" s="8"/>
      <c r="AK558" s="11"/>
      <c r="AL558" s="8"/>
      <c r="AM558" s="8"/>
      <c r="AN558" s="9"/>
      <c r="AO558" s="8"/>
      <c r="AP558" s="8"/>
      <c r="AQ558" s="8"/>
    </row>
    <row r="559" spans="1:43" x14ac:dyDescent="0.15">
      <c r="A559" s="8"/>
      <c r="B559" s="8"/>
      <c r="C559" s="8"/>
      <c r="D559" s="8"/>
      <c r="E559" s="8"/>
      <c r="F559" s="8"/>
      <c r="G559" s="10"/>
      <c r="H559" s="11"/>
      <c r="I559" s="8"/>
      <c r="J559" s="9"/>
      <c r="K559" s="8"/>
      <c r="L559" s="9"/>
      <c r="M559" s="8"/>
      <c r="N559" s="11"/>
      <c r="O559" s="8"/>
      <c r="P559" s="9"/>
      <c r="Q559" s="8"/>
      <c r="R559" s="9"/>
      <c r="S559" s="8"/>
      <c r="T559" s="8"/>
      <c r="U559" s="8"/>
      <c r="V559" s="11"/>
      <c r="W559" s="8"/>
      <c r="X559" s="8"/>
      <c r="Y559" s="9"/>
      <c r="Z559" s="8"/>
      <c r="AA559" s="8"/>
      <c r="AB559" s="8"/>
      <c r="AC559" s="11"/>
      <c r="AD559" s="8"/>
      <c r="AE559" s="9"/>
      <c r="AF559" s="8"/>
      <c r="AG559" s="9"/>
      <c r="AH559" s="8"/>
      <c r="AI559" s="8"/>
      <c r="AJ559" s="8"/>
      <c r="AK559" s="11"/>
      <c r="AL559" s="8"/>
      <c r="AM559" s="8"/>
      <c r="AN559" s="9"/>
      <c r="AO559" s="8"/>
      <c r="AP559" s="8"/>
      <c r="AQ559" s="8"/>
    </row>
    <row r="560" spans="1:43" x14ac:dyDescent="0.15">
      <c r="A560" s="8"/>
      <c r="B560" s="8"/>
      <c r="C560" s="8"/>
      <c r="D560" s="8"/>
      <c r="E560" s="8"/>
      <c r="F560" s="8"/>
      <c r="G560" s="10"/>
      <c r="H560" s="11"/>
      <c r="I560" s="8"/>
      <c r="J560" s="9"/>
      <c r="K560" s="8"/>
      <c r="L560" s="9"/>
      <c r="M560" s="8"/>
      <c r="N560" s="11"/>
      <c r="O560" s="8"/>
      <c r="P560" s="9"/>
      <c r="Q560" s="8"/>
      <c r="R560" s="9"/>
      <c r="S560" s="8"/>
      <c r="T560" s="8"/>
      <c r="U560" s="8"/>
      <c r="V560" s="11"/>
      <c r="W560" s="8"/>
      <c r="X560" s="8"/>
      <c r="Y560" s="9"/>
      <c r="Z560" s="8"/>
      <c r="AA560" s="8"/>
      <c r="AB560" s="8"/>
      <c r="AC560" s="11"/>
      <c r="AD560" s="8"/>
      <c r="AE560" s="9"/>
      <c r="AF560" s="8"/>
      <c r="AG560" s="9"/>
      <c r="AH560" s="8"/>
      <c r="AI560" s="8"/>
      <c r="AJ560" s="8"/>
      <c r="AK560" s="11"/>
      <c r="AL560" s="8"/>
      <c r="AM560" s="8"/>
      <c r="AN560" s="9"/>
      <c r="AO560" s="8"/>
      <c r="AP560" s="8"/>
      <c r="AQ560" s="8"/>
    </row>
    <row r="561" spans="1:43" x14ac:dyDescent="0.15">
      <c r="A561" s="8"/>
      <c r="B561" s="8"/>
      <c r="C561" s="8"/>
      <c r="D561" s="8"/>
      <c r="E561" s="8"/>
      <c r="F561" s="8"/>
      <c r="G561" s="10"/>
      <c r="H561" s="11"/>
      <c r="I561" s="8"/>
      <c r="J561" s="9"/>
      <c r="K561" s="8"/>
      <c r="L561" s="9"/>
      <c r="M561" s="8"/>
      <c r="N561" s="11"/>
      <c r="O561" s="8"/>
      <c r="P561" s="9"/>
      <c r="Q561" s="8"/>
      <c r="R561" s="9"/>
      <c r="S561" s="8"/>
      <c r="T561" s="8"/>
      <c r="U561" s="8"/>
      <c r="V561" s="11"/>
      <c r="W561" s="8"/>
      <c r="X561" s="8"/>
      <c r="Y561" s="9"/>
      <c r="Z561" s="8"/>
      <c r="AA561" s="8"/>
      <c r="AB561" s="8"/>
      <c r="AC561" s="11"/>
      <c r="AD561" s="8"/>
      <c r="AE561" s="9"/>
      <c r="AF561" s="8"/>
      <c r="AG561" s="9"/>
      <c r="AH561" s="8"/>
      <c r="AI561" s="8"/>
      <c r="AJ561" s="8"/>
      <c r="AK561" s="11"/>
      <c r="AL561" s="8"/>
      <c r="AM561" s="8"/>
      <c r="AN561" s="9"/>
      <c r="AO561" s="8"/>
      <c r="AP561" s="8"/>
      <c r="AQ561" s="8"/>
    </row>
    <row r="562" spans="1:43" x14ac:dyDescent="0.15">
      <c r="A562" s="8"/>
      <c r="B562" s="8"/>
      <c r="C562" s="8"/>
      <c r="D562" s="8"/>
      <c r="E562" s="8"/>
      <c r="F562" s="8"/>
      <c r="G562" s="10"/>
      <c r="H562" s="11"/>
      <c r="I562" s="8"/>
      <c r="J562" s="9"/>
      <c r="K562" s="8"/>
      <c r="L562" s="9"/>
      <c r="M562" s="8"/>
      <c r="N562" s="11"/>
      <c r="O562" s="8"/>
      <c r="P562" s="9"/>
      <c r="Q562" s="8"/>
      <c r="R562" s="9"/>
      <c r="S562" s="8"/>
      <c r="T562" s="8"/>
      <c r="U562" s="8"/>
      <c r="V562" s="11"/>
      <c r="W562" s="8"/>
      <c r="X562" s="8"/>
      <c r="Y562" s="9"/>
      <c r="Z562" s="8"/>
      <c r="AA562" s="8"/>
      <c r="AB562" s="8"/>
      <c r="AC562" s="11"/>
      <c r="AD562" s="8"/>
      <c r="AE562" s="9"/>
      <c r="AF562" s="8"/>
      <c r="AG562" s="9"/>
      <c r="AH562" s="8"/>
      <c r="AI562" s="8"/>
      <c r="AJ562" s="8"/>
      <c r="AK562" s="11"/>
      <c r="AL562" s="8"/>
      <c r="AM562" s="8"/>
      <c r="AN562" s="9"/>
      <c r="AO562" s="8"/>
      <c r="AP562" s="8"/>
      <c r="AQ562" s="8"/>
    </row>
    <row r="563" spans="1:43" x14ac:dyDescent="0.15">
      <c r="A563" s="8"/>
      <c r="B563" s="8"/>
      <c r="C563" s="8"/>
      <c r="D563" s="8"/>
      <c r="E563" s="8"/>
      <c r="F563" s="8"/>
      <c r="G563" s="10"/>
      <c r="H563" s="11"/>
      <c r="I563" s="8"/>
      <c r="J563" s="9"/>
      <c r="K563" s="8"/>
      <c r="L563" s="9"/>
      <c r="M563" s="8"/>
      <c r="N563" s="11"/>
      <c r="O563" s="8"/>
      <c r="P563" s="9"/>
      <c r="Q563" s="8"/>
      <c r="R563" s="9"/>
      <c r="S563" s="8"/>
      <c r="T563" s="8"/>
      <c r="U563" s="8"/>
      <c r="V563" s="11"/>
      <c r="W563" s="8"/>
      <c r="X563" s="8"/>
      <c r="Y563" s="9"/>
      <c r="Z563" s="8"/>
      <c r="AA563" s="8"/>
      <c r="AB563" s="8"/>
      <c r="AC563" s="11"/>
      <c r="AD563" s="8"/>
      <c r="AE563" s="9"/>
      <c r="AF563" s="8"/>
      <c r="AG563" s="9"/>
      <c r="AH563" s="8"/>
      <c r="AI563" s="8"/>
      <c r="AJ563" s="8"/>
      <c r="AK563" s="11"/>
      <c r="AL563" s="8"/>
      <c r="AM563" s="8"/>
      <c r="AN563" s="9"/>
      <c r="AO563" s="8"/>
      <c r="AP563" s="8"/>
      <c r="AQ563" s="8"/>
    </row>
    <row r="564" spans="1:43" x14ac:dyDescent="0.15">
      <c r="A564" s="8"/>
      <c r="B564" s="8"/>
      <c r="C564" s="8"/>
      <c r="D564" s="8"/>
      <c r="E564" s="8"/>
      <c r="F564" s="8"/>
      <c r="G564" s="10"/>
      <c r="H564" s="11"/>
      <c r="I564" s="8"/>
      <c r="J564" s="9"/>
      <c r="K564" s="8"/>
      <c r="L564" s="9"/>
      <c r="M564" s="8"/>
      <c r="N564" s="11"/>
      <c r="O564" s="8"/>
      <c r="P564" s="9"/>
      <c r="Q564" s="8"/>
      <c r="R564" s="9"/>
      <c r="S564" s="8"/>
      <c r="T564" s="8"/>
      <c r="U564" s="8"/>
      <c r="V564" s="11"/>
      <c r="W564" s="8"/>
      <c r="X564" s="8"/>
      <c r="Y564" s="9"/>
      <c r="Z564" s="8"/>
      <c r="AA564" s="8"/>
      <c r="AB564" s="8"/>
      <c r="AC564" s="11"/>
      <c r="AD564" s="8"/>
      <c r="AE564" s="9"/>
      <c r="AF564" s="8"/>
      <c r="AG564" s="9"/>
      <c r="AH564" s="8"/>
      <c r="AI564" s="8"/>
      <c r="AJ564" s="8"/>
      <c r="AK564" s="11"/>
      <c r="AL564" s="8"/>
      <c r="AM564" s="8"/>
      <c r="AN564" s="9"/>
      <c r="AO564" s="8"/>
      <c r="AP564" s="8"/>
      <c r="AQ564" s="8"/>
    </row>
    <row r="565" spans="1:43" x14ac:dyDescent="0.15">
      <c r="A565" s="8"/>
      <c r="B565" s="8"/>
      <c r="C565" s="8"/>
      <c r="D565" s="8"/>
      <c r="E565" s="8"/>
      <c r="F565" s="8"/>
      <c r="G565" s="10"/>
      <c r="H565" s="11"/>
      <c r="I565" s="8"/>
      <c r="J565" s="9"/>
      <c r="K565" s="8"/>
      <c r="L565" s="9"/>
      <c r="M565" s="8"/>
      <c r="N565" s="11"/>
      <c r="O565" s="8"/>
      <c r="P565" s="9"/>
      <c r="Q565" s="8"/>
      <c r="R565" s="9"/>
      <c r="S565" s="8"/>
      <c r="T565" s="8"/>
      <c r="U565" s="8"/>
      <c r="V565" s="11"/>
      <c r="W565" s="8"/>
      <c r="X565" s="8"/>
      <c r="Y565" s="9"/>
      <c r="Z565" s="8"/>
      <c r="AA565" s="8"/>
      <c r="AB565" s="8"/>
      <c r="AC565" s="11"/>
      <c r="AD565" s="8"/>
      <c r="AE565" s="9"/>
      <c r="AF565" s="8"/>
      <c r="AG565" s="9"/>
      <c r="AH565" s="8"/>
      <c r="AI565" s="8"/>
      <c r="AJ565" s="8"/>
      <c r="AK565" s="11"/>
      <c r="AL565" s="8"/>
      <c r="AM565" s="8"/>
      <c r="AN565" s="9"/>
      <c r="AO565" s="8"/>
      <c r="AP565" s="8"/>
      <c r="AQ565" s="8"/>
    </row>
    <row r="566" spans="1:43" x14ac:dyDescent="0.15">
      <c r="A566" s="8"/>
      <c r="B566" s="8"/>
      <c r="C566" s="8"/>
      <c r="D566" s="8"/>
      <c r="E566" s="8"/>
      <c r="F566" s="8"/>
      <c r="G566" s="10"/>
      <c r="H566" s="11"/>
      <c r="I566" s="8"/>
      <c r="J566" s="9"/>
      <c r="K566" s="8"/>
      <c r="L566" s="9"/>
      <c r="M566" s="8"/>
      <c r="N566" s="11"/>
      <c r="O566" s="8"/>
      <c r="P566" s="9"/>
      <c r="Q566" s="8"/>
      <c r="R566" s="9"/>
      <c r="S566" s="8"/>
      <c r="T566" s="8"/>
      <c r="U566" s="8"/>
      <c r="V566" s="11"/>
      <c r="W566" s="8"/>
      <c r="X566" s="8"/>
      <c r="Y566" s="9"/>
      <c r="Z566" s="8"/>
      <c r="AA566" s="8"/>
      <c r="AB566" s="8"/>
      <c r="AC566" s="11"/>
      <c r="AD566" s="8"/>
      <c r="AE566" s="9"/>
      <c r="AF566" s="8"/>
      <c r="AG566" s="9"/>
      <c r="AH566" s="8"/>
      <c r="AI566" s="8"/>
      <c r="AJ566" s="8"/>
      <c r="AK566" s="11"/>
      <c r="AL566" s="8"/>
      <c r="AM566" s="8"/>
      <c r="AN566" s="9"/>
      <c r="AO566" s="8"/>
      <c r="AP566" s="8"/>
      <c r="AQ566" s="8"/>
    </row>
    <row r="567" spans="1:43" x14ac:dyDescent="0.15">
      <c r="A567" s="8"/>
      <c r="B567" s="8"/>
      <c r="C567" s="8"/>
      <c r="D567" s="8"/>
      <c r="E567" s="8"/>
      <c r="F567" s="8"/>
      <c r="G567" s="10"/>
      <c r="H567" s="11"/>
      <c r="I567" s="8"/>
      <c r="J567" s="9"/>
      <c r="K567" s="8"/>
      <c r="L567" s="9"/>
      <c r="M567" s="8"/>
      <c r="N567" s="11"/>
      <c r="O567" s="8"/>
      <c r="P567" s="9"/>
      <c r="Q567" s="8"/>
      <c r="R567" s="9"/>
      <c r="S567" s="8"/>
      <c r="T567" s="8"/>
      <c r="U567" s="8"/>
      <c r="V567" s="11"/>
      <c r="W567" s="8"/>
      <c r="X567" s="8"/>
      <c r="Y567" s="9"/>
      <c r="Z567" s="8"/>
      <c r="AA567" s="8"/>
      <c r="AB567" s="8"/>
      <c r="AC567" s="11"/>
      <c r="AD567" s="8"/>
      <c r="AE567" s="9"/>
      <c r="AF567" s="8"/>
      <c r="AG567" s="9"/>
      <c r="AH567" s="8"/>
      <c r="AI567" s="8"/>
      <c r="AJ567" s="8"/>
      <c r="AK567" s="11"/>
      <c r="AL567" s="8"/>
      <c r="AM567" s="8"/>
      <c r="AN567" s="9"/>
      <c r="AO567" s="8"/>
      <c r="AP567" s="8"/>
      <c r="AQ567" s="8"/>
    </row>
    <row r="568" spans="1:43" x14ac:dyDescent="0.15">
      <c r="A568" s="8"/>
      <c r="B568" s="8"/>
      <c r="C568" s="8"/>
      <c r="D568" s="8"/>
      <c r="E568" s="8"/>
      <c r="F568" s="8"/>
      <c r="G568" s="10"/>
      <c r="H568" s="11"/>
      <c r="I568" s="8"/>
      <c r="J568" s="9"/>
      <c r="K568" s="8"/>
      <c r="L568" s="9"/>
      <c r="M568" s="8"/>
      <c r="N568" s="11"/>
      <c r="O568" s="8"/>
      <c r="P568" s="9"/>
      <c r="Q568" s="8"/>
      <c r="R568" s="9"/>
      <c r="S568" s="8"/>
      <c r="T568" s="8"/>
      <c r="U568" s="8"/>
      <c r="V568" s="11"/>
      <c r="W568" s="8"/>
      <c r="X568" s="8"/>
      <c r="Y568" s="9"/>
      <c r="Z568" s="8"/>
      <c r="AA568" s="8"/>
      <c r="AB568" s="8"/>
      <c r="AC568" s="11"/>
      <c r="AD568" s="8"/>
      <c r="AE568" s="9"/>
      <c r="AF568" s="8"/>
      <c r="AG568" s="9"/>
      <c r="AH568" s="8"/>
      <c r="AI568" s="8"/>
      <c r="AJ568" s="8"/>
      <c r="AK568" s="11"/>
      <c r="AL568" s="8"/>
      <c r="AM568" s="8"/>
      <c r="AN568" s="9"/>
      <c r="AO568" s="8"/>
      <c r="AP568" s="8"/>
      <c r="AQ568" s="8"/>
    </row>
    <row r="569" spans="1:43" x14ac:dyDescent="0.15">
      <c r="A569" s="8"/>
      <c r="B569" s="8"/>
      <c r="C569" s="8"/>
      <c r="D569" s="8"/>
      <c r="E569" s="8"/>
      <c r="F569" s="8"/>
      <c r="G569" s="10"/>
      <c r="H569" s="11"/>
      <c r="I569" s="8"/>
      <c r="J569" s="9"/>
      <c r="K569" s="8"/>
      <c r="L569" s="9"/>
      <c r="M569" s="8"/>
      <c r="N569" s="11"/>
      <c r="O569" s="8"/>
      <c r="P569" s="9"/>
      <c r="Q569" s="8"/>
      <c r="R569" s="9"/>
      <c r="S569" s="8"/>
      <c r="T569" s="8"/>
      <c r="U569" s="8"/>
      <c r="V569" s="11"/>
      <c r="W569" s="8"/>
      <c r="X569" s="8"/>
      <c r="Y569" s="9"/>
      <c r="Z569" s="8"/>
      <c r="AA569" s="8"/>
      <c r="AB569" s="8"/>
      <c r="AC569" s="11"/>
      <c r="AD569" s="8"/>
      <c r="AE569" s="9"/>
      <c r="AF569" s="8"/>
      <c r="AG569" s="9"/>
      <c r="AH569" s="8"/>
      <c r="AI569" s="8"/>
      <c r="AJ569" s="8"/>
      <c r="AK569" s="11"/>
      <c r="AL569" s="8"/>
      <c r="AM569" s="8"/>
      <c r="AN569" s="9"/>
      <c r="AO569" s="8"/>
      <c r="AP569" s="8"/>
      <c r="AQ569" s="8"/>
    </row>
    <row r="570" spans="1:43" x14ac:dyDescent="0.15">
      <c r="A570" s="8"/>
      <c r="B570" s="8"/>
      <c r="C570" s="8"/>
      <c r="D570" s="8"/>
      <c r="E570" s="8"/>
      <c r="F570" s="8"/>
      <c r="G570" s="10"/>
      <c r="H570" s="11"/>
      <c r="I570" s="8"/>
      <c r="J570" s="9"/>
      <c r="K570" s="8"/>
      <c r="L570" s="9"/>
      <c r="M570" s="8"/>
      <c r="N570" s="11"/>
      <c r="O570" s="8"/>
      <c r="P570" s="9"/>
      <c r="Q570" s="8"/>
      <c r="R570" s="9"/>
      <c r="S570" s="8"/>
      <c r="T570" s="8"/>
      <c r="U570" s="8"/>
      <c r="V570" s="11"/>
      <c r="W570" s="8"/>
      <c r="X570" s="8"/>
      <c r="Y570" s="9"/>
      <c r="Z570" s="8"/>
      <c r="AA570" s="8"/>
      <c r="AB570" s="8"/>
      <c r="AC570" s="11"/>
      <c r="AD570" s="8"/>
      <c r="AE570" s="9"/>
      <c r="AF570" s="8"/>
      <c r="AG570" s="9"/>
      <c r="AH570" s="8"/>
      <c r="AI570" s="8"/>
      <c r="AJ570" s="8"/>
      <c r="AK570" s="11"/>
      <c r="AL570" s="8"/>
      <c r="AM570" s="8"/>
      <c r="AN570" s="9"/>
      <c r="AO570" s="8"/>
      <c r="AP570" s="8"/>
      <c r="AQ570" s="8"/>
    </row>
    <row r="571" spans="1:43" x14ac:dyDescent="0.15">
      <c r="A571" s="8"/>
      <c r="B571" s="8"/>
      <c r="C571" s="8"/>
      <c r="D571" s="8"/>
      <c r="E571" s="8"/>
      <c r="F571" s="8"/>
      <c r="G571" s="10"/>
      <c r="H571" s="11"/>
      <c r="I571" s="8"/>
      <c r="J571" s="9"/>
      <c r="K571" s="8"/>
      <c r="L571" s="9"/>
      <c r="M571" s="8"/>
      <c r="N571" s="11"/>
      <c r="O571" s="8"/>
      <c r="P571" s="9"/>
      <c r="Q571" s="8"/>
      <c r="R571" s="9"/>
      <c r="S571" s="8"/>
      <c r="T571" s="8"/>
      <c r="U571" s="8"/>
      <c r="V571" s="11"/>
      <c r="W571" s="8"/>
      <c r="X571" s="8"/>
      <c r="Y571" s="9"/>
      <c r="Z571" s="8"/>
      <c r="AA571" s="8"/>
      <c r="AB571" s="8"/>
      <c r="AC571" s="11"/>
      <c r="AD571" s="8"/>
      <c r="AE571" s="9"/>
      <c r="AF571" s="8"/>
      <c r="AG571" s="9"/>
      <c r="AH571" s="8"/>
      <c r="AI571" s="8"/>
      <c r="AJ571" s="8"/>
      <c r="AK571" s="11"/>
      <c r="AL571" s="8"/>
      <c r="AM571" s="8"/>
      <c r="AN571" s="9"/>
      <c r="AO571" s="8"/>
      <c r="AP571" s="8"/>
      <c r="AQ571" s="8"/>
    </row>
    <row r="572" spans="1:43" x14ac:dyDescent="0.15">
      <c r="A572" s="8"/>
      <c r="B572" s="8"/>
      <c r="C572" s="8"/>
      <c r="D572" s="8"/>
      <c r="E572" s="8"/>
      <c r="F572" s="8"/>
      <c r="G572" s="10"/>
      <c r="H572" s="11"/>
      <c r="I572" s="8"/>
      <c r="J572" s="9"/>
      <c r="K572" s="8"/>
      <c r="L572" s="9"/>
      <c r="M572" s="8"/>
      <c r="N572" s="11"/>
      <c r="O572" s="8"/>
      <c r="P572" s="9"/>
      <c r="Q572" s="8"/>
      <c r="R572" s="9"/>
      <c r="S572" s="8"/>
      <c r="T572" s="8"/>
      <c r="U572" s="8"/>
      <c r="V572" s="11"/>
      <c r="W572" s="8"/>
      <c r="X572" s="8"/>
      <c r="Y572" s="9"/>
      <c r="Z572" s="8"/>
      <c r="AA572" s="8"/>
      <c r="AB572" s="8"/>
      <c r="AC572" s="11"/>
      <c r="AD572" s="8"/>
      <c r="AE572" s="9"/>
      <c r="AF572" s="8"/>
      <c r="AG572" s="9"/>
      <c r="AH572" s="8"/>
      <c r="AI572" s="8"/>
      <c r="AJ572" s="8"/>
      <c r="AK572" s="11"/>
      <c r="AL572" s="8"/>
      <c r="AM572" s="8"/>
      <c r="AN572" s="9"/>
      <c r="AO572" s="8"/>
      <c r="AP572" s="8"/>
      <c r="AQ572" s="8"/>
    </row>
    <row r="573" spans="1:43" x14ac:dyDescent="0.15">
      <c r="A573" s="8"/>
      <c r="B573" s="8"/>
      <c r="C573" s="8"/>
      <c r="D573" s="8"/>
      <c r="E573" s="8"/>
      <c r="F573" s="8"/>
      <c r="G573" s="10"/>
      <c r="H573" s="11"/>
      <c r="I573" s="8"/>
      <c r="J573" s="9"/>
      <c r="K573" s="8"/>
      <c r="L573" s="9"/>
      <c r="M573" s="8"/>
      <c r="N573" s="11"/>
      <c r="O573" s="8"/>
      <c r="P573" s="9"/>
      <c r="Q573" s="8"/>
      <c r="R573" s="9"/>
      <c r="S573" s="8"/>
      <c r="T573" s="8"/>
      <c r="U573" s="8"/>
      <c r="V573" s="11"/>
      <c r="W573" s="8"/>
      <c r="X573" s="8"/>
      <c r="Y573" s="9"/>
      <c r="Z573" s="8"/>
      <c r="AA573" s="8"/>
      <c r="AB573" s="8"/>
      <c r="AC573" s="11"/>
      <c r="AD573" s="8"/>
      <c r="AE573" s="9"/>
      <c r="AF573" s="8"/>
      <c r="AG573" s="9"/>
      <c r="AH573" s="8"/>
      <c r="AI573" s="8"/>
      <c r="AJ573" s="8"/>
      <c r="AK573" s="11"/>
      <c r="AL573" s="8"/>
      <c r="AM573" s="8"/>
      <c r="AN573" s="9"/>
      <c r="AO573" s="8"/>
      <c r="AP573" s="8"/>
      <c r="AQ573" s="8"/>
    </row>
    <row r="574" spans="1:43" x14ac:dyDescent="0.15">
      <c r="A574" s="8"/>
      <c r="B574" s="8"/>
      <c r="C574" s="8"/>
      <c r="D574" s="8"/>
      <c r="E574" s="8"/>
      <c r="F574" s="8"/>
      <c r="G574" s="10"/>
      <c r="H574" s="11"/>
      <c r="I574" s="8"/>
      <c r="J574" s="9"/>
      <c r="K574" s="8"/>
      <c r="L574" s="9"/>
      <c r="M574" s="8"/>
      <c r="N574" s="11"/>
      <c r="O574" s="8"/>
      <c r="P574" s="9"/>
      <c r="Q574" s="8"/>
      <c r="R574" s="9"/>
      <c r="S574" s="8"/>
      <c r="T574" s="8"/>
      <c r="U574" s="8"/>
      <c r="V574" s="11"/>
      <c r="W574" s="8"/>
      <c r="X574" s="8"/>
      <c r="Y574" s="9"/>
      <c r="Z574" s="8"/>
      <c r="AA574" s="8"/>
      <c r="AB574" s="8"/>
      <c r="AC574" s="11"/>
      <c r="AD574" s="8"/>
      <c r="AE574" s="9"/>
      <c r="AF574" s="8"/>
      <c r="AG574" s="9"/>
      <c r="AH574" s="8"/>
      <c r="AI574" s="8"/>
      <c r="AJ574" s="8"/>
      <c r="AK574" s="11"/>
      <c r="AL574" s="8"/>
      <c r="AM574" s="8"/>
      <c r="AN574" s="9"/>
      <c r="AO574" s="8"/>
      <c r="AP574" s="8"/>
      <c r="AQ574" s="8"/>
    </row>
    <row r="575" spans="1:43" x14ac:dyDescent="0.15">
      <c r="A575" s="8"/>
      <c r="B575" s="8"/>
      <c r="C575" s="8"/>
      <c r="D575" s="8"/>
      <c r="E575" s="8"/>
      <c r="F575" s="8"/>
      <c r="G575" s="10"/>
      <c r="H575" s="11"/>
      <c r="I575" s="8"/>
      <c r="J575" s="9"/>
      <c r="K575" s="8"/>
      <c r="L575" s="9"/>
      <c r="M575" s="8"/>
      <c r="N575" s="11"/>
      <c r="O575" s="8"/>
      <c r="P575" s="9"/>
      <c r="Q575" s="8"/>
      <c r="R575" s="9"/>
      <c r="S575" s="8"/>
      <c r="T575" s="8"/>
      <c r="U575" s="8"/>
      <c r="V575" s="11"/>
      <c r="W575" s="8"/>
      <c r="X575" s="8"/>
      <c r="Y575" s="9"/>
      <c r="Z575" s="8"/>
      <c r="AA575" s="8"/>
      <c r="AB575" s="8"/>
      <c r="AC575" s="11"/>
      <c r="AD575" s="8"/>
      <c r="AE575" s="9"/>
      <c r="AF575" s="8"/>
      <c r="AG575" s="9"/>
      <c r="AH575" s="8"/>
      <c r="AI575" s="8"/>
      <c r="AJ575" s="8"/>
      <c r="AK575" s="11"/>
      <c r="AL575" s="8"/>
      <c r="AM575" s="8"/>
      <c r="AN575" s="9"/>
      <c r="AO575" s="8"/>
      <c r="AP575" s="8"/>
      <c r="AQ575" s="8"/>
    </row>
    <row r="576" spans="1:43" x14ac:dyDescent="0.15">
      <c r="A576" s="8"/>
      <c r="B576" s="8"/>
      <c r="C576" s="8"/>
      <c r="D576" s="8"/>
      <c r="E576" s="8"/>
      <c r="F576" s="8"/>
      <c r="G576" s="10"/>
      <c r="H576" s="11"/>
      <c r="I576" s="8"/>
      <c r="J576" s="9"/>
      <c r="K576" s="8"/>
      <c r="L576" s="9"/>
      <c r="M576" s="8"/>
      <c r="N576" s="11"/>
      <c r="O576" s="8"/>
      <c r="P576" s="9"/>
      <c r="Q576" s="8"/>
      <c r="R576" s="9"/>
      <c r="S576" s="8"/>
      <c r="T576" s="8"/>
      <c r="U576" s="8"/>
      <c r="V576" s="11"/>
      <c r="W576" s="8"/>
      <c r="X576" s="8"/>
      <c r="Y576" s="9"/>
      <c r="Z576" s="8"/>
      <c r="AA576" s="8"/>
      <c r="AB576" s="8"/>
      <c r="AC576" s="11"/>
      <c r="AD576" s="8"/>
      <c r="AE576" s="9"/>
      <c r="AF576" s="8"/>
      <c r="AG576" s="9"/>
      <c r="AH576" s="8"/>
      <c r="AI576" s="8"/>
      <c r="AJ576" s="8"/>
      <c r="AK576" s="11"/>
      <c r="AL576" s="8"/>
      <c r="AM576" s="8"/>
      <c r="AN576" s="9"/>
      <c r="AO576" s="8"/>
      <c r="AP576" s="8"/>
      <c r="AQ576" s="8"/>
    </row>
    <row r="577" spans="1:43" x14ac:dyDescent="0.15">
      <c r="A577" s="8"/>
      <c r="B577" s="8"/>
      <c r="C577" s="8"/>
      <c r="D577" s="8"/>
      <c r="E577" s="8"/>
      <c r="F577" s="8"/>
      <c r="G577" s="10"/>
      <c r="H577" s="11"/>
      <c r="I577" s="8"/>
      <c r="J577" s="9"/>
      <c r="K577" s="8"/>
      <c r="L577" s="9"/>
      <c r="M577" s="8"/>
      <c r="N577" s="11"/>
      <c r="O577" s="8"/>
      <c r="P577" s="9"/>
      <c r="Q577" s="8"/>
      <c r="R577" s="9"/>
      <c r="S577" s="8"/>
      <c r="T577" s="8"/>
      <c r="U577" s="8"/>
      <c r="V577" s="11"/>
      <c r="W577" s="8"/>
      <c r="X577" s="8"/>
      <c r="Y577" s="9"/>
      <c r="Z577" s="8"/>
      <c r="AA577" s="8"/>
      <c r="AB577" s="8"/>
      <c r="AC577" s="11"/>
      <c r="AD577" s="8"/>
      <c r="AE577" s="9"/>
      <c r="AF577" s="8"/>
      <c r="AG577" s="9"/>
      <c r="AH577" s="8"/>
      <c r="AI577" s="8"/>
      <c r="AJ577" s="8"/>
      <c r="AK577" s="11"/>
      <c r="AL577" s="8"/>
      <c r="AM577" s="8"/>
      <c r="AN577" s="9"/>
      <c r="AO577" s="8"/>
      <c r="AP577" s="8"/>
      <c r="AQ577" s="8"/>
    </row>
    <row r="578" spans="1:43" x14ac:dyDescent="0.15">
      <c r="A578" s="8"/>
      <c r="B578" s="8"/>
      <c r="C578" s="8"/>
      <c r="D578" s="8"/>
      <c r="E578" s="8"/>
      <c r="F578" s="8"/>
      <c r="G578" s="10"/>
      <c r="H578" s="11"/>
      <c r="I578" s="8"/>
      <c r="J578" s="9"/>
      <c r="K578" s="8"/>
      <c r="L578" s="9"/>
      <c r="M578" s="8"/>
      <c r="N578" s="11"/>
      <c r="O578" s="8"/>
      <c r="P578" s="9"/>
      <c r="Q578" s="8"/>
      <c r="R578" s="9"/>
      <c r="S578" s="8"/>
      <c r="T578" s="8"/>
      <c r="U578" s="8"/>
      <c r="V578" s="11"/>
      <c r="W578" s="8"/>
      <c r="X578" s="8"/>
      <c r="Y578" s="9"/>
      <c r="Z578" s="8"/>
      <c r="AA578" s="8"/>
      <c r="AB578" s="8"/>
      <c r="AC578" s="11"/>
      <c r="AD578" s="8"/>
      <c r="AE578" s="9"/>
      <c r="AF578" s="8"/>
      <c r="AG578" s="9"/>
      <c r="AH578" s="8"/>
      <c r="AI578" s="8"/>
      <c r="AJ578" s="8"/>
      <c r="AK578" s="11"/>
      <c r="AL578" s="8"/>
      <c r="AM578" s="8"/>
      <c r="AN578" s="9"/>
      <c r="AO578" s="8"/>
      <c r="AP578" s="8"/>
      <c r="AQ578" s="8"/>
    </row>
    <row r="579" spans="1:43" outlineLevel="1" x14ac:dyDescent="0.15">
      <c r="A579" s="8"/>
      <c r="B579" s="8"/>
      <c r="C579" s="8"/>
      <c r="D579" s="8"/>
      <c r="E579" s="8"/>
      <c r="F579" s="8"/>
      <c r="G579" s="10"/>
      <c r="H579" s="11"/>
      <c r="I579" s="8"/>
      <c r="J579" s="9"/>
      <c r="K579" s="8"/>
      <c r="L579" s="9"/>
      <c r="M579" s="8"/>
      <c r="N579" s="11"/>
      <c r="O579" s="8"/>
      <c r="P579" s="9"/>
      <c r="Q579" s="8"/>
      <c r="R579" s="9"/>
      <c r="S579" s="8"/>
      <c r="T579" s="8"/>
      <c r="U579" s="8"/>
      <c r="V579" s="11"/>
      <c r="W579" s="8"/>
      <c r="X579" s="8"/>
      <c r="Y579" s="9"/>
      <c r="Z579" s="8"/>
      <c r="AA579" s="8"/>
      <c r="AB579" s="8"/>
      <c r="AC579" s="11"/>
      <c r="AD579" s="8"/>
      <c r="AE579" s="9"/>
      <c r="AF579" s="8"/>
      <c r="AG579" s="9"/>
      <c r="AH579" s="8"/>
      <c r="AI579" s="8"/>
      <c r="AJ579" s="8"/>
      <c r="AK579" s="11"/>
      <c r="AL579" s="8"/>
      <c r="AM579" s="8"/>
      <c r="AN579" s="9"/>
      <c r="AO579" s="8"/>
      <c r="AP579" s="8"/>
      <c r="AQ579" s="8"/>
    </row>
    <row r="580" spans="1:43" outlineLevel="1" x14ac:dyDescent="0.15">
      <c r="A580" s="8"/>
      <c r="B580" s="8"/>
      <c r="C580" s="8"/>
      <c r="D580" s="8"/>
      <c r="E580" s="8"/>
      <c r="F580" s="8"/>
      <c r="G580" s="10"/>
      <c r="H580" s="11"/>
      <c r="I580" s="8"/>
      <c r="J580" s="9"/>
      <c r="K580" s="8"/>
      <c r="L580" s="9"/>
      <c r="M580" s="8"/>
      <c r="N580" s="11"/>
      <c r="O580" s="8"/>
      <c r="P580" s="9"/>
      <c r="Q580" s="8"/>
      <c r="R580" s="9"/>
      <c r="S580" s="8"/>
      <c r="T580" s="8"/>
      <c r="U580" s="8"/>
      <c r="V580" s="11"/>
      <c r="W580" s="8"/>
      <c r="X580" s="8"/>
      <c r="Y580" s="9"/>
      <c r="Z580" s="8"/>
      <c r="AA580" s="8"/>
      <c r="AB580" s="8"/>
      <c r="AC580" s="11"/>
      <c r="AD580" s="8"/>
      <c r="AE580" s="9"/>
      <c r="AF580" s="8"/>
      <c r="AG580" s="9"/>
      <c r="AH580" s="8"/>
      <c r="AI580" s="8"/>
      <c r="AJ580" s="8"/>
      <c r="AK580" s="11"/>
      <c r="AL580" s="8"/>
      <c r="AM580" s="8"/>
      <c r="AN580" s="9"/>
      <c r="AO580" s="8"/>
      <c r="AP580" s="8"/>
      <c r="AQ580" s="8"/>
    </row>
    <row r="581" spans="1:43" outlineLevel="1" x14ac:dyDescent="0.15">
      <c r="A581" s="8"/>
      <c r="B581" s="8"/>
      <c r="C581" s="8"/>
      <c r="D581" s="8"/>
      <c r="E581" s="8"/>
      <c r="F581" s="8"/>
      <c r="G581" s="10"/>
      <c r="H581" s="11"/>
      <c r="I581" s="8"/>
      <c r="J581" s="9"/>
      <c r="K581" s="8"/>
      <c r="L581" s="9"/>
      <c r="M581" s="8"/>
      <c r="N581" s="11"/>
      <c r="O581" s="8"/>
      <c r="P581" s="9"/>
      <c r="Q581" s="8"/>
      <c r="R581" s="9"/>
      <c r="S581" s="8"/>
      <c r="T581" s="8"/>
      <c r="U581" s="8"/>
      <c r="V581" s="11"/>
      <c r="W581" s="8"/>
      <c r="X581" s="8"/>
      <c r="Y581" s="9"/>
      <c r="Z581" s="8"/>
      <c r="AA581" s="8"/>
      <c r="AB581" s="8"/>
      <c r="AC581" s="11"/>
      <c r="AD581" s="8"/>
      <c r="AE581" s="9"/>
      <c r="AF581" s="8"/>
      <c r="AG581" s="9"/>
      <c r="AH581" s="8"/>
      <c r="AI581" s="8"/>
      <c r="AJ581" s="8"/>
      <c r="AK581" s="11"/>
      <c r="AL581" s="8"/>
      <c r="AM581" s="8"/>
      <c r="AN581" s="9"/>
      <c r="AO581" s="8"/>
      <c r="AP581" s="8"/>
      <c r="AQ581" s="8"/>
    </row>
    <row r="582" spans="1:43" outlineLevel="1" x14ac:dyDescent="0.15">
      <c r="A582" s="8"/>
      <c r="B582" s="8"/>
      <c r="C582" s="8"/>
      <c r="D582" s="8"/>
      <c r="E582" s="8"/>
      <c r="F582" s="8"/>
      <c r="G582" s="10"/>
      <c r="H582" s="11"/>
      <c r="I582" s="8"/>
      <c r="J582" s="9"/>
      <c r="K582" s="8"/>
      <c r="L582" s="9"/>
      <c r="M582" s="8"/>
      <c r="N582" s="11"/>
      <c r="O582" s="8"/>
      <c r="P582" s="9"/>
      <c r="Q582" s="8"/>
      <c r="R582" s="9"/>
      <c r="S582" s="8"/>
      <c r="T582" s="8"/>
      <c r="U582" s="8"/>
      <c r="V582" s="11"/>
      <c r="W582" s="8"/>
      <c r="X582" s="8"/>
      <c r="Y582" s="9"/>
      <c r="Z582" s="8"/>
      <c r="AA582" s="8"/>
      <c r="AB582" s="8"/>
      <c r="AC582" s="11"/>
      <c r="AD582" s="8"/>
      <c r="AE582" s="9"/>
      <c r="AF582" s="8"/>
      <c r="AG582" s="9"/>
      <c r="AH582" s="8"/>
      <c r="AI582" s="8"/>
      <c r="AJ582" s="8"/>
      <c r="AK582" s="11"/>
      <c r="AL582" s="8"/>
      <c r="AM582" s="8"/>
      <c r="AN582" s="9"/>
      <c r="AO582" s="8"/>
      <c r="AP582" s="8"/>
      <c r="AQ582" s="8"/>
    </row>
    <row r="583" spans="1:43" outlineLevel="1" x14ac:dyDescent="0.15">
      <c r="A583" s="8"/>
      <c r="B583" s="8"/>
      <c r="C583" s="8"/>
      <c r="D583" s="8"/>
      <c r="E583" s="8"/>
      <c r="F583" s="8"/>
      <c r="G583" s="10"/>
      <c r="H583" s="11"/>
      <c r="I583" s="8"/>
      <c r="J583" s="9"/>
      <c r="K583" s="8"/>
      <c r="L583" s="9"/>
      <c r="M583" s="8"/>
      <c r="N583" s="11"/>
      <c r="O583" s="8"/>
      <c r="P583" s="9"/>
      <c r="Q583" s="8"/>
      <c r="R583" s="9"/>
      <c r="S583" s="8"/>
      <c r="T583" s="8"/>
      <c r="U583" s="8"/>
      <c r="V583" s="11"/>
      <c r="W583" s="8"/>
      <c r="X583" s="8"/>
      <c r="Y583" s="9"/>
      <c r="Z583" s="8"/>
      <c r="AA583" s="8"/>
      <c r="AB583" s="8"/>
      <c r="AC583" s="11"/>
      <c r="AD583" s="8"/>
      <c r="AE583" s="9"/>
      <c r="AF583" s="8"/>
      <c r="AG583" s="9"/>
      <c r="AH583" s="8"/>
      <c r="AI583" s="8"/>
      <c r="AJ583" s="8"/>
      <c r="AK583" s="11"/>
      <c r="AL583" s="8"/>
      <c r="AM583" s="8"/>
      <c r="AN583" s="9"/>
      <c r="AO583" s="8"/>
      <c r="AP583" s="8"/>
      <c r="AQ583" s="8"/>
    </row>
    <row r="584" spans="1:43" outlineLevel="1" x14ac:dyDescent="0.15">
      <c r="A584" s="8"/>
      <c r="B584" s="8"/>
      <c r="C584" s="8"/>
      <c r="D584" s="8"/>
      <c r="E584" s="8"/>
      <c r="F584" s="8"/>
      <c r="G584" s="10"/>
      <c r="H584" s="11"/>
      <c r="I584" s="8"/>
      <c r="J584" s="9"/>
      <c r="K584" s="8"/>
      <c r="L584" s="9"/>
      <c r="M584" s="8"/>
      <c r="N584" s="11"/>
      <c r="O584" s="8"/>
      <c r="P584" s="9"/>
      <c r="Q584" s="8"/>
      <c r="R584" s="9"/>
      <c r="S584" s="8"/>
      <c r="T584" s="8"/>
      <c r="U584" s="8"/>
      <c r="V584" s="11"/>
      <c r="W584" s="8"/>
      <c r="X584" s="8"/>
      <c r="Y584" s="9"/>
      <c r="Z584" s="8"/>
      <c r="AA584" s="8"/>
      <c r="AB584" s="8"/>
      <c r="AC584" s="11"/>
      <c r="AD584" s="8"/>
      <c r="AE584" s="9"/>
      <c r="AF584" s="8"/>
      <c r="AG584" s="9"/>
      <c r="AH584" s="8"/>
      <c r="AI584" s="8"/>
      <c r="AJ584" s="8"/>
      <c r="AK584" s="11"/>
      <c r="AL584" s="8"/>
      <c r="AM584" s="8"/>
      <c r="AN584" s="9"/>
      <c r="AO584" s="8"/>
      <c r="AP584" s="8"/>
      <c r="AQ584" s="8"/>
    </row>
    <row r="585" spans="1:43" outlineLevel="1" x14ac:dyDescent="0.15">
      <c r="A585" s="8"/>
      <c r="B585" s="8"/>
      <c r="C585" s="8"/>
      <c r="D585" s="8"/>
      <c r="E585" s="8"/>
      <c r="F585" s="8"/>
      <c r="G585" s="10"/>
      <c r="H585" s="11"/>
      <c r="I585" s="8"/>
      <c r="J585" s="9"/>
      <c r="K585" s="8"/>
      <c r="L585" s="9"/>
      <c r="M585" s="8"/>
      <c r="N585" s="11"/>
      <c r="O585" s="8"/>
      <c r="P585" s="9"/>
      <c r="Q585" s="8"/>
      <c r="R585" s="9"/>
      <c r="S585" s="8"/>
      <c r="T585" s="8"/>
      <c r="U585" s="8"/>
      <c r="V585" s="11"/>
      <c r="W585" s="8"/>
      <c r="X585" s="8"/>
      <c r="Y585" s="9"/>
      <c r="Z585" s="8"/>
      <c r="AA585" s="8"/>
      <c r="AB585" s="8"/>
      <c r="AC585" s="11"/>
      <c r="AD585" s="8"/>
      <c r="AE585" s="9"/>
      <c r="AF585" s="8"/>
      <c r="AG585" s="9"/>
      <c r="AH585" s="8"/>
      <c r="AI585" s="8"/>
      <c r="AJ585" s="8"/>
      <c r="AK585" s="11"/>
      <c r="AL585" s="8"/>
      <c r="AM585" s="8"/>
      <c r="AN585" s="9"/>
      <c r="AO585" s="8"/>
      <c r="AP585" s="8"/>
      <c r="AQ585" s="8"/>
    </row>
    <row r="586" spans="1:43" outlineLevel="1" x14ac:dyDescent="0.15">
      <c r="A586" s="8"/>
      <c r="B586" s="8"/>
      <c r="C586" s="8"/>
      <c r="D586" s="8"/>
      <c r="E586" s="8"/>
      <c r="F586" s="8"/>
      <c r="G586" s="10"/>
      <c r="H586" s="11"/>
      <c r="I586" s="8"/>
      <c r="J586" s="9"/>
      <c r="K586" s="8"/>
      <c r="L586" s="9"/>
      <c r="M586" s="8"/>
      <c r="N586" s="11"/>
      <c r="O586" s="8"/>
      <c r="P586" s="9"/>
      <c r="Q586" s="8"/>
      <c r="R586" s="9"/>
      <c r="S586" s="8"/>
      <c r="T586" s="8"/>
      <c r="U586" s="8"/>
      <c r="V586" s="11"/>
      <c r="W586" s="8"/>
      <c r="X586" s="8"/>
      <c r="Y586" s="9"/>
      <c r="Z586" s="8"/>
      <c r="AA586" s="8"/>
      <c r="AB586" s="8"/>
      <c r="AC586" s="11"/>
      <c r="AD586" s="8"/>
      <c r="AE586" s="9"/>
      <c r="AF586" s="8"/>
      <c r="AG586" s="9"/>
      <c r="AH586" s="8"/>
      <c r="AI586" s="8"/>
      <c r="AJ586" s="8"/>
      <c r="AK586" s="11"/>
      <c r="AL586" s="8"/>
      <c r="AM586" s="8"/>
      <c r="AN586" s="9"/>
      <c r="AO586" s="8"/>
      <c r="AP586" s="8"/>
      <c r="AQ586" s="8"/>
    </row>
    <row r="587" spans="1:43" outlineLevel="1" x14ac:dyDescent="0.15">
      <c r="A587" s="8"/>
      <c r="B587" s="8"/>
      <c r="C587" s="8"/>
      <c r="D587" s="8"/>
      <c r="E587" s="8"/>
      <c r="F587" s="8"/>
      <c r="G587" s="10"/>
      <c r="H587" s="11"/>
      <c r="I587" s="8"/>
      <c r="J587" s="9"/>
      <c r="K587" s="8"/>
      <c r="L587" s="9"/>
      <c r="M587" s="8"/>
      <c r="N587" s="11"/>
      <c r="O587" s="8"/>
      <c r="P587" s="9"/>
      <c r="Q587" s="8"/>
      <c r="R587" s="9"/>
      <c r="S587" s="8"/>
      <c r="T587" s="8"/>
      <c r="U587" s="8"/>
      <c r="V587" s="11"/>
      <c r="W587" s="8"/>
      <c r="X587" s="8"/>
      <c r="Y587" s="9"/>
      <c r="Z587" s="8"/>
      <c r="AA587" s="8"/>
      <c r="AB587" s="8"/>
      <c r="AC587" s="11"/>
      <c r="AD587" s="8"/>
      <c r="AE587" s="9"/>
      <c r="AF587" s="8"/>
      <c r="AG587" s="9"/>
      <c r="AH587" s="8"/>
      <c r="AI587" s="8"/>
      <c r="AJ587" s="8"/>
      <c r="AK587" s="11"/>
      <c r="AL587" s="8"/>
      <c r="AM587" s="8"/>
      <c r="AN587" s="9"/>
      <c r="AO587" s="8"/>
      <c r="AP587" s="8"/>
      <c r="AQ587" s="8"/>
    </row>
    <row r="588" spans="1:43" x14ac:dyDescent="0.15">
      <c r="A588" s="8"/>
      <c r="B588" s="8"/>
      <c r="C588" s="8"/>
      <c r="D588" s="8"/>
      <c r="E588" s="8"/>
      <c r="F588" s="8"/>
      <c r="G588" s="10"/>
      <c r="H588" s="11"/>
      <c r="I588" s="8"/>
      <c r="J588" s="9"/>
      <c r="K588" s="8"/>
      <c r="L588" s="9"/>
      <c r="M588" s="8"/>
      <c r="N588" s="11"/>
      <c r="O588" s="8"/>
      <c r="P588" s="9"/>
      <c r="Q588" s="8"/>
      <c r="R588" s="9"/>
      <c r="S588" s="8"/>
      <c r="T588" s="8"/>
      <c r="U588" s="8"/>
      <c r="V588" s="11"/>
      <c r="W588" s="8"/>
      <c r="X588" s="8"/>
      <c r="Y588" s="9"/>
      <c r="Z588" s="8"/>
      <c r="AA588" s="8"/>
      <c r="AB588" s="8"/>
      <c r="AC588" s="11"/>
      <c r="AD588" s="8"/>
      <c r="AE588" s="9"/>
      <c r="AF588" s="8"/>
      <c r="AG588" s="9"/>
      <c r="AH588" s="8"/>
      <c r="AI588" s="8"/>
      <c r="AJ588" s="8"/>
      <c r="AK588" s="11"/>
      <c r="AL588" s="8"/>
      <c r="AM588" s="8"/>
      <c r="AN588" s="9"/>
      <c r="AO588" s="8"/>
      <c r="AP588" s="8"/>
      <c r="AQ588" s="8"/>
    </row>
    <row r="589" spans="1:43" x14ac:dyDescent="0.15">
      <c r="A589" s="8"/>
      <c r="B589" s="8"/>
      <c r="C589" s="8"/>
      <c r="D589" s="8"/>
      <c r="E589" s="8"/>
      <c r="F589" s="8"/>
      <c r="G589" s="10"/>
      <c r="H589" s="11"/>
      <c r="I589" s="8"/>
      <c r="J589" s="9"/>
      <c r="K589" s="8"/>
      <c r="L589" s="9"/>
      <c r="M589" s="8"/>
      <c r="N589" s="11"/>
      <c r="O589" s="8"/>
      <c r="P589" s="9"/>
      <c r="Q589" s="8"/>
      <c r="R589" s="9"/>
      <c r="S589" s="8"/>
      <c r="T589" s="8"/>
      <c r="U589" s="8"/>
      <c r="V589" s="11"/>
      <c r="W589" s="8"/>
      <c r="X589" s="8"/>
      <c r="Y589" s="9"/>
      <c r="Z589" s="8"/>
      <c r="AA589" s="8"/>
      <c r="AB589" s="8"/>
      <c r="AC589" s="11"/>
      <c r="AD589" s="8"/>
      <c r="AE589" s="9"/>
      <c r="AF589" s="8"/>
      <c r="AG589" s="9"/>
      <c r="AH589" s="8"/>
      <c r="AI589" s="8"/>
      <c r="AJ589" s="8"/>
      <c r="AK589" s="11"/>
      <c r="AL589" s="8"/>
      <c r="AM589" s="8"/>
      <c r="AN589" s="9"/>
      <c r="AO589" s="8"/>
      <c r="AP589" s="8"/>
      <c r="AQ589" s="8"/>
    </row>
    <row r="590" spans="1:43" x14ac:dyDescent="0.15">
      <c r="A590" s="8"/>
      <c r="B590" s="8"/>
      <c r="C590" s="8"/>
      <c r="D590" s="8"/>
      <c r="E590" s="8"/>
      <c r="F590" s="8"/>
      <c r="G590" s="10"/>
      <c r="H590" s="11"/>
      <c r="I590" s="8"/>
      <c r="J590" s="9"/>
      <c r="K590" s="8"/>
      <c r="L590" s="9"/>
      <c r="M590" s="8"/>
      <c r="N590" s="11"/>
      <c r="O590" s="8"/>
      <c r="P590" s="9"/>
      <c r="Q590" s="8"/>
      <c r="R590" s="9"/>
      <c r="S590" s="8"/>
      <c r="T590" s="8"/>
      <c r="U590" s="8"/>
      <c r="V590" s="11"/>
      <c r="W590" s="8"/>
      <c r="X590" s="8"/>
      <c r="Y590" s="9"/>
      <c r="Z590" s="8"/>
      <c r="AA590" s="8"/>
      <c r="AB590" s="8"/>
      <c r="AC590" s="11"/>
      <c r="AD590" s="8"/>
      <c r="AE590" s="9"/>
      <c r="AF590" s="8"/>
      <c r="AG590" s="9"/>
      <c r="AH590" s="8"/>
      <c r="AI590" s="8"/>
      <c r="AJ590" s="8"/>
      <c r="AK590" s="11"/>
      <c r="AL590" s="8"/>
      <c r="AM590" s="8"/>
      <c r="AN590" s="9"/>
      <c r="AO590" s="8"/>
      <c r="AP590" s="8"/>
      <c r="AQ590" s="8"/>
    </row>
    <row r="591" spans="1:43" x14ac:dyDescent="0.15">
      <c r="A591" s="8"/>
      <c r="B591" s="8"/>
      <c r="C591" s="8"/>
      <c r="D591" s="8"/>
      <c r="E591" s="8"/>
      <c r="F591" s="8"/>
      <c r="G591" s="10"/>
      <c r="H591" s="11"/>
      <c r="I591" s="8"/>
      <c r="J591" s="9"/>
      <c r="K591" s="8"/>
      <c r="L591" s="9"/>
      <c r="M591" s="8"/>
      <c r="N591" s="11"/>
      <c r="O591" s="8"/>
      <c r="P591" s="9"/>
      <c r="Q591" s="8"/>
      <c r="R591" s="9"/>
      <c r="S591" s="8"/>
      <c r="T591" s="8"/>
      <c r="U591" s="8"/>
      <c r="V591" s="11"/>
      <c r="W591" s="8"/>
      <c r="X591" s="8"/>
      <c r="Y591" s="9"/>
      <c r="Z591" s="8"/>
      <c r="AA591" s="8"/>
      <c r="AB591" s="8"/>
      <c r="AC591" s="11"/>
      <c r="AD591" s="8"/>
      <c r="AE591" s="9"/>
      <c r="AF591" s="8"/>
      <c r="AG591" s="9"/>
      <c r="AH591" s="8"/>
      <c r="AI591" s="8"/>
      <c r="AJ591" s="8"/>
      <c r="AK591" s="11"/>
      <c r="AL591" s="8"/>
      <c r="AM591" s="8"/>
      <c r="AN591" s="9"/>
      <c r="AO591" s="8"/>
      <c r="AP591" s="8"/>
      <c r="AQ591" s="8"/>
    </row>
    <row r="592" spans="1:43" x14ac:dyDescent="0.15">
      <c r="A592" s="8"/>
      <c r="B592" s="8"/>
      <c r="C592" s="8"/>
      <c r="D592" s="8"/>
      <c r="E592" s="8"/>
      <c r="F592" s="8"/>
      <c r="G592" s="10"/>
      <c r="H592" s="11"/>
      <c r="I592" s="8"/>
      <c r="J592" s="9"/>
      <c r="K592" s="8"/>
      <c r="L592" s="9"/>
      <c r="M592" s="8"/>
      <c r="N592" s="11"/>
      <c r="O592" s="8"/>
      <c r="P592" s="9"/>
      <c r="Q592" s="8"/>
      <c r="R592" s="9"/>
      <c r="S592" s="8"/>
      <c r="T592" s="8"/>
      <c r="U592" s="8"/>
      <c r="V592" s="11"/>
      <c r="W592" s="8"/>
      <c r="X592" s="8"/>
      <c r="Y592" s="9"/>
      <c r="Z592" s="8"/>
      <c r="AA592" s="8"/>
      <c r="AB592" s="8"/>
      <c r="AC592" s="11"/>
      <c r="AD592" s="8"/>
      <c r="AE592" s="9"/>
      <c r="AF592" s="8"/>
      <c r="AG592" s="9"/>
      <c r="AH592" s="8"/>
      <c r="AI592" s="8"/>
      <c r="AJ592" s="8"/>
      <c r="AK592" s="11"/>
      <c r="AL592" s="8"/>
      <c r="AM592" s="8"/>
      <c r="AN592" s="9"/>
      <c r="AO592" s="8"/>
      <c r="AP592" s="8"/>
      <c r="AQ592" s="8"/>
    </row>
    <row r="593" spans="1:43" x14ac:dyDescent="0.15">
      <c r="A593" s="8"/>
      <c r="B593" s="8"/>
      <c r="C593" s="8"/>
      <c r="D593" s="8"/>
      <c r="E593" s="8"/>
      <c r="F593" s="8"/>
      <c r="G593" s="10"/>
      <c r="H593" s="11"/>
      <c r="I593" s="8"/>
      <c r="J593" s="9"/>
      <c r="K593" s="8"/>
      <c r="L593" s="9"/>
      <c r="M593" s="8"/>
      <c r="N593" s="11"/>
      <c r="O593" s="8"/>
      <c r="P593" s="9"/>
      <c r="Q593" s="8"/>
      <c r="R593" s="9"/>
      <c r="S593" s="8"/>
      <c r="T593" s="8"/>
      <c r="U593" s="8"/>
      <c r="V593" s="11"/>
      <c r="W593" s="8"/>
      <c r="X593" s="8"/>
      <c r="Y593" s="9"/>
      <c r="Z593" s="8"/>
      <c r="AA593" s="8"/>
      <c r="AB593" s="8"/>
      <c r="AC593" s="11"/>
      <c r="AD593" s="8"/>
      <c r="AE593" s="9"/>
      <c r="AF593" s="8"/>
      <c r="AG593" s="9"/>
      <c r="AH593" s="8"/>
      <c r="AI593" s="8"/>
      <c r="AJ593" s="8"/>
      <c r="AK593" s="11"/>
      <c r="AL593" s="8"/>
      <c r="AM593" s="8"/>
      <c r="AN593" s="9"/>
      <c r="AO593" s="8"/>
      <c r="AP593" s="8"/>
      <c r="AQ593" s="8"/>
    </row>
    <row r="594" spans="1:43" x14ac:dyDescent="0.15">
      <c r="A594" s="8"/>
      <c r="B594" s="8"/>
      <c r="C594" s="8"/>
      <c r="D594" s="8"/>
      <c r="E594" s="8"/>
      <c r="F594" s="8"/>
      <c r="G594" s="10"/>
      <c r="H594" s="11"/>
      <c r="I594" s="8"/>
      <c r="J594" s="9"/>
      <c r="K594" s="8"/>
      <c r="L594" s="9"/>
      <c r="M594" s="8"/>
      <c r="N594" s="11"/>
      <c r="O594" s="8"/>
      <c r="P594" s="9"/>
      <c r="Q594" s="8"/>
      <c r="R594" s="9"/>
      <c r="S594" s="8"/>
      <c r="T594" s="8"/>
      <c r="U594" s="8"/>
      <c r="V594" s="11"/>
      <c r="W594" s="8"/>
      <c r="X594" s="8"/>
      <c r="Y594" s="9"/>
      <c r="Z594" s="8"/>
      <c r="AA594" s="8"/>
      <c r="AB594" s="8"/>
      <c r="AC594" s="11"/>
      <c r="AD594" s="8"/>
      <c r="AE594" s="9"/>
      <c r="AF594" s="8"/>
      <c r="AG594" s="9"/>
      <c r="AH594" s="8"/>
      <c r="AI594" s="8"/>
      <c r="AJ594" s="8"/>
      <c r="AK594" s="11"/>
      <c r="AL594" s="8"/>
      <c r="AM594" s="8"/>
      <c r="AN594" s="9"/>
      <c r="AO594" s="8"/>
      <c r="AP594" s="8"/>
      <c r="AQ594" s="8"/>
    </row>
    <row r="595" spans="1:43" x14ac:dyDescent="0.15">
      <c r="A595" s="8"/>
      <c r="B595" s="8"/>
      <c r="C595" s="8"/>
      <c r="D595" s="8"/>
      <c r="E595" s="8"/>
      <c r="F595" s="8"/>
      <c r="G595" s="10"/>
      <c r="H595" s="11"/>
      <c r="I595" s="8"/>
      <c r="J595" s="9"/>
      <c r="K595" s="8"/>
      <c r="L595" s="9"/>
      <c r="M595" s="8"/>
      <c r="N595" s="11"/>
      <c r="O595" s="8"/>
      <c r="P595" s="9"/>
      <c r="Q595" s="8"/>
      <c r="R595" s="9"/>
      <c r="S595" s="8"/>
      <c r="T595" s="8"/>
      <c r="U595" s="8"/>
      <c r="V595" s="11"/>
      <c r="W595" s="8"/>
      <c r="X595" s="8"/>
      <c r="Y595" s="9"/>
      <c r="Z595" s="8"/>
      <c r="AA595" s="8"/>
      <c r="AB595" s="8"/>
      <c r="AC595" s="11"/>
      <c r="AD595" s="8"/>
      <c r="AE595" s="9"/>
      <c r="AF595" s="8"/>
      <c r="AG595" s="9"/>
      <c r="AH595" s="8"/>
      <c r="AI595" s="8"/>
      <c r="AJ595" s="8"/>
      <c r="AK595" s="11"/>
      <c r="AL595" s="8"/>
      <c r="AM595" s="8"/>
      <c r="AN595" s="9"/>
      <c r="AO595" s="8"/>
      <c r="AP595" s="8"/>
      <c r="AQ595" s="8"/>
    </row>
    <row r="596" spans="1:43" x14ac:dyDescent="0.15">
      <c r="A596" s="8"/>
      <c r="B596" s="8"/>
      <c r="C596" s="8"/>
      <c r="D596" s="8"/>
      <c r="E596" s="8"/>
      <c r="F596" s="8"/>
      <c r="G596" s="10"/>
      <c r="H596" s="11"/>
      <c r="I596" s="8"/>
      <c r="J596" s="9"/>
      <c r="K596" s="8"/>
      <c r="L596" s="9"/>
      <c r="M596" s="8"/>
      <c r="N596" s="11"/>
      <c r="O596" s="8"/>
      <c r="P596" s="9"/>
      <c r="Q596" s="8"/>
      <c r="R596" s="9"/>
      <c r="S596" s="8"/>
      <c r="T596" s="8"/>
      <c r="U596" s="8"/>
      <c r="V596" s="11"/>
      <c r="W596" s="8"/>
      <c r="X596" s="8"/>
      <c r="Y596" s="9"/>
      <c r="Z596" s="8"/>
      <c r="AA596" s="8"/>
      <c r="AB596" s="8"/>
      <c r="AC596" s="11"/>
      <c r="AD596" s="8"/>
      <c r="AE596" s="9"/>
      <c r="AF596" s="8"/>
      <c r="AG596" s="9"/>
      <c r="AH596" s="8"/>
      <c r="AI596" s="8"/>
      <c r="AJ596" s="8"/>
      <c r="AK596" s="11"/>
      <c r="AL596" s="8"/>
      <c r="AM596" s="8"/>
      <c r="AN596" s="9"/>
      <c r="AO596" s="8"/>
      <c r="AP596" s="8"/>
      <c r="AQ596" s="8"/>
    </row>
    <row r="597" spans="1:43" outlineLevel="1" x14ac:dyDescent="0.15">
      <c r="A597" s="8"/>
      <c r="B597" s="8"/>
      <c r="C597" s="8"/>
      <c r="D597" s="8"/>
      <c r="E597" s="8"/>
      <c r="F597" s="8"/>
      <c r="G597" s="10"/>
      <c r="H597" s="11"/>
      <c r="I597" s="8"/>
      <c r="J597" s="9"/>
      <c r="K597" s="8"/>
      <c r="L597" s="9"/>
      <c r="M597" s="8"/>
      <c r="N597" s="11"/>
      <c r="O597" s="8"/>
      <c r="P597" s="9"/>
      <c r="Q597" s="8"/>
      <c r="R597" s="9"/>
      <c r="S597" s="8"/>
      <c r="T597" s="8"/>
      <c r="U597" s="8"/>
      <c r="V597" s="11"/>
      <c r="W597" s="8"/>
      <c r="X597" s="8"/>
      <c r="Y597" s="9"/>
      <c r="Z597" s="8"/>
      <c r="AA597" s="8"/>
      <c r="AB597" s="8"/>
      <c r="AC597" s="11"/>
      <c r="AD597" s="8"/>
      <c r="AE597" s="9"/>
      <c r="AF597" s="8"/>
      <c r="AG597" s="9"/>
      <c r="AH597" s="8"/>
      <c r="AI597" s="8"/>
      <c r="AJ597" s="8"/>
      <c r="AK597" s="11"/>
      <c r="AL597" s="8"/>
      <c r="AM597" s="8"/>
      <c r="AN597" s="9"/>
      <c r="AO597" s="8"/>
      <c r="AP597" s="8"/>
      <c r="AQ597" s="8"/>
    </row>
    <row r="598" spans="1:43" outlineLevel="1" x14ac:dyDescent="0.15">
      <c r="A598" s="8"/>
      <c r="B598" s="8"/>
      <c r="C598" s="8"/>
      <c r="D598" s="8"/>
      <c r="E598" s="8"/>
      <c r="F598" s="8"/>
      <c r="G598" s="10"/>
      <c r="H598" s="11"/>
      <c r="I598" s="8"/>
      <c r="J598" s="9"/>
      <c r="K598" s="8"/>
      <c r="L598" s="9"/>
      <c r="M598" s="8"/>
      <c r="N598" s="11"/>
      <c r="O598" s="8"/>
      <c r="P598" s="9"/>
      <c r="Q598" s="8"/>
      <c r="R598" s="9"/>
      <c r="S598" s="8"/>
      <c r="T598" s="8"/>
      <c r="U598" s="8"/>
      <c r="V598" s="11"/>
      <c r="W598" s="8"/>
      <c r="X598" s="8"/>
      <c r="Y598" s="9"/>
      <c r="Z598" s="8"/>
      <c r="AA598" s="8"/>
      <c r="AB598" s="8"/>
      <c r="AC598" s="11"/>
      <c r="AD598" s="8"/>
      <c r="AE598" s="9"/>
      <c r="AF598" s="8"/>
      <c r="AG598" s="9"/>
      <c r="AH598" s="8"/>
      <c r="AI598" s="8"/>
      <c r="AJ598" s="8"/>
      <c r="AK598" s="11"/>
      <c r="AL598" s="8"/>
      <c r="AM598" s="8"/>
      <c r="AN598" s="9"/>
      <c r="AO598" s="8"/>
      <c r="AP598" s="8"/>
      <c r="AQ598" s="8"/>
    </row>
    <row r="599" spans="1:43" outlineLevel="1" x14ac:dyDescent="0.15">
      <c r="A599" s="8"/>
      <c r="B599" s="8"/>
      <c r="C599" s="8"/>
      <c r="D599" s="8"/>
      <c r="E599" s="8"/>
      <c r="F599" s="8"/>
      <c r="G599" s="10"/>
      <c r="H599" s="11"/>
      <c r="I599" s="8"/>
      <c r="J599" s="9"/>
      <c r="K599" s="8"/>
      <c r="L599" s="9"/>
      <c r="M599" s="8"/>
      <c r="N599" s="11"/>
      <c r="O599" s="8"/>
      <c r="P599" s="9"/>
      <c r="Q599" s="8"/>
      <c r="R599" s="9"/>
      <c r="S599" s="8"/>
      <c r="T599" s="8"/>
      <c r="U599" s="8"/>
      <c r="V599" s="11"/>
      <c r="W599" s="8"/>
      <c r="X599" s="8"/>
      <c r="Y599" s="9"/>
      <c r="Z599" s="8"/>
      <c r="AA599" s="8"/>
      <c r="AB599" s="8"/>
      <c r="AC599" s="11"/>
      <c r="AD599" s="8"/>
      <c r="AE599" s="9"/>
      <c r="AF599" s="8"/>
      <c r="AG599" s="9"/>
      <c r="AH599" s="8"/>
      <c r="AI599" s="8"/>
      <c r="AJ599" s="8"/>
      <c r="AK599" s="11"/>
      <c r="AL599" s="8"/>
      <c r="AM599" s="8"/>
      <c r="AN599" s="9"/>
      <c r="AO599" s="8"/>
      <c r="AP599" s="8"/>
      <c r="AQ599" s="8"/>
    </row>
    <row r="600" spans="1:43" outlineLevel="1" x14ac:dyDescent="0.15">
      <c r="A600" s="8"/>
      <c r="B600" s="8"/>
      <c r="C600" s="8"/>
      <c r="D600" s="8"/>
      <c r="E600" s="8"/>
      <c r="F600" s="8"/>
      <c r="G600" s="10"/>
      <c r="H600" s="11"/>
      <c r="I600" s="8"/>
      <c r="J600" s="9"/>
      <c r="K600" s="8"/>
      <c r="L600" s="9"/>
      <c r="M600" s="8"/>
      <c r="N600" s="11"/>
      <c r="O600" s="8"/>
      <c r="P600" s="9"/>
      <c r="Q600" s="8"/>
      <c r="R600" s="9"/>
      <c r="S600" s="8"/>
      <c r="T600" s="8"/>
      <c r="U600" s="8"/>
      <c r="V600" s="11"/>
      <c r="W600" s="8"/>
      <c r="X600" s="8"/>
      <c r="Y600" s="9"/>
      <c r="Z600" s="8"/>
      <c r="AA600" s="8"/>
      <c r="AB600" s="8"/>
      <c r="AC600" s="11"/>
      <c r="AD600" s="8"/>
      <c r="AE600" s="9"/>
      <c r="AF600" s="8"/>
      <c r="AG600" s="9"/>
      <c r="AH600" s="8"/>
      <c r="AI600" s="8"/>
      <c r="AJ600" s="8"/>
      <c r="AK600" s="11"/>
      <c r="AL600" s="8"/>
      <c r="AM600" s="8"/>
      <c r="AN600" s="9"/>
      <c r="AO600" s="8"/>
      <c r="AP600" s="8"/>
      <c r="AQ600" s="8"/>
    </row>
    <row r="601" spans="1:43" x14ac:dyDescent="0.15">
      <c r="A601" s="8"/>
      <c r="B601" s="8"/>
      <c r="C601" s="8"/>
      <c r="D601" s="8"/>
      <c r="E601" s="8"/>
      <c r="F601" s="8"/>
      <c r="G601" s="10"/>
      <c r="H601" s="11"/>
      <c r="I601" s="8"/>
      <c r="J601" s="9"/>
      <c r="K601" s="8"/>
      <c r="L601" s="9"/>
      <c r="M601" s="8"/>
      <c r="N601" s="11"/>
      <c r="O601" s="8"/>
      <c r="P601" s="9"/>
      <c r="Q601" s="8"/>
      <c r="R601" s="9"/>
      <c r="S601" s="8"/>
      <c r="T601" s="8"/>
      <c r="U601" s="8"/>
      <c r="V601" s="11"/>
      <c r="W601" s="8"/>
      <c r="X601" s="8"/>
      <c r="Y601" s="9"/>
      <c r="Z601" s="8"/>
      <c r="AA601" s="8"/>
      <c r="AB601" s="8"/>
      <c r="AC601" s="11"/>
      <c r="AD601" s="8"/>
      <c r="AE601" s="9"/>
      <c r="AF601" s="8"/>
      <c r="AG601" s="9"/>
      <c r="AH601" s="8"/>
      <c r="AI601" s="8"/>
      <c r="AJ601" s="8"/>
      <c r="AK601" s="11"/>
      <c r="AL601" s="8"/>
      <c r="AM601" s="8"/>
      <c r="AN601" s="9"/>
      <c r="AO601" s="8"/>
      <c r="AP601" s="8"/>
      <c r="AQ601" s="8"/>
    </row>
    <row r="602" spans="1:43" x14ac:dyDescent="0.15">
      <c r="A602" s="8"/>
      <c r="B602" s="8"/>
      <c r="C602" s="8"/>
      <c r="D602" s="8"/>
      <c r="E602" s="8"/>
      <c r="F602" s="8"/>
      <c r="G602" s="10"/>
      <c r="H602" s="11"/>
      <c r="I602" s="8"/>
      <c r="J602" s="9"/>
      <c r="K602" s="8"/>
      <c r="L602" s="9"/>
      <c r="M602" s="8"/>
      <c r="N602" s="11"/>
      <c r="O602" s="8"/>
      <c r="P602" s="9"/>
      <c r="Q602" s="8"/>
      <c r="R602" s="9"/>
      <c r="S602" s="8"/>
      <c r="T602" s="8"/>
      <c r="U602" s="8"/>
      <c r="V602" s="11"/>
      <c r="W602" s="8"/>
      <c r="X602" s="8"/>
      <c r="Y602" s="9"/>
      <c r="Z602" s="8"/>
      <c r="AA602" s="8"/>
      <c r="AB602" s="8"/>
      <c r="AC602" s="11"/>
      <c r="AD602" s="8"/>
      <c r="AE602" s="9"/>
      <c r="AF602" s="8"/>
      <c r="AG602" s="9"/>
      <c r="AH602" s="8"/>
      <c r="AI602" s="8"/>
      <c r="AJ602" s="8"/>
      <c r="AK602" s="11"/>
      <c r="AL602" s="8"/>
      <c r="AM602" s="8"/>
      <c r="AN602" s="9"/>
      <c r="AO602" s="8"/>
      <c r="AP602" s="8"/>
      <c r="AQ602" s="8"/>
    </row>
    <row r="603" spans="1:43" x14ac:dyDescent="0.15">
      <c r="A603" s="8"/>
      <c r="B603" s="8"/>
      <c r="C603" s="8"/>
      <c r="D603" s="8"/>
      <c r="E603" s="8"/>
      <c r="F603" s="8"/>
      <c r="G603" s="10"/>
      <c r="H603" s="11"/>
      <c r="I603" s="8"/>
      <c r="J603" s="9"/>
      <c r="K603" s="8"/>
      <c r="L603" s="9"/>
      <c r="M603" s="8"/>
      <c r="N603" s="11"/>
      <c r="O603" s="8"/>
      <c r="P603" s="9"/>
      <c r="Q603" s="8"/>
      <c r="R603" s="9"/>
      <c r="S603" s="8"/>
      <c r="T603" s="8"/>
      <c r="U603" s="8"/>
      <c r="V603" s="11"/>
      <c r="W603" s="8"/>
      <c r="X603" s="8"/>
      <c r="Y603" s="9"/>
      <c r="Z603" s="8"/>
      <c r="AA603" s="8"/>
      <c r="AB603" s="8"/>
      <c r="AC603" s="11"/>
      <c r="AD603" s="8"/>
      <c r="AE603" s="9"/>
      <c r="AF603" s="8"/>
      <c r="AG603" s="9"/>
      <c r="AH603" s="8"/>
      <c r="AI603" s="8"/>
      <c r="AJ603" s="8"/>
      <c r="AK603" s="11"/>
      <c r="AL603" s="8"/>
      <c r="AM603" s="8"/>
      <c r="AN603" s="9"/>
      <c r="AO603" s="8"/>
      <c r="AP603" s="8"/>
      <c r="AQ603" s="8"/>
    </row>
    <row r="604" spans="1:43" x14ac:dyDescent="0.15">
      <c r="A604" s="8"/>
      <c r="B604" s="8"/>
      <c r="C604" s="8"/>
      <c r="D604" s="8"/>
      <c r="E604" s="8"/>
      <c r="F604" s="8"/>
      <c r="G604" s="10"/>
      <c r="H604" s="11"/>
      <c r="I604" s="8"/>
      <c r="J604" s="9"/>
      <c r="K604" s="8"/>
      <c r="L604" s="9"/>
      <c r="M604" s="8"/>
      <c r="N604" s="11"/>
      <c r="O604" s="8"/>
      <c r="P604" s="9"/>
      <c r="Q604" s="8"/>
      <c r="R604" s="9"/>
      <c r="S604" s="8"/>
      <c r="T604" s="8"/>
      <c r="U604" s="8"/>
      <c r="V604" s="11"/>
      <c r="W604" s="8"/>
      <c r="X604" s="8"/>
      <c r="Y604" s="9"/>
      <c r="Z604" s="8"/>
      <c r="AA604" s="8"/>
      <c r="AB604" s="8"/>
      <c r="AC604" s="11"/>
      <c r="AD604" s="8"/>
      <c r="AE604" s="9"/>
      <c r="AF604" s="8"/>
      <c r="AG604" s="9"/>
      <c r="AH604" s="8"/>
      <c r="AI604" s="8"/>
      <c r="AJ604" s="8"/>
      <c r="AK604" s="11"/>
      <c r="AL604" s="8"/>
      <c r="AM604" s="8"/>
      <c r="AN604" s="9"/>
      <c r="AO604" s="8"/>
      <c r="AP604" s="8"/>
      <c r="AQ604" s="8"/>
    </row>
    <row r="605" spans="1:43" outlineLevel="1" x14ac:dyDescent="0.15">
      <c r="A605" s="8"/>
      <c r="B605" s="8"/>
      <c r="C605" s="8"/>
      <c r="D605" s="8"/>
      <c r="E605" s="8"/>
      <c r="F605" s="8"/>
      <c r="G605" s="10"/>
      <c r="H605" s="11"/>
      <c r="I605" s="8"/>
      <c r="J605" s="9"/>
      <c r="K605" s="8"/>
      <c r="L605" s="9"/>
      <c r="M605" s="8"/>
      <c r="N605" s="11"/>
      <c r="O605" s="8"/>
      <c r="P605" s="9"/>
      <c r="Q605" s="8"/>
      <c r="R605" s="9"/>
      <c r="S605" s="8"/>
      <c r="T605" s="8"/>
      <c r="U605" s="8"/>
      <c r="V605" s="11"/>
      <c r="W605" s="8"/>
      <c r="X605" s="8"/>
      <c r="Y605" s="9"/>
      <c r="Z605" s="8"/>
      <c r="AA605" s="8"/>
      <c r="AB605" s="8"/>
      <c r="AC605" s="11"/>
      <c r="AD605" s="8"/>
      <c r="AE605" s="9"/>
      <c r="AF605" s="8"/>
      <c r="AG605" s="9"/>
      <c r="AH605" s="8"/>
      <c r="AI605" s="8"/>
      <c r="AJ605" s="8"/>
      <c r="AK605" s="11"/>
      <c r="AL605" s="8"/>
      <c r="AM605" s="8"/>
      <c r="AN605" s="9"/>
      <c r="AO605" s="8"/>
      <c r="AP605" s="8"/>
      <c r="AQ605" s="8"/>
    </row>
    <row r="606" spans="1:43" outlineLevel="1" x14ac:dyDescent="0.15">
      <c r="A606" s="8"/>
      <c r="B606" s="8"/>
      <c r="C606" s="8"/>
      <c r="D606" s="8"/>
      <c r="E606" s="8"/>
      <c r="F606" s="8"/>
      <c r="G606" s="10"/>
      <c r="H606" s="11"/>
      <c r="I606" s="8"/>
      <c r="J606" s="9"/>
      <c r="K606" s="8"/>
      <c r="L606" s="9"/>
      <c r="M606" s="8"/>
      <c r="N606" s="11"/>
      <c r="O606" s="8"/>
      <c r="P606" s="9"/>
      <c r="Q606" s="8"/>
      <c r="R606" s="9"/>
      <c r="S606" s="8"/>
      <c r="T606" s="8"/>
      <c r="U606" s="8"/>
      <c r="V606" s="11"/>
      <c r="W606" s="8"/>
      <c r="X606" s="8"/>
      <c r="Y606" s="9"/>
      <c r="Z606" s="8"/>
      <c r="AA606" s="8"/>
      <c r="AB606" s="8"/>
      <c r="AC606" s="11"/>
      <c r="AD606" s="8"/>
      <c r="AE606" s="9"/>
      <c r="AF606" s="8"/>
      <c r="AG606" s="9"/>
      <c r="AH606" s="8"/>
      <c r="AI606" s="8"/>
      <c r="AJ606" s="8"/>
      <c r="AK606" s="11"/>
      <c r="AL606" s="8"/>
      <c r="AM606" s="8"/>
      <c r="AN606" s="9"/>
      <c r="AO606" s="8"/>
      <c r="AP606" s="8"/>
      <c r="AQ606" s="8"/>
    </row>
    <row r="607" spans="1:43" x14ac:dyDescent="0.15">
      <c r="A607" s="8"/>
      <c r="B607" s="8"/>
      <c r="C607" s="8"/>
      <c r="D607" s="8"/>
      <c r="E607" s="8"/>
      <c r="F607" s="8"/>
      <c r="G607" s="10"/>
      <c r="H607" s="11"/>
      <c r="I607" s="8"/>
      <c r="J607" s="9"/>
      <c r="K607" s="8"/>
      <c r="L607" s="9"/>
      <c r="M607" s="8"/>
      <c r="N607" s="11"/>
      <c r="O607" s="8"/>
      <c r="P607" s="9"/>
      <c r="Q607" s="8"/>
      <c r="R607" s="9"/>
      <c r="S607" s="8"/>
      <c r="T607" s="8"/>
      <c r="U607" s="8"/>
      <c r="V607" s="11"/>
      <c r="W607" s="8"/>
      <c r="X607" s="8"/>
      <c r="Y607" s="9"/>
      <c r="Z607" s="8"/>
      <c r="AA607" s="8"/>
      <c r="AB607" s="8"/>
      <c r="AC607" s="11"/>
      <c r="AD607" s="8"/>
      <c r="AE607" s="9"/>
      <c r="AF607" s="8"/>
      <c r="AG607" s="9"/>
      <c r="AH607" s="8"/>
      <c r="AI607" s="8"/>
      <c r="AJ607" s="8"/>
      <c r="AK607" s="11"/>
      <c r="AL607" s="8"/>
      <c r="AM607" s="8"/>
      <c r="AN607" s="9"/>
      <c r="AO607" s="8"/>
      <c r="AP607" s="8"/>
      <c r="AQ607" s="8"/>
    </row>
    <row r="608" spans="1:43" x14ac:dyDescent="0.15">
      <c r="A608" s="8"/>
      <c r="B608" s="8"/>
      <c r="C608" s="8"/>
      <c r="D608" s="8"/>
      <c r="E608" s="8"/>
      <c r="F608" s="8"/>
      <c r="G608" s="10"/>
      <c r="H608" s="11"/>
      <c r="I608" s="8"/>
      <c r="J608" s="9"/>
      <c r="K608" s="8"/>
      <c r="L608" s="9"/>
      <c r="M608" s="8"/>
      <c r="N608" s="11"/>
      <c r="O608" s="8"/>
      <c r="P608" s="9"/>
      <c r="Q608" s="8"/>
      <c r="R608" s="9"/>
      <c r="S608" s="8"/>
      <c r="T608" s="8"/>
      <c r="U608" s="8"/>
      <c r="V608" s="11"/>
      <c r="W608" s="8"/>
      <c r="X608" s="8"/>
      <c r="Y608" s="9"/>
      <c r="Z608" s="8"/>
      <c r="AA608" s="8"/>
      <c r="AB608" s="8"/>
      <c r="AC608" s="11"/>
      <c r="AD608" s="8"/>
      <c r="AE608" s="9"/>
      <c r="AF608" s="8"/>
      <c r="AG608" s="9"/>
      <c r="AH608" s="8"/>
      <c r="AI608" s="8"/>
      <c r="AJ608" s="8"/>
      <c r="AK608" s="11"/>
      <c r="AL608" s="8"/>
      <c r="AM608" s="8"/>
      <c r="AN608" s="9"/>
      <c r="AO608" s="8"/>
      <c r="AP608" s="8"/>
      <c r="AQ608" s="8"/>
    </row>
    <row r="609" spans="1:43" x14ac:dyDescent="0.15">
      <c r="A609" s="8"/>
      <c r="B609" s="8"/>
      <c r="C609" s="8"/>
      <c r="D609" s="8"/>
      <c r="E609" s="8"/>
      <c r="F609" s="8"/>
      <c r="G609" s="10"/>
      <c r="H609" s="11"/>
      <c r="I609" s="8"/>
      <c r="J609" s="9"/>
      <c r="K609" s="8"/>
      <c r="L609" s="9"/>
      <c r="M609" s="8"/>
      <c r="N609" s="11"/>
      <c r="O609" s="8"/>
      <c r="P609" s="9"/>
      <c r="Q609" s="8"/>
      <c r="R609" s="9"/>
      <c r="S609" s="8"/>
      <c r="T609" s="8"/>
      <c r="U609" s="8"/>
      <c r="V609" s="11"/>
      <c r="W609" s="8"/>
      <c r="X609" s="8"/>
      <c r="Y609" s="9"/>
      <c r="Z609" s="8"/>
      <c r="AA609" s="8"/>
      <c r="AB609" s="8"/>
      <c r="AC609" s="11"/>
      <c r="AD609" s="8"/>
      <c r="AE609" s="9"/>
      <c r="AF609" s="8"/>
      <c r="AG609" s="9"/>
      <c r="AH609" s="8"/>
      <c r="AI609" s="8"/>
      <c r="AJ609" s="8"/>
      <c r="AK609" s="11"/>
      <c r="AL609" s="8"/>
      <c r="AM609" s="8"/>
      <c r="AN609" s="9"/>
      <c r="AO609" s="8"/>
      <c r="AP609" s="8"/>
      <c r="AQ609" s="8"/>
    </row>
    <row r="621" spans="1:43" x14ac:dyDescent="0.15">
      <c r="A621" s="41"/>
    </row>
    <row r="631" spans="7:7" x14ac:dyDescent="0.15">
      <c r="G631" s="42"/>
    </row>
  </sheetData>
  <autoFilter ref="A5:BB159" xr:uid="{AF38064F-E390-4B70-A69D-0A343C3345B4}"/>
  <mergeCells count="51">
    <mergeCell ref="H1:M1"/>
    <mergeCell ref="N1:AB1"/>
    <mergeCell ref="AC1:AQ1"/>
    <mergeCell ref="H2:M2"/>
    <mergeCell ref="N2:U2"/>
    <mergeCell ref="V2:AB2"/>
    <mergeCell ref="AC2:AJ2"/>
    <mergeCell ref="AK2:AQ2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X3:X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AJ3:AJ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Q3:AQ4"/>
    <mergeCell ref="AK3:AK4"/>
    <mergeCell ref="AL3:AL4"/>
    <mergeCell ref="AM3:AM4"/>
    <mergeCell ref="AN3:AN4"/>
    <mergeCell ref="AO3:AO4"/>
    <mergeCell ref="AP3:AP4"/>
  </mergeCells>
  <conditionalFormatting sqref="L6:L609">
    <cfRule type="cellIs" dxfId="208" priority="57" operator="lessThan">
      <formula>2</formula>
    </cfRule>
    <cfRule type="cellIs" dxfId="207" priority="56" operator="between">
      <formula>2</formula>
      <formula>5</formula>
    </cfRule>
    <cfRule type="cellIs" dxfId="206" priority="55" operator="greaterThan">
      <formula>5</formula>
    </cfRule>
    <cfRule type="cellIs" dxfId="205" priority="54" operator="equal">
      <formula>"-"</formula>
    </cfRule>
  </conditionalFormatting>
  <conditionalFormatting sqref="R6:R609">
    <cfRule type="cellIs" dxfId="204" priority="6" operator="equal">
      <formula>"-"</formula>
    </cfRule>
    <cfRule type="cellIs" dxfId="203" priority="7" operator="greaterThan">
      <formula>5</formula>
    </cfRule>
    <cfRule type="cellIs" dxfId="202" priority="8" operator="between">
      <formula>2</formula>
      <formula>5</formula>
    </cfRule>
    <cfRule type="cellIs" dxfId="201" priority="9" operator="lessThan">
      <formula>2</formula>
    </cfRule>
  </conditionalFormatting>
  <conditionalFormatting sqref="U6:U159">
    <cfRule type="cellIs" dxfId="200" priority="2" operator="equal">
      <formula>"-"</formula>
    </cfRule>
    <cfRule type="cellIs" dxfId="199" priority="3" operator="greaterThan">
      <formula>5</formula>
    </cfRule>
    <cfRule type="cellIs" dxfId="198" priority="4" operator="between">
      <formula>2</formula>
      <formula>5</formula>
    </cfRule>
    <cfRule type="cellIs" dxfId="197" priority="5" operator="lessThan">
      <formula>2</formula>
    </cfRule>
  </conditionalFormatting>
  <conditionalFormatting sqref="Y6:Y609">
    <cfRule type="cellIs" dxfId="196" priority="10" operator="equal">
      <formula>"-"</formula>
    </cfRule>
    <cfRule type="cellIs" dxfId="195" priority="11" operator="greaterThan">
      <formula>5</formula>
    </cfRule>
    <cfRule type="cellIs" dxfId="194" priority="12" operator="between">
      <formula>2</formula>
      <formula>5</formula>
    </cfRule>
    <cfRule type="cellIs" dxfId="193" priority="13" operator="lessThan">
      <formula>2</formula>
    </cfRule>
  </conditionalFormatting>
  <conditionalFormatting sqref="AB6:AB159 AQ6:AQ159">
    <cfRule type="cellIs" dxfId="192" priority="50" operator="equal">
      <formula>"-"</formula>
    </cfRule>
    <cfRule type="cellIs" dxfId="191" priority="53" operator="lessThan">
      <formula>2</formula>
    </cfRule>
    <cfRule type="cellIs" dxfId="190" priority="52" operator="between">
      <formula>2</formula>
      <formula>5</formula>
    </cfRule>
    <cfRule type="cellIs" dxfId="189" priority="51" operator="greaterThan">
      <formula>5</formula>
    </cfRule>
  </conditionalFormatting>
  <conditionalFormatting sqref="AG6:AG609">
    <cfRule type="cellIs" dxfId="188" priority="42" operator="equal">
      <formula>"-"</formula>
    </cfRule>
    <cfRule type="cellIs" dxfId="187" priority="43" operator="greaterThan">
      <formula>5</formula>
    </cfRule>
    <cfRule type="cellIs" dxfId="186" priority="44" operator="between">
      <formula>2</formula>
      <formula>5</formula>
    </cfRule>
    <cfRule type="cellIs" dxfId="185" priority="45" operator="lessThan">
      <formula>2</formula>
    </cfRule>
  </conditionalFormatting>
  <conditionalFormatting sqref="AJ6:AJ159">
    <cfRule type="cellIs" dxfId="184" priority="41" operator="lessThan">
      <formula>2</formula>
    </cfRule>
    <cfRule type="cellIs" dxfId="183" priority="40" operator="between">
      <formula>2</formula>
      <formula>5</formula>
    </cfRule>
    <cfRule type="cellIs" dxfId="182" priority="39" operator="greaterThan">
      <formula>5</formula>
    </cfRule>
    <cfRule type="cellIs" dxfId="181" priority="38" operator="equal">
      <formula>"-"</formula>
    </cfRule>
  </conditionalFormatting>
  <conditionalFormatting sqref="AN6:AN609">
    <cfRule type="cellIs" dxfId="180" priority="49" operator="lessThan">
      <formula>2</formula>
    </cfRule>
    <cfRule type="cellIs" dxfId="179" priority="48" operator="between">
      <formula>2</formula>
      <formula>5</formula>
    </cfRule>
    <cfRule type="cellIs" dxfId="178" priority="47" operator="greaterThan">
      <formula>5</formula>
    </cfRule>
    <cfRule type="cellIs" dxfId="177" priority="46" operator="equal">
      <formula>"-"</formula>
    </cfRule>
  </conditionalFormatting>
  <conditionalFormatting sqref="AU6">
    <cfRule type="cellIs" dxfId="176" priority="1" operator="equal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FC228-DA2C-47F0-9A0B-3DFA541C81FE}">
  <sheetPr>
    <tabColor rgb="FF92D050"/>
  </sheetPr>
  <dimension ref="A1:AB631"/>
  <sheetViews>
    <sheetView zoomScale="46" zoomScaleNormal="115" workbookViewId="0">
      <pane xSplit="1" ySplit="5" topLeftCell="B6" activePane="bottomRight" state="frozen"/>
      <selection activeCell="A2" sqref="A2"/>
      <selection pane="topRight" activeCell="A2" sqref="A2"/>
      <selection pane="bottomLeft" activeCell="A2" sqref="A2"/>
      <selection pane="bottomRight" activeCell="A2" sqref="A2"/>
    </sheetView>
  </sheetViews>
  <sheetFormatPr baseColWidth="10" defaultColWidth="8.6640625" defaultRowHeight="14" outlineLevelRow="1" outlineLevelCol="1" x14ac:dyDescent="0.15"/>
  <cols>
    <col min="1" max="1" width="12.5" style="3" customWidth="1"/>
    <col min="2" max="2" width="9.83203125" style="3" bestFit="1" customWidth="1" outlineLevel="1"/>
    <col min="3" max="3" width="16.33203125" style="3" customWidth="1"/>
    <col min="4" max="4" width="10.33203125" style="3" customWidth="1"/>
    <col min="5" max="5" width="10.6640625" style="3" customWidth="1"/>
    <col min="6" max="6" width="18.33203125" style="3" customWidth="1" outlineLevel="1"/>
    <col min="7" max="7" width="15.83203125" style="3" customWidth="1"/>
    <col min="8" max="8" width="13.5" style="2" customWidth="1"/>
    <col min="9" max="9" width="14.1640625" style="2" customWidth="1"/>
    <col min="10" max="10" width="17.1640625" style="2" customWidth="1"/>
    <col min="11" max="11" width="21.5" style="2" customWidth="1"/>
    <col min="12" max="12" width="11.1640625" style="3" customWidth="1"/>
    <col min="13" max="13" width="26.6640625" style="3" bestFit="1" customWidth="1"/>
    <col min="14" max="14" width="13.5" style="2" customWidth="1"/>
    <col min="15" max="15" width="14.1640625" style="2" customWidth="1"/>
    <col min="16" max="16" width="17.1640625" style="2" customWidth="1"/>
    <col min="17" max="17" width="21.5" style="2" customWidth="1"/>
    <col min="18" max="18" width="11.1640625" style="3" customWidth="1"/>
    <col min="19" max="19" width="26.6640625" style="3" bestFit="1" customWidth="1"/>
    <col min="20" max="21" width="26.6640625" style="3" customWidth="1"/>
    <col min="22" max="22" width="11.83203125" style="3" customWidth="1"/>
    <col min="23" max="23" width="11.5" style="3" customWidth="1"/>
    <col min="24" max="24" width="19.1640625" style="3" customWidth="1"/>
    <col min="25" max="25" width="8.6640625" style="3"/>
    <col min="26" max="26" width="16.6640625" style="3" bestFit="1" customWidth="1"/>
    <col min="27" max="28" width="16.6640625" style="3" customWidth="1"/>
    <col min="29" max="16384" width="8.6640625" style="3"/>
  </cols>
  <sheetData>
    <row r="1" spans="1:28" x14ac:dyDescent="0.15">
      <c r="H1" s="297" t="s">
        <v>2286</v>
      </c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297"/>
      <c r="Y1" s="297"/>
      <c r="Z1" s="297"/>
      <c r="AA1" s="297"/>
      <c r="AB1" s="297"/>
    </row>
    <row r="2" spans="1:28" ht="16" x14ac:dyDescent="0.2">
      <c r="A2" s="1" t="s">
        <v>2293</v>
      </c>
      <c r="B2" s="2"/>
      <c r="C2" s="2"/>
      <c r="D2" s="2"/>
      <c r="E2" s="2"/>
      <c r="F2" s="2"/>
      <c r="G2" s="2"/>
      <c r="H2" s="278" t="s">
        <v>2090</v>
      </c>
      <c r="I2" s="278"/>
      <c r="J2" s="278"/>
      <c r="K2" s="278"/>
      <c r="L2" s="278"/>
      <c r="M2" s="279"/>
      <c r="N2" s="278" t="s">
        <v>938</v>
      </c>
      <c r="O2" s="278"/>
      <c r="P2" s="278"/>
      <c r="Q2" s="278"/>
      <c r="R2" s="278"/>
      <c r="S2" s="278"/>
      <c r="T2" s="278"/>
      <c r="U2" s="278"/>
      <c r="V2" s="285" t="s">
        <v>1742</v>
      </c>
      <c r="W2" s="285"/>
      <c r="X2" s="285"/>
      <c r="Y2" s="285"/>
      <c r="Z2" s="285"/>
      <c r="AA2" s="285"/>
      <c r="AB2" s="285"/>
    </row>
    <row r="3" spans="1:28" ht="13.75" customHeight="1" x14ac:dyDescent="0.15">
      <c r="A3" s="276" t="s">
        <v>1</v>
      </c>
      <c r="B3" s="276" t="s">
        <v>2</v>
      </c>
      <c r="C3" s="276" t="s">
        <v>3</v>
      </c>
      <c r="D3" s="276" t="s">
        <v>4</v>
      </c>
      <c r="E3" s="276" t="s">
        <v>5</v>
      </c>
      <c r="F3" s="276" t="s">
        <v>6</v>
      </c>
      <c r="G3" s="284" t="s">
        <v>7</v>
      </c>
      <c r="H3" s="271" t="s">
        <v>8</v>
      </c>
      <c r="I3" s="271" t="s">
        <v>2091</v>
      </c>
      <c r="J3" s="271" t="s">
        <v>626</v>
      </c>
      <c r="K3" s="271" t="s">
        <v>627</v>
      </c>
      <c r="L3" s="271" t="s">
        <v>10</v>
      </c>
      <c r="M3" s="295" t="s">
        <v>11</v>
      </c>
      <c r="N3" s="275" t="s">
        <v>8</v>
      </c>
      <c r="O3" s="275" t="s">
        <v>9</v>
      </c>
      <c r="P3" s="271" t="s">
        <v>626</v>
      </c>
      <c r="Q3" s="275" t="s">
        <v>627</v>
      </c>
      <c r="R3" s="275" t="s">
        <v>10</v>
      </c>
      <c r="S3" s="276" t="s">
        <v>11</v>
      </c>
      <c r="T3" s="275" t="s">
        <v>2096</v>
      </c>
      <c r="U3" s="275" t="s">
        <v>10</v>
      </c>
      <c r="V3" s="275" t="s">
        <v>8</v>
      </c>
      <c r="W3" s="275" t="s">
        <v>1743</v>
      </c>
      <c r="X3" s="275" t="s">
        <v>1744</v>
      </c>
      <c r="Y3" s="275" t="s">
        <v>10</v>
      </c>
      <c r="Z3" s="276" t="s">
        <v>11</v>
      </c>
      <c r="AA3" s="275" t="s">
        <v>2096</v>
      </c>
      <c r="AB3" s="275" t="s">
        <v>10</v>
      </c>
    </row>
    <row r="4" spans="1:28" x14ac:dyDescent="0.15">
      <c r="A4" s="276"/>
      <c r="B4" s="276"/>
      <c r="C4" s="276"/>
      <c r="D4" s="276"/>
      <c r="E4" s="276"/>
      <c r="F4" s="276"/>
      <c r="G4" s="284"/>
      <c r="H4" s="272"/>
      <c r="I4" s="272"/>
      <c r="J4" s="272"/>
      <c r="K4" s="272"/>
      <c r="L4" s="272"/>
      <c r="M4" s="296"/>
      <c r="N4" s="275"/>
      <c r="O4" s="275"/>
      <c r="P4" s="272"/>
      <c r="Q4" s="275"/>
      <c r="R4" s="275"/>
      <c r="S4" s="276"/>
      <c r="T4" s="275"/>
      <c r="U4" s="275"/>
      <c r="V4" s="275"/>
      <c r="W4" s="275"/>
      <c r="X4" s="275"/>
      <c r="Y4" s="275"/>
      <c r="Z4" s="276"/>
      <c r="AA4" s="275"/>
      <c r="AB4" s="275"/>
    </row>
    <row r="5" spans="1:28" ht="10.5" customHeight="1" x14ac:dyDescent="0.15">
      <c r="A5" s="4"/>
      <c r="B5" s="4"/>
      <c r="C5" s="4"/>
      <c r="D5" s="4"/>
      <c r="E5" s="4"/>
      <c r="F5" s="4"/>
      <c r="G5" s="5"/>
      <c r="H5" s="6"/>
      <c r="I5" s="6"/>
      <c r="J5" s="6"/>
      <c r="K5" s="6"/>
      <c r="L5" s="6"/>
      <c r="M5" s="7"/>
      <c r="N5" s="6"/>
      <c r="O5" s="6"/>
      <c r="P5" s="6"/>
      <c r="Q5" s="6"/>
      <c r="R5" s="6"/>
      <c r="S5" s="7"/>
      <c r="T5" s="7"/>
      <c r="U5" s="7"/>
      <c r="V5" s="6"/>
      <c r="W5" s="6"/>
      <c r="X5" s="6"/>
      <c r="Y5" s="6"/>
      <c r="Z5" s="7"/>
      <c r="AA5" s="7"/>
      <c r="AB5" s="7"/>
    </row>
    <row r="6" spans="1:28" outlineLevel="1" x14ac:dyDescent="0.15">
      <c r="A6" s="8" t="s">
        <v>1927</v>
      </c>
      <c r="B6" s="8"/>
      <c r="C6" s="8" t="s">
        <v>1928</v>
      </c>
      <c r="D6" s="186" t="s">
        <v>1431</v>
      </c>
      <c r="E6" s="9">
        <v>27.97</v>
      </c>
      <c r="F6" s="8" t="s">
        <v>1740</v>
      </c>
      <c r="G6" s="10">
        <v>3204</v>
      </c>
      <c r="H6" s="204">
        <f>IF(N6&gt;0,N6,V6)</f>
        <v>46225</v>
      </c>
      <c r="I6" s="205">
        <f>IF(O6&gt;0,O6,W6)</f>
        <v>123</v>
      </c>
      <c r="J6" s="206">
        <f>IF(P6&gt;0,P6," ")</f>
        <v>3.838951310861423</v>
      </c>
      <c r="K6" s="205">
        <f>IF(Q6&gt;0,Q6,X6)</f>
        <v>4</v>
      </c>
      <c r="L6" s="206">
        <f t="shared" ref="L6" si="0">IFERROR(K6/I6*100,0)</f>
        <v>3.2520325203252036</v>
      </c>
      <c r="M6" s="8" t="str">
        <f t="array" ref="M6">IF(L6&gt;5,"Perlu Sensus",IF(AND(L6&gt;=0,I6&gt;0),"Tetap Deteksi","Belum Deteksi"))</f>
        <v>Tetap Deteksi</v>
      </c>
      <c r="N6" s="11">
        <f t="array" ref="N6">INDEX('[29]REKAP '!$F$9:$F$82,MATCH(1,('[29]REKAP '!$E$9:$E$82=$D6)*('[29]REKAP '!$E$9:$E$82=$D6),0))</f>
        <v>46225</v>
      </c>
      <c r="O6" s="143">
        <f t="array" ref="O6">INDEX('[29]REKAP '!$H$9:$H$82,MATCH(1,('[29]REKAP '!$E$9:$E$82=$D6)*('[29]REKAP '!$E$9:$E$82=$D6),0))</f>
        <v>123</v>
      </c>
      <c r="P6" s="9">
        <f>IFERROR(O6/G6*100,0)</f>
        <v>3.838951310861423</v>
      </c>
      <c r="Q6" s="143">
        <f t="array" ref="Q6">INDEX('[29]REKAP '!$J$9:$J$82,MATCH(1,('[29]REKAP '!$E$9:$E$82=$D6)*('[29]REKAP '!$E$9:$E$82=$D6),0))</f>
        <v>4</v>
      </c>
      <c r="R6" s="9">
        <f t="shared" ref="R6" si="1">IFERROR(Q6/O6*100,0)</f>
        <v>3.2520325203252036</v>
      </c>
      <c r="S6" s="8" t="str">
        <f>IF(R6&gt;5,"Perlu Sensus",IF(R6&gt;0,"Tetap Deteksi","Belum Deteksi"))</f>
        <v>Tetap Deteksi</v>
      </c>
      <c r="T6" s="143">
        <f t="array" ref="T6">INDEX('[29]REKAP '!$M$9:$M$82,MATCH(1,('[29]REKAP '!$E$9:$E$82=$D6)*('[29]REKAP '!$E$9:$E$82=$D6),0))</f>
        <v>17</v>
      </c>
      <c r="U6" s="9">
        <f>IFERROR(T6/O6*100,0)</f>
        <v>13.821138211382115</v>
      </c>
      <c r="V6" s="11">
        <f t="array" ref="V6">INDEX('[30]Rekap Tgl BKP JJG (2)'!$G$9:$G$82,MATCH(1,('[30]Rekap Tgl BKP JJG (2)'!$E$9:$E$82=$D6)*('[30]Rekap Tgl BKP JJG (2)'!$E$9:$E$82=$D6),0))</f>
        <v>0</v>
      </c>
      <c r="W6" s="203">
        <f t="array" ref="W6">INDEX('[30]Rekap Tgl BKP JJG (2)'!$I$9:$I$82,MATCH(1,('[30]Rekap Tgl BKP JJG (2)'!$E$9:$E$82=$D6)*('[30]Rekap Tgl BKP JJG (2)'!$E$9:$E$82=$D6),0))</f>
        <v>0</v>
      </c>
      <c r="X6" s="203">
        <f t="array" ref="X6">INDEX('[30]Rekap Tgl BKP JJG (2)'!$K$9:$K$82,MATCH(1,('[30]Rekap Tgl BKP JJG (2)'!$E$9:$E$82=$D6)*('[30]Rekap Tgl BKP JJG (2)'!$E$9:$E$82=$D6),0))</f>
        <v>0</v>
      </c>
      <c r="Y6" s="9">
        <f t="shared" ref="Y6" si="2">IFERROR(X6/W6*100,0)</f>
        <v>0</v>
      </c>
      <c r="Z6" s="8" t="str">
        <f t="shared" ref="Z6" si="3">IF(Y6&gt;5,"Perlu Sensus",IF(Y6&gt;0,"Tetap Deteksi","Belum Deteksi"))</f>
        <v>Belum Deteksi</v>
      </c>
      <c r="AA6" s="203">
        <f t="array" ref="AA6">INDEX('[30]Rekap Tgl BKP JJG (2)'!$N$9:$N$82,MATCH(1,('[30]Rekap Tgl BKP JJG (2)'!$E$9:$E$82=$D6)*('[30]Rekap Tgl BKP JJG (2)'!$E$9:$E$82=$D6),0))</f>
        <v>0</v>
      </c>
      <c r="AB6" s="9">
        <f>IFERROR(AA6/W6*100,0)</f>
        <v>0</v>
      </c>
    </row>
    <row r="7" spans="1:28" outlineLevel="1" x14ac:dyDescent="0.15">
      <c r="A7" s="8" t="s">
        <v>1927</v>
      </c>
      <c r="B7" s="8"/>
      <c r="C7" s="8" t="s">
        <v>1928</v>
      </c>
      <c r="D7" s="186" t="s">
        <v>1439</v>
      </c>
      <c r="E7" s="9">
        <v>42.620000000000005</v>
      </c>
      <c r="F7" s="8" t="s">
        <v>1740</v>
      </c>
      <c r="G7" s="10">
        <v>5392</v>
      </c>
      <c r="H7" s="204">
        <f t="shared" ref="H7:H70" si="4">IF(N7&gt;0,N7,V7)</f>
        <v>46207</v>
      </c>
      <c r="I7" s="205">
        <f t="shared" ref="I7:I70" si="5">IF(O7&gt;0,O7,W7)</f>
        <v>133</v>
      </c>
      <c r="J7" s="206">
        <f t="shared" ref="J7:J70" si="6">IF(P7&gt;0,P7," ")</f>
        <v>2.4666172106824926</v>
      </c>
      <c r="K7" s="205">
        <f t="shared" ref="K7:K70" si="7">IF(Q7&gt;0,Q7,X7)</f>
        <v>6</v>
      </c>
      <c r="L7" s="206">
        <f t="shared" ref="L7:L70" si="8">IFERROR(K7/I7*100,0)</f>
        <v>4.5112781954887211</v>
      </c>
      <c r="M7" s="8" t="str">
        <f t="array" ref="M7">IF(L7&gt;5,"Perlu Sensus",IF(AND(L7&gt;=0,I7&gt;0),"Tetap Deteksi","Belum Deteksi"))</f>
        <v>Tetap Deteksi</v>
      </c>
      <c r="N7" s="11">
        <f t="array" ref="N7">INDEX('[29]REKAP '!$F$9:$F$82,MATCH(1,('[29]REKAP '!$E$9:$E$82=$D7)*('[29]REKAP '!$E$9:$E$82=$D7),0))</f>
        <v>46207</v>
      </c>
      <c r="O7" s="143">
        <f t="array" ref="O7">INDEX('[29]REKAP '!$H$9:$H$82,MATCH(1,('[29]REKAP '!$E$9:$E$82=$D7)*('[29]REKAP '!$E$9:$E$82=$D7),0))</f>
        <v>133</v>
      </c>
      <c r="P7" s="9">
        <f t="shared" ref="P7:P51" si="9">IFERROR(O7/G7*100,0)</f>
        <v>2.4666172106824926</v>
      </c>
      <c r="Q7" s="143">
        <f t="array" ref="Q7">INDEX('[29]REKAP '!$J$9:$J$82,MATCH(1,('[29]REKAP '!$E$9:$E$82=$D7)*('[29]REKAP '!$E$9:$E$82=$D7),0))</f>
        <v>6</v>
      </c>
      <c r="R7" s="9">
        <f t="shared" ref="R7:R51" si="10">IFERROR(Q7/O7*100,0)</f>
        <v>4.5112781954887211</v>
      </c>
      <c r="S7" s="8" t="str">
        <f t="shared" ref="S7:S51" si="11">IF(R7&gt;5,"Perlu Sensus",IF(R7&gt;0,"Tetap Deteksi","Belum Deteksi"))</f>
        <v>Tetap Deteksi</v>
      </c>
      <c r="T7" s="143">
        <f t="array" ref="T7">INDEX('[29]REKAP '!$M$9:$M$82,MATCH(1,('[29]REKAP '!$E$9:$E$82=$D7)*('[29]REKAP '!$E$9:$E$82=$D7),0))</f>
        <v>15</v>
      </c>
      <c r="U7" s="9">
        <f t="shared" ref="U7:U51" si="12">IFERROR(T7/O7*100,0)</f>
        <v>11.278195488721805</v>
      </c>
      <c r="V7" s="11">
        <f t="array" ref="V7">INDEX('[30]Rekap Tgl BKP JJG (2)'!$G$9:$G$82,MATCH(1,('[30]Rekap Tgl BKP JJG (2)'!$E$9:$E$82=$D7)*('[30]Rekap Tgl BKP JJG (2)'!$E$9:$E$82=$D7),0))</f>
        <v>46239</v>
      </c>
      <c r="W7" s="203">
        <f t="array" ref="W7">INDEX('[30]Rekap Tgl BKP JJG (2)'!$I$9:$I$82,MATCH(1,('[30]Rekap Tgl BKP JJG (2)'!$E$9:$E$82=$D7)*('[30]Rekap Tgl BKP JJG (2)'!$E$9:$E$82=$D7),0))</f>
        <v>871</v>
      </c>
      <c r="X7" s="203">
        <f t="array" ref="X7">INDEX('[30]Rekap Tgl BKP JJG (2)'!$K$9:$K$82,MATCH(1,('[30]Rekap Tgl BKP JJG (2)'!$E$9:$E$82=$D7)*('[30]Rekap Tgl BKP JJG (2)'!$E$9:$E$82=$D7),0))</f>
        <v>11</v>
      </c>
      <c r="Y7" s="9">
        <f t="shared" ref="Y7:Y51" si="13">IFERROR(X7/W7*100,0)</f>
        <v>1.2629161882893225</v>
      </c>
      <c r="Z7" s="8" t="str">
        <f t="shared" ref="Z7:Z51" si="14">IF(Y7&gt;5,"Perlu Sensus",IF(Y7&gt;0,"Tetap Deteksi","Belum Deteksi"))</f>
        <v>Tetap Deteksi</v>
      </c>
      <c r="AA7" s="203">
        <f t="array" ref="AA7">INDEX('[30]Rekap Tgl BKP JJG (2)'!$N$9:$N$82,MATCH(1,('[30]Rekap Tgl BKP JJG (2)'!$E$9:$E$82=$D7)*('[30]Rekap Tgl BKP JJG (2)'!$E$9:$E$82=$D7),0))</f>
        <v>172</v>
      </c>
      <c r="AB7" s="9">
        <f t="shared" ref="AB7:AB51" si="15">IFERROR(AA7/W7*100,0)</f>
        <v>19.747416762342134</v>
      </c>
    </row>
    <row r="8" spans="1:28" outlineLevel="1" x14ac:dyDescent="0.15">
      <c r="A8" s="8" t="s">
        <v>1927</v>
      </c>
      <c r="B8" s="8"/>
      <c r="C8" s="8" t="s">
        <v>1928</v>
      </c>
      <c r="D8" s="181" t="s">
        <v>1443</v>
      </c>
      <c r="E8" s="9">
        <v>38.29</v>
      </c>
      <c r="F8" s="8" t="s">
        <v>1740</v>
      </c>
      <c r="G8" s="10">
        <v>4436</v>
      </c>
      <c r="H8" s="204">
        <f t="shared" si="4"/>
        <v>46227</v>
      </c>
      <c r="I8" s="205">
        <f t="shared" si="5"/>
        <v>132</v>
      </c>
      <c r="J8" s="206">
        <f t="shared" si="6"/>
        <v>2.9756537421100093</v>
      </c>
      <c r="K8" s="205">
        <f t="shared" si="7"/>
        <v>4</v>
      </c>
      <c r="L8" s="206">
        <f t="shared" si="8"/>
        <v>3.0303030303030303</v>
      </c>
      <c r="M8" s="8" t="str">
        <f t="array" ref="M8">IF(L8&gt;5,"Perlu Sensus",IF(AND(L8&gt;=0,I8&gt;0),"Tetap Deteksi","Belum Deteksi"))</f>
        <v>Tetap Deteksi</v>
      </c>
      <c r="N8" s="11">
        <f t="array" ref="N8">INDEX('[29]REKAP '!$F$9:$F$82,MATCH(1,('[29]REKAP '!$E$9:$E$82=$D8)*('[29]REKAP '!$E$9:$E$82=$D8),0))</f>
        <v>46227</v>
      </c>
      <c r="O8" s="143">
        <f t="array" ref="O8">INDEX('[29]REKAP '!$H$9:$H$82,MATCH(1,('[29]REKAP '!$E$9:$E$82=$D8)*('[29]REKAP '!$E$9:$E$82=$D8),0))</f>
        <v>132</v>
      </c>
      <c r="P8" s="9">
        <f t="shared" si="9"/>
        <v>2.9756537421100093</v>
      </c>
      <c r="Q8" s="143">
        <f t="array" ref="Q8">INDEX('[29]REKAP '!$J$9:$J$82,MATCH(1,('[29]REKAP '!$E$9:$E$82=$D8)*('[29]REKAP '!$E$9:$E$82=$D8),0))</f>
        <v>4</v>
      </c>
      <c r="R8" s="9">
        <f t="shared" si="10"/>
        <v>3.0303030303030303</v>
      </c>
      <c r="S8" s="8" t="str">
        <f t="shared" si="11"/>
        <v>Tetap Deteksi</v>
      </c>
      <c r="T8" s="143">
        <f t="array" ref="T8">INDEX('[29]REKAP '!$M$9:$M$82,MATCH(1,('[29]REKAP '!$E$9:$E$82=$D8)*('[29]REKAP '!$E$9:$E$82=$D8),0))</f>
        <v>7</v>
      </c>
      <c r="U8" s="9">
        <f t="shared" si="12"/>
        <v>5.3030303030303028</v>
      </c>
      <c r="V8" s="11">
        <f t="array" ref="V8">INDEX('[30]Rekap Tgl BKP JJG (2)'!$G$9:$G$82,MATCH(1,('[30]Rekap Tgl BKP JJG (2)'!$E$9:$E$82=$D8)*('[30]Rekap Tgl BKP JJG (2)'!$E$9:$E$82=$D8),0))</f>
        <v>0</v>
      </c>
      <c r="W8" s="203">
        <f t="array" ref="W8">INDEX('[30]Rekap Tgl BKP JJG (2)'!$I$9:$I$82,MATCH(1,('[30]Rekap Tgl BKP JJG (2)'!$E$9:$E$82=$D8)*('[30]Rekap Tgl BKP JJG (2)'!$E$9:$E$82=$D8),0))</f>
        <v>0</v>
      </c>
      <c r="X8" s="203">
        <f t="array" ref="X8">INDEX('[30]Rekap Tgl BKP JJG (2)'!$K$9:$K$82,MATCH(1,('[30]Rekap Tgl BKP JJG (2)'!$E$9:$E$82=$D8)*('[30]Rekap Tgl BKP JJG (2)'!$E$9:$E$82=$D8),0))</f>
        <v>0</v>
      </c>
      <c r="Y8" s="9">
        <f t="shared" si="13"/>
        <v>0</v>
      </c>
      <c r="Z8" s="8" t="str">
        <f t="shared" si="14"/>
        <v>Belum Deteksi</v>
      </c>
      <c r="AA8" s="203">
        <f t="array" ref="AA8">INDEX('[30]Rekap Tgl BKP JJG (2)'!$N$9:$N$82,MATCH(1,('[30]Rekap Tgl BKP JJG (2)'!$E$9:$E$82=$D8)*('[30]Rekap Tgl BKP JJG (2)'!$E$9:$E$82=$D8),0))</f>
        <v>0</v>
      </c>
      <c r="AB8" s="9">
        <f t="shared" si="15"/>
        <v>0</v>
      </c>
    </row>
    <row r="9" spans="1:28" outlineLevel="1" x14ac:dyDescent="0.15">
      <c r="A9" s="8" t="s">
        <v>1927</v>
      </c>
      <c r="B9" s="8"/>
      <c r="C9" s="8" t="s">
        <v>1928</v>
      </c>
      <c r="D9" s="181" t="s">
        <v>1078</v>
      </c>
      <c r="E9" s="9">
        <v>29.62</v>
      </c>
      <c r="F9" s="8" t="s">
        <v>1740</v>
      </c>
      <c r="G9" s="10">
        <v>2114</v>
      </c>
      <c r="H9" s="204">
        <f t="shared" si="4"/>
        <v>46223</v>
      </c>
      <c r="I9" s="205">
        <f t="shared" si="5"/>
        <v>89</v>
      </c>
      <c r="J9" s="206">
        <f t="shared" si="6"/>
        <v>4.210028382213812</v>
      </c>
      <c r="K9" s="205">
        <f t="shared" si="7"/>
        <v>1</v>
      </c>
      <c r="L9" s="206">
        <f t="shared" si="8"/>
        <v>1.1235955056179776</v>
      </c>
      <c r="M9" s="8" t="str">
        <f t="array" ref="M9">IF(L9&gt;5,"Perlu Sensus",IF(AND(L9&gt;=0,I9&gt;0),"Tetap Deteksi","Belum Deteksi"))</f>
        <v>Tetap Deteksi</v>
      </c>
      <c r="N9" s="11">
        <f t="array" ref="N9">INDEX('[29]REKAP '!$F$9:$F$82,MATCH(1,('[29]REKAP '!$E$9:$E$82=$D9)*('[29]REKAP '!$E$9:$E$82=$D9),0))</f>
        <v>46223</v>
      </c>
      <c r="O9" s="143">
        <f t="array" ref="O9">INDEX('[29]REKAP '!$H$9:$H$82,MATCH(1,('[29]REKAP '!$E$9:$E$82=$D9)*('[29]REKAP '!$E$9:$E$82=$D9),0))</f>
        <v>89</v>
      </c>
      <c r="P9" s="9">
        <f t="shared" si="9"/>
        <v>4.210028382213812</v>
      </c>
      <c r="Q9" s="143">
        <f t="array" ref="Q9">INDEX('[29]REKAP '!$J$9:$J$82,MATCH(1,('[29]REKAP '!$E$9:$E$82=$D9)*('[29]REKAP '!$E$9:$E$82=$D9),0))</f>
        <v>1</v>
      </c>
      <c r="R9" s="9">
        <f t="shared" si="10"/>
        <v>1.1235955056179776</v>
      </c>
      <c r="S9" s="8" t="str">
        <f t="shared" si="11"/>
        <v>Tetap Deteksi</v>
      </c>
      <c r="T9" s="143">
        <f t="array" ref="T9">INDEX('[29]REKAP '!$M$9:$M$82,MATCH(1,('[29]REKAP '!$E$9:$E$82=$D9)*('[29]REKAP '!$E$9:$E$82=$D9),0))</f>
        <v>6</v>
      </c>
      <c r="U9" s="9">
        <f t="shared" si="12"/>
        <v>6.7415730337078648</v>
      </c>
      <c r="V9" s="11">
        <f t="array" ref="V9">INDEX('[30]Rekap Tgl BKP JJG (2)'!$G$9:$G$82,MATCH(1,('[30]Rekap Tgl BKP JJG (2)'!$E$9:$E$82=$D9)*('[30]Rekap Tgl BKP JJG (2)'!$E$9:$E$82=$D9),0))</f>
        <v>46246</v>
      </c>
      <c r="W9" s="203">
        <f t="array" ref="W9">INDEX('[30]Rekap Tgl BKP JJG (2)'!$I$9:$I$82,MATCH(1,('[30]Rekap Tgl BKP JJG (2)'!$E$9:$E$82=$D9)*('[30]Rekap Tgl BKP JJG (2)'!$E$9:$E$82=$D9),0))</f>
        <v>495</v>
      </c>
      <c r="X9" s="203">
        <f t="array" ref="X9">INDEX('[30]Rekap Tgl BKP JJG (2)'!$K$9:$K$82,MATCH(1,('[30]Rekap Tgl BKP JJG (2)'!$E$9:$E$82=$D9)*('[30]Rekap Tgl BKP JJG (2)'!$E$9:$E$82=$D9),0))</f>
        <v>11</v>
      </c>
      <c r="Y9" s="9">
        <f t="shared" si="13"/>
        <v>2.2222222222222223</v>
      </c>
      <c r="Z9" s="8" t="str">
        <f t="shared" si="14"/>
        <v>Tetap Deteksi</v>
      </c>
      <c r="AA9" s="203">
        <f t="array" ref="AA9">INDEX('[30]Rekap Tgl BKP JJG (2)'!$N$9:$N$82,MATCH(1,('[30]Rekap Tgl BKP JJG (2)'!$E$9:$E$82=$D9)*('[30]Rekap Tgl BKP JJG (2)'!$E$9:$E$82=$D9),0))</f>
        <v>105</v>
      </c>
      <c r="AB9" s="9">
        <f t="shared" si="15"/>
        <v>21.212121212121211</v>
      </c>
    </row>
    <row r="10" spans="1:28" outlineLevel="1" x14ac:dyDescent="0.15">
      <c r="A10" s="8" t="s">
        <v>1927</v>
      </c>
      <c r="B10" s="8"/>
      <c r="C10" s="8" t="s">
        <v>1928</v>
      </c>
      <c r="D10" s="181" t="s">
        <v>1432</v>
      </c>
      <c r="E10" s="9">
        <v>34.07</v>
      </c>
      <c r="F10" s="8" t="s">
        <v>1740</v>
      </c>
      <c r="G10" s="10">
        <v>4566</v>
      </c>
      <c r="H10" s="204">
        <f t="shared" si="4"/>
        <v>46226</v>
      </c>
      <c r="I10" s="205">
        <f t="shared" si="5"/>
        <v>176</v>
      </c>
      <c r="J10" s="206">
        <f t="shared" si="6"/>
        <v>3.8545773105562855</v>
      </c>
      <c r="K10" s="205">
        <f t="shared" si="7"/>
        <v>8</v>
      </c>
      <c r="L10" s="206">
        <f t="shared" si="8"/>
        <v>4.5454545454545459</v>
      </c>
      <c r="M10" s="8" t="str">
        <f t="array" ref="M10">IF(L10&gt;5,"Perlu Sensus",IF(AND(L10&gt;=0,I10&gt;0),"Tetap Deteksi","Belum Deteksi"))</f>
        <v>Tetap Deteksi</v>
      </c>
      <c r="N10" s="11">
        <f t="array" ref="N10">INDEX('[29]REKAP '!$F$9:$F$82,MATCH(1,('[29]REKAP '!$E$9:$E$82=$D10)*('[29]REKAP '!$E$9:$E$82=$D10),0))</f>
        <v>46226</v>
      </c>
      <c r="O10" s="143">
        <f t="array" ref="O10">INDEX('[29]REKAP '!$H$9:$H$82,MATCH(1,('[29]REKAP '!$E$9:$E$82=$D10)*('[29]REKAP '!$E$9:$E$82=$D10),0))</f>
        <v>176</v>
      </c>
      <c r="P10" s="9">
        <f t="shared" si="9"/>
        <v>3.8545773105562855</v>
      </c>
      <c r="Q10" s="143">
        <f t="array" ref="Q10">INDEX('[29]REKAP '!$J$9:$J$82,MATCH(1,('[29]REKAP '!$E$9:$E$82=$D10)*('[29]REKAP '!$E$9:$E$82=$D10),0))</f>
        <v>8</v>
      </c>
      <c r="R10" s="9">
        <f t="shared" si="10"/>
        <v>4.5454545454545459</v>
      </c>
      <c r="S10" s="8" t="str">
        <f t="shared" si="11"/>
        <v>Tetap Deteksi</v>
      </c>
      <c r="T10" s="143">
        <f t="array" ref="T10">INDEX('[29]REKAP '!$M$9:$M$82,MATCH(1,('[29]REKAP '!$E$9:$E$82=$D10)*('[29]REKAP '!$E$9:$E$82=$D10),0))</f>
        <v>11</v>
      </c>
      <c r="U10" s="9">
        <f t="shared" si="12"/>
        <v>6.25</v>
      </c>
      <c r="V10" s="11">
        <f t="array" ref="V10">INDEX('[30]Rekap Tgl BKP JJG (2)'!$G$9:$G$82,MATCH(1,('[30]Rekap Tgl BKP JJG (2)'!$E$9:$E$82=$D10)*('[30]Rekap Tgl BKP JJG (2)'!$E$9:$E$82=$D10),0))</f>
        <v>46244</v>
      </c>
      <c r="W10" s="203">
        <f t="array" ref="W10">INDEX('[30]Rekap Tgl BKP JJG (2)'!$I$9:$I$82,MATCH(1,('[30]Rekap Tgl BKP JJG (2)'!$E$9:$E$82=$D10)*('[30]Rekap Tgl BKP JJG (2)'!$E$9:$E$82=$D10),0))</f>
        <v>1064</v>
      </c>
      <c r="X10" s="203">
        <f t="array" ref="X10">INDEX('[30]Rekap Tgl BKP JJG (2)'!$K$9:$K$82,MATCH(1,('[30]Rekap Tgl BKP JJG (2)'!$E$9:$E$82=$D10)*('[30]Rekap Tgl BKP JJG (2)'!$E$9:$E$82=$D10),0))</f>
        <v>20</v>
      </c>
      <c r="Y10" s="9">
        <f t="shared" si="13"/>
        <v>1.8796992481203008</v>
      </c>
      <c r="Z10" s="8" t="str">
        <f t="shared" si="14"/>
        <v>Tetap Deteksi</v>
      </c>
      <c r="AA10" s="203">
        <f t="array" ref="AA10">INDEX('[30]Rekap Tgl BKP JJG (2)'!$N$9:$N$82,MATCH(1,('[30]Rekap Tgl BKP JJG (2)'!$E$9:$E$82=$D10)*('[30]Rekap Tgl BKP JJG (2)'!$E$9:$E$82=$D10),0))</f>
        <v>206</v>
      </c>
      <c r="AB10" s="9">
        <f t="shared" si="15"/>
        <v>19.360902255639097</v>
      </c>
    </row>
    <row r="11" spans="1:28" outlineLevel="1" x14ac:dyDescent="0.15">
      <c r="A11" s="8" t="s">
        <v>1927</v>
      </c>
      <c r="B11" s="8"/>
      <c r="C11" s="8" t="s">
        <v>1928</v>
      </c>
      <c r="D11" s="181" t="s">
        <v>1441</v>
      </c>
      <c r="E11" s="9">
        <v>34.25</v>
      </c>
      <c r="F11" s="8" t="s">
        <v>1740</v>
      </c>
      <c r="G11" s="10">
        <v>4416</v>
      </c>
      <c r="H11" s="204">
        <f t="shared" si="4"/>
        <v>46214</v>
      </c>
      <c r="I11" s="205">
        <f t="shared" si="5"/>
        <v>211</v>
      </c>
      <c r="J11" s="206">
        <f t="shared" si="6"/>
        <v>4.7780797101449268</v>
      </c>
      <c r="K11" s="205">
        <f t="shared" si="7"/>
        <v>9</v>
      </c>
      <c r="L11" s="206">
        <f t="shared" si="8"/>
        <v>4.2654028436018958</v>
      </c>
      <c r="M11" s="8" t="str">
        <f t="array" ref="M11">IF(L11&gt;5,"Perlu Sensus",IF(AND(L11&gt;=0,I11&gt;0),"Tetap Deteksi","Belum Deteksi"))</f>
        <v>Tetap Deteksi</v>
      </c>
      <c r="N11" s="11">
        <f t="array" ref="N11">INDEX('[29]REKAP '!$F$9:$F$82,MATCH(1,('[29]REKAP '!$E$9:$E$82=$D11)*('[29]REKAP '!$E$9:$E$82=$D11),0))</f>
        <v>46214</v>
      </c>
      <c r="O11" s="143">
        <f t="array" ref="O11">INDEX('[29]REKAP '!$H$9:$H$82,MATCH(1,('[29]REKAP '!$E$9:$E$82=$D11)*('[29]REKAP '!$E$9:$E$82=$D11),0))</f>
        <v>211</v>
      </c>
      <c r="P11" s="9">
        <f t="shared" si="9"/>
        <v>4.7780797101449268</v>
      </c>
      <c r="Q11" s="143">
        <f t="array" ref="Q11">INDEX('[29]REKAP '!$J$9:$J$82,MATCH(1,('[29]REKAP '!$E$9:$E$82=$D11)*('[29]REKAP '!$E$9:$E$82=$D11),0))</f>
        <v>9</v>
      </c>
      <c r="R11" s="9">
        <f t="shared" si="10"/>
        <v>4.2654028436018958</v>
      </c>
      <c r="S11" s="8" t="str">
        <f t="shared" si="11"/>
        <v>Tetap Deteksi</v>
      </c>
      <c r="T11" s="143">
        <f t="array" ref="T11">INDEX('[29]REKAP '!$M$9:$M$82,MATCH(1,('[29]REKAP '!$E$9:$E$82=$D11)*('[29]REKAP '!$E$9:$E$82=$D11),0))</f>
        <v>13</v>
      </c>
      <c r="U11" s="9">
        <f t="shared" si="12"/>
        <v>6.1611374407582939</v>
      </c>
      <c r="V11" s="11">
        <f t="array" ref="V11">INDEX('[30]Rekap Tgl BKP JJG (2)'!$G$9:$G$82,MATCH(1,('[30]Rekap Tgl BKP JJG (2)'!$E$9:$E$82=$D11)*('[30]Rekap Tgl BKP JJG (2)'!$E$9:$E$82=$D11),0))</f>
        <v>46235</v>
      </c>
      <c r="W11" s="203">
        <f t="array" ref="W11">INDEX('[30]Rekap Tgl BKP JJG (2)'!$I$9:$I$82,MATCH(1,('[30]Rekap Tgl BKP JJG (2)'!$E$9:$E$82=$D11)*('[30]Rekap Tgl BKP JJG (2)'!$E$9:$E$82=$D11),0))</f>
        <v>1267</v>
      </c>
      <c r="X11" s="203">
        <f t="array" ref="X11">INDEX('[30]Rekap Tgl BKP JJG (2)'!$K$9:$K$82,MATCH(1,('[30]Rekap Tgl BKP JJG (2)'!$E$9:$E$82=$D11)*('[30]Rekap Tgl BKP JJG (2)'!$E$9:$E$82=$D11),0))</f>
        <v>22</v>
      </c>
      <c r="Y11" s="9">
        <f t="shared" si="13"/>
        <v>1.7363851617995265</v>
      </c>
      <c r="Z11" s="8" t="str">
        <f t="shared" si="14"/>
        <v>Tetap Deteksi</v>
      </c>
      <c r="AA11" s="203">
        <f t="array" ref="AA11">INDEX('[30]Rekap Tgl BKP JJG (2)'!$N$9:$N$82,MATCH(1,('[30]Rekap Tgl BKP JJG (2)'!$E$9:$E$82=$D11)*('[30]Rekap Tgl BKP JJG (2)'!$E$9:$E$82=$D11),0))</f>
        <v>255</v>
      </c>
      <c r="AB11" s="9">
        <f t="shared" si="15"/>
        <v>20.126282557221785</v>
      </c>
    </row>
    <row r="12" spans="1:28" outlineLevel="1" x14ac:dyDescent="0.15">
      <c r="A12" s="8" t="s">
        <v>1927</v>
      </c>
      <c r="B12" s="8"/>
      <c r="C12" s="8" t="s">
        <v>1928</v>
      </c>
      <c r="D12" s="181" t="s">
        <v>1429</v>
      </c>
      <c r="E12" s="9">
        <v>34.18</v>
      </c>
      <c r="F12" s="8" t="s">
        <v>1740</v>
      </c>
      <c r="G12" s="10">
        <v>4404</v>
      </c>
      <c r="H12" s="204">
        <f t="shared" si="4"/>
        <v>46226</v>
      </c>
      <c r="I12" s="205">
        <f t="shared" si="5"/>
        <v>257</v>
      </c>
      <c r="J12" s="206">
        <f t="shared" si="6"/>
        <v>5.8356039963669391</v>
      </c>
      <c r="K12" s="205">
        <f t="shared" si="7"/>
        <v>11</v>
      </c>
      <c r="L12" s="206">
        <f t="shared" si="8"/>
        <v>4.2801556420233462</v>
      </c>
      <c r="M12" s="8" t="str">
        <f t="array" ref="M12">IF(L12&gt;5,"Perlu Sensus",IF(AND(L12&gt;=0,I12&gt;0),"Tetap Deteksi","Belum Deteksi"))</f>
        <v>Tetap Deteksi</v>
      </c>
      <c r="N12" s="11">
        <f t="array" ref="N12">INDEX('[29]REKAP '!$F$9:$F$82,MATCH(1,('[29]REKAP '!$E$9:$E$82=$D12)*('[29]REKAP '!$E$9:$E$82=$D12),0))</f>
        <v>46226</v>
      </c>
      <c r="O12" s="143">
        <f t="array" ref="O12">INDEX('[29]REKAP '!$H$9:$H$82,MATCH(1,('[29]REKAP '!$E$9:$E$82=$D12)*('[29]REKAP '!$E$9:$E$82=$D12),0))</f>
        <v>257</v>
      </c>
      <c r="P12" s="9">
        <f t="shared" si="9"/>
        <v>5.8356039963669391</v>
      </c>
      <c r="Q12" s="143">
        <f t="array" ref="Q12">INDEX('[29]REKAP '!$J$9:$J$82,MATCH(1,('[29]REKAP '!$E$9:$E$82=$D12)*('[29]REKAP '!$E$9:$E$82=$D12),0))</f>
        <v>11</v>
      </c>
      <c r="R12" s="9">
        <f t="shared" si="10"/>
        <v>4.2801556420233462</v>
      </c>
      <c r="S12" s="8" t="str">
        <f t="shared" si="11"/>
        <v>Tetap Deteksi</v>
      </c>
      <c r="T12" s="143">
        <f t="array" ref="T12">INDEX('[29]REKAP '!$M$9:$M$82,MATCH(1,('[29]REKAP '!$E$9:$E$82=$D12)*('[29]REKAP '!$E$9:$E$82=$D12),0))</f>
        <v>16</v>
      </c>
      <c r="U12" s="9">
        <f t="shared" si="12"/>
        <v>6.2256809338521402</v>
      </c>
      <c r="V12" s="11">
        <f t="array" ref="V12">INDEX('[30]Rekap Tgl BKP JJG (2)'!$G$9:$G$82,MATCH(1,('[30]Rekap Tgl BKP JJG (2)'!$E$9:$E$82=$D12)*('[30]Rekap Tgl BKP JJG (2)'!$E$9:$E$82=$D12),0))</f>
        <v>0</v>
      </c>
      <c r="W12" s="203">
        <f t="array" ref="W12">INDEX('[30]Rekap Tgl BKP JJG (2)'!$I$9:$I$82,MATCH(1,('[30]Rekap Tgl BKP JJG (2)'!$E$9:$E$82=$D12)*('[30]Rekap Tgl BKP JJG (2)'!$E$9:$E$82=$D12),0))</f>
        <v>0</v>
      </c>
      <c r="X12" s="203">
        <f t="array" ref="X12">INDEX('[30]Rekap Tgl BKP JJG (2)'!$K$9:$K$82,MATCH(1,('[30]Rekap Tgl BKP JJG (2)'!$E$9:$E$82=$D12)*('[30]Rekap Tgl BKP JJG (2)'!$E$9:$E$82=$D12),0))</f>
        <v>0</v>
      </c>
      <c r="Y12" s="9">
        <f t="shared" si="13"/>
        <v>0</v>
      </c>
      <c r="Z12" s="8" t="str">
        <f t="shared" si="14"/>
        <v>Belum Deteksi</v>
      </c>
      <c r="AA12" s="203">
        <f t="array" ref="AA12">INDEX('[30]Rekap Tgl BKP JJG (2)'!$N$9:$N$82,MATCH(1,('[30]Rekap Tgl BKP JJG (2)'!$E$9:$E$82=$D12)*('[30]Rekap Tgl BKP JJG (2)'!$E$9:$E$82=$D12),0))</f>
        <v>0</v>
      </c>
      <c r="AB12" s="9">
        <f t="shared" si="15"/>
        <v>0</v>
      </c>
    </row>
    <row r="13" spans="1:28" outlineLevel="1" x14ac:dyDescent="0.15">
      <c r="A13" s="8" t="s">
        <v>1927</v>
      </c>
      <c r="B13" s="8"/>
      <c r="C13" s="8" t="s">
        <v>1928</v>
      </c>
      <c r="D13" s="181" t="s">
        <v>1079</v>
      </c>
      <c r="E13" s="9">
        <v>35.080000000000005</v>
      </c>
      <c r="F13" s="8" t="s">
        <v>1740</v>
      </c>
      <c r="G13" s="10">
        <v>2148</v>
      </c>
      <c r="H13" s="204">
        <f t="shared" si="4"/>
        <v>46227</v>
      </c>
      <c r="I13" s="205">
        <f t="shared" si="5"/>
        <v>104</v>
      </c>
      <c r="J13" s="206">
        <f t="shared" si="6"/>
        <v>4.8417132216014895</v>
      </c>
      <c r="K13" s="205">
        <f t="shared" si="7"/>
        <v>2</v>
      </c>
      <c r="L13" s="206">
        <f t="shared" si="8"/>
        <v>1.9230769230769231</v>
      </c>
      <c r="M13" s="8" t="str">
        <f t="array" ref="M13">IF(L13&gt;5,"Perlu Sensus",IF(AND(L13&gt;=0,I13&gt;0),"Tetap Deteksi","Belum Deteksi"))</f>
        <v>Tetap Deteksi</v>
      </c>
      <c r="N13" s="11">
        <f t="array" ref="N13">INDEX('[29]REKAP '!$F$9:$F$82,MATCH(1,('[29]REKAP '!$E$9:$E$82=$D13)*('[29]REKAP '!$E$9:$E$82=$D13),0))</f>
        <v>46227</v>
      </c>
      <c r="O13" s="143">
        <f t="array" ref="O13">INDEX('[29]REKAP '!$H$9:$H$82,MATCH(1,('[29]REKAP '!$E$9:$E$82=$D13)*('[29]REKAP '!$E$9:$E$82=$D13),0))</f>
        <v>104</v>
      </c>
      <c r="P13" s="9">
        <f t="shared" si="9"/>
        <v>4.8417132216014895</v>
      </c>
      <c r="Q13" s="143">
        <f t="array" ref="Q13">INDEX('[29]REKAP '!$J$9:$J$82,MATCH(1,('[29]REKAP '!$E$9:$E$82=$D13)*('[29]REKAP '!$E$9:$E$82=$D13),0))</f>
        <v>2</v>
      </c>
      <c r="R13" s="9">
        <f t="shared" si="10"/>
        <v>1.9230769230769231</v>
      </c>
      <c r="S13" s="8" t="str">
        <f t="shared" si="11"/>
        <v>Tetap Deteksi</v>
      </c>
      <c r="T13" s="143">
        <f t="array" ref="T13">INDEX('[29]REKAP '!$M$9:$M$82,MATCH(1,('[29]REKAP '!$E$9:$E$82=$D13)*('[29]REKAP '!$E$9:$E$82=$D13),0))</f>
        <v>6</v>
      </c>
      <c r="U13" s="9">
        <f t="shared" si="12"/>
        <v>5.7692307692307692</v>
      </c>
      <c r="V13" s="11">
        <f t="array" ref="V13">INDEX('[30]Rekap Tgl BKP JJG (2)'!$G$9:$G$82,MATCH(1,('[30]Rekap Tgl BKP JJG (2)'!$E$9:$E$82=$D13)*('[30]Rekap Tgl BKP JJG (2)'!$E$9:$E$82=$D13),0))</f>
        <v>0</v>
      </c>
      <c r="W13" s="203">
        <f t="array" ref="W13">INDEX('[30]Rekap Tgl BKP JJG (2)'!$I$9:$I$82,MATCH(1,('[30]Rekap Tgl BKP JJG (2)'!$E$9:$E$82=$D13)*('[30]Rekap Tgl BKP JJG (2)'!$E$9:$E$82=$D13),0))</f>
        <v>0</v>
      </c>
      <c r="X13" s="203">
        <f t="array" ref="X13">INDEX('[30]Rekap Tgl BKP JJG (2)'!$K$9:$K$82,MATCH(1,('[30]Rekap Tgl BKP JJG (2)'!$E$9:$E$82=$D13)*('[30]Rekap Tgl BKP JJG (2)'!$E$9:$E$82=$D13),0))</f>
        <v>0</v>
      </c>
      <c r="Y13" s="9">
        <f t="shared" si="13"/>
        <v>0</v>
      </c>
      <c r="Z13" s="8" t="str">
        <f t="shared" si="14"/>
        <v>Belum Deteksi</v>
      </c>
      <c r="AA13" s="203">
        <f t="array" ref="AA13">INDEX('[30]Rekap Tgl BKP JJG (2)'!$N$9:$N$82,MATCH(1,('[30]Rekap Tgl BKP JJG (2)'!$E$9:$E$82=$D13)*('[30]Rekap Tgl BKP JJG (2)'!$E$9:$E$82=$D13),0))</f>
        <v>0</v>
      </c>
      <c r="AB13" s="9">
        <f t="shared" si="15"/>
        <v>0</v>
      </c>
    </row>
    <row r="14" spans="1:28" outlineLevel="1" x14ac:dyDescent="0.15">
      <c r="A14" s="8" t="s">
        <v>1927</v>
      </c>
      <c r="B14" s="8"/>
      <c r="C14" s="8" t="s">
        <v>1928</v>
      </c>
      <c r="D14" s="186" t="s">
        <v>1834</v>
      </c>
      <c r="E14" s="9">
        <v>35.269999999999996</v>
      </c>
      <c r="F14" s="8" t="s">
        <v>1740</v>
      </c>
      <c r="G14" s="10">
        <v>4109</v>
      </c>
      <c r="H14" s="204">
        <f t="shared" si="4"/>
        <v>46223</v>
      </c>
      <c r="I14" s="205">
        <f t="shared" si="5"/>
        <v>154</v>
      </c>
      <c r="J14" s="206">
        <f t="shared" si="6"/>
        <v>3.7478705281090292</v>
      </c>
      <c r="K14" s="205">
        <f t="shared" si="7"/>
        <v>7</v>
      </c>
      <c r="L14" s="206">
        <f t="shared" si="8"/>
        <v>4.5454545454545459</v>
      </c>
      <c r="M14" s="8" t="str">
        <f t="array" ref="M14">IF(L14&gt;5,"Perlu Sensus",IF(AND(L14&gt;=0,I14&gt;0),"Tetap Deteksi","Belum Deteksi"))</f>
        <v>Tetap Deteksi</v>
      </c>
      <c r="N14" s="11">
        <f t="array" ref="N14">INDEX('[29]REKAP '!$F$9:$F$82,MATCH(1,('[29]REKAP '!$E$9:$E$82=$D14)*('[29]REKAP '!$E$9:$E$82=$D14),0))</f>
        <v>46223</v>
      </c>
      <c r="O14" s="143">
        <f t="array" ref="O14">INDEX('[29]REKAP '!$H$9:$H$82,MATCH(1,('[29]REKAP '!$E$9:$E$82=$D14)*('[29]REKAP '!$E$9:$E$82=$D14),0))</f>
        <v>154</v>
      </c>
      <c r="P14" s="9">
        <f t="shared" si="9"/>
        <v>3.7478705281090292</v>
      </c>
      <c r="Q14" s="143">
        <f t="array" ref="Q14">INDEX('[29]REKAP '!$J$9:$J$82,MATCH(1,('[29]REKAP '!$E$9:$E$82=$D14)*('[29]REKAP '!$E$9:$E$82=$D14),0))</f>
        <v>7</v>
      </c>
      <c r="R14" s="9">
        <f t="shared" si="10"/>
        <v>4.5454545454545459</v>
      </c>
      <c r="S14" s="8" t="str">
        <f t="shared" si="11"/>
        <v>Tetap Deteksi</v>
      </c>
      <c r="T14" s="143">
        <f t="array" ref="T14">INDEX('[29]REKAP '!$M$9:$M$82,MATCH(1,('[29]REKAP '!$E$9:$E$82=$D14)*('[29]REKAP '!$E$9:$E$82=$D14),0))</f>
        <v>8</v>
      </c>
      <c r="U14" s="9">
        <f t="shared" si="12"/>
        <v>5.1948051948051948</v>
      </c>
      <c r="V14" s="11">
        <f t="array" ref="V14">INDEX('[30]Rekap Tgl BKP JJG (2)'!$G$9:$G$82,MATCH(1,('[30]Rekap Tgl BKP JJG (2)'!$E$9:$E$82=$D14)*('[30]Rekap Tgl BKP JJG (2)'!$E$9:$E$82=$D14),0))</f>
        <v>46241</v>
      </c>
      <c r="W14" s="203">
        <f t="array" ref="W14">INDEX('[30]Rekap Tgl BKP JJG (2)'!$I$9:$I$82,MATCH(1,('[30]Rekap Tgl BKP JJG (2)'!$E$9:$E$82=$D14)*('[30]Rekap Tgl BKP JJG (2)'!$E$9:$E$82=$D14),0))</f>
        <v>1837</v>
      </c>
      <c r="X14" s="203">
        <f t="array" ref="X14">INDEX('[30]Rekap Tgl BKP JJG (2)'!$K$9:$K$82,MATCH(1,('[30]Rekap Tgl BKP JJG (2)'!$E$9:$E$82=$D14)*('[30]Rekap Tgl BKP JJG (2)'!$E$9:$E$82=$D14),0))</f>
        <v>22</v>
      </c>
      <c r="Y14" s="9">
        <f t="shared" si="13"/>
        <v>1.1976047904191618</v>
      </c>
      <c r="Z14" s="8" t="str">
        <f t="shared" si="14"/>
        <v>Tetap Deteksi</v>
      </c>
      <c r="AA14" s="203">
        <f t="array" ref="AA14">INDEX('[30]Rekap Tgl BKP JJG (2)'!$N$9:$N$82,MATCH(1,('[30]Rekap Tgl BKP JJG (2)'!$E$9:$E$82=$D14)*('[30]Rekap Tgl BKP JJG (2)'!$E$9:$E$82=$D14),0))</f>
        <v>370</v>
      </c>
      <c r="AB14" s="9">
        <f t="shared" si="15"/>
        <v>20.14153511159499</v>
      </c>
    </row>
    <row r="15" spans="1:28" outlineLevel="1" x14ac:dyDescent="0.15">
      <c r="A15" s="8" t="s">
        <v>1927</v>
      </c>
      <c r="B15" s="8"/>
      <c r="C15" s="8" t="s">
        <v>1928</v>
      </c>
      <c r="D15" s="186" t="s">
        <v>1455</v>
      </c>
      <c r="E15" s="9">
        <v>47.09</v>
      </c>
      <c r="F15" s="8" t="s">
        <v>1740</v>
      </c>
      <c r="G15" s="10">
        <v>5844</v>
      </c>
      <c r="H15" s="204">
        <f t="shared" si="4"/>
        <v>46220</v>
      </c>
      <c r="I15" s="205">
        <f t="shared" si="5"/>
        <v>143</v>
      </c>
      <c r="J15" s="206">
        <f t="shared" si="6"/>
        <v>2.4469541409993156</v>
      </c>
      <c r="K15" s="205">
        <f t="shared" si="7"/>
        <v>7</v>
      </c>
      <c r="L15" s="206">
        <f t="shared" si="8"/>
        <v>4.895104895104895</v>
      </c>
      <c r="M15" s="8" t="str">
        <f t="array" ref="M15">IF(L15&gt;5,"Perlu Sensus",IF(AND(L15&gt;=0,I15&gt;0),"Tetap Deteksi","Belum Deteksi"))</f>
        <v>Tetap Deteksi</v>
      </c>
      <c r="N15" s="11">
        <f t="array" ref="N15">INDEX('[29]REKAP '!$F$9:$F$82,MATCH(1,('[29]REKAP '!$E$9:$E$82=$D15)*('[29]REKAP '!$E$9:$E$82=$D15),0))</f>
        <v>46220</v>
      </c>
      <c r="O15" s="143">
        <f t="array" ref="O15">INDEX('[29]REKAP '!$H$9:$H$82,MATCH(1,('[29]REKAP '!$E$9:$E$82=$D15)*('[29]REKAP '!$E$9:$E$82=$D15),0))</f>
        <v>143</v>
      </c>
      <c r="P15" s="9">
        <f t="shared" si="9"/>
        <v>2.4469541409993156</v>
      </c>
      <c r="Q15" s="143">
        <f t="array" ref="Q15">INDEX('[29]REKAP '!$J$9:$J$82,MATCH(1,('[29]REKAP '!$E$9:$E$82=$D15)*('[29]REKAP '!$E$9:$E$82=$D15),0))</f>
        <v>7</v>
      </c>
      <c r="R15" s="9">
        <f t="shared" si="10"/>
        <v>4.895104895104895</v>
      </c>
      <c r="S15" s="8" t="str">
        <f t="shared" si="11"/>
        <v>Tetap Deteksi</v>
      </c>
      <c r="T15" s="143">
        <f t="array" ref="T15">INDEX('[29]REKAP '!$M$9:$M$82,MATCH(1,('[29]REKAP '!$E$9:$E$82=$D15)*('[29]REKAP '!$E$9:$E$82=$D15),0))</f>
        <v>11</v>
      </c>
      <c r="U15" s="9">
        <f t="shared" si="12"/>
        <v>7.6923076923076925</v>
      </c>
      <c r="V15" s="11">
        <f t="array" ref="V15">INDEX('[30]Rekap Tgl BKP JJG (2)'!$G$9:$G$82,MATCH(1,('[30]Rekap Tgl BKP JJG (2)'!$E$9:$E$82=$D15)*('[30]Rekap Tgl BKP JJG (2)'!$E$9:$E$82=$D15),0))</f>
        <v>46246</v>
      </c>
      <c r="W15" s="203">
        <f t="array" ref="W15">INDEX('[30]Rekap Tgl BKP JJG (2)'!$I$9:$I$82,MATCH(1,('[30]Rekap Tgl BKP JJG (2)'!$E$9:$E$82=$D15)*('[30]Rekap Tgl BKP JJG (2)'!$E$9:$E$82=$D15),0))</f>
        <v>883</v>
      </c>
      <c r="X15" s="203">
        <f t="array" ref="X15">INDEX('[30]Rekap Tgl BKP JJG (2)'!$K$9:$K$82,MATCH(1,('[30]Rekap Tgl BKP JJG (2)'!$E$9:$E$82=$D15)*('[30]Rekap Tgl BKP JJG (2)'!$E$9:$E$82=$D15),0))</f>
        <v>12</v>
      </c>
      <c r="Y15" s="9">
        <f t="shared" si="13"/>
        <v>1.3590033975084939</v>
      </c>
      <c r="Z15" s="8" t="str">
        <f t="shared" si="14"/>
        <v>Tetap Deteksi</v>
      </c>
      <c r="AA15" s="203">
        <f t="array" ref="AA15">INDEX('[30]Rekap Tgl BKP JJG (2)'!$N$9:$N$82,MATCH(1,('[30]Rekap Tgl BKP JJG (2)'!$E$9:$E$82=$D15)*('[30]Rekap Tgl BKP JJG (2)'!$E$9:$E$82=$D15),0))</f>
        <v>175</v>
      </c>
      <c r="AB15" s="9">
        <f t="shared" si="15"/>
        <v>19.818799546998868</v>
      </c>
    </row>
    <row r="16" spans="1:28" outlineLevel="1" x14ac:dyDescent="0.15">
      <c r="A16" s="8" t="s">
        <v>1927</v>
      </c>
      <c r="B16" s="8"/>
      <c r="C16" s="8" t="s">
        <v>1928</v>
      </c>
      <c r="D16" s="181" t="s">
        <v>1430</v>
      </c>
      <c r="E16" s="9">
        <v>28.35</v>
      </c>
      <c r="F16" s="8" t="s">
        <v>1740</v>
      </c>
      <c r="G16" s="10">
        <v>3662.0000000000005</v>
      </c>
      <c r="H16" s="204">
        <f t="shared" si="4"/>
        <v>46226</v>
      </c>
      <c r="I16" s="205">
        <f t="shared" si="5"/>
        <v>143</v>
      </c>
      <c r="J16" s="206">
        <f t="shared" si="6"/>
        <v>3.9049699617695244</v>
      </c>
      <c r="K16" s="205">
        <f t="shared" si="7"/>
        <v>6</v>
      </c>
      <c r="L16" s="206">
        <f t="shared" si="8"/>
        <v>4.1958041958041958</v>
      </c>
      <c r="M16" s="8" t="str">
        <f t="array" ref="M16">IF(L16&gt;5,"Perlu Sensus",IF(AND(L16&gt;=0,I16&gt;0),"Tetap Deteksi","Belum Deteksi"))</f>
        <v>Tetap Deteksi</v>
      </c>
      <c r="N16" s="11">
        <f t="array" ref="N16">INDEX('[29]REKAP '!$F$9:$F$82,MATCH(1,('[29]REKAP '!$E$9:$E$82=$D16)*('[29]REKAP '!$E$9:$E$82=$D16),0))</f>
        <v>46226</v>
      </c>
      <c r="O16" s="143">
        <f t="array" ref="O16">INDEX('[29]REKAP '!$H$9:$H$82,MATCH(1,('[29]REKAP '!$E$9:$E$82=$D16)*('[29]REKAP '!$E$9:$E$82=$D16),0))</f>
        <v>143</v>
      </c>
      <c r="P16" s="9">
        <f t="shared" si="9"/>
        <v>3.9049699617695244</v>
      </c>
      <c r="Q16" s="143">
        <f t="array" ref="Q16">INDEX('[29]REKAP '!$J$9:$J$82,MATCH(1,('[29]REKAP '!$E$9:$E$82=$D16)*('[29]REKAP '!$E$9:$E$82=$D16),0))</f>
        <v>6</v>
      </c>
      <c r="R16" s="9">
        <f t="shared" si="10"/>
        <v>4.1958041958041958</v>
      </c>
      <c r="S16" s="8" t="str">
        <f t="shared" si="11"/>
        <v>Tetap Deteksi</v>
      </c>
      <c r="T16" s="143">
        <f t="array" ref="T16">INDEX('[29]REKAP '!$M$9:$M$82,MATCH(1,('[29]REKAP '!$E$9:$E$82=$D16)*('[29]REKAP '!$E$9:$E$82=$D16),0))</f>
        <v>8</v>
      </c>
      <c r="U16" s="9">
        <f t="shared" si="12"/>
        <v>5.5944055944055942</v>
      </c>
      <c r="V16" s="11">
        <f t="array" ref="V16">INDEX('[30]Rekap Tgl BKP JJG (2)'!$G$9:$G$82,MATCH(1,('[30]Rekap Tgl BKP JJG (2)'!$E$9:$E$82=$D16)*('[30]Rekap Tgl BKP JJG (2)'!$E$9:$E$82=$D16),0))</f>
        <v>0</v>
      </c>
      <c r="W16" s="203">
        <f t="array" ref="W16">INDEX('[30]Rekap Tgl BKP JJG (2)'!$I$9:$I$82,MATCH(1,('[30]Rekap Tgl BKP JJG (2)'!$E$9:$E$82=$D16)*('[30]Rekap Tgl BKP JJG (2)'!$E$9:$E$82=$D16),0))</f>
        <v>0</v>
      </c>
      <c r="X16" s="203">
        <f t="array" ref="X16">INDEX('[30]Rekap Tgl BKP JJG (2)'!$K$9:$K$82,MATCH(1,('[30]Rekap Tgl BKP JJG (2)'!$E$9:$E$82=$D16)*('[30]Rekap Tgl BKP JJG (2)'!$E$9:$E$82=$D16),0))</f>
        <v>0</v>
      </c>
      <c r="Y16" s="9">
        <f t="shared" si="13"/>
        <v>0</v>
      </c>
      <c r="Z16" s="8" t="str">
        <f t="shared" si="14"/>
        <v>Belum Deteksi</v>
      </c>
      <c r="AA16" s="203">
        <f t="array" ref="AA16">INDEX('[30]Rekap Tgl BKP JJG (2)'!$N$9:$N$82,MATCH(1,('[30]Rekap Tgl BKP JJG (2)'!$E$9:$E$82=$D16)*('[30]Rekap Tgl BKP JJG (2)'!$E$9:$E$82=$D16),0))</f>
        <v>0</v>
      </c>
      <c r="AB16" s="9">
        <f t="shared" si="15"/>
        <v>0</v>
      </c>
    </row>
    <row r="17" spans="1:28" outlineLevel="1" x14ac:dyDescent="0.15">
      <c r="A17" s="8" t="s">
        <v>1927</v>
      </c>
      <c r="B17" s="8"/>
      <c r="C17" s="8" t="s">
        <v>1928</v>
      </c>
      <c r="D17" s="186" t="s">
        <v>1433</v>
      </c>
      <c r="E17" s="9">
        <v>36.25</v>
      </c>
      <c r="F17" s="8" t="s">
        <v>1740</v>
      </c>
      <c r="G17" s="10">
        <v>4035</v>
      </c>
      <c r="H17" s="204">
        <f t="shared" si="4"/>
        <v>46223</v>
      </c>
      <c r="I17" s="205">
        <f t="shared" si="5"/>
        <v>88</v>
      </c>
      <c r="J17" s="206">
        <f t="shared" si="6"/>
        <v>2.1809169764560101</v>
      </c>
      <c r="K17" s="205">
        <f t="shared" si="7"/>
        <v>2</v>
      </c>
      <c r="L17" s="206">
        <f t="shared" si="8"/>
        <v>2.2727272727272729</v>
      </c>
      <c r="M17" s="8" t="str">
        <f t="array" ref="M17">IF(L17&gt;5,"Perlu Sensus",IF(AND(L17&gt;=0,I17&gt;0),"Tetap Deteksi","Belum Deteksi"))</f>
        <v>Tetap Deteksi</v>
      </c>
      <c r="N17" s="11">
        <f t="array" ref="N17">INDEX('[29]REKAP '!$F$9:$F$82,MATCH(1,('[29]REKAP '!$E$9:$E$82=$D17)*('[29]REKAP '!$E$9:$E$82=$D17),0))</f>
        <v>46223</v>
      </c>
      <c r="O17" s="143">
        <f t="array" ref="O17">INDEX('[29]REKAP '!$H$9:$H$82,MATCH(1,('[29]REKAP '!$E$9:$E$82=$D17)*('[29]REKAP '!$E$9:$E$82=$D17),0))</f>
        <v>88</v>
      </c>
      <c r="P17" s="9">
        <f t="shared" si="9"/>
        <v>2.1809169764560101</v>
      </c>
      <c r="Q17" s="143">
        <f t="array" ref="Q17">INDEX('[29]REKAP '!$J$9:$J$82,MATCH(1,('[29]REKAP '!$E$9:$E$82=$D17)*('[29]REKAP '!$E$9:$E$82=$D17),0))</f>
        <v>2</v>
      </c>
      <c r="R17" s="9">
        <f t="shared" si="10"/>
        <v>2.2727272727272729</v>
      </c>
      <c r="S17" s="8" t="str">
        <f t="shared" si="11"/>
        <v>Tetap Deteksi</v>
      </c>
      <c r="T17" s="143">
        <f t="array" ref="T17">INDEX('[29]REKAP '!$M$9:$M$82,MATCH(1,('[29]REKAP '!$E$9:$E$82=$D17)*('[29]REKAP '!$E$9:$E$82=$D17),0))</f>
        <v>8</v>
      </c>
      <c r="U17" s="9">
        <f t="shared" si="12"/>
        <v>9.0909090909090917</v>
      </c>
      <c r="V17" s="11">
        <f t="array" ref="V17">INDEX('[30]Rekap Tgl BKP JJG (2)'!$G$9:$G$82,MATCH(1,('[30]Rekap Tgl BKP JJG (2)'!$E$9:$E$82=$D17)*('[30]Rekap Tgl BKP JJG (2)'!$E$9:$E$82=$D17),0))</f>
        <v>0</v>
      </c>
      <c r="W17" s="203">
        <f t="array" ref="W17">INDEX('[30]Rekap Tgl BKP JJG (2)'!$I$9:$I$82,MATCH(1,('[30]Rekap Tgl BKP JJG (2)'!$E$9:$E$82=$D17)*('[30]Rekap Tgl BKP JJG (2)'!$E$9:$E$82=$D17),0))</f>
        <v>0</v>
      </c>
      <c r="X17" s="203">
        <f t="array" ref="X17">INDEX('[30]Rekap Tgl BKP JJG (2)'!$K$9:$K$82,MATCH(1,('[30]Rekap Tgl BKP JJG (2)'!$E$9:$E$82=$D17)*('[30]Rekap Tgl BKP JJG (2)'!$E$9:$E$82=$D17),0))</f>
        <v>0</v>
      </c>
      <c r="Y17" s="9">
        <f t="shared" si="13"/>
        <v>0</v>
      </c>
      <c r="Z17" s="8" t="str">
        <f t="shared" si="14"/>
        <v>Belum Deteksi</v>
      </c>
      <c r="AA17" s="203">
        <f t="array" ref="AA17">INDEX('[30]Rekap Tgl BKP JJG (2)'!$N$9:$N$82,MATCH(1,('[30]Rekap Tgl BKP JJG (2)'!$E$9:$E$82=$D17)*('[30]Rekap Tgl BKP JJG (2)'!$E$9:$E$82=$D17),0))</f>
        <v>0</v>
      </c>
      <c r="AB17" s="9">
        <f t="shared" si="15"/>
        <v>0</v>
      </c>
    </row>
    <row r="18" spans="1:28" outlineLevel="1" x14ac:dyDescent="0.15">
      <c r="A18" s="8" t="s">
        <v>1927</v>
      </c>
      <c r="B18" s="8"/>
      <c r="C18" s="8" t="s">
        <v>1928</v>
      </c>
      <c r="D18" s="186" t="s">
        <v>1436</v>
      </c>
      <c r="E18" s="9">
        <v>28.34</v>
      </c>
      <c r="F18" s="8" t="s">
        <v>1740</v>
      </c>
      <c r="G18" s="10">
        <v>2649</v>
      </c>
      <c r="H18" s="204">
        <f t="shared" si="4"/>
        <v>46212</v>
      </c>
      <c r="I18" s="205">
        <f t="shared" si="5"/>
        <v>89</v>
      </c>
      <c r="J18" s="206">
        <f t="shared" si="6"/>
        <v>3.3597583993959983</v>
      </c>
      <c r="K18" s="205">
        <f t="shared" si="7"/>
        <v>3</v>
      </c>
      <c r="L18" s="206">
        <f t="shared" si="8"/>
        <v>3.3707865168539324</v>
      </c>
      <c r="M18" s="8" t="str">
        <f t="array" ref="M18">IF(L18&gt;5,"Perlu Sensus",IF(AND(L18&gt;=0,I18&gt;0),"Tetap Deteksi","Belum Deteksi"))</f>
        <v>Tetap Deteksi</v>
      </c>
      <c r="N18" s="11">
        <f t="array" ref="N18">INDEX('[29]REKAP '!$F$9:$F$82,MATCH(1,('[29]REKAP '!$E$9:$E$82=$D18)*('[29]REKAP '!$E$9:$E$82=$D18),0))</f>
        <v>46212</v>
      </c>
      <c r="O18" s="143">
        <f t="array" ref="O18">INDEX('[29]REKAP '!$H$9:$H$82,MATCH(1,('[29]REKAP '!$E$9:$E$82=$D18)*('[29]REKAP '!$E$9:$E$82=$D18),0))</f>
        <v>89</v>
      </c>
      <c r="P18" s="9">
        <f t="shared" si="9"/>
        <v>3.3597583993959983</v>
      </c>
      <c r="Q18" s="143">
        <f t="array" ref="Q18">INDEX('[29]REKAP '!$J$9:$J$82,MATCH(1,('[29]REKAP '!$E$9:$E$82=$D18)*('[29]REKAP '!$E$9:$E$82=$D18),0))</f>
        <v>3</v>
      </c>
      <c r="R18" s="9">
        <f t="shared" si="10"/>
        <v>3.3707865168539324</v>
      </c>
      <c r="S18" s="8" t="str">
        <f t="shared" si="11"/>
        <v>Tetap Deteksi</v>
      </c>
      <c r="T18" s="143">
        <f t="array" ref="T18">INDEX('[29]REKAP '!$M$9:$M$82,MATCH(1,('[29]REKAP '!$E$9:$E$82=$D18)*('[29]REKAP '!$E$9:$E$82=$D18),0))</f>
        <v>12</v>
      </c>
      <c r="U18" s="9">
        <f t="shared" si="12"/>
        <v>13.48314606741573</v>
      </c>
      <c r="V18" s="11">
        <f t="array" ref="V18">INDEX('[30]Rekap Tgl BKP JJG (2)'!$G$9:$G$82,MATCH(1,('[30]Rekap Tgl BKP JJG (2)'!$E$9:$E$82=$D18)*('[30]Rekap Tgl BKP JJG (2)'!$E$9:$E$82=$D18),0))</f>
        <v>0</v>
      </c>
      <c r="W18" s="203">
        <f t="array" ref="W18">INDEX('[30]Rekap Tgl BKP JJG (2)'!$I$9:$I$82,MATCH(1,('[30]Rekap Tgl BKP JJG (2)'!$E$9:$E$82=$D18)*('[30]Rekap Tgl BKP JJG (2)'!$E$9:$E$82=$D18),0))</f>
        <v>0</v>
      </c>
      <c r="X18" s="203">
        <f t="array" ref="X18">INDEX('[30]Rekap Tgl BKP JJG (2)'!$K$9:$K$82,MATCH(1,('[30]Rekap Tgl BKP JJG (2)'!$E$9:$E$82=$D18)*('[30]Rekap Tgl BKP JJG (2)'!$E$9:$E$82=$D18),0))</f>
        <v>0</v>
      </c>
      <c r="Y18" s="9">
        <f t="shared" si="13"/>
        <v>0</v>
      </c>
      <c r="Z18" s="8" t="str">
        <f t="shared" si="14"/>
        <v>Belum Deteksi</v>
      </c>
      <c r="AA18" s="203">
        <f t="array" ref="AA18">INDEX('[30]Rekap Tgl BKP JJG (2)'!$N$9:$N$82,MATCH(1,('[30]Rekap Tgl BKP JJG (2)'!$E$9:$E$82=$D18)*('[30]Rekap Tgl BKP JJG (2)'!$E$9:$E$82=$D18),0))</f>
        <v>0</v>
      </c>
      <c r="AB18" s="9">
        <f t="shared" si="15"/>
        <v>0</v>
      </c>
    </row>
    <row r="19" spans="1:28" outlineLevel="1" x14ac:dyDescent="0.15">
      <c r="A19" s="8" t="s">
        <v>1927</v>
      </c>
      <c r="B19" s="8"/>
      <c r="C19" s="8" t="s">
        <v>1928</v>
      </c>
      <c r="D19" s="181" t="s">
        <v>1438</v>
      </c>
      <c r="E19" s="9">
        <v>31.9</v>
      </c>
      <c r="F19" s="8" t="s">
        <v>1740</v>
      </c>
      <c r="G19" s="10">
        <v>3654</v>
      </c>
      <c r="H19" s="204">
        <f t="shared" si="4"/>
        <v>46225</v>
      </c>
      <c r="I19" s="205">
        <f t="shared" si="5"/>
        <v>65</v>
      </c>
      <c r="J19" s="206">
        <f t="shared" si="6"/>
        <v>1.7788724685276411</v>
      </c>
      <c r="K19" s="205">
        <f t="shared" si="7"/>
        <v>3</v>
      </c>
      <c r="L19" s="206">
        <f t="shared" si="8"/>
        <v>4.6153846153846159</v>
      </c>
      <c r="M19" s="8" t="str">
        <f t="array" ref="M19">IF(L19&gt;5,"Perlu Sensus",IF(AND(L19&gt;=0,I19&gt;0),"Tetap Deteksi","Belum Deteksi"))</f>
        <v>Tetap Deteksi</v>
      </c>
      <c r="N19" s="11">
        <f t="array" ref="N19">INDEX('[29]REKAP '!$F$9:$F$82,MATCH(1,('[29]REKAP '!$E$9:$E$82=$D19)*('[29]REKAP '!$E$9:$E$82=$D19),0))</f>
        <v>46225</v>
      </c>
      <c r="O19" s="143">
        <f t="array" ref="O19">INDEX('[29]REKAP '!$H$9:$H$82,MATCH(1,('[29]REKAP '!$E$9:$E$82=$D19)*('[29]REKAP '!$E$9:$E$82=$D19),0))</f>
        <v>65</v>
      </c>
      <c r="P19" s="9">
        <f t="shared" si="9"/>
        <v>1.7788724685276411</v>
      </c>
      <c r="Q19" s="143">
        <f t="array" ref="Q19">INDEX('[29]REKAP '!$J$9:$J$82,MATCH(1,('[29]REKAP '!$E$9:$E$82=$D19)*('[29]REKAP '!$E$9:$E$82=$D19),0))</f>
        <v>3</v>
      </c>
      <c r="R19" s="9">
        <f t="shared" si="10"/>
        <v>4.6153846153846159</v>
      </c>
      <c r="S19" s="8" t="str">
        <f t="shared" si="11"/>
        <v>Tetap Deteksi</v>
      </c>
      <c r="T19" s="143">
        <f t="array" ref="T19">INDEX('[29]REKAP '!$M$9:$M$82,MATCH(1,('[29]REKAP '!$E$9:$E$82=$D19)*('[29]REKAP '!$E$9:$E$82=$D19),0))</f>
        <v>19</v>
      </c>
      <c r="U19" s="9">
        <f t="shared" si="12"/>
        <v>29.230769230769234</v>
      </c>
      <c r="V19" s="11">
        <f t="array" ref="V19">INDEX('[30]Rekap Tgl BKP JJG (2)'!$G$9:$G$82,MATCH(1,('[30]Rekap Tgl BKP JJG (2)'!$E$9:$E$82=$D19)*('[30]Rekap Tgl BKP JJG (2)'!$E$9:$E$82=$D19),0))</f>
        <v>46238</v>
      </c>
      <c r="W19" s="203">
        <f t="array" ref="W19">INDEX('[30]Rekap Tgl BKP JJG (2)'!$I$9:$I$82,MATCH(1,('[30]Rekap Tgl BKP JJG (2)'!$E$9:$E$82=$D19)*('[30]Rekap Tgl BKP JJG (2)'!$E$9:$E$82=$D19),0))</f>
        <v>883</v>
      </c>
      <c r="X19" s="203">
        <f t="array" ref="X19">INDEX('[30]Rekap Tgl BKP JJG (2)'!$K$9:$K$82,MATCH(1,('[30]Rekap Tgl BKP JJG (2)'!$E$9:$E$82=$D19)*('[30]Rekap Tgl BKP JJG (2)'!$E$9:$E$82=$D19),0))</f>
        <v>12</v>
      </c>
      <c r="Y19" s="9">
        <f t="shared" si="13"/>
        <v>1.3590033975084939</v>
      </c>
      <c r="Z19" s="8" t="str">
        <f t="shared" si="14"/>
        <v>Tetap Deteksi</v>
      </c>
      <c r="AA19" s="203">
        <f t="array" ref="AA19">INDEX('[30]Rekap Tgl BKP JJG (2)'!$N$9:$N$82,MATCH(1,('[30]Rekap Tgl BKP JJG (2)'!$E$9:$E$82=$D19)*('[30]Rekap Tgl BKP JJG (2)'!$E$9:$E$82=$D19),0))</f>
        <v>175</v>
      </c>
      <c r="AB19" s="9">
        <f t="shared" si="15"/>
        <v>19.818799546998868</v>
      </c>
    </row>
    <row r="20" spans="1:28" outlineLevel="1" x14ac:dyDescent="0.15">
      <c r="A20" s="8" t="s">
        <v>1927</v>
      </c>
      <c r="B20" s="8"/>
      <c r="C20" s="8" t="s">
        <v>1928</v>
      </c>
      <c r="D20" s="181" t="s">
        <v>1440</v>
      </c>
      <c r="E20" s="9">
        <v>35.380000000000003</v>
      </c>
      <c r="F20" s="8" t="s">
        <v>1740</v>
      </c>
      <c r="G20" s="10">
        <v>4717</v>
      </c>
      <c r="H20" s="204">
        <f t="shared" si="4"/>
        <v>46220</v>
      </c>
      <c r="I20" s="205">
        <f t="shared" si="5"/>
        <v>119</v>
      </c>
      <c r="J20" s="206">
        <f t="shared" si="6"/>
        <v>2.5227899088403647</v>
      </c>
      <c r="K20" s="205">
        <f t="shared" si="7"/>
        <v>1</v>
      </c>
      <c r="L20" s="206">
        <f t="shared" si="8"/>
        <v>0.84033613445378152</v>
      </c>
      <c r="M20" s="8" t="str">
        <f t="array" ref="M20">IF(L20&gt;5,"Perlu Sensus",IF(AND(L20&gt;=0,I20&gt;0),"Tetap Deteksi","Belum Deteksi"))</f>
        <v>Tetap Deteksi</v>
      </c>
      <c r="N20" s="11">
        <f t="array" ref="N20">INDEX('[29]REKAP '!$F$9:$F$82,MATCH(1,('[29]REKAP '!$E$9:$E$82=$D20)*('[29]REKAP '!$E$9:$E$82=$D20),0))</f>
        <v>46220</v>
      </c>
      <c r="O20" s="143">
        <f t="array" ref="O20">INDEX('[29]REKAP '!$H$9:$H$82,MATCH(1,('[29]REKAP '!$E$9:$E$82=$D20)*('[29]REKAP '!$E$9:$E$82=$D20),0))</f>
        <v>119</v>
      </c>
      <c r="P20" s="9">
        <f t="shared" si="9"/>
        <v>2.5227899088403647</v>
      </c>
      <c r="Q20" s="143">
        <f t="array" ref="Q20">INDEX('[29]REKAP '!$J$9:$J$82,MATCH(1,('[29]REKAP '!$E$9:$E$82=$D20)*('[29]REKAP '!$E$9:$E$82=$D20),0))</f>
        <v>1</v>
      </c>
      <c r="R20" s="9">
        <f t="shared" si="10"/>
        <v>0.84033613445378152</v>
      </c>
      <c r="S20" s="8" t="str">
        <f t="shared" si="11"/>
        <v>Tetap Deteksi</v>
      </c>
      <c r="T20" s="143">
        <f t="array" ref="T20">INDEX('[29]REKAP '!$M$9:$M$82,MATCH(1,('[29]REKAP '!$E$9:$E$82=$D20)*('[29]REKAP '!$E$9:$E$82=$D20),0))</f>
        <v>8</v>
      </c>
      <c r="U20" s="9">
        <f t="shared" si="12"/>
        <v>6.7226890756302522</v>
      </c>
      <c r="V20" s="11">
        <f t="array" ref="V20">INDEX('[30]Rekap Tgl BKP JJG (2)'!$G$9:$G$82,MATCH(1,('[30]Rekap Tgl BKP JJG (2)'!$E$9:$E$82=$D20)*('[30]Rekap Tgl BKP JJG (2)'!$E$9:$E$82=$D20),0))</f>
        <v>46238</v>
      </c>
      <c r="W20" s="203">
        <f t="array" ref="W20">INDEX('[30]Rekap Tgl BKP JJG (2)'!$I$9:$I$82,MATCH(1,('[30]Rekap Tgl BKP JJG (2)'!$E$9:$E$82=$D20)*('[30]Rekap Tgl BKP JJG (2)'!$E$9:$E$82=$D20),0))</f>
        <v>1312</v>
      </c>
      <c r="X20" s="203">
        <f t="array" ref="X20">INDEX('[30]Rekap Tgl BKP JJG (2)'!$K$9:$K$82,MATCH(1,('[30]Rekap Tgl BKP JJG (2)'!$E$9:$E$82=$D20)*('[30]Rekap Tgl BKP JJG (2)'!$E$9:$E$82=$D20),0))</f>
        <v>26</v>
      </c>
      <c r="Y20" s="9">
        <f t="shared" si="13"/>
        <v>1.9817073170731707</v>
      </c>
      <c r="Z20" s="8" t="str">
        <f t="shared" si="14"/>
        <v>Tetap Deteksi</v>
      </c>
      <c r="AA20" s="203">
        <f t="array" ref="AA20">INDEX('[30]Rekap Tgl BKP JJG (2)'!$N$9:$N$82,MATCH(1,('[30]Rekap Tgl BKP JJG (2)'!$E$9:$E$82=$D20)*('[30]Rekap Tgl BKP JJG (2)'!$E$9:$E$82=$D20),0))</f>
        <v>261</v>
      </c>
      <c r="AB20" s="9">
        <f t="shared" si="15"/>
        <v>19.89329268292683</v>
      </c>
    </row>
    <row r="21" spans="1:28" outlineLevel="1" x14ac:dyDescent="0.15">
      <c r="A21" s="8" t="s">
        <v>1927</v>
      </c>
      <c r="B21" s="8"/>
      <c r="C21" s="8" t="s">
        <v>1928</v>
      </c>
      <c r="D21" s="186" t="s">
        <v>1442</v>
      </c>
      <c r="E21" s="9">
        <v>25.740000000000002</v>
      </c>
      <c r="F21" s="8" t="s">
        <v>1740</v>
      </c>
      <c r="G21" s="10">
        <v>3108</v>
      </c>
      <c r="H21" s="204">
        <f t="shared" si="4"/>
        <v>46217</v>
      </c>
      <c r="I21" s="205">
        <f t="shared" si="5"/>
        <v>105</v>
      </c>
      <c r="J21" s="206">
        <f t="shared" si="6"/>
        <v>3.3783783783783785</v>
      </c>
      <c r="K21" s="205">
        <f t="shared" si="7"/>
        <v>5</v>
      </c>
      <c r="L21" s="206">
        <f t="shared" si="8"/>
        <v>4.7619047619047619</v>
      </c>
      <c r="M21" s="8" t="str">
        <f t="array" ref="M21">IF(L21&gt;5,"Perlu Sensus",IF(AND(L21&gt;=0,I21&gt;0),"Tetap Deteksi","Belum Deteksi"))</f>
        <v>Tetap Deteksi</v>
      </c>
      <c r="N21" s="11">
        <f t="array" ref="N21">INDEX('[29]REKAP '!$F$9:$F$82,MATCH(1,('[29]REKAP '!$E$9:$E$82=$D21)*('[29]REKAP '!$E$9:$E$82=$D21),0))</f>
        <v>46217</v>
      </c>
      <c r="O21" s="143">
        <f t="array" ref="O21">INDEX('[29]REKAP '!$H$9:$H$82,MATCH(1,('[29]REKAP '!$E$9:$E$82=$D21)*('[29]REKAP '!$E$9:$E$82=$D21),0))</f>
        <v>105</v>
      </c>
      <c r="P21" s="9">
        <f t="shared" si="9"/>
        <v>3.3783783783783785</v>
      </c>
      <c r="Q21" s="143">
        <f t="array" ref="Q21">INDEX('[29]REKAP '!$J$9:$J$82,MATCH(1,('[29]REKAP '!$E$9:$E$82=$D21)*('[29]REKAP '!$E$9:$E$82=$D21),0))</f>
        <v>5</v>
      </c>
      <c r="R21" s="9">
        <f t="shared" si="10"/>
        <v>4.7619047619047619</v>
      </c>
      <c r="S21" s="8" t="str">
        <f t="shared" si="11"/>
        <v>Tetap Deteksi</v>
      </c>
      <c r="T21" s="143">
        <f t="array" ref="T21">INDEX('[29]REKAP '!$M$9:$M$82,MATCH(1,('[29]REKAP '!$E$9:$E$82=$D21)*('[29]REKAP '!$E$9:$E$82=$D21),0))</f>
        <v>11</v>
      </c>
      <c r="U21" s="9">
        <f t="shared" si="12"/>
        <v>10.476190476190476</v>
      </c>
      <c r="V21" s="11">
        <f t="array" ref="V21">INDEX('[30]Rekap Tgl BKP JJG (2)'!$G$9:$G$82,MATCH(1,('[30]Rekap Tgl BKP JJG (2)'!$E$9:$E$82=$D21)*('[30]Rekap Tgl BKP JJG (2)'!$E$9:$E$82=$D21),0))</f>
        <v>46235</v>
      </c>
      <c r="W21" s="203">
        <f t="array" ref="W21">INDEX('[30]Rekap Tgl BKP JJG (2)'!$I$9:$I$82,MATCH(1,('[30]Rekap Tgl BKP JJG (2)'!$E$9:$E$82=$D21)*('[30]Rekap Tgl BKP JJG (2)'!$E$9:$E$82=$D21),0))</f>
        <v>1107</v>
      </c>
      <c r="X21" s="203">
        <f t="array" ref="X21">INDEX('[30]Rekap Tgl BKP JJG (2)'!$K$9:$K$82,MATCH(1,('[30]Rekap Tgl BKP JJG (2)'!$E$9:$E$82=$D21)*('[30]Rekap Tgl BKP JJG (2)'!$E$9:$E$82=$D21),0))</f>
        <v>14</v>
      </c>
      <c r="Y21" s="9">
        <f t="shared" si="13"/>
        <v>1.2646793134598013</v>
      </c>
      <c r="Z21" s="8" t="str">
        <f t="shared" si="14"/>
        <v>Tetap Deteksi</v>
      </c>
      <c r="AA21" s="203">
        <f t="array" ref="AA21">INDEX('[30]Rekap Tgl BKP JJG (2)'!$N$9:$N$82,MATCH(1,('[30]Rekap Tgl BKP JJG (2)'!$E$9:$E$82=$D21)*('[30]Rekap Tgl BKP JJG (2)'!$E$9:$E$82=$D21),0))</f>
        <v>225</v>
      </c>
      <c r="AB21" s="9">
        <f t="shared" si="15"/>
        <v>20.325203252032519</v>
      </c>
    </row>
    <row r="22" spans="1:28" outlineLevel="1" x14ac:dyDescent="0.15">
      <c r="A22" s="8" t="s">
        <v>1927</v>
      </c>
      <c r="B22" s="8"/>
      <c r="C22" s="8" t="s">
        <v>1928</v>
      </c>
      <c r="D22" s="186" t="s">
        <v>1444</v>
      </c>
      <c r="E22" s="9">
        <v>37.43</v>
      </c>
      <c r="F22" s="8" t="s">
        <v>1740</v>
      </c>
      <c r="G22" s="10">
        <v>4585</v>
      </c>
      <c r="H22" s="204">
        <f t="shared" si="4"/>
        <v>46226</v>
      </c>
      <c r="I22" s="205">
        <f t="shared" si="5"/>
        <v>101</v>
      </c>
      <c r="J22" s="206">
        <f t="shared" si="6"/>
        <v>2.202835332606325</v>
      </c>
      <c r="K22" s="205">
        <f t="shared" si="7"/>
        <v>2</v>
      </c>
      <c r="L22" s="206">
        <f t="shared" si="8"/>
        <v>1.9801980198019802</v>
      </c>
      <c r="M22" s="8" t="str">
        <f t="array" ref="M22">IF(L22&gt;5,"Perlu Sensus",IF(AND(L22&gt;=0,I22&gt;0),"Tetap Deteksi","Belum Deteksi"))</f>
        <v>Tetap Deteksi</v>
      </c>
      <c r="N22" s="11">
        <f t="array" ref="N22">INDEX('[29]REKAP '!$F$9:$F$82,MATCH(1,('[29]REKAP '!$E$9:$E$82=$D22)*('[29]REKAP '!$E$9:$E$82=$D22),0))</f>
        <v>46226</v>
      </c>
      <c r="O22" s="143">
        <f t="array" ref="O22">INDEX('[29]REKAP '!$H$9:$H$82,MATCH(1,('[29]REKAP '!$E$9:$E$82=$D22)*('[29]REKAP '!$E$9:$E$82=$D22),0))</f>
        <v>101</v>
      </c>
      <c r="P22" s="9">
        <f t="shared" si="9"/>
        <v>2.202835332606325</v>
      </c>
      <c r="Q22" s="143">
        <f t="array" ref="Q22">INDEX('[29]REKAP '!$J$9:$J$82,MATCH(1,('[29]REKAP '!$E$9:$E$82=$D22)*('[29]REKAP '!$E$9:$E$82=$D22),0))</f>
        <v>2</v>
      </c>
      <c r="R22" s="9">
        <f t="shared" si="10"/>
        <v>1.9801980198019802</v>
      </c>
      <c r="S22" s="8" t="str">
        <f t="shared" si="11"/>
        <v>Tetap Deteksi</v>
      </c>
      <c r="T22" s="143">
        <f t="array" ref="T22">INDEX('[29]REKAP '!$M$9:$M$82,MATCH(1,('[29]REKAP '!$E$9:$E$82=$D22)*('[29]REKAP '!$E$9:$E$82=$D22),0))</f>
        <v>6</v>
      </c>
      <c r="U22" s="9">
        <f t="shared" si="12"/>
        <v>5.9405940594059405</v>
      </c>
      <c r="V22" s="11">
        <f t="array" ref="V22">INDEX('[30]Rekap Tgl BKP JJG (2)'!$G$9:$G$82,MATCH(1,('[30]Rekap Tgl BKP JJG (2)'!$E$9:$E$82=$D22)*('[30]Rekap Tgl BKP JJG (2)'!$E$9:$E$82=$D22),0))</f>
        <v>46249</v>
      </c>
      <c r="W22" s="203">
        <f t="array" ref="W22">INDEX('[30]Rekap Tgl BKP JJG (2)'!$I$9:$I$82,MATCH(1,('[30]Rekap Tgl BKP JJG (2)'!$E$9:$E$82=$D22)*('[30]Rekap Tgl BKP JJG (2)'!$E$9:$E$82=$D22),0))</f>
        <v>1418</v>
      </c>
      <c r="X22" s="203">
        <f t="array" ref="X22">INDEX('[30]Rekap Tgl BKP JJG (2)'!$K$9:$K$82,MATCH(1,('[30]Rekap Tgl BKP JJG (2)'!$E$9:$E$82=$D22)*('[30]Rekap Tgl BKP JJG (2)'!$E$9:$E$82=$D22),0))</f>
        <v>21</v>
      </c>
      <c r="Y22" s="9">
        <f t="shared" si="13"/>
        <v>1.4809590973201692</v>
      </c>
      <c r="Z22" s="8" t="str">
        <f t="shared" si="14"/>
        <v>Tetap Deteksi</v>
      </c>
      <c r="AA22" s="203">
        <f t="array" ref="AA22">INDEX('[30]Rekap Tgl BKP JJG (2)'!$N$9:$N$82,MATCH(1,('[30]Rekap Tgl BKP JJG (2)'!$E$9:$E$82=$D22)*('[30]Rekap Tgl BKP JJG (2)'!$E$9:$E$82=$D22),0))</f>
        <v>297</v>
      </c>
      <c r="AB22" s="9">
        <f t="shared" si="15"/>
        <v>20.944992947813823</v>
      </c>
    </row>
    <row r="23" spans="1:28" outlineLevel="1" x14ac:dyDescent="0.15">
      <c r="A23" s="8" t="s">
        <v>1927</v>
      </c>
      <c r="B23" s="8"/>
      <c r="C23" s="8" t="s">
        <v>1928</v>
      </c>
      <c r="D23" s="181" t="s">
        <v>1434</v>
      </c>
      <c r="E23" s="9">
        <v>27.029999999999998</v>
      </c>
      <c r="F23" s="8" t="s">
        <v>1740</v>
      </c>
      <c r="G23" s="10">
        <v>3085</v>
      </c>
      <c r="H23" s="204">
        <f t="shared" si="4"/>
        <v>46219</v>
      </c>
      <c r="I23" s="205">
        <f t="shared" si="5"/>
        <v>121</v>
      </c>
      <c r="J23" s="206">
        <f t="shared" si="6"/>
        <v>3.9222042139384112</v>
      </c>
      <c r="K23" s="205">
        <f t="shared" si="7"/>
        <v>5</v>
      </c>
      <c r="L23" s="206">
        <f t="shared" si="8"/>
        <v>4.1322314049586781</v>
      </c>
      <c r="M23" s="8" t="str">
        <f t="array" ref="M23">IF(L23&gt;5,"Perlu Sensus",IF(AND(L23&gt;=0,I23&gt;0),"Tetap Deteksi","Belum Deteksi"))</f>
        <v>Tetap Deteksi</v>
      </c>
      <c r="N23" s="11">
        <f t="array" ref="N23">INDEX('[29]REKAP '!$F$9:$F$82,MATCH(1,('[29]REKAP '!$E$9:$E$82=$D23)*('[29]REKAP '!$E$9:$E$82=$D23),0))</f>
        <v>46219</v>
      </c>
      <c r="O23" s="143">
        <f t="array" ref="O23">INDEX('[29]REKAP '!$H$9:$H$82,MATCH(1,('[29]REKAP '!$E$9:$E$82=$D23)*('[29]REKAP '!$E$9:$E$82=$D23),0))</f>
        <v>121</v>
      </c>
      <c r="P23" s="9">
        <f t="shared" si="9"/>
        <v>3.9222042139384112</v>
      </c>
      <c r="Q23" s="143">
        <f t="array" ref="Q23">INDEX('[29]REKAP '!$J$9:$J$82,MATCH(1,('[29]REKAP '!$E$9:$E$82=$D23)*('[29]REKAP '!$E$9:$E$82=$D23),0))</f>
        <v>5</v>
      </c>
      <c r="R23" s="9">
        <f t="shared" si="10"/>
        <v>4.1322314049586781</v>
      </c>
      <c r="S23" s="8" t="str">
        <f t="shared" si="11"/>
        <v>Tetap Deteksi</v>
      </c>
      <c r="T23" s="143">
        <f t="array" ref="T23">INDEX('[29]REKAP '!$M$9:$M$82,MATCH(1,('[29]REKAP '!$E$9:$E$82=$D23)*('[29]REKAP '!$E$9:$E$82=$D23),0))</f>
        <v>10</v>
      </c>
      <c r="U23" s="9">
        <f t="shared" si="12"/>
        <v>8.2644628099173563</v>
      </c>
      <c r="V23" s="11">
        <f t="array" ref="V23">INDEX('[30]Rekap Tgl BKP JJG (2)'!$G$9:$G$82,MATCH(1,('[30]Rekap Tgl BKP JJG (2)'!$E$9:$E$82=$D23)*('[30]Rekap Tgl BKP JJG (2)'!$E$9:$E$82=$D23),0))</f>
        <v>0</v>
      </c>
      <c r="W23" s="203">
        <f t="array" ref="W23">INDEX('[30]Rekap Tgl BKP JJG (2)'!$I$9:$I$82,MATCH(1,('[30]Rekap Tgl BKP JJG (2)'!$E$9:$E$82=$D23)*('[30]Rekap Tgl BKP JJG (2)'!$E$9:$E$82=$D23),0))</f>
        <v>0</v>
      </c>
      <c r="X23" s="203">
        <f t="array" ref="X23">INDEX('[30]Rekap Tgl BKP JJG (2)'!$K$9:$K$82,MATCH(1,('[30]Rekap Tgl BKP JJG (2)'!$E$9:$E$82=$D23)*('[30]Rekap Tgl BKP JJG (2)'!$E$9:$E$82=$D23),0))</f>
        <v>0</v>
      </c>
      <c r="Y23" s="9">
        <f t="shared" si="13"/>
        <v>0</v>
      </c>
      <c r="Z23" s="8" t="str">
        <f t="shared" si="14"/>
        <v>Belum Deteksi</v>
      </c>
      <c r="AA23" s="203">
        <f t="array" ref="AA23">INDEX('[30]Rekap Tgl BKP JJG (2)'!$N$9:$N$82,MATCH(1,('[30]Rekap Tgl BKP JJG (2)'!$E$9:$E$82=$D23)*('[30]Rekap Tgl BKP JJG (2)'!$E$9:$E$82=$D23),0))</f>
        <v>0</v>
      </c>
      <c r="AB23" s="9">
        <f t="shared" si="15"/>
        <v>0</v>
      </c>
    </row>
    <row r="24" spans="1:28" outlineLevel="1" x14ac:dyDescent="0.15">
      <c r="A24" s="8" t="s">
        <v>1927</v>
      </c>
      <c r="B24" s="8"/>
      <c r="C24" s="8" t="s">
        <v>1928</v>
      </c>
      <c r="D24" s="186" t="s">
        <v>1435</v>
      </c>
      <c r="E24" s="9">
        <v>26.560000000000002</v>
      </c>
      <c r="F24" s="8" t="s">
        <v>1740</v>
      </c>
      <c r="G24" s="10">
        <v>2435</v>
      </c>
      <c r="H24" s="204">
        <f t="shared" si="4"/>
        <v>46219</v>
      </c>
      <c r="I24" s="205">
        <f t="shared" si="5"/>
        <v>142</v>
      </c>
      <c r="J24" s="206">
        <f t="shared" si="6"/>
        <v>5.8316221765913756</v>
      </c>
      <c r="K24" s="205">
        <f t="shared" si="7"/>
        <v>6</v>
      </c>
      <c r="L24" s="206">
        <f t="shared" si="8"/>
        <v>4.225352112676056</v>
      </c>
      <c r="M24" s="8" t="str">
        <f t="array" ref="M24">IF(L24&gt;5,"Perlu Sensus",IF(AND(L24&gt;=0,I24&gt;0),"Tetap Deteksi","Belum Deteksi"))</f>
        <v>Tetap Deteksi</v>
      </c>
      <c r="N24" s="11">
        <f t="array" ref="N24">INDEX('[29]REKAP '!$F$9:$F$82,MATCH(1,('[29]REKAP '!$E$9:$E$82=$D24)*('[29]REKAP '!$E$9:$E$82=$D24),0))</f>
        <v>46219</v>
      </c>
      <c r="O24" s="143">
        <f t="array" ref="O24">INDEX('[29]REKAP '!$H$9:$H$82,MATCH(1,('[29]REKAP '!$E$9:$E$82=$D24)*('[29]REKAP '!$E$9:$E$82=$D24),0))</f>
        <v>142</v>
      </c>
      <c r="P24" s="9">
        <f t="shared" si="9"/>
        <v>5.8316221765913756</v>
      </c>
      <c r="Q24" s="143">
        <f t="array" ref="Q24">INDEX('[29]REKAP '!$J$9:$J$82,MATCH(1,('[29]REKAP '!$E$9:$E$82=$D24)*('[29]REKAP '!$E$9:$E$82=$D24),0))</f>
        <v>6</v>
      </c>
      <c r="R24" s="9">
        <f t="shared" si="10"/>
        <v>4.225352112676056</v>
      </c>
      <c r="S24" s="8" t="str">
        <f t="shared" si="11"/>
        <v>Tetap Deteksi</v>
      </c>
      <c r="T24" s="143">
        <f t="array" ref="T24">INDEX('[29]REKAP '!$M$9:$M$82,MATCH(1,('[29]REKAP '!$E$9:$E$82=$D24)*('[29]REKAP '!$E$9:$E$82=$D24),0))</f>
        <v>9</v>
      </c>
      <c r="U24" s="9">
        <f t="shared" si="12"/>
        <v>6.3380281690140841</v>
      </c>
      <c r="V24" s="11">
        <f t="array" ref="V24">INDEX('[30]Rekap Tgl BKP JJG (2)'!$G$9:$G$82,MATCH(1,('[30]Rekap Tgl BKP JJG (2)'!$E$9:$E$82=$D24)*('[30]Rekap Tgl BKP JJG (2)'!$E$9:$E$82=$D24),0))</f>
        <v>46249</v>
      </c>
      <c r="W24" s="203">
        <f t="array" ref="W24">INDEX('[30]Rekap Tgl BKP JJG (2)'!$I$9:$I$82,MATCH(1,('[30]Rekap Tgl BKP JJG (2)'!$E$9:$E$82=$D24)*('[30]Rekap Tgl BKP JJG (2)'!$E$9:$E$82=$D24),0))</f>
        <v>469</v>
      </c>
      <c r="X24" s="203">
        <f t="array" ref="X24">INDEX('[30]Rekap Tgl BKP JJG (2)'!$K$9:$K$82,MATCH(1,('[30]Rekap Tgl BKP JJG (2)'!$E$9:$E$82=$D24)*('[30]Rekap Tgl BKP JJG (2)'!$E$9:$E$82=$D24),0))</f>
        <v>10</v>
      </c>
      <c r="Y24" s="9">
        <f t="shared" si="13"/>
        <v>2.1321961620469083</v>
      </c>
      <c r="Z24" s="8" t="str">
        <f t="shared" si="14"/>
        <v>Tetap Deteksi</v>
      </c>
      <c r="AA24" s="203">
        <f t="array" ref="AA24">INDEX('[30]Rekap Tgl BKP JJG (2)'!$N$9:$N$82,MATCH(1,('[30]Rekap Tgl BKP JJG (2)'!$E$9:$E$82=$D24)*('[30]Rekap Tgl BKP JJG (2)'!$E$9:$E$82=$D24),0))</f>
        <v>95</v>
      </c>
      <c r="AB24" s="9">
        <f t="shared" si="15"/>
        <v>20.255863539445627</v>
      </c>
    </row>
    <row r="25" spans="1:28" outlineLevel="1" x14ac:dyDescent="0.15">
      <c r="A25" s="8" t="s">
        <v>1927</v>
      </c>
      <c r="B25" s="8"/>
      <c r="C25" s="8" t="s">
        <v>1929</v>
      </c>
      <c r="D25" s="186" t="s">
        <v>1103</v>
      </c>
      <c r="E25" s="9">
        <v>38.840000000000003</v>
      </c>
      <c r="F25" s="8" t="s">
        <v>1740</v>
      </c>
      <c r="G25" s="10">
        <v>5317</v>
      </c>
      <c r="H25" s="204">
        <f t="shared" si="4"/>
        <v>46224</v>
      </c>
      <c r="I25" s="205">
        <f t="shared" si="5"/>
        <v>98</v>
      </c>
      <c r="J25" s="206">
        <f t="shared" si="6"/>
        <v>1.8431446304306942</v>
      </c>
      <c r="K25" s="205">
        <f t="shared" si="7"/>
        <v>3</v>
      </c>
      <c r="L25" s="206">
        <f t="shared" si="8"/>
        <v>3.0612244897959182</v>
      </c>
      <c r="M25" s="8" t="str">
        <f t="array" ref="M25">IF(L25&gt;5,"Perlu Sensus",IF(AND(L25&gt;=0,I25&gt;0),"Tetap Deteksi","Belum Deteksi"))</f>
        <v>Tetap Deteksi</v>
      </c>
      <c r="N25" s="11">
        <f t="array" ref="N25">INDEX('[29]REKAP '!$F$9:$F$82,MATCH(1,('[29]REKAP '!$E$9:$E$82=$D25)*('[29]REKAP '!$E$9:$E$82=$D25),0))</f>
        <v>46224</v>
      </c>
      <c r="O25" s="143">
        <f t="array" ref="O25">INDEX('[29]REKAP '!$H$9:$H$82,MATCH(1,('[29]REKAP '!$E$9:$E$82=$D25)*('[29]REKAP '!$E$9:$E$82=$D25),0))</f>
        <v>98</v>
      </c>
      <c r="P25" s="9">
        <f t="shared" si="9"/>
        <v>1.8431446304306942</v>
      </c>
      <c r="Q25" s="143">
        <f t="array" ref="Q25">INDEX('[29]REKAP '!$J$9:$J$82,MATCH(1,('[29]REKAP '!$E$9:$E$82=$D25)*('[29]REKAP '!$E$9:$E$82=$D25),0))</f>
        <v>3</v>
      </c>
      <c r="R25" s="9">
        <f t="shared" si="10"/>
        <v>3.0612244897959182</v>
      </c>
      <c r="S25" s="8" t="str">
        <f t="shared" si="11"/>
        <v>Tetap Deteksi</v>
      </c>
      <c r="T25" s="143">
        <f t="array" ref="T25">INDEX('[29]REKAP '!$M$9:$M$82,MATCH(1,('[29]REKAP '!$E$9:$E$82=$D25)*('[29]REKAP '!$E$9:$E$82=$D25),0))</f>
        <v>8</v>
      </c>
      <c r="U25" s="9">
        <f t="shared" si="12"/>
        <v>8.1632653061224492</v>
      </c>
      <c r="V25" s="11">
        <f t="array" ref="V25">INDEX('[30]Rekap Tgl BKP JJG (2)'!$G$9:$G$82,MATCH(1,('[30]Rekap Tgl BKP JJG (2)'!$E$9:$E$82=$D25)*('[30]Rekap Tgl BKP JJG (2)'!$E$9:$E$82=$D25),0))</f>
        <v>46244</v>
      </c>
      <c r="W25" s="203">
        <f t="array" ref="W25">INDEX('[30]Rekap Tgl BKP JJG (2)'!$I$9:$I$82,MATCH(1,('[30]Rekap Tgl BKP JJG (2)'!$E$9:$E$82=$D25)*('[30]Rekap Tgl BKP JJG (2)'!$E$9:$E$82=$D25),0))</f>
        <v>1172</v>
      </c>
      <c r="X25" s="203">
        <f t="array" ref="X25">INDEX('[30]Rekap Tgl BKP JJG (2)'!$K$9:$K$82,MATCH(1,('[30]Rekap Tgl BKP JJG (2)'!$E$9:$E$82=$D25)*('[30]Rekap Tgl BKP JJG (2)'!$E$9:$E$82=$D25),0))</f>
        <v>14</v>
      </c>
      <c r="Y25" s="9">
        <f t="shared" si="13"/>
        <v>1.1945392491467577</v>
      </c>
      <c r="Z25" s="8" t="str">
        <f t="shared" si="14"/>
        <v>Tetap Deteksi</v>
      </c>
      <c r="AA25" s="203">
        <f t="array" ref="AA25">INDEX('[30]Rekap Tgl BKP JJG (2)'!$N$9:$N$82,MATCH(1,('[30]Rekap Tgl BKP JJG (2)'!$E$9:$E$82=$D25)*('[30]Rekap Tgl BKP JJG (2)'!$E$9:$E$82=$D25),0))</f>
        <v>164</v>
      </c>
      <c r="AB25" s="9">
        <f t="shared" si="15"/>
        <v>13.993174061433447</v>
      </c>
    </row>
    <row r="26" spans="1:28" outlineLevel="1" x14ac:dyDescent="0.15">
      <c r="A26" s="8" t="s">
        <v>1927</v>
      </c>
      <c r="B26" s="8"/>
      <c r="C26" s="8" t="s">
        <v>1929</v>
      </c>
      <c r="D26" s="181" t="s">
        <v>1161</v>
      </c>
      <c r="E26" s="9">
        <v>41.849999999999994</v>
      </c>
      <c r="F26" s="8" t="s">
        <v>1740</v>
      </c>
      <c r="G26" s="10">
        <v>4765</v>
      </c>
      <c r="H26" s="204">
        <f t="shared" si="4"/>
        <v>46226</v>
      </c>
      <c r="I26" s="205">
        <f t="shared" si="5"/>
        <v>96</v>
      </c>
      <c r="J26" s="206">
        <f t="shared" si="6"/>
        <v>2.0146904512067154</v>
      </c>
      <c r="K26" s="205">
        <f t="shared" si="7"/>
        <v>1</v>
      </c>
      <c r="L26" s="206">
        <f t="shared" si="8"/>
        <v>1.0416666666666665</v>
      </c>
      <c r="M26" s="8" t="str">
        <f t="array" ref="M26">IF(L26&gt;5,"Perlu Sensus",IF(AND(L26&gt;=0,I26&gt;0),"Tetap Deteksi","Belum Deteksi"))</f>
        <v>Tetap Deteksi</v>
      </c>
      <c r="N26" s="11">
        <f t="array" ref="N26">INDEX('[29]REKAP '!$F$9:$F$82,MATCH(1,('[29]REKAP '!$E$9:$E$82=$D26)*('[29]REKAP '!$E$9:$E$82=$D26),0))</f>
        <v>46226</v>
      </c>
      <c r="O26" s="143">
        <f t="array" ref="O26">INDEX('[29]REKAP '!$H$9:$H$82,MATCH(1,('[29]REKAP '!$E$9:$E$82=$D26)*('[29]REKAP '!$E$9:$E$82=$D26),0))</f>
        <v>96</v>
      </c>
      <c r="P26" s="9">
        <f t="shared" si="9"/>
        <v>2.0146904512067154</v>
      </c>
      <c r="Q26" s="143">
        <f t="array" ref="Q26">INDEX('[29]REKAP '!$J$9:$J$82,MATCH(1,('[29]REKAP '!$E$9:$E$82=$D26)*('[29]REKAP '!$E$9:$E$82=$D26),0))</f>
        <v>1</v>
      </c>
      <c r="R26" s="9">
        <f t="shared" si="10"/>
        <v>1.0416666666666665</v>
      </c>
      <c r="S26" s="8" t="str">
        <f t="shared" si="11"/>
        <v>Tetap Deteksi</v>
      </c>
      <c r="T26" s="143">
        <f t="array" ref="T26">INDEX('[29]REKAP '!$M$9:$M$82,MATCH(1,('[29]REKAP '!$E$9:$E$82=$D26)*('[29]REKAP '!$E$9:$E$82=$D26),0))</f>
        <v>7</v>
      </c>
      <c r="U26" s="9">
        <f t="shared" si="12"/>
        <v>7.291666666666667</v>
      </c>
      <c r="V26" s="11">
        <f t="array" ref="V26">INDEX('[30]Rekap Tgl BKP JJG (2)'!$G$9:$G$82,MATCH(1,('[30]Rekap Tgl BKP JJG (2)'!$E$9:$E$82=$D26)*('[30]Rekap Tgl BKP JJG (2)'!$E$9:$E$82=$D26),0))</f>
        <v>0</v>
      </c>
      <c r="W26" s="203">
        <f t="array" ref="W26">INDEX('[30]Rekap Tgl BKP JJG (2)'!$I$9:$I$82,MATCH(1,('[30]Rekap Tgl BKP JJG (2)'!$E$9:$E$82=$D26)*('[30]Rekap Tgl BKP JJG (2)'!$E$9:$E$82=$D26),0))</f>
        <v>0</v>
      </c>
      <c r="X26" s="203">
        <f t="array" ref="X26">INDEX('[30]Rekap Tgl BKP JJG (2)'!$K$9:$K$82,MATCH(1,('[30]Rekap Tgl BKP JJG (2)'!$E$9:$E$82=$D26)*('[30]Rekap Tgl BKP JJG (2)'!$E$9:$E$82=$D26),0))</f>
        <v>0</v>
      </c>
      <c r="Y26" s="9">
        <f t="shared" si="13"/>
        <v>0</v>
      </c>
      <c r="Z26" s="8" t="str">
        <f t="shared" si="14"/>
        <v>Belum Deteksi</v>
      </c>
      <c r="AA26" s="203">
        <f t="array" ref="AA26">INDEX('[30]Rekap Tgl BKP JJG (2)'!$N$9:$N$82,MATCH(1,('[30]Rekap Tgl BKP JJG (2)'!$E$9:$E$82=$D26)*('[30]Rekap Tgl BKP JJG (2)'!$E$9:$E$82=$D26),0))</f>
        <v>0</v>
      </c>
      <c r="AB26" s="9">
        <f t="shared" si="15"/>
        <v>0</v>
      </c>
    </row>
    <row r="27" spans="1:28" outlineLevel="1" x14ac:dyDescent="0.15">
      <c r="A27" s="8" t="s">
        <v>1927</v>
      </c>
      <c r="B27" s="8"/>
      <c r="C27" s="8" t="s">
        <v>1929</v>
      </c>
      <c r="D27" s="186" t="s">
        <v>1162</v>
      </c>
      <c r="E27" s="9">
        <v>27.48</v>
      </c>
      <c r="F27" s="8" t="s">
        <v>1740</v>
      </c>
      <c r="G27" s="10">
        <v>2571</v>
      </c>
      <c r="H27" s="204">
        <f t="shared" si="4"/>
        <v>46227</v>
      </c>
      <c r="I27" s="205">
        <f t="shared" si="5"/>
        <v>101</v>
      </c>
      <c r="J27" s="206">
        <f t="shared" si="6"/>
        <v>3.9284325165305325</v>
      </c>
      <c r="K27" s="205">
        <f t="shared" si="7"/>
        <v>2</v>
      </c>
      <c r="L27" s="206">
        <f t="shared" si="8"/>
        <v>1.9801980198019802</v>
      </c>
      <c r="M27" s="8" t="str">
        <f t="array" ref="M27">IF(L27&gt;5,"Perlu Sensus",IF(AND(L27&gt;=0,I27&gt;0),"Tetap Deteksi","Belum Deteksi"))</f>
        <v>Tetap Deteksi</v>
      </c>
      <c r="N27" s="11">
        <f t="array" ref="N27">INDEX('[29]REKAP '!$F$9:$F$82,MATCH(1,('[29]REKAP '!$E$9:$E$82=$D27)*('[29]REKAP '!$E$9:$E$82=$D27),0))</f>
        <v>46227</v>
      </c>
      <c r="O27" s="143">
        <f t="array" ref="O27">INDEX('[29]REKAP '!$H$9:$H$82,MATCH(1,('[29]REKAP '!$E$9:$E$82=$D27)*('[29]REKAP '!$E$9:$E$82=$D27),0))</f>
        <v>101</v>
      </c>
      <c r="P27" s="9">
        <f t="shared" si="9"/>
        <v>3.9284325165305325</v>
      </c>
      <c r="Q27" s="143">
        <f t="array" ref="Q27">INDEX('[29]REKAP '!$J$9:$J$82,MATCH(1,('[29]REKAP '!$E$9:$E$82=$D27)*('[29]REKAP '!$E$9:$E$82=$D27),0))</f>
        <v>2</v>
      </c>
      <c r="R27" s="9">
        <f t="shared" si="10"/>
        <v>1.9801980198019802</v>
      </c>
      <c r="S27" s="8" t="str">
        <f t="shared" si="11"/>
        <v>Tetap Deteksi</v>
      </c>
      <c r="T27" s="143">
        <f t="array" ref="T27">INDEX('[29]REKAP '!$M$9:$M$82,MATCH(1,('[29]REKAP '!$E$9:$E$82=$D27)*('[29]REKAP '!$E$9:$E$82=$D27),0))</f>
        <v>18</v>
      </c>
      <c r="U27" s="9">
        <f t="shared" si="12"/>
        <v>17.82178217821782</v>
      </c>
      <c r="V27" s="11">
        <f t="array" ref="V27">INDEX('[30]Rekap Tgl BKP JJG (2)'!$G$9:$G$82,MATCH(1,('[30]Rekap Tgl BKP JJG (2)'!$E$9:$E$82=$D27)*('[30]Rekap Tgl BKP JJG (2)'!$E$9:$E$82=$D27),0))</f>
        <v>0</v>
      </c>
      <c r="W27" s="203">
        <f t="array" ref="W27">INDEX('[30]Rekap Tgl BKP JJG (2)'!$I$9:$I$82,MATCH(1,('[30]Rekap Tgl BKP JJG (2)'!$E$9:$E$82=$D27)*('[30]Rekap Tgl BKP JJG (2)'!$E$9:$E$82=$D27),0))</f>
        <v>0</v>
      </c>
      <c r="X27" s="203">
        <f t="array" ref="X27">INDEX('[30]Rekap Tgl BKP JJG (2)'!$K$9:$K$82,MATCH(1,('[30]Rekap Tgl BKP JJG (2)'!$E$9:$E$82=$D27)*('[30]Rekap Tgl BKP JJG (2)'!$E$9:$E$82=$D27),0))</f>
        <v>0</v>
      </c>
      <c r="Y27" s="9">
        <f t="shared" si="13"/>
        <v>0</v>
      </c>
      <c r="Z27" s="8" t="str">
        <f t="shared" si="14"/>
        <v>Belum Deteksi</v>
      </c>
      <c r="AA27" s="203">
        <f t="array" ref="AA27">INDEX('[30]Rekap Tgl BKP JJG (2)'!$N$9:$N$82,MATCH(1,('[30]Rekap Tgl BKP JJG (2)'!$E$9:$E$82=$D27)*('[30]Rekap Tgl BKP JJG (2)'!$E$9:$E$82=$D27),0))</f>
        <v>0</v>
      </c>
      <c r="AB27" s="9">
        <f t="shared" si="15"/>
        <v>0</v>
      </c>
    </row>
    <row r="28" spans="1:28" outlineLevel="1" x14ac:dyDescent="0.15">
      <c r="A28" s="8" t="s">
        <v>1927</v>
      </c>
      <c r="B28" s="8"/>
      <c r="C28" s="8" t="s">
        <v>1929</v>
      </c>
      <c r="D28" s="186" t="s">
        <v>1098</v>
      </c>
      <c r="E28" s="9">
        <v>34.270000000000003</v>
      </c>
      <c r="F28" s="8" t="s">
        <v>1740</v>
      </c>
      <c r="G28" s="10">
        <v>3799</v>
      </c>
      <c r="H28" s="204">
        <f t="shared" si="4"/>
        <v>46225</v>
      </c>
      <c r="I28" s="205">
        <f t="shared" si="5"/>
        <v>76</v>
      </c>
      <c r="J28" s="206">
        <f t="shared" si="6"/>
        <v>2.0005264543300867</v>
      </c>
      <c r="K28" s="205">
        <f t="shared" si="7"/>
        <v>3</v>
      </c>
      <c r="L28" s="206">
        <f t="shared" si="8"/>
        <v>3.9473684210526314</v>
      </c>
      <c r="M28" s="8" t="str">
        <f t="array" ref="M28">IF(L28&gt;5,"Perlu Sensus",IF(AND(L28&gt;=0,I28&gt;0),"Tetap Deteksi","Belum Deteksi"))</f>
        <v>Tetap Deteksi</v>
      </c>
      <c r="N28" s="11">
        <f t="array" ref="N28">INDEX('[29]REKAP '!$F$9:$F$82,MATCH(1,('[29]REKAP '!$E$9:$E$82=$D28)*('[29]REKAP '!$E$9:$E$82=$D28),0))</f>
        <v>46225</v>
      </c>
      <c r="O28" s="143">
        <f t="array" ref="O28">INDEX('[29]REKAP '!$H$9:$H$82,MATCH(1,('[29]REKAP '!$E$9:$E$82=$D28)*('[29]REKAP '!$E$9:$E$82=$D28),0))</f>
        <v>76</v>
      </c>
      <c r="P28" s="9">
        <f t="shared" si="9"/>
        <v>2.0005264543300867</v>
      </c>
      <c r="Q28" s="143">
        <f t="array" ref="Q28">INDEX('[29]REKAP '!$J$9:$J$82,MATCH(1,('[29]REKAP '!$E$9:$E$82=$D28)*('[29]REKAP '!$E$9:$E$82=$D28),0))</f>
        <v>3</v>
      </c>
      <c r="R28" s="9">
        <f t="shared" si="10"/>
        <v>3.9473684210526314</v>
      </c>
      <c r="S28" s="8" t="str">
        <f t="shared" si="11"/>
        <v>Tetap Deteksi</v>
      </c>
      <c r="T28" s="143">
        <f t="array" ref="T28">INDEX('[29]REKAP '!$M$9:$M$82,MATCH(1,('[29]REKAP '!$E$9:$E$82=$D28)*('[29]REKAP '!$E$9:$E$82=$D28),0))</f>
        <v>9</v>
      </c>
      <c r="U28" s="9">
        <f t="shared" si="12"/>
        <v>11.842105263157894</v>
      </c>
      <c r="V28" s="11">
        <f t="array" ref="V28">INDEX('[30]Rekap Tgl BKP JJG (2)'!$G$9:$G$82,MATCH(1,('[30]Rekap Tgl BKP JJG (2)'!$E$9:$E$82=$D28)*('[30]Rekap Tgl BKP JJG (2)'!$E$9:$E$82=$D28),0))</f>
        <v>46246</v>
      </c>
      <c r="W28" s="203">
        <f t="array" ref="W28">INDEX('[30]Rekap Tgl BKP JJG (2)'!$I$9:$I$82,MATCH(1,('[30]Rekap Tgl BKP JJG (2)'!$E$9:$E$82=$D28)*('[30]Rekap Tgl BKP JJG (2)'!$E$9:$E$82=$D28),0))</f>
        <v>5774</v>
      </c>
      <c r="X28" s="203">
        <f t="array" ref="X28">INDEX('[30]Rekap Tgl BKP JJG (2)'!$K$9:$K$82,MATCH(1,('[30]Rekap Tgl BKP JJG (2)'!$E$9:$E$82=$D28)*('[30]Rekap Tgl BKP JJG (2)'!$E$9:$E$82=$D28),0))</f>
        <v>23</v>
      </c>
      <c r="Y28" s="9">
        <f t="shared" si="13"/>
        <v>0.39833737443713202</v>
      </c>
      <c r="Z28" s="8" t="str">
        <f t="shared" si="14"/>
        <v>Tetap Deteksi</v>
      </c>
      <c r="AA28" s="203">
        <f t="array" ref="AA28">INDEX('[30]Rekap Tgl BKP JJG (2)'!$N$9:$N$82,MATCH(1,('[30]Rekap Tgl BKP JJG (2)'!$E$9:$E$82=$D28)*('[30]Rekap Tgl BKP JJG (2)'!$E$9:$E$82=$D28),0))</f>
        <v>239</v>
      </c>
      <c r="AB28" s="9">
        <f t="shared" si="15"/>
        <v>4.1392448908901969</v>
      </c>
    </row>
    <row r="29" spans="1:28" outlineLevel="1" x14ac:dyDescent="0.15">
      <c r="A29" s="8" t="s">
        <v>1927</v>
      </c>
      <c r="B29" s="8"/>
      <c r="C29" s="8" t="s">
        <v>1929</v>
      </c>
      <c r="D29" s="181" t="s">
        <v>1138</v>
      </c>
      <c r="E29" s="9">
        <v>41.88</v>
      </c>
      <c r="F29" s="8" t="s">
        <v>1740</v>
      </c>
      <c r="G29" s="10">
        <v>5052</v>
      </c>
      <c r="H29" s="204">
        <f t="shared" si="4"/>
        <v>46227</v>
      </c>
      <c r="I29" s="205">
        <f t="shared" si="5"/>
        <v>121</v>
      </c>
      <c r="J29" s="206">
        <f t="shared" si="6"/>
        <v>2.3950910530482976</v>
      </c>
      <c r="K29" s="205">
        <f t="shared" si="7"/>
        <v>2</v>
      </c>
      <c r="L29" s="206">
        <f t="shared" si="8"/>
        <v>1.6528925619834711</v>
      </c>
      <c r="M29" s="8" t="str">
        <f t="array" ref="M29">IF(L29&gt;5,"Perlu Sensus",IF(AND(L29&gt;=0,I29&gt;0),"Tetap Deteksi","Belum Deteksi"))</f>
        <v>Tetap Deteksi</v>
      </c>
      <c r="N29" s="11">
        <f t="array" ref="N29">INDEX('[29]REKAP '!$F$9:$F$82,MATCH(1,('[29]REKAP '!$E$9:$E$82=$D29)*('[29]REKAP '!$E$9:$E$82=$D29),0))</f>
        <v>46227</v>
      </c>
      <c r="O29" s="143">
        <f t="array" ref="O29">INDEX('[29]REKAP '!$H$9:$H$82,MATCH(1,('[29]REKAP '!$E$9:$E$82=$D29)*('[29]REKAP '!$E$9:$E$82=$D29),0))</f>
        <v>121</v>
      </c>
      <c r="P29" s="9">
        <f t="shared" si="9"/>
        <v>2.3950910530482976</v>
      </c>
      <c r="Q29" s="143">
        <f t="array" ref="Q29">INDEX('[29]REKAP '!$J$9:$J$82,MATCH(1,('[29]REKAP '!$E$9:$E$82=$D29)*('[29]REKAP '!$E$9:$E$82=$D29),0))</f>
        <v>2</v>
      </c>
      <c r="R29" s="9">
        <f t="shared" si="10"/>
        <v>1.6528925619834711</v>
      </c>
      <c r="S29" s="8" t="str">
        <f t="shared" si="11"/>
        <v>Tetap Deteksi</v>
      </c>
      <c r="T29" s="143">
        <f t="array" ref="T29">INDEX('[29]REKAP '!$M$9:$M$82,MATCH(1,('[29]REKAP '!$E$9:$E$82=$D29)*('[29]REKAP '!$E$9:$E$82=$D29),0))</f>
        <v>14</v>
      </c>
      <c r="U29" s="9">
        <f t="shared" si="12"/>
        <v>11.570247933884298</v>
      </c>
      <c r="V29" s="11">
        <f t="array" ref="V29">INDEX('[30]Rekap Tgl BKP JJG (2)'!$G$9:$G$82,MATCH(1,('[30]Rekap Tgl BKP JJG (2)'!$E$9:$E$82=$D29)*('[30]Rekap Tgl BKP JJG (2)'!$E$9:$E$82=$D29),0))</f>
        <v>0</v>
      </c>
      <c r="W29" s="203">
        <f t="array" ref="W29">INDEX('[30]Rekap Tgl BKP JJG (2)'!$I$9:$I$82,MATCH(1,('[30]Rekap Tgl BKP JJG (2)'!$E$9:$E$82=$D29)*('[30]Rekap Tgl BKP JJG (2)'!$E$9:$E$82=$D29),0))</f>
        <v>0</v>
      </c>
      <c r="X29" s="203">
        <f t="array" ref="X29">INDEX('[30]Rekap Tgl BKP JJG (2)'!$K$9:$K$82,MATCH(1,('[30]Rekap Tgl BKP JJG (2)'!$E$9:$E$82=$D29)*('[30]Rekap Tgl BKP JJG (2)'!$E$9:$E$82=$D29),0))</f>
        <v>0</v>
      </c>
      <c r="Y29" s="9">
        <f t="shared" si="13"/>
        <v>0</v>
      </c>
      <c r="Z29" s="8" t="str">
        <f t="shared" si="14"/>
        <v>Belum Deteksi</v>
      </c>
      <c r="AA29" s="203">
        <f t="array" ref="AA29">INDEX('[30]Rekap Tgl BKP JJG (2)'!$N$9:$N$82,MATCH(1,('[30]Rekap Tgl BKP JJG (2)'!$E$9:$E$82=$D29)*('[30]Rekap Tgl BKP JJG (2)'!$E$9:$E$82=$D29),0))</f>
        <v>0</v>
      </c>
      <c r="AB29" s="9">
        <f t="shared" si="15"/>
        <v>0</v>
      </c>
    </row>
    <row r="30" spans="1:28" outlineLevel="1" x14ac:dyDescent="0.15">
      <c r="A30" s="8" t="s">
        <v>1927</v>
      </c>
      <c r="B30" s="8"/>
      <c r="C30" s="8" t="s">
        <v>1929</v>
      </c>
      <c r="D30" s="8" t="s">
        <v>1437</v>
      </c>
      <c r="E30" s="9">
        <v>39.36</v>
      </c>
      <c r="F30" s="8" t="s">
        <v>1740</v>
      </c>
      <c r="G30" s="10">
        <v>4067</v>
      </c>
      <c r="H30" s="132">
        <f t="shared" si="4"/>
        <v>46214</v>
      </c>
      <c r="I30" s="205">
        <f t="shared" si="5"/>
        <v>103</v>
      </c>
      <c r="J30" s="206">
        <f t="shared" si="6"/>
        <v>2.5325792967789527</v>
      </c>
      <c r="K30" s="205">
        <f t="shared" si="7"/>
        <v>5</v>
      </c>
      <c r="L30" s="206">
        <f t="shared" si="8"/>
        <v>4.8543689320388346</v>
      </c>
      <c r="M30" s="8" t="str">
        <f t="array" ref="M30">IF(L30&gt;5,"Perlu Sensus",IF(AND(L30&gt;=0,I30&gt;0),"Tetap Deteksi","Belum Deteksi"))</f>
        <v>Tetap Deteksi</v>
      </c>
      <c r="N30" s="11">
        <f t="array" ref="N30">INDEX('[29]REKAP '!$F$9:$F$82,MATCH(1,('[29]REKAP '!$E$9:$E$82=$D30)*('[29]REKAP '!$E$9:$E$82=$D30),0))</f>
        <v>46214</v>
      </c>
      <c r="O30" s="143">
        <f t="array" ref="O30">INDEX('[29]REKAP '!$H$9:$H$82,MATCH(1,('[29]REKAP '!$E$9:$E$82=$D30)*('[29]REKAP '!$E$9:$E$82=$D30),0))</f>
        <v>103</v>
      </c>
      <c r="P30" s="9">
        <f t="shared" si="9"/>
        <v>2.5325792967789527</v>
      </c>
      <c r="Q30" s="143">
        <f t="array" ref="Q30">INDEX('[29]REKAP '!$J$9:$J$82,MATCH(1,('[29]REKAP '!$E$9:$E$82=$D30)*('[29]REKAP '!$E$9:$E$82=$D30),0))</f>
        <v>5</v>
      </c>
      <c r="R30" s="9">
        <f t="shared" si="10"/>
        <v>4.8543689320388346</v>
      </c>
      <c r="S30" s="8" t="str">
        <f t="shared" si="11"/>
        <v>Tetap Deteksi</v>
      </c>
      <c r="T30" s="143">
        <f t="array" ref="T30">INDEX('[29]REKAP '!$M$9:$M$82,MATCH(1,('[29]REKAP '!$E$9:$E$82=$D30)*('[29]REKAP '!$E$9:$E$82=$D30),0))</f>
        <v>10</v>
      </c>
      <c r="U30" s="9">
        <f t="shared" si="12"/>
        <v>9.7087378640776691</v>
      </c>
      <c r="V30" s="11">
        <f t="array" ref="V30">INDEX('[30]Rekap Tgl BKP JJG (2)'!$G$9:$G$82,MATCH(1,('[30]Rekap Tgl BKP JJG (2)'!$E$9:$E$82=$D30)*('[30]Rekap Tgl BKP JJG (2)'!$E$9:$E$82=$D30),0))</f>
        <v>46249</v>
      </c>
      <c r="W30" s="203">
        <f t="array" ref="W30">INDEX('[30]Rekap Tgl BKP JJG (2)'!$I$9:$I$82,MATCH(1,('[30]Rekap Tgl BKP JJG (2)'!$E$9:$E$82=$D30)*('[30]Rekap Tgl BKP JJG (2)'!$E$9:$E$82=$D30),0))</f>
        <v>507</v>
      </c>
      <c r="X30" s="203">
        <f t="array" ref="X30">INDEX('[30]Rekap Tgl BKP JJG (2)'!$K$9:$K$82,MATCH(1,('[30]Rekap Tgl BKP JJG (2)'!$E$9:$E$82=$D30)*('[30]Rekap Tgl BKP JJG (2)'!$E$9:$E$82=$D30),0))</f>
        <v>9</v>
      </c>
      <c r="Y30" s="9">
        <f t="shared" si="13"/>
        <v>1.7751479289940828</v>
      </c>
      <c r="Z30" s="8" t="str">
        <f t="shared" si="14"/>
        <v>Tetap Deteksi</v>
      </c>
      <c r="AA30" s="203">
        <f t="array" ref="AA30">INDEX('[30]Rekap Tgl BKP JJG (2)'!$N$9:$N$82,MATCH(1,('[30]Rekap Tgl BKP JJG (2)'!$E$9:$E$82=$D30)*('[30]Rekap Tgl BKP JJG (2)'!$E$9:$E$82=$D30),0))</f>
        <v>86</v>
      </c>
      <c r="AB30" s="9">
        <f t="shared" si="15"/>
        <v>16.962524654832347</v>
      </c>
    </row>
    <row r="31" spans="1:28" outlineLevel="1" x14ac:dyDescent="0.15">
      <c r="A31" s="8" t="s">
        <v>1927</v>
      </c>
      <c r="B31" s="8"/>
      <c r="C31" s="8" t="s">
        <v>1929</v>
      </c>
      <c r="D31" s="186" t="s">
        <v>1096</v>
      </c>
      <c r="E31" s="9">
        <v>30.76</v>
      </c>
      <c r="F31" s="8" t="s">
        <v>1740</v>
      </c>
      <c r="G31" s="10">
        <v>2660</v>
      </c>
      <c r="H31" s="204">
        <f t="shared" si="4"/>
        <v>46212</v>
      </c>
      <c r="I31" s="205">
        <f t="shared" si="5"/>
        <v>187</v>
      </c>
      <c r="J31" s="206">
        <f t="shared" si="6"/>
        <v>7.030075187969925</v>
      </c>
      <c r="K31" s="205">
        <f t="shared" si="7"/>
        <v>6</v>
      </c>
      <c r="L31" s="206">
        <f t="shared" si="8"/>
        <v>3.2085561497326207</v>
      </c>
      <c r="M31" s="8" t="str">
        <f t="array" ref="M31">IF(L31&gt;5,"Perlu Sensus",IF(AND(L31&gt;=0,I31&gt;0),"Tetap Deteksi","Belum Deteksi"))</f>
        <v>Tetap Deteksi</v>
      </c>
      <c r="N31" s="11">
        <f t="array" ref="N31">INDEX('[29]REKAP '!$F$9:$F$82,MATCH(1,('[29]REKAP '!$E$9:$E$82=$D31)*('[29]REKAP '!$E$9:$E$82=$D31),0))</f>
        <v>46212</v>
      </c>
      <c r="O31" s="143">
        <f t="array" ref="O31">INDEX('[29]REKAP '!$H$9:$H$82,MATCH(1,('[29]REKAP '!$E$9:$E$82=$D31)*('[29]REKAP '!$E$9:$E$82=$D31),0))</f>
        <v>187</v>
      </c>
      <c r="P31" s="9">
        <f t="shared" si="9"/>
        <v>7.030075187969925</v>
      </c>
      <c r="Q31" s="143">
        <f t="array" ref="Q31">INDEX('[29]REKAP '!$J$9:$J$82,MATCH(1,('[29]REKAP '!$E$9:$E$82=$D31)*('[29]REKAP '!$E$9:$E$82=$D31),0))</f>
        <v>6</v>
      </c>
      <c r="R31" s="9">
        <f t="shared" si="10"/>
        <v>3.2085561497326207</v>
      </c>
      <c r="S31" s="8" t="str">
        <f t="shared" si="11"/>
        <v>Tetap Deteksi</v>
      </c>
      <c r="T31" s="143">
        <f t="array" ref="T31">INDEX('[29]REKAP '!$M$9:$M$82,MATCH(1,('[29]REKAP '!$E$9:$E$82=$D31)*('[29]REKAP '!$E$9:$E$82=$D31),0))</f>
        <v>9</v>
      </c>
      <c r="U31" s="9">
        <f t="shared" si="12"/>
        <v>4.8128342245989302</v>
      </c>
      <c r="V31" s="11">
        <f t="array" ref="V31">INDEX('[30]Rekap Tgl BKP JJG (2)'!$G$9:$G$82,MATCH(1,('[30]Rekap Tgl BKP JJG (2)'!$E$9:$E$82=$D31)*('[30]Rekap Tgl BKP JJG (2)'!$E$9:$E$82=$D31),0))</f>
        <v>46237</v>
      </c>
      <c r="W31" s="203">
        <f t="array" ref="W31">INDEX('[30]Rekap Tgl BKP JJG (2)'!$I$9:$I$82,MATCH(1,('[30]Rekap Tgl BKP JJG (2)'!$E$9:$E$82=$D31)*('[30]Rekap Tgl BKP JJG (2)'!$E$9:$E$82=$D31),0))</f>
        <v>1017</v>
      </c>
      <c r="X31" s="203">
        <f t="array" ref="X31">INDEX('[30]Rekap Tgl BKP JJG (2)'!$K$9:$K$82,MATCH(1,('[30]Rekap Tgl BKP JJG (2)'!$E$9:$E$82=$D31)*('[30]Rekap Tgl BKP JJG (2)'!$E$9:$E$82=$D31),0))</f>
        <v>13</v>
      </c>
      <c r="Y31" s="9">
        <f t="shared" si="13"/>
        <v>1.2782694198623401</v>
      </c>
      <c r="Z31" s="8" t="str">
        <f t="shared" si="14"/>
        <v>Tetap Deteksi</v>
      </c>
      <c r="AA31" s="203">
        <f t="array" ref="AA31">INDEX('[30]Rekap Tgl BKP JJG (2)'!$N$9:$N$82,MATCH(1,('[30]Rekap Tgl BKP JJG (2)'!$E$9:$E$82=$D31)*('[30]Rekap Tgl BKP JJG (2)'!$E$9:$E$82=$D31),0))</f>
        <v>144</v>
      </c>
      <c r="AB31" s="9">
        <f t="shared" si="15"/>
        <v>14.159292035398231</v>
      </c>
    </row>
    <row r="32" spans="1:28" outlineLevel="1" x14ac:dyDescent="0.15">
      <c r="A32" s="8" t="s">
        <v>1927</v>
      </c>
      <c r="B32" s="8"/>
      <c r="C32" s="8" t="s">
        <v>1929</v>
      </c>
      <c r="D32" s="186" t="s">
        <v>1930</v>
      </c>
      <c r="E32" s="9">
        <v>34.93</v>
      </c>
      <c r="F32" s="8" t="s">
        <v>1740</v>
      </c>
      <c r="G32" s="10">
        <v>3831</v>
      </c>
      <c r="H32" s="204">
        <f t="shared" si="4"/>
        <v>46212</v>
      </c>
      <c r="I32" s="205">
        <f t="shared" si="5"/>
        <v>142</v>
      </c>
      <c r="J32" s="206">
        <f t="shared" si="6"/>
        <v>3.7066040198381627</v>
      </c>
      <c r="K32" s="205">
        <f t="shared" si="7"/>
        <v>7</v>
      </c>
      <c r="L32" s="206">
        <f t="shared" si="8"/>
        <v>4.929577464788732</v>
      </c>
      <c r="M32" s="8" t="str">
        <f t="array" ref="M32">IF(L32&gt;5,"Perlu Sensus",IF(AND(L32&gt;=0,I32&gt;0),"Tetap Deteksi","Belum Deteksi"))</f>
        <v>Tetap Deteksi</v>
      </c>
      <c r="N32" s="11">
        <f t="array" ref="N32">INDEX('[29]REKAP '!$F$9:$F$82,MATCH(1,('[29]REKAP '!$E$9:$E$82=$D32)*('[29]REKAP '!$E$9:$E$82=$D32),0))</f>
        <v>46212</v>
      </c>
      <c r="O32" s="143">
        <f t="array" ref="O32">INDEX('[29]REKAP '!$H$9:$H$82,MATCH(1,('[29]REKAP '!$E$9:$E$82=$D32)*('[29]REKAP '!$E$9:$E$82=$D32),0))</f>
        <v>142</v>
      </c>
      <c r="P32" s="9">
        <f t="shared" si="9"/>
        <v>3.7066040198381627</v>
      </c>
      <c r="Q32" s="143">
        <f t="array" ref="Q32">INDEX('[29]REKAP '!$J$9:$J$82,MATCH(1,('[29]REKAP '!$E$9:$E$82=$D32)*('[29]REKAP '!$E$9:$E$82=$D32),0))</f>
        <v>7</v>
      </c>
      <c r="R32" s="9">
        <f t="shared" si="10"/>
        <v>4.929577464788732</v>
      </c>
      <c r="S32" s="8" t="str">
        <f t="shared" si="11"/>
        <v>Tetap Deteksi</v>
      </c>
      <c r="T32" s="143">
        <f t="array" ref="T32">INDEX('[29]REKAP '!$M$9:$M$82,MATCH(1,('[29]REKAP '!$E$9:$E$82=$D32)*('[29]REKAP '!$E$9:$E$82=$D32),0))</f>
        <v>16</v>
      </c>
      <c r="U32" s="9">
        <f t="shared" si="12"/>
        <v>11.267605633802818</v>
      </c>
      <c r="V32" s="11">
        <f t="array" ref="V32">INDEX('[30]Rekap Tgl BKP JJG (2)'!$G$9:$G$82,MATCH(1,('[30]Rekap Tgl BKP JJG (2)'!$E$9:$E$82=$D32)*('[30]Rekap Tgl BKP JJG (2)'!$E$9:$E$82=$D32),0))</f>
        <v>46241</v>
      </c>
      <c r="W32" s="203">
        <f t="array" ref="W32">INDEX('[30]Rekap Tgl BKP JJG (2)'!$I$9:$I$82,MATCH(1,('[30]Rekap Tgl BKP JJG (2)'!$E$9:$E$82=$D32)*('[30]Rekap Tgl BKP JJG (2)'!$E$9:$E$82=$D32),0))</f>
        <v>1742</v>
      </c>
      <c r="X32" s="203">
        <f t="array" ref="X32">INDEX('[30]Rekap Tgl BKP JJG (2)'!$K$9:$K$82,MATCH(1,('[30]Rekap Tgl BKP JJG (2)'!$E$9:$E$82=$D32)*('[30]Rekap Tgl BKP JJG (2)'!$E$9:$E$82=$D32),0))</f>
        <v>26</v>
      </c>
      <c r="Y32" s="9">
        <f t="shared" si="13"/>
        <v>1.4925373134328357</v>
      </c>
      <c r="Z32" s="8" t="str">
        <f t="shared" si="14"/>
        <v>Tetap Deteksi</v>
      </c>
      <c r="AA32" s="203">
        <f t="array" ref="AA32">INDEX('[30]Rekap Tgl BKP JJG (2)'!$N$9:$N$82,MATCH(1,('[30]Rekap Tgl BKP JJG (2)'!$E$9:$E$82=$D32)*('[30]Rekap Tgl BKP JJG (2)'!$E$9:$E$82=$D32),0))</f>
        <v>270</v>
      </c>
      <c r="AB32" s="9">
        <f t="shared" si="15"/>
        <v>15.49942594718714</v>
      </c>
    </row>
    <row r="33" spans="1:28" outlineLevel="1" x14ac:dyDescent="0.15">
      <c r="A33" s="8" t="s">
        <v>1927</v>
      </c>
      <c r="B33" s="8"/>
      <c r="C33" s="8" t="s">
        <v>1929</v>
      </c>
      <c r="D33" s="8" t="s">
        <v>1087</v>
      </c>
      <c r="E33" s="9">
        <v>29.18</v>
      </c>
      <c r="F33" s="8" t="s">
        <v>1740</v>
      </c>
      <c r="G33" s="10">
        <v>2366</v>
      </c>
      <c r="H33" s="132">
        <f t="shared" si="4"/>
        <v>46207</v>
      </c>
      <c r="I33" s="205">
        <f t="shared" si="5"/>
        <v>127</v>
      </c>
      <c r="J33" s="206">
        <f t="shared" si="6"/>
        <v>5.3677092138630602</v>
      </c>
      <c r="K33" s="205">
        <f t="shared" si="7"/>
        <v>6</v>
      </c>
      <c r="L33" s="206">
        <f t="shared" si="8"/>
        <v>4.7244094488188972</v>
      </c>
      <c r="M33" s="8" t="str">
        <f t="array" ref="M33">IF(L33&gt;5,"Perlu Sensus",IF(AND(L33&gt;=0,I33&gt;0),"Tetap Deteksi","Belum Deteksi"))</f>
        <v>Tetap Deteksi</v>
      </c>
      <c r="N33" s="11">
        <f t="array" ref="N33">INDEX('[29]REKAP '!$F$9:$F$82,MATCH(1,('[29]REKAP '!$E$9:$E$82=$D33)*('[29]REKAP '!$E$9:$E$82=$D33),0))</f>
        <v>46207</v>
      </c>
      <c r="O33" s="143">
        <f t="array" ref="O33">INDEX('[29]REKAP '!$H$9:$H$82,MATCH(1,('[29]REKAP '!$E$9:$E$82=$D33)*('[29]REKAP '!$E$9:$E$82=$D33),0))</f>
        <v>127</v>
      </c>
      <c r="P33" s="9">
        <f t="shared" si="9"/>
        <v>5.3677092138630602</v>
      </c>
      <c r="Q33" s="143">
        <f t="array" ref="Q33">INDEX('[29]REKAP '!$J$9:$J$82,MATCH(1,('[29]REKAP '!$E$9:$E$82=$D33)*('[29]REKAP '!$E$9:$E$82=$D33),0))</f>
        <v>6</v>
      </c>
      <c r="R33" s="9">
        <f t="shared" si="10"/>
        <v>4.7244094488188972</v>
      </c>
      <c r="S33" s="8" t="str">
        <f t="shared" si="11"/>
        <v>Tetap Deteksi</v>
      </c>
      <c r="T33" s="143">
        <f t="array" ref="T33">INDEX('[29]REKAP '!$M$9:$M$82,MATCH(1,('[29]REKAP '!$E$9:$E$82=$D33)*('[29]REKAP '!$E$9:$E$82=$D33),0))</f>
        <v>11</v>
      </c>
      <c r="U33" s="9">
        <f t="shared" si="12"/>
        <v>8.6614173228346463</v>
      </c>
      <c r="V33" s="11">
        <f t="array" ref="V33">INDEX('[30]Rekap Tgl BKP JJG (2)'!$G$9:$G$82,MATCH(1,('[30]Rekap Tgl BKP JJG (2)'!$E$9:$E$82=$D33)*('[30]Rekap Tgl BKP JJG (2)'!$E$9:$E$82=$D33),0))</f>
        <v>46240</v>
      </c>
      <c r="W33" s="203">
        <f t="array" ref="W33">INDEX('[30]Rekap Tgl BKP JJG (2)'!$I$9:$I$82,MATCH(1,('[30]Rekap Tgl BKP JJG (2)'!$E$9:$E$82=$D33)*('[30]Rekap Tgl BKP JJG (2)'!$E$9:$E$82=$D33),0))</f>
        <v>883</v>
      </c>
      <c r="X33" s="203">
        <f t="array" ref="X33">INDEX('[30]Rekap Tgl BKP JJG (2)'!$K$9:$K$82,MATCH(1,('[30]Rekap Tgl BKP JJG (2)'!$E$9:$E$82=$D33)*('[30]Rekap Tgl BKP JJG (2)'!$E$9:$E$82=$D33),0))</f>
        <v>12</v>
      </c>
      <c r="Y33" s="9">
        <f t="shared" si="13"/>
        <v>1.3590033975084939</v>
      </c>
      <c r="Z33" s="8" t="str">
        <f t="shared" si="14"/>
        <v>Tetap Deteksi</v>
      </c>
      <c r="AA33" s="203">
        <f t="array" ref="AA33">INDEX('[30]Rekap Tgl BKP JJG (2)'!$N$9:$N$82,MATCH(1,('[30]Rekap Tgl BKP JJG (2)'!$E$9:$E$82=$D33)*('[30]Rekap Tgl BKP JJG (2)'!$E$9:$E$82=$D33),0))</f>
        <v>175</v>
      </c>
      <c r="AB33" s="9">
        <f t="shared" si="15"/>
        <v>19.818799546998868</v>
      </c>
    </row>
    <row r="34" spans="1:28" outlineLevel="1" x14ac:dyDescent="0.15">
      <c r="A34" s="8" t="s">
        <v>1927</v>
      </c>
      <c r="B34" s="8"/>
      <c r="C34" s="8" t="s">
        <v>1929</v>
      </c>
      <c r="D34" s="186" t="s">
        <v>1099</v>
      </c>
      <c r="E34" s="9">
        <v>54.219999999999992</v>
      </c>
      <c r="F34" s="8" t="s">
        <v>1740</v>
      </c>
      <c r="G34" s="10">
        <v>3877</v>
      </c>
      <c r="H34" s="204">
        <f t="shared" si="4"/>
        <v>46207</v>
      </c>
      <c r="I34" s="205">
        <f t="shared" si="5"/>
        <v>77</v>
      </c>
      <c r="J34" s="206">
        <f t="shared" si="6"/>
        <v>1.9860717049264893</v>
      </c>
      <c r="K34" s="205">
        <f t="shared" si="7"/>
        <v>3</v>
      </c>
      <c r="L34" s="206">
        <f t="shared" si="8"/>
        <v>3.8961038961038961</v>
      </c>
      <c r="M34" s="8" t="str">
        <f t="array" ref="M34">IF(L34&gt;5,"Perlu Sensus",IF(AND(L34&gt;=0,I34&gt;0),"Tetap Deteksi","Belum Deteksi"))</f>
        <v>Tetap Deteksi</v>
      </c>
      <c r="N34" s="11">
        <f t="array" ref="N34">INDEX('[29]REKAP '!$F$9:$F$82,MATCH(1,('[29]REKAP '!$E$9:$E$82=$D34)*('[29]REKAP '!$E$9:$E$82=$D34),0))</f>
        <v>46207</v>
      </c>
      <c r="O34" s="143">
        <f t="array" ref="O34">INDEX('[29]REKAP '!$H$9:$H$82,MATCH(1,('[29]REKAP '!$E$9:$E$82=$D34)*('[29]REKAP '!$E$9:$E$82=$D34),0))</f>
        <v>77</v>
      </c>
      <c r="P34" s="9">
        <f t="shared" si="9"/>
        <v>1.9860717049264893</v>
      </c>
      <c r="Q34" s="143">
        <f t="array" ref="Q34">INDEX('[29]REKAP '!$J$9:$J$82,MATCH(1,('[29]REKAP '!$E$9:$E$82=$D34)*('[29]REKAP '!$E$9:$E$82=$D34),0))</f>
        <v>3</v>
      </c>
      <c r="R34" s="9">
        <f t="shared" si="10"/>
        <v>3.8961038961038961</v>
      </c>
      <c r="S34" s="8" t="str">
        <f t="shared" si="11"/>
        <v>Tetap Deteksi</v>
      </c>
      <c r="T34" s="143">
        <f t="array" ref="T34">INDEX('[29]REKAP '!$M$9:$M$82,MATCH(1,('[29]REKAP '!$E$9:$E$82=$D34)*('[29]REKAP '!$E$9:$E$82=$D34),0))</f>
        <v>8</v>
      </c>
      <c r="U34" s="9">
        <f t="shared" si="12"/>
        <v>10.38961038961039</v>
      </c>
      <c r="V34" s="11">
        <f t="array" ref="V34">INDEX('[30]Rekap Tgl BKP JJG (2)'!$G$9:$G$82,MATCH(1,('[30]Rekap Tgl BKP JJG (2)'!$E$9:$E$82=$D34)*('[30]Rekap Tgl BKP JJG (2)'!$E$9:$E$82=$D34),0))</f>
        <v>46246</v>
      </c>
      <c r="W34" s="203">
        <f t="array" ref="W34">INDEX('[30]Rekap Tgl BKP JJG (2)'!$I$9:$I$82,MATCH(1,('[30]Rekap Tgl BKP JJG (2)'!$E$9:$E$82=$D34)*('[30]Rekap Tgl BKP JJG (2)'!$E$9:$E$82=$D34),0))</f>
        <v>2211</v>
      </c>
      <c r="X34" s="203">
        <f t="array" ref="X34">INDEX('[30]Rekap Tgl BKP JJG (2)'!$K$9:$K$82,MATCH(1,('[30]Rekap Tgl BKP JJG (2)'!$E$9:$E$82=$D34)*('[30]Rekap Tgl BKP JJG (2)'!$E$9:$E$82=$D34),0))</f>
        <v>31</v>
      </c>
      <c r="Y34" s="9">
        <f t="shared" si="13"/>
        <v>1.4020805065581186</v>
      </c>
      <c r="Z34" s="8" t="str">
        <f t="shared" si="14"/>
        <v>Tetap Deteksi</v>
      </c>
      <c r="AA34" s="203">
        <f t="array" ref="AA34">INDEX('[30]Rekap Tgl BKP JJG (2)'!$N$9:$N$82,MATCH(1,('[30]Rekap Tgl BKP JJG (2)'!$E$9:$E$82=$D34)*('[30]Rekap Tgl BKP JJG (2)'!$E$9:$E$82=$D34),0))</f>
        <v>321</v>
      </c>
      <c r="AB34" s="9">
        <f t="shared" si="15"/>
        <v>14.518317503392131</v>
      </c>
    </row>
    <row r="35" spans="1:28" outlineLevel="1" x14ac:dyDescent="0.15">
      <c r="A35" s="8" t="s">
        <v>1927</v>
      </c>
      <c r="B35" s="8"/>
      <c r="C35" s="8" t="s">
        <v>1929</v>
      </c>
      <c r="D35" s="186" t="s">
        <v>1104</v>
      </c>
      <c r="E35" s="9">
        <v>35.800000000000004</v>
      </c>
      <c r="F35" s="8" t="s">
        <v>1740</v>
      </c>
      <c r="G35" s="10">
        <v>3670</v>
      </c>
      <c r="H35" s="204">
        <f t="shared" si="4"/>
        <v>46225</v>
      </c>
      <c r="I35" s="205">
        <f t="shared" si="5"/>
        <v>87</v>
      </c>
      <c r="J35" s="206">
        <f t="shared" si="6"/>
        <v>2.3705722070844688</v>
      </c>
      <c r="K35" s="205">
        <f t="shared" si="7"/>
        <v>3</v>
      </c>
      <c r="L35" s="206">
        <f t="shared" si="8"/>
        <v>3.4482758620689653</v>
      </c>
      <c r="M35" s="8" t="str">
        <f t="array" ref="M35">IF(L35&gt;5,"Perlu Sensus",IF(AND(L35&gt;=0,I35&gt;0),"Tetap Deteksi","Belum Deteksi"))</f>
        <v>Tetap Deteksi</v>
      </c>
      <c r="N35" s="11">
        <f t="array" ref="N35">INDEX('[29]REKAP '!$F$9:$F$82,MATCH(1,('[29]REKAP '!$E$9:$E$82=$D35)*('[29]REKAP '!$E$9:$E$82=$D35),0))</f>
        <v>46225</v>
      </c>
      <c r="O35" s="143">
        <f t="array" ref="O35">INDEX('[29]REKAP '!$H$9:$H$82,MATCH(1,('[29]REKAP '!$E$9:$E$82=$D35)*('[29]REKAP '!$E$9:$E$82=$D35),0))</f>
        <v>87</v>
      </c>
      <c r="P35" s="9">
        <f t="shared" si="9"/>
        <v>2.3705722070844688</v>
      </c>
      <c r="Q35" s="143">
        <f t="array" ref="Q35">INDEX('[29]REKAP '!$J$9:$J$82,MATCH(1,('[29]REKAP '!$E$9:$E$82=$D35)*('[29]REKAP '!$E$9:$E$82=$D35),0))</f>
        <v>3</v>
      </c>
      <c r="R35" s="9">
        <f t="shared" si="10"/>
        <v>3.4482758620689653</v>
      </c>
      <c r="S35" s="8" t="str">
        <f t="shared" si="11"/>
        <v>Tetap Deteksi</v>
      </c>
      <c r="T35" s="143">
        <f t="array" ref="T35">INDEX('[29]REKAP '!$M$9:$M$82,MATCH(1,('[29]REKAP '!$E$9:$E$82=$D35)*('[29]REKAP '!$E$9:$E$82=$D35),0))</f>
        <v>11</v>
      </c>
      <c r="U35" s="9">
        <f t="shared" si="12"/>
        <v>12.643678160919542</v>
      </c>
      <c r="V35" s="11">
        <f t="array" ref="V35">INDEX('[30]Rekap Tgl BKP JJG (2)'!$G$9:$G$82,MATCH(1,('[30]Rekap Tgl BKP JJG (2)'!$E$9:$E$82=$D35)*('[30]Rekap Tgl BKP JJG (2)'!$E$9:$E$82=$D35),0))</f>
        <v>46244</v>
      </c>
      <c r="W35" s="203">
        <f t="array" ref="W35">INDEX('[30]Rekap Tgl BKP JJG (2)'!$I$9:$I$82,MATCH(1,('[30]Rekap Tgl BKP JJG (2)'!$E$9:$E$82=$D35)*('[30]Rekap Tgl BKP JJG (2)'!$E$9:$E$82=$D35),0))</f>
        <v>655</v>
      </c>
      <c r="X35" s="203">
        <f t="array" ref="X35">INDEX('[30]Rekap Tgl BKP JJG (2)'!$K$9:$K$82,MATCH(1,('[30]Rekap Tgl BKP JJG (2)'!$E$9:$E$82=$D35)*('[30]Rekap Tgl BKP JJG (2)'!$E$9:$E$82=$D35),0))</f>
        <v>7</v>
      </c>
      <c r="Y35" s="9">
        <f t="shared" si="13"/>
        <v>1.0687022900763359</v>
      </c>
      <c r="Z35" s="8" t="str">
        <f t="shared" si="14"/>
        <v>Tetap Deteksi</v>
      </c>
      <c r="AA35" s="203">
        <f t="array" ref="AA35">INDEX('[30]Rekap Tgl BKP JJG (2)'!$N$9:$N$82,MATCH(1,('[30]Rekap Tgl BKP JJG (2)'!$E$9:$E$82=$D35)*('[30]Rekap Tgl BKP JJG (2)'!$E$9:$E$82=$D35),0))</f>
        <v>88</v>
      </c>
      <c r="AB35" s="9">
        <f t="shared" si="15"/>
        <v>13.435114503816795</v>
      </c>
    </row>
    <row r="36" spans="1:28" outlineLevel="1" x14ac:dyDescent="0.15">
      <c r="A36" s="8" t="s">
        <v>1927</v>
      </c>
      <c r="B36" s="8"/>
      <c r="C36" s="8" t="s">
        <v>1929</v>
      </c>
      <c r="D36" s="8" t="s">
        <v>1445</v>
      </c>
      <c r="E36" s="9">
        <v>23.689999999999998</v>
      </c>
      <c r="F36" s="8" t="s">
        <v>1740</v>
      </c>
      <c r="G36" s="10">
        <v>2155</v>
      </c>
      <c r="H36" s="132">
        <f t="shared" si="4"/>
        <v>46223</v>
      </c>
      <c r="I36" s="205">
        <f t="shared" si="5"/>
        <v>165</v>
      </c>
      <c r="J36" s="206">
        <f t="shared" si="6"/>
        <v>7.6566125290023201</v>
      </c>
      <c r="K36" s="205">
        <f t="shared" si="7"/>
        <v>2</v>
      </c>
      <c r="L36" s="206">
        <f t="shared" si="8"/>
        <v>1.2121212121212122</v>
      </c>
      <c r="M36" s="8" t="str">
        <f t="array" ref="M36">IF(L36&gt;5,"Perlu Sensus",IF(AND(L36&gt;=0,I36&gt;0),"Tetap Deteksi","Belum Deteksi"))</f>
        <v>Tetap Deteksi</v>
      </c>
      <c r="N36" s="11">
        <f t="array" ref="N36">INDEX('[29]REKAP '!$F$9:$F$82,MATCH(1,('[29]REKAP '!$E$9:$E$82=$D36)*('[29]REKAP '!$E$9:$E$82=$D36),0))</f>
        <v>46223</v>
      </c>
      <c r="O36" s="143">
        <f t="array" ref="O36">INDEX('[29]REKAP '!$H$9:$H$82,MATCH(1,('[29]REKAP '!$E$9:$E$82=$D36)*('[29]REKAP '!$E$9:$E$82=$D36),0))</f>
        <v>165</v>
      </c>
      <c r="P36" s="9">
        <f t="shared" si="9"/>
        <v>7.6566125290023201</v>
      </c>
      <c r="Q36" s="143">
        <f t="array" ref="Q36">INDEX('[29]REKAP '!$J$9:$J$82,MATCH(1,('[29]REKAP '!$E$9:$E$82=$D36)*('[29]REKAP '!$E$9:$E$82=$D36),0))</f>
        <v>2</v>
      </c>
      <c r="R36" s="9">
        <f t="shared" si="10"/>
        <v>1.2121212121212122</v>
      </c>
      <c r="S36" s="8" t="str">
        <f t="shared" si="11"/>
        <v>Tetap Deteksi</v>
      </c>
      <c r="T36" s="143">
        <f t="array" ref="T36">INDEX('[29]REKAP '!$M$9:$M$82,MATCH(1,('[29]REKAP '!$E$9:$E$82=$D36)*('[29]REKAP '!$E$9:$E$82=$D36),0))</f>
        <v>12</v>
      </c>
      <c r="U36" s="9">
        <f t="shared" si="12"/>
        <v>7.2727272727272725</v>
      </c>
      <c r="V36" s="11">
        <f t="array" ref="V36">INDEX('[30]Rekap Tgl BKP JJG (2)'!$G$9:$G$82,MATCH(1,('[30]Rekap Tgl BKP JJG (2)'!$E$9:$E$82=$D36)*('[30]Rekap Tgl BKP JJG (2)'!$E$9:$E$82=$D36),0))</f>
        <v>46249</v>
      </c>
      <c r="W36" s="203">
        <f t="array" ref="W36">INDEX('[30]Rekap Tgl BKP JJG (2)'!$I$9:$I$82,MATCH(1,('[30]Rekap Tgl BKP JJG (2)'!$E$9:$E$82=$D36)*('[30]Rekap Tgl BKP JJG (2)'!$E$9:$E$82=$D36),0))</f>
        <v>443</v>
      </c>
      <c r="X36" s="203">
        <f t="array" ref="X36">INDEX('[30]Rekap Tgl BKP JJG (2)'!$K$9:$K$82,MATCH(1,('[30]Rekap Tgl BKP JJG (2)'!$E$9:$E$82=$D36)*('[30]Rekap Tgl BKP JJG (2)'!$E$9:$E$82=$D36),0))</f>
        <v>6</v>
      </c>
      <c r="Y36" s="9">
        <f t="shared" si="13"/>
        <v>1.3544018058690745</v>
      </c>
      <c r="Z36" s="8" t="str">
        <f t="shared" si="14"/>
        <v>Tetap Deteksi</v>
      </c>
      <c r="AA36" s="203">
        <f t="array" ref="AA36">INDEX('[30]Rekap Tgl BKP JJG (2)'!$N$9:$N$82,MATCH(1,('[30]Rekap Tgl BKP JJG (2)'!$E$9:$E$82=$D36)*('[30]Rekap Tgl BKP JJG (2)'!$E$9:$E$82=$D36),0))</f>
        <v>64</v>
      </c>
      <c r="AB36" s="9">
        <f t="shared" si="15"/>
        <v>14.446952595936793</v>
      </c>
    </row>
    <row r="37" spans="1:28" outlineLevel="1" x14ac:dyDescent="0.15">
      <c r="A37" s="8" t="s">
        <v>1927</v>
      </c>
      <c r="B37" s="8"/>
      <c r="C37" s="8" t="s">
        <v>1931</v>
      </c>
      <c r="D37" s="8" t="s">
        <v>1181</v>
      </c>
      <c r="E37" s="9">
        <v>39.369999999999997</v>
      </c>
      <c r="F37" s="8" t="s">
        <v>1740</v>
      </c>
      <c r="G37" s="10">
        <v>4222</v>
      </c>
      <c r="H37" s="132">
        <f t="shared" si="4"/>
        <v>46224</v>
      </c>
      <c r="I37" s="205">
        <f t="shared" si="5"/>
        <v>106</v>
      </c>
      <c r="J37" s="206">
        <f t="shared" si="6"/>
        <v>2.510658455708195</v>
      </c>
      <c r="K37" s="205">
        <f t="shared" si="7"/>
        <v>5</v>
      </c>
      <c r="L37" s="206">
        <f t="shared" si="8"/>
        <v>4.716981132075472</v>
      </c>
      <c r="M37" s="8" t="str">
        <f t="array" ref="M37">IF(L37&gt;5,"Perlu Sensus",IF(AND(L37&gt;=0,I37&gt;0),"Tetap Deteksi","Belum Deteksi"))</f>
        <v>Tetap Deteksi</v>
      </c>
      <c r="N37" s="11">
        <f t="array" ref="N37">INDEX('[29]REKAP '!$F$9:$F$82,MATCH(1,('[29]REKAP '!$E$9:$E$82=$D37)*('[29]REKAP '!$E$9:$E$82=$D37),0))</f>
        <v>46224</v>
      </c>
      <c r="O37" s="143">
        <f t="array" ref="O37">INDEX('[29]REKAP '!$H$9:$H$82,MATCH(1,('[29]REKAP '!$E$9:$E$82=$D37)*('[29]REKAP '!$E$9:$E$82=$D37),0))</f>
        <v>106</v>
      </c>
      <c r="P37" s="9">
        <f t="shared" si="9"/>
        <v>2.510658455708195</v>
      </c>
      <c r="Q37" s="143">
        <f t="array" ref="Q37">INDEX('[29]REKAP '!$J$9:$J$82,MATCH(1,('[29]REKAP '!$E$9:$E$82=$D37)*('[29]REKAP '!$E$9:$E$82=$D37),0))</f>
        <v>5</v>
      </c>
      <c r="R37" s="9">
        <f t="shared" si="10"/>
        <v>4.716981132075472</v>
      </c>
      <c r="S37" s="8" t="str">
        <f t="shared" si="11"/>
        <v>Tetap Deteksi</v>
      </c>
      <c r="T37" s="143">
        <f t="array" ref="T37">INDEX('[29]REKAP '!$M$9:$M$82,MATCH(1,('[29]REKAP '!$E$9:$E$82=$D37)*('[29]REKAP '!$E$9:$E$82=$D37),0))</f>
        <v>12</v>
      </c>
      <c r="U37" s="9">
        <f t="shared" si="12"/>
        <v>11.320754716981133</v>
      </c>
      <c r="V37" s="11">
        <f t="array" ref="V37">INDEX('[30]Rekap Tgl BKP JJG (2)'!$G$9:$G$82,MATCH(1,('[30]Rekap Tgl BKP JJG (2)'!$E$9:$E$82=$D37)*('[30]Rekap Tgl BKP JJG (2)'!$E$9:$E$82=$D37),0))</f>
        <v>0</v>
      </c>
      <c r="W37" s="203">
        <f t="array" ref="W37">INDEX('[30]Rekap Tgl BKP JJG (2)'!$I$9:$I$82,MATCH(1,('[30]Rekap Tgl BKP JJG (2)'!$E$9:$E$82=$D37)*('[30]Rekap Tgl BKP JJG (2)'!$E$9:$E$82=$D37),0))</f>
        <v>0</v>
      </c>
      <c r="X37" s="203">
        <f t="array" ref="X37">INDEX('[30]Rekap Tgl BKP JJG (2)'!$K$9:$K$82,MATCH(1,('[30]Rekap Tgl BKP JJG (2)'!$E$9:$E$82=$D37)*('[30]Rekap Tgl BKP JJG (2)'!$E$9:$E$82=$D37),0))</f>
        <v>0</v>
      </c>
      <c r="Y37" s="9">
        <f t="shared" si="13"/>
        <v>0</v>
      </c>
      <c r="Z37" s="8" t="str">
        <f t="shared" si="14"/>
        <v>Belum Deteksi</v>
      </c>
      <c r="AA37" s="203">
        <f t="array" ref="AA37">INDEX('[30]Rekap Tgl BKP JJG (2)'!$N$9:$N$82,MATCH(1,('[30]Rekap Tgl BKP JJG (2)'!$E$9:$E$82=$D37)*('[30]Rekap Tgl BKP JJG (2)'!$E$9:$E$82=$D37),0))</f>
        <v>0</v>
      </c>
      <c r="AB37" s="9">
        <f t="shared" si="15"/>
        <v>0</v>
      </c>
    </row>
    <row r="38" spans="1:28" outlineLevel="1" x14ac:dyDescent="0.15">
      <c r="A38" s="8" t="s">
        <v>1927</v>
      </c>
      <c r="B38" s="8"/>
      <c r="C38" s="8" t="s">
        <v>1931</v>
      </c>
      <c r="D38" s="186" t="s">
        <v>1184</v>
      </c>
      <c r="E38" s="9">
        <v>31.349999999999998</v>
      </c>
      <c r="F38" s="8" t="s">
        <v>1740</v>
      </c>
      <c r="G38" s="10">
        <v>3951</v>
      </c>
      <c r="H38" s="204">
        <f t="shared" si="4"/>
        <v>46227</v>
      </c>
      <c r="I38" s="205">
        <f t="shared" si="5"/>
        <v>102</v>
      </c>
      <c r="J38" s="206">
        <f t="shared" si="6"/>
        <v>2.5816249050873199</v>
      </c>
      <c r="K38" s="205">
        <f t="shared" si="7"/>
        <v>3</v>
      </c>
      <c r="L38" s="206">
        <f t="shared" si="8"/>
        <v>2.9411764705882351</v>
      </c>
      <c r="M38" s="8" t="str">
        <f t="array" ref="M38">IF(L38&gt;5,"Perlu Sensus",IF(AND(L38&gt;=0,I38&gt;0),"Tetap Deteksi","Belum Deteksi"))</f>
        <v>Tetap Deteksi</v>
      </c>
      <c r="N38" s="11">
        <f t="array" ref="N38">INDEX('[29]REKAP '!$F$9:$F$82,MATCH(1,('[29]REKAP '!$E$9:$E$82=$D38)*('[29]REKAP '!$E$9:$E$82=$D38),0))</f>
        <v>46227</v>
      </c>
      <c r="O38" s="143">
        <f t="array" ref="O38">INDEX('[29]REKAP '!$H$9:$H$82,MATCH(1,('[29]REKAP '!$E$9:$E$82=$D38)*('[29]REKAP '!$E$9:$E$82=$D38),0))</f>
        <v>102</v>
      </c>
      <c r="P38" s="9">
        <f t="shared" si="9"/>
        <v>2.5816249050873199</v>
      </c>
      <c r="Q38" s="143">
        <f t="array" ref="Q38">INDEX('[29]REKAP '!$J$9:$J$82,MATCH(1,('[29]REKAP '!$E$9:$E$82=$D38)*('[29]REKAP '!$E$9:$E$82=$D38),0))</f>
        <v>3</v>
      </c>
      <c r="R38" s="9">
        <f t="shared" si="10"/>
        <v>2.9411764705882351</v>
      </c>
      <c r="S38" s="8" t="str">
        <f t="shared" si="11"/>
        <v>Tetap Deteksi</v>
      </c>
      <c r="T38" s="143">
        <f t="array" ref="T38">INDEX('[29]REKAP '!$M$9:$M$82,MATCH(1,('[29]REKAP '!$E$9:$E$82=$D38)*('[29]REKAP '!$E$9:$E$82=$D38),0))</f>
        <v>9</v>
      </c>
      <c r="U38" s="9">
        <f t="shared" si="12"/>
        <v>8.8235294117647065</v>
      </c>
      <c r="V38" s="11">
        <f t="array" ref="V38">INDEX('[30]Rekap Tgl BKP JJG (2)'!$G$9:$G$82,MATCH(1,('[30]Rekap Tgl BKP JJG (2)'!$E$9:$E$82=$D38)*('[30]Rekap Tgl BKP JJG (2)'!$E$9:$E$82=$D38),0))</f>
        <v>46244</v>
      </c>
      <c r="W38" s="203">
        <f t="array" ref="W38">INDEX('[30]Rekap Tgl BKP JJG (2)'!$I$9:$I$82,MATCH(1,('[30]Rekap Tgl BKP JJG (2)'!$E$9:$E$82=$D38)*('[30]Rekap Tgl BKP JJG (2)'!$E$9:$E$82=$D38),0))</f>
        <v>547</v>
      </c>
      <c r="X38" s="203">
        <f t="array" ref="X38">INDEX('[30]Rekap Tgl BKP JJG (2)'!$K$9:$K$82,MATCH(1,('[30]Rekap Tgl BKP JJG (2)'!$E$9:$E$82=$D38)*('[30]Rekap Tgl BKP JJG (2)'!$E$9:$E$82=$D38),0))</f>
        <v>17</v>
      </c>
      <c r="Y38" s="9">
        <f t="shared" si="13"/>
        <v>3.1078610603290677</v>
      </c>
      <c r="Z38" s="8" t="str">
        <f t="shared" si="14"/>
        <v>Tetap Deteksi</v>
      </c>
      <c r="AA38" s="203">
        <f t="array" ref="AA38">INDEX('[30]Rekap Tgl BKP JJG (2)'!$N$9:$N$82,MATCH(1,('[30]Rekap Tgl BKP JJG (2)'!$E$9:$E$82=$D38)*('[30]Rekap Tgl BKP JJG (2)'!$E$9:$E$82=$D38),0))</f>
        <v>139</v>
      </c>
      <c r="AB38" s="9">
        <f t="shared" si="15"/>
        <v>25.411334552102378</v>
      </c>
    </row>
    <row r="39" spans="1:28" outlineLevel="1" x14ac:dyDescent="0.15">
      <c r="A39" s="8" t="s">
        <v>1927</v>
      </c>
      <c r="B39" s="8"/>
      <c r="C39" s="8" t="s">
        <v>1931</v>
      </c>
      <c r="D39" s="186" t="s">
        <v>1229</v>
      </c>
      <c r="E39" s="9">
        <v>37.74</v>
      </c>
      <c r="F39" s="8" t="s">
        <v>1740</v>
      </c>
      <c r="G39" s="10">
        <v>4638</v>
      </c>
      <c r="H39" s="204">
        <f t="shared" si="4"/>
        <v>46226</v>
      </c>
      <c r="I39" s="205">
        <f t="shared" si="5"/>
        <v>127</v>
      </c>
      <c r="J39" s="206">
        <f t="shared" si="6"/>
        <v>2.738249245364381</v>
      </c>
      <c r="K39" s="205">
        <f t="shared" si="7"/>
        <v>5</v>
      </c>
      <c r="L39" s="206">
        <f t="shared" si="8"/>
        <v>3.9370078740157481</v>
      </c>
      <c r="M39" s="8" t="str">
        <f t="array" ref="M39">IF(L39&gt;5,"Perlu Sensus",IF(AND(L39&gt;=0,I39&gt;0),"Tetap Deteksi","Belum Deteksi"))</f>
        <v>Tetap Deteksi</v>
      </c>
      <c r="N39" s="11">
        <f t="array" ref="N39">INDEX('[29]REKAP '!$F$9:$F$82,MATCH(1,('[29]REKAP '!$E$9:$E$82=$D39)*('[29]REKAP '!$E$9:$E$82=$D39),0))</f>
        <v>46226</v>
      </c>
      <c r="O39" s="143">
        <f t="array" ref="O39">INDEX('[29]REKAP '!$H$9:$H$82,MATCH(1,('[29]REKAP '!$E$9:$E$82=$D39)*('[29]REKAP '!$E$9:$E$82=$D39),0))</f>
        <v>127</v>
      </c>
      <c r="P39" s="9">
        <f t="shared" si="9"/>
        <v>2.738249245364381</v>
      </c>
      <c r="Q39" s="143">
        <f t="array" ref="Q39">INDEX('[29]REKAP '!$J$9:$J$82,MATCH(1,('[29]REKAP '!$E$9:$E$82=$D39)*('[29]REKAP '!$E$9:$E$82=$D39),0))</f>
        <v>5</v>
      </c>
      <c r="R39" s="9">
        <f t="shared" si="10"/>
        <v>3.9370078740157481</v>
      </c>
      <c r="S39" s="8" t="str">
        <f t="shared" si="11"/>
        <v>Tetap Deteksi</v>
      </c>
      <c r="T39" s="143">
        <f t="array" ref="T39">INDEX('[29]REKAP '!$M$9:$M$82,MATCH(1,('[29]REKAP '!$E$9:$E$82=$D39)*('[29]REKAP '!$E$9:$E$82=$D39),0))</f>
        <v>7</v>
      </c>
      <c r="U39" s="9">
        <f t="shared" si="12"/>
        <v>5.5118110236220472</v>
      </c>
      <c r="V39" s="11">
        <f t="array" ref="V39">INDEX('[30]Rekap Tgl BKP JJG (2)'!$G$9:$G$82,MATCH(1,('[30]Rekap Tgl BKP JJG (2)'!$E$9:$E$82=$D39)*('[30]Rekap Tgl BKP JJG (2)'!$E$9:$E$82=$D39),0))</f>
        <v>46249</v>
      </c>
      <c r="W39" s="203">
        <f t="array" ref="W39">INDEX('[30]Rekap Tgl BKP JJG (2)'!$I$9:$I$82,MATCH(1,('[30]Rekap Tgl BKP JJG (2)'!$E$9:$E$82=$D39)*('[30]Rekap Tgl BKP JJG (2)'!$E$9:$E$82=$D39),0))</f>
        <v>1893</v>
      </c>
      <c r="X39" s="203">
        <f t="array" ref="X39">INDEX('[30]Rekap Tgl BKP JJG (2)'!$K$9:$K$82,MATCH(1,('[30]Rekap Tgl BKP JJG (2)'!$E$9:$E$82=$D39)*('[30]Rekap Tgl BKP JJG (2)'!$E$9:$E$82=$D39),0))</f>
        <v>57</v>
      </c>
      <c r="Y39" s="9">
        <f t="shared" si="13"/>
        <v>3.0110935023771792</v>
      </c>
      <c r="Z39" s="8" t="str">
        <f t="shared" si="14"/>
        <v>Tetap Deteksi</v>
      </c>
      <c r="AA39" s="203">
        <f t="array" ref="AA39">INDEX('[30]Rekap Tgl BKP JJG (2)'!$N$9:$N$82,MATCH(1,('[30]Rekap Tgl BKP JJG (2)'!$E$9:$E$82=$D39)*('[30]Rekap Tgl BKP JJG (2)'!$E$9:$E$82=$D39),0))</f>
        <v>433</v>
      </c>
      <c r="AB39" s="9">
        <f t="shared" si="15"/>
        <v>22.873745377707344</v>
      </c>
    </row>
    <row r="40" spans="1:28" outlineLevel="1" x14ac:dyDescent="0.15">
      <c r="A40" s="8" t="s">
        <v>1927</v>
      </c>
      <c r="B40" s="8"/>
      <c r="C40" s="8" t="s">
        <v>1931</v>
      </c>
      <c r="D40" s="186" t="s">
        <v>1193</v>
      </c>
      <c r="E40" s="9">
        <v>34.589999999999996</v>
      </c>
      <c r="F40" s="8" t="s">
        <v>1740</v>
      </c>
      <c r="G40" s="10">
        <v>4654.9999999999991</v>
      </c>
      <c r="H40" s="204">
        <f t="shared" si="4"/>
        <v>46226</v>
      </c>
      <c r="I40" s="205">
        <f t="shared" si="5"/>
        <v>72</v>
      </c>
      <c r="J40" s="206">
        <f t="shared" si="6"/>
        <v>1.5467239527389907</v>
      </c>
      <c r="K40" s="205">
        <f t="shared" si="7"/>
        <v>3</v>
      </c>
      <c r="L40" s="206">
        <f t="shared" si="8"/>
        <v>4.1666666666666661</v>
      </c>
      <c r="M40" s="8" t="str">
        <f t="array" ref="M40">IF(L40&gt;5,"Perlu Sensus",IF(AND(L40&gt;=0,I40&gt;0),"Tetap Deteksi","Belum Deteksi"))</f>
        <v>Tetap Deteksi</v>
      </c>
      <c r="N40" s="11">
        <f t="array" ref="N40">INDEX('[29]REKAP '!$F$9:$F$82,MATCH(1,('[29]REKAP '!$E$9:$E$82=$D40)*('[29]REKAP '!$E$9:$E$82=$D40),0))</f>
        <v>46226</v>
      </c>
      <c r="O40" s="143">
        <f t="array" ref="O40">INDEX('[29]REKAP '!$H$9:$H$82,MATCH(1,('[29]REKAP '!$E$9:$E$82=$D40)*('[29]REKAP '!$E$9:$E$82=$D40),0))</f>
        <v>72</v>
      </c>
      <c r="P40" s="9">
        <f t="shared" si="9"/>
        <v>1.5467239527389907</v>
      </c>
      <c r="Q40" s="143">
        <f t="array" ref="Q40">INDEX('[29]REKAP '!$J$9:$J$82,MATCH(1,('[29]REKAP '!$E$9:$E$82=$D40)*('[29]REKAP '!$E$9:$E$82=$D40),0))</f>
        <v>3</v>
      </c>
      <c r="R40" s="9">
        <f t="shared" si="10"/>
        <v>4.1666666666666661</v>
      </c>
      <c r="S40" s="8" t="str">
        <f t="shared" si="11"/>
        <v>Tetap Deteksi</v>
      </c>
      <c r="T40" s="143">
        <f t="array" ref="T40">INDEX('[29]REKAP '!$M$9:$M$82,MATCH(1,('[29]REKAP '!$E$9:$E$82=$D40)*('[29]REKAP '!$E$9:$E$82=$D40),0))</f>
        <v>8</v>
      </c>
      <c r="U40" s="9">
        <f t="shared" si="12"/>
        <v>11.111111111111111</v>
      </c>
      <c r="V40" s="11">
        <f t="array" ref="V40">INDEX('[30]Rekap Tgl BKP JJG (2)'!$G$9:$G$82,MATCH(1,('[30]Rekap Tgl BKP JJG (2)'!$E$9:$E$82=$D40)*('[30]Rekap Tgl BKP JJG (2)'!$E$9:$E$82=$D40),0))</f>
        <v>46244</v>
      </c>
      <c r="W40" s="203">
        <f t="array" ref="W40">INDEX('[30]Rekap Tgl BKP JJG (2)'!$I$9:$I$82,MATCH(1,('[30]Rekap Tgl BKP JJG (2)'!$E$9:$E$82=$D40)*('[30]Rekap Tgl BKP JJG (2)'!$E$9:$E$82=$D40),0))</f>
        <v>505</v>
      </c>
      <c r="X40" s="203">
        <f t="array" ref="X40">INDEX('[30]Rekap Tgl BKP JJG (2)'!$K$9:$K$82,MATCH(1,('[30]Rekap Tgl BKP JJG (2)'!$E$9:$E$82=$D40)*('[30]Rekap Tgl BKP JJG (2)'!$E$9:$E$82=$D40),0))</f>
        <v>15</v>
      </c>
      <c r="Y40" s="9">
        <f t="shared" si="13"/>
        <v>2.9702970297029703</v>
      </c>
      <c r="Z40" s="8" t="str">
        <f t="shared" si="14"/>
        <v>Tetap Deteksi</v>
      </c>
      <c r="AA40" s="203">
        <f t="array" ref="AA40">INDEX('[30]Rekap Tgl BKP JJG (2)'!$N$9:$N$82,MATCH(1,('[30]Rekap Tgl BKP JJG (2)'!$E$9:$E$82=$D40)*('[30]Rekap Tgl BKP JJG (2)'!$E$9:$E$82=$D40),0))</f>
        <v>119</v>
      </c>
      <c r="AB40" s="9">
        <f t="shared" si="15"/>
        <v>23.564356435643564</v>
      </c>
    </row>
    <row r="41" spans="1:28" outlineLevel="1" x14ac:dyDescent="0.15">
      <c r="A41" s="8" t="s">
        <v>1927</v>
      </c>
      <c r="B41" s="8"/>
      <c r="C41" s="8" t="s">
        <v>1931</v>
      </c>
      <c r="D41" s="186" t="s">
        <v>1201</v>
      </c>
      <c r="E41" s="9">
        <v>24.47</v>
      </c>
      <c r="F41" s="8" t="s">
        <v>1740</v>
      </c>
      <c r="G41" s="10">
        <v>2692</v>
      </c>
      <c r="H41" s="204">
        <f t="shared" si="4"/>
        <v>46227</v>
      </c>
      <c r="I41" s="205">
        <f t="shared" si="5"/>
        <v>106</v>
      </c>
      <c r="J41" s="206">
        <f t="shared" si="6"/>
        <v>3.9375928677563148</v>
      </c>
      <c r="K41" s="205">
        <f t="shared" si="7"/>
        <v>4</v>
      </c>
      <c r="L41" s="206">
        <f t="shared" si="8"/>
        <v>3.7735849056603774</v>
      </c>
      <c r="M41" s="8" t="str">
        <f t="array" ref="M41">IF(L41&gt;5,"Perlu Sensus",IF(AND(L41&gt;=0,I41&gt;0),"Tetap Deteksi","Belum Deteksi"))</f>
        <v>Tetap Deteksi</v>
      </c>
      <c r="N41" s="11">
        <f t="array" ref="N41">INDEX('[29]REKAP '!$F$9:$F$82,MATCH(1,('[29]REKAP '!$E$9:$E$82=$D41)*('[29]REKAP '!$E$9:$E$82=$D41),0))</f>
        <v>46227</v>
      </c>
      <c r="O41" s="143">
        <f t="array" ref="O41">INDEX('[29]REKAP '!$H$9:$H$82,MATCH(1,('[29]REKAP '!$E$9:$E$82=$D41)*('[29]REKAP '!$E$9:$E$82=$D41),0))</f>
        <v>106</v>
      </c>
      <c r="P41" s="9">
        <f t="shared" si="9"/>
        <v>3.9375928677563148</v>
      </c>
      <c r="Q41" s="143">
        <f t="array" ref="Q41">INDEX('[29]REKAP '!$J$9:$J$82,MATCH(1,('[29]REKAP '!$E$9:$E$82=$D41)*('[29]REKAP '!$E$9:$E$82=$D41),0))</f>
        <v>4</v>
      </c>
      <c r="R41" s="9">
        <f t="shared" si="10"/>
        <v>3.7735849056603774</v>
      </c>
      <c r="S41" s="8" t="str">
        <f t="shared" si="11"/>
        <v>Tetap Deteksi</v>
      </c>
      <c r="T41" s="143">
        <f t="array" ref="T41">INDEX('[29]REKAP '!$M$9:$M$82,MATCH(1,('[29]REKAP '!$E$9:$E$82=$D41)*('[29]REKAP '!$E$9:$E$82=$D41),0))</f>
        <v>6</v>
      </c>
      <c r="U41" s="9">
        <f t="shared" si="12"/>
        <v>5.6603773584905666</v>
      </c>
      <c r="V41" s="11">
        <f t="array" ref="V41">INDEX('[30]Rekap Tgl BKP JJG (2)'!$G$9:$G$82,MATCH(1,('[30]Rekap Tgl BKP JJG (2)'!$E$9:$E$82=$D41)*('[30]Rekap Tgl BKP JJG (2)'!$E$9:$E$82=$D41),0))</f>
        <v>46241</v>
      </c>
      <c r="W41" s="203">
        <f t="array" ref="W41">INDEX('[30]Rekap Tgl BKP JJG (2)'!$I$9:$I$82,MATCH(1,('[30]Rekap Tgl BKP JJG (2)'!$E$9:$E$82=$D41)*('[30]Rekap Tgl BKP JJG (2)'!$E$9:$E$82=$D41),0))</f>
        <v>1108</v>
      </c>
      <c r="X41" s="203">
        <f t="array" ref="X41">INDEX('[30]Rekap Tgl BKP JJG (2)'!$K$9:$K$82,MATCH(1,('[30]Rekap Tgl BKP JJG (2)'!$E$9:$E$82=$D41)*('[30]Rekap Tgl BKP JJG (2)'!$E$9:$E$82=$D41),0))</f>
        <v>30</v>
      </c>
      <c r="Y41" s="9">
        <f t="shared" si="13"/>
        <v>2.7075812274368229</v>
      </c>
      <c r="Z41" s="8" t="str">
        <f t="shared" si="14"/>
        <v>Tetap Deteksi</v>
      </c>
      <c r="AA41" s="203">
        <f t="array" ref="AA41">INDEX('[30]Rekap Tgl BKP JJG (2)'!$N$9:$N$82,MATCH(1,('[30]Rekap Tgl BKP JJG (2)'!$E$9:$E$82=$D41)*('[30]Rekap Tgl BKP JJG (2)'!$E$9:$E$82=$D41),0))</f>
        <v>211</v>
      </c>
      <c r="AB41" s="9">
        <f t="shared" si="15"/>
        <v>19.043321299638986</v>
      </c>
    </row>
    <row r="42" spans="1:28" outlineLevel="1" x14ac:dyDescent="0.15">
      <c r="A42" s="8" t="s">
        <v>1927</v>
      </c>
      <c r="B42" s="8"/>
      <c r="C42" s="8" t="s">
        <v>1931</v>
      </c>
      <c r="D42" s="186" t="s">
        <v>1194</v>
      </c>
      <c r="E42" s="9">
        <v>32.56</v>
      </c>
      <c r="F42" s="8" t="s">
        <v>1740</v>
      </c>
      <c r="G42" s="10">
        <v>4366</v>
      </c>
      <c r="H42" s="204">
        <f t="shared" si="4"/>
        <v>46212</v>
      </c>
      <c r="I42" s="205">
        <f t="shared" si="5"/>
        <v>176</v>
      </c>
      <c r="J42" s="206">
        <f t="shared" si="6"/>
        <v>4.0311497938616583</v>
      </c>
      <c r="K42" s="205">
        <f t="shared" si="7"/>
        <v>6</v>
      </c>
      <c r="L42" s="206">
        <f t="shared" si="8"/>
        <v>3.4090909090909087</v>
      </c>
      <c r="M42" s="8" t="str">
        <f t="array" ref="M42">IF(L42&gt;5,"Perlu Sensus",IF(AND(L42&gt;=0,I42&gt;0),"Tetap Deteksi","Belum Deteksi"))</f>
        <v>Tetap Deteksi</v>
      </c>
      <c r="N42" s="11">
        <f t="array" ref="N42">INDEX('[29]REKAP '!$F$9:$F$82,MATCH(1,('[29]REKAP '!$E$9:$E$82=$D42)*('[29]REKAP '!$E$9:$E$82=$D42),0))</f>
        <v>46212</v>
      </c>
      <c r="O42" s="143">
        <f t="array" ref="O42">INDEX('[29]REKAP '!$H$9:$H$82,MATCH(1,('[29]REKAP '!$E$9:$E$82=$D42)*('[29]REKAP '!$E$9:$E$82=$D42),0))</f>
        <v>176</v>
      </c>
      <c r="P42" s="9">
        <f t="shared" si="9"/>
        <v>4.0311497938616583</v>
      </c>
      <c r="Q42" s="143">
        <f t="array" ref="Q42">INDEX('[29]REKAP '!$J$9:$J$82,MATCH(1,('[29]REKAP '!$E$9:$E$82=$D42)*('[29]REKAP '!$E$9:$E$82=$D42),0))</f>
        <v>6</v>
      </c>
      <c r="R42" s="9">
        <f t="shared" si="10"/>
        <v>3.4090909090909087</v>
      </c>
      <c r="S42" s="8" t="str">
        <f t="shared" si="11"/>
        <v>Tetap Deteksi</v>
      </c>
      <c r="T42" s="143">
        <f t="array" ref="T42">INDEX('[29]REKAP '!$M$9:$M$82,MATCH(1,('[29]REKAP '!$E$9:$E$82=$D42)*('[29]REKAP '!$E$9:$E$82=$D42),0))</f>
        <v>9</v>
      </c>
      <c r="U42" s="9">
        <f t="shared" si="12"/>
        <v>5.1136363636363642</v>
      </c>
      <c r="V42" s="11">
        <f t="array" ref="V42">INDEX('[30]Rekap Tgl BKP JJG (2)'!$G$9:$G$82,MATCH(1,('[30]Rekap Tgl BKP JJG (2)'!$E$9:$E$82=$D42)*('[30]Rekap Tgl BKP JJG (2)'!$E$9:$E$82=$D42),0))</f>
        <v>46246</v>
      </c>
      <c r="W42" s="203">
        <f t="array" ref="W42">INDEX('[30]Rekap Tgl BKP JJG (2)'!$I$9:$I$82,MATCH(1,('[30]Rekap Tgl BKP JJG (2)'!$E$9:$E$82=$D42)*('[30]Rekap Tgl BKP JJG (2)'!$E$9:$E$82=$D42),0))</f>
        <v>680</v>
      </c>
      <c r="X42" s="203">
        <f t="array" ref="X42">INDEX('[30]Rekap Tgl BKP JJG (2)'!$K$9:$K$82,MATCH(1,('[30]Rekap Tgl BKP JJG (2)'!$E$9:$E$82=$D42)*('[30]Rekap Tgl BKP JJG (2)'!$E$9:$E$82=$D42),0))</f>
        <v>20</v>
      </c>
      <c r="Y42" s="9">
        <f t="shared" si="13"/>
        <v>2.9411764705882351</v>
      </c>
      <c r="Z42" s="8" t="str">
        <f t="shared" si="14"/>
        <v>Tetap Deteksi</v>
      </c>
      <c r="AA42" s="203">
        <f t="array" ref="AA42">INDEX('[30]Rekap Tgl BKP JJG (2)'!$N$9:$N$82,MATCH(1,('[30]Rekap Tgl BKP JJG (2)'!$E$9:$E$82=$D42)*('[30]Rekap Tgl BKP JJG (2)'!$E$9:$E$82=$D42),0))</f>
        <v>145</v>
      </c>
      <c r="AB42" s="9">
        <f t="shared" si="15"/>
        <v>21.323529411764707</v>
      </c>
    </row>
    <row r="43" spans="1:28" outlineLevel="1" x14ac:dyDescent="0.15">
      <c r="A43" s="8" t="s">
        <v>1927</v>
      </c>
      <c r="B43" s="8"/>
      <c r="C43" s="8" t="s">
        <v>1931</v>
      </c>
      <c r="D43" s="186" t="s">
        <v>1214</v>
      </c>
      <c r="E43" s="9">
        <v>45.260000000000005</v>
      </c>
      <c r="F43" s="8" t="s">
        <v>1740</v>
      </c>
      <c r="G43" s="10">
        <v>6056</v>
      </c>
      <c r="H43" s="204">
        <f t="shared" si="4"/>
        <v>46219</v>
      </c>
      <c r="I43" s="205">
        <f t="shared" si="5"/>
        <v>83</v>
      </c>
      <c r="J43" s="206">
        <f t="shared" si="6"/>
        <v>1.370541611624835</v>
      </c>
      <c r="K43" s="205">
        <f t="shared" si="7"/>
        <v>4</v>
      </c>
      <c r="L43" s="206">
        <f t="shared" si="8"/>
        <v>4.8192771084337354</v>
      </c>
      <c r="M43" s="8" t="str">
        <f t="array" ref="M43">IF(L43&gt;5,"Perlu Sensus",IF(AND(L43&gt;=0,I43&gt;0),"Tetap Deteksi","Belum Deteksi"))</f>
        <v>Tetap Deteksi</v>
      </c>
      <c r="N43" s="11">
        <f t="array" ref="N43">INDEX('[29]REKAP '!$F$9:$F$82,MATCH(1,('[29]REKAP '!$E$9:$E$82=$D43)*('[29]REKAP '!$E$9:$E$82=$D43),0))</f>
        <v>46219</v>
      </c>
      <c r="O43" s="143">
        <f t="array" ref="O43">INDEX('[29]REKAP '!$H$9:$H$82,MATCH(1,('[29]REKAP '!$E$9:$E$82=$D43)*('[29]REKAP '!$E$9:$E$82=$D43),0))</f>
        <v>83</v>
      </c>
      <c r="P43" s="9">
        <f t="shared" si="9"/>
        <v>1.370541611624835</v>
      </c>
      <c r="Q43" s="143">
        <f t="array" ref="Q43">INDEX('[29]REKAP '!$J$9:$J$82,MATCH(1,('[29]REKAP '!$E$9:$E$82=$D43)*('[29]REKAP '!$E$9:$E$82=$D43),0))</f>
        <v>4</v>
      </c>
      <c r="R43" s="9">
        <f t="shared" si="10"/>
        <v>4.8192771084337354</v>
      </c>
      <c r="S43" s="8" t="str">
        <f t="shared" si="11"/>
        <v>Tetap Deteksi</v>
      </c>
      <c r="T43" s="143">
        <f t="array" ref="T43">INDEX('[29]REKAP '!$M$9:$M$82,MATCH(1,('[29]REKAP '!$E$9:$E$82=$D43)*('[29]REKAP '!$E$9:$E$82=$D43),0))</f>
        <v>5</v>
      </c>
      <c r="U43" s="9">
        <f t="shared" si="12"/>
        <v>6.024096385542169</v>
      </c>
      <c r="V43" s="11">
        <f t="array" ref="V43">INDEX('[30]Rekap Tgl BKP JJG (2)'!$G$9:$G$82,MATCH(1,('[30]Rekap Tgl BKP JJG (2)'!$E$9:$E$82=$D43)*('[30]Rekap Tgl BKP JJG (2)'!$E$9:$E$82=$D43),0))</f>
        <v>46238</v>
      </c>
      <c r="W43" s="203">
        <f t="array" ref="W43">INDEX('[30]Rekap Tgl BKP JJG (2)'!$I$9:$I$82,MATCH(1,('[30]Rekap Tgl BKP JJG (2)'!$E$9:$E$82=$D43)*('[30]Rekap Tgl BKP JJG (2)'!$E$9:$E$82=$D43),0))</f>
        <v>835</v>
      </c>
      <c r="X43" s="203">
        <f t="array" ref="X43">INDEX('[30]Rekap Tgl BKP JJG (2)'!$K$9:$K$82,MATCH(1,('[30]Rekap Tgl BKP JJG (2)'!$E$9:$E$82=$D43)*('[30]Rekap Tgl BKP JJG (2)'!$E$9:$E$82=$D43),0))</f>
        <v>27</v>
      </c>
      <c r="Y43" s="9">
        <f t="shared" si="13"/>
        <v>3.2335329341317367</v>
      </c>
      <c r="Z43" s="8" t="str">
        <f t="shared" si="14"/>
        <v>Tetap Deteksi</v>
      </c>
      <c r="AA43" s="203">
        <f t="array" ref="AA43">INDEX('[30]Rekap Tgl BKP JJG (2)'!$N$9:$N$82,MATCH(1,('[30]Rekap Tgl BKP JJG (2)'!$E$9:$E$82=$D43)*('[30]Rekap Tgl BKP JJG (2)'!$E$9:$E$82=$D43),0))</f>
        <v>201</v>
      </c>
      <c r="AB43" s="9">
        <f t="shared" si="15"/>
        <v>24.071856287425149</v>
      </c>
    </row>
    <row r="44" spans="1:28" outlineLevel="1" x14ac:dyDescent="0.15">
      <c r="A44" s="8" t="s">
        <v>1927</v>
      </c>
      <c r="B44" s="8"/>
      <c r="C44" s="8" t="s">
        <v>1931</v>
      </c>
      <c r="D44" s="186" t="s">
        <v>1207</v>
      </c>
      <c r="E44" s="9">
        <v>35.28</v>
      </c>
      <c r="F44" s="8" t="s">
        <v>1740</v>
      </c>
      <c r="G44" s="10">
        <v>4196</v>
      </c>
      <c r="H44" s="204">
        <f t="shared" si="4"/>
        <v>46212</v>
      </c>
      <c r="I44" s="205">
        <f t="shared" si="5"/>
        <v>118</v>
      </c>
      <c r="J44" s="206">
        <f t="shared" si="6"/>
        <v>2.8122020972354624</v>
      </c>
      <c r="K44" s="205">
        <f t="shared" si="7"/>
        <v>5</v>
      </c>
      <c r="L44" s="206">
        <f t="shared" si="8"/>
        <v>4.2372881355932197</v>
      </c>
      <c r="M44" s="8" t="str">
        <f t="array" ref="M44">IF(L44&gt;5,"Perlu Sensus",IF(AND(L44&gt;=0,I44&gt;0),"Tetap Deteksi","Belum Deteksi"))</f>
        <v>Tetap Deteksi</v>
      </c>
      <c r="N44" s="11">
        <f t="array" ref="N44">INDEX('[29]REKAP '!$F$9:$F$82,MATCH(1,('[29]REKAP '!$E$9:$E$82=$D44)*('[29]REKAP '!$E$9:$E$82=$D44),0))</f>
        <v>46212</v>
      </c>
      <c r="O44" s="143">
        <f t="array" ref="O44">INDEX('[29]REKAP '!$H$9:$H$82,MATCH(1,('[29]REKAP '!$E$9:$E$82=$D44)*('[29]REKAP '!$E$9:$E$82=$D44),0))</f>
        <v>118</v>
      </c>
      <c r="P44" s="9">
        <f t="shared" si="9"/>
        <v>2.8122020972354624</v>
      </c>
      <c r="Q44" s="143">
        <f t="array" ref="Q44">INDEX('[29]REKAP '!$J$9:$J$82,MATCH(1,('[29]REKAP '!$E$9:$E$82=$D44)*('[29]REKAP '!$E$9:$E$82=$D44),0))</f>
        <v>5</v>
      </c>
      <c r="R44" s="9">
        <f t="shared" si="10"/>
        <v>4.2372881355932197</v>
      </c>
      <c r="S44" s="8" t="str">
        <f t="shared" si="11"/>
        <v>Tetap Deteksi</v>
      </c>
      <c r="T44" s="143">
        <f t="array" ref="T44">INDEX('[29]REKAP '!$M$9:$M$82,MATCH(1,('[29]REKAP '!$E$9:$E$82=$D44)*('[29]REKAP '!$E$9:$E$82=$D44),0))</f>
        <v>9</v>
      </c>
      <c r="U44" s="9">
        <f t="shared" si="12"/>
        <v>7.6271186440677967</v>
      </c>
      <c r="V44" s="11">
        <f t="array" ref="V44">INDEX('[30]Rekap Tgl BKP JJG (2)'!$G$9:$G$82,MATCH(1,('[30]Rekap Tgl BKP JJG (2)'!$E$9:$E$82=$D44)*('[30]Rekap Tgl BKP JJG (2)'!$E$9:$E$82=$D44),0))</f>
        <v>46249</v>
      </c>
      <c r="W44" s="203">
        <f t="array" ref="W44">INDEX('[30]Rekap Tgl BKP JJG (2)'!$I$9:$I$82,MATCH(1,('[30]Rekap Tgl BKP JJG (2)'!$E$9:$E$82=$D44)*('[30]Rekap Tgl BKP JJG (2)'!$E$9:$E$82=$D44),0))</f>
        <v>2414</v>
      </c>
      <c r="X44" s="203">
        <f t="array" ref="X44">INDEX('[30]Rekap Tgl BKP JJG (2)'!$K$9:$K$82,MATCH(1,('[30]Rekap Tgl BKP JJG (2)'!$E$9:$E$82=$D44)*('[30]Rekap Tgl BKP JJG (2)'!$E$9:$E$82=$D44),0))</f>
        <v>76</v>
      </c>
      <c r="Y44" s="9">
        <f t="shared" si="13"/>
        <v>3.1483015741507874</v>
      </c>
      <c r="Z44" s="8" t="str">
        <f t="shared" si="14"/>
        <v>Tetap Deteksi</v>
      </c>
      <c r="AA44" s="203">
        <f t="array" ref="AA44">INDEX('[30]Rekap Tgl BKP JJG (2)'!$N$9:$N$82,MATCH(1,('[30]Rekap Tgl BKP JJG (2)'!$E$9:$E$82=$D44)*('[30]Rekap Tgl BKP JJG (2)'!$E$9:$E$82=$D44),0))</f>
        <v>629</v>
      </c>
      <c r="AB44" s="9">
        <f t="shared" si="15"/>
        <v>26.056338028169012</v>
      </c>
    </row>
    <row r="45" spans="1:28" outlineLevel="1" x14ac:dyDescent="0.15">
      <c r="A45" s="8" t="s">
        <v>1927</v>
      </c>
      <c r="B45" s="8"/>
      <c r="C45" s="8" t="s">
        <v>1931</v>
      </c>
      <c r="D45" s="186" t="s">
        <v>1153</v>
      </c>
      <c r="E45" s="9">
        <v>45.86</v>
      </c>
      <c r="F45" s="8" t="s">
        <v>1740</v>
      </c>
      <c r="G45" s="10">
        <v>5032</v>
      </c>
      <c r="H45" s="204">
        <f t="shared" si="4"/>
        <v>46224</v>
      </c>
      <c r="I45" s="205">
        <f t="shared" si="5"/>
        <v>94</v>
      </c>
      <c r="J45" s="206">
        <f t="shared" si="6"/>
        <v>1.8680445151033387</v>
      </c>
      <c r="K45" s="205">
        <f t="shared" si="7"/>
        <v>2</v>
      </c>
      <c r="L45" s="206">
        <f t="shared" si="8"/>
        <v>2.1276595744680851</v>
      </c>
      <c r="M45" s="8" t="str">
        <f t="array" ref="M45">IF(L45&gt;5,"Perlu Sensus",IF(AND(L45&gt;=0,I45&gt;0),"Tetap Deteksi","Belum Deteksi"))</f>
        <v>Tetap Deteksi</v>
      </c>
      <c r="N45" s="11">
        <f t="array" ref="N45">INDEX('[29]REKAP '!$F$9:$F$82,MATCH(1,('[29]REKAP '!$E$9:$E$82=$D45)*('[29]REKAP '!$E$9:$E$82=$D45),0))</f>
        <v>46224</v>
      </c>
      <c r="O45" s="143">
        <f t="array" ref="O45">INDEX('[29]REKAP '!$H$9:$H$82,MATCH(1,('[29]REKAP '!$E$9:$E$82=$D45)*('[29]REKAP '!$E$9:$E$82=$D45),0))</f>
        <v>94</v>
      </c>
      <c r="P45" s="9">
        <f t="shared" si="9"/>
        <v>1.8680445151033387</v>
      </c>
      <c r="Q45" s="143">
        <f t="array" ref="Q45">INDEX('[29]REKAP '!$J$9:$J$82,MATCH(1,('[29]REKAP '!$E$9:$E$82=$D45)*('[29]REKAP '!$E$9:$E$82=$D45),0))</f>
        <v>2</v>
      </c>
      <c r="R45" s="9">
        <f t="shared" si="10"/>
        <v>2.1276595744680851</v>
      </c>
      <c r="S45" s="8" t="str">
        <f t="shared" si="11"/>
        <v>Tetap Deteksi</v>
      </c>
      <c r="T45" s="143">
        <f t="array" ref="T45">INDEX('[29]REKAP '!$M$9:$M$82,MATCH(1,('[29]REKAP '!$E$9:$E$82=$D45)*('[29]REKAP '!$E$9:$E$82=$D45),0))</f>
        <v>9</v>
      </c>
      <c r="U45" s="9">
        <f t="shared" si="12"/>
        <v>9.5744680851063837</v>
      </c>
      <c r="V45" s="11">
        <f t="array" ref="V45">INDEX('[30]Rekap Tgl BKP JJG (2)'!$G$9:$G$82,MATCH(1,('[30]Rekap Tgl BKP JJG (2)'!$E$9:$E$82=$D45)*('[30]Rekap Tgl BKP JJG (2)'!$E$9:$E$82=$D45),0))</f>
        <v>0</v>
      </c>
      <c r="W45" s="203">
        <f t="array" ref="W45">INDEX('[30]Rekap Tgl BKP JJG (2)'!$I$9:$I$82,MATCH(1,('[30]Rekap Tgl BKP JJG (2)'!$E$9:$E$82=$D45)*('[30]Rekap Tgl BKP JJG (2)'!$E$9:$E$82=$D45),0))</f>
        <v>0</v>
      </c>
      <c r="X45" s="203">
        <f t="array" ref="X45">INDEX('[30]Rekap Tgl BKP JJG (2)'!$K$9:$K$82,MATCH(1,('[30]Rekap Tgl BKP JJG (2)'!$E$9:$E$82=$D45)*('[30]Rekap Tgl BKP JJG (2)'!$E$9:$E$82=$D45),0))</f>
        <v>0</v>
      </c>
      <c r="Y45" s="9">
        <f t="shared" si="13"/>
        <v>0</v>
      </c>
      <c r="Z45" s="8" t="str">
        <f t="shared" si="14"/>
        <v>Belum Deteksi</v>
      </c>
      <c r="AA45" s="203">
        <f t="array" ref="AA45">INDEX('[30]Rekap Tgl BKP JJG (2)'!$N$9:$N$82,MATCH(1,('[30]Rekap Tgl BKP JJG (2)'!$E$9:$E$82=$D45)*('[30]Rekap Tgl BKP JJG (2)'!$E$9:$E$82=$D45),0))</f>
        <v>0</v>
      </c>
      <c r="AB45" s="9">
        <f t="shared" si="15"/>
        <v>0</v>
      </c>
    </row>
    <row r="46" spans="1:28" outlineLevel="1" x14ac:dyDescent="0.15">
      <c r="A46" s="8" t="s">
        <v>1927</v>
      </c>
      <c r="B46" s="8"/>
      <c r="C46" s="8" t="s">
        <v>1931</v>
      </c>
      <c r="D46" s="186" t="s">
        <v>1932</v>
      </c>
      <c r="E46" s="9">
        <v>40.380000000000003</v>
      </c>
      <c r="F46" s="8" t="s">
        <v>1740</v>
      </c>
      <c r="G46" s="10">
        <v>4991</v>
      </c>
      <c r="H46" s="204">
        <f t="shared" si="4"/>
        <v>46225</v>
      </c>
      <c r="I46" s="205">
        <f t="shared" si="5"/>
        <v>167</v>
      </c>
      <c r="J46" s="206">
        <f t="shared" si="6"/>
        <v>3.3460228411140056</v>
      </c>
      <c r="K46" s="205">
        <f t="shared" si="7"/>
        <v>7</v>
      </c>
      <c r="L46" s="206">
        <f t="shared" si="8"/>
        <v>4.1916167664670656</v>
      </c>
      <c r="M46" s="8" t="str">
        <f t="array" ref="M46">IF(L46&gt;5,"Perlu Sensus",IF(AND(L46&gt;=0,I46&gt;0),"Tetap Deteksi","Belum Deteksi"))</f>
        <v>Tetap Deteksi</v>
      </c>
      <c r="N46" s="11">
        <f t="array" ref="N46">INDEX('[29]REKAP '!$F$9:$F$82,MATCH(1,('[29]REKAP '!$E$9:$E$82=$D46)*('[29]REKAP '!$E$9:$E$82=$D46),0))</f>
        <v>46225</v>
      </c>
      <c r="O46" s="143">
        <f t="array" ref="O46">INDEX('[29]REKAP '!$H$9:$H$82,MATCH(1,('[29]REKAP '!$E$9:$E$82=$D46)*('[29]REKAP '!$E$9:$E$82=$D46),0))</f>
        <v>167</v>
      </c>
      <c r="P46" s="9">
        <f t="shared" si="9"/>
        <v>3.3460228411140056</v>
      </c>
      <c r="Q46" s="143">
        <f t="array" ref="Q46">INDEX('[29]REKAP '!$J$9:$J$82,MATCH(1,('[29]REKAP '!$E$9:$E$82=$D46)*('[29]REKAP '!$E$9:$E$82=$D46),0))</f>
        <v>7</v>
      </c>
      <c r="R46" s="9">
        <f t="shared" si="10"/>
        <v>4.1916167664670656</v>
      </c>
      <c r="S46" s="8" t="str">
        <f t="shared" si="11"/>
        <v>Tetap Deteksi</v>
      </c>
      <c r="T46" s="143">
        <f t="array" ref="T46">INDEX('[29]REKAP '!$M$9:$M$82,MATCH(1,('[29]REKAP '!$E$9:$E$82=$D46)*('[29]REKAP '!$E$9:$E$82=$D46),0))</f>
        <v>19</v>
      </c>
      <c r="U46" s="9">
        <f t="shared" si="12"/>
        <v>11.377245508982035</v>
      </c>
      <c r="V46" s="11">
        <f t="array" ref="V46">INDEX('[30]Rekap Tgl BKP JJG (2)'!$G$9:$G$82,MATCH(1,('[30]Rekap Tgl BKP JJG (2)'!$E$9:$E$82=$D46)*('[30]Rekap Tgl BKP JJG (2)'!$E$9:$E$82=$D46),0))</f>
        <v>46249</v>
      </c>
      <c r="W46" s="203">
        <f t="array" ref="W46">INDEX('[30]Rekap Tgl BKP JJG (2)'!$I$9:$I$82,MATCH(1,('[30]Rekap Tgl BKP JJG (2)'!$E$9:$E$82=$D46)*('[30]Rekap Tgl BKP JJG (2)'!$E$9:$E$82=$D46),0))</f>
        <v>2543</v>
      </c>
      <c r="X46" s="203">
        <f t="array" ref="X46">INDEX('[30]Rekap Tgl BKP JJG (2)'!$K$9:$K$82,MATCH(1,('[30]Rekap Tgl BKP JJG (2)'!$E$9:$E$82=$D46)*('[30]Rekap Tgl BKP JJG (2)'!$E$9:$E$82=$D46),0))</f>
        <v>69</v>
      </c>
      <c r="Y46" s="9">
        <f t="shared" si="13"/>
        <v>2.7133307117577665</v>
      </c>
      <c r="Z46" s="8" t="str">
        <f t="shared" si="14"/>
        <v>Tetap Deteksi</v>
      </c>
      <c r="AA46" s="203">
        <f t="array" ref="AA46">INDEX('[30]Rekap Tgl BKP JJG (2)'!$N$9:$N$82,MATCH(1,('[30]Rekap Tgl BKP JJG (2)'!$E$9:$E$82=$D46)*('[30]Rekap Tgl BKP JJG (2)'!$E$9:$E$82=$D46),0))</f>
        <v>555</v>
      </c>
      <c r="AB46" s="9">
        <f t="shared" si="15"/>
        <v>21.824616594573339</v>
      </c>
    </row>
    <row r="47" spans="1:28" outlineLevel="1" x14ac:dyDescent="0.15">
      <c r="A47" s="8" t="s">
        <v>1927</v>
      </c>
      <c r="B47" s="8"/>
      <c r="C47" s="8" t="s">
        <v>1931</v>
      </c>
      <c r="D47" s="8" t="s">
        <v>1713</v>
      </c>
      <c r="E47" s="9">
        <v>31.520000000000003</v>
      </c>
      <c r="F47" s="8" t="s">
        <v>1740</v>
      </c>
      <c r="G47" s="10">
        <v>4176</v>
      </c>
      <c r="H47" s="132">
        <f t="shared" si="4"/>
        <v>0</v>
      </c>
      <c r="I47" s="205">
        <f t="shared" si="5"/>
        <v>0</v>
      </c>
      <c r="J47" s="206" t="str">
        <f t="shared" si="6"/>
        <v xml:space="preserve"> </v>
      </c>
      <c r="K47" s="205">
        <f t="shared" si="7"/>
        <v>0</v>
      </c>
      <c r="L47" s="206">
        <f t="shared" si="8"/>
        <v>0</v>
      </c>
      <c r="M47" s="8" t="str">
        <f t="array" ref="M47">IF(L47&gt;5,"Perlu Sensus",IF(AND(L47&gt;=0,I47&gt;0),"Tetap Deteksi","Belum Deteksi"))</f>
        <v>Belum Deteksi</v>
      </c>
      <c r="N47" s="11"/>
      <c r="O47" s="143"/>
      <c r="P47" s="9">
        <f t="shared" si="9"/>
        <v>0</v>
      </c>
      <c r="Q47" s="143"/>
      <c r="R47" s="9">
        <f t="shared" si="10"/>
        <v>0</v>
      </c>
      <c r="S47" s="8" t="str">
        <f t="shared" si="11"/>
        <v>Belum Deteksi</v>
      </c>
      <c r="T47" s="143"/>
      <c r="U47" s="9">
        <f t="shared" si="12"/>
        <v>0</v>
      </c>
      <c r="V47" s="11">
        <v>0</v>
      </c>
      <c r="W47" s="203">
        <v>0</v>
      </c>
      <c r="X47" s="203">
        <v>0</v>
      </c>
      <c r="Y47" s="9">
        <f t="shared" si="13"/>
        <v>0</v>
      </c>
      <c r="Z47" s="8" t="str">
        <f t="shared" si="14"/>
        <v>Belum Deteksi</v>
      </c>
      <c r="AA47" s="203">
        <v>0</v>
      </c>
      <c r="AB47" s="9">
        <f t="shared" si="15"/>
        <v>0</v>
      </c>
    </row>
    <row r="48" spans="1:28" outlineLevel="1" x14ac:dyDescent="0.15">
      <c r="A48" s="8" t="s">
        <v>1927</v>
      </c>
      <c r="B48" s="8"/>
      <c r="C48" s="8" t="s">
        <v>1931</v>
      </c>
      <c r="D48" s="8" t="s">
        <v>1228</v>
      </c>
      <c r="E48" s="9">
        <v>40.520000000000003</v>
      </c>
      <c r="F48" s="8" t="s">
        <v>1740</v>
      </c>
      <c r="G48" s="10">
        <v>5057</v>
      </c>
      <c r="H48" s="132">
        <f t="shared" si="4"/>
        <v>0</v>
      </c>
      <c r="I48" s="205">
        <f t="shared" si="5"/>
        <v>0</v>
      </c>
      <c r="J48" s="206" t="str">
        <f t="shared" si="6"/>
        <v xml:space="preserve"> </v>
      </c>
      <c r="K48" s="205">
        <f t="shared" si="7"/>
        <v>0</v>
      </c>
      <c r="L48" s="206">
        <f t="shared" si="8"/>
        <v>0</v>
      </c>
      <c r="M48" s="8" t="str">
        <f t="array" ref="M48">IF(L48&gt;5,"Perlu Sensus",IF(AND(L48&gt;=0,I48&gt;0),"Tetap Deteksi","Belum Deteksi"))</f>
        <v>Belum Deteksi</v>
      </c>
      <c r="N48" s="11"/>
      <c r="O48" s="143"/>
      <c r="P48" s="9">
        <f t="shared" si="9"/>
        <v>0</v>
      </c>
      <c r="Q48" s="143"/>
      <c r="R48" s="9">
        <f t="shared" si="10"/>
        <v>0</v>
      </c>
      <c r="S48" s="8" t="str">
        <f t="shared" si="11"/>
        <v>Belum Deteksi</v>
      </c>
      <c r="T48" s="143"/>
      <c r="U48" s="9">
        <f t="shared" si="12"/>
        <v>0</v>
      </c>
      <c r="V48" s="11">
        <v>0</v>
      </c>
      <c r="W48" s="203">
        <v>0</v>
      </c>
      <c r="X48" s="203">
        <v>0</v>
      </c>
      <c r="Y48" s="9">
        <f t="shared" si="13"/>
        <v>0</v>
      </c>
      <c r="Z48" s="8" t="str">
        <f t="shared" si="14"/>
        <v>Belum Deteksi</v>
      </c>
      <c r="AA48" s="203">
        <v>0</v>
      </c>
      <c r="AB48" s="9">
        <f t="shared" si="15"/>
        <v>0</v>
      </c>
    </row>
    <row r="49" spans="1:28" outlineLevel="1" x14ac:dyDescent="0.15">
      <c r="A49" s="8" t="s">
        <v>1927</v>
      </c>
      <c r="B49" s="8"/>
      <c r="C49" s="8" t="s">
        <v>1931</v>
      </c>
      <c r="D49" s="181" t="s">
        <v>1208</v>
      </c>
      <c r="E49" s="9">
        <v>29.96</v>
      </c>
      <c r="F49" s="8" t="s">
        <v>1740</v>
      </c>
      <c r="G49" s="10">
        <v>2815</v>
      </c>
      <c r="H49" s="204">
        <f t="shared" si="4"/>
        <v>46221</v>
      </c>
      <c r="I49" s="205">
        <f t="shared" si="5"/>
        <v>87</v>
      </c>
      <c r="J49" s="206">
        <f t="shared" si="6"/>
        <v>3.0905861456483126</v>
      </c>
      <c r="K49" s="205">
        <f t="shared" si="7"/>
        <v>3</v>
      </c>
      <c r="L49" s="206">
        <f t="shared" si="8"/>
        <v>3.4482758620689653</v>
      </c>
      <c r="M49" s="8" t="str">
        <f t="array" ref="M49">IF(L49&gt;5,"Perlu Sensus",IF(AND(L49&gt;=0,I49&gt;0),"Tetap Deteksi","Belum Deteksi"))</f>
        <v>Tetap Deteksi</v>
      </c>
      <c r="N49" s="11">
        <f t="array" ref="N49">INDEX('[29]REKAP '!$F$9:$F$82,MATCH(1,('[29]REKAP '!$E$9:$E$82=$D49)*('[29]REKAP '!$E$9:$E$82=$D49),0))</f>
        <v>46221</v>
      </c>
      <c r="O49" s="143">
        <f t="array" ref="O49">INDEX('[29]REKAP '!$H$9:$H$82,MATCH(1,('[29]REKAP '!$E$9:$E$82=$D49)*('[29]REKAP '!$E$9:$E$82=$D49),0))</f>
        <v>87</v>
      </c>
      <c r="P49" s="9">
        <f t="shared" si="9"/>
        <v>3.0905861456483126</v>
      </c>
      <c r="Q49" s="143">
        <f t="array" ref="Q49">INDEX('[29]REKAP '!$J$9:$J$82,MATCH(1,('[29]REKAP '!$E$9:$E$82=$D49)*('[29]REKAP '!$E$9:$E$82=$D49),0))</f>
        <v>3</v>
      </c>
      <c r="R49" s="9">
        <f t="shared" si="10"/>
        <v>3.4482758620689653</v>
      </c>
      <c r="S49" s="8" t="str">
        <f t="shared" si="11"/>
        <v>Tetap Deteksi</v>
      </c>
      <c r="T49" s="143">
        <f t="array" ref="T49">INDEX('[29]REKAP '!$M$9:$M$82,MATCH(1,('[29]REKAP '!$E$9:$E$82=$D49)*('[29]REKAP '!$E$9:$E$82=$D49),0))</f>
        <v>9</v>
      </c>
      <c r="U49" s="9">
        <f t="shared" si="12"/>
        <v>10.344827586206897</v>
      </c>
      <c r="V49" s="11">
        <f t="array" ref="V49">INDEX('[30]Rekap Tgl BKP JJG (2)'!$G$9:$G$82,MATCH(1,('[30]Rekap Tgl BKP JJG (2)'!$E$9:$E$82=$D49)*('[30]Rekap Tgl BKP JJG (2)'!$E$9:$E$82=$D49),0))</f>
        <v>46246</v>
      </c>
      <c r="W49" s="203">
        <f t="array" ref="W49">INDEX('[30]Rekap Tgl BKP JJG (2)'!$I$9:$I$82,MATCH(1,('[30]Rekap Tgl BKP JJG (2)'!$E$9:$E$82=$D49)*('[30]Rekap Tgl BKP JJG (2)'!$E$9:$E$82=$D49),0))</f>
        <v>1010</v>
      </c>
      <c r="X49" s="203">
        <f t="array" ref="X49">INDEX('[30]Rekap Tgl BKP JJG (2)'!$K$9:$K$82,MATCH(1,('[30]Rekap Tgl BKP JJG (2)'!$E$9:$E$82=$D49)*('[30]Rekap Tgl BKP JJG (2)'!$E$9:$E$82=$D49),0))</f>
        <v>31</v>
      </c>
      <c r="Y49" s="9">
        <f t="shared" si="13"/>
        <v>3.0693069306930694</v>
      </c>
      <c r="Z49" s="8" t="str">
        <f t="shared" si="14"/>
        <v>Tetap Deteksi</v>
      </c>
      <c r="AA49" s="203">
        <f t="array" ref="AA49">INDEX('[30]Rekap Tgl BKP JJG (2)'!$N$9:$N$82,MATCH(1,('[30]Rekap Tgl BKP JJG (2)'!$E$9:$E$82=$D49)*('[30]Rekap Tgl BKP JJG (2)'!$E$9:$E$82=$D49),0))</f>
        <v>229</v>
      </c>
      <c r="AB49" s="9">
        <f t="shared" si="15"/>
        <v>22.673267326732674</v>
      </c>
    </row>
    <row r="50" spans="1:28" outlineLevel="1" x14ac:dyDescent="0.15">
      <c r="A50" s="8" t="s">
        <v>1927</v>
      </c>
      <c r="B50" s="8"/>
      <c r="C50" s="8" t="s">
        <v>1931</v>
      </c>
      <c r="D50" s="8" t="s">
        <v>1933</v>
      </c>
      <c r="E50" s="9">
        <v>24.68</v>
      </c>
      <c r="F50" s="8" t="s">
        <v>1740</v>
      </c>
      <c r="G50" s="10">
        <v>2831</v>
      </c>
      <c r="H50" s="132">
        <f t="shared" si="4"/>
        <v>0</v>
      </c>
      <c r="I50" s="205">
        <f t="shared" si="5"/>
        <v>0</v>
      </c>
      <c r="J50" s="206" t="str">
        <f t="shared" si="6"/>
        <v xml:space="preserve"> </v>
      </c>
      <c r="K50" s="205">
        <f t="shared" si="7"/>
        <v>0</v>
      </c>
      <c r="L50" s="206">
        <f t="shared" si="8"/>
        <v>0</v>
      </c>
      <c r="M50" s="8" t="str">
        <f t="array" ref="M50">IF(L50&gt;5,"Perlu Sensus",IF(AND(L50&gt;=0,I50&gt;0),"Tetap Deteksi","Belum Deteksi"))</f>
        <v>Belum Deteksi</v>
      </c>
      <c r="N50" s="11"/>
      <c r="O50" s="143"/>
      <c r="P50" s="9">
        <f t="shared" si="9"/>
        <v>0</v>
      </c>
      <c r="Q50" s="143"/>
      <c r="R50" s="9">
        <f t="shared" si="10"/>
        <v>0</v>
      </c>
      <c r="S50" s="8" t="str">
        <f t="shared" si="11"/>
        <v>Belum Deteksi</v>
      </c>
      <c r="T50" s="143"/>
      <c r="U50" s="9">
        <f t="shared" si="12"/>
        <v>0</v>
      </c>
      <c r="V50" s="11">
        <v>0</v>
      </c>
      <c r="W50" s="203">
        <v>0</v>
      </c>
      <c r="X50" s="203">
        <v>0</v>
      </c>
      <c r="Y50" s="9">
        <f t="shared" si="13"/>
        <v>0</v>
      </c>
      <c r="Z50" s="8" t="str">
        <f t="shared" si="14"/>
        <v>Belum Deteksi</v>
      </c>
      <c r="AA50" s="203">
        <v>0</v>
      </c>
      <c r="AB50" s="9">
        <f t="shared" si="15"/>
        <v>0</v>
      </c>
    </row>
    <row r="51" spans="1:28" outlineLevel="1" x14ac:dyDescent="0.15">
      <c r="A51" s="8" t="s">
        <v>1927</v>
      </c>
      <c r="B51" s="8"/>
      <c r="C51" s="8" t="s">
        <v>1931</v>
      </c>
      <c r="D51" s="186" t="s">
        <v>1206</v>
      </c>
      <c r="E51" s="9">
        <v>27.160000000000004</v>
      </c>
      <c r="F51" s="8" t="s">
        <v>1740</v>
      </c>
      <c r="G51" s="10">
        <v>3294</v>
      </c>
      <c r="H51" s="204">
        <f t="shared" si="4"/>
        <v>46223</v>
      </c>
      <c r="I51" s="205">
        <f t="shared" si="5"/>
        <v>93</v>
      </c>
      <c r="J51" s="206">
        <f t="shared" si="6"/>
        <v>2.8233151183970859</v>
      </c>
      <c r="K51" s="205">
        <f t="shared" si="7"/>
        <v>2</v>
      </c>
      <c r="L51" s="206">
        <f t="shared" si="8"/>
        <v>2.1505376344086025</v>
      </c>
      <c r="M51" s="8" t="str">
        <f t="array" ref="M51">IF(L51&gt;5,"Perlu Sensus",IF(AND(L51&gt;=0,I51&gt;0),"Tetap Deteksi","Belum Deteksi"))</f>
        <v>Tetap Deteksi</v>
      </c>
      <c r="N51" s="11">
        <f t="array" ref="N51">INDEX('[29]REKAP '!$F$9:$F$82,MATCH(1,('[29]REKAP '!$E$9:$E$82=$D51)*('[29]REKAP '!$E$9:$E$82=$D51),0))</f>
        <v>46223</v>
      </c>
      <c r="O51" s="143">
        <f t="array" ref="O51">INDEX('[29]REKAP '!$H$9:$H$82,MATCH(1,('[29]REKAP '!$E$9:$E$82=$D51)*('[29]REKAP '!$E$9:$E$82=$D51),0))</f>
        <v>93</v>
      </c>
      <c r="P51" s="9">
        <f t="shared" si="9"/>
        <v>2.8233151183970859</v>
      </c>
      <c r="Q51" s="143">
        <f t="array" ref="Q51">INDEX('[29]REKAP '!$J$9:$J$82,MATCH(1,('[29]REKAP '!$E$9:$E$82=$D51)*('[29]REKAP '!$E$9:$E$82=$D51),0))</f>
        <v>2</v>
      </c>
      <c r="R51" s="9">
        <f t="shared" si="10"/>
        <v>2.1505376344086025</v>
      </c>
      <c r="S51" s="8" t="str">
        <f t="shared" si="11"/>
        <v>Tetap Deteksi</v>
      </c>
      <c r="T51" s="143">
        <f t="array" ref="T51">INDEX('[29]REKAP '!$M$9:$M$82,MATCH(1,('[29]REKAP '!$E$9:$E$82=$D51)*('[29]REKAP '!$E$9:$E$82=$D51),0))</f>
        <v>6</v>
      </c>
      <c r="U51" s="9">
        <f t="shared" si="12"/>
        <v>6.4516129032258061</v>
      </c>
      <c r="V51" s="11">
        <f t="array" ref="V51">INDEX('[30]Rekap Tgl BKP JJG (2)'!$G$9:$G$82,MATCH(1,('[30]Rekap Tgl BKP JJG (2)'!$E$9:$E$82=$D51)*('[30]Rekap Tgl BKP JJG (2)'!$E$9:$E$82=$D51),0))</f>
        <v>46238</v>
      </c>
      <c r="W51" s="203">
        <f t="array" ref="W51">INDEX('[30]Rekap Tgl BKP JJG (2)'!$I$9:$I$82,MATCH(1,('[30]Rekap Tgl BKP JJG (2)'!$E$9:$E$82=$D51)*('[30]Rekap Tgl BKP JJG (2)'!$E$9:$E$82=$D51),0))</f>
        <v>855</v>
      </c>
      <c r="X51" s="203">
        <f t="array" ref="X51">INDEX('[30]Rekap Tgl BKP JJG (2)'!$K$9:$K$82,MATCH(1,('[30]Rekap Tgl BKP JJG (2)'!$E$9:$E$82=$D51)*('[30]Rekap Tgl BKP JJG (2)'!$E$9:$E$82=$D51),0))</f>
        <v>27</v>
      </c>
      <c r="Y51" s="9">
        <f t="shared" si="13"/>
        <v>3.1578947368421053</v>
      </c>
      <c r="Z51" s="8" t="str">
        <f t="shared" si="14"/>
        <v>Tetap Deteksi</v>
      </c>
      <c r="AA51" s="203">
        <f t="array" ref="AA51">INDEX('[30]Rekap Tgl BKP JJG (2)'!$N$9:$N$82,MATCH(1,('[30]Rekap Tgl BKP JJG (2)'!$E$9:$E$82=$D51)*('[30]Rekap Tgl BKP JJG (2)'!$E$9:$E$82=$D51),0))</f>
        <v>207</v>
      </c>
      <c r="AB51" s="9">
        <f t="shared" si="15"/>
        <v>24.210526315789473</v>
      </c>
    </row>
    <row r="52" spans="1:28" outlineLevel="1" x14ac:dyDescent="0.15">
      <c r="A52" s="8" t="s">
        <v>1927</v>
      </c>
      <c r="B52" s="8"/>
      <c r="C52" s="8" t="s">
        <v>1934</v>
      </c>
      <c r="D52" s="8" t="s">
        <v>1350</v>
      </c>
      <c r="E52" s="9">
        <v>23.759999999999998</v>
      </c>
      <c r="F52" s="8" t="s">
        <v>1740</v>
      </c>
      <c r="G52" s="10">
        <v>2328</v>
      </c>
      <c r="H52" s="207"/>
      <c r="I52" s="208"/>
      <c r="J52" s="209"/>
      <c r="K52" s="208"/>
      <c r="L52" s="209"/>
      <c r="M52" s="210"/>
      <c r="N52" s="212"/>
      <c r="O52" s="212"/>
      <c r="P52" s="213"/>
      <c r="Q52" s="212"/>
      <c r="R52" s="213"/>
      <c r="S52" s="214"/>
      <c r="T52" s="212"/>
      <c r="U52" s="213"/>
      <c r="V52" s="211"/>
      <c r="W52" s="212"/>
      <c r="X52" s="212"/>
      <c r="Y52" s="213"/>
      <c r="Z52" s="214"/>
      <c r="AA52" s="212"/>
      <c r="AB52" s="213"/>
    </row>
    <row r="53" spans="1:28" outlineLevel="1" x14ac:dyDescent="0.15">
      <c r="A53" s="8" t="s">
        <v>1927</v>
      </c>
      <c r="B53" s="8"/>
      <c r="C53" s="8" t="s">
        <v>1934</v>
      </c>
      <c r="D53" s="8" t="s">
        <v>1756</v>
      </c>
      <c r="E53" s="9">
        <v>25.17</v>
      </c>
      <c r="F53" s="8" t="s">
        <v>1740</v>
      </c>
      <c r="G53" s="10">
        <v>2233</v>
      </c>
      <c r="H53" s="207"/>
      <c r="I53" s="208"/>
      <c r="J53" s="209"/>
      <c r="K53" s="208"/>
      <c r="L53" s="209"/>
      <c r="M53" s="210"/>
      <c r="N53" s="212"/>
      <c r="O53" s="212"/>
      <c r="P53" s="213"/>
      <c r="Q53" s="212"/>
      <c r="R53" s="213"/>
      <c r="S53" s="214"/>
      <c r="T53" s="212"/>
      <c r="U53" s="213"/>
      <c r="V53" s="211"/>
      <c r="W53" s="212"/>
      <c r="X53" s="212"/>
      <c r="Y53" s="213"/>
      <c r="Z53" s="214"/>
      <c r="AA53" s="212"/>
      <c r="AB53" s="213"/>
    </row>
    <row r="54" spans="1:28" outlineLevel="1" x14ac:dyDescent="0.15">
      <c r="A54" s="8" t="s">
        <v>1927</v>
      </c>
      <c r="B54" s="8"/>
      <c r="C54" s="8" t="s">
        <v>1934</v>
      </c>
      <c r="D54" s="8" t="s">
        <v>1354</v>
      </c>
      <c r="E54" s="9">
        <v>23.55</v>
      </c>
      <c r="F54" s="8" t="s">
        <v>1740</v>
      </c>
      <c r="G54" s="10">
        <v>2205</v>
      </c>
      <c r="H54" s="207"/>
      <c r="I54" s="208"/>
      <c r="J54" s="209"/>
      <c r="K54" s="208"/>
      <c r="L54" s="209"/>
      <c r="M54" s="210"/>
      <c r="N54" s="212"/>
      <c r="O54" s="212"/>
      <c r="P54" s="213"/>
      <c r="Q54" s="212"/>
      <c r="R54" s="213"/>
      <c r="S54" s="214"/>
      <c r="T54" s="212"/>
      <c r="U54" s="213"/>
      <c r="V54" s="211"/>
      <c r="W54" s="212"/>
      <c r="X54" s="212"/>
      <c r="Y54" s="213"/>
      <c r="Z54" s="214"/>
      <c r="AA54" s="212"/>
      <c r="AB54" s="213"/>
    </row>
    <row r="55" spans="1:28" outlineLevel="1" x14ac:dyDescent="0.15">
      <c r="A55" s="8" t="s">
        <v>1927</v>
      </c>
      <c r="B55" s="8"/>
      <c r="C55" s="8" t="s">
        <v>1934</v>
      </c>
      <c r="D55" s="8" t="s">
        <v>1335</v>
      </c>
      <c r="E55" s="9">
        <v>49.719999999999985</v>
      </c>
      <c r="F55" s="8" t="s">
        <v>1740</v>
      </c>
      <c r="G55" s="10">
        <v>4247</v>
      </c>
      <c r="H55" s="207"/>
      <c r="I55" s="208"/>
      <c r="J55" s="209"/>
      <c r="K55" s="208"/>
      <c r="L55" s="209"/>
      <c r="M55" s="210"/>
      <c r="N55" s="212"/>
      <c r="O55" s="212"/>
      <c r="P55" s="213"/>
      <c r="Q55" s="212"/>
      <c r="R55" s="213"/>
      <c r="S55" s="214"/>
      <c r="T55" s="212"/>
      <c r="U55" s="213"/>
      <c r="V55" s="211"/>
      <c r="W55" s="212"/>
      <c r="X55" s="212"/>
      <c r="Y55" s="213"/>
      <c r="Z55" s="214"/>
      <c r="AA55" s="212"/>
      <c r="AB55" s="213"/>
    </row>
    <row r="56" spans="1:28" outlineLevel="1" x14ac:dyDescent="0.15">
      <c r="A56" s="8" t="s">
        <v>1927</v>
      </c>
      <c r="B56" s="8"/>
      <c r="C56" s="8" t="s">
        <v>1934</v>
      </c>
      <c r="D56" s="8" t="s">
        <v>1935</v>
      </c>
      <c r="E56" s="9">
        <v>26.200000000000003</v>
      </c>
      <c r="F56" s="8" t="s">
        <v>1740</v>
      </c>
      <c r="G56" s="10">
        <v>3509</v>
      </c>
      <c r="H56" s="207"/>
      <c r="I56" s="208"/>
      <c r="J56" s="209"/>
      <c r="K56" s="208"/>
      <c r="L56" s="209"/>
      <c r="M56" s="210"/>
      <c r="N56" s="212"/>
      <c r="O56" s="212"/>
      <c r="P56" s="213"/>
      <c r="Q56" s="212"/>
      <c r="R56" s="213"/>
      <c r="S56" s="214"/>
      <c r="T56" s="212"/>
      <c r="U56" s="213"/>
      <c r="V56" s="211"/>
      <c r="W56" s="212"/>
      <c r="X56" s="212"/>
      <c r="Y56" s="213"/>
      <c r="Z56" s="214"/>
      <c r="AA56" s="212"/>
      <c r="AB56" s="213"/>
    </row>
    <row r="57" spans="1:28" outlineLevel="1" x14ac:dyDescent="0.15">
      <c r="A57" s="8" t="s">
        <v>1927</v>
      </c>
      <c r="B57" s="8"/>
      <c r="C57" s="8" t="s">
        <v>1934</v>
      </c>
      <c r="D57" s="8" t="s">
        <v>1353</v>
      </c>
      <c r="E57" s="9">
        <v>23.5</v>
      </c>
      <c r="F57" s="8" t="s">
        <v>1740</v>
      </c>
      <c r="G57" s="10">
        <v>2187</v>
      </c>
      <c r="H57" s="207"/>
      <c r="I57" s="208"/>
      <c r="J57" s="209"/>
      <c r="K57" s="208"/>
      <c r="L57" s="209"/>
      <c r="M57" s="210"/>
      <c r="N57" s="212"/>
      <c r="O57" s="212"/>
      <c r="P57" s="213"/>
      <c r="Q57" s="212"/>
      <c r="R57" s="213"/>
      <c r="S57" s="214"/>
      <c r="T57" s="212"/>
      <c r="U57" s="213"/>
      <c r="V57" s="211"/>
      <c r="W57" s="212"/>
      <c r="X57" s="212"/>
      <c r="Y57" s="213"/>
      <c r="Z57" s="214"/>
      <c r="AA57" s="212"/>
      <c r="AB57" s="213"/>
    </row>
    <row r="58" spans="1:28" outlineLevel="1" x14ac:dyDescent="0.15">
      <c r="A58" s="8" t="s">
        <v>1927</v>
      </c>
      <c r="B58" s="8"/>
      <c r="C58" s="8" t="s">
        <v>1934</v>
      </c>
      <c r="D58" s="8" t="s">
        <v>1355</v>
      </c>
      <c r="E58" s="9">
        <v>35.44</v>
      </c>
      <c r="F58" s="8" t="s">
        <v>1740</v>
      </c>
      <c r="G58" s="10">
        <v>2794</v>
      </c>
      <c r="H58" s="207"/>
      <c r="I58" s="208"/>
      <c r="J58" s="209"/>
      <c r="K58" s="208"/>
      <c r="L58" s="209"/>
      <c r="M58" s="210"/>
      <c r="N58" s="212"/>
      <c r="O58" s="212"/>
      <c r="P58" s="213"/>
      <c r="Q58" s="212"/>
      <c r="R58" s="213"/>
      <c r="S58" s="214"/>
      <c r="T58" s="212"/>
      <c r="U58" s="213"/>
      <c r="V58" s="211"/>
      <c r="W58" s="212"/>
      <c r="X58" s="212"/>
      <c r="Y58" s="213"/>
      <c r="Z58" s="214"/>
      <c r="AA58" s="212"/>
      <c r="AB58" s="213"/>
    </row>
    <row r="59" spans="1:28" outlineLevel="1" x14ac:dyDescent="0.15">
      <c r="A59" s="8" t="s">
        <v>1927</v>
      </c>
      <c r="B59" s="8"/>
      <c r="C59" s="8" t="s">
        <v>1934</v>
      </c>
      <c r="D59" s="8" t="s">
        <v>1358</v>
      </c>
      <c r="E59" s="9">
        <v>28.040000000000003</v>
      </c>
      <c r="F59" s="8" t="s">
        <v>1740</v>
      </c>
      <c r="G59" s="10">
        <v>2242</v>
      </c>
      <c r="H59" s="207"/>
      <c r="I59" s="208"/>
      <c r="J59" s="209"/>
      <c r="K59" s="208"/>
      <c r="L59" s="209"/>
      <c r="M59" s="210"/>
      <c r="N59" s="212"/>
      <c r="O59" s="212"/>
      <c r="P59" s="213"/>
      <c r="Q59" s="212"/>
      <c r="R59" s="213"/>
      <c r="S59" s="214"/>
      <c r="T59" s="212"/>
      <c r="U59" s="213"/>
      <c r="V59" s="211"/>
      <c r="W59" s="212"/>
      <c r="X59" s="212"/>
      <c r="Y59" s="213"/>
      <c r="Z59" s="214"/>
      <c r="AA59" s="212"/>
      <c r="AB59" s="213"/>
    </row>
    <row r="60" spans="1:28" outlineLevel="1" x14ac:dyDescent="0.15">
      <c r="A60" s="8" t="s">
        <v>1927</v>
      </c>
      <c r="B60" s="8"/>
      <c r="C60" s="8" t="s">
        <v>1934</v>
      </c>
      <c r="D60" s="8" t="s">
        <v>1936</v>
      </c>
      <c r="E60" s="9">
        <v>44.82</v>
      </c>
      <c r="F60" s="8" t="s">
        <v>1740</v>
      </c>
      <c r="G60" s="10">
        <v>4255</v>
      </c>
      <c r="H60" s="207"/>
      <c r="I60" s="208"/>
      <c r="J60" s="209"/>
      <c r="K60" s="208"/>
      <c r="L60" s="209"/>
      <c r="M60" s="210"/>
      <c r="N60" s="212"/>
      <c r="O60" s="212"/>
      <c r="P60" s="213"/>
      <c r="Q60" s="212"/>
      <c r="R60" s="213"/>
      <c r="S60" s="214"/>
      <c r="T60" s="212"/>
      <c r="U60" s="213"/>
      <c r="V60" s="211"/>
      <c r="W60" s="212"/>
      <c r="X60" s="212"/>
      <c r="Y60" s="213"/>
      <c r="Z60" s="214"/>
      <c r="AA60" s="212"/>
      <c r="AB60" s="213"/>
    </row>
    <row r="61" spans="1:28" outlineLevel="1" x14ac:dyDescent="0.15">
      <c r="A61" s="8" t="s">
        <v>1927</v>
      </c>
      <c r="B61" s="8"/>
      <c r="C61" s="8" t="s">
        <v>1934</v>
      </c>
      <c r="D61" s="8" t="s">
        <v>1356</v>
      </c>
      <c r="E61" s="9">
        <v>32.18</v>
      </c>
      <c r="F61" s="8" t="s">
        <v>1740</v>
      </c>
      <c r="G61" s="10">
        <v>3169</v>
      </c>
      <c r="H61" s="207"/>
      <c r="I61" s="208"/>
      <c r="J61" s="209"/>
      <c r="K61" s="208"/>
      <c r="L61" s="209"/>
      <c r="M61" s="210"/>
      <c r="N61" s="212"/>
      <c r="O61" s="212"/>
      <c r="P61" s="213"/>
      <c r="Q61" s="212"/>
      <c r="R61" s="213"/>
      <c r="S61" s="214"/>
      <c r="T61" s="212"/>
      <c r="U61" s="213"/>
      <c r="V61" s="211"/>
      <c r="W61" s="212"/>
      <c r="X61" s="212"/>
      <c r="Y61" s="213"/>
      <c r="Z61" s="214"/>
      <c r="AA61" s="212"/>
      <c r="AB61" s="213"/>
    </row>
    <row r="62" spans="1:28" outlineLevel="1" x14ac:dyDescent="0.15">
      <c r="A62" s="8" t="s">
        <v>1927</v>
      </c>
      <c r="B62" s="8"/>
      <c r="C62" s="8" t="s">
        <v>1934</v>
      </c>
      <c r="D62" s="8" t="s">
        <v>1387</v>
      </c>
      <c r="E62" s="9">
        <v>25.74</v>
      </c>
      <c r="F62" s="8" t="s">
        <v>1740</v>
      </c>
      <c r="G62" s="10">
        <v>3605</v>
      </c>
      <c r="H62" s="207"/>
      <c r="I62" s="208"/>
      <c r="J62" s="209"/>
      <c r="K62" s="208"/>
      <c r="L62" s="209"/>
      <c r="M62" s="210"/>
      <c r="N62" s="212"/>
      <c r="O62" s="212"/>
      <c r="P62" s="213"/>
      <c r="Q62" s="212"/>
      <c r="R62" s="213"/>
      <c r="S62" s="214"/>
      <c r="T62" s="212"/>
      <c r="U62" s="213"/>
      <c r="V62" s="211"/>
      <c r="W62" s="212"/>
      <c r="X62" s="212"/>
      <c r="Y62" s="213"/>
      <c r="Z62" s="214"/>
      <c r="AA62" s="212"/>
      <c r="AB62" s="213"/>
    </row>
    <row r="63" spans="1:28" outlineLevel="1" x14ac:dyDescent="0.15">
      <c r="A63" s="8" t="s">
        <v>1927</v>
      </c>
      <c r="B63" s="8"/>
      <c r="C63" s="8" t="s">
        <v>1934</v>
      </c>
      <c r="D63" s="8" t="s">
        <v>1389</v>
      </c>
      <c r="E63" s="9">
        <v>24.189999999999998</v>
      </c>
      <c r="F63" s="8" t="s">
        <v>1740</v>
      </c>
      <c r="G63" s="10">
        <v>2264</v>
      </c>
      <c r="H63" s="207"/>
      <c r="I63" s="208"/>
      <c r="J63" s="209"/>
      <c r="K63" s="208"/>
      <c r="L63" s="209"/>
      <c r="M63" s="210"/>
      <c r="N63" s="212"/>
      <c r="O63" s="212"/>
      <c r="P63" s="213"/>
      <c r="Q63" s="212"/>
      <c r="R63" s="213"/>
      <c r="S63" s="214"/>
      <c r="T63" s="212"/>
      <c r="U63" s="213"/>
      <c r="V63" s="211"/>
      <c r="W63" s="212"/>
      <c r="X63" s="212"/>
      <c r="Y63" s="213"/>
      <c r="Z63" s="214"/>
      <c r="AA63" s="212"/>
      <c r="AB63" s="213"/>
    </row>
    <row r="64" spans="1:28" outlineLevel="1" x14ac:dyDescent="0.15">
      <c r="A64" s="8" t="s">
        <v>1927</v>
      </c>
      <c r="B64" s="8"/>
      <c r="C64" s="8" t="s">
        <v>1934</v>
      </c>
      <c r="D64" s="8" t="s">
        <v>1118</v>
      </c>
      <c r="E64" s="9">
        <v>25.15</v>
      </c>
      <c r="F64" s="8" t="s">
        <v>1740</v>
      </c>
      <c r="G64" s="10">
        <v>3020</v>
      </c>
      <c r="H64" s="207"/>
      <c r="I64" s="208"/>
      <c r="J64" s="209"/>
      <c r="K64" s="208"/>
      <c r="L64" s="209"/>
      <c r="M64" s="210"/>
      <c r="N64" s="212"/>
      <c r="O64" s="212"/>
      <c r="P64" s="213"/>
      <c r="Q64" s="212"/>
      <c r="R64" s="213"/>
      <c r="S64" s="214"/>
      <c r="T64" s="212"/>
      <c r="U64" s="213"/>
      <c r="V64" s="211"/>
      <c r="W64" s="212"/>
      <c r="X64" s="212"/>
      <c r="Y64" s="213"/>
      <c r="Z64" s="214"/>
      <c r="AA64" s="212"/>
      <c r="AB64" s="213"/>
    </row>
    <row r="65" spans="1:28" outlineLevel="1" x14ac:dyDescent="0.15">
      <c r="A65" s="8" t="s">
        <v>1927</v>
      </c>
      <c r="B65" s="8"/>
      <c r="C65" s="8" t="s">
        <v>1934</v>
      </c>
      <c r="D65" s="8" t="s">
        <v>1314</v>
      </c>
      <c r="E65" s="9">
        <v>30.78</v>
      </c>
      <c r="F65" s="8" t="s">
        <v>1740</v>
      </c>
      <c r="G65" s="10">
        <v>3021</v>
      </c>
      <c r="H65" s="207"/>
      <c r="I65" s="208"/>
      <c r="J65" s="209"/>
      <c r="K65" s="208"/>
      <c r="L65" s="209"/>
      <c r="M65" s="210"/>
      <c r="N65" s="212"/>
      <c r="O65" s="212"/>
      <c r="P65" s="213"/>
      <c r="Q65" s="212"/>
      <c r="R65" s="213"/>
      <c r="S65" s="214"/>
      <c r="T65" s="212"/>
      <c r="U65" s="213"/>
      <c r="V65" s="211"/>
      <c r="W65" s="212"/>
      <c r="X65" s="212"/>
      <c r="Y65" s="213"/>
      <c r="Z65" s="214"/>
      <c r="AA65" s="212"/>
      <c r="AB65" s="213"/>
    </row>
    <row r="66" spans="1:28" outlineLevel="1" x14ac:dyDescent="0.15">
      <c r="A66" s="8" t="s">
        <v>1927</v>
      </c>
      <c r="B66" s="8"/>
      <c r="C66" s="8" t="s">
        <v>1934</v>
      </c>
      <c r="D66" s="8" t="s">
        <v>1328</v>
      </c>
      <c r="E66" s="9">
        <v>35.01</v>
      </c>
      <c r="F66" s="8" t="s">
        <v>1740</v>
      </c>
      <c r="G66" s="10">
        <v>2647</v>
      </c>
      <c r="H66" s="207"/>
      <c r="I66" s="208"/>
      <c r="J66" s="209"/>
      <c r="K66" s="208"/>
      <c r="L66" s="209"/>
      <c r="M66" s="210"/>
      <c r="N66" s="212"/>
      <c r="O66" s="212"/>
      <c r="P66" s="213"/>
      <c r="Q66" s="212"/>
      <c r="R66" s="213"/>
      <c r="S66" s="214"/>
      <c r="T66" s="212"/>
      <c r="U66" s="213"/>
      <c r="V66" s="211"/>
      <c r="W66" s="212"/>
      <c r="X66" s="212"/>
      <c r="Y66" s="213"/>
      <c r="Z66" s="214"/>
      <c r="AA66" s="212"/>
      <c r="AB66" s="213"/>
    </row>
    <row r="67" spans="1:28" outlineLevel="1" x14ac:dyDescent="0.15">
      <c r="A67" s="8" t="s">
        <v>1927</v>
      </c>
      <c r="B67" s="8"/>
      <c r="C67" s="8" t="s">
        <v>1934</v>
      </c>
      <c r="D67" s="8" t="s">
        <v>1340</v>
      </c>
      <c r="E67" s="9">
        <v>32.9</v>
      </c>
      <c r="F67" s="8" t="s">
        <v>1740</v>
      </c>
      <c r="G67" s="10">
        <v>2519.0000000000005</v>
      </c>
      <c r="H67" s="207"/>
      <c r="I67" s="208"/>
      <c r="J67" s="209"/>
      <c r="K67" s="208"/>
      <c r="L67" s="209"/>
      <c r="M67" s="210"/>
      <c r="N67" s="212"/>
      <c r="O67" s="212"/>
      <c r="P67" s="213"/>
      <c r="Q67" s="212"/>
      <c r="R67" s="213"/>
      <c r="S67" s="214"/>
      <c r="T67" s="212"/>
      <c r="U67" s="213"/>
      <c r="V67" s="211"/>
      <c r="W67" s="212"/>
      <c r="X67" s="212"/>
      <c r="Y67" s="213"/>
      <c r="Z67" s="214"/>
      <c r="AA67" s="212"/>
      <c r="AB67" s="213"/>
    </row>
    <row r="68" spans="1:28" outlineLevel="1" x14ac:dyDescent="0.15">
      <c r="A68" s="8" t="s">
        <v>1927</v>
      </c>
      <c r="B68" s="8"/>
      <c r="C68" s="8" t="s">
        <v>1934</v>
      </c>
      <c r="D68" s="8" t="s">
        <v>1811</v>
      </c>
      <c r="E68" s="9">
        <v>27.18</v>
      </c>
      <c r="F68" s="8" t="s">
        <v>1740</v>
      </c>
      <c r="G68" s="10">
        <v>3108</v>
      </c>
      <c r="H68" s="207"/>
      <c r="I68" s="208"/>
      <c r="J68" s="209"/>
      <c r="K68" s="208"/>
      <c r="L68" s="209"/>
      <c r="M68" s="210"/>
      <c r="N68" s="212"/>
      <c r="O68" s="212"/>
      <c r="P68" s="213"/>
      <c r="Q68" s="212"/>
      <c r="R68" s="213"/>
      <c r="S68" s="214"/>
      <c r="T68" s="212"/>
      <c r="U68" s="213"/>
      <c r="V68" s="211"/>
      <c r="W68" s="212"/>
      <c r="X68" s="212"/>
      <c r="Y68" s="213"/>
      <c r="Z68" s="214"/>
      <c r="AA68" s="212"/>
      <c r="AB68" s="213"/>
    </row>
    <row r="69" spans="1:28" outlineLevel="1" x14ac:dyDescent="0.15">
      <c r="A69" s="8" t="s">
        <v>1927</v>
      </c>
      <c r="B69" s="8"/>
      <c r="C69" s="8" t="s">
        <v>1934</v>
      </c>
      <c r="D69" s="8" t="s">
        <v>1305</v>
      </c>
      <c r="E69" s="9">
        <v>42.359999999999992</v>
      </c>
      <c r="F69" s="8" t="s">
        <v>1740</v>
      </c>
      <c r="G69" s="10">
        <v>4709</v>
      </c>
      <c r="H69" s="207"/>
      <c r="I69" s="208"/>
      <c r="J69" s="209"/>
      <c r="K69" s="208"/>
      <c r="L69" s="209"/>
      <c r="M69" s="210"/>
      <c r="N69" s="212"/>
      <c r="O69" s="212"/>
      <c r="P69" s="213"/>
      <c r="Q69" s="212"/>
      <c r="R69" s="213"/>
      <c r="S69" s="214"/>
      <c r="T69" s="212"/>
      <c r="U69" s="213"/>
      <c r="V69" s="211"/>
      <c r="W69" s="212"/>
      <c r="X69" s="212"/>
      <c r="Y69" s="213"/>
      <c r="Z69" s="214"/>
      <c r="AA69" s="212"/>
      <c r="AB69" s="213"/>
    </row>
    <row r="70" spans="1:28" outlineLevel="1" x14ac:dyDescent="0.15">
      <c r="A70" s="8" t="s">
        <v>1927</v>
      </c>
      <c r="B70" s="8"/>
      <c r="C70" s="8" t="s">
        <v>1937</v>
      </c>
      <c r="D70" s="186" t="s">
        <v>1938</v>
      </c>
      <c r="E70" s="9">
        <v>24.08</v>
      </c>
      <c r="F70" s="8" t="s">
        <v>1740</v>
      </c>
      <c r="G70" s="10">
        <v>3086.0000000000005</v>
      </c>
      <c r="H70" s="204">
        <f t="shared" si="4"/>
        <v>46225</v>
      </c>
      <c r="I70" s="205">
        <f t="shared" si="5"/>
        <v>67</v>
      </c>
      <c r="J70" s="206">
        <f t="shared" si="6"/>
        <v>2.1710952689565777</v>
      </c>
      <c r="K70" s="205">
        <f t="shared" si="7"/>
        <v>3</v>
      </c>
      <c r="L70" s="206">
        <f t="shared" si="8"/>
        <v>4.4776119402985071</v>
      </c>
      <c r="M70" s="8" t="str">
        <f t="array" ref="M70">IF(L70&gt;5,"Perlu Sensus",IF(AND(L70&gt;=0,I70&gt;0),"Tetap Deteksi","Belum Deteksi"))</f>
        <v>Tetap Deteksi</v>
      </c>
      <c r="N70" s="11">
        <f t="array" ref="N70">INDEX('[29]REKAP '!$F$9:$F$82,MATCH(1,('[29]REKAP '!$E$9:$E$82=$D70)*('[29]REKAP '!$E$9:$E$82=$D70),0))</f>
        <v>46225</v>
      </c>
      <c r="O70" s="143">
        <f t="array" ref="O70">INDEX('[29]REKAP '!$H$9:$H$82,MATCH(1,('[29]REKAP '!$E$9:$E$82=$D70)*('[29]REKAP '!$E$9:$E$82=$D70),0))</f>
        <v>67</v>
      </c>
      <c r="P70" s="9">
        <f t="shared" ref="P70:P100" si="16">IFERROR(O70/G70*100,0)</f>
        <v>2.1710952689565777</v>
      </c>
      <c r="Q70" s="143">
        <f t="array" ref="Q70">INDEX('[29]REKAP '!$J$9:$J$82,MATCH(1,('[29]REKAP '!$E$9:$E$82=$D70)*('[29]REKAP '!$E$9:$E$82=$D70),0))</f>
        <v>3</v>
      </c>
      <c r="R70" s="9">
        <f t="shared" ref="R70:R100" si="17">IFERROR(Q70/O70*100,0)</f>
        <v>4.4776119402985071</v>
      </c>
      <c r="S70" s="8" t="str">
        <f t="shared" ref="S70:S100" si="18">IF(R70&gt;5,"Perlu Sensus",IF(R70&gt;0,"Tetap Deteksi","Belum Deteksi"))</f>
        <v>Tetap Deteksi</v>
      </c>
      <c r="T70" s="143">
        <f t="array" ref="T70">INDEX('[29]REKAP '!$M$9:$M$82,MATCH(1,('[29]REKAP '!$E$9:$E$82=$D70)*('[29]REKAP '!$E$9:$E$82=$D70),0))</f>
        <v>8</v>
      </c>
      <c r="U70" s="9">
        <f t="shared" ref="U70:U100" si="19">IFERROR(T70/O70*100,0)</f>
        <v>11.940298507462686</v>
      </c>
      <c r="V70" s="11">
        <f t="array" ref="V70">INDEX('[30]Rekap Tgl BKP JJG (2)'!$G$9:$G$82,MATCH(1,('[30]Rekap Tgl BKP JJG (2)'!$E$9:$E$82=$D70)*('[30]Rekap Tgl BKP JJG (2)'!$E$9:$E$82=$D70),0))</f>
        <v>0</v>
      </c>
      <c r="W70" s="203">
        <f t="array" ref="W70">INDEX('[30]Rekap Tgl BKP JJG (2)'!$I$9:$I$82,MATCH(1,('[30]Rekap Tgl BKP JJG (2)'!$E$9:$E$82=$D70)*('[30]Rekap Tgl BKP JJG (2)'!$E$9:$E$82=$D70),0))</f>
        <v>0</v>
      </c>
      <c r="X70" s="203">
        <f t="array" ref="X70">INDEX('[30]Rekap Tgl BKP JJG (2)'!$K$9:$K$82,MATCH(1,('[30]Rekap Tgl BKP JJG (2)'!$E$9:$E$82=$D70)*('[30]Rekap Tgl BKP JJG (2)'!$E$9:$E$82=$D70),0))</f>
        <v>0</v>
      </c>
      <c r="Y70" s="9">
        <f t="shared" ref="Y70:Y100" si="20">IFERROR(X70/W70*100,0)</f>
        <v>0</v>
      </c>
      <c r="Z70" s="8" t="str">
        <f t="shared" ref="Z70:Z100" si="21">IF(Y70&gt;5,"Perlu Sensus",IF(Y70&gt;0,"Tetap Deteksi","Belum Deteksi"))</f>
        <v>Belum Deteksi</v>
      </c>
      <c r="AA70" s="203">
        <f t="array" ref="AA70">INDEX('[30]Rekap Tgl BKP JJG (2)'!$N$9:$N$82,MATCH(1,('[30]Rekap Tgl BKP JJG (2)'!$E$9:$E$82=$D70)*('[30]Rekap Tgl BKP JJG (2)'!$E$9:$E$82=$D70),0))</f>
        <v>0</v>
      </c>
      <c r="AB70" s="9">
        <f t="shared" ref="AB70:AB100" si="22">IFERROR(AA70/W70*100,0)</f>
        <v>0</v>
      </c>
    </row>
    <row r="71" spans="1:28" outlineLevel="1" x14ac:dyDescent="0.15">
      <c r="A71" s="8" t="s">
        <v>1927</v>
      </c>
      <c r="B71" s="8"/>
      <c r="C71" s="8" t="s">
        <v>1937</v>
      </c>
      <c r="D71" s="186" t="s">
        <v>1939</v>
      </c>
      <c r="E71" s="9">
        <v>21.88</v>
      </c>
      <c r="F71" s="8" t="s">
        <v>1740</v>
      </c>
      <c r="G71" s="10">
        <v>2734</v>
      </c>
      <c r="H71" s="204">
        <f t="shared" ref="H71:H100" si="23">IF(N71&gt;0,N71,V71)</f>
        <v>46212</v>
      </c>
      <c r="I71" s="205">
        <f t="shared" ref="I71:I100" si="24">IF(O71&gt;0,O71,W71)</f>
        <v>118</v>
      </c>
      <c r="J71" s="206">
        <f t="shared" ref="J71:J100" si="25">IF(P71&gt;0,P71," ")</f>
        <v>4.3160204828090709</v>
      </c>
      <c r="K71" s="205">
        <f t="shared" ref="K71:K100" si="26">IF(Q71&gt;0,Q71,X71)</f>
        <v>3</v>
      </c>
      <c r="L71" s="206">
        <f t="shared" ref="L71:L100" si="27">IFERROR(K71/I71*100,0)</f>
        <v>2.5423728813559325</v>
      </c>
      <c r="M71" s="8" t="str">
        <f t="array" ref="M71">IF(L71&gt;5,"Perlu Sensus",IF(AND(L71&gt;=0,I71&gt;0),"Tetap Deteksi","Belum Deteksi"))</f>
        <v>Tetap Deteksi</v>
      </c>
      <c r="N71" s="11">
        <f t="array" ref="N71">INDEX('[29]REKAP '!$F$9:$F$82,MATCH(1,('[29]REKAP '!$E$9:$E$82=$D71)*('[29]REKAP '!$E$9:$E$82=$D71),0))</f>
        <v>46212</v>
      </c>
      <c r="O71" s="143">
        <f t="array" ref="O71">INDEX('[29]REKAP '!$H$9:$H$82,MATCH(1,('[29]REKAP '!$E$9:$E$82=$D71)*('[29]REKAP '!$E$9:$E$82=$D71),0))</f>
        <v>118</v>
      </c>
      <c r="P71" s="9">
        <f t="shared" si="16"/>
        <v>4.3160204828090709</v>
      </c>
      <c r="Q71" s="143">
        <f t="array" ref="Q71">INDEX('[29]REKAP '!$J$9:$J$82,MATCH(1,('[29]REKAP '!$E$9:$E$82=$D71)*('[29]REKAP '!$E$9:$E$82=$D71),0))</f>
        <v>3</v>
      </c>
      <c r="R71" s="9">
        <f t="shared" si="17"/>
        <v>2.5423728813559325</v>
      </c>
      <c r="S71" s="8" t="str">
        <f t="shared" si="18"/>
        <v>Tetap Deteksi</v>
      </c>
      <c r="T71" s="143">
        <f t="array" ref="T71">INDEX('[29]REKAP '!$M$9:$M$82,MATCH(1,('[29]REKAP '!$E$9:$E$82=$D71)*('[29]REKAP '!$E$9:$E$82=$D71),0))</f>
        <v>18</v>
      </c>
      <c r="U71" s="9">
        <f t="shared" si="19"/>
        <v>15.254237288135593</v>
      </c>
      <c r="V71" s="11">
        <f t="array" ref="V71">INDEX('[30]Rekap Tgl BKP JJG (2)'!$G$9:$G$82,MATCH(1,('[30]Rekap Tgl BKP JJG (2)'!$E$9:$E$82=$D71)*('[30]Rekap Tgl BKP JJG (2)'!$E$9:$E$82=$D71),0))</f>
        <v>46239</v>
      </c>
      <c r="W71" s="203">
        <f t="array" ref="W71">INDEX('[30]Rekap Tgl BKP JJG (2)'!$I$9:$I$82,MATCH(1,('[30]Rekap Tgl BKP JJG (2)'!$E$9:$E$82=$D71)*('[30]Rekap Tgl BKP JJG (2)'!$E$9:$E$82=$D71),0))</f>
        <v>487</v>
      </c>
      <c r="X71" s="203">
        <f t="array" ref="X71">INDEX('[30]Rekap Tgl BKP JJG (2)'!$K$9:$K$82,MATCH(1,('[30]Rekap Tgl BKP JJG (2)'!$E$9:$E$82=$D71)*('[30]Rekap Tgl BKP JJG (2)'!$E$9:$E$82=$D71),0))</f>
        <v>11</v>
      </c>
      <c r="Y71" s="9">
        <f t="shared" si="20"/>
        <v>2.2587268993839835</v>
      </c>
      <c r="Z71" s="8" t="str">
        <f t="shared" si="21"/>
        <v>Tetap Deteksi</v>
      </c>
      <c r="AA71" s="203">
        <f t="array" ref="AA71">INDEX('[30]Rekap Tgl BKP JJG (2)'!$N$9:$N$82,MATCH(1,('[30]Rekap Tgl BKP JJG (2)'!$E$9:$E$82=$D71)*('[30]Rekap Tgl BKP JJG (2)'!$E$9:$E$82=$D71),0))</f>
        <v>78</v>
      </c>
      <c r="AB71" s="9">
        <f t="shared" si="22"/>
        <v>16.016427104722791</v>
      </c>
    </row>
    <row r="72" spans="1:28" outlineLevel="1" x14ac:dyDescent="0.15">
      <c r="A72" s="8" t="s">
        <v>1927</v>
      </c>
      <c r="B72" s="8"/>
      <c r="C72" s="8" t="s">
        <v>1937</v>
      </c>
      <c r="D72" s="186" t="s">
        <v>1940</v>
      </c>
      <c r="E72" s="9">
        <v>36.06</v>
      </c>
      <c r="F72" s="8" t="s">
        <v>1740</v>
      </c>
      <c r="G72" s="10">
        <v>4542</v>
      </c>
      <c r="H72" s="204">
        <f t="shared" si="23"/>
        <v>46226</v>
      </c>
      <c r="I72" s="205">
        <f t="shared" si="24"/>
        <v>90</v>
      </c>
      <c r="J72" s="206">
        <f t="shared" si="25"/>
        <v>1.9815059445178336</v>
      </c>
      <c r="K72" s="205">
        <f t="shared" si="26"/>
        <v>2</v>
      </c>
      <c r="L72" s="206">
        <f t="shared" si="27"/>
        <v>2.2222222222222223</v>
      </c>
      <c r="M72" s="8" t="str">
        <f t="array" ref="M72">IF(L72&gt;5,"Perlu Sensus",IF(AND(L72&gt;=0,I72&gt;0),"Tetap Deteksi","Belum Deteksi"))</f>
        <v>Tetap Deteksi</v>
      </c>
      <c r="N72" s="11">
        <f t="array" ref="N72">INDEX('[29]REKAP '!$F$9:$F$82,MATCH(1,('[29]REKAP '!$E$9:$E$82=$D72)*('[29]REKAP '!$E$9:$E$82=$D72),0))</f>
        <v>46226</v>
      </c>
      <c r="O72" s="143">
        <f t="array" ref="O72">INDEX('[29]REKAP '!$H$9:$H$82,MATCH(1,('[29]REKAP '!$E$9:$E$82=$D72)*('[29]REKAP '!$E$9:$E$82=$D72),0))</f>
        <v>90</v>
      </c>
      <c r="P72" s="9">
        <f t="shared" si="16"/>
        <v>1.9815059445178336</v>
      </c>
      <c r="Q72" s="143">
        <f t="array" ref="Q72">INDEX('[29]REKAP '!$J$9:$J$82,MATCH(1,('[29]REKAP '!$E$9:$E$82=$D72)*('[29]REKAP '!$E$9:$E$82=$D72),0))</f>
        <v>2</v>
      </c>
      <c r="R72" s="9">
        <f t="shared" si="17"/>
        <v>2.2222222222222223</v>
      </c>
      <c r="S72" s="8" t="str">
        <f t="shared" si="18"/>
        <v>Tetap Deteksi</v>
      </c>
      <c r="T72" s="143">
        <f t="array" ref="T72">INDEX('[29]REKAP '!$M$9:$M$82,MATCH(1,('[29]REKAP '!$E$9:$E$82=$D72)*('[29]REKAP '!$E$9:$E$82=$D72),0))</f>
        <v>14</v>
      </c>
      <c r="U72" s="9">
        <f t="shared" si="19"/>
        <v>15.555555555555555</v>
      </c>
      <c r="V72" s="11">
        <f t="array" ref="V72">INDEX('[30]Rekap Tgl BKP JJG (2)'!$G$9:$G$82,MATCH(1,('[30]Rekap Tgl BKP JJG (2)'!$E$9:$E$82=$D72)*('[30]Rekap Tgl BKP JJG (2)'!$E$9:$E$82=$D72),0))</f>
        <v>46239</v>
      </c>
      <c r="W72" s="203">
        <f t="array" ref="W72">INDEX('[30]Rekap Tgl BKP JJG (2)'!$I$9:$I$82,MATCH(1,('[30]Rekap Tgl BKP JJG (2)'!$E$9:$E$82=$D72)*('[30]Rekap Tgl BKP JJG (2)'!$E$9:$E$82=$D72),0))</f>
        <v>932</v>
      </c>
      <c r="X72" s="203">
        <f t="array" ref="X72">INDEX('[30]Rekap Tgl BKP JJG (2)'!$K$9:$K$82,MATCH(1,('[30]Rekap Tgl BKP JJG (2)'!$E$9:$E$82=$D72)*('[30]Rekap Tgl BKP JJG (2)'!$E$9:$E$82=$D72),0))</f>
        <v>22</v>
      </c>
      <c r="Y72" s="9">
        <f t="shared" si="20"/>
        <v>2.3605150214592276</v>
      </c>
      <c r="Z72" s="8" t="str">
        <f t="shared" si="21"/>
        <v>Tetap Deteksi</v>
      </c>
      <c r="AA72" s="203">
        <f t="array" ref="AA72">INDEX('[30]Rekap Tgl BKP JJG (2)'!$N$9:$N$82,MATCH(1,('[30]Rekap Tgl BKP JJG (2)'!$E$9:$E$82=$D72)*('[30]Rekap Tgl BKP JJG (2)'!$E$9:$E$82=$D72),0))</f>
        <v>164</v>
      </c>
      <c r="AB72" s="9">
        <f t="shared" si="22"/>
        <v>17.596566523605151</v>
      </c>
    </row>
    <row r="73" spans="1:28" outlineLevel="1" x14ac:dyDescent="0.15">
      <c r="A73" s="8" t="s">
        <v>1927</v>
      </c>
      <c r="B73" s="8"/>
      <c r="C73" s="8" t="s">
        <v>1937</v>
      </c>
      <c r="D73" s="181" t="s">
        <v>1941</v>
      </c>
      <c r="E73" s="9">
        <v>33.51</v>
      </c>
      <c r="F73" s="8" t="s">
        <v>1740</v>
      </c>
      <c r="G73" s="10">
        <v>4098</v>
      </c>
      <c r="H73" s="204">
        <f t="shared" si="23"/>
        <v>46205</v>
      </c>
      <c r="I73" s="205">
        <f t="shared" si="24"/>
        <v>140</v>
      </c>
      <c r="J73" s="206">
        <f t="shared" si="25"/>
        <v>3.4163006344558324</v>
      </c>
      <c r="K73" s="205">
        <f t="shared" si="26"/>
        <v>4</v>
      </c>
      <c r="L73" s="206">
        <f t="shared" si="27"/>
        <v>2.8571428571428572</v>
      </c>
      <c r="M73" s="8" t="str">
        <f t="array" ref="M73">IF(L73&gt;5,"Perlu Sensus",IF(AND(L73&gt;=0,I73&gt;0),"Tetap Deteksi","Belum Deteksi"))</f>
        <v>Tetap Deteksi</v>
      </c>
      <c r="N73" s="11">
        <f t="array" ref="N73">INDEX('[29]REKAP '!$F$9:$F$82,MATCH(1,('[29]REKAP '!$E$9:$E$82=$D73)*('[29]REKAP '!$E$9:$E$82=$D73),0))</f>
        <v>46205</v>
      </c>
      <c r="O73" s="143">
        <f t="array" ref="O73">INDEX('[29]REKAP '!$H$9:$H$82,MATCH(1,('[29]REKAP '!$E$9:$E$82=$D73)*('[29]REKAP '!$E$9:$E$82=$D73),0))</f>
        <v>140</v>
      </c>
      <c r="P73" s="9">
        <f t="shared" si="16"/>
        <v>3.4163006344558324</v>
      </c>
      <c r="Q73" s="143">
        <f t="array" ref="Q73">INDEX('[29]REKAP '!$J$9:$J$82,MATCH(1,('[29]REKAP '!$E$9:$E$82=$D73)*('[29]REKAP '!$E$9:$E$82=$D73),0))</f>
        <v>4</v>
      </c>
      <c r="R73" s="9">
        <f t="shared" si="17"/>
        <v>2.8571428571428572</v>
      </c>
      <c r="S73" s="8" t="str">
        <f t="shared" si="18"/>
        <v>Tetap Deteksi</v>
      </c>
      <c r="T73" s="143">
        <f t="array" ref="T73">INDEX('[29]REKAP '!$M$9:$M$82,MATCH(1,('[29]REKAP '!$E$9:$E$82=$D73)*('[29]REKAP '!$E$9:$E$82=$D73),0))</f>
        <v>128</v>
      </c>
      <c r="U73" s="9">
        <f t="shared" si="19"/>
        <v>91.428571428571431</v>
      </c>
      <c r="V73" s="11">
        <f t="array" ref="V73">INDEX('[30]Rekap Tgl BKP JJG (2)'!$G$9:$G$82,MATCH(1,('[30]Rekap Tgl BKP JJG (2)'!$E$9:$E$82=$D73)*('[30]Rekap Tgl BKP JJG (2)'!$E$9:$E$82=$D73),0))</f>
        <v>46249</v>
      </c>
      <c r="W73" s="203">
        <f t="array" ref="W73">INDEX('[30]Rekap Tgl BKP JJG (2)'!$I$9:$I$82,MATCH(1,('[30]Rekap Tgl BKP JJG (2)'!$E$9:$E$82=$D73)*('[30]Rekap Tgl BKP JJG (2)'!$E$9:$E$82=$D73),0))</f>
        <v>582</v>
      </c>
      <c r="X73" s="203">
        <f t="array" ref="X73">INDEX('[30]Rekap Tgl BKP JJG (2)'!$K$9:$K$82,MATCH(1,('[30]Rekap Tgl BKP JJG (2)'!$E$9:$E$82=$D73)*('[30]Rekap Tgl BKP JJG (2)'!$E$9:$E$82=$D73),0))</f>
        <v>12</v>
      </c>
      <c r="Y73" s="9">
        <f t="shared" si="20"/>
        <v>2.0618556701030926</v>
      </c>
      <c r="Z73" s="8" t="str">
        <f t="shared" si="21"/>
        <v>Tetap Deteksi</v>
      </c>
      <c r="AA73" s="203">
        <f t="array" ref="AA73">INDEX('[30]Rekap Tgl BKP JJG (2)'!$N$9:$N$82,MATCH(1,('[30]Rekap Tgl BKP JJG (2)'!$E$9:$E$82=$D73)*('[30]Rekap Tgl BKP JJG (2)'!$E$9:$E$82=$D73),0))</f>
        <v>105</v>
      </c>
      <c r="AB73" s="9">
        <f t="shared" si="22"/>
        <v>18.041237113402062</v>
      </c>
    </row>
    <row r="74" spans="1:28" outlineLevel="1" x14ac:dyDescent="0.15">
      <c r="A74" s="8" t="s">
        <v>1927</v>
      </c>
      <c r="B74" s="8"/>
      <c r="C74" s="8" t="s">
        <v>1937</v>
      </c>
      <c r="D74" s="181" t="s">
        <v>1942</v>
      </c>
      <c r="E74" s="9">
        <v>18.8</v>
      </c>
      <c r="F74" s="8" t="s">
        <v>1740</v>
      </c>
      <c r="G74" s="10">
        <v>2555.0000000000005</v>
      </c>
      <c r="H74" s="204">
        <f t="shared" si="23"/>
        <v>46211</v>
      </c>
      <c r="I74" s="205">
        <f t="shared" si="24"/>
        <v>116</v>
      </c>
      <c r="J74" s="206">
        <f t="shared" si="25"/>
        <v>4.5401174168297445</v>
      </c>
      <c r="K74" s="205">
        <f t="shared" si="26"/>
        <v>4</v>
      </c>
      <c r="L74" s="206">
        <f t="shared" si="27"/>
        <v>3.4482758620689653</v>
      </c>
      <c r="M74" s="8" t="str">
        <f t="array" ref="M74">IF(L74&gt;5,"Perlu Sensus",IF(AND(L74&gt;=0,I74&gt;0),"Tetap Deteksi","Belum Deteksi"))</f>
        <v>Tetap Deteksi</v>
      </c>
      <c r="N74" s="11">
        <f t="array" ref="N74">INDEX('[29]REKAP '!$F$9:$F$82,MATCH(1,('[29]REKAP '!$E$9:$E$82=$D74)*('[29]REKAP '!$E$9:$E$82=$D74),0))</f>
        <v>46211</v>
      </c>
      <c r="O74" s="143">
        <f t="array" ref="O74">INDEX('[29]REKAP '!$H$9:$H$82,MATCH(1,('[29]REKAP '!$E$9:$E$82=$D74)*('[29]REKAP '!$E$9:$E$82=$D74),0))</f>
        <v>116</v>
      </c>
      <c r="P74" s="9">
        <f t="shared" si="16"/>
        <v>4.5401174168297445</v>
      </c>
      <c r="Q74" s="143">
        <f t="array" ref="Q74">INDEX('[29]REKAP '!$J$9:$J$82,MATCH(1,('[29]REKAP '!$E$9:$E$82=$D74)*('[29]REKAP '!$E$9:$E$82=$D74),0))</f>
        <v>4</v>
      </c>
      <c r="R74" s="9">
        <f t="shared" si="17"/>
        <v>3.4482758620689653</v>
      </c>
      <c r="S74" s="8" t="str">
        <f t="shared" si="18"/>
        <v>Tetap Deteksi</v>
      </c>
      <c r="T74" s="143">
        <f t="array" ref="T74">INDEX('[29]REKAP '!$M$9:$M$82,MATCH(1,('[29]REKAP '!$E$9:$E$82=$D74)*('[29]REKAP '!$E$9:$E$82=$D74),0))</f>
        <v>23</v>
      </c>
      <c r="U74" s="9">
        <f t="shared" si="19"/>
        <v>19.827586206896552</v>
      </c>
      <c r="V74" s="11">
        <f t="array" ref="V74">INDEX('[30]Rekap Tgl BKP JJG (2)'!$G$9:$G$82,MATCH(1,('[30]Rekap Tgl BKP JJG (2)'!$E$9:$E$82=$D74)*('[30]Rekap Tgl BKP JJG (2)'!$E$9:$E$82=$D74),0))</f>
        <v>46249</v>
      </c>
      <c r="W74" s="203">
        <f t="array" ref="W74">INDEX('[30]Rekap Tgl BKP JJG (2)'!$I$9:$I$82,MATCH(1,('[30]Rekap Tgl BKP JJG (2)'!$E$9:$E$82=$D74)*('[30]Rekap Tgl BKP JJG (2)'!$E$9:$E$82=$D74),0))</f>
        <v>544</v>
      </c>
      <c r="X74" s="203">
        <f t="array" ref="X74">INDEX('[30]Rekap Tgl BKP JJG (2)'!$K$9:$K$82,MATCH(1,('[30]Rekap Tgl BKP JJG (2)'!$E$9:$E$82=$D74)*('[30]Rekap Tgl BKP JJG (2)'!$E$9:$E$82=$D74),0))</f>
        <v>11</v>
      </c>
      <c r="Y74" s="9">
        <f t="shared" si="20"/>
        <v>2.0220588235294117</v>
      </c>
      <c r="Z74" s="8" t="str">
        <f t="shared" si="21"/>
        <v>Tetap Deteksi</v>
      </c>
      <c r="AA74" s="203">
        <f t="array" ref="AA74">INDEX('[30]Rekap Tgl BKP JJG (2)'!$N$9:$N$82,MATCH(1,('[30]Rekap Tgl BKP JJG (2)'!$E$9:$E$82=$D74)*('[30]Rekap Tgl BKP JJG (2)'!$E$9:$E$82=$D74),0))</f>
        <v>89</v>
      </c>
      <c r="AB74" s="9">
        <f t="shared" si="22"/>
        <v>16.360294117647058</v>
      </c>
    </row>
    <row r="75" spans="1:28" outlineLevel="1" x14ac:dyDescent="0.15">
      <c r="A75" s="8" t="s">
        <v>1927</v>
      </c>
      <c r="B75" s="8"/>
      <c r="C75" s="8" t="s">
        <v>1937</v>
      </c>
      <c r="D75" s="186" t="s">
        <v>1943</v>
      </c>
      <c r="E75" s="9">
        <v>39.590000000000003</v>
      </c>
      <c r="F75" s="8" t="s">
        <v>1740</v>
      </c>
      <c r="G75" s="10">
        <v>5106</v>
      </c>
      <c r="H75" s="204">
        <f t="shared" si="23"/>
        <v>46211</v>
      </c>
      <c r="I75" s="205">
        <f t="shared" si="24"/>
        <v>134</v>
      </c>
      <c r="J75" s="206">
        <f t="shared" si="25"/>
        <v>2.624363493928711</v>
      </c>
      <c r="K75" s="205">
        <f t="shared" si="26"/>
        <v>5</v>
      </c>
      <c r="L75" s="206">
        <f t="shared" si="27"/>
        <v>3.7313432835820892</v>
      </c>
      <c r="M75" s="8" t="str">
        <f t="array" ref="M75">IF(L75&gt;5,"Perlu Sensus",IF(AND(L75&gt;=0,I75&gt;0),"Tetap Deteksi","Belum Deteksi"))</f>
        <v>Tetap Deteksi</v>
      </c>
      <c r="N75" s="11">
        <f t="array" ref="N75">INDEX('[29]REKAP '!$F$9:$F$82,MATCH(1,('[29]REKAP '!$E$9:$E$82=$D75)*('[29]REKAP '!$E$9:$E$82=$D75),0))</f>
        <v>46211</v>
      </c>
      <c r="O75" s="143">
        <f t="array" ref="O75">INDEX('[29]REKAP '!$H$9:$H$82,MATCH(1,('[29]REKAP '!$E$9:$E$82=$D75)*('[29]REKAP '!$E$9:$E$82=$D75),0))</f>
        <v>134</v>
      </c>
      <c r="P75" s="9">
        <f t="shared" si="16"/>
        <v>2.624363493928711</v>
      </c>
      <c r="Q75" s="143">
        <f t="array" ref="Q75">INDEX('[29]REKAP '!$J$9:$J$82,MATCH(1,('[29]REKAP '!$E$9:$E$82=$D75)*('[29]REKAP '!$E$9:$E$82=$D75),0))</f>
        <v>5</v>
      </c>
      <c r="R75" s="9">
        <f t="shared" si="17"/>
        <v>3.7313432835820892</v>
      </c>
      <c r="S75" s="8" t="str">
        <f t="shared" si="18"/>
        <v>Tetap Deteksi</v>
      </c>
      <c r="T75" s="143">
        <f t="array" ref="T75">INDEX('[29]REKAP '!$M$9:$M$82,MATCH(1,('[29]REKAP '!$E$9:$E$82=$D75)*('[29]REKAP '!$E$9:$E$82=$D75),0))</f>
        <v>28</v>
      </c>
      <c r="U75" s="9">
        <f t="shared" si="19"/>
        <v>20.8955223880597</v>
      </c>
      <c r="V75" s="11">
        <f t="array" ref="V75">INDEX('[30]Rekap Tgl BKP JJG (2)'!$G$9:$G$82,MATCH(1,('[30]Rekap Tgl BKP JJG (2)'!$E$9:$E$82=$D75)*('[30]Rekap Tgl BKP JJG (2)'!$E$9:$E$82=$D75),0))</f>
        <v>46244</v>
      </c>
      <c r="W75" s="203">
        <f t="array" ref="W75">INDEX('[30]Rekap Tgl BKP JJG (2)'!$I$9:$I$82,MATCH(1,('[30]Rekap Tgl BKP JJG (2)'!$E$9:$E$82=$D75)*('[30]Rekap Tgl BKP JJG (2)'!$E$9:$E$82=$D75),0))</f>
        <v>1747</v>
      </c>
      <c r="X75" s="203">
        <f t="array" ref="X75">INDEX('[30]Rekap Tgl BKP JJG (2)'!$K$9:$K$82,MATCH(1,('[30]Rekap Tgl BKP JJG (2)'!$E$9:$E$82=$D75)*('[30]Rekap Tgl BKP JJG (2)'!$E$9:$E$82=$D75),0))</f>
        <v>42</v>
      </c>
      <c r="Y75" s="9">
        <f t="shared" si="20"/>
        <v>2.4041213508872352</v>
      </c>
      <c r="Z75" s="8" t="str">
        <f t="shared" si="21"/>
        <v>Tetap Deteksi</v>
      </c>
      <c r="AA75" s="203">
        <f t="array" ref="AA75">INDEX('[30]Rekap Tgl BKP JJG (2)'!$N$9:$N$82,MATCH(1,('[30]Rekap Tgl BKP JJG (2)'!$E$9:$E$82=$D75)*('[30]Rekap Tgl BKP JJG (2)'!$E$9:$E$82=$D75),0))</f>
        <v>340</v>
      </c>
      <c r="AB75" s="9">
        <f t="shared" si="22"/>
        <v>19.461934745277617</v>
      </c>
    </row>
    <row r="76" spans="1:28" outlineLevel="1" x14ac:dyDescent="0.15">
      <c r="A76" s="8" t="s">
        <v>1927</v>
      </c>
      <c r="B76" s="8"/>
      <c r="C76" s="8" t="s">
        <v>1937</v>
      </c>
      <c r="D76" s="186" t="s">
        <v>1944</v>
      </c>
      <c r="E76" s="9">
        <v>24.709999999999997</v>
      </c>
      <c r="F76" s="8" t="s">
        <v>1740</v>
      </c>
      <c r="G76" s="10">
        <v>3060</v>
      </c>
      <c r="H76" s="204">
        <f t="shared" si="23"/>
        <v>46227</v>
      </c>
      <c r="I76" s="205">
        <f t="shared" si="24"/>
        <v>123</v>
      </c>
      <c r="J76" s="206">
        <f t="shared" si="25"/>
        <v>4.0196078431372548</v>
      </c>
      <c r="K76" s="205">
        <f t="shared" si="26"/>
        <v>1</v>
      </c>
      <c r="L76" s="206">
        <f t="shared" si="27"/>
        <v>0.81300813008130091</v>
      </c>
      <c r="M76" s="8" t="str">
        <f t="array" ref="M76">IF(L76&gt;5,"Perlu Sensus",IF(AND(L76&gt;=0,I76&gt;0),"Tetap Deteksi","Belum Deteksi"))</f>
        <v>Tetap Deteksi</v>
      </c>
      <c r="N76" s="11">
        <f t="array" ref="N76">INDEX('[29]REKAP '!$F$9:$F$82,MATCH(1,('[29]REKAP '!$E$9:$E$82=$D76)*('[29]REKAP '!$E$9:$E$82=$D76),0))</f>
        <v>46227</v>
      </c>
      <c r="O76" s="143">
        <f t="array" ref="O76">INDEX('[29]REKAP '!$H$9:$H$82,MATCH(1,('[29]REKAP '!$E$9:$E$82=$D76)*('[29]REKAP '!$E$9:$E$82=$D76),0))</f>
        <v>123</v>
      </c>
      <c r="P76" s="9">
        <f t="shared" si="16"/>
        <v>4.0196078431372548</v>
      </c>
      <c r="Q76" s="143">
        <f t="array" ref="Q76">INDEX('[29]REKAP '!$J$9:$J$82,MATCH(1,('[29]REKAP '!$E$9:$E$82=$D76)*('[29]REKAP '!$E$9:$E$82=$D76),0))</f>
        <v>1</v>
      </c>
      <c r="R76" s="9">
        <f t="shared" si="17"/>
        <v>0.81300813008130091</v>
      </c>
      <c r="S76" s="8" t="str">
        <f t="shared" si="18"/>
        <v>Tetap Deteksi</v>
      </c>
      <c r="T76" s="143">
        <f t="array" ref="T76">INDEX('[29]REKAP '!$M$9:$M$82,MATCH(1,('[29]REKAP '!$E$9:$E$82=$D76)*('[29]REKAP '!$E$9:$E$82=$D76),0))</f>
        <v>7</v>
      </c>
      <c r="U76" s="9">
        <f t="shared" si="19"/>
        <v>5.6910569105691051</v>
      </c>
      <c r="V76" s="11">
        <f t="array" ref="V76">INDEX('[30]Rekap Tgl BKP JJG (2)'!$G$9:$G$82,MATCH(1,('[30]Rekap Tgl BKP JJG (2)'!$E$9:$E$82=$D76)*('[30]Rekap Tgl BKP JJG (2)'!$E$9:$E$82=$D76),0))</f>
        <v>46235</v>
      </c>
      <c r="W76" s="203">
        <f t="array" ref="W76">INDEX('[30]Rekap Tgl BKP JJG (2)'!$I$9:$I$82,MATCH(1,('[30]Rekap Tgl BKP JJG (2)'!$E$9:$E$82=$D76)*('[30]Rekap Tgl BKP JJG (2)'!$E$9:$E$82=$D76),0))</f>
        <v>450</v>
      </c>
      <c r="X76" s="203">
        <f t="array" ref="X76">INDEX('[30]Rekap Tgl BKP JJG (2)'!$K$9:$K$82,MATCH(1,('[30]Rekap Tgl BKP JJG (2)'!$E$9:$E$82=$D76)*('[30]Rekap Tgl BKP JJG (2)'!$E$9:$E$82=$D76),0))</f>
        <v>15</v>
      </c>
      <c r="Y76" s="9">
        <f t="shared" si="20"/>
        <v>3.3333333333333335</v>
      </c>
      <c r="Z76" s="8" t="str">
        <f t="shared" si="21"/>
        <v>Tetap Deteksi</v>
      </c>
      <c r="AA76" s="203">
        <f t="array" ref="AA76">INDEX('[30]Rekap Tgl BKP JJG (2)'!$N$9:$N$82,MATCH(1,('[30]Rekap Tgl BKP JJG (2)'!$E$9:$E$82=$D76)*('[30]Rekap Tgl BKP JJG (2)'!$E$9:$E$82=$D76),0))</f>
        <v>78</v>
      </c>
      <c r="AB76" s="9">
        <f t="shared" si="22"/>
        <v>17.333333333333336</v>
      </c>
    </row>
    <row r="77" spans="1:28" outlineLevel="1" x14ac:dyDescent="0.15">
      <c r="A77" s="8" t="s">
        <v>1927</v>
      </c>
      <c r="B77" s="8"/>
      <c r="C77" s="8" t="s">
        <v>1937</v>
      </c>
      <c r="D77" s="186" t="s">
        <v>1945</v>
      </c>
      <c r="E77" s="9">
        <v>28.72</v>
      </c>
      <c r="F77" s="8" t="s">
        <v>1740</v>
      </c>
      <c r="G77" s="10">
        <v>3648</v>
      </c>
      <c r="H77" s="204">
        <f t="shared" si="23"/>
        <v>46204</v>
      </c>
      <c r="I77" s="205">
        <f t="shared" si="24"/>
        <v>121</v>
      </c>
      <c r="J77" s="206">
        <f t="shared" si="25"/>
        <v>3.3168859649122808</v>
      </c>
      <c r="K77" s="205">
        <f t="shared" si="26"/>
        <v>3</v>
      </c>
      <c r="L77" s="206">
        <f t="shared" si="27"/>
        <v>2.4793388429752068</v>
      </c>
      <c r="M77" s="8" t="str">
        <f t="array" ref="M77">IF(L77&gt;5,"Perlu Sensus",IF(AND(L77&gt;=0,I77&gt;0),"Tetap Deteksi","Belum Deteksi"))</f>
        <v>Tetap Deteksi</v>
      </c>
      <c r="N77" s="11">
        <f t="array" ref="N77">INDEX('[29]REKAP '!$F$9:$F$82,MATCH(1,('[29]REKAP '!$E$9:$E$82=$D77)*('[29]REKAP '!$E$9:$E$82=$D77),0))</f>
        <v>46204</v>
      </c>
      <c r="O77" s="143">
        <f t="array" ref="O77">INDEX('[29]REKAP '!$H$9:$H$82,MATCH(1,('[29]REKAP '!$E$9:$E$82=$D77)*('[29]REKAP '!$E$9:$E$82=$D77),0))</f>
        <v>121</v>
      </c>
      <c r="P77" s="9">
        <f t="shared" si="16"/>
        <v>3.3168859649122808</v>
      </c>
      <c r="Q77" s="143">
        <f t="array" ref="Q77">INDEX('[29]REKAP '!$J$9:$J$82,MATCH(1,('[29]REKAP '!$E$9:$E$82=$D77)*('[29]REKAP '!$E$9:$E$82=$D77),0))</f>
        <v>3</v>
      </c>
      <c r="R77" s="9">
        <f t="shared" si="17"/>
        <v>2.4793388429752068</v>
      </c>
      <c r="S77" s="8" t="str">
        <f t="shared" si="18"/>
        <v>Tetap Deteksi</v>
      </c>
      <c r="T77" s="143">
        <f t="array" ref="T77">INDEX('[29]REKAP '!$M$9:$M$82,MATCH(1,('[29]REKAP '!$E$9:$E$82=$D77)*('[29]REKAP '!$E$9:$E$82=$D77),0))</f>
        <v>19</v>
      </c>
      <c r="U77" s="9">
        <f t="shared" si="19"/>
        <v>15.702479338842975</v>
      </c>
      <c r="V77" s="11">
        <f t="array" ref="V77">INDEX('[30]Rekap Tgl BKP JJG (2)'!$G$9:$G$82,MATCH(1,('[30]Rekap Tgl BKP JJG (2)'!$E$9:$E$82=$D77)*('[30]Rekap Tgl BKP JJG (2)'!$E$9:$E$82=$D77),0))</f>
        <v>46246</v>
      </c>
      <c r="W77" s="203">
        <f t="array" ref="W77">INDEX('[30]Rekap Tgl BKP JJG (2)'!$I$9:$I$82,MATCH(1,('[30]Rekap Tgl BKP JJG (2)'!$E$9:$E$82=$D77)*('[30]Rekap Tgl BKP JJG (2)'!$E$9:$E$82=$D77),0))</f>
        <v>653</v>
      </c>
      <c r="X77" s="203">
        <f t="array" ref="X77">INDEX('[30]Rekap Tgl BKP JJG (2)'!$K$9:$K$82,MATCH(1,('[30]Rekap Tgl BKP JJG (2)'!$E$9:$E$82=$D77)*('[30]Rekap Tgl BKP JJG (2)'!$E$9:$E$82=$D77),0))</f>
        <v>12</v>
      </c>
      <c r="Y77" s="9">
        <f t="shared" si="20"/>
        <v>1.8376722817764166</v>
      </c>
      <c r="Z77" s="8" t="str">
        <f t="shared" si="21"/>
        <v>Tetap Deteksi</v>
      </c>
      <c r="AA77" s="203">
        <f t="array" ref="AA77">INDEX('[30]Rekap Tgl BKP JJG (2)'!$N$9:$N$82,MATCH(1,('[30]Rekap Tgl BKP JJG (2)'!$E$9:$E$82=$D77)*('[30]Rekap Tgl BKP JJG (2)'!$E$9:$E$82=$D77),0))</f>
        <v>113</v>
      </c>
      <c r="AB77" s="9">
        <f t="shared" si="22"/>
        <v>17.304747320061256</v>
      </c>
    </row>
    <row r="78" spans="1:28" outlineLevel="1" x14ac:dyDescent="0.15">
      <c r="A78" s="8" t="s">
        <v>1927</v>
      </c>
      <c r="B78" s="8"/>
      <c r="C78" s="8" t="s">
        <v>1937</v>
      </c>
      <c r="D78" s="8" t="s">
        <v>1946</v>
      </c>
      <c r="E78" s="9">
        <v>28.18</v>
      </c>
      <c r="F78" s="8" t="s">
        <v>1740</v>
      </c>
      <c r="G78" s="10">
        <v>3574</v>
      </c>
      <c r="H78" s="132">
        <f t="shared" si="23"/>
        <v>46217</v>
      </c>
      <c r="I78" s="205">
        <f t="shared" si="24"/>
        <v>131</v>
      </c>
      <c r="J78" s="206">
        <f t="shared" si="25"/>
        <v>3.6653609401231115</v>
      </c>
      <c r="K78" s="205">
        <f t="shared" si="26"/>
        <v>4</v>
      </c>
      <c r="L78" s="206">
        <f t="shared" si="27"/>
        <v>3.0534351145038165</v>
      </c>
      <c r="M78" s="8" t="str">
        <f t="array" ref="M78">IF(L78&gt;5,"Perlu Sensus",IF(AND(L78&gt;=0,I78&gt;0),"Tetap Deteksi","Belum Deteksi"))</f>
        <v>Tetap Deteksi</v>
      </c>
      <c r="N78" s="11">
        <f t="array" ref="N78">INDEX('[29]REKAP '!$F$9:$F$82,MATCH(1,('[29]REKAP '!$E$9:$E$82=$D78)*('[29]REKAP '!$E$9:$E$82=$D78),0))</f>
        <v>46217</v>
      </c>
      <c r="O78" s="143">
        <f t="array" ref="O78">INDEX('[29]REKAP '!$H$9:$H$82,MATCH(1,('[29]REKAP '!$E$9:$E$82=$D78)*('[29]REKAP '!$E$9:$E$82=$D78),0))</f>
        <v>131</v>
      </c>
      <c r="P78" s="9">
        <f t="shared" si="16"/>
        <v>3.6653609401231115</v>
      </c>
      <c r="Q78" s="143">
        <f t="array" ref="Q78">INDEX('[29]REKAP '!$J$9:$J$82,MATCH(1,('[29]REKAP '!$E$9:$E$82=$D78)*('[29]REKAP '!$E$9:$E$82=$D78),0))</f>
        <v>4</v>
      </c>
      <c r="R78" s="9">
        <f t="shared" si="17"/>
        <v>3.0534351145038165</v>
      </c>
      <c r="S78" s="8" t="str">
        <f t="shared" si="18"/>
        <v>Tetap Deteksi</v>
      </c>
      <c r="T78" s="143">
        <f t="array" ref="T78">INDEX('[29]REKAP '!$M$9:$M$82,MATCH(1,('[29]REKAP '!$E$9:$E$82=$D78)*('[29]REKAP '!$E$9:$E$82=$D78),0))</f>
        <v>29</v>
      </c>
      <c r="U78" s="9">
        <f t="shared" si="19"/>
        <v>22.137404580152673</v>
      </c>
      <c r="V78" s="11">
        <f t="array" ref="V78">INDEX('[30]Rekap Tgl BKP JJG (2)'!$G$9:$G$82,MATCH(1,('[30]Rekap Tgl BKP JJG (2)'!$E$9:$E$82=$D78)*('[30]Rekap Tgl BKP JJG (2)'!$E$9:$E$82=$D78),0))</f>
        <v>46244</v>
      </c>
      <c r="W78" s="203">
        <f t="array" ref="W78">INDEX('[30]Rekap Tgl BKP JJG (2)'!$I$9:$I$82,MATCH(1,('[30]Rekap Tgl BKP JJG (2)'!$E$9:$E$82=$D78)*('[30]Rekap Tgl BKP JJG (2)'!$E$9:$E$82=$D78),0))</f>
        <v>453</v>
      </c>
      <c r="X78" s="203">
        <f t="array" ref="X78">INDEX('[30]Rekap Tgl BKP JJG (2)'!$K$9:$K$82,MATCH(1,('[30]Rekap Tgl BKP JJG (2)'!$E$9:$E$82=$D78)*('[30]Rekap Tgl BKP JJG (2)'!$E$9:$E$82=$D78),0))</f>
        <v>9</v>
      </c>
      <c r="Y78" s="9">
        <f t="shared" si="20"/>
        <v>1.9867549668874174</v>
      </c>
      <c r="Z78" s="8" t="str">
        <f t="shared" si="21"/>
        <v>Tetap Deteksi</v>
      </c>
      <c r="AA78" s="203">
        <f t="array" ref="AA78">INDEX('[30]Rekap Tgl BKP JJG (2)'!$N$9:$N$82,MATCH(1,('[30]Rekap Tgl BKP JJG (2)'!$E$9:$E$82=$D78)*('[30]Rekap Tgl BKP JJG (2)'!$E$9:$E$82=$D78),0))</f>
        <v>76</v>
      </c>
      <c r="AB78" s="9">
        <f t="shared" si="22"/>
        <v>16.777041942604857</v>
      </c>
    </row>
    <row r="79" spans="1:28" outlineLevel="1" x14ac:dyDescent="0.15">
      <c r="A79" s="8" t="s">
        <v>1927</v>
      </c>
      <c r="B79" s="8"/>
      <c r="C79" s="8" t="s">
        <v>1937</v>
      </c>
      <c r="D79" s="186" t="s">
        <v>1947</v>
      </c>
      <c r="E79" s="9">
        <v>30.74</v>
      </c>
      <c r="F79" s="8" t="s">
        <v>1740</v>
      </c>
      <c r="G79" s="10">
        <v>3920</v>
      </c>
      <c r="H79" s="204">
        <f t="shared" si="23"/>
        <v>46205</v>
      </c>
      <c r="I79" s="205">
        <f t="shared" si="24"/>
        <v>116</v>
      </c>
      <c r="J79" s="206">
        <f t="shared" si="25"/>
        <v>2.9591836734693877</v>
      </c>
      <c r="K79" s="205">
        <f t="shared" si="26"/>
        <v>4</v>
      </c>
      <c r="L79" s="206">
        <f t="shared" si="27"/>
        <v>3.4482758620689653</v>
      </c>
      <c r="M79" s="8" t="str">
        <f t="array" ref="M79">IF(L79&gt;5,"Perlu Sensus",IF(AND(L79&gt;=0,I79&gt;0),"Tetap Deteksi","Belum Deteksi"))</f>
        <v>Tetap Deteksi</v>
      </c>
      <c r="N79" s="11">
        <f t="array" ref="N79">INDEX('[29]REKAP '!$F$9:$F$82,MATCH(1,('[29]REKAP '!$E$9:$E$82=$D79)*('[29]REKAP '!$E$9:$E$82=$D79),0))</f>
        <v>46205</v>
      </c>
      <c r="O79" s="143">
        <f t="array" ref="O79">INDEX('[29]REKAP '!$H$9:$H$82,MATCH(1,('[29]REKAP '!$E$9:$E$82=$D79)*('[29]REKAP '!$E$9:$E$82=$D79),0))</f>
        <v>116</v>
      </c>
      <c r="P79" s="9">
        <f t="shared" si="16"/>
        <v>2.9591836734693877</v>
      </c>
      <c r="Q79" s="143">
        <f t="array" ref="Q79">INDEX('[29]REKAP '!$J$9:$J$82,MATCH(1,('[29]REKAP '!$E$9:$E$82=$D79)*('[29]REKAP '!$E$9:$E$82=$D79),0))</f>
        <v>4</v>
      </c>
      <c r="R79" s="9">
        <f t="shared" si="17"/>
        <v>3.4482758620689653</v>
      </c>
      <c r="S79" s="8" t="str">
        <f t="shared" si="18"/>
        <v>Tetap Deteksi</v>
      </c>
      <c r="T79" s="143">
        <f t="array" ref="T79">INDEX('[29]REKAP '!$M$9:$M$82,MATCH(1,('[29]REKAP '!$E$9:$E$82=$D79)*('[29]REKAP '!$E$9:$E$82=$D79),0))</f>
        <v>26</v>
      </c>
      <c r="U79" s="9">
        <f t="shared" si="19"/>
        <v>22.413793103448278</v>
      </c>
      <c r="V79" s="11">
        <f t="array" ref="V79">INDEX('[30]Rekap Tgl BKP JJG (2)'!$G$9:$G$82,MATCH(1,('[30]Rekap Tgl BKP JJG (2)'!$E$9:$E$82=$D79)*('[30]Rekap Tgl BKP JJG (2)'!$E$9:$E$82=$D79),0))</f>
        <v>46239</v>
      </c>
      <c r="W79" s="203">
        <f t="array" ref="W79">INDEX('[30]Rekap Tgl BKP JJG (2)'!$I$9:$I$82,MATCH(1,('[30]Rekap Tgl BKP JJG (2)'!$E$9:$E$82=$D79)*('[30]Rekap Tgl BKP JJG (2)'!$E$9:$E$82=$D79),0))</f>
        <v>457</v>
      </c>
      <c r="X79" s="203">
        <f t="array" ref="X79">INDEX('[30]Rekap Tgl BKP JJG (2)'!$K$9:$K$82,MATCH(1,('[30]Rekap Tgl BKP JJG (2)'!$E$9:$E$82=$D79)*('[30]Rekap Tgl BKP JJG (2)'!$E$9:$E$82=$D79),0))</f>
        <v>13</v>
      </c>
      <c r="Y79" s="9">
        <f t="shared" si="20"/>
        <v>2.8446389496717726</v>
      </c>
      <c r="Z79" s="8" t="str">
        <f t="shared" si="21"/>
        <v>Tetap Deteksi</v>
      </c>
      <c r="AA79" s="203">
        <f t="array" ref="AA79">INDEX('[30]Rekap Tgl BKP JJG (2)'!$N$9:$N$82,MATCH(1,('[30]Rekap Tgl BKP JJG (2)'!$E$9:$E$82=$D79)*('[30]Rekap Tgl BKP JJG (2)'!$E$9:$E$82=$D79),0))</f>
        <v>78</v>
      </c>
      <c r="AB79" s="9">
        <f t="shared" si="22"/>
        <v>17.067833698030636</v>
      </c>
    </row>
    <row r="80" spans="1:28" outlineLevel="1" x14ac:dyDescent="0.15">
      <c r="A80" s="8" t="s">
        <v>1927</v>
      </c>
      <c r="B80" s="8"/>
      <c r="C80" s="8" t="s">
        <v>1937</v>
      </c>
      <c r="D80" s="8" t="s">
        <v>1948</v>
      </c>
      <c r="E80" s="9">
        <v>43.780000000000008</v>
      </c>
      <c r="F80" s="8" t="s">
        <v>1740</v>
      </c>
      <c r="G80" s="10">
        <v>4990</v>
      </c>
      <c r="H80" s="132">
        <f t="shared" si="23"/>
        <v>46224</v>
      </c>
      <c r="I80" s="205">
        <f t="shared" si="24"/>
        <v>143</v>
      </c>
      <c r="J80" s="206">
        <f t="shared" si="25"/>
        <v>2.8657314629258517</v>
      </c>
      <c r="K80" s="205">
        <f t="shared" si="26"/>
        <v>5</v>
      </c>
      <c r="L80" s="206">
        <f t="shared" si="27"/>
        <v>3.4965034965034967</v>
      </c>
      <c r="M80" s="8" t="str">
        <f t="array" ref="M80">IF(L80&gt;5,"Perlu Sensus",IF(AND(L80&gt;=0,I80&gt;0),"Tetap Deteksi","Belum Deteksi"))</f>
        <v>Tetap Deteksi</v>
      </c>
      <c r="N80" s="11">
        <f t="array" ref="N80">INDEX('[29]REKAP '!$F$9:$F$82,MATCH(1,('[29]REKAP '!$E$9:$E$82=$D80)*('[29]REKAP '!$E$9:$E$82=$D80),0))</f>
        <v>46224</v>
      </c>
      <c r="O80" s="143">
        <f t="array" ref="O80">INDEX('[29]REKAP '!$H$9:$H$82,MATCH(1,('[29]REKAP '!$E$9:$E$82=$D80)*('[29]REKAP '!$E$9:$E$82=$D80),0))</f>
        <v>143</v>
      </c>
      <c r="P80" s="9">
        <f t="shared" si="16"/>
        <v>2.8657314629258517</v>
      </c>
      <c r="Q80" s="143">
        <f t="array" ref="Q80">INDEX('[29]REKAP '!$J$9:$J$82,MATCH(1,('[29]REKAP '!$E$9:$E$82=$D80)*('[29]REKAP '!$E$9:$E$82=$D80),0))</f>
        <v>5</v>
      </c>
      <c r="R80" s="9">
        <f t="shared" si="17"/>
        <v>3.4965034965034967</v>
      </c>
      <c r="S80" s="8" t="str">
        <f t="shared" si="18"/>
        <v>Tetap Deteksi</v>
      </c>
      <c r="T80" s="143">
        <f t="array" ref="T80">INDEX('[29]REKAP '!$M$9:$M$82,MATCH(1,('[29]REKAP '!$E$9:$E$82=$D80)*('[29]REKAP '!$E$9:$E$82=$D80),0))</f>
        <v>11</v>
      </c>
      <c r="U80" s="9">
        <f t="shared" si="19"/>
        <v>7.6923076923076925</v>
      </c>
      <c r="V80" s="11">
        <f t="array" ref="V80">INDEX('[30]Rekap Tgl BKP JJG (2)'!$G$9:$G$82,MATCH(1,('[30]Rekap Tgl BKP JJG (2)'!$E$9:$E$82=$D80)*('[30]Rekap Tgl BKP JJG (2)'!$E$9:$E$82=$D80),0))</f>
        <v>0</v>
      </c>
      <c r="W80" s="203">
        <f t="array" ref="W80">INDEX('[30]Rekap Tgl BKP JJG (2)'!$I$9:$I$82,MATCH(1,('[30]Rekap Tgl BKP JJG (2)'!$E$9:$E$82=$D80)*('[30]Rekap Tgl BKP JJG (2)'!$E$9:$E$82=$D80),0))</f>
        <v>0</v>
      </c>
      <c r="X80" s="203">
        <f t="array" ref="X80">INDEX('[30]Rekap Tgl BKP JJG (2)'!$K$9:$K$82,MATCH(1,('[30]Rekap Tgl BKP JJG (2)'!$E$9:$E$82=$D80)*('[30]Rekap Tgl BKP JJG (2)'!$E$9:$E$82=$D80),0))</f>
        <v>0</v>
      </c>
      <c r="Y80" s="9">
        <f t="shared" si="20"/>
        <v>0</v>
      </c>
      <c r="Z80" s="8" t="str">
        <f t="shared" si="21"/>
        <v>Belum Deteksi</v>
      </c>
      <c r="AA80" s="203">
        <f t="array" ref="AA80">INDEX('[30]Rekap Tgl BKP JJG (2)'!$N$9:$N$82,MATCH(1,('[30]Rekap Tgl BKP JJG (2)'!$E$9:$E$82=$D80)*('[30]Rekap Tgl BKP JJG (2)'!$E$9:$E$82=$D80),0))</f>
        <v>0</v>
      </c>
      <c r="AB80" s="9">
        <f t="shared" si="22"/>
        <v>0</v>
      </c>
    </row>
    <row r="81" spans="1:28" outlineLevel="1" x14ac:dyDescent="0.15">
      <c r="A81" s="8" t="s">
        <v>1927</v>
      </c>
      <c r="B81" s="8"/>
      <c r="C81" s="8" t="s">
        <v>1937</v>
      </c>
      <c r="D81" s="186" t="s">
        <v>1949</v>
      </c>
      <c r="E81" s="9">
        <v>31.97</v>
      </c>
      <c r="F81" s="8" t="s">
        <v>1740</v>
      </c>
      <c r="G81" s="10">
        <v>4090</v>
      </c>
      <c r="H81" s="204">
        <f t="shared" si="23"/>
        <v>46227</v>
      </c>
      <c r="I81" s="205">
        <f t="shared" si="24"/>
        <v>102</v>
      </c>
      <c r="J81" s="206">
        <f t="shared" si="25"/>
        <v>2.4938875305623469</v>
      </c>
      <c r="K81" s="205">
        <f t="shared" si="26"/>
        <v>2</v>
      </c>
      <c r="L81" s="206">
        <f t="shared" si="27"/>
        <v>1.9607843137254901</v>
      </c>
      <c r="M81" s="8" t="str">
        <f t="array" ref="M81">IF(L81&gt;5,"Perlu Sensus",IF(AND(L81&gt;=0,I81&gt;0),"Tetap Deteksi","Belum Deteksi"))</f>
        <v>Tetap Deteksi</v>
      </c>
      <c r="N81" s="11">
        <f t="array" ref="N81">INDEX('[29]REKAP '!$F$9:$F$82,MATCH(1,('[29]REKAP '!$E$9:$E$82=$D81)*('[29]REKAP '!$E$9:$E$82=$D81),0))</f>
        <v>46227</v>
      </c>
      <c r="O81" s="143">
        <f t="array" ref="O81">INDEX('[29]REKAP '!$H$9:$H$82,MATCH(1,('[29]REKAP '!$E$9:$E$82=$D81)*('[29]REKAP '!$E$9:$E$82=$D81),0))</f>
        <v>102</v>
      </c>
      <c r="P81" s="9">
        <f t="shared" si="16"/>
        <v>2.4938875305623469</v>
      </c>
      <c r="Q81" s="143">
        <f t="array" ref="Q81">INDEX('[29]REKAP '!$J$9:$J$82,MATCH(1,('[29]REKAP '!$E$9:$E$82=$D81)*('[29]REKAP '!$E$9:$E$82=$D81),0))</f>
        <v>2</v>
      </c>
      <c r="R81" s="9">
        <f t="shared" si="17"/>
        <v>1.9607843137254901</v>
      </c>
      <c r="S81" s="8" t="str">
        <f t="shared" si="18"/>
        <v>Tetap Deteksi</v>
      </c>
      <c r="T81" s="143">
        <f t="array" ref="T81">INDEX('[29]REKAP '!$M$9:$M$82,MATCH(1,('[29]REKAP '!$E$9:$E$82=$D81)*('[29]REKAP '!$E$9:$E$82=$D81),0))</f>
        <v>11</v>
      </c>
      <c r="U81" s="9">
        <f t="shared" si="19"/>
        <v>10.784313725490197</v>
      </c>
      <c r="V81" s="11">
        <f t="array" ref="V81">INDEX('[30]Rekap Tgl BKP JJG (2)'!$G$9:$G$82,MATCH(1,('[30]Rekap Tgl BKP JJG (2)'!$E$9:$E$82=$D81)*('[30]Rekap Tgl BKP JJG (2)'!$E$9:$E$82=$D81),0))</f>
        <v>46246</v>
      </c>
      <c r="W81" s="203">
        <f t="array" ref="W81">INDEX('[30]Rekap Tgl BKP JJG (2)'!$I$9:$I$82,MATCH(1,('[30]Rekap Tgl BKP JJG (2)'!$E$9:$E$82=$D81)*('[30]Rekap Tgl BKP JJG (2)'!$E$9:$E$82=$D81),0))</f>
        <v>613</v>
      </c>
      <c r="X81" s="203">
        <f t="array" ref="X81">INDEX('[30]Rekap Tgl BKP JJG (2)'!$K$9:$K$82,MATCH(1,('[30]Rekap Tgl BKP JJG (2)'!$E$9:$E$82=$D81)*('[30]Rekap Tgl BKP JJG (2)'!$E$9:$E$82=$D81),0))</f>
        <v>13</v>
      </c>
      <c r="Y81" s="9">
        <f t="shared" si="20"/>
        <v>2.1207177814029365</v>
      </c>
      <c r="Z81" s="8" t="str">
        <f t="shared" si="21"/>
        <v>Tetap Deteksi</v>
      </c>
      <c r="AA81" s="203">
        <f t="array" ref="AA81">INDEX('[30]Rekap Tgl BKP JJG (2)'!$N$9:$N$82,MATCH(1,('[30]Rekap Tgl BKP JJG (2)'!$E$9:$E$82=$D81)*('[30]Rekap Tgl BKP JJG (2)'!$E$9:$E$82=$D81),0))</f>
        <v>97</v>
      </c>
      <c r="AB81" s="9">
        <f t="shared" si="22"/>
        <v>15.823817292006526</v>
      </c>
    </row>
    <row r="82" spans="1:28" outlineLevel="1" x14ac:dyDescent="0.15">
      <c r="A82" s="8" t="s">
        <v>1927</v>
      </c>
      <c r="B82" s="8"/>
      <c r="C82" s="8" t="s">
        <v>1937</v>
      </c>
      <c r="D82" s="8" t="s">
        <v>1950</v>
      </c>
      <c r="E82" s="9">
        <v>26.73</v>
      </c>
      <c r="F82" s="8" t="s">
        <v>1740</v>
      </c>
      <c r="G82" s="10">
        <v>3218</v>
      </c>
      <c r="H82" s="132">
        <f t="shared" si="23"/>
        <v>46209</v>
      </c>
      <c r="I82" s="205">
        <f t="shared" si="24"/>
        <v>124</v>
      </c>
      <c r="J82" s="206">
        <f t="shared" si="25"/>
        <v>3.8533250466128028</v>
      </c>
      <c r="K82" s="205">
        <f t="shared" si="26"/>
        <v>5</v>
      </c>
      <c r="L82" s="206">
        <f t="shared" si="27"/>
        <v>4.032258064516129</v>
      </c>
      <c r="M82" s="8" t="str">
        <f t="array" ref="M82">IF(L82&gt;5,"Perlu Sensus",IF(AND(L82&gt;=0,I82&gt;0),"Tetap Deteksi","Belum Deteksi"))</f>
        <v>Tetap Deteksi</v>
      </c>
      <c r="N82" s="11">
        <f t="array" ref="N82">INDEX('[29]REKAP '!$F$9:$F$82,MATCH(1,('[29]REKAP '!$E$9:$E$82=$D82)*('[29]REKAP '!$E$9:$E$82=$D82),0))</f>
        <v>46209</v>
      </c>
      <c r="O82" s="143">
        <f t="array" ref="O82">INDEX('[29]REKAP '!$H$9:$H$82,MATCH(1,('[29]REKAP '!$E$9:$E$82=$D82)*('[29]REKAP '!$E$9:$E$82=$D82),0))</f>
        <v>124</v>
      </c>
      <c r="P82" s="9">
        <f t="shared" si="16"/>
        <v>3.8533250466128028</v>
      </c>
      <c r="Q82" s="143">
        <f t="array" ref="Q82">INDEX('[29]REKAP '!$J$9:$J$82,MATCH(1,('[29]REKAP '!$E$9:$E$82=$D82)*('[29]REKAP '!$E$9:$E$82=$D82),0))</f>
        <v>5</v>
      </c>
      <c r="R82" s="9">
        <f t="shared" si="17"/>
        <v>4.032258064516129</v>
      </c>
      <c r="S82" s="8" t="str">
        <f t="shared" si="18"/>
        <v>Tetap Deteksi</v>
      </c>
      <c r="T82" s="143">
        <f t="array" ref="T82">INDEX('[29]REKAP '!$M$9:$M$82,MATCH(1,('[29]REKAP '!$E$9:$E$82=$D82)*('[29]REKAP '!$E$9:$E$82=$D82),0))</f>
        <v>23</v>
      </c>
      <c r="U82" s="9">
        <f t="shared" si="19"/>
        <v>18.548387096774192</v>
      </c>
      <c r="V82" s="11">
        <f t="array" ref="V82">INDEX('[30]Rekap Tgl BKP JJG (2)'!$G$9:$G$82,MATCH(1,('[30]Rekap Tgl BKP JJG (2)'!$E$9:$E$82=$D82)*('[30]Rekap Tgl BKP JJG (2)'!$E$9:$E$82=$D82),0))</f>
        <v>46241</v>
      </c>
      <c r="W82" s="203">
        <f t="array" ref="W82">INDEX('[30]Rekap Tgl BKP JJG (2)'!$I$9:$I$82,MATCH(1,('[30]Rekap Tgl BKP JJG (2)'!$E$9:$E$82=$D82)*('[30]Rekap Tgl BKP JJG (2)'!$E$9:$E$82=$D82),0))</f>
        <v>893</v>
      </c>
      <c r="X82" s="203">
        <f t="array" ref="X82">INDEX('[30]Rekap Tgl BKP JJG (2)'!$K$9:$K$82,MATCH(1,('[30]Rekap Tgl BKP JJG (2)'!$E$9:$E$82=$D82)*('[30]Rekap Tgl BKP JJG (2)'!$E$9:$E$82=$D82),0))</f>
        <v>25</v>
      </c>
      <c r="Y82" s="9">
        <f t="shared" si="20"/>
        <v>2.7995520716685331</v>
      </c>
      <c r="Z82" s="8" t="str">
        <f t="shared" si="21"/>
        <v>Tetap Deteksi</v>
      </c>
      <c r="AA82" s="203">
        <f t="array" ref="AA82">INDEX('[30]Rekap Tgl BKP JJG (2)'!$N$9:$N$82,MATCH(1,('[30]Rekap Tgl BKP JJG (2)'!$E$9:$E$82=$D82)*('[30]Rekap Tgl BKP JJG (2)'!$E$9:$E$82=$D82),0))</f>
        <v>185</v>
      </c>
      <c r="AB82" s="9">
        <f t="shared" si="22"/>
        <v>20.716685330347147</v>
      </c>
    </row>
    <row r="83" spans="1:28" outlineLevel="1" x14ac:dyDescent="0.15">
      <c r="A83" s="8" t="s">
        <v>1927</v>
      </c>
      <c r="B83" s="8"/>
      <c r="C83" s="8" t="s">
        <v>1937</v>
      </c>
      <c r="D83" s="8" t="s">
        <v>1215</v>
      </c>
      <c r="E83" s="9">
        <v>28.119999999999997</v>
      </c>
      <c r="F83" s="8" t="s">
        <v>1740</v>
      </c>
      <c r="G83" s="10">
        <v>3820</v>
      </c>
      <c r="H83" s="132">
        <f t="shared" si="23"/>
        <v>46227</v>
      </c>
      <c r="I83" s="205">
        <f t="shared" si="24"/>
        <v>102</v>
      </c>
      <c r="J83" s="206">
        <f t="shared" si="25"/>
        <v>2.6701570680628275</v>
      </c>
      <c r="K83" s="205">
        <f t="shared" si="26"/>
        <v>3</v>
      </c>
      <c r="L83" s="206">
        <f t="shared" si="27"/>
        <v>2.9411764705882351</v>
      </c>
      <c r="M83" s="8" t="str">
        <f t="array" ref="M83">IF(L83&gt;5,"Perlu Sensus",IF(AND(L83&gt;=0,I83&gt;0),"Tetap Deteksi","Belum Deteksi"))</f>
        <v>Tetap Deteksi</v>
      </c>
      <c r="N83" s="11">
        <f t="array" ref="N83">INDEX('[29]REKAP '!$F$9:$F$82,MATCH(1,('[29]REKAP '!$E$9:$E$82=$D83)*('[29]REKAP '!$E$9:$E$82=$D83),0))</f>
        <v>46227</v>
      </c>
      <c r="O83" s="143">
        <f t="array" ref="O83">INDEX('[29]REKAP '!$H$9:$H$82,MATCH(1,('[29]REKAP '!$E$9:$E$82=$D83)*('[29]REKAP '!$E$9:$E$82=$D83),0))</f>
        <v>102</v>
      </c>
      <c r="P83" s="9">
        <f t="shared" si="16"/>
        <v>2.6701570680628275</v>
      </c>
      <c r="Q83" s="143">
        <f t="array" ref="Q83">INDEX('[29]REKAP '!$J$9:$J$82,MATCH(1,('[29]REKAP '!$E$9:$E$82=$D83)*('[29]REKAP '!$E$9:$E$82=$D83),0))</f>
        <v>3</v>
      </c>
      <c r="R83" s="9">
        <f t="shared" si="17"/>
        <v>2.9411764705882351</v>
      </c>
      <c r="S83" s="8" t="str">
        <f t="shared" si="18"/>
        <v>Tetap Deteksi</v>
      </c>
      <c r="T83" s="143">
        <f t="array" ref="T83">INDEX('[29]REKAP '!$M$9:$M$82,MATCH(1,('[29]REKAP '!$E$9:$E$82=$D83)*('[29]REKAP '!$E$9:$E$82=$D83),0))</f>
        <v>25</v>
      </c>
      <c r="U83" s="9">
        <f t="shared" si="19"/>
        <v>24.509803921568626</v>
      </c>
      <c r="V83" s="11">
        <f t="array" ref="V83">INDEX('[30]Rekap Tgl BKP JJG (2)'!$G$9:$G$82,MATCH(1,('[30]Rekap Tgl BKP JJG (2)'!$E$9:$E$82=$D83)*('[30]Rekap Tgl BKP JJG (2)'!$E$9:$E$82=$D83),0))</f>
        <v>0</v>
      </c>
      <c r="W83" s="203">
        <f t="array" ref="W83">INDEX('[30]Rekap Tgl BKP JJG (2)'!$I$9:$I$82,MATCH(1,('[30]Rekap Tgl BKP JJG (2)'!$E$9:$E$82=$D83)*('[30]Rekap Tgl BKP JJG (2)'!$E$9:$E$82=$D83),0))</f>
        <v>0</v>
      </c>
      <c r="X83" s="203">
        <f t="array" ref="X83">INDEX('[30]Rekap Tgl BKP JJG (2)'!$K$9:$K$82,MATCH(1,('[30]Rekap Tgl BKP JJG (2)'!$E$9:$E$82=$D83)*('[30]Rekap Tgl BKP JJG (2)'!$E$9:$E$82=$D83),0))</f>
        <v>0</v>
      </c>
      <c r="Y83" s="9">
        <f t="shared" si="20"/>
        <v>0</v>
      </c>
      <c r="Z83" s="8" t="str">
        <f t="shared" si="21"/>
        <v>Belum Deteksi</v>
      </c>
      <c r="AA83" s="203">
        <f t="array" ref="AA83">INDEX('[30]Rekap Tgl BKP JJG (2)'!$N$9:$N$82,MATCH(1,('[30]Rekap Tgl BKP JJG (2)'!$E$9:$E$82=$D83)*('[30]Rekap Tgl BKP JJG (2)'!$E$9:$E$82=$D83),0))</f>
        <v>0</v>
      </c>
      <c r="AB83" s="9">
        <f t="shared" si="22"/>
        <v>0</v>
      </c>
    </row>
    <row r="84" spans="1:28" outlineLevel="1" x14ac:dyDescent="0.15">
      <c r="A84" s="8" t="s">
        <v>1927</v>
      </c>
      <c r="B84" s="8"/>
      <c r="C84" s="8" t="s">
        <v>1951</v>
      </c>
      <c r="D84" s="186" t="s">
        <v>1952</v>
      </c>
      <c r="E84" s="9">
        <v>44.169999999999995</v>
      </c>
      <c r="F84" s="8" t="s">
        <v>1740</v>
      </c>
      <c r="G84" s="10">
        <v>5433</v>
      </c>
      <c r="H84" s="204">
        <f t="shared" si="23"/>
        <v>46223</v>
      </c>
      <c r="I84" s="205">
        <f t="shared" si="24"/>
        <v>121</v>
      </c>
      <c r="J84" s="206">
        <f t="shared" si="25"/>
        <v>2.2271304988036076</v>
      </c>
      <c r="K84" s="205">
        <f t="shared" si="26"/>
        <v>5</v>
      </c>
      <c r="L84" s="206">
        <f t="shared" si="27"/>
        <v>4.1322314049586781</v>
      </c>
      <c r="M84" s="8" t="str">
        <f t="array" ref="M84">IF(L84&gt;5,"Perlu Sensus",IF(AND(L84&gt;=0,I84&gt;0),"Tetap Deteksi","Belum Deteksi"))</f>
        <v>Tetap Deteksi</v>
      </c>
      <c r="N84" s="11">
        <f t="array" ref="N84">INDEX('[29]REKAP '!$F$9:$F$82,MATCH(1,('[29]REKAP '!$E$9:$E$82=$D84)*('[29]REKAP '!$E$9:$E$82=$D84),0))</f>
        <v>46223</v>
      </c>
      <c r="O84" s="143">
        <f t="array" ref="O84">INDEX('[29]REKAP '!$H$9:$H$82,MATCH(1,('[29]REKAP '!$E$9:$E$82=$D84)*('[29]REKAP '!$E$9:$E$82=$D84),0))</f>
        <v>121</v>
      </c>
      <c r="P84" s="9">
        <f t="shared" si="16"/>
        <v>2.2271304988036076</v>
      </c>
      <c r="Q84" s="143">
        <f t="array" ref="Q84">INDEX('[29]REKAP '!$J$9:$J$82,MATCH(1,('[29]REKAP '!$E$9:$E$82=$D84)*('[29]REKAP '!$E$9:$E$82=$D84),0))</f>
        <v>5</v>
      </c>
      <c r="R84" s="9">
        <f t="shared" si="17"/>
        <v>4.1322314049586781</v>
      </c>
      <c r="S84" s="8" t="str">
        <f t="shared" si="18"/>
        <v>Tetap Deteksi</v>
      </c>
      <c r="T84" s="143">
        <f t="array" ref="T84">INDEX('[29]REKAP '!$M$9:$M$82,MATCH(1,('[29]REKAP '!$E$9:$E$82=$D84)*('[29]REKAP '!$E$9:$E$82=$D84),0))</f>
        <v>8</v>
      </c>
      <c r="U84" s="9">
        <f t="shared" si="19"/>
        <v>6.6115702479338845</v>
      </c>
      <c r="V84" s="11">
        <f t="array" ref="V84">INDEX('[30]Rekap Tgl BKP JJG (2)'!$G$9:$G$82,MATCH(1,('[30]Rekap Tgl BKP JJG (2)'!$E$9:$E$82=$D84)*('[30]Rekap Tgl BKP JJG (2)'!$E$9:$E$82=$D84),0))</f>
        <v>0</v>
      </c>
      <c r="W84" s="203">
        <f t="array" ref="W84">INDEX('[30]Rekap Tgl BKP JJG (2)'!$I$9:$I$82,MATCH(1,('[30]Rekap Tgl BKP JJG (2)'!$E$9:$E$82=$D84)*('[30]Rekap Tgl BKP JJG (2)'!$E$9:$E$82=$D84),0))</f>
        <v>0</v>
      </c>
      <c r="X84" s="203">
        <f t="array" ref="X84">INDEX('[30]Rekap Tgl BKP JJG (2)'!$K$9:$K$82,MATCH(1,('[30]Rekap Tgl BKP JJG (2)'!$E$9:$E$82=$D84)*('[30]Rekap Tgl BKP JJG (2)'!$E$9:$E$82=$D84),0))</f>
        <v>0</v>
      </c>
      <c r="Y84" s="9">
        <f t="shared" si="20"/>
        <v>0</v>
      </c>
      <c r="Z84" s="8" t="str">
        <f t="shared" si="21"/>
        <v>Belum Deteksi</v>
      </c>
      <c r="AA84" s="203">
        <f t="array" ref="AA84">INDEX('[30]Rekap Tgl BKP JJG (2)'!$N$9:$N$82,MATCH(1,('[30]Rekap Tgl BKP JJG (2)'!$E$9:$E$82=$D84)*('[30]Rekap Tgl BKP JJG (2)'!$E$9:$E$82=$D84),0))</f>
        <v>0</v>
      </c>
      <c r="AB84" s="9">
        <f t="shared" si="22"/>
        <v>0</v>
      </c>
    </row>
    <row r="85" spans="1:28" outlineLevel="1" x14ac:dyDescent="0.15">
      <c r="A85" s="8" t="s">
        <v>1927</v>
      </c>
      <c r="B85" s="8"/>
      <c r="C85" s="8" t="s">
        <v>1951</v>
      </c>
      <c r="D85" s="186" t="s">
        <v>1953</v>
      </c>
      <c r="E85" s="9">
        <v>34.64</v>
      </c>
      <c r="F85" s="8" t="s">
        <v>1740</v>
      </c>
      <c r="G85" s="10">
        <v>4244</v>
      </c>
      <c r="H85" s="204">
        <f t="shared" si="23"/>
        <v>46211</v>
      </c>
      <c r="I85" s="205">
        <f t="shared" si="24"/>
        <v>65</v>
      </c>
      <c r="J85" s="206">
        <f t="shared" si="25"/>
        <v>1.5315739868049012</v>
      </c>
      <c r="K85" s="205">
        <f t="shared" si="26"/>
        <v>1</v>
      </c>
      <c r="L85" s="206">
        <f t="shared" si="27"/>
        <v>1.5384615384615385</v>
      </c>
      <c r="M85" s="8" t="str">
        <f t="array" ref="M85">IF(L85&gt;5,"Perlu Sensus",IF(AND(L85&gt;=0,I85&gt;0),"Tetap Deteksi","Belum Deteksi"))</f>
        <v>Tetap Deteksi</v>
      </c>
      <c r="N85" s="11">
        <f t="array" ref="N85">INDEX('[29]REKAP '!$F$9:$F$82,MATCH(1,('[29]REKAP '!$E$9:$E$82=$D85)*('[29]REKAP '!$E$9:$E$82=$D85),0))</f>
        <v>46211</v>
      </c>
      <c r="O85" s="143">
        <f t="array" ref="O85">INDEX('[29]REKAP '!$H$9:$H$82,MATCH(1,('[29]REKAP '!$E$9:$E$82=$D85)*('[29]REKAP '!$E$9:$E$82=$D85),0))</f>
        <v>65</v>
      </c>
      <c r="P85" s="9">
        <f t="shared" si="16"/>
        <v>1.5315739868049012</v>
      </c>
      <c r="Q85" s="143">
        <f t="array" ref="Q85">INDEX('[29]REKAP '!$J$9:$J$82,MATCH(1,('[29]REKAP '!$E$9:$E$82=$D85)*('[29]REKAP '!$E$9:$E$82=$D85),0))</f>
        <v>1</v>
      </c>
      <c r="R85" s="9">
        <f t="shared" si="17"/>
        <v>1.5384615384615385</v>
      </c>
      <c r="S85" s="8" t="str">
        <f t="shared" si="18"/>
        <v>Tetap Deteksi</v>
      </c>
      <c r="T85" s="143">
        <f t="array" ref="T85">INDEX('[29]REKAP '!$M$9:$M$82,MATCH(1,('[29]REKAP '!$E$9:$E$82=$D85)*('[29]REKAP '!$E$9:$E$82=$D85),0))</f>
        <v>12</v>
      </c>
      <c r="U85" s="9">
        <f t="shared" si="19"/>
        <v>18.461538461538463</v>
      </c>
      <c r="V85" s="11">
        <f t="array" ref="V85">INDEX('[30]Rekap Tgl BKP JJG (2)'!$G$9:$G$82,MATCH(1,('[30]Rekap Tgl BKP JJG (2)'!$E$9:$E$82=$D85)*('[30]Rekap Tgl BKP JJG (2)'!$E$9:$E$82=$D85),0))</f>
        <v>46239</v>
      </c>
      <c r="W85" s="203">
        <f t="array" ref="W85">INDEX('[30]Rekap Tgl BKP JJG (2)'!$I$9:$I$82,MATCH(1,('[30]Rekap Tgl BKP JJG (2)'!$E$9:$E$82=$D85)*('[30]Rekap Tgl BKP JJG (2)'!$E$9:$E$82=$D85),0))</f>
        <v>367</v>
      </c>
      <c r="X85" s="203">
        <f t="array" ref="X85">INDEX('[30]Rekap Tgl BKP JJG (2)'!$K$9:$K$82,MATCH(1,('[30]Rekap Tgl BKP JJG (2)'!$E$9:$E$82=$D85)*('[30]Rekap Tgl BKP JJG (2)'!$E$9:$E$82=$D85),0))</f>
        <v>5</v>
      </c>
      <c r="Y85" s="9">
        <f t="shared" si="20"/>
        <v>1.3623978201634876</v>
      </c>
      <c r="Z85" s="8" t="str">
        <f t="shared" si="21"/>
        <v>Tetap Deteksi</v>
      </c>
      <c r="AA85" s="203">
        <f t="array" ref="AA85">INDEX('[30]Rekap Tgl BKP JJG (2)'!$N$9:$N$82,MATCH(1,('[30]Rekap Tgl BKP JJG (2)'!$E$9:$E$82=$D85)*('[30]Rekap Tgl BKP JJG (2)'!$E$9:$E$82=$D85),0))</f>
        <v>40</v>
      </c>
      <c r="AB85" s="9">
        <f t="shared" si="22"/>
        <v>10.899182561307901</v>
      </c>
    </row>
    <row r="86" spans="1:28" outlineLevel="1" x14ac:dyDescent="0.15">
      <c r="A86" s="8" t="s">
        <v>1927</v>
      </c>
      <c r="B86" s="8"/>
      <c r="C86" s="8" t="s">
        <v>1951</v>
      </c>
      <c r="D86" s="186" t="s">
        <v>1954</v>
      </c>
      <c r="E86" s="9">
        <v>31.310000000000002</v>
      </c>
      <c r="F86" s="8" t="s">
        <v>1740</v>
      </c>
      <c r="G86" s="10">
        <v>1783</v>
      </c>
      <c r="H86" s="204">
        <f t="shared" si="23"/>
        <v>46207</v>
      </c>
      <c r="I86" s="205">
        <f t="shared" si="24"/>
        <v>110</v>
      </c>
      <c r="J86" s="206">
        <f t="shared" si="25"/>
        <v>6.1693774537296697</v>
      </c>
      <c r="K86" s="205">
        <f t="shared" si="26"/>
        <v>2</v>
      </c>
      <c r="L86" s="206">
        <f t="shared" si="27"/>
        <v>1.8181818181818181</v>
      </c>
      <c r="M86" s="8" t="str">
        <f t="array" ref="M86">IF(L86&gt;5,"Perlu Sensus",IF(AND(L86&gt;=0,I86&gt;0),"Tetap Deteksi","Belum Deteksi"))</f>
        <v>Tetap Deteksi</v>
      </c>
      <c r="N86" s="11">
        <f t="array" ref="N86">INDEX('[29]REKAP '!$F$9:$F$82,MATCH(1,('[29]REKAP '!$E$9:$E$82=$D86)*('[29]REKAP '!$E$9:$E$82=$D86),0))</f>
        <v>46207</v>
      </c>
      <c r="O86" s="143">
        <f t="array" ref="O86">INDEX('[29]REKAP '!$H$9:$H$82,MATCH(1,('[29]REKAP '!$E$9:$E$82=$D86)*('[29]REKAP '!$E$9:$E$82=$D86),0))</f>
        <v>110</v>
      </c>
      <c r="P86" s="9">
        <f t="shared" si="16"/>
        <v>6.1693774537296697</v>
      </c>
      <c r="Q86" s="143">
        <f t="array" ref="Q86">INDEX('[29]REKAP '!$J$9:$J$82,MATCH(1,('[29]REKAP '!$E$9:$E$82=$D86)*('[29]REKAP '!$E$9:$E$82=$D86),0))</f>
        <v>2</v>
      </c>
      <c r="R86" s="9">
        <f t="shared" si="17"/>
        <v>1.8181818181818181</v>
      </c>
      <c r="S86" s="8" t="str">
        <f t="shared" si="18"/>
        <v>Tetap Deteksi</v>
      </c>
      <c r="T86" s="143">
        <f t="array" ref="T86">INDEX('[29]REKAP '!$M$9:$M$82,MATCH(1,('[29]REKAP '!$E$9:$E$82=$D86)*('[29]REKAP '!$E$9:$E$82=$D86),0))</f>
        <v>3</v>
      </c>
      <c r="U86" s="9">
        <f t="shared" si="19"/>
        <v>2.7272727272727271</v>
      </c>
      <c r="V86" s="11">
        <f t="array" ref="V86">INDEX('[30]Rekap Tgl BKP JJG (2)'!$G$9:$G$82,MATCH(1,('[30]Rekap Tgl BKP JJG (2)'!$E$9:$E$82=$D86)*('[30]Rekap Tgl BKP JJG (2)'!$E$9:$E$82=$D86),0))</f>
        <v>0</v>
      </c>
      <c r="W86" s="203">
        <f t="array" ref="W86">INDEX('[30]Rekap Tgl BKP JJG (2)'!$I$9:$I$82,MATCH(1,('[30]Rekap Tgl BKP JJG (2)'!$E$9:$E$82=$D86)*('[30]Rekap Tgl BKP JJG (2)'!$E$9:$E$82=$D86),0))</f>
        <v>0</v>
      </c>
      <c r="X86" s="203">
        <f t="array" ref="X86">INDEX('[30]Rekap Tgl BKP JJG (2)'!$K$9:$K$82,MATCH(1,('[30]Rekap Tgl BKP JJG (2)'!$E$9:$E$82=$D86)*('[30]Rekap Tgl BKP JJG (2)'!$E$9:$E$82=$D86),0))</f>
        <v>0</v>
      </c>
      <c r="Y86" s="9">
        <f t="shared" si="20"/>
        <v>0</v>
      </c>
      <c r="Z86" s="8" t="str">
        <f t="shared" si="21"/>
        <v>Belum Deteksi</v>
      </c>
      <c r="AA86" s="203">
        <f t="array" ref="AA86">INDEX('[30]Rekap Tgl BKP JJG (2)'!$N$9:$N$82,MATCH(1,('[30]Rekap Tgl BKP JJG (2)'!$E$9:$E$82=$D86)*('[30]Rekap Tgl BKP JJG (2)'!$E$9:$E$82=$D86),0))</f>
        <v>0</v>
      </c>
      <c r="AB86" s="9">
        <f t="shared" si="22"/>
        <v>0</v>
      </c>
    </row>
    <row r="87" spans="1:28" outlineLevel="1" x14ac:dyDescent="0.15">
      <c r="A87" s="8" t="s">
        <v>1927</v>
      </c>
      <c r="B87" s="8"/>
      <c r="C87" s="8" t="s">
        <v>1951</v>
      </c>
      <c r="D87" s="186" t="s">
        <v>1955</v>
      </c>
      <c r="E87" s="9">
        <v>17.920000000000002</v>
      </c>
      <c r="F87" s="8" t="s">
        <v>1740</v>
      </c>
      <c r="G87" s="10">
        <v>2283</v>
      </c>
      <c r="H87" s="204">
        <f t="shared" si="23"/>
        <v>46225</v>
      </c>
      <c r="I87" s="205">
        <f t="shared" si="24"/>
        <v>92</v>
      </c>
      <c r="J87" s="206">
        <f t="shared" si="25"/>
        <v>4.0297853701270263</v>
      </c>
      <c r="K87" s="205">
        <f t="shared" si="26"/>
        <v>4</v>
      </c>
      <c r="L87" s="206">
        <f t="shared" si="27"/>
        <v>4.3478260869565215</v>
      </c>
      <c r="M87" s="8" t="str">
        <f t="array" ref="M87">IF(L87&gt;5,"Perlu Sensus",IF(AND(L87&gt;=0,I87&gt;0),"Tetap Deteksi","Belum Deteksi"))</f>
        <v>Tetap Deteksi</v>
      </c>
      <c r="N87" s="11">
        <f t="array" ref="N87">INDEX('[29]REKAP '!$F$9:$F$82,MATCH(1,('[29]REKAP '!$E$9:$E$82=$D87)*('[29]REKAP '!$E$9:$E$82=$D87),0))</f>
        <v>46225</v>
      </c>
      <c r="O87" s="143">
        <f t="array" ref="O87">INDEX('[29]REKAP '!$H$9:$H$82,MATCH(1,('[29]REKAP '!$E$9:$E$82=$D87)*('[29]REKAP '!$E$9:$E$82=$D87),0))</f>
        <v>92</v>
      </c>
      <c r="P87" s="9">
        <f t="shared" si="16"/>
        <v>4.0297853701270263</v>
      </c>
      <c r="Q87" s="143">
        <f t="array" ref="Q87">INDEX('[29]REKAP '!$J$9:$J$82,MATCH(1,('[29]REKAP '!$E$9:$E$82=$D87)*('[29]REKAP '!$E$9:$E$82=$D87),0))</f>
        <v>4</v>
      </c>
      <c r="R87" s="9">
        <f t="shared" si="17"/>
        <v>4.3478260869565215</v>
      </c>
      <c r="S87" s="8" t="str">
        <f t="shared" si="18"/>
        <v>Tetap Deteksi</v>
      </c>
      <c r="T87" s="143">
        <f t="array" ref="T87">INDEX('[29]REKAP '!$M$9:$M$82,MATCH(1,('[29]REKAP '!$E$9:$E$82=$D87)*('[29]REKAP '!$E$9:$E$82=$D87),0))</f>
        <v>16</v>
      </c>
      <c r="U87" s="9">
        <f t="shared" si="19"/>
        <v>17.391304347826086</v>
      </c>
      <c r="V87" s="11">
        <f t="array" ref="V87">INDEX('[30]Rekap Tgl BKP JJG (2)'!$G$9:$G$82,MATCH(1,('[30]Rekap Tgl BKP JJG (2)'!$E$9:$E$82=$D87)*('[30]Rekap Tgl BKP JJG (2)'!$E$9:$E$82=$D87),0))</f>
        <v>46246</v>
      </c>
      <c r="W87" s="203">
        <f t="array" ref="W87">INDEX('[30]Rekap Tgl BKP JJG (2)'!$I$9:$I$82,MATCH(1,('[30]Rekap Tgl BKP JJG (2)'!$E$9:$E$82=$D87)*('[30]Rekap Tgl BKP JJG (2)'!$E$9:$E$82=$D87),0))</f>
        <v>894</v>
      </c>
      <c r="X87" s="203">
        <f t="array" ref="X87">INDEX('[30]Rekap Tgl BKP JJG (2)'!$K$9:$K$82,MATCH(1,('[30]Rekap Tgl BKP JJG (2)'!$E$9:$E$82=$D87)*('[30]Rekap Tgl BKP JJG (2)'!$E$9:$E$82=$D87),0))</f>
        <v>9</v>
      </c>
      <c r="Y87" s="9">
        <f t="shared" si="20"/>
        <v>1.006711409395973</v>
      </c>
      <c r="Z87" s="8" t="str">
        <f t="shared" si="21"/>
        <v>Tetap Deteksi</v>
      </c>
      <c r="AA87" s="203">
        <f t="array" ref="AA87">INDEX('[30]Rekap Tgl BKP JJG (2)'!$N$9:$N$82,MATCH(1,('[30]Rekap Tgl BKP JJG (2)'!$E$9:$E$82=$D87)*('[30]Rekap Tgl BKP JJG (2)'!$E$9:$E$82=$D87),0))</f>
        <v>77</v>
      </c>
      <c r="AB87" s="9">
        <f t="shared" si="22"/>
        <v>8.6129753914988818</v>
      </c>
    </row>
    <row r="88" spans="1:28" outlineLevel="1" x14ac:dyDescent="0.15">
      <c r="A88" s="8" t="s">
        <v>1927</v>
      </c>
      <c r="B88" s="8"/>
      <c r="C88" s="8" t="s">
        <v>1951</v>
      </c>
      <c r="D88" s="186" t="s">
        <v>1956</v>
      </c>
      <c r="E88" s="9">
        <v>24.29</v>
      </c>
      <c r="F88" s="8" t="s">
        <v>1740</v>
      </c>
      <c r="G88" s="10">
        <v>2837</v>
      </c>
      <c r="H88" s="204">
        <f t="shared" si="23"/>
        <v>46227</v>
      </c>
      <c r="I88" s="205">
        <f t="shared" si="24"/>
        <v>97</v>
      </c>
      <c r="J88" s="206">
        <f t="shared" si="25"/>
        <v>3.4191046880507581</v>
      </c>
      <c r="K88" s="205">
        <f t="shared" si="26"/>
        <v>3</v>
      </c>
      <c r="L88" s="206">
        <f t="shared" si="27"/>
        <v>3.0927835051546393</v>
      </c>
      <c r="M88" s="8" t="str">
        <f t="array" ref="M88">IF(L88&gt;5,"Perlu Sensus",IF(AND(L88&gt;=0,I88&gt;0),"Tetap Deteksi","Belum Deteksi"))</f>
        <v>Tetap Deteksi</v>
      </c>
      <c r="N88" s="11">
        <f t="array" ref="N88">INDEX('[29]REKAP '!$F$9:$F$82,MATCH(1,('[29]REKAP '!$E$9:$E$82=$D88)*('[29]REKAP '!$E$9:$E$82=$D88),0))</f>
        <v>46227</v>
      </c>
      <c r="O88" s="143">
        <f t="array" ref="O88">INDEX('[29]REKAP '!$H$9:$H$82,MATCH(1,('[29]REKAP '!$E$9:$E$82=$D88)*('[29]REKAP '!$E$9:$E$82=$D88),0))</f>
        <v>97</v>
      </c>
      <c r="P88" s="9">
        <f t="shared" si="16"/>
        <v>3.4191046880507581</v>
      </c>
      <c r="Q88" s="143">
        <f t="array" ref="Q88">INDEX('[29]REKAP '!$J$9:$J$82,MATCH(1,('[29]REKAP '!$E$9:$E$82=$D88)*('[29]REKAP '!$E$9:$E$82=$D88),0))</f>
        <v>3</v>
      </c>
      <c r="R88" s="9">
        <f t="shared" si="17"/>
        <v>3.0927835051546393</v>
      </c>
      <c r="S88" s="8" t="str">
        <f t="shared" si="18"/>
        <v>Tetap Deteksi</v>
      </c>
      <c r="T88" s="143">
        <f t="array" ref="T88">INDEX('[29]REKAP '!$M$9:$M$82,MATCH(1,('[29]REKAP '!$E$9:$E$82=$D88)*('[29]REKAP '!$E$9:$E$82=$D88),0))</f>
        <v>10</v>
      </c>
      <c r="U88" s="9">
        <f t="shared" si="19"/>
        <v>10.309278350515463</v>
      </c>
      <c r="V88" s="11">
        <f t="array" ref="V88">INDEX('[30]Rekap Tgl BKP JJG (2)'!$G$9:$G$82,MATCH(1,('[30]Rekap Tgl BKP JJG (2)'!$E$9:$E$82=$D88)*('[30]Rekap Tgl BKP JJG (2)'!$E$9:$E$82=$D88),0))</f>
        <v>0</v>
      </c>
      <c r="W88" s="203">
        <f t="array" ref="W88">INDEX('[30]Rekap Tgl BKP JJG (2)'!$I$9:$I$82,MATCH(1,('[30]Rekap Tgl BKP JJG (2)'!$E$9:$E$82=$D88)*('[30]Rekap Tgl BKP JJG (2)'!$E$9:$E$82=$D88),0))</f>
        <v>0</v>
      </c>
      <c r="X88" s="203">
        <f t="array" ref="X88">INDEX('[30]Rekap Tgl BKP JJG (2)'!$K$9:$K$82,MATCH(1,('[30]Rekap Tgl BKP JJG (2)'!$E$9:$E$82=$D88)*('[30]Rekap Tgl BKP JJG (2)'!$E$9:$E$82=$D88),0))</f>
        <v>0</v>
      </c>
      <c r="Y88" s="9">
        <f t="shared" si="20"/>
        <v>0</v>
      </c>
      <c r="Z88" s="8" t="str">
        <f t="shared" si="21"/>
        <v>Belum Deteksi</v>
      </c>
      <c r="AA88" s="203">
        <f t="array" ref="AA88">INDEX('[30]Rekap Tgl BKP JJG (2)'!$N$9:$N$82,MATCH(1,('[30]Rekap Tgl BKP JJG (2)'!$E$9:$E$82=$D88)*('[30]Rekap Tgl BKP JJG (2)'!$E$9:$E$82=$D88),0))</f>
        <v>0</v>
      </c>
      <c r="AB88" s="9">
        <f t="shared" si="22"/>
        <v>0</v>
      </c>
    </row>
    <row r="89" spans="1:28" outlineLevel="1" x14ac:dyDescent="0.15">
      <c r="A89" s="8" t="s">
        <v>1927</v>
      </c>
      <c r="B89" s="8"/>
      <c r="C89" s="8" t="s">
        <v>1951</v>
      </c>
      <c r="D89" s="186" t="s">
        <v>1957</v>
      </c>
      <c r="E89" s="9">
        <v>50.07</v>
      </c>
      <c r="F89" s="8" t="s">
        <v>1740</v>
      </c>
      <c r="G89" s="10">
        <v>4633</v>
      </c>
      <c r="H89" s="204">
        <f t="shared" si="23"/>
        <v>46212</v>
      </c>
      <c r="I89" s="205">
        <f t="shared" si="24"/>
        <v>132</v>
      </c>
      <c r="J89" s="206">
        <f t="shared" si="25"/>
        <v>2.8491258363911074</v>
      </c>
      <c r="K89" s="205">
        <f t="shared" si="26"/>
        <v>4</v>
      </c>
      <c r="L89" s="206">
        <f t="shared" si="27"/>
        <v>3.0303030303030303</v>
      </c>
      <c r="M89" s="8" t="str">
        <f t="array" ref="M89">IF(L89&gt;5,"Perlu Sensus",IF(AND(L89&gt;=0,I89&gt;0),"Tetap Deteksi","Belum Deteksi"))</f>
        <v>Tetap Deteksi</v>
      </c>
      <c r="N89" s="11">
        <f t="array" ref="N89">INDEX('[29]REKAP '!$F$9:$F$82,MATCH(1,('[29]REKAP '!$E$9:$E$82=$D89)*('[29]REKAP '!$E$9:$E$82=$D89),0))</f>
        <v>46212</v>
      </c>
      <c r="O89" s="143">
        <f t="array" ref="O89">INDEX('[29]REKAP '!$H$9:$H$82,MATCH(1,('[29]REKAP '!$E$9:$E$82=$D89)*('[29]REKAP '!$E$9:$E$82=$D89),0))</f>
        <v>132</v>
      </c>
      <c r="P89" s="9">
        <f t="shared" si="16"/>
        <v>2.8491258363911074</v>
      </c>
      <c r="Q89" s="143">
        <f t="array" ref="Q89">INDEX('[29]REKAP '!$J$9:$J$82,MATCH(1,('[29]REKAP '!$E$9:$E$82=$D89)*('[29]REKAP '!$E$9:$E$82=$D89),0))</f>
        <v>4</v>
      </c>
      <c r="R89" s="9">
        <f t="shared" si="17"/>
        <v>3.0303030303030303</v>
      </c>
      <c r="S89" s="8" t="str">
        <f t="shared" si="18"/>
        <v>Tetap Deteksi</v>
      </c>
      <c r="T89" s="143">
        <f t="array" ref="T89">INDEX('[29]REKAP '!$M$9:$M$82,MATCH(1,('[29]REKAP '!$E$9:$E$82=$D89)*('[29]REKAP '!$E$9:$E$82=$D89),0))</f>
        <v>9</v>
      </c>
      <c r="U89" s="9">
        <f t="shared" si="19"/>
        <v>6.8181818181818175</v>
      </c>
      <c r="V89" s="11">
        <f t="array" ref="V89">INDEX('[30]Rekap Tgl BKP JJG (2)'!$G$9:$G$82,MATCH(1,('[30]Rekap Tgl BKP JJG (2)'!$E$9:$E$82=$D89)*('[30]Rekap Tgl BKP JJG (2)'!$E$9:$E$82=$D89),0))</f>
        <v>46249</v>
      </c>
      <c r="W89" s="203">
        <f t="array" ref="W89">INDEX('[30]Rekap Tgl BKP JJG (2)'!$I$9:$I$82,MATCH(1,('[30]Rekap Tgl BKP JJG (2)'!$E$9:$E$82=$D89)*('[30]Rekap Tgl BKP JJG (2)'!$E$9:$E$82=$D89),0))</f>
        <v>712</v>
      </c>
      <c r="X89" s="203">
        <f t="array" ref="X89">INDEX('[30]Rekap Tgl BKP JJG (2)'!$K$9:$K$82,MATCH(1,('[30]Rekap Tgl BKP JJG (2)'!$E$9:$E$82=$D89)*('[30]Rekap Tgl BKP JJG (2)'!$E$9:$E$82=$D89),0))</f>
        <v>9</v>
      </c>
      <c r="Y89" s="9">
        <f t="shared" si="20"/>
        <v>1.2640449438202246</v>
      </c>
      <c r="Z89" s="8" t="str">
        <f t="shared" si="21"/>
        <v>Tetap Deteksi</v>
      </c>
      <c r="AA89" s="203">
        <f t="array" ref="AA89">INDEX('[30]Rekap Tgl BKP JJG (2)'!$N$9:$N$82,MATCH(1,('[30]Rekap Tgl BKP JJG (2)'!$E$9:$E$82=$D89)*('[30]Rekap Tgl BKP JJG (2)'!$E$9:$E$82=$D89),0))</f>
        <v>65</v>
      </c>
      <c r="AB89" s="9">
        <f t="shared" si="22"/>
        <v>9.1292134831460672</v>
      </c>
    </row>
    <row r="90" spans="1:28" outlineLevel="1" x14ac:dyDescent="0.15">
      <c r="A90" s="8" t="s">
        <v>1927</v>
      </c>
      <c r="B90" s="8"/>
      <c r="C90" s="8" t="s">
        <v>1951</v>
      </c>
      <c r="D90" s="186" t="s">
        <v>1958</v>
      </c>
      <c r="E90" s="9">
        <v>36.69</v>
      </c>
      <c r="F90" s="8" t="s">
        <v>1740</v>
      </c>
      <c r="G90" s="10">
        <v>4223</v>
      </c>
      <c r="H90" s="204">
        <f t="shared" si="23"/>
        <v>46210</v>
      </c>
      <c r="I90" s="205">
        <f t="shared" si="24"/>
        <v>131</v>
      </c>
      <c r="J90" s="206">
        <f t="shared" si="25"/>
        <v>3.1020601468150604</v>
      </c>
      <c r="K90" s="205">
        <f t="shared" si="26"/>
        <v>6</v>
      </c>
      <c r="L90" s="206">
        <f t="shared" si="27"/>
        <v>4.5801526717557248</v>
      </c>
      <c r="M90" s="8" t="str">
        <f t="array" ref="M90">IF(L90&gt;5,"Perlu Sensus",IF(AND(L90&gt;=0,I90&gt;0),"Tetap Deteksi","Belum Deteksi"))</f>
        <v>Tetap Deteksi</v>
      </c>
      <c r="N90" s="11">
        <f t="array" ref="N90">INDEX('[29]REKAP '!$F$9:$F$82,MATCH(1,('[29]REKAP '!$E$9:$E$82=$D90)*('[29]REKAP '!$E$9:$E$82=$D90),0))</f>
        <v>46210</v>
      </c>
      <c r="O90" s="143">
        <f t="array" ref="O90">INDEX('[29]REKAP '!$H$9:$H$82,MATCH(1,('[29]REKAP '!$E$9:$E$82=$D90)*('[29]REKAP '!$E$9:$E$82=$D90),0))</f>
        <v>131</v>
      </c>
      <c r="P90" s="9">
        <f t="shared" si="16"/>
        <v>3.1020601468150604</v>
      </c>
      <c r="Q90" s="143">
        <f t="array" ref="Q90">INDEX('[29]REKAP '!$J$9:$J$82,MATCH(1,('[29]REKAP '!$E$9:$E$82=$D90)*('[29]REKAP '!$E$9:$E$82=$D90),0))</f>
        <v>6</v>
      </c>
      <c r="R90" s="9">
        <f t="shared" si="17"/>
        <v>4.5801526717557248</v>
      </c>
      <c r="S90" s="8" t="str">
        <f t="shared" si="18"/>
        <v>Tetap Deteksi</v>
      </c>
      <c r="T90" s="143">
        <f t="array" ref="T90">INDEX('[29]REKAP '!$M$9:$M$82,MATCH(1,('[29]REKAP '!$E$9:$E$82=$D90)*('[29]REKAP '!$E$9:$E$82=$D90),0))</f>
        <v>10</v>
      </c>
      <c r="U90" s="9">
        <f t="shared" si="19"/>
        <v>7.6335877862595423</v>
      </c>
      <c r="V90" s="11">
        <f t="array" ref="V90">INDEX('[30]Rekap Tgl BKP JJG (2)'!$G$9:$G$82,MATCH(1,('[30]Rekap Tgl BKP JJG (2)'!$E$9:$E$82=$D90)*('[30]Rekap Tgl BKP JJG (2)'!$E$9:$E$82=$D90),0))</f>
        <v>0</v>
      </c>
      <c r="W90" s="203">
        <f t="array" ref="W90">INDEX('[30]Rekap Tgl BKP JJG (2)'!$I$9:$I$82,MATCH(1,('[30]Rekap Tgl BKP JJG (2)'!$E$9:$E$82=$D90)*('[30]Rekap Tgl BKP JJG (2)'!$E$9:$E$82=$D90),0))</f>
        <v>0</v>
      </c>
      <c r="X90" s="203">
        <f t="array" ref="X90">INDEX('[30]Rekap Tgl BKP JJG (2)'!$K$9:$K$82,MATCH(1,('[30]Rekap Tgl BKP JJG (2)'!$E$9:$E$82=$D90)*('[30]Rekap Tgl BKP JJG (2)'!$E$9:$E$82=$D90),0))</f>
        <v>0</v>
      </c>
      <c r="Y90" s="9">
        <f t="shared" si="20"/>
        <v>0</v>
      </c>
      <c r="Z90" s="8" t="str">
        <f t="shared" si="21"/>
        <v>Belum Deteksi</v>
      </c>
      <c r="AA90" s="203">
        <f t="array" ref="AA90">INDEX('[30]Rekap Tgl BKP JJG (2)'!$N$9:$N$82,MATCH(1,('[30]Rekap Tgl BKP JJG (2)'!$E$9:$E$82=$D90)*('[30]Rekap Tgl BKP JJG (2)'!$E$9:$E$82=$D90),0))</f>
        <v>0</v>
      </c>
      <c r="AB90" s="9">
        <f t="shared" si="22"/>
        <v>0</v>
      </c>
    </row>
    <row r="91" spans="1:28" outlineLevel="1" x14ac:dyDescent="0.15">
      <c r="A91" s="8" t="s">
        <v>1927</v>
      </c>
      <c r="B91" s="8"/>
      <c r="C91" s="8" t="s">
        <v>1951</v>
      </c>
      <c r="D91" s="186" t="s">
        <v>1959</v>
      </c>
      <c r="E91" s="9">
        <v>28.5</v>
      </c>
      <c r="F91" s="8" t="s">
        <v>1740</v>
      </c>
      <c r="G91" s="10">
        <v>2981</v>
      </c>
      <c r="H91" s="204">
        <f t="shared" si="23"/>
        <v>46226</v>
      </c>
      <c r="I91" s="205">
        <f t="shared" si="24"/>
        <v>109</v>
      </c>
      <c r="J91" s="206">
        <f t="shared" si="25"/>
        <v>3.656491110365649</v>
      </c>
      <c r="K91" s="205">
        <f t="shared" si="26"/>
        <v>5</v>
      </c>
      <c r="L91" s="206">
        <f t="shared" si="27"/>
        <v>4.5871559633027523</v>
      </c>
      <c r="M91" s="8" t="str">
        <f t="array" ref="M91">IF(L91&gt;5,"Perlu Sensus",IF(AND(L91&gt;=0,I91&gt;0),"Tetap Deteksi","Belum Deteksi"))</f>
        <v>Tetap Deteksi</v>
      </c>
      <c r="N91" s="11">
        <f t="array" ref="N91">INDEX('[29]REKAP '!$F$9:$F$82,MATCH(1,('[29]REKAP '!$E$9:$E$82=$D91)*('[29]REKAP '!$E$9:$E$82=$D91),0))</f>
        <v>46226</v>
      </c>
      <c r="O91" s="143">
        <f t="array" ref="O91">INDEX('[29]REKAP '!$H$9:$H$82,MATCH(1,('[29]REKAP '!$E$9:$E$82=$D91)*('[29]REKAP '!$E$9:$E$82=$D91),0))</f>
        <v>109</v>
      </c>
      <c r="P91" s="9">
        <f t="shared" si="16"/>
        <v>3.656491110365649</v>
      </c>
      <c r="Q91" s="143">
        <f t="array" ref="Q91">INDEX('[29]REKAP '!$J$9:$J$82,MATCH(1,('[29]REKAP '!$E$9:$E$82=$D91)*('[29]REKAP '!$E$9:$E$82=$D91),0))</f>
        <v>5</v>
      </c>
      <c r="R91" s="9">
        <f t="shared" si="17"/>
        <v>4.5871559633027523</v>
      </c>
      <c r="S91" s="8" t="str">
        <f t="shared" si="18"/>
        <v>Tetap Deteksi</v>
      </c>
      <c r="T91" s="143">
        <f t="array" ref="T91">INDEX('[29]REKAP '!$M$9:$M$82,MATCH(1,('[29]REKAP '!$E$9:$E$82=$D91)*('[29]REKAP '!$E$9:$E$82=$D91),0))</f>
        <v>7</v>
      </c>
      <c r="U91" s="9">
        <f t="shared" si="19"/>
        <v>6.4220183486238538</v>
      </c>
      <c r="V91" s="11">
        <f t="array" ref="V91">INDEX('[30]Rekap Tgl BKP JJG (2)'!$G$9:$G$82,MATCH(1,('[30]Rekap Tgl BKP JJG (2)'!$E$9:$E$82=$D91)*('[30]Rekap Tgl BKP JJG (2)'!$E$9:$E$82=$D91),0))</f>
        <v>0</v>
      </c>
      <c r="W91" s="203">
        <f t="array" ref="W91">INDEX('[30]Rekap Tgl BKP JJG (2)'!$I$9:$I$82,MATCH(1,('[30]Rekap Tgl BKP JJG (2)'!$E$9:$E$82=$D91)*('[30]Rekap Tgl BKP JJG (2)'!$E$9:$E$82=$D91),0))</f>
        <v>0</v>
      </c>
      <c r="X91" s="203">
        <f t="array" ref="X91">INDEX('[30]Rekap Tgl BKP JJG (2)'!$K$9:$K$82,MATCH(1,('[30]Rekap Tgl BKP JJG (2)'!$E$9:$E$82=$D91)*('[30]Rekap Tgl BKP JJG (2)'!$E$9:$E$82=$D91),0))</f>
        <v>0</v>
      </c>
      <c r="Y91" s="9">
        <f t="shared" si="20"/>
        <v>0</v>
      </c>
      <c r="Z91" s="8" t="str">
        <f t="shared" si="21"/>
        <v>Belum Deteksi</v>
      </c>
      <c r="AA91" s="203">
        <f t="array" ref="AA91">INDEX('[30]Rekap Tgl BKP JJG (2)'!$N$9:$N$82,MATCH(1,('[30]Rekap Tgl BKP JJG (2)'!$E$9:$E$82=$D91)*('[30]Rekap Tgl BKP JJG (2)'!$E$9:$E$82=$D91),0))</f>
        <v>0</v>
      </c>
      <c r="AB91" s="9">
        <f t="shared" si="22"/>
        <v>0</v>
      </c>
    </row>
    <row r="92" spans="1:28" outlineLevel="1" x14ac:dyDescent="0.15">
      <c r="A92" s="8" t="s">
        <v>1927</v>
      </c>
      <c r="B92" s="8"/>
      <c r="C92" s="8" t="s">
        <v>1951</v>
      </c>
      <c r="D92" s="186" t="s">
        <v>1960</v>
      </c>
      <c r="E92" s="9">
        <v>23.580000000000002</v>
      </c>
      <c r="F92" s="8" t="s">
        <v>1740</v>
      </c>
      <c r="G92" s="10">
        <v>2622</v>
      </c>
      <c r="H92" s="204">
        <f t="shared" si="23"/>
        <v>46224</v>
      </c>
      <c r="I92" s="205">
        <f t="shared" si="24"/>
        <v>102</v>
      </c>
      <c r="J92" s="206">
        <f t="shared" si="25"/>
        <v>3.8901601830663615</v>
      </c>
      <c r="K92" s="205">
        <f t="shared" si="26"/>
        <v>4</v>
      </c>
      <c r="L92" s="206">
        <f t="shared" si="27"/>
        <v>3.9215686274509802</v>
      </c>
      <c r="M92" s="8" t="str">
        <f t="array" ref="M92">IF(L92&gt;5,"Perlu Sensus",IF(AND(L92&gt;=0,I92&gt;0),"Tetap Deteksi","Belum Deteksi"))</f>
        <v>Tetap Deteksi</v>
      </c>
      <c r="N92" s="11">
        <f t="array" ref="N92">INDEX('[29]REKAP '!$F$9:$F$82,MATCH(1,('[29]REKAP '!$E$9:$E$82=$D92)*('[29]REKAP '!$E$9:$E$82=$D92),0))</f>
        <v>46224</v>
      </c>
      <c r="O92" s="143">
        <f t="array" ref="O92">INDEX('[29]REKAP '!$H$9:$H$82,MATCH(1,('[29]REKAP '!$E$9:$E$82=$D92)*('[29]REKAP '!$E$9:$E$82=$D92),0))</f>
        <v>102</v>
      </c>
      <c r="P92" s="9">
        <f t="shared" si="16"/>
        <v>3.8901601830663615</v>
      </c>
      <c r="Q92" s="143">
        <f t="array" ref="Q92">INDEX('[29]REKAP '!$J$9:$J$82,MATCH(1,('[29]REKAP '!$E$9:$E$82=$D92)*('[29]REKAP '!$E$9:$E$82=$D92),0))</f>
        <v>4</v>
      </c>
      <c r="R92" s="9">
        <f t="shared" si="17"/>
        <v>3.9215686274509802</v>
      </c>
      <c r="S92" s="8" t="str">
        <f t="shared" si="18"/>
        <v>Tetap Deteksi</v>
      </c>
      <c r="T92" s="143">
        <f t="array" ref="T92">INDEX('[29]REKAP '!$M$9:$M$82,MATCH(1,('[29]REKAP '!$E$9:$E$82=$D92)*('[29]REKAP '!$E$9:$E$82=$D92),0))</f>
        <v>11</v>
      </c>
      <c r="U92" s="9">
        <f t="shared" si="19"/>
        <v>10.784313725490197</v>
      </c>
      <c r="V92" s="11">
        <f t="array" ref="V92">INDEX('[30]Rekap Tgl BKP JJG (2)'!$G$9:$G$82,MATCH(1,('[30]Rekap Tgl BKP JJG (2)'!$E$9:$E$82=$D92)*('[30]Rekap Tgl BKP JJG (2)'!$E$9:$E$82=$D92),0))</f>
        <v>0</v>
      </c>
      <c r="W92" s="203">
        <f t="array" ref="W92">INDEX('[30]Rekap Tgl BKP JJG (2)'!$I$9:$I$82,MATCH(1,('[30]Rekap Tgl BKP JJG (2)'!$E$9:$E$82=$D92)*('[30]Rekap Tgl BKP JJG (2)'!$E$9:$E$82=$D92),0))</f>
        <v>0</v>
      </c>
      <c r="X92" s="203">
        <f t="array" ref="X92">INDEX('[30]Rekap Tgl BKP JJG (2)'!$K$9:$K$82,MATCH(1,('[30]Rekap Tgl BKP JJG (2)'!$E$9:$E$82=$D92)*('[30]Rekap Tgl BKP JJG (2)'!$E$9:$E$82=$D92),0))</f>
        <v>0</v>
      </c>
      <c r="Y92" s="9">
        <f t="shared" si="20"/>
        <v>0</v>
      </c>
      <c r="Z92" s="8" t="str">
        <f t="shared" si="21"/>
        <v>Belum Deteksi</v>
      </c>
      <c r="AA92" s="203">
        <f t="array" ref="AA92">INDEX('[30]Rekap Tgl BKP JJG (2)'!$N$9:$N$82,MATCH(1,('[30]Rekap Tgl BKP JJG (2)'!$E$9:$E$82=$D92)*('[30]Rekap Tgl BKP JJG (2)'!$E$9:$E$82=$D92),0))</f>
        <v>0</v>
      </c>
      <c r="AB92" s="9">
        <f t="shared" si="22"/>
        <v>0</v>
      </c>
    </row>
    <row r="93" spans="1:28" outlineLevel="1" x14ac:dyDescent="0.15">
      <c r="A93" s="8" t="s">
        <v>1927</v>
      </c>
      <c r="B93" s="8"/>
      <c r="C93" s="8" t="s">
        <v>1961</v>
      </c>
      <c r="D93" s="181" t="s">
        <v>1962</v>
      </c>
      <c r="E93" s="9">
        <v>37.299999999999997</v>
      </c>
      <c r="F93" s="8" t="s">
        <v>1740</v>
      </c>
      <c r="G93" s="10">
        <v>4655</v>
      </c>
      <c r="H93" s="204">
        <f t="shared" si="23"/>
        <v>46221</v>
      </c>
      <c r="I93" s="205">
        <f t="shared" si="24"/>
        <v>119</v>
      </c>
      <c r="J93" s="206">
        <f t="shared" si="25"/>
        <v>2.5563909774436091</v>
      </c>
      <c r="K93" s="205">
        <f t="shared" si="26"/>
        <v>4</v>
      </c>
      <c r="L93" s="206">
        <f t="shared" si="27"/>
        <v>3.3613445378151261</v>
      </c>
      <c r="M93" s="8" t="str">
        <f t="array" ref="M93">IF(L93&gt;5,"Perlu Sensus",IF(AND(L93&gt;=0,I93&gt;0),"Tetap Deteksi","Belum Deteksi"))</f>
        <v>Tetap Deteksi</v>
      </c>
      <c r="N93" s="11">
        <f t="array" ref="N93">INDEX('[29]REKAP '!$F$9:$F$82,MATCH(1,('[29]REKAP '!$E$9:$E$82=$D93)*('[29]REKAP '!$E$9:$E$82=$D93),0))</f>
        <v>46221</v>
      </c>
      <c r="O93" s="143">
        <f t="array" ref="O93">INDEX('[29]REKAP '!$H$9:$H$82,MATCH(1,('[29]REKAP '!$E$9:$E$82=$D93)*('[29]REKAP '!$E$9:$E$82=$D93),0))</f>
        <v>119</v>
      </c>
      <c r="P93" s="9">
        <f t="shared" si="16"/>
        <v>2.5563909774436091</v>
      </c>
      <c r="Q93" s="143">
        <f t="array" ref="Q93">INDEX('[29]REKAP '!$J$9:$J$82,MATCH(1,('[29]REKAP '!$E$9:$E$82=$D93)*('[29]REKAP '!$E$9:$E$82=$D93),0))</f>
        <v>4</v>
      </c>
      <c r="R93" s="9">
        <f t="shared" si="17"/>
        <v>3.3613445378151261</v>
      </c>
      <c r="S93" s="8" t="str">
        <f t="shared" si="18"/>
        <v>Tetap Deteksi</v>
      </c>
      <c r="T93" s="143">
        <f t="array" ref="T93">INDEX('[29]REKAP '!$M$9:$M$82,MATCH(1,('[29]REKAP '!$E$9:$E$82=$D93)*('[29]REKAP '!$E$9:$E$82=$D93),0))</f>
        <v>10</v>
      </c>
      <c r="U93" s="9">
        <f t="shared" si="19"/>
        <v>8.4033613445378155</v>
      </c>
      <c r="V93" s="11">
        <f t="array" ref="V93">INDEX('[30]Rekap Tgl BKP JJG (2)'!$G$9:$G$82,MATCH(1,('[30]Rekap Tgl BKP JJG (2)'!$E$9:$E$82=$D93)*('[30]Rekap Tgl BKP JJG (2)'!$E$9:$E$82=$D93),0))</f>
        <v>46246</v>
      </c>
      <c r="W93" s="203">
        <f t="array" ref="W93">INDEX('[30]Rekap Tgl BKP JJG (2)'!$I$9:$I$82,MATCH(1,('[30]Rekap Tgl BKP JJG (2)'!$E$9:$E$82=$D93)*('[30]Rekap Tgl BKP JJG (2)'!$E$9:$E$82=$D93),0))</f>
        <v>505</v>
      </c>
      <c r="X93" s="203">
        <f t="array" ref="X93">INDEX('[30]Rekap Tgl BKP JJG (2)'!$K$9:$K$82,MATCH(1,('[30]Rekap Tgl BKP JJG (2)'!$E$9:$E$82=$D93)*('[30]Rekap Tgl BKP JJG (2)'!$E$9:$E$82=$D93),0))</f>
        <v>7</v>
      </c>
      <c r="Y93" s="9">
        <f t="shared" si="20"/>
        <v>1.3861386138613863</v>
      </c>
      <c r="Z93" s="8" t="str">
        <f t="shared" si="21"/>
        <v>Tetap Deteksi</v>
      </c>
      <c r="AA93" s="203">
        <f t="array" ref="AA93">INDEX('[30]Rekap Tgl BKP JJG (2)'!$N$9:$N$82,MATCH(1,('[30]Rekap Tgl BKP JJG (2)'!$E$9:$E$82=$D93)*('[30]Rekap Tgl BKP JJG (2)'!$E$9:$E$82=$D93),0))</f>
        <v>9</v>
      </c>
      <c r="AB93" s="9">
        <f t="shared" si="22"/>
        <v>1.782178217821782</v>
      </c>
    </row>
    <row r="94" spans="1:28" outlineLevel="1" x14ac:dyDescent="0.15">
      <c r="A94" s="8" t="s">
        <v>1927</v>
      </c>
      <c r="B94" s="8"/>
      <c r="C94" s="8" t="s">
        <v>1961</v>
      </c>
      <c r="D94" s="181" t="s">
        <v>1963</v>
      </c>
      <c r="E94" s="9">
        <v>36.99</v>
      </c>
      <c r="F94" s="8" t="s">
        <v>1740</v>
      </c>
      <c r="G94" s="10">
        <v>4362</v>
      </c>
      <c r="H94" s="204">
        <f t="shared" si="23"/>
        <v>46212</v>
      </c>
      <c r="I94" s="205">
        <f t="shared" si="24"/>
        <v>84</v>
      </c>
      <c r="J94" s="206">
        <f t="shared" si="25"/>
        <v>1.9257221458046769</v>
      </c>
      <c r="K94" s="205">
        <f t="shared" si="26"/>
        <v>2</v>
      </c>
      <c r="L94" s="206">
        <f t="shared" si="27"/>
        <v>2.3809523809523809</v>
      </c>
      <c r="M94" s="8" t="str">
        <f t="array" ref="M94">IF(L94&gt;5,"Perlu Sensus",IF(AND(L94&gt;=0,I94&gt;0),"Tetap Deteksi","Belum Deteksi"))</f>
        <v>Tetap Deteksi</v>
      </c>
      <c r="N94" s="11">
        <f t="array" ref="N94">INDEX('[29]REKAP '!$F$9:$F$82,MATCH(1,('[29]REKAP '!$E$9:$E$82=$D94)*('[29]REKAP '!$E$9:$E$82=$D94),0))</f>
        <v>46212</v>
      </c>
      <c r="O94" s="143">
        <f t="array" ref="O94">INDEX('[29]REKAP '!$H$9:$H$82,MATCH(1,('[29]REKAP '!$E$9:$E$82=$D94)*('[29]REKAP '!$E$9:$E$82=$D94),0))</f>
        <v>84</v>
      </c>
      <c r="P94" s="9">
        <f t="shared" si="16"/>
        <v>1.9257221458046769</v>
      </c>
      <c r="Q94" s="143">
        <f t="array" ref="Q94">INDEX('[29]REKAP '!$J$9:$J$82,MATCH(1,('[29]REKAP '!$E$9:$E$82=$D94)*('[29]REKAP '!$E$9:$E$82=$D94),0))</f>
        <v>2</v>
      </c>
      <c r="R94" s="9">
        <f t="shared" si="17"/>
        <v>2.3809523809523809</v>
      </c>
      <c r="S94" s="8" t="str">
        <f t="shared" si="18"/>
        <v>Tetap Deteksi</v>
      </c>
      <c r="T94" s="143">
        <f t="array" ref="T94">INDEX('[29]REKAP '!$M$9:$M$82,MATCH(1,('[29]REKAP '!$E$9:$E$82=$D94)*('[29]REKAP '!$E$9:$E$82=$D94),0))</f>
        <v>8</v>
      </c>
      <c r="U94" s="9">
        <f t="shared" si="19"/>
        <v>9.5238095238095237</v>
      </c>
      <c r="V94" s="11">
        <f t="array" ref="V94">INDEX('[30]Rekap Tgl BKP JJG (2)'!$G$9:$G$82,MATCH(1,('[30]Rekap Tgl BKP JJG (2)'!$E$9:$E$82=$D94)*('[30]Rekap Tgl BKP JJG (2)'!$E$9:$E$82=$D94),0))</f>
        <v>46244</v>
      </c>
      <c r="W94" s="203">
        <f t="array" ref="W94">INDEX('[30]Rekap Tgl BKP JJG (2)'!$I$9:$I$82,MATCH(1,('[30]Rekap Tgl BKP JJG (2)'!$E$9:$E$82=$D94)*('[30]Rekap Tgl BKP JJG (2)'!$E$9:$E$82=$D94),0))</f>
        <v>556</v>
      </c>
      <c r="X94" s="203">
        <f t="array" ref="X94">INDEX('[30]Rekap Tgl BKP JJG (2)'!$K$9:$K$82,MATCH(1,('[30]Rekap Tgl BKP JJG (2)'!$E$9:$E$82=$D94)*('[30]Rekap Tgl BKP JJG (2)'!$E$9:$E$82=$D94),0))</f>
        <v>9</v>
      </c>
      <c r="Y94" s="9">
        <f t="shared" si="20"/>
        <v>1.6187050359712229</v>
      </c>
      <c r="Z94" s="8" t="str">
        <f t="shared" si="21"/>
        <v>Tetap Deteksi</v>
      </c>
      <c r="AA94" s="203">
        <f t="array" ref="AA94">INDEX('[30]Rekap Tgl BKP JJG (2)'!$N$9:$N$82,MATCH(1,('[30]Rekap Tgl BKP JJG (2)'!$E$9:$E$82=$D94)*('[30]Rekap Tgl BKP JJG (2)'!$E$9:$E$82=$D94),0))</f>
        <v>79</v>
      </c>
      <c r="AB94" s="9">
        <f t="shared" si="22"/>
        <v>14.208633093525179</v>
      </c>
    </row>
    <row r="95" spans="1:28" outlineLevel="1" x14ac:dyDescent="0.15">
      <c r="A95" s="8" t="s">
        <v>1927</v>
      </c>
      <c r="B95" s="8"/>
      <c r="C95" s="8" t="s">
        <v>1961</v>
      </c>
      <c r="D95" s="186" t="s">
        <v>1964</v>
      </c>
      <c r="E95" s="9">
        <v>32.01</v>
      </c>
      <c r="F95" s="8" t="s">
        <v>1740</v>
      </c>
      <c r="G95" s="10">
        <v>3088</v>
      </c>
      <c r="H95" s="204">
        <f t="shared" si="23"/>
        <v>46226</v>
      </c>
      <c r="I95" s="205">
        <f t="shared" si="24"/>
        <v>89</v>
      </c>
      <c r="J95" s="206">
        <f t="shared" si="25"/>
        <v>2.8821243523316062</v>
      </c>
      <c r="K95" s="205">
        <f t="shared" si="26"/>
        <v>3</v>
      </c>
      <c r="L95" s="206">
        <f t="shared" si="27"/>
        <v>3.3707865168539324</v>
      </c>
      <c r="M95" s="8" t="str">
        <f t="array" ref="M95">IF(L95&gt;5,"Perlu Sensus",IF(AND(L95&gt;=0,I95&gt;0),"Tetap Deteksi","Belum Deteksi"))</f>
        <v>Tetap Deteksi</v>
      </c>
      <c r="N95" s="11">
        <f t="array" ref="N95">INDEX('[29]REKAP '!$F$9:$F$82,MATCH(1,('[29]REKAP '!$E$9:$E$82=$D95)*('[29]REKAP '!$E$9:$E$82=$D95),0))</f>
        <v>46226</v>
      </c>
      <c r="O95" s="143">
        <f t="array" ref="O95">INDEX('[29]REKAP '!$H$9:$H$82,MATCH(1,('[29]REKAP '!$E$9:$E$82=$D95)*('[29]REKAP '!$E$9:$E$82=$D95),0))</f>
        <v>89</v>
      </c>
      <c r="P95" s="9">
        <f t="shared" si="16"/>
        <v>2.8821243523316062</v>
      </c>
      <c r="Q95" s="143">
        <f t="array" ref="Q95">INDEX('[29]REKAP '!$J$9:$J$82,MATCH(1,('[29]REKAP '!$E$9:$E$82=$D95)*('[29]REKAP '!$E$9:$E$82=$D95),0))</f>
        <v>3</v>
      </c>
      <c r="R95" s="9">
        <f t="shared" si="17"/>
        <v>3.3707865168539324</v>
      </c>
      <c r="S95" s="8" t="str">
        <f t="shared" si="18"/>
        <v>Tetap Deteksi</v>
      </c>
      <c r="T95" s="143">
        <f t="array" ref="T95">INDEX('[29]REKAP '!$M$9:$M$82,MATCH(1,('[29]REKAP '!$E$9:$E$82=$D95)*('[29]REKAP '!$E$9:$E$82=$D95),0))</f>
        <v>7</v>
      </c>
      <c r="U95" s="9">
        <f t="shared" si="19"/>
        <v>7.8651685393258424</v>
      </c>
      <c r="V95" s="11">
        <f t="array" ref="V95">INDEX('[30]Rekap Tgl BKP JJG (2)'!$G$9:$G$82,MATCH(1,('[30]Rekap Tgl BKP JJG (2)'!$E$9:$E$82=$D95)*('[30]Rekap Tgl BKP JJG (2)'!$E$9:$E$82=$D95),0))</f>
        <v>46239</v>
      </c>
      <c r="W95" s="203">
        <f t="array" ref="W95">INDEX('[30]Rekap Tgl BKP JJG (2)'!$I$9:$I$82,MATCH(1,('[30]Rekap Tgl BKP JJG (2)'!$E$9:$E$82=$D95)*('[30]Rekap Tgl BKP JJG (2)'!$E$9:$E$82=$D95),0))</f>
        <v>512</v>
      </c>
      <c r="X95" s="203">
        <f t="array" ref="X95">INDEX('[30]Rekap Tgl BKP JJG (2)'!$K$9:$K$82,MATCH(1,('[30]Rekap Tgl BKP JJG (2)'!$E$9:$E$82=$D95)*('[30]Rekap Tgl BKP JJG (2)'!$E$9:$E$82=$D95),0))</f>
        <v>8</v>
      </c>
      <c r="Y95" s="9">
        <f t="shared" si="20"/>
        <v>1.5625</v>
      </c>
      <c r="Z95" s="8" t="str">
        <f t="shared" si="21"/>
        <v>Tetap Deteksi</v>
      </c>
      <c r="AA95" s="203">
        <f t="array" ref="AA95">INDEX('[30]Rekap Tgl BKP JJG (2)'!$N$9:$N$82,MATCH(1,('[30]Rekap Tgl BKP JJG (2)'!$E$9:$E$82=$D95)*('[30]Rekap Tgl BKP JJG (2)'!$E$9:$E$82=$D95),0))</f>
        <v>9</v>
      </c>
      <c r="AB95" s="9">
        <f t="shared" si="22"/>
        <v>1.7578125</v>
      </c>
    </row>
    <row r="96" spans="1:28" outlineLevel="1" x14ac:dyDescent="0.15">
      <c r="A96" s="8" t="s">
        <v>1927</v>
      </c>
      <c r="B96" s="8"/>
      <c r="C96" s="8" t="s">
        <v>1961</v>
      </c>
      <c r="D96" s="186" t="s">
        <v>1965</v>
      </c>
      <c r="E96" s="9">
        <v>45.82</v>
      </c>
      <c r="F96" s="8" t="s">
        <v>1740</v>
      </c>
      <c r="G96" s="10">
        <v>4930</v>
      </c>
      <c r="H96" s="204">
        <f t="shared" si="23"/>
        <v>46223</v>
      </c>
      <c r="I96" s="205">
        <f t="shared" si="24"/>
        <v>124</v>
      </c>
      <c r="J96" s="206">
        <f t="shared" si="25"/>
        <v>2.5152129817444218</v>
      </c>
      <c r="K96" s="205">
        <f t="shared" si="26"/>
        <v>3</v>
      </c>
      <c r="L96" s="206">
        <f t="shared" si="27"/>
        <v>2.4193548387096775</v>
      </c>
      <c r="M96" s="8" t="str">
        <f t="array" ref="M96">IF(L96&gt;5,"Perlu Sensus",IF(AND(L96&gt;=0,I96&gt;0),"Tetap Deteksi","Belum Deteksi"))</f>
        <v>Tetap Deteksi</v>
      </c>
      <c r="N96" s="11">
        <f t="array" ref="N96">INDEX('[29]REKAP '!$F$9:$F$82,MATCH(1,('[29]REKAP '!$E$9:$E$82=$D96)*('[29]REKAP '!$E$9:$E$82=$D96),0))</f>
        <v>46223</v>
      </c>
      <c r="O96" s="143">
        <f t="array" ref="O96">INDEX('[29]REKAP '!$H$9:$H$82,MATCH(1,('[29]REKAP '!$E$9:$E$82=$D96)*('[29]REKAP '!$E$9:$E$82=$D96),0))</f>
        <v>124</v>
      </c>
      <c r="P96" s="9">
        <f t="shared" si="16"/>
        <v>2.5152129817444218</v>
      </c>
      <c r="Q96" s="143">
        <f t="array" ref="Q96">INDEX('[29]REKAP '!$J$9:$J$82,MATCH(1,('[29]REKAP '!$E$9:$E$82=$D96)*('[29]REKAP '!$E$9:$E$82=$D96),0))</f>
        <v>3</v>
      </c>
      <c r="R96" s="9">
        <f t="shared" si="17"/>
        <v>2.4193548387096775</v>
      </c>
      <c r="S96" s="8" t="str">
        <f t="shared" si="18"/>
        <v>Tetap Deteksi</v>
      </c>
      <c r="T96" s="143">
        <f t="array" ref="T96">INDEX('[29]REKAP '!$M$9:$M$82,MATCH(1,('[29]REKAP '!$E$9:$E$82=$D96)*('[29]REKAP '!$E$9:$E$82=$D96),0))</f>
        <v>12</v>
      </c>
      <c r="U96" s="9">
        <f t="shared" si="19"/>
        <v>9.67741935483871</v>
      </c>
      <c r="V96" s="11">
        <f t="array" ref="V96">INDEX('[30]Rekap Tgl BKP JJG (2)'!$G$9:$G$82,MATCH(1,('[30]Rekap Tgl BKP JJG (2)'!$E$9:$E$82=$D96)*('[30]Rekap Tgl BKP JJG (2)'!$E$9:$E$82=$D96),0))</f>
        <v>46240</v>
      </c>
      <c r="W96" s="203">
        <f t="array" ref="W96">INDEX('[30]Rekap Tgl BKP JJG (2)'!$I$9:$I$82,MATCH(1,('[30]Rekap Tgl BKP JJG (2)'!$E$9:$E$82=$D96)*('[30]Rekap Tgl BKP JJG (2)'!$E$9:$E$82=$D96),0))</f>
        <v>607</v>
      </c>
      <c r="X96" s="203">
        <f t="array" ref="X96">INDEX('[30]Rekap Tgl BKP JJG (2)'!$K$9:$K$82,MATCH(1,('[30]Rekap Tgl BKP JJG (2)'!$E$9:$E$82=$D96)*('[30]Rekap Tgl BKP JJG (2)'!$E$9:$E$82=$D96),0))</f>
        <v>7</v>
      </c>
      <c r="Y96" s="9">
        <f t="shared" si="20"/>
        <v>1.1532125205930808</v>
      </c>
      <c r="Z96" s="8" t="str">
        <f t="shared" si="21"/>
        <v>Tetap Deteksi</v>
      </c>
      <c r="AA96" s="203">
        <f t="array" ref="AA96">INDEX('[30]Rekap Tgl BKP JJG (2)'!$N$9:$N$82,MATCH(1,('[30]Rekap Tgl BKP JJG (2)'!$E$9:$E$82=$D96)*('[30]Rekap Tgl BKP JJG (2)'!$E$9:$E$82=$D96),0))</f>
        <v>10</v>
      </c>
      <c r="AB96" s="9">
        <f t="shared" si="22"/>
        <v>1.6474464579901154</v>
      </c>
    </row>
    <row r="97" spans="1:28" outlineLevel="1" x14ac:dyDescent="0.15">
      <c r="A97" s="8" t="s">
        <v>1927</v>
      </c>
      <c r="B97" s="8"/>
      <c r="C97" s="8" t="s">
        <v>1961</v>
      </c>
      <c r="D97" s="186" t="s">
        <v>1966</v>
      </c>
      <c r="E97" s="9">
        <v>42.81</v>
      </c>
      <c r="F97" s="8" t="s">
        <v>1740</v>
      </c>
      <c r="G97" s="10">
        <v>5842.9999999999991</v>
      </c>
      <c r="H97" s="204">
        <f t="shared" si="23"/>
        <v>46224</v>
      </c>
      <c r="I97" s="205">
        <f t="shared" si="24"/>
        <v>85</v>
      </c>
      <c r="J97" s="206">
        <f t="shared" si="25"/>
        <v>1.4547321581379431</v>
      </c>
      <c r="K97" s="205">
        <f t="shared" si="26"/>
        <v>4</v>
      </c>
      <c r="L97" s="206">
        <f t="shared" si="27"/>
        <v>4.7058823529411766</v>
      </c>
      <c r="M97" s="8" t="str">
        <f t="array" ref="M97">IF(L97&gt;5,"Perlu Sensus",IF(AND(L97&gt;=0,I97&gt;0),"Tetap Deteksi","Belum Deteksi"))</f>
        <v>Tetap Deteksi</v>
      </c>
      <c r="N97" s="11">
        <f t="array" ref="N97">INDEX('[29]REKAP '!$F$9:$F$82,MATCH(1,('[29]REKAP '!$E$9:$E$82=$D97)*('[29]REKAP '!$E$9:$E$82=$D97),0))</f>
        <v>46224</v>
      </c>
      <c r="O97" s="143">
        <f t="array" ref="O97">INDEX('[29]REKAP '!$H$9:$H$82,MATCH(1,('[29]REKAP '!$E$9:$E$82=$D97)*('[29]REKAP '!$E$9:$E$82=$D97),0))</f>
        <v>85</v>
      </c>
      <c r="P97" s="9">
        <f t="shared" si="16"/>
        <v>1.4547321581379431</v>
      </c>
      <c r="Q97" s="143">
        <f t="array" ref="Q97">INDEX('[29]REKAP '!$J$9:$J$82,MATCH(1,('[29]REKAP '!$E$9:$E$82=$D97)*('[29]REKAP '!$E$9:$E$82=$D97),0))</f>
        <v>4</v>
      </c>
      <c r="R97" s="9">
        <f t="shared" si="17"/>
        <v>4.7058823529411766</v>
      </c>
      <c r="S97" s="8" t="str">
        <f t="shared" si="18"/>
        <v>Tetap Deteksi</v>
      </c>
      <c r="T97" s="143">
        <f t="array" ref="T97">INDEX('[29]REKAP '!$M$9:$M$82,MATCH(1,('[29]REKAP '!$E$9:$E$82=$D97)*('[29]REKAP '!$E$9:$E$82=$D97),0))</f>
        <v>6</v>
      </c>
      <c r="U97" s="9">
        <f t="shared" si="19"/>
        <v>7.0588235294117645</v>
      </c>
      <c r="V97" s="11">
        <f t="array" ref="V97">INDEX('[30]Rekap Tgl BKP JJG (2)'!$G$9:$G$82,MATCH(1,('[30]Rekap Tgl BKP JJG (2)'!$E$9:$E$82=$D97)*('[30]Rekap Tgl BKP JJG (2)'!$E$9:$E$82=$D97),0))</f>
        <v>46238</v>
      </c>
      <c r="W97" s="203">
        <f t="array" ref="W97">INDEX('[30]Rekap Tgl BKP JJG (2)'!$I$9:$I$82,MATCH(1,('[30]Rekap Tgl BKP JJG (2)'!$E$9:$E$82=$D97)*('[30]Rekap Tgl BKP JJG (2)'!$E$9:$E$82=$D97),0))</f>
        <v>519</v>
      </c>
      <c r="X97" s="203">
        <f t="array" ref="X97">INDEX('[30]Rekap Tgl BKP JJG (2)'!$K$9:$K$82,MATCH(1,('[30]Rekap Tgl BKP JJG (2)'!$E$9:$E$82=$D97)*('[30]Rekap Tgl BKP JJG (2)'!$E$9:$E$82=$D97),0))</f>
        <v>8</v>
      </c>
      <c r="Y97" s="9">
        <f t="shared" si="20"/>
        <v>1.5414258188824663</v>
      </c>
      <c r="Z97" s="8" t="str">
        <f t="shared" si="21"/>
        <v>Tetap Deteksi</v>
      </c>
      <c r="AA97" s="203">
        <f t="array" ref="AA97">INDEX('[30]Rekap Tgl BKP JJG (2)'!$N$9:$N$82,MATCH(1,('[30]Rekap Tgl BKP JJG (2)'!$E$9:$E$82=$D97)*('[30]Rekap Tgl BKP JJG (2)'!$E$9:$E$82=$D97),0))</f>
        <v>9</v>
      </c>
      <c r="AB97" s="9">
        <f t="shared" si="22"/>
        <v>1.7341040462427744</v>
      </c>
    </row>
    <row r="98" spans="1:28" outlineLevel="1" x14ac:dyDescent="0.15">
      <c r="A98" s="8" t="s">
        <v>1927</v>
      </c>
      <c r="B98" s="8"/>
      <c r="C98" s="8" t="s">
        <v>1961</v>
      </c>
      <c r="D98" s="186" t="s">
        <v>1967</v>
      </c>
      <c r="E98" s="9">
        <v>28.47</v>
      </c>
      <c r="F98" s="8" t="s">
        <v>1740</v>
      </c>
      <c r="G98" s="10">
        <v>3535</v>
      </c>
      <c r="H98" s="204">
        <f t="shared" si="23"/>
        <v>46225</v>
      </c>
      <c r="I98" s="205">
        <f t="shared" si="24"/>
        <v>167</v>
      </c>
      <c r="J98" s="206">
        <f t="shared" si="25"/>
        <v>4.7241867043847243</v>
      </c>
      <c r="K98" s="205">
        <f t="shared" si="26"/>
        <v>6</v>
      </c>
      <c r="L98" s="206">
        <f t="shared" si="27"/>
        <v>3.5928143712574849</v>
      </c>
      <c r="M98" s="8" t="str">
        <f t="array" ref="M98">IF(L98&gt;5,"Perlu Sensus",IF(AND(L98&gt;=0,I98&gt;0),"Tetap Deteksi","Belum Deteksi"))</f>
        <v>Tetap Deteksi</v>
      </c>
      <c r="N98" s="11">
        <f t="array" ref="N98">INDEX('[29]REKAP '!$F$9:$F$82,MATCH(1,('[29]REKAP '!$E$9:$E$82=$D98)*('[29]REKAP '!$E$9:$E$82=$D98),0))</f>
        <v>46225</v>
      </c>
      <c r="O98" s="143">
        <f t="array" ref="O98">INDEX('[29]REKAP '!$H$9:$H$82,MATCH(1,('[29]REKAP '!$E$9:$E$82=$D98)*('[29]REKAP '!$E$9:$E$82=$D98),0))</f>
        <v>167</v>
      </c>
      <c r="P98" s="9">
        <f t="shared" si="16"/>
        <v>4.7241867043847243</v>
      </c>
      <c r="Q98" s="143">
        <f t="array" ref="Q98">INDEX('[29]REKAP '!$J$9:$J$82,MATCH(1,('[29]REKAP '!$E$9:$E$82=$D98)*('[29]REKAP '!$E$9:$E$82=$D98),0))</f>
        <v>6</v>
      </c>
      <c r="R98" s="9">
        <f t="shared" si="17"/>
        <v>3.5928143712574849</v>
      </c>
      <c r="S98" s="8" t="str">
        <f t="shared" si="18"/>
        <v>Tetap Deteksi</v>
      </c>
      <c r="T98" s="143">
        <f t="array" ref="T98">INDEX('[29]REKAP '!$M$9:$M$82,MATCH(1,('[29]REKAP '!$E$9:$E$82=$D98)*('[29]REKAP '!$E$9:$E$82=$D98),0))</f>
        <v>9</v>
      </c>
      <c r="U98" s="9">
        <f t="shared" si="19"/>
        <v>5.3892215568862278</v>
      </c>
      <c r="V98" s="11">
        <f t="array" ref="V98">INDEX('[30]Rekap Tgl BKP JJG (2)'!$G$9:$G$82,MATCH(1,('[30]Rekap Tgl BKP JJG (2)'!$E$9:$E$82=$D98)*('[30]Rekap Tgl BKP JJG (2)'!$E$9:$E$82=$D98),0))</f>
        <v>0</v>
      </c>
      <c r="W98" s="203">
        <f t="array" ref="W98">INDEX('[30]Rekap Tgl BKP JJG (2)'!$I$9:$I$82,MATCH(1,('[30]Rekap Tgl BKP JJG (2)'!$E$9:$E$82=$D98)*('[30]Rekap Tgl BKP JJG (2)'!$E$9:$E$82=$D98),0))</f>
        <v>0</v>
      </c>
      <c r="X98" s="203">
        <f t="array" ref="X98">INDEX('[30]Rekap Tgl BKP JJG (2)'!$K$9:$K$82,MATCH(1,('[30]Rekap Tgl BKP JJG (2)'!$E$9:$E$82=$D98)*('[30]Rekap Tgl BKP JJG (2)'!$E$9:$E$82=$D98),0))</f>
        <v>0</v>
      </c>
      <c r="Y98" s="9">
        <f t="shared" si="20"/>
        <v>0</v>
      </c>
      <c r="Z98" s="8" t="str">
        <f t="shared" si="21"/>
        <v>Belum Deteksi</v>
      </c>
      <c r="AA98" s="203">
        <f t="array" ref="AA98">INDEX('[30]Rekap Tgl BKP JJG (2)'!$N$9:$N$82,MATCH(1,('[30]Rekap Tgl BKP JJG (2)'!$E$9:$E$82=$D98)*('[30]Rekap Tgl BKP JJG (2)'!$E$9:$E$82=$D98),0))</f>
        <v>0</v>
      </c>
      <c r="AB98" s="9">
        <f t="shared" si="22"/>
        <v>0</v>
      </c>
    </row>
    <row r="99" spans="1:28" outlineLevel="1" x14ac:dyDescent="0.15">
      <c r="A99" s="8" t="s">
        <v>1927</v>
      </c>
      <c r="B99" s="8"/>
      <c r="C99" s="8" t="s">
        <v>1961</v>
      </c>
      <c r="D99" s="186" t="s">
        <v>1968</v>
      </c>
      <c r="E99" s="9">
        <v>37.08</v>
      </c>
      <c r="F99" s="8" t="s">
        <v>1740</v>
      </c>
      <c r="G99" s="10">
        <v>4375</v>
      </c>
      <c r="H99" s="204">
        <f t="shared" si="23"/>
        <v>46212</v>
      </c>
      <c r="I99" s="205">
        <f t="shared" si="24"/>
        <v>91</v>
      </c>
      <c r="J99" s="206">
        <f t="shared" si="25"/>
        <v>2.08</v>
      </c>
      <c r="K99" s="205">
        <f t="shared" si="26"/>
        <v>2</v>
      </c>
      <c r="L99" s="206">
        <f t="shared" si="27"/>
        <v>2.197802197802198</v>
      </c>
      <c r="M99" s="8" t="str">
        <f t="array" ref="M99">IF(L99&gt;5,"Perlu Sensus",IF(AND(L99&gt;=0,I99&gt;0),"Tetap Deteksi","Belum Deteksi"))</f>
        <v>Tetap Deteksi</v>
      </c>
      <c r="N99" s="11">
        <f t="array" ref="N99">INDEX('[29]REKAP '!$F$9:$F$82,MATCH(1,('[29]REKAP '!$E$9:$E$82=$D99)*('[29]REKAP '!$E$9:$E$82=$D99),0))</f>
        <v>46212</v>
      </c>
      <c r="O99" s="143">
        <f t="array" ref="O99">INDEX('[29]REKAP '!$H$9:$H$82,MATCH(1,('[29]REKAP '!$E$9:$E$82=$D99)*('[29]REKAP '!$E$9:$E$82=$D99),0))</f>
        <v>91</v>
      </c>
      <c r="P99" s="9">
        <f t="shared" si="16"/>
        <v>2.08</v>
      </c>
      <c r="Q99" s="143">
        <f t="array" ref="Q99">INDEX('[29]REKAP '!$J$9:$J$82,MATCH(1,('[29]REKAP '!$E$9:$E$82=$D99)*('[29]REKAP '!$E$9:$E$82=$D99),0))</f>
        <v>2</v>
      </c>
      <c r="R99" s="9">
        <f t="shared" si="17"/>
        <v>2.197802197802198</v>
      </c>
      <c r="S99" s="8" t="str">
        <f t="shared" si="18"/>
        <v>Tetap Deteksi</v>
      </c>
      <c r="T99" s="143">
        <f t="array" ref="T99">INDEX('[29]REKAP '!$M$9:$M$82,MATCH(1,('[29]REKAP '!$E$9:$E$82=$D99)*('[29]REKAP '!$E$9:$E$82=$D99),0))</f>
        <v>18</v>
      </c>
      <c r="U99" s="9">
        <f t="shared" si="19"/>
        <v>19.780219780219781</v>
      </c>
      <c r="V99" s="11">
        <f t="array" ref="V99">INDEX('[30]Rekap Tgl BKP JJG (2)'!$G$9:$G$82,MATCH(1,('[30]Rekap Tgl BKP JJG (2)'!$E$9:$E$82=$D99)*('[30]Rekap Tgl BKP JJG (2)'!$E$9:$E$82=$D99),0))</f>
        <v>46249</v>
      </c>
      <c r="W99" s="203">
        <f t="array" ref="W99">INDEX('[30]Rekap Tgl BKP JJG (2)'!$I$9:$I$82,MATCH(1,('[30]Rekap Tgl BKP JJG (2)'!$E$9:$E$82=$D99)*('[30]Rekap Tgl BKP JJG (2)'!$E$9:$E$82=$D99),0))</f>
        <v>535</v>
      </c>
      <c r="X99" s="203">
        <f t="array" ref="X99">INDEX('[30]Rekap Tgl BKP JJG (2)'!$K$9:$K$82,MATCH(1,('[30]Rekap Tgl BKP JJG (2)'!$E$9:$E$82=$D99)*('[30]Rekap Tgl BKP JJG (2)'!$E$9:$E$82=$D99),0))</f>
        <v>7</v>
      </c>
      <c r="Y99" s="9">
        <f t="shared" si="20"/>
        <v>1.3084112149532712</v>
      </c>
      <c r="Z99" s="8" t="str">
        <f t="shared" si="21"/>
        <v>Tetap Deteksi</v>
      </c>
      <c r="AA99" s="203">
        <f t="array" ref="AA99">INDEX('[30]Rekap Tgl BKP JJG (2)'!$N$9:$N$82,MATCH(1,('[30]Rekap Tgl BKP JJG (2)'!$E$9:$E$82=$D99)*('[30]Rekap Tgl BKP JJG (2)'!$E$9:$E$82=$D99),0))</f>
        <v>9</v>
      </c>
      <c r="AB99" s="9">
        <f t="shared" si="22"/>
        <v>1.6822429906542056</v>
      </c>
    </row>
    <row r="100" spans="1:28" outlineLevel="1" x14ac:dyDescent="0.15">
      <c r="A100" s="8" t="s">
        <v>1927</v>
      </c>
      <c r="B100" s="8"/>
      <c r="C100" s="8" t="s">
        <v>1961</v>
      </c>
      <c r="D100" s="186" t="s">
        <v>1969</v>
      </c>
      <c r="E100" s="9">
        <v>34.1</v>
      </c>
      <c r="F100" s="8" t="s">
        <v>1740</v>
      </c>
      <c r="G100" s="10">
        <v>3481</v>
      </c>
      <c r="H100" s="204">
        <f t="shared" si="23"/>
        <v>46227</v>
      </c>
      <c r="I100" s="205">
        <f t="shared" si="24"/>
        <v>122</v>
      </c>
      <c r="J100" s="206">
        <f t="shared" si="25"/>
        <v>3.504740017236426</v>
      </c>
      <c r="K100" s="205">
        <f t="shared" si="26"/>
        <v>3</v>
      </c>
      <c r="L100" s="206">
        <f t="shared" si="27"/>
        <v>2.459016393442623</v>
      </c>
      <c r="M100" s="8" t="str">
        <f t="array" ref="M100">IF(L100&gt;5,"Perlu Sensus",IF(AND(L100&gt;=0,I100&gt;0),"Tetap Deteksi","Belum Deteksi"))</f>
        <v>Tetap Deteksi</v>
      </c>
      <c r="N100" s="11">
        <f t="array" ref="N100">INDEX('[29]REKAP '!$F$9:$F$82,MATCH(1,('[29]REKAP '!$E$9:$E$82=$D100)*('[29]REKAP '!$E$9:$E$82=$D100),0))</f>
        <v>46227</v>
      </c>
      <c r="O100" s="143">
        <f t="array" ref="O100">INDEX('[29]REKAP '!$H$9:$H$82,MATCH(1,('[29]REKAP '!$E$9:$E$82=$D100)*('[29]REKAP '!$E$9:$E$82=$D100),0))</f>
        <v>122</v>
      </c>
      <c r="P100" s="9">
        <f t="shared" si="16"/>
        <v>3.504740017236426</v>
      </c>
      <c r="Q100" s="143">
        <f t="array" ref="Q100">INDEX('[29]REKAP '!$J$9:$J$82,MATCH(1,('[29]REKAP '!$E$9:$E$82=$D100)*('[29]REKAP '!$E$9:$E$82=$D100),0))</f>
        <v>3</v>
      </c>
      <c r="R100" s="9">
        <f t="shared" si="17"/>
        <v>2.459016393442623</v>
      </c>
      <c r="S100" s="8" t="str">
        <f t="shared" si="18"/>
        <v>Tetap Deteksi</v>
      </c>
      <c r="T100" s="143">
        <f t="array" ref="T100">INDEX('[29]REKAP '!$M$9:$M$82,MATCH(1,('[29]REKAP '!$E$9:$E$82=$D100)*('[29]REKAP '!$E$9:$E$82=$D100),0))</f>
        <v>12</v>
      </c>
      <c r="U100" s="9">
        <f t="shared" si="19"/>
        <v>9.8360655737704921</v>
      </c>
      <c r="V100" s="11">
        <f t="array" ref="V100">INDEX('[30]Rekap Tgl BKP JJG (2)'!$G$9:$G$82,MATCH(1,('[30]Rekap Tgl BKP JJG (2)'!$E$9:$E$82=$D100)*('[30]Rekap Tgl BKP JJG (2)'!$E$9:$E$82=$D100),0))</f>
        <v>0</v>
      </c>
      <c r="W100" s="203">
        <f t="array" ref="W100">INDEX('[30]Rekap Tgl BKP JJG (2)'!$I$9:$I$82,MATCH(1,('[30]Rekap Tgl BKP JJG (2)'!$E$9:$E$82=$D100)*('[30]Rekap Tgl BKP JJG (2)'!$E$9:$E$82=$D100),0))</f>
        <v>0</v>
      </c>
      <c r="X100" s="203">
        <f t="array" ref="X100">INDEX('[30]Rekap Tgl BKP JJG (2)'!$K$9:$K$82,MATCH(1,('[30]Rekap Tgl BKP JJG (2)'!$E$9:$E$82=$D100)*('[30]Rekap Tgl BKP JJG (2)'!$E$9:$E$82=$D100),0))</f>
        <v>0</v>
      </c>
      <c r="Y100" s="9">
        <f t="shared" si="20"/>
        <v>0</v>
      </c>
      <c r="Z100" s="8" t="str">
        <f t="shared" si="21"/>
        <v>Belum Deteksi</v>
      </c>
      <c r="AA100" s="203">
        <f t="array" ref="AA100">INDEX('[30]Rekap Tgl BKP JJG (2)'!$N$9:$N$82,MATCH(1,('[30]Rekap Tgl BKP JJG (2)'!$E$9:$E$82=$D100)*('[30]Rekap Tgl BKP JJG (2)'!$E$9:$E$82=$D100),0))</f>
        <v>0</v>
      </c>
      <c r="AB100" s="9">
        <f t="shared" si="22"/>
        <v>0</v>
      </c>
    </row>
    <row r="101" spans="1:28" outlineLevel="1" x14ac:dyDescent="0.15">
      <c r="A101" s="8"/>
      <c r="B101" s="8"/>
      <c r="C101" s="8"/>
      <c r="D101" s="8"/>
      <c r="E101" s="9"/>
      <c r="F101" s="8"/>
      <c r="G101" s="10"/>
      <c r="H101" s="132"/>
      <c r="I101" s="140"/>
      <c r="J101" s="9"/>
      <c r="K101" s="140"/>
      <c r="L101" s="9"/>
      <c r="M101" s="8"/>
      <c r="N101" s="132"/>
      <c r="O101" s="140"/>
      <c r="P101" s="9"/>
      <c r="Q101" s="140"/>
      <c r="R101" s="9"/>
      <c r="S101" s="8"/>
      <c r="T101" s="140"/>
      <c r="U101" s="9">
        <f t="shared" ref="U101:U134" si="28">IFERROR(T101/O101*100,0)</f>
        <v>0</v>
      </c>
      <c r="V101" s="132"/>
      <c r="W101" s="140"/>
      <c r="X101" s="140"/>
      <c r="Y101" s="9"/>
      <c r="Z101" s="8"/>
      <c r="AA101" s="140"/>
      <c r="AB101" s="9">
        <f t="shared" ref="AB101:AB134" si="29">IFERROR(AA101/W101*100,0)</f>
        <v>0</v>
      </c>
    </row>
    <row r="102" spans="1:28" outlineLevel="1" x14ac:dyDescent="0.15">
      <c r="A102" s="8"/>
      <c r="B102" s="8"/>
      <c r="C102" s="8"/>
      <c r="D102" s="8"/>
      <c r="E102" s="9"/>
      <c r="F102" s="8"/>
      <c r="G102" s="10"/>
      <c r="H102" s="132"/>
      <c r="I102" s="140"/>
      <c r="J102" s="9"/>
      <c r="K102" s="140"/>
      <c r="L102" s="9"/>
      <c r="M102" s="8"/>
      <c r="N102" s="132"/>
      <c r="O102" s="140"/>
      <c r="P102" s="9"/>
      <c r="Q102" s="140"/>
      <c r="R102" s="9"/>
      <c r="S102" s="8"/>
      <c r="T102" s="140"/>
      <c r="U102" s="9">
        <f t="shared" si="28"/>
        <v>0</v>
      </c>
      <c r="V102" s="132"/>
      <c r="W102" s="140"/>
      <c r="X102" s="140"/>
      <c r="Y102" s="9"/>
      <c r="Z102" s="8"/>
      <c r="AA102" s="140"/>
      <c r="AB102" s="9">
        <f t="shared" si="29"/>
        <v>0</v>
      </c>
    </row>
    <row r="103" spans="1:28" outlineLevel="1" x14ac:dyDescent="0.15">
      <c r="A103" s="8"/>
      <c r="B103" s="8"/>
      <c r="C103" s="8"/>
      <c r="D103" s="8"/>
      <c r="E103" s="9"/>
      <c r="F103" s="8"/>
      <c r="G103" s="10"/>
      <c r="H103" s="132"/>
      <c r="I103" s="140"/>
      <c r="J103" s="9"/>
      <c r="K103" s="140"/>
      <c r="L103" s="9"/>
      <c r="M103" s="8"/>
      <c r="N103" s="132"/>
      <c r="O103" s="140"/>
      <c r="P103" s="9"/>
      <c r="Q103" s="140"/>
      <c r="R103" s="9"/>
      <c r="S103" s="8"/>
      <c r="T103" s="140"/>
      <c r="U103" s="9">
        <f t="shared" si="28"/>
        <v>0</v>
      </c>
      <c r="V103" s="132"/>
      <c r="W103" s="140"/>
      <c r="X103" s="140"/>
      <c r="Y103" s="9"/>
      <c r="Z103" s="8"/>
      <c r="AA103" s="140"/>
      <c r="AB103" s="9">
        <f t="shared" si="29"/>
        <v>0</v>
      </c>
    </row>
    <row r="104" spans="1:28" outlineLevel="1" x14ac:dyDescent="0.15">
      <c r="A104" s="8"/>
      <c r="B104" s="8"/>
      <c r="C104" s="8"/>
      <c r="D104" s="8"/>
      <c r="E104" s="9"/>
      <c r="F104" s="8"/>
      <c r="G104" s="10"/>
      <c r="H104" s="132"/>
      <c r="I104" s="140"/>
      <c r="J104" s="9"/>
      <c r="K104" s="140"/>
      <c r="L104" s="9"/>
      <c r="M104" s="8"/>
      <c r="N104" s="132"/>
      <c r="O104" s="140"/>
      <c r="P104" s="9"/>
      <c r="Q104" s="140"/>
      <c r="R104" s="9"/>
      <c r="S104" s="8"/>
      <c r="T104" s="140"/>
      <c r="U104" s="9">
        <f t="shared" si="28"/>
        <v>0</v>
      </c>
      <c r="V104" s="132"/>
      <c r="W104" s="140"/>
      <c r="X104" s="140"/>
      <c r="Y104" s="9"/>
      <c r="Z104" s="8"/>
      <c r="AA104" s="140"/>
      <c r="AB104" s="9">
        <f t="shared" si="29"/>
        <v>0</v>
      </c>
    </row>
    <row r="105" spans="1:28" outlineLevel="1" x14ac:dyDescent="0.15">
      <c r="A105" s="8"/>
      <c r="B105" s="8"/>
      <c r="C105" s="8"/>
      <c r="D105" s="8"/>
      <c r="E105" s="9"/>
      <c r="F105" s="8"/>
      <c r="G105" s="10"/>
      <c r="H105" s="132"/>
      <c r="I105" s="140"/>
      <c r="J105" s="9"/>
      <c r="K105" s="140"/>
      <c r="L105" s="9"/>
      <c r="M105" s="8"/>
      <c r="N105" s="132"/>
      <c r="O105" s="140"/>
      <c r="P105" s="9"/>
      <c r="Q105" s="140"/>
      <c r="R105" s="9"/>
      <c r="S105" s="8"/>
      <c r="T105" s="140"/>
      <c r="U105" s="9">
        <f t="shared" si="28"/>
        <v>0</v>
      </c>
      <c r="V105" s="132"/>
      <c r="W105" s="140"/>
      <c r="X105" s="140"/>
      <c r="Y105" s="9"/>
      <c r="Z105" s="8"/>
      <c r="AA105" s="140"/>
      <c r="AB105" s="9">
        <f t="shared" si="29"/>
        <v>0</v>
      </c>
    </row>
    <row r="106" spans="1:28" outlineLevel="1" x14ac:dyDescent="0.15">
      <c r="A106" s="8"/>
      <c r="B106" s="8"/>
      <c r="C106" s="8"/>
      <c r="D106" s="8"/>
      <c r="E106" s="9"/>
      <c r="F106" s="8"/>
      <c r="G106" s="10"/>
      <c r="H106" s="132"/>
      <c r="I106" s="140"/>
      <c r="J106" s="9"/>
      <c r="K106" s="140"/>
      <c r="L106" s="9"/>
      <c r="M106" s="8"/>
      <c r="N106" s="132"/>
      <c r="O106" s="140"/>
      <c r="P106" s="9"/>
      <c r="Q106" s="140"/>
      <c r="R106" s="9"/>
      <c r="S106" s="8"/>
      <c r="T106" s="140"/>
      <c r="U106" s="9">
        <f t="shared" si="28"/>
        <v>0</v>
      </c>
      <c r="V106" s="132"/>
      <c r="W106" s="140"/>
      <c r="X106" s="140"/>
      <c r="Y106" s="9"/>
      <c r="Z106" s="8"/>
      <c r="AA106" s="140"/>
      <c r="AB106" s="9">
        <f t="shared" si="29"/>
        <v>0</v>
      </c>
    </row>
    <row r="107" spans="1:28" outlineLevel="1" x14ac:dyDescent="0.15">
      <c r="A107" s="8"/>
      <c r="B107" s="8"/>
      <c r="C107" s="8"/>
      <c r="D107" s="8"/>
      <c r="E107" s="9"/>
      <c r="F107" s="8"/>
      <c r="G107" s="10"/>
      <c r="H107" s="132"/>
      <c r="I107" s="140"/>
      <c r="J107" s="9"/>
      <c r="K107" s="140"/>
      <c r="L107" s="9"/>
      <c r="M107" s="8"/>
      <c r="N107" s="132"/>
      <c r="O107" s="140"/>
      <c r="P107" s="9"/>
      <c r="Q107" s="140"/>
      <c r="R107" s="9"/>
      <c r="S107" s="8"/>
      <c r="T107" s="140"/>
      <c r="U107" s="9">
        <f t="shared" si="28"/>
        <v>0</v>
      </c>
      <c r="V107" s="132"/>
      <c r="W107" s="140"/>
      <c r="X107" s="140"/>
      <c r="Y107" s="9"/>
      <c r="Z107" s="8"/>
      <c r="AA107" s="140"/>
      <c r="AB107" s="9">
        <f t="shared" si="29"/>
        <v>0</v>
      </c>
    </row>
    <row r="108" spans="1:28" outlineLevel="1" x14ac:dyDescent="0.15">
      <c r="A108" s="8"/>
      <c r="B108" s="8"/>
      <c r="C108" s="8"/>
      <c r="D108" s="8"/>
      <c r="E108" s="9"/>
      <c r="F108" s="8"/>
      <c r="G108" s="10"/>
      <c r="H108" s="132"/>
      <c r="I108" s="140"/>
      <c r="J108" s="9"/>
      <c r="K108" s="140"/>
      <c r="L108" s="9"/>
      <c r="M108" s="8"/>
      <c r="N108" s="132"/>
      <c r="O108" s="140"/>
      <c r="P108" s="9"/>
      <c r="Q108" s="140"/>
      <c r="R108" s="9"/>
      <c r="S108" s="8"/>
      <c r="T108" s="140"/>
      <c r="U108" s="9">
        <f t="shared" si="28"/>
        <v>0</v>
      </c>
      <c r="V108" s="132"/>
      <c r="W108" s="140"/>
      <c r="X108" s="140"/>
      <c r="Y108" s="9"/>
      <c r="Z108" s="8"/>
      <c r="AA108" s="140"/>
      <c r="AB108" s="9">
        <f t="shared" si="29"/>
        <v>0</v>
      </c>
    </row>
    <row r="109" spans="1:28" outlineLevel="1" x14ac:dyDescent="0.15">
      <c r="A109" s="8"/>
      <c r="B109" s="8"/>
      <c r="C109" s="8"/>
      <c r="D109" s="8"/>
      <c r="E109" s="9"/>
      <c r="F109" s="8"/>
      <c r="G109" s="10"/>
      <c r="H109" s="132"/>
      <c r="I109" s="140"/>
      <c r="J109" s="9"/>
      <c r="K109" s="140"/>
      <c r="L109" s="9"/>
      <c r="M109" s="8"/>
      <c r="N109" s="132"/>
      <c r="O109" s="140"/>
      <c r="P109" s="9"/>
      <c r="Q109" s="140"/>
      <c r="R109" s="9"/>
      <c r="S109" s="8"/>
      <c r="T109" s="140"/>
      <c r="U109" s="9">
        <f t="shared" si="28"/>
        <v>0</v>
      </c>
      <c r="V109" s="132"/>
      <c r="W109" s="140"/>
      <c r="X109" s="140"/>
      <c r="Y109" s="9"/>
      <c r="Z109" s="8"/>
      <c r="AA109" s="140"/>
      <c r="AB109" s="9">
        <f t="shared" si="29"/>
        <v>0</v>
      </c>
    </row>
    <row r="110" spans="1:28" outlineLevel="1" x14ac:dyDescent="0.15">
      <c r="A110" s="8"/>
      <c r="B110" s="8"/>
      <c r="C110" s="8"/>
      <c r="D110" s="8"/>
      <c r="E110" s="9"/>
      <c r="F110" s="8"/>
      <c r="G110" s="10"/>
      <c r="H110" s="132"/>
      <c r="I110" s="140"/>
      <c r="J110" s="9"/>
      <c r="K110" s="140"/>
      <c r="L110" s="9"/>
      <c r="M110" s="8"/>
      <c r="N110" s="132"/>
      <c r="O110" s="140"/>
      <c r="P110" s="9"/>
      <c r="Q110" s="140"/>
      <c r="R110" s="9"/>
      <c r="S110" s="8"/>
      <c r="T110" s="140"/>
      <c r="U110" s="9">
        <f t="shared" si="28"/>
        <v>0</v>
      </c>
      <c r="V110" s="132"/>
      <c r="W110" s="140"/>
      <c r="X110" s="140"/>
      <c r="Y110" s="9"/>
      <c r="Z110" s="8"/>
      <c r="AA110" s="140"/>
      <c r="AB110" s="9">
        <f t="shared" si="29"/>
        <v>0</v>
      </c>
    </row>
    <row r="111" spans="1:28" outlineLevel="1" x14ac:dyDescent="0.15">
      <c r="A111" s="8"/>
      <c r="B111" s="8"/>
      <c r="C111" s="8"/>
      <c r="D111" s="8"/>
      <c r="E111" s="9"/>
      <c r="F111" s="8"/>
      <c r="G111" s="10"/>
      <c r="H111" s="132"/>
      <c r="I111" s="140"/>
      <c r="J111" s="9"/>
      <c r="K111" s="140"/>
      <c r="L111" s="9"/>
      <c r="M111" s="8"/>
      <c r="N111" s="132"/>
      <c r="O111" s="140"/>
      <c r="P111" s="9"/>
      <c r="Q111" s="140"/>
      <c r="R111" s="9"/>
      <c r="S111" s="8"/>
      <c r="T111" s="140"/>
      <c r="U111" s="9">
        <f t="shared" si="28"/>
        <v>0</v>
      </c>
      <c r="V111" s="132"/>
      <c r="W111" s="140"/>
      <c r="X111" s="140"/>
      <c r="Y111" s="9"/>
      <c r="Z111" s="8"/>
      <c r="AA111" s="140"/>
      <c r="AB111" s="9">
        <f t="shared" si="29"/>
        <v>0</v>
      </c>
    </row>
    <row r="112" spans="1:28" outlineLevel="1" x14ac:dyDescent="0.15">
      <c r="A112" s="8"/>
      <c r="B112" s="8"/>
      <c r="C112" s="8"/>
      <c r="D112" s="8"/>
      <c r="E112" s="9"/>
      <c r="F112" s="8"/>
      <c r="G112" s="10"/>
      <c r="H112" s="132"/>
      <c r="I112" s="140"/>
      <c r="J112" s="9"/>
      <c r="K112" s="140"/>
      <c r="L112" s="9"/>
      <c r="M112" s="8"/>
      <c r="N112" s="132"/>
      <c r="O112" s="140"/>
      <c r="P112" s="9"/>
      <c r="Q112" s="140"/>
      <c r="R112" s="9"/>
      <c r="S112" s="8"/>
      <c r="T112" s="140"/>
      <c r="U112" s="9">
        <f t="shared" si="28"/>
        <v>0</v>
      </c>
      <c r="V112" s="132"/>
      <c r="W112" s="140"/>
      <c r="X112" s="140"/>
      <c r="Y112" s="9"/>
      <c r="Z112" s="8"/>
      <c r="AA112" s="140"/>
      <c r="AB112" s="9">
        <f t="shared" si="29"/>
        <v>0</v>
      </c>
    </row>
    <row r="113" spans="1:28" outlineLevel="1" x14ac:dyDescent="0.15">
      <c r="A113" s="8"/>
      <c r="B113" s="8"/>
      <c r="C113" s="8"/>
      <c r="D113" s="8"/>
      <c r="E113" s="9"/>
      <c r="F113" s="8"/>
      <c r="G113" s="10"/>
      <c r="H113" s="132"/>
      <c r="I113" s="140"/>
      <c r="J113" s="9"/>
      <c r="K113" s="140"/>
      <c r="L113" s="9"/>
      <c r="M113" s="8"/>
      <c r="N113" s="132"/>
      <c r="O113" s="140"/>
      <c r="P113" s="9"/>
      <c r="Q113" s="140"/>
      <c r="R113" s="9"/>
      <c r="S113" s="8"/>
      <c r="T113" s="140"/>
      <c r="U113" s="9">
        <f t="shared" si="28"/>
        <v>0</v>
      </c>
      <c r="V113" s="132"/>
      <c r="W113" s="140"/>
      <c r="X113" s="140"/>
      <c r="Y113" s="9"/>
      <c r="Z113" s="8"/>
      <c r="AA113" s="140"/>
      <c r="AB113" s="9">
        <f t="shared" si="29"/>
        <v>0</v>
      </c>
    </row>
    <row r="114" spans="1:28" outlineLevel="1" x14ac:dyDescent="0.15">
      <c r="A114" s="8"/>
      <c r="B114" s="8"/>
      <c r="C114" s="8"/>
      <c r="D114" s="8"/>
      <c r="E114" s="9"/>
      <c r="F114" s="8"/>
      <c r="G114" s="10"/>
      <c r="H114" s="132"/>
      <c r="I114" s="140"/>
      <c r="J114" s="9"/>
      <c r="K114" s="140"/>
      <c r="L114" s="9"/>
      <c r="M114" s="8"/>
      <c r="N114" s="132"/>
      <c r="O114" s="140"/>
      <c r="P114" s="9"/>
      <c r="Q114" s="140"/>
      <c r="R114" s="9"/>
      <c r="S114" s="8"/>
      <c r="T114" s="140"/>
      <c r="U114" s="9">
        <f t="shared" si="28"/>
        <v>0</v>
      </c>
      <c r="V114" s="132"/>
      <c r="W114" s="140"/>
      <c r="X114" s="140"/>
      <c r="Y114" s="9"/>
      <c r="Z114" s="8"/>
      <c r="AA114" s="140"/>
      <c r="AB114" s="9">
        <f t="shared" si="29"/>
        <v>0</v>
      </c>
    </row>
    <row r="115" spans="1:28" outlineLevel="1" x14ac:dyDescent="0.15">
      <c r="A115" s="8"/>
      <c r="B115" s="8"/>
      <c r="C115" s="8"/>
      <c r="D115" s="8"/>
      <c r="E115" s="9"/>
      <c r="F115" s="8"/>
      <c r="G115" s="10"/>
      <c r="H115" s="132"/>
      <c r="I115" s="140"/>
      <c r="J115" s="9"/>
      <c r="K115" s="140"/>
      <c r="L115" s="9"/>
      <c r="M115" s="8"/>
      <c r="N115" s="132"/>
      <c r="O115" s="140"/>
      <c r="P115" s="9"/>
      <c r="Q115" s="140"/>
      <c r="R115" s="9"/>
      <c r="S115" s="8"/>
      <c r="T115" s="140"/>
      <c r="U115" s="9">
        <f t="shared" si="28"/>
        <v>0</v>
      </c>
      <c r="V115" s="132"/>
      <c r="W115" s="140"/>
      <c r="X115" s="140"/>
      <c r="Y115" s="9"/>
      <c r="Z115" s="8"/>
      <c r="AA115" s="140"/>
      <c r="AB115" s="9">
        <f t="shared" si="29"/>
        <v>0</v>
      </c>
    </row>
    <row r="116" spans="1:28" outlineLevel="1" x14ac:dyDescent="0.15">
      <c r="A116" s="8"/>
      <c r="B116" s="8"/>
      <c r="C116" s="8"/>
      <c r="D116" s="8"/>
      <c r="E116" s="9"/>
      <c r="F116" s="8"/>
      <c r="G116" s="10"/>
      <c r="H116" s="132"/>
      <c r="I116" s="140"/>
      <c r="J116" s="9"/>
      <c r="K116" s="140"/>
      <c r="L116" s="9"/>
      <c r="M116" s="8"/>
      <c r="N116" s="132"/>
      <c r="O116" s="140"/>
      <c r="P116" s="9"/>
      <c r="Q116" s="140"/>
      <c r="R116" s="9"/>
      <c r="S116" s="8"/>
      <c r="T116" s="140"/>
      <c r="U116" s="9">
        <f t="shared" si="28"/>
        <v>0</v>
      </c>
      <c r="V116" s="132"/>
      <c r="W116" s="140"/>
      <c r="X116" s="140"/>
      <c r="Y116" s="9"/>
      <c r="Z116" s="8"/>
      <c r="AA116" s="140"/>
      <c r="AB116" s="9">
        <f t="shared" si="29"/>
        <v>0</v>
      </c>
    </row>
    <row r="117" spans="1:28" outlineLevel="1" x14ac:dyDescent="0.15">
      <c r="A117" s="8"/>
      <c r="B117" s="8"/>
      <c r="C117" s="8"/>
      <c r="D117" s="8"/>
      <c r="E117" s="9"/>
      <c r="F117" s="8"/>
      <c r="G117" s="10"/>
      <c r="H117" s="132"/>
      <c r="I117" s="140"/>
      <c r="J117" s="9"/>
      <c r="K117" s="140"/>
      <c r="L117" s="9"/>
      <c r="M117" s="8"/>
      <c r="N117" s="132"/>
      <c r="O117" s="140"/>
      <c r="P117" s="9"/>
      <c r="Q117" s="140"/>
      <c r="R117" s="9"/>
      <c r="S117" s="8"/>
      <c r="T117" s="140"/>
      <c r="U117" s="9">
        <f t="shared" si="28"/>
        <v>0</v>
      </c>
      <c r="V117" s="132"/>
      <c r="W117" s="140"/>
      <c r="X117" s="140"/>
      <c r="Y117" s="9"/>
      <c r="Z117" s="8"/>
      <c r="AA117" s="140"/>
      <c r="AB117" s="9">
        <f t="shared" si="29"/>
        <v>0</v>
      </c>
    </row>
    <row r="118" spans="1:28" outlineLevel="1" x14ac:dyDescent="0.15">
      <c r="A118" s="8"/>
      <c r="B118" s="8"/>
      <c r="C118" s="8"/>
      <c r="D118" s="8"/>
      <c r="E118" s="9"/>
      <c r="F118" s="8"/>
      <c r="G118" s="10"/>
      <c r="H118" s="132"/>
      <c r="I118" s="140"/>
      <c r="J118" s="9"/>
      <c r="K118" s="140"/>
      <c r="L118" s="9"/>
      <c r="M118" s="8"/>
      <c r="N118" s="132"/>
      <c r="O118" s="140"/>
      <c r="P118" s="9"/>
      <c r="Q118" s="140"/>
      <c r="R118" s="9"/>
      <c r="S118" s="8"/>
      <c r="T118" s="140"/>
      <c r="U118" s="9">
        <f t="shared" si="28"/>
        <v>0</v>
      </c>
      <c r="V118" s="132"/>
      <c r="W118" s="140"/>
      <c r="X118" s="140"/>
      <c r="Y118" s="9"/>
      <c r="Z118" s="8"/>
      <c r="AA118" s="140"/>
      <c r="AB118" s="9">
        <f t="shared" si="29"/>
        <v>0</v>
      </c>
    </row>
    <row r="119" spans="1:28" outlineLevel="1" x14ac:dyDescent="0.15">
      <c r="A119" s="8"/>
      <c r="B119" s="8"/>
      <c r="C119" s="8"/>
      <c r="D119" s="8"/>
      <c r="E119" s="9"/>
      <c r="F119" s="8"/>
      <c r="G119" s="10"/>
      <c r="H119" s="132"/>
      <c r="I119" s="140"/>
      <c r="J119" s="9"/>
      <c r="K119" s="140"/>
      <c r="L119" s="9"/>
      <c r="M119" s="8"/>
      <c r="N119" s="132"/>
      <c r="O119" s="140"/>
      <c r="P119" s="9"/>
      <c r="Q119" s="140"/>
      <c r="R119" s="9"/>
      <c r="S119" s="8"/>
      <c r="T119" s="140"/>
      <c r="U119" s="9">
        <f t="shared" si="28"/>
        <v>0</v>
      </c>
      <c r="V119" s="132"/>
      <c r="W119" s="140"/>
      <c r="X119" s="140"/>
      <c r="Y119" s="9"/>
      <c r="Z119" s="8"/>
      <c r="AA119" s="140"/>
      <c r="AB119" s="9">
        <f t="shared" si="29"/>
        <v>0</v>
      </c>
    </row>
    <row r="120" spans="1:28" outlineLevel="1" x14ac:dyDescent="0.15">
      <c r="A120" s="8"/>
      <c r="B120" s="8"/>
      <c r="C120" s="8"/>
      <c r="D120" s="8"/>
      <c r="E120" s="9"/>
      <c r="F120" s="8"/>
      <c r="G120" s="10"/>
      <c r="H120" s="132"/>
      <c r="I120" s="140"/>
      <c r="J120" s="9"/>
      <c r="K120" s="140"/>
      <c r="L120" s="9"/>
      <c r="M120" s="8"/>
      <c r="N120" s="132"/>
      <c r="O120" s="140"/>
      <c r="P120" s="9"/>
      <c r="Q120" s="140"/>
      <c r="R120" s="9"/>
      <c r="S120" s="8"/>
      <c r="T120" s="140"/>
      <c r="U120" s="9">
        <f t="shared" si="28"/>
        <v>0</v>
      </c>
      <c r="V120" s="132"/>
      <c r="W120" s="140"/>
      <c r="X120" s="140"/>
      <c r="Y120" s="9"/>
      <c r="Z120" s="8"/>
      <c r="AA120" s="140"/>
      <c r="AB120" s="9">
        <f t="shared" si="29"/>
        <v>0</v>
      </c>
    </row>
    <row r="121" spans="1:28" outlineLevel="1" x14ac:dyDescent="0.15">
      <c r="A121" s="8"/>
      <c r="B121" s="8"/>
      <c r="C121" s="8"/>
      <c r="D121" s="8"/>
      <c r="E121" s="9"/>
      <c r="F121" s="8"/>
      <c r="G121" s="10"/>
      <c r="H121" s="132"/>
      <c r="I121" s="140"/>
      <c r="J121" s="9"/>
      <c r="K121" s="140"/>
      <c r="L121" s="9"/>
      <c r="M121" s="8"/>
      <c r="N121" s="132"/>
      <c r="O121" s="140"/>
      <c r="P121" s="9"/>
      <c r="Q121" s="140"/>
      <c r="R121" s="9"/>
      <c r="S121" s="8"/>
      <c r="T121" s="140"/>
      <c r="U121" s="9">
        <f t="shared" si="28"/>
        <v>0</v>
      </c>
      <c r="V121" s="132"/>
      <c r="W121" s="140"/>
      <c r="X121" s="140"/>
      <c r="Y121" s="9"/>
      <c r="Z121" s="8"/>
      <c r="AA121" s="140"/>
      <c r="AB121" s="9">
        <f t="shared" si="29"/>
        <v>0</v>
      </c>
    </row>
    <row r="122" spans="1:28" outlineLevel="1" x14ac:dyDescent="0.15">
      <c r="A122" s="8"/>
      <c r="B122" s="8"/>
      <c r="C122" s="8"/>
      <c r="D122" s="8"/>
      <c r="E122" s="9"/>
      <c r="F122" s="8"/>
      <c r="G122" s="10"/>
      <c r="H122" s="132"/>
      <c r="I122" s="140"/>
      <c r="J122" s="9"/>
      <c r="K122" s="140"/>
      <c r="L122" s="9"/>
      <c r="M122" s="8"/>
      <c r="N122" s="132"/>
      <c r="O122" s="140"/>
      <c r="P122" s="9"/>
      <c r="Q122" s="140"/>
      <c r="R122" s="9"/>
      <c r="S122" s="8"/>
      <c r="T122" s="140"/>
      <c r="U122" s="9">
        <f t="shared" si="28"/>
        <v>0</v>
      </c>
      <c r="V122" s="132"/>
      <c r="W122" s="140"/>
      <c r="X122" s="140"/>
      <c r="Y122" s="9"/>
      <c r="Z122" s="8"/>
      <c r="AA122" s="140"/>
      <c r="AB122" s="9">
        <f t="shared" si="29"/>
        <v>0</v>
      </c>
    </row>
    <row r="123" spans="1:28" outlineLevel="1" x14ac:dyDescent="0.15">
      <c r="A123" s="8"/>
      <c r="B123" s="8"/>
      <c r="C123" s="8"/>
      <c r="D123" s="8"/>
      <c r="E123" s="9"/>
      <c r="F123" s="8"/>
      <c r="G123" s="10"/>
      <c r="H123" s="132"/>
      <c r="I123" s="140"/>
      <c r="J123" s="9"/>
      <c r="K123" s="140"/>
      <c r="L123" s="9"/>
      <c r="M123" s="8"/>
      <c r="N123" s="132"/>
      <c r="O123" s="140"/>
      <c r="P123" s="9"/>
      <c r="Q123" s="140"/>
      <c r="R123" s="9"/>
      <c r="S123" s="8"/>
      <c r="T123" s="140"/>
      <c r="U123" s="9">
        <f t="shared" si="28"/>
        <v>0</v>
      </c>
      <c r="V123" s="132"/>
      <c r="W123" s="140"/>
      <c r="X123" s="140"/>
      <c r="Y123" s="9"/>
      <c r="Z123" s="8"/>
      <c r="AA123" s="140"/>
      <c r="AB123" s="9">
        <f t="shared" si="29"/>
        <v>0</v>
      </c>
    </row>
    <row r="124" spans="1:28" outlineLevel="1" x14ac:dyDescent="0.15">
      <c r="A124" s="8"/>
      <c r="B124" s="8"/>
      <c r="C124" s="8"/>
      <c r="D124" s="8"/>
      <c r="E124" s="9"/>
      <c r="F124" s="8"/>
      <c r="G124" s="10"/>
      <c r="H124" s="132"/>
      <c r="I124" s="140"/>
      <c r="J124" s="9"/>
      <c r="K124" s="140"/>
      <c r="L124" s="9"/>
      <c r="M124" s="8"/>
      <c r="N124" s="132"/>
      <c r="O124" s="140"/>
      <c r="P124" s="9"/>
      <c r="Q124" s="140"/>
      <c r="R124" s="9"/>
      <c r="S124" s="8"/>
      <c r="T124" s="140"/>
      <c r="U124" s="9">
        <f t="shared" si="28"/>
        <v>0</v>
      </c>
      <c r="V124" s="132"/>
      <c r="W124" s="140"/>
      <c r="X124" s="140"/>
      <c r="Y124" s="9"/>
      <c r="Z124" s="8"/>
      <c r="AA124" s="140"/>
      <c r="AB124" s="9">
        <f t="shared" si="29"/>
        <v>0</v>
      </c>
    </row>
    <row r="125" spans="1:28" outlineLevel="1" x14ac:dyDescent="0.15">
      <c r="A125" s="8"/>
      <c r="B125" s="8"/>
      <c r="C125" s="8"/>
      <c r="D125" s="8"/>
      <c r="E125" s="9"/>
      <c r="F125" s="8"/>
      <c r="G125" s="10"/>
      <c r="H125" s="132"/>
      <c r="I125" s="140"/>
      <c r="J125" s="9"/>
      <c r="K125" s="140"/>
      <c r="L125" s="9"/>
      <c r="M125" s="8"/>
      <c r="N125" s="132"/>
      <c r="O125" s="140"/>
      <c r="P125" s="9"/>
      <c r="Q125" s="140"/>
      <c r="R125" s="9"/>
      <c r="S125" s="8"/>
      <c r="T125" s="140"/>
      <c r="U125" s="9">
        <f t="shared" si="28"/>
        <v>0</v>
      </c>
      <c r="V125" s="132"/>
      <c r="W125" s="140"/>
      <c r="X125" s="140"/>
      <c r="Y125" s="9"/>
      <c r="Z125" s="8"/>
      <c r="AA125" s="140"/>
      <c r="AB125" s="9">
        <f t="shared" si="29"/>
        <v>0</v>
      </c>
    </row>
    <row r="126" spans="1:28" outlineLevel="1" x14ac:dyDescent="0.15">
      <c r="A126" s="8"/>
      <c r="B126" s="8"/>
      <c r="C126" s="8"/>
      <c r="D126" s="8"/>
      <c r="E126" s="9"/>
      <c r="F126" s="8"/>
      <c r="G126" s="10"/>
      <c r="H126" s="132"/>
      <c r="I126" s="140"/>
      <c r="J126" s="9"/>
      <c r="K126" s="140"/>
      <c r="L126" s="9"/>
      <c r="M126" s="8"/>
      <c r="N126" s="132"/>
      <c r="O126" s="140"/>
      <c r="P126" s="9"/>
      <c r="Q126" s="140"/>
      <c r="R126" s="9"/>
      <c r="S126" s="8"/>
      <c r="T126" s="140"/>
      <c r="U126" s="9">
        <f t="shared" si="28"/>
        <v>0</v>
      </c>
      <c r="V126" s="132"/>
      <c r="W126" s="140"/>
      <c r="X126" s="140"/>
      <c r="Y126" s="9"/>
      <c r="Z126" s="8"/>
      <c r="AA126" s="140"/>
      <c r="AB126" s="9">
        <f t="shared" si="29"/>
        <v>0</v>
      </c>
    </row>
    <row r="127" spans="1:28" outlineLevel="1" x14ac:dyDescent="0.15">
      <c r="A127" s="8"/>
      <c r="B127" s="8"/>
      <c r="C127" s="8"/>
      <c r="D127" s="8"/>
      <c r="E127" s="9"/>
      <c r="F127" s="8"/>
      <c r="G127" s="10"/>
      <c r="H127" s="132"/>
      <c r="I127" s="140"/>
      <c r="J127" s="9"/>
      <c r="K127" s="140"/>
      <c r="L127" s="9"/>
      <c r="M127" s="8"/>
      <c r="N127" s="132"/>
      <c r="O127" s="140"/>
      <c r="P127" s="9"/>
      <c r="Q127" s="140"/>
      <c r="R127" s="9"/>
      <c r="S127" s="8"/>
      <c r="T127" s="140"/>
      <c r="U127" s="9">
        <f t="shared" si="28"/>
        <v>0</v>
      </c>
      <c r="V127" s="132"/>
      <c r="W127" s="140"/>
      <c r="X127" s="140"/>
      <c r="Y127" s="9"/>
      <c r="Z127" s="8"/>
      <c r="AA127" s="140"/>
      <c r="AB127" s="9">
        <f t="shared" si="29"/>
        <v>0</v>
      </c>
    </row>
    <row r="128" spans="1:28" outlineLevel="1" x14ac:dyDescent="0.15">
      <c r="A128" s="8"/>
      <c r="B128" s="8"/>
      <c r="C128" s="8"/>
      <c r="D128" s="8"/>
      <c r="E128" s="9"/>
      <c r="F128" s="8"/>
      <c r="G128" s="10"/>
      <c r="H128" s="132"/>
      <c r="I128" s="140"/>
      <c r="J128" s="9"/>
      <c r="K128" s="140"/>
      <c r="L128" s="9"/>
      <c r="M128" s="8"/>
      <c r="N128" s="132"/>
      <c r="O128" s="140"/>
      <c r="P128" s="9"/>
      <c r="Q128" s="140"/>
      <c r="R128" s="9"/>
      <c r="S128" s="8"/>
      <c r="T128" s="140"/>
      <c r="U128" s="9">
        <f t="shared" si="28"/>
        <v>0</v>
      </c>
      <c r="V128" s="132"/>
      <c r="W128" s="140"/>
      <c r="X128" s="140"/>
      <c r="Y128" s="9"/>
      <c r="Z128" s="8"/>
      <c r="AA128" s="140"/>
      <c r="AB128" s="9">
        <f t="shared" si="29"/>
        <v>0</v>
      </c>
    </row>
    <row r="129" spans="1:28" outlineLevel="1" x14ac:dyDescent="0.15">
      <c r="A129" s="8"/>
      <c r="B129" s="8"/>
      <c r="C129" s="8"/>
      <c r="D129" s="8"/>
      <c r="E129" s="9"/>
      <c r="F129" s="8"/>
      <c r="G129" s="10"/>
      <c r="H129" s="132"/>
      <c r="I129" s="140"/>
      <c r="J129" s="9"/>
      <c r="K129" s="140"/>
      <c r="L129" s="9"/>
      <c r="M129" s="8"/>
      <c r="N129" s="132"/>
      <c r="O129" s="140"/>
      <c r="P129" s="9"/>
      <c r="Q129" s="140"/>
      <c r="R129" s="9"/>
      <c r="S129" s="8"/>
      <c r="T129" s="140"/>
      <c r="U129" s="9">
        <f t="shared" si="28"/>
        <v>0</v>
      </c>
      <c r="V129" s="132"/>
      <c r="W129" s="140"/>
      <c r="X129" s="140"/>
      <c r="Y129" s="9"/>
      <c r="Z129" s="8"/>
      <c r="AA129" s="140"/>
      <c r="AB129" s="9">
        <f t="shared" si="29"/>
        <v>0</v>
      </c>
    </row>
    <row r="130" spans="1:28" outlineLevel="1" x14ac:dyDescent="0.15">
      <c r="A130" s="8"/>
      <c r="B130" s="8"/>
      <c r="C130" s="8"/>
      <c r="D130" s="8"/>
      <c r="E130" s="9"/>
      <c r="F130" s="8"/>
      <c r="G130" s="10"/>
      <c r="H130" s="132"/>
      <c r="I130" s="140"/>
      <c r="J130" s="9"/>
      <c r="K130" s="140"/>
      <c r="L130" s="9"/>
      <c r="M130" s="8"/>
      <c r="N130" s="132"/>
      <c r="O130" s="140"/>
      <c r="P130" s="9"/>
      <c r="Q130" s="140"/>
      <c r="R130" s="9"/>
      <c r="S130" s="8"/>
      <c r="T130" s="140"/>
      <c r="U130" s="9">
        <f t="shared" si="28"/>
        <v>0</v>
      </c>
      <c r="V130" s="132"/>
      <c r="W130" s="140"/>
      <c r="X130" s="140"/>
      <c r="Y130" s="9"/>
      <c r="Z130" s="8"/>
      <c r="AA130" s="140"/>
      <c r="AB130" s="9">
        <f t="shared" si="29"/>
        <v>0</v>
      </c>
    </row>
    <row r="131" spans="1:28" outlineLevel="1" x14ac:dyDescent="0.15">
      <c r="A131" s="8"/>
      <c r="B131" s="8"/>
      <c r="C131" s="8"/>
      <c r="D131" s="8"/>
      <c r="E131" s="9"/>
      <c r="F131" s="8"/>
      <c r="G131" s="10"/>
      <c r="H131" s="132"/>
      <c r="I131" s="140"/>
      <c r="J131" s="9"/>
      <c r="K131" s="140"/>
      <c r="L131" s="9"/>
      <c r="M131" s="8"/>
      <c r="N131" s="132"/>
      <c r="O131" s="140"/>
      <c r="P131" s="9"/>
      <c r="Q131" s="140"/>
      <c r="R131" s="9"/>
      <c r="S131" s="8"/>
      <c r="T131" s="140"/>
      <c r="U131" s="9">
        <f t="shared" si="28"/>
        <v>0</v>
      </c>
      <c r="V131" s="132"/>
      <c r="W131" s="140"/>
      <c r="X131" s="140"/>
      <c r="Y131" s="9"/>
      <c r="Z131" s="8"/>
      <c r="AA131" s="140"/>
      <c r="AB131" s="9">
        <f t="shared" si="29"/>
        <v>0</v>
      </c>
    </row>
    <row r="132" spans="1:28" outlineLevel="1" x14ac:dyDescent="0.15">
      <c r="A132" s="8"/>
      <c r="B132" s="8"/>
      <c r="C132" s="8"/>
      <c r="D132" s="8"/>
      <c r="E132" s="9"/>
      <c r="F132" s="8"/>
      <c r="G132" s="10"/>
      <c r="H132" s="132"/>
      <c r="I132" s="140"/>
      <c r="J132" s="9"/>
      <c r="K132" s="140"/>
      <c r="L132" s="9"/>
      <c r="M132" s="8"/>
      <c r="N132" s="132"/>
      <c r="O132" s="140"/>
      <c r="P132" s="9"/>
      <c r="Q132" s="140"/>
      <c r="R132" s="9"/>
      <c r="S132" s="8"/>
      <c r="T132" s="140"/>
      <c r="U132" s="9">
        <f t="shared" si="28"/>
        <v>0</v>
      </c>
      <c r="V132" s="132"/>
      <c r="W132" s="140"/>
      <c r="X132" s="140"/>
      <c r="Y132" s="9"/>
      <c r="Z132" s="8"/>
      <c r="AA132" s="140"/>
      <c r="AB132" s="9">
        <f t="shared" si="29"/>
        <v>0</v>
      </c>
    </row>
    <row r="133" spans="1:28" outlineLevel="1" x14ac:dyDescent="0.15">
      <c r="A133" s="8"/>
      <c r="B133" s="8"/>
      <c r="C133" s="8"/>
      <c r="D133" s="8"/>
      <c r="E133" s="9"/>
      <c r="F133" s="8"/>
      <c r="G133" s="10"/>
      <c r="H133" s="132"/>
      <c r="I133" s="140"/>
      <c r="J133" s="9"/>
      <c r="K133" s="140"/>
      <c r="L133" s="9"/>
      <c r="M133" s="8"/>
      <c r="N133" s="132"/>
      <c r="O133" s="140"/>
      <c r="P133" s="9"/>
      <c r="Q133" s="140"/>
      <c r="R133" s="9"/>
      <c r="S133" s="8"/>
      <c r="T133" s="140"/>
      <c r="U133" s="9">
        <f t="shared" si="28"/>
        <v>0</v>
      </c>
      <c r="V133" s="132"/>
      <c r="W133" s="140"/>
      <c r="X133" s="140"/>
      <c r="Y133" s="9"/>
      <c r="Z133" s="8"/>
      <c r="AA133" s="140"/>
      <c r="AB133" s="9">
        <f t="shared" si="29"/>
        <v>0</v>
      </c>
    </row>
    <row r="134" spans="1:28" outlineLevel="1" x14ac:dyDescent="0.15">
      <c r="A134" s="8"/>
      <c r="B134" s="8"/>
      <c r="C134" s="8"/>
      <c r="D134" s="8"/>
      <c r="E134" s="9"/>
      <c r="F134" s="8"/>
      <c r="G134" s="10"/>
      <c r="H134" s="132"/>
      <c r="I134" s="140"/>
      <c r="J134" s="9"/>
      <c r="K134" s="140"/>
      <c r="L134" s="9"/>
      <c r="M134" s="8"/>
      <c r="N134" s="132"/>
      <c r="O134" s="140"/>
      <c r="P134" s="9"/>
      <c r="Q134" s="140"/>
      <c r="R134" s="9"/>
      <c r="S134" s="8"/>
      <c r="T134" s="140"/>
      <c r="U134" s="9">
        <f t="shared" si="28"/>
        <v>0</v>
      </c>
      <c r="V134" s="132"/>
      <c r="W134" s="140"/>
      <c r="X134" s="140"/>
      <c r="Y134" s="9"/>
      <c r="Z134" s="8"/>
      <c r="AA134" s="140"/>
      <c r="AB134" s="9">
        <f t="shared" si="29"/>
        <v>0</v>
      </c>
    </row>
    <row r="135" spans="1:28" outlineLevel="1" x14ac:dyDescent="0.15">
      <c r="A135" s="8"/>
      <c r="B135" s="8"/>
      <c r="C135" s="8"/>
      <c r="D135" s="8"/>
      <c r="E135" s="9"/>
      <c r="F135" s="8"/>
      <c r="G135" s="10"/>
      <c r="H135" s="132"/>
      <c r="I135" s="140"/>
      <c r="J135" s="9"/>
      <c r="K135" s="140"/>
      <c r="L135" s="9"/>
      <c r="M135" s="8"/>
      <c r="N135" s="132"/>
      <c r="O135" s="140"/>
      <c r="P135" s="9"/>
      <c r="Q135" s="140"/>
      <c r="R135" s="9"/>
      <c r="S135" s="8"/>
      <c r="T135" s="140"/>
      <c r="U135" s="9">
        <f t="shared" ref="U135:U159" si="30">IFERROR(T135/O135*100,0)</f>
        <v>0</v>
      </c>
      <c r="V135" s="132"/>
      <c r="W135" s="140"/>
      <c r="X135" s="140"/>
      <c r="Y135" s="9"/>
      <c r="Z135" s="8"/>
      <c r="AA135" s="140"/>
      <c r="AB135" s="9">
        <f t="shared" ref="AB135:AB159" si="31">IFERROR(AA135/W135*100,0)</f>
        <v>0</v>
      </c>
    </row>
    <row r="136" spans="1:28" outlineLevel="1" x14ac:dyDescent="0.15">
      <c r="A136" s="8"/>
      <c r="B136" s="8"/>
      <c r="C136" s="8"/>
      <c r="D136" s="8"/>
      <c r="E136" s="9"/>
      <c r="F136" s="8"/>
      <c r="G136" s="10"/>
      <c r="H136" s="132"/>
      <c r="I136" s="140"/>
      <c r="J136" s="9"/>
      <c r="K136" s="140"/>
      <c r="L136" s="9"/>
      <c r="M136" s="8"/>
      <c r="N136" s="132"/>
      <c r="O136" s="140"/>
      <c r="P136" s="9"/>
      <c r="Q136" s="140"/>
      <c r="R136" s="9"/>
      <c r="S136" s="8"/>
      <c r="T136" s="140"/>
      <c r="U136" s="9">
        <f t="shared" si="30"/>
        <v>0</v>
      </c>
      <c r="V136" s="132"/>
      <c r="W136" s="140"/>
      <c r="X136" s="140"/>
      <c r="Y136" s="9"/>
      <c r="Z136" s="8"/>
      <c r="AA136" s="140"/>
      <c r="AB136" s="9">
        <f t="shared" si="31"/>
        <v>0</v>
      </c>
    </row>
    <row r="137" spans="1:28" outlineLevel="1" x14ac:dyDescent="0.15">
      <c r="A137" s="8"/>
      <c r="B137" s="8"/>
      <c r="C137" s="8"/>
      <c r="D137" s="8"/>
      <c r="E137" s="9"/>
      <c r="F137" s="8"/>
      <c r="G137" s="10"/>
      <c r="H137" s="132"/>
      <c r="I137" s="140"/>
      <c r="J137" s="9"/>
      <c r="K137" s="140"/>
      <c r="L137" s="9"/>
      <c r="M137" s="8"/>
      <c r="N137" s="132"/>
      <c r="O137" s="140"/>
      <c r="P137" s="9"/>
      <c r="Q137" s="140"/>
      <c r="R137" s="9"/>
      <c r="S137" s="8"/>
      <c r="T137" s="140"/>
      <c r="U137" s="9">
        <f t="shared" si="30"/>
        <v>0</v>
      </c>
      <c r="V137" s="132"/>
      <c r="W137" s="140"/>
      <c r="X137" s="140"/>
      <c r="Y137" s="9"/>
      <c r="Z137" s="8"/>
      <c r="AA137" s="140"/>
      <c r="AB137" s="9">
        <f t="shared" si="31"/>
        <v>0</v>
      </c>
    </row>
    <row r="138" spans="1:28" outlineLevel="1" x14ac:dyDescent="0.15">
      <c r="A138" s="8"/>
      <c r="B138" s="8"/>
      <c r="C138" s="8"/>
      <c r="D138" s="8"/>
      <c r="E138" s="9"/>
      <c r="F138" s="8"/>
      <c r="G138" s="10"/>
      <c r="H138" s="132"/>
      <c r="I138" s="140"/>
      <c r="J138" s="9"/>
      <c r="K138" s="140"/>
      <c r="L138" s="9"/>
      <c r="M138" s="8"/>
      <c r="N138" s="132"/>
      <c r="O138" s="140"/>
      <c r="P138" s="9"/>
      <c r="Q138" s="140"/>
      <c r="R138" s="9"/>
      <c r="S138" s="8"/>
      <c r="T138" s="140"/>
      <c r="U138" s="9">
        <f t="shared" si="30"/>
        <v>0</v>
      </c>
      <c r="V138" s="132"/>
      <c r="W138" s="140"/>
      <c r="X138" s="140"/>
      <c r="Y138" s="9"/>
      <c r="Z138" s="8"/>
      <c r="AA138" s="140"/>
      <c r="AB138" s="9">
        <f t="shared" si="31"/>
        <v>0</v>
      </c>
    </row>
    <row r="139" spans="1:28" outlineLevel="1" x14ac:dyDescent="0.15">
      <c r="A139" s="8"/>
      <c r="B139" s="8"/>
      <c r="C139" s="8"/>
      <c r="D139" s="8"/>
      <c r="E139" s="9"/>
      <c r="F139" s="8"/>
      <c r="G139" s="10"/>
      <c r="H139" s="132"/>
      <c r="I139" s="140"/>
      <c r="J139" s="9"/>
      <c r="K139" s="140"/>
      <c r="L139" s="9"/>
      <c r="M139" s="8"/>
      <c r="N139" s="132"/>
      <c r="O139" s="140"/>
      <c r="P139" s="9"/>
      <c r="Q139" s="140"/>
      <c r="R139" s="9"/>
      <c r="S139" s="8"/>
      <c r="T139" s="140"/>
      <c r="U139" s="9">
        <f t="shared" si="30"/>
        <v>0</v>
      </c>
      <c r="V139" s="132"/>
      <c r="W139" s="140"/>
      <c r="X139" s="140"/>
      <c r="Y139" s="9"/>
      <c r="Z139" s="8"/>
      <c r="AA139" s="140"/>
      <c r="AB139" s="9">
        <f t="shared" si="31"/>
        <v>0</v>
      </c>
    </row>
    <row r="140" spans="1:28" outlineLevel="1" x14ac:dyDescent="0.15">
      <c r="A140" s="8"/>
      <c r="B140" s="8"/>
      <c r="C140" s="8"/>
      <c r="D140" s="8"/>
      <c r="E140" s="9"/>
      <c r="F140" s="8"/>
      <c r="G140" s="10"/>
      <c r="H140" s="132"/>
      <c r="I140" s="140"/>
      <c r="J140" s="9"/>
      <c r="K140" s="140"/>
      <c r="L140" s="9"/>
      <c r="M140" s="8"/>
      <c r="N140" s="132"/>
      <c r="O140" s="140"/>
      <c r="P140" s="9"/>
      <c r="Q140" s="140"/>
      <c r="R140" s="9"/>
      <c r="S140" s="8"/>
      <c r="T140" s="140"/>
      <c r="U140" s="9">
        <f t="shared" si="30"/>
        <v>0</v>
      </c>
      <c r="V140" s="132"/>
      <c r="W140" s="140"/>
      <c r="X140" s="140"/>
      <c r="Y140" s="9"/>
      <c r="Z140" s="8"/>
      <c r="AA140" s="140"/>
      <c r="AB140" s="9">
        <f t="shared" si="31"/>
        <v>0</v>
      </c>
    </row>
    <row r="141" spans="1:28" outlineLevel="1" x14ac:dyDescent="0.15">
      <c r="A141" s="8"/>
      <c r="B141" s="8"/>
      <c r="C141" s="8"/>
      <c r="D141" s="8"/>
      <c r="E141" s="9"/>
      <c r="F141" s="8"/>
      <c r="G141" s="10"/>
      <c r="H141" s="132"/>
      <c r="I141" s="140"/>
      <c r="J141" s="9"/>
      <c r="K141" s="140"/>
      <c r="L141" s="9"/>
      <c r="M141" s="8"/>
      <c r="N141" s="132"/>
      <c r="O141" s="140"/>
      <c r="P141" s="9"/>
      <c r="Q141" s="140"/>
      <c r="R141" s="9"/>
      <c r="S141" s="8"/>
      <c r="T141" s="140"/>
      <c r="U141" s="9">
        <f t="shared" si="30"/>
        <v>0</v>
      </c>
      <c r="V141" s="132"/>
      <c r="W141" s="140"/>
      <c r="X141" s="140"/>
      <c r="Y141" s="9"/>
      <c r="Z141" s="8"/>
      <c r="AA141" s="140"/>
      <c r="AB141" s="9">
        <f t="shared" si="31"/>
        <v>0</v>
      </c>
    </row>
    <row r="142" spans="1:28" outlineLevel="1" x14ac:dyDescent="0.15">
      <c r="A142" s="8"/>
      <c r="B142" s="8"/>
      <c r="C142" s="8"/>
      <c r="D142" s="8"/>
      <c r="E142" s="9"/>
      <c r="F142" s="8"/>
      <c r="G142" s="10"/>
      <c r="H142" s="132"/>
      <c r="I142" s="140"/>
      <c r="J142" s="9"/>
      <c r="K142" s="140"/>
      <c r="L142" s="9"/>
      <c r="M142" s="8"/>
      <c r="N142" s="132"/>
      <c r="O142" s="140"/>
      <c r="P142" s="9"/>
      <c r="Q142" s="140"/>
      <c r="R142" s="9"/>
      <c r="S142" s="8"/>
      <c r="T142" s="140"/>
      <c r="U142" s="9">
        <f t="shared" si="30"/>
        <v>0</v>
      </c>
      <c r="V142" s="132"/>
      <c r="W142" s="140"/>
      <c r="X142" s="140"/>
      <c r="Y142" s="9"/>
      <c r="Z142" s="8"/>
      <c r="AA142" s="140"/>
      <c r="AB142" s="9">
        <f t="shared" si="31"/>
        <v>0</v>
      </c>
    </row>
    <row r="143" spans="1:28" outlineLevel="1" x14ac:dyDescent="0.15">
      <c r="A143" s="8"/>
      <c r="B143" s="8"/>
      <c r="C143" s="8"/>
      <c r="D143" s="8"/>
      <c r="E143" s="9"/>
      <c r="F143" s="8"/>
      <c r="G143" s="10"/>
      <c r="H143" s="132"/>
      <c r="I143" s="140"/>
      <c r="J143" s="9"/>
      <c r="K143" s="140"/>
      <c r="L143" s="9"/>
      <c r="M143" s="8"/>
      <c r="N143" s="132"/>
      <c r="O143" s="140"/>
      <c r="P143" s="9"/>
      <c r="Q143" s="140"/>
      <c r="R143" s="9"/>
      <c r="S143" s="8"/>
      <c r="T143" s="140"/>
      <c r="U143" s="9">
        <f t="shared" si="30"/>
        <v>0</v>
      </c>
      <c r="V143" s="132"/>
      <c r="W143" s="140"/>
      <c r="X143" s="140"/>
      <c r="Y143" s="9"/>
      <c r="Z143" s="8"/>
      <c r="AA143" s="140"/>
      <c r="AB143" s="9">
        <f t="shared" si="31"/>
        <v>0</v>
      </c>
    </row>
    <row r="144" spans="1:28" outlineLevel="1" x14ac:dyDescent="0.15">
      <c r="A144" s="8"/>
      <c r="B144" s="8"/>
      <c r="C144" s="8"/>
      <c r="D144" s="8"/>
      <c r="E144" s="9"/>
      <c r="F144" s="8"/>
      <c r="G144" s="10"/>
      <c r="H144" s="132"/>
      <c r="I144" s="140"/>
      <c r="J144" s="9"/>
      <c r="K144" s="140"/>
      <c r="L144" s="9"/>
      <c r="M144" s="8"/>
      <c r="N144" s="132"/>
      <c r="O144" s="140"/>
      <c r="P144" s="9"/>
      <c r="Q144" s="140"/>
      <c r="R144" s="9"/>
      <c r="S144" s="8"/>
      <c r="T144" s="140"/>
      <c r="U144" s="9">
        <f t="shared" si="30"/>
        <v>0</v>
      </c>
      <c r="V144" s="132"/>
      <c r="W144" s="140"/>
      <c r="X144" s="140"/>
      <c r="Y144" s="9"/>
      <c r="Z144" s="8"/>
      <c r="AA144" s="140"/>
      <c r="AB144" s="9">
        <f t="shared" si="31"/>
        <v>0</v>
      </c>
    </row>
    <row r="145" spans="1:28" outlineLevel="1" x14ac:dyDescent="0.15">
      <c r="A145" s="8"/>
      <c r="B145" s="8"/>
      <c r="C145" s="8"/>
      <c r="D145" s="8"/>
      <c r="E145" s="9"/>
      <c r="F145" s="8"/>
      <c r="G145" s="10"/>
      <c r="H145" s="132"/>
      <c r="I145" s="140"/>
      <c r="J145" s="9"/>
      <c r="K145" s="140"/>
      <c r="L145" s="9"/>
      <c r="M145" s="8"/>
      <c r="N145" s="132"/>
      <c r="O145" s="140"/>
      <c r="P145" s="9"/>
      <c r="Q145" s="140"/>
      <c r="R145" s="9"/>
      <c r="S145" s="8"/>
      <c r="T145" s="140"/>
      <c r="U145" s="9">
        <f t="shared" si="30"/>
        <v>0</v>
      </c>
      <c r="V145" s="132"/>
      <c r="W145" s="140"/>
      <c r="X145" s="140"/>
      <c r="Y145" s="9"/>
      <c r="Z145" s="8"/>
      <c r="AA145" s="140"/>
      <c r="AB145" s="9">
        <f t="shared" si="31"/>
        <v>0</v>
      </c>
    </row>
    <row r="146" spans="1:28" outlineLevel="1" x14ac:dyDescent="0.15">
      <c r="A146" s="8"/>
      <c r="B146" s="8"/>
      <c r="C146" s="8"/>
      <c r="D146" s="8"/>
      <c r="E146" s="9"/>
      <c r="F146" s="8"/>
      <c r="G146" s="10"/>
      <c r="H146" s="132"/>
      <c r="I146" s="140"/>
      <c r="J146" s="9"/>
      <c r="K146" s="140"/>
      <c r="L146" s="9"/>
      <c r="M146" s="8"/>
      <c r="N146" s="132"/>
      <c r="O146" s="140"/>
      <c r="P146" s="9"/>
      <c r="Q146" s="140"/>
      <c r="R146" s="9"/>
      <c r="S146" s="8"/>
      <c r="T146" s="140"/>
      <c r="U146" s="9">
        <f t="shared" si="30"/>
        <v>0</v>
      </c>
      <c r="V146" s="132"/>
      <c r="W146" s="140"/>
      <c r="X146" s="140"/>
      <c r="Y146" s="9"/>
      <c r="Z146" s="8"/>
      <c r="AA146" s="140"/>
      <c r="AB146" s="9">
        <f t="shared" si="31"/>
        <v>0</v>
      </c>
    </row>
    <row r="147" spans="1:28" outlineLevel="1" x14ac:dyDescent="0.15">
      <c r="A147" s="8"/>
      <c r="B147" s="8"/>
      <c r="C147" s="8"/>
      <c r="D147" s="8"/>
      <c r="E147" s="9"/>
      <c r="F147" s="8"/>
      <c r="G147" s="10"/>
      <c r="H147" s="132"/>
      <c r="I147" s="140"/>
      <c r="J147" s="9"/>
      <c r="K147" s="140"/>
      <c r="L147" s="9"/>
      <c r="M147" s="8"/>
      <c r="N147" s="132"/>
      <c r="O147" s="140"/>
      <c r="P147" s="9"/>
      <c r="Q147" s="140"/>
      <c r="R147" s="9"/>
      <c r="S147" s="8"/>
      <c r="T147" s="140"/>
      <c r="U147" s="9">
        <f t="shared" si="30"/>
        <v>0</v>
      </c>
      <c r="V147" s="132"/>
      <c r="W147" s="140"/>
      <c r="X147" s="140"/>
      <c r="Y147" s="9"/>
      <c r="Z147" s="8"/>
      <c r="AA147" s="140"/>
      <c r="AB147" s="9">
        <f t="shared" si="31"/>
        <v>0</v>
      </c>
    </row>
    <row r="148" spans="1:28" outlineLevel="1" x14ac:dyDescent="0.15">
      <c r="A148" s="8"/>
      <c r="B148" s="8"/>
      <c r="C148" s="8"/>
      <c r="D148" s="8"/>
      <c r="E148" s="9"/>
      <c r="F148" s="8"/>
      <c r="G148" s="10"/>
      <c r="H148" s="132"/>
      <c r="I148" s="140"/>
      <c r="J148" s="9"/>
      <c r="K148" s="140"/>
      <c r="L148" s="9"/>
      <c r="M148" s="8"/>
      <c r="N148" s="132"/>
      <c r="O148" s="140"/>
      <c r="P148" s="9"/>
      <c r="Q148" s="140"/>
      <c r="R148" s="9"/>
      <c r="S148" s="8"/>
      <c r="T148" s="140"/>
      <c r="U148" s="9">
        <f t="shared" si="30"/>
        <v>0</v>
      </c>
      <c r="V148" s="132"/>
      <c r="W148" s="140"/>
      <c r="X148" s="140"/>
      <c r="Y148" s="9"/>
      <c r="Z148" s="8"/>
      <c r="AA148" s="140"/>
      <c r="AB148" s="9">
        <f t="shared" si="31"/>
        <v>0</v>
      </c>
    </row>
    <row r="149" spans="1:28" outlineLevel="1" x14ac:dyDescent="0.15">
      <c r="A149" s="8"/>
      <c r="B149" s="8"/>
      <c r="C149" s="8"/>
      <c r="D149" s="8"/>
      <c r="E149" s="9"/>
      <c r="F149" s="8"/>
      <c r="G149" s="10"/>
      <c r="H149" s="132"/>
      <c r="I149" s="140"/>
      <c r="J149" s="9"/>
      <c r="K149" s="140"/>
      <c r="L149" s="9"/>
      <c r="M149" s="8"/>
      <c r="N149" s="132"/>
      <c r="O149" s="140"/>
      <c r="P149" s="9"/>
      <c r="Q149" s="140"/>
      <c r="R149" s="9"/>
      <c r="S149" s="8"/>
      <c r="T149" s="140"/>
      <c r="U149" s="9">
        <f t="shared" si="30"/>
        <v>0</v>
      </c>
      <c r="V149" s="132"/>
      <c r="W149" s="140"/>
      <c r="X149" s="140"/>
      <c r="Y149" s="9"/>
      <c r="Z149" s="8"/>
      <c r="AA149" s="140"/>
      <c r="AB149" s="9">
        <f t="shared" si="31"/>
        <v>0</v>
      </c>
    </row>
    <row r="150" spans="1:28" outlineLevel="1" x14ac:dyDescent="0.15">
      <c r="A150" s="8"/>
      <c r="B150" s="8"/>
      <c r="C150" s="8"/>
      <c r="D150" s="8"/>
      <c r="E150" s="9"/>
      <c r="F150" s="8"/>
      <c r="G150" s="10"/>
      <c r="H150" s="132"/>
      <c r="I150" s="140"/>
      <c r="J150" s="9"/>
      <c r="K150" s="140"/>
      <c r="L150" s="9"/>
      <c r="M150" s="8"/>
      <c r="N150" s="132"/>
      <c r="O150" s="140"/>
      <c r="P150" s="9"/>
      <c r="Q150" s="140"/>
      <c r="R150" s="9"/>
      <c r="S150" s="8"/>
      <c r="T150" s="140"/>
      <c r="U150" s="9">
        <f t="shared" si="30"/>
        <v>0</v>
      </c>
      <c r="V150" s="132"/>
      <c r="W150" s="140"/>
      <c r="X150" s="140"/>
      <c r="Y150" s="9"/>
      <c r="Z150" s="8"/>
      <c r="AA150" s="140"/>
      <c r="AB150" s="9">
        <f t="shared" si="31"/>
        <v>0</v>
      </c>
    </row>
    <row r="151" spans="1:28" outlineLevel="1" x14ac:dyDescent="0.15">
      <c r="A151" s="8"/>
      <c r="B151" s="8"/>
      <c r="C151" s="8"/>
      <c r="D151" s="8"/>
      <c r="E151" s="9"/>
      <c r="F151" s="8"/>
      <c r="G151" s="10"/>
      <c r="H151" s="132"/>
      <c r="I151" s="140"/>
      <c r="J151" s="9"/>
      <c r="K151" s="140"/>
      <c r="L151" s="9"/>
      <c r="M151" s="8"/>
      <c r="N151" s="132"/>
      <c r="O151" s="140"/>
      <c r="P151" s="9"/>
      <c r="Q151" s="140"/>
      <c r="R151" s="9"/>
      <c r="S151" s="8"/>
      <c r="T151" s="140"/>
      <c r="U151" s="9">
        <f t="shared" si="30"/>
        <v>0</v>
      </c>
      <c r="V151" s="132"/>
      <c r="W151" s="140"/>
      <c r="X151" s="140"/>
      <c r="Y151" s="9"/>
      <c r="Z151" s="8"/>
      <c r="AA151" s="140"/>
      <c r="AB151" s="9">
        <f t="shared" si="31"/>
        <v>0</v>
      </c>
    </row>
    <row r="152" spans="1:28" outlineLevel="1" x14ac:dyDescent="0.15">
      <c r="A152" s="8"/>
      <c r="B152" s="8"/>
      <c r="C152" s="8"/>
      <c r="D152" s="8"/>
      <c r="E152" s="9"/>
      <c r="F152" s="8"/>
      <c r="G152" s="10"/>
      <c r="H152" s="132"/>
      <c r="I152" s="140"/>
      <c r="J152" s="9"/>
      <c r="K152" s="140"/>
      <c r="L152" s="9"/>
      <c r="M152" s="8"/>
      <c r="N152" s="132"/>
      <c r="O152" s="140"/>
      <c r="P152" s="9"/>
      <c r="Q152" s="140"/>
      <c r="R152" s="9"/>
      <c r="S152" s="8"/>
      <c r="T152" s="140"/>
      <c r="U152" s="9">
        <f t="shared" si="30"/>
        <v>0</v>
      </c>
      <c r="V152" s="132"/>
      <c r="W152" s="140"/>
      <c r="X152" s="140"/>
      <c r="Y152" s="9"/>
      <c r="Z152" s="8"/>
      <c r="AA152" s="140"/>
      <c r="AB152" s="9">
        <f t="shared" si="31"/>
        <v>0</v>
      </c>
    </row>
    <row r="153" spans="1:28" outlineLevel="1" x14ac:dyDescent="0.15">
      <c r="A153" s="8"/>
      <c r="B153" s="8"/>
      <c r="C153" s="8"/>
      <c r="D153" s="8"/>
      <c r="E153" s="9"/>
      <c r="F153" s="8"/>
      <c r="G153" s="10"/>
      <c r="H153" s="132"/>
      <c r="I153" s="140"/>
      <c r="J153" s="9"/>
      <c r="K153" s="140"/>
      <c r="L153" s="9"/>
      <c r="M153" s="8"/>
      <c r="N153" s="132"/>
      <c r="O153" s="140"/>
      <c r="P153" s="9"/>
      <c r="Q153" s="140"/>
      <c r="R153" s="9"/>
      <c r="S153" s="8"/>
      <c r="T153" s="140"/>
      <c r="U153" s="9">
        <f t="shared" si="30"/>
        <v>0</v>
      </c>
      <c r="V153" s="132"/>
      <c r="W153" s="140"/>
      <c r="X153" s="140"/>
      <c r="Y153" s="9"/>
      <c r="Z153" s="8"/>
      <c r="AA153" s="140"/>
      <c r="AB153" s="9">
        <f t="shared" si="31"/>
        <v>0</v>
      </c>
    </row>
    <row r="154" spans="1:28" outlineLevel="1" x14ac:dyDescent="0.15">
      <c r="A154" s="8"/>
      <c r="B154" s="8"/>
      <c r="C154" s="8"/>
      <c r="D154" s="8"/>
      <c r="E154" s="9"/>
      <c r="F154" s="8"/>
      <c r="G154" s="10"/>
      <c r="H154" s="132"/>
      <c r="I154" s="140"/>
      <c r="J154" s="9"/>
      <c r="K154" s="140"/>
      <c r="L154" s="9"/>
      <c r="M154" s="8"/>
      <c r="N154" s="132"/>
      <c r="O154" s="140"/>
      <c r="P154" s="9"/>
      <c r="Q154" s="140"/>
      <c r="R154" s="9"/>
      <c r="S154" s="8"/>
      <c r="T154" s="140"/>
      <c r="U154" s="9">
        <f t="shared" si="30"/>
        <v>0</v>
      </c>
      <c r="V154" s="132"/>
      <c r="W154" s="140"/>
      <c r="X154" s="140"/>
      <c r="Y154" s="9"/>
      <c r="Z154" s="8"/>
      <c r="AA154" s="140"/>
      <c r="AB154" s="9">
        <f t="shared" si="31"/>
        <v>0</v>
      </c>
    </row>
    <row r="155" spans="1:28" outlineLevel="1" x14ac:dyDescent="0.15">
      <c r="A155" s="8"/>
      <c r="B155" s="8"/>
      <c r="C155" s="8"/>
      <c r="D155" s="8"/>
      <c r="E155" s="9"/>
      <c r="F155" s="8"/>
      <c r="G155" s="10"/>
      <c r="H155" s="132"/>
      <c r="I155" s="140"/>
      <c r="J155" s="9"/>
      <c r="K155" s="140"/>
      <c r="L155" s="9"/>
      <c r="M155" s="8"/>
      <c r="N155" s="132"/>
      <c r="O155" s="140"/>
      <c r="P155" s="9"/>
      <c r="Q155" s="140"/>
      <c r="R155" s="9"/>
      <c r="S155" s="8"/>
      <c r="T155" s="140"/>
      <c r="U155" s="9">
        <f t="shared" si="30"/>
        <v>0</v>
      </c>
      <c r="V155" s="132"/>
      <c r="W155" s="140"/>
      <c r="X155" s="140"/>
      <c r="Y155" s="9"/>
      <c r="Z155" s="8"/>
      <c r="AA155" s="140"/>
      <c r="AB155" s="9">
        <f t="shared" si="31"/>
        <v>0</v>
      </c>
    </row>
    <row r="156" spans="1:28" outlineLevel="1" x14ac:dyDescent="0.15">
      <c r="A156" s="8"/>
      <c r="B156" s="8"/>
      <c r="C156" s="8"/>
      <c r="D156" s="8"/>
      <c r="E156" s="9"/>
      <c r="F156" s="8"/>
      <c r="G156" s="10"/>
      <c r="H156" s="132"/>
      <c r="I156" s="140"/>
      <c r="J156" s="9"/>
      <c r="K156" s="140"/>
      <c r="L156" s="9"/>
      <c r="M156" s="8"/>
      <c r="N156" s="132"/>
      <c r="O156" s="140"/>
      <c r="P156" s="9"/>
      <c r="Q156" s="140"/>
      <c r="R156" s="9"/>
      <c r="S156" s="8"/>
      <c r="T156" s="140"/>
      <c r="U156" s="9">
        <f t="shared" si="30"/>
        <v>0</v>
      </c>
      <c r="V156" s="132"/>
      <c r="W156" s="140"/>
      <c r="X156" s="140"/>
      <c r="Y156" s="9"/>
      <c r="Z156" s="8"/>
      <c r="AA156" s="140"/>
      <c r="AB156" s="9">
        <f t="shared" si="31"/>
        <v>0</v>
      </c>
    </row>
    <row r="157" spans="1:28" outlineLevel="1" x14ac:dyDescent="0.15">
      <c r="A157" s="8"/>
      <c r="B157" s="8"/>
      <c r="C157" s="8"/>
      <c r="D157" s="8"/>
      <c r="E157" s="9"/>
      <c r="F157" s="8"/>
      <c r="G157" s="10"/>
      <c r="H157" s="132"/>
      <c r="I157" s="140"/>
      <c r="J157" s="9"/>
      <c r="K157" s="140"/>
      <c r="L157" s="9"/>
      <c r="M157" s="8"/>
      <c r="N157" s="132"/>
      <c r="O157" s="140"/>
      <c r="P157" s="9"/>
      <c r="Q157" s="140"/>
      <c r="R157" s="9"/>
      <c r="S157" s="8"/>
      <c r="T157" s="140"/>
      <c r="U157" s="9">
        <f t="shared" si="30"/>
        <v>0</v>
      </c>
      <c r="V157" s="132"/>
      <c r="W157" s="140"/>
      <c r="X157" s="140"/>
      <c r="Y157" s="9"/>
      <c r="Z157" s="8"/>
      <c r="AA157" s="140"/>
      <c r="AB157" s="9">
        <f t="shared" si="31"/>
        <v>0</v>
      </c>
    </row>
    <row r="158" spans="1:28" outlineLevel="1" x14ac:dyDescent="0.15">
      <c r="A158" s="8"/>
      <c r="B158" s="8"/>
      <c r="C158" s="8"/>
      <c r="D158" s="8"/>
      <c r="E158" s="9"/>
      <c r="F158" s="8"/>
      <c r="G158" s="10"/>
      <c r="H158" s="132"/>
      <c r="I158" s="140"/>
      <c r="J158" s="9"/>
      <c r="K158" s="140"/>
      <c r="L158" s="9"/>
      <c r="M158" s="8"/>
      <c r="N158" s="132"/>
      <c r="O158" s="140"/>
      <c r="P158" s="9"/>
      <c r="Q158" s="140"/>
      <c r="R158" s="9"/>
      <c r="S158" s="8"/>
      <c r="T158" s="140"/>
      <c r="U158" s="9">
        <f t="shared" si="30"/>
        <v>0</v>
      </c>
      <c r="V158" s="132"/>
      <c r="W158" s="140"/>
      <c r="X158" s="140"/>
      <c r="Y158" s="9"/>
      <c r="Z158" s="8"/>
      <c r="AA158" s="140"/>
      <c r="AB158" s="9">
        <f t="shared" si="31"/>
        <v>0</v>
      </c>
    </row>
    <row r="159" spans="1:28" outlineLevel="1" x14ac:dyDescent="0.15">
      <c r="A159" s="8"/>
      <c r="B159" s="8"/>
      <c r="C159" s="8"/>
      <c r="D159" s="8"/>
      <c r="E159" s="9"/>
      <c r="F159" s="8"/>
      <c r="G159" s="10"/>
      <c r="H159" s="132"/>
      <c r="I159" s="140"/>
      <c r="J159" s="9"/>
      <c r="K159" s="140"/>
      <c r="L159" s="9"/>
      <c r="M159" s="8"/>
      <c r="N159" s="132"/>
      <c r="O159" s="140"/>
      <c r="P159" s="9"/>
      <c r="Q159" s="140"/>
      <c r="R159" s="9"/>
      <c r="S159" s="8"/>
      <c r="T159" s="140"/>
      <c r="U159" s="9">
        <f t="shared" si="30"/>
        <v>0</v>
      </c>
      <c r="V159" s="132"/>
      <c r="W159" s="140"/>
      <c r="X159" s="140"/>
      <c r="Y159" s="9"/>
      <c r="Z159" s="8"/>
      <c r="AA159" s="140"/>
      <c r="AB159" s="9">
        <f t="shared" si="31"/>
        <v>0</v>
      </c>
    </row>
    <row r="160" spans="1:28" outlineLevel="1" x14ac:dyDescent="0.15">
      <c r="A160" s="8"/>
      <c r="B160" s="8"/>
      <c r="C160" s="8"/>
      <c r="D160" s="8"/>
      <c r="E160" s="9"/>
      <c r="F160" s="8"/>
      <c r="G160" s="10"/>
      <c r="H160" s="132"/>
      <c r="I160" s="140"/>
      <c r="J160" s="9"/>
      <c r="K160" s="140"/>
      <c r="L160" s="9"/>
      <c r="M160" s="8"/>
      <c r="N160" s="132"/>
      <c r="O160" s="140"/>
      <c r="P160" s="9"/>
      <c r="Q160" s="140"/>
      <c r="R160" s="9"/>
      <c r="S160" s="8"/>
      <c r="T160" s="8"/>
      <c r="U160" s="8"/>
      <c r="V160" s="132"/>
      <c r="W160" s="140"/>
      <c r="X160" s="140"/>
      <c r="Y160" s="9"/>
      <c r="Z160" s="8"/>
      <c r="AA160" s="8"/>
      <c r="AB160" s="8"/>
    </row>
    <row r="161" spans="1:28" outlineLevel="1" x14ac:dyDescent="0.15">
      <c r="A161" s="8"/>
      <c r="B161" s="8"/>
      <c r="C161" s="8"/>
      <c r="D161" s="181" t="s">
        <v>939</v>
      </c>
      <c r="E161" s="9"/>
      <c r="F161" s="8"/>
      <c r="G161" s="10"/>
      <c r="H161" s="132"/>
      <c r="I161" s="140"/>
      <c r="J161" s="9"/>
      <c r="K161" s="140"/>
      <c r="L161" s="9"/>
      <c r="M161" s="8"/>
      <c r="N161" s="132"/>
      <c r="O161" s="140"/>
      <c r="P161" s="9"/>
      <c r="Q161" s="140"/>
      <c r="R161" s="9"/>
      <c r="S161" s="8"/>
      <c r="T161" s="8"/>
      <c r="U161" s="8"/>
      <c r="V161" s="132"/>
      <c r="W161" s="140"/>
      <c r="X161" s="140"/>
      <c r="Y161" s="9"/>
      <c r="Z161" s="8"/>
      <c r="AA161" s="8"/>
      <c r="AB161" s="8"/>
    </row>
    <row r="162" spans="1:28" outlineLevel="1" x14ac:dyDescent="0.15">
      <c r="A162" s="8"/>
      <c r="B162" s="8"/>
      <c r="C162" s="8"/>
      <c r="D162" s="186" t="s">
        <v>938</v>
      </c>
      <c r="E162" s="9"/>
      <c r="F162" s="8"/>
      <c r="G162" s="10"/>
      <c r="H162" s="132"/>
      <c r="I162" s="140"/>
      <c r="J162" s="9"/>
      <c r="K162" s="140"/>
      <c r="L162" s="9"/>
      <c r="M162" s="8"/>
      <c r="N162" s="132"/>
      <c r="O162" s="140"/>
      <c r="P162" s="9"/>
      <c r="Q162" s="140"/>
      <c r="R162" s="9"/>
      <c r="S162" s="8"/>
      <c r="T162" s="8"/>
      <c r="U162" s="8"/>
      <c r="V162" s="132"/>
      <c r="W162" s="140"/>
      <c r="X162" s="140"/>
      <c r="Y162" s="9"/>
      <c r="Z162" s="8"/>
      <c r="AA162" s="8"/>
      <c r="AB162" s="8"/>
    </row>
    <row r="163" spans="1:28" outlineLevel="1" x14ac:dyDescent="0.15">
      <c r="A163" s="8"/>
      <c r="B163" s="8"/>
      <c r="C163" s="8"/>
      <c r="D163" s="8"/>
      <c r="E163" s="9"/>
      <c r="F163" s="8"/>
      <c r="G163" s="10"/>
      <c r="H163" s="132"/>
      <c r="I163" s="140"/>
      <c r="J163" s="9"/>
      <c r="K163" s="140"/>
      <c r="L163" s="9"/>
      <c r="M163" s="8"/>
      <c r="N163" s="132"/>
      <c r="O163" s="140"/>
      <c r="P163" s="9"/>
      <c r="Q163" s="140"/>
      <c r="R163" s="9"/>
      <c r="S163" s="8"/>
      <c r="T163" s="8"/>
      <c r="U163" s="8"/>
      <c r="V163" s="132"/>
      <c r="W163" s="140"/>
      <c r="X163" s="140"/>
      <c r="Y163" s="9"/>
      <c r="Z163" s="8"/>
      <c r="AA163" s="8"/>
      <c r="AB163" s="8"/>
    </row>
    <row r="164" spans="1:28" outlineLevel="1" x14ac:dyDescent="0.15">
      <c r="A164" s="8"/>
      <c r="B164" s="8"/>
      <c r="C164" s="8"/>
      <c r="D164" s="8"/>
      <c r="E164" s="9"/>
      <c r="F164" s="8"/>
      <c r="G164" s="10"/>
      <c r="H164" s="132"/>
      <c r="I164" s="140"/>
      <c r="J164" s="9"/>
      <c r="K164" s="140"/>
      <c r="L164" s="9"/>
      <c r="M164" s="8"/>
      <c r="N164" s="132"/>
      <c r="O164" s="140"/>
      <c r="P164" s="9"/>
      <c r="Q164" s="140"/>
      <c r="R164" s="9"/>
      <c r="S164" s="8"/>
      <c r="T164" s="8"/>
      <c r="U164" s="8"/>
      <c r="V164" s="132"/>
      <c r="W164" s="140"/>
      <c r="X164" s="140"/>
      <c r="Y164" s="9"/>
      <c r="Z164" s="8"/>
      <c r="AA164" s="8"/>
      <c r="AB164" s="8"/>
    </row>
    <row r="165" spans="1:28" outlineLevel="1" x14ac:dyDescent="0.15">
      <c r="A165" s="8"/>
      <c r="B165" s="8"/>
      <c r="C165" s="8"/>
      <c r="D165" s="8"/>
      <c r="E165" s="9"/>
      <c r="F165" s="8"/>
      <c r="G165" s="10"/>
      <c r="H165" s="132"/>
      <c r="I165" s="140"/>
      <c r="J165" s="9"/>
      <c r="K165" s="140"/>
      <c r="L165" s="9"/>
      <c r="M165" s="8"/>
      <c r="N165" s="132"/>
      <c r="O165" s="140"/>
      <c r="P165" s="9"/>
      <c r="Q165" s="140"/>
      <c r="R165" s="9"/>
      <c r="S165" s="8"/>
      <c r="T165" s="8"/>
      <c r="U165" s="8"/>
      <c r="V165" s="132"/>
      <c r="W165" s="140"/>
      <c r="X165" s="140"/>
      <c r="Y165" s="9"/>
      <c r="Z165" s="8"/>
      <c r="AA165" s="8"/>
      <c r="AB165" s="8"/>
    </row>
    <row r="166" spans="1:28" outlineLevel="1" x14ac:dyDescent="0.15">
      <c r="A166" s="8"/>
      <c r="B166" s="8"/>
      <c r="C166" s="8"/>
      <c r="D166" s="8"/>
      <c r="E166" s="9"/>
      <c r="F166" s="8"/>
      <c r="G166" s="10"/>
      <c r="H166" s="132"/>
      <c r="I166" s="140"/>
      <c r="J166" s="9"/>
      <c r="K166" s="140"/>
      <c r="L166" s="9"/>
      <c r="M166" s="8"/>
      <c r="N166" s="132"/>
      <c r="O166" s="140"/>
      <c r="P166" s="9"/>
      <c r="Q166" s="140"/>
      <c r="R166" s="9"/>
      <c r="S166" s="8"/>
      <c r="T166" s="8"/>
      <c r="U166" s="8"/>
      <c r="V166" s="132"/>
      <c r="W166" s="140"/>
      <c r="X166" s="140"/>
      <c r="Y166" s="9"/>
      <c r="Z166" s="8"/>
      <c r="AA166" s="8"/>
      <c r="AB166" s="8"/>
    </row>
    <row r="167" spans="1:28" outlineLevel="1" x14ac:dyDescent="0.15">
      <c r="A167" s="8"/>
      <c r="B167" s="8"/>
      <c r="C167" s="8"/>
      <c r="D167" s="8"/>
      <c r="E167" s="9"/>
      <c r="F167" s="8"/>
      <c r="G167" s="10"/>
      <c r="H167" s="132"/>
      <c r="I167" s="140"/>
      <c r="J167" s="9"/>
      <c r="K167" s="140"/>
      <c r="L167" s="9"/>
      <c r="M167" s="8"/>
      <c r="N167" s="132"/>
      <c r="O167" s="140"/>
      <c r="P167" s="9"/>
      <c r="Q167" s="140"/>
      <c r="R167" s="9"/>
      <c r="S167" s="8"/>
      <c r="T167" s="8"/>
      <c r="U167" s="8"/>
      <c r="V167" s="132"/>
      <c r="W167" s="140"/>
      <c r="X167" s="140"/>
      <c r="Y167" s="9"/>
      <c r="Z167" s="8"/>
      <c r="AA167" s="8"/>
      <c r="AB167" s="8"/>
    </row>
    <row r="168" spans="1:28" outlineLevel="1" x14ac:dyDescent="0.15">
      <c r="A168" s="8"/>
      <c r="B168" s="8"/>
      <c r="C168" s="8"/>
      <c r="D168" s="8"/>
      <c r="E168" s="9"/>
      <c r="F168" s="8"/>
      <c r="G168" s="10"/>
      <c r="H168" s="132"/>
      <c r="I168" s="140"/>
      <c r="J168" s="9"/>
      <c r="K168" s="140"/>
      <c r="L168" s="9"/>
      <c r="M168" s="8"/>
      <c r="N168" s="132"/>
      <c r="O168" s="140"/>
      <c r="P168" s="9"/>
      <c r="Q168" s="140"/>
      <c r="R168" s="9"/>
      <c r="S168" s="8"/>
      <c r="T168" s="8"/>
      <c r="U168" s="8"/>
      <c r="V168" s="132"/>
      <c r="W168" s="140"/>
      <c r="X168" s="140"/>
      <c r="Y168" s="9"/>
      <c r="Z168" s="8"/>
      <c r="AA168" s="8"/>
      <c r="AB168" s="8"/>
    </row>
    <row r="169" spans="1:28" outlineLevel="1" x14ac:dyDescent="0.15">
      <c r="A169" s="8"/>
      <c r="B169" s="8"/>
      <c r="C169" s="8"/>
      <c r="D169" s="8"/>
      <c r="E169" s="9"/>
      <c r="F169" s="8"/>
      <c r="G169" s="10"/>
      <c r="H169" s="132"/>
      <c r="I169" s="140"/>
      <c r="J169" s="9"/>
      <c r="K169" s="140"/>
      <c r="L169" s="9"/>
      <c r="M169" s="8"/>
      <c r="N169" s="132"/>
      <c r="O169" s="140"/>
      <c r="P169" s="9"/>
      <c r="Q169" s="140"/>
      <c r="R169" s="9"/>
      <c r="S169" s="8"/>
      <c r="T169" s="8"/>
      <c r="U169" s="8"/>
      <c r="V169" s="132"/>
      <c r="W169" s="140"/>
      <c r="X169" s="140"/>
      <c r="Y169" s="9"/>
      <c r="Z169" s="8"/>
      <c r="AA169" s="8"/>
      <c r="AB169" s="8"/>
    </row>
    <row r="170" spans="1:28" outlineLevel="1" x14ac:dyDescent="0.15">
      <c r="A170" s="8"/>
      <c r="B170" s="8"/>
      <c r="C170" s="8"/>
      <c r="D170" s="8"/>
      <c r="E170" s="9"/>
      <c r="F170" s="8"/>
      <c r="G170" s="10"/>
      <c r="H170" s="132"/>
      <c r="I170" s="140"/>
      <c r="J170" s="9"/>
      <c r="K170" s="140"/>
      <c r="L170" s="9"/>
      <c r="M170" s="8"/>
      <c r="N170" s="132"/>
      <c r="O170" s="140"/>
      <c r="P170" s="9"/>
      <c r="Q170" s="140"/>
      <c r="R170" s="9"/>
      <c r="S170" s="8"/>
      <c r="T170" s="8"/>
      <c r="U170" s="8"/>
      <c r="V170" s="132"/>
      <c r="W170" s="140"/>
      <c r="X170" s="140"/>
      <c r="Y170" s="9"/>
      <c r="Z170" s="8"/>
      <c r="AA170" s="8"/>
      <c r="AB170" s="8"/>
    </row>
    <row r="171" spans="1:28" outlineLevel="1" x14ac:dyDescent="0.15">
      <c r="A171" s="8"/>
      <c r="B171" s="8"/>
      <c r="C171" s="8"/>
      <c r="D171" s="8"/>
      <c r="E171" s="9"/>
      <c r="F171" s="8"/>
      <c r="G171" s="10"/>
      <c r="H171" s="132"/>
      <c r="I171" s="140"/>
      <c r="J171" s="9"/>
      <c r="K171" s="140"/>
      <c r="L171" s="9"/>
      <c r="M171" s="8"/>
      <c r="N171" s="132"/>
      <c r="O171" s="140"/>
      <c r="P171" s="9"/>
      <c r="Q171" s="140"/>
      <c r="R171" s="9"/>
      <c r="S171" s="8"/>
      <c r="T171" s="8"/>
      <c r="U171" s="8"/>
      <c r="V171" s="132"/>
      <c r="W171" s="140"/>
      <c r="X171" s="140"/>
      <c r="Y171" s="9"/>
      <c r="Z171" s="8"/>
      <c r="AA171" s="8"/>
      <c r="AB171" s="8"/>
    </row>
    <row r="172" spans="1:28" outlineLevel="1" x14ac:dyDescent="0.15">
      <c r="A172" s="8"/>
      <c r="B172" s="8"/>
      <c r="C172" s="8"/>
      <c r="D172" s="8"/>
      <c r="E172" s="9"/>
      <c r="F172" s="8"/>
      <c r="G172" s="10"/>
      <c r="H172" s="132"/>
      <c r="I172" s="140"/>
      <c r="J172" s="9"/>
      <c r="K172" s="140"/>
      <c r="L172" s="9"/>
      <c r="M172" s="8"/>
      <c r="N172" s="132"/>
      <c r="O172" s="140"/>
      <c r="P172" s="9"/>
      <c r="Q172" s="140"/>
      <c r="R172" s="9"/>
      <c r="S172" s="8"/>
      <c r="T172" s="8"/>
      <c r="U172" s="8"/>
      <c r="V172" s="132"/>
      <c r="W172" s="140"/>
      <c r="X172" s="140"/>
      <c r="Y172" s="9"/>
      <c r="Z172" s="8"/>
      <c r="AA172" s="8"/>
      <c r="AB172" s="8"/>
    </row>
    <row r="173" spans="1:28" outlineLevel="1" x14ac:dyDescent="0.15">
      <c r="A173" s="8"/>
      <c r="B173" s="8"/>
      <c r="C173" s="8"/>
      <c r="D173" s="8"/>
      <c r="E173" s="9"/>
      <c r="F173" s="8"/>
      <c r="G173" s="10"/>
      <c r="H173" s="132"/>
      <c r="I173" s="140"/>
      <c r="J173" s="9"/>
      <c r="K173" s="140"/>
      <c r="L173" s="9"/>
      <c r="M173" s="8"/>
      <c r="N173" s="132"/>
      <c r="O173" s="140"/>
      <c r="P173" s="9"/>
      <c r="Q173" s="140"/>
      <c r="R173" s="9"/>
      <c r="S173" s="8"/>
      <c r="T173" s="8"/>
      <c r="U173" s="8"/>
      <c r="V173" s="132"/>
      <c r="W173" s="140"/>
      <c r="X173" s="140"/>
      <c r="Y173" s="9"/>
      <c r="Z173" s="8"/>
      <c r="AA173" s="8"/>
      <c r="AB173" s="8"/>
    </row>
    <row r="174" spans="1:28" outlineLevel="1" x14ac:dyDescent="0.15">
      <c r="A174" s="8"/>
      <c r="B174" s="8"/>
      <c r="C174" s="8"/>
      <c r="D174" s="8"/>
      <c r="E174" s="9"/>
      <c r="F174" s="8"/>
      <c r="G174" s="10"/>
      <c r="H174" s="132"/>
      <c r="I174" s="140"/>
      <c r="J174" s="9"/>
      <c r="K174" s="140"/>
      <c r="L174" s="9"/>
      <c r="M174" s="8"/>
      <c r="N174" s="132"/>
      <c r="O174" s="140"/>
      <c r="P174" s="9"/>
      <c r="Q174" s="140"/>
      <c r="R174" s="9"/>
      <c r="S174" s="8"/>
      <c r="T174" s="8"/>
      <c r="U174" s="8"/>
      <c r="V174" s="132"/>
      <c r="W174" s="140"/>
      <c r="X174" s="140"/>
      <c r="Y174" s="9"/>
      <c r="Z174" s="8"/>
      <c r="AA174" s="8"/>
      <c r="AB174" s="8"/>
    </row>
    <row r="175" spans="1:28" outlineLevel="1" x14ac:dyDescent="0.15">
      <c r="A175" s="8"/>
      <c r="B175" s="8"/>
      <c r="C175" s="8"/>
      <c r="D175" s="8"/>
      <c r="E175" s="9"/>
      <c r="F175" s="8"/>
      <c r="G175" s="10"/>
      <c r="H175" s="132"/>
      <c r="I175" s="140"/>
      <c r="J175" s="9"/>
      <c r="K175" s="140"/>
      <c r="L175" s="9"/>
      <c r="M175" s="8"/>
      <c r="N175" s="132"/>
      <c r="O175" s="140"/>
      <c r="P175" s="9"/>
      <c r="Q175" s="140"/>
      <c r="R175" s="9"/>
      <c r="S175" s="8"/>
      <c r="T175" s="8"/>
      <c r="U175" s="8"/>
      <c r="V175" s="132"/>
      <c r="W175" s="140"/>
      <c r="X175" s="140"/>
      <c r="Y175" s="9"/>
      <c r="Z175" s="8"/>
      <c r="AA175" s="8"/>
      <c r="AB175" s="8"/>
    </row>
    <row r="176" spans="1:28" outlineLevel="1" x14ac:dyDescent="0.15">
      <c r="A176" s="8"/>
      <c r="B176" s="8"/>
      <c r="C176" s="8"/>
      <c r="D176" s="8"/>
      <c r="E176" s="9"/>
      <c r="F176" s="8"/>
      <c r="G176" s="10"/>
      <c r="H176" s="132"/>
      <c r="I176" s="140"/>
      <c r="J176" s="9"/>
      <c r="K176" s="140"/>
      <c r="L176" s="9"/>
      <c r="M176" s="8"/>
      <c r="N176" s="132"/>
      <c r="O176" s="140"/>
      <c r="P176" s="9"/>
      <c r="Q176" s="140"/>
      <c r="R176" s="9"/>
      <c r="S176" s="8"/>
      <c r="T176" s="8"/>
      <c r="U176" s="8"/>
      <c r="V176" s="132"/>
      <c r="W176" s="140"/>
      <c r="X176" s="140"/>
      <c r="Y176" s="9"/>
      <c r="Z176" s="8"/>
      <c r="AA176" s="8"/>
      <c r="AB176" s="8"/>
    </row>
    <row r="177" spans="1:28" outlineLevel="1" x14ac:dyDescent="0.15">
      <c r="A177" s="8"/>
      <c r="B177" s="8"/>
      <c r="C177" s="8"/>
      <c r="D177" s="8"/>
      <c r="E177" s="9"/>
      <c r="F177" s="8"/>
      <c r="G177" s="10"/>
      <c r="H177" s="132"/>
      <c r="I177" s="140"/>
      <c r="J177" s="9"/>
      <c r="K177" s="140"/>
      <c r="L177" s="9"/>
      <c r="M177" s="8"/>
      <c r="N177" s="132"/>
      <c r="O177" s="140"/>
      <c r="P177" s="9"/>
      <c r="Q177" s="140"/>
      <c r="R177" s="9"/>
      <c r="S177" s="8"/>
      <c r="T177" s="8"/>
      <c r="U177" s="8"/>
      <c r="V177" s="132"/>
      <c r="W177" s="140"/>
      <c r="X177" s="140"/>
      <c r="Y177" s="9"/>
      <c r="Z177" s="8"/>
      <c r="AA177" s="8"/>
      <c r="AB177" s="8"/>
    </row>
    <row r="178" spans="1:28" outlineLevel="1" x14ac:dyDescent="0.15">
      <c r="A178" s="8"/>
      <c r="B178" s="8"/>
      <c r="C178" s="8"/>
      <c r="D178" s="8"/>
      <c r="E178" s="9"/>
      <c r="F178" s="8"/>
      <c r="G178" s="10"/>
      <c r="H178" s="132"/>
      <c r="I178" s="140"/>
      <c r="J178" s="9"/>
      <c r="K178" s="140"/>
      <c r="L178" s="9"/>
      <c r="M178" s="8"/>
      <c r="N178" s="132"/>
      <c r="O178" s="140"/>
      <c r="P178" s="9"/>
      <c r="Q178" s="140"/>
      <c r="R178" s="9"/>
      <c r="S178" s="8"/>
      <c r="T178" s="8"/>
      <c r="U178" s="8"/>
      <c r="V178" s="132"/>
      <c r="W178" s="140"/>
      <c r="X178" s="140"/>
      <c r="Y178" s="9"/>
      <c r="Z178" s="8"/>
      <c r="AA178" s="8"/>
      <c r="AB178" s="8"/>
    </row>
    <row r="179" spans="1:28" outlineLevel="1" x14ac:dyDescent="0.15">
      <c r="A179" s="8"/>
      <c r="B179" s="8"/>
      <c r="C179" s="8"/>
      <c r="D179" s="8"/>
      <c r="E179" s="9"/>
      <c r="F179" s="8"/>
      <c r="G179" s="10"/>
      <c r="H179" s="132"/>
      <c r="I179" s="140"/>
      <c r="J179" s="9"/>
      <c r="K179" s="140"/>
      <c r="L179" s="9"/>
      <c r="M179" s="8"/>
      <c r="N179" s="132"/>
      <c r="O179" s="140"/>
      <c r="P179" s="9"/>
      <c r="Q179" s="140"/>
      <c r="R179" s="9"/>
      <c r="S179" s="8"/>
      <c r="T179" s="8"/>
      <c r="U179" s="8"/>
      <c r="V179" s="132"/>
      <c r="W179" s="140"/>
      <c r="X179" s="140"/>
      <c r="Y179" s="9"/>
      <c r="Z179" s="8"/>
      <c r="AA179" s="8"/>
      <c r="AB179" s="8"/>
    </row>
    <row r="180" spans="1:28" outlineLevel="1" x14ac:dyDescent="0.15">
      <c r="A180" s="8"/>
      <c r="B180" s="8"/>
      <c r="C180" s="8"/>
      <c r="D180" s="8"/>
      <c r="E180" s="9"/>
      <c r="F180" s="8"/>
      <c r="G180" s="10"/>
      <c r="H180" s="132"/>
      <c r="I180" s="140"/>
      <c r="J180" s="9"/>
      <c r="K180" s="140"/>
      <c r="L180" s="9"/>
      <c r="M180" s="8"/>
      <c r="N180" s="132"/>
      <c r="O180" s="140"/>
      <c r="P180" s="9"/>
      <c r="Q180" s="140"/>
      <c r="R180" s="9"/>
      <c r="S180" s="8"/>
      <c r="T180" s="8"/>
      <c r="U180" s="8"/>
      <c r="V180" s="132"/>
      <c r="W180" s="140"/>
      <c r="X180" s="140"/>
      <c r="Y180" s="9"/>
      <c r="Z180" s="8"/>
      <c r="AA180" s="8"/>
      <c r="AB180" s="8"/>
    </row>
    <row r="181" spans="1:28" outlineLevel="1" x14ac:dyDescent="0.15">
      <c r="A181" s="8"/>
      <c r="B181" s="8"/>
      <c r="C181" s="8"/>
      <c r="D181" s="8"/>
      <c r="E181" s="9"/>
      <c r="F181" s="8"/>
      <c r="G181" s="10"/>
      <c r="H181" s="132"/>
      <c r="I181" s="140"/>
      <c r="J181" s="9"/>
      <c r="K181" s="140"/>
      <c r="L181" s="9"/>
      <c r="M181" s="8"/>
      <c r="N181" s="132"/>
      <c r="O181" s="140"/>
      <c r="P181" s="9"/>
      <c r="Q181" s="140"/>
      <c r="R181" s="9"/>
      <c r="S181" s="8"/>
      <c r="T181" s="8"/>
      <c r="U181" s="8"/>
      <c r="V181" s="132"/>
      <c r="W181" s="140"/>
      <c r="X181" s="140"/>
      <c r="Y181" s="9"/>
      <c r="Z181" s="8"/>
      <c r="AA181" s="8"/>
      <c r="AB181" s="8"/>
    </row>
    <row r="182" spans="1:28" outlineLevel="1" x14ac:dyDescent="0.15">
      <c r="A182" s="8"/>
      <c r="B182" s="8"/>
      <c r="C182" s="8"/>
      <c r="D182" s="8"/>
      <c r="E182" s="9"/>
      <c r="F182" s="8"/>
      <c r="G182" s="10"/>
      <c r="H182" s="132"/>
      <c r="I182" s="140"/>
      <c r="J182" s="9"/>
      <c r="K182" s="140"/>
      <c r="L182" s="9"/>
      <c r="M182" s="8"/>
      <c r="N182" s="132"/>
      <c r="O182" s="140"/>
      <c r="P182" s="9"/>
      <c r="Q182" s="140"/>
      <c r="R182" s="9"/>
      <c r="S182" s="8"/>
      <c r="T182" s="8"/>
      <c r="U182" s="8"/>
      <c r="V182" s="132"/>
      <c r="W182" s="140"/>
      <c r="X182" s="140"/>
      <c r="Y182" s="9"/>
      <c r="Z182" s="8"/>
      <c r="AA182" s="8"/>
      <c r="AB182" s="8"/>
    </row>
    <row r="183" spans="1:28" outlineLevel="1" x14ac:dyDescent="0.15">
      <c r="A183" s="8"/>
      <c r="B183" s="8"/>
      <c r="C183" s="8"/>
      <c r="D183" s="8"/>
      <c r="E183" s="9"/>
      <c r="F183" s="8"/>
      <c r="G183" s="10"/>
      <c r="H183" s="132"/>
      <c r="I183" s="140"/>
      <c r="J183" s="9"/>
      <c r="K183" s="140"/>
      <c r="L183" s="9"/>
      <c r="M183" s="8"/>
      <c r="N183" s="132"/>
      <c r="O183" s="140"/>
      <c r="P183" s="9"/>
      <c r="Q183" s="140"/>
      <c r="R183" s="9"/>
      <c r="S183" s="8"/>
      <c r="T183" s="8"/>
      <c r="U183" s="8"/>
      <c r="V183" s="132"/>
      <c r="W183" s="140"/>
      <c r="X183" s="140"/>
      <c r="Y183" s="9"/>
      <c r="Z183" s="8"/>
      <c r="AA183" s="8"/>
      <c r="AB183" s="8"/>
    </row>
    <row r="184" spans="1:28" outlineLevel="1" x14ac:dyDescent="0.15">
      <c r="A184" s="8"/>
      <c r="B184" s="8"/>
      <c r="C184" s="8"/>
      <c r="D184" s="8"/>
      <c r="E184" s="9"/>
      <c r="F184" s="8"/>
      <c r="G184" s="10"/>
      <c r="H184" s="132"/>
      <c r="I184" s="140"/>
      <c r="J184" s="9"/>
      <c r="K184" s="140"/>
      <c r="L184" s="9"/>
      <c r="M184" s="8"/>
      <c r="N184" s="132"/>
      <c r="O184" s="140"/>
      <c r="P184" s="9"/>
      <c r="Q184" s="140"/>
      <c r="R184" s="9"/>
      <c r="S184" s="8"/>
      <c r="T184" s="8"/>
      <c r="U184" s="8"/>
      <c r="V184" s="132"/>
      <c r="W184" s="140"/>
      <c r="X184" s="140"/>
      <c r="Y184" s="9"/>
      <c r="Z184" s="8"/>
      <c r="AA184" s="8"/>
      <c r="AB184" s="8"/>
    </row>
    <row r="185" spans="1:28" outlineLevel="1" x14ac:dyDescent="0.15">
      <c r="A185" s="8"/>
      <c r="B185" s="8"/>
      <c r="C185" s="8"/>
      <c r="D185" s="8"/>
      <c r="E185" s="9"/>
      <c r="F185" s="8"/>
      <c r="G185" s="10"/>
      <c r="H185" s="132"/>
      <c r="I185" s="140"/>
      <c r="J185" s="9"/>
      <c r="K185" s="140"/>
      <c r="L185" s="9"/>
      <c r="M185" s="8"/>
      <c r="N185" s="132"/>
      <c r="O185" s="140"/>
      <c r="P185" s="9"/>
      <c r="Q185" s="140"/>
      <c r="R185" s="9"/>
      <c r="S185" s="8"/>
      <c r="T185" s="8"/>
      <c r="U185" s="8"/>
      <c r="V185" s="132"/>
      <c r="W185" s="140"/>
      <c r="X185" s="140"/>
      <c r="Y185" s="9"/>
      <c r="Z185" s="8"/>
      <c r="AA185" s="8"/>
      <c r="AB185" s="8"/>
    </row>
    <row r="186" spans="1:28" outlineLevel="1" x14ac:dyDescent="0.15">
      <c r="A186" s="8"/>
      <c r="B186" s="8"/>
      <c r="C186" s="8"/>
      <c r="D186" s="8"/>
      <c r="E186" s="9"/>
      <c r="F186" s="8"/>
      <c r="G186" s="10"/>
      <c r="H186" s="132"/>
      <c r="I186" s="140"/>
      <c r="J186" s="9"/>
      <c r="K186" s="140"/>
      <c r="L186" s="9"/>
      <c r="M186" s="8"/>
      <c r="N186" s="132"/>
      <c r="O186" s="140"/>
      <c r="P186" s="9"/>
      <c r="Q186" s="140"/>
      <c r="R186" s="9"/>
      <c r="S186" s="8"/>
      <c r="T186" s="8"/>
      <c r="U186" s="8"/>
      <c r="V186" s="132"/>
      <c r="W186" s="140"/>
      <c r="X186" s="140"/>
      <c r="Y186" s="9"/>
      <c r="Z186" s="8"/>
      <c r="AA186" s="8"/>
      <c r="AB186" s="8"/>
    </row>
    <row r="187" spans="1:28" outlineLevel="1" x14ac:dyDescent="0.15">
      <c r="A187" s="8"/>
      <c r="B187" s="8"/>
      <c r="C187" s="8"/>
      <c r="D187" s="8"/>
      <c r="E187" s="9"/>
      <c r="F187" s="8"/>
      <c r="G187" s="10"/>
      <c r="H187" s="132"/>
      <c r="I187" s="140"/>
      <c r="J187" s="9"/>
      <c r="K187" s="140"/>
      <c r="L187" s="9"/>
      <c r="M187" s="8"/>
      <c r="N187" s="132"/>
      <c r="O187" s="140"/>
      <c r="P187" s="9"/>
      <c r="Q187" s="140"/>
      <c r="R187" s="9"/>
      <c r="S187" s="8"/>
      <c r="T187" s="8"/>
      <c r="U187" s="8"/>
      <c r="V187" s="132"/>
      <c r="W187" s="140"/>
      <c r="X187" s="140"/>
      <c r="Y187" s="9"/>
      <c r="Z187" s="8"/>
      <c r="AA187" s="8"/>
      <c r="AB187" s="8"/>
    </row>
    <row r="188" spans="1:28" outlineLevel="1" x14ac:dyDescent="0.15">
      <c r="A188" s="8"/>
      <c r="B188" s="8"/>
      <c r="C188" s="8"/>
      <c r="D188" s="8"/>
      <c r="E188" s="9"/>
      <c r="F188" s="8"/>
      <c r="G188" s="10"/>
      <c r="H188" s="132"/>
      <c r="I188" s="140"/>
      <c r="J188" s="9"/>
      <c r="K188" s="140"/>
      <c r="L188" s="9"/>
      <c r="M188" s="8"/>
      <c r="N188" s="132"/>
      <c r="O188" s="140"/>
      <c r="P188" s="9"/>
      <c r="Q188" s="140"/>
      <c r="R188" s="9"/>
      <c r="S188" s="8"/>
      <c r="T188" s="8"/>
      <c r="U188" s="8"/>
      <c r="V188" s="132"/>
      <c r="W188" s="140"/>
      <c r="X188" s="140"/>
      <c r="Y188" s="9"/>
      <c r="Z188" s="8"/>
      <c r="AA188" s="8"/>
      <c r="AB188" s="8"/>
    </row>
    <row r="189" spans="1:28" outlineLevel="1" x14ac:dyDescent="0.15">
      <c r="A189" s="8"/>
      <c r="B189" s="8"/>
      <c r="C189" s="8"/>
      <c r="D189" s="8"/>
      <c r="E189" s="9"/>
      <c r="F189" s="8"/>
      <c r="G189" s="10"/>
      <c r="H189" s="132"/>
      <c r="I189" s="140"/>
      <c r="J189" s="9"/>
      <c r="K189" s="140"/>
      <c r="L189" s="9"/>
      <c r="M189" s="8"/>
      <c r="N189" s="132"/>
      <c r="O189" s="140"/>
      <c r="P189" s="9"/>
      <c r="Q189" s="140"/>
      <c r="R189" s="9"/>
      <c r="S189" s="8"/>
      <c r="T189" s="8"/>
      <c r="U189" s="8"/>
      <c r="V189" s="132"/>
      <c r="W189" s="140"/>
      <c r="X189" s="140"/>
      <c r="Y189" s="9"/>
      <c r="Z189" s="8"/>
      <c r="AA189" s="8"/>
      <c r="AB189" s="8"/>
    </row>
    <row r="190" spans="1:28" outlineLevel="1" x14ac:dyDescent="0.15">
      <c r="A190" s="8"/>
      <c r="B190" s="8"/>
      <c r="C190" s="8"/>
      <c r="D190" s="8"/>
      <c r="E190" s="9"/>
      <c r="F190" s="8"/>
      <c r="G190" s="10"/>
      <c r="H190" s="132"/>
      <c r="I190" s="140"/>
      <c r="J190" s="9"/>
      <c r="K190" s="140"/>
      <c r="L190" s="9"/>
      <c r="M190" s="8"/>
      <c r="N190" s="132"/>
      <c r="O190" s="140"/>
      <c r="P190" s="9"/>
      <c r="Q190" s="140"/>
      <c r="R190" s="9"/>
      <c r="S190" s="8"/>
      <c r="T190" s="8"/>
      <c r="U190" s="8"/>
      <c r="V190" s="132"/>
      <c r="W190" s="140"/>
      <c r="X190" s="140"/>
      <c r="Y190" s="9"/>
      <c r="Z190" s="8"/>
      <c r="AA190" s="8"/>
      <c r="AB190" s="8"/>
    </row>
    <row r="191" spans="1:28" outlineLevel="1" x14ac:dyDescent="0.15">
      <c r="A191" s="8"/>
      <c r="B191" s="8"/>
      <c r="C191" s="8"/>
      <c r="D191" s="8"/>
      <c r="E191" s="9"/>
      <c r="F191" s="8"/>
      <c r="G191" s="10"/>
      <c r="H191" s="132"/>
      <c r="I191" s="140"/>
      <c r="J191" s="9"/>
      <c r="K191" s="140"/>
      <c r="L191" s="9"/>
      <c r="M191" s="8"/>
      <c r="N191" s="132"/>
      <c r="O191" s="140"/>
      <c r="P191" s="9"/>
      <c r="Q191" s="140"/>
      <c r="R191" s="9"/>
      <c r="S191" s="8"/>
      <c r="T191" s="8"/>
      <c r="U191" s="8"/>
      <c r="V191" s="132"/>
      <c r="W191" s="140"/>
      <c r="X191" s="140"/>
      <c r="Y191" s="9"/>
      <c r="Z191" s="8"/>
      <c r="AA191" s="8"/>
      <c r="AB191" s="8"/>
    </row>
    <row r="192" spans="1:28" outlineLevel="1" x14ac:dyDescent="0.15">
      <c r="A192" s="8"/>
      <c r="B192" s="8"/>
      <c r="C192" s="8"/>
      <c r="D192" s="8"/>
      <c r="E192" s="9"/>
      <c r="F192" s="8"/>
      <c r="G192" s="10"/>
      <c r="H192" s="132"/>
      <c r="I192" s="140"/>
      <c r="J192" s="9"/>
      <c r="K192" s="140"/>
      <c r="L192" s="9"/>
      <c r="M192" s="8"/>
      <c r="N192" s="132"/>
      <c r="O192" s="140"/>
      <c r="P192" s="9"/>
      <c r="Q192" s="140"/>
      <c r="R192" s="9"/>
      <c r="S192" s="8"/>
      <c r="T192" s="8"/>
      <c r="U192" s="8"/>
      <c r="V192" s="132"/>
      <c r="W192" s="140"/>
      <c r="X192" s="140"/>
      <c r="Y192" s="9"/>
      <c r="Z192" s="8"/>
      <c r="AA192" s="8"/>
      <c r="AB192" s="8"/>
    </row>
    <row r="193" spans="1:28" outlineLevel="1" x14ac:dyDescent="0.15">
      <c r="A193" s="8"/>
      <c r="B193" s="8"/>
      <c r="C193" s="8"/>
      <c r="D193" s="8"/>
      <c r="E193" s="9"/>
      <c r="F193" s="8"/>
      <c r="G193" s="10"/>
      <c r="H193" s="132"/>
      <c r="I193" s="140"/>
      <c r="J193" s="9"/>
      <c r="K193" s="140"/>
      <c r="L193" s="9"/>
      <c r="M193" s="8"/>
      <c r="N193" s="132"/>
      <c r="O193" s="140"/>
      <c r="P193" s="9"/>
      <c r="Q193" s="140"/>
      <c r="R193" s="9"/>
      <c r="S193" s="8"/>
      <c r="T193" s="8"/>
      <c r="U193" s="8"/>
      <c r="V193" s="132"/>
      <c r="W193" s="140"/>
      <c r="X193" s="140"/>
      <c r="Y193" s="9"/>
      <c r="Z193" s="8"/>
      <c r="AA193" s="8"/>
      <c r="AB193" s="8"/>
    </row>
    <row r="194" spans="1:28" outlineLevel="1" x14ac:dyDescent="0.15">
      <c r="A194" s="8"/>
      <c r="B194" s="8"/>
      <c r="C194" s="8"/>
      <c r="D194" s="8"/>
      <c r="E194" s="9"/>
      <c r="F194" s="8"/>
      <c r="G194" s="10"/>
      <c r="H194" s="132"/>
      <c r="I194" s="140"/>
      <c r="J194" s="9"/>
      <c r="K194" s="140"/>
      <c r="L194" s="9"/>
      <c r="M194" s="8"/>
      <c r="N194" s="132"/>
      <c r="O194" s="140"/>
      <c r="P194" s="9"/>
      <c r="Q194" s="140"/>
      <c r="R194" s="9"/>
      <c r="S194" s="8"/>
      <c r="T194" s="8"/>
      <c r="U194" s="8"/>
      <c r="V194" s="132"/>
      <c r="W194" s="140"/>
      <c r="X194" s="140"/>
      <c r="Y194" s="9"/>
      <c r="Z194" s="8"/>
      <c r="AA194" s="8"/>
      <c r="AB194" s="8"/>
    </row>
    <row r="195" spans="1:28" outlineLevel="1" x14ac:dyDescent="0.15">
      <c r="A195" s="8"/>
      <c r="B195" s="8"/>
      <c r="C195" s="8"/>
      <c r="D195" s="8"/>
      <c r="E195" s="9"/>
      <c r="F195" s="8"/>
      <c r="G195" s="10"/>
      <c r="H195" s="132"/>
      <c r="I195" s="140"/>
      <c r="J195" s="9"/>
      <c r="K195" s="140"/>
      <c r="L195" s="9"/>
      <c r="M195" s="8"/>
      <c r="N195" s="132"/>
      <c r="O195" s="140"/>
      <c r="P195" s="9"/>
      <c r="Q195" s="140"/>
      <c r="R195" s="9"/>
      <c r="S195" s="8"/>
      <c r="T195" s="8"/>
      <c r="U195" s="8"/>
      <c r="V195" s="132"/>
      <c r="W195" s="140"/>
      <c r="X195" s="140"/>
      <c r="Y195" s="9"/>
      <c r="Z195" s="8"/>
      <c r="AA195" s="8"/>
      <c r="AB195" s="8"/>
    </row>
    <row r="196" spans="1:28" outlineLevel="1" x14ac:dyDescent="0.15">
      <c r="A196" s="8"/>
      <c r="B196" s="8"/>
      <c r="C196" s="8"/>
      <c r="D196" s="8"/>
      <c r="E196" s="9"/>
      <c r="F196" s="8"/>
      <c r="G196" s="10"/>
      <c r="H196" s="132"/>
      <c r="I196" s="140"/>
      <c r="J196" s="9"/>
      <c r="K196" s="140"/>
      <c r="L196" s="9"/>
      <c r="M196" s="8"/>
      <c r="N196" s="132"/>
      <c r="O196" s="140"/>
      <c r="P196" s="9"/>
      <c r="Q196" s="140"/>
      <c r="R196" s="9"/>
      <c r="S196" s="8"/>
      <c r="T196" s="8"/>
      <c r="U196" s="8"/>
      <c r="V196" s="132"/>
      <c r="W196" s="140"/>
      <c r="X196" s="140"/>
      <c r="Y196" s="9"/>
      <c r="Z196" s="8"/>
      <c r="AA196" s="8"/>
      <c r="AB196" s="8"/>
    </row>
    <row r="197" spans="1:28" outlineLevel="1" x14ac:dyDescent="0.15">
      <c r="A197" s="8"/>
      <c r="B197" s="8"/>
      <c r="C197" s="8"/>
      <c r="D197" s="8"/>
      <c r="E197" s="9"/>
      <c r="F197" s="8"/>
      <c r="G197" s="10"/>
      <c r="H197" s="132"/>
      <c r="I197" s="140"/>
      <c r="J197" s="9"/>
      <c r="K197" s="140"/>
      <c r="L197" s="9"/>
      <c r="M197" s="8"/>
      <c r="N197" s="132"/>
      <c r="O197" s="140"/>
      <c r="P197" s="9"/>
      <c r="Q197" s="140"/>
      <c r="R197" s="9"/>
      <c r="S197" s="8"/>
      <c r="T197" s="8"/>
      <c r="U197" s="8"/>
      <c r="V197" s="132"/>
      <c r="W197" s="140"/>
      <c r="X197" s="140"/>
      <c r="Y197" s="9"/>
      <c r="Z197" s="8"/>
      <c r="AA197" s="8"/>
      <c r="AB197" s="8"/>
    </row>
    <row r="198" spans="1:28" outlineLevel="1" x14ac:dyDescent="0.15">
      <c r="A198" s="8"/>
      <c r="B198" s="8"/>
      <c r="C198" s="8"/>
      <c r="D198" s="8"/>
      <c r="E198" s="9"/>
      <c r="F198" s="8"/>
      <c r="G198" s="10"/>
      <c r="H198" s="132"/>
      <c r="I198" s="140"/>
      <c r="J198" s="9"/>
      <c r="K198" s="140"/>
      <c r="L198" s="9"/>
      <c r="M198" s="8"/>
      <c r="N198" s="132"/>
      <c r="O198" s="140"/>
      <c r="P198" s="9"/>
      <c r="Q198" s="140"/>
      <c r="R198" s="9"/>
      <c r="S198" s="8"/>
      <c r="T198" s="8"/>
      <c r="U198" s="8"/>
      <c r="V198" s="132"/>
      <c r="W198" s="140"/>
      <c r="X198" s="140"/>
      <c r="Y198" s="9"/>
      <c r="Z198" s="8"/>
      <c r="AA198" s="8"/>
      <c r="AB198" s="8"/>
    </row>
    <row r="199" spans="1:28" outlineLevel="1" x14ac:dyDescent="0.15">
      <c r="A199" s="8"/>
      <c r="B199" s="8"/>
      <c r="C199" s="8"/>
      <c r="D199" s="8"/>
      <c r="E199" s="9"/>
      <c r="F199" s="8"/>
      <c r="G199" s="10"/>
      <c r="H199" s="132"/>
      <c r="I199" s="140"/>
      <c r="J199" s="9"/>
      <c r="K199" s="140"/>
      <c r="L199" s="9"/>
      <c r="M199" s="8"/>
      <c r="N199" s="132"/>
      <c r="O199" s="140"/>
      <c r="P199" s="9"/>
      <c r="Q199" s="140"/>
      <c r="R199" s="9"/>
      <c r="S199" s="8"/>
      <c r="T199" s="8"/>
      <c r="U199" s="8"/>
      <c r="V199" s="132"/>
      <c r="W199" s="140"/>
      <c r="X199" s="140"/>
      <c r="Y199" s="9"/>
      <c r="Z199" s="8"/>
      <c r="AA199" s="8"/>
      <c r="AB199" s="8"/>
    </row>
    <row r="200" spans="1:28" outlineLevel="1" x14ac:dyDescent="0.15">
      <c r="A200" s="8"/>
      <c r="B200" s="8"/>
      <c r="C200" s="8"/>
      <c r="D200" s="8"/>
      <c r="E200" s="9"/>
      <c r="F200" s="8"/>
      <c r="G200" s="10"/>
      <c r="H200" s="132"/>
      <c r="I200" s="140"/>
      <c r="J200" s="9"/>
      <c r="K200" s="140"/>
      <c r="L200" s="9"/>
      <c r="M200" s="8"/>
      <c r="N200" s="132"/>
      <c r="O200" s="140"/>
      <c r="P200" s="9"/>
      <c r="Q200" s="140"/>
      <c r="R200" s="9"/>
      <c r="S200" s="8"/>
      <c r="T200" s="8"/>
      <c r="U200" s="8"/>
      <c r="V200" s="132"/>
      <c r="W200" s="140"/>
      <c r="X200" s="140"/>
      <c r="Y200" s="9"/>
      <c r="Z200" s="8"/>
      <c r="AA200" s="8"/>
      <c r="AB200" s="8"/>
    </row>
    <row r="201" spans="1:28" outlineLevel="1" x14ac:dyDescent="0.15">
      <c r="A201" s="8"/>
      <c r="B201" s="8"/>
      <c r="C201" s="8"/>
      <c r="D201" s="8"/>
      <c r="E201" s="9"/>
      <c r="F201" s="8"/>
      <c r="G201" s="10"/>
      <c r="H201" s="132"/>
      <c r="I201" s="140"/>
      <c r="J201" s="9"/>
      <c r="K201" s="140"/>
      <c r="L201" s="9"/>
      <c r="M201" s="8"/>
      <c r="N201" s="132"/>
      <c r="O201" s="140"/>
      <c r="P201" s="9"/>
      <c r="Q201" s="140"/>
      <c r="R201" s="9"/>
      <c r="S201" s="8"/>
      <c r="T201" s="8"/>
      <c r="U201" s="8"/>
      <c r="V201" s="132"/>
      <c r="W201" s="140"/>
      <c r="X201" s="140"/>
      <c r="Y201" s="9"/>
      <c r="Z201" s="8"/>
      <c r="AA201" s="8"/>
      <c r="AB201" s="8"/>
    </row>
    <row r="202" spans="1:28" outlineLevel="1" x14ac:dyDescent="0.15">
      <c r="A202" s="8"/>
      <c r="B202" s="8"/>
      <c r="C202" s="8"/>
      <c r="D202" s="8"/>
      <c r="E202" s="9"/>
      <c r="F202" s="8"/>
      <c r="G202" s="10"/>
      <c r="H202" s="132"/>
      <c r="I202" s="140"/>
      <c r="J202" s="9"/>
      <c r="K202" s="140"/>
      <c r="L202" s="9"/>
      <c r="M202" s="8"/>
      <c r="N202" s="132"/>
      <c r="O202" s="140"/>
      <c r="P202" s="9"/>
      <c r="Q202" s="140"/>
      <c r="R202" s="9"/>
      <c r="S202" s="8"/>
      <c r="T202" s="8"/>
      <c r="U202" s="8"/>
      <c r="V202" s="132"/>
      <c r="W202" s="140"/>
      <c r="X202" s="140"/>
      <c r="Y202" s="9"/>
      <c r="Z202" s="8"/>
      <c r="AA202" s="8"/>
      <c r="AB202" s="8"/>
    </row>
    <row r="203" spans="1:28" outlineLevel="1" x14ac:dyDescent="0.15">
      <c r="A203" s="8"/>
      <c r="B203" s="8"/>
      <c r="C203" s="8"/>
      <c r="D203" s="8"/>
      <c r="E203" s="9"/>
      <c r="F203" s="8"/>
      <c r="G203" s="10"/>
      <c r="H203" s="132"/>
      <c r="I203" s="140"/>
      <c r="J203" s="9"/>
      <c r="K203" s="140"/>
      <c r="L203" s="9"/>
      <c r="M203" s="8"/>
      <c r="N203" s="132"/>
      <c r="O203" s="140"/>
      <c r="P203" s="9"/>
      <c r="Q203" s="140"/>
      <c r="R203" s="9"/>
      <c r="S203" s="8"/>
      <c r="T203" s="8"/>
      <c r="U203" s="8"/>
      <c r="V203" s="132"/>
      <c r="W203" s="140"/>
      <c r="X203" s="140"/>
      <c r="Y203" s="9"/>
      <c r="Z203" s="8"/>
      <c r="AA203" s="8"/>
      <c r="AB203" s="8"/>
    </row>
    <row r="204" spans="1:28" outlineLevel="1" x14ac:dyDescent="0.15">
      <c r="A204" s="8"/>
      <c r="B204" s="8"/>
      <c r="C204" s="8"/>
      <c r="D204" s="8"/>
      <c r="E204" s="9"/>
      <c r="F204" s="8"/>
      <c r="G204" s="10"/>
      <c r="H204" s="132"/>
      <c r="I204" s="140"/>
      <c r="J204" s="9"/>
      <c r="K204" s="140"/>
      <c r="L204" s="9"/>
      <c r="M204" s="8"/>
      <c r="N204" s="132"/>
      <c r="O204" s="140"/>
      <c r="P204" s="9"/>
      <c r="Q204" s="140"/>
      <c r="R204" s="9"/>
      <c r="S204" s="8"/>
      <c r="T204" s="8"/>
      <c r="U204" s="8"/>
      <c r="V204" s="132"/>
      <c r="W204" s="140"/>
      <c r="X204" s="140"/>
      <c r="Y204" s="9"/>
      <c r="Z204" s="8"/>
      <c r="AA204" s="8"/>
      <c r="AB204" s="8"/>
    </row>
    <row r="205" spans="1:28" outlineLevel="1" x14ac:dyDescent="0.15">
      <c r="A205" s="8"/>
      <c r="B205" s="8"/>
      <c r="C205" s="8"/>
      <c r="D205" s="8"/>
      <c r="E205" s="9"/>
      <c r="F205" s="8"/>
      <c r="G205" s="10"/>
      <c r="H205" s="132"/>
      <c r="I205" s="140"/>
      <c r="J205" s="9"/>
      <c r="K205" s="140"/>
      <c r="L205" s="9"/>
      <c r="M205" s="8"/>
      <c r="N205" s="132"/>
      <c r="O205" s="140"/>
      <c r="P205" s="9"/>
      <c r="Q205" s="140"/>
      <c r="R205" s="9"/>
      <c r="S205" s="8"/>
      <c r="T205" s="8"/>
      <c r="U205" s="8"/>
      <c r="V205" s="132"/>
      <c r="W205" s="140"/>
      <c r="X205" s="140"/>
      <c r="Y205" s="9"/>
      <c r="Z205" s="8"/>
      <c r="AA205" s="8"/>
      <c r="AB205" s="8"/>
    </row>
    <row r="206" spans="1:28" outlineLevel="1" x14ac:dyDescent="0.15">
      <c r="A206" s="8"/>
      <c r="B206" s="8"/>
      <c r="C206" s="8"/>
      <c r="D206" s="8"/>
      <c r="E206" s="9"/>
      <c r="F206" s="8"/>
      <c r="G206" s="10"/>
      <c r="H206" s="132"/>
      <c r="I206" s="140"/>
      <c r="J206" s="9"/>
      <c r="K206" s="140"/>
      <c r="L206" s="9"/>
      <c r="M206" s="8"/>
      <c r="N206" s="132"/>
      <c r="O206" s="140"/>
      <c r="P206" s="9"/>
      <c r="Q206" s="140"/>
      <c r="R206" s="9"/>
      <c r="S206" s="8"/>
      <c r="T206" s="8"/>
      <c r="U206" s="8"/>
      <c r="V206" s="132"/>
      <c r="W206" s="140"/>
      <c r="X206" s="140"/>
      <c r="Y206" s="9"/>
      <c r="Z206" s="8"/>
      <c r="AA206" s="8"/>
      <c r="AB206" s="8"/>
    </row>
    <row r="207" spans="1:28" outlineLevel="1" x14ac:dyDescent="0.15">
      <c r="A207" s="8"/>
      <c r="B207" s="8"/>
      <c r="C207" s="8"/>
      <c r="D207" s="8"/>
      <c r="E207" s="9"/>
      <c r="F207" s="8"/>
      <c r="G207" s="10"/>
      <c r="H207" s="132"/>
      <c r="I207" s="140"/>
      <c r="J207" s="9"/>
      <c r="K207" s="140"/>
      <c r="L207" s="9"/>
      <c r="M207" s="8"/>
      <c r="N207" s="132"/>
      <c r="O207" s="140"/>
      <c r="P207" s="9"/>
      <c r="Q207" s="140"/>
      <c r="R207" s="9"/>
      <c r="S207" s="8"/>
      <c r="T207" s="8"/>
      <c r="U207" s="8"/>
      <c r="V207" s="132"/>
      <c r="W207" s="140"/>
      <c r="X207" s="140"/>
      <c r="Y207" s="9"/>
      <c r="Z207" s="8"/>
      <c r="AA207" s="8"/>
      <c r="AB207" s="8"/>
    </row>
    <row r="208" spans="1:28" outlineLevel="1" x14ac:dyDescent="0.15">
      <c r="A208" s="8"/>
      <c r="B208" s="8"/>
      <c r="C208" s="8"/>
      <c r="D208" s="8"/>
      <c r="E208" s="9"/>
      <c r="F208" s="8"/>
      <c r="G208" s="10"/>
      <c r="H208" s="132"/>
      <c r="I208" s="140"/>
      <c r="J208" s="9"/>
      <c r="K208" s="140"/>
      <c r="L208" s="9"/>
      <c r="M208" s="8"/>
      <c r="N208" s="132"/>
      <c r="O208" s="140"/>
      <c r="P208" s="9"/>
      <c r="Q208" s="140"/>
      <c r="R208" s="9"/>
      <c r="S208" s="8"/>
      <c r="T208" s="8"/>
      <c r="U208" s="8"/>
      <c r="V208" s="132"/>
      <c r="W208" s="140"/>
      <c r="X208" s="140"/>
      <c r="Y208" s="9"/>
      <c r="Z208" s="8"/>
      <c r="AA208" s="8"/>
      <c r="AB208" s="8"/>
    </row>
    <row r="209" spans="1:28" outlineLevel="1" x14ac:dyDescent="0.15">
      <c r="A209" s="8"/>
      <c r="B209" s="8"/>
      <c r="C209" s="8"/>
      <c r="D209" s="8"/>
      <c r="E209" s="9"/>
      <c r="F209" s="8"/>
      <c r="G209" s="10"/>
      <c r="H209" s="132"/>
      <c r="I209" s="140"/>
      <c r="J209" s="9"/>
      <c r="K209" s="140"/>
      <c r="L209" s="9"/>
      <c r="M209" s="8"/>
      <c r="N209" s="132"/>
      <c r="O209" s="140"/>
      <c r="P209" s="9"/>
      <c r="Q209" s="140"/>
      <c r="R209" s="9"/>
      <c r="S209" s="8"/>
      <c r="T209" s="8"/>
      <c r="U209" s="8"/>
      <c r="V209" s="132"/>
      <c r="W209" s="140"/>
      <c r="X209" s="140"/>
      <c r="Y209" s="9"/>
      <c r="Z209" s="8"/>
      <c r="AA209" s="8"/>
      <c r="AB209" s="8"/>
    </row>
    <row r="210" spans="1:28" outlineLevel="1" x14ac:dyDescent="0.15">
      <c r="A210" s="8"/>
      <c r="B210" s="8"/>
      <c r="C210" s="8"/>
      <c r="D210" s="8"/>
      <c r="E210" s="9"/>
      <c r="F210" s="8"/>
      <c r="G210" s="10"/>
      <c r="H210" s="132"/>
      <c r="I210" s="140"/>
      <c r="J210" s="9"/>
      <c r="K210" s="140"/>
      <c r="L210" s="9"/>
      <c r="M210" s="8"/>
      <c r="N210" s="132"/>
      <c r="O210" s="140"/>
      <c r="P210" s="9"/>
      <c r="Q210" s="140"/>
      <c r="R210" s="9"/>
      <c r="S210" s="8"/>
      <c r="T210" s="8"/>
      <c r="U210" s="8"/>
      <c r="V210" s="132"/>
      <c r="W210" s="140"/>
      <c r="X210" s="140"/>
      <c r="Y210" s="9"/>
      <c r="Z210" s="8"/>
      <c r="AA210" s="8"/>
      <c r="AB210" s="8"/>
    </row>
    <row r="211" spans="1:28" outlineLevel="1" x14ac:dyDescent="0.15">
      <c r="A211" s="8"/>
      <c r="B211" s="8"/>
      <c r="C211" s="8"/>
      <c r="D211" s="8"/>
      <c r="E211" s="9"/>
      <c r="F211" s="8"/>
      <c r="G211" s="10"/>
      <c r="H211" s="132"/>
      <c r="I211" s="140"/>
      <c r="J211" s="9"/>
      <c r="K211" s="140"/>
      <c r="L211" s="9"/>
      <c r="M211" s="8"/>
      <c r="N211" s="132"/>
      <c r="O211" s="140"/>
      <c r="P211" s="9"/>
      <c r="Q211" s="140"/>
      <c r="R211" s="9"/>
      <c r="S211" s="8"/>
      <c r="T211" s="8"/>
      <c r="U211" s="8"/>
      <c r="V211" s="132"/>
      <c r="W211" s="140"/>
      <c r="X211" s="140"/>
      <c r="Y211" s="9"/>
      <c r="Z211" s="8"/>
      <c r="AA211" s="8"/>
      <c r="AB211" s="8"/>
    </row>
    <row r="212" spans="1:28" outlineLevel="1" x14ac:dyDescent="0.15">
      <c r="A212" s="8"/>
      <c r="B212" s="8"/>
      <c r="C212" s="8"/>
      <c r="D212" s="8"/>
      <c r="E212" s="9"/>
      <c r="F212" s="8"/>
      <c r="G212" s="10"/>
      <c r="H212" s="132"/>
      <c r="I212" s="140"/>
      <c r="J212" s="9"/>
      <c r="K212" s="140"/>
      <c r="L212" s="9"/>
      <c r="M212" s="8"/>
      <c r="N212" s="132"/>
      <c r="O212" s="140"/>
      <c r="P212" s="9"/>
      <c r="Q212" s="140"/>
      <c r="R212" s="9"/>
      <c r="S212" s="8"/>
      <c r="T212" s="8"/>
      <c r="U212" s="8"/>
      <c r="V212" s="132"/>
      <c r="W212" s="140"/>
      <c r="X212" s="140"/>
      <c r="Y212" s="9"/>
      <c r="Z212" s="8"/>
      <c r="AA212" s="8"/>
      <c r="AB212" s="8"/>
    </row>
    <row r="213" spans="1:28" outlineLevel="1" x14ac:dyDescent="0.15">
      <c r="A213" s="8"/>
      <c r="B213" s="8"/>
      <c r="C213" s="8"/>
      <c r="D213" s="8"/>
      <c r="E213" s="9"/>
      <c r="F213" s="8"/>
      <c r="G213" s="10"/>
      <c r="H213" s="132"/>
      <c r="I213" s="140"/>
      <c r="J213" s="9"/>
      <c r="K213" s="140"/>
      <c r="L213" s="9"/>
      <c r="M213" s="8"/>
      <c r="N213" s="132"/>
      <c r="O213" s="140"/>
      <c r="P213" s="9"/>
      <c r="Q213" s="140"/>
      <c r="R213" s="9"/>
      <c r="S213" s="8"/>
      <c r="T213" s="8"/>
      <c r="U213" s="8"/>
      <c r="V213" s="132"/>
      <c r="W213" s="140"/>
      <c r="X213" s="140"/>
      <c r="Y213" s="9"/>
      <c r="Z213" s="8"/>
      <c r="AA213" s="8"/>
      <c r="AB213" s="8"/>
    </row>
    <row r="214" spans="1:28" outlineLevel="1" x14ac:dyDescent="0.15">
      <c r="A214" s="8"/>
      <c r="B214" s="8"/>
      <c r="C214" s="8"/>
      <c r="D214" s="8"/>
      <c r="E214" s="9"/>
      <c r="F214" s="8"/>
      <c r="G214" s="10"/>
      <c r="H214" s="132"/>
      <c r="I214" s="140"/>
      <c r="J214" s="9"/>
      <c r="K214" s="140"/>
      <c r="L214" s="9"/>
      <c r="M214" s="8"/>
      <c r="N214" s="132"/>
      <c r="O214" s="140"/>
      <c r="P214" s="9"/>
      <c r="Q214" s="140"/>
      <c r="R214" s="9"/>
      <c r="S214" s="8"/>
      <c r="T214" s="8"/>
      <c r="U214" s="8"/>
      <c r="V214" s="132"/>
      <c r="W214" s="140"/>
      <c r="X214" s="140"/>
      <c r="Y214" s="9"/>
      <c r="Z214" s="8"/>
      <c r="AA214" s="8"/>
      <c r="AB214" s="8"/>
    </row>
    <row r="215" spans="1:28" outlineLevel="1" x14ac:dyDescent="0.15">
      <c r="A215" s="8"/>
      <c r="B215" s="8"/>
      <c r="C215" s="8"/>
      <c r="D215" s="8"/>
      <c r="E215" s="9"/>
      <c r="F215" s="8"/>
      <c r="G215" s="10"/>
      <c r="H215" s="132"/>
      <c r="I215" s="140"/>
      <c r="J215" s="9"/>
      <c r="K215" s="140"/>
      <c r="L215" s="9"/>
      <c r="M215" s="8"/>
      <c r="N215" s="132"/>
      <c r="O215" s="140"/>
      <c r="P215" s="9"/>
      <c r="Q215" s="140"/>
      <c r="R215" s="9"/>
      <c r="S215" s="8"/>
      <c r="T215" s="8"/>
      <c r="U215" s="8"/>
      <c r="V215" s="132"/>
      <c r="W215" s="140"/>
      <c r="X215" s="140"/>
      <c r="Y215" s="9"/>
      <c r="Z215" s="8"/>
      <c r="AA215" s="8"/>
      <c r="AB215" s="8"/>
    </row>
    <row r="216" spans="1:28" outlineLevel="1" x14ac:dyDescent="0.15">
      <c r="A216" s="8"/>
      <c r="B216" s="8"/>
      <c r="C216" s="8"/>
      <c r="D216" s="8"/>
      <c r="E216" s="9"/>
      <c r="F216" s="8"/>
      <c r="G216" s="10"/>
      <c r="H216" s="132"/>
      <c r="I216" s="8"/>
      <c r="J216" s="9"/>
      <c r="K216" s="8"/>
      <c r="L216" s="9"/>
      <c r="M216" s="8"/>
      <c r="N216" s="132"/>
      <c r="O216" s="8"/>
      <c r="P216" s="9"/>
      <c r="Q216" s="8"/>
      <c r="R216" s="9"/>
      <c r="S216" s="8"/>
      <c r="T216" s="8"/>
      <c r="U216" s="8"/>
      <c r="V216" s="132"/>
      <c r="W216" s="8"/>
      <c r="X216" s="8"/>
      <c r="Y216" s="9"/>
      <c r="Z216" s="8"/>
      <c r="AA216" s="8"/>
      <c r="AB216" s="8"/>
    </row>
    <row r="217" spans="1:28" outlineLevel="1" x14ac:dyDescent="0.15">
      <c r="A217" s="8"/>
      <c r="B217" s="8"/>
      <c r="C217" s="8"/>
      <c r="D217" s="8"/>
      <c r="E217" s="9"/>
      <c r="F217" s="8"/>
      <c r="G217" s="10"/>
      <c r="H217" s="132"/>
      <c r="I217" s="8"/>
      <c r="J217" s="9"/>
      <c r="K217" s="8"/>
      <c r="L217" s="9"/>
      <c r="M217" s="8"/>
      <c r="N217" s="132"/>
      <c r="O217" s="8"/>
      <c r="P217" s="9"/>
      <c r="Q217" s="8"/>
      <c r="R217" s="9"/>
      <c r="S217" s="8"/>
      <c r="T217" s="8"/>
      <c r="U217" s="8"/>
      <c r="V217" s="132"/>
      <c r="W217" s="8"/>
      <c r="X217" s="8"/>
      <c r="Y217" s="9"/>
      <c r="Z217" s="8"/>
      <c r="AA217" s="8"/>
      <c r="AB217" s="8"/>
    </row>
    <row r="218" spans="1:28" outlineLevel="1" x14ac:dyDescent="0.15">
      <c r="A218" s="8"/>
      <c r="B218" s="8"/>
      <c r="C218" s="8"/>
      <c r="D218" s="8"/>
      <c r="E218" s="9"/>
      <c r="F218" s="8"/>
      <c r="G218" s="10"/>
      <c r="H218" s="132"/>
      <c r="I218" s="8"/>
      <c r="J218" s="9"/>
      <c r="K218" s="8"/>
      <c r="L218" s="9"/>
      <c r="M218" s="8"/>
      <c r="N218" s="132"/>
      <c r="O218" s="8"/>
      <c r="P218" s="9"/>
      <c r="Q218" s="8"/>
      <c r="R218" s="9"/>
      <c r="S218" s="8"/>
      <c r="T218" s="8"/>
      <c r="U218" s="8"/>
      <c r="V218" s="132"/>
      <c r="W218" s="8"/>
      <c r="X218" s="8"/>
      <c r="Y218" s="9"/>
      <c r="Z218" s="8"/>
      <c r="AA218" s="8"/>
      <c r="AB218" s="8"/>
    </row>
    <row r="219" spans="1:28" outlineLevel="1" x14ac:dyDescent="0.15">
      <c r="A219" s="8"/>
      <c r="B219" s="8"/>
      <c r="C219" s="8"/>
      <c r="D219" s="8"/>
      <c r="E219" s="9"/>
      <c r="F219" s="8"/>
      <c r="G219" s="10"/>
      <c r="H219" s="132"/>
      <c r="I219" s="8"/>
      <c r="J219" s="9"/>
      <c r="K219" s="8"/>
      <c r="L219" s="9"/>
      <c r="M219" s="8"/>
      <c r="N219" s="132"/>
      <c r="O219" s="8"/>
      <c r="P219" s="9"/>
      <c r="Q219" s="8"/>
      <c r="R219" s="9"/>
      <c r="S219" s="8"/>
      <c r="T219" s="8"/>
      <c r="U219" s="8"/>
      <c r="V219" s="132"/>
      <c r="W219" s="8"/>
      <c r="X219" s="8"/>
      <c r="Y219" s="9"/>
      <c r="Z219" s="8"/>
      <c r="AA219" s="8"/>
      <c r="AB219" s="8"/>
    </row>
    <row r="220" spans="1:28" outlineLevel="1" x14ac:dyDescent="0.15">
      <c r="A220" s="8"/>
      <c r="B220" s="8"/>
      <c r="C220" s="8"/>
      <c r="D220" s="8"/>
      <c r="E220" s="9"/>
      <c r="F220" s="8"/>
      <c r="G220" s="10"/>
      <c r="H220" s="132"/>
      <c r="I220" s="8"/>
      <c r="J220" s="9"/>
      <c r="K220" s="8"/>
      <c r="L220" s="9"/>
      <c r="M220" s="8"/>
      <c r="N220" s="132"/>
      <c r="O220" s="8"/>
      <c r="P220" s="9"/>
      <c r="Q220" s="8"/>
      <c r="R220" s="9"/>
      <c r="S220" s="8"/>
      <c r="T220" s="8"/>
      <c r="U220" s="8"/>
      <c r="V220" s="132"/>
      <c r="W220" s="8"/>
      <c r="X220" s="8"/>
      <c r="Y220" s="9"/>
      <c r="Z220" s="8"/>
      <c r="AA220" s="8"/>
      <c r="AB220" s="8"/>
    </row>
    <row r="221" spans="1:28" outlineLevel="1" x14ac:dyDescent="0.15">
      <c r="A221" s="8"/>
      <c r="B221" s="8"/>
      <c r="C221" s="8"/>
      <c r="D221" s="8"/>
      <c r="E221" s="9"/>
      <c r="F221" s="8"/>
      <c r="G221" s="10"/>
      <c r="H221" s="132"/>
      <c r="I221" s="8"/>
      <c r="J221" s="9"/>
      <c r="K221" s="8"/>
      <c r="L221" s="9"/>
      <c r="M221" s="8"/>
      <c r="N221" s="132"/>
      <c r="O221" s="8"/>
      <c r="P221" s="9"/>
      <c r="Q221" s="8"/>
      <c r="R221" s="9"/>
      <c r="S221" s="8"/>
      <c r="T221" s="8"/>
      <c r="U221" s="8"/>
      <c r="V221" s="132"/>
      <c r="W221" s="8"/>
      <c r="X221" s="8"/>
      <c r="Y221" s="9"/>
      <c r="Z221" s="8"/>
      <c r="AA221" s="8"/>
      <c r="AB221" s="8"/>
    </row>
    <row r="222" spans="1:28" outlineLevel="1" x14ac:dyDescent="0.15">
      <c r="A222" s="8"/>
      <c r="B222" s="8"/>
      <c r="C222" s="8"/>
      <c r="D222" s="8"/>
      <c r="E222" s="9"/>
      <c r="F222" s="8"/>
      <c r="G222" s="10"/>
      <c r="H222" s="132"/>
      <c r="I222" s="8"/>
      <c r="J222" s="9"/>
      <c r="K222" s="8"/>
      <c r="L222" s="9"/>
      <c r="M222" s="8"/>
      <c r="N222" s="132"/>
      <c r="O222" s="8"/>
      <c r="P222" s="9"/>
      <c r="Q222" s="8"/>
      <c r="R222" s="9"/>
      <c r="S222" s="8"/>
      <c r="T222" s="8"/>
      <c r="U222" s="8"/>
      <c r="V222" s="132"/>
      <c r="W222" s="8"/>
      <c r="X222" s="8"/>
      <c r="Y222" s="9"/>
      <c r="Z222" s="8"/>
      <c r="AA222" s="8"/>
      <c r="AB222" s="8"/>
    </row>
    <row r="223" spans="1:28" outlineLevel="1" x14ac:dyDescent="0.15">
      <c r="A223" s="8"/>
      <c r="B223" s="8"/>
      <c r="C223" s="8"/>
      <c r="D223" s="8"/>
      <c r="E223" s="9"/>
      <c r="F223" s="8"/>
      <c r="G223" s="10"/>
      <c r="H223" s="132"/>
      <c r="I223" s="8"/>
      <c r="J223" s="9"/>
      <c r="K223" s="8"/>
      <c r="L223" s="9"/>
      <c r="M223" s="8"/>
      <c r="N223" s="132"/>
      <c r="O223" s="8"/>
      <c r="P223" s="9"/>
      <c r="Q223" s="8"/>
      <c r="R223" s="9"/>
      <c r="S223" s="8"/>
      <c r="T223" s="8"/>
      <c r="U223" s="8"/>
      <c r="V223" s="132"/>
      <c r="W223" s="8"/>
      <c r="X223" s="8"/>
      <c r="Y223" s="9"/>
      <c r="Z223" s="8"/>
      <c r="AA223" s="8"/>
      <c r="AB223" s="8"/>
    </row>
    <row r="224" spans="1:28" outlineLevel="1" x14ac:dyDescent="0.15">
      <c r="A224" s="8"/>
      <c r="B224" s="8"/>
      <c r="C224" s="8"/>
      <c r="D224" s="8"/>
      <c r="E224" s="9"/>
      <c r="F224" s="8"/>
      <c r="G224" s="10"/>
      <c r="H224" s="132"/>
      <c r="I224" s="8"/>
      <c r="J224" s="9"/>
      <c r="K224" s="8"/>
      <c r="L224" s="9"/>
      <c r="M224" s="8"/>
      <c r="N224" s="132"/>
      <c r="O224" s="8"/>
      <c r="P224" s="9"/>
      <c r="Q224" s="8"/>
      <c r="R224" s="9"/>
      <c r="S224" s="8"/>
      <c r="T224" s="8"/>
      <c r="U224" s="8"/>
      <c r="V224" s="132"/>
      <c r="W224" s="8"/>
      <c r="X224" s="8"/>
      <c r="Y224" s="9"/>
      <c r="Z224" s="8"/>
      <c r="AA224" s="8"/>
      <c r="AB224" s="8"/>
    </row>
    <row r="225" spans="1:28" outlineLevel="1" x14ac:dyDescent="0.15">
      <c r="A225" s="8"/>
      <c r="B225" s="8"/>
      <c r="C225" s="8"/>
      <c r="D225" s="8"/>
      <c r="E225" s="9"/>
      <c r="F225" s="8"/>
      <c r="G225" s="10"/>
      <c r="H225" s="132"/>
      <c r="I225" s="8"/>
      <c r="J225" s="9"/>
      <c r="K225" s="8"/>
      <c r="L225" s="9"/>
      <c r="M225" s="8"/>
      <c r="N225" s="132"/>
      <c r="O225" s="8"/>
      <c r="P225" s="9"/>
      <c r="Q225" s="8"/>
      <c r="R225" s="9"/>
      <c r="S225" s="8"/>
      <c r="T225" s="8"/>
      <c r="U225" s="8"/>
      <c r="V225" s="132"/>
      <c r="W225" s="8"/>
      <c r="X225" s="8"/>
      <c r="Y225" s="9"/>
      <c r="Z225" s="8"/>
      <c r="AA225" s="8"/>
      <c r="AB225" s="8"/>
    </row>
    <row r="226" spans="1:28" outlineLevel="1" x14ac:dyDescent="0.15">
      <c r="A226" s="8"/>
      <c r="B226" s="8"/>
      <c r="C226" s="8"/>
      <c r="D226" s="8"/>
      <c r="E226" s="9"/>
      <c r="F226" s="8"/>
      <c r="G226" s="10"/>
      <c r="H226" s="132"/>
      <c r="I226" s="8"/>
      <c r="J226" s="9"/>
      <c r="K226" s="8"/>
      <c r="L226" s="9"/>
      <c r="M226" s="8"/>
      <c r="N226" s="132"/>
      <c r="O226" s="8"/>
      <c r="P226" s="9"/>
      <c r="Q226" s="8"/>
      <c r="R226" s="9"/>
      <c r="S226" s="8"/>
      <c r="T226" s="8"/>
      <c r="U226" s="8"/>
      <c r="V226" s="132"/>
      <c r="W226" s="8"/>
      <c r="X226" s="8"/>
      <c r="Y226" s="9"/>
      <c r="Z226" s="8"/>
      <c r="AA226" s="8"/>
      <c r="AB226" s="8"/>
    </row>
    <row r="227" spans="1:28" outlineLevel="1" x14ac:dyDescent="0.15">
      <c r="A227" s="8"/>
      <c r="B227" s="8"/>
      <c r="C227" s="8"/>
      <c r="D227" s="8"/>
      <c r="E227" s="9"/>
      <c r="F227" s="8"/>
      <c r="G227" s="10"/>
      <c r="H227" s="132"/>
      <c r="I227" s="8"/>
      <c r="J227" s="9"/>
      <c r="K227" s="8"/>
      <c r="L227" s="9"/>
      <c r="M227" s="8"/>
      <c r="N227" s="132"/>
      <c r="O227" s="8"/>
      <c r="P227" s="9"/>
      <c r="Q227" s="8"/>
      <c r="R227" s="9"/>
      <c r="S227" s="8"/>
      <c r="T227" s="8"/>
      <c r="U227" s="8"/>
      <c r="V227" s="132"/>
      <c r="W227" s="8"/>
      <c r="X227" s="8"/>
      <c r="Y227" s="9"/>
      <c r="Z227" s="8"/>
      <c r="AA227" s="8"/>
      <c r="AB227" s="8"/>
    </row>
    <row r="228" spans="1:28" outlineLevel="1" x14ac:dyDescent="0.15">
      <c r="A228" s="8"/>
      <c r="B228" s="8"/>
      <c r="C228" s="8"/>
      <c r="D228" s="8"/>
      <c r="E228" s="9"/>
      <c r="F228" s="8"/>
      <c r="G228" s="10"/>
      <c r="H228" s="132"/>
      <c r="I228" s="8"/>
      <c r="J228" s="9"/>
      <c r="K228" s="8"/>
      <c r="L228" s="9"/>
      <c r="M228" s="8"/>
      <c r="N228" s="132"/>
      <c r="O228" s="8"/>
      <c r="P228" s="9"/>
      <c r="Q228" s="8"/>
      <c r="R228" s="9"/>
      <c r="S228" s="8"/>
      <c r="T228" s="8"/>
      <c r="U228" s="8"/>
      <c r="V228" s="132"/>
      <c r="W228" s="8"/>
      <c r="X228" s="8"/>
      <c r="Y228" s="9"/>
      <c r="Z228" s="8"/>
      <c r="AA228" s="8"/>
      <c r="AB228" s="8"/>
    </row>
    <row r="229" spans="1:28" outlineLevel="1" x14ac:dyDescent="0.15">
      <c r="A229" s="8"/>
      <c r="B229" s="8"/>
      <c r="C229" s="8"/>
      <c r="D229" s="8"/>
      <c r="E229" s="9"/>
      <c r="F229" s="8"/>
      <c r="G229" s="10"/>
      <c r="H229" s="132"/>
      <c r="I229" s="8"/>
      <c r="J229" s="9"/>
      <c r="K229" s="8"/>
      <c r="L229" s="9"/>
      <c r="M229" s="8"/>
      <c r="N229" s="132"/>
      <c r="O229" s="8"/>
      <c r="P229" s="9"/>
      <c r="Q229" s="8"/>
      <c r="R229" s="9"/>
      <c r="S229" s="8"/>
      <c r="T229" s="8"/>
      <c r="U229" s="8"/>
      <c r="V229" s="132"/>
      <c r="W229" s="8"/>
      <c r="X229" s="8"/>
      <c r="Y229" s="9"/>
      <c r="Z229" s="8"/>
      <c r="AA229" s="8"/>
      <c r="AB229" s="8"/>
    </row>
    <row r="230" spans="1:28" outlineLevel="1" x14ac:dyDescent="0.15">
      <c r="A230" s="8"/>
      <c r="B230" s="8"/>
      <c r="C230" s="8"/>
      <c r="D230" s="8"/>
      <c r="E230" s="9"/>
      <c r="F230" s="8"/>
      <c r="G230" s="10"/>
      <c r="H230" s="132"/>
      <c r="I230" s="8"/>
      <c r="J230" s="9"/>
      <c r="K230" s="8"/>
      <c r="L230" s="9"/>
      <c r="M230" s="8"/>
      <c r="N230" s="132"/>
      <c r="O230" s="8"/>
      <c r="P230" s="9"/>
      <c r="Q230" s="8"/>
      <c r="R230" s="9"/>
      <c r="S230" s="8"/>
      <c r="T230" s="8"/>
      <c r="U230" s="8"/>
      <c r="V230" s="132"/>
      <c r="W230" s="8"/>
      <c r="X230" s="8"/>
      <c r="Y230" s="9"/>
      <c r="Z230" s="8"/>
      <c r="AA230" s="8"/>
      <c r="AB230" s="8"/>
    </row>
    <row r="231" spans="1:28" outlineLevel="1" x14ac:dyDescent="0.15">
      <c r="A231" s="8"/>
      <c r="B231" s="8"/>
      <c r="C231" s="8"/>
      <c r="D231" s="8"/>
      <c r="E231" s="9"/>
      <c r="F231" s="8"/>
      <c r="G231" s="10"/>
      <c r="H231" s="132"/>
      <c r="I231" s="8"/>
      <c r="J231" s="9"/>
      <c r="K231" s="8"/>
      <c r="L231" s="9"/>
      <c r="M231" s="8"/>
      <c r="N231" s="132"/>
      <c r="O231" s="8"/>
      <c r="P231" s="9"/>
      <c r="Q231" s="8"/>
      <c r="R231" s="9"/>
      <c r="S231" s="8"/>
      <c r="T231" s="8"/>
      <c r="U231" s="8"/>
      <c r="V231" s="132"/>
      <c r="W231" s="8"/>
      <c r="X231" s="8"/>
      <c r="Y231" s="9"/>
      <c r="Z231" s="8"/>
      <c r="AA231" s="8"/>
      <c r="AB231" s="8"/>
    </row>
    <row r="232" spans="1:28" outlineLevel="1" x14ac:dyDescent="0.15">
      <c r="A232" s="8"/>
      <c r="B232" s="8"/>
      <c r="C232" s="8"/>
      <c r="D232" s="8"/>
      <c r="E232" s="9"/>
      <c r="F232" s="8"/>
      <c r="G232" s="10"/>
      <c r="H232" s="132"/>
      <c r="I232" s="8"/>
      <c r="J232" s="9"/>
      <c r="K232" s="8"/>
      <c r="L232" s="9"/>
      <c r="M232" s="8"/>
      <c r="N232" s="132"/>
      <c r="O232" s="8"/>
      <c r="P232" s="9"/>
      <c r="Q232" s="8"/>
      <c r="R232" s="9"/>
      <c r="S232" s="8"/>
      <c r="T232" s="8"/>
      <c r="U232" s="8"/>
      <c r="V232" s="132"/>
      <c r="W232" s="8"/>
      <c r="X232" s="8"/>
      <c r="Y232" s="9"/>
      <c r="Z232" s="8"/>
      <c r="AA232" s="8"/>
      <c r="AB232" s="8"/>
    </row>
    <row r="233" spans="1:28" outlineLevel="1" x14ac:dyDescent="0.15">
      <c r="A233" s="8"/>
      <c r="B233" s="8"/>
      <c r="C233" s="8"/>
      <c r="D233" s="8"/>
      <c r="E233" s="9"/>
      <c r="F233" s="8"/>
      <c r="G233" s="10"/>
      <c r="H233" s="132"/>
      <c r="I233" s="8"/>
      <c r="J233" s="9"/>
      <c r="K233" s="8"/>
      <c r="L233" s="9"/>
      <c r="M233" s="8"/>
      <c r="N233" s="132"/>
      <c r="O233" s="8"/>
      <c r="P233" s="9"/>
      <c r="Q233" s="8"/>
      <c r="R233" s="9"/>
      <c r="S233" s="8"/>
      <c r="T233" s="8"/>
      <c r="U233" s="8"/>
      <c r="V233" s="132"/>
      <c r="W233" s="8"/>
      <c r="X233" s="8"/>
      <c r="Y233" s="9"/>
      <c r="Z233" s="8"/>
      <c r="AA233" s="8"/>
      <c r="AB233" s="8"/>
    </row>
    <row r="234" spans="1:28" outlineLevel="1" x14ac:dyDescent="0.15">
      <c r="A234" s="8"/>
      <c r="B234" s="8"/>
      <c r="C234" s="8"/>
      <c r="D234" s="8"/>
      <c r="E234" s="9"/>
      <c r="F234" s="8"/>
      <c r="G234" s="10"/>
      <c r="H234" s="132"/>
      <c r="I234" s="8"/>
      <c r="J234" s="9"/>
      <c r="K234" s="8"/>
      <c r="L234" s="9"/>
      <c r="M234" s="8"/>
      <c r="N234" s="132"/>
      <c r="O234" s="8"/>
      <c r="P234" s="9"/>
      <c r="Q234" s="8"/>
      <c r="R234" s="9"/>
      <c r="S234" s="8"/>
      <c r="T234" s="8"/>
      <c r="U234" s="8"/>
      <c r="V234" s="132"/>
      <c r="W234" s="8"/>
      <c r="X234" s="8"/>
      <c r="Y234" s="9"/>
      <c r="Z234" s="8"/>
      <c r="AA234" s="8"/>
      <c r="AB234" s="8"/>
    </row>
    <row r="235" spans="1:28" outlineLevel="1" x14ac:dyDescent="0.15">
      <c r="A235" s="8"/>
      <c r="B235" s="8"/>
      <c r="C235" s="8"/>
      <c r="D235" s="8"/>
      <c r="E235" s="9"/>
      <c r="F235" s="8"/>
      <c r="G235" s="10"/>
      <c r="H235" s="132"/>
      <c r="I235" s="8"/>
      <c r="J235" s="9"/>
      <c r="K235" s="8"/>
      <c r="L235" s="9"/>
      <c r="M235" s="8"/>
      <c r="N235" s="132"/>
      <c r="O235" s="8"/>
      <c r="P235" s="9"/>
      <c r="Q235" s="8"/>
      <c r="R235" s="9"/>
      <c r="S235" s="8"/>
      <c r="T235" s="8"/>
      <c r="U235" s="8"/>
      <c r="V235" s="132"/>
      <c r="W235" s="8"/>
      <c r="X235" s="8"/>
      <c r="Y235" s="9"/>
      <c r="Z235" s="8"/>
      <c r="AA235" s="8"/>
      <c r="AB235" s="8"/>
    </row>
    <row r="236" spans="1:28" outlineLevel="1" x14ac:dyDescent="0.15">
      <c r="A236" s="8"/>
      <c r="B236" s="8"/>
      <c r="C236" s="8"/>
      <c r="D236" s="8"/>
      <c r="E236" s="9"/>
      <c r="F236" s="8"/>
      <c r="G236" s="10"/>
      <c r="H236" s="132"/>
      <c r="I236" s="8"/>
      <c r="J236" s="9"/>
      <c r="K236" s="8"/>
      <c r="L236" s="9"/>
      <c r="M236" s="8"/>
      <c r="N236" s="132"/>
      <c r="O236" s="8"/>
      <c r="P236" s="9"/>
      <c r="Q236" s="8"/>
      <c r="R236" s="9"/>
      <c r="S236" s="8"/>
      <c r="T236" s="8"/>
      <c r="U236" s="8"/>
      <c r="V236" s="132"/>
      <c r="W236" s="8"/>
      <c r="X236" s="8"/>
      <c r="Y236" s="9"/>
      <c r="Z236" s="8"/>
      <c r="AA236" s="8"/>
      <c r="AB236" s="8"/>
    </row>
    <row r="237" spans="1:28" outlineLevel="1" x14ac:dyDescent="0.15">
      <c r="A237" s="8"/>
      <c r="B237" s="8"/>
      <c r="C237" s="8"/>
      <c r="D237" s="8"/>
      <c r="E237" s="9"/>
      <c r="F237" s="8"/>
      <c r="G237" s="10"/>
      <c r="H237" s="132"/>
      <c r="I237" s="8"/>
      <c r="J237" s="9"/>
      <c r="K237" s="8"/>
      <c r="L237" s="9"/>
      <c r="M237" s="8"/>
      <c r="N237" s="132"/>
      <c r="O237" s="8"/>
      <c r="P237" s="9"/>
      <c r="Q237" s="8"/>
      <c r="R237" s="9"/>
      <c r="S237" s="8"/>
      <c r="T237" s="8"/>
      <c r="U237" s="8"/>
      <c r="V237" s="132"/>
      <c r="W237" s="8"/>
      <c r="X237" s="8"/>
      <c r="Y237" s="9"/>
      <c r="Z237" s="8"/>
      <c r="AA237" s="8"/>
      <c r="AB237" s="8"/>
    </row>
    <row r="238" spans="1:28" outlineLevel="1" x14ac:dyDescent="0.15">
      <c r="A238" s="8"/>
      <c r="B238" s="8"/>
      <c r="C238" s="8"/>
      <c r="D238" s="8"/>
      <c r="E238" s="9"/>
      <c r="F238" s="8"/>
      <c r="G238" s="10"/>
      <c r="H238" s="132"/>
      <c r="I238" s="8"/>
      <c r="J238" s="9"/>
      <c r="K238" s="8"/>
      <c r="L238" s="9"/>
      <c r="M238" s="8"/>
      <c r="N238" s="132"/>
      <c r="O238" s="8"/>
      <c r="P238" s="9"/>
      <c r="Q238" s="8"/>
      <c r="R238" s="9"/>
      <c r="S238" s="8"/>
      <c r="T238" s="8"/>
      <c r="U238" s="8"/>
      <c r="V238" s="132"/>
      <c r="W238" s="8"/>
      <c r="X238" s="8"/>
      <c r="Y238" s="9"/>
      <c r="Z238" s="8"/>
      <c r="AA238" s="8"/>
      <c r="AB238" s="8"/>
    </row>
    <row r="239" spans="1:28" outlineLevel="1" x14ac:dyDescent="0.15">
      <c r="A239" s="8"/>
      <c r="B239" s="8"/>
      <c r="C239" s="8"/>
      <c r="D239" s="8"/>
      <c r="E239" s="9"/>
      <c r="F239" s="8"/>
      <c r="G239" s="10"/>
      <c r="H239" s="132"/>
      <c r="I239" s="8"/>
      <c r="J239" s="9"/>
      <c r="K239" s="8"/>
      <c r="L239" s="9"/>
      <c r="M239" s="8"/>
      <c r="N239" s="132"/>
      <c r="O239" s="8"/>
      <c r="P239" s="9"/>
      <c r="Q239" s="8"/>
      <c r="R239" s="9"/>
      <c r="S239" s="8"/>
      <c r="T239" s="8"/>
      <c r="U239" s="8"/>
      <c r="V239" s="132"/>
      <c r="W239" s="8"/>
      <c r="X239" s="8"/>
      <c r="Y239" s="9"/>
      <c r="Z239" s="8"/>
      <c r="AA239" s="8"/>
      <c r="AB239" s="8"/>
    </row>
    <row r="240" spans="1:28" outlineLevel="1" x14ac:dyDescent="0.15">
      <c r="A240" s="8"/>
      <c r="B240" s="8"/>
      <c r="C240" s="8"/>
      <c r="D240" s="8"/>
      <c r="E240" s="9"/>
      <c r="F240" s="8"/>
      <c r="G240" s="10"/>
      <c r="H240" s="132"/>
      <c r="I240" s="8"/>
      <c r="J240" s="9"/>
      <c r="K240" s="8"/>
      <c r="L240" s="9"/>
      <c r="M240" s="8"/>
      <c r="N240" s="132"/>
      <c r="O240" s="8"/>
      <c r="P240" s="9"/>
      <c r="Q240" s="8"/>
      <c r="R240" s="9"/>
      <c r="S240" s="8"/>
      <c r="T240" s="8"/>
      <c r="U240" s="8"/>
      <c r="V240" s="132"/>
      <c r="W240" s="8"/>
      <c r="X240" s="8"/>
      <c r="Y240" s="9"/>
      <c r="Z240" s="8"/>
      <c r="AA240" s="8"/>
      <c r="AB240" s="8"/>
    </row>
    <row r="241" spans="1:28" outlineLevel="1" x14ac:dyDescent="0.15">
      <c r="A241" s="8"/>
      <c r="B241" s="8"/>
      <c r="C241" s="8"/>
      <c r="D241" s="8"/>
      <c r="E241" s="9"/>
      <c r="F241" s="8"/>
      <c r="G241" s="10"/>
      <c r="H241" s="132"/>
      <c r="I241" s="8"/>
      <c r="J241" s="9"/>
      <c r="K241" s="8"/>
      <c r="L241" s="9"/>
      <c r="M241" s="8"/>
      <c r="N241" s="132"/>
      <c r="O241" s="8"/>
      <c r="P241" s="9"/>
      <c r="Q241" s="8"/>
      <c r="R241" s="9"/>
      <c r="S241" s="8"/>
      <c r="T241" s="8"/>
      <c r="U241" s="8"/>
      <c r="V241" s="132"/>
      <c r="W241" s="8"/>
      <c r="X241" s="8"/>
      <c r="Y241" s="9"/>
      <c r="Z241" s="8"/>
      <c r="AA241" s="8"/>
      <c r="AB241" s="8"/>
    </row>
    <row r="242" spans="1:28" outlineLevel="1" x14ac:dyDescent="0.15">
      <c r="A242" s="8"/>
      <c r="B242" s="8"/>
      <c r="C242" s="8"/>
      <c r="D242" s="8"/>
      <c r="E242" s="9"/>
      <c r="F242" s="8"/>
      <c r="G242" s="10"/>
      <c r="H242" s="132"/>
      <c r="I242" s="8"/>
      <c r="J242" s="9"/>
      <c r="K242" s="8"/>
      <c r="L242" s="9"/>
      <c r="M242" s="8"/>
      <c r="N242" s="132"/>
      <c r="O242" s="8"/>
      <c r="P242" s="9"/>
      <c r="Q242" s="8"/>
      <c r="R242" s="9"/>
      <c r="S242" s="8"/>
      <c r="T242" s="8"/>
      <c r="U242" s="8"/>
      <c r="V242" s="132"/>
      <c r="W242" s="8"/>
      <c r="X242" s="8"/>
      <c r="Y242" s="9"/>
      <c r="Z242" s="8"/>
      <c r="AA242" s="8"/>
      <c r="AB242" s="8"/>
    </row>
    <row r="243" spans="1:28" outlineLevel="1" x14ac:dyDescent="0.15">
      <c r="A243" s="8"/>
      <c r="B243" s="8"/>
      <c r="C243" s="8"/>
      <c r="D243" s="8"/>
      <c r="E243" s="9"/>
      <c r="F243" s="8"/>
      <c r="G243" s="10"/>
      <c r="H243" s="132"/>
      <c r="I243" s="8"/>
      <c r="J243" s="9"/>
      <c r="K243" s="8"/>
      <c r="L243" s="9"/>
      <c r="M243" s="8"/>
      <c r="N243" s="132"/>
      <c r="O243" s="8"/>
      <c r="P243" s="9"/>
      <c r="Q243" s="8"/>
      <c r="R243" s="9"/>
      <c r="S243" s="8"/>
      <c r="T243" s="8"/>
      <c r="U243" s="8"/>
      <c r="V243" s="132"/>
      <c r="W243" s="8"/>
      <c r="X243" s="8"/>
      <c r="Y243" s="9"/>
      <c r="Z243" s="8"/>
      <c r="AA243" s="8"/>
      <c r="AB243" s="8"/>
    </row>
    <row r="244" spans="1:28" outlineLevel="1" x14ac:dyDescent="0.15">
      <c r="A244" s="8"/>
      <c r="B244" s="8"/>
      <c r="C244" s="8"/>
      <c r="D244" s="8"/>
      <c r="E244" s="9"/>
      <c r="F244" s="8"/>
      <c r="G244" s="10"/>
      <c r="H244" s="132"/>
      <c r="I244" s="8"/>
      <c r="J244" s="9"/>
      <c r="K244" s="8"/>
      <c r="L244" s="9"/>
      <c r="M244" s="8"/>
      <c r="N244" s="132"/>
      <c r="O244" s="8"/>
      <c r="P244" s="9"/>
      <c r="Q244" s="8"/>
      <c r="R244" s="9"/>
      <c r="S244" s="8"/>
      <c r="T244" s="8"/>
      <c r="U244" s="8"/>
      <c r="V244" s="132"/>
      <c r="W244" s="8"/>
      <c r="X244" s="8"/>
      <c r="Y244" s="9"/>
      <c r="Z244" s="8"/>
      <c r="AA244" s="8"/>
      <c r="AB244" s="8"/>
    </row>
    <row r="245" spans="1:28" outlineLevel="1" x14ac:dyDescent="0.15">
      <c r="A245" s="8"/>
      <c r="B245" s="8"/>
      <c r="C245" s="8"/>
      <c r="D245" s="8"/>
      <c r="E245" s="9"/>
      <c r="F245" s="8"/>
      <c r="G245" s="10"/>
      <c r="H245" s="132"/>
      <c r="I245" s="8"/>
      <c r="J245" s="9"/>
      <c r="K245" s="8"/>
      <c r="L245" s="9"/>
      <c r="M245" s="8"/>
      <c r="N245" s="132"/>
      <c r="O245" s="8"/>
      <c r="P245" s="9"/>
      <c r="Q245" s="8"/>
      <c r="R245" s="9"/>
      <c r="S245" s="8"/>
      <c r="T245" s="8"/>
      <c r="U245" s="8"/>
      <c r="V245" s="132"/>
      <c r="W245" s="8"/>
      <c r="X245" s="8"/>
      <c r="Y245" s="9"/>
      <c r="Z245" s="8"/>
      <c r="AA245" s="8"/>
      <c r="AB245" s="8"/>
    </row>
    <row r="246" spans="1:28" outlineLevel="1" x14ac:dyDescent="0.15">
      <c r="A246" s="8"/>
      <c r="B246" s="8"/>
      <c r="C246" s="8"/>
      <c r="D246" s="8"/>
      <c r="E246" s="9"/>
      <c r="F246" s="8"/>
      <c r="G246" s="10"/>
      <c r="H246" s="132"/>
      <c r="I246" s="8"/>
      <c r="J246" s="9"/>
      <c r="K246" s="8"/>
      <c r="L246" s="9"/>
      <c r="M246" s="8"/>
      <c r="N246" s="132"/>
      <c r="O246" s="8"/>
      <c r="P246" s="9"/>
      <c r="Q246" s="8"/>
      <c r="R246" s="9"/>
      <c r="S246" s="8"/>
      <c r="T246" s="8"/>
      <c r="U246" s="8"/>
      <c r="V246" s="132"/>
      <c r="W246" s="8"/>
      <c r="X246" s="8"/>
      <c r="Y246" s="9"/>
      <c r="Z246" s="8"/>
      <c r="AA246" s="8"/>
      <c r="AB246" s="8"/>
    </row>
    <row r="247" spans="1:28" outlineLevel="1" x14ac:dyDescent="0.15">
      <c r="A247" s="8"/>
      <c r="B247" s="8"/>
      <c r="C247" s="8"/>
      <c r="D247" s="8"/>
      <c r="E247" s="9"/>
      <c r="F247" s="8"/>
      <c r="G247" s="10"/>
      <c r="H247" s="132"/>
      <c r="I247" s="8"/>
      <c r="J247" s="9"/>
      <c r="K247" s="8"/>
      <c r="L247" s="9"/>
      <c r="M247" s="8"/>
      <c r="N247" s="132"/>
      <c r="O247" s="8"/>
      <c r="P247" s="9"/>
      <c r="Q247" s="8"/>
      <c r="R247" s="9"/>
      <c r="S247" s="8"/>
      <c r="T247" s="8"/>
      <c r="U247" s="8"/>
      <c r="V247" s="132"/>
      <c r="W247" s="8"/>
      <c r="X247" s="8"/>
      <c r="Y247" s="9"/>
      <c r="Z247" s="8"/>
      <c r="AA247" s="8"/>
      <c r="AB247" s="8"/>
    </row>
    <row r="248" spans="1:28" outlineLevel="1" x14ac:dyDescent="0.15">
      <c r="A248" s="8"/>
      <c r="B248" s="8"/>
      <c r="C248" s="8"/>
      <c r="D248" s="8"/>
      <c r="E248" s="9"/>
      <c r="F248" s="8"/>
      <c r="G248" s="10"/>
      <c r="H248" s="132"/>
      <c r="I248" s="8"/>
      <c r="J248" s="9"/>
      <c r="K248" s="8"/>
      <c r="L248" s="9"/>
      <c r="M248" s="8"/>
      <c r="N248" s="132"/>
      <c r="O248" s="8"/>
      <c r="P248" s="9"/>
      <c r="Q248" s="8"/>
      <c r="R248" s="9"/>
      <c r="S248" s="8"/>
      <c r="T248" s="8"/>
      <c r="U248" s="8"/>
      <c r="V248" s="132"/>
      <c r="W248" s="8"/>
      <c r="X248" s="8"/>
      <c r="Y248" s="9"/>
      <c r="Z248" s="8"/>
      <c r="AA248" s="8"/>
      <c r="AB248" s="8"/>
    </row>
    <row r="249" spans="1:28" outlineLevel="1" x14ac:dyDescent="0.15">
      <c r="A249" s="8"/>
      <c r="B249" s="8"/>
      <c r="C249" s="8"/>
      <c r="D249" s="8"/>
      <c r="E249" s="9"/>
      <c r="F249" s="8"/>
      <c r="G249" s="10"/>
      <c r="H249" s="132"/>
      <c r="I249" s="8"/>
      <c r="J249" s="9"/>
      <c r="K249" s="8"/>
      <c r="L249" s="9"/>
      <c r="M249" s="8"/>
      <c r="N249" s="132"/>
      <c r="O249" s="8"/>
      <c r="P249" s="9"/>
      <c r="Q249" s="8"/>
      <c r="R249" s="9"/>
      <c r="S249" s="8"/>
      <c r="T249" s="8"/>
      <c r="U249" s="8"/>
      <c r="V249" s="132"/>
      <c r="W249" s="8"/>
      <c r="X249" s="8"/>
      <c r="Y249" s="9"/>
      <c r="Z249" s="8"/>
      <c r="AA249" s="8"/>
      <c r="AB249" s="8"/>
    </row>
    <row r="250" spans="1:28" outlineLevel="1" x14ac:dyDescent="0.15">
      <c r="A250" s="8"/>
      <c r="B250" s="8"/>
      <c r="C250" s="8"/>
      <c r="D250" s="8"/>
      <c r="E250" s="9"/>
      <c r="F250" s="8"/>
      <c r="G250" s="10"/>
      <c r="H250" s="132"/>
      <c r="I250" s="8"/>
      <c r="J250" s="9"/>
      <c r="K250" s="8"/>
      <c r="L250" s="9"/>
      <c r="M250" s="8"/>
      <c r="N250" s="132"/>
      <c r="O250" s="8"/>
      <c r="P250" s="9"/>
      <c r="Q250" s="8"/>
      <c r="R250" s="9"/>
      <c r="S250" s="8"/>
      <c r="T250" s="8"/>
      <c r="U250" s="8"/>
      <c r="V250" s="132"/>
      <c r="W250" s="8"/>
      <c r="X250" s="8"/>
      <c r="Y250" s="9"/>
      <c r="Z250" s="8"/>
      <c r="AA250" s="8"/>
      <c r="AB250" s="8"/>
    </row>
    <row r="251" spans="1:28" outlineLevel="1" x14ac:dyDescent="0.15">
      <c r="A251" s="8"/>
      <c r="B251" s="8"/>
      <c r="C251" s="8"/>
      <c r="D251" s="8"/>
      <c r="E251" s="9"/>
      <c r="F251" s="8"/>
      <c r="G251" s="10"/>
      <c r="H251" s="132"/>
      <c r="I251" s="8"/>
      <c r="J251" s="9"/>
      <c r="K251" s="8"/>
      <c r="L251" s="9"/>
      <c r="M251" s="8"/>
      <c r="N251" s="132"/>
      <c r="O251" s="8"/>
      <c r="P251" s="9"/>
      <c r="Q251" s="8"/>
      <c r="R251" s="9"/>
      <c r="S251" s="8"/>
      <c r="T251" s="8"/>
      <c r="U251" s="8"/>
      <c r="V251" s="132"/>
      <c r="W251" s="8"/>
      <c r="X251" s="8"/>
      <c r="Y251" s="9"/>
      <c r="Z251" s="8"/>
      <c r="AA251" s="8"/>
      <c r="AB251" s="8"/>
    </row>
    <row r="252" spans="1:28" outlineLevel="1" x14ac:dyDescent="0.15">
      <c r="A252" s="8"/>
      <c r="B252" s="8"/>
      <c r="C252" s="8"/>
      <c r="D252" s="8"/>
      <c r="E252" s="9"/>
      <c r="F252" s="8"/>
      <c r="G252" s="10"/>
      <c r="H252" s="132"/>
      <c r="I252" s="8"/>
      <c r="J252" s="9"/>
      <c r="K252" s="8"/>
      <c r="L252" s="9"/>
      <c r="M252" s="8"/>
      <c r="N252" s="132"/>
      <c r="O252" s="8"/>
      <c r="P252" s="9"/>
      <c r="Q252" s="8"/>
      <c r="R252" s="9"/>
      <c r="S252" s="8"/>
      <c r="T252" s="8"/>
      <c r="U252" s="8"/>
      <c r="V252" s="132"/>
      <c r="W252" s="8"/>
      <c r="X252" s="8"/>
      <c r="Y252" s="9"/>
      <c r="Z252" s="8"/>
      <c r="AA252" s="8"/>
      <c r="AB252" s="8"/>
    </row>
    <row r="253" spans="1:28" outlineLevel="1" x14ac:dyDescent="0.15">
      <c r="A253" s="8"/>
      <c r="B253" s="8"/>
      <c r="C253" s="8"/>
      <c r="D253" s="8"/>
      <c r="E253" s="9"/>
      <c r="F253" s="8"/>
      <c r="G253" s="10"/>
      <c r="H253" s="132"/>
      <c r="I253" s="8"/>
      <c r="J253" s="9"/>
      <c r="K253" s="8"/>
      <c r="L253" s="9"/>
      <c r="M253" s="8"/>
      <c r="N253" s="132"/>
      <c r="O253" s="8"/>
      <c r="P253" s="9"/>
      <c r="Q253" s="8"/>
      <c r="R253" s="9"/>
      <c r="S253" s="8"/>
      <c r="T253" s="8"/>
      <c r="U253" s="8"/>
      <c r="V253" s="132"/>
      <c r="W253" s="8"/>
      <c r="X253" s="8"/>
      <c r="Y253" s="9"/>
      <c r="Z253" s="8"/>
      <c r="AA253" s="8"/>
      <c r="AB253" s="8"/>
    </row>
    <row r="254" spans="1:28" outlineLevel="1" x14ac:dyDescent="0.15">
      <c r="A254" s="8"/>
      <c r="B254" s="8"/>
      <c r="C254" s="8"/>
      <c r="D254" s="8"/>
      <c r="E254" s="9"/>
      <c r="F254" s="8"/>
      <c r="G254" s="10"/>
      <c r="H254" s="132"/>
      <c r="I254" s="8"/>
      <c r="J254" s="9"/>
      <c r="K254" s="8"/>
      <c r="L254" s="9"/>
      <c r="M254" s="8"/>
      <c r="N254" s="132"/>
      <c r="O254" s="8"/>
      <c r="P254" s="9"/>
      <c r="Q254" s="8"/>
      <c r="R254" s="9"/>
      <c r="S254" s="8"/>
      <c r="T254" s="8"/>
      <c r="U254" s="8"/>
      <c r="V254" s="132"/>
      <c r="W254" s="8"/>
      <c r="X254" s="8"/>
      <c r="Y254" s="9"/>
      <c r="Z254" s="8"/>
      <c r="AA254" s="8"/>
      <c r="AB254" s="8"/>
    </row>
    <row r="255" spans="1:28" outlineLevel="1" x14ac:dyDescent="0.15">
      <c r="A255" s="8"/>
      <c r="B255" s="8"/>
      <c r="C255" s="8"/>
      <c r="D255" s="8"/>
      <c r="E255" s="9"/>
      <c r="F255" s="8"/>
      <c r="G255" s="10"/>
      <c r="H255" s="132"/>
      <c r="I255" s="8"/>
      <c r="J255" s="9"/>
      <c r="K255" s="8"/>
      <c r="L255" s="9"/>
      <c r="M255" s="8"/>
      <c r="N255" s="132"/>
      <c r="O255" s="8"/>
      <c r="P255" s="9"/>
      <c r="Q255" s="8"/>
      <c r="R255" s="9"/>
      <c r="S255" s="8"/>
      <c r="T255" s="8"/>
      <c r="U255" s="8"/>
      <c r="V255" s="132"/>
      <c r="W255" s="8"/>
      <c r="X255" s="8"/>
      <c r="Y255" s="9"/>
      <c r="Z255" s="8"/>
      <c r="AA255" s="8"/>
      <c r="AB255" s="8"/>
    </row>
    <row r="256" spans="1:28" outlineLevel="1" x14ac:dyDescent="0.15">
      <c r="A256" s="8"/>
      <c r="B256" s="8"/>
      <c r="C256" s="8"/>
      <c r="D256" s="8"/>
      <c r="E256" s="9"/>
      <c r="F256" s="8"/>
      <c r="G256" s="10"/>
      <c r="H256" s="132"/>
      <c r="I256" s="8"/>
      <c r="J256" s="9"/>
      <c r="K256" s="8"/>
      <c r="L256" s="9"/>
      <c r="M256" s="8"/>
      <c r="N256" s="132"/>
      <c r="O256" s="8"/>
      <c r="P256" s="9"/>
      <c r="Q256" s="8"/>
      <c r="R256" s="9"/>
      <c r="S256" s="8"/>
      <c r="T256" s="8"/>
      <c r="U256" s="8"/>
      <c r="V256" s="132"/>
      <c r="W256" s="8"/>
      <c r="X256" s="8"/>
      <c r="Y256" s="9"/>
      <c r="Z256" s="8"/>
      <c r="AA256" s="8"/>
      <c r="AB256" s="8"/>
    </row>
    <row r="257" spans="1:28" outlineLevel="1" x14ac:dyDescent="0.15">
      <c r="A257" s="8"/>
      <c r="B257" s="8"/>
      <c r="C257" s="8"/>
      <c r="D257" s="8"/>
      <c r="E257" s="9"/>
      <c r="F257" s="8"/>
      <c r="G257" s="10"/>
      <c r="H257" s="132"/>
      <c r="I257" s="8"/>
      <c r="J257" s="9"/>
      <c r="K257" s="8"/>
      <c r="L257" s="9"/>
      <c r="M257" s="8"/>
      <c r="N257" s="132"/>
      <c r="O257" s="8"/>
      <c r="P257" s="9"/>
      <c r="Q257" s="8"/>
      <c r="R257" s="9"/>
      <c r="S257" s="8"/>
      <c r="T257" s="8"/>
      <c r="U257" s="8"/>
      <c r="V257" s="132"/>
      <c r="W257" s="8"/>
      <c r="X257" s="8"/>
      <c r="Y257" s="9"/>
      <c r="Z257" s="8"/>
      <c r="AA257" s="8"/>
      <c r="AB257" s="8"/>
    </row>
    <row r="258" spans="1:28" outlineLevel="1" x14ac:dyDescent="0.15">
      <c r="A258" s="8"/>
      <c r="B258" s="8"/>
      <c r="C258" s="8"/>
      <c r="D258" s="8"/>
      <c r="E258" s="9"/>
      <c r="F258" s="8"/>
      <c r="G258" s="10"/>
      <c r="H258" s="132"/>
      <c r="I258" s="8"/>
      <c r="J258" s="9"/>
      <c r="K258" s="8"/>
      <c r="L258" s="9"/>
      <c r="M258" s="8"/>
      <c r="N258" s="132"/>
      <c r="O258" s="8"/>
      <c r="P258" s="9"/>
      <c r="Q258" s="8"/>
      <c r="R258" s="9"/>
      <c r="S258" s="8"/>
      <c r="T258" s="8"/>
      <c r="U258" s="8"/>
      <c r="V258" s="132"/>
      <c r="W258" s="8"/>
      <c r="X258" s="8"/>
      <c r="Y258" s="9"/>
      <c r="Z258" s="8"/>
      <c r="AA258" s="8"/>
      <c r="AB258" s="8"/>
    </row>
    <row r="259" spans="1:28" outlineLevel="1" x14ac:dyDescent="0.15">
      <c r="A259" s="8"/>
      <c r="B259" s="8"/>
      <c r="C259" s="8"/>
      <c r="D259" s="8"/>
      <c r="E259" s="9"/>
      <c r="F259" s="8"/>
      <c r="G259" s="10"/>
      <c r="H259" s="132"/>
      <c r="I259" s="8"/>
      <c r="J259" s="9"/>
      <c r="K259" s="8"/>
      <c r="L259" s="9"/>
      <c r="M259" s="8"/>
      <c r="N259" s="132"/>
      <c r="O259" s="8"/>
      <c r="P259" s="9"/>
      <c r="Q259" s="8"/>
      <c r="R259" s="9"/>
      <c r="S259" s="8"/>
      <c r="T259" s="8"/>
      <c r="U259" s="8"/>
      <c r="V259" s="132"/>
      <c r="W259" s="8"/>
      <c r="X259" s="8"/>
      <c r="Y259" s="9"/>
      <c r="Z259" s="8"/>
      <c r="AA259" s="8"/>
      <c r="AB259" s="8"/>
    </row>
    <row r="260" spans="1:28" outlineLevel="1" x14ac:dyDescent="0.15">
      <c r="A260" s="8"/>
      <c r="B260" s="8"/>
      <c r="C260" s="8"/>
      <c r="D260" s="8"/>
      <c r="E260" s="9"/>
      <c r="F260" s="8"/>
      <c r="G260" s="10"/>
      <c r="H260" s="132"/>
      <c r="I260" s="8"/>
      <c r="J260" s="9"/>
      <c r="K260" s="8"/>
      <c r="L260" s="9"/>
      <c r="M260" s="8"/>
      <c r="N260" s="132"/>
      <c r="O260" s="8"/>
      <c r="P260" s="9"/>
      <c r="Q260" s="8"/>
      <c r="R260" s="9"/>
      <c r="S260" s="8"/>
      <c r="T260" s="8"/>
      <c r="U260" s="8"/>
      <c r="V260" s="132"/>
      <c r="W260" s="8"/>
      <c r="X260" s="8"/>
      <c r="Y260" s="9"/>
      <c r="Z260" s="8"/>
      <c r="AA260" s="8"/>
      <c r="AB260" s="8"/>
    </row>
    <row r="261" spans="1:28" outlineLevel="1" x14ac:dyDescent="0.15">
      <c r="A261" s="8"/>
      <c r="B261" s="8"/>
      <c r="C261" s="8"/>
      <c r="D261" s="8"/>
      <c r="E261" s="9"/>
      <c r="F261" s="8"/>
      <c r="G261" s="10"/>
      <c r="H261" s="132"/>
      <c r="I261" s="8"/>
      <c r="J261" s="9"/>
      <c r="K261" s="8"/>
      <c r="L261" s="9"/>
      <c r="M261" s="8"/>
      <c r="N261" s="132"/>
      <c r="O261" s="8"/>
      <c r="P261" s="9"/>
      <c r="Q261" s="8"/>
      <c r="R261" s="9"/>
      <c r="S261" s="8"/>
      <c r="T261" s="8"/>
      <c r="U261" s="8"/>
      <c r="V261" s="132"/>
      <c r="W261" s="8"/>
      <c r="X261" s="8"/>
      <c r="Y261" s="9"/>
      <c r="Z261" s="8"/>
      <c r="AA261" s="8"/>
      <c r="AB261" s="8"/>
    </row>
    <row r="262" spans="1:28" outlineLevel="1" x14ac:dyDescent="0.15">
      <c r="A262" s="8"/>
      <c r="B262" s="8"/>
      <c r="C262" s="8"/>
      <c r="D262" s="8"/>
      <c r="E262" s="9"/>
      <c r="F262" s="8"/>
      <c r="G262" s="10"/>
      <c r="H262" s="132"/>
      <c r="I262" s="8"/>
      <c r="J262" s="9"/>
      <c r="K262" s="8"/>
      <c r="L262" s="9"/>
      <c r="M262" s="8"/>
      <c r="N262" s="132"/>
      <c r="O262" s="8"/>
      <c r="P262" s="9"/>
      <c r="Q262" s="8"/>
      <c r="R262" s="9"/>
      <c r="S262" s="8"/>
      <c r="T262" s="8"/>
      <c r="U262" s="8"/>
      <c r="V262" s="132"/>
      <c r="W262" s="8"/>
      <c r="X262" s="8"/>
      <c r="Y262" s="9"/>
      <c r="Z262" s="8"/>
      <c r="AA262" s="8"/>
      <c r="AB262" s="8"/>
    </row>
    <row r="263" spans="1:28" outlineLevel="1" x14ac:dyDescent="0.15">
      <c r="A263" s="8"/>
      <c r="B263" s="8"/>
      <c r="C263" s="8"/>
      <c r="D263" s="8"/>
      <c r="E263" s="9"/>
      <c r="F263" s="8"/>
      <c r="G263" s="10"/>
      <c r="H263" s="132"/>
      <c r="I263" s="8"/>
      <c r="J263" s="9"/>
      <c r="K263" s="8"/>
      <c r="L263" s="9"/>
      <c r="M263" s="8"/>
      <c r="N263" s="132"/>
      <c r="O263" s="8"/>
      <c r="P263" s="9"/>
      <c r="Q263" s="8"/>
      <c r="R263" s="9"/>
      <c r="S263" s="8"/>
      <c r="T263" s="8"/>
      <c r="U263" s="8"/>
      <c r="V263" s="132"/>
      <c r="W263" s="8"/>
      <c r="X263" s="8"/>
      <c r="Y263" s="9"/>
      <c r="Z263" s="8"/>
      <c r="AA263" s="8"/>
      <c r="AB263" s="8"/>
    </row>
    <row r="264" spans="1:28" outlineLevel="1" x14ac:dyDescent="0.15">
      <c r="A264" s="8"/>
      <c r="B264" s="8"/>
      <c r="C264" s="8"/>
      <c r="D264" s="8"/>
      <c r="E264" s="9"/>
      <c r="F264" s="8"/>
      <c r="G264" s="10"/>
      <c r="H264" s="132"/>
      <c r="I264" s="8"/>
      <c r="J264" s="9"/>
      <c r="K264" s="8"/>
      <c r="L264" s="9"/>
      <c r="M264" s="8"/>
      <c r="N264" s="132"/>
      <c r="O264" s="8"/>
      <c r="P264" s="9"/>
      <c r="Q264" s="8"/>
      <c r="R264" s="9"/>
      <c r="S264" s="8"/>
      <c r="T264" s="8"/>
      <c r="U264" s="8"/>
      <c r="V264" s="132"/>
      <c r="W264" s="8"/>
      <c r="X264" s="8"/>
      <c r="Y264" s="9"/>
      <c r="Z264" s="8"/>
      <c r="AA264" s="8"/>
      <c r="AB264" s="8"/>
    </row>
    <row r="265" spans="1:28" outlineLevel="1" x14ac:dyDescent="0.15">
      <c r="A265" s="8"/>
      <c r="B265" s="8"/>
      <c r="C265" s="8"/>
      <c r="D265" s="8"/>
      <c r="E265" s="9"/>
      <c r="F265" s="8"/>
      <c r="G265" s="10"/>
      <c r="H265" s="132"/>
      <c r="I265" s="8"/>
      <c r="J265" s="9"/>
      <c r="K265" s="8"/>
      <c r="L265" s="9"/>
      <c r="M265" s="8"/>
      <c r="N265" s="132"/>
      <c r="O265" s="8"/>
      <c r="P265" s="9"/>
      <c r="Q265" s="8"/>
      <c r="R265" s="9"/>
      <c r="S265" s="8"/>
      <c r="T265" s="8"/>
      <c r="U265" s="8"/>
      <c r="V265" s="132"/>
      <c r="W265" s="8"/>
      <c r="X265" s="8"/>
      <c r="Y265" s="9"/>
      <c r="Z265" s="8"/>
      <c r="AA265" s="8"/>
      <c r="AB265" s="8"/>
    </row>
    <row r="266" spans="1:28" outlineLevel="1" x14ac:dyDescent="0.15">
      <c r="A266" s="8"/>
      <c r="B266" s="8"/>
      <c r="C266" s="8"/>
      <c r="D266" s="8"/>
      <c r="E266" s="9"/>
      <c r="F266" s="8"/>
      <c r="G266" s="10"/>
      <c r="H266" s="132"/>
      <c r="I266" s="8"/>
      <c r="J266" s="9"/>
      <c r="K266" s="8"/>
      <c r="L266" s="9"/>
      <c r="M266" s="8"/>
      <c r="N266" s="132"/>
      <c r="O266" s="8"/>
      <c r="P266" s="9"/>
      <c r="Q266" s="8"/>
      <c r="R266" s="9"/>
      <c r="S266" s="8"/>
      <c r="T266" s="8"/>
      <c r="U266" s="8"/>
      <c r="V266" s="132"/>
      <c r="W266" s="8"/>
      <c r="X266" s="8"/>
      <c r="Y266" s="9"/>
      <c r="Z266" s="8"/>
      <c r="AA266" s="8"/>
      <c r="AB266" s="8"/>
    </row>
    <row r="267" spans="1:28" outlineLevel="1" x14ac:dyDescent="0.15">
      <c r="A267" s="8"/>
      <c r="B267" s="8"/>
      <c r="C267" s="8"/>
      <c r="D267" s="8"/>
      <c r="E267" s="9"/>
      <c r="F267" s="8"/>
      <c r="G267" s="10"/>
      <c r="H267" s="132"/>
      <c r="I267" s="8"/>
      <c r="J267" s="9"/>
      <c r="K267" s="8"/>
      <c r="L267" s="9"/>
      <c r="M267" s="8"/>
      <c r="N267" s="132"/>
      <c r="O267" s="8"/>
      <c r="P267" s="9"/>
      <c r="Q267" s="8"/>
      <c r="R267" s="9"/>
      <c r="S267" s="8"/>
      <c r="T267" s="8"/>
      <c r="U267" s="8"/>
      <c r="V267" s="132"/>
      <c r="W267" s="8"/>
      <c r="X267" s="8"/>
      <c r="Y267" s="9"/>
      <c r="Z267" s="8"/>
      <c r="AA267" s="8"/>
      <c r="AB267" s="8"/>
    </row>
    <row r="268" spans="1:28" outlineLevel="1" x14ac:dyDescent="0.15">
      <c r="A268" s="8"/>
      <c r="B268" s="8"/>
      <c r="C268" s="8"/>
      <c r="D268" s="8"/>
      <c r="E268" s="9"/>
      <c r="F268" s="8"/>
      <c r="G268" s="10"/>
      <c r="H268" s="132"/>
      <c r="I268" s="8"/>
      <c r="J268" s="9"/>
      <c r="K268" s="8"/>
      <c r="L268" s="9"/>
      <c r="M268" s="8"/>
      <c r="N268" s="132"/>
      <c r="O268" s="8"/>
      <c r="P268" s="9"/>
      <c r="Q268" s="8"/>
      <c r="R268" s="9"/>
      <c r="S268" s="8"/>
      <c r="T268" s="8"/>
      <c r="U268" s="8"/>
      <c r="V268" s="132"/>
      <c r="W268" s="8"/>
      <c r="X268" s="8"/>
      <c r="Y268" s="9"/>
      <c r="Z268" s="8"/>
      <c r="AA268" s="8"/>
      <c r="AB268" s="8"/>
    </row>
    <row r="269" spans="1:28" outlineLevel="1" x14ac:dyDescent="0.15">
      <c r="A269" s="8"/>
      <c r="B269" s="8"/>
      <c r="C269" s="8"/>
      <c r="D269" s="8"/>
      <c r="E269" s="9"/>
      <c r="F269" s="8"/>
      <c r="G269" s="10"/>
      <c r="H269" s="132"/>
      <c r="I269" s="8"/>
      <c r="J269" s="9"/>
      <c r="K269" s="8"/>
      <c r="L269" s="9"/>
      <c r="M269" s="8"/>
      <c r="N269" s="132"/>
      <c r="O269" s="8"/>
      <c r="P269" s="9"/>
      <c r="Q269" s="8"/>
      <c r="R269" s="9"/>
      <c r="S269" s="8"/>
      <c r="T269" s="8"/>
      <c r="U269" s="8"/>
      <c r="V269" s="132"/>
      <c r="W269" s="8"/>
      <c r="X269" s="8"/>
      <c r="Y269" s="9"/>
      <c r="Z269" s="8"/>
      <c r="AA269" s="8"/>
      <c r="AB269" s="8"/>
    </row>
    <row r="270" spans="1:28" outlineLevel="1" x14ac:dyDescent="0.15">
      <c r="A270" s="8"/>
      <c r="B270" s="8"/>
      <c r="C270" s="8"/>
      <c r="D270" s="8"/>
      <c r="E270" s="9"/>
      <c r="F270" s="8"/>
      <c r="G270" s="10"/>
      <c r="H270" s="132"/>
      <c r="I270" s="8"/>
      <c r="J270" s="9"/>
      <c r="K270" s="8"/>
      <c r="L270" s="9"/>
      <c r="M270" s="8"/>
      <c r="N270" s="132"/>
      <c r="O270" s="8"/>
      <c r="P270" s="9"/>
      <c r="Q270" s="8"/>
      <c r="R270" s="9"/>
      <c r="S270" s="8"/>
      <c r="T270" s="8"/>
      <c r="U270" s="8"/>
      <c r="V270" s="132"/>
      <c r="W270" s="8"/>
      <c r="X270" s="8"/>
      <c r="Y270" s="9"/>
      <c r="Z270" s="8"/>
      <c r="AA270" s="8"/>
      <c r="AB270" s="8"/>
    </row>
    <row r="271" spans="1:28" outlineLevel="1" x14ac:dyDescent="0.15">
      <c r="A271" s="8"/>
      <c r="B271" s="8"/>
      <c r="C271" s="8"/>
      <c r="D271" s="8"/>
      <c r="E271" s="9"/>
      <c r="F271" s="8"/>
      <c r="G271" s="10"/>
      <c r="H271" s="132"/>
      <c r="I271" s="8"/>
      <c r="J271" s="9"/>
      <c r="K271" s="8"/>
      <c r="L271" s="9"/>
      <c r="M271" s="8"/>
      <c r="N271" s="132"/>
      <c r="O271" s="8"/>
      <c r="P271" s="9"/>
      <c r="Q271" s="8"/>
      <c r="R271" s="9"/>
      <c r="S271" s="8"/>
      <c r="T271" s="8"/>
      <c r="U271" s="8"/>
      <c r="V271" s="132"/>
      <c r="W271" s="8"/>
      <c r="X271" s="8"/>
      <c r="Y271" s="9"/>
      <c r="Z271" s="8"/>
      <c r="AA271" s="8"/>
      <c r="AB271" s="8"/>
    </row>
    <row r="272" spans="1:28" outlineLevel="1" x14ac:dyDescent="0.15">
      <c r="A272" s="8"/>
      <c r="B272" s="8"/>
      <c r="C272" s="8"/>
      <c r="D272" s="8"/>
      <c r="E272" s="9"/>
      <c r="F272" s="8"/>
      <c r="G272" s="10"/>
      <c r="H272" s="132"/>
      <c r="I272" s="8"/>
      <c r="J272" s="9"/>
      <c r="K272" s="8"/>
      <c r="L272" s="9"/>
      <c r="M272" s="8"/>
      <c r="N272" s="132"/>
      <c r="O272" s="8"/>
      <c r="P272" s="9"/>
      <c r="Q272" s="8"/>
      <c r="R272" s="9"/>
      <c r="S272" s="8"/>
      <c r="T272" s="8"/>
      <c r="U272" s="8"/>
      <c r="V272" s="132"/>
      <c r="W272" s="8"/>
      <c r="X272" s="8"/>
      <c r="Y272" s="9"/>
      <c r="Z272" s="8"/>
      <c r="AA272" s="8"/>
      <c r="AB272" s="8"/>
    </row>
    <row r="273" spans="1:28" outlineLevel="1" x14ac:dyDescent="0.15">
      <c r="A273" s="8"/>
      <c r="B273" s="8"/>
      <c r="C273" s="8"/>
      <c r="D273" s="8"/>
      <c r="E273" s="9"/>
      <c r="F273" s="8"/>
      <c r="G273" s="10"/>
      <c r="H273" s="132"/>
      <c r="I273" s="8"/>
      <c r="J273" s="9"/>
      <c r="K273" s="8"/>
      <c r="L273" s="9"/>
      <c r="M273" s="8"/>
      <c r="N273" s="132"/>
      <c r="O273" s="8"/>
      <c r="P273" s="9"/>
      <c r="Q273" s="8"/>
      <c r="R273" s="9"/>
      <c r="S273" s="8"/>
      <c r="T273" s="8"/>
      <c r="U273" s="8"/>
      <c r="V273" s="132"/>
      <c r="W273" s="8"/>
      <c r="X273" s="8"/>
      <c r="Y273" s="9"/>
      <c r="Z273" s="8"/>
      <c r="AA273" s="8"/>
      <c r="AB273" s="8"/>
    </row>
    <row r="274" spans="1:28" outlineLevel="1" x14ac:dyDescent="0.15">
      <c r="A274" s="8"/>
      <c r="B274" s="8"/>
      <c r="C274" s="8"/>
      <c r="D274" s="8"/>
      <c r="E274" s="9"/>
      <c r="F274" s="8"/>
      <c r="G274" s="10"/>
      <c r="H274" s="132"/>
      <c r="I274" s="8"/>
      <c r="J274" s="9"/>
      <c r="K274" s="8"/>
      <c r="L274" s="9"/>
      <c r="M274" s="8"/>
      <c r="N274" s="132"/>
      <c r="O274" s="8"/>
      <c r="P274" s="9"/>
      <c r="Q274" s="8"/>
      <c r="R274" s="9"/>
      <c r="S274" s="8"/>
      <c r="T274" s="8"/>
      <c r="U274" s="8"/>
      <c r="V274" s="132"/>
      <c r="W274" s="8"/>
      <c r="X274" s="8"/>
      <c r="Y274" s="9"/>
      <c r="Z274" s="8"/>
      <c r="AA274" s="8"/>
      <c r="AB274" s="8"/>
    </row>
    <row r="275" spans="1:28" outlineLevel="1" x14ac:dyDescent="0.15">
      <c r="A275" s="8"/>
      <c r="B275" s="8"/>
      <c r="C275" s="8"/>
      <c r="D275" s="8"/>
      <c r="E275" s="9"/>
      <c r="F275" s="8"/>
      <c r="G275" s="10"/>
      <c r="H275" s="132"/>
      <c r="I275" s="8"/>
      <c r="J275" s="9"/>
      <c r="K275" s="8"/>
      <c r="L275" s="9"/>
      <c r="M275" s="8"/>
      <c r="N275" s="132"/>
      <c r="O275" s="8"/>
      <c r="P275" s="9"/>
      <c r="Q275" s="8"/>
      <c r="R275" s="9"/>
      <c r="S275" s="8"/>
      <c r="T275" s="8"/>
      <c r="U275" s="8"/>
      <c r="V275" s="132"/>
      <c r="W275" s="8"/>
      <c r="X275" s="8"/>
      <c r="Y275" s="9"/>
      <c r="Z275" s="8"/>
      <c r="AA275" s="8"/>
      <c r="AB275" s="8"/>
    </row>
    <row r="276" spans="1:28" outlineLevel="1" x14ac:dyDescent="0.15">
      <c r="A276" s="8"/>
      <c r="B276" s="8"/>
      <c r="C276" s="8"/>
      <c r="D276" s="8"/>
      <c r="E276" s="9"/>
      <c r="F276" s="8"/>
      <c r="G276" s="10"/>
      <c r="H276" s="132"/>
      <c r="I276" s="8"/>
      <c r="J276" s="9"/>
      <c r="K276" s="8"/>
      <c r="L276" s="9"/>
      <c r="M276" s="8"/>
      <c r="N276" s="132"/>
      <c r="O276" s="8"/>
      <c r="P276" s="9"/>
      <c r="Q276" s="8"/>
      <c r="R276" s="9"/>
      <c r="S276" s="8"/>
      <c r="T276" s="8"/>
      <c r="U276" s="8"/>
      <c r="V276" s="132"/>
      <c r="W276" s="8"/>
      <c r="X276" s="8"/>
      <c r="Y276" s="9"/>
      <c r="Z276" s="8"/>
      <c r="AA276" s="8"/>
      <c r="AB276" s="8"/>
    </row>
    <row r="277" spans="1:28" outlineLevel="1" x14ac:dyDescent="0.15">
      <c r="A277" s="8"/>
      <c r="B277" s="8"/>
      <c r="C277" s="8"/>
      <c r="D277" s="8"/>
      <c r="E277" s="9"/>
      <c r="F277" s="8"/>
      <c r="G277" s="10"/>
      <c r="H277" s="132"/>
      <c r="I277" s="8"/>
      <c r="J277" s="9"/>
      <c r="K277" s="8"/>
      <c r="L277" s="9"/>
      <c r="M277" s="8"/>
      <c r="N277" s="132"/>
      <c r="O277" s="8"/>
      <c r="P277" s="9"/>
      <c r="Q277" s="8"/>
      <c r="R277" s="9"/>
      <c r="S277" s="8"/>
      <c r="T277" s="8"/>
      <c r="U277" s="8"/>
      <c r="V277" s="132"/>
      <c r="W277" s="8"/>
      <c r="X277" s="8"/>
      <c r="Y277" s="9"/>
      <c r="Z277" s="8"/>
      <c r="AA277" s="8"/>
      <c r="AB277" s="8"/>
    </row>
    <row r="278" spans="1:28" outlineLevel="1" x14ac:dyDescent="0.15">
      <c r="A278" s="8"/>
      <c r="B278" s="8"/>
      <c r="C278" s="8"/>
      <c r="D278" s="8"/>
      <c r="E278" s="9"/>
      <c r="F278" s="8"/>
      <c r="G278" s="10"/>
      <c r="H278" s="132"/>
      <c r="I278" s="8"/>
      <c r="J278" s="9"/>
      <c r="K278" s="8"/>
      <c r="L278" s="9"/>
      <c r="M278" s="8"/>
      <c r="N278" s="132"/>
      <c r="O278" s="8"/>
      <c r="P278" s="9"/>
      <c r="Q278" s="8"/>
      <c r="R278" s="9"/>
      <c r="S278" s="8"/>
      <c r="T278" s="8"/>
      <c r="U278" s="8"/>
      <c r="V278" s="132"/>
      <c r="W278" s="8"/>
      <c r="X278" s="8"/>
      <c r="Y278" s="9"/>
      <c r="Z278" s="8"/>
      <c r="AA278" s="8"/>
      <c r="AB278" s="8"/>
    </row>
    <row r="279" spans="1:28" outlineLevel="1" x14ac:dyDescent="0.15">
      <c r="A279" s="8"/>
      <c r="B279" s="8"/>
      <c r="C279" s="8"/>
      <c r="D279" s="8"/>
      <c r="E279" s="9"/>
      <c r="F279" s="8"/>
      <c r="G279" s="10"/>
      <c r="H279" s="132"/>
      <c r="I279" s="8"/>
      <c r="J279" s="9"/>
      <c r="K279" s="8"/>
      <c r="L279" s="9"/>
      <c r="M279" s="8"/>
      <c r="N279" s="132"/>
      <c r="O279" s="8"/>
      <c r="P279" s="9"/>
      <c r="Q279" s="8"/>
      <c r="R279" s="9"/>
      <c r="S279" s="8"/>
      <c r="T279" s="8"/>
      <c r="U279" s="8"/>
      <c r="V279" s="132"/>
      <c r="W279" s="8"/>
      <c r="X279" s="8"/>
      <c r="Y279" s="9"/>
      <c r="Z279" s="8"/>
      <c r="AA279" s="8"/>
      <c r="AB279" s="8"/>
    </row>
    <row r="280" spans="1:28" outlineLevel="1" x14ac:dyDescent="0.15">
      <c r="A280" s="8"/>
      <c r="B280" s="8"/>
      <c r="C280" s="8"/>
      <c r="D280" s="8"/>
      <c r="E280" s="9"/>
      <c r="F280" s="8"/>
      <c r="G280" s="10"/>
      <c r="H280" s="132"/>
      <c r="I280" s="8"/>
      <c r="J280" s="9"/>
      <c r="K280" s="8"/>
      <c r="L280" s="9"/>
      <c r="M280" s="8"/>
      <c r="N280" s="132"/>
      <c r="O280" s="8"/>
      <c r="P280" s="9"/>
      <c r="Q280" s="8"/>
      <c r="R280" s="9"/>
      <c r="S280" s="8"/>
      <c r="T280" s="8"/>
      <c r="U280" s="8"/>
      <c r="V280" s="132"/>
      <c r="W280" s="8"/>
      <c r="X280" s="8"/>
      <c r="Y280" s="9"/>
      <c r="Z280" s="8"/>
      <c r="AA280" s="8"/>
      <c r="AB280" s="8"/>
    </row>
    <row r="281" spans="1:28" outlineLevel="1" x14ac:dyDescent="0.15">
      <c r="A281" s="8"/>
      <c r="B281" s="8"/>
      <c r="C281" s="8"/>
      <c r="D281" s="8"/>
      <c r="E281" s="9"/>
      <c r="F281" s="8"/>
      <c r="G281" s="10"/>
      <c r="H281" s="132"/>
      <c r="I281" s="8"/>
      <c r="J281" s="9"/>
      <c r="K281" s="8"/>
      <c r="L281" s="9"/>
      <c r="M281" s="8"/>
      <c r="N281" s="132"/>
      <c r="O281" s="8"/>
      <c r="P281" s="9"/>
      <c r="Q281" s="8"/>
      <c r="R281" s="9"/>
      <c r="S281" s="8"/>
      <c r="T281" s="8"/>
      <c r="U281" s="8"/>
      <c r="V281" s="132"/>
      <c r="W281" s="8"/>
      <c r="X281" s="8"/>
      <c r="Y281" s="9"/>
      <c r="Z281" s="8"/>
      <c r="AA281" s="8"/>
      <c r="AB281" s="8"/>
    </row>
    <row r="282" spans="1:28" outlineLevel="1" x14ac:dyDescent="0.15">
      <c r="A282" s="8"/>
      <c r="B282" s="8"/>
      <c r="C282" s="8"/>
      <c r="D282" s="8"/>
      <c r="E282" s="9"/>
      <c r="F282" s="8"/>
      <c r="G282" s="10"/>
      <c r="H282" s="132"/>
      <c r="I282" s="8"/>
      <c r="J282" s="9"/>
      <c r="K282" s="8"/>
      <c r="L282" s="9"/>
      <c r="M282" s="8"/>
      <c r="N282" s="132"/>
      <c r="O282" s="8"/>
      <c r="P282" s="9"/>
      <c r="Q282" s="8"/>
      <c r="R282" s="9"/>
      <c r="S282" s="8"/>
      <c r="T282" s="8"/>
      <c r="U282" s="8"/>
      <c r="V282" s="132"/>
      <c r="W282" s="8"/>
      <c r="X282" s="8"/>
      <c r="Y282" s="9"/>
      <c r="Z282" s="8"/>
      <c r="AA282" s="8"/>
      <c r="AB282" s="8"/>
    </row>
    <row r="283" spans="1:28" outlineLevel="1" x14ac:dyDescent="0.15">
      <c r="A283" s="8"/>
      <c r="B283" s="8"/>
      <c r="C283" s="8"/>
      <c r="D283" s="8"/>
      <c r="E283" s="9"/>
      <c r="F283" s="8"/>
      <c r="G283" s="10"/>
      <c r="H283" s="132"/>
      <c r="I283" s="8"/>
      <c r="J283" s="9"/>
      <c r="K283" s="8"/>
      <c r="L283" s="9"/>
      <c r="M283" s="8"/>
      <c r="N283" s="132"/>
      <c r="O283" s="8"/>
      <c r="P283" s="9"/>
      <c r="Q283" s="8"/>
      <c r="R283" s="9"/>
      <c r="S283" s="8"/>
      <c r="T283" s="8"/>
      <c r="U283" s="8"/>
      <c r="V283" s="132"/>
      <c r="W283" s="8"/>
      <c r="X283" s="8"/>
      <c r="Y283" s="9"/>
      <c r="Z283" s="8"/>
      <c r="AA283" s="8"/>
      <c r="AB283" s="8"/>
    </row>
    <row r="284" spans="1:28" outlineLevel="1" x14ac:dyDescent="0.15">
      <c r="A284" s="8"/>
      <c r="B284" s="8"/>
      <c r="C284" s="8"/>
      <c r="D284" s="8"/>
      <c r="E284" s="9"/>
      <c r="F284" s="8"/>
      <c r="G284" s="10"/>
      <c r="H284" s="132"/>
      <c r="I284" s="8"/>
      <c r="J284" s="9"/>
      <c r="K284" s="8"/>
      <c r="L284" s="9"/>
      <c r="M284" s="8"/>
      <c r="N284" s="132"/>
      <c r="O284" s="8"/>
      <c r="P284" s="9"/>
      <c r="Q284" s="8"/>
      <c r="R284" s="9"/>
      <c r="S284" s="8"/>
      <c r="T284" s="8"/>
      <c r="U284" s="8"/>
      <c r="V284" s="132"/>
      <c r="W284" s="8"/>
      <c r="X284" s="8"/>
      <c r="Y284" s="9"/>
      <c r="Z284" s="8"/>
      <c r="AA284" s="8"/>
      <c r="AB284" s="8"/>
    </row>
    <row r="285" spans="1:28" outlineLevel="1" x14ac:dyDescent="0.15">
      <c r="A285" s="8"/>
      <c r="B285" s="8"/>
      <c r="C285" s="8"/>
      <c r="D285" s="8"/>
      <c r="E285" s="9"/>
      <c r="F285" s="8"/>
      <c r="G285" s="10"/>
      <c r="H285" s="132"/>
      <c r="I285" s="8"/>
      <c r="J285" s="9"/>
      <c r="K285" s="8"/>
      <c r="L285" s="9"/>
      <c r="M285" s="8"/>
      <c r="N285" s="132"/>
      <c r="O285" s="8"/>
      <c r="P285" s="9"/>
      <c r="Q285" s="8"/>
      <c r="R285" s="9"/>
      <c r="S285" s="8"/>
      <c r="T285" s="8"/>
      <c r="U285" s="8"/>
      <c r="V285" s="132"/>
      <c r="W285" s="8"/>
      <c r="X285" s="8"/>
      <c r="Y285" s="9"/>
      <c r="Z285" s="8"/>
      <c r="AA285" s="8"/>
      <c r="AB285" s="8"/>
    </row>
    <row r="286" spans="1:28" outlineLevel="1" x14ac:dyDescent="0.15">
      <c r="A286" s="8"/>
      <c r="B286" s="8"/>
      <c r="C286" s="8"/>
      <c r="D286" s="8"/>
      <c r="E286" s="9"/>
      <c r="F286" s="8"/>
      <c r="G286" s="10"/>
      <c r="H286" s="132"/>
      <c r="I286" s="8"/>
      <c r="J286" s="9"/>
      <c r="K286" s="8"/>
      <c r="L286" s="9"/>
      <c r="M286" s="8"/>
      <c r="N286" s="132"/>
      <c r="O286" s="8"/>
      <c r="P286" s="9"/>
      <c r="Q286" s="8"/>
      <c r="R286" s="9"/>
      <c r="S286" s="8"/>
      <c r="T286" s="8"/>
      <c r="U286" s="8"/>
      <c r="V286" s="132"/>
      <c r="W286" s="8"/>
      <c r="X286" s="8"/>
      <c r="Y286" s="9"/>
      <c r="Z286" s="8"/>
      <c r="AA286" s="8"/>
      <c r="AB286" s="8"/>
    </row>
    <row r="287" spans="1:28" outlineLevel="1" x14ac:dyDescent="0.15">
      <c r="A287" s="8"/>
      <c r="B287" s="8"/>
      <c r="C287" s="8"/>
      <c r="D287" s="8"/>
      <c r="E287" s="9"/>
      <c r="F287" s="8"/>
      <c r="G287" s="10"/>
      <c r="H287" s="132"/>
      <c r="I287" s="8"/>
      <c r="J287" s="9"/>
      <c r="K287" s="8"/>
      <c r="L287" s="9"/>
      <c r="M287" s="8"/>
      <c r="N287" s="132"/>
      <c r="O287" s="8"/>
      <c r="P287" s="9"/>
      <c r="Q287" s="8"/>
      <c r="R287" s="9"/>
      <c r="S287" s="8"/>
      <c r="T287" s="8"/>
      <c r="U287" s="8"/>
      <c r="V287" s="132"/>
      <c r="W287" s="8"/>
      <c r="X287" s="8"/>
      <c r="Y287" s="9"/>
      <c r="Z287" s="8"/>
      <c r="AA287" s="8"/>
      <c r="AB287" s="8"/>
    </row>
    <row r="288" spans="1:28" outlineLevel="1" x14ac:dyDescent="0.15">
      <c r="A288" s="8"/>
      <c r="B288" s="8"/>
      <c r="C288" s="8"/>
      <c r="D288" s="8"/>
      <c r="E288" s="9"/>
      <c r="F288" s="8"/>
      <c r="G288" s="10"/>
      <c r="H288" s="132"/>
      <c r="I288" s="8"/>
      <c r="J288" s="9"/>
      <c r="K288" s="8"/>
      <c r="L288" s="9"/>
      <c r="M288" s="8"/>
      <c r="N288" s="132"/>
      <c r="O288" s="8"/>
      <c r="P288" s="9"/>
      <c r="Q288" s="8"/>
      <c r="R288" s="9"/>
      <c r="S288" s="8"/>
      <c r="T288" s="8"/>
      <c r="U288" s="8"/>
      <c r="V288" s="132"/>
      <c r="W288" s="8"/>
      <c r="X288" s="8"/>
      <c r="Y288" s="9"/>
      <c r="Z288" s="8"/>
      <c r="AA288" s="8"/>
      <c r="AB288" s="8"/>
    </row>
    <row r="289" spans="1:28" outlineLevel="1" x14ac:dyDescent="0.15">
      <c r="A289" s="8"/>
      <c r="B289" s="8"/>
      <c r="C289" s="8"/>
      <c r="D289" s="8"/>
      <c r="E289" s="9"/>
      <c r="F289" s="8"/>
      <c r="G289" s="10"/>
      <c r="H289" s="132"/>
      <c r="I289" s="8"/>
      <c r="J289" s="9"/>
      <c r="K289" s="8"/>
      <c r="L289" s="9"/>
      <c r="M289" s="8"/>
      <c r="N289" s="132"/>
      <c r="O289" s="8"/>
      <c r="P289" s="9"/>
      <c r="Q289" s="8"/>
      <c r="R289" s="9"/>
      <c r="S289" s="8"/>
      <c r="T289" s="8"/>
      <c r="U289" s="8"/>
      <c r="V289" s="132"/>
      <c r="W289" s="8"/>
      <c r="X289" s="8"/>
      <c r="Y289" s="9"/>
      <c r="Z289" s="8"/>
      <c r="AA289" s="8"/>
      <c r="AB289" s="8"/>
    </row>
    <row r="290" spans="1:28" outlineLevel="1" x14ac:dyDescent="0.15">
      <c r="A290" s="8"/>
      <c r="B290" s="8"/>
      <c r="C290" s="8"/>
      <c r="D290" s="8"/>
      <c r="E290" s="9"/>
      <c r="F290" s="8"/>
      <c r="G290" s="10"/>
      <c r="H290" s="132"/>
      <c r="I290" s="8"/>
      <c r="J290" s="9"/>
      <c r="K290" s="8"/>
      <c r="L290" s="9"/>
      <c r="M290" s="8"/>
      <c r="N290" s="132"/>
      <c r="O290" s="8"/>
      <c r="P290" s="9"/>
      <c r="Q290" s="8"/>
      <c r="R290" s="9"/>
      <c r="S290" s="8"/>
      <c r="T290" s="8"/>
      <c r="U290" s="8"/>
      <c r="V290" s="132"/>
      <c r="W290" s="8"/>
      <c r="X290" s="8"/>
      <c r="Y290" s="9"/>
      <c r="Z290" s="8"/>
      <c r="AA290" s="8"/>
      <c r="AB290" s="8"/>
    </row>
    <row r="291" spans="1:28" outlineLevel="1" x14ac:dyDescent="0.15">
      <c r="A291" s="8"/>
      <c r="B291" s="8"/>
      <c r="C291" s="8"/>
      <c r="D291" s="8"/>
      <c r="E291" s="9"/>
      <c r="F291" s="8"/>
      <c r="G291" s="10"/>
      <c r="H291" s="132"/>
      <c r="I291" s="8"/>
      <c r="J291" s="9"/>
      <c r="K291" s="8"/>
      <c r="L291" s="9"/>
      <c r="M291" s="8"/>
      <c r="N291" s="132"/>
      <c r="O291" s="8"/>
      <c r="P291" s="9"/>
      <c r="Q291" s="8"/>
      <c r="R291" s="9"/>
      <c r="S291" s="8"/>
      <c r="T291" s="8"/>
      <c r="U291" s="8"/>
      <c r="V291" s="132"/>
      <c r="W291" s="8"/>
      <c r="X291" s="8"/>
      <c r="Y291" s="9"/>
      <c r="Z291" s="8"/>
      <c r="AA291" s="8"/>
      <c r="AB291" s="8"/>
    </row>
    <row r="292" spans="1:28" outlineLevel="1" x14ac:dyDescent="0.15">
      <c r="A292" s="8"/>
      <c r="B292" s="8"/>
      <c r="C292" s="8"/>
      <c r="D292" s="8"/>
      <c r="E292" s="9"/>
      <c r="F292" s="8"/>
      <c r="G292" s="10"/>
      <c r="H292" s="132"/>
      <c r="I292" s="8"/>
      <c r="J292" s="9"/>
      <c r="K292" s="8"/>
      <c r="L292" s="9"/>
      <c r="M292" s="8"/>
      <c r="N292" s="132"/>
      <c r="O292" s="8"/>
      <c r="P292" s="9"/>
      <c r="Q292" s="8"/>
      <c r="R292" s="9"/>
      <c r="S292" s="8"/>
      <c r="T292" s="8"/>
      <c r="U292" s="8"/>
      <c r="V292" s="132"/>
      <c r="W292" s="8"/>
      <c r="X292" s="8"/>
      <c r="Y292" s="9"/>
      <c r="Z292" s="8"/>
      <c r="AA292" s="8"/>
      <c r="AB292" s="8"/>
    </row>
    <row r="293" spans="1:28" outlineLevel="1" x14ac:dyDescent="0.15">
      <c r="A293" s="8"/>
      <c r="B293" s="8"/>
      <c r="C293" s="8"/>
      <c r="D293" s="8"/>
      <c r="E293" s="9"/>
      <c r="F293" s="8"/>
      <c r="G293" s="10"/>
      <c r="H293" s="132"/>
      <c r="I293" s="8"/>
      <c r="J293" s="9"/>
      <c r="K293" s="8"/>
      <c r="L293" s="9"/>
      <c r="M293" s="8"/>
      <c r="N293" s="132"/>
      <c r="O293" s="8"/>
      <c r="P293" s="9"/>
      <c r="Q293" s="8"/>
      <c r="R293" s="9"/>
      <c r="S293" s="8"/>
      <c r="T293" s="8"/>
      <c r="U293" s="8"/>
      <c r="V293" s="132"/>
      <c r="W293" s="8"/>
      <c r="X293" s="8"/>
      <c r="Y293" s="9"/>
      <c r="Z293" s="8"/>
      <c r="AA293" s="8"/>
      <c r="AB293" s="8"/>
    </row>
    <row r="294" spans="1:28" outlineLevel="1" x14ac:dyDescent="0.15">
      <c r="A294" s="8"/>
      <c r="B294" s="8"/>
      <c r="C294" s="8"/>
      <c r="D294" s="8"/>
      <c r="E294" s="9"/>
      <c r="F294" s="8"/>
      <c r="G294" s="10"/>
      <c r="H294" s="132"/>
      <c r="I294" s="8"/>
      <c r="J294" s="9"/>
      <c r="K294" s="8"/>
      <c r="L294" s="9"/>
      <c r="M294" s="8"/>
      <c r="N294" s="132"/>
      <c r="O294" s="8"/>
      <c r="P294" s="9"/>
      <c r="Q294" s="8"/>
      <c r="R294" s="9"/>
      <c r="S294" s="8"/>
      <c r="T294" s="8"/>
      <c r="U294" s="8"/>
      <c r="V294" s="132"/>
      <c r="W294" s="8"/>
      <c r="X294" s="8"/>
      <c r="Y294" s="9"/>
      <c r="Z294" s="8"/>
      <c r="AA294" s="8"/>
      <c r="AB294" s="8"/>
    </row>
    <row r="295" spans="1:28" outlineLevel="1" x14ac:dyDescent="0.15">
      <c r="A295" s="8"/>
      <c r="B295" s="8"/>
      <c r="C295" s="8"/>
      <c r="D295" s="8"/>
      <c r="E295" s="9"/>
      <c r="F295" s="8"/>
      <c r="G295" s="10"/>
      <c r="H295" s="132"/>
      <c r="I295" s="8"/>
      <c r="J295" s="9"/>
      <c r="K295" s="8"/>
      <c r="L295" s="9"/>
      <c r="M295" s="8"/>
      <c r="N295" s="132"/>
      <c r="O295" s="8"/>
      <c r="P295" s="9"/>
      <c r="Q295" s="8"/>
      <c r="R295" s="9"/>
      <c r="S295" s="8"/>
      <c r="T295" s="8"/>
      <c r="U295" s="8"/>
      <c r="V295" s="132"/>
      <c r="W295" s="8"/>
      <c r="X295" s="8"/>
      <c r="Y295" s="9"/>
      <c r="Z295" s="8"/>
      <c r="AA295" s="8"/>
      <c r="AB295" s="8"/>
    </row>
    <row r="296" spans="1:28" outlineLevel="1" x14ac:dyDescent="0.15">
      <c r="A296" s="8"/>
      <c r="B296" s="8"/>
      <c r="C296" s="8"/>
      <c r="D296" s="8"/>
      <c r="E296" s="9"/>
      <c r="F296" s="8"/>
      <c r="G296" s="10"/>
      <c r="H296" s="132"/>
      <c r="I296" s="8"/>
      <c r="J296" s="9"/>
      <c r="K296" s="8"/>
      <c r="L296" s="9"/>
      <c r="M296" s="8"/>
      <c r="N296" s="132"/>
      <c r="O296" s="8"/>
      <c r="P296" s="9"/>
      <c r="Q296" s="8"/>
      <c r="R296" s="9"/>
      <c r="S296" s="8"/>
      <c r="T296" s="8"/>
      <c r="U296" s="8"/>
      <c r="V296" s="132"/>
      <c r="W296" s="8"/>
      <c r="X296" s="8"/>
      <c r="Y296" s="9"/>
      <c r="Z296" s="8"/>
      <c r="AA296" s="8"/>
      <c r="AB296" s="8"/>
    </row>
    <row r="297" spans="1:28" outlineLevel="1" x14ac:dyDescent="0.15">
      <c r="A297" s="8"/>
      <c r="B297" s="8"/>
      <c r="C297" s="8"/>
      <c r="D297" s="8"/>
      <c r="E297" s="9"/>
      <c r="F297" s="8"/>
      <c r="G297" s="10"/>
      <c r="H297" s="132"/>
      <c r="I297" s="8"/>
      <c r="J297" s="9"/>
      <c r="K297" s="8"/>
      <c r="L297" s="9"/>
      <c r="M297" s="8"/>
      <c r="N297" s="132"/>
      <c r="O297" s="8"/>
      <c r="P297" s="9"/>
      <c r="Q297" s="8"/>
      <c r="R297" s="9"/>
      <c r="S297" s="8"/>
      <c r="T297" s="8"/>
      <c r="U297" s="8"/>
      <c r="V297" s="132"/>
      <c r="W297" s="8"/>
      <c r="X297" s="8"/>
      <c r="Y297" s="9"/>
      <c r="Z297" s="8"/>
      <c r="AA297" s="8"/>
      <c r="AB297" s="8"/>
    </row>
    <row r="298" spans="1:28" outlineLevel="1" x14ac:dyDescent="0.15">
      <c r="A298" s="8"/>
      <c r="B298" s="8"/>
      <c r="C298" s="8"/>
      <c r="D298" s="8"/>
      <c r="E298" s="9"/>
      <c r="F298" s="8"/>
      <c r="G298" s="10"/>
      <c r="H298" s="132"/>
      <c r="I298" s="8"/>
      <c r="J298" s="9"/>
      <c r="K298" s="8"/>
      <c r="L298" s="9"/>
      <c r="M298" s="8"/>
      <c r="N298" s="132"/>
      <c r="O298" s="8"/>
      <c r="P298" s="9"/>
      <c r="Q298" s="8"/>
      <c r="R298" s="9"/>
      <c r="S298" s="8"/>
      <c r="T298" s="8"/>
      <c r="U298" s="8"/>
      <c r="V298" s="132"/>
      <c r="W298" s="8"/>
      <c r="X298" s="8"/>
      <c r="Y298" s="9"/>
      <c r="Z298" s="8"/>
      <c r="AA298" s="8"/>
      <c r="AB298" s="8"/>
    </row>
    <row r="299" spans="1:28" outlineLevel="1" x14ac:dyDescent="0.15">
      <c r="A299" s="8"/>
      <c r="B299" s="8"/>
      <c r="C299" s="8"/>
      <c r="D299" s="8"/>
      <c r="E299" s="9"/>
      <c r="F299" s="8"/>
      <c r="G299" s="10"/>
      <c r="H299" s="132"/>
      <c r="I299" s="8"/>
      <c r="J299" s="9"/>
      <c r="K299" s="8"/>
      <c r="L299" s="9"/>
      <c r="M299" s="8"/>
      <c r="N299" s="132"/>
      <c r="O299" s="8"/>
      <c r="P299" s="9"/>
      <c r="Q299" s="8"/>
      <c r="R299" s="9"/>
      <c r="S299" s="8"/>
      <c r="T299" s="8"/>
      <c r="U299" s="8"/>
      <c r="V299" s="132"/>
      <c r="W299" s="8"/>
      <c r="X299" s="8"/>
      <c r="Y299" s="9"/>
      <c r="Z299" s="8"/>
      <c r="AA299" s="8"/>
      <c r="AB299" s="8"/>
    </row>
    <row r="300" spans="1:28" outlineLevel="1" x14ac:dyDescent="0.15">
      <c r="A300" s="8"/>
      <c r="B300" s="8"/>
      <c r="C300" s="8"/>
      <c r="D300" s="8"/>
      <c r="E300" s="9"/>
      <c r="F300" s="8"/>
      <c r="G300" s="10"/>
      <c r="H300" s="132"/>
      <c r="I300" s="8"/>
      <c r="J300" s="9"/>
      <c r="K300" s="8"/>
      <c r="L300" s="9"/>
      <c r="M300" s="8"/>
      <c r="N300" s="132"/>
      <c r="O300" s="8"/>
      <c r="P300" s="9"/>
      <c r="Q300" s="8"/>
      <c r="R300" s="9"/>
      <c r="S300" s="8"/>
      <c r="T300" s="8"/>
      <c r="U300" s="8"/>
      <c r="V300" s="132"/>
      <c r="W300" s="8"/>
      <c r="X300" s="8"/>
      <c r="Y300" s="9"/>
      <c r="Z300" s="8"/>
      <c r="AA300" s="8"/>
      <c r="AB300" s="8"/>
    </row>
    <row r="301" spans="1:28" outlineLevel="1" x14ac:dyDescent="0.15">
      <c r="A301" s="8"/>
      <c r="B301" s="8"/>
      <c r="C301" s="8"/>
      <c r="D301" s="8"/>
      <c r="E301" s="9"/>
      <c r="F301" s="8"/>
      <c r="G301" s="10"/>
      <c r="H301" s="11"/>
      <c r="I301" s="8"/>
      <c r="J301" s="9"/>
      <c r="K301" s="8"/>
      <c r="L301" s="9"/>
      <c r="M301" s="8"/>
      <c r="N301" s="11"/>
      <c r="O301" s="8"/>
      <c r="P301" s="9"/>
      <c r="Q301" s="8"/>
      <c r="R301" s="9"/>
      <c r="S301" s="8"/>
      <c r="T301" s="8"/>
      <c r="U301" s="8"/>
      <c r="V301" s="132"/>
      <c r="W301" s="8"/>
      <c r="X301" s="8"/>
      <c r="Y301" s="9"/>
      <c r="Z301" s="8"/>
      <c r="AA301" s="8"/>
      <c r="AB301" s="8"/>
    </row>
    <row r="302" spans="1:28" outlineLevel="1" x14ac:dyDescent="0.15">
      <c r="A302" s="8"/>
      <c r="B302" s="8"/>
      <c r="C302" s="8"/>
      <c r="D302" s="8"/>
      <c r="E302" s="9"/>
      <c r="F302" s="8"/>
      <c r="G302" s="10"/>
      <c r="H302" s="132"/>
      <c r="I302" s="8"/>
      <c r="J302" s="9"/>
      <c r="K302" s="8"/>
      <c r="L302" s="9"/>
      <c r="M302" s="8"/>
      <c r="N302" s="132"/>
      <c r="O302" s="8"/>
      <c r="P302" s="9"/>
      <c r="Q302" s="8"/>
      <c r="R302" s="9"/>
      <c r="S302" s="8"/>
      <c r="T302" s="8"/>
      <c r="U302" s="8"/>
      <c r="V302" s="132"/>
      <c r="W302" s="8"/>
      <c r="X302" s="8"/>
      <c r="Y302" s="9"/>
      <c r="Z302" s="8"/>
      <c r="AA302" s="8"/>
      <c r="AB302" s="8"/>
    </row>
    <row r="303" spans="1:28" x14ac:dyDescent="0.15">
      <c r="A303" s="8"/>
      <c r="B303" s="8"/>
      <c r="C303" s="8"/>
      <c r="D303" s="8"/>
      <c r="E303" s="9"/>
      <c r="F303" s="8"/>
      <c r="G303" s="10"/>
      <c r="H303" s="132"/>
      <c r="I303" s="8"/>
      <c r="J303" s="9"/>
      <c r="K303" s="8"/>
      <c r="L303" s="9"/>
      <c r="M303" s="8"/>
      <c r="N303" s="132"/>
      <c r="O303" s="8"/>
      <c r="P303" s="9"/>
      <c r="Q303" s="8"/>
      <c r="R303" s="9"/>
      <c r="S303" s="8"/>
      <c r="T303" s="8"/>
      <c r="U303" s="8"/>
      <c r="V303" s="132"/>
      <c r="W303" s="8"/>
      <c r="X303" s="8"/>
      <c r="Y303" s="9"/>
      <c r="Z303" s="8"/>
      <c r="AA303" s="8"/>
      <c r="AB303" s="8"/>
    </row>
    <row r="304" spans="1:28" x14ac:dyDescent="0.15">
      <c r="A304" s="8"/>
      <c r="B304" s="8"/>
      <c r="C304" s="8"/>
      <c r="D304" s="8"/>
      <c r="E304" s="9"/>
      <c r="F304" s="8"/>
      <c r="G304" s="10"/>
      <c r="H304" s="11"/>
      <c r="I304" s="8"/>
      <c r="J304" s="9"/>
      <c r="K304" s="8"/>
      <c r="L304" s="9"/>
      <c r="M304" s="8"/>
      <c r="N304" s="11"/>
      <c r="O304" s="8"/>
      <c r="P304" s="9"/>
      <c r="Q304" s="8"/>
      <c r="R304" s="9"/>
      <c r="S304" s="8"/>
      <c r="T304" s="8"/>
      <c r="U304" s="8"/>
      <c r="V304" s="132"/>
      <c r="W304" s="8"/>
      <c r="X304" s="8"/>
      <c r="Y304" s="9"/>
      <c r="Z304" s="8"/>
      <c r="AA304" s="8"/>
      <c r="AB304" s="8"/>
    </row>
    <row r="305" spans="1:28" x14ac:dyDescent="0.15">
      <c r="A305" s="8"/>
      <c r="B305" s="8"/>
      <c r="C305" s="8"/>
      <c r="D305" s="8"/>
      <c r="E305" s="9"/>
      <c r="F305" s="8"/>
      <c r="G305" s="10"/>
      <c r="H305" s="11"/>
      <c r="I305" s="8"/>
      <c r="J305" s="9"/>
      <c r="K305" s="8"/>
      <c r="L305" s="9"/>
      <c r="M305" s="8"/>
      <c r="N305" s="11"/>
      <c r="O305" s="8"/>
      <c r="P305" s="9"/>
      <c r="Q305" s="8"/>
      <c r="R305" s="9"/>
      <c r="S305" s="8"/>
      <c r="T305" s="8"/>
      <c r="U305" s="8"/>
      <c r="V305" s="11"/>
      <c r="W305" s="8"/>
      <c r="X305" s="8"/>
      <c r="Y305" s="9"/>
      <c r="Z305" s="8"/>
      <c r="AA305" s="8"/>
      <c r="AB305" s="8"/>
    </row>
    <row r="306" spans="1:28" x14ac:dyDescent="0.15">
      <c r="A306" s="8"/>
      <c r="B306" s="8"/>
      <c r="C306" s="8"/>
      <c r="D306" s="8"/>
      <c r="E306" s="9"/>
      <c r="F306" s="8"/>
      <c r="G306" s="10"/>
      <c r="H306" s="11"/>
      <c r="I306" s="8"/>
      <c r="J306" s="9"/>
      <c r="K306" s="8"/>
      <c r="L306" s="9"/>
      <c r="M306" s="8"/>
      <c r="N306" s="11"/>
      <c r="O306" s="8"/>
      <c r="P306" s="9"/>
      <c r="Q306" s="8"/>
      <c r="R306" s="9"/>
      <c r="S306" s="8"/>
      <c r="T306" s="8"/>
      <c r="U306" s="8"/>
      <c r="V306" s="11"/>
      <c r="W306" s="8"/>
      <c r="X306" s="8"/>
      <c r="Y306" s="9"/>
      <c r="Z306" s="8"/>
      <c r="AA306" s="8"/>
      <c r="AB306" s="8"/>
    </row>
    <row r="307" spans="1:28" x14ac:dyDescent="0.15">
      <c r="A307" s="8"/>
      <c r="B307" s="8"/>
      <c r="C307" s="8"/>
      <c r="D307" s="8"/>
      <c r="E307" s="9"/>
      <c r="F307" s="8"/>
      <c r="G307" s="10"/>
      <c r="H307" s="11"/>
      <c r="I307" s="8"/>
      <c r="J307" s="9"/>
      <c r="K307" s="8"/>
      <c r="L307" s="9"/>
      <c r="M307" s="8"/>
      <c r="N307" s="11"/>
      <c r="O307" s="8"/>
      <c r="P307" s="9"/>
      <c r="Q307" s="8"/>
      <c r="R307" s="9"/>
      <c r="S307" s="8"/>
      <c r="T307" s="8"/>
      <c r="U307" s="8"/>
      <c r="V307" s="11"/>
      <c r="W307" s="8"/>
      <c r="X307" s="8"/>
      <c r="Y307" s="9"/>
      <c r="Z307" s="8"/>
      <c r="AA307" s="8"/>
      <c r="AB307" s="8"/>
    </row>
    <row r="308" spans="1:28" x14ac:dyDescent="0.15">
      <c r="A308" s="8"/>
      <c r="B308" s="8"/>
      <c r="C308" s="8"/>
      <c r="D308" s="8"/>
      <c r="E308" s="9"/>
      <c r="F308" s="8"/>
      <c r="G308" s="10"/>
      <c r="H308" s="11"/>
      <c r="I308" s="8"/>
      <c r="J308" s="9"/>
      <c r="K308" s="8"/>
      <c r="L308" s="9"/>
      <c r="M308" s="8"/>
      <c r="N308" s="11"/>
      <c r="O308" s="8"/>
      <c r="P308" s="9"/>
      <c r="Q308" s="8"/>
      <c r="R308" s="9"/>
      <c r="S308" s="8"/>
      <c r="T308" s="8"/>
      <c r="U308" s="8"/>
      <c r="V308" s="11"/>
      <c r="W308" s="8"/>
      <c r="X308" s="8"/>
      <c r="Y308" s="9"/>
      <c r="Z308" s="8"/>
      <c r="AA308" s="8"/>
      <c r="AB308" s="8"/>
    </row>
    <row r="309" spans="1:28" x14ac:dyDescent="0.15">
      <c r="A309" s="8"/>
      <c r="B309" s="8"/>
      <c r="C309" s="8"/>
      <c r="D309" s="8"/>
      <c r="E309" s="9"/>
      <c r="F309" s="8"/>
      <c r="G309" s="10"/>
      <c r="H309" s="11"/>
      <c r="I309" s="8"/>
      <c r="J309" s="9"/>
      <c r="K309" s="8"/>
      <c r="L309" s="9"/>
      <c r="M309" s="8"/>
      <c r="N309" s="11"/>
      <c r="O309" s="8"/>
      <c r="P309" s="9"/>
      <c r="Q309" s="8"/>
      <c r="R309" s="9"/>
      <c r="S309" s="8"/>
      <c r="T309" s="8"/>
      <c r="U309" s="8"/>
      <c r="V309" s="11"/>
      <c r="W309" s="8"/>
      <c r="X309" s="8"/>
      <c r="Y309" s="9"/>
      <c r="Z309" s="8"/>
      <c r="AA309" s="8"/>
      <c r="AB309" s="8"/>
    </row>
    <row r="310" spans="1:28" x14ac:dyDescent="0.15">
      <c r="A310" s="8"/>
      <c r="B310" s="8"/>
      <c r="C310" s="8"/>
      <c r="D310" s="8"/>
      <c r="E310" s="9"/>
      <c r="F310" s="8"/>
      <c r="G310" s="10"/>
      <c r="H310" s="11"/>
      <c r="I310" s="8"/>
      <c r="J310" s="9"/>
      <c r="K310" s="8"/>
      <c r="L310" s="9"/>
      <c r="M310" s="8"/>
      <c r="N310" s="11"/>
      <c r="O310" s="8"/>
      <c r="P310" s="9"/>
      <c r="Q310" s="8"/>
      <c r="R310" s="9"/>
      <c r="S310" s="8"/>
      <c r="T310" s="8"/>
      <c r="U310" s="8"/>
      <c r="V310" s="11"/>
      <c r="W310" s="8"/>
      <c r="X310" s="8"/>
      <c r="Y310" s="9"/>
      <c r="Z310" s="8"/>
      <c r="AA310" s="8"/>
      <c r="AB310" s="8"/>
    </row>
    <row r="311" spans="1:28" x14ac:dyDescent="0.15">
      <c r="A311" s="8"/>
      <c r="B311" s="8"/>
      <c r="C311" s="8"/>
      <c r="D311" s="8"/>
      <c r="E311" s="9"/>
      <c r="F311" s="8"/>
      <c r="G311" s="10"/>
      <c r="H311" s="11"/>
      <c r="I311" s="8"/>
      <c r="J311" s="9"/>
      <c r="K311" s="8"/>
      <c r="L311" s="9"/>
      <c r="M311" s="8"/>
      <c r="N311" s="11"/>
      <c r="O311" s="8"/>
      <c r="P311" s="9"/>
      <c r="Q311" s="8"/>
      <c r="R311" s="9"/>
      <c r="S311" s="8"/>
      <c r="T311" s="8"/>
      <c r="U311" s="8"/>
      <c r="V311" s="11"/>
      <c r="W311" s="8"/>
      <c r="X311" s="8"/>
      <c r="Y311" s="9"/>
      <c r="Z311" s="8"/>
      <c r="AA311" s="8"/>
      <c r="AB311" s="8"/>
    </row>
    <row r="312" spans="1:28" x14ac:dyDescent="0.15">
      <c r="A312" s="8"/>
      <c r="B312" s="8"/>
      <c r="C312" s="8"/>
      <c r="D312" s="8"/>
      <c r="E312" s="9"/>
      <c r="F312" s="8"/>
      <c r="G312" s="10"/>
      <c r="H312" s="11"/>
      <c r="I312" s="8"/>
      <c r="J312" s="9"/>
      <c r="K312" s="8"/>
      <c r="L312" s="9"/>
      <c r="M312" s="8"/>
      <c r="N312" s="11"/>
      <c r="O312" s="8"/>
      <c r="P312" s="9"/>
      <c r="Q312" s="8"/>
      <c r="R312" s="9"/>
      <c r="S312" s="8"/>
      <c r="T312" s="8"/>
      <c r="U312" s="8"/>
      <c r="V312" s="11"/>
      <c r="W312" s="8"/>
      <c r="X312" s="8"/>
      <c r="Y312" s="9"/>
      <c r="Z312" s="8"/>
      <c r="AA312" s="8"/>
      <c r="AB312" s="8"/>
    </row>
    <row r="313" spans="1:28" x14ac:dyDescent="0.15">
      <c r="A313" s="8"/>
      <c r="B313" s="8"/>
      <c r="C313" s="8"/>
      <c r="D313" s="8"/>
      <c r="E313" s="9"/>
      <c r="F313" s="8"/>
      <c r="G313" s="10"/>
      <c r="H313" s="132"/>
      <c r="I313" s="8"/>
      <c r="J313" s="9"/>
      <c r="K313" s="8"/>
      <c r="L313" s="9"/>
      <c r="M313" s="8"/>
      <c r="N313" s="132"/>
      <c r="O313" s="8"/>
      <c r="P313" s="9"/>
      <c r="Q313" s="8"/>
      <c r="R313" s="9"/>
      <c r="S313" s="8"/>
      <c r="T313" s="8"/>
      <c r="U313" s="8"/>
      <c r="V313" s="11"/>
      <c r="W313" s="8"/>
      <c r="X313" s="8"/>
      <c r="Y313" s="9"/>
      <c r="Z313" s="8"/>
      <c r="AA313" s="8"/>
      <c r="AB313" s="8"/>
    </row>
    <row r="314" spans="1:28" x14ac:dyDescent="0.15">
      <c r="A314" s="8"/>
      <c r="B314" s="8"/>
      <c r="C314" s="8"/>
      <c r="D314" s="8"/>
      <c r="E314" s="9"/>
      <c r="F314" s="8"/>
      <c r="G314" s="10"/>
      <c r="H314" s="132"/>
      <c r="I314" s="8"/>
      <c r="J314" s="9"/>
      <c r="K314" s="8"/>
      <c r="L314" s="9"/>
      <c r="M314" s="8"/>
      <c r="N314" s="132"/>
      <c r="O314" s="8"/>
      <c r="P314" s="9"/>
      <c r="Q314" s="8"/>
      <c r="R314" s="9"/>
      <c r="S314" s="8"/>
      <c r="T314" s="8"/>
      <c r="U314" s="8"/>
      <c r="V314" s="11"/>
      <c r="W314" s="8"/>
      <c r="X314" s="8"/>
      <c r="Y314" s="9"/>
      <c r="Z314" s="8"/>
      <c r="AA314" s="8"/>
      <c r="AB314" s="8"/>
    </row>
    <row r="315" spans="1:28" x14ac:dyDescent="0.15">
      <c r="A315" s="8"/>
      <c r="B315" s="8"/>
      <c r="C315" s="8"/>
      <c r="D315" s="8"/>
      <c r="E315" s="9"/>
      <c r="F315" s="8"/>
      <c r="G315" s="10"/>
      <c r="H315" s="132"/>
      <c r="I315" s="8"/>
      <c r="J315" s="9"/>
      <c r="K315" s="8"/>
      <c r="L315" s="9"/>
      <c r="M315" s="8"/>
      <c r="N315" s="132"/>
      <c r="O315" s="8"/>
      <c r="P315" s="9"/>
      <c r="Q315" s="8"/>
      <c r="R315" s="9"/>
      <c r="S315" s="8"/>
      <c r="T315" s="8"/>
      <c r="U315" s="8"/>
      <c r="V315" s="11"/>
      <c r="W315" s="8"/>
      <c r="X315" s="8"/>
      <c r="Y315" s="9"/>
      <c r="Z315" s="8"/>
      <c r="AA315" s="8"/>
      <c r="AB315" s="8"/>
    </row>
    <row r="316" spans="1:28" x14ac:dyDescent="0.15">
      <c r="A316" s="8"/>
      <c r="B316" s="8"/>
      <c r="C316" s="8"/>
      <c r="D316" s="8"/>
      <c r="E316" s="9"/>
      <c r="F316" s="8"/>
      <c r="G316" s="10"/>
      <c r="H316" s="11"/>
      <c r="I316" s="8"/>
      <c r="J316" s="9"/>
      <c r="K316" s="8"/>
      <c r="L316" s="9"/>
      <c r="M316" s="8"/>
      <c r="N316" s="11"/>
      <c r="O316" s="8"/>
      <c r="P316" s="9"/>
      <c r="Q316" s="8"/>
      <c r="R316" s="9"/>
      <c r="S316" s="8"/>
      <c r="T316" s="8"/>
      <c r="U316" s="8"/>
      <c r="V316" s="11"/>
      <c r="W316" s="8"/>
      <c r="X316" s="8"/>
      <c r="Y316" s="9"/>
      <c r="Z316" s="8"/>
      <c r="AA316" s="8"/>
      <c r="AB316" s="8"/>
    </row>
    <row r="317" spans="1:28" x14ac:dyDescent="0.15">
      <c r="A317" s="8"/>
      <c r="B317" s="8"/>
      <c r="C317" s="8"/>
      <c r="D317" s="8"/>
      <c r="E317" s="9"/>
      <c r="F317" s="8"/>
      <c r="G317" s="10"/>
      <c r="H317" s="11"/>
      <c r="I317" s="8"/>
      <c r="J317" s="9"/>
      <c r="K317" s="8"/>
      <c r="L317" s="9"/>
      <c r="M317" s="8"/>
      <c r="N317" s="11"/>
      <c r="O317" s="8"/>
      <c r="P317" s="9"/>
      <c r="Q317" s="8"/>
      <c r="R317" s="9"/>
      <c r="S317" s="8"/>
      <c r="T317" s="8"/>
      <c r="U317" s="8"/>
      <c r="V317" s="11"/>
      <c r="W317" s="8"/>
      <c r="X317" s="8"/>
      <c r="Y317" s="9"/>
      <c r="Z317" s="8"/>
      <c r="AA317" s="8"/>
      <c r="AB317" s="8"/>
    </row>
    <row r="318" spans="1:28" x14ac:dyDescent="0.15">
      <c r="A318" s="8"/>
      <c r="B318" s="8"/>
      <c r="C318" s="8"/>
      <c r="D318" s="8"/>
      <c r="E318" s="9"/>
      <c r="F318" s="8"/>
      <c r="G318" s="10"/>
      <c r="H318" s="11"/>
      <c r="I318" s="8"/>
      <c r="J318" s="9"/>
      <c r="K318" s="8"/>
      <c r="L318" s="9"/>
      <c r="M318" s="8"/>
      <c r="N318" s="11"/>
      <c r="O318" s="8"/>
      <c r="P318" s="9"/>
      <c r="Q318" s="8"/>
      <c r="R318" s="9"/>
      <c r="S318" s="8"/>
      <c r="T318" s="8"/>
      <c r="U318" s="8"/>
      <c r="V318" s="11"/>
      <c r="W318" s="8"/>
      <c r="X318" s="8"/>
      <c r="Y318" s="9"/>
      <c r="Z318" s="8"/>
      <c r="AA318" s="8"/>
      <c r="AB318" s="8"/>
    </row>
    <row r="319" spans="1:28" x14ac:dyDescent="0.15">
      <c r="A319" s="8"/>
      <c r="B319" s="8"/>
      <c r="C319" s="8"/>
      <c r="D319" s="8"/>
      <c r="E319" s="9"/>
      <c r="F319" s="8"/>
      <c r="G319" s="10"/>
      <c r="H319" s="11"/>
      <c r="I319" s="8"/>
      <c r="J319" s="9"/>
      <c r="K319" s="8"/>
      <c r="L319" s="9"/>
      <c r="M319" s="8"/>
      <c r="N319" s="11"/>
      <c r="O319" s="8"/>
      <c r="P319" s="9"/>
      <c r="Q319" s="8"/>
      <c r="R319" s="9"/>
      <c r="S319" s="8"/>
      <c r="T319" s="8"/>
      <c r="U319" s="8"/>
      <c r="V319" s="11"/>
      <c r="W319" s="8"/>
      <c r="X319" s="8"/>
      <c r="Y319" s="9"/>
      <c r="Z319" s="8"/>
      <c r="AA319" s="8"/>
      <c r="AB319" s="8"/>
    </row>
    <row r="320" spans="1:28" x14ac:dyDescent="0.15">
      <c r="A320" s="8"/>
      <c r="B320" s="8"/>
      <c r="C320" s="8"/>
      <c r="D320" s="8"/>
      <c r="E320" s="9"/>
      <c r="F320" s="8"/>
      <c r="G320" s="10"/>
      <c r="H320" s="11"/>
      <c r="I320" s="8"/>
      <c r="J320" s="9"/>
      <c r="K320" s="8"/>
      <c r="L320" s="9"/>
      <c r="M320" s="8"/>
      <c r="N320" s="11"/>
      <c r="O320" s="8"/>
      <c r="P320" s="9"/>
      <c r="Q320" s="8"/>
      <c r="R320" s="9"/>
      <c r="S320" s="8"/>
      <c r="T320" s="8"/>
      <c r="U320" s="8"/>
      <c r="V320" s="132"/>
      <c r="W320" s="8"/>
      <c r="X320" s="8"/>
      <c r="Y320" s="9"/>
      <c r="Z320" s="8"/>
      <c r="AA320" s="8"/>
      <c r="AB320" s="8"/>
    </row>
    <row r="321" spans="1:28" x14ac:dyDescent="0.15">
      <c r="A321" s="8"/>
      <c r="B321" s="8"/>
      <c r="C321" s="8"/>
      <c r="D321" s="8"/>
      <c r="E321" s="9"/>
      <c r="F321" s="8"/>
      <c r="G321" s="10"/>
      <c r="H321" s="11"/>
      <c r="I321" s="8"/>
      <c r="J321" s="9"/>
      <c r="K321" s="8"/>
      <c r="L321" s="9"/>
      <c r="M321" s="8"/>
      <c r="N321" s="11"/>
      <c r="O321" s="8"/>
      <c r="P321" s="9"/>
      <c r="Q321" s="8"/>
      <c r="R321" s="9"/>
      <c r="S321" s="8"/>
      <c r="T321" s="8"/>
      <c r="U321" s="8"/>
      <c r="V321" s="11"/>
      <c r="W321" s="8"/>
      <c r="X321" s="8"/>
      <c r="Y321" s="9"/>
      <c r="Z321" s="8"/>
      <c r="AA321" s="8"/>
      <c r="AB321" s="8"/>
    </row>
    <row r="322" spans="1:28" x14ac:dyDescent="0.15">
      <c r="A322" s="8"/>
      <c r="B322" s="8"/>
      <c r="C322" s="8"/>
      <c r="D322" s="8"/>
      <c r="E322" s="9"/>
      <c r="F322" s="8"/>
      <c r="G322" s="10"/>
      <c r="H322" s="11"/>
      <c r="I322" s="8"/>
      <c r="J322" s="9"/>
      <c r="K322" s="8"/>
      <c r="L322" s="9"/>
      <c r="M322" s="8"/>
      <c r="N322" s="11"/>
      <c r="O322" s="8"/>
      <c r="P322" s="9"/>
      <c r="Q322" s="8"/>
      <c r="R322" s="9"/>
      <c r="S322" s="8"/>
      <c r="T322" s="8"/>
      <c r="U322" s="8"/>
      <c r="V322" s="11"/>
      <c r="W322" s="8"/>
      <c r="X322" s="8"/>
      <c r="Y322" s="9"/>
      <c r="Z322" s="8"/>
      <c r="AA322" s="8"/>
      <c r="AB322" s="8"/>
    </row>
    <row r="323" spans="1:28" x14ac:dyDescent="0.15">
      <c r="A323" s="8"/>
      <c r="B323" s="8"/>
      <c r="C323" s="8"/>
      <c r="D323" s="8"/>
      <c r="E323" s="9"/>
      <c r="F323" s="8"/>
      <c r="G323" s="10"/>
      <c r="H323" s="11"/>
      <c r="I323" s="8"/>
      <c r="J323" s="9"/>
      <c r="K323" s="8"/>
      <c r="L323" s="9"/>
      <c r="M323" s="8"/>
      <c r="N323" s="11"/>
      <c r="O323" s="8"/>
      <c r="P323" s="9"/>
      <c r="Q323" s="8"/>
      <c r="R323" s="9"/>
      <c r="S323" s="8"/>
      <c r="T323" s="8"/>
      <c r="U323" s="8"/>
      <c r="V323" s="11"/>
      <c r="W323" s="8"/>
      <c r="X323" s="8"/>
      <c r="Y323" s="9"/>
      <c r="Z323" s="8"/>
      <c r="AA323" s="8"/>
      <c r="AB323" s="8"/>
    </row>
    <row r="324" spans="1:28" x14ac:dyDescent="0.15">
      <c r="A324" s="8"/>
      <c r="B324" s="8"/>
      <c r="C324" s="8"/>
      <c r="D324" s="8"/>
      <c r="E324" s="9"/>
      <c r="F324" s="8"/>
      <c r="G324" s="10"/>
      <c r="H324" s="11"/>
      <c r="I324" s="8"/>
      <c r="J324" s="9"/>
      <c r="K324" s="8"/>
      <c r="L324" s="9"/>
      <c r="M324" s="8"/>
      <c r="N324" s="11"/>
      <c r="O324" s="8"/>
      <c r="P324" s="9"/>
      <c r="Q324" s="8"/>
      <c r="R324" s="9"/>
      <c r="S324" s="8"/>
      <c r="T324" s="8"/>
      <c r="U324" s="8"/>
      <c r="V324" s="11"/>
      <c r="W324" s="8"/>
      <c r="X324" s="8"/>
      <c r="Y324" s="9"/>
      <c r="Z324" s="8"/>
      <c r="AA324" s="8"/>
      <c r="AB324" s="8"/>
    </row>
    <row r="325" spans="1:28" x14ac:dyDescent="0.15">
      <c r="A325" s="8"/>
      <c r="B325" s="8"/>
      <c r="C325" s="8"/>
      <c r="D325" s="8"/>
      <c r="E325" s="9"/>
      <c r="F325" s="8"/>
      <c r="G325" s="10"/>
      <c r="H325" s="11"/>
      <c r="I325" s="8"/>
      <c r="J325" s="9"/>
      <c r="K325" s="8"/>
      <c r="L325" s="9"/>
      <c r="M325" s="8"/>
      <c r="N325" s="11"/>
      <c r="O325" s="8"/>
      <c r="P325" s="9"/>
      <c r="Q325" s="8"/>
      <c r="R325" s="9"/>
      <c r="S325" s="8"/>
      <c r="T325" s="8"/>
      <c r="U325" s="8"/>
      <c r="V325" s="132"/>
      <c r="W325" s="8"/>
      <c r="X325" s="8"/>
      <c r="Y325" s="9"/>
      <c r="Z325" s="8"/>
      <c r="AA325" s="8"/>
      <c r="AB325" s="8"/>
    </row>
    <row r="326" spans="1:28" x14ac:dyDescent="0.15">
      <c r="A326" s="8"/>
      <c r="B326" s="8"/>
      <c r="C326" s="8"/>
      <c r="D326" s="8"/>
      <c r="E326" s="9"/>
      <c r="F326" s="8"/>
      <c r="G326" s="10"/>
      <c r="H326" s="11"/>
      <c r="I326" s="8"/>
      <c r="J326" s="9"/>
      <c r="K326" s="8"/>
      <c r="L326" s="9"/>
      <c r="M326" s="8"/>
      <c r="N326" s="11"/>
      <c r="O326" s="8"/>
      <c r="P326" s="9"/>
      <c r="Q326" s="8"/>
      <c r="R326" s="9"/>
      <c r="S326" s="8"/>
      <c r="T326" s="8"/>
      <c r="U326" s="8"/>
      <c r="V326" s="132"/>
      <c r="W326" s="8"/>
      <c r="X326" s="8"/>
      <c r="Y326" s="9"/>
      <c r="Z326" s="8"/>
      <c r="AA326" s="8"/>
      <c r="AB326" s="8"/>
    </row>
    <row r="327" spans="1:28" x14ac:dyDescent="0.15">
      <c r="A327" s="8"/>
      <c r="B327" s="8"/>
      <c r="C327" s="8"/>
      <c r="D327" s="8"/>
      <c r="E327" s="9"/>
      <c r="F327" s="8"/>
      <c r="G327" s="10"/>
      <c r="H327" s="11"/>
      <c r="I327" s="8"/>
      <c r="J327" s="9"/>
      <c r="K327" s="8"/>
      <c r="L327" s="9"/>
      <c r="M327" s="8"/>
      <c r="N327" s="11"/>
      <c r="O327" s="8"/>
      <c r="P327" s="9"/>
      <c r="Q327" s="8"/>
      <c r="R327" s="9"/>
      <c r="S327" s="8"/>
      <c r="T327" s="8"/>
      <c r="U327" s="8"/>
      <c r="V327" s="132"/>
      <c r="W327" s="8"/>
      <c r="X327" s="8"/>
      <c r="Y327" s="9"/>
      <c r="Z327" s="8"/>
      <c r="AA327" s="8"/>
      <c r="AB327" s="8"/>
    </row>
    <row r="328" spans="1:28" x14ac:dyDescent="0.15">
      <c r="A328" s="8"/>
      <c r="B328" s="8"/>
      <c r="C328" s="8"/>
      <c r="D328" s="8"/>
      <c r="E328" s="9"/>
      <c r="F328" s="8"/>
      <c r="G328" s="10"/>
      <c r="H328" s="132"/>
      <c r="I328" s="8"/>
      <c r="J328" s="9"/>
      <c r="K328" s="8"/>
      <c r="L328" s="9"/>
      <c r="M328" s="8"/>
      <c r="N328" s="132"/>
      <c r="O328" s="8"/>
      <c r="P328" s="9"/>
      <c r="Q328" s="8"/>
      <c r="R328" s="9"/>
      <c r="S328" s="8"/>
      <c r="T328" s="8"/>
      <c r="U328" s="8"/>
      <c r="V328" s="132"/>
      <c r="W328" s="8"/>
      <c r="X328" s="8"/>
      <c r="Y328" s="9"/>
      <c r="Z328" s="8"/>
      <c r="AA328" s="8"/>
      <c r="AB328" s="8"/>
    </row>
    <row r="329" spans="1:28" x14ac:dyDescent="0.15">
      <c r="A329" s="8"/>
      <c r="B329" s="8"/>
      <c r="C329" s="8"/>
      <c r="D329" s="8"/>
      <c r="E329" s="9"/>
      <c r="F329" s="8"/>
      <c r="G329" s="10"/>
      <c r="H329" s="132"/>
      <c r="I329" s="8"/>
      <c r="J329" s="9"/>
      <c r="K329" s="8"/>
      <c r="L329" s="9"/>
      <c r="M329" s="8"/>
      <c r="N329" s="132"/>
      <c r="O329" s="8"/>
      <c r="P329" s="9"/>
      <c r="Q329" s="8"/>
      <c r="R329" s="9"/>
      <c r="S329" s="8"/>
      <c r="T329" s="8"/>
      <c r="U329" s="8"/>
      <c r="V329" s="132"/>
      <c r="W329" s="8"/>
      <c r="X329" s="8"/>
      <c r="Y329" s="9"/>
      <c r="Z329" s="8"/>
      <c r="AA329" s="8"/>
      <c r="AB329" s="8"/>
    </row>
    <row r="330" spans="1:28" x14ac:dyDescent="0.15">
      <c r="A330" s="8"/>
      <c r="B330" s="8"/>
      <c r="C330" s="8"/>
      <c r="D330" s="8"/>
      <c r="E330" s="9"/>
      <c r="F330" s="8"/>
      <c r="G330" s="10"/>
      <c r="H330" s="11"/>
      <c r="I330" s="8"/>
      <c r="J330" s="9"/>
      <c r="K330" s="8"/>
      <c r="L330" s="9"/>
      <c r="M330" s="8"/>
      <c r="N330" s="11"/>
      <c r="O330" s="8"/>
      <c r="P330" s="9"/>
      <c r="Q330" s="8"/>
      <c r="R330" s="9"/>
      <c r="S330" s="8"/>
      <c r="T330" s="8"/>
      <c r="U330" s="8"/>
      <c r="V330" s="11"/>
      <c r="W330" s="8"/>
      <c r="X330" s="8"/>
      <c r="Y330" s="9"/>
      <c r="Z330" s="8"/>
      <c r="AA330" s="8"/>
      <c r="AB330" s="8"/>
    </row>
    <row r="331" spans="1:28" x14ac:dyDescent="0.15">
      <c r="A331" s="8"/>
      <c r="B331" s="8"/>
      <c r="C331" s="8"/>
      <c r="D331" s="8"/>
      <c r="E331" s="9"/>
      <c r="F331" s="8"/>
      <c r="G331" s="10"/>
      <c r="H331" s="11"/>
      <c r="I331" s="8"/>
      <c r="J331" s="9"/>
      <c r="K331" s="8"/>
      <c r="L331" s="9"/>
      <c r="M331" s="8"/>
      <c r="N331" s="11"/>
      <c r="O331" s="8"/>
      <c r="P331" s="9"/>
      <c r="Q331" s="8"/>
      <c r="R331" s="9"/>
      <c r="S331" s="8"/>
      <c r="T331" s="8"/>
      <c r="U331" s="8"/>
      <c r="V331" s="11"/>
      <c r="W331" s="8"/>
      <c r="X331" s="8"/>
      <c r="Y331" s="9"/>
      <c r="Z331" s="8"/>
      <c r="AA331" s="8"/>
      <c r="AB331" s="8"/>
    </row>
    <row r="332" spans="1:28" x14ac:dyDescent="0.15">
      <c r="A332" s="8"/>
      <c r="B332" s="8"/>
      <c r="C332" s="8"/>
      <c r="D332" s="8"/>
      <c r="E332" s="9"/>
      <c r="F332" s="8"/>
      <c r="G332" s="10"/>
      <c r="H332" s="132"/>
      <c r="I332" s="8"/>
      <c r="J332" s="9"/>
      <c r="K332" s="8"/>
      <c r="L332" s="9"/>
      <c r="M332" s="8"/>
      <c r="N332" s="132"/>
      <c r="O332" s="8"/>
      <c r="P332" s="9"/>
      <c r="Q332" s="8"/>
      <c r="R332" s="9"/>
      <c r="S332" s="8"/>
      <c r="T332" s="8"/>
      <c r="U332" s="8"/>
      <c r="V332" s="11"/>
      <c r="W332" s="8"/>
      <c r="X332" s="8"/>
      <c r="Y332" s="9"/>
      <c r="Z332" s="8"/>
      <c r="AA332" s="8"/>
      <c r="AB332" s="8"/>
    </row>
    <row r="333" spans="1:28" x14ac:dyDescent="0.15">
      <c r="A333" s="8"/>
      <c r="B333" s="8"/>
      <c r="C333" s="8"/>
      <c r="D333" s="8"/>
      <c r="E333" s="9"/>
      <c r="F333" s="8"/>
      <c r="G333" s="10"/>
      <c r="H333" s="132"/>
      <c r="I333" s="8"/>
      <c r="J333" s="9"/>
      <c r="K333" s="8"/>
      <c r="L333" s="9"/>
      <c r="M333" s="8"/>
      <c r="N333" s="132"/>
      <c r="O333" s="8"/>
      <c r="P333" s="9"/>
      <c r="Q333" s="8"/>
      <c r="R333" s="9"/>
      <c r="S333" s="8"/>
      <c r="T333" s="8"/>
      <c r="U333" s="8"/>
      <c r="V333" s="11"/>
      <c r="W333" s="8"/>
      <c r="X333" s="8"/>
      <c r="Y333" s="9"/>
      <c r="Z333" s="8"/>
      <c r="AA333" s="8"/>
      <c r="AB333" s="8"/>
    </row>
    <row r="334" spans="1:28" x14ac:dyDescent="0.15">
      <c r="A334" s="8"/>
      <c r="B334" s="8"/>
      <c r="C334" s="8"/>
      <c r="D334" s="8"/>
      <c r="E334" s="9"/>
      <c r="F334" s="8"/>
      <c r="G334" s="10"/>
      <c r="H334" s="11"/>
      <c r="I334" s="8"/>
      <c r="J334" s="9"/>
      <c r="K334" s="8"/>
      <c r="L334" s="9"/>
      <c r="M334" s="8"/>
      <c r="N334" s="11"/>
      <c r="O334" s="8"/>
      <c r="P334" s="9"/>
      <c r="Q334" s="8"/>
      <c r="R334" s="9"/>
      <c r="S334" s="8"/>
      <c r="T334" s="8"/>
      <c r="U334" s="8"/>
      <c r="V334" s="11"/>
      <c r="W334" s="8"/>
      <c r="X334" s="8"/>
      <c r="Y334" s="9"/>
      <c r="Z334" s="8"/>
      <c r="AA334" s="8"/>
      <c r="AB334" s="8"/>
    </row>
    <row r="335" spans="1:28" x14ac:dyDescent="0.15">
      <c r="A335" s="8"/>
      <c r="B335" s="8"/>
      <c r="C335" s="8"/>
      <c r="D335" s="8"/>
      <c r="E335" s="9"/>
      <c r="F335" s="8"/>
      <c r="G335" s="10"/>
      <c r="H335" s="11"/>
      <c r="I335" s="8"/>
      <c r="J335" s="9"/>
      <c r="K335" s="8"/>
      <c r="L335" s="9"/>
      <c r="M335" s="8"/>
      <c r="N335" s="11"/>
      <c r="O335" s="8"/>
      <c r="P335" s="9"/>
      <c r="Q335" s="8"/>
      <c r="R335" s="9"/>
      <c r="S335" s="8"/>
      <c r="T335" s="8"/>
      <c r="U335" s="8"/>
      <c r="V335" s="11"/>
      <c r="W335" s="8"/>
      <c r="X335" s="8"/>
      <c r="Y335" s="9"/>
      <c r="Z335" s="8"/>
      <c r="AA335" s="8"/>
      <c r="AB335" s="8"/>
    </row>
    <row r="336" spans="1:28" x14ac:dyDescent="0.15">
      <c r="A336" s="8"/>
      <c r="B336" s="8"/>
      <c r="C336" s="8"/>
      <c r="D336" s="8"/>
      <c r="E336" s="9"/>
      <c r="F336" s="8"/>
      <c r="G336" s="10"/>
      <c r="H336" s="11"/>
      <c r="I336" s="8"/>
      <c r="J336" s="9"/>
      <c r="K336" s="8"/>
      <c r="L336" s="9"/>
      <c r="M336" s="8"/>
      <c r="N336" s="11"/>
      <c r="O336" s="8"/>
      <c r="P336" s="9"/>
      <c r="Q336" s="8"/>
      <c r="R336" s="9"/>
      <c r="S336" s="8"/>
      <c r="T336" s="8"/>
      <c r="U336" s="8"/>
      <c r="V336" s="11"/>
      <c r="W336" s="8"/>
      <c r="X336" s="8"/>
      <c r="Y336" s="9"/>
      <c r="Z336" s="8"/>
      <c r="AA336" s="8"/>
      <c r="AB336" s="8"/>
    </row>
    <row r="337" spans="1:28" x14ac:dyDescent="0.15">
      <c r="A337" s="8"/>
      <c r="B337" s="8"/>
      <c r="C337" s="8"/>
      <c r="D337" s="8"/>
      <c r="E337" s="9"/>
      <c r="F337" s="8"/>
      <c r="G337" s="10"/>
      <c r="H337" s="11"/>
      <c r="I337" s="8"/>
      <c r="J337" s="9"/>
      <c r="K337" s="8"/>
      <c r="L337" s="9"/>
      <c r="M337" s="8"/>
      <c r="N337" s="11"/>
      <c r="O337" s="8"/>
      <c r="P337" s="9"/>
      <c r="Q337" s="8"/>
      <c r="R337" s="9"/>
      <c r="S337" s="8"/>
      <c r="T337" s="8"/>
      <c r="U337" s="8"/>
      <c r="V337" s="11"/>
      <c r="W337" s="8"/>
      <c r="X337" s="8"/>
      <c r="Y337" s="9"/>
      <c r="Z337" s="8"/>
      <c r="AA337" s="8"/>
      <c r="AB337" s="8"/>
    </row>
    <row r="338" spans="1:28" x14ac:dyDescent="0.15">
      <c r="A338" s="8"/>
      <c r="B338" s="8"/>
      <c r="C338" s="8"/>
      <c r="D338" s="8"/>
      <c r="E338" s="9"/>
      <c r="F338" s="8"/>
      <c r="G338" s="10"/>
      <c r="H338" s="11"/>
      <c r="I338" s="8"/>
      <c r="J338" s="9"/>
      <c r="K338" s="8"/>
      <c r="L338" s="9"/>
      <c r="M338" s="8"/>
      <c r="N338" s="11"/>
      <c r="O338" s="8"/>
      <c r="P338" s="9"/>
      <c r="Q338" s="8"/>
      <c r="R338" s="9"/>
      <c r="S338" s="8"/>
      <c r="T338" s="8"/>
      <c r="U338" s="8"/>
      <c r="V338" s="132"/>
      <c r="W338" s="8"/>
      <c r="X338" s="8"/>
      <c r="Y338" s="9"/>
      <c r="Z338" s="8"/>
      <c r="AA338" s="8"/>
      <c r="AB338" s="8"/>
    </row>
    <row r="339" spans="1:28" x14ac:dyDescent="0.15">
      <c r="A339" s="8"/>
      <c r="B339" s="8"/>
      <c r="C339" s="8"/>
      <c r="D339" s="8"/>
      <c r="E339" s="9"/>
      <c r="F339" s="8"/>
      <c r="G339" s="10"/>
      <c r="H339" s="11"/>
      <c r="I339" s="8"/>
      <c r="J339" s="9"/>
      <c r="K339" s="8"/>
      <c r="L339" s="9"/>
      <c r="M339" s="8"/>
      <c r="N339" s="11"/>
      <c r="O339" s="8"/>
      <c r="P339" s="9"/>
      <c r="Q339" s="8"/>
      <c r="R339" s="9"/>
      <c r="S339" s="8"/>
      <c r="T339" s="8"/>
      <c r="U339" s="8"/>
      <c r="V339" s="11"/>
      <c r="W339" s="8"/>
      <c r="X339" s="8"/>
      <c r="Y339" s="9"/>
      <c r="Z339" s="8"/>
      <c r="AA339" s="8"/>
      <c r="AB339" s="8"/>
    </row>
    <row r="340" spans="1:28" x14ac:dyDescent="0.15">
      <c r="A340" s="8"/>
      <c r="B340" s="8"/>
      <c r="C340" s="8"/>
      <c r="D340" s="8"/>
      <c r="E340" s="9"/>
      <c r="F340" s="8"/>
      <c r="G340" s="10"/>
      <c r="H340" s="11"/>
      <c r="I340" s="8"/>
      <c r="J340" s="9"/>
      <c r="K340" s="8"/>
      <c r="L340" s="9"/>
      <c r="M340" s="8"/>
      <c r="N340" s="11"/>
      <c r="O340" s="8"/>
      <c r="P340" s="9"/>
      <c r="Q340" s="8"/>
      <c r="R340" s="9"/>
      <c r="S340" s="8"/>
      <c r="T340" s="8"/>
      <c r="U340" s="8"/>
      <c r="V340" s="11"/>
      <c r="W340" s="8"/>
      <c r="X340" s="8"/>
      <c r="Y340" s="9"/>
      <c r="Z340" s="8"/>
      <c r="AA340" s="8"/>
      <c r="AB340" s="8"/>
    </row>
    <row r="341" spans="1:28" x14ac:dyDescent="0.15">
      <c r="A341" s="8"/>
      <c r="B341" s="8"/>
      <c r="C341" s="8"/>
      <c r="D341" s="8"/>
      <c r="E341" s="9"/>
      <c r="F341" s="8"/>
      <c r="G341" s="10"/>
      <c r="H341" s="11"/>
      <c r="I341" s="8"/>
      <c r="J341" s="9"/>
      <c r="K341" s="8"/>
      <c r="L341" s="9"/>
      <c r="M341" s="8"/>
      <c r="N341" s="11"/>
      <c r="O341" s="8"/>
      <c r="P341" s="9"/>
      <c r="Q341" s="8"/>
      <c r="R341" s="9"/>
      <c r="S341" s="8"/>
      <c r="T341" s="8"/>
      <c r="U341" s="8"/>
      <c r="V341" s="11"/>
      <c r="W341" s="8"/>
      <c r="X341" s="8"/>
      <c r="Y341" s="9"/>
      <c r="Z341" s="8"/>
      <c r="AA341" s="8"/>
      <c r="AB341" s="8"/>
    </row>
    <row r="342" spans="1:28" x14ac:dyDescent="0.15">
      <c r="A342" s="8"/>
      <c r="B342" s="8"/>
      <c r="C342" s="8"/>
      <c r="D342" s="8"/>
      <c r="E342" s="9"/>
      <c r="F342" s="8"/>
      <c r="G342" s="10"/>
      <c r="H342" s="11"/>
      <c r="I342" s="8"/>
      <c r="J342" s="9"/>
      <c r="K342" s="8"/>
      <c r="L342" s="9"/>
      <c r="M342" s="8"/>
      <c r="N342" s="11"/>
      <c r="O342" s="8"/>
      <c r="P342" s="9"/>
      <c r="Q342" s="8"/>
      <c r="R342" s="9"/>
      <c r="S342" s="8"/>
      <c r="T342" s="8"/>
      <c r="U342" s="8"/>
      <c r="V342" s="11"/>
      <c r="W342" s="8"/>
      <c r="X342" s="8"/>
      <c r="Y342" s="9"/>
      <c r="Z342" s="8"/>
      <c r="AA342" s="8"/>
      <c r="AB342" s="8"/>
    </row>
    <row r="343" spans="1:28" x14ac:dyDescent="0.15">
      <c r="A343" s="8"/>
      <c r="B343" s="8"/>
      <c r="C343" s="8"/>
      <c r="D343" s="8"/>
      <c r="E343" s="9"/>
      <c r="F343" s="8"/>
      <c r="G343" s="10"/>
      <c r="H343" s="11"/>
      <c r="I343" s="8"/>
      <c r="J343" s="9"/>
      <c r="K343" s="8"/>
      <c r="L343" s="9"/>
      <c r="M343" s="8"/>
      <c r="N343" s="11"/>
      <c r="O343" s="8"/>
      <c r="P343" s="9"/>
      <c r="Q343" s="8"/>
      <c r="R343" s="9"/>
      <c r="S343" s="8"/>
      <c r="T343" s="8"/>
      <c r="U343" s="8"/>
      <c r="V343" s="11"/>
      <c r="W343" s="8"/>
      <c r="X343" s="8"/>
      <c r="Y343" s="9"/>
      <c r="Z343" s="8"/>
      <c r="AA343" s="8"/>
      <c r="AB343" s="8"/>
    </row>
    <row r="344" spans="1:28" x14ac:dyDescent="0.15">
      <c r="A344" s="8"/>
      <c r="B344" s="8"/>
      <c r="C344" s="8"/>
      <c r="D344" s="8"/>
      <c r="E344" s="9"/>
      <c r="F344" s="8"/>
      <c r="G344" s="10"/>
      <c r="H344" s="11"/>
      <c r="I344" s="8"/>
      <c r="J344" s="9"/>
      <c r="K344" s="8"/>
      <c r="L344" s="9"/>
      <c r="M344" s="8"/>
      <c r="N344" s="11"/>
      <c r="O344" s="8"/>
      <c r="P344" s="9"/>
      <c r="Q344" s="8"/>
      <c r="R344" s="9"/>
      <c r="S344" s="8"/>
      <c r="T344" s="8"/>
      <c r="U344" s="8"/>
      <c r="V344" s="132"/>
      <c r="W344" s="8"/>
      <c r="X344" s="8"/>
      <c r="Y344" s="9"/>
      <c r="Z344" s="8"/>
      <c r="AA344" s="8"/>
      <c r="AB344" s="8"/>
    </row>
    <row r="345" spans="1:28" x14ac:dyDescent="0.15">
      <c r="A345" s="8"/>
      <c r="B345" s="8"/>
      <c r="C345" s="8"/>
      <c r="D345" s="8"/>
      <c r="E345" s="9"/>
      <c r="F345" s="8"/>
      <c r="G345" s="10"/>
      <c r="H345" s="11"/>
      <c r="I345" s="8"/>
      <c r="J345" s="9"/>
      <c r="K345" s="8"/>
      <c r="L345" s="9"/>
      <c r="M345" s="8"/>
      <c r="N345" s="11"/>
      <c r="O345" s="8"/>
      <c r="P345" s="9"/>
      <c r="Q345" s="8"/>
      <c r="R345" s="9"/>
      <c r="S345" s="8"/>
      <c r="T345" s="8"/>
      <c r="U345" s="8"/>
      <c r="V345" s="132"/>
      <c r="W345" s="8"/>
      <c r="X345" s="8"/>
      <c r="Y345" s="9"/>
      <c r="Z345" s="8"/>
      <c r="AA345" s="8"/>
      <c r="AB345" s="8"/>
    </row>
    <row r="346" spans="1:28" x14ac:dyDescent="0.15">
      <c r="A346" s="8"/>
      <c r="B346" s="8"/>
      <c r="C346" s="8"/>
      <c r="D346" s="8"/>
      <c r="E346" s="9"/>
      <c r="F346" s="8"/>
      <c r="G346" s="10"/>
      <c r="H346" s="11"/>
      <c r="I346" s="8"/>
      <c r="J346" s="9"/>
      <c r="K346" s="8"/>
      <c r="L346" s="9"/>
      <c r="M346" s="8"/>
      <c r="N346" s="11"/>
      <c r="O346" s="8"/>
      <c r="P346" s="9"/>
      <c r="Q346" s="8"/>
      <c r="R346" s="9"/>
      <c r="S346" s="8"/>
      <c r="T346" s="8"/>
      <c r="U346" s="8"/>
      <c r="V346" s="132"/>
      <c r="W346" s="8"/>
      <c r="X346" s="8"/>
      <c r="Y346" s="9"/>
      <c r="Z346" s="8"/>
      <c r="AA346" s="8"/>
      <c r="AB346" s="8"/>
    </row>
    <row r="347" spans="1:28" x14ac:dyDescent="0.15">
      <c r="A347" s="8"/>
      <c r="B347" s="8"/>
      <c r="C347" s="8"/>
      <c r="D347" s="8"/>
      <c r="E347" s="9"/>
      <c r="F347" s="8"/>
      <c r="G347" s="10"/>
      <c r="H347" s="132"/>
      <c r="I347" s="8"/>
      <c r="J347" s="9"/>
      <c r="K347" s="8"/>
      <c r="L347" s="9"/>
      <c r="M347" s="8"/>
      <c r="N347" s="132"/>
      <c r="O347" s="8"/>
      <c r="P347" s="9"/>
      <c r="Q347" s="8"/>
      <c r="R347" s="9"/>
      <c r="S347" s="8"/>
      <c r="T347" s="8"/>
      <c r="U347" s="8"/>
      <c r="V347" s="132"/>
      <c r="W347" s="8"/>
      <c r="X347" s="8"/>
      <c r="Y347" s="9"/>
      <c r="Z347" s="8"/>
      <c r="AA347" s="8"/>
      <c r="AB347" s="8"/>
    </row>
    <row r="348" spans="1:28" x14ac:dyDescent="0.15">
      <c r="A348" s="8"/>
      <c r="B348" s="8"/>
      <c r="C348" s="8"/>
      <c r="D348" s="8"/>
      <c r="E348" s="9"/>
      <c r="F348" s="8"/>
      <c r="G348" s="10"/>
      <c r="H348" s="132"/>
      <c r="I348" s="8"/>
      <c r="J348" s="9"/>
      <c r="K348" s="8"/>
      <c r="L348" s="9"/>
      <c r="M348" s="8"/>
      <c r="N348" s="132"/>
      <c r="O348" s="8"/>
      <c r="P348" s="9"/>
      <c r="Q348" s="8"/>
      <c r="R348" s="9"/>
      <c r="S348" s="8"/>
      <c r="T348" s="8"/>
      <c r="U348" s="8"/>
      <c r="V348" s="132"/>
      <c r="W348" s="8"/>
      <c r="X348" s="8"/>
      <c r="Y348" s="9"/>
      <c r="Z348" s="8"/>
      <c r="AA348" s="8"/>
      <c r="AB348" s="8"/>
    </row>
    <row r="349" spans="1:28" x14ac:dyDescent="0.15">
      <c r="A349" s="8"/>
      <c r="B349" s="8"/>
      <c r="C349" s="8"/>
      <c r="D349" s="8"/>
      <c r="E349" s="9"/>
      <c r="F349" s="8"/>
      <c r="G349" s="10"/>
      <c r="H349" s="132"/>
      <c r="I349" s="8"/>
      <c r="J349" s="9"/>
      <c r="K349" s="8"/>
      <c r="L349" s="9"/>
      <c r="M349" s="8"/>
      <c r="N349" s="132"/>
      <c r="O349" s="8"/>
      <c r="P349" s="9"/>
      <c r="Q349" s="8"/>
      <c r="R349" s="9"/>
      <c r="S349" s="8"/>
      <c r="T349" s="8"/>
      <c r="U349" s="8"/>
      <c r="V349" s="132"/>
      <c r="W349" s="8"/>
      <c r="X349" s="8"/>
      <c r="Y349" s="9"/>
      <c r="Z349" s="8"/>
      <c r="AA349" s="8"/>
      <c r="AB349" s="8"/>
    </row>
    <row r="350" spans="1:28" x14ac:dyDescent="0.15">
      <c r="A350" s="8"/>
      <c r="B350" s="8"/>
      <c r="C350" s="8"/>
      <c r="D350" s="8"/>
      <c r="E350" s="9"/>
      <c r="F350" s="8"/>
      <c r="G350" s="10"/>
      <c r="H350" s="11"/>
      <c r="I350" s="8"/>
      <c r="J350" s="9"/>
      <c r="K350" s="8"/>
      <c r="L350" s="9"/>
      <c r="M350" s="8"/>
      <c r="N350" s="11"/>
      <c r="O350" s="8"/>
      <c r="P350" s="9"/>
      <c r="Q350" s="8"/>
      <c r="R350" s="9"/>
      <c r="S350" s="8"/>
      <c r="T350" s="8"/>
      <c r="U350" s="8"/>
      <c r="V350" s="11"/>
      <c r="W350" s="8"/>
      <c r="X350" s="8"/>
      <c r="Y350" s="9"/>
      <c r="Z350" s="8"/>
      <c r="AA350" s="8"/>
      <c r="AB350" s="8"/>
    </row>
    <row r="351" spans="1:28" x14ac:dyDescent="0.15">
      <c r="A351" s="8"/>
      <c r="B351" s="8"/>
      <c r="C351" s="8"/>
      <c r="D351" s="8"/>
      <c r="E351" s="9"/>
      <c r="F351" s="8"/>
      <c r="G351" s="10"/>
      <c r="H351" s="11"/>
      <c r="I351" s="8"/>
      <c r="J351" s="9"/>
      <c r="K351" s="8"/>
      <c r="L351" s="9"/>
      <c r="M351" s="8"/>
      <c r="N351" s="11"/>
      <c r="O351" s="8"/>
      <c r="P351" s="9"/>
      <c r="Q351" s="8"/>
      <c r="R351" s="9"/>
      <c r="S351" s="8"/>
      <c r="T351" s="8"/>
      <c r="U351" s="8"/>
      <c r="V351" s="11"/>
      <c r="W351" s="8"/>
      <c r="X351" s="8"/>
      <c r="Y351" s="9"/>
      <c r="Z351" s="8"/>
      <c r="AA351" s="8"/>
      <c r="AB351" s="8"/>
    </row>
    <row r="352" spans="1:28" x14ac:dyDescent="0.15">
      <c r="A352" s="8"/>
      <c r="B352" s="8"/>
      <c r="C352" s="8"/>
      <c r="D352" s="8"/>
      <c r="E352" s="9"/>
      <c r="F352" s="8"/>
      <c r="G352" s="10"/>
      <c r="H352" s="132"/>
      <c r="I352" s="8"/>
      <c r="J352" s="9"/>
      <c r="K352" s="8"/>
      <c r="L352" s="9"/>
      <c r="M352" s="8"/>
      <c r="N352" s="132"/>
      <c r="O352" s="8"/>
      <c r="P352" s="9"/>
      <c r="Q352" s="8"/>
      <c r="R352" s="9"/>
      <c r="S352" s="8"/>
      <c r="T352" s="8"/>
      <c r="U352" s="8"/>
      <c r="V352" s="11"/>
      <c r="W352" s="8"/>
      <c r="X352" s="8"/>
      <c r="Y352" s="9"/>
      <c r="Z352" s="8"/>
      <c r="AA352" s="8"/>
      <c r="AB352" s="8"/>
    </row>
    <row r="353" spans="1:28" x14ac:dyDescent="0.15">
      <c r="A353" s="8"/>
      <c r="B353" s="8"/>
      <c r="C353" s="8"/>
      <c r="D353" s="8"/>
      <c r="E353" s="9"/>
      <c r="F353" s="8"/>
      <c r="G353" s="10"/>
      <c r="H353" s="132"/>
      <c r="I353" s="8"/>
      <c r="J353" s="9"/>
      <c r="K353" s="8"/>
      <c r="L353" s="9"/>
      <c r="M353" s="8"/>
      <c r="N353" s="132"/>
      <c r="O353" s="8"/>
      <c r="P353" s="9"/>
      <c r="Q353" s="8"/>
      <c r="R353" s="9"/>
      <c r="S353" s="8"/>
      <c r="T353" s="8"/>
      <c r="U353" s="8"/>
      <c r="V353" s="11"/>
      <c r="W353" s="8"/>
      <c r="X353" s="8"/>
      <c r="Y353" s="9"/>
      <c r="Z353" s="8"/>
      <c r="AA353" s="8"/>
      <c r="AB353" s="8"/>
    </row>
    <row r="354" spans="1:28" x14ac:dyDescent="0.15">
      <c r="A354" s="8"/>
      <c r="B354" s="8"/>
      <c r="C354" s="8"/>
      <c r="D354" s="8"/>
      <c r="E354" s="9"/>
      <c r="F354" s="8"/>
      <c r="G354" s="10"/>
      <c r="H354" s="11"/>
      <c r="I354" s="8"/>
      <c r="J354" s="9"/>
      <c r="K354" s="8"/>
      <c r="L354" s="9"/>
      <c r="M354" s="8"/>
      <c r="N354" s="11"/>
      <c r="O354" s="8"/>
      <c r="P354" s="9"/>
      <c r="Q354" s="8"/>
      <c r="R354" s="9"/>
      <c r="S354" s="8"/>
      <c r="T354" s="8"/>
      <c r="U354" s="8"/>
      <c r="V354" s="11"/>
      <c r="W354" s="8"/>
      <c r="X354" s="8"/>
      <c r="Y354" s="9"/>
      <c r="Z354" s="8"/>
      <c r="AA354" s="8"/>
      <c r="AB354" s="8"/>
    </row>
    <row r="355" spans="1:28" x14ac:dyDescent="0.15">
      <c r="A355" s="8"/>
      <c r="B355" s="8"/>
      <c r="C355" s="8"/>
      <c r="D355" s="8"/>
      <c r="E355" s="9"/>
      <c r="F355" s="8"/>
      <c r="G355" s="10"/>
      <c r="H355" s="11"/>
      <c r="I355" s="8"/>
      <c r="J355" s="9"/>
      <c r="K355" s="8"/>
      <c r="L355" s="9"/>
      <c r="M355" s="8"/>
      <c r="N355" s="11"/>
      <c r="O355" s="8"/>
      <c r="P355" s="9"/>
      <c r="Q355" s="8"/>
      <c r="R355" s="9"/>
      <c r="S355" s="8"/>
      <c r="T355" s="8"/>
      <c r="U355" s="8"/>
      <c r="V355" s="11"/>
      <c r="W355" s="8"/>
      <c r="X355" s="8"/>
      <c r="Y355" s="9"/>
      <c r="Z355" s="8"/>
      <c r="AA355" s="8"/>
      <c r="AB355" s="8"/>
    </row>
    <row r="356" spans="1:28" x14ac:dyDescent="0.15">
      <c r="A356" s="8"/>
      <c r="B356" s="8"/>
      <c r="C356" s="8"/>
      <c r="D356" s="8"/>
      <c r="E356" s="9"/>
      <c r="F356" s="8"/>
      <c r="G356" s="10"/>
      <c r="H356" s="11"/>
      <c r="I356" s="8"/>
      <c r="J356" s="9"/>
      <c r="K356" s="8"/>
      <c r="L356" s="9"/>
      <c r="M356" s="8"/>
      <c r="N356" s="11"/>
      <c r="O356" s="8"/>
      <c r="P356" s="9"/>
      <c r="Q356" s="8"/>
      <c r="R356" s="9"/>
      <c r="S356" s="8"/>
      <c r="T356" s="8"/>
      <c r="U356" s="8"/>
      <c r="V356" s="11"/>
      <c r="W356" s="8"/>
      <c r="X356" s="8"/>
      <c r="Y356" s="9"/>
      <c r="Z356" s="8"/>
      <c r="AA356" s="8"/>
      <c r="AB356" s="8"/>
    </row>
    <row r="357" spans="1:28" x14ac:dyDescent="0.15">
      <c r="A357" s="8"/>
      <c r="B357" s="8"/>
      <c r="C357" s="8"/>
      <c r="D357" s="8"/>
      <c r="E357" s="9"/>
      <c r="F357" s="8"/>
      <c r="G357" s="10"/>
      <c r="H357" s="11"/>
      <c r="I357" s="8"/>
      <c r="J357" s="9"/>
      <c r="K357" s="8"/>
      <c r="L357" s="9"/>
      <c r="M357" s="8"/>
      <c r="N357" s="11"/>
      <c r="O357" s="8"/>
      <c r="P357" s="9"/>
      <c r="Q357" s="8"/>
      <c r="R357" s="9"/>
      <c r="S357" s="8"/>
      <c r="T357" s="8"/>
      <c r="U357" s="8"/>
      <c r="V357" s="11"/>
      <c r="W357" s="8"/>
      <c r="X357" s="8"/>
      <c r="Y357" s="9"/>
      <c r="Z357" s="8"/>
      <c r="AA357" s="8"/>
      <c r="AB357" s="8"/>
    </row>
    <row r="358" spans="1:28" x14ac:dyDescent="0.15">
      <c r="A358" s="8"/>
      <c r="B358" s="8"/>
      <c r="C358" s="8"/>
      <c r="D358" s="8"/>
      <c r="E358" s="9"/>
      <c r="F358" s="8"/>
      <c r="G358" s="10"/>
      <c r="H358" s="11"/>
      <c r="I358" s="8"/>
      <c r="J358" s="9"/>
      <c r="K358" s="8"/>
      <c r="L358" s="9"/>
      <c r="M358" s="8"/>
      <c r="N358" s="11"/>
      <c r="O358" s="8"/>
      <c r="P358" s="9"/>
      <c r="Q358" s="8"/>
      <c r="R358" s="9"/>
      <c r="S358" s="8"/>
      <c r="T358" s="8"/>
      <c r="U358" s="8"/>
      <c r="V358" s="11"/>
      <c r="W358" s="8"/>
      <c r="X358" s="8"/>
      <c r="Y358" s="9"/>
      <c r="Z358" s="8"/>
      <c r="AA358" s="8"/>
      <c r="AB358" s="8"/>
    </row>
    <row r="359" spans="1:28" x14ac:dyDescent="0.15">
      <c r="A359" s="8"/>
      <c r="B359" s="8"/>
      <c r="C359" s="8"/>
      <c r="D359" s="8"/>
      <c r="E359" s="9"/>
      <c r="F359" s="8"/>
      <c r="G359" s="10"/>
      <c r="H359" s="11"/>
      <c r="I359" s="8"/>
      <c r="J359" s="9"/>
      <c r="K359" s="8"/>
      <c r="L359" s="9"/>
      <c r="M359" s="8"/>
      <c r="N359" s="11"/>
      <c r="O359" s="8"/>
      <c r="P359" s="9"/>
      <c r="Q359" s="8"/>
      <c r="R359" s="9"/>
      <c r="S359" s="8"/>
      <c r="T359" s="8"/>
      <c r="U359" s="8"/>
      <c r="V359" s="11"/>
      <c r="W359" s="8"/>
      <c r="X359" s="8"/>
      <c r="Y359" s="9"/>
      <c r="Z359" s="8"/>
      <c r="AA359" s="8"/>
      <c r="AB359" s="8"/>
    </row>
    <row r="360" spans="1:28" x14ac:dyDescent="0.15">
      <c r="A360" s="8"/>
      <c r="B360" s="8"/>
      <c r="C360" s="8"/>
      <c r="D360" s="8"/>
      <c r="E360" s="9"/>
      <c r="F360" s="8"/>
      <c r="G360" s="10"/>
      <c r="H360" s="11"/>
      <c r="I360" s="8"/>
      <c r="J360" s="9"/>
      <c r="K360" s="8"/>
      <c r="L360" s="9"/>
      <c r="M360" s="8"/>
      <c r="N360" s="11"/>
      <c r="O360" s="8"/>
      <c r="P360" s="9"/>
      <c r="Q360" s="8"/>
      <c r="R360" s="9"/>
      <c r="S360" s="8"/>
      <c r="T360" s="8"/>
      <c r="U360" s="8"/>
      <c r="V360" s="11"/>
      <c r="W360" s="8"/>
      <c r="X360" s="8"/>
      <c r="Y360" s="9"/>
      <c r="Z360" s="8"/>
      <c r="AA360" s="8"/>
      <c r="AB360" s="8"/>
    </row>
    <row r="361" spans="1:28" x14ac:dyDescent="0.15">
      <c r="A361" s="8"/>
      <c r="B361" s="8"/>
      <c r="C361" s="8"/>
      <c r="D361" s="8"/>
      <c r="E361" s="9"/>
      <c r="F361" s="8"/>
      <c r="G361" s="10"/>
      <c r="H361" s="11"/>
      <c r="I361" s="8"/>
      <c r="J361" s="9"/>
      <c r="K361" s="8"/>
      <c r="L361" s="9"/>
      <c r="M361" s="8"/>
      <c r="N361" s="11"/>
      <c r="O361" s="8"/>
      <c r="P361" s="9"/>
      <c r="Q361" s="8"/>
      <c r="R361" s="9"/>
      <c r="S361" s="8"/>
      <c r="T361" s="8"/>
      <c r="U361" s="8"/>
      <c r="V361" s="11"/>
      <c r="W361" s="8"/>
      <c r="X361" s="8"/>
      <c r="Y361" s="9"/>
      <c r="Z361" s="8"/>
      <c r="AA361" s="8"/>
      <c r="AB361" s="8"/>
    </row>
    <row r="362" spans="1:28" x14ac:dyDescent="0.15">
      <c r="A362" s="8"/>
      <c r="B362" s="8"/>
      <c r="C362" s="8"/>
      <c r="D362" s="8"/>
      <c r="E362" s="9"/>
      <c r="F362" s="8"/>
      <c r="G362" s="10"/>
      <c r="H362" s="11"/>
      <c r="I362" s="8"/>
      <c r="J362" s="9"/>
      <c r="K362" s="8"/>
      <c r="L362" s="9"/>
      <c r="M362" s="8"/>
      <c r="N362" s="11"/>
      <c r="O362" s="8"/>
      <c r="P362" s="9"/>
      <c r="Q362" s="8"/>
      <c r="R362" s="9"/>
      <c r="S362" s="8"/>
      <c r="T362" s="8"/>
      <c r="U362" s="8"/>
      <c r="V362" s="11"/>
      <c r="W362" s="8"/>
      <c r="X362" s="8"/>
      <c r="Y362" s="9"/>
      <c r="Z362" s="8"/>
      <c r="AA362" s="8"/>
      <c r="AB362" s="8"/>
    </row>
    <row r="363" spans="1:28" x14ac:dyDescent="0.15">
      <c r="A363" s="8"/>
      <c r="B363" s="8"/>
      <c r="C363" s="8"/>
      <c r="D363" s="8"/>
      <c r="E363" s="9"/>
      <c r="F363" s="8"/>
      <c r="G363" s="10"/>
      <c r="H363" s="11"/>
      <c r="I363" s="8"/>
      <c r="J363" s="9"/>
      <c r="K363" s="8"/>
      <c r="L363" s="9"/>
      <c r="M363" s="8"/>
      <c r="N363" s="11"/>
      <c r="O363" s="8"/>
      <c r="P363" s="9"/>
      <c r="Q363" s="8"/>
      <c r="R363" s="9"/>
      <c r="S363" s="8"/>
      <c r="T363" s="8"/>
      <c r="U363" s="8"/>
      <c r="V363" s="11"/>
      <c r="W363" s="8"/>
      <c r="X363" s="8"/>
      <c r="Y363" s="9"/>
      <c r="Z363" s="8"/>
      <c r="AA363" s="8"/>
      <c r="AB363" s="8"/>
    </row>
    <row r="364" spans="1:28" x14ac:dyDescent="0.15">
      <c r="A364" s="8"/>
      <c r="B364" s="8"/>
      <c r="C364" s="8"/>
      <c r="D364" s="8"/>
      <c r="E364" s="9"/>
      <c r="F364" s="8"/>
      <c r="G364" s="10"/>
      <c r="H364" s="11"/>
      <c r="I364" s="8"/>
      <c r="J364" s="9"/>
      <c r="K364" s="8"/>
      <c r="L364" s="9"/>
      <c r="M364" s="8"/>
      <c r="N364" s="11"/>
      <c r="O364" s="8"/>
      <c r="P364" s="9"/>
      <c r="Q364" s="8"/>
      <c r="R364" s="9"/>
      <c r="S364" s="8"/>
      <c r="T364" s="8"/>
      <c r="U364" s="8"/>
      <c r="V364" s="11"/>
      <c r="W364" s="8"/>
      <c r="X364" s="8"/>
      <c r="Y364" s="9"/>
      <c r="Z364" s="8"/>
      <c r="AA364" s="8"/>
      <c r="AB364" s="8"/>
    </row>
    <row r="365" spans="1:28" x14ac:dyDescent="0.15">
      <c r="A365" s="8"/>
      <c r="B365" s="8"/>
      <c r="C365" s="8"/>
      <c r="D365" s="8"/>
      <c r="E365" s="9"/>
      <c r="F365" s="8"/>
      <c r="G365" s="10"/>
      <c r="H365" s="11"/>
      <c r="I365" s="8"/>
      <c r="J365" s="9"/>
      <c r="K365" s="8"/>
      <c r="L365" s="9"/>
      <c r="M365" s="8"/>
      <c r="N365" s="11"/>
      <c r="O365" s="8"/>
      <c r="P365" s="9"/>
      <c r="Q365" s="8"/>
      <c r="R365" s="9"/>
      <c r="S365" s="8"/>
      <c r="T365" s="8"/>
      <c r="U365" s="8"/>
      <c r="V365" s="11"/>
      <c r="W365" s="8"/>
      <c r="X365" s="8"/>
      <c r="Y365" s="9"/>
      <c r="Z365" s="8"/>
      <c r="AA365" s="8"/>
      <c r="AB365" s="8"/>
    </row>
    <row r="366" spans="1:28" x14ac:dyDescent="0.15">
      <c r="A366" s="8"/>
      <c r="B366" s="8"/>
      <c r="C366" s="8"/>
      <c r="D366" s="8"/>
      <c r="E366" s="9"/>
      <c r="F366" s="8"/>
      <c r="G366" s="10"/>
      <c r="H366" s="11"/>
      <c r="I366" s="8"/>
      <c r="J366" s="9"/>
      <c r="K366" s="8"/>
      <c r="L366" s="9"/>
      <c r="M366" s="8"/>
      <c r="N366" s="11"/>
      <c r="O366" s="8"/>
      <c r="P366" s="9"/>
      <c r="Q366" s="8"/>
      <c r="R366" s="9"/>
      <c r="S366" s="8"/>
      <c r="T366" s="8"/>
      <c r="U366" s="8"/>
      <c r="V366" s="11"/>
      <c r="W366" s="8"/>
      <c r="X366" s="8"/>
      <c r="Y366" s="9"/>
      <c r="Z366" s="8"/>
      <c r="AA366" s="8"/>
      <c r="AB366" s="8"/>
    </row>
    <row r="367" spans="1:28" x14ac:dyDescent="0.15">
      <c r="A367" s="8"/>
      <c r="B367" s="8"/>
      <c r="C367" s="8"/>
      <c r="D367" s="8"/>
      <c r="E367" s="9"/>
      <c r="F367" s="8"/>
      <c r="G367" s="10"/>
      <c r="H367" s="11"/>
      <c r="I367" s="8"/>
      <c r="J367" s="9"/>
      <c r="K367" s="8"/>
      <c r="L367" s="9"/>
      <c r="M367" s="8"/>
      <c r="N367" s="11"/>
      <c r="O367" s="8"/>
      <c r="P367" s="9"/>
      <c r="Q367" s="8"/>
      <c r="R367" s="9"/>
      <c r="S367" s="8"/>
      <c r="T367" s="8"/>
      <c r="U367" s="8"/>
      <c r="V367" s="11"/>
      <c r="W367" s="8"/>
      <c r="X367" s="8"/>
      <c r="Y367" s="9"/>
      <c r="Z367" s="8"/>
      <c r="AA367" s="8"/>
      <c r="AB367" s="8"/>
    </row>
    <row r="368" spans="1:28" x14ac:dyDescent="0.15">
      <c r="A368" s="8"/>
      <c r="B368" s="8"/>
      <c r="C368" s="8"/>
      <c r="D368" s="8"/>
      <c r="E368" s="9"/>
      <c r="F368" s="8"/>
      <c r="G368" s="10"/>
      <c r="H368" s="11"/>
      <c r="I368" s="8"/>
      <c r="J368" s="9"/>
      <c r="K368" s="8"/>
      <c r="L368" s="9"/>
      <c r="M368" s="8"/>
      <c r="N368" s="11"/>
      <c r="O368" s="8"/>
      <c r="P368" s="9"/>
      <c r="Q368" s="8"/>
      <c r="R368" s="9"/>
      <c r="S368" s="8"/>
      <c r="T368" s="8"/>
      <c r="U368" s="8"/>
      <c r="V368" s="11"/>
      <c r="W368" s="8"/>
      <c r="X368" s="8"/>
      <c r="Y368" s="9"/>
      <c r="Z368" s="8"/>
      <c r="AA368" s="8"/>
      <c r="AB368" s="8"/>
    </row>
    <row r="369" spans="1:28" x14ac:dyDescent="0.15">
      <c r="A369" s="8"/>
      <c r="B369" s="8"/>
      <c r="C369" s="8"/>
      <c r="D369" s="8"/>
      <c r="E369" s="9"/>
      <c r="F369" s="8"/>
      <c r="G369" s="10"/>
      <c r="H369" s="132"/>
      <c r="I369" s="8"/>
      <c r="J369" s="9"/>
      <c r="K369" s="8"/>
      <c r="L369" s="9"/>
      <c r="M369" s="8"/>
      <c r="N369" s="132"/>
      <c r="O369" s="8"/>
      <c r="P369" s="9"/>
      <c r="Q369" s="8"/>
      <c r="R369" s="9"/>
      <c r="S369" s="8"/>
      <c r="T369" s="8"/>
      <c r="U369" s="8"/>
      <c r="V369" s="11"/>
      <c r="W369" s="8"/>
      <c r="X369" s="8"/>
      <c r="Y369" s="9"/>
      <c r="Z369" s="8"/>
      <c r="AA369" s="8"/>
      <c r="AB369" s="8"/>
    </row>
    <row r="370" spans="1:28" x14ac:dyDescent="0.15">
      <c r="A370" s="8"/>
      <c r="B370" s="8"/>
      <c r="C370" s="8"/>
      <c r="D370" s="8"/>
      <c r="E370" s="9"/>
      <c r="F370" s="8"/>
      <c r="G370" s="10"/>
      <c r="H370" s="11"/>
      <c r="I370" s="8"/>
      <c r="J370" s="9"/>
      <c r="K370" s="8"/>
      <c r="L370" s="9"/>
      <c r="M370" s="8"/>
      <c r="N370" s="11"/>
      <c r="O370" s="8"/>
      <c r="P370" s="9"/>
      <c r="Q370" s="8"/>
      <c r="R370" s="9"/>
      <c r="S370" s="8"/>
      <c r="T370" s="8"/>
      <c r="U370" s="8"/>
      <c r="V370" s="11"/>
      <c r="W370" s="8"/>
      <c r="X370" s="8"/>
      <c r="Y370" s="9"/>
      <c r="Z370" s="8"/>
      <c r="AA370" s="8"/>
      <c r="AB370" s="8"/>
    </row>
    <row r="371" spans="1:28" x14ac:dyDescent="0.15">
      <c r="A371" s="8"/>
      <c r="B371" s="8"/>
      <c r="C371" s="8"/>
      <c r="D371" s="8"/>
      <c r="E371" s="9"/>
      <c r="F371" s="8"/>
      <c r="G371" s="10"/>
      <c r="H371" s="11"/>
      <c r="I371" s="8"/>
      <c r="J371" s="9"/>
      <c r="K371" s="8"/>
      <c r="L371" s="9"/>
      <c r="M371" s="8"/>
      <c r="N371" s="11"/>
      <c r="O371" s="8"/>
      <c r="P371" s="9"/>
      <c r="Q371" s="8"/>
      <c r="R371" s="9"/>
      <c r="S371" s="8"/>
      <c r="T371" s="8"/>
      <c r="U371" s="8"/>
      <c r="V371" s="11"/>
      <c r="W371" s="8"/>
      <c r="X371" s="8"/>
      <c r="Y371" s="9"/>
      <c r="Z371" s="8"/>
      <c r="AA371" s="8"/>
      <c r="AB371" s="8"/>
    </row>
    <row r="372" spans="1:28" x14ac:dyDescent="0.15">
      <c r="A372" s="8"/>
      <c r="B372" s="8"/>
      <c r="C372" s="8"/>
      <c r="D372" s="8"/>
      <c r="E372" s="9"/>
      <c r="F372" s="8"/>
      <c r="G372" s="10"/>
      <c r="H372" s="11"/>
      <c r="I372" s="8"/>
      <c r="J372" s="9"/>
      <c r="K372" s="8"/>
      <c r="L372" s="9"/>
      <c r="M372" s="8"/>
      <c r="N372" s="11"/>
      <c r="O372" s="8"/>
      <c r="P372" s="9"/>
      <c r="Q372" s="8"/>
      <c r="R372" s="9"/>
      <c r="S372" s="8"/>
      <c r="T372" s="8"/>
      <c r="U372" s="8"/>
      <c r="V372" s="11"/>
      <c r="W372" s="8"/>
      <c r="X372" s="8"/>
      <c r="Y372" s="9"/>
      <c r="Z372" s="8"/>
      <c r="AA372" s="8"/>
      <c r="AB372" s="8"/>
    </row>
    <row r="373" spans="1:28" x14ac:dyDescent="0.15">
      <c r="A373" s="8"/>
      <c r="B373" s="8"/>
      <c r="C373" s="8"/>
      <c r="D373" s="8"/>
      <c r="E373" s="9"/>
      <c r="F373" s="8"/>
      <c r="G373" s="10"/>
      <c r="H373" s="132"/>
      <c r="I373" s="8"/>
      <c r="J373" s="9"/>
      <c r="K373" s="8"/>
      <c r="L373" s="9"/>
      <c r="M373" s="8"/>
      <c r="N373" s="132"/>
      <c r="O373" s="8"/>
      <c r="P373" s="9"/>
      <c r="Q373" s="8"/>
      <c r="R373" s="9"/>
      <c r="S373" s="8"/>
      <c r="T373" s="8"/>
      <c r="U373" s="8"/>
      <c r="V373" s="11"/>
      <c r="W373" s="8"/>
      <c r="X373" s="8"/>
      <c r="Y373" s="9"/>
      <c r="Z373" s="8"/>
      <c r="AA373" s="8"/>
      <c r="AB373" s="8"/>
    </row>
    <row r="374" spans="1:28" x14ac:dyDescent="0.15">
      <c r="A374" s="8"/>
      <c r="B374" s="8"/>
      <c r="C374" s="8"/>
      <c r="D374" s="8"/>
      <c r="E374" s="9"/>
      <c r="F374" s="8"/>
      <c r="G374" s="10"/>
      <c r="H374" s="132"/>
      <c r="I374" s="8"/>
      <c r="J374" s="9"/>
      <c r="K374" s="8"/>
      <c r="L374" s="9"/>
      <c r="M374" s="8"/>
      <c r="N374" s="132"/>
      <c r="O374" s="8"/>
      <c r="P374" s="9"/>
      <c r="Q374" s="8"/>
      <c r="R374" s="9"/>
      <c r="S374" s="8"/>
      <c r="T374" s="8"/>
      <c r="U374" s="8"/>
      <c r="V374" s="11"/>
      <c r="W374" s="8"/>
      <c r="X374" s="8"/>
      <c r="Y374" s="9"/>
      <c r="Z374" s="8"/>
      <c r="AA374" s="8"/>
      <c r="AB374" s="8"/>
    </row>
    <row r="375" spans="1:28" x14ac:dyDescent="0.15">
      <c r="A375" s="8"/>
      <c r="B375" s="8"/>
      <c r="C375" s="8"/>
      <c r="D375" s="8"/>
      <c r="E375" s="9"/>
      <c r="F375" s="8"/>
      <c r="G375" s="10"/>
      <c r="H375" s="11"/>
      <c r="I375" s="8"/>
      <c r="J375" s="9"/>
      <c r="K375" s="8"/>
      <c r="L375" s="9"/>
      <c r="M375" s="8"/>
      <c r="N375" s="11"/>
      <c r="O375" s="8"/>
      <c r="P375" s="9"/>
      <c r="Q375" s="8"/>
      <c r="R375" s="9"/>
      <c r="S375" s="8"/>
      <c r="T375" s="8"/>
      <c r="U375" s="8"/>
      <c r="V375" s="11"/>
      <c r="W375" s="8"/>
      <c r="X375" s="8"/>
      <c r="Y375" s="9"/>
      <c r="Z375" s="8"/>
      <c r="AA375" s="8"/>
      <c r="AB375" s="8"/>
    </row>
    <row r="376" spans="1:28" x14ac:dyDescent="0.15">
      <c r="A376" s="8"/>
      <c r="B376" s="8"/>
      <c r="C376" s="8"/>
      <c r="D376" s="8"/>
      <c r="E376" s="9"/>
      <c r="F376" s="8"/>
      <c r="G376" s="10"/>
      <c r="H376" s="132"/>
      <c r="I376" s="8"/>
      <c r="J376" s="9"/>
      <c r="K376" s="8"/>
      <c r="L376" s="9"/>
      <c r="M376" s="8"/>
      <c r="N376" s="132"/>
      <c r="O376" s="8"/>
      <c r="P376" s="9"/>
      <c r="Q376" s="8"/>
      <c r="R376" s="9"/>
      <c r="S376" s="8"/>
      <c r="T376" s="8"/>
      <c r="U376" s="8"/>
      <c r="V376" s="11"/>
      <c r="W376" s="8"/>
      <c r="X376" s="8"/>
      <c r="Y376" s="9"/>
      <c r="Z376" s="8"/>
      <c r="AA376" s="8"/>
      <c r="AB376" s="8"/>
    </row>
    <row r="377" spans="1:28" x14ac:dyDescent="0.15">
      <c r="A377" s="8"/>
      <c r="B377" s="8"/>
      <c r="C377" s="8"/>
      <c r="D377" s="8"/>
      <c r="E377" s="9"/>
      <c r="F377" s="8"/>
      <c r="G377" s="10"/>
      <c r="H377" s="11"/>
      <c r="I377" s="8"/>
      <c r="J377" s="9"/>
      <c r="K377" s="8"/>
      <c r="L377" s="9"/>
      <c r="M377" s="8"/>
      <c r="N377" s="11"/>
      <c r="O377" s="8"/>
      <c r="P377" s="9"/>
      <c r="Q377" s="8"/>
      <c r="R377" s="9"/>
      <c r="S377" s="8"/>
      <c r="T377" s="8"/>
      <c r="U377" s="8"/>
      <c r="V377" s="11"/>
      <c r="W377" s="8"/>
      <c r="X377" s="8"/>
      <c r="Y377" s="9"/>
      <c r="Z377" s="8"/>
      <c r="AA377" s="8"/>
      <c r="AB377" s="8"/>
    </row>
    <row r="378" spans="1:28" x14ac:dyDescent="0.15">
      <c r="A378" s="8"/>
      <c r="B378" s="8"/>
      <c r="C378" s="8"/>
      <c r="D378" s="8"/>
      <c r="E378" s="9"/>
      <c r="F378" s="8"/>
      <c r="G378" s="10"/>
      <c r="H378" s="11"/>
      <c r="I378" s="8"/>
      <c r="J378" s="9"/>
      <c r="K378" s="8"/>
      <c r="L378" s="9"/>
      <c r="M378" s="8"/>
      <c r="N378" s="11"/>
      <c r="O378" s="8"/>
      <c r="P378" s="9"/>
      <c r="Q378" s="8"/>
      <c r="R378" s="9"/>
      <c r="S378" s="8"/>
      <c r="T378" s="8"/>
      <c r="U378" s="8"/>
      <c r="V378" s="11"/>
      <c r="W378" s="8"/>
      <c r="X378" s="8"/>
      <c r="Y378" s="9"/>
      <c r="Z378" s="8"/>
      <c r="AA378" s="8"/>
      <c r="AB378" s="8"/>
    </row>
    <row r="379" spans="1:28" x14ac:dyDescent="0.15">
      <c r="A379" s="8"/>
      <c r="B379" s="8"/>
      <c r="C379" s="8"/>
      <c r="D379" s="8"/>
      <c r="E379" s="9"/>
      <c r="F379" s="8"/>
      <c r="G379" s="10"/>
      <c r="H379" s="11"/>
      <c r="I379" s="8"/>
      <c r="J379" s="9"/>
      <c r="K379" s="8"/>
      <c r="L379" s="9"/>
      <c r="M379" s="8"/>
      <c r="N379" s="11"/>
      <c r="O379" s="8"/>
      <c r="P379" s="9"/>
      <c r="Q379" s="8"/>
      <c r="R379" s="9"/>
      <c r="S379" s="8"/>
      <c r="T379" s="8"/>
      <c r="U379" s="8"/>
      <c r="V379" s="132"/>
      <c r="W379" s="8"/>
      <c r="X379" s="8"/>
      <c r="Y379" s="9"/>
      <c r="Z379" s="8"/>
      <c r="AA379" s="8"/>
      <c r="AB379" s="8"/>
    </row>
    <row r="380" spans="1:28" x14ac:dyDescent="0.15">
      <c r="A380" s="8"/>
      <c r="B380" s="8"/>
      <c r="C380" s="8"/>
      <c r="D380" s="8"/>
      <c r="E380" s="9"/>
      <c r="F380" s="8"/>
      <c r="G380" s="10"/>
      <c r="H380" s="11"/>
      <c r="I380" s="8"/>
      <c r="J380" s="9"/>
      <c r="K380" s="8"/>
      <c r="L380" s="9"/>
      <c r="M380" s="8"/>
      <c r="N380" s="11"/>
      <c r="O380" s="8"/>
      <c r="P380" s="9"/>
      <c r="Q380" s="8"/>
      <c r="R380" s="9"/>
      <c r="S380" s="8"/>
      <c r="T380" s="8"/>
      <c r="U380" s="8"/>
      <c r="V380" s="132"/>
      <c r="W380" s="8"/>
      <c r="X380" s="8"/>
      <c r="Y380" s="9"/>
      <c r="Z380" s="8"/>
      <c r="AA380" s="8"/>
      <c r="AB380" s="8"/>
    </row>
    <row r="381" spans="1:28" x14ac:dyDescent="0.15">
      <c r="A381" s="8"/>
      <c r="B381" s="8"/>
      <c r="C381" s="8"/>
      <c r="D381" s="8"/>
      <c r="E381" s="9"/>
      <c r="F381" s="8"/>
      <c r="G381" s="10"/>
      <c r="H381" s="11"/>
      <c r="I381" s="8"/>
      <c r="J381" s="9"/>
      <c r="K381" s="8"/>
      <c r="L381" s="9"/>
      <c r="M381" s="8"/>
      <c r="N381" s="11"/>
      <c r="O381" s="8"/>
      <c r="P381" s="9"/>
      <c r="Q381" s="8"/>
      <c r="R381" s="9"/>
      <c r="S381" s="8"/>
      <c r="T381" s="8"/>
      <c r="U381" s="8"/>
      <c r="V381" s="132"/>
      <c r="W381" s="8"/>
      <c r="X381" s="8"/>
      <c r="Y381" s="9"/>
      <c r="Z381" s="8"/>
      <c r="AA381" s="8"/>
      <c r="AB381" s="8"/>
    </row>
    <row r="382" spans="1:28" x14ac:dyDescent="0.15">
      <c r="A382" s="8"/>
      <c r="B382" s="8"/>
      <c r="C382" s="8"/>
      <c r="D382" s="8"/>
      <c r="E382" s="9"/>
      <c r="F382" s="8"/>
      <c r="G382" s="10"/>
      <c r="H382" s="11"/>
      <c r="I382" s="8"/>
      <c r="J382" s="9"/>
      <c r="K382" s="8"/>
      <c r="L382" s="9"/>
      <c r="M382" s="8"/>
      <c r="N382" s="11"/>
      <c r="O382" s="8"/>
      <c r="P382" s="9"/>
      <c r="Q382" s="8"/>
      <c r="R382" s="9"/>
      <c r="S382" s="8"/>
      <c r="T382" s="8"/>
      <c r="U382" s="8"/>
      <c r="V382" s="11"/>
      <c r="W382" s="8"/>
      <c r="X382" s="8"/>
      <c r="Y382" s="9"/>
      <c r="Z382" s="8"/>
      <c r="AA382" s="8"/>
      <c r="AB382" s="8"/>
    </row>
    <row r="383" spans="1:28" x14ac:dyDescent="0.15">
      <c r="A383" s="8"/>
      <c r="B383" s="8"/>
      <c r="C383" s="8"/>
      <c r="D383" s="8"/>
      <c r="E383" s="9"/>
      <c r="F383" s="8"/>
      <c r="G383" s="10"/>
      <c r="H383" s="11"/>
      <c r="I383" s="8"/>
      <c r="J383" s="9"/>
      <c r="K383" s="8"/>
      <c r="L383" s="9"/>
      <c r="M383" s="8"/>
      <c r="N383" s="11"/>
      <c r="O383" s="8"/>
      <c r="P383" s="9"/>
      <c r="Q383" s="8"/>
      <c r="R383" s="9"/>
      <c r="S383" s="8"/>
      <c r="T383" s="8"/>
      <c r="U383" s="8"/>
      <c r="V383" s="11"/>
      <c r="W383" s="8"/>
      <c r="X383" s="8"/>
      <c r="Y383" s="9"/>
      <c r="Z383" s="8"/>
      <c r="AA383" s="8"/>
      <c r="AB383" s="8"/>
    </row>
    <row r="384" spans="1:28" x14ac:dyDescent="0.15">
      <c r="A384" s="8"/>
      <c r="B384" s="8"/>
      <c r="C384" s="8"/>
      <c r="D384" s="8"/>
      <c r="E384" s="9"/>
      <c r="F384" s="8"/>
      <c r="G384" s="10"/>
      <c r="H384" s="11"/>
      <c r="I384" s="8"/>
      <c r="J384" s="9"/>
      <c r="K384" s="8"/>
      <c r="L384" s="9"/>
      <c r="M384" s="8"/>
      <c r="N384" s="11"/>
      <c r="O384" s="8"/>
      <c r="P384" s="9"/>
      <c r="Q384" s="8"/>
      <c r="R384" s="9"/>
      <c r="S384" s="8"/>
      <c r="T384" s="8"/>
      <c r="U384" s="8"/>
      <c r="V384" s="132"/>
      <c r="W384" s="8"/>
      <c r="X384" s="8"/>
      <c r="Y384" s="9"/>
      <c r="Z384" s="8"/>
      <c r="AA384" s="8"/>
      <c r="AB384" s="8"/>
    </row>
    <row r="385" spans="1:28" x14ac:dyDescent="0.15">
      <c r="A385" s="8"/>
      <c r="B385" s="8"/>
      <c r="C385" s="8"/>
      <c r="D385" s="8"/>
      <c r="E385" s="9"/>
      <c r="F385" s="8"/>
      <c r="G385" s="10"/>
      <c r="H385" s="11"/>
      <c r="I385" s="8"/>
      <c r="J385" s="9"/>
      <c r="K385" s="8"/>
      <c r="L385" s="9"/>
      <c r="M385" s="8"/>
      <c r="N385" s="11"/>
      <c r="O385" s="8"/>
      <c r="P385" s="9"/>
      <c r="Q385" s="8"/>
      <c r="R385" s="9"/>
      <c r="S385" s="8"/>
      <c r="T385" s="8"/>
      <c r="U385" s="8"/>
      <c r="V385" s="11"/>
      <c r="W385" s="8"/>
      <c r="X385" s="8"/>
      <c r="Y385" s="9"/>
      <c r="Z385" s="8"/>
      <c r="AA385" s="8"/>
      <c r="AB385" s="8"/>
    </row>
    <row r="386" spans="1:28" x14ac:dyDescent="0.15">
      <c r="A386" s="8"/>
      <c r="B386" s="8"/>
      <c r="C386" s="8"/>
      <c r="D386" s="8"/>
      <c r="E386" s="9"/>
      <c r="F386" s="8"/>
      <c r="G386" s="10"/>
      <c r="H386" s="132"/>
      <c r="I386" s="8"/>
      <c r="J386" s="9"/>
      <c r="K386" s="8"/>
      <c r="L386" s="9"/>
      <c r="M386" s="8"/>
      <c r="N386" s="132"/>
      <c r="O386" s="8"/>
      <c r="P386" s="9"/>
      <c r="Q386" s="8"/>
      <c r="R386" s="9"/>
      <c r="S386" s="8"/>
      <c r="T386" s="8"/>
      <c r="U386" s="8"/>
      <c r="V386" s="11"/>
      <c r="W386" s="8"/>
      <c r="X386" s="8"/>
      <c r="Y386" s="9"/>
      <c r="Z386" s="8"/>
      <c r="AA386" s="8"/>
      <c r="AB386" s="8"/>
    </row>
    <row r="387" spans="1:28" x14ac:dyDescent="0.15">
      <c r="A387" s="8"/>
      <c r="B387" s="8"/>
      <c r="C387" s="8"/>
      <c r="D387" s="8"/>
      <c r="E387" s="9"/>
      <c r="F387" s="8"/>
      <c r="G387" s="10"/>
      <c r="H387" s="11"/>
      <c r="I387" s="8"/>
      <c r="J387" s="9"/>
      <c r="K387" s="8"/>
      <c r="L387" s="9"/>
      <c r="M387" s="8"/>
      <c r="N387" s="11"/>
      <c r="O387" s="8"/>
      <c r="P387" s="9"/>
      <c r="Q387" s="8"/>
      <c r="R387" s="9"/>
      <c r="S387" s="8"/>
      <c r="T387" s="8"/>
      <c r="U387" s="8"/>
      <c r="V387" s="132"/>
      <c r="W387" s="8"/>
      <c r="X387" s="8"/>
      <c r="Y387" s="9"/>
      <c r="Z387" s="8"/>
      <c r="AA387" s="8"/>
      <c r="AB387" s="8"/>
    </row>
    <row r="388" spans="1:28" x14ac:dyDescent="0.15">
      <c r="A388" s="8"/>
      <c r="B388" s="8"/>
      <c r="C388" s="8"/>
      <c r="D388" s="8"/>
      <c r="E388" s="9"/>
      <c r="F388" s="8"/>
      <c r="G388" s="10"/>
      <c r="H388" s="132"/>
      <c r="I388" s="8"/>
      <c r="J388" s="9"/>
      <c r="K388" s="8"/>
      <c r="L388" s="9"/>
      <c r="M388" s="8"/>
      <c r="N388" s="132"/>
      <c r="O388" s="8"/>
      <c r="P388" s="9"/>
      <c r="Q388" s="8"/>
      <c r="R388" s="9"/>
      <c r="S388" s="8"/>
      <c r="T388" s="8"/>
      <c r="U388" s="8"/>
      <c r="V388" s="132"/>
      <c r="W388" s="8"/>
      <c r="X388" s="8"/>
      <c r="Y388" s="9"/>
      <c r="Z388" s="8"/>
      <c r="AA388" s="8"/>
      <c r="AB388" s="8"/>
    </row>
    <row r="389" spans="1:28" x14ac:dyDescent="0.15">
      <c r="A389" s="8"/>
      <c r="B389" s="8"/>
      <c r="C389" s="8"/>
      <c r="D389" s="8"/>
      <c r="E389" s="9"/>
      <c r="F389" s="8"/>
      <c r="G389" s="10"/>
      <c r="H389" s="132"/>
      <c r="I389" s="8"/>
      <c r="J389" s="9"/>
      <c r="K389" s="8"/>
      <c r="L389" s="9"/>
      <c r="M389" s="8"/>
      <c r="N389" s="132"/>
      <c r="O389" s="8"/>
      <c r="P389" s="9"/>
      <c r="Q389" s="8"/>
      <c r="R389" s="9"/>
      <c r="S389" s="8"/>
      <c r="T389" s="8"/>
      <c r="U389" s="8"/>
      <c r="V389" s="132"/>
      <c r="W389" s="8"/>
      <c r="X389" s="8"/>
      <c r="Y389" s="9"/>
      <c r="Z389" s="8"/>
      <c r="AA389" s="8"/>
      <c r="AB389" s="8"/>
    </row>
    <row r="390" spans="1:28" x14ac:dyDescent="0.15">
      <c r="A390" s="8"/>
      <c r="B390" s="8"/>
      <c r="C390" s="8"/>
      <c r="D390" s="8"/>
      <c r="E390" s="9"/>
      <c r="F390" s="8"/>
      <c r="G390" s="10"/>
      <c r="H390" s="132"/>
      <c r="I390" s="8"/>
      <c r="J390" s="9"/>
      <c r="K390" s="8"/>
      <c r="L390" s="9"/>
      <c r="M390" s="8"/>
      <c r="N390" s="132"/>
      <c r="O390" s="8"/>
      <c r="P390" s="9"/>
      <c r="Q390" s="8"/>
      <c r="R390" s="9"/>
      <c r="S390" s="8"/>
      <c r="T390" s="8"/>
      <c r="U390" s="8"/>
      <c r="V390" s="11"/>
      <c r="W390" s="8"/>
      <c r="X390" s="8"/>
      <c r="Y390" s="9"/>
      <c r="Z390" s="8"/>
      <c r="AA390" s="8"/>
      <c r="AB390" s="8"/>
    </row>
    <row r="391" spans="1:28" x14ac:dyDescent="0.15">
      <c r="A391" s="8"/>
      <c r="B391" s="8"/>
      <c r="C391" s="8"/>
      <c r="D391" s="8"/>
      <c r="E391" s="9"/>
      <c r="F391" s="8"/>
      <c r="G391" s="10"/>
      <c r="H391" s="132"/>
      <c r="I391" s="8"/>
      <c r="J391" s="9"/>
      <c r="K391" s="8"/>
      <c r="L391" s="9"/>
      <c r="M391" s="8"/>
      <c r="N391" s="132"/>
      <c r="O391" s="8"/>
      <c r="P391" s="9"/>
      <c r="Q391" s="8"/>
      <c r="R391" s="9"/>
      <c r="S391" s="8"/>
      <c r="T391" s="8"/>
      <c r="U391" s="8"/>
      <c r="V391" s="132"/>
      <c r="W391" s="8"/>
      <c r="X391" s="8"/>
      <c r="Y391" s="9"/>
      <c r="Z391" s="8"/>
      <c r="AA391" s="8"/>
      <c r="AB391" s="8"/>
    </row>
    <row r="392" spans="1:28" x14ac:dyDescent="0.15">
      <c r="A392" s="8"/>
      <c r="B392" s="8"/>
      <c r="C392" s="8"/>
      <c r="D392" s="8"/>
      <c r="E392" s="9"/>
      <c r="F392" s="8"/>
      <c r="G392" s="10"/>
      <c r="H392" s="11"/>
      <c r="I392" s="8"/>
      <c r="J392" s="9"/>
      <c r="K392" s="8"/>
      <c r="L392" s="9"/>
      <c r="M392" s="8"/>
      <c r="N392" s="11"/>
      <c r="O392" s="8"/>
      <c r="P392" s="9"/>
      <c r="Q392" s="8"/>
      <c r="R392" s="9"/>
      <c r="S392" s="8"/>
      <c r="T392" s="8"/>
      <c r="U392" s="8"/>
      <c r="V392" s="11"/>
      <c r="W392" s="8"/>
      <c r="X392" s="8"/>
      <c r="Y392" s="9"/>
      <c r="Z392" s="8"/>
      <c r="AA392" s="8"/>
      <c r="AB392" s="8"/>
    </row>
    <row r="393" spans="1:28" x14ac:dyDescent="0.15">
      <c r="A393" s="8"/>
      <c r="B393" s="8"/>
      <c r="C393" s="8"/>
      <c r="D393" s="8"/>
      <c r="E393" s="9"/>
      <c r="F393" s="8"/>
      <c r="G393" s="10"/>
      <c r="H393" s="11"/>
      <c r="I393" s="8"/>
      <c r="J393" s="9"/>
      <c r="K393" s="8"/>
      <c r="L393" s="9"/>
      <c r="M393" s="8"/>
      <c r="N393" s="11"/>
      <c r="O393" s="8"/>
      <c r="P393" s="9"/>
      <c r="Q393" s="8"/>
      <c r="R393" s="9"/>
      <c r="S393" s="8"/>
      <c r="T393" s="8"/>
      <c r="U393" s="8"/>
      <c r="V393" s="11"/>
      <c r="W393" s="8"/>
      <c r="X393" s="8"/>
      <c r="Y393" s="9"/>
      <c r="Z393" s="8"/>
      <c r="AA393" s="8"/>
      <c r="AB393" s="8"/>
    </row>
    <row r="394" spans="1:28" x14ac:dyDescent="0.15">
      <c r="A394" s="8"/>
      <c r="B394" s="8"/>
      <c r="C394" s="8"/>
      <c r="D394" s="8"/>
      <c r="E394" s="9"/>
      <c r="F394" s="8"/>
      <c r="G394" s="10"/>
      <c r="H394" s="11"/>
      <c r="I394" s="8"/>
      <c r="J394" s="9"/>
      <c r="K394" s="8"/>
      <c r="L394" s="9"/>
      <c r="M394" s="8"/>
      <c r="N394" s="11"/>
      <c r="O394" s="8"/>
      <c r="P394" s="9"/>
      <c r="Q394" s="8"/>
      <c r="R394" s="9"/>
      <c r="S394" s="8"/>
      <c r="T394" s="8"/>
      <c r="U394" s="8"/>
      <c r="V394" s="11"/>
      <c r="W394" s="8"/>
      <c r="X394" s="8"/>
      <c r="Y394" s="9"/>
      <c r="Z394" s="8"/>
      <c r="AA394" s="8"/>
      <c r="AB394" s="8"/>
    </row>
    <row r="395" spans="1:28" x14ac:dyDescent="0.15">
      <c r="A395" s="8"/>
      <c r="B395" s="8"/>
      <c r="C395" s="8"/>
      <c r="D395" s="8"/>
      <c r="E395" s="9"/>
      <c r="F395" s="8"/>
      <c r="G395" s="10"/>
      <c r="H395" s="11"/>
      <c r="I395" s="8"/>
      <c r="J395" s="9"/>
      <c r="K395" s="8"/>
      <c r="L395" s="9"/>
      <c r="M395" s="8"/>
      <c r="N395" s="11"/>
      <c r="O395" s="8"/>
      <c r="P395" s="9"/>
      <c r="Q395" s="8"/>
      <c r="R395" s="9"/>
      <c r="S395" s="8"/>
      <c r="T395" s="8"/>
      <c r="U395" s="8"/>
      <c r="V395" s="11"/>
      <c r="W395" s="8"/>
      <c r="X395" s="8"/>
      <c r="Y395" s="9"/>
      <c r="Z395" s="8"/>
      <c r="AA395" s="8"/>
      <c r="AB395" s="8"/>
    </row>
    <row r="396" spans="1:28" x14ac:dyDescent="0.15">
      <c r="A396" s="8"/>
      <c r="B396" s="8"/>
      <c r="C396" s="8"/>
      <c r="D396" s="8"/>
      <c r="E396" s="9"/>
      <c r="F396" s="8"/>
      <c r="G396" s="10"/>
      <c r="H396" s="11"/>
      <c r="I396" s="8"/>
      <c r="J396" s="9"/>
      <c r="K396" s="8"/>
      <c r="L396" s="9"/>
      <c r="M396" s="8"/>
      <c r="N396" s="11"/>
      <c r="O396" s="8"/>
      <c r="P396" s="9"/>
      <c r="Q396" s="8"/>
      <c r="R396" s="9"/>
      <c r="S396" s="8"/>
      <c r="T396" s="8"/>
      <c r="U396" s="8"/>
      <c r="V396" s="11"/>
      <c r="W396" s="8"/>
      <c r="X396" s="8"/>
      <c r="Y396" s="9"/>
      <c r="Z396" s="8"/>
      <c r="AA396" s="8"/>
      <c r="AB396" s="8"/>
    </row>
    <row r="397" spans="1:28" x14ac:dyDescent="0.15">
      <c r="A397" s="8"/>
      <c r="B397" s="8"/>
      <c r="C397" s="8"/>
      <c r="D397" s="8"/>
      <c r="E397" s="9"/>
      <c r="F397" s="8"/>
      <c r="G397" s="10"/>
      <c r="H397" s="11"/>
      <c r="I397" s="8"/>
      <c r="J397" s="9"/>
      <c r="K397" s="8"/>
      <c r="L397" s="9"/>
      <c r="M397" s="8"/>
      <c r="N397" s="11"/>
      <c r="O397" s="8"/>
      <c r="P397" s="9"/>
      <c r="Q397" s="8"/>
      <c r="R397" s="9"/>
      <c r="S397" s="8"/>
      <c r="T397" s="8"/>
      <c r="U397" s="8"/>
      <c r="V397" s="11"/>
      <c r="W397" s="8"/>
      <c r="X397" s="8"/>
      <c r="Y397" s="9"/>
      <c r="Z397" s="8"/>
      <c r="AA397" s="8"/>
      <c r="AB397" s="8"/>
    </row>
    <row r="398" spans="1:28" x14ac:dyDescent="0.15">
      <c r="A398" s="8"/>
      <c r="B398" s="8"/>
      <c r="C398" s="8"/>
      <c r="D398" s="8"/>
      <c r="E398" s="9"/>
      <c r="F398" s="8"/>
      <c r="G398" s="10"/>
      <c r="H398" s="11"/>
      <c r="I398" s="8"/>
      <c r="J398" s="9"/>
      <c r="K398" s="8"/>
      <c r="L398" s="9"/>
      <c r="M398" s="8"/>
      <c r="N398" s="11"/>
      <c r="O398" s="8"/>
      <c r="P398" s="9"/>
      <c r="Q398" s="8"/>
      <c r="R398" s="9"/>
      <c r="S398" s="8"/>
      <c r="T398" s="8"/>
      <c r="U398" s="8"/>
      <c r="V398" s="11"/>
      <c r="W398" s="8"/>
      <c r="X398" s="8"/>
      <c r="Y398" s="9"/>
      <c r="Z398" s="8"/>
      <c r="AA398" s="8"/>
      <c r="AB398" s="8"/>
    </row>
    <row r="399" spans="1:28" x14ac:dyDescent="0.15">
      <c r="A399" s="8"/>
      <c r="B399" s="8"/>
      <c r="C399" s="8"/>
      <c r="D399" s="8"/>
      <c r="E399" s="9"/>
      <c r="F399" s="8"/>
      <c r="G399" s="10"/>
      <c r="H399" s="11"/>
      <c r="I399" s="8"/>
      <c r="J399" s="9"/>
      <c r="K399" s="8"/>
      <c r="L399" s="9"/>
      <c r="M399" s="8"/>
      <c r="N399" s="11"/>
      <c r="O399" s="8"/>
      <c r="P399" s="9"/>
      <c r="Q399" s="8"/>
      <c r="R399" s="9"/>
      <c r="S399" s="8"/>
      <c r="T399" s="8"/>
      <c r="U399" s="8"/>
      <c r="V399" s="11"/>
      <c r="W399" s="8"/>
      <c r="X399" s="8"/>
      <c r="Y399" s="9"/>
      <c r="Z399" s="8"/>
      <c r="AA399" s="8"/>
      <c r="AB399" s="8"/>
    </row>
    <row r="400" spans="1:28" x14ac:dyDescent="0.15">
      <c r="A400" s="8"/>
      <c r="B400" s="8"/>
      <c r="C400" s="8"/>
      <c r="D400" s="8"/>
      <c r="E400" s="9"/>
      <c r="F400" s="8"/>
      <c r="G400" s="10"/>
      <c r="H400" s="11"/>
      <c r="I400" s="8"/>
      <c r="J400" s="9"/>
      <c r="K400" s="8"/>
      <c r="L400" s="9"/>
      <c r="M400" s="8"/>
      <c r="N400" s="11"/>
      <c r="O400" s="8"/>
      <c r="P400" s="9"/>
      <c r="Q400" s="8"/>
      <c r="R400" s="9"/>
      <c r="S400" s="8"/>
      <c r="T400" s="8"/>
      <c r="U400" s="8"/>
      <c r="V400" s="11"/>
      <c r="W400" s="8"/>
      <c r="X400" s="8"/>
      <c r="Y400" s="9"/>
      <c r="Z400" s="8"/>
      <c r="AA400" s="8"/>
      <c r="AB400" s="8"/>
    </row>
    <row r="401" spans="1:28" x14ac:dyDescent="0.15">
      <c r="A401" s="8"/>
      <c r="B401" s="8"/>
      <c r="C401" s="8"/>
      <c r="D401" s="8"/>
      <c r="E401" s="9"/>
      <c r="F401" s="8"/>
      <c r="G401" s="10"/>
      <c r="H401" s="11"/>
      <c r="I401" s="8"/>
      <c r="J401" s="9"/>
      <c r="K401" s="8"/>
      <c r="L401" s="9"/>
      <c r="M401" s="8"/>
      <c r="N401" s="11"/>
      <c r="O401" s="8"/>
      <c r="P401" s="9"/>
      <c r="Q401" s="8"/>
      <c r="R401" s="9"/>
      <c r="S401" s="8"/>
      <c r="T401" s="8"/>
      <c r="U401" s="8"/>
      <c r="V401" s="11"/>
      <c r="W401" s="8"/>
      <c r="X401" s="8"/>
      <c r="Y401" s="9"/>
      <c r="Z401" s="8"/>
      <c r="AA401" s="8"/>
      <c r="AB401" s="8"/>
    </row>
    <row r="402" spans="1:28" x14ac:dyDescent="0.15">
      <c r="A402" s="8"/>
      <c r="B402" s="8"/>
      <c r="C402" s="8"/>
      <c r="D402" s="8"/>
      <c r="E402" s="9"/>
      <c r="F402" s="8"/>
      <c r="G402" s="10"/>
      <c r="H402" s="11"/>
      <c r="I402" s="8"/>
      <c r="J402" s="9"/>
      <c r="K402" s="8"/>
      <c r="L402" s="9"/>
      <c r="M402" s="8"/>
      <c r="N402" s="11"/>
      <c r="O402" s="8"/>
      <c r="P402" s="9"/>
      <c r="Q402" s="8"/>
      <c r="R402" s="9"/>
      <c r="S402" s="8"/>
      <c r="T402" s="8"/>
      <c r="U402" s="8"/>
      <c r="V402" s="11"/>
      <c r="W402" s="8"/>
      <c r="X402" s="8"/>
      <c r="Y402" s="9"/>
      <c r="Z402" s="8"/>
      <c r="AA402" s="8"/>
      <c r="AB402" s="8"/>
    </row>
    <row r="403" spans="1:28" x14ac:dyDescent="0.15">
      <c r="A403" s="8"/>
      <c r="B403" s="8"/>
      <c r="C403" s="8"/>
      <c r="D403" s="8"/>
      <c r="E403" s="9"/>
      <c r="F403" s="8"/>
      <c r="G403" s="10"/>
      <c r="H403" s="11"/>
      <c r="I403" s="8"/>
      <c r="J403" s="9"/>
      <c r="K403" s="8"/>
      <c r="L403" s="9"/>
      <c r="M403" s="8"/>
      <c r="N403" s="11"/>
      <c r="O403" s="8"/>
      <c r="P403" s="9"/>
      <c r="Q403" s="8"/>
      <c r="R403" s="9"/>
      <c r="S403" s="8"/>
      <c r="T403" s="8"/>
      <c r="U403" s="8"/>
      <c r="V403" s="11"/>
      <c r="W403" s="8"/>
      <c r="X403" s="8"/>
      <c r="Y403" s="9"/>
      <c r="Z403" s="8"/>
      <c r="AA403" s="8"/>
      <c r="AB403" s="8"/>
    </row>
    <row r="404" spans="1:28" x14ac:dyDescent="0.15">
      <c r="A404" s="8"/>
      <c r="B404" s="8"/>
      <c r="C404" s="8"/>
      <c r="D404" s="8"/>
      <c r="E404" s="9"/>
      <c r="F404" s="8"/>
      <c r="G404" s="10"/>
      <c r="H404" s="11"/>
      <c r="I404" s="8"/>
      <c r="J404" s="9"/>
      <c r="K404" s="8"/>
      <c r="L404" s="9"/>
      <c r="M404" s="8"/>
      <c r="N404" s="11"/>
      <c r="O404" s="8"/>
      <c r="P404" s="9"/>
      <c r="Q404" s="8"/>
      <c r="R404" s="9"/>
      <c r="S404" s="8"/>
      <c r="T404" s="8"/>
      <c r="U404" s="8"/>
      <c r="V404" s="11"/>
      <c r="W404" s="8"/>
      <c r="X404" s="8"/>
      <c r="Y404" s="9"/>
      <c r="Z404" s="8"/>
      <c r="AA404" s="8"/>
      <c r="AB404" s="8"/>
    </row>
    <row r="405" spans="1:28" x14ac:dyDescent="0.15">
      <c r="A405" s="8"/>
      <c r="B405" s="8"/>
      <c r="C405" s="8"/>
      <c r="D405" s="8"/>
      <c r="E405" s="9"/>
      <c r="F405" s="8"/>
      <c r="G405" s="10"/>
      <c r="H405" s="11"/>
      <c r="I405" s="8"/>
      <c r="J405" s="9"/>
      <c r="K405" s="8"/>
      <c r="L405" s="9"/>
      <c r="M405" s="8"/>
      <c r="N405" s="11"/>
      <c r="O405" s="8"/>
      <c r="P405" s="9"/>
      <c r="Q405" s="8"/>
      <c r="R405" s="9"/>
      <c r="S405" s="8"/>
      <c r="T405" s="8"/>
      <c r="U405" s="8"/>
      <c r="V405" s="11"/>
      <c r="W405" s="8"/>
      <c r="X405" s="8"/>
      <c r="Y405" s="9"/>
      <c r="Z405" s="8"/>
      <c r="AA405" s="8"/>
      <c r="AB405" s="8"/>
    </row>
    <row r="406" spans="1:28" x14ac:dyDescent="0.15">
      <c r="A406" s="8"/>
      <c r="B406" s="8"/>
      <c r="C406" s="8"/>
      <c r="D406" s="8"/>
      <c r="E406" s="9"/>
      <c r="F406" s="8"/>
      <c r="G406" s="10"/>
      <c r="H406" s="11"/>
      <c r="I406" s="8"/>
      <c r="J406" s="9"/>
      <c r="K406" s="8"/>
      <c r="L406" s="9"/>
      <c r="M406" s="8"/>
      <c r="N406" s="11"/>
      <c r="O406" s="8"/>
      <c r="P406" s="9"/>
      <c r="Q406" s="8"/>
      <c r="R406" s="9"/>
      <c r="S406" s="8"/>
      <c r="T406" s="8"/>
      <c r="U406" s="8"/>
      <c r="V406" s="11"/>
      <c r="W406" s="8"/>
      <c r="X406" s="8"/>
      <c r="Y406" s="9"/>
      <c r="Z406" s="8"/>
      <c r="AA406" s="8"/>
      <c r="AB406" s="8"/>
    </row>
    <row r="407" spans="1:28" x14ac:dyDescent="0.15">
      <c r="A407" s="8"/>
      <c r="B407" s="8"/>
      <c r="C407" s="8"/>
      <c r="D407" s="8"/>
      <c r="E407" s="9"/>
      <c r="F407" s="8"/>
      <c r="G407" s="10"/>
      <c r="H407" s="11"/>
      <c r="I407" s="8"/>
      <c r="J407" s="9"/>
      <c r="K407" s="8"/>
      <c r="L407" s="9"/>
      <c r="M407" s="8"/>
      <c r="N407" s="11"/>
      <c r="O407" s="8"/>
      <c r="P407" s="9"/>
      <c r="Q407" s="8"/>
      <c r="R407" s="9"/>
      <c r="S407" s="8"/>
      <c r="T407" s="8"/>
      <c r="U407" s="8"/>
      <c r="V407" s="11"/>
      <c r="W407" s="8"/>
      <c r="X407" s="8"/>
      <c r="Y407" s="9"/>
      <c r="Z407" s="8"/>
      <c r="AA407" s="8"/>
      <c r="AB407" s="8"/>
    </row>
    <row r="408" spans="1:28" x14ac:dyDescent="0.15">
      <c r="A408" s="8"/>
      <c r="B408" s="8"/>
      <c r="C408" s="8"/>
      <c r="D408" s="8"/>
      <c r="E408" s="9"/>
      <c r="F408" s="8"/>
      <c r="G408" s="10"/>
      <c r="H408" s="11"/>
      <c r="I408" s="8"/>
      <c r="J408" s="9"/>
      <c r="K408" s="8"/>
      <c r="L408" s="9"/>
      <c r="M408" s="8"/>
      <c r="N408" s="11"/>
      <c r="O408" s="8"/>
      <c r="P408" s="9"/>
      <c r="Q408" s="8"/>
      <c r="R408" s="9"/>
      <c r="S408" s="8"/>
      <c r="T408" s="8"/>
      <c r="U408" s="8"/>
      <c r="V408" s="11"/>
      <c r="W408" s="8"/>
      <c r="X408" s="8"/>
      <c r="Y408" s="9"/>
      <c r="Z408" s="8"/>
      <c r="AA408" s="8"/>
      <c r="AB408" s="8"/>
    </row>
    <row r="409" spans="1:28" x14ac:dyDescent="0.15">
      <c r="A409" s="8"/>
      <c r="B409" s="8"/>
      <c r="C409" s="8"/>
      <c r="D409" s="8"/>
      <c r="E409" s="9"/>
      <c r="F409" s="8"/>
      <c r="G409" s="10"/>
      <c r="H409" s="11"/>
      <c r="I409" s="8"/>
      <c r="J409" s="9"/>
      <c r="K409" s="8"/>
      <c r="L409" s="9"/>
      <c r="M409" s="8"/>
      <c r="N409" s="11"/>
      <c r="O409" s="8"/>
      <c r="P409" s="9"/>
      <c r="Q409" s="8"/>
      <c r="R409" s="9"/>
      <c r="S409" s="8"/>
      <c r="T409" s="8"/>
      <c r="U409" s="8"/>
      <c r="V409" s="11"/>
      <c r="W409" s="8"/>
      <c r="X409" s="8"/>
      <c r="Y409" s="9"/>
      <c r="Z409" s="8"/>
      <c r="AA409" s="8"/>
      <c r="AB409" s="8"/>
    </row>
    <row r="410" spans="1:28" x14ac:dyDescent="0.15">
      <c r="A410" s="8"/>
      <c r="B410" s="8"/>
      <c r="C410" s="8"/>
      <c r="D410" s="8"/>
      <c r="E410" s="9"/>
      <c r="F410" s="8"/>
      <c r="G410" s="10"/>
      <c r="H410" s="11"/>
      <c r="I410" s="8"/>
      <c r="J410" s="9"/>
      <c r="K410" s="8"/>
      <c r="L410" s="9"/>
      <c r="M410" s="8"/>
      <c r="N410" s="11"/>
      <c r="O410" s="8"/>
      <c r="P410" s="9"/>
      <c r="Q410" s="8"/>
      <c r="R410" s="9"/>
      <c r="S410" s="8"/>
      <c r="T410" s="8"/>
      <c r="U410" s="8"/>
      <c r="V410" s="11"/>
      <c r="W410" s="8"/>
      <c r="X410" s="8"/>
      <c r="Y410" s="9"/>
      <c r="Z410" s="8"/>
      <c r="AA410" s="8"/>
      <c r="AB410" s="8"/>
    </row>
    <row r="411" spans="1:28" x14ac:dyDescent="0.15">
      <c r="A411" s="8"/>
      <c r="B411" s="8"/>
      <c r="C411" s="8"/>
      <c r="D411" s="8"/>
      <c r="E411" s="9"/>
      <c r="F411" s="8"/>
      <c r="G411" s="10"/>
      <c r="H411" s="11"/>
      <c r="I411" s="8"/>
      <c r="J411" s="9"/>
      <c r="K411" s="8"/>
      <c r="L411" s="9"/>
      <c r="M411" s="8"/>
      <c r="N411" s="11"/>
      <c r="O411" s="8"/>
      <c r="P411" s="9"/>
      <c r="Q411" s="8"/>
      <c r="R411" s="9"/>
      <c r="S411" s="8"/>
      <c r="T411" s="8"/>
      <c r="U411" s="8"/>
      <c r="V411" s="11"/>
      <c r="W411" s="8"/>
      <c r="X411" s="8"/>
      <c r="Y411" s="9"/>
      <c r="Z411" s="8"/>
      <c r="AA411" s="8"/>
      <c r="AB411" s="8"/>
    </row>
    <row r="412" spans="1:28" x14ac:dyDescent="0.15">
      <c r="A412" s="8"/>
      <c r="B412" s="8"/>
      <c r="C412" s="8"/>
      <c r="D412" s="8"/>
      <c r="E412" s="9"/>
      <c r="F412" s="8"/>
      <c r="G412" s="10"/>
      <c r="H412" s="11"/>
      <c r="I412" s="8"/>
      <c r="J412" s="9"/>
      <c r="K412" s="8"/>
      <c r="L412" s="9"/>
      <c r="M412" s="8"/>
      <c r="N412" s="11"/>
      <c r="O412" s="8"/>
      <c r="P412" s="9"/>
      <c r="Q412" s="8"/>
      <c r="R412" s="9"/>
      <c r="S412" s="8"/>
      <c r="T412" s="8"/>
      <c r="U412" s="8"/>
      <c r="V412" s="11"/>
      <c r="W412" s="8"/>
      <c r="X412" s="8"/>
      <c r="Y412" s="9"/>
      <c r="Z412" s="8"/>
      <c r="AA412" s="8"/>
      <c r="AB412" s="8"/>
    </row>
    <row r="413" spans="1:28" x14ac:dyDescent="0.15">
      <c r="A413" s="8"/>
      <c r="B413" s="8"/>
      <c r="C413" s="8"/>
      <c r="D413" s="8"/>
      <c r="E413" s="9"/>
      <c r="F413" s="8"/>
      <c r="G413" s="10"/>
      <c r="H413" s="11"/>
      <c r="I413" s="8"/>
      <c r="J413" s="9"/>
      <c r="K413" s="8"/>
      <c r="L413" s="9"/>
      <c r="M413" s="8"/>
      <c r="N413" s="11"/>
      <c r="O413" s="8"/>
      <c r="P413" s="9"/>
      <c r="Q413" s="8"/>
      <c r="R413" s="9"/>
      <c r="S413" s="8"/>
      <c r="T413" s="8"/>
      <c r="U413" s="8"/>
      <c r="V413" s="11"/>
      <c r="W413" s="8"/>
      <c r="X413" s="8"/>
      <c r="Y413" s="9"/>
      <c r="Z413" s="8"/>
      <c r="AA413" s="8"/>
      <c r="AB413" s="8"/>
    </row>
    <row r="414" spans="1:28" x14ac:dyDescent="0.15">
      <c r="A414" s="8"/>
      <c r="B414" s="8"/>
      <c r="C414" s="8"/>
      <c r="D414" s="8"/>
      <c r="E414" s="9"/>
      <c r="F414" s="8"/>
      <c r="G414" s="10"/>
      <c r="H414" s="11"/>
      <c r="I414" s="8"/>
      <c r="J414" s="9"/>
      <c r="K414" s="8"/>
      <c r="L414" s="9"/>
      <c r="M414" s="8"/>
      <c r="N414" s="11"/>
      <c r="O414" s="8"/>
      <c r="P414" s="9"/>
      <c r="Q414" s="8"/>
      <c r="R414" s="9"/>
      <c r="S414" s="8"/>
      <c r="T414" s="8"/>
      <c r="U414" s="8"/>
      <c r="V414" s="11"/>
      <c r="W414" s="8"/>
      <c r="X414" s="8"/>
      <c r="Y414" s="9"/>
      <c r="Z414" s="8"/>
      <c r="AA414" s="8"/>
      <c r="AB414" s="8"/>
    </row>
    <row r="415" spans="1:28" x14ac:dyDescent="0.15">
      <c r="A415" s="8"/>
      <c r="B415" s="8"/>
      <c r="C415" s="8"/>
      <c r="D415" s="8"/>
      <c r="E415" s="9"/>
      <c r="F415" s="8"/>
      <c r="G415" s="10"/>
      <c r="H415" s="11"/>
      <c r="I415" s="8"/>
      <c r="J415" s="9"/>
      <c r="K415" s="8"/>
      <c r="L415" s="9"/>
      <c r="M415" s="8"/>
      <c r="N415" s="11"/>
      <c r="O415" s="8"/>
      <c r="P415" s="9"/>
      <c r="Q415" s="8"/>
      <c r="R415" s="9"/>
      <c r="S415" s="8"/>
      <c r="T415" s="8"/>
      <c r="U415" s="8"/>
      <c r="V415" s="11"/>
      <c r="W415" s="8"/>
      <c r="X415" s="8"/>
      <c r="Y415" s="9"/>
      <c r="Z415" s="8"/>
      <c r="AA415" s="8"/>
      <c r="AB415" s="8"/>
    </row>
    <row r="416" spans="1:28" x14ac:dyDescent="0.15">
      <c r="A416" s="8"/>
      <c r="B416" s="8"/>
      <c r="C416" s="8"/>
      <c r="D416" s="8"/>
      <c r="E416" s="9"/>
      <c r="F416" s="8"/>
      <c r="G416" s="10"/>
      <c r="H416" s="11"/>
      <c r="I416" s="8"/>
      <c r="J416" s="9"/>
      <c r="K416" s="8"/>
      <c r="L416" s="9"/>
      <c r="M416" s="8"/>
      <c r="N416" s="11"/>
      <c r="O416" s="8"/>
      <c r="P416" s="9"/>
      <c r="Q416" s="8"/>
      <c r="R416" s="9"/>
      <c r="S416" s="8"/>
      <c r="T416" s="8"/>
      <c r="U416" s="8"/>
      <c r="V416" s="11"/>
      <c r="W416" s="8"/>
      <c r="X416" s="8"/>
      <c r="Y416" s="9"/>
      <c r="Z416" s="8"/>
      <c r="AA416" s="8"/>
      <c r="AB416" s="8"/>
    </row>
    <row r="417" spans="1:28" x14ac:dyDescent="0.15">
      <c r="A417" s="8"/>
      <c r="B417" s="8"/>
      <c r="C417" s="8"/>
      <c r="D417" s="8"/>
      <c r="E417" s="9"/>
      <c r="F417" s="8"/>
      <c r="G417" s="10"/>
      <c r="H417" s="11"/>
      <c r="I417" s="8"/>
      <c r="J417" s="9"/>
      <c r="K417" s="8"/>
      <c r="L417" s="9"/>
      <c r="M417" s="8"/>
      <c r="N417" s="11"/>
      <c r="O417" s="8"/>
      <c r="P417" s="9"/>
      <c r="Q417" s="8"/>
      <c r="R417" s="9"/>
      <c r="S417" s="8"/>
      <c r="T417" s="8"/>
      <c r="U417" s="8"/>
      <c r="V417" s="11"/>
      <c r="W417" s="8"/>
      <c r="X417" s="8"/>
      <c r="Y417" s="9"/>
      <c r="Z417" s="8"/>
      <c r="AA417" s="8"/>
      <c r="AB417" s="8"/>
    </row>
    <row r="418" spans="1:28" x14ac:dyDescent="0.15">
      <c r="A418" s="8"/>
      <c r="B418" s="8"/>
      <c r="C418" s="8"/>
      <c r="D418" s="8"/>
      <c r="E418" s="9"/>
      <c r="F418" s="8"/>
      <c r="G418" s="10"/>
      <c r="H418" s="11"/>
      <c r="I418" s="8"/>
      <c r="J418" s="9"/>
      <c r="K418" s="8"/>
      <c r="L418" s="9"/>
      <c r="M418" s="8"/>
      <c r="N418" s="11"/>
      <c r="O418" s="8"/>
      <c r="P418" s="9"/>
      <c r="Q418" s="8"/>
      <c r="R418" s="9"/>
      <c r="S418" s="8"/>
      <c r="T418" s="8"/>
      <c r="U418" s="8"/>
      <c r="V418" s="11"/>
      <c r="W418" s="8"/>
      <c r="X418" s="8"/>
      <c r="Y418" s="9"/>
      <c r="Z418" s="8"/>
      <c r="AA418" s="8"/>
      <c r="AB418" s="8"/>
    </row>
    <row r="419" spans="1:28" x14ac:dyDescent="0.15">
      <c r="A419" s="8"/>
      <c r="B419" s="8"/>
      <c r="C419" s="8"/>
      <c r="D419" s="8"/>
      <c r="E419" s="9"/>
      <c r="F419" s="8"/>
      <c r="G419" s="10"/>
      <c r="H419" s="11"/>
      <c r="I419" s="8"/>
      <c r="J419" s="9"/>
      <c r="K419" s="8"/>
      <c r="L419" s="9"/>
      <c r="M419" s="8"/>
      <c r="N419" s="11"/>
      <c r="O419" s="8"/>
      <c r="P419" s="9"/>
      <c r="Q419" s="8"/>
      <c r="R419" s="9"/>
      <c r="S419" s="8"/>
      <c r="T419" s="8"/>
      <c r="U419" s="8"/>
      <c r="V419" s="11"/>
      <c r="W419" s="8"/>
      <c r="X419" s="8"/>
      <c r="Y419" s="9"/>
      <c r="Z419" s="8"/>
      <c r="AA419" s="8"/>
      <c r="AB419" s="8"/>
    </row>
    <row r="420" spans="1:28" x14ac:dyDescent="0.15">
      <c r="A420" s="8"/>
      <c r="B420" s="8"/>
      <c r="C420" s="8"/>
      <c r="D420" s="8"/>
      <c r="E420" s="9"/>
      <c r="F420" s="8"/>
      <c r="G420" s="10"/>
      <c r="H420" s="11"/>
      <c r="I420" s="8"/>
      <c r="J420" s="9"/>
      <c r="K420" s="8"/>
      <c r="L420" s="9"/>
      <c r="M420" s="8"/>
      <c r="N420" s="11"/>
      <c r="O420" s="8"/>
      <c r="P420" s="9"/>
      <c r="Q420" s="8"/>
      <c r="R420" s="9"/>
      <c r="S420" s="8"/>
      <c r="T420" s="8"/>
      <c r="U420" s="8"/>
      <c r="V420" s="11"/>
      <c r="W420" s="8"/>
      <c r="X420" s="8"/>
      <c r="Y420" s="9"/>
      <c r="Z420" s="8"/>
      <c r="AA420" s="8"/>
      <c r="AB420" s="8"/>
    </row>
    <row r="421" spans="1:28" x14ac:dyDescent="0.15">
      <c r="A421" s="8"/>
      <c r="B421" s="8"/>
      <c r="C421" s="8"/>
      <c r="D421" s="8"/>
      <c r="E421" s="9"/>
      <c r="F421" s="8"/>
      <c r="G421" s="10"/>
      <c r="H421" s="11"/>
      <c r="I421" s="8"/>
      <c r="J421" s="9"/>
      <c r="K421" s="8"/>
      <c r="L421" s="9"/>
      <c r="M421" s="8"/>
      <c r="N421" s="11"/>
      <c r="O421" s="8"/>
      <c r="P421" s="9"/>
      <c r="Q421" s="8"/>
      <c r="R421" s="9"/>
      <c r="S421" s="8"/>
      <c r="T421" s="8"/>
      <c r="U421" s="8"/>
      <c r="V421" s="11"/>
      <c r="W421" s="8"/>
      <c r="X421" s="8"/>
      <c r="Y421" s="9"/>
      <c r="Z421" s="8"/>
      <c r="AA421" s="8"/>
      <c r="AB421" s="8"/>
    </row>
    <row r="422" spans="1:28" x14ac:dyDescent="0.15">
      <c r="A422" s="8"/>
      <c r="B422" s="8"/>
      <c r="C422" s="8"/>
      <c r="D422" s="8"/>
      <c r="E422" s="9"/>
      <c r="F422" s="8"/>
      <c r="G422" s="10"/>
      <c r="H422" s="11"/>
      <c r="I422" s="8"/>
      <c r="J422" s="9"/>
      <c r="K422" s="8"/>
      <c r="L422" s="9"/>
      <c r="M422" s="8"/>
      <c r="N422" s="11"/>
      <c r="O422" s="8"/>
      <c r="P422" s="9"/>
      <c r="Q422" s="8"/>
      <c r="R422" s="9"/>
      <c r="S422" s="8"/>
      <c r="T422" s="8"/>
      <c r="U422" s="8"/>
      <c r="V422" s="11"/>
      <c r="W422" s="8"/>
      <c r="X422" s="8"/>
      <c r="Y422" s="9"/>
      <c r="Z422" s="8"/>
      <c r="AA422" s="8"/>
      <c r="AB422" s="8"/>
    </row>
    <row r="423" spans="1:28" x14ac:dyDescent="0.15">
      <c r="A423" s="8"/>
      <c r="B423" s="8"/>
      <c r="C423" s="8"/>
      <c r="D423" s="8"/>
      <c r="E423" s="9"/>
      <c r="F423" s="8"/>
      <c r="G423" s="10"/>
      <c r="H423" s="11"/>
      <c r="I423" s="8"/>
      <c r="J423" s="9"/>
      <c r="K423" s="8"/>
      <c r="L423" s="9"/>
      <c r="M423" s="8"/>
      <c r="N423" s="11"/>
      <c r="O423" s="8"/>
      <c r="P423" s="9"/>
      <c r="Q423" s="8"/>
      <c r="R423" s="9"/>
      <c r="S423" s="8"/>
      <c r="T423" s="8"/>
      <c r="U423" s="8"/>
      <c r="V423" s="11"/>
      <c r="W423" s="8"/>
      <c r="X423" s="8"/>
      <c r="Y423" s="9"/>
      <c r="Z423" s="8"/>
      <c r="AA423" s="8"/>
      <c r="AB423" s="8"/>
    </row>
    <row r="424" spans="1:28" x14ac:dyDescent="0.15">
      <c r="A424" s="8"/>
      <c r="B424" s="8"/>
      <c r="C424" s="8"/>
      <c r="D424" s="8"/>
      <c r="E424" s="9"/>
      <c r="F424" s="8"/>
      <c r="G424" s="10"/>
      <c r="H424" s="11"/>
      <c r="I424" s="8"/>
      <c r="J424" s="9"/>
      <c r="K424" s="8"/>
      <c r="L424" s="9"/>
      <c r="M424" s="8"/>
      <c r="N424" s="11"/>
      <c r="O424" s="8"/>
      <c r="P424" s="9"/>
      <c r="Q424" s="8"/>
      <c r="R424" s="9"/>
      <c r="S424" s="8"/>
      <c r="T424" s="8"/>
      <c r="U424" s="8"/>
      <c r="V424" s="11"/>
      <c r="W424" s="8"/>
      <c r="X424" s="8"/>
      <c r="Y424" s="9"/>
      <c r="Z424" s="8"/>
      <c r="AA424" s="8"/>
      <c r="AB424" s="8"/>
    </row>
    <row r="425" spans="1:28" x14ac:dyDescent="0.15">
      <c r="A425" s="8"/>
      <c r="B425" s="8"/>
      <c r="C425" s="8"/>
      <c r="D425" s="8"/>
      <c r="E425" s="9"/>
      <c r="F425" s="8"/>
      <c r="G425" s="10"/>
      <c r="H425" s="11"/>
      <c r="I425" s="8"/>
      <c r="J425" s="9"/>
      <c r="K425" s="8"/>
      <c r="L425" s="9"/>
      <c r="M425" s="8"/>
      <c r="N425" s="11"/>
      <c r="O425" s="8"/>
      <c r="P425" s="9"/>
      <c r="Q425" s="8"/>
      <c r="R425" s="9"/>
      <c r="S425" s="8"/>
      <c r="T425" s="8"/>
      <c r="U425" s="8"/>
      <c r="V425" s="11"/>
      <c r="W425" s="8"/>
      <c r="X425" s="8"/>
      <c r="Y425" s="9"/>
      <c r="Z425" s="8"/>
      <c r="AA425" s="8"/>
      <c r="AB425" s="8"/>
    </row>
    <row r="426" spans="1:28" x14ac:dyDescent="0.15">
      <c r="A426" s="8"/>
      <c r="B426" s="8"/>
      <c r="C426" s="8"/>
      <c r="D426" s="8"/>
      <c r="E426" s="9"/>
      <c r="F426" s="8"/>
      <c r="G426" s="10"/>
      <c r="H426" s="11"/>
      <c r="I426" s="8"/>
      <c r="J426" s="9"/>
      <c r="K426" s="8"/>
      <c r="L426" s="9"/>
      <c r="M426" s="8"/>
      <c r="N426" s="11"/>
      <c r="O426" s="8"/>
      <c r="P426" s="9"/>
      <c r="Q426" s="8"/>
      <c r="R426" s="9"/>
      <c r="S426" s="8"/>
      <c r="T426" s="8"/>
      <c r="U426" s="8"/>
      <c r="V426" s="11"/>
      <c r="W426" s="8"/>
      <c r="X426" s="8"/>
      <c r="Y426" s="9"/>
      <c r="Z426" s="8"/>
      <c r="AA426" s="8"/>
      <c r="AB426" s="8"/>
    </row>
    <row r="427" spans="1:28" x14ac:dyDescent="0.15">
      <c r="A427" s="8"/>
      <c r="B427" s="8"/>
      <c r="C427" s="8"/>
      <c r="D427" s="8"/>
      <c r="E427" s="9"/>
      <c r="F427" s="8"/>
      <c r="G427" s="10"/>
      <c r="H427" s="11"/>
      <c r="I427" s="8"/>
      <c r="J427" s="9"/>
      <c r="K427" s="8"/>
      <c r="L427" s="9"/>
      <c r="M427" s="8"/>
      <c r="N427" s="11"/>
      <c r="O427" s="8"/>
      <c r="P427" s="9"/>
      <c r="Q427" s="8"/>
      <c r="R427" s="9"/>
      <c r="S427" s="8"/>
      <c r="T427" s="8"/>
      <c r="U427" s="8"/>
      <c r="V427" s="11"/>
      <c r="W427" s="8"/>
      <c r="X427" s="8"/>
      <c r="Y427" s="9"/>
      <c r="Z427" s="8"/>
      <c r="AA427" s="8"/>
      <c r="AB427" s="8"/>
    </row>
    <row r="428" spans="1:28" x14ac:dyDescent="0.15">
      <c r="A428" s="8"/>
      <c r="B428" s="8"/>
      <c r="C428" s="8"/>
      <c r="D428" s="8"/>
      <c r="E428" s="9"/>
      <c r="F428" s="8"/>
      <c r="G428" s="10"/>
      <c r="H428" s="11"/>
      <c r="I428" s="8"/>
      <c r="J428" s="9"/>
      <c r="K428" s="8"/>
      <c r="L428" s="9"/>
      <c r="M428" s="8"/>
      <c r="N428" s="11"/>
      <c r="O428" s="8"/>
      <c r="P428" s="9"/>
      <c r="Q428" s="8"/>
      <c r="R428" s="9"/>
      <c r="S428" s="8"/>
      <c r="T428" s="8"/>
      <c r="U428" s="8"/>
      <c r="V428" s="11"/>
      <c r="W428" s="8"/>
      <c r="X428" s="8"/>
      <c r="Y428" s="9"/>
      <c r="Z428" s="8"/>
      <c r="AA428" s="8"/>
      <c r="AB428" s="8"/>
    </row>
    <row r="429" spans="1:28" x14ac:dyDescent="0.15">
      <c r="A429" s="8"/>
      <c r="B429" s="8"/>
      <c r="C429" s="8"/>
      <c r="D429" s="8"/>
      <c r="E429" s="9"/>
      <c r="F429" s="8"/>
      <c r="G429" s="10"/>
      <c r="H429" s="11"/>
      <c r="I429" s="8"/>
      <c r="J429" s="9"/>
      <c r="K429" s="8"/>
      <c r="L429" s="9"/>
      <c r="M429" s="8"/>
      <c r="N429" s="11"/>
      <c r="O429" s="8"/>
      <c r="P429" s="9"/>
      <c r="Q429" s="8"/>
      <c r="R429" s="9"/>
      <c r="S429" s="8"/>
      <c r="T429" s="8"/>
      <c r="U429" s="8"/>
      <c r="V429" s="11"/>
      <c r="W429" s="8"/>
      <c r="X429" s="8"/>
      <c r="Y429" s="9"/>
      <c r="Z429" s="8"/>
      <c r="AA429" s="8"/>
      <c r="AB429" s="8"/>
    </row>
    <row r="430" spans="1:28" x14ac:dyDescent="0.15">
      <c r="A430" s="8"/>
      <c r="B430" s="8"/>
      <c r="C430" s="8"/>
      <c r="D430" s="8"/>
      <c r="E430" s="9"/>
      <c r="F430" s="8"/>
      <c r="G430" s="10"/>
      <c r="H430" s="11"/>
      <c r="I430" s="8"/>
      <c r="J430" s="9"/>
      <c r="K430" s="8"/>
      <c r="L430" s="9"/>
      <c r="M430" s="8"/>
      <c r="N430" s="11"/>
      <c r="O430" s="8"/>
      <c r="P430" s="9"/>
      <c r="Q430" s="8"/>
      <c r="R430" s="9"/>
      <c r="S430" s="8"/>
      <c r="T430" s="8"/>
      <c r="U430" s="8"/>
      <c r="V430" s="11"/>
      <c r="W430" s="8"/>
      <c r="X430" s="8"/>
      <c r="Y430" s="9"/>
      <c r="Z430" s="8"/>
      <c r="AA430" s="8"/>
      <c r="AB430" s="8"/>
    </row>
    <row r="431" spans="1:28" x14ac:dyDescent="0.15">
      <c r="A431" s="8"/>
      <c r="B431" s="8"/>
      <c r="C431" s="8"/>
      <c r="D431" s="8"/>
      <c r="E431" s="9"/>
      <c r="F431" s="8"/>
      <c r="G431" s="10"/>
      <c r="H431" s="11"/>
      <c r="I431" s="8"/>
      <c r="J431" s="9"/>
      <c r="K431" s="8"/>
      <c r="L431" s="9"/>
      <c r="M431" s="8"/>
      <c r="N431" s="11"/>
      <c r="O431" s="8"/>
      <c r="P431" s="9"/>
      <c r="Q431" s="8"/>
      <c r="R431" s="9"/>
      <c r="S431" s="8"/>
      <c r="T431" s="8"/>
      <c r="U431" s="8"/>
      <c r="V431" s="11"/>
      <c r="W431" s="8"/>
      <c r="X431" s="8"/>
      <c r="Y431" s="9"/>
      <c r="Z431" s="8"/>
      <c r="AA431" s="8"/>
      <c r="AB431" s="8"/>
    </row>
    <row r="432" spans="1:28" x14ac:dyDescent="0.15">
      <c r="A432" s="8"/>
      <c r="B432" s="8"/>
      <c r="C432" s="8"/>
      <c r="D432" s="8"/>
      <c r="E432" s="9"/>
      <c r="F432" s="8"/>
      <c r="G432" s="10"/>
      <c r="H432" s="11"/>
      <c r="I432" s="8"/>
      <c r="J432" s="9"/>
      <c r="K432" s="8"/>
      <c r="L432" s="9"/>
      <c r="M432" s="8"/>
      <c r="N432" s="11"/>
      <c r="O432" s="8"/>
      <c r="P432" s="9"/>
      <c r="Q432" s="8"/>
      <c r="R432" s="9"/>
      <c r="S432" s="8"/>
      <c r="T432" s="8"/>
      <c r="U432" s="8"/>
      <c r="V432" s="11"/>
      <c r="W432" s="8"/>
      <c r="X432" s="8"/>
      <c r="Y432" s="9"/>
      <c r="Z432" s="8"/>
      <c r="AA432" s="8"/>
      <c r="AB432" s="8"/>
    </row>
    <row r="433" spans="1:28" x14ac:dyDescent="0.15">
      <c r="A433" s="8"/>
      <c r="B433" s="8"/>
      <c r="C433" s="8"/>
      <c r="D433" s="8"/>
      <c r="E433" s="9"/>
      <c r="F433" s="8"/>
      <c r="G433" s="10"/>
      <c r="H433" s="11"/>
      <c r="I433" s="8"/>
      <c r="J433" s="9"/>
      <c r="K433" s="8"/>
      <c r="L433" s="9"/>
      <c r="M433" s="8"/>
      <c r="N433" s="11"/>
      <c r="O433" s="8"/>
      <c r="P433" s="9"/>
      <c r="Q433" s="8"/>
      <c r="R433" s="9"/>
      <c r="S433" s="8"/>
      <c r="T433" s="8"/>
      <c r="U433" s="8"/>
      <c r="V433" s="11"/>
      <c r="W433" s="8"/>
      <c r="X433" s="8"/>
      <c r="Y433" s="9"/>
      <c r="Z433" s="8"/>
      <c r="AA433" s="8"/>
      <c r="AB433" s="8"/>
    </row>
    <row r="434" spans="1:28" x14ac:dyDescent="0.15">
      <c r="A434" s="8"/>
      <c r="B434" s="8"/>
      <c r="C434" s="8"/>
      <c r="D434" s="8"/>
      <c r="E434" s="9"/>
      <c r="F434" s="8"/>
      <c r="G434" s="10"/>
      <c r="H434" s="11"/>
      <c r="I434" s="8"/>
      <c r="J434" s="9"/>
      <c r="K434" s="8"/>
      <c r="L434" s="9"/>
      <c r="M434" s="8"/>
      <c r="N434" s="11"/>
      <c r="O434" s="8"/>
      <c r="P434" s="9"/>
      <c r="Q434" s="8"/>
      <c r="R434" s="9"/>
      <c r="S434" s="8"/>
      <c r="T434" s="8"/>
      <c r="U434" s="8"/>
      <c r="V434" s="11"/>
      <c r="W434" s="8"/>
      <c r="X434" s="8"/>
      <c r="Y434" s="9"/>
      <c r="Z434" s="8"/>
      <c r="AA434" s="8"/>
      <c r="AB434" s="8"/>
    </row>
    <row r="435" spans="1:28" x14ac:dyDescent="0.15">
      <c r="A435" s="8"/>
      <c r="B435" s="8"/>
      <c r="C435" s="8"/>
      <c r="D435" s="8"/>
      <c r="E435" s="9"/>
      <c r="F435" s="8"/>
      <c r="G435" s="10"/>
      <c r="H435" s="11"/>
      <c r="I435" s="8"/>
      <c r="J435" s="9"/>
      <c r="K435" s="8"/>
      <c r="L435" s="9"/>
      <c r="M435" s="8"/>
      <c r="N435" s="11"/>
      <c r="O435" s="8"/>
      <c r="P435" s="9"/>
      <c r="Q435" s="8"/>
      <c r="R435" s="9"/>
      <c r="S435" s="8"/>
      <c r="T435" s="8"/>
      <c r="U435" s="8"/>
      <c r="V435" s="11"/>
      <c r="W435" s="8"/>
      <c r="X435" s="8"/>
      <c r="Y435" s="9"/>
      <c r="Z435" s="8"/>
      <c r="AA435" s="8"/>
      <c r="AB435" s="8"/>
    </row>
    <row r="436" spans="1:28" x14ac:dyDescent="0.15">
      <c r="A436" s="8"/>
      <c r="B436" s="8"/>
      <c r="C436" s="8"/>
      <c r="D436" s="8"/>
      <c r="E436" s="9"/>
      <c r="F436" s="8"/>
      <c r="G436" s="10"/>
      <c r="H436" s="11"/>
      <c r="I436" s="8"/>
      <c r="J436" s="9"/>
      <c r="K436" s="8"/>
      <c r="L436" s="9"/>
      <c r="M436" s="8"/>
      <c r="N436" s="11"/>
      <c r="O436" s="8"/>
      <c r="P436" s="9"/>
      <c r="Q436" s="8"/>
      <c r="R436" s="9"/>
      <c r="S436" s="8"/>
      <c r="T436" s="8"/>
      <c r="U436" s="8"/>
      <c r="V436" s="11"/>
      <c r="W436" s="8"/>
      <c r="X436" s="8"/>
      <c r="Y436" s="9"/>
      <c r="Z436" s="8"/>
      <c r="AA436" s="8"/>
      <c r="AB436" s="8"/>
    </row>
    <row r="437" spans="1:28" x14ac:dyDescent="0.15">
      <c r="A437" s="8"/>
      <c r="B437" s="8"/>
      <c r="C437" s="8"/>
      <c r="D437" s="8"/>
      <c r="E437" s="9"/>
      <c r="F437" s="8"/>
      <c r="G437" s="10"/>
      <c r="H437" s="11"/>
      <c r="I437" s="8"/>
      <c r="J437" s="9"/>
      <c r="K437" s="8"/>
      <c r="L437" s="9"/>
      <c r="M437" s="8"/>
      <c r="N437" s="11"/>
      <c r="O437" s="8"/>
      <c r="P437" s="9"/>
      <c r="Q437" s="8"/>
      <c r="R437" s="9"/>
      <c r="S437" s="8"/>
      <c r="T437" s="8"/>
      <c r="U437" s="8"/>
      <c r="V437" s="11"/>
      <c r="W437" s="8"/>
      <c r="X437" s="8"/>
      <c r="Y437" s="9"/>
      <c r="Z437" s="8"/>
      <c r="AA437" s="8"/>
      <c r="AB437" s="8"/>
    </row>
    <row r="438" spans="1:28" x14ac:dyDescent="0.15">
      <c r="A438" s="8"/>
      <c r="B438" s="8"/>
      <c r="C438" s="8"/>
      <c r="D438" s="8"/>
      <c r="E438" s="9"/>
      <c r="F438" s="8"/>
      <c r="G438" s="10"/>
      <c r="H438" s="11"/>
      <c r="I438" s="8"/>
      <c r="J438" s="9"/>
      <c r="K438" s="8"/>
      <c r="L438" s="9"/>
      <c r="M438" s="8"/>
      <c r="N438" s="11"/>
      <c r="O438" s="8"/>
      <c r="P438" s="9"/>
      <c r="Q438" s="8"/>
      <c r="R438" s="9"/>
      <c r="S438" s="8"/>
      <c r="T438" s="8"/>
      <c r="U438" s="8"/>
      <c r="V438" s="11"/>
      <c r="W438" s="8"/>
      <c r="X438" s="8"/>
      <c r="Y438" s="9"/>
      <c r="Z438" s="8"/>
      <c r="AA438" s="8"/>
      <c r="AB438" s="8"/>
    </row>
    <row r="439" spans="1:28" x14ac:dyDescent="0.15">
      <c r="A439" s="8"/>
      <c r="B439" s="8"/>
      <c r="C439" s="8"/>
      <c r="D439" s="8"/>
      <c r="E439" s="9"/>
      <c r="F439" s="8"/>
      <c r="G439" s="10"/>
      <c r="H439" s="11"/>
      <c r="I439" s="8"/>
      <c r="J439" s="9"/>
      <c r="K439" s="8"/>
      <c r="L439" s="9"/>
      <c r="M439" s="8"/>
      <c r="N439" s="11"/>
      <c r="O439" s="8"/>
      <c r="P439" s="9"/>
      <c r="Q439" s="8"/>
      <c r="R439" s="9"/>
      <c r="S439" s="8"/>
      <c r="T439" s="8"/>
      <c r="U439" s="8"/>
      <c r="V439" s="11"/>
      <c r="W439" s="8"/>
      <c r="X439" s="8"/>
      <c r="Y439" s="9"/>
      <c r="Z439" s="8"/>
      <c r="AA439" s="8"/>
      <c r="AB439" s="8"/>
    </row>
    <row r="440" spans="1:28" x14ac:dyDescent="0.15">
      <c r="A440" s="8"/>
      <c r="B440" s="8"/>
      <c r="C440" s="8"/>
      <c r="D440" s="8"/>
      <c r="E440" s="9"/>
      <c r="F440" s="8"/>
      <c r="G440" s="10"/>
      <c r="H440" s="11"/>
      <c r="I440" s="8"/>
      <c r="J440" s="9"/>
      <c r="K440" s="8"/>
      <c r="L440" s="9"/>
      <c r="M440" s="8"/>
      <c r="N440" s="11"/>
      <c r="O440" s="8"/>
      <c r="P440" s="9"/>
      <c r="Q440" s="8"/>
      <c r="R440" s="9"/>
      <c r="S440" s="8"/>
      <c r="T440" s="8"/>
      <c r="U440" s="8"/>
      <c r="V440" s="11"/>
      <c r="W440" s="8"/>
      <c r="X440" s="8"/>
      <c r="Y440" s="9"/>
      <c r="Z440" s="8"/>
      <c r="AA440" s="8"/>
      <c r="AB440" s="8"/>
    </row>
    <row r="441" spans="1:28" x14ac:dyDescent="0.15">
      <c r="A441" s="8"/>
      <c r="B441" s="8"/>
      <c r="C441" s="8"/>
      <c r="D441" s="8"/>
      <c r="E441" s="9"/>
      <c r="F441" s="8"/>
      <c r="G441" s="10"/>
      <c r="H441" s="11"/>
      <c r="I441" s="8"/>
      <c r="J441" s="9"/>
      <c r="K441" s="8"/>
      <c r="L441" s="9"/>
      <c r="M441" s="8"/>
      <c r="N441" s="11"/>
      <c r="O441" s="8"/>
      <c r="P441" s="9"/>
      <c r="Q441" s="8"/>
      <c r="R441" s="9"/>
      <c r="S441" s="8"/>
      <c r="T441" s="8"/>
      <c r="U441" s="8"/>
      <c r="V441" s="11"/>
      <c r="W441" s="8"/>
      <c r="X441" s="8"/>
      <c r="Y441" s="9"/>
      <c r="Z441" s="8"/>
      <c r="AA441" s="8"/>
      <c r="AB441" s="8"/>
    </row>
    <row r="442" spans="1:28" x14ac:dyDescent="0.15">
      <c r="A442" s="8"/>
      <c r="B442" s="8"/>
      <c r="C442" s="8"/>
      <c r="D442" s="8"/>
      <c r="E442" s="9"/>
      <c r="F442" s="8"/>
      <c r="G442" s="10"/>
      <c r="H442" s="11"/>
      <c r="I442" s="8"/>
      <c r="J442" s="9"/>
      <c r="K442" s="8"/>
      <c r="L442" s="9"/>
      <c r="M442" s="8"/>
      <c r="N442" s="11"/>
      <c r="O442" s="8"/>
      <c r="P442" s="9"/>
      <c r="Q442" s="8"/>
      <c r="R442" s="9"/>
      <c r="S442" s="8"/>
      <c r="T442" s="8"/>
      <c r="U442" s="8"/>
      <c r="V442" s="11"/>
      <c r="W442" s="8"/>
      <c r="X442" s="8"/>
      <c r="Y442" s="9"/>
      <c r="Z442" s="8"/>
      <c r="AA442" s="8"/>
      <c r="AB442" s="8"/>
    </row>
    <row r="443" spans="1:28" x14ac:dyDescent="0.15">
      <c r="A443" s="8"/>
      <c r="B443" s="8"/>
      <c r="C443" s="8"/>
      <c r="D443" s="8"/>
      <c r="E443" s="9"/>
      <c r="F443" s="8"/>
      <c r="G443" s="10"/>
      <c r="H443" s="11"/>
      <c r="I443" s="8"/>
      <c r="J443" s="9"/>
      <c r="K443" s="8"/>
      <c r="L443" s="9"/>
      <c r="M443" s="8"/>
      <c r="N443" s="11"/>
      <c r="O443" s="8"/>
      <c r="P443" s="9"/>
      <c r="Q443" s="8"/>
      <c r="R443" s="9"/>
      <c r="S443" s="8"/>
      <c r="T443" s="8"/>
      <c r="U443" s="8"/>
      <c r="V443" s="11"/>
      <c r="W443" s="8"/>
      <c r="X443" s="8"/>
      <c r="Y443" s="9"/>
      <c r="Z443" s="8"/>
      <c r="AA443" s="8"/>
      <c r="AB443" s="8"/>
    </row>
    <row r="444" spans="1:28" x14ac:dyDescent="0.15">
      <c r="A444" s="8"/>
      <c r="B444" s="8"/>
      <c r="C444" s="8"/>
      <c r="D444" s="8"/>
      <c r="E444" s="9"/>
      <c r="F444" s="8"/>
      <c r="G444" s="10"/>
      <c r="H444" s="11"/>
      <c r="I444" s="8"/>
      <c r="J444" s="9"/>
      <c r="K444" s="8"/>
      <c r="L444" s="9"/>
      <c r="M444" s="8"/>
      <c r="N444" s="11"/>
      <c r="O444" s="8"/>
      <c r="P444" s="9"/>
      <c r="Q444" s="8"/>
      <c r="R444" s="9"/>
      <c r="S444" s="8"/>
      <c r="T444" s="8"/>
      <c r="U444" s="8"/>
      <c r="V444" s="11"/>
      <c r="W444" s="8"/>
      <c r="X444" s="8"/>
      <c r="Y444" s="9"/>
      <c r="Z444" s="8"/>
      <c r="AA444" s="8"/>
      <c r="AB444" s="8"/>
    </row>
    <row r="445" spans="1:28" x14ac:dyDescent="0.15">
      <c r="A445" s="8"/>
      <c r="B445" s="8"/>
      <c r="C445" s="8"/>
      <c r="D445" s="8"/>
      <c r="E445" s="9"/>
      <c r="F445" s="8"/>
      <c r="G445" s="10"/>
      <c r="H445" s="11"/>
      <c r="I445" s="8"/>
      <c r="J445" s="9"/>
      <c r="K445" s="8"/>
      <c r="L445" s="9"/>
      <c r="M445" s="8"/>
      <c r="N445" s="11"/>
      <c r="O445" s="8"/>
      <c r="P445" s="9"/>
      <c r="Q445" s="8"/>
      <c r="R445" s="9"/>
      <c r="S445" s="8"/>
      <c r="T445" s="8"/>
      <c r="U445" s="8"/>
      <c r="V445" s="11"/>
      <c r="W445" s="8"/>
      <c r="X445" s="8"/>
      <c r="Y445" s="9"/>
      <c r="Z445" s="8"/>
      <c r="AA445" s="8"/>
      <c r="AB445" s="8"/>
    </row>
    <row r="446" spans="1:28" x14ac:dyDescent="0.15">
      <c r="A446" s="8"/>
      <c r="B446" s="8"/>
      <c r="C446" s="8"/>
      <c r="D446" s="8"/>
      <c r="E446" s="9"/>
      <c r="F446" s="8"/>
      <c r="G446" s="10"/>
      <c r="H446" s="11"/>
      <c r="I446" s="8"/>
      <c r="J446" s="9"/>
      <c r="K446" s="8"/>
      <c r="L446" s="9"/>
      <c r="M446" s="8"/>
      <c r="N446" s="11"/>
      <c r="O446" s="8"/>
      <c r="P446" s="9"/>
      <c r="Q446" s="8"/>
      <c r="R446" s="9"/>
      <c r="S446" s="8"/>
      <c r="T446" s="8"/>
      <c r="U446" s="8"/>
      <c r="V446" s="11"/>
      <c r="W446" s="8"/>
      <c r="X446" s="8"/>
      <c r="Y446" s="9"/>
      <c r="Z446" s="8"/>
      <c r="AA446" s="8"/>
      <c r="AB446" s="8"/>
    </row>
    <row r="447" spans="1:28" x14ac:dyDescent="0.15">
      <c r="A447" s="8"/>
      <c r="B447" s="8"/>
      <c r="C447" s="8"/>
      <c r="D447" s="8"/>
      <c r="E447" s="9"/>
      <c r="F447" s="8"/>
      <c r="G447" s="10"/>
      <c r="H447" s="11"/>
      <c r="I447" s="8"/>
      <c r="J447" s="9"/>
      <c r="K447" s="8"/>
      <c r="L447" s="9"/>
      <c r="M447" s="8"/>
      <c r="N447" s="11"/>
      <c r="O447" s="8"/>
      <c r="P447" s="9"/>
      <c r="Q447" s="8"/>
      <c r="R447" s="9"/>
      <c r="S447" s="8"/>
      <c r="T447" s="8"/>
      <c r="U447" s="8"/>
      <c r="V447" s="11"/>
      <c r="W447" s="8"/>
      <c r="X447" s="8"/>
      <c r="Y447" s="9"/>
      <c r="Z447" s="8"/>
      <c r="AA447" s="8"/>
      <c r="AB447" s="8"/>
    </row>
    <row r="448" spans="1:28" x14ac:dyDescent="0.15">
      <c r="A448" s="8"/>
      <c r="B448" s="8"/>
      <c r="C448" s="8"/>
      <c r="D448" s="8"/>
      <c r="E448" s="9"/>
      <c r="F448" s="8"/>
      <c r="G448" s="10"/>
      <c r="H448" s="11"/>
      <c r="I448" s="8"/>
      <c r="J448" s="9"/>
      <c r="K448" s="8"/>
      <c r="L448" s="9"/>
      <c r="M448" s="8"/>
      <c r="N448" s="11"/>
      <c r="O448" s="8"/>
      <c r="P448" s="9"/>
      <c r="Q448" s="8"/>
      <c r="R448" s="9"/>
      <c r="S448" s="8"/>
      <c r="T448" s="8"/>
      <c r="U448" s="8"/>
      <c r="V448" s="11"/>
      <c r="W448" s="8"/>
      <c r="X448" s="8"/>
      <c r="Y448" s="9"/>
      <c r="Z448" s="8"/>
      <c r="AA448" s="8"/>
      <c r="AB448" s="8"/>
    </row>
    <row r="449" spans="1:28" x14ac:dyDescent="0.15">
      <c r="A449" s="8"/>
      <c r="B449" s="8"/>
      <c r="C449" s="8"/>
      <c r="D449" s="8"/>
      <c r="E449" s="9"/>
      <c r="F449" s="8"/>
      <c r="G449" s="10"/>
      <c r="H449" s="11"/>
      <c r="I449" s="8"/>
      <c r="J449" s="9"/>
      <c r="K449" s="8"/>
      <c r="L449" s="9"/>
      <c r="M449" s="8"/>
      <c r="N449" s="11"/>
      <c r="O449" s="8"/>
      <c r="P449" s="9"/>
      <c r="Q449" s="8"/>
      <c r="R449" s="9"/>
      <c r="S449" s="8"/>
      <c r="T449" s="8"/>
      <c r="U449" s="8"/>
      <c r="V449" s="11"/>
      <c r="W449" s="8"/>
      <c r="X449" s="8"/>
      <c r="Y449" s="9"/>
      <c r="Z449" s="8"/>
      <c r="AA449" s="8"/>
      <c r="AB449" s="8"/>
    </row>
    <row r="450" spans="1:28" x14ac:dyDescent="0.15">
      <c r="A450" s="8"/>
      <c r="B450" s="8"/>
      <c r="C450" s="8"/>
      <c r="D450" s="8"/>
      <c r="E450" s="9"/>
      <c r="F450" s="8"/>
      <c r="G450" s="10"/>
      <c r="H450" s="11"/>
      <c r="I450" s="8"/>
      <c r="J450" s="9"/>
      <c r="K450" s="8"/>
      <c r="L450" s="9"/>
      <c r="M450" s="8"/>
      <c r="N450" s="11"/>
      <c r="O450" s="8"/>
      <c r="P450" s="9"/>
      <c r="Q450" s="8"/>
      <c r="R450" s="9"/>
      <c r="S450" s="8"/>
      <c r="T450" s="8"/>
      <c r="U450" s="8"/>
      <c r="V450" s="11"/>
      <c r="W450" s="8"/>
      <c r="X450" s="8"/>
      <c r="Y450" s="9"/>
      <c r="Z450" s="8"/>
      <c r="AA450" s="8"/>
      <c r="AB450" s="8"/>
    </row>
    <row r="451" spans="1:28" x14ac:dyDescent="0.15">
      <c r="A451" s="8"/>
      <c r="B451" s="8"/>
      <c r="C451" s="8"/>
      <c r="D451" s="8"/>
      <c r="E451" s="9"/>
      <c r="F451" s="8"/>
      <c r="G451" s="10"/>
      <c r="H451" s="11"/>
      <c r="I451" s="8"/>
      <c r="J451" s="9"/>
      <c r="K451" s="8"/>
      <c r="L451" s="9"/>
      <c r="M451" s="8"/>
      <c r="N451" s="11"/>
      <c r="O451" s="8"/>
      <c r="P451" s="9"/>
      <c r="Q451" s="8"/>
      <c r="R451" s="9"/>
      <c r="S451" s="8"/>
      <c r="T451" s="8"/>
      <c r="U451" s="8"/>
      <c r="V451" s="11"/>
      <c r="W451" s="8"/>
      <c r="X451" s="8"/>
      <c r="Y451" s="9"/>
      <c r="Z451" s="8"/>
      <c r="AA451" s="8"/>
      <c r="AB451" s="8"/>
    </row>
    <row r="452" spans="1:28" x14ac:dyDescent="0.15">
      <c r="A452" s="8"/>
      <c r="B452" s="8"/>
      <c r="C452" s="8"/>
      <c r="D452" s="8"/>
      <c r="E452" s="9"/>
      <c r="F452" s="8"/>
      <c r="G452" s="10"/>
      <c r="H452" s="11"/>
      <c r="I452" s="8"/>
      <c r="J452" s="9"/>
      <c r="K452" s="8"/>
      <c r="L452" s="9"/>
      <c r="M452" s="8"/>
      <c r="N452" s="11"/>
      <c r="O452" s="8"/>
      <c r="P452" s="9"/>
      <c r="Q452" s="8"/>
      <c r="R452" s="9"/>
      <c r="S452" s="8"/>
      <c r="T452" s="8"/>
      <c r="U452" s="8"/>
      <c r="V452" s="11"/>
      <c r="W452" s="8"/>
      <c r="X452" s="8"/>
      <c r="Y452" s="9"/>
      <c r="Z452" s="8"/>
      <c r="AA452" s="8"/>
      <c r="AB452" s="8"/>
    </row>
    <row r="453" spans="1:28" x14ac:dyDescent="0.15">
      <c r="A453" s="8"/>
      <c r="B453" s="8"/>
      <c r="C453" s="8"/>
      <c r="D453" s="8"/>
      <c r="E453" s="9"/>
      <c r="F453" s="8"/>
      <c r="G453" s="10"/>
      <c r="H453" s="11"/>
      <c r="I453" s="8"/>
      <c r="J453" s="9"/>
      <c r="K453" s="8"/>
      <c r="L453" s="9"/>
      <c r="M453" s="8"/>
      <c r="N453" s="11"/>
      <c r="O453" s="8"/>
      <c r="P453" s="9"/>
      <c r="Q453" s="8"/>
      <c r="R453" s="9"/>
      <c r="S453" s="8"/>
      <c r="T453" s="8"/>
      <c r="U453" s="8"/>
      <c r="V453" s="11"/>
      <c r="W453" s="8"/>
      <c r="X453" s="8"/>
      <c r="Y453" s="9"/>
      <c r="Z453" s="8"/>
      <c r="AA453" s="8"/>
      <c r="AB453" s="8"/>
    </row>
    <row r="454" spans="1:28" x14ac:dyDescent="0.15">
      <c r="A454" s="8"/>
      <c r="B454" s="8"/>
      <c r="C454" s="8"/>
      <c r="D454" s="8"/>
      <c r="E454" s="9"/>
      <c r="F454" s="8"/>
      <c r="G454" s="10"/>
      <c r="H454" s="11"/>
      <c r="I454" s="8"/>
      <c r="J454" s="9"/>
      <c r="K454" s="8"/>
      <c r="L454" s="9"/>
      <c r="M454" s="8"/>
      <c r="N454" s="11"/>
      <c r="O454" s="8"/>
      <c r="P454" s="9"/>
      <c r="Q454" s="8"/>
      <c r="R454" s="9"/>
      <c r="S454" s="8"/>
      <c r="T454" s="8"/>
      <c r="U454" s="8"/>
      <c r="V454" s="11"/>
      <c r="W454" s="8"/>
      <c r="X454" s="8"/>
      <c r="Y454" s="9"/>
      <c r="Z454" s="8"/>
      <c r="AA454" s="8"/>
      <c r="AB454" s="8"/>
    </row>
    <row r="455" spans="1:28" x14ac:dyDescent="0.15">
      <c r="A455" s="8"/>
      <c r="B455" s="8"/>
      <c r="C455" s="8"/>
      <c r="D455" s="8"/>
      <c r="E455" s="9"/>
      <c r="F455" s="8"/>
      <c r="G455" s="10"/>
      <c r="H455" s="11"/>
      <c r="I455" s="8"/>
      <c r="J455" s="9"/>
      <c r="K455" s="8"/>
      <c r="L455" s="9"/>
      <c r="M455" s="8"/>
      <c r="N455" s="11"/>
      <c r="O455" s="8"/>
      <c r="P455" s="9"/>
      <c r="Q455" s="8"/>
      <c r="R455" s="9"/>
      <c r="S455" s="8"/>
      <c r="T455" s="8"/>
      <c r="U455" s="8"/>
      <c r="V455" s="11"/>
      <c r="W455" s="8"/>
      <c r="X455" s="8"/>
      <c r="Y455" s="9"/>
      <c r="Z455" s="8"/>
      <c r="AA455" s="8"/>
      <c r="AB455" s="8"/>
    </row>
    <row r="456" spans="1:28" x14ac:dyDescent="0.15">
      <c r="A456" s="8"/>
      <c r="B456" s="8"/>
      <c r="C456" s="8"/>
      <c r="D456" s="8"/>
      <c r="E456" s="9"/>
      <c r="F456" s="8"/>
      <c r="G456" s="10"/>
      <c r="H456" s="11"/>
      <c r="I456" s="8"/>
      <c r="J456" s="9"/>
      <c r="K456" s="8"/>
      <c r="L456" s="9"/>
      <c r="M456" s="8"/>
      <c r="N456" s="11"/>
      <c r="O456" s="8"/>
      <c r="P456" s="9"/>
      <c r="Q456" s="8"/>
      <c r="R456" s="9"/>
      <c r="S456" s="8"/>
      <c r="T456" s="8"/>
      <c r="U456" s="8"/>
      <c r="V456" s="11"/>
      <c r="W456" s="8"/>
      <c r="X456" s="8"/>
      <c r="Y456" s="9"/>
      <c r="Z456" s="8"/>
      <c r="AA456" s="8"/>
      <c r="AB456" s="8"/>
    </row>
    <row r="457" spans="1:28" x14ac:dyDescent="0.15">
      <c r="A457" s="8"/>
      <c r="B457" s="8"/>
      <c r="C457" s="8"/>
      <c r="D457" s="8"/>
      <c r="E457" s="9"/>
      <c r="F457" s="8"/>
      <c r="G457" s="10"/>
      <c r="H457" s="11"/>
      <c r="I457" s="8"/>
      <c r="J457" s="9"/>
      <c r="K457" s="8"/>
      <c r="L457" s="9"/>
      <c r="M457" s="8"/>
      <c r="N457" s="11"/>
      <c r="O457" s="8"/>
      <c r="P457" s="9"/>
      <c r="Q457" s="8"/>
      <c r="R457" s="9"/>
      <c r="S457" s="8"/>
      <c r="T457" s="8"/>
      <c r="U457" s="8"/>
      <c r="V457" s="11"/>
      <c r="W457" s="8"/>
      <c r="X457" s="8"/>
      <c r="Y457" s="9"/>
      <c r="Z457" s="8"/>
      <c r="AA457" s="8"/>
      <c r="AB457" s="8"/>
    </row>
    <row r="458" spans="1:28" x14ac:dyDescent="0.15">
      <c r="A458" s="8"/>
      <c r="B458" s="8"/>
      <c r="C458" s="8"/>
      <c r="D458" s="8"/>
      <c r="E458" s="9"/>
      <c r="F458" s="8"/>
      <c r="G458" s="10"/>
      <c r="H458" s="11"/>
      <c r="I458" s="8"/>
      <c r="J458" s="9"/>
      <c r="K458" s="8"/>
      <c r="L458" s="9"/>
      <c r="M458" s="8"/>
      <c r="N458" s="11"/>
      <c r="O458" s="8"/>
      <c r="P458" s="9"/>
      <c r="Q458" s="8"/>
      <c r="R458" s="9"/>
      <c r="S458" s="8"/>
      <c r="T458" s="8"/>
      <c r="U458" s="8"/>
      <c r="V458" s="11"/>
      <c r="W458" s="8"/>
      <c r="X458" s="8"/>
      <c r="Y458" s="9"/>
      <c r="Z458" s="8"/>
      <c r="AA458" s="8"/>
      <c r="AB458" s="8"/>
    </row>
    <row r="459" spans="1:28" x14ac:dyDescent="0.15">
      <c r="A459" s="8"/>
      <c r="B459" s="8"/>
      <c r="C459" s="8"/>
      <c r="D459" s="8"/>
      <c r="E459" s="9"/>
      <c r="F459" s="8"/>
      <c r="G459" s="10"/>
      <c r="H459" s="11"/>
      <c r="I459" s="8"/>
      <c r="J459" s="9"/>
      <c r="K459" s="8"/>
      <c r="L459" s="9"/>
      <c r="M459" s="8"/>
      <c r="N459" s="11"/>
      <c r="O459" s="8"/>
      <c r="P459" s="9"/>
      <c r="Q459" s="8"/>
      <c r="R459" s="9"/>
      <c r="S459" s="8"/>
      <c r="T459" s="8"/>
      <c r="U459" s="8"/>
      <c r="V459" s="11"/>
      <c r="W459" s="8"/>
      <c r="X459" s="8"/>
      <c r="Y459" s="9"/>
      <c r="Z459" s="8"/>
      <c r="AA459" s="8"/>
      <c r="AB459" s="8"/>
    </row>
    <row r="460" spans="1:28" x14ac:dyDescent="0.15">
      <c r="A460" s="8"/>
      <c r="B460" s="8"/>
      <c r="C460" s="8"/>
      <c r="D460" s="8"/>
      <c r="E460" s="9"/>
      <c r="F460" s="8"/>
      <c r="G460" s="10"/>
      <c r="H460" s="11"/>
      <c r="I460" s="8"/>
      <c r="J460" s="9"/>
      <c r="K460" s="8"/>
      <c r="L460" s="9"/>
      <c r="M460" s="8"/>
      <c r="N460" s="11"/>
      <c r="O460" s="8"/>
      <c r="P460" s="9"/>
      <c r="Q460" s="8"/>
      <c r="R460" s="9"/>
      <c r="S460" s="8"/>
      <c r="T460" s="8"/>
      <c r="U460" s="8"/>
      <c r="V460" s="11"/>
      <c r="W460" s="8"/>
      <c r="X460" s="8"/>
      <c r="Y460" s="9"/>
      <c r="Z460" s="8"/>
      <c r="AA460" s="8"/>
      <c r="AB460" s="8"/>
    </row>
    <row r="461" spans="1:28" x14ac:dyDescent="0.15">
      <c r="A461" s="8"/>
      <c r="B461" s="8"/>
      <c r="C461" s="8"/>
      <c r="D461" s="8"/>
      <c r="E461" s="9"/>
      <c r="F461" s="8"/>
      <c r="G461" s="10"/>
      <c r="H461" s="11"/>
      <c r="I461" s="8"/>
      <c r="J461" s="9"/>
      <c r="K461" s="8"/>
      <c r="L461" s="9"/>
      <c r="M461" s="8"/>
      <c r="N461" s="11"/>
      <c r="O461" s="8"/>
      <c r="P461" s="9"/>
      <c r="Q461" s="8"/>
      <c r="R461" s="9"/>
      <c r="S461" s="8"/>
      <c r="T461" s="8"/>
      <c r="U461" s="8"/>
      <c r="V461" s="11"/>
      <c r="W461" s="8"/>
      <c r="X461" s="8"/>
      <c r="Y461" s="9"/>
      <c r="Z461" s="8"/>
      <c r="AA461" s="8"/>
      <c r="AB461" s="8"/>
    </row>
    <row r="462" spans="1:28" x14ac:dyDescent="0.15">
      <c r="A462" s="8"/>
      <c r="B462" s="8"/>
      <c r="C462" s="8"/>
      <c r="D462" s="8"/>
      <c r="E462" s="9"/>
      <c r="F462" s="8"/>
      <c r="G462" s="10"/>
      <c r="H462" s="11"/>
      <c r="I462" s="8"/>
      <c r="J462" s="9"/>
      <c r="K462" s="8"/>
      <c r="L462" s="9"/>
      <c r="M462" s="8"/>
      <c r="N462" s="11"/>
      <c r="O462" s="8"/>
      <c r="P462" s="9"/>
      <c r="Q462" s="8"/>
      <c r="R462" s="9"/>
      <c r="S462" s="8"/>
      <c r="T462" s="8"/>
      <c r="U462" s="8"/>
      <c r="V462" s="11"/>
      <c r="W462" s="8"/>
      <c r="X462" s="8"/>
      <c r="Y462" s="9"/>
      <c r="Z462" s="8"/>
      <c r="AA462" s="8"/>
      <c r="AB462" s="8"/>
    </row>
    <row r="463" spans="1:28" x14ac:dyDescent="0.15">
      <c r="A463" s="8"/>
      <c r="B463" s="8"/>
      <c r="C463" s="8"/>
      <c r="D463" s="8"/>
      <c r="E463" s="9"/>
      <c r="F463" s="8"/>
      <c r="G463" s="10"/>
      <c r="H463" s="11"/>
      <c r="I463" s="8"/>
      <c r="J463" s="9"/>
      <c r="K463" s="8"/>
      <c r="L463" s="9"/>
      <c r="M463" s="8"/>
      <c r="N463" s="11"/>
      <c r="O463" s="8"/>
      <c r="P463" s="9"/>
      <c r="Q463" s="8"/>
      <c r="R463" s="9"/>
      <c r="S463" s="8"/>
      <c r="T463" s="8"/>
      <c r="U463" s="8"/>
      <c r="V463" s="11"/>
      <c r="W463" s="8"/>
      <c r="X463" s="8"/>
      <c r="Y463" s="9"/>
      <c r="Z463" s="8"/>
      <c r="AA463" s="8"/>
      <c r="AB463" s="8"/>
    </row>
    <row r="464" spans="1:28" x14ac:dyDescent="0.15">
      <c r="A464" s="8"/>
      <c r="B464" s="8"/>
      <c r="C464" s="8"/>
      <c r="D464" s="8"/>
      <c r="E464" s="9"/>
      <c r="F464" s="8"/>
      <c r="G464" s="10"/>
      <c r="H464" s="11"/>
      <c r="I464" s="8"/>
      <c r="J464" s="9"/>
      <c r="K464" s="8"/>
      <c r="L464" s="9"/>
      <c r="M464" s="8"/>
      <c r="N464" s="11"/>
      <c r="O464" s="8"/>
      <c r="P464" s="9"/>
      <c r="Q464" s="8"/>
      <c r="R464" s="9"/>
      <c r="S464" s="8"/>
      <c r="T464" s="8"/>
      <c r="U464" s="8"/>
      <c r="V464" s="11"/>
      <c r="W464" s="8"/>
      <c r="X464" s="8"/>
      <c r="Y464" s="9"/>
      <c r="Z464" s="8"/>
      <c r="AA464" s="8"/>
      <c r="AB464" s="8"/>
    </row>
    <row r="465" spans="1:28" x14ac:dyDescent="0.15">
      <c r="A465" s="8"/>
      <c r="B465" s="8"/>
      <c r="C465" s="8"/>
      <c r="D465" s="8"/>
      <c r="E465" s="9"/>
      <c r="F465" s="8"/>
      <c r="G465" s="10"/>
      <c r="H465" s="11"/>
      <c r="I465" s="8"/>
      <c r="J465" s="9"/>
      <c r="K465" s="8"/>
      <c r="L465" s="9"/>
      <c r="M465" s="8"/>
      <c r="N465" s="11"/>
      <c r="O465" s="8"/>
      <c r="P465" s="9"/>
      <c r="Q465" s="8"/>
      <c r="R465" s="9"/>
      <c r="S465" s="8"/>
      <c r="T465" s="8"/>
      <c r="U465" s="8"/>
      <c r="V465" s="11"/>
      <c r="W465" s="8"/>
      <c r="X465" s="8"/>
      <c r="Y465" s="9"/>
      <c r="Z465" s="8"/>
      <c r="AA465" s="8"/>
      <c r="AB465" s="8"/>
    </row>
    <row r="466" spans="1:28" x14ac:dyDescent="0.15">
      <c r="A466" s="8"/>
      <c r="B466" s="8"/>
      <c r="C466" s="8"/>
      <c r="D466" s="8"/>
      <c r="E466" s="9"/>
      <c r="F466" s="8"/>
      <c r="G466" s="10"/>
      <c r="H466" s="11"/>
      <c r="I466" s="8"/>
      <c r="J466" s="9"/>
      <c r="K466" s="8"/>
      <c r="L466" s="9"/>
      <c r="M466" s="8"/>
      <c r="N466" s="11"/>
      <c r="O466" s="8"/>
      <c r="P466" s="9"/>
      <c r="Q466" s="8"/>
      <c r="R466" s="9"/>
      <c r="S466" s="8"/>
      <c r="T466" s="8"/>
      <c r="U466" s="8"/>
      <c r="V466" s="11"/>
      <c r="W466" s="8"/>
      <c r="X466" s="8"/>
      <c r="Y466" s="9"/>
      <c r="Z466" s="8"/>
      <c r="AA466" s="8"/>
      <c r="AB466" s="8"/>
    </row>
    <row r="467" spans="1:28" x14ac:dyDescent="0.15">
      <c r="A467" s="8"/>
      <c r="B467" s="8"/>
      <c r="C467" s="8"/>
      <c r="D467" s="8"/>
      <c r="E467" s="9"/>
      <c r="F467" s="8"/>
      <c r="G467" s="10"/>
      <c r="H467" s="11"/>
      <c r="I467" s="8"/>
      <c r="J467" s="9"/>
      <c r="K467" s="8"/>
      <c r="L467" s="9"/>
      <c r="M467" s="8"/>
      <c r="N467" s="11"/>
      <c r="O467" s="8"/>
      <c r="P467" s="9"/>
      <c r="Q467" s="8"/>
      <c r="R467" s="9"/>
      <c r="S467" s="8"/>
      <c r="T467" s="8"/>
      <c r="U467" s="8"/>
      <c r="V467" s="11"/>
      <c r="W467" s="8"/>
      <c r="X467" s="8"/>
      <c r="Y467" s="9"/>
      <c r="Z467" s="8"/>
      <c r="AA467" s="8"/>
      <c r="AB467" s="8"/>
    </row>
    <row r="468" spans="1:28" x14ac:dyDescent="0.15">
      <c r="A468" s="8"/>
      <c r="B468" s="8"/>
      <c r="C468" s="8"/>
      <c r="D468" s="8"/>
      <c r="E468" s="9"/>
      <c r="F468" s="8"/>
      <c r="G468" s="10"/>
      <c r="H468" s="11"/>
      <c r="I468" s="8"/>
      <c r="J468" s="9"/>
      <c r="K468" s="8"/>
      <c r="L468" s="9"/>
      <c r="M468" s="8"/>
      <c r="N468" s="11"/>
      <c r="O468" s="8"/>
      <c r="P468" s="9"/>
      <c r="Q468" s="8"/>
      <c r="R468" s="9"/>
      <c r="S468" s="8"/>
      <c r="T468" s="8"/>
      <c r="U468" s="8"/>
      <c r="V468" s="11"/>
      <c r="W468" s="8"/>
      <c r="X468" s="8"/>
      <c r="Y468" s="9"/>
      <c r="Z468" s="8"/>
      <c r="AA468" s="8"/>
      <c r="AB468" s="8"/>
    </row>
    <row r="469" spans="1:28" x14ac:dyDescent="0.15">
      <c r="A469" s="8"/>
      <c r="B469" s="8"/>
      <c r="C469" s="8"/>
      <c r="D469" s="8"/>
      <c r="E469" s="9"/>
      <c r="F469" s="8"/>
      <c r="G469" s="10"/>
      <c r="H469" s="11"/>
      <c r="I469" s="8"/>
      <c r="J469" s="9"/>
      <c r="K469" s="8"/>
      <c r="L469" s="9"/>
      <c r="M469" s="8"/>
      <c r="N469" s="11"/>
      <c r="O469" s="8"/>
      <c r="P469" s="9"/>
      <c r="Q469" s="8"/>
      <c r="R469" s="9"/>
      <c r="S469" s="8"/>
      <c r="T469" s="8"/>
      <c r="U469" s="8"/>
      <c r="V469" s="11"/>
      <c r="W469" s="8"/>
      <c r="X469" s="8"/>
      <c r="Y469" s="9"/>
      <c r="Z469" s="8"/>
      <c r="AA469" s="8"/>
      <c r="AB469" s="8"/>
    </row>
    <row r="470" spans="1:28" x14ac:dyDescent="0.15">
      <c r="A470" s="8"/>
      <c r="B470" s="8"/>
      <c r="C470" s="8"/>
      <c r="D470" s="8"/>
      <c r="E470" s="9"/>
      <c r="F470" s="8"/>
      <c r="G470" s="10"/>
      <c r="H470" s="11"/>
      <c r="I470" s="8"/>
      <c r="J470" s="9"/>
      <c r="K470" s="8"/>
      <c r="L470" s="9"/>
      <c r="M470" s="8"/>
      <c r="N470" s="11"/>
      <c r="O470" s="8"/>
      <c r="P470" s="9"/>
      <c r="Q470" s="8"/>
      <c r="R470" s="9"/>
      <c r="S470" s="8"/>
      <c r="T470" s="8"/>
      <c r="U470" s="8"/>
      <c r="V470" s="11"/>
      <c r="W470" s="8"/>
      <c r="X470" s="8"/>
      <c r="Y470" s="9"/>
      <c r="Z470" s="8"/>
      <c r="AA470" s="8"/>
      <c r="AB470" s="8"/>
    </row>
    <row r="471" spans="1:28" x14ac:dyDescent="0.15">
      <c r="A471" s="8"/>
      <c r="B471" s="8"/>
      <c r="C471" s="8"/>
      <c r="D471" s="8"/>
      <c r="E471" s="9"/>
      <c r="F471" s="8"/>
      <c r="G471" s="10"/>
      <c r="H471" s="11"/>
      <c r="I471" s="8"/>
      <c r="J471" s="9"/>
      <c r="K471" s="8"/>
      <c r="L471" s="9"/>
      <c r="M471" s="8"/>
      <c r="N471" s="11"/>
      <c r="O471" s="8"/>
      <c r="P471" s="9"/>
      <c r="Q471" s="8"/>
      <c r="R471" s="9"/>
      <c r="S471" s="8"/>
      <c r="T471" s="8"/>
      <c r="U471" s="8"/>
      <c r="V471" s="11"/>
      <c r="W471" s="8"/>
      <c r="X471" s="8"/>
      <c r="Y471" s="9"/>
      <c r="Z471" s="8"/>
      <c r="AA471" s="8"/>
      <c r="AB471" s="8"/>
    </row>
    <row r="472" spans="1:28" x14ac:dyDescent="0.15">
      <c r="A472" s="8"/>
      <c r="B472" s="8"/>
      <c r="C472" s="8"/>
      <c r="D472" s="8"/>
      <c r="E472" s="9"/>
      <c r="F472" s="8"/>
      <c r="G472" s="10"/>
      <c r="H472" s="11"/>
      <c r="I472" s="8"/>
      <c r="J472" s="9"/>
      <c r="K472" s="8"/>
      <c r="L472" s="9"/>
      <c r="M472" s="8"/>
      <c r="N472" s="11"/>
      <c r="O472" s="8"/>
      <c r="P472" s="9"/>
      <c r="Q472" s="8"/>
      <c r="R472" s="9"/>
      <c r="S472" s="8"/>
      <c r="T472" s="8"/>
      <c r="U472" s="8"/>
      <c r="V472" s="11"/>
      <c r="W472" s="8"/>
      <c r="X472" s="8"/>
      <c r="Y472" s="9"/>
      <c r="Z472" s="8"/>
      <c r="AA472" s="8"/>
      <c r="AB472" s="8"/>
    </row>
    <row r="473" spans="1:28" x14ac:dyDescent="0.15">
      <c r="A473" s="8"/>
      <c r="B473" s="8"/>
      <c r="C473" s="8"/>
      <c r="D473" s="8"/>
      <c r="E473" s="9"/>
      <c r="F473" s="8"/>
      <c r="G473" s="10"/>
      <c r="H473" s="11"/>
      <c r="I473" s="8"/>
      <c r="J473" s="9"/>
      <c r="K473" s="8"/>
      <c r="L473" s="9"/>
      <c r="M473" s="8"/>
      <c r="N473" s="11"/>
      <c r="O473" s="8"/>
      <c r="P473" s="9"/>
      <c r="Q473" s="8"/>
      <c r="R473" s="9"/>
      <c r="S473" s="8"/>
      <c r="T473" s="8"/>
      <c r="U473" s="8"/>
      <c r="V473" s="11"/>
      <c r="W473" s="8"/>
      <c r="X473" s="8"/>
      <c r="Y473" s="9"/>
      <c r="Z473" s="8"/>
      <c r="AA473" s="8"/>
      <c r="AB473" s="8"/>
    </row>
    <row r="474" spans="1:28" x14ac:dyDescent="0.15">
      <c r="A474" s="8"/>
      <c r="B474" s="8"/>
      <c r="C474" s="8"/>
      <c r="D474" s="8"/>
      <c r="E474" s="9"/>
      <c r="F474" s="8"/>
      <c r="G474" s="10"/>
      <c r="H474" s="11"/>
      <c r="I474" s="8"/>
      <c r="J474" s="9"/>
      <c r="K474" s="8"/>
      <c r="L474" s="9"/>
      <c r="M474" s="8"/>
      <c r="N474" s="11"/>
      <c r="O474" s="8"/>
      <c r="P474" s="9"/>
      <c r="Q474" s="8"/>
      <c r="R474" s="9"/>
      <c r="S474" s="8"/>
      <c r="T474" s="8"/>
      <c r="U474" s="8"/>
      <c r="V474" s="11"/>
      <c r="W474" s="8"/>
      <c r="X474" s="8"/>
      <c r="Y474" s="9"/>
      <c r="Z474" s="8"/>
      <c r="AA474" s="8"/>
      <c r="AB474" s="8"/>
    </row>
    <row r="475" spans="1:28" x14ac:dyDescent="0.15">
      <c r="A475" s="8"/>
      <c r="B475" s="8"/>
      <c r="C475" s="8"/>
      <c r="D475" s="8"/>
      <c r="E475" s="9"/>
      <c r="F475" s="8"/>
      <c r="G475" s="10"/>
      <c r="H475" s="11"/>
      <c r="I475" s="8"/>
      <c r="J475" s="9"/>
      <c r="K475" s="8"/>
      <c r="L475" s="9"/>
      <c r="M475" s="8"/>
      <c r="N475" s="11"/>
      <c r="O475" s="8"/>
      <c r="P475" s="9"/>
      <c r="Q475" s="8"/>
      <c r="R475" s="9"/>
      <c r="S475" s="8"/>
      <c r="T475" s="8"/>
      <c r="U475" s="8"/>
      <c r="V475" s="11"/>
      <c r="W475" s="8"/>
      <c r="X475" s="8"/>
      <c r="Y475" s="9"/>
      <c r="Z475" s="8"/>
      <c r="AA475" s="8"/>
      <c r="AB475" s="8"/>
    </row>
    <row r="476" spans="1:28" x14ac:dyDescent="0.15">
      <c r="A476" s="8"/>
      <c r="B476" s="8"/>
      <c r="C476" s="8"/>
      <c r="D476" s="8"/>
      <c r="E476" s="9"/>
      <c r="F476" s="8"/>
      <c r="G476" s="10"/>
      <c r="H476" s="11"/>
      <c r="I476" s="8"/>
      <c r="J476" s="9"/>
      <c r="K476" s="8"/>
      <c r="L476" s="9"/>
      <c r="M476" s="8"/>
      <c r="N476" s="11"/>
      <c r="O476" s="8"/>
      <c r="P476" s="9"/>
      <c r="Q476" s="8"/>
      <c r="R476" s="9"/>
      <c r="S476" s="8"/>
      <c r="T476" s="8"/>
      <c r="U476" s="8"/>
      <c r="V476" s="11"/>
      <c r="W476" s="8"/>
      <c r="X476" s="8"/>
      <c r="Y476" s="9"/>
      <c r="Z476" s="8"/>
      <c r="AA476" s="8"/>
      <c r="AB476" s="8"/>
    </row>
    <row r="477" spans="1:28" x14ac:dyDescent="0.15">
      <c r="A477" s="8"/>
      <c r="B477" s="8"/>
      <c r="C477" s="8"/>
      <c r="D477" s="8"/>
      <c r="E477" s="9"/>
      <c r="F477" s="8"/>
      <c r="G477" s="10"/>
      <c r="H477" s="11"/>
      <c r="I477" s="8"/>
      <c r="J477" s="9"/>
      <c r="K477" s="8"/>
      <c r="L477" s="9"/>
      <c r="M477" s="8"/>
      <c r="N477" s="11"/>
      <c r="O477" s="8"/>
      <c r="P477" s="9"/>
      <c r="Q477" s="8"/>
      <c r="R477" s="9"/>
      <c r="S477" s="8"/>
      <c r="T477" s="8"/>
      <c r="U477" s="8"/>
      <c r="V477" s="11"/>
      <c r="W477" s="8"/>
      <c r="X477" s="8"/>
      <c r="Y477" s="9"/>
      <c r="Z477" s="8"/>
      <c r="AA477" s="8"/>
      <c r="AB477" s="8"/>
    </row>
    <row r="478" spans="1:28" x14ac:dyDescent="0.15">
      <c r="A478" s="8"/>
      <c r="B478" s="8"/>
      <c r="C478" s="8"/>
      <c r="D478" s="8"/>
      <c r="E478" s="9"/>
      <c r="F478" s="8"/>
      <c r="G478" s="10"/>
      <c r="H478" s="11"/>
      <c r="I478" s="8"/>
      <c r="J478" s="9"/>
      <c r="K478" s="8"/>
      <c r="L478" s="9"/>
      <c r="M478" s="8"/>
      <c r="N478" s="11"/>
      <c r="O478" s="8"/>
      <c r="P478" s="9"/>
      <c r="Q478" s="8"/>
      <c r="R478" s="9"/>
      <c r="S478" s="8"/>
      <c r="T478" s="8"/>
      <c r="U478" s="8"/>
      <c r="V478" s="11"/>
      <c r="W478" s="8"/>
      <c r="X478" s="8"/>
      <c r="Y478" s="9"/>
      <c r="Z478" s="8"/>
      <c r="AA478" s="8"/>
      <c r="AB478" s="8"/>
    </row>
    <row r="479" spans="1:28" x14ac:dyDescent="0.15">
      <c r="A479" s="8"/>
      <c r="B479" s="8"/>
      <c r="C479" s="8"/>
      <c r="D479" s="8"/>
      <c r="E479" s="9"/>
      <c r="F479" s="8"/>
      <c r="G479" s="10"/>
      <c r="H479" s="11"/>
      <c r="I479" s="8"/>
      <c r="J479" s="9"/>
      <c r="K479" s="8"/>
      <c r="L479" s="9"/>
      <c r="M479" s="8"/>
      <c r="N479" s="11"/>
      <c r="O479" s="8"/>
      <c r="P479" s="9"/>
      <c r="Q479" s="8"/>
      <c r="R479" s="9"/>
      <c r="S479" s="8"/>
      <c r="T479" s="8"/>
      <c r="U479" s="8"/>
      <c r="V479" s="11"/>
      <c r="W479" s="8"/>
      <c r="X479" s="8"/>
      <c r="Y479" s="9"/>
      <c r="Z479" s="8"/>
      <c r="AA479" s="8"/>
      <c r="AB479" s="8"/>
    </row>
    <row r="480" spans="1:28" x14ac:dyDescent="0.15">
      <c r="A480" s="8"/>
      <c r="B480" s="8"/>
      <c r="C480" s="8"/>
      <c r="D480" s="8"/>
      <c r="E480" s="9"/>
      <c r="F480" s="8"/>
      <c r="G480" s="10"/>
      <c r="H480" s="11"/>
      <c r="I480" s="8"/>
      <c r="J480" s="9"/>
      <c r="K480" s="8"/>
      <c r="L480" s="9"/>
      <c r="M480" s="8"/>
      <c r="N480" s="11"/>
      <c r="O480" s="8"/>
      <c r="P480" s="9"/>
      <c r="Q480" s="8"/>
      <c r="R480" s="9"/>
      <c r="S480" s="8"/>
      <c r="T480" s="8"/>
      <c r="U480" s="8"/>
      <c r="V480" s="11"/>
      <c r="W480" s="8"/>
      <c r="X480" s="8"/>
      <c r="Y480" s="9"/>
      <c r="Z480" s="8"/>
      <c r="AA480" s="8"/>
      <c r="AB480" s="8"/>
    </row>
    <row r="481" spans="1:28" x14ac:dyDescent="0.15">
      <c r="A481" s="8"/>
      <c r="B481" s="8"/>
      <c r="C481" s="8"/>
      <c r="D481" s="8"/>
      <c r="E481" s="9"/>
      <c r="F481" s="8"/>
      <c r="G481" s="10"/>
      <c r="H481" s="11"/>
      <c r="I481" s="8"/>
      <c r="J481" s="9"/>
      <c r="K481" s="8"/>
      <c r="L481" s="9"/>
      <c r="M481" s="8"/>
      <c r="N481" s="11"/>
      <c r="O481" s="8"/>
      <c r="P481" s="9"/>
      <c r="Q481" s="8"/>
      <c r="R481" s="9"/>
      <c r="S481" s="8"/>
      <c r="T481" s="8"/>
      <c r="U481" s="8"/>
      <c r="V481" s="11"/>
      <c r="W481" s="8"/>
      <c r="X481" s="8"/>
      <c r="Y481" s="9"/>
      <c r="Z481" s="8"/>
      <c r="AA481" s="8"/>
      <c r="AB481" s="8"/>
    </row>
    <row r="482" spans="1:28" x14ac:dyDescent="0.15">
      <c r="A482" s="8"/>
      <c r="B482" s="8"/>
      <c r="C482" s="8"/>
      <c r="D482" s="8"/>
      <c r="E482" s="9"/>
      <c r="F482" s="8"/>
      <c r="G482" s="10"/>
      <c r="H482" s="11"/>
      <c r="I482" s="8"/>
      <c r="J482" s="9"/>
      <c r="K482" s="8"/>
      <c r="L482" s="9"/>
      <c r="M482" s="8"/>
      <c r="N482" s="11"/>
      <c r="O482" s="8"/>
      <c r="P482" s="9"/>
      <c r="Q482" s="8"/>
      <c r="R482" s="9"/>
      <c r="S482" s="8"/>
      <c r="T482" s="8"/>
      <c r="U482" s="8"/>
      <c r="V482" s="11"/>
      <c r="W482" s="8"/>
      <c r="X482" s="8"/>
      <c r="Y482" s="9"/>
      <c r="Z482" s="8"/>
      <c r="AA482" s="8"/>
      <c r="AB482" s="8"/>
    </row>
    <row r="483" spans="1:28" x14ac:dyDescent="0.15">
      <c r="A483" s="8"/>
      <c r="B483" s="8"/>
      <c r="C483" s="8"/>
      <c r="D483" s="8"/>
      <c r="E483" s="9"/>
      <c r="F483" s="8"/>
      <c r="G483" s="10"/>
      <c r="H483" s="11"/>
      <c r="I483" s="8"/>
      <c r="J483" s="9"/>
      <c r="K483" s="8"/>
      <c r="L483" s="9"/>
      <c r="M483" s="8"/>
      <c r="N483" s="11"/>
      <c r="O483" s="8"/>
      <c r="P483" s="9"/>
      <c r="Q483" s="8"/>
      <c r="R483" s="9"/>
      <c r="S483" s="8"/>
      <c r="T483" s="8"/>
      <c r="U483" s="8"/>
      <c r="V483" s="11"/>
      <c r="W483" s="8"/>
      <c r="X483" s="8"/>
      <c r="Y483" s="9"/>
      <c r="Z483" s="8"/>
      <c r="AA483" s="8"/>
      <c r="AB483" s="8"/>
    </row>
    <row r="484" spans="1:28" x14ac:dyDescent="0.15">
      <c r="A484" s="8"/>
      <c r="B484" s="8"/>
      <c r="C484" s="8"/>
      <c r="D484" s="8"/>
      <c r="E484" s="9"/>
      <c r="F484" s="8"/>
      <c r="G484" s="10"/>
      <c r="H484" s="11"/>
      <c r="I484" s="8"/>
      <c r="J484" s="9"/>
      <c r="K484" s="8"/>
      <c r="L484" s="9"/>
      <c r="M484" s="8"/>
      <c r="N484" s="11"/>
      <c r="O484" s="8"/>
      <c r="P484" s="9"/>
      <c r="Q484" s="8"/>
      <c r="R484" s="9"/>
      <c r="S484" s="8"/>
      <c r="T484" s="8"/>
      <c r="U484" s="8"/>
      <c r="V484" s="11"/>
      <c r="W484" s="8"/>
      <c r="X484" s="8"/>
      <c r="Y484" s="9"/>
      <c r="Z484" s="8"/>
      <c r="AA484" s="8"/>
      <c r="AB484" s="8"/>
    </row>
    <row r="485" spans="1:28" x14ac:dyDescent="0.15">
      <c r="A485" s="8"/>
      <c r="B485" s="8"/>
      <c r="C485" s="8"/>
      <c r="D485" s="8"/>
      <c r="E485" s="9"/>
      <c r="F485" s="8"/>
      <c r="G485" s="10"/>
      <c r="H485" s="11"/>
      <c r="I485" s="8"/>
      <c r="J485" s="9"/>
      <c r="K485" s="8"/>
      <c r="L485" s="9"/>
      <c r="M485" s="8"/>
      <c r="N485" s="11"/>
      <c r="O485" s="8"/>
      <c r="P485" s="9"/>
      <c r="Q485" s="8"/>
      <c r="R485" s="9"/>
      <c r="S485" s="8"/>
      <c r="T485" s="8"/>
      <c r="U485" s="8"/>
      <c r="V485" s="11"/>
      <c r="W485" s="8"/>
      <c r="X485" s="8"/>
      <c r="Y485" s="9"/>
      <c r="Z485" s="8"/>
      <c r="AA485" s="8"/>
      <c r="AB485" s="8"/>
    </row>
    <row r="486" spans="1:28" x14ac:dyDescent="0.15">
      <c r="A486" s="8"/>
      <c r="B486" s="8"/>
      <c r="C486" s="8"/>
      <c r="D486" s="8"/>
      <c r="E486" s="9"/>
      <c r="F486" s="8"/>
      <c r="G486" s="10"/>
      <c r="H486" s="11"/>
      <c r="I486" s="8"/>
      <c r="J486" s="9"/>
      <c r="K486" s="8"/>
      <c r="L486" s="9"/>
      <c r="M486" s="8"/>
      <c r="N486" s="11"/>
      <c r="O486" s="8"/>
      <c r="P486" s="9"/>
      <c r="Q486" s="8"/>
      <c r="R486" s="9"/>
      <c r="S486" s="8"/>
      <c r="T486" s="8"/>
      <c r="U486" s="8"/>
      <c r="V486" s="11"/>
      <c r="W486" s="8"/>
      <c r="X486" s="8"/>
      <c r="Y486" s="9"/>
      <c r="Z486" s="8"/>
      <c r="AA486" s="8"/>
      <c r="AB486" s="8"/>
    </row>
    <row r="487" spans="1:28" x14ac:dyDescent="0.15">
      <c r="A487" s="8"/>
      <c r="B487" s="8"/>
      <c r="C487" s="8"/>
      <c r="D487" s="8"/>
      <c r="E487" s="9"/>
      <c r="F487" s="8"/>
      <c r="G487" s="10"/>
      <c r="H487" s="11"/>
      <c r="I487" s="8"/>
      <c r="J487" s="9"/>
      <c r="K487" s="8"/>
      <c r="L487" s="9"/>
      <c r="M487" s="8"/>
      <c r="N487" s="11"/>
      <c r="O487" s="8"/>
      <c r="P487" s="9"/>
      <c r="Q487" s="8"/>
      <c r="R487" s="9"/>
      <c r="S487" s="8"/>
      <c r="T487" s="8"/>
      <c r="U487" s="8"/>
      <c r="V487" s="11"/>
      <c r="W487" s="8"/>
      <c r="X487" s="8"/>
      <c r="Y487" s="9"/>
      <c r="Z487" s="8"/>
      <c r="AA487" s="8"/>
      <c r="AB487" s="8"/>
    </row>
    <row r="488" spans="1:28" x14ac:dyDescent="0.15">
      <c r="A488" s="8"/>
      <c r="B488" s="8"/>
      <c r="C488" s="8"/>
      <c r="D488" s="8"/>
      <c r="E488" s="9"/>
      <c r="F488" s="8"/>
      <c r="G488" s="10"/>
      <c r="H488" s="11"/>
      <c r="I488" s="8"/>
      <c r="J488" s="9"/>
      <c r="K488" s="8"/>
      <c r="L488" s="9"/>
      <c r="M488" s="8"/>
      <c r="N488" s="11"/>
      <c r="O488" s="8"/>
      <c r="P488" s="9"/>
      <c r="Q488" s="8"/>
      <c r="R488" s="9"/>
      <c r="S488" s="8"/>
      <c r="T488" s="8"/>
      <c r="U488" s="8"/>
      <c r="V488" s="11"/>
      <c r="W488" s="8"/>
      <c r="X488" s="8"/>
      <c r="Y488" s="9"/>
      <c r="Z488" s="8"/>
      <c r="AA488" s="8"/>
      <c r="AB488" s="8"/>
    </row>
    <row r="489" spans="1:28" x14ac:dyDescent="0.15">
      <c r="A489" s="8"/>
      <c r="B489" s="8"/>
      <c r="C489" s="8"/>
      <c r="D489" s="8"/>
      <c r="E489" s="9"/>
      <c r="F489" s="8"/>
      <c r="G489" s="10"/>
      <c r="H489" s="11"/>
      <c r="I489" s="8"/>
      <c r="J489" s="9"/>
      <c r="K489" s="8"/>
      <c r="L489" s="9"/>
      <c r="M489" s="8"/>
      <c r="N489" s="11"/>
      <c r="O489" s="8"/>
      <c r="P489" s="9"/>
      <c r="Q489" s="8"/>
      <c r="R489" s="9"/>
      <c r="S489" s="8"/>
      <c r="T489" s="8"/>
      <c r="U489" s="8"/>
      <c r="V489" s="11"/>
      <c r="W489" s="8"/>
      <c r="X489" s="8"/>
      <c r="Y489" s="9"/>
      <c r="Z489" s="8"/>
      <c r="AA489" s="8"/>
      <c r="AB489" s="8"/>
    </row>
    <row r="490" spans="1:28" x14ac:dyDescent="0.15">
      <c r="A490" s="8"/>
      <c r="B490" s="8"/>
      <c r="C490" s="8"/>
      <c r="D490" s="8"/>
      <c r="E490" s="9"/>
      <c r="F490" s="8"/>
      <c r="G490" s="10"/>
      <c r="H490" s="11"/>
      <c r="I490" s="8"/>
      <c r="J490" s="9"/>
      <c r="K490" s="8"/>
      <c r="L490" s="9"/>
      <c r="M490" s="8"/>
      <c r="N490" s="11"/>
      <c r="O490" s="8"/>
      <c r="P490" s="9"/>
      <c r="Q490" s="8"/>
      <c r="R490" s="9"/>
      <c r="S490" s="8"/>
      <c r="T490" s="8"/>
      <c r="U490" s="8"/>
      <c r="V490" s="11"/>
      <c r="W490" s="8"/>
      <c r="X490" s="8"/>
      <c r="Y490" s="9"/>
      <c r="Z490" s="8"/>
      <c r="AA490" s="8"/>
      <c r="AB490" s="8"/>
    </row>
    <row r="491" spans="1:28" x14ac:dyDescent="0.15">
      <c r="A491" s="8"/>
      <c r="B491" s="8"/>
      <c r="C491" s="8"/>
      <c r="D491" s="8"/>
      <c r="E491" s="9"/>
      <c r="F491" s="8"/>
      <c r="G491" s="10"/>
      <c r="H491" s="11"/>
      <c r="I491" s="8"/>
      <c r="J491" s="9"/>
      <c r="K491" s="8"/>
      <c r="L491" s="9"/>
      <c r="M491" s="8"/>
      <c r="N491" s="11"/>
      <c r="O491" s="8"/>
      <c r="P491" s="9"/>
      <c r="Q491" s="8"/>
      <c r="R491" s="9"/>
      <c r="S491" s="8"/>
      <c r="T491" s="8"/>
      <c r="U491" s="8"/>
      <c r="V491" s="11"/>
      <c r="W491" s="8"/>
      <c r="X491" s="8"/>
      <c r="Y491" s="9"/>
      <c r="Z491" s="8"/>
      <c r="AA491" s="8"/>
      <c r="AB491" s="8"/>
    </row>
    <row r="492" spans="1:28" x14ac:dyDescent="0.15">
      <c r="A492" s="8"/>
      <c r="B492" s="8"/>
      <c r="C492" s="8"/>
      <c r="D492" s="8"/>
      <c r="E492" s="9"/>
      <c r="F492" s="8"/>
      <c r="G492" s="10"/>
      <c r="H492" s="11"/>
      <c r="I492" s="8"/>
      <c r="J492" s="9"/>
      <c r="K492" s="8"/>
      <c r="L492" s="9"/>
      <c r="M492" s="8"/>
      <c r="N492" s="11"/>
      <c r="O492" s="8"/>
      <c r="P492" s="9"/>
      <c r="Q492" s="8"/>
      <c r="R492" s="9"/>
      <c r="S492" s="8"/>
      <c r="T492" s="8"/>
      <c r="U492" s="8"/>
      <c r="V492" s="11"/>
      <c r="W492" s="8"/>
      <c r="X492" s="8"/>
      <c r="Y492" s="9"/>
      <c r="Z492" s="8"/>
      <c r="AA492" s="8"/>
      <c r="AB492" s="8"/>
    </row>
    <row r="493" spans="1:28" x14ac:dyDescent="0.15">
      <c r="A493" s="8"/>
      <c r="B493" s="8"/>
      <c r="C493" s="8"/>
      <c r="D493" s="8"/>
      <c r="E493" s="9"/>
      <c r="F493" s="8"/>
      <c r="G493" s="10"/>
      <c r="H493" s="11"/>
      <c r="I493" s="8"/>
      <c r="J493" s="9"/>
      <c r="K493" s="8"/>
      <c r="L493" s="9"/>
      <c r="M493" s="8"/>
      <c r="N493" s="11"/>
      <c r="O493" s="8"/>
      <c r="P493" s="9"/>
      <c r="Q493" s="8"/>
      <c r="R493" s="9"/>
      <c r="S493" s="8"/>
      <c r="T493" s="8"/>
      <c r="U493" s="8"/>
      <c r="V493" s="11"/>
      <c r="W493" s="8"/>
      <c r="X493" s="8"/>
      <c r="Y493" s="9"/>
      <c r="Z493" s="8"/>
      <c r="AA493" s="8"/>
      <c r="AB493" s="8"/>
    </row>
    <row r="494" spans="1:28" x14ac:dyDescent="0.15">
      <c r="A494" s="8"/>
      <c r="B494" s="8"/>
      <c r="C494" s="8"/>
      <c r="D494" s="8"/>
      <c r="E494" s="9"/>
      <c r="F494" s="8"/>
      <c r="G494" s="10"/>
      <c r="H494" s="11"/>
      <c r="I494" s="8"/>
      <c r="J494" s="9"/>
      <c r="K494" s="8"/>
      <c r="L494" s="9"/>
      <c r="M494" s="8"/>
      <c r="N494" s="11"/>
      <c r="O494" s="8"/>
      <c r="P494" s="9"/>
      <c r="Q494" s="8"/>
      <c r="R494" s="9"/>
      <c r="S494" s="8"/>
      <c r="T494" s="8"/>
      <c r="U494" s="8"/>
      <c r="V494" s="11"/>
      <c r="W494" s="8"/>
      <c r="X494" s="8"/>
      <c r="Y494" s="9"/>
      <c r="Z494" s="8"/>
      <c r="AA494" s="8"/>
      <c r="AB494" s="8"/>
    </row>
    <row r="495" spans="1:28" x14ac:dyDescent="0.15">
      <c r="A495" s="8"/>
      <c r="B495" s="8"/>
      <c r="C495" s="8"/>
      <c r="D495" s="8"/>
      <c r="E495" s="9"/>
      <c r="F495" s="8"/>
      <c r="G495" s="10"/>
      <c r="H495" s="11"/>
      <c r="I495" s="8"/>
      <c r="J495" s="9"/>
      <c r="K495" s="8"/>
      <c r="L495" s="9"/>
      <c r="M495" s="8"/>
      <c r="N495" s="11"/>
      <c r="O495" s="8"/>
      <c r="P495" s="9"/>
      <c r="Q495" s="8"/>
      <c r="R495" s="9"/>
      <c r="S495" s="8"/>
      <c r="T495" s="8"/>
      <c r="U495" s="8"/>
      <c r="V495" s="11"/>
      <c r="W495" s="8"/>
      <c r="X495" s="8"/>
      <c r="Y495" s="9"/>
      <c r="Z495" s="8"/>
      <c r="AA495" s="8"/>
      <c r="AB495" s="8"/>
    </row>
    <row r="496" spans="1:28" x14ac:dyDescent="0.15">
      <c r="A496" s="8"/>
      <c r="B496" s="8"/>
      <c r="C496" s="8"/>
      <c r="D496" s="8"/>
      <c r="E496" s="9"/>
      <c r="F496" s="8"/>
      <c r="G496" s="10"/>
      <c r="H496" s="11"/>
      <c r="I496" s="8"/>
      <c r="J496" s="9"/>
      <c r="K496" s="8"/>
      <c r="L496" s="9"/>
      <c r="M496" s="8"/>
      <c r="N496" s="11"/>
      <c r="O496" s="8"/>
      <c r="P496" s="9"/>
      <c r="Q496" s="8"/>
      <c r="R496" s="9"/>
      <c r="S496" s="8"/>
      <c r="T496" s="8"/>
      <c r="U496" s="8"/>
      <c r="V496" s="11"/>
      <c r="W496" s="8"/>
      <c r="X496" s="8"/>
      <c r="Y496" s="9"/>
      <c r="Z496" s="8"/>
      <c r="AA496" s="8"/>
      <c r="AB496" s="8"/>
    </row>
    <row r="497" spans="1:28" x14ac:dyDescent="0.15">
      <c r="A497" s="8"/>
      <c r="B497" s="8"/>
      <c r="C497" s="8"/>
      <c r="D497" s="8"/>
      <c r="E497" s="9"/>
      <c r="F497" s="8"/>
      <c r="G497" s="10"/>
      <c r="H497" s="11"/>
      <c r="I497" s="8"/>
      <c r="J497" s="9"/>
      <c r="K497" s="8"/>
      <c r="L497" s="9"/>
      <c r="M497" s="8"/>
      <c r="N497" s="11"/>
      <c r="O497" s="8"/>
      <c r="P497" s="9"/>
      <c r="Q497" s="8"/>
      <c r="R497" s="9"/>
      <c r="S497" s="8"/>
      <c r="T497" s="8"/>
      <c r="U497" s="8"/>
      <c r="V497" s="11"/>
      <c r="W497" s="8"/>
      <c r="X497" s="8"/>
      <c r="Y497" s="9"/>
      <c r="Z497" s="8"/>
      <c r="AA497" s="8"/>
      <c r="AB497" s="8"/>
    </row>
    <row r="498" spans="1:28" x14ac:dyDescent="0.15">
      <c r="A498" s="8"/>
      <c r="B498" s="8"/>
      <c r="C498" s="8"/>
      <c r="D498" s="8"/>
      <c r="E498" s="9"/>
      <c r="F498" s="8"/>
      <c r="G498" s="10"/>
      <c r="H498" s="11"/>
      <c r="I498" s="8"/>
      <c r="J498" s="9"/>
      <c r="K498" s="8"/>
      <c r="L498" s="9"/>
      <c r="M498" s="8"/>
      <c r="N498" s="11"/>
      <c r="O498" s="8"/>
      <c r="P498" s="9"/>
      <c r="Q498" s="8"/>
      <c r="R498" s="9"/>
      <c r="S498" s="8"/>
      <c r="T498" s="8"/>
      <c r="U498" s="8"/>
      <c r="V498" s="11"/>
      <c r="W498" s="8"/>
      <c r="X498" s="8"/>
      <c r="Y498" s="9"/>
      <c r="Z498" s="8"/>
      <c r="AA498" s="8"/>
      <c r="AB498" s="8"/>
    </row>
    <row r="499" spans="1:28" x14ac:dyDescent="0.15">
      <c r="A499" s="8"/>
      <c r="B499" s="8"/>
      <c r="C499" s="8"/>
      <c r="D499" s="8"/>
      <c r="E499" s="9"/>
      <c r="F499" s="8"/>
      <c r="G499" s="10"/>
      <c r="H499" s="11"/>
      <c r="I499" s="8"/>
      <c r="J499" s="9"/>
      <c r="K499" s="8"/>
      <c r="L499" s="9"/>
      <c r="M499" s="8"/>
      <c r="N499" s="11"/>
      <c r="O499" s="8"/>
      <c r="P499" s="9"/>
      <c r="Q499" s="8"/>
      <c r="R499" s="9"/>
      <c r="S499" s="8"/>
      <c r="T499" s="8"/>
      <c r="U499" s="8"/>
      <c r="V499" s="11"/>
      <c r="W499" s="8"/>
      <c r="X499" s="8"/>
      <c r="Y499" s="9"/>
      <c r="Z499" s="8"/>
      <c r="AA499" s="8"/>
      <c r="AB499" s="8"/>
    </row>
    <row r="500" spans="1:28" x14ac:dyDescent="0.15">
      <c r="A500" s="8"/>
      <c r="B500" s="8"/>
      <c r="C500" s="8"/>
      <c r="D500" s="8"/>
      <c r="E500" s="9"/>
      <c r="F500" s="8"/>
      <c r="G500" s="10"/>
      <c r="H500" s="11"/>
      <c r="I500" s="8"/>
      <c r="J500" s="9"/>
      <c r="K500" s="8"/>
      <c r="L500" s="9"/>
      <c r="M500" s="8"/>
      <c r="N500" s="11"/>
      <c r="O500" s="8"/>
      <c r="P500" s="9"/>
      <c r="Q500" s="8"/>
      <c r="R500" s="9"/>
      <c r="S500" s="8"/>
      <c r="T500" s="8"/>
      <c r="U500" s="8"/>
      <c r="V500" s="11"/>
      <c r="W500" s="8"/>
      <c r="X500" s="8"/>
      <c r="Y500" s="9"/>
      <c r="Z500" s="8"/>
      <c r="AA500" s="8"/>
      <c r="AB500" s="8"/>
    </row>
    <row r="501" spans="1:28" x14ac:dyDescent="0.15">
      <c r="A501" s="8"/>
      <c r="B501" s="8"/>
      <c r="C501" s="8"/>
      <c r="D501" s="8"/>
      <c r="E501" s="9"/>
      <c r="F501" s="8"/>
      <c r="G501" s="10"/>
      <c r="H501" s="11"/>
      <c r="I501" s="8"/>
      <c r="J501" s="9"/>
      <c r="K501" s="8"/>
      <c r="L501" s="9"/>
      <c r="M501" s="8"/>
      <c r="N501" s="11"/>
      <c r="O501" s="8"/>
      <c r="P501" s="9"/>
      <c r="Q501" s="8"/>
      <c r="R501" s="9"/>
      <c r="S501" s="8"/>
      <c r="T501" s="8"/>
      <c r="U501" s="8"/>
      <c r="V501" s="11"/>
      <c r="W501" s="8"/>
      <c r="X501" s="8"/>
      <c r="Y501" s="9"/>
      <c r="Z501" s="8"/>
      <c r="AA501" s="8"/>
      <c r="AB501" s="8"/>
    </row>
    <row r="502" spans="1:28" x14ac:dyDescent="0.15">
      <c r="A502" s="8"/>
      <c r="B502" s="8"/>
      <c r="C502" s="8"/>
      <c r="D502" s="8"/>
      <c r="E502" s="9"/>
      <c r="F502" s="8"/>
      <c r="G502" s="10"/>
      <c r="H502" s="11"/>
      <c r="I502" s="8"/>
      <c r="J502" s="9"/>
      <c r="K502" s="8"/>
      <c r="L502" s="9"/>
      <c r="M502" s="8"/>
      <c r="N502" s="11"/>
      <c r="O502" s="8"/>
      <c r="P502" s="9"/>
      <c r="Q502" s="8"/>
      <c r="R502" s="9"/>
      <c r="S502" s="8"/>
      <c r="T502" s="8"/>
      <c r="U502" s="8"/>
      <c r="V502" s="11"/>
      <c r="W502" s="8"/>
      <c r="X502" s="8"/>
      <c r="Y502" s="9"/>
      <c r="Z502" s="8"/>
      <c r="AA502" s="8"/>
      <c r="AB502" s="8"/>
    </row>
    <row r="503" spans="1:28" x14ac:dyDescent="0.15">
      <c r="A503" s="8"/>
      <c r="B503" s="8"/>
      <c r="C503" s="8"/>
      <c r="D503" s="8"/>
      <c r="E503" s="9"/>
      <c r="F503" s="8"/>
      <c r="G503" s="10"/>
      <c r="H503" s="11"/>
      <c r="I503" s="8"/>
      <c r="J503" s="9"/>
      <c r="K503" s="8"/>
      <c r="L503" s="9"/>
      <c r="M503" s="8"/>
      <c r="N503" s="11"/>
      <c r="O503" s="8"/>
      <c r="P503" s="9"/>
      <c r="Q503" s="8"/>
      <c r="R503" s="9"/>
      <c r="S503" s="8"/>
      <c r="T503" s="8"/>
      <c r="U503" s="8"/>
      <c r="V503" s="11"/>
      <c r="W503" s="8"/>
      <c r="X503" s="8"/>
      <c r="Y503" s="9"/>
      <c r="Z503" s="8"/>
      <c r="AA503" s="8"/>
      <c r="AB503" s="8"/>
    </row>
    <row r="504" spans="1:28" x14ac:dyDescent="0.15">
      <c r="A504" s="8"/>
      <c r="B504" s="8"/>
      <c r="C504" s="8"/>
      <c r="D504" s="8"/>
      <c r="E504" s="9"/>
      <c r="F504" s="8"/>
      <c r="G504" s="10"/>
      <c r="H504" s="11"/>
      <c r="I504" s="8"/>
      <c r="J504" s="9"/>
      <c r="K504" s="8"/>
      <c r="L504" s="9"/>
      <c r="M504" s="8"/>
      <c r="N504" s="11"/>
      <c r="O504" s="8"/>
      <c r="P504" s="9"/>
      <c r="Q504" s="8"/>
      <c r="R504" s="9"/>
      <c r="S504" s="8"/>
      <c r="T504" s="8"/>
      <c r="U504" s="8"/>
      <c r="V504" s="11"/>
      <c r="W504" s="8"/>
      <c r="X504" s="8"/>
      <c r="Y504" s="9"/>
      <c r="Z504" s="8"/>
      <c r="AA504" s="8"/>
      <c r="AB504" s="8"/>
    </row>
    <row r="505" spans="1:28" x14ac:dyDescent="0.15">
      <c r="A505" s="8"/>
      <c r="B505" s="8"/>
      <c r="C505" s="8"/>
      <c r="D505" s="8"/>
      <c r="E505" s="9"/>
      <c r="F505" s="8"/>
      <c r="G505" s="10"/>
      <c r="H505" s="11"/>
      <c r="I505" s="8"/>
      <c r="J505" s="9"/>
      <c r="K505" s="8"/>
      <c r="L505" s="9"/>
      <c r="M505" s="8"/>
      <c r="N505" s="11"/>
      <c r="O505" s="8"/>
      <c r="P505" s="9"/>
      <c r="Q505" s="8"/>
      <c r="R505" s="9"/>
      <c r="S505" s="8"/>
      <c r="T505" s="8"/>
      <c r="U505" s="8"/>
      <c r="V505" s="11"/>
      <c r="W505" s="8"/>
      <c r="X505" s="8"/>
      <c r="Y505" s="9"/>
      <c r="Z505" s="8"/>
      <c r="AA505" s="8"/>
      <c r="AB505" s="8"/>
    </row>
    <row r="506" spans="1:28" x14ac:dyDescent="0.15">
      <c r="A506" s="8"/>
      <c r="B506" s="8"/>
      <c r="C506" s="8"/>
      <c r="D506" s="8"/>
      <c r="E506" s="9"/>
      <c r="F506" s="8"/>
      <c r="G506" s="10"/>
      <c r="H506" s="11"/>
      <c r="I506" s="8"/>
      <c r="J506" s="9"/>
      <c r="K506" s="8"/>
      <c r="L506" s="9"/>
      <c r="M506" s="8"/>
      <c r="N506" s="11"/>
      <c r="O506" s="8"/>
      <c r="P506" s="9"/>
      <c r="Q506" s="8"/>
      <c r="R506" s="9"/>
      <c r="S506" s="8"/>
      <c r="T506" s="8"/>
      <c r="U506" s="8"/>
      <c r="V506" s="11"/>
      <c r="W506" s="8"/>
      <c r="X506" s="8"/>
      <c r="Y506" s="9"/>
      <c r="Z506" s="8"/>
      <c r="AA506" s="8"/>
      <c r="AB506" s="8"/>
    </row>
    <row r="507" spans="1:28" x14ac:dyDescent="0.15">
      <c r="A507" s="8"/>
      <c r="B507" s="8"/>
      <c r="C507" s="8"/>
      <c r="D507" s="8"/>
      <c r="E507" s="9"/>
      <c r="F507" s="8"/>
      <c r="G507" s="10"/>
      <c r="H507" s="11"/>
      <c r="I507" s="8"/>
      <c r="J507" s="9"/>
      <c r="K507" s="8"/>
      <c r="L507" s="9"/>
      <c r="M507" s="8"/>
      <c r="N507" s="11"/>
      <c r="O507" s="8"/>
      <c r="P507" s="9"/>
      <c r="Q507" s="8"/>
      <c r="R507" s="9"/>
      <c r="S507" s="8"/>
      <c r="T507" s="8"/>
      <c r="U507" s="8"/>
      <c r="V507" s="11"/>
      <c r="W507" s="8"/>
      <c r="X507" s="8"/>
      <c r="Y507" s="9"/>
      <c r="Z507" s="8"/>
      <c r="AA507" s="8"/>
      <c r="AB507" s="8"/>
    </row>
    <row r="508" spans="1:28" x14ac:dyDescent="0.15">
      <c r="A508" s="8"/>
      <c r="B508" s="8"/>
      <c r="C508" s="8"/>
      <c r="D508" s="8"/>
      <c r="E508" s="9"/>
      <c r="F508" s="8"/>
      <c r="G508" s="10"/>
      <c r="H508" s="11"/>
      <c r="I508" s="8"/>
      <c r="J508" s="9"/>
      <c r="K508" s="8"/>
      <c r="L508" s="9"/>
      <c r="M508" s="8"/>
      <c r="N508" s="11"/>
      <c r="O508" s="8"/>
      <c r="P508" s="9"/>
      <c r="Q508" s="8"/>
      <c r="R508" s="9"/>
      <c r="S508" s="8"/>
      <c r="T508" s="8"/>
      <c r="U508" s="8"/>
      <c r="V508" s="11"/>
      <c r="W508" s="8"/>
      <c r="X508" s="8"/>
      <c r="Y508" s="9"/>
      <c r="Z508" s="8"/>
      <c r="AA508" s="8"/>
      <c r="AB508" s="8"/>
    </row>
    <row r="509" spans="1:28" x14ac:dyDescent="0.15">
      <c r="A509" s="8"/>
      <c r="B509" s="8"/>
      <c r="C509" s="8"/>
      <c r="D509" s="8"/>
      <c r="E509" s="9"/>
      <c r="F509" s="8"/>
      <c r="G509" s="10"/>
      <c r="H509" s="11"/>
      <c r="I509" s="8"/>
      <c r="J509" s="9"/>
      <c r="K509" s="8"/>
      <c r="L509" s="9"/>
      <c r="M509" s="8"/>
      <c r="N509" s="11"/>
      <c r="O509" s="8"/>
      <c r="P509" s="9"/>
      <c r="Q509" s="8"/>
      <c r="R509" s="9"/>
      <c r="S509" s="8"/>
      <c r="T509" s="8"/>
      <c r="U509" s="8"/>
      <c r="V509" s="11"/>
      <c r="W509" s="8"/>
      <c r="X509" s="8"/>
      <c r="Y509" s="9"/>
      <c r="Z509" s="8"/>
      <c r="AA509" s="8"/>
      <c r="AB509" s="8"/>
    </row>
    <row r="510" spans="1:28" x14ac:dyDescent="0.15">
      <c r="A510" s="8"/>
      <c r="B510" s="8"/>
      <c r="C510" s="8"/>
      <c r="D510" s="8"/>
      <c r="E510" s="9"/>
      <c r="F510" s="8"/>
      <c r="G510" s="10"/>
      <c r="H510" s="11"/>
      <c r="I510" s="8"/>
      <c r="J510" s="9"/>
      <c r="K510" s="8"/>
      <c r="L510" s="9"/>
      <c r="M510" s="8"/>
      <c r="N510" s="11"/>
      <c r="O510" s="8"/>
      <c r="P510" s="9"/>
      <c r="Q510" s="8"/>
      <c r="R510" s="9"/>
      <c r="S510" s="8"/>
      <c r="T510" s="8"/>
      <c r="U510" s="8"/>
      <c r="V510" s="11"/>
      <c r="W510" s="8"/>
      <c r="X510" s="8"/>
      <c r="Y510" s="9"/>
      <c r="Z510" s="8"/>
      <c r="AA510" s="8"/>
      <c r="AB510" s="8"/>
    </row>
    <row r="511" spans="1:28" x14ac:dyDescent="0.15">
      <c r="A511" s="8"/>
      <c r="B511" s="8"/>
      <c r="C511" s="8"/>
      <c r="D511" s="8"/>
      <c r="E511" s="9"/>
      <c r="F511" s="8"/>
      <c r="G511" s="10"/>
      <c r="H511" s="11"/>
      <c r="I511" s="8"/>
      <c r="J511" s="9"/>
      <c r="K511" s="8"/>
      <c r="L511" s="9"/>
      <c r="M511" s="8"/>
      <c r="N511" s="11"/>
      <c r="O511" s="8"/>
      <c r="P511" s="9"/>
      <c r="Q511" s="8"/>
      <c r="R511" s="9"/>
      <c r="S511" s="8"/>
      <c r="T511" s="8"/>
      <c r="U511" s="8"/>
      <c r="V511" s="11"/>
      <c r="W511" s="8"/>
      <c r="X511" s="8"/>
      <c r="Y511" s="9"/>
      <c r="Z511" s="8"/>
      <c r="AA511" s="8"/>
      <c r="AB511" s="8"/>
    </row>
    <row r="512" spans="1:28" x14ac:dyDescent="0.15">
      <c r="A512" s="8"/>
      <c r="B512" s="8"/>
      <c r="C512" s="8"/>
      <c r="D512" s="8"/>
      <c r="E512" s="9"/>
      <c r="F512" s="8"/>
      <c r="G512" s="10"/>
      <c r="H512" s="11"/>
      <c r="I512" s="8"/>
      <c r="J512" s="9"/>
      <c r="K512" s="8"/>
      <c r="L512" s="9"/>
      <c r="M512" s="8"/>
      <c r="N512" s="11"/>
      <c r="O512" s="8"/>
      <c r="P512" s="9"/>
      <c r="Q512" s="8"/>
      <c r="R512" s="9"/>
      <c r="S512" s="8"/>
      <c r="T512" s="8"/>
      <c r="U512" s="8"/>
      <c r="V512" s="11"/>
      <c r="W512" s="8"/>
      <c r="X512" s="8"/>
      <c r="Y512" s="9"/>
      <c r="Z512" s="8"/>
      <c r="AA512" s="8"/>
      <c r="AB512" s="8"/>
    </row>
    <row r="513" spans="1:28" x14ac:dyDescent="0.15">
      <c r="A513" s="8"/>
      <c r="B513" s="8"/>
      <c r="C513" s="8"/>
      <c r="D513" s="8"/>
      <c r="E513" s="9"/>
      <c r="F513" s="8"/>
      <c r="G513" s="10"/>
      <c r="H513" s="11"/>
      <c r="I513" s="8"/>
      <c r="J513" s="9"/>
      <c r="K513" s="8"/>
      <c r="L513" s="9"/>
      <c r="M513" s="8"/>
      <c r="N513" s="11"/>
      <c r="O513" s="8"/>
      <c r="P513" s="9"/>
      <c r="Q513" s="8"/>
      <c r="R513" s="9"/>
      <c r="S513" s="8"/>
      <c r="T513" s="8"/>
      <c r="U513" s="8"/>
      <c r="V513" s="11"/>
      <c r="W513" s="8"/>
      <c r="X513" s="8"/>
      <c r="Y513" s="9"/>
      <c r="Z513" s="8"/>
      <c r="AA513" s="8"/>
      <c r="AB513" s="8"/>
    </row>
    <row r="514" spans="1:28" x14ac:dyDescent="0.15">
      <c r="A514" s="8"/>
      <c r="B514" s="8"/>
      <c r="C514" s="8"/>
      <c r="D514" s="8"/>
      <c r="E514" s="9"/>
      <c r="F514" s="8"/>
      <c r="G514" s="10"/>
      <c r="H514" s="11"/>
      <c r="I514" s="8"/>
      <c r="J514" s="9"/>
      <c r="K514" s="8"/>
      <c r="L514" s="9"/>
      <c r="M514" s="8"/>
      <c r="N514" s="11"/>
      <c r="O514" s="8"/>
      <c r="P514" s="9"/>
      <c r="Q514" s="8"/>
      <c r="R514" s="9"/>
      <c r="S514" s="8"/>
      <c r="T514" s="8"/>
      <c r="U514" s="8"/>
      <c r="V514" s="11"/>
      <c r="W514" s="8"/>
      <c r="X514" s="8"/>
      <c r="Y514" s="9"/>
      <c r="Z514" s="8"/>
      <c r="AA514" s="8"/>
      <c r="AB514" s="8"/>
    </row>
    <row r="515" spans="1:28" x14ac:dyDescent="0.15">
      <c r="A515" s="8"/>
      <c r="B515" s="8"/>
      <c r="C515" s="8"/>
      <c r="D515" s="8"/>
      <c r="E515" s="9"/>
      <c r="F515" s="8"/>
      <c r="G515" s="10"/>
      <c r="H515" s="11"/>
      <c r="I515" s="8"/>
      <c r="J515" s="9"/>
      <c r="K515" s="8"/>
      <c r="L515" s="9"/>
      <c r="M515" s="8"/>
      <c r="N515" s="11"/>
      <c r="O515" s="8"/>
      <c r="P515" s="9"/>
      <c r="Q515" s="8"/>
      <c r="R515" s="9"/>
      <c r="S515" s="8"/>
      <c r="T515" s="8"/>
      <c r="U515" s="8"/>
      <c r="V515" s="11"/>
      <c r="W515" s="8"/>
      <c r="X515" s="8"/>
      <c r="Y515" s="9"/>
      <c r="Z515" s="8"/>
      <c r="AA515" s="8"/>
      <c r="AB515" s="8"/>
    </row>
    <row r="516" spans="1:28" x14ac:dyDescent="0.15">
      <c r="A516" s="8"/>
      <c r="B516" s="8"/>
      <c r="C516" s="8"/>
      <c r="D516" s="8"/>
      <c r="E516" s="9"/>
      <c r="F516" s="8"/>
      <c r="G516" s="10"/>
      <c r="H516" s="11"/>
      <c r="I516" s="8"/>
      <c r="J516" s="9"/>
      <c r="K516" s="8"/>
      <c r="L516" s="9"/>
      <c r="M516" s="8"/>
      <c r="N516" s="11"/>
      <c r="O516" s="8"/>
      <c r="P516" s="9"/>
      <c r="Q516" s="8"/>
      <c r="R516" s="9"/>
      <c r="S516" s="8"/>
      <c r="T516" s="8"/>
      <c r="U516" s="8"/>
      <c r="V516" s="11"/>
      <c r="W516" s="8"/>
      <c r="X516" s="8"/>
      <c r="Y516" s="9"/>
      <c r="Z516" s="8"/>
      <c r="AA516" s="8"/>
      <c r="AB516" s="8"/>
    </row>
    <row r="517" spans="1:28" x14ac:dyDescent="0.15">
      <c r="A517" s="8"/>
      <c r="B517" s="8"/>
      <c r="C517" s="8"/>
      <c r="D517" s="8"/>
      <c r="E517" s="9"/>
      <c r="F517" s="8"/>
      <c r="G517" s="10"/>
      <c r="H517" s="11"/>
      <c r="I517" s="8"/>
      <c r="J517" s="9"/>
      <c r="K517" s="8"/>
      <c r="L517" s="9"/>
      <c r="M517" s="8"/>
      <c r="N517" s="11"/>
      <c r="O517" s="8"/>
      <c r="P517" s="9"/>
      <c r="Q517" s="8"/>
      <c r="R517" s="9"/>
      <c r="S517" s="8"/>
      <c r="T517" s="8"/>
      <c r="U517" s="8"/>
      <c r="V517" s="11"/>
      <c r="W517" s="8"/>
      <c r="X517" s="8"/>
      <c r="Y517" s="9"/>
      <c r="Z517" s="8"/>
      <c r="AA517" s="8"/>
      <c r="AB517" s="8"/>
    </row>
    <row r="518" spans="1:28" x14ac:dyDescent="0.15">
      <c r="A518" s="8"/>
      <c r="B518" s="8"/>
      <c r="C518" s="8"/>
      <c r="D518" s="8"/>
      <c r="E518" s="9"/>
      <c r="F518" s="8"/>
      <c r="G518" s="10"/>
      <c r="H518" s="11"/>
      <c r="I518" s="8"/>
      <c r="J518" s="9"/>
      <c r="K518" s="8"/>
      <c r="L518" s="9"/>
      <c r="M518" s="8"/>
      <c r="N518" s="11"/>
      <c r="O518" s="8"/>
      <c r="P518" s="9"/>
      <c r="Q518" s="8"/>
      <c r="R518" s="9"/>
      <c r="S518" s="8"/>
      <c r="T518" s="8"/>
      <c r="U518" s="8"/>
      <c r="V518" s="11"/>
      <c r="W518" s="8"/>
      <c r="X518" s="8"/>
      <c r="Y518" s="9"/>
      <c r="Z518" s="8"/>
      <c r="AA518" s="8"/>
      <c r="AB518" s="8"/>
    </row>
    <row r="519" spans="1:28" x14ac:dyDescent="0.15">
      <c r="A519" s="8"/>
      <c r="B519" s="8"/>
      <c r="C519" s="8"/>
      <c r="D519" s="8"/>
      <c r="E519" s="8"/>
      <c r="F519" s="8"/>
      <c r="G519" s="10"/>
      <c r="H519" s="11"/>
      <c r="I519" s="8"/>
      <c r="J519" s="9"/>
      <c r="K519" s="8"/>
      <c r="L519" s="9"/>
      <c r="M519" s="8"/>
      <c r="N519" s="11"/>
      <c r="O519" s="8"/>
      <c r="P519" s="9"/>
      <c r="Q519" s="8"/>
      <c r="R519" s="9"/>
      <c r="S519" s="8"/>
      <c r="T519" s="8"/>
      <c r="U519" s="8"/>
      <c r="V519" s="11"/>
      <c r="W519" s="8"/>
      <c r="X519" s="8"/>
      <c r="Y519" s="9"/>
      <c r="Z519" s="8"/>
      <c r="AA519" s="8"/>
      <c r="AB519" s="8"/>
    </row>
    <row r="520" spans="1:28" x14ac:dyDescent="0.15">
      <c r="A520" s="8"/>
      <c r="B520" s="8"/>
      <c r="C520" s="8"/>
      <c r="D520" s="8"/>
      <c r="E520" s="8"/>
      <c r="F520" s="8"/>
      <c r="G520" s="10"/>
      <c r="H520" s="11"/>
      <c r="I520" s="8"/>
      <c r="J520" s="9"/>
      <c r="K520" s="8"/>
      <c r="L520" s="9"/>
      <c r="M520" s="8"/>
      <c r="N520" s="11"/>
      <c r="O520" s="8"/>
      <c r="P520" s="9"/>
      <c r="Q520" s="8"/>
      <c r="R520" s="9"/>
      <c r="S520" s="8"/>
      <c r="T520" s="8"/>
      <c r="U520" s="8"/>
      <c r="V520" s="11"/>
      <c r="W520" s="8"/>
      <c r="X520" s="8"/>
      <c r="Y520" s="9"/>
      <c r="Z520" s="8"/>
      <c r="AA520" s="8"/>
      <c r="AB520" s="8"/>
    </row>
    <row r="521" spans="1:28" x14ac:dyDescent="0.15">
      <c r="A521" s="8"/>
      <c r="B521" s="8"/>
      <c r="C521" s="8"/>
      <c r="D521" s="8"/>
      <c r="E521" s="8"/>
      <c r="F521" s="8"/>
      <c r="G521" s="10"/>
      <c r="H521" s="11"/>
      <c r="I521" s="8"/>
      <c r="J521" s="9"/>
      <c r="K521" s="8"/>
      <c r="L521" s="9"/>
      <c r="M521" s="8"/>
      <c r="N521" s="11"/>
      <c r="O521" s="8"/>
      <c r="P521" s="9"/>
      <c r="Q521" s="8"/>
      <c r="R521" s="9"/>
      <c r="S521" s="8"/>
      <c r="T521" s="8"/>
      <c r="U521" s="8"/>
      <c r="V521" s="11"/>
      <c r="W521" s="8"/>
      <c r="X521" s="8"/>
      <c r="Y521" s="9"/>
      <c r="Z521" s="8"/>
      <c r="AA521" s="8"/>
      <c r="AB521" s="8"/>
    </row>
    <row r="522" spans="1:28" x14ac:dyDescent="0.15">
      <c r="A522" s="8"/>
      <c r="B522" s="8"/>
      <c r="C522" s="8"/>
      <c r="D522" s="8"/>
      <c r="E522" s="8"/>
      <c r="F522" s="8"/>
      <c r="G522" s="10"/>
      <c r="H522" s="11"/>
      <c r="I522" s="8"/>
      <c r="J522" s="9"/>
      <c r="K522" s="8"/>
      <c r="L522" s="9"/>
      <c r="M522" s="8"/>
      <c r="N522" s="11"/>
      <c r="O522" s="8"/>
      <c r="P522" s="9"/>
      <c r="Q522" s="8"/>
      <c r="R522" s="9"/>
      <c r="S522" s="8"/>
      <c r="T522" s="8"/>
      <c r="U522" s="8"/>
      <c r="V522" s="11"/>
      <c r="W522" s="8"/>
      <c r="X522" s="8"/>
      <c r="Y522" s="9"/>
      <c r="Z522" s="8"/>
      <c r="AA522" s="8"/>
      <c r="AB522" s="8"/>
    </row>
    <row r="523" spans="1:28" x14ac:dyDescent="0.15">
      <c r="A523" s="8"/>
      <c r="B523" s="8"/>
      <c r="C523" s="8"/>
      <c r="D523" s="8"/>
      <c r="E523" s="8"/>
      <c r="F523" s="8"/>
      <c r="G523" s="10"/>
      <c r="H523" s="11"/>
      <c r="I523" s="8"/>
      <c r="J523" s="9"/>
      <c r="K523" s="8"/>
      <c r="L523" s="9"/>
      <c r="M523" s="8"/>
      <c r="N523" s="11"/>
      <c r="O523" s="8"/>
      <c r="P523" s="9"/>
      <c r="Q523" s="8"/>
      <c r="R523" s="9"/>
      <c r="S523" s="8"/>
      <c r="T523" s="8"/>
      <c r="U523" s="8"/>
      <c r="V523" s="11"/>
      <c r="W523" s="8"/>
      <c r="X523" s="8"/>
      <c r="Y523" s="9"/>
      <c r="Z523" s="8"/>
      <c r="AA523" s="8"/>
      <c r="AB523" s="8"/>
    </row>
    <row r="524" spans="1:28" x14ac:dyDescent="0.15">
      <c r="A524" s="8"/>
      <c r="B524" s="8"/>
      <c r="C524" s="8"/>
      <c r="D524" s="8"/>
      <c r="E524" s="8"/>
      <c r="F524" s="8"/>
      <c r="G524" s="10"/>
      <c r="H524" s="11"/>
      <c r="I524" s="8"/>
      <c r="J524" s="9"/>
      <c r="K524" s="8"/>
      <c r="L524" s="9"/>
      <c r="M524" s="8"/>
      <c r="N524" s="11"/>
      <c r="O524" s="8"/>
      <c r="P524" s="9"/>
      <c r="Q524" s="8"/>
      <c r="R524" s="9"/>
      <c r="S524" s="8"/>
      <c r="T524" s="8"/>
      <c r="U524" s="8"/>
      <c r="V524" s="11"/>
      <c r="W524" s="8"/>
      <c r="X524" s="8"/>
      <c r="Y524" s="9"/>
      <c r="Z524" s="8"/>
      <c r="AA524" s="8"/>
      <c r="AB524" s="8"/>
    </row>
    <row r="525" spans="1:28" x14ac:dyDescent="0.15">
      <c r="A525" s="8"/>
      <c r="B525" s="8"/>
      <c r="C525" s="8"/>
      <c r="D525" s="8"/>
      <c r="E525" s="8"/>
      <c r="F525" s="8"/>
      <c r="G525" s="10"/>
      <c r="H525" s="11"/>
      <c r="I525" s="8"/>
      <c r="J525" s="9"/>
      <c r="K525" s="8"/>
      <c r="L525" s="9"/>
      <c r="M525" s="8"/>
      <c r="N525" s="11"/>
      <c r="O525" s="8"/>
      <c r="P525" s="9"/>
      <c r="Q525" s="8"/>
      <c r="R525" s="9"/>
      <c r="S525" s="8"/>
      <c r="T525" s="8"/>
      <c r="U525" s="8"/>
      <c r="V525" s="11"/>
      <c r="W525" s="8"/>
      <c r="X525" s="8"/>
      <c r="Y525" s="9"/>
      <c r="Z525" s="8"/>
      <c r="AA525" s="8"/>
      <c r="AB525" s="8"/>
    </row>
    <row r="526" spans="1:28" x14ac:dyDescent="0.15">
      <c r="A526" s="8"/>
      <c r="B526" s="8"/>
      <c r="C526" s="8"/>
      <c r="D526" s="8"/>
      <c r="E526" s="8"/>
      <c r="F526" s="8"/>
      <c r="G526" s="10"/>
      <c r="H526" s="11"/>
      <c r="I526" s="8"/>
      <c r="J526" s="9"/>
      <c r="K526" s="8"/>
      <c r="L526" s="9"/>
      <c r="M526" s="8"/>
      <c r="N526" s="11"/>
      <c r="O526" s="8"/>
      <c r="P526" s="9"/>
      <c r="Q526" s="8"/>
      <c r="R526" s="9"/>
      <c r="S526" s="8"/>
      <c r="T526" s="8"/>
      <c r="U526" s="8"/>
      <c r="V526" s="11"/>
      <c r="W526" s="8"/>
      <c r="X526" s="8"/>
      <c r="Y526" s="9"/>
      <c r="Z526" s="8"/>
      <c r="AA526" s="8"/>
      <c r="AB526" s="8"/>
    </row>
    <row r="527" spans="1:28" x14ac:dyDescent="0.15">
      <c r="A527" s="8"/>
      <c r="B527" s="8"/>
      <c r="C527" s="8"/>
      <c r="D527" s="8"/>
      <c r="E527" s="8"/>
      <c r="F527" s="8"/>
      <c r="G527" s="10"/>
      <c r="H527" s="11"/>
      <c r="I527" s="8"/>
      <c r="J527" s="9"/>
      <c r="K527" s="8"/>
      <c r="L527" s="9"/>
      <c r="M527" s="8"/>
      <c r="N527" s="11"/>
      <c r="O527" s="8"/>
      <c r="P527" s="9"/>
      <c r="Q527" s="8"/>
      <c r="R527" s="9"/>
      <c r="S527" s="8"/>
      <c r="T527" s="8"/>
      <c r="U527" s="8"/>
      <c r="V527" s="11"/>
      <c r="W527" s="8"/>
      <c r="X527" s="8"/>
      <c r="Y527" s="9"/>
      <c r="Z527" s="8"/>
      <c r="AA527" s="8"/>
      <c r="AB527" s="8"/>
    </row>
    <row r="528" spans="1:28" x14ac:dyDescent="0.15">
      <c r="A528" s="8"/>
      <c r="B528" s="8"/>
      <c r="C528" s="8"/>
      <c r="D528" s="8"/>
      <c r="E528" s="8"/>
      <c r="F528" s="8"/>
      <c r="G528" s="10"/>
      <c r="H528" s="11"/>
      <c r="I528" s="8"/>
      <c r="J528" s="9"/>
      <c r="K528" s="8"/>
      <c r="L528" s="9"/>
      <c r="M528" s="8"/>
      <c r="N528" s="11"/>
      <c r="O528" s="8"/>
      <c r="P528" s="9"/>
      <c r="Q528" s="8"/>
      <c r="R528" s="9"/>
      <c r="S528" s="8"/>
      <c r="T528" s="8"/>
      <c r="U528" s="8"/>
      <c r="V528" s="11"/>
      <c r="W528" s="8"/>
      <c r="X528" s="8"/>
      <c r="Y528" s="9"/>
      <c r="Z528" s="8"/>
      <c r="AA528" s="8"/>
      <c r="AB528" s="8"/>
    </row>
    <row r="529" spans="1:28" x14ac:dyDescent="0.15">
      <c r="A529" s="8"/>
      <c r="B529" s="8"/>
      <c r="C529" s="8"/>
      <c r="D529" s="8"/>
      <c r="E529" s="8"/>
      <c r="F529" s="8"/>
      <c r="G529" s="10"/>
      <c r="H529" s="11"/>
      <c r="I529" s="8"/>
      <c r="J529" s="9"/>
      <c r="K529" s="8"/>
      <c r="L529" s="9"/>
      <c r="M529" s="8"/>
      <c r="N529" s="11"/>
      <c r="O529" s="8"/>
      <c r="P529" s="9"/>
      <c r="Q529" s="8"/>
      <c r="R529" s="9"/>
      <c r="S529" s="8"/>
      <c r="T529" s="8"/>
      <c r="U529" s="8"/>
      <c r="V529" s="11"/>
      <c r="W529" s="8"/>
      <c r="X529" s="8"/>
      <c r="Y529" s="9"/>
      <c r="Z529" s="8"/>
      <c r="AA529" s="8"/>
      <c r="AB529" s="8"/>
    </row>
    <row r="530" spans="1:28" x14ac:dyDescent="0.15">
      <c r="A530" s="8"/>
      <c r="B530" s="8"/>
      <c r="C530" s="8"/>
      <c r="D530" s="8"/>
      <c r="E530" s="8"/>
      <c r="F530" s="8"/>
      <c r="G530" s="10"/>
      <c r="H530" s="11"/>
      <c r="I530" s="8"/>
      <c r="J530" s="9"/>
      <c r="K530" s="8"/>
      <c r="L530" s="9"/>
      <c r="M530" s="8"/>
      <c r="N530" s="11"/>
      <c r="O530" s="8"/>
      <c r="P530" s="9"/>
      <c r="Q530" s="8"/>
      <c r="R530" s="9"/>
      <c r="S530" s="8"/>
      <c r="T530" s="8"/>
      <c r="U530" s="8"/>
      <c r="V530" s="11"/>
      <c r="W530" s="8"/>
      <c r="X530" s="8"/>
      <c r="Y530" s="9"/>
      <c r="Z530" s="8"/>
      <c r="AA530" s="8"/>
      <c r="AB530" s="8"/>
    </row>
    <row r="531" spans="1:28" x14ac:dyDescent="0.15">
      <c r="A531" s="8"/>
      <c r="B531" s="8"/>
      <c r="C531" s="8"/>
      <c r="D531" s="8"/>
      <c r="E531" s="8"/>
      <c r="F531" s="8"/>
      <c r="G531" s="10"/>
      <c r="H531" s="11"/>
      <c r="I531" s="8"/>
      <c r="J531" s="9"/>
      <c r="K531" s="8"/>
      <c r="L531" s="9"/>
      <c r="M531" s="8"/>
      <c r="N531" s="11"/>
      <c r="O531" s="8"/>
      <c r="P531" s="9"/>
      <c r="Q531" s="8"/>
      <c r="R531" s="9"/>
      <c r="S531" s="8"/>
      <c r="T531" s="8"/>
      <c r="U531" s="8"/>
      <c r="V531" s="11"/>
      <c r="W531" s="8"/>
      <c r="X531" s="8"/>
      <c r="Y531" s="9"/>
      <c r="Z531" s="8"/>
      <c r="AA531" s="8"/>
      <c r="AB531" s="8"/>
    </row>
    <row r="532" spans="1:28" x14ac:dyDescent="0.15">
      <c r="A532" s="8"/>
      <c r="B532" s="8"/>
      <c r="C532" s="8"/>
      <c r="D532" s="8"/>
      <c r="E532" s="8"/>
      <c r="F532" s="8"/>
      <c r="G532" s="10"/>
      <c r="H532" s="11"/>
      <c r="I532" s="8"/>
      <c r="J532" s="9"/>
      <c r="K532" s="8"/>
      <c r="L532" s="9"/>
      <c r="M532" s="8"/>
      <c r="N532" s="11"/>
      <c r="O532" s="8"/>
      <c r="P532" s="9"/>
      <c r="Q532" s="8"/>
      <c r="R532" s="9"/>
      <c r="S532" s="8"/>
      <c r="T532" s="8"/>
      <c r="U532" s="8"/>
      <c r="V532" s="11"/>
      <c r="W532" s="8"/>
      <c r="X532" s="8"/>
      <c r="Y532" s="9"/>
      <c r="Z532" s="8"/>
      <c r="AA532" s="8"/>
      <c r="AB532" s="8"/>
    </row>
    <row r="533" spans="1:28" x14ac:dyDescent="0.15">
      <c r="A533" s="8"/>
      <c r="B533" s="8"/>
      <c r="C533" s="8"/>
      <c r="D533" s="8"/>
      <c r="E533" s="8"/>
      <c r="F533" s="8"/>
      <c r="G533" s="10"/>
      <c r="H533" s="11"/>
      <c r="I533" s="8"/>
      <c r="J533" s="9"/>
      <c r="K533" s="8"/>
      <c r="L533" s="9"/>
      <c r="M533" s="8"/>
      <c r="N533" s="11"/>
      <c r="O533" s="8"/>
      <c r="P533" s="9"/>
      <c r="Q533" s="8"/>
      <c r="R533" s="9"/>
      <c r="S533" s="8"/>
      <c r="T533" s="8"/>
      <c r="U533" s="8"/>
      <c r="V533" s="11"/>
      <c r="W533" s="8"/>
      <c r="X533" s="8"/>
      <c r="Y533" s="9"/>
      <c r="Z533" s="8"/>
      <c r="AA533" s="8"/>
      <c r="AB533" s="8"/>
    </row>
    <row r="534" spans="1:28" x14ac:dyDescent="0.15">
      <c r="A534" s="8"/>
      <c r="B534" s="8"/>
      <c r="C534" s="8"/>
      <c r="D534" s="8"/>
      <c r="E534" s="8"/>
      <c r="F534" s="8"/>
      <c r="G534" s="10"/>
      <c r="H534" s="11"/>
      <c r="I534" s="8"/>
      <c r="J534" s="9"/>
      <c r="K534" s="8"/>
      <c r="L534" s="9"/>
      <c r="M534" s="8"/>
      <c r="N534" s="11"/>
      <c r="O534" s="8"/>
      <c r="P534" s="9"/>
      <c r="Q534" s="8"/>
      <c r="R534" s="9"/>
      <c r="S534" s="8"/>
      <c r="T534" s="8"/>
      <c r="U534" s="8"/>
      <c r="V534" s="11"/>
      <c r="W534" s="8"/>
      <c r="X534" s="8"/>
      <c r="Y534" s="9"/>
      <c r="Z534" s="8"/>
      <c r="AA534" s="8"/>
      <c r="AB534" s="8"/>
    </row>
    <row r="535" spans="1:28" x14ac:dyDescent="0.15">
      <c r="A535" s="8"/>
      <c r="B535" s="8"/>
      <c r="C535" s="8"/>
      <c r="D535" s="8"/>
      <c r="E535" s="8"/>
      <c r="F535" s="8"/>
      <c r="G535" s="10"/>
      <c r="H535" s="11"/>
      <c r="I535" s="8"/>
      <c r="J535" s="9"/>
      <c r="K535" s="8"/>
      <c r="L535" s="9"/>
      <c r="M535" s="8"/>
      <c r="N535" s="11"/>
      <c r="O535" s="8"/>
      <c r="P535" s="9"/>
      <c r="Q535" s="8"/>
      <c r="R535" s="9"/>
      <c r="S535" s="8"/>
      <c r="T535" s="8"/>
      <c r="U535" s="8"/>
      <c r="V535" s="11"/>
      <c r="W535" s="8"/>
      <c r="X535" s="8"/>
      <c r="Y535" s="9"/>
      <c r="Z535" s="8"/>
      <c r="AA535" s="8"/>
      <c r="AB535" s="8"/>
    </row>
    <row r="536" spans="1:28" x14ac:dyDescent="0.15">
      <c r="A536" s="8"/>
      <c r="B536" s="8"/>
      <c r="C536" s="8"/>
      <c r="D536" s="8"/>
      <c r="E536" s="8"/>
      <c r="F536" s="8"/>
      <c r="G536" s="10"/>
      <c r="H536" s="11"/>
      <c r="I536" s="8"/>
      <c r="J536" s="9"/>
      <c r="K536" s="8"/>
      <c r="L536" s="9"/>
      <c r="M536" s="8"/>
      <c r="N536" s="11"/>
      <c r="O536" s="8"/>
      <c r="P536" s="9"/>
      <c r="Q536" s="8"/>
      <c r="R536" s="9"/>
      <c r="S536" s="8"/>
      <c r="T536" s="8"/>
      <c r="U536" s="8"/>
      <c r="V536" s="11"/>
      <c r="W536" s="8"/>
      <c r="X536" s="8"/>
      <c r="Y536" s="9"/>
      <c r="Z536" s="8"/>
      <c r="AA536" s="8"/>
      <c r="AB536" s="8"/>
    </row>
    <row r="537" spans="1:28" x14ac:dyDescent="0.15">
      <c r="A537" s="8"/>
      <c r="B537" s="8"/>
      <c r="C537" s="8"/>
      <c r="D537" s="8"/>
      <c r="E537" s="8"/>
      <c r="F537" s="8"/>
      <c r="G537" s="10"/>
      <c r="H537" s="11"/>
      <c r="I537" s="8"/>
      <c r="J537" s="9"/>
      <c r="K537" s="8"/>
      <c r="L537" s="9"/>
      <c r="M537" s="8"/>
      <c r="N537" s="11"/>
      <c r="O537" s="8"/>
      <c r="P537" s="9"/>
      <c r="Q537" s="8"/>
      <c r="R537" s="9"/>
      <c r="S537" s="8"/>
      <c r="T537" s="8"/>
      <c r="U537" s="8"/>
      <c r="V537" s="11"/>
      <c r="W537" s="8"/>
      <c r="X537" s="8"/>
      <c r="Y537" s="9"/>
      <c r="Z537" s="8"/>
      <c r="AA537" s="8"/>
      <c r="AB537" s="8"/>
    </row>
    <row r="538" spans="1:28" x14ac:dyDescent="0.15">
      <c r="A538" s="8"/>
      <c r="B538" s="8"/>
      <c r="C538" s="8"/>
      <c r="D538" s="8"/>
      <c r="E538" s="8"/>
      <c r="F538" s="8"/>
      <c r="G538" s="10"/>
      <c r="H538" s="11"/>
      <c r="I538" s="8"/>
      <c r="J538" s="9"/>
      <c r="K538" s="8"/>
      <c r="L538" s="9"/>
      <c r="M538" s="8"/>
      <c r="N538" s="11"/>
      <c r="O538" s="8"/>
      <c r="P538" s="9"/>
      <c r="Q538" s="8"/>
      <c r="R538" s="9"/>
      <c r="S538" s="8"/>
      <c r="T538" s="8"/>
      <c r="U538" s="8"/>
      <c r="V538" s="11"/>
      <c r="W538" s="8"/>
      <c r="X538" s="8"/>
      <c r="Y538" s="9"/>
      <c r="Z538" s="8"/>
      <c r="AA538" s="8"/>
      <c r="AB538" s="8"/>
    </row>
    <row r="539" spans="1:28" x14ac:dyDescent="0.15">
      <c r="A539" s="8"/>
      <c r="B539" s="8"/>
      <c r="C539" s="8"/>
      <c r="D539" s="8"/>
      <c r="E539" s="8"/>
      <c r="F539" s="8"/>
      <c r="G539" s="10"/>
      <c r="H539" s="11"/>
      <c r="I539" s="8"/>
      <c r="J539" s="9"/>
      <c r="K539" s="8"/>
      <c r="L539" s="9"/>
      <c r="M539" s="8"/>
      <c r="N539" s="11"/>
      <c r="O539" s="8"/>
      <c r="P539" s="9"/>
      <c r="Q539" s="8"/>
      <c r="R539" s="9"/>
      <c r="S539" s="8"/>
      <c r="T539" s="8"/>
      <c r="U539" s="8"/>
      <c r="V539" s="11"/>
      <c r="W539" s="8"/>
      <c r="X539" s="8"/>
      <c r="Y539" s="9"/>
      <c r="Z539" s="8"/>
      <c r="AA539" s="8"/>
      <c r="AB539" s="8"/>
    </row>
    <row r="540" spans="1:28" x14ac:dyDescent="0.15">
      <c r="A540" s="8"/>
      <c r="B540" s="8"/>
      <c r="C540" s="8"/>
      <c r="D540" s="8"/>
      <c r="E540" s="8"/>
      <c r="F540" s="8"/>
      <c r="G540" s="10"/>
      <c r="H540" s="11"/>
      <c r="I540" s="8"/>
      <c r="J540" s="9"/>
      <c r="K540" s="8"/>
      <c r="L540" s="9"/>
      <c r="M540" s="8"/>
      <c r="N540" s="11"/>
      <c r="O540" s="8"/>
      <c r="P540" s="9"/>
      <c r="Q540" s="8"/>
      <c r="R540" s="9"/>
      <c r="S540" s="8"/>
      <c r="T540" s="8"/>
      <c r="U540" s="8"/>
      <c r="V540" s="11"/>
      <c r="W540" s="8"/>
      <c r="X540" s="8"/>
      <c r="Y540" s="9"/>
      <c r="Z540" s="8"/>
      <c r="AA540" s="8"/>
      <c r="AB540" s="8"/>
    </row>
    <row r="541" spans="1:28" x14ac:dyDescent="0.15">
      <c r="A541" s="8"/>
      <c r="B541" s="8"/>
      <c r="C541" s="8"/>
      <c r="D541" s="8"/>
      <c r="E541" s="8"/>
      <c r="F541" s="8"/>
      <c r="G541" s="10"/>
      <c r="H541" s="11"/>
      <c r="I541" s="8"/>
      <c r="J541" s="9"/>
      <c r="K541" s="8"/>
      <c r="L541" s="9"/>
      <c r="M541" s="8"/>
      <c r="N541" s="11"/>
      <c r="O541" s="8"/>
      <c r="P541" s="9"/>
      <c r="Q541" s="8"/>
      <c r="R541" s="9"/>
      <c r="S541" s="8"/>
      <c r="T541" s="8"/>
      <c r="U541" s="8"/>
      <c r="V541" s="11"/>
      <c r="W541" s="8"/>
      <c r="X541" s="8"/>
      <c r="Y541" s="9"/>
      <c r="Z541" s="8"/>
      <c r="AA541" s="8"/>
      <c r="AB541" s="8"/>
    </row>
    <row r="542" spans="1:28" x14ac:dyDescent="0.15">
      <c r="A542" s="8"/>
      <c r="B542" s="8"/>
      <c r="C542" s="8"/>
      <c r="D542" s="8"/>
      <c r="E542" s="8"/>
      <c r="F542" s="8"/>
      <c r="G542" s="10"/>
      <c r="H542" s="11"/>
      <c r="I542" s="8"/>
      <c r="J542" s="9"/>
      <c r="K542" s="8"/>
      <c r="L542" s="9"/>
      <c r="M542" s="8"/>
      <c r="N542" s="11"/>
      <c r="O542" s="8"/>
      <c r="P542" s="9"/>
      <c r="Q542" s="8"/>
      <c r="R542" s="9"/>
      <c r="S542" s="8"/>
      <c r="T542" s="8"/>
      <c r="U542" s="8"/>
      <c r="V542" s="11"/>
      <c r="W542" s="8"/>
      <c r="X542" s="8"/>
      <c r="Y542" s="9"/>
      <c r="Z542" s="8"/>
      <c r="AA542" s="8"/>
      <c r="AB542" s="8"/>
    </row>
    <row r="543" spans="1:28" x14ac:dyDescent="0.15">
      <c r="A543" s="8"/>
      <c r="B543" s="8"/>
      <c r="C543" s="8"/>
      <c r="D543" s="8"/>
      <c r="E543" s="8"/>
      <c r="F543" s="8"/>
      <c r="G543" s="10"/>
      <c r="H543" s="11"/>
      <c r="I543" s="8"/>
      <c r="J543" s="9"/>
      <c r="K543" s="8"/>
      <c r="L543" s="9"/>
      <c r="M543" s="8"/>
      <c r="N543" s="11"/>
      <c r="O543" s="8"/>
      <c r="P543" s="9"/>
      <c r="Q543" s="8"/>
      <c r="R543" s="9"/>
      <c r="S543" s="8"/>
      <c r="T543" s="8"/>
      <c r="U543" s="8"/>
      <c r="V543" s="11"/>
      <c r="W543" s="8"/>
      <c r="X543" s="8"/>
      <c r="Y543" s="9"/>
      <c r="Z543" s="8"/>
      <c r="AA543" s="8"/>
      <c r="AB543" s="8"/>
    </row>
    <row r="544" spans="1:28" x14ac:dyDescent="0.15">
      <c r="A544" s="8"/>
      <c r="B544" s="8"/>
      <c r="C544" s="8"/>
      <c r="D544" s="8"/>
      <c r="E544" s="8"/>
      <c r="F544" s="8"/>
      <c r="G544" s="10"/>
      <c r="H544" s="11"/>
      <c r="I544" s="8"/>
      <c r="J544" s="9"/>
      <c r="K544" s="8"/>
      <c r="L544" s="9"/>
      <c r="M544" s="8"/>
      <c r="N544" s="11"/>
      <c r="O544" s="8"/>
      <c r="P544" s="9"/>
      <c r="Q544" s="8"/>
      <c r="R544" s="9"/>
      <c r="S544" s="8"/>
      <c r="T544" s="8"/>
      <c r="U544" s="8"/>
      <c r="V544" s="11"/>
      <c r="W544" s="8"/>
      <c r="X544" s="8"/>
      <c r="Y544" s="9"/>
      <c r="Z544" s="8"/>
      <c r="AA544" s="8"/>
      <c r="AB544" s="8"/>
    </row>
    <row r="545" spans="1:28" x14ac:dyDescent="0.15">
      <c r="A545" s="8"/>
      <c r="B545" s="8"/>
      <c r="C545" s="8"/>
      <c r="D545" s="8"/>
      <c r="E545" s="8"/>
      <c r="F545" s="8"/>
      <c r="G545" s="10"/>
      <c r="H545" s="11"/>
      <c r="I545" s="8"/>
      <c r="J545" s="9"/>
      <c r="K545" s="8"/>
      <c r="L545" s="9"/>
      <c r="M545" s="8"/>
      <c r="N545" s="11"/>
      <c r="O545" s="8"/>
      <c r="P545" s="9"/>
      <c r="Q545" s="8"/>
      <c r="R545" s="9"/>
      <c r="S545" s="8"/>
      <c r="T545" s="8"/>
      <c r="U545" s="8"/>
      <c r="V545" s="11"/>
      <c r="W545" s="8"/>
      <c r="X545" s="8"/>
      <c r="Y545" s="9"/>
      <c r="Z545" s="8"/>
      <c r="AA545" s="8"/>
      <c r="AB545" s="8"/>
    </row>
    <row r="546" spans="1:28" x14ac:dyDescent="0.15">
      <c r="A546" s="8"/>
      <c r="B546" s="8"/>
      <c r="C546" s="8"/>
      <c r="D546" s="8"/>
      <c r="E546" s="8"/>
      <c r="F546" s="8"/>
      <c r="G546" s="10"/>
      <c r="H546" s="11"/>
      <c r="I546" s="8"/>
      <c r="J546" s="9"/>
      <c r="K546" s="8"/>
      <c r="L546" s="9"/>
      <c r="M546" s="8"/>
      <c r="N546" s="11"/>
      <c r="O546" s="8"/>
      <c r="P546" s="9"/>
      <c r="Q546" s="8"/>
      <c r="R546" s="9"/>
      <c r="S546" s="8"/>
      <c r="T546" s="8"/>
      <c r="U546" s="8"/>
      <c r="V546" s="11"/>
      <c r="W546" s="8"/>
      <c r="X546" s="8"/>
      <c r="Y546" s="9"/>
      <c r="Z546" s="8"/>
      <c r="AA546" s="8"/>
      <c r="AB546" s="8"/>
    </row>
    <row r="547" spans="1:28" x14ac:dyDescent="0.15">
      <c r="A547" s="8"/>
      <c r="B547" s="8"/>
      <c r="C547" s="8"/>
      <c r="D547" s="8"/>
      <c r="E547" s="8"/>
      <c r="F547" s="8"/>
      <c r="G547" s="10"/>
      <c r="H547" s="11"/>
      <c r="I547" s="8"/>
      <c r="J547" s="9"/>
      <c r="K547" s="8"/>
      <c r="L547" s="9"/>
      <c r="M547" s="8"/>
      <c r="N547" s="11"/>
      <c r="O547" s="8"/>
      <c r="P547" s="9"/>
      <c r="Q547" s="8"/>
      <c r="R547" s="9"/>
      <c r="S547" s="8"/>
      <c r="T547" s="8"/>
      <c r="U547" s="8"/>
      <c r="V547" s="11"/>
      <c r="W547" s="8"/>
      <c r="X547" s="8"/>
      <c r="Y547" s="9"/>
      <c r="Z547" s="8"/>
      <c r="AA547" s="8"/>
      <c r="AB547" s="8"/>
    </row>
    <row r="548" spans="1:28" x14ac:dyDescent="0.15">
      <c r="A548" s="8"/>
      <c r="B548" s="8"/>
      <c r="C548" s="8"/>
      <c r="D548" s="8"/>
      <c r="E548" s="8"/>
      <c r="F548" s="8"/>
      <c r="G548" s="10"/>
      <c r="H548" s="11"/>
      <c r="I548" s="8"/>
      <c r="J548" s="9"/>
      <c r="K548" s="8"/>
      <c r="L548" s="9"/>
      <c r="M548" s="8"/>
      <c r="N548" s="11"/>
      <c r="O548" s="8"/>
      <c r="P548" s="9"/>
      <c r="Q548" s="8"/>
      <c r="R548" s="9"/>
      <c r="S548" s="8"/>
      <c r="T548" s="8"/>
      <c r="U548" s="8"/>
      <c r="V548" s="11"/>
      <c r="W548" s="8"/>
      <c r="X548" s="8"/>
      <c r="Y548" s="9"/>
      <c r="Z548" s="8"/>
      <c r="AA548" s="8"/>
      <c r="AB548" s="8"/>
    </row>
    <row r="549" spans="1:28" x14ac:dyDescent="0.15">
      <c r="A549" s="8"/>
      <c r="B549" s="8"/>
      <c r="C549" s="8"/>
      <c r="D549" s="8"/>
      <c r="E549" s="8"/>
      <c r="F549" s="8"/>
      <c r="G549" s="10"/>
      <c r="H549" s="11"/>
      <c r="I549" s="8"/>
      <c r="J549" s="9"/>
      <c r="K549" s="8"/>
      <c r="L549" s="9"/>
      <c r="M549" s="8"/>
      <c r="N549" s="11"/>
      <c r="O549" s="8"/>
      <c r="P549" s="9"/>
      <c r="Q549" s="8"/>
      <c r="R549" s="9"/>
      <c r="S549" s="8"/>
      <c r="T549" s="8"/>
      <c r="U549" s="8"/>
      <c r="V549" s="11"/>
      <c r="W549" s="8"/>
      <c r="X549" s="8"/>
      <c r="Y549" s="9"/>
      <c r="Z549" s="8"/>
      <c r="AA549" s="8"/>
      <c r="AB549" s="8"/>
    </row>
    <row r="550" spans="1:28" x14ac:dyDescent="0.15">
      <c r="A550" s="8"/>
      <c r="B550" s="8"/>
      <c r="C550" s="8"/>
      <c r="D550" s="8"/>
      <c r="E550" s="8"/>
      <c r="F550" s="8"/>
      <c r="G550" s="10"/>
      <c r="H550" s="11"/>
      <c r="I550" s="8"/>
      <c r="J550" s="9"/>
      <c r="K550" s="8"/>
      <c r="L550" s="9"/>
      <c r="M550" s="8"/>
      <c r="N550" s="11"/>
      <c r="O550" s="8"/>
      <c r="P550" s="9"/>
      <c r="Q550" s="8"/>
      <c r="R550" s="9"/>
      <c r="S550" s="8"/>
      <c r="T550" s="8"/>
      <c r="U550" s="8"/>
      <c r="V550" s="11"/>
      <c r="W550" s="8"/>
      <c r="X550" s="8"/>
      <c r="Y550" s="9"/>
      <c r="Z550" s="8"/>
      <c r="AA550" s="8"/>
      <c r="AB550" s="8"/>
    </row>
    <row r="551" spans="1:28" x14ac:dyDescent="0.15">
      <c r="A551" s="8"/>
      <c r="B551" s="8"/>
      <c r="C551" s="8"/>
      <c r="D551" s="8"/>
      <c r="E551" s="8"/>
      <c r="F551" s="8"/>
      <c r="G551" s="10"/>
      <c r="H551" s="11"/>
      <c r="I551" s="8"/>
      <c r="J551" s="9"/>
      <c r="K551" s="8"/>
      <c r="L551" s="9"/>
      <c r="M551" s="8"/>
      <c r="N551" s="11"/>
      <c r="O551" s="8"/>
      <c r="P551" s="9"/>
      <c r="Q551" s="8"/>
      <c r="R551" s="9"/>
      <c r="S551" s="8"/>
      <c r="T551" s="8"/>
      <c r="U551" s="8"/>
      <c r="V551" s="11"/>
      <c r="W551" s="8"/>
      <c r="X551" s="8"/>
      <c r="Y551" s="9"/>
      <c r="Z551" s="8"/>
      <c r="AA551" s="8"/>
      <c r="AB551" s="8"/>
    </row>
    <row r="552" spans="1:28" x14ac:dyDescent="0.15">
      <c r="A552" s="8"/>
      <c r="B552" s="8"/>
      <c r="C552" s="8"/>
      <c r="D552" s="8"/>
      <c r="E552" s="8"/>
      <c r="F552" s="8"/>
      <c r="G552" s="10"/>
      <c r="H552" s="11"/>
      <c r="I552" s="8"/>
      <c r="J552" s="9"/>
      <c r="K552" s="8"/>
      <c r="L552" s="9"/>
      <c r="M552" s="8"/>
      <c r="N552" s="11"/>
      <c r="O552" s="8"/>
      <c r="P552" s="9"/>
      <c r="Q552" s="8"/>
      <c r="R552" s="9"/>
      <c r="S552" s="8"/>
      <c r="T552" s="8"/>
      <c r="U552" s="8"/>
      <c r="V552" s="11"/>
      <c r="W552" s="8"/>
      <c r="X552" s="8"/>
      <c r="Y552" s="9"/>
      <c r="Z552" s="8"/>
      <c r="AA552" s="8"/>
      <c r="AB552" s="8"/>
    </row>
    <row r="553" spans="1:28" x14ac:dyDescent="0.15">
      <c r="A553" s="8"/>
      <c r="B553" s="8"/>
      <c r="C553" s="8"/>
      <c r="D553" s="8"/>
      <c r="E553" s="8"/>
      <c r="F553" s="8"/>
      <c r="G553" s="10"/>
      <c r="H553" s="11"/>
      <c r="I553" s="8"/>
      <c r="J553" s="9"/>
      <c r="K553" s="8"/>
      <c r="L553" s="9"/>
      <c r="M553" s="8"/>
      <c r="N553" s="11"/>
      <c r="O553" s="8"/>
      <c r="P553" s="9"/>
      <c r="Q553" s="8"/>
      <c r="R553" s="9"/>
      <c r="S553" s="8"/>
      <c r="T553" s="8"/>
      <c r="U553" s="8"/>
      <c r="V553" s="11"/>
      <c r="W553" s="8"/>
      <c r="X553" s="8"/>
      <c r="Y553" s="9"/>
      <c r="Z553" s="8"/>
      <c r="AA553" s="8"/>
      <c r="AB553" s="8"/>
    </row>
    <row r="554" spans="1:28" x14ac:dyDescent="0.15">
      <c r="A554" s="8"/>
      <c r="B554" s="8"/>
      <c r="C554" s="8"/>
      <c r="D554" s="8"/>
      <c r="E554" s="8"/>
      <c r="F554" s="8"/>
      <c r="G554" s="10"/>
      <c r="H554" s="11"/>
      <c r="I554" s="8"/>
      <c r="J554" s="9"/>
      <c r="K554" s="8"/>
      <c r="L554" s="9"/>
      <c r="M554" s="8"/>
      <c r="N554" s="11"/>
      <c r="O554" s="8"/>
      <c r="P554" s="9"/>
      <c r="Q554" s="8"/>
      <c r="R554" s="9"/>
      <c r="S554" s="8"/>
      <c r="T554" s="8"/>
      <c r="U554" s="8"/>
      <c r="V554" s="11"/>
      <c r="W554" s="8"/>
      <c r="X554" s="8"/>
      <c r="Y554" s="9"/>
      <c r="Z554" s="8"/>
      <c r="AA554" s="8"/>
      <c r="AB554" s="8"/>
    </row>
    <row r="555" spans="1:28" x14ac:dyDescent="0.15">
      <c r="A555" s="8"/>
      <c r="B555" s="8"/>
      <c r="C555" s="8"/>
      <c r="D555" s="8"/>
      <c r="E555" s="8"/>
      <c r="F555" s="8"/>
      <c r="G555" s="10"/>
      <c r="H555" s="11"/>
      <c r="I555" s="8"/>
      <c r="J555" s="9"/>
      <c r="K555" s="8"/>
      <c r="L555" s="9"/>
      <c r="M555" s="8"/>
      <c r="N555" s="11"/>
      <c r="O555" s="8"/>
      <c r="P555" s="9"/>
      <c r="Q555" s="8"/>
      <c r="R555" s="9"/>
      <c r="S555" s="8"/>
      <c r="T555" s="8"/>
      <c r="U555" s="8"/>
      <c r="V555" s="11"/>
      <c r="W555" s="8"/>
      <c r="X555" s="8"/>
      <c r="Y555" s="9"/>
      <c r="Z555" s="8"/>
      <c r="AA555" s="8"/>
      <c r="AB555" s="8"/>
    </row>
    <row r="556" spans="1:28" x14ac:dyDescent="0.15">
      <c r="A556" s="8"/>
      <c r="B556" s="8"/>
      <c r="C556" s="8"/>
      <c r="D556" s="8"/>
      <c r="E556" s="8"/>
      <c r="F556" s="8"/>
      <c r="G556" s="10"/>
      <c r="H556" s="11"/>
      <c r="I556" s="8"/>
      <c r="J556" s="9"/>
      <c r="K556" s="8"/>
      <c r="L556" s="9"/>
      <c r="M556" s="8"/>
      <c r="N556" s="11"/>
      <c r="O556" s="8"/>
      <c r="P556" s="9"/>
      <c r="Q556" s="8"/>
      <c r="R556" s="9"/>
      <c r="S556" s="8"/>
      <c r="T556" s="8"/>
      <c r="U556" s="8"/>
      <c r="V556" s="11"/>
      <c r="W556" s="8"/>
      <c r="X556" s="8"/>
      <c r="Y556" s="9"/>
      <c r="Z556" s="8"/>
      <c r="AA556" s="8"/>
      <c r="AB556" s="8"/>
    </row>
    <row r="557" spans="1:28" x14ac:dyDescent="0.15">
      <c r="A557" s="8"/>
      <c r="B557" s="8"/>
      <c r="C557" s="8"/>
      <c r="D557" s="8"/>
      <c r="E557" s="8"/>
      <c r="F557" s="8"/>
      <c r="G557" s="10"/>
      <c r="H557" s="11"/>
      <c r="I557" s="8"/>
      <c r="J557" s="9"/>
      <c r="K557" s="8"/>
      <c r="L557" s="9"/>
      <c r="M557" s="8"/>
      <c r="N557" s="11"/>
      <c r="O557" s="8"/>
      <c r="P557" s="9"/>
      <c r="Q557" s="8"/>
      <c r="R557" s="9"/>
      <c r="S557" s="8"/>
      <c r="T557" s="8"/>
      <c r="U557" s="8"/>
      <c r="V557" s="11"/>
      <c r="W557" s="8"/>
      <c r="X557" s="8"/>
      <c r="Y557" s="9"/>
      <c r="Z557" s="8"/>
      <c r="AA557" s="8"/>
      <c r="AB557" s="8"/>
    </row>
    <row r="558" spans="1:28" x14ac:dyDescent="0.15">
      <c r="A558" s="8"/>
      <c r="B558" s="8"/>
      <c r="C558" s="8"/>
      <c r="D558" s="8"/>
      <c r="E558" s="8"/>
      <c r="F558" s="8"/>
      <c r="G558" s="10"/>
      <c r="H558" s="11"/>
      <c r="I558" s="8"/>
      <c r="J558" s="9"/>
      <c r="K558" s="8"/>
      <c r="L558" s="9"/>
      <c r="M558" s="8"/>
      <c r="N558" s="11"/>
      <c r="O558" s="8"/>
      <c r="P558" s="9"/>
      <c r="Q558" s="8"/>
      <c r="R558" s="9"/>
      <c r="S558" s="8"/>
      <c r="T558" s="8"/>
      <c r="U558" s="8"/>
      <c r="V558" s="11"/>
      <c r="W558" s="8"/>
      <c r="X558" s="8"/>
      <c r="Y558" s="9"/>
      <c r="Z558" s="8"/>
      <c r="AA558" s="8"/>
      <c r="AB558" s="8"/>
    </row>
    <row r="559" spans="1:28" x14ac:dyDescent="0.15">
      <c r="A559" s="8"/>
      <c r="B559" s="8"/>
      <c r="C559" s="8"/>
      <c r="D559" s="8"/>
      <c r="E559" s="8"/>
      <c r="F559" s="8"/>
      <c r="G559" s="10"/>
      <c r="H559" s="11"/>
      <c r="I559" s="8"/>
      <c r="J559" s="9"/>
      <c r="K559" s="8"/>
      <c r="L559" s="9"/>
      <c r="M559" s="8"/>
      <c r="N559" s="11"/>
      <c r="O559" s="8"/>
      <c r="P559" s="9"/>
      <c r="Q559" s="8"/>
      <c r="R559" s="9"/>
      <c r="S559" s="8"/>
      <c r="T559" s="8"/>
      <c r="U559" s="8"/>
      <c r="V559" s="11"/>
      <c r="W559" s="8"/>
      <c r="X559" s="8"/>
      <c r="Y559" s="9"/>
      <c r="Z559" s="8"/>
      <c r="AA559" s="8"/>
      <c r="AB559" s="8"/>
    </row>
    <row r="560" spans="1:28" x14ac:dyDescent="0.15">
      <c r="A560" s="8"/>
      <c r="B560" s="8"/>
      <c r="C560" s="8"/>
      <c r="D560" s="8"/>
      <c r="E560" s="8"/>
      <c r="F560" s="8"/>
      <c r="G560" s="10"/>
      <c r="H560" s="11"/>
      <c r="I560" s="8"/>
      <c r="J560" s="9"/>
      <c r="K560" s="8"/>
      <c r="L560" s="9"/>
      <c r="M560" s="8"/>
      <c r="N560" s="11"/>
      <c r="O560" s="8"/>
      <c r="P560" s="9"/>
      <c r="Q560" s="8"/>
      <c r="R560" s="9"/>
      <c r="S560" s="8"/>
      <c r="T560" s="8"/>
      <c r="U560" s="8"/>
      <c r="V560" s="11"/>
      <c r="W560" s="8"/>
      <c r="X560" s="8"/>
      <c r="Y560" s="9"/>
      <c r="Z560" s="8"/>
      <c r="AA560" s="8"/>
      <c r="AB560" s="8"/>
    </row>
    <row r="561" spans="1:28" x14ac:dyDescent="0.15">
      <c r="A561" s="8"/>
      <c r="B561" s="8"/>
      <c r="C561" s="8"/>
      <c r="D561" s="8"/>
      <c r="E561" s="8"/>
      <c r="F561" s="8"/>
      <c r="G561" s="10"/>
      <c r="H561" s="11"/>
      <c r="I561" s="8"/>
      <c r="J561" s="9"/>
      <c r="K561" s="8"/>
      <c r="L561" s="9"/>
      <c r="M561" s="8"/>
      <c r="N561" s="11"/>
      <c r="O561" s="8"/>
      <c r="P561" s="9"/>
      <c r="Q561" s="8"/>
      <c r="R561" s="9"/>
      <c r="S561" s="8"/>
      <c r="T561" s="8"/>
      <c r="U561" s="8"/>
      <c r="V561" s="11"/>
      <c r="W561" s="8"/>
      <c r="X561" s="8"/>
      <c r="Y561" s="9"/>
      <c r="Z561" s="8"/>
      <c r="AA561" s="8"/>
      <c r="AB561" s="8"/>
    </row>
    <row r="562" spans="1:28" x14ac:dyDescent="0.15">
      <c r="A562" s="8"/>
      <c r="B562" s="8"/>
      <c r="C562" s="8"/>
      <c r="D562" s="8"/>
      <c r="E562" s="8"/>
      <c r="F562" s="8"/>
      <c r="G562" s="10"/>
      <c r="H562" s="11"/>
      <c r="I562" s="8"/>
      <c r="J562" s="9"/>
      <c r="K562" s="8"/>
      <c r="L562" s="9"/>
      <c r="M562" s="8"/>
      <c r="N562" s="11"/>
      <c r="O562" s="8"/>
      <c r="P562" s="9"/>
      <c r="Q562" s="8"/>
      <c r="R562" s="9"/>
      <c r="S562" s="8"/>
      <c r="T562" s="8"/>
      <c r="U562" s="8"/>
      <c r="V562" s="11"/>
      <c r="W562" s="8"/>
      <c r="X562" s="8"/>
      <c r="Y562" s="9"/>
      <c r="Z562" s="8"/>
      <c r="AA562" s="8"/>
      <c r="AB562" s="8"/>
    </row>
    <row r="563" spans="1:28" x14ac:dyDescent="0.15">
      <c r="A563" s="8"/>
      <c r="B563" s="8"/>
      <c r="C563" s="8"/>
      <c r="D563" s="8"/>
      <c r="E563" s="8"/>
      <c r="F563" s="8"/>
      <c r="G563" s="10"/>
      <c r="H563" s="11"/>
      <c r="I563" s="8"/>
      <c r="J563" s="9"/>
      <c r="K563" s="8"/>
      <c r="L563" s="9"/>
      <c r="M563" s="8"/>
      <c r="N563" s="11"/>
      <c r="O563" s="8"/>
      <c r="P563" s="9"/>
      <c r="Q563" s="8"/>
      <c r="R563" s="9"/>
      <c r="S563" s="8"/>
      <c r="T563" s="8"/>
      <c r="U563" s="8"/>
      <c r="V563" s="11"/>
      <c r="W563" s="8"/>
      <c r="X563" s="8"/>
      <c r="Y563" s="9"/>
      <c r="Z563" s="8"/>
      <c r="AA563" s="8"/>
      <c r="AB563" s="8"/>
    </row>
    <row r="564" spans="1:28" x14ac:dyDescent="0.15">
      <c r="A564" s="8"/>
      <c r="B564" s="8"/>
      <c r="C564" s="8"/>
      <c r="D564" s="8"/>
      <c r="E564" s="8"/>
      <c r="F564" s="8"/>
      <c r="G564" s="10"/>
      <c r="H564" s="11"/>
      <c r="I564" s="8"/>
      <c r="J564" s="9"/>
      <c r="K564" s="8"/>
      <c r="L564" s="9"/>
      <c r="M564" s="8"/>
      <c r="N564" s="11"/>
      <c r="O564" s="8"/>
      <c r="P564" s="9"/>
      <c r="Q564" s="8"/>
      <c r="R564" s="9"/>
      <c r="S564" s="8"/>
      <c r="T564" s="8"/>
      <c r="U564" s="8"/>
      <c r="V564" s="11"/>
      <c r="W564" s="8"/>
      <c r="X564" s="8"/>
      <c r="Y564" s="9"/>
      <c r="Z564" s="8"/>
      <c r="AA564" s="8"/>
      <c r="AB564" s="8"/>
    </row>
    <row r="565" spans="1:28" x14ac:dyDescent="0.15">
      <c r="A565" s="8"/>
      <c r="B565" s="8"/>
      <c r="C565" s="8"/>
      <c r="D565" s="8"/>
      <c r="E565" s="8"/>
      <c r="F565" s="8"/>
      <c r="G565" s="10"/>
      <c r="H565" s="11"/>
      <c r="I565" s="8"/>
      <c r="J565" s="9"/>
      <c r="K565" s="8"/>
      <c r="L565" s="9"/>
      <c r="M565" s="8"/>
      <c r="N565" s="11"/>
      <c r="O565" s="8"/>
      <c r="P565" s="9"/>
      <c r="Q565" s="8"/>
      <c r="R565" s="9"/>
      <c r="S565" s="8"/>
      <c r="T565" s="8"/>
      <c r="U565" s="8"/>
      <c r="V565" s="11"/>
      <c r="W565" s="8"/>
      <c r="X565" s="8"/>
      <c r="Y565" s="9"/>
      <c r="Z565" s="8"/>
      <c r="AA565" s="8"/>
      <c r="AB565" s="8"/>
    </row>
    <row r="566" spans="1:28" x14ac:dyDescent="0.15">
      <c r="A566" s="8"/>
      <c r="B566" s="8"/>
      <c r="C566" s="8"/>
      <c r="D566" s="8"/>
      <c r="E566" s="8"/>
      <c r="F566" s="8"/>
      <c r="G566" s="10"/>
      <c r="H566" s="11"/>
      <c r="I566" s="8"/>
      <c r="J566" s="9"/>
      <c r="K566" s="8"/>
      <c r="L566" s="9"/>
      <c r="M566" s="8"/>
      <c r="N566" s="11"/>
      <c r="O566" s="8"/>
      <c r="P566" s="9"/>
      <c r="Q566" s="8"/>
      <c r="R566" s="9"/>
      <c r="S566" s="8"/>
      <c r="T566" s="8"/>
      <c r="U566" s="8"/>
      <c r="V566" s="11"/>
      <c r="W566" s="8"/>
      <c r="X566" s="8"/>
      <c r="Y566" s="9"/>
      <c r="Z566" s="8"/>
      <c r="AA566" s="8"/>
      <c r="AB566" s="8"/>
    </row>
    <row r="567" spans="1:28" x14ac:dyDescent="0.15">
      <c r="A567" s="8"/>
      <c r="B567" s="8"/>
      <c r="C567" s="8"/>
      <c r="D567" s="8"/>
      <c r="E567" s="8"/>
      <c r="F567" s="8"/>
      <c r="G567" s="10"/>
      <c r="H567" s="11"/>
      <c r="I567" s="8"/>
      <c r="J567" s="9"/>
      <c r="K567" s="8"/>
      <c r="L567" s="9"/>
      <c r="M567" s="8"/>
      <c r="N567" s="11"/>
      <c r="O567" s="8"/>
      <c r="P567" s="9"/>
      <c r="Q567" s="8"/>
      <c r="R567" s="9"/>
      <c r="S567" s="8"/>
      <c r="T567" s="8"/>
      <c r="U567" s="8"/>
      <c r="V567" s="11"/>
      <c r="W567" s="8"/>
      <c r="X567" s="8"/>
      <c r="Y567" s="9"/>
      <c r="Z567" s="8"/>
      <c r="AA567" s="8"/>
      <c r="AB567" s="8"/>
    </row>
    <row r="568" spans="1:28" x14ac:dyDescent="0.15">
      <c r="A568" s="8"/>
      <c r="B568" s="8"/>
      <c r="C568" s="8"/>
      <c r="D568" s="8"/>
      <c r="E568" s="8"/>
      <c r="F568" s="8"/>
      <c r="G568" s="10"/>
      <c r="H568" s="11"/>
      <c r="I568" s="8"/>
      <c r="J568" s="9"/>
      <c r="K568" s="8"/>
      <c r="L568" s="9"/>
      <c r="M568" s="8"/>
      <c r="N568" s="11"/>
      <c r="O568" s="8"/>
      <c r="P568" s="9"/>
      <c r="Q568" s="8"/>
      <c r="R568" s="9"/>
      <c r="S568" s="8"/>
      <c r="T568" s="8"/>
      <c r="U568" s="8"/>
      <c r="V568" s="11"/>
      <c r="W568" s="8"/>
      <c r="X568" s="8"/>
      <c r="Y568" s="9"/>
      <c r="Z568" s="8"/>
      <c r="AA568" s="8"/>
      <c r="AB568" s="8"/>
    </row>
    <row r="569" spans="1:28" x14ac:dyDescent="0.15">
      <c r="A569" s="8"/>
      <c r="B569" s="8"/>
      <c r="C569" s="8"/>
      <c r="D569" s="8"/>
      <c r="E569" s="8"/>
      <c r="F569" s="8"/>
      <c r="G569" s="10"/>
      <c r="H569" s="11"/>
      <c r="I569" s="8"/>
      <c r="J569" s="9"/>
      <c r="K569" s="8"/>
      <c r="L569" s="9"/>
      <c r="M569" s="8"/>
      <c r="N569" s="11"/>
      <c r="O569" s="8"/>
      <c r="P569" s="9"/>
      <c r="Q569" s="8"/>
      <c r="R569" s="9"/>
      <c r="S569" s="8"/>
      <c r="T569" s="8"/>
      <c r="U569" s="8"/>
      <c r="V569" s="11"/>
      <c r="W569" s="8"/>
      <c r="X569" s="8"/>
      <c r="Y569" s="9"/>
      <c r="Z569" s="8"/>
      <c r="AA569" s="8"/>
      <c r="AB569" s="8"/>
    </row>
    <row r="570" spans="1:28" x14ac:dyDescent="0.15">
      <c r="A570" s="8"/>
      <c r="B570" s="8"/>
      <c r="C570" s="8"/>
      <c r="D570" s="8"/>
      <c r="E570" s="8"/>
      <c r="F570" s="8"/>
      <c r="G570" s="10"/>
      <c r="H570" s="11"/>
      <c r="I570" s="8"/>
      <c r="J570" s="9"/>
      <c r="K570" s="8"/>
      <c r="L570" s="9"/>
      <c r="M570" s="8"/>
      <c r="N570" s="11"/>
      <c r="O570" s="8"/>
      <c r="P570" s="9"/>
      <c r="Q570" s="8"/>
      <c r="R570" s="9"/>
      <c r="S570" s="8"/>
      <c r="T570" s="8"/>
      <c r="U570" s="8"/>
      <c r="V570" s="11"/>
      <c r="W570" s="8"/>
      <c r="X570" s="8"/>
      <c r="Y570" s="9"/>
      <c r="Z570" s="8"/>
      <c r="AA570" s="8"/>
      <c r="AB570" s="8"/>
    </row>
    <row r="571" spans="1:28" x14ac:dyDescent="0.15">
      <c r="A571" s="8"/>
      <c r="B571" s="8"/>
      <c r="C571" s="8"/>
      <c r="D571" s="8"/>
      <c r="E571" s="8"/>
      <c r="F571" s="8"/>
      <c r="G571" s="10"/>
      <c r="H571" s="11"/>
      <c r="I571" s="8"/>
      <c r="J571" s="9"/>
      <c r="K571" s="8"/>
      <c r="L571" s="9"/>
      <c r="M571" s="8"/>
      <c r="N571" s="11"/>
      <c r="O571" s="8"/>
      <c r="P571" s="9"/>
      <c r="Q571" s="8"/>
      <c r="R571" s="9"/>
      <c r="S571" s="8"/>
      <c r="T571" s="8"/>
      <c r="U571" s="8"/>
      <c r="V571" s="11"/>
      <c r="W571" s="8"/>
      <c r="X571" s="8"/>
      <c r="Y571" s="9"/>
      <c r="Z571" s="8"/>
      <c r="AA571" s="8"/>
      <c r="AB571" s="8"/>
    </row>
    <row r="572" spans="1:28" x14ac:dyDescent="0.15">
      <c r="A572" s="8"/>
      <c r="B572" s="8"/>
      <c r="C572" s="8"/>
      <c r="D572" s="8"/>
      <c r="E572" s="8"/>
      <c r="F572" s="8"/>
      <c r="G572" s="10"/>
      <c r="H572" s="11"/>
      <c r="I572" s="8"/>
      <c r="J572" s="9"/>
      <c r="K572" s="8"/>
      <c r="L572" s="9"/>
      <c r="M572" s="8"/>
      <c r="N572" s="11"/>
      <c r="O572" s="8"/>
      <c r="P572" s="9"/>
      <c r="Q572" s="8"/>
      <c r="R572" s="9"/>
      <c r="S572" s="8"/>
      <c r="T572" s="8"/>
      <c r="U572" s="8"/>
      <c r="V572" s="11"/>
      <c r="W572" s="8"/>
      <c r="X572" s="8"/>
      <c r="Y572" s="9"/>
      <c r="Z572" s="8"/>
      <c r="AA572" s="8"/>
      <c r="AB572" s="8"/>
    </row>
    <row r="573" spans="1:28" x14ac:dyDescent="0.15">
      <c r="A573" s="8"/>
      <c r="B573" s="8"/>
      <c r="C573" s="8"/>
      <c r="D573" s="8"/>
      <c r="E573" s="8"/>
      <c r="F573" s="8"/>
      <c r="G573" s="10"/>
      <c r="H573" s="11"/>
      <c r="I573" s="8"/>
      <c r="J573" s="9"/>
      <c r="K573" s="8"/>
      <c r="L573" s="9"/>
      <c r="M573" s="8"/>
      <c r="N573" s="11"/>
      <c r="O573" s="8"/>
      <c r="P573" s="9"/>
      <c r="Q573" s="8"/>
      <c r="R573" s="9"/>
      <c r="S573" s="8"/>
      <c r="T573" s="8"/>
      <c r="U573" s="8"/>
      <c r="V573" s="11"/>
      <c r="W573" s="8"/>
      <c r="X573" s="8"/>
      <c r="Y573" s="9"/>
      <c r="Z573" s="8"/>
      <c r="AA573" s="8"/>
      <c r="AB573" s="8"/>
    </row>
    <row r="574" spans="1:28" x14ac:dyDescent="0.15">
      <c r="A574" s="8"/>
      <c r="B574" s="8"/>
      <c r="C574" s="8"/>
      <c r="D574" s="8"/>
      <c r="E574" s="8"/>
      <c r="F574" s="8"/>
      <c r="G574" s="10"/>
      <c r="H574" s="11"/>
      <c r="I574" s="8"/>
      <c r="J574" s="9"/>
      <c r="K574" s="8"/>
      <c r="L574" s="9"/>
      <c r="M574" s="8"/>
      <c r="N574" s="11"/>
      <c r="O574" s="8"/>
      <c r="P574" s="9"/>
      <c r="Q574" s="8"/>
      <c r="R574" s="9"/>
      <c r="S574" s="8"/>
      <c r="T574" s="8"/>
      <c r="U574" s="8"/>
      <c r="V574" s="11"/>
      <c r="W574" s="8"/>
      <c r="X574" s="8"/>
      <c r="Y574" s="9"/>
      <c r="Z574" s="8"/>
      <c r="AA574" s="8"/>
      <c r="AB574" s="8"/>
    </row>
    <row r="575" spans="1:28" x14ac:dyDescent="0.15">
      <c r="A575" s="8"/>
      <c r="B575" s="8"/>
      <c r="C575" s="8"/>
      <c r="D575" s="8"/>
      <c r="E575" s="8"/>
      <c r="F575" s="8"/>
      <c r="G575" s="10"/>
      <c r="H575" s="11"/>
      <c r="I575" s="8"/>
      <c r="J575" s="9"/>
      <c r="K575" s="8"/>
      <c r="L575" s="9"/>
      <c r="M575" s="8"/>
      <c r="N575" s="11"/>
      <c r="O575" s="8"/>
      <c r="P575" s="9"/>
      <c r="Q575" s="8"/>
      <c r="R575" s="9"/>
      <c r="S575" s="8"/>
      <c r="T575" s="8"/>
      <c r="U575" s="8"/>
      <c r="V575" s="11"/>
      <c r="W575" s="8"/>
      <c r="X575" s="8"/>
      <c r="Y575" s="9"/>
      <c r="Z575" s="8"/>
      <c r="AA575" s="8"/>
      <c r="AB575" s="8"/>
    </row>
    <row r="576" spans="1:28" x14ac:dyDescent="0.15">
      <c r="A576" s="8"/>
      <c r="B576" s="8"/>
      <c r="C576" s="8"/>
      <c r="D576" s="8"/>
      <c r="E576" s="8"/>
      <c r="F576" s="8"/>
      <c r="G576" s="10"/>
      <c r="H576" s="11"/>
      <c r="I576" s="8"/>
      <c r="J576" s="9"/>
      <c r="K576" s="8"/>
      <c r="L576" s="9"/>
      <c r="M576" s="8"/>
      <c r="N576" s="11"/>
      <c r="O576" s="8"/>
      <c r="P576" s="9"/>
      <c r="Q576" s="8"/>
      <c r="R576" s="9"/>
      <c r="S576" s="8"/>
      <c r="T576" s="8"/>
      <c r="U576" s="8"/>
      <c r="V576" s="11"/>
      <c r="W576" s="8"/>
      <c r="X576" s="8"/>
      <c r="Y576" s="9"/>
      <c r="Z576" s="8"/>
      <c r="AA576" s="8"/>
      <c r="AB576" s="8"/>
    </row>
    <row r="577" spans="1:28" x14ac:dyDescent="0.15">
      <c r="A577" s="8"/>
      <c r="B577" s="8"/>
      <c r="C577" s="8"/>
      <c r="D577" s="8"/>
      <c r="E577" s="8"/>
      <c r="F577" s="8"/>
      <c r="G577" s="10"/>
      <c r="H577" s="11"/>
      <c r="I577" s="8"/>
      <c r="J577" s="9"/>
      <c r="K577" s="8"/>
      <c r="L577" s="9"/>
      <c r="M577" s="8"/>
      <c r="N577" s="11"/>
      <c r="O577" s="8"/>
      <c r="P577" s="9"/>
      <c r="Q577" s="8"/>
      <c r="R577" s="9"/>
      <c r="S577" s="8"/>
      <c r="T577" s="8"/>
      <c r="U577" s="8"/>
      <c r="V577" s="11"/>
      <c r="W577" s="8"/>
      <c r="X577" s="8"/>
      <c r="Y577" s="9"/>
      <c r="Z577" s="8"/>
      <c r="AA577" s="8"/>
      <c r="AB577" s="8"/>
    </row>
    <row r="578" spans="1:28" x14ac:dyDescent="0.15">
      <c r="A578" s="8"/>
      <c r="B578" s="8"/>
      <c r="C578" s="8"/>
      <c r="D578" s="8"/>
      <c r="E578" s="8"/>
      <c r="F578" s="8"/>
      <c r="G578" s="10"/>
      <c r="H578" s="11"/>
      <c r="I578" s="8"/>
      <c r="J578" s="9"/>
      <c r="K578" s="8"/>
      <c r="L578" s="9"/>
      <c r="M578" s="8"/>
      <c r="N578" s="11"/>
      <c r="O578" s="8"/>
      <c r="P578" s="9"/>
      <c r="Q578" s="8"/>
      <c r="R578" s="9"/>
      <c r="S578" s="8"/>
      <c r="T578" s="8"/>
      <c r="U578" s="8"/>
      <c r="V578" s="11"/>
      <c r="W578" s="8"/>
      <c r="X578" s="8"/>
      <c r="Y578" s="9"/>
      <c r="Z578" s="8"/>
      <c r="AA578" s="8"/>
      <c r="AB578" s="8"/>
    </row>
    <row r="579" spans="1:28" outlineLevel="1" x14ac:dyDescent="0.15">
      <c r="A579" s="8"/>
      <c r="B579" s="8"/>
      <c r="C579" s="8"/>
      <c r="D579" s="8"/>
      <c r="E579" s="8"/>
      <c r="F579" s="8"/>
      <c r="G579" s="10"/>
      <c r="H579" s="11"/>
      <c r="I579" s="8"/>
      <c r="J579" s="9"/>
      <c r="K579" s="8"/>
      <c r="L579" s="9"/>
      <c r="M579" s="8"/>
      <c r="N579" s="11"/>
      <c r="O579" s="8"/>
      <c r="P579" s="9"/>
      <c r="Q579" s="8"/>
      <c r="R579" s="9"/>
      <c r="S579" s="8"/>
      <c r="T579" s="8"/>
      <c r="U579" s="8"/>
      <c r="V579" s="11"/>
      <c r="W579" s="8"/>
      <c r="X579" s="8"/>
      <c r="Y579" s="9"/>
      <c r="Z579" s="8"/>
      <c r="AA579" s="8"/>
      <c r="AB579" s="8"/>
    </row>
    <row r="580" spans="1:28" outlineLevel="1" x14ac:dyDescent="0.15">
      <c r="A580" s="8"/>
      <c r="B580" s="8"/>
      <c r="C580" s="8"/>
      <c r="D580" s="8"/>
      <c r="E580" s="8"/>
      <c r="F580" s="8"/>
      <c r="G580" s="10"/>
      <c r="H580" s="11"/>
      <c r="I580" s="8"/>
      <c r="J580" s="9"/>
      <c r="K580" s="8"/>
      <c r="L580" s="9"/>
      <c r="M580" s="8"/>
      <c r="N580" s="11"/>
      <c r="O580" s="8"/>
      <c r="P580" s="9"/>
      <c r="Q580" s="8"/>
      <c r="R580" s="9"/>
      <c r="S580" s="8"/>
      <c r="T580" s="8"/>
      <c r="U580" s="8"/>
      <c r="V580" s="11"/>
      <c r="W580" s="8"/>
      <c r="X580" s="8"/>
      <c r="Y580" s="9"/>
      <c r="Z580" s="8"/>
      <c r="AA580" s="8"/>
      <c r="AB580" s="8"/>
    </row>
    <row r="581" spans="1:28" outlineLevel="1" x14ac:dyDescent="0.15">
      <c r="A581" s="8"/>
      <c r="B581" s="8"/>
      <c r="C581" s="8"/>
      <c r="D581" s="8"/>
      <c r="E581" s="8"/>
      <c r="F581" s="8"/>
      <c r="G581" s="10"/>
      <c r="H581" s="11"/>
      <c r="I581" s="8"/>
      <c r="J581" s="9"/>
      <c r="K581" s="8"/>
      <c r="L581" s="9"/>
      <c r="M581" s="8"/>
      <c r="N581" s="11"/>
      <c r="O581" s="8"/>
      <c r="P581" s="9"/>
      <c r="Q581" s="8"/>
      <c r="R581" s="9"/>
      <c r="S581" s="8"/>
      <c r="T581" s="8"/>
      <c r="U581" s="8"/>
      <c r="V581" s="11"/>
      <c r="W581" s="8"/>
      <c r="X581" s="8"/>
      <c r="Y581" s="9"/>
      <c r="Z581" s="8"/>
      <c r="AA581" s="8"/>
      <c r="AB581" s="8"/>
    </row>
    <row r="582" spans="1:28" outlineLevel="1" x14ac:dyDescent="0.15">
      <c r="A582" s="8"/>
      <c r="B582" s="8"/>
      <c r="C582" s="8"/>
      <c r="D582" s="8"/>
      <c r="E582" s="8"/>
      <c r="F582" s="8"/>
      <c r="G582" s="10"/>
      <c r="H582" s="11"/>
      <c r="I582" s="8"/>
      <c r="J582" s="9"/>
      <c r="K582" s="8"/>
      <c r="L582" s="9"/>
      <c r="M582" s="8"/>
      <c r="N582" s="11"/>
      <c r="O582" s="8"/>
      <c r="P582" s="9"/>
      <c r="Q582" s="8"/>
      <c r="R582" s="9"/>
      <c r="S582" s="8"/>
      <c r="T582" s="8"/>
      <c r="U582" s="8"/>
      <c r="V582" s="11"/>
      <c r="W582" s="8"/>
      <c r="X582" s="8"/>
      <c r="Y582" s="9"/>
      <c r="Z582" s="8"/>
      <c r="AA582" s="8"/>
      <c r="AB582" s="8"/>
    </row>
    <row r="583" spans="1:28" outlineLevel="1" x14ac:dyDescent="0.15">
      <c r="A583" s="8"/>
      <c r="B583" s="8"/>
      <c r="C583" s="8"/>
      <c r="D583" s="8"/>
      <c r="E583" s="8"/>
      <c r="F583" s="8"/>
      <c r="G583" s="10"/>
      <c r="H583" s="11"/>
      <c r="I583" s="8"/>
      <c r="J583" s="9"/>
      <c r="K583" s="8"/>
      <c r="L583" s="9"/>
      <c r="M583" s="8"/>
      <c r="N583" s="11"/>
      <c r="O583" s="8"/>
      <c r="P583" s="9"/>
      <c r="Q583" s="8"/>
      <c r="R583" s="9"/>
      <c r="S583" s="8"/>
      <c r="T583" s="8"/>
      <c r="U583" s="8"/>
      <c r="V583" s="11"/>
      <c r="W583" s="8"/>
      <c r="X583" s="8"/>
      <c r="Y583" s="9"/>
      <c r="Z583" s="8"/>
      <c r="AA583" s="8"/>
      <c r="AB583" s="8"/>
    </row>
    <row r="584" spans="1:28" outlineLevel="1" x14ac:dyDescent="0.15">
      <c r="A584" s="8"/>
      <c r="B584" s="8"/>
      <c r="C584" s="8"/>
      <c r="D584" s="8"/>
      <c r="E584" s="8"/>
      <c r="F584" s="8"/>
      <c r="G584" s="10"/>
      <c r="H584" s="11"/>
      <c r="I584" s="8"/>
      <c r="J584" s="9"/>
      <c r="K584" s="8"/>
      <c r="L584" s="9"/>
      <c r="M584" s="8"/>
      <c r="N584" s="11"/>
      <c r="O584" s="8"/>
      <c r="P584" s="9"/>
      <c r="Q584" s="8"/>
      <c r="R584" s="9"/>
      <c r="S584" s="8"/>
      <c r="T584" s="8"/>
      <c r="U584" s="8"/>
      <c r="V584" s="11"/>
      <c r="W584" s="8"/>
      <c r="X584" s="8"/>
      <c r="Y584" s="9"/>
      <c r="Z584" s="8"/>
      <c r="AA584" s="8"/>
      <c r="AB584" s="8"/>
    </row>
    <row r="585" spans="1:28" outlineLevel="1" x14ac:dyDescent="0.15">
      <c r="A585" s="8"/>
      <c r="B585" s="8"/>
      <c r="C585" s="8"/>
      <c r="D585" s="8"/>
      <c r="E585" s="8"/>
      <c r="F585" s="8"/>
      <c r="G585" s="10"/>
      <c r="H585" s="11"/>
      <c r="I585" s="8"/>
      <c r="J585" s="9"/>
      <c r="K585" s="8"/>
      <c r="L585" s="9"/>
      <c r="M585" s="8"/>
      <c r="N585" s="11"/>
      <c r="O585" s="8"/>
      <c r="P585" s="9"/>
      <c r="Q585" s="8"/>
      <c r="R585" s="9"/>
      <c r="S585" s="8"/>
      <c r="T585" s="8"/>
      <c r="U585" s="8"/>
      <c r="V585" s="11"/>
      <c r="W585" s="8"/>
      <c r="X585" s="8"/>
      <c r="Y585" s="9"/>
      <c r="Z585" s="8"/>
      <c r="AA585" s="8"/>
      <c r="AB585" s="8"/>
    </row>
    <row r="586" spans="1:28" outlineLevel="1" x14ac:dyDescent="0.15">
      <c r="A586" s="8"/>
      <c r="B586" s="8"/>
      <c r="C586" s="8"/>
      <c r="D586" s="8"/>
      <c r="E586" s="8"/>
      <c r="F586" s="8"/>
      <c r="G586" s="10"/>
      <c r="H586" s="11"/>
      <c r="I586" s="8"/>
      <c r="J586" s="9"/>
      <c r="K586" s="8"/>
      <c r="L586" s="9"/>
      <c r="M586" s="8"/>
      <c r="N586" s="11"/>
      <c r="O586" s="8"/>
      <c r="P586" s="9"/>
      <c r="Q586" s="8"/>
      <c r="R586" s="9"/>
      <c r="S586" s="8"/>
      <c r="T586" s="8"/>
      <c r="U586" s="8"/>
      <c r="V586" s="11"/>
      <c r="W586" s="8"/>
      <c r="X586" s="8"/>
      <c r="Y586" s="9"/>
      <c r="Z586" s="8"/>
      <c r="AA586" s="8"/>
      <c r="AB586" s="8"/>
    </row>
    <row r="587" spans="1:28" outlineLevel="1" x14ac:dyDescent="0.15">
      <c r="A587" s="8"/>
      <c r="B587" s="8"/>
      <c r="C587" s="8"/>
      <c r="D587" s="8"/>
      <c r="E587" s="8"/>
      <c r="F587" s="8"/>
      <c r="G587" s="10"/>
      <c r="H587" s="11"/>
      <c r="I587" s="8"/>
      <c r="J587" s="9"/>
      <c r="K587" s="8"/>
      <c r="L587" s="9"/>
      <c r="M587" s="8"/>
      <c r="N587" s="11"/>
      <c r="O587" s="8"/>
      <c r="P587" s="9"/>
      <c r="Q587" s="8"/>
      <c r="R587" s="9"/>
      <c r="S587" s="8"/>
      <c r="T587" s="8"/>
      <c r="U587" s="8"/>
      <c r="V587" s="11"/>
      <c r="W587" s="8"/>
      <c r="X587" s="8"/>
      <c r="Y587" s="9"/>
      <c r="Z587" s="8"/>
      <c r="AA587" s="8"/>
      <c r="AB587" s="8"/>
    </row>
    <row r="588" spans="1:28" x14ac:dyDescent="0.15">
      <c r="A588" s="8"/>
      <c r="B588" s="8"/>
      <c r="C588" s="8"/>
      <c r="D588" s="8"/>
      <c r="E588" s="8"/>
      <c r="F588" s="8"/>
      <c r="G588" s="10"/>
      <c r="H588" s="11"/>
      <c r="I588" s="8"/>
      <c r="J588" s="9"/>
      <c r="K588" s="8"/>
      <c r="L588" s="9"/>
      <c r="M588" s="8"/>
      <c r="N588" s="11"/>
      <c r="O588" s="8"/>
      <c r="P588" s="9"/>
      <c r="Q588" s="8"/>
      <c r="R588" s="9"/>
      <c r="S588" s="8"/>
      <c r="T588" s="8"/>
      <c r="U588" s="8"/>
      <c r="V588" s="11"/>
      <c r="W588" s="8"/>
      <c r="X588" s="8"/>
      <c r="Y588" s="9"/>
      <c r="Z588" s="8"/>
      <c r="AA588" s="8"/>
      <c r="AB588" s="8"/>
    </row>
    <row r="589" spans="1:28" x14ac:dyDescent="0.15">
      <c r="A589" s="8"/>
      <c r="B589" s="8"/>
      <c r="C589" s="8"/>
      <c r="D589" s="8"/>
      <c r="E589" s="8"/>
      <c r="F589" s="8"/>
      <c r="G589" s="10"/>
      <c r="H589" s="11"/>
      <c r="I589" s="8"/>
      <c r="J589" s="9"/>
      <c r="K589" s="8"/>
      <c r="L589" s="9"/>
      <c r="M589" s="8"/>
      <c r="N589" s="11"/>
      <c r="O589" s="8"/>
      <c r="P589" s="9"/>
      <c r="Q589" s="8"/>
      <c r="R589" s="9"/>
      <c r="S589" s="8"/>
      <c r="T589" s="8"/>
      <c r="U589" s="8"/>
      <c r="V589" s="11"/>
      <c r="W589" s="8"/>
      <c r="X589" s="8"/>
      <c r="Y589" s="9"/>
      <c r="Z589" s="8"/>
      <c r="AA589" s="8"/>
      <c r="AB589" s="8"/>
    </row>
    <row r="590" spans="1:28" x14ac:dyDescent="0.15">
      <c r="A590" s="8"/>
      <c r="B590" s="8"/>
      <c r="C590" s="8"/>
      <c r="D590" s="8"/>
      <c r="E590" s="8"/>
      <c r="F590" s="8"/>
      <c r="G590" s="10"/>
      <c r="H590" s="11"/>
      <c r="I590" s="8"/>
      <c r="J590" s="9"/>
      <c r="K590" s="8"/>
      <c r="L590" s="9"/>
      <c r="M590" s="8"/>
      <c r="N590" s="11"/>
      <c r="O590" s="8"/>
      <c r="P590" s="9"/>
      <c r="Q590" s="8"/>
      <c r="R590" s="9"/>
      <c r="S590" s="8"/>
      <c r="T590" s="8"/>
      <c r="U590" s="8"/>
      <c r="V590" s="11"/>
      <c r="W590" s="8"/>
      <c r="X590" s="8"/>
      <c r="Y590" s="9"/>
      <c r="Z590" s="8"/>
      <c r="AA590" s="8"/>
      <c r="AB590" s="8"/>
    </row>
    <row r="591" spans="1:28" x14ac:dyDescent="0.15">
      <c r="A591" s="8"/>
      <c r="B591" s="8"/>
      <c r="C591" s="8"/>
      <c r="D591" s="8"/>
      <c r="E591" s="8"/>
      <c r="F591" s="8"/>
      <c r="G591" s="10"/>
      <c r="H591" s="11"/>
      <c r="I591" s="8"/>
      <c r="J591" s="9"/>
      <c r="K591" s="8"/>
      <c r="L591" s="9"/>
      <c r="M591" s="8"/>
      <c r="N591" s="11"/>
      <c r="O591" s="8"/>
      <c r="P591" s="9"/>
      <c r="Q591" s="8"/>
      <c r="R591" s="9"/>
      <c r="S591" s="8"/>
      <c r="T591" s="8"/>
      <c r="U591" s="8"/>
      <c r="V591" s="11"/>
      <c r="W591" s="8"/>
      <c r="X591" s="8"/>
      <c r="Y591" s="9"/>
      <c r="Z591" s="8"/>
      <c r="AA591" s="8"/>
      <c r="AB591" s="8"/>
    </row>
    <row r="592" spans="1:28" x14ac:dyDescent="0.15">
      <c r="A592" s="8"/>
      <c r="B592" s="8"/>
      <c r="C592" s="8"/>
      <c r="D592" s="8"/>
      <c r="E592" s="8"/>
      <c r="F592" s="8"/>
      <c r="G592" s="10"/>
      <c r="H592" s="11"/>
      <c r="I592" s="8"/>
      <c r="J592" s="9"/>
      <c r="K592" s="8"/>
      <c r="L592" s="9"/>
      <c r="M592" s="8"/>
      <c r="N592" s="11"/>
      <c r="O592" s="8"/>
      <c r="P592" s="9"/>
      <c r="Q592" s="8"/>
      <c r="R592" s="9"/>
      <c r="S592" s="8"/>
      <c r="T592" s="8"/>
      <c r="U592" s="8"/>
      <c r="V592" s="11"/>
      <c r="W592" s="8"/>
      <c r="X592" s="8"/>
      <c r="Y592" s="9"/>
      <c r="Z592" s="8"/>
      <c r="AA592" s="8"/>
      <c r="AB592" s="8"/>
    </row>
    <row r="593" spans="1:28" x14ac:dyDescent="0.15">
      <c r="A593" s="8"/>
      <c r="B593" s="8"/>
      <c r="C593" s="8"/>
      <c r="D593" s="8"/>
      <c r="E593" s="8"/>
      <c r="F593" s="8"/>
      <c r="G593" s="10"/>
      <c r="H593" s="11"/>
      <c r="I593" s="8"/>
      <c r="J593" s="9"/>
      <c r="K593" s="8"/>
      <c r="L593" s="9"/>
      <c r="M593" s="8"/>
      <c r="N593" s="11"/>
      <c r="O593" s="8"/>
      <c r="P593" s="9"/>
      <c r="Q593" s="8"/>
      <c r="R593" s="9"/>
      <c r="S593" s="8"/>
      <c r="T593" s="8"/>
      <c r="U593" s="8"/>
      <c r="V593" s="11"/>
      <c r="W593" s="8"/>
      <c r="X593" s="8"/>
      <c r="Y593" s="9"/>
      <c r="Z593" s="8"/>
      <c r="AA593" s="8"/>
      <c r="AB593" s="8"/>
    </row>
    <row r="594" spans="1:28" x14ac:dyDescent="0.15">
      <c r="A594" s="8"/>
      <c r="B594" s="8"/>
      <c r="C594" s="8"/>
      <c r="D594" s="8"/>
      <c r="E594" s="8"/>
      <c r="F594" s="8"/>
      <c r="G594" s="10"/>
      <c r="H594" s="11"/>
      <c r="I594" s="8"/>
      <c r="J594" s="9"/>
      <c r="K594" s="8"/>
      <c r="L594" s="9"/>
      <c r="M594" s="8"/>
      <c r="N594" s="11"/>
      <c r="O594" s="8"/>
      <c r="P594" s="9"/>
      <c r="Q594" s="8"/>
      <c r="R594" s="9"/>
      <c r="S594" s="8"/>
      <c r="T594" s="8"/>
      <c r="U594" s="8"/>
      <c r="V594" s="11"/>
      <c r="W594" s="8"/>
      <c r="X594" s="8"/>
      <c r="Y594" s="9"/>
      <c r="Z594" s="8"/>
      <c r="AA594" s="8"/>
      <c r="AB594" s="8"/>
    </row>
    <row r="595" spans="1:28" x14ac:dyDescent="0.15">
      <c r="A595" s="8"/>
      <c r="B595" s="8"/>
      <c r="C595" s="8"/>
      <c r="D595" s="8"/>
      <c r="E595" s="8"/>
      <c r="F595" s="8"/>
      <c r="G595" s="10"/>
      <c r="H595" s="11"/>
      <c r="I595" s="8"/>
      <c r="J595" s="9"/>
      <c r="K595" s="8"/>
      <c r="L595" s="9"/>
      <c r="M595" s="8"/>
      <c r="N595" s="11"/>
      <c r="O595" s="8"/>
      <c r="P595" s="9"/>
      <c r="Q595" s="8"/>
      <c r="R595" s="9"/>
      <c r="S595" s="8"/>
      <c r="T595" s="8"/>
      <c r="U595" s="8"/>
      <c r="V595" s="11"/>
      <c r="W595" s="8"/>
      <c r="X595" s="8"/>
      <c r="Y595" s="9"/>
      <c r="Z595" s="8"/>
      <c r="AA595" s="8"/>
      <c r="AB595" s="8"/>
    </row>
    <row r="596" spans="1:28" x14ac:dyDescent="0.15">
      <c r="A596" s="8"/>
      <c r="B596" s="8"/>
      <c r="C596" s="8"/>
      <c r="D596" s="8"/>
      <c r="E596" s="8"/>
      <c r="F596" s="8"/>
      <c r="G596" s="10"/>
      <c r="H596" s="11"/>
      <c r="I596" s="8"/>
      <c r="J596" s="9"/>
      <c r="K596" s="8"/>
      <c r="L596" s="9"/>
      <c r="M596" s="8"/>
      <c r="N596" s="11"/>
      <c r="O596" s="8"/>
      <c r="P596" s="9"/>
      <c r="Q596" s="8"/>
      <c r="R596" s="9"/>
      <c r="S596" s="8"/>
      <c r="T596" s="8"/>
      <c r="U596" s="8"/>
      <c r="V596" s="11"/>
      <c r="W596" s="8"/>
      <c r="X596" s="8"/>
      <c r="Y596" s="9"/>
      <c r="Z596" s="8"/>
      <c r="AA596" s="8"/>
      <c r="AB596" s="8"/>
    </row>
    <row r="597" spans="1:28" outlineLevel="1" x14ac:dyDescent="0.15">
      <c r="A597" s="8"/>
      <c r="B597" s="8"/>
      <c r="C597" s="8"/>
      <c r="D597" s="8"/>
      <c r="E597" s="8"/>
      <c r="F597" s="8"/>
      <c r="G597" s="10"/>
      <c r="H597" s="11"/>
      <c r="I597" s="8"/>
      <c r="J597" s="9"/>
      <c r="K597" s="8"/>
      <c r="L597" s="9"/>
      <c r="M597" s="8"/>
      <c r="N597" s="11"/>
      <c r="O597" s="8"/>
      <c r="P597" s="9"/>
      <c r="Q597" s="8"/>
      <c r="R597" s="9"/>
      <c r="S597" s="8"/>
      <c r="T597" s="8"/>
      <c r="U597" s="8"/>
      <c r="V597" s="11"/>
      <c r="W597" s="8"/>
      <c r="X597" s="8"/>
      <c r="Y597" s="9"/>
      <c r="Z597" s="8"/>
      <c r="AA597" s="8"/>
      <c r="AB597" s="8"/>
    </row>
    <row r="598" spans="1:28" outlineLevel="1" x14ac:dyDescent="0.15">
      <c r="A598" s="8"/>
      <c r="B598" s="8"/>
      <c r="C598" s="8"/>
      <c r="D598" s="8"/>
      <c r="E598" s="8"/>
      <c r="F598" s="8"/>
      <c r="G598" s="10"/>
      <c r="H598" s="11"/>
      <c r="I598" s="8"/>
      <c r="J598" s="9"/>
      <c r="K598" s="8"/>
      <c r="L598" s="9"/>
      <c r="M598" s="8"/>
      <c r="N598" s="11"/>
      <c r="O598" s="8"/>
      <c r="P598" s="9"/>
      <c r="Q598" s="8"/>
      <c r="R598" s="9"/>
      <c r="S598" s="8"/>
      <c r="T598" s="8"/>
      <c r="U598" s="8"/>
      <c r="V598" s="11"/>
      <c r="W598" s="8"/>
      <c r="X598" s="8"/>
      <c r="Y598" s="9"/>
      <c r="Z598" s="8"/>
      <c r="AA598" s="8"/>
      <c r="AB598" s="8"/>
    </row>
    <row r="599" spans="1:28" outlineLevel="1" x14ac:dyDescent="0.15">
      <c r="A599" s="8"/>
      <c r="B599" s="8"/>
      <c r="C599" s="8"/>
      <c r="D599" s="8"/>
      <c r="E599" s="8"/>
      <c r="F599" s="8"/>
      <c r="G599" s="10"/>
      <c r="H599" s="11"/>
      <c r="I599" s="8"/>
      <c r="J599" s="9"/>
      <c r="K599" s="8"/>
      <c r="L599" s="9"/>
      <c r="M599" s="8"/>
      <c r="N599" s="11"/>
      <c r="O599" s="8"/>
      <c r="P599" s="9"/>
      <c r="Q599" s="8"/>
      <c r="R599" s="9"/>
      <c r="S599" s="8"/>
      <c r="T599" s="8"/>
      <c r="U599" s="8"/>
      <c r="V599" s="11"/>
      <c r="W599" s="8"/>
      <c r="X599" s="8"/>
      <c r="Y599" s="9"/>
      <c r="Z599" s="8"/>
      <c r="AA599" s="8"/>
      <c r="AB599" s="8"/>
    </row>
    <row r="600" spans="1:28" outlineLevel="1" x14ac:dyDescent="0.15">
      <c r="A600" s="8"/>
      <c r="B600" s="8"/>
      <c r="C600" s="8"/>
      <c r="D600" s="8"/>
      <c r="E600" s="8"/>
      <c r="F600" s="8"/>
      <c r="G600" s="10"/>
      <c r="H600" s="11"/>
      <c r="I600" s="8"/>
      <c r="J600" s="9"/>
      <c r="K600" s="8"/>
      <c r="L600" s="9"/>
      <c r="M600" s="8"/>
      <c r="N600" s="11"/>
      <c r="O600" s="8"/>
      <c r="P600" s="9"/>
      <c r="Q600" s="8"/>
      <c r="R600" s="9"/>
      <c r="S600" s="8"/>
      <c r="T600" s="8"/>
      <c r="U600" s="8"/>
      <c r="V600" s="11"/>
      <c r="W600" s="8"/>
      <c r="X600" s="8"/>
      <c r="Y600" s="9"/>
      <c r="Z600" s="8"/>
      <c r="AA600" s="8"/>
      <c r="AB600" s="8"/>
    </row>
    <row r="601" spans="1:28" x14ac:dyDescent="0.15">
      <c r="A601" s="8"/>
      <c r="B601" s="8"/>
      <c r="C601" s="8"/>
      <c r="D601" s="8"/>
      <c r="E601" s="8"/>
      <c r="F601" s="8"/>
      <c r="G601" s="10"/>
      <c r="H601" s="11"/>
      <c r="I601" s="8"/>
      <c r="J601" s="9"/>
      <c r="K601" s="8"/>
      <c r="L601" s="9"/>
      <c r="M601" s="8"/>
      <c r="N601" s="11"/>
      <c r="O601" s="8"/>
      <c r="P601" s="9"/>
      <c r="Q601" s="8"/>
      <c r="R601" s="9"/>
      <c r="S601" s="8"/>
      <c r="T601" s="8"/>
      <c r="U601" s="8"/>
      <c r="V601" s="11"/>
      <c r="W601" s="8"/>
      <c r="X601" s="8"/>
      <c r="Y601" s="9"/>
      <c r="Z601" s="8"/>
      <c r="AA601" s="8"/>
      <c r="AB601" s="8"/>
    </row>
    <row r="602" spans="1:28" x14ac:dyDescent="0.15">
      <c r="A602" s="8"/>
      <c r="B602" s="8"/>
      <c r="C602" s="8"/>
      <c r="D602" s="8"/>
      <c r="E602" s="8"/>
      <c r="F602" s="8"/>
      <c r="G602" s="10"/>
      <c r="H602" s="11"/>
      <c r="I602" s="8"/>
      <c r="J602" s="9"/>
      <c r="K602" s="8"/>
      <c r="L602" s="9"/>
      <c r="M602" s="8"/>
      <c r="N602" s="11"/>
      <c r="O602" s="8"/>
      <c r="P602" s="9"/>
      <c r="Q602" s="8"/>
      <c r="R602" s="9"/>
      <c r="S602" s="8"/>
      <c r="T602" s="8"/>
      <c r="U602" s="8"/>
      <c r="V602" s="11"/>
      <c r="W602" s="8"/>
      <c r="X602" s="8"/>
      <c r="Y602" s="9"/>
      <c r="Z602" s="8"/>
      <c r="AA602" s="8"/>
      <c r="AB602" s="8"/>
    </row>
    <row r="603" spans="1:28" x14ac:dyDescent="0.15">
      <c r="A603" s="8"/>
      <c r="B603" s="8"/>
      <c r="C603" s="8"/>
      <c r="D603" s="8"/>
      <c r="E603" s="8"/>
      <c r="F603" s="8"/>
      <c r="G603" s="10"/>
      <c r="H603" s="11"/>
      <c r="I603" s="8"/>
      <c r="J603" s="9"/>
      <c r="K603" s="8"/>
      <c r="L603" s="9"/>
      <c r="M603" s="8"/>
      <c r="N603" s="11"/>
      <c r="O603" s="8"/>
      <c r="P603" s="9"/>
      <c r="Q603" s="8"/>
      <c r="R603" s="9"/>
      <c r="S603" s="8"/>
      <c r="T603" s="8"/>
      <c r="U603" s="8"/>
      <c r="V603" s="11"/>
      <c r="W603" s="8"/>
      <c r="X603" s="8"/>
      <c r="Y603" s="9"/>
      <c r="Z603" s="8"/>
      <c r="AA603" s="8"/>
      <c r="AB603" s="8"/>
    </row>
    <row r="604" spans="1:28" x14ac:dyDescent="0.15">
      <c r="A604" s="8"/>
      <c r="B604" s="8"/>
      <c r="C604" s="8"/>
      <c r="D604" s="8"/>
      <c r="E604" s="8"/>
      <c r="F604" s="8"/>
      <c r="G604" s="10"/>
      <c r="H604" s="11"/>
      <c r="I604" s="8"/>
      <c r="J604" s="9"/>
      <c r="K604" s="8"/>
      <c r="L604" s="9"/>
      <c r="M604" s="8"/>
      <c r="N604" s="11"/>
      <c r="O604" s="8"/>
      <c r="P604" s="9"/>
      <c r="Q604" s="8"/>
      <c r="R604" s="9"/>
      <c r="S604" s="8"/>
      <c r="T604" s="8"/>
      <c r="U604" s="8"/>
      <c r="V604" s="11"/>
      <c r="W604" s="8"/>
      <c r="X604" s="8"/>
      <c r="Y604" s="9"/>
      <c r="Z604" s="8"/>
      <c r="AA604" s="8"/>
      <c r="AB604" s="8"/>
    </row>
    <row r="605" spans="1:28" outlineLevel="1" x14ac:dyDescent="0.15">
      <c r="A605" s="8"/>
      <c r="B605" s="8"/>
      <c r="C605" s="8"/>
      <c r="D605" s="8"/>
      <c r="E605" s="8"/>
      <c r="F605" s="8"/>
      <c r="G605" s="10"/>
      <c r="H605" s="11"/>
      <c r="I605" s="8"/>
      <c r="J605" s="9"/>
      <c r="K605" s="8"/>
      <c r="L605" s="9"/>
      <c r="M605" s="8"/>
      <c r="N605" s="11"/>
      <c r="O605" s="8"/>
      <c r="P605" s="9"/>
      <c r="Q605" s="8"/>
      <c r="R605" s="9"/>
      <c r="S605" s="8"/>
      <c r="T605" s="8"/>
      <c r="U605" s="8"/>
      <c r="V605" s="11"/>
      <c r="W605" s="8"/>
      <c r="X605" s="8"/>
      <c r="Y605" s="9"/>
      <c r="Z605" s="8"/>
      <c r="AA605" s="8"/>
      <c r="AB605" s="8"/>
    </row>
    <row r="606" spans="1:28" outlineLevel="1" x14ac:dyDescent="0.15">
      <c r="A606" s="8"/>
      <c r="B606" s="8"/>
      <c r="C606" s="8"/>
      <c r="D606" s="8"/>
      <c r="E606" s="8"/>
      <c r="F606" s="8"/>
      <c r="G606" s="10"/>
      <c r="H606" s="11"/>
      <c r="I606" s="8"/>
      <c r="J606" s="9"/>
      <c r="K606" s="8"/>
      <c r="L606" s="9"/>
      <c r="M606" s="8"/>
      <c r="N606" s="11"/>
      <c r="O606" s="8"/>
      <c r="P606" s="9"/>
      <c r="Q606" s="8"/>
      <c r="R606" s="9"/>
      <c r="S606" s="8"/>
      <c r="T606" s="8"/>
      <c r="U606" s="8"/>
      <c r="V606" s="11"/>
      <c r="W606" s="8"/>
      <c r="X606" s="8"/>
      <c r="Y606" s="9"/>
      <c r="Z606" s="8"/>
      <c r="AA606" s="8"/>
      <c r="AB606" s="8"/>
    </row>
    <row r="607" spans="1:28" x14ac:dyDescent="0.15">
      <c r="A607" s="8"/>
      <c r="B607" s="8"/>
      <c r="C607" s="8"/>
      <c r="D607" s="8"/>
      <c r="E607" s="8"/>
      <c r="F607" s="8"/>
      <c r="G607" s="10"/>
      <c r="H607" s="11"/>
      <c r="I607" s="8"/>
      <c r="J607" s="9"/>
      <c r="K607" s="8"/>
      <c r="L607" s="9"/>
      <c r="M607" s="8"/>
      <c r="N607" s="11"/>
      <c r="O607" s="8"/>
      <c r="P607" s="9"/>
      <c r="Q607" s="8"/>
      <c r="R607" s="9"/>
      <c r="S607" s="8"/>
      <c r="T607" s="8"/>
      <c r="U607" s="8"/>
      <c r="V607" s="11"/>
      <c r="W607" s="8"/>
      <c r="X607" s="8"/>
      <c r="Y607" s="9"/>
      <c r="Z607" s="8"/>
      <c r="AA607" s="8"/>
      <c r="AB607" s="8"/>
    </row>
    <row r="608" spans="1:28" x14ac:dyDescent="0.15">
      <c r="A608" s="8"/>
      <c r="B608" s="8"/>
      <c r="C608" s="8"/>
      <c r="D608" s="8"/>
      <c r="E608" s="8"/>
      <c r="F608" s="8"/>
      <c r="G608" s="10"/>
      <c r="H608" s="11"/>
      <c r="I608" s="8"/>
      <c r="J608" s="9"/>
      <c r="K608" s="8"/>
      <c r="L608" s="9"/>
      <c r="M608" s="8"/>
      <c r="N608" s="11"/>
      <c r="O608" s="8"/>
      <c r="P608" s="9"/>
      <c r="Q608" s="8"/>
      <c r="R608" s="9"/>
      <c r="S608" s="8"/>
      <c r="T608" s="8"/>
      <c r="U608" s="8"/>
      <c r="V608" s="11"/>
      <c r="W608" s="8"/>
      <c r="X608" s="8"/>
      <c r="Y608" s="9"/>
      <c r="Z608" s="8"/>
      <c r="AA608" s="8"/>
      <c r="AB608" s="8"/>
    </row>
    <row r="609" spans="1:28" x14ac:dyDescent="0.15">
      <c r="A609" s="8"/>
      <c r="B609" s="8"/>
      <c r="C609" s="8"/>
      <c r="D609" s="8"/>
      <c r="E609" s="8"/>
      <c r="F609" s="8"/>
      <c r="G609" s="10"/>
      <c r="H609" s="11"/>
      <c r="I609" s="8"/>
      <c r="J609" s="9"/>
      <c r="K609" s="8"/>
      <c r="L609" s="9"/>
      <c r="M609" s="8"/>
      <c r="N609" s="11"/>
      <c r="O609" s="8"/>
      <c r="P609" s="9"/>
      <c r="Q609" s="8"/>
      <c r="R609" s="9"/>
      <c r="S609" s="8"/>
      <c r="T609" s="8"/>
      <c r="U609" s="8"/>
      <c r="V609" s="11"/>
      <c r="W609" s="8"/>
      <c r="X609" s="8"/>
      <c r="Y609" s="9"/>
      <c r="Z609" s="8"/>
      <c r="AA609" s="8"/>
      <c r="AB609" s="8"/>
    </row>
    <row r="621" spans="1:28" x14ac:dyDescent="0.15">
      <c r="A621" s="41"/>
    </row>
    <row r="631" spans="7:7" x14ac:dyDescent="0.15">
      <c r="G631" s="42"/>
    </row>
  </sheetData>
  <autoFilter ref="A5:AO159" xr:uid="{B0FFC228-DA2C-47F0-9A0B-3DFA541C81FE}"/>
  <mergeCells count="33">
    <mergeCell ref="X3:X4"/>
    <mergeCell ref="Y3:Y4"/>
    <mergeCell ref="P3:P4"/>
    <mergeCell ref="Q3:Q4"/>
    <mergeCell ref="R3:R4"/>
    <mergeCell ref="S3:S4"/>
    <mergeCell ref="U3:U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N1:AB1"/>
    <mergeCell ref="N2:U2"/>
    <mergeCell ref="V2:AB2"/>
    <mergeCell ref="T3:T4"/>
    <mergeCell ref="H1:M1"/>
    <mergeCell ref="H2:M2"/>
    <mergeCell ref="K3:K4"/>
    <mergeCell ref="L3:L4"/>
    <mergeCell ref="M3:M4"/>
    <mergeCell ref="W3:W4"/>
    <mergeCell ref="V3:V4"/>
    <mergeCell ref="O3:O4"/>
    <mergeCell ref="N3:N4"/>
    <mergeCell ref="AA3:AA4"/>
    <mergeCell ref="AB3:AB4"/>
    <mergeCell ref="Z3:Z4"/>
  </mergeCells>
  <conditionalFormatting sqref="L6:L100">
    <cfRule type="cellIs" dxfId="175" priority="1" operator="equal">
      <formula>"-"</formula>
    </cfRule>
    <cfRule type="cellIs" dxfId="174" priority="2" operator="greaterThan">
      <formula>5</formula>
    </cfRule>
    <cfRule type="cellIs" dxfId="173" priority="3" operator="between">
      <formula>2</formula>
      <formula>5</formula>
    </cfRule>
    <cfRule type="cellIs" dxfId="172" priority="4" operator="lessThan">
      <formula>2</formula>
    </cfRule>
  </conditionalFormatting>
  <conditionalFormatting sqref="L101:L609">
    <cfRule type="cellIs" dxfId="171" priority="44" operator="lessThan">
      <formula>2</formula>
    </cfRule>
    <cfRule type="cellIs" dxfId="170" priority="41" operator="equal">
      <formula>"-"</formula>
    </cfRule>
    <cfRule type="cellIs" dxfId="169" priority="42" operator="greaterThan">
      <formula>5</formula>
    </cfRule>
    <cfRule type="cellIs" dxfId="168" priority="43" operator="between">
      <formula>2</formula>
      <formula>5</formula>
    </cfRule>
  </conditionalFormatting>
  <conditionalFormatting sqref="R6:R609">
    <cfRule type="cellIs" dxfId="167" priority="22" operator="greaterThan">
      <formula>5</formula>
    </cfRule>
    <cfRule type="cellIs" dxfId="166" priority="23" operator="between">
      <formula>2</formula>
      <formula>5</formula>
    </cfRule>
    <cfRule type="cellIs" dxfId="165" priority="24" operator="lessThan">
      <formula>2</formula>
    </cfRule>
    <cfRule type="cellIs" dxfId="164" priority="21" operator="equal">
      <formula>"-"</formula>
    </cfRule>
  </conditionalFormatting>
  <conditionalFormatting sqref="U6:U159">
    <cfRule type="cellIs" dxfId="163" priority="13" operator="equal">
      <formula>"-"</formula>
    </cfRule>
    <cfRule type="cellIs" dxfId="162" priority="14" operator="greaterThan">
      <formula>5</formula>
    </cfRule>
    <cfRule type="cellIs" dxfId="161" priority="15" operator="between">
      <formula>2</formula>
      <formula>5</formula>
    </cfRule>
    <cfRule type="cellIs" dxfId="160" priority="16" operator="lessThan">
      <formula>2</formula>
    </cfRule>
  </conditionalFormatting>
  <conditionalFormatting sqref="Y6:Y609">
    <cfRule type="cellIs" dxfId="159" priority="37" operator="equal">
      <formula>"-"</formula>
    </cfRule>
    <cfRule type="cellIs" dxfId="158" priority="38" operator="greaterThan">
      <formula>5</formula>
    </cfRule>
    <cfRule type="cellIs" dxfId="157" priority="39" operator="between">
      <formula>2</formula>
      <formula>5</formula>
    </cfRule>
    <cfRule type="cellIs" dxfId="156" priority="40" operator="lessThan">
      <formula>2</formula>
    </cfRule>
  </conditionalFormatting>
  <conditionalFormatting sqref="AB6:AB159">
    <cfRule type="cellIs" dxfId="155" priority="10" operator="greaterThan">
      <formula>5</formula>
    </cfRule>
    <cfRule type="cellIs" dxfId="154" priority="11" operator="between">
      <formula>2</formula>
      <formula>5</formula>
    </cfRule>
    <cfRule type="cellIs" dxfId="153" priority="12" operator="lessThan">
      <formula>2</formula>
    </cfRule>
    <cfRule type="cellIs" dxfId="152" priority="9" operator="equal">
      <formula>"-"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E2716-DA47-4134-B24B-F478E17B6E24}">
  <sheetPr filterMode="1">
    <tabColor rgb="FF92D050"/>
  </sheetPr>
  <dimension ref="A2:V631"/>
  <sheetViews>
    <sheetView zoomScale="77" zoomScaleNormal="70" workbookViewId="0">
      <pane xSplit="1" ySplit="5" topLeftCell="B6" activePane="bottomRight" state="frozen"/>
      <selection activeCell="I17" sqref="I17"/>
      <selection pane="topRight" activeCell="I17" sqref="I17"/>
      <selection pane="bottomLeft" activeCell="I17" sqref="I17"/>
      <selection pane="bottomRight" activeCell="U6" sqref="U6:U95"/>
    </sheetView>
  </sheetViews>
  <sheetFormatPr baseColWidth="10" defaultColWidth="8.6640625" defaultRowHeight="14" outlineLevelRow="1" outlineLevelCol="1" x14ac:dyDescent="0.15"/>
  <cols>
    <col min="1" max="1" width="12.5" style="3" customWidth="1"/>
    <col min="2" max="2" width="12.5" style="3" bestFit="1" customWidth="1" outlineLevel="1"/>
    <col min="3" max="3" width="16.33203125" style="3" customWidth="1"/>
    <col min="4" max="4" width="10.33203125" style="3" customWidth="1"/>
    <col min="5" max="5" width="10.6640625" style="3" customWidth="1"/>
    <col min="6" max="6" width="18.33203125" style="3" customWidth="1" outlineLevel="1"/>
    <col min="7" max="7" width="15.83203125" style="3" customWidth="1"/>
    <col min="8" max="8" width="13.5" style="2" customWidth="1"/>
    <col min="9" max="9" width="14.1640625" style="2" customWidth="1"/>
    <col min="10" max="10" width="17.1640625" style="2" customWidth="1"/>
    <col min="11" max="11" width="21.5" style="2" customWidth="1"/>
    <col min="12" max="12" width="11.1640625" style="3" customWidth="1"/>
    <col min="13" max="15" width="24.6640625" style="3" customWidth="1"/>
    <col min="16" max="18" width="8.6640625" style="3"/>
    <col min="19" max="21" width="9.33203125" style="3" customWidth="1"/>
    <col min="22" max="22" width="13.1640625" style="3" bestFit="1" customWidth="1"/>
    <col min="23" max="16384" width="8.6640625" style="3"/>
  </cols>
  <sheetData>
    <row r="2" spans="1:22" ht="16" x14ac:dyDescent="0.2">
      <c r="A2" s="1" t="s">
        <v>0</v>
      </c>
      <c r="B2" s="2"/>
      <c r="C2" s="2"/>
      <c r="D2" s="2"/>
      <c r="E2" s="2"/>
      <c r="F2" s="2"/>
      <c r="G2" s="2"/>
    </row>
    <row r="3" spans="1:22" x14ac:dyDescent="0.15">
      <c r="A3" s="276" t="s">
        <v>1</v>
      </c>
      <c r="B3" s="276" t="s">
        <v>2</v>
      </c>
      <c r="C3" s="276" t="s">
        <v>3</v>
      </c>
      <c r="D3" s="276" t="s">
        <v>4</v>
      </c>
      <c r="E3" s="276" t="s">
        <v>5</v>
      </c>
      <c r="F3" s="276" t="s">
        <v>6</v>
      </c>
      <c r="G3" s="284" t="s">
        <v>7</v>
      </c>
      <c r="H3" s="275" t="s">
        <v>8</v>
      </c>
      <c r="I3" s="275" t="s">
        <v>9</v>
      </c>
      <c r="J3" s="275" t="s">
        <v>626</v>
      </c>
      <c r="K3" s="275" t="s">
        <v>627</v>
      </c>
      <c r="L3" s="275" t="s">
        <v>10</v>
      </c>
      <c r="M3" s="276" t="s">
        <v>11</v>
      </c>
      <c r="N3" s="275" t="s">
        <v>2096</v>
      </c>
      <c r="O3" s="275" t="s">
        <v>10</v>
      </c>
      <c r="Q3" s="275" t="s">
        <v>2130</v>
      </c>
      <c r="R3" s="275" t="s">
        <v>2171</v>
      </c>
      <c r="S3" s="275" t="s">
        <v>2217</v>
      </c>
      <c r="T3" s="275" t="s">
        <v>2276</v>
      </c>
      <c r="U3" s="275" t="s">
        <v>2279</v>
      </c>
    </row>
    <row r="4" spans="1:22" ht="13.75" customHeight="1" x14ac:dyDescent="0.15">
      <c r="A4" s="276"/>
      <c r="B4" s="276"/>
      <c r="C4" s="276"/>
      <c r="D4" s="276"/>
      <c r="E4" s="276"/>
      <c r="F4" s="276"/>
      <c r="G4" s="284"/>
      <c r="H4" s="275"/>
      <c r="I4" s="275"/>
      <c r="J4" s="275"/>
      <c r="K4" s="275"/>
      <c r="L4" s="275"/>
      <c r="M4" s="276"/>
      <c r="N4" s="275"/>
      <c r="O4" s="275"/>
      <c r="Q4" s="275"/>
      <c r="R4" s="275"/>
      <c r="S4" s="275"/>
      <c r="T4" s="275"/>
      <c r="U4" s="275"/>
    </row>
    <row r="5" spans="1:22" ht="10.5" customHeight="1" x14ac:dyDescent="0.15">
      <c r="A5" s="4"/>
      <c r="B5" s="4"/>
      <c r="C5" s="4"/>
      <c r="D5" s="4"/>
      <c r="E5" s="4"/>
      <c r="F5" s="4"/>
      <c r="G5" s="5"/>
      <c r="H5" s="6"/>
      <c r="I5" s="6"/>
      <c r="J5" s="6"/>
      <c r="K5" s="6"/>
      <c r="L5" s="6"/>
      <c r="M5" s="7"/>
      <c r="N5" s="6"/>
      <c r="O5" s="6"/>
    </row>
    <row r="6" spans="1:22" hidden="1" outlineLevel="1" x14ac:dyDescent="0.15">
      <c r="A6" s="8" t="s">
        <v>1970</v>
      </c>
      <c r="B6" s="8"/>
      <c r="C6" s="8" t="s">
        <v>14</v>
      </c>
      <c r="D6" s="8" t="s">
        <v>1971</v>
      </c>
      <c r="E6" s="9">
        <v>25.35</v>
      </c>
      <c r="F6" s="8" t="s">
        <v>1740</v>
      </c>
      <c r="G6" s="143">
        <v>2512</v>
      </c>
      <c r="H6" s="11">
        <f t="array" ref="H6">[31]Monitoring!H6</f>
        <v>46163</v>
      </c>
      <c r="I6" s="143">
        <f t="array" ref="I6">[31]Monitoring!I6</f>
        <v>312</v>
      </c>
      <c r="J6" s="9">
        <f t="array" ref="J6">IFERROR(I6/G6*100,0)</f>
        <v>12.420382165605096</v>
      </c>
      <c r="K6" s="143">
        <f t="array" ref="K6">INDEX([32]Monitoring!$J$6:$J$95,MATCH(1,([32]Monitoring!$D$6:$D$95=$D6)*([32]Monitoring!$D$6:$D$95=$D6),0))</f>
        <v>33</v>
      </c>
      <c r="L6" s="9">
        <f t="shared" ref="L6:L18" si="0">IFERROR(K6/I6*100,0)</f>
        <v>10.576923076923077</v>
      </c>
      <c r="M6" s="8" t="str">
        <f>IF(L6&gt;5,"Perlu Pengendalian",IF(AND(L6&gt;=0,I6&gt;0),"Tidak Perlu Pengendalian","Belum Sensus"))</f>
        <v>Perlu Pengendalian</v>
      </c>
      <c r="N6" s="143"/>
      <c r="O6" s="9"/>
      <c r="Q6" s="206">
        <v>3.75</v>
      </c>
      <c r="R6" s="206">
        <v>2.7713625866050808</v>
      </c>
      <c r="S6" s="206">
        <v>1.4285714285714286</v>
      </c>
      <c r="T6" s="206">
        <v>4.0816326530612246</v>
      </c>
      <c r="U6" s="206">
        <v>3.0612244897959182</v>
      </c>
      <c r="V6" s="3" t="str">
        <f>IF((MAX(Q6:S6)&gt;5),"perlu sensus","tetap deteksi")</f>
        <v>tetap deteksi</v>
      </c>
    </row>
    <row r="7" spans="1:22" hidden="1" outlineLevel="1" x14ac:dyDescent="0.15">
      <c r="A7" s="8" t="s">
        <v>1970</v>
      </c>
      <c r="B7" s="8"/>
      <c r="C7" s="8" t="s">
        <v>14</v>
      </c>
      <c r="D7" s="8" t="s">
        <v>1972</v>
      </c>
      <c r="E7" s="9">
        <v>36.53</v>
      </c>
      <c r="F7" s="8" t="s">
        <v>1740</v>
      </c>
      <c r="G7" s="143">
        <v>4548</v>
      </c>
      <c r="H7" s="11">
        <v>46193</v>
      </c>
      <c r="I7" s="143">
        <v>312</v>
      </c>
      <c r="J7" s="9">
        <f t="array" ref="J7">IFERROR(I7/G7*100,0)</f>
        <v>6.8601583113456464</v>
      </c>
      <c r="K7" s="143">
        <v>21</v>
      </c>
      <c r="L7" s="9">
        <f t="shared" si="0"/>
        <v>6.7307692307692308</v>
      </c>
      <c r="M7" s="8" t="str">
        <f>IF(L7&gt;5,"Perlu Pengendalian",IF(AND(L7&gt;=0,I7&gt;0),"Tidak Perlu Pengendalian","Belum Sensus"))</f>
        <v>Perlu Pengendalian</v>
      </c>
      <c r="N7" s="143"/>
      <c r="O7" s="9"/>
      <c r="Q7" s="206">
        <v>2.2988505747126435</v>
      </c>
      <c r="R7" s="206">
        <v>4.5774647887323949</v>
      </c>
      <c r="S7" s="206">
        <v>0</v>
      </c>
      <c r="T7" s="206">
        <v>3.0303030303030303</v>
      </c>
      <c r="U7" s="206">
        <v>3.225806451612903</v>
      </c>
      <c r="V7" s="3" t="str">
        <f t="shared" ref="V7:V70" si="1">IF((MAX(Q7:S7)&gt;5),"perlu sensus","tetap deteksi")</f>
        <v>tetap deteksi</v>
      </c>
    </row>
    <row r="8" spans="1:22" hidden="1" outlineLevel="1" x14ac:dyDescent="0.15">
      <c r="A8" s="8" t="s">
        <v>1970</v>
      </c>
      <c r="B8" s="8"/>
      <c r="C8" s="8" t="s">
        <v>14</v>
      </c>
      <c r="D8" s="8" t="s">
        <v>1973</v>
      </c>
      <c r="E8" s="9">
        <v>34.28</v>
      </c>
      <c r="F8" s="8" t="s">
        <v>1740</v>
      </c>
      <c r="G8" s="143">
        <v>4035</v>
      </c>
      <c r="H8" s="11"/>
      <c r="I8" s="143"/>
      <c r="J8" s="9">
        <f t="array" ref="J8">IFERROR(I8/G8*100,0)</f>
        <v>0</v>
      </c>
      <c r="K8" s="143"/>
      <c r="L8" s="9">
        <f t="shared" si="0"/>
        <v>0</v>
      </c>
      <c r="M8" s="8" t="str">
        <f t="shared" ref="M8:M71" si="2">IF(L8&gt;5,"Perlu Pengendalian",IF(AND(L8&gt;=0,I8&gt;0),"Tidak Perlu Pengendalian","Belum Sensus"))</f>
        <v>Belum Sensus</v>
      </c>
      <c r="N8" s="143"/>
      <c r="O8" s="9"/>
      <c r="Q8" s="206">
        <v>1.25</v>
      </c>
      <c r="R8" s="206">
        <v>3.2407407407407405</v>
      </c>
      <c r="S8" s="206">
        <v>2.9296875</v>
      </c>
      <c r="T8" s="206">
        <v>2.7272727272727271</v>
      </c>
      <c r="U8" s="206">
        <v>2.5462962962962963</v>
      </c>
      <c r="V8" s="3" t="str">
        <f t="shared" si="1"/>
        <v>tetap deteksi</v>
      </c>
    </row>
    <row r="9" spans="1:22" hidden="1" outlineLevel="1" x14ac:dyDescent="0.15">
      <c r="A9" s="8" t="s">
        <v>1970</v>
      </c>
      <c r="B9" s="8"/>
      <c r="C9" s="8" t="s">
        <v>14</v>
      </c>
      <c r="D9" s="8" t="s">
        <v>1469</v>
      </c>
      <c r="E9" s="9">
        <v>32.67</v>
      </c>
      <c r="F9" s="8" t="s">
        <v>1740</v>
      </c>
      <c r="G9" s="143">
        <v>3245</v>
      </c>
      <c r="H9" s="11">
        <f>[33]Monitoring!$H$9</f>
        <v>46192</v>
      </c>
      <c r="I9" s="143">
        <f>[33]Monitoring!$I$9</f>
        <v>406</v>
      </c>
      <c r="J9" s="9">
        <f t="array" ref="J9">IFERROR(I9/G9*100,0)</f>
        <v>12.511556240369801</v>
      </c>
      <c r="K9" s="143">
        <v>21</v>
      </c>
      <c r="L9" s="9">
        <f t="shared" si="0"/>
        <v>5.1724137931034484</v>
      </c>
      <c r="M9" s="8" t="str">
        <f t="shared" si="2"/>
        <v>Perlu Pengendalian</v>
      </c>
      <c r="N9" s="143"/>
      <c r="O9" s="9"/>
      <c r="Q9" s="206">
        <v>2.2222222222222223</v>
      </c>
      <c r="R9" s="206">
        <v>2.0872865275142316</v>
      </c>
      <c r="S9" s="206">
        <v>5.3278688524590159</v>
      </c>
      <c r="T9" s="206">
        <v>4.1666666666666661</v>
      </c>
      <c r="U9" s="206">
        <v>3.6175710594315245</v>
      </c>
      <c r="V9" s="3" t="str">
        <f t="shared" si="1"/>
        <v>perlu sensus</v>
      </c>
    </row>
    <row r="10" spans="1:22" hidden="1" outlineLevel="1" x14ac:dyDescent="0.15">
      <c r="A10" s="8" t="s">
        <v>1970</v>
      </c>
      <c r="B10" s="8"/>
      <c r="C10" s="8" t="s">
        <v>14</v>
      </c>
      <c r="D10" s="8" t="s">
        <v>1974</v>
      </c>
      <c r="E10" s="9">
        <v>42.56</v>
      </c>
      <c r="F10" s="8" t="s">
        <v>1740</v>
      </c>
      <c r="G10" s="143">
        <v>5154</v>
      </c>
      <c r="H10" s="11">
        <f t="array" ref="H10">[31]Monitoring!H10</f>
        <v>46163</v>
      </c>
      <c r="I10" s="143">
        <f t="array" ref="I10">[31]Monitoring!I10</f>
        <v>519</v>
      </c>
      <c r="J10" s="9">
        <f t="array" ref="J10">IFERROR(I10/G10*100,0)</f>
        <v>10.069848661233994</v>
      </c>
      <c r="K10" s="143">
        <f t="array" ref="K10">INDEX([32]Monitoring!$J$6:$J$95,MATCH(1,([32]Monitoring!$D$6:$D$95=$D10)*([32]Monitoring!$D$6:$D$95=$D10),0))</f>
        <v>36</v>
      </c>
      <c r="L10" s="9">
        <f t="shared" si="0"/>
        <v>6.9364161849710975</v>
      </c>
      <c r="M10" s="8" t="str">
        <f t="shared" si="2"/>
        <v>Perlu Pengendalian</v>
      </c>
      <c r="N10" s="143"/>
      <c r="O10" s="9"/>
      <c r="Q10" s="206">
        <v>4.4797687861271678</v>
      </c>
      <c r="R10" s="206">
        <v>4.5977011494252871</v>
      </c>
      <c r="S10" s="206">
        <v>0</v>
      </c>
      <c r="T10" s="206">
        <v>3.1578947368421053</v>
      </c>
      <c r="U10" s="206">
        <v>2.4096385542168677</v>
      </c>
      <c r="V10" s="3" t="str">
        <f t="shared" si="1"/>
        <v>tetap deteksi</v>
      </c>
    </row>
    <row r="11" spans="1:22" hidden="1" outlineLevel="1" x14ac:dyDescent="0.15">
      <c r="A11" s="8" t="s">
        <v>1970</v>
      </c>
      <c r="B11" s="8"/>
      <c r="C11" s="8" t="s">
        <v>14</v>
      </c>
      <c r="D11" s="8" t="s">
        <v>1975</v>
      </c>
      <c r="E11" s="9">
        <v>44.089999999999996</v>
      </c>
      <c r="F11" s="8" t="s">
        <v>1740</v>
      </c>
      <c r="G11" s="143">
        <v>5141</v>
      </c>
      <c r="H11" s="11">
        <f t="array" ref="H11">[31]Monitoring!H11</f>
        <v>46151</v>
      </c>
      <c r="I11" s="143">
        <f t="array" ref="I11">[31]Monitoring!I11</f>
        <v>538</v>
      </c>
      <c r="J11" s="9">
        <f t="array" ref="J11">IFERROR(I11/G11*100,0)</f>
        <v>10.46489009920249</v>
      </c>
      <c r="K11" s="143">
        <f t="array" ref="K11">INDEX([32]Monitoring!$J$6:$J$95,MATCH(1,([32]Monitoring!$D$6:$D$95=$D11)*([32]Monitoring!$D$6:$D$95=$D11),0))</f>
        <v>45</v>
      </c>
      <c r="L11" s="9">
        <f t="shared" si="0"/>
        <v>8.3643122676579935</v>
      </c>
      <c r="M11" s="8" t="str">
        <f t="shared" si="2"/>
        <v>Perlu Pengendalian</v>
      </c>
      <c r="N11" s="143"/>
      <c r="O11" s="9"/>
      <c r="Q11" s="206">
        <v>2.2222222222222223</v>
      </c>
      <c r="R11" s="206">
        <v>3.8626609442060089</v>
      </c>
      <c r="S11" s="206">
        <v>5.2995391705069128</v>
      </c>
      <c r="T11" s="206">
        <v>2.1739130434782608</v>
      </c>
      <c r="U11" s="206">
        <v>2.5602409638554215</v>
      </c>
      <c r="V11" s="3" t="str">
        <f t="shared" si="1"/>
        <v>perlu sensus</v>
      </c>
    </row>
    <row r="12" spans="1:22" hidden="1" outlineLevel="1" x14ac:dyDescent="0.15">
      <c r="A12" s="8" t="s">
        <v>1970</v>
      </c>
      <c r="B12" s="8"/>
      <c r="C12" s="8" t="s">
        <v>14</v>
      </c>
      <c r="D12" s="8" t="s">
        <v>1976</v>
      </c>
      <c r="E12" s="9">
        <v>30.320000000000004</v>
      </c>
      <c r="F12" s="8" t="s">
        <v>1740</v>
      </c>
      <c r="G12" s="143">
        <v>3607</v>
      </c>
      <c r="H12" s="11">
        <f t="array" ref="H12">[31]Monitoring!H12</f>
        <v>46163</v>
      </c>
      <c r="I12" s="143">
        <f t="array" ref="I12">[31]Monitoring!I12</f>
        <v>376</v>
      </c>
      <c r="J12" s="9">
        <f t="array" ref="J12">IFERROR(I12/G12*100,0)</f>
        <v>10.424175214859995</v>
      </c>
      <c r="K12" s="143">
        <f t="array" ref="K12">INDEX([32]Monitoring!$J$6:$J$95,MATCH(1,([32]Monitoring!$D$6:$D$95=$D12)*([32]Monitoring!$D$6:$D$95=$D12),0))</f>
        <v>19</v>
      </c>
      <c r="L12" s="9">
        <f t="shared" si="0"/>
        <v>5.0531914893617014</v>
      </c>
      <c r="M12" s="8" t="str">
        <f t="shared" si="2"/>
        <v>Perlu Pengendalian</v>
      </c>
      <c r="N12" s="143"/>
      <c r="O12" s="9"/>
      <c r="Q12" s="206">
        <v>6.1224489795918364</v>
      </c>
      <c r="R12" s="206">
        <v>1</v>
      </c>
      <c r="S12" s="206">
        <v>0</v>
      </c>
      <c r="T12" s="206">
        <v>2.2727272727272729</v>
      </c>
      <c r="U12" s="206">
        <v>2.4809160305343512</v>
      </c>
      <c r="V12" s="3" t="str">
        <f t="shared" si="1"/>
        <v>perlu sensus</v>
      </c>
    </row>
    <row r="13" spans="1:22" hidden="1" outlineLevel="1" x14ac:dyDescent="0.15">
      <c r="A13" s="8" t="s">
        <v>1970</v>
      </c>
      <c r="B13" s="8"/>
      <c r="C13" s="8" t="s">
        <v>14</v>
      </c>
      <c r="D13" s="8" t="s">
        <v>1977</v>
      </c>
      <c r="E13" s="9">
        <v>37.53</v>
      </c>
      <c r="F13" s="8" t="s">
        <v>1740</v>
      </c>
      <c r="G13" s="143">
        <v>4035</v>
      </c>
      <c r="H13" s="11">
        <f>[33]Monitoring!$H$13</f>
        <v>46192</v>
      </c>
      <c r="I13" s="143">
        <f>[33]Monitoring!$I$13</f>
        <v>410</v>
      </c>
      <c r="J13" s="9">
        <f t="array" ref="J13">IFERROR(I13/G13*100,0)</f>
        <v>10.161090458488228</v>
      </c>
      <c r="K13" s="143">
        <v>20</v>
      </c>
      <c r="L13" s="9">
        <f t="shared" si="0"/>
        <v>4.8780487804878048</v>
      </c>
      <c r="M13" s="8" t="str">
        <f t="shared" si="2"/>
        <v>Tidak Perlu Pengendalian</v>
      </c>
      <c r="N13" s="143"/>
      <c r="O13" s="9"/>
      <c r="Q13" s="206">
        <v>1.25</v>
      </c>
      <c r="R13" s="206">
        <v>1.3698630136986301</v>
      </c>
      <c r="S13" s="206">
        <v>4.1666666666666661</v>
      </c>
      <c r="T13" s="206">
        <v>3.3333333333333335</v>
      </c>
      <c r="U13" s="206">
        <v>4.1366906474820144</v>
      </c>
      <c r="V13" s="3" t="str">
        <f t="shared" si="1"/>
        <v>tetap deteksi</v>
      </c>
    </row>
    <row r="14" spans="1:22" hidden="1" outlineLevel="1" x14ac:dyDescent="0.15">
      <c r="A14" s="8" t="s">
        <v>1970</v>
      </c>
      <c r="B14" s="8"/>
      <c r="C14" s="8" t="s">
        <v>14</v>
      </c>
      <c r="D14" s="8" t="s">
        <v>1978</v>
      </c>
      <c r="E14" s="9">
        <v>36.300000000000004</v>
      </c>
      <c r="F14" s="8" t="s">
        <v>1740</v>
      </c>
      <c r="G14" s="143">
        <v>4747</v>
      </c>
      <c r="H14" s="11">
        <f>[33]Monitoring!H14</f>
        <v>46192</v>
      </c>
      <c r="I14" s="143">
        <f>[33]Monitoring!$I$14</f>
        <v>477</v>
      </c>
      <c r="J14" s="9">
        <f t="array" ref="J14">IFERROR(I14/G14*100,0)</f>
        <v>10.048451653676006</v>
      </c>
      <c r="K14" s="143">
        <v>16</v>
      </c>
      <c r="L14" s="9">
        <f t="shared" si="0"/>
        <v>3.3542976939203357</v>
      </c>
      <c r="M14" s="8" t="str">
        <f t="shared" si="2"/>
        <v>Tidak Perlu Pengendalian</v>
      </c>
      <c r="N14" s="143"/>
      <c r="O14" s="9"/>
      <c r="Q14" s="206">
        <v>4.1860465116279073</v>
      </c>
      <c r="R14" s="206">
        <v>2.1999999999999997</v>
      </c>
      <c r="S14" s="206">
        <v>3.4722222222222223</v>
      </c>
      <c r="T14" s="206">
        <v>4.3478260869565215</v>
      </c>
      <c r="U14" s="206">
        <v>2.5641025641025639</v>
      </c>
      <c r="V14" s="3" t="str">
        <f t="shared" si="1"/>
        <v>tetap deteksi</v>
      </c>
    </row>
    <row r="15" spans="1:22" hidden="1" outlineLevel="1" x14ac:dyDescent="0.15">
      <c r="A15" s="8" t="s">
        <v>1970</v>
      </c>
      <c r="B15" s="8"/>
      <c r="C15" s="8" t="s">
        <v>14</v>
      </c>
      <c r="D15" s="8" t="s">
        <v>1979</v>
      </c>
      <c r="E15" s="9">
        <v>34.1</v>
      </c>
      <c r="F15" s="8" t="s">
        <v>1740</v>
      </c>
      <c r="G15" s="143">
        <v>4539</v>
      </c>
      <c r="H15" s="11">
        <f>[33]Monitoring!H15</f>
        <v>46193</v>
      </c>
      <c r="I15" s="143">
        <f>[33]Monitoring!$I$15</f>
        <v>457.21000000000004</v>
      </c>
      <c r="J15" s="9">
        <f t="array" ref="J15">IFERROR(I15/G15*100,0)</f>
        <v>10.072923551443051</v>
      </c>
      <c r="K15" s="143">
        <v>22</v>
      </c>
      <c r="L15" s="9">
        <f t="shared" si="0"/>
        <v>4.8117932678637825</v>
      </c>
      <c r="M15" s="8" t="str">
        <f t="shared" si="2"/>
        <v>Tidak Perlu Pengendalian</v>
      </c>
      <c r="N15" s="143"/>
      <c r="O15" s="9"/>
      <c r="Q15" s="206">
        <v>1.4749262536873156</v>
      </c>
      <c r="R15" s="206">
        <v>2.5925925925925926</v>
      </c>
      <c r="S15" s="206">
        <v>4.887983706720977</v>
      </c>
      <c r="T15" s="206">
        <v>3.3018867924528301</v>
      </c>
      <c r="U15" s="206">
        <v>3.1686859273066172</v>
      </c>
      <c r="V15" s="3" t="str">
        <f t="shared" si="1"/>
        <v>tetap deteksi</v>
      </c>
    </row>
    <row r="16" spans="1:22" hidden="1" outlineLevel="1" x14ac:dyDescent="0.15">
      <c r="A16" s="8" t="s">
        <v>1970</v>
      </c>
      <c r="B16" s="8"/>
      <c r="C16" s="8" t="s">
        <v>14</v>
      </c>
      <c r="D16" s="8" t="s">
        <v>1980</v>
      </c>
      <c r="E16" s="9">
        <v>32.640000000000008</v>
      </c>
      <c r="F16" s="8" t="s">
        <v>1740</v>
      </c>
      <c r="G16" s="143">
        <v>4394</v>
      </c>
      <c r="H16" s="11">
        <f t="array" ref="H16">[31]Monitoring!H16</f>
        <v>46163</v>
      </c>
      <c r="I16" s="143">
        <f t="array" ref="I16">[31]Monitoring!I16</f>
        <v>463</v>
      </c>
      <c r="J16" s="9">
        <f t="array" ref="J16">IFERROR(I16/G16*100,0)</f>
        <v>10.537096040054619</v>
      </c>
      <c r="K16" s="143">
        <f t="array" ref="K16">INDEX([32]Monitoring!$J$6:$J$95,MATCH(1,([32]Monitoring!$D$6:$D$95=$D16)*([32]Monitoring!$D$6:$D$95=$D16),0))</f>
        <v>19</v>
      </c>
      <c r="L16" s="9">
        <f t="shared" si="0"/>
        <v>4.1036717062634986</v>
      </c>
      <c r="M16" s="8" t="str">
        <f t="shared" si="2"/>
        <v>Tidak Perlu Pengendalian</v>
      </c>
      <c r="N16" s="143"/>
      <c r="O16" s="9"/>
      <c r="Q16" s="206">
        <v>5.7692307692307692</v>
      </c>
      <c r="R16" s="206">
        <v>5.833333333333333</v>
      </c>
      <c r="S16" s="206">
        <v>3.2085561497326207</v>
      </c>
      <c r="T16" s="206">
        <v>2.0408163265306123</v>
      </c>
      <c r="U16" s="206">
        <v>2.7027027027027026</v>
      </c>
      <c r="V16" s="3" t="str">
        <f t="shared" si="1"/>
        <v>perlu sensus</v>
      </c>
    </row>
    <row r="17" spans="1:22" hidden="1" outlineLevel="1" x14ac:dyDescent="0.15">
      <c r="A17" s="8" t="s">
        <v>1970</v>
      </c>
      <c r="B17" s="8"/>
      <c r="C17" s="8" t="s">
        <v>14</v>
      </c>
      <c r="D17" s="8" t="s">
        <v>1981</v>
      </c>
      <c r="E17" s="9">
        <v>35.83</v>
      </c>
      <c r="F17" s="8" t="s">
        <v>1740</v>
      </c>
      <c r="G17" s="143">
        <v>4214</v>
      </c>
      <c r="H17" s="11">
        <f>[33]Monitoring!H17</f>
        <v>46190</v>
      </c>
      <c r="I17" s="143">
        <f>[33]Monitoring!I17</f>
        <v>455</v>
      </c>
      <c r="J17" s="9">
        <f t="array" ref="J17">IFERROR(I17/G17*100,0)</f>
        <v>10.79734219269103</v>
      </c>
      <c r="K17" s="143">
        <v>19</v>
      </c>
      <c r="L17" s="9">
        <f t="shared" si="0"/>
        <v>4.1758241758241752</v>
      </c>
      <c r="M17" s="8" t="str">
        <f t="shared" si="2"/>
        <v>Tidak Perlu Pengendalian</v>
      </c>
      <c r="N17" s="143"/>
      <c r="O17" s="9"/>
      <c r="Q17" s="206">
        <v>1.4851485148514851</v>
      </c>
      <c r="R17" s="206">
        <v>2.8784648187633262</v>
      </c>
      <c r="S17" s="206">
        <v>2.8571428571428572</v>
      </c>
      <c r="T17" s="206">
        <v>3.6363636363636362</v>
      </c>
      <c r="U17" s="206">
        <v>3.2733224222585928</v>
      </c>
      <c r="V17" s="3" t="str">
        <f t="shared" si="1"/>
        <v>tetap deteksi</v>
      </c>
    </row>
    <row r="18" spans="1:22" hidden="1" outlineLevel="1" x14ac:dyDescent="0.15">
      <c r="A18" s="8" t="s">
        <v>1970</v>
      </c>
      <c r="B18" s="8"/>
      <c r="C18" s="8" t="s">
        <v>14</v>
      </c>
      <c r="D18" s="8" t="s">
        <v>1982</v>
      </c>
      <c r="E18" s="9">
        <v>28.880000000000003</v>
      </c>
      <c r="F18" s="8" t="s">
        <v>1740</v>
      </c>
      <c r="G18" s="143">
        <v>3548</v>
      </c>
      <c r="H18" s="11">
        <f>[33]Monitoring!H18</f>
        <v>46190</v>
      </c>
      <c r="I18" s="143">
        <f>[33]Monitoring!I18</f>
        <v>354</v>
      </c>
      <c r="J18" s="9">
        <f t="array" ref="J18">IFERROR(I18/G18*100,0)</f>
        <v>9.9774520856820743</v>
      </c>
      <c r="K18" s="143">
        <v>15</v>
      </c>
      <c r="L18" s="9">
        <f t="shared" si="0"/>
        <v>4.2372881355932197</v>
      </c>
      <c r="M18" s="8" t="str">
        <f t="shared" si="2"/>
        <v>Tidak Perlu Pengendalian</v>
      </c>
      <c r="N18" s="143"/>
      <c r="O18" s="9"/>
      <c r="Q18" s="206">
        <v>2.8846153846153846</v>
      </c>
      <c r="R18" s="206">
        <v>3.1683168316831685</v>
      </c>
      <c r="S18" s="206">
        <v>10.087719298245613</v>
      </c>
      <c r="T18" s="206">
        <v>3.8095238095238098</v>
      </c>
      <c r="U18" s="206">
        <v>3.8600723763570564</v>
      </c>
      <c r="V18" s="3" t="str">
        <f t="shared" si="1"/>
        <v>perlu sensus</v>
      </c>
    </row>
    <row r="19" spans="1:22" hidden="1" outlineLevel="1" x14ac:dyDescent="0.15">
      <c r="A19" s="8" t="s">
        <v>1970</v>
      </c>
      <c r="B19" s="8"/>
      <c r="C19" s="8" t="s">
        <v>14</v>
      </c>
      <c r="D19" s="8" t="s">
        <v>1983</v>
      </c>
      <c r="E19" s="9">
        <v>36.18</v>
      </c>
      <c r="F19" s="8" t="s">
        <v>1740</v>
      </c>
      <c r="G19" s="143">
        <v>4489</v>
      </c>
      <c r="H19" s="11">
        <f t="array" ref="H19">[31]Monitoring!H19</f>
        <v>46155</v>
      </c>
      <c r="I19" s="143">
        <f t="array" ref="I19">[31]Monitoring!I19</f>
        <v>559</v>
      </c>
      <c r="J19" s="9">
        <f t="array" ref="J19">IFERROR(I19/G19*100,0)</f>
        <v>12.452662062820227</v>
      </c>
      <c r="K19" s="143">
        <f t="array" ref="K19">INDEX([32]Monitoring!$J$6:$J$95,MATCH(1,([32]Monitoring!$D$6:$D$95=$D19)*([32]Monitoring!$D$6:$D$95=$D19),0))</f>
        <v>38</v>
      </c>
      <c r="L19" s="9">
        <f>IFERROR(K19/I19*100,0)</f>
        <v>6.7978533094812166</v>
      </c>
      <c r="M19" s="8" t="str">
        <f t="shared" si="2"/>
        <v>Perlu Pengendalian</v>
      </c>
      <c r="N19" s="143"/>
      <c r="O19" s="9"/>
      <c r="Q19" s="206">
        <v>2.2222222222222223</v>
      </c>
      <c r="R19" s="206">
        <v>3.9179104477611943</v>
      </c>
      <c r="S19" s="206">
        <v>0</v>
      </c>
      <c r="T19" s="206">
        <v>2.7272727272727271</v>
      </c>
      <c r="U19" s="206">
        <v>3.2626427406199019</v>
      </c>
      <c r="V19" s="3" t="str">
        <f t="shared" si="1"/>
        <v>tetap deteksi</v>
      </c>
    </row>
    <row r="20" spans="1:22" hidden="1" outlineLevel="1" x14ac:dyDescent="0.15">
      <c r="A20" s="8" t="s">
        <v>1970</v>
      </c>
      <c r="B20" s="8"/>
      <c r="C20" s="8" t="s">
        <v>14</v>
      </c>
      <c r="D20" s="8" t="s">
        <v>1984</v>
      </c>
      <c r="E20" s="9">
        <v>43.65</v>
      </c>
      <c r="F20" s="8" t="s">
        <v>1740</v>
      </c>
      <c r="G20" s="143">
        <v>4868</v>
      </c>
      <c r="H20" s="11"/>
      <c r="I20" s="143"/>
      <c r="J20" s="9">
        <f t="array" ref="J20">IFERROR(I20/G20*100,0)</f>
        <v>0</v>
      </c>
      <c r="K20" s="143"/>
      <c r="L20" s="9">
        <f t="shared" ref="L20:L83" si="3">IFERROR(K20/I20*100,0)</f>
        <v>0</v>
      </c>
      <c r="M20" s="8" t="str">
        <f t="shared" si="2"/>
        <v>Belum Sensus</v>
      </c>
      <c r="N20" s="143"/>
      <c r="O20" s="9"/>
      <c r="Q20" s="206">
        <v>1.9230769230769231</v>
      </c>
      <c r="R20" s="206">
        <v>3.0303030303030303</v>
      </c>
      <c r="S20" s="206">
        <v>4.9504950495049505</v>
      </c>
      <c r="T20" s="206">
        <v>2.9411764705882351</v>
      </c>
      <c r="U20" s="206">
        <v>2.6755852842809364</v>
      </c>
      <c r="V20" s="3" t="str">
        <f t="shared" si="1"/>
        <v>tetap deteksi</v>
      </c>
    </row>
    <row r="21" spans="1:22" hidden="1" outlineLevel="1" x14ac:dyDescent="0.15">
      <c r="A21" s="8" t="s">
        <v>1970</v>
      </c>
      <c r="B21" s="8"/>
      <c r="C21" s="8" t="s">
        <v>14</v>
      </c>
      <c r="D21" s="8" t="s">
        <v>1985</v>
      </c>
      <c r="E21" s="9">
        <v>33.29</v>
      </c>
      <c r="F21" s="8" t="s">
        <v>1740</v>
      </c>
      <c r="G21" s="143">
        <v>4316</v>
      </c>
      <c r="H21" s="11">
        <f t="array" ref="H21">[31]Monitoring!H21</f>
        <v>46163</v>
      </c>
      <c r="I21" s="143">
        <f t="array" ref="I21">[31]Monitoring!I21</f>
        <v>429</v>
      </c>
      <c r="J21" s="9">
        <f t="array" ref="J21">IFERROR(I21/G21*100,0)</f>
        <v>9.9397590361445776</v>
      </c>
      <c r="K21" s="143">
        <f t="array" ref="K21">INDEX([32]Monitoring!$J$6:$J$95,MATCH(1,([32]Monitoring!$D$6:$D$95=$D21)*([32]Monitoring!$D$6:$D$95=$D21),0))</f>
        <v>20</v>
      </c>
      <c r="L21" s="9">
        <f t="shared" si="3"/>
        <v>4.6620046620046622</v>
      </c>
      <c r="M21" s="8" t="str">
        <f t="shared" si="2"/>
        <v>Tidak Perlu Pengendalian</v>
      </c>
      <c r="N21" s="143"/>
      <c r="O21" s="9"/>
      <c r="Q21" s="206">
        <v>3.75</v>
      </c>
      <c r="R21" s="206">
        <v>3.4383954154727796</v>
      </c>
      <c r="S21" s="206">
        <v>3.5087719298245612</v>
      </c>
      <c r="T21" s="206">
        <v>4.0404040404040407</v>
      </c>
      <c r="U21" s="206">
        <v>3.5650623885918007</v>
      </c>
      <c r="V21" s="3" t="str">
        <f t="shared" si="1"/>
        <v>tetap deteksi</v>
      </c>
    </row>
    <row r="22" spans="1:22" hidden="1" outlineLevel="1" x14ac:dyDescent="0.15">
      <c r="A22" s="8" t="s">
        <v>1970</v>
      </c>
      <c r="B22" s="8"/>
      <c r="C22" s="8" t="s">
        <v>14</v>
      </c>
      <c r="D22" s="8" t="s">
        <v>1986</v>
      </c>
      <c r="E22" s="9">
        <v>32.47</v>
      </c>
      <c r="F22" s="8" t="s">
        <v>1740</v>
      </c>
      <c r="G22" s="143">
        <v>3995</v>
      </c>
      <c r="H22" s="11">
        <f t="array" ref="H22">[31]Monitoring!H22</f>
        <v>46163</v>
      </c>
      <c r="I22" s="143">
        <f t="array" ref="I22">[31]Monitoring!I22</f>
        <v>388</v>
      </c>
      <c r="J22" s="9">
        <f t="array" ref="J22">IFERROR(I22/G22*100,0)</f>
        <v>9.7121401752190231</v>
      </c>
      <c r="K22" s="143">
        <f t="array" ref="K22">INDEX([32]Monitoring!$J$6:$J$95,MATCH(1,([32]Monitoring!$D$6:$D$95=$D22)*([32]Monitoring!$D$6:$D$95=$D22),0))</f>
        <v>15</v>
      </c>
      <c r="L22" s="9">
        <f t="shared" si="3"/>
        <v>3.865979381443299</v>
      </c>
      <c r="M22" s="8" t="str">
        <f t="shared" si="2"/>
        <v>Tidak Perlu Pengendalian</v>
      </c>
      <c r="N22" s="143"/>
      <c r="O22" s="9"/>
      <c r="Q22" s="206">
        <v>1.1299435028248588</v>
      </c>
      <c r="R22" s="206">
        <v>2.8380634390651087</v>
      </c>
      <c r="S22" s="206">
        <v>4.5</v>
      </c>
      <c r="T22" s="206">
        <v>3.2608695652173911</v>
      </c>
      <c r="U22" s="206">
        <v>2.7681660899653981</v>
      </c>
      <c r="V22" s="3" t="str">
        <f t="shared" si="1"/>
        <v>tetap deteksi</v>
      </c>
    </row>
    <row r="23" spans="1:22" hidden="1" outlineLevel="1" x14ac:dyDescent="0.15">
      <c r="A23" s="8" t="s">
        <v>1970</v>
      </c>
      <c r="B23" s="8"/>
      <c r="C23" s="8" t="s">
        <v>14</v>
      </c>
      <c r="D23" s="8" t="s">
        <v>1987</v>
      </c>
      <c r="E23" s="9">
        <v>37.26</v>
      </c>
      <c r="F23" s="8" t="s">
        <v>1740</v>
      </c>
      <c r="G23" s="143">
        <v>4416</v>
      </c>
      <c r="H23" s="11"/>
      <c r="I23" s="143"/>
      <c r="J23" s="9">
        <f t="array" ref="J23">IFERROR(I23/G23*100,0)</f>
        <v>0</v>
      </c>
      <c r="K23" s="143"/>
      <c r="L23" s="9">
        <f t="shared" si="3"/>
        <v>0</v>
      </c>
      <c r="M23" s="8" t="str">
        <f t="shared" si="2"/>
        <v>Belum Sensus</v>
      </c>
      <c r="N23" s="143"/>
      <c r="O23" s="9"/>
      <c r="Q23" s="206">
        <v>3.5264483627204033</v>
      </c>
      <c r="R23" s="206">
        <v>2.7692307692307692</v>
      </c>
      <c r="S23" s="206">
        <v>3.225806451612903</v>
      </c>
      <c r="T23" s="206">
        <v>2.7272727272727271</v>
      </c>
      <c r="U23" s="206">
        <v>2.0583190394511153</v>
      </c>
      <c r="V23" s="3" t="str">
        <f t="shared" si="1"/>
        <v>tetap deteksi</v>
      </c>
    </row>
    <row r="24" spans="1:22" hidden="1" outlineLevel="1" x14ac:dyDescent="0.15">
      <c r="A24" s="8" t="s">
        <v>1970</v>
      </c>
      <c r="B24" s="8"/>
      <c r="C24" s="8" t="s">
        <v>14</v>
      </c>
      <c r="D24" s="8" t="s">
        <v>1988</v>
      </c>
      <c r="E24" s="9">
        <v>31.37</v>
      </c>
      <c r="F24" s="8" t="s">
        <v>1740</v>
      </c>
      <c r="G24" s="143">
        <v>3947</v>
      </c>
      <c r="H24" s="11"/>
      <c r="I24" s="143"/>
      <c r="J24" s="9">
        <f t="array" ref="J24">IFERROR(I24/G24*100,0)</f>
        <v>0</v>
      </c>
      <c r="K24" s="143"/>
      <c r="L24" s="9">
        <f t="shared" si="3"/>
        <v>0</v>
      </c>
      <c r="M24" s="8" t="str">
        <f t="shared" si="2"/>
        <v>Belum Sensus</v>
      </c>
      <c r="N24" s="143"/>
      <c r="O24" s="9"/>
      <c r="Q24" s="206">
        <v>3.7777777777777777</v>
      </c>
      <c r="R24" s="206">
        <v>3.2733224222585928</v>
      </c>
      <c r="S24" s="206">
        <v>2.6881720430107525</v>
      </c>
      <c r="T24" s="206">
        <v>4</v>
      </c>
      <c r="U24" s="206">
        <v>2.6729559748427674</v>
      </c>
      <c r="V24" s="3" t="str">
        <f t="shared" si="1"/>
        <v>tetap deteksi</v>
      </c>
    </row>
    <row r="25" spans="1:22" hidden="1" outlineLevel="1" x14ac:dyDescent="0.15">
      <c r="A25" s="8" t="s">
        <v>1970</v>
      </c>
      <c r="B25" s="8"/>
      <c r="C25" s="8" t="s">
        <v>14</v>
      </c>
      <c r="D25" s="8" t="s">
        <v>1989</v>
      </c>
      <c r="E25" s="9">
        <v>34.569999999999993</v>
      </c>
      <c r="F25" s="8" t="s">
        <v>1740</v>
      </c>
      <c r="G25" s="143">
        <v>4070</v>
      </c>
      <c r="H25" s="11">
        <f t="array" ref="H25">[31]Monitoring!H25</f>
        <v>46163</v>
      </c>
      <c r="I25" s="143">
        <f t="array" ref="I25">[31]Monitoring!I25</f>
        <v>550</v>
      </c>
      <c r="J25" s="9">
        <f t="array" ref="J25">IFERROR(I25/G25*100,0)</f>
        <v>13.513513513513514</v>
      </c>
      <c r="K25" s="143">
        <f t="array" ref="K25">INDEX([32]Monitoring!$J$6:$J$95,MATCH(1,([32]Monitoring!$D$6:$D$95=$D25)*([32]Monitoring!$D$6:$D$95=$D25),0))</f>
        <v>43</v>
      </c>
      <c r="L25" s="9">
        <f t="shared" si="3"/>
        <v>7.8181818181818183</v>
      </c>
      <c r="M25" s="8" t="str">
        <f t="shared" si="2"/>
        <v>Perlu Pengendalian</v>
      </c>
      <c r="N25" s="143"/>
      <c r="O25" s="9"/>
      <c r="Q25" s="206">
        <v>4.0540540540540544</v>
      </c>
      <c r="R25" s="206">
        <v>3.3003300330032999</v>
      </c>
      <c r="S25" s="206">
        <v>0</v>
      </c>
      <c r="T25" s="206">
        <v>3</v>
      </c>
      <c r="U25" s="206">
        <v>2.3178807947019866</v>
      </c>
      <c r="V25" s="3" t="str">
        <f t="shared" si="1"/>
        <v>tetap deteksi</v>
      </c>
    </row>
    <row r="26" spans="1:22" hidden="1" outlineLevel="1" x14ac:dyDescent="0.15">
      <c r="A26" s="8" t="s">
        <v>1970</v>
      </c>
      <c r="B26" s="8"/>
      <c r="C26" s="8" t="s">
        <v>14</v>
      </c>
      <c r="D26" s="8" t="s">
        <v>1990</v>
      </c>
      <c r="E26" s="9">
        <v>41.559999999999995</v>
      </c>
      <c r="F26" s="8" t="s">
        <v>1740</v>
      </c>
      <c r="G26" s="143">
        <v>4804</v>
      </c>
      <c r="H26" s="11">
        <f>[33]Monitoring!$H$26</f>
        <v>46198</v>
      </c>
      <c r="I26" s="143">
        <f>[33]Monitoring!$I$26</f>
        <v>411</v>
      </c>
      <c r="J26" s="9">
        <f t="array" ref="J26">IFERROR(I26/G26*100,0)</f>
        <v>8.5553705245628642</v>
      </c>
      <c r="K26" s="143">
        <v>25</v>
      </c>
      <c r="L26" s="9">
        <f t="shared" si="3"/>
        <v>6.0827250608272507</v>
      </c>
      <c r="M26" s="8" t="str">
        <f t="shared" si="2"/>
        <v>Perlu Pengendalian</v>
      </c>
      <c r="N26" s="143"/>
      <c r="O26" s="9"/>
      <c r="Q26" s="206">
        <v>4.395604395604396</v>
      </c>
      <c r="R26" s="206">
        <v>3.1578947368421053</v>
      </c>
      <c r="S26" s="206">
        <v>3.7037037037037033</v>
      </c>
      <c r="T26" s="206">
        <v>3.6363636363636362</v>
      </c>
      <c r="U26" s="206">
        <v>2.4060150375939853</v>
      </c>
      <c r="V26" s="3" t="str">
        <f t="shared" si="1"/>
        <v>tetap deteksi</v>
      </c>
    </row>
    <row r="27" spans="1:22" hidden="1" outlineLevel="1" x14ac:dyDescent="0.15">
      <c r="A27" s="8" t="s">
        <v>1970</v>
      </c>
      <c r="B27" s="8"/>
      <c r="C27" s="8" t="s">
        <v>14</v>
      </c>
      <c r="D27" s="8" t="s">
        <v>1991</v>
      </c>
      <c r="E27" s="9">
        <v>28.91</v>
      </c>
      <c r="F27" s="8" t="s">
        <v>1740</v>
      </c>
      <c r="G27" s="143">
        <v>3377</v>
      </c>
      <c r="H27" s="11"/>
      <c r="I27" s="143"/>
      <c r="J27" s="9">
        <f t="array" ref="J27">IFERROR(I27/G27*100,0)</f>
        <v>0</v>
      </c>
      <c r="K27" s="143"/>
      <c r="L27" s="9">
        <f t="shared" si="3"/>
        <v>0</v>
      </c>
      <c r="M27" s="8" t="str">
        <f t="shared" si="2"/>
        <v>Belum Sensus</v>
      </c>
      <c r="N27" s="143"/>
      <c r="O27" s="9"/>
      <c r="Q27" s="206">
        <v>2.5</v>
      </c>
      <c r="R27" s="206">
        <v>0.85470085470085477</v>
      </c>
      <c r="S27" s="206">
        <v>4.2328042328042326</v>
      </c>
      <c r="T27" s="206">
        <v>2.2727272727272729</v>
      </c>
      <c r="U27" s="206">
        <v>2.7100271002710028</v>
      </c>
      <c r="V27" s="3" t="str">
        <f t="shared" si="1"/>
        <v>tetap deteksi</v>
      </c>
    </row>
    <row r="28" spans="1:22" hidden="1" outlineLevel="1" x14ac:dyDescent="0.15">
      <c r="A28" s="8" t="s">
        <v>1970</v>
      </c>
      <c r="B28" s="8"/>
      <c r="C28" s="8" t="s">
        <v>14</v>
      </c>
      <c r="D28" s="8" t="s">
        <v>1992</v>
      </c>
      <c r="E28" s="9">
        <v>26.499999999999996</v>
      </c>
      <c r="F28" s="8" t="s">
        <v>1740</v>
      </c>
      <c r="G28" s="143">
        <v>3395</v>
      </c>
      <c r="H28" s="11">
        <f t="array" ref="H28">[31]Monitoring!H28</f>
        <v>46163</v>
      </c>
      <c r="I28" s="143">
        <f t="array" ref="I28">[31]Monitoring!I28</f>
        <v>362</v>
      </c>
      <c r="J28" s="9">
        <f t="array" ref="J28">IFERROR(I28/G28*100,0)</f>
        <v>10.662739322533136</v>
      </c>
      <c r="K28" s="143">
        <f t="array" ref="K28">INDEX([32]Monitoring!$J$6:$J$95,MATCH(1,([32]Monitoring!$D$6:$D$95=$D28)*([32]Monitoring!$D$6:$D$95=$D28),0))</f>
        <v>14</v>
      </c>
      <c r="L28" s="9">
        <f t="shared" si="3"/>
        <v>3.867403314917127</v>
      </c>
      <c r="M28" s="8" t="str">
        <f t="shared" si="2"/>
        <v>Tidak Perlu Pengendalian</v>
      </c>
      <c r="N28" s="143"/>
      <c r="O28" s="9"/>
      <c r="Q28" s="206">
        <v>2.666666666666667</v>
      </c>
      <c r="R28" s="206">
        <v>4.434589800443459</v>
      </c>
      <c r="S28" s="206">
        <v>4.5045045045045047</v>
      </c>
      <c r="T28" s="206">
        <v>3.0534351145038165</v>
      </c>
      <c r="U28" s="206">
        <v>3.0634573304157549</v>
      </c>
      <c r="V28" s="3" t="str">
        <f t="shared" si="1"/>
        <v>tetap deteksi</v>
      </c>
    </row>
    <row r="29" spans="1:22" hidden="1" outlineLevel="1" x14ac:dyDescent="0.15">
      <c r="A29" s="8" t="s">
        <v>1970</v>
      </c>
      <c r="B29" s="8"/>
      <c r="C29" s="8" t="s">
        <v>14</v>
      </c>
      <c r="D29" s="8" t="s">
        <v>1993</v>
      </c>
      <c r="E29" s="9">
        <v>24.250000000000004</v>
      </c>
      <c r="F29" s="8" t="s">
        <v>1740</v>
      </c>
      <c r="G29" s="143">
        <v>2634</v>
      </c>
      <c r="H29" s="11">
        <f t="array" ref="H29">[31]Monitoring!H29</f>
        <v>46163</v>
      </c>
      <c r="I29" s="143">
        <f t="array" ref="I29">[31]Monitoring!I29</f>
        <v>262</v>
      </c>
      <c r="J29" s="9">
        <f t="array" ref="J29">IFERROR(I29/G29*100,0)</f>
        <v>9.9468488990129078</v>
      </c>
      <c r="K29" s="143">
        <f t="array" ref="K29">INDEX([32]Monitoring!$J$6:$J$95,MATCH(1,([32]Monitoring!$D$6:$D$95=$D29)*([32]Monitoring!$D$6:$D$95=$D29),0))</f>
        <v>7</v>
      </c>
      <c r="L29" s="9">
        <f t="shared" si="3"/>
        <v>2.6717557251908395</v>
      </c>
      <c r="M29" s="8" t="str">
        <f t="shared" si="2"/>
        <v>Tidak Perlu Pengendalian</v>
      </c>
      <c r="N29" s="143"/>
      <c r="O29" s="9"/>
      <c r="Q29" s="206">
        <v>2.0408163265306123</v>
      </c>
      <c r="R29" s="206">
        <v>3.5906642728904847</v>
      </c>
      <c r="S29" s="206">
        <v>4.10958904109589</v>
      </c>
      <c r="T29" s="206">
        <v>4</v>
      </c>
      <c r="U29" s="206">
        <v>3.2482598607888629</v>
      </c>
      <c r="V29" s="3" t="str">
        <f t="shared" si="1"/>
        <v>tetap deteksi</v>
      </c>
    </row>
    <row r="30" spans="1:22" hidden="1" outlineLevel="1" x14ac:dyDescent="0.15">
      <c r="A30" s="8" t="s">
        <v>1970</v>
      </c>
      <c r="B30" s="8"/>
      <c r="C30" s="8" t="s">
        <v>14</v>
      </c>
      <c r="D30" s="8" t="s">
        <v>1994</v>
      </c>
      <c r="E30" s="9">
        <v>28.029999999999998</v>
      </c>
      <c r="F30" s="8" t="s">
        <v>1740</v>
      </c>
      <c r="G30" s="143">
        <v>3526</v>
      </c>
      <c r="H30" s="11">
        <f t="array" ref="H30">[31]Monitoring!H30</f>
        <v>46163</v>
      </c>
      <c r="I30" s="143">
        <f t="array" ref="I30">[31]Monitoring!I30</f>
        <v>356</v>
      </c>
      <c r="J30" s="9">
        <f t="array" ref="J30">IFERROR(I30/G30*100,0)</f>
        <v>10.096426545660805</v>
      </c>
      <c r="K30" s="143">
        <f t="array" ref="K30">INDEX([32]Monitoring!$J$6:$J$95,MATCH(1,([32]Monitoring!$D$6:$D$95=$D30)*([32]Monitoring!$D$6:$D$95=$D30),0))</f>
        <v>16</v>
      </c>
      <c r="L30" s="9">
        <f t="shared" si="3"/>
        <v>4.4943820224719104</v>
      </c>
      <c r="M30" s="8" t="str">
        <f t="shared" si="2"/>
        <v>Tidak Perlu Pengendalian</v>
      </c>
      <c r="N30" s="143"/>
      <c r="O30" s="9"/>
      <c r="Q30" s="206">
        <v>0.38759689922480622</v>
      </c>
      <c r="R30" s="206">
        <v>2.4891774891774894</v>
      </c>
      <c r="S30" s="206">
        <v>3.3398821218074657</v>
      </c>
      <c r="T30" s="206">
        <v>4.0816326530612246</v>
      </c>
      <c r="U30" s="206">
        <v>3.5805626598465472</v>
      </c>
      <c r="V30" s="3" t="str">
        <f t="shared" si="1"/>
        <v>tetap deteksi</v>
      </c>
    </row>
    <row r="31" spans="1:22" hidden="1" outlineLevel="1" x14ac:dyDescent="0.15">
      <c r="A31" s="8" t="s">
        <v>1970</v>
      </c>
      <c r="B31" s="8"/>
      <c r="C31" s="8" t="s">
        <v>47</v>
      </c>
      <c r="D31" s="8" t="s">
        <v>1109</v>
      </c>
      <c r="E31" s="9">
        <v>30.350000000000005</v>
      </c>
      <c r="F31" s="8" t="s">
        <v>1740</v>
      </c>
      <c r="G31" s="143">
        <v>3346</v>
      </c>
      <c r="H31" s="11"/>
      <c r="I31" s="143"/>
      <c r="J31" s="9">
        <f t="array" ref="J31">IFERROR(I31/G31*100,0)</f>
        <v>0</v>
      </c>
      <c r="K31" s="143"/>
      <c r="L31" s="9">
        <f t="shared" si="3"/>
        <v>0</v>
      </c>
      <c r="M31" s="8" t="str">
        <f t="shared" si="2"/>
        <v>Belum Sensus</v>
      </c>
      <c r="N31" s="143"/>
      <c r="O31" s="9"/>
      <c r="Q31" s="206">
        <v>0</v>
      </c>
      <c r="R31" s="206">
        <v>4</v>
      </c>
      <c r="S31" s="206">
        <v>3.9106145251396649</v>
      </c>
      <c r="T31" s="206">
        <v>2.1052631578947367</v>
      </c>
      <c r="U31" s="206">
        <v>2.9972752043596729</v>
      </c>
      <c r="V31" s="3" t="str">
        <f t="shared" si="1"/>
        <v>tetap deteksi</v>
      </c>
    </row>
    <row r="32" spans="1:22" hidden="1" outlineLevel="1" x14ac:dyDescent="0.15">
      <c r="A32" s="8" t="s">
        <v>1970</v>
      </c>
      <c r="B32" s="8"/>
      <c r="C32" s="8" t="s">
        <v>47</v>
      </c>
      <c r="D32" s="8" t="s">
        <v>1110</v>
      </c>
      <c r="E32" s="9">
        <v>24.740000000000002</v>
      </c>
      <c r="F32" s="8" t="s">
        <v>1740</v>
      </c>
      <c r="G32" s="143">
        <v>2955</v>
      </c>
      <c r="H32" s="11"/>
      <c r="I32" s="143"/>
      <c r="J32" s="9">
        <f t="array" ref="J32">IFERROR(I32/G32*100,0)</f>
        <v>0</v>
      </c>
      <c r="K32" s="143"/>
      <c r="L32" s="9">
        <f t="shared" si="3"/>
        <v>0</v>
      </c>
      <c r="M32" s="8" t="str">
        <f t="shared" si="2"/>
        <v>Belum Sensus</v>
      </c>
      <c r="N32" s="143"/>
      <c r="O32" s="9"/>
      <c r="Q32" s="206">
        <v>1.639344262295082</v>
      </c>
      <c r="R32" s="206">
        <v>3.3989266547406083</v>
      </c>
      <c r="S32" s="206">
        <v>3.4285714285714288</v>
      </c>
      <c r="T32" s="206">
        <v>2.0618556701030926</v>
      </c>
      <c r="U32" s="206">
        <v>2.7322404371584699</v>
      </c>
      <c r="V32" s="3" t="str">
        <f t="shared" si="1"/>
        <v>tetap deteksi</v>
      </c>
    </row>
    <row r="33" spans="1:22" hidden="1" outlineLevel="1" x14ac:dyDescent="0.15">
      <c r="A33" s="8" t="s">
        <v>1970</v>
      </c>
      <c r="B33" s="8"/>
      <c r="C33" s="8" t="s">
        <v>47</v>
      </c>
      <c r="D33" s="8" t="s">
        <v>1113</v>
      </c>
      <c r="E33" s="9">
        <v>27.330000000000002</v>
      </c>
      <c r="F33" s="8" t="s">
        <v>1740</v>
      </c>
      <c r="G33" s="143">
        <v>2369</v>
      </c>
      <c r="H33" s="11"/>
      <c r="I33" s="143"/>
      <c r="J33" s="9">
        <f t="array" ref="J33">IFERROR(I33/G33*100,0)</f>
        <v>0</v>
      </c>
      <c r="K33" s="143"/>
      <c r="L33" s="9">
        <f t="shared" si="3"/>
        <v>0</v>
      </c>
      <c r="M33" s="8" t="str">
        <f t="shared" si="2"/>
        <v>Belum Sensus</v>
      </c>
      <c r="N33" s="143"/>
      <c r="O33" s="9"/>
      <c r="Q33" s="206">
        <v>4.9019607843137258</v>
      </c>
      <c r="R33" s="206">
        <v>2.1505376344086025</v>
      </c>
      <c r="S33" s="206">
        <v>2.7027027027027026</v>
      </c>
      <c r="T33" s="206">
        <v>4</v>
      </c>
      <c r="U33" s="206">
        <v>4.1208791208791204</v>
      </c>
      <c r="V33" s="3" t="str">
        <f t="shared" si="1"/>
        <v>tetap deteksi</v>
      </c>
    </row>
    <row r="34" spans="1:22" hidden="1" outlineLevel="1" x14ac:dyDescent="0.15">
      <c r="A34" s="8" t="s">
        <v>1970</v>
      </c>
      <c r="B34" s="8"/>
      <c r="C34" s="8" t="s">
        <v>47</v>
      </c>
      <c r="D34" s="8" t="s">
        <v>1140</v>
      </c>
      <c r="E34" s="9">
        <v>36.909999999999997</v>
      </c>
      <c r="F34" s="8" t="s">
        <v>1740</v>
      </c>
      <c r="G34" s="143">
        <v>4388</v>
      </c>
      <c r="H34" s="11"/>
      <c r="I34" s="143"/>
      <c r="J34" s="9">
        <f t="array" ref="J34">IFERROR(I34/G34*100,0)</f>
        <v>0</v>
      </c>
      <c r="K34" s="143"/>
      <c r="L34" s="9">
        <f t="shared" si="3"/>
        <v>0</v>
      </c>
      <c r="M34" s="8" t="str">
        <f t="shared" si="2"/>
        <v>Belum Sensus</v>
      </c>
      <c r="N34" s="143"/>
      <c r="O34" s="9"/>
      <c r="Q34" s="206">
        <v>3.5398230088495577</v>
      </c>
      <c r="R34" s="206">
        <v>2.0484171322160147</v>
      </c>
      <c r="S34" s="206">
        <v>2.0408163265306123</v>
      </c>
      <c r="T34" s="206">
        <v>3.3333333333333335</v>
      </c>
      <c r="U34" s="206">
        <v>3.7037037037037033</v>
      </c>
      <c r="V34" s="3" t="str">
        <f t="shared" si="1"/>
        <v>tetap deteksi</v>
      </c>
    </row>
    <row r="35" spans="1:22" hidden="1" outlineLevel="1" x14ac:dyDescent="0.15">
      <c r="A35" s="8" t="s">
        <v>1970</v>
      </c>
      <c r="B35" s="8"/>
      <c r="C35" s="8" t="s">
        <v>47</v>
      </c>
      <c r="D35" s="8" t="s">
        <v>1995</v>
      </c>
      <c r="E35" s="9">
        <v>37.06</v>
      </c>
      <c r="F35" s="8" t="s">
        <v>1740</v>
      </c>
      <c r="G35" s="143">
        <v>4760</v>
      </c>
      <c r="H35" s="11">
        <f t="array" ref="H35">[31]Monitoring!H35</f>
        <v>46154</v>
      </c>
      <c r="I35" s="143">
        <f t="array" ref="I35">[31]Monitoring!I35</f>
        <v>666</v>
      </c>
      <c r="J35" s="9">
        <f t="array" ref="J35">IFERROR(I35/G35*100,0)</f>
        <v>13.991596638655462</v>
      </c>
      <c r="K35" s="143">
        <f t="array" ref="K35">INDEX([32]Monitoring!$J$6:$J$95,MATCH(1,([32]Monitoring!$D$6:$D$95=$D35)*([32]Monitoring!$D$6:$D$95=$D35),0))</f>
        <v>40</v>
      </c>
      <c r="L35" s="9">
        <f t="shared" si="3"/>
        <v>6.0060060060060056</v>
      </c>
      <c r="M35" s="8" t="str">
        <f t="shared" si="2"/>
        <v>Perlu Pengendalian</v>
      </c>
      <c r="N35" s="143"/>
      <c r="O35" s="9"/>
      <c r="Q35" s="206">
        <v>4.8192771084337354</v>
      </c>
      <c r="R35" s="206">
        <v>8.235294117647058</v>
      </c>
      <c r="S35" s="206">
        <v>3.225806451612903</v>
      </c>
      <c r="T35" s="206">
        <v>2.4390243902439024</v>
      </c>
      <c r="U35" s="206">
        <v>2.3121387283236992</v>
      </c>
      <c r="V35" s="3" t="str">
        <f t="shared" si="1"/>
        <v>perlu sensus</v>
      </c>
    </row>
    <row r="36" spans="1:22" hidden="1" outlineLevel="1" x14ac:dyDescent="0.15">
      <c r="A36" s="8" t="s">
        <v>1970</v>
      </c>
      <c r="B36" s="8"/>
      <c r="C36" s="8" t="s">
        <v>47</v>
      </c>
      <c r="D36" s="8" t="s">
        <v>1996</v>
      </c>
      <c r="E36" s="9">
        <v>32.050000000000004</v>
      </c>
      <c r="F36" s="8" t="s">
        <v>1740</v>
      </c>
      <c r="G36" s="143">
        <v>4234</v>
      </c>
      <c r="H36" s="11"/>
      <c r="I36" s="143"/>
      <c r="J36" s="9">
        <f t="array" ref="J36">IFERROR(I36/G36*100,0)</f>
        <v>0</v>
      </c>
      <c r="K36" s="143"/>
      <c r="L36" s="9">
        <f t="shared" si="3"/>
        <v>0</v>
      </c>
      <c r="M36" s="8" t="str">
        <f t="shared" si="2"/>
        <v>Belum Sensus</v>
      </c>
      <c r="N36" s="143"/>
      <c r="O36" s="9"/>
      <c r="Q36" s="206">
        <v>4.7058823529411766</v>
      </c>
      <c r="R36" s="206">
        <v>4.0935672514619883</v>
      </c>
      <c r="S36" s="206">
        <v>3.867403314917127</v>
      </c>
      <c r="T36" s="206">
        <v>3.5714285714285712</v>
      </c>
      <c r="U36" s="206">
        <v>3.6931818181818183</v>
      </c>
      <c r="V36" s="3" t="str">
        <f t="shared" si="1"/>
        <v>tetap deteksi</v>
      </c>
    </row>
    <row r="37" spans="1:22" hidden="1" outlineLevel="1" x14ac:dyDescent="0.15">
      <c r="A37" s="8" t="s">
        <v>1970</v>
      </c>
      <c r="B37" s="8"/>
      <c r="C37" s="8" t="s">
        <v>47</v>
      </c>
      <c r="D37" s="8" t="s">
        <v>1997</v>
      </c>
      <c r="E37" s="9">
        <v>28.740000000000002</v>
      </c>
      <c r="F37" s="8" t="s">
        <v>1740</v>
      </c>
      <c r="G37" s="143">
        <v>3558</v>
      </c>
      <c r="H37" s="11">
        <f>[33]Monitoring!$H$37</f>
        <v>46190</v>
      </c>
      <c r="I37" s="143">
        <f>[33]Monitoring!$I$37</f>
        <v>328.37400000000002</v>
      </c>
      <c r="J37" s="9">
        <f t="array" ref="J37">IFERROR(I37/G37*100,0)</f>
        <v>9.229173693086004</v>
      </c>
      <c r="K37" s="143">
        <v>17</v>
      </c>
      <c r="L37" s="9">
        <f t="shared" si="3"/>
        <v>5.177023759493748</v>
      </c>
      <c r="M37" s="8" t="str">
        <f t="shared" si="2"/>
        <v>Perlu Pengendalian</v>
      </c>
      <c r="N37" s="143"/>
      <c r="O37" s="9"/>
      <c r="Q37" s="206">
        <v>5.9405940594059405</v>
      </c>
      <c r="R37" s="206">
        <v>2.9545454545454546</v>
      </c>
      <c r="S37" s="206">
        <v>2.7932960893854748</v>
      </c>
      <c r="T37" s="206">
        <v>4.8780487804878048</v>
      </c>
      <c r="U37" s="206">
        <v>2.6974951830443161</v>
      </c>
      <c r="V37" s="3" t="str">
        <f t="shared" si="1"/>
        <v>perlu sensus</v>
      </c>
    </row>
    <row r="38" spans="1:22" hidden="1" outlineLevel="1" x14ac:dyDescent="0.15">
      <c r="A38" s="8" t="s">
        <v>1970</v>
      </c>
      <c r="B38" s="8"/>
      <c r="C38" s="8" t="s">
        <v>47</v>
      </c>
      <c r="D38" s="8" t="s">
        <v>1998</v>
      </c>
      <c r="E38" s="9">
        <v>27.590000000000003</v>
      </c>
      <c r="F38" s="8" t="s">
        <v>1740</v>
      </c>
      <c r="G38" s="143">
        <v>3900</v>
      </c>
      <c r="H38" s="11"/>
      <c r="I38" s="143"/>
      <c r="J38" s="9">
        <f t="array" ref="J38">IFERROR(I38/G38*100,0)</f>
        <v>0</v>
      </c>
      <c r="K38" s="143"/>
      <c r="L38" s="9">
        <f t="shared" si="3"/>
        <v>0</v>
      </c>
      <c r="M38" s="8" t="str">
        <f t="shared" si="2"/>
        <v>Belum Sensus</v>
      </c>
      <c r="N38" s="143"/>
      <c r="O38" s="9"/>
      <c r="Q38" s="206">
        <v>3.5714285714285712</v>
      </c>
      <c r="R38" s="206">
        <v>2.9411764705882351</v>
      </c>
      <c r="S38" s="206">
        <v>3.3149171270718232</v>
      </c>
      <c r="T38" s="206">
        <v>3.5294117647058822</v>
      </c>
      <c r="U38" s="206">
        <v>3.2064128256513023</v>
      </c>
      <c r="V38" s="3" t="str">
        <f t="shared" si="1"/>
        <v>tetap deteksi</v>
      </c>
    </row>
    <row r="39" spans="1:22" hidden="1" outlineLevel="1" x14ac:dyDescent="0.15">
      <c r="A39" s="8" t="s">
        <v>1970</v>
      </c>
      <c r="B39" s="8"/>
      <c r="C39" s="8" t="s">
        <v>47</v>
      </c>
      <c r="D39" s="8" t="s">
        <v>1999</v>
      </c>
      <c r="E39" s="9">
        <v>37.519999999999996</v>
      </c>
      <c r="F39" s="8" t="s">
        <v>1740</v>
      </c>
      <c r="G39" s="143">
        <v>4938</v>
      </c>
      <c r="H39" s="11">
        <f>[33]Monitoring!$H$39</f>
        <v>46188</v>
      </c>
      <c r="I39" s="143">
        <v>512</v>
      </c>
      <c r="J39" s="9">
        <f t="array" ref="J39">IFERROR(I39/G39*100,0)</f>
        <v>10.368570271364925</v>
      </c>
      <c r="K39" s="143">
        <v>13</v>
      </c>
      <c r="L39" s="9">
        <f t="shared" si="3"/>
        <v>2.5390625</v>
      </c>
      <c r="M39" s="8" t="str">
        <f t="shared" si="2"/>
        <v>Tidak Perlu Pengendalian</v>
      </c>
      <c r="N39" s="143"/>
      <c r="O39" s="9"/>
      <c r="Q39" s="206">
        <v>1.25</v>
      </c>
      <c r="R39" s="206">
        <v>4.6242774566473983</v>
      </c>
      <c r="S39" s="206">
        <v>2.2099447513812152</v>
      </c>
      <c r="T39" s="206">
        <v>2.5</v>
      </c>
      <c r="U39" s="206">
        <v>2.2988505747126435</v>
      </c>
      <c r="V39" s="3" t="str">
        <f t="shared" si="1"/>
        <v>tetap deteksi</v>
      </c>
    </row>
    <row r="40" spans="1:22" hidden="1" outlineLevel="1" x14ac:dyDescent="0.15">
      <c r="A40" s="8" t="s">
        <v>1970</v>
      </c>
      <c r="B40" s="8"/>
      <c r="C40" s="8" t="s">
        <v>47</v>
      </c>
      <c r="D40" s="8" t="s">
        <v>2000</v>
      </c>
      <c r="E40" s="9">
        <v>36.99</v>
      </c>
      <c r="F40" s="8" t="s">
        <v>1740</v>
      </c>
      <c r="G40" s="143">
        <v>4769</v>
      </c>
      <c r="H40" s="11">
        <f t="array" ref="H40">[31]Monitoring!H40</f>
        <v>46153</v>
      </c>
      <c r="I40" s="143">
        <f t="array" ref="I40">[31]Monitoring!I40</f>
        <v>759</v>
      </c>
      <c r="J40" s="9">
        <f t="array" ref="J40">IFERROR(I40/G40*100,0)</f>
        <v>15.915286223526945</v>
      </c>
      <c r="K40" s="143">
        <f t="array" ref="K40">INDEX([32]Monitoring!$J$6:$J$95,MATCH(1,([32]Monitoring!$D$6:$D$95=$D40)*([32]Monitoring!$D$6:$D$95=$D40),0))</f>
        <v>52</v>
      </c>
      <c r="L40" s="9">
        <f t="shared" si="3"/>
        <v>6.8511198945981553</v>
      </c>
      <c r="M40" s="8" t="str">
        <f t="shared" si="2"/>
        <v>Perlu Pengendalian</v>
      </c>
      <c r="N40" s="143"/>
      <c r="O40" s="9"/>
      <c r="Q40" s="206">
        <v>2.7272727272727271</v>
      </c>
      <c r="R40" s="206">
        <v>5.4726368159203984</v>
      </c>
      <c r="S40" s="206">
        <v>4.395604395604396</v>
      </c>
      <c r="T40" s="206">
        <v>3.3333333333333335</v>
      </c>
      <c r="U40" s="206">
        <v>2.7777777777777777</v>
      </c>
      <c r="V40" s="3" t="str">
        <f t="shared" si="1"/>
        <v>perlu sensus</v>
      </c>
    </row>
    <row r="41" spans="1:22" hidden="1" outlineLevel="1" x14ac:dyDescent="0.15">
      <c r="A41" s="8" t="s">
        <v>1970</v>
      </c>
      <c r="B41" s="8"/>
      <c r="C41" s="8" t="s">
        <v>47</v>
      </c>
      <c r="D41" s="8" t="s">
        <v>2001</v>
      </c>
      <c r="E41" s="9">
        <v>28.979999999999997</v>
      </c>
      <c r="F41" s="8" t="s">
        <v>1740</v>
      </c>
      <c r="G41" s="143">
        <v>3655</v>
      </c>
      <c r="H41" s="11">
        <f>[33]Monitoring!$H$37</f>
        <v>46190</v>
      </c>
      <c r="I41" s="143">
        <v>364</v>
      </c>
      <c r="J41" s="9">
        <f t="array" ref="J41">IFERROR(I41/G41*100,0)</f>
        <v>9.9589603283173727</v>
      </c>
      <c r="K41" s="143">
        <v>22</v>
      </c>
      <c r="L41" s="9">
        <f t="shared" si="3"/>
        <v>6.0439560439560438</v>
      </c>
      <c r="M41" s="8" t="str">
        <f t="shared" si="2"/>
        <v>Perlu Pengendalian</v>
      </c>
      <c r="N41" s="143"/>
      <c r="O41" s="9"/>
      <c r="Q41" s="206">
        <v>5.8139534883720927</v>
      </c>
      <c r="R41" s="206">
        <v>5.3571428571428568</v>
      </c>
      <c r="S41" s="206">
        <v>3.9603960396039604</v>
      </c>
      <c r="T41" s="206">
        <v>4.7058823529411766</v>
      </c>
      <c r="U41" s="206">
        <v>3.8851351351351351</v>
      </c>
      <c r="V41" s="3" t="str">
        <f t="shared" si="1"/>
        <v>perlu sensus</v>
      </c>
    </row>
    <row r="42" spans="1:22" hidden="1" outlineLevel="1" x14ac:dyDescent="0.15">
      <c r="A42" s="8" t="s">
        <v>1970</v>
      </c>
      <c r="B42" s="8"/>
      <c r="C42" s="8" t="s">
        <v>47</v>
      </c>
      <c r="D42" s="8" t="s">
        <v>2002</v>
      </c>
      <c r="E42" s="9">
        <v>32.700000000000003</v>
      </c>
      <c r="F42" s="8" t="s">
        <v>1740</v>
      </c>
      <c r="G42" s="143">
        <v>4506</v>
      </c>
      <c r="H42" s="11">
        <f t="array" ref="H42">[31]Monitoring!H42</f>
        <v>46155</v>
      </c>
      <c r="I42" s="143">
        <f t="array" ref="I42">[31]Monitoring!I42</f>
        <v>546</v>
      </c>
      <c r="J42" s="9">
        <f t="array" ref="J42">IFERROR(I42/G42*100,0)</f>
        <v>12.117177097203728</v>
      </c>
      <c r="K42" s="143">
        <f t="array" ref="K42">INDEX([32]Monitoring!$J$6:$J$95,MATCH(1,([32]Monitoring!$D$6:$D$95=$D42)*([32]Monitoring!$D$6:$D$95=$D42),0))</f>
        <v>43</v>
      </c>
      <c r="L42" s="9">
        <f t="shared" si="3"/>
        <v>7.875457875457875</v>
      </c>
      <c r="M42" s="8" t="str">
        <f t="shared" si="2"/>
        <v>Perlu Pengendalian</v>
      </c>
      <c r="N42" s="143"/>
      <c r="O42" s="9"/>
      <c r="Q42" s="206">
        <v>4.5454545454545459</v>
      </c>
      <c r="R42" s="206">
        <v>3.2846715328467155</v>
      </c>
      <c r="S42" s="206">
        <v>0.98039215686274506</v>
      </c>
      <c r="T42" s="206">
        <v>4.5454545454545459</v>
      </c>
      <c r="U42" s="206">
        <v>3.0232558139534884</v>
      </c>
      <c r="V42" s="3" t="str">
        <f t="shared" si="1"/>
        <v>tetap deteksi</v>
      </c>
    </row>
    <row r="43" spans="1:22" hidden="1" outlineLevel="1" x14ac:dyDescent="0.15">
      <c r="A43" s="8" t="s">
        <v>1970</v>
      </c>
      <c r="B43" s="8"/>
      <c r="C43" s="8" t="s">
        <v>47</v>
      </c>
      <c r="D43" s="8" t="s">
        <v>2003</v>
      </c>
      <c r="E43" s="9">
        <v>29.57</v>
      </c>
      <c r="F43" s="8" t="s">
        <v>1740</v>
      </c>
      <c r="G43" s="143">
        <v>3945</v>
      </c>
      <c r="H43" s="11">
        <f t="array" ref="H43">[31]Monitoring!H43</f>
        <v>46157</v>
      </c>
      <c r="I43" s="143">
        <f t="array" ref="I43">[31]Monitoring!I43</f>
        <v>492</v>
      </c>
      <c r="J43" s="9">
        <f t="array" ref="J43">IFERROR(I43/G43*100,0)</f>
        <v>12.47148288973384</v>
      </c>
      <c r="K43" s="143">
        <f t="array" ref="K43">INDEX([32]Monitoring!$J$6:$J$95,MATCH(1,([32]Monitoring!$D$6:$D$95=$D43)*([32]Monitoring!$D$6:$D$95=$D43),0))</f>
        <v>36</v>
      </c>
      <c r="L43" s="9">
        <f t="shared" si="3"/>
        <v>7.3170731707317067</v>
      </c>
      <c r="M43" s="8" t="str">
        <f t="shared" si="2"/>
        <v>Perlu Pengendalian</v>
      </c>
      <c r="N43" s="143"/>
      <c r="O43" s="9"/>
      <c r="Q43" s="206">
        <v>5.8823529411764701</v>
      </c>
      <c r="R43" s="206">
        <v>4.791666666666667</v>
      </c>
      <c r="S43" s="206">
        <v>2.7932960893854748</v>
      </c>
      <c r="T43" s="206">
        <v>3.3333333333333335</v>
      </c>
      <c r="U43" s="206">
        <v>2.5440313111545985</v>
      </c>
      <c r="V43" s="3" t="str">
        <f t="shared" si="1"/>
        <v>perlu sensus</v>
      </c>
    </row>
    <row r="44" spans="1:22" hidden="1" outlineLevel="1" x14ac:dyDescent="0.15">
      <c r="A44" s="8" t="s">
        <v>1970</v>
      </c>
      <c r="B44" s="8"/>
      <c r="C44" s="8" t="s">
        <v>47</v>
      </c>
      <c r="D44" s="8" t="s">
        <v>2004</v>
      </c>
      <c r="E44" s="9">
        <v>43.999999999999993</v>
      </c>
      <c r="F44" s="8" t="s">
        <v>1740</v>
      </c>
      <c r="G44" s="143">
        <v>5691</v>
      </c>
      <c r="H44" s="11"/>
      <c r="I44" s="143"/>
      <c r="J44" s="9">
        <f t="array" ref="J44">IFERROR(I44/G44*100,0)</f>
        <v>0</v>
      </c>
      <c r="K44" s="143"/>
      <c r="L44" s="9">
        <f t="shared" si="3"/>
        <v>0</v>
      </c>
      <c r="M44" s="8" t="str">
        <f t="shared" si="2"/>
        <v>Belum Sensus</v>
      </c>
      <c r="N44" s="143"/>
      <c r="O44" s="9"/>
      <c r="Q44" s="206">
        <v>4.4444444444444446</v>
      </c>
      <c r="R44" s="206">
        <v>3.4285714285714288</v>
      </c>
      <c r="S44" s="206">
        <v>3.3519553072625698</v>
      </c>
      <c r="T44" s="206">
        <v>3.2608695652173911</v>
      </c>
      <c r="U44" s="206">
        <v>3.0595813204508859</v>
      </c>
      <c r="V44" s="3" t="str">
        <f t="shared" si="1"/>
        <v>tetap deteksi</v>
      </c>
    </row>
    <row r="45" spans="1:22" hidden="1" outlineLevel="1" x14ac:dyDescent="0.15">
      <c r="A45" s="8" t="s">
        <v>1970</v>
      </c>
      <c r="B45" s="8"/>
      <c r="C45" s="8" t="s">
        <v>47</v>
      </c>
      <c r="D45" s="8" t="s">
        <v>2005</v>
      </c>
      <c r="E45" s="9">
        <v>33.01</v>
      </c>
      <c r="F45" s="8" t="s">
        <v>1740</v>
      </c>
      <c r="G45" s="143">
        <v>4569</v>
      </c>
      <c r="H45" s="11">
        <f t="array" ref="H45">[31]Monitoring!H45</f>
        <v>46158</v>
      </c>
      <c r="I45" s="143">
        <f t="array" ref="I45">[31]Monitoring!I45</f>
        <v>519</v>
      </c>
      <c r="J45" s="9">
        <f t="array" ref="J45">IFERROR(I45/G45*100,0)</f>
        <v>11.359159553512804</v>
      </c>
      <c r="K45" s="143">
        <f t="array" ref="K45">INDEX([32]Monitoring!$J$6:$J$95,MATCH(1,([32]Monitoring!$D$6:$D$95=$D45)*([32]Monitoring!$D$6:$D$95=$D45),0))</f>
        <v>32</v>
      </c>
      <c r="L45" s="9">
        <f t="shared" si="3"/>
        <v>6.1657032755298653</v>
      </c>
      <c r="M45" s="8" t="str">
        <f t="shared" si="2"/>
        <v>Perlu Pengendalian</v>
      </c>
      <c r="N45" s="143"/>
      <c r="O45" s="9"/>
      <c r="Q45" s="206">
        <v>1.1764705882352942</v>
      </c>
      <c r="R45" s="206">
        <v>3.1192660550458715</v>
      </c>
      <c r="S45" s="206">
        <v>1</v>
      </c>
      <c r="T45" s="206">
        <v>2.0408163265306123</v>
      </c>
      <c r="U45" s="206">
        <v>2.3722627737226274</v>
      </c>
      <c r="V45" s="3" t="str">
        <f t="shared" si="1"/>
        <v>tetap deteksi</v>
      </c>
    </row>
    <row r="46" spans="1:22" hidden="1" outlineLevel="1" x14ac:dyDescent="0.15">
      <c r="A46" s="8" t="s">
        <v>1970</v>
      </c>
      <c r="B46" s="8"/>
      <c r="C46" s="8" t="s">
        <v>47</v>
      </c>
      <c r="D46" s="8" t="s">
        <v>2006</v>
      </c>
      <c r="E46" s="9">
        <v>29.220000000000002</v>
      </c>
      <c r="F46" s="8" t="s">
        <v>1740</v>
      </c>
      <c r="G46" s="143">
        <v>3838</v>
      </c>
      <c r="H46" s="11"/>
      <c r="I46" s="143"/>
      <c r="J46" s="9">
        <f t="array" ref="J46">IFERROR(I46/G46*100,0)</f>
        <v>0</v>
      </c>
      <c r="K46" s="143"/>
      <c r="L46" s="9">
        <f t="shared" si="3"/>
        <v>0</v>
      </c>
      <c r="M46" s="8" t="str">
        <f t="shared" si="2"/>
        <v>Belum Sensus</v>
      </c>
      <c r="N46" s="143"/>
      <c r="O46" s="9"/>
      <c r="Q46" s="206">
        <v>1.25</v>
      </c>
      <c r="R46" s="206">
        <v>2.547770700636943</v>
      </c>
      <c r="S46" s="206">
        <v>4.0697674418604652</v>
      </c>
      <c r="T46" s="206">
        <v>3.125</v>
      </c>
      <c r="U46" s="206">
        <v>3.0351437699680508</v>
      </c>
      <c r="V46" s="3" t="str">
        <f t="shared" si="1"/>
        <v>tetap deteksi</v>
      </c>
    </row>
    <row r="47" spans="1:22" hidden="1" outlineLevel="1" x14ac:dyDescent="0.15">
      <c r="A47" s="8" t="s">
        <v>1970</v>
      </c>
      <c r="B47" s="8"/>
      <c r="C47" s="8" t="s">
        <v>47</v>
      </c>
      <c r="D47" s="8" t="s">
        <v>2007</v>
      </c>
      <c r="E47" s="9">
        <v>31.869999999999997</v>
      </c>
      <c r="F47" s="8" t="s">
        <v>1740</v>
      </c>
      <c r="G47" s="143">
        <v>4370</v>
      </c>
      <c r="H47" s="11"/>
      <c r="I47" s="143"/>
      <c r="J47" s="9">
        <f t="array" ref="J47">IFERROR(I47/G47*100,0)</f>
        <v>0</v>
      </c>
      <c r="K47" s="143"/>
      <c r="L47" s="9">
        <f t="shared" si="3"/>
        <v>0</v>
      </c>
      <c r="M47" s="8" t="str">
        <f t="shared" si="2"/>
        <v>Belum Sensus</v>
      </c>
      <c r="N47" s="143"/>
      <c r="O47" s="9"/>
      <c r="Q47" s="206">
        <v>3.8095238095238098</v>
      </c>
      <c r="R47" s="206">
        <v>2.4752475247524752</v>
      </c>
      <c r="S47" s="206">
        <v>3.3898305084745761</v>
      </c>
      <c r="T47" s="206">
        <v>3.75</v>
      </c>
      <c r="U47" s="206">
        <v>3.3932135728542914</v>
      </c>
      <c r="V47" s="3" t="str">
        <f t="shared" si="1"/>
        <v>tetap deteksi</v>
      </c>
    </row>
    <row r="48" spans="1:22" hidden="1" outlineLevel="1" x14ac:dyDescent="0.15">
      <c r="A48" s="177" t="s">
        <v>1970</v>
      </c>
      <c r="B48" s="8"/>
      <c r="C48" s="8" t="s">
        <v>47</v>
      </c>
      <c r="D48" s="8" t="s">
        <v>2008</v>
      </c>
      <c r="E48" s="9">
        <v>35.04</v>
      </c>
      <c r="F48" s="8" t="s">
        <v>1740</v>
      </c>
      <c r="G48" s="143">
        <v>5100</v>
      </c>
      <c r="H48" s="11"/>
      <c r="I48" s="143"/>
      <c r="J48" s="9">
        <f t="array" ref="J48">IFERROR(I48/G48*100,0)</f>
        <v>0</v>
      </c>
      <c r="K48" s="143"/>
      <c r="L48" s="9">
        <f t="shared" si="3"/>
        <v>0</v>
      </c>
      <c r="M48" s="8" t="str">
        <f t="shared" si="2"/>
        <v>Belum Sensus</v>
      </c>
      <c r="N48" s="143"/>
      <c r="O48" s="9"/>
      <c r="Q48" s="206">
        <v>2.7272727272727271</v>
      </c>
      <c r="R48" s="206">
        <v>5.802047781569966</v>
      </c>
      <c r="S48" s="206">
        <v>3.4682080924855487</v>
      </c>
      <c r="T48" s="206">
        <v>4.395604395604396</v>
      </c>
      <c r="U48" s="206">
        <v>2.4163568773234201</v>
      </c>
      <c r="V48" s="3" t="str">
        <f t="shared" si="1"/>
        <v>perlu sensus</v>
      </c>
    </row>
    <row r="49" spans="1:22" hidden="1" outlineLevel="1" x14ac:dyDescent="0.15">
      <c r="A49" s="8" t="s">
        <v>1970</v>
      </c>
      <c r="B49" s="8"/>
      <c r="C49" s="8" t="s">
        <v>47</v>
      </c>
      <c r="D49" s="8" t="s">
        <v>2009</v>
      </c>
      <c r="E49" s="9">
        <v>25.32</v>
      </c>
      <c r="F49" s="8" t="s">
        <v>1740</v>
      </c>
      <c r="G49" s="143">
        <v>3740</v>
      </c>
      <c r="H49" s="11"/>
      <c r="I49" s="143"/>
      <c r="J49" s="9">
        <f t="array" ref="J49">IFERROR(I49/G49*100,0)</f>
        <v>0</v>
      </c>
      <c r="K49" s="143"/>
      <c r="L49" s="9">
        <f t="shared" si="3"/>
        <v>0</v>
      </c>
      <c r="M49" s="8" t="str">
        <f t="shared" si="2"/>
        <v>Belum Sensus</v>
      </c>
      <c r="N49" s="143"/>
      <c r="O49" s="9"/>
      <c r="Q49" s="206">
        <v>3.0612244897959182</v>
      </c>
      <c r="R49" s="206">
        <v>3.4205231388329982</v>
      </c>
      <c r="S49" s="206">
        <v>2.9411764705882351</v>
      </c>
      <c r="T49" s="206">
        <v>4.4943820224719104</v>
      </c>
      <c r="U49" s="206">
        <v>3.1189083820662766</v>
      </c>
      <c r="V49" s="3" t="str">
        <f t="shared" si="1"/>
        <v>tetap deteksi</v>
      </c>
    </row>
    <row r="50" spans="1:22" hidden="1" outlineLevel="1" x14ac:dyDescent="0.15">
      <c r="A50" s="8" t="s">
        <v>1970</v>
      </c>
      <c r="B50" s="8"/>
      <c r="C50" s="8" t="s">
        <v>47</v>
      </c>
      <c r="D50" s="8" t="s">
        <v>2010</v>
      </c>
      <c r="E50" s="9">
        <v>32.68</v>
      </c>
      <c r="F50" s="8" t="s">
        <v>1740</v>
      </c>
      <c r="G50" s="143">
        <v>4375</v>
      </c>
      <c r="H50" s="11">
        <f t="array" ref="H50">[31]Monitoring!H50</f>
        <v>46150</v>
      </c>
      <c r="I50" s="143">
        <f t="array" ref="I50">[31]Monitoring!I50</f>
        <v>631</v>
      </c>
      <c r="J50" s="9">
        <f t="array" ref="J50">IFERROR(I50/G50*100,0)</f>
        <v>14.422857142857143</v>
      </c>
      <c r="K50" s="143">
        <f t="array" ref="K50">INDEX([32]Monitoring!$J$6:$J$95,MATCH(1,([32]Monitoring!$D$6:$D$95=$D50)*([32]Monitoring!$D$6:$D$95=$D50),0))</f>
        <v>41</v>
      </c>
      <c r="L50" s="9">
        <f t="shared" si="3"/>
        <v>6.497622820919176</v>
      </c>
      <c r="M50" s="8" t="str">
        <f t="shared" si="2"/>
        <v>Perlu Pengendalian</v>
      </c>
      <c r="N50" s="143"/>
      <c r="O50" s="9"/>
      <c r="Q50" s="206">
        <v>2.8846153846153846</v>
      </c>
      <c r="R50" s="206">
        <v>5.8201058201058196</v>
      </c>
      <c r="S50" s="206">
        <v>4.6511627906976747</v>
      </c>
      <c r="T50" s="206">
        <v>3.2608695652173911</v>
      </c>
      <c r="U50" s="206">
        <v>3.1192660550458715</v>
      </c>
      <c r="V50" s="3" t="str">
        <f t="shared" si="1"/>
        <v>perlu sensus</v>
      </c>
    </row>
    <row r="51" spans="1:22" hidden="1" outlineLevel="1" x14ac:dyDescent="0.15">
      <c r="A51" s="8" t="s">
        <v>1970</v>
      </c>
      <c r="B51" s="8"/>
      <c r="C51" s="8" t="s">
        <v>47</v>
      </c>
      <c r="D51" s="8" t="s">
        <v>2011</v>
      </c>
      <c r="E51" s="9">
        <v>29.29</v>
      </c>
      <c r="F51" s="8" t="s">
        <v>1740</v>
      </c>
      <c r="G51" s="143">
        <v>3878</v>
      </c>
      <c r="H51" s="11"/>
      <c r="I51" s="143"/>
      <c r="J51" s="9">
        <f t="array" ref="J51">IFERROR(I51/G51*100,0)</f>
        <v>0</v>
      </c>
      <c r="K51" s="143"/>
      <c r="L51" s="9">
        <f t="shared" si="3"/>
        <v>0</v>
      </c>
      <c r="M51" s="8" t="str">
        <f t="shared" si="2"/>
        <v>Belum Sensus</v>
      </c>
      <c r="N51" s="143"/>
      <c r="O51" s="9"/>
      <c r="Q51" s="206">
        <v>4.2553191489361701</v>
      </c>
      <c r="R51" s="206">
        <v>3.5294117647058822</v>
      </c>
      <c r="S51" s="206">
        <v>2.8571428571428572</v>
      </c>
      <c r="T51" s="206">
        <v>4.0816326530612246</v>
      </c>
      <c r="U51" s="206">
        <v>3.1365313653136528</v>
      </c>
      <c r="V51" s="3" t="str">
        <f t="shared" si="1"/>
        <v>tetap deteksi</v>
      </c>
    </row>
    <row r="52" spans="1:22" hidden="1" outlineLevel="1" x14ac:dyDescent="0.15">
      <c r="A52" s="8" t="s">
        <v>1970</v>
      </c>
      <c r="B52" s="8"/>
      <c r="C52" s="8" t="s">
        <v>47</v>
      </c>
      <c r="D52" s="8" t="s">
        <v>2012</v>
      </c>
      <c r="E52" s="9">
        <v>38.56</v>
      </c>
      <c r="F52" s="8" t="s">
        <v>1740</v>
      </c>
      <c r="G52" s="143">
        <v>4874</v>
      </c>
      <c r="H52" s="11">
        <f>[33]Monitoring!$H$37</f>
        <v>46190</v>
      </c>
      <c r="I52" s="143">
        <v>503</v>
      </c>
      <c r="J52" s="9">
        <f t="array" ref="J52">IFERROR(I52/G52*100,0)</f>
        <v>10.320065654493229</v>
      </c>
      <c r="K52" s="143">
        <v>23</v>
      </c>
      <c r="L52" s="9">
        <f t="shared" si="3"/>
        <v>4.5725646123260439</v>
      </c>
      <c r="M52" s="8" t="str">
        <f t="shared" si="2"/>
        <v>Tidak Perlu Pengendalian</v>
      </c>
      <c r="N52" s="143"/>
      <c r="O52" s="9"/>
      <c r="Q52" s="206">
        <v>5.7142857142857144</v>
      </c>
      <c r="R52" s="206">
        <v>2.9360967184801381</v>
      </c>
      <c r="S52" s="206">
        <v>3.225806451612903</v>
      </c>
      <c r="T52" s="206">
        <v>3.125</v>
      </c>
      <c r="U52" s="206">
        <v>2.6978417266187051</v>
      </c>
      <c r="V52" s="3" t="str">
        <f t="shared" si="1"/>
        <v>perlu sensus</v>
      </c>
    </row>
    <row r="53" spans="1:22" hidden="1" outlineLevel="1" x14ac:dyDescent="0.15">
      <c r="A53" s="8" t="s">
        <v>1970</v>
      </c>
      <c r="B53" s="8"/>
      <c r="C53" s="8" t="s">
        <v>47</v>
      </c>
      <c r="D53" s="8" t="s">
        <v>2013</v>
      </c>
      <c r="E53" s="9">
        <v>28.57</v>
      </c>
      <c r="F53" s="8" t="s">
        <v>1740</v>
      </c>
      <c r="G53" s="143">
        <v>3963</v>
      </c>
      <c r="H53" s="11"/>
      <c r="I53" s="143"/>
      <c r="J53" s="9">
        <f t="array" ref="J53">IFERROR(I53/G53*100,0)</f>
        <v>0</v>
      </c>
      <c r="K53" s="143"/>
      <c r="L53" s="9">
        <f t="shared" si="3"/>
        <v>0</v>
      </c>
      <c r="M53" s="8" t="str">
        <f t="shared" si="2"/>
        <v>Belum Sensus</v>
      </c>
      <c r="N53" s="143"/>
      <c r="O53" s="9"/>
      <c r="Q53" s="206">
        <v>3.5398230088495577</v>
      </c>
      <c r="R53" s="206">
        <v>3.9665970772442591</v>
      </c>
      <c r="S53" s="206">
        <v>2.2346368715083798</v>
      </c>
      <c r="T53" s="206">
        <v>3.296703296703297</v>
      </c>
      <c r="U53" s="206">
        <v>3.0844155844155843</v>
      </c>
      <c r="V53" s="3" t="str">
        <f t="shared" si="1"/>
        <v>tetap deteksi</v>
      </c>
    </row>
    <row r="54" spans="1:22" hidden="1" outlineLevel="1" x14ac:dyDescent="0.15">
      <c r="A54" s="8" t="s">
        <v>1970</v>
      </c>
      <c r="B54" s="8"/>
      <c r="C54" s="8" t="s">
        <v>47</v>
      </c>
      <c r="D54" s="8" t="s">
        <v>2014</v>
      </c>
      <c r="E54" s="9">
        <v>30.95</v>
      </c>
      <c r="F54" s="8" t="s">
        <v>1740</v>
      </c>
      <c r="G54" s="143">
        <v>3979</v>
      </c>
      <c r="H54" s="11"/>
      <c r="I54" s="143"/>
      <c r="J54" s="9">
        <f t="array" ref="J54">IFERROR(I54/G54*100,0)</f>
        <v>0</v>
      </c>
      <c r="K54" s="143"/>
      <c r="L54" s="9">
        <f t="shared" si="3"/>
        <v>0</v>
      </c>
      <c r="M54" s="8" t="str">
        <f t="shared" si="2"/>
        <v>Belum Sensus</v>
      </c>
      <c r="N54" s="143"/>
      <c r="O54" s="9"/>
      <c r="Q54" s="206">
        <v>1.1111111111111112</v>
      </c>
      <c r="R54" s="206">
        <v>3.6809815950920246</v>
      </c>
      <c r="S54" s="206">
        <v>3.867403314917127</v>
      </c>
      <c r="T54" s="206">
        <v>2.1276595744680851</v>
      </c>
      <c r="U54" s="206">
        <v>2.785515320334262</v>
      </c>
      <c r="V54" s="3" t="str">
        <f t="shared" si="1"/>
        <v>tetap deteksi</v>
      </c>
    </row>
    <row r="55" spans="1:22" hidden="1" outlineLevel="1" x14ac:dyDescent="0.15">
      <c r="A55" s="8" t="s">
        <v>1970</v>
      </c>
      <c r="B55" s="8"/>
      <c r="C55" s="8" t="s">
        <v>47</v>
      </c>
      <c r="D55" s="8" t="s">
        <v>2015</v>
      </c>
      <c r="E55" s="9">
        <v>38.489999999999995</v>
      </c>
      <c r="F55" s="8" t="s">
        <v>1740</v>
      </c>
      <c r="G55" s="143">
        <v>4900</v>
      </c>
      <c r="H55" s="11"/>
      <c r="I55" s="143"/>
      <c r="J55" s="9">
        <f t="array" ref="J55">IFERROR(I55/G55*100,0)</f>
        <v>0</v>
      </c>
      <c r="K55" s="143"/>
      <c r="L55" s="9">
        <f t="shared" si="3"/>
        <v>0</v>
      </c>
      <c r="M55" s="8" t="str">
        <f t="shared" si="2"/>
        <v>Belum Sensus</v>
      </c>
      <c r="N55" s="143"/>
      <c r="O55" s="9"/>
      <c r="Q55" s="206">
        <v>2.0618556701030926</v>
      </c>
      <c r="R55" s="206">
        <v>2.6168224299065423</v>
      </c>
      <c r="S55" s="206">
        <v>2.7472527472527473</v>
      </c>
      <c r="T55" s="206">
        <v>2.1739130434782608</v>
      </c>
      <c r="U55" s="206">
        <v>2.7149321266968327</v>
      </c>
      <c r="V55" s="3" t="str">
        <f t="shared" si="1"/>
        <v>tetap deteksi</v>
      </c>
    </row>
    <row r="56" spans="1:22" hidden="1" outlineLevel="1" x14ac:dyDescent="0.15">
      <c r="A56" s="8" t="s">
        <v>1970</v>
      </c>
      <c r="B56" s="8"/>
      <c r="C56" s="8" t="s">
        <v>47</v>
      </c>
      <c r="D56" s="8" t="s">
        <v>2016</v>
      </c>
      <c r="E56" s="9">
        <v>37.44</v>
      </c>
      <c r="F56" s="8" t="s">
        <v>1740</v>
      </c>
      <c r="G56" s="143">
        <v>5152</v>
      </c>
      <c r="H56" s="11"/>
      <c r="I56" s="143"/>
      <c r="J56" s="9">
        <f t="array" ref="J56">IFERROR(I56/G56*100,0)</f>
        <v>0</v>
      </c>
      <c r="K56" s="143"/>
      <c r="L56" s="9">
        <f t="shared" si="3"/>
        <v>0</v>
      </c>
      <c r="M56" s="8" t="str">
        <f t="shared" si="2"/>
        <v>Belum Sensus</v>
      </c>
      <c r="N56" s="143"/>
      <c r="O56" s="9"/>
      <c r="Q56" s="206">
        <v>0.57803468208092479</v>
      </c>
      <c r="R56" s="206">
        <v>2.666666666666667</v>
      </c>
      <c r="S56" s="206">
        <v>3.296703296703297</v>
      </c>
      <c r="T56" s="206">
        <v>1.0526315789473684</v>
      </c>
      <c r="U56" s="206">
        <v>1.8306636155606408</v>
      </c>
      <c r="V56" s="3" t="str">
        <f t="shared" si="1"/>
        <v>tetap deteksi</v>
      </c>
    </row>
    <row r="57" spans="1:22" hidden="1" outlineLevel="1" x14ac:dyDescent="0.15">
      <c r="A57" s="8" t="s">
        <v>1970</v>
      </c>
      <c r="B57" s="8"/>
      <c r="C57" s="8" t="s">
        <v>79</v>
      </c>
      <c r="D57" s="8" t="s">
        <v>1136</v>
      </c>
      <c r="E57" s="9">
        <v>27.78</v>
      </c>
      <c r="F57" s="8" t="s">
        <v>1740</v>
      </c>
      <c r="G57" s="143">
        <v>3378</v>
      </c>
      <c r="H57" s="11">
        <f t="array" ref="H57">[31]Monitoring!H57</f>
        <v>46171</v>
      </c>
      <c r="I57" s="143">
        <f t="array" ref="I57">[31]Monitoring!I57</f>
        <v>597</v>
      </c>
      <c r="J57" s="9">
        <f t="array" ref="J57">IFERROR(I57/G57*100,0)</f>
        <v>17.673179396092362</v>
      </c>
      <c r="K57" s="143">
        <f t="array" ref="K57">INDEX([32]Monitoring!$J$6:$J$95,MATCH(1,([32]Monitoring!$D$6:$D$95=$D57)*([32]Monitoring!$D$6:$D$95=$D57),0))</f>
        <v>0</v>
      </c>
      <c r="L57" s="9">
        <f t="shared" si="3"/>
        <v>0</v>
      </c>
      <c r="M57" s="8" t="str">
        <f t="shared" si="2"/>
        <v>Tidak Perlu Pengendalian</v>
      </c>
      <c r="N57" s="143"/>
      <c r="O57" s="9"/>
      <c r="Q57" s="206">
        <v>4.9382716049382713</v>
      </c>
      <c r="R57" s="206">
        <v>3.8323353293413174</v>
      </c>
      <c r="S57" s="206">
        <v>2.877697841726619</v>
      </c>
      <c r="T57" s="206">
        <v>3.3519553072625698</v>
      </c>
      <c r="U57" s="206">
        <v>3.3923303834808261</v>
      </c>
      <c r="V57" s="3" t="str">
        <f t="shared" si="1"/>
        <v>tetap deteksi</v>
      </c>
    </row>
    <row r="58" spans="1:22" hidden="1" outlineLevel="1" x14ac:dyDescent="0.15">
      <c r="A58" s="8" t="s">
        <v>1970</v>
      </c>
      <c r="B58" s="8"/>
      <c r="C58" s="8" t="s">
        <v>79</v>
      </c>
      <c r="D58" s="8" t="s">
        <v>1137</v>
      </c>
      <c r="E58" s="9">
        <v>28.79</v>
      </c>
      <c r="F58" s="8" t="s">
        <v>1740</v>
      </c>
      <c r="G58" s="143">
        <v>2640</v>
      </c>
      <c r="H58" s="11">
        <f t="array" ref="H58">[31]Monitoring!H58</f>
        <v>46171</v>
      </c>
      <c r="I58" s="143">
        <f t="array" ref="I58">[31]Monitoring!I58</f>
        <v>557</v>
      </c>
      <c r="J58" s="9">
        <f t="array" ref="J58">IFERROR(I58/G58*100,0)</f>
        <v>21.098484848484851</v>
      </c>
      <c r="K58" s="143">
        <f t="array" ref="K58">INDEX([32]Monitoring!$J$6:$J$95,MATCH(1,([32]Monitoring!$D$6:$D$95=$D58)*([32]Monitoring!$D$6:$D$95=$D58),0))</f>
        <v>31</v>
      </c>
      <c r="L58" s="9">
        <f t="shared" si="3"/>
        <v>5.5655296229802511</v>
      </c>
      <c r="M58" s="8" t="str">
        <f t="shared" si="2"/>
        <v>Perlu Pengendalian</v>
      </c>
      <c r="N58" s="143"/>
      <c r="O58" s="9"/>
      <c r="Q58" s="206">
        <v>3.75</v>
      </c>
      <c r="R58" s="206">
        <v>3.6328871892925432</v>
      </c>
      <c r="S58" s="206">
        <v>4.0816326530612246</v>
      </c>
      <c r="T58" s="206">
        <v>3.5714285714285712</v>
      </c>
      <c r="U58" s="206">
        <v>3.4090909090909087</v>
      </c>
      <c r="V58" s="3" t="str">
        <f t="shared" si="1"/>
        <v>tetap deteksi</v>
      </c>
    </row>
    <row r="59" spans="1:22" hidden="1" outlineLevel="1" x14ac:dyDescent="0.15">
      <c r="A59" s="8" t="s">
        <v>1970</v>
      </c>
      <c r="B59" s="8"/>
      <c r="C59" s="8" t="s">
        <v>79</v>
      </c>
      <c r="D59" s="8" t="s">
        <v>1138</v>
      </c>
      <c r="E59" s="9">
        <v>30.1</v>
      </c>
      <c r="F59" s="8" t="s">
        <v>1740</v>
      </c>
      <c r="G59" s="143">
        <v>3172</v>
      </c>
      <c r="H59" s="11"/>
      <c r="I59" s="143"/>
      <c r="J59" s="9">
        <f t="array" ref="J59">IFERROR(I59/G59*100,0)</f>
        <v>0</v>
      </c>
      <c r="K59" s="143"/>
      <c r="L59" s="9">
        <f t="shared" si="3"/>
        <v>0</v>
      </c>
      <c r="M59" s="8" t="str">
        <f t="shared" si="2"/>
        <v>Belum Sensus</v>
      </c>
      <c r="N59" s="143"/>
      <c r="O59" s="9"/>
      <c r="Q59" s="206">
        <v>3.4883720930232558</v>
      </c>
      <c r="R59" s="206">
        <v>3.125</v>
      </c>
      <c r="S59" s="206">
        <v>3.2432432432432434</v>
      </c>
      <c r="T59" s="206">
        <v>3.5294117647058822</v>
      </c>
      <c r="U59" s="206">
        <v>3.6332179930795849</v>
      </c>
      <c r="V59" s="3" t="str">
        <f t="shared" si="1"/>
        <v>tetap deteksi</v>
      </c>
    </row>
    <row r="60" spans="1:22" hidden="1" outlineLevel="1" x14ac:dyDescent="0.15">
      <c r="A60" s="8" t="s">
        <v>1970</v>
      </c>
      <c r="B60" s="8"/>
      <c r="C60" s="8" t="s">
        <v>79</v>
      </c>
      <c r="D60" s="8" t="s">
        <v>1169</v>
      </c>
      <c r="E60" s="9">
        <v>33.96</v>
      </c>
      <c r="F60" s="8" t="s">
        <v>1740</v>
      </c>
      <c r="G60" s="143">
        <v>3306</v>
      </c>
      <c r="H60" s="11">
        <f t="array" ref="H60">[31]Monitoring!H60</f>
        <v>46170</v>
      </c>
      <c r="I60" s="143">
        <f t="array" ref="I60">[31]Monitoring!I60</f>
        <v>484</v>
      </c>
      <c r="J60" s="9">
        <f t="array" ref="J60">IFERROR(I60/G60*100,0)</f>
        <v>14.640048396854205</v>
      </c>
      <c r="K60" s="143">
        <f t="array" ref="K60">INDEX([32]Monitoring!$J$6:$J$95,MATCH(1,([32]Monitoring!$D$6:$D$95=$D60)*([32]Monitoring!$D$6:$D$95=$D60),0))</f>
        <v>30</v>
      </c>
      <c r="L60" s="9">
        <f t="shared" si="3"/>
        <v>6.1983471074380168</v>
      </c>
      <c r="M60" s="8" t="str">
        <f t="shared" si="2"/>
        <v>Perlu Pengendalian</v>
      </c>
      <c r="N60" s="143"/>
      <c r="O60" s="9"/>
      <c r="Q60" s="206">
        <v>3.75</v>
      </c>
      <c r="R60" s="206">
        <v>7.1428571428571423</v>
      </c>
      <c r="S60" s="206">
        <v>2.2471910112359552</v>
      </c>
      <c r="T60" s="206">
        <v>3.3333333333333335</v>
      </c>
      <c r="U60" s="206">
        <v>3.2352941176470593</v>
      </c>
      <c r="V60" s="3" t="str">
        <f t="shared" si="1"/>
        <v>perlu sensus</v>
      </c>
    </row>
    <row r="61" spans="1:22" outlineLevel="1" x14ac:dyDescent="0.15">
      <c r="A61" s="177" t="s">
        <v>1970</v>
      </c>
      <c r="B61" s="8"/>
      <c r="C61" s="8" t="s">
        <v>79</v>
      </c>
      <c r="D61" s="8" t="s">
        <v>1111</v>
      </c>
      <c r="E61" s="9">
        <v>29.169999999999998</v>
      </c>
      <c r="F61" s="8" t="s">
        <v>1740</v>
      </c>
      <c r="G61" s="143">
        <v>3409</v>
      </c>
      <c r="H61" s="11">
        <v>46217</v>
      </c>
      <c r="I61" s="143">
        <v>358</v>
      </c>
      <c r="J61" s="9">
        <f t="array" ref="J61">IFERROR(I61/G61*100,0)</f>
        <v>10.501613376356703</v>
      </c>
      <c r="K61" s="143">
        <v>6</v>
      </c>
      <c r="L61" s="9">
        <f t="shared" si="3"/>
        <v>1.6759776536312849</v>
      </c>
      <c r="M61" s="8" t="str">
        <f t="shared" si="2"/>
        <v>Tidak Perlu Pengendalian</v>
      </c>
      <c r="N61" s="143"/>
      <c r="O61" s="9"/>
      <c r="Q61" s="206">
        <v>4.375</v>
      </c>
      <c r="R61" s="206">
        <v>5.272407732864675</v>
      </c>
      <c r="S61" s="206">
        <v>3.4482758620689653</v>
      </c>
      <c r="T61" s="206">
        <v>5.9523809523809517</v>
      </c>
      <c r="U61" s="206">
        <v>5.1233396584440225</v>
      </c>
      <c r="V61" s="3" t="str">
        <f t="shared" si="1"/>
        <v>perlu sensus</v>
      </c>
    </row>
    <row r="62" spans="1:22" hidden="1" outlineLevel="1" x14ac:dyDescent="0.15">
      <c r="A62" s="8" t="s">
        <v>1970</v>
      </c>
      <c r="B62" s="8"/>
      <c r="C62" s="8" t="s">
        <v>79</v>
      </c>
      <c r="D62" s="8" t="s">
        <v>1112</v>
      </c>
      <c r="E62" s="9">
        <v>23.93</v>
      </c>
      <c r="F62" s="8" t="s">
        <v>1740</v>
      </c>
      <c r="G62" s="143">
        <v>2784</v>
      </c>
      <c r="H62" s="11">
        <f t="array" ref="H62">[31]Monitoring!H62</f>
        <v>46154</v>
      </c>
      <c r="I62" s="143">
        <f t="array" ref="I62">[31]Monitoring!I62</f>
        <v>423</v>
      </c>
      <c r="J62" s="9">
        <f t="array" ref="J62">IFERROR(I62/G62*100,0)</f>
        <v>15.193965517241379</v>
      </c>
      <c r="K62" s="143">
        <f t="array" ref="K62">INDEX([32]Monitoring!$J$6:$J$95,MATCH(1,([32]Monitoring!$D$6:$D$95=$D62)*([32]Monitoring!$D$6:$D$95=$D62),0))</f>
        <v>22</v>
      </c>
      <c r="L62" s="9">
        <f t="shared" si="3"/>
        <v>5.2009456264775409</v>
      </c>
      <c r="M62" s="8" t="str">
        <f t="shared" si="2"/>
        <v>Perlu Pengendalian</v>
      </c>
      <c r="N62" s="143"/>
      <c r="O62" s="9"/>
      <c r="Q62" s="206">
        <v>3.0927835051546393</v>
      </c>
      <c r="R62" s="206">
        <v>3.9325842696629212</v>
      </c>
      <c r="S62" s="206">
        <v>3.75</v>
      </c>
      <c r="T62" s="206">
        <v>4</v>
      </c>
      <c r="U62" s="206">
        <v>2.9059829059829059</v>
      </c>
      <c r="V62" s="3" t="str">
        <f t="shared" si="1"/>
        <v>tetap deteksi</v>
      </c>
    </row>
    <row r="63" spans="1:22" outlineLevel="1" x14ac:dyDescent="0.15">
      <c r="A63" s="8" t="s">
        <v>1970</v>
      </c>
      <c r="B63" s="8"/>
      <c r="C63" s="8" t="s">
        <v>79</v>
      </c>
      <c r="D63" s="8" t="s">
        <v>1141</v>
      </c>
      <c r="E63" s="9">
        <v>26.02</v>
      </c>
      <c r="F63" s="8" t="s">
        <v>1740</v>
      </c>
      <c r="G63" s="143">
        <v>3436</v>
      </c>
      <c r="H63" s="11">
        <f t="array" ref="H63">[31]Monitoring!H63</f>
        <v>46167</v>
      </c>
      <c r="I63" s="143">
        <f t="array" ref="I63">[31]Monitoring!I63</f>
        <v>596</v>
      </c>
      <c r="J63" s="9">
        <f t="array" ref="J63">IFERROR(I63/G63*100,0)</f>
        <v>17.345750873108265</v>
      </c>
      <c r="K63" s="143">
        <f t="array" ref="K63">INDEX([32]Monitoring!$J$6:$J$95,MATCH(1,([32]Monitoring!$D$6:$D$95=$D63)*([32]Monitoring!$D$6:$D$95=$D63),0))</f>
        <v>23</v>
      </c>
      <c r="L63" s="9">
        <f t="shared" si="3"/>
        <v>3.8590604026845639</v>
      </c>
      <c r="M63" s="8" t="str">
        <f t="shared" si="2"/>
        <v>Tidak Perlu Pengendalian</v>
      </c>
      <c r="N63" s="143"/>
      <c r="O63" s="9"/>
      <c r="Q63" s="206">
        <v>6.25</v>
      </c>
      <c r="R63" s="206">
        <v>3.1413612565445024</v>
      </c>
      <c r="S63" s="206">
        <v>2.8571428571428572</v>
      </c>
      <c r="T63" s="206">
        <v>8.3333333333333321</v>
      </c>
      <c r="U63" s="206">
        <v>5.7949479940564634</v>
      </c>
      <c r="V63" s="3" t="str">
        <f t="shared" si="1"/>
        <v>perlu sensus</v>
      </c>
    </row>
    <row r="64" spans="1:22" hidden="1" outlineLevel="1" x14ac:dyDescent="0.15">
      <c r="A64" s="8" t="s">
        <v>1970</v>
      </c>
      <c r="B64" s="8"/>
      <c r="C64" s="8" t="s">
        <v>79</v>
      </c>
      <c r="D64" s="8" t="s">
        <v>1198</v>
      </c>
      <c r="E64" s="9">
        <v>32.39</v>
      </c>
      <c r="F64" s="8" t="s">
        <v>1740</v>
      </c>
      <c r="G64" s="143">
        <v>3199</v>
      </c>
      <c r="H64" s="11"/>
      <c r="I64" s="143"/>
      <c r="J64" s="9">
        <f t="array" ref="J64">IFERROR(I64/G64*100,0)</f>
        <v>0</v>
      </c>
      <c r="K64" s="143"/>
      <c r="L64" s="9">
        <f t="shared" si="3"/>
        <v>0</v>
      </c>
      <c r="M64" s="8" t="str">
        <f t="shared" si="2"/>
        <v>Belum Sensus</v>
      </c>
      <c r="N64" s="143"/>
      <c r="O64" s="9"/>
      <c r="Q64" s="206">
        <v>3.75</v>
      </c>
      <c r="R64" s="206">
        <v>3.992015968063872</v>
      </c>
      <c r="S64" s="206">
        <v>3.7037037037037033</v>
      </c>
      <c r="T64" s="206">
        <v>4.0404040404040407</v>
      </c>
      <c r="U64" s="206">
        <v>3.5778175313059033</v>
      </c>
      <c r="V64" s="3" t="str">
        <f t="shared" si="1"/>
        <v>tetap deteksi</v>
      </c>
    </row>
    <row r="65" spans="1:22" hidden="1" outlineLevel="1" x14ac:dyDescent="0.15">
      <c r="A65" s="8" t="s">
        <v>1970</v>
      </c>
      <c r="B65" s="8"/>
      <c r="C65" s="8" t="s">
        <v>79</v>
      </c>
      <c r="D65" s="8" t="s">
        <v>1225</v>
      </c>
      <c r="E65" s="9">
        <v>37.440000000000005</v>
      </c>
      <c r="F65" s="8" t="s">
        <v>1740</v>
      </c>
      <c r="G65" s="143">
        <v>3570</v>
      </c>
      <c r="H65" s="11">
        <f t="array" ref="H65">[31]Monitoring!H65</f>
        <v>46162</v>
      </c>
      <c r="I65" s="143">
        <f t="array" ref="I65">[31]Monitoring!I65</f>
        <v>339</v>
      </c>
      <c r="J65" s="9">
        <f t="array" ref="J65">IFERROR(I65/G65*100,0)</f>
        <v>9.4957983193277311</v>
      </c>
      <c r="K65" s="143">
        <f t="array" ref="K65">INDEX([32]Monitoring!$J$6:$J$95,MATCH(1,([32]Monitoring!$D$6:$D$95=$D65)*([32]Monitoring!$D$6:$D$95=$D65),0))</f>
        <v>24</v>
      </c>
      <c r="L65" s="9">
        <f t="shared" si="3"/>
        <v>7.0796460176991154</v>
      </c>
      <c r="M65" s="8" t="str">
        <f t="shared" si="2"/>
        <v>Perlu Pengendalian</v>
      </c>
      <c r="N65" s="143"/>
      <c r="O65" s="9"/>
      <c r="Q65" s="206">
        <v>3.75</v>
      </c>
      <c r="R65" s="206">
        <v>2.9761904761904758</v>
      </c>
      <c r="S65" s="206">
        <v>2.4390243902439024</v>
      </c>
      <c r="T65" s="206">
        <v>4.2105263157894735</v>
      </c>
      <c r="U65" s="206">
        <v>3.2490974729241873</v>
      </c>
      <c r="V65" s="3" t="str">
        <f t="shared" si="1"/>
        <v>tetap deteksi</v>
      </c>
    </row>
    <row r="66" spans="1:22" hidden="1" outlineLevel="1" x14ac:dyDescent="0.15">
      <c r="A66" s="8" t="s">
        <v>1970</v>
      </c>
      <c r="B66" s="8"/>
      <c r="C66" s="8" t="s">
        <v>79</v>
      </c>
      <c r="D66" s="8" t="s">
        <v>2017</v>
      </c>
      <c r="E66" s="9">
        <v>30.800000000000004</v>
      </c>
      <c r="F66" s="8" t="s">
        <v>1740</v>
      </c>
      <c r="G66" s="143">
        <v>3320</v>
      </c>
      <c r="H66" s="11">
        <f t="array" ref="H66">[31]Monitoring!H66</f>
        <v>46163</v>
      </c>
      <c r="I66" s="143">
        <f t="array" ref="I66">[31]Monitoring!I66</f>
        <v>589</v>
      </c>
      <c r="J66" s="9">
        <f t="array" ref="J66">IFERROR(I66/G66*100,0)</f>
        <v>17.740963855421686</v>
      </c>
      <c r="K66" s="143">
        <f t="array" ref="K66">INDEX([32]Monitoring!$J$6:$J$95,MATCH(1,([32]Monitoring!$D$6:$D$95=$D66)*([32]Monitoring!$D$6:$D$95=$D66),0))</f>
        <v>24</v>
      </c>
      <c r="L66" s="9">
        <f t="shared" si="3"/>
        <v>4.074702886247878</v>
      </c>
      <c r="M66" s="8" t="str">
        <f t="shared" si="2"/>
        <v>Tidak Perlu Pengendalian</v>
      </c>
      <c r="N66" s="143"/>
      <c r="O66" s="9"/>
      <c r="Q66" s="206">
        <v>2.5</v>
      </c>
      <c r="R66" s="206">
        <v>2.8000000000000003</v>
      </c>
      <c r="S66" s="206">
        <v>4.7904191616766472</v>
      </c>
      <c r="T66" s="206">
        <v>3.75</v>
      </c>
      <c r="U66" s="206">
        <v>3.5416666666666665</v>
      </c>
      <c r="V66" s="3" t="str">
        <f t="shared" si="1"/>
        <v>tetap deteksi</v>
      </c>
    </row>
    <row r="67" spans="1:22" hidden="1" outlineLevel="1" x14ac:dyDescent="0.15">
      <c r="A67" s="8" t="s">
        <v>1970</v>
      </c>
      <c r="B67" s="8"/>
      <c r="C67" s="8" t="s">
        <v>79</v>
      </c>
      <c r="D67" s="8" t="s">
        <v>2018</v>
      </c>
      <c r="E67" s="9">
        <v>26.05</v>
      </c>
      <c r="F67" s="8" t="s">
        <v>1740</v>
      </c>
      <c r="G67" s="143">
        <v>3026</v>
      </c>
      <c r="H67" s="11">
        <f t="array" ref="H67">[31]Monitoring!H67</f>
        <v>46171</v>
      </c>
      <c r="I67" s="143">
        <f t="array" ref="I67">[31]Monitoring!I67</f>
        <v>467</v>
      </c>
      <c r="J67" s="9">
        <f t="array" ref="J67">IFERROR(I67/G67*100,0)</f>
        <v>15.432914738929279</v>
      </c>
      <c r="K67" s="143">
        <f t="array" ref="K67">INDEX([32]Monitoring!$J$6:$J$95,MATCH(1,([32]Monitoring!$D$6:$D$95=$D67)*([32]Monitoring!$D$6:$D$95=$D67),0))</f>
        <v>19</v>
      </c>
      <c r="L67" s="9">
        <f t="shared" si="3"/>
        <v>4.0685224839400433</v>
      </c>
      <c r="M67" s="8" t="str">
        <f t="shared" si="2"/>
        <v>Tidak Perlu Pengendalian</v>
      </c>
      <c r="N67" s="143"/>
      <c r="O67" s="9"/>
      <c r="Q67" s="206">
        <v>3.0927835051546393</v>
      </c>
      <c r="R67" s="206">
        <v>2.7173913043478262</v>
      </c>
      <c r="S67" s="206">
        <v>3.0386740331491713</v>
      </c>
      <c r="T67" s="206">
        <v>1.1111111111111112</v>
      </c>
      <c r="U67" s="206">
        <v>1.364522417153996</v>
      </c>
      <c r="V67" s="3" t="str">
        <f t="shared" si="1"/>
        <v>tetap deteksi</v>
      </c>
    </row>
    <row r="68" spans="1:22" hidden="1" outlineLevel="1" x14ac:dyDescent="0.15">
      <c r="A68" s="8" t="s">
        <v>1970</v>
      </c>
      <c r="B68" s="8"/>
      <c r="C68" s="8" t="s">
        <v>79</v>
      </c>
      <c r="D68" s="8" t="s">
        <v>2019</v>
      </c>
      <c r="E68" s="9">
        <v>32.949999999999996</v>
      </c>
      <c r="F68" s="8" t="s">
        <v>1740</v>
      </c>
      <c r="G68" s="143">
        <v>4337</v>
      </c>
      <c r="H68" s="11">
        <f t="array" ref="H68">[31]Monitoring!H68</f>
        <v>46171</v>
      </c>
      <c r="I68" s="143">
        <f t="array" ref="I68">[31]Monitoring!I68</f>
        <v>753</v>
      </c>
      <c r="J68" s="9">
        <f t="array" ref="J68">IFERROR(I68/G68*100,0)</f>
        <v>17.362231957574359</v>
      </c>
      <c r="K68" s="143">
        <f t="array" ref="K68">INDEX([32]Monitoring!$J$6:$J$95,MATCH(1,([32]Monitoring!$D$6:$D$95=$D68)*([32]Monitoring!$D$6:$D$95=$D68),0))</f>
        <v>41</v>
      </c>
      <c r="L68" s="9">
        <f t="shared" si="3"/>
        <v>5.4448871181938907</v>
      </c>
      <c r="M68" s="8" t="str">
        <f t="shared" si="2"/>
        <v>Perlu Pengendalian</v>
      </c>
      <c r="N68" s="143"/>
      <c r="O68" s="9"/>
      <c r="Q68" s="206">
        <v>6.3829787234042552</v>
      </c>
      <c r="R68" s="206">
        <v>4.3333333333333339</v>
      </c>
      <c r="S68" s="206">
        <v>4.395604395604396</v>
      </c>
      <c r="T68" s="206">
        <v>6.25</v>
      </c>
      <c r="U68" s="206">
        <v>3.5856573705179287</v>
      </c>
      <c r="V68" s="3" t="str">
        <f t="shared" si="1"/>
        <v>perlu sensus</v>
      </c>
    </row>
    <row r="69" spans="1:22" hidden="1" outlineLevel="1" x14ac:dyDescent="0.15">
      <c r="A69" s="8" t="s">
        <v>1970</v>
      </c>
      <c r="B69" s="8"/>
      <c r="C69" s="8" t="s">
        <v>79</v>
      </c>
      <c r="D69" s="8" t="s">
        <v>2020</v>
      </c>
      <c r="E69" s="9">
        <v>46.410000000000004</v>
      </c>
      <c r="F69" s="8" t="s">
        <v>1740</v>
      </c>
      <c r="G69" s="143">
        <v>5514</v>
      </c>
      <c r="H69" s="11">
        <f>[33]Monitoring!$H$69</f>
        <v>46193</v>
      </c>
      <c r="I69" s="143">
        <v>520</v>
      </c>
      <c r="J69" s="9">
        <f t="array" ref="J69">IFERROR(I69/G69*100,0)</f>
        <v>9.4305404425099741</v>
      </c>
      <c r="K69" s="143">
        <v>31</v>
      </c>
      <c r="L69" s="9">
        <f t="shared" si="3"/>
        <v>5.9615384615384617</v>
      </c>
      <c r="M69" s="8" t="str">
        <f t="shared" si="2"/>
        <v>Perlu Pengendalian</v>
      </c>
      <c r="N69" s="143"/>
      <c r="O69" s="9"/>
      <c r="Q69" s="206">
        <v>2.5</v>
      </c>
      <c r="R69" s="206">
        <v>9.2857142857142865</v>
      </c>
      <c r="S69" s="206">
        <v>6.557377049180328</v>
      </c>
      <c r="T69" s="206">
        <v>4.8780487804878048</v>
      </c>
      <c r="U69" s="206">
        <v>4.1162227602905572</v>
      </c>
      <c r="V69" s="3" t="str">
        <f t="shared" si="1"/>
        <v>perlu sensus</v>
      </c>
    </row>
    <row r="70" spans="1:22" outlineLevel="1" x14ac:dyDescent="0.15">
      <c r="A70" s="8" t="s">
        <v>1970</v>
      </c>
      <c r="B70" s="8"/>
      <c r="C70" s="8" t="s">
        <v>79</v>
      </c>
      <c r="D70" s="8" t="s">
        <v>2021</v>
      </c>
      <c r="E70" s="9">
        <v>21.49</v>
      </c>
      <c r="F70" s="8" t="s">
        <v>1740</v>
      </c>
      <c r="G70" s="143">
        <v>2521</v>
      </c>
      <c r="H70" s="11">
        <f t="array" ref="H70">[31]Monitoring!H70</f>
        <v>46157</v>
      </c>
      <c r="I70" s="143">
        <f t="array" ref="I70">[31]Monitoring!I70</f>
        <v>316</v>
      </c>
      <c r="J70" s="9">
        <f t="array" ref="J70">IFERROR(I70/G70*100,0)</f>
        <v>12.534708449028164</v>
      </c>
      <c r="K70" s="143">
        <f t="array" ref="K70">INDEX([32]Monitoring!$J$6:$J$95,MATCH(1,([32]Monitoring!$D$6:$D$95=$D70)*([32]Monitoring!$D$6:$D$95=$D70),0))</f>
        <v>15</v>
      </c>
      <c r="L70" s="9">
        <f t="shared" si="3"/>
        <v>4.7468354430379751</v>
      </c>
      <c r="M70" s="8" t="str">
        <f t="shared" si="2"/>
        <v>Tidak Perlu Pengendalian</v>
      </c>
      <c r="N70" s="143"/>
      <c r="O70" s="9"/>
      <c r="Q70" s="206">
        <v>3.8834951456310676</v>
      </c>
      <c r="R70" s="206">
        <v>3.6144578313253009</v>
      </c>
      <c r="S70" s="206">
        <v>6.8965517241379306</v>
      </c>
      <c r="T70" s="206">
        <v>11.666666666666666</v>
      </c>
      <c r="U70" s="206">
        <v>6.9230769230769234</v>
      </c>
      <c r="V70" s="3" t="str">
        <f t="shared" si="1"/>
        <v>perlu sensus</v>
      </c>
    </row>
    <row r="71" spans="1:22" hidden="1" outlineLevel="1" x14ac:dyDescent="0.15">
      <c r="A71" s="8" t="s">
        <v>1970</v>
      </c>
      <c r="B71" s="8"/>
      <c r="C71" s="8" t="s">
        <v>79</v>
      </c>
      <c r="D71" s="8" t="s">
        <v>2022</v>
      </c>
      <c r="E71" s="9">
        <v>24.209999999999997</v>
      </c>
      <c r="F71" s="8" t="s">
        <v>1740</v>
      </c>
      <c r="G71" s="143">
        <v>3060</v>
      </c>
      <c r="H71" s="11">
        <f>[33]Monitoring!$H$71</f>
        <v>46188</v>
      </c>
      <c r="I71" s="143">
        <v>318</v>
      </c>
      <c r="J71" s="9">
        <f t="array" ref="J71">IFERROR(I71/G71*100,0)</f>
        <v>10.392156862745098</v>
      </c>
      <c r="K71" s="143">
        <v>12</v>
      </c>
      <c r="L71" s="9">
        <f t="shared" si="3"/>
        <v>3.7735849056603774</v>
      </c>
      <c r="M71" s="8" t="str">
        <f t="shared" si="2"/>
        <v>Tidak Perlu Pengendalian</v>
      </c>
      <c r="N71" s="143"/>
      <c r="O71" s="9"/>
      <c r="Q71" s="206">
        <v>8.75</v>
      </c>
      <c r="R71" s="206">
        <v>4.1214750542299354</v>
      </c>
      <c r="S71" s="206">
        <v>3.867403314917127</v>
      </c>
      <c r="T71" s="206">
        <v>3.0612244897959182</v>
      </c>
      <c r="U71" s="206">
        <v>3.0495552731893265</v>
      </c>
      <c r="V71" s="3" t="str">
        <f t="shared" ref="V71:V95" si="4">IF((MAX(Q71:S71)&gt;5),"perlu sensus","tetap deteksi")</f>
        <v>perlu sensus</v>
      </c>
    </row>
    <row r="72" spans="1:22" hidden="1" outlineLevel="1" x14ac:dyDescent="0.15">
      <c r="A72" s="8" t="s">
        <v>1970</v>
      </c>
      <c r="B72" s="8"/>
      <c r="C72" s="8" t="s">
        <v>79</v>
      </c>
      <c r="D72" s="8" t="s">
        <v>2023</v>
      </c>
      <c r="E72" s="9">
        <v>32.549999999999997</v>
      </c>
      <c r="F72" s="8" t="s">
        <v>1740</v>
      </c>
      <c r="G72" s="143">
        <v>4390</v>
      </c>
      <c r="H72" s="11"/>
      <c r="I72" s="143"/>
      <c r="J72" s="9">
        <f t="array" ref="J72">IFERROR(I72/G72*100,0)</f>
        <v>0</v>
      </c>
      <c r="K72" s="143"/>
      <c r="L72" s="9">
        <f t="shared" si="3"/>
        <v>0</v>
      </c>
      <c r="M72" s="8" t="str">
        <f t="shared" ref="M72:M95" si="5">IF(L72&gt;5,"Perlu Pengendalian",IF(AND(L72&gt;=0,I72&gt;0),"Tidak Perlu Pengendalian","Belum Sensus"))</f>
        <v>Belum Sensus</v>
      </c>
      <c r="N72" s="143"/>
      <c r="O72" s="9"/>
      <c r="Q72" s="206">
        <v>4.2553191489361701</v>
      </c>
      <c r="R72" s="206">
        <v>1.5748031496062991</v>
      </c>
      <c r="S72" s="206">
        <v>4.2424242424242431</v>
      </c>
      <c r="T72" s="206">
        <v>4.3010752688172049</v>
      </c>
      <c r="U72" s="206">
        <v>3.4626038781163437</v>
      </c>
      <c r="V72" s="3" t="str">
        <f t="shared" si="4"/>
        <v>tetap deteksi</v>
      </c>
    </row>
    <row r="73" spans="1:22" hidden="1" outlineLevel="1" x14ac:dyDescent="0.15">
      <c r="A73" s="8" t="s">
        <v>1970</v>
      </c>
      <c r="B73" s="8"/>
      <c r="C73" s="8" t="s">
        <v>79</v>
      </c>
      <c r="D73" s="8" t="s">
        <v>2024</v>
      </c>
      <c r="E73" s="9">
        <v>21.83</v>
      </c>
      <c r="F73" s="8" t="s">
        <v>1740</v>
      </c>
      <c r="G73" s="143">
        <v>2333</v>
      </c>
      <c r="H73" s="11">
        <f t="array" ref="H73">[31]Monitoring!H73</f>
        <v>46154</v>
      </c>
      <c r="I73" s="143">
        <f t="array" ref="I73">[31]Monitoring!I73</f>
        <v>295</v>
      </c>
      <c r="J73" s="9">
        <f t="array" ref="J73">IFERROR(I73/G73*100,0)</f>
        <v>12.64466352336048</v>
      </c>
      <c r="K73" s="143">
        <f t="array" ref="K73">INDEX([32]Monitoring!$J$6:$J$95,MATCH(1,([32]Monitoring!$D$6:$D$95=$D73)*([32]Monitoring!$D$6:$D$95=$D73),0))</f>
        <v>10</v>
      </c>
      <c r="L73" s="9">
        <f t="shared" si="3"/>
        <v>3.3898305084745761</v>
      </c>
      <c r="M73" s="8" t="str">
        <f t="shared" si="5"/>
        <v>Tidak Perlu Pengendalian</v>
      </c>
      <c r="N73" s="143"/>
      <c r="O73" s="9"/>
      <c r="Q73" s="206">
        <v>3.75</v>
      </c>
      <c r="R73" s="206">
        <v>3.4090909090909087</v>
      </c>
      <c r="S73" s="206">
        <v>1.6574585635359116</v>
      </c>
      <c r="T73" s="206">
        <v>2.5</v>
      </c>
      <c r="U73" s="206">
        <v>3.2558139534883721</v>
      </c>
      <c r="V73" s="3" t="str">
        <f t="shared" si="4"/>
        <v>tetap deteksi</v>
      </c>
    </row>
    <row r="74" spans="1:22" hidden="1" outlineLevel="1" x14ac:dyDescent="0.15">
      <c r="A74" s="8" t="s">
        <v>1970</v>
      </c>
      <c r="B74" s="8"/>
      <c r="C74" s="8" t="s">
        <v>107</v>
      </c>
      <c r="D74" s="8" t="s">
        <v>1940</v>
      </c>
      <c r="E74" s="9">
        <v>34.03</v>
      </c>
      <c r="F74" s="8" t="s">
        <v>1740</v>
      </c>
      <c r="G74" s="143">
        <v>4075</v>
      </c>
      <c r="H74" s="11"/>
      <c r="I74" s="143"/>
      <c r="J74" s="9">
        <f t="array" ref="J74">IFERROR(I74/G74*100,0)</f>
        <v>0</v>
      </c>
      <c r="K74" s="143"/>
      <c r="L74" s="9">
        <f t="shared" si="3"/>
        <v>0</v>
      </c>
      <c r="M74" s="8" t="str">
        <f t="shared" si="5"/>
        <v>Belum Sensus</v>
      </c>
      <c r="N74" s="143"/>
      <c r="O74" s="9"/>
      <c r="Q74" s="206">
        <v>1.5789473684210527</v>
      </c>
      <c r="R74" s="206">
        <v>1.1019283746556474</v>
      </c>
      <c r="S74" s="206">
        <v>2.7173913043478262</v>
      </c>
      <c r="T74" s="206">
        <v>3.225806451612903</v>
      </c>
      <c r="U74" s="206">
        <v>2.1897810218978102</v>
      </c>
      <c r="V74" s="3" t="str">
        <f t="shared" si="4"/>
        <v>tetap deteksi</v>
      </c>
    </row>
    <row r="75" spans="1:22" hidden="1" outlineLevel="1" x14ac:dyDescent="0.15">
      <c r="A75" s="8" t="s">
        <v>1970</v>
      </c>
      <c r="B75" s="8"/>
      <c r="C75" s="8" t="s">
        <v>107</v>
      </c>
      <c r="D75" s="8" t="s">
        <v>2025</v>
      </c>
      <c r="E75" s="9">
        <v>36.299999999999997</v>
      </c>
      <c r="F75" s="8" t="s">
        <v>1740</v>
      </c>
      <c r="G75" s="143">
        <v>3663</v>
      </c>
      <c r="H75" s="11">
        <f>[33]Monitoring!$H$75</f>
        <v>46191</v>
      </c>
      <c r="I75" s="143">
        <v>339</v>
      </c>
      <c r="J75" s="9">
        <f t="array" ref="J75">IFERROR(I75/G75*100,0)</f>
        <v>9.2547092547092547</v>
      </c>
      <c r="K75" s="143">
        <v>13</v>
      </c>
      <c r="L75" s="9">
        <f t="shared" si="3"/>
        <v>3.8348082595870205</v>
      </c>
      <c r="M75" s="8" t="str">
        <f t="shared" si="5"/>
        <v>Tidak Perlu Pengendalian</v>
      </c>
      <c r="N75" s="143"/>
      <c r="O75" s="9"/>
      <c r="Q75" s="206">
        <v>6.666666666666667</v>
      </c>
      <c r="R75" s="206">
        <v>4.4692737430167595</v>
      </c>
      <c r="S75" s="206">
        <v>3.0303030303030303</v>
      </c>
      <c r="T75" s="206">
        <v>2.2727272727272729</v>
      </c>
      <c r="U75" s="206">
        <v>1.7515923566878981</v>
      </c>
      <c r="V75" s="3" t="str">
        <f t="shared" si="4"/>
        <v>perlu sensus</v>
      </c>
    </row>
    <row r="76" spans="1:22" hidden="1" outlineLevel="1" x14ac:dyDescent="0.15">
      <c r="A76" s="8" t="s">
        <v>1970</v>
      </c>
      <c r="B76" s="8"/>
      <c r="C76" s="8" t="s">
        <v>107</v>
      </c>
      <c r="D76" s="8" t="s">
        <v>1220</v>
      </c>
      <c r="E76" s="9">
        <v>28.929999999999993</v>
      </c>
      <c r="F76" s="8" t="s">
        <v>1740</v>
      </c>
      <c r="G76" s="143">
        <v>2575</v>
      </c>
      <c r="H76" s="11"/>
      <c r="I76" s="143"/>
      <c r="J76" s="9">
        <f t="array" ref="J76">IFERROR(I76/G76*100,0)</f>
        <v>0</v>
      </c>
      <c r="K76" s="143"/>
      <c r="L76" s="9">
        <f t="shared" si="3"/>
        <v>0</v>
      </c>
      <c r="M76" s="8" t="str">
        <f t="shared" si="5"/>
        <v>Belum Sensus</v>
      </c>
      <c r="N76" s="143"/>
      <c r="O76" s="9"/>
      <c r="Q76" s="206">
        <v>2.6785714285714284</v>
      </c>
      <c r="R76" s="206">
        <v>3.0674846625766872</v>
      </c>
      <c r="S76" s="206">
        <v>2.1857923497267762</v>
      </c>
      <c r="T76" s="206">
        <v>3.7037037037037033</v>
      </c>
      <c r="U76" s="206">
        <v>3.5593220338983054</v>
      </c>
      <c r="V76" s="3" t="str">
        <f t="shared" si="4"/>
        <v>tetap deteksi</v>
      </c>
    </row>
    <row r="77" spans="1:22" hidden="1" outlineLevel="1" x14ac:dyDescent="0.15">
      <c r="A77" s="8" t="s">
        <v>1970</v>
      </c>
      <c r="B77" s="8"/>
      <c r="C77" s="8" t="s">
        <v>107</v>
      </c>
      <c r="D77" s="8" t="s">
        <v>1226</v>
      </c>
      <c r="E77" s="9">
        <v>24.419999999999998</v>
      </c>
      <c r="F77" s="8" t="s">
        <v>1740</v>
      </c>
      <c r="G77" s="143">
        <v>2376</v>
      </c>
      <c r="H77" s="11"/>
      <c r="I77" s="143"/>
      <c r="J77" s="9">
        <f t="array" ref="J77">IFERROR(I77/G77*100,0)</f>
        <v>0</v>
      </c>
      <c r="K77" s="143"/>
      <c r="L77" s="9">
        <f t="shared" si="3"/>
        <v>0</v>
      </c>
      <c r="M77" s="8" t="str">
        <f t="shared" si="5"/>
        <v>Belum Sensus</v>
      </c>
      <c r="N77" s="143"/>
      <c r="O77" s="9"/>
      <c r="Q77" s="206">
        <v>0</v>
      </c>
      <c r="R77" s="206">
        <v>3.3333333333333335</v>
      </c>
      <c r="S77" s="206">
        <v>1.5625</v>
      </c>
      <c r="T77" s="206">
        <v>4.5</v>
      </c>
      <c r="U77" s="206">
        <v>3.7831021437578811</v>
      </c>
      <c r="V77" s="3" t="str">
        <f t="shared" si="4"/>
        <v>tetap deteksi</v>
      </c>
    </row>
    <row r="78" spans="1:22" hidden="1" outlineLevel="1" x14ac:dyDescent="0.15">
      <c r="A78" s="8" t="s">
        <v>1970</v>
      </c>
      <c r="B78" s="8"/>
      <c r="C78" s="8" t="s">
        <v>107</v>
      </c>
      <c r="D78" s="8" t="s">
        <v>1926</v>
      </c>
      <c r="E78" s="9">
        <v>46.250000000000007</v>
      </c>
      <c r="F78" s="8" t="s">
        <v>1740</v>
      </c>
      <c r="G78" s="143">
        <v>4707</v>
      </c>
      <c r="H78" s="11"/>
      <c r="I78" s="143"/>
      <c r="J78" s="9">
        <f t="array" ref="J78">IFERROR(I78/G78*100,0)</f>
        <v>0</v>
      </c>
      <c r="K78" s="143"/>
      <c r="L78" s="9">
        <f t="shared" si="3"/>
        <v>0</v>
      </c>
      <c r="M78" s="8" t="str">
        <f t="shared" si="5"/>
        <v>Belum Sensus</v>
      </c>
      <c r="N78" s="143"/>
      <c r="O78" s="9"/>
      <c r="Q78" s="206">
        <v>2.2222222222222223</v>
      </c>
      <c r="R78" s="206">
        <v>2.8268551236749118</v>
      </c>
      <c r="S78" s="206">
        <v>2.6936026936026933</v>
      </c>
      <c r="T78" s="206">
        <v>2.0618556701030926</v>
      </c>
      <c r="U78" s="206">
        <v>2.4296675191815855</v>
      </c>
      <c r="V78" s="3" t="str">
        <f t="shared" si="4"/>
        <v>tetap deteksi</v>
      </c>
    </row>
    <row r="79" spans="1:22" hidden="1" outlineLevel="1" x14ac:dyDescent="0.15">
      <c r="A79" s="8" t="s">
        <v>1970</v>
      </c>
      <c r="B79" s="8"/>
      <c r="C79" s="8" t="s">
        <v>107</v>
      </c>
      <c r="D79" s="8" t="s">
        <v>1247</v>
      </c>
      <c r="E79" s="9">
        <v>24.919999999999998</v>
      </c>
      <c r="F79" s="8" t="s">
        <v>1740</v>
      </c>
      <c r="G79" s="143">
        <v>2718</v>
      </c>
      <c r="H79" s="11">
        <f t="array" ref="H79">[31]Monitoring!H79</f>
        <v>46164</v>
      </c>
      <c r="I79" s="143">
        <f t="array" ref="I79">[31]Monitoring!I79</f>
        <v>258</v>
      </c>
      <c r="J79" s="9">
        <f t="array" ref="J79">IFERROR(I79/G79*100,0)</f>
        <v>9.4922737306843263</v>
      </c>
      <c r="K79" s="143">
        <f t="array" ref="K79">INDEX([32]Monitoring!$J$6:$J$95,MATCH(1,([32]Monitoring!$D$6:$D$95=$D79)*([32]Monitoring!$D$6:$D$95=$D79),0))</f>
        <v>6</v>
      </c>
      <c r="L79" s="9">
        <f t="shared" si="3"/>
        <v>2.3255813953488373</v>
      </c>
      <c r="M79" s="8" t="str">
        <f t="shared" si="5"/>
        <v>Tidak Perlu Pengendalian</v>
      </c>
      <c r="N79" s="143"/>
      <c r="O79" s="9"/>
      <c r="Q79" s="206">
        <v>2.2471910112359552</v>
      </c>
      <c r="R79" s="206">
        <v>1.6248153618906942</v>
      </c>
      <c r="S79" s="206">
        <v>2.8125</v>
      </c>
      <c r="T79" s="206">
        <v>4.1666666666666661</v>
      </c>
      <c r="U79" s="206">
        <v>2.954209748892171</v>
      </c>
      <c r="V79" s="3" t="str">
        <f t="shared" si="4"/>
        <v>tetap deteksi</v>
      </c>
    </row>
    <row r="80" spans="1:22" hidden="1" outlineLevel="1" x14ac:dyDescent="0.15">
      <c r="A80" s="8" t="s">
        <v>1970</v>
      </c>
      <c r="B80" s="8"/>
      <c r="C80" s="8" t="s">
        <v>107</v>
      </c>
      <c r="D80" s="8" t="s">
        <v>1248</v>
      </c>
      <c r="E80" s="9">
        <v>29.77</v>
      </c>
      <c r="F80" s="8" t="s">
        <v>1740</v>
      </c>
      <c r="G80" s="143">
        <v>3324</v>
      </c>
      <c r="H80" s="11"/>
      <c r="I80" s="143"/>
      <c r="J80" s="9">
        <f t="array" ref="J80">IFERROR(I80/G80*100,0)</f>
        <v>0</v>
      </c>
      <c r="K80" s="143"/>
      <c r="L80" s="9">
        <f t="shared" si="3"/>
        <v>0</v>
      </c>
      <c r="M80" s="8" t="str">
        <f t="shared" si="5"/>
        <v>Belum Sensus</v>
      </c>
      <c r="N80" s="143"/>
      <c r="O80" s="9"/>
      <c r="Q80" s="206">
        <v>4.4444444444444446</v>
      </c>
      <c r="R80" s="206">
        <v>3.4188034188034191</v>
      </c>
      <c r="S80" s="206">
        <v>2.6595744680851063</v>
      </c>
      <c r="T80" s="206">
        <v>2.1052631578947367</v>
      </c>
      <c r="U80" s="206">
        <v>2.5</v>
      </c>
      <c r="V80" s="3" t="str">
        <f t="shared" si="4"/>
        <v>tetap deteksi</v>
      </c>
    </row>
    <row r="81" spans="1:22" hidden="1" outlineLevel="1" x14ac:dyDescent="0.15">
      <c r="A81" s="8" t="s">
        <v>1970</v>
      </c>
      <c r="B81" s="8"/>
      <c r="C81" s="8" t="s">
        <v>107</v>
      </c>
      <c r="D81" s="8" t="s">
        <v>1468</v>
      </c>
      <c r="E81" s="9">
        <v>42.19</v>
      </c>
      <c r="F81" s="8" t="s">
        <v>1740</v>
      </c>
      <c r="G81" s="143">
        <v>3975</v>
      </c>
      <c r="H81" s="11"/>
      <c r="I81" s="143"/>
      <c r="J81" s="9">
        <f t="array" ref="J81">IFERROR(I81/G81*100,0)</f>
        <v>0</v>
      </c>
      <c r="K81" s="143"/>
      <c r="L81" s="9">
        <f t="shared" si="3"/>
        <v>0</v>
      </c>
      <c r="M81" s="8" t="str">
        <f t="shared" si="5"/>
        <v>Belum Sensus</v>
      </c>
      <c r="N81" s="143"/>
      <c r="O81" s="9"/>
      <c r="Q81" s="206">
        <v>2.5974025974025974</v>
      </c>
      <c r="R81" s="206">
        <v>3.7453183520599254</v>
      </c>
      <c r="S81" s="206">
        <v>4.3243243243243246</v>
      </c>
      <c r="T81" s="206">
        <v>3.3707865168539324</v>
      </c>
      <c r="U81" s="206">
        <v>2.4528301886792456</v>
      </c>
      <c r="V81" s="3" t="str">
        <f t="shared" si="4"/>
        <v>tetap deteksi</v>
      </c>
    </row>
    <row r="82" spans="1:22" hidden="1" outlineLevel="1" x14ac:dyDescent="0.15">
      <c r="A82" s="8" t="s">
        <v>1970</v>
      </c>
      <c r="B82" s="8"/>
      <c r="C82" s="8" t="s">
        <v>107</v>
      </c>
      <c r="D82" s="8" t="s">
        <v>2026</v>
      </c>
      <c r="E82" s="9">
        <v>40.64</v>
      </c>
      <c r="F82" s="8" t="s">
        <v>1740</v>
      </c>
      <c r="G82" s="143">
        <v>5609</v>
      </c>
      <c r="H82" s="11"/>
      <c r="I82" s="143"/>
      <c r="J82" s="9">
        <f t="array" ref="J82">IFERROR(I82/G82*100,0)</f>
        <v>0</v>
      </c>
      <c r="K82" s="143"/>
      <c r="L82" s="9">
        <f t="shared" si="3"/>
        <v>0</v>
      </c>
      <c r="M82" s="8" t="str">
        <f t="shared" si="5"/>
        <v>Belum Sensus</v>
      </c>
      <c r="N82" s="143"/>
      <c r="O82" s="9"/>
      <c r="Q82" s="206">
        <v>4.4444444444444446</v>
      </c>
      <c r="R82" s="206">
        <v>2.6881720430107525</v>
      </c>
      <c r="S82" s="206">
        <v>3.3707865168539324</v>
      </c>
      <c r="T82" s="206">
        <v>2.0202020202020203</v>
      </c>
      <c r="U82" s="206">
        <v>1.4010507880910683</v>
      </c>
      <c r="V82" s="3" t="str">
        <f t="shared" si="4"/>
        <v>tetap deteksi</v>
      </c>
    </row>
    <row r="83" spans="1:22" hidden="1" outlineLevel="1" x14ac:dyDescent="0.15">
      <c r="A83" s="177" t="s">
        <v>1970</v>
      </c>
      <c r="B83" s="8"/>
      <c r="C83" s="8" t="s">
        <v>107</v>
      </c>
      <c r="D83" s="8" t="s">
        <v>2027</v>
      </c>
      <c r="E83" s="9">
        <v>32.260000000000005</v>
      </c>
      <c r="F83" s="8" t="s">
        <v>1740</v>
      </c>
      <c r="G83" s="143">
        <v>3855</v>
      </c>
      <c r="H83" s="11"/>
      <c r="I83" s="143"/>
      <c r="J83" s="9">
        <f t="array" ref="J83">IFERROR(I83/G83*100,0)</f>
        <v>0</v>
      </c>
      <c r="K83" s="143"/>
      <c r="L83" s="9">
        <f t="shared" si="3"/>
        <v>0</v>
      </c>
      <c r="M83" s="8" t="str">
        <f t="shared" si="5"/>
        <v>Belum Sensus</v>
      </c>
      <c r="N83" s="143"/>
      <c r="O83" s="9"/>
      <c r="Q83" s="206">
        <v>8.75</v>
      </c>
      <c r="R83" s="206">
        <v>0</v>
      </c>
      <c r="S83" s="206">
        <v>0</v>
      </c>
      <c r="T83" s="206">
        <v>0</v>
      </c>
      <c r="U83" s="206">
        <v>0</v>
      </c>
      <c r="V83" s="3" t="str">
        <f t="shared" si="4"/>
        <v>perlu sensus</v>
      </c>
    </row>
    <row r="84" spans="1:22" hidden="1" outlineLevel="1" x14ac:dyDescent="0.15">
      <c r="A84" s="8" t="s">
        <v>1970</v>
      </c>
      <c r="B84" s="8"/>
      <c r="C84" s="8" t="s">
        <v>107</v>
      </c>
      <c r="D84" s="8" t="s">
        <v>2028</v>
      </c>
      <c r="E84" s="9">
        <v>33.6</v>
      </c>
      <c r="F84" s="8" t="s">
        <v>1740</v>
      </c>
      <c r="G84" s="143">
        <v>3952</v>
      </c>
      <c r="H84" s="11">
        <f t="array" ref="H84">[31]Monitoring!H84</f>
        <v>46157</v>
      </c>
      <c r="I84" s="143">
        <f t="array" ref="I84">[31]Monitoring!I84</f>
        <v>587</v>
      </c>
      <c r="J84" s="9">
        <f t="array" ref="J84">IFERROR(I84/G84*100,0)</f>
        <v>14.853238866396762</v>
      </c>
      <c r="K84" s="143">
        <f t="array" ref="K84">INDEX([32]Monitoring!$J$6:$J$95,MATCH(1,([32]Monitoring!$D$6:$D$95=$D84)*([32]Monitoring!$D$6:$D$95=$D84),0))</f>
        <v>19</v>
      </c>
      <c r="L84" s="9">
        <f t="shared" ref="L84:L95" si="6">IFERROR(K84/I84*100,0)</f>
        <v>3.2367972742759794</v>
      </c>
      <c r="M84" s="8" t="str">
        <f t="shared" si="5"/>
        <v>Tidak Perlu Pengendalian</v>
      </c>
      <c r="N84" s="143"/>
      <c r="O84" s="9"/>
      <c r="Q84" s="206">
        <v>2.3047375160051216</v>
      </c>
      <c r="R84" s="206">
        <v>2.2727272727272729</v>
      </c>
      <c r="S84" s="206">
        <v>2.9739776951672861</v>
      </c>
      <c r="T84" s="206">
        <v>3.8461538461538463</v>
      </c>
      <c r="U84" s="206">
        <v>3.0751708428246016</v>
      </c>
      <c r="V84" s="3" t="str">
        <f t="shared" si="4"/>
        <v>tetap deteksi</v>
      </c>
    </row>
    <row r="85" spans="1:22" hidden="1" outlineLevel="1" x14ac:dyDescent="0.15">
      <c r="A85" s="8" t="s">
        <v>1970</v>
      </c>
      <c r="B85" s="8"/>
      <c r="C85" s="8" t="s">
        <v>107</v>
      </c>
      <c r="D85" s="8" t="s">
        <v>2029</v>
      </c>
      <c r="E85" s="9">
        <v>34.24</v>
      </c>
      <c r="F85" s="8" t="s">
        <v>1740</v>
      </c>
      <c r="G85" s="143">
        <v>3736</v>
      </c>
      <c r="H85" s="11">
        <f t="array" ref="H85">[31]Monitoring!H85</f>
        <v>46171</v>
      </c>
      <c r="I85" s="143">
        <f t="array" ref="I85">[31]Monitoring!I85</f>
        <v>438</v>
      </c>
      <c r="J85" s="9">
        <f t="array" ref="J85">IFERROR(I85/G85*100,0)</f>
        <v>11.723768736616702</v>
      </c>
      <c r="K85" s="143">
        <f t="array" ref="K85">INDEX([32]Monitoring!$J$6:$J$95,MATCH(1,([32]Monitoring!$D$6:$D$95=$D85)*([32]Monitoring!$D$6:$D$95=$D85),0))</f>
        <v>0</v>
      </c>
      <c r="L85" s="9">
        <f t="shared" si="6"/>
        <v>0</v>
      </c>
      <c r="M85" s="8" t="str">
        <f t="shared" si="5"/>
        <v>Tidak Perlu Pengendalian</v>
      </c>
      <c r="N85" s="143"/>
      <c r="O85" s="9"/>
      <c r="Q85" s="206">
        <v>1.1764705882352942</v>
      </c>
      <c r="R85" s="206">
        <v>2.1276595744680851</v>
      </c>
      <c r="S85" s="206">
        <v>1.6460905349794239</v>
      </c>
      <c r="T85" s="206">
        <v>4.0816326530612246</v>
      </c>
      <c r="U85" s="206">
        <v>3.511705685618729</v>
      </c>
      <c r="V85" s="3" t="str">
        <f t="shared" si="4"/>
        <v>tetap deteksi</v>
      </c>
    </row>
    <row r="86" spans="1:22" hidden="1" outlineLevel="1" x14ac:dyDescent="0.15">
      <c r="A86" s="8" t="s">
        <v>1970</v>
      </c>
      <c r="B86" s="8"/>
      <c r="C86" s="8" t="s">
        <v>107</v>
      </c>
      <c r="D86" s="8" t="s">
        <v>2030</v>
      </c>
      <c r="E86" s="9">
        <v>28.169999999999998</v>
      </c>
      <c r="F86" s="8" t="s">
        <v>1740</v>
      </c>
      <c r="G86" s="143">
        <v>2688</v>
      </c>
      <c r="H86" s="11">
        <f t="array" ref="H86">[31]Monitoring!H86</f>
        <v>46171</v>
      </c>
      <c r="I86" s="143">
        <f t="array" ref="I86">[31]Monitoring!I86</f>
        <v>364</v>
      </c>
      <c r="J86" s="9">
        <f t="array" ref="J86">IFERROR(I86/G86*100,0)</f>
        <v>13.541666666666666</v>
      </c>
      <c r="K86" s="143">
        <f t="array" ref="K86">INDEX([32]Monitoring!$J$6:$J$95,MATCH(1,([32]Monitoring!$D$6:$D$95=$D86)*([32]Monitoring!$D$6:$D$95=$D86),0))</f>
        <v>0</v>
      </c>
      <c r="L86" s="9">
        <f t="shared" si="6"/>
        <v>0</v>
      </c>
      <c r="M86" s="8" t="str">
        <f t="shared" si="5"/>
        <v>Tidak Perlu Pengendalian</v>
      </c>
      <c r="N86" s="143"/>
      <c r="O86" s="9"/>
      <c r="Q86" s="206">
        <v>2.2471910112359552</v>
      </c>
      <c r="R86" s="206">
        <v>1.0869565217391304</v>
      </c>
      <c r="S86" s="206">
        <v>2.2598870056497176</v>
      </c>
      <c r="T86" s="206">
        <v>2.1390374331550799</v>
      </c>
      <c r="U86" s="206">
        <v>2.2503516174402249</v>
      </c>
      <c r="V86" s="3" t="str">
        <f t="shared" si="4"/>
        <v>tetap deteksi</v>
      </c>
    </row>
    <row r="87" spans="1:22" hidden="1" outlineLevel="1" x14ac:dyDescent="0.15">
      <c r="A87" s="8" t="s">
        <v>1970</v>
      </c>
      <c r="B87" s="8"/>
      <c r="C87" s="8" t="s">
        <v>107</v>
      </c>
      <c r="D87" s="8" t="s">
        <v>2031</v>
      </c>
      <c r="E87" s="9">
        <v>35.589999999999996</v>
      </c>
      <c r="F87" s="8" t="s">
        <v>1740</v>
      </c>
      <c r="G87" s="143">
        <v>3928</v>
      </c>
      <c r="H87" s="11"/>
      <c r="I87" s="143"/>
      <c r="J87" s="9">
        <f t="array" ref="J87">IFERROR(I87/G87*100,0)</f>
        <v>0</v>
      </c>
      <c r="K87" s="143"/>
      <c r="L87" s="9">
        <f t="shared" si="6"/>
        <v>0</v>
      </c>
      <c r="M87" s="8" t="str">
        <f t="shared" si="5"/>
        <v>Belum Sensus</v>
      </c>
      <c r="N87" s="143"/>
      <c r="O87" s="9"/>
      <c r="Q87" s="206">
        <v>2.7027027027027026</v>
      </c>
      <c r="R87" s="206">
        <v>3.9370078740157481</v>
      </c>
      <c r="S87" s="206">
        <v>2.8368794326241136</v>
      </c>
      <c r="T87" s="206">
        <v>3.3492822966507179</v>
      </c>
      <c r="U87" s="206">
        <v>3.1353135313531353</v>
      </c>
      <c r="V87" s="3" t="str">
        <f t="shared" si="4"/>
        <v>tetap deteksi</v>
      </c>
    </row>
    <row r="88" spans="1:22" hidden="1" outlineLevel="1" x14ac:dyDescent="0.15">
      <c r="A88" s="8" t="s">
        <v>1970</v>
      </c>
      <c r="B88" s="8"/>
      <c r="C88" s="8" t="s">
        <v>107</v>
      </c>
      <c r="D88" s="8" t="s">
        <v>2032</v>
      </c>
      <c r="E88" s="9">
        <v>26.130000000000003</v>
      </c>
      <c r="F88" s="8" t="s">
        <v>1740</v>
      </c>
      <c r="G88" s="143">
        <v>3101</v>
      </c>
      <c r="H88" s="11"/>
      <c r="I88" s="143"/>
      <c r="J88" s="9">
        <f t="array" ref="J88">IFERROR(I88/G88*100,0)</f>
        <v>0</v>
      </c>
      <c r="K88" s="143"/>
      <c r="L88" s="9">
        <f t="shared" si="6"/>
        <v>0</v>
      </c>
      <c r="M88" s="8" t="str">
        <f t="shared" si="5"/>
        <v>Belum Sensus</v>
      </c>
      <c r="N88" s="143"/>
      <c r="O88" s="9"/>
      <c r="Q88" s="206">
        <v>1.6574585635359116</v>
      </c>
      <c r="R88" s="206">
        <v>3.8152610441767072</v>
      </c>
      <c r="S88" s="206">
        <v>2.7027027027027026</v>
      </c>
      <c r="T88" s="206">
        <v>4.0816326530612246</v>
      </c>
      <c r="U88" s="206">
        <v>3.1331592689295036</v>
      </c>
      <c r="V88" s="3" t="str">
        <f t="shared" si="4"/>
        <v>tetap deteksi</v>
      </c>
    </row>
    <row r="89" spans="1:22" hidden="1" outlineLevel="1" x14ac:dyDescent="0.15">
      <c r="A89" s="8" t="s">
        <v>1970</v>
      </c>
      <c r="B89" s="8"/>
      <c r="C89" s="8" t="s">
        <v>107</v>
      </c>
      <c r="D89" s="8" t="s">
        <v>2033</v>
      </c>
      <c r="E89" s="9">
        <v>30.040000000000003</v>
      </c>
      <c r="F89" s="8" t="s">
        <v>1740</v>
      </c>
      <c r="G89" s="143">
        <v>3455</v>
      </c>
      <c r="H89" s="11">
        <f>[33]Monitoring!$H$89</f>
        <v>46191</v>
      </c>
      <c r="I89" s="143">
        <v>351</v>
      </c>
      <c r="J89" s="9">
        <f t="array" ref="J89">IFERROR(I89/G89*100,0)</f>
        <v>10.159189580318378</v>
      </c>
      <c r="K89" s="143">
        <v>14</v>
      </c>
      <c r="L89" s="9">
        <f t="shared" si="6"/>
        <v>3.9886039886039883</v>
      </c>
      <c r="M89" s="8" t="str">
        <f t="shared" si="5"/>
        <v>Tidak Perlu Pengendalian</v>
      </c>
      <c r="N89" s="143"/>
      <c r="O89" s="9"/>
      <c r="Q89" s="206">
        <v>15.384615384615385</v>
      </c>
      <c r="R89" s="206">
        <v>3.9260969976905313</v>
      </c>
      <c r="S89" s="206">
        <v>1.25</v>
      </c>
      <c r="T89" s="206">
        <v>2.5641025641025639</v>
      </c>
      <c r="U89" s="206">
        <v>2.3255813953488373</v>
      </c>
      <c r="V89" s="3" t="str">
        <f t="shared" si="4"/>
        <v>perlu sensus</v>
      </c>
    </row>
    <row r="90" spans="1:22" hidden="1" outlineLevel="1" x14ac:dyDescent="0.15">
      <c r="A90" s="8" t="s">
        <v>1970</v>
      </c>
      <c r="B90" s="8"/>
      <c r="C90" s="8" t="s">
        <v>107</v>
      </c>
      <c r="D90" s="8" t="s">
        <v>2034</v>
      </c>
      <c r="E90" s="9">
        <v>31.84</v>
      </c>
      <c r="F90" s="8" t="s">
        <v>1740</v>
      </c>
      <c r="G90" s="143">
        <v>3760</v>
      </c>
      <c r="H90" s="11">
        <f t="array" ref="H90">[31]Monitoring!H90</f>
        <v>46171</v>
      </c>
      <c r="I90" s="143">
        <f t="array" ref="I90">[31]Monitoring!I90</f>
        <v>830</v>
      </c>
      <c r="J90" s="9">
        <f t="array" ref="J90">IFERROR(I90/G90*100,0)</f>
        <v>22.074468085106382</v>
      </c>
      <c r="K90" s="143">
        <f t="array" ref="K90">INDEX([32]Monitoring!$J$6:$J$95,MATCH(1,([32]Monitoring!$D$6:$D$95=$D90)*([32]Monitoring!$D$6:$D$95=$D90),0))</f>
        <v>12</v>
      </c>
      <c r="L90" s="9">
        <f t="shared" si="6"/>
        <v>1.4457831325301205</v>
      </c>
      <c r="M90" s="8" t="str">
        <f t="shared" si="5"/>
        <v>Tidak Perlu Pengendalian</v>
      </c>
      <c r="N90" s="143"/>
      <c r="O90" s="9"/>
      <c r="Q90" s="206">
        <v>2.1505376344086025</v>
      </c>
      <c r="R90" s="206">
        <v>4.3165467625899279</v>
      </c>
      <c r="S90" s="206">
        <v>4.1362530413625302</v>
      </c>
      <c r="T90" s="206">
        <v>1.4492753623188406</v>
      </c>
      <c r="U90" s="206">
        <v>2.1897810218978102</v>
      </c>
      <c r="V90" s="3" t="str">
        <f t="shared" si="4"/>
        <v>tetap deteksi</v>
      </c>
    </row>
    <row r="91" spans="1:22" hidden="1" outlineLevel="1" x14ac:dyDescent="0.15">
      <c r="A91" s="177" t="s">
        <v>1970</v>
      </c>
      <c r="B91" s="8"/>
      <c r="C91" s="8" t="s">
        <v>107</v>
      </c>
      <c r="D91" s="8" t="s">
        <v>2035</v>
      </c>
      <c r="E91" s="9">
        <v>25.489999999999995</v>
      </c>
      <c r="F91" s="8" t="s">
        <v>1740</v>
      </c>
      <c r="G91" s="143">
        <v>2481</v>
      </c>
      <c r="H91" s="11"/>
      <c r="I91" s="143"/>
      <c r="J91" s="9">
        <f t="array" ref="J91">IFERROR(I91/G91*100,0)</f>
        <v>0</v>
      </c>
      <c r="K91" s="143"/>
      <c r="L91" s="9">
        <f t="shared" si="6"/>
        <v>0</v>
      </c>
      <c r="M91" s="8" t="str">
        <f t="shared" si="5"/>
        <v>Belum Sensus</v>
      </c>
      <c r="N91" s="143"/>
      <c r="O91" s="9"/>
      <c r="Q91" s="206">
        <v>2.3255813953488373</v>
      </c>
      <c r="R91" s="206">
        <v>5.2434456928838955</v>
      </c>
      <c r="S91" s="206">
        <v>3.5971223021582732</v>
      </c>
      <c r="T91" s="206">
        <v>2.1739130434782608</v>
      </c>
      <c r="U91" s="206">
        <v>2.2869022869022873</v>
      </c>
      <c r="V91" s="3" t="str">
        <f t="shared" si="4"/>
        <v>perlu sensus</v>
      </c>
    </row>
    <row r="92" spans="1:22" hidden="1" outlineLevel="1" x14ac:dyDescent="0.15">
      <c r="A92" s="8" t="s">
        <v>1970</v>
      </c>
      <c r="B92" s="8"/>
      <c r="C92" s="8" t="s">
        <v>107</v>
      </c>
      <c r="D92" s="8" t="s">
        <v>2036</v>
      </c>
      <c r="E92" s="9">
        <v>32.97</v>
      </c>
      <c r="F92" s="8" t="s">
        <v>1740</v>
      </c>
      <c r="G92" s="143">
        <v>3515</v>
      </c>
      <c r="H92" s="11">
        <f t="array" ref="H92">[31]Monitoring!H92</f>
        <v>46162</v>
      </c>
      <c r="I92" s="143">
        <f t="array" ref="I92">[31]Monitoring!I92</f>
        <v>360</v>
      </c>
      <c r="J92" s="9">
        <f t="array" ref="J92">IFERROR(I92/G92*100,0)</f>
        <v>10.241820768136558</v>
      </c>
      <c r="K92" s="143">
        <f t="array" ref="K92">INDEX([32]Monitoring!$J$6:$J$95,MATCH(1,([32]Monitoring!$D$6:$D$95=$D92)*([32]Monitoring!$D$6:$D$95=$D92),0))</f>
        <v>15</v>
      </c>
      <c r="L92" s="9">
        <f t="shared" si="6"/>
        <v>4.1666666666666661</v>
      </c>
      <c r="M92" s="8" t="str">
        <f t="shared" si="5"/>
        <v>Tidak Perlu Pengendalian</v>
      </c>
      <c r="N92" s="143"/>
      <c r="O92" s="9"/>
      <c r="Q92" s="206">
        <v>4.1666666666666661</v>
      </c>
      <c r="R92" s="206">
        <v>3.4883720930232558</v>
      </c>
      <c r="S92" s="206">
        <v>3.9548022598870061</v>
      </c>
      <c r="T92" s="206">
        <v>8.3333333333333321</v>
      </c>
      <c r="U92" s="206">
        <v>4.5375218150087253</v>
      </c>
      <c r="V92" s="3" t="str">
        <f t="shared" si="4"/>
        <v>tetap deteksi</v>
      </c>
    </row>
    <row r="93" spans="1:22" hidden="1" outlineLevel="1" x14ac:dyDescent="0.15">
      <c r="A93" s="8" t="s">
        <v>1970</v>
      </c>
      <c r="B93" s="8"/>
      <c r="C93" s="8" t="s">
        <v>107</v>
      </c>
      <c r="D93" s="8" t="s">
        <v>2037</v>
      </c>
      <c r="E93" s="9">
        <v>33.019999999999996</v>
      </c>
      <c r="F93" s="8" t="s">
        <v>1740</v>
      </c>
      <c r="G93" s="143">
        <v>3279</v>
      </c>
      <c r="H93" s="11">
        <f>[33]Monitoring!$H$93</f>
        <v>46191</v>
      </c>
      <c r="I93" s="143">
        <v>331</v>
      </c>
      <c r="J93" s="9">
        <f t="array" ref="J93">IFERROR(I93/G93*100,0)</f>
        <v>10.094541018603232</v>
      </c>
      <c r="K93" s="143">
        <v>11</v>
      </c>
      <c r="L93" s="9">
        <f t="shared" si="6"/>
        <v>3.3232628398791544</v>
      </c>
      <c r="M93" s="8" t="str">
        <f t="shared" si="5"/>
        <v>Tidak Perlu Pengendalian</v>
      </c>
      <c r="N93" s="143"/>
      <c r="O93" s="9"/>
      <c r="Q93" s="206">
        <v>4.7120418848167542</v>
      </c>
      <c r="R93" s="206">
        <v>6.4516129032258061</v>
      </c>
      <c r="S93" s="206">
        <v>1.7142857142857144</v>
      </c>
      <c r="T93" s="206">
        <v>2.7173913043478262</v>
      </c>
      <c r="U93" s="206">
        <v>2.6690391459074734</v>
      </c>
      <c r="V93" s="3" t="str">
        <f t="shared" si="4"/>
        <v>perlu sensus</v>
      </c>
    </row>
    <row r="94" spans="1:22" outlineLevel="1" x14ac:dyDescent="0.15">
      <c r="A94" s="8" t="s">
        <v>1970</v>
      </c>
      <c r="B94" s="8"/>
      <c r="C94" s="8" t="s">
        <v>107</v>
      </c>
      <c r="D94" s="8" t="s">
        <v>2038</v>
      </c>
      <c r="E94" s="9">
        <v>31.650000000000006</v>
      </c>
      <c r="F94" s="8" t="s">
        <v>1740</v>
      </c>
      <c r="G94" s="143">
        <v>2915</v>
      </c>
      <c r="H94" s="11"/>
      <c r="I94" s="143"/>
      <c r="J94" s="9">
        <f t="array" ref="J94">IFERROR(I94/G94*100,0)</f>
        <v>0</v>
      </c>
      <c r="K94" s="143"/>
      <c r="L94" s="9">
        <f t="shared" si="6"/>
        <v>0</v>
      </c>
      <c r="M94" s="8" t="str">
        <f t="shared" si="5"/>
        <v>Belum Sensus</v>
      </c>
      <c r="N94" s="143"/>
      <c r="O94" s="9"/>
      <c r="Q94" s="206">
        <v>1.6129032258064515</v>
      </c>
      <c r="R94" s="206">
        <v>0</v>
      </c>
      <c r="S94" s="206">
        <v>2.8409090909090908</v>
      </c>
      <c r="T94" s="206">
        <v>0</v>
      </c>
      <c r="U94" s="206">
        <v>5.3333333333333339</v>
      </c>
      <c r="V94" s="3" t="str">
        <f t="shared" si="4"/>
        <v>tetap deteksi</v>
      </c>
    </row>
    <row r="95" spans="1:22" hidden="1" outlineLevel="1" x14ac:dyDescent="0.15">
      <c r="A95" s="8" t="s">
        <v>1970</v>
      </c>
      <c r="B95" s="8"/>
      <c r="C95" s="8" t="s">
        <v>107</v>
      </c>
      <c r="D95" s="8" t="s">
        <v>2039</v>
      </c>
      <c r="E95" s="9">
        <v>28.519999999999992</v>
      </c>
      <c r="F95" s="8" t="s">
        <v>1740</v>
      </c>
      <c r="G95" s="143">
        <v>3445</v>
      </c>
      <c r="H95" s="11"/>
      <c r="I95" s="143"/>
      <c r="J95" s="9">
        <f t="array" ref="J95">IFERROR(I95/G95*100,0)</f>
        <v>0</v>
      </c>
      <c r="K95" s="143"/>
      <c r="L95" s="9">
        <f t="shared" si="6"/>
        <v>0</v>
      </c>
      <c r="M95" s="8" t="str">
        <f t="shared" si="5"/>
        <v>Belum Sensus</v>
      </c>
      <c r="N95" s="143"/>
      <c r="O95" s="9"/>
      <c r="Q95" s="206">
        <v>0</v>
      </c>
      <c r="R95" s="206">
        <v>0</v>
      </c>
      <c r="S95" s="206">
        <v>0</v>
      </c>
      <c r="T95" s="206">
        <v>0</v>
      </c>
      <c r="U95" s="206">
        <v>0</v>
      </c>
      <c r="V95" s="3" t="str">
        <f t="shared" si="4"/>
        <v>tetap deteksi</v>
      </c>
    </row>
    <row r="96" spans="1:22" outlineLevel="1" x14ac:dyDescent="0.15">
      <c r="A96" s="8"/>
      <c r="B96" s="8"/>
      <c r="C96" s="8"/>
      <c r="D96" s="8"/>
      <c r="E96" s="9"/>
      <c r="F96" s="8"/>
      <c r="G96" s="143"/>
      <c r="H96" s="11"/>
      <c r="I96" s="143"/>
      <c r="J96" s="9"/>
      <c r="K96" s="143"/>
      <c r="L96" s="9"/>
      <c r="M96" s="8"/>
      <c r="N96" s="143"/>
      <c r="O96" s="9"/>
    </row>
    <row r="97" spans="1:15" outlineLevel="1" x14ac:dyDescent="0.15">
      <c r="A97" s="8"/>
      <c r="B97" s="8"/>
      <c r="C97" s="8"/>
      <c r="D97" s="8"/>
      <c r="E97" s="9"/>
      <c r="F97" s="8"/>
      <c r="G97" s="143"/>
      <c r="H97" s="11"/>
      <c r="I97" s="143"/>
      <c r="J97" s="9"/>
      <c r="K97" s="143"/>
      <c r="L97" s="9"/>
      <c r="M97" s="8"/>
      <c r="N97" s="143"/>
      <c r="O97" s="9"/>
    </row>
    <row r="98" spans="1:15" outlineLevel="1" x14ac:dyDescent="0.15">
      <c r="A98" s="8"/>
      <c r="B98" s="8"/>
      <c r="C98" s="8"/>
      <c r="D98" s="8"/>
      <c r="E98" s="9"/>
      <c r="F98" s="8"/>
      <c r="G98" s="143"/>
      <c r="H98" s="11"/>
      <c r="I98" s="143"/>
      <c r="J98" s="9"/>
      <c r="K98" s="143"/>
      <c r="L98" s="9"/>
      <c r="M98" s="8"/>
      <c r="N98" s="143"/>
      <c r="O98" s="9"/>
    </row>
    <row r="99" spans="1:15" outlineLevel="1" x14ac:dyDescent="0.15">
      <c r="A99" s="8"/>
      <c r="B99" s="8"/>
      <c r="C99" s="8"/>
      <c r="D99" s="8"/>
      <c r="E99" s="9"/>
      <c r="F99" s="8"/>
      <c r="G99" s="143"/>
      <c r="H99" s="11"/>
      <c r="I99" s="143"/>
      <c r="J99" s="9"/>
      <c r="K99" s="143"/>
      <c r="L99" s="9"/>
      <c r="M99" s="8"/>
      <c r="N99" s="143"/>
      <c r="O99" s="9"/>
    </row>
    <row r="100" spans="1:15" outlineLevel="1" x14ac:dyDescent="0.15">
      <c r="A100" s="8"/>
      <c r="B100" s="8"/>
      <c r="C100" s="8"/>
      <c r="D100" s="8"/>
      <c r="E100" s="9"/>
      <c r="F100" s="8"/>
      <c r="G100" s="143"/>
      <c r="H100" s="11"/>
      <c r="I100" s="143"/>
      <c r="J100" s="9"/>
      <c r="K100" s="143"/>
      <c r="L100" s="9"/>
      <c r="M100" s="8"/>
      <c r="N100" s="143"/>
      <c r="O100" s="9"/>
    </row>
    <row r="101" spans="1:15" outlineLevel="1" x14ac:dyDescent="0.15">
      <c r="A101" s="8"/>
      <c r="B101" s="8"/>
      <c r="C101" s="8"/>
      <c r="D101" s="8"/>
      <c r="E101" s="9"/>
      <c r="F101" s="8"/>
      <c r="G101" s="143"/>
      <c r="H101" s="11"/>
      <c r="I101" s="143"/>
      <c r="J101" s="9"/>
      <c r="K101" s="143"/>
      <c r="L101" s="9"/>
      <c r="M101" s="8"/>
      <c r="N101" s="2"/>
      <c r="O101" s="2"/>
    </row>
    <row r="102" spans="1:15" outlineLevel="1" x14ac:dyDescent="0.15">
      <c r="A102" s="8"/>
      <c r="B102" s="8"/>
      <c r="C102" s="8"/>
      <c r="D102" s="8"/>
      <c r="E102" s="9"/>
      <c r="F102" s="8"/>
      <c r="G102" s="143"/>
      <c r="H102" s="11"/>
      <c r="I102" s="143"/>
      <c r="J102" s="9"/>
      <c r="K102" s="143"/>
      <c r="L102" s="9"/>
      <c r="M102" s="8"/>
      <c r="N102" s="2"/>
      <c r="O102" s="2"/>
    </row>
    <row r="103" spans="1:15" outlineLevel="1" x14ac:dyDescent="0.15">
      <c r="A103" s="8"/>
      <c r="B103" s="8"/>
      <c r="C103" s="8"/>
      <c r="D103" s="8"/>
      <c r="E103" s="9"/>
      <c r="F103" s="8"/>
      <c r="G103" s="143"/>
      <c r="H103" s="11"/>
      <c r="I103" s="143"/>
      <c r="J103" s="9"/>
      <c r="K103" s="143"/>
      <c r="L103" s="9"/>
      <c r="M103" s="8"/>
      <c r="N103" s="2"/>
      <c r="O103" s="2"/>
    </row>
    <row r="104" spans="1:15" outlineLevel="1" x14ac:dyDescent="0.15">
      <c r="A104" s="8"/>
      <c r="B104" s="8"/>
      <c r="C104" s="8"/>
      <c r="D104" s="8"/>
      <c r="E104" s="9"/>
      <c r="F104" s="8"/>
      <c r="G104" s="143"/>
      <c r="H104" s="11"/>
      <c r="I104" s="143"/>
      <c r="J104" s="9"/>
      <c r="K104" s="143"/>
      <c r="L104" s="9"/>
      <c r="M104" s="8"/>
      <c r="N104" s="2"/>
      <c r="O104" s="2"/>
    </row>
    <row r="105" spans="1:15" outlineLevel="1" x14ac:dyDescent="0.15">
      <c r="A105" s="8"/>
      <c r="B105" s="8"/>
      <c r="C105" s="8"/>
      <c r="D105" s="8"/>
      <c r="E105" s="9"/>
      <c r="F105" s="8"/>
      <c r="G105" s="143"/>
      <c r="H105" s="11"/>
      <c r="I105" s="143"/>
      <c r="J105" s="9"/>
      <c r="K105" s="143"/>
      <c r="L105" s="9"/>
      <c r="M105" s="8"/>
      <c r="N105" s="2"/>
      <c r="O105" s="2"/>
    </row>
    <row r="106" spans="1:15" outlineLevel="1" x14ac:dyDescent="0.15">
      <c r="A106" s="8"/>
      <c r="B106" s="8"/>
      <c r="C106" s="8"/>
      <c r="D106" s="8"/>
      <c r="E106" s="9"/>
      <c r="F106" s="8"/>
      <c r="G106" s="143"/>
      <c r="H106" s="11"/>
      <c r="I106" s="143"/>
      <c r="J106" s="9"/>
      <c r="K106" s="143"/>
      <c r="L106" s="9"/>
      <c r="M106" s="8"/>
      <c r="N106" s="2"/>
      <c r="O106" s="2"/>
    </row>
    <row r="107" spans="1:15" outlineLevel="1" x14ac:dyDescent="0.15">
      <c r="A107" s="8"/>
      <c r="B107" s="8"/>
      <c r="C107" s="8"/>
      <c r="D107" s="8"/>
      <c r="E107" s="9"/>
      <c r="F107" s="8"/>
      <c r="G107" s="143"/>
      <c r="H107" s="11"/>
      <c r="I107" s="143"/>
      <c r="J107" s="9"/>
      <c r="K107" s="143"/>
      <c r="L107" s="9"/>
      <c r="M107" s="8"/>
      <c r="N107" s="2"/>
      <c r="O107" s="2"/>
    </row>
    <row r="108" spans="1:15" outlineLevel="1" x14ac:dyDescent="0.15">
      <c r="A108" s="8"/>
      <c r="B108" s="8"/>
      <c r="C108" s="8"/>
      <c r="D108" s="8"/>
      <c r="E108" s="9"/>
      <c r="F108" s="8"/>
      <c r="G108" s="143"/>
      <c r="H108" s="11"/>
      <c r="I108" s="143"/>
      <c r="J108" s="9"/>
      <c r="K108" s="143"/>
      <c r="L108" s="9"/>
      <c r="M108" s="8"/>
      <c r="N108" s="2"/>
      <c r="O108" s="2"/>
    </row>
    <row r="109" spans="1:15" outlineLevel="1" x14ac:dyDescent="0.15">
      <c r="A109" s="8"/>
      <c r="B109" s="8"/>
      <c r="C109" s="8"/>
      <c r="D109" s="8"/>
      <c r="E109" s="9"/>
      <c r="F109" s="8"/>
      <c r="G109" s="143"/>
      <c r="H109" s="11"/>
      <c r="I109" s="143"/>
      <c r="J109" s="9"/>
      <c r="K109" s="143"/>
      <c r="L109" s="9"/>
      <c r="M109" s="8"/>
      <c r="N109" s="2"/>
      <c r="O109" s="2"/>
    </row>
    <row r="110" spans="1:15" outlineLevel="1" x14ac:dyDescent="0.15">
      <c r="A110" s="8"/>
      <c r="B110" s="8"/>
      <c r="C110" s="8"/>
      <c r="D110" s="8"/>
      <c r="E110" s="9"/>
      <c r="F110" s="8"/>
      <c r="G110" s="143"/>
      <c r="H110" s="11"/>
      <c r="I110" s="143"/>
      <c r="J110" s="9"/>
      <c r="K110" s="143"/>
      <c r="L110" s="9"/>
      <c r="M110" s="8"/>
      <c r="N110" s="2"/>
      <c r="O110" s="2"/>
    </row>
    <row r="111" spans="1:15" outlineLevel="1" x14ac:dyDescent="0.15">
      <c r="A111" s="8"/>
      <c r="B111" s="8"/>
      <c r="C111" s="8"/>
      <c r="D111" s="8"/>
      <c r="E111" s="9"/>
      <c r="F111" s="8"/>
      <c r="G111" s="143"/>
      <c r="H111" s="11"/>
      <c r="I111" s="143"/>
      <c r="J111" s="9"/>
      <c r="K111" s="143"/>
      <c r="L111" s="9"/>
      <c r="M111" s="8"/>
      <c r="N111" s="2"/>
      <c r="O111" s="2"/>
    </row>
    <row r="112" spans="1:15" outlineLevel="1" x14ac:dyDescent="0.15">
      <c r="A112" s="8"/>
      <c r="B112" s="8"/>
      <c r="C112" s="8"/>
      <c r="D112" s="8"/>
      <c r="E112" s="9"/>
      <c r="F112" s="8"/>
      <c r="G112" s="143"/>
      <c r="H112" s="11"/>
      <c r="I112" s="143"/>
      <c r="J112" s="9"/>
      <c r="K112" s="143"/>
      <c r="L112" s="9"/>
      <c r="M112" s="8"/>
      <c r="N112" s="2"/>
      <c r="O112" s="2"/>
    </row>
    <row r="113" spans="1:15" outlineLevel="1" x14ac:dyDescent="0.15">
      <c r="A113" s="8"/>
      <c r="B113" s="8"/>
      <c r="C113" s="8"/>
      <c r="D113" s="8"/>
      <c r="E113" s="9"/>
      <c r="F113" s="8"/>
      <c r="G113" s="143"/>
      <c r="H113" s="11"/>
      <c r="I113" s="143"/>
      <c r="J113" s="9"/>
      <c r="K113" s="143"/>
      <c r="L113" s="9"/>
      <c r="M113" s="8"/>
      <c r="N113" s="2"/>
      <c r="O113" s="2"/>
    </row>
    <row r="114" spans="1:15" outlineLevel="1" x14ac:dyDescent="0.15">
      <c r="A114" s="8"/>
      <c r="B114" s="8"/>
      <c r="C114" s="8"/>
      <c r="D114" s="8"/>
      <c r="E114" s="9"/>
      <c r="F114" s="8"/>
      <c r="G114" s="143"/>
      <c r="H114" s="11"/>
      <c r="I114" s="143"/>
      <c r="J114" s="9"/>
      <c r="K114" s="143"/>
      <c r="L114" s="9"/>
      <c r="M114" s="8"/>
      <c r="N114" s="2"/>
      <c r="O114" s="2"/>
    </row>
    <row r="115" spans="1:15" outlineLevel="1" x14ac:dyDescent="0.15">
      <c r="A115" s="8"/>
      <c r="B115" s="8"/>
      <c r="C115" s="8"/>
      <c r="D115" s="8"/>
      <c r="E115" s="9"/>
      <c r="F115" s="8"/>
      <c r="G115" s="143"/>
      <c r="H115" s="11"/>
      <c r="I115" s="143"/>
      <c r="J115" s="9"/>
      <c r="K115" s="143"/>
      <c r="L115" s="9"/>
      <c r="M115" s="8"/>
      <c r="N115" s="2"/>
      <c r="O115" s="2"/>
    </row>
    <row r="116" spans="1:15" outlineLevel="1" x14ac:dyDescent="0.15">
      <c r="A116" s="8"/>
      <c r="B116" s="8"/>
      <c r="C116" s="8"/>
      <c r="D116" s="8"/>
      <c r="E116" s="9"/>
      <c r="F116" s="8"/>
      <c r="G116" s="143"/>
      <c r="H116" s="11"/>
      <c r="I116" s="143"/>
      <c r="J116" s="9"/>
      <c r="K116" s="143"/>
      <c r="L116" s="9"/>
      <c r="M116" s="8"/>
      <c r="N116" s="2"/>
      <c r="O116" s="2"/>
    </row>
    <row r="117" spans="1:15" outlineLevel="1" x14ac:dyDescent="0.15">
      <c r="A117" s="8"/>
      <c r="B117" s="8"/>
      <c r="C117" s="8"/>
      <c r="D117" s="8"/>
      <c r="E117" s="9"/>
      <c r="F117" s="8"/>
      <c r="G117" s="143"/>
      <c r="H117" s="11"/>
      <c r="I117" s="143"/>
      <c r="J117" s="9"/>
      <c r="K117" s="143"/>
      <c r="L117" s="9"/>
      <c r="M117" s="8"/>
      <c r="N117" s="2"/>
      <c r="O117" s="2"/>
    </row>
    <row r="118" spans="1:15" outlineLevel="1" x14ac:dyDescent="0.15">
      <c r="A118" s="8"/>
      <c r="B118" s="8"/>
      <c r="C118" s="8"/>
      <c r="D118" s="8"/>
      <c r="E118" s="9"/>
      <c r="F118" s="8"/>
      <c r="G118" s="143"/>
      <c r="H118" s="11"/>
      <c r="I118" s="143"/>
      <c r="J118" s="9"/>
      <c r="K118" s="143"/>
      <c r="L118" s="9"/>
      <c r="M118" s="8"/>
      <c r="N118" s="2"/>
      <c r="O118" s="2"/>
    </row>
    <row r="119" spans="1:15" outlineLevel="1" x14ac:dyDescent="0.15">
      <c r="A119" s="8"/>
      <c r="B119" s="8"/>
      <c r="C119" s="8"/>
      <c r="D119" s="8"/>
      <c r="E119" s="9"/>
      <c r="F119" s="8"/>
      <c r="G119" s="143"/>
      <c r="H119" s="11"/>
      <c r="I119" s="143"/>
      <c r="J119" s="9"/>
      <c r="K119" s="143"/>
      <c r="L119" s="9"/>
      <c r="M119" s="8"/>
      <c r="N119" s="2"/>
      <c r="O119" s="2"/>
    </row>
    <row r="120" spans="1:15" outlineLevel="1" x14ac:dyDescent="0.15">
      <c r="A120" s="8"/>
      <c r="B120" s="8"/>
      <c r="C120" s="8"/>
      <c r="D120" s="8"/>
      <c r="E120" s="9"/>
      <c r="F120" s="8"/>
      <c r="G120" s="143"/>
      <c r="H120" s="11"/>
      <c r="I120" s="143"/>
      <c r="J120" s="9"/>
      <c r="K120" s="143"/>
      <c r="L120" s="9"/>
      <c r="M120" s="8"/>
      <c r="N120" s="2"/>
      <c r="O120" s="2"/>
    </row>
    <row r="121" spans="1:15" outlineLevel="1" x14ac:dyDescent="0.15">
      <c r="A121" s="8"/>
      <c r="B121" s="8"/>
      <c r="C121" s="8"/>
      <c r="D121" s="8"/>
      <c r="E121" s="9"/>
      <c r="F121" s="8"/>
      <c r="G121" s="143"/>
      <c r="H121" s="11"/>
      <c r="I121" s="143"/>
      <c r="J121" s="9"/>
      <c r="K121" s="143"/>
      <c r="L121" s="9"/>
      <c r="M121" s="8"/>
      <c r="N121" s="2"/>
      <c r="O121" s="2"/>
    </row>
    <row r="122" spans="1:15" outlineLevel="1" x14ac:dyDescent="0.15">
      <c r="A122" s="8"/>
      <c r="B122" s="8"/>
      <c r="C122" s="8"/>
      <c r="D122" s="8"/>
      <c r="E122" s="9"/>
      <c r="F122" s="8"/>
      <c r="G122" s="143"/>
      <c r="H122" s="11"/>
      <c r="I122" s="143"/>
      <c r="J122" s="9"/>
      <c r="K122" s="143"/>
      <c r="L122" s="9"/>
      <c r="M122" s="8"/>
      <c r="N122" s="2"/>
      <c r="O122" s="2"/>
    </row>
    <row r="123" spans="1:15" outlineLevel="1" x14ac:dyDescent="0.15">
      <c r="A123" s="8"/>
      <c r="B123" s="8"/>
      <c r="C123" s="8"/>
      <c r="D123" s="8"/>
      <c r="E123" s="9"/>
      <c r="F123" s="8"/>
      <c r="G123" s="143"/>
      <c r="H123" s="11"/>
      <c r="I123" s="143"/>
      <c r="J123" s="9"/>
      <c r="K123" s="143"/>
      <c r="L123" s="9"/>
      <c r="M123" s="8"/>
      <c r="N123" s="2"/>
      <c r="O123" s="2"/>
    </row>
    <row r="124" spans="1:15" outlineLevel="1" x14ac:dyDescent="0.15">
      <c r="A124" s="8"/>
      <c r="B124" s="8"/>
      <c r="C124" s="8"/>
      <c r="D124" s="8"/>
      <c r="E124" s="9"/>
      <c r="F124" s="8"/>
      <c r="G124" s="143"/>
      <c r="H124" s="11"/>
      <c r="I124" s="143"/>
      <c r="J124" s="9"/>
      <c r="K124" s="143"/>
      <c r="L124" s="9"/>
      <c r="M124" s="8"/>
      <c r="N124" s="2"/>
      <c r="O124" s="2"/>
    </row>
    <row r="125" spans="1:15" outlineLevel="1" x14ac:dyDescent="0.15">
      <c r="A125" s="8"/>
      <c r="B125" s="8"/>
      <c r="C125" s="8"/>
      <c r="D125" s="8"/>
      <c r="E125" s="9"/>
      <c r="F125" s="8"/>
      <c r="G125" s="143"/>
      <c r="H125" s="11"/>
      <c r="I125" s="143"/>
      <c r="J125" s="9"/>
      <c r="K125" s="143"/>
      <c r="L125" s="9"/>
      <c r="M125" s="8"/>
      <c r="N125" s="2"/>
      <c r="O125" s="2"/>
    </row>
    <row r="126" spans="1:15" outlineLevel="1" x14ac:dyDescent="0.15">
      <c r="A126" s="8"/>
      <c r="B126" s="8"/>
      <c r="C126" s="8"/>
      <c r="D126" s="8"/>
      <c r="E126" s="9"/>
      <c r="F126" s="8"/>
      <c r="G126" s="143"/>
      <c r="H126" s="11"/>
      <c r="I126" s="143"/>
      <c r="J126" s="9"/>
      <c r="K126" s="143"/>
      <c r="L126" s="9"/>
      <c r="M126" s="8"/>
      <c r="N126" s="2"/>
      <c r="O126" s="2"/>
    </row>
    <row r="127" spans="1:15" outlineLevel="1" x14ac:dyDescent="0.15">
      <c r="A127" s="8"/>
      <c r="B127" s="8"/>
      <c r="C127" s="8"/>
      <c r="D127" s="8"/>
      <c r="E127" s="9"/>
      <c r="F127" s="8"/>
      <c r="G127" s="143"/>
      <c r="H127" s="11"/>
      <c r="I127" s="143"/>
      <c r="J127" s="9"/>
      <c r="K127" s="143"/>
      <c r="L127" s="9"/>
      <c r="M127" s="8"/>
      <c r="N127" s="2"/>
      <c r="O127" s="2"/>
    </row>
    <row r="128" spans="1:15" outlineLevel="1" x14ac:dyDescent="0.15">
      <c r="A128" s="8"/>
      <c r="B128" s="8"/>
      <c r="C128" s="8"/>
      <c r="D128" s="8"/>
      <c r="E128" s="9"/>
      <c r="F128" s="8"/>
      <c r="G128" s="143"/>
      <c r="H128" s="11"/>
      <c r="I128" s="143"/>
      <c r="J128" s="9"/>
      <c r="K128" s="143"/>
      <c r="L128" s="9"/>
      <c r="M128" s="8"/>
      <c r="N128" s="2"/>
      <c r="O128" s="2"/>
    </row>
    <row r="129" spans="1:15" outlineLevel="1" x14ac:dyDescent="0.15">
      <c r="A129" s="8"/>
      <c r="B129" s="8"/>
      <c r="C129" s="8"/>
      <c r="D129" s="8"/>
      <c r="E129" s="9"/>
      <c r="F129" s="8"/>
      <c r="G129" s="143"/>
      <c r="H129" s="11"/>
      <c r="I129" s="143"/>
      <c r="J129" s="9"/>
      <c r="K129" s="143"/>
      <c r="L129" s="9"/>
      <c r="M129" s="8"/>
      <c r="N129" s="2"/>
      <c r="O129" s="2"/>
    </row>
    <row r="130" spans="1:15" outlineLevel="1" x14ac:dyDescent="0.15">
      <c r="A130" s="8"/>
      <c r="B130" s="8"/>
      <c r="C130" s="8"/>
      <c r="D130" s="8"/>
      <c r="E130" s="9"/>
      <c r="F130" s="8"/>
      <c r="G130" s="143"/>
      <c r="H130" s="11"/>
      <c r="I130" s="143"/>
      <c r="J130" s="9"/>
      <c r="K130" s="143"/>
      <c r="L130" s="9"/>
      <c r="M130" s="8"/>
      <c r="N130" s="2"/>
      <c r="O130" s="2"/>
    </row>
    <row r="131" spans="1:15" outlineLevel="1" x14ac:dyDescent="0.15">
      <c r="A131" s="8"/>
      <c r="B131" s="8"/>
      <c r="C131" s="8"/>
      <c r="D131" s="8"/>
      <c r="E131" s="9"/>
      <c r="F131" s="8"/>
      <c r="G131" s="143"/>
      <c r="H131" s="11"/>
      <c r="I131" s="143"/>
      <c r="J131" s="9"/>
      <c r="K131" s="143"/>
      <c r="L131" s="9"/>
      <c r="M131" s="8"/>
      <c r="N131" s="2"/>
      <c r="O131" s="2"/>
    </row>
    <row r="132" spans="1:15" outlineLevel="1" x14ac:dyDescent="0.15">
      <c r="A132" s="8"/>
      <c r="B132" s="8"/>
      <c r="C132" s="8"/>
      <c r="D132" s="8"/>
      <c r="E132" s="9"/>
      <c r="F132" s="8"/>
      <c r="G132" s="143"/>
      <c r="H132" s="11"/>
      <c r="I132" s="143"/>
      <c r="J132" s="9"/>
      <c r="K132" s="143"/>
      <c r="L132" s="9"/>
      <c r="M132" s="8"/>
      <c r="N132" s="2"/>
      <c r="O132" s="2"/>
    </row>
    <row r="133" spans="1:15" outlineLevel="1" x14ac:dyDescent="0.15">
      <c r="A133" s="8"/>
      <c r="B133" s="8"/>
      <c r="C133" s="8"/>
      <c r="D133" s="8"/>
      <c r="E133" s="9"/>
      <c r="F133" s="8"/>
      <c r="G133" s="143"/>
      <c r="H133" s="11"/>
      <c r="I133" s="143"/>
      <c r="J133" s="9"/>
      <c r="K133" s="143"/>
      <c r="L133" s="9"/>
      <c r="M133" s="8"/>
      <c r="N133" s="2"/>
      <c r="O133" s="2"/>
    </row>
    <row r="134" spans="1:15" outlineLevel="1" x14ac:dyDescent="0.15">
      <c r="A134" s="8"/>
      <c r="B134" s="8"/>
      <c r="C134" s="8"/>
      <c r="D134" s="8"/>
      <c r="E134" s="9"/>
      <c r="F134" s="8"/>
      <c r="G134" s="143"/>
      <c r="H134" s="11"/>
      <c r="I134" s="143"/>
      <c r="J134" s="9"/>
      <c r="K134" s="143"/>
      <c r="L134" s="9"/>
      <c r="M134" s="8"/>
      <c r="N134" s="2"/>
      <c r="O134" s="2"/>
    </row>
    <row r="135" spans="1:15" outlineLevel="1" x14ac:dyDescent="0.15">
      <c r="A135" s="8"/>
      <c r="B135" s="8"/>
      <c r="C135" s="8"/>
      <c r="D135" s="8"/>
      <c r="E135" s="9"/>
      <c r="F135" s="8"/>
      <c r="G135" s="143"/>
      <c r="H135" s="11"/>
      <c r="I135" s="143"/>
      <c r="J135" s="9"/>
      <c r="K135" s="143"/>
      <c r="L135" s="9"/>
      <c r="M135" s="8"/>
      <c r="N135" s="2"/>
      <c r="O135" s="2"/>
    </row>
    <row r="136" spans="1:15" outlineLevel="1" x14ac:dyDescent="0.15">
      <c r="A136" s="8"/>
      <c r="B136" s="8"/>
      <c r="C136" s="8"/>
      <c r="D136" s="8"/>
      <c r="E136" s="9"/>
      <c r="F136" s="8"/>
      <c r="G136" s="143"/>
      <c r="H136" s="11"/>
      <c r="I136" s="143"/>
      <c r="J136" s="9"/>
      <c r="K136" s="143"/>
      <c r="L136" s="9"/>
      <c r="M136" s="8"/>
      <c r="N136" s="2"/>
      <c r="O136" s="2"/>
    </row>
    <row r="137" spans="1:15" outlineLevel="1" x14ac:dyDescent="0.15">
      <c r="A137" s="8"/>
      <c r="B137" s="8"/>
      <c r="C137" s="8"/>
      <c r="D137" s="8"/>
      <c r="E137" s="9"/>
      <c r="F137" s="8"/>
      <c r="G137" s="143"/>
      <c r="H137" s="11"/>
      <c r="I137" s="143"/>
      <c r="J137" s="9"/>
      <c r="K137" s="143"/>
      <c r="L137" s="9"/>
      <c r="M137" s="8"/>
      <c r="N137" s="2"/>
      <c r="O137" s="2"/>
    </row>
    <row r="138" spans="1:15" outlineLevel="1" x14ac:dyDescent="0.15">
      <c r="A138" s="8"/>
      <c r="B138" s="8"/>
      <c r="C138" s="8"/>
      <c r="D138" s="8"/>
      <c r="E138" s="9"/>
      <c r="F138" s="8"/>
      <c r="G138" s="143"/>
      <c r="H138" s="11"/>
      <c r="I138" s="143"/>
      <c r="J138" s="9"/>
      <c r="K138" s="143"/>
      <c r="L138" s="9"/>
      <c r="M138" s="8"/>
      <c r="N138" s="2"/>
      <c r="O138" s="2"/>
    </row>
    <row r="139" spans="1:15" outlineLevel="1" x14ac:dyDescent="0.15">
      <c r="A139" s="8"/>
      <c r="B139" s="8"/>
      <c r="C139" s="8"/>
      <c r="D139" s="8"/>
      <c r="E139" s="9"/>
      <c r="F139" s="8"/>
      <c r="G139" s="143"/>
      <c r="H139" s="11"/>
      <c r="I139" s="143"/>
      <c r="J139" s="9"/>
      <c r="K139" s="143"/>
      <c r="L139" s="9"/>
      <c r="M139" s="8"/>
      <c r="N139" s="2"/>
      <c r="O139" s="2"/>
    </row>
    <row r="140" spans="1:15" outlineLevel="1" x14ac:dyDescent="0.15">
      <c r="A140" s="8"/>
      <c r="B140" s="8"/>
      <c r="C140" s="8"/>
      <c r="D140" s="8"/>
      <c r="E140" s="9"/>
      <c r="F140" s="8"/>
      <c r="G140" s="143"/>
      <c r="H140" s="11"/>
      <c r="I140" s="143"/>
      <c r="J140" s="9"/>
      <c r="K140" s="143"/>
      <c r="L140" s="9"/>
      <c r="M140" s="8"/>
      <c r="N140" s="2"/>
      <c r="O140" s="2"/>
    </row>
    <row r="141" spans="1:15" outlineLevel="1" x14ac:dyDescent="0.15">
      <c r="A141" s="8"/>
      <c r="B141" s="8"/>
      <c r="C141" s="8"/>
      <c r="D141" s="8"/>
      <c r="E141" s="9"/>
      <c r="F141" s="8"/>
      <c r="G141" s="143"/>
      <c r="H141" s="11"/>
      <c r="I141" s="143"/>
      <c r="J141" s="9"/>
      <c r="K141" s="143"/>
      <c r="L141" s="9"/>
      <c r="M141" s="8"/>
      <c r="N141" s="2"/>
      <c r="O141" s="2"/>
    </row>
    <row r="142" spans="1:15" outlineLevel="1" x14ac:dyDescent="0.15">
      <c r="A142" s="8"/>
      <c r="B142" s="8"/>
      <c r="C142" s="8"/>
      <c r="D142" s="8"/>
      <c r="E142" s="9"/>
      <c r="F142" s="8"/>
      <c r="G142" s="143"/>
      <c r="H142" s="11"/>
      <c r="I142" s="143"/>
      <c r="J142" s="9"/>
      <c r="K142" s="143"/>
      <c r="L142" s="9"/>
      <c r="M142" s="8"/>
      <c r="N142" s="2"/>
      <c r="O142" s="2"/>
    </row>
    <row r="143" spans="1:15" outlineLevel="1" x14ac:dyDescent="0.15">
      <c r="A143" s="8"/>
      <c r="B143" s="8"/>
      <c r="C143" s="8"/>
      <c r="D143" s="8"/>
      <c r="E143" s="9"/>
      <c r="F143" s="8"/>
      <c r="G143" s="143"/>
      <c r="H143" s="11"/>
      <c r="I143" s="143"/>
      <c r="J143" s="9"/>
      <c r="K143" s="143"/>
      <c r="L143" s="9"/>
      <c r="M143" s="8"/>
      <c r="N143" s="2"/>
      <c r="O143" s="2"/>
    </row>
    <row r="144" spans="1:15" outlineLevel="1" x14ac:dyDescent="0.15">
      <c r="A144" s="8"/>
      <c r="B144" s="8"/>
      <c r="C144" s="8"/>
      <c r="D144" s="8"/>
      <c r="E144" s="9"/>
      <c r="F144" s="8"/>
      <c r="G144" s="143"/>
      <c r="H144" s="11"/>
      <c r="I144" s="143"/>
      <c r="J144" s="9"/>
      <c r="K144" s="143"/>
      <c r="L144" s="9"/>
      <c r="M144" s="8"/>
      <c r="N144" s="2"/>
      <c r="O144" s="2"/>
    </row>
    <row r="145" spans="1:15" outlineLevel="1" x14ac:dyDescent="0.15">
      <c r="A145" s="8"/>
      <c r="B145" s="8"/>
      <c r="C145" s="8"/>
      <c r="D145" s="8"/>
      <c r="E145" s="9"/>
      <c r="F145" s="8"/>
      <c r="G145" s="143"/>
      <c r="H145" s="11"/>
      <c r="I145" s="143"/>
      <c r="J145" s="9"/>
      <c r="K145" s="143"/>
      <c r="L145" s="9"/>
      <c r="M145" s="8"/>
      <c r="N145" s="2"/>
      <c r="O145" s="2"/>
    </row>
    <row r="146" spans="1:15" outlineLevel="1" x14ac:dyDescent="0.15">
      <c r="A146" s="8"/>
      <c r="B146" s="8"/>
      <c r="C146" s="8"/>
      <c r="D146" s="8"/>
      <c r="E146" s="9"/>
      <c r="F146" s="8"/>
      <c r="G146" s="143"/>
      <c r="H146" s="11"/>
      <c r="I146" s="143"/>
      <c r="J146" s="9"/>
      <c r="K146" s="143"/>
      <c r="L146" s="9"/>
      <c r="M146" s="8"/>
      <c r="N146" s="2"/>
      <c r="O146" s="2"/>
    </row>
    <row r="147" spans="1:15" outlineLevel="1" x14ac:dyDescent="0.15">
      <c r="A147" s="8"/>
      <c r="B147" s="8"/>
      <c r="C147" s="8"/>
      <c r="D147" s="8"/>
      <c r="E147" s="9"/>
      <c r="F147" s="8"/>
      <c r="G147" s="143"/>
      <c r="H147" s="11"/>
      <c r="I147" s="143"/>
      <c r="J147" s="9"/>
      <c r="K147" s="143"/>
      <c r="L147" s="9"/>
      <c r="M147" s="8"/>
      <c r="N147" s="2"/>
      <c r="O147" s="2"/>
    </row>
    <row r="148" spans="1:15" outlineLevel="1" x14ac:dyDescent="0.15">
      <c r="A148" s="8"/>
      <c r="B148" s="8"/>
      <c r="C148" s="8"/>
      <c r="D148" s="8"/>
      <c r="E148" s="9"/>
      <c r="F148" s="8"/>
      <c r="G148" s="143"/>
      <c r="H148" s="11"/>
      <c r="I148" s="143"/>
      <c r="J148" s="9"/>
      <c r="K148" s="143"/>
      <c r="L148" s="9"/>
      <c r="M148" s="8"/>
      <c r="N148" s="2"/>
      <c r="O148" s="2"/>
    </row>
    <row r="149" spans="1:15" outlineLevel="1" x14ac:dyDescent="0.15">
      <c r="A149" s="8"/>
      <c r="B149" s="8"/>
      <c r="C149" s="8"/>
      <c r="D149" s="8"/>
      <c r="E149" s="9"/>
      <c r="F149" s="8"/>
      <c r="G149" s="143"/>
      <c r="H149" s="11"/>
      <c r="I149" s="143"/>
      <c r="J149" s="9"/>
      <c r="K149" s="143"/>
      <c r="L149" s="9"/>
      <c r="M149" s="8"/>
      <c r="N149" s="2"/>
      <c r="O149" s="2"/>
    </row>
    <row r="150" spans="1:15" outlineLevel="1" x14ac:dyDescent="0.15">
      <c r="A150" s="8"/>
      <c r="B150" s="8"/>
      <c r="C150" s="8"/>
      <c r="D150" s="8"/>
      <c r="E150" s="9"/>
      <c r="F150" s="8"/>
      <c r="G150" s="143"/>
      <c r="H150" s="11"/>
      <c r="I150" s="143"/>
      <c r="J150" s="9"/>
      <c r="K150" s="143"/>
      <c r="L150" s="9"/>
      <c r="M150" s="8"/>
      <c r="N150" s="2"/>
      <c r="O150" s="2"/>
    </row>
    <row r="151" spans="1:15" outlineLevel="1" x14ac:dyDescent="0.15">
      <c r="A151" s="8"/>
      <c r="B151" s="8"/>
      <c r="C151" s="8"/>
      <c r="D151" s="8"/>
      <c r="E151" s="9"/>
      <c r="F151" s="8"/>
      <c r="G151" s="143"/>
      <c r="H151" s="11"/>
      <c r="I151" s="143"/>
      <c r="J151" s="9"/>
      <c r="K151" s="143"/>
      <c r="L151" s="9"/>
      <c r="M151" s="8"/>
      <c r="N151" s="2"/>
      <c r="O151" s="2"/>
    </row>
    <row r="152" spans="1:15" outlineLevel="1" x14ac:dyDescent="0.15">
      <c r="A152" s="8"/>
      <c r="B152" s="8"/>
      <c r="C152" s="8"/>
      <c r="D152" s="8"/>
      <c r="E152" s="9"/>
      <c r="F152" s="8"/>
      <c r="G152" s="143"/>
      <c r="H152" s="11"/>
      <c r="I152" s="143"/>
      <c r="J152" s="9"/>
      <c r="K152" s="143"/>
      <c r="L152" s="9"/>
      <c r="M152" s="8"/>
      <c r="N152" s="2"/>
      <c r="O152" s="2"/>
    </row>
    <row r="153" spans="1:15" outlineLevel="1" x14ac:dyDescent="0.15">
      <c r="A153" s="8"/>
      <c r="B153" s="8"/>
      <c r="C153" s="8"/>
      <c r="D153" s="8"/>
      <c r="E153" s="9"/>
      <c r="F153" s="8"/>
      <c r="G153" s="143"/>
      <c r="H153" s="11"/>
      <c r="I153" s="143"/>
      <c r="J153" s="9"/>
      <c r="K153" s="143"/>
      <c r="L153" s="9"/>
      <c r="M153" s="8"/>
      <c r="N153" s="2"/>
      <c r="O153" s="2"/>
    </row>
    <row r="154" spans="1:15" outlineLevel="1" x14ac:dyDescent="0.15">
      <c r="A154" s="8"/>
      <c r="B154" s="8"/>
      <c r="C154" s="8"/>
      <c r="D154" s="8"/>
      <c r="E154" s="9"/>
      <c r="F154" s="8"/>
      <c r="G154" s="143"/>
      <c r="H154" s="11"/>
      <c r="I154" s="143"/>
      <c r="J154" s="9"/>
      <c r="K154" s="143"/>
      <c r="L154" s="9"/>
      <c r="M154" s="8"/>
      <c r="N154" s="2"/>
      <c r="O154" s="2"/>
    </row>
    <row r="155" spans="1:15" outlineLevel="1" x14ac:dyDescent="0.15">
      <c r="A155" s="8"/>
      <c r="B155" s="8"/>
      <c r="C155" s="8"/>
      <c r="D155" s="8"/>
      <c r="E155" s="9"/>
      <c r="F155" s="8"/>
      <c r="G155" s="143"/>
      <c r="H155" s="11"/>
      <c r="I155" s="143"/>
      <c r="J155" s="9"/>
      <c r="K155" s="143"/>
      <c r="L155" s="9"/>
      <c r="M155" s="8"/>
      <c r="N155" s="2"/>
      <c r="O155" s="2"/>
    </row>
    <row r="156" spans="1:15" outlineLevel="1" x14ac:dyDescent="0.15">
      <c r="A156" s="8"/>
      <c r="B156" s="8"/>
      <c r="C156" s="8"/>
      <c r="D156" s="8"/>
      <c r="E156" s="9"/>
      <c r="F156" s="8"/>
      <c r="G156" s="143"/>
      <c r="H156" s="11"/>
      <c r="I156" s="143"/>
      <c r="J156" s="9"/>
      <c r="K156" s="143"/>
      <c r="L156" s="9"/>
      <c r="M156" s="8"/>
      <c r="N156" s="2"/>
      <c r="O156" s="2"/>
    </row>
    <row r="157" spans="1:15" outlineLevel="1" x14ac:dyDescent="0.15">
      <c r="A157" s="8"/>
      <c r="B157" s="8"/>
      <c r="C157" s="8"/>
      <c r="D157" s="8"/>
      <c r="E157" s="9"/>
      <c r="F157" s="8"/>
      <c r="G157" s="143"/>
      <c r="H157" s="11"/>
      <c r="I157" s="143"/>
      <c r="J157" s="9"/>
      <c r="K157" s="143"/>
      <c r="L157" s="9"/>
      <c r="M157" s="8"/>
      <c r="N157" s="2"/>
      <c r="O157" s="2"/>
    </row>
    <row r="158" spans="1:15" outlineLevel="1" x14ac:dyDescent="0.15">
      <c r="A158" s="8"/>
      <c r="B158" s="8"/>
      <c r="C158" s="8"/>
      <c r="D158" s="8"/>
      <c r="E158" s="9"/>
      <c r="F158" s="8"/>
      <c r="G158" s="143"/>
      <c r="H158" s="11"/>
      <c r="I158" s="143"/>
      <c r="J158" s="9"/>
      <c r="K158" s="143"/>
      <c r="L158" s="9"/>
      <c r="M158" s="8"/>
      <c r="N158" s="2"/>
      <c r="O158" s="2"/>
    </row>
    <row r="159" spans="1:15" outlineLevel="1" x14ac:dyDescent="0.15">
      <c r="A159" s="8"/>
      <c r="B159" s="8"/>
      <c r="C159" s="8"/>
      <c r="D159" s="8"/>
      <c r="E159" s="9"/>
      <c r="F159" s="8"/>
      <c r="G159" s="143"/>
      <c r="H159" s="11"/>
      <c r="I159" s="143"/>
      <c r="J159" s="9"/>
      <c r="K159" s="143"/>
      <c r="L159" s="9"/>
      <c r="M159" s="8"/>
      <c r="N159" s="2"/>
      <c r="O159" s="2"/>
    </row>
    <row r="160" spans="1:15" outlineLevel="1" x14ac:dyDescent="0.15">
      <c r="A160" s="8"/>
      <c r="B160" s="8"/>
      <c r="C160" s="8"/>
      <c r="D160" s="8"/>
      <c r="E160" s="9"/>
      <c r="F160" s="8"/>
      <c r="G160" s="143"/>
      <c r="H160" s="11"/>
      <c r="I160" s="143"/>
      <c r="J160" s="9"/>
      <c r="K160" s="143"/>
      <c r="L160" s="9"/>
      <c r="M160" s="8"/>
      <c r="N160" s="2"/>
      <c r="O160" s="2"/>
    </row>
    <row r="161" spans="1:15" outlineLevel="1" x14ac:dyDescent="0.15">
      <c r="A161" s="8"/>
      <c r="B161" s="8"/>
      <c r="C161" s="8"/>
      <c r="D161" s="8"/>
      <c r="E161" s="9"/>
      <c r="F161" s="8"/>
      <c r="G161" s="143"/>
      <c r="H161" s="11"/>
      <c r="I161" s="143"/>
      <c r="J161" s="9"/>
      <c r="K161" s="143"/>
      <c r="L161" s="9"/>
      <c r="M161" s="8"/>
      <c r="N161" s="2"/>
      <c r="O161" s="2"/>
    </row>
    <row r="162" spans="1:15" outlineLevel="1" x14ac:dyDescent="0.15">
      <c r="A162" s="8"/>
      <c r="B162" s="8"/>
      <c r="C162" s="8"/>
      <c r="D162" s="8"/>
      <c r="E162" s="9"/>
      <c r="F162" s="8"/>
      <c r="G162" s="143"/>
      <c r="H162" s="11"/>
      <c r="I162" s="143"/>
      <c r="J162" s="9"/>
      <c r="K162" s="143"/>
      <c r="L162" s="9"/>
      <c r="M162" s="8"/>
      <c r="N162" s="2"/>
      <c r="O162" s="2"/>
    </row>
    <row r="163" spans="1:15" outlineLevel="1" x14ac:dyDescent="0.15">
      <c r="A163" s="8"/>
      <c r="B163" s="8"/>
      <c r="C163" s="8"/>
      <c r="D163" s="8"/>
      <c r="E163" s="9"/>
      <c r="F163" s="8"/>
      <c r="G163" s="143"/>
      <c r="H163" s="11"/>
      <c r="I163" s="143"/>
      <c r="J163" s="9"/>
      <c r="K163" s="143"/>
      <c r="L163" s="9"/>
      <c r="M163" s="8"/>
      <c r="N163" s="2"/>
      <c r="O163" s="2"/>
    </row>
    <row r="164" spans="1:15" outlineLevel="1" x14ac:dyDescent="0.15">
      <c r="A164" s="8"/>
      <c r="B164" s="8"/>
      <c r="C164" s="8"/>
      <c r="D164" s="8"/>
      <c r="E164" s="9"/>
      <c r="F164" s="8"/>
      <c r="G164" s="143"/>
      <c r="H164" s="11"/>
      <c r="I164" s="143"/>
      <c r="J164" s="9"/>
      <c r="K164" s="143"/>
      <c r="L164" s="9"/>
      <c r="M164" s="8"/>
      <c r="N164" s="2"/>
      <c r="O164" s="2"/>
    </row>
    <row r="165" spans="1:15" outlineLevel="1" x14ac:dyDescent="0.15">
      <c r="A165" s="8"/>
      <c r="B165" s="8"/>
      <c r="C165" s="8"/>
      <c r="D165" s="8"/>
      <c r="E165" s="9"/>
      <c r="F165" s="8"/>
      <c r="G165" s="143"/>
      <c r="H165" s="11"/>
      <c r="I165" s="143"/>
      <c r="J165" s="9"/>
      <c r="K165" s="143"/>
      <c r="L165" s="9"/>
      <c r="M165" s="8"/>
      <c r="N165" s="2"/>
      <c r="O165" s="2"/>
    </row>
    <row r="166" spans="1:15" outlineLevel="1" x14ac:dyDescent="0.15">
      <c r="A166" s="8"/>
      <c r="B166" s="8"/>
      <c r="C166" s="8"/>
      <c r="D166" s="8"/>
      <c r="E166" s="9"/>
      <c r="F166" s="8"/>
      <c r="G166" s="143"/>
      <c r="H166" s="11"/>
      <c r="I166" s="143"/>
      <c r="J166" s="9"/>
      <c r="K166" s="143"/>
      <c r="L166" s="9"/>
      <c r="M166" s="8"/>
      <c r="N166" s="2"/>
      <c r="O166" s="2"/>
    </row>
    <row r="167" spans="1:15" outlineLevel="1" x14ac:dyDescent="0.15">
      <c r="A167" s="8"/>
      <c r="B167" s="8"/>
      <c r="C167" s="8"/>
      <c r="D167" s="8"/>
      <c r="E167" s="9"/>
      <c r="F167" s="8"/>
      <c r="G167" s="143"/>
      <c r="H167" s="11"/>
      <c r="I167" s="143"/>
      <c r="J167" s="9"/>
      <c r="K167" s="143"/>
      <c r="L167" s="9"/>
      <c r="M167" s="8"/>
      <c r="N167" s="2"/>
      <c r="O167" s="2"/>
    </row>
    <row r="168" spans="1:15" outlineLevel="1" x14ac:dyDescent="0.15">
      <c r="A168" s="8"/>
      <c r="B168" s="8"/>
      <c r="C168" s="8"/>
      <c r="D168" s="8"/>
      <c r="E168" s="9"/>
      <c r="F168" s="8"/>
      <c r="G168" s="143"/>
      <c r="H168" s="11"/>
      <c r="I168" s="143"/>
      <c r="J168" s="9"/>
      <c r="K168" s="143"/>
      <c r="L168" s="9"/>
      <c r="M168" s="8"/>
      <c r="N168" s="2"/>
      <c r="O168" s="2"/>
    </row>
    <row r="169" spans="1:15" outlineLevel="1" x14ac:dyDescent="0.15">
      <c r="A169" s="8"/>
      <c r="B169" s="8"/>
      <c r="C169" s="8"/>
      <c r="D169" s="8"/>
      <c r="E169" s="9"/>
      <c r="F169" s="8"/>
      <c r="G169" s="143"/>
      <c r="H169" s="11"/>
      <c r="I169" s="143"/>
      <c r="J169" s="9"/>
      <c r="K169" s="143"/>
      <c r="L169" s="9"/>
      <c r="M169" s="8"/>
      <c r="N169" s="2"/>
      <c r="O169" s="2"/>
    </row>
    <row r="170" spans="1:15" outlineLevel="1" x14ac:dyDescent="0.15">
      <c r="A170" s="8"/>
      <c r="B170" s="8"/>
      <c r="C170" s="8"/>
      <c r="D170" s="8"/>
      <c r="E170" s="9"/>
      <c r="F170" s="8"/>
      <c r="G170" s="143"/>
      <c r="H170" s="11"/>
      <c r="I170" s="143"/>
      <c r="J170" s="9"/>
      <c r="K170" s="143"/>
      <c r="L170" s="9"/>
      <c r="M170" s="8"/>
      <c r="N170" s="2"/>
      <c r="O170" s="2"/>
    </row>
    <row r="171" spans="1:15" outlineLevel="1" x14ac:dyDescent="0.15">
      <c r="A171" s="8"/>
      <c r="B171" s="8"/>
      <c r="C171" s="8"/>
      <c r="D171" s="8"/>
      <c r="E171" s="9"/>
      <c r="F171" s="8"/>
      <c r="G171" s="143"/>
      <c r="H171" s="11"/>
      <c r="I171" s="143"/>
      <c r="J171" s="9"/>
      <c r="K171" s="143"/>
      <c r="L171" s="9"/>
      <c r="M171" s="8"/>
      <c r="N171" s="2"/>
      <c r="O171" s="2"/>
    </row>
    <row r="172" spans="1:15" outlineLevel="1" x14ac:dyDescent="0.15">
      <c r="A172" s="8"/>
      <c r="B172" s="8"/>
      <c r="C172" s="8"/>
      <c r="D172" s="8"/>
      <c r="E172" s="9"/>
      <c r="F172" s="8"/>
      <c r="G172" s="143"/>
      <c r="H172" s="11"/>
      <c r="I172" s="143"/>
      <c r="J172" s="9"/>
      <c r="K172" s="143"/>
      <c r="L172" s="9"/>
      <c r="M172" s="8"/>
      <c r="N172" s="2"/>
      <c r="O172" s="2"/>
    </row>
    <row r="173" spans="1:15" outlineLevel="1" x14ac:dyDescent="0.15">
      <c r="A173" s="8"/>
      <c r="B173" s="8"/>
      <c r="C173" s="8"/>
      <c r="D173" s="8"/>
      <c r="E173" s="9"/>
      <c r="F173" s="8"/>
      <c r="G173" s="143"/>
      <c r="H173" s="11"/>
      <c r="I173" s="143"/>
      <c r="J173" s="9"/>
      <c r="K173" s="143"/>
      <c r="L173" s="9"/>
      <c r="M173" s="8"/>
      <c r="N173" s="2"/>
      <c r="O173" s="2"/>
    </row>
    <row r="174" spans="1:15" outlineLevel="1" x14ac:dyDescent="0.15">
      <c r="A174" s="8"/>
      <c r="B174" s="8"/>
      <c r="C174" s="8"/>
      <c r="D174" s="8"/>
      <c r="E174" s="9"/>
      <c r="F174" s="8"/>
      <c r="G174" s="143"/>
      <c r="H174" s="11"/>
      <c r="I174" s="143"/>
      <c r="J174" s="9"/>
      <c r="K174" s="143"/>
      <c r="L174" s="9"/>
      <c r="M174" s="8"/>
      <c r="N174" s="2"/>
      <c r="O174" s="2"/>
    </row>
    <row r="175" spans="1:15" outlineLevel="1" x14ac:dyDescent="0.15">
      <c r="A175" s="8"/>
      <c r="B175" s="8"/>
      <c r="C175" s="8"/>
      <c r="D175" s="8"/>
      <c r="E175" s="9"/>
      <c r="F175" s="8"/>
      <c r="G175" s="143"/>
      <c r="H175" s="11"/>
      <c r="I175" s="143"/>
      <c r="J175" s="9"/>
      <c r="K175" s="143"/>
      <c r="L175" s="9"/>
      <c r="M175" s="8"/>
      <c r="N175" s="2"/>
      <c r="O175" s="2"/>
    </row>
    <row r="176" spans="1:15" outlineLevel="1" x14ac:dyDescent="0.15">
      <c r="A176" s="8"/>
      <c r="B176" s="8"/>
      <c r="C176" s="8"/>
      <c r="D176" s="8"/>
      <c r="E176" s="9"/>
      <c r="F176" s="8"/>
      <c r="G176" s="143"/>
      <c r="H176" s="11"/>
      <c r="I176" s="143"/>
      <c r="J176" s="9"/>
      <c r="K176" s="143"/>
      <c r="L176" s="9"/>
      <c r="M176" s="8"/>
      <c r="N176" s="2"/>
      <c r="O176" s="2"/>
    </row>
    <row r="177" spans="1:15" outlineLevel="1" x14ac:dyDescent="0.15">
      <c r="A177" s="8"/>
      <c r="B177" s="8"/>
      <c r="C177" s="8"/>
      <c r="D177" s="8"/>
      <c r="E177" s="9"/>
      <c r="F177" s="8"/>
      <c r="G177" s="143"/>
      <c r="H177" s="11"/>
      <c r="I177" s="143"/>
      <c r="J177" s="9"/>
      <c r="K177" s="143"/>
      <c r="L177" s="9"/>
      <c r="M177" s="8"/>
      <c r="N177" s="2"/>
      <c r="O177" s="2"/>
    </row>
    <row r="178" spans="1:15" outlineLevel="1" x14ac:dyDescent="0.15">
      <c r="A178" s="8"/>
      <c r="B178" s="8"/>
      <c r="C178" s="8"/>
      <c r="D178" s="8"/>
      <c r="E178" s="9"/>
      <c r="F178" s="8"/>
      <c r="G178" s="143"/>
      <c r="H178" s="11"/>
      <c r="I178" s="143"/>
      <c r="J178" s="9"/>
      <c r="K178" s="143"/>
      <c r="L178" s="9"/>
      <c r="M178" s="8"/>
      <c r="N178" s="2"/>
      <c r="O178" s="2"/>
    </row>
    <row r="179" spans="1:15" outlineLevel="1" x14ac:dyDescent="0.15">
      <c r="A179" s="8"/>
      <c r="B179" s="8"/>
      <c r="C179" s="8"/>
      <c r="D179" s="8"/>
      <c r="E179" s="9"/>
      <c r="F179" s="8"/>
      <c r="G179" s="143"/>
      <c r="H179" s="11"/>
      <c r="I179" s="143"/>
      <c r="J179" s="9"/>
      <c r="K179" s="143"/>
      <c r="L179" s="9"/>
      <c r="M179" s="8"/>
      <c r="N179" s="2"/>
      <c r="O179" s="2"/>
    </row>
    <row r="180" spans="1:15" outlineLevel="1" x14ac:dyDescent="0.15">
      <c r="A180" s="8"/>
      <c r="B180" s="8"/>
      <c r="C180" s="8"/>
      <c r="D180" s="8"/>
      <c r="E180" s="9"/>
      <c r="F180" s="8"/>
      <c r="G180" s="143"/>
      <c r="H180" s="11"/>
      <c r="I180" s="143"/>
      <c r="J180" s="9"/>
      <c r="K180" s="143"/>
      <c r="L180" s="9"/>
      <c r="M180" s="8"/>
      <c r="N180" s="2"/>
      <c r="O180" s="2"/>
    </row>
    <row r="181" spans="1:15" outlineLevel="1" x14ac:dyDescent="0.15">
      <c r="A181" s="8"/>
      <c r="B181" s="8"/>
      <c r="C181" s="8"/>
      <c r="D181" s="8"/>
      <c r="E181" s="9"/>
      <c r="F181" s="8"/>
      <c r="G181" s="143"/>
      <c r="H181" s="11"/>
      <c r="I181" s="143"/>
      <c r="J181" s="9"/>
      <c r="K181" s="143"/>
      <c r="L181" s="9"/>
      <c r="M181" s="8"/>
      <c r="N181" s="2"/>
      <c r="O181" s="2"/>
    </row>
    <row r="182" spans="1:15" outlineLevel="1" x14ac:dyDescent="0.15">
      <c r="A182" s="8"/>
      <c r="B182" s="8"/>
      <c r="C182" s="8"/>
      <c r="D182" s="8"/>
      <c r="E182" s="9"/>
      <c r="F182" s="8"/>
      <c r="G182" s="143"/>
      <c r="H182" s="11"/>
      <c r="I182" s="143"/>
      <c r="J182" s="9"/>
      <c r="K182" s="143"/>
      <c r="L182" s="9"/>
      <c r="M182" s="8"/>
      <c r="N182" s="2"/>
      <c r="O182" s="2"/>
    </row>
    <row r="183" spans="1:15" outlineLevel="1" x14ac:dyDescent="0.15">
      <c r="A183" s="8"/>
      <c r="B183" s="8"/>
      <c r="C183" s="8"/>
      <c r="D183" s="8"/>
      <c r="E183" s="9"/>
      <c r="F183" s="8"/>
      <c r="G183" s="143"/>
      <c r="H183" s="11"/>
      <c r="I183" s="143"/>
      <c r="J183" s="9"/>
      <c r="K183" s="143"/>
      <c r="L183" s="9"/>
      <c r="M183" s="8"/>
      <c r="N183" s="2"/>
      <c r="O183" s="2"/>
    </row>
    <row r="184" spans="1:15" outlineLevel="1" x14ac:dyDescent="0.15">
      <c r="A184" s="8"/>
      <c r="B184" s="8"/>
      <c r="C184" s="8"/>
      <c r="D184" s="8"/>
      <c r="E184" s="9"/>
      <c r="F184" s="8"/>
      <c r="G184" s="143"/>
      <c r="H184" s="11"/>
      <c r="I184" s="143"/>
      <c r="J184" s="9"/>
      <c r="K184" s="143"/>
      <c r="L184" s="9"/>
      <c r="M184" s="8"/>
      <c r="N184" s="2"/>
      <c r="O184" s="2"/>
    </row>
    <row r="185" spans="1:15" outlineLevel="1" x14ac:dyDescent="0.15">
      <c r="A185" s="8"/>
      <c r="B185" s="8"/>
      <c r="C185" s="8"/>
      <c r="D185" s="8"/>
      <c r="E185" s="9"/>
      <c r="F185" s="8"/>
      <c r="G185" s="143"/>
      <c r="H185" s="11"/>
      <c r="I185" s="143"/>
      <c r="J185" s="9"/>
      <c r="K185" s="143"/>
      <c r="L185" s="9"/>
      <c r="M185" s="8"/>
      <c r="N185" s="2"/>
      <c r="O185" s="2"/>
    </row>
    <row r="186" spans="1:15" outlineLevel="1" x14ac:dyDescent="0.15">
      <c r="A186" s="8"/>
      <c r="B186" s="8"/>
      <c r="C186" s="8"/>
      <c r="D186" s="8"/>
      <c r="E186" s="9"/>
      <c r="F186" s="8"/>
      <c r="G186" s="143"/>
      <c r="H186" s="11"/>
      <c r="I186" s="143"/>
      <c r="J186" s="9"/>
      <c r="K186" s="143"/>
      <c r="L186" s="9"/>
      <c r="M186" s="8"/>
      <c r="N186" s="2"/>
      <c r="O186" s="2"/>
    </row>
    <row r="187" spans="1:15" outlineLevel="1" x14ac:dyDescent="0.15">
      <c r="A187" s="8"/>
      <c r="B187" s="8"/>
      <c r="C187" s="8"/>
      <c r="D187" s="8"/>
      <c r="E187" s="9"/>
      <c r="F187" s="8"/>
      <c r="G187" s="143"/>
      <c r="H187" s="11"/>
      <c r="I187" s="143"/>
      <c r="J187" s="9"/>
      <c r="K187" s="143"/>
      <c r="L187" s="9"/>
      <c r="M187" s="8"/>
      <c r="N187" s="2"/>
      <c r="O187" s="2"/>
    </row>
    <row r="188" spans="1:15" outlineLevel="1" x14ac:dyDescent="0.15">
      <c r="A188" s="8"/>
      <c r="B188" s="8"/>
      <c r="C188" s="8"/>
      <c r="D188" s="8"/>
      <c r="E188" s="9"/>
      <c r="F188" s="8"/>
      <c r="G188" s="143"/>
      <c r="H188" s="11"/>
      <c r="I188" s="143"/>
      <c r="J188" s="9"/>
      <c r="K188" s="143"/>
      <c r="L188" s="9"/>
      <c r="M188" s="8"/>
      <c r="N188" s="2"/>
      <c r="O188" s="2"/>
    </row>
    <row r="189" spans="1:15" outlineLevel="1" x14ac:dyDescent="0.15">
      <c r="A189" s="8"/>
      <c r="B189" s="8"/>
      <c r="C189" s="8"/>
      <c r="D189" s="8"/>
      <c r="E189" s="9"/>
      <c r="F189" s="8"/>
      <c r="G189" s="143"/>
      <c r="H189" s="11"/>
      <c r="I189" s="143"/>
      <c r="J189" s="9"/>
      <c r="K189" s="143"/>
      <c r="L189" s="9"/>
      <c r="M189" s="8"/>
      <c r="N189" s="2"/>
      <c r="O189" s="2"/>
    </row>
    <row r="190" spans="1:15" outlineLevel="1" x14ac:dyDescent="0.15">
      <c r="A190" s="8"/>
      <c r="B190" s="8"/>
      <c r="C190" s="8"/>
      <c r="D190" s="8"/>
      <c r="E190" s="9"/>
      <c r="F190" s="8"/>
      <c r="G190" s="143"/>
      <c r="H190" s="11"/>
      <c r="I190" s="143"/>
      <c r="J190" s="9"/>
      <c r="K190" s="143"/>
      <c r="L190" s="9"/>
      <c r="M190" s="8"/>
      <c r="N190" s="2"/>
      <c r="O190" s="2"/>
    </row>
    <row r="191" spans="1:15" outlineLevel="1" x14ac:dyDescent="0.15">
      <c r="A191" s="8"/>
      <c r="B191" s="8"/>
      <c r="C191" s="8"/>
      <c r="D191" s="8"/>
      <c r="E191" s="9"/>
      <c r="F191" s="8"/>
      <c r="G191" s="143"/>
      <c r="H191" s="11"/>
      <c r="I191" s="143"/>
      <c r="J191" s="9"/>
      <c r="K191" s="143"/>
      <c r="L191" s="9"/>
      <c r="M191" s="8"/>
      <c r="N191" s="2"/>
      <c r="O191" s="2"/>
    </row>
    <row r="192" spans="1:15" outlineLevel="1" x14ac:dyDescent="0.15">
      <c r="A192" s="8"/>
      <c r="B192" s="8"/>
      <c r="C192" s="8"/>
      <c r="D192" s="8"/>
      <c r="E192" s="9"/>
      <c r="F192" s="8"/>
      <c r="G192" s="143"/>
      <c r="H192" s="11"/>
      <c r="I192" s="143"/>
      <c r="J192" s="9"/>
      <c r="K192" s="143"/>
      <c r="L192" s="9"/>
      <c r="M192" s="8"/>
      <c r="N192" s="2"/>
      <c r="O192" s="2"/>
    </row>
    <row r="193" spans="1:15" outlineLevel="1" x14ac:dyDescent="0.15">
      <c r="A193" s="8"/>
      <c r="B193" s="8"/>
      <c r="C193" s="8"/>
      <c r="D193" s="8"/>
      <c r="E193" s="9"/>
      <c r="F193" s="8"/>
      <c r="G193" s="143"/>
      <c r="H193" s="11"/>
      <c r="I193" s="143"/>
      <c r="J193" s="9"/>
      <c r="K193" s="143"/>
      <c r="L193" s="9"/>
      <c r="M193" s="8"/>
      <c r="N193" s="2"/>
      <c r="O193" s="2"/>
    </row>
    <row r="194" spans="1:15" outlineLevel="1" x14ac:dyDescent="0.15">
      <c r="A194" s="8"/>
      <c r="B194" s="8"/>
      <c r="C194" s="8"/>
      <c r="D194" s="8"/>
      <c r="E194" s="9"/>
      <c r="F194" s="8"/>
      <c r="G194" s="143"/>
      <c r="H194" s="11"/>
      <c r="I194" s="143"/>
      <c r="J194" s="9"/>
      <c r="K194" s="143"/>
      <c r="L194" s="9"/>
      <c r="M194" s="8"/>
      <c r="N194" s="2"/>
      <c r="O194" s="2"/>
    </row>
    <row r="195" spans="1:15" outlineLevel="1" x14ac:dyDescent="0.15">
      <c r="A195" s="8"/>
      <c r="B195" s="8"/>
      <c r="C195" s="8"/>
      <c r="D195" s="8"/>
      <c r="E195" s="9"/>
      <c r="F195" s="8"/>
      <c r="G195" s="143"/>
      <c r="H195" s="11"/>
      <c r="I195" s="143"/>
      <c r="J195" s="9"/>
      <c r="K195" s="143"/>
      <c r="L195" s="9"/>
      <c r="M195" s="8"/>
      <c r="N195" s="2"/>
      <c r="O195" s="2"/>
    </row>
    <row r="196" spans="1:15" outlineLevel="1" x14ac:dyDescent="0.15">
      <c r="A196" s="8"/>
      <c r="B196" s="8"/>
      <c r="C196" s="8"/>
      <c r="D196" s="8"/>
      <c r="E196" s="9"/>
      <c r="F196" s="8"/>
      <c r="G196" s="143"/>
      <c r="H196" s="11"/>
      <c r="I196" s="143"/>
      <c r="J196" s="9"/>
      <c r="K196" s="143"/>
      <c r="L196" s="9"/>
      <c r="M196" s="8"/>
      <c r="N196" s="2"/>
      <c r="O196" s="2"/>
    </row>
    <row r="197" spans="1:15" outlineLevel="1" x14ac:dyDescent="0.15">
      <c r="A197" s="8"/>
      <c r="B197" s="8"/>
      <c r="C197" s="8"/>
      <c r="D197" s="8"/>
      <c r="E197" s="9"/>
      <c r="F197" s="8"/>
      <c r="G197" s="143"/>
      <c r="H197" s="11"/>
      <c r="I197" s="143"/>
      <c r="J197" s="9"/>
      <c r="K197" s="143"/>
      <c r="L197" s="9"/>
      <c r="M197" s="8"/>
      <c r="N197" s="2"/>
      <c r="O197" s="2"/>
    </row>
    <row r="198" spans="1:15" outlineLevel="1" x14ac:dyDescent="0.15">
      <c r="A198" s="8"/>
      <c r="B198" s="8"/>
      <c r="C198" s="8"/>
      <c r="D198" s="8"/>
      <c r="E198" s="9"/>
      <c r="F198" s="8"/>
      <c r="G198" s="143"/>
      <c r="H198" s="11"/>
      <c r="I198" s="143"/>
      <c r="J198" s="9"/>
      <c r="K198" s="143"/>
      <c r="L198" s="9"/>
      <c r="M198" s="8"/>
      <c r="N198" s="2"/>
      <c r="O198" s="2"/>
    </row>
    <row r="199" spans="1:15" outlineLevel="1" x14ac:dyDescent="0.15">
      <c r="A199" s="8"/>
      <c r="B199" s="8"/>
      <c r="C199" s="8"/>
      <c r="D199" s="8"/>
      <c r="E199" s="9"/>
      <c r="F199" s="8"/>
      <c r="G199" s="143"/>
      <c r="H199" s="11"/>
      <c r="I199" s="143"/>
      <c r="J199" s="9"/>
      <c r="K199" s="143"/>
      <c r="L199" s="9"/>
      <c r="M199" s="8"/>
      <c r="N199" s="2"/>
      <c r="O199" s="2"/>
    </row>
    <row r="200" spans="1:15" outlineLevel="1" x14ac:dyDescent="0.15">
      <c r="A200" s="8"/>
      <c r="B200" s="8"/>
      <c r="C200" s="8"/>
      <c r="D200" s="8"/>
      <c r="E200" s="9"/>
      <c r="F200" s="8"/>
      <c r="G200" s="143"/>
      <c r="H200" s="11"/>
      <c r="I200" s="143"/>
      <c r="J200" s="9"/>
      <c r="K200" s="143"/>
      <c r="L200" s="9"/>
      <c r="M200" s="8"/>
      <c r="N200" s="2"/>
      <c r="O200" s="2"/>
    </row>
    <row r="201" spans="1:15" outlineLevel="1" x14ac:dyDescent="0.15">
      <c r="A201" s="8"/>
      <c r="B201" s="8"/>
      <c r="C201" s="8"/>
      <c r="D201" s="8"/>
      <c r="E201" s="9"/>
      <c r="F201" s="8"/>
      <c r="G201" s="143"/>
      <c r="H201" s="11"/>
      <c r="I201" s="143"/>
      <c r="J201" s="9"/>
      <c r="K201" s="143"/>
      <c r="L201" s="9"/>
      <c r="M201" s="8"/>
      <c r="N201" s="2"/>
      <c r="O201" s="2"/>
    </row>
    <row r="202" spans="1:15" outlineLevel="1" x14ac:dyDescent="0.15">
      <c r="A202" s="8"/>
      <c r="B202" s="8"/>
      <c r="C202" s="8"/>
      <c r="D202" s="8"/>
      <c r="E202" s="9"/>
      <c r="F202" s="8"/>
      <c r="G202" s="143"/>
      <c r="H202" s="11"/>
      <c r="I202" s="143"/>
      <c r="J202" s="9"/>
      <c r="K202" s="143"/>
      <c r="L202" s="9"/>
      <c r="M202" s="8"/>
      <c r="N202" s="2"/>
      <c r="O202" s="2"/>
    </row>
    <row r="203" spans="1:15" outlineLevel="1" x14ac:dyDescent="0.15">
      <c r="A203" s="8"/>
      <c r="B203" s="8"/>
      <c r="C203" s="8"/>
      <c r="D203" s="8"/>
      <c r="E203" s="9"/>
      <c r="F203" s="8"/>
      <c r="G203" s="143"/>
      <c r="H203" s="11"/>
      <c r="I203" s="143"/>
      <c r="J203" s="9"/>
      <c r="K203" s="143"/>
      <c r="L203" s="9"/>
      <c r="M203" s="8"/>
      <c r="N203" s="2"/>
      <c r="O203" s="2"/>
    </row>
    <row r="204" spans="1:15" outlineLevel="1" x14ac:dyDescent="0.15">
      <c r="A204" s="8"/>
      <c r="B204" s="8"/>
      <c r="C204" s="8"/>
      <c r="D204" s="8"/>
      <c r="E204" s="9"/>
      <c r="F204" s="8"/>
      <c r="G204" s="143"/>
      <c r="H204" s="11"/>
      <c r="I204" s="143"/>
      <c r="J204" s="9"/>
      <c r="K204" s="143"/>
      <c r="L204" s="9"/>
      <c r="M204" s="8"/>
      <c r="N204" s="2"/>
      <c r="O204" s="2"/>
    </row>
    <row r="205" spans="1:15" outlineLevel="1" x14ac:dyDescent="0.15">
      <c r="A205" s="8"/>
      <c r="B205" s="8"/>
      <c r="C205" s="8"/>
      <c r="D205" s="8"/>
      <c r="E205" s="9"/>
      <c r="F205" s="8"/>
      <c r="G205" s="143"/>
      <c r="H205" s="11"/>
      <c r="I205" s="143"/>
      <c r="J205" s="9"/>
      <c r="K205" s="143"/>
      <c r="L205" s="9"/>
      <c r="M205" s="8"/>
      <c r="N205" s="2"/>
      <c r="O205" s="2"/>
    </row>
    <row r="206" spans="1:15" outlineLevel="1" x14ac:dyDescent="0.15">
      <c r="A206" s="8"/>
      <c r="B206" s="8"/>
      <c r="C206" s="8"/>
      <c r="D206" s="8"/>
      <c r="E206" s="9"/>
      <c r="F206" s="8"/>
      <c r="G206" s="143"/>
      <c r="H206" s="11"/>
      <c r="I206" s="143"/>
      <c r="J206" s="9"/>
      <c r="K206" s="143"/>
      <c r="L206" s="9"/>
      <c r="M206" s="8"/>
      <c r="N206" s="2"/>
      <c r="O206" s="2"/>
    </row>
    <row r="207" spans="1:15" outlineLevel="1" x14ac:dyDescent="0.15">
      <c r="A207" s="8"/>
      <c r="B207" s="8"/>
      <c r="C207" s="8"/>
      <c r="D207" s="8"/>
      <c r="E207" s="9"/>
      <c r="F207" s="8"/>
      <c r="G207" s="143"/>
      <c r="H207" s="11"/>
      <c r="I207" s="143"/>
      <c r="J207" s="9"/>
      <c r="K207" s="143"/>
      <c r="L207" s="9"/>
      <c r="M207" s="8"/>
      <c r="N207" s="2"/>
      <c r="O207" s="2"/>
    </row>
    <row r="208" spans="1:15" outlineLevel="1" x14ac:dyDescent="0.15">
      <c r="A208" s="8"/>
      <c r="B208" s="8"/>
      <c r="C208" s="8"/>
      <c r="D208" s="8"/>
      <c r="E208" s="9"/>
      <c r="F208" s="8"/>
      <c r="G208" s="143"/>
      <c r="H208" s="11"/>
      <c r="I208" s="143"/>
      <c r="J208" s="9"/>
      <c r="K208" s="143"/>
      <c r="L208" s="9"/>
      <c r="M208" s="8"/>
      <c r="N208" s="2"/>
      <c r="O208" s="2"/>
    </row>
    <row r="209" spans="1:15" outlineLevel="1" x14ac:dyDescent="0.15">
      <c r="A209" s="8"/>
      <c r="B209" s="8"/>
      <c r="C209" s="8"/>
      <c r="D209" s="8"/>
      <c r="E209" s="9"/>
      <c r="F209" s="8"/>
      <c r="G209" s="143"/>
      <c r="H209" s="11"/>
      <c r="I209" s="143"/>
      <c r="J209" s="9"/>
      <c r="K209" s="143"/>
      <c r="L209" s="9"/>
      <c r="M209" s="8"/>
      <c r="N209" s="2"/>
      <c r="O209" s="2"/>
    </row>
    <row r="210" spans="1:15" outlineLevel="1" x14ac:dyDescent="0.15">
      <c r="A210" s="8"/>
      <c r="B210" s="8"/>
      <c r="C210" s="8"/>
      <c r="D210" s="8"/>
      <c r="E210" s="9"/>
      <c r="F210" s="8"/>
      <c r="G210" s="143"/>
      <c r="H210" s="11"/>
      <c r="I210" s="143"/>
      <c r="J210" s="9"/>
      <c r="K210" s="143"/>
      <c r="L210" s="9"/>
      <c r="M210" s="8"/>
      <c r="N210" s="2"/>
      <c r="O210" s="2"/>
    </row>
    <row r="211" spans="1:15" outlineLevel="1" x14ac:dyDescent="0.15">
      <c r="A211" s="8"/>
      <c r="B211" s="8"/>
      <c r="C211" s="8"/>
      <c r="D211" s="8"/>
      <c r="E211" s="9"/>
      <c r="F211" s="8"/>
      <c r="G211" s="143"/>
      <c r="H211" s="11"/>
      <c r="I211" s="143"/>
      <c r="J211" s="9"/>
      <c r="K211" s="143"/>
      <c r="L211" s="9"/>
      <c r="M211" s="8"/>
      <c r="N211" s="2"/>
      <c r="O211" s="2"/>
    </row>
    <row r="212" spans="1:15" outlineLevel="1" x14ac:dyDescent="0.15">
      <c r="A212" s="8"/>
      <c r="B212" s="8"/>
      <c r="C212" s="8"/>
      <c r="D212" s="8"/>
      <c r="E212" s="9"/>
      <c r="F212" s="8"/>
      <c r="G212" s="143"/>
      <c r="H212" s="11"/>
      <c r="I212" s="143"/>
      <c r="J212" s="9"/>
      <c r="K212" s="143"/>
      <c r="L212" s="9"/>
      <c r="M212" s="8"/>
      <c r="N212" s="2"/>
      <c r="O212" s="2"/>
    </row>
    <row r="213" spans="1:15" outlineLevel="1" x14ac:dyDescent="0.15">
      <c r="A213" s="8"/>
      <c r="B213" s="8"/>
      <c r="C213" s="8"/>
      <c r="D213" s="8"/>
      <c r="E213" s="9"/>
      <c r="F213" s="8"/>
      <c r="G213" s="143"/>
      <c r="H213" s="11"/>
      <c r="I213" s="143"/>
      <c r="J213" s="9"/>
      <c r="K213" s="143"/>
      <c r="L213" s="9"/>
      <c r="M213" s="8"/>
      <c r="N213" s="2"/>
      <c r="O213" s="2"/>
    </row>
    <row r="214" spans="1:15" outlineLevel="1" x14ac:dyDescent="0.15">
      <c r="A214" s="8"/>
      <c r="B214" s="8"/>
      <c r="C214" s="8"/>
      <c r="D214" s="8"/>
      <c r="E214" s="9"/>
      <c r="F214" s="8"/>
      <c r="G214" s="143"/>
      <c r="H214" s="11"/>
      <c r="I214" s="143"/>
      <c r="J214" s="9"/>
      <c r="K214" s="143"/>
      <c r="L214" s="9"/>
      <c r="M214" s="8"/>
      <c r="N214" s="2"/>
      <c r="O214" s="2"/>
    </row>
    <row r="215" spans="1:15" outlineLevel="1" x14ac:dyDescent="0.15">
      <c r="A215" s="8"/>
      <c r="B215" s="8"/>
      <c r="C215" s="8"/>
      <c r="D215" s="8"/>
      <c r="E215" s="9"/>
      <c r="F215" s="8"/>
      <c r="G215" s="143"/>
      <c r="H215" s="11"/>
      <c r="I215" s="143"/>
      <c r="J215" s="9"/>
      <c r="K215" s="143"/>
      <c r="L215" s="9"/>
      <c r="M215" s="8"/>
      <c r="N215" s="2"/>
      <c r="O215" s="2"/>
    </row>
    <row r="216" spans="1:15" outlineLevel="1" x14ac:dyDescent="0.15">
      <c r="A216" s="8"/>
      <c r="B216" s="8"/>
      <c r="C216" s="8"/>
      <c r="D216" s="8"/>
      <c r="E216" s="9"/>
      <c r="F216" s="8"/>
      <c r="G216" s="143"/>
      <c r="H216" s="11"/>
      <c r="I216" s="143"/>
      <c r="J216" s="9"/>
      <c r="K216" s="143"/>
      <c r="L216" s="9"/>
      <c r="M216" s="8"/>
      <c r="N216" s="2"/>
      <c r="O216" s="2"/>
    </row>
    <row r="217" spans="1:15" outlineLevel="1" x14ac:dyDescent="0.15">
      <c r="A217" s="8"/>
      <c r="B217" s="8"/>
      <c r="C217" s="8"/>
      <c r="D217" s="8"/>
      <c r="E217" s="9"/>
      <c r="F217" s="8"/>
      <c r="G217" s="143"/>
      <c r="H217" s="11"/>
      <c r="I217" s="143"/>
      <c r="J217" s="9"/>
      <c r="K217" s="143"/>
      <c r="L217" s="9"/>
      <c r="M217" s="8"/>
      <c r="N217" s="2"/>
      <c r="O217" s="2"/>
    </row>
    <row r="218" spans="1:15" outlineLevel="1" x14ac:dyDescent="0.15">
      <c r="A218" s="8"/>
      <c r="B218" s="8"/>
      <c r="C218" s="8"/>
      <c r="D218" s="8"/>
      <c r="E218" s="9"/>
      <c r="F218" s="8"/>
      <c r="G218" s="143"/>
      <c r="H218" s="11"/>
      <c r="I218" s="143"/>
      <c r="J218" s="9"/>
      <c r="K218" s="143"/>
      <c r="L218" s="9"/>
      <c r="M218" s="8"/>
      <c r="N218" s="2"/>
      <c r="O218" s="2"/>
    </row>
    <row r="219" spans="1:15" outlineLevel="1" x14ac:dyDescent="0.15">
      <c r="A219" s="8"/>
      <c r="B219" s="8"/>
      <c r="C219" s="8"/>
      <c r="D219" s="8"/>
      <c r="E219" s="9"/>
      <c r="F219" s="8"/>
      <c r="G219" s="143"/>
      <c r="H219" s="11"/>
      <c r="I219" s="143"/>
      <c r="J219" s="9"/>
      <c r="K219" s="143"/>
      <c r="L219" s="9"/>
      <c r="M219" s="8"/>
      <c r="N219" s="2"/>
      <c r="O219" s="2"/>
    </row>
    <row r="220" spans="1:15" outlineLevel="1" x14ac:dyDescent="0.15">
      <c r="A220" s="8"/>
      <c r="B220" s="8"/>
      <c r="C220" s="8"/>
      <c r="D220" s="8"/>
      <c r="E220" s="9"/>
      <c r="F220" s="8"/>
      <c r="G220" s="143"/>
      <c r="H220" s="11"/>
      <c r="I220" s="143"/>
      <c r="J220" s="9"/>
      <c r="K220" s="143"/>
      <c r="L220" s="9"/>
      <c r="M220" s="8"/>
      <c r="N220" s="2"/>
      <c r="O220" s="2"/>
    </row>
    <row r="221" spans="1:15" outlineLevel="1" x14ac:dyDescent="0.15">
      <c r="A221" s="8"/>
      <c r="B221" s="8"/>
      <c r="C221" s="8"/>
      <c r="D221" s="8"/>
      <c r="E221" s="9"/>
      <c r="F221" s="8"/>
      <c r="G221" s="143"/>
      <c r="H221" s="11"/>
      <c r="I221" s="143"/>
      <c r="J221" s="9"/>
      <c r="K221" s="143"/>
      <c r="L221" s="9"/>
      <c r="M221" s="8"/>
      <c r="N221" s="2"/>
      <c r="O221" s="2"/>
    </row>
    <row r="222" spans="1:15" outlineLevel="1" x14ac:dyDescent="0.15">
      <c r="A222" s="8"/>
      <c r="B222" s="8"/>
      <c r="C222" s="8"/>
      <c r="D222" s="8"/>
      <c r="E222" s="9"/>
      <c r="F222" s="8"/>
      <c r="G222" s="143"/>
      <c r="H222" s="11"/>
      <c r="I222" s="143"/>
      <c r="J222" s="9"/>
      <c r="K222" s="143"/>
      <c r="L222" s="9"/>
      <c r="M222" s="8"/>
      <c r="N222" s="2"/>
      <c r="O222" s="2"/>
    </row>
    <row r="223" spans="1:15" outlineLevel="1" x14ac:dyDescent="0.15">
      <c r="A223" s="8"/>
      <c r="B223" s="8"/>
      <c r="C223" s="8"/>
      <c r="D223" s="8"/>
      <c r="E223" s="9"/>
      <c r="F223" s="8"/>
      <c r="G223" s="143"/>
      <c r="H223" s="11"/>
      <c r="I223" s="143"/>
      <c r="J223" s="9"/>
      <c r="K223" s="143"/>
      <c r="L223" s="9"/>
      <c r="M223" s="8"/>
      <c r="N223" s="2"/>
      <c r="O223" s="2"/>
    </row>
    <row r="224" spans="1:15" outlineLevel="1" x14ac:dyDescent="0.15">
      <c r="A224" s="8"/>
      <c r="B224" s="8"/>
      <c r="C224" s="8"/>
      <c r="D224" s="8"/>
      <c r="E224" s="9"/>
      <c r="F224" s="8"/>
      <c r="G224" s="143"/>
      <c r="H224" s="11"/>
      <c r="I224" s="143"/>
      <c r="J224" s="9"/>
      <c r="K224" s="143"/>
      <c r="L224" s="9"/>
      <c r="M224" s="8"/>
      <c r="N224" s="2"/>
      <c r="O224" s="2"/>
    </row>
    <row r="225" spans="1:15" outlineLevel="1" x14ac:dyDescent="0.15">
      <c r="A225" s="8"/>
      <c r="B225" s="8"/>
      <c r="C225" s="8"/>
      <c r="D225" s="8"/>
      <c r="E225" s="9"/>
      <c r="F225" s="8"/>
      <c r="G225" s="143"/>
      <c r="H225" s="11"/>
      <c r="I225" s="143"/>
      <c r="J225" s="9"/>
      <c r="K225" s="143"/>
      <c r="L225" s="9"/>
      <c r="M225" s="8"/>
      <c r="N225" s="2"/>
      <c r="O225" s="2"/>
    </row>
    <row r="226" spans="1:15" outlineLevel="1" x14ac:dyDescent="0.15">
      <c r="A226" s="8"/>
      <c r="B226" s="8"/>
      <c r="C226" s="8"/>
      <c r="D226" s="8"/>
      <c r="E226" s="9"/>
      <c r="F226" s="8"/>
      <c r="G226" s="143"/>
      <c r="H226" s="11"/>
      <c r="I226" s="143"/>
      <c r="J226" s="9"/>
      <c r="K226" s="143"/>
      <c r="L226" s="9"/>
      <c r="M226" s="8"/>
      <c r="N226" s="2"/>
      <c r="O226" s="2"/>
    </row>
    <row r="227" spans="1:15" outlineLevel="1" x14ac:dyDescent="0.15">
      <c r="A227" s="8"/>
      <c r="B227" s="8"/>
      <c r="C227" s="8"/>
      <c r="D227" s="8"/>
      <c r="E227" s="9"/>
      <c r="F227" s="8"/>
      <c r="G227" s="143"/>
      <c r="H227" s="11"/>
      <c r="I227" s="143"/>
      <c r="J227" s="9"/>
      <c r="K227" s="143"/>
      <c r="L227" s="9"/>
      <c r="M227" s="8"/>
      <c r="N227" s="2"/>
      <c r="O227" s="2"/>
    </row>
    <row r="228" spans="1:15" outlineLevel="1" x14ac:dyDescent="0.15">
      <c r="A228" s="8"/>
      <c r="B228" s="8"/>
      <c r="C228" s="8"/>
      <c r="D228" s="8"/>
      <c r="E228" s="9"/>
      <c r="F228" s="8"/>
      <c r="G228" s="143"/>
      <c r="H228" s="11"/>
      <c r="I228" s="143"/>
      <c r="J228" s="9"/>
      <c r="K228" s="143"/>
      <c r="L228" s="9"/>
      <c r="M228" s="8"/>
      <c r="N228" s="2"/>
      <c r="O228" s="2"/>
    </row>
    <row r="229" spans="1:15" outlineLevel="1" x14ac:dyDescent="0.15">
      <c r="A229" s="8"/>
      <c r="B229" s="8"/>
      <c r="C229" s="8"/>
      <c r="D229" s="8"/>
      <c r="E229" s="9"/>
      <c r="F229" s="8"/>
      <c r="G229" s="143"/>
      <c r="H229" s="11"/>
      <c r="I229" s="143"/>
      <c r="J229" s="9"/>
      <c r="K229" s="143"/>
      <c r="L229" s="9"/>
      <c r="M229" s="8"/>
      <c r="N229" s="2"/>
      <c r="O229" s="2"/>
    </row>
    <row r="230" spans="1:15" outlineLevel="1" x14ac:dyDescent="0.15">
      <c r="A230" s="8"/>
      <c r="B230" s="8"/>
      <c r="C230" s="8"/>
      <c r="D230" s="8"/>
      <c r="E230" s="9"/>
      <c r="F230" s="8"/>
      <c r="G230" s="143"/>
      <c r="H230" s="11"/>
      <c r="I230" s="143"/>
      <c r="J230" s="9"/>
      <c r="K230" s="143"/>
      <c r="L230" s="9"/>
      <c r="M230" s="8"/>
      <c r="N230" s="2"/>
      <c r="O230" s="2"/>
    </row>
    <row r="231" spans="1:15" outlineLevel="1" x14ac:dyDescent="0.15">
      <c r="A231" s="8"/>
      <c r="B231" s="8"/>
      <c r="C231" s="8"/>
      <c r="D231" s="8"/>
      <c r="E231" s="9"/>
      <c r="F231" s="8"/>
      <c r="G231" s="143"/>
      <c r="H231" s="11"/>
      <c r="I231" s="143"/>
      <c r="J231" s="9"/>
      <c r="K231" s="143"/>
      <c r="L231" s="9"/>
      <c r="M231" s="8"/>
      <c r="N231" s="2"/>
      <c r="O231" s="2"/>
    </row>
    <row r="232" spans="1:15" outlineLevel="1" x14ac:dyDescent="0.15">
      <c r="A232" s="8"/>
      <c r="B232" s="8"/>
      <c r="C232" s="8"/>
      <c r="D232" s="8"/>
      <c r="E232" s="9"/>
      <c r="F232" s="8"/>
      <c r="G232" s="143"/>
      <c r="H232" s="11"/>
      <c r="I232" s="143"/>
      <c r="J232" s="9"/>
      <c r="K232" s="143"/>
      <c r="L232" s="9"/>
      <c r="M232" s="8"/>
      <c r="N232" s="2"/>
      <c r="O232" s="2"/>
    </row>
    <row r="233" spans="1:15" outlineLevel="1" x14ac:dyDescent="0.15">
      <c r="A233" s="8"/>
      <c r="B233" s="8"/>
      <c r="C233" s="8"/>
      <c r="D233" s="8"/>
      <c r="E233" s="9"/>
      <c r="F233" s="8"/>
      <c r="G233" s="143"/>
      <c r="H233" s="11"/>
      <c r="I233" s="143"/>
      <c r="J233" s="9"/>
      <c r="K233" s="143"/>
      <c r="L233" s="9"/>
      <c r="M233" s="8"/>
      <c r="N233" s="2"/>
      <c r="O233" s="2"/>
    </row>
    <row r="234" spans="1:15" outlineLevel="1" x14ac:dyDescent="0.15">
      <c r="A234" s="8"/>
      <c r="B234" s="8"/>
      <c r="C234" s="8"/>
      <c r="D234" s="8"/>
      <c r="E234" s="9"/>
      <c r="F234" s="8"/>
      <c r="G234" s="143"/>
      <c r="H234" s="11"/>
      <c r="I234" s="143"/>
      <c r="J234" s="9"/>
      <c r="K234" s="143"/>
      <c r="L234" s="9"/>
      <c r="M234" s="8"/>
      <c r="N234" s="2"/>
      <c r="O234" s="2"/>
    </row>
    <row r="235" spans="1:15" outlineLevel="1" x14ac:dyDescent="0.15">
      <c r="A235" s="8"/>
      <c r="B235" s="8"/>
      <c r="C235" s="8"/>
      <c r="D235" s="8"/>
      <c r="E235" s="9"/>
      <c r="F235" s="8"/>
      <c r="G235" s="143"/>
      <c r="H235" s="11"/>
      <c r="I235" s="143"/>
      <c r="J235" s="9"/>
      <c r="K235" s="143"/>
      <c r="L235" s="9"/>
      <c r="M235" s="8"/>
      <c r="N235" s="2"/>
      <c r="O235" s="2"/>
    </row>
    <row r="236" spans="1:15" outlineLevel="1" x14ac:dyDescent="0.15">
      <c r="A236" s="8"/>
      <c r="B236" s="8"/>
      <c r="C236" s="8"/>
      <c r="D236" s="8"/>
      <c r="E236" s="9"/>
      <c r="F236" s="8"/>
      <c r="G236" s="143"/>
      <c r="H236" s="11"/>
      <c r="I236" s="143"/>
      <c r="J236" s="9"/>
      <c r="K236" s="143"/>
      <c r="L236" s="9"/>
      <c r="M236" s="8"/>
      <c r="N236" s="2"/>
      <c r="O236" s="2"/>
    </row>
    <row r="237" spans="1:15" outlineLevel="1" x14ac:dyDescent="0.15">
      <c r="A237" s="8"/>
      <c r="B237" s="8"/>
      <c r="C237" s="8"/>
      <c r="D237" s="8"/>
      <c r="E237" s="9"/>
      <c r="F237" s="8"/>
      <c r="G237" s="143"/>
      <c r="H237" s="11"/>
      <c r="I237" s="143"/>
      <c r="J237" s="9"/>
      <c r="K237" s="143"/>
      <c r="L237" s="9"/>
      <c r="M237" s="8"/>
      <c r="N237" s="2"/>
      <c r="O237" s="2"/>
    </row>
    <row r="238" spans="1:15" outlineLevel="1" x14ac:dyDescent="0.15">
      <c r="A238" s="8"/>
      <c r="B238" s="8"/>
      <c r="C238" s="8"/>
      <c r="D238" s="8"/>
      <c r="E238" s="9"/>
      <c r="F238" s="8"/>
      <c r="G238" s="143"/>
      <c r="H238" s="11"/>
      <c r="I238" s="143"/>
      <c r="J238" s="9"/>
      <c r="K238" s="143"/>
      <c r="L238" s="9"/>
      <c r="M238" s="8"/>
      <c r="N238" s="2"/>
      <c r="O238" s="2"/>
    </row>
    <row r="239" spans="1:15" outlineLevel="1" x14ac:dyDescent="0.15">
      <c r="A239" s="8"/>
      <c r="B239" s="8"/>
      <c r="C239" s="8"/>
      <c r="D239" s="8"/>
      <c r="E239" s="9"/>
      <c r="F239" s="8"/>
      <c r="G239" s="143"/>
      <c r="H239" s="11"/>
      <c r="I239" s="143"/>
      <c r="J239" s="9"/>
      <c r="K239" s="143"/>
      <c r="L239" s="9"/>
      <c r="M239" s="8"/>
      <c r="N239" s="2"/>
      <c r="O239" s="2"/>
    </row>
    <row r="240" spans="1:15" outlineLevel="1" x14ac:dyDescent="0.15">
      <c r="A240" s="8"/>
      <c r="B240" s="8"/>
      <c r="C240" s="8"/>
      <c r="D240" s="8"/>
      <c r="E240" s="9"/>
      <c r="F240" s="8"/>
      <c r="G240" s="143"/>
      <c r="H240" s="11"/>
      <c r="I240" s="143"/>
      <c r="J240" s="9"/>
      <c r="K240" s="143"/>
      <c r="L240" s="9"/>
      <c r="M240" s="8"/>
      <c r="N240" s="2"/>
      <c r="O240" s="2"/>
    </row>
    <row r="241" spans="1:15" outlineLevel="1" x14ac:dyDescent="0.15">
      <c r="A241" s="8"/>
      <c r="B241" s="8"/>
      <c r="C241" s="8"/>
      <c r="D241" s="8"/>
      <c r="E241" s="9"/>
      <c r="F241" s="8"/>
      <c r="G241" s="143"/>
      <c r="H241" s="11"/>
      <c r="I241" s="143"/>
      <c r="J241" s="9"/>
      <c r="K241" s="143"/>
      <c r="L241" s="9"/>
      <c r="M241" s="8"/>
      <c r="N241" s="2"/>
      <c r="O241" s="2"/>
    </row>
    <row r="242" spans="1:15" outlineLevel="1" x14ac:dyDescent="0.15">
      <c r="A242" s="8"/>
      <c r="B242" s="8"/>
      <c r="C242" s="8"/>
      <c r="D242" s="8"/>
      <c r="E242" s="9"/>
      <c r="F242" s="8"/>
      <c r="G242" s="143"/>
      <c r="H242" s="11"/>
      <c r="I242" s="143"/>
      <c r="J242" s="9"/>
      <c r="K242" s="143"/>
      <c r="L242" s="9"/>
      <c r="M242" s="8"/>
      <c r="N242" s="2"/>
      <c r="O242" s="2"/>
    </row>
    <row r="243" spans="1:15" outlineLevel="1" x14ac:dyDescent="0.15">
      <c r="A243" s="8"/>
      <c r="B243" s="8"/>
      <c r="C243" s="8"/>
      <c r="D243" s="8"/>
      <c r="E243" s="9"/>
      <c r="F243" s="8"/>
      <c r="G243" s="143"/>
      <c r="H243" s="11"/>
      <c r="I243" s="143"/>
      <c r="J243" s="9"/>
      <c r="K243" s="143"/>
      <c r="L243" s="9"/>
      <c r="M243" s="8"/>
      <c r="N243" s="2"/>
      <c r="O243" s="2"/>
    </row>
    <row r="244" spans="1:15" outlineLevel="1" x14ac:dyDescent="0.15">
      <c r="A244" s="8"/>
      <c r="B244" s="8"/>
      <c r="C244" s="8"/>
      <c r="D244" s="8"/>
      <c r="E244" s="9"/>
      <c r="F244" s="8"/>
      <c r="G244" s="143"/>
      <c r="H244" s="11"/>
      <c r="I244" s="143"/>
      <c r="J244" s="9"/>
      <c r="K244" s="143"/>
      <c r="L244" s="9"/>
      <c r="M244" s="8"/>
      <c r="N244" s="2"/>
      <c r="O244" s="2"/>
    </row>
    <row r="245" spans="1:15" outlineLevel="1" x14ac:dyDescent="0.15">
      <c r="A245" s="8"/>
      <c r="B245" s="8"/>
      <c r="C245" s="8"/>
      <c r="D245" s="8"/>
      <c r="E245" s="9"/>
      <c r="F245" s="8"/>
      <c r="G245" s="143"/>
      <c r="H245" s="11"/>
      <c r="I245" s="143"/>
      <c r="J245" s="9"/>
      <c r="K245" s="143"/>
      <c r="L245" s="9"/>
      <c r="M245" s="8"/>
      <c r="N245" s="2"/>
      <c r="O245" s="2"/>
    </row>
    <row r="246" spans="1:15" outlineLevel="1" x14ac:dyDescent="0.15">
      <c r="A246" s="8"/>
      <c r="B246" s="8"/>
      <c r="C246" s="8"/>
      <c r="D246" s="8"/>
      <c r="E246" s="9"/>
      <c r="F246" s="8"/>
      <c r="G246" s="143"/>
      <c r="H246" s="11"/>
      <c r="I246" s="143"/>
      <c r="J246" s="9"/>
      <c r="K246" s="143"/>
      <c r="L246" s="9"/>
      <c r="M246" s="8"/>
      <c r="N246" s="2"/>
      <c r="O246" s="2"/>
    </row>
    <row r="247" spans="1:15" outlineLevel="1" x14ac:dyDescent="0.15">
      <c r="A247" s="8"/>
      <c r="B247" s="8"/>
      <c r="C247" s="8"/>
      <c r="D247" s="8"/>
      <c r="E247" s="9"/>
      <c r="F247" s="8"/>
      <c r="G247" s="143"/>
      <c r="H247" s="11"/>
      <c r="I247" s="143"/>
      <c r="J247" s="9"/>
      <c r="K247" s="143"/>
      <c r="L247" s="9"/>
      <c r="M247" s="8"/>
      <c r="N247" s="2"/>
      <c r="O247" s="2"/>
    </row>
    <row r="248" spans="1:15" outlineLevel="1" x14ac:dyDescent="0.15">
      <c r="A248" s="8"/>
      <c r="B248" s="8"/>
      <c r="C248" s="8"/>
      <c r="D248" s="8"/>
      <c r="E248" s="9"/>
      <c r="F248" s="8"/>
      <c r="G248" s="143"/>
      <c r="H248" s="11"/>
      <c r="I248" s="143"/>
      <c r="J248" s="9"/>
      <c r="K248" s="143"/>
      <c r="L248" s="9"/>
      <c r="M248" s="8"/>
      <c r="N248" s="2"/>
      <c r="O248" s="2"/>
    </row>
    <row r="249" spans="1:15" outlineLevel="1" x14ac:dyDescent="0.15">
      <c r="A249" s="8"/>
      <c r="B249" s="8"/>
      <c r="C249" s="8"/>
      <c r="D249" s="8"/>
      <c r="E249" s="9"/>
      <c r="F249" s="8"/>
      <c r="G249" s="143"/>
      <c r="H249" s="11"/>
      <c r="I249" s="143"/>
      <c r="J249" s="9"/>
      <c r="K249" s="143"/>
      <c r="L249" s="9"/>
      <c r="M249" s="8"/>
      <c r="N249" s="2"/>
      <c r="O249" s="2"/>
    </row>
    <row r="250" spans="1:15" outlineLevel="1" x14ac:dyDescent="0.15">
      <c r="A250" s="8"/>
      <c r="B250" s="8"/>
      <c r="C250" s="8"/>
      <c r="D250" s="8"/>
      <c r="E250" s="9"/>
      <c r="F250" s="8"/>
      <c r="G250" s="143"/>
      <c r="H250" s="11"/>
      <c r="I250" s="143"/>
      <c r="J250" s="9"/>
      <c r="K250" s="143"/>
      <c r="L250" s="9"/>
      <c r="M250" s="8"/>
      <c r="N250" s="2"/>
      <c r="O250" s="2"/>
    </row>
    <row r="251" spans="1:15" outlineLevel="1" x14ac:dyDescent="0.15">
      <c r="A251" s="8"/>
      <c r="B251" s="8"/>
      <c r="C251" s="8"/>
      <c r="D251" s="8"/>
      <c r="E251" s="9"/>
      <c r="F251" s="8"/>
      <c r="G251" s="143"/>
      <c r="H251" s="11"/>
      <c r="I251" s="143"/>
      <c r="J251" s="9"/>
      <c r="K251" s="143"/>
      <c r="L251" s="9"/>
      <c r="M251" s="8"/>
      <c r="N251" s="2"/>
      <c r="O251" s="2"/>
    </row>
    <row r="252" spans="1:15" outlineLevel="1" x14ac:dyDescent="0.15">
      <c r="A252" s="8"/>
      <c r="B252" s="8"/>
      <c r="C252" s="8"/>
      <c r="D252" s="8"/>
      <c r="E252" s="9"/>
      <c r="F252" s="8"/>
      <c r="G252" s="143"/>
      <c r="H252" s="11"/>
      <c r="I252" s="143"/>
      <c r="J252" s="9"/>
      <c r="K252" s="143"/>
      <c r="L252" s="9"/>
      <c r="M252" s="8"/>
      <c r="N252" s="2"/>
      <c r="O252" s="2"/>
    </row>
    <row r="253" spans="1:15" outlineLevel="1" x14ac:dyDescent="0.15">
      <c r="A253" s="8"/>
      <c r="B253" s="8"/>
      <c r="C253" s="8"/>
      <c r="D253" s="8"/>
      <c r="E253" s="9"/>
      <c r="F253" s="8"/>
      <c r="G253" s="143"/>
      <c r="H253" s="11"/>
      <c r="I253" s="143"/>
      <c r="J253" s="9"/>
      <c r="K253" s="143"/>
      <c r="L253" s="9"/>
      <c r="M253" s="8"/>
      <c r="N253" s="2"/>
      <c r="O253" s="2"/>
    </row>
    <row r="254" spans="1:15" outlineLevel="1" x14ac:dyDescent="0.15">
      <c r="A254" s="8"/>
      <c r="B254" s="8"/>
      <c r="C254" s="8"/>
      <c r="D254" s="8"/>
      <c r="E254" s="9"/>
      <c r="F254" s="8"/>
      <c r="G254" s="143"/>
      <c r="H254" s="11"/>
      <c r="I254" s="143"/>
      <c r="J254" s="9"/>
      <c r="K254" s="143"/>
      <c r="L254" s="9"/>
      <c r="M254" s="8"/>
      <c r="N254" s="2"/>
      <c r="O254" s="2"/>
    </row>
    <row r="255" spans="1:15" outlineLevel="1" x14ac:dyDescent="0.15">
      <c r="A255" s="8"/>
      <c r="B255" s="8"/>
      <c r="C255" s="8"/>
      <c r="D255" s="8"/>
      <c r="E255" s="9"/>
      <c r="F255" s="8"/>
      <c r="G255" s="143"/>
      <c r="H255" s="11"/>
      <c r="I255" s="143"/>
      <c r="J255" s="9"/>
      <c r="K255" s="143"/>
      <c r="L255" s="9"/>
      <c r="M255" s="8"/>
      <c r="N255" s="2"/>
      <c r="O255" s="2"/>
    </row>
    <row r="256" spans="1:15" outlineLevel="1" x14ac:dyDescent="0.15">
      <c r="A256" s="8"/>
      <c r="B256" s="8"/>
      <c r="C256" s="8"/>
      <c r="D256" s="8"/>
      <c r="E256" s="9"/>
      <c r="F256" s="8"/>
      <c r="G256" s="143"/>
      <c r="H256" s="11"/>
      <c r="I256" s="143"/>
      <c r="J256" s="9"/>
      <c r="K256" s="143"/>
      <c r="L256" s="9"/>
      <c r="M256" s="8"/>
      <c r="N256" s="2"/>
      <c r="O256" s="2"/>
    </row>
    <row r="257" spans="1:15" outlineLevel="1" x14ac:dyDescent="0.15">
      <c r="A257" s="8"/>
      <c r="B257" s="8"/>
      <c r="C257" s="8"/>
      <c r="D257" s="8"/>
      <c r="E257" s="9"/>
      <c r="F257" s="8"/>
      <c r="G257" s="143"/>
      <c r="H257" s="11"/>
      <c r="I257" s="143"/>
      <c r="J257" s="9"/>
      <c r="K257" s="143"/>
      <c r="L257" s="9"/>
      <c r="M257" s="8"/>
      <c r="N257" s="2"/>
      <c r="O257" s="2"/>
    </row>
    <row r="258" spans="1:15" outlineLevel="1" x14ac:dyDescent="0.15">
      <c r="A258" s="8"/>
      <c r="B258" s="8"/>
      <c r="C258" s="8"/>
      <c r="D258" s="8"/>
      <c r="E258" s="9"/>
      <c r="F258" s="8"/>
      <c r="G258" s="143"/>
      <c r="H258" s="11"/>
      <c r="I258" s="143"/>
      <c r="J258" s="9"/>
      <c r="K258" s="143"/>
      <c r="L258" s="9"/>
      <c r="M258" s="8"/>
      <c r="N258" s="2"/>
      <c r="O258" s="2"/>
    </row>
    <row r="259" spans="1:15" outlineLevel="1" x14ac:dyDescent="0.15">
      <c r="A259" s="8"/>
      <c r="B259" s="8"/>
      <c r="C259" s="8"/>
      <c r="D259" s="8"/>
      <c r="E259" s="9"/>
      <c r="F259" s="8"/>
      <c r="G259" s="143"/>
      <c r="H259" s="11"/>
      <c r="I259" s="143"/>
      <c r="J259" s="9"/>
      <c r="K259" s="143"/>
      <c r="L259" s="9"/>
      <c r="M259" s="8"/>
      <c r="N259" s="2"/>
      <c r="O259" s="2"/>
    </row>
    <row r="260" spans="1:15" outlineLevel="1" x14ac:dyDescent="0.15">
      <c r="A260" s="8"/>
      <c r="B260" s="8"/>
      <c r="C260" s="8"/>
      <c r="D260" s="8"/>
      <c r="E260" s="9"/>
      <c r="F260" s="8"/>
      <c r="G260" s="143"/>
      <c r="H260" s="11"/>
      <c r="I260" s="143"/>
      <c r="J260" s="9"/>
      <c r="K260" s="143"/>
      <c r="L260" s="9"/>
      <c r="M260" s="8"/>
      <c r="N260" s="2"/>
      <c r="O260" s="2"/>
    </row>
    <row r="261" spans="1:15" outlineLevel="1" x14ac:dyDescent="0.15">
      <c r="A261" s="8"/>
      <c r="B261" s="8"/>
      <c r="C261" s="8"/>
      <c r="D261" s="8"/>
      <c r="E261" s="9"/>
      <c r="F261" s="8"/>
      <c r="G261" s="143"/>
      <c r="H261" s="11"/>
      <c r="I261" s="143"/>
      <c r="J261" s="9"/>
      <c r="K261" s="143"/>
      <c r="L261" s="9"/>
      <c r="M261" s="8"/>
      <c r="N261" s="2"/>
      <c r="O261" s="2"/>
    </row>
    <row r="262" spans="1:15" outlineLevel="1" x14ac:dyDescent="0.15">
      <c r="A262" s="8"/>
      <c r="B262" s="8"/>
      <c r="C262" s="8"/>
      <c r="D262" s="8"/>
      <c r="E262" s="9"/>
      <c r="F262" s="8"/>
      <c r="G262" s="143"/>
      <c r="H262" s="11"/>
      <c r="I262" s="143"/>
      <c r="J262" s="9"/>
      <c r="K262" s="143"/>
      <c r="L262" s="9"/>
      <c r="M262" s="8"/>
      <c r="N262" s="2"/>
      <c r="O262" s="2"/>
    </row>
    <row r="263" spans="1:15" outlineLevel="1" x14ac:dyDescent="0.15">
      <c r="A263" s="8"/>
      <c r="B263" s="8"/>
      <c r="C263" s="8"/>
      <c r="D263" s="8"/>
      <c r="E263" s="9"/>
      <c r="F263" s="8"/>
      <c r="G263" s="143"/>
      <c r="H263" s="11"/>
      <c r="I263" s="143"/>
      <c r="J263" s="9"/>
      <c r="K263" s="143"/>
      <c r="L263" s="9"/>
      <c r="M263" s="8"/>
      <c r="N263" s="2"/>
      <c r="O263" s="2"/>
    </row>
    <row r="264" spans="1:15" outlineLevel="1" x14ac:dyDescent="0.15">
      <c r="A264" s="8"/>
      <c r="B264" s="8"/>
      <c r="C264" s="8"/>
      <c r="D264" s="8"/>
      <c r="E264" s="9"/>
      <c r="F264" s="8"/>
      <c r="G264" s="143"/>
      <c r="H264" s="11"/>
      <c r="I264" s="143"/>
      <c r="J264" s="9"/>
      <c r="K264" s="143"/>
      <c r="L264" s="9"/>
      <c r="M264" s="8"/>
      <c r="N264" s="2"/>
      <c r="O264" s="2"/>
    </row>
    <row r="265" spans="1:15" outlineLevel="1" x14ac:dyDescent="0.15">
      <c r="A265" s="8"/>
      <c r="B265" s="8"/>
      <c r="C265" s="8"/>
      <c r="D265" s="8"/>
      <c r="E265" s="9"/>
      <c r="F265" s="8"/>
      <c r="G265" s="143"/>
      <c r="H265" s="11"/>
      <c r="I265" s="143"/>
      <c r="J265" s="9"/>
      <c r="K265" s="143"/>
      <c r="L265" s="9"/>
      <c r="M265" s="8"/>
      <c r="N265" s="2"/>
      <c r="O265" s="2"/>
    </row>
    <row r="266" spans="1:15" outlineLevel="1" x14ac:dyDescent="0.15">
      <c r="A266" s="8"/>
      <c r="B266" s="8"/>
      <c r="C266" s="8"/>
      <c r="D266" s="8"/>
      <c r="E266" s="9"/>
      <c r="F266" s="8"/>
      <c r="G266" s="143"/>
      <c r="H266" s="11"/>
      <c r="I266" s="143"/>
      <c r="J266" s="9"/>
      <c r="K266" s="143"/>
      <c r="L266" s="9"/>
      <c r="M266" s="8"/>
      <c r="N266" s="2"/>
      <c r="O266" s="2"/>
    </row>
    <row r="267" spans="1:15" outlineLevel="1" x14ac:dyDescent="0.15">
      <c r="A267" s="8"/>
      <c r="B267" s="8"/>
      <c r="C267" s="8"/>
      <c r="D267" s="8"/>
      <c r="E267" s="9"/>
      <c r="F267" s="8"/>
      <c r="G267" s="143"/>
      <c r="H267" s="11"/>
      <c r="I267" s="143"/>
      <c r="J267" s="9"/>
      <c r="K267" s="143"/>
      <c r="L267" s="9"/>
      <c r="M267" s="8"/>
      <c r="N267" s="2"/>
      <c r="O267" s="2"/>
    </row>
    <row r="268" spans="1:15" outlineLevel="1" x14ac:dyDescent="0.15">
      <c r="A268" s="8"/>
      <c r="B268" s="8"/>
      <c r="C268" s="8"/>
      <c r="D268" s="8"/>
      <c r="E268" s="9"/>
      <c r="F268" s="8"/>
      <c r="G268" s="143"/>
      <c r="H268" s="11"/>
      <c r="I268" s="143"/>
      <c r="J268" s="9"/>
      <c r="K268" s="143"/>
      <c r="L268" s="9"/>
      <c r="M268" s="8"/>
      <c r="N268" s="2"/>
      <c r="O268" s="2"/>
    </row>
    <row r="269" spans="1:15" outlineLevel="1" x14ac:dyDescent="0.15">
      <c r="A269" s="8"/>
      <c r="B269" s="8"/>
      <c r="C269" s="8"/>
      <c r="D269" s="8"/>
      <c r="E269" s="9"/>
      <c r="F269" s="8"/>
      <c r="G269" s="143"/>
      <c r="H269" s="11"/>
      <c r="I269" s="143"/>
      <c r="J269" s="9"/>
      <c r="K269" s="143"/>
      <c r="L269" s="9"/>
      <c r="M269" s="8"/>
      <c r="N269" s="2"/>
      <c r="O269" s="2"/>
    </row>
    <row r="270" spans="1:15" outlineLevel="1" x14ac:dyDescent="0.15">
      <c r="A270" s="8"/>
      <c r="B270" s="8"/>
      <c r="C270" s="8"/>
      <c r="D270" s="8"/>
      <c r="E270" s="9"/>
      <c r="F270" s="8"/>
      <c r="G270" s="143"/>
      <c r="H270" s="11"/>
      <c r="I270" s="143"/>
      <c r="J270" s="9"/>
      <c r="K270" s="143"/>
      <c r="L270" s="9"/>
      <c r="M270" s="8"/>
      <c r="N270" s="2"/>
      <c r="O270" s="2"/>
    </row>
    <row r="271" spans="1:15" outlineLevel="1" x14ac:dyDescent="0.15">
      <c r="A271" s="8"/>
      <c r="B271" s="8"/>
      <c r="C271" s="8"/>
      <c r="D271" s="8"/>
      <c r="E271" s="9"/>
      <c r="F271" s="8"/>
      <c r="G271" s="143"/>
      <c r="H271" s="11"/>
      <c r="I271" s="143"/>
      <c r="J271" s="9"/>
      <c r="K271" s="143"/>
      <c r="L271" s="9"/>
      <c r="M271" s="8"/>
      <c r="N271" s="2"/>
      <c r="O271" s="2"/>
    </row>
    <row r="272" spans="1:15" outlineLevel="1" x14ac:dyDescent="0.15">
      <c r="A272" s="8"/>
      <c r="B272" s="8"/>
      <c r="C272" s="8"/>
      <c r="D272" s="8"/>
      <c r="E272" s="9"/>
      <c r="F272" s="8"/>
      <c r="G272" s="143"/>
      <c r="H272" s="11"/>
      <c r="I272" s="143"/>
      <c r="J272" s="9"/>
      <c r="K272" s="143"/>
      <c r="L272" s="9"/>
      <c r="M272" s="8"/>
      <c r="N272" s="2"/>
      <c r="O272" s="2"/>
    </row>
    <row r="273" spans="1:15" outlineLevel="1" x14ac:dyDescent="0.15">
      <c r="A273" s="8"/>
      <c r="B273" s="8"/>
      <c r="C273" s="8"/>
      <c r="D273" s="8"/>
      <c r="E273" s="9"/>
      <c r="F273" s="8"/>
      <c r="G273" s="143"/>
      <c r="H273" s="11"/>
      <c r="I273" s="143"/>
      <c r="J273" s="9"/>
      <c r="K273" s="143"/>
      <c r="L273" s="9"/>
      <c r="M273" s="8"/>
      <c r="N273" s="2"/>
      <c r="O273" s="2"/>
    </row>
    <row r="274" spans="1:15" outlineLevel="1" x14ac:dyDescent="0.15">
      <c r="A274" s="8"/>
      <c r="B274" s="8"/>
      <c r="C274" s="8"/>
      <c r="D274" s="8"/>
      <c r="E274" s="9"/>
      <c r="F274" s="8"/>
      <c r="G274" s="143"/>
      <c r="H274" s="11"/>
      <c r="I274" s="143"/>
      <c r="J274" s="9"/>
      <c r="K274" s="143"/>
      <c r="L274" s="9"/>
      <c r="M274" s="8"/>
      <c r="N274" s="2"/>
      <c r="O274" s="2"/>
    </row>
    <row r="275" spans="1:15" outlineLevel="1" x14ac:dyDescent="0.15">
      <c r="A275" s="8"/>
      <c r="B275" s="8"/>
      <c r="C275" s="8"/>
      <c r="D275" s="8"/>
      <c r="E275" s="9"/>
      <c r="F275" s="8"/>
      <c r="G275" s="143"/>
      <c r="H275" s="11"/>
      <c r="I275" s="143"/>
      <c r="J275" s="9"/>
      <c r="K275" s="143"/>
      <c r="L275" s="9"/>
      <c r="M275" s="8"/>
      <c r="N275" s="2"/>
      <c r="O275" s="2"/>
    </row>
    <row r="276" spans="1:15" outlineLevel="1" x14ac:dyDescent="0.15">
      <c r="A276" s="8"/>
      <c r="B276" s="8"/>
      <c r="C276" s="8"/>
      <c r="D276" s="8"/>
      <c r="E276" s="9"/>
      <c r="F276" s="8"/>
      <c r="G276" s="143"/>
      <c r="H276" s="11"/>
      <c r="I276" s="143"/>
      <c r="J276" s="9"/>
      <c r="K276" s="143"/>
      <c r="L276" s="9"/>
      <c r="M276" s="8"/>
      <c r="N276" s="2"/>
      <c r="O276" s="2"/>
    </row>
    <row r="277" spans="1:15" outlineLevel="1" x14ac:dyDescent="0.15">
      <c r="A277" s="8"/>
      <c r="B277" s="8"/>
      <c r="C277" s="8"/>
      <c r="D277" s="8"/>
      <c r="E277" s="9"/>
      <c r="F277" s="8"/>
      <c r="G277" s="143"/>
      <c r="H277" s="11"/>
      <c r="I277" s="143"/>
      <c r="J277" s="9"/>
      <c r="K277" s="143"/>
      <c r="L277" s="9"/>
      <c r="M277" s="8"/>
      <c r="N277" s="2"/>
      <c r="O277" s="2"/>
    </row>
    <row r="278" spans="1:15" outlineLevel="1" x14ac:dyDescent="0.15">
      <c r="A278" s="8"/>
      <c r="B278" s="8"/>
      <c r="C278" s="8"/>
      <c r="D278" s="8"/>
      <c r="E278" s="9"/>
      <c r="F278" s="8"/>
      <c r="G278" s="143"/>
      <c r="H278" s="11"/>
      <c r="I278" s="143"/>
      <c r="J278" s="9"/>
      <c r="K278" s="143"/>
      <c r="L278" s="9"/>
      <c r="M278" s="8"/>
      <c r="N278" s="2"/>
      <c r="O278" s="2"/>
    </row>
    <row r="279" spans="1:15" outlineLevel="1" x14ac:dyDescent="0.15">
      <c r="A279" s="8"/>
      <c r="B279" s="8"/>
      <c r="C279" s="8"/>
      <c r="D279" s="8"/>
      <c r="E279" s="9"/>
      <c r="F279" s="8"/>
      <c r="G279" s="143"/>
      <c r="H279" s="11"/>
      <c r="I279" s="143"/>
      <c r="J279" s="9"/>
      <c r="K279" s="143"/>
      <c r="L279" s="9"/>
      <c r="M279" s="8"/>
      <c r="N279" s="2"/>
      <c r="O279" s="2"/>
    </row>
    <row r="280" spans="1:15" outlineLevel="1" x14ac:dyDescent="0.15">
      <c r="A280" s="8"/>
      <c r="B280" s="8"/>
      <c r="C280" s="8"/>
      <c r="D280" s="8"/>
      <c r="E280" s="9"/>
      <c r="F280" s="8"/>
      <c r="G280" s="143"/>
      <c r="H280" s="11"/>
      <c r="I280" s="143"/>
      <c r="J280" s="9"/>
      <c r="K280" s="143"/>
      <c r="L280" s="9"/>
      <c r="M280" s="8"/>
      <c r="N280" s="2"/>
      <c r="O280" s="2"/>
    </row>
    <row r="281" spans="1:15" outlineLevel="1" x14ac:dyDescent="0.15">
      <c r="A281" s="8"/>
      <c r="B281" s="8"/>
      <c r="C281" s="8"/>
      <c r="D281" s="8"/>
      <c r="E281" s="9"/>
      <c r="F281" s="8"/>
      <c r="G281" s="143"/>
      <c r="H281" s="11"/>
      <c r="I281" s="143"/>
      <c r="J281" s="9"/>
      <c r="K281" s="143"/>
      <c r="L281" s="9"/>
      <c r="M281" s="8"/>
      <c r="N281" s="2"/>
      <c r="O281" s="2"/>
    </row>
    <row r="282" spans="1:15" outlineLevel="1" x14ac:dyDescent="0.15">
      <c r="A282" s="8"/>
      <c r="B282" s="8"/>
      <c r="C282" s="8"/>
      <c r="D282" s="8"/>
      <c r="E282" s="9"/>
      <c r="F282" s="8"/>
      <c r="G282" s="143"/>
      <c r="H282" s="11"/>
      <c r="I282" s="143"/>
      <c r="J282" s="9"/>
      <c r="K282" s="143"/>
      <c r="L282" s="9"/>
      <c r="M282" s="8"/>
      <c r="N282" s="2"/>
      <c r="O282" s="2"/>
    </row>
    <row r="283" spans="1:15" outlineLevel="1" x14ac:dyDescent="0.15">
      <c r="A283" s="8"/>
      <c r="B283" s="8"/>
      <c r="C283" s="8"/>
      <c r="D283" s="8"/>
      <c r="E283" s="9"/>
      <c r="F283" s="8"/>
      <c r="G283" s="143"/>
      <c r="H283" s="11"/>
      <c r="I283" s="143"/>
      <c r="J283" s="9"/>
      <c r="K283" s="143"/>
      <c r="L283" s="9"/>
      <c r="M283" s="8"/>
      <c r="N283" s="2"/>
      <c r="O283" s="2"/>
    </row>
    <row r="284" spans="1:15" outlineLevel="1" x14ac:dyDescent="0.15">
      <c r="A284" s="8"/>
      <c r="B284" s="8"/>
      <c r="C284" s="8"/>
      <c r="D284" s="8"/>
      <c r="E284" s="9"/>
      <c r="F284" s="8"/>
      <c r="G284" s="143"/>
      <c r="H284" s="11"/>
      <c r="I284" s="143"/>
      <c r="J284" s="9"/>
      <c r="K284" s="143"/>
      <c r="L284" s="9"/>
      <c r="M284" s="8"/>
      <c r="N284" s="2"/>
      <c r="O284" s="2"/>
    </row>
    <row r="285" spans="1:15" outlineLevel="1" x14ac:dyDescent="0.15">
      <c r="A285" s="8"/>
      <c r="B285" s="8"/>
      <c r="C285" s="8"/>
      <c r="D285" s="8"/>
      <c r="E285" s="9"/>
      <c r="F285" s="8"/>
      <c r="G285" s="143"/>
      <c r="H285" s="11"/>
      <c r="I285" s="143"/>
      <c r="J285" s="9"/>
      <c r="K285" s="143"/>
      <c r="L285" s="9"/>
      <c r="M285" s="8"/>
      <c r="N285" s="2"/>
      <c r="O285" s="2"/>
    </row>
    <row r="286" spans="1:15" outlineLevel="1" x14ac:dyDescent="0.15">
      <c r="A286" s="8"/>
      <c r="B286" s="8"/>
      <c r="C286" s="8"/>
      <c r="D286" s="8"/>
      <c r="E286" s="9"/>
      <c r="F286" s="8"/>
      <c r="G286" s="143"/>
      <c r="H286" s="11"/>
      <c r="I286" s="143"/>
      <c r="J286" s="9"/>
      <c r="K286" s="143"/>
      <c r="L286" s="9"/>
      <c r="M286" s="8"/>
      <c r="N286" s="2"/>
      <c r="O286" s="2"/>
    </row>
    <row r="287" spans="1:15" outlineLevel="1" x14ac:dyDescent="0.15">
      <c r="A287" s="8"/>
      <c r="B287" s="8"/>
      <c r="C287" s="8"/>
      <c r="D287" s="8"/>
      <c r="E287" s="9"/>
      <c r="F287" s="8"/>
      <c r="G287" s="143"/>
      <c r="H287" s="11"/>
      <c r="I287" s="143"/>
      <c r="J287" s="9"/>
      <c r="K287" s="143"/>
      <c r="L287" s="9"/>
      <c r="M287" s="8"/>
      <c r="N287" s="2"/>
      <c r="O287" s="2"/>
    </row>
    <row r="288" spans="1:15" outlineLevel="1" x14ac:dyDescent="0.15">
      <c r="A288" s="8"/>
      <c r="B288" s="8"/>
      <c r="C288" s="8"/>
      <c r="D288" s="8"/>
      <c r="E288" s="9"/>
      <c r="F288" s="8"/>
      <c r="G288" s="143"/>
      <c r="H288" s="11"/>
      <c r="I288" s="143"/>
      <c r="J288" s="9"/>
      <c r="K288" s="143"/>
      <c r="L288" s="9"/>
      <c r="M288" s="8"/>
      <c r="N288" s="2"/>
      <c r="O288" s="2"/>
    </row>
    <row r="289" spans="1:15" outlineLevel="1" x14ac:dyDescent="0.15">
      <c r="A289" s="8"/>
      <c r="B289" s="8"/>
      <c r="C289" s="8"/>
      <c r="D289" s="8"/>
      <c r="E289" s="9"/>
      <c r="F289" s="8"/>
      <c r="G289" s="143"/>
      <c r="H289" s="11"/>
      <c r="I289" s="143"/>
      <c r="J289" s="9"/>
      <c r="K289" s="143"/>
      <c r="L289" s="9"/>
      <c r="M289" s="8"/>
      <c r="N289" s="2"/>
      <c r="O289" s="2"/>
    </row>
    <row r="290" spans="1:15" outlineLevel="1" x14ac:dyDescent="0.15">
      <c r="A290" s="8"/>
      <c r="B290" s="8"/>
      <c r="C290" s="8"/>
      <c r="D290" s="8"/>
      <c r="E290" s="9"/>
      <c r="F290" s="8"/>
      <c r="G290" s="143"/>
      <c r="H290" s="11"/>
      <c r="I290" s="143"/>
      <c r="J290" s="9"/>
      <c r="K290" s="143"/>
      <c r="L290" s="9"/>
      <c r="M290" s="8"/>
      <c r="N290" s="2"/>
      <c r="O290" s="2"/>
    </row>
    <row r="291" spans="1:15" outlineLevel="1" x14ac:dyDescent="0.15">
      <c r="A291" s="8"/>
      <c r="B291" s="8"/>
      <c r="C291" s="8"/>
      <c r="D291" s="8"/>
      <c r="E291" s="9"/>
      <c r="F291" s="8"/>
      <c r="G291" s="143"/>
      <c r="H291" s="11"/>
      <c r="I291" s="143"/>
      <c r="J291" s="9"/>
      <c r="K291" s="143"/>
      <c r="L291" s="9"/>
      <c r="M291" s="8"/>
      <c r="N291" s="2"/>
      <c r="O291" s="2"/>
    </row>
    <row r="292" spans="1:15" outlineLevel="1" x14ac:dyDescent="0.15">
      <c r="A292" s="8"/>
      <c r="B292" s="8"/>
      <c r="C292" s="8"/>
      <c r="D292" s="8"/>
      <c r="E292" s="9"/>
      <c r="F292" s="8"/>
      <c r="G292" s="143"/>
      <c r="H292" s="11"/>
      <c r="I292" s="143"/>
      <c r="J292" s="9"/>
      <c r="K292" s="143"/>
      <c r="L292" s="9"/>
      <c r="M292" s="8"/>
      <c r="N292" s="2"/>
      <c r="O292" s="2"/>
    </row>
    <row r="293" spans="1:15" outlineLevel="1" x14ac:dyDescent="0.15">
      <c r="A293" s="8"/>
      <c r="B293" s="8"/>
      <c r="C293" s="8"/>
      <c r="D293" s="8"/>
      <c r="E293" s="9"/>
      <c r="F293" s="8"/>
      <c r="G293" s="143"/>
      <c r="H293" s="11"/>
      <c r="I293" s="143"/>
      <c r="J293" s="9"/>
      <c r="K293" s="143"/>
      <c r="L293" s="9"/>
      <c r="M293" s="8"/>
      <c r="N293" s="2"/>
      <c r="O293" s="2"/>
    </row>
    <row r="294" spans="1:15" outlineLevel="1" x14ac:dyDescent="0.15">
      <c r="A294" s="8"/>
      <c r="B294" s="8"/>
      <c r="C294" s="8"/>
      <c r="D294" s="8"/>
      <c r="E294" s="9"/>
      <c r="F294" s="8"/>
      <c r="G294" s="143"/>
      <c r="H294" s="11"/>
      <c r="I294" s="143"/>
      <c r="J294" s="9"/>
      <c r="K294" s="143"/>
      <c r="L294" s="9"/>
      <c r="M294" s="8"/>
      <c r="N294" s="2"/>
      <c r="O294" s="2"/>
    </row>
    <row r="295" spans="1:15" outlineLevel="1" x14ac:dyDescent="0.15">
      <c r="A295" s="8"/>
      <c r="B295" s="8"/>
      <c r="C295" s="8"/>
      <c r="D295" s="8"/>
      <c r="E295" s="9"/>
      <c r="F295" s="8"/>
      <c r="G295" s="143"/>
      <c r="H295" s="11"/>
      <c r="I295" s="143"/>
      <c r="J295" s="9"/>
      <c r="K295" s="143"/>
      <c r="L295" s="9"/>
      <c r="M295" s="8"/>
      <c r="N295" s="2"/>
      <c r="O295" s="2"/>
    </row>
    <row r="296" spans="1:15" outlineLevel="1" x14ac:dyDescent="0.15">
      <c r="A296" s="8"/>
      <c r="B296" s="8"/>
      <c r="C296" s="8"/>
      <c r="D296" s="8"/>
      <c r="E296" s="9"/>
      <c r="F296" s="8"/>
      <c r="G296" s="143"/>
      <c r="H296" s="11"/>
      <c r="I296" s="143"/>
      <c r="J296" s="9"/>
      <c r="K296" s="143"/>
      <c r="L296" s="9"/>
      <c r="M296" s="8"/>
      <c r="N296" s="2"/>
      <c r="O296" s="2"/>
    </row>
    <row r="297" spans="1:15" outlineLevel="1" x14ac:dyDescent="0.15">
      <c r="A297" s="8"/>
      <c r="B297" s="8"/>
      <c r="C297" s="8"/>
      <c r="D297" s="8"/>
      <c r="E297" s="9"/>
      <c r="F297" s="8"/>
      <c r="G297" s="143"/>
      <c r="H297" s="11"/>
      <c r="I297" s="143"/>
      <c r="J297" s="9"/>
      <c r="K297" s="143"/>
      <c r="L297" s="9"/>
      <c r="M297" s="8"/>
      <c r="N297" s="2"/>
      <c r="O297" s="2"/>
    </row>
    <row r="298" spans="1:15" outlineLevel="1" x14ac:dyDescent="0.15">
      <c r="A298" s="8"/>
      <c r="B298" s="8"/>
      <c r="C298" s="8"/>
      <c r="D298" s="8"/>
      <c r="E298" s="9"/>
      <c r="F298" s="8"/>
      <c r="G298" s="143"/>
      <c r="H298" s="11"/>
      <c r="I298" s="143"/>
      <c r="J298" s="9"/>
      <c r="K298" s="143"/>
      <c r="L298" s="9"/>
      <c r="M298" s="8"/>
      <c r="N298" s="2"/>
      <c r="O298" s="2"/>
    </row>
    <row r="299" spans="1:15" outlineLevel="1" x14ac:dyDescent="0.15">
      <c r="A299" s="8"/>
      <c r="B299" s="8"/>
      <c r="C299" s="8"/>
      <c r="D299" s="8"/>
      <c r="E299" s="9"/>
      <c r="F299" s="8"/>
      <c r="G299" s="143"/>
      <c r="H299" s="11"/>
      <c r="I299" s="143"/>
      <c r="J299" s="9"/>
      <c r="K299" s="143"/>
      <c r="L299" s="9"/>
      <c r="M299" s="8"/>
      <c r="N299" s="2"/>
      <c r="O299" s="2"/>
    </row>
    <row r="300" spans="1:15" outlineLevel="1" x14ac:dyDescent="0.15">
      <c r="A300" s="8"/>
      <c r="B300" s="8"/>
      <c r="C300" s="8"/>
      <c r="D300" s="8"/>
      <c r="E300" s="9"/>
      <c r="F300" s="8"/>
      <c r="G300" s="143"/>
      <c r="H300" s="11"/>
      <c r="I300" s="143"/>
      <c r="J300" s="9"/>
      <c r="K300" s="143"/>
      <c r="L300" s="9"/>
      <c r="M300" s="8"/>
      <c r="N300" s="2"/>
      <c r="O300" s="2"/>
    </row>
    <row r="301" spans="1:15" outlineLevel="1" x14ac:dyDescent="0.15">
      <c r="A301" s="8"/>
      <c r="B301" s="8"/>
      <c r="C301" s="8"/>
      <c r="D301" s="8"/>
      <c r="E301" s="9"/>
      <c r="F301" s="8"/>
      <c r="G301" s="143"/>
      <c r="H301" s="11"/>
      <c r="I301" s="143"/>
      <c r="J301" s="9"/>
      <c r="K301" s="143"/>
      <c r="L301" s="9"/>
      <c r="M301" s="8"/>
      <c r="N301" s="2"/>
      <c r="O301" s="2"/>
    </row>
    <row r="302" spans="1:15" outlineLevel="1" x14ac:dyDescent="0.15">
      <c r="A302" s="8"/>
      <c r="B302" s="8"/>
      <c r="C302" s="8"/>
      <c r="D302" s="8"/>
      <c r="E302" s="9"/>
      <c r="F302" s="8"/>
      <c r="G302" s="143"/>
      <c r="H302" s="11"/>
      <c r="I302" s="143"/>
      <c r="J302" s="9"/>
      <c r="K302" s="143"/>
      <c r="L302" s="9"/>
      <c r="M302" s="8"/>
      <c r="N302" s="2"/>
      <c r="O302" s="2"/>
    </row>
    <row r="303" spans="1:15" x14ac:dyDescent="0.15">
      <c r="A303" s="8"/>
      <c r="B303" s="8"/>
      <c r="C303" s="8"/>
      <c r="D303" s="8"/>
      <c r="E303" s="9"/>
      <c r="F303" s="8"/>
      <c r="G303" s="143"/>
      <c r="H303" s="11"/>
      <c r="I303" s="143"/>
      <c r="J303" s="9"/>
      <c r="K303" s="143"/>
      <c r="L303" s="9"/>
      <c r="M303" s="8"/>
      <c r="N303" s="2"/>
      <c r="O303" s="2"/>
    </row>
    <row r="304" spans="1:15" x14ac:dyDescent="0.15">
      <c r="A304" s="8"/>
      <c r="B304" s="8"/>
      <c r="C304" s="8"/>
      <c r="D304" s="8"/>
      <c r="E304" s="9"/>
      <c r="F304" s="8"/>
      <c r="G304" s="143"/>
      <c r="H304" s="11"/>
      <c r="I304" s="143"/>
      <c r="J304" s="9"/>
      <c r="K304" s="143"/>
      <c r="L304" s="9"/>
      <c r="M304" s="8"/>
      <c r="N304" s="2"/>
      <c r="O304" s="2"/>
    </row>
    <row r="305" spans="1:15" x14ac:dyDescent="0.15">
      <c r="A305" s="8"/>
      <c r="B305" s="8"/>
      <c r="C305" s="8"/>
      <c r="D305" s="8"/>
      <c r="E305" s="9"/>
      <c r="F305" s="8"/>
      <c r="G305" s="143"/>
      <c r="H305" s="11"/>
      <c r="I305" s="143"/>
      <c r="J305" s="9"/>
      <c r="K305" s="143"/>
      <c r="L305" s="9"/>
      <c r="M305" s="8"/>
      <c r="N305" s="2"/>
      <c r="O305" s="2"/>
    </row>
    <row r="306" spans="1:15" x14ac:dyDescent="0.15">
      <c r="A306" s="8"/>
      <c r="B306" s="8"/>
      <c r="C306" s="8"/>
      <c r="D306" s="8"/>
      <c r="E306" s="9"/>
      <c r="F306" s="8"/>
      <c r="G306" s="143"/>
      <c r="H306" s="11"/>
      <c r="I306" s="143"/>
      <c r="J306" s="9"/>
      <c r="K306" s="143"/>
      <c r="L306" s="9"/>
      <c r="M306" s="8"/>
      <c r="N306" s="2"/>
      <c r="O306" s="2"/>
    </row>
    <row r="307" spans="1:15" x14ac:dyDescent="0.15">
      <c r="A307" s="8"/>
      <c r="B307" s="8"/>
      <c r="C307" s="8"/>
      <c r="D307" s="8"/>
      <c r="E307" s="9"/>
      <c r="F307" s="8"/>
      <c r="G307" s="143"/>
      <c r="H307" s="11"/>
      <c r="I307" s="143"/>
      <c r="J307" s="9"/>
      <c r="K307" s="143"/>
      <c r="L307" s="9"/>
      <c r="M307" s="8"/>
      <c r="N307" s="2"/>
      <c r="O307" s="2"/>
    </row>
    <row r="308" spans="1:15" x14ac:dyDescent="0.15">
      <c r="A308" s="8"/>
      <c r="B308" s="8"/>
      <c r="C308" s="8"/>
      <c r="D308" s="8"/>
      <c r="E308" s="9"/>
      <c r="F308" s="8"/>
      <c r="G308" s="143"/>
      <c r="H308" s="11"/>
      <c r="I308" s="143"/>
      <c r="J308" s="9"/>
      <c r="K308" s="143"/>
      <c r="L308" s="9"/>
      <c r="M308" s="8"/>
      <c r="N308" s="2"/>
      <c r="O308" s="2"/>
    </row>
    <row r="309" spans="1:15" x14ac:dyDescent="0.15">
      <c r="A309" s="8"/>
      <c r="B309" s="8"/>
      <c r="C309" s="8"/>
      <c r="D309" s="8"/>
      <c r="E309" s="9"/>
      <c r="F309" s="8"/>
      <c r="G309" s="143"/>
      <c r="H309" s="11"/>
      <c r="I309" s="143"/>
      <c r="J309" s="9"/>
      <c r="K309" s="143"/>
      <c r="L309" s="9"/>
      <c r="M309" s="8"/>
      <c r="N309" s="2"/>
      <c r="O309" s="2"/>
    </row>
    <row r="310" spans="1:15" x14ac:dyDescent="0.15">
      <c r="A310" s="8"/>
      <c r="B310" s="8"/>
      <c r="C310" s="8"/>
      <c r="D310" s="8"/>
      <c r="E310" s="9"/>
      <c r="F310" s="8"/>
      <c r="G310" s="143"/>
      <c r="H310" s="11"/>
      <c r="I310" s="143"/>
      <c r="J310" s="9"/>
      <c r="K310" s="143"/>
      <c r="L310" s="9"/>
      <c r="M310" s="8"/>
      <c r="N310" s="2"/>
      <c r="O310" s="2"/>
    </row>
    <row r="311" spans="1:15" x14ac:dyDescent="0.15">
      <c r="A311" s="8"/>
      <c r="B311" s="8"/>
      <c r="C311" s="8"/>
      <c r="D311" s="8"/>
      <c r="E311" s="9"/>
      <c r="F311" s="8"/>
      <c r="G311" s="143"/>
      <c r="H311" s="11"/>
      <c r="I311" s="143"/>
      <c r="J311" s="9"/>
      <c r="K311" s="143"/>
      <c r="L311" s="9"/>
      <c r="M311" s="8"/>
      <c r="N311" s="2"/>
      <c r="O311" s="2"/>
    </row>
    <row r="312" spans="1:15" x14ac:dyDescent="0.15">
      <c r="A312" s="8"/>
      <c r="B312" s="8"/>
      <c r="C312" s="8"/>
      <c r="D312" s="8"/>
      <c r="E312" s="9"/>
      <c r="F312" s="8"/>
      <c r="G312" s="143"/>
      <c r="H312" s="11"/>
      <c r="I312" s="143"/>
      <c r="J312" s="9"/>
      <c r="K312" s="143"/>
      <c r="L312" s="9"/>
      <c r="M312" s="8"/>
      <c r="N312" s="2"/>
      <c r="O312" s="2"/>
    </row>
    <row r="313" spans="1:15" x14ac:dyDescent="0.15">
      <c r="A313" s="8"/>
      <c r="B313" s="8"/>
      <c r="C313" s="8"/>
      <c r="D313" s="8"/>
      <c r="E313" s="9"/>
      <c r="F313" s="8"/>
      <c r="G313" s="143"/>
      <c r="H313" s="11"/>
      <c r="I313" s="143"/>
      <c r="J313" s="9"/>
      <c r="K313" s="143"/>
      <c r="L313" s="9"/>
      <c r="M313" s="8"/>
      <c r="N313" s="2"/>
      <c r="O313" s="2"/>
    </row>
    <row r="314" spans="1:15" x14ac:dyDescent="0.15">
      <c r="A314" s="8"/>
      <c r="B314" s="8"/>
      <c r="C314" s="8"/>
      <c r="D314" s="8"/>
      <c r="E314" s="9"/>
      <c r="F314" s="8"/>
      <c r="G314" s="143"/>
      <c r="H314" s="11"/>
      <c r="I314" s="143"/>
      <c r="J314" s="9"/>
      <c r="K314" s="143"/>
      <c r="L314" s="9"/>
      <c r="M314" s="8"/>
      <c r="N314" s="2"/>
      <c r="O314" s="2"/>
    </row>
    <row r="315" spans="1:15" x14ac:dyDescent="0.15">
      <c r="A315" s="8"/>
      <c r="B315" s="8"/>
      <c r="C315" s="8"/>
      <c r="D315" s="8"/>
      <c r="E315" s="9"/>
      <c r="F315" s="8"/>
      <c r="G315" s="143"/>
      <c r="H315" s="11"/>
      <c r="I315" s="143"/>
      <c r="J315" s="9"/>
      <c r="K315" s="143"/>
      <c r="L315" s="9"/>
      <c r="M315" s="8"/>
      <c r="N315" s="2"/>
      <c r="O315" s="2"/>
    </row>
    <row r="316" spans="1:15" x14ac:dyDescent="0.15">
      <c r="A316" s="8"/>
      <c r="B316" s="8"/>
      <c r="C316" s="8"/>
      <c r="D316" s="8"/>
      <c r="E316" s="9"/>
      <c r="F316" s="8"/>
      <c r="G316" s="143"/>
      <c r="H316" s="11"/>
      <c r="I316" s="143"/>
      <c r="J316" s="9"/>
      <c r="K316" s="143"/>
      <c r="L316" s="9"/>
      <c r="M316" s="8"/>
      <c r="N316" s="2"/>
      <c r="O316" s="2"/>
    </row>
    <row r="317" spans="1:15" x14ac:dyDescent="0.15">
      <c r="A317" s="8"/>
      <c r="B317" s="8"/>
      <c r="C317" s="8"/>
      <c r="D317" s="8"/>
      <c r="E317" s="9"/>
      <c r="F317" s="8"/>
      <c r="G317" s="143"/>
      <c r="H317" s="11"/>
      <c r="I317" s="143"/>
      <c r="J317" s="9"/>
      <c r="K317" s="143"/>
      <c r="L317" s="9"/>
      <c r="M317" s="8"/>
      <c r="N317" s="2"/>
      <c r="O317" s="2"/>
    </row>
    <row r="318" spans="1:15" x14ac:dyDescent="0.15">
      <c r="A318" s="8"/>
      <c r="B318" s="8"/>
      <c r="C318" s="8"/>
      <c r="D318" s="8"/>
      <c r="E318" s="9"/>
      <c r="F318" s="8"/>
      <c r="G318" s="143"/>
      <c r="H318" s="11"/>
      <c r="I318" s="143"/>
      <c r="J318" s="9"/>
      <c r="K318" s="143"/>
      <c r="L318" s="9"/>
      <c r="M318" s="8"/>
      <c r="N318" s="2"/>
      <c r="O318" s="2"/>
    </row>
    <row r="319" spans="1:15" x14ac:dyDescent="0.15">
      <c r="A319" s="8"/>
      <c r="B319" s="8"/>
      <c r="C319" s="8"/>
      <c r="D319" s="8"/>
      <c r="E319" s="9"/>
      <c r="F319" s="8"/>
      <c r="G319" s="143"/>
      <c r="H319" s="11"/>
      <c r="I319" s="143"/>
      <c r="J319" s="9"/>
      <c r="K319" s="143"/>
      <c r="L319" s="9"/>
      <c r="M319" s="8"/>
      <c r="N319" s="2"/>
      <c r="O319" s="2"/>
    </row>
    <row r="320" spans="1:15" x14ac:dyDescent="0.15">
      <c r="A320" s="8"/>
      <c r="B320" s="8"/>
      <c r="C320" s="8"/>
      <c r="D320" s="8"/>
      <c r="E320" s="9"/>
      <c r="F320" s="8"/>
      <c r="G320" s="143"/>
      <c r="H320" s="11"/>
      <c r="I320" s="143"/>
      <c r="J320" s="9"/>
      <c r="K320" s="143"/>
      <c r="L320" s="9"/>
      <c r="M320" s="8"/>
      <c r="N320" s="2"/>
      <c r="O320" s="2"/>
    </row>
    <row r="321" spans="1:15" x14ac:dyDescent="0.15">
      <c r="A321" s="8"/>
      <c r="B321" s="8"/>
      <c r="C321" s="8"/>
      <c r="D321" s="8"/>
      <c r="E321" s="9"/>
      <c r="F321" s="8"/>
      <c r="G321" s="143"/>
      <c r="H321" s="11"/>
      <c r="I321" s="143"/>
      <c r="J321" s="9"/>
      <c r="K321" s="143"/>
      <c r="L321" s="9"/>
      <c r="M321" s="8"/>
      <c r="N321" s="2"/>
      <c r="O321" s="2"/>
    </row>
    <row r="322" spans="1:15" x14ac:dyDescent="0.15">
      <c r="A322" s="8"/>
      <c r="B322" s="8"/>
      <c r="C322" s="8"/>
      <c r="D322" s="8"/>
      <c r="E322" s="9"/>
      <c r="F322" s="8"/>
      <c r="G322" s="143"/>
      <c r="H322" s="11"/>
      <c r="I322" s="143"/>
      <c r="J322" s="9"/>
      <c r="K322" s="143"/>
      <c r="L322" s="9"/>
      <c r="M322" s="8"/>
      <c r="N322" s="2"/>
      <c r="O322" s="2"/>
    </row>
    <row r="323" spans="1:15" x14ac:dyDescent="0.15">
      <c r="A323" s="8"/>
      <c r="B323" s="8"/>
      <c r="C323" s="8"/>
      <c r="D323" s="8"/>
      <c r="E323" s="9"/>
      <c r="F323" s="8"/>
      <c r="G323" s="143"/>
      <c r="H323" s="11"/>
      <c r="I323" s="143"/>
      <c r="J323" s="9"/>
      <c r="K323" s="143"/>
      <c r="L323" s="9"/>
      <c r="M323" s="8"/>
      <c r="N323" s="2"/>
      <c r="O323" s="2"/>
    </row>
    <row r="324" spans="1:15" x14ac:dyDescent="0.15">
      <c r="A324" s="8"/>
      <c r="B324" s="8"/>
      <c r="C324" s="8"/>
      <c r="D324" s="8"/>
      <c r="E324" s="9"/>
      <c r="F324" s="8"/>
      <c r="G324" s="143"/>
      <c r="H324" s="11"/>
      <c r="I324" s="143"/>
      <c r="J324" s="9"/>
      <c r="K324" s="143"/>
      <c r="L324" s="9"/>
      <c r="M324" s="8"/>
      <c r="N324" s="2"/>
      <c r="O324" s="2"/>
    </row>
    <row r="325" spans="1:15" x14ac:dyDescent="0.15">
      <c r="A325" s="8"/>
      <c r="B325" s="8"/>
      <c r="C325" s="8"/>
      <c r="D325" s="8"/>
      <c r="E325" s="9"/>
      <c r="F325" s="8"/>
      <c r="G325" s="143"/>
      <c r="H325" s="11"/>
      <c r="I325" s="143"/>
      <c r="J325" s="9"/>
      <c r="K325" s="143"/>
      <c r="L325" s="9"/>
      <c r="M325" s="8"/>
      <c r="N325" s="2"/>
      <c r="O325" s="2"/>
    </row>
    <row r="326" spans="1:15" x14ac:dyDescent="0.15">
      <c r="A326" s="8"/>
      <c r="B326" s="8"/>
      <c r="C326" s="8"/>
      <c r="D326" s="8"/>
      <c r="E326" s="9"/>
      <c r="F326" s="8"/>
      <c r="G326" s="143"/>
      <c r="H326" s="11"/>
      <c r="I326" s="143"/>
      <c r="J326" s="9"/>
      <c r="K326" s="143"/>
      <c r="L326" s="9"/>
      <c r="M326" s="8"/>
      <c r="N326" s="2"/>
      <c r="O326" s="2"/>
    </row>
    <row r="327" spans="1:15" x14ac:dyDescent="0.15">
      <c r="A327" s="8"/>
      <c r="B327" s="8"/>
      <c r="C327" s="8"/>
      <c r="D327" s="8"/>
      <c r="E327" s="9"/>
      <c r="F327" s="8"/>
      <c r="G327" s="143"/>
      <c r="H327" s="11"/>
      <c r="I327" s="143"/>
      <c r="J327" s="9"/>
      <c r="K327" s="143"/>
      <c r="L327" s="9"/>
      <c r="M327" s="8"/>
      <c r="N327" s="2"/>
      <c r="O327" s="2"/>
    </row>
    <row r="328" spans="1:15" x14ac:dyDescent="0.15">
      <c r="A328" s="8"/>
      <c r="B328" s="8"/>
      <c r="C328" s="8"/>
      <c r="D328" s="8"/>
      <c r="E328" s="9"/>
      <c r="F328" s="8"/>
      <c r="G328" s="143"/>
      <c r="H328" s="11"/>
      <c r="I328" s="143"/>
      <c r="J328" s="9"/>
      <c r="K328" s="143"/>
      <c r="L328" s="9"/>
      <c r="M328" s="8"/>
      <c r="N328" s="2"/>
      <c r="O328" s="2"/>
    </row>
    <row r="329" spans="1:15" x14ac:dyDescent="0.15">
      <c r="A329" s="8"/>
      <c r="B329" s="8"/>
      <c r="C329" s="8"/>
      <c r="D329" s="8"/>
      <c r="E329" s="9"/>
      <c r="F329" s="8"/>
      <c r="G329" s="143"/>
      <c r="H329" s="11"/>
      <c r="I329" s="143"/>
      <c r="J329" s="9"/>
      <c r="K329" s="143"/>
      <c r="L329" s="9"/>
      <c r="M329" s="8"/>
      <c r="N329" s="2"/>
      <c r="O329" s="2"/>
    </row>
    <row r="330" spans="1:15" x14ac:dyDescent="0.15">
      <c r="A330" s="8"/>
      <c r="B330" s="8"/>
      <c r="C330" s="8"/>
      <c r="D330" s="8"/>
      <c r="E330" s="9"/>
      <c r="F330" s="8"/>
      <c r="G330" s="143"/>
      <c r="H330" s="11"/>
      <c r="I330" s="143"/>
      <c r="J330" s="9"/>
      <c r="K330" s="143"/>
      <c r="L330" s="9"/>
      <c r="M330" s="8"/>
      <c r="N330" s="2"/>
      <c r="O330" s="2"/>
    </row>
    <row r="331" spans="1:15" x14ac:dyDescent="0.15">
      <c r="A331" s="8"/>
      <c r="B331" s="8"/>
      <c r="C331" s="8"/>
      <c r="D331" s="8"/>
      <c r="E331" s="9"/>
      <c r="F331" s="8"/>
      <c r="G331" s="143"/>
      <c r="H331" s="11"/>
      <c r="I331" s="143"/>
      <c r="J331" s="9"/>
      <c r="K331" s="143"/>
      <c r="L331" s="9"/>
      <c r="M331" s="8"/>
      <c r="N331" s="2"/>
      <c r="O331" s="2"/>
    </row>
    <row r="332" spans="1:15" x14ac:dyDescent="0.15">
      <c r="A332" s="8"/>
      <c r="B332" s="8"/>
      <c r="C332" s="8"/>
      <c r="D332" s="8"/>
      <c r="E332" s="9"/>
      <c r="F332" s="8"/>
      <c r="G332" s="143"/>
      <c r="H332" s="11"/>
      <c r="I332" s="143"/>
      <c r="J332" s="9"/>
      <c r="K332" s="143"/>
      <c r="L332" s="9"/>
      <c r="M332" s="8"/>
      <c r="N332" s="2"/>
      <c r="O332" s="2"/>
    </row>
    <row r="333" spans="1:15" x14ac:dyDescent="0.15">
      <c r="A333" s="8"/>
      <c r="B333" s="8"/>
      <c r="C333" s="8"/>
      <c r="D333" s="8"/>
      <c r="E333" s="9"/>
      <c r="F333" s="8"/>
      <c r="G333" s="143"/>
      <c r="H333" s="11"/>
      <c r="I333" s="143"/>
      <c r="J333" s="9"/>
      <c r="K333" s="143"/>
      <c r="L333" s="9"/>
      <c r="M333" s="8"/>
      <c r="N333" s="2"/>
      <c r="O333" s="2"/>
    </row>
    <row r="334" spans="1:15" x14ac:dyDescent="0.15">
      <c r="A334" s="8"/>
      <c r="B334" s="8"/>
      <c r="C334" s="8"/>
      <c r="D334" s="8"/>
      <c r="E334" s="9"/>
      <c r="F334" s="8"/>
      <c r="G334" s="143"/>
      <c r="H334" s="11"/>
      <c r="I334" s="143"/>
      <c r="J334" s="9"/>
      <c r="K334" s="143"/>
      <c r="L334" s="9"/>
      <c r="M334" s="8"/>
      <c r="N334" s="2"/>
      <c r="O334" s="2"/>
    </row>
    <row r="335" spans="1:15" x14ac:dyDescent="0.15">
      <c r="A335" s="8"/>
      <c r="B335" s="8"/>
      <c r="C335" s="8"/>
      <c r="D335" s="8"/>
      <c r="E335" s="9"/>
      <c r="F335" s="8"/>
      <c r="G335" s="143"/>
      <c r="H335" s="11"/>
      <c r="I335" s="143"/>
      <c r="J335" s="9"/>
      <c r="K335" s="143"/>
      <c r="L335" s="9"/>
      <c r="M335" s="8"/>
      <c r="N335" s="2"/>
      <c r="O335" s="2"/>
    </row>
    <row r="336" spans="1:15" x14ac:dyDescent="0.15">
      <c r="A336" s="8"/>
      <c r="B336" s="8"/>
      <c r="C336" s="8"/>
      <c r="D336" s="8"/>
      <c r="E336" s="9"/>
      <c r="F336" s="8"/>
      <c r="G336" s="143"/>
      <c r="H336" s="11"/>
      <c r="I336" s="143"/>
      <c r="J336" s="9"/>
      <c r="K336" s="143"/>
      <c r="L336" s="9"/>
      <c r="M336" s="8"/>
      <c r="N336" s="2"/>
      <c r="O336" s="2"/>
    </row>
    <row r="337" spans="1:15" x14ac:dyDescent="0.15">
      <c r="A337" s="8"/>
      <c r="B337" s="8"/>
      <c r="C337" s="8"/>
      <c r="D337" s="8"/>
      <c r="E337" s="9"/>
      <c r="F337" s="8"/>
      <c r="G337" s="143"/>
      <c r="H337" s="11"/>
      <c r="I337" s="143"/>
      <c r="J337" s="9"/>
      <c r="K337" s="143"/>
      <c r="L337" s="9"/>
      <c r="M337" s="8"/>
      <c r="N337" s="2"/>
      <c r="O337" s="2"/>
    </row>
    <row r="338" spans="1:15" x14ac:dyDescent="0.15">
      <c r="A338" s="8"/>
      <c r="B338" s="8"/>
      <c r="C338" s="8"/>
      <c r="D338" s="8"/>
      <c r="E338" s="9"/>
      <c r="F338" s="8"/>
      <c r="G338" s="143"/>
      <c r="H338" s="11"/>
      <c r="I338" s="143"/>
      <c r="J338" s="9"/>
      <c r="K338" s="143"/>
      <c r="L338" s="9"/>
      <c r="M338" s="8"/>
      <c r="N338" s="2"/>
      <c r="O338" s="2"/>
    </row>
    <row r="339" spans="1:15" x14ac:dyDescent="0.15">
      <c r="A339" s="8"/>
      <c r="B339" s="8"/>
      <c r="C339" s="8"/>
      <c r="D339" s="8"/>
      <c r="E339" s="9"/>
      <c r="F339" s="8"/>
      <c r="G339" s="143"/>
      <c r="H339" s="11"/>
      <c r="I339" s="143"/>
      <c r="J339" s="9"/>
      <c r="K339" s="143"/>
      <c r="L339" s="9"/>
      <c r="M339" s="8"/>
      <c r="N339" s="2"/>
      <c r="O339" s="2"/>
    </row>
    <row r="340" spans="1:15" x14ac:dyDescent="0.15">
      <c r="A340" s="8"/>
      <c r="B340" s="8"/>
      <c r="C340" s="8"/>
      <c r="D340" s="8"/>
      <c r="E340" s="9"/>
      <c r="F340" s="8"/>
      <c r="G340" s="143"/>
      <c r="H340" s="11"/>
      <c r="I340" s="143"/>
      <c r="J340" s="9"/>
      <c r="K340" s="143"/>
      <c r="L340" s="9"/>
      <c r="M340" s="8"/>
      <c r="N340" s="2"/>
      <c r="O340" s="2"/>
    </row>
    <row r="341" spans="1:15" x14ac:dyDescent="0.15">
      <c r="A341" s="8"/>
      <c r="B341" s="8"/>
      <c r="C341" s="8"/>
      <c r="D341" s="8"/>
      <c r="E341" s="9"/>
      <c r="F341" s="8"/>
      <c r="G341" s="143"/>
      <c r="H341" s="11"/>
      <c r="I341" s="143"/>
      <c r="J341" s="9"/>
      <c r="K341" s="143"/>
      <c r="L341" s="9"/>
      <c r="M341" s="8"/>
      <c r="N341" s="2"/>
      <c r="O341" s="2"/>
    </row>
    <row r="342" spans="1:15" x14ac:dyDescent="0.15">
      <c r="A342" s="8"/>
      <c r="B342" s="8"/>
      <c r="C342" s="8"/>
      <c r="D342" s="8"/>
      <c r="E342" s="9"/>
      <c r="F342" s="8"/>
      <c r="G342" s="143"/>
      <c r="H342" s="11"/>
      <c r="I342" s="143"/>
      <c r="J342" s="9"/>
      <c r="K342" s="143"/>
      <c r="L342" s="9"/>
      <c r="M342" s="8"/>
      <c r="N342" s="2"/>
      <c r="O342" s="2"/>
    </row>
    <row r="343" spans="1:15" x14ac:dyDescent="0.15">
      <c r="A343" s="8"/>
      <c r="B343" s="8"/>
      <c r="C343" s="8"/>
      <c r="D343" s="8"/>
      <c r="E343" s="9"/>
      <c r="F343" s="8"/>
      <c r="G343" s="143"/>
      <c r="H343" s="11"/>
      <c r="I343" s="143"/>
      <c r="J343" s="9"/>
      <c r="K343" s="143"/>
      <c r="L343" s="9"/>
      <c r="M343" s="8"/>
      <c r="N343" s="2"/>
      <c r="O343" s="2"/>
    </row>
    <row r="344" spans="1:15" x14ac:dyDescent="0.15">
      <c r="A344" s="8"/>
      <c r="B344" s="8"/>
      <c r="C344" s="8"/>
      <c r="D344" s="8"/>
      <c r="E344" s="9"/>
      <c r="F344" s="8"/>
      <c r="G344" s="143"/>
      <c r="H344" s="11"/>
      <c r="I344" s="143"/>
      <c r="J344" s="9"/>
      <c r="K344" s="143"/>
      <c r="L344" s="9"/>
      <c r="M344" s="8"/>
      <c r="N344" s="2"/>
      <c r="O344" s="2"/>
    </row>
    <row r="345" spans="1:15" x14ac:dyDescent="0.15">
      <c r="A345" s="8"/>
      <c r="B345" s="8"/>
      <c r="C345" s="8"/>
      <c r="D345" s="8"/>
      <c r="E345" s="9"/>
      <c r="F345" s="8"/>
      <c r="G345" s="143"/>
      <c r="H345" s="11"/>
      <c r="I345" s="143"/>
      <c r="J345" s="9"/>
      <c r="K345" s="143"/>
      <c r="L345" s="9"/>
      <c r="M345" s="8"/>
      <c r="N345" s="2"/>
      <c r="O345" s="2"/>
    </row>
    <row r="346" spans="1:15" x14ac:dyDescent="0.15">
      <c r="A346" s="8"/>
      <c r="B346" s="8"/>
      <c r="C346" s="8"/>
      <c r="D346" s="8"/>
      <c r="E346" s="9"/>
      <c r="F346" s="8"/>
      <c r="G346" s="143"/>
      <c r="H346" s="11"/>
      <c r="I346" s="143"/>
      <c r="J346" s="9"/>
      <c r="K346" s="143"/>
      <c r="L346" s="9"/>
      <c r="M346" s="8"/>
      <c r="N346" s="2"/>
      <c r="O346" s="2"/>
    </row>
    <row r="347" spans="1:15" x14ac:dyDescent="0.15">
      <c r="A347" s="8"/>
      <c r="B347" s="8"/>
      <c r="C347" s="8"/>
      <c r="D347" s="8"/>
      <c r="E347" s="9"/>
      <c r="F347" s="8"/>
      <c r="G347" s="143"/>
      <c r="H347" s="11"/>
      <c r="I347" s="143"/>
      <c r="J347" s="9"/>
      <c r="K347" s="143"/>
      <c r="L347" s="9"/>
      <c r="M347" s="8"/>
      <c r="N347" s="2"/>
      <c r="O347" s="2"/>
    </row>
    <row r="348" spans="1:15" x14ac:dyDescent="0.15">
      <c r="A348" s="8"/>
      <c r="B348" s="8"/>
      <c r="C348" s="8"/>
      <c r="D348" s="8"/>
      <c r="E348" s="9"/>
      <c r="F348" s="8"/>
      <c r="G348" s="143"/>
      <c r="H348" s="11"/>
      <c r="I348" s="143"/>
      <c r="J348" s="9"/>
      <c r="K348" s="143"/>
      <c r="L348" s="9"/>
      <c r="M348" s="8"/>
      <c r="N348" s="2"/>
      <c r="O348" s="2"/>
    </row>
    <row r="349" spans="1:15" x14ac:dyDescent="0.15">
      <c r="A349" s="8"/>
      <c r="B349" s="8"/>
      <c r="C349" s="8"/>
      <c r="D349" s="8"/>
      <c r="E349" s="9"/>
      <c r="F349" s="8"/>
      <c r="G349" s="143"/>
      <c r="H349" s="11"/>
      <c r="I349" s="143"/>
      <c r="J349" s="9"/>
      <c r="K349" s="143"/>
      <c r="L349" s="9"/>
      <c r="M349" s="8"/>
      <c r="N349" s="2"/>
      <c r="O349" s="2"/>
    </row>
    <row r="350" spans="1:15" x14ac:dyDescent="0.15">
      <c r="A350" s="8"/>
      <c r="B350" s="8"/>
      <c r="C350" s="8"/>
      <c r="D350" s="8"/>
      <c r="E350" s="9"/>
      <c r="F350" s="8"/>
      <c r="G350" s="143"/>
      <c r="H350" s="11"/>
      <c r="I350" s="143"/>
      <c r="J350" s="9"/>
      <c r="K350" s="143"/>
      <c r="L350" s="9"/>
      <c r="M350" s="8"/>
      <c r="N350" s="2"/>
      <c r="O350" s="2"/>
    </row>
    <row r="351" spans="1:15" x14ac:dyDescent="0.15">
      <c r="A351" s="8"/>
      <c r="B351" s="8"/>
      <c r="C351" s="8"/>
      <c r="D351" s="8"/>
      <c r="E351" s="9"/>
      <c r="F351" s="8"/>
      <c r="G351" s="143"/>
      <c r="H351" s="11"/>
      <c r="I351" s="143"/>
      <c r="J351" s="9"/>
      <c r="K351" s="143"/>
      <c r="L351" s="9"/>
      <c r="M351" s="8"/>
      <c r="N351" s="2"/>
      <c r="O351" s="2"/>
    </row>
    <row r="352" spans="1:15" x14ac:dyDescent="0.15">
      <c r="A352" s="8"/>
      <c r="B352" s="8"/>
      <c r="C352" s="8"/>
      <c r="D352" s="8"/>
      <c r="E352" s="9"/>
      <c r="F352" s="8"/>
      <c r="G352" s="143"/>
      <c r="H352" s="11"/>
      <c r="I352" s="143"/>
      <c r="J352" s="9"/>
      <c r="K352" s="143"/>
      <c r="L352" s="9"/>
      <c r="M352" s="8"/>
      <c r="N352" s="2"/>
      <c r="O352" s="2"/>
    </row>
    <row r="353" spans="1:15" x14ac:dyDescent="0.15">
      <c r="A353" s="8"/>
      <c r="B353" s="8"/>
      <c r="C353" s="8"/>
      <c r="D353" s="8"/>
      <c r="E353" s="9"/>
      <c r="F353" s="8"/>
      <c r="G353" s="143"/>
      <c r="H353" s="11"/>
      <c r="I353" s="143"/>
      <c r="J353" s="9"/>
      <c r="K353" s="143"/>
      <c r="L353" s="9"/>
      <c r="M353" s="8"/>
      <c r="N353" s="2"/>
      <c r="O353" s="2"/>
    </row>
    <row r="354" spans="1:15" x14ac:dyDescent="0.15">
      <c r="A354" s="8"/>
      <c r="B354" s="8"/>
      <c r="C354" s="8"/>
      <c r="D354" s="8"/>
      <c r="E354" s="9"/>
      <c r="F354" s="8"/>
      <c r="G354" s="143"/>
      <c r="H354" s="11"/>
      <c r="I354" s="143"/>
      <c r="J354" s="9"/>
      <c r="K354" s="143"/>
      <c r="L354" s="9"/>
      <c r="M354" s="8"/>
      <c r="N354" s="2"/>
      <c r="O354" s="2"/>
    </row>
    <row r="355" spans="1:15" x14ac:dyDescent="0.15">
      <c r="A355" s="8"/>
      <c r="B355" s="8"/>
      <c r="C355" s="8"/>
      <c r="D355" s="8"/>
      <c r="E355" s="9"/>
      <c r="F355" s="8"/>
      <c r="G355" s="143"/>
      <c r="H355" s="11"/>
      <c r="I355" s="143"/>
      <c r="J355" s="9"/>
      <c r="K355" s="143"/>
      <c r="L355" s="9"/>
      <c r="M355" s="8"/>
      <c r="N355" s="2"/>
      <c r="O355" s="2"/>
    </row>
    <row r="356" spans="1:15" x14ac:dyDescent="0.15">
      <c r="A356" s="8"/>
      <c r="B356" s="8"/>
      <c r="C356" s="8"/>
      <c r="D356" s="8"/>
      <c r="E356" s="9"/>
      <c r="F356" s="8"/>
      <c r="G356" s="143"/>
      <c r="H356" s="11"/>
      <c r="I356" s="143"/>
      <c r="J356" s="9"/>
      <c r="K356" s="143"/>
      <c r="L356" s="9"/>
      <c r="M356" s="8"/>
      <c r="N356" s="2"/>
      <c r="O356" s="2"/>
    </row>
    <row r="357" spans="1:15" x14ac:dyDescent="0.15">
      <c r="A357" s="8"/>
      <c r="B357" s="8"/>
      <c r="C357" s="8"/>
      <c r="D357" s="8"/>
      <c r="E357" s="9"/>
      <c r="F357" s="8"/>
      <c r="G357" s="143"/>
      <c r="H357" s="11"/>
      <c r="I357" s="143"/>
      <c r="J357" s="9"/>
      <c r="K357" s="143"/>
      <c r="L357" s="9"/>
      <c r="M357" s="8"/>
      <c r="N357" s="2"/>
      <c r="O357" s="2"/>
    </row>
    <row r="358" spans="1:15" x14ac:dyDescent="0.15">
      <c r="A358" s="8"/>
      <c r="B358" s="8"/>
      <c r="C358" s="8"/>
      <c r="D358" s="8"/>
      <c r="E358" s="9"/>
      <c r="F358" s="8"/>
      <c r="G358" s="143"/>
      <c r="H358" s="11"/>
      <c r="I358" s="143"/>
      <c r="J358" s="9"/>
      <c r="K358" s="143"/>
      <c r="L358" s="9"/>
      <c r="M358" s="8"/>
      <c r="N358" s="2"/>
      <c r="O358" s="2"/>
    </row>
    <row r="359" spans="1:15" x14ac:dyDescent="0.15">
      <c r="A359" s="8"/>
      <c r="B359" s="8"/>
      <c r="C359" s="8"/>
      <c r="D359" s="8"/>
      <c r="E359" s="9"/>
      <c r="F359" s="8"/>
      <c r="G359" s="143"/>
      <c r="H359" s="11"/>
      <c r="I359" s="143"/>
      <c r="J359" s="9"/>
      <c r="K359" s="143"/>
      <c r="L359" s="9"/>
      <c r="M359" s="8"/>
      <c r="N359" s="2"/>
      <c r="O359" s="2"/>
    </row>
    <row r="360" spans="1:15" x14ac:dyDescent="0.15">
      <c r="A360" s="8"/>
      <c r="B360" s="8"/>
      <c r="C360" s="8"/>
      <c r="D360" s="8"/>
      <c r="E360" s="9"/>
      <c r="F360" s="8"/>
      <c r="G360" s="143"/>
      <c r="H360" s="11"/>
      <c r="I360" s="143"/>
      <c r="J360" s="9"/>
      <c r="K360" s="143"/>
      <c r="L360" s="9"/>
      <c r="M360" s="8"/>
      <c r="N360" s="2"/>
      <c r="O360" s="2"/>
    </row>
    <row r="361" spans="1:15" x14ac:dyDescent="0.15">
      <c r="A361" s="8"/>
      <c r="B361" s="8"/>
      <c r="C361" s="8"/>
      <c r="D361" s="8"/>
      <c r="E361" s="9"/>
      <c r="F361" s="8"/>
      <c r="G361" s="143"/>
      <c r="H361" s="11"/>
      <c r="I361" s="143"/>
      <c r="J361" s="9"/>
      <c r="K361" s="143"/>
      <c r="L361" s="9"/>
      <c r="M361" s="8"/>
      <c r="N361" s="2"/>
      <c r="O361" s="2"/>
    </row>
    <row r="362" spans="1:15" x14ac:dyDescent="0.15">
      <c r="A362" s="8"/>
      <c r="B362" s="8"/>
      <c r="C362" s="8"/>
      <c r="D362" s="8"/>
      <c r="E362" s="9"/>
      <c r="F362" s="8"/>
      <c r="G362" s="143"/>
      <c r="H362" s="11"/>
      <c r="I362" s="143"/>
      <c r="J362" s="9"/>
      <c r="K362" s="143"/>
      <c r="L362" s="9"/>
      <c r="M362" s="8"/>
      <c r="N362" s="2"/>
      <c r="O362" s="2"/>
    </row>
    <row r="363" spans="1:15" x14ac:dyDescent="0.15">
      <c r="A363" s="8"/>
      <c r="B363" s="8"/>
      <c r="C363" s="8"/>
      <c r="D363" s="8"/>
      <c r="E363" s="9"/>
      <c r="F363" s="8"/>
      <c r="G363" s="143"/>
      <c r="H363" s="11"/>
      <c r="I363" s="143"/>
      <c r="J363" s="9"/>
      <c r="K363" s="143"/>
      <c r="L363" s="9"/>
      <c r="M363" s="8"/>
      <c r="N363" s="2"/>
      <c r="O363" s="2"/>
    </row>
    <row r="364" spans="1:15" x14ac:dyDescent="0.15">
      <c r="A364" s="8"/>
      <c r="B364" s="8"/>
      <c r="C364" s="8"/>
      <c r="D364" s="8"/>
      <c r="E364" s="9"/>
      <c r="F364" s="8"/>
      <c r="G364" s="143"/>
      <c r="H364" s="11"/>
      <c r="I364" s="143"/>
      <c r="J364" s="9"/>
      <c r="K364" s="143"/>
      <c r="L364" s="9"/>
      <c r="M364" s="8"/>
      <c r="N364" s="2"/>
      <c r="O364" s="2"/>
    </row>
    <row r="365" spans="1:15" x14ac:dyDescent="0.15">
      <c r="A365" s="8"/>
      <c r="B365" s="8"/>
      <c r="C365" s="8"/>
      <c r="D365" s="8"/>
      <c r="E365" s="9"/>
      <c r="F365" s="8"/>
      <c r="G365" s="143"/>
      <c r="H365" s="11"/>
      <c r="I365" s="143"/>
      <c r="J365" s="9"/>
      <c r="K365" s="143"/>
      <c r="L365" s="9"/>
      <c r="M365" s="8"/>
      <c r="N365" s="2"/>
      <c r="O365" s="2"/>
    </row>
    <row r="366" spans="1:15" x14ac:dyDescent="0.15">
      <c r="A366" s="8"/>
      <c r="B366" s="8"/>
      <c r="C366" s="8"/>
      <c r="D366" s="8"/>
      <c r="E366" s="9"/>
      <c r="F366" s="8"/>
      <c r="G366" s="143"/>
      <c r="H366" s="11"/>
      <c r="I366" s="143"/>
      <c r="J366" s="9"/>
      <c r="K366" s="143"/>
      <c r="L366" s="9"/>
      <c r="M366" s="8"/>
      <c r="N366" s="2"/>
      <c r="O366" s="2"/>
    </row>
    <row r="367" spans="1:15" x14ac:dyDescent="0.15">
      <c r="A367" s="8"/>
      <c r="B367" s="8"/>
      <c r="C367" s="8"/>
      <c r="D367" s="8"/>
      <c r="E367" s="9"/>
      <c r="F367" s="8"/>
      <c r="G367" s="143"/>
      <c r="H367" s="11"/>
      <c r="I367" s="143"/>
      <c r="J367" s="9"/>
      <c r="K367" s="143"/>
      <c r="L367" s="9"/>
      <c r="M367" s="8"/>
      <c r="N367" s="2"/>
      <c r="O367" s="2"/>
    </row>
    <row r="368" spans="1:15" x14ac:dyDescent="0.15">
      <c r="A368" s="8"/>
      <c r="B368" s="8"/>
      <c r="C368" s="8"/>
      <c r="D368" s="8"/>
      <c r="E368" s="9"/>
      <c r="F368" s="8"/>
      <c r="G368" s="143"/>
      <c r="H368" s="11"/>
      <c r="I368" s="143"/>
      <c r="J368" s="9"/>
      <c r="K368" s="143"/>
      <c r="L368" s="9"/>
      <c r="M368" s="8"/>
      <c r="N368" s="2"/>
      <c r="O368" s="2"/>
    </row>
    <row r="369" spans="1:15" x14ac:dyDescent="0.15">
      <c r="A369" s="8"/>
      <c r="B369" s="8"/>
      <c r="C369" s="8"/>
      <c r="D369" s="8"/>
      <c r="E369" s="9"/>
      <c r="F369" s="8"/>
      <c r="G369" s="143"/>
      <c r="H369" s="11"/>
      <c r="I369" s="143"/>
      <c r="J369" s="9"/>
      <c r="K369" s="143"/>
      <c r="L369" s="9"/>
      <c r="M369" s="8"/>
      <c r="N369" s="2"/>
      <c r="O369" s="2"/>
    </row>
    <row r="370" spans="1:15" x14ac:dyDescent="0.15">
      <c r="A370" s="8"/>
      <c r="B370" s="8"/>
      <c r="C370" s="8"/>
      <c r="D370" s="8"/>
      <c r="E370" s="9"/>
      <c r="F370" s="8"/>
      <c r="G370" s="143"/>
      <c r="H370" s="11"/>
      <c r="I370" s="143"/>
      <c r="J370" s="9"/>
      <c r="K370" s="143"/>
      <c r="L370" s="9"/>
      <c r="M370" s="8"/>
      <c r="N370" s="2"/>
      <c r="O370" s="2"/>
    </row>
    <row r="371" spans="1:15" x14ac:dyDescent="0.15">
      <c r="A371" s="8"/>
      <c r="B371" s="8"/>
      <c r="C371" s="8"/>
      <c r="D371" s="8"/>
      <c r="E371" s="9"/>
      <c r="F371" s="8"/>
      <c r="G371" s="143"/>
      <c r="H371" s="11"/>
      <c r="I371" s="143"/>
      <c r="J371" s="9"/>
      <c r="K371" s="143"/>
      <c r="L371" s="9"/>
      <c r="M371" s="8"/>
      <c r="N371" s="2"/>
      <c r="O371" s="2"/>
    </row>
    <row r="372" spans="1:15" x14ac:dyDescent="0.15">
      <c r="A372" s="8"/>
      <c r="B372" s="8"/>
      <c r="C372" s="8"/>
      <c r="D372" s="8"/>
      <c r="E372" s="9"/>
      <c r="F372" s="8"/>
      <c r="G372" s="143"/>
      <c r="H372" s="11"/>
      <c r="I372" s="143"/>
      <c r="J372" s="9"/>
      <c r="K372" s="143"/>
      <c r="L372" s="9"/>
      <c r="M372" s="8"/>
      <c r="N372" s="2"/>
      <c r="O372" s="2"/>
    </row>
    <row r="373" spans="1:15" x14ac:dyDescent="0.15">
      <c r="A373" s="8"/>
      <c r="B373" s="8"/>
      <c r="C373" s="8"/>
      <c r="D373" s="8"/>
      <c r="E373" s="9"/>
      <c r="F373" s="8"/>
      <c r="G373" s="143"/>
      <c r="H373" s="11"/>
      <c r="I373" s="143"/>
      <c r="J373" s="9"/>
      <c r="K373" s="143"/>
      <c r="L373" s="9"/>
      <c r="M373" s="8"/>
      <c r="N373" s="2"/>
      <c r="O373" s="2"/>
    </row>
    <row r="374" spans="1:15" x14ac:dyDescent="0.15">
      <c r="A374" s="8"/>
      <c r="B374" s="8"/>
      <c r="C374" s="8"/>
      <c r="D374" s="8"/>
      <c r="E374" s="9"/>
      <c r="F374" s="8"/>
      <c r="G374" s="143"/>
      <c r="H374" s="11"/>
      <c r="I374" s="143"/>
      <c r="J374" s="9"/>
      <c r="K374" s="143"/>
      <c r="L374" s="9"/>
      <c r="M374" s="8"/>
      <c r="N374" s="2"/>
      <c r="O374" s="2"/>
    </row>
    <row r="375" spans="1:15" x14ac:dyDescent="0.15">
      <c r="A375" s="8"/>
      <c r="B375" s="8"/>
      <c r="C375" s="8"/>
      <c r="D375" s="8"/>
      <c r="E375" s="9"/>
      <c r="F375" s="8"/>
      <c r="G375" s="143"/>
      <c r="H375" s="11"/>
      <c r="I375" s="143"/>
      <c r="J375" s="9"/>
      <c r="K375" s="143"/>
      <c r="L375" s="9"/>
      <c r="M375" s="8"/>
      <c r="N375" s="2"/>
      <c r="O375" s="2"/>
    </row>
    <row r="376" spans="1:15" x14ac:dyDescent="0.15">
      <c r="A376" s="8"/>
      <c r="B376" s="8"/>
      <c r="C376" s="8"/>
      <c r="D376" s="8"/>
      <c r="E376" s="9"/>
      <c r="F376" s="8"/>
      <c r="G376" s="143"/>
      <c r="H376" s="11"/>
      <c r="I376" s="143"/>
      <c r="J376" s="9"/>
      <c r="K376" s="143"/>
      <c r="L376" s="9"/>
      <c r="M376" s="8"/>
      <c r="N376" s="2"/>
      <c r="O376" s="2"/>
    </row>
    <row r="377" spans="1:15" x14ac:dyDescent="0.15">
      <c r="A377" s="8"/>
      <c r="B377" s="8"/>
      <c r="C377" s="8"/>
      <c r="D377" s="8"/>
      <c r="E377" s="9"/>
      <c r="F377" s="8"/>
      <c r="G377" s="143"/>
      <c r="H377" s="11"/>
      <c r="I377" s="143"/>
      <c r="J377" s="9"/>
      <c r="K377" s="143"/>
      <c r="L377" s="9"/>
      <c r="M377" s="8"/>
      <c r="N377" s="2"/>
      <c r="O377" s="2"/>
    </row>
    <row r="378" spans="1:15" x14ac:dyDescent="0.15">
      <c r="A378" s="8"/>
      <c r="B378" s="8"/>
      <c r="C378" s="8"/>
      <c r="D378" s="8"/>
      <c r="E378" s="9"/>
      <c r="F378" s="8"/>
      <c r="G378" s="143"/>
      <c r="H378" s="11"/>
      <c r="I378" s="143"/>
      <c r="J378" s="9"/>
      <c r="K378" s="143"/>
      <c r="L378" s="9"/>
      <c r="M378" s="8"/>
      <c r="N378" s="2"/>
      <c r="O378" s="2"/>
    </row>
    <row r="379" spans="1:15" x14ac:dyDescent="0.15">
      <c r="A379" s="8"/>
      <c r="B379" s="8"/>
      <c r="C379" s="8"/>
      <c r="D379" s="8"/>
      <c r="E379" s="9"/>
      <c r="F379" s="8"/>
      <c r="G379" s="143"/>
      <c r="H379" s="11"/>
      <c r="I379" s="143"/>
      <c r="J379" s="9"/>
      <c r="K379" s="143"/>
      <c r="L379" s="9"/>
      <c r="M379" s="8"/>
      <c r="N379" s="2"/>
      <c r="O379" s="2"/>
    </row>
    <row r="380" spans="1:15" x14ac:dyDescent="0.15">
      <c r="A380" s="8"/>
      <c r="B380" s="8"/>
      <c r="C380" s="8"/>
      <c r="D380" s="8"/>
      <c r="E380" s="9"/>
      <c r="F380" s="8"/>
      <c r="G380" s="143"/>
      <c r="H380" s="11"/>
      <c r="I380" s="143"/>
      <c r="J380" s="9"/>
      <c r="K380" s="143"/>
      <c r="L380" s="9"/>
      <c r="M380" s="8"/>
      <c r="N380" s="2"/>
      <c r="O380" s="2"/>
    </row>
    <row r="381" spans="1:15" x14ac:dyDescent="0.15">
      <c r="A381" s="8"/>
      <c r="B381" s="8"/>
      <c r="C381" s="8"/>
      <c r="D381" s="8"/>
      <c r="E381" s="9"/>
      <c r="F381" s="8"/>
      <c r="G381" s="143"/>
      <c r="H381" s="11"/>
      <c r="I381" s="143"/>
      <c r="J381" s="9"/>
      <c r="K381" s="143"/>
      <c r="L381" s="9"/>
      <c r="M381" s="8"/>
      <c r="N381" s="2"/>
      <c r="O381" s="2"/>
    </row>
    <row r="382" spans="1:15" x14ac:dyDescent="0.15">
      <c r="A382" s="8"/>
      <c r="B382" s="8"/>
      <c r="C382" s="8"/>
      <c r="D382" s="8"/>
      <c r="E382" s="9"/>
      <c r="F382" s="8"/>
      <c r="G382" s="143"/>
      <c r="H382" s="11"/>
      <c r="I382" s="143"/>
      <c r="J382" s="9"/>
      <c r="K382" s="143"/>
      <c r="L382" s="9"/>
      <c r="M382" s="8"/>
      <c r="N382" s="2"/>
      <c r="O382" s="2"/>
    </row>
    <row r="383" spans="1:15" x14ac:dyDescent="0.15">
      <c r="A383" s="8"/>
      <c r="B383" s="8"/>
      <c r="C383" s="8"/>
      <c r="D383" s="8"/>
      <c r="E383" s="9"/>
      <c r="F383" s="8"/>
      <c r="G383" s="143"/>
      <c r="H383" s="11"/>
      <c r="I383" s="143"/>
      <c r="J383" s="9"/>
      <c r="K383" s="143"/>
      <c r="L383" s="9"/>
      <c r="M383" s="8"/>
      <c r="N383" s="2"/>
      <c r="O383" s="2"/>
    </row>
    <row r="384" spans="1:15" x14ac:dyDescent="0.15">
      <c r="A384" s="8"/>
      <c r="B384" s="8"/>
      <c r="C384" s="8"/>
      <c r="D384" s="8"/>
      <c r="E384" s="9"/>
      <c r="F384" s="8"/>
      <c r="G384" s="143"/>
      <c r="H384" s="11"/>
      <c r="I384" s="143"/>
      <c r="J384" s="9"/>
      <c r="K384" s="143"/>
      <c r="L384" s="9"/>
      <c r="M384" s="8"/>
      <c r="N384" s="2"/>
      <c r="O384" s="2"/>
    </row>
    <row r="385" spans="1:15" x14ac:dyDescent="0.15">
      <c r="A385" s="8"/>
      <c r="B385" s="8"/>
      <c r="C385" s="8"/>
      <c r="D385" s="8"/>
      <c r="E385" s="9"/>
      <c r="F385" s="8"/>
      <c r="G385" s="143"/>
      <c r="H385" s="11"/>
      <c r="I385" s="143"/>
      <c r="J385" s="9"/>
      <c r="K385" s="143"/>
      <c r="L385" s="9"/>
      <c r="M385" s="8"/>
      <c r="N385" s="2"/>
      <c r="O385" s="2"/>
    </row>
    <row r="386" spans="1:15" x14ac:dyDescent="0.15">
      <c r="A386" s="8"/>
      <c r="B386" s="8"/>
      <c r="C386" s="8"/>
      <c r="D386" s="8"/>
      <c r="E386" s="9"/>
      <c r="F386" s="8"/>
      <c r="G386" s="143"/>
      <c r="H386" s="11"/>
      <c r="I386" s="143"/>
      <c r="J386" s="9"/>
      <c r="K386" s="143"/>
      <c r="L386" s="9"/>
      <c r="M386" s="8"/>
      <c r="N386" s="2"/>
      <c r="O386" s="2"/>
    </row>
    <row r="387" spans="1:15" x14ac:dyDescent="0.15">
      <c r="A387" s="8"/>
      <c r="B387" s="8"/>
      <c r="C387" s="8"/>
      <c r="D387" s="8"/>
      <c r="E387" s="9"/>
      <c r="F387" s="8"/>
      <c r="G387" s="143"/>
      <c r="H387" s="11"/>
      <c r="I387" s="143"/>
      <c r="J387" s="9"/>
      <c r="K387" s="143"/>
      <c r="L387" s="9"/>
      <c r="M387" s="8"/>
      <c r="N387" s="2"/>
      <c r="O387" s="2"/>
    </row>
    <row r="388" spans="1:15" x14ac:dyDescent="0.15">
      <c r="A388" s="8"/>
      <c r="B388" s="8"/>
      <c r="C388" s="8"/>
      <c r="D388" s="8"/>
      <c r="E388" s="9"/>
      <c r="F388" s="8"/>
      <c r="G388" s="143"/>
      <c r="H388" s="11"/>
      <c r="I388" s="143"/>
      <c r="J388" s="9"/>
      <c r="K388" s="143"/>
      <c r="L388" s="9"/>
      <c r="M388" s="8"/>
      <c r="N388" s="2"/>
      <c r="O388" s="2"/>
    </row>
    <row r="389" spans="1:15" x14ac:dyDescent="0.15">
      <c r="A389" s="8"/>
      <c r="B389" s="8"/>
      <c r="C389" s="8"/>
      <c r="D389" s="8"/>
      <c r="E389" s="9"/>
      <c r="F389" s="8"/>
      <c r="G389" s="143"/>
      <c r="H389" s="11"/>
      <c r="I389" s="143"/>
      <c r="J389" s="9"/>
      <c r="K389" s="143"/>
      <c r="L389" s="9"/>
      <c r="M389" s="8"/>
      <c r="N389" s="2"/>
      <c r="O389" s="2"/>
    </row>
    <row r="390" spans="1:15" x14ac:dyDescent="0.15">
      <c r="A390" s="8"/>
      <c r="B390" s="8"/>
      <c r="C390" s="8"/>
      <c r="D390" s="8"/>
      <c r="E390" s="9"/>
      <c r="F390" s="8"/>
      <c r="G390" s="143"/>
      <c r="H390" s="11"/>
      <c r="I390" s="143"/>
      <c r="J390" s="9"/>
      <c r="K390" s="143"/>
      <c r="L390" s="9"/>
      <c r="M390" s="8"/>
      <c r="N390" s="2"/>
      <c r="O390" s="2"/>
    </row>
    <row r="391" spans="1:15" x14ac:dyDescent="0.15">
      <c r="A391" s="8"/>
      <c r="B391" s="8"/>
      <c r="C391" s="8"/>
      <c r="D391" s="8"/>
      <c r="E391" s="9"/>
      <c r="F391" s="8"/>
      <c r="G391" s="143"/>
      <c r="H391" s="11"/>
      <c r="I391" s="143"/>
      <c r="J391" s="9"/>
      <c r="K391" s="143"/>
      <c r="L391" s="9"/>
      <c r="M391" s="8"/>
      <c r="N391" s="2"/>
      <c r="O391" s="2"/>
    </row>
    <row r="392" spans="1:15" x14ac:dyDescent="0.15">
      <c r="A392" s="8"/>
      <c r="B392" s="8"/>
      <c r="C392" s="8"/>
      <c r="D392" s="8"/>
      <c r="E392" s="9"/>
      <c r="F392" s="8"/>
      <c r="G392" s="143"/>
      <c r="H392" s="11"/>
      <c r="I392" s="143"/>
      <c r="J392" s="9"/>
      <c r="K392" s="143"/>
      <c r="L392" s="9"/>
      <c r="M392" s="8"/>
      <c r="N392" s="2"/>
      <c r="O392" s="2"/>
    </row>
    <row r="393" spans="1:15" x14ac:dyDescent="0.15">
      <c r="A393" s="8"/>
      <c r="B393" s="8"/>
      <c r="C393" s="8"/>
      <c r="D393" s="8"/>
      <c r="E393" s="9"/>
      <c r="F393" s="8"/>
      <c r="G393" s="143"/>
      <c r="H393" s="11"/>
      <c r="I393" s="143"/>
      <c r="J393" s="9"/>
      <c r="K393" s="143"/>
      <c r="L393" s="9"/>
      <c r="M393" s="8"/>
      <c r="N393" s="2"/>
      <c r="O393" s="2"/>
    </row>
    <row r="394" spans="1:15" x14ac:dyDescent="0.15">
      <c r="A394" s="8"/>
      <c r="B394" s="8"/>
      <c r="C394" s="8"/>
      <c r="D394" s="8"/>
      <c r="E394" s="9"/>
      <c r="F394" s="8"/>
      <c r="G394" s="143"/>
      <c r="H394" s="11"/>
      <c r="I394" s="143"/>
      <c r="J394" s="9"/>
      <c r="K394" s="143"/>
      <c r="L394" s="9"/>
      <c r="M394" s="8"/>
      <c r="N394" s="2"/>
      <c r="O394" s="2"/>
    </row>
    <row r="395" spans="1:15" x14ac:dyDescent="0.15">
      <c r="A395" s="8"/>
      <c r="B395" s="8"/>
      <c r="C395" s="8"/>
      <c r="D395" s="8"/>
      <c r="E395" s="9"/>
      <c r="F395" s="8"/>
      <c r="G395" s="143"/>
      <c r="H395" s="11"/>
      <c r="I395" s="143"/>
      <c r="J395" s="9"/>
      <c r="K395" s="143"/>
      <c r="L395" s="9"/>
      <c r="M395" s="8"/>
      <c r="N395" s="2"/>
      <c r="O395" s="2"/>
    </row>
    <row r="396" spans="1:15" x14ac:dyDescent="0.15">
      <c r="A396" s="8"/>
      <c r="B396" s="8"/>
      <c r="C396" s="8"/>
      <c r="D396" s="8"/>
      <c r="E396" s="9"/>
      <c r="F396" s="8"/>
      <c r="G396" s="143"/>
      <c r="H396" s="11"/>
      <c r="I396" s="143"/>
      <c r="J396" s="9"/>
      <c r="K396" s="143"/>
      <c r="L396" s="9"/>
      <c r="M396" s="8"/>
      <c r="N396" s="2"/>
      <c r="O396" s="2"/>
    </row>
    <row r="397" spans="1:15" x14ac:dyDescent="0.15">
      <c r="A397" s="8"/>
      <c r="B397" s="8"/>
      <c r="C397" s="8"/>
      <c r="D397" s="8"/>
      <c r="E397" s="9"/>
      <c r="F397" s="8"/>
      <c r="G397" s="143"/>
      <c r="H397" s="11"/>
      <c r="I397" s="143"/>
      <c r="J397" s="9"/>
      <c r="K397" s="143"/>
      <c r="L397" s="9"/>
      <c r="M397" s="8"/>
      <c r="N397" s="2"/>
      <c r="O397" s="2"/>
    </row>
    <row r="398" spans="1:15" x14ac:dyDescent="0.15">
      <c r="A398" s="8"/>
      <c r="B398" s="8"/>
      <c r="C398" s="8"/>
      <c r="D398" s="8"/>
      <c r="E398" s="9"/>
      <c r="F398" s="8"/>
      <c r="G398" s="143"/>
      <c r="H398" s="11"/>
      <c r="I398" s="143"/>
      <c r="J398" s="9"/>
      <c r="K398" s="143"/>
      <c r="L398" s="9"/>
      <c r="M398" s="8"/>
      <c r="N398" s="2"/>
      <c r="O398" s="2"/>
    </row>
    <row r="399" spans="1:15" x14ac:dyDescent="0.15">
      <c r="A399" s="8"/>
      <c r="B399" s="8"/>
      <c r="C399" s="8"/>
      <c r="D399" s="8"/>
      <c r="E399" s="9"/>
      <c r="F399" s="8"/>
      <c r="G399" s="143"/>
      <c r="H399" s="11"/>
      <c r="I399" s="143"/>
      <c r="J399" s="9"/>
      <c r="K399" s="143"/>
      <c r="L399" s="9"/>
      <c r="M399" s="8"/>
      <c r="N399" s="2"/>
      <c r="O399" s="2"/>
    </row>
    <row r="400" spans="1:15" x14ac:dyDescent="0.15">
      <c r="A400" s="8"/>
      <c r="B400" s="8"/>
      <c r="C400" s="8"/>
      <c r="D400" s="8"/>
      <c r="E400" s="9"/>
      <c r="F400" s="8"/>
      <c r="G400" s="143"/>
      <c r="H400" s="11"/>
      <c r="I400" s="143"/>
      <c r="J400" s="9"/>
      <c r="K400" s="143"/>
      <c r="L400" s="9"/>
      <c r="M400" s="8"/>
      <c r="N400" s="2"/>
      <c r="O400" s="2"/>
    </row>
    <row r="401" spans="1:15" x14ac:dyDescent="0.15">
      <c r="A401" s="8"/>
      <c r="B401" s="8"/>
      <c r="C401" s="8"/>
      <c r="D401" s="8"/>
      <c r="E401" s="9"/>
      <c r="F401" s="8"/>
      <c r="G401" s="143"/>
      <c r="H401" s="11"/>
      <c r="I401" s="143"/>
      <c r="J401" s="9"/>
      <c r="K401" s="143"/>
      <c r="L401" s="9"/>
      <c r="M401" s="8"/>
      <c r="N401" s="2"/>
      <c r="O401" s="2"/>
    </row>
    <row r="402" spans="1:15" x14ac:dyDescent="0.15">
      <c r="A402" s="8"/>
      <c r="B402" s="8"/>
      <c r="C402" s="8"/>
      <c r="D402" s="8"/>
      <c r="E402" s="9"/>
      <c r="F402" s="8"/>
      <c r="G402" s="143"/>
      <c r="H402" s="11"/>
      <c r="I402" s="143"/>
      <c r="J402" s="9"/>
      <c r="K402" s="143"/>
      <c r="L402" s="9"/>
      <c r="M402" s="8"/>
      <c r="N402" s="2"/>
      <c r="O402" s="2"/>
    </row>
    <row r="403" spans="1:15" x14ac:dyDescent="0.15">
      <c r="A403" s="8"/>
      <c r="B403" s="8"/>
      <c r="C403" s="8"/>
      <c r="D403" s="8"/>
      <c r="E403" s="9"/>
      <c r="F403" s="8"/>
      <c r="G403" s="143"/>
      <c r="H403" s="11"/>
      <c r="I403" s="143"/>
      <c r="J403" s="9"/>
      <c r="K403" s="143"/>
      <c r="L403" s="9"/>
      <c r="M403" s="8"/>
      <c r="N403" s="2"/>
      <c r="O403" s="2"/>
    </row>
    <row r="404" spans="1:15" x14ac:dyDescent="0.15">
      <c r="A404" s="8"/>
      <c r="B404" s="8"/>
      <c r="C404" s="8"/>
      <c r="D404" s="8"/>
      <c r="E404" s="9"/>
      <c r="F404" s="8"/>
      <c r="G404" s="143"/>
      <c r="H404" s="11"/>
      <c r="I404" s="143"/>
      <c r="J404" s="9"/>
      <c r="K404" s="143"/>
      <c r="L404" s="9"/>
      <c r="M404" s="8"/>
      <c r="N404" s="2"/>
      <c r="O404" s="2"/>
    </row>
    <row r="405" spans="1:15" x14ac:dyDescent="0.15">
      <c r="A405" s="8"/>
      <c r="B405" s="8"/>
      <c r="C405" s="8"/>
      <c r="D405" s="8"/>
      <c r="E405" s="9"/>
      <c r="F405" s="8"/>
      <c r="G405" s="143"/>
      <c r="H405" s="11"/>
      <c r="I405" s="143"/>
      <c r="J405" s="9"/>
      <c r="K405" s="143"/>
      <c r="L405" s="9"/>
      <c r="M405" s="8"/>
      <c r="N405" s="2"/>
      <c r="O405" s="2"/>
    </row>
    <row r="406" spans="1:15" x14ac:dyDescent="0.15">
      <c r="A406" s="8"/>
      <c r="B406" s="8"/>
      <c r="C406" s="8"/>
      <c r="D406" s="8"/>
      <c r="E406" s="9"/>
      <c r="F406" s="8"/>
      <c r="G406" s="143"/>
      <c r="H406" s="11"/>
      <c r="I406" s="143"/>
      <c r="J406" s="9"/>
      <c r="K406" s="143"/>
      <c r="L406" s="9"/>
      <c r="M406" s="8"/>
      <c r="N406" s="2"/>
      <c r="O406" s="2"/>
    </row>
    <row r="407" spans="1:15" x14ac:dyDescent="0.15">
      <c r="A407" s="8"/>
      <c r="B407" s="8"/>
      <c r="C407" s="8"/>
      <c r="D407" s="8"/>
      <c r="E407" s="9"/>
      <c r="F407" s="8"/>
      <c r="G407" s="143"/>
      <c r="H407" s="11"/>
      <c r="I407" s="143"/>
      <c r="J407" s="9"/>
      <c r="K407" s="143"/>
      <c r="L407" s="9"/>
      <c r="M407" s="8"/>
      <c r="N407" s="2"/>
      <c r="O407" s="2"/>
    </row>
    <row r="408" spans="1:15" x14ac:dyDescent="0.15">
      <c r="A408" s="8"/>
      <c r="B408" s="8"/>
      <c r="C408" s="8"/>
      <c r="D408" s="8"/>
      <c r="E408" s="9"/>
      <c r="F408" s="8"/>
      <c r="G408" s="143"/>
      <c r="H408" s="11"/>
      <c r="I408" s="143"/>
      <c r="J408" s="9"/>
      <c r="K408" s="143"/>
      <c r="L408" s="9"/>
      <c r="M408" s="8"/>
      <c r="N408" s="2"/>
      <c r="O408" s="2"/>
    </row>
    <row r="409" spans="1:15" x14ac:dyDescent="0.15">
      <c r="A409" s="8"/>
      <c r="B409" s="8"/>
      <c r="C409" s="8"/>
      <c r="D409" s="8"/>
      <c r="E409" s="9"/>
      <c r="F409" s="8"/>
      <c r="G409" s="143"/>
      <c r="H409" s="11"/>
      <c r="I409" s="143"/>
      <c r="J409" s="9"/>
      <c r="K409" s="143"/>
      <c r="L409" s="9"/>
      <c r="M409" s="8"/>
      <c r="N409" s="2"/>
      <c r="O409" s="2"/>
    </row>
    <row r="410" spans="1:15" x14ac:dyDescent="0.15">
      <c r="A410" s="8"/>
      <c r="B410" s="8"/>
      <c r="C410" s="8"/>
      <c r="D410" s="8"/>
      <c r="E410" s="9"/>
      <c r="F410" s="8"/>
      <c r="G410" s="143"/>
      <c r="H410" s="11"/>
      <c r="I410" s="143"/>
      <c r="J410" s="9"/>
      <c r="K410" s="143"/>
      <c r="L410" s="9"/>
      <c r="M410" s="8"/>
      <c r="N410" s="2"/>
      <c r="O410" s="2"/>
    </row>
    <row r="411" spans="1:15" x14ac:dyDescent="0.15">
      <c r="A411" s="8"/>
      <c r="B411" s="8"/>
      <c r="C411" s="8"/>
      <c r="D411" s="8"/>
      <c r="E411" s="9"/>
      <c r="F411" s="8"/>
      <c r="G411" s="143"/>
      <c r="H411" s="11"/>
      <c r="I411" s="143"/>
      <c r="J411" s="9"/>
      <c r="K411" s="143"/>
      <c r="L411" s="9"/>
      <c r="M411" s="8"/>
      <c r="N411" s="2"/>
      <c r="O411" s="2"/>
    </row>
    <row r="412" spans="1:15" x14ac:dyDescent="0.15">
      <c r="A412" s="8"/>
      <c r="B412" s="8"/>
      <c r="C412" s="8"/>
      <c r="D412" s="8"/>
      <c r="E412" s="9"/>
      <c r="F412" s="8"/>
      <c r="G412" s="143"/>
      <c r="H412" s="11"/>
      <c r="I412" s="143"/>
      <c r="J412" s="9"/>
      <c r="K412" s="143"/>
      <c r="L412" s="9"/>
      <c r="M412" s="8"/>
      <c r="N412" s="2"/>
      <c r="O412" s="2"/>
    </row>
    <row r="413" spans="1:15" x14ac:dyDescent="0.15">
      <c r="A413" s="8"/>
      <c r="B413" s="8"/>
      <c r="C413" s="8"/>
      <c r="D413" s="8"/>
      <c r="E413" s="9"/>
      <c r="F413" s="8"/>
      <c r="G413" s="143"/>
      <c r="H413" s="11"/>
      <c r="I413" s="143"/>
      <c r="J413" s="9"/>
      <c r="K413" s="143"/>
      <c r="L413" s="9"/>
      <c r="M413" s="8"/>
      <c r="N413" s="2"/>
      <c r="O413" s="2"/>
    </row>
    <row r="414" spans="1:15" x14ac:dyDescent="0.15">
      <c r="A414" s="8"/>
      <c r="B414" s="8"/>
      <c r="C414" s="8"/>
      <c r="D414" s="8"/>
      <c r="E414" s="9"/>
      <c r="F414" s="8"/>
      <c r="G414" s="143"/>
      <c r="H414" s="11"/>
      <c r="I414" s="143"/>
      <c r="J414" s="9"/>
      <c r="K414" s="143"/>
      <c r="L414" s="9"/>
      <c r="M414" s="8"/>
      <c r="N414" s="2"/>
      <c r="O414" s="2"/>
    </row>
    <row r="415" spans="1:15" x14ac:dyDescent="0.15">
      <c r="A415" s="8"/>
      <c r="B415" s="8"/>
      <c r="C415" s="8"/>
      <c r="D415" s="8"/>
      <c r="E415" s="9"/>
      <c r="F415" s="8"/>
      <c r="G415" s="143"/>
      <c r="H415" s="11"/>
      <c r="I415" s="143"/>
      <c r="J415" s="9"/>
      <c r="K415" s="143"/>
      <c r="L415" s="9"/>
      <c r="M415" s="8"/>
      <c r="N415" s="2"/>
      <c r="O415" s="2"/>
    </row>
    <row r="416" spans="1:15" x14ac:dyDescent="0.15">
      <c r="A416" s="8"/>
      <c r="B416" s="8"/>
      <c r="C416" s="8"/>
      <c r="D416" s="8"/>
      <c r="E416" s="9"/>
      <c r="F416" s="8"/>
      <c r="G416" s="143"/>
      <c r="H416" s="11"/>
      <c r="I416" s="143"/>
      <c r="J416" s="9"/>
      <c r="K416" s="143"/>
      <c r="L416" s="9"/>
      <c r="M416" s="8"/>
      <c r="N416" s="2"/>
      <c r="O416" s="2"/>
    </row>
    <row r="417" spans="1:15" x14ac:dyDescent="0.15">
      <c r="A417" s="8"/>
      <c r="B417" s="8"/>
      <c r="C417" s="8"/>
      <c r="D417" s="8"/>
      <c r="E417" s="9"/>
      <c r="F417" s="8"/>
      <c r="G417" s="143"/>
      <c r="H417" s="11"/>
      <c r="I417" s="143"/>
      <c r="J417" s="9"/>
      <c r="K417" s="143"/>
      <c r="L417" s="9"/>
      <c r="M417" s="8"/>
      <c r="N417" s="2"/>
      <c r="O417" s="2"/>
    </row>
    <row r="418" spans="1:15" x14ac:dyDescent="0.15">
      <c r="A418" s="8"/>
      <c r="B418" s="8"/>
      <c r="C418" s="8"/>
      <c r="D418" s="8"/>
      <c r="E418" s="9"/>
      <c r="F418" s="8"/>
      <c r="G418" s="143"/>
      <c r="H418" s="11"/>
      <c r="I418" s="143"/>
      <c r="J418" s="9"/>
      <c r="K418" s="143"/>
      <c r="L418" s="9"/>
      <c r="M418" s="8"/>
      <c r="N418" s="2"/>
      <c r="O418" s="2"/>
    </row>
    <row r="419" spans="1:15" x14ac:dyDescent="0.15">
      <c r="A419" s="8"/>
      <c r="B419" s="8"/>
      <c r="C419" s="8"/>
      <c r="D419" s="8"/>
      <c r="E419" s="9"/>
      <c r="F419" s="8"/>
      <c r="G419" s="143"/>
      <c r="H419" s="11"/>
      <c r="I419" s="143"/>
      <c r="J419" s="9"/>
      <c r="K419" s="143"/>
      <c r="L419" s="9"/>
      <c r="M419" s="8"/>
      <c r="N419" s="2"/>
      <c r="O419" s="2"/>
    </row>
    <row r="420" spans="1:15" x14ac:dyDescent="0.15">
      <c r="A420" s="8"/>
      <c r="B420" s="8"/>
      <c r="C420" s="8"/>
      <c r="D420" s="8"/>
      <c r="E420" s="9"/>
      <c r="F420" s="8"/>
      <c r="G420" s="143"/>
      <c r="H420" s="11"/>
      <c r="I420" s="143"/>
      <c r="J420" s="9"/>
      <c r="K420" s="143"/>
      <c r="L420" s="9"/>
      <c r="M420" s="8"/>
      <c r="N420" s="2"/>
      <c r="O420" s="2"/>
    </row>
    <row r="421" spans="1:15" x14ac:dyDescent="0.15">
      <c r="A421" s="8"/>
      <c r="B421" s="8"/>
      <c r="C421" s="8"/>
      <c r="D421" s="8"/>
      <c r="E421" s="9"/>
      <c r="F421" s="8"/>
      <c r="G421" s="143"/>
      <c r="H421" s="11"/>
      <c r="I421" s="143"/>
      <c r="J421" s="9"/>
      <c r="K421" s="143"/>
      <c r="L421" s="9"/>
      <c r="M421" s="8"/>
      <c r="N421" s="2"/>
      <c r="O421" s="2"/>
    </row>
    <row r="422" spans="1:15" x14ac:dyDescent="0.15">
      <c r="A422" s="8"/>
      <c r="B422" s="8"/>
      <c r="C422" s="8"/>
      <c r="D422" s="8"/>
      <c r="E422" s="9"/>
      <c r="F422" s="8"/>
      <c r="G422" s="143"/>
      <c r="H422" s="11"/>
      <c r="I422" s="143"/>
      <c r="J422" s="9"/>
      <c r="K422" s="143"/>
      <c r="L422" s="9"/>
      <c r="M422" s="8"/>
      <c r="N422" s="2"/>
      <c r="O422" s="2"/>
    </row>
    <row r="423" spans="1:15" x14ac:dyDescent="0.15">
      <c r="A423" s="8"/>
      <c r="B423" s="8"/>
      <c r="C423" s="8"/>
      <c r="D423" s="8"/>
      <c r="E423" s="9"/>
      <c r="F423" s="8"/>
      <c r="G423" s="143"/>
      <c r="H423" s="11"/>
      <c r="I423" s="143"/>
      <c r="J423" s="9"/>
      <c r="K423" s="143"/>
      <c r="L423" s="9"/>
      <c r="M423" s="8"/>
      <c r="N423" s="2"/>
      <c r="O423" s="2"/>
    </row>
    <row r="424" spans="1:15" x14ac:dyDescent="0.15">
      <c r="A424" s="8"/>
      <c r="B424" s="8"/>
      <c r="C424" s="8"/>
      <c r="D424" s="8"/>
      <c r="E424" s="9"/>
      <c r="F424" s="8"/>
      <c r="G424" s="143"/>
      <c r="H424" s="11"/>
      <c r="I424" s="143"/>
      <c r="J424" s="9"/>
      <c r="K424" s="143"/>
      <c r="L424" s="9"/>
      <c r="M424" s="8"/>
      <c r="N424" s="2"/>
      <c r="O424" s="2"/>
    </row>
    <row r="425" spans="1:15" x14ac:dyDescent="0.15">
      <c r="A425" s="8"/>
      <c r="B425" s="8"/>
      <c r="C425" s="8"/>
      <c r="D425" s="8"/>
      <c r="E425" s="9"/>
      <c r="F425" s="8"/>
      <c r="G425" s="143"/>
      <c r="H425" s="11"/>
      <c r="I425" s="143"/>
      <c r="J425" s="9"/>
      <c r="K425" s="143"/>
      <c r="L425" s="9"/>
      <c r="M425" s="8"/>
      <c r="N425" s="2"/>
      <c r="O425" s="2"/>
    </row>
    <row r="426" spans="1:15" x14ac:dyDescent="0.15">
      <c r="A426" s="8"/>
      <c r="B426" s="8"/>
      <c r="C426" s="8"/>
      <c r="D426" s="8"/>
      <c r="E426" s="9"/>
      <c r="F426" s="8"/>
      <c r="G426" s="143"/>
      <c r="H426" s="11"/>
      <c r="I426" s="143"/>
      <c r="J426" s="9"/>
      <c r="K426" s="143"/>
      <c r="L426" s="9"/>
      <c r="M426" s="8"/>
      <c r="N426" s="2"/>
      <c r="O426" s="2"/>
    </row>
    <row r="427" spans="1:15" x14ac:dyDescent="0.15">
      <c r="A427" s="8"/>
      <c r="B427" s="8"/>
      <c r="C427" s="8"/>
      <c r="D427" s="8"/>
      <c r="E427" s="9"/>
      <c r="F427" s="8"/>
      <c r="G427" s="143"/>
      <c r="H427" s="11"/>
      <c r="I427" s="143"/>
      <c r="J427" s="9"/>
      <c r="K427" s="143"/>
      <c r="L427" s="9"/>
      <c r="M427" s="8"/>
      <c r="N427" s="2"/>
      <c r="O427" s="2"/>
    </row>
    <row r="428" spans="1:15" x14ac:dyDescent="0.15">
      <c r="A428" s="8"/>
      <c r="B428" s="8"/>
      <c r="C428" s="8"/>
      <c r="D428" s="8"/>
      <c r="E428" s="9"/>
      <c r="F428" s="8"/>
      <c r="G428" s="143"/>
      <c r="H428" s="11"/>
      <c r="I428" s="143"/>
      <c r="J428" s="9"/>
      <c r="K428" s="143"/>
      <c r="L428" s="9"/>
      <c r="M428" s="8"/>
      <c r="N428" s="2"/>
      <c r="O428" s="2"/>
    </row>
    <row r="429" spans="1:15" x14ac:dyDescent="0.15">
      <c r="A429" s="8"/>
      <c r="B429" s="8"/>
      <c r="C429" s="8"/>
      <c r="D429" s="8"/>
      <c r="E429" s="9"/>
      <c r="F429" s="8"/>
      <c r="G429" s="143"/>
      <c r="H429" s="11"/>
      <c r="I429" s="143"/>
      <c r="J429" s="9"/>
      <c r="K429" s="143"/>
      <c r="L429" s="9"/>
      <c r="M429" s="8"/>
      <c r="N429" s="2"/>
      <c r="O429" s="2"/>
    </row>
    <row r="430" spans="1:15" x14ac:dyDescent="0.15">
      <c r="A430" s="8"/>
      <c r="B430" s="8"/>
      <c r="C430" s="8"/>
      <c r="D430" s="8"/>
      <c r="E430" s="9"/>
      <c r="F430" s="8"/>
      <c r="G430" s="143"/>
      <c r="H430" s="11"/>
      <c r="I430" s="143"/>
      <c r="J430" s="9"/>
      <c r="K430" s="143"/>
      <c r="L430" s="9"/>
      <c r="M430" s="8"/>
      <c r="N430" s="2"/>
      <c r="O430" s="2"/>
    </row>
    <row r="431" spans="1:15" x14ac:dyDescent="0.15">
      <c r="A431" s="8"/>
      <c r="B431" s="8"/>
      <c r="C431" s="8"/>
      <c r="D431" s="8"/>
      <c r="E431" s="9"/>
      <c r="F431" s="8"/>
      <c r="G431" s="143"/>
      <c r="H431" s="11"/>
      <c r="I431" s="143"/>
      <c r="J431" s="9"/>
      <c r="K431" s="143"/>
      <c r="L431" s="9"/>
      <c r="M431" s="8"/>
      <c r="N431" s="2"/>
      <c r="O431" s="2"/>
    </row>
    <row r="432" spans="1:15" x14ac:dyDescent="0.15">
      <c r="A432" s="8"/>
      <c r="B432" s="8"/>
      <c r="C432" s="8"/>
      <c r="D432" s="8"/>
      <c r="E432" s="9"/>
      <c r="F432" s="8"/>
      <c r="G432" s="143"/>
      <c r="H432" s="11"/>
      <c r="I432" s="143"/>
      <c r="J432" s="9"/>
      <c r="K432" s="143"/>
      <c r="L432" s="9"/>
      <c r="M432" s="8"/>
      <c r="N432" s="2"/>
      <c r="O432" s="2"/>
    </row>
    <row r="433" spans="1:15" x14ac:dyDescent="0.15">
      <c r="A433" s="8"/>
      <c r="B433" s="8"/>
      <c r="C433" s="8"/>
      <c r="D433" s="8"/>
      <c r="E433" s="9"/>
      <c r="F433" s="8"/>
      <c r="G433" s="143"/>
      <c r="H433" s="11"/>
      <c r="I433" s="143"/>
      <c r="J433" s="9"/>
      <c r="K433" s="143"/>
      <c r="L433" s="9"/>
      <c r="M433" s="8"/>
      <c r="N433" s="2"/>
      <c r="O433" s="2"/>
    </row>
    <row r="434" spans="1:15" x14ac:dyDescent="0.15">
      <c r="A434" s="8"/>
      <c r="B434" s="8"/>
      <c r="C434" s="8"/>
      <c r="D434" s="8"/>
      <c r="E434" s="9"/>
      <c r="F434" s="8"/>
      <c r="G434" s="143"/>
      <c r="H434" s="11"/>
      <c r="I434" s="143"/>
      <c r="J434" s="9"/>
      <c r="K434" s="143"/>
      <c r="L434" s="9"/>
      <c r="M434" s="8"/>
      <c r="N434" s="2"/>
      <c r="O434" s="2"/>
    </row>
    <row r="435" spans="1:15" x14ac:dyDescent="0.15">
      <c r="A435" s="8"/>
      <c r="B435" s="8"/>
      <c r="C435" s="8"/>
      <c r="D435" s="8"/>
      <c r="E435" s="9"/>
      <c r="F435" s="8"/>
      <c r="G435" s="143"/>
      <c r="H435" s="11"/>
      <c r="I435" s="143"/>
      <c r="J435" s="9"/>
      <c r="K435" s="143"/>
      <c r="L435" s="9"/>
      <c r="M435" s="8"/>
      <c r="N435" s="2"/>
      <c r="O435" s="2"/>
    </row>
    <row r="436" spans="1:15" outlineLevel="1" x14ac:dyDescent="0.15">
      <c r="A436" s="8"/>
      <c r="B436" s="8"/>
      <c r="C436" s="8"/>
      <c r="D436" s="8"/>
      <c r="E436" s="9"/>
      <c r="F436" s="8"/>
      <c r="G436" s="10"/>
      <c r="H436" s="11"/>
      <c r="I436" s="8"/>
      <c r="J436" s="9"/>
      <c r="K436" s="8"/>
      <c r="L436" s="9"/>
      <c r="M436" s="8"/>
      <c r="N436" s="2"/>
      <c r="O436" s="2"/>
    </row>
    <row r="437" spans="1:15" outlineLevel="1" x14ac:dyDescent="0.15">
      <c r="A437" s="8"/>
      <c r="B437" s="8"/>
      <c r="C437" s="8"/>
      <c r="D437" s="8"/>
      <c r="E437" s="9"/>
      <c r="F437" s="8"/>
      <c r="G437" s="10"/>
      <c r="H437" s="11"/>
      <c r="I437" s="8"/>
      <c r="J437" s="9"/>
      <c r="K437" s="8"/>
      <c r="L437" s="9"/>
      <c r="M437" s="8"/>
      <c r="N437" s="2"/>
      <c r="O437" s="2"/>
    </row>
    <row r="438" spans="1:15" outlineLevel="1" x14ac:dyDescent="0.15">
      <c r="A438" s="8"/>
      <c r="B438" s="8"/>
      <c r="C438" s="8"/>
      <c r="D438" s="8"/>
      <c r="E438" s="9"/>
      <c r="F438" s="8"/>
      <c r="G438" s="10"/>
      <c r="H438" s="11"/>
      <c r="I438" s="8"/>
      <c r="J438" s="9"/>
      <c r="K438" s="8"/>
      <c r="L438" s="9"/>
      <c r="M438" s="8"/>
      <c r="N438" s="2"/>
      <c r="O438" s="2"/>
    </row>
    <row r="439" spans="1:15" outlineLevel="1" x14ac:dyDescent="0.15">
      <c r="A439" s="8"/>
      <c r="B439" s="8"/>
      <c r="C439" s="8"/>
      <c r="D439" s="8"/>
      <c r="E439" s="9"/>
      <c r="F439" s="8"/>
      <c r="G439" s="10"/>
      <c r="H439" s="11"/>
      <c r="I439" s="8"/>
      <c r="J439" s="9"/>
      <c r="K439" s="8"/>
      <c r="L439" s="9"/>
      <c r="M439" s="8"/>
      <c r="N439" s="2"/>
      <c r="O439" s="2"/>
    </row>
    <row r="440" spans="1:15" outlineLevel="1" x14ac:dyDescent="0.15">
      <c r="A440" s="8"/>
      <c r="B440" s="8"/>
      <c r="C440" s="8"/>
      <c r="D440" s="8"/>
      <c r="E440" s="9"/>
      <c r="F440" s="8"/>
      <c r="G440" s="10"/>
      <c r="H440" s="11"/>
      <c r="I440" s="8"/>
      <c r="J440" s="9"/>
      <c r="K440" s="8"/>
      <c r="L440" s="9"/>
      <c r="M440" s="8"/>
      <c r="N440" s="2"/>
      <c r="O440" s="2"/>
    </row>
    <row r="441" spans="1:15" outlineLevel="1" x14ac:dyDescent="0.15">
      <c r="A441" s="8"/>
      <c r="B441" s="8"/>
      <c r="C441" s="8"/>
      <c r="D441" s="8"/>
      <c r="E441" s="9"/>
      <c r="F441" s="8"/>
      <c r="G441" s="10"/>
      <c r="H441" s="11"/>
      <c r="I441" s="8"/>
      <c r="J441" s="9"/>
      <c r="K441" s="8"/>
      <c r="L441" s="9"/>
      <c r="M441" s="8"/>
      <c r="N441" s="2"/>
      <c r="O441" s="2"/>
    </row>
    <row r="442" spans="1:15" outlineLevel="1" x14ac:dyDescent="0.15">
      <c r="A442" s="8"/>
      <c r="B442" s="8"/>
      <c r="C442" s="8"/>
      <c r="D442" s="8"/>
      <c r="E442" s="9"/>
      <c r="F442" s="8"/>
      <c r="G442" s="10"/>
      <c r="H442" s="11"/>
      <c r="I442" s="8"/>
      <c r="J442" s="9"/>
      <c r="K442" s="8"/>
      <c r="L442" s="9"/>
      <c r="M442" s="8"/>
      <c r="N442" s="2"/>
      <c r="O442" s="2"/>
    </row>
    <row r="443" spans="1:15" outlineLevel="1" x14ac:dyDescent="0.15">
      <c r="A443" s="8"/>
      <c r="B443" s="8"/>
      <c r="C443" s="8"/>
      <c r="D443" s="8"/>
      <c r="E443" s="9"/>
      <c r="F443" s="8"/>
      <c r="G443" s="10"/>
      <c r="H443" s="11"/>
      <c r="I443" s="8"/>
      <c r="J443" s="9"/>
      <c r="K443" s="8"/>
      <c r="L443" s="9"/>
      <c r="M443" s="8"/>
      <c r="N443" s="2"/>
      <c r="O443" s="2"/>
    </row>
    <row r="444" spans="1:15" outlineLevel="1" x14ac:dyDescent="0.15">
      <c r="A444" s="8"/>
      <c r="B444" s="8"/>
      <c r="C444" s="8"/>
      <c r="D444" s="8"/>
      <c r="E444" s="9"/>
      <c r="F444" s="8"/>
      <c r="G444" s="10"/>
      <c r="H444" s="11"/>
      <c r="I444" s="8"/>
      <c r="J444" s="9"/>
      <c r="K444" s="8"/>
      <c r="L444" s="9"/>
      <c r="M444" s="8"/>
      <c r="N444" s="2"/>
      <c r="O444" s="2"/>
    </row>
    <row r="445" spans="1:15" outlineLevel="1" x14ac:dyDescent="0.15">
      <c r="A445" s="8"/>
      <c r="B445" s="8"/>
      <c r="C445" s="8"/>
      <c r="D445" s="8"/>
      <c r="E445" s="9"/>
      <c r="F445" s="8"/>
      <c r="G445" s="10"/>
      <c r="H445" s="11"/>
      <c r="I445" s="8"/>
      <c r="J445" s="9"/>
      <c r="K445" s="8"/>
      <c r="L445" s="9"/>
      <c r="M445" s="8"/>
      <c r="N445" s="2"/>
      <c r="O445" s="2"/>
    </row>
    <row r="446" spans="1:15" outlineLevel="1" x14ac:dyDescent="0.15">
      <c r="A446" s="8"/>
      <c r="B446" s="8"/>
      <c r="C446" s="8"/>
      <c r="D446" s="8"/>
      <c r="E446" s="9"/>
      <c r="F446" s="8"/>
      <c r="G446" s="10"/>
      <c r="H446" s="11"/>
      <c r="I446" s="8"/>
      <c r="J446" s="9"/>
      <c r="K446" s="8"/>
      <c r="L446" s="9"/>
      <c r="M446" s="8"/>
      <c r="N446" s="2"/>
      <c r="O446" s="2"/>
    </row>
    <row r="447" spans="1:15" outlineLevel="1" x14ac:dyDescent="0.15">
      <c r="A447" s="8"/>
      <c r="B447" s="8"/>
      <c r="C447" s="8"/>
      <c r="D447" s="8"/>
      <c r="E447" s="9"/>
      <c r="F447" s="8"/>
      <c r="G447" s="10"/>
      <c r="H447" s="11"/>
      <c r="I447" s="8"/>
      <c r="J447" s="9"/>
      <c r="K447" s="8"/>
      <c r="L447" s="9"/>
      <c r="M447" s="8"/>
      <c r="N447" s="2"/>
      <c r="O447" s="2"/>
    </row>
    <row r="448" spans="1:15" outlineLevel="1" x14ac:dyDescent="0.15">
      <c r="A448" s="8"/>
      <c r="B448" s="8"/>
      <c r="C448" s="8"/>
      <c r="D448" s="8"/>
      <c r="E448" s="9"/>
      <c r="F448" s="8"/>
      <c r="G448" s="10"/>
      <c r="H448" s="11"/>
      <c r="I448" s="8"/>
      <c r="J448" s="9"/>
      <c r="K448" s="8"/>
      <c r="L448" s="9"/>
      <c r="M448" s="8"/>
      <c r="N448" s="2"/>
      <c r="O448" s="2"/>
    </row>
    <row r="449" spans="1:15" outlineLevel="1" x14ac:dyDescent="0.15">
      <c r="A449" s="8"/>
      <c r="B449" s="8"/>
      <c r="C449" s="8"/>
      <c r="D449" s="8"/>
      <c r="E449" s="9"/>
      <c r="F449" s="8"/>
      <c r="G449" s="10"/>
      <c r="H449" s="11"/>
      <c r="I449" s="8"/>
      <c r="J449" s="9"/>
      <c r="K449" s="8"/>
      <c r="L449" s="9"/>
      <c r="M449" s="8"/>
      <c r="N449" s="2"/>
      <c r="O449" s="2"/>
    </row>
    <row r="450" spans="1:15" outlineLevel="1" x14ac:dyDescent="0.15">
      <c r="A450" s="8"/>
      <c r="B450" s="8"/>
      <c r="C450" s="8"/>
      <c r="D450" s="8"/>
      <c r="E450" s="9"/>
      <c r="F450" s="8"/>
      <c r="G450" s="10"/>
      <c r="H450" s="11"/>
      <c r="I450" s="8"/>
      <c r="J450" s="9"/>
      <c r="K450" s="8"/>
      <c r="L450" s="9"/>
      <c r="M450" s="8"/>
      <c r="N450" s="2"/>
      <c r="O450" s="2"/>
    </row>
    <row r="451" spans="1:15" outlineLevel="1" x14ac:dyDescent="0.15">
      <c r="A451" s="8"/>
      <c r="B451" s="8"/>
      <c r="C451" s="8"/>
      <c r="D451" s="8"/>
      <c r="E451" s="9"/>
      <c r="F451" s="8"/>
      <c r="G451" s="10"/>
      <c r="H451" s="11"/>
      <c r="I451" s="8"/>
      <c r="J451" s="9"/>
      <c r="K451" s="8"/>
      <c r="L451" s="9"/>
      <c r="M451" s="8"/>
      <c r="N451" s="2"/>
      <c r="O451" s="2"/>
    </row>
    <row r="452" spans="1:15" outlineLevel="1" x14ac:dyDescent="0.15">
      <c r="A452" s="8"/>
      <c r="B452" s="8"/>
      <c r="C452" s="8"/>
      <c r="D452" s="8"/>
      <c r="E452" s="9"/>
      <c r="F452" s="8"/>
      <c r="G452" s="10"/>
      <c r="H452" s="11"/>
      <c r="I452" s="8"/>
      <c r="J452" s="9"/>
      <c r="K452" s="8"/>
      <c r="L452" s="9"/>
      <c r="M452" s="8"/>
      <c r="N452" s="2"/>
      <c r="O452" s="2"/>
    </row>
    <row r="453" spans="1:15" outlineLevel="1" x14ac:dyDescent="0.15">
      <c r="A453" s="8"/>
      <c r="B453" s="8"/>
      <c r="C453" s="8"/>
      <c r="D453" s="8"/>
      <c r="E453" s="9"/>
      <c r="F453" s="8"/>
      <c r="G453" s="10"/>
      <c r="H453" s="11"/>
      <c r="I453" s="8"/>
      <c r="J453" s="9"/>
      <c r="K453" s="8"/>
      <c r="L453" s="9"/>
      <c r="M453" s="8"/>
      <c r="N453" s="2"/>
      <c r="O453" s="2"/>
    </row>
    <row r="454" spans="1:15" outlineLevel="1" x14ac:dyDescent="0.15">
      <c r="A454" s="8"/>
      <c r="B454" s="8"/>
      <c r="C454" s="8"/>
      <c r="D454" s="8"/>
      <c r="E454" s="9"/>
      <c r="F454" s="8"/>
      <c r="G454" s="10"/>
      <c r="H454" s="11"/>
      <c r="I454" s="8"/>
      <c r="J454" s="9"/>
      <c r="K454" s="8"/>
      <c r="L454" s="9"/>
      <c r="M454" s="8"/>
      <c r="N454" s="2"/>
      <c r="O454" s="2"/>
    </row>
    <row r="455" spans="1:15" outlineLevel="1" x14ac:dyDescent="0.15">
      <c r="A455" s="8"/>
      <c r="B455" s="8"/>
      <c r="C455" s="8"/>
      <c r="D455" s="8"/>
      <c r="E455" s="9"/>
      <c r="F455" s="8"/>
      <c r="G455" s="10"/>
      <c r="H455" s="11"/>
      <c r="I455" s="8"/>
      <c r="J455" s="9"/>
      <c r="K455" s="8"/>
      <c r="L455" s="9"/>
      <c r="M455" s="8"/>
      <c r="N455" s="2"/>
      <c r="O455" s="2"/>
    </row>
    <row r="456" spans="1:15" outlineLevel="1" x14ac:dyDescent="0.15">
      <c r="A456" s="8"/>
      <c r="B456" s="8"/>
      <c r="C456" s="8"/>
      <c r="D456" s="8"/>
      <c r="E456" s="9"/>
      <c r="F456" s="8"/>
      <c r="G456" s="10"/>
      <c r="H456" s="11"/>
      <c r="I456" s="8"/>
      <c r="J456" s="9"/>
      <c r="K456" s="8"/>
      <c r="L456" s="9"/>
      <c r="M456" s="8"/>
      <c r="N456" s="2"/>
      <c r="O456" s="2"/>
    </row>
    <row r="457" spans="1:15" outlineLevel="1" x14ac:dyDescent="0.15">
      <c r="A457" s="8"/>
      <c r="B457" s="8"/>
      <c r="C457" s="8"/>
      <c r="D457" s="8"/>
      <c r="E457" s="9"/>
      <c r="F457" s="8"/>
      <c r="G457" s="10"/>
      <c r="H457" s="11"/>
      <c r="I457" s="8"/>
      <c r="J457" s="9"/>
      <c r="K457" s="8"/>
      <c r="L457" s="9"/>
      <c r="M457" s="8"/>
      <c r="N457" s="2"/>
      <c r="O457" s="2"/>
    </row>
    <row r="458" spans="1:15" outlineLevel="1" x14ac:dyDescent="0.15">
      <c r="A458" s="8"/>
      <c r="B458" s="8"/>
      <c r="C458" s="8"/>
      <c r="D458" s="8"/>
      <c r="E458" s="9"/>
      <c r="F458" s="8"/>
      <c r="G458" s="10"/>
      <c r="H458" s="11"/>
      <c r="I458" s="8"/>
      <c r="J458" s="9"/>
      <c r="K458" s="8"/>
      <c r="L458" s="9"/>
      <c r="M458" s="8"/>
      <c r="N458" s="2"/>
      <c r="O458" s="2"/>
    </row>
    <row r="459" spans="1:15" outlineLevel="1" x14ac:dyDescent="0.15">
      <c r="A459" s="8"/>
      <c r="B459" s="8"/>
      <c r="C459" s="8"/>
      <c r="D459" s="8"/>
      <c r="E459" s="9"/>
      <c r="F459" s="8"/>
      <c r="G459" s="10"/>
      <c r="H459" s="11"/>
      <c r="I459" s="8"/>
      <c r="J459" s="9"/>
      <c r="K459" s="8"/>
      <c r="L459" s="9"/>
      <c r="M459" s="8"/>
      <c r="N459" s="2"/>
      <c r="O459" s="2"/>
    </row>
    <row r="460" spans="1:15" outlineLevel="1" x14ac:dyDescent="0.15">
      <c r="A460" s="8"/>
      <c r="B460" s="8"/>
      <c r="C460" s="8"/>
      <c r="D460" s="8"/>
      <c r="E460" s="9"/>
      <c r="F460" s="8"/>
      <c r="G460" s="10"/>
      <c r="H460" s="11"/>
      <c r="I460" s="8"/>
      <c r="J460" s="9"/>
      <c r="K460" s="8"/>
      <c r="L460" s="9"/>
      <c r="M460" s="8"/>
      <c r="N460" s="2"/>
      <c r="O460" s="2"/>
    </row>
    <row r="461" spans="1:15" outlineLevel="1" x14ac:dyDescent="0.15">
      <c r="A461" s="8"/>
      <c r="B461" s="8"/>
      <c r="C461" s="8"/>
      <c r="D461" s="8"/>
      <c r="E461" s="9"/>
      <c r="F461" s="8"/>
      <c r="G461" s="10"/>
      <c r="H461" s="11"/>
      <c r="I461" s="8"/>
      <c r="J461" s="9"/>
      <c r="K461" s="8"/>
      <c r="L461" s="9"/>
      <c r="M461" s="8"/>
      <c r="N461" s="2"/>
      <c r="O461" s="2"/>
    </row>
    <row r="462" spans="1:15" outlineLevel="1" x14ac:dyDescent="0.15">
      <c r="A462" s="8"/>
      <c r="B462" s="8"/>
      <c r="C462" s="8"/>
      <c r="D462" s="8"/>
      <c r="E462" s="9"/>
      <c r="F462" s="8"/>
      <c r="G462" s="10"/>
      <c r="H462" s="11"/>
      <c r="I462" s="8"/>
      <c r="J462" s="9"/>
      <c r="K462" s="8"/>
      <c r="L462" s="9"/>
      <c r="M462" s="8"/>
      <c r="N462" s="2"/>
      <c r="O462" s="2"/>
    </row>
    <row r="463" spans="1:15" outlineLevel="1" x14ac:dyDescent="0.15">
      <c r="A463" s="8"/>
      <c r="B463" s="8"/>
      <c r="C463" s="8"/>
      <c r="D463" s="8"/>
      <c r="E463" s="9"/>
      <c r="F463" s="8"/>
      <c r="G463" s="10"/>
      <c r="H463" s="11"/>
      <c r="I463" s="8"/>
      <c r="J463" s="9"/>
      <c r="K463" s="8"/>
      <c r="L463" s="9"/>
      <c r="M463" s="8"/>
      <c r="N463" s="2"/>
      <c r="O463" s="2"/>
    </row>
    <row r="464" spans="1:15" outlineLevel="1" x14ac:dyDescent="0.15">
      <c r="A464" s="8"/>
      <c r="B464" s="8"/>
      <c r="C464" s="8"/>
      <c r="D464" s="8"/>
      <c r="E464" s="9"/>
      <c r="F464" s="8"/>
      <c r="G464" s="10"/>
      <c r="H464" s="11"/>
      <c r="I464" s="8"/>
      <c r="J464" s="9"/>
      <c r="K464" s="8"/>
      <c r="L464" s="9"/>
      <c r="M464" s="8"/>
      <c r="N464" s="2"/>
      <c r="O464" s="2"/>
    </row>
    <row r="465" spans="1:15" outlineLevel="1" x14ac:dyDescent="0.15">
      <c r="A465" s="8"/>
      <c r="B465" s="8"/>
      <c r="C465" s="8"/>
      <c r="D465" s="8"/>
      <c r="E465" s="9"/>
      <c r="F465" s="8"/>
      <c r="G465" s="10"/>
      <c r="H465" s="11"/>
      <c r="I465" s="8"/>
      <c r="J465" s="9"/>
      <c r="K465" s="8"/>
      <c r="L465" s="9"/>
      <c r="M465" s="8"/>
      <c r="N465" s="2"/>
      <c r="O465" s="2"/>
    </row>
    <row r="466" spans="1:15" outlineLevel="1" x14ac:dyDescent="0.15">
      <c r="A466" s="8"/>
      <c r="B466" s="8"/>
      <c r="C466" s="8"/>
      <c r="D466" s="8"/>
      <c r="E466" s="9"/>
      <c r="F466" s="8"/>
      <c r="G466" s="10"/>
      <c r="H466" s="11"/>
      <c r="I466" s="8"/>
      <c r="J466" s="9"/>
      <c r="K466" s="8"/>
      <c r="L466" s="9"/>
      <c r="M466" s="8"/>
      <c r="N466" s="2"/>
      <c r="O466" s="2"/>
    </row>
    <row r="467" spans="1:15" outlineLevel="1" x14ac:dyDescent="0.15">
      <c r="A467" s="8"/>
      <c r="B467" s="8"/>
      <c r="C467" s="8"/>
      <c r="D467" s="8"/>
      <c r="E467" s="9"/>
      <c r="F467" s="8"/>
      <c r="G467" s="10"/>
      <c r="H467" s="11"/>
      <c r="I467" s="8"/>
      <c r="J467" s="9"/>
      <c r="K467" s="8"/>
      <c r="L467" s="9"/>
      <c r="M467" s="8"/>
      <c r="N467" s="2"/>
      <c r="O467" s="2"/>
    </row>
    <row r="468" spans="1:15" outlineLevel="1" x14ac:dyDescent="0.15">
      <c r="A468" s="8"/>
      <c r="B468" s="8"/>
      <c r="C468" s="8"/>
      <c r="D468" s="8"/>
      <c r="E468" s="9"/>
      <c r="F468" s="8"/>
      <c r="G468" s="10"/>
      <c r="H468" s="11"/>
      <c r="I468" s="8"/>
      <c r="J468" s="9"/>
      <c r="K468" s="8"/>
      <c r="L468" s="9"/>
      <c r="M468" s="8"/>
      <c r="N468" s="2"/>
      <c r="O468" s="2"/>
    </row>
    <row r="469" spans="1:15" outlineLevel="1" x14ac:dyDescent="0.15">
      <c r="A469" s="8"/>
      <c r="B469" s="8"/>
      <c r="C469" s="8"/>
      <c r="D469" s="8"/>
      <c r="E469" s="9"/>
      <c r="F469" s="8"/>
      <c r="G469" s="10"/>
      <c r="H469" s="11"/>
      <c r="I469" s="8"/>
      <c r="J469" s="9"/>
      <c r="K469" s="8"/>
      <c r="L469" s="9"/>
      <c r="M469" s="8"/>
      <c r="N469" s="2"/>
      <c r="O469" s="2"/>
    </row>
    <row r="470" spans="1:15" outlineLevel="1" x14ac:dyDescent="0.15">
      <c r="A470" s="8"/>
      <c r="B470" s="8"/>
      <c r="C470" s="8"/>
      <c r="D470" s="8"/>
      <c r="E470" s="9"/>
      <c r="F470" s="8"/>
      <c r="G470" s="10"/>
      <c r="H470" s="11"/>
      <c r="I470" s="8"/>
      <c r="J470" s="9"/>
      <c r="K470" s="8"/>
      <c r="L470" s="9"/>
      <c r="M470" s="8"/>
      <c r="N470" s="2"/>
      <c r="O470" s="2"/>
    </row>
    <row r="471" spans="1:15" outlineLevel="1" x14ac:dyDescent="0.15">
      <c r="A471" s="8"/>
      <c r="B471" s="8"/>
      <c r="C471" s="8"/>
      <c r="D471" s="8"/>
      <c r="E471" s="9"/>
      <c r="F471" s="8"/>
      <c r="G471" s="10"/>
      <c r="H471" s="11"/>
      <c r="I471" s="8"/>
      <c r="J471" s="9"/>
      <c r="K471" s="8"/>
      <c r="L471" s="9"/>
      <c r="M471" s="8"/>
      <c r="N471" s="2"/>
      <c r="O471" s="2"/>
    </row>
    <row r="472" spans="1:15" outlineLevel="1" x14ac:dyDescent="0.15">
      <c r="A472" s="8"/>
      <c r="B472" s="8"/>
      <c r="C472" s="8"/>
      <c r="D472" s="8"/>
      <c r="E472" s="9"/>
      <c r="F472" s="8"/>
      <c r="G472" s="10"/>
      <c r="H472" s="11"/>
      <c r="I472" s="8"/>
      <c r="J472" s="9"/>
      <c r="K472" s="8"/>
      <c r="L472" s="9"/>
      <c r="M472" s="8"/>
      <c r="N472" s="2"/>
      <c r="O472" s="2"/>
    </row>
    <row r="473" spans="1:15" outlineLevel="1" x14ac:dyDescent="0.15">
      <c r="A473" s="8"/>
      <c r="B473" s="8"/>
      <c r="C473" s="8"/>
      <c r="D473" s="8"/>
      <c r="E473" s="9"/>
      <c r="F473" s="8"/>
      <c r="G473" s="10"/>
      <c r="H473" s="11"/>
      <c r="I473" s="8"/>
      <c r="J473" s="9"/>
      <c r="K473" s="8"/>
      <c r="L473" s="9"/>
      <c r="M473" s="8"/>
      <c r="N473" s="2"/>
      <c r="O473" s="2"/>
    </row>
    <row r="474" spans="1:15" outlineLevel="1" x14ac:dyDescent="0.15">
      <c r="A474" s="8"/>
      <c r="B474" s="8"/>
      <c r="C474" s="8"/>
      <c r="D474" s="8"/>
      <c r="E474" s="9"/>
      <c r="F474" s="8"/>
      <c r="G474" s="10"/>
      <c r="H474" s="11"/>
      <c r="I474" s="8"/>
      <c r="J474" s="9"/>
      <c r="K474" s="8"/>
      <c r="L474" s="9"/>
      <c r="M474" s="8"/>
      <c r="N474" s="2"/>
      <c r="O474" s="2"/>
    </row>
    <row r="475" spans="1:15" outlineLevel="1" x14ac:dyDescent="0.15">
      <c r="A475" s="8"/>
      <c r="B475" s="8"/>
      <c r="C475" s="8"/>
      <c r="D475" s="8"/>
      <c r="E475" s="9"/>
      <c r="F475" s="8"/>
      <c r="G475" s="10"/>
      <c r="H475" s="11"/>
      <c r="I475" s="8"/>
      <c r="J475" s="9"/>
      <c r="K475" s="8"/>
      <c r="L475" s="9"/>
      <c r="M475" s="8"/>
      <c r="N475" s="2"/>
      <c r="O475" s="2"/>
    </row>
    <row r="476" spans="1:15" outlineLevel="1" x14ac:dyDescent="0.15">
      <c r="A476" s="8"/>
      <c r="B476" s="8"/>
      <c r="C476" s="8"/>
      <c r="D476" s="8"/>
      <c r="E476" s="9"/>
      <c r="F476" s="8"/>
      <c r="G476" s="10"/>
      <c r="H476" s="11"/>
      <c r="I476" s="8"/>
      <c r="J476" s="9"/>
      <c r="K476" s="8"/>
      <c r="L476" s="9"/>
      <c r="M476" s="8"/>
      <c r="N476" s="2"/>
      <c r="O476" s="2"/>
    </row>
    <row r="477" spans="1:15" outlineLevel="1" x14ac:dyDescent="0.15">
      <c r="A477" s="8"/>
      <c r="B477" s="8"/>
      <c r="C477" s="8"/>
      <c r="D477" s="8"/>
      <c r="E477" s="9"/>
      <c r="F477" s="8"/>
      <c r="G477" s="10"/>
      <c r="H477" s="11"/>
      <c r="I477" s="8"/>
      <c r="J477" s="9"/>
      <c r="K477" s="8"/>
      <c r="L477" s="9"/>
      <c r="M477" s="8"/>
      <c r="N477" s="2"/>
      <c r="O477" s="2"/>
    </row>
    <row r="478" spans="1:15" outlineLevel="1" x14ac:dyDescent="0.15">
      <c r="A478" s="8"/>
      <c r="B478" s="8"/>
      <c r="C478" s="8"/>
      <c r="D478" s="8"/>
      <c r="E478" s="9"/>
      <c r="F478" s="8"/>
      <c r="G478" s="10"/>
      <c r="H478" s="11"/>
      <c r="I478" s="8"/>
      <c r="J478" s="9"/>
      <c r="K478" s="8"/>
      <c r="L478" s="9"/>
      <c r="M478" s="8"/>
      <c r="N478" s="2"/>
      <c r="O478" s="2"/>
    </row>
    <row r="479" spans="1:15" outlineLevel="1" x14ac:dyDescent="0.15">
      <c r="A479" s="8"/>
      <c r="B479" s="8"/>
      <c r="C479" s="8"/>
      <c r="D479" s="8"/>
      <c r="E479" s="9"/>
      <c r="F479" s="8"/>
      <c r="G479" s="10"/>
      <c r="H479" s="11"/>
      <c r="I479" s="8"/>
      <c r="J479" s="9"/>
      <c r="K479" s="8"/>
      <c r="L479" s="9"/>
      <c r="M479" s="8"/>
      <c r="N479" s="2"/>
      <c r="O479" s="2"/>
    </row>
    <row r="480" spans="1:15" outlineLevel="1" x14ac:dyDescent="0.15">
      <c r="A480" s="8"/>
      <c r="B480" s="8"/>
      <c r="C480" s="8"/>
      <c r="D480" s="8"/>
      <c r="E480" s="9"/>
      <c r="F480" s="8"/>
      <c r="G480" s="10"/>
      <c r="H480" s="11"/>
      <c r="I480" s="8"/>
      <c r="J480" s="9"/>
      <c r="K480" s="8"/>
      <c r="L480" s="9"/>
      <c r="M480" s="8"/>
      <c r="N480" s="2"/>
      <c r="O480" s="2"/>
    </row>
    <row r="481" spans="1:15" outlineLevel="1" x14ac:dyDescent="0.15">
      <c r="A481" s="8"/>
      <c r="B481" s="8"/>
      <c r="C481" s="8"/>
      <c r="D481" s="8"/>
      <c r="E481" s="9"/>
      <c r="F481" s="8"/>
      <c r="G481" s="10"/>
      <c r="H481" s="11"/>
      <c r="I481" s="8"/>
      <c r="J481" s="9"/>
      <c r="K481" s="8"/>
      <c r="L481" s="9"/>
      <c r="M481" s="8"/>
      <c r="N481" s="2"/>
      <c r="O481" s="2"/>
    </row>
    <row r="482" spans="1:15" outlineLevel="1" x14ac:dyDescent="0.15">
      <c r="A482" s="8"/>
      <c r="B482" s="8"/>
      <c r="C482" s="8"/>
      <c r="D482" s="8"/>
      <c r="E482" s="9"/>
      <c r="F482" s="8"/>
      <c r="G482" s="10"/>
      <c r="H482" s="11"/>
      <c r="I482" s="8"/>
      <c r="J482" s="9"/>
      <c r="K482" s="8"/>
      <c r="L482" s="9"/>
      <c r="M482" s="8"/>
      <c r="N482" s="2"/>
      <c r="O482" s="2"/>
    </row>
    <row r="483" spans="1:15" outlineLevel="1" x14ac:dyDescent="0.15">
      <c r="A483" s="8"/>
      <c r="B483" s="8"/>
      <c r="C483" s="8"/>
      <c r="D483" s="8"/>
      <c r="E483" s="9"/>
      <c r="F483" s="8"/>
      <c r="G483" s="10"/>
      <c r="H483" s="11"/>
      <c r="I483" s="8"/>
      <c r="J483" s="9"/>
      <c r="K483" s="8"/>
      <c r="L483" s="9"/>
      <c r="M483" s="8"/>
      <c r="N483" s="2"/>
      <c r="O483" s="2"/>
    </row>
    <row r="484" spans="1:15" outlineLevel="1" x14ac:dyDescent="0.15">
      <c r="A484" s="8"/>
      <c r="B484" s="8"/>
      <c r="C484" s="8"/>
      <c r="D484" s="8"/>
      <c r="E484" s="9"/>
      <c r="F484" s="8"/>
      <c r="G484" s="10"/>
      <c r="H484" s="11"/>
      <c r="I484" s="8"/>
      <c r="J484" s="9"/>
      <c r="K484" s="8"/>
      <c r="L484" s="9"/>
      <c r="M484" s="8"/>
      <c r="N484" s="2"/>
      <c r="O484" s="2"/>
    </row>
    <row r="485" spans="1:15" outlineLevel="1" x14ac:dyDescent="0.15">
      <c r="A485" s="8"/>
      <c r="B485" s="8"/>
      <c r="C485" s="8"/>
      <c r="D485" s="8"/>
      <c r="E485" s="9"/>
      <c r="F485" s="8"/>
      <c r="G485" s="10"/>
      <c r="H485" s="11"/>
      <c r="I485" s="8"/>
      <c r="J485" s="9"/>
      <c r="K485" s="8"/>
      <c r="L485" s="9"/>
      <c r="M485" s="8"/>
      <c r="N485" s="2"/>
      <c r="O485" s="2"/>
    </row>
    <row r="486" spans="1:15" outlineLevel="1" x14ac:dyDescent="0.15">
      <c r="A486" s="8"/>
      <c r="B486" s="8"/>
      <c r="C486" s="8"/>
      <c r="D486" s="8"/>
      <c r="E486" s="9"/>
      <c r="F486" s="8"/>
      <c r="G486" s="10"/>
      <c r="H486" s="11"/>
      <c r="I486" s="8"/>
      <c r="J486" s="9"/>
      <c r="K486" s="8"/>
      <c r="L486" s="9"/>
      <c r="M486" s="8"/>
      <c r="N486" s="2"/>
      <c r="O486" s="2"/>
    </row>
    <row r="487" spans="1:15" outlineLevel="1" x14ac:dyDescent="0.15">
      <c r="A487" s="8"/>
      <c r="B487" s="8"/>
      <c r="C487" s="8"/>
      <c r="D487" s="8"/>
      <c r="E487" s="9"/>
      <c r="F487" s="8"/>
      <c r="G487" s="10"/>
      <c r="H487" s="11"/>
      <c r="I487" s="8"/>
      <c r="J487" s="9"/>
      <c r="K487" s="8"/>
      <c r="L487" s="9"/>
      <c r="M487" s="8"/>
      <c r="N487" s="2"/>
      <c r="O487" s="2"/>
    </row>
    <row r="488" spans="1:15" outlineLevel="1" x14ac:dyDescent="0.15">
      <c r="A488" s="8"/>
      <c r="B488" s="8"/>
      <c r="C488" s="8"/>
      <c r="D488" s="8"/>
      <c r="E488" s="9"/>
      <c r="F488" s="8"/>
      <c r="G488" s="10"/>
      <c r="H488" s="11"/>
      <c r="I488" s="8"/>
      <c r="J488" s="9"/>
      <c r="K488" s="8"/>
      <c r="L488" s="9"/>
      <c r="M488" s="8"/>
      <c r="N488" s="2"/>
      <c r="O488" s="2"/>
    </row>
    <row r="489" spans="1:15" outlineLevel="1" x14ac:dyDescent="0.15">
      <c r="A489" s="8"/>
      <c r="B489" s="8"/>
      <c r="C489" s="8"/>
      <c r="D489" s="8"/>
      <c r="E489" s="9"/>
      <c r="F489" s="8"/>
      <c r="G489" s="10"/>
      <c r="H489" s="11"/>
      <c r="I489" s="8"/>
      <c r="J489" s="9"/>
      <c r="K489" s="8"/>
      <c r="L489" s="9"/>
      <c r="M489" s="8"/>
      <c r="N489" s="2"/>
      <c r="O489" s="2"/>
    </row>
    <row r="490" spans="1:15" outlineLevel="1" x14ac:dyDescent="0.15">
      <c r="A490" s="8"/>
      <c r="B490" s="8"/>
      <c r="C490" s="8"/>
      <c r="D490" s="8"/>
      <c r="E490" s="9"/>
      <c r="F490" s="8"/>
      <c r="G490" s="10"/>
      <c r="H490" s="11"/>
      <c r="I490" s="8"/>
      <c r="J490" s="9"/>
      <c r="K490" s="8"/>
      <c r="L490" s="9"/>
      <c r="M490" s="8"/>
      <c r="N490" s="2"/>
      <c r="O490" s="2"/>
    </row>
    <row r="491" spans="1:15" outlineLevel="1" x14ac:dyDescent="0.15">
      <c r="A491" s="8"/>
      <c r="B491" s="8"/>
      <c r="C491" s="8"/>
      <c r="D491" s="8"/>
      <c r="E491" s="9"/>
      <c r="F491" s="8"/>
      <c r="G491" s="10"/>
      <c r="H491" s="11"/>
      <c r="I491" s="8"/>
      <c r="J491" s="9"/>
      <c r="K491" s="8"/>
      <c r="L491" s="9"/>
      <c r="M491" s="8"/>
      <c r="N491" s="2"/>
      <c r="O491" s="2"/>
    </row>
    <row r="492" spans="1:15" outlineLevel="1" x14ac:dyDescent="0.15">
      <c r="A492" s="8"/>
      <c r="B492" s="8"/>
      <c r="C492" s="8"/>
      <c r="D492" s="8"/>
      <c r="E492" s="9"/>
      <c r="F492" s="8"/>
      <c r="G492" s="10"/>
      <c r="H492" s="11"/>
      <c r="I492" s="8"/>
      <c r="J492" s="9"/>
      <c r="K492" s="8"/>
      <c r="L492" s="9"/>
      <c r="M492" s="8"/>
      <c r="N492" s="2"/>
      <c r="O492" s="2"/>
    </row>
    <row r="493" spans="1:15" outlineLevel="1" x14ac:dyDescent="0.15">
      <c r="A493" s="8"/>
      <c r="B493" s="8"/>
      <c r="C493" s="8"/>
      <c r="D493" s="8"/>
      <c r="E493" s="9"/>
      <c r="F493" s="8"/>
      <c r="G493" s="10"/>
      <c r="H493" s="11"/>
      <c r="I493" s="8"/>
      <c r="J493" s="9"/>
      <c r="K493" s="8"/>
      <c r="L493" s="9"/>
      <c r="M493" s="8"/>
      <c r="N493" s="2"/>
      <c r="O493" s="2"/>
    </row>
    <row r="494" spans="1:15" outlineLevel="1" x14ac:dyDescent="0.15">
      <c r="A494" s="8"/>
      <c r="B494" s="8"/>
      <c r="C494" s="8"/>
      <c r="D494" s="8"/>
      <c r="E494" s="9"/>
      <c r="F494" s="8"/>
      <c r="G494" s="10"/>
      <c r="H494" s="11"/>
      <c r="I494" s="8"/>
      <c r="J494" s="9"/>
      <c r="K494" s="8"/>
      <c r="L494" s="9"/>
      <c r="M494" s="8"/>
      <c r="N494" s="2"/>
      <c r="O494" s="2"/>
    </row>
    <row r="495" spans="1:15" outlineLevel="1" x14ac:dyDescent="0.15">
      <c r="A495" s="8"/>
      <c r="B495" s="8"/>
      <c r="C495" s="8"/>
      <c r="D495" s="8"/>
      <c r="E495" s="9"/>
      <c r="F495" s="8"/>
      <c r="G495" s="10"/>
      <c r="H495" s="11"/>
      <c r="I495" s="8"/>
      <c r="J495" s="9"/>
      <c r="K495" s="8"/>
      <c r="L495" s="9"/>
      <c r="M495" s="8"/>
      <c r="N495" s="2"/>
      <c r="O495" s="2"/>
    </row>
    <row r="496" spans="1:15" outlineLevel="1" x14ac:dyDescent="0.15">
      <c r="A496" s="8"/>
      <c r="B496" s="8"/>
      <c r="C496" s="8"/>
      <c r="D496" s="8"/>
      <c r="E496" s="9"/>
      <c r="F496" s="8"/>
      <c r="G496" s="10"/>
      <c r="H496" s="11"/>
      <c r="I496" s="8"/>
      <c r="J496" s="9"/>
      <c r="K496" s="8"/>
      <c r="L496" s="9"/>
      <c r="M496" s="8"/>
      <c r="N496" s="2"/>
      <c r="O496" s="2"/>
    </row>
    <row r="497" spans="1:15" outlineLevel="1" x14ac:dyDescent="0.15">
      <c r="A497" s="8"/>
      <c r="B497" s="8"/>
      <c r="C497" s="8"/>
      <c r="D497" s="8"/>
      <c r="E497" s="9"/>
      <c r="F497" s="8"/>
      <c r="G497" s="10"/>
      <c r="H497" s="11"/>
      <c r="I497" s="8"/>
      <c r="J497" s="9"/>
      <c r="K497" s="8"/>
      <c r="L497" s="9"/>
      <c r="M497" s="8"/>
      <c r="N497" s="2"/>
      <c r="O497" s="2"/>
    </row>
    <row r="498" spans="1:15" outlineLevel="1" x14ac:dyDescent="0.15">
      <c r="A498" s="8"/>
      <c r="B498" s="8"/>
      <c r="C498" s="8"/>
      <c r="D498" s="8"/>
      <c r="E498" s="9"/>
      <c r="F498" s="8"/>
      <c r="G498" s="10"/>
      <c r="H498" s="11"/>
      <c r="I498" s="8"/>
      <c r="J498" s="9"/>
      <c r="K498" s="8"/>
      <c r="L498" s="9"/>
      <c r="M498" s="8"/>
      <c r="N498" s="2"/>
      <c r="O498" s="2"/>
    </row>
    <row r="499" spans="1:15" outlineLevel="1" x14ac:dyDescent="0.15">
      <c r="A499" s="8"/>
      <c r="B499" s="8"/>
      <c r="C499" s="8"/>
      <c r="D499" s="8"/>
      <c r="E499" s="9"/>
      <c r="F499" s="8"/>
      <c r="G499" s="10"/>
      <c r="H499" s="11"/>
      <c r="I499" s="8"/>
      <c r="J499" s="9"/>
      <c r="K499" s="8"/>
      <c r="L499" s="9"/>
      <c r="M499" s="8"/>
      <c r="N499" s="2"/>
      <c r="O499" s="2"/>
    </row>
    <row r="500" spans="1:15" outlineLevel="1" x14ac:dyDescent="0.15">
      <c r="A500" s="8"/>
      <c r="B500" s="8"/>
      <c r="C500" s="8"/>
      <c r="D500" s="8"/>
      <c r="E500" s="9"/>
      <c r="F500" s="8"/>
      <c r="G500" s="10"/>
      <c r="H500" s="11"/>
      <c r="I500" s="8"/>
      <c r="J500" s="9"/>
      <c r="K500" s="8"/>
      <c r="L500" s="9"/>
      <c r="M500" s="8"/>
      <c r="N500" s="2"/>
      <c r="O500" s="2"/>
    </row>
    <row r="501" spans="1:15" outlineLevel="1" x14ac:dyDescent="0.15">
      <c r="A501" s="8"/>
      <c r="B501" s="8"/>
      <c r="C501" s="8"/>
      <c r="D501" s="8"/>
      <c r="E501" s="9"/>
      <c r="F501" s="8"/>
      <c r="G501" s="10"/>
      <c r="H501" s="11"/>
      <c r="I501" s="8"/>
      <c r="J501" s="9"/>
      <c r="K501" s="8"/>
      <c r="L501" s="9"/>
      <c r="M501" s="8"/>
      <c r="N501" s="2"/>
      <c r="O501" s="2"/>
    </row>
    <row r="502" spans="1:15" outlineLevel="1" x14ac:dyDescent="0.15">
      <c r="A502" s="8"/>
      <c r="B502" s="8"/>
      <c r="C502" s="8"/>
      <c r="D502" s="8"/>
      <c r="E502" s="9"/>
      <c r="F502" s="8"/>
      <c r="G502" s="10"/>
      <c r="H502" s="11"/>
      <c r="I502" s="8"/>
      <c r="J502" s="9"/>
      <c r="K502" s="8"/>
      <c r="L502" s="9"/>
      <c r="M502" s="8"/>
      <c r="N502" s="2"/>
      <c r="O502" s="2"/>
    </row>
    <row r="503" spans="1:15" outlineLevel="1" x14ac:dyDescent="0.15">
      <c r="A503" s="8"/>
      <c r="B503" s="8"/>
      <c r="C503" s="8"/>
      <c r="D503" s="8"/>
      <c r="E503" s="9"/>
      <c r="F503" s="8"/>
      <c r="G503" s="10"/>
      <c r="H503" s="11"/>
      <c r="I503" s="8"/>
      <c r="J503" s="9"/>
      <c r="K503" s="8"/>
      <c r="L503" s="9"/>
      <c r="M503" s="8"/>
      <c r="N503" s="2"/>
      <c r="O503" s="2"/>
    </row>
    <row r="504" spans="1:15" outlineLevel="1" x14ac:dyDescent="0.15">
      <c r="A504" s="8"/>
      <c r="B504" s="8"/>
      <c r="C504" s="8"/>
      <c r="D504" s="8"/>
      <c r="E504" s="9"/>
      <c r="F504" s="8"/>
      <c r="G504" s="10"/>
      <c r="H504" s="11"/>
      <c r="I504" s="8"/>
      <c r="J504" s="9"/>
      <c r="K504" s="8"/>
      <c r="L504" s="9"/>
      <c r="M504" s="8"/>
      <c r="N504" s="2"/>
      <c r="O504" s="2"/>
    </row>
    <row r="505" spans="1:15" outlineLevel="1" x14ac:dyDescent="0.15">
      <c r="A505" s="8"/>
      <c r="B505" s="8"/>
      <c r="C505" s="8"/>
      <c r="D505" s="8"/>
      <c r="E505" s="9"/>
      <c r="F505" s="8"/>
      <c r="G505" s="10"/>
      <c r="H505" s="11"/>
      <c r="I505" s="8"/>
      <c r="J505" s="9"/>
      <c r="K505" s="8"/>
      <c r="L505" s="9"/>
      <c r="M505" s="8"/>
      <c r="N505" s="2"/>
      <c r="O505" s="2"/>
    </row>
    <row r="506" spans="1:15" outlineLevel="1" x14ac:dyDescent="0.15">
      <c r="A506" s="8"/>
      <c r="B506" s="8"/>
      <c r="C506" s="8"/>
      <c r="D506" s="8"/>
      <c r="E506" s="9"/>
      <c r="F506" s="8"/>
      <c r="G506" s="10"/>
      <c r="H506" s="11"/>
      <c r="I506" s="8"/>
      <c r="J506" s="9"/>
      <c r="K506" s="8"/>
      <c r="L506" s="9"/>
      <c r="M506" s="8"/>
      <c r="N506" s="2"/>
      <c r="O506" s="2"/>
    </row>
    <row r="507" spans="1:15" outlineLevel="1" x14ac:dyDescent="0.15">
      <c r="A507" s="8"/>
      <c r="B507" s="8"/>
      <c r="C507" s="8"/>
      <c r="D507" s="8"/>
      <c r="E507" s="9"/>
      <c r="F507" s="8"/>
      <c r="G507" s="10"/>
      <c r="H507" s="11"/>
      <c r="I507" s="8"/>
      <c r="J507" s="9"/>
      <c r="K507" s="8"/>
      <c r="L507" s="9"/>
      <c r="M507" s="8"/>
      <c r="N507" s="2"/>
      <c r="O507" s="2"/>
    </row>
    <row r="508" spans="1:15" outlineLevel="1" x14ac:dyDescent="0.15">
      <c r="A508" s="8"/>
      <c r="B508" s="8"/>
      <c r="C508" s="8"/>
      <c r="D508" s="8"/>
      <c r="E508" s="9"/>
      <c r="F508" s="8"/>
      <c r="G508" s="10"/>
      <c r="H508" s="11"/>
      <c r="I508" s="8"/>
      <c r="J508" s="9"/>
      <c r="K508" s="8"/>
      <c r="L508" s="9"/>
      <c r="M508" s="8"/>
      <c r="N508" s="2"/>
      <c r="O508" s="2"/>
    </row>
    <row r="509" spans="1:15" outlineLevel="1" x14ac:dyDescent="0.15">
      <c r="A509" s="8"/>
      <c r="B509" s="8"/>
      <c r="C509" s="8"/>
      <c r="D509" s="8"/>
      <c r="E509" s="9"/>
      <c r="F509" s="8"/>
      <c r="G509" s="10"/>
      <c r="H509" s="11"/>
      <c r="I509" s="8"/>
      <c r="J509" s="9"/>
      <c r="K509" s="8"/>
      <c r="L509" s="9"/>
      <c r="M509" s="8"/>
      <c r="N509" s="2"/>
      <c r="O509" s="2"/>
    </row>
    <row r="510" spans="1:15" outlineLevel="1" x14ac:dyDescent="0.15">
      <c r="A510" s="8"/>
      <c r="B510" s="8"/>
      <c r="C510" s="8"/>
      <c r="D510" s="8"/>
      <c r="E510" s="9"/>
      <c r="F510" s="8"/>
      <c r="G510" s="10"/>
      <c r="H510" s="11"/>
      <c r="I510" s="8"/>
      <c r="J510" s="9"/>
      <c r="K510" s="8"/>
      <c r="L510" s="9"/>
      <c r="M510" s="8"/>
      <c r="N510" s="2"/>
      <c r="O510" s="2"/>
    </row>
    <row r="511" spans="1:15" outlineLevel="1" x14ac:dyDescent="0.15">
      <c r="A511" s="8"/>
      <c r="B511" s="8"/>
      <c r="C511" s="8"/>
      <c r="D511" s="8"/>
      <c r="E511" s="9"/>
      <c r="F511" s="8"/>
      <c r="G511" s="10"/>
      <c r="H511" s="11"/>
      <c r="I511" s="8"/>
      <c r="J511" s="9"/>
      <c r="K511" s="8"/>
      <c r="L511" s="9"/>
      <c r="M511" s="8"/>
      <c r="N511" s="2"/>
      <c r="O511" s="2"/>
    </row>
    <row r="512" spans="1:15" outlineLevel="1" x14ac:dyDescent="0.15">
      <c r="A512" s="8"/>
      <c r="B512" s="8"/>
      <c r="C512" s="8"/>
      <c r="D512" s="8"/>
      <c r="E512" s="9"/>
      <c r="F512" s="8"/>
      <c r="G512" s="10"/>
      <c r="H512" s="11"/>
      <c r="I512" s="8"/>
      <c r="J512" s="9"/>
      <c r="K512" s="8"/>
      <c r="L512" s="9"/>
      <c r="M512" s="8"/>
      <c r="N512" s="2"/>
      <c r="O512" s="2"/>
    </row>
    <row r="513" spans="1:15" outlineLevel="1" x14ac:dyDescent="0.15">
      <c r="A513" s="8"/>
      <c r="B513" s="8"/>
      <c r="C513" s="8"/>
      <c r="D513" s="8"/>
      <c r="E513" s="9"/>
      <c r="F513" s="8"/>
      <c r="G513" s="10"/>
      <c r="H513" s="11"/>
      <c r="I513" s="8"/>
      <c r="J513" s="9"/>
      <c r="K513" s="8"/>
      <c r="L513" s="9"/>
      <c r="M513" s="8"/>
      <c r="N513" s="2"/>
      <c r="O513" s="2"/>
    </row>
    <row r="514" spans="1:15" outlineLevel="1" x14ac:dyDescent="0.15">
      <c r="A514" s="8"/>
      <c r="B514" s="8"/>
      <c r="C514" s="8"/>
      <c r="D514" s="8"/>
      <c r="E514" s="9"/>
      <c r="F514" s="8"/>
      <c r="G514" s="10"/>
      <c r="H514" s="11"/>
      <c r="I514" s="8"/>
      <c r="J514" s="9"/>
      <c r="K514" s="8"/>
      <c r="L514" s="9"/>
      <c r="M514" s="8"/>
      <c r="N514" s="2"/>
      <c r="O514" s="2"/>
    </row>
    <row r="515" spans="1:15" outlineLevel="1" x14ac:dyDescent="0.15">
      <c r="A515" s="8"/>
      <c r="B515" s="8"/>
      <c r="C515" s="8"/>
      <c r="D515" s="8"/>
      <c r="E515" s="9"/>
      <c r="F515" s="8"/>
      <c r="G515" s="10"/>
      <c r="H515" s="11"/>
      <c r="I515" s="8"/>
      <c r="J515" s="9"/>
      <c r="K515" s="8"/>
      <c r="L515" s="9"/>
      <c r="M515" s="8"/>
      <c r="N515" s="2"/>
      <c r="O515" s="2"/>
    </row>
    <row r="516" spans="1:15" outlineLevel="1" x14ac:dyDescent="0.15">
      <c r="A516" s="8"/>
      <c r="B516" s="8"/>
      <c r="C516" s="8"/>
      <c r="D516" s="8"/>
      <c r="E516" s="9"/>
      <c r="F516" s="8"/>
      <c r="G516" s="10"/>
      <c r="H516" s="11"/>
      <c r="I516" s="8"/>
      <c r="J516" s="9"/>
      <c r="K516" s="8"/>
      <c r="L516" s="9"/>
      <c r="M516" s="8"/>
      <c r="N516" s="2"/>
      <c r="O516" s="2"/>
    </row>
    <row r="517" spans="1:15" outlineLevel="1" x14ac:dyDescent="0.15">
      <c r="A517" s="8"/>
      <c r="B517" s="8"/>
      <c r="C517" s="8"/>
      <c r="D517" s="8"/>
      <c r="E517" s="9"/>
      <c r="F517" s="8"/>
      <c r="G517" s="10"/>
      <c r="H517" s="11"/>
      <c r="I517" s="8"/>
      <c r="J517" s="9"/>
      <c r="K517" s="8"/>
      <c r="L517" s="9"/>
      <c r="M517" s="8"/>
      <c r="N517" s="2"/>
      <c r="O517" s="2"/>
    </row>
    <row r="518" spans="1:15" outlineLevel="1" x14ac:dyDescent="0.15">
      <c r="A518" s="8"/>
      <c r="B518" s="8"/>
      <c r="C518" s="8"/>
      <c r="D518" s="8"/>
      <c r="E518" s="9"/>
      <c r="F518" s="8"/>
      <c r="G518" s="10"/>
      <c r="H518" s="11"/>
      <c r="I518" s="8"/>
      <c r="J518" s="9"/>
      <c r="K518" s="8"/>
      <c r="L518" s="9"/>
      <c r="M518" s="8"/>
      <c r="N518" s="2"/>
      <c r="O518" s="2"/>
    </row>
    <row r="519" spans="1:15" outlineLevel="1" x14ac:dyDescent="0.15">
      <c r="A519" s="8"/>
      <c r="B519" s="8"/>
      <c r="C519" s="8"/>
      <c r="D519" s="8"/>
      <c r="E519" s="8"/>
      <c r="F519" s="8"/>
      <c r="G519" s="10"/>
      <c r="H519" s="11"/>
      <c r="I519" s="8"/>
      <c r="J519" s="9"/>
      <c r="K519" s="8"/>
      <c r="L519" s="9"/>
      <c r="M519" s="8"/>
      <c r="N519" s="2"/>
      <c r="O519" s="2"/>
    </row>
    <row r="520" spans="1:15" outlineLevel="1" x14ac:dyDescent="0.15">
      <c r="A520" s="8"/>
      <c r="B520" s="8"/>
      <c r="C520" s="8"/>
      <c r="D520" s="8"/>
      <c r="E520" s="8"/>
      <c r="F520" s="8"/>
      <c r="G520" s="10"/>
      <c r="H520" s="11"/>
      <c r="I520" s="8"/>
      <c r="J520" s="9"/>
      <c r="K520" s="8"/>
      <c r="L520" s="9"/>
      <c r="M520" s="8"/>
      <c r="N520" s="2"/>
      <c r="O520" s="2"/>
    </row>
    <row r="521" spans="1:15" outlineLevel="1" x14ac:dyDescent="0.15">
      <c r="A521" s="8"/>
      <c r="B521" s="8"/>
      <c r="C521" s="8"/>
      <c r="D521" s="8"/>
      <c r="E521" s="8"/>
      <c r="F521" s="8"/>
      <c r="G521" s="10"/>
      <c r="H521" s="11"/>
      <c r="I521" s="8"/>
      <c r="J521" s="9"/>
      <c r="K521" s="8"/>
      <c r="L521" s="9"/>
      <c r="M521" s="8"/>
      <c r="N521" s="2"/>
      <c r="O521" s="2"/>
    </row>
    <row r="522" spans="1:15" outlineLevel="1" x14ac:dyDescent="0.15">
      <c r="A522" s="8"/>
      <c r="B522" s="8"/>
      <c r="C522" s="8"/>
      <c r="D522" s="8"/>
      <c r="E522" s="8"/>
      <c r="F522" s="8"/>
      <c r="G522" s="10"/>
      <c r="H522" s="11"/>
      <c r="I522" s="8"/>
      <c r="J522" s="9"/>
      <c r="K522" s="8"/>
      <c r="L522" s="9"/>
      <c r="M522" s="8"/>
      <c r="N522" s="2"/>
      <c r="O522" s="2"/>
    </row>
    <row r="523" spans="1:15" outlineLevel="1" x14ac:dyDescent="0.15">
      <c r="A523" s="8"/>
      <c r="B523" s="8"/>
      <c r="C523" s="8"/>
      <c r="D523" s="8"/>
      <c r="E523" s="8"/>
      <c r="F523" s="8"/>
      <c r="G523" s="10"/>
      <c r="H523" s="11"/>
      <c r="I523" s="8"/>
      <c r="J523" s="9"/>
      <c r="K523" s="8"/>
      <c r="L523" s="9"/>
      <c r="M523" s="8"/>
      <c r="N523" s="2"/>
      <c r="O523" s="2"/>
    </row>
    <row r="524" spans="1:15" outlineLevel="1" x14ac:dyDescent="0.15">
      <c r="A524" s="8"/>
      <c r="B524" s="8"/>
      <c r="C524" s="8"/>
      <c r="D524" s="8"/>
      <c r="E524" s="8"/>
      <c r="F524" s="8"/>
      <c r="G524" s="10"/>
      <c r="H524" s="11"/>
      <c r="I524" s="8"/>
      <c r="J524" s="9"/>
      <c r="K524" s="8"/>
      <c r="L524" s="9"/>
      <c r="M524" s="8"/>
      <c r="N524" s="2"/>
      <c r="O524" s="2"/>
    </row>
    <row r="525" spans="1:15" outlineLevel="1" x14ac:dyDescent="0.15">
      <c r="A525" s="8"/>
      <c r="B525" s="8"/>
      <c r="C525" s="8"/>
      <c r="D525" s="8"/>
      <c r="E525" s="8"/>
      <c r="F525" s="8"/>
      <c r="G525" s="10"/>
      <c r="H525" s="11"/>
      <c r="I525" s="8"/>
      <c r="J525" s="9"/>
      <c r="K525" s="8"/>
      <c r="L525" s="9"/>
      <c r="M525" s="8"/>
      <c r="N525" s="2"/>
      <c r="O525" s="2"/>
    </row>
    <row r="526" spans="1:15" outlineLevel="1" x14ac:dyDescent="0.15">
      <c r="A526" s="8"/>
      <c r="B526" s="8"/>
      <c r="C526" s="8"/>
      <c r="D526" s="8"/>
      <c r="E526" s="8"/>
      <c r="F526" s="8"/>
      <c r="G526" s="10"/>
      <c r="H526" s="11"/>
      <c r="I526" s="8"/>
      <c r="J526" s="9"/>
      <c r="K526" s="8"/>
      <c r="L526" s="9"/>
      <c r="M526" s="8"/>
      <c r="N526" s="2"/>
      <c r="O526" s="2"/>
    </row>
    <row r="527" spans="1:15" outlineLevel="1" x14ac:dyDescent="0.15">
      <c r="A527" s="8"/>
      <c r="B527" s="8"/>
      <c r="C527" s="8"/>
      <c r="D527" s="8"/>
      <c r="E527" s="8"/>
      <c r="F527" s="8"/>
      <c r="G527" s="10"/>
      <c r="H527" s="11"/>
      <c r="I527" s="8"/>
      <c r="J527" s="9"/>
      <c r="K527" s="8"/>
      <c r="L527" s="9"/>
      <c r="M527" s="8"/>
      <c r="N527" s="2"/>
      <c r="O527" s="2"/>
    </row>
    <row r="528" spans="1:15" outlineLevel="1" x14ac:dyDescent="0.15">
      <c r="A528" s="8"/>
      <c r="B528" s="8"/>
      <c r="C528" s="8"/>
      <c r="D528" s="8"/>
      <c r="E528" s="8"/>
      <c r="F528" s="8"/>
      <c r="G528" s="10"/>
      <c r="H528" s="11"/>
      <c r="I528" s="8"/>
      <c r="J528" s="9"/>
      <c r="K528" s="8"/>
      <c r="L528" s="9"/>
      <c r="M528" s="8"/>
      <c r="N528" s="2"/>
      <c r="O528" s="2"/>
    </row>
    <row r="529" spans="1:15" outlineLevel="1" x14ac:dyDescent="0.15">
      <c r="A529" s="8"/>
      <c r="B529" s="8"/>
      <c r="C529" s="8"/>
      <c r="D529" s="8"/>
      <c r="E529" s="8"/>
      <c r="F529" s="8"/>
      <c r="G529" s="10"/>
      <c r="H529" s="11"/>
      <c r="I529" s="8"/>
      <c r="J529" s="9"/>
      <c r="K529" s="8"/>
      <c r="L529" s="9"/>
      <c r="M529" s="8"/>
      <c r="N529" s="2"/>
      <c r="O529" s="2"/>
    </row>
    <row r="530" spans="1:15" outlineLevel="1" x14ac:dyDescent="0.15">
      <c r="A530" s="8"/>
      <c r="B530" s="8"/>
      <c r="C530" s="8"/>
      <c r="D530" s="8"/>
      <c r="E530" s="8"/>
      <c r="F530" s="8"/>
      <c r="G530" s="10"/>
      <c r="H530" s="11"/>
      <c r="I530" s="8"/>
      <c r="J530" s="9"/>
      <c r="K530" s="8"/>
      <c r="L530" s="9"/>
      <c r="M530" s="8"/>
      <c r="N530" s="2"/>
      <c r="O530" s="2"/>
    </row>
    <row r="531" spans="1:15" outlineLevel="1" x14ac:dyDescent="0.15">
      <c r="A531" s="8"/>
      <c r="B531" s="8"/>
      <c r="C531" s="8"/>
      <c r="D531" s="8"/>
      <c r="E531" s="8"/>
      <c r="F531" s="8"/>
      <c r="G531" s="10"/>
      <c r="H531" s="11"/>
      <c r="I531" s="8"/>
      <c r="J531" s="9"/>
      <c r="K531" s="8"/>
      <c r="L531" s="9"/>
      <c r="M531" s="8"/>
      <c r="N531" s="2"/>
      <c r="O531" s="2"/>
    </row>
    <row r="532" spans="1:15" outlineLevel="1" x14ac:dyDescent="0.15">
      <c r="A532" s="8"/>
      <c r="B532" s="8"/>
      <c r="C532" s="8"/>
      <c r="D532" s="8"/>
      <c r="E532" s="8"/>
      <c r="F532" s="8"/>
      <c r="G532" s="10"/>
      <c r="H532" s="11"/>
      <c r="I532" s="8"/>
      <c r="J532" s="9"/>
      <c r="K532" s="8"/>
      <c r="L532" s="9"/>
      <c r="M532" s="8"/>
      <c r="N532" s="2"/>
      <c r="O532" s="2"/>
    </row>
    <row r="533" spans="1:15" outlineLevel="1" x14ac:dyDescent="0.15">
      <c r="A533" s="8"/>
      <c r="B533" s="8"/>
      <c r="C533" s="8"/>
      <c r="D533" s="8"/>
      <c r="E533" s="8"/>
      <c r="F533" s="8"/>
      <c r="G533" s="10"/>
      <c r="H533" s="11"/>
      <c r="I533" s="8"/>
      <c r="J533" s="9"/>
      <c r="K533" s="8"/>
      <c r="L533" s="9"/>
      <c r="M533" s="8"/>
      <c r="N533" s="2"/>
      <c r="O533" s="2"/>
    </row>
    <row r="534" spans="1:15" outlineLevel="1" x14ac:dyDescent="0.15">
      <c r="A534" s="8"/>
      <c r="B534" s="8"/>
      <c r="C534" s="8"/>
      <c r="D534" s="8"/>
      <c r="E534" s="8"/>
      <c r="F534" s="8"/>
      <c r="G534" s="10"/>
      <c r="H534" s="11"/>
      <c r="I534" s="8"/>
      <c r="J534" s="9"/>
      <c r="K534" s="8"/>
      <c r="L534" s="9"/>
      <c r="M534" s="8"/>
      <c r="N534" s="2"/>
      <c r="O534" s="2"/>
    </row>
    <row r="535" spans="1:15" outlineLevel="1" x14ac:dyDescent="0.15">
      <c r="A535" s="8"/>
      <c r="B535" s="8"/>
      <c r="C535" s="8"/>
      <c r="D535" s="8"/>
      <c r="E535" s="8"/>
      <c r="F535" s="8"/>
      <c r="G535" s="10"/>
      <c r="H535" s="11"/>
      <c r="I535" s="8"/>
      <c r="J535" s="9"/>
      <c r="K535" s="8"/>
      <c r="L535" s="9"/>
      <c r="M535" s="8"/>
      <c r="N535" s="2"/>
      <c r="O535" s="2"/>
    </row>
    <row r="536" spans="1:15" outlineLevel="1" x14ac:dyDescent="0.15">
      <c r="A536" s="8"/>
      <c r="B536" s="8"/>
      <c r="C536" s="8"/>
      <c r="D536" s="8"/>
      <c r="E536" s="8"/>
      <c r="F536" s="8"/>
      <c r="G536" s="10"/>
      <c r="H536" s="11"/>
      <c r="I536" s="8"/>
      <c r="J536" s="9"/>
      <c r="K536" s="8"/>
      <c r="L536" s="9"/>
      <c r="M536" s="8"/>
      <c r="N536" s="2"/>
      <c r="O536" s="2"/>
    </row>
    <row r="537" spans="1:15" outlineLevel="1" x14ac:dyDescent="0.15">
      <c r="A537" s="8"/>
      <c r="B537" s="8"/>
      <c r="C537" s="8"/>
      <c r="D537" s="8"/>
      <c r="E537" s="8"/>
      <c r="F537" s="8"/>
      <c r="G537" s="10"/>
      <c r="H537" s="11"/>
      <c r="I537" s="8"/>
      <c r="J537" s="9"/>
      <c r="K537" s="8"/>
      <c r="L537" s="9"/>
      <c r="M537" s="8"/>
      <c r="N537" s="2"/>
      <c r="O537" s="2"/>
    </row>
    <row r="538" spans="1:15" outlineLevel="1" x14ac:dyDescent="0.15">
      <c r="A538" s="8"/>
      <c r="B538" s="8"/>
      <c r="C538" s="8"/>
      <c r="D538" s="8"/>
      <c r="E538" s="8"/>
      <c r="F538" s="8"/>
      <c r="G538" s="10"/>
      <c r="H538" s="11"/>
      <c r="I538" s="8"/>
      <c r="J538" s="9"/>
      <c r="K538" s="8"/>
      <c r="L538" s="9"/>
      <c r="M538" s="8"/>
      <c r="N538" s="2"/>
      <c r="O538" s="2"/>
    </row>
    <row r="539" spans="1:15" outlineLevel="1" x14ac:dyDescent="0.15">
      <c r="A539" s="8"/>
      <c r="B539" s="8"/>
      <c r="C539" s="8"/>
      <c r="D539" s="8"/>
      <c r="E539" s="8"/>
      <c r="F539" s="8"/>
      <c r="G539" s="10"/>
      <c r="H539" s="11"/>
      <c r="I539" s="8"/>
      <c r="J539" s="9"/>
      <c r="K539" s="8"/>
      <c r="L539" s="9"/>
      <c r="M539" s="8"/>
      <c r="N539" s="2"/>
      <c r="O539" s="2"/>
    </row>
    <row r="540" spans="1:15" outlineLevel="1" x14ac:dyDescent="0.15">
      <c r="A540" s="8"/>
      <c r="B540" s="8"/>
      <c r="C540" s="8"/>
      <c r="D540" s="8"/>
      <c r="E540" s="8"/>
      <c r="F540" s="8"/>
      <c r="G540" s="10"/>
      <c r="H540" s="11"/>
      <c r="I540" s="8"/>
      <c r="J540" s="9"/>
      <c r="K540" s="8"/>
      <c r="L540" s="9"/>
      <c r="M540" s="8"/>
      <c r="N540" s="2"/>
      <c r="O540" s="2"/>
    </row>
    <row r="541" spans="1:15" outlineLevel="1" x14ac:dyDescent="0.15">
      <c r="A541" s="8"/>
      <c r="B541" s="8"/>
      <c r="C541" s="8"/>
      <c r="D541" s="8"/>
      <c r="E541" s="8"/>
      <c r="F541" s="8"/>
      <c r="G541" s="10"/>
      <c r="H541" s="11"/>
      <c r="I541" s="8"/>
      <c r="J541" s="9"/>
      <c r="K541" s="8"/>
      <c r="L541" s="9"/>
      <c r="M541" s="8"/>
      <c r="N541" s="2"/>
      <c r="O541" s="2"/>
    </row>
    <row r="542" spans="1:15" outlineLevel="1" x14ac:dyDescent="0.15">
      <c r="A542" s="8"/>
      <c r="B542" s="8"/>
      <c r="C542" s="8"/>
      <c r="D542" s="8"/>
      <c r="E542" s="8"/>
      <c r="F542" s="8"/>
      <c r="G542" s="10"/>
      <c r="H542" s="11"/>
      <c r="I542" s="8"/>
      <c r="J542" s="9"/>
      <c r="K542" s="8"/>
      <c r="L542" s="9"/>
      <c r="M542" s="8"/>
      <c r="N542" s="2"/>
      <c r="O542" s="2"/>
    </row>
    <row r="543" spans="1:15" outlineLevel="1" x14ac:dyDescent="0.15">
      <c r="A543" s="8"/>
      <c r="B543" s="8"/>
      <c r="C543" s="8"/>
      <c r="D543" s="8"/>
      <c r="E543" s="8"/>
      <c r="F543" s="8"/>
      <c r="G543" s="10"/>
      <c r="H543" s="11"/>
      <c r="I543" s="8"/>
      <c r="J543" s="9"/>
      <c r="K543" s="8"/>
      <c r="L543" s="9"/>
      <c r="M543" s="8"/>
      <c r="N543" s="2"/>
      <c r="O543" s="2"/>
    </row>
    <row r="544" spans="1:15" outlineLevel="1" x14ac:dyDescent="0.15">
      <c r="A544" s="8"/>
      <c r="B544" s="8"/>
      <c r="C544" s="8"/>
      <c r="D544" s="8"/>
      <c r="E544" s="8"/>
      <c r="F544" s="8"/>
      <c r="G544" s="10"/>
      <c r="H544" s="11"/>
      <c r="I544" s="8"/>
      <c r="J544" s="9"/>
      <c r="K544" s="8"/>
      <c r="L544" s="9"/>
      <c r="M544" s="8"/>
      <c r="N544" s="2"/>
      <c r="O544" s="2"/>
    </row>
    <row r="545" spans="1:15" outlineLevel="1" x14ac:dyDescent="0.15">
      <c r="A545" s="8"/>
      <c r="B545" s="8"/>
      <c r="C545" s="8"/>
      <c r="D545" s="8"/>
      <c r="E545" s="8"/>
      <c r="F545" s="8"/>
      <c r="G545" s="10"/>
      <c r="H545" s="11"/>
      <c r="I545" s="8"/>
      <c r="J545" s="9"/>
      <c r="K545" s="8"/>
      <c r="L545" s="9"/>
      <c r="M545" s="8"/>
      <c r="N545" s="2"/>
      <c r="O545" s="2"/>
    </row>
    <row r="546" spans="1:15" outlineLevel="1" x14ac:dyDescent="0.15">
      <c r="A546" s="8"/>
      <c r="B546" s="8"/>
      <c r="C546" s="8"/>
      <c r="D546" s="8"/>
      <c r="E546" s="8"/>
      <c r="F546" s="8"/>
      <c r="G546" s="10"/>
      <c r="H546" s="11"/>
      <c r="I546" s="8"/>
      <c r="J546" s="9"/>
      <c r="K546" s="8"/>
      <c r="L546" s="9"/>
      <c r="M546" s="8"/>
      <c r="N546" s="2"/>
      <c r="O546" s="2"/>
    </row>
    <row r="547" spans="1:15" outlineLevel="1" x14ac:dyDescent="0.15">
      <c r="A547" s="8"/>
      <c r="B547" s="8"/>
      <c r="C547" s="8"/>
      <c r="D547" s="8"/>
      <c r="E547" s="8"/>
      <c r="F547" s="8"/>
      <c r="G547" s="10"/>
      <c r="H547" s="11"/>
      <c r="I547" s="8"/>
      <c r="J547" s="9"/>
      <c r="K547" s="8"/>
      <c r="L547" s="9"/>
      <c r="M547" s="8"/>
      <c r="N547" s="2"/>
      <c r="O547" s="2"/>
    </row>
    <row r="548" spans="1:15" outlineLevel="1" x14ac:dyDescent="0.15">
      <c r="A548" s="8"/>
      <c r="B548" s="8"/>
      <c r="C548" s="8"/>
      <c r="D548" s="8"/>
      <c r="E548" s="8"/>
      <c r="F548" s="8"/>
      <c r="G548" s="10"/>
      <c r="H548" s="11"/>
      <c r="I548" s="8"/>
      <c r="J548" s="9"/>
      <c r="K548" s="8"/>
      <c r="L548" s="9"/>
      <c r="M548" s="8"/>
      <c r="N548" s="2"/>
      <c r="O548" s="2"/>
    </row>
    <row r="549" spans="1:15" outlineLevel="1" x14ac:dyDescent="0.15">
      <c r="A549" s="8"/>
      <c r="B549" s="8"/>
      <c r="C549" s="8"/>
      <c r="D549" s="8"/>
      <c r="E549" s="8"/>
      <c r="F549" s="8"/>
      <c r="G549" s="10"/>
      <c r="H549" s="11"/>
      <c r="I549" s="8"/>
      <c r="J549" s="9"/>
      <c r="K549" s="8"/>
      <c r="L549" s="9"/>
      <c r="M549" s="8"/>
      <c r="N549" s="2"/>
      <c r="O549" s="2"/>
    </row>
    <row r="550" spans="1:15" outlineLevel="1" x14ac:dyDescent="0.15">
      <c r="A550" s="8"/>
      <c r="B550" s="8"/>
      <c r="C550" s="8"/>
      <c r="D550" s="8"/>
      <c r="E550" s="8"/>
      <c r="F550" s="8"/>
      <c r="G550" s="10"/>
      <c r="H550" s="11"/>
      <c r="I550" s="8"/>
      <c r="J550" s="9"/>
      <c r="K550" s="8"/>
      <c r="L550" s="9"/>
      <c r="M550" s="8"/>
      <c r="N550" s="2"/>
      <c r="O550" s="2"/>
    </row>
    <row r="551" spans="1:15" outlineLevel="1" x14ac:dyDescent="0.15">
      <c r="A551" s="8"/>
      <c r="B551" s="8"/>
      <c r="C551" s="8"/>
      <c r="D551" s="8"/>
      <c r="E551" s="8"/>
      <c r="F551" s="8"/>
      <c r="G551" s="10"/>
      <c r="H551" s="11"/>
      <c r="I551" s="8"/>
      <c r="J551" s="9"/>
      <c r="K551" s="8"/>
      <c r="L551" s="9"/>
      <c r="M551" s="8"/>
      <c r="N551" s="2"/>
      <c r="O551" s="2"/>
    </row>
    <row r="552" spans="1:15" outlineLevel="1" x14ac:dyDescent="0.15">
      <c r="A552" s="8"/>
      <c r="B552" s="8"/>
      <c r="C552" s="8"/>
      <c r="D552" s="8"/>
      <c r="E552" s="8"/>
      <c r="F552" s="8"/>
      <c r="G552" s="10"/>
      <c r="H552" s="11"/>
      <c r="I552" s="8"/>
      <c r="J552" s="9"/>
      <c r="K552" s="8"/>
      <c r="L552" s="9"/>
      <c r="M552" s="8"/>
      <c r="N552" s="2"/>
      <c r="O552" s="2"/>
    </row>
    <row r="553" spans="1:15" outlineLevel="1" x14ac:dyDescent="0.15">
      <c r="A553" s="8"/>
      <c r="B553" s="8"/>
      <c r="C553" s="8"/>
      <c r="D553" s="8"/>
      <c r="E553" s="8"/>
      <c r="F553" s="8"/>
      <c r="G553" s="10"/>
      <c r="H553" s="11"/>
      <c r="I553" s="8"/>
      <c r="J553" s="9"/>
      <c r="K553" s="8"/>
      <c r="L553" s="9"/>
      <c r="M553" s="8"/>
      <c r="N553" s="2"/>
      <c r="O553" s="2"/>
    </row>
    <row r="554" spans="1:15" outlineLevel="1" x14ac:dyDescent="0.15">
      <c r="A554" s="8"/>
      <c r="B554" s="8"/>
      <c r="C554" s="8"/>
      <c r="D554" s="8"/>
      <c r="E554" s="8"/>
      <c r="F554" s="8"/>
      <c r="G554" s="10"/>
      <c r="H554" s="11"/>
      <c r="I554" s="8"/>
      <c r="J554" s="9"/>
      <c r="K554" s="8"/>
      <c r="L554" s="9"/>
      <c r="M554" s="8"/>
      <c r="N554" s="2"/>
      <c r="O554" s="2"/>
    </row>
    <row r="555" spans="1:15" outlineLevel="1" x14ac:dyDescent="0.15">
      <c r="A555" s="8"/>
      <c r="B555" s="8"/>
      <c r="C555" s="8"/>
      <c r="D555" s="8"/>
      <c r="E555" s="8"/>
      <c r="F555" s="8"/>
      <c r="G555" s="10"/>
      <c r="H555" s="11"/>
      <c r="I555" s="8"/>
      <c r="J555" s="9"/>
      <c r="K555" s="8"/>
      <c r="L555" s="9"/>
      <c r="M555" s="8"/>
      <c r="N555" s="2"/>
      <c r="O555" s="2"/>
    </row>
    <row r="556" spans="1:15" outlineLevel="1" x14ac:dyDescent="0.15">
      <c r="A556" s="8"/>
      <c r="B556" s="8"/>
      <c r="C556" s="8"/>
      <c r="D556" s="8"/>
      <c r="E556" s="8"/>
      <c r="F556" s="8"/>
      <c r="G556" s="10"/>
      <c r="H556" s="11"/>
      <c r="I556" s="8"/>
      <c r="J556" s="9"/>
      <c r="K556" s="8"/>
      <c r="L556" s="9"/>
      <c r="M556" s="8"/>
      <c r="N556" s="2"/>
      <c r="O556" s="2"/>
    </row>
    <row r="557" spans="1:15" outlineLevel="1" x14ac:dyDescent="0.15">
      <c r="A557" s="8"/>
      <c r="B557" s="8"/>
      <c r="C557" s="8"/>
      <c r="D557" s="8"/>
      <c r="E557" s="8"/>
      <c r="F557" s="8"/>
      <c r="G557" s="10"/>
      <c r="H557" s="11"/>
      <c r="I557" s="8"/>
      <c r="J557" s="9"/>
      <c r="K557" s="8"/>
      <c r="L557" s="9"/>
      <c r="M557" s="8"/>
      <c r="N557" s="2"/>
      <c r="O557" s="2"/>
    </row>
    <row r="558" spans="1:15" outlineLevel="1" x14ac:dyDescent="0.15">
      <c r="A558" s="8"/>
      <c r="B558" s="8"/>
      <c r="C558" s="8"/>
      <c r="D558" s="8"/>
      <c r="E558" s="8"/>
      <c r="F558" s="8"/>
      <c r="G558" s="10"/>
      <c r="H558" s="11"/>
      <c r="I558" s="8"/>
      <c r="J558" s="9"/>
      <c r="K558" s="8"/>
      <c r="L558" s="9"/>
      <c r="M558" s="8"/>
      <c r="N558" s="2"/>
      <c r="O558" s="2"/>
    </row>
    <row r="559" spans="1:15" outlineLevel="1" x14ac:dyDescent="0.15">
      <c r="A559" s="8"/>
      <c r="B559" s="8"/>
      <c r="C559" s="8"/>
      <c r="D559" s="8"/>
      <c r="E559" s="8"/>
      <c r="F559" s="8"/>
      <c r="G559" s="10"/>
      <c r="H559" s="11"/>
      <c r="I559" s="8"/>
      <c r="J559" s="9"/>
      <c r="K559" s="8"/>
      <c r="L559" s="9"/>
      <c r="M559" s="8"/>
      <c r="N559" s="2"/>
      <c r="O559" s="2"/>
    </row>
    <row r="560" spans="1:15" outlineLevel="1" x14ac:dyDescent="0.15">
      <c r="A560" s="8"/>
      <c r="B560" s="8"/>
      <c r="C560" s="8"/>
      <c r="D560" s="8"/>
      <c r="E560" s="8"/>
      <c r="F560" s="8"/>
      <c r="G560" s="10"/>
      <c r="H560" s="11"/>
      <c r="I560" s="8"/>
      <c r="J560" s="9"/>
      <c r="K560" s="8"/>
      <c r="L560" s="9"/>
      <c r="M560" s="8"/>
      <c r="N560" s="2"/>
      <c r="O560" s="2"/>
    </row>
    <row r="561" spans="1:15" outlineLevel="1" x14ac:dyDescent="0.15">
      <c r="A561" s="8"/>
      <c r="B561" s="8"/>
      <c r="C561" s="8"/>
      <c r="D561" s="8"/>
      <c r="E561" s="8"/>
      <c r="F561" s="8"/>
      <c r="G561" s="10"/>
      <c r="H561" s="11"/>
      <c r="I561" s="8"/>
      <c r="J561" s="9"/>
      <c r="K561" s="8"/>
      <c r="L561" s="9"/>
      <c r="M561" s="8"/>
      <c r="N561" s="2"/>
      <c r="O561" s="2"/>
    </row>
    <row r="562" spans="1:15" outlineLevel="1" x14ac:dyDescent="0.15">
      <c r="A562" s="8"/>
      <c r="B562" s="8"/>
      <c r="C562" s="8"/>
      <c r="D562" s="8"/>
      <c r="E562" s="8"/>
      <c r="F562" s="8"/>
      <c r="G562" s="10"/>
      <c r="H562" s="11"/>
      <c r="I562" s="8"/>
      <c r="J562" s="9"/>
      <c r="K562" s="8"/>
      <c r="L562" s="9"/>
      <c r="M562" s="8"/>
      <c r="N562" s="2"/>
      <c r="O562" s="2"/>
    </row>
    <row r="563" spans="1:15" outlineLevel="1" x14ac:dyDescent="0.15">
      <c r="A563" s="8"/>
      <c r="B563" s="8"/>
      <c r="C563" s="8"/>
      <c r="D563" s="8"/>
      <c r="E563" s="8"/>
      <c r="F563" s="8"/>
      <c r="G563" s="10"/>
      <c r="H563" s="11"/>
      <c r="I563" s="8"/>
      <c r="J563" s="9"/>
      <c r="K563" s="8"/>
      <c r="L563" s="9"/>
      <c r="M563" s="8"/>
      <c r="N563" s="2"/>
      <c r="O563" s="2"/>
    </row>
    <row r="564" spans="1:15" outlineLevel="1" x14ac:dyDescent="0.15">
      <c r="A564" s="8"/>
      <c r="B564" s="8"/>
      <c r="C564" s="8"/>
      <c r="D564" s="8"/>
      <c r="E564" s="8"/>
      <c r="F564" s="8"/>
      <c r="G564" s="10"/>
      <c r="H564" s="11"/>
      <c r="I564" s="8"/>
      <c r="J564" s="9"/>
      <c r="K564" s="8"/>
      <c r="L564" s="9"/>
      <c r="M564" s="8"/>
      <c r="N564" s="2"/>
      <c r="O564" s="2"/>
    </row>
    <row r="565" spans="1:15" outlineLevel="1" x14ac:dyDescent="0.15">
      <c r="A565" s="8"/>
      <c r="B565" s="8"/>
      <c r="C565" s="8"/>
      <c r="D565" s="8"/>
      <c r="E565" s="8"/>
      <c r="F565" s="8"/>
      <c r="G565" s="10"/>
      <c r="H565" s="11"/>
      <c r="I565" s="8"/>
      <c r="J565" s="9"/>
      <c r="K565" s="8"/>
      <c r="L565" s="9"/>
      <c r="M565" s="8"/>
      <c r="N565" s="2"/>
      <c r="O565" s="2"/>
    </row>
    <row r="566" spans="1:15" outlineLevel="1" x14ac:dyDescent="0.15">
      <c r="A566" s="8"/>
      <c r="B566" s="8"/>
      <c r="C566" s="8"/>
      <c r="D566" s="8"/>
      <c r="E566" s="8"/>
      <c r="F566" s="8"/>
      <c r="G566" s="10"/>
      <c r="H566" s="11"/>
      <c r="I566" s="8"/>
      <c r="J566" s="9"/>
      <c r="K566" s="8"/>
      <c r="L566" s="9"/>
      <c r="M566" s="8"/>
      <c r="N566" s="2"/>
      <c r="O566" s="2"/>
    </row>
    <row r="567" spans="1:15" outlineLevel="1" x14ac:dyDescent="0.15">
      <c r="A567" s="8"/>
      <c r="B567" s="8"/>
      <c r="C567" s="8"/>
      <c r="D567" s="8"/>
      <c r="E567" s="8"/>
      <c r="F567" s="8"/>
      <c r="G567" s="10"/>
      <c r="H567" s="11"/>
      <c r="I567" s="8"/>
      <c r="J567" s="9"/>
      <c r="K567" s="8"/>
      <c r="L567" s="9"/>
      <c r="M567" s="8"/>
      <c r="N567" s="2"/>
      <c r="O567" s="2"/>
    </row>
    <row r="568" spans="1:15" outlineLevel="1" x14ac:dyDescent="0.15">
      <c r="A568" s="8"/>
      <c r="B568" s="8"/>
      <c r="C568" s="8"/>
      <c r="D568" s="8"/>
      <c r="E568" s="8"/>
      <c r="F568" s="8"/>
      <c r="G568" s="10"/>
      <c r="H568" s="11"/>
      <c r="I568" s="8"/>
      <c r="J568" s="9"/>
      <c r="K568" s="8"/>
      <c r="L568" s="9"/>
      <c r="M568" s="8"/>
      <c r="N568" s="2"/>
      <c r="O568" s="2"/>
    </row>
    <row r="569" spans="1:15" outlineLevel="1" x14ac:dyDescent="0.15">
      <c r="A569" s="8"/>
      <c r="B569" s="8"/>
      <c r="C569" s="8"/>
      <c r="D569" s="8"/>
      <c r="E569" s="8"/>
      <c r="F569" s="8"/>
      <c r="G569" s="10"/>
      <c r="H569" s="11"/>
      <c r="I569" s="8"/>
      <c r="J569" s="9"/>
      <c r="K569" s="8"/>
      <c r="L569" s="9"/>
      <c r="M569" s="8"/>
      <c r="N569" s="2"/>
      <c r="O569" s="2"/>
    </row>
    <row r="570" spans="1:15" outlineLevel="1" x14ac:dyDescent="0.15">
      <c r="A570" s="8"/>
      <c r="B570" s="8"/>
      <c r="C570" s="8"/>
      <c r="D570" s="8"/>
      <c r="E570" s="8"/>
      <c r="F570" s="8"/>
      <c r="G570" s="10"/>
      <c r="H570" s="11"/>
      <c r="I570" s="8"/>
      <c r="J570" s="9"/>
      <c r="K570" s="8"/>
      <c r="L570" s="9"/>
      <c r="M570" s="8"/>
      <c r="N570" s="2"/>
      <c r="O570" s="2"/>
    </row>
    <row r="571" spans="1:15" outlineLevel="1" x14ac:dyDescent="0.15">
      <c r="A571" s="8"/>
      <c r="B571" s="8"/>
      <c r="C571" s="8"/>
      <c r="D571" s="8"/>
      <c r="E571" s="8"/>
      <c r="F571" s="8"/>
      <c r="G571" s="10"/>
      <c r="H571" s="11"/>
      <c r="I571" s="8"/>
      <c r="J571" s="9"/>
      <c r="K571" s="8"/>
      <c r="L571" s="9"/>
      <c r="M571" s="8"/>
      <c r="N571" s="2"/>
      <c r="O571" s="2"/>
    </row>
    <row r="572" spans="1:15" outlineLevel="1" x14ac:dyDescent="0.15">
      <c r="A572" s="8"/>
      <c r="B572" s="8"/>
      <c r="C572" s="8"/>
      <c r="D572" s="8"/>
      <c r="E572" s="8"/>
      <c r="F572" s="8"/>
      <c r="G572" s="10"/>
      <c r="H572" s="11"/>
      <c r="I572" s="8"/>
      <c r="J572" s="9"/>
      <c r="K572" s="8"/>
      <c r="L572" s="9"/>
      <c r="M572" s="8"/>
      <c r="N572" s="2"/>
      <c r="O572" s="2"/>
    </row>
    <row r="573" spans="1:15" outlineLevel="1" x14ac:dyDescent="0.15">
      <c r="A573" s="8"/>
      <c r="B573" s="8"/>
      <c r="C573" s="8"/>
      <c r="D573" s="8"/>
      <c r="E573" s="8"/>
      <c r="F573" s="8"/>
      <c r="G573" s="10"/>
      <c r="H573" s="11"/>
      <c r="I573" s="8"/>
      <c r="J573" s="9"/>
      <c r="K573" s="8"/>
      <c r="L573" s="9"/>
      <c r="M573" s="8"/>
      <c r="N573" s="2"/>
      <c r="O573" s="2"/>
    </row>
    <row r="574" spans="1:15" outlineLevel="1" x14ac:dyDescent="0.15">
      <c r="A574" s="8"/>
      <c r="B574" s="8"/>
      <c r="C574" s="8"/>
      <c r="D574" s="8"/>
      <c r="E574" s="8"/>
      <c r="F574" s="8"/>
      <c r="G574" s="10"/>
      <c r="H574" s="11"/>
      <c r="I574" s="8"/>
      <c r="J574" s="9"/>
      <c r="K574" s="8"/>
      <c r="L574" s="9"/>
      <c r="M574" s="8"/>
      <c r="N574" s="2"/>
      <c r="O574" s="2"/>
    </row>
    <row r="575" spans="1:15" outlineLevel="1" x14ac:dyDescent="0.15">
      <c r="A575" s="8"/>
      <c r="B575" s="8"/>
      <c r="C575" s="8"/>
      <c r="D575" s="8"/>
      <c r="E575" s="8"/>
      <c r="F575" s="8"/>
      <c r="G575" s="10"/>
      <c r="H575" s="11"/>
      <c r="I575" s="8"/>
      <c r="J575" s="9"/>
      <c r="K575" s="8"/>
      <c r="L575" s="9"/>
      <c r="M575" s="8"/>
      <c r="N575" s="2"/>
      <c r="O575" s="2"/>
    </row>
    <row r="576" spans="1:15" outlineLevel="1" x14ac:dyDescent="0.15">
      <c r="A576" s="8"/>
      <c r="B576" s="8"/>
      <c r="C576" s="8"/>
      <c r="D576" s="8"/>
      <c r="E576" s="8"/>
      <c r="F576" s="8"/>
      <c r="G576" s="10"/>
      <c r="H576" s="11"/>
      <c r="I576" s="8"/>
      <c r="J576" s="9"/>
      <c r="K576" s="8"/>
      <c r="L576" s="9"/>
      <c r="M576" s="8"/>
      <c r="N576" s="2"/>
      <c r="O576" s="2"/>
    </row>
    <row r="577" spans="1:15" outlineLevel="1" x14ac:dyDescent="0.15">
      <c r="A577" s="8"/>
      <c r="B577" s="8"/>
      <c r="C577" s="8"/>
      <c r="D577" s="8"/>
      <c r="E577" s="8"/>
      <c r="F577" s="8"/>
      <c r="G577" s="10"/>
      <c r="H577" s="11"/>
      <c r="I577" s="8"/>
      <c r="J577" s="9"/>
      <c r="K577" s="8"/>
      <c r="L577" s="9"/>
      <c r="M577" s="8"/>
      <c r="N577" s="2"/>
      <c r="O577" s="2"/>
    </row>
    <row r="578" spans="1:15" outlineLevel="1" x14ac:dyDescent="0.15">
      <c r="A578" s="8"/>
      <c r="B578" s="8"/>
      <c r="C578" s="8"/>
      <c r="D578" s="8"/>
      <c r="E578" s="8"/>
      <c r="F578" s="8"/>
      <c r="G578" s="10"/>
      <c r="H578" s="11"/>
      <c r="I578" s="8"/>
      <c r="J578" s="9"/>
      <c r="K578" s="8"/>
      <c r="L578" s="9"/>
      <c r="M578" s="8"/>
      <c r="N578" s="2"/>
      <c r="O578" s="2"/>
    </row>
    <row r="579" spans="1:15" outlineLevel="1" x14ac:dyDescent="0.15">
      <c r="A579" s="8"/>
      <c r="B579" s="8"/>
      <c r="C579" s="8"/>
      <c r="D579" s="8"/>
      <c r="E579" s="8"/>
      <c r="F579" s="8"/>
      <c r="G579" s="10"/>
      <c r="H579" s="11"/>
      <c r="I579" s="8"/>
      <c r="J579" s="9"/>
      <c r="K579" s="8"/>
      <c r="L579" s="9"/>
      <c r="M579" s="8"/>
      <c r="N579" s="2"/>
      <c r="O579" s="2"/>
    </row>
    <row r="580" spans="1:15" outlineLevel="1" x14ac:dyDescent="0.15">
      <c r="A580" s="8"/>
      <c r="B580" s="8"/>
      <c r="C580" s="8"/>
      <c r="D580" s="8"/>
      <c r="E580" s="8"/>
      <c r="F580" s="8"/>
      <c r="G580" s="10"/>
      <c r="H580" s="11"/>
      <c r="I580" s="8"/>
      <c r="J580" s="9"/>
      <c r="K580" s="8"/>
      <c r="L580" s="9"/>
      <c r="M580" s="8"/>
      <c r="N580" s="2"/>
      <c r="O580" s="2"/>
    </row>
    <row r="581" spans="1:15" outlineLevel="1" x14ac:dyDescent="0.15">
      <c r="A581" s="8"/>
      <c r="B581" s="8"/>
      <c r="C581" s="8"/>
      <c r="D581" s="8"/>
      <c r="E581" s="8"/>
      <c r="F581" s="8"/>
      <c r="G581" s="10"/>
      <c r="H581" s="11"/>
      <c r="I581" s="8"/>
      <c r="J581" s="9"/>
      <c r="K581" s="8"/>
      <c r="L581" s="9"/>
      <c r="M581" s="8"/>
      <c r="N581" s="2"/>
      <c r="O581" s="2"/>
    </row>
    <row r="582" spans="1:15" outlineLevel="1" x14ac:dyDescent="0.15">
      <c r="A582" s="8"/>
      <c r="B582" s="8"/>
      <c r="C582" s="8"/>
      <c r="D582" s="8"/>
      <c r="E582" s="8"/>
      <c r="F582" s="8"/>
      <c r="G582" s="10"/>
      <c r="H582" s="11"/>
      <c r="I582" s="8"/>
      <c r="J582" s="9"/>
      <c r="K582" s="8"/>
      <c r="L582" s="9"/>
      <c r="M582" s="8"/>
      <c r="N582" s="2"/>
      <c r="O582" s="2"/>
    </row>
    <row r="583" spans="1:15" x14ac:dyDescent="0.15">
      <c r="A583" s="18"/>
      <c r="B583" s="18"/>
      <c r="C583" s="18"/>
      <c r="D583" s="18"/>
      <c r="E583" s="150"/>
      <c r="F583" s="151"/>
      <c r="G583" s="16"/>
      <c r="H583" s="16"/>
      <c r="I583" s="16"/>
      <c r="J583" s="17"/>
      <c r="K583" s="16"/>
      <c r="L583" s="9"/>
      <c r="M583" s="8"/>
      <c r="N583" s="2"/>
      <c r="O583" s="2"/>
    </row>
    <row r="584" spans="1:15" x14ac:dyDescent="0.15">
      <c r="A584" s="18"/>
      <c r="B584" s="18"/>
      <c r="C584" s="18"/>
      <c r="D584" s="18"/>
      <c r="E584" s="150"/>
      <c r="F584" s="151"/>
      <c r="G584" s="16"/>
      <c r="H584" s="18"/>
      <c r="I584" s="16"/>
      <c r="J584" s="17"/>
      <c r="K584" s="16"/>
      <c r="L584" s="9"/>
      <c r="M584" s="8"/>
      <c r="N584" s="2"/>
      <c r="O584" s="2"/>
    </row>
    <row r="585" spans="1:15" x14ac:dyDescent="0.15">
      <c r="A585" s="18"/>
      <c r="B585" s="18"/>
      <c r="C585" s="18"/>
      <c r="D585" s="18"/>
      <c r="E585" s="150"/>
      <c r="F585" s="151"/>
      <c r="G585" s="16"/>
      <c r="H585" s="18"/>
      <c r="I585" s="16"/>
      <c r="J585" s="17"/>
      <c r="K585" s="16"/>
      <c r="L585" s="9"/>
      <c r="M585" s="8"/>
      <c r="N585" s="2"/>
      <c r="O585" s="2"/>
    </row>
    <row r="586" spans="1:15" x14ac:dyDescent="0.15">
      <c r="A586" s="18"/>
      <c r="B586" s="18"/>
      <c r="C586" s="18"/>
      <c r="D586" s="18"/>
      <c r="E586" s="150"/>
      <c r="F586" s="151"/>
      <c r="G586" s="16"/>
      <c r="H586" s="18"/>
      <c r="I586" s="16"/>
      <c r="J586" s="17"/>
      <c r="K586" s="16"/>
      <c r="L586" s="9"/>
      <c r="M586" s="8"/>
      <c r="N586" s="2"/>
      <c r="O586" s="2"/>
    </row>
    <row r="587" spans="1:15" x14ac:dyDescent="0.15">
      <c r="A587" s="18"/>
      <c r="B587" s="18"/>
      <c r="C587" s="18"/>
      <c r="D587" s="18"/>
      <c r="E587" s="150"/>
      <c r="F587" s="151"/>
      <c r="G587" s="16"/>
      <c r="H587" s="18"/>
      <c r="I587" s="16"/>
      <c r="J587" s="17"/>
      <c r="K587" s="16"/>
      <c r="L587" s="9"/>
      <c r="M587" s="8"/>
      <c r="N587" s="2"/>
      <c r="O587" s="2"/>
    </row>
    <row r="588" spans="1:15" x14ac:dyDescent="0.15">
      <c r="A588" s="18"/>
      <c r="B588" s="18"/>
      <c r="C588" s="18"/>
      <c r="D588" s="18"/>
      <c r="E588" s="150"/>
      <c r="F588" s="151"/>
      <c r="G588" s="16"/>
      <c r="H588" s="18"/>
      <c r="I588" s="16"/>
      <c r="J588" s="17"/>
      <c r="K588" s="16"/>
      <c r="L588" s="9"/>
      <c r="M588" s="8"/>
      <c r="N588" s="2"/>
      <c r="O588" s="2"/>
    </row>
    <row r="589" spans="1:15" x14ac:dyDescent="0.15">
      <c r="A589" s="18"/>
      <c r="B589" s="18"/>
      <c r="C589" s="18"/>
      <c r="D589" s="18"/>
      <c r="E589" s="150"/>
      <c r="F589" s="151"/>
      <c r="G589" s="16"/>
      <c r="H589" s="18"/>
      <c r="I589" s="16"/>
      <c r="J589" s="17"/>
      <c r="K589" s="16"/>
      <c r="L589" s="9"/>
      <c r="M589" s="8"/>
      <c r="N589" s="2"/>
      <c r="O589" s="2"/>
    </row>
    <row r="590" spans="1:15" x14ac:dyDescent="0.15">
      <c r="A590" s="18"/>
      <c r="B590" s="18"/>
      <c r="C590" s="18"/>
      <c r="D590" s="18"/>
      <c r="E590" s="150"/>
      <c r="F590" s="151"/>
      <c r="G590" s="16"/>
      <c r="H590" s="18"/>
      <c r="I590" s="16"/>
      <c r="J590" s="17"/>
      <c r="K590" s="16"/>
      <c r="L590" s="9"/>
      <c r="M590" s="8"/>
      <c r="N590" s="2"/>
      <c r="O590" s="2"/>
    </row>
    <row r="591" spans="1:15" x14ac:dyDescent="0.15">
      <c r="A591" s="18"/>
      <c r="B591" s="18"/>
      <c r="C591" s="18"/>
      <c r="D591" s="18"/>
      <c r="E591" s="150"/>
      <c r="F591" s="151"/>
      <c r="G591" s="16"/>
      <c r="H591" s="18"/>
      <c r="I591" s="16"/>
      <c r="J591" s="17"/>
      <c r="K591" s="16"/>
      <c r="L591" s="9"/>
      <c r="M591" s="8"/>
      <c r="N591" s="2"/>
      <c r="O591" s="2"/>
    </row>
    <row r="592" spans="1:15" x14ac:dyDescent="0.15">
      <c r="A592" s="18"/>
      <c r="B592" s="18"/>
      <c r="C592" s="18"/>
      <c r="D592" s="18"/>
      <c r="E592" s="150"/>
      <c r="F592" s="151"/>
      <c r="G592" s="16"/>
      <c r="H592" s="18"/>
      <c r="I592" s="16"/>
      <c r="J592" s="17"/>
      <c r="K592" s="16"/>
      <c r="L592" s="9"/>
      <c r="M592" s="8"/>
      <c r="N592" s="2"/>
      <c r="O592" s="2"/>
    </row>
    <row r="593" spans="1:15" x14ac:dyDescent="0.15">
      <c r="A593" s="18"/>
      <c r="B593" s="18"/>
      <c r="C593" s="18"/>
      <c r="D593" s="18"/>
      <c r="E593" s="150"/>
      <c r="F593" s="151"/>
      <c r="G593" s="16"/>
      <c r="H593" s="18"/>
      <c r="I593" s="16"/>
      <c r="J593" s="17"/>
      <c r="K593" s="16"/>
      <c r="L593" s="9"/>
      <c r="M593" s="8"/>
      <c r="N593" s="2"/>
      <c r="O593" s="2"/>
    </row>
    <row r="594" spans="1:15" x14ac:dyDescent="0.15">
      <c r="A594" s="18"/>
      <c r="B594" s="18"/>
      <c r="C594" s="18"/>
      <c r="D594" s="18"/>
      <c r="E594" s="150"/>
      <c r="F594" s="151"/>
      <c r="G594" s="16"/>
      <c r="H594" s="18"/>
      <c r="I594" s="16"/>
      <c r="J594" s="17"/>
      <c r="K594" s="16"/>
      <c r="L594" s="9"/>
      <c r="M594" s="8"/>
      <c r="N594" s="2"/>
      <c r="O594" s="2"/>
    </row>
    <row r="595" spans="1:15" x14ac:dyDescent="0.15">
      <c r="A595" s="18"/>
      <c r="B595" s="18"/>
      <c r="C595" s="18"/>
      <c r="D595" s="18"/>
      <c r="E595" s="150"/>
      <c r="F595" s="151"/>
      <c r="G595" s="16"/>
      <c r="H595" s="18"/>
      <c r="I595" s="16"/>
      <c r="J595" s="17"/>
      <c r="K595" s="16"/>
      <c r="L595" s="9"/>
      <c r="M595" s="8"/>
      <c r="N595" s="2"/>
      <c r="O595" s="2"/>
    </row>
    <row r="596" spans="1:15" outlineLevel="1" x14ac:dyDescent="0.15">
      <c r="A596" s="18"/>
      <c r="B596" s="18"/>
      <c r="C596" s="18"/>
      <c r="D596" s="18"/>
      <c r="E596" s="150"/>
      <c r="F596" s="151"/>
      <c r="G596" s="16"/>
      <c r="H596" s="18"/>
      <c r="I596" s="16"/>
      <c r="J596" s="17"/>
      <c r="K596" s="16"/>
      <c r="L596" s="9"/>
      <c r="M596" s="8"/>
      <c r="N596" s="2"/>
      <c r="O596" s="2"/>
    </row>
    <row r="597" spans="1:15" outlineLevel="1" x14ac:dyDescent="0.15">
      <c r="A597" s="18"/>
      <c r="B597" s="18"/>
      <c r="C597" s="18"/>
      <c r="D597" s="18"/>
      <c r="E597" s="150"/>
      <c r="F597" s="151"/>
      <c r="G597" s="16"/>
      <c r="H597" s="18"/>
      <c r="I597" s="16"/>
      <c r="J597" s="17"/>
      <c r="K597" s="16"/>
      <c r="L597" s="9"/>
      <c r="M597" s="8"/>
      <c r="N597" s="2"/>
      <c r="O597" s="2"/>
    </row>
    <row r="598" spans="1:15" outlineLevel="1" x14ac:dyDescent="0.15">
      <c r="A598" s="18"/>
      <c r="B598" s="18"/>
      <c r="C598" s="18"/>
      <c r="D598" s="18"/>
      <c r="E598" s="150"/>
      <c r="F598" s="151"/>
      <c r="G598" s="16"/>
      <c r="H598" s="18"/>
      <c r="I598" s="16"/>
      <c r="J598" s="17"/>
      <c r="K598" s="16"/>
      <c r="L598" s="9"/>
      <c r="M598" s="8"/>
      <c r="N598" s="2"/>
      <c r="O598" s="2"/>
    </row>
    <row r="599" spans="1:15" outlineLevel="1" x14ac:dyDescent="0.15">
      <c r="A599" s="18"/>
      <c r="B599" s="18"/>
      <c r="C599" s="18"/>
      <c r="D599" s="18"/>
      <c r="E599" s="150"/>
      <c r="F599" s="151"/>
      <c r="G599" s="16"/>
      <c r="H599" s="18"/>
      <c r="I599" s="16"/>
      <c r="J599" s="17"/>
      <c r="K599" s="16"/>
      <c r="L599" s="9"/>
      <c r="M599" s="8"/>
      <c r="N599" s="2"/>
      <c r="O599" s="2"/>
    </row>
    <row r="600" spans="1:15" outlineLevel="1" x14ac:dyDescent="0.15">
      <c r="A600" s="18"/>
      <c r="B600" s="18"/>
      <c r="C600" s="18"/>
      <c r="D600" s="18"/>
      <c r="E600" s="150"/>
      <c r="F600" s="151"/>
      <c r="G600" s="16"/>
      <c r="H600" s="18"/>
      <c r="I600" s="16"/>
      <c r="J600" s="17"/>
      <c r="K600" s="16"/>
      <c r="L600" s="9"/>
      <c r="M600" s="8"/>
      <c r="N600" s="2"/>
      <c r="O600" s="2"/>
    </row>
    <row r="601" spans="1:15" x14ac:dyDescent="0.15">
      <c r="A601" s="18"/>
      <c r="B601" s="152"/>
      <c r="C601" s="153"/>
      <c r="D601" s="154"/>
      <c r="E601" s="155"/>
      <c r="F601" s="156"/>
      <c r="G601" s="157"/>
      <c r="H601" s="30"/>
      <c r="I601" s="16"/>
      <c r="J601" s="17"/>
      <c r="K601" s="16"/>
      <c r="L601" s="9"/>
      <c r="M601" s="8"/>
      <c r="N601" s="2"/>
      <c r="O601" s="2"/>
    </row>
    <row r="602" spans="1:15" x14ac:dyDescent="0.15">
      <c r="A602" s="18"/>
      <c r="B602" s="152"/>
      <c r="C602" s="153"/>
      <c r="D602" s="18"/>
      <c r="E602" s="155"/>
      <c r="F602" s="156"/>
      <c r="G602" s="157"/>
      <c r="H602" s="18"/>
      <c r="I602" s="16"/>
      <c r="J602" s="17"/>
      <c r="K602" s="16"/>
      <c r="L602" s="9"/>
      <c r="M602" s="8"/>
      <c r="N602" s="2"/>
      <c r="O602" s="2"/>
    </row>
    <row r="603" spans="1:15" x14ac:dyDescent="0.15">
      <c r="A603" s="18"/>
      <c r="B603" s="152"/>
      <c r="C603" s="153"/>
      <c r="D603" s="18"/>
      <c r="E603" s="155"/>
      <c r="F603" s="156"/>
      <c r="G603" s="157"/>
      <c r="H603" s="18"/>
      <c r="I603" s="16"/>
      <c r="J603" s="17"/>
      <c r="K603" s="16"/>
      <c r="L603" s="9"/>
      <c r="M603" s="8"/>
      <c r="N603" s="2"/>
      <c r="O603" s="2"/>
    </row>
    <row r="604" spans="1:15" x14ac:dyDescent="0.15">
      <c r="A604" s="18"/>
      <c r="B604" s="152"/>
      <c r="C604" s="153"/>
      <c r="D604" s="18"/>
      <c r="E604" s="155"/>
      <c r="F604" s="156"/>
      <c r="G604" s="157"/>
      <c r="H604" s="18"/>
      <c r="I604" s="16"/>
      <c r="J604" s="17"/>
      <c r="K604" s="16"/>
      <c r="L604" s="9"/>
      <c r="M604" s="8"/>
      <c r="N604" s="2"/>
      <c r="O604" s="2"/>
    </row>
    <row r="605" spans="1:15" x14ac:dyDescent="0.15">
      <c r="A605" s="18"/>
      <c r="B605" s="152"/>
      <c r="C605" s="153"/>
      <c r="D605" s="18"/>
      <c r="E605" s="155"/>
      <c r="F605" s="156"/>
      <c r="G605" s="157"/>
      <c r="H605" s="18"/>
      <c r="I605" s="16"/>
      <c r="J605" s="17"/>
      <c r="K605" s="16"/>
      <c r="L605" s="9"/>
      <c r="M605" s="8"/>
      <c r="N605" s="2"/>
      <c r="O605" s="2"/>
    </row>
    <row r="606" spans="1:15" outlineLevel="1" x14ac:dyDescent="0.15">
      <c r="A606" s="18"/>
      <c r="B606" s="152"/>
      <c r="C606" s="153"/>
      <c r="D606" s="18"/>
      <c r="E606" s="155"/>
      <c r="F606" s="156"/>
      <c r="G606" s="157"/>
      <c r="H606" s="18"/>
      <c r="I606" s="16"/>
      <c r="J606" s="17"/>
      <c r="K606" s="16"/>
      <c r="L606" s="9"/>
      <c r="M606" s="8"/>
      <c r="N606" s="2"/>
      <c r="O606" s="2"/>
    </row>
    <row r="607" spans="1:15" outlineLevel="1" x14ac:dyDescent="0.15">
      <c r="A607" s="18"/>
      <c r="B607" s="152"/>
      <c r="C607" s="153"/>
      <c r="D607" s="18"/>
      <c r="E607" s="155"/>
      <c r="F607" s="156"/>
      <c r="G607" s="157"/>
      <c r="H607" s="18"/>
      <c r="I607" s="16"/>
      <c r="J607" s="17"/>
      <c r="K607" s="16"/>
      <c r="L607" s="9"/>
      <c r="M607" s="8"/>
      <c r="N607" s="2"/>
      <c r="O607" s="2"/>
    </row>
    <row r="608" spans="1:15" outlineLevel="1" x14ac:dyDescent="0.15">
      <c r="A608" s="18"/>
      <c r="B608" s="152"/>
      <c r="C608" s="153"/>
      <c r="D608" s="18"/>
      <c r="E608" s="155"/>
      <c r="F608" s="156"/>
      <c r="G608" s="157"/>
      <c r="H608" s="18"/>
      <c r="I608" s="16"/>
      <c r="J608" s="17"/>
      <c r="K608" s="16"/>
      <c r="L608" s="9"/>
      <c r="M608" s="8"/>
      <c r="N608" s="2"/>
      <c r="O608" s="2"/>
    </row>
    <row r="609" spans="1:15" x14ac:dyDescent="0.15">
      <c r="A609" s="18"/>
      <c r="B609" s="158"/>
      <c r="C609" s="18"/>
      <c r="D609" s="154"/>
      <c r="E609" s="150"/>
      <c r="F609" s="151"/>
      <c r="G609" s="16"/>
      <c r="H609" s="16"/>
      <c r="I609" s="16"/>
      <c r="J609" s="17"/>
      <c r="K609" s="16"/>
      <c r="L609" s="9"/>
      <c r="M609" s="8"/>
      <c r="N609" s="2"/>
      <c r="O609" s="2"/>
    </row>
    <row r="610" spans="1:15" x14ac:dyDescent="0.15">
      <c r="A610" s="18"/>
      <c r="B610" s="158"/>
      <c r="C610" s="18"/>
      <c r="D610" s="18"/>
      <c r="E610" s="150"/>
      <c r="F610" s="151"/>
      <c r="G610" s="16"/>
      <c r="H610" s="16"/>
      <c r="I610" s="16"/>
      <c r="J610" s="17"/>
      <c r="K610" s="16"/>
      <c r="L610" s="9"/>
      <c r="M610" s="8"/>
      <c r="N610" s="2"/>
      <c r="O610" s="2"/>
    </row>
    <row r="611" spans="1:15" outlineLevel="1" x14ac:dyDescent="0.15">
      <c r="A611" s="18"/>
      <c r="B611" s="158"/>
      <c r="C611" s="18"/>
      <c r="D611" s="18"/>
      <c r="E611" s="150"/>
      <c r="F611" s="151"/>
      <c r="G611" s="16"/>
      <c r="H611" s="16"/>
      <c r="I611" s="16"/>
      <c r="J611" s="17"/>
      <c r="K611" s="16"/>
      <c r="L611" s="9"/>
      <c r="M611" s="8"/>
      <c r="N611" s="2"/>
      <c r="O611" s="2"/>
    </row>
    <row r="612" spans="1:15" outlineLevel="1" x14ac:dyDescent="0.15">
      <c r="A612" s="18"/>
      <c r="B612" s="158"/>
      <c r="C612" s="18"/>
      <c r="D612" s="18"/>
      <c r="E612" s="150"/>
      <c r="F612" s="151"/>
      <c r="G612" s="16"/>
      <c r="H612" s="16"/>
      <c r="I612" s="16"/>
      <c r="J612" s="17"/>
      <c r="K612" s="16"/>
      <c r="L612" s="9"/>
      <c r="M612" s="8"/>
      <c r="N612" s="2"/>
      <c r="O612" s="2"/>
    </row>
    <row r="613" spans="1:15" x14ac:dyDescent="0.15">
      <c r="A613" s="18"/>
      <c r="B613" s="152"/>
      <c r="C613" s="153"/>
      <c r="D613" s="18"/>
      <c r="E613" s="155"/>
      <c r="F613" s="159"/>
      <c r="G613" s="16"/>
      <c r="H613" s="40"/>
      <c r="I613" s="16"/>
      <c r="J613" s="17"/>
      <c r="K613" s="16"/>
      <c r="L613" s="9"/>
      <c r="M613" s="8"/>
      <c r="N613" s="2"/>
      <c r="O613" s="2"/>
    </row>
    <row r="621" spans="1:15" x14ac:dyDescent="0.15">
      <c r="A621" s="41"/>
    </row>
    <row r="631" spans="7:7" x14ac:dyDescent="0.15">
      <c r="G631" s="42"/>
    </row>
  </sheetData>
  <autoFilter ref="A5:V95" xr:uid="{2FEE2716-DA47-4134-B24B-F478E17B6E24}">
    <filterColumn colId="20">
      <colorFilter dxfId="439"/>
    </filterColumn>
  </autoFilter>
  <mergeCells count="20">
    <mergeCell ref="A3:A4"/>
    <mergeCell ref="B3:B4"/>
    <mergeCell ref="C3:C4"/>
    <mergeCell ref="D3:D4"/>
    <mergeCell ref="E3:E4"/>
    <mergeCell ref="U3:U4"/>
    <mergeCell ref="F3:F4"/>
    <mergeCell ref="N3:N4"/>
    <mergeCell ref="O3:O4"/>
    <mergeCell ref="M3:M4"/>
    <mergeCell ref="G3:G4"/>
    <mergeCell ref="H3:H4"/>
    <mergeCell ref="I3:I4"/>
    <mergeCell ref="J3:J4"/>
    <mergeCell ref="T3:T4"/>
    <mergeCell ref="S3:S4"/>
    <mergeCell ref="K3:K4"/>
    <mergeCell ref="L3:L4"/>
    <mergeCell ref="R3:R4"/>
    <mergeCell ref="Q3:Q4"/>
  </mergeCells>
  <conditionalFormatting sqref="L6:L613">
    <cfRule type="cellIs" dxfId="151" priority="25" operator="equal">
      <formula>"-"</formula>
    </cfRule>
    <cfRule type="cellIs" dxfId="150" priority="26" operator="greaterThan">
      <formula>5</formula>
    </cfRule>
    <cfRule type="cellIs" dxfId="149" priority="27" operator="between">
      <formula>2</formula>
      <formula>5</formula>
    </cfRule>
    <cfRule type="cellIs" dxfId="148" priority="28" operator="lessThan">
      <formula>2</formula>
    </cfRule>
  </conditionalFormatting>
  <conditionalFormatting sqref="O6:O100">
    <cfRule type="cellIs" dxfId="147" priority="21" operator="equal">
      <formula>"-"</formula>
    </cfRule>
    <cfRule type="cellIs" dxfId="146" priority="22" operator="greaterThan">
      <formula>5</formula>
    </cfRule>
    <cfRule type="cellIs" dxfId="145" priority="23" operator="between">
      <formula>2</formula>
      <formula>5</formula>
    </cfRule>
    <cfRule type="cellIs" dxfId="144" priority="24" operator="lessThan">
      <formula>2</formula>
    </cfRule>
  </conditionalFormatting>
  <conditionalFormatting sqref="Q6:U95">
    <cfRule type="cellIs" dxfId="143" priority="1" operator="equal">
      <formula>"-"</formula>
    </cfRule>
    <cfRule type="cellIs" dxfId="142" priority="2" operator="greaterThan">
      <formula>5</formula>
    </cfRule>
    <cfRule type="cellIs" dxfId="141" priority="3" operator="between">
      <formula>2</formula>
      <formula>5</formula>
    </cfRule>
    <cfRule type="cellIs" dxfId="140" priority="4" operator="lessThan">
      <formula>2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9826C-CD7D-43F8-9312-63354D5DB4D2}">
  <sheetPr>
    <tabColor rgb="FF92D050"/>
  </sheetPr>
  <dimension ref="A1:AS631"/>
  <sheetViews>
    <sheetView zoomScale="48" zoomScaleNormal="55" workbookViewId="0">
      <pane xSplit="1" ySplit="5" topLeftCell="B6" activePane="bottomRight" state="frozen"/>
      <selection activeCell="A2" sqref="A2"/>
      <selection pane="topRight" activeCell="A2" sqref="A2"/>
      <selection pane="bottomLeft" activeCell="A2" sqref="A2"/>
      <selection pane="bottomRight" activeCell="A2" sqref="A2"/>
    </sheetView>
  </sheetViews>
  <sheetFormatPr baseColWidth="10" defaultColWidth="8.6640625" defaultRowHeight="14" outlineLevelRow="1" outlineLevelCol="1" x14ac:dyDescent="0.15"/>
  <cols>
    <col min="1" max="1" width="12.5" style="3" customWidth="1"/>
    <col min="2" max="2" width="9.83203125" style="3" bestFit="1" customWidth="1" outlineLevel="1"/>
    <col min="3" max="3" width="16.33203125" style="3" customWidth="1"/>
    <col min="4" max="4" width="10.33203125" style="3" customWidth="1"/>
    <col min="5" max="5" width="10.6640625" style="3" customWidth="1"/>
    <col min="6" max="6" width="18.33203125" style="3" customWidth="1" outlineLevel="1"/>
    <col min="7" max="7" width="15.83203125" style="3" customWidth="1"/>
    <col min="8" max="8" width="35.1640625" style="2" bestFit="1" customWidth="1"/>
    <col min="9" max="9" width="14.1640625" style="2" customWidth="1"/>
    <col min="10" max="10" width="17.1640625" style="2" customWidth="1"/>
    <col min="11" max="11" width="21.5" style="2" customWidth="1"/>
    <col min="12" max="12" width="11.1640625" style="3" customWidth="1"/>
    <col min="13" max="13" width="26.6640625" style="3" bestFit="1" customWidth="1"/>
    <col min="14" max="14" width="35.1640625" style="2" bestFit="1" customWidth="1"/>
    <col min="15" max="15" width="14.1640625" style="2" customWidth="1"/>
    <col min="16" max="16" width="17.1640625" style="2" customWidth="1"/>
    <col min="17" max="17" width="21.5" style="2" customWidth="1"/>
    <col min="18" max="18" width="11.1640625" style="3" customWidth="1"/>
    <col min="19" max="19" width="26.6640625" style="3" bestFit="1" customWidth="1"/>
    <col min="20" max="21" width="26.6640625" style="3" customWidth="1"/>
    <col min="22" max="22" width="21" style="3" bestFit="1" customWidth="1"/>
    <col min="23" max="23" width="11.5" style="3" customWidth="1"/>
    <col min="24" max="24" width="19.1640625" style="3" customWidth="1"/>
    <col min="25" max="25" width="8.6640625" style="3"/>
    <col min="26" max="26" width="16.6640625" style="3" bestFit="1" customWidth="1"/>
    <col min="27" max="28" width="16.6640625" style="3" customWidth="1"/>
    <col min="29" max="29" width="15" style="3" bestFit="1" customWidth="1"/>
    <col min="30" max="31" width="8.6640625" style="3"/>
    <col min="32" max="32" width="18.33203125" style="3" customWidth="1"/>
    <col min="33" max="33" width="8.6640625" style="3"/>
    <col min="34" max="34" width="13.5" style="3" bestFit="1" customWidth="1"/>
    <col min="35" max="35" width="17.6640625" style="3" customWidth="1"/>
    <col min="36" max="36" width="8.6640625" style="3"/>
    <col min="37" max="37" width="11" style="3" customWidth="1"/>
    <col min="38" max="40" width="8.6640625" style="3"/>
    <col min="41" max="41" width="13.5" style="3" bestFit="1" customWidth="1"/>
    <col min="42" max="16384" width="8.6640625" style="3"/>
  </cols>
  <sheetData>
    <row r="1" spans="1:43" x14ac:dyDescent="0.15">
      <c r="H1" s="297" t="s">
        <v>2286</v>
      </c>
      <c r="I1" s="297"/>
      <c r="J1" s="297"/>
      <c r="K1" s="297"/>
      <c r="L1" s="297"/>
      <c r="M1" s="297"/>
      <c r="N1" s="297" t="s">
        <v>2291</v>
      </c>
      <c r="O1" s="297"/>
      <c r="P1" s="297"/>
      <c r="Q1" s="297"/>
      <c r="R1" s="297"/>
      <c r="S1" s="297"/>
      <c r="T1" s="297"/>
      <c r="U1" s="297"/>
      <c r="V1" s="297"/>
      <c r="W1" s="297"/>
      <c r="X1" s="297"/>
      <c r="Y1" s="297"/>
      <c r="Z1" s="297"/>
      <c r="AA1" s="297"/>
      <c r="AB1" s="297"/>
      <c r="AC1" s="297" t="s">
        <v>2292</v>
      </c>
      <c r="AD1" s="297"/>
      <c r="AE1" s="297"/>
      <c r="AF1" s="297"/>
      <c r="AG1" s="297"/>
      <c r="AH1" s="297"/>
      <c r="AI1" s="297"/>
      <c r="AJ1" s="297"/>
      <c r="AK1" s="297"/>
      <c r="AL1" s="297"/>
      <c r="AM1" s="297"/>
      <c r="AN1" s="297"/>
      <c r="AO1" s="297"/>
      <c r="AP1" s="297"/>
      <c r="AQ1" s="297"/>
    </row>
    <row r="2" spans="1:43" ht="16" x14ac:dyDescent="0.2">
      <c r="A2" s="1" t="s">
        <v>2293</v>
      </c>
      <c r="B2" s="2"/>
      <c r="C2" s="2"/>
      <c r="D2" s="2"/>
      <c r="E2" s="2"/>
      <c r="F2" s="2"/>
      <c r="G2" s="2"/>
      <c r="H2" s="278" t="s">
        <v>2090</v>
      </c>
      <c r="I2" s="278"/>
      <c r="J2" s="278"/>
      <c r="K2" s="278"/>
      <c r="L2" s="278"/>
      <c r="M2" s="279"/>
      <c r="N2" s="278" t="s">
        <v>938</v>
      </c>
      <c r="O2" s="278"/>
      <c r="P2" s="278"/>
      <c r="Q2" s="278"/>
      <c r="R2" s="278"/>
      <c r="S2" s="278"/>
      <c r="T2" s="278"/>
      <c r="U2" s="278"/>
      <c r="V2" s="285" t="s">
        <v>1742</v>
      </c>
      <c r="W2" s="285"/>
      <c r="X2" s="285"/>
      <c r="Y2" s="285"/>
      <c r="Z2" s="285"/>
      <c r="AA2" s="285"/>
      <c r="AB2" s="285"/>
      <c r="AC2" s="278" t="s">
        <v>938</v>
      </c>
      <c r="AD2" s="278"/>
      <c r="AE2" s="278"/>
      <c r="AF2" s="278"/>
      <c r="AG2" s="278"/>
      <c r="AH2" s="278"/>
      <c r="AI2" s="278"/>
      <c r="AJ2" s="278"/>
      <c r="AK2" s="285" t="s">
        <v>1742</v>
      </c>
      <c r="AL2" s="285"/>
      <c r="AM2" s="285"/>
      <c r="AN2" s="285"/>
      <c r="AO2" s="285"/>
      <c r="AP2" s="285"/>
      <c r="AQ2" s="285"/>
    </row>
    <row r="3" spans="1:43" ht="13.75" customHeight="1" x14ac:dyDescent="0.15">
      <c r="A3" s="276" t="s">
        <v>1</v>
      </c>
      <c r="B3" s="276" t="s">
        <v>2</v>
      </c>
      <c r="C3" s="276" t="s">
        <v>3</v>
      </c>
      <c r="D3" s="276" t="s">
        <v>4</v>
      </c>
      <c r="E3" s="276" t="s">
        <v>5</v>
      </c>
      <c r="F3" s="276" t="s">
        <v>6</v>
      </c>
      <c r="G3" s="284" t="s">
        <v>7</v>
      </c>
      <c r="H3" s="271" t="s">
        <v>8</v>
      </c>
      <c r="I3" s="271" t="s">
        <v>2091</v>
      </c>
      <c r="J3" s="271" t="s">
        <v>626</v>
      </c>
      <c r="K3" s="271" t="s">
        <v>627</v>
      </c>
      <c r="L3" s="271" t="s">
        <v>10</v>
      </c>
      <c r="M3" s="295" t="s">
        <v>11</v>
      </c>
      <c r="N3" s="275" t="s">
        <v>8</v>
      </c>
      <c r="O3" s="275" t="s">
        <v>9</v>
      </c>
      <c r="P3" s="275" t="s">
        <v>626</v>
      </c>
      <c r="Q3" s="275" t="s">
        <v>627</v>
      </c>
      <c r="R3" s="275" t="s">
        <v>10</v>
      </c>
      <c r="S3" s="276" t="s">
        <v>11</v>
      </c>
      <c r="T3" s="275" t="s">
        <v>2096</v>
      </c>
      <c r="U3" s="275" t="s">
        <v>10</v>
      </c>
      <c r="V3" s="275" t="s">
        <v>8</v>
      </c>
      <c r="W3" s="275" t="s">
        <v>1743</v>
      </c>
      <c r="X3" s="275" t="s">
        <v>1744</v>
      </c>
      <c r="Y3" s="275" t="s">
        <v>10</v>
      </c>
      <c r="Z3" s="276" t="s">
        <v>11</v>
      </c>
      <c r="AA3" s="275" t="s">
        <v>2096</v>
      </c>
      <c r="AB3" s="275" t="s">
        <v>10</v>
      </c>
      <c r="AC3" s="275" t="s">
        <v>8</v>
      </c>
      <c r="AD3" s="275" t="s">
        <v>9</v>
      </c>
      <c r="AE3" s="275" t="s">
        <v>626</v>
      </c>
      <c r="AF3" s="275" t="s">
        <v>627</v>
      </c>
      <c r="AG3" s="275" t="s">
        <v>10</v>
      </c>
      <c r="AH3" s="276" t="s">
        <v>11</v>
      </c>
      <c r="AI3" s="275" t="s">
        <v>2096</v>
      </c>
      <c r="AJ3" s="275" t="s">
        <v>10</v>
      </c>
      <c r="AK3" s="275" t="s">
        <v>8</v>
      </c>
      <c r="AL3" s="275" t="s">
        <v>1743</v>
      </c>
      <c r="AM3" s="275" t="s">
        <v>1744</v>
      </c>
      <c r="AN3" s="275" t="s">
        <v>10</v>
      </c>
      <c r="AO3" s="276" t="s">
        <v>11</v>
      </c>
      <c r="AP3" s="275" t="s">
        <v>2096</v>
      </c>
      <c r="AQ3" s="275" t="s">
        <v>10</v>
      </c>
    </row>
    <row r="4" spans="1:43" ht="13.75" customHeight="1" x14ac:dyDescent="0.15">
      <c r="A4" s="276"/>
      <c r="B4" s="276"/>
      <c r="C4" s="276"/>
      <c r="D4" s="276"/>
      <c r="E4" s="276"/>
      <c r="F4" s="276"/>
      <c r="G4" s="284"/>
      <c r="H4" s="272"/>
      <c r="I4" s="272"/>
      <c r="J4" s="272"/>
      <c r="K4" s="272"/>
      <c r="L4" s="272"/>
      <c r="M4" s="296"/>
      <c r="N4" s="275"/>
      <c r="O4" s="275"/>
      <c r="P4" s="275"/>
      <c r="Q4" s="275"/>
      <c r="R4" s="275"/>
      <c r="S4" s="276"/>
      <c r="T4" s="275"/>
      <c r="U4" s="275"/>
      <c r="V4" s="275"/>
      <c r="W4" s="275"/>
      <c r="X4" s="275"/>
      <c r="Y4" s="275"/>
      <c r="Z4" s="276"/>
      <c r="AA4" s="275"/>
      <c r="AB4" s="275"/>
      <c r="AC4" s="275"/>
      <c r="AD4" s="275"/>
      <c r="AE4" s="275"/>
      <c r="AF4" s="275"/>
      <c r="AG4" s="275"/>
      <c r="AH4" s="276"/>
      <c r="AI4" s="275"/>
      <c r="AJ4" s="275"/>
      <c r="AK4" s="275"/>
      <c r="AL4" s="275"/>
      <c r="AM4" s="275"/>
      <c r="AN4" s="275"/>
      <c r="AO4" s="276"/>
      <c r="AP4" s="275"/>
      <c r="AQ4" s="275"/>
    </row>
    <row r="5" spans="1:43" ht="10.5" customHeight="1" x14ac:dyDescent="0.15">
      <c r="A5" s="4"/>
      <c r="B5" s="4"/>
      <c r="C5" s="4"/>
      <c r="D5" s="4"/>
      <c r="E5" s="4"/>
      <c r="F5" s="4"/>
      <c r="G5" s="5"/>
      <c r="H5" s="6"/>
      <c r="I5" s="6"/>
      <c r="J5" s="6"/>
      <c r="K5" s="6"/>
      <c r="L5" s="6"/>
      <c r="M5" s="185"/>
      <c r="N5" s="6"/>
      <c r="O5" s="188"/>
      <c r="P5" s="6"/>
      <c r="Q5" s="6"/>
      <c r="R5" s="6"/>
      <c r="S5" s="7"/>
      <c r="T5" s="7"/>
      <c r="U5" s="7"/>
      <c r="V5" s="6"/>
      <c r="W5" s="6"/>
      <c r="X5" s="6"/>
      <c r="Y5" s="6"/>
      <c r="Z5" s="7"/>
      <c r="AA5" s="7"/>
      <c r="AB5" s="7"/>
      <c r="AC5" s="6"/>
      <c r="AD5" s="188"/>
      <c r="AE5" s="6"/>
      <c r="AF5" s="6"/>
      <c r="AG5" s="6"/>
      <c r="AH5" s="7"/>
      <c r="AI5" s="7"/>
      <c r="AJ5" s="7"/>
      <c r="AK5" s="6"/>
      <c r="AL5" s="6"/>
      <c r="AM5" s="6"/>
      <c r="AN5" s="6"/>
      <c r="AO5" s="7"/>
      <c r="AP5" s="7"/>
      <c r="AQ5" s="7"/>
    </row>
    <row r="6" spans="1:43" outlineLevel="1" x14ac:dyDescent="0.15">
      <c r="A6" s="8" t="s">
        <v>1970</v>
      </c>
      <c r="B6" s="8"/>
      <c r="C6" s="8" t="s">
        <v>14</v>
      </c>
      <c r="D6" s="8" t="s">
        <v>1971</v>
      </c>
      <c r="E6" s="9">
        <v>25.35</v>
      </c>
      <c r="F6" s="8" t="s">
        <v>1740</v>
      </c>
      <c r="G6" s="10">
        <v>2512</v>
      </c>
      <c r="H6" s="204">
        <f t="array" ref="H6">IF(OR(N6&gt;0,AC6&gt;0),MAX(N6,AC6),MAX(AK6,V6))</f>
        <v>46248</v>
      </c>
      <c r="I6" s="205">
        <f t="array" ref="I6">IF(SUM(O6,AD6)&gt;0,SUM(O6,AD6),SUM(AL6,W6))</f>
        <v>222</v>
      </c>
      <c r="J6" s="206" t="str">
        <f t="shared" ref="J6" si="0">IF(P6&gt;0,P6," ")</f>
        <v xml:space="preserve"> </v>
      </c>
      <c r="K6" s="205">
        <f>IF(SUM(Q6,AF6)&gt;0,SUM(Q6,AF6),SUM(AM6,X6))</f>
        <v>7</v>
      </c>
      <c r="L6" s="206">
        <f t="shared" ref="L6" si="1">IFERROR(K6/I6*100,0)</f>
        <v>3.1531531531531529</v>
      </c>
      <c r="M6" s="8" t="str">
        <f t="array" ref="M6">IF(L6&gt;5,"Perlu Sensus",IF(AND(L6&gt;=0,I6&gt;0),"Tetap Deteksi","Belum Deteksi"))</f>
        <v>Tetap Deteksi</v>
      </c>
      <c r="N6" s="11">
        <v>46238</v>
      </c>
      <c r="O6" s="143">
        <v>122</v>
      </c>
      <c r="P6" s="9">
        <f>IFERROR(O6/#REF!*100,0)</f>
        <v>0</v>
      </c>
      <c r="Q6" s="143">
        <v>3</v>
      </c>
      <c r="R6" s="9">
        <f t="shared" ref="R6:R69" si="2">IFERROR(Q6/O6*100,0)</f>
        <v>2.459016393442623</v>
      </c>
      <c r="S6" s="8" t="str">
        <f>IF(R6&gt;5,"Perlu Sensus",IF(R6&gt;0,"Tetap Deteksi","Belum Deteksi"))</f>
        <v>Tetap Deteksi</v>
      </c>
      <c r="T6" s="143">
        <v>7</v>
      </c>
      <c r="U6" s="9">
        <f>IFERROR(T6/O6*100,0)</f>
        <v>5.7377049180327866</v>
      </c>
      <c r="V6" s="11">
        <v>46239</v>
      </c>
      <c r="W6" s="143">
        <v>579</v>
      </c>
      <c r="X6" s="143">
        <v>11</v>
      </c>
      <c r="Y6" s="9">
        <f t="shared" ref="Y6:Y69" si="3">IFERROR(X6/W6*100,0)</f>
        <v>1.8998272884283247</v>
      </c>
      <c r="Z6" s="8" t="str">
        <f t="shared" ref="Z6:Z69" si="4">IF(Y6&gt;5,"Perlu Sensus",IF(Y6&gt;0,"Tetap Deteksi","Belum Deteksi"))</f>
        <v>Tetap Deteksi</v>
      </c>
      <c r="AA6" s="143">
        <v>31</v>
      </c>
      <c r="AB6" s="9">
        <f>IFERROR(AA6/W6*100,0)</f>
        <v>5.3540587219343694</v>
      </c>
      <c r="AC6" s="11">
        <v>46248</v>
      </c>
      <c r="AD6" s="143">
        <v>100</v>
      </c>
      <c r="AE6" s="9">
        <f>IFERROR(AD6/G6*100,0)</f>
        <v>3.9808917197452227</v>
      </c>
      <c r="AF6" s="143">
        <v>4</v>
      </c>
      <c r="AG6" s="9">
        <f t="shared" ref="AG6:AG69" si="5">IFERROR(AF6/AD6*100,0)</f>
        <v>4</v>
      </c>
      <c r="AH6" s="8" t="str">
        <f>IF(AG6&gt;5,"Perlu Sensus",IF(AG6&gt;0,"Tetap Deteksi","Belum Deteksi"))</f>
        <v>Tetap Deteksi</v>
      </c>
      <c r="AI6" s="143">
        <v>3</v>
      </c>
      <c r="AJ6" s="9">
        <f>IFERROR(AI6/AD6*100,0)</f>
        <v>3</v>
      </c>
      <c r="AK6" s="11"/>
      <c r="AL6" s="143"/>
      <c r="AM6" s="143"/>
      <c r="AN6" s="9">
        <f t="shared" ref="AN6:AN69" si="6">IFERROR(AM6/AL6*100,0)</f>
        <v>0</v>
      </c>
      <c r="AO6" s="8" t="str">
        <f t="shared" ref="AO6:AO69" si="7">IF(AN6&gt;5,"Perlu Sensus",IF(AN6&gt;0,"Tetap Deteksi","Belum Deteksi"))</f>
        <v>Belum Deteksi</v>
      </c>
      <c r="AP6" s="143"/>
      <c r="AQ6" s="9">
        <f>IFERROR(AP6/AL6*100,0)</f>
        <v>0</v>
      </c>
    </row>
    <row r="7" spans="1:43" outlineLevel="1" x14ac:dyDescent="0.15">
      <c r="A7" s="8" t="s">
        <v>1970</v>
      </c>
      <c r="B7" s="8"/>
      <c r="C7" s="8" t="s">
        <v>14</v>
      </c>
      <c r="D7" s="8" t="s">
        <v>1972</v>
      </c>
      <c r="E7" s="9">
        <v>36.53</v>
      </c>
      <c r="F7" s="8" t="s">
        <v>1740</v>
      </c>
      <c r="G7" s="10">
        <v>4548</v>
      </c>
      <c r="H7" s="204">
        <f t="array" ref="H7">IF(OR(N7&gt;0,AC7&gt;0),MAX(N7,AC7),MAX(AK7,V7))</f>
        <v>46248</v>
      </c>
      <c r="I7" s="205">
        <f t="array" ref="I7">IF(SUM(O7,AD7)&gt;0,SUM(O7,AD7),SUM(AL7,W7))</f>
        <v>239</v>
      </c>
      <c r="J7" s="206" t="str">
        <f t="shared" ref="J7:J70" si="8">IF(P7&gt;0,P7," ")</f>
        <v xml:space="preserve"> </v>
      </c>
      <c r="K7" s="205">
        <f t="shared" ref="K7:K70" si="9">IF(SUM(Q7,AF7)&gt;0,SUM(Q7,AF7),SUM(AM7,X7))</f>
        <v>8</v>
      </c>
      <c r="L7" s="206">
        <f t="shared" ref="L7:L70" si="10">IFERROR(K7/I7*100,0)</f>
        <v>3.3472803347280333</v>
      </c>
      <c r="M7" s="8" t="str">
        <f t="array" ref="M7">IF(L7&gt;5,"Perlu Sensus",IF(AND(L7&gt;=0,I7&gt;0),"Tetap Deteksi","Belum Deteksi"))</f>
        <v>Tetap Deteksi</v>
      </c>
      <c r="N7" s="11">
        <v>46241</v>
      </c>
      <c r="O7" s="143">
        <v>144</v>
      </c>
      <c r="P7" s="9">
        <f t="shared" ref="P7" si="11">IFERROR(O7/#REF!*100,0)</f>
        <v>0</v>
      </c>
      <c r="Q7" s="143">
        <v>5</v>
      </c>
      <c r="R7" s="9">
        <f t="shared" si="2"/>
        <v>3.4722222222222223</v>
      </c>
      <c r="S7" s="8" t="str">
        <f t="shared" ref="S7:S70" si="12">IF(R7&gt;5,"Perlu Sensus",IF(R7&gt;0,"Tetap Deteksi","Belum Deteksi"))</f>
        <v>Tetap Deteksi</v>
      </c>
      <c r="T7" s="143">
        <v>4</v>
      </c>
      <c r="U7" s="9">
        <f t="shared" ref="U7:U70" si="13">IFERROR(T7/O7*100,0)</f>
        <v>2.7777777777777777</v>
      </c>
      <c r="V7" s="11"/>
      <c r="W7" s="143"/>
      <c r="X7" s="143"/>
      <c r="Y7" s="9">
        <f t="shared" si="3"/>
        <v>0</v>
      </c>
      <c r="Z7" s="8" t="str">
        <f t="shared" si="4"/>
        <v>Belum Deteksi</v>
      </c>
      <c r="AA7" s="143"/>
      <c r="AB7" s="9">
        <f t="shared" ref="AB7:AB70" si="14">IFERROR(AA7/W7*100,0)</f>
        <v>0</v>
      </c>
      <c r="AC7" s="11">
        <v>46248</v>
      </c>
      <c r="AD7" s="143">
        <v>95</v>
      </c>
      <c r="AE7" s="9">
        <f t="shared" ref="AE7:AE70" si="15">IFERROR(AD7/G7*100,0)</f>
        <v>2.088830255057168</v>
      </c>
      <c r="AF7" s="143">
        <v>3</v>
      </c>
      <c r="AG7" s="9">
        <f t="shared" si="5"/>
        <v>3.1578947368421053</v>
      </c>
      <c r="AH7" s="8" t="str">
        <f t="shared" ref="AH7:AH70" si="16">IF(AG7&gt;5,"Perlu Sensus",IF(AG7&gt;0,"Tetap Deteksi","Belum Deteksi"))</f>
        <v>Tetap Deteksi</v>
      </c>
      <c r="AI7" s="143">
        <v>2</v>
      </c>
      <c r="AJ7" s="9">
        <f t="shared" ref="AJ7:AJ70" si="17">IFERROR(AI7/AD7*100,0)</f>
        <v>2.1052631578947367</v>
      </c>
      <c r="AK7" s="11"/>
      <c r="AL7" s="143"/>
      <c r="AM7" s="143"/>
      <c r="AN7" s="9">
        <f t="shared" si="6"/>
        <v>0</v>
      </c>
      <c r="AO7" s="8" t="str">
        <f t="shared" si="7"/>
        <v>Belum Deteksi</v>
      </c>
      <c r="AP7" s="143"/>
      <c r="AQ7" s="9">
        <f t="shared" ref="AQ7:AQ70" si="18">IFERROR(AP7/AL7*100,0)</f>
        <v>0</v>
      </c>
    </row>
    <row r="8" spans="1:43" outlineLevel="1" x14ac:dyDescent="0.15">
      <c r="A8" s="8" t="s">
        <v>1970</v>
      </c>
      <c r="B8" s="8"/>
      <c r="C8" s="8" t="s">
        <v>14</v>
      </c>
      <c r="D8" s="8" t="s">
        <v>1973</v>
      </c>
      <c r="E8" s="9">
        <v>34.28</v>
      </c>
      <c r="F8" s="8" t="s">
        <v>1740</v>
      </c>
      <c r="G8" s="10">
        <v>4035</v>
      </c>
      <c r="H8" s="204">
        <f t="array" ref="H8">IF(OR(N8&gt;0,AC8&gt;0),MAX(N8,AC8),MAX(AK8,V8))</f>
        <v>46248</v>
      </c>
      <c r="I8" s="205">
        <f t="array" ref="I8">IF(SUM(O8,AD8)&gt;0,SUM(O8,AD8),SUM(AL8,W8))</f>
        <v>178</v>
      </c>
      <c r="J8" s="206" t="str">
        <f t="shared" si="8"/>
        <v xml:space="preserve"> </v>
      </c>
      <c r="K8" s="205">
        <f t="shared" si="9"/>
        <v>6</v>
      </c>
      <c r="L8" s="206">
        <f t="shared" si="10"/>
        <v>3.3707865168539324</v>
      </c>
      <c r="M8" s="8" t="str">
        <f t="array" ref="M8">IF(L8&gt;5,"Perlu Sensus",IF(AND(L8&gt;=0,I8&gt;0),"Tetap Deteksi","Belum Deteksi"))</f>
        <v>Tetap Deteksi</v>
      </c>
      <c r="N8" s="11">
        <v>46237</v>
      </c>
      <c r="O8" s="143">
        <v>80</v>
      </c>
      <c r="P8" s="9">
        <f t="shared" ref="P8" si="19">IFERROR(O8/#REF!*100,0)</f>
        <v>0</v>
      </c>
      <c r="Q8" s="143">
        <v>2</v>
      </c>
      <c r="R8" s="9">
        <f t="shared" si="2"/>
        <v>2.5</v>
      </c>
      <c r="S8" s="8" t="str">
        <f t="shared" si="12"/>
        <v>Tetap Deteksi</v>
      </c>
      <c r="T8" s="143">
        <v>2</v>
      </c>
      <c r="U8" s="9">
        <f t="shared" si="13"/>
        <v>2.5</v>
      </c>
      <c r="V8" s="11"/>
      <c r="W8" s="143"/>
      <c r="X8" s="143"/>
      <c r="Y8" s="9">
        <f t="shared" si="3"/>
        <v>0</v>
      </c>
      <c r="Z8" s="8" t="str">
        <f t="shared" si="4"/>
        <v>Belum Deteksi</v>
      </c>
      <c r="AA8" s="143"/>
      <c r="AB8" s="9">
        <f t="shared" si="14"/>
        <v>0</v>
      </c>
      <c r="AC8" s="11">
        <v>46248</v>
      </c>
      <c r="AD8" s="143">
        <v>98</v>
      </c>
      <c r="AE8" s="9">
        <f t="shared" si="15"/>
        <v>2.4287484510532837</v>
      </c>
      <c r="AF8" s="143">
        <v>4</v>
      </c>
      <c r="AG8" s="9">
        <f t="shared" si="5"/>
        <v>4.0816326530612246</v>
      </c>
      <c r="AH8" s="8" t="str">
        <f t="shared" si="16"/>
        <v>Tetap Deteksi</v>
      </c>
      <c r="AI8" s="143">
        <v>2</v>
      </c>
      <c r="AJ8" s="9">
        <f t="shared" si="17"/>
        <v>2.0408163265306123</v>
      </c>
      <c r="AK8" s="11"/>
      <c r="AL8" s="143"/>
      <c r="AM8" s="143"/>
      <c r="AN8" s="9">
        <f t="shared" si="6"/>
        <v>0</v>
      </c>
      <c r="AO8" s="8" t="str">
        <f t="shared" si="7"/>
        <v>Belum Deteksi</v>
      </c>
      <c r="AP8" s="143"/>
      <c r="AQ8" s="9">
        <f t="shared" si="18"/>
        <v>0</v>
      </c>
    </row>
    <row r="9" spans="1:43" outlineLevel="1" x14ac:dyDescent="0.15">
      <c r="A9" s="8" t="s">
        <v>1970</v>
      </c>
      <c r="B9" s="8"/>
      <c r="C9" s="8" t="s">
        <v>14</v>
      </c>
      <c r="D9" s="8" t="s">
        <v>1469</v>
      </c>
      <c r="E9" s="9">
        <v>32.67</v>
      </c>
      <c r="F9" s="8" t="s">
        <v>1740</v>
      </c>
      <c r="G9" s="10">
        <v>3245</v>
      </c>
      <c r="H9" s="204">
        <f t="array" ref="H9">IF(OR(N9&gt;0,AC9&gt;0),MAX(N9,AC9),MAX(AK9,V9))</f>
        <v>46248</v>
      </c>
      <c r="I9" s="205">
        <f t="array" ref="I9">IF(SUM(O9,AD9)&gt;0,SUM(O9,AD9),SUM(AL9,W9))</f>
        <v>195</v>
      </c>
      <c r="J9" s="206" t="str">
        <f t="shared" si="8"/>
        <v xml:space="preserve"> </v>
      </c>
      <c r="K9" s="205">
        <f t="shared" si="9"/>
        <v>8</v>
      </c>
      <c r="L9" s="206">
        <f t="shared" si="10"/>
        <v>4.1025641025641022</v>
      </c>
      <c r="M9" s="8" t="str">
        <f t="array" ref="M9">IF(L9&gt;5,"Perlu Sensus",IF(AND(L9&gt;=0,I9&gt;0),"Tetap Deteksi","Belum Deteksi"))</f>
        <v>Tetap Deteksi</v>
      </c>
      <c r="N9" s="11">
        <v>46237</v>
      </c>
      <c r="O9" s="143">
        <v>99</v>
      </c>
      <c r="P9" s="9">
        <f t="shared" ref="P9" si="20">IFERROR(O9/#REF!*100,0)</f>
        <v>0</v>
      </c>
      <c r="Q9" s="143">
        <v>4</v>
      </c>
      <c r="R9" s="9">
        <f t="shared" si="2"/>
        <v>4.0404040404040407</v>
      </c>
      <c r="S9" s="8" t="str">
        <f t="shared" si="12"/>
        <v>Tetap Deteksi</v>
      </c>
      <c r="T9" s="143">
        <v>2</v>
      </c>
      <c r="U9" s="9">
        <f t="shared" si="13"/>
        <v>2.0202020202020203</v>
      </c>
      <c r="V9" s="11"/>
      <c r="W9" s="143"/>
      <c r="X9" s="143"/>
      <c r="Y9" s="9">
        <f t="shared" si="3"/>
        <v>0</v>
      </c>
      <c r="Z9" s="8" t="str">
        <f t="shared" si="4"/>
        <v>Belum Deteksi</v>
      </c>
      <c r="AA9" s="143"/>
      <c r="AB9" s="9">
        <f t="shared" si="14"/>
        <v>0</v>
      </c>
      <c r="AC9" s="11">
        <v>46248</v>
      </c>
      <c r="AD9" s="143">
        <v>96</v>
      </c>
      <c r="AE9" s="9">
        <f t="shared" si="15"/>
        <v>2.958397534668721</v>
      </c>
      <c r="AF9" s="143">
        <v>4</v>
      </c>
      <c r="AG9" s="9">
        <f t="shared" si="5"/>
        <v>4.1666666666666661</v>
      </c>
      <c r="AH9" s="8" t="str">
        <f t="shared" si="16"/>
        <v>Tetap Deteksi</v>
      </c>
      <c r="AI9" s="143">
        <v>2</v>
      </c>
      <c r="AJ9" s="9">
        <f t="shared" si="17"/>
        <v>2.083333333333333</v>
      </c>
      <c r="AK9" s="11"/>
      <c r="AL9" s="143"/>
      <c r="AM9" s="143"/>
      <c r="AN9" s="9">
        <f t="shared" si="6"/>
        <v>0</v>
      </c>
      <c r="AO9" s="8" t="str">
        <f t="shared" si="7"/>
        <v>Belum Deteksi</v>
      </c>
      <c r="AP9" s="143"/>
      <c r="AQ9" s="9">
        <f t="shared" si="18"/>
        <v>0</v>
      </c>
    </row>
    <row r="10" spans="1:43" outlineLevel="1" x14ac:dyDescent="0.15">
      <c r="A10" s="8" t="s">
        <v>1970</v>
      </c>
      <c r="B10" s="8"/>
      <c r="C10" s="8" t="s">
        <v>14</v>
      </c>
      <c r="D10" s="8" t="s">
        <v>1974</v>
      </c>
      <c r="E10" s="9">
        <v>42.56</v>
      </c>
      <c r="F10" s="8" t="s">
        <v>1740</v>
      </c>
      <c r="G10" s="10">
        <v>5154</v>
      </c>
      <c r="H10" s="204">
        <f t="array" ref="H10">IF(OR(N10&gt;0,AC10&gt;0),MAX(N10,AC10),MAX(AK10,V10))</f>
        <v>46247</v>
      </c>
      <c r="I10" s="205">
        <f t="array" ref="I10">IF(SUM(O10,AD10)&gt;0,SUM(O10,AD10),SUM(AL10,W10))</f>
        <v>203</v>
      </c>
      <c r="J10" s="206" t="str">
        <f t="shared" si="8"/>
        <v xml:space="preserve"> </v>
      </c>
      <c r="K10" s="205">
        <f t="shared" si="9"/>
        <v>4</v>
      </c>
      <c r="L10" s="206">
        <f t="shared" si="10"/>
        <v>1.9704433497536946</v>
      </c>
      <c r="M10" s="8" t="str">
        <f t="array" ref="M10">IF(L10&gt;5,"Perlu Sensus",IF(AND(L10&gt;=0,I10&gt;0),"Tetap Deteksi","Belum Deteksi"))</f>
        <v>Tetap Deteksi</v>
      </c>
      <c r="N10" s="11">
        <v>46235</v>
      </c>
      <c r="O10" s="143">
        <v>104</v>
      </c>
      <c r="P10" s="9">
        <f t="shared" ref="P10" si="21">IFERROR(O10/#REF!*100,0)</f>
        <v>0</v>
      </c>
      <c r="Q10" s="143">
        <v>2</v>
      </c>
      <c r="R10" s="9">
        <f t="shared" si="2"/>
        <v>1.9230769230769231</v>
      </c>
      <c r="S10" s="8" t="str">
        <f t="shared" si="12"/>
        <v>Tetap Deteksi</v>
      </c>
      <c r="T10" s="143">
        <v>4</v>
      </c>
      <c r="U10" s="9">
        <f t="shared" si="13"/>
        <v>3.8461538461538463</v>
      </c>
      <c r="V10" s="11"/>
      <c r="W10" s="143"/>
      <c r="X10" s="143"/>
      <c r="Y10" s="9">
        <f t="shared" si="3"/>
        <v>0</v>
      </c>
      <c r="Z10" s="8" t="str">
        <f t="shared" si="4"/>
        <v>Belum Deteksi</v>
      </c>
      <c r="AA10" s="143"/>
      <c r="AB10" s="9">
        <f t="shared" si="14"/>
        <v>0</v>
      </c>
      <c r="AC10" s="11">
        <v>46247</v>
      </c>
      <c r="AD10" s="143">
        <v>99</v>
      </c>
      <c r="AE10" s="9">
        <f t="shared" si="15"/>
        <v>1.9208381839348081</v>
      </c>
      <c r="AF10" s="143">
        <v>2</v>
      </c>
      <c r="AG10" s="9">
        <f t="shared" si="5"/>
        <v>2.0202020202020203</v>
      </c>
      <c r="AH10" s="8" t="str">
        <f t="shared" si="16"/>
        <v>Tetap Deteksi</v>
      </c>
      <c r="AI10" s="143">
        <v>2</v>
      </c>
      <c r="AJ10" s="9">
        <f t="shared" si="17"/>
        <v>2.0202020202020203</v>
      </c>
      <c r="AK10" s="11"/>
      <c r="AL10" s="143"/>
      <c r="AM10" s="143"/>
      <c r="AN10" s="9">
        <f t="shared" si="6"/>
        <v>0</v>
      </c>
      <c r="AO10" s="8" t="str">
        <f t="shared" si="7"/>
        <v>Belum Deteksi</v>
      </c>
      <c r="AP10" s="143"/>
      <c r="AQ10" s="9">
        <f t="shared" si="18"/>
        <v>0</v>
      </c>
    </row>
    <row r="11" spans="1:43" outlineLevel="1" x14ac:dyDescent="0.15">
      <c r="A11" s="8" t="s">
        <v>1970</v>
      </c>
      <c r="B11" s="8"/>
      <c r="C11" s="8" t="s">
        <v>14</v>
      </c>
      <c r="D11" s="8" t="s">
        <v>1975</v>
      </c>
      <c r="E11" s="9">
        <v>44.089999999999996</v>
      </c>
      <c r="F11" s="8" t="s">
        <v>1740</v>
      </c>
      <c r="G11" s="10">
        <v>5141</v>
      </c>
      <c r="H11" s="204">
        <f t="array" ref="H11">IF(OR(N11&gt;0,AC11&gt;0),MAX(N11,AC11),MAX(AK11,V11))</f>
        <v>46247</v>
      </c>
      <c r="I11" s="205">
        <f t="array" ref="I11">IF(SUM(O11,AD11)&gt;0,SUM(O11,AD11),SUM(AL11,W11))</f>
        <v>183</v>
      </c>
      <c r="J11" s="206" t="str">
        <f t="shared" si="8"/>
        <v xml:space="preserve"> </v>
      </c>
      <c r="K11" s="205">
        <f t="shared" si="9"/>
        <v>5</v>
      </c>
      <c r="L11" s="206">
        <f t="shared" si="10"/>
        <v>2.7322404371584699</v>
      </c>
      <c r="M11" s="8" t="str">
        <f t="array" ref="M11">IF(L11&gt;5,"Perlu Sensus",IF(AND(L11&gt;=0,I11&gt;0),"Tetap Deteksi","Belum Deteksi"))</f>
        <v>Tetap Deteksi</v>
      </c>
      <c r="N11" s="11">
        <v>46237</v>
      </c>
      <c r="O11" s="143">
        <v>89</v>
      </c>
      <c r="P11" s="9">
        <f t="shared" ref="P11" si="22">IFERROR(O11/#REF!*100,0)</f>
        <v>0</v>
      </c>
      <c r="Q11" s="143">
        <v>2</v>
      </c>
      <c r="R11" s="9">
        <f t="shared" si="2"/>
        <v>2.2471910112359552</v>
      </c>
      <c r="S11" s="8" t="str">
        <f t="shared" si="12"/>
        <v>Tetap Deteksi</v>
      </c>
      <c r="T11" s="143">
        <v>2</v>
      </c>
      <c r="U11" s="9">
        <f t="shared" si="13"/>
        <v>2.2471910112359552</v>
      </c>
      <c r="V11" s="11"/>
      <c r="W11" s="143"/>
      <c r="X11" s="143"/>
      <c r="Y11" s="9">
        <f t="shared" si="3"/>
        <v>0</v>
      </c>
      <c r="Z11" s="8" t="str">
        <f t="shared" si="4"/>
        <v>Belum Deteksi</v>
      </c>
      <c r="AA11" s="143"/>
      <c r="AB11" s="9">
        <f t="shared" si="14"/>
        <v>0</v>
      </c>
      <c r="AC11" s="11">
        <v>46247</v>
      </c>
      <c r="AD11" s="143">
        <v>94</v>
      </c>
      <c r="AE11" s="9">
        <f t="shared" si="15"/>
        <v>1.8284380470725541</v>
      </c>
      <c r="AF11" s="143">
        <v>3</v>
      </c>
      <c r="AG11" s="9">
        <f t="shared" si="5"/>
        <v>3.1914893617021276</v>
      </c>
      <c r="AH11" s="8" t="str">
        <f t="shared" si="16"/>
        <v>Tetap Deteksi</v>
      </c>
      <c r="AI11" s="143">
        <v>3</v>
      </c>
      <c r="AJ11" s="9">
        <f t="shared" si="17"/>
        <v>3.1914893617021276</v>
      </c>
      <c r="AK11" s="11"/>
      <c r="AL11" s="143"/>
      <c r="AM11" s="143"/>
      <c r="AN11" s="9">
        <f t="shared" si="6"/>
        <v>0</v>
      </c>
      <c r="AO11" s="8" t="str">
        <f t="shared" si="7"/>
        <v>Belum Deteksi</v>
      </c>
      <c r="AP11" s="143"/>
      <c r="AQ11" s="9">
        <f t="shared" si="18"/>
        <v>0</v>
      </c>
    </row>
    <row r="12" spans="1:43" outlineLevel="1" x14ac:dyDescent="0.15">
      <c r="A12" s="8" t="s">
        <v>1970</v>
      </c>
      <c r="B12" s="8"/>
      <c r="C12" s="8" t="s">
        <v>14</v>
      </c>
      <c r="D12" s="8" t="s">
        <v>1976</v>
      </c>
      <c r="E12" s="9">
        <v>30.320000000000004</v>
      </c>
      <c r="F12" s="8" t="s">
        <v>1740</v>
      </c>
      <c r="G12" s="10">
        <v>3607</v>
      </c>
      <c r="H12" s="204">
        <f t="array" ref="H12">IF(OR(N12&gt;0,AC12&gt;0),MAX(N12,AC12),MAX(AK12,V12))</f>
        <v>46247</v>
      </c>
      <c r="I12" s="205">
        <f t="array" ref="I12">IF(SUM(O12,AD12)&gt;0,SUM(O12,AD12),SUM(AL12,W12))</f>
        <v>206</v>
      </c>
      <c r="J12" s="206" t="str">
        <f t="shared" si="8"/>
        <v xml:space="preserve"> </v>
      </c>
      <c r="K12" s="205">
        <f t="shared" si="9"/>
        <v>4</v>
      </c>
      <c r="L12" s="206">
        <f t="shared" si="10"/>
        <v>1.9417475728155338</v>
      </c>
      <c r="M12" s="8" t="str">
        <f t="array" ref="M12">IF(L12&gt;5,"Perlu Sensus",IF(AND(L12&gt;=0,I12&gt;0),"Tetap Deteksi","Belum Deteksi"))</f>
        <v>Tetap Deteksi</v>
      </c>
      <c r="N12" s="11">
        <v>46237</v>
      </c>
      <c r="O12" s="143">
        <v>114</v>
      </c>
      <c r="P12" s="9">
        <f t="shared" ref="P12" si="23">IFERROR(O12/#REF!*100,0)</f>
        <v>0</v>
      </c>
      <c r="Q12" s="143">
        <v>2</v>
      </c>
      <c r="R12" s="9">
        <f t="shared" si="2"/>
        <v>1.7543859649122806</v>
      </c>
      <c r="S12" s="8" t="str">
        <f t="shared" si="12"/>
        <v>Tetap Deteksi</v>
      </c>
      <c r="T12" s="143">
        <v>4</v>
      </c>
      <c r="U12" s="9">
        <f t="shared" si="13"/>
        <v>3.5087719298245612</v>
      </c>
      <c r="V12" s="11"/>
      <c r="W12" s="143"/>
      <c r="X12" s="143"/>
      <c r="Y12" s="9">
        <f t="shared" si="3"/>
        <v>0</v>
      </c>
      <c r="Z12" s="8" t="str">
        <f t="shared" si="4"/>
        <v>Belum Deteksi</v>
      </c>
      <c r="AA12" s="143"/>
      <c r="AB12" s="9">
        <f t="shared" si="14"/>
        <v>0</v>
      </c>
      <c r="AC12" s="11">
        <v>46247</v>
      </c>
      <c r="AD12" s="143">
        <v>92</v>
      </c>
      <c r="AE12" s="9">
        <f t="shared" si="15"/>
        <v>2.5505960632104241</v>
      </c>
      <c r="AF12" s="143">
        <v>2</v>
      </c>
      <c r="AG12" s="9">
        <f t="shared" si="5"/>
        <v>2.1739130434782608</v>
      </c>
      <c r="AH12" s="8" t="str">
        <f t="shared" si="16"/>
        <v>Tetap Deteksi</v>
      </c>
      <c r="AI12" s="143">
        <v>2</v>
      </c>
      <c r="AJ12" s="9">
        <f t="shared" si="17"/>
        <v>2.1739130434782608</v>
      </c>
      <c r="AK12" s="11"/>
      <c r="AL12" s="143"/>
      <c r="AM12" s="143"/>
      <c r="AN12" s="9">
        <f t="shared" si="6"/>
        <v>0</v>
      </c>
      <c r="AO12" s="8" t="str">
        <f t="shared" si="7"/>
        <v>Belum Deteksi</v>
      </c>
      <c r="AP12" s="143"/>
      <c r="AQ12" s="9">
        <f t="shared" si="18"/>
        <v>0</v>
      </c>
    </row>
    <row r="13" spans="1:43" outlineLevel="1" x14ac:dyDescent="0.15">
      <c r="A13" s="8" t="s">
        <v>1970</v>
      </c>
      <c r="B13" s="8"/>
      <c r="C13" s="8" t="s">
        <v>14</v>
      </c>
      <c r="D13" s="8" t="s">
        <v>1977</v>
      </c>
      <c r="E13" s="9">
        <v>37.53</v>
      </c>
      <c r="F13" s="8" t="s">
        <v>1740</v>
      </c>
      <c r="G13" s="10">
        <v>4035</v>
      </c>
      <c r="H13" s="204">
        <f t="array" ref="H13">IF(OR(N13&gt;0,AC13&gt;0),MAX(N13,AC13),MAX(AK13,V13))</f>
        <v>46246</v>
      </c>
      <c r="I13" s="205">
        <f t="array" ref="I13">IF(SUM(O13,AD13)&gt;0,SUM(O13,AD13),SUM(AL13,W13))</f>
        <v>223</v>
      </c>
      <c r="J13" s="206" t="str">
        <f t="shared" si="8"/>
        <v xml:space="preserve"> </v>
      </c>
      <c r="K13" s="205">
        <f t="shared" si="9"/>
        <v>8</v>
      </c>
      <c r="L13" s="206">
        <f t="shared" si="10"/>
        <v>3.5874439461883409</v>
      </c>
      <c r="M13" s="8" t="str">
        <f t="array" ref="M13">IF(L13&gt;5,"Perlu Sensus",IF(AND(L13&gt;=0,I13&gt;0),"Tetap Deteksi","Belum Deteksi"))</f>
        <v>Tetap Deteksi</v>
      </c>
      <c r="N13" s="11">
        <v>46238</v>
      </c>
      <c r="O13" s="143">
        <v>100</v>
      </c>
      <c r="P13" s="9">
        <f t="shared" ref="P13" si="24">IFERROR(O13/#REF!*100,0)</f>
        <v>0</v>
      </c>
      <c r="Q13" s="143">
        <v>4</v>
      </c>
      <c r="R13" s="9">
        <f t="shared" si="2"/>
        <v>4</v>
      </c>
      <c r="S13" s="8" t="str">
        <f t="shared" si="12"/>
        <v>Tetap Deteksi</v>
      </c>
      <c r="T13" s="143">
        <v>3</v>
      </c>
      <c r="U13" s="9">
        <f t="shared" si="13"/>
        <v>3</v>
      </c>
      <c r="V13" s="11"/>
      <c r="W13" s="143"/>
      <c r="X13" s="143"/>
      <c r="Y13" s="9">
        <f t="shared" si="3"/>
        <v>0</v>
      </c>
      <c r="Z13" s="8" t="str">
        <f t="shared" si="4"/>
        <v>Belum Deteksi</v>
      </c>
      <c r="AA13" s="143"/>
      <c r="AB13" s="9">
        <f t="shared" si="14"/>
        <v>0</v>
      </c>
      <c r="AC13" s="11">
        <v>46246</v>
      </c>
      <c r="AD13" s="143">
        <v>123</v>
      </c>
      <c r="AE13" s="9">
        <f t="shared" si="15"/>
        <v>3.0483271375464684</v>
      </c>
      <c r="AF13" s="143">
        <v>4</v>
      </c>
      <c r="AG13" s="9">
        <f t="shared" si="5"/>
        <v>3.2520325203252036</v>
      </c>
      <c r="AH13" s="8" t="str">
        <f t="shared" si="16"/>
        <v>Tetap Deteksi</v>
      </c>
      <c r="AI13" s="143">
        <v>3</v>
      </c>
      <c r="AJ13" s="9">
        <f t="shared" si="17"/>
        <v>2.4390243902439024</v>
      </c>
      <c r="AK13" s="11"/>
      <c r="AL13" s="143"/>
      <c r="AM13" s="143"/>
      <c r="AN13" s="9">
        <f t="shared" si="6"/>
        <v>0</v>
      </c>
      <c r="AO13" s="8" t="str">
        <f t="shared" si="7"/>
        <v>Belum Deteksi</v>
      </c>
      <c r="AP13" s="143"/>
      <c r="AQ13" s="9">
        <f t="shared" si="18"/>
        <v>0</v>
      </c>
    </row>
    <row r="14" spans="1:43" outlineLevel="1" x14ac:dyDescent="0.15">
      <c r="A14" s="8" t="s">
        <v>1970</v>
      </c>
      <c r="B14" s="8"/>
      <c r="C14" s="8" t="s">
        <v>14</v>
      </c>
      <c r="D14" s="8" t="s">
        <v>1978</v>
      </c>
      <c r="E14" s="9">
        <v>36.300000000000004</v>
      </c>
      <c r="F14" s="8" t="s">
        <v>1740</v>
      </c>
      <c r="G14" s="10">
        <v>4747</v>
      </c>
      <c r="H14" s="204">
        <f t="array" ref="H14">IF(OR(N14&gt;0,AC14&gt;0),MAX(N14,AC14),MAX(AK14,V14))</f>
        <v>46247</v>
      </c>
      <c r="I14" s="205">
        <f t="array" ref="I14">IF(SUM(O14,AD14)&gt;0,SUM(O14,AD14),SUM(AL14,W14))</f>
        <v>333</v>
      </c>
      <c r="J14" s="206" t="str">
        <f t="shared" si="8"/>
        <v xml:space="preserve"> </v>
      </c>
      <c r="K14" s="205">
        <f t="shared" si="9"/>
        <v>8</v>
      </c>
      <c r="L14" s="206">
        <f t="shared" si="10"/>
        <v>2.4024024024024024</v>
      </c>
      <c r="M14" s="8" t="str">
        <f t="array" ref="M14">IF(L14&gt;5,"Perlu Sensus",IF(AND(L14&gt;=0,I14&gt;0),"Tetap Deteksi","Belum Deteksi"))</f>
        <v>Tetap Deteksi</v>
      </c>
      <c r="N14" s="11">
        <v>46241</v>
      </c>
      <c r="O14" s="143">
        <v>219</v>
      </c>
      <c r="P14" s="9">
        <f t="shared" ref="P14" si="25">IFERROR(O14/#REF!*100,0)</f>
        <v>0</v>
      </c>
      <c r="Q14" s="143">
        <v>3</v>
      </c>
      <c r="R14" s="9">
        <f t="shared" si="2"/>
        <v>1.3698630136986301</v>
      </c>
      <c r="S14" s="8" t="str">
        <f t="shared" si="12"/>
        <v>Tetap Deteksi</v>
      </c>
      <c r="T14" s="143">
        <v>8</v>
      </c>
      <c r="U14" s="9">
        <f t="shared" si="13"/>
        <v>3.6529680365296802</v>
      </c>
      <c r="V14" s="11"/>
      <c r="W14" s="143"/>
      <c r="X14" s="143"/>
      <c r="Y14" s="9">
        <f t="shared" si="3"/>
        <v>0</v>
      </c>
      <c r="Z14" s="8" t="str">
        <f t="shared" si="4"/>
        <v>Belum Deteksi</v>
      </c>
      <c r="AA14" s="143"/>
      <c r="AB14" s="9">
        <f t="shared" si="14"/>
        <v>0</v>
      </c>
      <c r="AC14" s="11">
        <v>46247</v>
      </c>
      <c r="AD14" s="143">
        <v>114</v>
      </c>
      <c r="AE14" s="9">
        <f t="shared" si="15"/>
        <v>2.4015167474194228</v>
      </c>
      <c r="AF14" s="143">
        <v>5</v>
      </c>
      <c r="AG14" s="9">
        <f t="shared" si="5"/>
        <v>4.3859649122807012</v>
      </c>
      <c r="AH14" s="8" t="str">
        <f t="shared" si="16"/>
        <v>Tetap Deteksi</v>
      </c>
      <c r="AI14" s="143">
        <v>4</v>
      </c>
      <c r="AJ14" s="9">
        <f t="shared" si="17"/>
        <v>3.5087719298245612</v>
      </c>
      <c r="AK14" s="11"/>
      <c r="AL14" s="143"/>
      <c r="AM14" s="143"/>
      <c r="AN14" s="9">
        <f t="shared" si="6"/>
        <v>0</v>
      </c>
      <c r="AO14" s="8" t="str">
        <f t="shared" si="7"/>
        <v>Belum Deteksi</v>
      </c>
      <c r="AP14" s="143"/>
      <c r="AQ14" s="9">
        <f t="shared" si="18"/>
        <v>0</v>
      </c>
    </row>
    <row r="15" spans="1:43" outlineLevel="1" x14ac:dyDescent="0.15">
      <c r="A15" s="8" t="s">
        <v>1970</v>
      </c>
      <c r="B15" s="8"/>
      <c r="C15" s="8" t="s">
        <v>14</v>
      </c>
      <c r="D15" s="8" t="s">
        <v>1979</v>
      </c>
      <c r="E15" s="9">
        <v>34.1</v>
      </c>
      <c r="F15" s="8" t="s">
        <v>1740</v>
      </c>
      <c r="G15" s="10">
        <v>4539</v>
      </c>
      <c r="H15" s="204">
        <f t="array" ref="H15">IF(OR(N15&gt;0,AC15&gt;0),MAX(N15,AC15),MAX(AK15,V15))</f>
        <v>46247</v>
      </c>
      <c r="I15" s="205">
        <f t="array" ref="I15">IF(SUM(O15,AD15)&gt;0,SUM(O15,AD15),SUM(AL15,W15))</f>
        <v>383</v>
      </c>
      <c r="J15" s="206" t="str">
        <f t="shared" si="8"/>
        <v xml:space="preserve"> </v>
      </c>
      <c r="K15" s="205">
        <f t="shared" si="9"/>
        <v>9</v>
      </c>
      <c r="L15" s="206">
        <f t="shared" si="10"/>
        <v>2.3498694516971277</v>
      </c>
      <c r="M15" s="8" t="str">
        <f t="array" ref="M15">IF(L15&gt;5,"Perlu Sensus",IF(AND(L15&gt;=0,I15&gt;0),"Tetap Deteksi","Belum Deteksi"))</f>
        <v>Tetap Deteksi</v>
      </c>
      <c r="N15" s="11">
        <v>46238</v>
      </c>
      <c r="O15" s="143">
        <v>118</v>
      </c>
      <c r="P15" s="9">
        <f t="shared" ref="P15" si="26">IFERROR(O15/#REF!*100,0)</f>
        <v>0</v>
      </c>
      <c r="Q15" s="143">
        <v>1</v>
      </c>
      <c r="R15" s="9">
        <f t="shared" si="2"/>
        <v>0.84745762711864403</v>
      </c>
      <c r="S15" s="8" t="str">
        <f t="shared" si="12"/>
        <v>Tetap Deteksi</v>
      </c>
      <c r="T15" s="143">
        <v>4</v>
      </c>
      <c r="U15" s="9">
        <f t="shared" si="13"/>
        <v>3.3898305084745761</v>
      </c>
      <c r="V15" s="11"/>
      <c r="W15" s="143"/>
      <c r="X15" s="143"/>
      <c r="Y15" s="9">
        <f t="shared" si="3"/>
        <v>0</v>
      </c>
      <c r="Z15" s="8" t="str">
        <f t="shared" si="4"/>
        <v>Belum Deteksi</v>
      </c>
      <c r="AA15" s="143"/>
      <c r="AB15" s="9">
        <f t="shared" si="14"/>
        <v>0</v>
      </c>
      <c r="AC15" s="11">
        <v>46247</v>
      </c>
      <c r="AD15" s="143">
        <v>265</v>
      </c>
      <c r="AE15" s="9">
        <f t="shared" si="15"/>
        <v>5.8382903723287072</v>
      </c>
      <c r="AF15" s="143">
        <v>8</v>
      </c>
      <c r="AG15" s="9">
        <f t="shared" si="5"/>
        <v>3.0188679245283021</v>
      </c>
      <c r="AH15" s="8" t="str">
        <f t="shared" si="16"/>
        <v>Tetap Deteksi</v>
      </c>
      <c r="AI15" s="143">
        <v>12</v>
      </c>
      <c r="AJ15" s="9">
        <f t="shared" si="17"/>
        <v>4.5283018867924527</v>
      </c>
      <c r="AK15" s="11"/>
      <c r="AL15" s="143"/>
      <c r="AM15" s="143"/>
      <c r="AN15" s="9">
        <f t="shared" si="6"/>
        <v>0</v>
      </c>
      <c r="AO15" s="8" t="str">
        <f t="shared" si="7"/>
        <v>Belum Deteksi</v>
      </c>
      <c r="AP15" s="143"/>
      <c r="AQ15" s="9">
        <f t="shared" si="18"/>
        <v>0</v>
      </c>
    </row>
    <row r="16" spans="1:43" outlineLevel="1" x14ac:dyDescent="0.15">
      <c r="A16" s="8" t="s">
        <v>1970</v>
      </c>
      <c r="B16" s="8"/>
      <c r="C16" s="8" t="s">
        <v>14</v>
      </c>
      <c r="D16" s="8" t="s">
        <v>1980</v>
      </c>
      <c r="E16" s="9">
        <v>32.640000000000008</v>
      </c>
      <c r="F16" s="8" t="s">
        <v>1740</v>
      </c>
      <c r="G16" s="10">
        <v>4394</v>
      </c>
      <c r="H16" s="204">
        <f t="array" ref="H16">IF(OR(N16&gt;0,AC16&gt;0),MAX(N16,AC16),MAX(AK16,V16))</f>
        <v>46247</v>
      </c>
      <c r="I16" s="205">
        <f t="array" ref="I16">IF(SUM(O16,AD16)&gt;0,SUM(O16,AD16),SUM(AL16,W16))</f>
        <v>350</v>
      </c>
      <c r="J16" s="206" t="str">
        <f t="shared" si="8"/>
        <v xml:space="preserve"> </v>
      </c>
      <c r="K16" s="205">
        <f t="shared" si="9"/>
        <v>11</v>
      </c>
      <c r="L16" s="206">
        <f t="shared" si="10"/>
        <v>3.1428571428571432</v>
      </c>
      <c r="M16" s="8" t="str">
        <f t="array" ref="M16">IF(L16&gt;5,"Perlu Sensus",IF(AND(L16&gt;=0,I16&gt;0),"Tetap Deteksi","Belum Deteksi"))</f>
        <v>Tetap Deteksi</v>
      </c>
      <c r="N16" s="11">
        <v>46237</v>
      </c>
      <c r="O16" s="143">
        <v>95</v>
      </c>
      <c r="P16" s="9">
        <f t="shared" ref="P16" si="27">IFERROR(O16/#REF!*100,0)</f>
        <v>0</v>
      </c>
      <c r="Q16" s="143">
        <v>3</v>
      </c>
      <c r="R16" s="9">
        <f t="shared" si="2"/>
        <v>3.1578947368421053</v>
      </c>
      <c r="S16" s="8" t="str">
        <f t="shared" si="12"/>
        <v>Tetap Deteksi</v>
      </c>
      <c r="T16" s="143">
        <v>1</v>
      </c>
      <c r="U16" s="9">
        <f t="shared" si="13"/>
        <v>1.0526315789473684</v>
      </c>
      <c r="V16" s="11"/>
      <c r="W16" s="143"/>
      <c r="X16" s="143"/>
      <c r="Y16" s="9">
        <f t="shared" si="3"/>
        <v>0</v>
      </c>
      <c r="Z16" s="8" t="str">
        <f t="shared" si="4"/>
        <v>Belum Deteksi</v>
      </c>
      <c r="AA16" s="143"/>
      <c r="AB16" s="9">
        <f t="shared" si="14"/>
        <v>0</v>
      </c>
      <c r="AC16" s="11">
        <v>46247</v>
      </c>
      <c r="AD16" s="143">
        <v>255</v>
      </c>
      <c r="AE16" s="9">
        <f t="shared" si="15"/>
        <v>5.8033682294037323</v>
      </c>
      <c r="AF16" s="143">
        <v>8</v>
      </c>
      <c r="AG16" s="9">
        <f t="shared" si="5"/>
        <v>3.1372549019607843</v>
      </c>
      <c r="AH16" s="8" t="str">
        <f t="shared" si="16"/>
        <v>Tetap Deteksi</v>
      </c>
      <c r="AI16" s="143">
        <v>10</v>
      </c>
      <c r="AJ16" s="9">
        <f t="shared" si="17"/>
        <v>3.9215686274509802</v>
      </c>
      <c r="AK16" s="11"/>
      <c r="AL16" s="143"/>
      <c r="AM16" s="143"/>
      <c r="AN16" s="9">
        <f t="shared" si="6"/>
        <v>0</v>
      </c>
      <c r="AO16" s="8" t="str">
        <f t="shared" si="7"/>
        <v>Belum Deteksi</v>
      </c>
      <c r="AP16" s="143"/>
      <c r="AQ16" s="9">
        <f t="shared" si="18"/>
        <v>0</v>
      </c>
    </row>
    <row r="17" spans="1:43" outlineLevel="1" x14ac:dyDescent="0.15">
      <c r="A17" s="8" t="s">
        <v>1970</v>
      </c>
      <c r="B17" s="8"/>
      <c r="C17" s="8" t="s">
        <v>14</v>
      </c>
      <c r="D17" s="181" t="s">
        <v>1981</v>
      </c>
      <c r="E17" s="9">
        <v>35.83</v>
      </c>
      <c r="F17" s="8" t="s">
        <v>1740</v>
      </c>
      <c r="G17" s="10">
        <v>4214</v>
      </c>
      <c r="H17" s="204">
        <f t="array" ref="H17">IF(OR(N17&gt;0,AC17&gt;0),MAX(N17,AC17),MAX(AK17,V17))</f>
        <v>46247</v>
      </c>
      <c r="I17" s="205">
        <f>IF(SUM(O17,AD17)&gt;0,SUM(O17,AD17),SUM(AL17,W17))</f>
        <v>189</v>
      </c>
      <c r="J17" s="206" t="str">
        <f t="shared" si="8"/>
        <v xml:space="preserve"> </v>
      </c>
      <c r="K17" s="205">
        <f t="shared" si="9"/>
        <v>6</v>
      </c>
      <c r="L17" s="206">
        <f t="shared" si="10"/>
        <v>3.1746031746031744</v>
      </c>
      <c r="M17" s="8" t="str">
        <f t="array" ref="M17">IF(L17&gt;5,"Perlu Sensus",IF(AND(L17&gt;=0,I17&gt;0),"Tetap Deteksi","Belum Deteksi"))</f>
        <v>Tetap Deteksi</v>
      </c>
      <c r="N17" s="11">
        <v>46237</v>
      </c>
      <c r="O17" s="143">
        <v>91</v>
      </c>
      <c r="P17" s="9">
        <f t="shared" ref="P17" si="28">IFERROR(O17/#REF!*100,0)</f>
        <v>0</v>
      </c>
      <c r="Q17" s="143">
        <v>2</v>
      </c>
      <c r="R17" s="9">
        <f t="shared" si="2"/>
        <v>2.197802197802198</v>
      </c>
      <c r="S17" s="8" t="str">
        <f t="shared" si="12"/>
        <v>Tetap Deteksi</v>
      </c>
      <c r="T17" s="143">
        <v>1</v>
      </c>
      <c r="U17" s="9">
        <f t="shared" si="13"/>
        <v>1.098901098901099</v>
      </c>
      <c r="V17" s="11"/>
      <c r="W17" s="143"/>
      <c r="X17" s="143"/>
      <c r="Y17" s="9">
        <f t="shared" si="3"/>
        <v>0</v>
      </c>
      <c r="Z17" s="8" t="str">
        <f t="shared" si="4"/>
        <v>Belum Deteksi</v>
      </c>
      <c r="AA17" s="143"/>
      <c r="AB17" s="9">
        <f t="shared" si="14"/>
        <v>0</v>
      </c>
      <c r="AC17" s="11">
        <v>46247</v>
      </c>
      <c r="AD17" s="143">
        <v>98</v>
      </c>
      <c r="AE17" s="9">
        <f t="shared" si="15"/>
        <v>2.3255813953488373</v>
      </c>
      <c r="AF17" s="143">
        <v>4</v>
      </c>
      <c r="AG17" s="9">
        <f t="shared" si="5"/>
        <v>4.0816326530612246</v>
      </c>
      <c r="AH17" s="8" t="str">
        <f t="shared" si="16"/>
        <v>Tetap Deteksi</v>
      </c>
      <c r="AI17" s="143">
        <v>4</v>
      </c>
      <c r="AJ17" s="9">
        <f t="shared" si="17"/>
        <v>4.0816326530612246</v>
      </c>
      <c r="AK17" s="11"/>
      <c r="AL17" s="143"/>
      <c r="AM17" s="143"/>
      <c r="AN17" s="9">
        <f t="shared" si="6"/>
        <v>0</v>
      </c>
      <c r="AO17" s="8" t="str">
        <f t="shared" si="7"/>
        <v>Belum Deteksi</v>
      </c>
      <c r="AP17" s="143"/>
      <c r="AQ17" s="9">
        <f t="shared" si="18"/>
        <v>0</v>
      </c>
    </row>
    <row r="18" spans="1:43" outlineLevel="1" x14ac:dyDescent="0.15">
      <c r="A18" s="8" t="s">
        <v>1970</v>
      </c>
      <c r="B18" s="8"/>
      <c r="C18" s="8" t="s">
        <v>14</v>
      </c>
      <c r="D18" s="181" t="s">
        <v>1982</v>
      </c>
      <c r="E18" s="9">
        <v>28.880000000000003</v>
      </c>
      <c r="F18" s="8" t="s">
        <v>1740</v>
      </c>
      <c r="G18" s="10">
        <v>3548</v>
      </c>
      <c r="H18" s="204">
        <f t="array" ref="H18">IF(OR(N18&gt;0,AC18&gt;0),MAX(N18,AC18),MAX(AK18,V18))</f>
        <v>46247</v>
      </c>
      <c r="I18" s="205">
        <f t="array" ref="I18">IF(SUM(O18,AD18)&gt;0,SUM(O18,AD18),SUM(AL18,W18))</f>
        <v>457</v>
      </c>
      <c r="J18" s="206" t="str">
        <f t="shared" si="8"/>
        <v xml:space="preserve"> </v>
      </c>
      <c r="K18" s="205">
        <f t="shared" si="9"/>
        <v>19</v>
      </c>
      <c r="L18" s="206">
        <f t="shared" si="10"/>
        <v>4.1575492341356668</v>
      </c>
      <c r="M18" s="8" t="str">
        <f t="array" ref="M18">IF(L18&gt;5,"Perlu Sensus",IF(AND(L18&gt;=0,I18&gt;0),"Tetap Deteksi","Belum Deteksi"))</f>
        <v>Tetap Deteksi</v>
      </c>
      <c r="N18" s="11">
        <v>46241</v>
      </c>
      <c r="O18" s="143">
        <v>352</v>
      </c>
      <c r="P18" s="9">
        <f t="shared" ref="P18" si="29">IFERROR(O18/#REF!*100,0)</f>
        <v>0</v>
      </c>
      <c r="Q18" s="143">
        <v>14</v>
      </c>
      <c r="R18" s="9">
        <f t="shared" si="2"/>
        <v>3.9772727272727271</v>
      </c>
      <c r="S18" s="8" t="str">
        <f t="shared" si="12"/>
        <v>Tetap Deteksi</v>
      </c>
      <c r="T18" s="143">
        <v>4</v>
      </c>
      <c r="U18" s="9">
        <f t="shared" si="13"/>
        <v>1.1363636363636365</v>
      </c>
      <c r="V18" s="11"/>
      <c r="W18" s="143"/>
      <c r="X18" s="143"/>
      <c r="Y18" s="9">
        <f t="shared" si="3"/>
        <v>0</v>
      </c>
      <c r="Z18" s="8" t="str">
        <f t="shared" si="4"/>
        <v>Belum Deteksi</v>
      </c>
      <c r="AA18" s="143"/>
      <c r="AB18" s="9">
        <f t="shared" si="14"/>
        <v>0</v>
      </c>
      <c r="AC18" s="11">
        <v>46247</v>
      </c>
      <c r="AD18" s="143">
        <v>105</v>
      </c>
      <c r="AE18" s="9">
        <f t="shared" si="15"/>
        <v>2.9594137542277341</v>
      </c>
      <c r="AF18" s="143">
        <v>5</v>
      </c>
      <c r="AG18" s="9">
        <f t="shared" si="5"/>
        <v>4.7619047619047619</v>
      </c>
      <c r="AH18" s="8" t="str">
        <f t="shared" si="16"/>
        <v>Tetap Deteksi</v>
      </c>
      <c r="AI18" s="143">
        <v>4</v>
      </c>
      <c r="AJ18" s="9">
        <f t="shared" si="17"/>
        <v>3.8095238095238098</v>
      </c>
      <c r="AK18" s="11"/>
      <c r="AL18" s="143"/>
      <c r="AM18" s="143"/>
      <c r="AN18" s="9">
        <f t="shared" si="6"/>
        <v>0</v>
      </c>
      <c r="AO18" s="8" t="str">
        <f t="shared" si="7"/>
        <v>Belum Deteksi</v>
      </c>
      <c r="AP18" s="143"/>
      <c r="AQ18" s="9">
        <f t="shared" si="18"/>
        <v>0</v>
      </c>
    </row>
    <row r="19" spans="1:43" outlineLevel="1" x14ac:dyDescent="0.15">
      <c r="A19" s="8" t="s">
        <v>1970</v>
      </c>
      <c r="B19" s="8"/>
      <c r="C19" s="8" t="s">
        <v>14</v>
      </c>
      <c r="D19" s="8" t="s">
        <v>1983</v>
      </c>
      <c r="E19" s="9">
        <v>36.18</v>
      </c>
      <c r="F19" s="8" t="s">
        <v>1740</v>
      </c>
      <c r="G19" s="10">
        <v>4489</v>
      </c>
      <c r="H19" s="204">
        <f t="array" ref="H19">IF(OR(N19&gt;0,AC19&gt;0),MAX(N19,AC19),MAX(AK19,V19))</f>
        <v>46242</v>
      </c>
      <c r="I19" s="205">
        <f t="array" ref="I19">IF(SUM(O19,AD19)&gt;0,SUM(O19,AD19),SUM(AL19,W19))</f>
        <v>284</v>
      </c>
      <c r="J19" s="206" t="str">
        <f t="shared" si="8"/>
        <v xml:space="preserve"> </v>
      </c>
      <c r="K19" s="205">
        <f t="shared" si="9"/>
        <v>10</v>
      </c>
      <c r="L19" s="206">
        <f t="shared" si="10"/>
        <v>3.5211267605633805</v>
      </c>
      <c r="M19" s="8" t="str">
        <f t="array" ref="M19">IF(L19&gt;5,"Perlu Sensus",IF(AND(L19&gt;=0,I19&gt;0),"Tetap Deteksi","Belum Deteksi"))</f>
        <v>Tetap Deteksi</v>
      </c>
      <c r="N19" s="11">
        <v>46239</v>
      </c>
      <c r="O19" s="143">
        <v>132</v>
      </c>
      <c r="P19" s="9">
        <f t="shared" ref="P19" si="30">IFERROR(O19/#REF!*100,0)</f>
        <v>0</v>
      </c>
      <c r="Q19" s="143">
        <v>3</v>
      </c>
      <c r="R19" s="9">
        <f t="shared" si="2"/>
        <v>2.2727272727272729</v>
      </c>
      <c r="S19" s="8" t="str">
        <f t="shared" si="12"/>
        <v>Tetap Deteksi</v>
      </c>
      <c r="T19" s="143">
        <v>5</v>
      </c>
      <c r="U19" s="9">
        <f t="shared" si="13"/>
        <v>3.7878787878787881</v>
      </c>
      <c r="V19" s="11"/>
      <c r="W19" s="143"/>
      <c r="X19" s="143"/>
      <c r="Y19" s="9">
        <f t="shared" si="3"/>
        <v>0</v>
      </c>
      <c r="Z19" s="8" t="str">
        <f t="shared" si="4"/>
        <v>Belum Deteksi</v>
      </c>
      <c r="AA19" s="143"/>
      <c r="AB19" s="9">
        <f t="shared" si="14"/>
        <v>0</v>
      </c>
      <c r="AC19" s="11">
        <v>46242</v>
      </c>
      <c r="AD19" s="143">
        <v>152</v>
      </c>
      <c r="AE19" s="9">
        <f t="shared" si="15"/>
        <v>3.3860548006237465</v>
      </c>
      <c r="AF19" s="143">
        <v>7</v>
      </c>
      <c r="AG19" s="9">
        <f t="shared" si="5"/>
        <v>4.6052631578947363</v>
      </c>
      <c r="AH19" s="8" t="str">
        <f t="shared" si="16"/>
        <v>Tetap Deteksi</v>
      </c>
      <c r="AI19" s="143">
        <v>5</v>
      </c>
      <c r="AJ19" s="9">
        <f t="shared" si="17"/>
        <v>3.2894736842105261</v>
      </c>
      <c r="AK19" s="11"/>
      <c r="AL19" s="143"/>
      <c r="AM19" s="143"/>
      <c r="AN19" s="9">
        <f t="shared" si="6"/>
        <v>0</v>
      </c>
      <c r="AO19" s="8" t="str">
        <f t="shared" si="7"/>
        <v>Belum Deteksi</v>
      </c>
      <c r="AP19" s="143"/>
      <c r="AQ19" s="9">
        <f t="shared" si="18"/>
        <v>0</v>
      </c>
    </row>
    <row r="20" spans="1:43" outlineLevel="1" x14ac:dyDescent="0.15">
      <c r="A20" s="8" t="s">
        <v>1970</v>
      </c>
      <c r="B20" s="8"/>
      <c r="C20" s="8" t="s">
        <v>14</v>
      </c>
      <c r="D20" s="8" t="s">
        <v>1984</v>
      </c>
      <c r="E20" s="9">
        <v>43.65</v>
      </c>
      <c r="F20" s="8" t="s">
        <v>1740</v>
      </c>
      <c r="G20" s="10">
        <v>4868</v>
      </c>
      <c r="H20" s="204">
        <f t="array" ref="H20">IF(OR(N20&gt;0,AC20&gt;0),MAX(N20,AC20),MAX(AK20,V20))</f>
        <v>46242</v>
      </c>
      <c r="I20" s="205">
        <f t="array" ref="I20">IF(SUM(O20,AD20)&gt;0,SUM(O20,AD20),SUM(AL20,W20))</f>
        <v>277</v>
      </c>
      <c r="J20" s="206" t="str">
        <f t="shared" si="8"/>
        <v xml:space="preserve"> </v>
      </c>
      <c r="K20" s="205">
        <f t="shared" si="9"/>
        <v>5</v>
      </c>
      <c r="L20" s="206">
        <f t="shared" si="10"/>
        <v>1.8050541516245486</v>
      </c>
      <c r="M20" s="8" t="str">
        <f t="array" ref="M20">IF(L20&gt;5,"Perlu Sensus",IF(AND(L20&gt;=0,I20&gt;0),"Tetap Deteksi","Belum Deteksi"))</f>
        <v>Tetap Deteksi</v>
      </c>
      <c r="N20" s="11">
        <v>46238</v>
      </c>
      <c r="O20" s="143">
        <v>155</v>
      </c>
      <c r="P20" s="9">
        <f t="shared" ref="P20" si="31">IFERROR(O20/#REF!*100,0)</f>
        <v>0</v>
      </c>
      <c r="Q20" s="143">
        <v>2</v>
      </c>
      <c r="R20" s="9">
        <f t="shared" si="2"/>
        <v>1.2903225806451613</v>
      </c>
      <c r="S20" s="8" t="str">
        <f t="shared" si="12"/>
        <v>Tetap Deteksi</v>
      </c>
      <c r="T20" s="143">
        <v>18</v>
      </c>
      <c r="U20" s="9">
        <f t="shared" si="13"/>
        <v>11.612903225806452</v>
      </c>
      <c r="V20" s="11">
        <v>46239</v>
      </c>
      <c r="W20" s="143">
        <v>553</v>
      </c>
      <c r="X20" s="143">
        <v>18</v>
      </c>
      <c r="Y20" s="9">
        <f t="shared" si="3"/>
        <v>3.2549728752260401</v>
      </c>
      <c r="Z20" s="8" t="str">
        <f t="shared" si="4"/>
        <v>Tetap Deteksi</v>
      </c>
      <c r="AA20" s="143">
        <v>68</v>
      </c>
      <c r="AB20" s="9">
        <f t="shared" si="14"/>
        <v>12.296564195298371</v>
      </c>
      <c r="AC20" s="11">
        <v>46242</v>
      </c>
      <c r="AD20" s="143">
        <v>122</v>
      </c>
      <c r="AE20" s="9">
        <f t="shared" si="15"/>
        <v>2.5061626951520131</v>
      </c>
      <c r="AF20" s="143">
        <v>3</v>
      </c>
      <c r="AG20" s="9">
        <f t="shared" si="5"/>
        <v>2.459016393442623</v>
      </c>
      <c r="AH20" s="8" t="str">
        <f t="shared" si="16"/>
        <v>Tetap Deteksi</v>
      </c>
      <c r="AI20" s="143">
        <v>6</v>
      </c>
      <c r="AJ20" s="9">
        <f t="shared" si="17"/>
        <v>4.918032786885246</v>
      </c>
      <c r="AK20" s="11"/>
      <c r="AL20" s="143"/>
      <c r="AM20" s="143"/>
      <c r="AN20" s="9">
        <f t="shared" si="6"/>
        <v>0</v>
      </c>
      <c r="AO20" s="8" t="str">
        <f t="shared" si="7"/>
        <v>Belum Deteksi</v>
      </c>
      <c r="AP20" s="143"/>
      <c r="AQ20" s="9">
        <f t="shared" si="18"/>
        <v>0</v>
      </c>
    </row>
    <row r="21" spans="1:43" outlineLevel="1" x14ac:dyDescent="0.15">
      <c r="A21" s="8" t="s">
        <v>1970</v>
      </c>
      <c r="B21" s="8"/>
      <c r="C21" s="8" t="s">
        <v>14</v>
      </c>
      <c r="D21" s="181" t="s">
        <v>1985</v>
      </c>
      <c r="E21" s="9">
        <v>33.29</v>
      </c>
      <c r="F21" s="8" t="s">
        <v>1740</v>
      </c>
      <c r="G21" s="10">
        <v>4316</v>
      </c>
      <c r="H21" s="204">
        <f t="array" ref="H21">IF(OR(N21&gt;0,AC21&gt;0),MAX(N21,AC21),MAX(AK21,V21))</f>
        <v>46247</v>
      </c>
      <c r="I21" s="205">
        <f t="array" ref="I21">IF(SUM(O21,AD21)&gt;0,SUM(O21,AD21),SUM(AL21,W21))</f>
        <v>493</v>
      </c>
      <c r="J21" s="206" t="str">
        <f t="shared" si="8"/>
        <v xml:space="preserve"> </v>
      </c>
      <c r="K21" s="205">
        <f t="shared" si="9"/>
        <v>17</v>
      </c>
      <c r="L21" s="206">
        <f t="shared" si="10"/>
        <v>3.4482758620689653</v>
      </c>
      <c r="M21" s="8" t="str">
        <f t="array" ref="M21">IF(L21&gt;5,"Perlu Sensus",IF(AND(L21&gt;=0,I21&gt;0),"Tetap Deteksi","Belum Deteksi"))</f>
        <v>Tetap Deteksi</v>
      </c>
      <c r="N21" s="11">
        <v>46237</v>
      </c>
      <c r="O21" s="143">
        <v>385</v>
      </c>
      <c r="P21" s="9">
        <f t="shared" ref="P21" si="32">IFERROR(O21/#REF!*100,0)</f>
        <v>0</v>
      </c>
      <c r="Q21" s="143">
        <v>12</v>
      </c>
      <c r="R21" s="9">
        <f t="shared" si="2"/>
        <v>3.116883116883117</v>
      </c>
      <c r="S21" s="8" t="str">
        <f t="shared" si="12"/>
        <v>Tetap Deteksi</v>
      </c>
      <c r="T21" s="143">
        <v>29</v>
      </c>
      <c r="U21" s="9">
        <f t="shared" si="13"/>
        <v>7.5324675324675319</v>
      </c>
      <c r="V21" s="11"/>
      <c r="W21" s="143"/>
      <c r="X21" s="143"/>
      <c r="Y21" s="9">
        <f t="shared" si="3"/>
        <v>0</v>
      </c>
      <c r="Z21" s="8" t="str">
        <f t="shared" si="4"/>
        <v>Belum Deteksi</v>
      </c>
      <c r="AA21" s="143"/>
      <c r="AB21" s="9">
        <f t="shared" si="14"/>
        <v>0</v>
      </c>
      <c r="AC21" s="11">
        <v>46247</v>
      </c>
      <c r="AD21" s="143">
        <v>108</v>
      </c>
      <c r="AE21" s="9">
        <f t="shared" si="15"/>
        <v>2.5023169601482853</v>
      </c>
      <c r="AF21" s="143">
        <v>5</v>
      </c>
      <c r="AG21" s="9">
        <f t="shared" si="5"/>
        <v>4.6296296296296298</v>
      </c>
      <c r="AH21" s="8" t="str">
        <f t="shared" si="16"/>
        <v>Tetap Deteksi</v>
      </c>
      <c r="AI21" s="143">
        <v>3</v>
      </c>
      <c r="AJ21" s="9">
        <f t="shared" si="17"/>
        <v>2.7777777777777777</v>
      </c>
      <c r="AK21" s="11"/>
      <c r="AL21" s="143"/>
      <c r="AM21" s="143"/>
      <c r="AN21" s="9">
        <f t="shared" si="6"/>
        <v>0</v>
      </c>
      <c r="AO21" s="8" t="str">
        <f t="shared" si="7"/>
        <v>Belum Deteksi</v>
      </c>
      <c r="AP21" s="143"/>
      <c r="AQ21" s="9">
        <f t="shared" si="18"/>
        <v>0</v>
      </c>
    </row>
    <row r="22" spans="1:43" outlineLevel="1" x14ac:dyDescent="0.15">
      <c r="A22" s="8" t="s">
        <v>1970</v>
      </c>
      <c r="B22" s="8"/>
      <c r="C22" s="8" t="s">
        <v>14</v>
      </c>
      <c r="D22" s="8" t="s">
        <v>1986</v>
      </c>
      <c r="E22" s="9">
        <v>32.47</v>
      </c>
      <c r="F22" s="8" t="s">
        <v>1740</v>
      </c>
      <c r="G22" s="10">
        <v>3995</v>
      </c>
      <c r="H22" s="204">
        <f t="array" ref="H22">IF(OR(N22&gt;0,AC22&gt;0),MAX(N22,AC22),MAX(AK22,V22))</f>
        <v>46245</v>
      </c>
      <c r="I22" s="205">
        <f t="array" ref="I22">IF(SUM(O22,AD22)&gt;0,SUM(O22,AD22),SUM(AL22,W22))</f>
        <v>207</v>
      </c>
      <c r="J22" s="206" t="str">
        <f t="shared" si="8"/>
        <v xml:space="preserve"> </v>
      </c>
      <c r="K22" s="205">
        <f t="shared" si="9"/>
        <v>3</v>
      </c>
      <c r="L22" s="206">
        <f t="shared" si="10"/>
        <v>1.4492753623188406</v>
      </c>
      <c r="M22" s="8" t="str">
        <f t="array" ref="M22">IF(L22&gt;5,"Perlu Sensus",IF(AND(L22&gt;=0,I22&gt;0),"Tetap Deteksi","Belum Deteksi"))</f>
        <v>Tetap Deteksi</v>
      </c>
      <c r="N22" s="11">
        <v>46241</v>
      </c>
      <c r="O22" s="143">
        <v>86</v>
      </c>
      <c r="P22" s="9">
        <f t="shared" ref="P22" si="33">IFERROR(O22/#REF!*100,0)</f>
        <v>0</v>
      </c>
      <c r="Q22" s="143">
        <v>2</v>
      </c>
      <c r="R22" s="9">
        <f t="shared" si="2"/>
        <v>2.3255813953488373</v>
      </c>
      <c r="S22" s="8" t="str">
        <f t="shared" si="12"/>
        <v>Tetap Deteksi</v>
      </c>
      <c r="T22" s="143">
        <v>2</v>
      </c>
      <c r="U22" s="9">
        <f t="shared" si="13"/>
        <v>2.3255813953488373</v>
      </c>
      <c r="V22" s="11"/>
      <c r="W22" s="143"/>
      <c r="X22" s="143"/>
      <c r="Y22" s="9">
        <f t="shared" si="3"/>
        <v>0</v>
      </c>
      <c r="Z22" s="8" t="str">
        <f t="shared" si="4"/>
        <v>Belum Deteksi</v>
      </c>
      <c r="AA22" s="143"/>
      <c r="AB22" s="9">
        <f t="shared" si="14"/>
        <v>0</v>
      </c>
      <c r="AC22" s="11">
        <v>46245</v>
      </c>
      <c r="AD22" s="143">
        <v>121</v>
      </c>
      <c r="AE22" s="9">
        <f t="shared" si="15"/>
        <v>3.0287859824780976</v>
      </c>
      <c r="AF22" s="143">
        <v>1</v>
      </c>
      <c r="AG22" s="9">
        <f t="shared" si="5"/>
        <v>0.82644628099173556</v>
      </c>
      <c r="AH22" s="8" t="str">
        <f t="shared" si="16"/>
        <v>Tetap Deteksi</v>
      </c>
      <c r="AI22" s="143">
        <v>6</v>
      </c>
      <c r="AJ22" s="9">
        <f t="shared" si="17"/>
        <v>4.9586776859504136</v>
      </c>
      <c r="AK22" s="11"/>
      <c r="AL22" s="143"/>
      <c r="AM22" s="143"/>
      <c r="AN22" s="9">
        <f t="shared" si="6"/>
        <v>0</v>
      </c>
      <c r="AO22" s="8" t="str">
        <f t="shared" si="7"/>
        <v>Belum Deteksi</v>
      </c>
      <c r="AP22" s="143"/>
      <c r="AQ22" s="9">
        <f t="shared" si="18"/>
        <v>0</v>
      </c>
    </row>
    <row r="23" spans="1:43" outlineLevel="1" x14ac:dyDescent="0.15">
      <c r="A23" s="8" t="s">
        <v>1970</v>
      </c>
      <c r="B23" s="8"/>
      <c r="C23" s="8" t="s">
        <v>14</v>
      </c>
      <c r="D23" s="186" t="s">
        <v>1987</v>
      </c>
      <c r="E23" s="9">
        <v>37.26</v>
      </c>
      <c r="F23" s="8" t="s">
        <v>1740</v>
      </c>
      <c r="G23" s="10">
        <v>4416</v>
      </c>
      <c r="H23" s="204">
        <f t="array" ref="H23">IF(OR(N23&gt;0,AC23&gt;0),MAX(N23,AC23),MAX(AK23,V23))</f>
        <v>46244</v>
      </c>
      <c r="I23" s="205">
        <f t="array" ref="I23">IF(SUM(O23,AD23)&gt;0,SUM(O23,AD23),SUM(AL23,W23))</f>
        <v>206</v>
      </c>
      <c r="J23" s="206" t="str">
        <f t="shared" si="8"/>
        <v xml:space="preserve"> </v>
      </c>
      <c r="K23" s="205">
        <f t="shared" si="9"/>
        <v>3</v>
      </c>
      <c r="L23" s="206">
        <f t="shared" si="10"/>
        <v>1.4563106796116505</v>
      </c>
      <c r="M23" s="8" t="str">
        <f t="array" ref="M23">IF(L23&gt;5,"Perlu Sensus",IF(AND(L23&gt;=0,I23&gt;0),"Tetap Deteksi","Belum Deteksi"))</f>
        <v>Tetap Deteksi</v>
      </c>
      <c r="N23" s="11">
        <v>46241</v>
      </c>
      <c r="O23" s="143">
        <v>88</v>
      </c>
      <c r="P23" s="9">
        <f t="shared" ref="P23" si="34">IFERROR(O23/#REF!*100,0)</f>
        <v>0</v>
      </c>
      <c r="Q23" s="143">
        <v>1</v>
      </c>
      <c r="R23" s="9">
        <f t="shared" si="2"/>
        <v>1.1363636363636365</v>
      </c>
      <c r="S23" s="8" t="str">
        <f t="shared" si="12"/>
        <v>Tetap Deteksi</v>
      </c>
      <c r="T23" s="143">
        <v>1</v>
      </c>
      <c r="U23" s="9">
        <f t="shared" si="13"/>
        <v>1.1363636363636365</v>
      </c>
      <c r="V23" s="11"/>
      <c r="W23" s="143"/>
      <c r="X23" s="143"/>
      <c r="Y23" s="9">
        <f t="shared" si="3"/>
        <v>0</v>
      </c>
      <c r="Z23" s="8" t="str">
        <f t="shared" si="4"/>
        <v>Belum Deteksi</v>
      </c>
      <c r="AA23" s="143"/>
      <c r="AB23" s="9">
        <f t="shared" si="14"/>
        <v>0</v>
      </c>
      <c r="AC23" s="11">
        <v>46244</v>
      </c>
      <c r="AD23" s="143">
        <v>118</v>
      </c>
      <c r="AE23" s="9">
        <f t="shared" si="15"/>
        <v>2.6721014492753623</v>
      </c>
      <c r="AF23" s="143">
        <v>2</v>
      </c>
      <c r="AG23" s="9">
        <f t="shared" si="5"/>
        <v>1.6949152542372881</v>
      </c>
      <c r="AH23" s="8" t="str">
        <f t="shared" si="16"/>
        <v>Tetap Deteksi</v>
      </c>
      <c r="AI23" s="143">
        <v>4</v>
      </c>
      <c r="AJ23" s="9">
        <f t="shared" si="17"/>
        <v>3.3898305084745761</v>
      </c>
      <c r="AK23" s="11"/>
      <c r="AL23" s="143"/>
      <c r="AM23" s="143"/>
      <c r="AN23" s="9">
        <f t="shared" si="6"/>
        <v>0</v>
      </c>
      <c r="AO23" s="8" t="str">
        <f t="shared" si="7"/>
        <v>Belum Deteksi</v>
      </c>
      <c r="AP23" s="143"/>
      <c r="AQ23" s="9">
        <f t="shared" si="18"/>
        <v>0</v>
      </c>
    </row>
    <row r="24" spans="1:43" outlineLevel="1" x14ac:dyDescent="0.15">
      <c r="A24" s="8" t="s">
        <v>1970</v>
      </c>
      <c r="B24" s="8"/>
      <c r="C24" s="8" t="s">
        <v>14</v>
      </c>
      <c r="D24" s="8" t="s">
        <v>1988</v>
      </c>
      <c r="E24" s="9">
        <v>31.37</v>
      </c>
      <c r="F24" s="8" t="s">
        <v>1740</v>
      </c>
      <c r="G24" s="10">
        <v>3947</v>
      </c>
      <c r="H24" s="204">
        <f t="array" ref="H24">IF(OR(N24&gt;0,AC24&gt;0),MAX(N24,AC24),MAX(AK24,V24))</f>
        <v>46247</v>
      </c>
      <c r="I24" s="205">
        <f t="array" ref="I24">IF(SUM(O24,AD24)&gt;0,SUM(O24,AD24),SUM(AL24,W24))</f>
        <v>209</v>
      </c>
      <c r="J24" s="206" t="str">
        <f t="shared" si="8"/>
        <v xml:space="preserve"> </v>
      </c>
      <c r="K24" s="205">
        <f t="shared" si="9"/>
        <v>4</v>
      </c>
      <c r="L24" s="206">
        <f t="shared" si="10"/>
        <v>1.9138755980861244</v>
      </c>
      <c r="M24" s="8" t="str">
        <f t="array" ref="M24">IF(L24&gt;5,"Perlu Sensus",IF(AND(L24&gt;=0,I24&gt;0),"Tetap Deteksi","Belum Deteksi"))</f>
        <v>Tetap Deteksi</v>
      </c>
      <c r="N24" s="11">
        <v>46238</v>
      </c>
      <c r="O24" s="143">
        <v>91</v>
      </c>
      <c r="P24" s="9">
        <f t="shared" ref="P24" si="35">IFERROR(O24/#REF!*100,0)</f>
        <v>0</v>
      </c>
      <c r="Q24" s="143">
        <v>1</v>
      </c>
      <c r="R24" s="9">
        <f t="shared" si="2"/>
        <v>1.098901098901099</v>
      </c>
      <c r="S24" s="8" t="str">
        <f t="shared" si="12"/>
        <v>Tetap Deteksi</v>
      </c>
      <c r="T24" s="143">
        <v>3</v>
      </c>
      <c r="U24" s="9">
        <f t="shared" si="13"/>
        <v>3.296703296703297</v>
      </c>
      <c r="V24" s="11"/>
      <c r="W24" s="143"/>
      <c r="X24" s="143"/>
      <c r="Y24" s="9">
        <f t="shared" si="3"/>
        <v>0</v>
      </c>
      <c r="Z24" s="8" t="str">
        <f t="shared" si="4"/>
        <v>Belum Deteksi</v>
      </c>
      <c r="AA24" s="143"/>
      <c r="AB24" s="9">
        <f t="shared" si="14"/>
        <v>0</v>
      </c>
      <c r="AC24" s="11">
        <v>46247</v>
      </c>
      <c r="AD24" s="143">
        <v>118</v>
      </c>
      <c r="AE24" s="9">
        <f t="shared" si="15"/>
        <v>2.9896123638206231</v>
      </c>
      <c r="AF24" s="143">
        <v>3</v>
      </c>
      <c r="AG24" s="9">
        <f t="shared" si="5"/>
        <v>2.5423728813559325</v>
      </c>
      <c r="AH24" s="8" t="str">
        <f t="shared" si="16"/>
        <v>Tetap Deteksi</v>
      </c>
      <c r="AI24" s="143">
        <v>5</v>
      </c>
      <c r="AJ24" s="9">
        <f t="shared" si="17"/>
        <v>4.2372881355932197</v>
      </c>
      <c r="AK24" s="11"/>
      <c r="AL24" s="143"/>
      <c r="AM24" s="143"/>
      <c r="AN24" s="9">
        <f t="shared" si="6"/>
        <v>0</v>
      </c>
      <c r="AO24" s="8" t="str">
        <f t="shared" si="7"/>
        <v>Belum Deteksi</v>
      </c>
      <c r="AP24" s="143"/>
      <c r="AQ24" s="9">
        <f t="shared" si="18"/>
        <v>0</v>
      </c>
    </row>
    <row r="25" spans="1:43" outlineLevel="1" x14ac:dyDescent="0.15">
      <c r="A25" s="8" t="s">
        <v>1970</v>
      </c>
      <c r="B25" s="8"/>
      <c r="C25" s="8" t="s">
        <v>14</v>
      </c>
      <c r="D25" s="8" t="s">
        <v>1989</v>
      </c>
      <c r="E25" s="9">
        <v>34.569999999999993</v>
      </c>
      <c r="F25" s="8" t="s">
        <v>1740</v>
      </c>
      <c r="G25" s="10">
        <v>4070</v>
      </c>
      <c r="H25" s="204">
        <f t="array" ref="H25">IF(OR(N25&gt;0,AC25&gt;0),MAX(N25,AC25),MAX(AK25,V25))</f>
        <v>46247</v>
      </c>
      <c r="I25" s="205">
        <f t="array" ref="I25">IF(SUM(O25,AD25)&gt;0,SUM(O25,AD25),SUM(AL25,W25))</f>
        <v>189</v>
      </c>
      <c r="J25" s="206" t="str">
        <f t="shared" si="8"/>
        <v xml:space="preserve"> </v>
      </c>
      <c r="K25" s="205">
        <f t="shared" si="9"/>
        <v>8</v>
      </c>
      <c r="L25" s="206">
        <f t="shared" si="10"/>
        <v>4.2328042328042326</v>
      </c>
      <c r="M25" s="8" t="str">
        <f t="array" ref="M25">IF(L25&gt;5,"Perlu Sensus",IF(AND(L25&gt;=0,I25&gt;0),"Tetap Deteksi","Belum Deteksi"))</f>
        <v>Tetap Deteksi</v>
      </c>
      <c r="N25" s="11">
        <v>46241</v>
      </c>
      <c r="O25" s="143">
        <v>94</v>
      </c>
      <c r="P25" s="9">
        <f t="shared" ref="P25" si="36">IFERROR(O25/#REF!*100,0)</f>
        <v>0</v>
      </c>
      <c r="Q25" s="143">
        <v>4</v>
      </c>
      <c r="R25" s="9">
        <f t="shared" si="2"/>
        <v>4.2553191489361701</v>
      </c>
      <c r="S25" s="8" t="str">
        <f t="shared" si="12"/>
        <v>Tetap Deteksi</v>
      </c>
      <c r="T25" s="143">
        <v>4</v>
      </c>
      <c r="U25" s="9">
        <f t="shared" si="13"/>
        <v>4.2553191489361701</v>
      </c>
      <c r="V25" s="11"/>
      <c r="W25" s="143"/>
      <c r="X25" s="143"/>
      <c r="Y25" s="9">
        <f t="shared" si="3"/>
        <v>0</v>
      </c>
      <c r="Z25" s="8" t="str">
        <f t="shared" si="4"/>
        <v>Belum Deteksi</v>
      </c>
      <c r="AA25" s="143"/>
      <c r="AB25" s="9">
        <f t="shared" si="14"/>
        <v>0</v>
      </c>
      <c r="AC25" s="11">
        <v>46247</v>
      </c>
      <c r="AD25" s="143">
        <v>95</v>
      </c>
      <c r="AE25" s="9">
        <f t="shared" si="15"/>
        <v>2.3341523341523338</v>
      </c>
      <c r="AF25" s="143">
        <v>4</v>
      </c>
      <c r="AG25" s="9">
        <f t="shared" si="5"/>
        <v>4.2105263157894735</v>
      </c>
      <c r="AH25" s="8" t="str">
        <f t="shared" si="16"/>
        <v>Tetap Deteksi</v>
      </c>
      <c r="AI25" s="143">
        <v>3</v>
      </c>
      <c r="AJ25" s="9">
        <f t="shared" si="17"/>
        <v>3.1578947368421053</v>
      </c>
      <c r="AK25" s="11"/>
      <c r="AL25" s="143"/>
      <c r="AM25" s="143"/>
      <c r="AN25" s="9">
        <f t="shared" si="6"/>
        <v>0</v>
      </c>
      <c r="AO25" s="8" t="str">
        <f t="shared" si="7"/>
        <v>Belum Deteksi</v>
      </c>
      <c r="AP25" s="143"/>
      <c r="AQ25" s="9">
        <f t="shared" si="18"/>
        <v>0</v>
      </c>
    </row>
    <row r="26" spans="1:43" outlineLevel="1" x14ac:dyDescent="0.15">
      <c r="A26" s="8" t="s">
        <v>1970</v>
      </c>
      <c r="B26" s="8"/>
      <c r="C26" s="8" t="s">
        <v>14</v>
      </c>
      <c r="D26" s="8" t="s">
        <v>1990</v>
      </c>
      <c r="E26" s="9">
        <v>41.559999999999995</v>
      </c>
      <c r="F26" s="8" t="s">
        <v>1740</v>
      </c>
      <c r="G26" s="10">
        <v>4804</v>
      </c>
      <c r="H26" s="204">
        <f t="array" ref="H26">IF(OR(N26&gt;0,AC26&gt;0),MAX(N26,AC26),MAX(AK26,V26))</f>
        <v>46247</v>
      </c>
      <c r="I26" s="205">
        <f t="array" ref="I26">IF(SUM(O26,AD26)&gt;0,SUM(O26,AD26),SUM(AL26,W26))</f>
        <v>189</v>
      </c>
      <c r="J26" s="206" t="str">
        <f t="shared" si="8"/>
        <v xml:space="preserve"> </v>
      </c>
      <c r="K26" s="205">
        <f t="shared" si="9"/>
        <v>7</v>
      </c>
      <c r="L26" s="206">
        <f t="shared" si="10"/>
        <v>3.7037037037037033</v>
      </c>
      <c r="M26" s="8" t="str">
        <f t="array" ref="M26">IF(L26&gt;5,"Perlu Sensus",IF(AND(L26&gt;=0,I26&gt;0),"Tetap Deteksi","Belum Deteksi"))</f>
        <v>Tetap Deteksi</v>
      </c>
      <c r="N26" s="11">
        <v>46240</v>
      </c>
      <c r="O26" s="143">
        <v>92</v>
      </c>
      <c r="P26" s="9">
        <f t="shared" ref="P26" si="37">IFERROR(O26/#REF!*100,0)</f>
        <v>0</v>
      </c>
      <c r="Q26" s="143">
        <v>3</v>
      </c>
      <c r="R26" s="9">
        <f t="shared" si="2"/>
        <v>3.2608695652173911</v>
      </c>
      <c r="S26" s="8" t="str">
        <f t="shared" si="12"/>
        <v>Tetap Deteksi</v>
      </c>
      <c r="T26" s="143">
        <v>2</v>
      </c>
      <c r="U26" s="9">
        <f t="shared" si="13"/>
        <v>2.1739130434782608</v>
      </c>
      <c r="V26" s="11"/>
      <c r="W26" s="143"/>
      <c r="X26" s="143"/>
      <c r="Y26" s="9">
        <f t="shared" si="3"/>
        <v>0</v>
      </c>
      <c r="Z26" s="8" t="str">
        <f t="shared" si="4"/>
        <v>Belum Deteksi</v>
      </c>
      <c r="AA26" s="143"/>
      <c r="AB26" s="9">
        <f t="shared" si="14"/>
        <v>0</v>
      </c>
      <c r="AC26" s="11">
        <v>46247</v>
      </c>
      <c r="AD26" s="143">
        <v>97</v>
      </c>
      <c r="AE26" s="9">
        <f t="shared" si="15"/>
        <v>2.0191507077435471</v>
      </c>
      <c r="AF26" s="143">
        <v>4</v>
      </c>
      <c r="AG26" s="9">
        <f t="shared" si="5"/>
        <v>4.1237113402061851</v>
      </c>
      <c r="AH26" s="8" t="str">
        <f t="shared" si="16"/>
        <v>Tetap Deteksi</v>
      </c>
      <c r="AI26" s="143">
        <v>2</v>
      </c>
      <c r="AJ26" s="9">
        <f t="shared" si="17"/>
        <v>2.0618556701030926</v>
      </c>
      <c r="AK26" s="11"/>
      <c r="AL26" s="143"/>
      <c r="AM26" s="143"/>
      <c r="AN26" s="9">
        <f t="shared" si="6"/>
        <v>0</v>
      </c>
      <c r="AO26" s="8" t="str">
        <f t="shared" si="7"/>
        <v>Belum Deteksi</v>
      </c>
      <c r="AP26" s="143"/>
      <c r="AQ26" s="9">
        <f t="shared" si="18"/>
        <v>0</v>
      </c>
    </row>
    <row r="27" spans="1:43" outlineLevel="1" x14ac:dyDescent="0.15">
      <c r="A27" s="8" t="s">
        <v>1970</v>
      </c>
      <c r="B27" s="8"/>
      <c r="C27" s="8" t="s">
        <v>14</v>
      </c>
      <c r="D27" s="8" t="s">
        <v>1991</v>
      </c>
      <c r="E27" s="9">
        <v>28.91</v>
      </c>
      <c r="F27" s="8" t="s">
        <v>1740</v>
      </c>
      <c r="G27" s="10">
        <v>3377</v>
      </c>
      <c r="H27" s="204">
        <f t="array" ref="H27">IF(OR(N27&gt;0,AC27&gt;0),MAX(N27,AC27),MAX(AK27,V27))</f>
        <v>46246</v>
      </c>
      <c r="I27" s="205">
        <f t="array" ref="I27">IF(SUM(O27,AD27)&gt;0,SUM(O27,AD27),SUM(AL27,W27))</f>
        <v>228</v>
      </c>
      <c r="J27" s="206" t="str">
        <f t="shared" si="8"/>
        <v xml:space="preserve"> </v>
      </c>
      <c r="K27" s="205">
        <f t="shared" si="9"/>
        <v>5</v>
      </c>
      <c r="L27" s="206">
        <f t="shared" si="10"/>
        <v>2.1929824561403506</v>
      </c>
      <c r="M27" s="8" t="str">
        <f t="array" ref="M27">IF(L27&gt;5,"Perlu Sensus",IF(AND(L27&gt;=0,I27&gt;0),"Tetap Deteksi","Belum Deteksi"))</f>
        <v>Tetap Deteksi</v>
      </c>
      <c r="N27" s="11">
        <v>46238</v>
      </c>
      <c r="O27" s="143">
        <v>132</v>
      </c>
      <c r="P27" s="9">
        <f t="shared" ref="P27" si="38">IFERROR(O27/#REF!*100,0)</f>
        <v>0</v>
      </c>
      <c r="Q27" s="143">
        <v>2</v>
      </c>
      <c r="R27" s="9">
        <f t="shared" si="2"/>
        <v>1.5151515151515151</v>
      </c>
      <c r="S27" s="8" t="str">
        <f t="shared" si="12"/>
        <v>Tetap Deteksi</v>
      </c>
      <c r="T27" s="143">
        <v>17</v>
      </c>
      <c r="U27" s="9">
        <f t="shared" si="13"/>
        <v>12.878787878787879</v>
      </c>
      <c r="V27" s="11">
        <v>46240</v>
      </c>
      <c r="W27" s="143">
        <v>994</v>
      </c>
      <c r="X27" s="143">
        <v>53</v>
      </c>
      <c r="Y27" s="9">
        <f t="shared" si="3"/>
        <v>5.3319919517102621</v>
      </c>
      <c r="Z27" s="8" t="str">
        <f t="shared" si="4"/>
        <v>Perlu Sensus</v>
      </c>
      <c r="AA27" s="143">
        <v>113</v>
      </c>
      <c r="AB27" s="9">
        <f t="shared" si="14"/>
        <v>11.368209255533198</v>
      </c>
      <c r="AC27" s="11">
        <v>46246</v>
      </c>
      <c r="AD27" s="143">
        <v>96</v>
      </c>
      <c r="AE27" s="9">
        <f t="shared" si="15"/>
        <v>2.842759846017175</v>
      </c>
      <c r="AF27" s="143">
        <v>3</v>
      </c>
      <c r="AG27" s="9">
        <f t="shared" si="5"/>
        <v>3.125</v>
      </c>
      <c r="AH27" s="8" t="str">
        <f t="shared" si="16"/>
        <v>Tetap Deteksi</v>
      </c>
      <c r="AI27" s="143">
        <v>1</v>
      </c>
      <c r="AJ27" s="9">
        <f t="shared" si="17"/>
        <v>1.0416666666666665</v>
      </c>
      <c r="AK27" s="11"/>
      <c r="AL27" s="143"/>
      <c r="AM27" s="143"/>
      <c r="AN27" s="9">
        <f t="shared" si="6"/>
        <v>0</v>
      </c>
      <c r="AO27" s="8" t="str">
        <f t="shared" si="7"/>
        <v>Belum Deteksi</v>
      </c>
      <c r="AP27" s="143"/>
      <c r="AQ27" s="9">
        <f t="shared" si="18"/>
        <v>0</v>
      </c>
    </row>
    <row r="28" spans="1:43" outlineLevel="1" x14ac:dyDescent="0.15">
      <c r="A28" s="8" t="s">
        <v>1970</v>
      </c>
      <c r="B28" s="8"/>
      <c r="C28" s="8" t="s">
        <v>14</v>
      </c>
      <c r="D28" s="186" t="s">
        <v>1992</v>
      </c>
      <c r="E28" s="9">
        <v>26.499999999999996</v>
      </c>
      <c r="F28" s="8" t="s">
        <v>1740</v>
      </c>
      <c r="G28" s="10">
        <v>3395</v>
      </c>
      <c r="H28" s="204">
        <f t="array" ref="H28">IF(OR(N28&gt;0,AC28&gt;0),MAX(N28,AC28),MAX(AK28,V28))</f>
        <v>46246</v>
      </c>
      <c r="I28" s="205">
        <f t="array" ref="I28">IF(SUM(O28,AD28)&gt;0,SUM(O28,AD28),SUM(AL28,W28))</f>
        <v>353</v>
      </c>
      <c r="J28" s="206" t="str">
        <f t="shared" si="8"/>
        <v xml:space="preserve"> </v>
      </c>
      <c r="K28" s="205">
        <f t="shared" si="9"/>
        <v>11</v>
      </c>
      <c r="L28" s="206">
        <f t="shared" si="10"/>
        <v>3.1161473087818696</v>
      </c>
      <c r="M28" s="8" t="str">
        <f t="array" ref="M28">IF(L28&gt;5,"Perlu Sensus",IF(AND(L28&gt;=0,I28&gt;0),"Tetap Deteksi","Belum Deteksi"))</f>
        <v>Tetap Deteksi</v>
      </c>
      <c r="N28" s="11">
        <v>46240</v>
      </c>
      <c r="O28" s="143">
        <v>254</v>
      </c>
      <c r="P28" s="9">
        <f t="shared" ref="P28" si="39">IFERROR(O28/#REF!*100,0)</f>
        <v>0</v>
      </c>
      <c r="Q28" s="143">
        <v>7</v>
      </c>
      <c r="R28" s="9">
        <f t="shared" si="2"/>
        <v>2.7559055118110236</v>
      </c>
      <c r="S28" s="8" t="str">
        <f t="shared" si="12"/>
        <v>Tetap Deteksi</v>
      </c>
      <c r="T28" s="143">
        <v>13</v>
      </c>
      <c r="U28" s="9">
        <f t="shared" si="13"/>
        <v>5.1181102362204722</v>
      </c>
      <c r="V28" s="11">
        <v>46241</v>
      </c>
      <c r="W28" s="143">
        <v>484</v>
      </c>
      <c r="X28" s="143">
        <v>21</v>
      </c>
      <c r="Y28" s="9">
        <f t="shared" si="3"/>
        <v>4.338842975206612</v>
      </c>
      <c r="Z28" s="8" t="str">
        <f t="shared" si="4"/>
        <v>Tetap Deteksi</v>
      </c>
      <c r="AA28" s="143">
        <v>37</v>
      </c>
      <c r="AB28" s="9">
        <f t="shared" si="14"/>
        <v>7.6446280991735529</v>
      </c>
      <c r="AC28" s="11">
        <v>46246</v>
      </c>
      <c r="AD28" s="143">
        <v>99</v>
      </c>
      <c r="AE28" s="9">
        <f t="shared" si="15"/>
        <v>2.9160530191458025</v>
      </c>
      <c r="AF28" s="143">
        <v>4</v>
      </c>
      <c r="AG28" s="9">
        <f t="shared" si="5"/>
        <v>4.0404040404040407</v>
      </c>
      <c r="AH28" s="8" t="str">
        <f t="shared" si="16"/>
        <v>Tetap Deteksi</v>
      </c>
      <c r="AI28" s="143">
        <v>3</v>
      </c>
      <c r="AJ28" s="9">
        <f t="shared" si="17"/>
        <v>3.0303030303030303</v>
      </c>
      <c r="AK28" s="11"/>
      <c r="AL28" s="143"/>
      <c r="AM28" s="143"/>
      <c r="AN28" s="9">
        <f t="shared" si="6"/>
        <v>0</v>
      </c>
      <c r="AO28" s="8" t="str">
        <f t="shared" si="7"/>
        <v>Belum Deteksi</v>
      </c>
      <c r="AP28" s="143"/>
      <c r="AQ28" s="9">
        <f t="shared" si="18"/>
        <v>0</v>
      </c>
    </row>
    <row r="29" spans="1:43" outlineLevel="1" x14ac:dyDescent="0.15">
      <c r="A29" s="8" t="s">
        <v>1970</v>
      </c>
      <c r="B29" s="8"/>
      <c r="C29" s="8" t="s">
        <v>14</v>
      </c>
      <c r="D29" s="8" t="s">
        <v>1993</v>
      </c>
      <c r="E29" s="9">
        <v>24.250000000000004</v>
      </c>
      <c r="F29" s="8" t="s">
        <v>1740</v>
      </c>
      <c r="G29" s="10">
        <v>2634</v>
      </c>
      <c r="H29" s="204">
        <f t="array" ref="H29">IF(OR(N29&gt;0,AC29&gt;0),MAX(N29,AC29),MAX(AK29,V29))</f>
        <v>46246</v>
      </c>
      <c r="I29" s="205">
        <f t="array" ref="I29">IF(SUM(O29,AD29)&gt;0,SUM(O29,AD29),SUM(AL29,W29))</f>
        <v>224</v>
      </c>
      <c r="J29" s="206" t="str">
        <f t="shared" si="8"/>
        <v xml:space="preserve"> </v>
      </c>
      <c r="K29" s="205">
        <f t="shared" si="9"/>
        <v>7</v>
      </c>
      <c r="L29" s="206">
        <f t="shared" si="10"/>
        <v>3.125</v>
      </c>
      <c r="M29" s="8" t="str">
        <f t="array" ref="M29">IF(L29&gt;5,"Perlu Sensus",IF(AND(L29&gt;=0,I29&gt;0),"Tetap Deteksi","Belum Deteksi"))</f>
        <v>Tetap Deteksi</v>
      </c>
      <c r="N29" s="11">
        <v>46239</v>
      </c>
      <c r="O29" s="143">
        <v>116</v>
      </c>
      <c r="P29" s="9">
        <f t="shared" ref="P29" si="40">IFERROR(O29/#REF!*100,0)</f>
        <v>0</v>
      </c>
      <c r="Q29" s="143">
        <v>2</v>
      </c>
      <c r="R29" s="9">
        <f t="shared" si="2"/>
        <v>1.7241379310344827</v>
      </c>
      <c r="S29" s="8" t="str">
        <f t="shared" si="12"/>
        <v>Tetap Deteksi</v>
      </c>
      <c r="T29" s="143">
        <v>3</v>
      </c>
      <c r="U29" s="9">
        <f t="shared" si="13"/>
        <v>2.5862068965517242</v>
      </c>
      <c r="V29" s="11">
        <v>46240</v>
      </c>
      <c r="W29" s="143">
        <v>543</v>
      </c>
      <c r="X29" s="143">
        <v>17</v>
      </c>
      <c r="Y29" s="9">
        <f t="shared" si="3"/>
        <v>3.1307550644567224</v>
      </c>
      <c r="Z29" s="8" t="str">
        <f t="shared" si="4"/>
        <v>Tetap Deteksi</v>
      </c>
      <c r="AA29" s="143">
        <v>27</v>
      </c>
      <c r="AB29" s="9">
        <f t="shared" si="14"/>
        <v>4.972375690607735</v>
      </c>
      <c r="AC29" s="11">
        <v>46246</v>
      </c>
      <c r="AD29" s="143">
        <v>108</v>
      </c>
      <c r="AE29" s="9">
        <f t="shared" si="15"/>
        <v>4.1002277904328022</v>
      </c>
      <c r="AF29" s="143">
        <v>5</v>
      </c>
      <c r="AG29" s="9">
        <f t="shared" si="5"/>
        <v>4.6296296296296298</v>
      </c>
      <c r="AH29" s="8" t="str">
        <f t="shared" si="16"/>
        <v>Tetap Deteksi</v>
      </c>
      <c r="AI29" s="143">
        <v>4</v>
      </c>
      <c r="AJ29" s="9">
        <f t="shared" si="17"/>
        <v>3.7037037037037033</v>
      </c>
      <c r="AK29" s="11"/>
      <c r="AL29" s="143"/>
      <c r="AM29" s="143"/>
      <c r="AN29" s="9">
        <f t="shared" si="6"/>
        <v>0</v>
      </c>
      <c r="AO29" s="8" t="str">
        <f t="shared" si="7"/>
        <v>Belum Deteksi</v>
      </c>
      <c r="AP29" s="143"/>
      <c r="AQ29" s="9">
        <f t="shared" si="18"/>
        <v>0</v>
      </c>
    </row>
    <row r="30" spans="1:43" outlineLevel="1" x14ac:dyDescent="0.15">
      <c r="A30" s="8" t="s">
        <v>1970</v>
      </c>
      <c r="B30" s="8"/>
      <c r="C30" s="8" t="s">
        <v>14</v>
      </c>
      <c r="D30" s="186" t="s">
        <v>1994</v>
      </c>
      <c r="E30" s="9">
        <v>28.029999999999998</v>
      </c>
      <c r="F30" s="8" t="s">
        <v>1740</v>
      </c>
      <c r="G30" s="10">
        <v>3526</v>
      </c>
      <c r="H30" s="204">
        <f t="array" ref="H30">IF(OR(N30&gt;0,AC30&gt;0),MAX(N30,AC30),MAX(AK30,V30))</f>
        <v>46246</v>
      </c>
      <c r="I30" s="205">
        <f t="array" ref="I30">IF(SUM(O30,AD30)&gt;0,SUM(O30,AD30),SUM(AL30,W30))</f>
        <v>275</v>
      </c>
      <c r="J30" s="206" t="str">
        <f t="shared" si="8"/>
        <v xml:space="preserve"> </v>
      </c>
      <c r="K30" s="205">
        <f t="shared" si="9"/>
        <v>12</v>
      </c>
      <c r="L30" s="206">
        <f t="shared" si="10"/>
        <v>4.3636363636363642</v>
      </c>
      <c r="M30" s="8" t="str">
        <f t="array" ref="M30">IF(L30&gt;5,"Perlu Sensus",IF(AND(L30&gt;=0,I30&gt;0),"Tetap Deteksi","Belum Deteksi"))</f>
        <v>Tetap Deteksi</v>
      </c>
      <c r="N30" s="11">
        <v>46237</v>
      </c>
      <c r="O30" s="143">
        <v>172</v>
      </c>
      <c r="P30" s="9">
        <f t="shared" ref="P30" si="41">IFERROR(O30/#REF!*100,0)</f>
        <v>0</v>
      </c>
      <c r="Q30" s="143">
        <v>7</v>
      </c>
      <c r="R30" s="9">
        <f t="shared" si="2"/>
        <v>4.0697674418604652</v>
      </c>
      <c r="S30" s="8" t="str">
        <f t="shared" si="12"/>
        <v>Tetap Deteksi</v>
      </c>
      <c r="T30" s="143">
        <v>14</v>
      </c>
      <c r="U30" s="9">
        <f t="shared" si="13"/>
        <v>8.1395348837209305</v>
      </c>
      <c r="V30" s="11">
        <v>46238</v>
      </c>
      <c r="W30" s="143">
        <v>1034</v>
      </c>
      <c r="X30" s="143">
        <v>87</v>
      </c>
      <c r="Y30" s="9">
        <f t="shared" si="3"/>
        <v>8.4139264990328826</v>
      </c>
      <c r="Z30" s="8" t="str">
        <f t="shared" si="4"/>
        <v>Perlu Sensus</v>
      </c>
      <c r="AA30" s="143">
        <v>134</v>
      </c>
      <c r="AB30" s="9">
        <f t="shared" si="14"/>
        <v>12.959381044487428</v>
      </c>
      <c r="AC30" s="11">
        <v>46246</v>
      </c>
      <c r="AD30" s="143">
        <v>103</v>
      </c>
      <c r="AE30" s="9">
        <f t="shared" si="15"/>
        <v>2.9211571185479297</v>
      </c>
      <c r="AF30" s="143">
        <v>5</v>
      </c>
      <c r="AG30" s="9">
        <f t="shared" si="5"/>
        <v>4.8543689320388346</v>
      </c>
      <c r="AH30" s="8" t="str">
        <f t="shared" si="16"/>
        <v>Tetap Deteksi</v>
      </c>
      <c r="AI30" s="143">
        <v>3</v>
      </c>
      <c r="AJ30" s="9">
        <f t="shared" si="17"/>
        <v>2.912621359223301</v>
      </c>
      <c r="AK30" s="11"/>
      <c r="AL30" s="143"/>
      <c r="AM30" s="143"/>
      <c r="AN30" s="9">
        <f t="shared" si="6"/>
        <v>0</v>
      </c>
      <c r="AO30" s="8" t="str">
        <f t="shared" si="7"/>
        <v>Belum Deteksi</v>
      </c>
      <c r="AP30" s="143"/>
      <c r="AQ30" s="9">
        <f t="shared" si="18"/>
        <v>0</v>
      </c>
    </row>
    <row r="31" spans="1:43" outlineLevel="1" x14ac:dyDescent="0.15">
      <c r="A31" s="8" t="s">
        <v>1970</v>
      </c>
      <c r="B31" s="8"/>
      <c r="C31" s="8" t="s">
        <v>47</v>
      </c>
      <c r="D31" s="186" t="s">
        <v>1109</v>
      </c>
      <c r="E31" s="9">
        <v>30.350000000000005</v>
      </c>
      <c r="F31" s="8" t="s">
        <v>1740</v>
      </c>
      <c r="G31" s="10">
        <v>3346</v>
      </c>
      <c r="H31" s="204">
        <f t="array" ref="H31">IF(OR(N31&gt;0,AC31&gt;0),MAX(N31,AC31),MAX(AK31,V31))</f>
        <v>46244</v>
      </c>
      <c r="I31" s="205">
        <f t="array" ref="I31">IF(SUM(O31,AD31)&gt;0,SUM(O31,AD31),SUM(AL31,W31))</f>
        <v>161</v>
      </c>
      <c r="J31" s="206" t="str">
        <f t="shared" si="8"/>
        <v xml:space="preserve"> </v>
      </c>
      <c r="K31" s="205">
        <f t="shared" si="9"/>
        <v>5</v>
      </c>
      <c r="L31" s="206">
        <f t="shared" si="10"/>
        <v>3.1055900621118013</v>
      </c>
      <c r="M31" s="8" t="str">
        <f t="array" ref="M31">IF(L31&gt;5,"Perlu Sensus",IF(AND(L31&gt;=0,I31&gt;0),"Tetap Deteksi","Belum Deteksi"))</f>
        <v>Tetap Deteksi</v>
      </c>
      <c r="N31" s="11">
        <v>46241</v>
      </c>
      <c r="O31" s="143">
        <v>85</v>
      </c>
      <c r="P31" s="9">
        <f t="shared" ref="P31" si="42">IFERROR(O31/#REF!*100,0)</f>
        <v>0</v>
      </c>
      <c r="Q31" s="143">
        <v>3</v>
      </c>
      <c r="R31" s="9">
        <f t="shared" si="2"/>
        <v>3.5294117647058822</v>
      </c>
      <c r="S31" s="8" t="str">
        <f t="shared" si="12"/>
        <v>Tetap Deteksi</v>
      </c>
      <c r="T31" s="143">
        <v>2</v>
      </c>
      <c r="U31" s="9">
        <f t="shared" si="13"/>
        <v>2.3529411764705883</v>
      </c>
      <c r="V31" s="11"/>
      <c r="W31" s="143"/>
      <c r="X31" s="143"/>
      <c r="Y31" s="9">
        <f t="shared" si="3"/>
        <v>0</v>
      </c>
      <c r="Z31" s="8" t="str">
        <f t="shared" si="4"/>
        <v>Belum Deteksi</v>
      </c>
      <c r="AA31" s="143"/>
      <c r="AB31" s="9">
        <f t="shared" si="14"/>
        <v>0</v>
      </c>
      <c r="AC31" s="11">
        <v>46244</v>
      </c>
      <c r="AD31" s="143">
        <v>76</v>
      </c>
      <c r="AE31" s="9">
        <f t="shared" si="15"/>
        <v>2.2713687985654514</v>
      </c>
      <c r="AF31" s="143">
        <v>2</v>
      </c>
      <c r="AG31" s="9">
        <f t="shared" si="5"/>
        <v>2.6315789473684208</v>
      </c>
      <c r="AH31" s="8" t="str">
        <f t="shared" si="16"/>
        <v>Tetap Deteksi</v>
      </c>
      <c r="AI31" s="143">
        <v>3</v>
      </c>
      <c r="AJ31" s="9">
        <f t="shared" si="17"/>
        <v>3.9473684210526314</v>
      </c>
      <c r="AK31" s="11"/>
      <c r="AL31" s="143"/>
      <c r="AM31" s="143"/>
      <c r="AN31" s="9">
        <f t="shared" si="6"/>
        <v>0</v>
      </c>
      <c r="AO31" s="8" t="str">
        <f t="shared" si="7"/>
        <v>Belum Deteksi</v>
      </c>
      <c r="AP31" s="143"/>
      <c r="AQ31" s="9">
        <f t="shared" si="18"/>
        <v>0</v>
      </c>
    </row>
    <row r="32" spans="1:43" outlineLevel="1" x14ac:dyDescent="0.15">
      <c r="A32" s="8" t="s">
        <v>1970</v>
      </c>
      <c r="B32" s="8"/>
      <c r="C32" s="8" t="s">
        <v>47</v>
      </c>
      <c r="D32" s="186" t="s">
        <v>1110</v>
      </c>
      <c r="E32" s="9">
        <v>24.740000000000002</v>
      </c>
      <c r="F32" s="8" t="s">
        <v>1740</v>
      </c>
      <c r="G32" s="10">
        <v>2955</v>
      </c>
      <c r="H32" s="204">
        <f t="array" ref="H32">IF(OR(N32&gt;0,AC32&gt;0),MAX(N32,AC32),MAX(AK32,V32))</f>
        <v>46247</v>
      </c>
      <c r="I32" s="205">
        <f t="array" ref="I32">IF(SUM(O32,AD32)&gt;0,SUM(O32,AD32),SUM(AL32,W32))</f>
        <v>170</v>
      </c>
      <c r="J32" s="206" t="str">
        <f t="shared" si="8"/>
        <v xml:space="preserve"> </v>
      </c>
      <c r="K32" s="205">
        <f t="shared" si="9"/>
        <v>7</v>
      </c>
      <c r="L32" s="206">
        <f t="shared" si="10"/>
        <v>4.117647058823529</v>
      </c>
      <c r="M32" s="8" t="str">
        <f t="array" ref="M32">IF(L32&gt;5,"Perlu Sensus",IF(AND(L32&gt;=0,I32&gt;0),"Tetap Deteksi","Belum Deteksi"))</f>
        <v>Tetap Deteksi</v>
      </c>
      <c r="N32" s="11">
        <v>46241</v>
      </c>
      <c r="O32" s="143">
        <v>86</v>
      </c>
      <c r="P32" s="9">
        <f t="shared" ref="P32" si="43">IFERROR(O32/#REF!*100,0)</f>
        <v>0</v>
      </c>
      <c r="Q32" s="143">
        <v>4</v>
      </c>
      <c r="R32" s="9">
        <f t="shared" si="2"/>
        <v>4.6511627906976747</v>
      </c>
      <c r="S32" s="8" t="str">
        <f t="shared" si="12"/>
        <v>Tetap Deteksi</v>
      </c>
      <c r="T32" s="143">
        <v>2</v>
      </c>
      <c r="U32" s="9">
        <f t="shared" si="13"/>
        <v>2.3255813953488373</v>
      </c>
      <c r="V32" s="11"/>
      <c r="W32" s="143"/>
      <c r="X32" s="143"/>
      <c r="Y32" s="9">
        <f t="shared" si="3"/>
        <v>0</v>
      </c>
      <c r="Z32" s="8" t="str">
        <f t="shared" si="4"/>
        <v>Belum Deteksi</v>
      </c>
      <c r="AA32" s="143"/>
      <c r="AB32" s="9">
        <f t="shared" si="14"/>
        <v>0</v>
      </c>
      <c r="AC32" s="11">
        <v>46247</v>
      </c>
      <c r="AD32" s="143">
        <v>84</v>
      </c>
      <c r="AE32" s="9">
        <f t="shared" si="15"/>
        <v>2.8426395939086295</v>
      </c>
      <c r="AF32" s="143">
        <v>3</v>
      </c>
      <c r="AG32" s="9">
        <f t="shared" si="5"/>
        <v>3.5714285714285712</v>
      </c>
      <c r="AH32" s="8" t="str">
        <f t="shared" si="16"/>
        <v>Tetap Deteksi</v>
      </c>
      <c r="AI32" s="143">
        <v>4</v>
      </c>
      <c r="AJ32" s="9">
        <f t="shared" si="17"/>
        <v>4.7619047619047619</v>
      </c>
      <c r="AK32" s="11"/>
      <c r="AL32" s="143"/>
      <c r="AM32" s="143"/>
      <c r="AN32" s="9">
        <f t="shared" si="6"/>
        <v>0</v>
      </c>
      <c r="AO32" s="8" t="str">
        <f t="shared" si="7"/>
        <v>Belum Deteksi</v>
      </c>
      <c r="AP32" s="143"/>
      <c r="AQ32" s="9">
        <f t="shared" si="18"/>
        <v>0</v>
      </c>
    </row>
    <row r="33" spans="1:45" outlineLevel="1" x14ac:dyDescent="0.15">
      <c r="A33" s="8" t="s">
        <v>1970</v>
      </c>
      <c r="B33" s="8"/>
      <c r="C33" s="8" t="s">
        <v>47</v>
      </c>
      <c r="D33" s="8" t="s">
        <v>1113</v>
      </c>
      <c r="E33" s="9">
        <v>27.330000000000002</v>
      </c>
      <c r="F33" s="8" t="s">
        <v>1740</v>
      </c>
      <c r="G33" s="10">
        <v>2369</v>
      </c>
      <c r="H33" s="204">
        <f t="array" ref="H33">IF(OR(N33&gt;0,AC33&gt;0),MAX(N33,AC33),MAX(AK33,V33))</f>
        <v>46247</v>
      </c>
      <c r="I33" s="205">
        <f t="array" ref="I33">IF(SUM(O33,AD33)&gt;0,SUM(O33,AD33),SUM(AL33,W33))</f>
        <v>159</v>
      </c>
      <c r="J33" s="206" t="str">
        <f t="shared" si="8"/>
        <v xml:space="preserve"> </v>
      </c>
      <c r="K33" s="205">
        <f t="shared" si="9"/>
        <v>7</v>
      </c>
      <c r="L33" s="206">
        <f t="shared" si="10"/>
        <v>4.4025157232704402</v>
      </c>
      <c r="M33" s="8" t="str">
        <f t="array" ref="M33">IF(L33&gt;5,"Perlu Sensus",IF(AND(L33&gt;=0,I33&gt;0),"Tetap Deteksi","Belum Deteksi"))</f>
        <v>Tetap Deteksi</v>
      </c>
      <c r="N33" s="11">
        <v>46238</v>
      </c>
      <c r="O33" s="143">
        <v>83</v>
      </c>
      <c r="P33" s="9">
        <f t="shared" ref="P33" si="44">IFERROR(O33/#REF!*100,0)</f>
        <v>0</v>
      </c>
      <c r="Q33" s="143">
        <v>4</v>
      </c>
      <c r="R33" s="9">
        <f t="shared" si="2"/>
        <v>4.8192771084337354</v>
      </c>
      <c r="S33" s="8" t="str">
        <f t="shared" si="12"/>
        <v>Tetap Deteksi</v>
      </c>
      <c r="T33" s="143">
        <v>2</v>
      </c>
      <c r="U33" s="9">
        <f t="shared" si="13"/>
        <v>2.4096385542168677</v>
      </c>
      <c r="V33" s="11"/>
      <c r="W33" s="143"/>
      <c r="X33" s="143"/>
      <c r="Y33" s="9">
        <f t="shared" si="3"/>
        <v>0</v>
      </c>
      <c r="Z33" s="8" t="str">
        <f t="shared" si="4"/>
        <v>Belum Deteksi</v>
      </c>
      <c r="AA33" s="143"/>
      <c r="AB33" s="9">
        <f t="shared" si="14"/>
        <v>0</v>
      </c>
      <c r="AC33" s="11">
        <v>46247</v>
      </c>
      <c r="AD33" s="143">
        <v>76</v>
      </c>
      <c r="AE33" s="9">
        <f t="shared" si="15"/>
        <v>3.2081046855213171</v>
      </c>
      <c r="AF33" s="143">
        <v>3</v>
      </c>
      <c r="AG33" s="9">
        <f t="shared" si="5"/>
        <v>3.9473684210526314</v>
      </c>
      <c r="AH33" s="8" t="str">
        <f t="shared" si="16"/>
        <v>Tetap Deteksi</v>
      </c>
      <c r="AI33" s="143">
        <v>3</v>
      </c>
      <c r="AJ33" s="9">
        <f t="shared" si="17"/>
        <v>3.9473684210526314</v>
      </c>
      <c r="AK33" s="11"/>
      <c r="AL33" s="143"/>
      <c r="AM33" s="143"/>
      <c r="AN33" s="9">
        <f t="shared" si="6"/>
        <v>0</v>
      </c>
      <c r="AO33" s="8" t="str">
        <f t="shared" si="7"/>
        <v>Belum Deteksi</v>
      </c>
      <c r="AP33" s="143"/>
      <c r="AQ33" s="9">
        <f t="shared" si="18"/>
        <v>0</v>
      </c>
    </row>
    <row r="34" spans="1:45" outlineLevel="1" x14ac:dyDescent="0.15">
      <c r="A34" s="8" t="s">
        <v>1970</v>
      </c>
      <c r="B34" s="8"/>
      <c r="C34" s="8" t="s">
        <v>47</v>
      </c>
      <c r="D34" s="8" t="s">
        <v>1140</v>
      </c>
      <c r="E34" s="9">
        <v>36.909999999999997</v>
      </c>
      <c r="F34" s="8" t="s">
        <v>1740</v>
      </c>
      <c r="G34" s="10">
        <v>4388</v>
      </c>
      <c r="H34" s="204">
        <f t="array" ref="H34">IF(OR(N34&gt;0,AC34&gt;0),MAX(N34,AC34),MAX(AK34,V34))</f>
        <v>46248</v>
      </c>
      <c r="I34" s="205">
        <f t="array" ref="I34">IF(SUM(O34,AD34)&gt;0,SUM(O34,AD34),SUM(AL34,W34))</f>
        <v>177</v>
      </c>
      <c r="J34" s="206" t="str">
        <f t="shared" si="8"/>
        <v xml:space="preserve"> </v>
      </c>
      <c r="K34" s="205">
        <f t="shared" si="9"/>
        <v>7</v>
      </c>
      <c r="L34" s="206">
        <f t="shared" si="10"/>
        <v>3.9548022598870061</v>
      </c>
      <c r="M34" s="8" t="str">
        <f t="array" ref="M34">IF(L34&gt;5,"Perlu Sensus",IF(AND(L34&gt;=0,I34&gt;0),"Tetap Deteksi","Belum Deteksi"))</f>
        <v>Tetap Deteksi</v>
      </c>
      <c r="N34" s="11">
        <v>46240</v>
      </c>
      <c r="O34" s="143">
        <v>81</v>
      </c>
      <c r="P34" s="9">
        <f t="shared" ref="P34" si="45">IFERROR(O34/#REF!*100,0)</f>
        <v>0</v>
      </c>
      <c r="Q34" s="143">
        <v>3</v>
      </c>
      <c r="R34" s="9">
        <f t="shared" si="2"/>
        <v>3.7037037037037033</v>
      </c>
      <c r="S34" s="8" t="str">
        <f t="shared" si="12"/>
        <v>Tetap Deteksi</v>
      </c>
      <c r="T34" s="143">
        <v>4</v>
      </c>
      <c r="U34" s="9">
        <f t="shared" si="13"/>
        <v>4.9382716049382713</v>
      </c>
      <c r="V34" s="11"/>
      <c r="W34" s="143"/>
      <c r="X34" s="143"/>
      <c r="Y34" s="9">
        <f t="shared" si="3"/>
        <v>0</v>
      </c>
      <c r="Z34" s="8" t="str">
        <f t="shared" si="4"/>
        <v>Belum Deteksi</v>
      </c>
      <c r="AA34" s="143"/>
      <c r="AB34" s="9">
        <f t="shared" si="14"/>
        <v>0</v>
      </c>
      <c r="AC34" s="11">
        <v>46248</v>
      </c>
      <c r="AD34" s="143">
        <v>96</v>
      </c>
      <c r="AE34" s="9">
        <f t="shared" si="15"/>
        <v>2.187784867821331</v>
      </c>
      <c r="AF34" s="143">
        <v>4</v>
      </c>
      <c r="AG34" s="9">
        <f t="shared" si="5"/>
        <v>4.1666666666666661</v>
      </c>
      <c r="AH34" s="8" t="str">
        <f t="shared" si="16"/>
        <v>Tetap Deteksi</v>
      </c>
      <c r="AI34" s="143">
        <v>3</v>
      </c>
      <c r="AJ34" s="9">
        <f t="shared" si="17"/>
        <v>3.125</v>
      </c>
      <c r="AK34" s="11"/>
      <c r="AL34" s="143"/>
      <c r="AM34" s="143"/>
      <c r="AN34" s="9">
        <f t="shared" si="6"/>
        <v>0</v>
      </c>
      <c r="AO34" s="8" t="str">
        <f t="shared" si="7"/>
        <v>Belum Deteksi</v>
      </c>
      <c r="AP34" s="143"/>
      <c r="AQ34" s="9">
        <f t="shared" si="18"/>
        <v>0</v>
      </c>
    </row>
    <row r="35" spans="1:45" outlineLevel="1" x14ac:dyDescent="0.15">
      <c r="A35" s="8" t="s">
        <v>1970</v>
      </c>
      <c r="B35" s="8"/>
      <c r="C35" s="8" t="s">
        <v>47</v>
      </c>
      <c r="D35" s="8" t="s">
        <v>1995</v>
      </c>
      <c r="E35" s="9">
        <v>37.06</v>
      </c>
      <c r="F35" s="8" t="s">
        <v>1740</v>
      </c>
      <c r="G35" s="10">
        <v>4760</v>
      </c>
      <c r="H35" s="204">
        <f t="array" ref="H35">IF(OR(N35&gt;0,AC35&gt;0),MAX(N35,AC35),MAX(AK35,V35))</f>
        <v>46248</v>
      </c>
      <c r="I35" s="205">
        <f t="array" ref="I35">IF(SUM(O35,AD35)&gt;0,SUM(O35,AD35),SUM(AL35,W35))</f>
        <v>190</v>
      </c>
      <c r="J35" s="206" t="str">
        <f t="shared" si="8"/>
        <v xml:space="preserve"> </v>
      </c>
      <c r="K35" s="205">
        <f t="shared" si="9"/>
        <v>7</v>
      </c>
      <c r="L35" s="206">
        <f t="shared" si="10"/>
        <v>3.6842105263157889</v>
      </c>
      <c r="M35" s="8" t="str">
        <f t="array" ref="M35">IF(L35&gt;5,"Perlu Sensus",IF(AND(L35&gt;=0,I35&gt;0),"Tetap Deteksi","Belum Deteksi"))</f>
        <v>Tetap Deteksi</v>
      </c>
      <c r="N35" s="11">
        <v>46241</v>
      </c>
      <c r="O35" s="143">
        <v>92</v>
      </c>
      <c r="P35" s="9">
        <f t="shared" ref="P35" si="46">IFERROR(O35/#REF!*100,0)</f>
        <v>0</v>
      </c>
      <c r="Q35" s="143">
        <v>3</v>
      </c>
      <c r="R35" s="9">
        <f t="shared" si="2"/>
        <v>3.2608695652173911</v>
      </c>
      <c r="S35" s="8" t="str">
        <f t="shared" si="12"/>
        <v>Tetap Deteksi</v>
      </c>
      <c r="T35" s="143">
        <v>2</v>
      </c>
      <c r="U35" s="9">
        <f t="shared" si="13"/>
        <v>2.1739130434782608</v>
      </c>
      <c r="V35" s="11"/>
      <c r="W35" s="143"/>
      <c r="X35" s="143"/>
      <c r="Y35" s="9">
        <f t="shared" si="3"/>
        <v>0</v>
      </c>
      <c r="Z35" s="8" t="str">
        <f t="shared" si="4"/>
        <v>Belum Deteksi</v>
      </c>
      <c r="AA35" s="143"/>
      <c r="AB35" s="9">
        <f t="shared" si="14"/>
        <v>0</v>
      </c>
      <c r="AC35" s="11">
        <v>46248</v>
      </c>
      <c r="AD35" s="143">
        <v>98</v>
      </c>
      <c r="AE35" s="9">
        <f t="shared" si="15"/>
        <v>2.0588235294117645</v>
      </c>
      <c r="AF35" s="143">
        <v>4</v>
      </c>
      <c r="AG35" s="9">
        <f t="shared" si="5"/>
        <v>4.0816326530612246</v>
      </c>
      <c r="AH35" s="8" t="str">
        <f t="shared" si="16"/>
        <v>Tetap Deteksi</v>
      </c>
      <c r="AI35" s="143">
        <v>4</v>
      </c>
      <c r="AJ35" s="9">
        <f t="shared" si="17"/>
        <v>4.0816326530612246</v>
      </c>
      <c r="AK35" s="11"/>
      <c r="AL35" s="143"/>
      <c r="AM35" s="143"/>
      <c r="AN35" s="9">
        <f t="shared" si="6"/>
        <v>0</v>
      </c>
      <c r="AO35" s="8" t="str">
        <f t="shared" si="7"/>
        <v>Belum Deteksi</v>
      </c>
      <c r="AP35" s="143"/>
      <c r="AQ35" s="9">
        <f t="shared" si="18"/>
        <v>0</v>
      </c>
    </row>
    <row r="36" spans="1:45" outlineLevel="1" x14ac:dyDescent="0.15">
      <c r="A36" s="8" t="s">
        <v>1970</v>
      </c>
      <c r="B36" s="8"/>
      <c r="C36" s="8" t="s">
        <v>47</v>
      </c>
      <c r="D36" s="8" t="s">
        <v>1996</v>
      </c>
      <c r="E36" s="9">
        <v>32.050000000000004</v>
      </c>
      <c r="F36" s="8" t="s">
        <v>1740</v>
      </c>
      <c r="G36" s="10">
        <v>4234</v>
      </c>
      <c r="H36" s="204">
        <f t="array" ref="H36">IF(OR(N36&gt;0,AC36&gt;0),MAX(N36,AC36),MAX(AK36,V36))</f>
        <v>46248</v>
      </c>
      <c r="I36" s="205">
        <f t="array" ref="I36">IF(SUM(O36,AD36)&gt;0,SUM(O36,AD36),SUM(AL36,W36))</f>
        <v>188</v>
      </c>
      <c r="J36" s="206" t="str">
        <f t="shared" si="8"/>
        <v xml:space="preserve"> </v>
      </c>
      <c r="K36" s="205">
        <f t="shared" si="9"/>
        <v>7</v>
      </c>
      <c r="L36" s="206">
        <f t="shared" si="10"/>
        <v>3.7234042553191489</v>
      </c>
      <c r="M36" s="8" t="str">
        <f t="array" ref="M36">IF(L36&gt;5,"Perlu Sensus",IF(AND(L36&gt;=0,I36&gt;0),"Tetap Deteksi","Belum Deteksi"))</f>
        <v>Tetap Deteksi</v>
      </c>
      <c r="N36" s="11">
        <v>46238</v>
      </c>
      <c r="O36" s="143">
        <v>96</v>
      </c>
      <c r="P36" s="9">
        <f t="shared" ref="P36" si="47">IFERROR(O36/#REF!*100,0)</f>
        <v>0</v>
      </c>
      <c r="Q36" s="143">
        <v>4</v>
      </c>
      <c r="R36" s="9">
        <f t="shared" si="2"/>
        <v>4.1666666666666661</v>
      </c>
      <c r="S36" s="8" t="str">
        <f t="shared" si="12"/>
        <v>Tetap Deteksi</v>
      </c>
      <c r="T36" s="143">
        <v>2</v>
      </c>
      <c r="U36" s="9">
        <f t="shared" si="13"/>
        <v>2.083333333333333</v>
      </c>
      <c r="V36" s="11"/>
      <c r="W36" s="143"/>
      <c r="X36" s="143"/>
      <c r="Y36" s="9">
        <f t="shared" si="3"/>
        <v>0</v>
      </c>
      <c r="Z36" s="8" t="str">
        <f t="shared" si="4"/>
        <v>Belum Deteksi</v>
      </c>
      <c r="AA36" s="143"/>
      <c r="AB36" s="9">
        <f t="shared" si="14"/>
        <v>0</v>
      </c>
      <c r="AC36" s="11">
        <v>46248</v>
      </c>
      <c r="AD36" s="143">
        <v>92</v>
      </c>
      <c r="AE36" s="9">
        <f t="shared" si="15"/>
        <v>2.1728861596598961</v>
      </c>
      <c r="AF36" s="143">
        <v>3</v>
      </c>
      <c r="AG36" s="9">
        <f t="shared" si="5"/>
        <v>3.2608695652173911</v>
      </c>
      <c r="AH36" s="8" t="str">
        <f t="shared" si="16"/>
        <v>Tetap Deteksi</v>
      </c>
      <c r="AI36" s="143">
        <v>2</v>
      </c>
      <c r="AJ36" s="9">
        <f t="shared" si="17"/>
        <v>2.1739130434782608</v>
      </c>
      <c r="AK36" s="11"/>
      <c r="AL36" s="143"/>
      <c r="AM36" s="143"/>
      <c r="AN36" s="9">
        <f t="shared" si="6"/>
        <v>0</v>
      </c>
      <c r="AO36" s="8" t="str">
        <f t="shared" si="7"/>
        <v>Belum Deteksi</v>
      </c>
      <c r="AP36" s="143"/>
      <c r="AQ36" s="9">
        <f t="shared" si="18"/>
        <v>0</v>
      </c>
    </row>
    <row r="37" spans="1:45" outlineLevel="1" x14ac:dyDescent="0.15">
      <c r="A37" s="8" t="s">
        <v>1970</v>
      </c>
      <c r="B37" s="8"/>
      <c r="C37" s="8" t="s">
        <v>47</v>
      </c>
      <c r="D37" s="8" t="s">
        <v>1997</v>
      </c>
      <c r="E37" s="9">
        <v>28.740000000000002</v>
      </c>
      <c r="F37" s="8" t="s">
        <v>1740</v>
      </c>
      <c r="G37" s="10">
        <v>3558</v>
      </c>
      <c r="H37" s="204">
        <f t="array" ref="H37">IF(OR(N37&gt;0,AC37&gt;0),MAX(N37,AC37),MAX(AK37,V37))</f>
        <v>46247</v>
      </c>
      <c r="I37" s="205">
        <f t="array" ref="I37">IF(SUM(O37,AD37)&gt;0,SUM(O37,AD37),SUM(AL37,W37))</f>
        <v>175</v>
      </c>
      <c r="J37" s="206" t="str">
        <f t="shared" si="8"/>
        <v xml:space="preserve"> </v>
      </c>
      <c r="K37" s="205">
        <f t="shared" si="9"/>
        <v>4</v>
      </c>
      <c r="L37" s="206">
        <f t="shared" si="10"/>
        <v>2.2857142857142856</v>
      </c>
      <c r="M37" s="8" t="str">
        <f t="array" ref="M37">IF(L37&gt;5,"Perlu Sensus",IF(AND(L37&gt;=0,I37&gt;0),"Tetap Deteksi","Belum Deteksi"))</f>
        <v>Tetap Deteksi</v>
      </c>
      <c r="N37" s="11">
        <v>46235</v>
      </c>
      <c r="O37" s="143">
        <v>85</v>
      </c>
      <c r="P37" s="9">
        <f t="shared" ref="P37" si="48">IFERROR(O37/#REF!*100,0)</f>
        <v>0</v>
      </c>
      <c r="Q37" s="143">
        <v>2</v>
      </c>
      <c r="R37" s="9">
        <f t="shared" si="2"/>
        <v>2.3529411764705883</v>
      </c>
      <c r="S37" s="8" t="str">
        <f t="shared" si="12"/>
        <v>Tetap Deteksi</v>
      </c>
      <c r="T37" s="143">
        <v>4</v>
      </c>
      <c r="U37" s="9">
        <f t="shared" si="13"/>
        <v>4.7058823529411766</v>
      </c>
      <c r="V37" s="11"/>
      <c r="W37" s="143"/>
      <c r="X37" s="143"/>
      <c r="Y37" s="9">
        <f t="shared" si="3"/>
        <v>0</v>
      </c>
      <c r="Z37" s="8" t="str">
        <f t="shared" si="4"/>
        <v>Belum Deteksi</v>
      </c>
      <c r="AA37" s="143"/>
      <c r="AB37" s="9">
        <f t="shared" si="14"/>
        <v>0</v>
      </c>
      <c r="AC37" s="11">
        <v>46247</v>
      </c>
      <c r="AD37" s="143">
        <v>90</v>
      </c>
      <c r="AE37" s="9">
        <f t="shared" si="15"/>
        <v>2.5295109612141653</v>
      </c>
      <c r="AF37" s="143">
        <v>2</v>
      </c>
      <c r="AG37" s="9">
        <f t="shared" si="5"/>
        <v>2.2222222222222223</v>
      </c>
      <c r="AH37" s="8" t="str">
        <f t="shared" si="16"/>
        <v>Tetap Deteksi</v>
      </c>
      <c r="AI37" s="143">
        <v>1</v>
      </c>
      <c r="AJ37" s="9">
        <f t="shared" si="17"/>
        <v>1.1111111111111112</v>
      </c>
      <c r="AK37" s="11"/>
      <c r="AL37" s="143"/>
      <c r="AM37" s="143"/>
      <c r="AN37" s="9">
        <f t="shared" si="6"/>
        <v>0</v>
      </c>
      <c r="AO37" s="8" t="str">
        <f t="shared" si="7"/>
        <v>Belum Deteksi</v>
      </c>
      <c r="AP37" s="143"/>
      <c r="AQ37" s="9">
        <f t="shared" si="18"/>
        <v>0</v>
      </c>
    </row>
    <row r="38" spans="1:45" outlineLevel="1" x14ac:dyDescent="0.15">
      <c r="A38" s="8" t="s">
        <v>1970</v>
      </c>
      <c r="B38" s="8"/>
      <c r="C38" s="8" t="s">
        <v>47</v>
      </c>
      <c r="D38" s="8" t="s">
        <v>1998</v>
      </c>
      <c r="E38" s="9">
        <v>27.590000000000003</v>
      </c>
      <c r="F38" s="8" t="s">
        <v>1740</v>
      </c>
      <c r="G38" s="10">
        <v>3900</v>
      </c>
      <c r="H38" s="204">
        <f t="array" ref="H38">IF(OR(N38&gt;0,AC38&gt;0),MAX(N38,AC38),MAX(AK38,V38))</f>
        <v>46247</v>
      </c>
      <c r="I38" s="205">
        <f t="array" ref="I38">IF(SUM(O38,AD38)&gt;0,SUM(O38,AD38),SUM(AL38,W38))</f>
        <v>179</v>
      </c>
      <c r="J38" s="206" t="str">
        <f t="shared" si="8"/>
        <v xml:space="preserve"> </v>
      </c>
      <c r="K38" s="205">
        <f t="shared" si="9"/>
        <v>4</v>
      </c>
      <c r="L38" s="206">
        <f t="shared" si="10"/>
        <v>2.2346368715083798</v>
      </c>
      <c r="M38" s="8" t="str">
        <f t="array" ref="M38">IF(L38&gt;5,"Perlu Sensus",IF(AND(L38&gt;=0,I38&gt;0),"Tetap Deteksi","Belum Deteksi"))</f>
        <v>Tetap Deteksi</v>
      </c>
      <c r="N38" s="11">
        <v>46241</v>
      </c>
      <c r="O38" s="143">
        <v>85</v>
      </c>
      <c r="P38" s="9">
        <f t="shared" ref="P38" si="49">IFERROR(O38/#REF!*100,0)</f>
        <v>0</v>
      </c>
      <c r="Q38" s="143">
        <v>3</v>
      </c>
      <c r="R38" s="9">
        <f t="shared" si="2"/>
        <v>3.5294117647058822</v>
      </c>
      <c r="S38" s="8" t="str">
        <f t="shared" si="12"/>
        <v>Tetap Deteksi</v>
      </c>
      <c r="T38" s="143">
        <v>4</v>
      </c>
      <c r="U38" s="9">
        <f t="shared" si="13"/>
        <v>4.7058823529411766</v>
      </c>
      <c r="V38" s="11"/>
      <c r="W38" s="143"/>
      <c r="X38" s="143"/>
      <c r="Y38" s="9">
        <f t="shared" si="3"/>
        <v>0</v>
      </c>
      <c r="Z38" s="8" t="str">
        <f t="shared" si="4"/>
        <v>Belum Deteksi</v>
      </c>
      <c r="AA38" s="143"/>
      <c r="AB38" s="9">
        <f t="shared" si="14"/>
        <v>0</v>
      </c>
      <c r="AC38" s="11">
        <v>46247</v>
      </c>
      <c r="AD38" s="143">
        <v>94</v>
      </c>
      <c r="AE38" s="9">
        <f t="shared" si="15"/>
        <v>2.4102564102564101</v>
      </c>
      <c r="AF38" s="143">
        <v>1</v>
      </c>
      <c r="AG38" s="9">
        <f t="shared" si="5"/>
        <v>1.0638297872340425</v>
      </c>
      <c r="AH38" s="8" t="str">
        <f t="shared" si="16"/>
        <v>Tetap Deteksi</v>
      </c>
      <c r="AI38" s="143">
        <v>1</v>
      </c>
      <c r="AJ38" s="9">
        <f t="shared" si="17"/>
        <v>1.0638297872340425</v>
      </c>
      <c r="AK38" s="11"/>
      <c r="AL38" s="143"/>
      <c r="AM38" s="143"/>
      <c r="AN38" s="9">
        <f t="shared" si="6"/>
        <v>0</v>
      </c>
      <c r="AO38" s="8" t="str">
        <f t="shared" si="7"/>
        <v>Belum Deteksi</v>
      </c>
      <c r="AP38" s="143"/>
      <c r="AQ38" s="9">
        <f t="shared" si="18"/>
        <v>0</v>
      </c>
    </row>
    <row r="39" spans="1:45" outlineLevel="1" x14ac:dyDescent="0.15">
      <c r="A39" s="8" t="s">
        <v>1970</v>
      </c>
      <c r="B39" s="8"/>
      <c r="C39" s="8" t="s">
        <v>47</v>
      </c>
      <c r="D39" s="8" t="s">
        <v>1999</v>
      </c>
      <c r="E39" s="9">
        <v>37.519999999999996</v>
      </c>
      <c r="F39" s="8" t="s">
        <v>1740</v>
      </c>
      <c r="G39" s="10">
        <v>4938</v>
      </c>
      <c r="H39" s="204">
        <f t="array" ref="H39">IF(OR(N39&gt;0,AC39&gt;0),MAX(N39,AC39),MAX(AK39,V39))</f>
        <v>46247</v>
      </c>
      <c r="I39" s="205">
        <f t="array" ref="I39">IF(SUM(O39,AD39)&gt;0,SUM(O39,AD39),SUM(AL39,W39))</f>
        <v>179</v>
      </c>
      <c r="J39" s="206" t="str">
        <f t="shared" si="8"/>
        <v xml:space="preserve"> </v>
      </c>
      <c r="K39" s="205">
        <f t="shared" si="9"/>
        <v>6</v>
      </c>
      <c r="L39" s="206">
        <f t="shared" si="10"/>
        <v>3.3519553072625698</v>
      </c>
      <c r="M39" s="8" t="str">
        <f t="array" ref="M39">IF(L39&gt;5,"Perlu Sensus",IF(AND(L39&gt;=0,I39&gt;0),"Tetap Deteksi","Belum Deteksi"))</f>
        <v>Tetap Deteksi</v>
      </c>
      <c r="N39" s="11">
        <v>46240</v>
      </c>
      <c r="O39" s="143">
        <v>88</v>
      </c>
      <c r="P39" s="9">
        <f t="shared" ref="P39" si="50">IFERROR(O39/#REF!*100,0)</f>
        <v>0</v>
      </c>
      <c r="Q39" s="143">
        <v>2</v>
      </c>
      <c r="R39" s="9">
        <f t="shared" si="2"/>
        <v>2.2727272727272729</v>
      </c>
      <c r="S39" s="8" t="str">
        <f t="shared" si="12"/>
        <v>Tetap Deteksi</v>
      </c>
      <c r="T39" s="143">
        <v>5</v>
      </c>
      <c r="U39" s="9">
        <f t="shared" si="13"/>
        <v>5.6818181818181817</v>
      </c>
      <c r="V39" s="11"/>
      <c r="W39" s="143"/>
      <c r="X39" s="143"/>
      <c r="Y39" s="9">
        <f t="shared" si="3"/>
        <v>0</v>
      </c>
      <c r="Z39" s="8" t="str">
        <f t="shared" si="4"/>
        <v>Belum Deteksi</v>
      </c>
      <c r="AA39" s="143"/>
      <c r="AB39" s="9">
        <f t="shared" si="14"/>
        <v>0</v>
      </c>
      <c r="AC39" s="11">
        <v>46247</v>
      </c>
      <c r="AD39" s="143">
        <v>91</v>
      </c>
      <c r="AE39" s="9">
        <f t="shared" si="15"/>
        <v>1.8428513568246252</v>
      </c>
      <c r="AF39" s="143">
        <v>4</v>
      </c>
      <c r="AG39" s="9">
        <f t="shared" si="5"/>
        <v>4.395604395604396</v>
      </c>
      <c r="AH39" s="8" t="str">
        <f t="shared" si="16"/>
        <v>Tetap Deteksi</v>
      </c>
      <c r="AI39" s="143">
        <v>3</v>
      </c>
      <c r="AJ39" s="9">
        <f t="shared" si="17"/>
        <v>3.296703296703297</v>
      </c>
      <c r="AK39" s="11"/>
      <c r="AL39" s="143"/>
      <c r="AM39" s="143"/>
      <c r="AN39" s="9">
        <f t="shared" si="6"/>
        <v>0</v>
      </c>
      <c r="AO39" s="8" t="str">
        <f t="shared" si="7"/>
        <v>Belum Deteksi</v>
      </c>
      <c r="AP39" s="143"/>
      <c r="AQ39" s="9">
        <f t="shared" si="18"/>
        <v>0</v>
      </c>
    </row>
    <row r="40" spans="1:45" outlineLevel="1" x14ac:dyDescent="0.15">
      <c r="A40" s="8" t="s">
        <v>1970</v>
      </c>
      <c r="B40" s="8"/>
      <c r="C40" s="8" t="s">
        <v>47</v>
      </c>
      <c r="D40" s="8" t="s">
        <v>2000</v>
      </c>
      <c r="E40" s="9">
        <v>36.99</v>
      </c>
      <c r="F40" s="8" t="s">
        <v>1740</v>
      </c>
      <c r="G40" s="10">
        <v>4769</v>
      </c>
      <c r="H40" s="204">
        <f t="array" ref="H40">IF(OR(N40&gt;0,AC40&gt;0),MAX(N40,AC40),MAX(AK40,V40))</f>
        <v>46247</v>
      </c>
      <c r="I40" s="205">
        <f t="array" ref="I40">IF(SUM(O40,AD40)&gt;0,SUM(O40,AD40),SUM(AL40,W40))</f>
        <v>193</v>
      </c>
      <c r="J40" s="206" t="str">
        <f t="shared" si="8"/>
        <v xml:space="preserve"> </v>
      </c>
      <c r="K40" s="205">
        <f t="shared" si="9"/>
        <v>6</v>
      </c>
      <c r="L40" s="206">
        <f t="shared" si="10"/>
        <v>3.1088082901554404</v>
      </c>
      <c r="M40" s="8" t="str">
        <f t="array" ref="M40">IF(L40&gt;5,"Perlu Sensus",IF(AND(L40&gt;=0,I40&gt;0),"Tetap Deteksi","Belum Deteksi"))</f>
        <v>Tetap Deteksi</v>
      </c>
      <c r="N40" s="11">
        <v>46238</v>
      </c>
      <c r="O40" s="143">
        <v>98</v>
      </c>
      <c r="P40" s="9">
        <f t="shared" ref="P40" si="51">IFERROR(O40/#REF!*100,0)</f>
        <v>0</v>
      </c>
      <c r="Q40" s="143">
        <v>3</v>
      </c>
      <c r="R40" s="9">
        <f t="shared" si="2"/>
        <v>3.0612244897959182</v>
      </c>
      <c r="S40" s="8" t="str">
        <f t="shared" si="12"/>
        <v>Tetap Deteksi</v>
      </c>
      <c r="T40" s="143">
        <v>3</v>
      </c>
      <c r="U40" s="9">
        <f t="shared" si="13"/>
        <v>3.0612244897959182</v>
      </c>
      <c r="V40" s="11">
        <v>46241</v>
      </c>
      <c r="W40" s="143">
        <v>315</v>
      </c>
      <c r="X40" s="143">
        <v>7</v>
      </c>
      <c r="Y40" s="9">
        <f t="shared" si="3"/>
        <v>2.2222222222222223</v>
      </c>
      <c r="Z40" s="8" t="str">
        <f t="shared" si="4"/>
        <v>Tetap Deteksi</v>
      </c>
      <c r="AA40" s="143">
        <v>5</v>
      </c>
      <c r="AB40" s="9">
        <f t="shared" si="14"/>
        <v>1.5873015873015872</v>
      </c>
      <c r="AC40" s="11">
        <v>46247</v>
      </c>
      <c r="AD40" s="143">
        <v>95</v>
      </c>
      <c r="AE40" s="9">
        <f t="shared" si="15"/>
        <v>1.9920318725099602</v>
      </c>
      <c r="AF40" s="143">
        <v>3</v>
      </c>
      <c r="AG40" s="9">
        <f t="shared" si="5"/>
        <v>3.1578947368421053</v>
      </c>
      <c r="AH40" s="8" t="str">
        <f t="shared" si="16"/>
        <v>Tetap Deteksi</v>
      </c>
      <c r="AI40" s="143">
        <v>2</v>
      </c>
      <c r="AJ40" s="9">
        <f t="shared" si="17"/>
        <v>2.1052631578947367</v>
      </c>
      <c r="AK40" s="11">
        <v>46246</v>
      </c>
      <c r="AL40" s="143">
        <v>976</v>
      </c>
      <c r="AM40" s="143">
        <v>10</v>
      </c>
      <c r="AN40" s="9">
        <f t="shared" si="6"/>
        <v>1.0245901639344261</v>
      </c>
      <c r="AO40" s="8" t="str">
        <f t="shared" si="7"/>
        <v>Tetap Deteksi</v>
      </c>
      <c r="AP40" s="143">
        <v>5</v>
      </c>
      <c r="AQ40" s="9">
        <f t="shared" si="18"/>
        <v>0.51229508196721307</v>
      </c>
    </row>
    <row r="41" spans="1:45" outlineLevel="1" x14ac:dyDescent="0.15">
      <c r="A41" s="8" t="s">
        <v>1970</v>
      </c>
      <c r="B41" s="8"/>
      <c r="C41" s="8" t="s">
        <v>47</v>
      </c>
      <c r="D41" s="8" t="s">
        <v>2001</v>
      </c>
      <c r="E41" s="9">
        <v>28.979999999999997</v>
      </c>
      <c r="F41" s="8" t="s">
        <v>1740</v>
      </c>
      <c r="G41" s="10">
        <v>3655</v>
      </c>
      <c r="H41" s="204">
        <f t="array" ref="H41">IF(OR(N41&gt;0,AC41&gt;0),MAX(N41,AC41),MAX(AK41,V41))</f>
        <v>46247</v>
      </c>
      <c r="I41" s="205">
        <f t="array" ref="I41">IF(SUM(O41,AD41)&gt;0,SUM(O41,AD41),SUM(AL41,W41))</f>
        <v>181</v>
      </c>
      <c r="J41" s="206" t="str">
        <f t="shared" si="8"/>
        <v xml:space="preserve"> </v>
      </c>
      <c r="K41" s="205">
        <f t="shared" si="9"/>
        <v>5</v>
      </c>
      <c r="L41" s="206">
        <f t="shared" si="10"/>
        <v>2.7624309392265194</v>
      </c>
      <c r="M41" s="8" t="str">
        <f t="array" ref="M41">IF(L41&gt;5,"Perlu Sensus",IF(AND(L41&gt;=0,I41&gt;0),"Tetap Deteksi","Belum Deteksi"))</f>
        <v>Tetap Deteksi</v>
      </c>
      <c r="N41" s="11">
        <v>46237</v>
      </c>
      <c r="O41" s="143">
        <v>87</v>
      </c>
      <c r="P41" s="9">
        <f t="shared" ref="P41" si="52">IFERROR(O41/#REF!*100,0)</f>
        <v>0</v>
      </c>
      <c r="Q41" s="143">
        <v>3</v>
      </c>
      <c r="R41" s="9">
        <f t="shared" si="2"/>
        <v>3.4482758620689653</v>
      </c>
      <c r="S41" s="8" t="str">
        <f t="shared" si="12"/>
        <v>Tetap Deteksi</v>
      </c>
      <c r="T41" s="143">
        <v>5</v>
      </c>
      <c r="U41" s="9">
        <f t="shared" si="13"/>
        <v>5.7471264367816088</v>
      </c>
      <c r="V41" s="11"/>
      <c r="W41" s="143"/>
      <c r="X41" s="143"/>
      <c r="Y41" s="9">
        <f t="shared" si="3"/>
        <v>0</v>
      </c>
      <c r="Z41" s="8" t="str">
        <f t="shared" si="4"/>
        <v>Belum Deteksi</v>
      </c>
      <c r="AA41" s="143"/>
      <c r="AB41" s="9">
        <f t="shared" si="14"/>
        <v>0</v>
      </c>
      <c r="AC41" s="11">
        <v>46247</v>
      </c>
      <c r="AD41" s="143">
        <v>94</v>
      </c>
      <c r="AE41" s="9">
        <f t="shared" si="15"/>
        <v>2.5718194254445965</v>
      </c>
      <c r="AF41" s="143">
        <v>2</v>
      </c>
      <c r="AG41" s="9">
        <f t="shared" si="5"/>
        <v>2.1276595744680851</v>
      </c>
      <c r="AH41" s="8" t="str">
        <f t="shared" si="16"/>
        <v>Tetap Deteksi</v>
      </c>
      <c r="AI41" s="143">
        <v>1</v>
      </c>
      <c r="AJ41" s="9">
        <f t="shared" si="17"/>
        <v>1.0638297872340425</v>
      </c>
      <c r="AK41" s="11"/>
      <c r="AL41" s="143"/>
      <c r="AM41" s="143"/>
      <c r="AN41" s="9">
        <f t="shared" si="6"/>
        <v>0</v>
      </c>
      <c r="AO41" s="8" t="str">
        <f t="shared" si="7"/>
        <v>Belum Deteksi</v>
      </c>
      <c r="AP41" s="143"/>
      <c r="AQ41" s="9">
        <f t="shared" si="18"/>
        <v>0</v>
      </c>
      <c r="AS41" s="3" t="s">
        <v>2172</v>
      </c>
    </row>
    <row r="42" spans="1:45" outlineLevel="1" x14ac:dyDescent="0.15">
      <c r="A42" s="8" t="s">
        <v>1970</v>
      </c>
      <c r="B42" s="8"/>
      <c r="C42" s="8" t="s">
        <v>47</v>
      </c>
      <c r="D42" s="8" t="s">
        <v>2002</v>
      </c>
      <c r="E42" s="9">
        <v>32.700000000000003</v>
      </c>
      <c r="F42" s="8" t="s">
        <v>1740</v>
      </c>
      <c r="G42" s="10">
        <v>4506</v>
      </c>
      <c r="H42" s="204">
        <f t="array" ref="H42">IF(OR(N42&gt;0,AC42&gt;0),MAX(N42,AC42),MAX(AK42,V42))</f>
        <v>46244</v>
      </c>
      <c r="I42" s="205">
        <f t="array" ref="I42">IF(SUM(O42,AD42)&gt;0,SUM(O42,AD42),SUM(AL42,W42))</f>
        <v>270</v>
      </c>
      <c r="J42" s="206" t="str">
        <f t="shared" si="8"/>
        <v xml:space="preserve"> </v>
      </c>
      <c r="K42" s="205">
        <f t="shared" si="9"/>
        <v>5</v>
      </c>
      <c r="L42" s="206">
        <f t="shared" si="10"/>
        <v>1.8518518518518516</v>
      </c>
      <c r="M42" s="8" t="str">
        <f t="array" ref="M42">IF(L42&gt;5,"Perlu Sensus",IF(AND(L42&gt;=0,I42&gt;0),"Tetap Deteksi","Belum Deteksi"))</f>
        <v>Tetap Deteksi</v>
      </c>
      <c r="N42" s="11">
        <v>46238</v>
      </c>
      <c r="O42" s="143">
        <v>97</v>
      </c>
      <c r="P42" s="9">
        <f t="shared" ref="P42" si="53">IFERROR(O42/#REF!*100,0)</f>
        <v>0</v>
      </c>
      <c r="Q42" s="143">
        <v>1</v>
      </c>
      <c r="R42" s="9">
        <f t="shared" si="2"/>
        <v>1.0309278350515463</v>
      </c>
      <c r="S42" s="8" t="str">
        <f t="shared" si="12"/>
        <v>Tetap Deteksi</v>
      </c>
      <c r="T42" s="143">
        <v>2</v>
      </c>
      <c r="U42" s="9">
        <f t="shared" si="13"/>
        <v>2.0618556701030926</v>
      </c>
      <c r="V42" s="11"/>
      <c r="W42" s="143"/>
      <c r="X42" s="143"/>
      <c r="Y42" s="9">
        <f t="shared" si="3"/>
        <v>0</v>
      </c>
      <c r="Z42" s="8" t="str">
        <f t="shared" si="4"/>
        <v>Belum Deteksi</v>
      </c>
      <c r="AA42" s="143"/>
      <c r="AB42" s="9">
        <f t="shared" si="14"/>
        <v>0</v>
      </c>
      <c r="AC42" s="11">
        <v>46244</v>
      </c>
      <c r="AD42" s="143">
        <v>173</v>
      </c>
      <c r="AE42" s="9">
        <f t="shared" si="15"/>
        <v>3.8393253439857964</v>
      </c>
      <c r="AF42" s="143">
        <v>4</v>
      </c>
      <c r="AG42" s="9">
        <f t="shared" si="5"/>
        <v>2.3121387283236992</v>
      </c>
      <c r="AH42" s="8" t="str">
        <f t="shared" si="16"/>
        <v>Tetap Deteksi</v>
      </c>
      <c r="AI42" s="143">
        <v>8</v>
      </c>
      <c r="AJ42" s="9">
        <f t="shared" si="17"/>
        <v>4.6242774566473983</v>
      </c>
      <c r="AK42" s="11"/>
      <c r="AL42" s="143"/>
      <c r="AM42" s="143"/>
      <c r="AN42" s="9">
        <f t="shared" si="6"/>
        <v>0</v>
      </c>
      <c r="AO42" s="8" t="str">
        <f t="shared" si="7"/>
        <v>Belum Deteksi</v>
      </c>
      <c r="AP42" s="143"/>
      <c r="AQ42" s="9">
        <f t="shared" si="18"/>
        <v>0</v>
      </c>
    </row>
    <row r="43" spans="1:45" outlineLevel="1" x14ac:dyDescent="0.15">
      <c r="A43" s="8" t="s">
        <v>1970</v>
      </c>
      <c r="B43" s="8"/>
      <c r="C43" s="8" t="s">
        <v>47</v>
      </c>
      <c r="D43" s="8" t="s">
        <v>2003</v>
      </c>
      <c r="E43" s="9">
        <v>29.57</v>
      </c>
      <c r="F43" s="8" t="s">
        <v>1740</v>
      </c>
      <c r="G43" s="10">
        <v>3945</v>
      </c>
      <c r="H43" s="204">
        <f t="array" ref="H43">IF(OR(N43&gt;0,AC43&gt;0),MAX(N43,AC43),MAX(AK43,V43))</f>
        <v>46245</v>
      </c>
      <c r="I43" s="205">
        <f t="array" ref="I43">IF(SUM(O43,AD43)&gt;0,SUM(O43,AD43),SUM(AL43,W43))</f>
        <v>264</v>
      </c>
      <c r="J43" s="206" t="str">
        <f t="shared" si="8"/>
        <v xml:space="preserve"> </v>
      </c>
      <c r="K43" s="205">
        <f t="shared" si="9"/>
        <v>7</v>
      </c>
      <c r="L43" s="206">
        <f t="shared" si="10"/>
        <v>2.6515151515151514</v>
      </c>
      <c r="M43" s="8" t="str">
        <f t="array" ref="M43">IF(L43&gt;5,"Perlu Sensus",IF(AND(L43&gt;=0,I43&gt;0),"Tetap Deteksi","Belum Deteksi"))</f>
        <v>Tetap Deteksi</v>
      </c>
      <c r="N43" s="11">
        <v>46238</v>
      </c>
      <c r="O43" s="143">
        <v>99</v>
      </c>
      <c r="P43" s="9">
        <f t="shared" ref="P43" si="54">IFERROR(O43/#REF!*100,0)</f>
        <v>0</v>
      </c>
      <c r="Q43" s="143">
        <v>1</v>
      </c>
      <c r="R43" s="9">
        <f t="shared" si="2"/>
        <v>1.0101010101010102</v>
      </c>
      <c r="S43" s="8" t="str">
        <f t="shared" si="12"/>
        <v>Tetap Deteksi</v>
      </c>
      <c r="T43" s="143">
        <v>2</v>
      </c>
      <c r="U43" s="9">
        <f t="shared" si="13"/>
        <v>2.0202020202020203</v>
      </c>
      <c r="V43" s="11"/>
      <c r="W43" s="143"/>
      <c r="X43" s="143"/>
      <c r="Y43" s="9">
        <f t="shared" si="3"/>
        <v>0</v>
      </c>
      <c r="Z43" s="8" t="str">
        <f t="shared" si="4"/>
        <v>Belum Deteksi</v>
      </c>
      <c r="AA43" s="143"/>
      <c r="AB43" s="9">
        <f t="shared" si="14"/>
        <v>0</v>
      </c>
      <c r="AC43" s="11">
        <v>46245</v>
      </c>
      <c r="AD43" s="143">
        <v>165</v>
      </c>
      <c r="AE43" s="9">
        <f t="shared" si="15"/>
        <v>4.1825095057034218</v>
      </c>
      <c r="AF43" s="143">
        <v>6</v>
      </c>
      <c r="AG43" s="9">
        <f t="shared" si="5"/>
        <v>3.6363636363636362</v>
      </c>
      <c r="AH43" s="8" t="str">
        <f t="shared" si="16"/>
        <v>Tetap Deteksi</v>
      </c>
      <c r="AI43" s="143">
        <v>8</v>
      </c>
      <c r="AJ43" s="9">
        <f t="shared" si="17"/>
        <v>4.8484848484848486</v>
      </c>
      <c r="AK43" s="11"/>
      <c r="AL43" s="143"/>
      <c r="AM43" s="143"/>
      <c r="AN43" s="9">
        <f t="shared" si="6"/>
        <v>0</v>
      </c>
      <c r="AO43" s="8" t="str">
        <f t="shared" si="7"/>
        <v>Belum Deteksi</v>
      </c>
      <c r="AP43" s="143"/>
      <c r="AQ43" s="9">
        <f t="shared" si="18"/>
        <v>0</v>
      </c>
    </row>
    <row r="44" spans="1:45" outlineLevel="1" x14ac:dyDescent="0.15">
      <c r="A44" s="8" t="s">
        <v>1970</v>
      </c>
      <c r="B44" s="8"/>
      <c r="C44" s="8" t="s">
        <v>47</v>
      </c>
      <c r="D44" s="8" t="s">
        <v>2004</v>
      </c>
      <c r="E44" s="9">
        <v>43.999999999999993</v>
      </c>
      <c r="F44" s="8" t="s">
        <v>1740</v>
      </c>
      <c r="G44" s="10">
        <v>5691</v>
      </c>
      <c r="H44" s="204">
        <f t="array" ref="H44">IF(OR(N44&gt;0,AC44&gt;0),MAX(N44,AC44),MAX(AK44,V44))</f>
        <v>46247</v>
      </c>
      <c r="I44" s="205">
        <f t="array" ref="I44">IF(SUM(O44,AD44)&gt;0,SUM(O44,AD44),SUM(AL44,W44))</f>
        <v>172</v>
      </c>
      <c r="J44" s="206" t="str">
        <f t="shared" si="8"/>
        <v xml:space="preserve"> </v>
      </c>
      <c r="K44" s="205">
        <f t="shared" si="9"/>
        <v>6</v>
      </c>
      <c r="L44" s="206">
        <f t="shared" si="10"/>
        <v>3.4883720930232558</v>
      </c>
      <c r="M44" s="8" t="str">
        <f t="array" ref="M44">IF(L44&gt;5,"Perlu Sensus",IF(AND(L44&gt;=0,I44&gt;0),"Tetap Deteksi","Belum Deteksi"))</f>
        <v>Tetap Deteksi</v>
      </c>
      <c r="N44" s="11">
        <v>46238</v>
      </c>
      <c r="O44" s="143">
        <v>82</v>
      </c>
      <c r="P44" s="9">
        <f t="shared" ref="P44" si="55">IFERROR(O44/#REF!*100,0)</f>
        <v>0</v>
      </c>
      <c r="Q44" s="143">
        <v>2</v>
      </c>
      <c r="R44" s="9">
        <f t="shared" si="2"/>
        <v>2.4390243902439024</v>
      </c>
      <c r="S44" s="8" t="str">
        <f t="shared" si="12"/>
        <v>Tetap Deteksi</v>
      </c>
      <c r="T44" s="143">
        <v>4</v>
      </c>
      <c r="U44" s="9">
        <f t="shared" si="13"/>
        <v>4.8780487804878048</v>
      </c>
      <c r="V44" s="11"/>
      <c r="W44" s="143"/>
      <c r="X44" s="143"/>
      <c r="Y44" s="9">
        <f t="shared" si="3"/>
        <v>0</v>
      </c>
      <c r="Z44" s="8" t="str">
        <f t="shared" si="4"/>
        <v>Belum Deteksi</v>
      </c>
      <c r="AA44" s="143"/>
      <c r="AB44" s="9">
        <f t="shared" si="14"/>
        <v>0</v>
      </c>
      <c r="AC44" s="11">
        <v>46247</v>
      </c>
      <c r="AD44" s="143">
        <v>90</v>
      </c>
      <c r="AE44" s="9">
        <f t="shared" si="15"/>
        <v>1.5814443858724301</v>
      </c>
      <c r="AF44" s="143">
        <v>4</v>
      </c>
      <c r="AG44" s="9">
        <f t="shared" si="5"/>
        <v>4.4444444444444446</v>
      </c>
      <c r="AH44" s="8" t="str">
        <f t="shared" si="16"/>
        <v>Tetap Deteksi</v>
      </c>
      <c r="AI44" s="143">
        <v>3</v>
      </c>
      <c r="AJ44" s="9">
        <f t="shared" si="17"/>
        <v>3.3333333333333335</v>
      </c>
      <c r="AK44" s="11"/>
      <c r="AL44" s="143"/>
      <c r="AM44" s="143"/>
      <c r="AN44" s="9">
        <f t="shared" si="6"/>
        <v>0</v>
      </c>
      <c r="AO44" s="8" t="str">
        <f t="shared" si="7"/>
        <v>Belum Deteksi</v>
      </c>
      <c r="AP44" s="143"/>
      <c r="AQ44" s="9">
        <f t="shared" si="18"/>
        <v>0</v>
      </c>
    </row>
    <row r="45" spans="1:45" outlineLevel="1" x14ac:dyDescent="0.15">
      <c r="A45" s="8" t="s">
        <v>1970</v>
      </c>
      <c r="B45" s="8"/>
      <c r="C45" s="8" t="s">
        <v>47</v>
      </c>
      <c r="D45" s="8" t="s">
        <v>2005</v>
      </c>
      <c r="E45" s="9">
        <v>33.01</v>
      </c>
      <c r="F45" s="8" t="s">
        <v>1740</v>
      </c>
      <c r="G45" s="10">
        <v>4569</v>
      </c>
      <c r="H45" s="204">
        <f t="array" ref="H45">IF(OR(N45&gt;0,AC45&gt;0),MAX(N45,AC45),MAX(AK45,V45))</f>
        <v>46247</v>
      </c>
      <c r="I45" s="205">
        <f t="array" ref="I45">IF(SUM(O45,AD45)&gt;0,SUM(O45,AD45),SUM(AL45,W45))</f>
        <v>184</v>
      </c>
      <c r="J45" s="206" t="str">
        <f t="shared" si="8"/>
        <v xml:space="preserve"> </v>
      </c>
      <c r="K45" s="205">
        <f t="shared" si="9"/>
        <v>6</v>
      </c>
      <c r="L45" s="206">
        <f t="shared" si="10"/>
        <v>3.2608695652173911</v>
      </c>
      <c r="M45" s="8" t="str">
        <f t="array" ref="M45">IF(L45&gt;5,"Perlu Sensus",IF(AND(L45&gt;=0,I45&gt;0),"Tetap Deteksi","Belum Deteksi"))</f>
        <v>Tetap Deteksi</v>
      </c>
      <c r="N45" s="11">
        <v>46240</v>
      </c>
      <c r="O45" s="143">
        <v>90</v>
      </c>
      <c r="P45" s="9">
        <f t="shared" ref="P45" si="56">IFERROR(O45/#REF!*100,0)</f>
        <v>0</v>
      </c>
      <c r="Q45" s="143">
        <v>3</v>
      </c>
      <c r="R45" s="9">
        <f t="shared" si="2"/>
        <v>3.3333333333333335</v>
      </c>
      <c r="S45" s="8" t="str">
        <f t="shared" si="12"/>
        <v>Tetap Deteksi</v>
      </c>
      <c r="T45" s="143">
        <v>3</v>
      </c>
      <c r="U45" s="9">
        <f t="shared" si="13"/>
        <v>3.3333333333333335</v>
      </c>
      <c r="V45" s="11"/>
      <c r="W45" s="143"/>
      <c r="X45" s="143"/>
      <c r="Y45" s="9">
        <f t="shared" si="3"/>
        <v>0</v>
      </c>
      <c r="Z45" s="8" t="str">
        <f t="shared" si="4"/>
        <v>Belum Deteksi</v>
      </c>
      <c r="AA45" s="143"/>
      <c r="AB45" s="9">
        <f t="shared" si="14"/>
        <v>0</v>
      </c>
      <c r="AC45" s="11">
        <v>46247</v>
      </c>
      <c r="AD45" s="143">
        <v>94</v>
      </c>
      <c r="AE45" s="9">
        <f t="shared" si="15"/>
        <v>2.0573429634493321</v>
      </c>
      <c r="AF45" s="143">
        <v>3</v>
      </c>
      <c r="AG45" s="9">
        <f t="shared" si="5"/>
        <v>3.1914893617021276</v>
      </c>
      <c r="AH45" s="8" t="str">
        <f t="shared" si="16"/>
        <v>Tetap Deteksi</v>
      </c>
      <c r="AI45" s="143">
        <v>2</v>
      </c>
      <c r="AJ45" s="9">
        <f t="shared" si="17"/>
        <v>2.1276595744680851</v>
      </c>
      <c r="AK45" s="11"/>
      <c r="AL45" s="143"/>
      <c r="AM45" s="143"/>
      <c r="AN45" s="9">
        <f t="shared" si="6"/>
        <v>0</v>
      </c>
      <c r="AO45" s="8" t="str">
        <f t="shared" si="7"/>
        <v>Belum Deteksi</v>
      </c>
      <c r="AP45" s="143"/>
      <c r="AQ45" s="9">
        <f t="shared" si="18"/>
        <v>0</v>
      </c>
    </row>
    <row r="46" spans="1:45" outlineLevel="1" x14ac:dyDescent="0.15">
      <c r="A46" s="8" t="s">
        <v>1970</v>
      </c>
      <c r="B46" s="8"/>
      <c r="C46" s="8" t="s">
        <v>47</v>
      </c>
      <c r="D46" s="8" t="s">
        <v>2006</v>
      </c>
      <c r="E46" s="9">
        <v>29.220000000000002</v>
      </c>
      <c r="F46" s="8" t="s">
        <v>1740</v>
      </c>
      <c r="G46" s="10">
        <v>3838</v>
      </c>
      <c r="H46" s="204">
        <f t="array" ref="H46">IF(OR(N46&gt;0,AC46&gt;0),MAX(N46,AC46),MAX(AK46,V46))</f>
        <v>46247</v>
      </c>
      <c r="I46" s="205">
        <f t="array" ref="I46">IF(SUM(O46,AD46)&gt;0,SUM(O46,AD46),SUM(AL46,W46))</f>
        <v>180</v>
      </c>
      <c r="J46" s="206" t="str">
        <f t="shared" si="8"/>
        <v xml:space="preserve"> </v>
      </c>
      <c r="K46" s="205">
        <f t="shared" si="9"/>
        <v>5</v>
      </c>
      <c r="L46" s="206">
        <f t="shared" si="10"/>
        <v>2.7777777777777777</v>
      </c>
      <c r="M46" s="8" t="str">
        <f t="array" ref="M46">IF(L46&gt;5,"Perlu Sensus",IF(AND(L46&gt;=0,I46&gt;0),"Tetap Deteksi","Belum Deteksi"))</f>
        <v>Tetap Deteksi</v>
      </c>
      <c r="N46" s="11">
        <v>46239</v>
      </c>
      <c r="O46" s="143">
        <v>87</v>
      </c>
      <c r="P46" s="9">
        <f t="shared" ref="P46" si="57">IFERROR(O46/#REF!*100,0)</f>
        <v>0</v>
      </c>
      <c r="Q46" s="143">
        <v>3</v>
      </c>
      <c r="R46" s="9">
        <f t="shared" si="2"/>
        <v>3.4482758620689653</v>
      </c>
      <c r="S46" s="8" t="str">
        <f t="shared" si="12"/>
        <v>Tetap Deteksi</v>
      </c>
      <c r="T46" s="143">
        <v>5</v>
      </c>
      <c r="U46" s="9">
        <f t="shared" si="13"/>
        <v>5.7471264367816088</v>
      </c>
      <c r="V46" s="11"/>
      <c r="W46" s="143"/>
      <c r="X46" s="143"/>
      <c r="Y46" s="9">
        <f t="shared" si="3"/>
        <v>0</v>
      </c>
      <c r="Z46" s="8" t="str">
        <f t="shared" si="4"/>
        <v>Belum Deteksi</v>
      </c>
      <c r="AA46" s="143"/>
      <c r="AB46" s="9">
        <f t="shared" si="14"/>
        <v>0</v>
      </c>
      <c r="AC46" s="11">
        <v>46247</v>
      </c>
      <c r="AD46" s="143">
        <v>93</v>
      </c>
      <c r="AE46" s="9">
        <f t="shared" si="15"/>
        <v>2.4231370505471599</v>
      </c>
      <c r="AF46" s="143">
        <v>2</v>
      </c>
      <c r="AG46" s="9">
        <f t="shared" si="5"/>
        <v>2.1505376344086025</v>
      </c>
      <c r="AH46" s="8" t="str">
        <f t="shared" si="16"/>
        <v>Tetap Deteksi</v>
      </c>
      <c r="AI46" s="143">
        <v>1</v>
      </c>
      <c r="AJ46" s="9">
        <f t="shared" si="17"/>
        <v>1.0752688172043012</v>
      </c>
      <c r="AK46" s="11"/>
      <c r="AL46" s="143"/>
      <c r="AM46" s="143"/>
      <c r="AN46" s="9">
        <f t="shared" si="6"/>
        <v>0</v>
      </c>
      <c r="AO46" s="8" t="str">
        <f t="shared" si="7"/>
        <v>Belum Deteksi</v>
      </c>
      <c r="AP46" s="143"/>
      <c r="AQ46" s="9">
        <f t="shared" si="18"/>
        <v>0</v>
      </c>
    </row>
    <row r="47" spans="1:45" outlineLevel="1" x14ac:dyDescent="0.15">
      <c r="A47" s="8" t="s">
        <v>1970</v>
      </c>
      <c r="B47" s="8"/>
      <c r="C47" s="8" t="s">
        <v>47</v>
      </c>
      <c r="D47" s="8" t="s">
        <v>2007</v>
      </c>
      <c r="E47" s="9">
        <v>31.869999999999997</v>
      </c>
      <c r="F47" s="8" t="s">
        <v>1740</v>
      </c>
      <c r="G47" s="10">
        <v>4370</v>
      </c>
      <c r="H47" s="204">
        <f t="array" ref="H47">IF(OR(N47&gt;0,AC47&gt;0),MAX(N47,AC47),MAX(AK47,V47))</f>
        <v>46247</v>
      </c>
      <c r="I47" s="205">
        <f t="array" ref="I47">IF(SUM(O47,AD47)&gt;0,SUM(O47,AD47),SUM(AL47,W47))</f>
        <v>178</v>
      </c>
      <c r="J47" s="206" t="str">
        <f t="shared" si="8"/>
        <v xml:space="preserve"> </v>
      </c>
      <c r="K47" s="205">
        <f t="shared" si="9"/>
        <v>7</v>
      </c>
      <c r="L47" s="206">
        <f t="shared" si="10"/>
        <v>3.9325842696629212</v>
      </c>
      <c r="M47" s="8" t="str">
        <f t="array" ref="M47">IF(L47&gt;5,"Perlu Sensus",IF(AND(L47&gt;=0,I47&gt;0),"Tetap Deteksi","Belum Deteksi"))</f>
        <v>Tetap Deteksi</v>
      </c>
      <c r="N47" s="11">
        <v>46240</v>
      </c>
      <c r="O47" s="143">
        <v>90</v>
      </c>
      <c r="P47" s="9">
        <f t="shared" ref="P47" si="58">IFERROR(O47/#REF!*100,0)</f>
        <v>0</v>
      </c>
      <c r="Q47" s="143">
        <v>3</v>
      </c>
      <c r="R47" s="9">
        <f t="shared" si="2"/>
        <v>3.3333333333333335</v>
      </c>
      <c r="S47" s="8" t="str">
        <f t="shared" si="12"/>
        <v>Tetap Deteksi</v>
      </c>
      <c r="T47" s="143">
        <v>4</v>
      </c>
      <c r="U47" s="9">
        <f t="shared" si="13"/>
        <v>4.4444444444444446</v>
      </c>
      <c r="V47" s="11"/>
      <c r="W47" s="143"/>
      <c r="X47" s="143"/>
      <c r="Y47" s="9">
        <f t="shared" si="3"/>
        <v>0</v>
      </c>
      <c r="Z47" s="8" t="str">
        <f t="shared" si="4"/>
        <v>Belum Deteksi</v>
      </c>
      <c r="AA47" s="143"/>
      <c r="AB47" s="9">
        <f t="shared" si="14"/>
        <v>0</v>
      </c>
      <c r="AC47" s="11">
        <v>46247</v>
      </c>
      <c r="AD47" s="143">
        <v>88</v>
      </c>
      <c r="AE47" s="9">
        <f t="shared" si="15"/>
        <v>2.013729977116705</v>
      </c>
      <c r="AF47" s="143">
        <v>4</v>
      </c>
      <c r="AG47" s="9">
        <f t="shared" si="5"/>
        <v>4.5454545454545459</v>
      </c>
      <c r="AH47" s="8" t="str">
        <f t="shared" si="16"/>
        <v>Tetap Deteksi</v>
      </c>
      <c r="AI47" s="143">
        <v>3</v>
      </c>
      <c r="AJ47" s="9">
        <f t="shared" si="17"/>
        <v>3.4090909090909087</v>
      </c>
      <c r="AK47" s="11">
        <v>46242</v>
      </c>
      <c r="AL47" s="143">
        <v>697</v>
      </c>
      <c r="AM47" s="143">
        <v>10</v>
      </c>
      <c r="AN47" s="9">
        <f t="shared" si="6"/>
        <v>1.4347202295552368</v>
      </c>
      <c r="AO47" s="8" t="str">
        <f t="shared" si="7"/>
        <v>Tetap Deteksi</v>
      </c>
      <c r="AP47" s="143">
        <v>7</v>
      </c>
      <c r="AQ47" s="9">
        <f t="shared" si="18"/>
        <v>1.0043041606886656</v>
      </c>
    </row>
    <row r="48" spans="1:45" outlineLevel="1" x14ac:dyDescent="0.15">
      <c r="A48" s="8" t="s">
        <v>1970</v>
      </c>
      <c r="B48" s="8"/>
      <c r="C48" s="8" t="s">
        <v>47</v>
      </c>
      <c r="D48" s="8" t="s">
        <v>2008</v>
      </c>
      <c r="E48" s="9">
        <v>35.04</v>
      </c>
      <c r="F48" s="8" t="s">
        <v>1740</v>
      </c>
      <c r="G48" s="10">
        <v>5100</v>
      </c>
      <c r="H48" s="204">
        <f t="array" ref="H48">IF(OR(N48&gt;0,AC48&gt;0),MAX(N48,AC48),MAX(AK48,V48))</f>
        <v>46246</v>
      </c>
      <c r="I48" s="205">
        <f t="array" ref="I48">IF(SUM(O48,AD48)&gt;0,SUM(O48,AD48),SUM(AL48,W48))</f>
        <v>181</v>
      </c>
      <c r="J48" s="206" t="str">
        <f t="shared" si="8"/>
        <v xml:space="preserve"> </v>
      </c>
      <c r="K48" s="205">
        <f t="shared" si="9"/>
        <v>6</v>
      </c>
      <c r="L48" s="206">
        <f t="shared" si="10"/>
        <v>3.3149171270718232</v>
      </c>
      <c r="M48" s="8" t="str">
        <f t="array" ref="M48">IF(L48&gt;5,"Perlu Sensus",IF(AND(L48&gt;=0,I48&gt;0),"Tetap Deteksi","Belum Deteksi"))</f>
        <v>Tetap Deteksi</v>
      </c>
      <c r="N48" s="11">
        <v>46239</v>
      </c>
      <c r="O48" s="143">
        <v>91</v>
      </c>
      <c r="P48" s="9">
        <f t="shared" ref="P48" si="59">IFERROR(O48/#REF!*100,0)</f>
        <v>0</v>
      </c>
      <c r="Q48" s="143">
        <v>2</v>
      </c>
      <c r="R48" s="9">
        <f t="shared" si="2"/>
        <v>2.197802197802198</v>
      </c>
      <c r="S48" s="8" t="str">
        <f t="shared" si="12"/>
        <v>Tetap Deteksi</v>
      </c>
      <c r="T48" s="143">
        <v>4</v>
      </c>
      <c r="U48" s="9">
        <f t="shared" si="13"/>
        <v>4.395604395604396</v>
      </c>
      <c r="V48" s="11">
        <v>46240</v>
      </c>
      <c r="W48" s="143">
        <v>350</v>
      </c>
      <c r="X48" s="143">
        <v>15</v>
      </c>
      <c r="Y48" s="9">
        <f t="shared" si="3"/>
        <v>4.2857142857142856</v>
      </c>
      <c r="Z48" s="8" t="str">
        <f t="shared" si="4"/>
        <v>Tetap Deteksi</v>
      </c>
      <c r="AA48" s="143">
        <v>9</v>
      </c>
      <c r="AB48" s="9">
        <f t="shared" si="14"/>
        <v>2.5714285714285712</v>
      </c>
      <c r="AC48" s="11">
        <v>46246</v>
      </c>
      <c r="AD48" s="143">
        <v>90</v>
      </c>
      <c r="AE48" s="9">
        <f t="shared" si="15"/>
        <v>1.7647058823529411</v>
      </c>
      <c r="AF48" s="143">
        <v>4</v>
      </c>
      <c r="AG48" s="9">
        <f t="shared" si="5"/>
        <v>4.4444444444444446</v>
      </c>
      <c r="AH48" s="8" t="str">
        <f t="shared" si="16"/>
        <v>Tetap Deteksi</v>
      </c>
      <c r="AI48" s="143">
        <v>3</v>
      </c>
      <c r="AJ48" s="9">
        <f t="shared" si="17"/>
        <v>3.3333333333333335</v>
      </c>
      <c r="AK48" s="11"/>
      <c r="AL48" s="143"/>
      <c r="AM48" s="143"/>
      <c r="AN48" s="9">
        <f t="shared" si="6"/>
        <v>0</v>
      </c>
      <c r="AO48" s="8" t="str">
        <f t="shared" si="7"/>
        <v>Belum Deteksi</v>
      </c>
      <c r="AP48" s="143"/>
      <c r="AQ48" s="9">
        <f t="shared" si="18"/>
        <v>0</v>
      </c>
      <c r="AS48" s="3" t="s">
        <v>2172</v>
      </c>
    </row>
    <row r="49" spans="1:45" outlineLevel="1" x14ac:dyDescent="0.15">
      <c r="A49" s="8" t="s">
        <v>1970</v>
      </c>
      <c r="B49" s="8"/>
      <c r="C49" s="8" t="s">
        <v>47</v>
      </c>
      <c r="D49" s="8" t="s">
        <v>2009</v>
      </c>
      <c r="E49" s="9">
        <v>25.32</v>
      </c>
      <c r="F49" s="8" t="s">
        <v>1740</v>
      </c>
      <c r="G49" s="10">
        <v>3740</v>
      </c>
      <c r="H49" s="204">
        <f t="array" ref="H49">IF(OR(N49&gt;0,AC49&gt;0),MAX(N49,AC49),MAX(AK49,V49))</f>
        <v>46246</v>
      </c>
      <c r="I49" s="205">
        <f t="array" ref="I49">IF(SUM(O49,AD49)&gt;0,SUM(O49,AD49),SUM(AL49,W49))</f>
        <v>168</v>
      </c>
      <c r="J49" s="206" t="str">
        <f t="shared" si="8"/>
        <v xml:space="preserve"> </v>
      </c>
      <c r="K49" s="205">
        <f t="shared" si="9"/>
        <v>5</v>
      </c>
      <c r="L49" s="206">
        <f t="shared" si="10"/>
        <v>2.9761904761904758</v>
      </c>
      <c r="M49" s="8" t="str">
        <f t="array" ref="M49">IF(L49&gt;5,"Perlu Sensus",IF(AND(L49&gt;=0,I49&gt;0),"Tetap Deteksi","Belum Deteksi"))</f>
        <v>Tetap Deteksi</v>
      </c>
      <c r="N49" s="11">
        <v>46240</v>
      </c>
      <c r="O49" s="143">
        <v>82</v>
      </c>
      <c r="P49" s="9">
        <f t="shared" ref="P49" si="60">IFERROR(O49/#REF!*100,0)</f>
        <v>0</v>
      </c>
      <c r="Q49" s="143">
        <v>2</v>
      </c>
      <c r="R49" s="9">
        <f t="shared" si="2"/>
        <v>2.4390243902439024</v>
      </c>
      <c r="S49" s="8" t="str">
        <f t="shared" si="12"/>
        <v>Tetap Deteksi</v>
      </c>
      <c r="T49" s="143">
        <v>4</v>
      </c>
      <c r="U49" s="9">
        <f t="shared" si="13"/>
        <v>4.8780487804878048</v>
      </c>
      <c r="V49" s="11">
        <v>46239</v>
      </c>
      <c r="W49" s="143">
        <v>415</v>
      </c>
      <c r="X49" s="143">
        <v>8</v>
      </c>
      <c r="Y49" s="9">
        <f t="shared" si="3"/>
        <v>1.9277108433734942</v>
      </c>
      <c r="Z49" s="8" t="str">
        <f t="shared" si="4"/>
        <v>Tetap Deteksi</v>
      </c>
      <c r="AA49" s="143">
        <v>5</v>
      </c>
      <c r="AB49" s="9">
        <f t="shared" si="14"/>
        <v>1.2048192771084338</v>
      </c>
      <c r="AC49" s="11">
        <v>46246</v>
      </c>
      <c r="AD49" s="143">
        <v>86</v>
      </c>
      <c r="AE49" s="9">
        <f t="shared" si="15"/>
        <v>2.2994652406417111</v>
      </c>
      <c r="AF49" s="143">
        <v>3</v>
      </c>
      <c r="AG49" s="9">
        <f t="shared" si="5"/>
        <v>3.4883720930232558</v>
      </c>
      <c r="AH49" s="8" t="str">
        <f t="shared" si="16"/>
        <v>Tetap Deteksi</v>
      </c>
      <c r="AI49" s="143">
        <v>3</v>
      </c>
      <c r="AJ49" s="9">
        <f t="shared" si="17"/>
        <v>3.4883720930232558</v>
      </c>
      <c r="AK49" s="11"/>
      <c r="AL49" s="143"/>
      <c r="AM49" s="143"/>
      <c r="AN49" s="9">
        <f t="shared" si="6"/>
        <v>0</v>
      </c>
      <c r="AO49" s="8" t="str">
        <f t="shared" si="7"/>
        <v>Belum Deteksi</v>
      </c>
      <c r="AP49" s="143"/>
      <c r="AQ49" s="9">
        <f t="shared" si="18"/>
        <v>0</v>
      </c>
    </row>
    <row r="50" spans="1:45" outlineLevel="1" x14ac:dyDescent="0.15">
      <c r="A50" s="8" t="s">
        <v>1970</v>
      </c>
      <c r="B50" s="8"/>
      <c r="C50" s="8" t="s">
        <v>47</v>
      </c>
      <c r="D50" s="8" t="s">
        <v>2010</v>
      </c>
      <c r="E50" s="9">
        <v>32.68</v>
      </c>
      <c r="F50" s="8" t="s">
        <v>1740</v>
      </c>
      <c r="G50" s="10">
        <v>4375</v>
      </c>
      <c r="H50" s="204">
        <f t="array" ref="H50">IF(OR(N50&gt;0,AC50&gt;0),MAX(N50,AC50),MAX(AK50,V50))</f>
        <v>46246</v>
      </c>
      <c r="I50" s="205">
        <f t="array" ref="I50">IF(SUM(O50,AD50)&gt;0,SUM(O50,AD50),SUM(AL50,W50))</f>
        <v>194</v>
      </c>
      <c r="J50" s="206" t="str">
        <f t="shared" si="8"/>
        <v xml:space="preserve"> </v>
      </c>
      <c r="K50" s="205">
        <f t="shared" si="9"/>
        <v>7</v>
      </c>
      <c r="L50" s="206">
        <f t="shared" si="10"/>
        <v>3.608247422680412</v>
      </c>
      <c r="M50" s="8" t="str">
        <f t="array" ref="M50">IF(L50&gt;5,"Perlu Sensus",IF(AND(L50&gt;=0,I50&gt;0),"Tetap Deteksi","Belum Deteksi"))</f>
        <v>Tetap Deteksi</v>
      </c>
      <c r="N50" s="11">
        <v>46238</v>
      </c>
      <c r="O50" s="143">
        <v>96</v>
      </c>
      <c r="P50" s="9">
        <f t="shared" ref="P50" si="61">IFERROR(O50/#REF!*100,0)</f>
        <v>0</v>
      </c>
      <c r="Q50" s="143">
        <v>3</v>
      </c>
      <c r="R50" s="9">
        <f t="shared" si="2"/>
        <v>3.125</v>
      </c>
      <c r="S50" s="8" t="str">
        <f t="shared" si="12"/>
        <v>Tetap Deteksi</v>
      </c>
      <c r="T50" s="143">
        <v>5</v>
      </c>
      <c r="U50" s="9">
        <f t="shared" si="13"/>
        <v>5.2083333333333339</v>
      </c>
      <c r="V50" s="11">
        <v>46238</v>
      </c>
      <c r="W50" s="143">
        <v>205</v>
      </c>
      <c r="X50" s="143">
        <v>11</v>
      </c>
      <c r="Y50" s="9">
        <f t="shared" si="3"/>
        <v>5.3658536585365857</v>
      </c>
      <c r="Z50" s="8" t="str">
        <f t="shared" si="4"/>
        <v>Perlu Sensus</v>
      </c>
      <c r="AA50" s="143">
        <v>7</v>
      </c>
      <c r="AB50" s="9">
        <f t="shared" si="14"/>
        <v>3.4146341463414638</v>
      </c>
      <c r="AC50" s="11">
        <v>46246</v>
      </c>
      <c r="AD50" s="143">
        <v>98</v>
      </c>
      <c r="AE50" s="9">
        <f t="shared" si="15"/>
        <v>2.2399999999999998</v>
      </c>
      <c r="AF50" s="143">
        <v>4</v>
      </c>
      <c r="AG50" s="9">
        <f t="shared" si="5"/>
        <v>4.0816326530612246</v>
      </c>
      <c r="AH50" s="8" t="str">
        <f t="shared" si="16"/>
        <v>Tetap Deteksi</v>
      </c>
      <c r="AI50" s="143">
        <v>2</v>
      </c>
      <c r="AJ50" s="9">
        <f t="shared" si="17"/>
        <v>2.0408163265306123</v>
      </c>
      <c r="AK50" s="11"/>
      <c r="AL50" s="143"/>
      <c r="AM50" s="143"/>
      <c r="AN50" s="9">
        <f t="shared" si="6"/>
        <v>0</v>
      </c>
      <c r="AO50" s="8" t="str">
        <f t="shared" si="7"/>
        <v>Belum Deteksi</v>
      </c>
      <c r="AP50" s="143"/>
      <c r="AQ50" s="9">
        <f t="shared" si="18"/>
        <v>0</v>
      </c>
    </row>
    <row r="51" spans="1:45" outlineLevel="1" x14ac:dyDescent="0.15">
      <c r="A51" s="8" t="s">
        <v>1970</v>
      </c>
      <c r="B51" s="8"/>
      <c r="C51" s="8" t="s">
        <v>47</v>
      </c>
      <c r="D51" s="8" t="s">
        <v>2011</v>
      </c>
      <c r="E51" s="9">
        <v>29.29</v>
      </c>
      <c r="F51" s="8" t="s">
        <v>1740</v>
      </c>
      <c r="G51" s="10">
        <v>3878</v>
      </c>
      <c r="H51" s="204">
        <f t="array" ref="H51">IF(OR(N51&gt;0,AC51&gt;0),MAX(N51,AC51),MAX(AK51,V51))</f>
        <v>46246</v>
      </c>
      <c r="I51" s="205">
        <f t="array" ref="I51">IF(SUM(O51,AD51)&gt;0,SUM(O51,AD51),SUM(AL51,W51))</f>
        <v>163</v>
      </c>
      <c r="J51" s="206" t="str">
        <f t="shared" si="8"/>
        <v xml:space="preserve"> </v>
      </c>
      <c r="K51" s="205">
        <f t="shared" si="9"/>
        <v>4</v>
      </c>
      <c r="L51" s="206">
        <f t="shared" si="10"/>
        <v>2.4539877300613497</v>
      </c>
      <c r="M51" s="8" t="str">
        <f t="array" ref="M51">IF(L51&gt;5,"Perlu Sensus",IF(AND(L51&gt;=0,I51&gt;0),"Tetap Deteksi","Belum Deteksi"))</f>
        <v>Tetap Deteksi</v>
      </c>
      <c r="N51" s="11">
        <v>46237</v>
      </c>
      <c r="O51" s="143">
        <v>85</v>
      </c>
      <c r="P51" s="9">
        <f t="shared" ref="P51" si="62">IFERROR(O51/#REF!*100,0)</f>
        <v>0</v>
      </c>
      <c r="Q51" s="143">
        <v>2</v>
      </c>
      <c r="R51" s="9">
        <f t="shared" si="2"/>
        <v>2.3529411764705883</v>
      </c>
      <c r="S51" s="8" t="str">
        <f t="shared" si="12"/>
        <v>Tetap Deteksi</v>
      </c>
      <c r="T51" s="143">
        <v>4</v>
      </c>
      <c r="U51" s="9">
        <f t="shared" si="13"/>
        <v>4.7058823529411766</v>
      </c>
      <c r="V51" s="11">
        <v>46237</v>
      </c>
      <c r="W51" s="143">
        <v>405</v>
      </c>
      <c r="X51" s="143">
        <v>10</v>
      </c>
      <c r="Y51" s="9">
        <f t="shared" si="3"/>
        <v>2.4691358024691357</v>
      </c>
      <c r="Z51" s="8" t="str">
        <f t="shared" si="4"/>
        <v>Tetap Deteksi</v>
      </c>
      <c r="AA51" s="143">
        <v>5</v>
      </c>
      <c r="AB51" s="9">
        <f t="shared" si="14"/>
        <v>1.2345679012345678</v>
      </c>
      <c r="AC51" s="11">
        <v>46246</v>
      </c>
      <c r="AD51" s="143">
        <v>78</v>
      </c>
      <c r="AE51" s="9">
        <f t="shared" si="15"/>
        <v>2.0113460546673543</v>
      </c>
      <c r="AF51" s="143">
        <v>2</v>
      </c>
      <c r="AG51" s="9">
        <f t="shared" si="5"/>
        <v>2.5641025641025639</v>
      </c>
      <c r="AH51" s="8" t="str">
        <f t="shared" si="16"/>
        <v>Tetap Deteksi</v>
      </c>
      <c r="AI51" s="143">
        <v>3</v>
      </c>
      <c r="AJ51" s="9">
        <f t="shared" si="17"/>
        <v>3.8461538461538463</v>
      </c>
      <c r="AK51" s="11"/>
      <c r="AL51" s="143"/>
      <c r="AM51" s="143"/>
      <c r="AN51" s="9">
        <f t="shared" si="6"/>
        <v>0</v>
      </c>
      <c r="AO51" s="8" t="str">
        <f t="shared" si="7"/>
        <v>Belum Deteksi</v>
      </c>
      <c r="AP51" s="143"/>
      <c r="AQ51" s="9">
        <f t="shared" si="18"/>
        <v>0</v>
      </c>
    </row>
    <row r="52" spans="1:45" outlineLevel="1" x14ac:dyDescent="0.15">
      <c r="A52" s="8" t="s">
        <v>1970</v>
      </c>
      <c r="B52" s="8"/>
      <c r="C52" s="8" t="s">
        <v>47</v>
      </c>
      <c r="D52" s="8" t="s">
        <v>2012</v>
      </c>
      <c r="E52" s="9">
        <v>38.56</v>
      </c>
      <c r="F52" s="8" t="s">
        <v>1740</v>
      </c>
      <c r="G52" s="10">
        <v>4874</v>
      </c>
      <c r="H52" s="204">
        <f t="array" ref="H52">IF(OR(N52&gt;0,AC52&gt;0),MAX(N52,AC52),MAX(AK52,V52))</f>
        <v>46246</v>
      </c>
      <c r="I52" s="205">
        <f t="array" ref="I52">IF(SUM(O52,AD52)&gt;0,SUM(O52,AD52),SUM(AL52,W52))</f>
        <v>178</v>
      </c>
      <c r="J52" s="206" t="str">
        <f t="shared" si="8"/>
        <v xml:space="preserve"> </v>
      </c>
      <c r="K52" s="205">
        <f t="shared" si="9"/>
        <v>5</v>
      </c>
      <c r="L52" s="206">
        <f t="shared" si="10"/>
        <v>2.8089887640449436</v>
      </c>
      <c r="M52" s="8" t="str">
        <f t="array" ref="M52">IF(L52&gt;5,"Perlu Sensus",IF(AND(L52&gt;=0,I52&gt;0),"Tetap Deteksi","Belum Deteksi"))</f>
        <v>Tetap Deteksi</v>
      </c>
      <c r="N52" s="11">
        <v>46237</v>
      </c>
      <c r="O52" s="143">
        <v>89</v>
      </c>
      <c r="P52" s="9">
        <f t="shared" ref="P52" si="63">IFERROR(O52/#REF!*100,0)</f>
        <v>0</v>
      </c>
      <c r="Q52" s="143">
        <v>2</v>
      </c>
      <c r="R52" s="9">
        <f t="shared" si="2"/>
        <v>2.2471910112359552</v>
      </c>
      <c r="S52" s="8" t="str">
        <f t="shared" si="12"/>
        <v>Tetap Deteksi</v>
      </c>
      <c r="T52" s="143">
        <v>1</v>
      </c>
      <c r="U52" s="9">
        <f t="shared" si="13"/>
        <v>1.1235955056179776</v>
      </c>
      <c r="V52" s="11">
        <v>46235</v>
      </c>
      <c r="W52" s="143">
        <v>520</v>
      </c>
      <c r="X52" s="143">
        <v>15</v>
      </c>
      <c r="Y52" s="9">
        <f t="shared" si="3"/>
        <v>2.8846153846153846</v>
      </c>
      <c r="Z52" s="8" t="str">
        <f t="shared" si="4"/>
        <v>Tetap Deteksi</v>
      </c>
      <c r="AA52" s="143">
        <v>5</v>
      </c>
      <c r="AB52" s="9">
        <f t="shared" si="14"/>
        <v>0.96153846153846156</v>
      </c>
      <c r="AC52" s="11">
        <v>46246</v>
      </c>
      <c r="AD52" s="143">
        <v>89</v>
      </c>
      <c r="AE52" s="9">
        <f t="shared" si="15"/>
        <v>1.8260155929421418</v>
      </c>
      <c r="AF52" s="143">
        <v>3</v>
      </c>
      <c r="AG52" s="9">
        <f t="shared" si="5"/>
        <v>3.3707865168539324</v>
      </c>
      <c r="AH52" s="8" t="str">
        <f t="shared" si="16"/>
        <v>Tetap Deteksi</v>
      </c>
      <c r="AI52" s="143">
        <v>2</v>
      </c>
      <c r="AJ52" s="9">
        <f t="shared" si="17"/>
        <v>2.2471910112359552</v>
      </c>
      <c r="AK52" s="11"/>
      <c r="AL52" s="143"/>
      <c r="AM52" s="143"/>
      <c r="AN52" s="9">
        <f t="shared" si="6"/>
        <v>0</v>
      </c>
      <c r="AO52" s="8" t="str">
        <f t="shared" si="7"/>
        <v>Belum Deteksi</v>
      </c>
      <c r="AP52" s="143"/>
      <c r="AQ52" s="9">
        <f t="shared" si="18"/>
        <v>0</v>
      </c>
    </row>
    <row r="53" spans="1:45" outlineLevel="1" x14ac:dyDescent="0.15">
      <c r="A53" s="8" t="s">
        <v>1970</v>
      </c>
      <c r="B53" s="8"/>
      <c r="C53" s="8" t="s">
        <v>47</v>
      </c>
      <c r="D53" s="8" t="s">
        <v>2013</v>
      </c>
      <c r="E53" s="9">
        <v>28.57</v>
      </c>
      <c r="F53" s="8" t="s">
        <v>1740</v>
      </c>
      <c r="G53" s="10">
        <v>3963</v>
      </c>
      <c r="H53" s="204">
        <f t="array" ref="H53">IF(OR(N53&gt;0,AC53&gt;0),MAX(N53,AC53),MAX(AK53,V53))</f>
        <v>46244</v>
      </c>
      <c r="I53" s="205">
        <f t="array" ref="I53">IF(SUM(O53,AD53)&gt;0,SUM(O53,AD53),SUM(AL53,W53))</f>
        <v>172</v>
      </c>
      <c r="J53" s="206" t="str">
        <f t="shared" si="8"/>
        <v xml:space="preserve"> </v>
      </c>
      <c r="K53" s="205">
        <f t="shared" si="9"/>
        <v>6</v>
      </c>
      <c r="L53" s="206">
        <f t="shared" si="10"/>
        <v>3.4883720930232558</v>
      </c>
      <c r="M53" s="8" t="str">
        <f t="array" ref="M53">IF(L53&gt;5,"Perlu Sensus",IF(AND(L53&gt;=0,I53&gt;0),"Tetap Deteksi","Belum Deteksi"))</f>
        <v>Tetap Deteksi</v>
      </c>
      <c r="N53" s="11">
        <v>46238</v>
      </c>
      <c r="O53" s="143">
        <v>87</v>
      </c>
      <c r="P53" s="9">
        <f t="shared" ref="P53" si="64">IFERROR(O53/#REF!*100,0)</f>
        <v>0</v>
      </c>
      <c r="Q53" s="143">
        <v>3</v>
      </c>
      <c r="R53" s="9">
        <f t="shared" si="2"/>
        <v>3.4482758620689653</v>
      </c>
      <c r="S53" s="8" t="str">
        <f t="shared" si="12"/>
        <v>Tetap Deteksi</v>
      </c>
      <c r="T53" s="143">
        <v>4</v>
      </c>
      <c r="U53" s="9">
        <f t="shared" si="13"/>
        <v>4.5977011494252871</v>
      </c>
      <c r="V53" s="11"/>
      <c r="W53" s="143"/>
      <c r="X53" s="143"/>
      <c r="Y53" s="9">
        <f t="shared" si="3"/>
        <v>0</v>
      </c>
      <c r="Z53" s="8" t="str">
        <f t="shared" si="4"/>
        <v>Belum Deteksi</v>
      </c>
      <c r="AA53" s="143"/>
      <c r="AB53" s="9">
        <f t="shared" si="14"/>
        <v>0</v>
      </c>
      <c r="AC53" s="11">
        <v>46244</v>
      </c>
      <c r="AD53" s="143">
        <v>85</v>
      </c>
      <c r="AE53" s="9">
        <f t="shared" si="15"/>
        <v>2.1448397678526367</v>
      </c>
      <c r="AF53" s="143">
        <v>3</v>
      </c>
      <c r="AG53" s="9">
        <f t="shared" si="5"/>
        <v>3.5294117647058822</v>
      </c>
      <c r="AH53" s="8" t="str">
        <f t="shared" si="16"/>
        <v>Tetap Deteksi</v>
      </c>
      <c r="AI53" s="143">
        <v>4</v>
      </c>
      <c r="AJ53" s="9">
        <f t="shared" si="17"/>
        <v>4.7058823529411766</v>
      </c>
      <c r="AK53" s="11"/>
      <c r="AL53" s="143"/>
      <c r="AM53" s="143"/>
      <c r="AN53" s="9">
        <f t="shared" si="6"/>
        <v>0</v>
      </c>
      <c r="AO53" s="8" t="str">
        <f t="shared" si="7"/>
        <v>Belum Deteksi</v>
      </c>
      <c r="AP53" s="143"/>
      <c r="AQ53" s="9">
        <f t="shared" si="18"/>
        <v>0</v>
      </c>
    </row>
    <row r="54" spans="1:45" outlineLevel="1" x14ac:dyDescent="0.15">
      <c r="A54" s="8" t="s">
        <v>1970</v>
      </c>
      <c r="B54" s="8"/>
      <c r="C54" s="8" t="s">
        <v>47</v>
      </c>
      <c r="D54" s="8" t="s">
        <v>2014</v>
      </c>
      <c r="E54" s="9">
        <v>30.95</v>
      </c>
      <c r="F54" s="8" t="s">
        <v>1740</v>
      </c>
      <c r="G54" s="10">
        <v>3979</v>
      </c>
      <c r="H54" s="204">
        <f t="array" ref="H54">IF(OR(N54&gt;0,AC54&gt;0),MAX(N54,AC54),MAX(AK54,V54))</f>
        <v>46246</v>
      </c>
      <c r="I54" s="205">
        <f t="array" ref="I54">IF(SUM(O54,AD54)&gt;0,SUM(O54,AD54),SUM(AL54,W54))</f>
        <v>188</v>
      </c>
      <c r="J54" s="206" t="str">
        <f t="shared" si="8"/>
        <v xml:space="preserve"> </v>
      </c>
      <c r="K54" s="205">
        <f t="shared" si="9"/>
        <v>7</v>
      </c>
      <c r="L54" s="206">
        <f t="shared" si="10"/>
        <v>3.7234042553191489</v>
      </c>
      <c r="M54" s="8" t="str">
        <f t="array" ref="M54">IF(L54&gt;5,"Perlu Sensus",IF(AND(L54&gt;=0,I54&gt;0),"Tetap Deteksi","Belum Deteksi"))</f>
        <v>Tetap Deteksi</v>
      </c>
      <c r="N54" s="11">
        <v>46237</v>
      </c>
      <c r="O54" s="143">
        <v>90</v>
      </c>
      <c r="P54" s="9">
        <f t="shared" ref="P54" si="65">IFERROR(O54/#REF!*100,0)</f>
        <v>0</v>
      </c>
      <c r="Q54" s="143">
        <v>3</v>
      </c>
      <c r="R54" s="9">
        <f t="shared" si="2"/>
        <v>3.3333333333333335</v>
      </c>
      <c r="S54" s="8" t="str">
        <f t="shared" si="12"/>
        <v>Tetap Deteksi</v>
      </c>
      <c r="T54" s="143">
        <v>2</v>
      </c>
      <c r="U54" s="9">
        <f t="shared" si="13"/>
        <v>2.2222222222222223</v>
      </c>
      <c r="V54" s="11"/>
      <c r="W54" s="143"/>
      <c r="X54" s="143"/>
      <c r="Y54" s="9">
        <f t="shared" si="3"/>
        <v>0</v>
      </c>
      <c r="Z54" s="8" t="str">
        <f t="shared" si="4"/>
        <v>Belum Deteksi</v>
      </c>
      <c r="AA54" s="143"/>
      <c r="AB54" s="9">
        <f t="shared" si="14"/>
        <v>0</v>
      </c>
      <c r="AC54" s="11">
        <v>46246</v>
      </c>
      <c r="AD54" s="143">
        <v>98</v>
      </c>
      <c r="AE54" s="9">
        <f t="shared" si="15"/>
        <v>2.4629303845187236</v>
      </c>
      <c r="AF54" s="143">
        <v>4</v>
      </c>
      <c r="AG54" s="9">
        <f t="shared" si="5"/>
        <v>4.0816326530612246</v>
      </c>
      <c r="AH54" s="8" t="str">
        <f t="shared" si="16"/>
        <v>Tetap Deteksi</v>
      </c>
      <c r="AI54" s="143">
        <v>2</v>
      </c>
      <c r="AJ54" s="9">
        <f t="shared" si="17"/>
        <v>2.0408163265306123</v>
      </c>
      <c r="AK54" s="11"/>
      <c r="AL54" s="143"/>
      <c r="AM54" s="143"/>
      <c r="AN54" s="9">
        <f t="shared" si="6"/>
        <v>0</v>
      </c>
      <c r="AO54" s="8" t="str">
        <f t="shared" si="7"/>
        <v>Belum Deteksi</v>
      </c>
      <c r="AP54" s="143"/>
      <c r="AQ54" s="9">
        <f t="shared" si="18"/>
        <v>0</v>
      </c>
    </row>
    <row r="55" spans="1:45" outlineLevel="1" x14ac:dyDescent="0.15">
      <c r="A55" s="8" t="s">
        <v>1970</v>
      </c>
      <c r="B55" s="8"/>
      <c r="C55" s="8" t="s">
        <v>47</v>
      </c>
      <c r="D55" s="186" t="s">
        <v>2015</v>
      </c>
      <c r="E55" s="9">
        <v>38.489999999999995</v>
      </c>
      <c r="F55" s="8" t="s">
        <v>1740</v>
      </c>
      <c r="G55" s="10">
        <v>4900</v>
      </c>
      <c r="H55" s="204">
        <f t="array" ref="H55">IF(OR(N55&gt;0,AC55&gt;0),MAX(N55,AC55),MAX(AK55,V55))</f>
        <v>46246</v>
      </c>
      <c r="I55" s="205">
        <f t="array" ref="I55">IF(SUM(O55,AD55)&gt;0,SUM(O55,AD55),SUM(AL55,W55))</f>
        <v>269</v>
      </c>
      <c r="J55" s="206" t="str">
        <f t="shared" si="8"/>
        <v xml:space="preserve"> </v>
      </c>
      <c r="K55" s="205">
        <f t="shared" si="9"/>
        <v>8</v>
      </c>
      <c r="L55" s="206">
        <f t="shared" si="10"/>
        <v>2.9739776951672861</v>
      </c>
      <c r="M55" s="8" t="str">
        <f t="array" ref="M55">IF(L55&gt;5,"Perlu Sensus",IF(AND(L55&gt;=0,I55&gt;0),"Tetap Deteksi","Belum Deteksi"))</f>
        <v>Tetap Deteksi</v>
      </c>
      <c r="N55" s="11">
        <v>46237</v>
      </c>
      <c r="O55" s="143">
        <v>95</v>
      </c>
      <c r="P55" s="9">
        <f t="shared" ref="P55" si="66">IFERROR(O55/#REF!*100,0)</f>
        <v>0</v>
      </c>
      <c r="Q55" s="143">
        <v>3</v>
      </c>
      <c r="R55" s="9">
        <f t="shared" si="2"/>
        <v>3.1578947368421053</v>
      </c>
      <c r="S55" s="8" t="str">
        <f t="shared" si="12"/>
        <v>Tetap Deteksi</v>
      </c>
      <c r="T55" s="143">
        <v>2</v>
      </c>
      <c r="U55" s="9">
        <f t="shared" si="13"/>
        <v>2.1052631578947367</v>
      </c>
      <c r="V55" s="11"/>
      <c r="W55" s="143"/>
      <c r="X55" s="143"/>
      <c r="Y55" s="9">
        <f t="shared" si="3"/>
        <v>0</v>
      </c>
      <c r="Z55" s="8" t="str">
        <f t="shared" si="4"/>
        <v>Belum Deteksi</v>
      </c>
      <c r="AA55" s="143"/>
      <c r="AB55" s="9">
        <f t="shared" si="14"/>
        <v>0</v>
      </c>
      <c r="AC55" s="11">
        <v>46246</v>
      </c>
      <c r="AD55" s="143">
        <v>174</v>
      </c>
      <c r="AE55" s="9">
        <f t="shared" si="15"/>
        <v>3.5510204081632657</v>
      </c>
      <c r="AF55" s="143">
        <v>5</v>
      </c>
      <c r="AG55" s="9">
        <f t="shared" si="5"/>
        <v>2.8735632183908044</v>
      </c>
      <c r="AH55" s="8" t="str">
        <f t="shared" si="16"/>
        <v>Tetap Deteksi</v>
      </c>
      <c r="AI55" s="143">
        <v>7</v>
      </c>
      <c r="AJ55" s="9">
        <f t="shared" si="17"/>
        <v>4.0229885057471266</v>
      </c>
      <c r="AK55" s="11"/>
      <c r="AL55" s="143"/>
      <c r="AM55" s="143"/>
      <c r="AN55" s="9">
        <f t="shared" si="6"/>
        <v>0</v>
      </c>
      <c r="AO55" s="8" t="str">
        <f t="shared" si="7"/>
        <v>Belum Deteksi</v>
      </c>
      <c r="AP55" s="143"/>
      <c r="AQ55" s="9">
        <f t="shared" si="18"/>
        <v>0</v>
      </c>
    </row>
    <row r="56" spans="1:45" outlineLevel="1" x14ac:dyDescent="0.15">
      <c r="A56" s="8" t="s">
        <v>1970</v>
      </c>
      <c r="B56" s="8"/>
      <c r="C56" s="8" t="s">
        <v>47</v>
      </c>
      <c r="D56" s="186" t="s">
        <v>2016</v>
      </c>
      <c r="E56" s="9">
        <v>37.44</v>
      </c>
      <c r="F56" s="8" t="s">
        <v>1740</v>
      </c>
      <c r="G56" s="10">
        <v>5152</v>
      </c>
      <c r="H56" s="204">
        <f t="array" ref="H56">IF(OR(N56&gt;0,AC56&gt;0),MAX(N56,AC56),MAX(AK56,V56))</f>
        <v>46242</v>
      </c>
      <c r="I56" s="205">
        <f t="array" ref="I56">IF(SUM(O56,AD56)&gt;0,SUM(O56,AD56),SUM(AL56,W56))</f>
        <v>166</v>
      </c>
      <c r="J56" s="206" t="str">
        <f t="shared" si="8"/>
        <v xml:space="preserve"> </v>
      </c>
      <c r="K56" s="205">
        <f t="shared" si="9"/>
        <v>4</v>
      </c>
      <c r="L56" s="206">
        <f t="shared" si="10"/>
        <v>2.4096385542168677</v>
      </c>
      <c r="M56" s="8" t="str">
        <f t="array" ref="M56">IF(L56&gt;5,"Perlu Sensus",IF(AND(L56&gt;=0,I56&gt;0),"Tetap Deteksi","Belum Deteksi"))</f>
        <v>Tetap Deteksi</v>
      </c>
      <c r="N56" s="11">
        <v>46237</v>
      </c>
      <c r="O56" s="143">
        <v>84</v>
      </c>
      <c r="P56" s="9">
        <f t="shared" ref="P56" si="67">IFERROR(O56/#REF!*100,0)</f>
        <v>0</v>
      </c>
      <c r="Q56" s="143">
        <v>2</v>
      </c>
      <c r="R56" s="9">
        <f t="shared" si="2"/>
        <v>2.3809523809523809</v>
      </c>
      <c r="S56" s="8" t="str">
        <f t="shared" si="12"/>
        <v>Tetap Deteksi</v>
      </c>
      <c r="T56" s="143">
        <v>4</v>
      </c>
      <c r="U56" s="9">
        <f t="shared" si="13"/>
        <v>4.7619047619047619</v>
      </c>
      <c r="V56" s="11"/>
      <c r="W56" s="143"/>
      <c r="X56" s="143"/>
      <c r="Y56" s="9">
        <f t="shared" si="3"/>
        <v>0</v>
      </c>
      <c r="Z56" s="8" t="str">
        <f t="shared" si="4"/>
        <v>Belum Deteksi</v>
      </c>
      <c r="AA56" s="143"/>
      <c r="AB56" s="9">
        <f t="shared" si="14"/>
        <v>0</v>
      </c>
      <c r="AC56" s="11">
        <v>46242</v>
      </c>
      <c r="AD56" s="143">
        <v>82</v>
      </c>
      <c r="AE56" s="9">
        <f t="shared" si="15"/>
        <v>1.591614906832298</v>
      </c>
      <c r="AF56" s="143">
        <v>2</v>
      </c>
      <c r="AG56" s="9">
        <f t="shared" si="5"/>
        <v>2.4390243902439024</v>
      </c>
      <c r="AH56" s="8" t="str">
        <f t="shared" si="16"/>
        <v>Tetap Deteksi</v>
      </c>
      <c r="AI56" s="143">
        <v>4</v>
      </c>
      <c r="AJ56" s="9">
        <f t="shared" si="17"/>
        <v>4.8780487804878048</v>
      </c>
      <c r="AK56" s="11"/>
      <c r="AL56" s="143"/>
      <c r="AM56" s="143"/>
      <c r="AN56" s="9">
        <f t="shared" si="6"/>
        <v>0</v>
      </c>
      <c r="AO56" s="8" t="str">
        <f t="shared" si="7"/>
        <v>Belum Deteksi</v>
      </c>
      <c r="AP56" s="143"/>
      <c r="AQ56" s="9">
        <f t="shared" si="18"/>
        <v>0</v>
      </c>
    </row>
    <row r="57" spans="1:45" outlineLevel="1" x14ac:dyDescent="0.15">
      <c r="A57" s="8" t="s">
        <v>1970</v>
      </c>
      <c r="B57" s="8"/>
      <c r="C57" s="8" t="s">
        <v>79</v>
      </c>
      <c r="D57" s="186" t="s">
        <v>1136</v>
      </c>
      <c r="E57" s="9">
        <v>27.78</v>
      </c>
      <c r="F57" s="8" t="s">
        <v>1740</v>
      </c>
      <c r="G57" s="10">
        <v>3378</v>
      </c>
      <c r="H57" s="204">
        <f t="array" ref="H57">IF(OR(N57&gt;0,AC57&gt;0),MAX(N57,AC57),MAX(AK57,V57))</f>
        <v>46248</v>
      </c>
      <c r="I57" s="205">
        <f t="array" ref="I57">IF(SUM(O57,AD57)&gt;0,SUM(O57,AD57),SUM(AL57,W57))</f>
        <v>156</v>
      </c>
      <c r="J57" s="206" t="str">
        <f t="shared" si="8"/>
        <v xml:space="preserve"> </v>
      </c>
      <c r="K57" s="205">
        <f t="shared" si="9"/>
        <v>6</v>
      </c>
      <c r="L57" s="206">
        <f t="shared" si="10"/>
        <v>3.8461538461538463</v>
      </c>
      <c r="M57" s="8" t="str">
        <f t="array" ref="M57">IF(L57&gt;5,"Perlu Sensus",IF(AND(L57&gt;=0,I57&gt;0),"Tetap Deteksi","Belum Deteksi"))</f>
        <v>Tetap Deteksi</v>
      </c>
      <c r="N57" s="11">
        <v>46239</v>
      </c>
      <c r="O57" s="143">
        <v>60</v>
      </c>
      <c r="P57" s="9">
        <f t="shared" ref="P57" si="68">IFERROR(O57/#REF!*100,0)</f>
        <v>0</v>
      </c>
      <c r="Q57" s="143">
        <v>2</v>
      </c>
      <c r="R57" s="9">
        <f t="shared" si="2"/>
        <v>3.3333333333333335</v>
      </c>
      <c r="S57" s="8" t="str">
        <f t="shared" si="12"/>
        <v>Tetap Deteksi</v>
      </c>
      <c r="T57" s="143">
        <v>2</v>
      </c>
      <c r="U57" s="9">
        <f t="shared" si="13"/>
        <v>3.3333333333333335</v>
      </c>
      <c r="V57" s="11">
        <v>46239</v>
      </c>
      <c r="W57" s="143">
        <v>626</v>
      </c>
      <c r="X57" s="143">
        <v>21</v>
      </c>
      <c r="Y57" s="9">
        <f t="shared" si="3"/>
        <v>3.3546325878594248</v>
      </c>
      <c r="Z57" s="8" t="str">
        <f t="shared" si="4"/>
        <v>Tetap Deteksi</v>
      </c>
      <c r="AA57" s="143">
        <v>26</v>
      </c>
      <c r="AB57" s="9">
        <f t="shared" si="14"/>
        <v>4.1533546325878596</v>
      </c>
      <c r="AC57" s="11">
        <v>46248</v>
      </c>
      <c r="AD57" s="143">
        <v>96</v>
      </c>
      <c r="AE57" s="9">
        <f t="shared" si="15"/>
        <v>2.8419182948490231</v>
      </c>
      <c r="AF57" s="143">
        <v>4</v>
      </c>
      <c r="AG57" s="9">
        <f t="shared" si="5"/>
        <v>4.1666666666666661</v>
      </c>
      <c r="AH57" s="8" t="str">
        <f t="shared" si="16"/>
        <v>Tetap Deteksi</v>
      </c>
      <c r="AI57" s="143">
        <v>3</v>
      </c>
      <c r="AJ57" s="9">
        <f t="shared" si="17"/>
        <v>3.125</v>
      </c>
      <c r="AK57" s="11">
        <v>46247</v>
      </c>
      <c r="AL57" s="143">
        <v>443</v>
      </c>
      <c r="AM57" s="143">
        <v>16</v>
      </c>
      <c r="AN57" s="9">
        <f t="shared" si="6"/>
        <v>3.6117381489841982</v>
      </c>
      <c r="AO57" s="8" t="str">
        <f t="shared" si="7"/>
        <v>Tetap Deteksi</v>
      </c>
      <c r="AP57" s="143">
        <v>30</v>
      </c>
      <c r="AQ57" s="9">
        <f t="shared" si="18"/>
        <v>6.772009029345373</v>
      </c>
    </row>
    <row r="58" spans="1:45" outlineLevel="1" x14ac:dyDescent="0.15">
      <c r="A58" s="8" t="s">
        <v>1970</v>
      </c>
      <c r="B58" s="8"/>
      <c r="C58" s="8" t="s">
        <v>79</v>
      </c>
      <c r="D58" s="8" t="s">
        <v>1137</v>
      </c>
      <c r="E58" s="9">
        <v>28.79</v>
      </c>
      <c r="F58" s="8" t="s">
        <v>1740</v>
      </c>
      <c r="G58" s="10">
        <v>2640</v>
      </c>
      <c r="H58" s="204">
        <f t="array" ref="H58">IF(OR(N58&gt;0,AC58&gt;0),MAX(N58,AC58),MAX(AK58,V58))</f>
        <v>46247</v>
      </c>
      <c r="I58" s="205">
        <f t="array" ref="I58">IF(SUM(O58,AD58)&gt;0,SUM(O58,AD58),SUM(AL58,W58))</f>
        <v>322</v>
      </c>
      <c r="J58" s="206" t="str">
        <f t="shared" si="8"/>
        <v xml:space="preserve"> </v>
      </c>
      <c r="K58" s="205">
        <f t="shared" si="9"/>
        <v>6</v>
      </c>
      <c r="L58" s="206">
        <f t="shared" si="10"/>
        <v>1.8633540372670807</v>
      </c>
      <c r="M58" s="8" t="str">
        <f t="array" ref="M58">IF(L58&gt;5,"Perlu Sensus",IF(AND(L58&gt;=0,I58&gt;0),"Tetap Deteksi","Belum Deteksi"))</f>
        <v>Tetap Deteksi</v>
      </c>
      <c r="N58" s="11">
        <v>46240</v>
      </c>
      <c r="O58" s="143">
        <v>242</v>
      </c>
      <c r="P58" s="9">
        <f t="shared" ref="P58" si="69">IFERROR(O58/#REF!*100,0)</f>
        <v>0</v>
      </c>
      <c r="Q58" s="143">
        <v>4</v>
      </c>
      <c r="R58" s="9">
        <f t="shared" si="2"/>
        <v>1.6528925619834711</v>
      </c>
      <c r="S58" s="8" t="str">
        <f t="shared" si="12"/>
        <v>Tetap Deteksi</v>
      </c>
      <c r="T58" s="143">
        <v>9</v>
      </c>
      <c r="U58" s="9">
        <f t="shared" si="13"/>
        <v>3.71900826446281</v>
      </c>
      <c r="V58" s="11">
        <v>46239</v>
      </c>
      <c r="W58" s="143">
        <v>448</v>
      </c>
      <c r="X58" s="143">
        <v>8</v>
      </c>
      <c r="Y58" s="9">
        <f t="shared" si="3"/>
        <v>1.7857142857142856</v>
      </c>
      <c r="Z58" s="8" t="str">
        <f t="shared" si="4"/>
        <v>Tetap Deteksi</v>
      </c>
      <c r="AA58" s="143">
        <v>13</v>
      </c>
      <c r="AB58" s="9">
        <f t="shared" si="14"/>
        <v>2.9017857142857144</v>
      </c>
      <c r="AC58" s="11">
        <v>46247</v>
      </c>
      <c r="AD58" s="143">
        <v>80</v>
      </c>
      <c r="AE58" s="9">
        <f t="shared" si="15"/>
        <v>3.0303030303030303</v>
      </c>
      <c r="AF58" s="143">
        <v>2</v>
      </c>
      <c r="AG58" s="9">
        <f t="shared" si="5"/>
        <v>2.5</v>
      </c>
      <c r="AH58" s="8" t="str">
        <f t="shared" si="16"/>
        <v>Tetap Deteksi</v>
      </c>
      <c r="AI58" s="143">
        <v>3</v>
      </c>
      <c r="AJ58" s="9">
        <f t="shared" si="17"/>
        <v>3.75</v>
      </c>
      <c r="AK58" s="11">
        <v>46247</v>
      </c>
      <c r="AL58" s="143">
        <v>477</v>
      </c>
      <c r="AM58" s="143">
        <v>9</v>
      </c>
      <c r="AN58" s="9">
        <f t="shared" si="6"/>
        <v>1.8867924528301887</v>
      </c>
      <c r="AO58" s="8" t="str">
        <f t="shared" si="7"/>
        <v>Tetap Deteksi</v>
      </c>
      <c r="AP58" s="143">
        <v>15</v>
      </c>
      <c r="AQ58" s="9">
        <f t="shared" si="18"/>
        <v>3.1446540880503147</v>
      </c>
    </row>
    <row r="59" spans="1:45" outlineLevel="1" x14ac:dyDescent="0.15">
      <c r="A59" s="8" t="s">
        <v>1970</v>
      </c>
      <c r="B59" s="8"/>
      <c r="C59" s="8" t="s">
        <v>79</v>
      </c>
      <c r="D59" s="8" t="s">
        <v>1138</v>
      </c>
      <c r="E59" s="9">
        <v>30.1</v>
      </c>
      <c r="F59" s="8" t="s">
        <v>1740</v>
      </c>
      <c r="G59" s="10">
        <v>3172</v>
      </c>
      <c r="H59" s="204">
        <f t="array" ref="H59">IF(OR(N59&gt;0,AC59&gt;0),MAX(N59,AC59),MAX(AK59,V59))</f>
        <v>46248</v>
      </c>
      <c r="I59" s="205">
        <f t="array" ref="I59">IF(SUM(O59,AD59)&gt;0,SUM(O59,AD59),SUM(AL59,W59))</f>
        <v>194</v>
      </c>
      <c r="J59" s="206" t="str">
        <f t="shared" si="8"/>
        <v xml:space="preserve"> </v>
      </c>
      <c r="K59" s="205">
        <f t="shared" si="9"/>
        <v>6</v>
      </c>
      <c r="L59" s="206">
        <f t="shared" si="10"/>
        <v>3.0927835051546393</v>
      </c>
      <c r="M59" s="8" t="str">
        <f t="array" ref="M59">IF(L59&gt;5,"Perlu Sensus",IF(AND(L59&gt;=0,I59&gt;0),"Tetap Deteksi","Belum Deteksi"))</f>
        <v>Tetap Deteksi</v>
      </c>
      <c r="N59" s="11">
        <v>46239</v>
      </c>
      <c r="O59" s="143">
        <v>96</v>
      </c>
      <c r="P59" s="9">
        <f t="shared" ref="P59" si="70">IFERROR(O59/#REF!*100,0)</f>
        <v>0</v>
      </c>
      <c r="Q59" s="143">
        <v>3</v>
      </c>
      <c r="R59" s="9">
        <f t="shared" si="2"/>
        <v>3.125</v>
      </c>
      <c r="S59" s="8" t="str">
        <f t="shared" si="12"/>
        <v>Tetap Deteksi</v>
      </c>
      <c r="T59" s="143">
        <v>7</v>
      </c>
      <c r="U59" s="9">
        <f t="shared" si="13"/>
        <v>7.291666666666667</v>
      </c>
      <c r="V59" s="11">
        <v>46240</v>
      </c>
      <c r="W59" s="143">
        <v>328</v>
      </c>
      <c r="X59" s="143">
        <v>7</v>
      </c>
      <c r="Y59" s="9">
        <f t="shared" si="3"/>
        <v>2.1341463414634148</v>
      </c>
      <c r="Z59" s="8" t="str">
        <f t="shared" si="4"/>
        <v>Tetap Deteksi</v>
      </c>
      <c r="AA59" s="143">
        <v>13</v>
      </c>
      <c r="AB59" s="9">
        <f t="shared" si="14"/>
        <v>3.9634146341463414</v>
      </c>
      <c r="AC59" s="11">
        <v>46248</v>
      </c>
      <c r="AD59" s="143">
        <v>98</v>
      </c>
      <c r="AE59" s="9">
        <f t="shared" si="15"/>
        <v>3.0895334174022699</v>
      </c>
      <c r="AF59" s="143">
        <v>3</v>
      </c>
      <c r="AG59" s="9">
        <f t="shared" si="5"/>
        <v>3.0612244897959182</v>
      </c>
      <c r="AH59" s="8" t="str">
        <f t="shared" si="16"/>
        <v>Tetap Deteksi</v>
      </c>
      <c r="AI59" s="143">
        <v>2</v>
      </c>
      <c r="AJ59" s="9">
        <f t="shared" si="17"/>
        <v>2.0408163265306123</v>
      </c>
      <c r="AK59" s="11"/>
      <c r="AL59" s="143"/>
      <c r="AM59" s="143"/>
      <c r="AN59" s="9">
        <f t="shared" si="6"/>
        <v>0</v>
      </c>
      <c r="AO59" s="8" t="str">
        <f t="shared" si="7"/>
        <v>Belum Deteksi</v>
      </c>
      <c r="AP59" s="143"/>
      <c r="AQ59" s="9">
        <f t="shared" si="18"/>
        <v>0</v>
      </c>
    </row>
    <row r="60" spans="1:45" outlineLevel="1" x14ac:dyDescent="0.15">
      <c r="A60" s="8" t="s">
        <v>1970</v>
      </c>
      <c r="B60" s="8"/>
      <c r="C60" s="8" t="s">
        <v>79</v>
      </c>
      <c r="D60" s="8" t="s">
        <v>1169</v>
      </c>
      <c r="E60" s="9">
        <v>33.96</v>
      </c>
      <c r="F60" s="8" t="s">
        <v>1740</v>
      </c>
      <c r="G60" s="10">
        <v>3306</v>
      </c>
      <c r="H60" s="204">
        <f t="array" ref="H60">IF(OR(N60&gt;0,AC60&gt;0),MAX(N60,AC60),MAX(AK60,V60))</f>
        <v>46248</v>
      </c>
      <c r="I60" s="205">
        <f t="array" ref="I60">IF(SUM(O60,AD60)&gt;0,SUM(O60,AD60),SUM(AL60,W60))</f>
        <v>156</v>
      </c>
      <c r="J60" s="206" t="str">
        <f t="shared" si="8"/>
        <v xml:space="preserve"> </v>
      </c>
      <c r="K60" s="205">
        <f t="shared" si="9"/>
        <v>4</v>
      </c>
      <c r="L60" s="206">
        <f t="shared" si="10"/>
        <v>2.5641025641025639</v>
      </c>
      <c r="M60" s="8" t="str">
        <f t="array" ref="M60">IF(L60&gt;5,"Perlu Sensus",IF(AND(L60&gt;=0,I60&gt;0),"Tetap Deteksi","Belum Deteksi"))</f>
        <v>Tetap Deteksi</v>
      </c>
      <c r="N60" s="11">
        <v>46240</v>
      </c>
      <c r="O60" s="143">
        <v>60</v>
      </c>
      <c r="P60" s="9">
        <f t="shared" ref="P60" si="71">IFERROR(O60/#REF!*100,0)</f>
        <v>0</v>
      </c>
      <c r="Q60" s="143">
        <v>2</v>
      </c>
      <c r="R60" s="9">
        <f t="shared" si="2"/>
        <v>3.3333333333333335</v>
      </c>
      <c r="S60" s="8" t="str">
        <f t="shared" si="12"/>
        <v>Tetap Deteksi</v>
      </c>
      <c r="T60" s="143">
        <v>2</v>
      </c>
      <c r="U60" s="9">
        <f t="shared" si="13"/>
        <v>3.3333333333333335</v>
      </c>
      <c r="V60" s="11">
        <v>46240</v>
      </c>
      <c r="W60" s="143">
        <v>240</v>
      </c>
      <c r="X60" s="143">
        <v>11</v>
      </c>
      <c r="Y60" s="9">
        <f t="shared" si="3"/>
        <v>4.583333333333333</v>
      </c>
      <c r="Z60" s="8" t="str">
        <f t="shared" si="4"/>
        <v>Tetap Deteksi</v>
      </c>
      <c r="AA60" s="143">
        <v>18</v>
      </c>
      <c r="AB60" s="9">
        <f t="shared" si="14"/>
        <v>7.5</v>
      </c>
      <c r="AC60" s="11">
        <v>46248</v>
      </c>
      <c r="AD60" s="143">
        <v>96</v>
      </c>
      <c r="AE60" s="9">
        <f t="shared" si="15"/>
        <v>2.9038112522686026</v>
      </c>
      <c r="AF60" s="143">
        <v>2</v>
      </c>
      <c r="AG60" s="9">
        <f t="shared" si="5"/>
        <v>2.083333333333333</v>
      </c>
      <c r="AH60" s="8" t="str">
        <f t="shared" si="16"/>
        <v>Tetap Deteksi</v>
      </c>
      <c r="AI60" s="143">
        <v>2</v>
      </c>
      <c r="AJ60" s="9">
        <f t="shared" si="17"/>
        <v>2.083333333333333</v>
      </c>
      <c r="AK60" s="11"/>
      <c r="AL60" s="143"/>
      <c r="AM60" s="143"/>
      <c r="AN60" s="9">
        <f t="shared" si="6"/>
        <v>0</v>
      </c>
      <c r="AO60" s="8" t="str">
        <f t="shared" si="7"/>
        <v>Belum Deteksi</v>
      </c>
      <c r="AP60" s="143"/>
      <c r="AQ60" s="9">
        <f t="shared" si="18"/>
        <v>0</v>
      </c>
    </row>
    <row r="61" spans="1:45" outlineLevel="1" x14ac:dyDescent="0.15">
      <c r="A61" s="8" t="s">
        <v>1970</v>
      </c>
      <c r="B61" s="8"/>
      <c r="C61" s="8" t="s">
        <v>79</v>
      </c>
      <c r="D61" s="8" t="s">
        <v>1111</v>
      </c>
      <c r="E61" s="9">
        <v>29.169999999999998</v>
      </c>
      <c r="F61" s="8" t="s">
        <v>1740</v>
      </c>
      <c r="G61" s="10">
        <v>3409</v>
      </c>
      <c r="H61" s="204">
        <f t="array" ref="H61">IF(OR(N61&gt;0,AC61&gt;0),MAX(N61,AC61),MAX(AK61,V61))</f>
        <v>46245</v>
      </c>
      <c r="I61" s="205">
        <f t="array" ref="I61">IF(SUM(O61,AD61)&gt;0,SUM(O61,AD61),SUM(AL61,W61))</f>
        <v>206</v>
      </c>
      <c r="J61" s="206" t="str">
        <f t="shared" si="8"/>
        <v xml:space="preserve"> </v>
      </c>
      <c r="K61" s="205">
        <f t="shared" si="9"/>
        <v>7</v>
      </c>
      <c r="L61" s="206">
        <f t="shared" si="10"/>
        <v>3.3980582524271843</v>
      </c>
      <c r="M61" s="8" t="str">
        <f t="array" ref="M61">IF(L61&gt;5,"Perlu Sensus",IF(AND(L61&gt;=0,I61&gt;0),"Tetap Deteksi","Belum Deteksi"))</f>
        <v>Tetap Deteksi</v>
      </c>
      <c r="N61" s="11">
        <v>46237</v>
      </c>
      <c r="O61" s="143">
        <v>60</v>
      </c>
      <c r="P61" s="9">
        <f t="shared" ref="P61" si="72">IFERROR(O61/#REF!*100,0)</f>
        <v>0</v>
      </c>
      <c r="Q61" s="143">
        <v>2</v>
      </c>
      <c r="R61" s="9">
        <f t="shared" si="2"/>
        <v>3.3333333333333335</v>
      </c>
      <c r="S61" s="8" t="str">
        <f t="shared" si="12"/>
        <v>Tetap Deteksi</v>
      </c>
      <c r="T61" s="143">
        <v>2</v>
      </c>
      <c r="U61" s="9">
        <f t="shared" si="13"/>
        <v>3.3333333333333335</v>
      </c>
      <c r="V61" s="11">
        <v>46237</v>
      </c>
      <c r="W61" s="143">
        <v>375</v>
      </c>
      <c r="X61" s="143">
        <v>14</v>
      </c>
      <c r="Y61" s="9">
        <f t="shared" si="3"/>
        <v>3.7333333333333338</v>
      </c>
      <c r="Z61" s="8" t="str">
        <f t="shared" si="4"/>
        <v>Tetap Deteksi</v>
      </c>
      <c r="AA61" s="143">
        <v>22</v>
      </c>
      <c r="AB61" s="9">
        <f t="shared" si="14"/>
        <v>5.8666666666666663</v>
      </c>
      <c r="AC61" s="11">
        <v>46245</v>
      </c>
      <c r="AD61" s="143">
        <v>146</v>
      </c>
      <c r="AE61" s="9">
        <f t="shared" si="15"/>
        <v>4.2827808741566447</v>
      </c>
      <c r="AF61" s="143">
        <v>5</v>
      </c>
      <c r="AG61" s="9">
        <f t="shared" si="5"/>
        <v>3.4246575342465753</v>
      </c>
      <c r="AH61" s="8" t="str">
        <f t="shared" si="16"/>
        <v>Tetap Deteksi</v>
      </c>
      <c r="AI61" s="143">
        <v>5</v>
      </c>
      <c r="AJ61" s="9">
        <f t="shared" si="17"/>
        <v>3.4246575342465753</v>
      </c>
      <c r="AK61" s="11">
        <v>46245</v>
      </c>
      <c r="AL61" s="143">
        <v>367</v>
      </c>
      <c r="AM61" s="143">
        <v>14</v>
      </c>
      <c r="AN61" s="9">
        <f t="shared" si="6"/>
        <v>3.8147138964577656</v>
      </c>
      <c r="AO61" s="8" t="str">
        <f t="shared" si="7"/>
        <v>Tetap Deteksi</v>
      </c>
      <c r="AP61" s="143">
        <v>19</v>
      </c>
      <c r="AQ61" s="9">
        <f t="shared" si="18"/>
        <v>5.1771117166212539</v>
      </c>
      <c r="AS61" s="3" t="s">
        <v>2172</v>
      </c>
    </row>
    <row r="62" spans="1:45" outlineLevel="1" x14ac:dyDescent="0.15">
      <c r="A62" s="8" t="s">
        <v>1970</v>
      </c>
      <c r="B62" s="8"/>
      <c r="C62" s="8" t="s">
        <v>79</v>
      </c>
      <c r="D62" s="8" t="s">
        <v>1112</v>
      </c>
      <c r="E62" s="9">
        <v>23.93</v>
      </c>
      <c r="F62" s="8" t="s">
        <v>1740</v>
      </c>
      <c r="G62" s="10">
        <v>2784</v>
      </c>
      <c r="H62" s="204">
        <f t="array" ref="H62">IF(OR(N62&gt;0,AC62&gt;0),MAX(N62,AC62),MAX(AK62,V62))</f>
        <v>46244</v>
      </c>
      <c r="I62" s="205">
        <f t="array" ref="I62">IF(SUM(O62,AD62)&gt;0,SUM(O62,AD62),SUM(AL62,W62))</f>
        <v>248</v>
      </c>
      <c r="J62" s="206" t="str">
        <f t="shared" si="8"/>
        <v xml:space="preserve"> </v>
      </c>
      <c r="K62" s="205">
        <f t="shared" si="9"/>
        <v>9</v>
      </c>
      <c r="L62" s="206">
        <f t="shared" si="10"/>
        <v>3.6290322580645165</v>
      </c>
      <c r="M62" s="8" t="str">
        <f t="array" ref="M62">IF(L62&gt;5,"Perlu Sensus",IF(AND(L62&gt;=0,I62&gt;0),"Tetap Deteksi","Belum Deteksi"))</f>
        <v>Tetap Deteksi</v>
      </c>
      <c r="N62" s="11">
        <v>46237</v>
      </c>
      <c r="O62" s="143">
        <v>154</v>
      </c>
      <c r="P62" s="9">
        <f t="shared" ref="P62" si="73">IFERROR(O62/#REF!*100,0)</f>
        <v>0</v>
      </c>
      <c r="Q62" s="143">
        <v>6</v>
      </c>
      <c r="R62" s="9">
        <f t="shared" si="2"/>
        <v>3.8961038961038961</v>
      </c>
      <c r="S62" s="8" t="str">
        <f t="shared" si="12"/>
        <v>Tetap Deteksi</v>
      </c>
      <c r="T62" s="143">
        <v>7</v>
      </c>
      <c r="U62" s="9">
        <f t="shared" si="13"/>
        <v>4.5454545454545459</v>
      </c>
      <c r="V62" s="11"/>
      <c r="W62" s="143"/>
      <c r="X62" s="143"/>
      <c r="Y62" s="9">
        <f t="shared" si="3"/>
        <v>0</v>
      </c>
      <c r="Z62" s="8" t="str">
        <f t="shared" si="4"/>
        <v>Belum Deteksi</v>
      </c>
      <c r="AA62" s="143"/>
      <c r="AB62" s="9">
        <f t="shared" si="14"/>
        <v>0</v>
      </c>
      <c r="AC62" s="11">
        <v>46244</v>
      </c>
      <c r="AD62" s="143">
        <v>94</v>
      </c>
      <c r="AE62" s="9">
        <f t="shared" si="15"/>
        <v>3.3764367816091956</v>
      </c>
      <c r="AF62" s="143">
        <v>3</v>
      </c>
      <c r="AG62" s="9">
        <f t="shared" si="5"/>
        <v>3.1914893617021276</v>
      </c>
      <c r="AH62" s="8" t="str">
        <f t="shared" si="16"/>
        <v>Tetap Deteksi</v>
      </c>
      <c r="AI62" s="143">
        <v>4</v>
      </c>
      <c r="AJ62" s="9">
        <f t="shared" si="17"/>
        <v>4.2553191489361701</v>
      </c>
      <c r="AK62" s="11"/>
      <c r="AL62" s="143"/>
      <c r="AM62" s="143"/>
      <c r="AN62" s="9">
        <f t="shared" si="6"/>
        <v>0</v>
      </c>
      <c r="AO62" s="8" t="str">
        <f t="shared" si="7"/>
        <v>Belum Deteksi</v>
      </c>
      <c r="AP62" s="143"/>
      <c r="AQ62" s="9">
        <f t="shared" si="18"/>
        <v>0</v>
      </c>
    </row>
    <row r="63" spans="1:45" outlineLevel="1" x14ac:dyDescent="0.15">
      <c r="A63" s="8" t="s">
        <v>1970</v>
      </c>
      <c r="B63" s="8"/>
      <c r="C63" s="8" t="s">
        <v>79</v>
      </c>
      <c r="D63" s="186" t="s">
        <v>1141</v>
      </c>
      <c r="E63" s="9">
        <v>26.02</v>
      </c>
      <c r="F63" s="8" t="s">
        <v>1740</v>
      </c>
      <c r="G63" s="10">
        <v>3436</v>
      </c>
      <c r="H63" s="204">
        <f t="array" ref="H63">IF(OR(N63&gt;0,AC63&gt;0),MAX(N63,AC63),MAX(AK63,V63))</f>
        <v>46248</v>
      </c>
      <c r="I63" s="205">
        <f t="array" ref="I63">IF(SUM(O63,AD63)&gt;0,SUM(O63,AD63),SUM(AL63,W63))</f>
        <v>126</v>
      </c>
      <c r="J63" s="206" t="str">
        <f t="shared" si="8"/>
        <v xml:space="preserve"> </v>
      </c>
      <c r="K63" s="205">
        <f t="shared" si="9"/>
        <v>4</v>
      </c>
      <c r="L63" s="206">
        <f t="shared" si="10"/>
        <v>3.1746031746031744</v>
      </c>
      <c r="M63" s="8" t="str">
        <f t="array" ref="M63">IF(L63&gt;5,"Perlu Sensus",IF(AND(L63&gt;=0,I63&gt;0),"Tetap Deteksi","Belum Deteksi"))</f>
        <v>Tetap Deteksi</v>
      </c>
      <c r="N63" s="11">
        <v>46239</v>
      </c>
      <c r="O63" s="143">
        <v>30</v>
      </c>
      <c r="P63" s="9">
        <f t="shared" ref="P63" si="74">IFERROR(O63/#REF!*100,0)</f>
        <v>0</v>
      </c>
      <c r="Q63" s="143">
        <v>1</v>
      </c>
      <c r="R63" s="9">
        <f t="shared" si="2"/>
        <v>3.3333333333333335</v>
      </c>
      <c r="S63" s="8" t="str">
        <f t="shared" si="12"/>
        <v>Tetap Deteksi</v>
      </c>
      <c r="T63" s="143">
        <v>2</v>
      </c>
      <c r="U63" s="9">
        <f t="shared" si="13"/>
        <v>6.666666666666667</v>
      </c>
      <c r="V63" s="11">
        <v>46238</v>
      </c>
      <c r="W63" s="143">
        <v>393</v>
      </c>
      <c r="X63" s="143">
        <v>9</v>
      </c>
      <c r="Y63" s="9">
        <f t="shared" si="3"/>
        <v>2.2900763358778624</v>
      </c>
      <c r="Z63" s="8" t="str">
        <f t="shared" si="4"/>
        <v>Tetap Deteksi</v>
      </c>
      <c r="AA63" s="143">
        <v>18</v>
      </c>
      <c r="AB63" s="9">
        <f t="shared" si="14"/>
        <v>4.5801526717557248</v>
      </c>
      <c r="AC63" s="11">
        <v>46248</v>
      </c>
      <c r="AD63" s="143">
        <v>96</v>
      </c>
      <c r="AE63" s="9">
        <f t="shared" si="15"/>
        <v>2.7939464493597206</v>
      </c>
      <c r="AF63" s="143">
        <v>3</v>
      </c>
      <c r="AG63" s="9">
        <f t="shared" si="5"/>
        <v>3.125</v>
      </c>
      <c r="AH63" s="8" t="str">
        <f t="shared" si="16"/>
        <v>Tetap Deteksi</v>
      </c>
      <c r="AI63" s="143">
        <v>2</v>
      </c>
      <c r="AJ63" s="9">
        <f t="shared" si="17"/>
        <v>2.083333333333333</v>
      </c>
      <c r="AK63" s="11">
        <v>46246</v>
      </c>
      <c r="AL63" s="143">
        <v>681</v>
      </c>
      <c r="AM63" s="143">
        <v>24</v>
      </c>
      <c r="AN63" s="9">
        <f t="shared" si="6"/>
        <v>3.5242290748898681</v>
      </c>
      <c r="AO63" s="8" t="str">
        <f t="shared" si="7"/>
        <v>Tetap Deteksi</v>
      </c>
      <c r="AP63" s="143">
        <v>31</v>
      </c>
      <c r="AQ63" s="9">
        <f t="shared" si="18"/>
        <v>4.5521292217327458</v>
      </c>
    </row>
    <row r="64" spans="1:45" outlineLevel="1" x14ac:dyDescent="0.15">
      <c r="A64" s="8" t="s">
        <v>1970</v>
      </c>
      <c r="B64" s="8"/>
      <c r="C64" s="8" t="s">
        <v>79</v>
      </c>
      <c r="D64" s="8" t="s">
        <v>1198</v>
      </c>
      <c r="E64" s="9">
        <v>32.39</v>
      </c>
      <c r="F64" s="8" t="s">
        <v>1740</v>
      </c>
      <c r="G64" s="10">
        <v>3199</v>
      </c>
      <c r="H64" s="204">
        <f t="array" ref="H64">IF(OR(N64&gt;0,AC64&gt;0),MAX(N64,AC64),MAX(AK64,V64))</f>
        <v>46247</v>
      </c>
      <c r="I64" s="205">
        <f t="array" ref="I64">IF(SUM(O64,AD64)&gt;0,SUM(O64,AD64),SUM(AL64,W64))</f>
        <v>168</v>
      </c>
      <c r="J64" s="206" t="str">
        <f t="shared" si="8"/>
        <v xml:space="preserve"> </v>
      </c>
      <c r="K64" s="205">
        <f t="shared" si="9"/>
        <v>6</v>
      </c>
      <c r="L64" s="206">
        <f t="shared" si="10"/>
        <v>3.5714285714285712</v>
      </c>
      <c r="M64" s="8" t="str">
        <f t="array" ref="M64">IF(L64&gt;5,"Perlu Sensus",IF(AND(L64&gt;=0,I64&gt;0),"Tetap Deteksi","Belum Deteksi"))</f>
        <v>Tetap Deteksi</v>
      </c>
      <c r="N64" s="11">
        <v>46240</v>
      </c>
      <c r="O64" s="143">
        <v>86</v>
      </c>
      <c r="P64" s="9">
        <f t="shared" ref="P64" si="75">IFERROR(O64/#REF!*100,0)</f>
        <v>0</v>
      </c>
      <c r="Q64" s="143">
        <v>3</v>
      </c>
      <c r="R64" s="9">
        <f t="shared" si="2"/>
        <v>3.4883720930232558</v>
      </c>
      <c r="S64" s="8" t="str">
        <f t="shared" si="12"/>
        <v>Tetap Deteksi</v>
      </c>
      <c r="T64" s="143">
        <v>5</v>
      </c>
      <c r="U64" s="9">
        <f t="shared" si="13"/>
        <v>5.8139534883720927</v>
      </c>
      <c r="V64" s="11">
        <v>46241</v>
      </c>
      <c r="W64" s="143">
        <v>178</v>
      </c>
      <c r="X64" s="143">
        <v>6</v>
      </c>
      <c r="Y64" s="9">
        <f t="shared" si="3"/>
        <v>3.3707865168539324</v>
      </c>
      <c r="Z64" s="8" t="str">
        <f t="shared" si="4"/>
        <v>Tetap Deteksi</v>
      </c>
      <c r="AA64" s="143">
        <v>9</v>
      </c>
      <c r="AB64" s="9">
        <f t="shared" si="14"/>
        <v>5.0561797752808983</v>
      </c>
      <c r="AC64" s="11">
        <v>46247</v>
      </c>
      <c r="AD64" s="143">
        <v>82</v>
      </c>
      <c r="AE64" s="9">
        <f t="shared" si="15"/>
        <v>2.5633010315723666</v>
      </c>
      <c r="AF64" s="143">
        <v>3</v>
      </c>
      <c r="AG64" s="9">
        <f t="shared" si="5"/>
        <v>3.6585365853658534</v>
      </c>
      <c r="AH64" s="8" t="str">
        <f t="shared" si="16"/>
        <v>Tetap Deteksi</v>
      </c>
      <c r="AI64" s="143">
        <v>3</v>
      </c>
      <c r="AJ64" s="9">
        <f t="shared" si="17"/>
        <v>3.6585365853658534</v>
      </c>
      <c r="AK64" s="11"/>
      <c r="AL64" s="143"/>
      <c r="AM64" s="143"/>
      <c r="AN64" s="9">
        <f t="shared" si="6"/>
        <v>0</v>
      </c>
      <c r="AO64" s="8" t="str">
        <f t="shared" si="7"/>
        <v>Belum Deteksi</v>
      </c>
      <c r="AP64" s="143"/>
      <c r="AQ64" s="9">
        <f t="shared" si="18"/>
        <v>0</v>
      </c>
    </row>
    <row r="65" spans="1:43" outlineLevel="1" x14ac:dyDescent="0.15">
      <c r="A65" s="8" t="s">
        <v>1970</v>
      </c>
      <c r="B65" s="8"/>
      <c r="C65" s="8" t="s">
        <v>79</v>
      </c>
      <c r="D65" s="181" t="s">
        <v>1225</v>
      </c>
      <c r="E65" s="9">
        <v>37.440000000000005</v>
      </c>
      <c r="F65" s="8" t="s">
        <v>1740</v>
      </c>
      <c r="G65" s="10">
        <v>3570</v>
      </c>
      <c r="H65" s="204">
        <f t="array" ref="H65">IF(OR(N65&gt;0,AC65&gt;0),MAX(N65,AC65),MAX(AK65,V65))</f>
        <v>46244</v>
      </c>
      <c r="I65" s="205">
        <f t="array" ref="I65">IF(SUM(O65,AD65)&gt;0,SUM(O65,AD65),SUM(AL65,W65))</f>
        <v>178</v>
      </c>
      <c r="J65" s="206" t="str">
        <f t="shared" si="8"/>
        <v xml:space="preserve"> </v>
      </c>
      <c r="K65" s="205">
        <f t="shared" si="9"/>
        <v>6</v>
      </c>
      <c r="L65" s="206">
        <f t="shared" si="10"/>
        <v>3.3707865168539324</v>
      </c>
      <c r="M65" s="8" t="str">
        <f t="array" ref="M65">IF(L65&gt;5,"Perlu Sensus",IF(AND(L65&gt;=0,I65&gt;0),"Tetap Deteksi","Belum Deteksi"))</f>
        <v>Tetap Deteksi</v>
      </c>
      <c r="N65" s="11">
        <v>46241</v>
      </c>
      <c r="O65" s="143">
        <v>98</v>
      </c>
      <c r="P65" s="9">
        <f t="shared" ref="P65" si="76">IFERROR(O65/#REF!*100,0)</f>
        <v>0</v>
      </c>
      <c r="Q65" s="143">
        <v>4</v>
      </c>
      <c r="R65" s="9">
        <f t="shared" si="2"/>
        <v>4.0816326530612246</v>
      </c>
      <c r="S65" s="8" t="str">
        <f t="shared" si="12"/>
        <v>Tetap Deteksi</v>
      </c>
      <c r="T65" s="143">
        <v>3</v>
      </c>
      <c r="U65" s="9">
        <f t="shared" si="13"/>
        <v>3.0612244897959182</v>
      </c>
      <c r="V65" s="11">
        <v>46235</v>
      </c>
      <c r="W65" s="143">
        <v>370</v>
      </c>
      <c r="X65" s="143">
        <v>6</v>
      </c>
      <c r="Y65" s="9">
        <f t="shared" si="3"/>
        <v>1.6216216216216217</v>
      </c>
      <c r="Z65" s="8" t="str">
        <f t="shared" si="4"/>
        <v>Tetap Deteksi</v>
      </c>
      <c r="AA65" s="143">
        <v>13</v>
      </c>
      <c r="AB65" s="9">
        <f t="shared" si="14"/>
        <v>3.5135135135135136</v>
      </c>
      <c r="AC65" s="11">
        <v>46244</v>
      </c>
      <c r="AD65" s="143">
        <v>80</v>
      </c>
      <c r="AE65" s="9">
        <f t="shared" si="15"/>
        <v>2.2408963585434174</v>
      </c>
      <c r="AF65" s="143">
        <v>2</v>
      </c>
      <c r="AG65" s="9">
        <f t="shared" si="5"/>
        <v>2.5</v>
      </c>
      <c r="AH65" s="8" t="str">
        <f t="shared" si="16"/>
        <v>Tetap Deteksi</v>
      </c>
      <c r="AI65" s="143">
        <v>2</v>
      </c>
      <c r="AJ65" s="9">
        <f t="shared" si="17"/>
        <v>2.5</v>
      </c>
      <c r="AK65" s="11">
        <v>46244</v>
      </c>
      <c r="AL65" s="143">
        <v>646</v>
      </c>
      <c r="AM65" s="143">
        <v>8</v>
      </c>
      <c r="AN65" s="9">
        <f t="shared" si="6"/>
        <v>1.2383900928792571</v>
      </c>
      <c r="AO65" s="8" t="str">
        <f t="shared" si="7"/>
        <v>Tetap Deteksi</v>
      </c>
      <c r="AP65" s="143">
        <v>13</v>
      </c>
      <c r="AQ65" s="9">
        <f t="shared" si="18"/>
        <v>2.0123839009287927</v>
      </c>
    </row>
    <row r="66" spans="1:43" outlineLevel="1" x14ac:dyDescent="0.15">
      <c r="A66" s="8" t="s">
        <v>1970</v>
      </c>
      <c r="B66" s="8"/>
      <c r="C66" s="8" t="s">
        <v>79</v>
      </c>
      <c r="D66" s="8" t="s">
        <v>2017</v>
      </c>
      <c r="E66" s="9">
        <v>30.800000000000004</v>
      </c>
      <c r="F66" s="8" t="s">
        <v>1740</v>
      </c>
      <c r="G66" s="10">
        <v>3320</v>
      </c>
      <c r="H66" s="204">
        <f t="array" ref="H66">IF(OR(N66&gt;0,AC66&gt;0),MAX(N66,AC66),MAX(AK66,V66))</f>
        <v>46246</v>
      </c>
      <c r="I66" s="205">
        <f t="array" ref="I66">IF(SUM(O66,AD66)&gt;0,SUM(O66,AD66),SUM(AL66,W66))</f>
        <v>160</v>
      </c>
      <c r="J66" s="206" t="str">
        <f t="shared" si="8"/>
        <v xml:space="preserve"> </v>
      </c>
      <c r="K66" s="205">
        <f t="shared" si="9"/>
        <v>4</v>
      </c>
      <c r="L66" s="206">
        <f t="shared" si="10"/>
        <v>2.5</v>
      </c>
      <c r="M66" s="8" t="str">
        <f t="array" ref="M66">IF(L66&gt;5,"Perlu Sensus",IF(AND(L66&gt;=0,I66&gt;0),"Tetap Deteksi","Belum Deteksi"))</f>
        <v>Tetap Deteksi</v>
      </c>
      <c r="N66" s="11">
        <v>46236</v>
      </c>
      <c r="O66" s="143">
        <v>80</v>
      </c>
      <c r="P66" s="9">
        <f t="shared" ref="P66" si="77">IFERROR(O66/#REF!*100,0)</f>
        <v>0</v>
      </c>
      <c r="Q66" s="143">
        <v>2</v>
      </c>
      <c r="R66" s="9">
        <f t="shared" si="2"/>
        <v>2.5</v>
      </c>
      <c r="S66" s="8" t="str">
        <f t="shared" si="12"/>
        <v>Tetap Deteksi</v>
      </c>
      <c r="T66" s="143">
        <v>3</v>
      </c>
      <c r="U66" s="9">
        <f t="shared" si="13"/>
        <v>3.75</v>
      </c>
      <c r="V66" s="11">
        <v>46237</v>
      </c>
      <c r="W66" s="143">
        <v>395</v>
      </c>
      <c r="X66" s="143">
        <v>5</v>
      </c>
      <c r="Y66" s="9">
        <f t="shared" si="3"/>
        <v>1.2658227848101267</v>
      </c>
      <c r="Z66" s="8" t="str">
        <f t="shared" si="4"/>
        <v>Tetap Deteksi</v>
      </c>
      <c r="AA66" s="143">
        <v>11</v>
      </c>
      <c r="AB66" s="9">
        <f t="shared" si="14"/>
        <v>2.7848101265822782</v>
      </c>
      <c r="AC66" s="11">
        <v>46246</v>
      </c>
      <c r="AD66" s="143">
        <v>80</v>
      </c>
      <c r="AE66" s="9">
        <f t="shared" si="15"/>
        <v>2.4096385542168677</v>
      </c>
      <c r="AF66" s="143">
        <v>2</v>
      </c>
      <c r="AG66" s="9">
        <f t="shared" si="5"/>
        <v>2.5</v>
      </c>
      <c r="AH66" s="8" t="str">
        <f t="shared" si="16"/>
        <v>Tetap Deteksi</v>
      </c>
      <c r="AI66" s="143">
        <v>2</v>
      </c>
      <c r="AJ66" s="9">
        <f t="shared" si="17"/>
        <v>2.5</v>
      </c>
      <c r="AK66" s="11">
        <v>46245</v>
      </c>
      <c r="AL66" s="143">
        <v>380</v>
      </c>
      <c r="AM66" s="143">
        <v>7</v>
      </c>
      <c r="AN66" s="9">
        <f t="shared" si="6"/>
        <v>1.8421052631578945</v>
      </c>
      <c r="AO66" s="8" t="str">
        <f t="shared" si="7"/>
        <v>Tetap Deteksi</v>
      </c>
      <c r="AP66" s="143">
        <v>14</v>
      </c>
      <c r="AQ66" s="9">
        <f t="shared" si="18"/>
        <v>3.6842105263157889</v>
      </c>
    </row>
    <row r="67" spans="1:43" outlineLevel="1" x14ac:dyDescent="0.15">
      <c r="A67" s="8" t="s">
        <v>1970</v>
      </c>
      <c r="B67" s="8"/>
      <c r="C67" s="8" t="s">
        <v>79</v>
      </c>
      <c r="D67" s="8" t="s">
        <v>2018</v>
      </c>
      <c r="E67" s="9">
        <v>26.05</v>
      </c>
      <c r="F67" s="8" t="s">
        <v>1740</v>
      </c>
      <c r="G67" s="10">
        <v>3026</v>
      </c>
      <c r="H67" s="204">
        <f t="array" ref="H67">IF(OR(N67&gt;0,AC67&gt;0),MAX(N67,AC67),MAX(AK67,V67))</f>
        <v>46246</v>
      </c>
      <c r="I67" s="205">
        <f t="array" ref="I67">IF(SUM(O67,AD67)&gt;0,SUM(O67,AD67),SUM(AL67,W67))</f>
        <v>174</v>
      </c>
      <c r="J67" s="206" t="str">
        <f t="shared" si="8"/>
        <v xml:space="preserve"> </v>
      </c>
      <c r="K67" s="205">
        <f t="shared" si="9"/>
        <v>5</v>
      </c>
      <c r="L67" s="206">
        <f t="shared" si="10"/>
        <v>2.8735632183908044</v>
      </c>
      <c r="M67" s="8" t="str">
        <f t="array" ref="M67">IF(L67&gt;5,"Perlu Sensus",IF(AND(L67&gt;=0,I67&gt;0),"Tetap Deteksi","Belum Deteksi"))</f>
        <v>Tetap Deteksi</v>
      </c>
      <c r="N67" s="11">
        <v>46240</v>
      </c>
      <c r="O67" s="143">
        <v>80</v>
      </c>
      <c r="P67" s="9">
        <f t="shared" ref="P67" si="78">IFERROR(O67/#REF!*100,0)</f>
        <v>0</v>
      </c>
      <c r="Q67" s="143">
        <v>2</v>
      </c>
      <c r="R67" s="9">
        <f t="shared" si="2"/>
        <v>2.5</v>
      </c>
      <c r="S67" s="8" t="str">
        <f t="shared" si="12"/>
        <v>Tetap Deteksi</v>
      </c>
      <c r="T67" s="143">
        <v>3</v>
      </c>
      <c r="U67" s="9">
        <f t="shared" si="13"/>
        <v>3.75</v>
      </c>
      <c r="V67" s="11">
        <v>46238</v>
      </c>
      <c r="W67" s="143">
        <v>93</v>
      </c>
      <c r="X67" s="143">
        <v>2</v>
      </c>
      <c r="Y67" s="9">
        <f t="shared" si="3"/>
        <v>2.1505376344086025</v>
      </c>
      <c r="Z67" s="8" t="str">
        <f t="shared" si="4"/>
        <v>Tetap Deteksi</v>
      </c>
      <c r="AA67" s="143">
        <v>4</v>
      </c>
      <c r="AB67" s="9">
        <f t="shared" si="14"/>
        <v>4.3010752688172049</v>
      </c>
      <c r="AC67" s="11">
        <v>46246</v>
      </c>
      <c r="AD67" s="143">
        <v>94</v>
      </c>
      <c r="AE67" s="9">
        <f t="shared" si="15"/>
        <v>3.1064111037673494</v>
      </c>
      <c r="AF67" s="143">
        <v>3</v>
      </c>
      <c r="AG67" s="9">
        <f t="shared" si="5"/>
        <v>3.1914893617021276</v>
      </c>
      <c r="AH67" s="8" t="str">
        <f t="shared" si="16"/>
        <v>Tetap Deteksi</v>
      </c>
      <c r="AI67" s="143">
        <v>3</v>
      </c>
      <c r="AJ67" s="9">
        <f t="shared" si="17"/>
        <v>3.1914893617021276</v>
      </c>
      <c r="AK67" s="11">
        <v>46246</v>
      </c>
      <c r="AL67" s="143">
        <v>310</v>
      </c>
      <c r="AM67" s="143">
        <v>8</v>
      </c>
      <c r="AN67" s="9">
        <f t="shared" si="6"/>
        <v>2.5806451612903225</v>
      </c>
      <c r="AO67" s="8" t="str">
        <f t="shared" si="7"/>
        <v>Tetap Deteksi</v>
      </c>
      <c r="AP67" s="143">
        <v>15</v>
      </c>
      <c r="AQ67" s="9">
        <f t="shared" si="18"/>
        <v>4.838709677419355</v>
      </c>
    </row>
    <row r="68" spans="1:43" outlineLevel="1" x14ac:dyDescent="0.15">
      <c r="A68" s="8" t="s">
        <v>1970</v>
      </c>
      <c r="B68" s="8"/>
      <c r="C68" s="8" t="s">
        <v>79</v>
      </c>
      <c r="D68" s="181" t="s">
        <v>2019</v>
      </c>
      <c r="E68" s="9">
        <v>32.949999999999996</v>
      </c>
      <c r="F68" s="8" t="s">
        <v>1740</v>
      </c>
      <c r="G68" s="10">
        <v>4337</v>
      </c>
      <c r="H68" s="204">
        <f t="array" ref="H68">IF(OR(N68&gt;0,AC68&gt;0),MAX(N68,AC68),MAX(AK68,V68))</f>
        <v>46247</v>
      </c>
      <c r="I68" s="205">
        <f t="array" ref="I68">IF(SUM(O68,AD68)&gt;0,SUM(O68,AD68),SUM(AL68,W68))</f>
        <v>178</v>
      </c>
      <c r="J68" s="206" t="str">
        <f t="shared" si="8"/>
        <v xml:space="preserve"> </v>
      </c>
      <c r="K68" s="205">
        <f t="shared" si="9"/>
        <v>6</v>
      </c>
      <c r="L68" s="206">
        <f t="shared" si="10"/>
        <v>3.3707865168539324</v>
      </c>
      <c r="M68" s="8" t="str">
        <f t="array" ref="M68">IF(L68&gt;5,"Perlu Sensus",IF(AND(L68&gt;=0,I68&gt;0),"Tetap Deteksi","Belum Deteksi"))</f>
        <v>Tetap Deteksi</v>
      </c>
      <c r="N68" s="11">
        <v>46241</v>
      </c>
      <c r="O68" s="143">
        <v>80</v>
      </c>
      <c r="P68" s="9">
        <f t="shared" ref="P68" si="79">IFERROR(O68/#REF!*100,0)</f>
        <v>0</v>
      </c>
      <c r="Q68" s="143">
        <v>2</v>
      </c>
      <c r="R68" s="9">
        <f t="shared" si="2"/>
        <v>2.5</v>
      </c>
      <c r="S68" s="8" t="str">
        <f t="shared" si="12"/>
        <v>Tetap Deteksi</v>
      </c>
      <c r="T68" s="143">
        <v>3</v>
      </c>
      <c r="U68" s="9">
        <f t="shared" si="13"/>
        <v>3.75</v>
      </c>
      <c r="V68" s="11"/>
      <c r="W68" s="143"/>
      <c r="X68" s="143"/>
      <c r="Y68" s="9">
        <f t="shared" si="3"/>
        <v>0</v>
      </c>
      <c r="Z68" s="8" t="str">
        <f t="shared" si="4"/>
        <v>Belum Deteksi</v>
      </c>
      <c r="AA68" s="143"/>
      <c r="AB68" s="9">
        <f t="shared" si="14"/>
        <v>0</v>
      </c>
      <c r="AC68" s="11">
        <v>46247</v>
      </c>
      <c r="AD68" s="143">
        <v>98</v>
      </c>
      <c r="AE68" s="9">
        <f t="shared" si="15"/>
        <v>2.2596264699100761</v>
      </c>
      <c r="AF68" s="143">
        <v>4</v>
      </c>
      <c r="AG68" s="9">
        <f t="shared" si="5"/>
        <v>4.0816326530612246</v>
      </c>
      <c r="AH68" s="8" t="str">
        <f t="shared" si="16"/>
        <v>Tetap Deteksi</v>
      </c>
      <c r="AI68" s="143">
        <v>3</v>
      </c>
      <c r="AJ68" s="9">
        <f t="shared" si="17"/>
        <v>3.0612244897959182</v>
      </c>
      <c r="AK68" s="11"/>
      <c r="AL68" s="143"/>
      <c r="AM68" s="143"/>
      <c r="AN68" s="9">
        <f t="shared" si="6"/>
        <v>0</v>
      </c>
      <c r="AO68" s="8" t="str">
        <f t="shared" si="7"/>
        <v>Belum Deteksi</v>
      </c>
      <c r="AP68" s="143"/>
      <c r="AQ68" s="9">
        <f t="shared" si="18"/>
        <v>0</v>
      </c>
    </row>
    <row r="69" spans="1:43" outlineLevel="1" x14ac:dyDescent="0.15">
      <c r="A69" s="8" t="s">
        <v>1970</v>
      </c>
      <c r="B69" s="8"/>
      <c r="C69" s="8" t="s">
        <v>79</v>
      </c>
      <c r="D69" s="181" t="s">
        <v>2020</v>
      </c>
      <c r="E69" s="9">
        <v>46.410000000000004</v>
      </c>
      <c r="F69" s="8" t="s">
        <v>1740</v>
      </c>
      <c r="G69" s="10">
        <v>5514</v>
      </c>
      <c r="H69" s="204">
        <f t="array" ref="H69">IF(OR(N69&gt;0,AC69&gt;0),MAX(N69,AC69),MAX(AK69,V69))</f>
        <v>46247</v>
      </c>
      <c r="I69" s="205">
        <f t="array" ref="I69">IF(SUM(O69,AD69)&gt;0,SUM(O69,AD69),SUM(AL69,W69))</f>
        <v>186</v>
      </c>
      <c r="J69" s="206" t="str">
        <f t="shared" si="8"/>
        <v xml:space="preserve"> </v>
      </c>
      <c r="K69" s="205">
        <f t="shared" si="9"/>
        <v>6</v>
      </c>
      <c r="L69" s="206">
        <f t="shared" si="10"/>
        <v>3.225806451612903</v>
      </c>
      <c r="M69" s="8" t="str">
        <f t="array" ref="M69">IF(L69&gt;5,"Perlu Sensus",IF(AND(L69&gt;=0,I69&gt;0),"Tetap Deteksi","Belum Deteksi"))</f>
        <v>Tetap Deteksi</v>
      </c>
      <c r="N69" s="11">
        <v>46240</v>
      </c>
      <c r="O69" s="143">
        <v>89</v>
      </c>
      <c r="P69" s="9">
        <f t="shared" ref="P69" si="80">IFERROR(O69/#REF!*100,0)</f>
        <v>0</v>
      </c>
      <c r="Q69" s="143">
        <v>3</v>
      </c>
      <c r="R69" s="9">
        <f t="shared" si="2"/>
        <v>3.3707865168539324</v>
      </c>
      <c r="S69" s="8" t="str">
        <f t="shared" si="12"/>
        <v>Tetap Deteksi</v>
      </c>
      <c r="T69" s="143">
        <v>2</v>
      </c>
      <c r="U69" s="9">
        <f t="shared" si="13"/>
        <v>2.2471910112359552</v>
      </c>
      <c r="V69" s="11"/>
      <c r="W69" s="143"/>
      <c r="X69" s="143"/>
      <c r="Y69" s="9">
        <f t="shared" si="3"/>
        <v>0</v>
      </c>
      <c r="Z69" s="8" t="str">
        <f t="shared" si="4"/>
        <v>Belum Deteksi</v>
      </c>
      <c r="AA69" s="143"/>
      <c r="AB69" s="9">
        <f t="shared" si="14"/>
        <v>0</v>
      </c>
      <c r="AC69" s="11">
        <v>46247</v>
      </c>
      <c r="AD69" s="143">
        <v>97</v>
      </c>
      <c r="AE69" s="9">
        <f t="shared" si="15"/>
        <v>1.7591585056220529</v>
      </c>
      <c r="AF69" s="143">
        <v>3</v>
      </c>
      <c r="AG69" s="9">
        <f t="shared" si="5"/>
        <v>3.0927835051546393</v>
      </c>
      <c r="AH69" s="8" t="str">
        <f t="shared" si="16"/>
        <v>Tetap Deteksi</v>
      </c>
      <c r="AI69" s="143">
        <v>2</v>
      </c>
      <c r="AJ69" s="9">
        <f t="shared" si="17"/>
        <v>2.0618556701030926</v>
      </c>
      <c r="AK69" s="11">
        <v>46244</v>
      </c>
      <c r="AL69" s="143">
        <v>395</v>
      </c>
      <c r="AM69" s="143">
        <v>11</v>
      </c>
      <c r="AN69" s="9">
        <f t="shared" si="6"/>
        <v>2.7848101265822782</v>
      </c>
      <c r="AO69" s="8" t="str">
        <f t="shared" si="7"/>
        <v>Tetap Deteksi</v>
      </c>
      <c r="AP69" s="143">
        <v>20</v>
      </c>
      <c r="AQ69" s="9">
        <f t="shared" si="18"/>
        <v>5.0632911392405067</v>
      </c>
    </row>
    <row r="70" spans="1:43" outlineLevel="1" x14ac:dyDescent="0.15">
      <c r="A70" s="8" t="s">
        <v>1970</v>
      </c>
      <c r="B70" s="8"/>
      <c r="C70" s="8" t="s">
        <v>79</v>
      </c>
      <c r="D70" s="8" t="s">
        <v>2021</v>
      </c>
      <c r="E70" s="9">
        <v>21.49</v>
      </c>
      <c r="F70" s="8" t="s">
        <v>1740</v>
      </c>
      <c r="G70" s="10">
        <v>2521</v>
      </c>
      <c r="H70" s="204">
        <f t="array" ref="H70">IF(OR(N70&gt;0,AC70&gt;0),MAX(N70,AC70),MAX(AK70,V70))</f>
        <v>46242</v>
      </c>
      <c r="I70" s="205">
        <f t="array" ref="I70">IF(SUM(O70,AD70)&gt;0,SUM(O70,AD70),SUM(AL70,W70))</f>
        <v>146</v>
      </c>
      <c r="J70" s="206" t="str">
        <f t="shared" si="8"/>
        <v xml:space="preserve"> </v>
      </c>
      <c r="K70" s="205">
        <f t="shared" si="9"/>
        <v>4</v>
      </c>
      <c r="L70" s="206">
        <f t="shared" si="10"/>
        <v>2.7397260273972601</v>
      </c>
      <c r="M70" s="8" t="str">
        <f t="array" ref="M70">IF(L70&gt;5,"Perlu Sensus",IF(AND(L70&gt;=0,I70&gt;0),"Tetap Deteksi","Belum Deteksi"))</f>
        <v>Tetap Deteksi</v>
      </c>
      <c r="N70" s="11">
        <v>46240</v>
      </c>
      <c r="O70" s="143">
        <v>60</v>
      </c>
      <c r="P70" s="9">
        <f t="shared" ref="P70" si="81">IFERROR(O70/#REF!*100,0)</f>
        <v>0</v>
      </c>
      <c r="Q70" s="143">
        <v>1</v>
      </c>
      <c r="R70" s="9">
        <f t="shared" ref="R70:R95" si="82">IFERROR(Q70/O70*100,0)</f>
        <v>1.6666666666666667</v>
      </c>
      <c r="S70" s="8" t="str">
        <f t="shared" si="12"/>
        <v>Tetap Deteksi</v>
      </c>
      <c r="T70" s="143">
        <v>2</v>
      </c>
      <c r="U70" s="9">
        <f t="shared" si="13"/>
        <v>3.3333333333333335</v>
      </c>
      <c r="V70" s="11"/>
      <c r="W70" s="143"/>
      <c r="X70" s="143"/>
      <c r="Y70" s="9">
        <f t="shared" ref="Y70:Y95" si="83">IFERROR(X70/W70*100,0)</f>
        <v>0</v>
      </c>
      <c r="Z70" s="8" t="str">
        <f t="shared" ref="Z70:Z95" si="84">IF(Y70&gt;5,"Perlu Sensus",IF(Y70&gt;0,"Tetap Deteksi","Belum Deteksi"))</f>
        <v>Belum Deteksi</v>
      </c>
      <c r="AA70" s="143"/>
      <c r="AB70" s="9">
        <f t="shared" si="14"/>
        <v>0</v>
      </c>
      <c r="AC70" s="11">
        <v>46242</v>
      </c>
      <c r="AD70" s="143">
        <v>86</v>
      </c>
      <c r="AE70" s="9">
        <f t="shared" si="15"/>
        <v>3.4113447044823482</v>
      </c>
      <c r="AF70" s="143">
        <v>3</v>
      </c>
      <c r="AG70" s="9">
        <f t="shared" ref="AG70:AG95" si="85">IFERROR(AF70/AD70*100,0)</f>
        <v>3.4883720930232558</v>
      </c>
      <c r="AH70" s="8" t="str">
        <f t="shared" si="16"/>
        <v>Tetap Deteksi</v>
      </c>
      <c r="AI70" s="143">
        <v>4</v>
      </c>
      <c r="AJ70" s="9">
        <f t="shared" si="17"/>
        <v>4.6511627906976747</v>
      </c>
      <c r="AK70" s="11"/>
      <c r="AL70" s="143"/>
      <c r="AM70" s="143"/>
      <c r="AN70" s="9">
        <f t="shared" ref="AN70:AN95" si="86">IFERROR(AM70/AL70*100,0)</f>
        <v>0</v>
      </c>
      <c r="AO70" s="8" t="str">
        <f t="shared" ref="AO70:AO95" si="87">IF(AN70&gt;5,"Perlu Sensus",IF(AN70&gt;0,"Tetap Deteksi","Belum Deteksi"))</f>
        <v>Belum Deteksi</v>
      </c>
      <c r="AP70" s="143"/>
      <c r="AQ70" s="9">
        <f t="shared" si="18"/>
        <v>0</v>
      </c>
    </row>
    <row r="71" spans="1:43" outlineLevel="1" x14ac:dyDescent="0.15">
      <c r="A71" s="8" t="s">
        <v>1970</v>
      </c>
      <c r="B71" s="8"/>
      <c r="C71" s="8" t="s">
        <v>79</v>
      </c>
      <c r="D71" s="181" t="s">
        <v>2022</v>
      </c>
      <c r="E71" s="9">
        <v>24.209999999999997</v>
      </c>
      <c r="F71" s="8" t="s">
        <v>1740</v>
      </c>
      <c r="G71" s="10">
        <v>3060</v>
      </c>
      <c r="H71" s="204">
        <f t="array" ref="H71">IF(OR(N71&gt;0,AC71&gt;0),MAX(N71,AC71),MAX(AK71,V71))</f>
        <v>46242</v>
      </c>
      <c r="I71" s="205">
        <f t="array" ref="I71">IF(SUM(O71,AD71)&gt;0,SUM(O71,AD71),SUM(AL71,W71))</f>
        <v>180</v>
      </c>
      <c r="J71" s="206" t="str">
        <f t="shared" ref="J71:J95" si="88">IF(P71&gt;0,P71," ")</f>
        <v xml:space="preserve"> </v>
      </c>
      <c r="K71" s="205">
        <f t="shared" ref="K71:K95" si="89">IF(SUM(Q71,AF71)&gt;0,SUM(Q71,AF71),SUM(AM71,X71))</f>
        <v>6</v>
      </c>
      <c r="L71" s="206">
        <f t="shared" ref="L71:L95" si="90">IFERROR(K71/I71*100,0)</f>
        <v>3.3333333333333335</v>
      </c>
      <c r="M71" s="8" t="str">
        <f t="array" ref="M71">IF(L71&gt;5,"Perlu Sensus",IF(AND(L71&gt;=0,I71&gt;0),"Tetap Deteksi","Belum Deteksi"))</f>
        <v>Tetap Deteksi</v>
      </c>
      <c r="N71" s="11">
        <v>46241</v>
      </c>
      <c r="O71" s="143">
        <v>120</v>
      </c>
      <c r="P71" s="9">
        <f t="shared" ref="P71" si="91">IFERROR(O71/#REF!*100,0)</f>
        <v>0</v>
      </c>
      <c r="Q71" s="143">
        <v>4</v>
      </c>
      <c r="R71" s="9">
        <f t="shared" si="82"/>
        <v>3.3333333333333335</v>
      </c>
      <c r="S71" s="8" t="str">
        <f t="shared" ref="S71:S95" si="92">IF(R71&gt;5,"Perlu Sensus",IF(R71&gt;0,"Tetap Deteksi","Belum Deteksi"))</f>
        <v>Tetap Deteksi</v>
      </c>
      <c r="T71" s="143">
        <v>4</v>
      </c>
      <c r="U71" s="9">
        <f t="shared" ref="U71:U95" si="93">IFERROR(T71/O71*100,0)</f>
        <v>3.3333333333333335</v>
      </c>
      <c r="V71" s="11"/>
      <c r="W71" s="143"/>
      <c r="X71" s="143"/>
      <c r="Y71" s="9">
        <f t="shared" si="83"/>
        <v>0</v>
      </c>
      <c r="Z71" s="8" t="str">
        <f t="shared" si="84"/>
        <v>Belum Deteksi</v>
      </c>
      <c r="AA71" s="143"/>
      <c r="AB71" s="9">
        <f t="shared" ref="AB71:AB95" si="94">IFERROR(AA71/W71*100,0)</f>
        <v>0</v>
      </c>
      <c r="AC71" s="11">
        <v>46242</v>
      </c>
      <c r="AD71" s="143">
        <v>60</v>
      </c>
      <c r="AE71" s="9">
        <f t="shared" ref="AE71:AE95" si="95">IFERROR(AD71/G71*100,0)</f>
        <v>1.9607843137254901</v>
      </c>
      <c r="AF71" s="143">
        <v>2</v>
      </c>
      <c r="AG71" s="9">
        <f t="shared" si="85"/>
        <v>3.3333333333333335</v>
      </c>
      <c r="AH71" s="8" t="str">
        <f t="shared" ref="AH71:AH95" si="96">IF(AG71&gt;5,"Perlu Sensus",IF(AG71&gt;0,"Tetap Deteksi","Belum Deteksi"))</f>
        <v>Tetap Deteksi</v>
      </c>
      <c r="AI71" s="143">
        <v>2</v>
      </c>
      <c r="AJ71" s="9">
        <f t="shared" ref="AJ71:AJ95" si="97">IFERROR(AI71/AD71*100,0)</f>
        <v>3.3333333333333335</v>
      </c>
      <c r="AK71" s="11">
        <v>46242</v>
      </c>
      <c r="AL71" s="143">
        <v>197</v>
      </c>
      <c r="AM71" s="143">
        <v>8</v>
      </c>
      <c r="AN71" s="9">
        <f t="shared" si="86"/>
        <v>4.0609137055837561</v>
      </c>
      <c r="AO71" s="8" t="str">
        <f t="shared" si="87"/>
        <v>Tetap Deteksi</v>
      </c>
      <c r="AP71" s="143">
        <v>11</v>
      </c>
      <c r="AQ71" s="9">
        <f t="shared" ref="AQ71:AQ95" si="98">IFERROR(AP71/AL71*100,0)</f>
        <v>5.5837563451776653</v>
      </c>
    </row>
    <row r="72" spans="1:43" outlineLevel="1" x14ac:dyDescent="0.15">
      <c r="A72" s="8" t="s">
        <v>1970</v>
      </c>
      <c r="B72" s="8"/>
      <c r="C72" s="8" t="s">
        <v>79</v>
      </c>
      <c r="D72" s="181" t="s">
        <v>2023</v>
      </c>
      <c r="E72" s="9">
        <v>32.549999999999997</v>
      </c>
      <c r="F72" s="8" t="s">
        <v>1740</v>
      </c>
      <c r="G72" s="10">
        <v>4390</v>
      </c>
      <c r="H72" s="204">
        <f t="array" ref="H72">IF(OR(N72&gt;0,AC72&gt;0),MAX(N72,AC72),MAX(AK72,V72))</f>
        <v>46242</v>
      </c>
      <c r="I72" s="205">
        <f t="array" ref="I72">IF(SUM(O72,AD72)&gt;0,SUM(O72,AD72),SUM(AL72,W72))</f>
        <v>158</v>
      </c>
      <c r="J72" s="206" t="str">
        <f t="shared" si="88"/>
        <v xml:space="preserve"> </v>
      </c>
      <c r="K72" s="205">
        <f t="shared" si="89"/>
        <v>5</v>
      </c>
      <c r="L72" s="206">
        <f t="shared" si="90"/>
        <v>3.1645569620253164</v>
      </c>
      <c r="M72" s="8" t="str">
        <f t="array" ref="M72">IF(L72&gt;5,"Perlu Sensus",IF(AND(L72&gt;=0,I72&gt;0),"Tetap Deteksi","Belum Deteksi"))</f>
        <v>Tetap Deteksi</v>
      </c>
      <c r="N72" s="11">
        <v>46241</v>
      </c>
      <c r="O72" s="143">
        <v>98</v>
      </c>
      <c r="P72" s="9">
        <f t="shared" ref="P72" si="99">IFERROR(O72/#REF!*100,0)</f>
        <v>0</v>
      </c>
      <c r="Q72" s="143">
        <v>3</v>
      </c>
      <c r="R72" s="9">
        <f t="shared" si="82"/>
        <v>3.0612244897959182</v>
      </c>
      <c r="S72" s="8" t="str">
        <f t="shared" si="92"/>
        <v>Tetap Deteksi</v>
      </c>
      <c r="T72" s="143">
        <v>2</v>
      </c>
      <c r="U72" s="9">
        <f t="shared" si="93"/>
        <v>2.0408163265306123</v>
      </c>
      <c r="V72" s="11">
        <v>46241</v>
      </c>
      <c r="W72" s="143">
        <v>787</v>
      </c>
      <c r="X72" s="143">
        <v>20</v>
      </c>
      <c r="Y72" s="9">
        <f t="shared" si="83"/>
        <v>2.5412960609911055</v>
      </c>
      <c r="Z72" s="8" t="str">
        <f t="shared" si="84"/>
        <v>Tetap Deteksi</v>
      </c>
      <c r="AA72" s="143">
        <v>33</v>
      </c>
      <c r="AB72" s="9">
        <f t="shared" si="94"/>
        <v>4.1931385006353237</v>
      </c>
      <c r="AC72" s="11">
        <v>46242</v>
      </c>
      <c r="AD72" s="143">
        <v>60</v>
      </c>
      <c r="AE72" s="9">
        <f t="shared" si="95"/>
        <v>1.3667425968109339</v>
      </c>
      <c r="AF72" s="143">
        <v>2</v>
      </c>
      <c r="AG72" s="9">
        <f t="shared" si="85"/>
        <v>3.3333333333333335</v>
      </c>
      <c r="AH72" s="8" t="str">
        <f t="shared" si="96"/>
        <v>Tetap Deteksi</v>
      </c>
      <c r="AI72" s="143">
        <v>2</v>
      </c>
      <c r="AJ72" s="9">
        <f t="shared" si="97"/>
        <v>3.3333333333333335</v>
      </c>
      <c r="AK72" s="11"/>
      <c r="AL72" s="143"/>
      <c r="AM72" s="143"/>
      <c r="AN72" s="9">
        <f t="shared" si="86"/>
        <v>0</v>
      </c>
      <c r="AO72" s="8" t="str">
        <f t="shared" si="87"/>
        <v>Belum Deteksi</v>
      </c>
      <c r="AP72" s="143"/>
      <c r="AQ72" s="9">
        <f t="shared" si="98"/>
        <v>0</v>
      </c>
    </row>
    <row r="73" spans="1:43" outlineLevel="1" x14ac:dyDescent="0.15">
      <c r="A73" s="8" t="s">
        <v>1970</v>
      </c>
      <c r="B73" s="8"/>
      <c r="C73" s="8" t="s">
        <v>79</v>
      </c>
      <c r="D73" s="181" t="s">
        <v>2024</v>
      </c>
      <c r="E73" s="9">
        <v>21.83</v>
      </c>
      <c r="F73" s="8" t="s">
        <v>1740</v>
      </c>
      <c r="G73" s="10">
        <v>2333</v>
      </c>
      <c r="H73" s="204">
        <f t="array" ref="H73">IF(OR(N73&gt;0,AC73&gt;0),MAX(N73,AC73),MAX(AK73,V73))</f>
        <v>46247</v>
      </c>
      <c r="I73" s="205">
        <f t="array" ref="I73">IF(SUM(O73,AD73)&gt;0,SUM(O73,AD73),SUM(AL73,W73))</f>
        <v>194</v>
      </c>
      <c r="J73" s="206" t="str">
        <f t="shared" si="88"/>
        <v xml:space="preserve"> </v>
      </c>
      <c r="K73" s="205">
        <f t="shared" si="89"/>
        <v>5</v>
      </c>
      <c r="L73" s="206">
        <f t="shared" si="90"/>
        <v>2.5773195876288657</v>
      </c>
      <c r="M73" s="8" t="str">
        <f t="array" ref="M73">IF(L73&gt;5,"Perlu Sensus",IF(AND(L73&gt;=0,I73&gt;0),"Tetap Deteksi","Belum Deteksi"))</f>
        <v>Tetap Deteksi</v>
      </c>
      <c r="N73" s="11">
        <v>46241</v>
      </c>
      <c r="O73" s="143">
        <v>96</v>
      </c>
      <c r="P73" s="9">
        <f t="shared" ref="P73" si="100">IFERROR(O73/#REF!*100,0)</f>
        <v>0</v>
      </c>
      <c r="Q73" s="143">
        <v>2</v>
      </c>
      <c r="R73" s="9">
        <f t="shared" si="82"/>
        <v>2.083333333333333</v>
      </c>
      <c r="S73" s="8" t="str">
        <f t="shared" si="92"/>
        <v>Tetap Deteksi</v>
      </c>
      <c r="T73" s="143">
        <v>1</v>
      </c>
      <c r="U73" s="9">
        <f t="shared" si="93"/>
        <v>1.0416666666666665</v>
      </c>
      <c r="V73" s="11"/>
      <c r="W73" s="143"/>
      <c r="X73" s="143"/>
      <c r="Y73" s="9">
        <f t="shared" si="83"/>
        <v>0</v>
      </c>
      <c r="Z73" s="8" t="str">
        <f t="shared" si="84"/>
        <v>Belum Deteksi</v>
      </c>
      <c r="AA73" s="143"/>
      <c r="AB73" s="9">
        <f t="shared" si="94"/>
        <v>0</v>
      </c>
      <c r="AC73" s="11">
        <v>46247</v>
      </c>
      <c r="AD73" s="143">
        <v>98</v>
      </c>
      <c r="AE73" s="9">
        <f t="shared" si="95"/>
        <v>4.2006000857265322</v>
      </c>
      <c r="AF73" s="143">
        <v>3</v>
      </c>
      <c r="AG73" s="9">
        <f t="shared" si="85"/>
        <v>3.0612244897959182</v>
      </c>
      <c r="AH73" s="8" t="str">
        <f t="shared" si="96"/>
        <v>Tetap Deteksi</v>
      </c>
      <c r="AI73" s="143">
        <v>2</v>
      </c>
      <c r="AJ73" s="9">
        <f t="shared" si="97"/>
        <v>2.0408163265306123</v>
      </c>
      <c r="AK73" s="11">
        <v>46242</v>
      </c>
      <c r="AL73" s="143">
        <v>576</v>
      </c>
      <c r="AM73" s="143">
        <v>8</v>
      </c>
      <c r="AN73" s="9">
        <f t="shared" si="86"/>
        <v>1.3888888888888888</v>
      </c>
      <c r="AO73" s="8" t="str">
        <f t="shared" si="87"/>
        <v>Tetap Deteksi</v>
      </c>
      <c r="AP73" s="143">
        <v>13</v>
      </c>
      <c r="AQ73" s="9">
        <f t="shared" si="98"/>
        <v>2.2569444444444442</v>
      </c>
    </row>
    <row r="74" spans="1:43" outlineLevel="1" x14ac:dyDescent="0.15">
      <c r="A74" s="8" t="s">
        <v>1970</v>
      </c>
      <c r="B74" s="8"/>
      <c r="C74" s="8" t="s">
        <v>107</v>
      </c>
      <c r="D74" s="186" t="s">
        <v>1940</v>
      </c>
      <c r="E74" s="9">
        <v>34.03</v>
      </c>
      <c r="F74" s="8" t="s">
        <v>1740</v>
      </c>
      <c r="G74" s="10">
        <v>4075</v>
      </c>
      <c r="H74" s="204">
        <f t="array" ref="H74">IF(OR(N74&gt;0,AC74&gt;0),MAX(N74,AC74),MAX(AK74,V74))</f>
        <v>46247</v>
      </c>
      <c r="I74" s="205">
        <f t="array" ref="I74">IF(SUM(O74,AD74)&gt;0,SUM(O74,AD74),SUM(AL74,W74))</f>
        <v>189</v>
      </c>
      <c r="J74" s="206" t="str">
        <f t="shared" si="88"/>
        <v xml:space="preserve"> </v>
      </c>
      <c r="K74" s="205">
        <f t="shared" si="89"/>
        <v>4</v>
      </c>
      <c r="L74" s="206">
        <f t="shared" si="90"/>
        <v>2.1164021164021163</v>
      </c>
      <c r="M74" s="8" t="str">
        <f t="array" ref="M74">IF(L74&gt;5,"Perlu Sensus",IF(AND(L74&gt;=0,I74&gt;0),"Tetap Deteksi","Belum Deteksi"))</f>
        <v>Tetap Deteksi</v>
      </c>
      <c r="N74" s="11">
        <v>46238</v>
      </c>
      <c r="O74" s="143">
        <v>94</v>
      </c>
      <c r="P74" s="9">
        <f t="shared" ref="P74" si="101">IFERROR(O74/#REF!*100,0)</f>
        <v>0</v>
      </c>
      <c r="Q74" s="143">
        <v>2</v>
      </c>
      <c r="R74" s="9">
        <f t="shared" si="82"/>
        <v>2.1276595744680851</v>
      </c>
      <c r="S74" s="8" t="str">
        <f t="shared" si="92"/>
        <v>Tetap Deteksi</v>
      </c>
      <c r="T74" s="143">
        <v>2</v>
      </c>
      <c r="U74" s="9">
        <f t="shared" si="93"/>
        <v>2.1276595744680851</v>
      </c>
      <c r="V74" s="11">
        <v>46241</v>
      </c>
      <c r="W74" s="143">
        <v>763</v>
      </c>
      <c r="X74" s="143">
        <v>9.9999999999999995E-7</v>
      </c>
      <c r="Y74" s="9">
        <f t="shared" si="83"/>
        <v>1.3106159895150722E-7</v>
      </c>
      <c r="Z74" s="8" t="str">
        <f t="shared" si="84"/>
        <v>Tetap Deteksi</v>
      </c>
      <c r="AA74" s="143">
        <v>68</v>
      </c>
      <c r="AB74" s="9">
        <f t="shared" si="94"/>
        <v>8.9121887287024908</v>
      </c>
      <c r="AC74" s="11">
        <v>46247</v>
      </c>
      <c r="AD74" s="143">
        <v>95</v>
      </c>
      <c r="AE74" s="9">
        <f t="shared" si="95"/>
        <v>2.3312883435582821</v>
      </c>
      <c r="AF74" s="143">
        <v>2</v>
      </c>
      <c r="AG74" s="9">
        <f t="shared" si="85"/>
        <v>2.1052631578947367</v>
      </c>
      <c r="AH74" s="8" t="str">
        <f t="shared" si="96"/>
        <v>Tetap Deteksi</v>
      </c>
      <c r="AI74" s="143">
        <v>1</v>
      </c>
      <c r="AJ74" s="9">
        <f t="shared" si="97"/>
        <v>1.0526315789473684</v>
      </c>
      <c r="AK74" s="11"/>
      <c r="AL74" s="143"/>
      <c r="AM74" s="143"/>
      <c r="AN74" s="9">
        <f t="shared" si="86"/>
        <v>0</v>
      </c>
      <c r="AO74" s="8" t="str">
        <f t="shared" si="87"/>
        <v>Belum Deteksi</v>
      </c>
      <c r="AP74" s="143"/>
      <c r="AQ74" s="9">
        <f t="shared" si="98"/>
        <v>0</v>
      </c>
    </row>
    <row r="75" spans="1:43" outlineLevel="1" x14ac:dyDescent="0.15">
      <c r="A75" s="8" t="s">
        <v>1970</v>
      </c>
      <c r="B75" s="8"/>
      <c r="C75" s="8" t="s">
        <v>107</v>
      </c>
      <c r="D75" s="181" t="s">
        <v>2025</v>
      </c>
      <c r="E75" s="9">
        <v>36.299999999999997</v>
      </c>
      <c r="F75" s="8" t="s">
        <v>1740</v>
      </c>
      <c r="G75" s="10">
        <v>3663</v>
      </c>
      <c r="H75" s="204">
        <f t="array" ref="H75">IF(OR(N75&gt;0,AC75&gt;0),MAX(N75,AC75),MAX(AK75,V75))</f>
        <v>46247</v>
      </c>
      <c r="I75" s="205">
        <f t="array" ref="I75">IF(SUM(O75,AD75)&gt;0,SUM(O75,AD75),SUM(AL75,W75))</f>
        <v>186</v>
      </c>
      <c r="J75" s="206" t="str">
        <f t="shared" si="88"/>
        <v xml:space="preserve"> </v>
      </c>
      <c r="K75" s="205">
        <f t="shared" si="89"/>
        <v>6</v>
      </c>
      <c r="L75" s="206">
        <f t="shared" si="90"/>
        <v>3.225806451612903</v>
      </c>
      <c r="M75" s="8" t="str">
        <f t="array" ref="M75">IF(L75&gt;5,"Perlu Sensus",IF(AND(L75&gt;=0,I75&gt;0),"Tetap Deteksi","Belum Deteksi"))</f>
        <v>Tetap Deteksi</v>
      </c>
      <c r="N75" s="11">
        <v>46240</v>
      </c>
      <c r="O75" s="143">
        <v>95</v>
      </c>
      <c r="P75" s="9">
        <f t="shared" ref="P75" si="102">IFERROR(O75/#REF!*100,0)</f>
        <v>0</v>
      </c>
      <c r="Q75" s="143">
        <v>3</v>
      </c>
      <c r="R75" s="9">
        <f t="shared" si="82"/>
        <v>3.1578947368421053</v>
      </c>
      <c r="S75" s="8" t="str">
        <f t="shared" si="92"/>
        <v>Tetap Deteksi</v>
      </c>
      <c r="T75" s="143">
        <v>1</v>
      </c>
      <c r="U75" s="9">
        <f t="shared" si="93"/>
        <v>1.0526315789473684</v>
      </c>
      <c r="V75" s="11"/>
      <c r="W75" s="143"/>
      <c r="X75" s="143"/>
      <c r="Y75" s="9">
        <f t="shared" si="83"/>
        <v>0</v>
      </c>
      <c r="Z75" s="8" t="str">
        <f t="shared" si="84"/>
        <v>Belum Deteksi</v>
      </c>
      <c r="AA75" s="143"/>
      <c r="AB75" s="9">
        <f t="shared" si="94"/>
        <v>0</v>
      </c>
      <c r="AC75" s="11">
        <v>46247</v>
      </c>
      <c r="AD75" s="143">
        <v>91</v>
      </c>
      <c r="AE75" s="9">
        <f t="shared" si="95"/>
        <v>2.4843024843024843</v>
      </c>
      <c r="AF75" s="143">
        <v>3</v>
      </c>
      <c r="AG75" s="9">
        <f t="shared" si="85"/>
        <v>3.296703296703297</v>
      </c>
      <c r="AH75" s="8" t="str">
        <f t="shared" si="96"/>
        <v>Tetap Deteksi</v>
      </c>
      <c r="AI75" s="143">
        <v>2</v>
      </c>
      <c r="AJ75" s="9">
        <f t="shared" si="97"/>
        <v>2.197802197802198</v>
      </c>
      <c r="AK75" s="11"/>
      <c r="AL75" s="143"/>
      <c r="AM75" s="143"/>
      <c r="AN75" s="9">
        <f t="shared" si="86"/>
        <v>0</v>
      </c>
      <c r="AO75" s="8" t="str">
        <f t="shared" si="87"/>
        <v>Belum Deteksi</v>
      </c>
      <c r="AP75" s="143"/>
      <c r="AQ75" s="9">
        <f t="shared" si="98"/>
        <v>0</v>
      </c>
    </row>
    <row r="76" spans="1:43" outlineLevel="1" x14ac:dyDescent="0.15">
      <c r="A76" s="8" t="s">
        <v>1970</v>
      </c>
      <c r="B76" s="8"/>
      <c r="C76" s="8" t="s">
        <v>107</v>
      </c>
      <c r="D76" s="8" t="s">
        <v>1220</v>
      </c>
      <c r="E76" s="9">
        <v>28.929999999999993</v>
      </c>
      <c r="F76" s="8" t="s">
        <v>1740</v>
      </c>
      <c r="G76" s="10">
        <v>2575</v>
      </c>
      <c r="H76" s="204">
        <f t="array" ref="H76">IF(OR(N76&gt;0,AC76&gt;0),MAX(N76,AC76),MAX(AK76,V76))</f>
        <v>46247</v>
      </c>
      <c r="I76" s="205">
        <f t="array" ref="I76">IF(SUM(O76,AD76)&gt;0,SUM(O76,AD76),SUM(AL76,W76))</f>
        <v>171</v>
      </c>
      <c r="J76" s="206" t="str">
        <f t="shared" si="88"/>
        <v xml:space="preserve"> </v>
      </c>
      <c r="K76" s="205">
        <f t="shared" si="89"/>
        <v>4</v>
      </c>
      <c r="L76" s="206">
        <f t="shared" si="90"/>
        <v>2.3391812865497075</v>
      </c>
      <c r="M76" s="8" t="str">
        <f t="array" ref="M76">IF(L76&gt;5,"Perlu Sensus",IF(AND(L76&gt;=0,I76&gt;0),"Tetap Deteksi","Belum Deteksi"))</f>
        <v>Tetap Deteksi</v>
      </c>
      <c r="N76" s="11">
        <v>46240</v>
      </c>
      <c r="O76" s="143">
        <v>86</v>
      </c>
      <c r="P76" s="9">
        <f t="shared" ref="P76" si="103">IFERROR(O76/#REF!*100,0)</f>
        <v>0</v>
      </c>
      <c r="Q76" s="143">
        <v>2</v>
      </c>
      <c r="R76" s="9">
        <f t="shared" si="82"/>
        <v>2.3255813953488373</v>
      </c>
      <c r="S76" s="8" t="str">
        <f t="shared" si="92"/>
        <v>Tetap Deteksi</v>
      </c>
      <c r="T76" s="143">
        <v>2</v>
      </c>
      <c r="U76" s="9">
        <f t="shared" si="93"/>
        <v>2.3255813953488373</v>
      </c>
      <c r="V76" s="11"/>
      <c r="W76" s="143"/>
      <c r="X76" s="143"/>
      <c r="Y76" s="9">
        <f t="shared" si="83"/>
        <v>0</v>
      </c>
      <c r="Z76" s="8" t="str">
        <f t="shared" si="84"/>
        <v>Belum Deteksi</v>
      </c>
      <c r="AA76" s="143"/>
      <c r="AB76" s="9">
        <f t="shared" si="94"/>
        <v>0</v>
      </c>
      <c r="AC76" s="11">
        <v>46247</v>
      </c>
      <c r="AD76" s="143">
        <v>85</v>
      </c>
      <c r="AE76" s="9">
        <f t="shared" si="95"/>
        <v>3.3009708737864081</v>
      </c>
      <c r="AF76" s="143">
        <v>2</v>
      </c>
      <c r="AG76" s="9">
        <f t="shared" si="85"/>
        <v>2.3529411764705883</v>
      </c>
      <c r="AH76" s="8" t="str">
        <f t="shared" si="96"/>
        <v>Tetap Deteksi</v>
      </c>
      <c r="AI76" s="143">
        <v>1</v>
      </c>
      <c r="AJ76" s="9">
        <f t="shared" si="97"/>
        <v>1.1764705882352942</v>
      </c>
      <c r="AK76" s="11"/>
      <c r="AL76" s="143"/>
      <c r="AM76" s="143"/>
      <c r="AN76" s="9">
        <f t="shared" si="86"/>
        <v>0</v>
      </c>
      <c r="AO76" s="8" t="str">
        <f t="shared" si="87"/>
        <v>Belum Deteksi</v>
      </c>
      <c r="AP76" s="143"/>
      <c r="AQ76" s="9">
        <f t="shared" si="98"/>
        <v>0</v>
      </c>
    </row>
    <row r="77" spans="1:43" outlineLevel="1" x14ac:dyDescent="0.15">
      <c r="A77" s="8" t="s">
        <v>1970</v>
      </c>
      <c r="B77" s="8"/>
      <c r="C77" s="8" t="s">
        <v>107</v>
      </c>
      <c r="D77" s="8" t="s">
        <v>1226</v>
      </c>
      <c r="E77" s="9">
        <v>24.419999999999998</v>
      </c>
      <c r="F77" s="8" t="s">
        <v>1740</v>
      </c>
      <c r="G77" s="10">
        <v>2376</v>
      </c>
      <c r="H77" s="204">
        <f t="array" ref="H77">IF(OR(N77&gt;0,AC77&gt;0),MAX(N77,AC77),MAX(AK77,V77))</f>
        <v>46248</v>
      </c>
      <c r="I77" s="205">
        <f t="array" ref="I77">IF(SUM(O77,AD77)&gt;0,SUM(O77,AD77),SUM(AL77,W77))</f>
        <v>184</v>
      </c>
      <c r="J77" s="206" t="str">
        <f t="shared" si="88"/>
        <v xml:space="preserve"> </v>
      </c>
      <c r="K77" s="205">
        <f t="shared" si="89"/>
        <v>5</v>
      </c>
      <c r="L77" s="206">
        <f t="shared" si="90"/>
        <v>2.7173913043478262</v>
      </c>
      <c r="M77" s="8" t="str">
        <f t="array" ref="M77">IF(L77&gt;5,"Perlu Sensus",IF(AND(L77&gt;=0,I77&gt;0),"Tetap Deteksi","Belum Deteksi"))</f>
        <v>Tetap Deteksi</v>
      </c>
      <c r="N77" s="11">
        <v>46238</v>
      </c>
      <c r="O77" s="143">
        <v>98</v>
      </c>
      <c r="P77" s="9">
        <f t="shared" ref="P77" si="104">IFERROR(O77/#REF!*100,0)</f>
        <v>0</v>
      </c>
      <c r="Q77" s="143">
        <v>2</v>
      </c>
      <c r="R77" s="9">
        <f t="shared" si="82"/>
        <v>2.0408163265306123</v>
      </c>
      <c r="S77" s="8" t="str">
        <f t="shared" si="92"/>
        <v>Tetap Deteksi</v>
      </c>
      <c r="T77" s="143">
        <v>2</v>
      </c>
      <c r="U77" s="9">
        <f t="shared" si="93"/>
        <v>2.0408163265306123</v>
      </c>
      <c r="V77" s="11">
        <v>46240</v>
      </c>
      <c r="W77" s="143">
        <v>130</v>
      </c>
      <c r="X77" s="143">
        <v>9.9999999999999995E-7</v>
      </c>
      <c r="Y77" s="9">
        <f t="shared" si="83"/>
        <v>7.6923076923076925E-7</v>
      </c>
      <c r="Z77" s="8" t="str">
        <f t="shared" si="84"/>
        <v>Tetap Deteksi</v>
      </c>
      <c r="AA77" s="143">
        <v>15</v>
      </c>
      <c r="AB77" s="9">
        <f t="shared" si="94"/>
        <v>11.538461538461538</v>
      </c>
      <c r="AC77" s="11">
        <v>46248</v>
      </c>
      <c r="AD77" s="143">
        <v>86</v>
      </c>
      <c r="AE77" s="9">
        <f t="shared" si="95"/>
        <v>3.6195286195286198</v>
      </c>
      <c r="AF77" s="143">
        <v>3</v>
      </c>
      <c r="AG77" s="9">
        <f t="shared" si="85"/>
        <v>3.4883720930232558</v>
      </c>
      <c r="AH77" s="8" t="str">
        <f t="shared" si="96"/>
        <v>Tetap Deteksi</v>
      </c>
      <c r="AI77" s="143">
        <v>2</v>
      </c>
      <c r="AJ77" s="9">
        <f t="shared" si="97"/>
        <v>2.3255813953488373</v>
      </c>
      <c r="AK77" s="11"/>
      <c r="AL77" s="143"/>
      <c r="AM77" s="143"/>
      <c r="AN77" s="9">
        <f t="shared" si="86"/>
        <v>0</v>
      </c>
      <c r="AO77" s="8" t="str">
        <f t="shared" si="87"/>
        <v>Belum Deteksi</v>
      </c>
      <c r="AP77" s="143"/>
      <c r="AQ77" s="9">
        <f t="shared" si="98"/>
        <v>0</v>
      </c>
    </row>
    <row r="78" spans="1:43" outlineLevel="1" x14ac:dyDescent="0.15">
      <c r="A78" s="8" t="s">
        <v>1970</v>
      </c>
      <c r="B78" s="8"/>
      <c r="C78" s="8" t="s">
        <v>107</v>
      </c>
      <c r="D78" s="8" t="s">
        <v>1926</v>
      </c>
      <c r="E78" s="9">
        <v>46.250000000000007</v>
      </c>
      <c r="F78" s="8" t="s">
        <v>1740</v>
      </c>
      <c r="G78" s="10">
        <v>4707</v>
      </c>
      <c r="H78" s="204">
        <f t="array" ref="H78">IF(OR(N78&gt;0,AC78&gt;0),MAX(N78,AC78),MAX(AK78,V78))</f>
        <v>46248</v>
      </c>
      <c r="I78" s="205">
        <f t="array" ref="I78">IF(SUM(O78,AD78)&gt;0,SUM(O78,AD78),SUM(AL78,W78))</f>
        <v>182</v>
      </c>
      <c r="J78" s="206" t="str">
        <f t="shared" si="88"/>
        <v xml:space="preserve"> </v>
      </c>
      <c r="K78" s="205">
        <f t="shared" si="89"/>
        <v>4</v>
      </c>
      <c r="L78" s="206">
        <f t="shared" si="90"/>
        <v>2.197802197802198</v>
      </c>
      <c r="M78" s="8" t="str">
        <f t="array" ref="M78">IF(L78&gt;5,"Perlu Sensus",IF(AND(L78&gt;=0,I78&gt;0),"Tetap Deteksi","Belum Deteksi"))</f>
        <v>Tetap Deteksi</v>
      </c>
      <c r="N78" s="11">
        <v>46241</v>
      </c>
      <c r="O78" s="143">
        <v>95</v>
      </c>
      <c r="P78" s="9">
        <f t="shared" ref="P78" si="105">IFERROR(O78/#REF!*100,0)</f>
        <v>0</v>
      </c>
      <c r="Q78" s="143">
        <v>1</v>
      </c>
      <c r="R78" s="9">
        <f t="shared" si="82"/>
        <v>1.0526315789473684</v>
      </c>
      <c r="S78" s="8" t="str">
        <f t="shared" si="92"/>
        <v>Tetap Deteksi</v>
      </c>
      <c r="T78" s="143">
        <v>4</v>
      </c>
      <c r="U78" s="9">
        <f t="shared" si="93"/>
        <v>4.2105263157894735</v>
      </c>
      <c r="V78" s="11"/>
      <c r="W78" s="143"/>
      <c r="X78" s="143"/>
      <c r="Y78" s="9">
        <f t="shared" si="83"/>
        <v>0</v>
      </c>
      <c r="Z78" s="8" t="str">
        <f t="shared" si="84"/>
        <v>Belum Deteksi</v>
      </c>
      <c r="AA78" s="143"/>
      <c r="AB78" s="9">
        <f t="shared" si="94"/>
        <v>0</v>
      </c>
      <c r="AC78" s="11">
        <v>46248</v>
      </c>
      <c r="AD78" s="143">
        <v>87</v>
      </c>
      <c r="AE78" s="9">
        <f t="shared" si="95"/>
        <v>1.8483110261312936</v>
      </c>
      <c r="AF78" s="143">
        <v>3</v>
      </c>
      <c r="AG78" s="9">
        <f t="shared" si="85"/>
        <v>3.4482758620689653</v>
      </c>
      <c r="AH78" s="8" t="str">
        <f t="shared" si="96"/>
        <v>Tetap Deteksi</v>
      </c>
      <c r="AI78" s="143">
        <v>2</v>
      </c>
      <c r="AJ78" s="9">
        <f t="shared" si="97"/>
        <v>2.2988505747126435</v>
      </c>
      <c r="AK78" s="11"/>
      <c r="AL78" s="143"/>
      <c r="AM78" s="143"/>
      <c r="AN78" s="9">
        <f t="shared" si="86"/>
        <v>0</v>
      </c>
      <c r="AO78" s="8" t="str">
        <f t="shared" si="87"/>
        <v>Belum Deteksi</v>
      </c>
      <c r="AP78" s="143"/>
      <c r="AQ78" s="9">
        <f t="shared" si="98"/>
        <v>0</v>
      </c>
    </row>
    <row r="79" spans="1:43" outlineLevel="1" x14ac:dyDescent="0.15">
      <c r="A79" s="8" t="s">
        <v>1970</v>
      </c>
      <c r="B79" s="8"/>
      <c r="C79" s="8" t="s">
        <v>107</v>
      </c>
      <c r="D79" s="181" t="s">
        <v>1247</v>
      </c>
      <c r="E79" s="9">
        <v>24.919999999999998</v>
      </c>
      <c r="F79" s="8" t="s">
        <v>1740</v>
      </c>
      <c r="G79" s="10">
        <v>2718</v>
      </c>
      <c r="H79" s="204">
        <f t="array" ref="H79">IF(OR(N79&gt;0,AC79&gt;0),MAX(N79,AC79),MAX(AK79,V79))</f>
        <v>46248</v>
      </c>
      <c r="I79" s="205">
        <f t="array" ref="I79">IF(SUM(O79,AD79)&gt;0,SUM(O79,AD79),SUM(AL79,W79))</f>
        <v>178</v>
      </c>
      <c r="J79" s="206" t="str">
        <f t="shared" si="88"/>
        <v xml:space="preserve"> </v>
      </c>
      <c r="K79" s="205">
        <f t="shared" si="89"/>
        <v>3</v>
      </c>
      <c r="L79" s="206">
        <f t="shared" si="90"/>
        <v>1.6853932584269662</v>
      </c>
      <c r="M79" s="8" t="str">
        <f t="array" ref="M79">IF(L79&gt;5,"Perlu Sensus",IF(AND(L79&gt;=0,I79&gt;0),"Tetap Deteksi","Belum Deteksi"))</f>
        <v>Tetap Deteksi</v>
      </c>
      <c r="N79" s="11">
        <v>46238</v>
      </c>
      <c r="O79" s="143">
        <v>98</v>
      </c>
      <c r="P79" s="9">
        <f t="shared" ref="P79" si="106">IFERROR(O79/#REF!*100,0)</f>
        <v>0</v>
      </c>
      <c r="Q79" s="143">
        <v>2</v>
      </c>
      <c r="R79" s="9">
        <f t="shared" si="82"/>
        <v>2.0408163265306123</v>
      </c>
      <c r="S79" s="8" t="str">
        <f t="shared" si="92"/>
        <v>Tetap Deteksi</v>
      </c>
      <c r="T79" s="143">
        <v>2</v>
      </c>
      <c r="U79" s="9">
        <f t="shared" si="93"/>
        <v>2.0408163265306123</v>
      </c>
      <c r="V79" s="11"/>
      <c r="W79" s="143"/>
      <c r="X79" s="143"/>
      <c r="Y79" s="9">
        <f t="shared" si="83"/>
        <v>0</v>
      </c>
      <c r="Z79" s="8" t="str">
        <f t="shared" si="84"/>
        <v>Belum Deteksi</v>
      </c>
      <c r="AA79" s="143"/>
      <c r="AB79" s="9">
        <f t="shared" si="94"/>
        <v>0</v>
      </c>
      <c r="AC79" s="11">
        <v>46248</v>
      </c>
      <c r="AD79" s="143">
        <v>80</v>
      </c>
      <c r="AE79" s="9">
        <f t="shared" si="95"/>
        <v>2.9433406916850626</v>
      </c>
      <c r="AF79" s="143">
        <v>1</v>
      </c>
      <c r="AG79" s="9">
        <f t="shared" si="85"/>
        <v>1.25</v>
      </c>
      <c r="AH79" s="8" t="str">
        <f t="shared" si="96"/>
        <v>Tetap Deteksi</v>
      </c>
      <c r="AI79" s="143">
        <v>1</v>
      </c>
      <c r="AJ79" s="9">
        <f t="shared" si="97"/>
        <v>1.25</v>
      </c>
      <c r="AK79" s="11"/>
      <c r="AL79" s="143"/>
      <c r="AM79" s="143"/>
      <c r="AN79" s="9">
        <f t="shared" si="86"/>
        <v>0</v>
      </c>
      <c r="AO79" s="8" t="str">
        <f t="shared" si="87"/>
        <v>Belum Deteksi</v>
      </c>
      <c r="AP79" s="143"/>
      <c r="AQ79" s="9">
        <f t="shared" si="98"/>
        <v>0</v>
      </c>
    </row>
    <row r="80" spans="1:43" outlineLevel="1" x14ac:dyDescent="0.15">
      <c r="A80" s="8" t="s">
        <v>1970</v>
      </c>
      <c r="B80" s="8"/>
      <c r="C80" s="8" t="s">
        <v>107</v>
      </c>
      <c r="D80" s="181" t="s">
        <v>1248</v>
      </c>
      <c r="E80" s="9">
        <v>29.77</v>
      </c>
      <c r="F80" s="8" t="s">
        <v>1740</v>
      </c>
      <c r="G80" s="10">
        <v>3324</v>
      </c>
      <c r="H80" s="204">
        <f t="array" ref="H80">IF(OR(N80&gt;0,AC80&gt;0),MAX(N80,AC80),MAX(AK80,V80))</f>
        <v>46248</v>
      </c>
      <c r="I80" s="205">
        <f t="array" ref="I80">IF(SUM(O80,AD80)&gt;0,SUM(O80,AD80),SUM(AL80,W80))</f>
        <v>176</v>
      </c>
      <c r="J80" s="206" t="str">
        <f t="shared" si="88"/>
        <v xml:space="preserve"> </v>
      </c>
      <c r="K80" s="205">
        <f t="shared" si="89"/>
        <v>4</v>
      </c>
      <c r="L80" s="206">
        <f t="shared" si="90"/>
        <v>2.2727272727272729</v>
      </c>
      <c r="M80" s="8" t="str">
        <f t="array" ref="M80">IF(L80&gt;5,"Perlu Sensus",IF(AND(L80&gt;=0,I80&gt;0),"Tetap Deteksi","Belum Deteksi"))</f>
        <v>Tetap Deteksi</v>
      </c>
      <c r="N80" s="11">
        <v>46241</v>
      </c>
      <c r="O80" s="143">
        <v>94</v>
      </c>
      <c r="P80" s="9">
        <f t="shared" ref="P80" si="107">IFERROR(O80/#REF!*100,0)</f>
        <v>0</v>
      </c>
      <c r="Q80" s="143">
        <v>3</v>
      </c>
      <c r="R80" s="9">
        <f t="shared" si="82"/>
        <v>3.1914893617021276</v>
      </c>
      <c r="S80" s="8" t="str">
        <f t="shared" si="92"/>
        <v>Tetap Deteksi</v>
      </c>
      <c r="T80" s="143">
        <v>1</v>
      </c>
      <c r="U80" s="9">
        <f t="shared" si="93"/>
        <v>1.0638297872340425</v>
      </c>
      <c r="V80" s="11">
        <v>46241</v>
      </c>
      <c r="W80" s="143">
        <v>134</v>
      </c>
      <c r="X80" s="143">
        <v>9.9999999999999995E-7</v>
      </c>
      <c r="Y80" s="9">
        <f t="shared" si="83"/>
        <v>7.4626865671641789E-7</v>
      </c>
      <c r="Z80" s="8" t="str">
        <f t="shared" si="84"/>
        <v>Tetap Deteksi</v>
      </c>
      <c r="AA80" s="143">
        <v>13</v>
      </c>
      <c r="AB80" s="9">
        <f t="shared" si="94"/>
        <v>9.7014925373134329</v>
      </c>
      <c r="AC80" s="11">
        <v>46248</v>
      </c>
      <c r="AD80" s="143">
        <v>82</v>
      </c>
      <c r="AE80" s="9">
        <f t="shared" si="95"/>
        <v>2.4669073405535502</v>
      </c>
      <c r="AF80" s="143">
        <v>1</v>
      </c>
      <c r="AG80" s="9">
        <f t="shared" si="85"/>
        <v>1.2195121951219512</v>
      </c>
      <c r="AH80" s="8" t="str">
        <f t="shared" si="96"/>
        <v>Tetap Deteksi</v>
      </c>
      <c r="AI80" s="143">
        <v>0</v>
      </c>
      <c r="AJ80" s="9">
        <f t="shared" si="97"/>
        <v>0</v>
      </c>
      <c r="AK80" s="11"/>
      <c r="AL80" s="143"/>
      <c r="AM80" s="143"/>
      <c r="AN80" s="9">
        <f t="shared" si="86"/>
        <v>0</v>
      </c>
      <c r="AO80" s="8" t="str">
        <f t="shared" si="87"/>
        <v>Belum Deteksi</v>
      </c>
      <c r="AP80" s="143"/>
      <c r="AQ80" s="9">
        <f t="shared" si="98"/>
        <v>0</v>
      </c>
    </row>
    <row r="81" spans="1:45" outlineLevel="1" x14ac:dyDescent="0.15">
      <c r="A81" s="8" t="s">
        <v>1970</v>
      </c>
      <c r="B81" s="8"/>
      <c r="C81" s="8" t="s">
        <v>107</v>
      </c>
      <c r="D81" s="181" t="s">
        <v>1468</v>
      </c>
      <c r="E81" s="9">
        <v>42.19</v>
      </c>
      <c r="F81" s="8" t="s">
        <v>1740</v>
      </c>
      <c r="G81" s="10">
        <v>3975</v>
      </c>
      <c r="H81" s="204">
        <f t="array" ref="H81">IF(OR(N81&gt;0,AC81&gt;0),MAX(N81,AC81),MAX(AK81,V81))</f>
        <v>46247</v>
      </c>
      <c r="I81" s="205">
        <f t="array" ref="I81">IF(SUM(O81,AD81)&gt;0,SUM(O81,AD81),SUM(AL81,W81))</f>
        <v>184</v>
      </c>
      <c r="J81" s="206" t="str">
        <f t="shared" si="88"/>
        <v xml:space="preserve"> </v>
      </c>
      <c r="K81" s="205">
        <f t="shared" si="89"/>
        <v>4</v>
      </c>
      <c r="L81" s="206">
        <f t="shared" si="90"/>
        <v>2.1739130434782608</v>
      </c>
      <c r="M81" s="8" t="str">
        <f t="array" ref="M81">IF(L81&gt;5,"Perlu Sensus",IF(AND(L81&gt;=0,I81&gt;0),"Tetap Deteksi","Belum Deteksi"))</f>
        <v>Tetap Deteksi</v>
      </c>
      <c r="N81" s="11">
        <v>46238</v>
      </c>
      <c r="O81" s="143">
        <v>92</v>
      </c>
      <c r="P81" s="9">
        <f t="shared" ref="P81" si="108">IFERROR(O81/#REF!*100,0)</f>
        <v>0</v>
      </c>
      <c r="Q81" s="143">
        <v>2</v>
      </c>
      <c r="R81" s="9">
        <f t="shared" si="82"/>
        <v>2.1739130434782608</v>
      </c>
      <c r="S81" s="8" t="str">
        <f t="shared" si="92"/>
        <v>Tetap Deteksi</v>
      </c>
      <c r="T81" s="143">
        <v>1</v>
      </c>
      <c r="U81" s="9">
        <f t="shared" si="93"/>
        <v>1.0869565217391304</v>
      </c>
      <c r="V81" s="11"/>
      <c r="W81" s="143"/>
      <c r="X81" s="143"/>
      <c r="Y81" s="9">
        <f t="shared" si="83"/>
        <v>0</v>
      </c>
      <c r="Z81" s="8" t="str">
        <f t="shared" si="84"/>
        <v>Belum Deteksi</v>
      </c>
      <c r="AA81" s="143"/>
      <c r="AB81" s="9">
        <f t="shared" si="94"/>
        <v>0</v>
      </c>
      <c r="AC81" s="11">
        <v>46247</v>
      </c>
      <c r="AD81" s="143">
        <v>92</v>
      </c>
      <c r="AE81" s="9">
        <f t="shared" si="95"/>
        <v>2.3144654088050314</v>
      </c>
      <c r="AF81" s="143">
        <v>2</v>
      </c>
      <c r="AG81" s="9">
        <f t="shared" si="85"/>
        <v>2.1739130434782608</v>
      </c>
      <c r="AH81" s="8" t="str">
        <f t="shared" si="96"/>
        <v>Tetap Deteksi</v>
      </c>
      <c r="AI81" s="143">
        <v>2</v>
      </c>
      <c r="AJ81" s="9">
        <f t="shared" si="97"/>
        <v>2.1739130434782608</v>
      </c>
      <c r="AK81" s="11"/>
      <c r="AL81" s="143"/>
      <c r="AM81" s="143"/>
      <c r="AN81" s="9">
        <f t="shared" si="86"/>
        <v>0</v>
      </c>
      <c r="AO81" s="8" t="str">
        <f t="shared" si="87"/>
        <v>Belum Deteksi</v>
      </c>
      <c r="AP81" s="143"/>
      <c r="AQ81" s="9">
        <f t="shared" si="98"/>
        <v>0</v>
      </c>
    </row>
    <row r="82" spans="1:45" outlineLevel="1" x14ac:dyDescent="0.15">
      <c r="A82" s="8" t="s">
        <v>1970</v>
      </c>
      <c r="B82" s="8"/>
      <c r="C82" s="8" t="s">
        <v>107</v>
      </c>
      <c r="D82" s="8" t="s">
        <v>2026</v>
      </c>
      <c r="E82" s="9">
        <v>40.64</v>
      </c>
      <c r="F82" s="8" t="s">
        <v>1740</v>
      </c>
      <c r="G82" s="10">
        <v>5609</v>
      </c>
      <c r="H82" s="204">
        <f t="array" ref="H82">IF(OR(N82&gt;0,AC82&gt;0),MAX(N82,AC82),MAX(AK82,V82))</f>
        <v>46247</v>
      </c>
      <c r="I82" s="205">
        <f t="array" ref="I82">IF(SUM(O82,AD82)&gt;0,SUM(O82,AD82),SUM(AL82,W82))</f>
        <v>194</v>
      </c>
      <c r="J82" s="206" t="str">
        <f t="shared" si="88"/>
        <v xml:space="preserve"> </v>
      </c>
      <c r="K82" s="205">
        <f t="shared" si="89"/>
        <v>6</v>
      </c>
      <c r="L82" s="206">
        <f t="shared" si="90"/>
        <v>3.0927835051546393</v>
      </c>
      <c r="M82" s="8" t="str">
        <f t="array" ref="M82">IF(L82&gt;5,"Perlu Sensus",IF(AND(L82&gt;=0,I82&gt;0),"Tetap Deteksi","Belum Deteksi"))</f>
        <v>Tetap Deteksi</v>
      </c>
      <c r="N82" s="11">
        <v>46240</v>
      </c>
      <c r="O82" s="143">
        <v>92</v>
      </c>
      <c r="P82" s="9">
        <f t="shared" ref="P82" si="109">IFERROR(O82/#REF!*100,0)</f>
        <v>0</v>
      </c>
      <c r="Q82" s="143">
        <v>1</v>
      </c>
      <c r="R82" s="9">
        <f t="shared" si="82"/>
        <v>1.0869565217391304</v>
      </c>
      <c r="S82" s="8" t="str">
        <f t="shared" si="92"/>
        <v>Tetap Deteksi</v>
      </c>
      <c r="T82" s="143">
        <v>4</v>
      </c>
      <c r="U82" s="9">
        <f t="shared" si="93"/>
        <v>4.3478260869565215</v>
      </c>
      <c r="V82" s="11">
        <v>46240</v>
      </c>
      <c r="W82" s="143">
        <v>723</v>
      </c>
      <c r="X82" s="143">
        <v>11</v>
      </c>
      <c r="Y82" s="9">
        <f t="shared" si="83"/>
        <v>1.5214384508990317</v>
      </c>
      <c r="Z82" s="8" t="str">
        <f t="shared" si="84"/>
        <v>Tetap Deteksi</v>
      </c>
      <c r="AA82" s="143">
        <v>55</v>
      </c>
      <c r="AB82" s="9">
        <f t="shared" si="94"/>
        <v>7.6071922544951587</v>
      </c>
      <c r="AC82" s="11">
        <v>46247</v>
      </c>
      <c r="AD82" s="143">
        <v>102</v>
      </c>
      <c r="AE82" s="9">
        <f t="shared" si="95"/>
        <v>1.8185059725441255</v>
      </c>
      <c r="AF82" s="143">
        <v>5</v>
      </c>
      <c r="AG82" s="9">
        <f t="shared" si="85"/>
        <v>4.9019607843137258</v>
      </c>
      <c r="AH82" s="8" t="str">
        <f t="shared" si="96"/>
        <v>Tetap Deteksi</v>
      </c>
      <c r="AI82" s="143">
        <v>3</v>
      </c>
      <c r="AJ82" s="9">
        <f t="shared" si="97"/>
        <v>2.9411764705882351</v>
      </c>
      <c r="AK82" s="11"/>
      <c r="AL82" s="143"/>
      <c r="AM82" s="143"/>
      <c r="AN82" s="9">
        <f t="shared" si="86"/>
        <v>0</v>
      </c>
      <c r="AO82" s="8" t="str">
        <f t="shared" si="87"/>
        <v>Belum Deteksi</v>
      </c>
      <c r="AP82" s="143"/>
      <c r="AQ82" s="9">
        <f t="shared" si="98"/>
        <v>0</v>
      </c>
    </row>
    <row r="83" spans="1:45" outlineLevel="1" x14ac:dyDescent="0.15">
      <c r="A83" s="8" t="s">
        <v>1970</v>
      </c>
      <c r="B83" s="8"/>
      <c r="C83" s="8" t="s">
        <v>107</v>
      </c>
      <c r="D83" s="8" t="s">
        <v>2027</v>
      </c>
      <c r="E83" s="9">
        <v>32.260000000000005</v>
      </c>
      <c r="F83" s="8" t="s">
        <v>1740</v>
      </c>
      <c r="G83" s="10">
        <v>3855</v>
      </c>
      <c r="H83" s="204">
        <f t="array" ref="H83">IF(OR(N83&gt;0,AC83&gt;0),MAX(N83,AC83),MAX(AK83,V83))</f>
        <v>0</v>
      </c>
      <c r="I83" s="205">
        <f t="array" ref="I83">IF(SUM(O83,AD83)&gt;0,SUM(O83,AD83),SUM(AL83,W83))</f>
        <v>0</v>
      </c>
      <c r="J83" s="206" t="str">
        <f t="shared" si="88"/>
        <v xml:space="preserve"> </v>
      </c>
      <c r="K83" s="205">
        <f t="shared" si="89"/>
        <v>0</v>
      </c>
      <c r="L83" s="206">
        <f t="shared" si="90"/>
        <v>0</v>
      </c>
      <c r="M83" s="8" t="str">
        <f t="array" ref="M83">IF(L83&gt;5,"Perlu Sensus",IF(AND(L83&gt;=0,I83&gt;0),"Tetap Deteksi","Belum Deteksi"))</f>
        <v>Belum Deteksi</v>
      </c>
      <c r="N83" s="11"/>
      <c r="O83" s="143"/>
      <c r="P83" s="9">
        <f t="shared" ref="P83" si="110">IFERROR(O83/#REF!*100,0)</f>
        <v>0</v>
      </c>
      <c r="Q83" s="143"/>
      <c r="R83" s="9">
        <f t="shared" si="82"/>
        <v>0</v>
      </c>
      <c r="S83" s="8" t="str">
        <f t="shared" si="92"/>
        <v>Belum Deteksi</v>
      </c>
      <c r="T83" s="143"/>
      <c r="U83" s="9">
        <f t="shared" si="93"/>
        <v>0</v>
      </c>
      <c r="V83" s="11"/>
      <c r="W83" s="143"/>
      <c r="X83" s="143"/>
      <c r="Y83" s="9">
        <f t="shared" si="83"/>
        <v>0</v>
      </c>
      <c r="Z83" s="8" t="str">
        <f t="shared" si="84"/>
        <v>Belum Deteksi</v>
      </c>
      <c r="AA83" s="143"/>
      <c r="AB83" s="9">
        <f t="shared" si="94"/>
        <v>0</v>
      </c>
      <c r="AC83" s="11"/>
      <c r="AD83" s="143"/>
      <c r="AE83" s="9">
        <f t="shared" si="95"/>
        <v>0</v>
      </c>
      <c r="AF83" s="143"/>
      <c r="AG83" s="9">
        <f t="shared" si="85"/>
        <v>0</v>
      </c>
      <c r="AH83" s="8" t="str">
        <f t="shared" si="96"/>
        <v>Belum Deteksi</v>
      </c>
      <c r="AI83" s="143"/>
      <c r="AJ83" s="9">
        <f t="shared" si="97"/>
        <v>0</v>
      </c>
      <c r="AK83" s="11"/>
      <c r="AL83" s="143"/>
      <c r="AM83" s="143"/>
      <c r="AN83" s="9">
        <f t="shared" si="86"/>
        <v>0</v>
      </c>
      <c r="AO83" s="8" t="str">
        <f t="shared" si="87"/>
        <v>Belum Deteksi</v>
      </c>
      <c r="AP83" s="143"/>
      <c r="AQ83" s="9">
        <f t="shared" si="98"/>
        <v>0</v>
      </c>
    </row>
    <row r="84" spans="1:45" outlineLevel="1" x14ac:dyDescent="0.15">
      <c r="A84" s="8" t="s">
        <v>1970</v>
      </c>
      <c r="B84" s="8"/>
      <c r="C84" s="8" t="s">
        <v>107</v>
      </c>
      <c r="D84" s="8" t="s">
        <v>2028</v>
      </c>
      <c r="E84" s="9">
        <v>33.6</v>
      </c>
      <c r="F84" s="8" t="s">
        <v>1740</v>
      </c>
      <c r="G84" s="10">
        <v>3952</v>
      </c>
      <c r="H84" s="204">
        <f t="array" ref="H84">IF(OR(N84&gt;0,AC84&gt;0),MAX(N84,AC84),MAX(AK84,V84))</f>
        <v>46247</v>
      </c>
      <c r="I84" s="205">
        <f t="array" ref="I84">IF(SUM(O84,AD84)&gt;0,SUM(O84,AD84),SUM(AL84,W84))</f>
        <v>175</v>
      </c>
      <c r="J84" s="206" t="str">
        <f t="shared" si="88"/>
        <v xml:space="preserve"> </v>
      </c>
      <c r="K84" s="205">
        <f t="shared" si="89"/>
        <v>4</v>
      </c>
      <c r="L84" s="206">
        <f t="shared" si="90"/>
        <v>2.2857142857142856</v>
      </c>
      <c r="M84" s="8" t="str">
        <f t="array" ref="M84">IF(L84&gt;5,"Perlu Sensus",IF(AND(L84&gt;=0,I84&gt;0),"Tetap Deteksi","Belum Deteksi"))</f>
        <v>Tetap Deteksi</v>
      </c>
      <c r="N84" s="11">
        <v>46239</v>
      </c>
      <c r="O84" s="143">
        <v>89</v>
      </c>
      <c r="P84" s="9">
        <f t="shared" ref="P84" si="111">IFERROR(O84/#REF!*100,0)</f>
        <v>0</v>
      </c>
      <c r="Q84" s="143">
        <v>2</v>
      </c>
      <c r="R84" s="9">
        <f t="shared" si="82"/>
        <v>2.2471910112359552</v>
      </c>
      <c r="S84" s="8" t="str">
        <f t="shared" si="92"/>
        <v>Tetap Deteksi</v>
      </c>
      <c r="T84" s="143">
        <v>1</v>
      </c>
      <c r="U84" s="9">
        <f t="shared" si="93"/>
        <v>1.1235955056179776</v>
      </c>
      <c r="V84" s="11"/>
      <c r="W84" s="143"/>
      <c r="X84" s="143"/>
      <c r="Y84" s="9">
        <f t="shared" si="83"/>
        <v>0</v>
      </c>
      <c r="Z84" s="8" t="str">
        <f t="shared" si="84"/>
        <v>Belum Deteksi</v>
      </c>
      <c r="AA84" s="143"/>
      <c r="AB84" s="9">
        <f t="shared" si="94"/>
        <v>0</v>
      </c>
      <c r="AC84" s="11">
        <v>46247</v>
      </c>
      <c r="AD84" s="143">
        <v>86</v>
      </c>
      <c r="AE84" s="9">
        <f t="shared" si="95"/>
        <v>2.1761133603238867</v>
      </c>
      <c r="AF84" s="143">
        <v>2</v>
      </c>
      <c r="AG84" s="9">
        <f t="shared" si="85"/>
        <v>2.3255813953488373</v>
      </c>
      <c r="AH84" s="8" t="str">
        <f t="shared" si="96"/>
        <v>Tetap Deteksi</v>
      </c>
      <c r="AI84" s="143">
        <v>2</v>
      </c>
      <c r="AJ84" s="9">
        <f t="shared" si="97"/>
        <v>2.3255813953488373</v>
      </c>
      <c r="AK84" s="11"/>
      <c r="AL84" s="143"/>
      <c r="AM84" s="143"/>
      <c r="AN84" s="9">
        <f t="shared" si="86"/>
        <v>0</v>
      </c>
      <c r="AO84" s="8" t="str">
        <f t="shared" si="87"/>
        <v>Belum Deteksi</v>
      </c>
      <c r="AP84" s="143"/>
      <c r="AQ84" s="9">
        <f t="shared" si="98"/>
        <v>0</v>
      </c>
    </row>
    <row r="85" spans="1:45" outlineLevel="1" x14ac:dyDescent="0.15">
      <c r="A85" s="8" t="s">
        <v>1970</v>
      </c>
      <c r="B85" s="8"/>
      <c r="C85" s="8" t="s">
        <v>107</v>
      </c>
      <c r="D85" s="8" t="s">
        <v>2029</v>
      </c>
      <c r="E85" s="9">
        <v>34.24</v>
      </c>
      <c r="F85" s="8" t="s">
        <v>1740</v>
      </c>
      <c r="G85" s="10">
        <v>3736</v>
      </c>
      <c r="H85" s="204">
        <f t="array" ref="H85">IF(OR(N85&gt;0,AC85&gt;0),MAX(N85,AC85),MAX(AK85,V85))</f>
        <v>46247</v>
      </c>
      <c r="I85" s="205">
        <f t="array" ref="I85">IF(SUM(O85,AD85)&gt;0,SUM(O85,AD85),SUM(AL85,W85))</f>
        <v>296</v>
      </c>
      <c r="J85" s="206" t="str">
        <f t="shared" si="88"/>
        <v xml:space="preserve"> </v>
      </c>
      <c r="K85" s="205">
        <f t="shared" si="89"/>
        <v>10</v>
      </c>
      <c r="L85" s="206">
        <f t="shared" si="90"/>
        <v>3.3783783783783785</v>
      </c>
      <c r="M85" s="8" t="str">
        <f t="array" ref="M85">IF(L85&gt;5,"Perlu Sensus",IF(AND(L85&gt;=0,I85&gt;0),"Tetap Deteksi","Belum Deteksi"))</f>
        <v>Tetap Deteksi</v>
      </c>
      <c r="N85" s="11">
        <v>46237</v>
      </c>
      <c r="O85" s="143">
        <v>201</v>
      </c>
      <c r="P85" s="9">
        <f t="shared" ref="P85" si="112">IFERROR(O85/#REF!*100,0)</f>
        <v>0</v>
      </c>
      <c r="Q85" s="143">
        <v>7</v>
      </c>
      <c r="R85" s="9">
        <f t="shared" si="82"/>
        <v>3.4825870646766171</v>
      </c>
      <c r="S85" s="8" t="str">
        <f t="shared" si="92"/>
        <v>Tetap Deteksi</v>
      </c>
      <c r="T85" s="143">
        <v>8</v>
      </c>
      <c r="U85" s="9">
        <f t="shared" si="93"/>
        <v>3.9800995024875623</v>
      </c>
      <c r="V85" s="11"/>
      <c r="W85" s="143"/>
      <c r="X85" s="143"/>
      <c r="Y85" s="9">
        <f t="shared" si="83"/>
        <v>0</v>
      </c>
      <c r="Z85" s="8" t="str">
        <f t="shared" si="84"/>
        <v>Belum Deteksi</v>
      </c>
      <c r="AA85" s="143"/>
      <c r="AB85" s="9">
        <f t="shared" si="94"/>
        <v>0</v>
      </c>
      <c r="AC85" s="11">
        <v>46247</v>
      </c>
      <c r="AD85" s="143">
        <v>95</v>
      </c>
      <c r="AE85" s="9">
        <f t="shared" si="95"/>
        <v>2.5428265524625271</v>
      </c>
      <c r="AF85" s="143">
        <v>3</v>
      </c>
      <c r="AG85" s="9">
        <f t="shared" si="85"/>
        <v>3.1578947368421053</v>
      </c>
      <c r="AH85" s="8" t="str">
        <f t="shared" si="96"/>
        <v>Tetap Deteksi</v>
      </c>
      <c r="AI85" s="143">
        <v>2</v>
      </c>
      <c r="AJ85" s="9">
        <f t="shared" si="97"/>
        <v>2.1052631578947367</v>
      </c>
      <c r="AK85" s="11">
        <v>46246</v>
      </c>
      <c r="AL85" s="143">
        <v>491</v>
      </c>
      <c r="AM85" s="143">
        <v>9.9999999999999995E-7</v>
      </c>
      <c r="AN85" s="9">
        <f t="shared" si="86"/>
        <v>2.0366598778004074E-7</v>
      </c>
      <c r="AO85" s="8" t="str">
        <f t="shared" si="87"/>
        <v>Tetap Deteksi</v>
      </c>
      <c r="AP85" s="143">
        <v>52</v>
      </c>
      <c r="AQ85" s="9">
        <f t="shared" si="98"/>
        <v>10.590631364562118</v>
      </c>
    </row>
    <row r="86" spans="1:45" outlineLevel="1" x14ac:dyDescent="0.15">
      <c r="A86" s="8" t="s">
        <v>1970</v>
      </c>
      <c r="B86" s="8"/>
      <c r="C86" s="8" t="s">
        <v>107</v>
      </c>
      <c r="D86" s="8" t="s">
        <v>2030</v>
      </c>
      <c r="E86" s="9">
        <v>28.169999999999998</v>
      </c>
      <c r="F86" s="8" t="s">
        <v>1740</v>
      </c>
      <c r="G86" s="10">
        <v>2688</v>
      </c>
      <c r="H86" s="204">
        <f t="array" ref="H86">IF(OR(N86&gt;0,AC86&gt;0),MAX(N86,AC86),MAX(AK86,V86))</f>
        <v>46245</v>
      </c>
      <c r="I86" s="205">
        <f t="array" ref="I86">IF(SUM(O86,AD86)&gt;0,SUM(O86,AD86),SUM(AL86,W86))</f>
        <v>289</v>
      </c>
      <c r="J86" s="206" t="str">
        <f t="shared" si="88"/>
        <v xml:space="preserve"> </v>
      </c>
      <c r="K86" s="205">
        <f t="shared" si="89"/>
        <v>9</v>
      </c>
      <c r="L86" s="206">
        <f t="shared" si="90"/>
        <v>3.1141868512110724</v>
      </c>
      <c r="M86" s="8" t="str">
        <f t="array" ref="M86">IF(L86&gt;5,"Perlu Sensus",IF(AND(L86&gt;=0,I86&gt;0),"Tetap Deteksi","Belum Deteksi"))</f>
        <v>Tetap Deteksi</v>
      </c>
      <c r="N86" s="11">
        <v>46240</v>
      </c>
      <c r="O86" s="143">
        <v>202</v>
      </c>
      <c r="P86" s="9">
        <f t="shared" ref="P86" si="113">IFERROR(O86/#REF!*100,0)</f>
        <v>0</v>
      </c>
      <c r="Q86" s="143">
        <v>7</v>
      </c>
      <c r="R86" s="9">
        <f t="shared" si="82"/>
        <v>3.4653465346534658</v>
      </c>
      <c r="S86" s="8" t="str">
        <f t="shared" si="92"/>
        <v>Tetap Deteksi</v>
      </c>
      <c r="T86" s="143">
        <v>9</v>
      </c>
      <c r="U86" s="9">
        <f t="shared" si="93"/>
        <v>4.455445544554455</v>
      </c>
      <c r="V86" s="11"/>
      <c r="W86" s="143"/>
      <c r="X86" s="143"/>
      <c r="Y86" s="9">
        <f t="shared" si="83"/>
        <v>0</v>
      </c>
      <c r="Z86" s="8" t="str">
        <f t="shared" si="84"/>
        <v>Belum Deteksi</v>
      </c>
      <c r="AA86" s="143"/>
      <c r="AB86" s="9">
        <f t="shared" si="94"/>
        <v>0</v>
      </c>
      <c r="AC86" s="11">
        <v>46245</v>
      </c>
      <c r="AD86" s="143">
        <v>87</v>
      </c>
      <c r="AE86" s="9">
        <f t="shared" si="95"/>
        <v>3.2366071428571432</v>
      </c>
      <c r="AF86" s="143">
        <v>2</v>
      </c>
      <c r="AG86" s="9">
        <f t="shared" si="85"/>
        <v>2.2988505747126435</v>
      </c>
      <c r="AH86" s="8" t="str">
        <f t="shared" si="96"/>
        <v>Tetap Deteksi</v>
      </c>
      <c r="AI86" s="143">
        <v>2</v>
      </c>
      <c r="AJ86" s="9">
        <f t="shared" si="97"/>
        <v>2.2988505747126435</v>
      </c>
      <c r="AK86" s="11"/>
      <c r="AL86" s="143"/>
      <c r="AM86" s="143"/>
      <c r="AN86" s="9">
        <f t="shared" si="86"/>
        <v>0</v>
      </c>
      <c r="AO86" s="8" t="str">
        <f t="shared" si="87"/>
        <v>Belum Deteksi</v>
      </c>
      <c r="AP86" s="143"/>
      <c r="AQ86" s="9">
        <f t="shared" si="98"/>
        <v>0</v>
      </c>
    </row>
    <row r="87" spans="1:45" outlineLevel="1" x14ac:dyDescent="0.15">
      <c r="A87" s="8" t="s">
        <v>1970</v>
      </c>
      <c r="B87" s="8"/>
      <c r="C87" s="8" t="s">
        <v>107</v>
      </c>
      <c r="D87" s="186" t="s">
        <v>2031</v>
      </c>
      <c r="E87" s="9">
        <v>35.589999999999996</v>
      </c>
      <c r="F87" s="8" t="s">
        <v>1740</v>
      </c>
      <c r="G87" s="10">
        <v>3928</v>
      </c>
      <c r="H87" s="204">
        <f t="array" ref="H87">IF(OR(N87&gt;0,AC87&gt;0),MAX(N87,AC87),MAX(AK87,V87))</f>
        <v>46247</v>
      </c>
      <c r="I87" s="205">
        <f t="array" ref="I87">IF(SUM(O87,AD87)&gt;0,SUM(O87,AD87),SUM(AL87,W87))</f>
        <v>193</v>
      </c>
      <c r="J87" s="206" t="str">
        <f t="shared" si="88"/>
        <v xml:space="preserve"> </v>
      </c>
      <c r="K87" s="205">
        <f t="shared" si="89"/>
        <v>6</v>
      </c>
      <c r="L87" s="206">
        <f t="shared" si="90"/>
        <v>3.1088082901554404</v>
      </c>
      <c r="M87" s="8" t="str">
        <f t="array" ref="M87">IF(L87&gt;5,"Perlu Sensus",IF(AND(L87&gt;=0,I87&gt;0),"Tetap Deteksi","Belum Deteksi"))</f>
        <v>Tetap Deteksi</v>
      </c>
      <c r="N87" s="11">
        <v>46237</v>
      </c>
      <c r="O87" s="143">
        <v>95</v>
      </c>
      <c r="P87" s="9">
        <f t="shared" ref="P87" si="114">IFERROR(O87/#REF!*100,0)</f>
        <v>0</v>
      </c>
      <c r="Q87" s="143">
        <v>2</v>
      </c>
      <c r="R87" s="9">
        <f t="shared" si="82"/>
        <v>2.1052631578947367</v>
      </c>
      <c r="S87" s="8" t="str">
        <f t="shared" si="92"/>
        <v>Tetap Deteksi</v>
      </c>
      <c r="T87" s="143">
        <v>6</v>
      </c>
      <c r="U87" s="9">
        <f t="shared" si="93"/>
        <v>6.3157894736842106</v>
      </c>
      <c r="V87" s="11">
        <v>46238</v>
      </c>
      <c r="W87" s="143">
        <v>886</v>
      </c>
      <c r="X87" s="143">
        <v>6</v>
      </c>
      <c r="Y87" s="9">
        <f t="shared" si="83"/>
        <v>0.67720090293453727</v>
      </c>
      <c r="Z87" s="8" t="str">
        <f t="shared" si="84"/>
        <v>Tetap Deteksi</v>
      </c>
      <c r="AA87" s="143">
        <v>63</v>
      </c>
      <c r="AB87" s="9">
        <f t="shared" si="94"/>
        <v>7.1106094808126405</v>
      </c>
      <c r="AC87" s="11">
        <v>46247</v>
      </c>
      <c r="AD87" s="143">
        <v>98</v>
      </c>
      <c r="AE87" s="9">
        <f t="shared" si="95"/>
        <v>2.494908350305499</v>
      </c>
      <c r="AF87" s="143">
        <v>4</v>
      </c>
      <c r="AG87" s="9">
        <f t="shared" si="85"/>
        <v>4.0816326530612246</v>
      </c>
      <c r="AH87" s="8" t="str">
        <f t="shared" si="96"/>
        <v>Tetap Deteksi</v>
      </c>
      <c r="AI87" s="143">
        <v>3</v>
      </c>
      <c r="AJ87" s="9">
        <f t="shared" si="97"/>
        <v>3.0612244897959182</v>
      </c>
      <c r="AK87" s="11"/>
      <c r="AL87" s="143"/>
      <c r="AM87" s="143"/>
      <c r="AN87" s="9">
        <f t="shared" si="86"/>
        <v>0</v>
      </c>
      <c r="AO87" s="8" t="str">
        <f t="shared" si="87"/>
        <v>Belum Deteksi</v>
      </c>
      <c r="AP87" s="143"/>
      <c r="AQ87" s="9">
        <f t="shared" si="98"/>
        <v>0</v>
      </c>
    </row>
    <row r="88" spans="1:45" outlineLevel="1" x14ac:dyDescent="0.15">
      <c r="A88" s="8" t="s">
        <v>1970</v>
      </c>
      <c r="B88" s="8"/>
      <c r="C88" s="8" t="s">
        <v>107</v>
      </c>
      <c r="D88" s="186" t="s">
        <v>2032</v>
      </c>
      <c r="E88" s="9">
        <v>26.130000000000003</v>
      </c>
      <c r="F88" s="8" t="s">
        <v>1740</v>
      </c>
      <c r="G88" s="10">
        <v>3101</v>
      </c>
      <c r="H88" s="204">
        <f t="array" ref="H88">IF(OR(N88&gt;0,AC88&gt;0),MAX(N88,AC88),MAX(AK88,V88))</f>
        <v>46247</v>
      </c>
      <c r="I88" s="205">
        <f t="array" ref="I88">IF(SUM(O88,AD88)&gt;0,SUM(O88,AD88),SUM(AL88,W88))</f>
        <v>189</v>
      </c>
      <c r="J88" s="206" t="str">
        <f t="shared" si="88"/>
        <v xml:space="preserve"> </v>
      </c>
      <c r="K88" s="205">
        <f t="shared" si="89"/>
        <v>5</v>
      </c>
      <c r="L88" s="206">
        <f t="shared" si="90"/>
        <v>2.6455026455026456</v>
      </c>
      <c r="M88" s="8" t="str">
        <f t="array" ref="M88">IF(L88&gt;5,"Perlu Sensus",IF(AND(L88&gt;=0,I88&gt;0),"Tetap Deteksi","Belum Deteksi"))</f>
        <v>Tetap Deteksi</v>
      </c>
      <c r="N88" s="11">
        <v>46241</v>
      </c>
      <c r="O88" s="143">
        <v>95</v>
      </c>
      <c r="P88" s="9">
        <f t="shared" ref="P88" si="115">IFERROR(O88/#REF!*100,0)</f>
        <v>0</v>
      </c>
      <c r="Q88" s="143">
        <v>2</v>
      </c>
      <c r="R88" s="9">
        <f t="shared" si="82"/>
        <v>2.1052631578947367</v>
      </c>
      <c r="S88" s="8" t="str">
        <f t="shared" si="92"/>
        <v>Tetap Deteksi</v>
      </c>
      <c r="T88" s="143">
        <v>4</v>
      </c>
      <c r="U88" s="9">
        <f t="shared" si="93"/>
        <v>4.2105263157894735</v>
      </c>
      <c r="V88" s="11"/>
      <c r="W88" s="143"/>
      <c r="X88" s="143"/>
      <c r="Y88" s="9">
        <f t="shared" si="83"/>
        <v>0</v>
      </c>
      <c r="Z88" s="8" t="str">
        <f t="shared" si="84"/>
        <v>Belum Deteksi</v>
      </c>
      <c r="AA88" s="143"/>
      <c r="AB88" s="9">
        <f t="shared" si="94"/>
        <v>0</v>
      </c>
      <c r="AC88" s="11">
        <v>46247</v>
      </c>
      <c r="AD88" s="143">
        <v>94</v>
      </c>
      <c r="AE88" s="9">
        <f t="shared" si="95"/>
        <v>3.0312802321831667</v>
      </c>
      <c r="AF88" s="143">
        <v>3</v>
      </c>
      <c r="AG88" s="9">
        <f t="shared" si="85"/>
        <v>3.1914893617021276</v>
      </c>
      <c r="AH88" s="8" t="str">
        <f t="shared" si="96"/>
        <v>Tetap Deteksi</v>
      </c>
      <c r="AI88" s="143">
        <v>3</v>
      </c>
      <c r="AJ88" s="9">
        <f t="shared" si="97"/>
        <v>3.1914893617021276</v>
      </c>
      <c r="AK88" s="11">
        <v>46244</v>
      </c>
      <c r="AL88" s="143">
        <v>809</v>
      </c>
      <c r="AM88" s="143">
        <v>9.9999999999999995E-7</v>
      </c>
      <c r="AN88" s="9">
        <f t="shared" si="86"/>
        <v>1.2360939431396785E-7</v>
      </c>
      <c r="AO88" s="8" t="str">
        <f t="shared" si="87"/>
        <v>Tetap Deteksi</v>
      </c>
      <c r="AP88" s="143">
        <v>72</v>
      </c>
      <c r="AQ88" s="9">
        <f t="shared" si="98"/>
        <v>8.8998763906056855</v>
      </c>
    </row>
    <row r="89" spans="1:45" outlineLevel="1" x14ac:dyDescent="0.15">
      <c r="A89" s="8" t="s">
        <v>1970</v>
      </c>
      <c r="B89" s="8"/>
      <c r="C89" s="8" t="s">
        <v>107</v>
      </c>
      <c r="D89" s="186" t="s">
        <v>2033</v>
      </c>
      <c r="E89" s="9">
        <v>30.040000000000003</v>
      </c>
      <c r="F89" s="8" t="s">
        <v>1740</v>
      </c>
      <c r="G89" s="10">
        <v>3455</v>
      </c>
      <c r="H89" s="204">
        <f t="array" ref="H89">IF(OR(N89&gt;0,AC89&gt;0),MAX(N89,AC89),MAX(AK89,V89))</f>
        <v>46244</v>
      </c>
      <c r="I89" s="205">
        <f t="array" ref="I89">IF(SUM(O89,AD89)&gt;0,SUM(O89,AD89),SUM(AL89,W89))</f>
        <v>184</v>
      </c>
      <c r="J89" s="206" t="str">
        <f t="shared" si="88"/>
        <v xml:space="preserve"> </v>
      </c>
      <c r="K89" s="205">
        <f t="shared" si="89"/>
        <v>4</v>
      </c>
      <c r="L89" s="206">
        <f t="shared" si="90"/>
        <v>2.1739130434782608</v>
      </c>
      <c r="M89" s="8" t="str">
        <f t="array" ref="M89">IF(L89&gt;5,"Perlu Sensus",IF(AND(L89&gt;=0,I89&gt;0),"Tetap Deteksi","Belum Deteksi"))</f>
        <v>Tetap Deteksi</v>
      </c>
      <c r="N89" s="11">
        <v>46241</v>
      </c>
      <c r="O89" s="143">
        <v>96</v>
      </c>
      <c r="P89" s="9">
        <f t="shared" ref="P89" si="116">IFERROR(O89/#REF!*100,0)</f>
        <v>0</v>
      </c>
      <c r="Q89" s="143">
        <v>2</v>
      </c>
      <c r="R89" s="9">
        <f t="shared" si="82"/>
        <v>2.083333333333333</v>
      </c>
      <c r="S89" s="8" t="str">
        <f t="shared" si="92"/>
        <v>Tetap Deteksi</v>
      </c>
      <c r="T89" s="143">
        <v>2</v>
      </c>
      <c r="U89" s="9">
        <f t="shared" si="93"/>
        <v>2.083333333333333</v>
      </c>
      <c r="V89" s="11"/>
      <c r="W89" s="143"/>
      <c r="X89" s="143"/>
      <c r="Y89" s="9">
        <f t="shared" si="83"/>
        <v>0</v>
      </c>
      <c r="Z89" s="8" t="str">
        <f t="shared" si="84"/>
        <v>Belum Deteksi</v>
      </c>
      <c r="AA89" s="143"/>
      <c r="AB89" s="9">
        <f t="shared" si="94"/>
        <v>0</v>
      </c>
      <c r="AC89" s="11">
        <v>46244</v>
      </c>
      <c r="AD89" s="143">
        <v>88</v>
      </c>
      <c r="AE89" s="9">
        <f t="shared" si="95"/>
        <v>2.5470332850940669</v>
      </c>
      <c r="AF89" s="143">
        <v>2</v>
      </c>
      <c r="AG89" s="9">
        <f t="shared" si="85"/>
        <v>2.2727272727272729</v>
      </c>
      <c r="AH89" s="8" t="str">
        <f t="shared" si="96"/>
        <v>Tetap Deteksi</v>
      </c>
      <c r="AI89" s="143">
        <v>1</v>
      </c>
      <c r="AJ89" s="9">
        <f t="shared" si="97"/>
        <v>1.1363636363636365</v>
      </c>
      <c r="AK89" s="11"/>
      <c r="AL89" s="143"/>
      <c r="AM89" s="143"/>
      <c r="AN89" s="9">
        <f t="shared" si="86"/>
        <v>0</v>
      </c>
      <c r="AO89" s="8" t="str">
        <f t="shared" si="87"/>
        <v>Belum Deteksi</v>
      </c>
      <c r="AP89" s="143"/>
      <c r="AQ89" s="9">
        <f t="shared" si="98"/>
        <v>0</v>
      </c>
    </row>
    <row r="90" spans="1:45" outlineLevel="1" x14ac:dyDescent="0.15">
      <c r="A90" s="8" t="s">
        <v>1970</v>
      </c>
      <c r="B90" s="8"/>
      <c r="C90" s="8" t="s">
        <v>107</v>
      </c>
      <c r="D90" s="8" t="s">
        <v>2034</v>
      </c>
      <c r="E90" s="9">
        <v>31.84</v>
      </c>
      <c r="F90" s="8" t="s">
        <v>1740</v>
      </c>
      <c r="G90" s="10">
        <v>3760</v>
      </c>
      <c r="H90" s="204">
        <f t="array" ref="H90">IF(OR(N90&gt;0,AC90&gt;0),MAX(N90,AC90),MAX(AK90,V90))</f>
        <v>46246</v>
      </c>
      <c r="I90" s="205">
        <f t="array" ref="I90">IF(SUM(O90,AD90)&gt;0,SUM(O90,AD90),SUM(AL90,W90))</f>
        <v>264</v>
      </c>
      <c r="J90" s="206" t="str">
        <f t="shared" si="88"/>
        <v xml:space="preserve"> </v>
      </c>
      <c r="K90" s="205">
        <f t="shared" si="89"/>
        <v>5</v>
      </c>
      <c r="L90" s="206">
        <f t="shared" si="90"/>
        <v>1.893939393939394</v>
      </c>
      <c r="M90" s="8" t="str">
        <f t="array" ref="M90">IF(L90&gt;5,"Perlu Sensus",IF(AND(L90&gt;=0,I90&gt;0),"Tetap Deteksi","Belum Deteksi"))</f>
        <v>Tetap Deteksi</v>
      </c>
      <c r="N90" s="11">
        <v>46238</v>
      </c>
      <c r="O90" s="143">
        <v>87</v>
      </c>
      <c r="P90" s="9">
        <f t="shared" ref="P90" si="117">IFERROR(O90/#REF!*100,0)</f>
        <v>0</v>
      </c>
      <c r="Q90" s="143">
        <v>1</v>
      </c>
      <c r="R90" s="9">
        <f t="shared" si="82"/>
        <v>1.1494252873563218</v>
      </c>
      <c r="S90" s="8" t="str">
        <f t="shared" si="92"/>
        <v>Tetap Deteksi</v>
      </c>
      <c r="T90" s="143">
        <v>2</v>
      </c>
      <c r="U90" s="9">
        <f t="shared" si="93"/>
        <v>2.2988505747126435</v>
      </c>
      <c r="V90" s="11"/>
      <c r="W90" s="143"/>
      <c r="X90" s="143"/>
      <c r="Y90" s="9">
        <f t="shared" si="83"/>
        <v>0</v>
      </c>
      <c r="Z90" s="8" t="str">
        <f t="shared" si="84"/>
        <v>Belum Deteksi</v>
      </c>
      <c r="AA90" s="143"/>
      <c r="AB90" s="9">
        <f t="shared" si="94"/>
        <v>0</v>
      </c>
      <c r="AC90" s="11">
        <v>46246</v>
      </c>
      <c r="AD90" s="143">
        <v>177</v>
      </c>
      <c r="AE90" s="9">
        <f t="shared" si="95"/>
        <v>4.707446808510638</v>
      </c>
      <c r="AF90" s="143">
        <v>4</v>
      </c>
      <c r="AG90" s="9">
        <f t="shared" si="85"/>
        <v>2.2598870056497176</v>
      </c>
      <c r="AH90" s="8" t="str">
        <f t="shared" si="96"/>
        <v>Tetap Deteksi</v>
      </c>
      <c r="AI90" s="143">
        <v>2</v>
      </c>
      <c r="AJ90" s="9">
        <f t="shared" si="97"/>
        <v>1.1299435028248588</v>
      </c>
      <c r="AK90" s="11"/>
      <c r="AL90" s="143"/>
      <c r="AM90" s="143"/>
      <c r="AN90" s="9">
        <f t="shared" si="86"/>
        <v>0</v>
      </c>
      <c r="AO90" s="8" t="str">
        <f t="shared" si="87"/>
        <v>Belum Deteksi</v>
      </c>
      <c r="AP90" s="143"/>
      <c r="AQ90" s="9">
        <f t="shared" si="98"/>
        <v>0</v>
      </c>
    </row>
    <row r="91" spans="1:45" outlineLevel="1" x14ac:dyDescent="0.15">
      <c r="A91" s="8" t="s">
        <v>1970</v>
      </c>
      <c r="B91" s="8"/>
      <c r="C91" s="8" t="s">
        <v>107</v>
      </c>
      <c r="D91" s="8" t="s">
        <v>2035</v>
      </c>
      <c r="E91" s="9">
        <v>25.489999999999995</v>
      </c>
      <c r="F91" s="8" t="s">
        <v>1740</v>
      </c>
      <c r="G91" s="10">
        <v>2481</v>
      </c>
      <c r="H91" s="204">
        <f t="array" ref="H91">IF(OR(N91&gt;0,AC91&gt;0),MAX(N91,AC91),MAX(AK91,V91))</f>
        <v>46248</v>
      </c>
      <c r="I91" s="205">
        <f t="array" ref="I91">IF(SUM(O91,AD91)&gt;0,SUM(O91,AD91),SUM(AL91,W91))</f>
        <v>193</v>
      </c>
      <c r="J91" s="206" t="str">
        <f t="shared" si="88"/>
        <v xml:space="preserve"> </v>
      </c>
      <c r="K91" s="205">
        <f t="shared" si="89"/>
        <v>5</v>
      </c>
      <c r="L91" s="206">
        <f t="shared" si="90"/>
        <v>2.5906735751295336</v>
      </c>
      <c r="M91" s="8" t="str">
        <f t="array" ref="M91">IF(L91&gt;5,"Perlu Sensus",IF(AND(L91&gt;=0,I91&gt;0),"Tetap Deteksi","Belum Deteksi"))</f>
        <v>Tetap Deteksi</v>
      </c>
      <c r="N91" s="11">
        <v>46241</v>
      </c>
      <c r="O91" s="143">
        <v>97</v>
      </c>
      <c r="P91" s="9">
        <f t="shared" ref="P91" si="118">IFERROR(O91/#REF!*100,0)</f>
        <v>0</v>
      </c>
      <c r="Q91" s="143">
        <v>2</v>
      </c>
      <c r="R91" s="9">
        <f t="shared" si="82"/>
        <v>2.0618556701030926</v>
      </c>
      <c r="S91" s="8" t="str">
        <f t="shared" si="92"/>
        <v>Tetap Deteksi</v>
      </c>
      <c r="T91" s="143">
        <v>5</v>
      </c>
      <c r="U91" s="9">
        <f t="shared" si="93"/>
        <v>5.1546391752577314</v>
      </c>
      <c r="V91" s="11"/>
      <c r="W91" s="143"/>
      <c r="X91" s="143"/>
      <c r="Y91" s="9">
        <f t="shared" si="83"/>
        <v>0</v>
      </c>
      <c r="Z91" s="8" t="str">
        <f t="shared" si="84"/>
        <v>Belum Deteksi</v>
      </c>
      <c r="AA91" s="143"/>
      <c r="AB91" s="9">
        <f t="shared" si="94"/>
        <v>0</v>
      </c>
      <c r="AC91" s="11">
        <v>46248</v>
      </c>
      <c r="AD91" s="143">
        <v>96</v>
      </c>
      <c r="AE91" s="9">
        <f t="shared" si="95"/>
        <v>3.8694074969770251</v>
      </c>
      <c r="AF91" s="143">
        <v>3</v>
      </c>
      <c r="AG91" s="9">
        <f t="shared" si="85"/>
        <v>3.125</v>
      </c>
      <c r="AH91" s="8" t="str">
        <f t="shared" si="96"/>
        <v>Tetap Deteksi</v>
      </c>
      <c r="AI91" s="143">
        <v>1</v>
      </c>
      <c r="AJ91" s="9">
        <f t="shared" si="97"/>
        <v>1.0416666666666665</v>
      </c>
      <c r="AK91" s="11">
        <v>46246</v>
      </c>
      <c r="AL91" s="143">
        <v>350</v>
      </c>
      <c r="AM91" s="143">
        <v>9.9999999999999995E-7</v>
      </c>
      <c r="AN91" s="9">
        <f t="shared" si="86"/>
        <v>2.8571428571428575E-7</v>
      </c>
      <c r="AO91" s="8" t="str">
        <f t="shared" si="87"/>
        <v>Tetap Deteksi</v>
      </c>
      <c r="AP91" s="143">
        <v>46</v>
      </c>
      <c r="AQ91" s="9">
        <f t="shared" si="98"/>
        <v>13.142857142857142</v>
      </c>
      <c r="AS91" s="3" t="s">
        <v>2172</v>
      </c>
    </row>
    <row r="92" spans="1:45" outlineLevel="1" x14ac:dyDescent="0.15">
      <c r="A92" s="8" t="s">
        <v>1970</v>
      </c>
      <c r="B92" s="8"/>
      <c r="C92" s="8" t="s">
        <v>107</v>
      </c>
      <c r="D92" s="8" t="s">
        <v>2036</v>
      </c>
      <c r="E92" s="9">
        <v>32.97</v>
      </c>
      <c r="F92" s="8" t="s">
        <v>1740</v>
      </c>
      <c r="G92" s="10">
        <v>3515</v>
      </c>
      <c r="H92" s="204">
        <f t="array" ref="H92">IF(OR(N92&gt;0,AC92&gt;0),MAX(N92,AC92),MAX(AK92,V92))</f>
        <v>46248</v>
      </c>
      <c r="I92" s="205">
        <f t="array" ref="I92">IF(SUM(O92,AD92)&gt;0,SUM(O92,AD92),SUM(AL92,W92))</f>
        <v>186</v>
      </c>
      <c r="J92" s="206" t="str">
        <f t="shared" si="88"/>
        <v xml:space="preserve"> </v>
      </c>
      <c r="K92" s="205">
        <f t="shared" si="89"/>
        <v>5</v>
      </c>
      <c r="L92" s="206">
        <f t="shared" si="90"/>
        <v>2.6881720430107525</v>
      </c>
      <c r="M92" s="8" t="str">
        <f t="array" ref="M92">IF(L92&gt;5,"Perlu Sensus",IF(AND(L92&gt;=0,I92&gt;0),"Tetap Deteksi","Belum Deteksi"))</f>
        <v>Tetap Deteksi</v>
      </c>
      <c r="N92" s="11">
        <v>46237</v>
      </c>
      <c r="O92" s="143">
        <v>88</v>
      </c>
      <c r="P92" s="9">
        <f t="shared" ref="P92" si="119">IFERROR(O92/#REF!*100,0)</f>
        <v>0</v>
      </c>
      <c r="Q92" s="143">
        <v>1</v>
      </c>
      <c r="R92" s="9">
        <f t="shared" si="82"/>
        <v>1.1363636363636365</v>
      </c>
      <c r="S92" s="8" t="str">
        <f t="shared" si="92"/>
        <v>Tetap Deteksi</v>
      </c>
      <c r="T92" s="143">
        <v>2</v>
      </c>
      <c r="U92" s="9">
        <f t="shared" si="93"/>
        <v>2.2727272727272729</v>
      </c>
      <c r="V92" s="11"/>
      <c r="W92" s="143"/>
      <c r="X92" s="143"/>
      <c r="Y92" s="9">
        <f t="shared" si="83"/>
        <v>0</v>
      </c>
      <c r="Z92" s="8" t="str">
        <f t="shared" si="84"/>
        <v>Belum Deteksi</v>
      </c>
      <c r="AA92" s="143"/>
      <c r="AB92" s="9">
        <f t="shared" si="94"/>
        <v>0</v>
      </c>
      <c r="AC92" s="11">
        <v>46248</v>
      </c>
      <c r="AD92" s="143">
        <v>98</v>
      </c>
      <c r="AE92" s="9">
        <f t="shared" si="95"/>
        <v>2.7880512091038407</v>
      </c>
      <c r="AF92" s="143">
        <v>4</v>
      </c>
      <c r="AG92" s="9">
        <f t="shared" si="85"/>
        <v>4.0816326530612246</v>
      </c>
      <c r="AH92" s="8" t="str">
        <f t="shared" si="96"/>
        <v>Tetap Deteksi</v>
      </c>
      <c r="AI92" s="143">
        <v>2</v>
      </c>
      <c r="AJ92" s="9">
        <f t="shared" si="97"/>
        <v>2.0408163265306123</v>
      </c>
      <c r="AK92" s="11"/>
      <c r="AL92" s="143"/>
      <c r="AM92" s="143"/>
      <c r="AN92" s="9">
        <f t="shared" si="86"/>
        <v>0</v>
      </c>
      <c r="AO92" s="8" t="str">
        <f t="shared" si="87"/>
        <v>Belum Deteksi</v>
      </c>
      <c r="AP92" s="143"/>
      <c r="AQ92" s="9">
        <f t="shared" si="98"/>
        <v>0</v>
      </c>
    </row>
    <row r="93" spans="1:45" outlineLevel="1" x14ac:dyDescent="0.15">
      <c r="A93" s="8" t="s">
        <v>1970</v>
      </c>
      <c r="B93" s="8"/>
      <c r="C93" s="8" t="s">
        <v>107</v>
      </c>
      <c r="D93" s="8" t="s">
        <v>2037</v>
      </c>
      <c r="E93" s="9">
        <v>33.019999999999996</v>
      </c>
      <c r="F93" s="8" t="s">
        <v>1740</v>
      </c>
      <c r="G93" s="10">
        <v>3279</v>
      </c>
      <c r="H93" s="204">
        <f t="array" ref="H93">IF(OR(N93&gt;0,AC93&gt;0),MAX(N93,AC93),MAX(AK93,V93))</f>
        <v>46248</v>
      </c>
      <c r="I93" s="205">
        <f t="array" ref="I93">IF(SUM(O93,AD93)&gt;0,SUM(O93,AD93),SUM(AL93,W93))</f>
        <v>194</v>
      </c>
      <c r="J93" s="206" t="str">
        <f t="shared" si="88"/>
        <v xml:space="preserve"> </v>
      </c>
      <c r="K93" s="205">
        <f t="shared" si="89"/>
        <v>6</v>
      </c>
      <c r="L93" s="206">
        <f t="shared" si="90"/>
        <v>3.0927835051546393</v>
      </c>
      <c r="M93" s="8" t="str">
        <f t="array" ref="M93">IF(L93&gt;5,"Perlu Sensus",IF(AND(L93&gt;=0,I93&gt;0),"Tetap Deteksi","Belum Deteksi"))</f>
        <v>Tetap Deteksi</v>
      </c>
      <c r="N93" s="11">
        <v>46237</v>
      </c>
      <c r="O93" s="143">
        <v>100</v>
      </c>
      <c r="P93" s="9">
        <f t="shared" ref="P93" si="120">IFERROR(O93/#REF!*100,0)</f>
        <v>0</v>
      </c>
      <c r="Q93" s="143">
        <v>3</v>
      </c>
      <c r="R93" s="9">
        <f t="shared" si="82"/>
        <v>3</v>
      </c>
      <c r="S93" s="8" t="str">
        <f t="shared" si="92"/>
        <v>Tetap Deteksi</v>
      </c>
      <c r="T93" s="143">
        <v>2</v>
      </c>
      <c r="U93" s="9">
        <f t="shared" si="93"/>
        <v>2</v>
      </c>
      <c r="V93" s="11">
        <v>46237</v>
      </c>
      <c r="W93" s="143">
        <v>656</v>
      </c>
      <c r="X93" s="143">
        <v>9.9999999999999995E-7</v>
      </c>
      <c r="Y93" s="9">
        <f t="shared" si="83"/>
        <v>1.5243902439024389E-7</v>
      </c>
      <c r="Z93" s="8" t="str">
        <f t="shared" si="84"/>
        <v>Tetap Deteksi</v>
      </c>
      <c r="AA93" s="143">
        <v>53</v>
      </c>
      <c r="AB93" s="9">
        <f t="shared" si="94"/>
        <v>8.0792682926829276</v>
      </c>
      <c r="AC93" s="11">
        <v>46248</v>
      </c>
      <c r="AD93" s="143">
        <v>94</v>
      </c>
      <c r="AE93" s="9">
        <f t="shared" si="95"/>
        <v>2.866727660872217</v>
      </c>
      <c r="AF93" s="143">
        <v>3</v>
      </c>
      <c r="AG93" s="9">
        <f t="shared" si="85"/>
        <v>3.1914893617021276</v>
      </c>
      <c r="AH93" s="8" t="str">
        <f t="shared" si="96"/>
        <v>Tetap Deteksi</v>
      </c>
      <c r="AI93" s="143">
        <v>1</v>
      </c>
      <c r="AJ93" s="9">
        <f t="shared" si="97"/>
        <v>1.0638297872340425</v>
      </c>
      <c r="AK93" s="11">
        <v>46244</v>
      </c>
      <c r="AL93" s="143">
        <v>167</v>
      </c>
      <c r="AM93" s="143">
        <v>3</v>
      </c>
      <c r="AN93" s="9">
        <f t="shared" si="86"/>
        <v>1.7964071856287425</v>
      </c>
      <c r="AO93" s="8" t="str">
        <f t="shared" si="87"/>
        <v>Tetap Deteksi</v>
      </c>
      <c r="AP93" s="143">
        <v>20</v>
      </c>
      <c r="AQ93" s="9">
        <f t="shared" si="98"/>
        <v>11.976047904191617</v>
      </c>
      <c r="AS93" s="3" t="s">
        <v>2172</v>
      </c>
    </row>
    <row r="94" spans="1:45" outlineLevel="1" x14ac:dyDescent="0.15">
      <c r="A94" s="8" t="s">
        <v>1970</v>
      </c>
      <c r="B94" s="8"/>
      <c r="C94" s="8" t="s">
        <v>107</v>
      </c>
      <c r="D94" s="186" t="s">
        <v>2038</v>
      </c>
      <c r="E94" s="9">
        <v>31.650000000000006</v>
      </c>
      <c r="F94" s="8" t="s">
        <v>1740</v>
      </c>
      <c r="G94" s="10">
        <v>2915</v>
      </c>
      <c r="H94" s="204">
        <f t="array" ref="H94">IF(OR(N94&gt;0,AC94&gt;0),MAX(N94,AC94),MAX(AK94,V94))</f>
        <v>0</v>
      </c>
      <c r="I94" s="205">
        <f t="array" ref="I94">IF(SUM(O94,AD94)&gt;0,SUM(O94,AD94),SUM(AL94,W94))</f>
        <v>0</v>
      </c>
      <c r="J94" s="206" t="str">
        <f t="shared" si="88"/>
        <v xml:space="preserve"> </v>
      </c>
      <c r="K94" s="205">
        <f t="shared" si="89"/>
        <v>0</v>
      </c>
      <c r="L94" s="206">
        <f t="shared" si="90"/>
        <v>0</v>
      </c>
      <c r="M94" s="8" t="str">
        <f t="array" ref="M94">IF(L94&gt;5,"Perlu Sensus",IF(AND(L94&gt;=0,I94&gt;0),"Tetap Deteksi","Belum Deteksi"))</f>
        <v>Belum Deteksi</v>
      </c>
      <c r="N94" s="11"/>
      <c r="O94" s="143"/>
      <c r="P94" s="9">
        <f t="shared" ref="P94" si="121">IFERROR(O94/#REF!*100,0)</f>
        <v>0</v>
      </c>
      <c r="Q94" s="143"/>
      <c r="R94" s="9">
        <f t="shared" si="82"/>
        <v>0</v>
      </c>
      <c r="S94" s="8" t="str">
        <f t="shared" si="92"/>
        <v>Belum Deteksi</v>
      </c>
      <c r="T94" s="143"/>
      <c r="U94" s="9">
        <f t="shared" si="93"/>
        <v>0</v>
      </c>
      <c r="V94" s="11"/>
      <c r="W94" s="143"/>
      <c r="X94" s="143"/>
      <c r="Y94" s="9">
        <f t="shared" si="83"/>
        <v>0</v>
      </c>
      <c r="Z94" s="8" t="str">
        <f t="shared" si="84"/>
        <v>Belum Deteksi</v>
      </c>
      <c r="AA94" s="143"/>
      <c r="AB94" s="9">
        <f t="shared" si="94"/>
        <v>0</v>
      </c>
      <c r="AC94" s="11"/>
      <c r="AD94" s="143"/>
      <c r="AE94" s="9">
        <f t="shared" si="95"/>
        <v>0</v>
      </c>
      <c r="AF94" s="143"/>
      <c r="AG94" s="9">
        <f t="shared" si="85"/>
        <v>0</v>
      </c>
      <c r="AH94" s="8" t="str">
        <f t="shared" si="96"/>
        <v>Belum Deteksi</v>
      </c>
      <c r="AI94" s="143"/>
      <c r="AJ94" s="9">
        <f t="shared" si="97"/>
        <v>0</v>
      </c>
      <c r="AK94" s="11"/>
      <c r="AL94" s="143"/>
      <c r="AM94" s="143"/>
      <c r="AN94" s="9">
        <f t="shared" si="86"/>
        <v>0</v>
      </c>
      <c r="AO94" s="8" t="str">
        <f t="shared" si="87"/>
        <v>Belum Deteksi</v>
      </c>
      <c r="AP94" s="143"/>
      <c r="AQ94" s="9">
        <f t="shared" si="98"/>
        <v>0</v>
      </c>
    </row>
    <row r="95" spans="1:45" outlineLevel="1" x14ac:dyDescent="0.15">
      <c r="A95" s="8" t="s">
        <v>1970</v>
      </c>
      <c r="B95" s="8"/>
      <c r="C95" s="8" t="s">
        <v>107</v>
      </c>
      <c r="D95" s="181" t="s">
        <v>2039</v>
      </c>
      <c r="E95" s="9">
        <v>28.519999999999992</v>
      </c>
      <c r="F95" s="8" t="s">
        <v>1740</v>
      </c>
      <c r="G95" s="10">
        <v>3445</v>
      </c>
      <c r="H95" s="204">
        <f t="array" ref="H95">IF(OR(N95&gt;0,AC95&gt;0),MAX(N95,AC95),MAX(AK95,V95))</f>
        <v>0</v>
      </c>
      <c r="I95" s="205">
        <f t="array" ref="I95">IF(SUM(O95,AD95)&gt;0,SUM(O95,AD95),SUM(AL95,W95))</f>
        <v>0</v>
      </c>
      <c r="J95" s="206" t="str">
        <f t="shared" si="88"/>
        <v xml:space="preserve"> </v>
      </c>
      <c r="K95" s="205">
        <f t="shared" si="89"/>
        <v>0</v>
      </c>
      <c r="L95" s="206">
        <f t="shared" si="90"/>
        <v>0</v>
      </c>
      <c r="M95" s="8" t="str">
        <f t="array" ref="M95">IF(L95&gt;5,"Perlu Sensus",IF(AND(L95&gt;=0,I95&gt;0),"Tetap Deteksi","Belum Deteksi"))</f>
        <v>Belum Deteksi</v>
      </c>
      <c r="N95" s="11"/>
      <c r="O95" s="143"/>
      <c r="P95" s="9">
        <f t="shared" ref="P95" si="122">IFERROR(O95/#REF!*100,0)</f>
        <v>0</v>
      </c>
      <c r="Q95" s="143"/>
      <c r="R95" s="9">
        <f t="shared" si="82"/>
        <v>0</v>
      </c>
      <c r="S95" s="8" t="str">
        <f t="shared" si="92"/>
        <v>Belum Deteksi</v>
      </c>
      <c r="T95" s="143"/>
      <c r="U95" s="9">
        <f t="shared" si="93"/>
        <v>0</v>
      </c>
      <c r="V95" s="11"/>
      <c r="W95" s="143"/>
      <c r="X95" s="143"/>
      <c r="Y95" s="9">
        <f t="shared" si="83"/>
        <v>0</v>
      </c>
      <c r="Z95" s="8" t="str">
        <f t="shared" si="84"/>
        <v>Belum Deteksi</v>
      </c>
      <c r="AA95" s="143"/>
      <c r="AB95" s="9">
        <f t="shared" si="94"/>
        <v>0</v>
      </c>
      <c r="AC95" s="11"/>
      <c r="AD95" s="143"/>
      <c r="AE95" s="9">
        <f t="shared" si="95"/>
        <v>0</v>
      </c>
      <c r="AF95" s="143"/>
      <c r="AG95" s="9">
        <f t="shared" si="85"/>
        <v>0</v>
      </c>
      <c r="AH95" s="8" t="str">
        <f t="shared" si="96"/>
        <v>Belum Deteksi</v>
      </c>
      <c r="AI95" s="143"/>
      <c r="AJ95" s="9">
        <f t="shared" si="97"/>
        <v>0</v>
      </c>
      <c r="AK95" s="11"/>
      <c r="AL95" s="143"/>
      <c r="AM95" s="143"/>
      <c r="AN95" s="9">
        <f t="shared" si="86"/>
        <v>0</v>
      </c>
      <c r="AO95" s="8" t="str">
        <f t="shared" si="87"/>
        <v>Belum Deteksi</v>
      </c>
      <c r="AP95" s="143"/>
      <c r="AQ95" s="9">
        <f t="shared" si="98"/>
        <v>0</v>
      </c>
    </row>
    <row r="96" spans="1:45" outlineLevel="1" x14ac:dyDescent="0.15">
      <c r="A96" s="8"/>
      <c r="B96" s="8"/>
      <c r="C96" s="8"/>
      <c r="D96" s="8"/>
      <c r="E96" s="9"/>
      <c r="F96" s="8"/>
      <c r="G96" s="10"/>
      <c r="H96" s="132"/>
      <c r="I96" s="140"/>
      <c r="J96" s="9"/>
      <c r="K96" s="140"/>
      <c r="L96" s="9"/>
      <c r="M96" s="8"/>
      <c r="N96" s="11"/>
      <c r="O96" s="143"/>
      <c r="P96" s="9"/>
      <c r="Q96" s="140"/>
      <c r="R96" s="9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spans="1:28" outlineLevel="1" x14ac:dyDescent="0.15">
      <c r="A97" s="8"/>
      <c r="B97" s="8"/>
      <c r="C97" s="8"/>
      <c r="D97" s="181" t="s">
        <v>939</v>
      </c>
      <c r="E97" s="9"/>
      <c r="F97" s="8"/>
      <c r="G97" s="10"/>
      <c r="H97" s="132"/>
      <c r="I97" s="140"/>
      <c r="J97" s="9"/>
      <c r="K97" s="140"/>
      <c r="L97" s="9"/>
      <c r="M97" s="8"/>
      <c r="N97" s="11"/>
      <c r="O97" s="143"/>
      <c r="P97" s="9"/>
      <c r="Q97" s="140"/>
      <c r="R97" s="9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outlineLevel="1" x14ac:dyDescent="0.15">
      <c r="A98" s="8"/>
      <c r="B98" s="8"/>
      <c r="C98" s="8"/>
      <c r="D98" s="186" t="s">
        <v>938</v>
      </c>
      <c r="E98" s="9"/>
      <c r="F98" s="8"/>
      <c r="G98" s="10"/>
      <c r="H98" s="132"/>
      <c r="I98" s="140"/>
      <c r="J98" s="9"/>
      <c r="K98" s="140"/>
      <c r="L98" s="9"/>
      <c r="M98" s="8"/>
      <c r="N98" s="11"/>
      <c r="O98" s="143"/>
      <c r="P98" s="9"/>
      <c r="Q98" s="140"/>
      <c r="R98" s="9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spans="1:28" outlineLevel="1" x14ac:dyDescent="0.15">
      <c r="A99" s="8"/>
      <c r="B99" s="8"/>
      <c r="C99" s="8"/>
      <c r="D99" s="8"/>
      <c r="E99" s="9"/>
      <c r="F99" s="8"/>
      <c r="G99" s="10"/>
      <c r="H99" s="132"/>
      <c r="I99" s="140"/>
      <c r="J99" s="9"/>
      <c r="K99" s="140"/>
      <c r="L99" s="9"/>
      <c r="M99" s="8"/>
      <c r="N99" s="11"/>
      <c r="O99" s="143"/>
      <c r="P99" s="9"/>
      <c r="Q99" s="140"/>
      <c r="R99" s="9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spans="1:28" outlineLevel="1" x14ac:dyDescent="0.15">
      <c r="A100" s="8"/>
      <c r="B100" s="8"/>
      <c r="C100" s="8"/>
      <c r="D100" s="8"/>
      <c r="E100" s="9"/>
      <c r="F100" s="8"/>
      <c r="G100" s="10"/>
      <c r="H100" s="132"/>
      <c r="I100" s="140"/>
      <c r="J100" s="9"/>
      <c r="K100" s="140"/>
      <c r="L100" s="9"/>
      <c r="M100" s="8"/>
      <c r="N100" s="11"/>
      <c r="O100" s="143"/>
      <c r="P100" s="9"/>
      <c r="Q100" s="140"/>
      <c r="R100" s="9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spans="1:28" outlineLevel="1" x14ac:dyDescent="0.15">
      <c r="A101" s="8"/>
      <c r="B101" s="8"/>
      <c r="C101" s="8"/>
      <c r="D101" s="8"/>
      <c r="E101" s="9"/>
      <c r="F101" s="8"/>
      <c r="G101" s="10"/>
      <c r="H101" s="132"/>
      <c r="I101" s="140"/>
      <c r="J101" s="9"/>
      <c r="K101" s="140"/>
      <c r="L101" s="9"/>
      <c r="M101" s="8"/>
      <c r="N101" s="11"/>
      <c r="O101" s="143"/>
      <c r="P101" s="9"/>
      <c r="Q101" s="140"/>
      <c r="R101" s="9"/>
      <c r="S101" s="8"/>
      <c r="T101" s="8"/>
      <c r="U101" s="8"/>
      <c r="V101" s="132"/>
      <c r="W101" s="140"/>
      <c r="X101" s="140"/>
      <c r="Y101" s="9"/>
      <c r="Z101" s="8"/>
      <c r="AA101" s="2"/>
      <c r="AB101" s="2"/>
    </row>
    <row r="102" spans="1:28" outlineLevel="1" x14ac:dyDescent="0.15">
      <c r="A102" s="8"/>
      <c r="B102" s="8"/>
      <c r="C102" s="8"/>
      <c r="D102" s="8"/>
      <c r="E102" s="9"/>
      <c r="F102" s="8"/>
      <c r="G102" s="10"/>
      <c r="H102" s="132"/>
      <c r="I102" s="140"/>
      <c r="J102" s="9"/>
      <c r="K102" s="140"/>
      <c r="L102" s="9"/>
      <c r="M102" s="8"/>
      <c r="N102" s="132"/>
      <c r="O102" s="140"/>
      <c r="P102" s="9"/>
      <c r="Q102" s="140"/>
      <c r="R102" s="9"/>
      <c r="S102" s="8"/>
      <c r="T102" s="8"/>
      <c r="U102" s="8"/>
      <c r="V102" s="132"/>
      <c r="W102" s="140"/>
      <c r="X102" s="140"/>
      <c r="Y102" s="9"/>
      <c r="Z102" s="8"/>
      <c r="AA102" s="2"/>
      <c r="AB102" s="2"/>
    </row>
    <row r="103" spans="1:28" outlineLevel="1" x14ac:dyDescent="0.15">
      <c r="A103" s="8"/>
      <c r="B103" s="8"/>
      <c r="C103" s="8"/>
      <c r="D103" s="8"/>
      <c r="E103" s="9"/>
      <c r="F103" s="8"/>
      <c r="G103" s="10"/>
      <c r="H103" s="132"/>
      <c r="I103" s="140"/>
      <c r="J103" s="9"/>
      <c r="K103" s="140"/>
      <c r="L103" s="9"/>
      <c r="M103" s="8"/>
      <c r="N103" s="132"/>
      <c r="O103" s="140"/>
      <c r="P103" s="9"/>
      <c r="Q103" s="140"/>
      <c r="R103" s="9"/>
      <c r="S103" s="8"/>
      <c r="T103" s="8"/>
      <c r="U103" s="8"/>
      <c r="V103" s="132"/>
      <c r="W103" s="140"/>
      <c r="X103" s="140"/>
      <c r="Y103" s="9"/>
      <c r="Z103" s="8"/>
      <c r="AA103" s="2"/>
      <c r="AB103" s="2"/>
    </row>
    <row r="104" spans="1:28" outlineLevel="1" x14ac:dyDescent="0.15">
      <c r="A104" s="8"/>
      <c r="B104" s="8"/>
      <c r="C104" s="8"/>
      <c r="D104" s="8"/>
      <c r="E104" s="9"/>
      <c r="F104" s="8"/>
      <c r="G104" s="10"/>
      <c r="H104" s="132"/>
      <c r="I104" s="140"/>
      <c r="J104" s="9"/>
      <c r="K104" s="140"/>
      <c r="L104" s="9"/>
      <c r="M104" s="8"/>
      <c r="N104" s="132"/>
      <c r="O104" s="140"/>
      <c r="P104" s="9"/>
      <c r="Q104" s="140"/>
      <c r="R104" s="9"/>
      <c r="S104" s="8"/>
      <c r="T104" s="8"/>
      <c r="U104" s="8"/>
      <c r="V104" s="132"/>
      <c r="W104" s="140"/>
      <c r="X104" s="140"/>
      <c r="Y104" s="9"/>
      <c r="Z104" s="8"/>
      <c r="AA104" s="2"/>
      <c r="AB104" s="2"/>
    </row>
    <row r="105" spans="1:28" outlineLevel="1" x14ac:dyDescent="0.15">
      <c r="A105" s="8"/>
      <c r="B105" s="8"/>
      <c r="C105" s="8"/>
      <c r="D105" s="8"/>
      <c r="E105" s="9"/>
      <c r="F105" s="8"/>
      <c r="G105" s="10"/>
      <c r="H105" s="132"/>
      <c r="I105" s="140"/>
      <c r="J105" s="9"/>
      <c r="K105" s="140"/>
      <c r="L105" s="9"/>
      <c r="M105" s="8"/>
      <c r="N105" s="132"/>
      <c r="O105" s="140"/>
      <c r="P105" s="9"/>
      <c r="Q105" s="140"/>
      <c r="R105" s="9"/>
      <c r="S105" s="8"/>
      <c r="T105" s="8"/>
      <c r="U105" s="8"/>
      <c r="V105" s="132"/>
      <c r="W105" s="140"/>
      <c r="X105" s="140"/>
      <c r="Y105" s="9"/>
      <c r="Z105" s="8"/>
      <c r="AA105" s="2"/>
      <c r="AB105" s="2"/>
    </row>
    <row r="106" spans="1:28" outlineLevel="1" x14ac:dyDescent="0.15">
      <c r="A106" s="8"/>
      <c r="B106" s="8"/>
      <c r="C106" s="8"/>
      <c r="D106" s="8"/>
      <c r="E106" s="9"/>
      <c r="F106" s="8"/>
      <c r="G106" s="10"/>
      <c r="H106" s="132"/>
      <c r="I106" s="140"/>
      <c r="J106" s="9"/>
      <c r="K106" s="140"/>
      <c r="L106" s="9"/>
      <c r="M106" s="8"/>
      <c r="N106" s="132"/>
      <c r="O106" s="140"/>
      <c r="P106" s="9"/>
      <c r="Q106" s="140"/>
      <c r="R106" s="9"/>
      <c r="S106" s="8"/>
      <c r="T106" s="8"/>
      <c r="U106" s="8"/>
      <c r="V106" s="132"/>
      <c r="W106" s="140"/>
      <c r="X106" s="140"/>
      <c r="Y106" s="9"/>
      <c r="Z106" s="8"/>
      <c r="AA106" s="2"/>
      <c r="AB106" s="2"/>
    </row>
    <row r="107" spans="1:28" outlineLevel="1" x14ac:dyDescent="0.15">
      <c r="A107" s="8"/>
      <c r="B107" s="8"/>
      <c r="C107" s="8"/>
      <c r="D107" s="8"/>
      <c r="E107" s="9"/>
      <c r="F107" s="8"/>
      <c r="G107" s="10"/>
      <c r="H107" s="132"/>
      <c r="I107" s="140"/>
      <c r="J107" s="9"/>
      <c r="K107" s="140"/>
      <c r="L107" s="9"/>
      <c r="M107" s="8"/>
      <c r="N107" s="132"/>
      <c r="O107" s="140"/>
      <c r="P107" s="9"/>
      <c r="Q107" s="140"/>
      <c r="R107" s="9"/>
      <c r="S107" s="8"/>
      <c r="T107" s="8"/>
      <c r="U107" s="8"/>
      <c r="V107" s="132"/>
      <c r="W107" s="140"/>
      <c r="X107" s="140"/>
      <c r="Y107" s="9"/>
      <c r="Z107" s="8"/>
      <c r="AA107" s="2"/>
      <c r="AB107" s="2"/>
    </row>
    <row r="108" spans="1:28" outlineLevel="1" x14ac:dyDescent="0.15">
      <c r="A108" s="8"/>
      <c r="B108" s="8"/>
      <c r="C108" s="8"/>
      <c r="D108" s="8"/>
      <c r="E108" s="9"/>
      <c r="F108" s="8"/>
      <c r="G108" s="10"/>
      <c r="H108" s="132"/>
      <c r="I108" s="140"/>
      <c r="J108" s="9"/>
      <c r="K108" s="140"/>
      <c r="L108" s="9"/>
      <c r="M108" s="8"/>
      <c r="N108" s="132"/>
      <c r="O108" s="140"/>
      <c r="P108" s="9"/>
      <c r="Q108" s="140"/>
      <c r="R108" s="9"/>
      <c r="S108" s="8"/>
      <c r="T108" s="8"/>
      <c r="U108" s="8"/>
      <c r="V108" s="132"/>
      <c r="W108" s="140"/>
      <c r="X108" s="140"/>
      <c r="Y108" s="9"/>
      <c r="Z108" s="8"/>
      <c r="AA108" s="2"/>
      <c r="AB108" s="2"/>
    </row>
    <row r="109" spans="1:28" outlineLevel="1" x14ac:dyDescent="0.15">
      <c r="A109" s="8"/>
      <c r="B109" s="8"/>
      <c r="C109" s="8"/>
      <c r="D109" s="8"/>
      <c r="E109" s="9"/>
      <c r="F109" s="8"/>
      <c r="G109" s="10"/>
      <c r="H109" s="132"/>
      <c r="I109" s="140"/>
      <c r="J109" s="9"/>
      <c r="K109" s="140"/>
      <c r="L109" s="9"/>
      <c r="M109" s="8"/>
      <c r="N109" s="132"/>
      <c r="O109" s="140"/>
      <c r="P109" s="9"/>
      <c r="Q109" s="140"/>
      <c r="R109" s="9"/>
      <c r="S109" s="8"/>
      <c r="T109" s="8"/>
      <c r="U109" s="8"/>
      <c r="V109" s="132"/>
      <c r="W109" s="140"/>
      <c r="X109" s="140"/>
      <c r="Y109" s="9"/>
      <c r="Z109" s="8"/>
      <c r="AA109" s="2"/>
      <c r="AB109" s="2"/>
    </row>
    <row r="110" spans="1:28" outlineLevel="1" x14ac:dyDescent="0.15">
      <c r="A110" s="8"/>
      <c r="B110" s="8"/>
      <c r="C110" s="8"/>
      <c r="D110" s="8"/>
      <c r="E110" s="9"/>
      <c r="F110" s="8"/>
      <c r="G110" s="10"/>
      <c r="H110" s="132"/>
      <c r="I110" s="140"/>
      <c r="J110" s="9"/>
      <c r="K110" s="140"/>
      <c r="L110" s="9"/>
      <c r="M110" s="8"/>
      <c r="N110" s="132"/>
      <c r="O110" s="140"/>
      <c r="P110" s="9"/>
      <c r="Q110" s="140"/>
      <c r="R110" s="9"/>
      <c r="S110" s="8"/>
      <c r="T110" s="8"/>
      <c r="U110" s="8"/>
      <c r="V110" s="132"/>
      <c r="W110" s="140"/>
      <c r="X110" s="140"/>
      <c r="Y110" s="9"/>
      <c r="Z110" s="8"/>
      <c r="AA110" s="2"/>
      <c r="AB110" s="2"/>
    </row>
    <row r="111" spans="1:28" outlineLevel="1" x14ac:dyDescent="0.15">
      <c r="A111" s="8"/>
      <c r="B111" s="8"/>
      <c r="C111" s="8"/>
      <c r="D111" s="8"/>
      <c r="E111" s="9"/>
      <c r="F111" s="8"/>
      <c r="G111" s="10"/>
      <c r="H111" s="132"/>
      <c r="I111" s="140"/>
      <c r="J111" s="9"/>
      <c r="K111" s="140"/>
      <c r="L111" s="9"/>
      <c r="M111" s="8"/>
      <c r="N111" s="132"/>
      <c r="O111" s="140"/>
      <c r="P111" s="9"/>
      <c r="Q111" s="140"/>
      <c r="R111" s="9"/>
      <c r="S111" s="8"/>
      <c r="T111" s="8"/>
      <c r="U111" s="8"/>
      <c r="V111" s="132"/>
      <c r="W111" s="140"/>
      <c r="X111" s="140"/>
      <c r="Y111" s="9"/>
      <c r="Z111" s="8"/>
      <c r="AA111" s="2"/>
      <c r="AB111" s="2"/>
    </row>
    <row r="112" spans="1:28" outlineLevel="1" x14ac:dyDescent="0.15">
      <c r="A112" s="8"/>
      <c r="B112" s="8"/>
      <c r="C112" s="8"/>
      <c r="D112" s="8"/>
      <c r="E112" s="9"/>
      <c r="F112" s="8"/>
      <c r="G112" s="10"/>
      <c r="H112" s="132"/>
      <c r="I112" s="140"/>
      <c r="J112" s="9"/>
      <c r="K112" s="140"/>
      <c r="L112" s="9"/>
      <c r="M112" s="8"/>
      <c r="N112" s="132"/>
      <c r="O112" s="140"/>
      <c r="P112" s="9"/>
      <c r="Q112" s="140"/>
      <c r="R112" s="9"/>
      <c r="S112" s="8"/>
      <c r="T112" s="8"/>
      <c r="U112" s="8"/>
      <c r="V112" s="132"/>
      <c r="W112" s="140"/>
      <c r="X112" s="140"/>
      <c r="Y112" s="9"/>
      <c r="Z112" s="8"/>
      <c r="AA112" s="2"/>
      <c r="AB112" s="2"/>
    </row>
    <row r="113" spans="1:28" outlineLevel="1" x14ac:dyDescent="0.15">
      <c r="A113" s="8"/>
      <c r="B113" s="8"/>
      <c r="C113" s="8"/>
      <c r="D113" s="8"/>
      <c r="E113" s="9"/>
      <c r="F113" s="8"/>
      <c r="G113" s="10"/>
      <c r="H113" s="132"/>
      <c r="I113" s="140"/>
      <c r="J113" s="9"/>
      <c r="K113" s="140"/>
      <c r="L113" s="9"/>
      <c r="M113" s="8"/>
      <c r="N113" s="132"/>
      <c r="O113" s="140"/>
      <c r="P113" s="9"/>
      <c r="Q113" s="140"/>
      <c r="R113" s="9"/>
      <c r="S113" s="8"/>
      <c r="T113" s="8"/>
      <c r="U113" s="8"/>
      <c r="V113" s="132"/>
      <c r="W113" s="140"/>
      <c r="X113" s="140"/>
      <c r="Y113" s="9"/>
      <c r="Z113" s="8"/>
      <c r="AA113" s="2"/>
      <c r="AB113" s="2"/>
    </row>
    <row r="114" spans="1:28" outlineLevel="1" x14ac:dyDescent="0.15">
      <c r="A114" s="8"/>
      <c r="B114" s="8"/>
      <c r="C114" s="8"/>
      <c r="D114" s="8"/>
      <c r="E114" s="9"/>
      <c r="F114" s="8"/>
      <c r="G114" s="10"/>
      <c r="H114" s="132"/>
      <c r="I114" s="140"/>
      <c r="J114" s="9"/>
      <c r="K114" s="140"/>
      <c r="L114" s="9"/>
      <c r="M114" s="8"/>
      <c r="N114" s="132"/>
      <c r="O114" s="140"/>
      <c r="P114" s="9"/>
      <c r="Q114" s="140"/>
      <c r="R114" s="9"/>
      <c r="S114" s="8"/>
      <c r="T114" s="8"/>
      <c r="U114" s="8"/>
      <c r="V114" s="132"/>
      <c r="W114" s="140"/>
      <c r="X114" s="140"/>
      <c r="Y114" s="9"/>
      <c r="Z114" s="8"/>
      <c r="AA114" s="2"/>
      <c r="AB114" s="2"/>
    </row>
    <row r="115" spans="1:28" outlineLevel="1" x14ac:dyDescent="0.15">
      <c r="A115" s="8"/>
      <c r="B115" s="8"/>
      <c r="C115" s="8"/>
      <c r="D115" s="8"/>
      <c r="E115" s="9"/>
      <c r="F115" s="8"/>
      <c r="G115" s="10"/>
      <c r="H115" s="132"/>
      <c r="I115" s="140"/>
      <c r="J115" s="9"/>
      <c r="K115" s="140"/>
      <c r="L115" s="9"/>
      <c r="M115" s="8"/>
      <c r="N115" s="132"/>
      <c r="O115" s="140"/>
      <c r="P115" s="9"/>
      <c r="Q115" s="140"/>
      <c r="R115" s="9"/>
      <c r="S115" s="8"/>
      <c r="T115" s="8"/>
      <c r="U115" s="8"/>
      <c r="V115" s="132"/>
      <c r="W115" s="140"/>
      <c r="X115" s="140"/>
      <c r="Y115" s="9"/>
      <c r="Z115" s="8"/>
      <c r="AA115" s="2"/>
      <c r="AB115" s="2"/>
    </row>
    <row r="116" spans="1:28" outlineLevel="1" x14ac:dyDescent="0.15">
      <c r="A116" s="8"/>
      <c r="B116" s="8"/>
      <c r="C116" s="8"/>
      <c r="D116" s="8"/>
      <c r="E116" s="9"/>
      <c r="F116" s="8"/>
      <c r="G116" s="10"/>
      <c r="H116" s="132"/>
      <c r="I116" s="140"/>
      <c r="J116" s="9"/>
      <c r="K116" s="140"/>
      <c r="L116" s="9"/>
      <c r="M116" s="8"/>
      <c r="N116" s="132"/>
      <c r="O116" s="140"/>
      <c r="P116" s="9"/>
      <c r="Q116" s="140"/>
      <c r="R116" s="9"/>
      <c r="S116" s="8"/>
      <c r="T116" s="8"/>
      <c r="U116" s="8"/>
      <c r="V116" s="132"/>
      <c r="W116" s="140"/>
      <c r="X116" s="140"/>
      <c r="Y116" s="9"/>
      <c r="Z116" s="8"/>
      <c r="AA116" s="2"/>
      <c r="AB116" s="2"/>
    </row>
    <row r="117" spans="1:28" outlineLevel="1" x14ac:dyDescent="0.15">
      <c r="A117" s="8"/>
      <c r="B117" s="8"/>
      <c r="C117" s="8"/>
      <c r="D117" s="8"/>
      <c r="E117" s="9"/>
      <c r="F117" s="8"/>
      <c r="G117" s="10"/>
      <c r="H117" s="132"/>
      <c r="I117" s="140"/>
      <c r="J117" s="9"/>
      <c r="K117" s="140"/>
      <c r="L117" s="9"/>
      <c r="M117" s="8"/>
      <c r="N117" s="132"/>
      <c r="O117" s="140"/>
      <c r="P117" s="9"/>
      <c r="Q117" s="140"/>
      <c r="R117" s="9"/>
      <c r="S117" s="8"/>
      <c r="T117" s="8"/>
      <c r="U117" s="8"/>
      <c r="V117" s="132"/>
      <c r="W117" s="140"/>
      <c r="X117" s="140"/>
      <c r="Y117" s="9"/>
      <c r="Z117" s="8"/>
      <c r="AA117" s="2"/>
      <c r="AB117" s="2"/>
    </row>
    <row r="118" spans="1:28" outlineLevel="1" x14ac:dyDescent="0.15">
      <c r="A118" s="8"/>
      <c r="B118" s="8"/>
      <c r="C118" s="8"/>
      <c r="D118" s="8"/>
      <c r="E118" s="9"/>
      <c r="F118" s="8"/>
      <c r="G118" s="10"/>
      <c r="H118" s="132"/>
      <c r="I118" s="140"/>
      <c r="J118" s="9"/>
      <c r="K118" s="140"/>
      <c r="L118" s="9"/>
      <c r="M118" s="8"/>
      <c r="N118" s="132"/>
      <c r="O118" s="140"/>
      <c r="P118" s="9"/>
      <c r="Q118" s="140"/>
      <c r="R118" s="9"/>
      <c r="S118" s="8"/>
      <c r="T118" s="8"/>
      <c r="U118" s="8"/>
      <c r="V118" s="132"/>
      <c r="W118" s="140"/>
      <c r="X118" s="140"/>
      <c r="Y118" s="9"/>
      <c r="Z118" s="8"/>
      <c r="AA118" s="2"/>
      <c r="AB118" s="2"/>
    </row>
    <row r="119" spans="1:28" outlineLevel="1" x14ac:dyDescent="0.15">
      <c r="A119" s="8"/>
      <c r="B119" s="8"/>
      <c r="C119" s="8"/>
      <c r="D119" s="8"/>
      <c r="E119" s="9"/>
      <c r="F119" s="8"/>
      <c r="G119" s="10"/>
      <c r="H119" s="132"/>
      <c r="I119" s="140"/>
      <c r="J119" s="9"/>
      <c r="K119" s="140"/>
      <c r="L119" s="9"/>
      <c r="M119" s="8"/>
      <c r="N119" s="132"/>
      <c r="O119" s="140"/>
      <c r="P119" s="9"/>
      <c r="Q119" s="140"/>
      <c r="R119" s="9"/>
      <c r="S119" s="8"/>
      <c r="T119" s="8"/>
      <c r="U119" s="8"/>
      <c r="V119" s="132"/>
      <c r="W119" s="140"/>
      <c r="X119" s="140"/>
      <c r="Y119" s="9"/>
      <c r="Z119" s="8"/>
      <c r="AA119" s="2"/>
      <c r="AB119" s="2"/>
    </row>
    <row r="120" spans="1:28" outlineLevel="1" x14ac:dyDescent="0.15">
      <c r="A120" s="8"/>
      <c r="B120" s="8"/>
      <c r="C120" s="8"/>
      <c r="D120" s="8"/>
      <c r="E120" s="9"/>
      <c r="F120" s="8"/>
      <c r="G120" s="10"/>
      <c r="H120" s="132"/>
      <c r="I120" s="140"/>
      <c r="J120" s="9"/>
      <c r="K120" s="140"/>
      <c r="L120" s="9"/>
      <c r="M120" s="8"/>
      <c r="N120" s="132"/>
      <c r="O120" s="140"/>
      <c r="P120" s="9"/>
      <c r="Q120" s="140"/>
      <c r="R120" s="9"/>
      <c r="S120" s="8"/>
      <c r="T120" s="8"/>
      <c r="U120" s="8"/>
      <c r="V120" s="132"/>
      <c r="W120" s="140"/>
      <c r="X120" s="140"/>
      <c r="Y120" s="9"/>
      <c r="Z120" s="8"/>
      <c r="AA120" s="2"/>
      <c r="AB120" s="2"/>
    </row>
    <row r="121" spans="1:28" outlineLevel="1" x14ac:dyDescent="0.15">
      <c r="A121" s="8"/>
      <c r="B121" s="8"/>
      <c r="C121" s="8"/>
      <c r="D121" s="8"/>
      <c r="E121" s="9"/>
      <c r="F121" s="8"/>
      <c r="G121" s="10"/>
      <c r="H121" s="132"/>
      <c r="I121" s="140"/>
      <c r="J121" s="9"/>
      <c r="K121" s="140"/>
      <c r="L121" s="9"/>
      <c r="M121" s="8"/>
      <c r="N121" s="132"/>
      <c r="O121" s="140"/>
      <c r="P121" s="9"/>
      <c r="Q121" s="140"/>
      <c r="R121" s="9"/>
      <c r="S121" s="8"/>
      <c r="T121" s="8"/>
      <c r="U121" s="8"/>
      <c r="V121" s="132"/>
      <c r="W121" s="140"/>
      <c r="X121" s="140"/>
      <c r="Y121" s="9"/>
      <c r="Z121" s="8"/>
      <c r="AA121" s="2"/>
      <c r="AB121" s="2"/>
    </row>
    <row r="122" spans="1:28" outlineLevel="1" x14ac:dyDescent="0.15">
      <c r="A122" s="8"/>
      <c r="B122" s="8"/>
      <c r="C122" s="8"/>
      <c r="D122" s="8"/>
      <c r="E122" s="9"/>
      <c r="F122" s="8"/>
      <c r="G122" s="10"/>
      <c r="H122" s="132"/>
      <c r="I122" s="140"/>
      <c r="J122" s="9"/>
      <c r="K122" s="140"/>
      <c r="L122" s="9"/>
      <c r="M122" s="8"/>
      <c r="N122" s="132"/>
      <c r="O122" s="140"/>
      <c r="P122" s="9"/>
      <c r="Q122" s="140"/>
      <c r="R122" s="9"/>
      <c r="S122" s="8"/>
      <c r="T122" s="8"/>
      <c r="U122" s="8"/>
      <c r="V122" s="132"/>
      <c r="W122" s="140"/>
      <c r="X122" s="140"/>
      <c r="Y122" s="9"/>
      <c r="Z122" s="8"/>
      <c r="AA122" s="2"/>
      <c r="AB122" s="2"/>
    </row>
    <row r="123" spans="1:28" outlineLevel="1" x14ac:dyDescent="0.15">
      <c r="A123" s="8"/>
      <c r="B123" s="8"/>
      <c r="C123" s="8"/>
      <c r="D123" s="8"/>
      <c r="E123" s="9"/>
      <c r="F123" s="8"/>
      <c r="G123" s="10"/>
      <c r="H123" s="132"/>
      <c r="I123" s="140"/>
      <c r="J123" s="9"/>
      <c r="K123" s="140"/>
      <c r="L123" s="9"/>
      <c r="M123" s="8"/>
      <c r="N123" s="132"/>
      <c r="O123" s="140"/>
      <c r="P123" s="9"/>
      <c r="Q123" s="140"/>
      <c r="R123" s="9"/>
      <c r="S123" s="8"/>
      <c r="T123" s="8"/>
      <c r="U123" s="8"/>
      <c r="V123" s="132"/>
      <c r="W123" s="140"/>
      <c r="X123" s="140"/>
      <c r="Y123" s="9"/>
      <c r="Z123" s="8"/>
      <c r="AA123" s="2"/>
      <c r="AB123" s="2"/>
    </row>
    <row r="124" spans="1:28" outlineLevel="1" x14ac:dyDescent="0.15">
      <c r="A124" s="8"/>
      <c r="B124" s="8"/>
      <c r="C124" s="8"/>
      <c r="D124" s="8"/>
      <c r="E124" s="9"/>
      <c r="F124" s="8"/>
      <c r="G124" s="10"/>
      <c r="H124" s="132"/>
      <c r="I124" s="140"/>
      <c r="J124" s="9"/>
      <c r="K124" s="140"/>
      <c r="L124" s="9"/>
      <c r="M124" s="8"/>
      <c r="N124" s="132"/>
      <c r="O124" s="140"/>
      <c r="P124" s="9"/>
      <c r="Q124" s="140"/>
      <c r="R124" s="9"/>
      <c r="S124" s="8"/>
      <c r="T124" s="8"/>
      <c r="U124" s="8"/>
      <c r="V124" s="132"/>
      <c r="W124" s="140"/>
      <c r="X124" s="140"/>
      <c r="Y124" s="9"/>
      <c r="Z124" s="8"/>
      <c r="AA124" s="2"/>
      <c r="AB124" s="2"/>
    </row>
    <row r="125" spans="1:28" outlineLevel="1" x14ac:dyDescent="0.15">
      <c r="A125" s="8"/>
      <c r="B125" s="8"/>
      <c r="C125" s="8"/>
      <c r="D125" s="8"/>
      <c r="E125" s="9"/>
      <c r="F125" s="8"/>
      <c r="G125" s="10"/>
      <c r="H125" s="132"/>
      <c r="I125" s="140"/>
      <c r="J125" s="9"/>
      <c r="K125" s="140"/>
      <c r="L125" s="9"/>
      <c r="M125" s="8"/>
      <c r="N125" s="132"/>
      <c r="O125" s="140"/>
      <c r="P125" s="9"/>
      <c r="Q125" s="140"/>
      <c r="R125" s="9"/>
      <c r="S125" s="8"/>
      <c r="T125" s="8"/>
      <c r="U125" s="8"/>
      <c r="V125" s="132"/>
      <c r="W125" s="140"/>
      <c r="X125" s="140"/>
      <c r="Y125" s="9"/>
      <c r="Z125" s="8"/>
      <c r="AA125" s="2"/>
      <c r="AB125" s="2"/>
    </row>
    <row r="126" spans="1:28" outlineLevel="1" x14ac:dyDescent="0.15">
      <c r="A126" s="8"/>
      <c r="B126" s="8"/>
      <c r="C126" s="8"/>
      <c r="D126" s="8"/>
      <c r="E126" s="9"/>
      <c r="F126" s="8"/>
      <c r="G126" s="10"/>
      <c r="H126" s="132"/>
      <c r="I126" s="140"/>
      <c r="J126" s="9"/>
      <c r="K126" s="140"/>
      <c r="L126" s="9"/>
      <c r="M126" s="8"/>
      <c r="N126" s="132"/>
      <c r="O126" s="140"/>
      <c r="P126" s="9"/>
      <c r="Q126" s="140"/>
      <c r="R126" s="9"/>
      <c r="S126" s="8"/>
      <c r="T126" s="8"/>
      <c r="U126" s="8"/>
      <c r="V126" s="132"/>
      <c r="W126" s="140"/>
      <c r="X126" s="140"/>
      <c r="Y126" s="9"/>
      <c r="Z126" s="8"/>
      <c r="AA126" s="2"/>
      <c r="AB126" s="2"/>
    </row>
    <row r="127" spans="1:28" outlineLevel="1" x14ac:dyDescent="0.15">
      <c r="A127" s="8"/>
      <c r="B127" s="8"/>
      <c r="C127" s="8"/>
      <c r="D127" s="8"/>
      <c r="E127" s="9"/>
      <c r="F127" s="8"/>
      <c r="G127" s="10"/>
      <c r="H127" s="132"/>
      <c r="I127" s="140"/>
      <c r="J127" s="9"/>
      <c r="K127" s="140"/>
      <c r="L127" s="9"/>
      <c r="M127" s="8"/>
      <c r="N127" s="132"/>
      <c r="O127" s="140"/>
      <c r="P127" s="9"/>
      <c r="Q127" s="140"/>
      <c r="R127" s="9"/>
      <c r="S127" s="8"/>
      <c r="T127" s="8"/>
      <c r="U127" s="8"/>
      <c r="V127" s="132"/>
      <c r="W127" s="140"/>
      <c r="X127" s="140"/>
      <c r="Y127" s="9"/>
      <c r="Z127" s="8"/>
      <c r="AA127" s="2"/>
      <c r="AB127" s="2"/>
    </row>
    <row r="128" spans="1:28" outlineLevel="1" x14ac:dyDescent="0.15">
      <c r="A128" s="8"/>
      <c r="B128" s="8"/>
      <c r="C128" s="8"/>
      <c r="D128" s="8"/>
      <c r="E128" s="9"/>
      <c r="F128" s="8"/>
      <c r="G128" s="10"/>
      <c r="H128" s="132"/>
      <c r="I128" s="140"/>
      <c r="J128" s="9"/>
      <c r="K128" s="140"/>
      <c r="L128" s="9"/>
      <c r="M128" s="8"/>
      <c r="N128" s="132"/>
      <c r="O128" s="140"/>
      <c r="P128" s="9"/>
      <c r="Q128" s="140"/>
      <c r="R128" s="9"/>
      <c r="S128" s="8"/>
      <c r="T128" s="8"/>
      <c r="U128" s="8"/>
      <c r="V128" s="132"/>
      <c r="W128" s="140"/>
      <c r="X128" s="140"/>
      <c r="Y128" s="9"/>
      <c r="Z128" s="8"/>
      <c r="AA128" s="2"/>
      <c r="AB128" s="2"/>
    </row>
    <row r="129" spans="1:28" outlineLevel="1" x14ac:dyDescent="0.15">
      <c r="A129" s="8"/>
      <c r="B129" s="8"/>
      <c r="C129" s="8"/>
      <c r="D129" s="8"/>
      <c r="E129" s="9"/>
      <c r="F129" s="8"/>
      <c r="G129" s="10"/>
      <c r="H129" s="132"/>
      <c r="I129" s="140"/>
      <c r="J129" s="9"/>
      <c r="K129" s="140"/>
      <c r="L129" s="9"/>
      <c r="M129" s="8"/>
      <c r="N129" s="132"/>
      <c r="O129" s="140"/>
      <c r="P129" s="9"/>
      <c r="Q129" s="140"/>
      <c r="R129" s="9"/>
      <c r="S129" s="8"/>
      <c r="T129" s="8"/>
      <c r="U129" s="8"/>
      <c r="V129" s="132"/>
      <c r="W129" s="140"/>
      <c r="X129" s="140"/>
      <c r="Y129" s="9"/>
      <c r="Z129" s="8"/>
      <c r="AA129" s="2"/>
      <c r="AB129" s="2"/>
    </row>
    <row r="130" spans="1:28" outlineLevel="1" x14ac:dyDescent="0.15">
      <c r="A130" s="8"/>
      <c r="B130" s="8"/>
      <c r="C130" s="8"/>
      <c r="D130" s="8"/>
      <c r="E130" s="9"/>
      <c r="F130" s="8"/>
      <c r="G130" s="10"/>
      <c r="H130" s="132"/>
      <c r="I130" s="140"/>
      <c r="J130" s="9"/>
      <c r="K130" s="140"/>
      <c r="L130" s="9"/>
      <c r="M130" s="8"/>
      <c r="N130" s="132"/>
      <c r="O130" s="140"/>
      <c r="P130" s="9"/>
      <c r="Q130" s="140"/>
      <c r="R130" s="9"/>
      <c r="S130" s="8"/>
      <c r="T130" s="8"/>
      <c r="U130" s="8"/>
      <c r="V130" s="132"/>
      <c r="W130" s="140"/>
      <c r="X130" s="140"/>
      <c r="Y130" s="9"/>
      <c r="Z130" s="8"/>
      <c r="AA130" s="2"/>
      <c r="AB130" s="2"/>
    </row>
    <row r="131" spans="1:28" outlineLevel="1" x14ac:dyDescent="0.15">
      <c r="A131" s="8"/>
      <c r="B131" s="8"/>
      <c r="C131" s="8"/>
      <c r="D131" s="8"/>
      <c r="E131" s="9"/>
      <c r="F131" s="8"/>
      <c r="G131" s="10"/>
      <c r="H131" s="132"/>
      <c r="I131" s="140"/>
      <c r="J131" s="9"/>
      <c r="K131" s="140"/>
      <c r="L131" s="9"/>
      <c r="M131" s="8"/>
      <c r="N131" s="132"/>
      <c r="O131" s="140"/>
      <c r="P131" s="9"/>
      <c r="Q131" s="140"/>
      <c r="R131" s="9"/>
      <c r="S131" s="8"/>
      <c r="T131" s="8"/>
      <c r="U131" s="8"/>
      <c r="V131" s="132"/>
      <c r="W131" s="140"/>
      <c r="X131" s="140"/>
      <c r="Y131" s="9"/>
      <c r="Z131" s="8"/>
      <c r="AA131" s="2"/>
      <c r="AB131" s="2"/>
    </row>
    <row r="132" spans="1:28" outlineLevel="1" x14ac:dyDescent="0.15">
      <c r="A132" s="8"/>
      <c r="B132" s="8"/>
      <c r="C132" s="8"/>
      <c r="D132" s="8"/>
      <c r="E132" s="9"/>
      <c r="F132" s="8"/>
      <c r="G132" s="10"/>
      <c r="H132" s="132"/>
      <c r="I132" s="140"/>
      <c r="J132" s="9"/>
      <c r="K132" s="140"/>
      <c r="L132" s="9"/>
      <c r="M132" s="8"/>
      <c r="N132" s="132"/>
      <c r="O132" s="140"/>
      <c r="P132" s="9"/>
      <c r="Q132" s="140"/>
      <c r="R132" s="9"/>
      <c r="S132" s="8"/>
      <c r="T132" s="8"/>
      <c r="U132" s="8"/>
      <c r="V132" s="132"/>
      <c r="W132" s="140"/>
      <c r="X132" s="140"/>
      <c r="Y132" s="9"/>
      <c r="Z132" s="8"/>
      <c r="AA132" s="2"/>
      <c r="AB132" s="2"/>
    </row>
    <row r="133" spans="1:28" outlineLevel="1" x14ac:dyDescent="0.15">
      <c r="A133" s="8"/>
      <c r="B133" s="8"/>
      <c r="C133" s="8"/>
      <c r="D133" s="8"/>
      <c r="E133" s="9"/>
      <c r="F133" s="8"/>
      <c r="G133" s="10"/>
      <c r="H133" s="132"/>
      <c r="I133" s="140"/>
      <c r="J133" s="9"/>
      <c r="K133" s="140"/>
      <c r="L133" s="9"/>
      <c r="M133" s="8"/>
      <c r="N133" s="132"/>
      <c r="O133" s="140"/>
      <c r="P133" s="9"/>
      <c r="Q133" s="140"/>
      <c r="R133" s="9"/>
      <c r="S133" s="8"/>
      <c r="T133" s="8"/>
      <c r="U133" s="8"/>
      <c r="V133" s="132"/>
      <c r="W133" s="140"/>
      <c r="X133" s="140"/>
      <c r="Y133" s="9"/>
      <c r="Z133" s="8"/>
      <c r="AA133" s="2"/>
      <c r="AB133" s="2"/>
    </row>
    <row r="134" spans="1:28" outlineLevel="1" x14ac:dyDescent="0.15">
      <c r="A134" s="8"/>
      <c r="B134" s="8"/>
      <c r="C134" s="8"/>
      <c r="D134" s="8"/>
      <c r="E134" s="9"/>
      <c r="F134" s="8"/>
      <c r="G134" s="10"/>
      <c r="H134" s="132"/>
      <c r="I134" s="140"/>
      <c r="J134" s="9"/>
      <c r="K134" s="140"/>
      <c r="L134" s="9"/>
      <c r="M134" s="8"/>
      <c r="N134" s="132"/>
      <c r="O134" s="140"/>
      <c r="P134" s="9"/>
      <c r="Q134" s="140"/>
      <c r="R134" s="9"/>
      <c r="S134" s="8"/>
      <c r="T134" s="8"/>
      <c r="U134" s="8"/>
      <c r="V134" s="132"/>
      <c r="W134" s="140"/>
      <c r="X134" s="140"/>
      <c r="Y134" s="9"/>
      <c r="Z134" s="8"/>
      <c r="AA134" s="2"/>
      <c r="AB134" s="2"/>
    </row>
    <row r="135" spans="1:28" outlineLevel="1" x14ac:dyDescent="0.15">
      <c r="A135" s="8"/>
      <c r="B135" s="8"/>
      <c r="C135" s="8"/>
      <c r="D135" s="8"/>
      <c r="E135" s="9"/>
      <c r="F135" s="8"/>
      <c r="G135" s="10"/>
      <c r="H135" s="132"/>
      <c r="I135" s="140"/>
      <c r="J135" s="9"/>
      <c r="K135" s="140"/>
      <c r="L135" s="9"/>
      <c r="M135" s="8"/>
      <c r="N135" s="132"/>
      <c r="O135" s="140"/>
      <c r="P135" s="9"/>
      <c r="Q135" s="140"/>
      <c r="R135" s="9"/>
      <c r="S135" s="8"/>
      <c r="T135" s="8"/>
      <c r="U135" s="8"/>
      <c r="V135" s="132"/>
      <c r="W135" s="140"/>
      <c r="X135" s="140"/>
      <c r="Y135" s="9"/>
      <c r="Z135" s="8"/>
      <c r="AA135" s="2"/>
      <c r="AB135" s="2"/>
    </row>
    <row r="136" spans="1:28" outlineLevel="1" x14ac:dyDescent="0.15">
      <c r="A136" s="8"/>
      <c r="B136" s="8"/>
      <c r="C136" s="8"/>
      <c r="D136" s="8"/>
      <c r="E136" s="9"/>
      <c r="F136" s="8"/>
      <c r="G136" s="10"/>
      <c r="H136" s="132"/>
      <c r="I136" s="140"/>
      <c r="J136" s="9"/>
      <c r="K136" s="140"/>
      <c r="L136" s="9"/>
      <c r="M136" s="8"/>
      <c r="N136" s="132"/>
      <c r="O136" s="140"/>
      <c r="P136" s="9"/>
      <c r="Q136" s="140"/>
      <c r="R136" s="9"/>
      <c r="S136" s="8"/>
      <c r="T136" s="8"/>
      <c r="U136" s="8"/>
      <c r="V136" s="132"/>
      <c r="W136" s="140"/>
      <c r="X136" s="140"/>
      <c r="Y136" s="9"/>
      <c r="Z136" s="8"/>
      <c r="AA136" s="2"/>
      <c r="AB136" s="2"/>
    </row>
    <row r="137" spans="1:28" outlineLevel="1" x14ac:dyDescent="0.15">
      <c r="A137" s="8"/>
      <c r="B137" s="8"/>
      <c r="C137" s="8"/>
      <c r="D137" s="8"/>
      <c r="E137" s="9"/>
      <c r="F137" s="8"/>
      <c r="G137" s="10"/>
      <c r="H137" s="132"/>
      <c r="I137" s="140"/>
      <c r="J137" s="9"/>
      <c r="K137" s="140"/>
      <c r="L137" s="9"/>
      <c r="M137" s="8"/>
      <c r="N137" s="132"/>
      <c r="O137" s="140"/>
      <c r="P137" s="9"/>
      <c r="Q137" s="140"/>
      <c r="R137" s="9"/>
      <c r="S137" s="8"/>
      <c r="T137" s="8"/>
      <c r="U137" s="8"/>
      <c r="V137" s="132"/>
      <c r="W137" s="140"/>
      <c r="X137" s="140"/>
      <c r="Y137" s="9"/>
      <c r="Z137" s="8"/>
      <c r="AA137" s="2"/>
      <c r="AB137" s="2"/>
    </row>
    <row r="138" spans="1:28" outlineLevel="1" x14ac:dyDescent="0.15">
      <c r="A138" s="8"/>
      <c r="B138" s="8"/>
      <c r="C138" s="8"/>
      <c r="D138" s="8"/>
      <c r="E138" s="9"/>
      <c r="F138" s="8"/>
      <c r="G138" s="10"/>
      <c r="H138" s="132"/>
      <c r="I138" s="140"/>
      <c r="J138" s="9"/>
      <c r="K138" s="140"/>
      <c r="L138" s="9"/>
      <c r="M138" s="8"/>
      <c r="N138" s="132"/>
      <c r="O138" s="140"/>
      <c r="P138" s="9"/>
      <c r="Q138" s="140"/>
      <c r="R138" s="9"/>
      <c r="S138" s="8"/>
      <c r="T138" s="8"/>
      <c r="U138" s="8"/>
      <c r="V138" s="132"/>
      <c r="W138" s="140"/>
      <c r="X138" s="140"/>
      <c r="Y138" s="9"/>
      <c r="Z138" s="8"/>
      <c r="AA138" s="2"/>
      <c r="AB138" s="2"/>
    </row>
    <row r="139" spans="1:28" outlineLevel="1" x14ac:dyDescent="0.15">
      <c r="A139" s="8"/>
      <c r="B139" s="8"/>
      <c r="C139" s="8"/>
      <c r="D139" s="8"/>
      <c r="E139" s="9"/>
      <c r="F139" s="8"/>
      <c r="G139" s="10"/>
      <c r="H139" s="132"/>
      <c r="I139" s="140"/>
      <c r="J139" s="9"/>
      <c r="K139" s="140"/>
      <c r="L139" s="9"/>
      <c r="M139" s="8"/>
      <c r="N139" s="132"/>
      <c r="O139" s="140"/>
      <c r="P139" s="9"/>
      <c r="Q139" s="140"/>
      <c r="R139" s="9"/>
      <c r="S139" s="8"/>
      <c r="T139" s="8"/>
      <c r="U139" s="8"/>
      <c r="V139" s="132"/>
      <c r="W139" s="140"/>
      <c r="X139" s="140"/>
      <c r="Y139" s="9"/>
      <c r="Z139" s="8"/>
      <c r="AA139" s="2"/>
      <c r="AB139" s="2"/>
    </row>
    <row r="140" spans="1:28" outlineLevel="1" x14ac:dyDescent="0.15">
      <c r="A140" s="8"/>
      <c r="B140" s="8"/>
      <c r="C140" s="8"/>
      <c r="D140" s="8"/>
      <c r="E140" s="9"/>
      <c r="F140" s="8"/>
      <c r="G140" s="10"/>
      <c r="H140" s="132"/>
      <c r="I140" s="140"/>
      <c r="J140" s="9"/>
      <c r="K140" s="140"/>
      <c r="L140" s="9"/>
      <c r="M140" s="8"/>
      <c r="N140" s="132"/>
      <c r="O140" s="140"/>
      <c r="P140" s="9"/>
      <c r="Q140" s="140"/>
      <c r="R140" s="9"/>
      <c r="S140" s="8"/>
      <c r="T140" s="8"/>
      <c r="U140" s="8"/>
      <c r="V140" s="132"/>
      <c r="W140" s="140"/>
      <c r="X140" s="140"/>
      <c r="Y140" s="9"/>
      <c r="Z140" s="8"/>
      <c r="AA140" s="2"/>
      <c r="AB140" s="2"/>
    </row>
    <row r="141" spans="1:28" outlineLevel="1" x14ac:dyDescent="0.15">
      <c r="A141" s="8"/>
      <c r="B141" s="8"/>
      <c r="C141" s="8"/>
      <c r="D141" s="8"/>
      <c r="E141" s="9"/>
      <c r="F141" s="8"/>
      <c r="G141" s="10"/>
      <c r="H141" s="132"/>
      <c r="I141" s="140"/>
      <c r="J141" s="9"/>
      <c r="K141" s="140"/>
      <c r="L141" s="9"/>
      <c r="M141" s="8"/>
      <c r="N141" s="132"/>
      <c r="O141" s="140"/>
      <c r="P141" s="9"/>
      <c r="Q141" s="140"/>
      <c r="R141" s="9"/>
      <c r="S141" s="8"/>
      <c r="T141" s="8"/>
      <c r="U141" s="8"/>
      <c r="V141" s="132"/>
      <c r="W141" s="140"/>
      <c r="X141" s="140"/>
      <c r="Y141" s="9"/>
      <c r="Z141" s="8"/>
      <c r="AA141" s="2"/>
      <c r="AB141" s="2"/>
    </row>
    <row r="142" spans="1:28" outlineLevel="1" x14ac:dyDescent="0.15">
      <c r="A142" s="8"/>
      <c r="B142" s="8"/>
      <c r="C142" s="8"/>
      <c r="D142" s="8"/>
      <c r="E142" s="9"/>
      <c r="F142" s="8"/>
      <c r="G142" s="10"/>
      <c r="H142" s="132"/>
      <c r="I142" s="140"/>
      <c r="J142" s="9"/>
      <c r="K142" s="140"/>
      <c r="L142" s="9"/>
      <c r="M142" s="8"/>
      <c r="N142" s="132"/>
      <c r="O142" s="140"/>
      <c r="P142" s="9"/>
      <c r="Q142" s="140"/>
      <c r="R142" s="9"/>
      <c r="S142" s="8"/>
      <c r="T142" s="8"/>
      <c r="U142" s="8"/>
      <c r="V142" s="132"/>
      <c r="W142" s="140"/>
      <c r="X142" s="140"/>
      <c r="Y142" s="9"/>
      <c r="Z142" s="8"/>
      <c r="AA142" s="2"/>
      <c r="AB142" s="2"/>
    </row>
    <row r="143" spans="1:28" outlineLevel="1" x14ac:dyDescent="0.15">
      <c r="A143" s="8"/>
      <c r="B143" s="8"/>
      <c r="C143" s="8"/>
      <c r="D143" s="8"/>
      <c r="E143" s="9"/>
      <c r="F143" s="8"/>
      <c r="G143" s="10"/>
      <c r="H143" s="132"/>
      <c r="I143" s="140"/>
      <c r="J143" s="9"/>
      <c r="K143" s="140"/>
      <c r="L143" s="9"/>
      <c r="M143" s="8"/>
      <c r="N143" s="132"/>
      <c r="O143" s="140"/>
      <c r="P143" s="9"/>
      <c r="Q143" s="140"/>
      <c r="R143" s="9"/>
      <c r="S143" s="8"/>
      <c r="T143" s="8"/>
      <c r="U143" s="8"/>
      <c r="V143" s="132"/>
      <c r="W143" s="140"/>
      <c r="X143" s="140"/>
      <c r="Y143" s="9"/>
      <c r="Z143" s="8"/>
      <c r="AA143" s="2"/>
      <c r="AB143" s="2"/>
    </row>
    <row r="144" spans="1:28" outlineLevel="1" x14ac:dyDescent="0.15">
      <c r="A144" s="8"/>
      <c r="B144" s="8"/>
      <c r="C144" s="8"/>
      <c r="D144" s="8"/>
      <c r="E144" s="9"/>
      <c r="F144" s="8"/>
      <c r="G144" s="10"/>
      <c r="H144" s="132"/>
      <c r="I144" s="140"/>
      <c r="J144" s="9"/>
      <c r="K144" s="140"/>
      <c r="L144" s="9"/>
      <c r="M144" s="8"/>
      <c r="N144" s="132"/>
      <c r="O144" s="140"/>
      <c r="P144" s="9"/>
      <c r="Q144" s="140"/>
      <c r="R144" s="9"/>
      <c r="S144" s="8"/>
      <c r="T144" s="8"/>
      <c r="U144" s="8"/>
      <c r="V144" s="132"/>
      <c r="W144" s="140"/>
      <c r="X144" s="140"/>
      <c r="Y144" s="9"/>
      <c r="Z144" s="8"/>
      <c r="AA144" s="2"/>
      <c r="AB144" s="2"/>
    </row>
    <row r="145" spans="1:28" outlineLevel="1" x14ac:dyDescent="0.15">
      <c r="A145" s="8"/>
      <c r="B145" s="8"/>
      <c r="C145" s="8"/>
      <c r="D145" s="8"/>
      <c r="E145" s="9"/>
      <c r="F145" s="8"/>
      <c r="G145" s="10"/>
      <c r="H145" s="132"/>
      <c r="I145" s="140"/>
      <c r="J145" s="9"/>
      <c r="K145" s="140"/>
      <c r="L145" s="9"/>
      <c r="M145" s="8"/>
      <c r="N145" s="132"/>
      <c r="O145" s="140"/>
      <c r="P145" s="9"/>
      <c r="Q145" s="140"/>
      <c r="R145" s="9"/>
      <c r="S145" s="8"/>
      <c r="T145" s="8"/>
      <c r="U145" s="8"/>
      <c r="V145" s="132"/>
      <c r="W145" s="140"/>
      <c r="X145" s="140"/>
      <c r="Y145" s="9"/>
      <c r="Z145" s="8"/>
      <c r="AA145" s="2"/>
      <c r="AB145" s="2"/>
    </row>
    <row r="146" spans="1:28" outlineLevel="1" x14ac:dyDescent="0.15">
      <c r="A146" s="8"/>
      <c r="B146" s="8"/>
      <c r="C146" s="8"/>
      <c r="D146" s="8"/>
      <c r="E146" s="9"/>
      <c r="F146" s="8"/>
      <c r="G146" s="10"/>
      <c r="H146" s="132"/>
      <c r="I146" s="140"/>
      <c r="J146" s="9"/>
      <c r="K146" s="140"/>
      <c r="L146" s="9"/>
      <c r="M146" s="8"/>
      <c r="N146" s="132"/>
      <c r="O146" s="140"/>
      <c r="P146" s="9"/>
      <c r="Q146" s="140"/>
      <c r="R146" s="9"/>
      <c r="S146" s="8"/>
      <c r="T146" s="8"/>
      <c r="U146" s="8"/>
      <c r="V146" s="132"/>
      <c r="W146" s="140"/>
      <c r="X146" s="140"/>
      <c r="Y146" s="9"/>
      <c r="Z146" s="8"/>
      <c r="AA146" s="2"/>
      <c r="AB146" s="2"/>
    </row>
    <row r="147" spans="1:28" outlineLevel="1" x14ac:dyDescent="0.15">
      <c r="A147" s="8"/>
      <c r="B147" s="8"/>
      <c r="C147" s="8"/>
      <c r="D147" s="8"/>
      <c r="E147" s="9"/>
      <c r="F147" s="8"/>
      <c r="G147" s="10"/>
      <c r="H147" s="132"/>
      <c r="I147" s="140"/>
      <c r="J147" s="9"/>
      <c r="K147" s="140"/>
      <c r="L147" s="9"/>
      <c r="M147" s="8"/>
      <c r="N147" s="132"/>
      <c r="O147" s="140"/>
      <c r="P147" s="9"/>
      <c r="Q147" s="140"/>
      <c r="R147" s="9"/>
      <c r="S147" s="8"/>
      <c r="T147" s="8"/>
      <c r="U147" s="8"/>
      <c r="V147" s="132"/>
      <c r="W147" s="140"/>
      <c r="X147" s="140"/>
      <c r="Y147" s="9"/>
      <c r="Z147" s="8"/>
      <c r="AA147" s="2"/>
      <c r="AB147" s="2"/>
    </row>
    <row r="148" spans="1:28" outlineLevel="1" x14ac:dyDescent="0.15">
      <c r="A148" s="8"/>
      <c r="B148" s="8"/>
      <c r="C148" s="8"/>
      <c r="D148" s="8"/>
      <c r="E148" s="9"/>
      <c r="F148" s="8"/>
      <c r="G148" s="10"/>
      <c r="H148" s="132"/>
      <c r="I148" s="140"/>
      <c r="J148" s="9"/>
      <c r="K148" s="140"/>
      <c r="L148" s="9"/>
      <c r="M148" s="8"/>
      <c r="N148" s="132"/>
      <c r="O148" s="140"/>
      <c r="P148" s="9"/>
      <c r="Q148" s="140"/>
      <c r="R148" s="9"/>
      <c r="S148" s="8"/>
      <c r="T148" s="8"/>
      <c r="U148" s="8"/>
      <c r="V148" s="132"/>
      <c r="W148" s="140"/>
      <c r="X148" s="140"/>
      <c r="Y148" s="9"/>
      <c r="Z148" s="8"/>
      <c r="AA148" s="2"/>
      <c r="AB148" s="2"/>
    </row>
    <row r="149" spans="1:28" outlineLevel="1" x14ac:dyDescent="0.15">
      <c r="A149" s="8"/>
      <c r="B149" s="8"/>
      <c r="C149" s="8"/>
      <c r="D149" s="8"/>
      <c r="E149" s="9"/>
      <c r="F149" s="8"/>
      <c r="G149" s="10"/>
      <c r="H149" s="132"/>
      <c r="I149" s="140"/>
      <c r="J149" s="9"/>
      <c r="K149" s="140"/>
      <c r="L149" s="9"/>
      <c r="M149" s="8"/>
      <c r="N149" s="132"/>
      <c r="O149" s="140"/>
      <c r="P149" s="9"/>
      <c r="Q149" s="140"/>
      <c r="R149" s="9"/>
      <c r="S149" s="8"/>
      <c r="T149" s="8"/>
      <c r="U149" s="8"/>
      <c r="V149" s="132"/>
      <c r="W149" s="140"/>
      <c r="X149" s="140"/>
      <c r="Y149" s="9"/>
      <c r="Z149" s="8"/>
      <c r="AA149" s="2"/>
      <c r="AB149" s="2"/>
    </row>
    <row r="150" spans="1:28" outlineLevel="1" x14ac:dyDescent="0.15">
      <c r="A150" s="8"/>
      <c r="B150" s="8"/>
      <c r="C150" s="8"/>
      <c r="D150" s="8"/>
      <c r="E150" s="9"/>
      <c r="F150" s="8"/>
      <c r="G150" s="10"/>
      <c r="H150" s="132"/>
      <c r="I150" s="140"/>
      <c r="J150" s="9"/>
      <c r="K150" s="140"/>
      <c r="L150" s="9"/>
      <c r="M150" s="8"/>
      <c r="N150" s="132"/>
      <c r="O150" s="140"/>
      <c r="P150" s="9"/>
      <c r="Q150" s="140"/>
      <c r="R150" s="9"/>
      <c r="S150" s="8"/>
      <c r="T150" s="8"/>
      <c r="U150" s="8"/>
      <c r="V150" s="132"/>
      <c r="W150" s="140"/>
      <c r="X150" s="140"/>
      <c r="Y150" s="9"/>
      <c r="Z150" s="8"/>
      <c r="AA150" s="2"/>
      <c r="AB150" s="2"/>
    </row>
    <row r="151" spans="1:28" outlineLevel="1" x14ac:dyDescent="0.15">
      <c r="A151" s="8"/>
      <c r="B151" s="8"/>
      <c r="C151" s="8"/>
      <c r="D151" s="8"/>
      <c r="E151" s="9"/>
      <c r="F151" s="8"/>
      <c r="G151" s="10"/>
      <c r="H151" s="132"/>
      <c r="I151" s="140"/>
      <c r="J151" s="9"/>
      <c r="K151" s="140"/>
      <c r="L151" s="9"/>
      <c r="M151" s="8"/>
      <c r="N151" s="132"/>
      <c r="O151" s="140"/>
      <c r="P151" s="9"/>
      <c r="Q151" s="140"/>
      <c r="R151" s="9"/>
      <c r="S151" s="8"/>
      <c r="T151" s="8"/>
      <c r="U151" s="8"/>
      <c r="V151" s="132"/>
      <c r="W151" s="140"/>
      <c r="X151" s="140"/>
      <c r="Y151" s="9"/>
      <c r="Z151" s="8"/>
      <c r="AA151" s="2"/>
      <c r="AB151" s="2"/>
    </row>
    <row r="152" spans="1:28" outlineLevel="1" x14ac:dyDescent="0.15">
      <c r="A152" s="8"/>
      <c r="B152" s="8"/>
      <c r="C152" s="8"/>
      <c r="D152" s="8"/>
      <c r="E152" s="9"/>
      <c r="F152" s="8"/>
      <c r="G152" s="10"/>
      <c r="H152" s="132"/>
      <c r="I152" s="140"/>
      <c r="J152" s="9"/>
      <c r="K152" s="140"/>
      <c r="L152" s="9"/>
      <c r="M152" s="8"/>
      <c r="N152" s="132"/>
      <c r="O152" s="140"/>
      <c r="P152" s="9"/>
      <c r="Q152" s="140"/>
      <c r="R152" s="9"/>
      <c r="S152" s="8"/>
      <c r="T152" s="8"/>
      <c r="U152" s="8"/>
      <c r="V152" s="132"/>
      <c r="W152" s="140"/>
      <c r="X152" s="140"/>
      <c r="Y152" s="9"/>
      <c r="Z152" s="8"/>
      <c r="AA152" s="2"/>
      <c r="AB152" s="2"/>
    </row>
    <row r="153" spans="1:28" outlineLevel="1" x14ac:dyDescent="0.15">
      <c r="A153" s="8"/>
      <c r="B153" s="8"/>
      <c r="C153" s="8"/>
      <c r="D153" s="8"/>
      <c r="E153" s="9"/>
      <c r="F153" s="8"/>
      <c r="G153" s="10"/>
      <c r="H153" s="132"/>
      <c r="I153" s="140"/>
      <c r="J153" s="9"/>
      <c r="K153" s="140"/>
      <c r="L153" s="9"/>
      <c r="M153" s="8"/>
      <c r="N153" s="132"/>
      <c r="O153" s="140"/>
      <c r="P153" s="9"/>
      <c r="Q153" s="140"/>
      <c r="R153" s="9"/>
      <c r="S153" s="8"/>
      <c r="T153" s="8"/>
      <c r="U153" s="8"/>
      <c r="V153" s="132"/>
      <c r="W153" s="140"/>
      <c r="X153" s="140"/>
      <c r="Y153" s="9"/>
      <c r="Z153" s="8"/>
      <c r="AA153" s="2"/>
      <c r="AB153" s="2"/>
    </row>
    <row r="154" spans="1:28" outlineLevel="1" x14ac:dyDescent="0.15">
      <c r="A154" s="8"/>
      <c r="B154" s="8"/>
      <c r="C154" s="8"/>
      <c r="D154" s="8"/>
      <c r="E154" s="9"/>
      <c r="F154" s="8"/>
      <c r="G154" s="10"/>
      <c r="H154" s="132"/>
      <c r="I154" s="140"/>
      <c r="J154" s="9"/>
      <c r="K154" s="140"/>
      <c r="L154" s="9"/>
      <c r="M154" s="8"/>
      <c r="N154" s="132"/>
      <c r="O154" s="140"/>
      <c r="P154" s="9"/>
      <c r="Q154" s="140"/>
      <c r="R154" s="9"/>
      <c r="S154" s="8"/>
      <c r="T154" s="8"/>
      <c r="U154" s="8"/>
      <c r="V154" s="132"/>
      <c r="W154" s="140"/>
      <c r="X154" s="140"/>
      <c r="Y154" s="9"/>
      <c r="Z154" s="8"/>
      <c r="AA154" s="2"/>
      <c r="AB154" s="2"/>
    </row>
    <row r="155" spans="1:28" outlineLevel="1" x14ac:dyDescent="0.15">
      <c r="A155" s="8"/>
      <c r="B155" s="8"/>
      <c r="C155" s="8"/>
      <c r="D155" s="8"/>
      <c r="E155" s="9"/>
      <c r="F155" s="8"/>
      <c r="G155" s="10"/>
      <c r="H155" s="132"/>
      <c r="I155" s="140"/>
      <c r="J155" s="9"/>
      <c r="K155" s="140"/>
      <c r="L155" s="9"/>
      <c r="M155" s="8"/>
      <c r="N155" s="132"/>
      <c r="O155" s="140"/>
      <c r="P155" s="9"/>
      <c r="Q155" s="140"/>
      <c r="R155" s="9"/>
      <c r="S155" s="8"/>
      <c r="T155" s="8"/>
      <c r="U155" s="8"/>
      <c r="V155" s="132"/>
      <c r="W155" s="140"/>
      <c r="X155" s="140"/>
      <c r="Y155" s="9"/>
      <c r="Z155" s="8"/>
      <c r="AA155" s="2"/>
      <c r="AB155" s="2"/>
    </row>
    <row r="156" spans="1:28" outlineLevel="1" x14ac:dyDescent="0.15">
      <c r="A156" s="8"/>
      <c r="B156" s="8"/>
      <c r="C156" s="8"/>
      <c r="D156" s="8"/>
      <c r="E156" s="9"/>
      <c r="F156" s="8"/>
      <c r="G156" s="10"/>
      <c r="H156" s="132"/>
      <c r="I156" s="140"/>
      <c r="J156" s="9"/>
      <c r="K156" s="140"/>
      <c r="L156" s="9"/>
      <c r="M156" s="8"/>
      <c r="N156" s="132"/>
      <c r="O156" s="140"/>
      <c r="P156" s="9"/>
      <c r="Q156" s="140"/>
      <c r="R156" s="9"/>
      <c r="S156" s="8"/>
      <c r="T156" s="8"/>
      <c r="U156" s="8"/>
      <c r="V156" s="132"/>
      <c r="W156" s="140"/>
      <c r="X156" s="140"/>
      <c r="Y156" s="9"/>
      <c r="Z156" s="8"/>
      <c r="AA156" s="2"/>
      <c r="AB156" s="2"/>
    </row>
    <row r="157" spans="1:28" outlineLevel="1" x14ac:dyDescent="0.15">
      <c r="A157" s="8"/>
      <c r="B157" s="8"/>
      <c r="C157" s="8"/>
      <c r="D157" s="8"/>
      <c r="E157" s="9"/>
      <c r="F157" s="8"/>
      <c r="G157" s="10"/>
      <c r="H157" s="132"/>
      <c r="I157" s="140"/>
      <c r="J157" s="9"/>
      <c r="K157" s="140"/>
      <c r="L157" s="9"/>
      <c r="M157" s="8"/>
      <c r="N157" s="132"/>
      <c r="O157" s="140"/>
      <c r="P157" s="9"/>
      <c r="Q157" s="140"/>
      <c r="R157" s="9"/>
      <c r="S157" s="8"/>
      <c r="T157" s="8"/>
      <c r="U157" s="8"/>
      <c r="V157" s="132"/>
      <c r="W157" s="140"/>
      <c r="X157" s="140"/>
      <c r="Y157" s="9"/>
      <c r="Z157" s="8"/>
      <c r="AA157" s="2"/>
      <c r="AB157" s="2"/>
    </row>
    <row r="158" spans="1:28" outlineLevel="1" x14ac:dyDescent="0.15">
      <c r="A158" s="8"/>
      <c r="B158" s="8"/>
      <c r="C158" s="8"/>
      <c r="D158" s="8"/>
      <c r="E158" s="9"/>
      <c r="F158" s="8"/>
      <c r="G158" s="10"/>
      <c r="H158" s="132"/>
      <c r="I158" s="140"/>
      <c r="J158" s="9"/>
      <c r="K158" s="140"/>
      <c r="L158" s="9"/>
      <c r="M158" s="8"/>
      <c r="N158" s="132"/>
      <c r="O158" s="140"/>
      <c r="P158" s="9"/>
      <c r="Q158" s="140"/>
      <c r="R158" s="9"/>
      <c r="S158" s="8"/>
      <c r="T158" s="8"/>
      <c r="U158" s="8"/>
      <c r="V158" s="132"/>
      <c r="W158" s="140"/>
      <c r="X158" s="140"/>
      <c r="Y158" s="9"/>
      <c r="Z158" s="8"/>
      <c r="AA158" s="2"/>
      <c r="AB158" s="2"/>
    </row>
    <row r="159" spans="1:28" outlineLevel="1" x14ac:dyDescent="0.15">
      <c r="A159" s="8"/>
      <c r="B159" s="8"/>
      <c r="C159" s="8"/>
      <c r="D159" s="8"/>
      <c r="E159" s="9"/>
      <c r="F159" s="8"/>
      <c r="G159" s="10"/>
      <c r="H159" s="132"/>
      <c r="I159" s="140"/>
      <c r="J159" s="9"/>
      <c r="K159" s="140"/>
      <c r="L159" s="9"/>
      <c r="M159" s="8"/>
      <c r="N159" s="132"/>
      <c r="O159" s="140"/>
      <c r="P159" s="9"/>
      <c r="Q159" s="140"/>
      <c r="R159" s="9"/>
      <c r="S159" s="8"/>
      <c r="T159" s="8"/>
      <c r="U159" s="8"/>
      <c r="V159" s="132"/>
      <c r="W159" s="140"/>
      <c r="X159" s="140"/>
      <c r="Y159" s="9"/>
      <c r="Z159" s="8"/>
      <c r="AA159" s="2"/>
      <c r="AB159" s="2"/>
    </row>
    <row r="160" spans="1:28" outlineLevel="1" x14ac:dyDescent="0.15">
      <c r="A160" s="8"/>
      <c r="B160" s="8"/>
      <c r="C160" s="8"/>
      <c r="D160" s="8"/>
      <c r="E160" s="9"/>
      <c r="F160" s="8"/>
      <c r="G160" s="10"/>
      <c r="H160" s="132"/>
      <c r="I160" s="140"/>
      <c r="J160" s="9"/>
      <c r="K160" s="140"/>
      <c r="L160" s="9"/>
      <c r="M160" s="8"/>
      <c r="N160" s="132"/>
      <c r="O160" s="140"/>
      <c r="P160" s="9"/>
      <c r="Q160" s="140"/>
      <c r="R160" s="9"/>
      <c r="S160" s="8"/>
      <c r="T160" s="8"/>
      <c r="U160" s="8"/>
      <c r="V160" s="132"/>
      <c r="W160" s="140"/>
      <c r="X160" s="140"/>
      <c r="Y160" s="9"/>
      <c r="Z160" s="8"/>
      <c r="AA160" s="2"/>
      <c r="AB160" s="2"/>
    </row>
    <row r="161" spans="1:28" outlineLevel="1" x14ac:dyDescent="0.15">
      <c r="A161" s="8"/>
      <c r="B161" s="8"/>
      <c r="C161" s="8"/>
      <c r="D161" s="8"/>
      <c r="E161" s="9"/>
      <c r="F161" s="8"/>
      <c r="G161" s="10"/>
      <c r="H161" s="132"/>
      <c r="I161" s="140"/>
      <c r="J161" s="9"/>
      <c r="K161" s="140"/>
      <c r="L161" s="9"/>
      <c r="M161" s="8"/>
      <c r="N161" s="132"/>
      <c r="O161" s="140"/>
      <c r="P161" s="9"/>
      <c r="Q161" s="140"/>
      <c r="R161" s="9"/>
      <c r="S161" s="8"/>
      <c r="T161" s="8"/>
      <c r="U161" s="8"/>
      <c r="V161" s="132"/>
      <c r="W161" s="140"/>
      <c r="X161" s="140"/>
      <c r="Y161" s="9"/>
      <c r="Z161" s="8"/>
      <c r="AA161" s="2"/>
      <c r="AB161" s="2"/>
    </row>
    <row r="162" spans="1:28" outlineLevel="1" x14ac:dyDescent="0.15">
      <c r="A162" s="8"/>
      <c r="B162" s="8"/>
      <c r="C162" s="8"/>
      <c r="D162" s="8"/>
      <c r="E162" s="9"/>
      <c r="F162" s="8"/>
      <c r="G162" s="10"/>
      <c r="H162" s="132"/>
      <c r="I162" s="140"/>
      <c r="J162" s="9"/>
      <c r="K162" s="140"/>
      <c r="L162" s="9"/>
      <c r="M162" s="8"/>
      <c r="N162" s="132"/>
      <c r="O162" s="140"/>
      <c r="P162" s="9"/>
      <c r="Q162" s="140"/>
      <c r="R162" s="9"/>
      <c r="S162" s="8"/>
      <c r="T162" s="8"/>
      <c r="U162" s="8"/>
      <c r="V162" s="132"/>
      <c r="W162" s="140"/>
      <c r="X162" s="140"/>
      <c r="Y162" s="9"/>
      <c r="Z162" s="8"/>
      <c r="AA162" s="2"/>
      <c r="AB162" s="2"/>
    </row>
    <row r="163" spans="1:28" outlineLevel="1" x14ac:dyDescent="0.15">
      <c r="A163" s="8"/>
      <c r="B163" s="8"/>
      <c r="C163" s="8"/>
      <c r="D163" s="8"/>
      <c r="E163" s="9"/>
      <c r="F163" s="8"/>
      <c r="G163" s="10"/>
      <c r="H163" s="132"/>
      <c r="I163" s="140"/>
      <c r="J163" s="9"/>
      <c r="K163" s="140"/>
      <c r="L163" s="9"/>
      <c r="M163" s="8"/>
      <c r="N163" s="132"/>
      <c r="O163" s="140"/>
      <c r="P163" s="9"/>
      <c r="Q163" s="140"/>
      <c r="R163" s="9"/>
      <c r="S163" s="8"/>
      <c r="T163" s="8"/>
      <c r="U163" s="8"/>
      <c r="V163" s="132"/>
      <c r="W163" s="140"/>
      <c r="X163" s="140"/>
      <c r="Y163" s="9"/>
      <c r="Z163" s="8"/>
      <c r="AA163" s="2"/>
      <c r="AB163" s="2"/>
    </row>
    <row r="164" spans="1:28" outlineLevel="1" x14ac:dyDescent="0.15">
      <c r="A164" s="8"/>
      <c r="B164" s="8"/>
      <c r="C164" s="8"/>
      <c r="D164" s="8"/>
      <c r="E164" s="9"/>
      <c r="F164" s="8"/>
      <c r="G164" s="10"/>
      <c r="H164" s="132"/>
      <c r="I164" s="140"/>
      <c r="J164" s="9"/>
      <c r="K164" s="140"/>
      <c r="L164" s="9"/>
      <c r="M164" s="8"/>
      <c r="N164" s="132"/>
      <c r="O164" s="140"/>
      <c r="P164" s="9"/>
      <c r="Q164" s="140"/>
      <c r="R164" s="9"/>
      <c r="S164" s="8"/>
      <c r="T164" s="8"/>
      <c r="U164" s="8"/>
      <c r="V164" s="132"/>
      <c r="W164" s="140"/>
      <c r="X164" s="140"/>
      <c r="Y164" s="9"/>
      <c r="Z164" s="8"/>
      <c r="AA164" s="2"/>
      <c r="AB164" s="2"/>
    </row>
    <row r="165" spans="1:28" outlineLevel="1" x14ac:dyDescent="0.15">
      <c r="A165" s="8"/>
      <c r="B165" s="8"/>
      <c r="C165" s="8"/>
      <c r="D165" s="8"/>
      <c r="E165" s="9"/>
      <c r="F165" s="8"/>
      <c r="G165" s="10"/>
      <c r="H165" s="132"/>
      <c r="I165" s="140"/>
      <c r="J165" s="9"/>
      <c r="K165" s="140"/>
      <c r="L165" s="9"/>
      <c r="M165" s="8"/>
      <c r="N165" s="132"/>
      <c r="O165" s="140"/>
      <c r="P165" s="9"/>
      <c r="Q165" s="140"/>
      <c r="R165" s="9"/>
      <c r="S165" s="8"/>
      <c r="T165" s="8"/>
      <c r="U165" s="8"/>
      <c r="V165" s="132"/>
      <c r="W165" s="140"/>
      <c r="X165" s="140"/>
      <c r="Y165" s="9"/>
      <c r="Z165" s="8"/>
      <c r="AA165" s="2"/>
      <c r="AB165" s="2"/>
    </row>
    <row r="166" spans="1:28" outlineLevel="1" x14ac:dyDescent="0.15">
      <c r="A166" s="8"/>
      <c r="B166" s="8"/>
      <c r="C166" s="8"/>
      <c r="D166" s="8"/>
      <c r="E166" s="9"/>
      <c r="F166" s="8"/>
      <c r="G166" s="10"/>
      <c r="H166" s="132"/>
      <c r="I166" s="140"/>
      <c r="J166" s="9"/>
      <c r="K166" s="140"/>
      <c r="L166" s="9"/>
      <c r="M166" s="8"/>
      <c r="N166" s="132"/>
      <c r="O166" s="140"/>
      <c r="P166" s="9"/>
      <c r="Q166" s="140"/>
      <c r="R166" s="9"/>
      <c r="S166" s="8"/>
      <c r="T166" s="8"/>
      <c r="U166" s="8"/>
      <c r="V166" s="132"/>
      <c r="W166" s="140"/>
      <c r="X166" s="140"/>
      <c r="Y166" s="9"/>
      <c r="Z166" s="8"/>
      <c r="AA166" s="2"/>
      <c r="AB166" s="2"/>
    </row>
    <row r="167" spans="1:28" outlineLevel="1" x14ac:dyDescent="0.15">
      <c r="A167" s="8"/>
      <c r="B167" s="8"/>
      <c r="C167" s="8"/>
      <c r="D167" s="8"/>
      <c r="E167" s="9"/>
      <c r="F167" s="8"/>
      <c r="G167" s="10"/>
      <c r="H167" s="132"/>
      <c r="I167" s="140"/>
      <c r="J167" s="9"/>
      <c r="K167" s="140"/>
      <c r="L167" s="9"/>
      <c r="M167" s="8"/>
      <c r="N167" s="132"/>
      <c r="O167" s="140"/>
      <c r="P167" s="9"/>
      <c r="Q167" s="140"/>
      <c r="R167" s="9"/>
      <c r="S167" s="8"/>
      <c r="T167" s="8"/>
      <c r="U167" s="8"/>
      <c r="V167" s="132"/>
      <c r="W167" s="140"/>
      <c r="X167" s="140"/>
      <c r="Y167" s="9"/>
      <c r="Z167" s="8"/>
      <c r="AA167" s="2"/>
      <c r="AB167" s="2"/>
    </row>
    <row r="168" spans="1:28" outlineLevel="1" x14ac:dyDescent="0.15">
      <c r="A168" s="8"/>
      <c r="B168" s="8"/>
      <c r="C168" s="8"/>
      <c r="D168" s="8"/>
      <c r="E168" s="9"/>
      <c r="F168" s="8"/>
      <c r="G168" s="10"/>
      <c r="H168" s="132"/>
      <c r="I168" s="140"/>
      <c r="J168" s="9"/>
      <c r="K168" s="140"/>
      <c r="L168" s="9"/>
      <c r="M168" s="8"/>
      <c r="N168" s="132"/>
      <c r="O168" s="140"/>
      <c r="P168" s="9"/>
      <c r="Q168" s="140"/>
      <c r="R168" s="9"/>
      <c r="S168" s="8"/>
      <c r="T168" s="8"/>
      <c r="U168" s="8"/>
      <c r="V168" s="132"/>
      <c r="W168" s="140"/>
      <c r="X168" s="140"/>
      <c r="Y168" s="9"/>
      <c r="Z168" s="8"/>
      <c r="AA168" s="2"/>
      <c r="AB168" s="2"/>
    </row>
    <row r="169" spans="1:28" outlineLevel="1" x14ac:dyDescent="0.15">
      <c r="A169" s="8"/>
      <c r="B169" s="8"/>
      <c r="C169" s="8"/>
      <c r="D169" s="8"/>
      <c r="E169" s="9"/>
      <c r="F169" s="8"/>
      <c r="G169" s="10"/>
      <c r="H169" s="132"/>
      <c r="I169" s="140"/>
      <c r="J169" s="9"/>
      <c r="K169" s="140"/>
      <c r="L169" s="9"/>
      <c r="M169" s="8"/>
      <c r="N169" s="132"/>
      <c r="O169" s="140"/>
      <c r="P169" s="9"/>
      <c r="Q169" s="140"/>
      <c r="R169" s="9"/>
      <c r="S169" s="8"/>
      <c r="T169" s="8"/>
      <c r="U169" s="8"/>
      <c r="V169" s="132"/>
      <c r="W169" s="140"/>
      <c r="X169" s="140"/>
      <c r="Y169" s="9"/>
      <c r="Z169" s="8"/>
      <c r="AA169" s="2"/>
      <c r="AB169" s="2"/>
    </row>
    <row r="170" spans="1:28" outlineLevel="1" x14ac:dyDescent="0.15">
      <c r="A170" s="8"/>
      <c r="B170" s="8"/>
      <c r="C170" s="8"/>
      <c r="D170" s="8"/>
      <c r="E170" s="9"/>
      <c r="F170" s="8"/>
      <c r="G170" s="10"/>
      <c r="H170" s="132"/>
      <c r="I170" s="140"/>
      <c r="J170" s="9"/>
      <c r="K170" s="140"/>
      <c r="L170" s="9"/>
      <c r="M170" s="8"/>
      <c r="N170" s="132"/>
      <c r="O170" s="140"/>
      <c r="P170" s="9"/>
      <c r="Q170" s="140"/>
      <c r="R170" s="9"/>
      <c r="S170" s="8"/>
      <c r="T170" s="8"/>
      <c r="U170" s="8"/>
      <c r="V170" s="132"/>
      <c r="W170" s="140"/>
      <c r="X170" s="140"/>
      <c r="Y170" s="9"/>
      <c r="Z170" s="8"/>
      <c r="AA170" s="2"/>
      <c r="AB170" s="2"/>
    </row>
    <row r="171" spans="1:28" outlineLevel="1" x14ac:dyDescent="0.15">
      <c r="A171" s="8"/>
      <c r="B171" s="8"/>
      <c r="C171" s="8"/>
      <c r="D171" s="8"/>
      <c r="E171" s="9"/>
      <c r="F171" s="8"/>
      <c r="G171" s="10"/>
      <c r="H171" s="132"/>
      <c r="I171" s="140"/>
      <c r="J171" s="9"/>
      <c r="K171" s="140"/>
      <c r="L171" s="9"/>
      <c r="M171" s="8"/>
      <c r="N171" s="132"/>
      <c r="O171" s="140"/>
      <c r="P171" s="9"/>
      <c r="Q171" s="140"/>
      <c r="R171" s="9"/>
      <c r="S171" s="8"/>
      <c r="T171" s="8"/>
      <c r="U171" s="8"/>
      <c r="V171" s="132"/>
      <c r="W171" s="140"/>
      <c r="X171" s="140"/>
      <c r="Y171" s="9"/>
      <c r="Z171" s="8"/>
      <c r="AA171" s="2"/>
      <c r="AB171" s="2"/>
    </row>
    <row r="172" spans="1:28" outlineLevel="1" x14ac:dyDescent="0.15">
      <c r="A172" s="8"/>
      <c r="B172" s="8"/>
      <c r="C172" s="8"/>
      <c r="D172" s="8"/>
      <c r="E172" s="9"/>
      <c r="F172" s="8"/>
      <c r="G172" s="10"/>
      <c r="H172" s="132"/>
      <c r="I172" s="140"/>
      <c r="J172" s="9"/>
      <c r="K172" s="140"/>
      <c r="L172" s="9"/>
      <c r="M172" s="8"/>
      <c r="N172" s="132"/>
      <c r="O172" s="140"/>
      <c r="P172" s="9"/>
      <c r="Q172" s="140"/>
      <c r="R172" s="9"/>
      <c r="S172" s="8"/>
      <c r="T172" s="8"/>
      <c r="U172" s="8"/>
      <c r="V172" s="132"/>
      <c r="W172" s="140"/>
      <c r="X172" s="140"/>
      <c r="Y172" s="9"/>
      <c r="Z172" s="8"/>
      <c r="AA172" s="2"/>
      <c r="AB172" s="2"/>
    </row>
    <row r="173" spans="1:28" outlineLevel="1" x14ac:dyDescent="0.15">
      <c r="A173" s="8"/>
      <c r="B173" s="8"/>
      <c r="C173" s="8"/>
      <c r="D173" s="8"/>
      <c r="E173" s="9"/>
      <c r="F173" s="8"/>
      <c r="G173" s="10"/>
      <c r="H173" s="132"/>
      <c r="I173" s="140"/>
      <c r="J173" s="9"/>
      <c r="K173" s="140"/>
      <c r="L173" s="9"/>
      <c r="M173" s="8"/>
      <c r="N173" s="132"/>
      <c r="O173" s="140"/>
      <c r="P173" s="9"/>
      <c r="Q173" s="140"/>
      <c r="R173" s="9"/>
      <c r="S173" s="8"/>
      <c r="T173" s="8"/>
      <c r="U173" s="8"/>
      <c r="V173" s="132"/>
      <c r="W173" s="140"/>
      <c r="X173" s="140"/>
      <c r="Y173" s="9"/>
      <c r="Z173" s="8"/>
      <c r="AA173" s="2"/>
      <c r="AB173" s="2"/>
    </row>
    <row r="174" spans="1:28" outlineLevel="1" x14ac:dyDescent="0.15">
      <c r="A174" s="8"/>
      <c r="B174" s="8"/>
      <c r="C174" s="8"/>
      <c r="D174" s="8"/>
      <c r="E174" s="9"/>
      <c r="F174" s="8"/>
      <c r="G174" s="10"/>
      <c r="H174" s="132"/>
      <c r="I174" s="140"/>
      <c r="J174" s="9"/>
      <c r="K174" s="140"/>
      <c r="L174" s="9"/>
      <c r="M174" s="8"/>
      <c r="N174" s="132"/>
      <c r="O174" s="140"/>
      <c r="P174" s="9"/>
      <c r="Q174" s="140"/>
      <c r="R174" s="9"/>
      <c r="S174" s="8"/>
      <c r="T174" s="8"/>
      <c r="U174" s="8"/>
      <c r="V174" s="132"/>
      <c r="W174" s="140"/>
      <c r="X174" s="140"/>
      <c r="Y174" s="9"/>
      <c r="Z174" s="8"/>
      <c r="AA174" s="2"/>
      <c r="AB174" s="2"/>
    </row>
    <row r="175" spans="1:28" outlineLevel="1" x14ac:dyDescent="0.15">
      <c r="A175" s="8"/>
      <c r="B175" s="8"/>
      <c r="C175" s="8"/>
      <c r="D175" s="8"/>
      <c r="E175" s="9"/>
      <c r="F175" s="8"/>
      <c r="G175" s="10"/>
      <c r="H175" s="132"/>
      <c r="I175" s="140"/>
      <c r="J175" s="9"/>
      <c r="K175" s="140"/>
      <c r="L175" s="9"/>
      <c r="M175" s="8"/>
      <c r="N175" s="132"/>
      <c r="O175" s="140"/>
      <c r="P175" s="9"/>
      <c r="Q175" s="140"/>
      <c r="R175" s="9"/>
      <c r="S175" s="8"/>
      <c r="T175" s="8"/>
      <c r="U175" s="8"/>
      <c r="V175" s="132"/>
      <c r="W175" s="140"/>
      <c r="X175" s="140"/>
      <c r="Y175" s="9"/>
      <c r="Z175" s="8"/>
      <c r="AA175" s="2"/>
      <c r="AB175" s="2"/>
    </row>
    <row r="176" spans="1:28" outlineLevel="1" x14ac:dyDescent="0.15">
      <c r="A176" s="8"/>
      <c r="B176" s="8"/>
      <c r="C176" s="8"/>
      <c r="D176" s="8"/>
      <c r="E176" s="9"/>
      <c r="F176" s="8"/>
      <c r="G176" s="10"/>
      <c r="H176" s="132"/>
      <c r="I176" s="140"/>
      <c r="J176" s="9"/>
      <c r="K176" s="140"/>
      <c r="L176" s="9"/>
      <c r="M176" s="8"/>
      <c r="N176" s="132"/>
      <c r="O176" s="140"/>
      <c r="P176" s="9"/>
      <c r="Q176" s="140"/>
      <c r="R176" s="9"/>
      <c r="S176" s="8"/>
      <c r="T176" s="8"/>
      <c r="U176" s="8"/>
      <c r="V176" s="132"/>
      <c r="W176" s="140"/>
      <c r="X176" s="140"/>
      <c r="Y176" s="9"/>
      <c r="Z176" s="8"/>
      <c r="AA176" s="2"/>
      <c r="AB176" s="2"/>
    </row>
    <row r="177" spans="1:28" outlineLevel="1" x14ac:dyDescent="0.15">
      <c r="A177" s="8"/>
      <c r="B177" s="8"/>
      <c r="C177" s="8"/>
      <c r="D177" s="8"/>
      <c r="E177" s="9"/>
      <c r="F177" s="8"/>
      <c r="G177" s="10"/>
      <c r="H177" s="132"/>
      <c r="I177" s="140"/>
      <c r="J177" s="9"/>
      <c r="K177" s="140"/>
      <c r="L177" s="9"/>
      <c r="M177" s="8"/>
      <c r="N177" s="132"/>
      <c r="O177" s="140"/>
      <c r="P177" s="9"/>
      <c r="Q177" s="140"/>
      <c r="R177" s="9"/>
      <c r="S177" s="8"/>
      <c r="T177" s="8"/>
      <c r="U177" s="8"/>
      <c r="V177" s="132"/>
      <c r="W177" s="140"/>
      <c r="X177" s="140"/>
      <c r="Y177" s="9"/>
      <c r="Z177" s="8"/>
      <c r="AA177" s="2"/>
      <c r="AB177" s="2"/>
    </row>
    <row r="178" spans="1:28" outlineLevel="1" x14ac:dyDescent="0.15">
      <c r="A178" s="8"/>
      <c r="B178" s="8"/>
      <c r="C178" s="8"/>
      <c r="D178" s="8"/>
      <c r="E178" s="9"/>
      <c r="F178" s="8"/>
      <c r="G178" s="10"/>
      <c r="H178" s="132"/>
      <c r="I178" s="140"/>
      <c r="J178" s="9"/>
      <c r="K178" s="140"/>
      <c r="L178" s="9"/>
      <c r="M178" s="8"/>
      <c r="N178" s="132"/>
      <c r="O178" s="140"/>
      <c r="P178" s="9"/>
      <c r="Q178" s="140"/>
      <c r="R178" s="9"/>
      <c r="S178" s="8"/>
      <c r="T178" s="8"/>
      <c r="U178" s="8"/>
      <c r="V178" s="132"/>
      <c r="W178" s="140"/>
      <c r="X178" s="140"/>
      <c r="Y178" s="9"/>
      <c r="Z178" s="8"/>
      <c r="AA178" s="2"/>
      <c r="AB178" s="2"/>
    </row>
    <row r="179" spans="1:28" outlineLevel="1" x14ac:dyDescent="0.15">
      <c r="A179" s="8"/>
      <c r="B179" s="8"/>
      <c r="C179" s="8"/>
      <c r="D179" s="8"/>
      <c r="E179" s="9"/>
      <c r="F179" s="8"/>
      <c r="G179" s="10"/>
      <c r="H179" s="132"/>
      <c r="I179" s="140"/>
      <c r="J179" s="9"/>
      <c r="K179" s="140"/>
      <c r="L179" s="9"/>
      <c r="M179" s="8"/>
      <c r="N179" s="132"/>
      <c r="O179" s="140"/>
      <c r="P179" s="9"/>
      <c r="Q179" s="140"/>
      <c r="R179" s="9"/>
      <c r="S179" s="8"/>
      <c r="T179" s="8"/>
      <c r="U179" s="8"/>
      <c r="V179" s="132"/>
      <c r="W179" s="140"/>
      <c r="X179" s="140"/>
      <c r="Y179" s="9"/>
      <c r="Z179" s="8"/>
      <c r="AA179" s="2"/>
      <c r="AB179" s="2"/>
    </row>
    <row r="180" spans="1:28" outlineLevel="1" x14ac:dyDescent="0.15">
      <c r="A180" s="8"/>
      <c r="B180" s="8"/>
      <c r="C180" s="8"/>
      <c r="D180" s="8"/>
      <c r="E180" s="9"/>
      <c r="F180" s="8"/>
      <c r="G180" s="10"/>
      <c r="H180" s="132"/>
      <c r="I180" s="140"/>
      <c r="J180" s="9"/>
      <c r="K180" s="140"/>
      <c r="L180" s="9"/>
      <c r="M180" s="8"/>
      <c r="N180" s="132"/>
      <c r="O180" s="140"/>
      <c r="P180" s="9"/>
      <c r="Q180" s="140"/>
      <c r="R180" s="9"/>
      <c r="S180" s="8"/>
      <c r="T180" s="8"/>
      <c r="U180" s="8"/>
      <c r="V180" s="132"/>
      <c r="W180" s="140"/>
      <c r="X180" s="140"/>
      <c r="Y180" s="9"/>
      <c r="Z180" s="8"/>
      <c r="AA180" s="2"/>
      <c r="AB180" s="2"/>
    </row>
    <row r="181" spans="1:28" outlineLevel="1" x14ac:dyDescent="0.15">
      <c r="A181" s="8"/>
      <c r="B181" s="8"/>
      <c r="C181" s="8"/>
      <c r="D181" s="8"/>
      <c r="E181" s="9"/>
      <c r="F181" s="8"/>
      <c r="G181" s="10"/>
      <c r="H181" s="132"/>
      <c r="I181" s="140"/>
      <c r="J181" s="9"/>
      <c r="K181" s="140"/>
      <c r="L181" s="9"/>
      <c r="M181" s="8"/>
      <c r="N181" s="132"/>
      <c r="O181" s="140"/>
      <c r="P181" s="9"/>
      <c r="Q181" s="140"/>
      <c r="R181" s="9"/>
      <c r="S181" s="8"/>
      <c r="T181" s="8"/>
      <c r="U181" s="8"/>
      <c r="V181" s="132"/>
      <c r="W181" s="140"/>
      <c r="X181" s="140"/>
      <c r="Y181" s="9"/>
      <c r="Z181" s="8"/>
      <c r="AA181" s="2"/>
      <c r="AB181" s="2"/>
    </row>
    <row r="182" spans="1:28" outlineLevel="1" x14ac:dyDescent="0.15">
      <c r="A182" s="8"/>
      <c r="B182" s="8"/>
      <c r="C182" s="8"/>
      <c r="D182" s="8"/>
      <c r="E182" s="9"/>
      <c r="F182" s="8"/>
      <c r="G182" s="10"/>
      <c r="H182" s="132"/>
      <c r="I182" s="140"/>
      <c r="J182" s="9"/>
      <c r="K182" s="140"/>
      <c r="L182" s="9"/>
      <c r="M182" s="8"/>
      <c r="N182" s="132"/>
      <c r="O182" s="140"/>
      <c r="P182" s="9"/>
      <c r="Q182" s="140"/>
      <c r="R182" s="9"/>
      <c r="S182" s="8"/>
      <c r="T182" s="8"/>
      <c r="U182" s="8"/>
      <c r="V182" s="132"/>
      <c r="W182" s="140"/>
      <c r="X182" s="140"/>
      <c r="Y182" s="9"/>
      <c r="Z182" s="8"/>
      <c r="AA182" s="2"/>
      <c r="AB182" s="2"/>
    </row>
    <row r="183" spans="1:28" outlineLevel="1" x14ac:dyDescent="0.15">
      <c r="A183" s="8"/>
      <c r="B183" s="8"/>
      <c r="C183" s="8"/>
      <c r="D183" s="8"/>
      <c r="E183" s="9"/>
      <c r="F183" s="8"/>
      <c r="G183" s="10"/>
      <c r="H183" s="132"/>
      <c r="I183" s="140"/>
      <c r="J183" s="9"/>
      <c r="K183" s="140"/>
      <c r="L183" s="9"/>
      <c r="M183" s="8"/>
      <c r="N183" s="132"/>
      <c r="O183" s="140"/>
      <c r="P183" s="9"/>
      <c r="Q183" s="140"/>
      <c r="R183" s="9"/>
      <c r="S183" s="8"/>
      <c r="T183" s="8"/>
      <c r="U183" s="8"/>
      <c r="V183" s="132"/>
      <c r="W183" s="140"/>
      <c r="X183" s="140"/>
      <c r="Y183" s="9"/>
      <c r="Z183" s="8"/>
      <c r="AA183" s="2"/>
      <c r="AB183" s="2"/>
    </row>
    <row r="184" spans="1:28" outlineLevel="1" x14ac:dyDescent="0.15">
      <c r="A184" s="8"/>
      <c r="B184" s="8"/>
      <c r="C184" s="8"/>
      <c r="D184" s="8"/>
      <c r="E184" s="9"/>
      <c r="F184" s="8"/>
      <c r="G184" s="10"/>
      <c r="H184" s="132"/>
      <c r="I184" s="140"/>
      <c r="J184" s="9"/>
      <c r="K184" s="140"/>
      <c r="L184" s="9"/>
      <c r="M184" s="8"/>
      <c r="N184" s="132"/>
      <c r="O184" s="140"/>
      <c r="P184" s="9"/>
      <c r="Q184" s="140"/>
      <c r="R184" s="9"/>
      <c r="S184" s="8"/>
      <c r="T184" s="8"/>
      <c r="U184" s="8"/>
      <c r="V184" s="132"/>
      <c r="W184" s="140"/>
      <c r="X184" s="140"/>
      <c r="Y184" s="9"/>
      <c r="Z184" s="8"/>
      <c r="AA184" s="2"/>
      <c r="AB184" s="2"/>
    </row>
    <row r="185" spans="1:28" outlineLevel="1" x14ac:dyDescent="0.15">
      <c r="A185" s="8"/>
      <c r="B185" s="8"/>
      <c r="C185" s="8"/>
      <c r="D185" s="8"/>
      <c r="E185" s="9"/>
      <c r="F185" s="8"/>
      <c r="G185" s="10"/>
      <c r="H185" s="132"/>
      <c r="I185" s="140"/>
      <c r="J185" s="9"/>
      <c r="K185" s="140"/>
      <c r="L185" s="9"/>
      <c r="M185" s="8"/>
      <c r="N185" s="132"/>
      <c r="O185" s="140"/>
      <c r="P185" s="9"/>
      <c r="Q185" s="140"/>
      <c r="R185" s="9"/>
      <c r="S185" s="8"/>
      <c r="T185" s="8"/>
      <c r="U185" s="8"/>
      <c r="V185" s="132"/>
      <c r="W185" s="140"/>
      <c r="X185" s="140"/>
      <c r="Y185" s="9"/>
      <c r="Z185" s="8"/>
      <c r="AA185" s="2"/>
      <c r="AB185" s="2"/>
    </row>
    <row r="186" spans="1:28" outlineLevel="1" x14ac:dyDescent="0.15">
      <c r="A186" s="8"/>
      <c r="B186" s="8"/>
      <c r="C186" s="8"/>
      <c r="D186" s="8"/>
      <c r="E186" s="9"/>
      <c r="F186" s="8"/>
      <c r="G186" s="10"/>
      <c r="H186" s="132"/>
      <c r="I186" s="140"/>
      <c r="J186" s="9"/>
      <c r="K186" s="140"/>
      <c r="L186" s="9"/>
      <c r="M186" s="8"/>
      <c r="N186" s="132"/>
      <c r="O186" s="140"/>
      <c r="P186" s="9"/>
      <c r="Q186" s="140"/>
      <c r="R186" s="9"/>
      <c r="S186" s="8"/>
      <c r="T186" s="8"/>
      <c r="U186" s="8"/>
      <c r="V186" s="132"/>
      <c r="W186" s="140"/>
      <c r="X186" s="140"/>
      <c r="Y186" s="9"/>
      <c r="Z186" s="8"/>
      <c r="AA186" s="2"/>
      <c r="AB186" s="2"/>
    </row>
    <row r="187" spans="1:28" outlineLevel="1" x14ac:dyDescent="0.15">
      <c r="A187" s="8"/>
      <c r="B187" s="8"/>
      <c r="C187" s="8"/>
      <c r="D187" s="8"/>
      <c r="E187" s="9"/>
      <c r="F187" s="8"/>
      <c r="G187" s="10"/>
      <c r="H187" s="132"/>
      <c r="I187" s="140"/>
      <c r="J187" s="9"/>
      <c r="K187" s="140"/>
      <c r="L187" s="9"/>
      <c r="M187" s="8"/>
      <c r="N187" s="132"/>
      <c r="O187" s="140"/>
      <c r="P187" s="9"/>
      <c r="Q187" s="140"/>
      <c r="R187" s="9"/>
      <c r="S187" s="8"/>
      <c r="T187" s="8"/>
      <c r="U187" s="8"/>
      <c r="V187" s="132"/>
      <c r="W187" s="140"/>
      <c r="X187" s="140"/>
      <c r="Y187" s="9"/>
      <c r="Z187" s="8"/>
      <c r="AA187" s="2"/>
      <c r="AB187" s="2"/>
    </row>
    <row r="188" spans="1:28" outlineLevel="1" x14ac:dyDescent="0.15">
      <c r="A188" s="8"/>
      <c r="B188" s="8"/>
      <c r="C188" s="8"/>
      <c r="D188" s="8"/>
      <c r="E188" s="9"/>
      <c r="F188" s="8"/>
      <c r="G188" s="10"/>
      <c r="H188" s="132"/>
      <c r="I188" s="140"/>
      <c r="J188" s="9"/>
      <c r="K188" s="140"/>
      <c r="L188" s="9"/>
      <c r="M188" s="8"/>
      <c r="N188" s="132"/>
      <c r="O188" s="140"/>
      <c r="P188" s="9"/>
      <c r="Q188" s="140"/>
      <c r="R188" s="9"/>
      <c r="S188" s="8"/>
      <c r="T188" s="8"/>
      <c r="U188" s="8"/>
      <c r="V188" s="132"/>
      <c r="W188" s="140"/>
      <c r="X188" s="140"/>
      <c r="Y188" s="9"/>
      <c r="Z188" s="8"/>
      <c r="AA188" s="2"/>
      <c r="AB188" s="2"/>
    </row>
    <row r="189" spans="1:28" outlineLevel="1" x14ac:dyDescent="0.15">
      <c r="A189" s="8"/>
      <c r="B189" s="8"/>
      <c r="C189" s="8"/>
      <c r="D189" s="8"/>
      <c r="E189" s="9"/>
      <c r="F189" s="8"/>
      <c r="G189" s="10"/>
      <c r="H189" s="132"/>
      <c r="I189" s="140"/>
      <c r="J189" s="9"/>
      <c r="K189" s="140"/>
      <c r="L189" s="9"/>
      <c r="M189" s="8"/>
      <c r="N189" s="132"/>
      <c r="O189" s="140"/>
      <c r="P189" s="9"/>
      <c r="Q189" s="140"/>
      <c r="R189" s="9"/>
      <c r="S189" s="8"/>
      <c r="T189" s="8"/>
      <c r="U189" s="8"/>
      <c r="V189" s="132"/>
      <c r="W189" s="140"/>
      <c r="X189" s="140"/>
      <c r="Y189" s="9"/>
      <c r="Z189" s="8"/>
      <c r="AA189" s="2"/>
      <c r="AB189" s="2"/>
    </row>
    <row r="190" spans="1:28" outlineLevel="1" x14ac:dyDescent="0.15">
      <c r="A190" s="8"/>
      <c r="B190" s="8"/>
      <c r="C190" s="8"/>
      <c r="D190" s="8"/>
      <c r="E190" s="9"/>
      <c r="F190" s="8"/>
      <c r="G190" s="10"/>
      <c r="H190" s="132"/>
      <c r="I190" s="140"/>
      <c r="J190" s="9"/>
      <c r="K190" s="140"/>
      <c r="L190" s="9"/>
      <c r="M190" s="8"/>
      <c r="N190" s="132"/>
      <c r="O190" s="140"/>
      <c r="P190" s="9"/>
      <c r="Q190" s="140"/>
      <c r="R190" s="9"/>
      <c r="S190" s="8"/>
      <c r="T190" s="8"/>
      <c r="U190" s="8"/>
      <c r="V190" s="132"/>
      <c r="W190" s="140"/>
      <c r="X190" s="140"/>
      <c r="Y190" s="9"/>
      <c r="Z190" s="8"/>
      <c r="AA190" s="2"/>
      <c r="AB190" s="2"/>
    </row>
    <row r="191" spans="1:28" outlineLevel="1" x14ac:dyDescent="0.15">
      <c r="A191" s="8"/>
      <c r="B191" s="8"/>
      <c r="C191" s="8"/>
      <c r="D191" s="8"/>
      <c r="E191" s="9"/>
      <c r="F191" s="8"/>
      <c r="G191" s="10"/>
      <c r="H191" s="132"/>
      <c r="I191" s="140"/>
      <c r="J191" s="9"/>
      <c r="K191" s="140"/>
      <c r="L191" s="9"/>
      <c r="M191" s="8"/>
      <c r="N191" s="132"/>
      <c r="O191" s="140"/>
      <c r="P191" s="9"/>
      <c r="Q191" s="140"/>
      <c r="R191" s="9"/>
      <c r="S191" s="8"/>
      <c r="T191" s="8"/>
      <c r="U191" s="8"/>
      <c r="V191" s="132"/>
      <c r="W191" s="140"/>
      <c r="X191" s="140"/>
      <c r="Y191" s="9"/>
      <c r="Z191" s="8"/>
      <c r="AA191" s="2"/>
      <c r="AB191" s="2"/>
    </row>
    <row r="192" spans="1:28" outlineLevel="1" x14ac:dyDescent="0.15">
      <c r="A192" s="8"/>
      <c r="B192" s="8"/>
      <c r="C192" s="8"/>
      <c r="D192" s="8"/>
      <c r="E192" s="9"/>
      <c r="F192" s="8"/>
      <c r="G192" s="10"/>
      <c r="H192" s="132"/>
      <c r="I192" s="140"/>
      <c r="J192" s="9"/>
      <c r="K192" s="140"/>
      <c r="L192" s="9"/>
      <c r="M192" s="8"/>
      <c r="N192" s="132"/>
      <c r="O192" s="140"/>
      <c r="P192" s="9"/>
      <c r="Q192" s="140"/>
      <c r="R192" s="9"/>
      <c r="S192" s="8"/>
      <c r="T192" s="8"/>
      <c r="U192" s="8"/>
      <c r="V192" s="132"/>
      <c r="W192" s="140"/>
      <c r="X192" s="140"/>
      <c r="Y192" s="9"/>
      <c r="Z192" s="8"/>
      <c r="AA192" s="2"/>
      <c r="AB192" s="2"/>
    </row>
    <row r="193" spans="1:28" outlineLevel="1" x14ac:dyDescent="0.15">
      <c r="A193" s="8"/>
      <c r="B193" s="8"/>
      <c r="C193" s="8"/>
      <c r="D193" s="8"/>
      <c r="E193" s="9"/>
      <c r="F193" s="8"/>
      <c r="G193" s="10"/>
      <c r="H193" s="132"/>
      <c r="I193" s="140"/>
      <c r="J193" s="9"/>
      <c r="K193" s="140"/>
      <c r="L193" s="9"/>
      <c r="M193" s="8"/>
      <c r="N193" s="132"/>
      <c r="O193" s="140"/>
      <c r="P193" s="9"/>
      <c r="Q193" s="140"/>
      <c r="R193" s="9"/>
      <c r="S193" s="8"/>
      <c r="T193" s="8"/>
      <c r="U193" s="8"/>
      <c r="V193" s="132"/>
      <c r="W193" s="140"/>
      <c r="X193" s="140"/>
      <c r="Y193" s="9"/>
      <c r="Z193" s="8"/>
      <c r="AA193" s="2"/>
      <c r="AB193" s="2"/>
    </row>
    <row r="194" spans="1:28" outlineLevel="1" x14ac:dyDescent="0.15">
      <c r="A194" s="8"/>
      <c r="B194" s="8"/>
      <c r="C194" s="8"/>
      <c r="D194" s="8"/>
      <c r="E194" s="9"/>
      <c r="F194" s="8"/>
      <c r="G194" s="10"/>
      <c r="H194" s="132"/>
      <c r="I194" s="140"/>
      <c r="J194" s="9"/>
      <c r="K194" s="140"/>
      <c r="L194" s="9"/>
      <c r="M194" s="8"/>
      <c r="N194" s="132"/>
      <c r="O194" s="140"/>
      <c r="P194" s="9"/>
      <c r="Q194" s="140"/>
      <c r="R194" s="9"/>
      <c r="S194" s="8"/>
      <c r="T194" s="8"/>
      <c r="U194" s="8"/>
      <c r="V194" s="132"/>
      <c r="W194" s="140"/>
      <c r="X194" s="140"/>
      <c r="Y194" s="9"/>
      <c r="Z194" s="8"/>
      <c r="AA194" s="2"/>
      <c r="AB194" s="2"/>
    </row>
    <row r="195" spans="1:28" outlineLevel="1" x14ac:dyDescent="0.15">
      <c r="A195" s="8"/>
      <c r="B195" s="8"/>
      <c r="C195" s="8"/>
      <c r="D195" s="8"/>
      <c r="E195" s="9"/>
      <c r="F195" s="8"/>
      <c r="G195" s="10"/>
      <c r="H195" s="132"/>
      <c r="I195" s="140"/>
      <c r="J195" s="9"/>
      <c r="K195" s="140"/>
      <c r="L195" s="9"/>
      <c r="M195" s="8"/>
      <c r="N195" s="132"/>
      <c r="O195" s="140"/>
      <c r="P195" s="9"/>
      <c r="Q195" s="140"/>
      <c r="R195" s="9"/>
      <c r="S195" s="8"/>
      <c r="T195" s="8"/>
      <c r="U195" s="8"/>
      <c r="V195" s="132"/>
      <c r="W195" s="140"/>
      <c r="X195" s="140"/>
      <c r="Y195" s="9"/>
      <c r="Z195" s="8"/>
      <c r="AA195" s="2"/>
      <c r="AB195" s="2"/>
    </row>
    <row r="196" spans="1:28" outlineLevel="1" x14ac:dyDescent="0.15">
      <c r="A196" s="8"/>
      <c r="B196" s="8"/>
      <c r="C196" s="8"/>
      <c r="D196" s="8"/>
      <c r="E196" s="9"/>
      <c r="F196" s="8"/>
      <c r="G196" s="10"/>
      <c r="H196" s="132"/>
      <c r="I196" s="140"/>
      <c r="J196" s="9"/>
      <c r="K196" s="140"/>
      <c r="L196" s="9"/>
      <c r="M196" s="8"/>
      <c r="N196" s="132"/>
      <c r="O196" s="140"/>
      <c r="P196" s="9"/>
      <c r="Q196" s="140"/>
      <c r="R196" s="9"/>
      <c r="S196" s="8"/>
      <c r="T196" s="8"/>
      <c r="U196" s="8"/>
      <c r="V196" s="132"/>
      <c r="W196" s="140"/>
      <c r="X196" s="140"/>
      <c r="Y196" s="9"/>
      <c r="Z196" s="8"/>
      <c r="AA196" s="2"/>
      <c r="AB196" s="2"/>
    </row>
    <row r="197" spans="1:28" outlineLevel="1" x14ac:dyDescent="0.15">
      <c r="A197" s="8"/>
      <c r="B197" s="8"/>
      <c r="C197" s="8"/>
      <c r="D197" s="8"/>
      <c r="E197" s="9"/>
      <c r="F197" s="8"/>
      <c r="G197" s="10"/>
      <c r="H197" s="132"/>
      <c r="I197" s="140"/>
      <c r="J197" s="9"/>
      <c r="K197" s="140"/>
      <c r="L197" s="9"/>
      <c r="M197" s="8"/>
      <c r="N197" s="132"/>
      <c r="O197" s="140"/>
      <c r="P197" s="9"/>
      <c r="Q197" s="140"/>
      <c r="R197" s="9"/>
      <c r="S197" s="8"/>
      <c r="T197" s="8"/>
      <c r="U197" s="8"/>
      <c r="V197" s="132"/>
      <c r="W197" s="140"/>
      <c r="X197" s="140"/>
      <c r="Y197" s="9"/>
      <c r="Z197" s="8"/>
      <c r="AA197" s="2"/>
      <c r="AB197" s="2"/>
    </row>
    <row r="198" spans="1:28" outlineLevel="1" x14ac:dyDescent="0.15">
      <c r="A198" s="8"/>
      <c r="B198" s="8"/>
      <c r="C198" s="8"/>
      <c r="D198" s="8"/>
      <c r="E198" s="9"/>
      <c r="F198" s="8"/>
      <c r="G198" s="10"/>
      <c r="H198" s="132"/>
      <c r="I198" s="140"/>
      <c r="J198" s="9"/>
      <c r="K198" s="140"/>
      <c r="L198" s="9"/>
      <c r="M198" s="8"/>
      <c r="N198" s="132"/>
      <c r="O198" s="140"/>
      <c r="P198" s="9"/>
      <c r="Q198" s="140"/>
      <c r="R198" s="9"/>
      <c r="S198" s="8"/>
      <c r="T198" s="8"/>
      <c r="U198" s="8"/>
      <c r="V198" s="132"/>
      <c r="W198" s="140"/>
      <c r="X198" s="140"/>
      <c r="Y198" s="9"/>
      <c r="Z198" s="8"/>
      <c r="AA198" s="2"/>
      <c r="AB198" s="2"/>
    </row>
    <row r="199" spans="1:28" outlineLevel="1" x14ac:dyDescent="0.15">
      <c r="A199" s="8"/>
      <c r="B199" s="8"/>
      <c r="C199" s="8"/>
      <c r="D199" s="8"/>
      <c r="E199" s="9"/>
      <c r="F199" s="8"/>
      <c r="G199" s="10"/>
      <c r="H199" s="132"/>
      <c r="I199" s="140"/>
      <c r="J199" s="9"/>
      <c r="K199" s="140"/>
      <c r="L199" s="9"/>
      <c r="M199" s="8"/>
      <c r="N199" s="132"/>
      <c r="O199" s="140"/>
      <c r="P199" s="9"/>
      <c r="Q199" s="140"/>
      <c r="R199" s="9"/>
      <c r="S199" s="8"/>
      <c r="T199" s="8"/>
      <c r="U199" s="8"/>
      <c r="V199" s="132"/>
      <c r="W199" s="140"/>
      <c r="X199" s="140"/>
      <c r="Y199" s="9"/>
      <c r="Z199" s="8"/>
      <c r="AA199" s="2"/>
      <c r="AB199" s="2"/>
    </row>
    <row r="200" spans="1:28" outlineLevel="1" x14ac:dyDescent="0.15">
      <c r="A200" s="8"/>
      <c r="B200" s="8"/>
      <c r="C200" s="8"/>
      <c r="D200" s="8"/>
      <c r="E200" s="9"/>
      <c r="F200" s="8"/>
      <c r="G200" s="10"/>
      <c r="H200" s="132"/>
      <c r="I200" s="140"/>
      <c r="J200" s="9"/>
      <c r="K200" s="140"/>
      <c r="L200" s="9"/>
      <c r="M200" s="8"/>
      <c r="N200" s="132"/>
      <c r="O200" s="140"/>
      <c r="P200" s="9"/>
      <c r="Q200" s="140"/>
      <c r="R200" s="9"/>
      <c r="S200" s="8"/>
      <c r="T200" s="8"/>
      <c r="U200" s="8"/>
      <c r="V200" s="132"/>
      <c r="W200" s="140"/>
      <c r="X200" s="140"/>
      <c r="Y200" s="9"/>
      <c r="Z200" s="8"/>
      <c r="AA200" s="2"/>
      <c r="AB200" s="2"/>
    </row>
    <row r="201" spans="1:28" outlineLevel="1" x14ac:dyDescent="0.15">
      <c r="A201" s="8"/>
      <c r="B201" s="8"/>
      <c r="C201" s="8"/>
      <c r="D201" s="8"/>
      <c r="E201" s="9"/>
      <c r="F201" s="8"/>
      <c r="G201" s="10"/>
      <c r="H201" s="132"/>
      <c r="I201" s="140"/>
      <c r="J201" s="9"/>
      <c r="K201" s="140"/>
      <c r="L201" s="9"/>
      <c r="M201" s="8"/>
      <c r="N201" s="132"/>
      <c r="O201" s="140"/>
      <c r="P201" s="9"/>
      <c r="Q201" s="140"/>
      <c r="R201" s="9"/>
      <c r="S201" s="8"/>
      <c r="T201" s="8"/>
      <c r="U201" s="8"/>
      <c r="V201" s="132"/>
      <c r="W201" s="140"/>
      <c r="X201" s="140"/>
      <c r="Y201" s="9"/>
      <c r="Z201" s="8"/>
      <c r="AA201" s="2"/>
      <c r="AB201" s="2"/>
    </row>
    <row r="202" spans="1:28" outlineLevel="1" x14ac:dyDescent="0.15">
      <c r="A202" s="8"/>
      <c r="B202" s="8"/>
      <c r="C202" s="8"/>
      <c r="D202" s="8"/>
      <c r="E202" s="9"/>
      <c r="F202" s="8"/>
      <c r="G202" s="10"/>
      <c r="H202" s="132"/>
      <c r="I202" s="140"/>
      <c r="J202" s="9"/>
      <c r="K202" s="140"/>
      <c r="L202" s="9"/>
      <c r="M202" s="8"/>
      <c r="N202" s="132"/>
      <c r="O202" s="140"/>
      <c r="P202" s="9"/>
      <c r="Q202" s="140"/>
      <c r="R202" s="9"/>
      <c r="S202" s="8"/>
      <c r="T202" s="8"/>
      <c r="U202" s="8"/>
      <c r="V202" s="132"/>
      <c r="W202" s="140"/>
      <c r="X202" s="140"/>
      <c r="Y202" s="9"/>
      <c r="Z202" s="8"/>
      <c r="AA202" s="2"/>
      <c r="AB202" s="2"/>
    </row>
    <row r="203" spans="1:28" outlineLevel="1" x14ac:dyDescent="0.15">
      <c r="A203" s="8"/>
      <c r="B203" s="8"/>
      <c r="C203" s="8"/>
      <c r="D203" s="8"/>
      <c r="E203" s="9"/>
      <c r="F203" s="8"/>
      <c r="G203" s="10"/>
      <c r="H203" s="132"/>
      <c r="I203" s="140"/>
      <c r="J203" s="9"/>
      <c r="K203" s="140"/>
      <c r="L203" s="9"/>
      <c r="M203" s="8"/>
      <c r="N203" s="132"/>
      <c r="O203" s="140"/>
      <c r="P203" s="9"/>
      <c r="Q203" s="140"/>
      <c r="R203" s="9"/>
      <c r="S203" s="8"/>
      <c r="T203" s="8"/>
      <c r="U203" s="8"/>
      <c r="V203" s="132"/>
      <c r="W203" s="140"/>
      <c r="X203" s="140"/>
      <c r="Y203" s="9"/>
      <c r="Z203" s="8"/>
      <c r="AA203" s="2"/>
      <c r="AB203" s="2"/>
    </row>
    <row r="204" spans="1:28" outlineLevel="1" x14ac:dyDescent="0.15">
      <c r="A204" s="8"/>
      <c r="B204" s="8"/>
      <c r="C204" s="8"/>
      <c r="D204" s="8"/>
      <c r="E204" s="9"/>
      <c r="F204" s="8"/>
      <c r="G204" s="10"/>
      <c r="H204" s="132"/>
      <c r="I204" s="140"/>
      <c r="J204" s="9"/>
      <c r="K204" s="140"/>
      <c r="L204" s="9"/>
      <c r="M204" s="8"/>
      <c r="N204" s="132"/>
      <c r="O204" s="140"/>
      <c r="P204" s="9"/>
      <c r="Q204" s="140"/>
      <c r="R204" s="9"/>
      <c r="S204" s="8"/>
      <c r="T204" s="8"/>
      <c r="U204" s="8"/>
      <c r="V204" s="132"/>
      <c r="W204" s="140"/>
      <c r="X204" s="140"/>
      <c r="Y204" s="9"/>
      <c r="Z204" s="8"/>
      <c r="AA204" s="2"/>
      <c r="AB204" s="2"/>
    </row>
    <row r="205" spans="1:28" outlineLevel="1" x14ac:dyDescent="0.15">
      <c r="A205" s="8"/>
      <c r="B205" s="8"/>
      <c r="C205" s="8"/>
      <c r="D205" s="8"/>
      <c r="E205" s="9"/>
      <c r="F205" s="8"/>
      <c r="G205" s="10"/>
      <c r="H205" s="132"/>
      <c r="I205" s="140"/>
      <c r="J205" s="9"/>
      <c r="K205" s="140"/>
      <c r="L205" s="9"/>
      <c r="M205" s="8"/>
      <c r="N205" s="132"/>
      <c r="O205" s="140"/>
      <c r="P205" s="9"/>
      <c r="Q205" s="140"/>
      <c r="R205" s="9"/>
      <c r="S205" s="8"/>
      <c r="T205" s="8"/>
      <c r="U205" s="8"/>
      <c r="V205" s="132"/>
      <c r="W205" s="140"/>
      <c r="X205" s="140"/>
      <c r="Y205" s="9"/>
      <c r="Z205" s="8"/>
      <c r="AA205" s="2"/>
      <c r="AB205" s="2"/>
    </row>
    <row r="206" spans="1:28" outlineLevel="1" x14ac:dyDescent="0.15">
      <c r="A206" s="8"/>
      <c r="B206" s="8"/>
      <c r="C206" s="8"/>
      <c r="D206" s="8"/>
      <c r="E206" s="9"/>
      <c r="F206" s="8"/>
      <c r="G206" s="10"/>
      <c r="H206" s="132"/>
      <c r="I206" s="140"/>
      <c r="J206" s="9"/>
      <c r="K206" s="140"/>
      <c r="L206" s="9"/>
      <c r="M206" s="8"/>
      <c r="N206" s="132"/>
      <c r="O206" s="140"/>
      <c r="P206" s="9"/>
      <c r="Q206" s="140"/>
      <c r="R206" s="9"/>
      <c r="S206" s="8"/>
      <c r="T206" s="8"/>
      <c r="U206" s="8"/>
      <c r="V206" s="132"/>
      <c r="W206" s="140"/>
      <c r="X206" s="140"/>
      <c r="Y206" s="9"/>
      <c r="Z206" s="8"/>
      <c r="AA206" s="2"/>
      <c r="AB206" s="2"/>
    </row>
    <row r="207" spans="1:28" outlineLevel="1" x14ac:dyDescent="0.15">
      <c r="A207" s="8"/>
      <c r="B207" s="8"/>
      <c r="C207" s="8"/>
      <c r="D207" s="8"/>
      <c r="E207" s="9"/>
      <c r="F207" s="8"/>
      <c r="G207" s="10"/>
      <c r="H207" s="132"/>
      <c r="I207" s="140"/>
      <c r="J207" s="9"/>
      <c r="K207" s="140"/>
      <c r="L207" s="9"/>
      <c r="M207" s="8"/>
      <c r="N207" s="132"/>
      <c r="O207" s="140"/>
      <c r="P207" s="9"/>
      <c r="Q207" s="140"/>
      <c r="R207" s="9"/>
      <c r="S207" s="8"/>
      <c r="T207" s="8"/>
      <c r="U207" s="8"/>
      <c r="V207" s="132"/>
      <c r="W207" s="140"/>
      <c r="X207" s="140"/>
      <c r="Y207" s="9"/>
      <c r="Z207" s="8"/>
      <c r="AA207" s="2"/>
      <c r="AB207" s="2"/>
    </row>
    <row r="208" spans="1:28" outlineLevel="1" x14ac:dyDescent="0.15">
      <c r="A208" s="8"/>
      <c r="B208" s="8"/>
      <c r="C208" s="8"/>
      <c r="D208" s="8"/>
      <c r="E208" s="9"/>
      <c r="F208" s="8"/>
      <c r="G208" s="10"/>
      <c r="H208" s="132"/>
      <c r="I208" s="140"/>
      <c r="J208" s="9"/>
      <c r="K208" s="140"/>
      <c r="L208" s="9"/>
      <c r="M208" s="8"/>
      <c r="N208" s="132"/>
      <c r="O208" s="140"/>
      <c r="P208" s="9"/>
      <c r="Q208" s="140"/>
      <c r="R208" s="9"/>
      <c r="S208" s="8"/>
      <c r="T208" s="8"/>
      <c r="U208" s="8"/>
      <c r="V208" s="132"/>
      <c r="W208" s="140"/>
      <c r="X208" s="140"/>
      <c r="Y208" s="9"/>
      <c r="Z208" s="8"/>
      <c r="AA208" s="2"/>
      <c r="AB208" s="2"/>
    </row>
    <row r="209" spans="1:28" outlineLevel="1" x14ac:dyDescent="0.15">
      <c r="A209" s="8"/>
      <c r="B209" s="8"/>
      <c r="C209" s="8"/>
      <c r="D209" s="8"/>
      <c r="E209" s="9"/>
      <c r="F209" s="8"/>
      <c r="G209" s="10"/>
      <c r="H209" s="132"/>
      <c r="I209" s="140"/>
      <c r="J209" s="9"/>
      <c r="K209" s="140"/>
      <c r="L209" s="9"/>
      <c r="M209" s="8"/>
      <c r="N209" s="132"/>
      <c r="O209" s="140"/>
      <c r="P209" s="9"/>
      <c r="Q209" s="140"/>
      <c r="R209" s="9"/>
      <c r="S209" s="8"/>
      <c r="T209" s="8"/>
      <c r="U209" s="8"/>
      <c r="V209" s="132"/>
      <c r="W209" s="140"/>
      <c r="X209" s="140"/>
      <c r="Y209" s="9"/>
      <c r="Z209" s="8"/>
      <c r="AA209" s="2"/>
      <c r="AB209" s="2"/>
    </row>
    <row r="210" spans="1:28" outlineLevel="1" x14ac:dyDescent="0.15">
      <c r="A210" s="8"/>
      <c r="B210" s="8"/>
      <c r="C210" s="8"/>
      <c r="D210" s="8"/>
      <c r="E210" s="9"/>
      <c r="F210" s="8"/>
      <c r="G210" s="10"/>
      <c r="H210" s="132"/>
      <c r="I210" s="140"/>
      <c r="J210" s="9"/>
      <c r="K210" s="140"/>
      <c r="L210" s="9"/>
      <c r="M210" s="8"/>
      <c r="N210" s="132"/>
      <c r="O210" s="140"/>
      <c r="P210" s="9"/>
      <c r="Q210" s="140"/>
      <c r="R210" s="9"/>
      <c r="S210" s="8"/>
      <c r="T210" s="8"/>
      <c r="U210" s="8"/>
      <c r="V210" s="132"/>
      <c r="W210" s="140"/>
      <c r="X210" s="140"/>
      <c r="Y210" s="9"/>
      <c r="Z210" s="8"/>
      <c r="AA210" s="2"/>
      <c r="AB210" s="2"/>
    </row>
    <row r="211" spans="1:28" outlineLevel="1" x14ac:dyDescent="0.15">
      <c r="A211" s="8"/>
      <c r="B211" s="8"/>
      <c r="C211" s="8"/>
      <c r="D211" s="8"/>
      <c r="E211" s="9"/>
      <c r="F211" s="8"/>
      <c r="G211" s="10"/>
      <c r="H211" s="132"/>
      <c r="I211" s="140"/>
      <c r="J211" s="9"/>
      <c r="K211" s="140"/>
      <c r="L211" s="9"/>
      <c r="M211" s="8"/>
      <c r="N211" s="132"/>
      <c r="O211" s="140"/>
      <c r="P211" s="9"/>
      <c r="Q211" s="140"/>
      <c r="R211" s="9"/>
      <c r="S211" s="8"/>
      <c r="T211" s="8"/>
      <c r="U211" s="8"/>
      <c r="V211" s="132"/>
      <c r="W211" s="140"/>
      <c r="X211" s="140"/>
      <c r="Y211" s="9"/>
      <c r="Z211" s="8"/>
      <c r="AA211" s="2"/>
      <c r="AB211" s="2"/>
    </row>
    <row r="212" spans="1:28" outlineLevel="1" x14ac:dyDescent="0.15">
      <c r="A212" s="8"/>
      <c r="B212" s="8"/>
      <c r="C212" s="8"/>
      <c r="D212" s="8"/>
      <c r="E212" s="9"/>
      <c r="F212" s="8"/>
      <c r="G212" s="10"/>
      <c r="H212" s="132"/>
      <c r="I212" s="140"/>
      <c r="J212" s="9"/>
      <c r="K212" s="140"/>
      <c r="L212" s="9"/>
      <c r="M212" s="8"/>
      <c r="N212" s="132"/>
      <c r="O212" s="140"/>
      <c r="P212" s="9"/>
      <c r="Q212" s="140"/>
      <c r="R212" s="9"/>
      <c r="S212" s="8"/>
      <c r="T212" s="8"/>
      <c r="U212" s="8"/>
      <c r="V212" s="132"/>
      <c r="W212" s="140"/>
      <c r="X212" s="140"/>
      <c r="Y212" s="9"/>
      <c r="Z212" s="8"/>
      <c r="AA212" s="2"/>
      <c r="AB212" s="2"/>
    </row>
    <row r="213" spans="1:28" outlineLevel="1" x14ac:dyDescent="0.15">
      <c r="A213" s="8"/>
      <c r="B213" s="8"/>
      <c r="C213" s="8"/>
      <c r="D213" s="8"/>
      <c r="E213" s="9"/>
      <c r="F213" s="8"/>
      <c r="G213" s="10"/>
      <c r="H213" s="132"/>
      <c r="I213" s="140"/>
      <c r="J213" s="9"/>
      <c r="K213" s="140"/>
      <c r="L213" s="9"/>
      <c r="M213" s="8"/>
      <c r="N213" s="132"/>
      <c r="O213" s="140"/>
      <c r="P213" s="9"/>
      <c r="Q213" s="140"/>
      <c r="R213" s="9"/>
      <c r="S213" s="8"/>
      <c r="T213" s="8"/>
      <c r="U213" s="8"/>
      <c r="V213" s="132"/>
      <c r="W213" s="140"/>
      <c r="X213" s="140"/>
      <c r="Y213" s="9"/>
      <c r="Z213" s="8"/>
      <c r="AA213" s="2"/>
      <c r="AB213" s="2"/>
    </row>
    <row r="214" spans="1:28" outlineLevel="1" x14ac:dyDescent="0.15">
      <c r="A214" s="8"/>
      <c r="B214" s="8"/>
      <c r="C214" s="8"/>
      <c r="D214" s="8"/>
      <c r="E214" s="9"/>
      <c r="F214" s="8"/>
      <c r="G214" s="10"/>
      <c r="H214" s="132"/>
      <c r="I214" s="140"/>
      <c r="J214" s="9"/>
      <c r="K214" s="140"/>
      <c r="L214" s="9"/>
      <c r="M214" s="8"/>
      <c r="N214" s="132"/>
      <c r="O214" s="140"/>
      <c r="P214" s="9"/>
      <c r="Q214" s="140"/>
      <c r="R214" s="9"/>
      <c r="S214" s="8"/>
      <c r="T214" s="8"/>
      <c r="U214" s="8"/>
      <c r="V214" s="132"/>
      <c r="W214" s="140"/>
      <c r="X214" s="140"/>
      <c r="Y214" s="9"/>
      <c r="Z214" s="8"/>
      <c r="AA214" s="2"/>
      <c r="AB214" s="2"/>
    </row>
    <row r="215" spans="1:28" outlineLevel="1" x14ac:dyDescent="0.15">
      <c r="A215" s="8"/>
      <c r="B215" s="8"/>
      <c r="C215" s="8"/>
      <c r="D215" s="8"/>
      <c r="E215" s="9"/>
      <c r="F215" s="8"/>
      <c r="G215" s="10"/>
      <c r="H215" s="132"/>
      <c r="I215" s="140"/>
      <c r="J215" s="9"/>
      <c r="K215" s="140"/>
      <c r="L215" s="9"/>
      <c r="M215" s="8"/>
      <c r="N215" s="132"/>
      <c r="O215" s="140"/>
      <c r="P215" s="9"/>
      <c r="Q215" s="140"/>
      <c r="R215" s="9"/>
      <c r="S215" s="8"/>
      <c r="T215" s="8"/>
      <c r="U215" s="8"/>
      <c r="V215" s="132"/>
      <c r="W215" s="140"/>
      <c r="X215" s="140"/>
      <c r="Y215" s="9"/>
      <c r="Z215" s="8"/>
      <c r="AA215" s="2"/>
      <c r="AB215" s="2"/>
    </row>
    <row r="216" spans="1:28" outlineLevel="1" x14ac:dyDescent="0.15">
      <c r="A216" s="8"/>
      <c r="B216" s="8"/>
      <c r="C216" s="8"/>
      <c r="D216" s="8"/>
      <c r="E216" s="9"/>
      <c r="F216" s="8"/>
      <c r="G216" s="10"/>
      <c r="H216" s="132"/>
      <c r="I216" s="8"/>
      <c r="J216" s="9"/>
      <c r="K216" s="8"/>
      <c r="L216" s="9"/>
      <c r="M216" s="8"/>
      <c r="N216" s="132"/>
      <c r="O216" s="8"/>
      <c r="P216" s="9"/>
      <c r="Q216" s="8"/>
      <c r="R216" s="9"/>
      <c r="S216" s="8"/>
      <c r="T216" s="8"/>
      <c r="U216" s="8"/>
      <c r="V216" s="132"/>
      <c r="W216" s="8"/>
      <c r="X216" s="8"/>
      <c r="Y216" s="9"/>
      <c r="Z216" s="8"/>
      <c r="AA216" s="2"/>
      <c r="AB216" s="2"/>
    </row>
    <row r="217" spans="1:28" outlineLevel="1" x14ac:dyDescent="0.15">
      <c r="A217" s="8"/>
      <c r="B217" s="8"/>
      <c r="C217" s="8"/>
      <c r="D217" s="8"/>
      <c r="E217" s="9"/>
      <c r="F217" s="8"/>
      <c r="G217" s="10"/>
      <c r="H217" s="132"/>
      <c r="I217" s="8"/>
      <c r="J217" s="9"/>
      <c r="K217" s="8"/>
      <c r="L217" s="9"/>
      <c r="M217" s="8"/>
      <c r="N217" s="132"/>
      <c r="O217" s="8"/>
      <c r="P217" s="9"/>
      <c r="Q217" s="8"/>
      <c r="R217" s="9"/>
      <c r="S217" s="8"/>
      <c r="T217" s="8"/>
      <c r="U217" s="8"/>
      <c r="V217" s="132"/>
      <c r="W217" s="8"/>
      <c r="X217" s="8"/>
      <c r="Y217" s="9"/>
      <c r="Z217" s="8"/>
      <c r="AA217" s="2"/>
      <c r="AB217" s="2"/>
    </row>
    <row r="218" spans="1:28" outlineLevel="1" x14ac:dyDescent="0.15">
      <c r="A218" s="8"/>
      <c r="B218" s="8"/>
      <c r="C218" s="8"/>
      <c r="D218" s="8"/>
      <c r="E218" s="9"/>
      <c r="F218" s="8"/>
      <c r="G218" s="10"/>
      <c r="H218" s="132"/>
      <c r="I218" s="8"/>
      <c r="J218" s="9"/>
      <c r="K218" s="8"/>
      <c r="L218" s="9"/>
      <c r="M218" s="8"/>
      <c r="N218" s="132"/>
      <c r="O218" s="8"/>
      <c r="P218" s="9"/>
      <c r="Q218" s="8"/>
      <c r="R218" s="9"/>
      <c r="S218" s="8"/>
      <c r="T218" s="8"/>
      <c r="U218" s="8"/>
      <c r="V218" s="132"/>
      <c r="W218" s="8"/>
      <c r="X218" s="8"/>
      <c r="Y218" s="9"/>
      <c r="Z218" s="8"/>
      <c r="AA218" s="2"/>
      <c r="AB218" s="2"/>
    </row>
    <row r="219" spans="1:28" outlineLevel="1" x14ac:dyDescent="0.15">
      <c r="A219" s="8"/>
      <c r="B219" s="8"/>
      <c r="C219" s="8"/>
      <c r="D219" s="8"/>
      <c r="E219" s="9"/>
      <c r="F219" s="8"/>
      <c r="G219" s="10"/>
      <c r="H219" s="132"/>
      <c r="I219" s="8"/>
      <c r="J219" s="9"/>
      <c r="K219" s="8"/>
      <c r="L219" s="9"/>
      <c r="M219" s="8"/>
      <c r="N219" s="132"/>
      <c r="O219" s="8"/>
      <c r="P219" s="9"/>
      <c r="Q219" s="8"/>
      <c r="R219" s="9"/>
      <c r="S219" s="8"/>
      <c r="T219" s="8"/>
      <c r="U219" s="8"/>
      <c r="V219" s="132"/>
      <c r="W219" s="8"/>
      <c r="X219" s="8"/>
      <c r="Y219" s="9"/>
      <c r="Z219" s="8"/>
      <c r="AA219" s="2"/>
      <c r="AB219" s="2"/>
    </row>
    <row r="220" spans="1:28" outlineLevel="1" x14ac:dyDescent="0.15">
      <c r="A220" s="8"/>
      <c r="B220" s="8"/>
      <c r="C220" s="8"/>
      <c r="D220" s="8"/>
      <c r="E220" s="9"/>
      <c r="F220" s="8"/>
      <c r="G220" s="10"/>
      <c r="H220" s="132"/>
      <c r="I220" s="8"/>
      <c r="J220" s="9"/>
      <c r="K220" s="8"/>
      <c r="L220" s="9"/>
      <c r="M220" s="8"/>
      <c r="N220" s="132"/>
      <c r="O220" s="8"/>
      <c r="P220" s="9"/>
      <c r="Q220" s="8"/>
      <c r="R220" s="9"/>
      <c r="S220" s="8"/>
      <c r="T220" s="8"/>
      <c r="U220" s="8"/>
      <c r="V220" s="132"/>
      <c r="W220" s="8"/>
      <c r="X220" s="8"/>
      <c r="Y220" s="9"/>
      <c r="Z220" s="8"/>
      <c r="AA220" s="2"/>
      <c r="AB220" s="2"/>
    </row>
    <row r="221" spans="1:28" outlineLevel="1" x14ac:dyDescent="0.15">
      <c r="A221" s="8"/>
      <c r="B221" s="8"/>
      <c r="C221" s="8"/>
      <c r="D221" s="8"/>
      <c r="E221" s="9"/>
      <c r="F221" s="8"/>
      <c r="G221" s="10"/>
      <c r="H221" s="132"/>
      <c r="I221" s="8"/>
      <c r="J221" s="9"/>
      <c r="K221" s="8"/>
      <c r="L221" s="9"/>
      <c r="M221" s="8"/>
      <c r="N221" s="132"/>
      <c r="O221" s="8"/>
      <c r="P221" s="9"/>
      <c r="Q221" s="8"/>
      <c r="R221" s="9"/>
      <c r="S221" s="8"/>
      <c r="T221" s="8"/>
      <c r="U221" s="8"/>
      <c r="V221" s="132"/>
      <c r="W221" s="8"/>
      <c r="X221" s="8"/>
      <c r="Y221" s="9"/>
      <c r="Z221" s="8"/>
      <c r="AA221" s="2"/>
      <c r="AB221" s="2"/>
    </row>
    <row r="222" spans="1:28" outlineLevel="1" x14ac:dyDescent="0.15">
      <c r="A222" s="8"/>
      <c r="B222" s="8"/>
      <c r="C222" s="8"/>
      <c r="D222" s="8"/>
      <c r="E222" s="9"/>
      <c r="F222" s="8"/>
      <c r="G222" s="10"/>
      <c r="H222" s="132"/>
      <c r="I222" s="8"/>
      <c r="J222" s="9"/>
      <c r="K222" s="8"/>
      <c r="L222" s="9"/>
      <c r="M222" s="8"/>
      <c r="N222" s="132"/>
      <c r="O222" s="8"/>
      <c r="P222" s="9"/>
      <c r="Q222" s="8"/>
      <c r="R222" s="9"/>
      <c r="S222" s="8"/>
      <c r="T222" s="8"/>
      <c r="U222" s="8"/>
      <c r="V222" s="132"/>
      <c r="W222" s="8"/>
      <c r="X222" s="8"/>
      <c r="Y222" s="9"/>
      <c r="Z222" s="8"/>
      <c r="AA222" s="2"/>
      <c r="AB222" s="2"/>
    </row>
    <row r="223" spans="1:28" outlineLevel="1" x14ac:dyDescent="0.15">
      <c r="A223" s="8"/>
      <c r="B223" s="8"/>
      <c r="C223" s="8"/>
      <c r="D223" s="8"/>
      <c r="E223" s="9"/>
      <c r="F223" s="8"/>
      <c r="G223" s="10"/>
      <c r="H223" s="132"/>
      <c r="I223" s="8"/>
      <c r="J223" s="9"/>
      <c r="K223" s="8"/>
      <c r="L223" s="9"/>
      <c r="M223" s="8"/>
      <c r="N223" s="132"/>
      <c r="O223" s="8"/>
      <c r="P223" s="9"/>
      <c r="Q223" s="8"/>
      <c r="R223" s="9"/>
      <c r="S223" s="8"/>
      <c r="T223" s="8"/>
      <c r="U223" s="8"/>
      <c r="V223" s="132"/>
      <c r="W223" s="8"/>
      <c r="X223" s="8"/>
      <c r="Y223" s="9"/>
      <c r="Z223" s="8"/>
      <c r="AA223" s="2"/>
      <c r="AB223" s="2"/>
    </row>
    <row r="224" spans="1:28" outlineLevel="1" x14ac:dyDescent="0.15">
      <c r="A224" s="8"/>
      <c r="B224" s="8"/>
      <c r="C224" s="8"/>
      <c r="D224" s="8"/>
      <c r="E224" s="9"/>
      <c r="F224" s="8"/>
      <c r="G224" s="10"/>
      <c r="H224" s="132"/>
      <c r="I224" s="8"/>
      <c r="J224" s="9"/>
      <c r="K224" s="8"/>
      <c r="L224" s="9"/>
      <c r="M224" s="8"/>
      <c r="N224" s="132"/>
      <c r="O224" s="8"/>
      <c r="P224" s="9"/>
      <c r="Q224" s="8"/>
      <c r="R224" s="9"/>
      <c r="S224" s="8"/>
      <c r="T224" s="8"/>
      <c r="U224" s="8"/>
      <c r="V224" s="132"/>
      <c r="W224" s="8"/>
      <c r="X224" s="8"/>
      <c r="Y224" s="9"/>
      <c r="Z224" s="8"/>
      <c r="AA224" s="2"/>
      <c r="AB224" s="2"/>
    </row>
    <row r="225" spans="1:28" outlineLevel="1" x14ac:dyDescent="0.15">
      <c r="A225" s="8"/>
      <c r="B225" s="8"/>
      <c r="C225" s="8"/>
      <c r="D225" s="8"/>
      <c r="E225" s="9"/>
      <c r="F225" s="8"/>
      <c r="G225" s="10"/>
      <c r="H225" s="132"/>
      <c r="I225" s="8"/>
      <c r="J225" s="9"/>
      <c r="K225" s="8"/>
      <c r="L225" s="9"/>
      <c r="M225" s="8"/>
      <c r="N225" s="132"/>
      <c r="O225" s="8"/>
      <c r="P225" s="9"/>
      <c r="Q225" s="8"/>
      <c r="R225" s="9"/>
      <c r="S225" s="8"/>
      <c r="T225" s="8"/>
      <c r="U225" s="8"/>
      <c r="V225" s="132"/>
      <c r="W225" s="8"/>
      <c r="X225" s="8"/>
      <c r="Y225" s="9"/>
      <c r="Z225" s="8"/>
      <c r="AA225" s="2"/>
      <c r="AB225" s="2"/>
    </row>
    <row r="226" spans="1:28" outlineLevel="1" x14ac:dyDescent="0.15">
      <c r="A226" s="8"/>
      <c r="B226" s="8"/>
      <c r="C226" s="8"/>
      <c r="D226" s="8"/>
      <c r="E226" s="9"/>
      <c r="F226" s="8"/>
      <c r="G226" s="10"/>
      <c r="H226" s="132"/>
      <c r="I226" s="8"/>
      <c r="J226" s="9"/>
      <c r="K226" s="8"/>
      <c r="L226" s="9"/>
      <c r="M226" s="8"/>
      <c r="N226" s="132"/>
      <c r="O226" s="8"/>
      <c r="P226" s="9"/>
      <c r="Q226" s="8"/>
      <c r="R226" s="9"/>
      <c r="S226" s="8"/>
      <c r="T226" s="8"/>
      <c r="U226" s="8"/>
      <c r="V226" s="132"/>
      <c r="W226" s="8"/>
      <c r="X226" s="8"/>
      <c r="Y226" s="9"/>
      <c r="Z226" s="8"/>
      <c r="AA226" s="2"/>
      <c r="AB226" s="2"/>
    </row>
    <row r="227" spans="1:28" outlineLevel="1" x14ac:dyDescent="0.15">
      <c r="A227" s="8"/>
      <c r="B227" s="8"/>
      <c r="C227" s="8"/>
      <c r="D227" s="8"/>
      <c r="E227" s="9"/>
      <c r="F227" s="8"/>
      <c r="G227" s="10"/>
      <c r="H227" s="132"/>
      <c r="I227" s="8"/>
      <c r="J227" s="9"/>
      <c r="K227" s="8"/>
      <c r="L227" s="9"/>
      <c r="M227" s="8"/>
      <c r="N227" s="132"/>
      <c r="O227" s="8"/>
      <c r="P227" s="9"/>
      <c r="Q227" s="8"/>
      <c r="R227" s="9"/>
      <c r="S227" s="8"/>
      <c r="T227" s="8"/>
      <c r="U227" s="8"/>
      <c r="V227" s="132"/>
      <c r="W227" s="8"/>
      <c r="X227" s="8"/>
      <c r="Y227" s="9"/>
      <c r="Z227" s="8"/>
      <c r="AA227" s="2"/>
      <c r="AB227" s="2"/>
    </row>
    <row r="228" spans="1:28" outlineLevel="1" x14ac:dyDescent="0.15">
      <c r="A228" s="8"/>
      <c r="B228" s="8"/>
      <c r="C228" s="8"/>
      <c r="D228" s="8"/>
      <c r="E228" s="9"/>
      <c r="F228" s="8"/>
      <c r="G228" s="10"/>
      <c r="H228" s="132"/>
      <c r="I228" s="8"/>
      <c r="J228" s="9"/>
      <c r="K228" s="8"/>
      <c r="L228" s="9"/>
      <c r="M228" s="8"/>
      <c r="N228" s="132"/>
      <c r="O228" s="8"/>
      <c r="P228" s="9"/>
      <c r="Q228" s="8"/>
      <c r="R228" s="9"/>
      <c r="S228" s="8"/>
      <c r="T228" s="8"/>
      <c r="U228" s="8"/>
      <c r="V228" s="132"/>
      <c r="W228" s="8"/>
      <c r="X228" s="8"/>
      <c r="Y228" s="9"/>
      <c r="Z228" s="8"/>
      <c r="AA228" s="2"/>
      <c r="AB228" s="2"/>
    </row>
    <row r="229" spans="1:28" outlineLevel="1" x14ac:dyDescent="0.15">
      <c r="A229" s="8"/>
      <c r="B229" s="8"/>
      <c r="C229" s="8"/>
      <c r="D229" s="8"/>
      <c r="E229" s="9"/>
      <c r="F229" s="8"/>
      <c r="G229" s="10"/>
      <c r="H229" s="132"/>
      <c r="I229" s="8"/>
      <c r="J229" s="9"/>
      <c r="K229" s="8"/>
      <c r="L229" s="9"/>
      <c r="M229" s="8"/>
      <c r="N229" s="132"/>
      <c r="O229" s="8"/>
      <c r="P229" s="9"/>
      <c r="Q229" s="8"/>
      <c r="R229" s="9"/>
      <c r="S229" s="8"/>
      <c r="T229" s="8"/>
      <c r="U229" s="8"/>
      <c r="V229" s="132"/>
      <c r="W229" s="8"/>
      <c r="X229" s="8"/>
      <c r="Y229" s="9"/>
      <c r="Z229" s="8"/>
      <c r="AA229" s="2"/>
      <c r="AB229" s="2"/>
    </row>
    <row r="230" spans="1:28" outlineLevel="1" x14ac:dyDescent="0.15">
      <c r="A230" s="8"/>
      <c r="B230" s="8"/>
      <c r="C230" s="8"/>
      <c r="D230" s="8"/>
      <c r="E230" s="9"/>
      <c r="F230" s="8"/>
      <c r="G230" s="10"/>
      <c r="H230" s="132"/>
      <c r="I230" s="8"/>
      <c r="J230" s="9"/>
      <c r="K230" s="8"/>
      <c r="L230" s="9"/>
      <c r="M230" s="8"/>
      <c r="N230" s="132"/>
      <c r="O230" s="8"/>
      <c r="P230" s="9"/>
      <c r="Q230" s="8"/>
      <c r="R230" s="9"/>
      <c r="S230" s="8"/>
      <c r="T230" s="8"/>
      <c r="U230" s="8"/>
      <c r="V230" s="132"/>
      <c r="W230" s="8"/>
      <c r="X230" s="8"/>
      <c r="Y230" s="9"/>
      <c r="Z230" s="8"/>
      <c r="AA230" s="2"/>
      <c r="AB230" s="2"/>
    </row>
    <row r="231" spans="1:28" outlineLevel="1" x14ac:dyDescent="0.15">
      <c r="A231" s="8"/>
      <c r="B231" s="8"/>
      <c r="C231" s="8"/>
      <c r="D231" s="8"/>
      <c r="E231" s="9"/>
      <c r="F231" s="8"/>
      <c r="G231" s="10"/>
      <c r="H231" s="132"/>
      <c r="I231" s="8"/>
      <c r="J231" s="9"/>
      <c r="K231" s="8"/>
      <c r="L231" s="9"/>
      <c r="M231" s="8"/>
      <c r="N231" s="132"/>
      <c r="O231" s="8"/>
      <c r="P231" s="9"/>
      <c r="Q231" s="8"/>
      <c r="R231" s="9"/>
      <c r="S231" s="8"/>
      <c r="T231" s="8"/>
      <c r="U231" s="8"/>
      <c r="V231" s="132"/>
      <c r="W231" s="8"/>
      <c r="X231" s="8"/>
      <c r="Y231" s="9"/>
      <c r="Z231" s="8"/>
      <c r="AA231" s="2"/>
      <c r="AB231" s="2"/>
    </row>
    <row r="232" spans="1:28" outlineLevel="1" x14ac:dyDescent="0.15">
      <c r="A232" s="8"/>
      <c r="B232" s="8"/>
      <c r="C232" s="8"/>
      <c r="D232" s="8"/>
      <c r="E232" s="9"/>
      <c r="F232" s="8"/>
      <c r="G232" s="10"/>
      <c r="H232" s="132"/>
      <c r="I232" s="8"/>
      <c r="J232" s="9"/>
      <c r="K232" s="8"/>
      <c r="L232" s="9"/>
      <c r="M232" s="8"/>
      <c r="N232" s="132"/>
      <c r="O232" s="8"/>
      <c r="P232" s="9"/>
      <c r="Q232" s="8"/>
      <c r="R232" s="9"/>
      <c r="S232" s="8"/>
      <c r="T232" s="8"/>
      <c r="U232" s="8"/>
      <c r="V232" s="132"/>
      <c r="W232" s="8"/>
      <c r="X232" s="8"/>
      <c r="Y232" s="9"/>
      <c r="Z232" s="8"/>
      <c r="AA232" s="2"/>
      <c r="AB232" s="2"/>
    </row>
    <row r="233" spans="1:28" outlineLevel="1" x14ac:dyDescent="0.15">
      <c r="A233" s="8"/>
      <c r="B233" s="8"/>
      <c r="C233" s="8"/>
      <c r="D233" s="8"/>
      <c r="E233" s="9"/>
      <c r="F233" s="8"/>
      <c r="G233" s="10"/>
      <c r="H233" s="132"/>
      <c r="I233" s="8"/>
      <c r="J233" s="9"/>
      <c r="K233" s="8"/>
      <c r="L233" s="9"/>
      <c r="M233" s="8"/>
      <c r="N233" s="132"/>
      <c r="O233" s="8"/>
      <c r="P233" s="9"/>
      <c r="Q233" s="8"/>
      <c r="R233" s="9"/>
      <c r="S233" s="8"/>
      <c r="T233" s="8"/>
      <c r="U233" s="8"/>
      <c r="V233" s="132"/>
      <c r="W233" s="8"/>
      <c r="X233" s="8"/>
      <c r="Y233" s="9"/>
      <c r="Z233" s="8"/>
      <c r="AA233" s="2"/>
      <c r="AB233" s="2"/>
    </row>
    <row r="234" spans="1:28" outlineLevel="1" x14ac:dyDescent="0.15">
      <c r="A234" s="8"/>
      <c r="B234" s="8"/>
      <c r="C234" s="8"/>
      <c r="D234" s="8"/>
      <c r="E234" s="9"/>
      <c r="F234" s="8"/>
      <c r="G234" s="10"/>
      <c r="H234" s="132"/>
      <c r="I234" s="8"/>
      <c r="J234" s="9"/>
      <c r="K234" s="8"/>
      <c r="L234" s="9"/>
      <c r="M234" s="8"/>
      <c r="N234" s="132"/>
      <c r="O234" s="8"/>
      <c r="P234" s="9"/>
      <c r="Q234" s="8"/>
      <c r="R234" s="9"/>
      <c r="S234" s="8"/>
      <c r="T234" s="8"/>
      <c r="U234" s="8"/>
      <c r="V234" s="132"/>
      <c r="W234" s="8"/>
      <c r="X234" s="8"/>
      <c r="Y234" s="9"/>
      <c r="Z234" s="8"/>
      <c r="AA234" s="2"/>
      <c r="AB234" s="2"/>
    </row>
    <row r="235" spans="1:28" outlineLevel="1" x14ac:dyDescent="0.15">
      <c r="A235" s="8"/>
      <c r="B235" s="8"/>
      <c r="C235" s="8"/>
      <c r="D235" s="8"/>
      <c r="E235" s="9"/>
      <c r="F235" s="8"/>
      <c r="G235" s="10"/>
      <c r="H235" s="132"/>
      <c r="I235" s="8"/>
      <c r="J235" s="9"/>
      <c r="K235" s="8"/>
      <c r="L235" s="9"/>
      <c r="M235" s="8"/>
      <c r="N235" s="132"/>
      <c r="O235" s="8"/>
      <c r="P235" s="9"/>
      <c r="Q235" s="8"/>
      <c r="R235" s="9"/>
      <c r="S235" s="8"/>
      <c r="T235" s="8"/>
      <c r="U235" s="8"/>
      <c r="V235" s="132"/>
      <c r="W235" s="8"/>
      <c r="X235" s="8"/>
      <c r="Y235" s="9"/>
      <c r="Z235" s="8"/>
      <c r="AA235" s="2"/>
      <c r="AB235" s="2"/>
    </row>
    <row r="236" spans="1:28" outlineLevel="1" x14ac:dyDescent="0.15">
      <c r="A236" s="8"/>
      <c r="B236" s="8"/>
      <c r="C236" s="8"/>
      <c r="D236" s="8"/>
      <c r="E236" s="9"/>
      <c r="F236" s="8"/>
      <c r="G236" s="10"/>
      <c r="H236" s="132"/>
      <c r="I236" s="8"/>
      <c r="J236" s="9"/>
      <c r="K236" s="8"/>
      <c r="L236" s="9"/>
      <c r="M236" s="8"/>
      <c r="N236" s="132"/>
      <c r="O236" s="8"/>
      <c r="P236" s="9"/>
      <c r="Q236" s="8"/>
      <c r="R236" s="9"/>
      <c r="S236" s="8"/>
      <c r="T236" s="8"/>
      <c r="U236" s="8"/>
      <c r="V236" s="132"/>
      <c r="W236" s="8"/>
      <c r="X236" s="8"/>
      <c r="Y236" s="9"/>
      <c r="Z236" s="8"/>
      <c r="AA236" s="2"/>
      <c r="AB236" s="2"/>
    </row>
    <row r="237" spans="1:28" outlineLevel="1" x14ac:dyDescent="0.15">
      <c r="A237" s="8"/>
      <c r="B237" s="8"/>
      <c r="C237" s="8"/>
      <c r="D237" s="8"/>
      <c r="E237" s="9"/>
      <c r="F237" s="8"/>
      <c r="G237" s="10"/>
      <c r="H237" s="132"/>
      <c r="I237" s="8"/>
      <c r="J237" s="9"/>
      <c r="K237" s="8"/>
      <c r="L237" s="9"/>
      <c r="M237" s="8"/>
      <c r="N237" s="132"/>
      <c r="O237" s="8"/>
      <c r="P237" s="9"/>
      <c r="Q237" s="8"/>
      <c r="R237" s="9"/>
      <c r="S237" s="8"/>
      <c r="T237" s="8"/>
      <c r="U237" s="8"/>
      <c r="V237" s="132"/>
      <c r="W237" s="8"/>
      <c r="X237" s="8"/>
      <c r="Y237" s="9"/>
      <c r="Z237" s="8"/>
      <c r="AA237" s="2"/>
      <c r="AB237" s="2"/>
    </row>
    <row r="238" spans="1:28" outlineLevel="1" x14ac:dyDescent="0.15">
      <c r="A238" s="8"/>
      <c r="B238" s="8"/>
      <c r="C238" s="8"/>
      <c r="D238" s="8"/>
      <c r="E238" s="9"/>
      <c r="F238" s="8"/>
      <c r="G238" s="10"/>
      <c r="H238" s="132"/>
      <c r="I238" s="8"/>
      <c r="J238" s="9"/>
      <c r="K238" s="8"/>
      <c r="L238" s="9"/>
      <c r="M238" s="8"/>
      <c r="N238" s="132"/>
      <c r="O238" s="8"/>
      <c r="P238" s="9"/>
      <c r="Q238" s="8"/>
      <c r="R238" s="9"/>
      <c r="S238" s="8"/>
      <c r="T238" s="8"/>
      <c r="U238" s="8"/>
      <c r="V238" s="132"/>
      <c r="W238" s="8"/>
      <c r="X238" s="8"/>
      <c r="Y238" s="9"/>
      <c r="Z238" s="8"/>
      <c r="AA238" s="2"/>
      <c r="AB238" s="2"/>
    </row>
    <row r="239" spans="1:28" outlineLevel="1" x14ac:dyDescent="0.15">
      <c r="A239" s="8"/>
      <c r="B239" s="8"/>
      <c r="C239" s="8"/>
      <c r="D239" s="8"/>
      <c r="E239" s="9"/>
      <c r="F239" s="8"/>
      <c r="G239" s="10"/>
      <c r="H239" s="132"/>
      <c r="I239" s="8"/>
      <c r="J239" s="9"/>
      <c r="K239" s="8"/>
      <c r="L239" s="9"/>
      <c r="M239" s="8"/>
      <c r="N239" s="132"/>
      <c r="O239" s="8"/>
      <c r="P239" s="9"/>
      <c r="Q239" s="8"/>
      <c r="R239" s="9"/>
      <c r="S239" s="8"/>
      <c r="T239" s="8"/>
      <c r="U239" s="8"/>
      <c r="V239" s="132"/>
      <c r="W239" s="8"/>
      <c r="X239" s="8"/>
      <c r="Y239" s="9"/>
      <c r="Z239" s="8"/>
      <c r="AA239" s="2"/>
      <c r="AB239" s="2"/>
    </row>
    <row r="240" spans="1:28" outlineLevel="1" x14ac:dyDescent="0.15">
      <c r="A240" s="8"/>
      <c r="B240" s="8"/>
      <c r="C240" s="8"/>
      <c r="D240" s="8"/>
      <c r="E240" s="9"/>
      <c r="F240" s="8"/>
      <c r="G240" s="10"/>
      <c r="H240" s="132"/>
      <c r="I240" s="8"/>
      <c r="J240" s="9"/>
      <c r="K240" s="8"/>
      <c r="L240" s="9"/>
      <c r="M240" s="8"/>
      <c r="N240" s="132"/>
      <c r="O240" s="8"/>
      <c r="P240" s="9"/>
      <c r="Q240" s="8"/>
      <c r="R240" s="9"/>
      <c r="S240" s="8"/>
      <c r="T240" s="8"/>
      <c r="U240" s="8"/>
      <c r="V240" s="132"/>
      <c r="W240" s="8"/>
      <c r="X240" s="8"/>
      <c r="Y240" s="9"/>
      <c r="Z240" s="8"/>
      <c r="AA240" s="2"/>
      <c r="AB240" s="2"/>
    </row>
    <row r="241" spans="1:28" outlineLevel="1" x14ac:dyDescent="0.15">
      <c r="A241" s="8"/>
      <c r="B241" s="8"/>
      <c r="C241" s="8"/>
      <c r="D241" s="8"/>
      <c r="E241" s="9"/>
      <c r="F241" s="8"/>
      <c r="G241" s="10"/>
      <c r="H241" s="132"/>
      <c r="I241" s="8"/>
      <c r="J241" s="9"/>
      <c r="K241" s="8"/>
      <c r="L241" s="9"/>
      <c r="M241" s="8"/>
      <c r="N241" s="132"/>
      <c r="O241" s="8"/>
      <c r="P241" s="9"/>
      <c r="Q241" s="8"/>
      <c r="R241" s="9"/>
      <c r="S241" s="8"/>
      <c r="T241" s="8"/>
      <c r="U241" s="8"/>
      <c r="V241" s="132"/>
      <c r="W241" s="8"/>
      <c r="X241" s="8"/>
      <c r="Y241" s="9"/>
      <c r="Z241" s="8"/>
      <c r="AA241" s="2"/>
      <c r="AB241" s="2"/>
    </row>
    <row r="242" spans="1:28" outlineLevel="1" x14ac:dyDescent="0.15">
      <c r="A242" s="8"/>
      <c r="B242" s="8"/>
      <c r="C242" s="8"/>
      <c r="D242" s="8"/>
      <c r="E242" s="9"/>
      <c r="F242" s="8"/>
      <c r="G242" s="10"/>
      <c r="H242" s="132"/>
      <c r="I242" s="8"/>
      <c r="J242" s="9"/>
      <c r="K242" s="8"/>
      <c r="L242" s="9"/>
      <c r="M242" s="8"/>
      <c r="N242" s="132"/>
      <c r="O242" s="8"/>
      <c r="P242" s="9"/>
      <c r="Q242" s="8"/>
      <c r="R242" s="9"/>
      <c r="S242" s="8"/>
      <c r="T242" s="8"/>
      <c r="U242" s="8"/>
      <c r="V242" s="132"/>
      <c r="W242" s="8"/>
      <c r="X242" s="8"/>
      <c r="Y242" s="9"/>
      <c r="Z242" s="8"/>
      <c r="AA242" s="2"/>
      <c r="AB242" s="2"/>
    </row>
    <row r="243" spans="1:28" outlineLevel="1" x14ac:dyDescent="0.15">
      <c r="A243" s="8"/>
      <c r="B243" s="8"/>
      <c r="C243" s="8"/>
      <c r="D243" s="8"/>
      <c r="E243" s="9"/>
      <c r="F243" s="8"/>
      <c r="G243" s="10"/>
      <c r="H243" s="132"/>
      <c r="I243" s="8"/>
      <c r="J243" s="9"/>
      <c r="K243" s="8"/>
      <c r="L243" s="9"/>
      <c r="M243" s="8"/>
      <c r="N243" s="132"/>
      <c r="O243" s="8"/>
      <c r="P243" s="9"/>
      <c r="Q243" s="8"/>
      <c r="R243" s="9"/>
      <c r="S243" s="8"/>
      <c r="T243" s="8"/>
      <c r="U243" s="8"/>
      <c r="V243" s="132"/>
      <c r="W243" s="8"/>
      <c r="X243" s="8"/>
      <c r="Y243" s="9"/>
      <c r="Z243" s="8"/>
      <c r="AA243" s="2"/>
      <c r="AB243" s="2"/>
    </row>
    <row r="244" spans="1:28" outlineLevel="1" x14ac:dyDescent="0.15">
      <c r="A244" s="8"/>
      <c r="B244" s="8"/>
      <c r="C244" s="8"/>
      <c r="D244" s="8"/>
      <c r="E244" s="9"/>
      <c r="F244" s="8"/>
      <c r="G244" s="10"/>
      <c r="H244" s="132"/>
      <c r="I244" s="8"/>
      <c r="J244" s="9"/>
      <c r="K244" s="8"/>
      <c r="L244" s="9"/>
      <c r="M244" s="8"/>
      <c r="N244" s="132"/>
      <c r="O244" s="8"/>
      <c r="P244" s="9"/>
      <c r="Q244" s="8"/>
      <c r="R244" s="9"/>
      <c r="S244" s="8"/>
      <c r="T244" s="8"/>
      <c r="U244" s="8"/>
      <c r="V244" s="132"/>
      <c r="W244" s="8"/>
      <c r="X244" s="8"/>
      <c r="Y244" s="9"/>
      <c r="Z244" s="8"/>
      <c r="AA244" s="2"/>
      <c r="AB244" s="2"/>
    </row>
    <row r="245" spans="1:28" outlineLevel="1" x14ac:dyDescent="0.15">
      <c r="A245" s="8"/>
      <c r="B245" s="8"/>
      <c r="C245" s="8"/>
      <c r="D245" s="8"/>
      <c r="E245" s="9"/>
      <c r="F245" s="8"/>
      <c r="G245" s="10"/>
      <c r="H245" s="132"/>
      <c r="I245" s="8"/>
      <c r="J245" s="9"/>
      <c r="K245" s="8"/>
      <c r="L245" s="9"/>
      <c r="M245" s="8"/>
      <c r="N245" s="132"/>
      <c r="O245" s="8"/>
      <c r="P245" s="9"/>
      <c r="Q245" s="8"/>
      <c r="R245" s="9"/>
      <c r="S245" s="8"/>
      <c r="T245" s="8"/>
      <c r="U245" s="8"/>
      <c r="V245" s="132"/>
      <c r="W245" s="8"/>
      <c r="X245" s="8"/>
      <c r="Y245" s="9"/>
      <c r="Z245" s="8"/>
      <c r="AA245" s="2"/>
      <c r="AB245" s="2"/>
    </row>
    <row r="246" spans="1:28" outlineLevel="1" x14ac:dyDescent="0.15">
      <c r="A246" s="8"/>
      <c r="B246" s="8"/>
      <c r="C246" s="8"/>
      <c r="D246" s="8"/>
      <c r="E246" s="9"/>
      <c r="F246" s="8"/>
      <c r="G246" s="10"/>
      <c r="H246" s="132"/>
      <c r="I246" s="8"/>
      <c r="J246" s="9"/>
      <c r="K246" s="8"/>
      <c r="L246" s="9"/>
      <c r="M246" s="8"/>
      <c r="N246" s="132"/>
      <c r="O246" s="8"/>
      <c r="P246" s="9"/>
      <c r="Q246" s="8"/>
      <c r="R246" s="9"/>
      <c r="S246" s="8"/>
      <c r="T246" s="8"/>
      <c r="U246" s="8"/>
      <c r="V246" s="132"/>
      <c r="W246" s="8"/>
      <c r="X246" s="8"/>
      <c r="Y246" s="9"/>
      <c r="Z246" s="8"/>
      <c r="AA246" s="2"/>
      <c r="AB246" s="2"/>
    </row>
    <row r="247" spans="1:28" outlineLevel="1" x14ac:dyDescent="0.15">
      <c r="A247" s="8"/>
      <c r="B247" s="8"/>
      <c r="C247" s="8"/>
      <c r="D247" s="8"/>
      <c r="E247" s="9"/>
      <c r="F247" s="8"/>
      <c r="G247" s="10"/>
      <c r="H247" s="132"/>
      <c r="I247" s="8"/>
      <c r="J247" s="9"/>
      <c r="K247" s="8"/>
      <c r="L247" s="9"/>
      <c r="M247" s="8"/>
      <c r="N247" s="132"/>
      <c r="O247" s="8"/>
      <c r="P247" s="9"/>
      <c r="Q247" s="8"/>
      <c r="R247" s="9"/>
      <c r="S247" s="8"/>
      <c r="T247" s="8"/>
      <c r="U247" s="8"/>
      <c r="V247" s="132"/>
      <c r="W247" s="8"/>
      <c r="X247" s="8"/>
      <c r="Y247" s="9"/>
      <c r="Z247" s="8"/>
      <c r="AA247" s="2"/>
      <c r="AB247" s="2"/>
    </row>
    <row r="248" spans="1:28" outlineLevel="1" x14ac:dyDescent="0.15">
      <c r="A248" s="8"/>
      <c r="B248" s="8"/>
      <c r="C248" s="8"/>
      <c r="D248" s="8"/>
      <c r="E248" s="9"/>
      <c r="F248" s="8"/>
      <c r="G248" s="10"/>
      <c r="H248" s="132"/>
      <c r="I248" s="8"/>
      <c r="J248" s="9"/>
      <c r="K248" s="8"/>
      <c r="L248" s="9"/>
      <c r="M248" s="8"/>
      <c r="N248" s="132"/>
      <c r="O248" s="8"/>
      <c r="P248" s="9"/>
      <c r="Q248" s="8"/>
      <c r="R248" s="9"/>
      <c r="S248" s="8"/>
      <c r="T248" s="8"/>
      <c r="U248" s="8"/>
      <c r="V248" s="132"/>
      <c r="W248" s="8"/>
      <c r="X248" s="8"/>
      <c r="Y248" s="9"/>
      <c r="Z248" s="8"/>
      <c r="AA248" s="2"/>
      <c r="AB248" s="2"/>
    </row>
    <row r="249" spans="1:28" outlineLevel="1" x14ac:dyDescent="0.15">
      <c r="A249" s="8"/>
      <c r="B249" s="8"/>
      <c r="C249" s="8"/>
      <c r="D249" s="8"/>
      <c r="E249" s="9"/>
      <c r="F249" s="8"/>
      <c r="G249" s="10"/>
      <c r="H249" s="132"/>
      <c r="I249" s="8"/>
      <c r="J249" s="9"/>
      <c r="K249" s="8"/>
      <c r="L249" s="9"/>
      <c r="M249" s="8"/>
      <c r="N249" s="132"/>
      <c r="O249" s="8"/>
      <c r="P249" s="9"/>
      <c r="Q249" s="8"/>
      <c r="R249" s="9"/>
      <c r="S249" s="8"/>
      <c r="T249" s="8"/>
      <c r="U249" s="8"/>
      <c r="V249" s="132"/>
      <c r="W249" s="8"/>
      <c r="X249" s="8"/>
      <c r="Y249" s="9"/>
      <c r="Z249" s="8"/>
      <c r="AA249" s="2"/>
      <c r="AB249" s="2"/>
    </row>
    <row r="250" spans="1:28" outlineLevel="1" x14ac:dyDescent="0.15">
      <c r="A250" s="8"/>
      <c r="B250" s="8"/>
      <c r="C250" s="8"/>
      <c r="D250" s="8"/>
      <c r="E250" s="9"/>
      <c r="F250" s="8"/>
      <c r="G250" s="10"/>
      <c r="H250" s="132"/>
      <c r="I250" s="8"/>
      <c r="J250" s="9"/>
      <c r="K250" s="8"/>
      <c r="L250" s="9"/>
      <c r="M250" s="8"/>
      <c r="N250" s="132"/>
      <c r="O250" s="8"/>
      <c r="P250" s="9"/>
      <c r="Q250" s="8"/>
      <c r="R250" s="9"/>
      <c r="S250" s="8"/>
      <c r="T250" s="8"/>
      <c r="U250" s="8"/>
      <c r="V250" s="132"/>
      <c r="W250" s="8"/>
      <c r="X250" s="8"/>
      <c r="Y250" s="9"/>
      <c r="Z250" s="8"/>
      <c r="AA250" s="2"/>
      <c r="AB250" s="2"/>
    </row>
    <row r="251" spans="1:28" outlineLevel="1" x14ac:dyDescent="0.15">
      <c r="A251" s="8"/>
      <c r="B251" s="8"/>
      <c r="C251" s="8"/>
      <c r="D251" s="8"/>
      <c r="E251" s="9"/>
      <c r="F251" s="8"/>
      <c r="G251" s="10"/>
      <c r="H251" s="132"/>
      <c r="I251" s="8"/>
      <c r="J251" s="9"/>
      <c r="K251" s="8"/>
      <c r="L251" s="9"/>
      <c r="M251" s="8"/>
      <c r="N251" s="132"/>
      <c r="O251" s="8"/>
      <c r="P251" s="9"/>
      <c r="Q251" s="8"/>
      <c r="R251" s="9"/>
      <c r="S251" s="8"/>
      <c r="T251" s="8"/>
      <c r="U251" s="8"/>
      <c r="V251" s="132"/>
      <c r="W251" s="8"/>
      <c r="X251" s="8"/>
      <c r="Y251" s="9"/>
      <c r="Z251" s="8"/>
      <c r="AA251" s="2"/>
      <c r="AB251" s="2"/>
    </row>
    <row r="252" spans="1:28" outlineLevel="1" x14ac:dyDescent="0.15">
      <c r="A252" s="8"/>
      <c r="B252" s="8"/>
      <c r="C252" s="8"/>
      <c r="D252" s="8"/>
      <c r="E252" s="9"/>
      <c r="F252" s="8"/>
      <c r="G252" s="10"/>
      <c r="H252" s="132"/>
      <c r="I252" s="8"/>
      <c r="J252" s="9"/>
      <c r="K252" s="8"/>
      <c r="L252" s="9"/>
      <c r="M252" s="8"/>
      <c r="N252" s="132"/>
      <c r="O252" s="8"/>
      <c r="P252" s="9"/>
      <c r="Q252" s="8"/>
      <c r="R252" s="9"/>
      <c r="S252" s="8"/>
      <c r="T252" s="8"/>
      <c r="U252" s="8"/>
      <c r="V252" s="132"/>
      <c r="W252" s="8"/>
      <c r="X252" s="8"/>
      <c r="Y252" s="9"/>
      <c r="Z252" s="8"/>
      <c r="AA252" s="2"/>
      <c r="AB252" s="2"/>
    </row>
    <row r="253" spans="1:28" outlineLevel="1" x14ac:dyDescent="0.15">
      <c r="A253" s="8"/>
      <c r="B253" s="8"/>
      <c r="C253" s="8"/>
      <c r="D253" s="8"/>
      <c r="E253" s="9"/>
      <c r="F253" s="8"/>
      <c r="G253" s="10"/>
      <c r="H253" s="132"/>
      <c r="I253" s="8"/>
      <c r="J253" s="9"/>
      <c r="K253" s="8"/>
      <c r="L253" s="9"/>
      <c r="M253" s="8"/>
      <c r="N253" s="132"/>
      <c r="O253" s="8"/>
      <c r="P253" s="9"/>
      <c r="Q253" s="8"/>
      <c r="R253" s="9"/>
      <c r="S253" s="8"/>
      <c r="T253" s="8"/>
      <c r="U253" s="8"/>
      <c r="V253" s="132"/>
      <c r="W253" s="8"/>
      <c r="X253" s="8"/>
      <c r="Y253" s="9"/>
      <c r="Z253" s="8"/>
      <c r="AA253" s="2"/>
      <c r="AB253" s="2"/>
    </row>
    <row r="254" spans="1:28" outlineLevel="1" x14ac:dyDescent="0.15">
      <c r="A254" s="8"/>
      <c r="B254" s="8"/>
      <c r="C254" s="8"/>
      <c r="D254" s="8"/>
      <c r="E254" s="9"/>
      <c r="F254" s="8"/>
      <c r="G254" s="10"/>
      <c r="H254" s="132"/>
      <c r="I254" s="8"/>
      <c r="J254" s="9"/>
      <c r="K254" s="8"/>
      <c r="L254" s="9"/>
      <c r="M254" s="8"/>
      <c r="N254" s="132"/>
      <c r="O254" s="8"/>
      <c r="P254" s="9"/>
      <c r="Q254" s="8"/>
      <c r="R254" s="9"/>
      <c r="S254" s="8"/>
      <c r="T254" s="8"/>
      <c r="U254" s="8"/>
      <c r="V254" s="132"/>
      <c r="W254" s="8"/>
      <c r="X254" s="8"/>
      <c r="Y254" s="9"/>
      <c r="Z254" s="8"/>
      <c r="AA254" s="2"/>
      <c r="AB254" s="2"/>
    </row>
    <row r="255" spans="1:28" outlineLevel="1" x14ac:dyDescent="0.15">
      <c r="A255" s="8"/>
      <c r="B255" s="8"/>
      <c r="C255" s="8"/>
      <c r="D255" s="8"/>
      <c r="E255" s="9"/>
      <c r="F255" s="8"/>
      <c r="G255" s="10"/>
      <c r="H255" s="132"/>
      <c r="I255" s="8"/>
      <c r="J255" s="9"/>
      <c r="K255" s="8"/>
      <c r="L255" s="9"/>
      <c r="M255" s="8"/>
      <c r="N255" s="132"/>
      <c r="O255" s="8"/>
      <c r="P255" s="9"/>
      <c r="Q255" s="8"/>
      <c r="R255" s="9"/>
      <c r="S255" s="8"/>
      <c r="T255" s="8"/>
      <c r="U255" s="8"/>
      <c r="V255" s="132"/>
      <c r="W255" s="8"/>
      <c r="X255" s="8"/>
      <c r="Y255" s="9"/>
      <c r="Z255" s="8"/>
      <c r="AA255" s="2"/>
      <c r="AB255" s="2"/>
    </row>
    <row r="256" spans="1:28" outlineLevel="1" x14ac:dyDescent="0.15">
      <c r="A256" s="8"/>
      <c r="B256" s="8"/>
      <c r="C256" s="8"/>
      <c r="D256" s="8"/>
      <c r="E256" s="9"/>
      <c r="F256" s="8"/>
      <c r="G256" s="10"/>
      <c r="H256" s="132"/>
      <c r="I256" s="8"/>
      <c r="J256" s="9"/>
      <c r="K256" s="8"/>
      <c r="L256" s="9"/>
      <c r="M256" s="8"/>
      <c r="N256" s="132"/>
      <c r="O256" s="8"/>
      <c r="P256" s="9"/>
      <c r="Q256" s="8"/>
      <c r="R256" s="9"/>
      <c r="S256" s="8"/>
      <c r="T256" s="8"/>
      <c r="U256" s="8"/>
      <c r="V256" s="132"/>
      <c r="W256" s="8"/>
      <c r="X256" s="8"/>
      <c r="Y256" s="9"/>
      <c r="Z256" s="8"/>
      <c r="AA256" s="2"/>
      <c r="AB256" s="2"/>
    </row>
    <row r="257" spans="1:28" outlineLevel="1" x14ac:dyDescent="0.15">
      <c r="A257" s="8"/>
      <c r="B257" s="8"/>
      <c r="C257" s="8"/>
      <c r="D257" s="8"/>
      <c r="E257" s="9"/>
      <c r="F257" s="8"/>
      <c r="G257" s="10"/>
      <c r="H257" s="132"/>
      <c r="I257" s="8"/>
      <c r="J257" s="9"/>
      <c r="K257" s="8"/>
      <c r="L257" s="9"/>
      <c r="M257" s="8"/>
      <c r="N257" s="132"/>
      <c r="O257" s="8"/>
      <c r="P257" s="9"/>
      <c r="Q257" s="8"/>
      <c r="R257" s="9"/>
      <c r="S257" s="8"/>
      <c r="T257" s="8"/>
      <c r="U257" s="8"/>
      <c r="V257" s="132"/>
      <c r="W257" s="8"/>
      <c r="X257" s="8"/>
      <c r="Y257" s="9"/>
      <c r="Z257" s="8"/>
      <c r="AA257" s="2"/>
      <c r="AB257" s="2"/>
    </row>
    <row r="258" spans="1:28" outlineLevel="1" x14ac:dyDescent="0.15">
      <c r="A258" s="8"/>
      <c r="B258" s="8"/>
      <c r="C258" s="8"/>
      <c r="D258" s="8"/>
      <c r="E258" s="9"/>
      <c r="F258" s="8"/>
      <c r="G258" s="10"/>
      <c r="H258" s="132"/>
      <c r="I258" s="8"/>
      <c r="J258" s="9"/>
      <c r="K258" s="8"/>
      <c r="L258" s="9"/>
      <c r="M258" s="8"/>
      <c r="N258" s="132"/>
      <c r="O258" s="8"/>
      <c r="P258" s="9"/>
      <c r="Q258" s="8"/>
      <c r="R258" s="9"/>
      <c r="S258" s="8"/>
      <c r="T258" s="8"/>
      <c r="U258" s="8"/>
      <c r="V258" s="132"/>
      <c r="W258" s="8"/>
      <c r="X258" s="8"/>
      <c r="Y258" s="9"/>
      <c r="Z258" s="8"/>
      <c r="AA258" s="2"/>
      <c r="AB258" s="2"/>
    </row>
    <row r="259" spans="1:28" outlineLevel="1" x14ac:dyDescent="0.15">
      <c r="A259" s="8"/>
      <c r="B259" s="8"/>
      <c r="C259" s="8"/>
      <c r="D259" s="8"/>
      <c r="E259" s="9"/>
      <c r="F259" s="8"/>
      <c r="G259" s="10"/>
      <c r="H259" s="132"/>
      <c r="I259" s="8"/>
      <c r="J259" s="9"/>
      <c r="K259" s="8"/>
      <c r="L259" s="9"/>
      <c r="M259" s="8"/>
      <c r="N259" s="132"/>
      <c r="O259" s="8"/>
      <c r="P259" s="9"/>
      <c r="Q259" s="8"/>
      <c r="R259" s="9"/>
      <c r="S259" s="8"/>
      <c r="T259" s="8"/>
      <c r="U259" s="8"/>
      <c r="V259" s="132"/>
      <c r="W259" s="8"/>
      <c r="X259" s="8"/>
      <c r="Y259" s="9"/>
      <c r="Z259" s="8"/>
      <c r="AA259" s="2"/>
      <c r="AB259" s="2"/>
    </row>
    <row r="260" spans="1:28" outlineLevel="1" x14ac:dyDescent="0.15">
      <c r="A260" s="8"/>
      <c r="B260" s="8"/>
      <c r="C260" s="8"/>
      <c r="D260" s="8"/>
      <c r="E260" s="9"/>
      <c r="F260" s="8"/>
      <c r="G260" s="10"/>
      <c r="H260" s="132"/>
      <c r="I260" s="8"/>
      <c r="J260" s="9"/>
      <c r="K260" s="8"/>
      <c r="L260" s="9"/>
      <c r="M260" s="8"/>
      <c r="N260" s="132"/>
      <c r="O260" s="8"/>
      <c r="P260" s="9"/>
      <c r="Q260" s="8"/>
      <c r="R260" s="9"/>
      <c r="S260" s="8"/>
      <c r="T260" s="8"/>
      <c r="U260" s="8"/>
      <c r="V260" s="132"/>
      <c r="W260" s="8"/>
      <c r="X260" s="8"/>
      <c r="Y260" s="9"/>
      <c r="Z260" s="8"/>
      <c r="AA260" s="2"/>
      <c r="AB260" s="2"/>
    </row>
    <row r="261" spans="1:28" outlineLevel="1" x14ac:dyDescent="0.15">
      <c r="A261" s="8"/>
      <c r="B261" s="8"/>
      <c r="C261" s="8"/>
      <c r="D261" s="8"/>
      <c r="E261" s="9"/>
      <c r="F261" s="8"/>
      <c r="G261" s="10"/>
      <c r="H261" s="132"/>
      <c r="I261" s="8"/>
      <c r="J261" s="9"/>
      <c r="K261" s="8"/>
      <c r="L261" s="9"/>
      <c r="M261" s="8"/>
      <c r="N261" s="132"/>
      <c r="O261" s="8"/>
      <c r="P261" s="9"/>
      <c r="Q261" s="8"/>
      <c r="R261" s="9"/>
      <c r="S261" s="8"/>
      <c r="T261" s="8"/>
      <c r="U261" s="8"/>
      <c r="V261" s="132"/>
      <c r="W261" s="8"/>
      <c r="X261" s="8"/>
      <c r="Y261" s="9"/>
      <c r="Z261" s="8"/>
      <c r="AA261" s="2"/>
      <c r="AB261" s="2"/>
    </row>
    <row r="262" spans="1:28" outlineLevel="1" x14ac:dyDescent="0.15">
      <c r="A262" s="8"/>
      <c r="B262" s="8"/>
      <c r="C262" s="8"/>
      <c r="D262" s="8"/>
      <c r="E262" s="9"/>
      <c r="F262" s="8"/>
      <c r="G262" s="10"/>
      <c r="H262" s="132"/>
      <c r="I262" s="8"/>
      <c r="J262" s="9"/>
      <c r="K262" s="8"/>
      <c r="L262" s="9"/>
      <c r="M262" s="8"/>
      <c r="N262" s="132"/>
      <c r="O262" s="8"/>
      <c r="P262" s="9"/>
      <c r="Q262" s="8"/>
      <c r="R262" s="9"/>
      <c r="S262" s="8"/>
      <c r="T262" s="8"/>
      <c r="U262" s="8"/>
      <c r="V262" s="132"/>
      <c r="W262" s="8"/>
      <c r="X262" s="8"/>
      <c r="Y262" s="9"/>
      <c r="Z262" s="8"/>
      <c r="AA262" s="2"/>
      <c r="AB262" s="2"/>
    </row>
    <row r="263" spans="1:28" outlineLevel="1" x14ac:dyDescent="0.15">
      <c r="A263" s="8"/>
      <c r="B263" s="8"/>
      <c r="C263" s="8"/>
      <c r="D263" s="8"/>
      <c r="E263" s="9"/>
      <c r="F263" s="8"/>
      <c r="G263" s="10"/>
      <c r="H263" s="132"/>
      <c r="I263" s="8"/>
      <c r="J263" s="9"/>
      <c r="K263" s="8"/>
      <c r="L263" s="9"/>
      <c r="M263" s="8"/>
      <c r="N263" s="132"/>
      <c r="O263" s="8"/>
      <c r="P263" s="9"/>
      <c r="Q263" s="8"/>
      <c r="R263" s="9"/>
      <c r="S263" s="8"/>
      <c r="T263" s="8"/>
      <c r="U263" s="8"/>
      <c r="V263" s="132"/>
      <c r="W263" s="8"/>
      <c r="X263" s="8"/>
      <c r="Y263" s="9"/>
      <c r="Z263" s="8"/>
      <c r="AA263" s="2"/>
      <c r="AB263" s="2"/>
    </row>
    <row r="264" spans="1:28" outlineLevel="1" x14ac:dyDescent="0.15">
      <c r="A264" s="8"/>
      <c r="B264" s="8"/>
      <c r="C264" s="8"/>
      <c r="D264" s="8"/>
      <c r="E264" s="9"/>
      <c r="F264" s="8"/>
      <c r="G264" s="10"/>
      <c r="H264" s="132"/>
      <c r="I264" s="8"/>
      <c r="J264" s="9"/>
      <c r="K264" s="8"/>
      <c r="L264" s="9"/>
      <c r="M264" s="8"/>
      <c r="N264" s="132"/>
      <c r="O264" s="8"/>
      <c r="P264" s="9"/>
      <c r="Q264" s="8"/>
      <c r="R264" s="9"/>
      <c r="S264" s="8"/>
      <c r="T264" s="8"/>
      <c r="U264" s="8"/>
      <c r="V264" s="132"/>
      <c r="W264" s="8"/>
      <c r="X264" s="8"/>
      <c r="Y264" s="9"/>
      <c r="Z264" s="8"/>
      <c r="AA264" s="2"/>
      <c r="AB264" s="2"/>
    </row>
    <row r="265" spans="1:28" outlineLevel="1" x14ac:dyDescent="0.15">
      <c r="A265" s="8"/>
      <c r="B265" s="8"/>
      <c r="C265" s="8"/>
      <c r="D265" s="8"/>
      <c r="E265" s="9"/>
      <c r="F265" s="8"/>
      <c r="G265" s="10"/>
      <c r="H265" s="132"/>
      <c r="I265" s="8"/>
      <c r="J265" s="9"/>
      <c r="K265" s="8"/>
      <c r="L265" s="9"/>
      <c r="M265" s="8"/>
      <c r="N265" s="132"/>
      <c r="O265" s="8"/>
      <c r="P265" s="9"/>
      <c r="Q265" s="8"/>
      <c r="R265" s="9"/>
      <c r="S265" s="8"/>
      <c r="T265" s="8"/>
      <c r="U265" s="8"/>
      <c r="V265" s="132"/>
      <c r="W265" s="8"/>
      <c r="X265" s="8"/>
      <c r="Y265" s="9"/>
      <c r="Z265" s="8"/>
      <c r="AA265" s="2"/>
      <c r="AB265" s="2"/>
    </row>
    <row r="266" spans="1:28" outlineLevel="1" x14ac:dyDescent="0.15">
      <c r="A266" s="8"/>
      <c r="B266" s="8"/>
      <c r="C266" s="8"/>
      <c r="D266" s="8"/>
      <c r="E266" s="9"/>
      <c r="F266" s="8"/>
      <c r="G266" s="10"/>
      <c r="H266" s="132"/>
      <c r="I266" s="8"/>
      <c r="J266" s="9"/>
      <c r="K266" s="8"/>
      <c r="L266" s="9"/>
      <c r="M266" s="8"/>
      <c r="N266" s="132"/>
      <c r="O266" s="8"/>
      <c r="P266" s="9"/>
      <c r="Q266" s="8"/>
      <c r="R266" s="9"/>
      <c r="S266" s="8"/>
      <c r="T266" s="8"/>
      <c r="U266" s="8"/>
      <c r="V266" s="132"/>
      <c r="W266" s="8"/>
      <c r="X266" s="8"/>
      <c r="Y266" s="9"/>
      <c r="Z266" s="8"/>
      <c r="AA266" s="2"/>
      <c r="AB266" s="2"/>
    </row>
    <row r="267" spans="1:28" outlineLevel="1" x14ac:dyDescent="0.15">
      <c r="A267" s="8"/>
      <c r="B267" s="8"/>
      <c r="C267" s="8"/>
      <c r="D267" s="8"/>
      <c r="E267" s="9"/>
      <c r="F267" s="8"/>
      <c r="G267" s="10"/>
      <c r="H267" s="132"/>
      <c r="I267" s="8"/>
      <c r="J267" s="9"/>
      <c r="K267" s="8"/>
      <c r="L267" s="9"/>
      <c r="M267" s="8"/>
      <c r="N267" s="132"/>
      <c r="O267" s="8"/>
      <c r="P267" s="9"/>
      <c r="Q267" s="8"/>
      <c r="R267" s="9"/>
      <c r="S267" s="8"/>
      <c r="T267" s="8"/>
      <c r="U267" s="8"/>
      <c r="V267" s="132"/>
      <c r="W267" s="8"/>
      <c r="X267" s="8"/>
      <c r="Y267" s="9"/>
      <c r="Z267" s="8"/>
      <c r="AA267" s="2"/>
      <c r="AB267" s="2"/>
    </row>
    <row r="268" spans="1:28" outlineLevel="1" x14ac:dyDescent="0.15">
      <c r="A268" s="8"/>
      <c r="B268" s="8"/>
      <c r="C268" s="8"/>
      <c r="D268" s="8"/>
      <c r="E268" s="9"/>
      <c r="F268" s="8"/>
      <c r="G268" s="10"/>
      <c r="H268" s="132"/>
      <c r="I268" s="8"/>
      <c r="J268" s="9"/>
      <c r="K268" s="8"/>
      <c r="L268" s="9"/>
      <c r="M268" s="8"/>
      <c r="N268" s="132"/>
      <c r="O268" s="8"/>
      <c r="P268" s="9"/>
      <c r="Q268" s="8"/>
      <c r="R268" s="9"/>
      <c r="S268" s="8"/>
      <c r="T268" s="8"/>
      <c r="U268" s="8"/>
      <c r="V268" s="132"/>
      <c r="W268" s="8"/>
      <c r="X268" s="8"/>
      <c r="Y268" s="9"/>
      <c r="Z268" s="8"/>
      <c r="AA268" s="2"/>
      <c r="AB268" s="2"/>
    </row>
    <row r="269" spans="1:28" outlineLevel="1" x14ac:dyDescent="0.15">
      <c r="A269" s="8"/>
      <c r="B269" s="8"/>
      <c r="C269" s="8"/>
      <c r="D269" s="8"/>
      <c r="E269" s="9"/>
      <c r="F269" s="8"/>
      <c r="G269" s="10"/>
      <c r="H269" s="132"/>
      <c r="I269" s="8"/>
      <c r="J269" s="9"/>
      <c r="K269" s="8"/>
      <c r="L269" s="9"/>
      <c r="M269" s="8"/>
      <c r="N269" s="132"/>
      <c r="O269" s="8"/>
      <c r="P269" s="9"/>
      <c r="Q269" s="8"/>
      <c r="R269" s="9"/>
      <c r="S269" s="8"/>
      <c r="T269" s="8"/>
      <c r="U269" s="8"/>
      <c r="V269" s="132"/>
      <c r="W269" s="8"/>
      <c r="X269" s="8"/>
      <c r="Y269" s="9"/>
      <c r="Z269" s="8"/>
      <c r="AA269" s="2"/>
      <c r="AB269" s="2"/>
    </row>
    <row r="270" spans="1:28" outlineLevel="1" x14ac:dyDescent="0.15">
      <c r="A270" s="8"/>
      <c r="B270" s="8"/>
      <c r="C270" s="8"/>
      <c r="D270" s="8"/>
      <c r="E270" s="9"/>
      <c r="F270" s="8"/>
      <c r="G270" s="10"/>
      <c r="H270" s="132"/>
      <c r="I270" s="8"/>
      <c r="J270" s="9"/>
      <c r="K270" s="8"/>
      <c r="L270" s="9"/>
      <c r="M270" s="8"/>
      <c r="N270" s="132"/>
      <c r="O270" s="8"/>
      <c r="P270" s="9"/>
      <c r="Q270" s="8"/>
      <c r="R270" s="9"/>
      <c r="S270" s="8"/>
      <c r="T270" s="8"/>
      <c r="U270" s="8"/>
      <c r="V270" s="132"/>
      <c r="W270" s="8"/>
      <c r="X270" s="8"/>
      <c r="Y270" s="9"/>
      <c r="Z270" s="8"/>
      <c r="AA270" s="2"/>
      <c r="AB270" s="2"/>
    </row>
    <row r="271" spans="1:28" outlineLevel="1" x14ac:dyDescent="0.15">
      <c r="A271" s="8"/>
      <c r="B271" s="8"/>
      <c r="C271" s="8"/>
      <c r="D271" s="8"/>
      <c r="E271" s="9"/>
      <c r="F271" s="8"/>
      <c r="G271" s="10"/>
      <c r="H271" s="132"/>
      <c r="I271" s="8"/>
      <c r="J271" s="9"/>
      <c r="K271" s="8"/>
      <c r="L271" s="9"/>
      <c r="M271" s="8"/>
      <c r="N271" s="132"/>
      <c r="O271" s="8"/>
      <c r="P271" s="9"/>
      <c r="Q271" s="8"/>
      <c r="R271" s="9"/>
      <c r="S271" s="8"/>
      <c r="T271" s="8"/>
      <c r="U271" s="8"/>
      <c r="V271" s="132"/>
      <c r="W271" s="8"/>
      <c r="X271" s="8"/>
      <c r="Y271" s="9"/>
      <c r="Z271" s="8"/>
      <c r="AA271" s="2"/>
      <c r="AB271" s="2"/>
    </row>
    <row r="272" spans="1:28" outlineLevel="1" x14ac:dyDescent="0.15">
      <c r="A272" s="8"/>
      <c r="B272" s="8"/>
      <c r="C272" s="8"/>
      <c r="D272" s="8"/>
      <c r="E272" s="9"/>
      <c r="F272" s="8"/>
      <c r="G272" s="10"/>
      <c r="H272" s="132"/>
      <c r="I272" s="8"/>
      <c r="J272" s="9"/>
      <c r="K272" s="8"/>
      <c r="L272" s="9"/>
      <c r="M272" s="8"/>
      <c r="N272" s="132"/>
      <c r="O272" s="8"/>
      <c r="P272" s="9"/>
      <c r="Q272" s="8"/>
      <c r="R272" s="9"/>
      <c r="S272" s="8"/>
      <c r="T272" s="8"/>
      <c r="U272" s="8"/>
      <c r="V272" s="132"/>
      <c r="W272" s="8"/>
      <c r="X272" s="8"/>
      <c r="Y272" s="9"/>
      <c r="Z272" s="8"/>
      <c r="AA272" s="2"/>
      <c r="AB272" s="2"/>
    </row>
    <row r="273" spans="1:28" outlineLevel="1" x14ac:dyDescent="0.15">
      <c r="A273" s="8"/>
      <c r="B273" s="8"/>
      <c r="C273" s="8"/>
      <c r="D273" s="8"/>
      <c r="E273" s="9"/>
      <c r="F273" s="8"/>
      <c r="G273" s="10"/>
      <c r="H273" s="132"/>
      <c r="I273" s="8"/>
      <c r="J273" s="9"/>
      <c r="K273" s="8"/>
      <c r="L273" s="9"/>
      <c r="M273" s="8"/>
      <c r="N273" s="132"/>
      <c r="O273" s="8"/>
      <c r="P273" s="9"/>
      <c r="Q273" s="8"/>
      <c r="R273" s="9"/>
      <c r="S273" s="8"/>
      <c r="T273" s="8"/>
      <c r="U273" s="8"/>
      <c r="V273" s="132"/>
      <c r="W273" s="8"/>
      <c r="X273" s="8"/>
      <c r="Y273" s="9"/>
      <c r="Z273" s="8"/>
      <c r="AA273" s="2"/>
      <c r="AB273" s="2"/>
    </row>
    <row r="274" spans="1:28" outlineLevel="1" x14ac:dyDescent="0.15">
      <c r="A274" s="8"/>
      <c r="B274" s="8"/>
      <c r="C274" s="8"/>
      <c r="D274" s="8"/>
      <c r="E274" s="9"/>
      <c r="F274" s="8"/>
      <c r="G274" s="10"/>
      <c r="H274" s="132"/>
      <c r="I274" s="8"/>
      <c r="J274" s="9"/>
      <c r="K274" s="8"/>
      <c r="L274" s="9"/>
      <c r="M274" s="8"/>
      <c r="N274" s="132"/>
      <c r="O274" s="8"/>
      <c r="P274" s="9"/>
      <c r="Q274" s="8"/>
      <c r="R274" s="9"/>
      <c r="S274" s="8"/>
      <c r="T274" s="8"/>
      <c r="U274" s="8"/>
      <c r="V274" s="132"/>
      <c r="W274" s="8"/>
      <c r="X274" s="8"/>
      <c r="Y274" s="9"/>
      <c r="Z274" s="8"/>
      <c r="AA274" s="2"/>
      <c r="AB274" s="2"/>
    </row>
    <row r="275" spans="1:28" outlineLevel="1" x14ac:dyDescent="0.15">
      <c r="A275" s="8"/>
      <c r="B275" s="8"/>
      <c r="C275" s="8"/>
      <c r="D275" s="8"/>
      <c r="E275" s="9"/>
      <c r="F275" s="8"/>
      <c r="G275" s="10"/>
      <c r="H275" s="132"/>
      <c r="I275" s="8"/>
      <c r="J275" s="9"/>
      <c r="K275" s="8"/>
      <c r="L275" s="9"/>
      <c r="M275" s="8"/>
      <c r="N275" s="132"/>
      <c r="O275" s="8"/>
      <c r="P275" s="9"/>
      <c r="Q275" s="8"/>
      <c r="R275" s="9"/>
      <c r="S275" s="8"/>
      <c r="T275" s="8"/>
      <c r="U275" s="8"/>
      <c r="V275" s="132"/>
      <c r="W275" s="8"/>
      <c r="X275" s="8"/>
      <c r="Y275" s="9"/>
      <c r="Z275" s="8"/>
      <c r="AA275" s="2"/>
      <c r="AB275" s="2"/>
    </row>
    <row r="276" spans="1:28" outlineLevel="1" x14ac:dyDescent="0.15">
      <c r="A276" s="8"/>
      <c r="B276" s="8"/>
      <c r="C276" s="8"/>
      <c r="D276" s="8"/>
      <c r="E276" s="9"/>
      <c r="F276" s="8"/>
      <c r="G276" s="10"/>
      <c r="H276" s="132"/>
      <c r="I276" s="8"/>
      <c r="J276" s="9"/>
      <c r="K276" s="8"/>
      <c r="L276" s="9"/>
      <c r="M276" s="8"/>
      <c r="N276" s="132"/>
      <c r="O276" s="8"/>
      <c r="P276" s="9"/>
      <c r="Q276" s="8"/>
      <c r="R276" s="9"/>
      <c r="S276" s="8"/>
      <c r="T276" s="8"/>
      <c r="U276" s="8"/>
      <c r="V276" s="132"/>
      <c r="W276" s="8"/>
      <c r="X276" s="8"/>
      <c r="Y276" s="9"/>
      <c r="Z276" s="8"/>
      <c r="AA276" s="2"/>
      <c r="AB276" s="2"/>
    </row>
    <row r="277" spans="1:28" outlineLevel="1" x14ac:dyDescent="0.15">
      <c r="A277" s="8"/>
      <c r="B277" s="8"/>
      <c r="C277" s="8"/>
      <c r="D277" s="8"/>
      <c r="E277" s="9"/>
      <c r="F277" s="8"/>
      <c r="G277" s="10"/>
      <c r="H277" s="132"/>
      <c r="I277" s="8"/>
      <c r="J277" s="9"/>
      <c r="K277" s="8"/>
      <c r="L277" s="9"/>
      <c r="M277" s="8"/>
      <c r="N277" s="132"/>
      <c r="O277" s="8"/>
      <c r="P277" s="9"/>
      <c r="Q277" s="8"/>
      <c r="R277" s="9"/>
      <c r="S277" s="8"/>
      <c r="T277" s="8"/>
      <c r="U277" s="8"/>
      <c r="V277" s="132"/>
      <c r="W277" s="8"/>
      <c r="X277" s="8"/>
      <c r="Y277" s="9"/>
      <c r="Z277" s="8"/>
      <c r="AA277" s="2"/>
      <c r="AB277" s="2"/>
    </row>
    <row r="278" spans="1:28" outlineLevel="1" x14ac:dyDescent="0.15">
      <c r="A278" s="8"/>
      <c r="B278" s="8"/>
      <c r="C278" s="8"/>
      <c r="D278" s="8"/>
      <c r="E278" s="9"/>
      <c r="F278" s="8"/>
      <c r="G278" s="10"/>
      <c r="H278" s="132"/>
      <c r="I278" s="8"/>
      <c r="J278" s="9"/>
      <c r="K278" s="8"/>
      <c r="L278" s="9"/>
      <c r="M278" s="8"/>
      <c r="N278" s="132"/>
      <c r="O278" s="8"/>
      <c r="P278" s="9"/>
      <c r="Q278" s="8"/>
      <c r="R278" s="9"/>
      <c r="S278" s="8"/>
      <c r="T278" s="8"/>
      <c r="U278" s="8"/>
      <c r="V278" s="132"/>
      <c r="W278" s="8"/>
      <c r="X278" s="8"/>
      <c r="Y278" s="9"/>
      <c r="Z278" s="8"/>
      <c r="AA278" s="2"/>
      <c r="AB278" s="2"/>
    </row>
    <row r="279" spans="1:28" outlineLevel="1" x14ac:dyDescent="0.15">
      <c r="A279" s="8"/>
      <c r="B279" s="8"/>
      <c r="C279" s="8"/>
      <c r="D279" s="8"/>
      <c r="E279" s="9"/>
      <c r="F279" s="8"/>
      <c r="G279" s="10"/>
      <c r="H279" s="132"/>
      <c r="I279" s="8"/>
      <c r="J279" s="9"/>
      <c r="K279" s="8"/>
      <c r="L279" s="9"/>
      <c r="M279" s="8"/>
      <c r="N279" s="132"/>
      <c r="O279" s="8"/>
      <c r="P279" s="9"/>
      <c r="Q279" s="8"/>
      <c r="R279" s="9"/>
      <c r="S279" s="8"/>
      <c r="T279" s="8"/>
      <c r="U279" s="8"/>
      <c r="V279" s="132"/>
      <c r="W279" s="8"/>
      <c r="X279" s="8"/>
      <c r="Y279" s="9"/>
      <c r="Z279" s="8"/>
      <c r="AA279" s="2"/>
      <c r="AB279" s="2"/>
    </row>
    <row r="280" spans="1:28" outlineLevel="1" x14ac:dyDescent="0.15">
      <c r="A280" s="8"/>
      <c r="B280" s="8"/>
      <c r="C280" s="8"/>
      <c r="D280" s="8"/>
      <c r="E280" s="9"/>
      <c r="F280" s="8"/>
      <c r="G280" s="10"/>
      <c r="H280" s="132"/>
      <c r="I280" s="8"/>
      <c r="J280" s="9"/>
      <c r="K280" s="8"/>
      <c r="L280" s="9"/>
      <c r="M280" s="8"/>
      <c r="N280" s="132"/>
      <c r="O280" s="8"/>
      <c r="P280" s="9"/>
      <c r="Q280" s="8"/>
      <c r="R280" s="9"/>
      <c r="S280" s="8"/>
      <c r="T280" s="8"/>
      <c r="U280" s="8"/>
      <c r="V280" s="132"/>
      <c r="W280" s="8"/>
      <c r="X280" s="8"/>
      <c r="Y280" s="9"/>
      <c r="Z280" s="8"/>
      <c r="AA280" s="2"/>
      <c r="AB280" s="2"/>
    </row>
    <row r="281" spans="1:28" outlineLevel="1" x14ac:dyDescent="0.15">
      <c r="A281" s="8"/>
      <c r="B281" s="8"/>
      <c r="C281" s="8"/>
      <c r="D281" s="8"/>
      <c r="E281" s="9"/>
      <c r="F281" s="8"/>
      <c r="G281" s="10"/>
      <c r="H281" s="132"/>
      <c r="I281" s="8"/>
      <c r="J281" s="9"/>
      <c r="K281" s="8"/>
      <c r="L281" s="9"/>
      <c r="M281" s="8"/>
      <c r="N281" s="132"/>
      <c r="O281" s="8"/>
      <c r="P281" s="9"/>
      <c r="Q281" s="8"/>
      <c r="R281" s="9"/>
      <c r="S281" s="8"/>
      <c r="T281" s="8"/>
      <c r="U281" s="8"/>
      <c r="V281" s="132"/>
      <c r="W281" s="8"/>
      <c r="X281" s="8"/>
      <c r="Y281" s="9"/>
      <c r="Z281" s="8"/>
      <c r="AA281" s="2"/>
      <c r="AB281" s="2"/>
    </row>
    <row r="282" spans="1:28" outlineLevel="1" x14ac:dyDescent="0.15">
      <c r="A282" s="8"/>
      <c r="B282" s="8"/>
      <c r="C282" s="8"/>
      <c r="D282" s="8"/>
      <c r="E282" s="9"/>
      <c r="F282" s="8"/>
      <c r="G282" s="10"/>
      <c r="H282" s="132"/>
      <c r="I282" s="8"/>
      <c r="J282" s="9"/>
      <c r="K282" s="8"/>
      <c r="L282" s="9"/>
      <c r="M282" s="8"/>
      <c r="N282" s="132"/>
      <c r="O282" s="8"/>
      <c r="P282" s="9"/>
      <c r="Q282" s="8"/>
      <c r="R282" s="9"/>
      <c r="S282" s="8"/>
      <c r="T282" s="8"/>
      <c r="U282" s="8"/>
      <c r="V282" s="132"/>
      <c r="W282" s="8"/>
      <c r="X282" s="8"/>
      <c r="Y282" s="9"/>
      <c r="Z282" s="8"/>
      <c r="AA282" s="2"/>
      <c r="AB282" s="2"/>
    </row>
    <row r="283" spans="1:28" outlineLevel="1" x14ac:dyDescent="0.15">
      <c r="A283" s="8"/>
      <c r="B283" s="8"/>
      <c r="C283" s="8"/>
      <c r="D283" s="8"/>
      <c r="E283" s="9"/>
      <c r="F283" s="8"/>
      <c r="G283" s="10"/>
      <c r="H283" s="132"/>
      <c r="I283" s="8"/>
      <c r="J283" s="9"/>
      <c r="K283" s="8"/>
      <c r="L283" s="9"/>
      <c r="M283" s="8"/>
      <c r="N283" s="132"/>
      <c r="O283" s="8"/>
      <c r="P283" s="9"/>
      <c r="Q283" s="8"/>
      <c r="R283" s="9"/>
      <c r="S283" s="8"/>
      <c r="T283" s="8"/>
      <c r="U283" s="8"/>
      <c r="V283" s="132"/>
      <c r="W283" s="8"/>
      <c r="X283" s="8"/>
      <c r="Y283" s="9"/>
      <c r="Z283" s="8"/>
      <c r="AA283" s="2"/>
      <c r="AB283" s="2"/>
    </row>
    <row r="284" spans="1:28" outlineLevel="1" x14ac:dyDescent="0.15">
      <c r="A284" s="8"/>
      <c r="B284" s="8"/>
      <c r="C284" s="8"/>
      <c r="D284" s="8"/>
      <c r="E284" s="9"/>
      <c r="F284" s="8"/>
      <c r="G284" s="10"/>
      <c r="H284" s="132"/>
      <c r="I284" s="8"/>
      <c r="J284" s="9"/>
      <c r="K284" s="8"/>
      <c r="L284" s="9"/>
      <c r="M284" s="8"/>
      <c r="N284" s="132"/>
      <c r="O284" s="8"/>
      <c r="P284" s="9"/>
      <c r="Q284" s="8"/>
      <c r="R284" s="9"/>
      <c r="S284" s="8"/>
      <c r="T284" s="8"/>
      <c r="U284" s="8"/>
      <c r="V284" s="132"/>
      <c r="W284" s="8"/>
      <c r="X284" s="8"/>
      <c r="Y284" s="9"/>
      <c r="Z284" s="8"/>
      <c r="AA284" s="2"/>
      <c r="AB284" s="2"/>
    </row>
    <row r="285" spans="1:28" outlineLevel="1" x14ac:dyDescent="0.15">
      <c r="A285" s="8"/>
      <c r="B285" s="8"/>
      <c r="C285" s="8"/>
      <c r="D285" s="8"/>
      <c r="E285" s="9"/>
      <c r="F285" s="8"/>
      <c r="G285" s="10"/>
      <c r="H285" s="132"/>
      <c r="I285" s="8"/>
      <c r="J285" s="9"/>
      <c r="K285" s="8"/>
      <c r="L285" s="9"/>
      <c r="M285" s="8"/>
      <c r="N285" s="132"/>
      <c r="O285" s="8"/>
      <c r="P285" s="9"/>
      <c r="Q285" s="8"/>
      <c r="R285" s="9"/>
      <c r="S285" s="8"/>
      <c r="T285" s="8"/>
      <c r="U285" s="8"/>
      <c r="V285" s="132"/>
      <c r="W285" s="8"/>
      <c r="X285" s="8"/>
      <c r="Y285" s="9"/>
      <c r="Z285" s="8"/>
      <c r="AA285" s="2"/>
      <c r="AB285" s="2"/>
    </row>
    <row r="286" spans="1:28" outlineLevel="1" x14ac:dyDescent="0.15">
      <c r="A286" s="8"/>
      <c r="B286" s="8"/>
      <c r="C286" s="8"/>
      <c r="D286" s="8"/>
      <c r="E286" s="9"/>
      <c r="F286" s="8"/>
      <c r="G286" s="10"/>
      <c r="H286" s="132"/>
      <c r="I286" s="8"/>
      <c r="J286" s="9"/>
      <c r="K286" s="8"/>
      <c r="L286" s="9"/>
      <c r="M286" s="8"/>
      <c r="N286" s="132"/>
      <c r="O286" s="8"/>
      <c r="P286" s="9"/>
      <c r="Q286" s="8"/>
      <c r="R286" s="9"/>
      <c r="S286" s="8"/>
      <c r="T286" s="8"/>
      <c r="U286" s="8"/>
      <c r="V286" s="132"/>
      <c r="W286" s="8"/>
      <c r="X286" s="8"/>
      <c r="Y286" s="9"/>
      <c r="Z286" s="8"/>
      <c r="AA286" s="2"/>
      <c r="AB286" s="2"/>
    </row>
    <row r="287" spans="1:28" outlineLevel="1" x14ac:dyDescent="0.15">
      <c r="A287" s="8"/>
      <c r="B287" s="8"/>
      <c r="C287" s="8"/>
      <c r="D287" s="8"/>
      <c r="E287" s="9"/>
      <c r="F287" s="8"/>
      <c r="G287" s="10"/>
      <c r="H287" s="132"/>
      <c r="I287" s="8"/>
      <c r="J287" s="9"/>
      <c r="K287" s="8"/>
      <c r="L287" s="9"/>
      <c r="M287" s="8"/>
      <c r="N287" s="132"/>
      <c r="O287" s="8"/>
      <c r="P287" s="9"/>
      <c r="Q287" s="8"/>
      <c r="R287" s="9"/>
      <c r="S287" s="8"/>
      <c r="T287" s="8"/>
      <c r="U287" s="8"/>
      <c r="V287" s="132"/>
      <c r="W287" s="8"/>
      <c r="X287" s="8"/>
      <c r="Y287" s="9"/>
      <c r="Z287" s="8"/>
      <c r="AA287" s="2"/>
      <c r="AB287" s="2"/>
    </row>
    <row r="288" spans="1:28" outlineLevel="1" x14ac:dyDescent="0.15">
      <c r="A288" s="8"/>
      <c r="B288" s="8"/>
      <c r="C288" s="8"/>
      <c r="D288" s="8"/>
      <c r="E288" s="9"/>
      <c r="F288" s="8"/>
      <c r="G288" s="10"/>
      <c r="H288" s="132"/>
      <c r="I288" s="8"/>
      <c r="J288" s="9"/>
      <c r="K288" s="8"/>
      <c r="L288" s="9"/>
      <c r="M288" s="8"/>
      <c r="N288" s="132"/>
      <c r="O288" s="8"/>
      <c r="P288" s="9"/>
      <c r="Q288" s="8"/>
      <c r="R288" s="9"/>
      <c r="S288" s="8"/>
      <c r="T288" s="8"/>
      <c r="U288" s="8"/>
      <c r="V288" s="132"/>
      <c r="W288" s="8"/>
      <c r="X288" s="8"/>
      <c r="Y288" s="9"/>
      <c r="Z288" s="8"/>
      <c r="AA288" s="2"/>
      <c r="AB288" s="2"/>
    </row>
    <row r="289" spans="1:28" outlineLevel="1" x14ac:dyDescent="0.15">
      <c r="A289" s="8"/>
      <c r="B289" s="8"/>
      <c r="C289" s="8"/>
      <c r="D289" s="8"/>
      <c r="E289" s="9"/>
      <c r="F289" s="8"/>
      <c r="G289" s="10"/>
      <c r="H289" s="132"/>
      <c r="I289" s="8"/>
      <c r="J289" s="9"/>
      <c r="K289" s="8"/>
      <c r="L289" s="9"/>
      <c r="M289" s="8"/>
      <c r="N289" s="132"/>
      <c r="O289" s="8"/>
      <c r="P289" s="9"/>
      <c r="Q289" s="8"/>
      <c r="R289" s="9"/>
      <c r="S289" s="8"/>
      <c r="T289" s="8"/>
      <c r="U289" s="8"/>
      <c r="V289" s="132"/>
      <c r="W289" s="8"/>
      <c r="X289" s="8"/>
      <c r="Y289" s="9"/>
      <c r="Z289" s="8"/>
      <c r="AA289" s="2"/>
      <c r="AB289" s="2"/>
    </row>
    <row r="290" spans="1:28" outlineLevel="1" x14ac:dyDescent="0.15">
      <c r="A290" s="8"/>
      <c r="B290" s="8"/>
      <c r="C290" s="8"/>
      <c r="D290" s="8"/>
      <c r="E290" s="9"/>
      <c r="F290" s="8"/>
      <c r="G290" s="10"/>
      <c r="H290" s="132"/>
      <c r="I290" s="8"/>
      <c r="J290" s="9"/>
      <c r="K290" s="8"/>
      <c r="L290" s="9"/>
      <c r="M290" s="8"/>
      <c r="N290" s="132"/>
      <c r="O290" s="8"/>
      <c r="P290" s="9"/>
      <c r="Q290" s="8"/>
      <c r="R290" s="9"/>
      <c r="S290" s="8"/>
      <c r="T290" s="8"/>
      <c r="U290" s="8"/>
      <c r="V290" s="132"/>
      <c r="W290" s="8"/>
      <c r="X290" s="8"/>
      <c r="Y290" s="9"/>
      <c r="Z290" s="8"/>
      <c r="AA290" s="2"/>
      <c r="AB290" s="2"/>
    </row>
    <row r="291" spans="1:28" outlineLevel="1" x14ac:dyDescent="0.15">
      <c r="A291" s="8"/>
      <c r="B291" s="8"/>
      <c r="C291" s="8"/>
      <c r="D291" s="8"/>
      <c r="E291" s="9"/>
      <c r="F291" s="8"/>
      <c r="G291" s="10"/>
      <c r="H291" s="132"/>
      <c r="I291" s="8"/>
      <c r="J291" s="9"/>
      <c r="K291" s="8"/>
      <c r="L291" s="9"/>
      <c r="M291" s="8"/>
      <c r="N291" s="132"/>
      <c r="O291" s="8"/>
      <c r="P291" s="9"/>
      <c r="Q291" s="8"/>
      <c r="R291" s="9"/>
      <c r="S291" s="8"/>
      <c r="T291" s="8"/>
      <c r="U291" s="8"/>
      <c r="V291" s="132"/>
      <c r="W291" s="8"/>
      <c r="X291" s="8"/>
      <c r="Y291" s="9"/>
      <c r="Z291" s="8"/>
      <c r="AA291" s="2"/>
      <c r="AB291" s="2"/>
    </row>
    <row r="292" spans="1:28" outlineLevel="1" x14ac:dyDescent="0.15">
      <c r="A292" s="8"/>
      <c r="B292" s="8"/>
      <c r="C292" s="8"/>
      <c r="D292" s="8"/>
      <c r="E292" s="9"/>
      <c r="F292" s="8"/>
      <c r="G292" s="10"/>
      <c r="H292" s="132"/>
      <c r="I292" s="8"/>
      <c r="J292" s="9"/>
      <c r="K292" s="8"/>
      <c r="L292" s="9"/>
      <c r="M292" s="8"/>
      <c r="N292" s="132"/>
      <c r="O292" s="8"/>
      <c r="P292" s="9"/>
      <c r="Q292" s="8"/>
      <c r="R292" s="9"/>
      <c r="S292" s="8"/>
      <c r="T292" s="8"/>
      <c r="U292" s="8"/>
      <c r="V292" s="132"/>
      <c r="W292" s="8"/>
      <c r="X292" s="8"/>
      <c r="Y292" s="9"/>
      <c r="Z292" s="8"/>
      <c r="AA292" s="2"/>
      <c r="AB292" s="2"/>
    </row>
    <row r="293" spans="1:28" outlineLevel="1" x14ac:dyDescent="0.15">
      <c r="A293" s="8"/>
      <c r="B293" s="8"/>
      <c r="C293" s="8"/>
      <c r="D293" s="8"/>
      <c r="E293" s="9"/>
      <c r="F293" s="8"/>
      <c r="G293" s="10"/>
      <c r="H293" s="132"/>
      <c r="I293" s="8"/>
      <c r="J293" s="9"/>
      <c r="K293" s="8"/>
      <c r="L293" s="9"/>
      <c r="M293" s="8"/>
      <c r="N293" s="132"/>
      <c r="O293" s="8"/>
      <c r="P293" s="9"/>
      <c r="Q293" s="8"/>
      <c r="R293" s="9"/>
      <c r="S293" s="8"/>
      <c r="T293" s="8"/>
      <c r="U293" s="8"/>
      <c r="V293" s="132"/>
      <c r="W293" s="8"/>
      <c r="X293" s="8"/>
      <c r="Y293" s="9"/>
      <c r="Z293" s="8"/>
      <c r="AA293" s="2"/>
      <c r="AB293" s="2"/>
    </row>
    <row r="294" spans="1:28" outlineLevel="1" x14ac:dyDescent="0.15">
      <c r="A294" s="8"/>
      <c r="B294" s="8"/>
      <c r="C294" s="8"/>
      <c r="D294" s="8"/>
      <c r="E294" s="9"/>
      <c r="F294" s="8"/>
      <c r="G294" s="10"/>
      <c r="H294" s="132"/>
      <c r="I294" s="8"/>
      <c r="J294" s="9"/>
      <c r="K294" s="8"/>
      <c r="L294" s="9"/>
      <c r="M294" s="8"/>
      <c r="N294" s="132"/>
      <c r="O294" s="8"/>
      <c r="P294" s="9"/>
      <c r="Q294" s="8"/>
      <c r="R294" s="9"/>
      <c r="S294" s="8"/>
      <c r="T294" s="8"/>
      <c r="U294" s="8"/>
      <c r="V294" s="132"/>
      <c r="W294" s="8"/>
      <c r="X294" s="8"/>
      <c r="Y294" s="9"/>
      <c r="Z294" s="8"/>
      <c r="AA294" s="2"/>
      <c r="AB294" s="2"/>
    </row>
    <row r="295" spans="1:28" outlineLevel="1" x14ac:dyDescent="0.15">
      <c r="A295" s="8"/>
      <c r="B295" s="8"/>
      <c r="C295" s="8"/>
      <c r="D295" s="8"/>
      <c r="E295" s="9"/>
      <c r="F295" s="8"/>
      <c r="G295" s="10"/>
      <c r="H295" s="132"/>
      <c r="I295" s="8"/>
      <c r="J295" s="9"/>
      <c r="K295" s="8"/>
      <c r="L295" s="9"/>
      <c r="M295" s="8"/>
      <c r="N295" s="132"/>
      <c r="O295" s="8"/>
      <c r="P295" s="9"/>
      <c r="Q295" s="8"/>
      <c r="R295" s="9"/>
      <c r="S295" s="8"/>
      <c r="T295" s="8"/>
      <c r="U295" s="8"/>
      <c r="V295" s="132"/>
      <c r="W295" s="8"/>
      <c r="X295" s="8"/>
      <c r="Y295" s="9"/>
      <c r="Z295" s="8"/>
      <c r="AA295" s="2"/>
      <c r="AB295" s="2"/>
    </row>
    <row r="296" spans="1:28" outlineLevel="1" x14ac:dyDescent="0.15">
      <c r="A296" s="8"/>
      <c r="B296" s="8"/>
      <c r="C296" s="8"/>
      <c r="D296" s="8"/>
      <c r="E296" s="9"/>
      <c r="F296" s="8"/>
      <c r="G296" s="10"/>
      <c r="H296" s="132"/>
      <c r="I296" s="8"/>
      <c r="J296" s="9"/>
      <c r="K296" s="8"/>
      <c r="L296" s="9"/>
      <c r="M296" s="8"/>
      <c r="N296" s="132"/>
      <c r="O296" s="8"/>
      <c r="P296" s="9"/>
      <c r="Q296" s="8"/>
      <c r="R296" s="9"/>
      <c r="S296" s="8"/>
      <c r="T296" s="8"/>
      <c r="U296" s="8"/>
      <c r="V296" s="132"/>
      <c r="W296" s="8"/>
      <c r="X296" s="8"/>
      <c r="Y296" s="9"/>
      <c r="Z296" s="8"/>
      <c r="AA296" s="2"/>
      <c r="AB296" s="2"/>
    </row>
    <row r="297" spans="1:28" outlineLevel="1" x14ac:dyDescent="0.15">
      <c r="A297" s="8"/>
      <c r="B297" s="8"/>
      <c r="C297" s="8"/>
      <c r="D297" s="8"/>
      <c r="E297" s="9"/>
      <c r="F297" s="8"/>
      <c r="G297" s="10"/>
      <c r="H297" s="132"/>
      <c r="I297" s="8"/>
      <c r="J297" s="9"/>
      <c r="K297" s="8"/>
      <c r="L297" s="9"/>
      <c r="M297" s="8"/>
      <c r="N297" s="132"/>
      <c r="O297" s="8"/>
      <c r="P297" s="9"/>
      <c r="Q297" s="8"/>
      <c r="R297" s="9"/>
      <c r="S297" s="8"/>
      <c r="T297" s="8"/>
      <c r="U297" s="8"/>
      <c r="V297" s="132"/>
      <c r="W297" s="8"/>
      <c r="X297" s="8"/>
      <c r="Y297" s="9"/>
      <c r="Z297" s="8"/>
      <c r="AA297" s="2"/>
      <c r="AB297" s="2"/>
    </row>
    <row r="298" spans="1:28" outlineLevel="1" x14ac:dyDescent="0.15">
      <c r="A298" s="8"/>
      <c r="B298" s="8"/>
      <c r="C298" s="8"/>
      <c r="D298" s="8"/>
      <c r="E298" s="9"/>
      <c r="F298" s="8"/>
      <c r="G298" s="10"/>
      <c r="H298" s="132"/>
      <c r="I298" s="8"/>
      <c r="J298" s="9"/>
      <c r="K298" s="8"/>
      <c r="L298" s="9"/>
      <c r="M298" s="8"/>
      <c r="N298" s="132"/>
      <c r="O298" s="8"/>
      <c r="P298" s="9"/>
      <c r="Q298" s="8"/>
      <c r="R298" s="9"/>
      <c r="S298" s="8"/>
      <c r="T298" s="8"/>
      <c r="U298" s="8"/>
      <c r="V298" s="132"/>
      <c r="W298" s="8"/>
      <c r="X298" s="8"/>
      <c r="Y298" s="9"/>
      <c r="Z298" s="8"/>
      <c r="AA298" s="2"/>
      <c r="AB298" s="2"/>
    </row>
    <row r="299" spans="1:28" outlineLevel="1" x14ac:dyDescent="0.15">
      <c r="A299" s="8"/>
      <c r="B299" s="8"/>
      <c r="C299" s="8"/>
      <c r="D299" s="8"/>
      <c r="E299" s="9"/>
      <c r="F299" s="8"/>
      <c r="G299" s="10"/>
      <c r="H299" s="132"/>
      <c r="I299" s="8"/>
      <c r="J299" s="9"/>
      <c r="K299" s="8"/>
      <c r="L299" s="9"/>
      <c r="M299" s="8"/>
      <c r="N299" s="132"/>
      <c r="O299" s="8"/>
      <c r="P299" s="9"/>
      <c r="Q299" s="8"/>
      <c r="R299" s="9"/>
      <c r="S299" s="8"/>
      <c r="T299" s="8"/>
      <c r="U299" s="8"/>
      <c r="V299" s="132"/>
      <c r="W299" s="8"/>
      <c r="X299" s="8"/>
      <c r="Y299" s="9"/>
      <c r="Z299" s="8"/>
      <c r="AA299" s="2"/>
      <c r="AB299" s="2"/>
    </row>
    <row r="300" spans="1:28" outlineLevel="1" x14ac:dyDescent="0.15">
      <c r="A300" s="8"/>
      <c r="B300" s="8"/>
      <c r="C300" s="8"/>
      <c r="D300" s="8"/>
      <c r="E300" s="9"/>
      <c r="F300" s="8"/>
      <c r="G300" s="10"/>
      <c r="H300" s="132"/>
      <c r="I300" s="8"/>
      <c r="J300" s="9"/>
      <c r="K300" s="8"/>
      <c r="L300" s="9"/>
      <c r="M300" s="8"/>
      <c r="N300" s="132"/>
      <c r="O300" s="8"/>
      <c r="P300" s="9"/>
      <c r="Q300" s="8"/>
      <c r="R300" s="9"/>
      <c r="S300" s="8"/>
      <c r="T300" s="8"/>
      <c r="U300" s="8"/>
      <c r="V300" s="132"/>
      <c r="W300" s="8"/>
      <c r="X300" s="8"/>
      <c r="Y300" s="9"/>
      <c r="Z300" s="8"/>
      <c r="AA300" s="2"/>
      <c r="AB300" s="2"/>
    </row>
    <row r="301" spans="1:28" outlineLevel="1" x14ac:dyDescent="0.15">
      <c r="A301" s="8"/>
      <c r="B301" s="8"/>
      <c r="C301" s="8"/>
      <c r="D301" s="8"/>
      <c r="E301" s="9"/>
      <c r="F301" s="8"/>
      <c r="G301" s="10"/>
      <c r="H301" s="11"/>
      <c r="I301" s="8"/>
      <c r="J301" s="9"/>
      <c r="K301" s="8"/>
      <c r="L301" s="9"/>
      <c r="M301" s="8"/>
      <c r="N301" s="11"/>
      <c r="O301" s="8"/>
      <c r="P301" s="9"/>
      <c r="Q301" s="8"/>
      <c r="R301" s="9"/>
      <c r="S301" s="8"/>
      <c r="T301" s="8"/>
      <c r="U301" s="8"/>
      <c r="V301" s="132"/>
      <c r="W301" s="8"/>
      <c r="X301" s="8"/>
      <c r="Y301" s="9"/>
      <c r="Z301" s="8"/>
      <c r="AA301" s="2"/>
      <c r="AB301" s="2"/>
    </row>
    <row r="302" spans="1:28" outlineLevel="1" x14ac:dyDescent="0.15">
      <c r="A302" s="8"/>
      <c r="B302" s="8"/>
      <c r="C302" s="8"/>
      <c r="D302" s="8"/>
      <c r="E302" s="9"/>
      <c r="F302" s="8"/>
      <c r="G302" s="10"/>
      <c r="H302" s="132"/>
      <c r="I302" s="8"/>
      <c r="J302" s="9"/>
      <c r="K302" s="8"/>
      <c r="L302" s="9"/>
      <c r="M302" s="8"/>
      <c r="N302" s="132"/>
      <c r="O302" s="8"/>
      <c r="P302" s="9"/>
      <c r="Q302" s="8"/>
      <c r="R302" s="9"/>
      <c r="S302" s="8"/>
      <c r="T302" s="8"/>
      <c r="U302" s="8"/>
      <c r="V302" s="132"/>
      <c r="W302" s="8"/>
      <c r="X302" s="8"/>
      <c r="Y302" s="9"/>
      <c r="Z302" s="8"/>
      <c r="AA302" s="2"/>
      <c r="AB302" s="2"/>
    </row>
    <row r="303" spans="1:28" x14ac:dyDescent="0.15">
      <c r="A303" s="8"/>
      <c r="B303" s="8"/>
      <c r="C303" s="8"/>
      <c r="D303" s="8"/>
      <c r="E303" s="9"/>
      <c r="F303" s="8"/>
      <c r="G303" s="10"/>
      <c r="H303" s="132"/>
      <c r="I303" s="8"/>
      <c r="J303" s="9"/>
      <c r="K303" s="8"/>
      <c r="L303" s="9"/>
      <c r="M303" s="8"/>
      <c r="N303" s="132"/>
      <c r="O303" s="8"/>
      <c r="P303" s="9"/>
      <c r="Q303" s="8"/>
      <c r="R303" s="9"/>
      <c r="S303" s="8"/>
      <c r="T303" s="8"/>
      <c r="U303" s="8"/>
      <c r="V303" s="132"/>
      <c r="W303" s="8"/>
      <c r="X303" s="8"/>
      <c r="Y303" s="9"/>
      <c r="Z303" s="8"/>
      <c r="AA303" s="2"/>
      <c r="AB303" s="2"/>
    </row>
    <row r="304" spans="1:28" x14ac:dyDescent="0.15">
      <c r="A304" s="8"/>
      <c r="B304" s="8"/>
      <c r="C304" s="8"/>
      <c r="D304" s="8"/>
      <c r="E304" s="9"/>
      <c r="F304" s="8"/>
      <c r="G304" s="10"/>
      <c r="H304" s="11"/>
      <c r="I304" s="8"/>
      <c r="J304" s="9"/>
      <c r="K304" s="8"/>
      <c r="L304" s="9"/>
      <c r="M304" s="8"/>
      <c r="N304" s="11"/>
      <c r="O304" s="8"/>
      <c r="P304" s="9"/>
      <c r="Q304" s="8"/>
      <c r="R304" s="9"/>
      <c r="S304" s="8"/>
      <c r="T304" s="8"/>
      <c r="U304" s="8"/>
      <c r="V304" s="132"/>
      <c r="W304" s="8"/>
      <c r="X304" s="8"/>
      <c r="Y304" s="9"/>
      <c r="Z304" s="8"/>
      <c r="AA304" s="2"/>
      <c r="AB304" s="2"/>
    </row>
    <row r="305" spans="1:28" x14ac:dyDescent="0.15">
      <c r="A305" s="8"/>
      <c r="B305" s="8"/>
      <c r="C305" s="8"/>
      <c r="D305" s="8"/>
      <c r="E305" s="9"/>
      <c r="F305" s="8"/>
      <c r="G305" s="10"/>
      <c r="H305" s="11"/>
      <c r="I305" s="8"/>
      <c r="J305" s="9"/>
      <c r="K305" s="8"/>
      <c r="L305" s="9"/>
      <c r="M305" s="8"/>
      <c r="N305" s="11"/>
      <c r="O305" s="8"/>
      <c r="P305" s="9"/>
      <c r="Q305" s="8"/>
      <c r="R305" s="9"/>
      <c r="S305" s="8"/>
      <c r="T305" s="8"/>
      <c r="U305" s="8"/>
      <c r="V305" s="11"/>
      <c r="W305" s="8"/>
      <c r="X305" s="8"/>
      <c r="Y305" s="9"/>
      <c r="Z305" s="8"/>
      <c r="AA305" s="2"/>
      <c r="AB305" s="2"/>
    </row>
    <row r="306" spans="1:28" x14ac:dyDescent="0.15">
      <c r="A306" s="8"/>
      <c r="B306" s="8"/>
      <c r="C306" s="8"/>
      <c r="D306" s="8"/>
      <c r="E306" s="9"/>
      <c r="F306" s="8"/>
      <c r="G306" s="10"/>
      <c r="H306" s="11"/>
      <c r="I306" s="8"/>
      <c r="J306" s="9"/>
      <c r="K306" s="8"/>
      <c r="L306" s="9"/>
      <c r="M306" s="8"/>
      <c r="N306" s="11"/>
      <c r="O306" s="8"/>
      <c r="P306" s="9"/>
      <c r="Q306" s="8"/>
      <c r="R306" s="9"/>
      <c r="S306" s="8"/>
      <c r="T306" s="8"/>
      <c r="U306" s="8"/>
      <c r="V306" s="11"/>
      <c r="W306" s="8"/>
      <c r="X306" s="8"/>
      <c r="Y306" s="9"/>
      <c r="Z306" s="8"/>
      <c r="AA306" s="2"/>
      <c r="AB306" s="2"/>
    </row>
    <row r="307" spans="1:28" x14ac:dyDescent="0.15">
      <c r="A307" s="8"/>
      <c r="B307" s="8"/>
      <c r="C307" s="8"/>
      <c r="D307" s="8"/>
      <c r="E307" s="9"/>
      <c r="F307" s="8"/>
      <c r="G307" s="10"/>
      <c r="H307" s="11"/>
      <c r="I307" s="8"/>
      <c r="J307" s="9"/>
      <c r="K307" s="8"/>
      <c r="L307" s="9"/>
      <c r="M307" s="8"/>
      <c r="N307" s="11"/>
      <c r="O307" s="8"/>
      <c r="P307" s="9"/>
      <c r="Q307" s="8"/>
      <c r="R307" s="9"/>
      <c r="S307" s="8"/>
      <c r="T307" s="8"/>
      <c r="U307" s="8"/>
      <c r="V307" s="11"/>
      <c r="W307" s="8"/>
      <c r="X307" s="8"/>
      <c r="Y307" s="9"/>
      <c r="Z307" s="8"/>
      <c r="AA307" s="2"/>
      <c r="AB307" s="2"/>
    </row>
    <row r="308" spans="1:28" x14ac:dyDescent="0.15">
      <c r="A308" s="8"/>
      <c r="B308" s="8"/>
      <c r="C308" s="8"/>
      <c r="D308" s="8"/>
      <c r="E308" s="9"/>
      <c r="F308" s="8"/>
      <c r="G308" s="10"/>
      <c r="H308" s="11"/>
      <c r="I308" s="8"/>
      <c r="J308" s="9"/>
      <c r="K308" s="8"/>
      <c r="L308" s="9"/>
      <c r="M308" s="8"/>
      <c r="N308" s="11"/>
      <c r="O308" s="8"/>
      <c r="P308" s="9"/>
      <c r="Q308" s="8"/>
      <c r="R308" s="9"/>
      <c r="S308" s="8"/>
      <c r="T308" s="8"/>
      <c r="U308" s="8"/>
      <c r="V308" s="11"/>
      <c r="W308" s="8"/>
      <c r="X308" s="8"/>
      <c r="Y308" s="9"/>
      <c r="Z308" s="8"/>
      <c r="AA308" s="2"/>
      <c r="AB308" s="2"/>
    </row>
    <row r="309" spans="1:28" x14ac:dyDescent="0.15">
      <c r="A309" s="8"/>
      <c r="B309" s="8"/>
      <c r="C309" s="8"/>
      <c r="D309" s="8"/>
      <c r="E309" s="9"/>
      <c r="F309" s="8"/>
      <c r="G309" s="10"/>
      <c r="H309" s="11"/>
      <c r="I309" s="8"/>
      <c r="J309" s="9"/>
      <c r="K309" s="8"/>
      <c r="L309" s="9"/>
      <c r="M309" s="8"/>
      <c r="N309" s="11"/>
      <c r="O309" s="8"/>
      <c r="P309" s="9"/>
      <c r="Q309" s="8"/>
      <c r="R309" s="9"/>
      <c r="S309" s="8"/>
      <c r="T309" s="8"/>
      <c r="U309" s="8"/>
      <c r="V309" s="11"/>
      <c r="W309" s="8"/>
      <c r="X309" s="8"/>
      <c r="Y309" s="9"/>
      <c r="Z309" s="8"/>
      <c r="AA309" s="2"/>
      <c r="AB309" s="2"/>
    </row>
    <row r="310" spans="1:28" x14ac:dyDescent="0.15">
      <c r="A310" s="8"/>
      <c r="B310" s="8"/>
      <c r="C310" s="8"/>
      <c r="D310" s="8"/>
      <c r="E310" s="9"/>
      <c r="F310" s="8"/>
      <c r="G310" s="10"/>
      <c r="H310" s="11"/>
      <c r="I310" s="8"/>
      <c r="J310" s="9"/>
      <c r="K310" s="8"/>
      <c r="L310" s="9"/>
      <c r="M310" s="8"/>
      <c r="N310" s="11"/>
      <c r="O310" s="8"/>
      <c r="P310" s="9"/>
      <c r="Q310" s="8"/>
      <c r="R310" s="9"/>
      <c r="S310" s="8"/>
      <c r="T310" s="8"/>
      <c r="U310" s="8"/>
      <c r="V310" s="11"/>
      <c r="W310" s="8"/>
      <c r="X310" s="8"/>
      <c r="Y310" s="9"/>
      <c r="Z310" s="8"/>
      <c r="AA310" s="2"/>
      <c r="AB310" s="2"/>
    </row>
    <row r="311" spans="1:28" x14ac:dyDescent="0.15">
      <c r="A311" s="8"/>
      <c r="B311" s="8"/>
      <c r="C311" s="8"/>
      <c r="D311" s="8"/>
      <c r="E311" s="9"/>
      <c r="F311" s="8"/>
      <c r="G311" s="10"/>
      <c r="H311" s="11"/>
      <c r="I311" s="8"/>
      <c r="J311" s="9"/>
      <c r="K311" s="8"/>
      <c r="L311" s="9"/>
      <c r="M311" s="8"/>
      <c r="N311" s="11"/>
      <c r="O311" s="8"/>
      <c r="P311" s="9"/>
      <c r="Q311" s="8"/>
      <c r="R311" s="9"/>
      <c r="S311" s="8"/>
      <c r="T311" s="8"/>
      <c r="U311" s="8"/>
      <c r="V311" s="11"/>
      <c r="W311" s="8"/>
      <c r="X311" s="8"/>
      <c r="Y311" s="9"/>
      <c r="Z311" s="8"/>
      <c r="AA311" s="2"/>
      <c r="AB311" s="2"/>
    </row>
    <row r="312" spans="1:28" x14ac:dyDescent="0.15">
      <c r="A312" s="8"/>
      <c r="B312" s="8"/>
      <c r="C312" s="8"/>
      <c r="D312" s="8"/>
      <c r="E312" s="9"/>
      <c r="F312" s="8"/>
      <c r="G312" s="10"/>
      <c r="H312" s="11"/>
      <c r="I312" s="8"/>
      <c r="J312" s="9"/>
      <c r="K312" s="8"/>
      <c r="L312" s="9"/>
      <c r="M312" s="8"/>
      <c r="N312" s="11"/>
      <c r="O312" s="8"/>
      <c r="P312" s="9"/>
      <c r="Q312" s="8"/>
      <c r="R312" s="9"/>
      <c r="S312" s="8"/>
      <c r="T312" s="8"/>
      <c r="U312" s="8"/>
      <c r="V312" s="11"/>
      <c r="W312" s="8"/>
      <c r="X312" s="8"/>
      <c r="Y312" s="9"/>
      <c r="Z312" s="8"/>
      <c r="AA312" s="2"/>
      <c r="AB312" s="2"/>
    </row>
    <row r="313" spans="1:28" x14ac:dyDescent="0.15">
      <c r="A313" s="8"/>
      <c r="B313" s="8"/>
      <c r="C313" s="8"/>
      <c r="D313" s="8"/>
      <c r="E313" s="9"/>
      <c r="F313" s="8"/>
      <c r="G313" s="10"/>
      <c r="H313" s="132"/>
      <c r="I313" s="8"/>
      <c r="J313" s="9"/>
      <c r="K313" s="8"/>
      <c r="L313" s="9"/>
      <c r="M313" s="8"/>
      <c r="N313" s="132"/>
      <c r="O313" s="8"/>
      <c r="P313" s="9"/>
      <c r="Q313" s="8"/>
      <c r="R313" s="9"/>
      <c r="S313" s="8"/>
      <c r="T313" s="8"/>
      <c r="U313" s="8"/>
      <c r="V313" s="11"/>
      <c r="W313" s="8"/>
      <c r="X313" s="8"/>
      <c r="Y313" s="9"/>
      <c r="Z313" s="8"/>
      <c r="AA313" s="2"/>
      <c r="AB313" s="2"/>
    </row>
    <row r="314" spans="1:28" x14ac:dyDescent="0.15">
      <c r="A314" s="8"/>
      <c r="B314" s="8"/>
      <c r="C314" s="8"/>
      <c r="D314" s="8"/>
      <c r="E314" s="9"/>
      <c r="F314" s="8"/>
      <c r="G314" s="10"/>
      <c r="H314" s="132"/>
      <c r="I314" s="8"/>
      <c r="J314" s="9"/>
      <c r="K314" s="8"/>
      <c r="L314" s="9"/>
      <c r="M314" s="8"/>
      <c r="N314" s="132"/>
      <c r="O314" s="8"/>
      <c r="P314" s="9"/>
      <c r="Q314" s="8"/>
      <c r="R314" s="9"/>
      <c r="S314" s="8"/>
      <c r="T314" s="8"/>
      <c r="U314" s="8"/>
      <c r="V314" s="11"/>
      <c r="W314" s="8"/>
      <c r="X314" s="8"/>
      <c r="Y314" s="9"/>
      <c r="Z314" s="8"/>
      <c r="AA314" s="2"/>
      <c r="AB314" s="2"/>
    </row>
    <row r="315" spans="1:28" x14ac:dyDescent="0.15">
      <c r="A315" s="8"/>
      <c r="B315" s="8"/>
      <c r="C315" s="8"/>
      <c r="D315" s="8"/>
      <c r="E315" s="9"/>
      <c r="F315" s="8"/>
      <c r="G315" s="10"/>
      <c r="H315" s="132"/>
      <c r="I315" s="8"/>
      <c r="J315" s="9"/>
      <c r="K315" s="8"/>
      <c r="L315" s="9"/>
      <c r="M315" s="8"/>
      <c r="N315" s="132"/>
      <c r="O315" s="8"/>
      <c r="P315" s="9"/>
      <c r="Q315" s="8"/>
      <c r="R315" s="9"/>
      <c r="S315" s="8"/>
      <c r="T315" s="8"/>
      <c r="U315" s="8"/>
      <c r="V315" s="11"/>
      <c r="W315" s="8"/>
      <c r="X315" s="8"/>
      <c r="Y315" s="9"/>
      <c r="Z315" s="8"/>
      <c r="AA315" s="2"/>
      <c r="AB315" s="2"/>
    </row>
    <row r="316" spans="1:28" x14ac:dyDescent="0.15">
      <c r="A316" s="8"/>
      <c r="B316" s="8"/>
      <c r="C316" s="8"/>
      <c r="D316" s="8"/>
      <c r="E316" s="9"/>
      <c r="F316" s="8"/>
      <c r="G316" s="10"/>
      <c r="H316" s="11"/>
      <c r="I316" s="8"/>
      <c r="J316" s="9"/>
      <c r="K316" s="8"/>
      <c r="L316" s="9"/>
      <c r="M316" s="8"/>
      <c r="N316" s="11"/>
      <c r="O316" s="8"/>
      <c r="P316" s="9"/>
      <c r="Q316" s="8"/>
      <c r="R316" s="9"/>
      <c r="S316" s="8"/>
      <c r="T316" s="8"/>
      <c r="U316" s="8"/>
      <c r="V316" s="11"/>
      <c r="W316" s="8"/>
      <c r="X316" s="8"/>
      <c r="Y316" s="9"/>
      <c r="Z316" s="8"/>
      <c r="AA316" s="2"/>
      <c r="AB316" s="2"/>
    </row>
    <row r="317" spans="1:28" x14ac:dyDescent="0.15">
      <c r="A317" s="8"/>
      <c r="B317" s="8"/>
      <c r="C317" s="8"/>
      <c r="D317" s="8"/>
      <c r="E317" s="9"/>
      <c r="F317" s="8"/>
      <c r="G317" s="10"/>
      <c r="H317" s="11"/>
      <c r="I317" s="8"/>
      <c r="J317" s="9"/>
      <c r="K317" s="8"/>
      <c r="L317" s="9"/>
      <c r="M317" s="8"/>
      <c r="N317" s="11"/>
      <c r="O317" s="8"/>
      <c r="P317" s="9"/>
      <c r="Q317" s="8"/>
      <c r="R317" s="9"/>
      <c r="S317" s="8"/>
      <c r="T317" s="8"/>
      <c r="U317" s="8"/>
      <c r="V317" s="11"/>
      <c r="W317" s="8"/>
      <c r="X317" s="8"/>
      <c r="Y317" s="9"/>
      <c r="Z317" s="8"/>
      <c r="AA317" s="2"/>
      <c r="AB317" s="2"/>
    </row>
    <row r="318" spans="1:28" x14ac:dyDescent="0.15">
      <c r="A318" s="8"/>
      <c r="B318" s="8"/>
      <c r="C318" s="8"/>
      <c r="D318" s="8"/>
      <c r="E318" s="9"/>
      <c r="F318" s="8"/>
      <c r="G318" s="10"/>
      <c r="H318" s="11"/>
      <c r="I318" s="8"/>
      <c r="J318" s="9"/>
      <c r="K318" s="8"/>
      <c r="L318" s="9"/>
      <c r="M318" s="8"/>
      <c r="N318" s="11"/>
      <c r="O318" s="8"/>
      <c r="P318" s="9"/>
      <c r="Q318" s="8"/>
      <c r="R318" s="9"/>
      <c r="S318" s="8"/>
      <c r="T318" s="8"/>
      <c r="U318" s="8"/>
      <c r="V318" s="11"/>
      <c r="W318" s="8"/>
      <c r="X318" s="8"/>
      <c r="Y318" s="9"/>
      <c r="Z318" s="8"/>
      <c r="AA318" s="2"/>
      <c r="AB318" s="2"/>
    </row>
    <row r="319" spans="1:28" x14ac:dyDescent="0.15">
      <c r="A319" s="8"/>
      <c r="B319" s="8"/>
      <c r="C319" s="8"/>
      <c r="D319" s="8"/>
      <c r="E319" s="9"/>
      <c r="F319" s="8"/>
      <c r="G319" s="10"/>
      <c r="H319" s="11"/>
      <c r="I319" s="8"/>
      <c r="J319" s="9"/>
      <c r="K319" s="8"/>
      <c r="L319" s="9"/>
      <c r="M319" s="8"/>
      <c r="N319" s="11"/>
      <c r="O319" s="8"/>
      <c r="P319" s="9"/>
      <c r="Q319" s="8"/>
      <c r="R319" s="9"/>
      <c r="S319" s="8"/>
      <c r="T319" s="8"/>
      <c r="U319" s="8"/>
      <c r="V319" s="11"/>
      <c r="W319" s="8"/>
      <c r="X319" s="8"/>
      <c r="Y319" s="9"/>
      <c r="Z319" s="8"/>
      <c r="AA319" s="2"/>
      <c r="AB319" s="2"/>
    </row>
    <row r="320" spans="1:28" x14ac:dyDescent="0.15">
      <c r="A320" s="8"/>
      <c r="B320" s="8"/>
      <c r="C320" s="8"/>
      <c r="D320" s="8"/>
      <c r="E320" s="9"/>
      <c r="F320" s="8"/>
      <c r="G320" s="10"/>
      <c r="H320" s="11"/>
      <c r="I320" s="8"/>
      <c r="J320" s="9"/>
      <c r="K320" s="8"/>
      <c r="L320" s="9"/>
      <c r="M320" s="8"/>
      <c r="N320" s="11"/>
      <c r="O320" s="8"/>
      <c r="P320" s="9"/>
      <c r="Q320" s="8"/>
      <c r="R320" s="9"/>
      <c r="S320" s="8"/>
      <c r="T320" s="8"/>
      <c r="U320" s="8"/>
      <c r="V320" s="132"/>
      <c r="W320" s="8"/>
      <c r="X320" s="8"/>
      <c r="Y320" s="9"/>
      <c r="Z320" s="8"/>
      <c r="AA320" s="2"/>
      <c r="AB320" s="2"/>
    </row>
    <row r="321" spans="1:28" x14ac:dyDescent="0.15">
      <c r="A321" s="8"/>
      <c r="B321" s="8"/>
      <c r="C321" s="8"/>
      <c r="D321" s="8"/>
      <c r="E321" s="9"/>
      <c r="F321" s="8"/>
      <c r="G321" s="10"/>
      <c r="H321" s="11"/>
      <c r="I321" s="8"/>
      <c r="J321" s="9"/>
      <c r="K321" s="8"/>
      <c r="L321" s="9"/>
      <c r="M321" s="8"/>
      <c r="N321" s="11"/>
      <c r="O321" s="8"/>
      <c r="P321" s="9"/>
      <c r="Q321" s="8"/>
      <c r="R321" s="9"/>
      <c r="S321" s="8"/>
      <c r="T321" s="8"/>
      <c r="U321" s="8"/>
      <c r="V321" s="11"/>
      <c r="W321" s="8"/>
      <c r="X321" s="8"/>
      <c r="Y321" s="9"/>
      <c r="Z321" s="8"/>
      <c r="AA321" s="2"/>
      <c r="AB321" s="2"/>
    </row>
    <row r="322" spans="1:28" x14ac:dyDescent="0.15">
      <c r="A322" s="8"/>
      <c r="B322" s="8"/>
      <c r="C322" s="8"/>
      <c r="D322" s="8"/>
      <c r="E322" s="9"/>
      <c r="F322" s="8"/>
      <c r="G322" s="10"/>
      <c r="H322" s="11"/>
      <c r="I322" s="8"/>
      <c r="J322" s="9"/>
      <c r="K322" s="8"/>
      <c r="L322" s="9"/>
      <c r="M322" s="8"/>
      <c r="N322" s="11"/>
      <c r="O322" s="8"/>
      <c r="P322" s="9"/>
      <c r="Q322" s="8"/>
      <c r="R322" s="9"/>
      <c r="S322" s="8"/>
      <c r="T322" s="8"/>
      <c r="U322" s="8"/>
      <c r="V322" s="11"/>
      <c r="W322" s="8"/>
      <c r="X322" s="8"/>
      <c r="Y322" s="9"/>
      <c r="Z322" s="8"/>
      <c r="AA322" s="2"/>
      <c r="AB322" s="2"/>
    </row>
    <row r="323" spans="1:28" x14ac:dyDescent="0.15">
      <c r="A323" s="8"/>
      <c r="B323" s="8"/>
      <c r="C323" s="8"/>
      <c r="D323" s="8"/>
      <c r="E323" s="9"/>
      <c r="F323" s="8"/>
      <c r="G323" s="10"/>
      <c r="H323" s="11"/>
      <c r="I323" s="8"/>
      <c r="J323" s="9"/>
      <c r="K323" s="8"/>
      <c r="L323" s="9"/>
      <c r="M323" s="8"/>
      <c r="N323" s="11"/>
      <c r="O323" s="8"/>
      <c r="P323" s="9"/>
      <c r="Q323" s="8"/>
      <c r="R323" s="9"/>
      <c r="S323" s="8"/>
      <c r="T323" s="8"/>
      <c r="U323" s="8"/>
      <c r="V323" s="11"/>
      <c r="W323" s="8"/>
      <c r="X323" s="8"/>
      <c r="Y323" s="9"/>
      <c r="Z323" s="8"/>
      <c r="AA323" s="2"/>
      <c r="AB323" s="2"/>
    </row>
    <row r="324" spans="1:28" x14ac:dyDescent="0.15">
      <c r="A324" s="8"/>
      <c r="B324" s="8"/>
      <c r="C324" s="8"/>
      <c r="D324" s="8"/>
      <c r="E324" s="9"/>
      <c r="F324" s="8"/>
      <c r="G324" s="10"/>
      <c r="H324" s="11"/>
      <c r="I324" s="8"/>
      <c r="J324" s="9"/>
      <c r="K324" s="8"/>
      <c r="L324" s="9"/>
      <c r="M324" s="8"/>
      <c r="N324" s="11"/>
      <c r="O324" s="8"/>
      <c r="P324" s="9"/>
      <c r="Q324" s="8"/>
      <c r="R324" s="9"/>
      <c r="S324" s="8"/>
      <c r="T324" s="8"/>
      <c r="U324" s="8"/>
      <c r="V324" s="11"/>
      <c r="W324" s="8"/>
      <c r="X324" s="8"/>
      <c r="Y324" s="9"/>
      <c r="Z324" s="8"/>
      <c r="AA324" s="2"/>
      <c r="AB324" s="2"/>
    </row>
    <row r="325" spans="1:28" x14ac:dyDescent="0.15">
      <c r="A325" s="8"/>
      <c r="B325" s="8"/>
      <c r="C325" s="8"/>
      <c r="D325" s="8"/>
      <c r="E325" s="9"/>
      <c r="F325" s="8"/>
      <c r="G325" s="10"/>
      <c r="H325" s="11"/>
      <c r="I325" s="8"/>
      <c r="J325" s="9"/>
      <c r="K325" s="8"/>
      <c r="L325" s="9"/>
      <c r="M325" s="8"/>
      <c r="N325" s="11"/>
      <c r="O325" s="8"/>
      <c r="P325" s="9"/>
      <c r="Q325" s="8"/>
      <c r="R325" s="9"/>
      <c r="S325" s="8"/>
      <c r="T325" s="8"/>
      <c r="U325" s="8"/>
      <c r="V325" s="132"/>
      <c r="W325" s="8"/>
      <c r="X325" s="8"/>
      <c r="Y325" s="9"/>
      <c r="Z325" s="8"/>
      <c r="AA325" s="2"/>
      <c r="AB325" s="2"/>
    </row>
    <row r="326" spans="1:28" x14ac:dyDescent="0.15">
      <c r="A326" s="8"/>
      <c r="B326" s="8"/>
      <c r="C326" s="8"/>
      <c r="D326" s="8"/>
      <c r="E326" s="9"/>
      <c r="F326" s="8"/>
      <c r="G326" s="10"/>
      <c r="H326" s="11"/>
      <c r="I326" s="8"/>
      <c r="J326" s="9"/>
      <c r="K326" s="8"/>
      <c r="L326" s="9"/>
      <c r="M326" s="8"/>
      <c r="N326" s="11"/>
      <c r="O326" s="8"/>
      <c r="P326" s="9"/>
      <c r="Q326" s="8"/>
      <c r="R326" s="9"/>
      <c r="S326" s="8"/>
      <c r="T326" s="8"/>
      <c r="U326" s="8"/>
      <c r="V326" s="132"/>
      <c r="W326" s="8"/>
      <c r="X326" s="8"/>
      <c r="Y326" s="9"/>
      <c r="Z326" s="8"/>
      <c r="AA326" s="2"/>
      <c r="AB326" s="2"/>
    </row>
    <row r="327" spans="1:28" x14ac:dyDescent="0.15">
      <c r="A327" s="8"/>
      <c r="B327" s="8"/>
      <c r="C327" s="8"/>
      <c r="D327" s="8"/>
      <c r="E327" s="9"/>
      <c r="F327" s="8"/>
      <c r="G327" s="10"/>
      <c r="H327" s="11"/>
      <c r="I327" s="8"/>
      <c r="J327" s="9"/>
      <c r="K327" s="8"/>
      <c r="L327" s="9"/>
      <c r="M327" s="8"/>
      <c r="N327" s="11"/>
      <c r="O327" s="8"/>
      <c r="P327" s="9"/>
      <c r="Q327" s="8"/>
      <c r="R327" s="9"/>
      <c r="S327" s="8"/>
      <c r="T327" s="8"/>
      <c r="U327" s="8"/>
      <c r="V327" s="132"/>
      <c r="W327" s="8"/>
      <c r="X327" s="8"/>
      <c r="Y327" s="9"/>
      <c r="Z327" s="8"/>
      <c r="AA327" s="2"/>
      <c r="AB327" s="2"/>
    </row>
    <row r="328" spans="1:28" x14ac:dyDescent="0.15">
      <c r="A328" s="8"/>
      <c r="B328" s="8"/>
      <c r="C328" s="8"/>
      <c r="D328" s="8"/>
      <c r="E328" s="9"/>
      <c r="F328" s="8"/>
      <c r="G328" s="10"/>
      <c r="H328" s="132"/>
      <c r="I328" s="8"/>
      <c r="J328" s="9"/>
      <c r="K328" s="8"/>
      <c r="L328" s="9"/>
      <c r="M328" s="8"/>
      <c r="N328" s="132"/>
      <c r="O328" s="8"/>
      <c r="P328" s="9"/>
      <c r="Q328" s="8"/>
      <c r="R328" s="9"/>
      <c r="S328" s="8"/>
      <c r="T328" s="8"/>
      <c r="U328" s="8"/>
      <c r="V328" s="132"/>
      <c r="W328" s="8"/>
      <c r="X328" s="8"/>
      <c r="Y328" s="9"/>
      <c r="Z328" s="8"/>
      <c r="AA328" s="2"/>
      <c r="AB328" s="2"/>
    </row>
    <row r="329" spans="1:28" x14ac:dyDescent="0.15">
      <c r="A329" s="8"/>
      <c r="B329" s="8"/>
      <c r="C329" s="8"/>
      <c r="D329" s="8"/>
      <c r="E329" s="9"/>
      <c r="F329" s="8"/>
      <c r="G329" s="10"/>
      <c r="H329" s="132"/>
      <c r="I329" s="8"/>
      <c r="J329" s="9"/>
      <c r="K329" s="8"/>
      <c r="L329" s="9"/>
      <c r="M329" s="8"/>
      <c r="N329" s="132"/>
      <c r="O329" s="8"/>
      <c r="P329" s="9"/>
      <c r="Q329" s="8"/>
      <c r="R329" s="9"/>
      <c r="S329" s="8"/>
      <c r="T329" s="8"/>
      <c r="U329" s="8"/>
      <c r="V329" s="132"/>
      <c r="W329" s="8"/>
      <c r="X329" s="8"/>
      <c r="Y329" s="9"/>
      <c r="Z329" s="8"/>
      <c r="AA329" s="2"/>
      <c r="AB329" s="2"/>
    </row>
    <row r="330" spans="1:28" x14ac:dyDescent="0.15">
      <c r="A330" s="8"/>
      <c r="B330" s="8"/>
      <c r="C330" s="8"/>
      <c r="D330" s="8"/>
      <c r="E330" s="9"/>
      <c r="F330" s="8"/>
      <c r="G330" s="10"/>
      <c r="H330" s="11"/>
      <c r="I330" s="8"/>
      <c r="J330" s="9"/>
      <c r="K330" s="8"/>
      <c r="L330" s="9"/>
      <c r="M330" s="8"/>
      <c r="N330" s="11"/>
      <c r="O330" s="8"/>
      <c r="P330" s="9"/>
      <c r="Q330" s="8"/>
      <c r="R330" s="9"/>
      <c r="S330" s="8"/>
      <c r="T330" s="8"/>
      <c r="U330" s="8"/>
      <c r="V330" s="11"/>
      <c r="W330" s="8"/>
      <c r="X330" s="8"/>
      <c r="Y330" s="9"/>
      <c r="Z330" s="8"/>
      <c r="AA330" s="2"/>
      <c r="AB330" s="2"/>
    </row>
    <row r="331" spans="1:28" x14ac:dyDescent="0.15">
      <c r="A331" s="8"/>
      <c r="B331" s="8"/>
      <c r="C331" s="8"/>
      <c r="D331" s="8"/>
      <c r="E331" s="9"/>
      <c r="F331" s="8"/>
      <c r="G331" s="10"/>
      <c r="H331" s="11"/>
      <c r="I331" s="8"/>
      <c r="J331" s="9"/>
      <c r="K331" s="8"/>
      <c r="L331" s="9"/>
      <c r="M331" s="8"/>
      <c r="N331" s="11"/>
      <c r="O331" s="8"/>
      <c r="P331" s="9"/>
      <c r="Q331" s="8"/>
      <c r="R331" s="9"/>
      <c r="S331" s="8"/>
      <c r="T331" s="8"/>
      <c r="U331" s="8"/>
      <c r="V331" s="11"/>
      <c r="W331" s="8"/>
      <c r="X331" s="8"/>
      <c r="Y331" s="9"/>
      <c r="Z331" s="8"/>
      <c r="AA331" s="2"/>
      <c r="AB331" s="2"/>
    </row>
    <row r="332" spans="1:28" x14ac:dyDescent="0.15">
      <c r="A332" s="8"/>
      <c r="B332" s="8"/>
      <c r="C332" s="8"/>
      <c r="D332" s="8"/>
      <c r="E332" s="9"/>
      <c r="F332" s="8"/>
      <c r="G332" s="10"/>
      <c r="H332" s="132"/>
      <c r="I332" s="8"/>
      <c r="J332" s="9"/>
      <c r="K332" s="8"/>
      <c r="L332" s="9"/>
      <c r="M332" s="8"/>
      <c r="N332" s="132"/>
      <c r="O332" s="8"/>
      <c r="P332" s="9"/>
      <c r="Q332" s="8"/>
      <c r="R332" s="9"/>
      <c r="S332" s="8"/>
      <c r="T332" s="8"/>
      <c r="U332" s="8"/>
      <c r="V332" s="11"/>
      <c r="W332" s="8"/>
      <c r="X332" s="8"/>
      <c r="Y332" s="9"/>
      <c r="Z332" s="8"/>
      <c r="AA332" s="2"/>
      <c r="AB332" s="2"/>
    </row>
    <row r="333" spans="1:28" x14ac:dyDescent="0.15">
      <c r="A333" s="8"/>
      <c r="B333" s="8"/>
      <c r="C333" s="8"/>
      <c r="D333" s="8"/>
      <c r="E333" s="9"/>
      <c r="F333" s="8"/>
      <c r="G333" s="10"/>
      <c r="H333" s="132"/>
      <c r="I333" s="8"/>
      <c r="J333" s="9"/>
      <c r="K333" s="8"/>
      <c r="L333" s="9"/>
      <c r="M333" s="8"/>
      <c r="N333" s="132"/>
      <c r="O333" s="8"/>
      <c r="P333" s="9"/>
      <c r="Q333" s="8"/>
      <c r="R333" s="9"/>
      <c r="S333" s="8"/>
      <c r="T333" s="8"/>
      <c r="U333" s="8"/>
      <c r="V333" s="11"/>
      <c r="W333" s="8"/>
      <c r="X333" s="8"/>
      <c r="Y333" s="9"/>
      <c r="Z333" s="8"/>
      <c r="AA333" s="2"/>
      <c r="AB333" s="2"/>
    </row>
    <row r="334" spans="1:28" x14ac:dyDescent="0.15">
      <c r="A334" s="8"/>
      <c r="B334" s="8"/>
      <c r="C334" s="8"/>
      <c r="D334" s="8"/>
      <c r="E334" s="9"/>
      <c r="F334" s="8"/>
      <c r="G334" s="10"/>
      <c r="H334" s="11"/>
      <c r="I334" s="8"/>
      <c r="J334" s="9"/>
      <c r="K334" s="8"/>
      <c r="L334" s="9"/>
      <c r="M334" s="8"/>
      <c r="N334" s="11"/>
      <c r="O334" s="8"/>
      <c r="P334" s="9"/>
      <c r="Q334" s="8"/>
      <c r="R334" s="9"/>
      <c r="S334" s="8"/>
      <c r="T334" s="8"/>
      <c r="U334" s="8"/>
      <c r="V334" s="11"/>
      <c r="W334" s="8"/>
      <c r="X334" s="8"/>
      <c r="Y334" s="9"/>
      <c r="Z334" s="8"/>
      <c r="AA334" s="2"/>
      <c r="AB334" s="2"/>
    </row>
    <row r="335" spans="1:28" x14ac:dyDescent="0.15">
      <c r="A335" s="8"/>
      <c r="B335" s="8"/>
      <c r="C335" s="8"/>
      <c r="D335" s="8"/>
      <c r="E335" s="9"/>
      <c r="F335" s="8"/>
      <c r="G335" s="10"/>
      <c r="H335" s="11"/>
      <c r="I335" s="8"/>
      <c r="J335" s="9"/>
      <c r="K335" s="8"/>
      <c r="L335" s="9"/>
      <c r="M335" s="8"/>
      <c r="N335" s="11"/>
      <c r="O335" s="8"/>
      <c r="P335" s="9"/>
      <c r="Q335" s="8"/>
      <c r="R335" s="9"/>
      <c r="S335" s="8"/>
      <c r="T335" s="8"/>
      <c r="U335" s="8"/>
      <c r="V335" s="11"/>
      <c r="W335" s="8"/>
      <c r="X335" s="8"/>
      <c r="Y335" s="9"/>
      <c r="Z335" s="8"/>
      <c r="AA335" s="2"/>
      <c r="AB335" s="2"/>
    </row>
    <row r="336" spans="1:28" x14ac:dyDescent="0.15">
      <c r="A336" s="8"/>
      <c r="B336" s="8"/>
      <c r="C336" s="8"/>
      <c r="D336" s="8"/>
      <c r="E336" s="9"/>
      <c r="F336" s="8"/>
      <c r="G336" s="10"/>
      <c r="H336" s="11"/>
      <c r="I336" s="8"/>
      <c r="J336" s="9"/>
      <c r="K336" s="8"/>
      <c r="L336" s="9"/>
      <c r="M336" s="8"/>
      <c r="N336" s="11"/>
      <c r="O336" s="8"/>
      <c r="P336" s="9"/>
      <c r="Q336" s="8"/>
      <c r="R336" s="9"/>
      <c r="S336" s="8"/>
      <c r="T336" s="8"/>
      <c r="U336" s="8"/>
      <c r="V336" s="11"/>
      <c r="W336" s="8"/>
      <c r="X336" s="8"/>
      <c r="Y336" s="9"/>
      <c r="Z336" s="8"/>
      <c r="AA336" s="2"/>
      <c r="AB336" s="2"/>
    </row>
    <row r="337" spans="1:28" x14ac:dyDescent="0.15">
      <c r="A337" s="8"/>
      <c r="B337" s="8"/>
      <c r="C337" s="8"/>
      <c r="D337" s="8"/>
      <c r="E337" s="9"/>
      <c r="F337" s="8"/>
      <c r="G337" s="10"/>
      <c r="H337" s="11"/>
      <c r="I337" s="8"/>
      <c r="J337" s="9"/>
      <c r="K337" s="8"/>
      <c r="L337" s="9"/>
      <c r="M337" s="8"/>
      <c r="N337" s="11"/>
      <c r="O337" s="8"/>
      <c r="P337" s="9"/>
      <c r="Q337" s="8"/>
      <c r="R337" s="9"/>
      <c r="S337" s="8"/>
      <c r="T337" s="8"/>
      <c r="U337" s="8"/>
      <c r="V337" s="11"/>
      <c r="W337" s="8"/>
      <c r="X337" s="8"/>
      <c r="Y337" s="9"/>
      <c r="Z337" s="8"/>
      <c r="AA337" s="2"/>
      <c r="AB337" s="2"/>
    </row>
    <row r="338" spans="1:28" x14ac:dyDescent="0.15">
      <c r="A338" s="8"/>
      <c r="B338" s="8"/>
      <c r="C338" s="8"/>
      <c r="D338" s="8"/>
      <c r="E338" s="9"/>
      <c r="F338" s="8"/>
      <c r="G338" s="10"/>
      <c r="H338" s="11"/>
      <c r="I338" s="8"/>
      <c r="J338" s="9"/>
      <c r="K338" s="8"/>
      <c r="L338" s="9"/>
      <c r="M338" s="8"/>
      <c r="N338" s="11"/>
      <c r="O338" s="8"/>
      <c r="P338" s="9"/>
      <c r="Q338" s="8"/>
      <c r="R338" s="9"/>
      <c r="S338" s="8"/>
      <c r="T338" s="8"/>
      <c r="U338" s="8"/>
      <c r="V338" s="132"/>
      <c r="W338" s="8"/>
      <c r="X338" s="8"/>
      <c r="Y338" s="9"/>
      <c r="Z338" s="8"/>
      <c r="AA338" s="2"/>
      <c r="AB338" s="2"/>
    </row>
    <row r="339" spans="1:28" x14ac:dyDescent="0.15">
      <c r="A339" s="8"/>
      <c r="B339" s="8"/>
      <c r="C339" s="8"/>
      <c r="D339" s="8"/>
      <c r="E339" s="9"/>
      <c r="F339" s="8"/>
      <c r="G339" s="10"/>
      <c r="H339" s="11"/>
      <c r="I339" s="8"/>
      <c r="J339" s="9"/>
      <c r="K339" s="8"/>
      <c r="L339" s="9"/>
      <c r="M339" s="8"/>
      <c r="N339" s="11"/>
      <c r="O339" s="8"/>
      <c r="P339" s="9"/>
      <c r="Q339" s="8"/>
      <c r="R339" s="9"/>
      <c r="S339" s="8"/>
      <c r="T339" s="8"/>
      <c r="U339" s="8"/>
      <c r="V339" s="11"/>
      <c r="W339" s="8"/>
      <c r="X339" s="8"/>
      <c r="Y339" s="9"/>
      <c r="Z339" s="8"/>
      <c r="AA339" s="2"/>
      <c r="AB339" s="2"/>
    </row>
    <row r="340" spans="1:28" x14ac:dyDescent="0.15">
      <c r="A340" s="8"/>
      <c r="B340" s="8"/>
      <c r="C340" s="8"/>
      <c r="D340" s="8"/>
      <c r="E340" s="9"/>
      <c r="F340" s="8"/>
      <c r="G340" s="10"/>
      <c r="H340" s="11"/>
      <c r="I340" s="8"/>
      <c r="J340" s="9"/>
      <c r="K340" s="8"/>
      <c r="L340" s="9"/>
      <c r="M340" s="8"/>
      <c r="N340" s="11"/>
      <c r="O340" s="8"/>
      <c r="P340" s="9"/>
      <c r="Q340" s="8"/>
      <c r="R340" s="9"/>
      <c r="S340" s="8"/>
      <c r="T340" s="8"/>
      <c r="U340" s="8"/>
      <c r="V340" s="11"/>
      <c r="W340" s="8"/>
      <c r="X340" s="8"/>
      <c r="Y340" s="9"/>
      <c r="Z340" s="8"/>
      <c r="AA340" s="2"/>
      <c r="AB340" s="2"/>
    </row>
    <row r="341" spans="1:28" x14ac:dyDescent="0.15">
      <c r="A341" s="8"/>
      <c r="B341" s="8"/>
      <c r="C341" s="8"/>
      <c r="D341" s="8"/>
      <c r="E341" s="9"/>
      <c r="F341" s="8"/>
      <c r="G341" s="10"/>
      <c r="H341" s="11"/>
      <c r="I341" s="8"/>
      <c r="J341" s="9"/>
      <c r="K341" s="8"/>
      <c r="L341" s="9"/>
      <c r="M341" s="8"/>
      <c r="N341" s="11"/>
      <c r="O341" s="8"/>
      <c r="P341" s="9"/>
      <c r="Q341" s="8"/>
      <c r="R341" s="9"/>
      <c r="S341" s="8"/>
      <c r="T341" s="8"/>
      <c r="U341" s="8"/>
      <c r="V341" s="11"/>
      <c r="W341" s="8"/>
      <c r="X341" s="8"/>
      <c r="Y341" s="9"/>
      <c r="Z341" s="8"/>
      <c r="AA341" s="2"/>
      <c r="AB341" s="2"/>
    </row>
    <row r="342" spans="1:28" x14ac:dyDescent="0.15">
      <c r="A342" s="8"/>
      <c r="B342" s="8"/>
      <c r="C342" s="8"/>
      <c r="D342" s="8"/>
      <c r="E342" s="9"/>
      <c r="F342" s="8"/>
      <c r="G342" s="10"/>
      <c r="H342" s="11"/>
      <c r="I342" s="8"/>
      <c r="J342" s="9"/>
      <c r="K342" s="8"/>
      <c r="L342" s="9"/>
      <c r="M342" s="8"/>
      <c r="N342" s="11"/>
      <c r="O342" s="8"/>
      <c r="P342" s="9"/>
      <c r="Q342" s="8"/>
      <c r="R342" s="9"/>
      <c r="S342" s="8"/>
      <c r="T342" s="8"/>
      <c r="U342" s="8"/>
      <c r="V342" s="11"/>
      <c r="W342" s="8"/>
      <c r="X342" s="8"/>
      <c r="Y342" s="9"/>
      <c r="Z342" s="8"/>
      <c r="AA342" s="2"/>
      <c r="AB342" s="2"/>
    </row>
    <row r="343" spans="1:28" x14ac:dyDescent="0.15">
      <c r="A343" s="8"/>
      <c r="B343" s="8"/>
      <c r="C343" s="8"/>
      <c r="D343" s="8"/>
      <c r="E343" s="9"/>
      <c r="F343" s="8"/>
      <c r="G343" s="10"/>
      <c r="H343" s="11"/>
      <c r="I343" s="8"/>
      <c r="J343" s="9"/>
      <c r="K343" s="8"/>
      <c r="L343" s="9"/>
      <c r="M343" s="8"/>
      <c r="N343" s="11"/>
      <c r="O343" s="8"/>
      <c r="P343" s="9"/>
      <c r="Q343" s="8"/>
      <c r="R343" s="9"/>
      <c r="S343" s="8"/>
      <c r="T343" s="8"/>
      <c r="U343" s="8"/>
      <c r="V343" s="11"/>
      <c r="W343" s="8"/>
      <c r="X343" s="8"/>
      <c r="Y343" s="9"/>
      <c r="Z343" s="8"/>
      <c r="AA343" s="2"/>
      <c r="AB343" s="2"/>
    </row>
    <row r="344" spans="1:28" x14ac:dyDescent="0.15">
      <c r="A344" s="8"/>
      <c r="B344" s="8"/>
      <c r="C344" s="8"/>
      <c r="D344" s="8"/>
      <c r="E344" s="9"/>
      <c r="F344" s="8"/>
      <c r="G344" s="10"/>
      <c r="H344" s="11"/>
      <c r="I344" s="8"/>
      <c r="J344" s="9"/>
      <c r="K344" s="8"/>
      <c r="L344" s="9"/>
      <c r="M344" s="8"/>
      <c r="N344" s="11"/>
      <c r="O344" s="8"/>
      <c r="P344" s="9"/>
      <c r="Q344" s="8"/>
      <c r="R344" s="9"/>
      <c r="S344" s="8"/>
      <c r="T344" s="8"/>
      <c r="U344" s="8"/>
      <c r="V344" s="132"/>
      <c r="W344" s="8"/>
      <c r="X344" s="8"/>
      <c r="Y344" s="9"/>
      <c r="Z344" s="8"/>
      <c r="AA344" s="2"/>
      <c r="AB344" s="2"/>
    </row>
    <row r="345" spans="1:28" x14ac:dyDescent="0.15">
      <c r="A345" s="8"/>
      <c r="B345" s="8"/>
      <c r="C345" s="8"/>
      <c r="D345" s="8"/>
      <c r="E345" s="9"/>
      <c r="F345" s="8"/>
      <c r="G345" s="10"/>
      <c r="H345" s="11"/>
      <c r="I345" s="8"/>
      <c r="J345" s="9"/>
      <c r="K345" s="8"/>
      <c r="L345" s="9"/>
      <c r="M345" s="8"/>
      <c r="N345" s="11"/>
      <c r="O345" s="8"/>
      <c r="P345" s="9"/>
      <c r="Q345" s="8"/>
      <c r="R345" s="9"/>
      <c r="S345" s="8"/>
      <c r="T345" s="8"/>
      <c r="U345" s="8"/>
      <c r="V345" s="132"/>
      <c r="W345" s="8"/>
      <c r="X345" s="8"/>
      <c r="Y345" s="9"/>
      <c r="Z345" s="8"/>
      <c r="AA345" s="2"/>
      <c r="AB345" s="2"/>
    </row>
    <row r="346" spans="1:28" x14ac:dyDescent="0.15">
      <c r="A346" s="8"/>
      <c r="B346" s="8"/>
      <c r="C346" s="8"/>
      <c r="D346" s="8"/>
      <c r="E346" s="9"/>
      <c r="F346" s="8"/>
      <c r="G346" s="10"/>
      <c r="H346" s="11"/>
      <c r="I346" s="8"/>
      <c r="J346" s="9"/>
      <c r="K346" s="8"/>
      <c r="L346" s="9"/>
      <c r="M346" s="8"/>
      <c r="N346" s="11"/>
      <c r="O346" s="8"/>
      <c r="P346" s="9"/>
      <c r="Q346" s="8"/>
      <c r="R346" s="9"/>
      <c r="S346" s="8"/>
      <c r="T346" s="8"/>
      <c r="U346" s="8"/>
      <c r="V346" s="132"/>
      <c r="W346" s="8"/>
      <c r="X346" s="8"/>
      <c r="Y346" s="9"/>
      <c r="Z346" s="8"/>
      <c r="AA346" s="2"/>
      <c r="AB346" s="2"/>
    </row>
    <row r="347" spans="1:28" x14ac:dyDescent="0.15">
      <c r="A347" s="8"/>
      <c r="B347" s="8"/>
      <c r="C347" s="8"/>
      <c r="D347" s="8"/>
      <c r="E347" s="9"/>
      <c r="F347" s="8"/>
      <c r="G347" s="10"/>
      <c r="H347" s="132"/>
      <c r="I347" s="8"/>
      <c r="J347" s="9"/>
      <c r="K347" s="8"/>
      <c r="L347" s="9"/>
      <c r="M347" s="8"/>
      <c r="N347" s="132"/>
      <c r="O347" s="8"/>
      <c r="P347" s="9"/>
      <c r="Q347" s="8"/>
      <c r="R347" s="9"/>
      <c r="S347" s="8"/>
      <c r="T347" s="8"/>
      <c r="U347" s="8"/>
      <c r="V347" s="132"/>
      <c r="W347" s="8"/>
      <c r="X347" s="8"/>
      <c r="Y347" s="9"/>
      <c r="Z347" s="8"/>
      <c r="AA347" s="2"/>
      <c r="AB347" s="2"/>
    </row>
    <row r="348" spans="1:28" x14ac:dyDescent="0.15">
      <c r="A348" s="8"/>
      <c r="B348" s="8"/>
      <c r="C348" s="8"/>
      <c r="D348" s="8"/>
      <c r="E348" s="9"/>
      <c r="F348" s="8"/>
      <c r="G348" s="10"/>
      <c r="H348" s="132"/>
      <c r="I348" s="8"/>
      <c r="J348" s="9"/>
      <c r="K348" s="8"/>
      <c r="L348" s="9"/>
      <c r="M348" s="8"/>
      <c r="N348" s="132"/>
      <c r="O348" s="8"/>
      <c r="P348" s="9"/>
      <c r="Q348" s="8"/>
      <c r="R348" s="9"/>
      <c r="S348" s="8"/>
      <c r="T348" s="8"/>
      <c r="U348" s="8"/>
      <c r="V348" s="132"/>
      <c r="W348" s="8"/>
      <c r="X348" s="8"/>
      <c r="Y348" s="9"/>
      <c r="Z348" s="8"/>
      <c r="AA348" s="2"/>
      <c r="AB348" s="2"/>
    </row>
    <row r="349" spans="1:28" x14ac:dyDescent="0.15">
      <c r="A349" s="8"/>
      <c r="B349" s="8"/>
      <c r="C349" s="8"/>
      <c r="D349" s="8"/>
      <c r="E349" s="9"/>
      <c r="F349" s="8"/>
      <c r="G349" s="10"/>
      <c r="H349" s="132"/>
      <c r="I349" s="8"/>
      <c r="J349" s="9"/>
      <c r="K349" s="8"/>
      <c r="L349" s="9"/>
      <c r="M349" s="8"/>
      <c r="N349" s="132"/>
      <c r="O349" s="8"/>
      <c r="P349" s="9"/>
      <c r="Q349" s="8"/>
      <c r="R349" s="9"/>
      <c r="S349" s="8"/>
      <c r="T349" s="8"/>
      <c r="U349" s="8"/>
      <c r="V349" s="132"/>
      <c r="W349" s="8"/>
      <c r="X349" s="8"/>
      <c r="Y349" s="9"/>
      <c r="Z349" s="8"/>
      <c r="AA349" s="2"/>
      <c r="AB349" s="2"/>
    </row>
    <row r="350" spans="1:28" x14ac:dyDescent="0.15">
      <c r="A350" s="8"/>
      <c r="B350" s="8"/>
      <c r="C350" s="8"/>
      <c r="D350" s="8"/>
      <c r="E350" s="9"/>
      <c r="F350" s="8"/>
      <c r="G350" s="10"/>
      <c r="H350" s="11"/>
      <c r="I350" s="8"/>
      <c r="J350" s="9"/>
      <c r="K350" s="8"/>
      <c r="L350" s="9"/>
      <c r="M350" s="8"/>
      <c r="N350" s="11"/>
      <c r="O350" s="8"/>
      <c r="P350" s="9"/>
      <c r="Q350" s="8"/>
      <c r="R350" s="9"/>
      <c r="S350" s="8"/>
      <c r="T350" s="8"/>
      <c r="U350" s="8"/>
      <c r="V350" s="11"/>
      <c r="W350" s="8"/>
      <c r="X350" s="8"/>
      <c r="Y350" s="9"/>
      <c r="Z350" s="8"/>
      <c r="AA350" s="2"/>
      <c r="AB350" s="2"/>
    </row>
    <row r="351" spans="1:28" x14ac:dyDescent="0.15">
      <c r="A351" s="8"/>
      <c r="B351" s="8"/>
      <c r="C351" s="8"/>
      <c r="D351" s="8"/>
      <c r="E351" s="9"/>
      <c r="F351" s="8"/>
      <c r="G351" s="10"/>
      <c r="H351" s="11"/>
      <c r="I351" s="8"/>
      <c r="J351" s="9"/>
      <c r="K351" s="8"/>
      <c r="L351" s="9"/>
      <c r="M351" s="8"/>
      <c r="N351" s="11"/>
      <c r="O351" s="8"/>
      <c r="P351" s="9"/>
      <c r="Q351" s="8"/>
      <c r="R351" s="9"/>
      <c r="S351" s="8"/>
      <c r="T351" s="8"/>
      <c r="U351" s="8"/>
      <c r="V351" s="11"/>
      <c r="W351" s="8"/>
      <c r="X351" s="8"/>
      <c r="Y351" s="9"/>
      <c r="Z351" s="8"/>
      <c r="AA351" s="2"/>
      <c r="AB351" s="2"/>
    </row>
    <row r="352" spans="1:28" x14ac:dyDescent="0.15">
      <c r="A352" s="8"/>
      <c r="B352" s="8"/>
      <c r="C352" s="8"/>
      <c r="D352" s="8"/>
      <c r="E352" s="9"/>
      <c r="F352" s="8"/>
      <c r="G352" s="10"/>
      <c r="H352" s="132"/>
      <c r="I352" s="8"/>
      <c r="J352" s="9"/>
      <c r="K352" s="8"/>
      <c r="L352" s="9"/>
      <c r="M352" s="8"/>
      <c r="N352" s="132"/>
      <c r="O352" s="8"/>
      <c r="P352" s="9"/>
      <c r="Q352" s="8"/>
      <c r="R352" s="9"/>
      <c r="S352" s="8"/>
      <c r="T352" s="8"/>
      <c r="U352" s="8"/>
      <c r="V352" s="11"/>
      <c r="W352" s="8"/>
      <c r="X352" s="8"/>
      <c r="Y352" s="9"/>
      <c r="Z352" s="8"/>
      <c r="AA352" s="2"/>
      <c r="AB352" s="2"/>
    </row>
    <row r="353" spans="1:28" x14ac:dyDescent="0.15">
      <c r="A353" s="8"/>
      <c r="B353" s="8"/>
      <c r="C353" s="8"/>
      <c r="D353" s="8"/>
      <c r="E353" s="9"/>
      <c r="F353" s="8"/>
      <c r="G353" s="10"/>
      <c r="H353" s="132"/>
      <c r="I353" s="8"/>
      <c r="J353" s="9"/>
      <c r="K353" s="8"/>
      <c r="L353" s="9"/>
      <c r="M353" s="8"/>
      <c r="N353" s="132"/>
      <c r="O353" s="8"/>
      <c r="P353" s="9"/>
      <c r="Q353" s="8"/>
      <c r="R353" s="9"/>
      <c r="S353" s="8"/>
      <c r="T353" s="8"/>
      <c r="U353" s="8"/>
      <c r="V353" s="11"/>
      <c r="W353" s="8"/>
      <c r="X353" s="8"/>
      <c r="Y353" s="9"/>
      <c r="Z353" s="8"/>
      <c r="AA353" s="2"/>
      <c r="AB353" s="2"/>
    </row>
    <row r="354" spans="1:28" x14ac:dyDescent="0.15">
      <c r="A354" s="8"/>
      <c r="B354" s="8"/>
      <c r="C354" s="8"/>
      <c r="D354" s="8"/>
      <c r="E354" s="9"/>
      <c r="F354" s="8"/>
      <c r="G354" s="10"/>
      <c r="H354" s="11"/>
      <c r="I354" s="8"/>
      <c r="J354" s="9"/>
      <c r="K354" s="8"/>
      <c r="L354" s="9"/>
      <c r="M354" s="8"/>
      <c r="N354" s="11"/>
      <c r="O354" s="8"/>
      <c r="P354" s="9"/>
      <c r="Q354" s="8"/>
      <c r="R354" s="9"/>
      <c r="S354" s="8"/>
      <c r="T354" s="8"/>
      <c r="U354" s="8"/>
      <c r="V354" s="11"/>
      <c r="W354" s="8"/>
      <c r="X354" s="8"/>
      <c r="Y354" s="9"/>
      <c r="Z354" s="8"/>
      <c r="AA354" s="2"/>
      <c r="AB354" s="2"/>
    </row>
    <row r="355" spans="1:28" x14ac:dyDescent="0.15">
      <c r="A355" s="8"/>
      <c r="B355" s="8"/>
      <c r="C355" s="8"/>
      <c r="D355" s="8"/>
      <c r="E355" s="9"/>
      <c r="F355" s="8"/>
      <c r="G355" s="10"/>
      <c r="H355" s="11"/>
      <c r="I355" s="8"/>
      <c r="J355" s="9"/>
      <c r="K355" s="8"/>
      <c r="L355" s="9"/>
      <c r="M355" s="8"/>
      <c r="N355" s="11"/>
      <c r="O355" s="8"/>
      <c r="P355" s="9"/>
      <c r="Q355" s="8"/>
      <c r="R355" s="9"/>
      <c r="S355" s="8"/>
      <c r="T355" s="8"/>
      <c r="U355" s="8"/>
      <c r="V355" s="11"/>
      <c r="W355" s="8"/>
      <c r="X355" s="8"/>
      <c r="Y355" s="9"/>
      <c r="Z355" s="8"/>
      <c r="AA355" s="2"/>
      <c r="AB355" s="2"/>
    </row>
    <row r="356" spans="1:28" x14ac:dyDescent="0.15">
      <c r="A356" s="8"/>
      <c r="B356" s="8"/>
      <c r="C356" s="8"/>
      <c r="D356" s="8"/>
      <c r="E356" s="9"/>
      <c r="F356" s="8"/>
      <c r="G356" s="10"/>
      <c r="H356" s="11"/>
      <c r="I356" s="8"/>
      <c r="J356" s="9"/>
      <c r="K356" s="8"/>
      <c r="L356" s="9"/>
      <c r="M356" s="8"/>
      <c r="N356" s="11"/>
      <c r="O356" s="8"/>
      <c r="P356" s="9"/>
      <c r="Q356" s="8"/>
      <c r="R356" s="9"/>
      <c r="S356" s="8"/>
      <c r="T356" s="8"/>
      <c r="U356" s="8"/>
      <c r="V356" s="11"/>
      <c r="W356" s="8"/>
      <c r="X356" s="8"/>
      <c r="Y356" s="9"/>
      <c r="Z356" s="8"/>
      <c r="AA356" s="2"/>
      <c r="AB356" s="2"/>
    </row>
    <row r="357" spans="1:28" x14ac:dyDescent="0.15">
      <c r="A357" s="8"/>
      <c r="B357" s="8"/>
      <c r="C357" s="8"/>
      <c r="D357" s="8"/>
      <c r="E357" s="9"/>
      <c r="F357" s="8"/>
      <c r="G357" s="10"/>
      <c r="H357" s="11"/>
      <c r="I357" s="8"/>
      <c r="J357" s="9"/>
      <c r="K357" s="8"/>
      <c r="L357" s="9"/>
      <c r="M357" s="8"/>
      <c r="N357" s="11"/>
      <c r="O357" s="8"/>
      <c r="P357" s="9"/>
      <c r="Q357" s="8"/>
      <c r="R357" s="9"/>
      <c r="S357" s="8"/>
      <c r="T357" s="8"/>
      <c r="U357" s="8"/>
      <c r="V357" s="11"/>
      <c r="W357" s="8"/>
      <c r="X357" s="8"/>
      <c r="Y357" s="9"/>
      <c r="Z357" s="8"/>
      <c r="AA357" s="2"/>
      <c r="AB357" s="2"/>
    </row>
    <row r="358" spans="1:28" x14ac:dyDescent="0.15">
      <c r="A358" s="8"/>
      <c r="B358" s="8"/>
      <c r="C358" s="8"/>
      <c r="D358" s="8"/>
      <c r="E358" s="9"/>
      <c r="F358" s="8"/>
      <c r="G358" s="10"/>
      <c r="H358" s="11"/>
      <c r="I358" s="8"/>
      <c r="J358" s="9"/>
      <c r="K358" s="8"/>
      <c r="L358" s="9"/>
      <c r="M358" s="8"/>
      <c r="N358" s="11"/>
      <c r="O358" s="8"/>
      <c r="P358" s="9"/>
      <c r="Q358" s="8"/>
      <c r="R358" s="9"/>
      <c r="S358" s="8"/>
      <c r="T358" s="8"/>
      <c r="U358" s="8"/>
      <c r="V358" s="11"/>
      <c r="W358" s="8"/>
      <c r="X358" s="8"/>
      <c r="Y358" s="9"/>
      <c r="Z358" s="8"/>
      <c r="AA358" s="2"/>
      <c r="AB358" s="2"/>
    </row>
    <row r="359" spans="1:28" x14ac:dyDescent="0.15">
      <c r="A359" s="8"/>
      <c r="B359" s="8"/>
      <c r="C359" s="8"/>
      <c r="D359" s="8"/>
      <c r="E359" s="9"/>
      <c r="F359" s="8"/>
      <c r="G359" s="10"/>
      <c r="H359" s="11"/>
      <c r="I359" s="8"/>
      <c r="J359" s="9"/>
      <c r="K359" s="8"/>
      <c r="L359" s="9"/>
      <c r="M359" s="8"/>
      <c r="N359" s="11"/>
      <c r="O359" s="8"/>
      <c r="P359" s="9"/>
      <c r="Q359" s="8"/>
      <c r="R359" s="9"/>
      <c r="S359" s="8"/>
      <c r="T359" s="8"/>
      <c r="U359" s="8"/>
      <c r="V359" s="11"/>
      <c r="W359" s="8"/>
      <c r="X359" s="8"/>
      <c r="Y359" s="9"/>
      <c r="Z359" s="8"/>
      <c r="AA359" s="2"/>
      <c r="AB359" s="2"/>
    </row>
    <row r="360" spans="1:28" x14ac:dyDescent="0.15">
      <c r="A360" s="8"/>
      <c r="B360" s="8"/>
      <c r="C360" s="8"/>
      <c r="D360" s="8"/>
      <c r="E360" s="9"/>
      <c r="F360" s="8"/>
      <c r="G360" s="10"/>
      <c r="H360" s="11"/>
      <c r="I360" s="8"/>
      <c r="J360" s="9"/>
      <c r="K360" s="8"/>
      <c r="L360" s="9"/>
      <c r="M360" s="8"/>
      <c r="N360" s="11"/>
      <c r="O360" s="8"/>
      <c r="P360" s="9"/>
      <c r="Q360" s="8"/>
      <c r="R360" s="9"/>
      <c r="S360" s="8"/>
      <c r="T360" s="8"/>
      <c r="U360" s="8"/>
      <c r="V360" s="11"/>
      <c r="W360" s="8"/>
      <c r="X360" s="8"/>
      <c r="Y360" s="9"/>
      <c r="Z360" s="8"/>
      <c r="AA360" s="2"/>
      <c r="AB360" s="2"/>
    </row>
    <row r="361" spans="1:28" x14ac:dyDescent="0.15">
      <c r="A361" s="8"/>
      <c r="B361" s="8"/>
      <c r="C361" s="8"/>
      <c r="D361" s="8"/>
      <c r="E361" s="9"/>
      <c r="F361" s="8"/>
      <c r="G361" s="10"/>
      <c r="H361" s="11"/>
      <c r="I361" s="8"/>
      <c r="J361" s="9"/>
      <c r="K361" s="8"/>
      <c r="L361" s="9"/>
      <c r="M361" s="8"/>
      <c r="N361" s="11"/>
      <c r="O361" s="8"/>
      <c r="P361" s="9"/>
      <c r="Q361" s="8"/>
      <c r="R361" s="9"/>
      <c r="S361" s="8"/>
      <c r="T361" s="8"/>
      <c r="U361" s="8"/>
      <c r="V361" s="11"/>
      <c r="W361" s="8"/>
      <c r="X361" s="8"/>
      <c r="Y361" s="9"/>
      <c r="Z361" s="8"/>
      <c r="AA361" s="2"/>
      <c r="AB361" s="2"/>
    </row>
    <row r="362" spans="1:28" x14ac:dyDescent="0.15">
      <c r="A362" s="8"/>
      <c r="B362" s="8"/>
      <c r="C362" s="8"/>
      <c r="D362" s="8"/>
      <c r="E362" s="9"/>
      <c r="F362" s="8"/>
      <c r="G362" s="10"/>
      <c r="H362" s="11"/>
      <c r="I362" s="8"/>
      <c r="J362" s="9"/>
      <c r="K362" s="8"/>
      <c r="L362" s="9"/>
      <c r="M362" s="8"/>
      <c r="N362" s="11"/>
      <c r="O362" s="8"/>
      <c r="P362" s="9"/>
      <c r="Q362" s="8"/>
      <c r="R362" s="9"/>
      <c r="S362" s="8"/>
      <c r="T362" s="8"/>
      <c r="U362" s="8"/>
      <c r="V362" s="11"/>
      <c r="W362" s="8"/>
      <c r="X362" s="8"/>
      <c r="Y362" s="9"/>
      <c r="Z362" s="8"/>
      <c r="AA362" s="2"/>
      <c r="AB362" s="2"/>
    </row>
    <row r="363" spans="1:28" x14ac:dyDescent="0.15">
      <c r="A363" s="8"/>
      <c r="B363" s="8"/>
      <c r="C363" s="8"/>
      <c r="D363" s="8"/>
      <c r="E363" s="9"/>
      <c r="F363" s="8"/>
      <c r="G363" s="10"/>
      <c r="H363" s="11"/>
      <c r="I363" s="8"/>
      <c r="J363" s="9"/>
      <c r="K363" s="8"/>
      <c r="L363" s="9"/>
      <c r="M363" s="8"/>
      <c r="N363" s="11"/>
      <c r="O363" s="8"/>
      <c r="P363" s="9"/>
      <c r="Q363" s="8"/>
      <c r="R363" s="9"/>
      <c r="S363" s="8"/>
      <c r="T363" s="8"/>
      <c r="U363" s="8"/>
      <c r="V363" s="11"/>
      <c r="W363" s="8"/>
      <c r="X363" s="8"/>
      <c r="Y363" s="9"/>
      <c r="Z363" s="8"/>
      <c r="AA363" s="2"/>
      <c r="AB363" s="2"/>
    </row>
    <row r="364" spans="1:28" x14ac:dyDescent="0.15">
      <c r="A364" s="8"/>
      <c r="B364" s="8"/>
      <c r="C364" s="8"/>
      <c r="D364" s="8"/>
      <c r="E364" s="9"/>
      <c r="F364" s="8"/>
      <c r="G364" s="10"/>
      <c r="H364" s="11"/>
      <c r="I364" s="8"/>
      <c r="J364" s="9"/>
      <c r="K364" s="8"/>
      <c r="L364" s="9"/>
      <c r="M364" s="8"/>
      <c r="N364" s="11"/>
      <c r="O364" s="8"/>
      <c r="P364" s="9"/>
      <c r="Q364" s="8"/>
      <c r="R364" s="9"/>
      <c r="S364" s="8"/>
      <c r="T364" s="8"/>
      <c r="U364" s="8"/>
      <c r="V364" s="11"/>
      <c r="W364" s="8"/>
      <c r="X364" s="8"/>
      <c r="Y364" s="9"/>
      <c r="Z364" s="8"/>
      <c r="AA364" s="2"/>
      <c r="AB364" s="2"/>
    </row>
    <row r="365" spans="1:28" x14ac:dyDescent="0.15">
      <c r="A365" s="8"/>
      <c r="B365" s="8"/>
      <c r="C365" s="8"/>
      <c r="D365" s="8"/>
      <c r="E365" s="9"/>
      <c r="F365" s="8"/>
      <c r="G365" s="10"/>
      <c r="H365" s="11"/>
      <c r="I365" s="8"/>
      <c r="J365" s="9"/>
      <c r="K365" s="8"/>
      <c r="L365" s="9"/>
      <c r="M365" s="8"/>
      <c r="N365" s="11"/>
      <c r="O365" s="8"/>
      <c r="P365" s="9"/>
      <c r="Q365" s="8"/>
      <c r="R365" s="9"/>
      <c r="S365" s="8"/>
      <c r="T365" s="8"/>
      <c r="U365" s="8"/>
      <c r="V365" s="11"/>
      <c r="W365" s="8"/>
      <c r="X365" s="8"/>
      <c r="Y365" s="9"/>
      <c r="Z365" s="8"/>
      <c r="AA365" s="2"/>
      <c r="AB365" s="2"/>
    </row>
    <row r="366" spans="1:28" x14ac:dyDescent="0.15">
      <c r="A366" s="8"/>
      <c r="B366" s="8"/>
      <c r="C366" s="8"/>
      <c r="D366" s="8"/>
      <c r="E366" s="9"/>
      <c r="F366" s="8"/>
      <c r="G366" s="10"/>
      <c r="H366" s="11"/>
      <c r="I366" s="8"/>
      <c r="J366" s="9"/>
      <c r="K366" s="8"/>
      <c r="L366" s="9"/>
      <c r="M366" s="8"/>
      <c r="N366" s="11"/>
      <c r="O366" s="8"/>
      <c r="P366" s="9"/>
      <c r="Q366" s="8"/>
      <c r="R366" s="9"/>
      <c r="S366" s="8"/>
      <c r="T366" s="8"/>
      <c r="U366" s="8"/>
      <c r="V366" s="11"/>
      <c r="W366" s="8"/>
      <c r="X366" s="8"/>
      <c r="Y366" s="9"/>
      <c r="Z366" s="8"/>
      <c r="AA366" s="2"/>
      <c r="AB366" s="2"/>
    </row>
    <row r="367" spans="1:28" x14ac:dyDescent="0.15">
      <c r="A367" s="8"/>
      <c r="B367" s="8"/>
      <c r="C367" s="8"/>
      <c r="D367" s="8"/>
      <c r="E367" s="9"/>
      <c r="F367" s="8"/>
      <c r="G367" s="10"/>
      <c r="H367" s="11"/>
      <c r="I367" s="8"/>
      <c r="J367" s="9"/>
      <c r="K367" s="8"/>
      <c r="L367" s="9"/>
      <c r="M367" s="8"/>
      <c r="N367" s="11"/>
      <c r="O367" s="8"/>
      <c r="P367" s="9"/>
      <c r="Q367" s="8"/>
      <c r="R367" s="9"/>
      <c r="S367" s="8"/>
      <c r="T367" s="8"/>
      <c r="U367" s="8"/>
      <c r="V367" s="11"/>
      <c r="W367" s="8"/>
      <c r="X367" s="8"/>
      <c r="Y367" s="9"/>
      <c r="Z367" s="8"/>
      <c r="AA367" s="2"/>
      <c r="AB367" s="2"/>
    </row>
    <row r="368" spans="1:28" x14ac:dyDescent="0.15">
      <c r="A368" s="8"/>
      <c r="B368" s="8"/>
      <c r="C368" s="8"/>
      <c r="D368" s="8"/>
      <c r="E368" s="9"/>
      <c r="F368" s="8"/>
      <c r="G368" s="10"/>
      <c r="H368" s="11"/>
      <c r="I368" s="8"/>
      <c r="J368" s="9"/>
      <c r="K368" s="8"/>
      <c r="L368" s="9"/>
      <c r="M368" s="8"/>
      <c r="N368" s="11"/>
      <c r="O368" s="8"/>
      <c r="P368" s="9"/>
      <c r="Q368" s="8"/>
      <c r="R368" s="9"/>
      <c r="S368" s="8"/>
      <c r="T368" s="8"/>
      <c r="U368" s="8"/>
      <c r="V368" s="11"/>
      <c r="W368" s="8"/>
      <c r="X368" s="8"/>
      <c r="Y368" s="9"/>
      <c r="Z368" s="8"/>
      <c r="AA368" s="2"/>
      <c r="AB368" s="2"/>
    </row>
    <row r="369" spans="1:28" x14ac:dyDescent="0.15">
      <c r="A369" s="8"/>
      <c r="B369" s="8"/>
      <c r="C369" s="8"/>
      <c r="D369" s="8"/>
      <c r="E369" s="9"/>
      <c r="F369" s="8"/>
      <c r="G369" s="10"/>
      <c r="H369" s="132"/>
      <c r="I369" s="8"/>
      <c r="J369" s="9"/>
      <c r="K369" s="8"/>
      <c r="L369" s="9"/>
      <c r="M369" s="8"/>
      <c r="N369" s="132"/>
      <c r="O369" s="8"/>
      <c r="P369" s="9"/>
      <c r="Q369" s="8"/>
      <c r="R369" s="9"/>
      <c r="S369" s="8"/>
      <c r="T369" s="8"/>
      <c r="U369" s="8"/>
      <c r="V369" s="11"/>
      <c r="W369" s="8"/>
      <c r="X369" s="8"/>
      <c r="Y369" s="9"/>
      <c r="Z369" s="8"/>
      <c r="AA369" s="2"/>
      <c r="AB369" s="2"/>
    </row>
    <row r="370" spans="1:28" x14ac:dyDescent="0.15">
      <c r="A370" s="8"/>
      <c r="B370" s="8"/>
      <c r="C370" s="8"/>
      <c r="D370" s="8"/>
      <c r="E370" s="9"/>
      <c r="F370" s="8"/>
      <c r="G370" s="10"/>
      <c r="H370" s="11"/>
      <c r="I370" s="8"/>
      <c r="J370" s="9"/>
      <c r="K370" s="8"/>
      <c r="L370" s="9"/>
      <c r="M370" s="8"/>
      <c r="N370" s="11"/>
      <c r="O370" s="8"/>
      <c r="P370" s="9"/>
      <c r="Q370" s="8"/>
      <c r="R370" s="9"/>
      <c r="S370" s="8"/>
      <c r="T370" s="8"/>
      <c r="U370" s="8"/>
      <c r="V370" s="11"/>
      <c r="W370" s="8"/>
      <c r="X370" s="8"/>
      <c r="Y370" s="9"/>
      <c r="Z370" s="8"/>
      <c r="AA370" s="2"/>
      <c r="AB370" s="2"/>
    </row>
    <row r="371" spans="1:28" x14ac:dyDescent="0.15">
      <c r="A371" s="8"/>
      <c r="B371" s="8"/>
      <c r="C371" s="8"/>
      <c r="D371" s="8"/>
      <c r="E371" s="9"/>
      <c r="F371" s="8"/>
      <c r="G371" s="10"/>
      <c r="H371" s="11"/>
      <c r="I371" s="8"/>
      <c r="J371" s="9"/>
      <c r="K371" s="8"/>
      <c r="L371" s="9"/>
      <c r="M371" s="8"/>
      <c r="N371" s="11"/>
      <c r="O371" s="8"/>
      <c r="P371" s="9"/>
      <c r="Q371" s="8"/>
      <c r="R371" s="9"/>
      <c r="S371" s="8"/>
      <c r="T371" s="8"/>
      <c r="U371" s="8"/>
      <c r="V371" s="11"/>
      <c r="W371" s="8"/>
      <c r="X371" s="8"/>
      <c r="Y371" s="9"/>
      <c r="Z371" s="8"/>
      <c r="AA371" s="2"/>
      <c r="AB371" s="2"/>
    </row>
    <row r="372" spans="1:28" x14ac:dyDescent="0.15">
      <c r="A372" s="8"/>
      <c r="B372" s="8"/>
      <c r="C372" s="8"/>
      <c r="D372" s="8"/>
      <c r="E372" s="9"/>
      <c r="F372" s="8"/>
      <c r="G372" s="10"/>
      <c r="H372" s="11"/>
      <c r="I372" s="8"/>
      <c r="J372" s="9"/>
      <c r="K372" s="8"/>
      <c r="L372" s="9"/>
      <c r="M372" s="8"/>
      <c r="N372" s="11"/>
      <c r="O372" s="8"/>
      <c r="P372" s="9"/>
      <c r="Q372" s="8"/>
      <c r="R372" s="9"/>
      <c r="S372" s="8"/>
      <c r="T372" s="8"/>
      <c r="U372" s="8"/>
      <c r="V372" s="11"/>
      <c r="W372" s="8"/>
      <c r="X372" s="8"/>
      <c r="Y372" s="9"/>
      <c r="Z372" s="8"/>
      <c r="AA372" s="2"/>
      <c r="AB372" s="2"/>
    </row>
    <row r="373" spans="1:28" x14ac:dyDescent="0.15">
      <c r="A373" s="8"/>
      <c r="B373" s="8"/>
      <c r="C373" s="8"/>
      <c r="D373" s="8"/>
      <c r="E373" s="9"/>
      <c r="F373" s="8"/>
      <c r="G373" s="10"/>
      <c r="H373" s="132"/>
      <c r="I373" s="8"/>
      <c r="J373" s="9"/>
      <c r="K373" s="8"/>
      <c r="L373" s="9"/>
      <c r="M373" s="8"/>
      <c r="N373" s="132"/>
      <c r="O373" s="8"/>
      <c r="P373" s="9"/>
      <c r="Q373" s="8"/>
      <c r="R373" s="9"/>
      <c r="S373" s="8"/>
      <c r="T373" s="8"/>
      <c r="U373" s="8"/>
      <c r="V373" s="11"/>
      <c r="W373" s="8"/>
      <c r="X373" s="8"/>
      <c r="Y373" s="9"/>
      <c r="Z373" s="8"/>
      <c r="AA373" s="2"/>
      <c r="AB373" s="2"/>
    </row>
    <row r="374" spans="1:28" x14ac:dyDescent="0.15">
      <c r="A374" s="8"/>
      <c r="B374" s="8"/>
      <c r="C374" s="8"/>
      <c r="D374" s="8"/>
      <c r="E374" s="9"/>
      <c r="F374" s="8"/>
      <c r="G374" s="10"/>
      <c r="H374" s="132"/>
      <c r="I374" s="8"/>
      <c r="J374" s="9"/>
      <c r="K374" s="8"/>
      <c r="L374" s="9"/>
      <c r="M374" s="8"/>
      <c r="N374" s="132"/>
      <c r="O374" s="8"/>
      <c r="P374" s="9"/>
      <c r="Q374" s="8"/>
      <c r="R374" s="9"/>
      <c r="S374" s="8"/>
      <c r="T374" s="8"/>
      <c r="U374" s="8"/>
      <c r="V374" s="11"/>
      <c r="W374" s="8"/>
      <c r="X374" s="8"/>
      <c r="Y374" s="9"/>
      <c r="Z374" s="8"/>
      <c r="AA374" s="2"/>
      <c r="AB374" s="2"/>
    </row>
    <row r="375" spans="1:28" x14ac:dyDescent="0.15">
      <c r="A375" s="8"/>
      <c r="B375" s="8"/>
      <c r="C375" s="8"/>
      <c r="D375" s="8"/>
      <c r="E375" s="9"/>
      <c r="F375" s="8"/>
      <c r="G375" s="10"/>
      <c r="H375" s="11"/>
      <c r="I375" s="8"/>
      <c r="J375" s="9"/>
      <c r="K375" s="8"/>
      <c r="L375" s="9"/>
      <c r="M375" s="8"/>
      <c r="N375" s="11"/>
      <c r="O375" s="8"/>
      <c r="P375" s="9"/>
      <c r="Q375" s="8"/>
      <c r="R375" s="9"/>
      <c r="S375" s="8"/>
      <c r="T375" s="8"/>
      <c r="U375" s="8"/>
      <c r="V375" s="11"/>
      <c r="W375" s="8"/>
      <c r="X375" s="8"/>
      <c r="Y375" s="9"/>
      <c r="Z375" s="8"/>
      <c r="AA375" s="2"/>
      <c r="AB375" s="2"/>
    </row>
    <row r="376" spans="1:28" x14ac:dyDescent="0.15">
      <c r="A376" s="8"/>
      <c r="B376" s="8"/>
      <c r="C376" s="8"/>
      <c r="D376" s="8"/>
      <c r="E376" s="9"/>
      <c r="F376" s="8"/>
      <c r="G376" s="10"/>
      <c r="H376" s="132"/>
      <c r="I376" s="8"/>
      <c r="J376" s="9"/>
      <c r="K376" s="8"/>
      <c r="L376" s="9"/>
      <c r="M376" s="8"/>
      <c r="N376" s="132"/>
      <c r="O376" s="8"/>
      <c r="P376" s="9"/>
      <c r="Q376" s="8"/>
      <c r="R376" s="9"/>
      <c r="S376" s="8"/>
      <c r="T376" s="8"/>
      <c r="U376" s="8"/>
      <c r="V376" s="11"/>
      <c r="W376" s="8"/>
      <c r="X376" s="8"/>
      <c r="Y376" s="9"/>
      <c r="Z376" s="8"/>
      <c r="AA376" s="2"/>
      <c r="AB376" s="2"/>
    </row>
    <row r="377" spans="1:28" x14ac:dyDescent="0.15">
      <c r="A377" s="8"/>
      <c r="B377" s="8"/>
      <c r="C377" s="8"/>
      <c r="D377" s="8"/>
      <c r="E377" s="9"/>
      <c r="F377" s="8"/>
      <c r="G377" s="10"/>
      <c r="H377" s="11"/>
      <c r="I377" s="8"/>
      <c r="J377" s="9"/>
      <c r="K377" s="8"/>
      <c r="L377" s="9"/>
      <c r="M377" s="8"/>
      <c r="N377" s="11"/>
      <c r="O377" s="8"/>
      <c r="P377" s="9"/>
      <c r="Q377" s="8"/>
      <c r="R377" s="9"/>
      <c r="S377" s="8"/>
      <c r="T377" s="8"/>
      <c r="U377" s="8"/>
      <c r="V377" s="11"/>
      <c r="W377" s="8"/>
      <c r="X377" s="8"/>
      <c r="Y377" s="9"/>
      <c r="Z377" s="8"/>
      <c r="AA377" s="2"/>
      <c r="AB377" s="2"/>
    </row>
    <row r="378" spans="1:28" x14ac:dyDescent="0.15">
      <c r="A378" s="8"/>
      <c r="B378" s="8"/>
      <c r="C378" s="8"/>
      <c r="D378" s="8"/>
      <c r="E378" s="9"/>
      <c r="F378" s="8"/>
      <c r="G378" s="10"/>
      <c r="H378" s="11"/>
      <c r="I378" s="8"/>
      <c r="J378" s="9"/>
      <c r="K378" s="8"/>
      <c r="L378" s="9"/>
      <c r="M378" s="8"/>
      <c r="N378" s="11"/>
      <c r="O378" s="8"/>
      <c r="P378" s="9"/>
      <c r="Q378" s="8"/>
      <c r="R378" s="9"/>
      <c r="S378" s="8"/>
      <c r="T378" s="8"/>
      <c r="U378" s="8"/>
      <c r="V378" s="11"/>
      <c r="W378" s="8"/>
      <c r="X378" s="8"/>
      <c r="Y378" s="9"/>
      <c r="Z378" s="8"/>
      <c r="AA378" s="2"/>
      <c r="AB378" s="2"/>
    </row>
    <row r="379" spans="1:28" x14ac:dyDescent="0.15">
      <c r="A379" s="8"/>
      <c r="B379" s="8"/>
      <c r="C379" s="8"/>
      <c r="D379" s="8"/>
      <c r="E379" s="9"/>
      <c r="F379" s="8"/>
      <c r="G379" s="10"/>
      <c r="H379" s="11"/>
      <c r="I379" s="8"/>
      <c r="J379" s="9"/>
      <c r="K379" s="8"/>
      <c r="L379" s="9"/>
      <c r="M379" s="8"/>
      <c r="N379" s="11"/>
      <c r="O379" s="8"/>
      <c r="P379" s="9"/>
      <c r="Q379" s="8"/>
      <c r="R379" s="9"/>
      <c r="S379" s="8"/>
      <c r="T379" s="8"/>
      <c r="U379" s="8"/>
      <c r="V379" s="132"/>
      <c r="W379" s="8"/>
      <c r="X379" s="8"/>
      <c r="Y379" s="9"/>
      <c r="Z379" s="8"/>
      <c r="AA379" s="2"/>
      <c r="AB379" s="2"/>
    </row>
    <row r="380" spans="1:28" x14ac:dyDescent="0.15">
      <c r="A380" s="8"/>
      <c r="B380" s="8"/>
      <c r="C380" s="8"/>
      <c r="D380" s="8"/>
      <c r="E380" s="9"/>
      <c r="F380" s="8"/>
      <c r="G380" s="10"/>
      <c r="H380" s="11"/>
      <c r="I380" s="8"/>
      <c r="J380" s="9"/>
      <c r="K380" s="8"/>
      <c r="L380" s="9"/>
      <c r="M380" s="8"/>
      <c r="N380" s="11"/>
      <c r="O380" s="8"/>
      <c r="P380" s="9"/>
      <c r="Q380" s="8"/>
      <c r="R380" s="9"/>
      <c r="S380" s="8"/>
      <c r="T380" s="8"/>
      <c r="U380" s="8"/>
      <c r="V380" s="132"/>
      <c r="W380" s="8"/>
      <c r="X380" s="8"/>
      <c r="Y380" s="9"/>
      <c r="Z380" s="8"/>
      <c r="AA380" s="2"/>
      <c r="AB380" s="2"/>
    </row>
    <row r="381" spans="1:28" x14ac:dyDescent="0.15">
      <c r="A381" s="8"/>
      <c r="B381" s="8"/>
      <c r="C381" s="8"/>
      <c r="D381" s="8"/>
      <c r="E381" s="9"/>
      <c r="F381" s="8"/>
      <c r="G381" s="10"/>
      <c r="H381" s="11"/>
      <c r="I381" s="8"/>
      <c r="J381" s="9"/>
      <c r="K381" s="8"/>
      <c r="L381" s="9"/>
      <c r="M381" s="8"/>
      <c r="N381" s="11"/>
      <c r="O381" s="8"/>
      <c r="P381" s="9"/>
      <c r="Q381" s="8"/>
      <c r="R381" s="9"/>
      <c r="S381" s="8"/>
      <c r="T381" s="8"/>
      <c r="U381" s="8"/>
      <c r="V381" s="132"/>
      <c r="W381" s="8"/>
      <c r="X381" s="8"/>
      <c r="Y381" s="9"/>
      <c r="Z381" s="8"/>
      <c r="AA381" s="2"/>
      <c r="AB381" s="2"/>
    </row>
    <row r="382" spans="1:28" x14ac:dyDescent="0.15">
      <c r="A382" s="8"/>
      <c r="B382" s="8"/>
      <c r="C382" s="8"/>
      <c r="D382" s="8"/>
      <c r="E382" s="9"/>
      <c r="F382" s="8"/>
      <c r="G382" s="10"/>
      <c r="H382" s="11"/>
      <c r="I382" s="8"/>
      <c r="J382" s="9"/>
      <c r="K382" s="8"/>
      <c r="L382" s="9"/>
      <c r="M382" s="8"/>
      <c r="N382" s="11"/>
      <c r="O382" s="8"/>
      <c r="P382" s="9"/>
      <c r="Q382" s="8"/>
      <c r="R382" s="9"/>
      <c r="S382" s="8"/>
      <c r="T382" s="8"/>
      <c r="U382" s="8"/>
      <c r="V382" s="11"/>
      <c r="W382" s="8"/>
      <c r="X382" s="8"/>
      <c r="Y382" s="9"/>
      <c r="Z382" s="8"/>
      <c r="AA382" s="2"/>
      <c r="AB382" s="2"/>
    </row>
    <row r="383" spans="1:28" x14ac:dyDescent="0.15">
      <c r="A383" s="8"/>
      <c r="B383" s="8"/>
      <c r="C383" s="8"/>
      <c r="D383" s="8"/>
      <c r="E383" s="9"/>
      <c r="F383" s="8"/>
      <c r="G383" s="10"/>
      <c r="H383" s="11"/>
      <c r="I383" s="8"/>
      <c r="J383" s="9"/>
      <c r="K383" s="8"/>
      <c r="L383" s="9"/>
      <c r="M383" s="8"/>
      <c r="N383" s="11"/>
      <c r="O383" s="8"/>
      <c r="P383" s="9"/>
      <c r="Q383" s="8"/>
      <c r="R383" s="9"/>
      <c r="S383" s="8"/>
      <c r="T383" s="8"/>
      <c r="U383" s="8"/>
      <c r="V383" s="11"/>
      <c r="W383" s="8"/>
      <c r="X383" s="8"/>
      <c r="Y383" s="9"/>
      <c r="Z383" s="8"/>
      <c r="AA383" s="2"/>
      <c r="AB383" s="2"/>
    </row>
    <row r="384" spans="1:28" x14ac:dyDescent="0.15">
      <c r="A384" s="8"/>
      <c r="B384" s="8"/>
      <c r="C384" s="8"/>
      <c r="D384" s="8"/>
      <c r="E384" s="9"/>
      <c r="F384" s="8"/>
      <c r="G384" s="10"/>
      <c r="H384" s="11"/>
      <c r="I384" s="8"/>
      <c r="J384" s="9"/>
      <c r="K384" s="8"/>
      <c r="L384" s="9"/>
      <c r="M384" s="8"/>
      <c r="N384" s="11"/>
      <c r="O384" s="8"/>
      <c r="P384" s="9"/>
      <c r="Q384" s="8"/>
      <c r="R384" s="9"/>
      <c r="S384" s="8"/>
      <c r="T384" s="8"/>
      <c r="U384" s="8"/>
      <c r="V384" s="132"/>
      <c r="W384" s="8"/>
      <c r="X384" s="8"/>
      <c r="Y384" s="9"/>
      <c r="Z384" s="8"/>
      <c r="AA384" s="2"/>
      <c r="AB384" s="2"/>
    </row>
    <row r="385" spans="1:28" x14ac:dyDescent="0.15">
      <c r="A385" s="8"/>
      <c r="B385" s="8"/>
      <c r="C385" s="8"/>
      <c r="D385" s="8"/>
      <c r="E385" s="9"/>
      <c r="F385" s="8"/>
      <c r="G385" s="10"/>
      <c r="H385" s="11"/>
      <c r="I385" s="8"/>
      <c r="J385" s="9"/>
      <c r="K385" s="8"/>
      <c r="L385" s="9"/>
      <c r="M385" s="8"/>
      <c r="N385" s="11"/>
      <c r="O385" s="8"/>
      <c r="P385" s="9"/>
      <c r="Q385" s="8"/>
      <c r="R385" s="9"/>
      <c r="S385" s="8"/>
      <c r="T385" s="8"/>
      <c r="U385" s="8"/>
      <c r="V385" s="11"/>
      <c r="W385" s="8"/>
      <c r="X385" s="8"/>
      <c r="Y385" s="9"/>
      <c r="Z385" s="8"/>
      <c r="AA385" s="2"/>
      <c r="AB385" s="2"/>
    </row>
    <row r="386" spans="1:28" x14ac:dyDescent="0.15">
      <c r="A386" s="8"/>
      <c r="B386" s="8"/>
      <c r="C386" s="8"/>
      <c r="D386" s="8"/>
      <c r="E386" s="9"/>
      <c r="F386" s="8"/>
      <c r="G386" s="10"/>
      <c r="H386" s="132"/>
      <c r="I386" s="8"/>
      <c r="J386" s="9"/>
      <c r="K386" s="8"/>
      <c r="L386" s="9"/>
      <c r="M386" s="8"/>
      <c r="N386" s="132"/>
      <c r="O386" s="8"/>
      <c r="P386" s="9"/>
      <c r="Q386" s="8"/>
      <c r="R386" s="9"/>
      <c r="S386" s="8"/>
      <c r="T386" s="8"/>
      <c r="U386" s="8"/>
      <c r="V386" s="11"/>
      <c r="W386" s="8"/>
      <c r="X386" s="8"/>
      <c r="Y386" s="9"/>
      <c r="Z386" s="8"/>
      <c r="AA386" s="2"/>
      <c r="AB386" s="2"/>
    </row>
    <row r="387" spans="1:28" x14ac:dyDescent="0.15">
      <c r="A387" s="8"/>
      <c r="B387" s="8"/>
      <c r="C387" s="8"/>
      <c r="D387" s="8"/>
      <c r="E387" s="9"/>
      <c r="F387" s="8"/>
      <c r="G387" s="10"/>
      <c r="H387" s="11"/>
      <c r="I387" s="8"/>
      <c r="J387" s="9"/>
      <c r="K387" s="8"/>
      <c r="L387" s="9"/>
      <c r="M387" s="8"/>
      <c r="N387" s="11"/>
      <c r="O387" s="8"/>
      <c r="P387" s="9"/>
      <c r="Q387" s="8"/>
      <c r="R387" s="9"/>
      <c r="S387" s="8"/>
      <c r="T387" s="8"/>
      <c r="U387" s="8"/>
      <c r="V387" s="132"/>
      <c r="W387" s="8"/>
      <c r="X387" s="8"/>
      <c r="Y387" s="9"/>
      <c r="Z387" s="8"/>
      <c r="AA387" s="2"/>
      <c r="AB387" s="2"/>
    </row>
    <row r="388" spans="1:28" x14ac:dyDescent="0.15">
      <c r="A388" s="8"/>
      <c r="B388" s="8"/>
      <c r="C388" s="8"/>
      <c r="D388" s="8"/>
      <c r="E388" s="9"/>
      <c r="F388" s="8"/>
      <c r="G388" s="10"/>
      <c r="H388" s="132"/>
      <c r="I388" s="8"/>
      <c r="J388" s="9"/>
      <c r="K388" s="8"/>
      <c r="L388" s="9"/>
      <c r="M388" s="8"/>
      <c r="N388" s="132"/>
      <c r="O388" s="8"/>
      <c r="P388" s="9"/>
      <c r="Q388" s="8"/>
      <c r="R388" s="9"/>
      <c r="S388" s="8"/>
      <c r="T388" s="8"/>
      <c r="U388" s="8"/>
      <c r="V388" s="132"/>
      <c r="W388" s="8"/>
      <c r="X388" s="8"/>
      <c r="Y388" s="9"/>
      <c r="Z388" s="8"/>
      <c r="AA388" s="2"/>
      <c r="AB388" s="2"/>
    </row>
    <row r="389" spans="1:28" x14ac:dyDescent="0.15">
      <c r="A389" s="8"/>
      <c r="B389" s="8"/>
      <c r="C389" s="8"/>
      <c r="D389" s="8"/>
      <c r="E389" s="9"/>
      <c r="F389" s="8"/>
      <c r="G389" s="10"/>
      <c r="H389" s="132"/>
      <c r="I389" s="8"/>
      <c r="J389" s="9"/>
      <c r="K389" s="8"/>
      <c r="L389" s="9"/>
      <c r="M389" s="8"/>
      <c r="N389" s="132"/>
      <c r="O389" s="8"/>
      <c r="P389" s="9"/>
      <c r="Q389" s="8"/>
      <c r="R389" s="9"/>
      <c r="S389" s="8"/>
      <c r="T389" s="8"/>
      <c r="U389" s="8"/>
      <c r="V389" s="132"/>
      <c r="W389" s="8"/>
      <c r="X389" s="8"/>
      <c r="Y389" s="9"/>
      <c r="Z389" s="8"/>
      <c r="AA389" s="2"/>
      <c r="AB389" s="2"/>
    </row>
    <row r="390" spans="1:28" x14ac:dyDescent="0.15">
      <c r="A390" s="8"/>
      <c r="B390" s="8"/>
      <c r="C390" s="8"/>
      <c r="D390" s="8"/>
      <c r="E390" s="9"/>
      <c r="F390" s="8"/>
      <c r="G390" s="10"/>
      <c r="H390" s="132"/>
      <c r="I390" s="8"/>
      <c r="J390" s="9"/>
      <c r="K390" s="8"/>
      <c r="L390" s="9"/>
      <c r="M390" s="8"/>
      <c r="N390" s="132"/>
      <c r="O390" s="8"/>
      <c r="P390" s="9"/>
      <c r="Q390" s="8"/>
      <c r="R390" s="9"/>
      <c r="S390" s="8"/>
      <c r="T390" s="8"/>
      <c r="U390" s="8"/>
      <c r="V390" s="11"/>
      <c r="W390" s="8"/>
      <c r="X390" s="8"/>
      <c r="Y390" s="9"/>
      <c r="Z390" s="8"/>
      <c r="AA390" s="2"/>
      <c r="AB390" s="2"/>
    </row>
    <row r="391" spans="1:28" x14ac:dyDescent="0.15">
      <c r="A391" s="8"/>
      <c r="B391" s="8"/>
      <c r="C391" s="8"/>
      <c r="D391" s="8"/>
      <c r="E391" s="9"/>
      <c r="F391" s="8"/>
      <c r="G391" s="10"/>
      <c r="H391" s="132"/>
      <c r="I391" s="8"/>
      <c r="J391" s="9"/>
      <c r="K391" s="8"/>
      <c r="L391" s="9"/>
      <c r="M391" s="8"/>
      <c r="N391" s="132"/>
      <c r="O391" s="8"/>
      <c r="P391" s="9"/>
      <c r="Q391" s="8"/>
      <c r="R391" s="9"/>
      <c r="S391" s="8"/>
      <c r="T391" s="8"/>
      <c r="U391" s="8"/>
      <c r="V391" s="132"/>
      <c r="W391" s="8"/>
      <c r="X391" s="8"/>
      <c r="Y391" s="9"/>
      <c r="Z391" s="8"/>
      <c r="AA391" s="2"/>
      <c r="AB391" s="2"/>
    </row>
    <row r="392" spans="1:28" x14ac:dyDescent="0.15">
      <c r="A392" s="8"/>
      <c r="B392" s="8"/>
      <c r="C392" s="8"/>
      <c r="D392" s="8"/>
      <c r="E392" s="9"/>
      <c r="F392" s="8"/>
      <c r="G392" s="10"/>
      <c r="H392" s="11"/>
      <c r="I392" s="8"/>
      <c r="J392" s="9"/>
      <c r="K392" s="8"/>
      <c r="L392" s="9"/>
      <c r="M392" s="8"/>
      <c r="N392" s="11"/>
      <c r="O392" s="8"/>
      <c r="P392" s="9"/>
      <c r="Q392" s="8"/>
      <c r="R392" s="9"/>
      <c r="S392" s="8"/>
      <c r="T392" s="8"/>
      <c r="U392" s="8"/>
      <c r="V392" s="11"/>
      <c r="W392" s="8"/>
      <c r="X392" s="8"/>
      <c r="Y392" s="9"/>
      <c r="Z392" s="8"/>
      <c r="AA392" s="2"/>
      <c r="AB392" s="2"/>
    </row>
    <row r="393" spans="1:28" x14ac:dyDescent="0.15">
      <c r="A393" s="8"/>
      <c r="B393" s="8"/>
      <c r="C393" s="8"/>
      <c r="D393" s="8"/>
      <c r="E393" s="9"/>
      <c r="F393" s="8"/>
      <c r="G393" s="10"/>
      <c r="H393" s="11"/>
      <c r="I393" s="8"/>
      <c r="J393" s="9"/>
      <c r="K393" s="8"/>
      <c r="L393" s="9"/>
      <c r="M393" s="8"/>
      <c r="N393" s="11"/>
      <c r="O393" s="8"/>
      <c r="P393" s="9"/>
      <c r="Q393" s="8"/>
      <c r="R393" s="9"/>
      <c r="S393" s="8"/>
      <c r="T393" s="8"/>
      <c r="U393" s="8"/>
      <c r="V393" s="11"/>
      <c r="W393" s="8"/>
      <c r="X393" s="8"/>
      <c r="Y393" s="9"/>
      <c r="Z393" s="8"/>
      <c r="AA393" s="2"/>
      <c r="AB393" s="2"/>
    </row>
    <row r="394" spans="1:28" x14ac:dyDescent="0.15">
      <c r="A394" s="8"/>
      <c r="B394" s="8"/>
      <c r="C394" s="8"/>
      <c r="D394" s="8"/>
      <c r="E394" s="9"/>
      <c r="F394" s="8"/>
      <c r="G394" s="10"/>
      <c r="H394" s="11"/>
      <c r="I394" s="8"/>
      <c r="J394" s="9"/>
      <c r="K394" s="8"/>
      <c r="L394" s="9"/>
      <c r="M394" s="8"/>
      <c r="N394" s="11"/>
      <c r="O394" s="8"/>
      <c r="P394" s="9"/>
      <c r="Q394" s="8"/>
      <c r="R394" s="9"/>
      <c r="S394" s="8"/>
      <c r="T394" s="8"/>
      <c r="U394" s="8"/>
      <c r="V394" s="11"/>
      <c r="W394" s="8"/>
      <c r="X394" s="8"/>
      <c r="Y394" s="9"/>
      <c r="Z394" s="8"/>
      <c r="AA394" s="2"/>
      <c r="AB394" s="2"/>
    </row>
    <row r="395" spans="1:28" x14ac:dyDescent="0.15">
      <c r="A395" s="8"/>
      <c r="B395" s="8"/>
      <c r="C395" s="8"/>
      <c r="D395" s="8"/>
      <c r="E395" s="9"/>
      <c r="F395" s="8"/>
      <c r="G395" s="10"/>
      <c r="H395" s="11"/>
      <c r="I395" s="8"/>
      <c r="J395" s="9"/>
      <c r="K395" s="8"/>
      <c r="L395" s="9"/>
      <c r="M395" s="8"/>
      <c r="N395" s="11"/>
      <c r="O395" s="8"/>
      <c r="P395" s="9"/>
      <c r="Q395" s="8"/>
      <c r="R395" s="9"/>
      <c r="S395" s="8"/>
      <c r="T395" s="8"/>
      <c r="U395" s="8"/>
      <c r="V395" s="11"/>
      <c r="W395" s="8"/>
      <c r="X395" s="8"/>
      <c r="Y395" s="9"/>
      <c r="Z395" s="8"/>
      <c r="AA395" s="2"/>
      <c r="AB395" s="2"/>
    </row>
    <row r="396" spans="1:28" x14ac:dyDescent="0.15">
      <c r="A396" s="8"/>
      <c r="B396" s="8"/>
      <c r="C396" s="8"/>
      <c r="D396" s="8"/>
      <c r="E396" s="9"/>
      <c r="F396" s="8"/>
      <c r="G396" s="10"/>
      <c r="H396" s="11"/>
      <c r="I396" s="8"/>
      <c r="J396" s="9"/>
      <c r="K396" s="8"/>
      <c r="L396" s="9"/>
      <c r="M396" s="8"/>
      <c r="N396" s="11"/>
      <c r="O396" s="8"/>
      <c r="P396" s="9"/>
      <c r="Q396" s="8"/>
      <c r="R396" s="9"/>
      <c r="S396" s="8"/>
      <c r="T396" s="8"/>
      <c r="U396" s="8"/>
      <c r="V396" s="11"/>
      <c r="W396" s="8"/>
      <c r="X396" s="8"/>
      <c r="Y396" s="9"/>
      <c r="Z396" s="8"/>
      <c r="AA396" s="2"/>
      <c r="AB396" s="2"/>
    </row>
    <row r="397" spans="1:28" x14ac:dyDescent="0.15">
      <c r="A397" s="8"/>
      <c r="B397" s="8"/>
      <c r="C397" s="8"/>
      <c r="D397" s="8"/>
      <c r="E397" s="9"/>
      <c r="F397" s="8"/>
      <c r="G397" s="10"/>
      <c r="H397" s="11"/>
      <c r="I397" s="8"/>
      <c r="J397" s="9"/>
      <c r="K397" s="8"/>
      <c r="L397" s="9"/>
      <c r="M397" s="8"/>
      <c r="N397" s="11"/>
      <c r="O397" s="8"/>
      <c r="P397" s="9"/>
      <c r="Q397" s="8"/>
      <c r="R397" s="9"/>
      <c r="S397" s="8"/>
      <c r="T397" s="8"/>
      <c r="U397" s="8"/>
      <c r="V397" s="11"/>
      <c r="W397" s="8"/>
      <c r="X397" s="8"/>
      <c r="Y397" s="9"/>
      <c r="Z397" s="8"/>
      <c r="AA397" s="2"/>
      <c r="AB397" s="2"/>
    </row>
    <row r="398" spans="1:28" x14ac:dyDescent="0.15">
      <c r="A398" s="8"/>
      <c r="B398" s="8"/>
      <c r="C398" s="8"/>
      <c r="D398" s="8"/>
      <c r="E398" s="9"/>
      <c r="F398" s="8"/>
      <c r="G398" s="10"/>
      <c r="H398" s="11"/>
      <c r="I398" s="8"/>
      <c r="J398" s="9"/>
      <c r="K398" s="8"/>
      <c r="L398" s="9"/>
      <c r="M398" s="8"/>
      <c r="N398" s="11"/>
      <c r="O398" s="8"/>
      <c r="P398" s="9"/>
      <c r="Q398" s="8"/>
      <c r="R398" s="9"/>
      <c r="S398" s="8"/>
      <c r="T398" s="8"/>
      <c r="U398" s="8"/>
      <c r="V398" s="11"/>
      <c r="W398" s="8"/>
      <c r="X398" s="8"/>
      <c r="Y398" s="9"/>
      <c r="Z398" s="8"/>
      <c r="AA398" s="2"/>
      <c r="AB398" s="2"/>
    </row>
    <row r="399" spans="1:28" x14ac:dyDescent="0.15">
      <c r="A399" s="8"/>
      <c r="B399" s="8"/>
      <c r="C399" s="8"/>
      <c r="D399" s="8"/>
      <c r="E399" s="9"/>
      <c r="F399" s="8"/>
      <c r="G399" s="10"/>
      <c r="H399" s="11"/>
      <c r="I399" s="8"/>
      <c r="J399" s="9"/>
      <c r="K399" s="8"/>
      <c r="L399" s="9"/>
      <c r="M399" s="8"/>
      <c r="N399" s="11"/>
      <c r="O399" s="8"/>
      <c r="P399" s="9"/>
      <c r="Q399" s="8"/>
      <c r="R399" s="9"/>
      <c r="S399" s="8"/>
      <c r="T399" s="8"/>
      <c r="U399" s="8"/>
      <c r="V399" s="11"/>
      <c r="W399" s="8"/>
      <c r="X399" s="8"/>
      <c r="Y399" s="9"/>
      <c r="Z399" s="8"/>
      <c r="AA399" s="2"/>
      <c r="AB399" s="2"/>
    </row>
    <row r="400" spans="1:28" x14ac:dyDescent="0.15">
      <c r="A400" s="8"/>
      <c r="B400" s="8"/>
      <c r="C400" s="8"/>
      <c r="D400" s="8"/>
      <c r="E400" s="9"/>
      <c r="F400" s="8"/>
      <c r="G400" s="10"/>
      <c r="H400" s="11"/>
      <c r="I400" s="8"/>
      <c r="J400" s="9"/>
      <c r="K400" s="8"/>
      <c r="L400" s="9"/>
      <c r="M400" s="8"/>
      <c r="N400" s="11"/>
      <c r="O400" s="8"/>
      <c r="P400" s="9"/>
      <c r="Q400" s="8"/>
      <c r="R400" s="9"/>
      <c r="S400" s="8"/>
      <c r="T400" s="8"/>
      <c r="U400" s="8"/>
      <c r="V400" s="11"/>
      <c r="W400" s="8"/>
      <c r="X400" s="8"/>
      <c r="Y400" s="9"/>
      <c r="Z400" s="8"/>
      <c r="AA400" s="2"/>
      <c r="AB400" s="2"/>
    </row>
    <row r="401" spans="1:28" x14ac:dyDescent="0.15">
      <c r="A401" s="8"/>
      <c r="B401" s="8"/>
      <c r="C401" s="8"/>
      <c r="D401" s="8"/>
      <c r="E401" s="9"/>
      <c r="F401" s="8"/>
      <c r="G401" s="10"/>
      <c r="H401" s="11"/>
      <c r="I401" s="8"/>
      <c r="J401" s="9"/>
      <c r="K401" s="8"/>
      <c r="L401" s="9"/>
      <c r="M401" s="8"/>
      <c r="N401" s="11"/>
      <c r="O401" s="8"/>
      <c r="P401" s="9"/>
      <c r="Q401" s="8"/>
      <c r="R401" s="9"/>
      <c r="S401" s="8"/>
      <c r="T401" s="8"/>
      <c r="U401" s="8"/>
      <c r="V401" s="11"/>
      <c r="W401" s="8"/>
      <c r="X401" s="8"/>
      <c r="Y401" s="9"/>
      <c r="Z401" s="8"/>
      <c r="AA401" s="2"/>
      <c r="AB401" s="2"/>
    </row>
    <row r="402" spans="1:28" x14ac:dyDescent="0.15">
      <c r="A402" s="8"/>
      <c r="B402" s="8"/>
      <c r="C402" s="8"/>
      <c r="D402" s="8"/>
      <c r="E402" s="9"/>
      <c r="F402" s="8"/>
      <c r="G402" s="10"/>
      <c r="H402" s="11"/>
      <c r="I402" s="8"/>
      <c r="J402" s="9"/>
      <c r="K402" s="8"/>
      <c r="L402" s="9"/>
      <c r="M402" s="8"/>
      <c r="N402" s="11"/>
      <c r="O402" s="8"/>
      <c r="P402" s="9"/>
      <c r="Q402" s="8"/>
      <c r="R402" s="9"/>
      <c r="S402" s="8"/>
      <c r="T402" s="8"/>
      <c r="U402" s="8"/>
      <c r="V402" s="11"/>
      <c r="W402" s="8"/>
      <c r="X402" s="8"/>
      <c r="Y402" s="9"/>
      <c r="Z402" s="8"/>
      <c r="AA402" s="2"/>
      <c r="AB402" s="2"/>
    </row>
    <row r="403" spans="1:28" x14ac:dyDescent="0.15">
      <c r="A403" s="8"/>
      <c r="B403" s="8"/>
      <c r="C403" s="8"/>
      <c r="D403" s="8"/>
      <c r="E403" s="9"/>
      <c r="F403" s="8"/>
      <c r="G403" s="10"/>
      <c r="H403" s="11"/>
      <c r="I403" s="8"/>
      <c r="J403" s="9"/>
      <c r="K403" s="8"/>
      <c r="L403" s="9"/>
      <c r="M403" s="8"/>
      <c r="N403" s="11"/>
      <c r="O403" s="8"/>
      <c r="P403" s="9"/>
      <c r="Q403" s="8"/>
      <c r="R403" s="9"/>
      <c r="S403" s="8"/>
      <c r="T403" s="8"/>
      <c r="U403" s="8"/>
      <c r="V403" s="11"/>
      <c r="W403" s="8"/>
      <c r="X403" s="8"/>
      <c r="Y403" s="9"/>
      <c r="Z403" s="8"/>
      <c r="AA403" s="2"/>
      <c r="AB403" s="2"/>
    </row>
    <row r="404" spans="1:28" x14ac:dyDescent="0.15">
      <c r="A404" s="8"/>
      <c r="B404" s="8"/>
      <c r="C404" s="8"/>
      <c r="D404" s="8"/>
      <c r="E404" s="9"/>
      <c r="F404" s="8"/>
      <c r="G404" s="10"/>
      <c r="H404" s="11"/>
      <c r="I404" s="8"/>
      <c r="J404" s="9"/>
      <c r="K404" s="8"/>
      <c r="L404" s="9"/>
      <c r="M404" s="8"/>
      <c r="N404" s="11"/>
      <c r="O404" s="8"/>
      <c r="P404" s="9"/>
      <c r="Q404" s="8"/>
      <c r="R404" s="9"/>
      <c r="S404" s="8"/>
      <c r="T404" s="8"/>
      <c r="U404" s="8"/>
      <c r="V404" s="11"/>
      <c r="W404" s="8"/>
      <c r="X404" s="8"/>
      <c r="Y404" s="9"/>
      <c r="Z404" s="8"/>
      <c r="AA404" s="2"/>
      <c r="AB404" s="2"/>
    </row>
    <row r="405" spans="1:28" x14ac:dyDescent="0.15">
      <c r="A405" s="8"/>
      <c r="B405" s="8"/>
      <c r="C405" s="8"/>
      <c r="D405" s="8"/>
      <c r="E405" s="9"/>
      <c r="F405" s="8"/>
      <c r="G405" s="10"/>
      <c r="H405" s="11"/>
      <c r="I405" s="8"/>
      <c r="J405" s="9"/>
      <c r="K405" s="8"/>
      <c r="L405" s="9"/>
      <c r="M405" s="8"/>
      <c r="N405" s="11"/>
      <c r="O405" s="8"/>
      <c r="P405" s="9"/>
      <c r="Q405" s="8"/>
      <c r="R405" s="9"/>
      <c r="S405" s="8"/>
      <c r="T405" s="8"/>
      <c r="U405" s="8"/>
      <c r="V405" s="11"/>
      <c r="W405" s="8"/>
      <c r="X405" s="8"/>
      <c r="Y405" s="9"/>
      <c r="Z405" s="8"/>
      <c r="AA405" s="2"/>
      <c r="AB405" s="2"/>
    </row>
    <row r="406" spans="1:28" x14ac:dyDescent="0.15">
      <c r="A406" s="8"/>
      <c r="B406" s="8"/>
      <c r="C406" s="8"/>
      <c r="D406" s="8"/>
      <c r="E406" s="9"/>
      <c r="F406" s="8"/>
      <c r="G406" s="10"/>
      <c r="H406" s="11"/>
      <c r="I406" s="8"/>
      <c r="J406" s="9"/>
      <c r="K406" s="8"/>
      <c r="L406" s="9"/>
      <c r="M406" s="8"/>
      <c r="N406" s="11"/>
      <c r="O406" s="8"/>
      <c r="P406" s="9"/>
      <c r="Q406" s="8"/>
      <c r="R406" s="9"/>
      <c r="S406" s="8"/>
      <c r="T406" s="8"/>
      <c r="U406" s="8"/>
      <c r="V406" s="11"/>
      <c r="W406" s="8"/>
      <c r="X406" s="8"/>
      <c r="Y406" s="9"/>
      <c r="Z406" s="8"/>
      <c r="AA406" s="2"/>
      <c r="AB406" s="2"/>
    </row>
    <row r="407" spans="1:28" x14ac:dyDescent="0.15">
      <c r="A407" s="8"/>
      <c r="B407" s="8"/>
      <c r="C407" s="8"/>
      <c r="D407" s="8"/>
      <c r="E407" s="9"/>
      <c r="F407" s="8"/>
      <c r="G407" s="10"/>
      <c r="H407" s="11"/>
      <c r="I407" s="8"/>
      <c r="J407" s="9"/>
      <c r="K407" s="8"/>
      <c r="L407" s="9"/>
      <c r="M407" s="8"/>
      <c r="N407" s="11"/>
      <c r="O407" s="8"/>
      <c r="P407" s="9"/>
      <c r="Q407" s="8"/>
      <c r="R407" s="9"/>
      <c r="S407" s="8"/>
      <c r="T407" s="8"/>
      <c r="U407" s="8"/>
      <c r="V407" s="11"/>
      <c r="W407" s="8"/>
      <c r="X407" s="8"/>
      <c r="Y407" s="9"/>
      <c r="Z407" s="8"/>
      <c r="AA407" s="2"/>
      <c r="AB407" s="2"/>
    </row>
    <row r="408" spans="1:28" x14ac:dyDescent="0.15">
      <c r="A408" s="8"/>
      <c r="B408" s="8"/>
      <c r="C408" s="8"/>
      <c r="D408" s="8"/>
      <c r="E408" s="9"/>
      <c r="F408" s="8"/>
      <c r="G408" s="10"/>
      <c r="H408" s="11"/>
      <c r="I408" s="8"/>
      <c r="J408" s="9"/>
      <c r="K408" s="8"/>
      <c r="L408" s="9"/>
      <c r="M408" s="8"/>
      <c r="N408" s="11"/>
      <c r="O408" s="8"/>
      <c r="P408" s="9"/>
      <c r="Q408" s="8"/>
      <c r="R408" s="9"/>
      <c r="S408" s="8"/>
      <c r="T408" s="8"/>
      <c r="U408" s="8"/>
      <c r="V408" s="11"/>
      <c r="W408" s="8"/>
      <c r="X408" s="8"/>
      <c r="Y408" s="9"/>
      <c r="Z408" s="8"/>
      <c r="AA408" s="2"/>
      <c r="AB408" s="2"/>
    </row>
    <row r="409" spans="1:28" x14ac:dyDescent="0.15">
      <c r="A409" s="8"/>
      <c r="B409" s="8"/>
      <c r="C409" s="8"/>
      <c r="D409" s="8"/>
      <c r="E409" s="9"/>
      <c r="F409" s="8"/>
      <c r="G409" s="10"/>
      <c r="H409" s="11"/>
      <c r="I409" s="8"/>
      <c r="J409" s="9"/>
      <c r="K409" s="8"/>
      <c r="L409" s="9"/>
      <c r="M409" s="8"/>
      <c r="N409" s="11"/>
      <c r="O409" s="8"/>
      <c r="P409" s="9"/>
      <c r="Q409" s="8"/>
      <c r="R409" s="9"/>
      <c r="S409" s="8"/>
      <c r="T409" s="8"/>
      <c r="U409" s="8"/>
      <c r="V409" s="11"/>
      <c r="W409" s="8"/>
      <c r="X409" s="8"/>
      <c r="Y409" s="9"/>
      <c r="Z409" s="8"/>
      <c r="AA409" s="2"/>
      <c r="AB409" s="2"/>
    </row>
    <row r="410" spans="1:28" x14ac:dyDescent="0.15">
      <c r="A410" s="8"/>
      <c r="B410" s="8"/>
      <c r="C410" s="8"/>
      <c r="D410" s="8"/>
      <c r="E410" s="9"/>
      <c r="F410" s="8"/>
      <c r="G410" s="10"/>
      <c r="H410" s="11"/>
      <c r="I410" s="8"/>
      <c r="J410" s="9"/>
      <c r="K410" s="8"/>
      <c r="L410" s="9"/>
      <c r="M410" s="8"/>
      <c r="N410" s="11"/>
      <c r="O410" s="8"/>
      <c r="P410" s="9"/>
      <c r="Q410" s="8"/>
      <c r="R410" s="9"/>
      <c r="S410" s="8"/>
      <c r="T410" s="8"/>
      <c r="U410" s="8"/>
      <c r="V410" s="11"/>
      <c r="W410" s="8"/>
      <c r="X410" s="8"/>
      <c r="Y410" s="9"/>
      <c r="Z410" s="8"/>
      <c r="AA410" s="2"/>
      <c r="AB410" s="2"/>
    </row>
    <row r="411" spans="1:28" x14ac:dyDescent="0.15">
      <c r="A411" s="8"/>
      <c r="B411" s="8"/>
      <c r="C411" s="8"/>
      <c r="D411" s="8"/>
      <c r="E411" s="9"/>
      <c r="F411" s="8"/>
      <c r="G411" s="10"/>
      <c r="H411" s="11"/>
      <c r="I411" s="8"/>
      <c r="J411" s="9"/>
      <c r="K411" s="8"/>
      <c r="L411" s="9"/>
      <c r="M411" s="8"/>
      <c r="N411" s="11"/>
      <c r="O411" s="8"/>
      <c r="P411" s="9"/>
      <c r="Q411" s="8"/>
      <c r="R411" s="9"/>
      <c r="S411" s="8"/>
      <c r="T411" s="8"/>
      <c r="U411" s="8"/>
      <c r="V411" s="11"/>
      <c r="W411" s="8"/>
      <c r="X411" s="8"/>
      <c r="Y411" s="9"/>
      <c r="Z411" s="8"/>
      <c r="AA411" s="2"/>
      <c r="AB411" s="2"/>
    </row>
    <row r="412" spans="1:28" x14ac:dyDescent="0.15">
      <c r="A412" s="8"/>
      <c r="B412" s="8"/>
      <c r="C412" s="8"/>
      <c r="D412" s="8"/>
      <c r="E412" s="9"/>
      <c r="F412" s="8"/>
      <c r="G412" s="10"/>
      <c r="H412" s="11"/>
      <c r="I412" s="8"/>
      <c r="J412" s="9"/>
      <c r="K412" s="8"/>
      <c r="L412" s="9"/>
      <c r="M412" s="8"/>
      <c r="N412" s="11"/>
      <c r="O412" s="8"/>
      <c r="P412" s="9"/>
      <c r="Q412" s="8"/>
      <c r="R412" s="9"/>
      <c r="S412" s="8"/>
      <c r="T412" s="8"/>
      <c r="U412" s="8"/>
      <c r="V412" s="11"/>
      <c r="W412" s="8"/>
      <c r="X412" s="8"/>
      <c r="Y412" s="9"/>
      <c r="Z412" s="8"/>
      <c r="AA412" s="2"/>
      <c r="AB412" s="2"/>
    </row>
    <row r="413" spans="1:28" x14ac:dyDescent="0.15">
      <c r="A413" s="8"/>
      <c r="B413" s="8"/>
      <c r="C413" s="8"/>
      <c r="D413" s="8"/>
      <c r="E413" s="9"/>
      <c r="F413" s="8"/>
      <c r="G413" s="10"/>
      <c r="H413" s="11"/>
      <c r="I413" s="8"/>
      <c r="J413" s="9"/>
      <c r="K413" s="8"/>
      <c r="L413" s="9"/>
      <c r="M413" s="8"/>
      <c r="N413" s="11"/>
      <c r="O413" s="8"/>
      <c r="P413" s="9"/>
      <c r="Q413" s="8"/>
      <c r="R413" s="9"/>
      <c r="S413" s="8"/>
      <c r="T413" s="8"/>
      <c r="U413" s="8"/>
      <c r="V413" s="11"/>
      <c r="W413" s="8"/>
      <c r="X413" s="8"/>
      <c r="Y413" s="9"/>
      <c r="Z413" s="8"/>
      <c r="AA413" s="2"/>
      <c r="AB413" s="2"/>
    </row>
    <row r="414" spans="1:28" x14ac:dyDescent="0.15">
      <c r="A414" s="8"/>
      <c r="B414" s="8"/>
      <c r="C414" s="8"/>
      <c r="D414" s="8"/>
      <c r="E414" s="9"/>
      <c r="F414" s="8"/>
      <c r="G414" s="10"/>
      <c r="H414" s="11"/>
      <c r="I414" s="8"/>
      <c r="J414" s="9"/>
      <c r="K414" s="8"/>
      <c r="L414" s="9"/>
      <c r="M414" s="8"/>
      <c r="N414" s="11"/>
      <c r="O414" s="8"/>
      <c r="P414" s="9"/>
      <c r="Q414" s="8"/>
      <c r="R414" s="9"/>
      <c r="S414" s="8"/>
      <c r="T414" s="8"/>
      <c r="U414" s="8"/>
      <c r="V414" s="11"/>
      <c r="W414" s="8"/>
      <c r="X414" s="8"/>
      <c r="Y414" s="9"/>
      <c r="Z414" s="8"/>
      <c r="AA414" s="2"/>
      <c r="AB414" s="2"/>
    </row>
    <row r="415" spans="1:28" x14ac:dyDescent="0.15">
      <c r="A415" s="8"/>
      <c r="B415" s="8"/>
      <c r="C415" s="8"/>
      <c r="D415" s="8"/>
      <c r="E415" s="9"/>
      <c r="F415" s="8"/>
      <c r="G415" s="10"/>
      <c r="H415" s="11"/>
      <c r="I415" s="8"/>
      <c r="J415" s="9"/>
      <c r="K415" s="8"/>
      <c r="L415" s="9"/>
      <c r="M415" s="8"/>
      <c r="N415" s="11"/>
      <c r="O415" s="8"/>
      <c r="P415" s="9"/>
      <c r="Q415" s="8"/>
      <c r="R415" s="9"/>
      <c r="S415" s="8"/>
      <c r="T415" s="8"/>
      <c r="U415" s="8"/>
      <c r="V415" s="11"/>
      <c r="W415" s="8"/>
      <c r="X415" s="8"/>
      <c r="Y415" s="9"/>
      <c r="Z415" s="8"/>
      <c r="AA415" s="2"/>
      <c r="AB415" s="2"/>
    </row>
    <row r="416" spans="1:28" x14ac:dyDescent="0.15">
      <c r="A416" s="8"/>
      <c r="B416" s="8"/>
      <c r="C416" s="8"/>
      <c r="D416" s="8"/>
      <c r="E416" s="9"/>
      <c r="F416" s="8"/>
      <c r="G416" s="10"/>
      <c r="H416" s="11"/>
      <c r="I416" s="8"/>
      <c r="J416" s="9"/>
      <c r="K416" s="8"/>
      <c r="L416" s="9"/>
      <c r="M416" s="8"/>
      <c r="N416" s="11"/>
      <c r="O416" s="8"/>
      <c r="P416" s="9"/>
      <c r="Q416" s="8"/>
      <c r="R416" s="9"/>
      <c r="S416" s="8"/>
      <c r="T416" s="8"/>
      <c r="U416" s="8"/>
      <c r="V416" s="11"/>
      <c r="W416" s="8"/>
      <c r="X416" s="8"/>
      <c r="Y416" s="9"/>
      <c r="Z416" s="8"/>
      <c r="AA416" s="2"/>
      <c r="AB416" s="2"/>
    </row>
    <row r="417" spans="1:28" x14ac:dyDescent="0.15">
      <c r="A417" s="8"/>
      <c r="B417" s="8"/>
      <c r="C417" s="8"/>
      <c r="D417" s="8"/>
      <c r="E417" s="9"/>
      <c r="F417" s="8"/>
      <c r="G417" s="10"/>
      <c r="H417" s="11"/>
      <c r="I417" s="8"/>
      <c r="J417" s="9"/>
      <c r="K417" s="8"/>
      <c r="L417" s="9"/>
      <c r="M417" s="8"/>
      <c r="N417" s="11"/>
      <c r="O417" s="8"/>
      <c r="P417" s="9"/>
      <c r="Q417" s="8"/>
      <c r="R417" s="9"/>
      <c r="S417" s="8"/>
      <c r="T417" s="8"/>
      <c r="U417" s="8"/>
      <c r="V417" s="11"/>
      <c r="W417" s="8"/>
      <c r="X417" s="8"/>
      <c r="Y417" s="9"/>
      <c r="Z417" s="8"/>
      <c r="AA417" s="2"/>
      <c r="AB417" s="2"/>
    </row>
    <row r="418" spans="1:28" x14ac:dyDescent="0.15">
      <c r="A418" s="8"/>
      <c r="B418" s="8"/>
      <c r="C418" s="8"/>
      <c r="D418" s="8"/>
      <c r="E418" s="9"/>
      <c r="F418" s="8"/>
      <c r="G418" s="10"/>
      <c r="H418" s="11"/>
      <c r="I418" s="8"/>
      <c r="J418" s="9"/>
      <c r="K418" s="8"/>
      <c r="L418" s="9"/>
      <c r="M418" s="8"/>
      <c r="N418" s="11"/>
      <c r="O418" s="8"/>
      <c r="P418" s="9"/>
      <c r="Q418" s="8"/>
      <c r="R418" s="9"/>
      <c r="S418" s="8"/>
      <c r="T418" s="8"/>
      <c r="U418" s="8"/>
      <c r="V418" s="11"/>
      <c r="W418" s="8"/>
      <c r="X418" s="8"/>
      <c r="Y418" s="9"/>
      <c r="Z418" s="8"/>
      <c r="AA418" s="2"/>
      <c r="AB418" s="2"/>
    </row>
    <row r="419" spans="1:28" x14ac:dyDescent="0.15">
      <c r="A419" s="8"/>
      <c r="B419" s="8"/>
      <c r="C419" s="8"/>
      <c r="D419" s="8"/>
      <c r="E419" s="9"/>
      <c r="F419" s="8"/>
      <c r="G419" s="10"/>
      <c r="H419" s="11"/>
      <c r="I419" s="8"/>
      <c r="J419" s="9"/>
      <c r="K419" s="8"/>
      <c r="L419" s="9"/>
      <c r="M419" s="8"/>
      <c r="N419" s="11"/>
      <c r="O419" s="8"/>
      <c r="P419" s="9"/>
      <c r="Q419" s="8"/>
      <c r="R419" s="9"/>
      <c r="S419" s="8"/>
      <c r="T419" s="8"/>
      <c r="U419" s="8"/>
      <c r="V419" s="11"/>
      <c r="W419" s="8"/>
      <c r="X419" s="8"/>
      <c r="Y419" s="9"/>
      <c r="Z419" s="8"/>
      <c r="AA419" s="2"/>
      <c r="AB419" s="2"/>
    </row>
    <row r="420" spans="1:28" x14ac:dyDescent="0.15">
      <c r="A420" s="8"/>
      <c r="B420" s="8"/>
      <c r="C420" s="8"/>
      <c r="D420" s="8"/>
      <c r="E420" s="9"/>
      <c r="F420" s="8"/>
      <c r="G420" s="10"/>
      <c r="H420" s="11"/>
      <c r="I420" s="8"/>
      <c r="J420" s="9"/>
      <c r="K420" s="8"/>
      <c r="L420" s="9"/>
      <c r="M420" s="8"/>
      <c r="N420" s="11"/>
      <c r="O420" s="8"/>
      <c r="P420" s="9"/>
      <c r="Q420" s="8"/>
      <c r="R420" s="9"/>
      <c r="S420" s="8"/>
      <c r="T420" s="8"/>
      <c r="U420" s="8"/>
      <c r="V420" s="11"/>
      <c r="W420" s="8"/>
      <c r="X420" s="8"/>
      <c r="Y420" s="9"/>
      <c r="Z420" s="8"/>
      <c r="AA420" s="2"/>
      <c r="AB420" s="2"/>
    </row>
    <row r="421" spans="1:28" x14ac:dyDescent="0.15">
      <c r="A421" s="8"/>
      <c r="B421" s="8"/>
      <c r="C421" s="8"/>
      <c r="D421" s="8"/>
      <c r="E421" s="9"/>
      <c r="F421" s="8"/>
      <c r="G421" s="10"/>
      <c r="H421" s="11"/>
      <c r="I421" s="8"/>
      <c r="J421" s="9"/>
      <c r="K421" s="8"/>
      <c r="L421" s="9"/>
      <c r="M421" s="8"/>
      <c r="N421" s="11"/>
      <c r="O421" s="8"/>
      <c r="P421" s="9"/>
      <c r="Q421" s="8"/>
      <c r="R421" s="9"/>
      <c r="S421" s="8"/>
      <c r="T421" s="8"/>
      <c r="U421" s="8"/>
      <c r="V421" s="11"/>
      <c r="W421" s="8"/>
      <c r="X421" s="8"/>
      <c r="Y421" s="9"/>
      <c r="Z421" s="8"/>
      <c r="AA421" s="2"/>
      <c r="AB421" s="2"/>
    </row>
    <row r="422" spans="1:28" x14ac:dyDescent="0.15">
      <c r="A422" s="8"/>
      <c r="B422" s="8"/>
      <c r="C422" s="8"/>
      <c r="D422" s="8"/>
      <c r="E422" s="9"/>
      <c r="F422" s="8"/>
      <c r="G422" s="10"/>
      <c r="H422" s="11"/>
      <c r="I422" s="8"/>
      <c r="J422" s="9"/>
      <c r="K422" s="8"/>
      <c r="L422" s="9"/>
      <c r="M422" s="8"/>
      <c r="N422" s="11"/>
      <c r="O422" s="8"/>
      <c r="P422" s="9"/>
      <c r="Q422" s="8"/>
      <c r="R422" s="9"/>
      <c r="S422" s="8"/>
      <c r="T422" s="8"/>
      <c r="U422" s="8"/>
      <c r="V422" s="11"/>
      <c r="W422" s="8"/>
      <c r="X422" s="8"/>
      <c r="Y422" s="9"/>
      <c r="Z422" s="8"/>
      <c r="AA422" s="2"/>
      <c r="AB422" s="2"/>
    </row>
    <row r="423" spans="1:28" x14ac:dyDescent="0.15">
      <c r="A423" s="8"/>
      <c r="B423" s="8"/>
      <c r="C423" s="8"/>
      <c r="D423" s="8"/>
      <c r="E423" s="9"/>
      <c r="F423" s="8"/>
      <c r="G423" s="10"/>
      <c r="H423" s="11"/>
      <c r="I423" s="8"/>
      <c r="J423" s="9"/>
      <c r="K423" s="8"/>
      <c r="L423" s="9"/>
      <c r="M423" s="8"/>
      <c r="N423" s="11"/>
      <c r="O423" s="8"/>
      <c r="P423" s="9"/>
      <c r="Q423" s="8"/>
      <c r="R423" s="9"/>
      <c r="S423" s="8"/>
      <c r="T423" s="8"/>
      <c r="U423" s="8"/>
      <c r="V423" s="11"/>
      <c r="W423" s="8"/>
      <c r="X423" s="8"/>
      <c r="Y423" s="9"/>
      <c r="Z423" s="8"/>
      <c r="AA423" s="2"/>
      <c r="AB423" s="2"/>
    </row>
    <row r="424" spans="1:28" x14ac:dyDescent="0.15">
      <c r="A424" s="8"/>
      <c r="B424" s="8"/>
      <c r="C424" s="8"/>
      <c r="D424" s="8"/>
      <c r="E424" s="9"/>
      <c r="F424" s="8"/>
      <c r="G424" s="10"/>
      <c r="H424" s="11"/>
      <c r="I424" s="8"/>
      <c r="J424" s="9"/>
      <c r="K424" s="8"/>
      <c r="L424" s="9"/>
      <c r="M424" s="8"/>
      <c r="N424" s="11"/>
      <c r="O424" s="8"/>
      <c r="P424" s="9"/>
      <c r="Q424" s="8"/>
      <c r="R424" s="9"/>
      <c r="S424" s="8"/>
      <c r="T424" s="8"/>
      <c r="U424" s="8"/>
      <c r="V424" s="11"/>
      <c r="W424" s="8"/>
      <c r="X424" s="8"/>
      <c r="Y424" s="9"/>
      <c r="Z424" s="8"/>
      <c r="AA424" s="2"/>
      <c r="AB424" s="2"/>
    </row>
    <row r="425" spans="1:28" x14ac:dyDescent="0.15">
      <c r="A425" s="8"/>
      <c r="B425" s="8"/>
      <c r="C425" s="8"/>
      <c r="D425" s="8"/>
      <c r="E425" s="9"/>
      <c r="F425" s="8"/>
      <c r="G425" s="10"/>
      <c r="H425" s="11"/>
      <c r="I425" s="8"/>
      <c r="J425" s="9"/>
      <c r="K425" s="8"/>
      <c r="L425" s="9"/>
      <c r="M425" s="8"/>
      <c r="N425" s="11"/>
      <c r="O425" s="8"/>
      <c r="P425" s="9"/>
      <c r="Q425" s="8"/>
      <c r="R425" s="9"/>
      <c r="S425" s="8"/>
      <c r="T425" s="8"/>
      <c r="U425" s="8"/>
      <c r="V425" s="11"/>
      <c r="W425" s="8"/>
      <c r="X425" s="8"/>
      <c r="Y425" s="9"/>
      <c r="Z425" s="8"/>
      <c r="AA425" s="2"/>
      <c r="AB425" s="2"/>
    </row>
    <row r="426" spans="1:28" x14ac:dyDescent="0.15">
      <c r="A426" s="8"/>
      <c r="B426" s="8"/>
      <c r="C426" s="8"/>
      <c r="D426" s="8"/>
      <c r="E426" s="9"/>
      <c r="F426" s="8"/>
      <c r="G426" s="10"/>
      <c r="H426" s="11"/>
      <c r="I426" s="8"/>
      <c r="J426" s="9"/>
      <c r="K426" s="8"/>
      <c r="L426" s="9"/>
      <c r="M426" s="8"/>
      <c r="N426" s="11"/>
      <c r="O426" s="8"/>
      <c r="P426" s="9"/>
      <c r="Q426" s="8"/>
      <c r="R426" s="9"/>
      <c r="S426" s="8"/>
      <c r="T426" s="8"/>
      <c r="U426" s="8"/>
      <c r="V426" s="11"/>
      <c r="W426" s="8"/>
      <c r="X426" s="8"/>
      <c r="Y426" s="9"/>
      <c r="Z426" s="8"/>
      <c r="AA426" s="2"/>
      <c r="AB426" s="2"/>
    </row>
    <row r="427" spans="1:28" x14ac:dyDescent="0.15">
      <c r="A427" s="8"/>
      <c r="B427" s="8"/>
      <c r="C427" s="8"/>
      <c r="D427" s="8"/>
      <c r="E427" s="9"/>
      <c r="F427" s="8"/>
      <c r="G427" s="10"/>
      <c r="H427" s="11"/>
      <c r="I427" s="8"/>
      <c r="J427" s="9"/>
      <c r="K427" s="8"/>
      <c r="L427" s="9"/>
      <c r="M427" s="8"/>
      <c r="N427" s="11"/>
      <c r="O427" s="8"/>
      <c r="P427" s="9"/>
      <c r="Q427" s="8"/>
      <c r="R427" s="9"/>
      <c r="S427" s="8"/>
      <c r="T427" s="8"/>
      <c r="U427" s="8"/>
      <c r="V427" s="11"/>
      <c r="W427" s="8"/>
      <c r="X427" s="8"/>
      <c r="Y427" s="9"/>
      <c r="Z427" s="8"/>
      <c r="AA427" s="2"/>
      <c r="AB427" s="2"/>
    </row>
    <row r="428" spans="1:28" x14ac:dyDescent="0.15">
      <c r="A428" s="8"/>
      <c r="B428" s="8"/>
      <c r="C428" s="8"/>
      <c r="D428" s="8"/>
      <c r="E428" s="9"/>
      <c r="F428" s="8"/>
      <c r="G428" s="10"/>
      <c r="H428" s="11"/>
      <c r="I428" s="8"/>
      <c r="J428" s="9"/>
      <c r="K428" s="8"/>
      <c r="L428" s="9"/>
      <c r="M428" s="8"/>
      <c r="N428" s="11"/>
      <c r="O428" s="8"/>
      <c r="P428" s="9"/>
      <c r="Q428" s="8"/>
      <c r="R428" s="9"/>
      <c r="S428" s="8"/>
      <c r="T428" s="8"/>
      <c r="U428" s="8"/>
      <c r="V428" s="11"/>
      <c r="W428" s="8"/>
      <c r="X428" s="8"/>
      <c r="Y428" s="9"/>
      <c r="Z428" s="8"/>
      <c r="AA428" s="2"/>
      <c r="AB428" s="2"/>
    </row>
    <row r="429" spans="1:28" x14ac:dyDescent="0.15">
      <c r="A429" s="8"/>
      <c r="B429" s="8"/>
      <c r="C429" s="8"/>
      <c r="D429" s="8"/>
      <c r="E429" s="9"/>
      <c r="F429" s="8"/>
      <c r="G429" s="10"/>
      <c r="H429" s="11"/>
      <c r="I429" s="8"/>
      <c r="J429" s="9"/>
      <c r="K429" s="8"/>
      <c r="L429" s="9"/>
      <c r="M429" s="8"/>
      <c r="N429" s="11"/>
      <c r="O429" s="8"/>
      <c r="P429" s="9"/>
      <c r="Q429" s="8"/>
      <c r="R429" s="9"/>
      <c r="S429" s="8"/>
      <c r="T429" s="8"/>
      <c r="U429" s="8"/>
      <c r="V429" s="11"/>
      <c r="W429" s="8"/>
      <c r="X429" s="8"/>
      <c r="Y429" s="9"/>
      <c r="Z429" s="8"/>
      <c r="AA429" s="2"/>
      <c r="AB429" s="2"/>
    </row>
    <row r="430" spans="1:28" x14ac:dyDescent="0.15">
      <c r="A430" s="8"/>
      <c r="B430" s="8"/>
      <c r="C430" s="8"/>
      <c r="D430" s="8"/>
      <c r="E430" s="9"/>
      <c r="F430" s="8"/>
      <c r="G430" s="10"/>
      <c r="H430" s="11"/>
      <c r="I430" s="8"/>
      <c r="J430" s="9"/>
      <c r="K430" s="8"/>
      <c r="L430" s="9"/>
      <c r="M430" s="8"/>
      <c r="N430" s="11"/>
      <c r="O430" s="8"/>
      <c r="P430" s="9"/>
      <c r="Q430" s="8"/>
      <c r="R430" s="9"/>
      <c r="S430" s="8"/>
      <c r="T430" s="8"/>
      <c r="U430" s="8"/>
      <c r="V430" s="11"/>
      <c r="W430" s="8"/>
      <c r="X430" s="8"/>
      <c r="Y430" s="9"/>
      <c r="Z430" s="8"/>
      <c r="AA430" s="2"/>
      <c r="AB430" s="2"/>
    </row>
    <row r="431" spans="1:28" x14ac:dyDescent="0.15">
      <c r="A431" s="8"/>
      <c r="B431" s="8"/>
      <c r="C431" s="8"/>
      <c r="D431" s="8"/>
      <c r="E431" s="9"/>
      <c r="F431" s="8"/>
      <c r="G431" s="10"/>
      <c r="H431" s="11"/>
      <c r="I431" s="8"/>
      <c r="J431" s="9"/>
      <c r="K431" s="8"/>
      <c r="L431" s="9"/>
      <c r="M431" s="8"/>
      <c r="N431" s="11"/>
      <c r="O431" s="8"/>
      <c r="P431" s="9"/>
      <c r="Q431" s="8"/>
      <c r="R431" s="9"/>
      <c r="S431" s="8"/>
      <c r="T431" s="8"/>
      <c r="U431" s="8"/>
      <c r="V431" s="11"/>
      <c r="W431" s="8"/>
      <c r="X431" s="8"/>
      <c r="Y431" s="9"/>
      <c r="Z431" s="8"/>
      <c r="AA431" s="2"/>
      <c r="AB431" s="2"/>
    </row>
    <row r="432" spans="1:28" x14ac:dyDescent="0.15">
      <c r="A432" s="8"/>
      <c r="B432" s="8"/>
      <c r="C432" s="8"/>
      <c r="D432" s="8"/>
      <c r="E432" s="9"/>
      <c r="F432" s="8"/>
      <c r="G432" s="10"/>
      <c r="H432" s="11"/>
      <c r="I432" s="8"/>
      <c r="J432" s="9"/>
      <c r="K432" s="8"/>
      <c r="L432" s="9"/>
      <c r="M432" s="8"/>
      <c r="N432" s="11"/>
      <c r="O432" s="8"/>
      <c r="P432" s="9"/>
      <c r="Q432" s="8"/>
      <c r="R432" s="9"/>
      <c r="S432" s="8"/>
      <c r="T432" s="8"/>
      <c r="U432" s="8"/>
      <c r="V432" s="11"/>
      <c r="W432" s="8"/>
      <c r="X432" s="8"/>
      <c r="Y432" s="9"/>
      <c r="Z432" s="8"/>
      <c r="AA432" s="2"/>
      <c r="AB432" s="2"/>
    </row>
    <row r="433" spans="1:28" x14ac:dyDescent="0.15">
      <c r="A433" s="8"/>
      <c r="B433" s="8"/>
      <c r="C433" s="8"/>
      <c r="D433" s="8"/>
      <c r="E433" s="9"/>
      <c r="F433" s="8"/>
      <c r="G433" s="10"/>
      <c r="H433" s="11"/>
      <c r="I433" s="8"/>
      <c r="J433" s="9"/>
      <c r="K433" s="8"/>
      <c r="L433" s="9"/>
      <c r="M433" s="8"/>
      <c r="N433" s="11"/>
      <c r="O433" s="8"/>
      <c r="P433" s="9"/>
      <c r="Q433" s="8"/>
      <c r="R433" s="9"/>
      <c r="S433" s="8"/>
      <c r="T433" s="8"/>
      <c r="U433" s="8"/>
      <c r="V433" s="11"/>
      <c r="W433" s="8"/>
      <c r="X433" s="8"/>
      <c r="Y433" s="9"/>
      <c r="Z433" s="8"/>
      <c r="AA433" s="2"/>
      <c r="AB433" s="2"/>
    </row>
    <row r="434" spans="1:28" x14ac:dyDescent="0.15">
      <c r="A434" s="8"/>
      <c r="B434" s="8"/>
      <c r="C434" s="8"/>
      <c r="D434" s="8"/>
      <c r="E434" s="9"/>
      <c r="F434" s="8"/>
      <c r="G434" s="10"/>
      <c r="H434" s="11"/>
      <c r="I434" s="8"/>
      <c r="J434" s="9"/>
      <c r="K434" s="8"/>
      <c r="L434" s="9"/>
      <c r="M434" s="8"/>
      <c r="N434" s="11"/>
      <c r="O434" s="8"/>
      <c r="P434" s="9"/>
      <c r="Q434" s="8"/>
      <c r="R434" s="9"/>
      <c r="S434" s="8"/>
      <c r="T434" s="8"/>
      <c r="U434" s="8"/>
      <c r="V434" s="11"/>
      <c r="W434" s="8"/>
      <c r="X434" s="8"/>
      <c r="Y434" s="9"/>
      <c r="Z434" s="8"/>
      <c r="AA434" s="2"/>
      <c r="AB434" s="2"/>
    </row>
    <row r="435" spans="1:28" x14ac:dyDescent="0.15">
      <c r="A435" s="8"/>
      <c r="B435" s="8"/>
      <c r="C435" s="8"/>
      <c r="D435" s="8"/>
      <c r="E435" s="9"/>
      <c r="F435" s="8"/>
      <c r="G435" s="10"/>
      <c r="H435" s="11"/>
      <c r="I435" s="8"/>
      <c r="J435" s="9"/>
      <c r="K435" s="8"/>
      <c r="L435" s="9"/>
      <c r="M435" s="8"/>
      <c r="N435" s="11"/>
      <c r="O435" s="8"/>
      <c r="P435" s="9"/>
      <c r="Q435" s="8"/>
      <c r="R435" s="9"/>
      <c r="S435" s="8"/>
      <c r="T435" s="8"/>
      <c r="U435" s="8"/>
      <c r="V435" s="11"/>
      <c r="W435" s="8"/>
      <c r="X435" s="8"/>
      <c r="Y435" s="9"/>
      <c r="Z435" s="8"/>
      <c r="AA435" s="2"/>
      <c r="AB435" s="2"/>
    </row>
    <row r="436" spans="1:28" x14ac:dyDescent="0.15">
      <c r="A436" s="8"/>
      <c r="B436" s="8"/>
      <c r="C436" s="8"/>
      <c r="D436" s="8"/>
      <c r="E436" s="9"/>
      <c r="F436" s="8"/>
      <c r="G436" s="10"/>
      <c r="H436" s="11"/>
      <c r="I436" s="8"/>
      <c r="J436" s="9"/>
      <c r="K436" s="8"/>
      <c r="L436" s="9"/>
      <c r="M436" s="8"/>
      <c r="N436" s="11"/>
      <c r="O436" s="8"/>
      <c r="P436" s="9"/>
      <c r="Q436" s="8"/>
      <c r="R436" s="9"/>
      <c r="S436" s="8"/>
      <c r="T436" s="8"/>
      <c r="U436" s="8"/>
      <c r="V436" s="11"/>
      <c r="W436" s="8"/>
      <c r="X436" s="8"/>
      <c r="Y436" s="9"/>
      <c r="Z436" s="8"/>
      <c r="AA436" s="2"/>
      <c r="AB436" s="2"/>
    </row>
    <row r="437" spans="1:28" x14ac:dyDescent="0.15">
      <c r="A437" s="8"/>
      <c r="B437" s="8"/>
      <c r="C437" s="8"/>
      <c r="D437" s="8"/>
      <c r="E437" s="9"/>
      <c r="F437" s="8"/>
      <c r="G437" s="10"/>
      <c r="H437" s="11"/>
      <c r="I437" s="8"/>
      <c r="J437" s="9"/>
      <c r="K437" s="8"/>
      <c r="L437" s="9"/>
      <c r="M437" s="8"/>
      <c r="N437" s="11"/>
      <c r="O437" s="8"/>
      <c r="P437" s="9"/>
      <c r="Q437" s="8"/>
      <c r="R437" s="9"/>
      <c r="S437" s="8"/>
      <c r="T437" s="8"/>
      <c r="U437" s="8"/>
      <c r="V437" s="11"/>
      <c r="W437" s="8"/>
      <c r="X437" s="8"/>
      <c r="Y437" s="9"/>
      <c r="Z437" s="8"/>
      <c r="AA437" s="2"/>
      <c r="AB437" s="2"/>
    </row>
    <row r="438" spans="1:28" x14ac:dyDescent="0.15">
      <c r="A438" s="8"/>
      <c r="B438" s="8"/>
      <c r="C438" s="8"/>
      <c r="D438" s="8"/>
      <c r="E438" s="9"/>
      <c r="F438" s="8"/>
      <c r="G438" s="10"/>
      <c r="H438" s="11"/>
      <c r="I438" s="8"/>
      <c r="J438" s="9"/>
      <c r="K438" s="8"/>
      <c r="L438" s="9"/>
      <c r="M438" s="8"/>
      <c r="N438" s="11"/>
      <c r="O438" s="8"/>
      <c r="P438" s="9"/>
      <c r="Q438" s="8"/>
      <c r="R438" s="9"/>
      <c r="S438" s="8"/>
      <c r="T438" s="8"/>
      <c r="U438" s="8"/>
      <c r="V438" s="11"/>
      <c r="W438" s="8"/>
      <c r="X438" s="8"/>
      <c r="Y438" s="9"/>
      <c r="Z438" s="8"/>
      <c r="AA438" s="2"/>
      <c r="AB438" s="2"/>
    </row>
    <row r="439" spans="1:28" x14ac:dyDescent="0.15">
      <c r="A439" s="8"/>
      <c r="B439" s="8"/>
      <c r="C439" s="8"/>
      <c r="D439" s="8"/>
      <c r="E439" s="9"/>
      <c r="F439" s="8"/>
      <c r="G439" s="10"/>
      <c r="H439" s="11"/>
      <c r="I439" s="8"/>
      <c r="J439" s="9"/>
      <c r="K439" s="8"/>
      <c r="L439" s="9"/>
      <c r="M439" s="8"/>
      <c r="N439" s="11"/>
      <c r="O439" s="8"/>
      <c r="P439" s="9"/>
      <c r="Q439" s="8"/>
      <c r="R439" s="9"/>
      <c r="S439" s="8"/>
      <c r="T439" s="8"/>
      <c r="U439" s="8"/>
      <c r="V439" s="11"/>
      <c r="W439" s="8"/>
      <c r="X439" s="8"/>
      <c r="Y439" s="9"/>
      <c r="Z439" s="8"/>
      <c r="AA439" s="2"/>
      <c r="AB439" s="2"/>
    </row>
    <row r="440" spans="1:28" x14ac:dyDescent="0.15">
      <c r="A440" s="8"/>
      <c r="B440" s="8"/>
      <c r="C440" s="8"/>
      <c r="D440" s="8"/>
      <c r="E440" s="9"/>
      <c r="F440" s="8"/>
      <c r="G440" s="10"/>
      <c r="H440" s="11"/>
      <c r="I440" s="8"/>
      <c r="J440" s="9"/>
      <c r="K440" s="8"/>
      <c r="L440" s="9"/>
      <c r="M440" s="8"/>
      <c r="N440" s="11"/>
      <c r="O440" s="8"/>
      <c r="P440" s="9"/>
      <c r="Q440" s="8"/>
      <c r="R440" s="9"/>
      <c r="S440" s="8"/>
      <c r="T440" s="8"/>
      <c r="U440" s="8"/>
      <c r="V440" s="11"/>
      <c r="W440" s="8"/>
      <c r="X440" s="8"/>
      <c r="Y440" s="9"/>
      <c r="Z440" s="8"/>
      <c r="AA440" s="2"/>
      <c r="AB440" s="2"/>
    </row>
    <row r="441" spans="1:28" x14ac:dyDescent="0.15">
      <c r="A441" s="8"/>
      <c r="B441" s="8"/>
      <c r="C441" s="8"/>
      <c r="D441" s="8"/>
      <c r="E441" s="9"/>
      <c r="F441" s="8"/>
      <c r="G441" s="10"/>
      <c r="H441" s="11"/>
      <c r="I441" s="8"/>
      <c r="J441" s="9"/>
      <c r="K441" s="8"/>
      <c r="L441" s="9"/>
      <c r="M441" s="8"/>
      <c r="N441" s="11"/>
      <c r="O441" s="8"/>
      <c r="P441" s="9"/>
      <c r="Q441" s="8"/>
      <c r="R441" s="9"/>
      <c r="S441" s="8"/>
      <c r="T441" s="8"/>
      <c r="U441" s="8"/>
      <c r="V441" s="11"/>
      <c r="W441" s="8"/>
      <c r="X441" s="8"/>
      <c r="Y441" s="9"/>
      <c r="Z441" s="8"/>
      <c r="AA441" s="2"/>
      <c r="AB441" s="2"/>
    </row>
    <row r="442" spans="1:28" x14ac:dyDescent="0.15">
      <c r="A442" s="8"/>
      <c r="B442" s="8"/>
      <c r="C442" s="8"/>
      <c r="D442" s="8"/>
      <c r="E442" s="9"/>
      <c r="F442" s="8"/>
      <c r="G442" s="10"/>
      <c r="H442" s="11"/>
      <c r="I442" s="8"/>
      <c r="J442" s="9"/>
      <c r="K442" s="8"/>
      <c r="L442" s="9"/>
      <c r="M442" s="8"/>
      <c r="N442" s="11"/>
      <c r="O442" s="8"/>
      <c r="P442" s="9"/>
      <c r="Q442" s="8"/>
      <c r="R442" s="9"/>
      <c r="S442" s="8"/>
      <c r="T442" s="8"/>
      <c r="U442" s="8"/>
      <c r="V442" s="11"/>
      <c r="W442" s="8"/>
      <c r="X442" s="8"/>
      <c r="Y442" s="9"/>
      <c r="Z442" s="8"/>
      <c r="AA442" s="2"/>
      <c r="AB442" s="2"/>
    </row>
    <row r="443" spans="1:28" x14ac:dyDescent="0.15">
      <c r="A443" s="8"/>
      <c r="B443" s="8"/>
      <c r="C443" s="8"/>
      <c r="D443" s="8"/>
      <c r="E443" s="9"/>
      <c r="F443" s="8"/>
      <c r="G443" s="10"/>
      <c r="H443" s="11"/>
      <c r="I443" s="8"/>
      <c r="J443" s="9"/>
      <c r="K443" s="8"/>
      <c r="L443" s="9"/>
      <c r="M443" s="8"/>
      <c r="N443" s="11"/>
      <c r="O443" s="8"/>
      <c r="P443" s="9"/>
      <c r="Q443" s="8"/>
      <c r="R443" s="9"/>
      <c r="S443" s="8"/>
      <c r="T443" s="8"/>
      <c r="U443" s="8"/>
      <c r="V443" s="11"/>
      <c r="W443" s="8"/>
      <c r="X443" s="8"/>
      <c r="Y443" s="9"/>
      <c r="Z443" s="8"/>
      <c r="AA443" s="2"/>
      <c r="AB443" s="2"/>
    </row>
    <row r="444" spans="1:28" x14ac:dyDescent="0.15">
      <c r="A444" s="8"/>
      <c r="B444" s="8"/>
      <c r="C444" s="8"/>
      <c r="D444" s="8"/>
      <c r="E444" s="9"/>
      <c r="F444" s="8"/>
      <c r="G444" s="10"/>
      <c r="H444" s="11"/>
      <c r="I444" s="8"/>
      <c r="J444" s="9"/>
      <c r="K444" s="8"/>
      <c r="L444" s="9"/>
      <c r="M444" s="8"/>
      <c r="N444" s="11"/>
      <c r="O444" s="8"/>
      <c r="P444" s="9"/>
      <c r="Q444" s="8"/>
      <c r="R444" s="9"/>
      <c r="S444" s="8"/>
      <c r="T444" s="8"/>
      <c r="U444" s="8"/>
      <c r="V444" s="11"/>
      <c r="W444" s="8"/>
      <c r="X444" s="8"/>
      <c r="Y444" s="9"/>
      <c r="Z444" s="8"/>
      <c r="AA444" s="2"/>
      <c r="AB444" s="2"/>
    </row>
    <row r="445" spans="1:28" x14ac:dyDescent="0.15">
      <c r="A445" s="8"/>
      <c r="B445" s="8"/>
      <c r="C445" s="8"/>
      <c r="D445" s="8"/>
      <c r="E445" s="9"/>
      <c r="F445" s="8"/>
      <c r="G445" s="10"/>
      <c r="H445" s="11"/>
      <c r="I445" s="8"/>
      <c r="J445" s="9"/>
      <c r="K445" s="8"/>
      <c r="L445" s="9"/>
      <c r="M445" s="8"/>
      <c r="N445" s="11"/>
      <c r="O445" s="8"/>
      <c r="P445" s="9"/>
      <c r="Q445" s="8"/>
      <c r="R445" s="9"/>
      <c r="S445" s="8"/>
      <c r="T445" s="8"/>
      <c r="U445" s="8"/>
      <c r="V445" s="11"/>
      <c r="W445" s="8"/>
      <c r="X445" s="8"/>
      <c r="Y445" s="9"/>
      <c r="Z445" s="8"/>
      <c r="AA445" s="2"/>
      <c r="AB445" s="2"/>
    </row>
    <row r="446" spans="1:28" x14ac:dyDescent="0.15">
      <c r="A446" s="8"/>
      <c r="B446" s="8"/>
      <c r="C446" s="8"/>
      <c r="D446" s="8"/>
      <c r="E446" s="9"/>
      <c r="F446" s="8"/>
      <c r="G446" s="10"/>
      <c r="H446" s="11"/>
      <c r="I446" s="8"/>
      <c r="J446" s="9"/>
      <c r="K446" s="8"/>
      <c r="L446" s="9"/>
      <c r="M446" s="8"/>
      <c r="N446" s="11"/>
      <c r="O446" s="8"/>
      <c r="P446" s="9"/>
      <c r="Q446" s="8"/>
      <c r="R446" s="9"/>
      <c r="S446" s="8"/>
      <c r="T446" s="8"/>
      <c r="U446" s="8"/>
      <c r="V446" s="11"/>
      <c r="W446" s="8"/>
      <c r="X446" s="8"/>
      <c r="Y446" s="9"/>
      <c r="Z446" s="8"/>
      <c r="AA446" s="2"/>
      <c r="AB446" s="2"/>
    </row>
    <row r="447" spans="1:28" x14ac:dyDescent="0.15">
      <c r="A447" s="8"/>
      <c r="B447" s="8"/>
      <c r="C447" s="8"/>
      <c r="D447" s="8"/>
      <c r="E447" s="9"/>
      <c r="F447" s="8"/>
      <c r="G447" s="10"/>
      <c r="H447" s="11"/>
      <c r="I447" s="8"/>
      <c r="J447" s="9"/>
      <c r="K447" s="8"/>
      <c r="L447" s="9"/>
      <c r="M447" s="8"/>
      <c r="N447" s="11"/>
      <c r="O447" s="8"/>
      <c r="P447" s="9"/>
      <c r="Q447" s="8"/>
      <c r="R447" s="9"/>
      <c r="S447" s="8"/>
      <c r="T447" s="8"/>
      <c r="U447" s="8"/>
      <c r="V447" s="11"/>
      <c r="W447" s="8"/>
      <c r="X447" s="8"/>
      <c r="Y447" s="9"/>
      <c r="Z447" s="8"/>
      <c r="AA447" s="2"/>
      <c r="AB447" s="2"/>
    </row>
    <row r="448" spans="1:28" x14ac:dyDescent="0.15">
      <c r="A448" s="8"/>
      <c r="B448" s="8"/>
      <c r="C448" s="8"/>
      <c r="D448" s="8"/>
      <c r="E448" s="9"/>
      <c r="F448" s="8"/>
      <c r="G448" s="10"/>
      <c r="H448" s="11"/>
      <c r="I448" s="8"/>
      <c r="J448" s="9"/>
      <c r="K448" s="8"/>
      <c r="L448" s="9"/>
      <c r="M448" s="8"/>
      <c r="N448" s="11"/>
      <c r="O448" s="8"/>
      <c r="P448" s="9"/>
      <c r="Q448" s="8"/>
      <c r="R448" s="9"/>
      <c r="S448" s="8"/>
      <c r="T448" s="8"/>
      <c r="U448" s="8"/>
      <c r="V448" s="11"/>
      <c r="W448" s="8"/>
      <c r="X448" s="8"/>
      <c r="Y448" s="9"/>
      <c r="Z448" s="8"/>
      <c r="AA448" s="2"/>
      <c r="AB448" s="2"/>
    </row>
    <row r="449" spans="1:28" x14ac:dyDescent="0.15">
      <c r="A449" s="8"/>
      <c r="B449" s="8"/>
      <c r="C449" s="8"/>
      <c r="D449" s="8"/>
      <c r="E449" s="9"/>
      <c r="F449" s="8"/>
      <c r="G449" s="10"/>
      <c r="H449" s="11"/>
      <c r="I449" s="8"/>
      <c r="J449" s="9"/>
      <c r="K449" s="8"/>
      <c r="L449" s="9"/>
      <c r="M449" s="8"/>
      <c r="N449" s="11"/>
      <c r="O449" s="8"/>
      <c r="P449" s="9"/>
      <c r="Q449" s="8"/>
      <c r="R449" s="9"/>
      <c r="S449" s="8"/>
      <c r="T449" s="8"/>
      <c r="U449" s="8"/>
      <c r="V449" s="11"/>
      <c r="W449" s="8"/>
      <c r="X449" s="8"/>
      <c r="Y449" s="9"/>
      <c r="Z449" s="8"/>
      <c r="AA449" s="2"/>
      <c r="AB449" s="2"/>
    </row>
    <row r="450" spans="1:28" x14ac:dyDescent="0.15">
      <c r="A450" s="8"/>
      <c r="B450" s="8"/>
      <c r="C450" s="8"/>
      <c r="D450" s="8"/>
      <c r="E450" s="9"/>
      <c r="F450" s="8"/>
      <c r="G450" s="10"/>
      <c r="H450" s="11"/>
      <c r="I450" s="8"/>
      <c r="J450" s="9"/>
      <c r="K450" s="8"/>
      <c r="L450" s="9"/>
      <c r="M450" s="8"/>
      <c r="N450" s="11"/>
      <c r="O450" s="8"/>
      <c r="P450" s="9"/>
      <c r="Q450" s="8"/>
      <c r="R450" s="9"/>
      <c r="S450" s="8"/>
      <c r="T450" s="8"/>
      <c r="U450" s="8"/>
      <c r="V450" s="11"/>
      <c r="W450" s="8"/>
      <c r="X450" s="8"/>
      <c r="Y450" s="9"/>
      <c r="Z450" s="8"/>
      <c r="AA450" s="2"/>
      <c r="AB450" s="2"/>
    </row>
    <row r="451" spans="1:28" x14ac:dyDescent="0.15">
      <c r="A451" s="8"/>
      <c r="B451" s="8"/>
      <c r="C451" s="8"/>
      <c r="D451" s="8"/>
      <c r="E451" s="9"/>
      <c r="F451" s="8"/>
      <c r="G451" s="10"/>
      <c r="H451" s="11"/>
      <c r="I451" s="8"/>
      <c r="J451" s="9"/>
      <c r="K451" s="8"/>
      <c r="L451" s="9"/>
      <c r="M451" s="8"/>
      <c r="N451" s="11"/>
      <c r="O451" s="8"/>
      <c r="P451" s="9"/>
      <c r="Q451" s="8"/>
      <c r="R451" s="9"/>
      <c r="S451" s="8"/>
      <c r="T451" s="8"/>
      <c r="U451" s="8"/>
      <c r="V451" s="11"/>
      <c r="W451" s="8"/>
      <c r="X451" s="8"/>
      <c r="Y451" s="9"/>
      <c r="Z451" s="8"/>
      <c r="AA451" s="2"/>
      <c r="AB451" s="2"/>
    </row>
    <row r="452" spans="1:28" x14ac:dyDescent="0.15">
      <c r="A452" s="8"/>
      <c r="B452" s="8"/>
      <c r="C452" s="8"/>
      <c r="D452" s="8"/>
      <c r="E452" s="9"/>
      <c r="F452" s="8"/>
      <c r="G452" s="10"/>
      <c r="H452" s="11"/>
      <c r="I452" s="8"/>
      <c r="J452" s="9"/>
      <c r="K452" s="8"/>
      <c r="L452" s="9"/>
      <c r="M452" s="8"/>
      <c r="N452" s="11"/>
      <c r="O452" s="8"/>
      <c r="P452" s="9"/>
      <c r="Q452" s="8"/>
      <c r="R452" s="9"/>
      <c r="S452" s="8"/>
      <c r="T452" s="8"/>
      <c r="U452" s="8"/>
      <c r="V452" s="11"/>
      <c r="W452" s="8"/>
      <c r="X452" s="8"/>
      <c r="Y452" s="9"/>
      <c r="Z452" s="8"/>
      <c r="AA452" s="2"/>
      <c r="AB452" s="2"/>
    </row>
    <row r="453" spans="1:28" x14ac:dyDescent="0.15">
      <c r="A453" s="8"/>
      <c r="B453" s="8"/>
      <c r="C453" s="8"/>
      <c r="D453" s="8"/>
      <c r="E453" s="9"/>
      <c r="F453" s="8"/>
      <c r="G453" s="10"/>
      <c r="H453" s="11"/>
      <c r="I453" s="8"/>
      <c r="J453" s="9"/>
      <c r="K453" s="8"/>
      <c r="L453" s="9"/>
      <c r="M453" s="8"/>
      <c r="N453" s="11"/>
      <c r="O453" s="8"/>
      <c r="P453" s="9"/>
      <c r="Q453" s="8"/>
      <c r="R453" s="9"/>
      <c r="S453" s="8"/>
      <c r="T453" s="8"/>
      <c r="U453" s="8"/>
      <c r="V453" s="11"/>
      <c r="W453" s="8"/>
      <c r="X453" s="8"/>
      <c r="Y453" s="9"/>
      <c r="Z453" s="8"/>
      <c r="AA453" s="2"/>
      <c r="AB453" s="2"/>
    </row>
    <row r="454" spans="1:28" x14ac:dyDescent="0.15">
      <c r="A454" s="8"/>
      <c r="B454" s="8"/>
      <c r="C454" s="8"/>
      <c r="D454" s="8"/>
      <c r="E454" s="9"/>
      <c r="F454" s="8"/>
      <c r="G454" s="10"/>
      <c r="H454" s="11"/>
      <c r="I454" s="8"/>
      <c r="J454" s="9"/>
      <c r="K454" s="8"/>
      <c r="L454" s="9"/>
      <c r="M454" s="8"/>
      <c r="N454" s="11"/>
      <c r="O454" s="8"/>
      <c r="P454" s="9"/>
      <c r="Q454" s="8"/>
      <c r="R454" s="9"/>
      <c r="S454" s="8"/>
      <c r="T454" s="8"/>
      <c r="U454" s="8"/>
      <c r="V454" s="11"/>
      <c r="W454" s="8"/>
      <c r="X454" s="8"/>
      <c r="Y454" s="9"/>
      <c r="Z454" s="8"/>
      <c r="AA454" s="2"/>
      <c r="AB454" s="2"/>
    </row>
    <row r="455" spans="1:28" x14ac:dyDescent="0.15">
      <c r="A455" s="8"/>
      <c r="B455" s="8"/>
      <c r="C455" s="8"/>
      <c r="D455" s="8"/>
      <c r="E455" s="9"/>
      <c r="F455" s="8"/>
      <c r="G455" s="10"/>
      <c r="H455" s="11"/>
      <c r="I455" s="8"/>
      <c r="J455" s="9"/>
      <c r="K455" s="8"/>
      <c r="L455" s="9"/>
      <c r="M455" s="8"/>
      <c r="N455" s="11"/>
      <c r="O455" s="8"/>
      <c r="P455" s="9"/>
      <c r="Q455" s="8"/>
      <c r="R455" s="9"/>
      <c r="S455" s="8"/>
      <c r="T455" s="8"/>
      <c r="U455" s="8"/>
      <c r="V455" s="11"/>
      <c r="W455" s="8"/>
      <c r="X455" s="8"/>
      <c r="Y455" s="9"/>
      <c r="Z455" s="8"/>
      <c r="AA455" s="2"/>
      <c r="AB455" s="2"/>
    </row>
    <row r="456" spans="1:28" x14ac:dyDescent="0.15">
      <c r="A456" s="8"/>
      <c r="B456" s="8"/>
      <c r="C456" s="8"/>
      <c r="D456" s="8"/>
      <c r="E456" s="9"/>
      <c r="F456" s="8"/>
      <c r="G456" s="10"/>
      <c r="H456" s="11"/>
      <c r="I456" s="8"/>
      <c r="J456" s="9"/>
      <c r="K456" s="8"/>
      <c r="L456" s="9"/>
      <c r="M456" s="8"/>
      <c r="N456" s="11"/>
      <c r="O456" s="8"/>
      <c r="P456" s="9"/>
      <c r="Q456" s="8"/>
      <c r="R456" s="9"/>
      <c r="S456" s="8"/>
      <c r="T456" s="8"/>
      <c r="U456" s="8"/>
      <c r="V456" s="11"/>
      <c r="W456" s="8"/>
      <c r="X456" s="8"/>
      <c r="Y456" s="9"/>
      <c r="Z456" s="8"/>
      <c r="AA456" s="2"/>
      <c r="AB456" s="2"/>
    </row>
    <row r="457" spans="1:28" x14ac:dyDescent="0.15">
      <c r="A457" s="8"/>
      <c r="B457" s="8"/>
      <c r="C457" s="8"/>
      <c r="D457" s="8"/>
      <c r="E457" s="9"/>
      <c r="F457" s="8"/>
      <c r="G457" s="10"/>
      <c r="H457" s="11"/>
      <c r="I457" s="8"/>
      <c r="J457" s="9"/>
      <c r="K457" s="8"/>
      <c r="L457" s="9"/>
      <c r="M457" s="8"/>
      <c r="N457" s="11"/>
      <c r="O457" s="8"/>
      <c r="P457" s="9"/>
      <c r="Q457" s="8"/>
      <c r="R457" s="9"/>
      <c r="S457" s="8"/>
      <c r="T457" s="8"/>
      <c r="U457" s="8"/>
      <c r="V457" s="11"/>
      <c r="W457" s="8"/>
      <c r="X457" s="8"/>
      <c r="Y457" s="9"/>
      <c r="Z457" s="8"/>
      <c r="AA457" s="2"/>
      <c r="AB457" s="2"/>
    </row>
    <row r="458" spans="1:28" x14ac:dyDescent="0.15">
      <c r="A458" s="8"/>
      <c r="B458" s="8"/>
      <c r="C458" s="8"/>
      <c r="D458" s="8"/>
      <c r="E458" s="9"/>
      <c r="F458" s="8"/>
      <c r="G458" s="10"/>
      <c r="H458" s="11"/>
      <c r="I458" s="8"/>
      <c r="J458" s="9"/>
      <c r="K458" s="8"/>
      <c r="L458" s="9"/>
      <c r="M458" s="8"/>
      <c r="N458" s="11"/>
      <c r="O458" s="8"/>
      <c r="P458" s="9"/>
      <c r="Q458" s="8"/>
      <c r="R458" s="9"/>
      <c r="S458" s="8"/>
      <c r="T458" s="8"/>
      <c r="U458" s="8"/>
      <c r="V458" s="11"/>
      <c r="W458" s="8"/>
      <c r="X458" s="8"/>
      <c r="Y458" s="9"/>
      <c r="Z458" s="8"/>
      <c r="AA458" s="2"/>
      <c r="AB458" s="2"/>
    </row>
    <row r="459" spans="1:28" x14ac:dyDescent="0.15">
      <c r="A459" s="8"/>
      <c r="B459" s="8"/>
      <c r="C459" s="8"/>
      <c r="D459" s="8"/>
      <c r="E459" s="9"/>
      <c r="F459" s="8"/>
      <c r="G459" s="10"/>
      <c r="H459" s="11"/>
      <c r="I459" s="8"/>
      <c r="J459" s="9"/>
      <c r="K459" s="8"/>
      <c r="L459" s="9"/>
      <c r="M459" s="8"/>
      <c r="N459" s="11"/>
      <c r="O459" s="8"/>
      <c r="P459" s="9"/>
      <c r="Q459" s="8"/>
      <c r="R459" s="9"/>
      <c r="S459" s="8"/>
      <c r="T459" s="8"/>
      <c r="U459" s="8"/>
      <c r="V459" s="11"/>
      <c r="W459" s="8"/>
      <c r="X459" s="8"/>
      <c r="Y459" s="9"/>
      <c r="Z459" s="8"/>
      <c r="AA459" s="2"/>
      <c r="AB459" s="2"/>
    </row>
    <row r="460" spans="1:28" x14ac:dyDescent="0.15">
      <c r="A460" s="8"/>
      <c r="B460" s="8"/>
      <c r="C460" s="8"/>
      <c r="D460" s="8"/>
      <c r="E460" s="9"/>
      <c r="F460" s="8"/>
      <c r="G460" s="10"/>
      <c r="H460" s="11"/>
      <c r="I460" s="8"/>
      <c r="J460" s="9"/>
      <c r="K460" s="8"/>
      <c r="L460" s="9"/>
      <c r="M460" s="8"/>
      <c r="N460" s="11"/>
      <c r="O460" s="8"/>
      <c r="P460" s="9"/>
      <c r="Q460" s="8"/>
      <c r="R460" s="9"/>
      <c r="S460" s="8"/>
      <c r="T460" s="8"/>
      <c r="U460" s="8"/>
      <c r="V460" s="11"/>
      <c r="W460" s="8"/>
      <c r="X460" s="8"/>
      <c r="Y460" s="9"/>
      <c r="Z460" s="8"/>
      <c r="AA460" s="2"/>
      <c r="AB460" s="2"/>
    </row>
    <row r="461" spans="1:28" x14ac:dyDescent="0.15">
      <c r="A461" s="8"/>
      <c r="B461" s="8"/>
      <c r="C461" s="8"/>
      <c r="D461" s="8"/>
      <c r="E461" s="9"/>
      <c r="F461" s="8"/>
      <c r="G461" s="10"/>
      <c r="H461" s="11"/>
      <c r="I461" s="8"/>
      <c r="J461" s="9"/>
      <c r="K461" s="8"/>
      <c r="L461" s="9"/>
      <c r="M461" s="8"/>
      <c r="N461" s="11"/>
      <c r="O461" s="8"/>
      <c r="P461" s="9"/>
      <c r="Q461" s="8"/>
      <c r="R461" s="9"/>
      <c r="S461" s="8"/>
      <c r="T461" s="8"/>
      <c r="U461" s="8"/>
      <c r="V461" s="11"/>
      <c r="W461" s="8"/>
      <c r="X461" s="8"/>
      <c r="Y461" s="9"/>
      <c r="Z461" s="8"/>
      <c r="AA461" s="2"/>
      <c r="AB461" s="2"/>
    </row>
    <row r="462" spans="1:28" x14ac:dyDescent="0.15">
      <c r="A462" s="8"/>
      <c r="B462" s="8"/>
      <c r="C462" s="8"/>
      <c r="D462" s="8"/>
      <c r="E462" s="9"/>
      <c r="F462" s="8"/>
      <c r="G462" s="10"/>
      <c r="H462" s="11"/>
      <c r="I462" s="8"/>
      <c r="J462" s="9"/>
      <c r="K462" s="8"/>
      <c r="L462" s="9"/>
      <c r="M462" s="8"/>
      <c r="N462" s="11"/>
      <c r="O462" s="8"/>
      <c r="P462" s="9"/>
      <c r="Q462" s="8"/>
      <c r="R462" s="9"/>
      <c r="S462" s="8"/>
      <c r="T462" s="8"/>
      <c r="U462" s="8"/>
      <c r="V462" s="11"/>
      <c r="W462" s="8"/>
      <c r="X462" s="8"/>
      <c r="Y462" s="9"/>
      <c r="Z462" s="8"/>
      <c r="AA462" s="2"/>
      <c r="AB462" s="2"/>
    </row>
    <row r="463" spans="1:28" x14ac:dyDescent="0.15">
      <c r="A463" s="8"/>
      <c r="B463" s="8"/>
      <c r="C463" s="8"/>
      <c r="D463" s="8"/>
      <c r="E463" s="9"/>
      <c r="F463" s="8"/>
      <c r="G463" s="10"/>
      <c r="H463" s="11"/>
      <c r="I463" s="8"/>
      <c r="J463" s="9"/>
      <c r="K463" s="8"/>
      <c r="L463" s="9"/>
      <c r="M463" s="8"/>
      <c r="N463" s="11"/>
      <c r="O463" s="8"/>
      <c r="P463" s="9"/>
      <c r="Q463" s="8"/>
      <c r="R463" s="9"/>
      <c r="S463" s="8"/>
      <c r="T463" s="8"/>
      <c r="U463" s="8"/>
      <c r="V463" s="11"/>
      <c r="W463" s="8"/>
      <c r="X463" s="8"/>
      <c r="Y463" s="9"/>
      <c r="Z463" s="8"/>
      <c r="AA463" s="2"/>
      <c r="AB463" s="2"/>
    </row>
    <row r="464" spans="1:28" x14ac:dyDescent="0.15">
      <c r="A464" s="8"/>
      <c r="B464" s="8"/>
      <c r="C464" s="8"/>
      <c r="D464" s="8"/>
      <c r="E464" s="9"/>
      <c r="F464" s="8"/>
      <c r="G464" s="10"/>
      <c r="H464" s="11"/>
      <c r="I464" s="8"/>
      <c r="J464" s="9"/>
      <c r="K464" s="8"/>
      <c r="L464" s="9"/>
      <c r="M464" s="8"/>
      <c r="N464" s="11"/>
      <c r="O464" s="8"/>
      <c r="P464" s="9"/>
      <c r="Q464" s="8"/>
      <c r="R464" s="9"/>
      <c r="S464" s="8"/>
      <c r="T464" s="8"/>
      <c r="U464" s="8"/>
      <c r="V464" s="11"/>
      <c r="W464" s="8"/>
      <c r="X464" s="8"/>
      <c r="Y464" s="9"/>
      <c r="Z464" s="8"/>
      <c r="AA464" s="2"/>
      <c r="AB464" s="2"/>
    </row>
    <row r="465" spans="1:28" x14ac:dyDescent="0.15">
      <c r="A465" s="8"/>
      <c r="B465" s="8"/>
      <c r="C465" s="8"/>
      <c r="D465" s="8"/>
      <c r="E465" s="9"/>
      <c r="F465" s="8"/>
      <c r="G465" s="10"/>
      <c r="H465" s="11"/>
      <c r="I465" s="8"/>
      <c r="J465" s="9"/>
      <c r="K465" s="8"/>
      <c r="L465" s="9"/>
      <c r="M465" s="8"/>
      <c r="N465" s="11"/>
      <c r="O465" s="8"/>
      <c r="P465" s="9"/>
      <c r="Q465" s="8"/>
      <c r="R465" s="9"/>
      <c r="S465" s="8"/>
      <c r="T465" s="8"/>
      <c r="U465" s="8"/>
      <c r="V465" s="11"/>
      <c r="W465" s="8"/>
      <c r="X465" s="8"/>
      <c r="Y465" s="9"/>
      <c r="Z465" s="8"/>
      <c r="AA465" s="2"/>
      <c r="AB465" s="2"/>
    </row>
    <row r="466" spans="1:28" x14ac:dyDescent="0.15">
      <c r="A466" s="8"/>
      <c r="B466" s="8"/>
      <c r="C466" s="8"/>
      <c r="D466" s="8"/>
      <c r="E466" s="9"/>
      <c r="F466" s="8"/>
      <c r="G466" s="10"/>
      <c r="H466" s="11"/>
      <c r="I466" s="8"/>
      <c r="J466" s="9"/>
      <c r="K466" s="8"/>
      <c r="L466" s="9"/>
      <c r="M466" s="8"/>
      <c r="N466" s="11"/>
      <c r="O466" s="8"/>
      <c r="P466" s="9"/>
      <c r="Q466" s="8"/>
      <c r="R466" s="9"/>
      <c r="S466" s="8"/>
      <c r="T466" s="8"/>
      <c r="U466" s="8"/>
      <c r="V466" s="11"/>
      <c r="W466" s="8"/>
      <c r="X466" s="8"/>
      <c r="Y466" s="9"/>
      <c r="Z466" s="8"/>
      <c r="AA466" s="2"/>
      <c r="AB466" s="2"/>
    </row>
    <row r="467" spans="1:28" x14ac:dyDescent="0.15">
      <c r="A467" s="8"/>
      <c r="B467" s="8"/>
      <c r="C467" s="8"/>
      <c r="D467" s="8"/>
      <c r="E467" s="9"/>
      <c r="F467" s="8"/>
      <c r="G467" s="10"/>
      <c r="H467" s="11"/>
      <c r="I467" s="8"/>
      <c r="J467" s="9"/>
      <c r="K467" s="8"/>
      <c r="L467" s="9"/>
      <c r="M467" s="8"/>
      <c r="N467" s="11"/>
      <c r="O467" s="8"/>
      <c r="P467" s="9"/>
      <c r="Q467" s="8"/>
      <c r="R467" s="9"/>
      <c r="S467" s="8"/>
      <c r="T467" s="8"/>
      <c r="U467" s="8"/>
      <c r="V467" s="11"/>
      <c r="W467" s="8"/>
      <c r="X467" s="8"/>
      <c r="Y467" s="9"/>
      <c r="Z467" s="8"/>
      <c r="AA467" s="2"/>
      <c r="AB467" s="2"/>
    </row>
    <row r="468" spans="1:28" x14ac:dyDescent="0.15">
      <c r="A468" s="8"/>
      <c r="B468" s="8"/>
      <c r="C468" s="8"/>
      <c r="D468" s="8"/>
      <c r="E468" s="9"/>
      <c r="F468" s="8"/>
      <c r="G468" s="10"/>
      <c r="H468" s="11"/>
      <c r="I468" s="8"/>
      <c r="J468" s="9"/>
      <c r="K468" s="8"/>
      <c r="L468" s="9"/>
      <c r="M468" s="8"/>
      <c r="N468" s="11"/>
      <c r="O468" s="8"/>
      <c r="P468" s="9"/>
      <c r="Q468" s="8"/>
      <c r="R468" s="9"/>
      <c r="S468" s="8"/>
      <c r="T468" s="8"/>
      <c r="U468" s="8"/>
      <c r="V468" s="11"/>
      <c r="W468" s="8"/>
      <c r="X468" s="8"/>
      <c r="Y468" s="9"/>
      <c r="Z468" s="8"/>
      <c r="AA468" s="2"/>
      <c r="AB468" s="2"/>
    </row>
    <row r="469" spans="1:28" x14ac:dyDescent="0.15">
      <c r="A469" s="8"/>
      <c r="B469" s="8"/>
      <c r="C469" s="8"/>
      <c r="D469" s="8"/>
      <c r="E469" s="9"/>
      <c r="F469" s="8"/>
      <c r="G469" s="10"/>
      <c r="H469" s="11"/>
      <c r="I469" s="8"/>
      <c r="J469" s="9"/>
      <c r="K469" s="8"/>
      <c r="L469" s="9"/>
      <c r="M469" s="8"/>
      <c r="N469" s="11"/>
      <c r="O469" s="8"/>
      <c r="P469" s="9"/>
      <c r="Q469" s="8"/>
      <c r="R469" s="9"/>
      <c r="S469" s="8"/>
      <c r="T469" s="8"/>
      <c r="U469" s="8"/>
      <c r="V469" s="11"/>
      <c r="W469" s="8"/>
      <c r="X469" s="8"/>
      <c r="Y469" s="9"/>
      <c r="Z469" s="8"/>
      <c r="AA469" s="2"/>
      <c r="AB469" s="2"/>
    </row>
    <row r="470" spans="1:28" x14ac:dyDescent="0.15">
      <c r="A470" s="8"/>
      <c r="B470" s="8"/>
      <c r="C470" s="8"/>
      <c r="D470" s="8"/>
      <c r="E470" s="9"/>
      <c r="F470" s="8"/>
      <c r="G470" s="10"/>
      <c r="H470" s="11"/>
      <c r="I470" s="8"/>
      <c r="J470" s="9"/>
      <c r="K470" s="8"/>
      <c r="L470" s="9"/>
      <c r="M470" s="8"/>
      <c r="N470" s="11"/>
      <c r="O470" s="8"/>
      <c r="P470" s="9"/>
      <c r="Q470" s="8"/>
      <c r="R470" s="9"/>
      <c r="S470" s="8"/>
      <c r="T470" s="8"/>
      <c r="U470" s="8"/>
      <c r="V470" s="11"/>
      <c r="W470" s="8"/>
      <c r="X470" s="8"/>
      <c r="Y470" s="9"/>
      <c r="Z470" s="8"/>
      <c r="AA470" s="2"/>
      <c r="AB470" s="2"/>
    </row>
    <row r="471" spans="1:28" x14ac:dyDescent="0.15">
      <c r="A471" s="8"/>
      <c r="B471" s="8"/>
      <c r="C471" s="8"/>
      <c r="D471" s="8"/>
      <c r="E471" s="9"/>
      <c r="F471" s="8"/>
      <c r="G471" s="10"/>
      <c r="H471" s="11"/>
      <c r="I471" s="8"/>
      <c r="J471" s="9"/>
      <c r="K471" s="8"/>
      <c r="L471" s="9"/>
      <c r="M471" s="8"/>
      <c r="N471" s="11"/>
      <c r="O471" s="8"/>
      <c r="P471" s="9"/>
      <c r="Q471" s="8"/>
      <c r="R471" s="9"/>
      <c r="S471" s="8"/>
      <c r="T471" s="8"/>
      <c r="U471" s="8"/>
      <c r="V471" s="11"/>
      <c r="W471" s="8"/>
      <c r="X471" s="8"/>
      <c r="Y471" s="9"/>
      <c r="Z471" s="8"/>
      <c r="AA471" s="2"/>
      <c r="AB471" s="2"/>
    </row>
    <row r="472" spans="1:28" x14ac:dyDescent="0.15">
      <c r="A472" s="8"/>
      <c r="B472" s="8"/>
      <c r="C472" s="8"/>
      <c r="D472" s="8"/>
      <c r="E472" s="9"/>
      <c r="F472" s="8"/>
      <c r="G472" s="10"/>
      <c r="H472" s="11"/>
      <c r="I472" s="8"/>
      <c r="J472" s="9"/>
      <c r="K472" s="8"/>
      <c r="L472" s="9"/>
      <c r="M472" s="8"/>
      <c r="N472" s="11"/>
      <c r="O472" s="8"/>
      <c r="P472" s="9"/>
      <c r="Q472" s="8"/>
      <c r="R472" s="9"/>
      <c r="S472" s="8"/>
      <c r="T472" s="8"/>
      <c r="U472" s="8"/>
      <c r="V472" s="11"/>
      <c r="W472" s="8"/>
      <c r="X472" s="8"/>
      <c r="Y472" s="9"/>
      <c r="Z472" s="8"/>
      <c r="AA472" s="2"/>
      <c r="AB472" s="2"/>
    </row>
    <row r="473" spans="1:28" x14ac:dyDescent="0.15">
      <c r="A473" s="8"/>
      <c r="B473" s="8"/>
      <c r="C473" s="8"/>
      <c r="D473" s="8"/>
      <c r="E473" s="9"/>
      <c r="F473" s="8"/>
      <c r="G473" s="10"/>
      <c r="H473" s="11"/>
      <c r="I473" s="8"/>
      <c r="J473" s="9"/>
      <c r="K473" s="8"/>
      <c r="L473" s="9"/>
      <c r="M473" s="8"/>
      <c r="N473" s="11"/>
      <c r="O473" s="8"/>
      <c r="P473" s="9"/>
      <c r="Q473" s="8"/>
      <c r="R473" s="9"/>
      <c r="S473" s="8"/>
      <c r="T473" s="8"/>
      <c r="U473" s="8"/>
      <c r="V473" s="11"/>
      <c r="W473" s="8"/>
      <c r="X473" s="8"/>
      <c r="Y473" s="9"/>
      <c r="Z473" s="8"/>
      <c r="AA473" s="2"/>
      <c r="AB473" s="2"/>
    </row>
    <row r="474" spans="1:28" x14ac:dyDescent="0.15">
      <c r="A474" s="8"/>
      <c r="B474" s="8"/>
      <c r="C474" s="8"/>
      <c r="D474" s="8"/>
      <c r="E474" s="9"/>
      <c r="F474" s="8"/>
      <c r="G474" s="10"/>
      <c r="H474" s="11"/>
      <c r="I474" s="8"/>
      <c r="J474" s="9"/>
      <c r="K474" s="8"/>
      <c r="L474" s="9"/>
      <c r="M474" s="8"/>
      <c r="N474" s="11"/>
      <c r="O474" s="8"/>
      <c r="P474" s="9"/>
      <c r="Q474" s="8"/>
      <c r="R474" s="9"/>
      <c r="S474" s="8"/>
      <c r="T474" s="8"/>
      <c r="U474" s="8"/>
      <c r="V474" s="11"/>
      <c r="W474" s="8"/>
      <c r="X474" s="8"/>
      <c r="Y474" s="9"/>
      <c r="Z474" s="8"/>
      <c r="AA474" s="2"/>
      <c r="AB474" s="2"/>
    </row>
    <row r="475" spans="1:28" x14ac:dyDescent="0.15">
      <c r="A475" s="8"/>
      <c r="B475" s="8"/>
      <c r="C475" s="8"/>
      <c r="D475" s="8"/>
      <c r="E475" s="9"/>
      <c r="F475" s="8"/>
      <c r="G475" s="10"/>
      <c r="H475" s="11"/>
      <c r="I475" s="8"/>
      <c r="J475" s="9"/>
      <c r="K475" s="8"/>
      <c r="L475" s="9"/>
      <c r="M475" s="8"/>
      <c r="N475" s="11"/>
      <c r="O475" s="8"/>
      <c r="P475" s="9"/>
      <c r="Q475" s="8"/>
      <c r="R475" s="9"/>
      <c r="S475" s="8"/>
      <c r="T475" s="8"/>
      <c r="U475" s="8"/>
      <c r="V475" s="11"/>
      <c r="W475" s="8"/>
      <c r="X475" s="8"/>
      <c r="Y475" s="9"/>
      <c r="Z475" s="8"/>
      <c r="AA475" s="2"/>
      <c r="AB475" s="2"/>
    </row>
    <row r="476" spans="1:28" x14ac:dyDescent="0.15">
      <c r="A476" s="8"/>
      <c r="B476" s="8"/>
      <c r="C476" s="8"/>
      <c r="D476" s="8"/>
      <c r="E476" s="9"/>
      <c r="F476" s="8"/>
      <c r="G476" s="10"/>
      <c r="H476" s="11"/>
      <c r="I476" s="8"/>
      <c r="J476" s="9"/>
      <c r="K476" s="8"/>
      <c r="L476" s="9"/>
      <c r="M476" s="8"/>
      <c r="N476" s="11"/>
      <c r="O476" s="8"/>
      <c r="P476" s="9"/>
      <c r="Q476" s="8"/>
      <c r="R476" s="9"/>
      <c r="S476" s="8"/>
      <c r="T476" s="8"/>
      <c r="U476" s="8"/>
      <c r="V476" s="11"/>
      <c r="W476" s="8"/>
      <c r="X476" s="8"/>
      <c r="Y476" s="9"/>
      <c r="Z476" s="8"/>
      <c r="AA476" s="2"/>
      <c r="AB476" s="2"/>
    </row>
    <row r="477" spans="1:28" x14ac:dyDescent="0.15">
      <c r="A477" s="8"/>
      <c r="B477" s="8"/>
      <c r="C477" s="8"/>
      <c r="D477" s="8"/>
      <c r="E477" s="9"/>
      <c r="F477" s="8"/>
      <c r="G477" s="10"/>
      <c r="H477" s="11"/>
      <c r="I477" s="8"/>
      <c r="J477" s="9"/>
      <c r="K477" s="8"/>
      <c r="L477" s="9"/>
      <c r="M477" s="8"/>
      <c r="N477" s="11"/>
      <c r="O477" s="8"/>
      <c r="P477" s="9"/>
      <c r="Q477" s="8"/>
      <c r="R477" s="9"/>
      <c r="S477" s="8"/>
      <c r="T477" s="8"/>
      <c r="U477" s="8"/>
      <c r="V477" s="11"/>
      <c r="W477" s="8"/>
      <c r="X477" s="8"/>
      <c r="Y477" s="9"/>
      <c r="Z477" s="8"/>
      <c r="AA477" s="2"/>
      <c r="AB477" s="2"/>
    </row>
    <row r="478" spans="1:28" x14ac:dyDescent="0.15">
      <c r="A478" s="8"/>
      <c r="B478" s="8"/>
      <c r="C478" s="8"/>
      <c r="D478" s="8"/>
      <c r="E478" s="9"/>
      <c r="F478" s="8"/>
      <c r="G478" s="10"/>
      <c r="H478" s="11"/>
      <c r="I478" s="8"/>
      <c r="J478" s="9"/>
      <c r="K478" s="8"/>
      <c r="L478" s="9"/>
      <c r="M478" s="8"/>
      <c r="N478" s="11"/>
      <c r="O478" s="8"/>
      <c r="P478" s="9"/>
      <c r="Q478" s="8"/>
      <c r="R478" s="9"/>
      <c r="S478" s="8"/>
      <c r="T478" s="8"/>
      <c r="U478" s="8"/>
      <c r="V478" s="11"/>
      <c r="W478" s="8"/>
      <c r="X478" s="8"/>
      <c r="Y478" s="9"/>
      <c r="Z478" s="8"/>
      <c r="AA478" s="2"/>
      <c r="AB478" s="2"/>
    </row>
    <row r="479" spans="1:28" x14ac:dyDescent="0.15">
      <c r="A479" s="8"/>
      <c r="B479" s="8"/>
      <c r="C479" s="8"/>
      <c r="D479" s="8"/>
      <c r="E479" s="9"/>
      <c r="F479" s="8"/>
      <c r="G479" s="10"/>
      <c r="H479" s="11"/>
      <c r="I479" s="8"/>
      <c r="J479" s="9"/>
      <c r="K479" s="8"/>
      <c r="L479" s="9"/>
      <c r="M479" s="8"/>
      <c r="N479" s="11"/>
      <c r="O479" s="8"/>
      <c r="P479" s="9"/>
      <c r="Q479" s="8"/>
      <c r="R479" s="9"/>
      <c r="S479" s="8"/>
      <c r="T479" s="8"/>
      <c r="U479" s="8"/>
      <c r="V479" s="11"/>
      <c r="W479" s="8"/>
      <c r="X479" s="8"/>
      <c r="Y479" s="9"/>
      <c r="Z479" s="8"/>
      <c r="AA479" s="2"/>
      <c r="AB479" s="2"/>
    </row>
    <row r="480" spans="1:28" x14ac:dyDescent="0.15">
      <c r="A480" s="8"/>
      <c r="B480" s="8"/>
      <c r="C480" s="8"/>
      <c r="D480" s="8"/>
      <c r="E480" s="9"/>
      <c r="F480" s="8"/>
      <c r="G480" s="10"/>
      <c r="H480" s="11"/>
      <c r="I480" s="8"/>
      <c r="J480" s="9"/>
      <c r="K480" s="8"/>
      <c r="L480" s="9"/>
      <c r="M480" s="8"/>
      <c r="N480" s="11"/>
      <c r="O480" s="8"/>
      <c r="P480" s="9"/>
      <c r="Q480" s="8"/>
      <c r="R480" s="9"/>
      <c r="S480" s="8"/>
      <c r="T480" s="8"/>
      <c r="U480" s="8"/>
      <c r="V480" s="11"/>
      <c r="W480" s="8"/>
      <c r="X480" s="8"/>
      <c r="Y480" s="9"/>
      <c r="Z480" s="8"/>
      <c r="AA480" s="2"/>
      <c r="AB480" s="2"/>
    </row>
    <row r="481" spans="1:28" x14ac:dyDescent="0.15">
      <c r="A481" s="8"/>
      <c r="B481" s="8"/>
      <c r="C481" s="8"/>
      <c r="D481" s="8"/>
      <c r="E481" s="9"/>
      <c r="F481" s="8"/>
      <c r="G481" s="10"/>
      <c r="H481" s="11"/>
      <c r="I481" s="8"/>
      <c r="J481" s="9"/>
      <c r="K481" s="8"/>
      <c r="L481" s="9"/>
      <c r="M481" s="8"/>
      <c r="N481" s="11"/>
      <c r="O481" s="8"/>
      <c r="P481" s="9"/>
      <c r="Q481" s="8"/>
      <c r="R481" s="9"/>
      <c r="S481" s="8"/>
      <c r="T481" s="8"/>
      <c r="U481" s="8"/>
      <c r="V481" s="11"/>
      <c r="W481" s="8"/>
      <c r="X481" s="8"/>
      <c r="Y481" s="9"/>
      <c r="Z481" s="8"/>
      <c r="AA481" s="2"/>
      <c r="AB481" s="2"/>
    </row>
    <row r="482" spans="1:28" x14ac:dyDescent="0.15">
      <c r="A482" s="8"/>
      <c r="B482" s="8"/>
      <c r="C482" s="8"/>
      <c r="D482" s="8"/>
      <c r="E482" s="9"/>
      <c r="F482" s="8"/>
      <c r="G482" s="10"/>
      <c r="H482" s="11"/>
      <c r="I482" s="8"/>
      <c r="J482" s="9"/>
      <c r="K482" s="8"/>
      <c r="L482" s="9"/>
      <c r="M482" s="8"/>
      <c r="N482" s="11"/>
      <c r="O482" s="8"/>
      <c r="P482" s="9"/>
      <c r="Q482" s="8"/>
      <c r="R482" s="9"/>
      <c r="S482" s="8"/>
      <c r="T482" s="8"/>
      <c r="U482" s="8"/>
      <c r="V482" s="11"/>
      <c r="W482" s="8"/>
      <c r="X482" s="8"/>
      <c r="Y482" s="9"/>
      <c r="Z482" s="8"/>
      <c r="AA482" s="2"/>
      <c r="AB482" s="2"/>
    </row>
    <row r="483" spans="1:28" x14ac:dyDescent="0.15">
      <c r="A483" s="8"/>
      <c r="B483" s="8"/>
      <c r="C483" s="8"/>
      <c r="D483" s="8"/>
      <c r="E483" s="9"/>
      <c r="F483" s="8"/>
      <c r="G483" s="10"/>
      <c r="H483" s="11"/>
      <c r="I483" s="8"/>
      <c r="J483" s="9"/>
      <c r="K483" s="8"/>
      <c r="L483" s="9"/>
      <c r="M483" s="8"/>
      <c r="N483" s="11"/>
      <c r="O483" s="8"/>
      <c r="P483" s="9"/>
      <c r="Q483" s="8"/>
      <c r="R483" s="9"/>
      <c r="S483" s="8"/>
      <c r="T483" s="8"/>
      <c r="U483" s="8"/>
      <c r="V483" s="11"/>
      <c r="W483" s="8"/>
      <c r="X483" s="8"/>
      <c r="Y483" s="9"/>
      <c r="Z483" s="8"/>
      <c r="AA483" s="2"/>
      <c r="AB483" s="2"/>
    </row>
    <row r="484" spans="1:28" x14ac:dyDescent="0.15">
      <c r="A484" s="8"/>
      <c r="B484" s="8"/>
      <c r="C484" s="8"/>
      <c r="D484" s="8"/>
      <c r="E484" s="9"/>
      <c r="F484" s="8"/>
      <c r="G484" s="10"/>
      <c r="H484" s="11"/>
      <c r="I484" s="8"/>
      <c r="J484" s="9"/>
      <c r="K484" s="8"/>
      <c r="L484" s="9"/>
      <c r="M484" s="8"/>
      <c r="N484" s="11"/>
      <c r="O484" s="8"/>
      <c r="P484" s="9"/>
      <c r="Q484" s="8"/>
      <c r="R484" s="9"/>
      <c r="S484" s="8"/>
      <c r="T484" s="8"/>
      <c r="U484" s="8"/>
      <c r="V484" s="11"/>
      <c r="W484" s="8"/>
      <c r="X484" s="8"/>
      <c r="Y484" s="9"/>
      <c r="Z484" s="8"/>
      <c r="AA484" s="2"/>
      <c r="AB484" s="2"/>
    </row>
    <row r="485" spans="1:28" x14ac:dyDescent="0.15">
      <c r="A485" s="8"/>
      <c r="B485" s="8"/>
      <c r="C485" s="8"/>
      <c r="D485" s="8"/>
      <c r="E485" s="9"/>
      <c r="F485" s="8"/>
      <c r="G485" s="10"/>
      <c r="H485" s="11"/>
      <c r="I485" s="8"/>
      <c r="J485" s="9"/>
      <c r="K485" s="8"/>
      <c r="L485" s="9"/>
      <c r="M485" s="8"/>
      <c r="N485" s="11"/>
      <c r="O485" s="8"/>
      <c r="P485" s="9"/>
      <c r="Q485" s="8"/>
      <c r="R485" s="9"/>
      <c r="S485" s="8"/>
      <c r="T485" s="8"/>
      <c r="U485" s="8"/>
      <c r="V485" s="11"/>
      <c r="W485" s="8"/>
      <c r="X485" s="8"/>
      <c r="Y485" s="9"/>
      <c r="Z485" s="8"/>
      <c r="AA485" s="2"/>
      <c r="AB485" s="2"/>
    </row>
    <row r="486" spans="1:28" x14ac:dyDescent="0.15">
      <c r="A486" s="8"/>
      <c r="B486" s="8"/>
      <c r="C486" s="8"/>
      <c r="D486" s="8"/>
      <c r="E486" s="9"/>
      <c r="F486" s="8"/>
      <c r="G486" s="10"/>
      <c r="H486" s="11"/>
      <c r="I486" s="8"/>
      <c r="J486" s="9"/>
      <c r="K486" s="8"/>
      <c r="L486" s="9"/>
      <c r="M486" s="8"/>
      <c r="N486" s="11"/>
      <c r="O486" s="8"/>
      <c r="P486" s="9"/>
      <c r="Q486" s="8"/>
      <c r="R486" s="9"/>
      <c r="S486" s="8"/>
      <c r="T486" s="8"/>
      <c r="U486" s="8"/>
      <c r="V486" s="11"/>
      <c r="W486" s="8"/>
      <c r="X486" s="8"/>
      <c r="Y486" s="9"/>
      <c r="Z486" s="8"/>
      <c r="AA486" s="2"/>
      <c r="AB486" s="2"/>
    </row>
    <row r="487" spans="1:28" x14ac:dyDescent="0.15">
      <c r="A487" s="8"/>
      <c r="B487" s="8"/>
      <c r="C487" s="8"/>
      <c r="D487" s="8"/>
      <c r="E487" s="9"/>
      <c r="F487" s="8"/>
      <c r="G487" s="10"/>
      <c r="H487" s="11"/>
      <c r="I487" s="8"/>
      <c r="J487" s="9"/>
      <c r="K487" s="8"/>
      <c r="L487" s="9"/>
      <c r="M487" s="8"/>
      <c r="N487" s="11"/>
      <c r="O487" s="8"/>
      <c r="P487" s="9"/>
      <c r="Q487" s="8"/>
      <c r="R487" s="9"/>
      <c r="S487" s="8"/>
      <c r="T487" s="8"/>
      <c r="U487" s="8"/>
      <c r="V487" s="11"/>
      <c r="W487" s="8"/>
      <c r="X487" s="8"/>
      <c r="Y487" s="9"/>
      <c r="Z487" s="8"/>
      <c r="AA487" s="2"/>
      <c r="AB487" s="2"/>
    </row>
    <row r="488" spans="1:28" x14ac:dyDescent="0.15">
      <c r="A488" s="8"/>
      <c r="B488" s="8"/>
      <c r="C488" s="8"/>
      <c r="D488" s="8"/>
      <c r="E488" s="9"/>
      <c r="F488" s="8"/>
      <c r="G488" s="10"/>
      <c r="H488" s="11"/>
      <c r="I488" s="8"/>
      <c r="J488" s="9"/>
      <c r="K488" s="8"/>
      <c r="L488" s="9"/>
      <c r="M488" s="8"/>
      <c r="N488" s="11"/>
      <c r="O488" s="8"/>
      <c r="P488" s="9"/>
      <c r="Q488" s="8"/>
      <c r="R488" s="9"/>
      <c r="S488" s="8"/>
      <c r="T488" s="8"/>
      <c r="U488" s="8"/>
      <c r="V488" s="11"/>
      <c r="W488" s="8"/>
      <c r="X488" s="8"/>
      <c r="Y488" s="9"/>
      <c r="Z488" s="8"/>
      <c r="AA488" s="2"/>
      <c r="AB488" s="2"/>
    </row>
    <row r="489" spans="1:28" x14ac:dyDescent="0.15">
      <c r="A489" s="8"/>
      <c r="B489" s="8"/>
      <c r="C489" s="8"/>
      <c r="D489" s="8"/>
      <c r="E489" s="9"/>
      <c r="F489" s="8"/>
      <c r="G489" s="10"/>
      <c r="H489" s="11"/>
      <c r="I489" s="8"/>
      <c r="J489" s="9"/>
      <c r="K489" s="8"/>
      <c r="L489" s="9"/>
      <c r="M489" s="8"/>
      <c r="N489" s="11"/>
      <c r="O489" s="8"/>
      <c r="P489" s="9"/>
      <c r="Q489" s="8"/>
      <c r="R489" s="9"/>
      <c r="S489" s="8"/>
      <c r="T489" s="8"/>
      <c r="U489" s="8"/>
      <c r="V489" s="11"/>
      <c r="W489" s="8"/>
      <c r="X489" s="8"/>
      <c r="Y489" s="9"/>
      <c r="Z489" s="8"/>
      <c r="AA489" s="2"/>
      <c r="AB489" s="2"/>
    </row>
    <row r="490" spans="1:28" x14ac:dyDescent="0.15">
      <c r="A490" s="8"/>
      <c r="B490" s="8"/>
      <c r="C490" s="8"/>
      <c r="D490" s="8"/>
      <c r="E490" s="9"/>
      <c r="F490" s="8"/>
      <c r="G490" s="10"/>
      <c r="H490" s="11"/>
      <c r="I490" s="8"/>
      <c r="J490" s="9"/>
      <c r="K490" s="8"/>
      <c r="L490" s="9"/>
      <c r="M490" s="8"/>
      <c r="N490" s="11"/>
      <c r="O490" s="8"/>
      <c r="P490" s="9"/>
      <c r="Q490" s="8"/>
      <c r="R490" s="9"/>
      <c r="S490" s="8"/>
      <c r="T490" s="8"/>
      <c r="U490" s="8"/>
      <c r="V490" s="11"/>
      <c r="W490" s="8"/>
      <c r="X490" s="8"/>
      <c r="Y490" s="9"/>
      <c r="Z490" s="8"/>
      <c r="AA490" s="2"/>
      <c r="AB490" s="2"/>
    </row>
    <row r="491" spans="1:28" x14ac:dyDescent="0.15">
      <c r="A491" s="8"/>
      <c r="B491" s="8"/>
      <c r="C491" s="8"/>
      <c r="D491" s="8"/>
      <c r="E491" s="9"/>
      <c r="F491" s="8"/>
      <c r="G491" s="10"/>
      <c r="H491" s="11"/>
      <c r="I491" s="8"/>
      <c r="J491" s="9"/>
      <c r="K491" s="8"/>
      <c r="L491" s="9"/>
      <c r="M491" s="8"/>
      <c r="N491" s="11"/>
      <c r="O491" s="8"/>
      <c r="P491" s="9"/>
      <c r="Q491" s="8"/>
      <c r="R491" s="9"/>
      <c r="S491" s="8"/>
      <c r="T491" s="8"/>
      <c r="U491" s="8"/>
      <c r="V491" s="11"/>
      <c r="W491" s="8"/>
      <c r="X491" s="8"/>
      <c r="Y491" s="9"/>
      <c r="Z491" s="8"/>
      <c r="AA491" s="2"/>
      <c r="AB491" s="2"/>
    </row>
    <row r="492" spans="1:28" x14ac:dyDescent="0.15">
      <c r="A492" s="8"/>
      <c r="B492" s="8"/>
      <c r="C492" s="8"/>
      <c r="D492" s="8"/>
      <c r="E492" s="9"/>
      <c r="F492" s="8"/>
      <c r="G492" s="10"/>
      <c r="H492" s="11"/>
      <c r="I492" s="8"/>
      <c r="J492" s="9"/>
      <c r="K492" s="8"/>
      <c r="L492" s="9"/>
      <c r="M492" s="8"/>
      <c r="N492" s="11"/>
      <c r="O492" s="8"/>
      <c r="P492" s="9"/>
      <c r="Q492" s="8"/>
      <c r="R492" s="9"/>
      <c r="S492" s="8"/>
      <c r="T492" s="8"/>
      <c r="U492" s="8"/>
      <c r="V492" s="11"/>
      <c r="W492" s="8"/>
      <c r="X492" s="8"/>
      <c r="Y492" s="9"/>
      <c r="Z492" s="8"/>
      <c r="AA492" s="2"/>
      <c r="AB492" s="2"/>
    </row>
    <row r="493" spans="1:28" x14ac:dyDescent="0.15">
      <c r="A493" s="8"/>
      <c r="B493" s="8"/>
      <c r="C493" s="8"/>
      <c r="D493" s="8"/>
      <c r="E493" s="9"/>
      <c r="F493" s="8"/>
      <c r="G493" s="10"/>
      <c r="H493" s="11"/>
      <c r="I493" s="8"/>
      <c r="J493" s="9"/>
      <c r="K493" s="8"/>
      <c r="L493" s="9"/>
      <c r="M493" s="8"/>
      <c r="N493" s="11"/>
      <c r="O493" s="8"/>
      <c r="P493" s="9"/>
      <c r="Q493" s="8"/>
      <c r="R493" s="9"/>
      <c r="S493" s="8"/>
      <c r="T493" s="8"/>
      <c r="U493" s="8"/>
      <c r="V493" s="11"/>
      <c r="W493" s="8"/>
      <c r="X493" s="8"/>
      <c r="Y493" s="9"/>
      <c r="Z493" s="8"/>
      <c r="AA493" s="2"/>
      <c r="AB493" s="2"/>
    </row>
    <row r="494" spans="1:28" x14ac:dyDescent="0.15">
      <c r="A494" s="8"/>
      <c r="B494" s="8"/>
      <c r="C494" s="8"/>
      <c r="D494" s="8"/>
      <c r="E494" s="9"/>
      <c r="F494" s="8"/>
      <c r="G494" s="10"/>
      <c r="H494" s="11"/>
      <c r="I494" s="8"/>
      <c r="J494" s="9"/>
      <c r="K494" s="8"/>
      <c r="L494" s="9"/>
      <c r="M494" s="8"/>
      <c r="N494" s="11"/>
      <c r="O494" s="8"/>
      <c r="P494" s="9"/>
      <c r="Q494" s="8"/>
      <c r="R494" s="9"/>
      <c r="S494" s="8"/>
      <c r="T494" s="8"/>
      <c r="U494" s="8"/>
      <c r="V494" s="11"/>
      <c r="W494" s="8"/>
      <c r="X494" s="8"/>
      <c r="Y494" s="9"/>
      <c r="Z494" s="8"/>
      <c r="AA494" s="2"/>
      <c r="AB494" s="2"/>
    </row>
    <row r="495" spans="1:28" x14ac:dyDescent="0.15">
      <c r="A495" s="8"/>
      <c r="B495" s="8"/>
      <c r="C495" s="8"/>
      <c r="D495" s="8"/>
      <c r="E495" s="9"/>
      <c r="F495" s="8"/>
      <c r="G495" s="10"/>
      <c r="H495" s="11"/>
      <c r="I495" s="8"/>
      <c r="J495" s="9"/>
      <c r="K495" s="8"/>
      <c r="L495" s="9"/>
      <c r="M495" s="8"/>
      <c r="N495" s="11"/>
      <c r="O495" s="8"/>
      <c r="P495" s="9"/>
      <c r="Q495" s="8"/>
      <c r="R495" s="9"/>
      <c r="S495" s="8"/>
      <c r="T495" s="8"/>
      <c r="U495" s="8"/>
      <c r="V495" s="11"/>
      <c r="W495" s="8"/>
      <c r="X495" s="8"/>
      <c r="Y495" s="9"/>
      <c r="Z495" s="8"/>
      <c r="AA495" s="2"/>
      <c r="AB495" s="2"/>
    </row>
    <row r="496" spans="1:28" x14ac:dyDescent="0.15">
      <c r="A496" s="8"/>
      <c r="B496" s="8"/>
      <c r="C496" s="8"/>
      <c r="D496" s="8"/>
      <c r="E496" s="9"/>
      <c r="F496" s="8"/>
      <c r="G496" s="10"/>
      <c r="H496" s="11"/>
      <c r="I496" s="8"/>
      <c r="J496" s="9"/>
      <c r="K496" s="8"/>
      <c r="L496" s="9"/>
      <c r="M496" s="8"/>
      <c r="N496" s="11"/>
      <c r="O496" s="8"/>
      <c r="P496" s="9"/>
      <c r="Q496" s="8"/>
      <c r="R496" s="9"/>
      <c r="S496" s="8"/>
      <c r="T496" s="8"/>
      <c r="U496" s="8"/>
      <c r="V496" s="11"/>
      <c r="W496" s="8"/>
      <c r="X496" s="8"/>
      <c r="Y496" s="9"/>
      <c r="Z496" s="8"/>
      <c r="AA496" s="2"/>
      <c r="AB496" s="2"/>
    </row>
    <row r="497" spans="1:28" x14ac:dyDescent="0.15">
      <c r="A497" s="8"/>
      <c r="B497" s="8"/>
      <c r="C497" s="8"/>
      <c r="D497" s="8"/>
      <c r="E497" s="9"/>
      <c r="F497" s="8"/>
      <c r="G497" s="10"/>
      <c r="H497" s="11"/>
      <c r="I497" s="8"/>
      <c r="J497" s="9"/>
      <c r="K497" s="8"/>
      <c r="L497" s="9"/>
      <c r="M497" s="8"/>
      <c r="N497" s="11"/>
      <c r="O497" s="8"/>
      <c r="P497" s="9"/>
      <c r="Q497" s="8"/>
      <c r="R497" s="9"/>
      <c r="S497" s="8"/>
      <c r="T497" s="8"/>
      <c r="U497" s="8"/>
      <c r="V497" s="11"/>
      <c r="W497" s="8"/>
      <c r="X497" s="8"/>
      <c r="Y497" s="9"/>
      <c r="Z497" s="8"/>
      <c r="AA497" s="2"/>
      <c r="AB497" s="2"/>
    </row>
    <row r="498" spans="1:28" x14ac:dyDescent="0.15">
      <c r="A498" s="8"/>
      <c r="B498" s="8"/>
      <c r="C498" s="8"/>
      <c r="D498" s="8"/>
      <c r="E498" s="9"/>
      <c r="F498" s="8"/>
      <c r="G498" s="10"/>
      <c r="H498" s="11"/>
      <c r="I498" s="8"/>
      <c r="J498" s="9"/>
      <c r="K498" s="8"/>
      <c r="L498" s="9"/>
      <c r="M498" s="8"/>
      <c r="N498" s="11"/>
      <c r="O498" s="8"/>
      <c r="P498" s="9"/>
      <c r="Q498" s="8"/>
      <c r="R498" s="9"/>
      <c r="S498" s="8"/>
      <c r="T498" s="8"/>
      <c r="U498" s="8"/>
      <c r="V498" s="11"/>
      <c r="W498" s="8"/>
      <c r="X498" s="8"/>
      <c r="Y498" s="9"/>
      <c r="Z498" s="8"/>
      <c r="AA498" s="2"/>
      <c r="AB498" s="2"/>
    </row>
    <row r="499" spans="1:28" x14ac:dyDescent="0.15">
      <c r="A499" s="8"/>
      <c r="B499" s="8"/>
      <c r="C499" s="8"/>
      <c r="D499" s="8"/>
      <c r="E499" s="9"/>
      <c r="F499" s="8"/>
      <c r="G499" s="10"/>
      <c r="H499" s="11"/>
      <c r="I499" s="8"/>
      <c r="J499" s="9"/>
      <c r="K499" s="8"/>
      <c r="L499" s="9"/>
      <c r="M499" s="8"/>
      <c r="N499" s="11"/>
      <c r="O499" s="8"/>
      <c r="P499" s="9"/>
      <c r="Q499" s="8"/>
      <c r="R499" s="9"/>
      <c r="S499" s="8"/>
      <c r="T499" s="8"/>
      <c r="U499" s="8"/>
      <c r="V499" s="11"/>
      <c r="W499" s="8"/>
      <c r="X499" s="8"/>
      <c r="Y499" s="9"/>
      <c r="Z499" s="8"/>
      <c r="AA499" s="2"/>
      <c r="AB499" s="2"/>
    </row>
    <row r="500" spans="1:28" x14ac:dyDescent="0.15">
      <c r="A500" s="8"/>
      <c r="B500" s="8"/>
      <c r="C500" s="8"/>
      <c r="D500" s="8"/>
      <c r="E500" s="9"/>
      <c r="F500" s="8"/>
      <c r="G500" s="10"/>
      <c r="H500" s="11"/>
      <c r="I500" s="8"/>
      <c r="J500" s="9"/>
      <c r="K500" s="8"/>
      <c r="L500" s="9"/>
      <c r="M500" s="8"/>
      <c r="N500" s="11"/>
      <c r="O500" s="8"/>
      <c r="P500" s="9"/>
      <c r="Q500" s="8"/>
      <c r="R500" s="9"/>
      <c r="S500" s="8"/>
      <c r="T500" s="8"/>
      <c r="U500" s="8"/>
      <c r="V500" s="11"/>
      <c r="W500" s="8"/>
      <c r="X500" s="8"/>
      <c r="Y500" s="9"/>
      <c r="Z500" s="8"/>
      <c r="AA500" s="2"/>
      <c r="AB500" s="2"/>
    </row>
    <row r="501" spans="1:28" x14ac:dyDescent="0.15">
      <c r="A501" s="8"/>
      <c r="B501" s="8"/>
      <c r="C501" s="8"/>
      <c r="D501" s="8"/>
      <c r="E501" s="9"/>
      <c r="F501" s="8"/>
      <c r="G501" s="10"/>
      <c r="H501" s="11"/>
      <c r="I501" s="8"/>
      <c r="J501" s="9"/>
      <c r="K501" s="8"/>
      <c r="L501" s="9"/>
      <c r="M501" s="8"/>
      <c r="N501" s="11"/>
      <c r="O501" s="8"/>
      <c r="P501" s="9"/>
      <c r="Q501" s="8"/>
      <c r="R501" s="9"/>
      <c r="S501" s="8"/>
      <c r="T501" s="8"/>
      <c r="U501" s="8"/>
      <c r="V501" s="11"/>
      <c r="W501" s="8"/>
      <c r="X501" s="8"/>
      <c r="Y501" s="9"/>
      <c r="Z501" s="8"/>
      <c r="AA501" s="2"/>
      <c r="AB501" s="2"/>
    </row>
    <row r="502" spans="1:28" x14ac:dyDescent="0.15">
      <c r="A502" s="8"/>
      <c r="B502" s="8"/>
      <c r="C502" s="8"/>
      <c r="D502" s="8"/>
      <c r="E502" s="9"/>
      <c r="F502" s="8"/>
      <c r="G502" s="10"/>
      <c r="H502" s="11"/>
      <c r="I502" s="8"/>
      <c r="J502" s="9"/>
      <c r="K502" s="8"/>
      <c r="L502" s="9"/>
      <c r="M502" s="8"/>
      <c r="N502" s="11"/>
      <c r="O502" s="8"/>
      <c r="P502" s="9"/>
      <c r="Q502" s="8"/>
      <c r="R502" s="9"/>
      <c r="S502" s="8"/>
      <c r="T502" s="8"/>
      <c r="U502" s="8"/>
      <c r="V502" s="11"/>
      <c r="W502" s="8"/>
      <c r="X502" s="8"/>
      <c r="Y502" s="9"/>
      <c r="Z502" s="8"/>
      <c r="AA502" s="2"/>
      <c r="AB502" s="2"/>
    </row>
    <row r="503" spans="1:28" x14ac:dyDescent="0.15">
      <c r="A503" s="8"/>
      <c r="B503" s="8"/>
      <c r="C503" s="8"/>
      <c r="D503" s="8"/>
      <c r="E503" s="9"/>
      <c r="F503" s="8"/>
      <c r="G503" s="10"/>
      <c r="H503" s="11"/>
      <c r="I503" s="8"/>
      <c r="J503" s="9"/>
      <c r="K503" s="8"/>
      <c r="L503" s="9"/>
      <c r="M503" s="8"/>
      <c r="N503" s="11"/>
      <c r="O503" s="8"/>
      <c r="P503" s="9"/>
      <c r="Q503" s="8"/>
      <c r="R503" s="9"/>
      <c r="S503" s="8"/>
      <c r="T503" s="8"/>
      <c r="U503" s="8"/>
      <c r="V503" s="11"/>
      <c r="W503" s="8"/>
      <c r="X503" s="8"/>
      <c r="Y503" s="9"/>
      <c r="Z503" s="8"/>
      <c r="AA503" s="2"/>
      <c r="AB503" s="2"/>
    </row>
    <row r="504" spans="1:28" x14ac:dyDescent="0.15">
      <c r="A504" s="8"/>
      <c r="B504" s="8"/>
      <c r="C504" s="8"/>
      <c r="D504" s="8"/>
      <c r="E504" s="9"/>
      <c r="F504" s="8"/>
      <c r="G504" s="10"/>
      <c r="H504" s="11"/>
      <c r="I504" s="8"/>
      <c r="J504" s="9"/>
      <c r="K504" s="8"/>
      <c r="L504" s="9"/>
      <c r="M504" s="8"/>
      <c r="N504" s="11"/>
      <c r="O504" s="8"/>
      <c r="P504" s="9"/>
      <c r="Q504" s="8"/>
      <c r="R504" s="9"/>
      <c r="S504" s="8"/>
      <c r="T504" s="8"/>
      <c r="U504" s="8"/>
      <c r="V504" s="11"/>
      <c r="W504" s="8"/>
      <c r="X504" s="8"/>
      <c r="Y504" s="9"/>
      <c r="Z504" s="8"/>
      <c r="AA504" s="2"/>
      <c r="AB504" s="2"/>
    </row>
    <row r="505" spans="1:28" x14ac:dyDescent="0.15">
      <c r="A505" s="8"/>
      <c r="B505" s="8"/>
      <c r="C505" s="8"/>
      <c r="D505" s="8"/>
      <c r="E505" s="9"/>
      <c r="F505" s="8"/>
      <c r="G505" s="10"/>
      <c r="H505" s="11"/>
      <c r="I505" s="8"/>
      <c r="J505" s="9"/>
      <c r="K505" s="8"/>
      <c r="L505" s="9"/>
      <c r="M505" s="8"/>
      <c r="N505" s="11"/>
      <c r="O505" s="8"/>
      <c r="P505" s="9"/>
      <c r="Q505" s="8"/>
      <c r="R505" s="9"/>
      <c r="S505" s="8"/>
      <c r="T505" s="8"/>
      <c r="U505" s="8"/>
      <c r="V505" s="11"/>
      <c r="W505" s="8"/>
      <c r="X505" s="8"/>
      <c r="Y505" s="9"/>
      <c r="Z505" s="8"/>
      <c r="AA505" s="2"/>
      <c r="AB505" s="2"/>
    </row>
    <row r="506" spans="1:28" x14ac:dyDescent="0.15">
      <c r="A506" s="8"/>
      <c r="B506" s="8"/>
      <c r="C506" s="8"/>
      <c r="D506" s="8"/>
      <c r="E506" s="9"/>
      <c r="F506" s="8"/>
      <c r="G506" s="10"/>
      <c r="H506" s="11"/>
      <c r="I506" s="8"/>
      <c r="J506" s="9"/>
      <c r="K506" s="8"/>
      <c r="L506" s="9"/>
      <c r="M506" s="8"/>
      <c r="N506" s="11"/>
      <c r="O506" s="8"/>
      <c r="P506" s="9"/>
      <c r="Q506" s="8"/>
      <c r="R506" s="9"/>
      <c r="S506" s="8"/>
      <c r="T506" s="8"/>
      <c r="U506" s="8"/>
      <c r="V506" s="11"/>
      <c r="W506" s="8"/>
      <c r="X506" s="8"/>
      <c r="Y506" s="9"/>
      <c r="Z506" s="8"/>
      <c r="AA506" s="2"/>
      <c r="AB506" s="2"/>
    </row>
    <row r="507" spans="1:28" x14ac:dyDescent="0.15">
      <c r="A507" s="8"/>
      <c r="B507" s="8"/>
      <c r="C507" s="8"/>
      <c r="D507" s="8"/>
      <c r="E507" s="9"/>
      <c r="F507" s="8"/>
      <c r="G507" s="10"/>
      <c r="H507" s="11"/>
      <c r="I507" s="8"/>
      <c r="J507" s="9"/>
      <c r="K507" s="8"/>
      <c r="L507" s="9"/>
      <c r="M507" s="8"/>
      <c r="N507" s="11"/>
      <c r="O507" s="8"/>
      <c r="P507" s="9"/>
      <c r="Q507" s="8"/>
      <c r="R507" s="9"/>
      <c r="S507" s="8"/>
      <c r="T507" s="8"/>
      <c r="U507" s="8"/>
      <c r="V507" s="11"/>
      <c r="W507" s="8"/>
      <c r="X507" s="8"/>
      <c r="Y507" s="9"/>
      <c r="Z507" s="8"/>
      <c r="AA507" s="2"/>
      <c r="AB507" s="2"/>
    </row>
    <row r="508" spans="1:28" x14ac:dyDescent="0.15">
      <c r="A508" s="8"/>
      <c r="B508" s="8"/>
      <c r="C508" s="8"/>
      <c r="D508" s="8"/>
      <c r="E508" s="9"/>
      <c r="F508" s="8"/>
      <c r="G508" s="10"/>
      <c r="H508" s="11"/>
      <c r="I508" s="8"/>
      <c r="J508" s="9"/>
      <c r="K508" s="8"/>
      <c r="L508" s="9"/>
      <c r="M508" s="8"/>
      <c r="N508" s="11"/>
      <c r="O508" s="8"/>
      <c r="P508" s="9"/>
      <c r="Q508" s="8"/>
      <c r="R508" s="9"/>
      <c r="S508" s="8"/>
      <c r="T508" s="8"/>
      <c r="U508" s="8"/>
      <c r="V508" s="11"/>
      <c r="W508" s="8"/>
      <c r="X508" s="8"/>
      <c r="Y508" s="9"/>
      <c r="Z508" s="8"/>
      <c r="AA508" s="2"/>
      <c r="AB508" s="2"/>
    </row>
    <row r="509" spans="1:28" x14ac:dyDescent="0.15">
      <c r="A509" s="8"/>
      <c r="B509" s="8"/>
      <c r="C509" s="8"/>
      <c r="D509" s="8"/>
      <c r="E509" s="9"/>
      <c r="F509" s="8"/>
      <c r="G509" s="10"/>
      <c r="H509" s="11"/>
      <c r="I509" s="8"/>
      <c r="J509" s="9"/>
      <c r="K509" s="8"/>
      <c r="L509" s="9"/>
      <c r="M509" s="8"/>
      <c r="N509" s="11"/>
      <c r="O509" s="8"/>
      <c r="P509" s="9"/>
      <c r="Q509" s="8"/>
      <c r="R509" s="9"/>
      <c r="S509" s="8"/>
      <c r="T509" s="8"/>
      <c r="U509" s="8"/>
      <c r="V509" s="11"/>
      <c r="W509" s="8"/>
      <c r="X509" s="8"/>
      <c r="Y509" s="9"/>
      <c r="Z509" s="8"/>
      <c r="AA509" s="2"/>
      <c r="AB509" s="2"/>
    </row>
    <row r="510" spans="1:28" x14ac:dyDescent="0.15">
      <c r="A510" s="8"/>
      <c r="B510" s="8"/>
      <c r="C510" s="8"/>
      <c r="D510" s="8"/>
      <c r="E510" s="9"/>
      <c r="F510" s="8"/>
      <c r="G510" s="10"/>
      <c r="H510" s="11"/>
      <c r="I510" s="8"/>
      <c r="J510" s="9"/>
      <c r="K510" s="8"/>
      <c r="L510" s="9"/>
      <c r="M510" s="8"/>
      <c r="N510" s="11"/>
      <c r="O510" s="8"/>
      <c r="P510" s="9"/>
      <c r="Q510" s="8"/>
      <c r="R510" s="9"/>
      <c r="S510" s="8"/>
      <c r="T510" s="8"/>
      <c r="U510" s="8"/>
      <c r="V510" s="11"/>
      <c r="W510" s="8"/>
      <c r="X510" s="8"/>
      <c r="Y510" s="9"/>
      <c r="Z510" s="8"/>
      <c r="AA510" s="2"/>
      <c r="AB510" s="2"/>
    </row>
    <row r="511" spans="1:28" x14ac:dyDescent="0.15">
      <c r="A511" s="8"/>
      <c r="B511" s="8"/>
      <c r="C511" s="8"/>
      <c r="D511" s="8"/>
      <c r="E511" s="9"/>
      <c r="F511" s="8"/>
      <c r="G511" s="10"/>
      <c r="H511" s="11"/>
      <c r="I511" s="8"/>
      <c r="J511" s="9"/>
      <c r="K511" s="8"/>
      <c r="L511" s="9"/>
      <c r="M511" s="8"/>
      <c r="N511" s="11"/>
      <c r="O511" s="8"/>
      <c r="P511" s="9"/>
      <c r="Q511" s="8"/>
      <c r="R511" s="9"/>
      <c r="S511" s="8"/>
      <c r="T511" s="8"/>
      <c r="U511" s="8"/>
      <c r="V511" s="11"/>
      <c r="W511" s="8"/>
      <c r="X511" s="8"/>
      <c r="Y511" s="9"/>
      <c r="Z511" s="8"/>
      <c r="AA511" s="2"/>
      <c r="AB511" s="2"/>
    </row>
    <row r="512" spans="1:28" x14ac:dyDescent="0.15">
      <c r="A512" s="8"/>
      <c r="B512" s="8"/>
      <c r="C512" s="8"/>
      <c r="D512" s="8"/>
      <c r="E512" s="9"/>
      <c r="F512" s="8"/>
      <c r="G512" s="10"/>
      <c r="H512" s="11"/>
      <c r="I512" s="8"/>
      <c r="J512" s="9"/>
      <c r="K512" s="8"/>
      <c r="L512" s="9"/>
      <c r="M512" s="8"/>
      <c r="N512" s="11"/>
      <c r="O512" s="8"/>
      <c r="P512" s="9"/>
      <c r="Q512" s="8"/>
      <c r="R512" s="9"/>
      <c r="S512" s="8"/>
      <c r="T512" s="8"/>
      <c r="U512" s="8"/>
      <c r="V512" s="11"/>
      <c r="W512" s="8"/>
      <c r="X512" s="8"/>
      <c r="Y512" s="9"/>
      <c r="Z512" s="8"/>
      <c r="AA512" s="2"/>
      <c r="AB512" s="2"/>
    </row>
    <row r="513" spans="1:28" x14ac:dyDescent="0.15">
      <c r="A513" s="8"/>
      <c r="B513" s="8"/>
      <c r="C513" s="8"/>
      <c r="D513" s="8"/>
      <c r="E513" s="9"/>
      <c r="F513" s="8"/>
      <c r="G513" s="10"/>
      <c r="H513" s="11"/>
      <c r="I513" s="8"/>
      <c r="J513" s="9"/>
      <c r="K513" s="8"/>
      <c r="L513" s="9"/>
      <c r="M513" s="8"/>
      <c r="N513" s="11"/>
      <c r="O513" s="8"/>
      <c r="P513" s="9"/>
      <c r="Q513" s="8"/>
      <c r="R513" s="9"/>
      <c r="S513" s="8"/>
      <c r="T513" s="8"/>
      <c r="U513" s="8"/>
      <c r="V513" s="11"/>
      <c r="W513" s="8"/>
      <c r="X513" s="8"/>
      <c r="Y513" s="9"/>
      <c r="Z513" s="8"/>
      <c r="AA513" s="2"/>
      <c r="AB513" s="2"/>
    </row>
    <row r="514" spans="1:28" x14ac:dyDescent="0.15">
      <c r="A514" s="8"/>
      <c r="B514" s="8"/>
      <c r="C514" s="8"/>
      <c r="D514" s="8"/>
      <c r="E514" s="9"/>
      <c r="F514" s="8"/>
      <c r="G514" s="10"/>
      <c r="H514" s="11"/>
      <c r="I514" s="8"/>
      <c r="J514" s="9"/>
      <c r="K514" s="8"/>
      <c r="L514" s="9"/>
      <c r="M514" s="8"/>
      <c r="N514" s="11"/>
      <c r="O514" s="8"/>
      <c r="P514" s="9"/>
      <c r="Q514" s="8"/>
      <c r="R514" s="9"/>
      <c r="S514" s="8"/>
      <c r="T514" s="8"/>
      <c r="U514" s="8"/>
      <c r="V514" s="11"/>
      <c r="W514" s="8"/>
      <c r="X514" s="8"/>
      <c r="Y514" s="9"/>
      <c r="Z514" s="8"/>
      <c r="AA514" s="2"/>
      <c r="AB514" s="2"/>
    </row>
    <row r="515" spans="1:28" x14ac:dyDescent="0.15">
      <c r="A515" s="8"/>
      <c r="B515" s="8"/>
      <c r="C515" s="8"/>
      <c r="D515" s="8"/>
      <c r="E515" s="9"/>
      <c r="F515" s="8"/>
      <c r="G515" s="10"/>
      <c r="H515" s="11"/>
      <c r="I515" s="8"/>
      <c r="J515" s="9"/>
      <c r="K515" s="8"/>
      <c r="L515" s="9"/>
      <c r="M515" s="8"/>
      <c r="N515" s="11"/>
      <c r="O515" s="8"/>
      <c r="P515" s="9"/>
      <c r="Q515" s="8"/>
      <c r="R515" s="9"/>
      <c r="S515" s="8"/>
      <c r="T515" s="8"/>
      <c r="U515" s="8"/>
      <c r="V515" s="11"/>
      <c r="W515" s="8"/>
      <c r="X515" s="8"/>
      <c r="Y515" s="9"/>
      <c r="Z515" s="8"/>
      <c r="AA515" s="2"/>
      <c r="AB515" s="2"/>
    </row>
    <row r="516" spans="1:28" x14ac:dyDescent="0.15">
      <c r="A516" s="8"/>
      <c r="B516" s="8"/>
      <c r="C516" s="8"/>
      <c r="D516" s="8"/>
      <c r="E516" s="9"/>
      <c r="F516" s="8"/>
      <c r="G516" s="10"/>
      <c r="H516" s="11"/>
      <c r="I516" s="8"/>
      <c r="J516" s="9"/>
      <c r="K516" s="8"/>
      <c r="L516" s="9"/>
      <c r="M516" s="8"/>
      <c r="N516" s="11"/>
      <c r="O516" s="8"/>
      <c r="P516" s="9"/>
      <c r="Q516" s="8"/>
      <c r="R516" s="9"/>
      <c r="S516" s="8"/>
      <c r="T516" s="8"/>
      <c r="U516" s="8"/>
      <c r="V516" s="11"/>
      <c r="W516" s="8"/>
      <c r="X516" s="8"/>
      <c r="Y516" s="9"/>
      <c r="Z516" s="8"/>
      <c r="AA516" s="2"/>
      <c r="AB516" s="2"/>
    </row>
    <row r="517" spans="1:28" x14ac:dyDescent="0.15">
      <c r="A517" s="8"/>
      <c r="B517" s="8"/>
      <c r="C517" s="8"/>
      <c r="D517" s="8"/>
      <c r="E517" s="9"/>
      <c r="F517" s="8"/>
      <c r="G517" s="10"/>
      <c r="H517" s="11"/>
      <c r="I517" s="8"/>
      <c r="J517" s="9"/>
      <c r="K517" s="8"/>
      <c r="L517" s="9"/>
      <c r="M517" s="8"/>
      <c r="N517" s="11"/>
      <c r="O517" s="8"/>
      <c r="P517" s="9"/>
      <c r="Q517" s="8"/>
      <c r="R517" s="9"/>
      <c r="S517" s="8"/>
      <c r="T517" s="8"/>
      <c r="U517" s="8"/>
      <c r="V517" s="11"/>
      <c r="W517" s="8"/>
      <c r="X517" s="8"/>
      <c r="Y517" s="9"/>
      <c r="Z517" s="8"/>
      <c r="AA517" s="2"/>
      <c r="AB517" s="2"/>
    </row>
    <row r="518" spans="1:28" x14ac:dyDescent="0.15">
      <c r="A518" s="8"/>
      <c r="B518" s="8"/>
      <c r="C518" s="8"/>
      <c r="D518" s="8"/>
      <c r="E518" s="9"/>
      <c r="F518" s="8"/>
      <c r="G518" s="10"/>
      <c r="H518" s="11"/>
      <c r="I518" s="8"/>
      <c r="J518" s="9"/>
      <c r="K518" s="8"/>
      <c r="L518" s="9"/>
      <c r="M518" s="8"/>
      <c r="N518" s="11"/>
      <c r="O518" s="8"/>
      <c r="P518" s="9"/>
      <c r="Q518" s="8"/>
      <c r="R518" s="9"/>
      <c r="S518" s="8"/>
      <c r="T518" s="8"/>
      <c r="U518" s="8"/>
      <c r="V518" s="11"/>
      <c r="W518" s="8"/>
      <c r="X518" s="8"/>
      <c r="Y518" s="9"/>
      <c r="Z518" s="8"/>
      <c r="AA518" s="2"/>
      <c r="AB518" s="2"/>
    </row>
    <row r="519" spans="1:28" x14ac:dyDescent="0.15">
      <c r="A519" s="8"/>
      <c r="B519" s="8"/>
      <c r="C519" s="8"/>
      <c r="D519" s="8"/>
      <c r="E519" s="8"/>
      <c r="F519" s="8"/>
      <c r="G519" s="10"/>
      <c r="H519" s="11"/>
      <c r="I519" s="8"/>
      <c r="J519" s="9"/>
      <c r="K519" s="8"/>
      <c r="L519" s="9"/>
      <c r="M519" s="8"/>
      <c r="N519" s="11"/>
      <c r="O519" s="8"/>
      <c r="P519" s="9"/>
      <c r="Q519" s="8"/>
      <c r="R519" s="9"/>
      <c r="S519" s="8"/>
      <c r="T519" s="8"/>
      <c r="U519" s="8"/>
      <c r="V519" s="11"/>
      <c r="W519" s="8"/>
      <c r="X519" s="8"/>
      <c r="Y519" s="9"/>
      <c r="Z519" s="8"/>
      <c r="AA519" s="2"/>
      <c r="AB519" s="2"/>
    </row>
    <row r="520" spans="1:28" x14ac:dyDescent="0.15">
      <c r="A520" s="8"/>
      <c r="B520" s="8"/>
      <c r="C520" s="8"/>
      <c r="D520" s="8"/>
      <c r="E520" s="8"/>
      <c r="F520" s="8"/>
      <c r="G520" s="10"/>
      <c r="H520" s="11"/>
      <c r="I520" s="8"/>
      <c r="J520" s="9"/>
      <c r="K520" s="8"/>
      <c r="L520" s="9"/>
      <c r="M520" s="8"/>
      <c r="N520" s="11"/>
      <c r="O520" s="8"/>
      <c r="P520" s="9"/>
      <c r="Q520" s="8"/>
      <c r="R520" s="9"/>
      <c r="S520" s="8"/>
      <c r="T520" s="8"/>
      <c r="U520" s="8"/>
      <c r="V520" s="11"/>
      <c r="W520" s="8"/>
      <c r="X520" s="8"/>
      <c r="Y520" s="9"/>
      <c r="Z520" s="8"/>
      <c r="AA520" s="2"/>
      <c r="AB520" s="2"/>
    </row>
    <row r="521" spans="1:28" x14ac:dyDescent="0.15">
      <c r="A521" s="8"/>
      <c r="B521" s="8"/>
      <c r="C521" s="8"/>
      <c r="D521" s="8"/>
      <c r="E521" s="8"/>
      <c r="F521" s="8"/>
      <c r="G521" s="10"/>
      <c r="H521" s="11"/>
      <c r="I521" s="8"/>
      <c r="J521" s="9"/>
      <c r="K521" s="8"/>
      <c r="L521" s="9"/>
      <c r="M521" s="8"/>
      <c r="N521" s="11"/>
      <c r="O521" s="8"/>
      <c r="P521" s="9"/>
      <c r="Q521" s="8"/>
      <c r="R521" s="9"/>
      <c r="S521" s="8"/>
      <c r="T521" s="8"/>
      <c r="U521" s="8"/>
      <c r="V521" s="11"/>
      <c r="W521" s="8"/>
      <c r="X521" s="8"/>
      <c r="Y521" s="9"/>
      <c r="Z521" s="8"/>
      <c r="AA521" s="2"/>
      <c r="AB521" s="2"/>
    </row>
    <row r="522" spans="1:28" x14ac:dyDescent="0.15">
      <c r="A522" s="8"/>
      <c r="B522" s="8"/>
      <c r="C522" s="8"/>
      <c r="D522" s="8"/>
      <c r="E522" s="8"/>
      <c r="F522" s="8"/>
      <c r="G522" s="10"/>
      <c r="H522" s="11"/>
      <c r="I522" s="8"/>
      <c r="J522" s="9"/>
      <c r="K522" s="8"/>
      <c r="L522" s="9"/>
      <c r="M522" s="8"/>
      <c r="N522" s="11"/>
      <c r="O522" s="8"/>
      <c r="P522" s="9"/>
      <c r="Q522" s="8"/>
      <c r="R522" s="9"/>
      <c r="S522" s="8"/>
      <c r="T522" s="8"/>
      <c r="U522" s="8"/>
      <c r="V522" s="11"/>
      <c r="W522" s="8"/>
      <c r="X522" s="8"/>
      <c r="Y522" s="9"/>
      <c r="Z522" s="8"/>
      <c r="AA522" s="2"/>
      <c r="AB522" s="2"/>
    </row>
    <row r="523" spans="1:28" x14ac:dyDescent="0.15">
      <c r="A523" s="8"/>
      <c r="B523" s="8"/>
      <c r="C523" s="8"/>
      <c r="D523" s="8"/>
      <c r="E523" s="8"/>
      <c r="F523" s="8"/>
      <c r="G523" s="10"/>
      <c r="H523" s="11"/>
      <c r="I523" s="8"/>
      <c r="J523" s="9"/>
      <c r="K523" s="8"/>
      <c r="L523" s="9"/>
      <c r="M523" s="8"/>
      <c r="N523" s="11"/>
      <c r="O523" s="8"/>
      <c r="P523" s="9"/>
      <c r="Q523" s="8"/>
      <c r="R523" s="9"/>
      <c r="S523" s="8"/>
      <c r="T523" s="8"/>
      <c r="U523" s="8"/>
      <c r="V523" s="11"/>
      <c r="W523" s="8"/>
      <c r="X523" s="8"/>
      <c r="Y523" s="9"/>
      <c r="Z523" s="8"/>
      <c r="AA523" s="2"/>
      <c r="AB523" s="2"/>
    </row>
    <row r="524" spans="1:28" x14ac:dyDescent="0.15">
      <c r="A524" s="8"/>
      <c r="B524" s="8"/>
      <c r="C524" s="8"/>
      <c r="D524" s="8"/>
      <c r="E524" s="8"/>
      <c r="F524" s="8"/>
      <c r="G524" s="10"/>
      <c r="H524" s="11"/>
      <c r="I524" s="8"/>
      <c r="J524" s="9"/>
      <c r="K524" s="8"/>
      <c r="L524" s="9"/>
      <c r="M524" s="8"/>
      <c r="N524" s="11"/>
      <c r="O524" s="8"/>
      <c r="P524" s="9"/>
      <c r="Q524" s="8"/>
      <c r="R524" s="9"/>
      <c r="S524" s="8"/>
      <c r="T524" s="8"/>
      <c r="U524" s="8"/>
      <c r="V524" s="11"/>
      <c r="W524" s="8"/>
      <c r="X524" s="8"/>
      <c r="Y524" s="9"/>
      <c r="Z524" s="8"/>
      <c r="AA524" s="2"/>
      <c r="AB524" s="2"/>
    </row>
    <row r="525" spans="1:28" x14ac:dyDescent="0.15">
      <c r="A525" s="8"/>
      <c r="B525" s="8"/>
      <c r="C525" s="8"/>
      <c r="D525" s="8"/>
      <c r="E525" s="8"/>
      <c r="F525" s="8"/>
      <c r="G525" s="10"/>
      <c r="H525" s="11"/>
      <c r="I525" s="8"/>
      <c r="J525" s="9"/>
      <c r="K525" s="8"/>
      <c r="L525" s="9"/>
      <c r="M525" s="8"/>
      <c r="N525" s="11"/>
      <c r="O525" s="8"/>
      <c r="P525" s="9"/>
      <c r="Q525" s="8"/>
      <c r="R525" s="9"/>
      <c r="S525" s="8"/>
      <c r="T525" s="8"/>
      <c r="U525" s="8"/>
      <c r="V525" s="11"/>
      <c r="W525" s="8"/>
      <c r="X525" s="8"/>
      <c r="Y525" s="9"/>
      <c r="Z525" s="8"/>
      <c r="AA525" s="2"/>
      <c r="AB525" s="2"/>
    </row>
    <row r="526" spans="1:28" x14ac:dyDescent="0.15">
      <c r="A526" s="8"/>
      <c r="B526" s="8"/>
      <c r="C526" s="8"/>
      <c r="D526" s="8"/>
      <c r="E526" s="8"/>
      <c r="F526" s="8"/>
      <c r="G526" s="10"/>
      <c r="H526" s="11"/>
      <c r="I526" s="8"/>
      <c r="J526" s="9"/>
      <c r="K526" s="8"/>
      <c r="L526" s="9"/>
      <c r="M526" s="8"/>
      <c r="N526" s="11"/>
      <c r="O526" s="8"/>
      <c r="P526" s="9"/>
      <c r="Q526" s="8"/>
      <c r="R526" s="9"/>
      <c r="S526" s="8"/>
      <c r="T526" s="8"/>
      <c r="U526" s="8"/>
      <c r="V526" s="11"/>
      <c r="W526" s="8"/>
      <c r="X526" s="8"/>
      <c r="Y526" s="9"/>
      <c r="Z526" s="8"/>
      <c r="AA526" s="2"/>
      <c r="AB526" s="2"/>
    </row>
    <row r="527" spans="1:28" x14ac:dyDescent="0.15">
      <c r="A527" s="8"/>
      <c r="B527" s="8"/>
      <c r="C527" s="8"/>
      <c r="D527" s="8"/>
      <c r="E527" s="8"/>
      <c r="F527" s="8"/>
      <c r="G527" s="10"/>
      <c r="H527" s="11"/>
      <c r="I527" s="8"/>
      <c r="J527" s="9"/>
      <c r="K527" s="8"/>
      <c r="L527" s="9"/>
      <c r="M527" s="8"/>
      <c r="N527" s="11"/>
      <c r="O527" s="8"/>
      <c r="P527" s="9"/>
      <c r="Q527" s="8"/>
      <c r="R527" s="9"/>
      <c r="S527" s="8"/>
      <c r="T527" s="8"/>
      <c r="U527" s="8"/>
      <c r="V527" s="11"/>
      <c r="W527" s="8"/>
      <c r="X527" s="8"/>
      <c r="Y527" s="9"/>
      <c r="Z527" s="8"/>
      <c r="AA527" s="2"/>
      <c r="AB527" s="2"/>
    </row>
    <row r="528" spans="1:28" x14ac:dyDescent="0.15">
      <c r="A528" s="8"/>
      <c r="B528" s="8"/>
      <c r="C528" s="8"/>
      <c r="D528" s="8"/>
      <c r="E528" s="8"/>
      <c r="F528" s="8"/>
      <c r="G528" s="10"/>
      <c r="H528" s="11"/>
      <c r="I528" s="8"/>
      <c r="J528" s="9"/>
      <c r="K528" s="8"/>
      <c r="L528" s="9"/>
      <c r="M528" s="8"/>
      <c r="N528" s="11"/>
      <c r="O528" s="8"/>
      <c r="P528" s="9"/>
      <c r="Q528" s="8"/>
      <c r="R528" s="9"/>
      <c r="S528" s="8"/>
      <c r="T528" s="8"/>
      <c r="U528" s="8"/>
      <c r="V528" s="11"/>
      <c r="W528" s="8"/>
      <c r="X528" s="8"/>
      <c r="Y528" s="9"/>
      <c r="Z528" s="8"/>
      <c r="AA528" s="2"/>
      <c r="AB528" s="2"/>
    </row>
    <row r="529" spans="1:28" x14ac:dyDescent="0.15">
      <c r="A529" s="8"/>
      <c r="B529" s="8"/>
      <c r="C529" s="8"/>
      <c r="D529" s="8"/>
      <c r="E529" s="8"/>
      <c r="F529" s="8"/>
      <c r="G529" s="10"/>
      <c r="H529" s="11"/>
      <c r="I529" s="8"/>
      <c r="J529" s="9"/>
      <c r="K529" s="8"/>
      <c r="L529" s="9"/>
      <c r="M529" s="8"/>
      <c r="N529" s="11"/>
      <c r="O529" s="8"/>
      <c r="P529" s="9"/>
      <c r="Q529" s="8"/>
      <c r="R529" s="9"/>
      <c r="S529" s="8"/>
      <c r="T529" s="8"/>
      <c r="U529" s="8"/>
      <c r="V529" s="11"/>
      <c r="W529" s="8"/>
      <c r="X529" s="8"/>
      <c r="Y529" s="9"/>
      <c r="Z529" s="8"/>
      <c r="AA529" s="2"/>
      <c r="AB529" s="2"/>
    </row>
    <row r="530" spans="1:28" x14ac:dyDescent="0.15">
      <c r="A530" s="8"/>
      <c r="B530" s="8"/>
      <c r="C530" s="8"/>
      <c r="D530" s="8"/>
      <c r="E530" s="8"/>
      <c r="F530" s="8"/>
      <c r="G530" s="10"/>
      <c r="H530" s="11"/>
      <c r="I530" s="8"/>
      <c r="J530" s="9"/>
      <c r="K530" s="8"/>
      <c r="L530" s="9"/>
      <c r="M530" s="8"/>
      <c r="N530" s="11"/>
      <c r="O530" s="8"/>
      <c r="P530" s="9"/>
      <c r="Q530" s="8"/>
      <c r="R530" s="9"/>
      <c r="S530" s="8"/>
      <c r="T530" s="8"/>
      <c r="U530" s="8"/>
      <c r="V530" s="11"/>
      <c r="W530" s="8"/>
      <c r="X530" s="8"/>
      <c r="Y530" s="9"/>
      <c r="Z530" s="8"/>
      <c r="AA530" s="2"/>
      <c r="AB530" s="2"/>
    </row>
    <row r="531" spans="1:28" x14ac:dyDescent="0.15">
      <c r="A531" s="8"/>
      <c r="B531" s="8"/>
      <c r="C531" s="8"/>
      <c r="D531" s="8"/>
      <c r="E531" s="8"/>
      <c r="F531" s="8"/>
      <c r="G531" s="10"/>
      <c r="H531" s="11"/>
      <c r="I531" s="8"/>
      <c r="J531" s="9"/>
      <c r="K531" s="8"/>
      <c r="L531" s="9"/>
      <c r="M531" s="8"/>
      <c r="N531" s="11"/>
      <c r="O531" s="8"/>
      <c r="P531" s="9"/>
      <c r="Q531" s="8"/>
      <c r="R531" s="9"/>
      <c r="S531" s="8"/>
      <c r="T531" s="8"/>
      <c r="U531" s="8"/>
      <c r="V531" s="11"/>
      <c r="W531" s="8"/>
      <c r="X531" s="8"/>
      <c r="Y531" s="9"/>
      <c r="Z531" s="8"/>
      <c r="AA531" s="2"/>
      <c r="AB531" s="2"/>
    </row>
    <row r="532" spans="1:28" x14ac:dyDescent="0.15">
      <c r="A532" s="8"/>
      <c r="B532" s="8"/>
      <c r="C532" s="8"/>
      <c r="D532" s="8"/>
      <c r="E532" s="8"/>
      <c r="F532" s="8"/>
      <c r="G532" s="10"/>
      <c r="H532" s="11"/>
      <c r="I532" s="8"/>
      <c r="J532" s="9"/>
      <c r="K532" s="8"/>
      <c r="L532" s="9"/>
      <c r="M532" s="8"/>
      <c r="N532" s="11"/>
      <c r="O532" s="8"/>
      <c r="P532" s="9"/>
      <c r="Q532" s="8"/>
      <c r="R532" s="9"/>
      <c r="S532" s="8"/>
      <c r="T532" s="8"/>
      <c r="U532" s="8"/>
      <c r="V532" s="11"/>
      <c r="W532" s="8"/>
      <c r="X532" s="8"/>
      <c r="Y532" s="9"/>
      <c r="Z532" s="8"/>
      <c r="AA532" s="2"/>
      <c r="AB532" s="2"/>
    </row>
    <row r="533" spans="1:28" x14ac:dyDescent="0.15">
      <c r="A533" s="8"/>
      <c r="B533" s="8"/>
      <c r="C533" s="8"/>
      <c r="D533" s="8"/>
      <c r="E533" s="8"/>
      <c r="F533" s="8"/>
      <c r="G533" s="10"/>
      <c r="H533" s="11"/>
      <c r="I533" s="8"/>
      <c r="J533" s="9"/>
      <c r="K533" s="8"/>
      <c r="L533" s="9"/>
      <c r="M533" s="8"/>
      <c r="N533" s="11"/>
      <c r="O533" s="8"/>
      <c r="P533" s="9"/>
      <c r="Q533" s="8"/>
      <c r="R533" s="9"/>
      <c r="S533" s="8"/>
      <c r="T533" s="8"/>
      <c r="U533" s="8"/>
      <c r="V533" s="11"/>
      <c r="W533" s="8"/>
      <c r="X533" s="8"/>
      <c r="Y533" s="9"/>
      <c r="Z533" s="8"/>
      <c r="AA533" s="2"/>
      <c r="AB533" s="2"/>
    </row>
    <row r="534" spans="1:28" x14ac:dyDescent="0.15">
      <c r="A534" s="8"/>
      <c r="B534" s="8"/>
      <c r="C534" s="8"/>
      <c r="D534" s="8"/>
      <c r="E534" s="8"/>
      <c r="F534" s="8"/>
      <c r="G534" s="10"/>
      <c r="H534" s="11"/>
      <c r="I534" s="8"/>
      <c r="J534" s="9"/>
      <c r="K534" s="8"/>
      <c r="L534" s="9"/>
      <c r="M534" s="8"/>
      <c r="N534" s="11"/>
      <c r="O534" s="8"/>
      <c r="P534" s="9"/>
      <c r="Q534" s="8"/>
      <c r="R534" s="9"/>
      <c r="S534" s="8"/>
      <c r="T534" s="8"/>
      <c r="U534" s="8"/>
      <c r="V534" s="11"/>
      <c r="W534" s="8"/>
      <c r="X534" s="8"/>
      <c r="Y534" s="9"/>
      <c r="Z534" s="8"/>
      <c r="AA534" s="2"/>
      <c r="AB534" s="2"/>
    </row>
    <row r="535" spans="1:28" x14ac:dyDescent="0.15">
      <c r="A535" s="8"/>
      <c r="B535" s="8"/>
      <c r="C535" s="8"/>
      <c r="D535" s="8"/>
      <c r="E535" s="8"/>
      <c r="F535" s="8"/>
      <c r="G535" s="10"/>
      <c r="H535" s="11"/>
      <c r="I535" s="8"/>
      <c r="J535" s="9"/>
      <c r="K535" s="8"/>
      <c r="L535" s="9"/>
      <c r="M535" s="8"/>
      <c r="N535" s="11"/>
      <c r="O535" s="8"/>
      <c r="P535" s="9"/>
      <c r="Q535" s="8"/>
      <c r="R535" s="9"/>
      <c r="S535" s="8"/>
      <c r="T535" s="8"/>
      <c r="U535" s="8"/>
      <c r="V535" s="11"/>
      <c r="W535" s="8"/>
      <c r="X535" s="8"/>
      <c r="Y535" s="9"/>
      <c r="Z535" s="8"/>
      <c r="AA535" s="2"/>
      <c r="AB535" s="2"/>
    </row>
    <row r="536" spans="1:28" x14ac:dyDescent="0.15">
      <c r="A536" s="8"/>
      <c r="B536" s="8"/>
      <c r="C536" s="8"/>
      <c r="D536" s="8"/>
      <c r="E536" s="8"/>
      <c r="F536" s="8"/>
      <c r="G536" s="10"/>
      <c r="H536" s="11"/>
      <c r="I536" s="8"/>
      <c r="J536" s="9"/>
      <c r="K536" s="8"/>
      <c r="L536" s="9"/>
      <c r="M536" s="8"/>
      <c r="N536" s="11"/>
      <c r="O536" s="8"/>
      <c r="P536" s="9"/>
      <c r="Q536" s="8"/>
      <c r="R536" s="9"/>
      <c r="S536" s="8"/>
      <c r="T536" s="8"/>
      <c r="U536" s="8"/>
      <c r="V536" s="11"/>
      <c r="W536" s="8"/>
      <c r="X536" s="8"/>
      <c r="Y536" s="9"/>
      <c r="Z536" s="8"/>
      <c r="AA536" s="2"/>
      <c r="AB536" s="2"/>
    </row>
    <row r="537" spans="1:28" x14ac:dyDescent="0.15">
      <c r="A537" s="8"/>
      <c r="B537" s="8"/>
      <c r="C537" s="8"/>
      <c r="D537" s="8"/>
      <c r="E537" s="8"/>
      <c r="F537" s="8"/>
      <c r="G537" s="10"/>
      <c r="H537" s="11"/>
      <c r="I537" s="8"/>
      <c r="J537" s="9"/>
      <c r="K537" s="8"/>
      <c r="L537" s="9"/>
      <c r="M537" s="8"/>
      <c r="N537" s="11"/>
      <c r="O537" s="8"/>
      <c r="P537" s="9"/>
      <c r="Q537" s="8"/>
      <c r="R537" s="9"/>
      <c r="S537" s="8"/>
      <c r="T537" s="8"/>
      <c r="U537" s="8"/>
      <c r="V537" s="11"/>
      <c r="W537" s="8"/>
      <c r="X537" s="8"/>
      <c r="Y537" s="9"/>
      <c r="Z537" s="8"/>
      <c r="AA537" s="2"/>
      <c r="AB537" s="2"/>
    </row>
    <row r="538" spans="1:28" x14ac:dyDescent="0.15">
      <c r="A538" s="8"/>
      <c r="B538" s="8"/>
      <c r="C538" s="8"/>
      <c r="D538" s="8"/>
      <c r="E538" s="8"/>
      <c r="F538" s="8"/>
      <c r="G538" s="10"/>
      <c r="H538" s="11"/>
      <c r="I538" s="8"/>
      <c r="J538" s="9"/>
      <c r="K538" s="8"/>
      <c r="L538" s="9"/>
      <c r="M538" s="8"/>
      <c r="N538" s="11"/>
      <c r="O538" s="8"/>
      <c r="P538" s="9"/>
      <c r="Q538" s="8"/>
      <c r="R538" s="9"/>
      <c r="S538" s="8"/>
      <c r="T538" s="8"/>
      <c r="U538" s="8"/>
      <c r="V538" s="11"/>
      <c r="W538" s="8"/>
      <c r="X538" s="8"/>
      <c r="Y538" s="9"/>
      <c r="Z538" s="8"/>
      <c r="AA538" s="2"/>
      <c r="AB538" s="2"/>
    </row>
    <row r="539" spans="1:28" x14ac:dyDescent="0.15">
      <c r="A539" s="8"/>
      <c r="B539" s="8"/>
      <c r="C539" s="8"/>
      <c r="D539" s="8"/>
      <c r="E539" s="8"/>
      <c r="F539" s="8"/>
      <c r="G539" s="10"/>
      <c r="H539" s="11"/>
      <c r="I539" s="8"/>
      <c r="J539" s="9"/>
      <c r="K539" s="8"/>
      <c r="L539" s="9"/>
      <c r="M539" s="8"/>
      <c r="N539" s="11"/>
      <c r="O539" s="8"/>
      <c r="P539" s="9"/>
      <c r="Q539" s="8"/>
      <c r="R539" s="9"/>
      <c r="S539" s="8"/>
      <c r="T539" s="8"/>
      <c r="U539" s="8"/>
      <c r="V539" s="11"/>
      <c r="W539" s="8"/>
      <c r="X539" s="8"/>
      <c r="Y539" s="9"/>
      <c r="Z539" s="8"/>
      <c r="AA539" s="2"/>
      <c r="AB539" s="2"/>
    </row>
    <row r="540" spans="1:28" x14ac:dyDescent="0.15">
      <c r="A540" s="8"/>
      <c r="B540" s="8"/>
      <c r="C540" s="8"/>
      <c r="D540" s="8"/>
      <c r="E540" s="8"/>
      <c r="F540" s="8"/>
      <c r="G540" s="10"/>
      <c r="H540" s="11"/>
      <c r="I540" s="8"/>
      <c r="J540" s="9"/>
      <c r="K540" s="8"/>
      <c r="L540" s="9"/>
      <c r="M540" s="8"/>
      <c r="N540" s="11"/>
      <c r="O540" s="8"/>
      <c r="P540" s="9"/>
      <c r="Q540" s="8"/>
      <c r="R540" s="9"/>
      <c r="S540" s="8"/>
      <c r="T540" s="8"/>
      <c r="U540" s="8"/>
      <c r="V540" s="11"/>
      <c r="W540" s="8"/>
      <c r="X540" s="8"/>
      <c r="Y540" s="9"/>
      <c r="Z540" s="8"/>
      <c r="AA540" s="2"/>
      <c r="AB540" s="2"/>
    </row>
    <row r="541" spans="1:28" x14ac:dyDescent="0.15">
      <c r="A541" s="8"/>
      <c r="B541" s="8"/>
      <c r="C541" s="8"/>
      <c r="D541" s="8"/>
      <c r="E541" s="8"/>
      <c r="F541" s="8"/>
      <c r="G541" s="10"/>
      <c r="H541" s="11"/>
      <c r="I541" s="8"/>
      <c r="J541" s="9"/>
      <c r="K541" s="8"/>
      <c r="L541" s="9"/>
      <c r="M541" s="8"/>
      <c r="N541" s="11"/>
      <c r="O541" s="8"/>
      <c r="P541" s="9"/>
      <c r="Q541" s="8"/>
      <c r="R541" s="9"/>
      <c r="S541" s="8"/>
      <c r="T541" s="8"/>
      <c r="U541" s="8"/>
      <c r="V541" s="11"/>
      <c r="W541" s="8"/>
      <c r="X541" s="8"/>
      <c r="Y541" s="9"/>
      <c r="Z541" s="8"/>
      <c r="AA541" s="2"/>
      <c r="AB541" s="2"/>
    </row>
    <row r="542" spans="1:28" x14ac:dyDescent="0.15">
      <c r="A542" s="8"/>
      <c r="B542" s="8"/>
      <c r="C542" s="8"/>
      <c r="D542" s="8"/>
      <c r="E542" s="8"/>
      <c r="F542" s="8"/>
      <c r="G542" s="10"/>
      <c r="H542" s="11"/>
      <c r="I542" s="8"/>
      <c r="J542" s="9"/>
      <c r="K542" s="8"/>
      <c r="L542" s="9"/>
      <c r="M542" s="8"/>
      <c r="N542" s="11"/>
      <c r="O542" s="8"/>
      <c r="P542" s="9"/>
      <c r="Q542" s="8"/>
      <c r="R542" s="9"/>
      <c r="S542" s="8"/>
      <c r="T542" s="8"/>
      <c r="U542" s="8"/>
      <c r="V542" s="11"/>
      <c r="W542" s="8"/>
      <c r="X542" s="8"/>
      <c r="Y542" s="9"/>
      <c r="Z542" s="8"/>
      <c r="AA542" s="2"/>
      <c r="AB542" s="2"/>
    </row>
    <row r="543" spans="1:28" x14ac:dyDescent="0.15">
      <c r="A543" s="8"/>
      <c r="B543" s="8"/>
      <c r="C543" s="8"/>
      <c r="D543" s="8"/>
      <c r="E543" s="8"/>
      <c r="F543" s="8"/>
      <c r="G543" s="10"/>
      <c r="H543" s="11"/>
      <c r="I543" s="8"/>
      <c r="J543" s="9"/>
      <c r="K543" s="8"/>
      <c r="L543" s="9"/>
      <c r="M543" s="8"/>
      <c r="N543" s="11"/>
      <c r="O543" s="8"/>
      <c r="P543" s="9"/>
      <c r="Q543" s="8"/>
      <c r="R543" s="9"/>
      <c r="S543" s="8"/>
      <c r="T543" s="8"/>
      <c r="U543" s="8"/>
      <c r="V543" s="11"/>
      <c r="W543" s="8"/>
      <c r="X543" s="8"/>
      <c r="Y543" s="9"/>
      <c r="Z543" s="8"/>
      <c r="AA543" s="2"/>
      <c r="AB543" s="2"/>
    </row>
    <row r="544" spans="1:28" x14ac:dyDescent="0.15">
      <c r="A544" s="8"/>
      <c r="B544" s="8"/>
      <c r="C544" s="8"/>
      <c r="D544" s="8"/>
      <c r="E544" s="8"/>
      <c r="F544" s="8"/>
      <c r="G544" s="10"/>
      <c r="H544" s="11"/>
      <c r="I544" s="8"/>
      <c r="J544" s="9"/>
      <c r="K544" s="8"/>
      <c r="L544" s="9"/>
      <c r="M544" s="8"/>
      <c r="N544" s="11"/>
      <c r="O544" s="8"/>
      <c r="P544" s="9"/>
      <c r="Q544" s="8"/>
      <c r="R544" s="9"/>
      <c r="S544" s="8"/>
      <c r="T544" s="8"/>
      <c r="U544" s="8"/>
      <c r="V544" s="11"/>
      <c r="W544" s="8"/>
      <c r="X544" s="8"/>
      <c r="Y544" s="9"/>
      <c r="Z544" s="8"/>
      <c r="AA544" s="2"/>
      <c r="AB544" s="2"/>
    </row>
    <row r="545" spans="1:28" x14ac:dyDescent="0.15">
      <c r="A545" s="8"/>
      <c r="B545" s="8"/>
      <c r="C545" s="8"/>
      <c r="D545" s="8"/>
      <c r="E545" s="8"/>
      <c r="F545" s="8"/>
      <c r="G545" s="10"/>
      <c r="H545" s="11"/>
      <c r="I545" s="8"/>
      <c r="J545" s="9"/>
      <c r="K545" s="8"/>
      <c r="L545" s="9"/>
      <c r="M545" s="8"/>
      <c r="N545" s="11"/>
      <c r="O545" s="8"/>
      <c r="P545" s="9"/>
      <c r="Q545" s="8"/>
      <c r="R545" s="9"/>
      <c r="S545" s="8"/>
      <c r="T545" s="8"/>
      <c r="U545" s="8"/>
      <c r="V545" s="11"/>
      <c r="W545" s="8"/>
      <c r="X545" s="8"/>
      <c r="Y545" s="9"/>
      <c r="Z545" s="8"/>
      <c r="AA545" s="2"/>
      <c r="AB545" s="2"/>
    </row>
    <row r="546" spans="1:28" x14ac:dyDescent="0.15">
      <c r="A546" s="8"/>
      <c r="B546" s="8"/>
      <c r="C546" s="8"/>
      <c r="D546" s="8"/>
      <c r="E546" s="8"/>
      <c r="F546" s="8"/>
      <c r="G546" s="10"/>
      <c r="H546" s="11"/>
      <c r="I546" s="8"/>
      <c r="J546" s="9"/>
      <c r="K546" s="8"/>
      <c r="L546" s="9"/>
      <c r="M546" s="8"/>
      <c r="N546" s="11"/>
      <c r="O546" s="8"/>
      <c r="P546" s="9"/>
      <c r="Q546" s="8"/>
      <c r="R546" s="9"/>
      <c r="S546" s="8"/>
      <c r="T546" s="8"/>
      <c r="U546" s="8"/>
      <c r="V546" s="11"/>
      <c r="W546" s="8"/>
      <c r="X546" s="8"/>
      <c r="Y546" s="9"/>
      <c r="Z546" s="8"/>
      <c r="AA546" s="2"/>
      <c r="AB546" s="2"/>
    </row>
    <row r="547" spans="1:28" x14ac:dyDescent="0.15">
      <c r="A547" s="8"/>
      <c r="B547" s="8"/>
      <c r="C547" s="8"/>
      <c r="D547" s="8"/>
      <c r="E547" s="8"/>
      <c r="F547" s="8"/>
      <c r="G547" s="10"/>
      <c r="H547" s="11"/>
      <c r="I547" s="8"/>
      <c r="J547" s="9"/>
      <c r="K547" s="8"/>
      <c r="L547" s="9"/>
      <c r="M547" s="8"/>
      <c r="N547" s="11"/>
      <c r="O547" s="8"/>
      <c r="P547" s="9"/>
      <c r="Q547" s="8"/>
      <c r="R547" s="9"/>
      <c r="S547" s="8"/>
      <c r="T547" s="8"/>
      <c r="U547" s="8"/>
      <c r="V547" s="11"/>
      <c r="W547" s="8"/>
      <c r="X547" s="8"/>
      <c r="Y547" s="9"/>
      <c r="Z547" s="8"/>
      <c r="AA547" s="2"/>
      <c r="AB547" s="2"/>
    </row>
    <row r="548" spans="1:28" x14ac:dyDescent="0.15">
      <c r="A548" s="8"/>
      <c r="B548" s="8"/>
      <c r="C548" s="8"/>
      <c r="D548" s="8"/>
      <c r="E548" s="8"/>
      <c r="F548" s="8"/>
      <c r="G548" s="10"/>
      <c r="H548" s="11"/>
      <c r="I548" s="8"/>
      <c r="J548" s="9"/>
      <c r="K548" s="8"/>
      <c r="L548" s="9"/>
      <c r="M548" s="8"/>
      <c r="N548" s="11"/>
      <c r="O548" s="8"/>
      <c r="P548" s="9"/>
      <c r="Q548" s="8"/>
      <c r="R548" s="9"/>
      <c r="S548" s="8"/>
      <c r="T548" s="8"/>
      <c r="U548" s="8"/>
      <c r="V548" s="11"/>
      <c r="W548" s="8"/>
      <c r="X548" s="8"/>
      <c r="Y548" s="9"/>
      <c r="Z548" s="8"/>
      <c r="AA548" s="2"/>
      <c r="AB548" s="2"/>
    </row>
    <row r="549" spans="1:28" x14ac:dyDescent="0.15">
      <c r="A549" s="8"/>
      <c r="B549" s="8"/>
      <c r="C549" s="8"/>
      <c r="D549" s="8"/>
      <c r="E549" s="8"/>
      <c r="F549" s="8"/>
      <c r="G549" s="10"/>
      <c r="H549" s="11"/>
      <c r="I549" s="8"/>
      <c r="J549" s="9"/>
      <c r="K549" s="8"/>
      <c r="L549" s="9"/>
      <c r="M549" s="8"/>
      <c r="N549" s="11"/>
      <c r="O549" s="8"/>
      <c r="P549" s="9"/>
      <c r="Q549" s="8"/>
      <c r="R549" s="9"/>
      <c r="S549" s="8"/>
      <c r="T549" s="8"/>
      <c r="U549" s="8"/>
      <c r="V549" s="11"/>
      <c r="W549" s="8"/>
      <c r="X549" s="8"/>
      <c r="Y549" s="9"/>
      <c r="Z549" s="8"/>
      <c r="AA549" s="2"/>
      <c r="AB549" s="2"/>
    </row>
    <row r="550" spans="1:28" x14ac:dyDescent="0.15">
      <c r="A550" s="8"/>
      <c r="B550" s="8"/>
      <c r="C550" s="8"/>
      <c r="D550" s="8"/>
      <c r="E550" s="8"/>
      <c r="F550" s="8"/>
      <c r="G550" s="10"/>
      <c r="H550" s="11"/>
      <c r="I550" s="8"/>
      <c r="J550" s="9"/>
      <c r="K550" s="8"/>
      <c r="L550" s="9"/>
      <c r="M550" s="8"/>
      <c r="N550" s="11"/>
      <c r="O550" s="8"/>
      <c r="P550" s="9"/>
      <c r="Q550" s="8"/>
      <c r="R550" s="9"/>
      <c r="S550" s="8"/>
      <c r="T550" s="8"/>
      <c r="U550" s="8"/>
      <c r="V550" s="11"/>
      <c r="W550" s="8"/>
      <c r="X550" s="8"/>
      <c r="Y550" s="9"/>
      <c r="Z550" s="8"/>
      <c r="AA550" s="2"/>
      <c r="AB550" s="2"/>
    </row>
    <row r="551" spans="1:28" x14ac:dyDescent="0.15">
      <c r="A551" s="8"/>
      <c r="B551" s="8"/>
      <c r="C551" s="8"/>
      <c r="D551" s="8"/>
      <c r="E551" s="8"/>
      <c r="F551" s="8"/>
      <c r="G551" s="10"/>
      <c r="H551" s="11"/>
      <c r="I551" s="8"/>
      <c r="J551" s="9"/>
      <c r="K551" s="8"/>
      <c r="L551" s="9"/>
      <c r="M551" s="8"/>
      <c r="N551" s="11"/>
      <c r="O551" s="8"/>
      <c r="P551" s="9"/>
      <c r="Q551" s="8"/>
      <c r="R551" s="9"/>
      <c r="S551" s="8"/>
      <c r="T551" s="8"/>
      <c r="U551" s="8"/>
      <c r="V551" s="11"/>
      <c r="W551" s="8"/>
      <c r="X551" s="8"/>
      <c r="Y551" s="9"/>
      <c r="Z551" s="8"/>
      <c r="AA551" s="2"/>
      <c r="AB551" s="2"/>
    </row>
    <row r="552" spans="1:28" x14ac:dyDescent="0.15">
      <c r="A552" s="8"/>
      <c r="B552" s="8"/>
      <c r="C552" s="8"/>
      <c r="D552" s="8"/>
      <c r="E552" s="8"/>
      <c r="F552" s="8"/>
      <c r="G552" s="10"/>
      <c r="H552" s="11"/>
      <c r="I552" s="8"/>
      <c r="J552" s="9"/>
      <c r="K552" s="8"/>
      <c r="L552" s="9"/>
      <c r="M552" s="8"/>
      <c r="N552" s="11"/>
      <c r="O552" s="8"/>
      <c r="P552" s="9"/>
      <c r="Q552" s="8"/>
      <c r="R552" s="9"/>
      <c r="S552" s="8"/>
      <c r="T552" s="8"/>
      <c r="U552" s="8"/>
      <c r="V552" s="11"/>
      <c r="W552" s="8"/>
      <c r="X552" s="8"/>
      <c r="Y552" s="9"/>
      <c r="Z552" s="8"/>
      <c r="AA552" s="2"/>
      <c r="AB552" s="2"/>
    </row>
    <row r="553" spans="1:28" x14ac:dyDescent="0.15">
      <c r="A553" s="8"/>
      <c r="B553" s="8"/>
      <c r="C553" s="8"/>
      <c r="D553" s="8"/>
      <c r="E553" s="8"/>
      <c r="F553" s="8"/>
      <c r="G553" s="10"/>
      <c r="H553" s="11"/>
      <c r="I553" s="8"/>
      <c r="J553" s="9"/>
      <c r="K553" s="8"/>
      <c r="L553" s="9"/>
      <c r="M553" s="8"/>
      <c r="N553" s="11"/>
      <c r="O553" s="8"/>
      <c r="P553" s="9"/>
      <c r="Q553" s="8"/>
      <c r="R553" s="9"/>
      <c r="S553" s="8"/>
      <c r="T553" s="8"/>
      <c r="U553" s="8"/>
      <c r="V553" s="11"/>
      <c r="W553" s="8"/>
      <c r="X553" s="8"/>
      <c r="Y553" s="9"/>
      <c r="Z553" s="8"/>
      <c r="AA553" s="2"/>
      <c r="AB553" s="2"/>
    </row>
    <row r="554" spans="1:28" x14ac:dyDescent="0.15">
      <c r="A554" s="8"/>
      <c r="B554" s="8"/>
      <c r="C554" s="8"/>
      <c r="D554" s="8"/>
      <c r="E554" s="8"/>
      <c r="F554" s="8"/>
      <c r="G554" s="10"/>
      <c r="H554" s="11"/>
      <c r="I554" s="8"/>
      <c r="J554" s="9"/>
      <c r="K554" s="8"/>
      <c r="L554" s="9"/>
      <c r="M554" s="8"/>
      <c r="N554" s="11"/>
      <c r="O554" s="8"/>
      <c r="P554" s="9"/>
      <c r="Q554" s="8"/>
      <c r="R554" s="9"/>
      <c r="S554" s="8"/>
      <c r="T554" s="8"/>
      <c r="U554" s="8"/>
      <c r="V554" s="11"/>
      <c r="W554" s="8"/>
      <c r="X554" s="8"/>
      <c r="Y554" s="9"/>
      <c r="Z554" s="8"/>
      <c r="AA554" s="2"/>
      <c r="AB554" s="2"/>
    </row>
    <row r="555" spans="1:28" x14ac:dyDescent="0.15">
      <c r="A555" s="8"/>
      <c r="B555" s="8"/>
      <c r="C555" s="8"/>
      <c r="D555" s="8"/>
      <c r="E555" s="8"/>
      <c r="F555" s="8"/>
      <c r="G555" s="10"/>
      <c r="H555" s="11"/>
      <c r="I555" s="8"/>
      <c r="J555" s="9"/>
      <c r="K555" s="8"/>
      <c r="L555" s="9"/>
      <c r="M555" s="8"/>
      <c r="N555" s="11"/>
      <c r="O555" s="8"/>
      <c r="P555" s="9"/>
      <c r="Q555" s="8"/>
      <c r="R555" s="9"/>
      <c r="S555" s="8"/>
      <c r="T555" s="8"/>
      <c r="U555" s="8"/>
      <c r="V555" s="11"/>
      <c r="W555" s="8"/>
      <c r="X555" s="8"/>
      <c r="Y555" s="9"/>
      <c r="Z555" s="8"/>
      <c r="AA555" s="2"/>
      <c r="AB555" s="2"/>
    </row>
    <row r="556" spans="1:28" x14ac:dyDescent="0.15">
      <c r="A556" s="8"/>
      <c r="B556" s="8"/>
      <c r="C556" s="8"/>
      <c r="D556" s="8"/>
      <c r="E556" s="8"/>
      <c r="F556" s="8"/>
      <c r="G556" s="10"/>
      <c r="H556" s="11"/>
      <c r="I556" s="8"/>
      <c r="J556" s="9"/>
      <c r="K556" s="8"/>
      <c r="L556" s="9"/>
      <c r="M556" s="8"/>
      <c r="N556" s="11"/>
      <c r="O556" s="8"/>
      <c r="P556" s="9"/>
      <c r="Q556" s="8"/>
      <c r="R556" s="9"/>
      <c r="S556" s="8"/>
      <c r="T556" s="8"/>
      <c r="U556" s="8"/>
      <c r="V556" s="11"/>
      <c r="W556" s="8"/>
      <c r="X556" s="8"/>
      <c r="Y556" s="9"/>
      <c r="Z556" s="8"/>
      <c r="AA556" s="2"/>
      <c r="AB556" s="2"/>
    </row>
    <row r="557" spans="1:28" x14ac:dyDescent="0.15">
      <c r="A557" s="8"/>
      <c r="B557" s="8"/>
      <c r="C557" s="8"/>
      <c r="D557" s="8"/>
      <c r="E557" s="8"/>
      <c r="F557" s="8"/>
      <c r="G557" s="10"/>
      <c r="H557" s="11"/>
      <c r="I557" s="8"/>
      <c r="J557" s="9"/>
      <c r="K557" s="8"/>
      <c r="L557" s="9"/>
      <c r="M557" s="8"/>
      <c r="N557" s="11"/>
      <c r="O557" s="8"/>
      <c r="P557" s="9"/>
      <c r="Q557" s="8"/>
      <c r="R557" s="9"/>
      <c r="S557" s="8"/>
      <c r="T557" s="8"/>
      <c r="U557" s="8"/>
      <c r="V557" s="11"/>
      <c r="W557" s="8"/>
      <c r="X557" s="8"/>
      <c r="Y557" s="9"/>
      <c r="Z557" s="8"/>
      <c r="AA557" s="2"/>
      <c r="AB557" s="2"/>
    </row>
    <row r="558" spans="1:28" x14ac:dyDescent="0.15">
      <c r="A558" s="8"/>
      <c r="B558" s="8"/>
      <c r="C558" s="8"/>
      <c r="D558" s="8"/>
      <c r="E558" s="8"/>
      <c r="F558" s="8"/>
      <c r="G558" s="10"/>
      <c r="H558" s="11"/>
      <c r="I558" s="8"/>
      <c r="J558" s="9"/>
      <c r="K558" s="8"/>
      <c r="L558" s="9"/>
      <c r="M558" s="8"/>
      <c r="N558" s="11"/>
      <c r="O558" s="8"/>
      <c r="P558" s="9"/>
      <c r="Q558" s="8"/>
      <c r="R558" s="9"/>
      <c r="S558" s="8"/>
      <c r="T558" s="8"/>
      <c r="U558" s="8"/>
      <c r="V558" s="11"/>
      <c r="W558" s="8"/>
      <c r="X558" s="8"/>
      <c r="Y558" s="9"/>
      <c r="Z558" s="8"/>
      <c r="AA558" s="2"/>
      <c r="AB558" s="2"/>
    </row>
    <row r="559" spans="1:28" x14ac:dyDescent="0.15">
      <c r="A559" s="8"/>
      <c r="B559" s="8"/>
      <c r="C559" s="8"/>
      <c r="D559" s="8"/>
      <c r="E559" s="8"/>
      <c r="F559" s="8"/>
      <c r="G559" s="10"/>
      <c r="H559" s="11"/>
      <c r="I559" s="8"/>
      <c r="J559" s="9"/>
      <c r="K559" s="8"/>
      <c r="L559" s="9"/>
      <c r="M559" s="8"/>
      <c r="N559" s="11"/>
      <c r="O559" s="8"/>
      <c r="P559" s="9"/>
      <c r="Q559" s="8"/>
      <c r="R559" s="9"/>
      <c r="S559" s="8"/>
      <c r="T559" s="8"/>
      <c r="U559" s="8"/>
      <c r="V559" s="11"/>
      <c r="W559" s="8"/>
      <c r="X559" s="8"/>
      <c r="Y559" s="9"/>
      <c r="Z559" s="8"/>
      <c r="AA559" s="2"/>
      <c r="AB559" s="2"/>
    </row>
    <row r="560" spans="1:28" x14ac:dyDescent="0.15">
      <c r="A560" s="8"/>
      <c r="B560" s="8"/>
      <c r="C560" s="8"/>
      <c r="D560" s="8"/>
      <c r="E560" s="8"/>
      <c r="F560" s="8"/>
      <c r="G560" s="10"/>
      <c r="H560" s="11"/>
      <c r="I560" s="8"/>
      <c r="J560" s="9"/>
      <c r="K560" s="8"/>
      <c r="L560" s="9"/>
      <c r="M560" s="8"/>
      <c r="N560" s="11"/>
      <c r="O560" s="8"/>
      <c r="P560" s="9"/>
      <c r="Q560" s="8"/>
      <c r="R560" s="9"/>
      <c r="S560" s="8"/>
      <c r="T560" s="8"/>
      <c r="U560" s="8"/>
      <c r="V560" s="11"/>
      <c r="W560" s="8"/>
      <c r="X560" s="8"/>
      <c r="Y560" s="9"/>
      <c r="Z560" s="8"/>
      <c r="AA560" s="2"/>
      <c r="AB560" s="2"/>
    </row>
    <row r="561" spans="1:28" x14ac:dyDescent="0.15">
      <c r="A561" s="8"/>
      <c r="B561" s="8"/>
      <c r="C561" s="8"/>
      <c r="D561" s="8"/>
      <c r="E561" s="8"/>
      <c r="F561" s="8"/>
      <c r="G561" s="10"/>
      <c r="H561" s="11"/>
      <c r="I561" s="8"/>
      <c r="J561" s="9"/>
      <c r="K561" s="8"/>
      <c r="L561" s="9"/>
      <c r="M561" s="8"/>
      <c r="N561" s="11"/>
      <c r="O561" s="8"/>
      <c r="P561" s="9"/>
      <c r="Q561" s="8"/>
      <c r="R561" s="9"/>
      <c r="S561" s="8"/>
      <c r="T561" s="8"/>
      <c r="U561" s="8"/>
      <c r="V561" s="11"/>
      <c r="W561" s="8"/>
      <c r="X561" s="8"/>
      <c r="Y561" s="9"/>
      <c r="Z561" s="8"/>
      <c r="AA561" s="2"/>
      <c r="AB561" s="2"/>
    </row>
    <row r="562" spans="1:28" x14ac:dyDescent="0.15">
      <c r="A562" s="8"/>
      <c r="B562" s="8"/>
      <c r="C562" s="8"/>
      <c r="D562" s="8"/>
      <c r="E562" s="8"/>
      <c r="F562" s="8"/>
      <c r="G562" s="10"/>
      <c r="H562" s="11"/>
      <c r="I562" s="8"/>
      <c r="J562" s="9"/>
      <c r="K562" s="8"/>
      <c r="L562" s="9"/>
      <c r="M562" s="8"/>
      <c r="N562" s="11"/>
      <c r="O562" s="8"/>
      <c r="P562" s="9"/>
      <c r="Q562" s="8"/>
      <c r="R562" s="9"/>
      <c r="S562" s="8"/>
      <c r="T562" s="8"/>
      <c r="U562" s="8"/>
      <c r="V562" s="11"/>
      <c r="W562" s="8"/>
      <c r="X562" s="8"/>
      <c r="Y562" s="9"/>
      <c r="Z562" s="8"/>
      <c r="AA562" s="2"/>
      <c r="AB562" s="2"/>
    </row>
    <row r="563" spans="1:28" x14ac:dyDescent="0.15">
      <c r="A563" s="8"/>
      <c r="B563" s="8"/>
      <c r="C563" s="8"/>
      <c r="D563" s="8"/>
      <c r="E563" s="8"/>
      <c r="F563" s="8"/>
      <c r="G563" s="10"/>
      <c r="H563" s="11"/>
      <c r="I563" s="8"/>
      <c r="J563" s="9"/>
      <c r="K563" s="8"/>
      <c r="L563" s="9"/>
      <c r="M563" s="8"/>
      <c r="N563" s="11"/>
      <c r="O563" s="8"/>
      <c r="P563" s="9"/>
      <c r="Q563" s="8"/>
      <c r="R563" s="9"/>
      <c r="S563" s="8"/>
      <c r="T563" s="8"/>
      <c r="U563" s="8"/>
      <c r="V563" s="11"/>
      <c r="W563" s="8"/>
      <c r="X563" s="8"/>
      <c r="Y563" s="9"/>
      <c r="Z563" s="8"/>
      <c r="AA563" s="2"/>
      <c r="AB563" s="2"/>
    </row>
    <row r="564" spans="1:28" x14ac:dyDescent="0.15">
      <c r="A564" s="8"/>
      <c r="B564" s="8"/>
      <c r="C564" s="8"/>
      <c r="D564" s="8"/>
      <c r="E564" s="8"/>
      <c r="F564" s="8"/>
      <c r="G564" s="10"/>
      <c r="H564" s="11"/>
      <c r="I564" s="8"/>
      <c r="J564" s="9"/>
      <c r="K564" s="8"/>
      <c r="L564" s="9"/>
      <c r="M564" s="8"/>
      <c r="N564" s="11"/>
      <c r="O564" s="8"/>
      <c r="P564" s="9"/>
      <c r="Q564" s="8"/>
      <c r="R564" s="9"/>
      <c r="S564" s="8"/>
      <c r="T564" s="8"/>
      <c r="U564" s="8"/>
      <c r="V564" s="11"/>
      <c r="W564" s="8"/>
      <c r="X564" s="8"/>
      <c r="Y564" s="9"/>
      <c r="Z564" s="8"/>
      <c r="AA564" s="2"/>
      <c r="AB564" s="2"/>
    </row>
    <row r="565" spans="1:28" x14ac:dyDescent="0.15">
      <c r="A565" s="8"/>
      <c r="B565" s="8"/>
      <c r="C565" s="8"/>
      <c r="D565" s="8"/>
      <c r="E565" s="8"/>
      <c r="F565" s="8"/>
      <c r="G565" s="10"/>
      <c r="H565" s="11"/>
      <c r="I565" s="8"/>
      <c r="J565" s="9"/>
      <c r="K565" s="8"/>
      <c r="L565" s="9"/>
      <c r="M565" s="8"/>
      <c r="N565" s="11"/>
      <c r="O565" s="8"/>
      <c r="P565" s="9"/>
      <c r="Q565" s="8"/>
      <c r="R565" s="9"/>
      <c r="S565" s="8"/>
      <c r="T565" s="8"/>
      <c r="U565" s="8"/>
      <c r="V565" s="11"/>
      <c r="W565" s="8"/>
      <c r="X565" s="8"/>
      <c r="Y565" s="9"/>
      <c r="Z565" s="8"/>
      <c r="AA565" s="2"/>
      <c r="AB565" s="2"/>
    </row>
    <row r="566" spans="1:28" x14ac:dyDescent="0.15">
      <c r="A566" s="8"/>
      <c r="B566" s="8"/>
      <c r="C566" s="8"/>
      <c r="D566" s="8"/>
      <c r="E566" s="8"/>
      <c r="F566" s="8"/>
      <c r="G566" s="10"/>
      <c r="H566" s="11"/>
      <c r="I566" s="8"/>
      <c r="J566" s="9"/>
      <c r="K566" s="8"/>
      <c r="L566" s="9"/>
      <c r="M566" s="8"/>
      <c r="N566" s="11"/>
      <c r="O566" s="8"/>
      <c r="P566" s="9"/>
      <c r="Q566" s="8"/>
      <c r="R566" s="9"/>
      <c r="S566" s="8"/>
      <c r="T566" s="8"/>
      <c r="U566" s="8"/>
      <c r="V566" s="11"/>
      <c r="W566" s="8"/>
      <c r="X566" s="8"/>
      <c r="Y566" s="9"/>
      <c r="Z566" s="8"/>
      <c r="AA566" s="2"/>
      <c r="AB566" s="2"/>
    </row>
    <row r="567" spans="1:28" x14ac:dyDescent="0.15">
      <c r="A567" s="8"/>
      <c r="B567" s="8"/>
      <c r="C567" s="8"/>
      <c r="D567" s="8"/>
      <c r="E567" s="8"/>
      <c r="F567" s="8"/>
      <c r="G567" s="10"/>
      <c r="H567" s="11"/>
      <c r="I567" s="8"/>
      <c r="J567" s="9"/>
      <c r="K567" s="8"/>
      <c r="L567" s="9"/>
      <c r="M567" s="8"/>
      <c r="N567" s="11"/>
      <c r="O567" s="8"/>
      <c r="P567" s="9"/>
      <c r="Q567" s="8"/>
      <c r="R567" s="9"/>
      <c r="S567" s="8"/>
      <c r="T567" s="8"/>
      <c r="U567" s="8"/>
      <c r="V567" s="11"/>
      <c r="W567" s="8"/>
      <c r="X567" s="8"/>
      <c r="Y567" s="9"/>
      <c r="Z567" s="8"/>
      <c r="AA567" s="2"/>
      <c r="AB567" s="2"/>
    </row>
    <row r="568" spans="1:28" x14ac:dyDescent="0.15">
      <c r="A568" s="8"/>
      <c r="B568" s="8"/>
      <c r="C568" s="8"/>
      <c r="D568" s="8"/>
      <c r="E568" s="8"/>
      <c r="F568" s="8"/>
      <c r="G568" s="10"/>
      <c r="H568" s="11"/>
      <c r="I568" s="8"/>
      <c r="J568" s="9"/>
      <c r="K568" s="8"/>
      <c r="L568" s="9"/>
      <c r="M568" s="8"/>
      <c r="N568" s="11"/>
      <c r="O568" s="8"/>
      <c r="P568" s="9"/>
      <c r="Q568" s="8"/>
      <c r="R568" s="9"/>
      <c r="S568" s="8"/>
      <c r="T568" s="8"/>
      <c r="U568" s="8"/>
      <c r="V568" s="11"/>
      <c r="W568" s="8"/>
      <c r="X568" s="8"/>
      <c r="Y568" s="9"/>
      <c r="Z568" s="8"/>
      <c r="AA568" s="2"/>
      <c r="AB568" s="2"/>
    </row>
    <row r="569" spans="1:28" x14ac:dyDescent="0.15">
      <c r="A569" s="8"/>
      <c r="B569" s="8"/>
      <c r="C569" s="8"/>
      <c r="D569" s="8"/>
      <c r="E569" s="8"/>
      <c r="F569" s="8"/>
      <c r="G569" s="10"/>
      <c r="H569" s="11"/>
      <c r="I569" s="8"/>
      <c r="J569" s="9"/>
      <c r="K569" s="8"/>
      <c r="L569" s="9"/>
      <c r="M569" s="8"/>
      <c r="N569" s="11"/>
      <c r="O569" s="8"/>
      <c r="P569" s="9"/>
      <c r="Q569" s="8"/>
      <c r="R569" s="9"/>
      <c r="S569" s="8"/>
      <c r="T569" s="8"/>
      <c r="U569" s="8"/>
      <c r="V569" s="11"/>
      <c r="W569" s="8"/>
      <c r="X569" s="8"/>
      <c r="Y569" s="9"/>
      <c r="Z569" s="8"/>
      <c r="AA569" s="2"/>
      <c r="AB569" s="2"/>
    </row>
    <row r="570" spans="1:28" x14ac:dyDescent="0.15">
      <c r="A570" s="8"/>
      <c r="B570" s="8"/>
      <c r="C570" s="8"/>
      <c r="D570" s="8"/>
      <c r="E570" s="8"/>
      <c r="F570" s="8"/>
      <c r="G570" s="10"/>
      <c r="H570" s="11"/>
      <c r="I570" s="8"/>
      <c r="J570" s="9"/>
      <c r="K570" s="8"/>
      <c r="L570" s="9"/>
      <c r="M570" s="8"/>
      <c r="N570" s="11"/>
      <c r="O570" s="8"/>
      <c r="P570" s="9"/>
      <c r="Q570" s="8"/>
      <c r="R570" s="9"/>
      <c r="S570" s="8"/>
      <c r="T570" s="8"/>
      <c r="U570" s="8"/>
      <c r="V570" s="11"/>
      <c r="W570" s="8"/>
      <c r="X570" s="8"/>
      <c r="Y570" s="9"/>
      <c r="Z570" s="8"/>
      <c r="AA570" s="2"/>
      <c r="AB570" s="2"/>
    </row>
    <row r="571" spans="1:28" x14ac:dyDescent="0.15">
      <c r="A571" s="8"/>
      <c r="B571" s="8"/>
      <c r="C571" s="8"/>
      <c r="D571" s="8"/>
      <c r="E571" s="8"/>
      <c r="F571" s="8"/>
      <c r="G571" s="10"/>
      <c r="H571" s="11"/>
      <c r="I571" s="8"/>
      <c r="J571" s="9"/>
      <c r="K571" s="8"/>
      <c r="L571" s="9"/>
      <c r="M571" s="8"/>
      <c r="N571" s="11"/>
      <c r="O571" s="8"/>
      <c r="P571" s="9"/>
      <c r="Q571" s="8"/>
      <c r="R571" s="9"/>
      <c r="S571" s="8"/>
      <c r="T571" s="8"/>
      <c r="U571" s="8"/>
      <c r="V571" s="11"/>
      <c r="W571" s="8"/>
      <c r="X571" s="8"/>
      <c r="Y571" s="9"/>
      <c r="Z571" s="8"/>
      <c r="AA571" s="2"/>
      <c r="AB571" s="2"/>
    </row>
    <row r="572" spans="1:28" x14ac:dyDescent="0.15">
      <c r="A572" s="8"/>
      <c r="B572" s="8"/>
      <c r="C572" s="8"/>
      <c r="D572" s="8"/>
      <c r="E572" s="8"/>
      <c r="F572" s="8"/>
      <c r="G572" s="10"/>
      <c r="H572" s="11"/>
      <c r="I572" s="8"/>
      <c r="J572" s="9"/>
      <c r="K572" s="8"/>
      <c r="L572" s="9"/>
      <c r="M572" s="8"/>
      <c r="N572" s="11"/>
      <c r="O572" s="8"/>
      <c r="P572" s="9"/>
      <c r="Q572" s="8"/>
      <c r="R572" s="9"/>
      <c r="S572" s="8"/>
      <c r="T572" s="8"/>
      <c r="U572" s="8"/>
      <c r="V572" s="11"/>
      <c r="W572" s="8"/>
      <c r="X572" s="8"/>
      <c r="Y572" s="9"/>
      <c r="Z572" s="8"/>
      <c r="AA572" s="2"/>
      <c r="AB572" s="2"/>
    </row>
    <row r="573" spans="1:28" x14ac:dyDescent="0.15">
      <c r="A573" s="8"/>
      <c r="B573" s="8"/>
      <c r="C573" s="8"/>
      <c r="D573" s="8"/>
      <c r="E573" s="8"/>
      <c r="F573" s="8"/>
      <c r="G573" s="10"/>
      <c r="H573" s="11"/>
      <c r="I573" s="8"/>
      <c r="J573" s="9"/>
      <c r="K573" s="8"/>
      <c r="L573" s="9"/>
      <c r="M573" s="8"/>
      <c r="N573" s="11"/>
      <c r="O573" s="8"/>
      <c r="P573" s="9"/>
      <c r="Q573" s="8"/>
      <c r="R573" s="9"/>
      <c r="S573" s="8"/>
      <c r="T573" s="8"/>
      <c r="U573" s="8"/>
      <c r="V573" s="11"/>
      <c r="W573" s="8"/>
      <c r="X573" s="8"/>
      <c r="Y573" s="9"/>
      <c r="Z573" s="8"/>
      <c r="AA573" s="2"/>
      <c r="AB573" s="2"/>
    </row>
    <row r="574" spans="1:28" x14ac:dyDescent="0.15">
      <c r="A574" s="8"/>
      <c r="B574" s="8"/>
      <c r="C574" s="8"/>
      <c r="D574" s="8"/>
      <c r="E574" s="8"/>
      <c r="F574" s="8"/>
      <c r="G574" s="10"/>
      <c r="H574" s="11"/>
      <c r="I574" s="8"/>
      <c r="J574" s="9"/>
      <c r="K574" s="8"/>
      <c r="L574" s="9"/>
      <c r="M574" s="8"/>
      <c r="N574" s="11"/>
      <c r="O574" s="8"/>
      <c r="P574" s="9"/>
      <c r="Q574" s="8"/>
      <c r="R574" s="9"/>
      <c r="S574" s="8"/>
      <c r="T574" s="8"/>
      <c r="U574" s="8"/>
      <c r="V574" s="11"/>
      <c r="W574" s="8"/>
      <c r="X574" s="8"/>
      <c r="Y574" s="9"/>
      <c r="Z574" s="8"/>
      <c r="AA574" s="2"/>
      <c r="AB574" s="2"/>
    </row>
    <row r="575" spans="1:28" x14ac:dyDescent="0.15">
      <c r="A575" s="8"/>
      <c r="B575" s="8"/>
      <c r="C575" s="8"/>
      <c r="D575" s="8"/>
      <c r="E575" s="8"/>
      <c r="F575" s="8"/>
      <c r="G575" s="10"/>
      <c r="H575" s="11"/>
      <c r="I575" s="8"/>
      <c r="J575" s="9"/>
      <c r="K575" s="8"/>
      <c r="L575" s="9"/>
      <c r="M575" s="8"/>
      <c r="N575" s="11"/>
      <c r="O575" s="8"/>
      <c r="P575" s="9"/>
      <c r="Q575" s="8"/>
      <c r="R575" s="9"/>
      <c r="S575" s="8"/>
      <c r="T575" s="8"/>
      <c r="U575" s="8"/>
      <c r="V575" s="11"/>
      <c r="W575" s="8"/>
      <c r="X575" s="8"/>
      <c r="Y575" s="9"/>
      <c r="Z575" s="8"/>
      <c r="AA575" s="2"/>
      <c r="AB575" s="2"/>
    </row>
    <row r="576" spans="1:28" x14ac:dyDescent="0.15">
      <c r="A576" s="8"/>
      <c r="B576" s="8"/>
      <c r="C576" s="8"/>
      <c r="D576" s="8"/>
      <c r="E576" s="8"/>
      <c r="F576" s="8"/>
      <c r="G576" s="10"/>
      <c r="H576" s="11"/>
      <c r="I576" s="8"/>
      <c r="J576" s="9"/>
      <c r="K576" s="8"/>
      <c r="L576" s="9"/>
      <c r="M576" s="8"/>
      <c r="N576" s="11"/>
      <c r="O576" s="8"/>
      <c r="P576" s="9"/>
      <c r="Q576" s="8"/>
      <c r="R576" s="9"/>
      <c r="S576" s="8"/>
      <c r="T576" s="8"/>
      <c r="U576" s="8"/>
      <c r="V576" s="11"/>
      <c r="W576" s="8"/>
      <c r="X576" s="8"/>
      <c r="Y576" s="9"/>
      <c r="Z576" s="8"/>
      <c r="AA576" s="2"/>
      <c r="AB576" s="2"/>
    </row>
    <row r="577" spans="1:28" x14ac:dyDescent="0.15">
      <c r="A577" s="8"/>
      <c r="B577" s="8"/>
      <c r="C577" s="8"/>
      <c r="D577" s="8"/>
      <c r="E577" s="8"/>
      <c r="F577" s="8"/>
      <c r="G577" s="10"/>
      <c r="H577" s="11"/>
      <c r="I577" s="8"/>
      <c r="J577" s="9"/>
      <c r="K577" s="8"/>
      <c r="L577" s="9"/>
      <c r="M577" s="8"/>
      <c r="N577" s="11"/>
      <c r="O577" s="8"/>
      <c r="P577" s="9"/>
      <c r="Q577" s="8"/>
      <c r="R577" s="9"/>
      <c r="S577" s="8"/>
      <c r="T577" s="8"/>
      <c r="U577" s="8"/>
      <c r="V577" s="11"/>
      <c r="W577" s="8"/>
      <c r="X577" s="8"/>
      <c r="Y577" s="9"/>
      <c r="Z577" s="8"/>
      <c r="AA577" s="2"/>
      <c r="AB577" s="2"/>
    </row>
    <row r="578" spans="1:28" x14ac:dyDescent="0.15">
      <c r="A578" s="8"/>
      <c r="B578" s="8"/>
      <c r="C578" s="8"/>
      <c r="D578" s="8"/>
      <c r="E578" s="8"/>
      <c r="F578" s="8"/>
      <c r="G578" s="10"/>
      <c r="H578" s="11"/>
      <c r="I578" s="8"/>
      <c r="J578" s="9"/>
      <c r="K578" s="8"/>
      <c r="L578" s="9"/>
      <c r="M578" s="8"/>
      <c r="N578" s="11"/>
      <c r="O578" s="8"/>
      <c r="P578" s="9"/>
      <c r="Q578" s="8"/>
      <c r="R578" s="9"/>
      <c r="S578" s="8"/>
      <c r="T578" s="8"/>
      <c r="U578" s="8"/>
      <c r="V578" s="11"/>
      <c r="W578" s="8"/>
      <c r="X578" s="8"/>
      <c r="Y578" s="9"/>
      <c r="Z578" s="8"/>
      <c r="AA578" s="2"/>
      <c r="AB578" s="2"/>
    </row>
    <row r="579" spans="1:28" outlineLevel="1" x14ac:dyDescent="0.15">
      <c r="A579" s="8"/>
      <c r="B579" s="8"/>
      <c r="C579" s="8"/>
      <c r="D579" s="8"/>
      <c r="E579" s="8"/>
      <c r="F579" s="8"/>
      <c r="G579" s="10"/>
      <c r="H579" s="11"/>
      <c r="I579" s="8"/>
      <c r="J579" s="9"/>
      <c r="K579" s="8"/>
      <c r="L579" s="9"/>
      <c r="M579" s="8"/>
      <c r="N579" s="11"/>
      <c r="O579" s="8"/>
      <c r="P579" s="9"/>
      <c r="Q579" s="8"/>
      <c r="R579" s="9"/>
      <c r="S579" s="8"/>
      <c r="T579" s="8"/>
      <c r="U579" s="8"/>
      <c r="V579" s="11"/>
      <c r="W579" s="8"/>
      <c r="X579" s="8"/>
      <c r="Y579" s="9"/>
      <c r="Z579" s="8"/>
      <c r="AA579" s="2"/>
      <c r="AB579" s="2"/>
    </row>
    <row r="580" spans="1:28" outlineLevel="1" x14ac:dyDescent="0.15">
      <c r="A580" s="8"/>
      <c r="B580" s="8"/>
      <c r="C580" s="8"/>
      <c r="D580" s="8"/>
      <c r="E580" s="8"/>
      <c r="F580" s="8"/>
      <c r="G580" s="10"/>
      <c r="H580" s="11"/>
      <c r="I580" s="8"/>
      <c r="J580" s="9"/>
      <c r="K580" s="8"/>
      <c r="L580" s="9"/>
      <c r="M580" s="8"/>
      <c r="N580" s="11"/>
      <c r="O580" s="8"/>
      <c r="P580" s="9"/>
      <c r="Q580" s="8"/>
      <c r="R580" s="9"/>
      <c r="S580" s="8"/>
      <c r="T580" s="8"/>
      <c r="U580" s="8"/>
      <c r="V580" s="11"/>
      <c r="W580" s="8"/>
      <c r="X580" s="8"/>
      <c r="Y580" s="9"/>
      <c r="Z580" s="8"/>
      <c r="AA580" s="2"/>
      <c r="AB580" s="2"/>
    </row>
    <row r="581" spans="1:28" outlineLevel="1" x14ac:dyDescent="0.15">
      <c r="A581" s="8"/>
      <c r="B581" s="8"/>
      <c r="C581" s="8"/>
      <c r="D581" s="8"/>
      <c r="E581" s="8"/>
      <c r="F581" s="8"/>
      <c r="G581" s="10"/>
      <c r="H581" s="11"/>
      <c r="I581" s="8"/>
      <c r="J581" s="9"/>
      <c r="K581" s="8"/>
      <c r="L581" s="9"/>
      <c r="M581" s="8"/>
      <c r="N581" s="11"/>
      <c r="O581" s="8"/>
      <c r="P581" s="9"/>
      <c r="Q581" s="8"/>
      <c r="R581" s="9"/>
      <c r="S581" s="8"/>
      <c r="T581" s="8"/>
      <c r="U581" s="8"/>
      <c r="V581" s="11"/>
      <c r="W581" s="8"/>
      <c r="X581" s="8"/>
      <c r="Y581" s="9"/>
      <c r="Z581" s="8"/>
      <c r="AA581" s="2"/>
      <c r="AB581" s="2"/>
    </row>
    <row r="582" spans="1:28" outlineLevel="1" x14ac:dyDescent="0.15">
      <c r="A582" s="8"/>
      <c r="B582" s="8"/>
      <c r="C582" s="8"/>
      <c r="D582" s="8"/>
      <c r="E582" s="8"/>
      <c r="F582" s="8"/>
      <c r="G582" s="10"/>
      <c r="H582" s="11"/>
      <c r="I582" s="8"/>
      <c r="J582" s="9"/>
      <c r="K582" s="8"/>
      <c r="L582" s="9"/>
      <c r="M582" s="8"/>
      <c r="N582" s="11"/>
      <c r="O582" s="8"/>
      <c r="P582" s="9"/>
      <c r="Q582" s="8"/>
      <c r="R582" s="9"/>
      <c r="S582" s="8"/>
      <c r="T582" s="8"/>
      <c r="U582" s="8"/>
      <c r="V582" s="11"/>
      <c r="W582" s="8"/>
      <c r="X582" s="8"/>
      <c r="Y582" s="9"/>
      <c r="Z582" s="8"/>
      <c r="AA582" s="2"/>
      <c r="AB582" s="2"/>
    </row>
    <row r="583" spans="1:28" outlineLevel="1" x14ac:dyDescent="0.15">
      <c r="A583" s="8"/>
      <c r="B583" s="8"/>
      <c r="C583" s="8"/>
      <c r="D583" s="8"/>
      <c r="E583" s="8"/>
      <c r="F583" s="8"/>
      <c r="G583" s="10"/>
      <c r="H583" s="11"/>
      <c r="I583" s="8"/>
      <c r="J583" s="9"/>
      <c r="K583" s="8"/>
      <c r="L583" s="9"/>
      <c r="M583" s="8"/>
      <c r="N583" s="11"/>
      <c r="O583" s="8"/>
      <c r="P583" s="9"/>
      <c r="Q583" s="8"/>
      <c r="R583" s="9"/>
      <c r="S583" s="8"/>
      <c r="T583" s="8"/>
      <c r="U583" s="8"/>
      <c r="V583" s="11"/>
      <c r="W583" s="8"/>
      <c r="X583" s="8"/>
      <c r="Y583" s="9"/>
      <c r="Z583" s="8"/>
      <c r="AA583" s="2"/>
      <c r="AB583" s="2"/>
    </row>
    <row r="584" spans="1:28" outlineLevel="1" x14ac:dyDescent="0.15">
      <c r="A584" s="8"/>
      <c r="B584" s="8"/>
      <c r="C584" s="8"/>
      <c r="D584" s="8"/>
      <c r="E584" s="8"/>
      <c r="F584" s="8"/>
      <c r="G584" s="10"/>
      <c r="H584" s="11"/>
      <c r="I584" s="8"/>
      <c r="J584" s="9"/>
      <c r="K584" s="8"/>
      <c r="L584" s="9"/>
      <c r="M584" s="8"/>
      <c r="N584" s="11"/>
      <c r="O584" s="8"/>
      <c r="P584" s="9"/>
      <c r="Q584" s="8"/>
      <c r="R584" s="9"/>
      <c r="S584" s="8"/>
      <c r="T584" s="8"/>
      <c r="U584" s="8"/>
      <c r="V584" s="11"/>
      <c r="W584" s="8"/>
      <c r="X584" s="8"/>
      <c r="Y584" s="9"/>
      <c r="Z584" s="8"/>
      <c r="AA584" s="2"/>
      <c r="AB584" s="2"/>
    </row>
    <row r="585" spans="1:28" outlineLevel="1" x14ac:dyDescent="0.15">
      <c r="A585" s="8"/>
      <c r="B585" s="8"/>
      <c r="C585" s="8"/>
      <c r="D585" s="8"/>
      <c r="E585" s="8"/>
      <c r="F585" s="8"/>
      <c r="G585" s="10"/>
      <c r="H585" s="11"/>
      <c r="I585" s="8"/>
      <c r="J585" s="9"/>
      <c r="K585" s="8"/>
      <c r="L585" s="9"/>
      <c r="M585" s="8"/>
      <c r="N585" s="11"/>
      <c r="O585" s="8"/>
      <c r="P585" s="9"/>
      <c r="Q585" s="8"/>
      <c r="R585" s="9"/>
      <c r="S585" s="8"/>
      <c r="T585" s="8"/>
      <c r="U585" s="8"/>
      <c r="V585" s="11"/>
      <c r="W585" s="8"/>
      <c r="X585" s="8"/>
      <c r="Y585" s="9"/>
      <c r="Z585" s="8"/>
      <c r="AA585" s="2"/>
      <c r="AB585" s="2"/>
    </row>
    <row r="586" spans="1:28" outlineLevel="1" x14ac:dyDescent="0.15">
      <c r="A586" s="8"/>
      <c r="B586" s="8"/>
      <c r="C586" s="8"/>
      <c r="D586" s="8"/>
      <c r="E586" s="8"/>
      <c r="F586" s="8"/>
      <c r="G586" s="10"/>
      <c r="H586" s="11"/>
      <c r="I586" s="8"/>
      <c r="J586" s="9"/>
      <c r="K586" s="8"/>
      <c r="L586" s="9"/>
      <c r="M586" s="8"/>
      <c r="N586" s="11"/>
      <c r="O586" s="8"/>
      <c r="P586" s="9"/>
      <c r="Q586" s="8"/>
      <c r="R586" s="9"/>
      <c r="S586" s="8"/>
      <c r="T586" s="8"/>
      <c r="U586" s="8"/>
      <c r="V586" s="11"/>
      <c r="W586" s="8"/>
      <c r="X586" s="8"/>
      <c r="Y586" s="9"/>
      <c r="Z586" s="8"/>
      <c r="AA586" s="2"/>
      <c r="AB586" s="2"/>
    </row>
    <row r="587" spans="1:28" outlineLevel="1" x14ac:dyDescent="0.15">
      <c r="A587" s="8"/>
      <c r="B587" s="8"/>
      <c r="C587" s="8"/>
      <c r="D587" s="8"/>
      <c r="E587" s="8"/>
      <c r="F587" s="8"/>
      <c r="G587" s="10"/>
      <c r="H587" s="11"/>
      <c r="I587" s="8"/>
      <c r="J587" s="9"/>
      <c r="K587" s="8"/>
      <c r="L587" s="9"/>
      <c r="M587" s="8"/>
      <c r="N587" s="11"/>
      <c r="O587" s="8"/>
      <c r="P587" s="9"/>
      <c r="Q587" s="8"/>
      <c r="R587" s="9"/>
      <c r="S587" s="8"/>
      <c r="T587" s="8"/>
      <c r="U587" s="8"/>
      <c r="V587" s="11"/>
      <c r="W587" s="8"/>
      <c r="X587" s="8"/>
      <c r="Y587" s="9"/>
      <c r="Z587" s="8"/>
      <c r="AA587" s="2"/>
      <c r="AB587" s="2"/>
    </row>
    <row r="588" spans="1:28" x14ac:dyDescent="0.15">
      <c r="A588" s="8"/>
      <c r="B588" s="8"/>
      <c r="C588" s="8"/>
      <c r="D588" s="8"/>
      <c r="E588" s="8"/>
      <c r="F588" s="8"/>
      <c r="G588" s="10"/>
      <c r="H588" s="11"/>
      <c r="I588" s="8"/>
      <c r="J588" s="9"/>
      <c r="K588" s="8"/>
      <c r="L588" s="9"/>
      <c r="M588" s="8"/>
      <c r="N588" s="11"/>
      <c r="O588" s="8"/>
      <c r="P588" s="9"/>
      <c r="Q588" s="8"/>
      <c r="R588" s="9"/>
      <c r="S588" s="8"/>
      <c r="T588" s="8"/>
      <c r="U588" s="8"/>
      <c r="V588" s="11"/>
      <c r="W588" s="8"/>
      <c r="X588" s="8"/>
      <c r="Y588" s="9"/>
      <c r="Z588" s="8"/>
      <c r="AA588" s="2"/>
      <c r="AB588" s="2"/>
    </row>
    <row r="589" spans="1:28" x14ac:dyDescent="0.15">
      <c r="A589" s="8"/>
      <c r="B589" s="8"/>
      <c r="C589" s="8"/>
      <c r="D589" s="8"/>
      <c r="E589" s="8"/>
      <c r="F589" s="8"/>
      <c r="G589" s="10"/>
      <c r="H589" s="11"/>
      <c r="I589" s="8"/>
      <c r="J589" s="9"/>
      <c r="K589" s="8"/>
      <c r="L589" s="9"/>
      <c r="M589" s="8"/>
      <c r="N589" s="11"/>
      <c r="O589" s="8"/>
      <c r="P589" s="9"/>
      <c r="Q589" s="8"/>
      <c r="R589" s="9"/>
      <c r="S589" s="8"/>
      <c r="T589" s="8"/>
      <c r="U589" s="8"/>
      <c r="V589" s="11"/>
      <c r="W589" s="8"/>
      <c r="X589" s="8"/>
      <c r="Y589" s="9"/>
      <c r="Z589" s="8"/>
      <c r="AA589" s="2"/>
      <c r="AB589" s="2"/>
    </row>
    <row r="590" spans="1:28" x14ac:dyDescent="0.15">
      <c r="A590" s="8"/>
      <c r="B590" s="8"/>
      <c r="C590" s="8"/>
      <c r="D590" s="8"/>
      <c r="E590" s="8"/>
      <c r="F590" s="8"/>
      <c r="G590" s="10"/>
      <c r="H590" s="11"/>
      <c r="I590" s="8"/>
      <c r="J590" s="9"/>
      <c r="K590" s="8"/>
      <c r="L590" s="9"/>
      <c r="M590" s="8"/>
      <c r="N590" s="11"/>
      <c r="O590" s="8"/>
      <c r="P590" s="9"/>
      <c r="Q590" s="8"/>
      <c r="R590" s="9"/>
      <c r="S590" s="8"/>
      <c r="T590" s="8"/>
      <c r="U590" s="8"/>
      <c r="V590" s="11"/>
      <c r="W590" s="8"/>
      <c r="X590" s="8"/>
      <c r="Y590" s="9"/>
      <c r="Z590" s="8"/>
      <c r="AA590" s="2"/>
      <c r="AB590" s="2"/>
    </row>
    <row r="591" spans="1:28" x14ac:dyDescent="0.15">
      <c r="A591" s="8"/>
      <c r="B591" s="8"/>
      <c r="C591" s="8"/>
      <c r="D591" s="8"/>
      <c r="E591" s="8"/>
      <c r="F591" s="8"/>
      <c r="G591" s="10"/>
      <c r="H591" s="11"/>
      <c r="I591" s="8"/>
      <c r="J591" s="9"/>
      <c r="K591" s="8"/>
      <c r="L591" s="9"/>
      <c r="M591" s="8"/>
      <c r="N591" s="11"/>
      <c r="O591" s="8"/>
      <c r="P591" s="9"/>
      <c r="Q591" s="8"/>
      <c r="R591" s="9"/>
      <c r="S591" s="8"/>
      <c r="T591" s="8"/>
      <c r="U591" s="8"/>
      <c r="V591" s="11"/>
      <c r="W591" s="8"/>
      <c r="X591" s="8"/>
      <c r="Y591" s="9"/>
      <c r="Z591" s="8"/>
      <c r="AA591" s="2"/>
      <c r="AB591" s="2"/>
    </row>
    <row r="592" spans="1:28" x14ac:dyDescent="0.15">
      <c r="A592" s="8"/>
      <c r="B592" s="8"/>
      <c r="C592" s="8"/>
      <c r="D592" s="8"/>
      <c r="E592" s="8"/>
      <c r="F592" s="8"/>
      <c r="G592" s="10"/>
      <c r="H592" s="11"/>
      <c r="I592" s="8"/>
      <c r="J592" s="9"/>
      <c r="K592" s="8"/>
      <c r="L592" s="9"/>
      <c r="M592" s="8"/>
      <c r="N592" s="11"/>
      <c r="O592" s="8"/>
      <c r="P592" s="9"/>
      <c r="Q592" s="8"/>
      <c r="R592" s="9"/>
      <c r="S592" s="8"/>
      <c r="T592" s="8"/>
      <c r="U592" s="8"/>
      <c r="V592" s="11"/>
      <c r="W592" s="8"/>
      <c r="X592" s="8"/>
      <c r="Y592" s="9"/>
      <c r="Z592" s="8"/>
      <c r="AA592" s="2"/>
      <c r="AB592" s="2"/>
    </row>
    <row r="593" spans="1:28" x14ac:dyDescent="0.15">
      <c r="A593" s="8"/>
      <c r="B593" s="8"/>
      <c r="C593" s="8"/>
      <c r="D593" s="8"/>
      <c r="E593" s="8"/>
      <c r="F593" s="8"/>
      <c r="G593" s="10"/>
      <c r="H593" s="11"/>
      <c r="I593" s="8"/>
      <c r="J593" s="9"/>
      <c r="K593" s="8"/>
      <c r="L593" s="9"/>
      <c r="M593" s="8"/>
      <c r="N593" s="11"/>
      <c r="O593" s="8"/>
      <c r="P593" s="9"/>
      <c r="Q593" s="8"/>
      <c r="R593" s="9"/>
      <c r="S593" s="8"/>
      <c r="T593" s="8"/>
      <c r="U593" s="8"/>
      <c r="V593" s="11"/>
      <c r="W593" s="8"/>
      <c r="X593" s="8"/>
      <c r="Y593" s="9"/>
      <c r="Z593" s="8"/>
      <c r="AA593" s="2"/>
      <c r="AB593" s="2"/>
    </row>
    <row r="594" spans="1:28" x14ac:dyDescent="0.15">
      <c r="A594" s="8"/>
      <c r="B594" s="8"/>
      <c r="C594" s="8"/>
      <c r="D594" s="8"/>
      <c r="E594" s="8"/>
      <c r="F594" s="8"/>
      <c r="G594" s="10"/>
      <c r="H594" s="11"/>
      <c r="I594" s="8"/>
      <c r="J594" s="9"/>
      <c r="K594" s="8"/>
      <c r="L594" s="9"/>
      <c r="M594" s="8"/>
      <c r="N594" s="11"/>
      <c r="O594" s="8"/>
      <c r="P594" s="9"/>
      <c r="Q594" s="8"/>
      <c r="R594" s="9"/>
      <c r="S594" s="8"/>
      <c r="T594" s="8"/>
      <c r="U594" s="8"/>
      <c r="V594" s="11"/>
      <c r="W594" s="8"/>
      <c r="X594" s="8"/>
      <c r="Y594" s="9"/>
      <c r="Z594" s="8"/>
      <c r="AA594" s="2"/>
      <c r="AB594" s="2"/>
    </row>
    <row r="595" spans="1:28" x14ac:dyDescent="0.15">
      <c r="A595" s="8"/>
      <c r="B595" s="8"/>
      <c r="C595" s="8"/>
      <c r="D595" s="8"/>
      <c r="E595" s="8"/>
      <c r="F595" s="8"/>
      <c r="G595" s="10"/>
      <c r="H595" s="11"/>
      <c r="I595" s="8"/>
      <c r="J595" s="9"/>
      <c r="K595" s="8"/>
      <c r="L595" s="9"/>
      <c r="M595" s="8"/>
      <c r="N595" s="11"/>
      <c r="O595" s="8"/>
      <c r="P595" s="9"/>
      <c r="Q595" s="8"/>
      <c r="R595" s="9"/>
      <c r="S595" s="8"/>
      <c r="T595" s="8"/>
      <c r="U595" s="8"/>
      <c r="V595" s="11"/>
      <c r="W595" s="8"/>
      <c r="X595" s="8"/>
      <c r="Y595" s="9"/>
      <c r="Z595" s="8"/>
      <c r="AA595" s="2"/>
      <c r="AB595" s="2"/>
    </row>
    <row r="596" spans="1:28" x14ac:dyDescent="0.15">
      <c r="A596" s="8"/>
      <c r="B596" s="8"/>
      <c r="C596" s="8"/>
      <c r="D596" s="8"/>
      <c r="E596" s="8"/>
      <c r="F596" s="8"/>
      <c r="G596" s="10"/>
      <c r="H596" s="11"/>
      <c r="I596" s="8"/>
      <c r="J596" s="9"/>
      <c r="K596" s="8"/>
      <c r="L596" s="9"/>
      <c r="M596" s="8"/>
      <c r="N596" s="11"/>
      <c r="O596" s="8"/>
      <c r="P596" s="9"/>
      <c r="Q596" s="8"/>
      <c r="R596" s="9"/>
      <c r="S596" s="8"/>
      <c r="T596" s="8"/>
      <c r="U596" s="8"/>
      <c r="V596" s="11"/>
      <c r="W596" s="8"/>
      <c r="X596" s="8"/>
      <c r="Y596" s="9"/>
      <c r="Z596" s="8"/>
      <c r="AA596" s="2"/>
      <c r="AB596" s="2"/>
    </row>
    <row r="597" spans="1:28" outlineLevel="1" x14ac:dyDescent="0.15">
      <c r="A597" s="8"/>
      <c r="B597" s="8"/>
      <c r="C597" s="8"/>
      <c r="D597" s="8"/>
      <c r="E597" s="8"/>
      <c r="F597" s="8"/>
      <c r="G597" s="10"/>
      <c r="H597" s="11"/>
      <c r="I597" s="8"/>
      <c r="J597" s="9"/>
      <c r="K597" s="8"/>
      <c r="L597" s="9"/>
      <c r="M597" s="8"/>
      <c r="N597" s="11"/>
      <c r="O597" s="8"/>
      <c r="P597" s="9"/>
      <c r="Q597" s="8"/>
      <c r="R597" s="9"/>
      <c r="S597" s="8"/>
      <c r="T597" s="8"/>
      <c r="U597" s="8"/>
      <c r="V597" s="11"/>
      <c r="W597" s="8"/>
      <c r="X597" s="8"/>
      <c r="Y597" s="9"/>
      <c r="Z597" s="8"/>
      <c r="AA597" s="2"/>
      <c r="AB597" s="2"/>
    </row>
    <row r="598" spans="1:28" outlineLevel="1" x14ac:dyDescent="0.15">
      <c r="A598" s="8"/>
      <c r="B598" s="8"/>
      <c r="C598" s="8"/>
      <c r="D598" s="8"/>
      <c r="E598" s="8"/>
      <c r="F598" s="8"/>
      <c r="G598" s="10"/>
      <c r="H598" s="11"/>
      <c r="I598" s="8"/>
      <c r="J598" s="9"/>
      <c r="K598" s="8"/>
      <c r="L598" s="9"/>
      <c r="M598" s="8"/>
      <c r="N598" s="11"/>
      <c r="O598" s="8"/>
      <c r="P598" s="9"/>
      <c r="Q598" s="8"/>
      <c r="R598" s="9"/>
      <c r="S598" s="8"/>
      <c r="T598" s="8"/>
      <c r="U598" s="8"/>
      <c r="V598" s="11"/>
      <c r="W598" s="8"/>
      <c r="X598" s="8"/>
      <c r="Y598" s="9"/>
      <c r="Z598" s="8"/>
      <c r="AA598" s="2"/>
      <c r="AB598" s="2"/>
    </row>
    <row r="599" spans="1:28" outlineLevel="1" x14ac:dyDescent="0.15">
      <c r="A599" s="8"/>
      <c r="B599" s="8"/>
      <c r="C599" s="8"/>
      <c r="D599" s="8"/>
      <c r="E599" s="8"/>
      <c r="F599" s="8"/>
      <c r="G599" s="10"/>
      <c r="H599" s="11"/>
      <c r="I599" s="8"/>
      <c r="J599" s="9"/>
      <c r="K599" s="8"/>
      <c r="L599" s="9"/>
      <c r="M599" s="8"/>
      <c r="N599" s="11"/>
      <c r="O599" s="8"/>
      <c r="P599" s="9"/>
      <c r="Q599" s="8"/>
      <c r="R599" s="9"/>
      <c r="S599" s="8"/>
      <c r="T599" s="8"/>
      <c r="U599" s="8"/>
      <c r="V599" s="11"/>
      <c r="W599" s="8"/>
      <c r="X599" s="8"/>
      <c r="Y599" s="9"/>
      <c r="Z599" s="8"/>
      <c r="AA599" s="2"/>
      <c r="AB599" s="2"/>
    </row>
    <row r="600" spans="1:28" outlineLevel="1" x14ac:dyDescent="0.15">
      <c r="A600" s="8"/>
      <c r="B600" s="8"/>
      <c r="C600" s="8"/>
      <c r="D600" s="8"/>
      <c r="E600" s="8"/>
      <c r="F600" s="8"/>
      <c r="G600" s="10"/>
      <c r="H600" s="11"/>
      <c r="I600" s="8"/>
      <c r="J600" s="9"/>
      <c r="K600" s="8"/>
      <c r="L600" s="9"/>
      <c r="M600" s="8"/>
      <c r="N600" s="11"/>
      <c r="O600" s="8"/>
      <c r="P600" s="9"/>
      <c r="Q600" s="8"/>
      <c r="R600" s="9"/>
      <c r="S600" s="8"/>
      <c r="T600" s="8"/>
      <c r="U600" s="8"/>
      <c r="V600" s="11"/>
      <c r="W600" s="8"/>
      <c r="X600" s="8"/>
      <c r="Y600" s="9"/>
      <c r="Z600" s="8"/>
      <c r="AA600" s="2"/>
      <c r="AB600" s="2"/>
    </row>
    <row r="601" spans="1:28" x14ac:dyDescent="0.15">
      <c r="A601" s="8"/>
      <c r="B601" s="8"/>
      <c r="C601" s="8"/>
      <c r="D601" s="8"/>
      <c r="E601" s="8"/>
      <c r="F601" s="8"/>
      <c r="G601" s="10"/>
      <c r="H601" s="11"/>
      <c r="I601" s="8"/>
      <c r="J601" s="9"/>
      <c r="K601" s="8"/>
      <c r="L601" s="9"/>
      <c r="M601" s="8"/>
      <c r="N601" s="11"/>
      <c r="O601" s="8"/>
      <c r="P601" s="9"/>
      <c r="Q601" s="8"/>
      <c r="R601" s="9"/>
      <c r="S601" s="8"/>
      <c r="T601" s="8"/>
      <c r="U601" s="8"/>
      <c r="V601" s="11"/>
      <c r="W601" s="8"/>
      <c r="X601" s="8"/>
      <c r="Y601" s="9"/>
      <c r="Z601" s="8"/>
      <c r="AA601" s="2"/>
      <c r="AB601" s="2"/>
    </row>
    <row r="602" spans="1:28" x14ac:dyDescent="0.15">
      <c r="A602" s="8"/>
      <c r="B602" s="8"/>
      <c r="C602" s="8"/>
      <c r="D602" s="8"/>
      <c r="E602" s="8"/>
      <c r="F602" s="8"/>
      <c r="G602" s="10"/>
      <c r="H602" s="11"/>
      <c r="I602" s="8"/>
      <c r="J602" s="9"/>
      <c r="K602" s="8"/>
      <c r="L602" s="9"/>
      <c r="M602" s="8"/>
      <c r="N602" s="11"/>
      <c r="O602" s="8"/>
      <c r="P602" s="9"/>
      <c r="Q602" s="8"/>
      <c r="R602" s="9"/>
      <c r="S602" s="8"/>
      <c r="T602" s="8"/>
      <c r="U602" s="8"/>
      <c r="V602" s="11"/>
      <c r="W602" s="8"/>
      <c r="X602" s="8"/>
      <c r="Y602" s="9"/>
      <c r="Z602" s="8"/>
      <c r="AA602" s="2"/>
      <c r="AB602" s="2"/>
    </row>
    <row r="603" spans="1:28" x14ac:dyDescent="0.15">
      <c r="A603" s="8"/>
      <c r="B603" s="8"/>
      <c r="C603" s="8"/>
      <c r="D603" s="8"/>
      <c r="E603" s="8"/>
      <c r="F603" s="8"/>
      <c r="G603" s="10"/>
      <c r="H603" s="11"/>
      <c r="I603" s="8"/>
      <c r="J603" s="9"/>
      <c r="K603" s="8"/>
      <c r="L603" s="9"/>
      <c r="M603" s="8"/>
      <c r="N603" s="11"/>
      <c r="O603" s="8"/>
      <c r="P603" s="9"/>
      <c r="Q603" s="8"/>
      <c r="R603" s="9"/>
      <c r="S603" s="8"/>
      <c r="T603" s="8"/>
      <c r="U603" s="8"/>
      <c r="V603" s="11"/>
      <c r="W603" s="8"/>
      <c r="X603" s="8"/>
      <c r="Y603" s="9"/>
      <c r="Z603" s="8"/>
      <c r="AA603" s="2"/>
      <c r="AB603" s="2"/>
    </row>
    <row r="604" spans="1:28" x14ac:dyDescent="0.15">
      <c r="A604" s="8"/>
      <c r="B604" s="8"/>
      <c r="C604" s="8"/>
      <c r="D604" s="8"/>
      <c r="E604" s="8"/>
      <c r="F604" s="8"/>
      <c r="G604" s="10"/>
      <c r="H604" s="11"/>
      <c r="I604" s="8"/>
      <c r="J604" s="9"/>
      <c r="K604" s="8"/>
      <c r="L604" s="9"/>
      <c r="M604" s="8"/>
      <c r="N604" s="11"/>
      <c r="O604" s="8"/>
      <c r="P604" s="9"/>
      <c r="Q604" s="8"/>
      <c r="R604" s="9"/>
      <c r="S604" s="8"/>
      <c r="T604" s="8"/>
      <c r="U604" s="8"/>
      <c r="V604" s="11"/>
      <c r="W604" s="8"/>
      <c r="X604" s="8"/>
      <c r="Y604" s="9"/>
      <c r="Z604" s="8"/>
      <c r="AA604" s="2"/>
      <c r="AB604" s="2"/>
    </row>
    <row r="605" spans="1:28" outlineLevel="1" x14ac:dyDescent="0.15">
      <c r="A605" s="8"/>
      <c r="B605" s="8"/>
      <c r="C605" s="8"/>
      <c r="D605" s="8"/>
      <c r="E605" s="8"/>
      <c r="F605" s="8"/>
      <c r="G605" s="10"/>
      <c r="H605" s="11"/>
      <c r="I605" s="8"/>
      <c r="J605" s="9"/>
      <c r="K605" s="8"/>
      <c r="L605" s="9"/>
      <c r="M605" s="8"/>
      <c r="N605" s="11"/>
      <c r="O605" s="8"/>
      <c r="P605" s="9"/>
      <c r="Q605" s="8"/>
      <c r="R605" s="9"/>
      <c r="S605" s="8"/>
      <c r="T605" s="8"/>
      <c r="U605" s="8"/>
      <c r="V605" s="11"/>
      <c r="W605" s="8"/>
      <c r="X605" s="8"/>
      <c r="Y605" s="9"/>
      <c r="Z605" s="8"/>
      <c r="AA605" s="2"/>
      <c r="AB605" s="2"/>
    </row>
    <row r="606" spans="1:28" outlineLevel="1" x14ac:dyDescent="0.15">
      <c r="A606" s="8"/>
      <c r="B606" s="8"/>
      <c r="C606" s="8"/>
      <c r="D606" s="8"/>
      <c r="E606" s="8"/>
      <c r="F606" s="8"/>
      <c r="G606" s="10"/>
      <c r="H606" s="11"/>
      <c r="I606" s="8"/>
      <c r="J606" s="9"/>
      <c r="K606" s="8"/>
      <c r="L606" s="9"/>
      <c r="M606" s="8"/>
      <c r="N606" s="11"/>
      <c r="O606" s="8"/>
      <c r="P606" s="9"/>
      <c r="Q606" s="8"/>
      <c r="R606" s="9"/>
      <c r="S606" s="8"/>
      <c r="T606" s="8"/>
      <c r="U606" s="8"/>
      <c r="V606" s="11"/>
      <c r="W606" s="8"/>
      <c r="X606" s="8"/>
      <c r="Y606" s="9"/>
      <c r="Z606" s="8"/>
      <c r="AA606" s="2"/>
      <c r="AB606" s="2"/>
    </row>
    <row r="607" spans="1:28" x14ac:dyDescent="0.15">
      <c r="A607" s="8"/>
      <c r="B607" s="8"/>
      <c r="C607" s="8"/>
      <c r="D607" s="8"/>
      <c r="E607" s="8"/>
      <c r="F607" s="8"/>
      <c r="G607" s="10"/>
      <c r="H607" s="11"/>
      <c r="I607" s="8"/>
      <c r="J607" s="9"/>
      <c r="K607" s="8"/>
      <c r="L607" s="9"/>
      <c r="M607" s="8"/>
      <c r="N607" s="11"/>
      <c r="O607" s="8"/>
      <c r="P607" s="9"/>
      <c r="Q607" s="8"/>
      <c r="R607" s="9"/>
      <c r="S607" s="8"/>
      <c r="T607" s="8"/>
      <c r="U607" s="8"/>
      <c r="V607" s="11"/>
      <c r="W607" s="8"/>
      <c r="X607" s="8"/>
      <c r="Y607" s="9"/>
      <c r="Z607" s="8"/>
      <c r="AA607" s="2"/>
      <c r="AB607" s="2"/>
    </row>
    <row r="608" spans="1:28" x14ac:dyDescent="0.15">
      <c r="A608" s="8"/>
      <c r="B608" s="8"/>
      <c r="C608" s="8"/>
      <c r="D608" s="8"/>
      <c r="E608" s="8"/>
      <c r="F608" s="8"/>
      <c r="G608" s="10"/>
      <c r="H608" s="11"/>
      <c r="I608" s="8"/>
      <c r="J608" s="9"/>
      <c r="K608" s="8"/>
      <c r="L608" s="9"/>
      <c r="M608" s="8"/>
      <c r="N608" s="11"/>
      <c r="O608" s="8"/>
      <c r="P608" s="9"/>
      <c r="Q608" s="8"/>
      <c r="R608" s="9"/>
      <c r="S608" s="8"/>
      <c r="T608" s="8"/>
      <c r="U608" s="8"/>
      <c r="V608" s="11"/>
      <c r="W608" s="8"/>
      <c r="X608" s="8"/>
      <c r="Y608" s="9"/>
      <c r="Z608" s="8"/>
      <c r="AA608" s="2"/>
      <c r="AB608" s="2"/>
    </row>
    <row r="609" spans="1:28" x14ac:dyDescent="0.15">
      <c r="A609" s="8"/>
      <c r="B609" s="8"/>
      <c r="C609" s="8"/>
      <c r="D609" s="8"/>
      <c r="E609" s="8"/>
      <c r="F609" s="8"/>
      <c r="G609" s="10"/>
      <c r="H609" s="11"/>
      <c r="I609" s="8"/>
      <c r="J609" s="9"/>
      <c r="K609" s="8"/>
      <c r="L609" s="9"/>
      <c r="M609" s="8"/>
      <c r="N609" s="11"/>
      <c r="O609" s="8"/>
      <c r="P609" s="9"/>
      <c r="Q609" s="8"/>
      <c r="R609" s="9"/>
      <c r="S609" s="8"/>
      <c r="T609" s="8"/>
      <c r="U609" s="8"/>
      <c r="V609" s="11"/>
      <c r="W609" s="8"/>
      <c r="X609" s="8"/>
      <c r="Y609" s="9"/>
      <c r="Z609" s="8"/>
      <c r="AA609" s="2"/>
      <c r="AB609" s="2"/>
    </row>
    <row r="621" spans="1:28" x14ac:dyDescent="0.15">
      <c r="A621" s="41"/>
    </row>
    <row r="631" spans="7:7" x14ac:dyDescent="0.15">
      <c r="G631" s="42"/>
    </row>
  </sheetData>
  <autoFilter ref="A5:AS95" xr:uid="{7E49826C-CD7D-43F8-9312-63354D5DB4D2}"/>
  <mergeCells count="51">
    <mergeCell ref="AP3:AP4"/>
    <mergeCell ref="AQ3:AQ4"/>
    <mergeCell ref="AC1:AQ1"/>
    <mergeCell ref="AC2:AJ2"/>
    <mergeCell ref="AK2:AQ2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M3:M4"/>
    <mergeCell ref="V3:V4"/>
    <mergeCell ref="P3:P4"/>
    <mergeCell ref="Q3:Q4"/>
    <mergeCell ref="R3:R4"/>
    <mergeCell ref="S3:S4"/>
    <mergeCell ref="O3:O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H1:M1"/>
    <mergeCell ref="AA3:AA4"/>
    <mergeCell ref="AB3:AB4"/>
    <mergeCell ref="V2:AB2"/>
    <mergeCell ref="N1:AB1"/>
    <mergeCell ref="N3:N4"/>
    <mergeCell ref="W3:W4"/>
    <mergeCell ref="T3:T4"/>
    <mergeCell ref="U3:U4"/>
    <mergeCell ref="N2:U2"/>
    <mergeCell ref="Z3:Z4"/>
    <mergeCell ref="X3:X4"/>
    <mergeCell ref="Y3:Y4"/>
    <mergeCell ref="H2:M2"/>
    <mergeCell ref="K3:K4"/>
    <mergeCell ref="L3:L4"/>
  </mergeCells>
  <conditionalFormatting sqref="L6:L95">
    <cfRule type="cellIs" dxfId="139" priority="36" operator="lessThan">
      <formula>2</formula>
    </cfRule>
    <cfRule type="cellIs" dxfId="138" priority="35" operator="between">
      <formula>2</formula>
      <formula>5</formula>
    </cfRule>
    <cfRule type="cellIs" dxfId="137" priority="34" operator="greaterThan">
      <formula>5</formula>
    </cfRule>
    <cfRule type="cellIs" dxfId="136" priority="33" operator="equal">
      <formula>"-"</formula>
    </cfRule>
  </conditionalFormatting>
  <conditionalFormatting sqref="L96:L609">
    <cfRule type="cellIs" dxfId="135" priority="76" operator="lessThan">
      <formula>2</formula>
    </cfRule>
    <cfRule type="cellIs" dxfId="134" priority="75" operator="between">
      <formula>2</formula>
      <formula>5</formula>
    </cfRule>
    <cfRule type="cellIs" dxfId="133" priority="74" operator="greaterThan">
      <formula>5</formula>
    </cfRule>
    <cfRule type="cellIs" dxfId="132" priority="73" operator="equal">
      <formula>"-"</formula>
    </cfRule>
  </conditionalFormatting>
  <conditionalFormatting sqref="R6:R609">
    <cfRule type="cellIs" dxfId="131" priority="9" operator="equal">
      <formula>"-"</formula>
    </cfRule>
    <cfRule type="cellIs" dxfId="130" priority="10" operator="greaterThan">
      <formula>5</formula>
    </cfRule>
    <cfRule type="cellIs" dxfId="129" priority="11" operator="between">
      <formula>2</formula>
      <formula>5</formula>
    </cfRule>
    <cfRule type="cellIs" dxfId="128" priority="12" operator="lessThan">
      <formula>2</formula>
    </cfRule>
  </conditionalFormatting>
  <conditionalFormatting sqref="U6:U100">
    <cfRule type="cellIs" dxfId="127" priority="5" operator="equal">
      <formula>"-"</formula>
    </cfRule>
    <cfRule type="cellIs" dxfId="126" priority="6" operator="greaterThan">
      <formula>5</formula>
    </cfRule>
    <cfRule type="cellIs" dxfId="125" priority="7" operator="between">
      <formula>2</formula>
      <formula>5</formula>
    </cfRule>
    <cfRule type="cellIs" dxfId="124" priority="8" operator="lessThan">
      <formula>2</formula>
    </cfRule>
  </conditionalFormatting>
  <conditionalFormatting sqref="Y6:Y609">
    <cfRule type="cellIs" dxfId="123" priority="13" operator="equal">
      <formula>"-"</formula>
    </cfRule>
    <cfRule type="cellIs" dxfId="122" priority="14" operator="greaterThan">
      <formula>5</formula>
    </cfRule>
    <cfRule type="cellIs" dxfId="121" priority="15" operator="between">
      <formula>2</formula>
      <formula>5</formula>
    </cfRule>
    <cfRule type="cellIs" dxfId="120" priority="16" operator="lessThan">
      <formula>2</formula>
    </cfRule>
  </conditionalFormatting>
  <conditionalFormatting sqref="AB6:AB100">
    <cfRule type="cellIs" dxfId="119" priority="1" operator="equal">
      <formula>"-"</formula>
    </cfRule>
    <cfRule type="cellIs" dxfId="118" priority="4" operator="lessThan">
      <formula>2</formula>
    </cfRule>
    <cfRule type="cellIs" dxfId="117" priority="3" operator="between">
      <formula>2</formula>
      <formula>5</formula>
    </cfRule>
    <cfRule type="cellIs" dxfId="116" priority="2" operator="greaterThan">
      <formula>5</formula>
    </cfRule>
  </conditionalFormatting>
  <conditionalFormatting sqref="AG6:AG95">
    <cfRule type="cellIs" dxfId="115" priority="25" operator="equal">
      <formula>"-"</formula>
    </cfRule>
    <cfRule type="cellIs" dxfId="114" priority="26" operator="greaterThan">
      <formula>5</formula>
    </cfRule>
    <cfRule type="cellIs" dxfId="113" priority="27" operator="between">
      <formula>2</formula>
      <formula>5</formula>
    </cfRule>
    <cfRule type="cellIs" dxfId="112" priority="28" operator="lessThan">
      <formula>2</formula>
    </cfRule>
  </conditionalFormatting>
  <conditionalFormatting sqref="AJ6:AJ95">
    <cfRule type="cellIs" dxfId="111" priority="22" operator="greaterThan">
      <formula>5</formula>
    </cfRule>
    <cfRule type="cellIs" dxfId="110" priority="23" operator="between">
      <formula>2</formula>
      <formula>5</formula>
    </cfRule>
    <cfRule type="cellIs" dxfId="109" priority="24" operator="lessThan">
      <formula>2</formula>
    </cfRule>
    <cfRule type="cellIs" dxfId="108" priority="21" operator="equal">
      <formula>"-"</formula>
    </cfRule>
  </conditionalFormatting>
  <conditionalFormatting sqref="AN6:AN95">
    <cfRule type="cellIs" dxfId="107" priority="29" operator="equal">
      <formula>"-"</formula>
    </cfRule>
    <cfRule type="cellIs" dxfId="106" priority="30" operator="greaterThan">
      <formula>5</formula>
    </cfRule>
    <cfRule type="cellIs" dxfId="105" priority="31" operator="between">
      <formula>2</formula>
      <formula>5</formula>
    </cfRule>
    <cfRule type="cellIs" dxfId="104" priority="32" operator="lessThan">
      <formula>2</formula>
    </cfRule>
  </conditionalFormatting>
  <conditionalFormatting sqref="AQ6:AQ95">
    <cfRule type="cellIs" dxfId="103" priority="20" operator="lessThan">
      <formula>2</formula>
    </cfRule>
    <cfRule type="cellIs" dxfId="102" priority="19" operator="between">
      <formula>2</formula>
      <formula>5</formula>
    </cfRule>
    <cfRule type="cellIs" dxfId="101" priority="18" operator="greaterThan">
      <formula>5</formula>
    </cfRule>
    <cfRule type="cellIs" dxfId="100" priority="17" operator="equal">
      <formula>"-"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DDF17-FBFE-40CA-92C2-BBA89360E6D6}">
  <sheetPr>
    <tabColor rgb="FF92D050"/>
  </sheetPr>
  <dimension ref="A1:AO16"/>
  <sheetViews>
    <sheetView zoomScale="65" zoomScaleNormal="55" workbookViewId="0">
      <pane xSplit="6" ySplit="3" topLeftCell="T4" activePane="bottomRight" state="frozen"/>
      <selection activeCell="V294" sqref="V158:V294"/>
      <selection pane="topRight" activeCell="V294" sqref="V158:V294"/>
      <selection pane="bottomLeft" activeCell="V294" sqref="V158:V294"/>
      <selection pane="bottomRight" activeCell="W21" sqref="W21"/>
    </sheetView>
  </sheetViews>
  <sheetFormatPr baseColWidth="10" defaultColWidth="8.83203125" defaultRowHeight="14" outlineLevelRow="1" outlineLevelCol="1" x14ac:dyDescent="0.15"/>
  <cols>
    <col min="1" max="1" width="8.33203125" style="138" hidden="1" customWidth="1" outlineLevel="1"/>
    <col min="2" max="2" width="7.33203125" style="138" hidden="1" customWidth="1" outlineLevel="1"/>
    <col min="3" max="3" width="9.1640625" style="138" hidden="1" customWidth="1" outlineLevel="1"/>
    <col min="4" max="5" width="10.1640625" style="138" hidden="1" customWidth="1" outlineLevel="1"/>
    <col min="6" max="6" width="0" style="138" hidden="1" customWidth="1" outlineLevel="1"/>
    <col min="7" max="7" width="13.1640625" style="138" hidden="1" customWidth="1" outlineLevel="1"/>
    <col min="8" max="8" width="10.33203125" style="138" hidden="1" customWidth="1" outlineLevel="1"/>
    <col min="9" max="9" width="9.5" style="138" hidden="1" customWidth="1" outlineLevel="1"/>
    <col min="10" max="10" width="9" style="138" hidden="1" customWidth="1" outlineLevel="1"/>
    <col min="11" max="11" width="14.83203125" style="138" hidden="1" customWidth="1" outlineLevel="1"/>
    <col min="12" max="12" width="9.83203125" style="138" hidden="1" customWidth="1" outlineLevel="1"/>
    <col min="13" max="13" width="8.83203125" style="138" hidden="1" customWidth="1" outlineLevel="1"/>
    <col min="14" max="14" width="9" style="138" hidden="1" customWidth="1" outlineLevel="1"/>
    <col min="15" max="15" width="14.83203125" style="138" hidden="1" customWidth="1" outlineLevel="1"/>
    <col min="16" max="16" width="10.33203125" style="138" hidden="1" customWidth="1" outlineLevel="1"/>
    <col min="17" max="17" width="8.83203125" style="138" hidden="1" customWidth="1" outlineLevel="1"/>
    <col min="18" max="18" width="9" style="138" hidden="1" customWidth="1" outlineLevel="1"/>
    <col min="19" max="19" width="14.83203125" style="138" hidden="1" customWidth="1" outlineLevel="1"/>
    <col min="20" max="20" width="2.1640625" style="138" customWidth="1" collapsed="1"/>
    <col min="21" max="21" width="8" style="138" bestFit="1" customWidth="1"/>
    <col min="22" max="22" width="7.6640625" style="138" customWidth="1"/>
    <col min="23" max="23" width="7.83203125" style="138" bestFit="1" customWidth="1"/>
    <col min="24" max="25" width="10.1640625" style="138" customWidth="1"/>
    <col min="26" max="26" width="9" style="138" bestFit="1" customWidth="1"/>
    <col min="27" max="27" width="13.1640625" style="138" customWidth="1"/>
    <col min="28" max="28" width="9.5" style="138" customWidth="1"/>
    <col min="29" max="29" width="10.1640625" style="138" bestFit="1" customWidth="1"/>
    <col min="30" max="30" width="9" style="138" bestFit="1" customWidth="1"/>
    <col min="31" max="31" width="14.83203125" style="138" customWidth="1"/>
    <col min="32" max="32" width="9.33203125" style="138" customWidth="1"/>
    <col min="33" max="33" width="8.83203125" style="138" customWidth="1"/>
    <col min="34" max="34" width="9" style="138" bestFit="1" customWidth="1"/>
    <col min="35" max="35" width="14.83203125" style="138" customWidth="1"/>
    <col min="36" max="36" width="10.1640625" style="138" customWidth="1"/>
    <col min="37" max="38" width="9" style="138" bestFit="1" customWidth="1"/>
    <col min="39" max="39" width="14.83203125" style="138" customWidth="1"/>
    <col min="40" max="40" width="2.1640625" style="138" customWidth="1"/>
    <col min="41" max="41" width="3" style="138" customWidth="1"/>
    <col min="42" max="16384" width="8.83203125" style="138"/>
  </cols>
  <sheetData>
    <row r="1" spans="1:41" ht="45" customHeight="1" x14ac:dyDescent="0.15">
      <c r="A1" s="313" t="s">
        <v>619</v>
      </c>
      <c r="B1" s="306" t="s">
        <v>620</v>
      </c>
      <c r="C1" s="306" t="s">
        <v>1745</v>
      </c>
      <c r="D1" s="306" t="s">
        <v>621</v>
      </c>
      <c r="E1" s="306" t="s">
        <v>1746</v>
      </c>
      <c r="F1" s="313" t="s">
        <v>10</v>
      </c>
      <c r="G1" s="307" t="s">
        <v>1042</v>
      </c>
      <c r="H1" s="310" t="s">
        <v>1749</v>
      </c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2"/>
      <c r="T1" s="133"/>
      <c r="U1" s="313" t="s">
        <v>619</v>
      </c>
      <c r="V1" s="306" t="s">
        <v>620</v>
      </c>
      <c r="W1" s="306" t="s">
        <v>1745</v>
      </c>
      <c r="X1" s="306" t="s">
        <v>1747</v>
      </c>
      <c r="Y1" s="306" t="s">
        <v>1748</v>
      </c>
      <c r="Z1" s="313" t="s">
        <v>10</v>
      </c>
      <c r="AA1" s="307" t="s">
        <v>1042</v>
      </c>
      <c r="AB1" s="310" t="s">
        <v>2089</v>
      </c>
      <c r="AC1" s="311"/>
      <c r="AD1" s="311"/>
      <c r="AE1" s="311"/>
      <c r="AF1" s="311"/>
      <c r="AG1" s="311"/>
      <c r="AH1" s="311"/>
      <c r="AI1" s="311"/>
      <c r="AJ1" s="311"/>
      <c r="AK1" s="311"/>
      <c r="AL1" s="311"/>
      <c r="AM1" s="312"/>
      <c r="AN1" s="133"/>
    </row>
    <row r="2" spans="1:41" x14ac:dyDescent="0.15">
      <c r="A2" s="313"/>
      <c r="B2" s="306"/>
      <c r="C2" s="306"/>
      <c r="D2" s="306"/>
      <c r="E2" s="306"/>
      <c r="F2" s="313"/>
      <c r="G2" s="308"/>
      <c r="H2" s="315" t="s">
        <v>622</v>
      </c>
      <c r="I2" s="315"/>
      <c r="J2" s="315"/>
      <c r="K2" s="315"/>
      <c r="L2" s="316" t="s">
        <v>623</v>
      </c>
      <c r="M2" s="316"/>
      <c r="N2" s="316"/>
      <c r="O2" s="316"/>
      <c r="P2" s="314" t="s">
        <v>624</v>
      </c>
      <c r="Q2" s="314"/>
      <c r="R2" s="314"/>
      <c r="S2" s="314"/>
      <c r="T2" s="133"/>
      <c r="U2" s="313"/>
      <c r="V2" s="306"/>
      <c r="W2" s="306"/>
      <c r="X2" s="306"/>
      <c r="Y2" s="306"/>
      <c r="Z2" s="313"/>
      <c r="AA2" s="308"/>
      <c r="AB2" s="315" t="s">
        <v>622</v>
      </c>
      <c r="AC2" s="315"/>
      <c r="AD2" s="315"/>
      <c r="AE2" s="315"/>
      <c r="AF2" s="316" t="s">
        <v>623</v>
      </c>
      <c r="AG2" s="316"/>
      <c r="AH2" s="316"/>
      <c r="AI2" s="316"/>
      <c r="AJ2" s="314" t="s">
        <v>624</v>
      </c>
      <c r="AK2" s="314"/>
      <c r="AL2" s="314"/>
      <c r="AM2" s="314"/>
      <c r="AN2" s="133"/>
    </row>
    <row r="3" spans="1:41" ht="41.5" customHeight="1" x14ac:dyDescent="0.15">
      <c r="A3" s="313"/>
      <c r="B3" s="306"/>
      <c r="C3" s="306"/>
      <c r="D3" s="306"/>
      <c r="E3" s="306"/>
      <c r="F3" s="313"/>
      <c r="G3" s="309"/>
      <c r="H3" s="44" t="s">
        <v>625</v>
      </c>
      <c r="I3" s="44" t="s">
        <v>1745</v>
      </c>
      <c r="J3" s="44" t="s">
        <v>10</v>
      </c>
      <c r="K3" s="44" t="s">
        <v>1042</v>
      </c>
      <c r="L3" s="44" t="s">
        <v>625</v>
      </c>
      <c r="M3" s="44" t="s">
        <v>1745</v>
      </c>
      <c r="N3" s="44" t="s">
        <v>10</v>
      </c>
      <c r="O3" s="44" t="s">
        <v>1042</v>
      </c>
      <c r="P3" s="44" t="s">
        <v>625</v>
      </c>
      <c r="Q3" s="44" t="s">
        <v>1745</v>
      </c>
      <c r="R3" s="44" t="s">
        <v>10</v>
      </c>
      <c r="S3" s="44" t="s">
        <v>1042</v>
      </c>
      <c r="T3" s="134"/>
      <c r="U3" s="313"/>
      <c r="V3" s="306"/>
      <c r="W3" s="306"/>
      <c r="X3" s="306"/>
      <c r="Y3" s="306"/>
      <c r="Z3" s="313"/>
      <c r="AA3" s="309"/>
      <c r="AB3" s="44" t="s">
        <v>625</v>
      </c>
      <c r="AC3" s="44" t="s">
        <v>1745</v>
      </c>
      <c r="AD3" s="44" t="s">
        <v>10</v>
      </c>
      <c r="AE3" s="44" t="s">
        <v>1042</v>
      </c>
      <c r="AF3" s="44" t="s">
        <v>625</v>
      </c>
      <c r="AG3" s="44" t="s">
        <v>1745</v>
      </c>
      <c r="AH3" s="44" t="s">
        <v>10</v>
      </c>
      <c r="AI3" s="44" t="s">
        <v>1042</v>
      </c>
      <c r="AJ3" s="44" t="s">
        <v>625</v>
      </c>
      <c r="AK3" s="44" t="s">
        <v>1745</v>
      </c>
      <c r="AL3" s="44" t="s">
        <v>10</v>
      </c>
      <c r="AM3" s="44" t="s">
        <v>1042</v>
      </c>
      <c r="AN3" s="134"/>
    </row>
    <row r="4" spans="1:41" s="136" customFormat="1" ht="28" customHeight="1" outlineLevel="1" x14ac:dyDescent="0.2">
      <c r="A4" s="199" t="s">
        <v>13</v>
      </c>
      <c r="B4" s="199">
        <f>COUNTIFS('LS (Sensus) '!$A$6:$A$582,'Summary FR Kalbar'!$A4)</f>
        <v>297</v>
      </c>
      <c r="C4" s="200">
        <f>SUMIFS('LS (Sensus) '!$E$6:$E$582,'LS (Sensus) '!$A$6:$A$582,'Summary FR Kalbar'!$A4)</f>
        <v>8664.1000000000022</v>
      </c>
      <c r="D4" s="199">
        <f>COUNTIFS('LS (Sensus) '!$A$6:$A$582,'Summary FR Kalbar'!$A4,'LS (Sensus) '!$H$6:$H$582,"&gt;0")</f>
        <v>297</v>
      </c>
      <c r="E4" s="200">
        <f t="array" ref="E4">SUMIFS('LS (Sensus) '!$E$6:$E$582,'LS (Sensus) '!$A$6:$A$582,'Summary FR Kalbar'!$A4,'LS (Sensus) '!$H$6:$H$582,"&gt;0")</f>
        <v>8664.1000000000022</v>
      </c>
      <c r="F4" s="201">
        <f t="shared" ref="F4:F12" si="0">D4/B4*100</f>
        <v>100</v>
      </c>
      <c r="G4" s="202">
        <f t="array" ref="G4">SUMIFS('LS (Sensus) '!$K$6:$K$582,'LS (Sensus) '!$A$6:$A$582,'Summary FR Kalbar'!$A4)/SUMIFS('LS (Sensus) '!$I$6:$I$582,'LS (Sensus) '!$A$6:$A$582,'Summary FR Kalbar'!$A4)*100</f>
        <v>10.67224583849795</v>
      </c>
      <c r="H4" s="199">
        <f>COUNTIFS('LS (Sensus) '!$A$6:$A$582,'Summary FR Kalbar'!$A4,'LS (Sensus) '!$H$6:$H$582,"&gt;0",'LS (Sensus) '!$L$6:$L$582,"&gt;5")</f>
        <v>234</v>
      </c>
      <c r="I4" s="200">
        <f t="array" ref="I4">SUMIFS('LS (Sensus) '!$E$6:$E$582,'LS (Sensus) '!$A$6:$A$582,'Summary FR Kalbar'!$A4,'LS (Sensus) '!$H$6:$H$582,"&gt;0",'LS (Sensus) '!$L$6:$L$582,"&gt;5")</f>
        <v>6865.1600000000026</v>
      </c>
      <c r="J4" s="202">
        <f t="array" ref="J4">H4/$D4*100</f>
        <v>78.787878787878782</v>
      </c>
      <c r="K4" s="202">
        <f>SUMIFS('LS (Sensus) '!$K$6:$K$582,'LS (Sensus) '!$A$6:$A$582,'Summary FR Kalbar'!$A4,'LS (Sensus) '!$L$6:$L$582,"&gt;5")/SUMIFS('LS (Sensus) '!$I$6:$I$582,'LS (Sensus) '!$A$6:$A$582,'Summary FR Kalbar'!$A4,'LS (Sensus) '!$L$6:$L$582,"&gt;5")*100</f>
        <v>12.562787667346209</v>
      </c>
      <c r="L4" s="199">
        <f>COUNTIFS('LS (Sensus) '!$A$6:$A$582,'Summary FR Kalbar'!$A4,'LS (Sensus) '!$H$6:$H$582,"&gt;0",'LS (Sensus) '!$L$6:$L$582,"&gt;2",'LS (Sensus) '!$L$6:$L$582,"&lt;=5")</f>
        <v>52</v>
      </c>
      <c r="M4" s="200">
        <f t="array" ref="M4">SUMIFS('LS (Sensus) '!$E$6:$E$582,'LS (Sensus) '!$A$6:$A$582,'Summary FR Kalbar'!$A4,'LS (Sensus) '!$H$6:$H$582,"&gt;0",'LS (Sensus) '!$L$6:$L$582,"&gt;2",'LS (Sensus) '!$L$6:$L$582,"&lt;=5")</f>
        <v>1516.4799999999998</v>
      </c>
      <c r="N4" s="202">
        <f t="array" ref="N4">L4/$D4*100</f>
        <v>17.508417508417509</v>
      </c>
      <c r="O4" s="202">
        <f t="array" ref="O4">SUMIFS('LS (Sensus) '!$K$6:$K$582,'LS (Sensus) '!$A$6:$A$582,'Summary FR Kalbar'!$A4,'LS (Sensus) '!$L$6:$L$582,"&gt;2",'LS (Sensus) '!$L$6:$L$582,"&lt;=5")/SUMIFS('LS (Sensus) '!$I$6:$I$582,'LS (Sensus) '!$A$6:$A$582,'Summary FR Kalbar'!$A4,'LS (Sensus) '!$L$6:$L$582,"&gt;2",'LS (Sensus) '!$L$6:$L$582,"&lt;=5")*100</f>
        <v>3.8600322856328932</v>
      </c>
      <c r="P4" s="199">
        <f>COUNTIFS('LS (Sensus) '!$A$6:$A$582,'Summary FR Kalbar'!$A4,'LS (Sensus) '!$H$6:$H$582,"&gt;0",'LS (Sensus) '!$L$6:$L$582,"&gt;0",'LS (Sensus) '!$L$6:$L$582,"&lt;=2")</f>
        <v>11</v>
      </c>
      <c r="Q4" s="200">
        <f t="array" ref="Q4">SUMIFS('LS (Sensus) '!$E$6:$E$582,'LS (Sensus) '!$A$6:$A$582,'Summary FR Kalbar'!$A4,'LS (Sensus) '!$H$6:$H$582,"&gt;0",'LS (Sensus) '!$L$6:$L$582,"&gt;0",'LS (Sensus) '!$L$6:$L$582,"&lt;=2")</f>
        <v>282.46000000000004</v>
      </c>
      <c r="R4" s="202">
        <f t="array" ref="R4">P4/$D4*100</f>
        <v>3.7037037037037033</v>
      </c>
      <c r="S4" s="202">
        <f>SUMIFS('LS (Sensus) '!$K$6:$K$582,'LS (Sensus) '!$A$6:$A$582,'Summary FR Kalbar'!$A4,'LS (Sensus) '!$L$6:$L$582,"&gt;0",'LS (Sensus) '!$L$6:$L$582,"&lt;=2")/SUMIFS('LS (Sensus) '!$I$6:$I$582,'LS (Sensus) '!$A$6:$A$582,'Summary FR Kalbar'!$A4,'LS (Sensus) '!$L$6:$L$582,"&gt;0",'LS (Sensus) '!$L$6:$L$582,"&lt;=2")*100</f>
        <v>1.5307402760351319</v>
      </c>
      <c r="T4" s="137"/>
      <c r="U4" s="199" t="s">
        <v>13</v>
      </c>
      <c r="V4" s="199">
        <f>COUNTIFS('LS (Deteksi)'!$A$6:$A$1000,'Summary FR Kalbar'!$A4)</f>
        <v>297</v>
      </c>
      <c r="W4" s="200">
        <f t="array" ref="W4">SUMIFS('LS (Deteksi)'!$E$6:$E$1000,'LS (Deteksi)'!$A$6:$A$1000,'Summary FR Kalbar'!$A4)</f>
        <v>8664.1000000000022</v>
      </c>
      <c r="X4" s="199">
        <f t="array" ref="X4">COUNTIFS('LS (Deteksi)'!$A$6:$A$1000,'Summary FR Kalbar'!$A4,'LS (Deteksi)'!$H$6:$H$1000,"&gt;0")</f>
        <v>288</v>
      </c>
      <c r="Y4" s="200">
        <f t="array" ref="Y4">SUMIFS('LS (Deteksi)'!$E$6:$E$1000,'LS (Deteksi)'!$A$6:$A$1000,'Summary FR Kalbar'!$A4,'LS (Deteksi)'!$H$6:$H$1000,"&gt;0")</f>
        <v>8384.4000000000051</v>
      </c>
      <c r="Z4" s="201">
        <f t="shared" ref="Z4:Z6" si="1">X4/V4*100</f>
        <v>96.969696969696969</v>
      </c>
      <c r="AA4" s="202">
        <f t="array" ref="AA4">IFERROR(SUMIFS('LS (Deteksi)'!$K$6:$K$1000,'LS (Deteksi)'!$A$6:$A$1000,'Summary FR Kalbar'!$A4,'LS (Deteksi)'!$H$6:$H$1000,"&gt;0")/SUMIFS('LS (Deteksi)'!$I$6:$I$1000,'LS (Deteksi)'!$A$6:$A$1000,'Summary FR Kalbar'!$A4,'LS (Deteksi)'!$H$6:$H$1000,"&gt;0")*100,0)</f>
        <v>5.5194246584769964</v>
      </c>
      <c r="AB4" s="199">
        <f t="array" ref="AB4">COUNTIFS('LS (Deteksi)'!$A$6:$A$1000,'Summary FR Kalbar'!$A4,'LS (Deteksi)'!$H$6:$H$1000,"&gt;0",'LS (Deteksi)'!$L$6:$L$1000,"&gt;5")</f>
        <v>186</v>
      </c>
      <c r="AC4" s="200">
        <f t="array" ref="AC4">SUMIFS('LS (Deteksi)'!$E$6:$E$1000,'LS (Deteksi)'!$A$6:$A$1000,'Summary FR Kalbar'!$A4,'LS (Deteksi)'!$H$6:$H$1000,"&gt;0",'LS (Deteksi)'!$L$6:$L$1000,"&gt;5")</f>
        <v>5464.49</v>
      </c>
      <c r="AD4" s="202">
        <f t="array" ref="AD4">AB4/$X4*100</f>
        <v>64.583333333333343</v>
      </c>
      <c r="AE4" s="202">
        <f t="array" ref="AE4">IFERROR(SUMIFS('LS (Deteksi)'!$K$6:$K$1000,'LS (Deteksi)'!$A$6:$A$1000,'Summary FR Kalbar'!$A4,'LS (Deteksi)'!$H$6:$H$1000,"&gt;0",'LS (Deteksi)'!$L$6:$L$1000,"&gt;5")/SUMIFS('LS (Deteksi)'!$I$6:$I$1000,'LS (Deteksi)'!$A$6:$A$1000,'Summary FR Kalbar'!$A4,'LS (Deteksi)'!$H$6:$H$1000,"&gt;0",'LS (Deteksi)'!$L$6:$L$1000,"&gt;5")*100,0)</f>
        <v>6.9332887103971439</v>
      </c>
      <c r="AF4" s="199">
        <f t="array" ref="AF4">COUNTIFS('LS (Deteksi)'!$A$6:$A$1000,'Summary FR Kalbar'!$A4,'LS (Deteksi)'!$H$6:$H$1000,"&gt;0",'LS (Deteksi)'!$L$6:$L$1000,"&lt;=5",'LS (Deteksi)'!$L$6:$L$1000,"&gt;2")</f>
        <v>80</v>
      </c>
      <c r="AG4" s="200">
        <f t="array" ref="AG4">SUMIFS('LS (Deteksi)'!$E$6:$E$1000,'LS (Deteksi)'!$A$6:$A$1000,'Summary FR Kalbar'!$A4,'LS (Deteksi)'!$H$6:$H$1000,"&gt;0",'LS (Deteksi)'!$L$6:$L$1000,"&lt;=5",'LS (Deteksi)'!$L$6:$L$1000,"&gt;2")</f>
        <v>2313.2400000000011</v>
      </c>
      <c r="AH4" s="202">
        <f t="array" ref="AH4">AF4/$X4*100</f>
        <v>27.777777777777779</v>
      </c>
      <c r="AI4" s="202">
        <f t="array" ref="AI4">IFERROR(SUMIFS('LS (Deteksi)'!$K$6:$K$1000,'LS (Deteksi)'!$A$6:$A$1000,'Summary FR Kalbar'!$A4,'LS (Deteksi)'!$H$6:$H$1000,"&gt;0",'LS (Deteksi)'!$L$6:$L$1000,"&lt;=5",'LS (Deteksi)'!$L$6:$L$1000,"&gt;2")/SUMIFS('LS (Deteksi)'!$I$6:$I$1000,'LS (Deteksi)'!$A$6:$A$1000,'Summary FR Kalbar'!$A4,'LS (Deteksi)'!$H$6:$H$1000,"&gt;0",'LS (Deteksi)'!$L$6:$L$1000,"&lt;=5",'LS (Deteksi)'!$L$6:$L$1000,"&gt;2")*100,0)</f>
        <v>3.7403613764529866</v>
      </c>
      <c r="AJ4" s="199">
        <f>COUNTIFS('LS (Deteksi)'!$A$6:$A$1000,'Summary FR Kalbar'!$A4,'LS (Deteksi)'!$H$6:$H$1000,"&gt;0",'LS (Deteksi)'!$L$6:$L$1000,"&lt;=2",'LS (Deteksi)'!$L$6:$L$1000,"&gt;=0")</f>
        <v>22</v>
      </c>
      <c r="AK4" s="200">
        <f>SUMIFS('LS (Deteksi)'!$E$6:$E$1000,'LS (Deteksi)'!$A$6:$A$1000,'Summary FR Kalbar'!$A4,'LS (Deteksi)'!$H$6:$H$1000,"&gt;0",'LS (Deteksi)'!$L$6:$L$1000,"&lt;=2",'LS (Deteksi)'!$L$6:$L$1000,"&gt;=0")</f>
        <v>606.66999999999996</v>
      </c>
      <c r="AL4" s="202">
        <f t="array" ref="AL4">AJ4/$X4*100</f>
        <v>7.6388888888888893</v>
      </c>
      <c r="AM4" s="202">
        <f>IFERROR(SUMIFS('LS (Deteksi)'!$K$6:$K$1000,'LS (Deteksi)'!$A$6:$A$1000,'Summary FR Kalbar'!$A4,'LS (Deteksi)'!$H$6:$H$1000,"&gt;0",'LS (Deteksi)'!$L$6:$L$1000,"&lt;=2",'LS (Deteksi)'!$L$6:$L$1000,"&gt;=0")/SUMIFS('LS (Deteksi)'!$I$6:$I$1000,'LS (Deteksi)'!$A$6:$A$1000,'Summary FR Kalbar'!$A4,'LS (Deteksi)'!$H$6:$H$1000,"&gt;0",'LS (Deteksi)'!$L$6:$L$1000,"&lt;=2",'LS (Deteksi)'!$L$6:$L$1000,"&gt;=0")*100,0)</f>
        <v>1.4729950900163666</v>
      </c>
      <c r="AN4" s="137"/>
    </row>
    <row r="5" spans="1:41" s="136" customFormat="1" ht="28" customHeight="1" outlineLevel="1" x14ac:dyDescent="0.2">
      <c r="A5" s="199" t="s">
        <v>322</v>
      </c>
      <c r="B5" s="199">
        <f>COUNTIFS('LS (Sensus) '!$A$6:$A$582,'Summary FR Kalbar'!$A5)</f>
        <v>280</v>
      </c>
      <c r="C5" s="200">
        <f>SUMIFS('LS (Sensus) '!$E$6:$E$582,'LS (Sensus) '!$A$6:$A$582,'Summary FR Kalbar'!$A5)</f>
        <v>8077.829999999999</v>
      </c>
      <c r="D5" s="199">
        <f>COUNTIFS('LS (Sensus) '!$A$6:$A$582,'Summary FR Kalbar'!$A5,'LS (Sensus) '!$H$6:$H$582,"&gt;0")</f>
        <v>280</v>
      </c>
      <c r="E5" s="200">
        <f t="array" ref="E5">SUMIFS('LS (Sensus) '!$E$6:$E$582,'LS (Sensus) '!$A$6:$A$582,'Summary FR Kalbar'!$A5,'LS (Sensus) '!$H$6:$H$582,"&gt;0")</f>
        <v>8077.829999999999</v>
      </c>
      <c r="F5" s="201">
        <f t="shared" si="0"/>
        <v>100</v>
      </c>
      <c r="G5" s="202">
        <f t="array" ref="G5">SUMIFS('LS (Sensus) '!$K$6:$K$582,'LS (Sensus) '!$A$6:$A$582,'Summary FR Kalbar'!$A5)/SUMIFS('LS (Sensus) '!$I$6:$I$582,'LS (Sensus) '!$A$6:$A$582,'Summary FR Kalbar'!$A5)*100</f>
        <v>13.4801434886586</v>
      </c>
      <c r="H5" s="199">
        <f>COUNTIFS('LS (Sensus) '!$A$6:$A$582,'Summary FR Kalbar'!$A5,'LS (Sensus) '!$H$6:$H$582,"&gt;0",'LS (Sensus) '!$L$6:$L$582,"&gt;5")</f>
        <v>247</v>
      </c>
      <c r="I5" s="200">
        <f t="array" ref="I5">SUMIFS('LS (Sensus) '!$E$6:$E$582,'LS (Sensus) '!$A$6:$A$582,'Summary FR Kalbar'!$A5,'LS (Sensus) '!$H$6:$H$582,"&gt;0",'LS (Sensus) '!$L$6:$L$582,"&gt;5")</f>
        <v>7190.2199999999975</v>
      </c>
      <c r="J5" s="202">
        <f t="array" ref="J5">H5/$D5*100</f>
        <v>88.214285714285708</v>
      </c>
      <c r="K5" s="202">
        <f>SUMIFS('LS (Sensus) '!$K$6:$K$582,'LS (Sensus) '!$A$6:$A$582,'Summary FR Kalbar'!$A5,'LS (Sensus) '!$L$6:$L$582,"&gt;5")/SUMIFS('LS (Sensus) '!$I$6:$I$582,'LS (Sensus) '!$A$6:$A$582,'Summary FR Kalbar'!$A5,'LS (Sensus) '!$L$6:$L$582,"&gt;5")*100</f>
        <v>14.77551521099117</v>
      </c>
      <c r="L5" s="199">
        <f>COUNTIFS('LS (Sensus) '!$A$6:$A$582,'Summary FR Kalbar'!$A5,'LS (Sensus) '!$H$6:$H$582,"&gt;0",'LS (Sensus) '!$L$6:$L$582,"&gt;2",'LS (Sensus) '!$L$6:$L$582,"&lt;=5")</f>
        <v>30</v>
      </c>
      <c r="M5" s="200">
        <f t="array" ref="M5">SUMIFS('LS (Sensus) '!$E$6:$E$582,'LS (Sensus) '!$A$6:$A$582,'Summary FR Kalbar'!$A5,'LS (Sensus) '!$H$6:$H$582,"&gt;0",'LS (Sensus) '!$L$6:$L$582,"&gt;2",'LS (Sensus) '!$L$6:$L$582,"&lt;=5")</f>
        <v>809.07</v>
      </c>
      <c r="N5" s="202">
        <f t="array" ref="N5">L5/$D5*100</f>
        <v>10.714285714285714</v>
      </c>
      <c r="O5" s="202">
        <f t="array" ref="O5">SUMIFS('LS (Sensus) '!$K$6:$K$582,'LS (Sensus) '!$A$6:$A$582,'Summary FR Kalbar'!$A5,'LS (Sensus) '!$L$6:$L$582,"&gt;2",'LS (Sensus) '!$L$6:$L$582,"&lt;=5")/SUMIFS('LS (Sensus) '!$I$6:$I$582,'LS (Sensus) '!$A$6:$A$582,'Summary FR Kalbar'!$A5,'LS (Sensus) '!$L$6:$L$582,"&gt;2",'LS (Sensus) '!$L$6:$L$582,"&lt;=5")*100</f>
        <v>3.5942842114491098</v>
      </c>
      <c r="P5" s="199">
        <f>COUNTIFS('LS (Sensus) '!$A$6:$A$582,'Summary FR Kalbar'!$A5,'LS (Sensus) '!$H$6:$H$582,"&gt;0",'LS (Sensus) '!$L$6:$L$582,"&gt;0",'LS (Sensus) '!$L$6:$L$582,"&lt;=2")</f>
        <v>3</v>
      </c>
      <c r="Q5" s="200">
        <f t="array" ref="Q5">SUMIFS('LS (Sensus) '!$E$6:$E$582,'LS (Sensus) '!$A$6:$A$582,'Summary FR Kalbar'!$A5,'LS (Sensus) '!$H$6:$H$582,"&gt;0",'LS (Sensus) '!$L$6:$L$582,"&gt;0",'LS (Sensus) '!$L$6:$L$582,"&lt;=2")</f>
        <v>78.540000000000006</v>
      </c>
      <c r="R5" s="202">
        <f t="array" ref="R5">P5/$D5*100</f>
        <v>1.0714285714285714</v>
      </c>
      <c r="S5" s="202">
        <f>SUMIFS('LS (Sensus) '!$K$6:$K$582,'LS (Sensus) '!$A$6:$A$582,'Summary FR Kalbar'!$A5,'LS (Sensus) '!$L$6:$L$582,"&gt;0",'LS (Sensus) '!$L$6:$L$582,"&lt;=2")/SUMIFS('LS (Sensus) '!$I$6:$I$582,'LS (Sensus) '!$A$6:$A$582,'Summary FR Kalbar'!$A5,'LS (Sensus) '!$L$6:$L$582,"&gt;0",'LS (Sensus) '!$L$6:$L$582,"&lt;=2")*100</f>
        <v>1.4642549526270456</v>
      </c>
      <c r="T5" s="137"/>
      <c r="U5" s="199" t="s">
        <v>322</v>
      </c>
      <c r="V5" s="199">
        <f>COUNTIFS('LS (Deteksi)'!$A$6:$A$1000,'Summary FR Kalbar'!$A5)</f>
        <v>280</v>
      </c>
      <c r="W5" s="200">
        <f t="array" ref="W5">SUMIFS('LS (Deteksi)'!$E$6:$E$1000,'LS (Deteksi)'!$A$6:$A$1000,'Summary FR Kalbar'!$A5)</f>
        <v>8077.829999999999</v>
      </c>
      <c r="X5" s="199">
        <f t="array" ref="X5">COUNTIFS('LS (Deteksi)'!$A$6:$A$1000,'Summary FR Kalbar'!$A5,'LS (Deteksi)'!$H$6:$H$1000,"&gt;0")</f>
        <v>280</v>
      </c>
      <c r="Y5" s="200">
        <f t="array" ref="Y5">SUMIFS('LS (Deteksi)'!$E$6:$E$1000,'LS (Deteksi)'!$A$6:$A$1000,'Summary FR Kalbar'!$A5,'LS (Deteksi)'!$H$6:$H$1000,"&gt;0")</f>
        <v>8077.829999999999</v>
      </c>
      <c r="Z5" s="201">
        <f t="shared" ref="Z5" si="2">X5/V5*100</f>
        <v>100</v>
      </c>
      <c r="AA5" s="202">
        <f t="array" ref="AA5">IFERROR(SUMIFS('LS (Deteksi)'!$K$6:$K$1000,'LS (Deteksi)'!$A$6:$A$1000,'Summary FR Kalbar'!$A5,'LS (Deteksi)'!$H$6:$H$1000,"&gt;0")/SUMIFS('LS (Deteksi)'!$I$6:$I$1000,'LS (Deteksi)'!$A$6:$A$1000,'Summary FR Kalbar'!$A5,'LS (Deteksi)'!$H$6:$H$1000,"&gt;0")*100,0)</f>
        <v>3.8352980247938464</v>
      </c>
      <c r="AB5" s="199">
        <f t="array" ref="AB5">COUNTIFS('LS (Deteksi)'!$A$6:$A$1000,'Summary FR Kalbar'!$A5,'LS (Deteksi)'!$H$6:$H$1000,"&gt;0",'LS (Deteksi)'!$L$6:$L$1000,"&gt;5")</f>
        <v>68</v>
      </c>
      <c r="AC5" s="200">
        <f t="array" ref="AC5">SUMIFS('LS (Deteksi)'!$E$6:$E$1000,'LS (Deteksi)'!$A$6:$A$1000,'Summary FR Kalbar'!$A5,'LS (Deteksi)'!$H$6:$H$1000,"&gt;0",'LS (Deteksi)'!$L$6:$L$1000,"&gt;5")</f>
        <v>1895.43</v>
      </c>
      <c r="AD5" s="202">
        <f t="array" ref="AD5">AB5/$X5*100</f>
        <v>24.285714285714285</v>
      </c>
      <c r="AE5" s="202">
        <f t="array" ref="AE5">IFERROR(SUMIFS('LS (Deteksi)'!$K$6:$K$1000,'LS (Deteksi)'!$A$6:$A$1000,'Summary FR Kalbar'!$A5,'LS (Deteksi)'!$H$6:$H$1000,"&gt;0",'LS (Deteksi)'!$L$6:$L$1000,"&gt;5")/SUMIFS('LS (Deteksi)'!$I$6:$I$1000,'LS (Deteksi)'!$A$6:$A$1000,'Summary FR Kalbar'!$A5,'LS (Deteksi)'!$H$6:$H$1000,"&gt;0",'LS (Deteksi)'!$L$6:$L$1000,"&gt;5")*100,0)</f>
        <v>7.4553001277139206</v>
      </c>
      <c r="AF5" s="199">
        <f t="array" ref="AF5">COUNTIFS('LS (Deteksi)'!$A$6:$A$1000,'Summary FR Kalbar'!$A5,'LS (Deteksi)'!$H$6:$H$1000,"&gt;0",'LS (Deteksi)'!$L$6:$L$1000,"&lt;=5",'LS (Deteksi)'!$L$6:$L$1000,"&gt;2")</f>
        <v>182</v>
      </c>
      <c r="AG5" s="200">
        <f t="array" ref="AG5">SUMIFS('LS (Deteksi)'!$E$6:$E$1000,'LS (Deteksi)'!$A$6:$A$1000,'Summary FR Kalbar'!$A5,'LS (Deteksi)'!$H$6:$H$1000,"&gt;0",'LS (Deteksi)'!$L$6:$L$1000,"&lt;=5",'LS (Deteksi)'!$L$6:$L$1000,"&gt;2")</f>
        <v>5302.4499999999989</v>
      </c>
      <c r="AH5" s="202">
        <f t="array" ref="AH5">AF5/$X5*100</f>
        <v>65</v>
      </c>
      <c r="AI5" s="202">
        <f t="array" ref="AI5">IFERROR(SUMIFS('LS (Deteksi)'!$K$6:$K$1000,'LS (Deteksi)'!$A$6:$A$1000,'Summary FR Kalbar'!$A5,'LS (Deteksi)'!$H$6:$H$1000,"&gt;0",'LS (Deteksi)'!$L$6:$L$1000,"&lt;=5",'LS (Deteksi)'!$L$6:$L$1000,"&gt;2")/SUMIFS('LS (Deteksi)'!$I$6:$I$1000,'LS (Deteksi)'!$A$6:$A$1000,'Summary FR Kalbar'!$A5,'LS (Deteksi)'!$H$6:$H$1000,"&gt;0",'LS (Deteksi)'!$L$6:$L$1000,"&lt;=5",'LS (Deteksi)'!$L$6:$L$1000,"&gt;2")*100,0)</f>
        <v>3.6880789805593004</v>
      </c>
      <c r="AJ5" s="199">
        <f>COUNTIFS('LS (Deteksi)'!$A$6:$A$1000,'Summary FR Kalbar'!$A5,'LS (Deteksi)'!$H$6:$H$1000,"&gt;0",'LS (Deteksi)'!$L$6:$L$1000,"&lt;=2",'LS (Deteksi)'!$L$6:$L$1000,"&gt;=0")</f>
        <v>30</v>
      </c>
      <c r="AK5" s="200">
        <f>SUMIFS('LS (Deteksi)'!$E$6:$E$1000,'LS (Deteksi)'!$A$6:$A$1000,'Summary FR Kalbar'!$A5,'LS (Deteksi)'!$H$6:$H$1000,"&gt;0",'LS (Deteksi)'!$L$6:$L$1000,"&lt;=2",'LS (Deteksi)'!$L$6:$L$1000,"&gt;=0")</f>
        <v>879.95000000000016</v>
      </c>
      <c r="AL5" s="202">
        <f t="array" ref="AL5">AJ5/$X5*100</f>
        <v>10.714285714285714</v>
      </c>
      <c r="AM5" s="202">
        <f>IFERROR(SUMIFS('LS (Deteksi)'!$K$6:$K$1000,'LS (Deteksi)'!$A$6:$A$1000,'Summary FR Kalbar'!$A5,'LS (Deteksi)'!$H$6:$H$1000,"&gt;0",'LS (Deteksi)'!$L$6:$L$1000,"&lt;=2",'LS (Deteksi)'!$L$6:$L$1000,"&gt;=0")/SUMIFS('LS (Deteksi)'!$I$6:$I$1000,'LS (Deteksi)'!$A$6:$A$1000,'Summary FR Kalbar'!$A5,'LS (Deteksi)'!$H$6:$H$1000,"&gt;0",'LS (Deteksi)'!$L$6:$L$1000,"&lt;=2",'LS (Deteksi)'!$L$6:$L$1000,"&gt;=0")*100,0)</f>
        <v>1.0318267722714722</v>
      </c>
      <c r="AN5" s="137"/>
    </row>
    <row r="6" spans="1:41" s="136" customFormat="1" ht="28" customHeight="1" outlineLevel="1" x14ac:dyDescent="0.2">
      <c r="A6" s="45" t="s">
        <v>618</v>
      </c>
      <c r="B6" s="45">
        <f>SUM(B4:B5)</f>
        <v>577</v>
      </c>
      <c r="C6" s="139">
        <f>SUM(C4:C5)</f>
        <v>16741.93</v>
      </c>
      <c r="D6" s="45">
        <f>SUM(D4:D5)</f>
        <v>577</v>
      </c>
      <c r="E6" s="139">
        <f>SUM(E4:E5)</f>
        <v>16741.93</v>
      </c>
      <c r="F6" s="47">
        <f t="shared" si="0"/>
        <v>100</v>
      </c>
      <c r="G6" s="46">
        <f t="array" ref="G6">SUMIFS('LS (Sensus) '!$K$6:$K$582,'LS (Sensus) '!$L$6:$L$582,"&gt;0")/SUMIFS('LS (Sensus) '!$I$6:$I$582,'LS (Sensus) '!$L$6:$L$582,"&gt;0")*100</f>
        <v>12.016426641688458</v>
      </c>
      <c r="H6" s="45">
        <f>SUM(H4:H5)</f>
        <v>481</v>
      </c>
      <c r="I6" s="139">
        <f>SUM(I4:I5)</f>
        <v>14055.380000000001</v>
      </c>
      <c r="J6" s="46">
        <f t="array" ref="J6">H6/$D6*100</f>
        <v>83.36221837088388</v>
      </c>
      <c r="K6" s="46">
        <f t="array" ref="K6">SUMIFS('LS (Sensus) '!$K$6:$K$582,'LS (Sensus) '!$L$6:$L$582,"&gt;5")/SUMIFS('LS (Sensus) '!$I$6:$I$582,'LS (Sensus) '!$L$6:$L$582,"&gt;5")*100</f>
        <v>13.68441234079156</v>
      </c>
      <c r="L6" s="45">
        <f>SUM(L4:L5)</f>
        <v>82</v>
      </c>
      <c r="M6" s="139">
        <f>SUM(M4:M5)</f>
        <v>2325.5499999999997</v>
      </c>
      <c r="N6" s="46">
        <f t="array" ref="N6">L6/$D6*100</f>
        <v>14.211438474870016</v>
      </c>
      <c r="O6" s="46">
        <f t="array" ref="O6">SUMIFS('LS (Sensus) '!$K$6:$K$582,'LS (Sensus) '!$L$6:$L$582,"&gt;2",'LS (Sensus) '!$L$6:$L$582,"&lt;=5")/SUMIFS('LS (Sensus) '!$I$6:$I$582,'LS (Sensus) '!$L$6:$L$582,"&gt;2",'LS (Sensus) '!$L$6:$L$582,"&lt;=5")*100</f>
        <v>3.766669746527457</v>
      </c>
      <c r="P6" s="45">
        <f>SUM(P4:P5)</f>
        <v>14</v>
      </c>
      <c r="Q6" s="139">
        <f>SUM(Q4:Q5)</f>
        <v>361.00000000000006</v>
      </c>
      <c r="R6" s="46">
        <f t="array" ref="R6">P6/$D6*100</f>
        <v>2.4263431542461005</v>
      </c>
      <c r="S6" s="46">
        <f t="array" ref="S6">SUMIFS('LS (Sensus) '!$K$6:$K$582,'LS (Sensus) '!$L$6:$L$582,"&gt;0",'LS (Sensus) '!$L$6:$L$582,"&lt;=2")/SUMIFS('LS (Sensus) '!$I$6:$I$582,'LS (Sensus) '!$L$6:$L$582,"&gt;0",'LS (Sensus) '!$L$6:$L$582,"&lt;=2")*100</f>
        <v>1.5157403808783521</v>
      </c>
      <c r="T6" s="135"/>
      <c r="U6" s="45" t="s">
        <v>618</v>
      </c>
      <c r="V6" s="45">
        <f>SUM(V4:V5)</f>
        <v>577</v>
      </c>
      <c r="W6" s="139">
        <f>SUM(W4:W5)</f>
        <v>16741.93</v>
      </c>
      <c r="X6" s="45">
        <f>SUM(X4:X5)</f>
        <v>568</v>
      </c>
      <c r="Y6" s="139">
        <f>SUM(Y4:Y5)</f>
        <v>16462.230000000003</v>
      </c>
      <c r="Z6" s="47">
        <f t="shared" si="1"/>
        <v>98.440207972270372</v>
      </c>
      <c r="AA6" s="46">
        <f t="array" ref="AA6">SUM('LS (Deteksi)'!K6:K582)/SUM('LS (Deteksi)'!I6:I582)*100</f>
        <v>4.585959907667295</v>
      </c>
      <c r="AB6" s="45">
        <f>SUM(AB4:AB5)</f>
        <v>254</v>
      </c>
      <c r="AC6" s="139">
        <f>SUM(AC4:AC5)</f>
        <v>7359.92</v>
      </c>
      <c r="AD6" s="46">
        <f>AB6/$X6*100</f>
        <v>44.718309859154928</v>
      </c>
      <c r="AE6" s="46">
        <f t="array" ref="AE6">IFERROR(SUMIFS('LS (Deteksi)'!$K$6:$K$1000,'LS (Deteksi)'!$H$6:$H$1000,"&gt;0",'LS (Deteksi)'!$L$6:$L$1000,"&gt;5")/SUMIFS('LS (Deteksi)'!$I$6:$I$1000,'LS (Deteksi)'!$H$6:$H$1000,"&gt;0",'LS (Deteksi)'!$L$6:$L$1000,"&gt;5")*100,0)</f>
        <v>7.0684523809523805</v>
      </c>
      <c r="AF6" s="45">
        <f>SUM(AF4:AF5)</f>
        <v>262</v>
      </c>
      <c r="AG6" s="139">
        <f>SUM(AG4:AG5)</f>
        <v>7615.6900000000005</v>
      </c>
      <c r="AH6" s="46">
        <f>AF6/$X6*100</f>
        <v>46.12676056338028</v>
      </c>
      <c r="AI6" s="46">
        <f t="array" ref="AI6">IFERROR(SUMIFS('LS (Deteksi)'!$K$6:$K$1000,'LS (Deteksi)'!$H$6:$H$1000,"&gt;0",'LS (Deteksi)'!$L$6:$L$1000,"&lt;=5",'LS (Deteksi)'!$L$6:$L$1000,"&gt;2")/SUMIFS('LS (Deteksi)'!$I$6:$I$1000,'LS (Deteksi)'!$H$6:$H$1000,"&gt;0",'LS (Deteksi)'!$L$6:$L$1000,"&lt;=5",'LS (Deteksi)'!$L$6:$L$1000,"&gt;2")*100,0)</f>
        <v>3.7024177766555146</v>
      </c>
      <c r="AJ6" s="45">
        <f>SUM(AJ4:AJ5)</f>
        <v>52</v>
      </c>
      <c r="AK6" s="139">
        <f>SUM(AK4:AK5)</f>
        <v>1486.6200000000001</v>
      </c>
      <c r="AL6" s="46">
        <f>AJ6/$X6*100</f>
        <v>9.1549295774647899</v>
      </c>
      <c r="AM6" s="46">
        <f t="array" ref="AM6">IFERROR(SUMIFS('LS (Deteksi)'!$K$6:$K$1000,'LS (Deteksi)'!$H$6:$H$1000,"&gt;0",'LS (Deteksi)'!$L$6:$L$1000,"&lt;=2",'LS (Deteksi)'!$L$6:$L$1000,"&gt;=0")/SUMIFS('LS (Deteksi)'!$I$6:$I$1000,'LS (Deteksi)'!$H$6:$H$1000,"&gt;0",'LS (Deteksi)'!$L$6:$L$1000,"&lt;=2",'LS (Deteksi)'!$L$6:$L$1000,"&gt;=0")*100,0)</f>
        <v>1.1474530852546916</v>
      </c>
      <c r="AN6" s="135"/>
    </row>
    <row r="7" spans="1:41" s="136" customFormat="1" ht="28" customHeight="1" outlineLevel="1" x14ac:dyDescent="0.2">
      <c r="A7" s="199" t="s">
        <v>628</v>
      </c>
      <c r="B7" s="199">
        <f>COUNTIFS('KALE (Sensus)'!$A$6:$A$578,'Summary FR Kalbar'!$A7)</f>
        <v>430</v>
      </c>
      <c r="C7" s="200">
        <f>SUMIFS('KALE (Sensus)'!$E$6:$E$578,'KALE (Sensus)'!$A$6:$A$578,'Summary FR Kalbar'!$A7)</f>
        <v>10658.000000000009</v>
      </c>
      <c r="D7" s="199">
        <f t="array" ref="D7">COUNTIFS('KALE (Sensus)'!$A$6:$A$578,'Summary FR Kalbar'!$A7,'KALE (Sensus)'!$H$6:$H$578,"&gt;0")</f>
        <v>430</v>
      </c>
      <c r="E7" s="200">
        <f t="array" ref="E7">SUMIFS('KALE (Sensus)'!$E$6:$E$578,'KALE (Sensus)'!$A$6:$A$578,'Summary FR Kalbar'!$A7,'KALE (Sensus)'!$H$6:$H$578,"&gt;0")</f>
        <v>10658.000000000009</v>
      </c>
      <c r="F7" s="201">
        <f t="shared" si="0"/>
        <v>100</v>
      </c>
      <c r="G7" s="202">
        <f t="array" ref="G7">SUMIFS('KALE (Sensus)'!$K$6:$K$578,'KALE (Sensus)'!$A$6:$A$578,'Summary FR Kalbar'!$A7)/SUMIFS('KALE (Sensus)'!$I$6:$I$578,'KALE (Sensus)'!$A$6:$A$578,'Summary FR Kalbar'!$A7)*100</f>
        <v>27.055960354981728</v>
      </c>
      <c r="H7" s="199">
        <f t="array" ref="H7">COUNTIFS('KALE (Sensus)'!$A$6:$A$578,'Summary FR Kalbar'!$A7,'KALE (Sensus)'!$H$6:$H$578,"&gt;0",'KALE (Sensus)'!$L$6:$L$578,"&gt;5")</f>
        <v>420</v>
      </c>
      <c r="I7" s="200">
        <f>SUMIFS('KALE (Sensus)'!$E$6:$E$578,'KALE (Sensus)'!$A$6:$A$578,'Summary FR Kalbar'!$A7,'KALE (Sensus)'!$H$6:$H$578,"&gt;0",'KALE (Sensus)'!$L$6:$L$578,"&gt;5")</f>
        <v>10565.760000000009</v>
      </c>
      <c r="J7" s="202">
        <f t="array" ref="J7">H7/$D7*100</f>
        <v>97.674418604651152</v>
      </c>
      <c r="K7" s="202">
        <f t="array" ref="K7">SUMIFS('KALE (Sensus)'!$K$6:$K$578,'KALE (Sensus)'!$A$6:$A$578,'Summary FR Kalbar'!$A7,'KALE (Sensus)'!$L$6:$L$578,"&gt;5")/SUMIFS('KALE (Sensus)'!$I$6:$I$578,'KALE (Sensus)'!$A$6:$A$578,'Summary FR Kalbar'!$A7,'KALE (Sensus)'!$L$6:$L$578,"&gt;5")*100</f>
        <v>27.283928624447018</v>
      </c>
      <c r="L7" s="199">
        <f t="array" ref="L7">COUNTIFS('KALE (Sensus)'!$A$6:$A$578,'Summary FR Kalbar'!$A7,'KALE (Sensus)'!$H$6:$H$578,"&gt;0",'KALE (Sensus)'!$L$6:$L$578,"&lt;=5",'KALE (Sensus)'!$L$6:$L$578,"&gt;2")</f>
        <v>9</v>
      </c>
      <c r="M7" s="200">
        <f t="array" ref="M7">SUMIFS('KALE (Sensus)'!$E$6:$E$578,'KALE (Sensus)'!$A$6:$A$578,'Summary FR Kalbar'!$A7,'KALE (Sensus)'!$H$6:$H$578,"&gt;0",'KALE (Sensus)'!$L$6:$L$578,"&lt;=5",'KALE (Sensus)'!$L$6:$L$578,"&gt;2")</f>
        <v>86.45</v>
      </c>
      <c r="N7" s="202">
        <f t="array" ref="N7">L7/$D7*100</f>
        <v>2.0930232558139537</v>
      </c>
      <c r="O7" s="202">
        <f t="array" ref="O7">SUMIFS('KALE (Sensus)'!$K$6:$K$578,'KALE (Sensus)'!$A$6:$A$578,'Summary FR Kalbar'!$A7,'KALE (Sensus)'!$L$6:$L$578,"&lt;=5",'KALE (Sensus)'!$L$6:$L$578,"&gt;2")/SUMIFS('KALE (Sensus)'!$I$6:$I$578,'KALE (Sensus)'!$A$6:$A$578,'Summary FR Kalbar'!$A7,'KALE (Sensus)'!$L$6:$L$578,"&lt;=5",'KALE (Sensus)'!$L$6:$L$578,"&gt;2")*100</f>
        <v>3.3361134278565472</v>
      </c>
      <c r="P7" s="199">
        <f>COUNTIFS('KALE (Sensus)'!$A$6:$A$578,'Summary FR Kalbar'!$A7,'KALE (Sensus)'!$H$6:$H$578,"&gt;0",'KALE (Sensus)'!$L$6:$L$578,"&lt;=2",'KALE (Sensus)'!$L$6:$L$578,"&gt;=0")</f>
        <v>1</v>
      </c>
      <c r="Q7" s="200">
        <f>SUMIFS('KALE (Sensus)'!$E$6:$E$578,'KALE (Sensus)'!$A$6:$A$578,'Summary FR Kalbar'!$A7,'KALE (Sensus)'!$H$6:$H$578,"&gt;0",'KALE (Sensus)'!$L$6:$L$578,"&lt;=2",'KALE (Sensus)'!$L$6:$L$578,"&gt;=0")</f>
        <v>5.79</v>
      </c>
      <c r="R7" s="202">
        <f t="array" ref="R7">P7/$D7*100</f>
        <v>0.23255813953488372</v>
      </c>
      <c r="S7" s="202">
        <f>SUMIFS('KALE (Sensus)'!$K$6:$K$578,'KALE (Sensus)'!$A$6:$A$578,'Summary FR Kalbar'!$A7,'KALE (Sensus)'!$L$6:$L$578,"&lt;=2",'KALE (Sensus)'!$L$6:$L$578,"&gt;=0")/SUMIFS('KALE (Sensus)'!$I$6:$I$578,'KALE (Sensus)'!$A$6:$A$578,'Summary FR Kalbar'!$A7,'KALE (Sensus)'!$L$6:$L$578,"&lt;=2",'KALE (Sensus)'!$L$6:$L$578,"&gt;=0")*100</f>
        <v>0</v>
      </c>
      <c r="T7" s="137"/>
      <c r="U7" s="199" t="str">
        <f>A7</f>
        <v>KALE</v>
      </c>
      <c r="V7" s="199">
        <f t="array" ref="V7">COUNTIFS('KALE (Deteksi)'!$A$6:$A$1000,'Summary FR Kalbar'!$A7)</f>
        <v>430</v>
      </c>
      <c r="W7" s="200">
        <f t="array" ref="W7">SUMIFS('KALE (Deteksi)'!$E$6:$E$1000,'KALE (Deteksi)'!$A$6:$A$1000,'Summary FR Kalbar'!$A7)</f>
        <v>10658.000000000009</v>
      </c>
      <c r="X7" s="199">
        <f t="array" ref="X7">COUNTIFS('KALE (Deteksi)'!$A$6:$A$1000,'Summary FR Kalbar'!$A7,'KALE (Deteksi)'!$H$6:$H$1000,"&gt;0")</f>
        <v>234</v>
      </c>
      <c r="Y7" s="200">
        <f t="array" ref="Y7">SUMIFS('KALE (Deteksi)'!$E$6:$E$1000,'KALE (Deteksi)'!$A$6:$A$1000,'Summary FR Kalbar'!$A7,'KALE (Deteksi)'!$H$6:$H$1000,"&gt;0")</f>
        <v>5904.9999999999982</v>
      </c>
      <c r="Z7" s="201">
        <f t="shared" ref="Z7" si="3">X7/V7*100</f>
        <v>54.418604651162795</v>
      </c>
      <c r="AA7" s="202">
        <f t="array" ref="AA7">IFERROR(SUMIFS('KALE (Deteksi)'!$K$6:$K$1000,'KALE (Deteksi)'!$A$6:$A$1000,'Summary FR Kalbar'!$A7,'KALE (Deteksi)'!$H$6:$H$1000,"&gt;0")/SUMIFS('KALE (Deteksi)'!$I$6:$I$1000,'KALE (Deteksi)'!$A$6:$A$1000,'Summary FR Kalbar'!$A7,'KALE (Deteksi)'!$H$6:$H$1000,"&gt;0")*100,0)</f>
        <v>8.8716108452950557</v>
      </c>
      <c r="AB7" s="199">
        <f t="array" ref="AB7">COUNTIFS('KALE (Deteksi)'!$A$6:$A$1000,'Summary FR Kalbar'!$A7,'KALE (Deteksi)'!$H$6:$H$1000,"&gt;0",'KALE (Deteksi)'!$L$6:$L$1000,"&gt;5")</f>
        <v>183</v>
      </c>
      <c r="AC7" s="200">
        <f t="array" ref="AC7">SUMIFS('KALE (Deteksi)'!$E$6:$E$1000,'KALE (Deteksi)'!$A$6:$A$1000,'Summary FR Kalbar'!$A7,'KALE (Deteksi)'!$H$6:$H$1000,"&gt;0",'KALE (Deteksi)'!$L$6:$L$1000,"&gt;5")</f>
        <v>4504.1899999999996</v>
      </c>
      <c r="AD7" s="202">
        <f t="array" ref="AD7">AB7/$X7*100</f>
        <v>78.205128205128204</v>
      </c>
      <c r="AE7" s="202">
        <f t="array" ref="AE7">SUMIFS('KALE (Deteksi)'!$K$6:$K$1000,'KALE (Deteksi)'!$A$6:$A$1000,'Summary FR Kalbar'!$A7,'KALE (Deteksi)'!$H$6:$H$1000,"&gt;0",'KALE (Deteksi)'!$L$6:$L$1000,"&gt;5")/SUMIFS('KALE (Deteksi)'!$I$6:$I$1000,'KALE (Deteksi)'!$A$6:$A$1000,'Summary FR Kalbar'!$A7,'KALE (Deteksi)'!$H$6:$H$1000,"&gt;0",'KALE (Deteksi)'!$L$6:$L$1000,"&gt;5")*100</f>
        <v>10.17384731670446</v>
      </c>
      <c r="AF7" s="199">
        <f t="array" ref="AF7">COUNTIFS('KALE (Deteksi)'!$A$6:$A$1000,'Summary FR Kalbar'!$A7,'KALE (Deteksi)'!$H$6:$H$1000,"&gt;0",'KALE (Deteksi)'!$L$6:$L$1000,"&lt;=5",'KALE (Deteksi)'!$L$6:$L$1000,"&gt;2")</f>
        <v>48</v>
      </c>
      <c r="AG7" s="200">
        <f t="array" ref="AG7">SUMIFS('KALE (Deteksi)'!$E$6:$E$1000,'KALE (Deteksi)'!$A$6:$A$1000,'Summary FR Kalbar'!$A7,'KALE (Deteksi)'!$H$6:$H$1000,"&gt;0",'KALE (Deteksi)'!$L$6:$L$1000,"&lt;=5",'KALE (Deteksi)'!$L$6:$L$1000,"&gt;2")</f>
        <v>1296.9199999999998</v>
      </c>
      <c r="AH7" s="202">
        <f t="array" ref="AH7">AF7/$X7*100</f>
        <v>20.512820512820511</v>
      </c>
      <c r="AI7" s="202">
        <f t="array" ref="AI7">IFERROR(SUMIFS('KALE (Deteksi)'!$K$6:$K$1000,'KALE (Deteksi)'!$A$6:$A$1000,'Summary FR Kalbar'!$A7,'KALE (Deteksi)'!$H$6:$H$1000,"&gt;0",'KALE (Deteksi)'!$L$6:$L$1000,"&lt;=5",'KALE (Deteksi)'!$L$6:$L$1000,"&gt;2")/SUMIFS('KALE (Deteksi)'!$I$6:$I$1000,'KALE (Deteksi)'!$A$6:$A$1000,'Summary FR Kalbar'!$A7,'KALE (Deteksi)'!$H$6:$H$1000,"&gt;0",'KALE (Deteksi)'!$L$6:$L$1000,"&lt;=5",'KALE (Deteksi)'!$L$6:$L$1000,"&gt;2")*100,0)</f>
        <v>4.1112701984045819</v>
      </c>
      <c r="AJ7" s="199">
        <f>COUNTIFS('KALE (Deteksi)'!$A$6:$A$1000,'Summary FR Kalbar'!$A7,'KALE (Deteksi)'!$H$6:$H$1000,"&gt;0",'KALE (Deteksi)'!$L$6:$L$1000,"&lt;=2",'KALE (Deteksi)'!$L$6:$L$1000,"&gt;=0")</f>
        <v>3</v>
      </c>
      <c r="AK7" s="200">
        <f>SUMIFS('KALE (Deteksi)'!$E$6:$E$1000,'KALE (Deteksi)'!$A$6:$A$1000,'Summary FR Kalbar'!$A7,'KALE (Deteksi)'!$H$6:$H$1000,"&gt;0",'KALE (Deteksi)'!$L$6:$L$1000,"&lt;=2",'KALE (Deteksi)'!$L$6:$L$1000,"&gt;=0")</f>
        <v>103.89000000000001</v>
      </c>
      <c r="AL7" s="202">
        <f t="array" ref="AL7">AJ7/$X7*100</f>
        <v>1.2820512820512819</v>
      </c>
      <c r="AM7" s="202">
        <f>IFERROR(SUMIFS('KALE (Deteksi)'!$K$6:$K$1000,'KALE (Deteksi)'!$A$6:$A$1000,'Summary FR Kalbar'!$A7,'KALE (Deteksi)'!$H$6:$H$1000,"&gt;0",'KALE (Deteksi)'!$L$6:$L$1000,"&lt;=2",'KALE (Deteksi)'!$L$6:$L$1000,"&gt;=0")/SUMIFS('KALE (Deteksi)'!$I$6:$I$1000,'KALE (Deteksi)'!$A$6:$A$1000,'Summary FR Kalbar'!$A7,'KALE (Deteksi)'!$H$6:$H$1000,"&gt;0",'KALE (Deteksi)'!$L$6:$L$1000,"&lt;=2",'KALE (Deteksi)'!$L$6:$L$1000,"&gt;=0")*100,0)</f>
        <v>1.4450867052023122</v>
      </c>
      <c r="AN7" s="137"/>
    </row>
    <row r="8" spans="1:41" s="136" customFormat="1" ht="28" customHeight="1" outlineLevel="1" x14ac:dyDescent="0.2">
      <c r="A8" s="199" t="s">
        <v>1043</v>
      </c>
      <c r="B8" s="199">
        <f>COUNTIFS('USP (Sensus)'!$A$6:$A$578,'Summary FR Kalbar'!$A8)</f>
        <v>294</v>
      </c>
      <c r="C8" s="200">
        <f>SUMIFS('USP (Sensus)'!$E$6:$E$578,'USP (Sensus)'!$A$6:$A$578,'Summary FR Kalbar'!$A8)</f>
        <v>9616.4100000000035</v>
      </c>
      <c r="D8" s="199">
        <f t="array" ref="D8">COUNTIFS('USP (Sensus)'!$A$6:$A$578,'Summary FR Kalbar'!$A8,'USP (Sensus)'!$H$6:$H$578,"&gt;0")</f>
        <v>0</v>
      </c>
      <c r="E8" s="200">
        <f t="array" ref="E8">SUMIFS('USP (Sensus)'!$E$6:$E$578,'USP (Sensus)'!$A$6:$A$578,'Summary FR Kalbar'!$A8,'USP (Sensus)'!$H$6:$H$578,"&gt;0")</f>
        <v>0</v>
      </c>
      <c r="F8" s="201">
        <f t="shared" si="0"/>
        <v>0</v>
      </c>
      <c r="G8" s="202" t="e">
        <f t="array" ref="G8">SUMIFS('USP (Sensus)'!$K$6:$K$578,'USP (Sensus)'!$A$6:$A$578,'Summary FR Kalbar'!$A8)/SUMIFS('USP (Sensus)'!$I$6:$I$578,'USP (Sensus)'!$A$6:$A$578,'Summary FR Kalbar'!$A8)*100</f>
        <v>#DIV/0!</v>
      </c>
      <c r="H8" s="199">
        <f t="array" ref="H8">COUNTIFS('USP (Sensus)'!$A$6:$A$578,'Summary FR Kalbar'!$A8,'USP (Sensus)'!$H$6:$H$578,"&gt;0",'USP (Sensus)'!$L$6:$L$578,"&gt;5")</f>
        <v>0</v>
      </c>
      <c r="I8" s="200">
        <f>SUMIFS('USP (Sensus)'!$E$6:$E$578,'USP (Sensus)'!$A$6:$A$578,'Summary FR Kalbar'!$A8,'USP (Sensus)'!$H$6:$H$578,"&gt;0",'USP (Sensus)'!$L$6:$L$578,"&gt;5")</f>
        <v>0</v>
      </c>
      <c r="J8" s="202" t="e">
        <f t="array" ref="J8">H8/$D8*100</f>
        <v>#DIV/0!</v>
      </c>
      <c r="K8" s="202" t="e">
        <f t="array" ref="K8">SUMIFS('USP (Sensus)'!$K$6:$K$578,'USP (Sensus)'!$A$6:$A$578,'Summary FR Kalbar'!$A8,'USP (Sensus)'!$L$6:$L$578,"&gt;5")/SUMIFS('USP (Sensus)'!$I$6:$I$578,'USP (Sensus)'!$A$6:$A$578,'Summary FR Kalbar'!$A8,'USP (Sensus)'!$L$6:$L$578,"&gt;5")*100</f>
        <v>#DIV/0!</v>
      </c>
      <c r="L8" s="199">
        <f t="array" ref="L8">COUNTIFS('USP (Sensus)'!$A$6:$A$578,'Summary FR Kalbar'!$A8,'USP (Sensus)'!$H$6:$H$578,"&gt;0",'USP (Sensus)'!$L$6:$L$578,"&lt;=5",'USP (Sensus)'!$L$6:$L$578,"&gt;2")</f>
        <v>0</v>
      </c>
      <c r="M8" s="200">
        <f t="array" ref="M8">SUMIFS('USP (Sensus)'!$E$6:$E$578,'USP (Sensus)'!$A$6:$A$578,'Summary FR Kalbar'!$A8,'USP (Sensus)'!$H$6:$H$578,"&gt;0",'USP (Sensus)'!$L$6:$L$578,"&lt;=5",'USP (Sensus)'!$L$6:$L$578,"&gt;2")</f>
        <v>0</v>
      </c>
      <c r="N8" s="202" t="e">
        <f t="array" ref="N8">L8/$D8*100</f>
        <v>#DIV/0!</v>
      </c>
      <c r="O8" s="202" t="e">
        <f t="array" ref="O8">SUMIFS('USP (Sensus)'!$K$6:$K$578,'USP (Sensus)'!$A$6:$A$578,'Summary FR Kalbar'!$A8,'USP (Sensus)'!$L$6:$L$578,"&lt;=5",'USP (Sensus)'!$L$6:$L$578,"&gt;2")/SUMIFS('USP (Sensus)'!$I$6:$I$578,'USP (Sensus)'!$A$6:$A$578,'Summary FR Kalbar'!$A8,'USP (Sensus)'!$L$6:$L$578,"&lt;=5",'USP (Sensus)'!$L$6:$L$578,"&gt;2")*100</f>
        <v>#DIV/0!</v>
      </c>
      <c r="P8" s="199">
        <f>COUNTIFS('USP (Sensus)'!$A$6:$A$578,'Summary FR Kalbar'!$A8,'USP (Sensus)'!$H$6:$H$578,"&gt;0",'USP (Sensus)'!$L$6:$L$578,"&lt;=2",'USP (Sensus)'!$L$6:$L$578,"&gt;=0")</f>
        <v>0</v>
      </c>
      <c r="Q8" s="200">
        <f>SUMIFS('USP (Sensus)'!$E$6:$E$578,'USP (Sensus)'!$A$6:$A$578,'Summary FR Kalbar'!$A8,'USP (Sensus)'!$H$6:$H$578,"&gt;0",'USP (Sensus)'!$L$6:$L$578,"&lt;=2",'USP (Sensus)'!$L$6:$L$578,"&gt;=0")</f>
        <v>0</v>
      </c>
      <c r="R8" s="202" t="e">
        <f t="array" ref="R8">P8/$D8*100</f>
        <v>#DIV/0!</v>
      </c>
      <c r="S8" s="202" t="e">
        <f>SUMIFS('USP (Sensus)'!$K$6:$K$578,'USP (Sensus)'!$A$6:$A$578,'Summary FR Kalbar'!$A8,'USP (Sensus)'!$L$6:$L$578,"&lt;=2",'USP (Sensus)'!$L$6:$L$578,"&gt;=0")/SUMIFS('USP (Sensus)'!$I$6:$I$578,'USP (Sensus)'!$A$6:$A$578,'Summary FR Kalbar'!$A8,'USP (Sensus)'!$L$6:$L$578,"&lt;=2",'USP (Sensus)'!$L$6:$L$578,"&gt;=0")*100</f>
        <v>#DIV/0!</v>
      </c>
      <c r="T8" s="137"/>
      <c r="U8" s="199" t="str">
        <f>A8</f>
        <v>USP</v>
      </c>
      <c r="V8" s="199">
        <f t="array" ref="V8">COUNTIFS('USP (Deteksi)'!$A$6:$A$1000,'Summary FR Kalbar'!$A8)</f>
        <v>294</v>
      </c>
      <c r="W8" s="200">
        <f t="array" ref="W8">SUMIFS('USP (Deteksi)'!$E$6:$E$1000,'USP (Deteksi)'!$A$6:$A$1000,'Summary FR Kalbar'!$A8)</f>
        <v>9616.4100000000035</v>
      </c>
      <c r="X8" s="199">
        <f t="array" ref="X8">COUNTIFS('USP (Deteksi)'!$A$6:$A$1000,'Summary FR Kalbar'!$A8,'USP (Deteksi)'!$H$6:$H$1000,"&gt;0")</f>
        <v>294</v>
      </c>
      <c r="Y8" s="200">
        <f t="array" ref="Y8">SUMIFS('USP (Deteksi)'!$E$6:$E$1000,'USP (Deteksi)'!$A$6:$A$1000,'Summary FR Kalbar'!$A8,'USP (Deteksi)'!$H$6:$H$1000,"&gt;0")</f>
        <v>9616.4100000000035</v>
      </c>
      <c r="Z8" s="201">
        <f t="shared" ref="Z8:Z11" si="4">X8/V8*100</f>
        <v>100</v>
      </c>
      <c r="AA8" s="202">
        <f t="array" ref="AA8">IFERROR(SUMIFS('USP (Deteksi)'!$K$6:$K$1000,'USP (Deteksi)'!$A$6:$A$1000,'Summary FR Kalbar'!$A8,'USP (Deteksi)'!$H$6:$H$1000,"&gt;0")/SUMIFS('USP (Deteksi)'!$I$6:$I$1000,'USP (Deteksi)'!$A$6:$A$1000,'Summary FR Kalbar'!$A8,'USP (Deteksi)'!$H$6:$H$1000,"&gt;0")*100,0)</f>
        <v>1.9365935521202728</v>
      </c>
      <c r="AB8" s="199">
        <f t="array" ref="AB8">COUNTIFS('USP (Deteksi)'!$A$6:$A$1000,'Summary FR Kalbar'!$A8,'USP (Deteksi)'!$H$6:$H$1000,"&gt;0",'USP (Deteksi)'!$L$6:$L$1000,"&gt;5")</f>
        <v>0</v>
      </c>
      <c r="AC8" s="200">
        <f t="array" ref="AC8">SUMIFS('USP (Deteksi)'!$E$6:$E$1000,'USP (Deteksi)'!$A$6:$A$1000,'Summary FR Kalbar'!$A8,'USP (Deteksi)'!$H$6:$H$1000,"&gt;0",'USP (Deteksi)'!$L$6:$L$1000,"&gt;5")</f>
        <v>0</v>
      </c>
      <c r="AD8" s="202">
        <f t="array" ref="AD8">AB8/$X8*100</f>
        <v>0</v>
      </c>
      <c r="AE8" s="202">
        <f t="array" ref="AE8">IFERROR(SUMIFS('USP (Deteksi)'!$K$6:$K$1000,'USP (Deteksi)'!$A$6:$A$1000,'Summary FR Kalbar'!$A8,'USP (Deteksi)'!$H$6:$H$1000,"&gt;0",'USP (Deteksi)'!$L$6:$L$1000,"&gt;5")/SUMIFS('USP (Deteksi)'!$I$6:$I$1000,'USP (Deteksi)'!$A$6:$A$1000,'Summary FR Kalbar'!$A8,'USP (Deteksi)'!$H$6:$H$1000,"&gt;0",'USP (Deteksi)'!$L$6:$L$1000,"&gt;5")*100,0)</f>
        <v>0</v>
      </c>
      <c r="AF8" s="199">
        <f t="array" ref="AF8">COUNTIFS('USP (Deteksi)'!$A$6:$A$1000,'Summary FR Kalbar'!$A8,'USP (Deteksi)'!$H$6:$H$1000,"&gt;0",'USP (Deteksi)'!$L$6:$L$1000,"&lt;=5",'USP (Deteksi)'!$L$6:$L$1000,"&gt;2")</f>
        <v>154</v>
      </c>
      <c r="AG8" s="200">
        <f t="array" ref="AG8">SUMIFS('USP (Deteksi)'!$E$6:$E$1000,'USP (Deteksi)'!$A$6:$A$1000,'Summary FR Kalbar'!$A8,'USP (Deteksi)'!$H$6:$H$1000,"&gt;0",'USP (Deteksi)'!$L$6:$L$1000,"&lt;=5",'USP (Deteksi)'!$L$6:$L$1000,"&gt;2")</f>
        <v>4882.5799999999963</v>
      </c>
      <c r="AH8" s="202">
        <f t="array" ref="AH8">AF8/$X8*100</f>
        <v>52.380952380952387</v>
      </c>
      <c r="AI8" s="202">
        <f t="array" ref="AI8">IFERROR(SUMIFS('USP (Deteksi)'!$K$6:$K$1000,'USP (Deteksi)'!$A$6:$A$1000,'Summary FR Kalbar'!$A8,'USP (Deteksi)'!$H$6:$H$1000,"&gt;0",'USP (Deteksi)'!$L$6:$L$1000,"&lt;=5",'USP (Deteksi)'!$L$6:$L$1000,"&gt;2")/SUMIFS('USP (Deteksi)'!$I$6:$I$1000,'USP (Deteksi)'!$A$6:$A$1000,'Summary FR Kalbar'!$A8,'USP (Deteksi)'!$H$6:$H$1000,"&gt;0",'USP (Deteksi)'!$L$6:$L$1000,"&lt;=5",'USP (Deteksi)'!$L$6:$L$1000,"&gt;2")*100,0)</f>
        <v>2.6898369718219741</v>
      </c>
      <c r="AJ8" s="199">
        <f>COUNTIFS('USP (Deteksi)'!$A$6:$A$1000,'Summary FR Kalbar'!$A8,'USP (Deteksi)'!$H$6:$H$1000,"&gt;0",'USP (Deteksi)'!$L$6:$L$1000,"&lt;=2",'USP (Deteksi)'!$L$6:$L$1000,"&gt;=0")</f>
        <v>140</v>
      </c>
      <c r="AK8" s="200">
        <f>SUMIFS('USP (Deteksi)'!$E$6:$E$1000,'USP (Deteksi)'!$A$6:$A$1000,'Summary FR Kalbar'!$A8,'USP (Deteksi)'!$H$6:$H$1000,"&gt;0",'USP (Deteksi)'!$L$6:$L$1000,"&lt;=2",'USP (Deteksi)'!$L$6:$L$1000,"&gt;=0")</f>
        <v>4733.8299999999981</v>
      </c>
      <c r="AL8" s="202">
        <f t="array" ref="AL8">AJ8/$X8*100</f>
        <v>47.619047619047613</v>
      </c>
      <c r="AM8" s="202">
        <f>IFERROR(SUMIFS('USP (Deteksi)'!$K$6:$K$1000,'USP (Deteksi)'!$A$6:$A$1000,'Summary FR Kalbar'!$A8,'USP (Deteksi)'!$H$6:$H$1000,"&gt;0",'USP (Deteksi)'!$L$6:$L$1000,"&lt;=2",'USP (Deteksi)'!$L$6:$L$1000,"&gt;=0")/SUMIFS('USP (Deteksi)'!$I$6:$I$1000,'USP (Deteksi)'!$A$6:$A$1000,'Summary FR Kalbar'!$A8,'USP (Deteksi)'!$H$6:$H$1000,"&gt;0",'USP (Deteksi)'!$L$6:$L$1000,"&lt;=2",'USP (Deteksi)'!$L$6:$L$1000,"&gt;=0")*100,0)</f>
        <v>1.4025729011304049</v>
      </c>
      <c r="AN8" s="137"/>
    </row>
    <row r="9" spans="1:41" s="136" customFormat="1" ht="28" customHeight="1" outlineLevel="1" collapsed="1" x14ac:dyDescent="0.2">
      <c r="A9" s="199" t="s">
        <v>949</v>
      </c>
      <c r="B9" s="199">
        <f>COUNTIFS('FAPE (Sensus)'!$A$6:$A$578,'Summary FR Kalbar'!$A9)</f>
        <v>210</v>
      </c>
      <c r="C9" s="200">
        <f>SUMIFS('FAPE (Sensus)'!$E$6:$E$578,'FAPE (Sensus)'!$A$6:$A$578,'Summary FR Kalbar'!$A9)</f>
        <v>6744.86</v>
      </c>
      <c r="D9" s="199">
        <f t="array" ref="D9">COUNTIFS('FAPE (Sensus)'!$A$6:$A$578,'Summary FR Kalbar'!$A9,'FAPE (Sensus)'!$H$6:$H$578,"&gt;0")</f>
        <v>47</v>
      </c>
      <c r="E9" s="200">
        <f t="array" ref="E9">SUMIFS('FAPE (Sensus)'!$E$6:$E$578,'FAPE (Sensus)'!$A$6:$A$578,'Summary FR Kalbar'!$A9,'FAPE (Sensus)'!$H$6:$H$578,"&gt;0")</f>
        <v>1563.4999999999998</v>
      </c>
      <c r="F9" s="201">
        <f t="shared" si="0"/>
        <v>22.380952380952383</v>
      </c>
      <c r="G9" s="202">
        <f t="array" ref="G9">SUMIFS('FAPE (Sensus)'!$K$6:$K$578,'FAPE (Sensus)'!$A$6:$A$578,'Summary FR Kalbar'!$A9)/SUMIFS('FAPE (Sensus)'!$I$6:$I$578,'FAPE (Sensus)'!$A$6:$A$578,'Summary FR Kalbar'!$A9)*100</f>
        <v>5.7566470127644012</v>
      </c>
      <c r="H9" s="199">
        <f t="array" ref="H9">COUNTIFS('FAPE (Sensus)'!$A$6:$A$578,'Summary FR Kalbar'!$A9,'FAPE (Sensus)'!$H$6:$H$578,"&gt;0",'FAPE (Sensus)'!$L$6:$L$578,"&gt;5")</f>
        <v>18</v>
      </c>
      <c r="I9" s="200">
        <f>SUMIFS('FAPE (Sensus)'!$E$6:$E$578,'FAPE (Sensus)'!$A$6:$A$578,'Summary FR Kalbar'!$A9,'FAPE (Sensus)'!$H$6:$H$578,"&gt;0",'FAPE (Sensus)'!$L$6:$L$578,"&gt;5")</f>
        <v>644.08999999999992</v>
      </c>
      <c r="J9" s="202">
        <f t="array" ref="J9">H9/$D9*100</f>
        <v>38.297872340425535</v>
      </c>
      <c r="K9" s="202">
        <f t="array" ref="K9">SUMIFS('FAPE (Sensus)'!$K$6:$K$578,'FAPE (Sensus)'!$A$6:$A$578,'Summary FR Kalbar'!$A9,'FAPE (Sensus)'!$L$6:$L$578,"&gt;5")/SUMIFS('FAPE (Sensus)'!$I$6:$I$578,'FAPE (Sensus)'!$A$6:$A$578,'Summary FR Kalbar'!$A9,'FAPE (Sensus)'!$L$6:$L$578,"&gt;5")*100</f>
        <v>9.9514380418916559</v>
      </c>
      <c r="L9" s="199">
        <f t="array" ref="L9">COUNTIFS('FAPE (Sensus)'!$A$6:$A$578,'Summary FR Kalbar'!$A9,'FAPE (Sensus)'!$H$6:$H$578,"&gt;0",'FAPE (Sensus)'!$L$6:$L$578,"&lt;=5",'FAPE (Sensus)'!$L$6:$L$578,"&gt;2")</f>
        <v>19</v>
      </c>
      <c r="M9" s="200">
        <f t="array" ref="M9">SUMIFS('FAPE (Sensus)'!$E$6:$E$578,'FAPE (Sensus)'!$A$6:$A$578,'Summary FR Kalbar'!$A9,'FAPE (Sensus)'!$H$6:$H$578,"&gt;0",'FAPE (Sensus)'!$L$6:$L$578,"&lt;=5",'FAPE (Sensus)'!$L$6:$L$578,"&gt;2")</f>
        <v>602.93999999999983</v>
      </c>
      <c r="N9" s="202">
        <f t="array" ref="N9">L9/$D9*100</f>
        <v>40.425531914893611</v>
      </c>
      <c r="O9" s="202">
        <f t="array" ref="O9">SUMIFS('FAPE (Sensus)'!$K$6:$K$578,'FAPE (Sensus)'!$A$6:$A$578,'Summary FR Kalbar'!$A9,'FAPE (Sensus)'!$L$6:$L$578,"&lt;=5",'FAPE (Sensus)'!$L$6:$L$578,"&gt;2")/SUMIFS('FAPE (Sensus)'!$I$6:$I$578,'FAPE (Sensus)'!$A$6:$A$578,'Summary FR Kalbar'!$A9,'FAPE (Sensus)'!$L$6:$L$578,"&lt;=5",'FAPE (Sensus)'!$L$6:$L$578,"&gt;2")*100</f>
        <v>3.2319735723422149</v>
      </c>
      <c r="P9" s="199">
        <f>COUNTIFS('FAPE (Sensus)'!$A$6:$A$578,'Summary FR Kalbar'!$A9,'FAPE (Sensus)'!$H$6:$H$578,"&gt;0",'FAPE (Sensus)'!$L$6:$L$578,"&lt;=2",'FAPE (Sensus)'!$L$6:$L$578,"&gt;=0")</f>
        <v>10</v>
      </c>
      <c r="Q9" s="200">
        <f>SUMIFS('FAPE (Sensus)'!$E$6:$E$578,'FAPE (Sensus)'!$A$6:$A$578,'Summary FR Kalbar'!$A9,'FAPE (Sensus)'!$H$6:$H$578,"&gt;0",'FAPE (Sensus)'!$L$6:$L$578,"&lt;=2",'FAPE (Sensus)'!$L$6:$L$578,"&gt;=0")</f>
        <v>316.46999999999997</v>
      </c>
      <c r="R9" s="202">
        <f t="array" ref="R9">P9/$D9*100</f>
        <v>21.276595744680851</v>
      </c>
      <c r="S9" s="202">
        <f>SUMIFS('FAPE (Sensus)'!$K$6:$K$578,'FAPE (Sensus)'!$A$6:$A$578,'Summary FR Kalbar'!$A9,'FAPE (Sensus)'!$L$6:$L$578,"&lt;=2",'FAPE (Sensus)'!$L$6:$L$578,"&gt;=0")/SUMIFS('FAPE (Sensus)'!$I$6:$I$578,'FAPE (Sensus)'!$A$6:$A$578,'Summary FR Kalbar'!$A9,'FAPE (Sensus)'!$L$6:$L$578,"&lt;=2",'FAPE (Sensus)'!$L$6:$L$578,"&gt;=0")*100</f>
        <v>0.86545489055129177</v>
      </c>
      <c r="U9" s="199" t="str">
        <f>A9</f>
        <v>FAPE</v>
      </c>
      <c r="V9" s="199">
        <f t="array" ref="V9">COUNTIFS('FAPE (Deteksi)'!$A$6:$A$1000,'Summary FR Kalbar'!$A9)</f>
        <v>210</v>
      </c>
      <c r="W9" s="200">
        <f t="array" ref="W9">SUMIFS('FAPE (Deteksi)'!$E$6:$E$1000,'FAPE (Deteksi)'!$A$6:$A$1000,'Summary FR Kalbar'!$A9)</f>
        <v>6744.86</v>
      </c>
      <c r="X9" s="199">
        <f t="array" ref="X9">COUNTIFS('FAPE (Deteksi)'!$A$6:$A$1000,'Summary FR Kalbar'!$A9,'FAPE (Deteksi)'!$H$6:$H$1000,"&gt;0")</f>
        <v>210</v>
      </c>
      <c r="Y9" s="200">
        <f t="array" ref="Y9">SUMIFS('FAPE (Deteksi)'!$E$6:$E$1000,'FAPE (Deteksi)'!$A$6:$A$1000,'Summary FR Kalbar'!$A9,'FAPE (Deteksi)'!$H$6:$H$1000,"&gt;0")</f>
        <v>6744.86</v>
      </c>
      <c r="Z9" s="201">
        <f t="shared" si="4"/>
        <v>100</v>
      </c>
      <c r="AA9" s="202">
        <f t="array" ref="AA9">IFERROR(SUMIFS('FAPE (Deteksi)'!$K$6:$K$1000,'FAPE (Deteksi)'!$A$6:$A$1000,'Summary FR Kalbar'!$A9,'FAPE (Deteksi)'!$H$6:$H$1000,"&gt;0")/SUMIFS('FAPE (Deteksi)'!$I$6:$I$1000,'FAPE (Deteksi)'!$A$6:$A$1000,'Summary FR Kalbar'!$A9,'FAPE (Deteksi)'!$H$6:$H$1000,"&gt;0")*100,0)</f>
        <v>2.7990767132319436</v>
      </c>
      <c r="AB9" s="199">
        <f>COUNTIFS('FAPE (Deteksi)'!$A$6:$A$1000,'Summary FR Kalbar'!$A9,'FAPE (Deteksi)'!$H$6:$H$1000,"&gt;0",'FAPE (Deteksi)'!$L$6:$L$1000,"&gt;5")</f>
        <v>0</v>
      </c>
      <c r="AC9" s="200">
        <f>SUMIFS('FAPE (Deteksi)'!$E$6:$E$1000,'FAPE (Deteksi)'!$A$6:$A$1000,'Summary FR Kalbar'!$A9,'FAPE (Deteksi)'!$H$6:$H$1000,"&gt;0",'FAPE (Deteksi)'!$L$6:$L$1000,"&gt;5")</f>
        <v>0</v>
      </c>
      <c r="AD9" s="202">
        <f t="array" ref="AD9">AB9/$X9*100</f>
        <v>0</v>
      </c>
      <c r="AE9" s="202">
        <f>IFERROR(SUMIFS('FAPE (Deteksi)'!$K$6:$K$1000,'FAPE (Deteksi)'!$A$6:$A$1000,'Summary FR Kalbar'!$A9,'FAPE (Deteksi)'!$H$6:$H$1000,"&gt;0",'FAPE (Deteksi)'!$L$6:$L$1000,"&gt;5")/SUMIFS('FAPE (Deteksi)'!$I$6:$I$1000,'FAPE (Deteksi)'!$A$6:$A$1000,'Summary FR Kalbar'!$A9,'FAPE (Deteksi)'!$H$6:$H$1000,"&gt;0",'FAPE (Deteksi)'!$L$6:$L$1000,"&gt;5")*100,0)</f>
        <v>0</v>
      </c>
      <c r="AF9" s="199">
        <f t="array" ref="AF9">COUNTIFS('FAPE (Deteksi)'!$A$6:$A$1000,'Summary FR Kalbar'!$A9,'FAPE (Deteksi)'!$H$6:$H$1000,"&gt;0",'FAPE (Deteksi)'!$L$6:$L$1000,"&lt;=5",'FAPE (Deteksi)'!$L$6:$L$1000,"&gt;2")</f>
        <v>163</v>
      </c>
      <c r="AG9" s="200">
        <f t="array" ref="AG9">SUMIFS('FAPE (Deteksi)'!$E$6:$E$1000,'FAPE (Deteksi)'!$A$6:$A$1000,'Summary FR Kalbar'!$A9,'FAPE (Deteksi)'!$H$6:$H$1000,"&gt;0",'FAPE (Deteksi)'!$L$6:$L$1000,"&lt;=5",'FAPE (Deteksi)'!$L$6:$L$1000,"&gt;2")</f>
        <v>5185.2799999999979</v>
      </c>
      <c r="AH9" s="202">
        <f t="array" ref="AH9">AF9/$X9*100</f>
        <v>77.61904761904762</v>
      </c>
      <c r="AI9" s="202">
        <f t="array" ref="AI9">IFERROR(SUMIFS('FAPE (Deteksi)'!$K$6:$K$1000,'FAPE (Deteksi)'!$A$6:$A$1000,'Summary FR Kalbar'!$A9,'FAPE (Deteksi)'!$H$6:$H$1000,"&gt;0",'FAPE (Deteksi)'!$L$6:$L$1000,"&lt;=5",'FAPE (Deteksi)'!$L$6:$L$1000,"&gt;2")/SUMIFS('FAPE (Deteksi)'!$I$6:$I$1000,'FAPE (Deteksi)'!$A$6:$A$1000,'Summary FR Kalbar'!$A9,'FAPE (Deteksi)'!$H$6:$H$1000,"&gt;0",'FAPE (Deteksi)'!$L$6:$L$1000,"&lt;=5",'FAPE (Deteksi)'!$L$6:$L$1000,"&gt;2")*100,0)</f>
        <v>3.182892559295198</v>
      </c>
      <c r="AJ9" s="199">
        <f>COUNTIFS('FAPE (Deteksi)'!$A$6:$A$1000,'Summary FR Kalbar'!$A9,'FAPE (Deteksi)'!$H$6:$H$1000,"&gt;0",'FAPE (Deteksi)'!$L$6:$L$1000,"&lt;=2",'FAPE (Deteksi)'!$L$6:$L$1000,"&gt;=0")</f>
        <v>47</v>
      </c>
      <c r="AK9" s="200">
        <f>SUMIFS('FAPE (Deteksi)'!$E$6:$E$1000,'FAPE (Deteksi)'!$A$6:$A$1000,'Summary FR Kalbar'!$A9,'FAPE (Deteksi)'!$H$6:$H$1000,"&gt;0",'FAPE (Deteksi)'!$L$6:$L$1000,"&lt;=2",'FAPE (Deteksi)'!$L$6:$L$1000,"&gt;=0")</f>
        <v>1559.5800000000002</v>
      </c>
      <c r="AL9" s="202">
        <f t="array" ref="AL9">AJ9/$X9*100</f>
        <v>22.380952380952383</v>
      </c>
      <c r="AM9" s="202">
        <f>IFERROR(SUMIFS('FAPE (Deteksi)'!$K$6:$K$1000,'FAPE (Deteksi)'!$A$6:$A$1000,'Summary FR Kalbar'!$A9,'FAPE (Deteksi)'!$H$6:$H$1000,"&gt;0",'FAPE (Deteksi)'!$L$6:$L$1000,"&lt;=2",'FAPE (Deteksi)'!$L$6:$L$1000,"&gt;=0")/SUMIFS('FAPE (Deteksi)'!$I$6:$I$1000,'FAPE (Deteksi)'!$A$6:$A$1000,'Summary FR Kalbar'!$A9,'FAPE (Deteksi)'!$H$6:$H$1000,"&gt;0",'FAPE (Deteksi)'!$L$6:$L$1000,"&lt;=2",'FAPE (Deteksi)'!$L$6:$L$1000,"&gt;=0")*100,0)</f>
        <v>1.3994313861851972</v>
      </c>
    </row>
    <row r="10" spans="1:41" s="136" customFormat="1" ht="28" customHeight="1" x14ac:dyDescent="0.2">
      <c r="A10" s="199" t="s">
        <v>1273</v>
      </c>
      <c r="B10" s="199">
        <f>COUNTIFS('SMP (Sensus)'!$A$6:$A$578,'Summary FR Kalbar'!$A10)-5</f>
        <v>203</v>
      </c>
      <c r="C10" s="200">
        <f t="array" ref="C10">SUMIFS('SMP (Sensus)'!$E$6:$E$578,'SMP (Sensus)'!$A$6:$A$578,'Summary FR Kalbar'!$A10)</f>
        <v>5974.1500000000015</v>
      </c>
      <c r="D10" s="199">
        <f t="array" ref="D10">COUNTIFS('SMP (Sensus)'!$A$6:$A$578,'Summary FR Kalbar'!$A10,'SMP (Sensus)'!$H$6:$H$578,"&gt;0")</f>
        <v>203</v>
      </c>
      <c r="E10" s="200">
        <f t="array" ref="E10">SUMIFS('SMP (Sensus)'!$E$6:$E$578,'SMP (Sensus)'!$A$6:$A$578,'Summary FR Kalbar'!$A10,'SMP (Sensus)'!$H$6:$H$578,"&gt;0")</f>
        <v>5974.1500000000015</v>
      </c>
      <c r="F10" s="201">
        <f t="shared" si="0"/>
        <v>100</v>
      </c>
      <c r="G10" s="202">
        <f t="array" ref="G10">SUMIFS('SMP (Sensus)'!$K$6:$K$578,'SMP (Sensus)'!$A$6:$A$578,'Summary FR Kalbar'!$A10)/SUMIFS('SMP (Sensus)'!$I$6:$I$578,'SMP (Sensus)'!$A$6:$A$578,'Summary FR Kalbar'!$A10)*100</f>
        <v>13.840129441037705</v>
      </c>
      <c r="H10" s="199">
        <f t="array" ref="H10">COUNTIFS('SMP (Sensus)'!$A$6:$A$578,'Summary FR Kalbar'!$A10,'SMP (Sensus)'!$H$6:$H$578,"&gt;0",'SMP (Sensus)'!$L$6:$L$578,"&gt;5")</f>
        <v>203</v>
      </c>
      <c r="I10" s="200">
        <f t="array" ref="I10">SUMIFS('SMP (Sensus)'!$E$6:$E$578,'SMP (Sensus)'!$A$6:$A$578,'Summary FR Kalbar'!$A10,'SMP (Sensus)'!$H$6:$H$578,"&gt;0",'SMP (Sensus)'!$L$6:$L$578,"&gt;5")</f>
        <v>5974.1500000000015</v>
      </c>
      <c r="J10" s="202">
        <f t="array" ref="J10">H10/$D10*100</f>
        <v>100</v>
      </c>
      <c r="K10" s="202">
        <f t="array" ref="K10">SUMIFS('SMP (Sensus)'!$K$6:$K$578,'SMP (Sensus)'!$A$6:$A$578,'Summary FR Kalbar'!$A10,'SMP (Sensus)'!$L$6:$L$578,"&gt;5")/SUMIFS('SMP (Sensus)'!$I$6:$I$578,'SMP (Sensus)'!$A$6:$A$578,'Summary FR Kalbar'!$A10,'SMP (Sensus)'!$L$6:$L$578,"&gt;5")*100</f>
        <v>13.840129441037705</v>
      </c>
      <c r="L10" s="199">
        <f t="array" ref="L10">COUNTIFS('SMP (Sensus)'!$A$6:$A$578,'Summary FR Kalbar'!$A10,'SMP (Sensus)'!$H$6:$H$578,"&gt;0",'SMP (Sensus)'!$L$6:$L$578,"&lt;=5",'SMP (Sensus)'!$L$6:$L$578,"&gt;2")</f>
        <v>0</v>
      </c>
      <c r="M10" s="200">
        <f t="array" ref="M10">SUMIFS('SMP (Sensus)'!$E$6:$E$578,'SMP (Sensus)'!$A$6:$A$578,'Summary FR Kalbar'!$A10,'SMP (Sensus)'!$H$6:$H$578,"&gt;0",'SMP (Sensus)'!$L$6:$L$578,"&lt;=5",'SMP (Sensus)'!$L$6:$L$578,"&gt;2")</f>
        <v>0</v>
      </c>
      <c r="N10" s="202">
        <f t="array" ref="N10">L10/$D10*100</f>
        <v>0</v>
      </c>
      <c r="O10" s="202" t="e">
        <f t="array" ref="O10">SUMIFS('SMP (Sensus)'!$K$6:$K$578,'SMP (Sensus)'!$A$6:$A$578,'Summary FR Kalbar'!$A10,'SMP (Sensus)'!$L$6:$L$578,"&lt;=5",'SMP (Sensus)'!$L$6:$L$578,"&gt;2")/SUMIFS('SMP (Sensus)'!$I$6:$I$578,'SMP (Sensus)'!$A$6:$A$578,'Summary FR Kalbar'!$A10,'SMP (Sensus)'!$L$6:$L$578,"&lt;=5",'SMP (Sensus)'!$L$6:$L$578,"&gt;2")*100</f>
        <v>#DIV/0!</v>
      </c>
      <c r="P10" s="199">
        <f>COUNTIFS('SMP (Sensus)'!$A$6:$A$578,'Summary FR Kalbar'!$A10,'SMP (Sensus)'!$H$6:$H$578,"&gt;0",'SMP (Sensus)'!$L$6:$L$578,"&lt;=2",'SMP (Sensus)'!$L$6:$L$578,"&gt;=0")</f>
        <v>0</v>
      </c>
      <c r="Q10" s="200">
        <f t="array" ref="Q10">SUMIFS('SMP (Sensus)'!$E$6:$E$578,'SMP (Sensus)'!$A$6:$A$578,'Summary FR Kalbar'!$A10,'SMP (Sensus)'!$H$6:$H$578,"&gt;0",'SMP (Sensus)'!$L$6:$L$578,"&lt;=2",'SMP (Sensus)'!$L$6:$L$578,"&gt;=0")</f>
        <v>0</v>
      </c>
      <c r="R10" s="202">
        <f t="array" ref="R10">P10/$D10*100</f>
        <v>0</v>
      </c>
      <c r="S10" s="202" t="e">
        <f>SUMIFS('SMP (Sensus)'!$K$6:$K$578,'SMP (Sensus)'!$A$6:$A$578,'Summary FR Kalbar'!$A10,'SMP (Sensus)'!$L$6:$L$578,"&lt;=2",'SMP (Sensus)'!$L$6:$L$578,"&gt;=0")/SUMIFS('SMP (Sensus)'!$I$6:$I$578,'SMP (Sensus)'!$A$6:$A$578,'Summary FR Kalbar'!$A10,'SMP (Sensus)'!$L$6:$L$578,"&lt;=2",'SMP (Sensus)'!$L$6:$L$578,"&gt;=0")*100</f>
        <v>#DIV/0!</v>
      </c>
      <c r="T10" s="137"/>
      <c r="U10" s="199" t="str">
        <f>A10</f>
        <v>SMP-1</v>
      </c>
      <c r="V10" s="199">
        <f>COUNTIFS('SMP (Deteksi)'!$A$6:$A$1000,'Summary FR Kalbar'!$A10)-5</f>
        <v>203</v>
      </c>
      <c r="W10" s="200">
        <f t="array" ref="W10">SUMIFS('SMP (Deteksi)'!$E$6:$E$1000,'SMP (Deteksi)'!$A$6:$A$1000,'Summary FR Kalbar'!$A10)</f>
        <v>5974.1500000000015</v>
      </c>
      <c r="X10" s="199">
        <f t="array" ref="X10">COUNTIFS('SMP (Deteksi)'!$A$6:$A$1000,'Summary FR Kalbar'!$A10,'SMP (Deteksi)'!$H$6:$H$1000,"&gt;0")</f>
        <v>203</v>
      </c>
      <c r="Y10" s="200">
        <f t="array" ref="Y10">SUMIFS('SMP (Deteksi)'!$E$6:$E$1000,'SMP (Deteksi)'!$A$6:$A$1000,'Summary FR Kalbar'!$A10,'SMP (Deteksi)'!$H$6:$H$1000,"&gt;0")</f>
        <v>5974.1500000000015</v>
      </c>
      <c r="Z10" s="201">
        <f t="shared" si="4"/>
        <v>100</v>
      </c>
      <c r="AA10" s="202">
        <f t="array" ref="AA10">IFERROR(SUMIFS('SMP (Deteksi)'!$K$6:$K$1000,'SMP (Deteksi)'!$A$6:$A$1000,'Summary FR Kalbar'!$A10,'SMP (Deteksi)'!$H$6:$H$1000,"&gt;0")/SUMIFS('SMP (Deteksi)'!$I$6:$I$1000,'SMP (Deteksi)'!$A$6:$A$1000,'Summary FR Kalbar'!$A10,'SMP (Deteksi)'!$H$6:$H$1000,"&gt;0")*100,0)</f>
        <v>1.5762948135968833</v>
      </c>
      <c r="AB10" s="199">
        <f>COUNTIFS('SMP (Deteksi)'!$A$6:$A$1000,'Summary FR Kalbar'!$A10,'SMP (Deteksi)'!$H$6:$H$1000,"&gt;0",'SMP (Deteksi)'!$L$6:$L$1000,"&gt;5")</f>
        <v>0</v>
      </c>
      <c r="AC10" s="200">
        <f>SUMIFS('SMP (Deteksi)'!$E$6:$E$1000,'SMP (Deteksi)'!$A$6:$A$1000,'Summary FR Kalbar'!$A10,'SMP (Deteksi)'!$H$6:$H$1000,"&gt;0",'SMP (Deteksi)'!$L$6:$L$1000,"&gt;5")</f>
        <v>0</v>
      </c>
      <c r="AD10" s="202">
        <f t="array" ref="AD10">AB10/$X10*100</f>
        <v>0</v>
      </c>
      <c r="AE10" s="202">
        <f>IFERROR(SUMIFS('SMP (Deteksi)'!$K$6:$K$1000,'SMP (Deteksi)'!$A$6:$A$1000,'Summary FR Kalbar'!$A10,'SMP (Deteksi)'!$H$6:$H$1000,"&gt;0",'SMP (Deteksi)'!$L$6:$L$1000,"&gt;5")/SUMIFS('SMP (Deteksi)'!$I$6:$I$1000,'SMP (Deteksi)'!$A$6:$A$1000,'Summary FR Kalbar'!$A10,'SMP (Deteksi)'!$H$6:$H$1000,"&gt;0",'SMP (Deteksi)'!$L$6:$L$1000,"&gt;5")*100,0)</f>
        <v>0</v>
      </c>
      <c r="AF10" s="199">
        <f t="array" ref="AF10">COUNTIFS('SMP (Deteksi)'!$A$6:$A$1000,'Summary FR Kalbar'!$A10,'SMP (Deteksi)'!$H$6:$H$1000,"&gt;0",'SMP (Deteksi)'!$L$6:$L$1000,"&lt;=5",'SMP (Deteksi)'!$L$6:$L$1000,"&gt;2")</f>
        <v>15</v>
      </c>
      <c r="AG10" s="200">
        <f t="array" ref="AG10">SUMIFS('SMP (Deteksi)'!$E$6:$E$1000,'SMP (Deteksi)'!$A$6:$A$1000,'Summary FR Kalbar'!$A10,'SMP (Deteksi)'!$H$6:$H$1000,"&gt;0",'SMP (Deteksi)'!$L$6:$L$1000,"&lt;=5",'SMP (Deteksi)'!$L$6:$L$1000,"&gt;2")</f>
        <v>438.46</v>
      </c>
      <c r="AH10" s="202">
        <f t="array" ref="AH10">AF10/$X10*100</f>
        <v>7.389162561576355</v>
      </c>
      <c r="AI10" s="202">
        <f t="array" ref="AI10">IFERROR(SUMIFS('SMP (Deteksi)'!$K$6:$K$1000,'SMP (Deteksi)'!$A$6:$A$1000,'Summary FR Kalbar'!$A10,'SMP (Deteksi)'!$H$6:$H$1000,"&gt;0",'SMP (Deteksi)'!$L$6:$L$1000,"&lt;=5",'SMP (Deteksi)'!$L$6:$L$1000,"&gt;2")/SUMIFS('SMP (Deteksi)'!$I$6:$I$1000,'SMP (Deteksi)'!$A$6:$A$1000,'Summary FR Kalbar'!$A10,'SMP (Deteksi)'!$H$6:$H$1000,"&gt;0",'SMP (Deteksi)'!$L$6:$L$1000,"&lt;=5",'SMP (Deteksi)'!$L$6:$L$1000,"&gt;2")*100,0)</f>
        <v>2.2691459186889378</v>
      </c>
      <c r="AJ10" s="199">
        <f>COUNTIFS('SMP (Deteksi)'!$A$6:$A$1000,'Summary FR Kalbar'!$A10,'SMP (Deteksi)'!$H$6:$H$1000,"&gt;0",'SMP (Deteksi)'!$L$6:$L$1000,"&lt;=2",'SMP (Deteksi)'!$L$6:$L$1000,"&gt;=0")</f>
        <v>188</v>
      </c>
      <c r="AK10" s="200">
        <f>SUMIFS('SMP (Deteksi)'!$E$6:$E$1000,'SMP (Deteksi)'!$A$6:$A$1000,'Summary FR Kalbar'!$A10,'SMP (Deteksi)'!$H$6:$H$1000,"&gt;0",'SMP (Deteksi)'!$L$6:$L$1000,"&lt;=2",'SMP (Deteksi)'!$L$6:$L$1000,"&gt;=0")</f>
        <v>5535.6900000000014</v>
      </c>
      <c r="AL10" s="202">
        <f t="array" ref="AL10">AJ10/$X10*100</f>
        <v>92.610837438423644</v>
      </c>
      <c r="AM10" s="202">
        <f>IFERROR(SUMIFS('SMP (Deteksi)'!$K$6:$K$1000,'SMP (Deteksi)'!$A$6:$A$1000,'Summary FR Kalbar'!$A10,'SMP (Deteksi)'!$H$6:$H$1000,"&gt;0",'SMP (Deteksi)'!$L$6:$L$1000,"&lt;=2",'SMP (Deteksi)'!$L$6:$L$1000,"&gt;=0")/SUMIFS('SMP (Deteksi)'!$I$6:$I$1000,'SMP (Deteksi)'!$A$6:$A$1000,'Summary FR Kalbar'!$A10,'SMP (Deteksi)'!$H$6:$H$1000,"&gt;0",'SMP (Deteksi)'!$L$6:$L$1000,"&lt;=2",'SMP (Deteksi)'!$L$6:$L$1000,"&gt;=0")*100,0)</f>
        <v>1.4876632801161103</v>
      </c>
      <c r="AN10" s="137"/>
    </row>
    <row r="11" spans="1:41" s="136" customFormat="1" ht="28" customHeight="1" x14ac:dyDescent="0.2">
      <c r="A11" s="199" t="s">
        <v>1739</v>
      </c>
      <c r="B11" s="199">
        <f>COUNTIFS('SMP (Sensus)'!$A$6:$A$578,'Summary FR Kalbar'!$A11)-16</f>
        <v>164</v>
      </c>
      <c r="C11" s="200">
        <f t="array" ref="C11">SUMIFS('SMP (Sensus)'!$E$6:$E$578,'SMP (Sensus)'!$A$6:$A$578,'Summary FR Kalbar'!$A11)</f>
        <v>4742.7699999999977</v>
      </c>
      <c r="D11" s="199">
        <f t="array" ref="D11">COUNTIFS('SMP (Sensus)'!$A$6:$A$578,'Summary FR Kalbar'!$A11,'SMP (Sensus)'!$H$6:$H$578,"&gt;0")</f>
        <v>164</v>
      </c>
      <c r="E11" s="200">
        <f t="array" ref="E11">SUMIFS('SMP (Sensus)'!$E$6:$E$578,'SMP (Sensus)'!$A$6:$A$578,'Summary FR Kalbar'!$A11,'SMP (Sensus)'!$H$6:$H$578,"&gt;0")</f>
        <v>4742.7699999999977</v>
      </c>
      <c r="F11" s="201">
        <f t="shared" si="0"/>
        <v>100</v>
      </c>
      <c r="G11" s="202">
        <f t="array" ref="G11">SUMIFS('SMP (Sensus)'!$K$6:$K$578,'SMP (Sensus)'!$A$6:$A$578,'Summary FR Kalbar'!$A11)/SUMIFS('SMP (Sensus)'!$I$6:$I$578,'SMP (Sensus)'!$A$6:$A$578,'Summary FR Kalbar'!$A11)*100</f>
        <v>18.873349424960953</v>
      </c>
      <c r="H11" s="199">
        <f t="array" ref="H11">COUNTIFS('SMP (Sensus)'!$A$6:$A$578,'Summary FR Kalbar'!$A11,'SMP (Sensus)'!$H$6:$H$578,"&gt;0",'SMP (Sensus)'!$L$6:$L$578,"&gt;5")</f>
        <v>150</v>
      </c>
      <c r="I11" s="200">
        <f t="array" ref="I11">SUMIFS('SMP (Sensus)'!$E$6:$E$578,'SMP (Sensus)'!$A$6:$A$578,'Summary FR Kalbar'!$A11,'SMP (Sensus)'!$H$6:$H$578,"&gt;0",'SMP (Sensus)'!$L$6:$L$578,"&gt;5")</f>
        <v>4389.0899999999992</v>
      </c>
      <c r="J11" s="202">
        <f t="array" ref="J11">H11/$D11*100</f>
        <v>91.463414634146346</v>
      </c>
      <c r="K11" s="202">
        <f t="array" ref="K11">SUMIFS('SMP (Sensus)'!$K$6:$K$578,'SMP (Sensus)'!$A$6:$A$578,'Summary FR Kalbar'!$A11,'SMP (Sensus)'!$L$6:$L$578,"&gt;5")/SUMIFS('SMP (Sensus)'!$I$6:$I$578,'SMP (Sensus)'!$A$6:$A$578,'Summary FR Kalbar'!$A11,'SMP (Sensus)'!$L$6:$L$578,"&gt;5")*100</f>
        <v>20.146213303887599</v>
      </c>
      <c r="L11" s="199">
        <f t="array" ref="L11">COUNTIFS('SMP (Sensus)'!$A$6:$A$578,'Summary FR Kalbar'!$A11,'SMP (Sensus)'!$H$6:$H$578,"&gt;0",'SMP (Sensus)'!$L$6:$L$578,"&lt;=5",'SMP (Sensus)'!$L$6:$L$578,"&gt;2")</f>
        <v>4</v>
      </c>
      <c r="M11" s="200">
        <f t="array" ref="M11">SUMIFS('SMP (Sensus)'!$E$6:$E$578,'SMP (Sensus)'!$A$6:$A$578,'Summary FR Kalbar'!$A11,'SMP (Sensus)'!$H$6:$H$578,"&gt;0",'SMP (Sensus)'!$L$6:$L$578,"&lt;=5",'SMP (Sensus)'!$L$6:$L$578,"&gt;2")</f>
        <v>100.96000000000001</v>
      </c>
      <c r="N11" s="202">
        <f t="array" ref="N11">L11/$D11*100</f>
        <v>2.4390243902439024</v>
      </c>
      <c r="O11" s="202">
        <f t="array" ref="O11">SUMIFS('SMP (Sensus)'!$K$6:$K$578,'SMP (Sensus)'!$A$6:$A$578,'Summary FR Kalbar'!$A11,'SMP (Sensus)'!$L$6:$L$578,"&lt;=5",'SMP (Sensus)'!$L$6:$L$578,"&gt;2")/SUMIFS('SMP (Sensus)'!$I$6:$I$578,'SMP (Sensus)'!$A$6:$A$578,'Summary FR Kalbar'!$A11,'SMP (Sensus)'!$L$6:$L$578,"&lt;=5",'SMP (Sensus)'!$L$6:$L$578,"&gt;2")*100</f>
        <v>3.3503277494537507</v>
      </c>
      <c r="P11" s="199">
        <f t="array" ref="P11">COUNTIFS('SMP (Sensus)'!$A$6:$A$578,'Summary FR Kalbar'!$A11,'SMP (Sensus)'!$H$6:$H$578,"&gt;0",'SMP (Sensus)'!$L$6:$L$578,"&lt;=2",'SMP (Sensus)'!$L$6:$L$578,"&gt;0")</f>
        <v>1</v>
      </c>
      <c r="Q11" s="200">
        <f t="array" ref="Q11">SUMIFS('SMP (Sensus)'!$E$6:$E$578,'SMP (Sensus)'!$A$6:$A$578,'Summary FR Kalbar'!$A11,'SMP (Sensus)'!$H$6:$H$578,"&gt;0",'SMP (Sensus)'!$L$6:$L$578,"&lt;=2",'SMP (Sensus)'!$L$6:$L$578,"&gt;=0")</f>
        <v>252.72</v>
      </c>
      <c r="R11" s="202">
        <f t="array" ref="R11">P11/$D11*100</f>
        <v>0.6097560975609756</v>
      </c>
      <c r="S11" s="202">
        <f t="array" ref="S11">IFERROR(SUMIFS('SMP (Sensus)'!$K$6:$K$578,'SMP (Sensus)'!$A$6:$A$578,'Summary FR Kalbar'!$A11,'SMP (Sensus)'!$L$6:$L$578,"&lt;=2",'SMP (Sensus)'!$L$6:$L$578,"&gt;0")/SUMIFS('SMP (Sensus)'!$I$6:$I$578,'SMP (Sensus)'!$A$6:$A$578,'Summary FR Kalbar'!$A11,'SMP (Sensus)'!$L$6:$L$578,"&lt;=2",'SMP (Sensus)'!$L$6:$L$578,"&gt;0")*100,0)</f>
        <v>1.639344262295082</v>
      </c>
      <c r="T11" s="137"/>
      <c r="U11" s="199" t="s">
        <v>1739</v>
      </c>
      <c r="V11" s="199">
        <f>COUNTIFS('SMP (Deteksi)'!$A$6:$A$1000,'Summary FR Kalbar'!$A11)-16</f>
        <v>164</v>
      </c>
      <c r="W11" s="200">
        <f t="array" ref="W11">SUMIFS('SMP (Deteksi)'!$E$6:$E$1000,'SMP (Deteksi)'!$A$6:$A$1000,'Summary FR Kalbar'!$A11)</f>
        <v>4742.7699999999977</v>
      </c>
      <c r="X11" s="199">
        <f t="array" ref="X11">COUNTIFS('SMP (Deteksi)'!$A$6:$A$1000,'Summary FR Kalbar'!$A11,'SMP (Deteksi)'!$H$6:$H$1000,"&gt;0")</f>
        <v>164</v>
      </c>
      <c r="Y11" s="200">
        <f t="array" ref="Y11">SUMIFS('SMP (Deteksi)'!$E$6:$E$1000,'SMP (Deteksi)'!$A$6:$A$1000,'Summary FR Kalbar'!$A11,'SMP (Deteksi)'!$H$6:$H$1000,"&gt;0")</f>
        <v>4742.7699999999977</v>
      </c>
      <c r="Z11" s="201">
        <f t="shared" si="4"/>
        <v>100</v>
      </c>
      <c r="AA11" s="202">
        <f t="array" ref="AA11">IFERROR(SUMIFS('SMP (Deteksi)'!$K$6:$K$1000,'SMP (Deteksi)'!$A$6:$A$1000,'Summary FR Kalbar'!$A11,'SMP (Deteksi)'!$H$6:$H$1000,"&gt;0")/SUMIFS('SMP (Deteksi)'!$I$6:$I$1000,'SMP (Deteksi)'!$A$6:$A$1000,'Summary FR Kalbar'!$A11,'SMP (Deteksi)'!$H$6:$H$1000,"&gt;0")*100,0)</f>
        <v>3.0335171828595673</v>
      </c>
      <c r="AB11" s="199">
        <f>COUNTIFS('SMP (Deteksi)'!$A$6:$A$1000,'Summary FR Kalbar'!$A11,'SMP (Deteksi)'!$H$6:$H$1000,"&gt;0",'SMP (Deteksi)'!$L$6:$L$1000,"&gt;5")</f>
        <v>27</v>
      </c>
      <c r="AC11" s="200">
        <f>SUMIFS('SMP (Deteksi)'!$E$6:$E$1000,'SMP (Deteksi)'!$A$6:$A$1000,'Summary FR Kalbar'!$A11,'SMP (Deteksi)'!$H$6:$H$1000,"&gt;0",'SMP (Deteksi)'!$L$6:$L$1000,"&gt;5")</f>
        <v>735.38000000000011</v>
      </c>
      <c r="AD11" s="202">
        <f t="array" ref="AD11">AB11/$X11*100</f>
        <v>16.463414634146343</v>
      </c>
      <c r="AE11" s="202">
        <f>IFERROR(SUMIFS('SMP (Deteksi)'!$K$6:$K$1000,'SMP (Deteksi)'!$A$6:$A$1000,'Summary FR Kalbar'!$A11,'SMP (Deteksi)'!$H$6:$H$1000,"&gt;0",'SMP (Deteksi)'!$L$6:$L$1000,"&gt;5")/SUMIFS('SMP (Deteksi)'!$I$6:$I$1000,'SMP (Deteksi)'!$A$6:$A$1000,'Summary FR Kalbar'!$A11,'SMP (Deteksi)'!$H$6:$H$1000,"&gt;0",'SMP (Deteksi)'!$L$6:$L$1000,"&gt;5")*100,0)</f>
        <v>6.576576576576576</v>
      </c>
      <c r="AF11" s="199">
        <f t="array" ref="AF11">COUNTIFS('SMP (Deteksi)'!$A$6:$A$1000,'Summary FR Kalbar'!$A11,'SMP (Deteksi)'!$H$6:$H$1000,"&gt;0",'SMP (Deteksi)'!$L$6:$L$1000,"&lt;=5",'SMP (Deteksi)'!$L$6:$L$1000,"&gt;2")</f>
        <v>80</v>
      </c>
      <c r="AG11" s="200">
        <f t="array" ref="AG11">SUMIFS('SMP (Deteksi)'!$E$6:$E$1000,'SMP (Deteksi)'!$A$6:$A$1000,'Summary FR Kalbar'!$A11,'SMP (Deteksi)'!$H$6:$H$1000,"&gt;0",'SMP (Deteksi)'!$L$6:$L$1000,"&lt;=5",'SMP (Deteksi)'!$L$6:$L$1000,"&gt;2")</f>
        <v>2315.2200000000003</v>
      </c>
      <c r="AH11" s="202">
        <f t="array" ref="AH11">AF11/$X11*100</f>
        <v>48.780487804878049</v>
      </c>
      <c r="AI11" s="202">
        <f t="array" ref="AI11">IFERROR(SUMIFS('SMP (Deteksi)'!$K$6:$K$1000,'SMP (Deteksi)'!$A$6:$A$1000,'Summary FR Kalbar'!$A11,'SMP (Deteksi)'!$H$6:$H$1000,"&gt;0",'SMP (Deteksi)'!$L$6:$L$1000,"&lt;=5",'SMP (Deteksi)'!$L$6:$L$1000,"&gt;2")/SUMIFS('SMP (Deteksi)'!$I$6:$I$1000,'SMP (Deteksi)'!$A$6:$A$1000,'Summary FR Kalbar'!$A11,'SMP (Deteksi)'!$H$6:$H$1000,"&gt;0",'SMP (Deteksi)'!$L$6:$L$1000,"&lt;=5",'SMP (Deteksi)'!$L$6:$L$1000,"&gt;2")*100,0)</f>
        <v>3.1692133559705717</v>
      </c>
      <c r="AJ11" s="199">
        <f>COUNTIFS('SMP (Deteksi)'!$A$6:$A$1000,'Summary FR Kalbar'!$A11,'SMP (Deteksi)'!$H$6:$H$1000,"&gt;0",'SMP (Deteksi)'!$L$6:$L$1000,"&lt;=2",'SMP (Deteksi)'!$L$6:$L$1000,"&gt;=0")</f>
        <v>57</v>
      </c>
      <c r="AK11" s="200">
        <f>SUMIFS('SMP (Deteksi)'!$E$6:$E$1000,'SMP (Deteksi)'!$A$6:$A$1000,'Summary FR Kalbar'!$A11,'SMP (Deteksi)'!$H$6:$H$1000,"&gt;0",'SMP (Deteksi)'!$L$6:$L$1000,"&lt;=2",'SMP (Deteksi)'!$L$6:$L$1000,"&gt;=0")</f>
        <v>1692.1699999999992</v>
      </c>
      <c r="AL11" s="202">
        <f t="array" ref="AL11">AJ11/$X11*100</f>
        <v>34.756097560975604</v>
      </c>
      <c r="AM11" s="202">
        <f>IFERROR(SUMIFS('SMP (Deteksi)'!$K$6:$K$1000,'SMP (Deteksi)'!$A$6:$A$1000,'Summary FR Kalbar'!$A11,'SMP (Deteksi)'!$H$6:$H$1000,"&gt;0",'SMP (Deteksi)'!$L$6:$L$1000,"&lt;=2",'SMP (Deteksi)'!$L$6:$L$1000,"&gt;=0")/SUMIFS('SMP (Deteksi)'!$I$6:$I$1000,'SMP (Deteksi)'!$A$6:$A$1000,'Summary FR Kalbar'!$A11,'SMP (Deteksi)'!$H$6:$H$1000,"&gt;0",'SMP (Deteksi)'!$L$6:$L$1000,"&lt;=2",'SMP (Deteksi)'!$L$6:$L$1000,"&gt;=0")*100,0)</f>
        <v>1.2154923774206838</v>
      </c>
      <c r="AN11" s="137"/>
    </row>
    <row r="12" spans="1:41" s="136" customFormat="1" ht="28" customHeight="1" x14ac:dyDescent="0.2">
      <c r="A12" s="45" t="s">
        <v>1741</v>
      </c>
      <c r="B12" s="45">
        <f>SUM(B10:B11)</f>
        <v>367</v>
      </c>
      <c r="C12" s="139">
        <f>SUM(C10:C11)</f>
        <v>10716.919999999998</v>
      </c>
      <c r="D12" s="45">
        <f>SUM(D10:D11)</f>
        <v>367</v>
      </c>
      <c r="E12" s="139">
        <f>SUM(E10:E11)</f>
        <v>10716.919999999998</v>
      </c>
      <c r="F12" s="47">
        <f t="shared" si="0"/>
        <v>100</v>
      </c>
      <c r="G12" s="46">
        <f t="array" ref="G12">SUMIFS('SMP (Sensus)'!$K$6:$K$578,'SMP (Sensus)'!$L$6:$L$578,"&gt;0")/SUMIFS('SMP (Sensus)'!$I$6:$I$578,'SMP (Sensus)'!$L$6:$L$578,"&gt;0")*100</f>
        <v>16.284073482928051</v>
      </c>
      <c r="H12" s="45">
        <f>SUM(H10:H11)</f>
        <v>353</v>
      </c>
      <c r="I12" s="139">
        <f>SUM(I10:I11)</f>
        <v>10363.240000000002</v>
      </c>
      <c r="J12" s="46">
        <f t="array" ref="J12">H12/$D12*100</f>
        <v>96.185286103542239</v>
      </c>
      <c r="K12" s="46">
        <f t="array" ref="K12">SUMIFS('SMP (Sensus)'!$K$6:$K$578,'SMP (Sensus)'!$L$6:$L$578,"&gt;5")/SUMIFS('SMP (Sensus)'!$I$6:$I$578,'SMP (Sensus)'!$L$6:$L$578,"&gt;5")*100</f>
        <v>16.467443465293918</v>
      </c>
      <c r="L12" s="45">
        <f>SUM(L10:L11)</f>
        <v>4</v>
      </c>
      <c r="M12" s="139">
        <f>SUM(M10:M11)</f>
        <v>100.96000000000001</v>
      </c>
      <c r="N12" s="46">
        <f t="array" ref="N12">L12/$D12*100</f>
        <v>1.0899182561307901</v>
      </c>
      <c r="O12" s="46">
        <f t="array" ref="O12">SUMIFS('SMP (Sensus)'!$K$6:$K$578,'SMP (Sensus)'!$L$6:$L$578,"&lt;=5",'SMP (Sensus)'!$L$6:$L$578,"&gt;2")/SUMIFS('SMP (Sensus)'!$I$6:$I$578,'SMP (Sensus)'!$L$6:$L$578,"&lt;=5",'SMP (Sensus)'!$L$6:$L$578,"&gt;2")*100</f>
        <v>3.3503277494537507</v>
      </c>
      <c r="P12" s="45">
        <f>SUM(P10:P11)</f>
        <v>1</v>
      </c>
      <c r="Q12" s="139">
        <f>SUM(Q10:Q11)</f>
        <v>252.72</v>
      </c>
      <c r="R12" s="46">
        <f t="array" ref="R12">P12/$D12*100</f>
        <v>0.27247956403269752</v>
      </c>
      <c r="S12" s="46">
        <f>SUMIFS('SMP (Sensus)'!$K$6:$K$578,'SMP (Sensus)'!$L$6:$L$578,"&lt;=2",'SMP (Sensus)'!$L$6:$L$578,"&gt;=0")/SUMIFS('SMP (Sensus)'!$I$6:$I$578,'SMP (Sensus)'!$L$6:$L$578,"&lt;=2",'SMP (Sensus)'!$L$6:$L$578,"&gt;=0")*100</f>
        <v>0.245398773006135</v>
      </c>
      <c r="T12" s="135"/>
      <c r="U12" s="45" t="s">
        <v>1741</v>
      </c>
      <c r="V12" s="45">
        <f>SUM(V10:V11)</f>
        <v>367</v>
      </c>
      <c r="W12" s="139">
        <f>SUM(W10:W11)</f>
        <v>10716.919999999998</v>
      </c>
      <c r="X12" s="45">
        <f>SUM(X10:X11)</f>
        <v>367</v>
      </c>
      <c r="Y12" s="139">
        <f>SUM(Y10:Y11)</f>
        <v>10716.919999999998</v>
      </c>
      <c r="Z12" s="47">
        <f t="shared" ref="Z12:Z14" si="5">X12/V12*100</f>
        <v>100</v>
      </c>
      <c r="AA12" s="46">
        <f>SUM('SMP (Deteksi)'!K6:K393)/SUM('SMP (Deteksi)'!I6:I393)*100</f>
        <v>2.0655761057954845</v>
      </c>
      <c r="AB12" s="45">
        <f>SUM(AB10:AB11)</f>
        <v>27</v>
      </c>
      <c r="AC12" s="139">
        <f>SUM(AC10:AC11)</f>
        <v>735.38000000000011</v>
      </c>
      <c r="AD12" s="46">
        <f>AB12/$X12*100</f>
        <v>7.3569482288828345</v>
      </c>
      <c r="AE12" s="46">
        <f t="array" ref="AE12">IFERROR(SUMIFS('SMP (Deteksi)'!$K$6:$K$1000,'SMP (Deteksi)'!$H$6:$H$1000,"&gt;0",'SMP (Deteksi)'!$L$6:$L$1000,"&gt;5")/SUMIFS('SMP (Deteksi)'!$I$6:$I$1000,'SMP (Deteksi)'!$H$6:$H$1000,"&gt;0",'SMP (Deteksi)'!$L$6:$L$1000,"&gt;5")*100,0)</f>
        <v>6.576576576576576</v>
      </c>
      <c r="AF12" s="45">
        <f>SUM(AF10:AF11)</f>
        <v>95</v>
      </c>
      <c r="AG12" s="139">
        <f>SUM(AG10:AG11)</f>
        <v>2753.6800000000003</v>
      </c>
      <c r="AH12" s="46">
        <f>AF12/$X12*100</f>
        <v>25.885558583106267</v>
      </c>
      <c r="AI12" s="46">
        <f t="array" ref="AI12">IFERROR(SUMIFS('SMP (Deteksi)'!$K$6:$K$1000,'SMP (Deteksi)'!$H$6:$H$1000,"&gt;0",'SMP (Deteksi)'!$L$6:$L$1000,"&lt;=5",'SMP (Deteksi)'!$L$6:$L$1000,"&gt;2")/SUMIFS('SMP (Deteksi)'!$I$6:$I$1000,'SMP (Deteksi)'!$H$6:$H$1000,"&gt;0",'SMP (Deteksi)'!$L$6:$L$1000,"&lt;=5",'SMP (Deteksi)'!$L$6:$L$1000,"&gt;2")*100,0)</f>
        <v>2.8903427399668002</v>
      </c>
      <c r="AJ12" s="45">
        <f>SUM(AJ10:AJ11)</f>
        <v>245</v>
      </c>
      <c r="AK12" s="139">
        <f>SUM(AK10:AK11)</f>
        <v>7227.8600000000006</v>
      </c>
      <c r="AL12" s="46">
        <f>AJ12/$X12*100</f>
        <v>66.757493188010898</v>
      </c>
      <c r="AM12" s="46">
        <f t="array" ref="AM12">IFERROR(SUMIFS('SMP (Deteksi)'!$K$6:$K$1000,'SMP (Deteksi)'!$H$6:$H$1000,"&gt;0",'SMP (Deteksi)'!$L$6:$L$1000,"&lt;=2",'SMP (Deteksi)'!$L$6:$L$1000,"&gt;=0")/SUMIFS('SMP (Deteksi)'!$I$6:$I$1000,'SMP (Deteksi)'!$H$6:$H$1000,"&gt;0",'SMP (Deteksi)'!$L$6:$L$1000,"&lt;=2",'SMP (Deteksi)'!$L$6:$L$1000,"&gt;=0")*100,0)</f>
        <v>1.4431182143097985</v>
      </c>
      <c r="AN12" s="135"/>
    </row>
    <row r="13" spans="1:41" ht="28" customHeight="1" collapsed="1" x14ac:dyDescent="0.15">
      <c r="A13" s="199" t="s">
        <v>1914</v>
      </c>
      <c r="B13" s="199">
        <f>COUNTIFS('MKSS (Sensus)'!$A$6:$A$578,'Summary FR Kalbar'!$A13)</f>
        <v>154</v>
      </c>
      <c r="C13" s="200">
        <f>SUMIFS('MKSS (Sensus)'!$E$6:$E$578,'MKSS (Sensus)'!$A$6:$A$578,'Summary FR Kalbar'!$A13)</f>
        <v>5164.0999999999995</v>
      </c>
      <c r="D13" s="199">
        <f t="array" ref="D13">COUNTIFS('MKSS (Sensus)'!$A$6:$A$578,'Summary FR Kalbar'!$A13,'MKSS (Sensus)'!$H$6:$H$578,"&gt;0")</f>
        <v>0</v>
      </c>
      <c r="E13" s="200">
        <f t="array" ref="E13">SUMIFS('MKSS (Sensus)'!$E$6:$E$578,'MKSS (Sensus)'!$A$6:$A$578,'Summary FR Kalbar'!$A13,'MKSS (Sensus)'!$H$6:$H$578,"&gt;0")</f>
        <v>0</v>
      </c>
      <c r="F13" s="201">
        <f>D13/B13*100</f>
        <v>0</v>
      </c>
      <c r="G13" s="202" t="e">
        <f t="array" ref="G13">SUMIFS('MKSS (Sensus)'!$K$6:$K$578,'MKSS (Sensus)'!$A$6:$A$578,'Summary FR Kalbar'!$A13)/SUMIFS('MKSS (Sensus)'!$I$6:$I$578,'MKSS (Sensus)'!$A$6:$A$578,'Summary FR Kalbar'!$A13)*100</f>
        <v>#DIV/0!</v>
      </c>
      <c r="H13" s="199">
        <f t="array" ref="H13">COUNTIFS('MKSS (Sensus)'!$A$6:$A$578,'Summary FR Kalbar'!$A13,'MKSS (Sensus)'!$H$6:$H$578,"&gt;0",'MKSS (Sensus)'!$L$6:$L$578,"&gt;5")</f>
        <v>0</v>
      </c>
      <c r="I13" s="200">
        <f>SUMIFS('MKSS (Sensus)'!$E$6:$E$578,'MKSS (Sensus)'!$A$6:$A$578,'Summary FR Kalbar'!$A13,'MKSS (Sensus)'!$H$6:$H$578,"&gt;0",'MKSS (Sensus)'!$L$6:$L$578,"&gt;5")</f>
        <v>0</v>
      </c>
      <c r="J13" s="202" t="e">
        <f t="array" ref="J13">H13/$D13*100</f>
        <v>#DIV/0!</v>
      </c>
      <c r="K13" s="202" t="e">
        <f t="array" ref="K13">SUMIFS('MKSS (Sensus)'!$K$6:$K$578,'MKSS (Sensus)'!$A$6:$A$578,'Summary FR Kalbar'!$A13,'MKSS (Sensus)'!$L$6:$L$578,"&gt;5")/SUMIFS('MKSS (Sensus)'!$I$6:$I$578,'MKSS (Sensus)'!$A$6:$A$578,'Summary FR Kalbar'!$A13,'MKSS (Sensus)'!$L$6:$L$578,"&gt;5")*100</f>
        <v>#DIV/0!</v>
      </c>
      <c r="L13" s="199">
        <f t="array" ref="L13">COUNTIFS('MKSS (Sensus)'!$A$6:$A$578,'Summary FR Kalbar'!$A13,'MKSS (Sensus)'!$H$6:$H$578,"&gt;0",'MKSS (Sensus)'!$L$6:$L$578,"&lt;=5",'MKSS (Sensus)'!$L$6:$L$578,"&gt;2")</f>
        <v>0</v>
      </c>
      <c r="M13" s="200">
        <f t="array" ref="M13">SUMIFS('MKSS (Sensus)'!$E$6:$E$578,'MKSS (Sensus)'!$A$6:$A$578,'Summary FR Kalbar'!$A13,'MKSS (Sensus)'!$H$6:$H$578,"&gt;0",'MKSS (Sensus)'!$L$6:$L$578,"&lt;=5",'MKSS (Sensus)'!$L$6:$L$578,"&gt;2")</f>
        <v>0</v>
      </c>
      <c r="N13" s="202" t="e">
        <f t="array" ref="N13">L13/$D13*100</f>
        <v>#DIV/0!</v>
      </c>
      <c r="O13" s="202" t="e">
        <f t="array" ref="O13">SUMIFS('MKSS (Sensus)'!$K$6:$K$578,'MKSS (Sensus)'!$A$6:$A$578,'Summary FR Kalbar'!$A13,'MKSS (Sensus)'!$L$6:$L$578,"&lt;=5",'MKSS (Sensus)'!$L$6:$L$578,"&gt;2")/SUMIFS('MKSS (Sensus)'!$I$6:$I$578,'MKSS (Sensus)'!$A$6:$A$578,'Summary FR Kalbar'!$A13,'MKSS (Sensus)'!$L$6:$L$578,"&lt;=5",'MKSS (Sensus)'!$L$6:$L$578,"&gt;2")*100</f>
        <v>#DIV/0!</v>
      </c>
      <c r="P13" s="199">
        <f>COUNTIFS('MKSS (Sensus)'!$A$6:$A$578,'Summary FR Kalbar'!$A13,'MKSS (Sensus)'!$H$6:$H$578,"&gt;0",'MKSS (Sensus)'!$L$6:$L$578,"&lt;=2",'MKSS (Sensus)'!$L$6:$L$578,"&gt;=0")</f>
        <v>0</v>
      </c>
      <c r="Q13" s="200">
        <f>SUMIFS('MKSS (Sensus)'!$E$6:$E$578,'MKSS (Sensus)'!$A$6:$A$578,'Summary FR Kalbar'!$A13,'MKSS (Sensus)'!$H$6:$H$578,"&gt;0",'MKSS (Sensus)'!$L$6:$L$578,"&lt;=2",'MKSS (Sensus)'!$L$6:$L$578,"&gt;=0")</f>
        <v>0</v>
      </c>
      <c r="R13" s="202" t="e">
        <f t="array" ref="R13">P13/$D13*100</f>
        <v>#DIV/0!</v>
      </c>
      <c r="S13" s="202" t="e">
        <f>SUMIFS('MKSS (Sensus)'!$K$6:$K$578,'MKSS (Sensus)'!$A$6:$A$578,'Summary FR Kalbar'!$A13,'MKSS (Sensus)'!$L$6:$L$578,"&lt;=2",'MKSS (Sensus)'!$L$6:$L$578,"&gt;=0")/SUMIFS('MKSS (Sensus)'!$I$6:$I$578,'MKSS (Sensus)'!$A$6:$A$578,'Summary FR Kalbar'!$A13,'MKSS (Sensus)'!$L$6:$L$578,"&lt;=2",'MKSS (Sensus)'!$L$6:$L$578,"&gt;=0")*100</f>
        <v>#DIV/0!</v>
      </c>
      <c r="U13" s="199" t="s">
        <v>1914</v>
      </c>
      <c r="V13" s="199">
        <f t="array" ref="V13">COUNTIFS('MKSS (Deteksi)'!$A$6:$A$1000,'Summary FR Kalbar'!$A13)</f>
        <v>154</v>
      </c>
      <c r="W13" s="200">
        <f t="array" ref="W13">SUMIFS('MKSS (Deteksi)'!$E$6:$E$1000,'MKSS (Deteksi)'!$A$6:$A$1000,'Summary FR Kalbar'!$A13)</f>
        <v>5164.0999999999995</v>
      </c>
      <c r="X13" s="199">
        <f t="array" ref="X13">COUNTIFS('MKSS (Deteksi)'!$A$6:$A$1000,'Summary FR Kalbar'!$A13,'MKSS (Deteksi)'!$H$6:$H$1000,"&gt;0")</f>
        <v>154</v>
      </c>
      <c r="Y13" s="200">
        <f t="array" ref="Y13">SUMIFS('MKSS (Deteksi)'!$E$6:$E$1000,'MKSS (Deteksi)'!$A$6:$A$1000,'Summary FR Kalbar'!$A13,'MKSS (Deteksi)'!$H$6:$H$1000,"&gt;0")</f>
        <v>5164.0999999999995</v>
      </c>
      <c r="Z13" s="201">
        <f t="shared" si="5"/>
        <v>100</v>
      </c>
      <c r="AA13" s="202">
        <f t="array" ref="AA13">IFERROR(SUMIFS('MKSS (Deteksi)'!$K$6:$K$1000,'MKSS (Deteksi)'!$A$6:$A$1000,'Summary FR Kalbar'!$A13,'MKSS (Deteksi)'!$H$6:$H$1000,"&gt;0")/SUMIFS('MKSS (Deteksi)'!$I$6:$I$1000,'MKSS (Deteksi)'!$A$6:$A$1000,'Summary FR Kalbar'!$A13,'MKSS (Deteksi)'!$H$6:$H$1000,"&gt;0")*100,0)</f>
        <v>0.82450731514646713</v>
      </c>
      <c r="AB13" s="199">
        <f>COUNTIFS('MKSS (Deteksi)'!$A$6:$A$1000,'Summary FR Kalbar'!$A13,'MKSS (Deteksi)'!$H$6:$H$1000,"&gt;0",'MKSS (Deteksi)'!$L$6:$L$1000,"&gt;5")</f>
        <v>0</v>
      </c>
      <c r="AC13" s="200">
        <f>SUMIFS('MKSS (Deteksi)'!$E$6:$E$1000,'MKSS (Deteksi)'!$A$6:$A$1000,'Summary FR Kalbar'!$A13,'MKSS (Deteksi)'!$H$6:$H$1000,"&gt;0",'MKSS (Deteksi)'!$L$6:$L$1000,"&gt;5")</f>
        <v>0</v>
      </c>
      <c r="AD13" s="202">
        <f t="array" ref="AD13">AB13/$X13*100</f>
        <v>0</v>
      </c>
      <c r="AE13" s="202">
        <f>IFERROR(SUMIFS('MKSS (Deteksi)'!$K$6:$K$1000,'MKSS (Deteksi)'!$A$6:$A$1000,'Summary FR Kalbar'!$A13,'MKSS (Deteksi)'!$H$6:$H$1000,"&gt;0",'MKSS (Deteksi)'!$L$6:$L$1000,"&gt;5")/SUMIFS('MKSS (Deteksi)'!$I$6:$I$1000,'MKSS (Deteksi)'!$A$6:$A$1000,'Summary FR Kalbar'!$A13,'MKSS (Deteksi)'!$H$6:$H$1000,"&gt;0",'MKSS (Deteksi)'!$L$6:$L$1000,"&gt;5")*100,0)</f>
        <v>0</v>
      </c>
      <c r="AF13" s="199">
        <f t="array" ref="AF13">COUNTIFS('MKSS (Deteksi)'!$A$6:$A$1000,'Summary FR Kalbar'!$A13,'MKSS (Deteksi)'!$H$6:$H$1000,"&gt;0",'MKSS (Deteksi)'!$L$6:$L$1000,"&lt;=5",'MKSS (Deteksi)'!$L$6:$L$1000,"&gt;2")</f>
        <v>14</v>
      </c>
      <c r="AG13" s="200">
        <f t="array" ref="AG13">SUMIFS('MKSS (Deteksi)'!$E$6:$E$1000,'MKSS (Deteksi)'!$A$6:$A$1000,'Summary FR Kalbar'!$A13,'MKSS (Deteksi)'!$H$6:$H$1000,"&gt;0",'MKSS (Deteksi)'!$L$6:$L$1000,"&lt;=5",'MKSS (Deteksi)'!$L$6:$L$1000,"&gt;2")</f>
        <v>481.37000000000006</v>
      </c>
      <c r="AH13" s="202">
        <f t="array" ref="AH13">AF13/$X13*100</f>
        <v>9.0909090909090917</v>
      </c>
      <c r="AI13" s="202">
        <f t="array" ref="AI13">IFERROR(SUMIFS('MKSS (Deteksi)'!$K$6:$K$1000,'MKSS (Deteksi)'!$A$6:$A$1000,'Summary FR Kalbar'!$A13,'MKSS (Deteksi)'!$H$6:$H$1000,"&gt;0",'MKSS (Deteksi)'!$L$6:$L$1000,"&lt;=5",'MKSS (Deteksi)'!$L$6:$L$1000,"&gt;2")/SUMIFS('MKSS (Deteksi)'!$I$6:$I$1000,'MKSS (Deteksi)'!$A$6:$A$1000,'Summary FR Kalbar'!$A13,'MKSS (Deteksi)'!$H$6:$H$1000,"&gt;0",'MKSS (Deteksi)'!$L$6:$L$1000,"&lt;=5",'MKSS (Deteksi)'!$L$6:$L$1000,"&gt;2")*100,0)</f>
        <v>2.3791821561338291</v>
      </c>
      <c r="AJ13" s="199">
        <f>COUNTIFS('MKSS (Deteksi)'!$A$6:$A$1000,'Summary FR Kalbar'!$A13,'MKSS (Deteksi)'!$H$6:$H$1000,"&gt;0",'MKSS (Deteksi)'!$L$6:$L$1000,"&lt;=2",'MKSS (Deteksi)'!$L$6:$L$1000,"&gt;=0")</f>
        <v>140</v>
      </c>
      <c r="AK13" s="200">
        <f>SUMIFS('MKSS (Deteksi)'!$E$6:$E$1000,'MKSS (Deteksi)'!$A$6:$A$1000,'Summary FR Kalbar'!$A13,'MKSS (Deteksi)'!$H$6:$H$1000,"&gt;0",'MKSS (Deteksi)'!$L$6:$L$1000,"&lt;=2",'MKSS (Deteksi)'!$L$6:$L$1000,"&gt;=0")</f>
        <v>4682.7299999999996</v>
      </c>
      <c r="AL13" s="202">
        <f t="array" ref="AL13">AJ13/$X13*100</f>
        <v>90.909090909090907</v>
      </c>
      <c r="AM13" s="202">
        <f>IFERROR(SUMIFS('MKSS (Deteksi)'!$K$6:$K$1000,'MKSS (Deteksi)'!$A$6:$A$1000,'Summary FR Kalbar'!$A13,'MKSS (Deteksi)'!$H$6:$H$1000,"&gt;0",'MKSS (Deteksi)'!$L$6:$L$1000,"&lt;=2",'MKSS (Deteksi)'!$L$6:$L$1000,"&gt;=0")/SUMIFS('MKSS (Deteksi)'!$I$6:$I$1000,'MKSS (Deteksi)'!$A$6:$A$1000,'Summary FR Kalbar'!$A13,'MKSS (Deteksi)'!$H$6:$H$1000,"&gt;0",'MKSS (Deteksi)'!$L$6:$L$1000,"&lt;=2",'MKSS (Deteksi)'!$L$6:$L$1000,"&gt;=0")*100,0)</f>
        <v>0.67044869427208409</v>
      </c>
      <c r="AN13" s="136"/>
      <c r="AO13" s="136"/>
    </row>
    <row r="14" spans="1:41" ht="28" customHeight="1" x14ac:dyDescent="0.15">
      <c r="A14" s="199" t="s">
        <v>1821</v>
      </c>
      <c r="B14" s="303" t="s">
        <v>2101</v>
      </c>
      <c r="C14" s="304"/>
      <c r="D14" s="304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304"/>
      <c r="Q14" s="304"/>
      <c r="R14" s="304"/>
      <c r="S14" s="305"/>
      <c r="U14" s="199" t="s">
        <v>1821</v>
      </c>
      <c r="V14" s="199">
        <f>COUNTIFS('MKSK (Deteksi)'!$A$6:$A$1000,'Summary FR Kalbar'!$A14)-2</f>
        <v>194</v>
      </c>
      <c r="W14" s="200">
        <f t="array" ref="W14">SUMIFS('MKSK (Deteksi)'!$E$6:$E$1000,'MKSK (Deteksi)'!$A$6:$A$1000,'Summary FR Kalbar'!$A14)</f>
        <v>5972.4400000000023</v>
      </c>
      <c r="X14" s="199">
        <f t="array" ref="X14">COUNTIFS('MKSK (Deteksi)'!$A$6:$A$1000,'Summary FR Kalbar'!$A14,'MKSK (Deteksi)'!$H$6:$H$1000,"&gt;0")</f>
        <v>194</v>
      </c>
      <c r="Y14" s="200">
        <f t="array" ref="Y14">SUMIFS('MKSK (Deteksi)'!$E$6:$E$1000,'MKSK (Deteksi)'!$A$6:$A$1000,'Summary FR Kalbar'!$A14,'MKSK (Deteksi)'!$H$6:$H$1000,"&gt;0")</f>
        <v>5936.8100000000013</v>
      </c>
      <c r="Z14" s="201">
        <f t="shared" si="5"/>
        <v>100</v>
      </c>
      <c r="AA14" s="202">
        <f t="array" ref="AA14">IFERROR(SUMIFS('MKSK (Deteksi)'!$K$6:$K$1000,'MKSK (Deteksi)'!$A$6:$A$1000,'Summary FR Kalbar'!$A14,'MKSK (Deteksi)'!$H$6:$H$1000,"&gt;0")/SUMIFS('MKSK (Deteksi)'!$I$6:$I$1000,'MKSK (Deteksi)'!$A$6:$A$1000,'Summary FR Kalbar'!$A14,'MKSK (Deteksi)'!$H$6:$H$1000,"&gt;0")*100,0)</f>
        <v>5.8107041883095532</v>
      </c>
      <c r="AB14" s="199">
        <f>COUNTIFS('MKSK (Deteksi)'!$A$6:$A$1000,'Summary FR Kalbar'!$A14,'MKSK (Deteksi)'!$H$6:$H$1000,"&gt;0",'MKSK (Deteksi)'!$L$6:$L$1000,"&gt;5")</f>
        <v>85</v>
      </c>
      <c r="AC14" s="200">
        <f>SUMIFS('MKSK (Deteksi)'!$E$6:$E$1000,'MKSK (Deteksi)'!$A$6:$A$1000,'Summary FR Kalbar'!$A14,'MKSK (Deteksi)'!$H$6:$H$1000,"&gt;0",'MKSK (Deteksi)'!$L$6:$L$1000,"&gt;5")</f>
        <v>2747.0100000000007</v>
      </c>
      <c r="AD14" s="202">
        <f t="array" ref="AD14">AB14/$X14*100</f>
        <v>43.814432989690722</v>
      </c>
      <c r="AE14" s="202">
        <f>IFERROR(SUMIFS('MKSK (Deteksi)'!$K$6:$K$1000,'MKSK (Deteksi)'!$A$6:$A$1000,'Summary FR Kalbar'!$A14,'MKSK (Deteksi)'!$H$6:$H$1000,"&gt;0",'MKSK (Deteksi)'!$L$6:$L$1000,"&gt;5")/SUMIFS('MKSK (Deteksi)'!$I$6:$I$1000,'MKSK (Deteksi)'!$A$6:$A$1000,'Summary FR Kalbar'!$A14,'MKSK (Deteksi)'!$H$6:$H$1000,"&gt;0",'MKSK (Deteksi)'!$L$6:$L$1000,"&gt;5")*100,0)</f>
        <v>8.2935348207284907</v>
      </c>
      <c r="AF14" s="199">
        <f t="array" ref="AF14">COUNTIFS('MKSK (Deteksi)'!$A$6:$A$1000,'Summary FR Kalbar'!$A14,'MKSK (Deteksi)'!$H$6:$H$1000,"&gt;0",'MKSK (Deteksi)'!$L$6:$L$1000,"&lt;=5",'MKSK (Deteksi)'!$L$6:$L$1000,"&gt;2")</f>
        <v>100</v>
      </c>
      <c r="AG14" s="200">
        <f t="array" ref="AG14">SUMIFS('MKSK (Deteksi)'!$E$6:$E$1000,'MKSK (Deteksi)'!$A$6:$A$1000,'Summary FR Kalbar'!$A14,'MKSK (Deteksi)'!$H$6:$H$1000,"&gt;0",'MKSK (Deteksi)'!$L$6:$L$1000,"&lt;=5",'MKSK (Deteksi)'!$L$6:$L$1000,"&gt;2")</f>
        <v>2924.1299999999987</v>
      </c>
      <c r="AH14" s="202">
        <f t="array" ref="AH14">AF14/$X14*100</f>
        <v>51.546391752577314</v>
      </c>
      <c r="AI14" s="202">
        <f t="array" ref="AI14">IFERROR(SUMIFS('MKSK (Deteksi)'!$K$6:$K$1000,'MKSK (Deteksi)'!$A$6:$A$1000,'Summary FR Kalbar'!$A14,'MKSK (Deteksi)'!$H$6:$H$1000,"&gt;0",'MKSK (Deteksi)'!$L$6:$L$1000,"&lt;=5",'MKSK (Deteksi)'!$L$6:$L$1000,"&gt;2")/SUMIFS('MKSK (Deteksi)'!$I$6:$I$1000,'MKSK (Deteksi)'!$A$6:$A$1000,'Summary FR Kalbar'!$A14,'MKSK (Deteksi)'!$H$6:$H$1000,"&gt;0",'MKSK (Deteksi)'!$L$6:$L$1000,"&lt;=5",'MKSK (Deteksi)'!$L$6:$L$1000,"&gt;2")*100,0)</f>
        <v>3.826497182544883</v>
      </c>
      <c r="AJ14" s="199">
        <f>COUNTIFS('MKSK (Deteksi)'!$A$6:$A$1000,'Summary FR Kalbar'!$A14,'MKSK (Deteksi)'!$H$6:$H$1000,"&gt;0",'MKSK (Deteksi)'!$L$6:$L$1000,"&lt;=2",'MKSK (Deteksi)'!$L$6:$L$1000,"&gt;=0")</f>
        <v>9</v>
      </c>
      <c r="AK14" s="200">
        <f>SUMIFS('MKSK (Deteksi)'!$E$6:$E$1000,'MKSK (Deteksi)'!$A$6:$A$1000,'Summary FR Kalbar'!$A14,'MKSK (Deteksi)'!$H$6:$H$1000,"&gt;0",'MKSK (Deteksi)'!$L$6:$L$1000,"&lt;=2",'MKSK (Deteksi)'!$L$6:$L$1000,"&gt;=0")</f>
        <v>265.66999999999996</v>
      </c>
      <c r="AL14" s="202">
        <f t="array" ref="AL14">AJ14/$X14*100</f>
        <v>4.6391752577319592</v>
      </c>
      <c r="AM14" s="202">
        <f>IFERROR(SUMIFS('MKSK (Deteksi)'!$K$6:$K$1000,'MKSK (Deteksi)'!$A$6:$A$1000,'Summary FR Kalbar'!$A14,'MKSK (Deteksi)'!$H$6:$H$1000,"&gt;0",'MKSK (Deteksi)'!$L$6:$L$1000,"&lt;=2",'MKSK (Deteksi)'!$L$6:$L$1000,"&gt;=0")/SUMIFS('MKSK (Deteksi)'!$I$6:$I$1000,'MKSK (Deteksi)'!$A$6:$A$1000,'Summary FR Kalbar'!$A14,'MKSK (Deteksi)'!$H$6:$H$1000,"&gt;0",'MKSK (Deteksi)'!$L$6:$L$1000,"&lt;=2",'MKSK (Deteksi)'!$L$6:$L$1000,"&gt;=0")*100,0)</f>
        <v>1.7746228926353149</v>
      </c>
      <c r="AN14" s="136"/>
      <c r="AO14" s="136"/>
    </row>
    <row r="15" spans="1:41" ht="28" customHeight="1" collapsed="1" x14ac:dyDescent="0.15">
      <c r="A15" s="199" t="s">
        <v>1970</v>
      </c>
      <c r="B15" s="199">
        <f>COUNTIFS('PTLJ (Sensus)'!$A$6:$A$578,'Summary FR Kalbar'!$A15)</f>
        <v>90</v>
      </c>
      <c r="C15" s="200">
        <f>SUMIFS('PTLJ (Sensus)'!$E$6:$E$578,'PTLJ (Sensus)'!$A$6:$A$578,'Summary FR Kalbar'!$A15)</f>
        <v>2910.9299999999994</v>
      </c>
      <c r="D15" s="199">
        <f t="array" ref="D15">COUNTIFS('PTLJ (Sensus)'!$A$6:$A$578,'Summary FR Kalbar'!$A15,'PTLJ (Sensus)'!$H$6:$H$578,"&gt;0")</f>
        <v>53</v>
      </c>
      <c r="E15" s="200">
        <f t="array" ref="E15">SUMIFS('PTLJ (Sensus)'!$E$6:$E$578,'PTLJ (Sensus)'!$A$6:$A$578,'Summary FR Kalbar'!$A15,'PTLJ (Sensus)'!$H$6:$H$578,"&gt;0")</f>
        <v>1705.3899999999999</v>
      </c>
      <c r="F15" s="201">
        <f>D15/B15*100</f>
        <v>58.888888888888893</v>
      </c>
      <c r="G15" s="202">
        <f t="array" ref="G15">SUMIFS('PTLJ (Sensus)'!$K$6:$K$578,'PTLJ (Sensus)'!$A$6:$A$578,'Summary FR Kalbar'!$A15)/SUMIFS('PTLJ (Sensus)'!$I$6:$I$578,'PTLJ (Sensus)'!$A$6:$A$578,'Summary FR Kalbar'!$A15)*100</f>
        <v>4.8001817867293708</v>
      </c>
      <c r="H15" s="199">
        <f t="array" ref="H15">COUNTIFS('PTLJ (Sensus)'!$A$6:$A$578,'Summary FR Kalbar'!$A15,'PTLJ (Sensus)'!$H$6:$H$578,"&gt;0",'PTLJ (Sensus)'!$L$6:$L$578,"&gt;5")</f>
        <v>23</v>
      </c>
      <c r="I15" s="200">
        <f>SUMIFS('PTLJ (Sensus)'!$E$6:$E$578,'PTLJ (Sensus)'!$A$6:$A$578,'Summary FR Kalbar'!$A15,'PTLJ (Sensus)'!$H$6:$H$578,"&gt;0",'PTLJ (Sensus)'!$L$6:$L$578,"&gt;5")</f>
        <v>787.04</v>
      </c>
      <c r="J15" s="202">
        <f t="array" ref="J15">H15/$D15*100</f>
        <v>43.39622641509434</v>
      </c>
      <c r="K15" s="202">
        <f t="array" ref="K15">SUMIFS('PTLJ (Sensus)'!$K$6:$K$578,'PTLJ (Sensus)'!$A$6:$A$578,'Summary FR Kalbar'!$A15,'PTLJ (Sensus)'!$L$6:$L$578,"&gt;5")/SUMIFS('PTLJ (Sensus)'!$I$6:$I$578,'PTLJ (Sensus)'!$A$6:$A$578,'Summary FR Kalbar'!$A15,'PTLJ (Sensus)'!$L$6:$L$578,"&gt;5")*100</f>
        <v>6.5379756069274029</v>
      </c>
      <c r="L15" s="199">
        <f t="array" ref="L15">COUNTIFS('PTLJ (Sensus)'!$A$6:$A$578,'Summary FR Kalbar'!$A15,'PTLJ (Sensus)'!$H$6:$H$578,"&gt;0",'PTLJ (Sensus)'!$L$6:$L$578,"&lt;=5",'PTLJ (Sensus)'!$L$6:$L$578,"&gt;2")</f>
        <v>25</v>
      </c>
      <c r="M15" s="200">
        <f t="array" ref="M15">SUMIFS('PTLJ (Sensus)'!$E$6:$E$578,'PTLJ (Sensus)'!$A$6:$A$578,'Summary FR Kalbar'!$A15,'PTLJ (Sensus)'!$H$6:$H$578,"&gt;0",'PTLJ (Sensus)'!$L$6:$L$578,"&lt;=5",'PTLJ (Sensus)'!$L$6:$L$578,"&gt;2")</f>
        <v>767.15</v>
      </c>
      <c r="N15" s="202">
        <f t="array" ref="N15">L15/$D15*100</f>
        <v>47.169811320754718</v>
      </c>
      <c r="O15" s="202">
        <f t="array" ref="O15">SUMIFS('PTLJ (Sensus)'!$K$6:$K$578,'PTLJ (Sensus)'!$A$6:$A$578,'Summary FR Kalbar'!$A15,'PTLJ (Sensus)'!$L$6:$L$578,"&lt;=5",'PTLJ (Sensus)'!$L$6:$L$578,"&gt;2")/SUMIFS('PTLJ (Sensus)'!$I$6:$I$578,'PTLJ (Sensus)'!$A$6:$A$578,'Summary FR Kalbar'!$A15,'PTLJ (Sensus)'!$L$6:$L$578,"&lt;=5",'PTLJ (Sensus)'!$L$6:$L$578,"&gt;2")*100</f>
        <v>3.908078095124575</v>
      </c>
      <c r="P15" s="199">
        <f>COUNTIFS('PTLJ (Sensus)'!$A$6:$A$578,'Summary FR Kalbar'!$A15,'PTLJ (Sensus)'!$H$6:$H$578,"&gt;0",'PTLJ (Sensus)'!$L$6:$L$578,"&lt;=2",'PTLJ (Sensus)'!$L$6:$L$578,"&gt;=0")</f>
        <v>5</v>
      </c>
      <c r="Q15" s="200">
        <f>SUMIFS('PTLJ (Sensus)'!$E$6:$E$578,'PTLJ (Sensus)'!$A$6:$A$578,'Summary FR Kalbar'!$A15,'PTLJ (Sensus)'!$H$6:$H$578,"&gt;0",'PTLJ (Sensus)'!$L$6:$L$578,"&lt;=2",'PTLJ (Sensus)'!$L$6:$L$578,"&gt;=0")</f>
        <v>151.19999999999999</v>
      </c>
      <c r="R15" s="202">
        <f t="array" ref="R15">P15/$D15*100</f>
        <v>9.433962264150944</v>
      </c>
      <c r="S15" s="202">
        <f>SUMIFS('PTLJ (Sensus)'!$K$6:$K$578,'PTLJ (Sensus)'!$A$6:$A$578,'Summary FR Kalbar'!$A15,'PTLJ (Sensus)'!$L$6:$L$578,"&lt;=2",'PTLJ (Sensus)'!$L$6:$L$578,"&gt;=0")/SUMIFS('PTLJ (Sensus)'!$I$6:$I$578,'PTLJ (Sensus)'!$A$6:$A$578,'Summary FR Kalbar'!$A15,'PTLJ (Sensus)'!$L$6:$L$578,"&lt;=2",'PTLJ (Sensus)'!$L$6:$L$578,"&gt;=0")*100</f>
        <v>0.69578662543486658</v>
      </c>
      <c r="U15" s="199" t="str">
        <f>A15</f>
        <v>PTLJ</v>
      </c>
      <c r="V15" s="199">
        <f>COUNTIFS('PTLJ (Deteksi)'!$A$6:$A$1000,'Summary FR Kalbar'!$A15)-3</f>
        <v>87</v>
      </c>
      <c r="W15" s="200">
        <f t="array" ref="W15">SUMIFS('PTLJ (Deteksi)'!$E$6:$E$1000,'PTLJ (Deteksi)'!$A$6:$A$1000,'Summary FR Kalbar'!$A15)</f>
        <v>2910.9299999999994</v>
      </c>
      <c r="X15" s="199">
        <f t="array" ref="X15">COUNTIFS('PTLJ (Deteksi)'!$A$6:$A$1000,'Summary FR Kalbar'!$A15,'PTLJ (Deteksi)'!$H$6:$H$1000,"&gt;0")</f>
        <v>87</v>
      </c>
      <c r="Y15" s="200">
        <f t="array" ref="Y15">SUMIFS('PTLJ (Deteksi)'!$E$6:$E$1000,'PTLJ (Deteksi)'!$A$6:$A$1000,'Summary FR Kalbar'!$A15,'PTLJ (Deteksi)'!$H$6:$H$1000,"&gt;0")</f>
        <v>2818.4999999999991</v>
      </c>
      <c r="Z15" s="201">
        <f t="shared" ref="Z15:Z16" si="6">X15/V15*100</f>
        <v>100</v>
      </c>
      <c r="AA15" s="202">
        <f t="array" ref="AA15">IFERROR(SUMIFS('PTLJ (Deteksi)'!$K$6:$K$1000,'PTLJ (Deteksi)'!$A$6:$A$1000,'Summary FR Kalbar'!$A15,'PTLJ (Deteksi)'!$H$6:$H$1000,"&gt;0")/SUMIFS('PTLJ (Deteksi)'!$I$6:$I$1000,'PTLJ (Deteksi)'!$A$6:$A$1000,'Summary FR Kalbar'!$A15,'PTLJ (Deteksi)'!$H$6:$H$1000,"&gt;0")*100,0)</f>
        <v>2.9599694172901536</v>
      </c>
      <c r="AB15" s="199">
        <f>COUNTIFS('PTLJ (Deteksi)'!$A$6:$A$1000,'Summary FR Kalbar'!$A15,'PTLJ (Deteksi)'!$H$6:$H$1000,"&gt;0",'PTLJ (Deteksi)'!$L$6:$L$1000,"&gt;5")</f>
        <v>0</v>
      </c>
      <c r="AC15" s="200">
        <f>SUMIFS('PTLJ (Deteksi)'!$E$6:$E$1000,'PTLJ (Deteksi)'!$A$6:$A$1000,'Summary FR Kalbar'!$A15,'PTLJ (Deteksi)'!$H$6:$H$1000,"&gt;0",'PTLJ (Deteksi)'!$L$6:$L$1000,"&gt;5")</f>
        <v>0</v>
      </c>
      <c r="AD15" s="202">
        <f t="array" ref="AD15">AB15/$X15*100</f>
        <v>0</v>
      </c>
      <c r="AE15" s="202">
        <f>IFERROR(SUMIFS('PTLJ (Deteksi)'!$K$6:$K$1000,'PTLJ (Deteksi)'!$A$6:$A$1000,'Summary FR Kalbar'!$A15,'PTLJ (Deteksi)'!$H$6:$H$1000,"&gt;0",'PTLJ (Deteksi)'!$L$6:$L$1000,"&gt;5")/SUMIFS('PTLJ (Deteksi)'!$I$6:$I$1000,'PTLJ (Deteksi)'!$A$6:$A$1000,'Summary FR Kalbar'!$A15,'PTLJ (Deteksi)'!$H$6:$H$1000,"&gt;0",'PTLJ (Deteksi)'!$L$6:$L$1000,"&gt;5")*100,0)</f>
        <v>0</v>
      </c>
      <c r="AF15" s="199">
        <f t="array" ref="AF15">COUNTIFS('PTLJ (Deteksi)'!$A$6:$A$1000,'Summary FR Kalbar'!$A15,'PTLJ (Deteksi)'!$H$6:$H$1000,"&gt;0",'PTLJ (Deteksi)'!$L$6:$L$1000,"&lt;=5",'PTLJ (Deteksi)'!$L$6:$L$1000,"&gt;2")</f>
        <v>77</v>
      </c>
      <c r="AG15" s="200">
        <f t="array" ref="AG15">SUMIFS('PTLJ (Deteksi)'!$E$6:$E$1000,'PTLJ (Deteksi)'!$A$6:$A$1000,'Summary FR Kalbar'!$A15,'PTLJ (Deteksi)'!$H$6:$H$1000,"&gt;0",'PTLJ (Deteksi)'!$L$6:$L$1000,"&lt;=5",'PTLJ (Deteksi)'!$L$6:$L$1000,"&gt;2")</f>
        <v>2482.6199999999994</v>
      </c>
      <c r="AH15" s="202">
        <f t="array" ref="AH15">AF15/$X15*100</f>
        <v>88.505747126436788</v>
      </c>
      <c r="AI15" s="202">
        <f t="array" ref="AI15">IFERROR(SUMIFS('PTLJ (Deteksi)'!$K$6:$K$1000,'PTLJ (Deteksi)'!$A$6:$A$1000,'Summary FR Kalbar'!$A15,'PTLJ (Deteksi)'!$H$6:$H$1000,"&gt;0",'PTLJ (Deteksi)'!$L$6:$L$1000,"&lt;=5",'PTLJ (Deteksi)'!$L$6:$L$1000,"&gt;2")/SUMIFS('PTLJ (Deteksi)'!$I$6:$I$1000,'PTLJ (Deteksi)'!$A$6:$A$1000,'Summary FR Kalbar'!$A15,'PTLJ (Deteksi)'!$H$6:$H$1000,"&gt;0",'PTLJ (Deteksi)'!$L$6:$L$1000,"&lt;=5",'PTLJ (Deteksi)'!$L$6:$L$1000,"&gt;2")*100,0)</f>
        <v>3.131066441229883</v>
      </c>
      <c r="AJ15" s="199">
        <f>COUNTIFS('PTLJ (Deteksi)'!$A$6:$A$1000,'Summary FR Kalbar'!$A15,'PTLJ (Deteksi)'!$H$6:$H$1000,"&gt;0",'PTLJ (Deteksi)'!$L$6:$L$1000,"&lt;=2",'PTLJ (Deteksi)'!$L$6:$L$1000,"&gt;=0")</f>
        <v>10</v>
      </c>
      <c r="AK15" s="200">
        <f>SUMIFS('PTLJ (Deteksi)'!$E$6:$E$1000,'PTLJ (Deteksi)'!$A$6:$A$1000,'Summary FR Kalbar'!$A15,'PTLJ (Deteksi)'!$H$6:$H$1000,"&gt;0",'PTLJ (Deteksi)'!$L$6:$L$1000,"&lt;=2",'PTLJ (Deteksi)'!$L$6:$L$1000,"&gt;=0")</f>
        <v>335.88</v>
      </c>
      <c r="AL15" s="202">
        <f t="array" ref="AL15">AJ15/$X15*100</f>
        <v>11.494252873563218</v>
      </c>
      <c r="AM15" s="202">
        <f>IFERROR(SUMIFS('PTLJ (Deteksi)'!$K$6:$K$1000,'PTLJ (Deteksi)'!$A$6:$A$1000,'Summary FR Kalbar'!$A15,'PTLJ (Deteksi)'!$H$6:$H$1000,"&gt;0",'PTLJ (Deteksi)'!$L$6:$L$1000,"&lt;=2",'PTLJ (Deteksi)'!$L$6:$L$1000,"&gt;=0")/SUMIFS('PTLJ (Deteksi)'!$I$6:$I$1000,'PTLJ (Deteksi)'!$A$6:$A$1000,'Summary FR Kalbar'!$A15,'PTLJ (Deteksi)'!$H$6:$H$1000,"&gt;0",'PTLJ (Deteksi)'!$L$6:$L$1000,"&lt;=2",'PTLJ (Deteksi)'!$L$6:$L$1000,"&gt;=0")*100,0)</f>
        <v>1.7933390264730997</v>
      </c>
      <c r="AN15" s="136"/>
      <c r="AO15" s="136"/>
    </row>
    <row r="16" spans="1:41" ht="28" customHeight="1" x14ac:dyDescent="0.15">
      <c r="A16" s="199" t="s">
        <v>1927</v>
      </c>
      <c r="B16" s="199">
        <f>COUNTIFS('BKP (Sensus)'!$A$6:$A$578,'Summary FR Kalbar'!$A16)</f>
        <v>95</v>
      </c>
      <c r="C16" s="200">
        <f>SUMIFS('BKP (Sensus)'!$E$6:$E$578,'BKP (Sensus)'!$A$6:$A$578,'Summary FR Kalbar'!$A16)</f>
        <v>3146.6899999999996</v>
      </c>
      <c r="D16" s="199">
        <f t="array" ref="D16">COUNTIFS('BKP (Sensus)'!$A$6:$A$578,'Summary FR Kalbar'!$A16,'BKP (Sensus)'!$H$6:$H$578,"&gt;0")</f>
        <v>35</v>
      </c>
      <c r="E16" s="200">
        <f t="array" ref="E16">SUMIFS('BKP (Sensus)'!$E$6:$E$578,'BKP (Sensus)'!$A$6:$A$578,'Summary FR Kalbar'!$A16,'BKP (Sensus)'!$H$6:$H$578,"&gt;0")</f>
        <v>1131.9099999999999</v>
      </c>
      <c r="F16" s="201">
        <f>D16/B16*100</f>
        <v>36.84210526315789</v>
      </c>
      <c r="G16" s="202">
        <f t="array" ref="G16">SUMIFS('BKP (Sensus)'!$K$6:$K$578,'BKP (Sensus)'!$A$6:$A$578,'Summary FR Kalbar'!$A16)/SUMIFS('BKP (Sensus)'!$I$6:$I$578,'BKP (Sensus)'!$A$6:$A$578,'Summary FR Kalbar'!$A16)*100</f>
        <v>9.5044914517531147</v>
      </c>
      <c r="H16" s="199">
        <f t="array" ref="H16">COUNTIFS('BKP (Sensus)'!$A$6:$A$578,'Summary FR Kalbar'!$A16,'BKP (Sensus)'!$H$6:$H$578,"&gt;0",'BKP (Sensus)'!$L$6:$L$578,"&gt;5")</f>
        <v>28</v>
      </c>
      <c r="I16" s="200">
        <f>SUMIFS('BKP (Sensus)'!$E$6:$E$578,'BKP (Sensus)'!$A$6:$A$578,'Summary FR Kalbar'!$A16,'BKP (Sensus)'!$H$6:$H$578,"&gt;0",'BKP (Sensus)'!$L$6:$L$578,"&gt;5")</f>
        <v>896.98</v>
      </c>
      <c r="J16" s="202">
        <f t="array" ref="J16">H16/$D16*100</f>
        <v>80</v>
      </c>
      <c r="K16" s="202">
        <f t="array" ref="K16">SUMIFS('BKP (Sensus)'!$K$6:$K$578,'BKP (Sensus)'!$A$6:$A$578,'Summary FR Kalbar'!$A16,'BKP (Sensus)'!$L$6:$L$578,"&gt;5")/SUMIFS('BKP (Sensus)'!$I$6:$I$578,'BKP (Sensus)'!$A$6:$A$578,'Summary FR Kalbar'!$A16,'BKP (Sensus)'!$L$6:$L$578,"&gt;5")*100</f>
        <v>11.180297397769516</v>
      </c>
      <c r="L16" s="199">
        <f t="array" ref="L16">COUNTIFS('BKP (Sensus)'!$A$6:$A$578,'Summary FR Kalbar'!$A16,'BKP (Sensus)'!$H$6:$H$578,"&gt;0",'BKP (Sensus)'!$L$6:$L$578,"&lt;=5",'BKP (Sensus)'!$L$6:$L$578,"&gt;2")</f>
        <v>6</v>
      </c>
      <c r="M16" s="200">
        <f t="array" ref="M16">SUMIFS('BKP (Sensus)'!$E$6:$E$578,'BKP (Sensus)'!$A$6:$A$578,'Summary FR Kalbar'!$A16,'BKP (Sensus)'!$H$6:$H$578,"&gt;0",'BKP (Sensus)'!$L$6:$L$578,"&lt;=5",'BKP (Sensus)'!$L$6:$L$578,"&gt;2")</f>
        <v>208.2</v>
      </c>
      <c r="N16" s="202">
        <f t="array" ref="N16">L16/$D16*100</f>
        <v>17.142857142857142</v>
      </c>
      <c r="O16" s="202">
        <f t="array" ref="O16">SUMIFS('BKP (Sensus)'!$K$6:$K$578,'BKP (Sensus)'!$A$6:$A$578,'Summary FR Kalbar'!$A16,'BKP (Sensus)'!$L$6:$L$578,"&lt;=5",'BKP (Sensus)'!$L$6:$L$578,"&gt;2")/SUMIFS('BKP (Sensus)'!$I$6:$I$578,'BKP (Sensus)'!$A$6:$A$578,'Summary FR Kalbar'!$A16,'BKP (Sensus)'!$L$6:$L$578,"&lt;=5",'BKP (Sensus)'!$L$6:$L$578,"&gt;2")*100</f>
        <v>3.8548752834467117</v>
      </c>
      <c r="P16" s="199">
        <f>COUNTIFS('BKP (Sensus)'!$A$6:$A$578,'Summary FR Kalbar'!$A16,'BKP (Sensus)'!$H$6:$H$578,"&gt;0",'BKP (Sensus)'!$L$6:$L$578,"&lt;=2",'BKP (Sensus)'!$L$6:$L$578,"&gt;=0")</f>
        <v>1</v>
      </c>
      <c r="Q16" s="200">
        <f>SUMIFS('BKP (Sensus)'!$E$6:$E$578,'BKP (Sensus)'!$A$6:$A$578,'Summary FR Kalbar'!$A16,'BKP (Sensus)'!$H$6:$H$578,"&gt;0",'BKP (Sensus)'!$L$6:$L$578,"&lt;=2",'BKP (Sensus)'!$L$6:$L$578,"&gt;=0")</f>
        <v>26.73</v>
      </c>
      <c r="R16" s="202">
        <f t="array" ref="R16">P16/$D16*100</f>
        <v>2.8571428571428572</v>
      </c>
      <c r="S16" s="202">
        <f>SUMIFS('BKP (Sensus)'!$K$6:$K$578,'BKP (Sensus)'!$A$6:$A$578,'Summary FR Kalbar'!$A16,'BKP (Sensus)'!$L$6:$L$578,"&lt;=2",'BKP (Sensus)'!$L$6:$L$578,"&gt;=0")/SUMIFS('BKP (Sensus)'!$I$6:$I$578,'BKP (Sensus)'!$A$6:$A$578,'Summary FR Kalbar'!$A16,'BKP (Sensus)'!$L$6:$L$578,"&lt;=2",'BKP (Sensus)'!$L$6:$L$578,"&gt;=0")*100</f>
        <v>1.7587939698492463</v>
      </c>
      <c r="U16" s="199" t="str">
        <f>A16</f>
        <v>BKP</v>
      </c>
      <c r="V16" s="199">
        <f>COUNTIFS('BKP (Deteksi)'!$A$6:$A$1000,'Summary FR Kalbar'!$A16)-COUNTA('BKP (Deteksi)'!D52:D69)</f>
        <v>77</v>
      </c>
      <c r="W16" s="200">
        <f>SUMIFS('BKP (Deteksi)'!$E$6:$E$1000,'BKP (Deteksi)'!$A$6:$A$1000,'Summary FR Kalbar'!$A16)-SUM('BKP (Deteksi)'!E52:E69)</f>
        <v>2590.9999999999995</v>
      </c>
      <c r="X16" s="199">
        <f t="array" ref="X16">COUNTIFS('BKP (Deteksi)'!$A$6:$A$1000,'Summary FR Kalbar'!$A16,'BKP (Deteksi)'!$H$6:$H$1000,"&gt;0")</f>
        <v>74</v>
      </c>
      <c r="Y16" s="200">
        <f t="array" ref="Y16">SUMIFS('BKP (Deteksi)'!$E$6:$E$1000,'BKP (Deteksi)'!$A$6:$A$1000,'Summary FR Kalbar'!$A16,'BKP (Deteksi)'!$H$6:$H$1000,"&gt;0")</f>
        <v>2494.2799999999997</v>
      </c>
      <c r="Z16" s="201">
        <f t="shared" si="6"/>
        <v>96.103896103896105</v>
      </c>
      <c r="AA16" s="202">
        <f t="array" ref="AA16">IFERROR(SUMIFS('BKP (Deteksi)'!$K$6:$K$1000,'BKP (Deteksi)'!$A$6:$A$1000,'Summary FR Kalbar'!$A16,'BKP (Deteksi)'!$H$6:$H$1000,"&gt;0")/SUMIFS('BKP (Deteksi)'!$I$6:$I$1000,'BKP (Deteksi)'!$A$6:$A$1000,'Summary FR Kalbar'!$A16,'BKP (Deteksi)'!$H$6:$H$1000,"&gt;0")*100,0)</f>
        <v>3.3783004727314649</v>
      </c>
      <c r="AB16" s="199">
        <f t="array" ref="AB16">COUNTIFS('BKP (Deteksi)'!$A$6:$A$1000,'Summary FR Kalbar'!$A16,'BKP (Deteksi)'!$H$6:$H$1000,"&gt;0",'BKP (Deteksi)'!$L$6:$L$1000,"&gt;5")</f>
        <v>0</v>
      </c>
      <c r="AC16" s="200">
        <f t="array" ref="AC16">SUMIFS('BKP (Deteksi)'!$E$6:$E$1000,'BKP (Deteksi)'!$A$6:$A$1000,'Summary FR Kalbar'!$A16,'BKP (Deteksi)'!$H$6:$H$1000,"&gt;0",'BKP (Deteksi)'!$L$6:$L$1000,"&gt;5")</f>
        <v>0</v>
      </c>
      <c r="AD16" s="202">
        <f t="array" ref="AD16">AB16/$X16*100</f>
        <v>0</v>
      </c>
      <c r="AE16" s="202">
        <f t="array" ref="AE16">IFERROR(SUMIFS('BKP (Deteksi)'!$K$6:$K$1000,'BKP (Deteksi)'!$A$6:$A$1000,'Summary FR Kalbar'!$A16,'BKP (Deteksi)'!$H$6:$H$1000,"&gt;0",'BKP (Deteksi)'!$L$6:$L$1000,"&gt;5")/SUMIFS('BKP (Deteksi)'!$I$6:$I$1000,'BKP (Deteksi)'!$A$6:$A$1000,'Summary FR Kalbar'!$A16,'BKP (Deteksi)'!$H$6:$H$1000,"&gt;0",'BKP (Deteksi)'!$L$6:$L$1000,"&gt;5")*100,0)</f>
        <v>0</v>
      </c>
      <c r="AF16" s="199">
        <f t="array" ref="AF16">COUNTIFS('BKP (Deteksi)'!$A$6:$A$1000,'Summary FR Kalbar'!$A16,'BKP (Deteksi)'!$H$6:$H$1000,"&gt;0",'BKP (Deteksi)'!$L$6:$L$1000,"&lt;=5",'BKP (Deteksi)'!$L$6:$L$1000,"&gt;2")</f>
        <v>62</v>
      </c>
      <c r="AG16" s="200">
        <f t="array" ref="AG16">SUMIFS('BKP (Deteksi)'!$E$6:$E$1000,'BKP (Deteksi)'!$A$6:$A$1000,'Summary FR Kalbar'!$A16,'BKP (Deteksi)'!$H$6:$H$1000,"&gt;0",'BKP (Deteksi)'!$L$6:$L$1000,"&lt;=5",'BKP (Deteksi)'!$L$6:$L$1000,"&gt;2")</f>
        <v>2099.2399999999998</v>
      </c>
      <c r="AH16" s="202">
        <f t="array" ref="AH16">AF16/$X16*100</f>
        <v>83.78378378378379</v>
      </c>
      <c r="AI16" s="202">
        <f t="array" ref="AI16">IFERROR(SUMIFS('BKP (Deteksi)'!$K$6:$K$1000,'BKP (Deteksi)'!$A$6:$A$1000,'Summary FR Kalbar'!$A16,'BKP (Deteksi)'!$H$6:$H$1000,"&gt;0",'BKP (Deteksi)'!$L$6:$L$1000,"&lt;=5",'BKP (Deteksi)'!$L$6:$L$1000,"&gt;2")/SUMIFS('BKP (Deteksi)'!$I$6:$I$1000,'BKP (Deteksi)'!$A$6:$A$1000,'Summary FR Kalbar'!$A16,'BKP (Deteksi)'!$H$6:$H$1000,"&gt;0",'BKP (Deteksi)'!$L$6:$L$1000,"&lt;=5",'BKP (Deteksi)'!$L$6:$L$1000,"&gt;2")*100,0)</f>
        <v>3.7142469838687813</v>
      </c>
      <c r="AJ16" s="199">
        <f>COUNTIFS('BKP (Deteksi)'!$A$6:$A$1000,'Summary FR Kalbar'!$A16,'BKP (Deteksi)'!$H$6:$H$1000,"&gt;0",'BKP (Deteksi)'!$L$6:$L$1000,"&lt;=2",'BKP (Deteksi)'!$L$6:$L$1000,"&gt;=0")</f>
        <v>12</v>
      </c>
      <c r="AK16" s="200">
        <f>SUMIFS('BKP (Deteksi)'!$E$6:$E$1000,'BKP (Deteksi)'!$A$6:$A$1000,'Summary FR Kalbar'!$A16,'BKP (Deteksi)'!$H$6:$H$1000,"&gt;0",'BKP (Deteksi)'!$L$6:$L$1000,"&lt;=2",'BKP (Deteksi)'!$L$6:$L$1000,"&gt;=0")</f>
        <v>395.03999999999991</v>
      </c>
      <c r="AL16" s="202">
        <f t="array" ref="AL16">AJ16/$X16*100</f>
        <v>16.216216216216218</v>
      </c>
      <c r="AM16" s="202">
        <f>IFERROR(SUMIFS('BKP (Deteksi)'!$K$6:$K$1000,'BKP (Deteksi)'!$A$6:$A$1000,'Summary FR Kalbar'!$A16,'BKP (Deteksi)'!$H$6:$H$1000,"&gt;0",'BKP (Deteksi)'!$L$6:$L$1000,"&lt;=2",'BKP (Deteksi)'!$L$6:$L$1000,"&gt;=0")/SUMIFS('BKP (Deteksi)'!$I$6:$I$1000,'BKP (Deteksi)'!$A$6:$A$1000,'Summary FR Kalbar'!$A16,'BKP (Deteksi)'!$H$6:$H$1000,"&gt;0",'BKP (Deteksi)'!$L$6:$L$1000,"&lt;=2",'BKP (Deteksi)'!$L$6:$L$1000,"&gt;=0")*100,0)</f>
        <v>1.4660493827160492</v>
      </c>
      <c r="AN16" s="136"/>
      <c r="AO16" s="136"/>
    </row>
  </sheetData>
  <mergeCells count="23">
    <mergeCell ref="A1:A3"/>
    <mergeCell ref="P2:S2"/>
    <mergeCell ref="L2:O2"/>
    <mergeCell ref="H2:K2"/>
    <mergeCell ref="F1:F3"/>
    <mergeCell ref="D1:D3"/>
    <mergeCell ref="B1:B3"/>
    <mergeCell ref="E1:E3"/>
    <mergeCell ref="AJ2:AM2"/>
    <mergeCell ref="V1:V3"/>
    <mergeCell ref="X1:X3"/>
    <mergeCell ref="Z1:Z3"/>
    <mergeCell ref="AB2:AE2"/>
    <mergeCell ref="AF2:AI2"/>
    <mergeCell ref="AA1:AA3"/>
    <mergeCell ref="AB1:AM1"/>
    <mergeCell ref="B14:S14"/>
    <mergeCell ref="W1:W3"/>
    <mergeCell ref="Y1:Y3"/>
    <mergeCell ref="G1:G3"/>
    <mergeCell ref="H1:S1"/>
    <mergeCell ref="U1:U3"/>
    <mergeCell ref="C1:C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24A84-8B5B-4A2E-8BF0-143643ACD499}">
  <dimension ref="A1:AM78"/>
  <sheetViews>
    <sheetView zoomScale="85" zoomScaleNormal="85" workbookViewId="0">
      <pane xSplit="7" ySplit="2" topLeftCell="H42" activePane="bottomRight" state="frozen"/>
      <selection activeCell="I17" sqref="I17"/>
      <selection pane="topRight" activeCell="I17" sqref="I17"/>
      <selection pane="bottomLeft" activeCell="I17" sqref="I17"/>
      <selection pane="bottomRight" activeCell="P13" sqref="P13"/>
    </sheetView>
  </sheetViews>
  <sheetFormatPr baseColWidth="10" defaultColWidth="8.83203125" defaultRowHeight="15" outlineLevelRow="1" outlineLevelCol="1" x14ac:dyDescent="0.2"/>
  <cols>
    <col min="1" max="1" width="9.5" bestFit="1" customWidth="1"/>
    <col min="2" max="3" width="12.83203125" customWidth="1"/>
    <col min="4" max="4" width="15.33203125" bestFit="1" customWidth="1"/>
    <col min="5" max="5" width="22" customWidth="1"/>
    <col min="6" max="6" width="23.5" customWidth="1"/>
    <col min="7" max="7" width="15.5" customWidth="1"/>
    <col min="8" max="8" width="16.1640625" customWidth="1"/>
    <col min="9" max="15" width="16.1640625" hidden="1" customWidth="1" outlineLevel="1"/>
    <col min="16" max="16" width="31.33203125" customWidth="1" collapsed="1"/>
    <col min="17" max="23" width="16.83203125" hidden="1" customWidth="1" outlineLevel="1"/>
    <col min="24" max="24" width="26.6640625" customWidth="1" collapsed="1"/>
    <col min="25" max="25" width="22.33203125" customWidth="1"/>
    <col min="26" max="26" width="12.6640625" customWidth="1"/>
    <col min="27" max="27" width="25.5" customWidth="1"/>
    <col min="28" max="28" width="17.83203125" customWidth="1"/>
    <col min="29" max="29" width="19.1640625" customWidth="1"/>
    <col min="30" max="30" width="17.1640625" customWidth="1"/>
    <col min="31" max="31" width="26.1640625" bestFit="1" customWidth="1"/>
    <col min="32" max="38" width="12.6640625" hidden="1" customWidth="1" outlineLevel="1"/>
    <col min="39" max="39" width="8.83203125" collapsed="1"/>
  </cols>
  <sheetData>
    <row r="1" spans="1:38" ht="21" x14ac:dyDescent="0.25">
      <c r="A1" s="319" t="s">
        <v>619</v>
      </c>
      <c r="B1" s="319" t="s">
        <v>934</v>
      </c>
      <c r="C1" s="320" t="s">
        <v>2226</v>
      </c>
      <c r="D1" s="320" t="s">
        <v>1262</v>
      </c>
      <c r="E1" s="320" t="s">
        <v>2252</v>
      </c>
      <c r="F1" s="320" t="s">
        <v>2253</v>
      </c>
      <c r="G1" s="320" t="s">
        <v>2254</v>
      </c>
      <c r="H1" s="321" t="s">
        <v>2243</v>
      </c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2" t="s">
        <v>2244</v>
      </c>
      <c r="AB1" s="322"/>
      <c r="AC1" s="322"/>
      <c r="AD1" s="322"/>
      <c r="AE1" s="322"/>
      <c r="AF1" s="322"/>
      <c r="AG1" s="322"/>
      <c r="AH1" s="322"/>
      <c r="AI1" s="322"/>
      <c r="AJ1" s="322"/>
      <c r="AK1" s="322"/>
      <c r="AL1" s="322"/>
    </row>
    <row r="2" spans="1:38" ht="154" x14ac:dyDescent="0.2">
      <c r="A2" s="319"/>
      <c r="B2" s="319"/>
      <c r="C2" s="320"/>
      <c r="D2" s="320"/>
      <c r="E2" s="320"/>
      <c r="F2" s="320"/>
      <c r="G2" s="320"/>
      <c r="H2" s="254" t="s">
        <v>2227</v>
      </c>
      <c r="I2" s="255" t="s">
        <v>2228</v>
      </c>
      <c r="J2" s="255" t="s">
        <v>2229</v>
      </c>
      <c r="K2" s="255" t="s">
        <v>2230</v>
      </c>
      <c r="L2" s="255" t="s">
        <v>2231</v>
      </c>
      <c r="M2" s="255" t="s">
        <v>2232</v>
      </c>
      <c r="N2" s="255" t="s">
        <v>2236</v>
      </c>
      <c r="O2" s="255" t="s">
        <v>2237</v>
      </c>
      <c r="P2" s="254" t="s">
        <v>2255</v>
      </c>
      <c r="Q2" s="255" t="s">
        <v>2256</v>
      </c>
      <c r="R2" s="255" t="s">
        <v>2257</v>
      </c>
      <c r="S2" s="255" t="s">
        <v>2258</v>
      </c>
      <c r="T2" s="255" t="s">
        <v>2259</v>
      </c>
      <c r="U2" s="255" t="s">
        <v>2260</v>
      </c>
      <c r="V2" s="255" t="s">
        <v>2261</v>
      </c>
      <c r="W2" s="255" t="s">
        <v>2262</v>
      </c>
      <c r="X2" s="254" t="s">
        <v>2242</v>
      </c>
      <c r="Y2" s="254" t="s">
        <v>2241</v>
      </c>
      <c r="Z2" s="254" t="s">
        <v>2240</v>
      </c>
      <c r="AA2" s="256" t="s">
        <v>2245</v>
      </c>
      <c r="AB2" s="255" t="s">
        <v>2246</v>
      </c>
      <c r="AC2" s="257" t="s">
        <v>2247</v>
      </c>
      <c r="AD2" s="254" t="s">
        <v>2238</v>
      </c>
      <c r="AE2" s="254" t="s">
        <v>2093</v>
      </c>
      <c r="AF2" s="255" t="s">
        <v>2267</v>
      </c>
      <c r="AG2" s="255" t="s">
        <v>2268</v>
      </c>
      <c r="AH2" s="255" t="s">
        <v>2269</v>
      </c>
      <c r="AI2" s="255" t="s">
        <v>2270</v>
      </c>
      <c r="AJ2" s="255" t="s">
        <v>2271</v>
      </c>
      <c r="AK2" s="255" t="s">
        <v>2272</v>
      </c>
      <c r="AL2" s="255" t="s">
        <v>2273</v>
      </c>
    </row>
    <row r="3" spans="1:38" ht="21" x14ac:dyDescent="0.2">
      <c r="A3" s="318" t="s">
        <v>628</v>
      </c>
      <c r="B3" s="162" t="s">
        <v>14</v>
      </c>
      <c r="C3" s="163">
        <f>SUM('KALE (Sensus)'!E583)</f>
        <v>840.6400000000001</v>
      </c>
      <c r="D3" s="163">
        <f>'KALE (Sensus)'!G583</f>
        <v>120777</v>
      </c>
      <c r="E3" s="163">
        <f t="shared" ref="E3:E8" si="0">C3*5</f>
        <v>4203.2000000000007</v>
      </c>
      <c r="F3" s="163">
        <f>E3/40</f>
        <v>105.08000000000001</v>
      </c>
      <c r="G3" s="163">
        <f>F3/7</f>
        <v>15.011428571428572</v>
      </c>
      <c r="H3" s="163">
        <f>D3*3</f>
        <v>362331</v>
      </c>
      <c r="I3" s="163">
        <f>D3</f>
        <v>120777</v>
      </c>
      <c r="J3" s="163">
        <f>I3*0.8</f>
        <v>96621.6</v>
      </c>
      <c r="K3" s="163">
        <f>0.6*D3</f>
        <v>72466.2</v>
      </c>
      <c r="L3" s="163">
        <f>D3*0.4</f>
        <v>48310.8</v>
      </c>
      <c r="M3" s="163">
        <f>0.2*D3</f>
        <v>24155.4</v>
      </c>
      <c r="N3" s="163">
        <v>0</v>
      </c>
      <c r="O3" s="163">
        <v>0</v>
      </c>
      <c r="P3" s="163">
        <f>SUM(Q3:W3)</f>
        <v>3.62331</v>
      </c>
      <c r="Q3" s="163">
        <f>I3/4000/5/5</f>
        <v>1.20777</v>
      </c>
      <c r="R3" s="163">
        <f t="shared" ref="R3:W3" si="1">J3/4000/5/5</f>
        <v>0.96621599999999996</v>
      </c>
      <c r="S3" s="163">
        <f t="shared" si="1"/>
        <v>0.72466200000000003</v>
      </c>
      <c r="T3" s="163">
        <f t="shared" si="1"/>
        <v>0.48310799999999998</v>
      </c>
      <c r="U3" s="163">
        <f t="shared" si="1"/>
        <v>0.24155399999999999</v>
      </c>
      <c r="V3" s="163">
        <f t="shared" si="1"/>
        <v>0</v>
      </c>
      <c r="W3" s="163">
        <f t="shared" si="1"/>
        <v>0</v>
      </c>
      <c r="X3" s="163">
        <f>H3/2000</f>
        <v>181.16550000000001</v>
      </c>
      <c r="Y3" s="163">
        <f>G3*40*2/100</f>
        <v>12.009142857142859</v>
      </c>
      <c r="Z3" s="163">
        <f>G3</f>
        <v>15.011428571428572</v>
      </c>
      <c r="AA3" s="163">
        <f>1.4/3*$H3/35000</f>
        <v>4.83108</v>
      </c>
      <c r="AB3" s="163">
        <f>1/3*$H3/35000</f>
        <v>3.4507714285714286</v>
      </c>
      <c r="AC3" s="163">
        <f>0.6/3*$H3/35000</f>
        <v>2.0704628571428572</v>
      </c>
      <c r="AD3" s="163">
        <f>SUM(AF3:AL3)</f>
        <v>1630.4894999999999</v>
      </c>
      <c r="AE3" s="163" t="s">
        <v>2095</v>
      </c>
      <c r="AF3" s="163">
        <f>I3*4.5/1000</f>
        <v>543.49649999999997</v>
      </c>
      <c r="AG3" s="163">
        <f t="shared" ref="AG3:AG8" si="2">J3*4.5/1000</f>
        <v>434.79720000000003</v>
      </c>
      <c r="AH3" s="163">
        <f t="shared" ref="AH3:AH8" si="3">K3*4.5/1000</f>
        <v>326.09789999999998</v>
      </c>
      <c r="AI3" s="163">
        <f t="shared" ref="AI3:AI8" si="4">L3*4.5/1000</f>
        <v>217.39860000000002</v>
      </c>
      <c r="AJ3" s="163">
        <f t="shared" ref="AJ3:AJ8" si="5">M3*4.5/1000</f>
        <v>108.69930000000001</v>
      </c>
      <c r="AK3" s="163">
        <f t="shared" ref="AK3:AK8" si="6">N3*4.5/1000</f>
        <v>0</v>
      </c>
      <c r="AL3" s="163">
        <f t="shared" ref="AL3:AL8" si="7">O3*4.5/1000</f>
        <v>0</v>
      </c>
    </row>
    <row r="4" spans="1:38" ht="21" x14ac:dyDescent="0.2">
      <c r="A4" s="318"/>
      <c r="B4" s="162" t="s">
        <v>47</v>
      </c>
      <c r="C4" s="163">
        <f>SUM('KALE (Sensus)'!E584)</f>
        <v>804.25</v>
      </c>
      <c r="D4" s="163">
        <f>'KALE (Sensus)'!G584</f>
        <v>115016</v>
      </c>
      <c r="E4" s="163">
        <f t="shared" si="0"/>
        <v>4021.25</v>
      </c>
      <c r="F4" s="163">
        <f t="shared" ref="F4:F16" si="8">E4/40</f>
        <v>100.53125</v>
      </c>
      <c r="G4" s="163">
        <f t="shared" ref="G4:G8" si="9">F4/7</f>
        <v>14.361607142857142</v>
      </c>
      <c r="H4" s="163">
        <f t="shared" ref="H4:H16" si="10">D4*3</f>
        <v>345048</v>
      </c>
      <c r="I4" s="163">
        <f t="shared" ref="I4:I8" si="11">D4</f>
        <v>115016</v>
      </c>
      <c r="J4" s="163">
        <f t="shared" ref="J4:J12" si="12">I4*0.8</f>
        <v>92012.800000000003</v>
      </c>
      <c r="K4" s="163">
        <f t="shared" ref="K4:K8" si="13">0.6*D4</f>
        <v>69009.599999999991</v>
      </c>
      <c r="L4" s="163">
        <f t="shared" ref="L4:L8" si="14">D4*0.4</f>
        <v>46006.400000000001</v>
      </c>
      <c r="M4" s="163">
        <f t="shared" ref="M4:M8" si="15">0.2*D4</f>
        <v>23003.200000000001</v>
      </c>
      <c r="N4" s="163">
        <v>0</v>
      </c>
      <c r="O4" s="163">
        <v>0</v>
      </c>
      <c r="P4" s="163">
        <f t="shared" ref="P4:P8" si="16">SUM(Q4:W4)</f>
        <v>3.4504800000000002</v>
      </c>
      <c r="Q4" s="163">
        <f t="shared" ref="Q4:Q8" si="17">I4/4000/5/5</f>
        <v>1.1501600000000001</v>
      </c>
      <c r="R4" s="163">
        <f t="shared" ref="R4:R8" si="18">J4/4000/5/5</f>
        <v>0.92012800000000006</v>
      </c>
      <c r="S4" s="163">
        <f t="shared" ref="S4:S8" si="19">K4/4000/5/5</f>
        <v>0.69009599999999993</v>
      </c>
      <c r="T4" s="163">
        <f t="shared" ref="T4:T8" si="20">L4/4000/5/5</f>
        <v>0.46006400000000003</v>
      </c>
      <c r="U4" s="163">
        <f t="shared" ref="U4:U8" si="21">M4/4000/5/5</f>
        <v>0.23003200000000001</v>
      </c>
      <c r="V4" s="163">
        <f t="shared" ref="V4:V8" si="22">N4/4000/5/5</f>
        <v>0</v>
      </c>
      <c r="W4" s="163">
        <f t="shared" ref="W4:W8" si="23">O4/4000/5/5</f>
        <v>0</v>
      </c>
      <c r="X4" s="163">
        <f t="shared" ref="X4:X8" si="24">H4/2000</f>
        <v>172.524</v>
      </c>
      <c r="Y4" s="163">
        <f t="shared" ref="Y4:Y16" si="25">G4*40*2/100</f>
        <v>11.489285714285714</v>
      </c>
      <c r="Z4" s="163">
        <f t="shared" ref="Z4:Z16" si="26">G4</f>
        <v>14.361607142857142</v>
      </c>
      <c r="AA4" s="163">
        <f t="shared" ref="AA4:AA8" si="27">1.4/3*$H4/35000</f>
        <v>4.6006399999999994</v>
      </c>
      <c r="AB4" s="163">
        <f t="shared" ref="AB4:AB16" si="28">1/3*$H4/35000</f>
        <v>3.2861714285714285</v>
      </c>
      <c r="AC4" s="163">
        <f t="shared" ref="AC4:AC8" si="29">0.6/3*$H4/35000</f>
        <v>1.971702857142857</v>
      </c>
      <c r="AD4" s="163">
        <f t="shared" ref="AD4:AD8" si="30">SUM(AF4:AL4)</f>
        <v>1552.7159999999999</v>
      </c>
      <c r="AE4" s="163" t="s">
        <v>2095</v>
      </c>
      <c r="AF4" s="163">
        <f t="shared" ref="AF4:AF8" si="31">I4*4.5/1000</f>
        <v>517.572</v>
      </c>
      <c r="AG4" s="163">
        <f t="shared" si="2"/>
        <v>414.05760000000004</v>
      </c>
      <c r="AH4" s="163">
        <f t="shared" si="3"/>
        <v>310.54319999999996</v>
      </c>
      <c r="AI4" s="163">
        <f t="shared" si="4"/>
        <v>207.02880000000002</v>
      </c>
      <c r="AJ4" s="163">
        <f t="shared" si="5"/>
        <v>103.51440000000001</v>
      </c>
      <c r="AK4" s="163">
        <f t="shared" si="6"/>
        <v>0</v>
      </c>
      <c r="AL4" s="163">
        <f t="shared" si="7"/>
        <v>0</v>
      </c>
    </row>
    <row r="5" spans="1:38" ht="21" x14ac:dyDescent="0.2">
      <c r="A5" s="318"/>
      <c r="B5" s="162" t="s">
        <v>79</v>
      </c>
      <c r="C5" s="163">
        <f>SUM('KALE (Sensus)'!E585)</f>
        <v>678.84</v>
      </c>
      <c r="D5" s="163">
        <f>'KALE (Sensus)'!G585</f>
        <v>96145</v>
      </c>
      <c r="E5" s="163">
        <f t="shared" si="0"/>
        <v>3394.2000000000003</v>
      </c>
      <c r="F5" s="163">
        <f t="shared" si="8"/>
        <v>84.855000000000004</v>
      </c>
      <c r="G5" s="163">
        <f t="shared" si="9"/>
        <v>12.122142857142858</v>
      </c>
      <c r="H5" s="163">
        <f t="shared" si="10"/>
        <v>288435</v>
      </c>
      <c r="I5" s="163">
        <f t="shared" si="11"/>
        <v>96145</v>
      </c>
      <c r="J5" s="163">
        <f t="shared" si="12"/>
        <v>76916</v>
      </c>
      <c r="K5" s="163">
        <f t="shared" si="13"/>
        <v>57687</v>
      </c>
      <c r="L5" s="163">
        <f t="shared" si="14"/>
        <v>38458</v>
      </c>
      <c r="M5" s="163">
        <f t="shared" si="15"/>
        <v>19229</v>
      </c>
      <c r="N5" s="163">
        <v>0</v>
      </c>
      <c r="O5" s="163">
        <v>0</v>
      </c>
      <c r="P5" s="163">
        <f t="shared" si="16"/>
        <v>2.88435</v>
      </c>
      <c r="Q5" s="163">
        <f t="shared" si="17"/>
        <v>0.96144999999999992</v>
      </c>
      <c r="R5" s="163">
        <f t="shared" si="18"/>
        <v>0.76915999999999995</v>
      </c>
      <c r="S5" s="163">
        <f t="shared" si="19"/>
        <v>0.57686999999999999</v>
      </c>
      <c r="T5" s="163">
        <f t="shared" si="20"/>
        <v>0.38457999999999998</v>
      </c>
      <c r="U5" s="163">
        <f t="shared" si="21"/>
        <v>0.19228999999999999</v>
      </c>
      <c r="V5" s="163">
        <f t="shared" si="22"/>
        <v>0</v>
      </c>
      <c r="W5" s="163">
        <f t="shared" si="23"/>
        <v>0</v>
      </c>
      <c r="X5" s="163">
        <f t="shared" si="24"/>
        <v>144.2175</v>
      </c>
      <c r="Y5" s="163">
        <f t="shared" si="25"/>
        <v>9.6977142857142873</v>
      </c>
      <c r="Z5" s="163">
        <f t="shared" si="26"/>
        <v>12.122142857142858</v>
      </c>
      <c r="AA5" s="163">
        <f t="shared" si="27"/>
        <v>3.8458000000000001</v>
      </c>
      <c r="AB5" s="163">
        <f t="shared" si="28"/>
        <v>2.7469999999999999</v>
      </c>
      <c r="AC5" s="163">
        <f t="shared" si="29"/>
        <v>1.6481999999999999</v>
      </c>
      <c r="AD5" s="163">
        <f t="shared" si="30"/>
        <v>1297.9575</v>
      </c>
      <c r="AE5" s="163" t="s">
        <v>2095</v>
      </c>
      <c r="AF5" s="163">
        <f t="shared" si="31"/>
        <v>432.65249999999997</v>
      </c>
      <c r="AG5" s="163">
        <f t="shared" si="2"/>
        <v>346.12200000000001</v>
      </c>
      <c r="AH5" s="163">
        <f t="shared" si="3"/>
        <v>259.5915</v>
      </c>
      <c r="AI5" s="163">
        <f t="shared" si="4"/>
        <v>173.06100000000001</v>
      </c>
      <c r="AJ5" s="163">
        <f t="shared" si="5"/>
        <v>86.530500000000004</v>
      </c>
      <c r="AK5" s="163">
        <f t="shared" si="6"/>
        <v>0</v>
      </c>
      <c r="AL5" s="163">
        <f t="shared" si="7"/>
        <v>0</v>
      </c>
    </row>
    <row r="6" spans="1:38" ht="21" x14ac:dyDescent="0.2">
      <c r="A6" s="318"/>
      <c r="B6" s="162" t="s">
        <v>107</v>
      </c>
      <c r="C6" s="163">
        <f>SUM('KALE (Sensus)'!E586)</f>
        <v>712.62</v>
      </c>
      <c r="D6" s="163">
        <f>'KALE (Sensus)'!G586</f>
        <v>102288</v>
      </c>
      <c r="E6" s="163">
        <f t="shared" si="0"/>
        <v>3563.1</v>
      </c>
      <c r="F6" s="163">
        <f t="shared" si="8"/>
        <v>89.077500000000001</v>
      </c>
      <c r="G6" s="163">
        <f t="shared" si="9"/>
        <v>12.725357142857144</v>
      </c>
      <c r="H6" s="163">
        <f t="shared" si="10"/>
        <v>306864</v>
      </c>
      <c r="I6" s="163">
        <f t="shared" si="11"/>
        <v>102288</v>
      </c>
      <c r="J6" s="163">
        <f t="shared" si="12"/>
        <v>81830.400000000009</v>
      </c>
      <c r="K6" s="163">
        <f t="shared" si="13"/>
        <v>61372.799999999996</v>
      </c>
      <c r="L6" s="163">
        <f t="shared" si="14"/>
        <v>40915.200000000004</v>
      </c>
      <c r="M6" s="163">
        <f t="shared" si="15"/>
        <v>20457.600000000002</v>
      </c>
      <c r="N6" s="163">
        <v>0</v>
      </c>
      <c r="O6" s="163">
        <v>0</v>
      </c>
      <c r="P6" s="163">
        <f t="shared" si="16"/>
        <v>3.0686400000000003</v>
      </c>
      <c r="Q6" s="163">
        <f t="shared" si="17"/>
        <v>1.02288</v>
      </c>
      <c r="R6" s="163">
        <f t="shared" si="18"/>
        <v>0.81830400000000014</v>
      </c>
      <c r="S6" s="163">
        <f t="shared" si="19"/>
        <v>0.61372799999999994</v>
      </c>
      <c r="T6" s="163">
        <f t="shared" si="20"/>
        <v>0.40915200000000007</v>
      </c>
      <c r="U6" s="163">
        <f t="shared" si="21"/>
        <v>0.20457600000000004</v>
      </c>
      <c r="V6" s="163">
        <f t="shared" si="22"/>
        <v>0</v>
      </c>
      <c r="W6" s="163">
        <f t="shared" si="23"/>
        <v>0</v>
      </c>
      <c r="X6" s="163">
        <f t="shared" si="24"/>
        <v>153.43199999999999</v>
      </c>
      <c r="Y6" s="163">
        <f t="shared" si="25"/>
        <v>10.180285714285715</v>
      </c>
      <c r="Z6" s="163">
        <f t="shared" si="26"/>
        <v>12.725357142857144</v>
      </c>
      <c r="AA6" s="163">
        <f t="shared" si="27"/>
        <v>4.0915199999999992</v>
      </c>
      <c r="AB6" s="163">
        <f t="shared" si="28"/>
        <v>2.9225142857142856</v>
      </c>
      <c r="AC6" s="163">
        <f t="shared" si="29"/>
        <v>1.7535085714285712</v>
      </c>
      <c r="AD6" s="163">
        <f t="shared" si="30"/>
        <v>1380.8879999999999</v>
      </c>
      <c r="AE6" s="163" t="s">
        <v>2095</v>
      </c>
      <c r="AF6" s="163">
        <f t="shared" si="31"/>
        <v>460.29599999999999</v>
      </c>
      <c r="AG6" s="163">
        <f t="shared" si="2"/>
        <v>368.23680000000007</v>
      </c>
      <c r="AH6" s="163">
        <f t="shared" si="3"/>
        <v>276.17759999999998</v>
      </c>
      <c r="AI6" s="163">
        <f t="shared" si="4"/>
        <v>184.11840000000004</v>
      </c>
      <c r="AJ6" s="163">
        <f t="shared" si="5"/>
        <v>92.059200000000018</v>
      </c>
      <c r="AK6" s="163">
        <f t="shared" si="6"/>
        <v>0</v>
      </c>
      <c r="AL6" s="163">
        <f t="shared" si="7"/>
        <v>0</v>
      </c>
    </row>
    <row r="7" spans="1:38" ht="21" x14ac:dyDescent="0.2">
      <c r="A7" s="318"/>
      <c r="B7" s="162" t="s">
        <v>144</v>
      </c>
      <c r="C7" s="163">
        <f>SUM('KALE (Sensus)'!E587)</f>
        <v>824.92</v>
      </c>
      <c r="D7" s="163">
        <f>'KALE (Sensus)'!G587</f>
        <v>116744</v>
      </c>
      <c r="E7" s="163">
        <f t="shared" si="0"/>
        <v>4124.5999999999995</v>
      </c>
      <c r="F7" s="163">
        <f t="shared" si="8"/>
        <v>103.11499999999998</v>
      </c>
      <c r="G7" s="163">
        <f t="shared" si="9"/>
        <v>14.730714285714283</v>
      </c>
      <c r="H7" s="163">
        <f t="shared" si="10"/>
        <v>350232</v>
      </c>
      <c r="I7" s="163">
        <f t="shared" si="11"/>
        <v>116744</v>
      </c>
      <c r="J7" s="163">
        <f t="shared" si="12"/>
        <v>93395.200000000012</v>
      </c>
      <c r="K7" s="163">
        <f t="shared" si="13"/>
        <v>70046.399999999994</v>
      </c>
      <c r="L7" s="163">
        <f t="shared" si="14"/>
        <v>46697.600000000006</v>
      </c>
      <c r="M7" s="163">
        <f t="shared" si="15"/>
        <v>23348.800000000003</v>
      </c>
      <c r="N7" s="163">
        <v>0</v>
      </c>
      <c r="O7" s="163">
        <v>0</v>
      </c>
      <c r="P7" s="163">
        <f t="shared" si="16"/>
        <v>3.5023200000000001</v>
      </c>
      <c r="Q7" s="163">
        <f t="shared" si="17"/>
        <v>1.16744</v>
      </c>
      <c r="R7" s="163">
        <f t="shared" si="18"/>
        <v>0.93395200000000023</v>
      </c>
      <c r="S7" s="163">
        <f t="shared" si="19"/>
        <v>0.70046399999999998</v>
      </c>
      <c r="T7" s="163">
        <f t="shared" si="20"/>
        <v>0.46697600000000011</v>
      </c>
      <c r="U7" s="163">
        <f t="shared" si="21"/>
        <v>0.23348800000000006</v>
      </c>
      <c r="V7" s="163">
        <f t="shared" si="22"/>
        <v>0</v>
      </c>
      <c r="W7" s="163">
        <f t="shared" si="23"/>
        <v>0</v>
      </c>
      <c r="X7" s="163">
        <f t="shared" si="24"/>
        <v>175.11600000000001</v>
      </c>
      <c r="Y7" s="163">
        <f t="shared" si="25"/>
        <v>11.784571428571425</v>
      </c>
      <c r="Z7" s="163">
        <f t="shared" si="26"/>
        <v>14.730714285714283</v>
      </c>
      <c r="AA7" s="163">
        <f t="shared" si="27"/>
        <v>4.6697599999999992</v>
      </c>
      <c r="AB7" s="163">
        <f t="shared" si="28"/>
        <v>3.3355428571428574</v>
      </c>
      <c r="AC7" s="163">
        <f t="shared" si="29"/>
        <v>2.0013257142857142</v>
      </c>
      <c r="AD7" s="163">
        <f t="shared" si="30"/>
        <v>1576.0440000000001</v>
      </c>
      <c r="AE7" s="163" t="s">
        <v>2095</v>
      </c>
      <c r="AF7" s="163">
        <f t="shared" si="31"/>
        <v>525.34799999999996</v>
      </c>
      <c r="AG7" s="163">
        <f t="shared" si="2"/>
        <v>420.27840000000003</v>
      </c>
      <c r="AH7" s="163">
        <f t="shared" si="3"/>
        <v>315.2088</v>
      </c>
      <c r="AI7" s="163">
        <f t="shared" si="4"/>
        <v>210.13920000000002</v>
      </c>
      <c r="AJ7" s="163">
        <f t="shared" si="5"/>
        <v>105.06960000000001</v>
      </c>
      <c r="AK7" s="163">
        <f t="shared" si="6"/>
        <v>0</v>
      </c>
      <c r="AL7" s="163">
        <f t="shared" si="7"/>
        <v>0</v>
      </c>
    </row>
    <row r="8" spans="1:38" ht="21" x14ac:dyDescent="0.2">
      <c r="A8" s="318"/>
      <c r="B8" s="162" t="s">
        <v>173</v>
      </c>
      <c r="C8" s="163">
        <f>SUM('KALE (Sensus)'!E588)</f>
        <v>590.58000000000015</v>
      </c>
      <c r="D8" s="163">
        <f>'KALE (Sensus)'!G588</f>
        <v>79850</v>
      </c>
      <c r="E8" s="163">
        <f t="shared" si="0"/>
        <v>2952.9000000000005</v>
      </c>
      <c r="F8" s="163">
        <f t="shared" si="8"/>
        <v>73.822500000000019</v>
      </c>
      <c r="G8" s="163">
        <f t="shared" si="9"/>
        <v>10.546071428571432</v>
      </c>
      <c r="H8" s="163">
        <f t="shared" si="10"/>
        <v>239550</v>
      </c>
      <c r="I8" s="163">
        <f t="shared" si="11"/>
        <v>79850</v>
      </c>
      <c r="J8" s="163">
        <f t="shared" si="12"/>
        <v>63880</v>
      </c>
      <c r="K8" s="163">
        <f t="shared" si="13"/>
        <v>47910</v>
      </c>
      <c r="L8" s="163">
        <f t="shared" si="14"/>
        <v>31940</v>
      </c>
      <c r="M8" s="163">
        <f t="shared" si="15"/>
        <v>15970</v>
      </c>
      <c r="N8" s="163">
        <v>0</v>
      </c>
      <c r="O8" s="163">
        <v>0</v>
      </c>
      <c r="P8" s="163">
        <f t="shared" si="16"/>
        <v>2.3954999999999997</v>
      </c>
      <c r="Q8" s="163">
        <f t="shared" si="17"/>
        <v>0.79849999999999999</v>
      </c>
      <c r="R8" s="163">
        <f t="shared" si="18"/>
        <v>0.63880000000000003</v>
      </c>
      <c r="S8" s="163">
        <f t="shared" si="19"/>
        <v>0.47909999999999997</v>
      </c>
      <c r="T8" s="163">
        <f t="shared" si="20"/>
        <v>0.31940000000000002</v>
      </c>
      <c r="U8" s="163">
        <f t="shared" si="21"/>
        <v>0.15970000000000001</v>
      </c>
      <c r="V8" s="163">
        <f t="shared" si="22"/>
        <v>0</v>
      </c>
      <c r="W8" s="163">
        <f t="shared" si="23"/>
        <v>0</v>
      </c>
      <c r="X8" s="163">
        <f t="shared" si="24"/>
        <v>119.77500000000001</v>
      </c>
      <c r="Y8" s="163">
        <f t="shared" si="25"/>
        <v>8.4368571428571446</v>
      </c>
      <c r="Z8" s="163">
        <f t="shared" si="26"/>
        <v>10.546071428571432</v>
      </c>
      <c r="AA8" s="163">
        <f t="shared" si="27"/>
        <v>3.1939999999999995</v>
      </c>
      <c r="AB8" s="163">
        <f t="shared" si="28"/>
        <v>2.2814285714285716</v>
      </c>
      <c r="AC8" s="163">
        <f t="shared" si="29"/>
        <v>1.3688571428571426</v>
      </c>
      <c r="AD8" s="163">
        <f t="shared" si="30"/>
        <v>1077.9749999999999</v>
      </c>
      <c r="AE8" s="163" t="s">
        <v>2095</v>
      </c>
      <c r="AF8" s="163">
        <f t="shared" si="31"/>
        <v>359.32499999999999</v>
      </c>
      <c r="AG8" s="163">
        <f t="shared" si="2"/>
        <v>287.45999999999998</v>
      </c>
      <c r="AH8" s="163">
        <f t="shared" si="3"/>
        <v>215.595</v>
      </c>
      <c r="AI8" s="163">
        <f t="shared" si="4"/>
        <v>143.72999999999999</v>
      </c>
      <c r="AJ8" s="163">
        <f t="shared" si="5"/>
        <v>71.864999999999995</v>
      </c>
      <c r="AK8" s="163">
        <f t="shared" si="6"/>
        <v>0</v>
      </c>
      <c r="AL8" s="163">
        <f t="shared" si="7"/>
        <v>0</v>
      </c>
    </row>
    <row r="9" spans="1:38" ht="21" x14ac:dyDescent="0.2">
      <c r="A9" s="318"/>
      <c r="B9" s="258" t="s">
        <v>2224</v>
      </c>
      <c r="C9" s="259">
        <f t="shared" ref="C9:H9" si="32">SUM(C3:C8)</f>
        <v>4451.8500000000004</v>
      </c>
      <c r="D9" s="259">
        <f t="shared" si="32"/>
        <v>630820</v>
      </c>
      <c r="E9" s="259">
        <f t="shared" si="32"/>
        <v>22259.250000000004</v>
      </c>
      <c r="F9" s="259">
        <f t="shared" si="32"/>
        <v>556.48124999999993</v>
      </c>
      <c r="G9" s="259">
        <f t="shared" si="32"/>
        <v>79.497321428571425</v>
      </c>
      <c r="H9" s="259">
        <f t="shared" si="32"/>
        <v>1892460</v>
      </c>
      <c r="I9" s="259">
        <f t="shared" ref="I9:AC9" si="33">SUM(I3:I8)</f>
        <v>630820</v>
      </c>
      <c r="J9" s="259">
        <f t="shared" si="33"/>
        <v>504656.00000000006</v>
      </c>
      <c r="K9" s="259">
        <f t="shared" si="33"/>
        <v>378492</v>
      </c>
      <c r="L9" s="259">
        <f t="shared" si="33"/>
        <v>252328.00000000003</v>
      </c>
      <c r="M9" s="259">
        <f t="shared" si="33"/>
        <v>126164.00000000001</v>
      </c>
      <c r="N9" s="259">
        <f t="shared" ref="N9" si="34">SUM(N3:N8)</f>
        <v>0</v>
      </c>
      <c r="O9" s="259">
        <f t="shared" ref="O9" si="35">SUM(O3:O8)</f>
        <v>0</v>
      </c>
      <c r="P9" s="259">
        <f t="shared" ref="P9" si="36">SUM(Q9:U9)</f>
        <v>18.924599999999998</v>
      </c>
      <c r="Q9" s="259">
        <f t="shared" si="33"/>
        <v>6.3081999999999994</v>
      </c>
      <c r="R9" s="259">
        <f t="shared" si="33"/>
        <v>5.0465600000000004</v>
      </c>
      <c r="S9" s="259">
        <f t="shared" si="33"/>
        <v>3.7849199999999996</v>
      </c>
      <c r="T9" s="259">
        <f t="shared" si="33"/>
        <v>2.5232800000000002</v>
      </c>
      <c r="U9" s="259">
        <f t="shared" si="33"/>
        <v>1.2616400000000001</v>
      </c>
      <c r="V9" s="259">
        <f t="shared" si="33"/>
        <v>0</v>
      </c>
      <c r="W9" s="259">
        <f t="shared" si="33"/>
        <v>0</v>
      </c>
      <c r="X9" s="259">
        <f t="shared" si="33"/>
        <v>946.23</v>
      </c>
      <c r="Y9" s="259">
        <f t="shared" si="33"/>
        <v>63.597857142857144</v>
      </c>
      <c r="Z9" s="259">
        <f t="shared" si="33"/>
        <v>79.497321428571425</v>
      </c>
      <c r="AA9" s="259">
        <f t="shared" si="33"/>
        <v>25.232799999999997</v>
      </c>
      <c r="AB9" s="259">
        <f t="shared" si="33"/>
        <v>18.023428571428571</v>
      </c>
      <c r="AC9" s="259">
        <f t="shared" si="33"/>
        <v>10.814057142857143</v>
      </c>
      <c r="AD9" s="259">
        <f t="shared" ref="AD9" si="37">SUM(AF9:AJ9)</f>
        <v>8516.07</v>
      </c>
      <c r="AE9" s="259" t="s">
        <v>2095</v>
      </c>
      <c r="AF9" s="259">
        <f t="shared" ref="AF9" si="38">SUM(AF3:AF8)</f>
        <v>2838.6899999999996</v>
      </c>
      <c r="AG9" s="259">
        <f t="shared" ref="AG9" si="39">SUM(AG3:AG8)</f>
        <v>2270.9520000000002</v>
      </c>
      <c r="AH9" s="259">
        <f t="shared" ref="AH9" si="40">SUM(AH3:AH8)</f>
        <v>1703.2139999999997</v>
      </c>
      <c r="AI9" s="259">
        <f t="shared" ref="AI9" si="41">SUM(AI3:AI8)</f>
        <v>1135.4760000000001</v>
      </c>
      <c r="AJ9" s="259">
        <f t="shared" ref="AJ9" si="42">SUM(AJ3:AJ8)</f>
        <v>567.73800000000006</v>
      </c>
      <c r="AK9" s="259">
        <f t="shared" ref="AK9" si="43">SUM(AK3:AK8)</f>
        <v>0</v>
      </c>
      <c r="AL9" s="259">
        <f t="shared" ref="AL9" si="44">SUM(AL3:AL8)</f>
        <v>0</v>
      </c>
    </row>
    <row r="10" spans="1:38" ht="21" outlineLevel="1" x14ac:dyDescent="0.2">
      <c r="A10" s="318"/>
      <c r="B10" s="260" t="s">
        <v>216</v>
      </c>
      <c r="C10" s="261">
        <f>SUM('KALE (Sensus)'!E589)</f>
        <v>884.34000000000026</v>
      </c>
      <c r="D10" s="261">
        <f>'KALE (Sensus)'!G589</f>
        <v>121840</v>
      </c>
      <c r="E10" s="261">
        <f t="shared" ref="E10:E16" si="45">C10*5</f>
        <v>4421.7000000000016</v>
      </c>
      <c r="F10" s="261">
        <f t="shared" si="8"/>
        <v>110.54250000000005</v>
      </c>
      <c r="G10" s="261">
        <f>F10/7</f>
        <v>15.791785714285721</v>
      </c>
      <c r="H10" s="261">
        <f t="shared" si="10"/>
        <v>365520</v>
      </c>
      <c r="I10" s="261">
        <f t="shared" ref="I10:I12" si="46">D10</f>
        <v>121840</v>
      </c>
      <c r="J10" s="261">
        <f t="shared" si="12"/>
        <v>97472</v>
      </c>
      <c r="K10" s="261">
        <f t="shared" ref="K10:K12" si="47">0.6*D10</f>
        <v>73104</v>
      </c>
      <c r="L10" s="261">
        <f t="shared" ref="L10:L12" si="48">D10*0.4</f>
        <v>48736</v>
      </c>
      <c r="M10" s="261">
        <f t="shared" ref="M10:M12" si="49">0.2*D10</f>
        <v>24368</v>
      </c>
      <c r="N10" s="261">
        <v>0</v>
      </c>
      <c r="O10" s="261">
        <v>0</v>
      </c>
      <c r="P10" s="261">
        <f t="shared" ref="P10:P16" si="50">SUM(Q10:W10)</f>
        <v>3.6551999999999993</v>
      </c>
      <c r="Q10" s="261">
        <f t="shared" ref="Q10:Q16" si="51">I10/4000/5/5</f>
        <v>1.2184000000000001</v>
      </c>
      <c r="R10" s="261">
        <f t="shared" ref="R10:R16" si="52">J10/4000/5/5</f>
        <v>0.97471999999999992</v>
      </c>
      <c r="S10" s="261">
        <f t="shared" ref="S10:S16" si="53">K10/4000/5/5</f>
        <v>0.73103999999999991</v>
      </c>
      <c r="T10" s="261">
        <f t="shared" ref="T10:T16" si="54">L10/4000/5/5</f>
        <v>0.48735999999999996</v>
      </c>
      <c r="U10" s="261">
        <f t="shared" ref="U10:U16" si="55">M10/4000/5/5</f>
        <v>0.24367999999999998</v>
      </c>
      <c r="V10" s="261">
        <f t="shared" ref="V10:V16" si="56">N10/4000/5/5</f>
        <v>0</v>
      </c>
      <c r="W10" s="261">
        <f t="shared" ref="W10:W16" si="57">O10/4000/5/5</f>
        <v>0</v>
      </c>
      <c r="X10" s="261">
        <f>H10/2000</f>
        <v>182.76</v>
      </c>
      <c r="Y10" s="261">
        <f t="shared" si="25"/>
        <v>12.633428571428576</v>
      </c>
      <c r="Z10" s="163">
        <f t="shared" si="26"/>
        <v>15.791785714285721</v>
      </c>
      <c r="AA10" s="163">
        <f t="shared" ref="AA10:AA16" si="58">1.6/3*$H10/35000</f>
        <v>5.5698285714285714</v>
      </c>
      <c r="AB10" s="163">
        <f t="shared" si="28"/>
        <v>3.4811428571428573</v>
      </c>
      <c r="AC10" s="163">
        <f t="shared" ref="AC10:AC16" si="59">0.6/3*$H10/35000</f>
        <v>2.0886857142857145</v>
      </c>
      <c r="AD10" s="261">
        <f t="shared" ref="AD10:AD16" si="60">SUM(AF10:AL10)</f>
        <v>1644.8400000000001</v>
      </c>
      <c r="AE10" s="261" t="s">
        <v>2095</v>
      </c>
      <c r="AF10" s="261">
        <f t="shared" ref="AF10:AF16" si="61">I10*4.5/1000</f>
        <v>548.28</v>
      </c>
      <c r="AG10" s="261">
        <f t="shared" ref="AG10:AG16" si="62">J10*4.5/1000</f>
        <v>438.62400000000002</v>
      </c>
      <c r="AH10" s="261">
        <f t="shared" ref="AH10:AH16" si="63">K10*4.5/1000</f>
        <v>328.96800000000002</v>
      </c>
      <c r="AI10" s="261">
        <f t="shared" ref="AI10:AI16" si="64">L10*4.5/1000</f>
        <v>219.31200000000001</v>
      </c>
      <c r="AJ10" s="261">
        <f t="shared" ref="AJ10:AJ16" si="65">M10*4.5/1000</f>
        <v>109.65600000000001</v>
      </c>
      <c r="AK10" s="261">
        <f t="shared" ref="AK10:AK16" si="66">N10*4.5/1000</f>
        <v>0</v>
      </c>
      <c r="AL10" s="261">
        <f t="shared" ref="AL10:AL16" si="67">O10*4.5/1000</f>
        <v>0</v>
      </c>
    </row>
    <row r="11" spans="1:38" ht="21" outlineLevel="1" x14ac:dyDescent="0.2">
      <c r="A11" s="318"/>
      <c r="B11" s="260" t="s">
        <v>252</v>
      </c>
      <c r="C11" s="261">
        <f>SUM('KALE (Sensus)'!E590)</f>
        <v>891.03999999999985</v>
      </c>
      <c r="D11" s="261">
        <f>'KALE (Sensus)'!G590</f>
        <v>124455</v>
      </c>
      <c r="E11" s="261">
        <f t="shared" si="45"/>
        <v>4455.1999999999989</v>
      </c>
      <c r="F11" s="261">
        <f t="shared" si="8"/>
        <v>111.37999999999997</v>
      </c>
      <c r="G11" s="261">
        <f t="shared" ref="G11:G16" si="68">F11/7</f>
        <v>15.911428571428567</v>
      </c>
      <c r="H11" s="261">
        <f t="shared" si="10"/>
        <v>373365</v>
      </c>
      <c r="I11" s="261">
        <f t="shared" si="46"/>
        <v>124455</v>
      </c>
      <c r="J11" s="261">
        <f t="shared" si="12"/>
        <v>99564</v>
      </c>
      <c r="K11" s="261">
        <f t="shared" si="47"/>
        <v>74673</v>
      </c>
      <c r="L11" s="261">
        <f t="shared" si="48"/>
        <v>49782</v>
      </c>
      <c r="M11" s="261">
        <f t="shared" si="49"/>
        <v>24891</v>
      </c>
      <c r="N11" s="261">
        <v>0</v>
      </c>
      <c r="O11" s="261">
        <v>0</v>
      </c>
      <c r="P11" s="261">
        <f t="shared" si="50"/>
        <v>3.7336499999999995</v>
      </c>
      <c r="Q11" s="261">
        <f t="shared" si="51"/>
        <v>1.2445499999999998</v>
      </c>
      <c r="R11" s="261">
        <f t="shared" si="52"/>
        <v>0.99563999999999986</v>
      </c>
      <c r="S11" s="261">
        <f t="shared" si="53"/>
        <v>0.74673</v>
      </c>
      <c r="T11" s="261">
        <f t="shared" si="54"/>
        <v>0.49781999999999993</v>
      </c>
      <c r="U11" s="261">
        <f t="shared" si="55"/>
        <v>0.24890999999999996</v>
      </c>
      <c r="V11" s="261">
        <f t="shared" si="56"/>
        <v>0</v>
      </c>
      <c r="W11" s="261">
        <f t="shared" si="57"/>
        <v>0</v>
      </c>
      <c r="X11" s="261">
        <f t="shared" ref="X11:X16" si="69">H11/2000</f>
        <v>186.6825</v>
      </c>
      <c r="Y11" s="261">
        <f t="shared" si="25"/>
        <v>12.729142857142854</v>
      </c>
      <c r="Z11" s="163">
        <f t="shared" si="26"/>
        <v>15.911428571428567</v>
      </c>
      <c r="AA11" s="163">
        <f t="shared" si="58"/>
        <v>5.6893714285714285</v>
      </c>
      <c r="AB11" s="163">
        <f t="shared" si="28"/>
        <v>3.555857142857143</v>
      </c>
      <c r="AC11" s="163">
        <f t="shared" si="59"/>
        <v>2.1335142857142859</v>
      </c>
      <c r="AD11" s="261">
        <f t="shared" si="60"/>
        <v>1680.1424999999999</v>
      </c>
      <c r="AE11" s="261" t="s">
        <v>2095</v>
      </c>
      <c r="AF11" s="261">
        <f t="shared" si="61"/>
        <v>560.04750000000001</v>
      </c>
      <c r="AG11" s="261">
        <f t="shared" si="62"/>
        <v>448.03800000000001</v>
      </c>
      <c r="AH11" s="261">
        <f t="shared" si="63"/>
        <v>336.02850000000001</v>
      </c>
      <c r="AI11" s="261">
        <f t="shared" si="64"/>
        <v>224.01900000000001</v>
      </c>
      <c r="AJ11" s="261">
        <f t="shared" si="65"/>
        <v>112.0095</v>
      </c>
      <c r="AK11" s="261">
        <f t="shared" si="66"/>
        <v>0</v>
      </c>
      <c r="AL11" s="261">
        <f t="shared" si="67"/>
        <v>0</v>
      </c>
    </row>
    <row r="12" spans="1:38" ht="21" outlineLevel="1" x14ac:dyDescent="0.2">
      <c r="A12" s="318"/>
      <c r="B12" s="260" t="s">
        <v>290</v>
      </c>
      <c r="C12" s="261">
        <f>SUM('KALE (Sensus)'!E591)</f>
        <v>870.63999999999987</v>
      </c>
      <c r="D12" s="261">
        <f>'KALE (Sensus)'!G591</f>
        <v>121143</v>
      </c>
      <c r="E12" s="261">
        <f t="shared" si="45"/>
        <v>4353.1999999999989</v>
      </c>
      <c r="F12" s="261">
        <f t="shared" si="8"/>
        <v>108.82999999999997</v>
      </c>
      <c r="G12" s="261">
        <f t="shared" si="68"/>
        <v>15.547142857142854</v>
      </c>
      <c r="H12" s="261">
        <f t="shared" si="10"/>
        <v>363429</v>
      </c>
      <c r="I12" s="261">
        <f t="shared" si="46"/>
        <v>121143</v>
      </c>
      <c r="J12" s="261">
        <f t="shared" si="12"/>
        <v>96914.400000000009</v>
      </c>
      <c r="K12" s="261">
        <f t="shared" si="47"/>
        <v>72685.8</v>
      </c>
      <c r="L12" s="261">
        <f t="shared" si="48"/>
        <v>48457.200000000004</v>
      </c>
      <c r="M12" s="261">
        <f t="shared" si="49"/>
        <v>24228.600000000002</v>
      </c>
      <c r="N12" s="261">
        <v>0</v>
      </c>
      <c r="O12" s="261">
        <v>0</v>
      </c>
      <c r="P12" s="261">
        <f t="shared" si="50"/>
        <v>3.63429</v>
      </c>
      <c r="Q12" s="261">
        <f t="shared" si="51"/>
        <v>1.21143</v>
      </c>
      <c r="R12" s="261">
        <f t="shared" si="52"/>
        <v>0.96914400000000023</v>
      </c>
      <c r="S12" s="261">
        <f t="shared" si="53"/>
        <v>0.726858</v>
      </c>
      <c r="T12" s="261">
        <f t="shared" si="54"/>
        <v>0.48457200000000011</v>
      </c>
      <c r="U12" s="261">
        <f t="shared" si="55"/>
        <v>0.24228600000000006</v>
      </c>
      <c r="V12" s="261">
        <f t="shared" si="56"/>
        <v>0</v>
      </c>
      <c r="W12" s="261">
        <f t="shared" si="57"/>
        <v>0</v>
      </c>
      <c r="X12" s="261">
        <f t="shared" si="69"/>
        <v>181.71449999999999</v>
      </c>
      <c r="Y12" s="261">
        <f t="shared" si="25"/>
        <v>12.437714285714282</v>
      </c>
      <c r="Z12" s="163">
        <f t="shared" si="26"/>
        <v>15.547142857142854</v>
      </c>
      <c r="AA12" s="163">
        <f t="shared" si="58"/>
        <v>5.5379657142857139</v>
      </c>
      <c r="AB12" s="163">
        <f t="shared" si="28"/>
        <v>3.4612285714285713</v>
      </c>
      <c r="AC12" s="163">
        <f t="shared" si="59"/>
        <v>2.0767371428571426</v>
      </c>
      <c r="AD12" s="261">
        <f t="shared" si="60"/>
        <v>1635.4305000000002</v>
      </c>
      <c r="AE12" s="261" t="s">
        <v>2095</v>
      </c>
      <c r="AF12" s="261">
        <f t="shared" si="61"/>
        <v>545.14350000000002</v>
      </c>
      <c r="AG12" s="261">
        <f t="shared" si="62"/>
        <v>436.11480000000006</v>
      </c>
      <c r="AH12" s="261">
        <f t="shared" si="63"/>
        <v>327.08610000000004</v>
      </c>
      <c r="AI12" s="261">
        <f t="shared" si="64"/>
        <v>218.05740000000003</v>
      </c>
      <c r="AJ12" s="261">
        <f t="shared" si="65"/>
        <v>109.02870000000001</v>
      </c>
      <c r="AK12" s="261">
        <f t="shared" si="66"/>
        <v>0</v>
      </c>
      <c r="AL12" s="261">
        <f t="shared" si="67"/>
        <v>0</v>
      </c>
    </row>
    <row r="13" spans="1:38" ht="21" x14ac:dyDescent="0.2">
      <c r="A13" s="318"/>
      <c r="B13" s="162" t="s">
        <v>323</v>
      </c>
      <c r="C13" s="163">
        <f>SUM('KALE (Sensus)'!E592)</f>
        <v>890.82999999999981</v>
      </c>
      <c r="D13" s="163">
        <f>'KALE (Sensus)'!G592</f>
        <v>120686</v>
      </c>
      <c r="E13" s="163">
        <f t="shared" si="45"/>
        <v>4454.1499999999987</v>
      </c>
      <c r="F13" s="163">
        <f t="shared" si="8"/>
        <v>111.35374999999996</v>
      </c>
      <c r="G13" s="163">
        <f t="shared" si="68"/>
        <v>15.907678571428566</v>
      </c>
      <c r="H13" s="163">
        <f t="shared" si="10"/>
        <v>362058</v>
      </c>
      <c r="I13" s="163">
        <f t="shared" ref="I13:I16" si="70">D13</f>
        <v>120686</v>
      </c>
      <c r="J13" s="163">
        <f t="shared" ref="J13:J16" si="71">I13*0.8</f>
        <v>96548.800000000003</v>
      </c>
      <c r="K13" s="163">
        <f t="shared" ref="K13:K16" si="72">0.6*D13</f>
        <v>72411.599999999991</v>
      </c>
      <c r="L13" s="163">
        <f t="shared" ref="L13:L16" si="73">D13*0.4</f>
        <v>48274.400000000001</v>
      </c>
      <c r="M13" s="163">
        <f t="shared" ref="M13:M16" si="74">0.2*D13</f>
        <v>24137.200000000001</v>
      </c>
      <c r="N13" s="163">
        <v>0</v>
      </c>
      <c r="O13" s="163">
        <v>0</v>
      </c>
      <c r="P13" s="163">
        <f t="shared" si="50"/>
        <v>3.6205799999999999</v>
      </c>
      <c r="Q13" s="163">
        <f t="shared" si="51"/>
        <v>1.20686</v>
      </c>
      <c r="R13" s="163">
        <f t="shared" si="52"/>
        <v>0.96548800000000001</v>
      </c>
      <c r="S13" s="163">
        <f t="shared" si="53"/>
        <v>0.72411599999999987</v>
      </c>
      <c r="T13" s="163">
        <f t="shared" si="54"/>
        <v>0.48274400000000001</v>
      </c>
      <c r="U13" s="163">
        <f t="shared" si="55"/>
        <v>0.241372</v>
      </c>
      <c r="V13" s="163">
        <f t="shared" si="56"/>
        <v>0</v>
      </c>
      <c r="W13" s="163">
        <f t="shared" si="57"/>
        <v>0</v>
      </c>
      <c r="X13" s="163">
        <f t="shared" si="69"/>
        <v>181.029</v>
      </c>
      <c r="Y13" s="163">
        <f t="shared" si="25"/>
        <v>12.726142857142852</v>
      </c>
      <c r="Z13" s="163">
        <f t="shared" si="26"/>
        <v>15.907678571428566</v>
      </c>
      <c r="AA13" s="163">
        <f t="shared" si="58"/>
        <v>5.517074285714286</v>
      </c>
      <c r="AB13" s="163">
        <f t="shared" si="28"/>
        <v>3.4481714285714284</v>
      </c>
      <c r="AC13" s="163">
        <f t="shared" si="59"/>
        <v>2.0689028571428567</v>
      </c>
      <c r="AD13" s="163">
        <f t="shared" si="60"/>
        <v>1629.261</v>
      </c>
      <c r="AE13" s="163" t="s">
        <v>2095</v>
      </c>
      <c r="AF13" s="163">
        <f t="shared" si="61"/>
        <v>543.08699999999999</v>
      </c>
      <c r="AG13" s="163">
        <f t="shared" si="62"/>
        <v>434.46960000000001</v>
      </c>
      <c r="AH13" s="163">
        <f t="shared" si="63"/>
        <v>325.85219999999993</v>
      </c>
      <c r="AI13" s="163">
        <f t="shared" si="64"/>
        <v>217.23480000000001</v>
      </c>
      <c r="AJ13" s="163">
        <f t="shared" si="65"/>
        <v>108.6174</v>
      </c>
      <c r="AK13" s="163">
        <f t="shared" si="66"/>
        <v>0</v>
      </c>
      <c r="AL13" s="163">
        <f t="shared" si="67"/>
        <v>0</v>
      </c>
    </row>
    <row r="14" spans="1:38" ht="21" x14ac:dyDescent="0.2">
      <c r="A14" s="318"/>
      <c r="B14" s="162" t="s">
        <v>345</v>
      </c>
      <c r="C14" s="163">
        <f>SUM('KALE (Sensus)'!E593)</f>
        <v>892.31</v>
      </c>
      <c r="D14" s="163">
        <f>'KALE (Sensus)'!G593</f>
        <v>126424</v>
      </c>
      <c r="E14" s="163">
        <f t="shared" si="45"/>
        <v>4461.5499999999993</v>
      </c>
      <c r="F14" s="163">
        <f t="shared" si="8"/>
        <v>111.53874999999998</v>
      </c>
      <c r="G14" s="163">
        <f t="shared" si="68"/>
        <v>15.93410714285714</v>
      </c>
      <c r="H14" s="163">
        <f t="shared" si="10"/>
        <v>379272</v>
      </c>
      <c r="I14" s="163">
        <f t="shared" si="70"/>
        <v>126424</v>
      </c>
      <c r="J14" s="163">
        <f t="shared" si="71"/>
        <v>101139.20000000001</v>
      </c>
      <c r="K14" s="163">
        <f t="shared" si="72"/>
        <v>75854.399999999994</v>
      </c>
      <c r="L14" s="163">
        <f t="shared" si="73"/>
        <v>50569.600000000006</v>
      </c>
      <c r="M14" s="163">
        <f t="shared" si="74"/>
        <v>25284.800000000003</v>
      </c>
      <c r="N14" s="163">
        <v>0</v>
      </c>
      <c r="O14" s="163">
        <v>0</v>
      </c>
      <c r="P14" s="163">
        <f t="shared" si="50"/>
        <v>3.792720000000001</v>
      </c>
      <c r="Q14" s="163">
        <f t="shared" si="51"/>
        <v>1.26424</v>
      </c>
      <c r="R14" s="163">
        <f t="shared" si="52"/>
        <v>1.0113920000000003</v>
      </c>
      <c r="S14" s="163">
        <f t="shared" si="53"/>
        <v>0.758544</v>
      </c>
      <c r="T14" s="163">
        <f t="shared" si="54"/>
        <v>0.50569600000000015</v>
      </c>
      <c r="U14" s="163">
        <f t="shared" si="55"/>
        <v>0.25284800000000007</v>
      </c>
      <c r="V14" s="163">
        <f t="shared" si="56"/>
        <v>0</v>
      </c>
      <c r="W14" s="163">
        <f t="shared" si="57"/>
        <v>0</v>
      </c>
      <c r="X14" s="163">
        <f t="shared" si="69"/>
        <v>189.636</v>
      </c>
      <c r="Y14" s="163">
        <f t="shared" si="25"/>
        <v>12.747285714285713</v>
      </c>
      <c r="Z14" s="163">
        <f t="shared" si="26"/>
        <v>15.93410714285714</v>
      </c>
      <c r="AA14" s="163">
        <f t="shared" si="58"/>
        <v>5.7793828571428572</v>
      </c>
      <c r="AB14" s="163">
        <f t="shared" si="28"/>
        <v>3.6121142857142856</v>
      </c>
      <c r="AC14" s="163">
        <f t="shared" si="59"/>
        <v>2.1672685714285711</v>
      </c>
      <c r="AD14" s="163">
        <f t="shared" si="60"/>
        <v>1706.7239999999999</v>
      </c>
      <c r="AE14" s="163" t="s">
        <v>2095</v>
      </c>
      <c r="AF14" s="163">
        <f t="shared" si="61"/>
        <v>568.90800000000002</v>
      </c>
      <c r="AG14" s="163">
        <f t="shared" si="62"/>
        <v>455.12640000000005</v>
      </c>
      <c r="AH14" s="163">
        <f t="shared" si="63"/>
        <v>341.34479999999996</v>
      </c>
      <c r="AI14" s="163">
        <f t="shared" si="64"/>
        <v>227.56320000000002</v>
      </c>
      <c r="AJ14" s="163">
        <f t="shared" si="65"/>
        <v>113.78160000000001</v>
      </c>
      <c r="AK14" s="163">
        <f t="shared" si="66"/>
        <v>0</v>
      </c>
      <c r="AL14" s="163">
        <f t="shared" si="67"/>
        <v>0</v>
      </c>
    </row>
    <row r="15" spans="1:38" ht="21" x14ac:dyDescent="0.2">
      <c r="A15" s="318"/>
      <c r="B15" s="162" t="s">
        <v>380</v>
      </c>
      <c r="C15" s="163">
        <f>SUM('KALE (Sensus)'!E594)</f>
        <v>895.66000000000054</v>
      </c>
      <c r="D15" s="163">
        <f>'KALE (Sensus)'!G594</f>
        <v>122783</v>
      </c>
      <c r="E15" s="163">
        <f t="shared" si="45"/>
        <v>4478.3000000000029</v>
      </c>
      <c r="F15" s="163">
        <f t="shared" si="8"/>
        <v>111.95750000000007</v>
      </c>
      <c r="G15" s="163">
        <f t="shared" si="68"/>
        <v>15.993928571428581</v>
      </c>
      <c r="H15" s="163">
        <f t="shared" si="10"/>
        <v>368349</v>
      </c>
      <c r="I15" s="163">
        <f t="shared" si="70"/>
        <v>122783</v>
      </c>
      <c r="J15" s="163">
        <f t="shared" si="71"/>
        <v>98226.400000000009</v>
      </c>
      <c r="K15" s="163">
        <f t="shared" si="72"/>
        <v>73669.8</v>
      </c>
      <c r="L15" s="163">
        <f t="shared" si="73"/>
        <v>49113.200000000004</v>
      </c>
      <c r="M15" s="163">
        <f t="shared" si="74"/>
        <v>24556.600000000002</v>
      </c>
      <c r="N15" s="163">
        <v>0</v>
      </c>
      <c r="O15" s="163">
        <v>0</v>
      </c>
      <c r="P15" s="163">
        <f t="shared" si="50"/>
        <v>3.6834900000000004</v>
      </c>
      <c r="Q15" s="163">
        <f t="shared" si="51"/>
        <v>1.22783</v>
      </c>
      <c r="R15" s="163">
        <f t="shared" si="52"/>
        <v>0.98226400000000014</v>
      </c>
      <c r="S15" s="163">
        <f t="shared" si="53"/>
        <v>0.73669800000000008</v>
      </c>
      <c r="T15" s="163">
        <f t="shared" si="54"/>
        <v>0.49113200000000007</v>
      </c>
      <c r="U15" s="163">
        <f t="shared" si="55"/>
        <v>0.24556600000000003</v>
      </c>
      <c r="V15" s="163">
        <f t="shared" si="56"/>
        <v>0</v>
      </c>
      <c r="W15" s="163">
        <f t="shared" si="57"/>
        <v>0</v>
      </c>
      <c r="X15" s="163">
        <f t="shared" si="69"/>
        <v>184.17449999999999</v>
      </c>
      <c r="Y15" s="163">
        <f t="shared" si="25"/>
        <v>12.795142857142864</v>
      </c>
      <c r="Z15" s="163">
        <f t="shared" si="26"/>
        <v>15.993928571428581</v>
      </c>
      <c r="AA15" s="163">
        <f t="shared" si="58"/>
        <v>5.6129371428571426</v>
      </c>
      <c r="AB15" s="163">
        <f t="shared" si="28"/>
        <v>3.5080857142857145</v>
      </c>
      <c r="AC15" s="163">
        <f t="shared" si="59"/>
        <v>2.1048514285714282</v>
      </c>
      <c r="AD15" s="163">
        <f t="shared" si="60"/>
        <v>1657.5705000000003</v>
      </c>
      <c r="AE15" s="163" t="s">
        <v>2095</v>
      </c>
      <c r="AF15" s="163">
        <f t="shared" si="61"/>
        <v>552.52350000000001</v>
      </c>
      <c r="AG15" s="163">
        <f t="shared" si="62"/>
        <v>442.01880000000006</v>
      </c>
      <c r="AH15" s="163">
        <f t="shared" si="63"/>
        <v>331.51410000000004</v>
      </c>
      <c r="AI15" s="163">
        <f t="shared" si="64"/>
        <v>221.00940000000003</v>
      </c>
      <c r="AJ15" s="163">
        <f t="shared" si="65"/>
        <v>110.50470000000001</v>
      </c>
      <c r="AK15" s="163">
        <f t="shared" si="66"/>
        <v>0</v>
      </c>
      <c r="AL15" s="163">
        <f t="shared" si="67"/>
        <v>0</v>
      </c>
    </row>
    <row r="16" spans="1:38" ht="21" x14ac:dyDescent="0.2">
      <c r="A16" s="318"/>
      <c r="B16" s="162" t="s">
        <v>416</v>
      </c>
      <c r="C16" s="163">
        <f>SUM('KALE (Sensus)'!E595)</f>
        <v>881.33</v>
      </c>
      <c r="D16" s="163">
        <f>'KALE (Sensus)'!G595</f>
        <v>118577</v>
      </c>
      <c r="E16" s="163">
        <f t="shared" si="45"/>
        <v>4406.6500000000005</v>
      </c>
      <c r="F16" s="163">
        <f t="shared" si="8"/>
        <v>110.16625000000002</v>
      </c>
      <c r="G16" s="163">
        <f t="shared" si="68"/>
        <v>15.738035714285717</v>
      </c>
      <c r="H16" s="163">
        <f t="shared" si="10"/>
        <v>355731</v>
      </c>
      <c r="I16" s="163">
        <f t="shared" si="70"/>
        <v>118577</v>
      </c>
      <c r="J16" s="163">
        <f t="shared" si="71"/>
        <v>94861.6</v>
      </c>
      <c r="K16" s="163">
        <f t="shared" si="72"/>
        <v>71146.2</v>
      </c>
      <c r="L16" s="163">
        <f t="shared" si="73"/>
        <v>47430.8</v>
      </c>
      <c r="M16" s="163">
        <f t="shared" si="74"/>
        <v>23715.4</v>
      </c>
      <c r="N16" s="163">
        <v>0</v>
      </c>
      <c r="O16" s="163">
        <v>0</v>
      </c>
      <c r="P16" s="163">
        <f t="shared" si="50"/>
        <v>3.5573100000000002</v>
      </c>
      <c r="Q16" s="163">
        <f t="shared" si="51"/>
        <v>1.18577</v>
      </c>
      <c r="R16" s="163">
        <f t="shared" si="52"/>
        <v>0.94861600000000013</v>
      </c>
      <c r="S16" s="163">
        <f t="shared" si="53"/>
        <v>0.71146199999999993</v>
      </c>
      <c r="T16" s="163">
        <f t="shared" si="54"/>
        <v>0.47430800000000006</v>
      </c>
      <c r="U16" s="163">
        <f t="shared" si="55"/>
        <v>0.23715400000000003</v>
      </c>
      <c r="V16" s="163">
        <f t="shared" si="56"/>
        <v>0</v>
      </c>
      <c r="W16" s="163">
        <f t="shared" si="57"/>
        <v>0</v>
      </c>
      <c r="X16" s="163">
        <f t="shared" si="69"/>
        <v>177.8655</v>
      </c>
      <c r="Y16" s="163">
        <f t="shared" si="25"/>
        <v>12.590428571428575</v>
      </c>
      <c r="Z16" s="163">
        <f t="shared" si="26"/>
        <v>15.738035714285717</v>
      </c>
      <c r="AA16" s="163">
        <f t="shared" si="58"/>
        <v>5.4206628571428572</v>
      </c>
      <c r="AB16" s="163">
        <f t="shared" si="28"/>
        <v>3.3879142857142859</v>
      </c>
      <c r="AC16" s="163">
        <f t="shared" si="59"/>
        <v>2.0327485714285713</v>
      </c>
      <c r="AD16" s="163">
        <f t="shared" si="60"/>
        <v>1600.7894999999999</v>
      </c>
      <c r="AE16" s="163" t="s">
        <v>2095</v>
      </c>
      <c r="AF16" s="163">
        <f t="shared" si="61"/>
        <v>533.59649999999999</v>
      </c>
      <c r="AG16" s="163">
        <f t="shared" si="62"/>
        <v>426.87720000000002</v>
      </c>
      <c r="AH16" s="163">
        <f t="shared" si="63"/>
        <v>320.15789999999998</v>
      </c>
      <c r="AI16" s="163">
        <f t="shared" si="64"/>
        <v>213.43860000000001</v>
      </c>
      <c r="AJ16" s="163">
        <f t="shared" si="65"/>
        <v>106.7193</v>
      </c>
      <c r="AK16" s="163">
        <f t="shared" si="66"/>
        <v>0</v>
      </c>
      <c r="AL16" s="163">
        <f t="shared" si="67"/>
        <v>0</v>
      </c>
    </row>
    <row r="17" spans="1:38" ht="21" x14ac:dyDescent="0.2">
      <c r="A17" s="318"/>
      <c r="B17" s="258" t="s">
        <v>2225</v>
      </c>
      <c r="C17" s="259">
        <f t="shared" ref="C17:H17" si="75">SUM(C10:C16)-C10-C11-C12</f>
        <v>3560.1300000000006</v>
      </c>
      <c r="D17" s="259">
        <f t="shared" si="75"/>
        <v>488470</v>
      </c>
      <c r="E17" s="259">
        <f t="shared" si="75"/>
        <v>17800.650000000009</v>
      </c>
      <c r="F17" s="259">
        <f t="shared" si="75"/>
        <v>445.01624999999996</v>
      </c>
      <c r="G17" s="259">
        <f t="shared" si="75"/>
        <v>63.573749999999997</v>
      </c>
      <c r="H17" s="259">
        <f t="shared" si="75"/>
        <v>1465410</v>
      </c>
      <c r="I17" s="259">
        <f t="shared" ref="I17:X17" si="76">SUM(I10:I16)-I10-I11-I12</f>
        <v>488470</v>
      </c>
      <c r="J17" s="259">
        <f t="shared" si="76"/>
        <v>390776</v>
      </c>
      <c r="K17" s="259">
        <f t="shared" si="76"/>
        <v>293081.99999999994</v>
      </c>
      <c r="L17" s="259">
        <f t="shared" si="76"/>
        <v>195388</v>
      </c>
      <c r="M17" s="259">
        <f t="shared" si="76"/>
        <v>97694</v>
      </c>
      <c r="N17" s="259">
        <f t="shared" ref="N17" si="77">SUM(N10:N16)-N10-N11-N12</f>
        <v>0</v>
      </c>
      <c r="O17" s="259">
        <f t="shared" ref="O17" si="78">SUM(O10:O16)-O10-O11-O12</f>
        <v>0</v>
      </c>
      <c r="P17" s="259">
        <f t="shared" si="76"/>
        <v>14.654099999999996</v>
      </c>
      <c r="Q17" s="259">
        <f t="shared" si="76"/>
        <v>4.8847000000000005</v>
      </c>
      <c r="R17" s="259">
        <f t="shared" si="76"/>
        <v>3.9077600000000015</v>
      </c>
      <c r="S17" s="259">
        <f t="shared" si="76"/>
        <v>2.9308200000000002</v>
      </c>
      <c r="T17" s="259">
        <f t="shared" si="76"/>
        <v>1.9538800000000007</v>
      </c>
      <c r="U17" s="259">
        <f t="shared" si="76"/>
        <v>0.97694000000000036</v>
      </c>
      <c r="V17" s="259">
        <f t="shared" si="76"/>
        <v>0</v>
      </c>
      <c r="W17" s="259">
        <f t="shared" si="76"/>
        <v>0</v>
      </c>
      <c r="X17" s="259">
        <f t="shared" si="76"/>
        <v>732.70500000000015</v>
      </c>
      <c r="Y17" s="259">
        <f t="shared" ref="Y17:Z17" si="79">SUM(Y10:Y16)-Y10-Y11-Y12</f>
        <v>50.858999999999995</v>
      </c>
      <c r="Z17" s="259">
        <f t="shared" si="79"/>
        <v>63.573749999999997</v>
      </c>
      <c r="AA17" s="259">
        <f t="shared" ref="AA17:AC17" si="80">SUM(AA10:AA16)-AA10-AA11-AA12</f>
        <v>22.330057142857147</v>
      </c>
      <c r="AB17" s="259">
        <f t="shared" si="80"/>
        <v>13.956285714285716</v>
      </c>
      <c r="AC17" s="259">
        <f t="shared" si="80"/>
        <v>8.3737714285714304</v>
      </c>
      <c r="AD17" s="259">
        <f t="shared" ref="AD17" si="81">SUM(AD10:AD16)-AD10-AD11-AD12</f>
        <v>6594.3450000000012</v>
      </c>
      <c r="AE17" s="259" t="s">
        <v>2095</v>
      </c>
      <c r="AF17" s="259">
        <f t="shared" ref="AF17" si="82">SUM(AF10:AF16)-AF10-AF11-AF12</f>
        <v>2198.1149999999993</v>
      </c>
      <c r="AG17" s="259">
        <f t="shared" ref="AG17" si="83">SUM(AG10:AG16)-AG10-AG11-AG12</f>
        <v>1758.492</v>
      </c>
      <c r="AH17" s="259">
        <f t="shared" ref="AH17" si="84">SUM(AH10:AH16)-AH10-AH11-AH12</f>
        <v>1318.8689999999997</v>
      </c>
      <c r="AI17" s="259">
        <f t="shared" ref="AI17" si="85">SUM(AI10:AI16)-AI10-AI11-AI12</f>
        <v>879.24599999999998</v>
      </c>
      <c r="AJ17" s="259">
        <f t="shared" ref="AJ17" si="86">SUM(AJ10:AJ16)-AJ10-AJ11-AJ12</f>
        <v>439.62299999999999</v>
      </c>
      <c r="AK17" s="259">
        <f t="shared" ref="AK17" si="87">SUM(AK10:AK16)-AK10-AK11-AK12</f>
        <v>0</v>
      </c>
      <c r="AL17" s="259">
        <f t="shared" ref="AL17" si="88">SUM(AL10:AL16)-AL10-AL11-AL12</f>
        <v>0</v>
      </c>
    </row>
    <row r="18" spans="1:38" ht="21" x14ac:dyDescent="0.2">
      <c r="A18" s="317" t="s">
        <v>2080</v>
      </c>
      <c r="B18" s="317"/>
      <c r="C18" s="226">
        <f t="shared" ref="C18:H18" si="89">SUM(C17,C9)</f>
        <v>8011.9800000000014</v>
      </c>
      <c r="D18" s="226">
        <f t="shared" si="89"/>
        <v>1119290</v>
      </c>
      <c r="E18" s="226">
        <f t="shared" si="89"/>
        <v>40059.900000000009</v>
      </c>
      <c r="F18" s="226">
        <f t="shared" si="89"/>
        <v>1001.4974999999999</v>
      </c>
      <c r="G18" s="226">
        <f t="shared" si="89"/>
        <v>143.07107142857143</v>
      </c>
      <c r="H18" s="226">
        <f t="shared" si="89"/>
        <v>3357870</v>
      </c>
      <c r="I18" s="226">
        <f t="shared" ref="I18:X18" si="90">SUM(I17,I9)</f>
        <v>1119290</v>
      </c>
      <c r="J18" s="226">
        <f t="shared" si="90"/>
        <v>895432</v>
      </c>
      <c r="K18" s="226">
        <f t="shared" si="90"/>
        <v>671574</v>
      </c>
      <c r="L18" s="226">
        <f t="shared" si="90"/>
        <v>447716</v>
      </c>
      <c r="M18" s="226">
        <f t="shared" si="90"/>
        <v>223858</v>
      </c>
      <c r="N18" s="226">
        <f t="shared" ref="N18" si="91">SUM(N17,N9)</f>
        <v>0</v>
      </c>
      <c r="O18" s="226">
        <f t="shared" ref="O18" si="92">SUM(O17,O9)</f>
        <v>0</v>
      </c>
      <c r="P18" s="226">
        <f t="shared" si="90"/>
        <v>33.578699999999998</v>
      </c>
      <c r="Q18" s="226">
        <f t="shared" si="90"/>
        <v>11.1929</v>
      </c>
      <c r="R18" s="226">
        <f t="shared" si="90"/>
        <v>8.9543200000000027</v>
      </c>
      <c r="S18" s="226">
        <f t="shared" si="90"/>
        <v>6.7157400000000003</v>
      </c>
      <c r="T18" s="226">
        <f t="shared" si="90"/>
        <v>4.4771600000000014</v>
      </c>
      <c r="U18" s="226">
        <f t="shared" si="90"/>
        <v>2.2385800000000007</v>
      </c>
      <c r="V18" s="226">
        <f t="shared" si="90"/>
        <v>0</v>
      </c>
      <c r="W18" s="226">
        <f t="shared" si="90"/>
        <v>0</v>
      </c>
      <c r="X18" s="226">
        <f t="shared" si="90"/>
        <v>1678.9350000000002</v>
      </c>
      <c r="Y18" s="226">
        <f t="shared" ref="Y18:Z18" si="93">SUM(Y17,Y9)</f>
        <v>114.45685714285713</v>
      </c>
      <c r="Z18" s="226">
        <f t="shared" si="93"/>
        <v>143.07107142857143</v>
      </c>
      <c r="AA18" s="226">
        <f t="shared" ref="AA18:AC18" si="94">SUM(AA17,AA9)</f>
        <v>47.562857142857141</v>
      </c>
      <c r="AB18" s="226">
        <f t="shared" si="94"/>
        <v>31.979714285714287</v>
      </c>
      <c r="AC18" s="226">
        <f t="shared" si="94"/>
        <v>19.187828571428575</v>
      </c>
      <c r="AD18" s="226">
        <f t="shared" ref="AD18" si="95">SUM(AD17,AD9)</f>
        <v>15110.415000000001</v>
      </c>
      <c r="AE18" s="226" t="s">
        <v>2095</v>
      </c>
      <c r="AF18" s="226">
        <f t="shared" ref="AF18" si="96">SUM(AF17,AF9)</f>
        <v>5036.8049999999985</v>
      </c>
      <c r="AG18" s="226">
        <f t="shared" ref="AG18" si="97">SUM(AG17,AG9)</f>
        <v>4029.4440000000004</v>
      </c>
      <c r="AH18" s="226">
        <f t="shared" ref="AH18" si="98">SUM(AH17,AH9)</f>
        <v>3022.0829999999996</v>
      </c>
      <c r="AI18" s="226">
        <f t="shared" ref="AI18" si="99">SUM(AI17,AI9)</f>
        <v>2014.7220000000002</v>
      </c>
      <c r="AJ18" s="226">
        <f t="shared" ref="AJ18" si="100">SUM(AJ17,AJ9)</f>
        <v>1007.3610000000001</v>
      </c>
      <c r="AK18" s="226">
        <f t="shared" ref="AK18" si="101">SUM(AK17,AK9)</f>
        <v>0</v>
      </c>
      <c r="AL18" s="226">
        <f t="shared" ref="AL18" si="102">SUM(AL17,AL9)</f>
        <v>0</v>
      </c>
    </row>
    <row r="19" spans="1:38" ht="16.75" customHeight="1" x14ac:dyDescent="0.25">
      <c r="AA19" s="267"/>
      <c r="AB19" s="267"/>
      <c r="AC19" s="267"/>
      <c r="AD19" s="267"/>
      <c r="AE19" s="267"/>
      <c r="AF19" s="267"/>
      <c r="AG19" s="267"/>
      <c r="AH19" s="267"/>
      <c r="AI19" s="267"/>
      <c r="AJ19" s="267"/>
      <c r="AK19" s="267"/>
      <c r="AL19" s="267"/>
    </row>
    <row r="20" spans="1:38" ht="16.75" customHeight="1" x14ac:dyDescent="0.25">
      <c r="A20" s="319" t="s">
        <v>619</v>
      </c>
      <c r="B20" s="319" t="s">
        <v>934</v>
      </c>
      <c r="C20" s="320" t="s">
        <v>2226</v>
      </c>
      <c r="D20" s="320" t="s">
        <v>1262</v>
      </c>
      <c r="E20" s="320" t="s">
        <v>2263</v>
      </c>
      <c r="F20" s="320" t="s">
        <v>2264</v>
      </c>
      <c r="G20" s="320" t="s">
        <v>2254</v>
      </c>
      <c r="H20" s="321" t="s">
        <v>2243</v>
      </c>
      <c r="I20" s="321"/>
      <c r="J20" s="321"/>
      <c r="K20" s="321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  <c r="AA20" s="322" t="s">
        <v>2244</v>
      </c>
      <c r="AB20" s="322"/>
      <c r="AC20" s="322"/>
      <c r="AD20" s="322"/>
      <c r="AE20" s="322"/>
      <c r="AF20" s="322"/>
      <c r="AG20" s="322"/>
      <c r="AH20" s="322"/>
      <c r="AI20" s="322"/>
      <c r="AJ20" s="322"/>
      <c r="AK20" s="322"/>
      <c r="AL20" s="322"/>
    </row>
    <row r="21" spans="1:38" ht="154" x14ac:dyDescent="0.2">
      <c r="A21" s="319"/>
      <c r="B21" s="319"/>
      <c r="C21" s="320"/>
      <c r="D21" s="320"/>
      <c r="E21" s="320"/>
      <c r="F21" s="320"/>
      <c r="G21" s="320"/>
      <c r="H21" s="254" t="s">
        <v>2227</v>
      </c>
      <c r="I21" s="255" t="s">
        <v>2228</v>
      </c>
      <c r="J21" s="255" t="s">
        <v>2229</v>
      </c>
      <c r="K21" s="255" t="s">
        <v>2230</v>
      </c>
      <c r="L21" s="255" t="s">
        <v>2231</v>
      </c>
      <c r="M21" s="255" t="s">
        <v>2232</v>
      </c>
      <c r="N21" s="255" t="s">
        <v>2236</v>
      </c>
      <c r="O21" s="255" t="s">
        <v>2237</v>
      </c>
      <c r="P21" s="254" t="s">
        <v>2255</v>
      </c>
      <c r="Q21" s="255" t="s">
        <v>2256</v>
      </c>
      <c r="R21" s="255" t="s">
        <v>2257</v>
      </c>
      <c r="S21" s="255" t="s">
        <v>2258</v>
      </c>
      <c r="T21" s="255" t="s">
        <v>2259</v>
      </c>
      <c r="U21" s="255" t="s">
        <v>2260</v>
      </c>
      <c r="V21" s="255" t="s">
        <v>2261</v>
      </c>
      <c r="W21" s="255" t="s">
        <v>2262</v>
      </c>
      <c r="X21" s="254" t="s">
        <v>2242</v>
      </c>
      <c r="Y21" s="254" t="s">
        <v>2241</v>
      </c>
      <c r="Z21" s="254" t="s">
        <v>2240</v>
      </c>
      <c r="AA21" s="256" t="s">
        <v>2248</v>
      </c>
      <c r="AB21" s="255" t="s">
        <v>2249</v>
      </c>
      <c r="AC21" s="257" t="s">
        <v>2250</v>
      </c>
      <c r="AD21" s="254" t="s">
        <v>2117</v>
      </c>
      <c r="AE21" s="254" t="s">
        <v>2093</v>
      </c>
      <c r="AF21" s="255" t="s">
        <v>2267</v>
      </c>
      <c r="AG21" s="255" t="s">
        <v>2268</v>
      </c>
      <c r="AH21" s="255" t="s">
        <v>2269</v>
      </c>
      <c r="AI21" s="255" t="s">
        <v>2270</v>
      </c>
      <c r="AJ21" s="255" t="s">
        <v>2271</v>
      </c>
      <c r="AK21" s="255" t="s">
        <v>2272</v>
      </c>
      <c r="AL21" s="255" t="s">
        <v>2273</v>
      </c>
    </row>
    <row r="22" spans="1:38" ht="21" x14ac:dyDescent="0.2">
      <c r="A22" s="318" t="s">
        <v>618</v>
      </c>
      <c r="B22" s="162" t="s">
        <v>14</v>
      </c>
      <c r="C22" s="163">
        <f>'LS (Sensus) '!E583</f>
        <v>922.57999999999993</v>
      </c>
      <c r="D22" s="163">
        <f>'LS (Sensus) '!G583</f>
        <v>124833</v>
      </c>
      <c r="E22" s="163">
        <f>C22*3</f>
        <v>2767.74</v>
      </c>
      <c r="F22" s="163">
        <f>E22/13</f>
        <v>212.9030769230769</v>
      </c>
      <c r="G22" s="163">
        <f>F22/7</f>
        <v>30.414725274725271</v>
      </c>
      <c r="H22" s="163">
        <f>D22*2</f>
        <v>249666</v>
      </c>
      <c r="I22" s="163">
        <f>D22</f>
        <v>124833</v>
      </c>
      <c r="J22" s="163">
        <f>I22*0.8</f>
        <v>99866.400000000009</v>
      </c>
      <c r="K22" s="163">
        <f>0.6*D22</f>
        <v>74899.8</v>
      </c>
      <c r="L22" s="163">
        <v>0</v>
      </c>
      <c r="M22" s="163">
        <v>0</v>
      </c>
      <c r="N22" s="163">
        <v>0</v>
      </c>
      <c r="O22" s="163">
        <v>0</v>
      </c>
      <c r="P22" s="163">
        <f t="shared" ref="P22:P30" si="103">SUM(Q22:W22)</f>
        <v>4.9933200000000006</v>
      </c>
      <c r="Q22" s="163">
        <f>I22/4000/5/3</f>
        <v>2.0805500000000001</v>
      </c>
      <c r="R22" s="163">
        <f t="shared" ref="R22:W22" si="104">J22/4000/5/3</f>
        <v>1.6644400000000001</v>
      </c>
      <c r="S22" s="163">
        <f t="shared" si="104"/>
        <v>1.2483299999999999</v>
      </c>
      <c r="T22" s="163">
        <f t="shared" si="104"/>
        <v>0</v>
      </c>
      <c r="U22" s="163">
        <f t="shared" si="104"/>
        <v>0</v>
      </c>
      <c r="V22" s="163">
        <f t="shared" si="104"/>
        <v>0</v>
      </c>
      <c r="W22" s="163">
        <f t="shared" si="104"/>
        <v>0</v>
      </c>
      <c r="X22" s="163">
        <f>H22/2000</f>
        <v>124.833</v>
      </c>
      <c r="Y22" s="163">
        <f t="shared" ref="Y22:Y30" si="105">G22*40*2/100</f>
        <v>24.331780219780217</v>
      </c>
      <c r="Z22" s="163">
        <f t="shared" ref="Z22:Z30" si="106">G22</f>
        <v>30.414725274725271</v>
      </c>
      <c r="AA22" s="163">
        <f>1/2*$H22/35000</f>
        <v>3.5666571428571427</v>
      </c>
      <c r="AB22" s="163">
        <f>0.5/2*$H22/35000</f>
        <v>1.7833285714285714</v>
      </c>
      <c r="AC22" s="163">
        <f>0.5/2*$H22/35000</f>
        <v>1.7833285714285714</v>
      </c>
      <c r="AD22" s="163">
        <f t="shared" ref="AD22:AD30" si="107">SUM(AF22:AL22)</f>
        <v>964.70942400000001</v>
      </c>
      <c r="AE22" s="163" t="s">
        <v>2094</v>
      </c>
      <c r="AF22" s="163">
        <f t="shared" ref="AF22:AL22" si="108">I22*3.22/1000</f>
        <v>401.96226000000001</v>
      </c>
      <c r="AG22" s="163">
        <f t="shared" si="108"/>
        <v>321.56980800000002</v>
      </c>
      <c r="AH22" s="163">
        <f t="shared" si="108"/>
        <v>241.17735600000003</v>
      </c>
      <c r="AI22" s="163">
        <f t="shared" si="108"/>
        <v>0</v>
      </c>
      <c r="AJ22" s="163">
        <f t="shared" si="108"/>
        <v>0</v>
      </c>
      <c r="AK22" s="163">
        <f t="shared" si="108"/>
        <v>0</v>
      </c>
      <c r="AL22" s="163">
        <f t="shared" si="108"/>
        <v>0</v>
      </c>
    </row>
    <row r="23" spans="1:38" ht="21" x14ac:dyDescent="0.2">
      <c r="A23" s="318"/>
      <c r="B23" s="162" t="s">
        <v>47</v>
      </c>
      <c r="C23" s="163">
        <f>'LS (Sensus) '!E584</f>
        <v>1001.2800000000001</v>
      </c>
      <c r="D23" s="163">
        <f>'LS (Sensus) '!G584</f>
        <v>138506</v>
      </c>
      <c r="E23" s="163">
        <f t="shared" ref="E23:E40" si="109">C23*3</f>
        <v>3003.84</v>
      </c>
      <c r="F23" s="163">
        <f t="shared" ref="F23:F40" si="110">E23/13</f>
        <v>231.06461538461539</v>
      </c>
      <c r="G23" s="163">
        <f t="shared" ref="G23:G40" si="111">F23/7</f>
        <v>33.009230769230768</v>
      </c>
      <c r="H23" s="163">
        <f t="shared" ref="H23:H40" si="112">D23*2</f>
        <v>277012</v>
      </c>
      <c r="I23" s="163">
        <f t="shared" ref="I23" si="113">D23</f>
        <v>138506</v>
      </c>
      <c r="J23" s="163">
        <f>I23*0.5</f>
        <v>69253</v>
      </c>
      <c r="K23" s="163">
        <f>0.5*D23</f>
        <v>69253</v>
      </c>
      <c r="L23" s="163">
        <v>0</v>
      </c>
      <c r="M23" s="163">
        <v>0</v>
      </c>
      <c r="N23" s="163">
        <v>0</v>
      </c>
      <c r="O23" s="163">
        <v>0</v>
      </c>
      <c r="P23" s="163">
        <f t="shared" si="103"/>
        <v>4.6168666666666667</v>
      </c>
      <c r="Q23" s="163">
        <f t="shared" ref="Q23:Q30" si="114">I23/4000/5/3</f>
        <v>2.3084333333333333</v>
      </c>
      <c r="R23" s="163">
        <f t="shared" ref="R23:R30" si="115">J23/4000/5/3</f>
        <v>1.1542166666666667</v>
      </c>
      <c r="S23" s="163">
        <f t="shared" ref="S23:S30" si="116">K23/4000/5/3</f>
        <v>1.1542166666666667</v>
      </c>
      <c r="T23" s="163">
        <f t="shared" ref="T23:T30" si="117">L23/4000/5/3</f>
        <v>0</v>
      </c>
      <c r="U23" s="163">
        <f t="shared" ref="U23:U30" si="118">M23/4000/5/3</f>
        <v>0</v>
      </c>
      <c r="V23" s="163">
        <f t="shared" ref="V23:V30" si="119">N23/4000/5/3</f>
        <v>0</v>
      </c>
      <c r="W23" s="163">
        <f t="shared" ref="W23:W30" si="120">O23/4000/5/3</f>
        <v>0</v>
      </c>
      <c r="X23" s="163">
        <f t="shared" ref="X23:X40" si="121">H23/2000</f>
        <v>138.506</v>
      </c>
      <c r="Y23" s="163">
        <f t="shared" si="105"/>
        <v>26.407384615384618</v>
      </c>
      <c r="Z23" s="163">
        <f t="shared" si="106"/>
        <v>33.009230769230768</v>
      </c>
      <c r="AA23" s="163">
        <f t="shared" ref="AA23:AA40" si="122">1/2*$H23/35000</f>
        <v>3.9573142857142858</v>
      </c>
      <c r="AB23" s="163">
        <f t="shared" ref="AB23:AC38" si="123">0.5/2*$H23/35000</f>
        <v>1.9786571428571429</v>
      </c>
      <c r="AC23" s="163">
        <f t="shared" si="123"/>
        <v>1.9786571428571429</v>
      </c>
      <c r="AD23" s="163">
        <f t="shared" si="107"/>
        <v>891.97864000000004</v>
      </c>
      <c r="AE23" s="163" t="s">
        <v>2094</v>
      </c>
      <c r="AF23" s="163">
        <f t="shared" ref="AF23:AF30" si="124">I23*3.22/1000</f>
        <v>445.98932000000002</v>
      </c>
      <c r="AG23" s="163">
        <f t="shared" ref="AG23:AG30" si="125">J23*3.22/1000</f>
        <v>222.99466000000001</v>
      </c>
      <c r="AH23" s="163">
        <f t="shared" ref="AH23:AH30" si="126">K23*3.22/1000</f>
        <v>222.99466000000001</v>
      </c>
      <c r="AI23" s="163">
        <f t="shared" ref="AI23:AI30" si="127">L23*3.22/1000</f>
        <v>0</v>
      </c>
      <c r="AJ23" s="163">
        <f t="shared" ref="AJ23:AJ30" si="128">M23*3.22/1000</f>
        <v>0</v>
      </c>
      <c r="AK23" s="163">
        <f t="shared" ref="AK23:AK30" si="129">N23*3.22/1000</f>
        <v>0</v>
      </c>
      <c r="AL23" s="163">
        <f t="shared" ref="AL23:AL30" si="130">O23*3.22/1000</f>
        <v>0</v>
      </c>
    </row>
    <row r="24" spans="1:38" ht="21" x14ac:dyDescent="0.2">
      <c r="A24" s="318"/>
      <c r="B24" s="162" t="s">
        <v>79</v>
      </c>
      <c r="C24" s="163">
        <f>'LS (Sensus) '!E585</f>
        <v>940.47</v>
      </c>
      <c r="D24" s="163">
        <f>'LS (Sensus) '!G585</f>
        <v>121141</v>
      </c>
      <c r="E24" s="163">
        <f t="shared" si="109"/>
        <v>2821.41</v>
      </c>
      <c r="F24" s="163">
        <f t="shared" si="110"/>
        <v>217.03153846153845</v>
      </c>
      <c r="G24" s="163">
        <f t="shared" si="111"/>
        <v>31.004505494505491</v>
      </c>
      <c r="H24" s="163">
        <f t="shared" si="112"/>
        <v>242282</v>
      </c>
      <c r="I24" s="163">
        <f t="shared" ref="I24:I30" si="131">D24</f>
        <v>121141</v>
      </c>
      <c r="J24" s="163">
        <f t="shared" ref="J24:J30" si="132">I24*0.5</f>
        <v>60570.5</v>
      </c>
      <c r="K24" s="163">
        <f t="shared" ref="K24:K30" si="133">0.5*D24</f>
        <v>60570.5</v>
      </c>
      <c r="L24" s="163">
        <v>0</v>
      </c>
      <c r="M24" s="163">
        <v>0</v>
      </c>
      <c r="N24" s="163">
        <v>0</v>
      </c>
      <c r="O24" s="163">
        <v>0</v>
      </c>
      <c r="P24" s="163">
        <f t="shared" si="103"/>
        <v>4.0380333333333338</v>
      </c>
      <c r="Q24" s="163">
        <f t="shared" si="114"/>
        <v>2.0190166666666669</v>
      </c>
      <c r="R24" s="163">
        <f t="shared" si="115"/>
        <v>1.0095083333333335</v>
      </c>
      <c r="S24" s="163">
        <f t="shared" si="116"/>
        <v>1.0095083333333335</v>
      </c>
      <c r="T24" s="163">
        <f t="shared" si="117"/>
        <v>0</v>
      </c>
      <c r="U24" s="163">
        <f t="shared" si="118"/>
        <v>0</v>
      </c>
      <c r="V24" s="163">
        <f t="shared" si="119"/>
        <v>0</v>
      </c>
      <c r="W24" s="163">
        <f t="shared" si="120"/>
        <v>0</v>
      </c>
      <c r="X24" s="163">
        <f t="shared" si="121"/>
        <v>121.14100000000001</v>
      </c>
      <c r="Y24" s="163">
        <f t="shared" si="105"/>
        <v>24.803604395604392</v>
      </c>
      <c r="Z24" s="163">
        <f t="shared" si="106"/>
        <v>31.004505494505491</v>
      </c>
      <c r="AA24" s="163">
        <f t="shared" si="122"/>
        <v>3.4611714285714288</v>
      </c>
      <c r="AB24" s="163">
        <f t="shared" si="123"/>
        <v>1.7305857142857144</v>
      </c>
      <c r="AC24" s="163">
        <f t="shared" si="123"/>
        <v>1.7305857142857144</v>
      </c>
      <c r="AD24" s="163">
        <f t="shared" si="107"/>
        <v>780.14804000000004</v>
      </c>
      <c r="AE24" s="163" t="s">
        <v>2094</v>
      </c>
      <c r="AF24" s="163">
        <f t="shared" si="124"/>
        <v>390.07402000000002</v>
      </c>
      <c r="AG24" s="163">
        <f t="shared" si="125"/>
        <v>195.03701000000001</v>
      </c>
      <c r="AH24" s="163">
        <f t="shared" si="126"/>
        <v>195.03701000000001</v>
      </c>
      <c r="AI24" s="163">
        <f t="shared" si="127"/>
        <v>0</v>
      </c>
      <c r="AJ24" s="163">
        <f t="shared" si="128"/>
        <v>0</v>
      </c>
      <c r="AK24" s="163">
        <f t="shared" si="129"/>
        <v>0</v>
      </c>
      <c r="AL24" s="163">
        <f t="shared" si="130"/>
        <v>0</v>
      </c>
    </row>
    <row r="25" spans="1:38" ht="21" x14ac:dyDescent="0.2">
      <c r="A25" s="318"/>
      <c r="B25" s="162" t="s">
        <v>107</v>
      </c>
      <c r="C25" s="163">
        <f>'LS (Sensus) '!E586</f>
        <v>961.00000000000023</v>
      </c>
      <c r="D25" s="163">
        <f>'LS (Sensus) '!G586</f>
        <v>134476</v>
      </c>
      <c r="E25" s="163">
        <f t="shared" si="109"/>
        <v>2883.0000000000009</v>
      </c>
      <c r="F25" s="163">
        <f t="shared" si="110"/>
        <v>221.76923076923083</v>
      </c>
      <c r="G25" s="163">
        <f t="shared" si="111"/>
        <v>31.68131868131869</v>
      </c>
      <c r="H25" s="163">
        <f t="shared" si="112"/>
        <v>268952</v>
      </c>
      <c r="I25" s="163">
        <f t="shared" si="131"/>
        <v>134476</v>
      </c>
      <c r="J25" s="163">
        <f t="shared" si="132"/>
        <v>67238</v>
      </c>
      <c r="K25" s="163">
        <f t="shared" si="133"/>
        <v>67238</v>
      </c>
      <c r="L25" s="163">
        <v>0</v>
      </c>
      <c r="M25" s="163">
        <v>0</v>
      </c>
      <c r="N25" s="163">
        <v>0</v>
      </c>
      <c r="O25" s="163">
        <v>0</v>
      </c>
      <c r="P25" s="163">
        <f t="shared" si="103"/>
        <v>4.4825333333333335</v>
      </c>
      <c r="Q25" s="163">
        <f t="shared" si="114"/>
        <v>2.2412666666666667</v>
      </c>
      <c r="R25" s="163">
        <f t="shared" si="115"/>
        <v>1.1206333333333334</v>
      </c>
      <c r="S25" s="163">
        <f t="shared" si="116"/>
        <v>1.1206333333333334</v>
      </c>
      <c r="T25" s="163">
        <f t="shared" si="117"/>
        <v>0</v>
      </c>
      <c r="U25" s="163">
        <f t="shared" si="118"/>
        <v>0</v>
      </c>
      <c r="V25" s="163">
        <f t="shared" si="119"/>
        <v>0</v>
      </c>
      <c r="W25" s="163">
        <f t="shared" si="120"/>
        <v>0</v>
      </c>
      <c r="X25" s="163">
        <f t="shared" si="121"/>
        <v>134.476</v>
      </c>
      <c r="Y25" s="163">
        <f t="shared" si="105"/>
        <v>25.345054945054954</v>
      </c>
      <c r="Z25" s="163">
        <f t="shared" si="106"/>
        <v>31.68131868131869</v>
      </c>
      <c r="AA25" s="163">
        <f t="shared" si="122"/>
        <v>3.8421714285714286</v>
      </c>
      <c r="AB25" s="163">
        <f t="shared" si="123"/>
        <v>1.9210857142857143</v>
      </c>
      <c r="AC25" s="163">
        <f t="shared" si="123"/>
        <v>1.9210857142857143</v>
      </c>
      <c r="AD25" s="163">
        <f t="shared" si="107"/>
        <v>866.02544000000012</v>
      </c>
      <c r="AE25" s="163" t="s">
        <v>2094</v>
      </c>
      <c r="AF25" s="163">
        <f t="shared" si="124"/>
        <v>433.01272000000006</v>
      </c>
      <c r="AG25" s="163">
        <f t="shared" si="125"/>
        <v>216.50636000000003</v>
      </c>
      <c r="AH25" s="163">
        <f t="shared" si="126"/>
        <v>216.50636000000003</v>
      </c>
      <c r="AI25" s="163">
        <f t="shared" si="127"/>
        <v>0</v>
      </c>
      <c r="AJ25" s="163">
        <f t="shared" si="128"/>
        <v>0</v>
      </c>
      <c r="AK25" s="163">
        <f t="shared" si="129"/>
        <v>0</v>
      </c>
      <c r="AL25" s="163">
        <f t="shared" si="130"/>
        <v>0</v>
      </c>
    </row>
    <row r="26" spans="1:38" ht="21" x14ac:dyDescent="0.2">
      <c r="A26" s="318"/>
      <c r="B26" s="162" t="s">
        <v>144</v>
      </c>
      <c r="C26" s="163">
        <f>'LS (Sensus) '!E587</f>
        <v>898.86999999999978</v>
      </c>
      <c r="D26" s="163">
        <f>'LS (Sensus) '!G587</f>
        <v>131840</v>
      </c>
      <c r="E26" s="163">
        <f t="shared" si="109"/>
        <v>2696.6099999999992</v>
      </c>
      <c r="F26" s="163">
        <f t="shared" si="110"/>
        <v>207.43153846153839</v>
      </c>
      <c r="G26" s="163">
        <f t="shared" si="111"/>
        <v>29.633076923076914</v>
      </c>
      <c r="H26" s="163">
        <f t="shared" si="112"/>
        <v>263680</v>
      </c>
      <c r="I26" s="163">
        <f t="shared" si="131"/>
        <v>131840</v>
      </c>
      <c r="J26" s="163">
        <f t="shared" si="132"/>
        <v>65920</v>
      </c>
      <c r="K26" s="163">
        <f t="shared" si="133"/>
        <v>65920</v>
      </c>
      <c r="L26" s="163">
        <v>0</v>
      </c>
      <c r="M26" s="163">
        <v>0</v>
      </c>
      <c r="N26" s="163">
        <v>0</v>
      </c>
      <c r="O26" s="163">
        <v>0</v>
      </c>
      <c r="P26" s="163">
        <f t="shared" si="103"/>
        <v>4.3946666666666667</v>
      </c>
      <c r="Q26" s="163">
        <f t="shared" si="114"/>
        <v>2.1973333333333334</v>
      </c>
      <c r="R26" s="163">
        <f t="shared" si="115"/>
        <v>1.0986666666666667</v>
      </c>
      <c r="S26" s="163">
        <f t="shared" si="116"/>
        <v>1.0986666666666667</v>
      </c>
      <c r="T26" s="163">
        <f t="shared" si="117"/>
        <v>0</v>
      </c>
      <c r="U26" s="163">
        <f t="shared" si="118"/>
        <v>0</v>
      </c>
      <c r="V26" s="163">
        <f t="shared" si="119"/>
        <v>0</v>
      </c>
      <c r="W26" s="163">
        <f t="shared" si="120"/>
        <v>0</v>
      </c>
      <c r="X26" s="163">
        <f t="shared" si="121"/>
        <v>131.84</v>
      </c>
      <c r="Y26" s="163">
        <f t="shared" si="105"/>
        <v>23.706461538461532</v>
      </c>
      <c r="Z26" s="163">
        <f t="shared" si="106"/>
        <v>29.633076923076914</v>
      </c>
      <c r="AA26" s="163">
        <f t="shared" si="122"/>
        <v>3.7668571428571429</v>
      </c>
      <c r="AB26" s="163">
        <f t="shared" si="123"/>
        <v>1.8834285714285715</v>
      </c>
      <c r="AC26" s="163">
        <f t="shared" si="123"/>
        <v>1.8834285714285715</v>
      </c>
      <c r="AD26" s="163">
        <f t="shared" si="107"/>
        <v>849.04960000000005</v>
      </c>
      <c r="AE26" s="163" t="s">
        <v>2094</v>
      </c>
      <c r="AF26" s="163">
        <f t="shared" si="124"/>
        <v>424.52480000000003</v>
      </c>
      <c r="AG26" s="163">
        <f t="shared" si="125"/>
        <v>212.26240000000001</v>
      </c>
      <c r="AH26" s="163">
        <f t="shared" si="126"/>
        <v>212.26240000000001</v>
      </c>
      <c r="AI26" s="163">
        <f t="shared" si="127"/>
        <v>0</v>
      </c>
      <c r="AJ26" s="163">
        <f t="shared" si="128"/>
        <v>0</v>
      </c>
      <c r="AK26" s="163">
        <f t="shared" si="129"/>
        <v>0</v>
      </c>
      <c r="AL26" s="163">
        <f t="shared" si="130"/>
        <v>0</v>
      </c>
    </row>
    <row r="27" spans="1:38" ht="21" x14ac:dyDescent="0.2">
      <c r="A27" s="318"/>
      <c r="B27" s="162" t="s">
        <v>173</v>
      </c>
      <c r="C27" s="163">
        <f>'LS (Sensus) '!E588</f>
        <v>1117.05</v>
      </c>
      <c r="D27" s="163">
        <f>'LS (Sensus) '!G588</f>
        <v>156536</v>
      </c>
      <c r="E27" s="163">
        <f t="shared" si="109"/>
        <v>3351.1499999999996</v>
      </c>
      <c r="F27" s="163">
        <f t="shared" si="110"/>
        <v>257.78076923076918</v>
      </c>
      <c r="G27" s="163">
        <f t="shared" si="111"/>
        <v>36.825824175824167</v>
      </c>
      <c r="H27" s="163">
        <f t="shared" si="112"/>
        <v>313072</v>
      </c>
      <c r="I27" s="163">
        <f t="shared" si="131"/>
        <v>156536</v>
      </c>
      <c r="J27" s="163">
        <f t="shared" si="132"/>
        <v>78268</v>
      </c>
      <c r="K27" s="163">
        <f t="shared" si="133"/>
        <v>78268</v>
      </c>
      <c r="L27" s="163">
        <v>0</v>
      </c>
      <c r="M27" s="163">
        <v>0</v>
      </c>
      <c r="N27" s="163">
        <v>0</v>
      </c>
      <c r="O27" s="163">
        <v>0</v>
      </c>
      <c r="P27" s="163">
        <f t="shared" si="103"/>
        <v>5.2178666666666667</v>
      </c>
      <c r="Q27" s="163">
        <f t="shared" si="114"/>
        <v>2.6089333333333333</v>
      </c>
      <c r="R27" s="163">
        <f t="shared" si="115"/>
        <v>1.3044666666666667</v>
      </c>
      <c r="S27" s="163">
        <f t="shared" si="116"/>
        <v>1.3044666666666667</v>
      </c>
      <c r="T27" s="163">
        <f t="shared" si="117"/>
        <v>0</v>
      </c>
      <c r="U27" s="163">
        <f t="shared" si="118"/>
        <v>0</v>
      </c>
      <c r="V27" s="163">
        <f t="shared" si="119"/>
        <v>0</v>
      </c>
      <c r="W27" s="163">
        <f t="shared" si="120"/>
        <v>0</v>
      </c>
      <c r="X27" s="163">
        <f t="shared" si="121"/>
        <v>156.536</v>
      </c>
      <c r="Y27" s="163">
        <f t="shared" si="105"/>
        <v>29.46065934065933</v>
      </c>
      <c r="Z27" s="163">
        <f t="shared" si="106"/>
        <v>36.825824175824167</v>
      </c>
      <c r="AA27" s="163">
        <f t="shared" si="122"/>
        <v>4.4724571428571425</v>
      </c>
      <c r="AB27" s="163">
        <f t="shared" si="123"/>
        <v>2.2362285714285712</v>
      </c>
      <c r="AC27" s="163">
        <f t="shared" si="123"/>
        <v>2.2362285714285712</v>
      </c>
      <c r="AD27" s="163">
        <f t="shared" si="107"/>
        <v>1008.09184</v>
      </c>
      <c r="AE27" s="163" t="s">
        <v>2094</v>
      </c>
      <c r="AF27" s="163">
        <f t="shared" si="124"/>
        <v>504.04592000000002</v>
      </c>
      <c r="AG27" s="163">
        <f t="shared" si="125"/>
        <v>252.02296000000001</v>
      </c>
      <c r="AH27" s="163">
        <f t="shared" si="126"/>
        <v>252.02296000000001</v>
      </c>
      <c r="AI27" s="163">
        <f t="shared" si="127"/>
        <v>0</v>
      </c>
      <c r="AJ27" s="163">
        <f t="shared" si="128"/>
        <v>0</v>
      </c>
      <c r="AK27" s="163">
        <f t="shared" si="129"/>
        <v>0</v>
      </c>
      <c r="AL27" s="163">
        <f t="shared" si="130"/>
        <v>0</v>
      </c>
    </row>
    <row r="28" spans="1:38" ht="21" x14ac:dyDescent="0.2">
      <c r="A28" s="318"/>
      <c r="B28" s="162" t="s">
        <v>216</v>
      </c>
      <c r="C28" s="163">
        <f>'LS (Sensus) '!E589</f>
        <v>964.15</v>
      </c>
      <c r="D28" s="163">
        <f>'LS (Sensus) '!G589</f>
        <v>141905</v>
      </c>
      <c r="E28" s="163">
        <f t="shared" si="109"/>
        <v>2892.45</v>
      </c>
      <c r="F28" s="163">
        <f t="shared" si="110"/>
        <v>222.49615384615385</v>
      </c>
      <c r="G28" s="163">
        <f t="shared" si="111"/>
        <v>31.785164835164835</v>
      </c>
      <c r="H28" s="163">
        <f t="shared" si="112"/>
        <v>283810</v>
      </c>
      <c r="I28" s="163">
        <f t="shared" si="131"/>
        <v>141905</v>
      </c>
      <c r="J28" s="163">
        <f t="shared" si="132"/>
        <v>70952.5</v>
      </c>
      <c r="K28" s="163">
        <f t="shared" si="133"/>
        <v>70952.5</v>
      </c>
      <c r="L28" s="163">
        <v>0</v>
      </c>
      <c r="M28" s="163">
        <v>0</v>
      </c>
      <c r="N28" s="163">
        <v>0</v>
      </c>
      <c r="O28" s="163">
        <v>0</v>
      </c>
      <c r="P28" s="163">
        <f t="shared" si="103"/>
        <v>4.7301666666666664</v>
      </c>
      <c r="Q28" s="163">
        <f t="shared" si="114"/>
        <v>2.3650833333333332</v>
      </c>
      <c r="R28" s="163">
        <f t="shared" si="115"/>
        <v>1.1825416666666666</v>
      </c>
      <c r="S28" s="163">
        <f t="shared" si="116"/>
        <v>1.1825416666666666</v>
      </c>
      <c r="T28" s="163">
        <f t="shared" si="117"/>
        <v>0</v>
      </c>
      <c r="U28" s="163">
        <f t="shared" si="118"/>
        <v>0</v>
      </c>
      <c r="V28" s="163">
        <f t="shared" si="119"/>
        <v>0</v>
      </c>
      <c r="W28" s="163">
        <f t="shared" si="120"/>
        <v>0</v>
      </c>
      <c r="X28" s="163">
        <f t="shared" si="121"/>
        <v>141.905</v>
      </c>
      <c r="Y28" s="163">
        <f t="shared" si="105"/>
        <v>25.428131868131867</v>
      </c>
      <c r="Z28" s="163">
        <f t="shared" si="106"/>
        <v>31.785164835164835</v>
      </c>
      <c r="AA28" s="163">
        <f t="shared" si="122"/>
        <v>4.0544285714285717</v>
      </c>
      <c r="AB28" s="163">
        <f t="shared" si="123"/>
        <v>2.0272142857142859</v>
      </c>
      <c r="AC28" s="163">
        <f t="shared" si="123"/>
        <v>2.0272142857142859</v>
      </c>
      <c r="AD28" s="163">
        <f t="shared" si="107"/>
        <v>913.86820000000012</v>
      </c>
      <c r="AE28" s="163" t="s">
        <v>2094</v>
      </c>
      <c r="AF28" s="163">
        <f t="shared" si="124"/>
        <v>456.93410000000006</v>
      </c>
      <c r="AG28" s="163">
        <f t="shared" si="125"/>
        <v>228.46705000000003</v>
      </c>
      <c r="AH28" s="163">
        <f t="shared" si="126"/>
        <v>228.46705000000003</v>
      </c>
      <c r="AI28" s="163">
        <f t="shared" si="127"/>
        <v>0</v>
      </c>
      <c r="AJ28" s="163">
        <f t="shared" si="128"/>
        <v>0</v>
      </c>
      <c r="AK28" s="163">
        <f t="shared" si="129"/>
        <v>0</v>
      </c>
      <c r="AL28" s="163">
        <f t="shared" si="130"/>
        <v>0</v>
      </c>
    </row>
    <row r="29" spans="1:38" ht="21" x14ac:dyDescent="0.2">
      <c r="A29" s="318"/>
      <c r="B29" s="162" t="s">
        <v>252</v>
      </c>
      <c r="C29" s="163">
        <f>'LS (Sensus) '!E590</f>
        <v>967.70999999999992</v>
      </c>
      <c r="D29" s="163">
        <f>'LS (Sensus) '!G590</f>
        <v>141747</v>
      </c>
      <c r="E29" s="163">
        <f t="shared" si="109"/>
        <v>2903.1299999999997</v>
      </c>
      <c r="F29" s="163">
        <f t="shared" si="110"/>
        <v>223.31769230769228</v>
      </c>
      <c r="G29" s="163">
        <f t="shared" si="111"/>
        <v>31.902527472527471</v>
      </c>
      <c r="H29" s="163">
        <f t="shared" si="112"/>
        <v>283494</v>
      </c>
      <c r="I29" s="163">
        <f t="shared" si="131"/>
        <v>141747</v>
      </c>
      <c r="J29" s="163">
        <f t="shared" si="132"/>
        <v>70873.5</v>
      </c>
      <c r="K29" s="163">
        <f t="shared" si="133"/>
        <v>70873.5</v>
      </c>
      <c r="L29" s="163">
        <v>0</v>
      </c>
      <c r="M29" s="163">
        <v>0</v>
      </c>
      <c r="N29" s="163">
        <v>0</v>
      </c>
      <c r="O29" s="163">
        <v>0</v>
      </c>
      <c r="P29" s="163">
        <f t="shared" si="103"/>
        <v>4.7249000000000008</v>
      </c>
      <c r="Q29" s="163">
        <f t="shared" si="114"/>
        <v>2.3624500000000004</v>
      </c>
      <c r="R29" s="163">
        <f t="shared" si="115"/>
        <v>1.1812250000000002</v>
      </c>
      <c r="S29" s="163">
        <f t="shared" si="116"/>
        <v>1.1812250000000002</v>
      </c>
      <c r="T29" s="163">
        <f t="shared" si="117"/>
        <v>0</v>
      </c>
      <c r="U29" s="163">
        <f t="shared" si="118"/>
        <v>0</v>
      </c>
      <c r="V29" s="163">
        <f t="shared" si="119"/>
        <v>0</v>
      </c>
      <c r="W29" s="163">
        <f t="shared" si="120"/>
        <v>0</v>
      </c>
      <c r="X29" s="163">
        <f t="shared" si="121"/>
        <v>141.74700000000001</v>
      </c>
      <c r="Y29" s="163">
        <f t="shared" si="105"/>
        <v>25.522021978021975</v>
      </c>
      <c r="Z29" s="163">
        <f t="shared" si="106"/>
        <v>31.902527472527471</v>
      </c>
      <c r="AA29" s="163">
        <f t="shared" si="122"/>
        <v>4.0499142857142854</v>
      </c>
      <c r="AB29" s="163">
        <f t="shared" si="123"/>
        <v>2.0249571428571427</v>
      </c>
      <c r="AC29" s="163">
        <f t="shared" si="123"/>
        <v>2.0249571428571427</v>
      </c>
      <c r="AD29" s="163">
        <f t="shared" si="107"/>
        <v>912.85068000000001</v>
      </c>
      <c r="AE29" s="163" t="s">
        <v>2094</v>
      </c>
      <c r="AF29" s="163">
        <f t="shared" si="124"/>
        <v>456.42534000000001</v>
      </c>
      <c r="AG29" s="163">
        <f t="shared" si="125"/>
        <v>228.21267</v>
      </c>
      <c r="AH29" s="163">
        <f t="shared" si="126"/>
        <v>228.21267</v>
      </c>
      <c r="AI29" s="163">
        <f t="shared" si="127"/>
        <v>0</v>
      </c>
      <c r="AJ29" s="163">
        <f t="shared" si="128"/>
        <v>0</v>
      </c>
      <c r="AK29" s="163">
        <f t="shared" si="129"/>
        <v>0</v>
      </c>
      <c r="AL29" s="163">
        <f t="shared" si="130"/>
        <v>0</v>
      </c>
    </row>
    <row r="30" spans="1:38" ht="21" x14ac:dyDescent="0.2">
      <c r="A30" s="318"/>
      <c r="B30" s="162" t="s">
        <v>290</v>
      </c>
      <c r="C30" s="163">
        <f>'LS (Sensus) '!E591</f>
        <v>890.99</v>
      </c>
      <c r="D30" s="163">
        <f>'LS (Sensus) '!G591</f>
        <v>127593</v>
      </c>
      <c r="E30" s="163">
        <f t="shared" si="109"/>
        <v>2672.9700000000003</v>
      </c>
      <c r="F30" s="163">
        <f t="shared" si="110"/>
        <v>205.61307692307693</v>
      </c>
      <c r="G30" s="163">
        <f t="shared" si="111"/>
        <v>29.373296703296706</v>
      </c>
      <c r="H30" s="163">
        <f t="shared" si="112"/>
        <v>255186</v>
      </c>
      <c r="I30" s="163">
        <f t="shared" si="131"/>
        <v>127593</v>
      </c>
      <c r="J30" s="163">
        <f t="shared" si="132"/>
        <v>63796.5</v>
      </c>
      <c r="K30" s="163">
        <f t="shared" si="133"/>
        <v>63796.5</v>
      </c>
      <c r="L30" s="163">
        <v>0</v>
      </c>
      <c r="M30" s="163">
        <v>0</v>
      </c>
      <c r="N30" s="163">
        <v>0</v>
      </c>
      <c r="O30" s="163">
        <v>0</v>
      </c>
      <c r="P30" s="163">
        <f t="shared" si="103"/>
        <v>4.2530999999999999</v>
      </c>
      <c r="Q30" s="163">
        <f t="shared" si="114"/>
        <v>2.1265499999999999</v>
      </c>
      <c r="R30" s="163">
        <f t="shared" si="115"/>
        <v>1.063275</v>
      </c>
      <c r="S30" s="163">
        <f t="shared" si="116"/>
        <v>1.063275</v>
      </c>
      <c r="T30" s="163">
        <f t="shared" si="117"/>
        <v>0</v>
      </c>
      <c r="U30" s="163">
        <f t="shared" si="118"/>
        <v>0</v>
      </c>
      <c r="V30" s="163">
        <f t="shared" si="119"/>
        <v>0</v>
      </c>
      <c r="W30" s="163">
        <f t="shared" si="120"/>
        <v>0</v>
      </c>
      <c r="X30" s="163">
        <f t="shared" si="121"/>
        <v>127.593</v>
      </c>
      <c r="Y30" s="163">
        <f t="shared" si="105"/>
        <v>23.498637362637364</v>
      </c>
      <c r="Z30" s="163">
        <f t="shared" si="106"/>
        <v>29.373296703296706</v>
      </c>
      <c r="AA30" s="163">
        <f t="shared" si="122"/>
        <v>3.6455142857142859</v>
      </c>
      <c r="AB30" s="163">
        <f t="shared" si="123"/>
        <v>1.822757142857143</v>
      </c>
      <c r="AC30" s="163">
        <f t="shared" si="123"/>
        <v>1.822757142857143</v>
      </c>
      <c r="AD30" s="163">
        <f t="shared" si="107"/>
        <v>821.69892000000004</v>
      </c>
      <c r="AE30" s="163" t="s">
        <v>2094</v>
      </c>
      <c r="AF30" s="163">
        <f t="shared" si="124"/>
        <v>410.84946000000002</v>
      </c>
      <c r="AG30" s="163">
        <f t="shared" si="125"/>
        <v>205.42473000000001</v>
      </c>
      <c r="AH30" s="163">
        <f t="shared" si="126"/>
        <v>205.42473000000001</v>
      </c>
      <c r="AI30" s="163">
        <f t="shared" si="127"/>
        <v>0</v>
      </c>
      <c r="AJ30" s="163">
        <f t="shared" si="128"/>
        <v>0</v>
      </c>
      <c r="AK30" s="163">
        <f t="shared" si="129"/>
        <v>0</v>
      </c>
      <c r="AL30" s="163">
        <f t="shared" si="130"/>
        <v>0</v>
      </c>
    </row>
    <row r="31" spans="1:38" ht="21" x14ac:dyDescent="0.2">
      <c r="A31" s="318"/>
      <c r="B31" s="258" t="s">
        <v>13</v>
      </c>
      <c r="C31" s="259">
        <f>SUM(C22:C30)</f>
        <v>8664.1</v>
      </c>
      <c r="D31" s="259">
        <f t="shared" ref="D31:U31" si="134">SUM(D22:D30)</f>
        <v>1218577</v>
      </c>
      <c r="E31" s="259">
        <f t="shared" si="134"/>
        <v>25992.300000000003</v>
      </c>
      <c r="F31" s="259">
        <f t="shared" si="134"/>
        <v>1999.4076923076925</v>
      </c>
      <c r="G31" s="259">
        <f t="shared" si="134"/>
        <v>285.62967032967032</v>
      </c>
      <c r="H31" s="259">
        <f t="shared" si="134"/>
        <v>2437154</v>
      </c>
      <c r="I31" s="259">
        <f t="shared" si="134"/>
        <v>1218577</v>
      </c>
      <c r="J31" s="259">
        <f t="shared" si="134"/>
        <v>646738.4</v>
      </c>
      <c r="K31" s="259">
        <f t="shared" si="134"/>
        <v>621771.80000000005</v>
      </c>
      <c r="L31" s="259">
        <f t="shared" si="134"/>
        <v>0</v>
      </c>
      <c r="M31" s="259">
        <f t="shared" si="134"/>
        <v>0</v>
      </c>
      <c r="N31" s="259">
        <f t="shared" ref="N31" si="135">SUM(N22:N30)</f>
        <v>0</v>
      </c>
      <c r="O31" s="259">
        <f t="shared" ref="O31" si="136">SUM(O22:O30)</f>
        <v>0</v>
      </c>
      <c r="P31" s="259">
        <f t="shared" si="134"/>
        <v>41.451453333333333</v>
      </c>
      <c r="Q31" s="259">
        <f t="shared" si="134"/>
        <v>20.309616666666663</v>
      </c>
      <c r="R31" s="259">
        <f t="shared" si="134"/>
        <v>10.778973333333333</v>
      </c>
      <c r="S31" s="259">
        <f t="shared" si="134"/>
        <v>10.362863333333333</v>
      </c>
      <c r="T31" s="259">
        <f t="shared" si="134"/>
        <v>0</v>
      </c>
      <c r="U31" s="259">
        <f t="shared" si="134"/>
        <v>0</v>
      </c>
      <c r="V31" s="259">
        <f t="shared" ref="V31" si="137">SUM(V22:V30)</f>
        <v>0</v>
      </c>
      <c r="W31" s="259">
        <f t="shared" ref="W31:AC31" si="138">SUM(W22:W30)</f>
        <v>0</v>
      </c>
      <c r="X31" s="259">
        <f t="shared" si="138"/>
        <v>1218.5770000000002</v>
      </c>
      <c r="Y31" s="259">
        <f t="shared" si="138"/>
        <v>228.50373626373624</v>
      </c>
      <c r="Z31" s="259">
        <f t="shared" si="138"/>
        <v>285.62967032967032</v>
      </c>
      <c r="AA31" s="259">
        <f t="shared" si="138"/>
        <v>34.816485714285712</v>
      </c>
      <c r="AB31" s="259">
        <f t="shared" si="138"/>
        <v>17.408242857142856</v>
      </c>
      <c r="AC31" s="259">
        <f t="shared" si="138"/>
        <v>17.408242857142856</v>
      </c>
      <c r="AD31" s="259">
        <f t="shared" ref="AD31" si="139">SUM(AD22:AD30)</f>
        <v>8008.4207840000008</v>
      </c>
      <c r="AE31" s="259" t="s">
        <v>2094</v>
      </c>
      <c r="AF31" s="259">
        <f t="shared" ref="AF31" si="140">SUM(AF22:AF30)</f>
        <v>3923.8179400000004</v>
      </c>
      <c r="AG31" s="259">
        <f t="shared" ref="AG31" si="141">SUM(AG22:AG30)</f>
        <v>2082.4976480000005</v>
      </c>
      <c r="AH31" s="259">
        <f t="shared" ref="AH31" si="142">SUM(AH22:AH30)</f>
        <v>2002.1051960000002</v>
      </c>
      <c r="AI31" s="259">
        <f t="shared" ref="AI31" si="143">SUM(AI22:AI30)</f>
        <v>0</v>
      </c>
      <c r="AJ31" s="259">
        <f t="shared" ref="AJ31" si="144">SUM(AJ22:AJ30)</f>
        <v>0</v>
      </c>
      <c r="AK31" s="259">
        <f t="shared" ref="AK31" si="145">SUM(AK22:AK30)</f>
        <v>0</v>
      </c>
      <c r="AL31" s="259">
        <f t="shared" ref="AL31" si="146">SUM(AL22:AL30)</f>
        <v>0</v>
      </c>
    </row>
    <row r="32" spans="1:38" ht="21" x14ac:dyDescent="0.2">
      <c r="A32" s="318"/>
      <c r="B32" s="162" t="s">
        <v>323</v>
      </c>
      <c r="C32" s="163">
        <f>'LS (Sensus) '!E592</f>
        <v>592.25000000000011</v>
      </c>
      <c r="D32" s="163">
        <f>'LS (Sensus) '!G592</f>
        <v>82098</v>
      </c>
      <c r="E32" s="163">
        <f t="shared" si="109"/>
        <v>1776.7500000000005</v>
      </c>
      <c r="F32" s="163">
        <f t="shared" si="110"/>
        <v>136.67307692307696</v>
      </c>
      <c r="G32" s="163">
        <f t="shared" si="111"/>
        <v>19.524725274725281</v>
      </c>
      <c r="H32" s="163">
        <f t="shared" si="112"/>
        <v>164196</v>
      </c>
      <c r="I32" s="163">
        <f t="shared" ref="I32:I40" si="147">D32</f>
        <v>82098</v>
      </c>
      <c r="J32" s="163">
        <f t="shared" ref="J32:J40" si="148">I32*0.5</f>
        <v>41049</v>
      </c>
      <c r="K32" s="163">
        <f t="shared" ref="K32:K40" si="149">0.5*D32</f>
        <v>41049</v>
      </c>
      <c r="L32" s="163">
        <v>0</v>
      </c>
      <c r="M32" s="163">
        <v>0</v>
      </c>
      <c r="N32" s="163">
        <v>0</v>
      </c>
      <c r="O32" s="163">
        <v>0</v>
      </c>
      <c r="P32" s="163">
        <f t="shared" ref="P32:P40" si="150">SUM(Q32:W32)</f>
        <v>2.7365999999999997</v>
      </c>
      <c r="Q32" s="163">
        <f t="shared" ref="Q32:Q40" si="151">I32/4000/5/3</f>
        <v>1.3682999999999998</v>
      </c>
      <c r="R32" s="163">
        <f t="shared" ref="R32:R40" si="152">J32/4000/5/3</f>
        <v>0.68414999999999992</v>
      </c>
      <c r="S32" s="163">
        <f t="shared" ref="S32:S40" si="153">K32/4000/5/3</f>
        <v>0.68414999999999992</v>
      </c>
      <c r="T32" s="163">
        <f t="shared" ref="T32:T40" si="154">L32/4000/5/3</f>
        <v>0</v>
      </c>
      <c r="U32" s="163">
        <f t="shared" ref="U32:U40" si="155">M32/4000/5/3</f>
        <v>0</v>
      </c>
      <c r="V32" s="163">
        <f t="shared" ref="V32:V40" si="156">N32/4000/5/3</f>
        <v>0</v>
      </c>
      <c r="W32" s="163">
        <f t="shared" ref="W32:W40" si="157">O32/4000/5/3</f>
        <v>0</v>
      </c>
      <c r="X32" s="163">
        <f t="shared" si="121"/>
        <v>82.097999999999999</v>
      </c>
      <c r="Y32" s="163">
        <f t="shared" ref="Y32:Y40" si="158">G32*40*2/100</f>
        <v>15.619780219780225</v>
      </c>
      <c r="Z32" s="163">
        <f t="shared" ref="Z32:Z40" si="159">G32</f>
        <v>19.524725274725281</v>
      </c>
      <c r="AA32" s="163">
        <f t="shared" si="122"/>
        <v>2.3456571428571427</v>
      </c>
      <c r="AB32" s="163">
        <f t="shared" si="123"/>
        <v>1.1728285714285713</v>
      </c>
      <c r="AC32" s="163">
        <f t="shared" si="123"/>
        <v>1.1728285714285713</v>
      </c>
      <c r="AD32" s="163">
        <f t="shared" ref="AD32:AD40" si="160">SUM(AF32:AL32)</f>
        <v>528.71112000000005</v>
      </c>
      <c r="AE32" s="163" t="s">
        <v>2094</v>
      </c>
      <c r="AF32" s="163">
        <f t="shared" ref="AF32:AF40" si="161">I32*3.22/1000</f>
        <v>264.35556000000003</v>
      </c>
      <c r="AG32" s="163">
        <f t="shared" ref="AG32:AG40" si="162">J32*3.22/1000</f>
        <v>132.17778000000001</v>
      </c>
      <c r="AH32" s="163">
        <f t="shared" ref="AH32:AH40" si="163">K32*3.22/1000</f>
        <v>132.17778000000001</v>
      </c>
      <c r="AI32" s="163">
        <f t="shared" ref="AI32:AI40" si="164">L32*3.22/1000</f>
        <v>0</v>
      </c>
      <c r="AJ32" s="163">
        <f t="shared" ref="AJ32:AJ40" si="165">M32*3.22/1000</f>
        <v>0</v>
      </c>
      <c r="AK32" s="163">
        <f t="shared" ref="AK32:AK40" si="166">N32*3.22/1000</f>
        <v>0</v>
      </c>
      <c r="AL32" s="163">
        <f t="shared" ref="AL32:AL40" si="167">O32*3.22/1000</f>
        <v>0</v>
      </c>
    </row>
    <row r="33" spans="1:38" ht="21" x14ac:dyDescent="0.2">
      <c r="A33" s="318"/>
      <c r="B33" s="162" t="s">
        <v>345</v>
      </c>
      <c r="C33" s="163">
        <f>'LS (Sensus) '!E593</f>
        <v>969.04000000000019</v>
      </c>
      <c r="D33" s="163">
        <f>'LS (Sensus) '!G593</f>
        <v>134915</v>
      </c>
      <c r="E33" s="163">
        <f t="shared" si="109"/>
        <v>2907.1200000000008</v>
      </c>
      <c r="F33" s="163">
        <f t="shared" si="110"/>
        <v>223.62461538461545</v>
      </c>
      <c r="G33" s="163">
        <f t="shared" si="111"/>
        <v>31.946373626373635</v>
      </c>
      <c r="H33" s="163">
        <f t="shared" si="112"/>
        <v>269830</v>
      </c>
      <c r="I33" s="163">
        <f t="shared" si="147"/>
        <v>134915</v>
      </c>
      <c r="J33" s="163">
        <f t="shared" si="148"/>
        <v>67457.5</v>
      </c>
      <c r="K33" s="163">
        <f t="shared" si="149"/>
        <v>67457.5</v>
      </c>
      <c r="L33" s="163">
        <v>0</v>
      </c>
      <c r="M33" s="163">
        <v>0</v>
      </c>
      <c r="N33" s="163">
        <v>0</v>
      </c>
      <c r="O33" s="163">
        <v>0</v>
      </c>
      <c r="P33" s="163">
        <f t="shared" si="150"/>
        <v>4.4971666666666659</v>
      </c>
      <c r="Q33" s="163">
        <f t="shared" si="151"/>
        <v>2.2485833333333329</v>
      </c>
      <c r="R33" s="163">
        <f t="shared" si="152"/>
        <v>1.1242916666666665</v>
      </c>
      <c r="S33" s="163">
        <f t="shared" si="153"/>
        <v>1.1242916666666665</v>
      </c>
      <c r="T33" s="163">
        <f t="shared" si="154"/>
        <v>0</v>
      </c>
      <c r="U33" s="163">
        <f t="shared" si="155"/>
        <v>0</v>
      </c>
      <c r="V33" s="163">
        <f t="shared" si="156"/>
        <v>0</v>
      </c>
      <c r="W33" s="163">
        <f t="shared" si="157"/>
        <v>0</v>
      </c>
      <c r="X33" s="163">
        <f t="shared" si="121"/>
        <v>134.91499999999999</v>
      </c>
      <c r="Y33" s="163">
        <f t="shared" si="158"/>
        <v>25.557098901098907</v>
      </c>
      <c r="Z33" s="163">
        <f t="shared" si="159"/>
        <v>31.946373626373635</v>
      </c>
      <c r="AA33" s="163">
        <f t="shared" si="122"/>
        <v>3.8547142857142855</v>
      </c>
      <c r="AB33" s="163">
        <f t="shared" si="123"/>
        <v>1.9273571428571428</v>
      </c>
      <c r="AC33" s="163">
        <f t="shared" si="123"/>
        <v>1.9273571428571428</v>
      </c>
      <c r="AD33" s="163">
        <f t="shared" si="160"/>
        <v>868.85260000000005</v>
      </c>
      <c r="AE33" s="163" t="s">
        <v>2094</v>
      </c>
      <c r="AF33" s="163">
        <f t="shared" si="161"/>
        <v>434.42630000000003</v>
      </c>
      <c r="AG33" s="163">
        <f t="shared" si="162"/>
        <v>217.21315000000001</v>
      </c>
      <c r="AH33" s="163">
        <f t="shared" si="163"/>
        <v>217.21315000000001</v>
      </c>
      <c r="AI33" s="163">
        <f t="shared" si="164"/>
        <v>0</v>
      </c>
      <c r="AJ33" s="163">
        <f t="shared" si="165"/>
        <v>0</v>
      </c>
      <c r="AK33" s="163">
        <f t="shared" si="166"/>
        <v>0</v>
      </c>
      <c r="AL33" s="163">
        <f t="shared" si="167"/>
        <v>0</v>
      </c>
    </row>
    <row r="34" spans="1:38" ht="21" x14ac:dyDescent="0.2">
      <c r="A34" s="318"/>
      <c r="B34" s="162" t="s">
        <v>380</v>
      </c>
      <c r="C34" s="163">
        <f>'LS (Sensus) '!E594</f>
        <v>955.74</v>
      </c>
      <c r="D34" s="163">
        <f>'LS (Sensus) '!G594</f>
        <v>135415</v>
      </c>
      <c r="E34" s="163">
        <f t="shared" si="109"/>
        <v>2867.2200000000003</v>
      </c>
      <c r="F34" s="163">
        <f t="shared" si="110"/>
        <v>220.55538461538464</v>
      </c>
      <c r="G34" s="163">
        <f t="shared" si="111"/>
        <v>31.507912087912093</v>
      </c>
      <c r="H34" s="163">
        <f t="shared" si="112"/>
        <v>270830</v>
      </c>
      <c r="I34" s="163">
        <f t="shared" si="147"/>
        <v>135415</v>
      </c>
      <c r="J34" s="163">
        <f t="shared" si="148"/>
        <v>67707.5</v>
      </c>
      <c r="K34" s="163">
        <f t="shared" si="149"/>
        <v>67707.5</v>
      </c>
      <c r="L34" s="163">
        <v>0</v>
      </c>
      <c r="M34" s="163">
        <v>0</v>
      </c>
      <c r="N34" s="163">
        <v>0</v>
      </c>
      <c r="O34" s="163">
        <v>0</v>
      </c>
      <c r="P34" s="163">
        <f t="shared" si="150"/>
        <v>4.5138333333333334</v>
      </c>
      <c r="Q34" s="163">
        <f t="shared" si="151"/>
        <v>2.2569166666666667</v>
      </c>
      <c r="R34" s="163">
        <f t="shared" si="152"/>
        <v>1.1284583333333333</v>
      </c>
      <c r="S34" s="163">
        <f t="shared" si="153"/>
        <v>1.1284583333333333</v>
      </c>
      <c r="T34" s="163">
        <f t="shared" si="154"/>
        <v>0</v>
      </c>
      <c r="U34" s="163">
        <f t="shared" si="155"/>
        <v>0</v>
      </c>
      <c r="V34" s="163">
        <f t="shared" si="156"/>
        <v>0</v>
      </c>
      <c r="W34" s="163">
        <f t="shared" si="157"/>
        <v>0</v>
      </c>
      <c r="X34" s="163">
        <f t="shared" si="121"/>
        <v>135.41499999999999</v>
      </c>
      <c r="Y34" s="163">
        <f t="shared" si="158"/>
        <v>25.206329670329673</v>
      </c>
      <c r="Z34" s="163">
        <f t="shared" si="159"/>
        <v>31.507912087912093</v>
      </c>
      <c r="AA34" s="163">
        <f t="shared" si="122"/>
        <v>3.8690000000000002</v>
      </c>
      <c r="AB34" s="163">
        <f t="shared" si="123"/>
        <v>1.9345000000000001</v>
      </c>
      <c r="AC34" s="163">
        <f t="shared" si="123"/>
        <v>1.9345000000000001</v>
      </c>
      <c r="AD34" s="163">
        <f t="shared" si="160"/>
        <v>872.07260000000008</v>
      </c>
      <c r="AE34" s="163" t="s">
        <v>2094</v>
      </c>
      <c r="AF34" s="163">
        <f t="shared" si="161"/>
        <v>436.03630000000004</v>
      </c>
      <c r="AG34" s="163">
        <f t="shared" si="162"/>
        <v>218.01815000000002</v>
      </c>
      <c r="AH34" s="163">
        <f t="shared" si="163"/>
        <v>218.01815000000002</v>
      </c>
      <c r="AI34" s="163">
        <f t="shared" si="164"/>
        <v>0</v>
      </c>
      <c r="AJ34" s="163">
        <f t="shared" si="165"/>
        <v>0</v>
      </c>
      <c r="AK34" s="163">
        <f t="shared" si="166"/>
        <v>0</v>
      </c>
      <c r="AL34" s="163">
        <f t="shared" si="167"/>
        <v>0</v>
      </c>
    </row>
    <row r="35" spans="1:38" ht="21" x14ac:dyDescent="0.2">
      <c r="A35" s="318"/>
      <c r="B35" s="162" t="s">
        <v>416</v>
      </c>
      <c r="C35" s="163">
        <f>'LS (Sensus) '!E595</f>
        <v>950.92</v>
      </c>
      <c r="D35" s="163">
        <f>'LS (Sensus) '!G595</f>
        <v>141730</v>
      </c>
      <c r="E35" s="163">
        <f t="shared" si="109"/>
        <v>2852.7599999999998</v>
      </c>
      <c r="F35" s="163">
        <f t="shared" si="110"/>
        <v>219.44307692307692</v>
      </c>
      <c r="G35" s="163">
        <f t="shared" si="111"/>
        <v>31.349010989010988</v>
      </c>
      <c r="H35" s="163">
        <f t="shared" si="112"/>
        <v>283460</v>
      </c>
      <c r="I35" s="163">
        <f t="shared" si="147"/>
        <v>141730</v>
      </c>
      <c r="J35" s="163">
        <f t="shared" si="148"/>
        <v>70865</v>
      </c>
      <c r="K35" s="163">
        <f t="shared" si="149"/>
        <v>70865</v>
      </c>
      <c r="L35" s="163">
        <v>0</v>
      </c>
      <c r="M35" s="163">
        <v>0</v>
      </c>
      <c r="N35" s="163">
        <v>0</v>
      </c>
      <c r="O35" s="163">
        <v>0</v>
      </c>
      <c r="P35" s="163">
        <f t="shared" si="150"/>
        <v>4.7243333333333331</v>
      </c>
      <c r="Q35" s="163">
        <f t="shared" si="151"/>
        <v>2.3621666666666665</v>
      </c>
      <c r="R35" s="163">
        <f t="shared" si="152"/>
        <v>1.1810833333333333</v>
      </c>
      <c r="S35" s="163">
        <f t="shared" si="153"/>
        <v>1.1810833333333333</v>
      </c>
      <c r="T35" s="163">
        <f t="shared" si="154"/>
        <v>0</v>
      </c>
      <c r="U35" s="163">
        <f t="shared" si="155"/>
        <v>0</v>
      </c>
      <c r="V35" s="163">
        <f t="shared" si="156"/>
        <v>0</v>
      </c>
      <c r="W35" s="163">
        <f t="shared" si="157"/>
        <v>0</v>
      </c>
      <c r="X35" s="163">
        <f t="shared" si="121"/>
        <v>141.72999999999999</v>
      </c>
      <c r="Y35" s="163">
        <f t="shared" si="158"/>
        <v>25.079208791208789</v>
      </c>
      <c r="Z35" s="163">
        <f t="shared" si="159"/>
        <v>31.349010989010988</v>
      </c>
      <c r="AA35" s="163">
        <f t="shared" si="122"/>
        <v>4.0494285714285718</v>
      </c>
      <c r="AB35" s="163">
        <f t="shared" si="123"/>
        <v>2.0247142857142859</v>
      </c>
      <c r="AC35" s="163">
        <f t="shared" si="123"/>
        <v>2.0247142857142859</v>
      </c>
      <c r="AD35" s="163">
        <f t="shared" si="160"/>
        <v>912.74120000000005</v>
      </c>
      <c r="AE35" s="163" t="s">
        <v>2094</v>
      </c>
      <c r="AF35" s="163">
        <f t="shared" si="161"/>
        <v>456.37060000000002</v>
      </c>
      <c r="AG35" s="163">
        <f t="shared" si="162"/>
        <v>228.18530000000001</v>
      </c>
      <c r="AH35" s="163">
        <f t="shared" si="163"/>
        <v>228.18530000000001</v>
      </c>
      <c r="AI35" s="163">
        <f t="shared" si="164"/>
        <v>0</v>
      </c>
      <c r="AJ35" s="163">
        <f t="shared" si="165"/>
        <v>0</v>
      </c>
      <c r="AK35" s="163">
        <f t="shared" si="166"/>
        <v>0</v>
      </c>
      <c r="AL35" s="163">
        <f t="shared" si="167"/>
        <v>0</v>
      </c>
    </row>
    <row r="36" spans="1:38" ht="21" x14ac:dyDescent="0.2">
      <c r="A36" s="318"/>
      <c r="B36" s="162" t="s">
        <v>452</v>
      </c>
      <c r="C36" s="163">
        <f>'LS (Sensus) '!E596</f>
        <v>973.9799999999999</v>
      </c>
      <c r="D36" s="163">
        <f>'LS (Sensus) '!G596</f>
        <v>140711</v>
      </c>
      <c r="E36" s="163">
        <f t="shared" si="109"/>
        <v>2921.9399999999996</v>
      </c>
      <c r="F36" s="163">
        <f t="shared" si="110"/>
        <v>224.76461538461535</v>
      </c>
      <c r="G36" s="163">
        <f t="shared" si="111"/>
        <v>32.109230769230763</v>
      </c>
      <c r="H36" s="163">
        <f t="shared" si="112"/>
        <v>281422</v>
      </c>
      <c r="I36" s="163">
        <f t="shared" si="147"/>
        <v>140711</v>
      </c>
      <c r="J36" s="163">
        <f t="shared" si="148"/>
        <v>70355.5</v>
      </c>
      <c r="K36" s="163">
        <f t="shared" si="149"/>
        <v>70355.5</v>
      </c>
      <c r="L36" s="163">
        <v>0</v>
      </c>
      <c r="M36" s="163">
        <v>0</v>
      </c>
      <c r="N36" s="163">
        <v>0</v>
      </c>
      <c r="O36" s="163">
        <v>0</v>
      </c>
      <c r="P36" s="163">
        <f t="shared" si="150"/>
        <v>4.6903666666666668</v>
      </c>
      <c r="Q36" s="163">
        <f t="shared" si="151"/>
        <v>2.3451833333333334</v>
      </c>
      <c r="R36" s="163">
        <f t="shared" si="152"/>
        <v>1.1725916666666667</v>
      </c>
      <c r="S36" s="163">
        <f t="shared" si="153"/>
        <v>1.1725916666666667</v>
      </c>
      <c r="T36" s="163">
        <f t="shared" si="154"/>
        <v>0</v>
      </c>
      <c r="U36" s="163">
        <f t="shared" si="155"/>
        <v>0</v>
      </c>
      <c r="V36" s="163">
        <f t="shared" si="156"/>
        <v>0</v>
      </c>
      <c r="W36" s="163">
        <f t="shared" si="157"/>
        <v>0</v>
      </c>
      <c r="X36" s="163">
        <f t="shared" si="121"/>
        <v>140.71100000000001</v>
      </c>
      <c r="Y36" s="163">
        <f t="shared" si="158"/>
        <v>25.687384615384609</v>
      </c>
      <c r="Z36" s="163">
        <f t="shared" si="159"/>
        <v>32.109230769230763</v>
      </c>
      <c r="AA36" s="163">
        <f t="shared" si="122"/>
        <v>4.020314285714286</v>
      </c>
      <c r="AB36" s="163">
        <f t="shared" si="123"/>
        <v>2.010157142857143</v>
      </c>
      <c r="AC36" s="163">
        <f t="shared" si="123"/>
        <v>2.010157142857143</v>
      </c>
      <c r="AD36" s="163">
        <f t="shared" si="160"/>
        <v>906.17884000000004</v>
      </c>
      <c r="AE36" s="163" t="s">
        <v>2094</v>
      </c>
      <c r="AF36" s="163">
        <f t="shared" si="161"/>
        <v>453.08942000000002</v>
      </c>
      <c r="AG36" s="163">
        <f t="shared" si="162"/>
        <v>226.54471000000001</v>
      </c>
      <c r="AH36" s="163">
        <f t="shared" si="163"/>
        <v>226.54471000000001</v>
      </c>
      <c r="AI36" s="163">
        <f t="shared" si="164"/>
        <v>0</v>
      </c>
      <c r="AJ36" s="163">
        <f t="shared" si="165"/>
        <v>0</v>
      </c>
      <c r="AK36" s="163">
        <f t="shared" si="166"/>
        <v>0</v>
      </c>
      <c r="AL36" s="163">
        <f t="shared" si="167"/>
        <v>0</v>
      </c>
    </row>
    <row r="37" spans="1:38" ht="21" x14ac:dyDescent="0.2">
      <c r="A37" s="318"/>
      <c r="B37" s="162" t="s">
        <v>487</v>
      </c>
      <c r="C37" s="163">
        <f>'LS (Sensus) '!E597</f>
        <v>992.3599999999999</v>
      </c>
      <c r="D37" s="163">
        <f>'LS (Sensus) '!G597</f>
        <v>146428</v>
      </c>
      <c r="E37" s="163">
        <f t="shared" si="109"/>
        <v>2977.08</v>
      </c>
      <c r="F37" s="163">
        <f t="shared" si="110"/>
        <v>229.00615384615384</v>
      </c>
      <c r="G37" s="163">
        <f t="shared" si="111"/>
        <v>32.715164835164835</v>
      </c>
      <c r="H37" s="163">
        <f t="shared" si="112"/>
        <v>292856</v>
      </c>
      <c r="I37" s="163">
        <f t="shared" si="147"/>
        <v>146428</v>
      </c>
      <c r="J37" s="163">
        <f t="shared" si="148"/>
        <v>73214</v>
      </c>
      <c r="K37" s="163">
        <f t="shared" si="149"/>
        <v>73214</v>
      </c>
      <c r="L37" s="163">
        <v>0</v>
      </c>
      <c r="M37" s="163">
        <v>0</v>
      </c>
      <c r="N37" s="163">
        <v>0</v>
      </c>
      <c r="O37" s="163">
        <v>0</v>
      </c>
      <c r="P37" s="163">
        <f t="shared" si="150"/>
        <v>4.8809333333333331</v>
      </c>
      <c r="Q37" s="163">
        <f t="shared" si="151"/>
        <v>2.4404666666666666</v>
      </c>
      <c r="R37" s="163">
        <f t="shared" si="152"/>
        <v>1.2202333333333333</v>
      </c>
      <c r="S37" s="163">
        <f t="shared" si="153"/>
        <v>1.2202333333333333</v>
      </c>
      <c r="T37" s="163">
        <f t="shared" si="154"/>
        <v>0</v>
      </c>
      <c r="U37" s="163">
        <f t="shared" si="155"/>
        <v>0</v>
      </c>
      <c r="V37" s="163">
        <f t="shared" si="156"/>
        <v>0</v>
      </c>
      <c r="W37" s="163">
        <f t="shared" si="157"/>
        <v>0</v>
      </c>
      <c r="X37" s="163">
        <f t="shared" si="121"/>
        <v>146.428</v>
      </c>
      <c r="Y37" s="163">
        <f t="shared" si="158"/>
        <v>26.172131868131871</v>
      </c>
      <c r="Z37" s="163">
        <f t="shared" si="159"/>
        <v>32.715164835164835</v>
      </c>
      <c r="AA37" s="163">
        <f t="shared" si="122"/>
        <v>4.1836571428571432</v>
      </c>
      <c r="AB37" s="163">
        <f t="shared" si="123"/>
        <v>2.0918285714285716</v>
      </c>
      <c r="AC37" s="163">
        <f t="shared" si="123"/>
        <v>2.0918285714285716</v>
      </c>
      <c r="AD37" s="163">
        <f t="shared" si="160"/>
        <v>942.99632000000008</v>
      </c>
      <c r="AE37" s="163" t="s">
        <v>2094</v>
      </c>
      <c r="AF37" s="163">
        <f t="shared" si="161"/>
        <v>471.49816000000004</v>
      </c>
      <c r="AG37" s="163">
        <f t="shared" si="162"/>
        <v>235.74908000000002</v>
      </c>
      <c r="AH37" s="163">
        <f t="shared" si="163"/>
        <v>235.74908000000002</v>
      </c>
      <c r="AI37" s="163">
        <f t="shared" si="164"/>
        <v>0</v>
      </c>
      <c r="AJ37" s="163">
        <f t="shared" si="165"/>
        <v>0</v>
      </c>
      <c r="AK37" s="163">
        <f t="shared" si="166"/>
        <v>0</v>
      </c>
      <c r="AL37" s="163">
        <f t="shared" si="167"/>
        <v>0</v>
      </c>
    </row>
    <row r="38" spans="1:38" ht="21" x14ac:dyDescent="0.2">
      <c r="A38" s="318"/>
      <c r="B38" s="162" t="s">
        <v>521</v>
      </c>
      <c r="C38" s="163">
        <f>'LS (Sensus) '!E598</f>
        <v>852.52999999999975</v>
      </c>
      <c r="D38" s="163">
        <f>'LS (Sensus) '!G598</f>
        <v>117774</v>
      </c>
      <c r="E38" s="163">
        <f t="shared" si="109"/>
        <v>2557.5899999999992</v>
      </c>
      <c r="F38" s="163">
        <f t="shared" si="110"/>
        <v>196.73769230769224</v>
      </c>
      <c r="G38" s="163">
        <f t="shared" si="111"/>
        <v>28.105384615384605</v>
      </c>
      <c r="H38" s="163">
        <f t="shared" si="112"/>
        <v>235548</v>
      </c>
      <c r="I38" s="163">
        <f t="shared" si="147"/>
        <v>117774</v>
      </c>
      <c r="J38" s="163">
        <f t="shared" si="148"/>
        <v>58887</v>
      </c>
      <c r="K38" s="163">
        <f t="shared" si="149"/>
        <v>58887</v>
      </c>
      <c r="L38" s="163">
        <v>0</v>
      </c>
      <c r="M38" s="163">
        <v>0</v>
      </c>
      <c r="N38" s="163">
        <v>0</v>
      </c>
      <c r="O38" s="163">
        <v>0</v>
      </c>
      <c r="P38" s="163">
        <f t="shared" si="150"/>
        <v>3.9258000000000002</v>
      </c>
      <c r="Q38" s="163">
        <f t="shared" si="151"/>
        <v>1.9629000000000001</v>
      </c>
      <c r="R38" s="163">
        <f t="shared" si="152"/>
        <v>0.98145000000000004</v>
      </c>
      <c r="S38" s="163">
        <f t="shared" si="153"/>
        <v>0.98145000000000004</v>
      </c>
      <c r="T38" s="163">
        <f t="shared" si="154"/>
        <v>0</v>
      </c>
      <c r="U38" s="163">
        <f t="shared" si="155"/>
        <v>0</v>
      </c>
      <c r="V38" s="163">
        <f t="shared" si="156"/>
        <v>0</v>
      </c>
      <c r="W38" s="163">
        <f t="shared" si="157"/>
        <v>0</v>
      </c>
      <c r="X38" s="163">
        <f t="shared" si="121"/>
        <v>117.774</v>
      </c>
      <c r="Y38" s="163">
        <f t="shared" si="158"/>
        <v>22.484307692307684</v>
      </c>
      <c r="Z38" s="163">
        <f t="shared" si="159"/>
        <v>28.105384615384605</v>
      </c>
      <c r="AA38" s="163">
        <f t="shared" si="122"/>
        <v>3.3649714285714287</v>
      </c>
      <c r="AB38" s="163">
        <f t="shared" si="123"/>
        <v>1.6824857142857144</v>
      </c>
      <c r="AC38" s="163">
        <f t="shared" si="123"/>
        <v>1.6824857142857144</v>
      </c>
      <c r="AD38" s="163">
        <f t="shared" si="160"/>
        <v>758.46456000000001</v>
      </c>
      <c r="AE38" s="163" t="s">
        <v>2094</v>
      </c>
      <c r="AF38" s="163">
        <f t="shared" si="161"/>
        <v>379.23228</v>
      </c>
      <c r="AG38" s="163">
        <f t="shared" si="162"/>
        <v>189.61614</v>
      </c>
      <c r="AH38" s="163">
        <f t="shared" si="163"/>
        <v>189.61614</v>
      </c>
      <c r="AI38" s="163">
        <f t="shared" si="164"/>
        <v>0</v>
      </c>
      <c r="AJ38" s="163">
        <f t="shared" si="165"/>
        <v>0</v>
      </c>
      <c r="AK38" s="163">
        <f t="shared" si="166"/>
        <v>0</v>
      </c>
      <c r="AL38" s="163">
        <f t="shared" si="167"/>
        <v>0</v>
      </c>
    </row>
    <row r="39" spans="1:38" ht="21" x14ac:dyDescent="0.2">
      <c r="A39" s="318"/>
      <c r="B39" s="162" t="s">
        <v>548</v>
      </c>
      <c r="C39" s="163">
        <f>'LS (Sensus) '!E599</f>
        <v>933.85000000000014</v>
      </c>
      <c r="D39" s="163">
        <f>'LS (Sensus) '!G599</f>
        <v>130094</v>
      </c>
      <c r="E39" s="163">
        <f t="shared" si="109"/>
        <v>2801.55</v>
      </c>
      <c r="F39" s="163">
        <f t="shared" si="110"/>
        <v>215.50384615384615</v>
      </c>
      <c r="G39" s="163">
        <f t="shared" si="111"/>
        <v>30.786263736263738</v>
      </c>
      <c r="H39" s="163">
        <f t="shared" si="112"/>
        <v>260188</v>
      </c>
      <c r="I39" s="163">
        <f t="shared" si="147"/>
        <v>130094</v>
      </c>
      <c r="J39" s="163">
        <f t="shared" si="148"/>
        <v>65047</v>
      </c>
      <c r="K39" s="163">
        <f t="shared" si="149"/>
        <v>65047</v>
      </c>
      <c r="L39" s="163">
        <v>0</v>
      </c>
      <c r="M39" s="163">
        <v>0</v>
      </c>
      <c r="N39" s="163">
        <v>0</v>
      </c>
      <c r="O39" s="163">
        <v>0</v>
      </c>
      <c r="P39" s="163">
        <f t="shared" si="150"/>
        <v>4.3364666666666665</v>
      </c>
      <c r="Q39" s="163">
        <f t="shared" si="151"/>
        <v>2.1682333333333332</v>
      </c>
      <c r="R39" s="163">
        <f t="shared" si="152"/>
        <v>1.0841166666666666</v>
      </c>
      <c r="S39" s="163">
        <f t="shared" si="153"/>
        <v>1.0841166666666666</v>
      </c>
      <c r="T39" s="163">
        <f t="shared" si="154"/>
        <v>0</v>
      </c>
      <c r="U39" s="163">
        <f t="shared" si="155"/>
        <v>0</v>
      </c>
      <c r="V39" s="163">
        <f t="shared" si="156"/>
        <v>0</v>
      </c>
      <c r="W39" s="163">
        <f t="shared" si="157"/>
        <v>0</v>
      </c>
      <c r="X39" s="163">
        <f t="shared" si="121"/>
        <v>130.09399999999999</v>
      </c>
      <c r="Y39" s="163">
        <f t="shared" si="158"/>
        <v>24.62901098901099</v>
      </c>
      <c r="Z39" s="163">
        <f t="shared" si="159"/>
        <v>30.786263736263738</v>
      </c>
      <c r="AA39" s="163">
        <f t="shared" si="122"/>
        <v>3.7169714285714286</v>
      </c>
      <c r="AB39" s="163">
        <f t="shared" ref="AB39:AC40" si="168">0.5/2*$H39/35000</f>
        <v>1.8584857142857143</v>
      </c>
      <c r="AC39" s="163">
        <f t="shared" si="168"/>
        <v>1.8584857142857143</v>
      </c>
      <c r="AD39" s="163">
        <f t="shared" si="160"/>
        <v>837.80536000000006</v>
      </c>
      <c r="AE39" s="163" t="s">
        <v>2094</v>
      </c>
      <c r="AF39" s="163">
        <f t="shared" si="161"/>
        <v>418.90268000000003</v>
      </c>
      <c r="AG39" s="163">
        <f t="shared" si="162"/>
        <v>209.45134000000002</v>
      </c>
      <c r="AH39" s="163">
        <f t="shared" si="163"/>
        <v>209.45134000000002</v>
      </c>
      <c r="AI39" s="163">
        <f t="shared" si="164"/>
        <v>0</v>
      </c>
      <c r="AJ39" s="163">
        <f t="shared" si="165"/>
        <v>0</v>
      </c>
      <c r="AK39" s="163">
        <f t="shared" si="166"/>
        <v>0</v>
      </c>
      <c r="AL39" s="163">
        <f t="shared" si="167"/>
        <v>0</v>
      </c>
    </row>
    <row r="40" spans="1:38" ht="21" x14ac:dyDescent="0.2">
      <c r="A40" s="318"/>
      <c r="B40" s="162" t="s">
        <v>582</v>
      </c>
      <c r="C40" s="163">
        <f>'LS (Sensus) '!E600</f>
        <v>857.1600000000002</v>
      </c>
      <c r="D40" s="163">
        <f>'LS (Sensus) '!G600</f>
        <v>114956</v>
      </c>
      <c r="E40" s="163">
        <f t="shared" si="109"/>
        <v>2571.4800000000005</v>
      </c>
      <c r="F40" s="163">
        <f t="shared" si="110"/>
        <v>197.80615384615388</v>
      </c>
      <c r="G40" s="163">
        <f t="shared" si="111"/>
        <v>28.258021978021983</v>
      </c>
      <c r="H40" s="163">
        <f t="shared" si="112"/>
        <v>229912</v>
      </c>
      <c r="I40" s="163">
        <f t="shared" si="147"/>
        <v>114956</v>
      </c>
      <c r="J40" s="163">
        <f t="shared" si="148"/>
        <v>57478</v>
      </c>
      <c r="K40" s="163">
        <f t="shared" si="149"/>
        <v>57478</v>
      </c>
      <c r="L40" s="163">
        <v>0</v>
      </c>
      <c r="M40" s="163">
        <v>0</v>
      </c>
      <c r="N40" s="163">
        <v>0</v>
      </c>
      <c r="O40" s="163">
        <v>0</v>
      </c>
      <c r="P40" s="163">
        <f t="shared" si="150"/>
        <v>3.8318666666666665</v>
      </c>
      <c r="Q40" s="163">
        <f t="shared" si="151"/>
        <v>1.9159333333333333</v>
      </c>
      <c r="R40" s="163">
        <f t="shared" si="152"/>
        <v>0.95796666666666663</v>
      </c>
      <c r="S40" s="163">
        <f t="shared" si="153"/>
        <v>0.95796666666666663</v>
      </c>
      <c r="T40" s="163">
        <f t="shared" si="154"/>
        <v>0</v>
      </c>
      <c r="U40" s="163">
        <f t="shared" si="155"/>
        <v>0</v>
      </c>
      <c r="V40" s="163">
        <f t="shared" si="156"/>
        <v>0</v>
      </c>
      <c r="W40" s="163">
        <f t="shared" si="157"/>
        <v>0</v>
      </c>
      <c r="X40" s="163">
        <f t="shared" si="121"/>
        <v>114.956</v>
      </c>
      <c r="Y40" s="163">
        <f t="shared" si="158"/>
        <v>22.606417582417585</v>
      </c>
      <c r="Z40" s="163">
        <f t="shared" si="159"/>
        <v>28.258021978021983</v>
      </c>
      <c r="AA40" s="163">
        <f t="shared" si="122"/>
        <v>3.2844571428571427</v>
      </c>
      <c r="AB40" s="163">
        <f t="shared" si="168"/>
        <v>1.6422285714285714</v>
      </c>
      <c r="AC40" s="163">
        <f t="shared" si="168"/>
        <v>1.6422285714285714</v>
      </c>
      <c r="AD40" s="163">
        <f t="shared" si="160"/>
        <v>740.31664000000001</v>
      </c>
      <c r="AE40" s="163" t="s">
        <v>2094</v>
      </c>
      <c r="AF40" s="163">
        <f t="shared" si="161"/>
        <v>370.15832</v>
      </c>
      <c r="AG40" s="163">
        <f t="shared" si="162"/>
        <v>185.07916</v>
      </c>
      <c r="AH40" s="163">
        <f t="shared" si="163"/>
        <v>185.07916</v>
      </c>
      <c r="AI40" s="163">
        <f t="shared" si="164"/>
        <v>0</v>
      </c>
      <c r="AJ40" s="163">
        <f t="shared" si="165"/>
        <v>0</v>
      </c>
      <c r="AK40" s="163">
        <f t="shared" si="166"/>
        <v>0</v>
      </c>
      <c r="AL40" s="163">
        <f t="shared" si="167"/>
        <v>0</v>
      </c>
    </row>
    <row r="41" spans="1:38" ht="21" x14ac:dyDescent="0.2">
      <c r="A41" s="318"/>
      <c r="B41" s="258" t="s">
        <v>2225</v>
      </c>
      <c r="C41" s="259">
        <f>SUM(C32:C40)</f>
        <v>8077.83</v>
      </c>
      <c r="D41" s="259">
        <f t="shared" ref="D41:U41" si="169">SUM(D32:D40)</f>
        <v>1144121</v>
      </c>
      <c r="E41" s="259">
        <f t="shared" si="169"/>
        <v>24233.489999999998</v>
      </c>
      <c r="F41" s="259">
        <f t="shared" si="169"/>
        <v>1864.1146153846153</v>
      </c>
      <c r="G41" s="259">
        <f t="shared" si="169"/>
        <v>266.30208791208793</v>
      </c>
      <c r="H41" s="259">
        <f t="shared" si="169"/>
        <v>2288242</v>
      </c>
      <c r="I41" s="259">
        <f t="shared" si="169"/>
        <v>1144121</v>
      </c>
      <c r="J41" s="259">
        <f t="shared" si="169"/>
        <v>572060.5</v>
      </c>
      <c r="K41" s="259">
        <f t="shared" si="169"/>
        <v>572060.5</v>
      </c>
      <c r="L41" s="259">
        <f t="shared" si="169"/>
        <v>0</v>
      </c>
      <c r="M41" s="259">
        <f t="shared" si="169"/>
        <v>0</v>
      </c>
      <c r="N41" s="259">
        <f t="shared" ref="N41" si="170">SUM(N32:N40)</f>
        <v>0</v>
      </c>
      <c r="O41" s="259">
        <f t="shared" ref="O41" si="171">SUM(O32:O40)</f>
        <v>0</v>
      </c>
      <c r="P41" s="259">
        <f t="shared" si="169"/>
        <v>38.137366666666665</v>
      </c>
      <c r="Q41" s="259">
        <f t="shared" si="169"/>
        <v>19.068683333333333</v>
      </c>
      <c r="R41" s="259">
        <f t="shared" si="169"/>
        <v>9.5343416666666663</v>
      </c>
      <c r="S41" s="259">
        <f t="shared" si="169"/>
        <v>9.5343416666666663</v>
      </c>
      <c r="T41" s="259">
        <f t="shared" si="169"/>
        <v>0</v>
      </c>
      <c r="U41" s="259">
        <f t="shared" si="169"/>
        <v>0</v>
      </c>
      <c r="V41" s="259">
        <f t="shared" ref="V41" si="172">SUM(V32:V40)</f>
        <v>0</v>
      </c>
      <c r="W41" s="259">
        <f t="shared" ref="W41:X41" si="173">SUM(W32:W40)</f>
        <v>0</v>
      </c>
      <c r="X41" s="259">
        <f t="shared" si="173"/>
        <v>1144.1209999999999</v>
      </c>
      <c r="Y41" s="259">
        <f t="shared" ref="Y41:Z41" si="174">SUM(Y32:Y40)</f>
        <v>213.0416703296703</v>
      </c>
      <c r="Z41" s="259">
        <f t="shared" si="174"/>
        <v>266.30208791208793</v>
      </c>
      <c r="AA41" s="259">
        <f t="shared" ref="AA41:AC41" si="175">SUM(AA32:AA40)</f>
        <v>32.689171428571427</v>
      </c>
      <c r="AB41" s="259">
        <f t="shared" si="175"/>
        <v>16.344585714285714</v>
      </c>
      <c r="AC41" s="259">
        <f t="shared" si="175"/>
        <v>16.344585714285714</v>
      </c>
      <c r="AD41" s="259">
        <f t="shared" ref="AD41" si="176">SUM(AD32:AD40)</f>
        <v>7368.1392400000004</v>
      </c>
      <c r="AE41" s="259" t="s">
        <v>2094</v>
      </c>
      <c r="AF41" s="259">
        <f t="shared" ref="AF41" si="177">SUM(AF32:AF40)</f>
        <v>3684.0696200000002</v>
      </c>
      <c r="AG41" s="259">
        <f t="shared" ref="AG41" si="178">SUM(AG32:AG40)</f>
        <v>1842.0348100000001</v>
      </c>
      <c r="AH41" s="259">
        <f t="shared" ref="AH41" si="179">SUM(AH32:AH40)</f>
        <v>1842.0348100000001</v>
      </c>
      <c r="AI41" s="259">
        <f t="shared" ref="AI41" si="180">SUM(AI32:AI40)</f>
        <v>0</v>
      </c>
      <c r="AJ41" s="259">
        <f t="shared" ref="AJ41" si="181">SUM(AJ32:AJ40)</f>
        <v>0</v>
      </c>
      <c r="AK41" s="259">
        <f t="shared" ref="AK41" si="182">SUM(AK32:AK40)</f>
        <v>0</v>
      </c>
      <c r="AL41" s="259">
        <f t="shared" ref="AL41" si="183">SUM(AL32:AL40)</f>
        <v>0</v>
      </c>
    </row>
    <row r="42" spans="1:38" ht="21" x14ac:dyDescent="0.2">
      <c r="A42" s="317" t="s">
        <v>2080</v>
      </c>
      <c r="B42" s="317"/>
      <c r="C42" s="226">
        <f>SUM(C41,C31)</f>
        <v>16741.93</v>
      </c>
      <c r="D42" s="226">
        <f t="shared" ref="D42:U42" si="184">SUM(D41,D31)</f>
        <v>2362698</v>
      </c>
      <c r="E42" s="226">
        <f t="shared" si="184"/>
        <v>50225.79</v>
      </c>
      <c r="F42" s="226">
        <f t="shared" si="184"/>
        <v>3863.5223076923075</v>
      </c>
      <c r="G42" s="226">
        <f t="shared" si="184"/>
        <v>551.93175824175819</v>
      </c>
      <c r="H42" s="226">
        <f t="shared" si="184"/>
        <v>4725396</v>
      </c>
      <c r="I42" s="226">
        <f t="shared" si="184"/>
        <v>2362698</v>
      </c>
      <c r="J42" s="226">
        <f t="shared" si="184"/>
        <v>1218798.8999999999</v>
      </c>
      <c r="K42" s="226">
        <f t="shared" si="184"/>
        <v>1193832.3</v>
      </c>
      <c r="L42" s="226">
        <f t="shared" si="184"/>
        <v>0</v>
      </c>
      <c r="M42" s="226">
        <f t="shared" si="184"/>
        <v>0</v>
      </c>
      <c r="N42" s="226">
        <f t="shared" ref="N42" si="185">SUM(N41,N31)</f>
        <v>0</v>
      </c>
      <c r="O42" s="226">
        <f t="shared" ref="O42" si="186">SUM(O41,O31)</f>
        <v>0</v>
      </c>
      <c r="P42" s="226">
        <f t="shared" si="184"/>
        <v>79.588819999999998</v>
      </c>
      <c r="Q42" s="226">
        <f t="shared" si="184"/>
        <v>39.378299999999996</v>
      </c>
      <c r="R42" s="226">
        <f t="shared" si="184"/>
        <v>20.313314999999999</v>
      </c>
      <c r="S42" s="226">
        <f t="shared" si="184"/>
        <v>19.897205</v>
      </c>
      <c r="T42" s="226">
        <f t="shared" si="184"/>
        <v>0</v>
      </c>
      <c r="U42" s="226">
        <f t="shared" si="184"/>
        <v>0</v>
      </c>
      <c r="V42" s="226">
        <f t="shared" ref="V42" si="187">SUM(V41,V31)</f>
        <v>0</v>
      </c>
      <c r="W42" s="226">
        <f t="shared" ref="W42:X42" si="188">SUM(W41,W31)</f>
        <v>0</v>
      </c>
      <c r="X42" s="226">
        <f t="shared" si="188"/>
        <v>2362.6980000000003</v>
      </c>
      <c r="Y42" s="226">
        <f t="shared" ref="Y42:Z42" si="189">SUM(Y41,Y31)</f>
        <v>441.54540659340654</v>
      </c>
      <c r="Z42" s="226">
        <f t="shared" si="189"/>
        <v>551.93175824175819</v>
      </c>
      <c r="AA42" s="226">
        <f t="shared" ref="AA42:AC42" si="190">SUM(AA41,AA31)</f>
        <v>67.505657142857132</v>
      </c>
      <c r="AB42" s="226">
        <f t="shared" si="190"/>
        <v>33.752828571428566</v>
      </c>
      <c r="AC42" s="226">
        <f t="shared" si="190"/>
        <v>33.752828571428566</v>
      </c>
      <c r="AD42" s="226">
        <f t="shared" ref="AD42" si="191">SUM(AD41,AD31)</f>
        <v>15376.560024000002</v>
      </c>
      <c r="AE42" s="226" t="s">
        <v>2094</v>
      </c>
      <c r="AF42" s="226">
        <f t="shared" ref="AF42" si="192">SUM(AF41,AF31)</f>
        <v>7607.887560000001</v>
      </c>
      <c r="AG42" s="226">
        <f t="shared" ref="AG42" si="193">SUM(AG41,AG31)</f>
        <v>3924.5324580000006</v>
      </c>
      <c r="AH42" s="226">
        <f t="shared" ref="AH42" si="194">SUM(AH41,AH31)</f>
        <v>3844.1400060000005</v>
      </c>
      <c r="AI42" s="226">
        <f t="shared" ref="AI42" si="195">SUM(AI41,AI31)</f>
        <v>0</v>
      </c>
      <c r="AJ42" s="226">
        <f t="shared" ref="AJ42" si="196">SUM(AJ41,AJ31)</f>
        <v>0</v>
      </c>
      <c r="AK42" s="226">
        <f t="shared" ref="AK42" si="197">SUM(AK41,AK31)</f>
        <v>0</v>
      </c>
      <c r="AL42" s="226">
        <f t="shared" ref="AL42" si="198">SUM(AL41,AL31)</f>
        <v>0</v>
      </c>
    </row>
    <row r="43" spans="1:38" ht="16.75" customHeight="1" x14ac:dyDescent="0.25">
      <c r="A43" s="262"/>
      <c r="B43" s="262"/>
      <c r="C43" s="262"/>
      <c r="D43" s="262"/>
      <c r="E43" s="262"/>
      <c r="F43" s="262"/>
      <c r="G43" s="262"/>
      <c r="H43" s="262"/>
      <c r="I43" s="262"/>
      <c r="J43" s="262"/>
      <c r="K43" s="262"/>
      <c r="L43" s="262"/>
      <c r="M43" s="262"/>
      <c r="N43" s="262"/>
      <c r="O43" s="262"/>
      <c r="P43" s="262"/>
      <c r="Q43" s="262"/>
      <c r="R43" s="262"/>
      <c r="S43" s="262"/>
      <c r="T43" s="262"/>
      <c r="U43" s="262"/>
      <c r="V43" s="262"/>
      <c r="W43" s="262"/>
      <c r="X43" s="262"/>
      <c r="Y43" s="262"/>
      <c r="Z43" s="262"/>
      <c r="AA43" s="262"/>
      <c r="AB43" s="262"/>
      <c r="AC43" s="262"/>
      <c r="AD43" s="262"/>
      <c r="AE43" s="262"/>
      <c r="AF43" s="267"/>
      <c r="AG43" s="267"/>
      <c r="AH43" s="267"/>
      <c r="AI43" s="267"/>
      <c r="AJ43" s="267"/>
      <c r="AK43" s="267"/>
      <c r="AL43" s="267"/>
    </row>
    <row r="44" spans="1:38" ht="16.75" customHeight="1" x14ac:dyDescent="0.25">
      <c r="A44" s="319" t="s">
        <v>619</v>
      </c>
      <c r="B44" s="319" t="s">
        <v>934</v>
      </c>
      <c r="C44" s="320" t="s">
        <v>2226</v>
      </c>
      <c r="D44" s="320" t="s">
        <v>1262</v>
      </c>
      <c r="E44" s="320" t="s">
        <v>2265</v>
      </c>
      <c r="F44" s="320" t="s">
        <v>2253</v>
      </c>
      <c r="G44" s="320" t="s">
        <v>2254</v>
      </c>
      <c r="H44" s="321" t="s">
        <v>2243</v>
      </c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2" t="s">
        <v>2244</v>
      </c>
      <c r="AB44" s="322"/>
      <c r="AC44" s="322"/>
      <c r="AD44" s="322"/>
      <c r="AE44" s="322"/>
      <c r="AF44" s="322"/>
      <c r="AG44" s="322"/>
      <c r="AH44" s="322"/>
      <c r="AI44" s="322"/>
      <c r="AJ44" s="322"/>
      <c r="AK44" s="322"/>
      <c r="AL44" s="322"/>
    </row>
    <row r="45" spans="1:38" ht="154" x14ac:dyDescent="0.2">
      <c r="A45" s="319"/>
      <c r="B45" s="319"/>
      <c r="C45" s="320"/>
      <c r="D45" s="320"/>
      <c r="E45" s="320"/>
      <c r="F45" s="320"/>
      <c r="G45" s="320"/>
      <c r="H45" s="254" t="s">
        <v>2227</v>
      </c>
      <c r="I45" s="255" t="s">
        <v>2228</v>
      </c>
      <c r="J45" s="255" t="s">
        <v>2229</v>
      </c>
      <c r="K45" s="255" t="s">
        <v>2230</v>
      </c>
      <c r="L45" s="255" t="s">
        <v>2231</v>
      </c>
      <c r="M45" s="255" t="s">
        <v>2232</v>
      </c>
      <c r="N45" s="255" t="s">
        <v>2236</v>
      </c>
      <c r="O45" s="255" t="s">
        <v>2237</v>
      </c>
      <c r="P45" s="254" t="s">
        <v>2255</v>
      </c>
      <c r="Q45" s="255" t="s">
        <v>2256</v>
      </c>
      <c r="R45" s="255" t="s">
        <v>2257</v>
      </c>
      <c r="S45" s="255" t="s">
        <v>2258</v>
      </c>
      <c r="T45" s="255" t="s">
        <v>2259</v>
      </c>
      <c r="U45" s="255" t="s">
        <v>2260</v>
      </c>
      <c r="V45" s="255" t="s">
        <v>2261</v>
      </c>
      <c r="W45" s="255" t="s">
        <v>2262</v>
      </c>
      <c r="X45" s="254" t="s">
        <v>2242</v>
      </c>
      <c r="Y45" s="254" t="s">
        <v>2241</v>
      </c>
      <c r="Z45" s="254" t="s">
        <v>2240</v>
      </c>
      <c r="AA45" s="256" t="s">
        <v>2245</v>
      </c>
      <c r="AB45" s="255" t="s">
        <v>2246</v>
      </c>
      <c r="AC45" s="257" t="s">
        <v>2247</v>
      </c>
      <c r="AD45" s="254" t="s">
        <v>2117</v>
      </c>
      <c r="AE45" s="254" t="s">
        <v>2093</v>
      </c>
      <c r="AF45" s="255" t="s">
        <v>2267</v>
      </c>
      <c r="AG45" s="255" t="s">
        <v>2268</v>
      </c>
      <c r="AH45" s="255" t="s">
        <v>2269</v>
      </c>
      <c r="AI45" s="255" t="s">
        <v>2270</v>
      </c>
      <c r="AJ45" s="255" t="s">
        <v>2271</v>
      </c>
      <c r="AK45" s="255" t="s">
        <v>2272</v>
      </c>
      <c r="AL45" s="255" t="s">
        <v>2273</v>
      </c>
    </row>
    <row r="46" spans="1:38" ht="21" x14ac:dyDescent="0.2">
      <c r="A46" s="318" t="s">
        <v>1741</v>
      </c>
      <c r="B46" s="162" t="s">
        <v>14</v>
      </c>
      <c r="C46" s="163">
        <f>SUMIFS('SMP (Sensus)'!$E$6:$E$393,'SMP (Sensus)'!$C$6:$C$393,'Percepatan Pengendalian'!$B46)</f>
        <v>903.23000000000013</v>
      </c>
      <c r="D46" s="163">
        <f t="array" ref="D46">SUMIFS('SMP (Sensus)'!$G$6:$G$393,'SMP (Sensus)'!$C$6:$C$393,'Percepatan Pengendalian'!$B46)</f>
        <v>121555</v>
      </c>
      <c r="E46" s="263">
        <f t="shared" ref="E46:E52" si="199">C46*5</f>
        <v>4516.1500000000005</v>
      </c>
      <c r="F46" s="163">
        <f>E46/40</f>
        <v>112.90375000000002</v>
      </c>
      <c r="G46" s="163">
        <f>F46/7</f>
        <v>16.129107142857144</v>
      </c>
      <c r="H46" s="163">
        <f>D46*3</f>
        <v>364665</v>
      </c>
      <c r="I46" s="163">
        <f>D46</f>
        <v>121555</v>
      </c>
      <c r="J46" s="163">
        <f>I46*0.8</f>
        <v>97244</v>
      </c>
      <c r="K46" s="163">
        <f>0.6*D46</f>
        <v>72933</v>
      </c>
      <c r="L46" s="163">
        <f>D46*0.4</f>
        <v>48622</v>
      </c>
      <c r="M46" s="163">
        <f>0.2*D46</f>
        <v>24311</v>
      </c>
      <c r="N46" s="163">
        <v>0</v>
      </c>
      <c r="O46" s="163">
        <v>0</v>
      </c>
      <c r="P46" s="163">
        <f t="shared" ref="P46:P59" si="200">SUM(Q46:W46)</f>
        <v>3.6466500000000002</v>
      </c>
      <c r="Q46" s="163">
        <f>I46/4000/5/5</f>
        <v>1.2155499999999999</v>
      </c>
      <c r="R46" s="163">
        <f t="shared" ref="R46:W46" si="201">J46/4000/5/5</f>
        <v>0.97243999999999997</v>
      </c>
      <c r="S46" s="163">
        <f t="shared" si="201"/>
        <v>0.72933000000000003</v>
      </c>
      <c r="T46" s="163">
        <f t="shared" si="201"/>
        <v>0.48621999999999999</v>
      </c>
      <c r="U46" s="163">
        <f t="shared" si="201"/>
        <v>0.24310999999999999</v>
      </c>
      <c r="V46" s="163">
        <f t="shared" si="201"/>
        <v>0</v>
      </c>
      <c r="W46" s="163">
        <f t="shared" si="201"/>
        <v>0</v>
      </c>
      <c r="X46" s="163">
        <f>H46/2000</f>
        <v>182.33250000000001</v>
      </c>
      <c r="Y46" s="163">
        <f t="shared" ref="Y46" si="202">G46*40*2/100</f>
        <v>12.903285714285717</v>
      </c>
      <c r="Z46" s="163">
        <f t="shared" ref="Z46" si="203">G46</f>
        <v>16.129107142857144</v>
      </c>
      <c r="AA46" s="163">
        <f t="shared" ref="AA46:AA52" si="204">1.6/3*$H46/35000</f>
        <v>5.5568</v>
      </c>
      <c r="AB46" s="163">
        <f t="shared" ref="AB46:AB52" si="205">1/3*$H46/35000</f>
        <v>3.4729999999999999</v>
      </c>
      <c r="AC46" s="163">
        <f t="shared" ref="AC46:AC52" si="206">0.6/3*$H46/35000</f>
        <v>2.0838000000000001</v>
      </c>
      <c r="AD46" s="163">
        <f t="shared" ref="AD46:AD59" si="207">SUM(AF46:AL46)</f>
        <v>1640.9924999999998</v>
      </c>
      <c r="AE46" s="163" t="s">
        <v>2095</v>
      </c>
      <c r="AF46" s="163">
        <f t="shared" ref="AF46" si="208">I46*4.5/1000</f>
        <v>546.99749999999995</v>
      </c>
      <c r="AG46" s="163">
        <f t="shared" ref="AG46" si="209">J46*4.5/1000</f>
        <v>437.59800000000001</v>
      </c>
      <c r="AH46" s="163">
        <f t="shared" ref="AH46" si="210">K46*4.5/1000</f>
        <v>328.19850000000002</v>
      </c>
      <c r="AI46" s="163">
        <f t="shared" ref="AI46" si="211">L46*4.5/1000</f>
        <v>218.79900000000001</v>
      </c>
      <c r="AJ46" s="163">
        <f t="shared" ref="AJ46" si="212">M46*4.5/1000</f>
        <v>109.3995</v>
      </c>
      <c r="AK46" s="163">
        <f t="shared" ref="AK46" si="213">N46*4.5/1000</f>
        <v>0</v>
      </c>
      <c r="AL46" s="163">
        <f t="shared" ref="AL46" si="214">O46*4.5/1000</f>
        <v>0</v>
      </c>
    </row>
    <row r="47" spans="1:38" ht="21" x14ac:dyDescent="0.2">
      <c r="A47" s="318"/>
      <c r="B47" s="260" t="s">
        <v>47</v>
      </c>
      <c r="C47" s="261">
        <f>SUMIFS('SMP (Sensus)'!$E$6:$E$393,'SMP (Sensus)'!$C$6:$C$393,'Percepatan Pengendalian'!$B47)</f>
        <v>857.89</v>
      </c>
      <c r="D47" s="261">
        <f t="array" ref="D47">SUMIFS('SMP (Sensus)'!$G$6:$G$393,'SMP (Sensus)'!$C$6:$C$393,'Percepatan Pengendalian'!$B47)</f>
        <v>108822</v>
      </c>
      <c r="E47" s="261">
        <f t="shared" si="199"/>
        <v>4289.45</v>
      </c>
      <c r="F47" s="261">
        <f t="shared" ref="F47:F59" si="215">E47/40</f>
        <v>107.23625</v>
      </c>
      <c r="G47" s="261">
        <f t="shared" ref="G47:G59" si="216">F47/7</f>
        <v>15.319464285714286</v>
      </c>
      <c r="H47" s="261">
        <f>D47*3</f>
        <v>326466</v>
      </c>
      <c r="I47" s="261">
        <f>D47</f>
        <v>108822</v>
      </c>
      <c r="J47" s="261">
        <f>I47*0.8</f>
        <v>87057.600000000006</v>
      </c>
      <c r="K47" s="261">
        <f>0.6*D47</f>
        <v>65293.2</v>
      </c>
      <c r="L47" s="261">
        <f>D47*0.4</f>
        <v>43528.800000000003</v>
      </c>
      <c r="M47" s="261">
        <f>0.2*D47</f>
        <v>21764.400000000001</v>
      </c>
      <c r="N47" s="163">
        <v>0</v>
      </c>
      <c r="O47" s="163">
        <v>0</v>
      </c>
      <c r="P47" s="261">
        <f t="shared" si="200"/>
        <v>3.2646600000000001</v>
      </c>
      <c r="Q47" s="261">
        <f t="shared" ref="Q47:Q52" si="217">I47/4000/5/5</f>
        <v>1.0882200000000002</v>
      </c>
      <c r="R47" s="261">
        <f t="shared" ref="R47:R52" si="218">J47/4000/5/5</f>
        <v>0.87057600000000013</v>
      </c>
      <c r="S47" s="261">
        <f t="shared" ref="S47:S52" si="219">K47/4000/5/5</f>
        <v>0.65293200000000007</v>
      </c>
      <c r="T47" s="261">
        <f t="shared" ref="T47:T52" si="220">L47/4000/5/5</f>
        <v>0.43528800000000006</v>
      </c>
      <c r="U47" s="261">
        <f t="shared" ref="U47:U52" si="221">M47/4000/5/5</f>
        <v>0.21764400000000003</v>
      </c>
      <c r="V47" s="261">
        <f t="shared" ref="V47:V52" si="222">N47/4000/5/5</f>
        <v>0</v>
      </c>
      <c r="W47" s="261">
        <f t="shared" ref="W47:W52" si="223">O47/4000/5/5</f>
        <v>0</v>
      </c>
      <c r="X47" s="261">
        <f t="shared" ref="X47:X52" si="224">H47/2000</f>
        <v>163.233</v>
      </c>
      <c r="Y47" s="261">
        <f t="shared" ref="Y47:Y52" si="225">G47*40*2/100</f>
        <v>12.255571428571429</v>
      </c>
      <c r="Z47" s="261">
        <f t="shared" ref="Z47:Z52" si="226">G47</f>
        <v>15.319464285714286</v>
      </c>
      <c r="AA47" s="261">
        <f t="shared" si="204"/>
        <v>4.9747200000000005</v>
      </c>
      <c r="AB47" s="261">
        <f t="shared" si="205"/>
        <v>3.1092</v>
      </c>
      <c r="AC47" s="261">
        <f t="shared" si="206"/>
        <v>1.8655199999999998</v>
      </c>
      <c r="AD47" s="261">
        <f t="shared" si="207"/>
        <v>1051.2205200000001</v>
      </c>
      <c r="AE47" s="261" t="s">
        <v>2094</v>
      </c>
      <c r="AF47" s="261">
        <f t="shared" ref="AF47" si="227">I47*3.22/1000</f>
        <v>350.40684000000005</v>
      </c>
      <c r="AG47" s="261">
        <f t="shared" ref="AG47" si="228">J47*3.22/1000</f>
        <v>280.32547199999999</v>
      </c>
      <c r="AH47" s="261">
        <f t="shared" ref="AH47" si="229">K47*3.22/1000</f>
        <v>210.24410399999999</v>
      </c>
      <c r="AI47" s="261">
        <f t="shared" ref="AI47" si="230">L47*3.22/1000</f>
        <v>140.162736</v>
      </c>
      <c r="AJ47" s="261">
        <f t="shared" ref="AJ47" si="231">M47*3.22/1000</f>
        <v>70.081367999999998</v>
      </c>
      <c r="AK47" s="261">
        <f t="shared" ref="AK47" si="232">N47*3.22/1000</f>
        <v>0</v>
      </c>
      <c r="AL47" s="261">
        <f t="shared" ref="AL47" si="233">O47*3.22/1000</f>
        <v>0</v>
      </c>
    </row>
    <row r="48" spans="1:38" ht="21" x14ac:dyDescent="0.2">
      <c r="A48" s="318"/>
      <c r="B48" s="162" t="s">
        <v>79</v>
      </c>
      <c r="C48" s="163">
        <f>SUMIFS('SMP (Sensus)'!$E$6:$E$393,'SMP (Sensus)'!$C$6:$C$393,'Percepatan Pengendalian'!$B48)</f>
        <v>803.57</v>
      </c>
      <c r="D48" s="163">
        <f t="array" ref="D48">SUMIFS('SMP (Sensus)'!$G$6:$G$393,'SMP (Sensus)'!$C$6:$C$393,'Percepatan Pengendalian'!$B48)</f>
        <v>103340</v>
      </c>
      <c r="E48" s="263">
        <f t="shared" si="199"/>
        <v>4017.8500000000004</v>
      </c>
      <c r="F48" s="163">
        <f t="shared" si="215"/>
        <v>100.44625000000001</v>
      </c>
      <c r="G48" s="163">
        <f t="shared" si="216"/>
        <v>14.349464285714287</v>
      </c>
      <c r="H48" s="163">
        <f>D48*3</f>
        <v>310020</v>
      </c>
      <c r="I48" s="163">
        <f>D48</f>
        <v>103340</v>
      </c>
      <c r="J48" s="163">
        <f>I48*0.8</f>
        <v>82672</v>
      </c>
      <c r="K48" s="163">
        <f>0.6*D48</f>
        <v>62004</v>
      </c>
      <c r="L48" s="163">
        <f>D48*0.4</f>
        <v>41336</v>
      </c>
      <c r="M48" s="163">
        <f>0.2*D48</f>
        <v>20668</v>
      </c>
      <c r="N48" s="163">
        <v>0</v>
      </c>
      <c r="O48" s="163">
        <v>0</v>
      </c>
      <c r="P48" s="163">
        <f t="shared" si="200"/>
        <v>3.1001999999999996</v>
      </c>
      <c r="Q48" s="163">
        <f t="shared" si="217"/>
        <v>1.0333999999999999</v>
      </c>
      <c r="R48" s="163">
        <f t="shared" si="218"/>
        <v>0.8267199999999999</v>
      </c>
      <c r="S48" s="163">
        <f t="shared" si="219"/>
        <v>0.62004000000000004</v>
      </c>
      <c r="T48" s="163">
        <f t="shared" si="220"/>
        <v>0.41335999999999995</v>
      </c>
      <c r="U48" s="163">
        <f t="shared" si="221"/>
        <v>0.20667999999999997</v>
      </c>
      <c r="V48" s="163">
        <f t="shared" si="222"/>
        <v>0</v>
      </c>
      <c r="W48" s="163">
        <f t="shared" si="223"/>
        <v>0</v>
      </c>
      <c r="X48" s="163">
        <f t="shared" si="224"/>
        <v>155.01</v>
      </c>
      <c r="Y48" s="163">
        <f t="shared" si="225"/>
        <v>11.479571428571431</v>
      </c>
      <c r="Z48" s="163">
        <f t="shared" si="226"/>
        <v>14.349464285714287</v>
      </c>
      <c r="AA48" s="163">
        <f t="shared" si="204"/>
        <v>4.7241142857142862</v>
      </c>
      <c r="AB48" s="163">
        <f t="shared" si="205"/>
        <v>2.9525714285714284</v>
      </c>
      <c r="AC48" s="163">
        <f t="shared" si="206"/>
        <v>1.7715428571428569</v>
      </c>
      <c r="AD48" s="163">
        <f t="shared" si="207"/>
        <v>1395.09</v>
      </c>
      <c r="AE48" s="163" t="s">
        <v>2095</v>
      </c>
      <c r="AF48" s="163">
        <f t="shared" ref="AF48:AF49" si="234">I48*4.5/1000</f>
        <v>465.03</v>
      </c>
      <c r="AG48" s="163">
        <f t="shared" ref="AG48:AG49" si="235">J48*4.5/1000</f>
        <v>372.024</v>
      </c>
      <c r="AH48" s="163">
        <f t="shared" ref="AH48:AH49" si="236">K48*4.5/1000</f>
        <v>279.01799999999997</v>
      </c>
      <c r="AI48" s="163">
        <f t="shared" ref="AI48:AI49" si="237">L48*4.5/1000</f>
        <v>186.012</v>
      </c>
      <c r="AJ48" s="163">
        <f t="shared" ref="AJ48:AJ49" si="238">M48*4.5/1000</f>
        <v>93.006</v>
      </c>
      <c r="AK48" s="163">
        <f t="shared" ref="AK48:AK49" si="239">N48*4.5/1000</f>
        <v>0</v>
      </c>
      <c r="AL48" s="163">
        <f t="shared" ref="AL48:AL49" si="240">O48*4.5/1000</f>
        <v>0</v>
      </c>
    </row>
    <row r="49" spans="1:38" ht="21" x14ac:dyDescent="0.2">
      <c r="A49" s="318"/>
      <c r="B49" s="162" t="s">
        <v>107</v>
      </c>
      <c r="C49" s="163">
        <f>SUMIFS('SMP (Sensus)'!$E$6:$E$393,'SMP (Sensus)'!$C$6:$C$393,'Percepatan Pengendalian'!$B49)</f>
        <v>883.74999999999989</v>
      </c>
      <c r="D49" s="163">
        <f t="array" ref="D49">SUMIFS('SMP (Sensus)'!$G$6:$G$393,'SMP (Sensus)'!$C$6:$C$393,'Percepatan Pengendalian'!$B49)</f>
        <v>115583</v>
      </c>
      <c r="E49" s="263">
        <f t="shared" si="199"/>
        <v>4418.7499999999991</v>
      </c>
      <c r="F49" s="163">
        <f t="shared" si="215"/>
        <v>110.46874999999997</v>
      </c>
      <c r="G49" s="163">
        <f t="shared" si="216"/>
        <v>15.781249999999996</v>
      </c>
      <c r="H49" s="163">
        <f t="shared" ref="H49:H52" si="241">D49*3</f>
        <v>346749</v>
      </c>
      <c r="I49" s="163">
        <f t="shared" ref="I49:I52" si="242">D49</f>
        <v>115583</v>
      </c>
      <c r="J49" s="163">
        <f t="shared" ref="J49:J52" si="243">I49*0.8</f>
        <v>92466.400000000009</v>
      </c>
      <c r="K49" s="163">
        <f t="shared" ref="K49:K52" si="244">0.6*D49</f>
        <v>69349.8</v>
      </c>
      <c r="L49" s="163">
        <f t="shared" ref="L49:L52" si="245">D49*0.4</f>
        <v>46233.200000000004</v>
      </c>
      <c r="M49" s="163">
        <f t="shared" ref="M49:M52" si="246">0.2*D49</f>
        <v>23116.600000000002</v>
      </c>
      <c r="N49" s="163">
        <v>0</v>
      </c>
      <c r="O49" s="163">
        <v>0</v>
      </c>
      <c r="P49" s="163">
        <f t="shared" si="200"/>
        <v>3.4674899999999997</v>
      </c>
      <c r="Q49" s="163">
        <f t="shared" si="217"/>
        <v>1.1558299999999999</v>
      </c>
      <c r="R49" s="163">
        <f t="shared" si="218"/>
        <v>0.92466400000000015</v>
      </c>
      <c r="S49" s="163">
        <f t="shared" si="219"/>
        <v>0.69349800000000006</v>
      </c>
      <c r="T49" s="163">
        <f t="shared" si="220"/>
        <v>0.46233200000000008</v>
      </c>
      <c r="U49" s="163">
        <f t="shared" si="221"/>
        <v>0.23116600000000004</v>
      </c>
      <c r="V49" s="163">
        <f t="shared" si="222"/>
        <v>0</v>
      </c>
      <c r="W49" s="163">
        <f t="shared" si="223"/>
        <v>0</v>
      </c>
      <c r="X49" s="163">
        <f t="shared" si="224"/>
        <v>173.37450000000001</v>
      </c>
      <c r="Y49" s="163">
        <f t="shared" si="225"/>
        <v>12.624999999999998</v>
      </c>
      <c r="Z49" s="163">
        <f t="shared" si="226"/>
        <v>15.781249999999996</v>
      </c>
      <c r="AA49" s="163">
        <f t="shared" si="204"/>
        <v>5.2837942857142854</v>
      </c>
      <c r="AB49" s="163">
        <f t="shared" si="205"/>
        <v>3.3023714285714285</v>
      </c>
      <c r="AC49" s="163">
        <f t="shared" si="206"/>
        <v>1.9814228571428567</v>
      </c>
      <c r="AD49" s="163">
        <f t="shared" si="207"/>
        <v>1560.3705000000002</v>
      </c>
      <c r="AE49" s="163" t="s">
        <v>2095</v>
      </c>
      <c r="AF49" s="163">
        <f t="shared" si="234"/>
        <v>520.12350000000004</v>
      </c>
      <c r="AG49" s="163">
        <f t="shared" si="235"/>
        <v>416.09880000000004</v>
      </c>
      <c r="AH49" s="163">
        <f t="shared" si="236"/>
        <v>312.07410000000004</v>
      </c>
      <c r="AI49" s="163">
        <f t="shared" si="237"/>
        <v>208.04940000000002</v>
      </c>
      <c r="AJ49" s="163">
        <f t="shared" si="238"/>
        <v>104.02470000000001</v>
      </c>
      <c r="AK49" s="163">
        <f t="shared" si="239"/>
        <v>0</v>
      </c>
      <c r="AL49" s="163">
        <f t="shared" si="240"/>
        <v>0</v>
      </c>
    </row>
    <row r="50" spans="1:38" ht="21" x14ac:dyDescent="0.2">
      <c r="A50" s="318"/>
      <c r="B50" s="162" t="s">
        <v>144</v>
      </c>
      <c r="C50" s="163">
        <f>SUMIFS('SMP (Sensus)'!$E$6:$E$393,'SMP (Sensus)'!$C$6:$C$393,'Percepatan Pengendalian'!$B50)</f>
        <v>860.79000000000008</v>
      </c>
      <c r="D50" s="163">
        <f t="array" ref="D50">SUMIFS('SMP (Sensus)'!$G$6:$G$393,'SMP (Sensus)'!$C$6:$C$393,'Percepatan Pengendalian'!$B50)</f>
        <v>109065</v>
      </c>
      <c r="E50" s="264">
        <f>C50*4</f>
        <v>3443.1600000000003</v>
      </c>
      <c r="F50" s="163">
        <f t="shared" si="215"/>
        <v>86.079000000000008</v>
      </c>
      <c r="G50" s="163">
        <f t="shared" si="216"/>
        <v>12.297000000000001</v>
      </c>
      <c r="H50" s="163">
        <f>D50*2</f>
        <v>218130</v>
      </c>
      <c r="I50" s="163">
        <f>D50*0</f>
        <v>0</v>
      </c>
      <c r="J50" s="163">
        <f>D50*0.8</f>
        <v>87252</v>
      </c>
      <c r="K50" s="163">
        <f t="shared" si="244"/>
        <v>65439</v>
      </c>
      <c r="L50" s="163">
        <f t="shared" si="245"/>
        <v>43626</v>
      </c>
      <c r="M50" s="163">
        <f t="shared" si="246"/>
        <v>21813</v>
      </c>
      <c r="N50" s="163">
        <v>0</v>
      </c>
      <c r="O50" s="163">
        <v>0</v>
      </c>
      <c r="P50" s="163">
        <f t="shared" si="200"/>
        <v>2.7266249999999999</v>
      </c>
      <c r="Q50" s="163">
        <f>I50/4000/5/4</f>
        <v>0</v>
      </c>
      <c r="R50" s="163">
        <f t="shared" ref="R50:W50" si="247">J50/4000/5/4</f>
        <v>1.0906499999999999</v>
      </c>
      <c r="S50" s="163">
        <f t="shared" si="247"/>
        <v>0.81798749999999987</v>
      </c>
      <c r="T50" s="163">
        <f t="shared" si="247"/>
        <v>0.54532499999999995</v>
      </c>
      <c r="U50" s="163">
        <f t="shared" si="247"/>
        <v>0.27266249999999997</v>
      </c>
      <c r="V50" s="163">
        <f t="shared" si="247"/>
        <v>0</v>
      </c>
      <c r="W50" s="163">
        <f t="shared" si="247"/>
        <v>0</v>
      </c>
      <c r="X50" s="163">
        <f t="shared" si="224"/>
        <v>109.065</v>
      </c>
      <c r="Y50" s="163">
        <f t="shared" si="225"/>
        <v>9.8376000000000001</v>
      </c>
      <c r="Z50" s="163">
        <f t="shared" si="226"/>
        <v>12.297000000000001</v>
      </c>
      <c r="AA50" s="163">
        <f t="shared" si="204"/>
        <v>3.3238857142857143</v>
      </c>
      <c r="AB50" s="163">
        <f t="shared" si="205"/>
        <v>2.0774285714285714</v>
      </c>
      <c r="AC50" s="163">
        <f t="shared" si="206"/>
        <v>1.2464571428571429</v>
      </c>
      <c r="AD50" s="163">
        <f t="shared" si="207"/>
        <v>702.37860000000001</v>
      </c>
      <c r="AE50" s="163" t="s">
        <v>2094</v>
      </c>
      <c r="AF50" s="163">
        <f t="shared" ref="AF50" si="248">I50*3.22/1000</f>
        <v>0</v>
      </c>
      <c r="AG50" s="163">
        <f t="shared" ref="AG50" si="249">J50*3.22/1000</f>
        <v>280.95143999999999</v>
      </c>
      <c r="AH50" s="163">
        <f t="shared" ref="AH50" si="250">K50*3.22/1000</f>
        <v>210.71358000000001</v>
      </c>
      <c r="AI50" s="163">
        <f t="shared" ref="AI50" si="251">L50*3.22/1000</f>
        <v>140.47572</v>
      </c>
      <c r="AJ50" s="163">
        <f t="shared" ref="AJ50" si="252">M50*3.22/1000</f>
        <v>70.237859999999998</v>
      </c>
      <c r="AK50" s="163">
        <f t="shared" ref="AK50" si="253">N50*3.22/1000</f>
        <v>0</v>
      </c>
      <c r="AL50" s="163">
        <f t="shared" ref="AL50" si="254">O50*3.22/1000</f>
        <v>0</v>
      </c>
    </row>
    <row r="51" spans="1:38" ht="21" x14ac:dyDescent="0.2">
      <c r="A51" s="318"/>
      <c r="B51" s="162" t="s">
        <v>173</v>
      </c>
      <c r="C51" s="163">
        <f>SUMIFS('SMP (Sensus)'!$E$6:$E$393,'SMP (Sensus)'!$C$6:$C$393,'Percepatan Pengendalian'!$B51)</f>
        <v>768.92000000000007</v>
      </c>
      <c r="D51" s="163">
        <f t="array" ref="D51">SUMIFS('SMP (Sensus)'!$G$6:$G$393,'SMP (Sensus)'!$C$6:$C$393,'Percepatan Pengendalian'!$B51)</f>
        <v>88841</v>
      </c>
      <c r="E51" s="263">
        <f t="shared" si="199"/>
        <v>3844.6000000000004</v>
      </c>
      <c r="F51" s="163">
        <f t="shared" si="215"/>
        <v>96.115000000000009</v>
      </c>
      <c r="G51" s="163">
        <f t="shared" si="216"/>
        <v>13.730714285714287</v>
      </c>
      <c r="H51" s="163">
        <f t="shared" si="241"/>
        <v>266523</v>
      </c>
      <c r="I51" s="163">
        <f t="shared" si="242"/>
        <v>88841</v>
      </c>
      <c r="J51" s="163">
        <f t="shared" si="243"/>
        <v>71072.800000000003</v>
      </c>
      <c r="K51" s="163">
        <f t="shared" si="244"/>
        <v>53304.6</v>
      </c>
      <c r="L51" s="163">
        <f t="shared" si="245"/>
        <v>35536.400000000001</v>
      </c>
      <c r="M51" s="163">
        <f t="shared" si="246"/>
        <v>17768.2</v>
      </c>
      <c r="N51" s="163">
        <v>0</v>
      </c>
      <c r="O51" s="163">
        <v>0</v>
      </c>
      <c r="P51" s="163">
        <f t="shared" si="200"/>
        <v>2.6652300000000002</v>
      </c>
      <c r="Q51" s="163">
        <f t="shared" si="217"/>
        <v>0.88841000000000003</v>
      </c>
      <c r="R51" s="163">
        <f t="shared" si="218"/>
        <v>0.71072800000000003</v>
      </c>
      <c r="S51" s="163">
        <f t="shared" si="219"/>
        <v>0.53304600000000002</v>
      </c>
      <c r="T51" s="163">
        <f t="shared" si="220"/>
        <v>0.35536400000000001</v>
      </c>
      <c r="U51" s="163">
        <f t="shared" si="221"/>
        <v>0.17768200000000001</v>
      </c>
      <c r="V51" s="163">
        <f t="shared" si="222"/>
        <v>0</v>
      </c>
      <c r="W51" s="163">
        <f t="shared" si="223"/>
        <v>0</v>
      </c>
      <c r="X51" s="163">
        <f t="shared" si="224"/>
        <v>133.26150000000001</v>
      </c>
      <c r="Y51" s="163">
        <f t="shared" si="225"/>
        <v>10.98457142857143</v>
      </c>
      <c r="Z51" s="163">
        <f t="shared" si="226"/>
        <v>13.730714285714287</v>
      </c>
      <c r="AA51" s="163">
        <f t="shared" si="204"/>
        <v>4.0613028571428575</v>
      </c>
      <c r="AB51" s="163">
        <f t="shared" si="205"/>
        <v>2.5383142857142857</v>
      </c>
      <c r="AC51" s="163">
        <f t="shared" si="206"/>
        <v>1.5229885714285714</v>
      </c>
      <c r="AD51" s="163">
        <f t="shared" si="207"/>
        <v>1199.3534999999999</v>
      </c>
      <c r="AE51" s="163" t="s">
        <v>2095</v>
      </c>
      <c r="AF51" s="163">
        <f t="shared" ref="AF51:AF52" si="255">I51*4.5/1000</f>
        <v>399.78449999999998</v>
      </c>
      <c r="AG51" s="163">
        <f t="shared" ref="AG51:AG52" si="256">J51*4.5/1000</f>
        <v>319.82760000000002</v>
      </c>
      <c r="AH51" s="163">
        <f t="shared" ref="AH51:AH52" si="257">K51*4.5/1000</f>
        <v>239.87069999999997</v>
      </c>
      <c r="AI51" s="163">
        <f t="shared" ref="AI51:AI52" si="258">L51*4.5/1000</f>
        <v>159.91380000000001</v>
      </c>
      <c r="AJ51" s="163">
        <f t="shared" ref="AJ51:AJ52" si="259">M51*4.5/1000</f>
        <v>79.956900000000005</v>
      </c>
      <c r="AK51" s="163">
        <f t="shared" ref="AK51:AK52" si="260">N51*4.5/1000</f>
        <v>0</v>
      </c>
      <c r="AL51" s="163">
        <f t="shared" ref="AL51:AL52" si="261">O51*4.5/1000</f>
        <v>0</v>
      </c>
    </row>
    <row r="52" spans="1:38" ht="21" x14ac:dyDescent="0.2">
      <c r="A52" s="318"/>
      <c r="B52" s="162" t="s">
        <v>216</v>
      </c>
      <c r="C52" s="163">
        <f>SUMIFS('SMP (Sensus)'!$E$6:$E$393,'SMP (Sensus)'!$C$6:$C$393,'Percepatan Pengendalian'!$B52)</f>
        <v>896</v>
      </c>
      <c r="D52" s="163">
        <f t="array" ref="D52">SUMIFS('SMP (Sensus)'!$G$6:$G$393,'SMP (Sensus)'!$C$6:$C$393,'Percepatan Pengendalian'!$B52)</f>
        <v>99997</v>
      </c>
      <c r="E52" s="263">
        <f t="shared" si="199"/>
        <v>4480</v>
      </c>
      <c r="F52" s="163">
        <f t="shared" si="215"/>
        <v>112</v>
      </c>
      <c r="G52" s="163">
        <f t="shared" si="216"/>
        <v>16</v>
      </c>
      <c r="H52" s="163">
        <f t="shared" si="241"/>
        <v>299991</v>
      </c>
      <c r="I52" s="163">
        <f t="shared" si="242"/>
        <v>99997</v>
      </c>
      <c r="J52" s="163">
        <f t="shared" si="243"/>
        <v>79997.600000000006</v>
      </c>
      <c r="K52" s="163">
        <f t="shared" si="244"/>
        <v>59998.2</v>
      </c>
      <c r="L52" s="163">
        <f t="shared" si="245"/>
        <v>39998.800000000003</v>
      </c>
      <c r="M52" s="163">
        <f t="shared" si="246"/>
        <v>19999.400000000001</v>
      </c>
      <c r="N52" s="163">
        <v>0</v>
      </c>
      <c r="O52" s="163">
        <v>0</v>
      </c>
      <c r="P52" s="163">
        <f t="shared" si="200"/>
        <v>2.9999099999999999</v>
      </c>
      <c r="Q52" s="163">
        <f t="shared" si="217"/>
        <v>0.99997000000000003</v>
      </c>
      <c r="R52" s="163">
        <f t="shared" si="218"/>
        <v>0.79997600000000002</v>
      </c>
      <c r="S52" s="163">
        <f t="shared" si="219"/>
        <v>0.59998200000000002</v>
      </c>
      <c r="T52" s="163">
        <f t="shared" si="220"/>
        <v>0.39998800000000001</v>
      </c>
      <c r="U52" s="163">
        <f t="shared" si="221"/>
        <v>0.19999400000000001</v>
      </c>
      <c r="V52" s="163">
        <f t="shared" si="222"/>
        <v>0</v>
      </c>
      <c r="W52" s="163">
        <f t="shared" si="223"/>
        <v>0</v>
      </c>
      <c r="X52" s="163">
        <f t="shared" si="224"/>
        <v>149.99549999999999</v>
      </c>
      <c r="Y52" s="163">
        <f t="shared" si="225"/>
        <v>12.8</v>
      </c>
      <c r="Z52" s="163">
        <f t="shared" si="226"/>
        <v>16</v>
      </c>
      <c r="AA52" s="163">
        <f t="shared" si="204"/>
        <v>4.5712914285714286</v>
      </c>
      <c r="AB52" s="163">
        <f t="shared" si="205"/>
        <v>2.8570571428571427</v>
      </c>
      <c r="AC52" s="163">
        <f t="shared" si="206"/>
        <v>1.7142342857142856</v>
      </c>
      <c r="AD52" s="163">
        <f t="shared" si="207"/>
        <v>1349.9594999999999</v>
      </c>
      <c r="AE52" s="163" t="s">
        <v>2095</v>
      </c>
      <c r="AF52" s="163">
        <f t="shared" si="255"/>
        <v>449.98649999999998</v>
      </c>
      <c r="AG52" s="163">
        <f t="shared" si="256"/>
        <v>359.98920000000004</v>
      </c>
      <c r="AH52" s="163">
        <f t="shared" si="257"/>
        <v>269.99189999999999</v>
      </c>
      <c r="AI52" s="163">
        <f t="shared" si="258"/>
        <v>179.99460000000002</v>
      </c>
      <c r="AJ52" s="163">
        <f t="shared" si="259"/>
        <v>89.99730000000001</v>
      </c>
      <c r="AK52" s="163">
        <f t="shared" si="260"/>
        <v>0</v>
      </c>
      <c r="AL52" s="163">
        <f t="shared" si="261"/>
        <v>0</v>
      </c>
    </row>
    <row r="53" spans="1:38" ht="21" x14ac:dyDescent="0.2">
      <c r="A53" s="318"/>
      <c r="B53" s="258" t="s">
        <v>2149</v>
      </c>
      <c r="C53" s="259">
        <f>SUM(C46:C52)-C47</f>
        <v>5116.26</v>
      </c>
      <c r="D53" s="259">
        <f t="shared" ref="D53:U53" si="262">SUM(D46:D52)-D47</f>
        <v>638381</v>
      </c>
      <c r="E53" s="259">
        <f t="shared" si="262"/>
        <v>24720.51</v>
      </c>
      <c r="F53" s="259">
        <f t="shared" si="262"/>
        <v>618.01274999999998</v>
      </c>
      <c r="G53" s="259">
        <f t="shared" si="262"/>
        <v>88.28753571428571</v>
      </c>
      <c r="H53" s="259">
        <f t="shared" si="262"/>
        <v>1806078</v>
      </c>
      <c r="I53" s="259">
        <f t="shared" si="262"/>
        <v>529316</v>
      </c>
      <c r="J53" s="259">
        <f t="shared" si="262"/>
        <v>510704.80000000005</v>
      </c>
      <c r="K53" s="259">
        <f t="shared" si="262"/>
        <v>383028.6</v>
      </c>
      <c r="L53" s="259">
        <f t="shared" si="262"/>
        <v>255352.40000000002</v>
      </c>
      <c r="M53" s="259">
        <f t="shared" si="262"/>
        <v>127676.20000000001</v>
      </c>
      <c r="N53" s="259">
        <f t="shared" ref="N53" si="263">SUM(N46:N52)-N47</f>
        <v>0</v>
      </c>
      <c r="O53" s="259">
        <f t="shared" ref="O53" si="264">SUM(O46:O52)-O47</f>
        <v>0</v>
      </c>
      <c r="P53" s="259">
        <f t="shared" si="262"/>
        <v>18.606104999999999</v>
      </c>
      <c r="Q53" s="259">
        <f t="shared" si="262"/>
        <v>5.2931600000000003</v>
      </c>
      <c r="R53" s="259">
        <f t="shared" si="262"/>
        <v>5.3251780000000002</v>
      </c>
      <c r="S53" s="259">
        <f t="shared" si="262"/>
        <v>3.9938834999999999</v>
      </c>
      <c r="T53" s="259">
        <f t="shared" si="262"/>
        <v>2.6625890000000001</v>
      </c>
      <c r="U53" s="259">
        <f t="shared" si="262"/>
        <v>1.3312945</v>
      </c>
      <c r="V53" s="259">
        <f t="shared" ref="V53" si="265">SUM(V46:V52)-V47</f>
        <v>0</v>
      </c>
      <c r="W53" s="259">
        <f t="shared" ref="W53:AC53" si="266">SUM(W46:W52)-W47</f>
        <v>0</v>
      </c>
      <c r="X53" s="259">
        <f t="shared" si="266"/>
        <v>903.03900000000021</v>
      </c>
      <c r="Y53" s="259">
        <f t="shared" si="266"/>
        <v>70.630028571428582</v>
      </c>
      <c r="Z53" s="259">
        <f t="shared" si="266"/>
        <v>88.28753571428571</v>
      </c>
      <c r="AA53" s="259">
        <f t="shared" si="266"/>
        <v>27.521188571428571</v>
      </c>
      <c r="AB53" s="259">
        <f t="shared" si="266"/>
        <v>17.200742857142856</v>
      </c>
      <c r="AC53" s="259">
        <f t="shared" si="266"/>
        <v>10.320445714285713</v>
      </c>
      <c r="AD53" s="259">
        <f t="shared" ref="AD53" si="267">SUM(AD46:AD52)-AD47</f>
        <v>7848.1446000000005</v>
      </c>
      <c r="AE53" s="259" t="s">
        <v>2095</v>
      </c>
      <c r="AF53" s="259">
        <f t="shared" ref="AF53" si="268">SUM(AF46:AF52)-AF47</f>
        <v>2381.922</v>
      </c>
      <c r="AG53" s="259">
        <f t="shared" ref="AG53" si="269">SUM(AG46:AG52)-AG47</f>
        <v>2186.4890399999999</v>
      </c>
      <c r="AH53" s="259">
        <f t="shared" ref="AH53" si="270">SUM(AH46:AH52)-AH47</f>
        <v>1639.8667800000003</v>
      </c>
      <c r="AI53" s="259">
        <f t="shared" ref="AI53" si="271">SUM(AI46:AI52)-AI47</f>
        <v>1093.24452</v>
      </c>
      <c r="AJ53" s="259">
        <f t="shared" ref="AJ53" si="272">SUM(AJ46:AJ52)-AJ47</f>
        <v>546.62225999999998</v>
      </c>
      <c r="AK53" s="259">
        <f t="shared" ref="AK53" si="273">SUM(AK46:AK52)-AK47</f>
        <v>0</v>
      </c>
      <c r="AL53" s="259">
        <f t="shared" ref="AL53" si="274">SUM(AL46:AL52)-AL47</f>
        <v>0</v>
      </c>
    </row>
    <row r="54" spans="1:38" ht="21" x14ac:dyDescent="0.2">
      <c r="A54" s="318"/>
      <c r="B54" s="162" t="s">
        <v>252</v>
      </c>
      <c r="C54" s="163">
        <f>SUMIFS('SMP (Sensus)'!$E$6:$E$393,'SMP (Sensus)'!$C$6:$C$393,'Percepatan Pengendalian'!$B54)</f>
        <v>667.06</v>
      </c>
      <c r="D54" s="163">
        <f t="array" ref="D54">SUMIFS('SMP (Sensus)'!$G$6:$G$393,'SMP (Sensus)'!$C$6:$C$393,'Percepatan Pengendalian'!$B54)</f>
        <v>85703</v>
      </c>
      <c r="E54" s="263">
        <f t="shared" ref="E54:E59" si="275">C54*5</f>
        <v>3335.2999999999997</v>
      </c>
      <c r="F54" s="163">
        <f t="shared" si="215"/>
        <v>83.382499999999993</v>
      </c>
      <c r="G54" s="163">
        <f t="shared" si="216"/>
        <v>11.911785714285713</v>
      </c>
      <c r="H54" s="163">
        <f t="shared" ref="H54:H55" si="276">D54*3</f>
        <v>257109</v>
      </c>
      <c r="I54" s="163">
        <f t="shared" ref="I54:I55" si="277">D54</f>
        <v>85703</v>
      </c>
      <c r="J54" s="163">
        <f t="shared" ref="J54:J55" si="278">I54*0.8</f>
        <v>68562.400000000009</v>
      </c>
      <c r="K54" s="163">
        <f t="shared" ref="K54:K55" si="279">0.6*D54</f>
        <v>51421.799999999996</v>
      </c>
      <c r="L54" s="163">
        <f t="shared" ref="L54:L55" si="280">D54*0.4</f>
        <v>34281.200000000004</v>
      </c>
      <c r="M54" s="163">
        <f t="shared" ref="M54:M55" si="281">0.2*D54</f>
        <v>17140.600000000002</v>
      </c>
      <c r="N54" s="163">
        <v>0</v>
      </c>
      <c r="O54" s="163">
        <v>0</v>
      </c>
      <c r="P54" s="163">
        <f t="shared" si="200"/>
        <v>2.5710900000000003</v>
      </c>
      <c r="Q54" s="163">
        <f t="shared" ref="Q54:Q59" si="282">I54/4000/5/5</f>
        <v>0.85702999999999996</v>
      </c>
      <c r="R54" s="163">
        <f t="shared" ref="R54:R59" si="283">J54/4000/5/5</f>
        <v>0.68562400000000012</v>
      </c>
      <c r="S54" s="163">
        <f t="shared" ref="S54:S59" si="284">K54/4000/5/5</f>
        <v>0.51421799999999995</v>
      </c>
      <c r="T54" s="163">
        <f t="shared" ref="T54:T59" si="285">L54/4000/5/5</f>
        <v>0.34281200000000006</v>
      </c>
      <c r="U54" s="163">
        <f t="shared" ref="U54:U59" si="286">M54/4000/5/5</f>
        <v>0.17140600000000003</v>
      </c>
      <c r="V54" s="163">
        <f t="shared" ref="V54:V59" si="287">N54/4000/5/5</f>
        <v>0</v>
      </c>
      <c r="W54" s="163">
        <f t="shared" ref="W54:W59" si="288">O54/4000/5/5</f>
        <v>0</v>
      </c>
      <c r="X54" s="163">
        <f t="shared" ref="X54:X59" si="289">H54/2000</f>
        <v>128.55449999999999</v>
      </c>
      <c r="Y54" s="163">
        <f t="shared" ref="Y54:Y59" si="290">G54*40*2/100</f>
        <v>9.5294285714285714</v>
      </c>
      <c r="Z54" s="163">
        <f t="shared" ref="Z54:Z59" si="291">G54</f>
        <v>11.911785714285713</v>
      </c>
      <c r="AA54" s="163">
        <f t="shared" ref="AA54:AA59" si="292">1.6/3*$H54/35000</f>
        <v>3.9178514285714283</v>
      </c>
      <c r="AB54" s="163">
        <f t="shared" ref="AB54:AB59" si="293">1/3*$H54/35000</f>
        <v>2.4486571428571429</v>
      </c>
      <c r="AC54" s="163">
        <f t="shared" ref="AC54:AC59" si="294">0.6/3*$H54/35000</f>
        <v>1.4691942857142857</v>
      </c>
      <c r="AD54" s="163">
        <f t="shared" si="207"/>
        <v>1156.9905000000003</v>
      </c>
      <c r="AE54" s="163" t="s">
        <v>2095</v>
      </c>
      <c r="AF54" s="163">
        <f t="shared" ref="AF54:AF58" si="295">I54*4.5/1000</f>
        <v>385.6635</v>
      </c>
      <c r="AG54" s="163">
        <f t="shared" ref="AG54:AG56" si="296">J54*4.5/1000</f>
        <v>308.53080000000006</v>
      </c>
      <c r="AH54" s="163">
        <f t="shared" ref="AH54:AH56" si="297">K54*4.5/1000</f>
        <v>231.39809999999997</v>
      </c>
      <c r="AI54" s="163">
        <f t="shared" ref="AI54:AI56" si="298">L54*4.5/1000</f>
        <v>154.26540000000003</v>
      </c>
      <c r="AJ54" s="163">
        <f t="shared" ref="AJ54:AJ56" si="299">M54*4.5/1000</f>
        <v>77.132700000000014</v>
      </c>
      <c r="AK54" s="163">
        <f t="shared" ref="AK54:AK56" si="300">N54*4.5/1000</f>
        <v>0</v>
      </c>
      <c r="AL54" s="163">
        <f t="shared" ref="AL54:AL56" si="301">O54*4.5/1000</f>
        <v>0</v>
      </c>
    </row>
    <row r="55" spans="1:38" ht="21" x14ac:dyDescent="0.2">
      <c r="A55" s="318"/>
      <c r="B55" s="162" t="s">
        <v>290</v>
      </c>
      <c r="C55" s="163">
        <f>SUMIFS('SMP (Sensus)'!$E$6:$E$393,'SMP (Sensus)'!$C$6:$C$393,'Percepatan Pengendalian'!$B55)</f>
        <v>711.02</v>
      </c>
      <c r="D55" s="163">
        <f t="array" ref="D55">SUMIFS('SMP (Sensus)'!$G$6:$G$393,'SMP (Sensus)'!$C$6:$C$393,'Percepatan Pengendalian'!$B55)</f>
        <v>94435</v>
      </c>
      <c r="E55" s="263">
        <f t="shared" si="275"/>
        <v>3555.1</v>
      </c>
      <c r="F55" s="163">
        <f t="shared" si="215"/>
        <v>88.877499999999998</v>
      </c>
      <c r="G55" s="163">
        <f t="shared" si="216"/>
        <v>12.696785714285713</v>
      </c>
      <c r="H55" s="163">
        <f t="shared" si="276"/>
        <v>283305</v>
      </c>
      <c r="I55" s="163">
        <f t="shared" si="277"/>
        <v>94435</v>
      </c>
      <c r="J55" s="163">
        <f t="shared" si="278"/>
        <v>75548</v>
      </c>
      <c r="K55" s="163">
        <f t="shared" si="279"/>
        <v>56661</v>
      </c>
      <c r="L55" s="163">
        <f t="shared" si="280"/>
        <v>37774</v>
      </c>
      <c r="M55" s="163">
        <f t="shared" si="281"/>
        <v>18887</v>
      </c>
      <c r="N55" s="163">
        <v>0</v>
      </c>
      <c r="O55" s="163">
        <v>0</v>
      </c>
      <c r="P55" s="163">
        <f t="shared" si="200"/>
        <v>2.8330500000000005</v>
      </c>
      <c r="Q55" s="163">
        <f t="shared" si="282"/>
        <v>0.94435000000000002</v>
      </c>
      <c r="R55" s="163">
        <f t="shared" si="283"/>
        <v>0.75548000000000004</v>
      </c>
      <c r="S55" s="163">
        <f t="shared" si="284"/>
        <v>0.56661000000000006</v>
      </c>
      <c r="T55" s="163">
        <f t="shared" si="285"/>
        <v>0.37774000000000002</v>
      </c>
      <c r="U55" s="163">
        <f t="shared" si="286"/>
        <v>0.18887000000000001</v>
      </c>
      <c r="V55" s="163">
        <f t="shared" si="287"/>
        <v>0</v>
      </c>
      <c r="W55" s="163">
        <f t="shared" si="288"/>
        <v>0</v>
      </c>
      <c r="X55" s="163">
        <f t="shared" si="289"/>
        <v>141.6525</v>
      </c>
      <c r="Y55" s="163">
        <f t="shared" si="290"/>
        <v>10.15742857142857</v>
      </c>
      <c r="Z55" s="163">
        <f t="shared" si="291"/>
        <v>12.696785714285713</v>
      </c>
      <c r="AA55" s="163">
        <f t="shared" si="292"/>
        <v>4.3170285714285717</v>
      </c>
      <c r="AB55" s="163">
        <f t="shared" si="293"/>
        <v>2.698142857142857</v>
      </c>
      <c r="AC55" s="163">
        <f t="shared" si="294"/>
        <v>1.618885714285714</v>
      </c>
      <c r="AD55" s="163">
        <f t="shared" si="207"/>
        <v>1274.8725000000002</v>
      </c>
      <c r="AE55" s="163" t="s">
        <v>2095</v>
      </c>
      <c r="AF55" s="163">
        <f t="shared" si="295"/>
        <v>424.95749999999998</v>
      </c>
      <c r="AG55" s="163">
        <f t="shared" si="296"/>
        <v>339.96600000000001</v>
      </c>
      <c r="AH55" s="163">
        <f t="shared" si="297"/>
        <v>254.97450000000001</v>
      </c>
      <c r="AI55" s="163">
        <f t="shared" si="298"/>
        <v>169.983</v>
      </c>
      <c r="AJ55" s="163">
        <f t="shared" si="299"/>
        <v>84.991500000000002</v>
      </c>
      <c r="AK55" s="163">
        <f t="shared" si="300"/>
        <v>0</v>
      </c>
      <c r="AL55" s="163">
        <f t="shared" si="301"/>
        <v>0</v>
      </c>
    </row>
    <row r="56" spans="1:38" ht="21" x14ac:dyDescent="0.2">
      <c r="A56" s="318"/>
      <c r="B56" s="162" t="s">
        <v>323</v>
      </c>
      <c r="C56" s="163">
        <f>SUMIFS('SMP (Sensus)'!$E$6:$E$393,'SMP (Sensus)'!$C$6:$C$393,'Percepatan Pengendalian'!$B56)</f>
        <v>857.3900000000001</v>
      </c>
      <c r="D56" s="163">
        <f t="array" ref="D56">SUMIFS('SMP (Sensus)'!$G$6:$G$393,'SMP (Sensus)'!$C$6:$C$393,'Percepatan Pengendalian'!$B56)</f>
        <v>112379</v>
      </c>
      <c r="E56" s="265">
        <f>C56*3</f>
        <v>2572.17</v>
      </c>
      <c r="F56" s="163">
        <f t="shared" si="215"/>
        <v>64.304249999999996</v>
      </c>
      <c r="G56" s="163">
        <f t="shared" si="216"/>
        <v>9.1863214285714285</v>
      </c>
      <c r="H56" s="163">
        <f>D56*3</f>
        <v>337137</v>
      </c>
      <c r="I56" s="163">
        <f>D56</f>
        <v>112379</v>
      </c>
      <c r="J56" s="163">
        <f>I56*0.5</f>
        <v>56189.5</v>
      </c>
      <c r="K56" s="163">
        <f>0.5*D56</f>
        <v>56189.5</v>
      </c>
      <c r="L56" s="163">
        <v>0</v>
      </c>
      <c r="M56" s="163">
        <v>0</v>
      </c>
      <c r="N56" s="163">
        <v>0</v>
      </c>
      <c r="O56" s="163">
        <v>0</v>
      </c>
      <c r="P56" s="163">
        <f t="shared" si="200"/>
        <v>3.7459666666666664</v>
      </c>
      <c r="Q56" s="163">
        <f>I56/4000/5/3</f>
        <v>1.8729833333333332</v>
      </c>
      <c r="R56" s="163">
        <f t="shared" ref="R56:W56" si="302">J56/4000/5/3</f>
        <v>0.93649166666666661</v>
      </c>
      <c r="S56" s="163">
        <f t="shared" si="302"/>
        <v>0.93649166666666661</v>
      </c>
      <c r="T56" s="163">
        <f t="shared" si="302"/>
        <v>0</v>
      </c>
      <c r="U56" s="163">
        <f t="shared" si="302"/>
        <v>0</v>
      </c>
      <c r="V56" s="163">
        <f t="shared" si="302"/>
        <v>0</v>
      </c>
      <c r="W56" s="163">
        <f t="shared" si="302"/>
        <v>0</v>
      </c>
      <c r="X56" s="163">
        <f t="shared" si="289"/>
        <v>168.5685</v>
      </c>
      <c r="Y56" s="163">
        <f t="shared" si="290"/>
        <v>7.3490571428571432</v>
      </c>
      <c r="Z56" s="163">
        <f t="shared" si="291"/>
        <v>9.1863214285714285</v>
      </c>
      <c r="AA56" s="163">
        <f t="shared" ref="AA56" si="303">1/2*$H56/35000</f>
        <v>4.816242857142857</v>
      </c>
      <c r="AB56" s="163">
        <f t="shared" ref="AB56:AC56" si="304">0.5/2*$H56/35000</f>
        <v>2.4081214285714285</v>
      </c>
      <c r="AC56" s="163">
        <f t="shared" si="304"/>
        <v>2.4081214285714285</v>
      </c>
      <c r="AD56" s="163">
        <f t="shared" si="207"/>
        <v>1011.4109999999999</v>
      </c>
      <c r="AE56" s="163" t="s">
        <v>2095</v>
      </c>
      <c r="AF56" s="163">
        <f t="shared" si="295"/>
        <v>505.70549999999997</v>
      </c>
      <c r="AG56" s="163">
        <f t="shared" si="296"/>
        <v>252.85274999999999</v>
      </c>
      <c r="AH56" s="163">
        <f t="shared" si="297"/>
        <v>252.85274999999999</v>
      </c>
      <c r="AI56" s="163">
        <f t="shared" si="298"/>
        <v>0</v>
      </c>
      <c r="AJ56" s="163">
        <f t="shared" si="299"/>
        <v>0</v>
      </c>
      <c r="AK56" s="163">
        <f t="shared" si="300"/>
        <v>0</v>
      </c>
      <c r="AL56" s="163">
        <f t="shared" si="301"/>
        <v>0</v>
      </c>
    </row>
    <row r="57" spans="1:38" ht="21" x14ac:dyDescent="0.2">
      <c r="A57" s="318"/>
      <c r="B57" s="162" t="s">
        <v>345</v>
      </c>
      <c r="C57" s="163">
        <f>SUMIFS('SMP (Sensus)'!$E$6:$E$393,'SMP (Sensus)'!$C$6:$C$393,'Percepatan Pengendalian'!$B57)</f>
        <v>882.25000000000023</v>
      </c>
      <c r="D57" s="163">
        <f t="array" ref="D57">SUMIFS('SMP (Sensus)'!$G$6:$G$393,'SMP (Sensus)'!$C$6:$C$393,'Percepatan Pengendalian'!$B57)</f>
        <v>114736</v>
      </c>
      <c r="E57" s="263">
        <f t="shared" si="275"/>
        <v>4411.2500000000009</v>
      </c>
      <c r="F57" s="163">
        <f t="shared" si="215"/>
        <v>110.28125000000003</v>
      </c>
      <c r="G57" s="163">
        <f t="shared" si="216"/>
        <v>15.75446428571429</v>
      </c>
      <c r="H57" s="163">
        <f t="shared" ref="H57:H59" si="305">D57*3</f>
        <v>344208</v>
      </c>
      <c r="I57" s="163">
        <f t="shared" ref="I57:I59" si="306">D57</f>
        <v>114736</v>
      </c>
      <c r="J57" s="163">
        <f t="shared" ref="J57:J59" si="307">I57*0.8</f>
        <v>91788.800000000003</v>
      </c>
      <c r="K57" s="163">
        <f t="shared" ref="K57:K59" si="308">0.6*D57</f>
        <v>68841.599999999991</v>
      </c>
      <c r="L57" s="163">
        <f t="shared" ref="L57:L59" si="309">D57*0.4</f>
        <v>45894.400000000001</v>
      </c>
      <c r="M57" s="163">
        <f t="shared" ref="M57:M59" si="310">0.2*D57</f>
        <v>22947.200000000001</v>
      </c>
      <c r="N57" s="163">
        <v>0</v>
      </c>
      <c r="O57" s="163">
        <v>0</v>
      </c>
      <c r="P57" s="163">
        <f t="shared" si="200"/>
        <v>3.4420800000000007</v>
      </c>
      <c r="Q57" s="163">
        <f t="shared" si="282"/>
        <v>1.1473600000000002</v>
      </c>
      <c r="R57" s="163">
        <f t="shared" si="283"/>
        <v>0.91788800000000015</v>
      </c>
      <c r="S57" s="163">
        <f t="shared" si="284"/>
        <v>0.68841599999999992</v>
      </c>
      <c r="T57" s="163">
        <f t="shared" si="285"/>
        <v>0.45894400000000007</v>
      </c>
      <c r="U57" s="163">
        <f t="shared" si="286"/>
        <v>0.22947200000000004</v>
      </c>
      <c r="V57" s="163">
        <f t="shared" si="287"/>
        <v>0</v>
      </c>
      <c r="W57" s="163">
        <f t="shared" si="288"/>
        <v>0</v>
      </c>
      <c r="X57" s="163">
        <f t="shared" si="289"/>
        <v>172.10400000000001</v>
      </c>
      <c r="Y57" s="163">
        <f t="shared" si="290"/>
        <v>12.603571428571431</v>
      </c>
      <c r="Z57" s="163">
        <f t="shared" si="291"/>
        <v>15.75446428571429</v>
      </c>
      <c r="AA57" s="163">
        <f t="shared" si="292"/>
        <v>5.2450742857142858</v>
      </c>
      <c r="AB57" s="163">
        <f t="shared" si="293"/>
        <v>3.2781714285714285</v>
      </c>
      <c r="AC57" s="163">
        <f t="shared" si="294"/>
        <v>1.9669028571428568</v>
      </c>
      <c r="AD57" s="163">
        <f t="shared" si="207"/>
        <v>1548.9360000000001</v>
      </c>
      <c r="AE57" s="163" t="s">
        <v>2095</v>
      </c>
      <c r="AF57" s="163">
        <f t="shared" ref="AF57" si="311">I57*4.5/1000</f>
        <v>516.31200000000001</v>
      </c>
      <c r="AG57" s="163">
        <f t="shared" ref="AG57" si="312">J57*4.5/1000</f>
        <v>413.04960000000005</v>
      </c>
      <c r="AH57" s="163">
        <f t="shared" ref="AH57" si="313">K57*4.5/1000</f>
        <v>309.78719999999993</v>
      </c>
      <c r="AI57" s="163">
        <f t="shared" ref="AI57" si="314">L57*4.5/1000</f>
        <v>206.52480000000003</v>
      </c>
      <c r="AJ57" s="163">
        <f t="shared" ref="AJ57" si="315">M57*4.5/1000</f>
        <v>103.26240000000001</v>
      </c>
      <c r="AK57" s="163">
        <f t="shared" ref="AK57" si="316">N57*4.5/1000</f>
        <v>0</v>
      </c>
      <c r="AL57" s="163">
        <f t="shared" ref="AL57" si="317">O57*4.5/1000</f>
        <v>0</v>
      </c>
    </row>
    <row r="58" spans="1:38" ht="21" x14ac:dyDescent="0.2">
      <c r="A58" s="318"/>
      <c r="B58" s="162" t="s">
        <v>380</v>
      </c>
      <c r="C58" s="163">
        <f>SUMIFS('SMP (Sensus)'!$E$6:$E$393,'SMP (Sensus)'!$C$6:$C$393,'Percepatan Pengendalian'!$B58)</f>
        <v>800.53</v>
      </c>
      <c r="D58" s="163">
        <f t="array" ref="D58">SUMIFS('SMP (Sensus)'!$G$6:$G$393,'SMP (Sensus)'!$C$6:$C$393,'Percepatan Pengendalian'!$B58)</f>
        <v>105447</v>
      </c>
      <c r="E58" s="264">
        <f>C58*4</f>
        <v>3202.12</v>
      </c>
      <c r="F58" s="163">
        <f t="shared" si="215"/>
        <v>80.052999999999997</v>
      </c>
      <c r="G58" s="163">
        <f t="shared" si="216"/>
        <v>11.436142857142856</v>
      </c>
      <c r="H58" s="163">
        <f t="shared" si="305"/>
        <v>316341</v>
      </c>
      <c r="I58" s="163">
        <f>D58*0</f>
        <v>0</v>
      </c>
      <c r="J58" s="163">
        <f>D58*0.8</f>
        <v>84357.6</v>
      </c>
      <c r="K58" s="163">
        <f t="shared" si="308"/>
        <v>63268.2</v>
      </c>
      <c r="L58" s="163">
        <f t="shared" si="309"/>
        <v>42178.8</v>
      </c>
      <c r="M58" s="163">
        <f t="shared" si="310"/>
        <v>21089.4</v>
      </c>
      <c r="N58" s="163">
        <v>0</v>
      </c>
      <c r="O58" s="163">
        <v>0</v>
      </c>
      <c r="P58" s="163">
        <f t="shared" si="200"/>
        <v>2.6361750000000002</v>
      </c>
      <c r="Q58" s="163">
        <f>I58/4000/5/4</f>
        <v>0</v>
      </c>
      <c r="R58" s="163">
        <f t="shared" ref="R58:W58" si="318">J58/4000/5/4</f>
        <v>1.05447</v>
      </c>
      <c r="S58" s="163">
        <f t="shared" si="318"/>
        <v>0.79085249999999996</v>
      </c>
      <c r="T58" s="163">
        <f t="shared" si="318"/>
        <v>0.52723500000000001</v>
      </c>
      <c r="U58" s="163">
        <f t="shared" si="318"/>
        <v>0.2636175</v>
      </c>
      <c r="V58" s="163">
        <f t="shared" si="318"/>
        <v>0</v>
      </c>
      <c r="W58" s="163">
        <f t="shared" si="318"/>
        <v>0</v>
      </c>
      <c r="X58" s="163">
        <f t="shared" si="289"/>
        <v>158.1705</v>
      </c>
      <c r="Y58" s="163">
        <f t="shared" si="290"/>
        <v>9.1489142857142856</v>
      </c>
      <c r="Z58" s="163">
        <f t="shared" si="291"/>
        <v>11.436142857142856</v>
      </c>
      <c r="AA58" s="163">
        <f t="shared" si="292"/>
        <v>4.8204342857142857</v>
      </c>
      <c r="AB58" s="163">
        <f t="shared" si="293"/>
        <v>3.0127714285714284</v>
      </c>
      <c r="AC58" s="163">
        <f t="shared" si="294"/>
        <v>1.807662857142857</v>
      </c>
      <c r="AD58" s="163">
        <f t="shared" si="207"/>
        <v>679.07868000000008</v>
      </c>
      <c r="AE58" s="163" t="s">
        <v>2239</v>
      </c>
      <c r="AF58" s="163">
        <f t="shared" si="295"/>
        <v>0</v>
      </c>
      <c r="AG58" s="163">
        <f t="shared" ref="AG58" si="319">J58*3.22/1000</f>
        <v>271.63147200000003</v>
      </c>
      <c r="AH58" s="163">
        <f t="shared" ref="AH58" si="320">K58*3.22/1000</f>
        <v>203.72360399999999</v>
      </c>
      <c r="AI58" s="163">
        <f t="shared" ref="AI58" si="321">L58*3.22/1000</f>
        <v>135.81573600000002</v>
      </c>
      <c r="AJ58" s="163">
        <f t="shared" ref="AJ58" si="322">M58*3.22/1000</f>
        <v>67.907868000000008</v>
      </c>
      <c r="AK58" s="163">
        <f t="shared" ref="AK58" si="323">N58*3.22/1000</f>
        <v>0</v>
      </c>
      <c r="AL58" s="163">
        <f t="shared" ref="AL58" si="324">O58*3.22/1000</f>
        <v>0</v>
      </c>
    </row>
    <row r="59" spans="1:38" ht="21" x14ac:dyDescent="0.2">
      <c r="A59" s="318"/>
      <c r="B59" s="162" t="s">
        <v>416</v>
      </c>
      <c r="C59" s="163">
        <f>SUMIFS('SMP (Sensus)'!$E$6:$E$393,'SMP (Sensus)'!$C$6:$C$393,'Percepatan Pengendalian'!$B59)</f>
        <v>824.52</v>
      </c>
      <c r="D59" s="163">
        <f t="array" ref="D59">SUMIFS('SMP (Sensus)'!$G$6:$G$393,'SMP (Sensus)'!$C$6:$C$393,'Percepatan Pengendalian'!$B59)</f>
        <v>107928</v>
      </c>
      <c r="E59" s="263">
        <f t="shared" si="275"/>
        <v>4122.6000000000004</v>
      </c>
      <c r="F59" s="163">
        <f t="shared" si="215"/>
        <v>103.06500000000001</v>
      </c>
      <c r="G59" s="163">
        <f t="shared" si="216"/>
        <v>14.723571428571431</v>
      </c>
      <c r="H59" s="163">
        <f t="shared" si="305"/>
        <v>323784</v>
      </c>
      <c r="I59" s="163">
        <f t="shared" si="306"/>
        <v>107928</v>
      </c>
      <c r="J59" s="163">
        <f t="shared" si="307"/>
        <v>86342.400000000009</v>
      </c>
      <c r="K59" s="163">
        <f t="shared" si="308"/>
        <v>64756.799999999996</v>
      </c>
      <c r="L59" s="163">
        <f t="shared" si="309"/>
        <v>43171.200000000004</v>
      </c>
      <c r="M59" s="163">
        <f t="shared" si="310"/>
        <v>21585.600000000002</v>
      </c>
      <c r="N59" s="163">
        <v>0</v>
      </c>
      <c r="O59" s="163">
        <v>0</v>
      </c>
      <c r="P59" s="163">
        <f t="shared" si="200"/>
        <v>3.2378400000000003</v>
      </c>
      <c r="Q59" s="163">
        <f t="shared" si="282"/>
        <v>1.07928</v>
      </c>
      <c r="R59" s="163">
        <f t="shared" si="283"/>
        <v>0.86342400000000019</v>
      </c>
      <c r="S59" s="163">
        <f t="shared" si="284"/>
        <v>0.64756799999999992</v>
      </c>
      <c r="T59" s="163">
        <f t="shared" si="285"/>
        <v>0.4317120000000001</v>
      </c>
      <c r="U59" s="163">
        <f t="shared" si="286"/>
        <v>0.21585600000000005</v>
      </c>
      <c r="V59" s="163">
        <f t="shared" si="287"/>
        <v>0</v>
      </c>
      <c r="W59" s="163">
        <f t="shared" si="288"/>
        <v>0</v>
      </c>
      <c r="X59" s="163">
        <f t="shared" si="289"/>
        <v>161.892</v>
      </c>
      <c r="Y59" s="163">
        <f t="shared" si="290"/>
        <v>11.778857142857143</v>
      </c>
      <c r="Z59" s="163">
        <f t="shared" si="291"/>
        <v>14.723571428571431</v>
      </c>
      <c r="AA59" s="163">
        <f t="shared" si="292"/>
        <v>4.9338514285714279</v>
      </c>
      <c r="AB59" s="163">
        <f t="shared" si="293"/>
        <v>3.0836571428571427</v>
      </c>
      <c r="AC59" s="163">
        <f t="shared" si="294"/>
        <v>1.8501942857142857</v>
      </c>
      <c r="AD59" s="163">
        <f t="shared" si="207"/>
        <v>1457.028</v>
      </c>
      <c r="AE59" s="163" t="s">
        <v>2095</v>
      </c>
      <c r="AF59" s="163">
        <f t="shared" ref="AF59" si="325">I59*4.5/1000</f>
        <v>485.67599999999999</v>
      </c>
      <c r="AG59" s="163">
        <f t="shared" ref="AG59" si="326">J59*4.5/1000</f>
        <v>388.54080000000005</v>
      </c>
      <c r="AH59" s="163">
        <f t="shared" ref="AH59" si="327">K59*4.5/1000</f>
        <v>291.40559999999999</v>
      </c>
      <c r="AI59" s="163">
        <f t="shared" ref="AI59" si="328">L59*4.5/1000</f>
        <v>194.27040000000002</v>
      </c>
      <c r="AJ59" s="163">
        <f t="shared" ref="AJ59" si="329">M59*4.5/1000</f>
        <v>97.135200000000012</v>
      </c>
      <c r="AK59" s="163">
        <f t="shared" ref="AK59" si="330">N59*4.5/1000</f>
        <v>0</v>
      </c>
      <c r="AL59" s="163">
        <f t="shared" ref="AL59" si="331">O59*4.5/1000</f>
        <v>0</v>
      </c>
    </row>
    <row r="60" spans="1:38" ht="21" x14ac:dyDescent="0.2">
      <c r="A60" s="318"/>
      <c r="B60" s="258" t="s">
        <v>2150</v>
      </c>
      <c r="C60" s="259">
        <f t="shared" ref="C60:H60" si="332">SUM(C54:C59)</f>
        <v>4742.7700000000004</v>
      </c>
      <c r="D60" s="259">
        <f t="shared" si="332"/>
        <v>620628</v>
      </c>
      <c r="E60" s="259">
        <f t="shared" si="332"/>
        <v>21198.54</v>
      </c>
      <c r="F60" s="259">
        <f t="shared" si="332"/>
        <v>529.96350000000007</v>
      </c>
      <c r="G60" s="259">
        <f t="shared" si="332"/>
        <v>75.709071428571434</v>
      </c>
      <c r="H60" s="259">
        <f t="shared" si="332"/>
        <v>1861884</v>
      </c>
      <c r="I60" s="259">
        <f t="shared" ref="I60:W60" si="333">SUM(I54:I59)</f>
        <v>515181</v>
      </c>
      <c r="J60" s="259">
        <f t="shared" si="333"/>
        <v>462788.70000000007</v>
      </c>
      <c r="K60" s="259">
        <f t="shared" si="333"/>
        <v>361138.89999999997</v>
      </c>
      <c r="L60" s="259">
        <f t="shared" si="333"/>
        <v>203299.60000000003</v>
      </c>
      <c r="M60" s="259">
        <f t="shared" si="333"/>
        <v>101649.80000000002</v>
      </c>
      <c r="N60" s="259">
        <f t="shared" si="333"/>
        <v>0</v>
      </c>
      <c r="O60" s="259">
        <f t="shared" si="333"/>
        <v>0</v>
      </c>
      <c r="P60" s="259">
        <f t="shared" si="333"/>
        <v>18.46620166666667</v>
      </c>
      <c r="Q60" s="259">
        <f t="shared" si="333"/>
        <v>5.9010033333333327</v>
      </c>
      <c r="R60" s="259">
        <f t="shared" si="333"/>
        <v>5.2133776666666671</v>
      </c>
      <c r="S60" s="259">
        <f t="shared" si="333"/>
        <v>4.144156166666666</v>
      </c>
      <c r="T60" s="259">
        <f t="shared" si="333"/>
        <v>2.1384430000000001</v>
      </c>
      <c r="U60" s="259">
        <f t="shared" si="333"/>
        <v>1.0692215</v>
      </c>
      <c r="V60" s="259">
        <f t="shared" si="333"/>
        <v>0</v>
      </c>
      <c r="W60" s="259">
        <f t="shared" si="333"/>
        <v>0</v>
      </c>
      <c r="X60" s="259">
        <f>SUM(X54:X59)</f>
        <v>930.94200000000001</v>
      </c>
      <c r="Y60" s="259">
        <f t="shared" ref="Y60:Z60" si="334">SUM(Y54:Y59)</f>
        <v>60.567257142857137</v>
      </c>
      <c r="Z60" s="259">
        <f t="shared" si="334"/>
        <v>75.709071428571434</v>
      </c>
      <c r="AA60" s="259">
        <f t="shared" ref="AA60" si="335">SUM(AA54:AA59)</f>
        <v>28.050482857142853</v>
      </c>
      <c r="AB60" s="259">
        <f t="shared" ref="AB60" si="336">SUM(AB54:AB59)</f>
        <v>16.929521428571427</v>
      </c>
      <c r="AC60" s="259">
        <f t="shared" ref="AC60:AD60" si="337">SUM(AC54:AC59)</f>
        <v>11.120961428571428</v>
      </c>
      <c r="AD60" s="259">
        <f t="shared" si="337"/>
        <v>7128.3166800000017</v>
      </c>
      <c r="AE60" s="259" t="s">
        <v>2095</v>
      </c>
      <c r="AF60" s="259">
        <f t="shared" ref="AF60" si="338">SUM(AF54:AF59)</f>
        <v>2318.3145</v>
      </c>
      <c r="AG60" s="259">
        <f t="shared" ref="AG60" si="339">SUM(AG54:AG59)</f>
        <v>1974.5714220000002</v>
      </c>
      <c r="AH60" s="259">
        <f t="shared" ref="AH60" si="340">SUM(AH54:AH59)</f>
        <v>1544.141754</v>
      </c>
      <c r="AI60" s="259">
        <f t="shared" ref="AI60" si="341">SUM(AI54:AI59)</f>
        <v>860.8593360000001</v>
      </c>
      <c r="AJ60" s="259">
        <f t="shared" ref="AJ60" si="342">SUM(AJ54:AJ59)</f>
        <v>430.42966800000005</v>
      </c>
      <c r="AK60" s="259">
        <f t="shared" ref="AK60" si="343">SUM(AK54:AK59)</f>
        <v>0</v>
      </c>
      <c r="AL60" s="259">
        <f t="shared" ref="AL60" si="344">SUM(AL54:AL59)</f>
        <v>0</v>
      </c>
    </row>
    <row r="61" spans="1:38" ht="21" x14ac:dyDescent="0.2">
      <c r="A61" s="317" t="s">
        <v>2080</v>
      </c>
      <c r="B61" s="317"/>
      <c r="C61" s="226">
        <f t="shared" ref="C61:M61" si="345">SUM(C60,C53)</f>
        <v>9859.0300000000007</v>
      </c>
      <c r="D61" s="226">
        <f t="shared" si="345"/>
        <v>1259009</v>
      </c>
      <c r="E61" s="226">
        <f t="shared" si="345"/>
        <v>45919.05</v>
      </c>
      <c r="F61" s="226">
        <f t="shared" si="345"/>
        <v>1147.9762500000002</v>
      </c>
      <c r="G61" s="226">
        <f t="shared" si="345"/>
        <v>163.99660714285716</v>
      </c>
      <c r="H61" s="226">
        <f t="shared" si="345"/>
        <v>3667962</v>
      </c>
      <c r="I61" s="226">
        <f t="shared" si="345"/>
        <v>1044497</v>
      </c>
      <c r="J61" s="226">
        <f t="shared" si="345"/>
        <v>973493.50000000012</v>
      </c>
      <c r="K61" s="226">
        <f t="shared" si="345"/>
        <v>744167.5</v>
      </c>
      <c r="L61" s="226">
        <f t="shared" si="345"/>
        <v>458652.00000000006</v>
      </c>
      <c r="M61" s="226">
        <f t="shared" si="345"/>
        <v>229326.00000000003</v>
      </c>
      <c r="N61" s="226">
        <f t="shared" ref="N61:O61" si="346">SUM(N60,N53)</f>
        <v>0</v>
      </c>
      <c r="O61" s="226">
        <f t="shared" si="346"/>
        <v>0</v>
      </c>
      <c r="P61" s="226">
        <f t="shared" ref="P61:W61" si="347">SUM(P60,P53)</f>
        <v>37.07230666666667</v>
      </c>
      <c r="Q61" s="226">
        <f t="shared" si="347"/>
        <v>11.194163333333332</v>
      </c>
      <c r="R61" s="226">
        <f t="shared" si="347"/>
        <v>10.538555666666667</v>
      </c>
      <c r="S61" s="226">
        <f t="shared" si="347"/>
        <v>8.1380396666666659</v>
      </c>
      <c r="T61" s="226">
        <f t="shared" si="347"/>
        <v>4.8010320000000002</v>
      </c>
      <c r="U61" s="226">
        <f t="shared" si="347"/>
        <v>2.4005160000000001</v>
      </c>
      <c r="V61" s="226">
        <f t="shared" si="347"/>
        <v>0</v>
      </c>
      <c r="W61" s="226">
        <f t="shared" si="347"/>
        <v>0</v>
      </c>
      <c r="X61" s="226">
        <f t="shared" ref="X61:Z61" si="348">SUM(X60,X53)</f>
        <v>1833.9810000000002</v>
      </c>
      <c r="Y61" s="226">
        <f t="shared" si="348"/>
        <v>131.19728571428573</v>
      </c>
      <c r="Z61" s="226">
        <f t="shared" si="348"/>
        <v>163.99660714285716</v>
      </c>
      <c r="AA61" s="226">
        <f t="shared" ref="AA61:AC61" si="349">SUM(AA60,AA53)</f>
        <v>55.57167142857142</v>
      </c>
      <c r="AB61" s="226">
        <f t="shared" si="349"/>
        <v>34.130264285714283</v>
      </c>
      <c r="AC61" s="226">
        <f t="shared" si="349"/>
        <v>21.441407142857141</v>
      </c>
      <c r="AD61" s="226">
        <f t="shared" ref="AD61" si="350">SUM(AD60,AD53)</f>
        <v>14976.461280000003</v>
      </c>
      <c r="AE61" s="226" t="s">
        <v>2095</v>
      </c>
      <c r="AF61" s="226">
        <f t="shared" ref="AF61:AL61" si="351">SUM(AF60,AF53)</f>
        <v>4700.2365</v>
      </c>
      <c r="AG61" s="226">
        <f t="shared" si="351"/>
        <v>4161.0604620000004</v>
      </c>
      <c r="AH61" s="226">
        <f t="shared" si="351"/>
        <v>3184.0085340000005</v>
      </c>
      <c r="AI61" s="226">
        <f t="shared" si="351"/>
        <v>1954.1038560000002</v>
      </c>
      <c r="AJ61" s="226">
        <f t="shared" si="351"/>
        <v>977.05192800000009</v>
      </c>
      <c r="AK61" s="226">
        <f t="shared" si="351"/>
        <v>0</v>
      </c>
      <c r="AL61" s="226">
        <f t="shared" si="351"/>
        <v>0</v>
      </c>
    </row>
    <row r="62" spans="1:38" ht="16.75" customHeight="1" x14ac:dyDescent="0.25">
      <c r="A62" s="262"/>
      <c r="B62" s="262"/>
      <c r="C62" s="262"/>
      <c r="D62" s="262"/>
      <c r="E62" s="262"/>
      <c r="F62" s="262"/>
      <c r="G62" s="262"/>
      <c r="H62" s="262"/>
      <c r="I62" s="262"/>
      <c r="J62" s="262"/>
      <c r="K62" s="262"/>
      <c r="L62" s="262"/>
      <c r="M62" s="262"/>
      <c r="N62" s="262"/>
      <c r="O62" s="262"/>
      <c r="P62" s="262"/>
      <c r="Q62" s="262"/>
      <c r="R62" s="262"/>
      <c r="S62" s="262"/>
      <c r="T62" s="262"/>
      <c r="U62" s="262"/>
      <c r="V62" s="262"/>
      <c r="W62" s="262"/>
      <c r="X62" s="262"/>
      <c r="Y62" s="262"/>
      <c r="Z62" s="262"/>
      <c r="AA62" s="262"/>
      <c r="AB62" s="262"/>
      <c r="AC62" s="262"/>
      <c r="AD62" s="262"/>
      <c r="AE62" s="262"/>
      <c r="AF62" s="267"/>
      <c r="AG62" s="267"/>
      <c r="AH62" s="267"/>
      <c r="AI62" s="267"/>
      <c r="AJ62" s="267"/>
      <c r="AK62" s="267"/>
      <c r="AL62" s="267"/>
    </row>
    <row r="63" spans="1:38" ht="16.75" customHeight="1" x14ac:dyDescent="0.25">
      <c r="A63" s="319" t="s">
        <v>619</v>
      </c>
      <c r="B63" s="319" t="s">
        <v>934</v>
      </c>
      <c r="C63" s="320" t="s">
        <v>2226</v>
      </c>
      <c r="D63" s="320" t="s">
        <v>1262</v>
      </c>
      <c r="E63" s="320" t="s">
        <v>2266</v>
      </c>
      <c r="F63" s="320" t="s">
        <v>2253</v>
      </c>
      <c r="G63" s="320" t="s">
        <v>2254</v>
      </c>
      <c r="H63" s="321" t="s">
        <v>2243</v>
      </c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2" t="s">
        <v>2244</v>
      </c>
      <c r="AB63" s="322"/>
      <c r="AC63" s="322"/>
      <c r="AD63" s="322"/>
      <c r="AE63" s="322"/>
      <c r="AF63" s="322"/>
      <c r="AG63" s="322"/>
      <c r="AH63" s="322"/>
      <c r="AI63" s="322"/>
      <c r="AJ63" s="322"/>
      <c r="AK63" s="322"/>
      <c r="AL63" s="322"/>
    </row>
    <row r="64" spans="1:38" ht="154" x14ac:dyDescent="0.2">
      <c r="A64" s="319"/>
      <c r="B64" s="319"/>
      <c r="C64" s="320"/>
      <c r="D64" s="320"/>
      <c r="E64" s="320"/>
      <c r="F64" s="320"/>
      <c r="G64" s="320"/>
      <c r="H64" s="254" t="s">
        <v>2227</v>
      </c>
      <c r="I64" s="255" t="s">
        <v>2228</v>
      </c>
      <c r="J64" s="255" t="s">
        <v>2229</v>
      </c>
      <c r="K64" s="255" t="s">
        <v>2230</v>
      </c>
      <c r="L64" s="255" t="s">
        <v>2231</v>
      </c>
      <c r="M64" s="255" t="s">
        <v>2232</v>
      </c>
      <c r="N64" s="255" t="s">
        <v>2236</v>
      </c>
      <c r="O64" s="255" t="s">
        <v>2237</v>
      </c>
      <c r="P64" s="254" t="s">
        <v>2255</v>
      </c>
      <c r="Q64" s="255" t="s">
        <v>2256</v>
      </c>
      <c r="R64" s="255" t="s">
        <v>2257</v>
      </c>
      <c r="S64" s="255" t="s">
        <v>2258</v>
      </c>
      <c r="T64" s="255" t="s">
        <v>2259</v>
      </c>
      <c r="U64" s="255" t="s">
        <v>2260</v>
      </c>
      <c r="V64" s="255" t="s">
        <v>2261</v>
      </c>
      <c r="W64" s="255" t="s">
        <v>2262</v>
      </c>
      <c r="X64" s="254" t="s">
        <v>2242</v>
      </c>
      <c r="Y64" s="254" t="s">
        <v>2241</v>
      </c>
      <c r="Z64" s="254" t="s">
        <v>2240</v>
      </c>
      <c r="AA64" s="256" t="s">
        <v>2245</v>
      </c>
      <c r="AB64" s="255" t="s">
        <v>2246</v>
      </c>
      <c r="AC64" s="257" t="s">
        <v>2247</v>
      </c>
      <c r="AD64" s="254" t="s">
        <v>2117</v>
      </c>
      <c r="AE64" s="254" t="s">
        <v>2093</v>
      </c>
      <c r="AF64" s="255" t="s">
        <v>2267</v>
      </c>
      <c r="AG64" s="255" t="s">
        <v>2268</v>
      </c>
      <c r="AH64" s="255" t="s">
        <v>2269</v>
      </c>
      <c r="AI64" s="255" t="s">
        <v>2270</v>
      </c>
      <c r="AJ64" s="255" t="s">
        <v>2271</v>
      </c>
      <c r="AK64" s="255" t="s">
        <v>2272</v>
      </c>
      <c r="AL64" s="255" t="s">
        <v>2273</v>
      </c>
    </row>
    <row r="65" spans="1:38" ht="21" x14ac:dyDescent="0.2">
      <c r="A65" s="318" t="s">
        <v>1821</v>
      </c>
      <c r="B65" s="162" t="s">
        <v>14</v>
      </c>
      <c r="C65" s="163" t="e">
        <f>SUMIFS(#REF!,#REF!,'Percepatan Pengendalian'!$B65)</f>
        <v>#REF!</v>
      </c>
      <c r="D65" s="163" t="e">
        <f t="array" ref="D65">SUMIFS(#REF!,#REF!,'Percepatan Pengendalian'!$B65)</f>
        <v>#REF!</v>
      </c>
      <c r="E65" s="263" t="e">
        <f t="shared" ref="E65:E71" si="352">C65*5</f>
        <v>#REF!</v>
      </c>
      <c r="F65" s="163" t="e">
        <f>E65/40</f>
        <v>#REF!</v>
      </c>
      <c r="G65" s="163" t="e">
        <f>F65/7</f>
        <v>#REF!</v>
      </c>
      <c r="H65" s="163" t="e">
        <f>D65*3</f>
        <v>#REF!</v>
      </c>
      <c r="I65" s="163" t="e">
        <f>D65</f>
        <v>#REF!</v>
      </c>
      <c r="J65" s="163" t="e">
        <f>I65*0.8</f>
        <v>#REF!</v>
      </c>
      <c r="K65" s="163" t="e">
        <f>0.6*D65</f>
        <v>#REF!</v>
      </c>
      <c r="L65" s="163" t="e">
        <f>D65*0.4</f>
        <v>#REF!</v>
      </c>
      <c r="M65" s="163" t="e">
        <f>0.2*D65</f>
        <v>#REF!</v>
      </c>
      <c r="N65" s="163">
        <v>0</v>
      </c>
      <c r="O65" s="163">
        <v>0</v>
      </c>
      <c r="P65" s="163" t="e">
        <f t="shared" ref="P65:P73" si="353">SUM(Q65:W65)</f>
        <v>#REF!</v>
      </c>
      <c r="Q65" s="163" t="e">
        <f t="shared" ref="Q65:Q71" si="354">I65/4000/5/5</f>
        <v>#REF!</v>
      </c>
      <c r="R65" s="163" t="e">
        <f t="shared" ref="R65:R71" si="355">J65/4000/5/5</f>
        <v>#REF!</v>
      </c>
      <c r="S65" s="163" t="e">
        <f t="shared" ref="S65:S71" si="356">K65/4000/5/5</f>
        <v>#REF!</v>
      </c>
      <c r="T65" s="163" t="e">
        <f t="shared" ref="T65:T71" si="357">L65/4000/5/5</f>
        <v>#REF!</v>
      </c>
      <c r="U65" s="163" t="e">
        <f t="shared" ref="U65:U71" si="358">M65/4000/5/5</f>
        <v>#REF!</v>
      </c>
      <c r="V65" s="163">
        <f t="shared" ref="V65:V71" si="359">N65/4000/5/5</f>
        <v>0</v>
      </c>
      <c r="W65" s="163">
        <f t="shared" ref="W65:W71" si="360">O65/4000/5/5</f>
        <v>0</v>
      </c>
      <c r="X65" s="163" t="e">
        <f t="shared" ref="X65:X73" si="361">H65/2000</f>
        <v>#REF!</v>
      </c>
      <c r="Y65" s="163" t="e">
        <f t="shared" ref="Y65:Y73" si="362">G65*40*2/100</f>
        <v>#REF!</v>
      </c>
      <c r="Z65" s="163" t="e">
        <f t="shared" ref="Z65:Z73" si="363">G65</f>
        <v>#REF!</v>
      </c>
      <c r="AA65" s="163" t="e">
        <f t="shared" ref="AA65:AA67" si="364">1.6/3*$H65/35000</f>
        <v>#REF!</v>
      </c>
      <c r="AB65" s="163" t="e">
        <f t="shared" ref="AB65:AB67" si="365">1/3*$H65/35000</f>
        <v>#REF!</v>
      </c>
      <c r="AC65" s="163" t="e">
        <f t="shared" ref="AC65:AC67" si="366">0.6/3*$H65/35000</f>
        <v>#REF!</v>
      </c>
      <c r="AD65" s="163" t="e">
        <f t="shared" ref="AD65:AD73" si="367">SUM(AF65:AL65)</f>
        <v>#REF!</v>
      </c>
      <c r="AE65" s="163" t="s">
        <v>2094</v>
      </c>
      <c r="AF65" s="163" t="e">
        <f t="shared" ref="AF65:AF73" si="368">I65*3.22/1000</f>
        <v>#REF!</v>
      </c>
      <c r="AG65" s="163" t="e">
        <f t="shared" ref="AG65:AG73" si="369">J65*3.22/1000</f>
        <v>#REF!</v>
      </c>
      <c r="AH65" s="163" t="e">
        <f t="shared" ref="AH65:AH73" si="370">K65*3.22/1000</f>
        <v>#REF!</v>
      </c>
      <c r="AI65" s="163" t="e">
        <f t="shared" ref="AI65:AI73" si="371">L65*3.22/1000</f>
        <v>#REF!</v>
      </c>
      <c r="AJ65" s="163" t="e">
        <f t="shared" ref="AJ65:AJ73" si="372">M65*3.22/1000</f>
        <v>#REF!</v>
      </c>
      <c r="AK65" s="163">
        <f t="shared" ref="AK65:AK73" si="373">N65*3.22/1000</f>
        <v>0</v>
      </c>
      <c r="AL65" s="163">
        <f t="shared" ref="AL65:AL73" si="374">O65*3.22/1000</f>
        <v>0</v>
      </c>
    </row>
    <row r="66" spans="1:38" ht="21" x14ac:dyDescent="0.2">
      <c r="A66" s="318"/>
      <c r="B66" s="162" t="s">
        <v>47</v>
      </c>
      <c r="C66" s="163" t="e">
        <f>SUMIFS(#REF!,#REF!,'Percepatan Pengendalian'!$B66)</f>
        <v>#REF!</v>
      </c>
      <c r="D66" s="163" t="e">
        <f t="array" ref="D66">SUMIFS(#REF!,#REF!,'Percepatan Pengendalian'!$B66)</f>
        <v>#REF!</v>
      </c>
      <c r="E66" s="263" t="e">
        <f t="shared" si="352"/>
        <v>#REF!</v>
      </c>
      <c r="F66" s="163" t="e">
        <f t="shared" ref="F66:F71" si="375">E66/40</f>
        <v>#REF!</v>
      </c>
      <c r="G66" s="163" t="e">
        <f t="shared" ref="G66:G71" si="376">F66/7</f>
        <v>#REF!</v>
      </c>
      <c r="H66" s="163" t="e">
        <f>D66*3</f>
        <v>#REF!</v>
      </c>
      <c r="I66" s="163" t="e">
        <f t="shared" ref="I66:I67" si="377">D66</f>
        <v>#REF!</v>
      </c>
      <c r="J66" s="163" t="e">
        <f t="shared" ref="J66:J67" si="378">I66*0.8</f>
        <v>#REF!</v>
      </c>
      <c r="K66" s="163" t="e">
        <f t="shared" ref="K66:K67" si="379">0.6*D66</f>
        <v>#REF!</v>
      </c>
      <c r="L66" s="163" t="e">
        <f t="shared" ref="L66:L67" si="380">D66*0.4</f>
        <v>#REF!</v>
      </c>
      <c r="M66" s="163" t="e">
        <f t="shared" ref="M66:M67" si="381">0.2*D66</f>
        <v>#REF!</v>
      </c>
      <c r="N66" s="163">
        <v>0</v>
      </c>
      <c r="O66" s="163">
        <v>0</v>
      </c>
      <c r="P66" s="163" t="e">
        <f t="shared" si="353"/>
        <v>#REF!</v>
      </c>
      <c r="Q66" s="163" t="e">
        <f t="shared" si="354"/>
        <v>#REF!</v>
      </c>
      <c r="R66" s="163" t="e">
        <f t="shared" si="355"/>
        <v>#REF!</v>
      </c>
      <c r="S66" s="163" t="e">
        <f t="shared" si="356"/>
        <v>#REF!</v>
      </c>
      <c r="T66" s="163" t="e">
        <f t="shared" si="357"/>
        <v>#REF!</v>
      </c>
      <c r="U66" s="163" t="e">
        <f t="shared" si="358"/>
        <v>#REF!</v>
      </c>
      <c r="V66" s="163">
        <f t="shared" si="359"/>
        <v>0</v>
      </c>
      <c r="W66" s="163">
        <f t="shared" si="360"/>
        <v>0</v>
      </c>
      <c r="X66" s="163" t="e">
        <f t="shared" si="361"/>
        <v>#REF!</v>
      </c>
      <c r="Y66" s="163" t="e">
        <f t="shared" si="362"/>
        <v>#REF!</v>
      </c>
      <c r="Z66" s="163" t="e">
        <f t="shared" si="363"/>
        <v>#REF!</v>
      </c>
      <c r="AA66" s="163" t="e">
        <f t="shared" si="364"/>
        <v>#REF!</v>
      </c>
      <c r="AB66" s="163" t="e">
        <f t="shared" si="365"/>
        <v>#REF!</v>
      </c>
      <c r="AC66" s="163" t="e">
        <f t="shared" si="366"/>
        <v>#REF!</v>
      </c>
      <c r="AD66" s="163" t="e">
        <f t="shared" si="367"/>
        <v>#REF!</v>
      </c>
      <c r="AE66" s="163" t="s">
        <v>2094</v>
      </c>
      <c r="AF66" s="163" t="e">
        <f t="shared" si="368"/>
        <v>#REF!</v>
      </c>
      <c r="AG66" s="163" t="e">
        <f t="shared" si="369"/>
        <v>#REF!</v>
      </c>
      <c r="AH66" s="163" t="e">
        <f t="shared" si="370"/>
        <v>#REF!</v>
      </c>
      <c r="AI66" s="163" t="e">
        <f t="shared" si="371"/>
        <v>#REF!</v>
      </c>
      <c r="AJ66" s="163" t="e">
        <f t="shared" si="372"/>
        <v>#REF!</v>
      </c>
      <c r="AK66" s="163">
        <f t="shared" si="373"/>
        <v>0</v>
      </c>
      <c r="AL66" s="163">
        <f t="shared" si="374"/>
        <v>0</v>
      </c>
    </row>
    <row r="67" spans="1:38" ht="21" x14ac:dyDescent="0.2">
      <c r="A67" s="318"/>
      <c r="B67" s="162" t="s">
        <v>79</v>
      </c>
      <c r="C67" s="163" t="e">
        <f>SUMIFS(#REF!,#REF!,'Percepatan Pengendalian'!$B67)</f>
        <v>#REF!</v>
      </c>
      <c r="D67" s="163" t="e">
        <f t="array" ref="D67">SUMIFS(#REF!,#REF!,'Percepatan Pengendalian'!$B67)</f>
        <v>#REF!</v>
      </c>
      <c r="E67" s="263" t="e">
        <f t="shared" si="352"/>
        <v>#REF!</v>
      </c>
      <c r="F67" s="163" t="e">
        <f t="shared" si="375"/>
        <v>#REF!</v>
      </c>
      <c r="G67" s="163" t="e">
        <f t="shared" si="376"/>
        <v>#REF!</v>
      </c>
      <c r="H67" s="163" t="e">
        <f>D67*3</f>
        <v>#REF!</v>
      </c>
      <c r="I67" s="163" t="e">
        <f t="shared" si="377"/>
        <v>#REF!</v>
      </c>
      <c r="J67" s="163" t="e">
        <f t="shared" si="378"/>
        <v>#REF!</v>
      </c>
      <c r="K67" s="163" t="e">
        <f t="shared" si="379"/>
        <v>#REF!</v>
      </c>
      <c r="L67" s="163" t="e">
        <f t="shared" si="380"/>
        <v>#REF!</v>
      </c>
      <c r="M67" s="163" t="e">
        <f t="shared" si="381"/>
        <v>#REF!</v>
      </c>
      <c r="N67" s="163">
        <v>0</v>
      </c>
      <c r="O67" s="163">
        <v>0</v>
      </c>
      <c r="P67" s="163" t="e">
        <f t="shared" si="353"/>
        <v>#REF!</v>
      </c>
      <c r="Q67" s="163" t="e">
        <f t="shared" si="354"/>
        <v>#REF!</v>
      </c>
      <c r="R67" s="163" t="e">
        <f t="shared" si="355"/>
        <v>#REF!</v>
      </c>
      <c r="S67" s="163" t="e">
        <f t="shared" si="356"/>
        <v>#REF!</v>
      </c>
      <c r="T67" s="163" t="e">
        <f t="shared" si="357"/>
        <v>#REF!</v>
      </c>
      <c r="U67" s="163" t="e">
        <f t="shared" si="358"/>
        <v>#REF!</v>
      </c>
      <c r="V67" s="163">
        <f t="shared" si="359"/>
        <v>0</v>
      </c>
      <c r="W67" s="163">
        <f t="shared" si="360"/>
        <v>0</v>
      </c>
      <c r="X67" s="163" t="e">
        <f t="shared" si="361"/>
        <v>#REF!</v>
      </c>
      <c r="Y67" s="163" t="e">
        <f t="shared" si="362"/>
        <v>#REF!</v>
      </c>
      <c r="Z67" s="163" t="e">
        <f t="shared" si="363"/>
        <v>#REF!</v>
      </c>
      <c r="AA67" s="163" t="e">
        <f t="shared" si="364"/>
        <v>#REF!</v>
      </c>
      <c r="AB67" s="163" t="e">
        <f t="shared" si="365"/>
        <v>#REF!</v>
      </c>
      <c r="AC67" s="163" t="e">
        <f t="shared" si="366"/>
        <v>#REF!</v>
      </c>
      <c r="AD67" s="163" t="e">
        <f t="shared" si="367"/>
        <v>#REF!</v>
      </c>
      <c r="AE67" s="163" t="s">
        <v>2094</v>
      </c>
      <c r="AF67" s="163" t="e">
        <f t="shared" si="368"/>
        <v>#REF!</v>
      </c>
      <c r="AG67" s="163" t="e">
        <f t="shared" si="369"/>
        <v>#REF!</v>
      </c>
      <c r="AH67" s="163" t="e">
        <f t="shared" si="370"/>
        <v>#REF!</v>
      </c>
      <c r="AI67" s="163" t="e">
        <f t="shared" si="371"/>
        <v>#REF!</v>
      </c>
      <c r="AJ67" s="163" t="e">
        <f t="shared" si="372"/>
        <v>#REF!</v>
      </c>
      <c r="AK67" s="163">
        <f t="shared" si="373"/>
        <v>0</v>
      </c>
      <c r="AL67" s="163">
        <f t="shared" si="374"/>
        <v>0</v>
      </c>
    </row>
    <row r="68" spans="1:38" ht="21" x14ac:dyDescent="0.2">
      <c r="A68" s="318"/>
      <c r="B68" s="162" t="s">
        <v>107</v>
      </c>
      <c r="C68" s="163" t="e">
        <f>SUMIFS(#REF!,#REF!,'Percepatan Pengendalian'!$B68)</f>
        <v>#REF!</v>
      </c>
      <c r="D68" s="163" t="e">
        <f t="array" ref="D68">SUMIFS(#REF!,#REF!,'Percepatan Pengendalian'!$B68)</f>
        <v>#REF!</v>
      </c>
      <c r="E68" s="266" t="e">
        <f>C68*7</f>
        <v>#REF!</v>
      </c>
      <c r="F68" s="163" t="e">
        <f t="shared" si="375"/>
        <v>#REF!</v>
      </c>
      <c r="G68" s="163" t="e">
        <f t="shared" si="376"/>
        <v>#REF!</v>
      </c>
      <c r="H68" s="163" t="e">
        <f>D68*3.4</f>
        <v>#REF!</v>
      </c>
      <c r="I68" s="163" t="e">
        <f t="shared" ref="I68:I70" si="382">D68</f>
        <v>#REF!</v>
      </c>
      <c r="J68" s="163" t="e">
        <f t="shared" ref="J68" si="383">I68*0.8</f>
        <v>#REF!</v>
      </c>
      <c r="K68" s="163" t="e">
        <f t="shared" ref="K68" si="384">0.6*D68</f>
        <v>#REF!</v>
      </c>
      <c r="L68" s="163" t="e">
        <f t="shared" ref="L68" si="385">D68*0.4</f>
        <v>#REF!</v>
      </c>
      <c r="M68" s="163" t="e">
        <f t="shared" ref="M68" si="386">0.2*D68</f>
        <v>#REF!</v>
      </c>
      <c r="N68" s="163" t="e">
        <f>M68</f>
        <v>#REF!</v>
      </c>
      <c r="O68" s="163" t="e">
        <f>N68</f>
        <v>#REF!</v>
      </c>
      <c r="P68" s="163" t="e">
        <f t="shared" si="353"/>
        <v>#REF!</v>
      </c>
      <c r="Q68" s="163" t="e">
        <f>I68/4000/5/7</f>
        <v>#REF!</v>
      </c>
      <c r="R68" s="163" t="e">
        <f t="shared" ref="R68:W68" si="387">J68/4000/5/7</f>
        <v>#REF!</v>
      </c>
      <c r="S68" s="163" t="e">
        <f t="shared" si="387"/>
        <v>#REF!</v>
      </c>
      <c r="T68" s="163" t="e">
        <f t="shared" si="387"/>
        <v>#REF!</v>
      </c>
      <c r="U68" s="163" t="e">
        <f t="shared" si="387"/>
        <v>#REF!</v>
      </c>
      <c r="V68" s="163" t="e">
        <f t="shared" si="387"/>
        <v>#REF!</v>
      </c>
      <c r="W68" s="163" t="e">
        <f t="shared" si="387"/>
        <v>#REF!</v>
      </c>
      <c r="X68" s="163" t="e">
        <f t="shared" si="361"/>
        <v>#REF!</v>
      </c>
      <c r="Y68" s="163" t="e">
        <f t="shared" si="362"/>
        <v>#REF!</v>
      </c>
      <c r="Z68" s="163" t="e">
        <f t="shared" si="363"/>
        <v>#REF!</v>
      </c>
      <c r="AA68" s="163" t="e">
        <f t="shared" ref="AA68:AA73" si="388">1.6/3*$H68/35000</f>
        <v>#REF!</v>
      </c>
      <c r="AB68" s="163" t="e">
        <f t="shared" ref="AB68:AB73" si="389">1/3*$H68/35000</f>
        <v>#REF!</v>
      </c>
      <c r="AC68" s="163" t="e">
        <f t="shared" ref="AC68:AC73" si="390">0.8/3*$H68/35000</f>
        <v>#REF!</v>
      </c>
      <c r="AD68" s="163" t="e">
        <f t="shared" si="367"/>
        <v>#REF!</v>
      </c>
      <c r="AE68" s="163" t="s">
        <v>2094</v>
      </c>
      <c r="AF68" s="163" t="e">
        <f t="shared" si="368"/>
        <v>#REF!</v>
      </c>
      <c r="AG68" s="163" t="e">
        <f t="shared" si="369"/>
        <v>#REF!</v>
      </c>
      <c r="AH68" s="163" t="e">
        <f t="shared" si="370"/>
        <v>#REF!</v>
      </c>
      <c r="AI68" s="163" t="e">
        <f t="shared" si="371"/>
        <v>#REF!</v>
      </c>
      <c r="AJ68" s="163" t="e">
        <f t="shared" si="372"/>
        <v>#REF!</v>
      </c>
      <c r="AK68" s="163" t="e">
        <f t="shared" si="373"/>
        <v>#REF!</v>
      </c>
      <c r="AL68" s="163" t="e">
        <f t="shared" si="374"/>
        <v>#REF!</v>
      </c>
    </row>
    <row r="69" spans="1:38" ht="21" x14ac:dyDescent="0.2">
      <c r="A69" s="318"/>
      <c r="B69" s="162" t="s">
        <v>144</v>
      </c>
      <c r="C69" s="163" t="e">
        <f>SUMIFS(#REF!,#REF!,'Percepatan Pengendalian'!$B69)</f>
        <v>#REF!</v>
      </c>
      <c r="D69" s="163" t="e">
        <f t="array" ref="D69">SUMIFS(#REF!,#REF!,'Percepatan Pengendalian'!$B69)</f>
        <v>#REF!</v>
      </c>
      <c r="E69" s="263" t="e">
        <f t="shared" si="352"/>
        <v>#REF!</v>
      </c>
      <c r="F69" s="163" t="e">
        <f t="shared" si="375"/>
        <v>#REF!</v>
      </c>
      <c r="G69" s="163" t="e">
        <f t="shared" si="376"/>
        <v>#REF!</v>
      </c>
      <c r="H69" s="163" t="e">
        <f t="shared" ref="H69:H71" si="391">D69*3</f>
        <v>#REF!</v>
      </c>
      <c r="I69" s="163" t="e">
        <f>D69</f>
        <v>#REF!</v>
      </c>
      <c r="J69" s="163" t="e">
        <f>I69*0.8</f>
        <v>#REF!</v>
      </c>
      <c r="K69" s="163" t="e">
        <f>0.6*D69</f>
        <v>#REF!</v>
      </c>
      <c r="L69" s="163" t="e">
        <f>D69*0.4</f>
        <v>#REF!</v>
      </c>
      <c r="M69" s="163" t="e">
        <f>0.2*D69</f>
        <v>#REF!</v>
      </c>
      <c r="N69" s="163">
        <v>0</v>
      </c>
      <c r="O69" s="163">
        <v>0</v>
      </c>
      <c r="P69" s="163" t="e">
        <f t="shared" si="353"/>
        <v>#REF!</v>
      </c>
      <c r="Q69" s="163" t="e">
        <f t="shared" si="354"/>
        <v>#REF!</v>
      </c>
      <c r="R69" s="163" t="e">
        <f t="shared" si="355"/>
        <v>#REF!</v>
      </c>
      <c r="S69" s="163" t="e">
        <f t="shared" si="356"/>
        <v>#REF!</v>
      </c>
      <c r="T69" s="163" t="e">
        <f t="shared" si="357"/>
        <v>#REF!</v>
      </c>
      <c r="U69" s="163" t="e">
        <f t="shared" si="358"/>
        <v>#REF!</v>
      </c>
      <c r="V69" s="163">
        <f t="shared" si="359"/>
        <v>0</v>
      </c>
      <c r="W69" s="163">
        <f t="shared" si="360"/>
        <v>0</v>
      </c>
      <c r="X69" s="163" t="e">
        <f t="shared" si="361"/>
        <v>#REF!</v>
      </c>
      <c r="Y69" s="163" t="e">
        <f t="shared" si="362"/>
        <v>#REF!</v>
      </c>
      <c r="Z69" s="163" t="e">
        <f t="shared" si="363"/>
        <v>#REF!</v>
      </c>
      <c r="AA69" s="163" t="e">
        <f t="shared" si="388"/>
        <v>#REF!</v>
      </c>
      <c r="AB69" s="163" t="e">
        <f t="shared" si="389"/>
        <v>#REF!</v>
      </c>
      <c r="AC69" s="163" t="e">
        <f t="shared" ref="AC69" si="392">0.6/3*$H69/35000</f>
        <v>#REF!</v>
      </c>
      <c r="AD69" s="163" t="e">
        <f t="shared" si="367"/>
        <v>#REF!</v>
      </c>
      <c r="AE69" s="163" t="s">
        <v>2094</v>
      </c>
      <c r="AF69" s="163" t="e">
        <f t="shared" si="368"/>
        <v>#REF!</v>
      </c>
      <c r="AG69" s="163" t="e">
        <f t="shared" si="369"/>
        <v>#REF!</v>
      </c>
      <c r="AH69" s="163" t="e">
        <f t="shared" si="370"/>
        <v>#REF!</v>
      </c>
      <c r="AI69" s="163" t="e">
        <f t="shared" si="371"/>
        <v>#REF!</v>
      </c>
      <c r="AJ69" s="163" t="e">
        <f t="shared" si="372"/>
        <v>#REF!</v>
      </c>
      <c r="AK69" s="163">
        <f t="shared" si="373"/>
        <v>0</v>
      </c>
      <c r="AL69" s="163">
        <f t="shared" si="374"/>
        <v>0</v>
      </c>
    </row>
    <row r="70" spans="1:38" ht="21" x14ac:dyDescent="0.2">
      <c r="A70" s="318"/>
      <c r="B70" s="162" t="s">
        <v>173</v>
      </c>
      <c r="C70" s="163" t="e">
        <f>SUMIFS(#REF!,#REF!,'Percepatan Pengendalian'!$B70)</f>
        <v>#REF!</v>
      </c>
      <c r="D70" s="163" t="e">
        <f t="array" ref="D70">SUMIFS(#REF!,#REF!,'Percepatan Pengendalian'!$B70)</f>
        <v>#REF!</v>
      </c>
      <c r="E70" s="265" t="e">
        <f>C70*3</f>
        <v>#REF!</v>
      </c>
      <c r="F70" s="163" t="e">
        <f t="shared" si="375"/>
        <v>#REF!</v>
      </c>
      <c r="G70" s="163" t="e">
        <f t="shared" si="376"/>
        <v>#REF!</v>
      </c>
      <c r="H70" s="163" t="e">
        <f>D70*1.7</f>
        <v>#REF!</v>
      </c>
      <c r="I70" s="163" t="e">
        <f t="shared" si="382"/>
        <v>#REF!</v>
      </c>
      <c r="J70" s="163" t="e">
        <f>I70*0.5</f>
        <v>#REF!</v>
      </c>
      <c r="K70" s="163" t="e">
        <f>0.2*D70</f>
        <v>#REF!</v>
      </c>
      <c r="L70" s="163">
        <v>0</v>
      </c>
      <c r="M70" s="163">
        <v>0</v>
      </c>
      <c r="N70" s="163">
        <v>0</v>
      </c>
      <c r="O70" s="163">
        <v>0</v>
      </c>
      <c r="P70" s="163" t="e">
        <f t="shared" si="353"/>
        <v>#REF!</v>
      </c>
      <c r="Q70" s="163" t="e">
        <f>I70/4000/5/3</f>
        <v>#REF!</v>
      </c>
      <c r="R70" s="163" t="e">
        <f t="shared" ref="R70:W70" si="393">J70/4000/5/3</f>
        <v>#REF!</v>
      </c>
      <c r="S70" s="163" t="e">
        <f t="shared" si="393"/>
        <v>#REF!</v>
      </c>
      <c r="T70" s="163">
        <f t="shared" si="393"/>
        <v>0</v>
      </c>
      <c r="U70" s="163">
        <f t="shared" si="393"/>
        <v>0</v>
      </c>
      <c r="V70" s="163">
        <f t="shared" si="393"/>
        <v>0</v>
      </c>
      <c r="W70" s="163">
        <f t="shared" si="393"/>
        <v>0</v>
      </c>
      <c r="X70" s="163" t="e">
        <f t="shared" si="361"/>
        <v>#REF!</v>
      </c>
      <c r="Y70" s="163" t="e">
        <f t="shared" si="362"/>
        <v>#REF!</v>
      </c>
      <c r="Z70" s="163" t="e">
        <f t="shared" si="363"/>
        <v>#REF!</v>
      </c>
      <c r="AA70" s="163" t="e">
        <f t="shared" ref="AA70" si="394">1/2*$H70/35000</f>
        <v>#REF!</v>
      </c>
      <c r="AB70" s="163" t="e">
        <f t="shared" ref="AB70:AC70" si="395">0.5/2*$H70/35000</f>
        <v>#REF!</v>
      </c>
      <c r="AC70" s="163" t="e">
        <f t="shared" si="395"/>
        <v>#REF!</v>
      </c>
      <c r="AD70" s="163" t="e">
        <f t="shared" si="367"/>
        <v>#REF!</v>
      </c>
      <c r="AE70" s="163" t="s">
        <v>2094</v>
      </c>
      <c r="AF70" s="163" t="e">
        <f t="shared" si="368"/>
        <v>#REF!</v>
      </c>
      <c r="AG70" s="163" t="e">
        <f t="shared" si="369"/>
        <v>#REF!</v>
      </c>
      <c r="AH70" s="163" t="e">
        <f t="shared" si="370"/>
        <v>#REF!</v>
      </c>
      <c r="AI70" s="163">
        <f t="shared" si="371"/>
        <v>0</v>
      </c>
      <c r="AJ70" s="163">
        <f t="shared" si="372"/>
        <v>0</v>
      </c>
      <c r="AK70" s="163">
        <f t="shared" si="373"/>
        <v>0</v>
      </c>
      <c r="AL70" s="163">
        <f t="shared" si="374"/>
        <v>0</v>
      </c>
    </row>
    <row r="71" spans="1:38" ht="21" x14ac:dyDescent="0.2">
      <c r="A71" s="318"/>
      <c r="B71" s="162" t="s">
        <v>216</v>
      </c>
      <c r="C71" s="163" t="e">
        <f>SUMIFS(#REF!,#REF!,'Percepatan Pengendalian'!$B71)</f>
        <v>#REF!</v>
      </c>
      <c r="D71" s="163" t="e">
        <f t="array" ref="D71">SUMIFS(#REF!,#REF!,'Percepatan Pengendalian'!$B71)</f>
        <v>#REF!</v>
      </c>
      <c r="E71" s="263" t="e">
        <f t="shared" si="352"/>
        <v>#REF!</v>
      </c>
      <c r="F71" s="163" t="e">
        <f t="shared" si="375"/>
        <v>#REF!</v>
      </c>
      <c r="G71" s="163" t="e">
        <f t="shared" si="376"/>
        <v>#REF!</v>
      </c>
      <c r="H71" s="163" t="e">
        <f t="shared" si="391"/>
        <v>#REF!</v>
      </c>
      <c r="I71" s="163" t="e">
        <f>D71</f>
        <v>#REF!</v>
      </c>
      <c r="J71" s="163" t="e">
        <f>I71*0.8</f>
        <v>#REF!</v>
      </c>
      <c r="K71" s="163" t="e">
        <f>0.6*D71</f>
        <v>#REF!</v>
      </c>
      <c r="L71" s="163" t="e">
        <f>D71*0.4</f>
        <v>#REF!</v>
      </c>
      <c r="M71" s="163" t="e">
        <f>0.2*D71</f>
        <v>#REF!</v>
      </c>
      <c r="N71" s="163">
        <v>0</v>
      </c>
      <c r="O71" s="163">
        <v>0</v>
      </c>
      <c r="P71" s="163" t="e">
        <f t="shared" si="353"/>
        <v>#REF!</v>
      </c>
      <c r="Q71" s="163" t="e">
        <f t="shared" si="354"/>
        <v>#REF!</v>
      </c>
      <c r="R71" s="163" t="e">
        <f t="shared" si="355"/>
        <v>#REF!</v>
      </c>
      <c r="S71" s="163" t="e">
        <f t="shared" si="356"/>
        <v>#REF!</v>
      </c>
      <c r="T71" s="163" t="e">
        <f t="shared" si="357"/>
        <v>#REF!</v>
      </c>
      <c r="U71" s="163" t="e">
        <f t="shared" si="358"/>
        <v>#REF!</v>
      </c>
      <c r="V71" s="163">
        <f t="shared" si="359"/>
        <v>0</v>
      </c>
      <c r="W71" s="163">
        <f t="shared" si="360"/>
        <v>0</v>
      </c>
      <c r="X71" s="163" t="e">
        <f t="shared" si="361"/>
        <v>#REF!</v>
      </c>
      <c r="Y71" s="163" t="e">
        <f t="shared" si="362"/>
        <v>#REF!</v>
      </c>
      <c r="Z71" s="163" t="e">
        <f t="shared" si="363"/>
        <v>#REF!</v>
      </c>
      <c r="AA71" s="163" t="e">
        <f t="shared" ref="AA71" si="396">1.6/3*$H71/35000</f>
        <v>#REF!</v>
      </c>
      <c r="AB71" s="163" t="e">
        <f t="shared" ref="AB71" si="397">1/3*$H71/35000</f>
        <v>#REF!</v>
      </c>
      <c r="AC71" s="163" t="e">
        <f t="shared" ref="AC71" si="398">0.6/3*$H71/35000</f>
        <v>#REF!</v>
      </c>
      <c r="AD71" s="163" t="e">
        <f t="shared" si="367"/>
        <v>#REF!</v>
      </c>
      <c r="AE71" s="163" t="s">
        <v>2094</v>
      </c>
      <c r="AF71" s="163" t="e">
        <f t="shared" si="368"/>
        <v>#REF!</v>
      </c>
      <c r="AG71" s="163" t="e">
        <f t="shared" si="369"/>
        <v>#REF!</v>
      </c>
      <c r="AH71" s="163" t="e">
        <f t="shared" si="370"/>
        <v>#REF!</v>
      </c>
      <c r="AI71" s="163" t="e">
        <f t="shared" si="371"/>
        <v>#REF!</v>
      </c>
      <c r="AJ71" s="163" t="e">
        <f t="shared" si="372"/>
        <v>#REF!</v>
      </c>
      <c r="AK71" s="163">
        <f t="shared" si="373"/>
        <v>0</v>
      </c>
      <c r="AL71" s="163">
        <f t="shared" si="374"/>
        <v>0</v>
      </c>
    </row>
    <row r="72" spans="1:38" ht="21" x14ac:dyDescent="0.2">
      <c r="A72" s="318"/>
      <c r="B72" s="162" t="s">
        <v>252</v>
      </c>
      <c r="C72" s="163" t="e">
        <f>SUMIFS(#REF!,#REF!,'Percepatan Pengendalian'!$B72)</f>
        <v>#REF!</v>
      </c>
      <c r="D72" s="163" t="e">
        <f t="array" ref="D72">SUMIFS(#REF!,#REF!,'Percepatan Pengendalian'!$B72)</f>
        <v>#REF!</v>
      </c>
      <c r="E72" s="266" t="e">
        <f t="shared" ref="E72:E73" si="399">C72*7</f>
        <v>#REF!</v>
      </c>
      <c r="F72" s="163" t="e">
        <f t="shared" ref="F72:F73" si="400">E72/40</f>
        <v>#REF!</v>
      </c>
      <c r="G72" s="163" t="e">
        <f t="shared" ref="G72:G73" si="401">F72/7</f>
        <v>#REF!</v>
      </c>
      <c r="H72" s="163" t="e">
        <f t="shared" ref="H72:H73" si="402">D72*3.4</f>
        <v>#REF!</v>
      </c>
      <c r="I72" s="163" t="e">
        <f t="shared" ref="I72:I73" si="403">D72</f>
        <v>#REF!</v>
      </c>
      <c r="J72" s="163" t="e">
        <f t="shared" ref="J72:J73" si="404">I72*0.8</f>
        <v>#REF!</v>
      </c>
      <c r="K72" s="163" t="e">
        <f t="shared" ref="K72:K73" si="405">0.6*D72</f>
        <v>#REF!</v>
      </c>
      <c r="L72" s="163" t="e">
        <f t="shared" ref="L72:L73" si="406">D72*0.4</f>
        <v>#REF!</v>
      </c>
      <c r="M72" s="163" t="e">
        <f t="shared" ref="M72:M73" si="407">0.2*D72</f>
        <v>#REF!</v>
      </c>
      <c r="N72" s="163" t="e">
        <f t="shared" ref="N72:O72" si="408">M72</f>
        <v>#REF!</v>
      </c>
      <c r="O72" s="163" t="e">
        <f t="shared" si="408"/>
        <v>#REF!</v>
      </c>
      <c r="P72" s="163" t="e">
        <f t="shared" si="353"/>
        <v>#REF!</v>
      </c>
      <c r="Q72" s="163" t="e">
        <f t="shared" ref="Q72:Q73" si="409">I72/4000/5/7</f>
        <v>#REF!</v>
      </c>
      <c r="R72" s="163" t="e">
        <f t="shared" ref="R72:R73" si="410">J72/4000/5/7</f>
        <v>#REF!</v>
      </c>
      <c r="S72" s="163" t="e">
        <f t="shared" ref="S72:S73" si="411">K72/4000/5/7</f>
        <v>#REF!</v>
      </c>
      <c r="T72" s="163" t="e">
        <f t="shared" ref="T72:T73" si="412">L72/4000/5/7</f>
        <v>#REF!</v>
      </c>
      <c r="U72" s="163" t="e">
        <f t="shared" ref="U72:U73" si="413">M72/4000/5/7</f>
        <v>#REF!</v>
      </c>
      <c r="V72" s="163" t="e">
        <f t="shared" ref="V72:V73" si="414">N72/4000/5/7</f>
        <v>#REF!</v>
      </c>
      <c r="W72" s="163" t="e">
        <f t="shared" ref="W72:W73" si="415">O72/4000/5/7</f>
        <v>#REF!</v>
      </c>
      <c r="X72" s="163" t="e">
        <f t="shared" si="361"/>
        <v>#REF!</v>
      </c>
      <c r="Y72" s="163" t="e">
        <f t="shared" si="362"/>
        <v>#REF!</v>
      </c>
      <c r="Z72" s="163" t="e">
        <f t="shared" si="363"/>
        <v>#REF!</v>
      </c>
      <c r="AA72" s="163" t="e">
        <f t="shared" si="388"/>
        <v>#REF!</v>
      </c>
      <c r="AB72" s="163" t="e">
        <f t="shared" si="389"/>
        <v>#REF!</v>
      </c>
      <c r="AC72" s="163" t="e">
        <f t="shared" si="390"/>
        <v>#REF!</v>
      </c>
      <c r="AD72" s="163" t="e">
        <f t="shared" si="367"/>
        <v>#REF!</v>
      </c>
      <c r="AE72" s="163" t="s">
        <v>2094</v>
      </c>
      <c r="AF72" s="163" t="e">
        <f t="shared" si="368"/>
        <v>#REF!</v>
      </c>
      <c r="AG72" s="163" t="e">
        <f t="shared" si="369"/>
        <v>#REF!</v>
      </c>
      <c r="AH72" s="163" t="e">
        <f t="shared" si="370"/>
        <v>#REF!</v>
      </c>
      <c r="AI72" s="163" t="e">
        <f t="shared" si="371"/>
        <v>#REF!</v>
      </c>
      <c r="AJ72" s="163" t="e">
        <f t="shared" si="372"/>
        <v>#REF!</v>
      </c>
      <c r="AK72" s="163" t="e">
        <f t="shared" si="373"/>
        <v>#REF!</v>
      </c>
      <c r="AL72" s="163" t="e">
        <f t="shared" si="374"/>
        <v>#REF!</v>
      </c>
    </row>
    <row r="73" spans="1:38" ht="21" x14ac:dyDescent="0.2">
      <c r="A73" s="318"/>
      <c r="B73" s="162" t="s">
        <v>290</v>
      </c>
      <c r="C73" s="163" t="e">
        <f>SUMIFS(#REF!,#REF!,'Percepatan Pengendalian'!$B73)</f>
        <v>#REF!</v>
      </c>
      <c r="D73" s="163" t="e">
        <f t="array" ref="D73">SUMIFS(#REF!,#REF!,'Percepatan Pengendalian'!$B73)</f>
        <v>#REF!</v>
      </c>
      <c r="E73" s="266" t="e">
        <f t="shared" si="399"/>
        <v>#REF!</v>
      </c>
      <c r="F73" s="163" t="e">
        <f t="shared" si="400"/>
        <v>#REF!</v>
      </c>
      <c r="G73" s="163" t="e">
        <f t="shared" si="401"/>
        <v>#REF!</v>
      </c>
      <c r="H73" s="163" t="e">
        <f t="shared" si="402"/>
        <v>#REF!</v>
      </c>
      <c r="I73" s="163" t="e">
        <f t="shared" si="403"/>
        <v>#REF!</v>
      </c>
      <c r="J73" s="163" t="e">
        <f t="shared" si="404"/>
        <v>#REF!</v>
      </c>
      <c r="K73" s="163" t="e">
        <f t="shared" si="405"/>
        <v>#REF!</v>
      </c>
      <c r="L73" s="163" t="e">
        <f t="shared" si="406"/>
        <v>#REF!</v>
      </c>
      <c r="M73" s="163" t="e">
        <f t="shared" si="407"/>
        <v>#REF!</v>
      </c>
      <c r="N73" s="163" t="e">
        <f t="shared" ref="N73:O73" si="416">M73</f>
        <v>#REF!</v>
      </c>
      <c r="O73" s="163" t="e">
        <f t="shared" si="416"/>
        <v>#REF!</v>
      </c>
      <c r="P73" s="163" t="e">
        <f t="shared" si="353"/>
        <v>#REF!</v>
      </c>
      <c r="Q73" s="163" t="e">
        <f t="shared" si="409"/>
        <v>#REF!</v>
      </c>
      <c r="R73" s="163" t="e">
        <f t="shared" si="410"/>
        <v>#REF!</v>
      </c>
      <c r="S73" s="163" t="e">
        <f t="shared" si="411"/>
        <v>#REF!</v>
      </c>
      <c r="T73" s="163" t="e">
        <f t="shared" si="412"/>
        <v>#REF!</v>
      </c>
      <c r="U73" s="163" t="e">
        <f t="shared" si="413"/>
        <v>#REF!</v>
      </c>
      <c r="V73" s="163" t="e">
        <f t="shared" si="414"/>
        <v>#REF!</v>
      </c>
      <c r="W73" s="163" t="e">
        <f t="shared" si="415"/>
        <v>#REF!</v>
      </c>
      <c r="X73" s="163" t="e">
        <f t="shared" si="361"/>
        <v>#REF!</v>
      </c>
      <c r="Y73" s="163" t="e">
        <f t="shared" si="362"/>
        <v>#REF!</v>
      </c>
      <c r="Z73" s="163" t="e">
        <f t="shared" si="363"/>
        <v>#REF!</v>
      </c>
      <c r="AA73" s="163" t="e">
        <f t="shared" si="388"/>
        <v>#REF!</v>
      </c>
      <c r="AB73" s="163" t="e">
        <f t="shared" si="389"/>
        <v>#REF!</v>
      </c>
      <c r="AC73" s="163" t="e">
        <f t="shared" si="390"/>
        <v>#REF!</v>
      </c>
      <c r="AD73" s="163" t="e">
        <f t="shared" si="367"/>
        <v>#REF!</v>
      </c>
      <c r="AE73" s="163" t="s">
        <v>2094</v>
      </c>
      <c r="AF73" s="163" t="e">
        <f t="shared" si="368"/>
        <v>#REF!</v>
      </c>
      <c r="AG73" s="163" t="e">
        <f t="shared" si="369"/>
        <v>#REF!</v>
      </c>
      <c r="AH73" s="163" t="e">
        <f t="shared" si="370"/>
        <v>#REF!</v>
      </c>
      <c r="AI73" s="163" t="e">
        <f t="shared" si="371"/>
        <v>#REF!</v>
      </c>
      <c r="AJ73" s="163" t="e">
        <f t="shared" si="372"/>
        <v>#REF!</v>
      </c>
      <c r="AK73" s="163" t="e">
        <f t="shared" si="373"/>
        <v>#REF!</v>
      </c>
      <c r="AL73" s="163" t="e">
        <f t="shared" si="374"/>
        <v>#REF!</v>
      </c>
    </row>
    <row r="74" spans="1:38" ht="21" x14ac:dyDescent="0.2">
      <c r="A74" s="317" t="s">
        <v>2080</v>
      </c>
      <c r="B74" s="317"/>
      <c r="C74" s="226" t="e">
        <f>SUM(C65:C73)</f>
        <v>#REF!</v>
      </c>
      <c r="D74" s="226" t="e">
        <f>SUM(D65:D73)</f>
        <v>#REF!</v>
      </c>
      <c r="E74" s="226" t="e">
        <f t="shared" ref="E74:U74" si="417">SUM(E65:E73)</f>
        <v>#REF!</v>
      </c>
      <c r="F74" s="226" t="e">
        <f t="shared" si="417"/>
        <v>#REF!</v>
      </c>
      <c r="G74" s="226" t="e">
        <f t="shared" si="417"/>
        <v>#REF!</v>
      </c>
      <c r="H74" s="226" t="e">
        <f t="shared" si="417"/>
        <v>#REF!</v>
      </c>
      <c r="I74" s="226" t="e">
        <f t="shared" si="417"/>
        <v>#REF!</v>
      </c>
      <c r="J74" s="226" t="e">
        <f t="shared" si="417"/>
        <v>#REF!</v>
      </c>
      <c r="K74" s="226" t="e">
        <f t="shared" si="417"/>
        <v>#REF!</v>
      </c>
      <c r="L74" s="226" t="e">
        <f t="shared" si="417"/>
        <v>#REF!</v>
      </c>
      <c r="M74" s="226" t="e">
        <f t="shared" si="417"/>
        <v>#REF!</v>
      </c>
      <c r="N74" s="226" t="e">
        <f t="shared" ref="N74" si="418">SUM(N65:N73)</f>
        <v>#REF!</v>
      </c>
      <c r="O74" s="226" t="e">
        <f t="shared" ref="O74" si="419">SUM(O65:O73)</f>
        <v>#REF!</v>
      </c>
      <c r="P74" s="226" t="e">
        <f t="shared" si="417"/>
        <v>#REF!</v>
      </c>
      <c r="Q74" s="226" t="e">
        <f t="shared" si="417"/>
        <v>#REF!</v>
      </c>
      <c r="R74" s="226" t="e">
        <f t="shared" si="417"/>
        <v>#REF!</v>
      </c>
      <c r="S74" s="226" t="e">
        <f t="shared" si="417"/>
        <v>#REF!</v>
      </c>
      <c r="T74" s="226" t="e">
        <f t="shared" si="417"/>
        <v>#REF!</v>
      </c>
      <c r="U74" s="226" t="e">
        <f t="shared" si="417"/>
        <v>#REF!</v>
      </c>
      <c r="V74" s="226" t="e">
        <f t="shared" ref="V74" si="420">SUM(V65:V73)</f>
        <v>#REF!</v>
      </c>
      <c r="W74" s="226" t="e">
        <f t="shared" ref="W74:AC74" si="421">SUM(W65:W73)</f>
        <v>#REF!</v>
      </c>
      <c r="X74" s="226" t="e">
        <f t="shared" si="421"/>
        <v>#REF!</v>
      </c>
      <c r="Y74" s="226" t="e">
        <f t="shared" si="421"/>
        <v>#REF!</v>
      </c>
      <c r="Z74" s="226" t="e">
        <f t="shared" si="421"/>
        <v>#REF!</v>
      </c>
      <c r="AA74" s="226" t="e">
        <f t="shared" si="421"/>
        <v>#REF!</v>
      </c>
      <c r="AB74" s="226" t="e">
        <f t="shared" si="421"/>
        <v>#REF!</v>
      </c>
      <c r="AC74" s="226" t="e">
        <f t="shared" si="421"/>
        <v>#REF!</v>
      </c>
      <c r="AD74" s="226" t="e">
        <f t="shared" ref="AD74" si="422">SUM(AD65:AD73)</f>
        <v>#REF!</v>
      </c>
      <c r="AE74" s="226" t="s">
        <v>2094</v>
      </c>
      <c r="AF74" s="226" t="e">
        <f t="shared" ref="AF74" si="423">SUM(AF65:AF73)</f>
        <v>#REF!</v>
      </c>
      <c r="AG74" s="226" t="e">
        <f t="shared" ref="AG74" si="424">SUM(AG65:AG73)</f>
        <v>#REF!</v>
      </c>
      <c r="AH74" s="226" t="e">
        <f t="shared" ref="AH74" si="425">SUM(AH65:AH73)</f>
        <v>#REF!</v>
      </c>
      <c r="AI74" s="226" t="e">
        <f t="shared" ref="AI74" si="426">SUM(AI65:AI73)</f>
        <v>#REF!</v>
      </c>
      <c r="AJ74" s="226" t="e">
        <f t="shared" ref="AJ74" si="427">SUM(AJ65:AJ73)</f>
        <v>#REF!</v>
      </c>
      <c r="AK74" s="226" t="e">
        <f t="shared" ref="AK74" si="428">SUM(AK65:AK73)</f>
        <v>#REF!</v>
      </c>
      <c r="AL74" s="226" t="e">
        <f t="shared" ref="AL74" si="429">SUM(AL65:AL73)</f>
        <v>#REF!</v>
      </c>
    </row>
    <row r="75" spans="1:38" ht="16.75" customHeight="1" x14ac:dyDescent="0.2">
      <c r="A75" s="262"/>
      <c r="B75" s="262"/>
      <c r="C75" s="262"/>
      <c r="D75" s="262"/>
      <c r="E75" s="263" t="s">
        <v>2234</v>
      </c>
      <c r="F75" s="262"/>
      <c r="G75" s="262"/>
      <c r="H75" s="262"/>
      <c r="I75" s="262"/>
      <c r="J75" s="262"/>
      <c r="K75" s="262"/>
      <c r="L75" s="262"/>
      <c r="M75" s="262"/>
      <c r="N75" s="262"/>
      <c r="O75" s="262"/>
      <c r="P75" s="262"/>
      <c r="Q75" s="262"/>
      <c r="R75" s="262"/>
      <c r="S75" s="262"/>
      <c r="T75" s="262"/>
      <c r="U75" s="262"/>
      <c r="V75" s="262"/>
      <c r="W75" s="262"/>
      <c r="X75" s="262"/>
      <c r="Y75" s="262"/>
      <c r="Z75" s="262"/>
      <c r="AA75" s="262"/>
      <c r="AB75" s="262"/>
      <c r="AC75" s="262"/>
      <c r="AD75" s="262"/>
      <c r="AE75" s="262"/>
    </row>
    <row r="76" spans="1:38" ht="16.75" customHeight="1" x14ac:dyDescent="0.2">
      <c r="A76" s="262"/>
      <c r="B76" s="262"/>
      <c r="C76" s="262"/>
      <c r="D76" s="262"/>
      <c r="E76" s="266" t="s">
        <v>2233</v>
      </c>
      <c r="F76" s="262"/>
      <c r="G76" s="262"/>
      <c r="H76" s="262"/>
      <c r="I76" s="262"/>
      <c r="J76" s="262"/>
      <c r="K76" s="262"/>
      <c r="L76" s="262"/>
      <c r="M76" s="262"/>
      <c r="N76" s="262"/>
      <c r="O76" s="262"/>
      <c r="P76" s="262"/>
      <c r="Q76" s="262"/>
      <c r="R76" s="262"/>
      <c r="S76" s="262"/>
      <c r="T76" s="262"/>
      <c r="U76" s="262"/>
      <c r="V76" s="262"/>
      <c r="W76" s="262"/>
      <c r="X76" s="262"/>
      <c r="Y76" s="262"/>
      <c r="Z76" s="262"/>
      <c r="AA76" s="262"/>
      <c r="AB76" s="262"/>
      <c r="AC76" s="262"/>
      <c r="AD76" s="262"/>
      <c r="AE76" s="262"/>
    </row>
    <row r="77" spans="1:38" ht="16.75" customHeight="1" x14ac:dyDescent="0.2">
      <c r="A77" s="262"/>
      <c r="B77" s="262"/>
      <c r="C77" s="262"/>
      <c r="D77" s="262"/>
      <c r="E77" s="265" t="s">
        <v>2235</v>
      </c>
      <c r="F77" s="262"/>
      <c r="G77" s="262"/>
      <c r="H77" s="262"/>
      <c r="I77" s="262"/>
      <c r="J77" s="262"/>
      <c r="K77" s="262"/>
      <c r="L77" s="262"/>
      <c r="M77" s="262"/>
      <c r="N77" s="262"/>
      <c r="O77" s="262"/>
      <c r="P77" s="262"/>
      <c r="Q77" s="262"/>
      <c r="R77" s="262"/>
      <c r="S77" s="262"/>
      <c r="T77" s="262"/>
      <c r="U77" s="262"/>
      <c r="V77" s="262"/>
      <c r="W77" s="262"/>
      <c r="X77" s="262"/>
      <c r="Y77" s="262"/>
      <c r="Z77" s="262"/>
      <c r="AA77" s="262"/>
      <c r="AB77" s="262"/>
      <c r="AC77" s="262"/>
      <c r="AD77" s="262"/>
      <c r="AE77" s="262"/>
    </row>
    <row r="78" spans="1:38" ht="21" x14ac:dyDescent="0.25">
      <c r="A78" s="267"/>
      <c r="B78" s="267"/>
      <c r="C78" s="267"/>
      <c r="D78" s="267"/>
      <c r="E78" s="268" t="s">
        <v>2251</v>
      </c>
      <c r="F78" s="267"/>
      <c r="G78" s="267"/>
      <c r="H78" s="267"/>
      <c r="I78" s="267"/>
      <c r="J78" s="267"/>
      <c r="K78" s="267"/>
      <c r="L78" s="267"/>
      <c r="M78" s="267"/>
      <c r="N78" s="267"/>
      <c r="O78" s="267"/>
      <c r="P78" s="267"/>
      <c r="Q78" s="267"/>
      <c r="R78" s="267"/>
      <c r="S78" s="267"/>
      <c r="T78" s="267"/>
      <c r="U78" s="267"/>
      <c r="V78" s="267"/>
      <c r="W78" s="267"/>
      <c r="X78" s="267"/>
      <c r="Y78" s="267"/>
      <c r="Z78" s="267"/>
      <c r="AA78" s="267"/>
      <c r="AB78" s="267"/>
      <c r="AC78" s="267"/>
      <c r="AD78" s="267"/>
      <c r="AE78" s="267"/>
    </row>
  </sheetData>
  <mergeCells count="44">
    <mergeCell ref="D63:D64"/>
    <mergeCell ref="C63:C64"/>
    <mergeCell ref="B63:B64"/>
    <mergeCell ref="A63:A64"/>
    <mergeCell ref="H63:Z63"/>
    <mergeCell ref="H44:Z44"/>
    <mergeCell ref="G63:G64"/>
    <mergeCell ref="F63:F64"/>
    <mergeCell ref="E63:E64"/>
    <mergeCell ref="AA44:AL44"/>
    <mergeCell ref="AA63:AL63"/>
    <mergeCell ref="G44:G45"/>
    <mergeCell ref="F44:F45"/>
    <mergeCell ref="E44:E45"/>
    <mergeCell ref="H20:Z20"/>
    <mergeCell ref="AA20:AL20"/>
    <mergeCell ref="G1:G2"/>
    <mergeCell ref="H1:Z1"/>
    <mergeCell ref="F20:F21"/>
    <mergeCell ref="G20:G21"/>
    <mergeCell ref="AA1:AL1"/>
    <mergeCell ref="C20:C21"/>
    <mergeCell ref="D20:D21"/>
    <mergeCell ref="E20:E21"/>
    <mergeCell ref="D44:D45"/>
    <mergeCell ref="C44:C45"/>
    <mergeCell ref="A1:A2"/>
    <mergeCell ref="F1:F2"/>
    <mergeCell ref="E1:E2"/>
    <mergeCell ref="D1:D2"/>
    <mergeCell ref="C1:C2"/>
    <mergeCell ref="B1:B2"/>
    <mergeCell ref="A61:B61"/>
    <mergeCell ref="A65:A73"/>
    <mergeCell ref="A74:B74"/>
    <mergeCell ref="A18:B18"/>
    <mergeCell ref="A3:A17"/>
    <mergeCell ref="A22:A41"/>
    <mergeCell ref="A42:B42"/>
    <mergeCell ref="A46:A60"/>
    <mergeCell ref="B44:B45"/>
    <mergeCell ref="A44:A45"/>
    <mergeCell ref="A20:A21"/>
    <mergeCell ref="B20:B2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9DE6-B37C-429F-A08E-5844125C5C4B}">
  <dimension ref="A1:W12"/>
  <sheetViews>
    <sheetView topLeftCell="F1" zoomScale="70" zoomScaleNormal="70" workbookViewId="0">
      <selection activeCell="I17" sqref="I17"/>
    </sheetView>
  </sheetViews>
  <sheetFormatPr baseColWidth="10" defaultColWidth="8.83203125" defaultRowHeight="15" x14ac:dyDescent="0.2"/>
  <cols>
    <col min="1" max="1" width="8.83203125" customWidth="1"/>
    <col min="2" max="2" width="11.6640625" customWidth="1"/>
    <col min="3" max="4" width="13.1640625" customWidth="1"/>
    <col min="5" max="5" width="18.5" customWidth="1"/>
    <col min="6" max="6" width="17.5" customWidth="1"/>
    <col min="7" max="7" width="12" customWidth="1"/>
    <col min="8" max="8" width="19.5" customWidth="1"/>
    <col min="9" max="9" width="21.83203125" customWidth="1"/>
    <col min="10" max="10" width="40.5" customWidth="1"/>
    <col min="11" max="11" width="16.5" customWidth="1"/>
    <col min="12" max="12" width="13.33203125" customWidth="1"/>
    <col min="13" max="13" width="13.83203125" customWidth="1"/>
    <col min="14" max="14" width="15.33203125" customWidth="1"/>
    <col min="15" max="15" width="13" customWidth="1"/>
    <col min="16" max="16" width="29.1640625" customWidth="1"/>
    <col min="17" max="17" width="12.5" customWidth="1"/>
    <col min="18" max="18" width="18.83203125" customWidth="1"/>
    <col min="19" max="19" width="19.6640625" customWidth="1"/>
    <col min="20" max="20" width="33.5" customWidth="1"/>
    <col min="22" max="23" width="16.5" customWidth="1"/>
  </cols>
  <sheetData>
    <row r="1" spans="1:23" ht="110" x14ac:dyDescent="0.2">
      <c r="A1" s="220" t="s">
        <v>619</v>
      </c>
      <c r="B1" s="220" t="s">
        <v>2084</v>
      </c>
      <c r="C1" s="221" t="s">
        <v>2124</v>
      </c>
      <c r="D1" s="221" t="s">
        <v>2125</v>
      </c>
      <c r="E1" s="221" t="s">
        <v>2123</v>
      </c>
      <c r="F1" s="221" t="s">
        <v>2126</v>
      </c>
      <c r="G1" s="222" t="s">
        <v>2122</v>
      </c>
      <c r="H1" s="222" t="s">
        <v>2127</v>
      </c>
      <c r="I1" s="222" t="s">
        <v>2128</v>
      </c>
      <c r="J1" s="220" t="s">
        <v>11</v>
      </c>
      <c r="K1" s="221" t="s">
        <v>2113</v>
      </c>
      <c r="L1" s="221" t="s">
        <v>2112</v>
      </c>
      <c r="M1" s="221" t="s">
        <v>2114</v>
      </c>
      <c r="N1" s="223" t="s">
        <v>2111</v>
      </c>
      <c r="O1" s="223" t="s">
        <v>2115</v>
      </c>
      <c r="P1" s="223" t="s">
        <v>2132</v>
      </c>
      <c r="Q1" s="223" t="s">
        <v>2093</v>
      </c>
      <c r="R1" s="223" t="s">
        <v>2129</v>
      </c>
      <c r="S1" s="223" t="s">
        <v>2131</v>
      </c>
      <c r="T1" s="223" t="s">
        <v>2175</v>
      </c>
      <c r="V1" s="231" t="s">
        <v>2143</v>
      </c>
      <c r="W1" s="231" t="s">
        <v>2144</v>
      </c>
    </row>
    <row r="2" spans="1:23" ht="66" x14ac:dyDescent="0.2">
      <c r="A2" s="162" t="s">
        <v>13</v>
      </c>
      <c r="B2" s="163">
        <f>'Summary FR Kalbar'!D4</f>
        <v>297</v>
      </c>
      <c r="C2" s="163">
        <v>0</v>
      </c>
      <c r="D2" s="163">
        <f t="shared" ref="D2:D12" si="0">C2/B2*100</f>
        <v>0</v>
      </c>
      <c r="E2" s="163">
        <v>0</v>
      </c>
      <c r="F2" s="163">
        <f t="shared" ref="F2:F8" si="1">IFERROR(E2/C2*100,0)</f>
        <v>0</v>
      </c>
      <c r="G2" s="163">
        <f>'Summary FR Kalbar'!D4</f>
        <v>297</v>
      </c>
      <c r="H2" s="163">
        <f>'Summary FR Kalbar'!H4</f>
        <v>234</v>
      </c>
      <c r="I2" s="163">
        <f t="shared" ref="I2:I7" si="2">H2/G2*100</f>
        <v>78.787878787878782</v>
      </c>
      <c r="J2" s="327" t="s">
        <v>2103</v>
      </c>
      <c r="K2" s="163">
        <f>MROUND('Summary FR Kalbar'!E4*1.91,5)</f>
        <v>16550</v>
      </c>
      <c r="L2" s="163">
        <v>4330</v>
      </c>
      <c r="M2" s="162" t="s">
        <v>2095</v>
      </c>
      <c r="N2" s="163">
        <v>12700</v>
      </c>
      <c r="O2" s="162" t="s">
        <v>2095</v>
      </c>
      <c r="P2" s="323" t="s">
        <v>2110</v>
      </c>
      <c r="Q2" s="162" t="s">
        <v>12</v>
      </c>
      <c r="R2" s="163">
        <f>N2-5900+5900</f>
        <v>12700</v>
      </c>
      <c r="S2" s="163">
        <f>N2-R2</f>
        <v>0</v>
      </c>
      <c r="T2" s="161" t="s">
        <v>2134</v>
      </c>
      <c r="U2" t="s">
        <v>2133</v>
      </c>
      <c r="V2" s="162">
        <v>5900</v>
      </c>
      <c r="W2" s="232">
        <v>46177</v>
      </c>
    </row>
    <row r="3" spans="1:23" ht="30.5" customHeight="1" x14ac:dyDescent="0.2">
      <c r="A3" s="162" t="s">
        <v>322</v>
      </c>
      <c r="B3" s="163">
        <f>'Summary FR Kalbar'!D5</f>
        <v>280</v>
      </c>
      <c r="C3" s="163">
        <v>0</v>
      </c>
      <c r="D3" s="163">
        <f t="shared" si="0"/>
        <v>0</v>
      </c>
      <c r="E3" s="163">
        <v>0</v>
      </c>
      <c r="F3" s="163">
        <f t="shared" si="1"/>
        <v>0</v>
      </c>
      <c r="G3" s="163">
        <f>'Summary FR Kalbar'!D5</f>
        <v>280</v>
      </c>
      <c r="H3" s="163">
        <f>'Summary FR Kalbar'!H5</f>
        <v>247</v>
      </c>
      <c r="I3" s="163">
        <f t="shared" si="2"/>
        <v>88.214285714285708</v>
      </c>
      <c r="J3" s="328"/>
      <c r="K3" s="163">
        <f>MROUND('Summary FR Kalbar'!E5*1.91,5)</f>
        <v>15430</v>
      </c>
      <c r="L3" s="163">
        <f>460+2913.5</f>
        <v>3373.5</v>
      </c>
      <c r="M3" s="162" t="s">
        <v>2095</v>
      </c>
      <c r="N3" s="163">
        <v>11600</v>
      </c>
      <c r="O3" s="162" t="s">
        <v>2095</v>
      </c>
      <c r="P3" s="324"/>
      <c r="Q3" s="162" t="s">
        <v>12</v>
      </c>
      <c r="R3" s="163">
        <f>N3</f>
        <v>11600</v>
      </c>
      <c r="S3" s="163">
        <f>N3-R3</f>
        <v>0</v>
      </c>
      <c r="T3" s="162" t="s">
        <v>12</v>
      </c>
    </row>
    <row r="4" spans="1:23" ht="88" x14ac:dyDescent="0.2">
      <c r="A4" s="162" t="s">
        <v>949</v>
      </c>
      <c r="B4" s="163">
        <f>'Summary FR Kalbar'!B9</f>
        <v>210</v>
      </c>
      <c r="C4" s="163">
        <v>155</v>
      </c>
      <c r="D4" s="163">
        <f t="shared" si="0"/>
        <v>73.80952380952381</v>
      </c>
      <c r="E4" s="163">
        <v>21</v>
      </c>
      <c r="F4" s="163">
        <f t="shared" si="1"/>
        <v>13.548387096774196</v>
      </c>
      <c r="G4" s="163">
        <v>6</v>
      </c>
      <c r="H4" s="163">
        <f>'Summary FR Kalbar'!H9</f>
        <v>18</v>
      </c>
      <c r="I4" s="163">
        <f>H4/C4*100</f>
        <v>11.612903225806452</v>
      </c>
      <c r="J4" s="161" t="s">
        <v>2120</v>
      </c>
      <c r="K4" s="163">
        <f>MROUND(0.1*'Summary FR Kalbar'!C9*1.4,5)</f>
        <v>945</v>
      </c>
      <c r="L4" s="163">
        <v>0</v>
      </c>
      <c r="M4" s="162" t="s">
        <v>12</v>
      </c>
      <c r="N4" s="162">
        <v>945</v>
      </c>
      <c r="O4" s="162" t="s">
        <v>12</v>
      </c>
      <c r="P4" s="224" t="s">
        <v>12</v>
      </c>
      <c r="Q4" s="162" t="s">
        <v>2095</v>
      </c>
      <c r="R4" s="162">
        <v>945</v>
      </c>
      <c r="S4" s="163">
        <f>N4-R4</f>
        <v>0</v>
      </c>
      <c r="T4" s="161" t="s">
        <v>2208</v>
      </c>
    </row>
    <row r="5" spans="1:23" ht="154" x14ac:dyDescent="0.2">
      <c r="A5" s="162" t="s">
        <v>628</v>
      </c>
      <c r="B5" s="163">
        <f>'Summary FR Kalbar'!B7</f>
        <v>430</v>
      </c>
      <c r="C5" s="163">
        <v>0</v>
      </c>
      <c r="D5" s="163">
        <f t="shared" si="0"/>
        <v>0</v>
      </c>
      <c r="E5" s="163">
        <v>0</v>
      </c>
      <c r="F5" s="163">
        <f t="shared" si="1"/>
        <v>0</v>
      </c>
      <c r="G5" s="163">
        <f>B5</f>
        <v>430</v>
      </c>
      <c r="H5" s="163">
        <f>'Summary FR Kalbar'!H7</f>
        <v>420</v>
      </c>
      <c r="I5" s="163">
        <f t="shared" si="2"/>
        <v>97.674418604651152</v>
      </c>
      <c r="J5" s="161" t="s">
        <v>2109</v>
      </c>
      <c r="K5" s="163">
        <f>MROUND('KALE (Sensus)'!Q585,5)</f>
        <v>20070</v>
      </c>
      <c r="L5" s="163">
        <v>2588</v>
      </c>
      <c r="M5" s="162" t="s">
        <v>2095</v>
      </c>
      <c r="N5" s="163">
        <f>17000</f>
        <v>17000</v>
      </c>
      <c r="O5" s="162" t="s">
        <v>2095</v>
      </c>
      <c r="P5" s="225" t="s">
        <v>2110</v>
      </c>
      <c r="Q5" s="162" t="s">
        <v>12</v>
      </c>
      <c r="R5" s="162">
        <f>12500+4500</f>
        <v>17000</v>
      </c>
      <c r="S5" s="163">
        <f>N5-R5</f>
        <v>0</v>
      </c>
      <c r="T5" s="190" t="s">
        <v>2209</v>
      </c>
      <c r="V5" s="162">
        <v>12500</v>
      </c>
      <c r="W5" s="232">
        <v>46177</v>
      </c>
    </row>
    <row r="6" spans="1:23" ht="95.5" customHeight="1" x14ac:dyDescent="0.2">
      <c r="A6" s="162" t="s">
        <v>1273</v>
      </c>
      <c r="B6" s="163">
        <f>'Summary FR Kalbar'!B10</f>
        <v>203</v>
      </c>
      <c r="C6" s="163">
        <v>0</v>
      </c>
      <c r="D6" s="163">
        <f t="shared" si="0"/>
        <v>0</v>
      </c>
      <c r="E6" s="163">
        <v>0</v>
      </c>
      <c r="F6" s="163">
        <f t="shared" si="1"/>
        <v>0</v>
      </c>
      <c r="G6" s="163">
        <f t="array" ref="G6">COUNTIFS(Comparison!$L$5:$L$577,"&gt;0",Comparison!$A$5:$A$577,$A6)</f>
        <v>203</v>
      </c>
      <c r="H6" s="163">
        <f t="array" ref="H6">COUNTIFS(Comparison!$L$5:$L$577,"&gt;5",Comparison!$A$5:$A$577,$A6)</f>
        <v>177</v>
      </c>
      <c r="I6" s="163">
        <f t="shared" si="2"/>
        <v>87.192118226600996</v>
      </c>
      <c r="J6" s="161" t="s">
        <v>2118</v>
      </c>
      <c r="K6" s="163">
        <f>MROUND(SUM('SMP (Sensus)'!S437:W437),5)</f>
        <v>10085</v>
      </c>
      <c r="L6" s="163">
        <v>0</v>
      </c>
      <c r="M6" s="162" t="s">
        <v>12</v>
      </c>
      <c r="N6" s="163">
        <f>9500+3030+5419-N7</f>
        <v>9500</v>
      </c>
      <c r="O6" s="162" t="s">
        <v>2095</v>
      </c>
      <c r="P6" s="329" t="s">
        <v>12</v>
      </c>
      <c r="Q6" s="162" t="s">
        <v>2095</v>
      </c>
      <c r="R6" s="162">
        <v>9500</v>
      </c>
      <c r="S6" s="163">
        <f t="shared" ref="S6:S9" si="3">N6-R6</f>
        <v>0</v>
      </c>
      <c r="T6" s="161" t="s">
        <v>2134</v>
      </c>
    </row>
    <row r="7" spans="1:23" ht="66" x14ac:dyDescent="0.2">
      <c r="A7" s="162" t="s">
        <v>1739</v>
      </c>
      <c r="B7" s="163">
        <f>'Summary FR Kalbar'!B11</f>
        <v>164</v>
      </c>
      <c r="C7" s="163">
        <v>0</v>
      </c>
      <c r="D7" s="163">
        <f t="shared" si="0"/>
        <v>0</v>
      </c>
      <c r="E7" s="163">
        <v>0</v>
      </c>
      <c r="F7" s="163">
        <f t="shared" si="1"/>
        <v>0</v>
      </c>
      <c r="G7" s="163">
        <f t="array" ref="G7">COUNTIFS(Comparison!$L$5:$L$577,"&gt;0",Comparison!$A$5:$A$577,$A7)</f>
        <v>155</v>
      </c>
      <c r="H7" s="163">
        <f t="array" ref="H7">COUNTIFS(Comparison!$L$5:$L$577,"&gt;5",Comparison!$A$5:$A$577,$A7)</f>
        <v>150</v>
      </c>
      <c r="I7" s="163">
        <f t="shared" si="2"/>
        <v>96.774193548387103</v>
      </c>
      <c r="J7" s="161" t="s">
        <v>2119</v>
      </c>
      <c r="K7" s="163">
        <f>MROUND(SUM('SMP (Sensus)'!S438:W438),4)</f>
        <v>8380</v>
      </c>
      <c r="L7" s="163">
        <v>1300</v>
      </c>
      <c r="M7" s="162" t="s">
        <v>2095</v>
      </c>
      <c r="N7" s="163">
        <f>5419+3030</f>
        <v>8449</v>
      </c>
      <c r="O7" s="162" t="s">
        <v>2094</v>
      </c>
      <c r="P7" s="330"/>
      <c r="Q7" s="162" t="s">
        <v>2094</v>
      </c>
      <c r="R7" s="163">
        <f>3030+5419</f>
        <v>8449</v>
      </c>
      <c r="S7" s="163">
        <f t="shared" si="3"/>
        <v>0</v>
      </c>
      <c r="T7" s="161" t="s">
        <v>2176</v>
      </c>
    </row>
    <row r="8" spans="1:23" ht="66" x14ac:dyDescent="0.2">
      <c r="A8" s="318" t="s">
        <v>1821</v>
      </c>
      <c r="B8" s="326">
        <f>'Summary FR Kalbar'!V14</f>
        <v>194</v>
      </c>
      <c r="C8" s="329">
        <v>191</v>
      </c>
      <c r="D8" s="329">
        <v>0</v>
      </c>
      <c r="E8" s="329">
        <v>190</v>
      </c>
      <c r="F8" s="329">
        <f t="shared" si="1"/>
        <v>99.476439790575924</v>
      </c>
      <c r="G8" s="326">
        <v>0</v>
      </c>
      <c r="H8" s="326">
        <v>0</v>
      </c>
      <c r="I8" s="326" t="e">
        <f>H8/G8*100</f>
        <v>#DIV/0!</v>
      </c>
      <c r="J8" s="325" t="s">
        <v>2086</v>
      </c>
      <c r="K8" s="326">
        <f>MROUND('[34]Summary data'!$P$17,5)</f>
        <v>11080</v>
      </c>
      <c r="L8" s="326">
        <v>3600</v>
      </c>
      <c r="M8" s="162" t="s">
        <v>2095</v>
      </c>
      <c r="N8" s="163">
        <f>(K8-L8)/2</f>
        <v>3740</v>
      </c>
      <c r="O8" s="162" t="s">
        <v>2095</v>
      </c>
      <c r="P8" s="329" t="s">
        <v>12</v>
      </c>
      <c r="Q8" s="162" t="s">
        <v>2095</v>
      </c>
      <c r="R8" s="162">
        <v>3740</v>
      </c>
      <c r="S8" s="163">
        <f t="shared" si="3"/>
        <v>0</v>
      </c>
      <c r="T8" s="161" t="s">
        <v>2134</v>
      </c>
    </row>
    <row r="9" spans="1:23" ht="53.5" customHeight="1" x14ac:dyDescent="0.2">
      <c r="A9" s="318"/>
      <c r="B9" s="326"/>
      <c r="C9" s="330"/>
      <c r="D9" s="330"/>
      <c r="E9" s="330"/>
      <c r="F9" s="330"/>
      <c r="G9" s="326"/>
      <c r="H9" s="326"/>
      <c r="I9" s="326"/>
      <c r="J9" s="325"/>
      <c r="K9" s="326"/>
      <c r="L9" s="326"/>
      <c r="M9" s="162" t="s">
        <v>2094</v>
      </c>
      <c r="N9" s="163">
        <f>(K8-L8)/2</f>
        <v>3740</v>
      </c>
      <c r="O9" s="162" t="s">
        <v>2094</v>
      </c>
      <c r="P9" s="330"/>
      <c r="Q9" s="162" t="s">
        <v>2094</v>
      </c>
      <c r="R9" s="162">
        <v>3740</v>
      </c>
      <c r="S9" s="163">
        <f t="shared" si="3"/>
        <v>0</v>
      </c>
      <c r="T9" s="161" t="s">
        <v>2177</v>
      </c>
    </row>
    <row r="10" spans="1:23" ht="66" x14ac:dyDescent="0.2">
      <c r="A10" s="162" t="s">
        <v>1927</v>
      </c>
      <c r="B10" s="163">
        <f>'Summary FR Kalbar'!B16-18</f>
        <v>77</v>
      </c>
      <c r="C10" s="163">
        <v>76</v>
      </c>
      <c r="D10" s="163">
        <f t="shared" si="0"/>
        <v>98.701298701298697</v>
      </c>
      <c r="E10" s="163">
        <v>35</v>
      </c>
      <c r="F10" s="163">
        <f>IFERROR(E10/C10*100,0)</f>
        <v>46.05263157894737</v>
      </c>
      <c r="G10" s="163">
        <f>'Summary FR Kalbar'!D16</f>
        <v>35</v>
      </c>
      <c r="H10" s="163">
        <f>'Summary FR Kalbar'!H16</f>
        <v>28</v>
      </c>
      <c r="I10" s="163">
        <f>H10/C10*100</f>
        <v>36.84210526315789</v>
      </c>
      <c r="J10" s="161" t="s">
        <v>2087</v>
      </c>
      <c r="K10" s="163">
        <f>MROUND(('Summary FR Kalbar'!C16-600)*0.6*1.7,5)</f>
        <v>2600</v>
      </c>
      <c r="L10" s="163">
        <v>0</v>
      </c>
      <c r="M10" s="162" t="s">
        <v>12</v>
      </c>
      <c r="N10" s="162">
        <v>2600</v>
      </c>
      <c r="O10" s="162" t="s">
        <v>2095</v>
      </c>
      <c r="P10" s="163" t="s">
        <v>12</v>
      </c>
      <c r="Q10" s="162" t="s">
        <v>2095</v>
      </c>
      <c r="R10" s="162">
        <v>2600</v>
      </c>
      <c r="S10" s="163">
        <f>N10-R10</f>
        <v>0</v>
      </c>
      <c r="T10" s="161" t="s">
        <v>2135</v>
      </c>
    </row>
    <row r="11" spans="1:23" ht="66" x14ac:dyDescent="0.2">
      <c r="A11" s="162" t="s">
        <v>2079</v>
      </c>
      <c r="B11" s="163">
        <f>'Summary FR Kalbar'!B15</f>
        <v>90</v>
      </c>
      <c r="C11" s="163">
        <v>85</v>
      </c>
      <c r="D11" s="163">
        <f t="shared" si="0"/>
        <v>94.444444444444443</v>
      </c>
      <c r="E11" s="163">
        <v>35</v>
      </c>
      <c r="F11" s="163">
        <f>IFERROR(E11/C11*100,0)</f>
        <v>41.17647058823529</v>
      </c>
      <c r="G11" s="163">
        <f>'Summary FR Kalbar'!D15</f>
        <v>53</v>
      </c>
      <c r="H11" s="163">
        <f>'Summary FR Kalbar'!H15</f>
        <v>23</v>
      </c>
      <c r="I11" s="163">
        <f>H11/C11*100</f>
        <v>27.058823529411764</v>
      </c>
      <c r="J11" s="161" t="s">
        <v>2088</v>
      </c>
      <c r="K11" s="163">
        <f>MROUND('Summary FR Kalbar'!C15*0.3*1.7,5)</f>
        <v>1485</v>
      </c>
      <c r="L11" s="163">
        <v>0</v>
      </c>
      <c r="M11" s="162" t="s">
        <v>12</v>
      </c>
      <c r="N11" s="162">
        <v>1500</v>
      </c>
      <c r="O11" s="162" t="s">
        <v>2094</v>
      </c>
      <c r="P11" s="163" t="s">
        <v>12</v>
      </c>
      <c r="Q11" s="162" t="s">
        <v>2095</v>
      </c>
      <c r="R11" s="162">
        <v>1500</v>
      </c>
      <c r="S11" s="163">
        <f>N11-R11</f>
        <v>0</v>
      </c>
      <c r="T11" s="161" t="s">
        <v>2177</v>
      </c>
    </row>
    <row r="12" spans="1:23" ht="21" x14ac:dyDescent="0.2">
      <c r="A12" s="183" t="s">
        <v>2080</v>
      </c>
      <c r="B12" s="226">
        <f>SUM(B2:B11)</f>
        <v>1945</v>
      </c>
      <c r="C12" s="226">
        <f t="shared" ref="C12:H12" si="4">SUM(C2:C11)</f>
        <v>507</v>
      </c>
      <c r="D12" s="226">
        <f t="shared" si="0"/>
        <v>26.066838046272494</v>
      </c>
      <c r="E12" s="226">
        <f t="shared" si="4"/>
        <v>281</v>
      </c>
      <c r="F12" s="226">
        <f>IFERROR(E12/C12*100,0)</f>
        <v>55.424063116370817</v>
      </c>
      <c r="G12" s="226">
        <f t="shared" si="4"/>
        <v>1459</v>
      </c>
      <c r="H12" s="226">
        <f t="shared" si="4"/>
        <v>1297</v>
      </c>
      <c r="I12" s="226">
        <f>H12/G12*100</f>
        <v>88.896504455106239</v>
      </c>
      <c r="J12" s="227"/>
      <c r="K12" s="226">
        <f>SUM(K2:K11)</f>
        <v>86625</v>
      </c>
      <c r="L12" s="226">
        <f>SUM(L2:L11)</f>
        <v>15191.5</v>
      </c>
      <c r="M12" s="227"/>
      <c r="N12" s="226">
        <f>SUM(N2:N11)</f>
        <v>71774</v>
      </c>
      <c r="O12" s="227"/>
      <c r="P12" s="226">
        <f>SUM(P2:P11)</f>
        <v>0</v>
      </c>
      <c r="Q12" s="227"/>
      <c r="R12" s="226">
        <f>SUM(R2:R11)</f>
        <v>71774</v>
      </c>
      <c r="S12" s="226">
        <f>SUM(S2:S11)</f>
        <v>0</v>
      </c>
      <c r="T12" s="228"/>
    </row>
  </sheetData>
  <mergeCells count="16">
    <mergeCell ref="P2:P3"/>
    <mergeCell ref="A8:A9"/>
    <mergeCell ref="J8:J9"/>
    <mergeCell ref="I8:I9"/>
    <mergeCell ref="H8:H9"/>
    <mergeCell ref="G8:G9"/>
    <mergeCell ref="B8:B9"/>
    <mergeCell ref="L8:L9"/>
    <mergeCell ref="K8:K9"/>
    <mergeCell ref="J2:J3"/>
    <mergeCell ref="C8:C9"/>
    <mergeCell ref="P8:P9"/>
    <mergeCell ref="D8:D9"/>
    <mergeCell ref="E8:E9"/>
    <mergeCell ref="F8:F9"/>
    <mergeCell ref="P6:P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AFCF1-E1BB-4296-8BA9-6005D17ABA2C}">
  <dimension ref="A1:O35"/>
  <sheetViews>
    <sheetView zoomScale="67" workbookViewId="0">
      <pane xSplit="3" ySplit="1" topLeftCell="D2" activePane="bottomRight" state="frozen"/>
      <selection activeCell="P8" sqref="P8"/>
      <selection pane="topRight" activeCell="P8" sqref="P8"/>
      <selection pane="bottomLeft" activeCell="P8" sqref="P8"/>
      <selection pane="bottomRight" activeCell="J33" sqref="J33"/>
    </sheetView>
  </sheetViews>
  <sheetFormatPr baseColWidth="10" defaultColWidth="8.83203125" defaultRowHeight="15" outlineLevelRow="1" x14ac:dyDescent="0.2"/>
  <cols>
    <col min="1" max="1" width="6.83203125" bestFit="1" customWidth="1"/>
    <col min="2" max="2" width="9" customWidth="1"/>
    <col min="3" max="3" width="27.1640625" customWidth="1"/>
    <col min="4" max="4" width="19.6640625" customWidth="1"/>
    <col min="5" max="5" width="18.5" customWidth="1"/>
    <col min="6" max="6" width="23.1640625" customWidth="1"/>
    <col min="7" max="7" width="34.1640625" customWidth="1"/>
    <col min="8" max="8" width="33.6640625" customWidth="1"/>
    <col min="9" max="9" width="30" customWidth="1"/>
    <col min="10" max="10" width="19.33203125" customWidth="1"/>
    <col min="11" max="11" width="26.6640625" customWidth="1"/>
    <col min="12" max="12" width="18.33203125" bestFit="1" customWidth="1"/>
    <col min="13" max="13" width="33.6640625" customWidth="1"/>
    <col min="14" max="14" width="34" customWidth="1"/>
    <col min="15" max="15" width="34.5" customWidth="1"/>
  </cols>
  <sheetData>
    <row r="1" spans="1:15" ht="48.5" customHeight="1" x14ac:dyDescent="0.2">
      <c r="A1" s="230" t="s">
        <v>619</v>
      </c>
      <c r="B1" s="230" t="s">
        <v>933</v>
      </c>
      <c r="C1" s="144" t="s">
        <v>2156</v>
      </c>
      <c r="D1" s="144" t="s">
        <v>2165</v>
      </c>
      <c r="E1" s="144" t="s">
        <v>2145</v>
      </c>
      <c r="F1" s="144" t="s">
        <v>2146</v>
      </c>
      <c r="G1" s="230" t="s">
        <v>2147</v>
      </c>
      <c r="H1" s="230" t="s">
        <v>2148</v>
      </c>
      <c r="I1" s="144" t="s">
        <v>2210</v>
      </c>
      <c r="J1" s="144" t="s">
        <v>2213</v>
      </c>
      <c r="K1" s="247" t="s">
        <v>2211</v>
      </c>
      <c r="L1" s="247" t="s">
        <v>2212</v>
      </c>
      <c r="M1" s="248" t="s">
        <v>2214</v>
      </c>
      <c r="N1" s="248" t="s">
        <v>2215</v>
      </c>
      <c r="O1" s="248" t="s">
        <v>2216</v>
      </c>
    </row>
    <row r="2" spans="1:15" x14ac:dyDescent="0.2">
      <c r="A2" s="335" t="s">
        <v>13</v>
      </c>
      <c r="B2" s="335" t="s">
        <v>14</v>
      </c>
      <c r="C2" s="43" t="s">
        <v>14</v>
      </c>
      <c r="D2" s="234">
        <v>15.71327683615819</v>
      </c>
      <c r="E2" s="238">
        <v>922.57999999999993</v>
      </c>
      <c r="F2" s="43" t="s">
        <v>2179</v>
      </c>
      <c r="G2" s="43" t="s">
        <v>2189</v>
      </c>
      <c r="H2" s="234">
        <f>[35]Summary!$T$5</f>
        <v>4.2867701404286773</v>
      </c>
      <c r="I2" s="246">
        <f>MROUND(('LS (Sensus) '!G583*2*(1000/310)/1000*1.1),5)</f>
        <v>885</v>
      </c>
      <c r="J2" s="250">
        <f>I2*32486</f>
        <v>28750110</v>
      </c>
      <c r="K2" s="246">
        <f>'LS (Sensus) '!G583*2*1.1/2000</f>
        <v>137.31630000000001</v>
      </c>
      <c r="L2" s="249">
        <f>K2*15000</f>
        <v>2059744.5000000002</v>
      </c>
      <c r="M2" s="251">
        <f t="array" ref="M2">ROUNDUP('LS (Sensus) '!$G583/35000,0)</f>
        <v>4</v>
      </c>
      <c r="N2" s="251">
        <f>ROUNDUP('LS (Sensus) '!$G583*0.5/35000,0)</f>
        <v>2</v>
      </c>
      <c r="O2" s="145">
        <f>N2</f>
        <v>2</v>
      </c>
    </row>
    <row r="3" spans="1:15" x14ac:dyDescent="0.2">
      <c r="A3" s="336"/>
      <c r="B3" s="336"/>
      <c r="C3" s="43" t="s">
        <v>47</v>
      </c>
      <c r="D3" s="234">
        <v>11.453052481256695</v>
      </c>
      <c r="E3" s="238">
        <v>1001.2800000000001</v>
      </c>
      <c r="F3" s="43" t="s">
        <v>2179</v>
      </c>
      <c r="G3" s="43" t="s">
        <v>2190</v>
      </c>
      <c r="H3" s="234">
        <f>[35]Summary!$T$6</f>
        <v>3.2400589101620034</v>
      </c>
      <c r="I3" s="246">
        <f>MROUND(('LS (Sensus) '!G584*2*(1000/310)/1000*1.1),5)</f>
        <v>985</v>
      </c>
      <c r="J3" s="250">
        <f t="shared" ref="J3:J19" si="0">I3*32486</f>
        <v>31998710</v>
      </c>
      <c r="K3" s="246">
        <f>'LS (Sensus) '!G584*2*1.1/2000</f>
        <v>152.35660000000001</v>
      </c>
      <c r="L3" s="249">
        <f t="shared" ref="L3:L19" si="1">K3*15000</f>
        <v>2285349</v>
      </c>
      <c r="M3" s="251">
        <f t="array" ref="M3">ROUNDUP('LS (Sensus) '!$G584/35000,0)</f>
        <v>4</v>
      </c>
      <c r="N3" s="251">
        <f>ROUNDUP('LS (Sensus) '!$G584*0.5/35000,0)</f>
        <v>2</v>
      </c>
      <c r="O3" s="145">
        <f t="shared" ref="O3:O19" si="2">N3</f>
        <v>2</v>
      </c>
    </row>
    <row r="4" spans="1:15" x14ac:dyDescent="0.2">
      <c r="A4" s="336"/>
      <c r="B4" s="336"/>
      <c r="C4" s="43" t="s">
        <v>79</v>
      </c>
      <c r="D4" s="234">
        <v>10.367118914604948</v>
      </c>
      <c r="E4" s="238">
        <f>SUM('[36]Serangan Tikus LS1 (Case 1)'!$F$69:$F$95)</f>
        <v>940.47</v>
      </c>
      <c r="F4" s="43" t="s">
        <v>2159</v>
      </c>
      <c r="G4" s="43" t="s">
        <v>2191</v>
      </c>
      <c r="H4" s="234" t="s">
        <v>2163</v>
      </c>
      <c r="I4" s="246">
        <f>MROUND(('LS (Sensus) '!G585*2*(1000/310)/1000*1.1),5)</f>
        <v>860</v>
      </c>
      <c r="J4" s="250">
        <f t="shared" si="0"/>
        <v>27937960</v>
      </c>
      <c r="K4" s="246">
        <f>'LS (Sensus) '!G585*2*1.1/2000</f>
        <v>133.2551</v>
      </c>
      <c r="L4" s="249">
        <f t="shared" si="1"/>
        <v>1998826.5</v>
      </c>
      <c r="M4" s="251">
        <f t="array" ref="M4">ROUNDUP('LS (Sensus) '!$G585/35000,0)</f>
        <v>4</v>
      </c>
      <c r="N4" s="251">
        <f>ROUNDUP('LS (Sensus) '!$G585*0.5/35000,0)</f>
        <v>2</v>
      </c>
      <c r="O4" s="145">
        <f t="shared" si="2"/>
        <v>2</v>
      </c>
    </row>
    <row r="5" spans="1:15" x14ac:dyDescent="0.2">
      <c r="A5" s="336"/>
      <c r="B5" s="336"/>
      <c r="C5" s="43" t="s">
        <v>107</v>
      </c>
      <c r="D5" s="234">
        <v>11.471830985915494</v>
      </c>
      <c r="E5" s="238">
        <f>SUM('[36]Serangan Tikus LS1 (Case 1)'!$F$96:$F$130)</f>
        <v>961.00000000000023</v>
      </c>
      <c r="F5" s="43" t="s">
        <v>2159</v>
      </c>
      <c r="G5" s="43" t="s">
        <v>2192</v>
      </c>
      <c r="H5" s="234" t="s">
        <v>2163</v>
      </c>
      <c r="I5" s="246">
        <f>MROUND(('LS (Sensus) '!G586*2*(1000/310)/1000*1.1),5)</f>
        <v>955</v>
      </c>
      <c r="J5" s="250">
        <f t="shared" si="0"/>
        <v>31024130</v>
      </c>
      <c r="K5" s="246">
        <f>'LS (Sensus) '!G586*2*1.1/2000</f>
        <v>147.92359999999999</v>
      </c>
      <c r="L5" s="249">
        <f t="shared" si="1"/>
        <v>2218854</v>
      </c>
      <c r="M5" s="251">
        <f t="array" ref="M5">ROUNDUP('LS (Sensus) '!$G586/35000,0)</f>
        <v>4</v>
      </c>
      <c r="N5" s="251">
        <f>ROUNDUP('LS (Sensus) '!$G586*0.5/35000,0)</f>
        <v>2</v>
      </c>
      <c r="O5" s="145">
        <f t="shared" si="2"/>
        <v>2</v>
      </c>
    </row>
    <row r="6" spans="1:15" x14ac:dyDescent="0.2">
      <c r="A6" s="336"/>
      <c r="B6" s="337"/>
      <c r="C6" s="43" t="s">
        <v>144</v>
      </c>
      <c r="D6" s="234">
        <v>12.775364567173442</v>
      </c>
      <c r="E6" s="238">
        <f>SUM('[36]Serangan Tikus LS1 (Case 1)'!$F$131:$F$158)</f>
        <v>898.86999999999978</v>
      </c>
      <c r="F6" s="43" t="s">
        <v>2159</v>
      </c>
      <c r="G6" s="43" t="s">
        <v>2193</v>
      </c>
      <c r="H6" s="234" t="s">
        <v>2163</v>
      </c>
      <c r="I6" s="246">
        <f>MROUND(('LS (Sensus) '!G587*2*(1000/310)/1000*1.1),5)</f>
        <v>935</v>
      </c>
      <c r="J6" s="250">
        <f t="shared" si="0"/>
        <v>30374410</v>
      </c>
      <c r="K6" s="246">
        <f>'LS (Sensus) '!G587*2*1.1/2000</f>
        <v>145.024</v>
      </c>
      <c r="L6" s="249">
        <f t="shared" si="1"/>
        <v>2175360</v>
      </c>
      <c r="M6" s="251">
        <f t="array" ref="M6">ROUNDUP('LS (Sensus) '!$G587/35000,0)</f>
        <v>4</v>
      </c>
      <c r="N6" s="251">
        <f>ROUNDUP('LS (Sensus) '!$G587*0.5/35000,0)</f>
        <v>2</v>
      </c>
      <c r="O6" s="145">
        <f t="shared" si="2"/>
        <v>2</v>
      </c>
    </row>
    <row r="7" spans="1:15" x14ac:dyDescent="0.2">
      <c r="A7" s="336"/>
      <c r="B7" s="335" t="s">
        <v>47</v>
      </c>
      <c r="C7" s="43" t="s">
        <v>173</v>
      </c>
      <c r="D7" s="234">
        <v>6.5866666666666669</v>
      </c>
      <c r="E7" s="238">
        <v>1117.05</v>
      </c>
      <c r="F7" s="43" t="s">
        <v>2157</v>
      </c>
      <c r="G7" s="43" t="s">
        <v>2164</v>
      </c>
      <c r="H7" s="234">
        <f>[35]Summary!$Q$10</f>
        <v>2.5763709974236293</v>
      </c>
      <c r="I7" s="246">
        <f>MROUND(('LS (Sensus) '!G588*2*(1000/310)/1000*1.1),5)</f>
        <v>1110</v>
      </c>
      <c r="J7" s="250">
        <f t="shared" si="0"/>
        <v>36059460</v>
      </c>
      <c r="K7" s="246">
        <f>'LS (Sensus) '!G588*2*1.1/2000</f>
        <v>172.18960000000001</v>
      </c>
      <c r="L7" s="249">
        <f t="shared" si="1"/>
        <v>2582844</v>
      </c>
      <c r="M7" s="251">
        <f t="array" ref="M7">ROUNDUP('LS (Sensus) '!$G588/35000,0)</f>
        <v>5</v>
      </c>
      <c r="N7" s="251">
        <f>ROUNDUP('LS (Sensus) '!$G588*0.5/35000,0)</f>
        <v>3</v>
      </c>
      <c r="O7" s="145">
        <f t="shared" si="2"/>
        <v>3</v>
      </c>
    </row>
    <row r="8" spans="1:15" x14ac:dyDescent="0.2">
      <c r="A8" s="336"/>
      <c r="B8" s="336"/>
      <c r="C8" s="43" t="s">
        <v>216</v>
      </c>
      <c r="D8" s="234">
        <v>8.2433539355126975</v>
      </c>
      <c r="E8" s="238">
        <v>964.15</v>
      </c>
      <c r="F8" s="43" t="s">
        <v>2158</v>
      </c>
      <c r="G8" s="43" t="s">
        <v>2164</v>
      </c>
      <c r="H8" s="234">
        <f>[35]Summary!$Q$11</f>
        <v>2.4732620320855618</v>
      </c>
      <c r="I8" s="246">
        <f>MROUND(('LS (Sensus) '!G589*2*(1000/310)/1000*1.1),5)</f>
        <v>1005</v>
      </c>
      <c r="J8" s="250">
        <f t="shared" si="0"/>
        <v>32648430</v>
      </c>
      <c r="K8" s="246">
        <f>'LS (Sensus) '!G589*2*1.1/2000</f>
        <v>156.09549999999999</v>
      </c>
      <c r="L8" s="249">
        <f t="shared" si="1"/>
        <v>2341432.5</v>
      </c>
      <c r="M8" s="251">
        <f t="array" ref="M8">ROUNDUP('LS (Sensus) '!$G589/35000,0)</f>
        <v>5</v>
      </c>
      <c r="N8" s="251">
        <f>ROUNDUP('LS (Sensus) '!$G589*0.5/35000,0)</f>
        <v>3</v>
      </c>
      <c r="O8" s="145">
        <f t="shared" si="2"/>
        <v>3</v>
      </c>
    </row>
    <row r="9" spans="1:15" x14ac:dyDescent="0.2">
      <c r="A9" s="336"/>
      <c r="B9" s="336"/>
      <c r="C9" s="43" t="s">
        <v>252</v>
      </c>
      <c r="D9" s="234">
        <v>7.6546685434680617</v>
      </c>
      <c r="E9" s="238">
        <f>SUM('[37]TIKUS RAYOND'!$F$9:$F$45)</f>
        <v>967.70999999999992</v>
      </c>
      <c r="F9" s="43" t="s">
        <v>2162</v>
      </c>
      <c r="G9" s="43" t="s">
        <v>2194</v>
      </c>
      <c r="H9" s="234">
        <f>[35]Summary!$K$12</f>
        <v>3.6620623193061355</v>
      </c>
      <c r="I9" s="246">
        <f>MROUND(('LS (Sensus) '!G590*2*(1000/310)/1000*1.1),5)</f>
        <v>1005</v>
      </c>
      <c r="J9" s="250">
        <f t="shared" si="0"/>
        <v>32648430</v>
      </c>
      <c r="K9" s="246">
        <f>'LS (Sensus) '!G590*2*1.1/2000</f>
        <v>155.92170000000002</v>
      </c>
      <c r="L9" s="249">
        <f t="shared" si="1"/>
        <v>2338825.5</v>
      </c>
      <c r="M9" s="251">
        <f t="array" ref="M9">ROUNDUP('LS (Sensus) '!$G590/35000,0)</f>
        <v>5</v>
      </c>
      <c r="N9" s="251">
        <f>ROUNDUP('LS (Sensus) '!$G590*0.5/35000,0)</f>
        <v>3</v>
      </c>
      <c r="O9" s="145">
        <f t="shared" si="2"/>
        <v>3</v>
      </c>
    </row>
    <row r="10" spans="1:15" x14ac:dyDescent="0.2">
      <c r="A10" s="337"/>
      <c r="B10" s="337"/>
      <c r="C10" s="43" t="s">
        <v>290</v>
      </c>
      <c r="D10" s="234">
        <v>13.715773559549808</v>
      </c>
      <c r="E10" s="238">
        <f>SUM('[37]TIKUS RAYOND'!$F$123:$F$153)</f>
        <v>890.99</v>
      </c>
      <c r="F10" s="43" t="s">
        <v>2162</v>
      </c>
      <c r="G10" s="43" t="s">
        <v>2195</v>
      </c>
      <c r="H10" s="234">
        <f>[35]Summary!$H$13</f>
        <v>4.7194351542177628</v>
      </c>
      <c r="I10" s="246">
        <f>MROUND(('LS (Sensus) '!G591*2*(1000/310)/1000*1.1),5)</f>
        <v>905</v>
      </c>
      <c r="J10" s="250">
        <f t="shared" si="0"/>
        <v>29399830</v>
      </c>
      <c r="K10" s="246">
        <f>'LS (Sensus) '!G591*2*1.1/2000</f>
        <v>140.35230000000001</v>
      </c>
      <c r="L10" s="249">
        <f t="shared" si="1"/>
        <v>2105284.5</v>
      </c>
      <c r="M10" s="251">
        <f t="array" ref="M10">ROUNDUP('LS (Sensus) '!$G591/35000,0)</f>
        <v>4</v>
      </c>
      <c r="N10" s="251">
        <f>ROUNDUP('LS (Sensus) '!$G591*0.5/35000,0)</f>
        <v>2</v>
      </c>
      <c r="O10" s="145">
        <f t="shared" si="2"/>
        <v>2</v>
      </c>
    </row>
    <row r="11" spans="1:15" hidden="1" outlineLevel="1" x14ac:dyDescent="0.2">
      <c r="A11" s="316" t="s">
        <v>2151</v>
      </c>
      <c r="B11" s="316"/>
      <c r="C11" s="316"/>
      <c r="D11" s="235">
        <f>'[35]Monitoring Pengendalian'!$H$614</f>
        <v>10.67224583849795</v>
      </c>
      <c r="E11" s="239">
        <f>SUM(E2:E10)</f>
        <v>8664.1</v>
      </c>
      <c r="F11" s="229" t="s">
        <v>2157</v>
      </c>
      <c r="G11" s="229" t="s">
        <v>2203</v>
      </c>
      <c r="H11" s="235"/>
      <c r="I11" s="246">
        <f>MROUND(('LS (Sensus) '!G592*2*(1000/310)/1000*1.1),5)</f>
        <v>585</v>
      </c>
      <c r="J11" s="250">
        <f t="shared" si="0"/>
        <v>19004310</v>
      </c>
      <c r="K11" s="246">
        <f>'LS (Sensus) '!G592*2*1.1/2000</f>
        <v>90.3078</v>
      </c>
      <c r="L11" s="249">
        <f t="shared" si="1"/>
        <v>1354617</v>
      </c>
      <c r="M11" s="251">
        <f t="array" ref="M11">ROUNDUP('LS (Sensus) '!$G592/35000,0)</f>
        <v>3</v>
      </c>
      <c r="N11" s="251">
        <f>ROUNDUP('LS (Sensus) '!$G592*0.5/35000,0)</f>
        <v>2</v>
      </c>
      <c r="O11" s="145">
        <f t="shared" si="2"/>
        <v>2</v>
      </c>
    </row>
    <row r="12" spans="1:15" collapsed="1" x14ac:dyDescent="0.2">
      <c r="A12" s="334" t="s">
        <v>322</v>
      </c>
      <c r="B12" s="335" t="s">
        <v>79</v>
      </c>
      <c r="C12" s="43" t="s">
        <v>323</v>
      </c>
      <c r="D12" s="234">
        <v>15.750061379818318</v>
      </c>
      <c r="E12" s="238">
        <f>SUM('[38]Roadmap Rayon E Zona 1'!$E$6:$E$26)</f>
        <v>996.7800000000002</v>
      </c>
      <c r="F12" s="43" t="s">
        <v>2157</v>
      </c>
      <c r="G12" s="43" t="s">
        <v>2197</v>
      </c>
      <c r="H12" s="234">
        <f>[35]Summary!$Q$14</f>
        <v>14.178049929345265</v>
      </c>
      <c r="I12" s="246">
        <f>MROUND(('LS (Sensus) '!G593*2*(1000/310)/1000*1.1),5)</f>
        <v>955</v>
      </c>
      <c r="J12" s="250">
        <f t="shared" si="0"/>
        <v>31024130</v>
      </c>
      <c r="K12" s="246">
        <f>'LS (Sensus) '!G593*2*1.1/2000</f>
        <v>148.40649999999999</v>
      </c>
      <c r="L12" s="249">
        <f t="shared" si="1"/>
        <v>2226097.5</v>
      </c>
      <c r="M12" s="251">
        <f t="array" ref="M12">ROUNDUP('LS (Sensus) '!$G593/35000,0)</f>
        <v>4</v>
      </c>
      <c r="N12" s="251">
        <f>ROUNDUP('LS (Sensus) '!$G593*0.5/35000,0)</f>
        <v>2</v>
      </c>
      <c r="O12" s="145">
        <f t="shared" si="2"/>
        <v>2</v>
      </c>
    </row>
    <row r="13" spans="1:15" x14ac:dyDescent="0.2">
      <c r="A13" s="334"/>
      <c r="B13" s="336"/>
      <c r="C13" s="43" t="s">
        <v>345</v>
      </c>
      <c r="D13" s="234">
        <v>14.71598002496879</v>
      </c>
      <c r="E13" s="238">
        <f>SUM('[38]Roadmap Rayon E Zona 1'!$E$27:$E$35,'[38]Roadmap Rayon E Zona 1'!$E$37:$E$46,'[38]Roadmap Rayon E Zona 1'!$E$48:$E$59,'[38]Roadmap Rayon E Zona 1'!$E$61:$E$63)</f>
        <v>969.04000000000008</v>
      </c>
      <c r="F13" s="43" t="s">
        <v>2157</v>
      </c>
      <c r="G13" s="43" t="s">
        <v>2198</v>
      </c>
      <c r="H13" s="234">
        <f>[35]Summary!$N$15</f>
        <v>19.011785892302992</v>
      </c>
      <c r="I13" s="246">
        <f>MROUND(('LS (Sensus) '!G594*2*(1000/310)/1000*1.1),5)</f>
        <v>960</v>
      </c>
      <c r="J13" s="250">
        <f t="shared" si="0"/>
        <v>31186560</v>
      </c>
      <c r="K13" s="246">
        <f>'LS (Sensus) '!G594*2*1.1/2000</f>
        <v>148.95650000000001</v>
      </c>
      <c r="L13" s="249">
        <f t="shared" si="1"/>
        <v>2234347.5</v>
      </c>
      <c r="M13" s="251">
        <f t="array" ref="M13">ROUNDUP('LS (Sensus) '!$G594/35000,0)</f>
        <v>4</v>
      </c>
      <c r="N13" s="251">
        <f>ROUNDUP('LS (Sensus) '!$G594*0.5/35000,0)</f>
        <v>2</v>
      </c>
      <c r="O13" s="145">
        <f t="shared" si="2"/>
        <v>2</v>
      </c>
    </row>
    <row r="14" spans="1:15" x14ac:dyDescent="0.2">
      <c r="A14" s="334"/>
      <c r="B14" s="336"/>
      <c r="C14" s="43" t="s">
        <v>380</v>
      </c>
      <c r="D14" s="234">
        <v>7.4786495330832468</v>
      </c>
      <c r="E14" s="238">
        <f>SUM('[38]Roadmap Rayon E Zona 1'!$E$64:$E$74,'[38]Roadmap Rayon E Zona 2'!$E$6:$E$11,'[38]Roadmap Rayon E Zona 2'!$E$13:$E$16,'[38]Roadmap Rayon E Zona 2'!$E$18:$E$22,'[38]Roadmap Rayon E Zona 2'!$E$24:$E$28,'[38]Roadmap Rayon E Zona 2'!$E$30:$E$33)</f>
        <v>955.73999999999978</v>
      </c>
      <c r="F14" s="43" t="s">
        <v>2160</v>
      </c>
      <c r="G14" s="43" t="s">
        <v>2199</v>
      </c>
      <c r="H14" s="234">
        <f>[35]Summary!$K$16</f>
        <v>6.2240663900414939</v>
      </c>
      <c r="I14" s="246">
        <f>MROUND(('LS (Sensus) '!G595*2*(1000/310)/1000*1.1),5)</f>
        <v>1005</v>
      </c>
      <c r="J14" s="250">
        <f t="shared" si="0"/>
        <v>32648430</v>
      </c>
      <c r="K14" s="246">
        <f>'LS (Sensus) '!G595*2*1.1/2000</f>
        <v>155.90299999999999</v>
      </c>
      <c r="L14" s="249">
        <f t="shared" si="1"/>
        <v>2338545</v>
      </c>
      <c r="M14" s="251">
        <f t="array" ref="M14">ROUNDUP('LS (Sensus) '!$G595/35000,0)</f>
        <v>5</v>
      </c>
      <c r="N14" s="251">
        <f>ROUNDUP('LS (Sensus) '!$G595*0.5/35000,0)</f>
        <v>3</v>
      </c>
      <c r="O14" s="145">
        <f t="shared" si="2"/>
        <v>3</v>
      </c>
    </row>
    <row r="15" spans="1:15" x14ac:dyDescent="0.2">
      <c r="A15" s="334"/>
      <c r="B15" s="336"/>
      <c r="C15" s="43" t="s">
        <v>416</v>
      </c>
      <c r="D15" s="234">
        <v>10.369885909454254</v>
      </c>
      <c r="E15" s="238">
        <f>SUM('[39]Pusingan Klerat'!$E$6:$E$16,'[39]Pusingan Klerat'!$E$18:$E$29,'[39]Pusingan Klerat'!$E$31:$E$42)</f>
        <v>950.92</v>
      </c>
      <c r="F15" s="43" t="s">
        <v>2196</v>
      </c>
      <c r="G15" s="43" t="s">
        <v>2204</v>
      </c>
      <c r="H15" s="234">
        <f>[35]Summary!$H$17</f>
        <v>4.3587594300083818</v>
      </c>
      <c r="I15" s="246">
        <f>MROUND(('LS (Sensus) '!G596*2*(1000/310)/1000*1.1),5)</f>
        <v>1000</v>
      </c>
      <c r="J15" s="250">
        <f t="shared" si="0"/>
        <v>32486000</v>
      </c>
      <c r="K15" s="246">
        <f>'LS (Sensus) '!G596*2*1.1/2000</f>
        <v>154.78210000000001</v>
      </c>
      <c r="L15" s="249">
        <f t="shared" si="1"/>
        <v>2321731.5</v>
      </c>
      <c r="M15" s="251">
        <f t="array" ref="M15">ROUNDUP('LS (Sensus) '!$G596/35000,0)</f>
        <v>5</v>
      </c>
      <c r="N15" s="251">
        <f>ROUNDUP('LS (Sensus) '!$G596*0.5/35000,0)</f>
        <v>3</v>
      </c>
      <c r="O15" s="145">
        <f t="shared" si="2"/>
        <v>3</v>
      </c>
    </row>
    <row r="16" spans="1:15" x14ac:dyDescent="0.2">
      <c r="A16" s="334"/>
      <c r="B16" s="337"/>
      <c r="C16" s="43" t="s">
        <v>452</v>
      </c>
      <c r="D16" s="234">
        <v>13.153153153153152</v>
      </c>
      <c r="E16" s="331" t="s">
        <v>2163</v>
      </c>
      <c r="F16" s="332"/>
      <c r="G16" s="332"/>
      <c r="H16" s="333"/>
      <c r="I16" s="246">
        <f>MROUND(('LS (Sensus) '!G597*2*(1000/310)/1000*1.1),5)</f>
        <v>1040</v>
      </c>
      <c r="J16" s="250">
        <f t="shared" si="0"/>
        <v>33785440</v>
      </c>
      <c r="K16" s="246">
        <f>'LS (Sensus) '!G597*2*1.1/2000</f>
        <v>161.07080000000002</v>
      </c>
      <c r="L16" s="249">
        <f t="shared" si="1"/>
        <v>2416062.0000000005</v>
      </c>
      <c r="M16" s="251">
        <f t="array" ref="M16">ROUNDUP('LS (Sensus) '!$G597/35000,0)</f>
        <v>5</v>
      </c>
      <c r="N16" s="251">
        <f>ROUNDUP('LS (Sensus) '!$G597*0.5/35000,0)</f>
        <v>3</v>
      </c>
      <c r="O16" s="145">
        <f t="shared" si="2"/>
        <v>3</v>
      </c>
    </row>
    <row r="17" spans="1:15" x14ac:dyDescent="0.2">
      <c r="A17" s="334"/>
      <c r="B17" s="334" t="s">
        <v>107</v>
      </c>
      <c r="C17" s="43" t="s">
        <v>487</v>
      </c>
      <c r="D17" s="234">
        <v>14.925899788285109</v>
      </c>
      <c r="E17" s="238">
        <v>992.3599999999999</v>
      </c>
      <c r="F17" s="43" t="s">
        <v>2179</v>
      </c>
      <c r="G17" s="43" t="s">
        <v>2200</v>
      </c>
      <c r="H17" s="234">
        <f>[35]Summary!$N$19</f>
        <v>8.4010840108401084</v>
      </c>
      <c r="I17" s="246">
        <f>MROUND(('LS (Sensus) '!G598*2*(1000/310)/1000*1.1),5)</f>
        <v>835</v>
      </c>
      <c r="J17" s="250">
        <f t="shared" si="0"/>
        <v>27125810</v>
      </c>
      <c r="K17" s="246">
        <f>'LS (Sensus) '!G598*2*1.1/2000</f>
        <v>129.5514</v>
      </c>
      <c r="L17" s="249">
        <f t="shared" si="1"/>
        <v>1943271</v>
      </c>
      <c r="M17" s="251">
        <f t="array" ref="M17">ROUNDUP('LS (Sensus) '!$G598/35000,0)</f>
        <v>4</v>
      </c>
      <c r="N17" s="251">
        <f>ROUNDUP('LS (Sensus) '!$G598*0.5/35000,0)</f>
        <v>2</v>
      </c>
      <c r="O17" s="145">
        <f t="shared" si="2"/>
        <v>2</v>
      </c>
    </row>
    <row r="18" spans="1:15" x14ac:dyDescent="0.2">
      <c r="A18" s="334"/>
      <c r="B18" s="334"/>
      <c r="C18" s="43" t="s">
        <v>521</v>
      </c>
      <c r="D18" s="234">
        <v>24.894271434063821</v>
      </c>
      <c r="E18" s="238">
        <v>505.4799999999999</v>
      </c>
      <c r="F18" s="43" t="s">
        <v>2179</v>
      </c>
      <c r="G18" s="43" t="s">
        <v>2201</v>
      </c>
      <c r="H18" s="234">
        <f>[35]Summary!$N$20</f>
        <v>5.0458715596330279</v>
      </c>
      <c r="I18" s="246">
        <f>MROUND(('LS (Sensus) '!G599*2*(1000/310)/1000*1.1),5)</f>
        <v>925</v>
      </c>
      <c r="J18" s="250">
        <f t="shared" si="0"/>
        <v>30049550</v>
      </c>
      <c r="K18" s="246">
        <f>'LS (Sensus) '!G599*2*1.1/2000</f>
        <v>143.10340000000002</v>
      </c>
      <c r="L18" s="249">
        <f t="shared" si="1"/>
        <v>2146551.0000000005</v>
      </c>
      <c r="M18" s="251">
        <f t="array" ref="M18">ROUNDUP('LS (Sensus) '!$G599/35000,0)</f>
        <v>4</v>
      </c>
      <c r="N18" s="251">
        <f>ROUNDUP('LS (Sensus) '!$G599*0.5/35000,0)</f>
        <v>2</v>
      </c>
      <c r="O18" s="145">
        <f t="shared" si="2"/>
        <v>2</v>
      </c>
    </row>
    <row r="19" spans="1:15" x14ac:dyDescent="0.2">
      <c r="A19" s="334"/>
      <c r="B19" s="334"/>
      <c r="C19" s="43" t="s">
        <v>548</v>
      </c>
      <c r="D19" s="234">
        <v>13.272477583003472</v>
      </c>
      <c r="E19" s="238">
        <v>933.85000000000014</v>
      </c>
      <c r="F19" s="43" t="s">
        <v>2157</v>
      </c>
      <c r="G19" s="43" t="s">
        <v>2202</v>
      </c>
      <c r="H19" s="234">
        <f>[35]Summary!$N$21</f>
        <v>5.6420233463035023</v>
      </c>
      <c r="I19" s="246">
        <f>MROUND(('LS (Sensus) '!G600*2*(1000/310)/1000*1.1),5)</f>
        <v>815</v>
      </c>
      <c r="J19" s="250">
        <f t="shared" si="0"/>
        <v>26476090</v>
      </c>
      <c r="K19" s="246">
        <f>'LS (Sensus) '!G600*2*1.1/2000</f>
        <v>126.4516</v>
      </c>
      <c r="L19" s="249">
        <f t="shared" si="1"/>
        <v>1896774</v>
      </c>
      <c r="M19" s="251">
        <f t="array" ref="M19">ROUNDUP('LS (Sensus) '!$G600/35000,0)</f>
        <v>4</v>
      </c>
      <c r="N19" s="251">
        <f>ROUNDUP('LS (Sensus) '!$G600*0.5/35000,0)</f>
        <v>2</v>
      </c>
      <c r="O19" s="145">
        <f t="shared" si="2"/>
        <v>2</v>
      </c>
    </row>
    <row r="20" spans="1:15" hidden="1" outlineLevel="1" x14ac:dyDescent="0.2">
      <c r="A20" s="338" t="s">
        <v>2152</v>
      </c>
      <c r="B20" s="339"/>
      <c r="C20" s="340"/>
      <c r="D20" s="235">
        <f>'[35]Monitoring Pengendalian'!$H$615</f>
        <v>13.4801434886586</v>
      </c>
      <c r="E20" s="239">
        <f>SUM(E12:E19)</f>
        <v>6304.17</v>
      </c>
      <c r="F20" s="229" t="s">
        <v>2160</v>
      </c>
      <c r="G20" s="229" t="s">
        <v>2205</v>
      </c>
      <c r="H20" s="235"/>
    </row>
    <row r="21" spans="1:15" hidden="1" outlineLevel="1" x14ac:dyDescent="0.2">
      <c r="A21" s="341" t="s">
        <v>2153</v>
      </c>
      <c r="B21" s="341"/>
      <c r="C21" s="341"/>
      <c r="D21" s="237">
        <f>'[35]Monitoring Pengendalian'!$H$616</f>
        <v>12.016426641688458</v>
      </c>
      <c r="E21" s="240">
        <f>SUM(E20,E11)</f>
        <v>14968.27</v>
      </c>
      <c r="F21" s="236" t="s">
        <v>2161</v>
      </c>
      <c r="G21" s="236" t="s">
        <v>2205</v>
      </c>
      <c r="H21" s="237"/>
    </row>
    <row r="22" spans="1:15" collapsed="1" x14ac:dyDescent="0.2">
      <c r="A22" s="335" t="s">
        <v>628</v>
      </c>
      <c r="B22" s="335" t="s">
        <v>47</v>
      </c>
      <c r="C22" s="43" t="s">
        <v>216</v>
      </c>
      <c r="D22" s="234">
        <f>'[40]SUMMARY (Tom)'!$C$9</f>
        <v>15.704172876304023</v>
      </c>
      <c r="E22" s="238">
        <f>'[40]Summary Data'!$E$4</f>
        <v>884.34</v>
      </c>
      <c r="F22" s="43" t="s">
        <v>2196</v>
      </c>
      <c r="G22" s="43" t="s">
        <v>2206</v>
      </c>
      <c r="H22" s="234">
        <f>'[40]SUMMARY (Tom)'!$F$9</f>
        <v>2.2798390701832814</v>
      </c>
    </row>
    <row r="23" spans="1:15" x14ac:dyDescent="0.2">
      <c r="A23" s="336"/>
      <c r="B23" s="336"/>
      <c r="C23" s="43" t="s">
        <v>252</v>
      </c>
      <c r="D23" s="234">
        <v>21.309192200557103</v>
      </c>
      <c r="E23" s="238">
        <v>891.03999999999985</v>
      </c>
      <c r="F23" s="43" t="s">
        <v>2179</v>
      </c>
      <c r="G23" s="43" t="s">
        <v>2164</v>
      </c>
      <c r="H23" s="234">
        <f>'[41]SUMMARY (3)'!$R$10</f>
        <v>2.9303487845971503</v>
      </c>
    </row>
    <row r="24" spans="1:15" x14ac:dyDescent="0.2">
      <c r="A24" s="337"/>
      <c r="B24" s="337"/>
      <c r="C24" s="43" t="s">
        <v>290</v>
      </c>
      <c r="D24" s="234">
        <f>'[40]SUMMARY (Tom)'!$C$11</f>
        <v>11.865950277752482</v>
      </c>
      <c r="E24" s="238">
        <f>'[40]Summary Data'!$E$12</f>
        <v>870.63999999999987</v>
      </c>
      <c r="F24" s="43" t="s">
        <v>2196</v>
      </c>
      <c r="G24" s="43" t="s">
        <v>2207</v>
      </c>
      <c r="H24" s="234">
        <f>'[40]SUMMARY (Tom)'!$F$11</f>
        <v>2.4872809496890897</v>
      </c>
    </row>
    <row r="25" spans="1:15" x14ac:dyDescent="0.2">
      <c r="A25" s="43" t="s">
        <v>2149</v>
      </c>
      <c r="B25" s="43" t="s">
        <v>14</v>
      </c>
      <c r="C25" s="43" t="s">
        <v>47</v>
      </c>
      <c r="D25" s="234">
        <v>23.440424204616345</v>
      </c>
      <c r="E25" s="238">
        <v>857.89</v>
      </c>
      <c r="F25" s="43" t="s">
        <v>2162</v>
      </c>
      <c r="G25" s="43" t="s">
        <v>2178</v>
      </c>
      <c r="H25" s="234">
        <v>18.16</v>
      </c>
      <c r="K25" s="241"/>
    </row>
    <row r="26" spans="1:15" x14ac:dyDescent="0.2">
      <c r="A26" s="43" t="s">
        <v>2150</v>
      </c>
      <c r="B26" s="43" t="s">
        <v>47</v>
      </c>
      <c r="C26" s="43" t="s">
        <v>323</v>
      </c>
      <c r="D26" s="234">
        <v>16.819191470457575</v>
      </c>
      <c r="E26" s="238">
        <v>702.16</v>
      </c>
      <c r="F26" s="43" t="s">
        <v>2179</v>
      </c>
      <c r="G26" s="43" t="s">
        <v>2180</v>
      </c>
      <c r="H26" s="234">
        <v>3.66</v>
      </c>
    </row>
    <row r="27" spans="1:15" x14ac:dyDescent="0.2">
      <c r="A27" s="316" t="s">
        <v>2154</v>
      </c>
      <c r="B27" s="316"/>
      <c r="C27" s="316"/>
      <c r="D27" s="235">
        <v>19.222278824927834</v>
      </c>
      <c r="E27" s="239">
        <f>SUM(E25:E26)</f>
        <v>1560.05</v>
      </c>
      <c r="F27" s="229" t="s">
        <v>2181</v>
      </c>
      <c r="G27" s="229" t="s">
        <v>2182</v>
      </c>
      <c r="H27" s="235">
        <f>AVERAGE(H25:H26)</f>
        <v>10.91</v>
      </c>
    </row>
    <row r="28" spans="1:15" x14ac:dyDescent="0.2">
      <c r="A28" s="334" t="s">
        <v>1821</v>
      </c>
      <c r="B28" s="334" t="s">
        <v>14</v>
      </c>
      <c r="C28" s="43" t="s">
        <v>173</v>
      </c>
      <c r="D28" s="234">
        <v>8.5193784604393645</v>
      </c>
      <c r="E28" s="238">
        <f>300.93</f>
        <v>300.93</v>
      </c>
      <c r="F28" s="43" t="s">
        <v>2162</v>
      </c>
      <c r="G28" s="43" t="s">
        <v>2183</v>
      </c>
      <c r="H28" s="234">
        <f>9.33</f>
        <v>9.33</v>
      </c>
    </row>
    <row r="29" spans="1:15" x14ac:dyDescent="0.2">
      <c r="A29" s="334"/>
      <c r="B29" s="334"/>
      <c r="C29" s="233" t="s">
        <v>216</v>
      </c>
      <c r="D29" s="234">
        <v>16.031746031746032</v>
      </c>
      <c r="E29" s="238">
        <f>'[42]Roadmap AFD 6 &amp; 7 new'!$E$160</f>
        <v>689.13000000000022</v>
      </c>
      <c r="F29" s="43" t="s">
        <v>2158</v>
      </c>
      <c r="G29" s="43" t="s">
        <v>2184</v>
      </c>
      <c r="H29" s="234">
        <v>8.02</v>
      </c>
    </row>
    <row r="30" spans="1:15" x14ac:dyDescent="0.2">
      <c r="A30" s="316" t="s">
        <v>2155</v>
      </c>
      <c r="B30" s="316"/>
      <c r="C30" s="316"/>
      <c r="D30" s="235">
        <v>12.981361955181667</v>
      </c>
      <c r="E30" s="239">
        <f>SUM(E29,E28)</f>
        <v>990.06000000000017</v>
      </c>
      <c r="F30" s="229" t="s">
        <v>2185</v>
      </c>
      <c r="G30" s="229" t="s">
        <v>2184</v>
      </c>
      <c r="H30" s="235">
        <f>AVERAGE(H28:H29)</f>
        <v>8.6750000000000007</v>
      </c>
    </row>
    <row r="31" spans="1:15" x14ac:dyDescent="0.2">
      <c r="A31" s="43" t="s">
        <v>1043</v>
      </c>
      <c r="B31" s="334" t="s">
        <v>2166</v>
      </c>
      <c r="C31" s="334"/>
      <c r="D31" s="334"/>
      <c r="E31" s="334"/>
      <c r="F31" s="334"/>
      <c r="G31" s="334"/>
      <c r="H31" s="334"/>
    </row>
    <row r="32" spans="1:15" x14ac:dyDescent="0.2">
      <c r="A32" s="43" t="s">
        <v>949</v>
      </c>
      <c r="B32" s="43" t="s">
        <v>14</v>
      </c>
      <c r="C32" s="43" t="s">
        <v>12</v>
      </c>
      <c r="D32" s="242">
        <f>'Summary FR Kalbar'!K9</f>
        <v>9.9514380418916559</v>
      </c>
      <c r="E32" s="342" t="s">
        <v>2167</v>
      </c>
      <c r="F32" s="343"/>
      <c r="G32" s="343"/>
      <c r="H32" s="344"/>
    </row>
    <row r="33" spans="1:8" x14ac:dyDescent="0.2">
      <c r="A33" s="43" t="s">
        <v>1914</v>
      </c>
      <c r="B33" s="334" t="s">
        <v>2166</v>
      </c>
      <c r="C33" s="334"/>
      <c r="D33" s="334"/>
      <c r="E33" s="334"/>
      <c r="F33" s="334"/>
      <c r="G33" s="334"/>
      <c r="H33" s="334"/>
    </row>
    <row r="34" spans="1:8" x14ac:dyDescent="0.2">
      <c r="A34" s="43" t="s">
        <v>1970</v>
      </c>
      <c r="B34" s="43" t="s">
        <v>14</v>
      </c>
      <c r="C34" s="43" t="s">
        <v>12</v>
      </c>
      <c r="D34" s="242">
        <f>'Summary FR Kalbar'!K15</f>
        <v>6.5379756069274029</v>
      </c>
      <c r="E34" s="342" t="s">
        <v>2188</v>
      </c>
      <c r="F34" s="343"/>
      <c r="G34" s="343"/>
      <c r="H34" s="344"/>
    </row>
    <row r="35" spans="1:8" x14ac:dyDescent="0.2">
      <c r="A35" s="43" t="s">
        <v>1927</v>
      </c>
      <c r="B35" s="43" t="s">
        <v>14</v>
      </c>
      <c r="C35" s="245" t="s">
        <v>2186</v>
      </c>
      <c r="D35" s="242">
        <v>12.93</v>
      </c>
      <c r="E35" s="238">
        <f>451.18</f>
        <v>451.18</v>
      </c>
      <c r="F35" s="43" t="s">
        <v>2159</v>
      </c>
      <c r="G35" s="43" t="s">
        <v>2187</v>
      </c>
      <c r="H35" s="234" t="s">
        <v>2163</v>
      </c>
    </row>
  </sheetData>
  <mergeCells count="20">
    <mergeCell ref="A22:A24"/>
    <mergeCell ref="B22:B24"/>
    <mergeCell ref="A27:C27"/>
    <mergeCell ref="E34:H34"/>
    <mergeCell ref="A30:C30"/>
    <mergeCell ref="A28:A29"/>
    <mergeCell ref="B28:B29"/>
    <mergeCell ref="B31:H31"/>
    <mergeCell ref="B33:H33"/>
    <mergeCell ref="E32:H32"/>
    <mergeCell ref="B2:B6"/>
    <mergeCell ref="B7:B10"/>
    <mergeCell ref="A2:A10"/>
    <mergeCell ref="A20:C20"/>
    <mergeCell ref="A21:C21"/>
    <mergeCell ref="E16:H16"/>
    <mergeCell ref="A11:C11"/>
    <mergeCell ref="A12:A19"/>
    <mergeCell ref="B17:B19"/>
    <mergeCell ref="B12:B16"/>
  </mergeCells>
  <conditionalFormatting sqref="D32">
    <cfRule type="cellIs" dxfId="99" priority="29" operator="lessThan">
      <formula>2</formula>
    </cfRule>
    <cfRule type="cellIs" dxfId="98" priority="30" operator="between">
      <formula>2</formula>
      <formula>5</formula>
    </cfRule>
    <cfRule type="cellIs" dxfId="97" priority="31" operator="greaterThanOrEqual">
      <formula>5</formula>
    </cfRule>
  </conditionalFormatting>
  <conditionalFormatting sqref="D34:D35">
    <cfRule type="cellIs" dxfId="96" priority="26" operator="lessThan">
      <formula>2</formula>
    </cfRule>
    <cfRule type="cellIs" dxfId="95" priority="27" operator="between">
      <formula>2</formula>
      <formula>5</formula>
    </cfRule>
    <cfRule type="cellIs" dxfId="94" priority="28" operator="greaterThanOrEqual">
      <formula>5</formula>
    </cfRule>
  </conditionalFormatting>
  <conditionalFormatting sqref="H2:H15 D2:D30 E16 H17:H30">
    <cfRule type="cellIs" dxfId="93" priority="36" operator="between">
      <formula>2</formula>
      <formula>5</formula>
    </cfRule>
    <cfRule type="cellIs" dxfId="92" priority="37" operator="greaterThanOrEqual">
      <formula>5</formula>
    </cfRule>
  </conditionalFormatting>
  <conditionalFormatting sqref="H2:H15 E16 D2:D30 H17:H30">
    <cfRule type="cellIs" dxfId="91" priority="35" operator="lessThan">
      <formula>2</formula>
    </cfRule>
  </conditionalFormatting>
  <conditionalFormatting sqref="H4:H6 H15 E16">
    <cfRule type="cellIs" dxfId="90" priority="22" operator="equal">
      <formula>"belum dilakukan pengecekan"</formula>
    </cfRule>
  </conditionalFormatting>
  <conditionalFormatting sqref="H9:H10">
    <cfRule type="cellIs" dxfId="89" priority="21" operator="equal">
      <formula>"belum dilakukan pengecekan"</formula>
    </cfRule>
  </conditionalFormatting>
  <conditionalFormatting sqref="H35">
    <cfRule type="cellIs" dxfId="88" priority="1" operator="equal">
      <formula>"belum dilakukan pengecekan"</formula>
    </cfRule>
    <cfRule type="cellIs" dxfId="87" priority="2" operator="lessThan">
      <formula>2</formula>
    </cfRule>
    <cfRule type="cellIs" dxfId="86" priority="3" operator="between">
      <formula>2</formula>
      <formula>5</formula>
    </cfRule>
    <cfRule type="cellIs" dxfId="85" priority="4" operator="greaterThanOrEqual">
      <formula>5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B755-5F8A-456F-ACE6-9EA4464F992A}">
  <dimension ref="A1:AM26"/>
  <sheetViews>
    <sheetView zoomScale="55" zoomScaleNormal="55" workbookViewId="0">
      <pane xSplit="3" ySplit="3" topLeftCell="D4" activePane="bottomRight" state="frozen"/>
      <selection pane="topRight" activeCell="D1" sqref="D1"/>
      <selection pane="bottomLeft" activeCell="A3" sqref="A3"/>
      <selection pane="bottomRight" activeCell="N58" sqref="N58"/>
    </sheetView>
  </sheetViews>
  <sheetFormatPr baseColWidth="10" defaultColWidth="8.83203125" defaultRowHeight="15" x14ac:dyDescent="0.2"/>
  <cols>
    <col min="1" max="1" width="6.83203125" customWidth="1"/>
    <col min="2" max="2" width="11.1640625" bestFit="1" customWidth="1"/>
    <col min="3" max="3" width="12" customWidth="1"/>
    <col min="4" max="4" width="11.5" bestFit="1" customWidth="1"/>
    <col min="5" max="5" width="12.1640625" customWidth="1"/>
    <col min="6" max="6" width="10.83203125" customWidth="1"/>
    <col min="7" max="7" width="14" bestFit="1" customWidth="1"/>
    <col min="8" max="8" width="101.83203125" customWidth="1"/>
    <col min="9" max="9" width="12.83203125" bestFit="1" customWidth="1"/>
    <col min="10" max="10" width="11.83203125" customWidth="1"/>
    <col min="11" max="11" width="8" customWidth="1"/>
    <col min="12" max="12" width="52.6640625" customWidth="1"/>
    <col min="13" max="13" width="9" bestFit="1" customWidth="1"/>
    <col min="14" max="14" width="16.1640625" customWidth="1"/>
    <col min="15" max="15" width="18.1640625" bestFit="1" customWidth="1"/>
    <col min="16" max="16" width="22.1640625" bestFit="1" customWidth="1"/>
    <col min="17" max="17" width="20.83203125" bestFit="1" customWidth="1"/>
    <col min="25" max="25" width="11.1640625" bestFit="1" customWidth="1"/>
    <col min="26" max="26" width="20.1640625" customWidth="1"/>
    <col min="27" max="27" width="22.6640625" bestFit="1" customWidth="1"/>
    <col min="28" max="28" width="27.1640625" bestFit="1" customWidth="1"/>
    <col min="29" max="29" width="26.1640625" bestFit="1" customWidth="1"/>
    <col min="35" max="35" width="11.1640625" bestFit="1" customWidth="1"/>
    <col min="36" max="36" width="20.1640625" customWidth="1"/>
    <col min="37" max="37" width="22.6640625" bestFit="1" customWidth="1"/>
    <col min="38" max="38" width="27.1640625" bestFit="1" customWidth="1"/>
    <col min="39" max="39" width="26.1640625" bestFit="1" customWidth="1"/>
  </cols>
  <sheetData>
    <row r="1" spans="1:39" ht="21" x14ac:dyDescent="0.25">
      <c r="A1" s="345" t="s">
        <v>2056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</row>
    <row r="2" spans="1:39" ht="42" customHeight="1" x14ac:dyDescent="0.2">
      <c r="A2" s="347" t="s">
        <v>2051</v>
      </c>
      <c r="B2" s="347" t="s">
        <v>619</v>
      </c>
      <c r="C2" s="347" t="s">
        <v>625</v>
      </c>
      <c r="D2" s="347" t="s">
        <v>2053</v>
      </c>
      <c r="E2" s="348" t="s">
        <v>2059</v>
      </c>
      <c r="F2" s="349"/>
      <c r="G2" s="349"/>
      <c r="H2" s="350"/>
      <c r="I2" s="347" t="s">
        <v>2058</v>
      </c>
      <c r="J2" s="347"/>
      <c r="K2" s="347"/>
      <c r="L2" s="347"/>
    </row>
    <row r="3" spans="1:39" ht="44" x14ac:dyDescent="0.2">
      <c r="A3" s="347"/>
      <c r="B3" s="347"/>
      <c r="C3" s="347"/>
      <c r="D3" s="347"/>
      <c r="E3" s="160" t="s">
        <v>625</v>
      </c>
      <c r="F3" s="160" t="s">
        <v>2055</v>
      </c>
      <c r="G3" s="160" t="s">
        <v>2054</v>
      </c>
      <c r="H3" s="160" t="s">
        <v>2070</v>
      </c>
      <c r="I3" s="160" t="s">
        <v>625</v>
      </c>
      <c r="J3" s="160" t="s">
        <v>2055</v>
      </c>
      <c r="K3" s="160" t="s">
        <v>2054</v>
      </c>
      <c r="L3" s="160" t="s">
        <v>2070</v>
      </c>
    </row>
    <row r="4" spans="1:39" ht="44" x14ac:dyDescent="0.2">
      <c r="A4" s="325" t="s">
        <v>14</v>
      </c>
      <c r="B4" s="161" t="s">
        <v>618</v>
      </c>
      <c r="C4" s="162">
        <f>'Summary FR Kalbar'!D6</f>
        <v>577</v>
      </c>
      <c r="D4" s="163">
        <f>'Summary FR Kalbar'!C6</f>
        <v>16741.93</v>
      </c>
      <c r="E4" s="162" t="s">
        <v>12</v>
      </c>
      <c r="F4" s="162" t="s">
        <v>12</v>
      </c>
      <c r="G4" s="162" t="s">
        <v>12</v>
      </c>
      <c r="H4" s="162" t="s">
        <v>12</v>
      </c>
      <c r="I4" s="162">
        <f>'[43]Summary FR Kalbar'!$D$6</f>
        <v>272</v>
      </c>
      <c r="J4" s="163">
        <f>'[43]Summary FR Kalbar'!$E$6</f>
        <v>7925.71</v>
      </c>
      <c r="K4" s="164">
        <f>I4/C4*100</f>
        <v>47.140381282495667</v>
      </c>
      <c r="L4" s="166" t="s">
        <v>2057</v>
      </c>
    </row>
    <row r="5" spans="1:39" ht="44" x14ac:dyDescent="0.2">
      <c r="A5" s="325"/>
      <c r="B5" s="162" t="s">
        <v>628</v>
      </c>
      <c r="C5" s="162">
        <f>'Summary FR Kalbar'!D7</f>
        <v>430</v>
      </c>
      <c r="D5" s="163">
        <f>'Summary FR Kalbar'!C7</f>
        <v>10658.000000000009</v>
      </c>
      <c r="E5" s="162" t="s">
        <v>12</v>
      </c>
      <c r="F5" s="162" t="s">
        <v>12</v>
      </c>
      <c r="G5" s="162" t="s">
        <v>12</v>
      </c>
      <c r="H5" s="162" t="s">
        <v>12</v>
      </c>
      <c r="I5" s="162">
        <f>'[43]Summary FR Kalbar'!$D$7</f>
        <v>112</v>
      </c>
      <c r="J5" s="163">
        <f>'[43]Summary FR Kalbar'!$E$7</f>
        <v>3239.2199999999989</v>
      </c>
      <c r="K5" s="162">
        <f>I5/C5*100</f>
        <v>26.046511627906977</v>
      </c>
      <c r="L5" s="166" t="s">
        <v>2057</v>
      </c>
    </row>
    <row r="6" spans="1:39" ht="22" x14ac:dyDescent="0.2">
      <c r="A6" s="325"/>
      <c r="B6" s="162" t="s">
        <v>1043</v>
      </c>
      <c r="C6" s="162">
        <f>'Summary FR Kalbar'!V8</f>
        <v>294</v>
      </c>
      <c r="D6" s="163">
        <f>'Summary FR Kalbar'!W8</f>
        <v>9616.4100000000035</v>
      </c>
      <c r="E6" s="162">
        <f>'Summary FR Kalbar'!V8</f>
        <v>294</v>
      </c>
      <c r="F6" s="163">
        <f>'Summary FR Kalbar'!Y8</f>
        <v>9616.4100000000035</v>
      </c>
      <c r="G6" s="162">
        <f t="shared" ref="G6:G12" si="0">E6/C6*100</f>
        <v>100</v>
      </c>
      <c r="H6" s="171" t="s">
        <v>2069</v>
      </c>
      <c r="I6" s="346" t="s">
        <v>12</v>
      </c>
      <c r="J6" s="346"/>
      <c r="K6" s="346"/>
      <c r="L6" s="174" t="s">
        <v>12</v>
      </c>
    </row>
    <row r="7" spans="1:39" ht="111" customHeight="1" x14ac:dyDescent="0.2">
      <c r="A7" s="325"/>
      <c r="B7" s="162" t="s">
        <v>949</v>
      </c>
      <c r="C7" s="162">
        <f>'Summary FR Kalbar'!V9</f>
        <v>210</v>
      </c>
      <c r="D7" s="163">
        <f>'Summary FR Kalbar'!W9</f>
        <v>6744.86</v>
      </c>
      <c r="E7" s="162">
        <f>SUM('[43]Summary FR Kalbar'!$X$9,'[43]Summary FR Kalbar'!$AR$9)-4</f>
        <v>50</v>
      </c>
      <c r="F7" s="163">
        <f>'[43]Summary FR Kalbar'!$Y$9+'[43]Summary FR Kalbar'!$AS$9-118.98</f>
        <v>1569.49</v>
      </c>
      <c r="G7" s="164">
        <f t="shared" si="0"/>
        <v>23.809523809523807</v>
      </c>
      <c r="H7" s="171" t="s">
        <v>2068</v>
      </c>
      <c r="I7" s="346" t="s">
        <v>12</v>
      </c>
      <c r="J7" s="346"/>
      <c r="K7" s="346"/>
      <c r="L7" s="174" t="s">
        <v>12</v>
      </c>
      <c r="M7" s="165"/>
      <c r="N7" s="165"/>
    </row>
    <row r="8" spans="1:39" ht="44" x14ac:dyDescent="0.2">
      <c r="A8" s="325" t="s">
        <v>47</v>
      </c>
      <c r="B8" s="162" t="s">
        <v>1741</v>
      </c>
      <c r="C8" s="162">
        <f>'Summary FR Kalbar'!V12</f>
        <v>367</v>
      </c>
      <c r="D8" s="163">
        <f>'Summary FR Kalbar'!W12</f>
        <v>10716.919999999998</v>
      </c>
      <c r="E8" s="162">
        <f>'[43]Summary FR Kalbar'!$X$12+'[43]Summary FR Kalbar'!$AR$12-37</f>
        <v>157</v>
      </c>
      <c r="F8" s="163">
        <f>SUM('[43]Summary FR Kalbar'!$Y$12+'[43]Summary FR Kalbar'!$AS$12)-1050.71</f>
        <v>4585.74</v>
      </c>
      <c r="G8" s="164">
        <f t="shared" si="0"/>
        <v>42.779291553133511</v>
      </c>
      <c r="H8" s="161" t="s">
        <v>2066</v>
      </c>
      <c r="I8" s="162">
        <f>'[43]Summary FR Kalbar'!$D$12</f>
        <v>185</v>
      </c>
      <c r="J8" s="163">
        <f>'[43]Summary FR Kalbar'!$E$12</f>
        <v>5315.4500000000007</v>
      </c>
      <c r="K8" s="164">
        <f>I8/C8*100</f>
        <v>50.408719346049047</v>
      </c>
      <c r="L8" s="166" t="s">
        <v>2057</v>
      </c>
    </row>
    <row r="9" spans="1:39" ht="44" x14ac:dyDescent="0.2">
      <c r="A9" s="325"/>
      <c r="B9" s="162" t="s">
        <v>1821</v>
      </c>
      <c r="C9" s="162">
        <f>'Summary FR Kalbar'!V14</f>
        <v>194</v>
      </c>
      <c r="D9" s="163">
        <f>'Summary FR Kalbar'!W14</f>
        <v>5972.4400000000023</v>
      </c>
      <c r="E9" s="162">
        <f>'[43]Summary FR Kalbar'!$AR$14+'[43]Summary FR Kalbar'!$X$14-10</f>
        <v>64</v>
      </c>
      <c r="F9" s="163">
        <f>SUM('[43]Summary FR Kalbar'!$Y$14,'[43]Summary FR Kalbar'!$AS$14)-314.08</f>
        <v>1988.6899999999996</v>
      </c>
      <c r="G9" s="164">
        <f t="shared" si="0"/>
        <v>32.989690721649481</v>
      </c>
      <c r="H9" s="161" t="s">
        <v>2067</v>
      </c>
      <c r="I9" s="351" t="s">
        <v>2071</v>
      </c>
      <c r="J9" s="351"/>
      <c r="K9" s="351"/>
      <c r="L9" s="351"/>
    </row>
    <row r="10" spans="1:39" ht="112.25" customHeight="1" x14ac:dyDescent="0.2">
      <c r="A10" s="325"/>
      <c r="B10" s="162" t="s">
        <v>1914</v>
      </c>
      <c r="C10" s="162">
        <f>'Summary FR Kalbar'!V13</f>
        <v>154</v>
      </c>
      <c r="D10" s="163">
        <f>'Summary FR Kalbar'!W13</f>
        <v>5164.0999999999995</v>
      </c>
      <c r="E10" s="162">
        <f>'[43]Summary FR Kalbar'!$X$13+'[43]Summary FR Kalbar'!$AR$13-36</f>
        <v>81</v>
      </c>
      <c r="F10" s="163">
        <f>SUM('[43]Summary FR Kalbar'!$AS$13,'[43]Summary FR Kalbar'!$Y$13)-1208.41</f>
        <v>2710.2199999999993</v>
      </c>
      <c r="G10" s="164">
        <f t="shared" si="0"/>
        <v>52.597402597402599</v>
      </c>
      <c r="H10" s="171" t="s">
        <v>2072</v>
      </c>
      <c r="I10" s="346" t="s">
        <v>12</v>
      </c>
      <c r="J10" s="346"/>
      <c r="K10" s="346"/>
      <c r="L10" s="174" t="s">
        <v>12</v>
      </c>
    </row>
    <row r="11" spans="1:39" ht="109.75" customHeight="1" x14ac:dyDescent="0.2">
      <c r="A11" s="325"/>
      <c r="B11" s="162" t="s">
        <v>1927</v>
      </c>
      <c r="C11" s="162">
        <f>'Summary FR Kalbar'!V16</f>
        <v>77</v>
      </c>
      <c r="D11" s="163">
        <f>'Summary FR Kalbar'!W16</f>
        <v>2590.9999999999995</v>
      </c>
      <c r="E11" s="162">
        <f>SUM('[43]Summary FR Kalbar'!$X$16,'[43]Summary FR Kalbar'!$AR$16)-20</f>
        <v>42</v>
      </c>
      <c r="F11" s="163">
        <f>SUM('[43]Summary FR Kalbar'!$AS$16,'[43]Summary FR Kalbar'!$Y$16)-705.59</f>
        <v>1372.21</v>
      </c>
      <c r="G11" s="164">
        <f t="shared" si="0"/>
        <v>54.54545454545454</v>
      </c>
      <c r="H11" s="171" t="s">
        <v>2073</v>
      </c>
      <c r="I11" s="346" t="s">
        <v>12</v>
      </c>
      <c r="J11" s="346"/>
      <c r="K11" s="346"/>
      <c r="L11" s="174" t="s">
        <v>12</v>
      </c>
    </row>
    <row r="12" spans="1:39" ht="111" customHeight="1" x14ac:dyDescent="0.2">
      <c r="A12" s="325"/>
      <c r="B12" s="162" t="s">
        <v>1970</v>
      </c>
      <c r="C12" s="162">
        <f>'Summary FR Kalbar'!V15</f>
        <v>87</v>
      </c>
      <c r="D12" s="163">
        <f>'Summary FR Kalbar'!W15</f>
        <v>2910.9299999999994</v>
      </c>
      <c r="E12" s="162">
        <f>SUM('[43]Summary FR Kalbar'!$X$15,'[43]Summary FR Kalbar'!$AR$15)-21</f>
        <v>39</v>
      </c>
      <c r="F12" s="163">
        <f>SUM('[43]Summary FR Kalbar'!$AS$15,'[43]Summary FR Kalbar'!$Y$15)-697.38</f>
        <v>1278.5099999999998</v>
      </c>
      <c r="G12" s="164">
        <f t="shared" si="0"/>
        <v>44.827586206896555</v>
      </c>
      <c r="H12" s="171" t="s">
        <v>2074</v>
      </c>
      <c r="I12" s="346" t="s">
        <v>12</v>
      </c>
      <c r="J12" s="346"/>
      <c r="K12" s="346"/>
      <c r="L12" s="174" t="s">
        <v>12</v>
      </c>
    </row>
    <row r="16" spans="1:39" ht="21" x14ac:dyDescent="0.25">
      <c r="M16" s="354" t="s">
        <v>619</v>
      </c>
      <c r="N16" s="352" t="s">
        <v>621</v>
      </c>
      <c r="O16" s="353" t="s">
        <v>2063</v>
      </c>
      <c r="P16" s="353"/>
      <c r="Q16" s="353"/>
      <c r="Y16" s="354" t="s">
        <v>619</v>
      </c>
      <c r="Z16" s="352" t="s">
        <v>2064</v>
      </c>
      <c r="AA16" s="353" t="s">
        <v>2063</v>
      </c>
      <c r="AB16" s="353"/>
      <c r="AC16" s="353"/>
      <c r="AI16" s="354" t="s">
        <v>619</v>
      </c>
      <c r="AJ16" s="352" t="s">
        <v>2065</v>
      </c>
      <c r="AK16" s="353" t="s">
        <v>2063</v>
      </c>
      <c r="AL16" s="353"/>
      <c r="AM16" s="353"/>
    </row>
    <row r="17" spans="13:39" ht="21" x14ac:dyDescent="0.25">
      <c r="M17" s="354"/>
      <c r="N17" s="352"/>
      <c r="O17" s="167" t="s">
        <v>2060</v>
      </c>
      <c r="P17" s="168" t="s">
        <v>2061</v>
      </c>
      <c r="Q17" s="169" t="s">
        <v>2062</v>
      </c>
      <c r="Y17" s="354"/>
      <c r="Z17" s="352"/>
      <c r="AA17" s="167" t="s">
        <v>2060</v>
      </c>
      <c r="AB17" s="168" t="s">
        <v>2061</v>
      </c>
      <c r="AC17" s="169" t="s">
        <v>2062</v>
      </c>
      <c r="AI17" s="354"/>
      <c r="AJ17" s="352"/>
      <c r="AK17" s="167" t="s">
        <v>2060</v>
      </c>
      <c r="AL17" s="168" t="s">
        <v>2061</v>
      </c>
      <c r="AM17" s="169" t="s">
        <v>2062</v>
      </c>
    </row>
    <row r="18" spans="13:39" ht="21" x14ac:dyDescent="0.2">
      <c r="M18" s="162" t="str">
        <f t="shared" ref="M18:M26" si="1">B4</f>
        <v>LS</v>
      </c>
      <c r="N18" s="162">
        <f>I4</f>
        <v>272</v>
      </c>
      <c r="O18" s="162">
        <f>'[43]Summary FR Kalbar'!$H$6</f>
        <v>236</v>
      </c>
      <c r="P18" s="162">
        <f>'[43]Summary FR Kalbar'!$L$6</f>
        <v>28</v>
      </c>
      <c r="Q18" s="162">
        <f>'[43]Summary FR Kalbar'!$P$6</f>
        <v>8</v>
      </c>
      <c r="Y18" s="162" t="str">
        <f>M18</f>
        <v>LS</v>
      </c>
      <c r="Z18" s="162"/>
      <c r="AA18" s="162"/>
      <c r="AB18" s="162"/>
      <c r="AC18" s="162"/>
      <c r="AI18" s="162" t="str">
        <f>Y18</f>
        <v>LS</v>
      </c>
      <c r="AJ18" s="162"/>
      <c r="AK18" s="162"/>
      <c r="AL18" s="162"/>
      <c r="AM18" s="162"/>
    </row>
    <row r="19" spans="13:39" ht="21" x14ac:dyDescent="0.2">
      <c r="M19" s="162" t="str">
        <f t="shared" si="1"/>
        <v>KALE</v>
      </c>
      <c r="N19" s="162">
        <f>I5</f>
        <v>112</v>
      </c>
      <c r="O19" s="162">
        <f>'[43]Summary FR Kalbar'!$H$7</f>
        <v>92</v>
      </c>
      <c r="P19" s="162">
        <f>'[43]Summary FR Kalbar'!$L$7</f>
        <v>17</v>
      </c>
      <c r="Q19" s="162">
        <f>'[43]Summary FR Kalbar'!$P$7</f>
        <v>3</v>
      </c>
      <c r="Y19" s="162" t="str">
        <f t="shared" ref="Y19:Y26" si="2">M19</f>
        <v>KALE</v>
      </c>
      <c r="Z19" s="162"/>
      <c r="AA19" s="162"/>
      <c r="AB19" s="162"/>
      <c r="AC19" s="162"/>
      <c r="AI19" s="162" t="str">
        <f t="shared" ref="AI19:AI26" si="3">Y19</f>
        <v>KALE</v>
      </c>
      <c r="AJ19" s="162"/>
      <c r="AK19" s="162"/>
      <c r="AL19" s="162"/>
      <c r="AM19" s="162"/>
    </row>
    <row r="20" spans="13:39" ht="21" x14ac:dyDescent="0.2">
      <c r="M20" s="162" t="str">
        <f t="shared" si="1"/>
        <v>USP</v>
      </c>
      <c r="N20" s="162" t="s">
        <v>12</v>
      </c>
      <c r="O20" s="162"/>
      <c r="P20" s="162"/>
      <c r="Q20" s="162"/>
      <c r="Y20" s="162" t="str">
        <f t="shared" si="2"/>
        <v>USP</v>
      </c>
      <c r="Z20" s="162">
        <f>'[43]Summary FR Kalbar'!$X$8</f>
        <v>294</v>
      </c>
      <c r="AA20" s="162">
        <f>'[43]Summary FR Kalbar'!$AB$8</f>
        <v>1</v>
      </c>
      <c r="AB20" s="162">
        <f>'[43]Summary FR Kalbar'!$AF$8</f>
        <v>112</v>
      </c>
      <c r="AC20" s="162">
        <f>'[43]Summary FR Kalbar'!$AJ$8</f>
        <v>181</v>
      </c>
      <c r="AI20" s="162" t="str">
        <f t="shared" si="3"/>
        <v>USP</v>
      </c>
      <c r="AJ20" s="162"/>
      <c r="AK20" s="162"/>
      <c r="AL20" s="162"/>
      <c r="AM20" s="162"/>
    </row>
    <row r="21" spans="13:39" ht="21" x14ac:dyDescent="0.2">
      <c r="M21" s="162" t="str">
        <f t="shared" si="1"/>
        <v>FAPE</v>
      </c>
      <c r="N21" s="162" t="s">
        <v>12</v>
      </c>
      <c r="O21" s="162"/>
      <c r="P21" s="162"/>
      <c r="Q21" s="162"/>
      <c r="Y21" s="162" t="str">
        <f t="shared" si="2"/>
        <v>FAPE</v>
      </c>
      <c r="Z21" s="162">
        <f>'[43]Summary FR Kalbar'!$X$9</f>
        <v>36</v>
      </c>
      <c r="AA21" s="162">
        <f>'[43]Summary FR Kalbar'!$AB$9</f>
        <v>4</v>
      </c>
      <c r="AB21" s="162">
        <f>'[43]Summary FR Kalbar'!$AF$9</f>
        <v>16</v>
      </c>
      <c r="AC21" s="162">
        <f>'[43]Summary FR Kalbar'!$AJ$9</f>
        <v>16</v>
      </c>
      <c r="AI21" s="162" t="str">
        <f t="shared" si="3"/>
        <v>FAPE</v>
      </c>
      <c r="AJ21" s="162">
        <f>'[43]Summary FR Kalbar'!$AR$9</f>
        <v>18</v>
      </c>
      <c r="AK21" s="162">
        <f>'[43]Summary FR Kalbar'!$AV$9</f>
        <v>1</v>
      </c>
      <c r="AL21" s="162">
        <f>'[43]Summary FR Kalbar'!$AZ$9</f>
        <v>13</v>
      </c>
      <c r="AM21" s="162">
        <f>'[43]Summary FR Kalbar'!$BD$9</f>
        <v>4</v>
      </c>
    </row>
    <row r="22" spans="13:39" ht="21" x14ac:dyDescent="0.2">
      <c r="M22" s="162" t="str">
        <f t="shared" si="1"/>
        <v>SMP</v>
      </c>
      <c r="N22" s="162">
        <f>I8</f>
        <v>185</v>
      </c>
      <c r="O22" s="162">
        <f>'[43]Summary FR Kalbar'!$H$12</f>
        <v>166</v>
      </c>
      <c r="P22" s="162">
        <f>'[43]Summary FR Kalbar'!$L$12</f>
        <v>15</v>
      </c>
      <c r="Q22" s="162">
        <f>'[43]Summary FR Kalbar'!$P$12</f>
        <v>4</v>
      </c>
      <c r="Y22" s="162" t="str">
        <f t="shared" si="2"/>
        <v>SMP</v>
      </c>
      <c r="Z22" s="162">
        <f>'[43]Summary FR Kalbar'!$X$12</f>
        <v>113</v>
      </c>
      <c r="AA22" s="162">
        <f>'[43]Summary FR Kalbar'!$AB$12</f>
        <v>109</v>
      </c>
      <c r="AB22" s="162">
        <f>'[43]Summary FR Kalbar'!$AF$12</f>
        <v>4</v>
      </c>
      <c r="AC22" s="162"/>
      <c r="AI22" s="162" t="str">
        <f t="shared" si="3"/>
        <v>SMP</v>
      </c>
      <c r="AJ22" s="162">
        <f>'[43]Summary FR Kalbar'!$AR$12</f>
        <v>81</v>
      </c>
      <c r="AK22" s="162">
        <f>'[43]Summary FR Kalbar'!$AV$12</f>
        <v>80</v>
      </c>
      <c r="AL22" s="162">
        <f>'[43]Summary FR Kalbar'!$AZ$12</f>
        <v>1</v>
      </c>
      <c r="AM22" s="162"/>
    </row>
    <row r="23" spans="13:39" ht="21" x14ac:dyDescent="0.2">
      <c r="M23" s="162" t="str">
        <f t="shared" si="1"/>
        <v>MKSK</v>
      </c>
      <c r="N23" s="162" t="s">
        <v>12</v>
      </c>
      <c r="O23" s="162"/>
      <c r="P23" s="162"/>
      <c r="Q23" s="162"/>
      <c r="Y23" s="162" t="str">
        <f t="shared" si="2"/>
        <v>MKSK</v>
      </c>
      <c r="Z23" s="162">
        <f>'[43]Summary FR Kalbar'!$X$14</f>
        <v>40</v>
      </c>
      <c r="AA23" s="162">
        <f>'[43]Summary FR Kalbar'!$AB$14</f>
        <v>38</v>
      </c>
      <c r="AB23" s="162">
        <f>'[43]Summary FR Kalbar'!$AF$14</f>
        <v>1</v>
      </c>
      <c r="AC23" s="162">
        <f>'[43]Summary FR Kalbar'!$AJ$14</f>
        <v>1</v>
      </c>
      <c r="AI23" s="162" t="str">
        <f t="shared" si="3"/>
        <v>MKSK</v>
      </c>
      <c r="AJ23" s="162">
        <f>'[43]Summary FR Kalbar'!$AR$14</f>
        <v>34</v>
      </c>
      <c r="AK23" s="162">
        <f>'[43]Summary FR Kalbar'!$AV$14</f>
        <v>30</v>
      </c>
      <c r="AL23" s="162">
        <f>'[43]Summary FR Kalbar'!$AZ$14</f>
        <v>1</v>
      </c>
      <c r="AM23" s="162">
        <f>'[43]Summary FR Kalbar'!$BD$14</f>
        <v>3</v>
      </c>
    </row>
    <row r="24" spans="13:39" ht="21" x14ac:dyDescent="0.2">
      <c r="M24" s="162" t="str">
        <f t="shared" si="1"/>
        <v>MKSS</v>
      </c>
      <c r="N24" s="162" t="s">
        <v>12</v>
      </c>
      <c r="O24" s="162"/>
      <c r="P24" s="162"/>
      <c r="Q24" s="162"/>
      <c r="Y24" s="162" t="str">
        <f t="shared" si="2"/>
        <v>MKSS</v>
      </c>
      <c r="Z24" s="162">
        <f>'[43]Summary FR Kalbar'!$X$13</f>
        <v>57</v>
      </c>
      <c r="AA24" s="162"/>
      <c r="AB24" s="162">
        <f>'[43]Summary FR Kalbar'!$AF$13</f>
        <v>11</v>
      </c>
      <c r="AC24" s="162">
        <f>'[43]Summary FR Kalbar'!$AJ$13</f>
        <v>46</v>
      </c>
      <c r="AI24" s="162" t="str">
        <f t="shared" si="3"/>
        <v>MKSS</v>
      </c>
      <c r="AJ24" s="162">
        <f>'[43]Summary FR Kalbar'!$AR$13</f>
        <v>60</v>
      </c>
      <c r="AK24" s="162">
        <f>'[43]Summary FR Kalbar'!$AV$13</f>
        <v>0</v>
      </c>
      <c r="AL24" s="162">
        <f>'[43]Summary FR Kalbar'!$AZ$13</f>
        <v>5</v>
      </c>
      <c r="AM24" s="162">
        <f>'[43]Summary FR Kalbar'!$BD$13</f>
        <v>55</v>
      </c>
    </row>
    <row r="25" spans="13:39" ht="21" x14ac:dyDescent="0.2">
      <c r="M25" s="162" t="str">
        <f t="shared" si="1"/>
        <v>BKP</v>
      </c>
      <c r="N25" s="162" t="s">
        <v>12</v>
      </c>
      <c r="O25" s="162"/>
      <c r="P25" s="162"/>
      <c r="Q25" s="162"/>
      <c r="Y25" s="162" t="str">
        <f t="shared" si="2"/>
        <v>BKP</v>
      </c>
      <c r="Z25" s="162">
        <f>'[43]Summary FR Kalbar'!$X$16</f>
        <v>38</v>
      </c>
      <c r="AA25" s="162">
        <f>'[43]Summary FR Kalbar'!$AB$16</f>
        <v>20</v>
      </c>
      <c r="AB25" s="162">
        <f>'[43]Summary FR Kalbar'!$AF$16</f>
        <v>12</v>
      </c>
      <c r="AC25" s="162">
        <f>'[43]Summary FR Kalbar'!$AJ$16</f>
        <v>6</v>
      </c>
      <c r="AI25" s="162" t="str">
        <f t="shared" si="3"/>
        <v>BKP</v>
      </c>
      <c r="AJ25" s="162">
        <f>'[43]Summary FR Kalbar'!$AR$16</f>
        <v>24</v>
      </c>
      <c r="AK25" s="162">
        <f>'[43]Summary FR Kalbar'!$AV$16</f>
        <v>2</v>
      </c>
      <c r="AL25" s="162">
        <f>'[43]Summary FR Kalbar'!$AZ$16</f>
        <v>20</v>
      </c>
      <c r="AM25" s="162">
        <f>'[43]Summary FR Kalbar'!$BD$16</f>
        <v>2</v>
      </c>
    </row>
    <row r="26" spans="13:39" ht="21" x14ac:dyDescent="0.2">
      <c r="M26" s="162" t="str">
        <f t="shared" si="1"/>
        <v>PTLJ</v>
      </c>
      <c r="N26" s="162" t="s">
        <v>12</v>
      </c>
      <c r="O26" s="162"/>
      <c r="P26" s="162"/>
      <c r="Q26" s="162"/>
      <c r="Y26" s="162" t="str">
        <f t="shared" si="2"/>
        <v>PTLJ</v>
      </c>
      <c r="Z26" s="162">
        <f>'[43]Summary FR Kalbar'!$X$15</f>
        <v>38</v>
      </c>
      <c r="AA26" s="162">
        <f>'[43]Summary FR Kalbar'!$AB$15</f>
        <v>14</v>
      </c>
      <c r="AB26" s="162">
        <f>'[43]Summary FR Kalbar'!$AF$15</f>
        <v>18</v>
      </c>
      <c r="AC26" s="162">
        <f>'[43]Summary FR Kalbar'!$AJ$15</f>
        <v>6</v>
      </c>
      <c r="AI26" s="162" t="str">
        <f t="shared" si="3"/>
        <v>PTLJ</v>
      </c>
      <c r="AJ26" s="162">
        <f>'[43]Summary FR Kalbar'!$AR$15</f>
        <v>22</v>
      </c>
      <c r="AK26" s="162">
        <f>'[43]Summary FR Kalbar'!$AV$15</f>
        <v>2</v>
      </c>
      <c r="AL26" s="162">
        <f>'[43]Summary FR Kalbar'!$AZ$15</f>
        <v>9</v>
      </c>
      <c r="AM26" s="162">
        <f>'[43]Summary FR Kalbar'!$BD$15</f>
        <v>11</v>
      </c>
    </row>
  </sheetData>
  <mergeCells count="24">
    <mergeCell ref="M16:M17"/>
    <mergeCell ref="N16:N17"/>
    <mergeCell ref="I10:K10"/>
    <mergeCell ref="AA16:AC16"/>
    <mergeCell ref="AI16:AI17"/>
    <mergeCell ref="AJ16:AJ17"/>
    <mergeCell ref="AK16:AM16"/>
    <mergeCell ref="O16:Q16"/>
    <mergeCell ref="Y16:Y17"/>
    <mergeCell ref="Z16:Z17"/>
    <mergeCell ref="A1:L1"/>
    <mergeCell ref="I11:K11"/>
    <mergeCell ref="A4:A7"/>
    <mergeCell ref="A8:A12"/>
    <mergeCell ref="D2:D3"/>
    <mergeCell ref="C2:C3"/>
    <mergeCell ref="B2:B3"/>
    <mergeCell ref="A2:A3"/>
    <mergeCell ref="E2:H2"/>
    <mergeCell ref="I12:K12"/>
    <mergeCell ref="I6:K6"/>
    <mergeCell ref="I7:K7"/>
    <mergeCell ref="I2:L2"/>
    <mergeCell ref="I9:L9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657A-A50D-4D00-B60D-25CB4051FD75}">
  <dimension ref="A1:N48"/>
  <sheetViews>
    <sheetView zoomScale="79" zoomScaleNormal="85" workbookViewId="0">
      <pane xSplit="7" ySplit="2" topLeftCell="I28" activePane="bottomRight" state="frozen"/>
      <selection activeCell="V294" sqref="V158:V294"/>
      <selection pane="topRight" activeCell="V294" sqref="V158:V294"/>
      <selection pane="bottomLeft" activeCell="V294" sqref="V158:V294"/>
      <selection pane="bottomRight" activeCell="V294" sqref="V158:V294"/>
    </sheetView>
  </sheetViews>
  <sheetFormatPr baseColWidth="10" defaultColWidth="8.83203125" defaultRowHeight="15" outlineLevelRow="1" outlineLevelCol="1" x14ac:dyDescent="0.2"/>
  <cols>
    <col min="1" max="1" width="7.83203125" bestFit="1" customWidth="1"/>
    <col min="2" max="2" width="3.5" hidden="1" customWidth="1" outlineLevel="1"/>
    <col min="3" max="3" width="14.33203125" bestFit="1" customWidth="1" collapsed="1"/>
    <col min="4" max="4" width="6.5" bestFit="1" customWidth="1"/>
    <col min="5" max="5" width="6.5" customWidth="1"/>
    <col min="6" max="6" width="12.5" bestFit="1" customWidth="1"/>
    <col min="7" max="7" width="11.83203125" customWidth="1"/>
    <col min="8" max="8" width="12.1640625" hidden="1" customWidth="1" outlineLevel="1"/>
    <col min="9" max="9" width="7.6640625" bestFit="1" customWidth="1" collapsed="1"/>
    <col min="10" max="10" width="9.6640625" hidden="1" customWidth="1" outlineLevel="1"/>
    <col min="11" max="11" width="11.1640625" customWidth="1" collapsed="1"/>
    <col min="12" max="12" width="6.33203125" bestFit="1" customWidth="1"/>
    <col min="13" max="13" width="30.33203125" customWidth="1"/>
    <col min="14" max="14" width="31.33203125" bestFit="1" customWidth="1"/>
  </cols>
  <sheetData>
    <row r="1" spans="1:14" x14ac:dyDescent="0.2">
      <c r="A1" s="356" t="s">
        <v>1</v>
      </c>
      <c r="B1" s="356" t="s">
        <v>2</v>
      </c>
      <c r="C1" s="356" t="s">
        <v>3</v>
      </c>
      <c r="D1" s="356" t="s">
        <v>4</v>
      </c>
      <c r="E1" s="356" t="s">
        <v>5</v>
      </c>
      <c r="F1" s="356" t="s">
        <v>6</v>
      </c>
      <c r="G1" s="356" t="s">
        <v>7</v>
      </c>
      <c r="H1" s="355" t="s">
        <v>2092</v>
      </c>
      <c r="I1" s="355"/>
      <c r="J1" s="355"/>
      <c r="K1" s="355"/>
      <c r="L1" s="355"/>
      <c r="M1" s="355"/>
      <c r="N1" s="355"/>
    </row>
    <row r="2" spans="1:14" ht="50.5" customHeight="1" x14ac:dyDescent="0.2">
      <c r="A2" s="356"/>
      <c r="B2" s="356"/>
      <c r="C2" s="356"/>
      <c r="D2" s="356"/>
      <c r="E2" s="356"/>
      <c r="F2" s="356"/>
      <c r="G2" s="356"/>
      <c r="H2" s="144" t="s">
        <v>8</v>
      </c>
      <c r="I2" s="144" t="s">
        <v>9</v>
      </c>
      <c r="J2" s="144" t="s">
        <v>2098</v>
      </c>
      <c r="K2" s="144" t="s">
        <v>627</v>
      </c>
      <c r="L2" s="144" t="s">
        <v>10</v>
      </c>
      <c r="M2" s="144" t="s">
        <v>2041</v>
      </c>
      <c r="N2" s="144" t="s">
        <v>2052</v>
      </c>
    </row>
    <row r="3" spans="1:14" x14ac:dyDescent="0.2">
      <c r="A3" s="43" t="s">
        <v>1970</v>
      </c>
      <c r="B3" s="43"/>
      <c r="C3" s="43" t="s">
        <v>107</v>
      </c>
      <c r="D3" s="43" t="s">
        <v>2038</v>
      </c>
      <c r="E3" s="172">
        <v>31.650000000000006</v>
      </c>
      <c r="F3" s="43" t="s">
        <v>1740</v>
      </c>
      <c r="G3" s="43">
        <v>2915</v>
      </c>
      <c r="H3" s="147">
        <v>46224</v>
      </c>
      <c r="I3" s="145">
        <v>150</v>
      </c>
      <c r="J3" s="146" t="s">
        <v>2133</v>
      </c>
      <c r="K3" s="145">
        <v>8</v>
      </c>
      <c r="L3" s="146">
        <v>5.3333333333333339</v>
      </c>
      <c r="M3" s="145" t="s">
        <v>2042</v>
      </c>
      <c r="N3" s="43" t="s">
        <v>2280</v>
      </c>
    </row>
    <row r="4" spans="1:14" x14ac:dyDescent="0.2">
      <c r="A4" s="43" t="s">
        <v>1927</v>
      </c>
      <c r="B4" s="43"/>
      <c r="C4" s="43" t="s">
        <v>1928</v>
      </c>
      <c r="D4" s="43" t="s">
        <v>1431</v>
      </c>
      <c r="E4" s="172">
        <v>27.97</v>
      </c>
      <c r="F4" s="43" t="s">
        <v>1740</v>
      </c>
      <c r="G4" s="43">
        <v>3204</v>
      </c>
      <c r="H4" s="147">
        <v>46212</v>
      </c>
      <c r="I4" s="145">
        <v>123</v>
      </c>
      <c r="J4" s="146">
        <v>3.838951310861423</v>
      </c>
      <c r="K4" s="145">
        <v>7</v>
      </c>
      <c r="L4" s="146">
        <v>5.6910569105691051</v>
      </c>
      <c r="M4" s="145" t="s">
        <v>2042</v>
      </c>
      <c r="N4" s="43" t="s">
        <v>2275</v>
      </c>
    </row>
    <row r="5" spans="1:14" x14ac:dyDescent="0.2">
      <c r="A5" s="43" t="s">
        <v>1927</v>
      </c>
      <c r="B5" s="43"/>
      <c r="C5" s="43" t="s">
        <v>1928</v>
      </c>
      <c r="D5" s="43" t="s">
        <v>1430</v>
      </c>
      <c r="E5" s="172">
        <v>28.35</v>
      </c>
      <c r="F5" s="43" t="s">
        <v>1740</v>
      </c>
      <c r="G5" s="43">
        <v>3662.0000000000005</v>
      </c>
      <c r="H5" s="147">
        <v>46213</v>
      </c>
      <c r="I5" s="145">
        <v>72</v>
      </c>
      <c r="J5" s="146">
        <v>1.9661387220098303</v>
      </c>
      <c r="K5" s="145">
        <v>8</v>
      </c>
      <c r="L5" s="146">
        <v>11.111111111111111</v>
      </c>
      <c r="M5" s="145" t="s">
        <v>2042</v>
      </c>
      <c r="N5" s="43" t="s">
        <v>2275</v>
      </c>
    </row>
    <row r="6" spans="1:14" x14ac:dyDescent="0.2">
      <c r="A6" s="43" t="s">
        <v>1927</v>
      </c>
      <c r="B6" s="43"/>
      <c r="C6" s="43" t="s">
        <v>1929</v>
      </c>
      <c r="D6" s="43" t="s">
        <v>1103</v>
      </c>
      <c r="E6" s="172">
        <v>38.840000000000003</v>
      </c>
      <c r="F6" s="43" t="s">
        <v>1740</v>
      </c>
      <c r="G6" s="43">
        <v>5317</v>
      </c>
      <c r="H6" s="147">
        <v>46212</v>
      </c>
      <c r="I6" s="145">
        <v>98</v>
      </c>
      <c r="J6" s="146">
        <v>1.8431446304306942</v>
      </c>
      <c r="K6" s="145">
        <v>7</v>
      </c>
      <c r="L6" s="146">
        <v>7.1428571428571423</v>
      </c>
      <c r="M6" s="145" t="s">
        <v>2042</v>
      </c>
      <c r="N6" s="43" t="s">
        <v>2275</v>
      </c>
    </row>
    <row r="7" spans="1:14" x14ac:dyDescent="0.2">
      <c r="A7" s="43" t="s">
        <v>1927</v>
      </c>
      <c r="B7" s="43"/>
      <c r="C7" s="43" t="s">
        <v>1929</v>
      </c>
      <c r="D7" s="43" t="s">
        <v>1098</v>
      </c>
      <c r="E7" s="172">
        <v>34.270000000000003</v>
      </c>
      <c r="F7" s="43" t="s">
        <v>1740</v>
      </c>
      <c r="G7" s="43">
        <v>3799</v>
      </c>
      <c r="H7" s="147">
        <v>46211</v>
      </c>
      <c r="I7" s="145">
        <v>76</v>
      </c>
      <c r="J7" s="146">
        <v>2.0005264543300867</v>
      </c>
      <c r="K7" s="145">
        <v>5</v>
      </c>
      <c r="L7" s="146">
        <v>6.5789473684210522</v>
      </c>
      <c r="M7" s="145" t="s">
        <v>2042</v>
      </c>
      <c r="N7" s="43" t="s">
        <v>2275</v>
      </c>
    </row>
    <row r="8" spans="1:14" x14ac:dyDescent="0.2">
      <c r="A8" s="145" t="s">
        <v>1927</v>
      </c>
      <c r="B8" s="145"/>
      <c r="C8" s="145" t="s">
        <v>1931</v>
      </c>
      <c r="D8" s="43" t="s">
        <v>1933</v>
      </c>
      <c r="E8" s="270">
        <v>24.68</v>
      </c>
      <c r="F8" s="145" t="s">
        <v>1740</v>
      </c>
      <c r="G8" s="191">
        <v>2831</v>
      </c>
      <c r="H8" s="147">
        <v>46211</v>
      </c>
      <c r="I8" s="187">
        <v>94</v>
      </c>
      <c r="J8" s="146">
        <v>3.3203814906393498</v>
      </c>
      <c r="K8" s="187">
        <v>7</v>
      </c>
      <c r="L8" s="146">
        <v>7.4468085106382977</v>
      </c>
      <c r="M8" s="145" t="s">
        <v>2042</v>
      </c>
      <c r="N8" s="43" t="s">
        <v>2275</v>
      </c>
    </row>
    <row r="9" spans="1:14" x14ac:dyDescent="0.2">
      <c r="A9" s="145" t="s">
        <v>1927</v>
      </c>
      <c r="B9" s="145"/>
      <c r="C9" s="145" t="s">
        <v>1937</v>
      </c>
      <c r="D9" s="43" t="s">
        <v>1939</v>
      </c>
      <c r="E9" s="270">
        <v>21.88</v>
      </c>
      <c r="F9" s="145" t="s">
        <v>1740</v>
      </c>
      <c r="G9" s="191">
        <v>2734</v>
      </c>
      <c r="H9" s="147">
        <v>46213</v>
      </c>
      <c r="I9" s="187">
        <v>70</v>
      </c>
      <c r="J9" s="146">
        <v>2.560351133869788</v>
      </c>
      <c r="K9" s="187">
        <v>4</v>
      </c>
      <c r="L9" s="146">
        <v>5.7142857142857144</v>
      </c>
      <c r="M9" s="145" t="s">
        <v>2042</v>
      </c>
      <c r="N9" s="43" t="s">
        <v>2275</v>
      </c>
    </row>
    <row r="10" spans="1:14" x14ac:dyDescent="0.2">
      <c r="A10" s="145" t="s">
        <v>1927</v>
      </c>
      <c r="B10" s="145"/>
      <c r="C10" s="145" t="s">
        <v>1961</v>
      </c>
      <c r="D10" s="43" t="s">
        <v>1962</v>
      </c>
      <c r="E10" s="270">
        <v>37.299999999999997</v>
      </c>
      <c r="F10" s="145" t="s">
        <v>1740</v>
      </c>
      <c r="G10" s="191">
        <v>4655</v>
      </c>
      <c r="H10" s="147">
        <v>46212</v>
      </c>
      <c r="I10" s="187">
        <v>98</v>
      </c>
      <c r="J10" s="146">
        <v>2.1052631578947367</v>
      </c>
      <c r="K10" s="187">
        <v>7</v>
      </c>
      <c r="L10" s="146">
        <v>7.1428571428571423</v>
      </c>
      <c r="M10" s="145" t="s">
        <v>2042</v>
      </c>
      <c r="N10" s="43" t="s">
        <v>2275</v>
      </c>
    </row>
    <row r="11" spans="1:14" x14ac:dyDescent="0.2">
      <c r="A11" s="145"/>
      <c r="B11" s="145"/>
      <c r="C11" s="145"/>
      <c r="D11" s="43"/>
      <c r="E11" s="270"/>
      <c r="F11" s="145"/>
      <c r="G11" s="191"/>
      <c r="H11" s="147"/>
      <c r="I11" s="187"/>
      <c r="J11" s="146"/>
      <c r="K11" s="187"/>
      <c r="L11" s="146"/>
      <c r="M11" s="145"/>
      <c r="N11" s="43"/>
    </row>
    <row r="12" spans="1:14" x14ac:dyDescent="0.2">
      <c r="A12" s="145"/>
      <c r="B12" s="145"/>
      <c r="C12" s="145"/>
      <c r="D12" s="43"/>
      <c r="E12" s="270"/>
      <c r="F12" s="145"/>
      <c r="G12" s="191"/>
      <c r="H12" s="269"/>
      <c r="I12" s="187"/>
      <c r="J12" s="146"/>
      <c r="K12" s="187"/>
      <c r="L12" s="146"/>
      <c r="M12" s="145"/>
      <c r="N12" s="43"/>
    </row>
    <row r="13" spans="1:14" x14ac:dyDescent="0.2">
      <c r="A13" s="145"/>
      <c r="B13" s="145"/>
      <c r="C13" s="145"/>
      <c r="D13" s="43"/>
      <c r="E13" s="270"/>
      <c r="F13" s="145"/>
      <c r="G13" s="191"/>
      <c r="H13" s="147"/>
      <c r="I13" s="187"/>
      <c r="J13" s="146"/>
      <c r="K13" s="187"/>
      <c r="L13" s="146"/>
      <c r="M13" s="145"/>
      <c r="N13" s="43"/>
    </row>
    <row r="14" spans="1:14" x14ac:dyDescent="0.2">
      <c r="A14" s="145"/>
      <c r="B14" s="145"/>
      <c r="C14" s="145"/>
      <c r="D14" s="43"/>
      <c r="E14" s="270"/>
      <c r="F14" s="145"/>
      <c r="G14" s="191"/>
      <c r="H14" s="147"/>
      <c r="I14" s="187"/>
      <c r="J14" s="146"/>
      <c r="K14" s="187"/>
      <c r="L14" s="146"/>
      <c r="M14" s="145"/>
      <c r="N14" s="43"/>
    </row>
    <row r="15" spans="1:14" x14ac:dyDescent="0.2">
      <c r="A15" s="145"/>
      <c r="B15" s="145"/>
      <c r="C15" s="145"/>
      <c r="D15" s="43"/>
      <c r="E15" s="270"/>
      <c r="F15" s="145"/>
      <c r="G15" s="191"/>
      <c r="H15" s="147"/>
      <c r="I15" s="187"/>
      <c r="J15" s="146"/>
      <c r="K15" s="187"/>
      <c r="L15" s="146"/>
      <c r="M15" s="145"/>
      <c r="N15" s="43"/>
    </row>
    <row r="16" spans="1:14" x14ac:dyDescent="0.2">
      <c r="A16" s="43"/>
      <c r="B16" s="43"/>
      <c r="C16" s="43"/>
      <c r="D16" s="43"/>
      <c r="E16" s="172"/>
      <c r="F16" s="43"/>
      <c r="G16" s="43"/>
      <c r="H16" s="147"/>
      <c r="I16" s="145"/>
      <c r="J16" s="146"/>
      <c r="K16" s="145"/>
      <c r="L16" s="146"/>
      <c r="M16" s="145"/>
      <c r="N16" s="43"/>
    </row>
    <row r="17" spans="1:14" x14ac:dyDescent="0.2">
      <c r="A17" s="43"/>
      <c r="B17" s="43"/>
      <c r="C17" s="43"/>
      <c r="D17" s="43"/>
      <c r="E17" s="172"/>
      <c r="F17" s="43"/>
      <c r="G17" s="43"/>
      <c r="H17" s="147"/>
      <c r="I17" s="145"/>
      <c r="J17" s="146"/>
      <c r="K17" s="145"/>
      <c r="L17" s="146"/>
      <c r="M17" s="145"/>
      <c r="N17" s="43"/>
    </row>
    <row r="18" spans="1:14" x14ac:dyDescent="0.2">
      <c r="A18" s="43"/>
      <c r="B18" s="43"/>
      <c r="C18" s="43"/>
      <c r="D18" s="43"/>
      <c r="E18" s="172"/>
      <c r="F18" s="43"/>
      <c r="G18" s="43"/>
      <c r="H18" s="147"/>
      <c r="I18" s="145"/>
      <c r="J18" s="146"/>
      <c r="K18" s="145"/>
      <c r="L18" s="146"/>
      <c r="M18" s="145"/>
      <c r="N18" s="43"/>
    </row>
    <row r="19" spans="1:14" x14ac:dyDescent="0.2">
      <c r="A19" s="43"/>
      <c r="B19" s="43"/>
      <c r="C19" s="43"/>
      <c r="D19" s="43"/>
      <c r="E19" s="172"/>
      <c r="F19" s="43"/>
      <c r="G19" s="43"/>
      <c r="H19" s="147"/>
      <c r="I19" s="145"/>
      <c r="J19" s="146"/>
      <c r="K19" s="145"/>
      <c r="L19" s="146"/>
      <c r="M19" s="145"/>
      <c r="N19" s="43"/>
    </row>
    <row r="20" spans="1:14" x14ac:dyDescent="0.2">
      <c r="A20" s="43"/>
      <c r="B20" s="43"/>
      <c r="C20" s="43"/>
      <c r="D20" s="43"/>
      <c r="E20" s="172"/>
      <c r="F20" s="43"/>
      <c r="G20" s="43"/>
      <c r="H20" s="147"/>
      <c r="I20" s="145"/>
      <c r="J20" s="146"/>
      <c r="K20" s="145"/>
      <c r="L20" s="146"/>
      <c r="M20" s="145"/>
      <c r="N20" s="43"/>
    </row>
    <row r="21" spans="1:14" x14ac:dyDescent="0.2">
      <c r="A21" s="43"/>
      <c r="B21" s="43"/>
      <c r="C21" s="43"/>
      <c r="D21" s="43"/>
      <c r="E21" s="172"/>
      <c r="F21" s="43"/>
      <c r="G21" s="43"/>
      <c r="H21" s="147"/>
      <c r="I21" s="145"/>
      <c r="J21" s="146"/>
      <c r="K21" s="145"/>
      <c r="L21" s="146"/>
      <c r="M21" s="145"/>
      <c r="N21" s="43"/>
    </row>
    <row r="22" spans="1:14" x14ac:dyDescent="0.2">
      <c r="A22" s="43"/>
      <c r="B22" s="43"/>
      <c r="C22" s="43"/>
      <c r="D22" s="43"/>
      <c r="E22" s="172"/>
      <c r="F22" s="43"/>
      <c r="G22" s="43"/>
      <c r="H22" s="147"/>
      <c r="I22" s="145"/>
      <c r="J22" s="146"/>
      <c r="K22" s="145"/>
      <c r="L22" s="146"/>
      <c r="M22" s="145"/>
      <c r="N22" s="43"/>
    </row>
    <row r="23" spans="1:14" x14ac:dyDescent="0.2">
      <c r="A23" s="43"/>
      <c r="B23" s="43"/>
      <c r="C23" s="43"/>
      <c r="D23" s="43"/>
      <c r="E23" s="172"/>
      <c r="F23" s="43"/>
      <c r="G23" s="43"/>
      <c r="H23" s="147"/>
      <c r="I23" s="145"/>
      <c r="J23" s="146"/>
      <c r="K23" s="145"/>
      <c r="L23" s="146"/>
      <c r="M23" s="145"/>
      <c r="N23" s="43"/>
    </row>
    <row r="24" spans="1:14" x14ac:dyDescent="0.2">
      <c r="A24" s="43"/>
      <c r="B24" s="43"/>
      <c r="C24" s="43"/>
      <c r="D24" s="43"/>
      <c r="E24" s="172"/>
      <c r="F24" s="43"/>
      <c r="G24" s="43"/>
      <c r="H24" s="147"/>
      <c r="I24" s="145"/>
      <c r="J24" s="146"/>
      <c r="K24" s="145"/>
      <c r="L24" s="146"/>
      <c r="M24" s="145"/>
      <c r="N24" s="43"/>
    </row>
    <row r="25" spans="1:14" x14ac:dyDescent="0.2">
      <c r="A25" s="43"/>
      <c r="B25" s="43"/>
      <c r="C25" s="43"/>
      <c r="D25" s="43"/>
      <c r="E25" s="172"/>
      <c r="F25" s="43"/>
      <c r="G25" s="43"/>
      <c r="H25" s="147"/>
      <c r="I25" s="145"/>
      <c r="J25" s="146"/>
      <c r="K25" s="145"/>
      <c r="L25" s="146"/>
      <c r="M25" s="145"/>
      <c r="N25" s="43"/>
    </row>
    <row r="26" spans="1:14" x14ac:dyDescent="0.2">
      <c r="A26" s="356" t="s">
        <v>1</v>
      </c>
      <c r="B26" s="356" t="s">
        <v>2</v>
      </c>
      <c r="C26" s="356" t="s">
        <v>3</v>
      </c>
      <c r="D26" s="356" t="s">
        <v>4</v>
      </c>
      <c r="E26" s="356" t="s">
        <v>5</v>
      </c>
      <c r="F26" s="356" t="s">
        <v>6</v>
      </c>
      <c r="G26" s="356" t="s">
        <v>7</v>
      </c>
      <c r="H26" s="355" t="s">
        <v>2092</v>
      </c>
      <c r="I26" s="355"/>
      <c r="J26" s="355"/>
      <c r="K26" s="355"/>
      <c r="L26" s="355"/>
      <c r="M26" s="355"/>
      <c r="N26" s="355"/>
    </row>
    <row r="27" spans="1:14" ht="50.5" customHeight="1" x14ac:dyDescent="0.2">
      <c r="A27" s="356"/>
      <c r="B27" s="356"/>
      <c r="C27" s="356"/>
      <c r="D27" s="356"/>
      <c r="E27" s="356"/>
      <c r="F27" s="356"/>
      <c r="G27" s="356"/>
      <c r="H27" s="144" t="s">
        <v>8</v>
      </c>
      <c r="I27" s="144" t="s">
        <v>9</v>
      </c>
      <c r="J27" s="144" t="s">
        <v>2098</v>
      </c>
      <c r="K27" s="144" t="s">
        <v>627</v>
      </c>
      <c r="L27" s="144" t="s">
        <v>10</v>
      </c>
      <c r="M27" s="144" t="s">
        <v>2041</v>
      </c>
      <c r="N27" s="144" t="s">
        <v>2052</v>
      </c>
    </row>
    <row r="28" spans="1:14" outlineLevel="1" x14ac:dyDescent="0.2">
      <c r="A28" s="43"/>
      <c r="B28" s="43"/>
      <c r="C28" s="43"/>
      <c r="D28" s="43"/>
      <c r="E28" s="172"/>
      <c r="F28" s="43"/>
      <c r="G28" s="43"/>
      <c r="H28" s="147"/>
      <c r="I28" s="145"/>
      <c r="J28" s="146"/>
      <c r="K28" s="145"/>
      <c r="L28" s="146"/>
      <c r="M28" s="145"/>
      <c r="N28" s="43"/>
    </row>
    <row r="29" spans="1:14" outlineLevel="1" x14ac:dyDescent="0.2">
      <c r="A29" s="43"/>
      <c r="B29" s="43"/>
      <c r="C29" s="43"/>
      <c r="D29" s="43"/>
      <c r="E29" s="172"/>
      <c r="F29" s="43"/>
      <c r="G29" s="43"/>
      <c r="H29" s="147"/>
      <c r="I29" s="145"/>
      <c r="J29" s="146"/>
      <c r="K29" s="145"/>
      <c r="L29" s="146"/>
      <c r="M29" s="145"/>
      <c r="N29" s="43"/>
    </row>
    <row r="30" spans="1:14" outlineLevel="1" x14ac:dyDescent="0.2">
      <c r="A30" s="43"/>
      <c r="B30" s="43"/>
      <c r="C30" s="43"/>
      <c r="D30" s="43"/>
      <c r="E30" s="172"/>
      <c r="F30" s="43"/>
      <c r="G30" s="43"/>
      <c r="H30" s="147"/>
      <c r="I30" s="145"/>
      <c r="J30" s="146"/>
      <c r="K30" s="145"/>
      <c r="L30" s="146"/>
      <c r="M30" s="145"/>
      <c r="N30" s="43"/>
    </row>
    <row r="31" spans="1:14" outlineLevel="1" x14ac:dyDescent="0.2">
      <c r="A31" s="8"/>
      <c r="B31" s="8"/>
      <c r="C31" s="8"/>
      <c r="D31" s="43"/>
      <c r="E31" s="9"/>
      <c r="F31" s="8"/>
      <c r="G31" s="10"/>
      <c r="H31" s="204"/>
      <c r="I31" s="205"/>
      <c r="J31" s="206"/>
      <c r="K31" s="205"/>
      <c r="L31" s="206"/>
      <c r="M31" s="145"/>
      <c r="N31" s="43"/>
    </row>
    <row r="32" spans="1:14" outlineLevel="1" x14ac:dyDescent="0.2">
      <c r="A32" s="8"/>
      <c r="B32" s="8"/>
      <c r="C32" s="8"/>
      <c r="D32" s="43"/>
      <c r="E32" s="9"/>
      <c r="F32" s="8"/>
      <c r="G32" s="10"/>
      <c r="H32" s="204"/>
      <c r="I32" s="205"/>
      <c r="J32" s="206"/>
      <c r="K32" s="205"/>
      <c r="L32" s="206"/>
      <c r="M32" s="145"/>
      <c r="N32" s="43"/>
    </row>
    <row r="33" spans="1:14" x14ac:dyDescent="0.2">
      <c r="A33" s="8"/>
      <c r="B33" s="8"/>
      <c r="C33" s="8"/>
      <c r="D33" s="43"/>
      <c r="E33" s="9"/>
      <c r="F33" s="8"/>
      <c r="G33" s="10"/>
      <c r="H33" s="204"/>
      <c r="I33" s="205"/>
      <c r="J33" s="206"/>
      <c r="K33" s="205"/>
      <c r="L33" s="206"/>
      <c r="M33" s="145"/>
      <c r="N33" s="43"/>
    </row>
    <row r="34" spans="1:14" x14ac:dyDescent="0.2">
      <c r="A34" s="8"/>
      <c r="B34" s="8"/>
      <c r="C34" s="8"/>
      <c r="D34" s="43"/>
      <c r="E34" s="9"/>
      <c r="F34" s="8"/>
      <c r="G34" s="10"/>
      <c r="H34" s="204"/>
      <c r="I34" s="205"/>
      <c r="J34" s="206"/>
      <c r="K34" s="205"/>
      <c r="L34" s="206"/>
      <c r="M34" s="145"/>
      <c r="N34" s="43"/>
    </row>
    <row r="35" spans="1:14" x14ac:dyDescent="0.2">
      <c r="A35" s="8"/>
      <c r="B35" s="8"/>
      <c r="C35" s="8"/>
      <c r="D35" s="43"/>
      <c r="E35" s="9"/>
      <c r="F35" s="8"/>
      <c r="G35" s="10"/>
      <c r="H35" s="132"/>
      <c r="I35" s="205"/>
      <c r="J35" s="206"/>
      <c r="K35" s="205"/>
      <c r="L35" s="206"/>
      <c r="M35" s="145"/>
      <c r="N35" s="43"/>
    </row>
    <row r="36" spans="1:14" x14ac:dyDescent="0.2">
      <c r="A36" s="8"/>
      <c r="B36" s="8"/>
      <c r="C36" s="8"/>
      <c r="D36" s="43"/>
      <c r="E36" s="9"/>
      <c r="F36" s="8"/>
      <c r="G36" s="10"/>
      <c r="H36" s="204"/>
      <c r="I36" s="205"/>
      <c r="J36" s="206"/>
      <c r="K36" s="205"/>
      <c r="L36" s="206"/>
      <c r="M36" s="145"/>
      <c r="N36" s="43"/>
    </row>
    <row r="37" spans="1:14" x14ac:dyDescent="0.2">
      <c r="A37" s="8"/>
      <c r="B37" s="8"/>
      <c r="C37" s="8"/>
      <c r="D37" s="43"/>
      <c r="E37" s="9"/>
      <c r="F37" s="8"/>
      <c r="G37" s="10"/>
      <c r="H37" s="204"/>
      <c r="I37" s="205"/>
      <c r="J37" s="206"/>
      <c r="K37" s="205"/>
      <c r="L37" s="206"/>
      <c r="M37" s="145"/>
      <c r="N37" s="43"/>
    </row>
    <row r="38" spans="1:14" x14ac:dyDescent="0.2">
      <c r="A38" s="8"/>
      <c r="B38" s="8"/>
      <c r="C38" s="8"/>
      <c r="D38" s="43"/>
      <c r="E38" s="9"/>
      <c r="F38" s="8"/>
      <c r="G38" s="10"/>
      <c r="H38" s="204"/>
      <c r="I38" s="205"/>
      <c r="J38" s="206"/>
      <c r="K38" s="205"/>
      <c r="L38" s="206"/>
      <c r="M38" s="145"/>
      <c r="N38" s="43"/>
    </row>
    <row r="39" spans="1:14" x14ac:dyDescent="0.2">
      <c r="A39" s="8"/>
      <c r="B39" s="8"/>
      <c r="C39" s="8"/>
      <c r="D39" s="43"/>
      <c r="E39" s="9"/>
      <c r="F39" s="8"/>
      <c r="G39" s="10"/>
      <c r="H39" s="204"/>
      <c r="I39" s="205"/>
      <c r="J39" s="206"/>
      <c r="K39" s="205"/>
      <c r="L39" s="206"/>
      <c r="M39" s="145"/>
      <c r="N39" s="43"/>
    </row>
    <row r="40" spans="1:14" x14ac:dyDescent="0.2">
      <c r="A40" s="43"/>
      <c r="B40" s="43"/>
      <c r="C40" s="43"/>
      <c r="D40" s="43"/>
      <c r="E40" s="172"/>
      <c r="F40" s="43"/>
      <c r="G40" s="43"/>
      <c r="H40" s="147"/>
      <c r="I40" s="145"/>
      <c r="J40" s="146"/>
      <c r="K40" s="145"/>
      <c r="L40" s="146"/>
      <c r="M40" s="145"/>
      <c r="N40" s="43"/>
    </row>
    <row r="41" spans="1:14" x14ac:dyDescent="0.2">
      <c r="A41" s="43"/>
      <c r="B41" s="43"/>
      <c r="C41" s="43"/>
      <c r="D41" s="43"/>
      <c r="E41" s="172"/>
      <c r="F41" s="43"/>
      <c r="G41" s="43"/>
      <c r="H41" s="147"/>
      <c r="I41" s="145"/>
      <c r="J41" s="146"/>
      <c r="K41" s="145"/>
      <c r="L41" s="146"/>
      <c r="M41" s="145"/>
      <c r="N41" s="43"/>
    </row>
    <row r="42" spans="1:14" x14ac:dyDescent="0.2">
      <c r="A42" s="43"/>
      <c r="B42" s="43"/>
      <c r="C42" s="43"/>
      <c r="D42" s="43"/>
      <c r="E42" s="172"/>
      <c r="F42" s="43"/>
      <c r="G42" s="43"/>
      <c r="H42" s="147"/>
      <c r="I42" s="145"/>
      <c r="J42" s="146"/>
      <c r="K42" s="145"/>
      <c r="L42" s="146"/>
      <c r="M42" s="145"/>
      <c r="N42" s="43"/>
    </row>
    <row r="43" spans="1:14" x14ac:dyDescent="0.2">
      <c r="A43" s="43"/>
      <c r="B43" s="43"/>
      <c r="C43" s="43"/>
      <c r="D43" s="43"/>
      <c r="E43" s="172"/>
      <c r="F43" s="43"/>
      <c r="G43" s="43"/>
      <c r="H43" s="147"/>
      <c r="I43" s="145"/>
      <c r="J43" s="146"/>
      <c r="K43" s="145"/>
      <c r="L43" s="146"/>
      <c r="M43" s="145"/>
      <c r="N43" s="43"/>
    </row>
    <row r="44" spans="1:14" x14ac:dyDescent="0.2">
      <c r="A44" s="43"/>
      <c r="B44" s="43"/>
      <c r="C44" s="43"/>
      <c r="D44" s="43"/>
      <c r="E44" s="172"/>
      <c r="F44" s="43"/>
      <c r="G44" s="43"/>
      <c r="H44" s="147"/>
      <c r="I44" s="145"/>
      <c r="J44" s="146"/>
      <c r="K44" s="145"/>
      <c r="L44" s="146"/>
      <c r="M44" s="145"/>
      <c r="N44" s="43"/>
    </row>
    <row r="45" spans="1:14" x14ac:dyDescent="0.2">
      <c r="A45" s="43"/>
      <c r="B45" s="43"/>
      <c r="C45" s="43"/>
      <c r="D45" s="43"/>
      <c r="E45" s="172"/>
      <c r="F45" s="43"/>
      <c r="G45" s="43"/>
      <c r="H45" s="147"/>
      <c r="I45" s="145"/>
      <c r="J45" s="146"/>
      <c r="K45" s="145"/>
      <c r="L45" s="146"/>
      <c r="M45" s="145"/>
      <c r="N45" s="43"/>
    </row>
    <row r="47" spans="1:14" x14ac:dyDescent="0.2">
      <c r="A47" s="356" t="s">
        <v>1</v>
      </c>
      <c r="B47" s="356" t="s">
        <v>2</v>
      </c>
      <c r="C47" s="356" t="s">
        <v>3</v>
      </c>
      <c r="D47" s="356" t="s">
        <v>4</v>
      </c>
      <c r="E47" s="356" t="s">
        <v>5</v>
      </c>
      <c r="F47" s="356" t="s">
        <v>6</v>
      </c>
      <c r="G47" s="356" t="s">
        <v>7</v>
      </c>
      <c r="H47" s="355" t="s">
        <v>2092</v>
      </c>
      <c r="I47" s="355"/>
      <c r="J47" s="355"/>
      <c r="K47" s="355"/>
      <c r="L47" s="355"/>
      <c r="M47" s="355"/>
      <c r="N47" s="355"/>
    </row>
    <row r="48" spans="1:14" ht="50.5" customHeight="1" x14ac:dyDescent="0.2">
      <c r="A48" s="356"/>
      <c r="B48" s="356"/>
      <c r="C48" s="356"/>
      <c r="D48" s="356"/>
      <c r="E48" s="356"/>
      <c r="F48" s="356"/>
      <c r="G48" s="356"/>
      <c r="H48" s="144" t="s">
        <v>8</v>
      </c>
      <c r="I48" s="144" t="s">
        <v>9</v>
      </c>
      <c r="J48" s="144" t="s">
        <v>2098</v>
      </c>
      <c r="K48" s="144" t="s">
        <v>627</v>
      </c>
      <c r="L48" s="144" t="s">
        <v>10</v>
      </c>
      <c r="M48" s="144" t="s">
        <v>2041</v>
      </c>
      <c r="N48" s="144" t="s">
        <v>2052</v>
      </c>
    </row>
  </sheetData>
  <mergeCells count="24">
    <mergeCell ref="F47:F48"/>
    <mergeCell ref="G47:G48"/>
    <mergeCell ref="H47:N47"/>
    <mergeCell ref="A47:A48"/>
    <mergeCell ref="B47:B48"/>
    <mergeCell ref="C47:C48"/>
    <mergeCell ref="D47:D48"/>
    <mergeCell ref="E47:E48"/>
    <mergeCell ref="H1:N1"/>
    <mergeCell ref="F26:F27"/>
    <mergeCell ref="G26:G27"/>
    <mergeCell ref="A26:A27"/>
    <mergeCell ref="B26:B27"/>
    <mergeCell ref="C26:C27"/>
    <mergeCell ref="D26:D27"/>
    <mergeCell ref="E26:E27"/>
    <mergeCell ref="H26:N26"/>
    <mergeCell ref="A1:A2"/>
    <mergeCell ref="G1:G2"/>
    <mergeCell ref="F1:F2"/>
    <mergeCell ref="E1:E2"/>
    <mergeCell ref="D1:D2"/>
    <mergeCell ref="C1:C2"/>
    <mergeCell ref="B1:B2"/>
  </mergeCells>
  <conditionalFormatting sqref="D3">
    <cfRule type="duplicateValues" dxfId="84" priority="8"/>
  </conditionalFormatting>
  <conditionalFormatting sqref="D3:D5">
    <cfRule type="duplicateValues" dxfId="83" priority="7"/>
  </conditionalFormatting>
  <conditionalFormatting sqref="D5:D14">
    <cfRule type="duplicateValues" dxfId="82" priority="6"/>
  </conditionalFormatting>
  <conditionalFormatting sqref="D6:D14">
    <cfRule type="duplicateValues" dxfId="81" priority="5"/>
  </conditionalFormatting>
  <conditionalFormatting sqref="D21:D23">
    <cfRule type="duplicateValues" dxfId="80" priority="17"/>
  </conditionalFormatting>
  <conditionalFormatting sqref="D24:D25">
    <cfRule type="duplicateValues" dxfId="79" priority="9"/>
  </conditionalFormatting>
  <conditionalFormatting sqref="D28:D40">
    <cfRule type="duplicateValues" dxfId="78" priority="121"/>
  </conditionalFormatting>
  <conditionalFormatting sqref="D29:D40">
    <cfRule type="duplicateValues" dxfId="77" priority="14"/>
  </conditionalFormatting>
  <conditionalFormatting sqref="D41:D45">
    <cfRule type="duplicateValues" dxfId="76" priority="120"/>
  </conditionalFormatting>
  <conditionalFormatting sqref="L3:L10 L16:L25 L28:L32 L40:L45">
    <cfRule type="cellIs" dxfId="75" priority="95" operator="greaterThan">
      <formula>5</formula>
    </cfRule>
    <cfRule type="cellIs" dxfId="74" priority="96" operator="between">
      <formula>2</formula>
      <formula>5</formula>
    </cfRule>
    <cfRule type="cellIs" dxfId="73" priority="97" operator="lessThan">
      <formula>2</formula>
    </cfRule>
  </conditionalFormatting>
  <conditionalFormatting sqref="L8:L15">
    <cfRule type="cellIs" dxfId="72" priority="1" operator="equal">
      <formula>"-"</formula>
    </cfRule>
    <cfRule type="cellIs" dxfId="71" priority="2" operator="greaterThan">
      <formula>5</formula>
    </cfRule>
    <cfRule type="cellIs" dxfId="70" priority="3" operator="between">
      <formula>2</formula>
      <formula>5</formula>
    </cfRule>
    <cfRule type="cellIs" dxfId="69" priority="4" operator="lessThan">
      <formula>2</formula>
    </cfRule>
  </conditionalFormatting>
  <conditionalFormatting sqref="L28:L32 L3:L10 L16:L25 L40:L45">
    <cfRule type="cellIs" dxfId="68" priority="94" operator="equal">
      <formula>"-"</formula>
    </cfRule>
  </conditionalFormatting>
  <conditionalFormatting sqref="L31:L39">
    <cfRule type="cellIs" dxfId="67" priority="10" operator="equal">
      <formula>"-"</formula>
    </cfRule>
    <cfRule type="cellIs" dxfId="66" priority="11" operator="greaterThan">
      <formula>5</formula>
    </cfRule>
    <cfRule type="cellIs" dxfId="65" priority="12" operator="between">
      <formula>2</formula>
      <formula>5</formula>
    </cfRule>
    <cfRule type="cellIs" dxfId="64" priority="13" operator="lessThan">
      <formula>2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33EA2-4785-4A3B-B383-1E04EADE026B}">
  <dimension ref="A1:L79"/>
  <sheetViews>
    <sheetView showGridLines="0" zoomScale="101" zoomScaleNormal="85" workbookViewId="0">
      <pane xSplit="7" ySplit="2" topLeftCell="I71" activePane="bottomRight" state="frozen"/>
      <selection activeCell="I17" sqref="I17"/>
      <selection pane="topRight" activeCell="I17" sqref="I17"/>
      <selection pane="bottomLeft" activeCell="I17" sqref="I17"/>
      <selection pane="bottomRight" activeCell="I17" sqref="I17"/>
    </sheetView>
  </sheetViews>
  <sheetFormatPr baseColWidth="10" defaultColWidth="8.83203125" defaultRowHeight="15" outlineLevelCol="1" x14ac:dyDescent="0.2"/>
  <cols>
    <col min="1" max="1" width="11.5" customWidth="1"/>
    <col min="2" max="2" width="3.5" hidden="1" customWidth="1" outlineLevel="1"/>
    <col min="3" max="3" width="14.83203125" customWidth="1" collapsed="1"/>
    <col min="4" max="4" width="11.83203125" customWidth="1"/>
    <col min="5" max="5" width="15.83203125" customWidth="1"/>
    <col min="6" max="7" width="17.83203125" customWidth="1"/>
    <col min="8" max="8" width="12.1640625" hidden="1" customWidth="1" outlineLevel="1"/>
    <col min="9" max="9" width="15.1640625" customWidth="1" collapsed="1"/>
    <col min="10" max="10" width="9.6640625" hidden="1" customWidth="1" outlineLevel="1"/>
    <col min="11" max="11" width="21.5" customWidth="1" collapsed="1"/>
    <col min="12" max="12" width="7.83203125" customWidth="1"/>
    <col min="13" max="13" width="24.83203125" bestFit="1" customWidth="1"/>
  </cols>
  <sheetData>
    <row r="1" spans="1:12" ht="14.5" customHeight="1" x14ac:dyDescent="0.2">
      <c r="A1" s="355" t="s">
        <v>1</v>
      </c>
      <c r="B1" s="355" t="s">
        <v>2</v>
      </c>
      <c r="C1" s="355" t="s">
        <v>3</v>
      </c>
      <c r="D1" s="355" t="s">
        <v>4</v>
      </c>
      <c r="E1" s="356" t="s">
        <v>5</v>
      </c>
      <c r="F1" s="356" t="s">
        <v>6</v>
      </c>
      <c r="G1" s="357" t="s">
        <v>7</v>
      </c>
      <c r="H1" s="356" t="s">
        <v>8</v>
      </c>
      <c r="I1" s="356" t="s">
        <v>9</v>
      </c>
      <c r="J1" s="356" t="s">
        <v>626</v>
      </c>
      <c r="K1" s="356" t="s">
        <v>627</v>
      </c>
      <c r="L1" s="356" t="s">
        <v>10</v>
      </c>
    </row>
    <row r="2" spans="1:12" x14ac:dyDescent="0.2">
      <c r="A2" s="355"/>
      <c r="B2" s="355"/>
      <c r="C2" s="355"/>
      <c r="D2" s="355"/>
      <c r="E2" s="356"/>
      <c r="F2" s="356"/>
      <c r="G2" s="357"/>
      <c r="H2" s="356"/>
      <c r="I2" s="356"/>
      <c r="J2" s="356"/>
      <c r="K2" s="356"/>
      <c r="L2" s="356"/>
    </row>
    <row r="3" spans="1:12" x14ac:dyDescent="0.2">
      <c r="A3" s="43" t="s">
        <v>618</v>
      </c>
      <c r="B3" s="43"/>
      <c r="C3" s="358" t="s">
        <v>2102</v>
      </c>
      <c r="D3" s="358"/>
      <c r="E3" s="358"/>
      <c r="F3" s="358"/>
      <c r="G3" s="358"/>
      <c r="H3" s="358"/>
      <c r="I3" s="358"/>
      <c r="J3" s="358"/>
      <c r="K3" s="358"/>
      <c r="L3" s="358"/>
    </row>
    <row r="4" spans="1:12" x14ac:dyDescent="0.2">
      <c r="A4" s="43" t="s">
        <v>628</v>
      </c>
      <c r="B4" s="43"/>
      <c r="C4" s="358" t="s">
        <v>2102</v>
      </c>
      <c r="D4" s="358"/>
      <c r="E4" s="358"/>
      <c r="F4" s="358"/>
      <c r="G4" s="358"/>
      <c r="H4" s="358"/>
      <c r="I4" s="358"/>
      <c r="J4" s="358"/>
      <c r="K4" s="358"/>
      <c r="L4" s="358"/>
    </row>
    <row r="5" spans="1:12" x14ac:dyDescent="0.2">
      <c r="A5" s="43" t="s">
        <v>1741</v>
      </c>
      <c r="B5" s="43"/>
      <c r="C5" s="358" t="s">
        <v>2102</v>
      </c>
      <c r="D5" s="358"/>
      <c r="E5" s="358"/>
      <c r="F5" s="358"/>
      <c r="G5" s="358"/>
      <c r="H5" s="358"/>
      <c r="I5" s="358"/>
      <c r="J5" s="358"/>
      <c r="K5" s="358"/>
      <c r="L5" s="358"/>
    </row>
    <row r="6" spans="1:12" x14ac:dyDescent="0.2">
      <c r="A6" s="43" t="s">
        <v>1821</v>
      </c>
      <c r="B6" s="43"/>
      <c r="C6" s="358" t="s">
        <v>2102</v>
      </c>
      <c r="D6" s="358"/>
      <c r="E6" s="358"/>
      <c r="F6" s="358"/>
      <c r="G6" s="358"/>
      <c r="H6" s="358"/>
      <c r="I6" s="358"/>
      <c r="J6" s="358"/>
      <c r="K6" s="358"/>
      <c r="L6" s="358"/>
    </row>
    <row r="7" spans="1:12" x14ac:dyDescent="0.2">
      <c r="A7" s="145" t="s">
        <v>949</v>
      </c>
      <c r="B7" s="145"/>
      <c r="C7" s="145" t="s">
        <v>14</v>
      </c>
      <c r="D7" s="145" t="s">
        <v>1752</v>
      </c>
      <c r="E7" s="146">
        <v>33.790000000000006</v>
      </c>
      <c r="F7" s="145" t="s">
        <v>469</v>
      </c>
      <c r="G7" s="191">
        <v>4049</v>
      </c>
      <c r="H7" s="147">
        <v>46171</v>
      </c>
      <c r="I7" s="187">
        <v>233</v>
      </c>
      <c r="J7" s="146">
        <v>5.7545072857495683</v>
      </c>
      <c r="K7" s="187">
        <v>30</v>
      </c>
      <c r="L7" s="146">
        <v>12.875536480686694</v>
      </c>
    </row>
    <row r="8" spans="1:12" x14ac:dyDescent="0.2">
      <c r="A8" s="145" t="s">
        <v>949</v>
      </c>
      <c r="B8" s="145"/>
      <c r="C8" s="145" t="s">
        <v>14</v>
      </c>
      <c r="D8" s="145" t="s">
        <v>1755</v>
      </c>
      <c r="E8" s="146">
        <v>32.43</v>
      </c>
      <c r="F8" s="145" t="s">
        <v>469</v>
      </c>
      <c r="G8" s="191">
        <v>3806</v>
      </c>
      <c r="H8" s="147">
        <v>46175</v>
      </c>
      <c r="I8" s="187">
        <v>379</v>
      </c>
      <c r="J8" s="146">
        <v>9.9579611140304785</v>
      </c>
      <c r="K8" s="187">
        <v>23</v>
      </c>
      <c r="L8" s="146">
        <v>6.0686015831134563</v>
      </c>
    </row>
    <row r="9" spans="1:12" x14ac:dyDescent="0.2">
      <c r="A9" s="145" t="s">
        <v>949</v>
      </c>
      <c r="B9" s="145"/>
      <c r="C9" s="145" t="s">
        <v>14</v>
      </c>
      <c r="D9" s="145" t="s">
        <v>1336</v>
      </c>
      <c r="E9" s="146">
        <v>36.200000000000003</v>
      </c>
      <c r="F9" s="145" t="s">
        <v>469</v>
      </c>
      <c r="G9" s="191">
        <v>1942</v>
      </c>
      <c r="H9" s="147">
        <v>46164</v>
      </c>
      <c r="I9" s="187">
        <v>152</v>
      </c>
      <c r="J9" s="146">
        <v>7.8269824922760041</v>
      </c>
      <c r="K9" s="187">
        <v>11</v>
      </c>
      <c r="L9" s="146">
        <v>7.2368421052631584</v>
      </c>
    </row>
    <row r="10" spans="1:12" x14ac:dyDescent="0.2">
      <c r="A10" s="145" t="s">
        <v>949</v>
      </c>
      <c r="B10" s="145"/>
      <c r="C10" s="145" t="s">
        <v>14</v>
      </c>
      <c r="D10" s="145" t="s">
        <v>1756</v>
      </c>
      <c r="E10" s="146">
        <v>39.32</v>
      </c>
      <c r="F10" s="145" t="s">
        <v>469</v>
      </c>
      <c r="G10" s="191">
        <v>3499</v>
      </c>
      <c r="H10" s="147">
        <v>46171</v>
      </c>
      <c r="I10" s="187">
        <v>208</v>
      </c>
      <c r="J10" s="146">
        <v>5.9445555873106608</v>
      </c>
      <c r="K10" s="187">
        <v>16</v>
      </c>
      <c r="L10" s="146">
        <v>7.6923076923076925</v>
      </c>
    </row>
    <row r="11" spans="1:12" x14ac:dyDescent="0.2">
      <c r="A11" s="145" t="s">
        <v>949</v>
      </c>
      <c r="B11" s="145"/>
      <c r="C11" s="145" t="s">
        <v>47</v>
      </c>
      <c r="D11" s="145" t="s">
        <v>1357</v>
      </c>
      <c r="E11" s="146">
        <v>28.490000000000002</v>
      </c>
      <c r="F11" s="145" t="s">
        <v>469</v>
      </c>
      <c r="G11" s="191">
        <v>2124</v>
      </c>
      <c r="H11" s="147">
        <v>46175</v>
      </c>
      <c r="I11" s="187">
        <v>350</v>
      </c>
      <c r="J11" s="146">
        <v>16.47834274952919</v>
      </c>
      <c r="K11" s="187">
        <v>38</v>
      </c>
      <c r="L11" s="146">
        <v>10.857142857142858</v>
      </c>
    </row>
    <row r="12" spans="1:12" x14ac:dyDescent="0.2">
      <c r="A12" s="145" t="s">
        <v>949</v>
      </c>
      <c r="B12" s="145"/>
      <c r="C12" s="145" t="s">
        <v>47</v>
      </c>
      <c r="D12" s="145" t="s">
        <v>1358</v>
      </c>
      <c r="E12" s="146">
        <v>25.689999999999998</v>
      </c>
      <c r="F12" s="145" t="s">
        <v>469</v>
      </c>
      <c r="G12" s="191">
        <v>3585</v>
      </c>
      <c r="H12" s="147">
        <v>46164</v>
      </c>
      <c r="I12" s="187">
        <v>352</v>
      </c>
      <c r="J12" s="146">
        <v>9.8186889818688972</v>
      </c>
      <c r="K12" s="187">
        <v>30</v>
      </c>
      <c r="L12" s="146">
        <v>8.5227272727272716</v>
      </c>
    </row>
    <row r="13" spans="1:12" x14ac:dyDescent="0.2">
      <c r="A13" s="145" t="s">
        <v>949</v>
      </c>
      <c r="B13" s="145"/>
      <c r="C13" s="145" t="s">
        <v>47</v>
      </c>
      <c r="D13" s="145" t="s">
        <v>1360</v>
      </c>
      <c r="E13" s="146">
        <v>29.66</v>
      </c>
      <c r="F13" s="145" t="s">
        <v>469</v>
      </c>
      <c r="G13" s="191">
        <v>3632</v>
      </c>
      <c r="H13" s="147">
        <v>46165</v>
      </c>
      <c r="I13" s="187">
        <v>350</v>
      </c>
      <c r="J13" s="146">
        <v>9.6365638766519819</v>
      </c>
      <c r="K13" s="187">
        <v>43</v>
      </c>
      <c r="L13" s="146">
        <v>12.285714285714286</v>
      </c>
    </row>
    <row r="14" spans="1:12" x14ac:dyDescent="0.2">
      <c r="A14" s="145" t="s">
        <v>949</v>
      </c>
      <c r="B14" s="145"/>
      <c r="C14" s="145" t="s">
        <v>47</v>
      </c>
      <c r="D14" s="145" t="s">
        <v>1142</v>
      </c>
      <c r="E14" s="146">
        <v>30.57</v>
      </c>
      <c r="F14" s="145" t="s">
        <v>469</v>
      </c>
      <c r="G14" s="191">
        <v>3810</v>
      </c>
      <c r="H14" s="147">
        <v>46171</v>
      </c>
      <c r="I14" s="187">
        <v>350</v>
      </c>
      <c r="J14" s="146">
        <v>9.1863517060367457</v>
      </c>
      <c r="K14" s="187">
        <v>42</v>
      </c>
      <c r="L14" s="146">
        <v>12</v>
      </c>
    </row>
    <row r="15" spans="1:12" x14ac:dyDescent="0.2">
      <c r="A15" s="145" t="s">
        <v>949</v>
      </c>
      <c r="B15" s="145"/>
      <c r="C15" s="145" t="s">
        <v>47</v>
      </c>
      <c r="D15" s="145" t="s">
        <v>1170</v>
      </c>
      <c r="E15" s="146">
        <v>37.15</v>
      </c>
      <c r="F15" s="145" t="s">
        <v>469</v>
      </c>
      <c r="G15" s="191">
        <v>4611</v>
      </c>
      <c r="H15" s="147">
        <v>46170</v>
      </c>
      <c r="I15" s="187">
        <v>350</v>
      </c>
      <c r="J15" s="146">
        <v>7.590544350466276</v>
      </c>
      <c r="K15" s="187">
        <v>62</v>
      </c>
      <c r="L15" s="146">
        <v>17.714285714285712</v>
      </c>
    </row>
    <row r="16" spans="1:12" x14ac:dyDescent="0.2">
      <c r="A16" s="145" t="s">
        <v>949</v>
      </c>
      <c r="B16" s="145"/>
      <c r="C16" s="145" t="s">
        <v>47</v>
      </c>
      <c r="D16" s="145" t="s">
        <v>1171</v>
      </c>
      <c r="E16" s="146">
        <v>32.71</v>
      </c>
      <c r="F16" s="145" t="s">
        <v>469</v>
      </c>
      <c r="G16" s="191">
        <v>3990</v>
      </c>
      <c r="H16" s="147">
        <v>46172</v>
      </c>
      <c r="I16" s="187">
        <v>425</v>
      </c>
      <c r="J16" s="146">
        <v>10.651629072681704</v>
      </c>
      <c r="K16" s="187">
        <v>89</v>
      </c>
      <c r="L16" s="146">
        <v>20.941176470588236</v>
      </c>
    </row>
    <row r="17" spans="1:12" x14ac:dyDescent="0.2">
      <c r="A17" s="145" t="s">
        <v>949</v>
      </c>
      <c r="B17" s="145"/>
      <c r="C17" s="145" t="s">
        <v>107</v>
      </c>
      <c r="D17" s="145" t="s">
        <v>1174</v>
      </c>
      <c r="E17" s="146">
        <v>44.800000000000004</v>
      </c>
      <c r="F17" s="145" t="s">
        <v>469</v>
      </c>
      <c r="G17" s="191">
        <v>4305</v>
      </c>
      <c r="H17" s="147">
        <v>46167</v>
      </c>
      <c r="I17" s="187">
        <v>130</v>
      </c>
      <c r="J17" s="146">
        <v>3.0197444831591174</v>
      </c>
      <c r="K17" s="187">
        <v>7</v>
      </c>
      <c r="L17" s="146">
        <v>5.384615384615385</v>
      </c>
    </row>
    <row r="18" spans="1:12" x14ac:dyDescent="0.2">
      <c r="A18" s="145" t="s">
        <v>949</v>
      </c>
      <c r="B18" s="145"/>
      <c r="C18" s="145" t="s">
        <v>107</v>
      </c>
      <c r="D18" s="145" t="s">
        <v>1181</v>
      </c>
      <c r="E18" s="146">
        <v>56.870000000000005</v>
      </c>
      <c r="F18" s="145" t="s">
        <v>469</v>
      </c>
      <c r="G18" s="191">
        <v>5744</v>
      </c>
      <c r="H18" s="147">
        <v>46167</v>
      </c>
      <c r="I18" s="187">
        <v>114</v>
      </c>
      <c r="J18" s="146">
        <v>1.9846796657381613</v>
      </c>
      <c r="K18" s="187">
        <v>6</v>
      </c>
      <c r="L18" s="146">
        <v>5.2631578947368416</v>
      </c>
    </row>
    <row r="19" spans="1:12" x14ac:dyDescent="0.2">
      <c r="A19" s="145" t="s">
        <v>949</v>
      </c>
      <c r="B19" s="145"/>
      <c r="C19" s="145" t="s">
        <v>107</v>
      </c>
      <c r="D19" s="145" t="s">
        <v>956</v>
      </c>
      <c r="E19" s="146">
        <v>29.290000000000003</v>
      </c>
      <c r="F19" s="145" t="s">
        <v>469</v>
      </c>
      <c r="G19" s="191">
        <v>3643</v>
      </c>
      <c r="H19" s="147">
        <v>46164</v>
      </c>
      <c r="I19" s="187">
        <v>331</v>
      </c>
      <c r="J19" s="146">
        <v>9.0859181992863025</v>
      </c>
      <c r="K19" s="187">
        <v>33</v>
      </c>
      <c r="L19" s="146">
        <v>9.9697885196374632</v>
      </c>
    </row>
    <row r="20" spans="1:12" x14ac:dyDescent="0.2">
      <c r="A20" s="145" t="s">
        <v>949</v>
      </c>
      <c r="B20" s="145"/>
      <c r="C20" s="145" t="s">
        <v>14</v>
      </c>
      <c r="D20" s="145" t="s">
        <v>1308</v>
      </c>
      <c r="E20" s="146">
        <v>52.88</v>
      </c>
      <c r="F20" s="145" t="s">
        <v>469</v>
      </c>
      <c r="G20" s="191">
        <v>5893</v>
      </c>
      <c r="H20" s="147">
        <v>46179</v>
      </c>
      <c r="I20" s="187">
        <v>399</v>
      </c>
      <c r="J20" s="146">
        <v>6.7707449516375364</v>
      </c>
      <c r="K20" s="187">
        <v>22</v>
      </c>
      <c r="L20" s="146">
        <v>5.5137844611528823</v>
      </c>
    </row>
    <row r="21" spans="1:12" x14ac:dyDescent="0.2">
      <c r="A21" s="145" t="s">
        <v>949</v>
      </c>
      <c r="B21" s="145"/>
      <c r="C21" s="145" t="s">
        <v>14</v>
      </c>
      <c r="D21" s="145" t="s">
        <v>1750</v>
      </c>
      <c r="E21" s="146">
        <v>26.77</v>
      </c>
      <c r="F21" s="145" t="s">
        <v>469</v>
      </c>
      <c r="G21" s="191">
        <v>2659</v>
      </c>
      <c r="H21" s="147">
        <v>46178</v>
      </c>
      <c r="I21" s="187">
        <v>252</v>
      </c>
      <c r="J21" s="146">
        <v>9.4772470853704398</v>
      </c>
      <c r="K21" s="187">
        <v>13</v>
      </c>
      <c r="L21" s="146">
        <v>5.1587301587301582</v>
      </c>
    </row>
    <row r="22" spans="1:12" x14ac:dyDescent="0.2">
      <c r="A22" s="145" t="s">
        <v>949</v>
      </c>
      <c r="B22" s="145"/>
      <c r="C22" s="145" t="s">
        <v>47</v>
      </c>
      <c r="D22" s="145" t="s">
        <v>1335</v>
      </c>
      <c r="E22" s="146">
        <v>36.800000000000004</v>
      </c>
      <c r="F22" s="145" t="s">
        <v>469</v>
      </c>
      <c r="G22" s="191">
        <v>320</v>
      </c>
      <c r="H22" s="147">
        <v>46178</v>
      </c>
      <c r="I22" s="187">
        <v>82</v>
      </c>
      <c r="J22" s="146">
        <v>25.624999999999996</v>
      </c>
      <c r="K22" s="187">
        <v>5</v>
      </c>
      <c r="L22" s="146">
        <v>6.0975609756097562</v>
      </c>
    </row>
    <row r="23" spans="1:12" x14ac:dyDescent="0.2">
      <c r="A23" s="145" t="s">
        <v>949</v>
      </c>
      <c r="B23" s="145"/>
      <c r="C23" s="145" t="s">
        <v>47</v>
      </c>
      <c r="D23" s="145" t="s">
        <v>1758</v>
      </c>
      <c r="E23" s="146">
        <v>32.78</v>
      </c>
      <c r="F23" s="145" t="s">
        <v>469</v>
      </c>
      <c r="G23" s="191">
        <v>3717</v>
      </c>
      <c r="H23" s="147">
        <v>46181</v>
      </c>
      <c r="I23" s="187">
        <v>382</v>
      </c>
      <c r="J23" s="146">
        <v>10.27710519235943</v>
      </c>
      <c r="K23" s="187">
        <v>22</v>
      </c>
      <c r="L23" s="146">
        <v>5.7591623036649215</v>
      </c>
    </row>
    <row r="24" spans="1:12" x14ac:dyDescent="0.2">
      <c r="A24" s="145" t="s">
        <v>949</v>
      </c>
      <c r="B24" s="145"/>
      <c r="C24" s="145" t="s">
        <v>47</v>
      </c>
      <c r="D24" s="145" t="s">
        <v>1761</v>
      </c>
      <c r="E24" s="146">
        <v>37.89</v>
      </c>
      <c r="F24" s="145" t="s">
        <v>469</v>
      </c>
      <c r="G24" s="191">
        <v>2326</v>
      </c>
      <c r="H24" s="147">
        <v>46181</v>
      </c>
      <c r="I24" s="187">
        <v>285</v>
      </c>
      <c r="J24" s="146">
        <v>12.252794496990543</v>
      </c>
      <c r="K24" s="187">
        <v>19</v>
      </c>
      <c r="L24" s="146">
        <v>6.666666666666667</v>
      </c>
    </row>
    <row r="25" spans="1:12" x14ac:dyDescent="0.2">
      <c r="A25" s="145" t="s">
        <v>1970</v>
      </c>
      <c r="B25" s="145"/>
      <c r="C25" s="145" t="s">
        <v>14</v>
      </c>
      <c r="D25" s="145" t="s">
        <v>1971</v>
      </c>
      <c r="E25" s="146">
        <v>25.35</v>
      </c>
      <c r="F25" s="145" t="s">
        <v>1740</v>
      </c>
      <c r="G25" s="191">
        <v>2512</v>
      </c>
      <c r="H25" s="147">
        <v>46163</v>
      </c>
      <c r="I25" s="187">
        <v>312</v>
      </c>
      <c r="J25" s="146">
        <v>12.420382165605096</v>
      </c>
      <c r="K25" s="187">
        <v>33</v>
      </c>
      <c r="L25" s="146">
        <v>10.576923076923077</v>
      </c>
    </row>
    <row r="26" spans="1:12" ht="14.5" customHeight="1" x14ac:dyDescent="0.2">
      <c r="A26" s="145" t="s">
        <v>1970</v>
      </c>
      <c r="B26" s="145"/>
      <c r="C26" s="145" t="s">
        <v>14</v>
      </c>
      <c r="D26" s="145" t="s">
        <v>1972</v>
      </c>
      <c r="E26" s="146">
        <v>36.53</v>
      </c>
      <c r="F26" s="145" t="s">
        <v>1740</v>
      </c>
      <c r="G26" s="191">
        <v>4548</v>
      </c>
      <c r="H26" s="147">
        <v>46193</v>
      </c>
      <c r="I26" s="187">
        <v>312</v>
      </c>
      <c r="J26" s="146">
        <v>6.8601583113456464</v>
      </c>
      <c r="K26" s="187">
        <v>21</v>
      </c>
      <c r="L26" s="146">
        <v>6.7307692307692308</v>
      </c>
    </row>
    <row r="27" spans="1:12" ht="14.5" customHeight="1" x14ac:dyDescent="0.2">
      <c r="A27" s="355" t="s">
        <v>1</v>
      </c>
      <c r="B27" s="355" t="s">
        <v>2</v>
      </c>
      <c r="C27" s="355" t="s">
        <v>3</v>
      </c>
      <c r="D27" s="355" t="s">
        <v>4</v>
      </c>
      <c r="E27" s="355" t="s">
        <v>5</v>
      </c>
      <c r="F27" s="355" t="s">
        <v>6</v>
      </c>
      <c r="G27" s="357" t="s">
        <v>7</v>
      </c>
      <c r="H27" s="356" t="s">
        <v>8</v>
      </c>
      <c r="I27" s="356" t="s">
        <v>9</v>
      </c>
      <c r="J27" s="356" t="s">
        <v>626</v>
      </c>
      <c r="K27" s="356" t="s">
        <v>627</v>
      </c>
      <c r="L27" s="356" t="s">
        <v>10</v>
      </c>
    </row>
    <row r="28" spans="1:12" x14ac:dyDescent="0.2">
      <c r="A28" s="355"/>
      <c r="B28" s="355"/>
      <c r="C28" s="355"/>
      <c r="D28" s="355"/>
      <c r="E28" s="355"/>
      <c r="F28" s="355"/>
      <c r="G28" s="357"/>
      <c r="H28" s="356"/>
      <c r="I28" s="356"/>
      <c r="J28" s="356"/>
      <c r="K28" s="356"/>
      <c r="L28" s="356"/>
    </row>
    <row r="29" spans="1:12" x14ac:dyDescent="0.2">
      <c r="A29" s="145" t="s">
        <v>1970</v>
      </c>
      <c r="B29" s="145"/>
      <c r="C29" s="145" t="s">
        <v>14</v>
      </c>
      <c r="D29" s="145" t="s">
        <v>1469</v>
      </c>
      <c r="E29" s="146">
        <v>32.67</v>
      </c>
      <c r="F29" s="145" t="s">
        <v>1740</v>
      </c>
      <c r="G29" s="191">
        <v>3245</v>
      </c>
      <c r="H29" s="147">
        <v>46192</v>
      </c>
      <c r="I29" s="187">
        <v>406</v>
      </c>
      <c r="J29" s="146">
        <v>12.511556240369801</v>
      </c>
      <c r="K29" s="187">
        <v>21</v>
      </c>
      <c r="L29" s="146">
        <v>5.1724137931034484</v>
      </c>
    </row>
    <row r="30" spans="1:12" x14ac:dyDescent="0.2">
      <c r="A30" s="145" t="s">
        <v>1970</v>
      </c>
      <c r="B30" s="145"/>
      <c r="C30" s="145" t="s">
        <v>14</v>
      </c>
      <c r="D30" s="145" t="s">
        <v>1974</v>
      </c>
      <c r="E30" s="146">
        <v>42.56</v>
      </c>
      <c r="F30" s="145" t="s">
        <v>1740</v>
      </c>
      <c r="G30" s="191">
        <v>5154</v>
      </c>
      <c r="H30" s="147">
        <v>46163</v>
      </c>
      <c r="I30" s="187">
        <v>519</v>
      </c>
      <c r="J30" s="146">
        <v>10.069848661233994</v>
      </c>
      <c r="K30" s="187">
        <v>36</v>
      </c>
      <c r="L30" s="146">
        <v>6.9364161849710975</v>
      </c>
    </row>
    <row r="31" spans="1:12" x14ac:dyDescent="0.2">
      <c r="A31" s="145" t="s">
        <v>1970</v>
      </c>
      <c r="B31" s="145"/>
      <c r="C31" s="145" t="s">
        <v>14</v>
      </c>
      <c r="D31" s="145" t="s">
        <v>1975</v>
      </c>
      <c r="E31" s="146">
        <v>44.089999999999996</v>
      </c>
      <c r="F31" s="145" t="s">
        <v>1740</v>
      </c>
      <c r="G31" s="191">
        <v>5141</v>
      </c>
      <c r="H31" s="147">
        <v>46151</v>
      </c>
      <c r="I31" s="187">
        <v>538</v>
      </c>
      <c r="J31" s="146">
        <v>10.46489009920249</v>
      </c>
      <c r="K31" s="187">
        <v>45</v>
      </c>
      <c r="L31" s="146">
        <v>8.3643122676579935</v>
      </c>
    </row>
    <row r="32" spans="1:12" x14ac:dyDescent="0.2">
      <c r="A32" s="145" t="s">
        <v>1970</v>
      </c>
      <c r="B32" s="145"/>
      <c r="C32" s="145" t="s">
        <v>14</v>
      </c>
      <c r="D32" s="145" t="s">
        <v>1976</v>
      </c>
      <c r="E32" s="146">
        <v>30.320000000000004</v>
      </c>
      <c r="F32" s="145" t="s">
        <v>1740</v>
      </c>
      <c r="G32" s="191">
        <v>3607</v>
      </c>
      <c r="H32" s="147">
        <v>46163</v>
      </c>
      <c r="I32" s="187">
        <v>376</v>
      </c>
      <c r="J32" s="146">
        <v>10.424175214859995</v>
      </c>
      <c r="K32" s="187">
        <v>19</v>
      </c>
      <c r="L32" s="146">
        <v>5.0531914893617014</v>
      </c>
    </row>
    <row r="33" spans="1:12" x14ac:dyDescent="0.2">
      <c r="A33" s="145" t="s">
        <v>1970</v>
      </c>
      <c r="B33" s="145"/>
      <c r="C33" s="145" t="s">
        <v>14</v>
      </c>
      <c r="D33" s="145" t="s">
        <v>1983</v>
      </c>
      <c r="E33" s="146">
        <v>36.18</v>
      </c>
      <c r="F33" s="145" t="s">
        <v>1740</v>
      </c>
      <c r="G33" s="191">
        <v>4489</v>
      </c>
      <c r="H33" s="147">
        <v>46155</v>
      </c>
      <c r="I33" s="187">
        <v>559</v>
      </c>
      <c r="J33" s="146">
        <v>12.452662062820227</v>
      </c>
      <c r="K33" s="187">
        <v>38</v>
      </c>
      <c r="L33" s="146">
        <v>6.7978533094812166</v>
      </c>
    </row>
    <row r="34" spans="1:12" x14ac:dyDescent="0.2">
      <c r="A34" s="145" t="s">
        <v>1970</v>
      </c>
      <c r="B34" s="145"/>
      <c r="C34" s="145" t="s">
        <v>14</v>
      </c>
      <c r="D34" s="145" t="s">
        <v>1989</v>
      </c>
      <c r="E34" s="146">
        <v>34.569999999999993</v>
      </c>
      <c r="F34" s="145" t="s">
        <v>1740</v>
      </c>
      <c r="G34" s="191">
        <v>4070</v>
      </c>
      <c r="H34" s="147">
        <v>46163</v>
      </c>
      <c r="I34" s="187">
        <v>550</v>
      </c>
      <c r="J34" s="146">
        <v>13.513513513513514</v>
      </c>
      <c r="K34" s="187">
        <v>43</v>
      </c>
      <c r="L34" s="146">
        <v>7.8181818181818183</v>
      </c>
    </row>
    <row r="35" spans="1:12" x14ac:dyDescent="0.2">
      <c r="A35" s="145" t="s">
        <v>1970</v>
      </c>
      <c r="B35" s="145"/>
      <c r="C35" s="145" t="s">
        <v>14</v>
      </c>
      <c r="D35" s="145" t="s">
        <v>1990</v>
      </c>
      <c r="E35" s="146">
        <v>41.559999999999995</v>
      </c>
      <c r="F35" s="145" t="s">
        <v>1740</v>
      </c>
      <c r="G35" s="191">
        <v>4804</v>
      </c>
      <c r="H35" s="147">
        <v>46198</v>
      </c>
      <c r="I35" s="187">
        <v>411</v>
      </c>
      <c r="J35" s="146">
        <v>8.5553705245628642</v>
      </c>
      <c r="K35" s="187">
        <v>25</v>
      </c>
      <c r="L35" s="146">
        <v>6.0827250608272507</v>
      </c>
    </row>
    <row r="36" spans="1:12" x14ac:dyDescent="0.2">
      <c r="A36" s="145" t="s">
        <v>1970</v>
      </c>
      <c r="B36" s="145"/>
      <c r="C36" s="145" t="s">
        <v>47</v>
      </c>
      <c r="D36" s="145" t="s">
        <v>1995</v>
      </c>
      <c r="E36" s="146">
        <v>37.06</v>
      </c>
      <c r="F36" s="145" t="s">
        <v>1740</v>
      </c>
      <c r="G36" s="191">
        <v>4760</v>
      </c>
      <c r="H36" s="147">
        <v>46154</v>
      </c>
      <c r="I36" s="187">
        <v>666</v>
      </c>
      <c r="J36" s="146">
        <v>13.991596638655462</v>
      </c>
      <c r="K36" s="187">
        <v>40</v>
      </c>
      <c r="L36" s="146">
        <v>6.0060060060060056</v>
      </c>
    </row>
    <row r="37" spans="1:12" x14ac:dyDescent="0.2">
      <c r="A37" s="145" t="s">
        <v>1970</v>
      </c>
      <c r="B37" s="145"/>
      <c r="C37" s="145" t="s">
        <v>47</v>
      </c>
      <c r="D37" s="145" t="s">
        <v>1997</v>
      </c>
      <c r="E37" s="146">
        <v>28.740000000000002</v>
      </c>
      <c r="F37" s="145" t="s">
        <v>1740</v>
      </c>
      <c r="G37" s="191">
        <v>3558</v>
      </c>
      <c r="H37" s="147">
        <v>46190</v>
      </c>
      <c r="I37" s="187">
        <v>328.37400000000002</v>
      </c>
      <c r="J37" s="146">
        <v>9.229173693086004</v>
      </c>
      <c r="K37" s="187">
        <v>17</v>
      </c>
      <c r="L37" s="146">
        <v>5.177023759493748</v>
      </c>
    </row>
    <row r="38" spans="1:12" x14ac:dyDescent="0.2">
      <c r="A38" s="145" t="s">
        <v>1970</v>
      </c>
      <c r="B38" s="145"/>
      <c r="C38" s="145" t="s">
        <v>47</v>
      </c>
      <c r="D38" s="145" t="s">
        <v>2000</v>
      </c>
      <c r="E38" s="146">
        <v>36.99</v>
      </c>
      <c r="F38" s="145" t="s">
        <v>1740</v>
      </c>
      <c r="G38" s="191">
        <v>4769</v>
      </c>
      <c r="H38" s="147">
        <v>46153</v>
      </c>
      <c r="I38" s="187">
        <v>759</v>
      </c>
      <c r="J38" s="146">
        <v>15.915286223526945</v>
      </c>
      <c r="K38" s="187">
        <v>52</v>
      </c>
      <c r="L38" s="146">
        <v>6.8511198945981553</v>
      </c>
    </row>
    <row r="39" spans="1:12" x14ac:dyDescent="0.2">
      <c r="A39" s="145" t="s">
        <v>1970</v>
      </c>
      <c r="B39" s="145"/>
      <c r="C39" s="145" t="s">
        <v>47</v>
      </c>
      <c r="D39" s="145" t="s">
        <v>2001</v>
      </c>
      <c r="E39" s="146">
        <v>28.979999999999997</v>
      </c>
      <c r="F39" s="145" t="s">
        <v>1740</v>
      </c>
      <c r="G39" s="191">
        <v>3655</v>
      </c>
      <c r="H39" s="147">
        <v>46190</v>
      </c>
      <c r="I39" s="187">
        <v>364</v>
      </c>
      <c r="J39" s="146">
        <v>9.9589603283173727</v>
      </c>
      <c r="K39" s="187">
        <v>22</v>
      </c>
      <c r="L39" s="146">
        <v>6.0439560439560438</v>
      </c>
    </row>
    <row r="40" spans="1:12" x14ac:dyDescent="0.2">
      <c r="A40" s="145" t="s">
        <v>1970</v>
      </c>
      <c r="B40" s="145"/>
      <c r="C40" s="145" t="s">
        <v>47</v>
      </c>
      <c r="D40" s="145" t="s">
        <v>2002</v>
      </c>
      <c r="E40" s="146">
        <v>32.700000000000003</v>
      </c>
      <c r="F40" s="145" t="s">
        <v>1740</v>
      </c>
      <c r="G40" s="191">
        <v>4506</v>
      </c>
      <c r="H40" s="147">
        <v>46155</v>
      </c>
      <c r="I40" s="187">
        <v>546</v>
      </c>
      <c r="J40" s="146">
        <v>12.117177097203728</v>
      </c>
      <c r="K40" s="187">
        <v>43</v>
      </c>
      <c r="L40" s="146">
        <v>7.875457875457875</v>
      </c>
    </row>
    <row r="41" spans="1:12" x14ac:dyDescent="0.2">
      <c r="A41" s="145" t="s">
        <v>1970</v>
      </c>
      <c r="B41" s="145"/>
      <c r="C41" s="145" t="s">
        <v>47</v>
      </c>
      <c r="D41" s="145" t="s">
        <v>2003</v>
      </c>
      <c r="E41" s="146">
        <v>29.57</v>
      </c>
      <c r="F41" s="145" t="s">
        <v>1740</v>
      </c>
      <c r="G41" s="191">
        <v>3945</v>
      </c>
      <c r="H41" s="147">
        <v>46157</v>
      </c>
      <c r="I41" s="187">
        <v>492</v>
      </c>
      <c r="J41" s="146">
        <v>12.47148288973384</v>
      </c>
      <c r="K41" s="187">
        <v>36</v>
      </c>
      <c r="L41" s="146">
        <v>7.3170731707317067</v>
      </c>
    </row>
    <row r="42" spans="1:12" x14ac:dyDescent="0.2">
      <c r="A42" s="145" t="s">
        <v>1970</v>
      </c>
      <c r="B42" s="145"/>
      <c r="C42" s="145" t="s">
        <v>47</v>
      </c>
      <c r="D42" s="145" t="s">
        <v>2005</v>
      </c>
      <c r="E42" s="146">
        <v>33.01</v>
      </c>
      <c r="F42" s="145" t="s">
        <v>1740</v>
      </c>
      <c r="G42" s="191">
        <v>4569</v>
      </c>
      <c r="H42" s="147">
        <v>46158</v>
      </c>
      <c r="I42" s="187">
        <v>519</v>
      </c>
      <c r="J42" s="146">
        <v>11.359159553512804</v>
      </c>
      <c r="K42" s="187">
        <v>32</v>
      </c>
      <c r="L42" s="146">
        <v>6.1657032755298653</v>
      </c>
    </row>
    <row r="43" spans="1:12" x14ac:dyDescent="0.2">
      <c r="A43" s="145" t="s">
        <v>1970</v>
      </c>
      <c r="B43" s="145"/>
      <c r="C43" s="145" t="s">
        <v>47</v>
      </c>
      <c r="D43" s="145" t="s">
        <v>2010</v>
      </c>
      <c r="E43" s="146">
        <v>32.68</v>
      </c>
      <c r="F43" s="145" t="s">
        <v>1740</v>
      </c>
      <c r="G43" s="191">
        <v>4375</v>
      </c>
      <c r="H43" s="147">
        <v>46150</v>
      </c>
      <c r="I43" s="187">
        <v>631</v>
      </c>
      <c r="J43" s="146">
        <v>14.422857142857143</v>
      </c>
      <c r="K43" s="187">
        <v>41</v>
      </c>
      <c r="L43" s="146">
        <v>6.497622820919176</v>
      </c>
    </row>
    <row r="44" spans="1:12" x14ac:dyDescent="0.2">
      <c r="A44" s="145" t="s">
        <v>1970</v>
      </c>
      <c r="B44" s="145"/>
      <c r="C44" s="145" t="s">
        <v>79</v>
      </c>
      <c r="D44" s="145" t="s">
        <v>1137</v>
      </c>
      <c r="E44" s="146">
        <v>28.79</v>
      </c>
      <c r="F44" s="145" t="s">
        <v>1740</v>
      </c>
      <c r="G44" s="191">
        <v>2640</v>
      </c>
      <c r="H44" s="147">
        <v>46171</v>
      </c>
      <c r="I44" s="187">
        <v>557</v>
      </c>
      <c r="J44" s="146">
        <v>21.098484848484851</v>
      </c>
      <c r="K44" s="187">
        <v>31</v>
      </c>
      <c r="L44" s="146">
        <v>5.5655296229802511</v>
      </c>
    </row>
    <row r="45" spans="1:12" x14ac:dyDescent="0.2">
      <c r="A45" s="145" t="s">
        <v>1970</v>
      </c>
      <c r="B45" s="145"/>
      <c r="C45" s="145" t="s">
        <v>79</v>
      </c>
      <c r="D45" s="145" t="s">
        <v>1169</v>
      </c>
      <c r="E45" s="146">
        <v>33.96</v>
      </c>
      <c r="F45" s="145" t="s">
        <v>1740</v>
      </c>
      <c r="G45" s="191">
        <v>3306</v>
      </c>
      <c r="H45" s="147">
        <v>46170</v>
      </c>
      <c r="I45" s="187">
        <v>484</v>
      </c>
      <c r="J45" s="146">
        <v>14.640048396854205</v>
      </c>
      <c r="K45" s="187">
        <v>30</v>
      </c>
      <c r="L45" s="146">
        <v>6.1983471074380168</v>
      </c>
    </row>
    <row r="46" spans="1:12" x14ac:dyDescent="0.2">
      <c r="A46" s="145" t="s">
        <v>1970</v>
      </c>
      <c r="B46" s="145"/>
      <c r="C46" s="145" t="s">
        <v>79</v>
      </c>
      <c r="D46" s="145" t="s">
        <v>1112</v>
      </c>
      <c r="E46" s="146">
        <v>23.93</v>
      </c>
      <c r="F46" s="145" t="s">
        <v>1740</v>
      </c>
      <c r="G46" s="191">
        <v>2784</v>
      </c>
      <c r="H46" s="147">
        <v>46154</v>
      </c>
      <c r="I46" s="187">
        <v>423</v>
      </c>
      <c r="J46" s="146">
        <v>15.193965517241379</v>
      </c>
      <c r="K46" s="187">
        <v>22</v>
      </c>
      <c r="L46" s="146">
        <v>5.2009456264775409</v>
      </c>
    </row>
    <row r="47" spans="1:12" x14ac:dyDescent="0.2">
      <c r="A47" s="145" t="s">
        <v>1970</v>
      </c>
      <c r="B47" s="145"/>
      <c r="C47" s="145" t="s">
        <v>79</v>
      </c>
      <c r="D47" s="145" t="s">
        <v>1225</v>
      </c>
      <c r="E47" s="146">
        <v>37.440000000000005</v>
      </c>
      <c r="F47" s="145" t="s">
        <v>1740</v>
      </c>
      <c r="G47" s="191">
        <v>3570</v>
      </c>
      <c r="H47" s="147">
        <v>46162</v>
      </c>
      <c r="I47" s="187">
        <v>339</v>
      </c>
      <c r="J47" s="146">
        <v>9.4957983193277311</v>
      </c>
      <c r="K47" s="187">
        <v>24</v>
      </c>
      <c r="L47" s="146">
        <v>7.0796460176991154</v>
      </c>
    </row>
    <row r="48" spans="1:12" x14ac:dyDescent="0.2">
      <c r="A48" s="145" t="s">
        <v>1970</v>
      </c>
      <c r="B48" s="145"/>
      <c r="C48" s="145" t="s">
        <v>79</v>
      </c>
      <c r="D48" s="145" t="s">
        <v>2019</v>
      </c>
      <c r="E48" s="146">
        <v>32.949999999999996</v>
      </c>
      <c r="F48" s="145" t="s">
        <v>1740</v>
      </c>
      <c r="G48" s="191">
        <v>4337</v>
      </c>
      <c r="H48" s="147">
        <v>46171</v>
      </c>
      <c r="I48" s="187">
        <v>753</v>
      </c>
      <c r="J48" s="146">
        <v>17.362231957574359</v>
      </c>
      <c r="K48" s="187">
        <v>41</v>
      </c>
      <c r="L48" s="146">
        <v>5.4448871181938907</v>
      </c>
    </row>
    <row r="49" spans="1:12" x14ac:dyDescent="0.2">
      <c r="A49" s="145" t="s">
        <v>1970</v>
      </c>
      <c r="B49" s="145"/>
      <c r="C49" s="145" t="s">
        <v>79</v>
      </c>
      <c r="D49" s="145" t="s">
        <v>2020</v>
      </c>
      <c r="E49" s="146">
        <v>46.410000000000004</v>
      </c>
      <c r="F49" s="145" t="s">
        <v>1740</v>
      </c>
      <c r="G49" s="191">
        <v>5514</v>
      </c>
      <c r="H49" s="147">
        <v>46193</v>
      </c>
      <c r="I49" s="187">
        <v>520</v>
      </c>
      <c r="J49" s="146">
        <v>9.4305404425099741</v>
      </c>
      <c r="K49" s="187">
        <v>31</v>
      </c>
      <c r="L49" s="146">
        <v>5.9615384615384617</v>
      </c>
    </row>
    <row r="50" spans="1:12" x14ac:dyDescent="0.2">
      <c r="A50" s="145" t="s">
        <v>1927</v>
      </c>
      <c r="B50" s="145"/>
      <c r="C50" s="145" t="s">
        <v>1929</v>
      </c>
      <c r="D50" s="145" t="s">
        <v>1087</v>
      </c>
      <c r="E50" s="146">
        <v>29.18</v>
      </c>
      <c r="F50" s="145" t="s">
        <v>1740</v>
      </c>
      <c r="G50" s="191">
        <v>2366</v>
      </c>
      <c r="H50" s="147">
        <v>46165</v>
      </c>
      <c r="I50" s="187">
        <v>250</v>
      </c>
      <c r="J50" s="146">
        <v>10.566356720202874</v>
      </c>
      <c r="K50" s="187">
        <v>32</v>
      </c>
      <c r="L50" s="146">
        <v>12.8</v>
      </c>
    </row>
    <row r="51" spans="1:12" x14ac:dyDescent="0.2">
      <c r="A51" s="145" t="s">
        <v>1927</v>
      </c>
      <c r="B51" s="145"/>
      <c r="C51" s="145" t="s">
        <v>1929</v>
      </c>
      <c r="D51" s="145" t="s">
        <v>1445</v>
      </c>
      <c r="E51" s="146">
        <v>23.689999999999998</v>
      </c>
      <c r="F51" s="145" t="s">
        <v>1740</v>
      </c>
      <c r="G51" s="191">
        <v>2155</v>
      </c>
      <c r="H51" s="147">
        <v>46165</v>
      </c>
      <c r="I51" s="187">
        <v>232</v>
      </c>
      <c r="J51" s="146">
        <v>10.765661252900232</v>
      </c>
      <c r="K51" s="187">
        <v>28</v>
      </c>
      <c r="L51" s="146">
        <v>12.068965517241379</v>
      </c>
    </row>
    <row r="52" spans="1:12" x14ac:dyDescent="0.2">
      <c r="A52" s="145" t="s">
        <v>1927</v>
      </c>
      <c r="B52" s="145"/>
      <c r="C52" s="145" t="s">
        <v>1931</v>
      </c>
      <c r="D52" s="145" t="s">
        <v>1184</v>
      </c>
      <c r="E52" s="146">
        <v>31.349999999999998</v>
      </c>
      <c r="F52" s="145" t="s">
        <v>1740</v>
      </c>
      <c r="G52" s="191">
        <v>3951</v>
      </c>
      <c r="H52" s="147">
        <v>46165</v>
      </c>
      <c r="I52" s="187">
        <v>468</v>
      </c>
      <c r="J52" s="146">
        <v>11.845102505694761</v>
      </c>
      <c r="K52" s="187">
        <v>51</v>
      </c>
      <c r="L52" s="146">
        <v>10.897435897435898</v>
      </c>
    </row>
    <row r="53" spans="1:12" x14ac:dyDescent="0.2">
      <c r="A53" s="355" t="s">
        <v>1</v>
      </c>
      <c r="B53" s="355" t="s">
        <v>2</v>
      </c>
      <c r="C53" s="355" t="s">
        <v>3</v>
      </c>
      <c r="D53" s="355" t="s">
        <v>4</v>
      </c>
      <c r="E53" s="355" t="s">
        <v>5</v>
      </c>
      <c r="F53" s="355" t="s">
        <v>6</v>
      </c>
      <c r="G53" s="357" t="s">
        <v>7</v>
      </c>
      <c r="H53" s="356" t="s">
        <v>8</v>
      </c>
      <c r="I53" s="356" t="s">
        <v>9</v>
      </c>
      <c r="J53" s="356" t="s">
        <v>626</v>
      </c>
      <c r="K53" s="356" t="s">
        <v>627</v>
      </c>
      <c r="L53" s="356" t="s">
        <v>10</v>
      </c>
    </row>
    <row r="54" spans="1:12" x14ac:dyDescent="0.2">
      <c r="A54" s="355"/>
      <c r="B54" s="355"/>
      <c r="C54" s="355"/>
      <c r="D54" s="355"/>
      <c r="E54" s="355"/>
      <c r="F54" s="355"/>
      <c r="G54" s="357"/>
      <c r="H54" s="356"/>
      <c r="I54" s="356"/>
      <c r="J54" s="356"/>
      <c r="K54" s="356"/>
      <c r="L54" s="356"/>
    </row>
    <row r="55" spans="1:12" x14ac:dyDescent="0.2">
      <c r="A55" s="145" t="s">
        <v>1927</v>
      </c>
      <c r="B55" s="145"/>
      <c r="C55" s="145" t="s">
        <v>1931</v>
      </c>
      <c r="D55" s="145" t="s">
        <v>1229</v>
      </c>
      <c r="E55" s="146">
        <v>37.74</v>
      </c>
      <c r="F55" s="145" t="s">
        <v>1740</v>
      </c>
      <c r="G55" s="191">
        <v>4638</v>
      </c>
      <c r="H55" s="147">
        <v>46165</v>
      </c>
      <c r="I55" s="187">
        <v>432</v>
      </c>
      <c r="J55" s="146">
        <v>9.3143596377749027</v>
      </c>
      <c r="K55" s="187">
        <v>34</v>
      </c>
      <c r="L55" s="146">
        <v>7.8703703703703702</v>
      </c>
    </row>
    <row r="56" spans="1:12" x14ac:dyDescent="0.2">
      <c r="A56" s="145" t="s">
        <v>1927</v>
      </c>
      <c r="B56" s="145"/>
      <c r="C56" s="145" t="s">
        <v>1931</v>
      </c>
      <c r="D56" s="145" t="s">
        <v>1193</v>
      </c>
      <c r="E56" s="146">
        <v>34.589999999999996</v>
      </c>
      <c r="F56" s="145" t="s">
        <v>1740</v>
      </c>
      <c r="G56" s="191">
        <v>4654.9999999999991</v>
      </c>
      <c r="H56" s="147">
        <v>46155</v>
      </c>
      <c r="I56" s="187">
        <v>467</v>
      </c>
      <c r="J56" s="146">
        <v>10.032223415682063</v>
      </c>
      <c r="K56" s="187">
        <v>24</v>
      </c>
      <c r="L56" s="146">
        <v>5.1391862955032117</v>
      </c>
    </row>
    <row r="57" spans="1:12" x14ac:dyDescent="0.2">
      <c r="A57" s="145" t="s">
        <v>1927</v>
      </c>
      <c r="B57" s="145"/>
      <c r="C57" s="145" t="s">
        <v>1931</v>
      </c>
      <c r="D57" s="145" t="s">
        <v>1201</v>
      </c>
      <c r="E57" s="146">
        <v>24.47</v>
      </c>
      <c r="F57" s="145" t="s">
        <v>1740</v>
      </c>
      <c r="G57" s="191">
        <v>2692</v>
      </c>
      <c r="H57" s="147">
        <v>46165</v>
      </c>
      <c r="I57" s="187">
        <v>283</v>
      </c>
      <c r="J57" s="146">
        <v>10.512630014858841</v>
      </c>
      <c r="K57" s="187">
        <v>68</v>
      </c>
      <c r="L57" s="146">
        <v>24.028268551236749</v>
      </c>
    </row>
    <row r="58" spans="1:12" x14ac:dyDescent="0.2">
      <c r="A58" s="145" t="s">
        <v>1927</v>
      </c>
      <c r="B58" s="145"/>
      <c r="C58" s="145" t="s">
        <v>1931</v>
      </c>
      <c r="D58" s="145" t="s">
        <v>1194</v>
      </c>
      <c r="E58" s="146">
        <v>32.56</v>
      </c>
      <c r="F58" s="145" t="s">
        <v>1740</v>
      </c>
      <c r="G58" s="191">
        <v>4366</v>
      </c>
      <c r="H58" s="147">
        <v>46165</v>
      </c>
      <c r="I58" s="187">
        <v>412</v>
      </c>
      <c r="J58" s="146">
        <v>9.4365551992670635</v>
      </c>
      <c r="K58" s="187">
        <v>49</v>
      </c>
      <c r="L58" s="146">
        <v>11.893203883495145</v>
      </c>
    </row>
    <row r="59" spans="1:12" x14ac:dyDescent="0.2">
      <c r="A59" s="145" t="s">
        <v>1927</v>
      </c>
      <c r="B59" s="145"/>
      <c r="C59" s="145" t="s">
        <v>1931</v>
      </c>
      <c r="D59" s="145" t="s">
        <v>1214</v>
      </c>
      <c r="E59" s="146">
        <v>45.260000000000005</v>
      </c>
      <c r="F59" s="145" t="s">
        <v>1740</v>
      </c>
      <c r="G59" s="191">
        <v>6056</v>
      </c>
      <c r="H59" s="147">
        <v>46159</v>
      </c>
      <c r="I59" s="187">
        <v>602</v>
      </c>
      <c r="J59" s="146">
        <v>9.940554821664465</v>
      </c>
      <c r="K59" s="187">
        <v>32</v>
      </c>
      <c r="L59" s="146">
        <v>5.3156146179401995</v>
      </c>
    </row>
    <row r="60" spans="1:12" x14ac:dyDescent="0.2">
      <c r="A60" s="145" t="s">
        <v>1927</v>
      </c>
      <c r="B60" s="145"/>
      <c r="C60" s="145" t="s">
        <v>1928</v>
      </c>
      <c r="D60" s="145" t="s">
        <v>1429</v>
      </c>
      <c r="E60" s="146">
        <v>34.18</v>
      </c>
      <c r="F60" s="145" t="s">
        <v>1740</v>
      </c>
      <c r="G60" s="191">
        <v>4404</v>
      </c>
      <c r="H60" s="147">
        <v>46165</v>
      </c>
      <c r="I60" s="187">
        <v>359</v>
      </c>
      <c r="J60" s="146">
        <v>8.1516802906448671</v>
      </c>
      <c r="K60" s="187">
        <v>65</v>
      </c>
      <c r="L60" s="146">
        <v>18.105849582172702</v>
      </c>
    </row>
    <row r="61" spans="1:12" x14ac:dyDescent="0.2">
      <c r="A61" s="145" t="s">
        <v>1927</v>
      </c>
      <c r="B61" s="145"/>
      <c r="C61" s="145" t="s">
        <v>1928</v>
      </c>
      <c r="D61" s="145" t="s">
        <v>1834</v>
      </c>
      <c r="E61" s="146">
        <v>35.269999999999996</v>
      </c>
      <c r="F61" s="145" t="s">
        <v>1740</v>
      </c>
      <c r="G61" s="191">
        <v>4109</v>
      </c>
      <c r="H61" s="147">
        <v>46165</v>
      </c>
      <c r="I61" s="187">
        <v>242</v>
      </c>
      <c r="J61" s="146">
        <v>5.8895108298856167</v>
      </c>
      <c r="K61" s="187">
        <v>15</v>
      </c>
      <c r="L61" s="146">
        <v>6.1983471074380168</v>
      </c>
    </row>
    <row r="62" spans="1:12" x14ac:dyDescent="0.2">
      <c r="A62" s="145" t="s">
        <v>1927</v>
      </c>
      <c r="B62" s="145"/>
      <c r="C62" s="145" t="s">
        <v>1928</v>
      </c>
      <c r="D62" s="145" t="s">
        <v>1442</v>
      </c>
      <c r="E62" s="146">
        <v>25.740000000000002</v>
      </c>
      <c r="F62" s="145" t="s">
        <v>1740</v>
      </c>
      <c r="G62" s="191">
        <v>3108</v>
      </c>
      <c r="H62" s="147">
        <v>46157</v>
      </c>
      <c r="I62" s="187">
        <v>308</v>
      </c>
      <c r="J62" s="146">
        <v>9.9099099099099099</v>
      </c>
      <c r="K62" s="187">
        <v>27</v>
      </c>
      <c r="L62" s="146">
        <v>8.7662337662337659</v>
      </c>
    </row>
    <row r="63" spans="1:12" ht="14.5" customHeight="1" x14ac:dyDescent="0.2">
      <c r="A63" s="145" t="s">
        <v>1927</v>
      </c>
      <c r="B63" s="145"/>
      <c r="C63" s="145" t="s">
        <v>1929</v>
      </c>
      <c r="D63" s="145" t="s">
        <v>1162</v>
      </c>
      <c r="E63" s="146">
        <v>27.48</v>
      </c>
      <c r="F63" s="145" t="s">
        <v>1740</v>
      </c>
      <c r="G63" s="191">
        <v>2571</v>
      </c>
      <c r="H63" s="147">
        <v>46165</v>
      </c>
      <c r="I63" s="187">
        <v>265</v>
      </c>
      <c r="J63" s="146">
        <v>10.307273434461299</v>
      </c>
      <c r="K63" s="187">
        <v>21</v>
      </c>
      <c r="L63" s="146">
        <v>7.9245283018867925</v>
      </c>
    </row>
    <row r="64" spans="1:12" x14ac:dyDescent="0.2">
      <c r="A64" s="145" t="s">
        <v>1927</v>
      </c>
      <c r="B64" s="145"/>
      <c r="C64" s="145" t="s">
        <v>1929</v>
      </c>
      <c r="D64" s="145" t="s">
        <v>1096</v>
      </c>
      <c r="E64" s="146">
        <v>30.76</v>
      </c>
      <c r="F64" s="145" t="s">
        <v>1740</v>
      </c>
      <c r="G64" s="191">
        <v>2660</v>
      </c>
      <c r="H64" s="147">
        <v>46165</v>
      </c>
      <c r="I64" s="187">
        <v>281</v>
      </c>
      <c r="J64" s="146">
        <v>10.563909774436091</v>
      </c>
      <c r="K64" s="187">
        <v>101</v>
      </c>
      <c r="L64" s="146">
        <v>35.943060498220639</v>
      </c>
    </row>
    <row r="65" spans="1:12" x14ac:dyDescent="0.2">
      <c r="A65" s="145" t="s">
        <v>1927</v>
      </c>
      <c r="B65" s="145"/>
      <c r="C65" s="145" t="s">
        <v>1931</v>
      </c>
      <c r="D65" s="145" t="s">
        <v>1207</v>
      </c>
      <c r="E65" s="146">
        <v>35.28</v>
      </c>
      <c r="F65" s="145" t="s">
        <v>1740</v>
      </c>
      <c r="G65" s="191">
        <v>4196</v>
      </c>
      <c r="H65" s="147">
        <v>46165</v>
      </c>
      <c r="I65" s="187">
        <v>422</v>
      </c>
      <c r="J65" s="146">
        <v>10.057197330791229</v>
      </c>
      <c r="K65" s="187">
        <v>24</v>
      </c>
      <c r="L65" s="146">
        <v>5.6872037914691944</v>
      </c>
    </row>
    <row r="66" spans="1:12" x14ac:dyDescent="0.2">
      <c r="A66" s="145" t="s">
        <v>1927</v>
      </c>
      <c r="B66" s="145"/>
      <c r="C66" s="145" t="s">
        <v>1931</v>
      </c>
      <c r="D66" s="145" t="s">
        <v>1153</v>
      </c>
      <c r="E66" s="146">
        <v>45.86</v>
      </c>
      <c r="F66" s="145" t="s">
        <v>1740</v>
      </c>
      <c r="G66" s="191">
        <v>5032</v>
      </c>
      <c r="H66" s="147">
        <v>46165</v>
      </c>
      <c r="I66" s="187">
        <v>650</v>
      </c>
      <c r="J66" s="146">
        <v>12.917329093799681</v>
      </c>
      <c r="K66" s="187">
        <v>200</v>
      </c>
      <c r="L66" s="146">
        <v>30.76923076923077</v>
      </c>
    </row>
    <row r="67" spans="1:12" x14ac:dyDescent="0.2">
      <c r="A67" s="145" t="s">
        <v>1927</v>
      </c>
      <c r="B67" s="145"/>
      <c r="C67" s="145" t="s">
        <v>1931</v>
      </c>
      <c r="D67" s="145" t="s">
        <v>1932</v>
      </c>
      <c r="E67" s="146">
        <v>40.380000000000003</v>
      </c>
      <c r="F67" s="145" t="s">
        <v>1740</v>
      </c>
      <c r="G67" s="191">
        <v>4991</v>
      </c>
      <c r="H67" s="147">
        <v>46165</v>
      </c>
      <c r="I67" s="187">
        <v>576</v>
      </c>
      <c r="J67" s="146">
        <v>11.540773392105791</v>
      </c>
      <c r="K67" s="187">
        <v>34</v>
      </c>
      <c r="L67" s="146">
        <v>5.9027777777777777</v>
      </c>
    </row>
    <row r="68" spans="1:12" x14ac:dyDescent="0.2">
      <c r="A68" s="145" t="s">
        <v>1927</v>
      </c>
      <c r="B68" s="145"/>
      <c r="C68" s="145" t="s">
        <v>1931</v>
      </c>
      <c r="D68" s="145" t="s">
        <v>1713</v>
      </c>
      <c r="E68" s="146">
        <v>31.520000000000003</v>
      </c>
      <c r="F68" s="145" t="s">
        <v>1740</v>
      </c>
      <c r="G68" s="191">
        <v>4176</v>
      </c>
      <c r="H68" s="147">
        <v>46153</v>
      </c>
      <c r="I68" s="187">
        <v>421</v>
      </c>
      <c r="J68" s="146">
        <v>10.081417624521073</v>
      </c>
      <c r="K68" s="187">
        <v>25</v>
      </c>
      <c r="L68" s="146">
        <v>5.938242280285035</v>
      </c>
    </row>
    <row r="69" spans="1:12" x14ac:dyDescent="0.2">
      <c r="A69" s="145" t="s">
        <v>1927</v>
      </c>
      <c r="B69" s="145"/>
      <c r="C69" s="145" t="s">
        <v>1931</v>
      </c>
      <c r="D69" s="145" t="s">
        <v>1228</v>
      </c>
      <c r="E69" s="146">
        <v>40.520000000000003</v>
      </c>
      <c r="F69" s="145" t="s">
        <v>1740</v>
      </c>
      <c r="G69" s="191">
        <v>5057</v>
      </c>
      <c r="H69" s="147">
        <v>46165</v>
      </c>
      <c r="I69" s="187">
        <v>520</v>
      </c>
      <c r="J69" s="146">
        <v>10.282776349614396</v>
      </c>
      <c r="K69" s="187">
        <v>34</v>
      </c>
      <c r="L69" s="146">
        <v>6.5384615384615392</v>
      </c>
    </row>
    <row r="70" spans="1:12" x14ac:dyDescent="0.2">
      <c r="A70" s="145" t="s">
        <v>1927</v>
      </c>
      <c r="B70" s="145"/>
      <c r="C70" s="145" t="s">
        <v>1931</v>
      </c>
      <c r="D70" s="145" t="s">
        <v>1208</v>
      </c>
      <c r="E70" s="146">
        <v>29.96</v>
      </c>
      <c r="F70" s="145" t="s">
        <v>1740</v>
      </c>
      <c r="G70" s="191">
        <v>2815</v>
      </c>
      <c r="H70" s="147">
        <v>46157</v>
      </c>
      <c r="I70" s="187">
        <v>286</v>
      </c>
      <c r="J70" s="146">
        <v>10.159857904085259</v>
      </c>
      <c r="K70" s="187">
        <v>27</v>
      </c>
      <c r="L70" s="146">
        <v>9.44055944055944</v>
      </c>
    </row>
    <row r="71" spans="1:12" x14ac:dyDescent="0.2">
      <c r="A71" s="145" t="s">
        <v>1927</v>
      </c>
      <c r="B71" s="145"/>
      <c r="C71" s="145" t="s">
        <v>1937</v>
      </c>
      <c r="D71" s="145" t="s">
        <v>1940</v>
      </c>
      <c r="E71" s="146">
        <v>36.06</v>
      </c>
      <c r="F71" s="145" t="s">
        <v>1740</v>
      </c>
      <c r="G71" s="191">
        <v>4542</v>
      </c>
      <c r="H71" s="147">
        <v>46165</v>
      </c>
      <c r="I71" s="187">
        <v>421</v>
      </c>
      <c r="J71" s="146">
        <v>9.2690444738000881</v>
      </c>
      <c r="K71" s="187">
        <v>24</v>
      </c>
      <c r="L71" s="146">
        <v>5.7007125890736345</v>
      </c>
    </row>
    <row r="72" spans="1:12" x14ac:dyDescent="0.2">
      <c r="A72" s="145" t="s">
        <v>1927</v>
      </c>
      <c r="B72" s="145"/>
      <c r="C72" s="145" t="s">
        <v>1937</v>
      </c>
      <c r="D72" s="145" t="s">
        <v>1944</v>
      </c>
      <c r="E72" s="146">
        <v>24.709999999999997</v>
      </c>
      <c r="F72" s="145" t="s">
        <v>1740</v>
      </c>
      <c r="G72" s="191">
        <v>3060</v>
      </c>
      <c r="H72" s="147">
        <v>46165</v>
      </c>
      <c r="I72" s="187">
        <v>298</v>
      </c>
      <c r="J72" s="146">
        <v>9.7385620915032689</v>
      </c>
      <c r="K72" s="187">
        <v>19</v>
      </c>
      <c r="L72" s="146">
        <v>6.375838926174497</v>
      </c>
    </row>
    <row r="73" spans="1:12" x14ac:dyDescent="0.2">
      <c r="A73" s="145" t="s">
        <v>1927</v>
      </c>
      <c r="B73" s="145"/>
      <c r="C73" s="145" t="s">
        <v>1937</v>
      </c>
      <c r="D73" s="145" t="s">
        <v>1945</v>
      </c>
      <c r="E73" s="146">
        <v>28.72</v>
      </c>
      <c r="F73" s="145" t="s">
        <v>1740</v>
      </c>
      <c r="G73" s="191">
        <v>3648</v>
      </c>
      <c r="H73" s="147">
        <v>46165</v>
      </c>
      <c r="I73" s="187">
        <v>361</v>
      </c>
      <c r="J73" s="146">
        <v>9.8958333333333321</v>
      </c>
      <c r="K73" s="187">
        <v>21</v>
      </c>
      <c r="L73" s="146">
        <v>5.8171745152354575</v>
      </c>
    </row>
    <row r="74" spans="1:12" x14ac:dyDescent="0.2">
      <c r="A74" s="145" t="s">
        <v>1927</v>
      </c>
      <c r="B74" s="145"/>
      <c r="C74" s="145" t="s">
        <v>1937</v>
      </c>
      <c r="D74" s="145" t="s">
        <v>1949</v>
      </c>
      <c r="E74" s="146">
        <v>31.97</v>
      </c>
      <c r="F74" s="145" t="s">
        <v>1740</v>
      </c>
      <c r="G74" s="191">
        <v>4090</v>
      </c>
      <c r="H74" s="147">
        <v>46165</v>
      </c>
      <c r="I74" s="187">
        <v>456</v>
      </c>
      <c r="J74" s="146">
        <v>11.149144254278728</v>
      </c>
      <c r="K74" s="187">
        <v>93</v>
      </c>
      <c r="L74" s="146">
        <v>20.394736842105264</v>
      </c>
    </row>
    <row r="75" spans="1:12" x14ac:dyDescent="0.2">
      <c r="A75" s="145" t="s">
        <v>1927</v>
      </c>
      <c r="B75" s="145"/>
      <c r="C75" s="145" t="s">
        <v>1937</v>
      </c>
      <c r="D75" s="145" t="s">
        <v>1215</v>
      </c>
      <c r="E75" s="146">
        <v>28.119999999999997</v>
      </c>
      <c r="F75" s="145" t="s">
        <v>1740</v>
      </c>
      <c r="G75" s="191">
        <v>3820</v>
      </c>
      <c r="H75" s="147">
        <v>46165</v>
      </c>
      <c r="I75" s="187">
        <v>423</v>
      </c>
      <c r="J75" s="146">
        <v>11.073298429319371</v>
      </c>
      <c r="K75" s="187">
        <v>32</v>
      </c>
      <c r="L75" s="146">
        <v>7.5650118203309695</v>
      </c>
    </row>
    <row r="76" spans="1:12" x14ac:dyDescent="0.2">
      <c r="A76" s="145" t="s">
        <v>1927</v>
      </c>
      <c r="B76" s="145"/>
      <c r="C76" s="145" t="s">
        <v>1951</v>
      </c>
      <c r="D76" s="145" t="s">
        <v>1955</v>
      </c>
      <c r="E76" s="146">
        <v>17.920000000000002</v>
      </c>
      <c r="F76" s="145" t="s">
        <v>1740</v>
      </c>
      <c r="G76" s="191">
        <v>2283</v>
      </c>
      <c r="H76" s="147">
        <v>46159</v>
      </c>
      <c r="I76" s="187">
        <v>226</v>
      </c>
      <c r="J76" s="146">
        <v>9.899255365746825</v>
      </c>
      <c r="K76" s="187">
        <v>13</v>
      </c>
      <c r="L76" s="146">
        <v>5.7522123893805306</v>
      </c>
    </row>
    <row r="77" spans="1:12" x14ac:dyDescent="0.2">
      <c r="A77" s="145" t="s">
        <v>1927</v>
      </c>
      <c r="B77" s="145"/>
      <c r="C77" s="145" t="s">
        <v>1951</v>
      </c>
      <c r="D77" s="145" t="s">
        <v>1956</v>
      </c>
      <c r="E77" s="146">
        <v>24.29</v>
      </c>
      <c r="F77" s="145" t="s">
        <v>1740</v>
      </c>
      <c r="G77" s="191">
        <v>2837</v>
      </c>
      <c r="H77" s="147">
        <v>46165</v>
      </c>
      <c r="I77" s="187">
        <v>267</v>
      </c>
      <c r="J77" s="146">
        <v>9.4113500176242511</v>
      </c>
      <c r="K77" s="187">
        <v>17</v>
      </c>
      <c r="L77" s="146">
        <v>6.3670411985018731</v>
      </c>
    </row>
    <row r="78" spans="1:12" x14ac:dyDescent="0.2">
      <c r="A78" s="145" t="s">
        <v>1927</v>
      </c>
      <c r="B78" s="145"/>
      <c r="C78" s="145" t="s">
        <v>1951</v>
      </c>
      <c r="D78" s="145" t="s">
        <v>1960</v>
      </c>
      <c r="E78" s="146">
        <v>23.580000000000002</v>
      </c>
      <c r="F78" s="145" t="s">
        <v>1740</v>
      </c>
      <c r="G78" s="191">
        <v>2622</v>
      </c>
      <c r="H78" s="147">
        <v>46165</v>
      </c>
      <c r="I78" s="187">
        <v>329</v>
      </c>
      <c r="J78" s="146">
        <v>12.547673531655226</v>
      </c>
      <c r="K78" s="187">
        <v>60</v>
      </c>
      <c r="L78" s="146">
        <v>18.237082066869302</v>
      </c>
    </row>
    <row r="79" spans="1:12" x14ac:dyDescent="0.2">
      <c r="A79" s="145" t="s">
        <v>1927</v>
      </c>
      <c r="B79" s="145"/>
      <c r="C79" s="145" t="s">
        <v>1961</v>
      </c>
      <c r="D79" s="145" t="s">
        <v>1965</v>
      </c>
      <c r="E79" s="146">
        <v>45.82</v>
      </c>
      <c r="F79" s="145" t="s">
        <v>1740</v>
      </c>
      <c r="G79" s="191">
        <v>4930</v>
      </c>
      <c r="H79" s="147">
        <v>46165</v>
      </c>
      <c r="I79" s="187">
        <v>503</v>
      </c>
      <c r="J79" s="146">
        <v>10.202839756592292</v>
      </c>
      <c r="K79" s="187">
        <v>33</v>
      </c>
      <c r="L79" s="146">
        <v>6.5606361829025852</v>
      </c>
    </row>
  </sheetData>
  <mergeCells count="40">
    <mergeCell ref="G1:G2"/>
    <mergeCell ref="A1:A2"/>
    <mergeCell ref="B1:B2"/>
    <mergeCell ref="C1:C2"/>
    <mergeCell ref="D1:D2"/>
    <mergeCell ref="E1:E2"/>
    <mergeCell ref="F1:F2"/>
    <mergeCell ref="H1:H2"/>
    <mergeCell ref="I1:I2"/>
    <mergeCell ref="J1:J2"/>
    <mergeCell ref="K1:K2"/>
    <mergeCell ref="L1:L2"/>
    <mergeCell ref="C3:L3"/>
    <mergeCell ref="C4:L4"/>
    <mergeCell ref="C5:L5"/>
    <mergeCell ref="C6:L6"/>
    <mergeCell ref="A27:A28"/>
    <mergeCell ref="B27:B28"/>
    <mergeCell ref="C27:C28"/>
    <mergeCell ref="D27:D28"/>
    <mergeCell ref="E27:E28"/>
    <mergeCell ref="L27:L28"/>
    <mergeCell ref="F27:F28"/>
    <mergeCell ref="G27:G28"/>
    <mergeCell ref="H27:H28"/>
    <mergeCell ref="I27:I28"/>
    <mergeCell ref="J27:J28"/>
    <mergeCell ref="K27:K28"/>
    <mergeCell ref="A53:A54"/>
    <mergeCell ref="B53:B54"/>
    <mergeCell ref="C53:C54"/>
    <mergeCell ref="D53:D54"/>
    <mergeCell ref="E53:E54"/>
    <mergeCell ref="K53:K54"/>
    <mergeCell ref="L53:L54"/>
    <mergeCell ref="F53:F54"/>
    <mergeCell ref="G53:G54"/>
    <mergeCell ref="H53:H54"/>
    <mergeCell ref="I53:I54"/>
    <mergeCell ref="J53:J54"/>
  </mergeCells>
  <conditionalFormatting sqref="D7:D19">
    <cfRule type="duplicateValues" dxfId="63" priority="85"/>
  </conditionalFormatting>
  <conditionalFormatting sqref="D7:D24">
    <cfRule type="duplicateValues" dxfId="62" priority="1"/>
    <cfRule type="duplicateValues" dxfId="61" priority="2"/>
  </conditionalFormatting>
  <conditionalFormatting sqref="L7:L26 L29:L52 L55:L79">
    <cfRule type="cellIs" dxfId="60" priority="4" operator="equal">
      <formula>"-"</formula>
    </cfRule>
    <cfRule type="cellIs" dxfId="59" priority="5" operator="greaterThan">
      <formula>5</formula>
    </cfRule>
    <cfRule type="cellIs" dxfId="58" priority="6" operator="between">
      <formula>2</formula>
      <formula>5</formula>
    </cfRule>
    <cfRule type="cellIs" dxfId="57" priority="7" operator="lessThan">
      <formula>2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A3FB8-6CC6-405D-BF74-F3C8C8BDAACD}">
  <dimension ref="A1:BA40"/>
  <sheetViews>
    <sheetView zoomScale="40" zoomScaleNormal="40" workbookViewId="0">
      <pane xSplit="3" ySplit="3" topLeftCell="D4" activePane="bottomRight" state="frozen"/>
      <selection activeCell="I17" sqref="I17"/>
      <selection pane="topRight" activeCell="I17" sqref="I17"/>
      <selection pane="bottomLeft" activeCell="I17" sqref="I17"/>
      <selection pane="bottomRight" activeCell="P36" sqref="P36"/>
    </sheetView>
  </sheetViews>
  <sheetFormatPr baseColWidth="10" defaultColWidth="8.83203125" defaultRowHeight="15" x14ac:dyDescent="0.2"/>
  <cols>
    <col min="1" max="1" width="6.83203125" customWidth="1"/>
    <col min="2" max="2" width="9" bestFit="1" customWidth="1"/>
    <col min="3" max="3" width="12" customWidth="1"/>
    <col min="4" max="4" width="11.5" customWidth="1"/>
    <col min="5" max="5" width="12.1640625" customWidth="1"/>
    <col min="6" max="6" width="10.83203125" customWidth="1"/>
    <col min="7" max="7" width="7.83203125" customWidth="1"/>
    <col min="8" max="8" width="16.5" customWidth="1"/>
    <col min="9" max="9" width="95.83203125" customWidth="1"/>
    <col min="10" max="10" width="6.83203125" customWidth="1"/>
    <col min="11" max="11" width="9" bestFit="1" customWidth="1"/>
    <col min="12" max="12" width="12.83203125" bestFit="1" customWidth="1"/>
    <col min="13" max="13" width="13.5" customWidth="1"/>
    <col min="14" max="14" width="14" bestFit="1" customWidth="1"/>
    <col min="15" max="15" width="18" customWidth="1"/>
    <col min="16" max="16" width="83" customWidth="1"/>
    <col min="17" max="17" width="9" bestFit="1" customWidth="1"/>
    <col min="18" max="18" width="16.1640625" customWidth="1"/>
    <col min="19" max="19" width="18.1640625" bestFit="1" customWidth="1"/>
    <col min="20" max="20" width="22.1640625" bestFit="1" customWidth="1"/>
    <col min="21" max="21" width="22.6640625" style="218" bestFit="1" customWidth="1"/>
    <col min="22" max="22" width="27.1640625" style="218" bestFit="1" customWidth="1"/>
    <col min="23" max="23" width="26.1640625" style="218" bestFit="1" customWidth="1"/>
    <col min="29" max="29" width="11.1640625" bestFit="1" customWidth="1"/>
    <col min="30" max="30" width="20.1640625" customWidth="1"/>
    <col min="31" max="31" width="21.83203125" customWidth="1"/>
    <col min="32" max="35" width="22.6640625" customWidth="1"/>
    <col min="36" max="36" width="22.6640625" bestFit="1" customWidth="1"/>
    <col min="37" max="53" width="22.6640625" customWidth="1"/>
  </cols>
  <sheetData>
    <row r="1" spans="1:18" ht="21" x14ac:dyDescent="0.25">
      <c r="A1" s="345" t="s">
        <v>2282</v>
      </c>
      <c r="B1" s="345"/>
      <c r="C1" s="345"/>
      <c r="D1" s="345"/>
      <c r="E1" s="345"/>
      <c r="F1" s="345"/>
      <c r="G1" s="345"/>
      <c r="H1" s="345"/>
      <c r="I1" s="345"/>
      <c r="J1" s="243"/>
      <c r="K1" s="243"/>
      <c r="L1" s="243"/>
      <c r="M1" s="243"/>
      <c r="N1" s="243"/>
      <c r="O1" s="243"/>
      <c r="P1" s="243"/>
    </row>
    <row r="2" spans="1:18" ht="42" customHeight="1" x14ac:dyDescent="0.2">
      <c r="A2" s="347" t="s">
        <v>2051</v>
      </c>
      <c r="B2" s="347" t="s">
        <v>619</v>
      </c>
      <c r="C2" s="347" t="s">
        <v>625</v>
      </c>
      <c r="D2" s="347" t="s">
        <v>2053</v>
      </c>
      <c r="E2" s="348" t="s">
        <v>2059</v>
      </c>
      <c r="F2" s="349"/>
      <c r="G2" s="349"/>
      <c r="H2" s="349"/>
      <c r="I2" s="350"/>
    </row>
    <row r="3" spans="1:18" ht="44" x14ac:dyDescent="0.2">
      <c r="A3" s="347"/>
      <c r="B3" s="347"/>
      <c r="C3" s="347"/>
      <c r="D3" s="347"/>
      <c r="E3" s="160" t="s">
        <v>625</v>
      </c>
      <c r="F3" s="160" t="s">
        <v>2055</v>
      </c>
      <c r="G3" s="160" t="s">
        <v>2054</v>
      </c>
      <c r="H3" s="160" t="s">
        <v>1271</v>
      </c>
      <c r="I3" s="160" t="s">
        <v>2099</v>
      </c>
    </row>
    <row r="4" spans="1:18" ht="44" x14ac:dyDescent="0.2">
      <c r="A4" s="325" t="s">
        <v>14</v>
      </c>
      <c r="B4" s="161" t="s">
        <v>618</v>
      </c>
      <c r="C4" s="162">
        <f>'Summary FR Kalbar'!D6</f>
        <v>577</v>
      </c>
      <c r="D4" s="163">
        <f>'Summary FR Kalbar'!C6</f>
        <v>16741.93</v>
      </c>
      <c r="E4" s="162">
        <f>'Summary FR Kalbar'!X6</f>
        <v>568</v>
      </c>
      <c r="F4" s="163">
        <f>'Summary FR Kalbar'!Y6</f>
        <v>16462.230000000003</v>
      </c>
      <c r="G4" s="164">
        <f t="shared" ref="G4" si="0">E4/C4*100</f>
        <v>98.440207972270372</v>
      </c>
      <c r="H4" s="189">
        <f>'Summary FR Kalbar'!AA6</f>
        <v>4.585959907667295</v>
      </c>
      <c r="I4" s="161" t="s">
        <v>2283</v>
      </c>
    </row>
    <row r="5" spans="1:18" ht="21" x14ac:dyDescent="0.2">
      <c r="A5" s="325"/>
      <c r="B5" s="162" t="s">
        <v>628</v>
      </c>
      <c r="C5" s="162">
        <f>'Summary FR Kalbar'!D7</f>
        <v>430</v>
      </c>
      <c r="D5" s="163">
        <f>'Summary FR Kalbar'!C7</f>
        <v>10658.000000000009</v>
      </c>
      <c r="E5" s="162">
        <f>'Summary FR Kalbar'!X7</f>
        <v>234</v>
      </c>
      <c r="F5" s="163">
        <f>'Summary FR Kalbar'!Y7</f>
        <v>5904.9999999999982</v>
      </c>
      <c r="G5" s="164">
        <f t="shared" ref="G5:G12" si="1">E5/C5*100</f>
        <v>54.418604651162795</v>
      </c>
      <c r="H5" s="189">
        <f>'Summary FR Kalbar'!AA7</f>
        <v>8.8716108452950557</v>
      </c>
      <c r="I5" s="162" t="s">
        <v>2221</v>
      </c>
    </row>
    <row r="6" spans="1:18" ht="22" x14ac:dyDescent="0.2">
      <c r="A6" s="325"/>
      <c r="B6" s="162" t="s">
        <v>1043</v>
      </c>
      <c r="C6" s="162">
        <f>'Summary Pengendalian 4-9 May'!C6</f>
        <v>294</v>
      </c>
      <c r="D6" s="163">
        <f>'Summary Pengendalian 4-9 May'!D6</f>
        <v>9616.4100000000035</v>
      </c>
      <c r="E6" s="162">
        <f>'Summary FR Kalbar'!X8</f>
        <v>294</v>
      </c>
      <c r="F6" s="163">
        <f>'Summary FR Kalbar'!Y8</f>
        <v>9616.4100000000035</v>
      </c>
      <c r="G6" s="164">
        <f t="shared" si="1"/>
        <v>100</v>
      </c>
      <c r="H6" s="189">
        <f>'Summary FR Kalbar'!AA8</f>
        <v>1.9365935521202728</v>
      </c>
      <c r="I6" s="190" t="s">
        <v>2100</v>
      </c>
    </row>
    <row r="7" spans="1:18" ht="22" x14ac:dyDescent="0.2">
      <c r="A7" s="325"/>
      <c r="B7" s="162" t="s">
        <v>949</v>
      </c>
      <c r="C7" s="162">
        <f>'Summary FR Kalbar'!V9</f>
        <v>210</v>
      </c>
      <c r="D7" s="163">
        <f>'Summary FR Kalbar'!W9</f>
        <v>6744.86</v>
      </c>
      <c r="E7" s="162">
        <f>'Summary FR Kalbar'!X9</f>
        <v>210</v>
      </c>
      <c r="F7" s="163">
        <f>'Summary FR Kalbar'!Y9</f>
        <v>6744.86</v>
      </c>
      <c r="G7" s="164">
        <f t="shared" si="1"/>
        <v>100</v>
      </c>
      <c r="H7" s="189">
        <f>'Summary FR Kalbar'!AA9</f>
        <v>2.7990767132319436</v>
      </c>
      <c r="I7" s="190" t="s">
        <v>2100</v>
      </c>
      <c r="Q7" s="165"/>
      <c r="R7" s="165"/>
    </row>
    <row r="8" spans="1:18" ht="21" x14ac:dyDescent="0.2">
      <c r="A8" s="325" t="s">
        <v>47</v>
      </c>
      <c r="B8" s="162" t="s">
        <v>1741</v>
      </c>
      <c r="C8" s="162">
        <f>'Summary FR Kalbar'!B12</f>
        <v>367</v>
      </c>
      <c r="D8" s="163">
        <f>'Summary FR Kalbar'!E12</f>
        <v>10716.919999999998</v>
      </c>
      <c r="E8" s="162">
        <f>'Summary FR Kalbar'!X12</f>
        <v>367</v>
      </c>
      <c r="F8" s="163">
        <f>'Summary FR Kalbar'!Y12</f>
        <v>10716.919999999998</v>
      </c>
      <c r="G8" s="164">
        <f t="shared" si="1"/>
        <v>100</v>
      </c>
      <c r="H8" s="189">
        <f>'Summary FR Kalbar'!AA12</f>
        <v>2.0655761057954845</v>
      </c>
      <c r="I8" s="162" t="s">
        <v>2221</v>
      </c>
    </row>
    <row r="9" spans="1:18" ht="21" x14ac:dyDescent="0.2">
      <c r="A9" s="325"/>
      <c r="B9" s="162" t="s">
        <v>1821</v>
      </c>
      <c r="C9" s="162">
        <f>'Summary FR Kalbar'!V14</f>
        <v>194</v>
      </c>
      <c r="D9" s="163">
        <f>'Summary FR Kalbar'!W14</f>
        <v>5972.4400000000023</v>
      </c>
      <c r="E9" s="162">
        <f>'Summary FR Kalbar'!X14</f>
        <v>194</v>
      </c>
      <c r="F9" s="163">
        <f>'Summary FR Kalbar'!Y14</f>
        <v>5936.8100000000013</v>
      </c>
      <c r="G9" s="164">
        <f t="shared" si="1"/>
        <v>100</v>
      </c>
      <c r="H9" s="189">
        <f>'Summary FR Kalbar'!AA14</f>
        <v>5.8107041883095532</v>
      </c>
      <c r="I9" s="162" t="s">
        <v>2221</v>
      </c>
    </row>
    <row r="10" spans="1:18" ht="22" x14ac:dyDescent="0.2">
      <c r="A10" s="325"/>
      <c r="B10" s="162" t="s">
        <v>1914</v>
      </c>
      <c r="C10" s="162">
        <f>'Summary FR Kalbar'!V13</f>
        <v>154</v>
      </c>
      <c r="D10" s="163">
        <f>'Summary FR Kalbar'!W13</f>
        <v>5164.0999999999995</v>
      </c>
      <c r="E10" s="162">
        <f>'Summary FR Kalbar'!X13</f>
        <v>154</v>
      </c>
      <c r="F10" s="163">
        <f>'Summary FR Kalbar'!Y13</f>
        <v>5164.0999999999995</v>
      </c>
      <c r="G10" s="164">
        <f t="shared" si="1"/>
        <v>100</v>
      </c>
      <c r="H10" s="189">
        <f>'Summary FR Kalbar'!AA13</f>
        <v>0.82450731514646713</v>
      </c>
      <c r="I10" s="190" t="s">
        <v>2100</v>
      </c>
    </row>
    <row r="11" spans="1:18" ht="44" x14ac:dyDescent="0.2">
      <c r="A11" s="325"/>
      <c r="B11" s="162" t="s">
        <v>1927</v>
      </c>
      <c r="C11" s="162">
        <f>'Summary FR Kalbar'!V16</f>
        <v>77</v>
      </c>
      <c r="D11" s="163">
        <f>'Summary FR Kalbar'!W16</f>
        <v>2590.9999999999995</v>
      </c>
      <c r="E11" s="162">
        <f>'Summary FR Kalbar'!X16</f>
        <v>74</v>
      </c>
      <c r="F11" s="163">
        <f>'Summary FR Kalbar'!Y16</f>
        <v>2494.2799999999997</v>
      </c>
      <c r="G11" s="164">
        <f t="shared" si="1"/>
        <v>96.103896103896105</v>
      </c>
      <c r="H11" s="189">
        <f>'Summary FR Kalbar'!AA16</f>
        <v>3.3783004727314649</v>
      </c>
      <c r="I11" s="161" t="s">
        <v>2285</v>
      </c>
    </row>
    <row r="12" spans="1:18" ht="44" x14ac:dyDescent="0.2">
      <c r="A12" s="325"/>
      <c r="B12" s="162" t="s">
        <v>1970</v>
      </c>
      <c r="C12" s="162">
        <f>'Summary FR Kalbar'!V15</f>
        <v>87</v>
      </c>
      <c r="D12" s="163">
        <f>'Summary FR Kalbar'!W15</f>
        <v>2910.9299999999994</v>
      </c>
      <c r="E12" s="162">
        <f>'Summary FR Kalbar'!X15</f>
        <v>87</v>
      </c>
      <c r="F12" s="163">
        <f>'Summary FR Kalbar'!Y15</f>
        <v>2818.4999999999991</v>
      </c>
      <c r="G12" s="164">
        <f t="shared" si="1"/>
        <v>100</v>
      </c>
      <c r="H12" s="189">
        <f>'Summary FR Kalbar'!AA15</f>
        <v>2.9599694172901536</v>
      </c>
      <c r="I12" s="161" t="s">
        <v>2284</v>
      </c>
    </row>
    <row r="14" spans="1:18" ht="40.75" customHeight="1" x14ac:dyDescent="0.2">
      <c r="J14" s="347" t="s">
        <v>2051</v>
      </c>
      <c r="K14" s="347" t="s">
        <v>619</v>
      </c>
      <c r="L14" s="347" t="s">
        <v>2058</v>
      </c>
      <c r="M14" s="347"/>
      <c r="N14" s="347"/>
      <c r="O14" s="347"/>
      <c r="P14" s="347"/>
    </row>
    <row r="15" spans="1:18" ht="44" x14ac:dyDescent="0.2">
      <c r="J15" s="347"/>
      <c r="K15" s="347"/>
      <c r="L15" s="160" t="s">
        <v>625</v>
      </c>
      <c r="M15" s="160" t="s">
        <v>2055</v>
      </c>
      <c r="N15" s="160" t="s">
        <v>2054</v>
      </c>
      <c r="O15" s="160" t="s">
        <v>1271</v>
      </c>
      <c r="P15" s="160" t="s">
        <v>2099</v>
      </c>
    </row>
    <row r="16" spans="1:18" ht="38.5" customHeight="1" x14ac:dyDescent="0.2">
      <c r="J16" s="325" t="s">
        <v>14</v>
      </c>
      <c r="K16" s="161" t="s">
        <v>618</v>
      </c>
      <c r="L16" s="162">
        <f>'Summary FR Kalbar'!D6</f>
        <v>577</v>
      </c>
      <c r="M16" s="163">
        <f>'Summary FR Kalbar'!E6</f>
        <v>16741.93</v>
      </c>
      <c r="N16" s="164">
        <f>L16/C4*100</f>
        <v>100</v>
      </c>
      <c r="O16" s="189">
        <f>'Summary FR Kalbar'!G6</f>
        <v>12.016426641688458</v>
      </c>
      <c r="P16" s="253" t="s">
        <v>2222</v>
      </c>
    </row>
    <row r="17" spans="10:53" ht="38.5" customHeight="1" x14ac:dyDescent="0.2">
      <c r="J17" s="325"/>
      <c r="K17" s="162" t="s">
        <v>628</v>
      </c>
      <c r="L17" s="162">
        <f>'Summary FR Kalbar'!D7</f>
        <v>430</v>
      </c>
      <c r="M17" s="163">
        <f>'Summary FR Kalbar'!E7</f>
        <v>10658.000000000009</v>
      </c>
      <c r="N17" s="162">
        <f>L17/C5*100</f>
        <v>100</v>
      </c>
      <c r="O17" s="189">
        <f>'Summary FR Kalbar'!G7</f>
        <v>27.055960354981728</v>
      </c>
      <c r="P17" s="253" t="s">
        <v>2222</v>
      </c>
    </row>
    <row r="18" spans="10:53" ht="38.5" customHeight="1" x14ac:dyDescent="0.2">
      <c r="J18" s="325"/>
      <c r="K18" s="162" t="s">
        <v>1043</v>
      </c>
      <c r="L18" s="162" t="s">
        <v>12</v>
      </c>
      <c r="M18" s="162" t="s">
        <v>12</v>
      </c>
      <c r="N18" s="162" t="s">
        <v>12</v>
      </c>
      <c r="O18" s="162" t="s">
        <v>12</v>
      </c>
      <c r="P18" s="252" t="s">
        <v>12</v>
      </c>
    </row>
    <row r="19" spans="10:53" ht="38.5" customHeight="1" x14ac:dyDescent="0.2">
      <c r="J19" s="325"/>
      <c r="K19" s="162" t="s">
        <v>949</v>
      </c>
      <c r="L19" s="162">
        <f>'Summary FR Kalbar'!D9</f>
        <v>47</v>
      </c>
      <c r="M19" s="163">
        <f>'Summary FR Kalbar'!E9</f>
        <v>1563.4999999999998</v>
      </c>
      <c r="N19" s="164">
        <f>L19/C7*100</f>
        <v>22.380952380952383</v>
      </c>
      <c r="O19" s="189">
        <f>'Summary FR Kalbar'!G9</f>
        <v>5.7566470127644012</v>
      </c>
      <c r="P19" s="166" t="s">
        <v>2136</v>
      </c>
    </row>
    <row r="20" spans="10:53" ht="38.5" customHeight="1" x14ac:dyDescent="0.2">
      <c r="J20" s="325" t="s">
        <v>47</v>
      </c>
      <c r="K20" s="162" t="s">
        <v>1741</v>
      </c>
      <c r="L20" s="162">
        <f>'Summary FR Kalbar'!D12</f>
        <v>367</v>
      </c>
      <c r="M20" s="163">
        <f>'Summary FR Kalbar'!E12</f>
        <v>10716.919999999998</v>
      </c>
      <c r="N20" s="164">
        <f>L20/C8*100</f>
        <v>100</v>
      </c>
      <c r="O20" s="189">
        <f>'Summary FR Kalbar'!G12</f>
        <v>16.284073482928051</v>
      </c>
      <c r="P20" s="253" t="s">
        <v>2222</v>
      </c>
    </row>
    <row r="21" spans="10:53" ht="38.5" customHeight="1" x14ac:dyDescent="0.2">
      <c r="J21" s="325"/>
      <c r="K21" s="162" t="s">
        <v>1821</v>
      </c>
      <c r="L21" s="162" t="s">
        <v>12</v>
      </c>
      <c r="M21" s="162" t="s">
        <v>12</v>
      </c>
      <c r="N21" s="162" t="s">
        <v>12</v>
      </c>
      <c r="O21" s="162" t="s">
        <v>12</v>
      </c>
      <c r="P21" s="253" t="s">
        <v>2222</v>
      </c>
    </row>
    <row r="22" spans="10:53" ht="38.5" customHeight="1" x14ac:dyDescent="0.2">
      <c r="J22" s="325"/>
      <c r="K22" s="162" t="s">
        <v>1914</v>
      </c>
      <c r="L22" s="162" t="s">
        <v>12</v>
      </c>
      <c r="M22" s="162" t="s">
        <v>12</v>
      </c>
      <c r="N22" s="162" t="s">
        <v>12</v>
      </c>
      <c r="O22" s="162" t="s">
        <v>12</v>
      </c>
      <c r="P22" s="162" t="s">
        <v>12</v>
      </c>
    </row>
    <row r="23" spans="10:53" ht="38.5" customHeight="1" x14ac:dyDescent="0.2">
      <c r="J23" s="325"/>
      <c r="K23" s="162" t="s">
        <v>1927</v>
      </c>
      <c r="L23" s="162">
        <f>'Summary FR Kalbar'!D16</f>
        <v>35</v>
      </c>
      <c r="M23" s="163">
        <f>'Summary FR Kalbar'!E16</f>
        <v>1131.9099999999999</v>
      </c>
      <c r="N23" s="164">
        <f>L23/C11*100</f>
        <v>45.454545454545453</v>
      </c>
      <c r="O23" s="189">
        <f>'Summary FR Kalbar'!G16</f>
        <v>9.5044914517531147</v>
      </c>
      <c r="P23" s="166" t="s">
        <v>2121</v>
      </c>
    </row>
    <row r="24" spans="10:53" ht="38.5" customHeight="1" x14ac:dyDescent="0.2">
      <c r="J24" s="325"/>
      <c r="K24" s="162" t="s">
        <v>1970</v>
      </c>
      <c r="L24" s="162">
        <f>'Summary FR Kalbar'!D15</f>
        <v>53</v>
      </c>
      <c r="M24" s="163">
        <f>'Summary FR Kalbar'!E15</f>
        <v>1705.3899999999999</v>
      </c>
      <c r="N24" s="164">
        <f>L24/C12*100</f>
        <v>60.919540229885058</v>
      </c>
      <c r="O24" s="189">
        <f>'Summary FR Kalbar'!G15</f>
        <v>4.8001817867293708</v>
      </c>
      <c r="P24" s="166" t="s">
        <v>2223</v>
      </c>
    </row>
    <row r="29" spans="10:53" ht="39" customHeight="1" x14ac:dyDescent="0.25">
      <c r="S29" s="354" t="s">
        <v>619</v>
      </c>
      <c r="T29" s="352" t="s">
        <v>621</v>
      </c>
      <c r="U29" s="354" t="s">
        <v>2063</v>
      </c>
      <c r="V29" s="354"/>
      <c r="W29" s="354"/>
      <c r="AC29" s="354" t="s">
        <v>619</v>
      </c>
      <c r="AD29" s="359" t="s">
        <v>2139</v>
      </c>
      <c r="AE29" s="360"/>
      <c r="AF29" s="362" t="s">
        <v>2140</v>
      </c>
      <c r="AG29" s="362"/>
      <c r="AH29" s="359" t="s">
        <v>2174</v>
      </c>
      <c r="AI29" s="360"/>
      <c r="AJ29" s="359" t="str">
        <f>AD29</f>
        <v>Deteksi Serangan
Periode 6 - 16 Mei 2026</v>
      </c>
      <c r="AK29" s="360"/>
      <c r="AL29" s="362" t="str">
        <f>AF29</f>
        <v>Deteksi Serangan
Periode 18 - 30 Mei 2026</v>
      </c>
      <c r="AM29" s="362"/>
      <c r="AN29" s="359" t="str">
        <f>AH29</f>
        <v>Deteksi Serangan
Periode 2 - 13 Juni 2026</v>
      </c>
      <c r="AO29" s="360"/>
      <c r="AP29" s="359" t="str">
        <f>AJ29</f>
        <v>Deteksi Serangan
Periode 6 - 16 Mei 2026</v>
      </c>
      <c r="AQ29" s="360"/>
      <c r="AR29" s="362" t="str">
        <f>AL29</f>
        <v>Deteksi Serangan
Periode 18 - 30 Mei 2026</v>
      </c>
      <c r="AS29" s="362"/>
      <c r="AT29" s="359" t="str">
        <f>AN29</f>
        <v>Deteksi Serangan
Periode 2 - 13 Juni 2026</v>
      </c>
      <c r="AU29" s="360"/>
      <c r="AV29" s="359" t="str">
        <f>AP29</f>
        <v>Deteksi Serangan
Periode 6 - 16 Mei 2026</v>
      </c>
      <c r="AW29" s="360"/>
      <c r="AX29" s="362" t="str">
        <f>AR29</f>
        <v>Deteksi Serangan
Periode 18 - 30 Mei 2026</v>
      </c>
      <c r="AY29" s="362"/>
      <c r="AZ29" s="359" t="str">
        <f>AT29</f>
        <v>Deteksi Serangan
Periode 2 - 13 Juni 2026</v>
      </c>
      <c r="BA29" s="360"/>
    </row>
    <row r="30" spans="10:53" ht="21" x14ac:dyDescent="0.2">
      <c r="S30" s="354"/>
      <c r="T30" s="352"/>
      <c r="U30" s="219" t="s">
        <v>2060</v>
      </c>
      <c r="V30" s="183" t="s">
        <v>2061</v>
      </c>
      <c r="W30" s="184" t="s">
        <v>2062</v>
      </c>
      <c r="X30" s="244"/>
      <c r="AC30" s="354"/>
      <c r="AD30" s="352" t="s">
        <v>2137</v>
      </c>
      <c r="AE30" s="352" t="s">
        <v>2138</v>
      </c>
      <c r="AF30" s="352" t="s">
        <v>2137</v>
      </c>
      <c r="AG30" s="352" t="s">
        <v>2138</v>
      </c>
      <c r="AH30" s="352" t="s">
        <v>2137</v>
      </c>
      <c r="AI30" s="352" t="s">
        <v>2138</v>
      </c>
      <c r="AJ30" s="363" t="s">
        <v>2060</v>
      </c>
      <c r="AK30" s="363"/>
      <c r="AL30" s="363" t="s">
        <v>2060</v>
      </c>
      <c r="AM30" s="363"/>
      <c r="AN30" s="363" t="s">
        <v>2060</v>
      </c>
      <c r="AO30" s="363"/>
      <c r="AP30" s="317" t="s">
        <v>2061</v>
      </c>
      <c r="AQ30" s="317"/>
      <c r="AR30" s="317" t="s">
        <v>2061</v>
      </c>
      <c r="AS30" s="317"/>
      <c r="AT30" s="317" t="s">
        <v>2061</v>
      </c>
      <c r="AU30" s="317"/>
      <c r="AV30" s="361" t="s">
        <v>2062</v>
      </c>
      <c r="AW30" s="361"/>
      <c r="AX30" s="361" t="s">
        <v>2062</v>
      </c>
      <c r="AY30" s="361"/>
      <c r="AZ30" s="361" t="s">
        <v>2062</v>
      </c>
      <c r="BA30" s="361"/>
    </row>
    <row r="31" spans="10:53" ht="21" x14ac:dyDescent="0.2">
      <c r="S31" s="162" t="str">
        <f>AC32</f>
        <v>LS</v>
      </c>
      <c r="T31" s="162">
        <f>'Summary FR Kalbar'!D6</f>
        <v>577</v>
      </c>
      <c r="U31" s="162">
        <f>'Summary FR Kalbar'!H6</f>
        <v>481</v>
      </c>
      <c r="V31" s="162">
        <f>'Summary FR Kalbar'!L6</f>
        <v>82</v>
      </c>
      <c r="W31" s="162">
        <f>'Summary FR Kalbar'!P6</f>
        <v>14</v>
      </c>
      <c r="AC31" s="354"/>
      <c r="AD31" s="352"/>
      <c r="AE31" s="352"/>
      <c r="AF31" s="352"/>
      <c r="AG31" s="352"/>
      <c r="AH31" s="352"/>
      <c r="AI31" s="352"/>
      <c r="AJ31" s="182" t="s">
        <v>2141</v>
      </c>
      <c r="AK31" s="182" t="s">
        <v>10</v>
      </c>
      <c r="AL31" s="182" t="s">
        <v>2141</v>
      </c>
      <c r="AM31" s="182" t="s">
        <v>10</v>
      </c>
      <c r="AN31" s="182" t="s">
        <v>2141</v>
      </c>
      <c r="AO31" s="182" t="s">
        <v>10</v>
      </c>
      <c r="AP31" s="183" t="s">
        <v>2141</v>
      </c>
      <c r="AQ31" s="183" t="s">
        <v>10</v>
      </c>
      <c r="AR31" s="183" t="s">
        <v>2141</v>
      </c>
      <c r="AS31" s="183" t="s">
        <v>10</v>
      </c>
      <c r="AT31" s="183" t="s">
        <v>2141</v>
      </c>
      <c r="AU31" s="183" t="s">
        <v>10</v>
      </c>
      <c r="AV31" s="184" t="s">
        <v>2141</v>
      </c>
      <c r="AW31" s="184" t="s">
        <v>10</v>
      </c>
      <c r="AX31" s="184" t="s">
        <v>2141</v>
      </c>
      <c r="AY31" s="184" t="s">
        <v>10</v>
      </c>
      <c r="AZ31" s="184" t="s">
        <v>2141</v>
      </c>
      <c r="BA31" s="184" t="s">
        <v>10</v>
      </c>
    </row>
    <row r="32" spans="10:53" ht="21" x14ac:dyDescent="0.2">
      <c r="S32" s="162" t="str">
        <f t="shared" ref="S32:S39" si="2">AC33</f>
        <v>KALE</v>
      </c>
      <c r="T32" s="162">
        <f>'Summary FR Kalbar'!D7</f>
        <v>430</v>
      </c>
      <c r="U32" s="162">
        <f>'Summary FR Kalbar'!H7</f>
        <v>420</v>
      </c>
      <c r="V32" s="162">
        <f>'Summary FR Kalbar'!L7</f>
        <v>9</v>
      </c>
      <c r="W32" s="162">
        <f>'Summary FR Kalbar'!P7</f>
        <v>1</v>
      </c>
      <c r="AC32" s="162" t="str">
        <f>B4</f>
        <v>LS</v>
      </c>
      <c r="AD32" s="162"/>
      <c r="AE32" s="162"/>
      <c r="AF32" s="216"/>
      <c r="AG32" s="216"/>
      <c r="AH32" s="216"/>
      <c r="AI32" s="216"/>
      <c r="AJ32" s="216"/>
      <c r="AK32" s="216"/>
      <c r="AL32" s="216"/>
      <c r="AM32" s="216"/>
      <c r="AN32" s="216"/>
      <c r="AO32" s="216"/>
      <c r="AP32" s="216"/>
      <c r="AQ32" s="216"/>
      <c r="AR32" s="216"/>
      <c r="AS32" s="216"/>
      <c r="AT32" s="216"/>
      <c r="AU32" s="216"/>
      <c r="AV32" s="216"/>
      <c r="AW32" s="216"/>
      <c r="AX32" s="216"/>
      <c r="AY32" s="216"/>
      <c r="AZ32" s="216"/>
      <c r="BA32" s="216"/>
    </row>
    <row r="33" spans="19:53" ht="21" x14ac:dyDescent="0.2">
      <c r="S33" s="162" t="str">
        <f t="shared" si="2"/>
        <v>USP</v>
      </c>
      <c r="T33" s="162">
        <f>'Summary FR Kalbar'!D8</f>
        <v>0</v>
      </c>
      <c r="U33" s="162">
        <f>'Summary FR Kalbar'!H8</f>
        <v>0</v>
      </c>
      <c r="V33" s="162">
        <f>'Summary FR Kalbar'!L8</f>
        <v>0</v>
      </c>
      <c r="W33" s="162">
        <f>'Summary FR Kalbar'!P8</f>
        <v>0</v>
      </c>
      <c r="AC33" s="162" t="str">
        <f>B5</f>
        <v>KALE</v>
      </c>
      <c r="AD33" s="162"/>
      <c r="AE33" s="162"/>
      <c r="AF33" s="162"/>
      <c r="AG33" s="162"/>
      <c r="AH33" s="162"/>
      <c r="AI33" s="162"/>
      <c r="AJ33" s="162"/>
      <c r="AK33" s="162"/>
      <c r="AL33" s="162"/>
      <c r="AM33" s="162"/>
      <c r="AN33" s="162"/>
      <c r="AO33" s="162"/>
      <c r="AP33" s="162"/>
      <c r="AQ33" s="162"/>
      <c r="AR33" s="162"/>
      <c r="AS33" s="162"/>
      <c r="AT33" s="162"/>
      <c r="AU33" s="162"/>
      <c r="AV33" s="162"/>
      <c r="AW33" s="162"/>
      <c r="AX33" s="162"/>
      <c r="AY33" s="162"/>
      <c r="AZ33" s="162"/>
      <c r="BA33" s="162"/>
    </row>
    <row r="34" spans="19:53" ht="21" x14ac:dyDescent="0.2">
      <c r="S34" s="162" t="str">
        <f t="shared" si="2"/>
        <v>FAPE</v>
      </c>
      <c r="T34" s="162">
        <f>'Summary FR Kalbar'!D9</f>
        <v>47</v>
      </c>
      <c r="U34" s="162">
        <f>'Summary FR Kalbar'!H9</f>
        <v>18</v>
      </c>
      <c r="V34" s="162">
        <f>'Summary FR Kalbar'!L9</f>
        <v>19</v>
      </c>
      <c r="W34" s="162">
        <f>'Summary FR Kalbar'!P9</f>
        <v>10</v>
      </c>
      <c r="AC34" s="162" t="str">
        <f>B6</f>
        <v>USP</v>
      </c>
      <c r="AD34" s="162">
        <f t="array" ref="AD34">'[44]Summary FR Kalbar'!X8</f>
        <v>294</v>
      </c>
      <c r="AE34" s="217">
        <f t="array" ref="AE34">'[44]Summary FR Kalbar'!AA8</f>
        <v>1.629246969998013</v>
      </c>
      <c r="AF34" s="162">
        <v>294</v>
      </c>
      <c r="AG34" s="217">
        <v>2.106840294476712</v>
      </c>
      <c r="AH34" s="162">
        <f>'Summary FR Kalbar'!X8</f>
        <v>294</v>
      </c>
      <c r="AI34" s="217">
        <f>'Summary FR Kalbar'!AA8</f>
        <v>1.9365935521202728</v>
      </c>
      <c r="AJ34" s="164">
        <f t="array" ref="AJ34">'[44]Summary FR Kalbar'!AB8</f>
        <v>1</v>
      </c>
      <c r="AK34" s="217">
        <f t="array" ref="AK34">'[44]Summary FR Kalbar'!AE8</f>
        <v>5.1282051282051277</v>
      </c>
      <c r="AL34" s="164">
        <v>0</v>
      </c>
      <c r="AM34" s="217">
        <v>0</v>
      </c>
      <c r="AN34" s="164">
        <f>'Summary FR Kalbar'!AB8</f>
        <v>0</v>
      </c>
      <c r="AO34" s="217">
        <v>0</v>
      </c>
      <c r="AP34" s="164">
        <f t="array" ref="AP34">'[44]Summary FR Kalbar'!AF8</f>
        <v>112</v>
      </c>
      <c r="AQ34" s="217">
        <f t="array" ref="AQ34">'[44]Summary FR Kalbar'!AI8</f>
        <v>2.4963730051528339</v>
      </c>
      <c r="AR34" s="164">
        <v>194</v>
      </c>
      <c r="AS34" s="217">
        <v>2.7547169811320753</v>
      </c>
      <c r="AT34" s="164">
        <f>'Summary FR Kalbar'!AF8</f>
        <v>154</v>
      </c>
      <c r="AU34" s="217">
        <f>'Summary FR Kalbar'!AI8</f>
        <v>2.6898369718219741</v>
      </c>
      <c r="AV34" s="164">
        <f t="array" ref="AV34">'[44]Summary FR Kalbar'!AJ8</f>
        <v>181</v>
      </c>
      <c r="AW34" s="217">
        <f t="array" ref="AW34">'[44]Summary FR Kalbar'!AM8</f>
        <v>1.1171437505329884</v>
      </c>
      <c r="AX34" s="164">
        <v>98</v>
      </c>
      <c r="AY34" s="217">
        <v>0.9812022309440197</v>
      </c>
      <c r="AZ34" s="164">
        <f>'Summary FR Kalbar'!AJ8</f>
        <v>140</v>
      </c>
      <c r="BA34" s="217">
        <f>'Summary FR Kalbar'!AM8</f>
        <v>1.4025729011304049</v>
      </c>
    </row>
    <row r="35" spans="19:53" ht="21" x14ac:dyDescent="0.2">
      <c r="S35" s="162" t="str">
        <f t="shared" si="2"/>
        <v>SMP</v>
      </c>
      <c r="T35" s="162">
        <f>'Summary FR Kalbar'!D12</f>
        <v>367</v>
      </c>
      <c r="U35" s="162">
        <f>'Summary FR Kalbar'!H12</f>
        <v>353</v>
      </c>
      <c r="V35" s="162">
        <f>'Summary FR Kalbar'!L12</f>
        <v>4</v>
      </c>
      <c r="W35" s="162">
        <f>'Summary FR Kalbar'!P12</f>
        <v>1</v>
      </c>
      <c r="AC35" s="162" t="str">
        <f>B7</f>
        <v>FAPE</v>
      </c>
      <c r="AD35" s="162">
        <f t="array" ref="AD35">'[44]Summary FR Kalbar'!X9</f>
        <v>210</v>
      </c>
      <c r="AE35" s="217">
        <f t="array" ref="AE35">'[44]Summary FR Kalbar'!AA9</f>
        <v>3.5770560377520613</v>
      </c>
      <c r="AF35" s="162">
        <f>'[45]Summary Pengendalian 18-30 May'!$E$7</f>
        <v>136</v>
      </c>
      <c r="AG35" s="217">
        <f>'[45]Summary Pengendalian 18-30 May'!$H$7</f>
        <v>3.1382742661510177</v>
      </c>
      <c r="AH35" s="162">
        <f>'Summary FR Kalbar'!X9</f>
        <v>210</v>
      </c>
      <c r="AI35" s="217">
        <f>'Summary FR Kalbar'!AA9</f>
        <v>2.7990767132319436</v>
      </c>
      <c r="AJ35" s="164">
        <f t="array" ref="AJ35">'[44]Summary FR Kalbar'!AB9</f>
        <v>18</v>
      </c>
      <c r="AK35" s="217">
        <f t="array" ref="AK35">'[44]Summary FR Kalbar'!AE9</f>
        <v>9.4768453203836209</v>
      </c>
      <c r="AL35" s="164">
        <v>15</v>
      </c>
      <c r="AM35" s="217">
        <v>9.1314031180400885</v>
      </c>
      <c r="AN35" s="164">
        <f>'Summary FR Kalbar'!AB9</f>
        <v>0</v>
      </c>
      <c r="AO35" s="217">
        <f>'Summary FR Kalbar'!AE9</f>
        <v>0</v>
      </c>
      <c r="AP35" s="164">
        <f t="array" ref="AP35">'[44]Summary FR Kalbar'!AF9</f>
        <v>149</v>
      </c>
      <c r="AQ35" s="217">
        <f t="array" ref="AQ35">'[44]Summary FR Kalbar'!AI9</f>
        <v>3.3000827563330248</v>
      </c>
      <c r="AR35" s="164">
        <v>36</v>
      </c>
      <c r="AS35" s="217">
        <v>3.0355594102341716</v>
      </c>
      <c r="AT35" s="164">
        <f>'Summary FR Kalbar'!AF9</f>
        <v>163</v>
      </c>
      <c r="AU35" s="217">
        <f>'Summary FR Kalbar'!AI9</f>
        <v>3.182892559295198</v>
      </c>
      <c r="AV35" s="164">
        <f t="array" ref="AV35">'[44]Summary FR Kalbar'!AJ9</f>
        <v>43</v>
      </c>
      <c r="AW35" s="217">
        <f t="array" ref="AW35">'[44]Summary FR Kalbar'!AM9</f>
        <v>1.682829658532812</v>
      </c>
      <c r="AX35" s="164">
        <v>53</v>
      </c>
      <c r="AY35" s="217">
        <v>0.83441981747066496</v>
      </c>
      <c r="AZ35" s="164">
        <f>'Summary FR Kalbar'!AJ9</f>
        <v>47</v>
      </c>
      <c r="BA35" s="217">
        <f>'Summary FR Kalbar'!AM9</f>
        <v>1.3994313861851972</v>
      </c>
    </row>
    <row r="36" spans="19:53" ht="21" x14ac:dyDescent="0.2">
      <c r="S36" s="162" t="str">
        <f t="shared" si="2"/>
        <v>MKSS</v>
      </c>
      <c r="T36" s="162">
        <f>'Summary FR Kalbar'!D13</f>
        <v>0</v>
      </c>
      <c r="U36" s="162">
        <f t="array" ref="U36">'Summary FR Kalbar'!H13</f>
        <v>0</v>
      </c>
      <c r="V36" s="162">
        <f t="array" ref="V36">'Summary FR Kalbar'!L13</f>
        <v>0</v>
      </c>
      <c r="W36" s="162">
        <f>'Summary FR Kalbar'!P13</f>
        <v>0</v>
      </c>
      <c r="AC36" s="162" t="str">
        <f>B8</f>
        <v>SMP</v>
      </c>
      <c r="AD36" s="162">
        <f>'[44]Summary FR Kalbar'!X12</f>
        <v>303</v>
      </c>
      <c r="AE36" s="217">
        <f t="array" ref="AE36">'[44]Summary FR Kalbar'!AA12</f>
        <v>24.022150438394092</v>
      </c>
      <c r="AF36" s="162">
        <v>355</v>
      </c>
      <c r="AG36" s="217">
        <v>23.439809025804252</v>
      </c>
      <c r="AH36" s="162">
        <f>'Summary FR Kalbar'!X12</f>
        <v>367</v>
      </c>
      <c r="AI36" s="217">
        <f>'Summary FR Kalbar'!AA12</f>
        <v>2.0655761057954845</v>
      </c>
      <c r="AJ36" s="164">
        <f>'[44]Summary FR Kalbar'!AB12</f>
        <v>299</v>
      </c>
      <c r="AK36" s="217">
        <f t="array" ref="AK36">'[44]Summary FR Kalbar'!AE12</f>
        <v>24.090984866727176</v>
      </c>
      <c r="AL36" s="164">
        <v>354</v>
      </c>
      <c r="AM36" s="217">
        <v>23.460462999089611</v>
      </c>
      <c r="AN36" s="164">
        <f>'Summary FR Kalbar'!AB12</f>
        <v>27</v>
      </c>
      <c r="AO36" s="217">
        <f>'Summary FR Kalbar'!AE12</f>
        <v>6.576576576576576</v>
      </c>
      <c r="AP36" s="164">
        <f>'[44]Summary FR Kalbar'!AF12</f>
        <v>4</v>
      </c>
      <c r="AQ36" s="217">
        <f t="array" ref="AQ36">'[44]Summary FR Kalbar'!AI12</f>
        <v>4.2553191489361701</v>
      </c>
      <c r="AR36" s="164">
        <v>1</v>
      </c>
      <c r="AS36" s="217">
        <v>4.4776119402985071</v>
      </c>
      <c r="AT36" s="164">
        <f>'Summary FR Kalbar'!AF12</f>
        <v>95</v>
      </c>
      <c r="AU36" s="217">
        <f>'Summary FR Kalbar'!AI12</f>
        <v>2.8903427399668002</v>
      </c>
      <c r="AV36" s="164">
        <f>'[44]Summary FR Kalbar'!AJ12</f>
        <v>0</v>
      </c>
      <c r="AW36" s="217">
        <f t="array" ref="AW36">'[44]Summary FR Kalbar'!AM12</f>
        <v>0</v>
      </c>
      <c r="AX36" s="164">
        <v>0</v>
      </c>
      <c r="AY36" s="217">
        <v>0</v>
      </c>
      <c r="AZ36" s="164">
        <f>'Summary FR Kalbar'!AJ12</f>
        <v>245</v>
      </c>
      <c r="BA36" s="217">
        <f>'Summary FR Kalbar'!AM12</f>
        <v>1.4431182143097985</v>
      </c>
    </row>
    <row r="37" spans="19:53" ht="21" x14ac:dyDescent="0.2">
      <c r="S37" s="162" t="str">
        <f t="shared" si="2"/>
        <v>MKSK</v>
      </c>
      <c r="T37" s="162">
        <v>0</v>
      </c>
      <c r="U37" s="162">
        <f t="array" ref="U37">'Summary FR Kalbar'!H14</f>
        <v>0</v>
      </c>
      <c r="V37" s="162">
        <f t="array" ref="V37">'Summary FR Kalbar'!L14</f>
        <v>0</v>
      </c>
      <c r="W37" s="162">
        <f>'Summary FR Kalbar'!P14</f>
        <v>0</v>
      </c>
      <c r="AC37" s="162" t="s">
        <v>1914</v>
      </c>
      <c r="AD37" s="162">
        <f>'[44]Summary FR Kalbar'!X13</f>
        <v>154</v>
      </c>
      <c r="AE37" s="217">
        <f t="array" ref="AE37">'[44]Summary FR Kalbar'!AA13</f>
        <v>1.0334604517859662</v>
      </c>
      <c r="AF37" s="162">
        <v>152</v>
      </c>
      <c r="AG37" s="217">
        <v>1.1259892436599714</v>
      </c>
      <c r="AH37" s="162">
        <f>'Summary FR Kalbar'!X13</f>
        <v>154</v>
      </c>
      <c r="AI37" s="217">
        <f>'Summary FR Kalbar'!AA13</f>
        <v>0.82450731514646713</v>
      </c>
      <c r="AJ37" s="164">
        <f>'[44]Summary FR Kalbar'!AB13</f>
        <v>0</v>
      </c>
      <c r="AK37" s="217">
        <f t="array" ref="AK37">'[44]Summary FR Kalbar'!AE13</f>
        <v>0</v>
      </c>
      <c r="AL37" s="164">
        <v>0</v>
      </c>
      <c r="AM37" s="217">
        <v>0</v>
      </c>
      <c r="AN37" s="164">
        <f>'Summary FR Kalbar'!AB13</f>
        <v>0</v>
      </c>
      <c r="AO37" s="217">
        <f>'Summary FR Kalbar'!AE13</f>
        <v>0</v>
      </c>
      <c r="AP37" s="164">
        <f>'[44]Summary FR Kalbar'!AF13</f>
        <v>22</v>
      </c>
      <c r="AQ37" s="217">
        <f t="array" ref="AQ37">'[44]Summary FR Kalbar'!AI13</f>
        <v>2.6949414623370882</v>
      </c>
      <c r="AR37" s="164">
        <v>14</v>
      </c>
      <c r="AS37" s="217">
        <v>2.4035548374065843</v>
      </c>
      <c r="AT37" s="164">
        <f>'Summary FR Kalbar'!AF13</f>
        <v>14</v>
      </c>
      <c r="AU37" s="217">
        <f>'Summary FR Kalbar'!AI13</f>
        <v>2.3791821561338291</v>
      </c>
      <c r="AV37" s="164">
        <f>'[44]Summary FR Kalbar'!AJ13</f>
        <v>132</v>
      </c>
      <c r="AW37" s="217">
        <f t="array" ref="AW37">'[44]Summary FR Kalbar'!AM13</f>
        <v>0.78995085146335142</v>
      </c>
      <c r="AX37" s="164">
        <v>138</v>
      </c>
      <c r="AY37" s="217">
        <v>0.98333317891698035</v>
      </c>
      <c r="AZ37" s="164">
        <f>'Summary FR Kalbar'!AJ13</f>
        <v>140</v>
      </c>
      <c r="BA37" s="217">
        <f>'Summary FR Kalbar'!AM13</f>
        <v>0.67044869427208409</v>
      </c>
    </row>
    <row r="38" spans="19:53" ht="21" x14ac:dyDescent="0.2">
      <c r="S38" s="162" t="str">
        <f t="shared" si="2"/>
        <v>PTLJ</v>
      </c>
      <c r="T38" s="162">
        <f>'Summary FR Kalbar'!D15</f>
        <v>53</v>
      </c>
      <c r="U38" s="162">
        <f t="array" ref="U38">'Summary FR Kalbar'!H15</f>
        <v>23</v>
      </c>
      <c r="V38" s="162">
        <f t="array" ref="V38">'Summary FR Kalbar'!L15</f>
        <v>25</v>
      </c>
      <c r="W38" s="162">
        <f>'Summary FR Kalbar'!P15</f>
        <v>5</v>
      </c>
      <c r="AC38" s="162" t="s">
        <v>1821</v>
      </c>
      <c r="AD38" s="162">
        <f>'[44]Summary FR Kalbar'!X14</f>
        <v>173</v>
      </c>
      <c r="AE38" s="217">
        <f t="array" ref="AE38">'[44]Summary FR Kalbar'!AA14</f>
        <v>22.364808231451779</v>
      </c>
      <c r="AF38" s="162">
        <v>193</v>
      </c>
      <c r="AG38" s="217">
        <v>22.785618865075215</v>
      </c>
      <c r="AH38" s="162">
        <f>'Summary FR Kalbar'!X14</f>
        <v>194</v>
      </c>
      <c r="AI38" s="217">
        <f>'Summary FR Kalbar'!AA14</f>
        <v>5.8107041883095532</v>
      </c>
      <c r="AJ38" s="164">
        <f>'[44]Summary FR Kalbar'!AB14</f>
        <v>171</v>
      </c>
      <c r="AK38" s="217">
        <f t="array" ref="AK38">'[44]Summary FR Kalbar'!AE14</f>
        <v>22.913753607235297</v>
      </c>
      <c r="AL38" s="164">
        <v>192</v>
      </c>
      <c r="AM38" s="217">
        <v>22.833270255320386</v>
      </c>
      <c r="AN38" s="164">
        <f>'Summary FR Kalbar'!AB14</f>
        <v>85</v>
      </c>
      <c r="AO38" s="217">
        <f>'Summary FR Kalbar'!AE14</f>
        <v>8.2935348207284907</v>
      </c>
      <c r="AP38" s="164">
        <f>'[44]Summary FR Kalbar'!AF14</f>
        <v>2</v>
      </c>
      <c r="AQ38" s="217">
        <f t="array" ref="AQ38">'[44]Summary FR Kalbar'!AI14</f>
        <v>3.6511156186612577</v>
      </c>
      <c r="AR38" s="164">
        <v>1</v>
      </c>
      <c r="AS38" s="217">
        <v>3.5294117647058822</v>
      </c>
      <c r="AT38" s="164">
        <f>'Summary FR Kalbar'!AF14</f>
        <v>100</v>
      </c>
      <c r="AU38" s="217">
        <f>'Summary FR Kalbar'!AI14</f>
        <v>3.826497182544883</v>
      </c>
      <c r="AV38" s="164">
        <f>'[44]Summary FR Kalbar'!AJ14</f>
        <v>0</v>
      </c>
      <c r="AW38" s="217">
        <f t="array" ref="AW38">'[44]Summary FR Kalbar'!AM14</f>
        <v>0</v>
      </c>
      <c r="AX38" s="164">
        <v>0</v>
      </c>
      <c r="AY38" s="217">
        <v>0</v>
      </c>
      <c r="AZ38" s="164">
        <f>'Summary FR Kalbar'!AJ14</f>
        <v>9</v>
      </c>
      <c r="BA38" s="217">
        <f>'Summary FR Kalbar'!AM14</f>
        <v>1.7746228926353149</v>
      </c>
    </row>
    <row r="39" spans="19:53" ht="21" x14ac:dyDescent="0.2">
      <c r="S39" s="162" t="str">
        <f t="shared" si="2"/>
        <v>BKP</v>
      </c>
      <c r="T39" s="162">
        <f>'Summary FR Kalbar'!D16</f>
        <v>35</v>
      </c>
      <c r="U39" s="162">
        <f t="array" ref="U39">'Summary FR Kalbar'!H16</f>
        <v>28</v>
      </c>
      <c r="V39" s="162">
        <f t="array" ref="V39">'Summary FR Kalbar'!L16</f>
        <v>6</v>
      </c>
      <c r="W39" s="162">
        <f>'Summary FR Kalbar'!P16</f>
        <v>1</v>
      </c>
      <c r="AC39" s="162" t="s">
        <v>1970</v>
      </c>
      <c r="AD39" s="162">
        <f>'[44]Summary FR Kalbar'!X15</f>
        <v>76</v>
      </c>
      <c r="AE39" s="217">
        <f t="array" ref="AE39">'[44]Summary FR Kalbar'!AA15</f>
        <v>4.905328752896061</v>
      </c>
      <c r="AF39" s="162">
        <v>90</v>
      </c>
      <c r="AG39" s="217">
        <v>3.3161688980432542</v>
      </c>
      <c r="AH39" s="162">
        <f>'Summary FR Kalbar'!X15</f>
        <v>87</v>
      </c>
      <c r="AI39" s="217">
        <f>'Summary FR Kalbar'!AA15</f>
        <v>2.9599694172901536</v>
      </c>
      <c r="AJ39" s="164">
        <f>'[44]Summary FR Kalbar'!AB15</f>
        <v>28</v>
      </c>
      <c r="AK39" s="217">
        <f t="array" ref="AK39">'[44]Summary FR Kalbar'!AE15</f>
        <v>8.0071974808816915</v>
      </c>
      <c r="AL39" s="164">
        <v>12</v>
      </c>
      <c r="AM39" s="217">
        <v>6.540284360189573</v>
      </c>
      <c r="AN39" s="164">
        <f>'Summary FR Kalbar'!AB15</f>
        <v>0</v>
      </c>
      <c r="AO39" s="217">
        <f>'Summary FR Kalbar'!AE15</f>
        <v>0</v>
      </c>
      <c r="AP39" s="164">
        <f>'[44]Summary FR Kalbar'!AF15</f>
        <v>40</v>
      </c>
      <c r="AQ39" s="217">
        <f t="array" ref="AQ39">'[44]Summary FR Kalbar'!AI15</f>
        <v>3.512813129858912</v>
      </c>
      <c r="AR39" s="164">
        <v>58</v>
      </c>
      <c r="AS39" s="217">
        <v>3.4070397111913358</v>
      </c>
      <c r="AT39" s="164">
        <f>'Summary FR Kalbar'!AF15</f>
        <v>77</v>
      </c>
      <c r="AU39" s="217">
        <f>'Summary FR Kalbar'!AI15</f>
        <v>3.131066441229883</v>
      </c>
      <c r="AV39" s="164">
        <f>'[44]Summary FR Kalbar'!AJ15</f>
        <v>8</v>
      </c>
      <c r="AW39" s="217">
        <f t="array" ref="AW39">'[44]Summary FR Kalbar'!AM15</f>
        <v>1.2444444444444445</v>
      </c>
      <c r="AX39" s="164">
        <v>20</v>
      </c>
      <c r="AY39" s="217">
        <v>1.1974380395433026</v>
      </c>
      <c r="AZ39" s="164">
        <f>'Summary FR Kalbar'!AJ15</f>
        <v>10</v>
      </c>
      <c r="BA39" s="217">
        <f>'Summary FR Kalbar'!AM15</f>
        <v>1.7933390264730997</v>
      </c>
    </row>
    <row r="40" spans="19:53" ht="21" x14ac:dyDescent="0.2">
      <c r="AC40" s="162" t="s">
        <v>1927</v>
      </c>
      <c r="AD40" s="162">
        <f>'[44]Summary FR Kalbar'!X16</f>
        <v>67</v>
      </c>
      <c r="AE40" s="217">
        <f t="array" ref="AE40">'[44]Summary FR Kalbar'!AA16</f>
        <v>4.5612547689699028</v>
      </c>
      <c r="AF40" s="162">
        <v>77</v>
      </c>
      <c r="AG40" s="217">
        <v>2.8584972742356012</v>
      </c>
      <c r="AH40" s="162">
        <f>'Summary FR Kalbar'!X16</f>
        <v>74</v>
      </c>
      <c r="AI40" s="217">
        <f>'Summary FR Kalbar'!AA16</f>
        <v>3.3783004727314649</v>
      </c>
      <c r="AJ40" s="164">
        <f>'[44]Summary FR Kalbar'!AB16</f>
        <v>27</v>
      </c>
      <c r="AK40" s="217">
        <f t="array" ref="AK40">'[44]Summary FR Kalbar'!AE16</f>
        <v>11.57580283793876</v>
      </c>
      <c r="AL40" s="164">
        <v>21</v>
      </c>
      <c r="AM40" s="217">
        <v>8.5906571654790174</v>
      </c>
      <c r="AN40" s="164">
        <f>'Summary FR Kalbar'!AB16</f>
        <v>0</v>
      </c>
      <c r="AO40" s="217">
        <f>'Summary FR Kalbar'!AE16</f>
        <v>0</v>
      </c>
      <c r="AP40" s="164">
        <f>'[44]Summary FR Kalbar'!AF16</f>
        <v>29</v>
      </c>
      <c r="AQ40" s="217">
        <f t="array" ref="AQ40">'[44]Summary FR Kalbar'!AI16</f>
        <v>3.2290213274865454</v>
      </c>
      <c r="AR40" s="164">
        <v>36</v>
      </c>
      <c r="AS40" s="217">
        <v>2.895681227570845</v>
      </c>
      <c r="AT40" s="164">
        <f>'Summary FR Kalbar'!AF16</f>
        <v>62</v>
      </c>
      <c r="AU40" s="217">
        <f>'Summary FR Kalbar'!AI16</f>
        <v>3.7142469838687813</v>
      </c>
      <c r="AV40" s="164">
        <f>'[44]Summary FR Kalbar'!AJ16</f>
        <v>11</v>
      </c>
      <c r="AW40" s="217">
        <f t="array" ref="AW40">'[44]Summary FR Kalbar'!AM16</f>
        <v>1.6097560975609757</v>
      </c>
      <c r="AX40" s="164">
        <v>20</v>
      </c>
      <c r="AY40" s="217">
        <v>1.4492753623188406</v>
      </c>
      <c r="AZ40" s="164">
        <f>'Summary FR Kalbar'!AJ16</f>
        <v>12</v>
      </c>
      <c r="BA40" s="217">
        <f>'Summary FR Kalbar'!AM16</f>
        <v>1.4660493827160492</v>
      </c>
    </row>
  </sheetData>
  <mergeCells count="44">
    <mergeCell ref="A8:A12"/>
    <mergeCell ref="AC29:AC31"/>
    <mergeCell ref="AD30:AD31"/>
    <mergeCell ref="AF30:AF31"/>
    <mergeCell ref="AD29:AE29"/>
    <mergeCell ref="AF29:AG29"/>
    <mergeCell ref="J16:J19"/>
    <mergeCell ref="J20:J24"/>
    <mergeCell ref="L14:P14"/>
    <mergeCell ref="J14:J15"/>
    <mergeCell ref="K14:K15"/>
    <mergeCell ref="S29:S30"/>
    <mergeCell ref="T29:T30"/>
    <mergeCell ref="U29:W29"/>
    <mergeCell ref="AE30:AE31"/>
    <mergeCell ref="A1:I1"/>
    <mergeCell ref="AJ30:AK30"/>
    <mergeCell ref="AP30:AQ30"/>
    <mergeCell ref="AG30:AG31"/>
    <mergeCell ref="AJ29:AK29"/>
    <mergeCell ref="AH29:AI29"/>
    <mergeCell ref="AH30:AH31"/>
    <mergeCell ref="AI30:AI31"/>
    <mergeCell ref="AN29:AO29"/>
    <mergeCell ref="AN30:AO30"/>
    <mergeCell ref="A2:A3"/>
    <mergeCell ref="B2:B3"/>
    <mergeCell ref="C2:C3"/>
    <mergeCell ref="D2:D3"/>
    <mergeCell ref="E2:I2"/>
    <mergeCell ref="A4:A7"/>
    <mergeCell ref="AZ29:BA29"/>
    <mergeCell ref="AZ30:BA30"/>
    <mergeCell ref="AX29:AY29"/>
    <mergeCell ref="AP29:AQ29"/>
    <mergeCell ref="AL30:AM30"/>
    <mergeCell ref="AL29:AM29"/>
    <mergeCell ref="AR30:AS30"/>
    <mergeCell ref="AX30:AY30"/>
    <mergeCell ref="AR29:AS29"/>
    <mergeCell ref="AV29:AW29"/>
    <mergeCell ref="AV30:AW30"/>
    <mergeCell ref="AT30:AU30"/>
    <mergeCell ref="AT29:AU29"/>
  </mergeCells>
  <conditionalFormatting sqref="H4:H12">
    <cfRule type="cellIs" dxfId="56" priority="17" operator="equal">
      <formula>"-"</formula>
    </cfRule>
    <cfRule type="cellIs" dxfId="55" priority="18" operator="greaterThan">
      <formula>5</formula>
    </cfRule>
    <cfRule type="cellIs" dxfId="54" priority="19" operator="between">
      <formula>2</formula>
      <formula>5</formula>
    </cfRule>
    <cfRule type="cellIs" dxfId="53" priority="20" operator="lessThan">
      <formula>2</formula>
    </cfRule>
  </conditionalFormatting>
  <conditionalFormatting sqref="O16:O17">
    <cfRule type="cellIs" dxfId="52" priority="13" operator="equal">
      <formula>"-"</formula>
    </cfRule>
    <cfRule type="cellIs" dxfId="51" priority="14" operator="greaterThan">
      <formula>5</formula>
    </cfRule>
    <cfRule type="cellIs" dxfId="50" priority="15" operator="between">
      <formula>2</formula>
      <formula>5</formula>
    </cfRule>
    <cfRule type="cellIs" dxfId="49" priority="16" operator="lessThan">
      <formula>2</formula>
    </cfRule>
  </conditionalFormatting>
  <conditionalFormatting sqref="O19:O20">
    <cfRule type="cellIs" dxfId="48" priority="1" operator="equal">
      <formula>"-"</formula>
    </cfRule>
    <cfRule type="cellIs" dxfId="47" priority="2" operator="greaterThan">
      <formula>5</formula>
    </cfRule>
    <cfRule type="cellIs" dxfId="46" priority="3" operator="between">
      <formula>2</formula>
      <formula>5</formula>
    </cfRule>
    <cfRule type="cellIs" dxfId="45" priority="4" operator="lessThan">
      <formula>2</formula>
    </cfRule>
  </conditionalFormatting>
  <conditionalFormatting sqref="O23:O24">
    <cfRule type="cellIs" dxfId="44" priority="5" operator="equal">
      <formula>"-"</formula>
    </cfRule>
    <cfRule type="cellIs" dxfId="43" priority="6" operator="greaterThan">
      <formula>5</formula>
    </cfRule>
    <cfRule type="cellIs" dxfId="42" priority="7" operator="between">
      <formula>2</formula>
      <formula>5</formula>
    </cfRule>
    <cfRule type="cellIs" dxfId="41" priority="8" operator="lessThan">
      <formula>2</formula>
    </cfRule>
  </conditionalFormatting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755D-E23C-408B-8A18-982BDF836DA9}">
  <dimension ref="A1:AI617"/>
  <sheetViews>
    <sheetView zoomScale="42" zoomScaleNormal="70" workbookViewId="0">
      <pane xSplit="6" ySplit="4" topLeftCell="G534" activePane="bottomRight" state="frozen"/>
      <selection activeCell="H609" sqref="H609:T620"/>
      <selection pane="topRight" activeCell="H609" sqref="H609:T620"/>
      <selection pane="bottomLeft" activeCell="H609" sqref="H609:T620"/>
      <selection pane="bottomRight" activeCell="H609" sqref="H609:T620"/>
    </sheetView>
  </sheetViews>
  <sheetFormatPr baseColWidth="10" defaultColWidth="8.83203125" defaultRowHeight="15" outlineLevelCol="1" x14ac:dyDescent="0.2"/>
  <cols>
    <col min="3" max="3" width="7.83203125" customWidth="1"/>
    <col min="4" max="4" width="10.5" customWidth="1"/>
    <col min="5" max="5" width="9.83203125" customWidth="1"/>
    <col min="6" max="6" width="9.1640625" customWidth="1"/>
    <col min="7" max="7" width="20.83203125" bestFit="1" customWidth="1"/>
    <col min="8" max="8" width="14.33203125" bestFit="1" customWidth="1"/>
    <col min="9" max="9" width="13.1640625" bestFit="1" customWidth="1"/>
    <col min="10" max="10" width="19.1640625" customWidth="1"/>
    <col min="11" max="11" width="22.1640625" bestFit="1" customWidth="1"/>
    <col min="12" max="12" width="8.5" customWidth="1"/>
    <col min="13" max="13" width="24.83203125" customWidth="1"/>
    <col min="14" max="14" width="20" customWidth="1" outlineLevel="1"/>
    <col min="15" max="15" width="13.1640625" customWidth="1"/>
    <col min="16" max="16" width="11" customWidth="1"/>
    <col min="17" max="17" width="23.1640625" customWidth="1"/>
    <col min="18" max="18" width="10.33203125" customWidth="1"/>
    <col min="19" max="19" width="22" customWidth="1"/>
    <col min="20" max="20" width="12.5" bestFit="1" customWidth="1" outlineLevel="1"/>
    <col min="21" max="21" width="10.83203125" bestFit="1" customWidth="1"/>
    <col min="22" max="22" width="10.5" customWidth="1"/>
    <col min="24" max="24" width="17.5" bestFit="1" customWidth="1"/>
    <col min="25" max="25" width="11.6640625" bestFit="1" customWidth="1"/>
    <col min="30" max="30" width="26.5" bestFit="1" customWidth="1"/>
    <col min="31" max="31" width="11.6640625" bestFit="1" customWidth="1"/>
  </cols>
  <sheetData>
    <row r="1" spans="1:35" x14ac:dyDescent="0.2">
      <c r="N1" s="364" t="s">
        <v>2048</v>
      </c>
      <c r="O1" s="364"/>
      <c r="P1" s="364"/>
      <c r="Q1" s="364"/>
      <c r="R1" s="364"/>
      <c r="S1" s="364"/>
      <c r="T1" s="364"/>
      <c r="U1" s="364"/>
      <c r="V1" s="364"/>
      <c r="W1" s="364"/>
      <c r="X1" s="364"/>
      <c r="Y1" s="364" t="s">
        <v>2085</v>
      </c>
      <c r="Z1" s="364"/>
      <c r="AA1" s="364"/>
      <c r="AB1" s="364"/>
      <c r="AC1" s="364"/>
      <c r="AD1" s="364"/>
      <c r="AE1" s="364"/>
      <c r="AF1" s="364"/>
      <c r="AG1" s="364"/>
      <c r="AH1" s="364"/>
      <c r="AI1" s="364"/>
    </row>
    <row r="2" spans="1:35" x14ac:dyDescent="0.2">
      <c r="A2" s="276" t="s">
        <v>1</v>
      </c>
      <c r="B2" s="276" t="s">
        <v>2</v>
      </c>
      <c r="C2" s="276" t="s">
        <v>3</v>
      </c>
      <c r="D2" s="276" t="s">
        <v>4</v>
      </c>
      <c r="E2" s="276" t="s">
        <v>5</v>
      </c>
      <c r="F2" s="276" t="s">
        <v>6</v>
      </c>
      <c r="G2" s="284" t="s">
        <v>7</v>
      </c>
      <c r="H2" s="275" t="s">
        <v>8</v>
      </c>
      <c r="I2" s="275" t="s">
        <v>9</v>
      </c>
      <c r="J2" s="275" t="s">
        <v>626</v>
      </c>
      <c r="K2" s="275" t="s">
        <v>627</v>
      </c>
      <c r="L2" s="275" t="s">
        <v>10</v>
      </c>
      <c r="M2" s="276" t="s">
        <v>11</v>
      </c>
      <c r="N2" s="278" t="s">
        <v>938</v>
      </c>
      <c r="O2" s="278"/>
      <c r="P2" s="278"/>
      <c r="Q2" s="278"/>
      <c r="R2" s="278"/>
      <c r="S2" s="278"/>
      <c r="T2" s="285" t="s">
        <v>1742</v>
      </c>
      <c r="U2" s="285"/>
      <c r="V2" s="285"/>
      <c r="W2" s="285"/>
      <c r="X2" s="285"/>
      <c r="Y2" s="278" t="s">
        <v>938</v>
      </c>
      <c r="Z2" s="278"/>
      <c r="AA2" s="278"/>
      <c r="AB2" s="278"/>
      <c r="AC2" s="278"/>
      <c r="AD2" s="278"/>
      <c r="AE2" s="285" t="s">
        <v>1742</v>
      </c>
      <c r="AF2" s="285"/>
      <c r="AG2" s="285"/>
      <c r="AH2" s="285"/>
      <c r="AI2" s="285"/>
    </row>
    <row r="3" spans="1:35" ht="45" x14ac:dyDescent="0.2">
      <c r="A3" s="276"/>
      <c r="B3" s="276"/>
      <c r="C3" s="276"/>
      <c r="D3" s="276"/>
      <c r="E3" s="276"/>
      <c r="F3" s="276"/>
      <c r="G3" s="284"/>
      <c r="H3" s="275"/>
      <c r="I3" s="275"/>
      <c r="J3" s="275"/>
      <c r="K3" s="275"/>
      <c r="L3" s="275"/>
      <c r="M3" s="276"/>
      <c r="N3" s="170" t="s">
        <v>8</v>
      </c>
      <c r="O3" s="170" t="s">
        <v>9</v>
      </c>
      <c r="P3" s="170" t="s">
        <v>626</v>
      </c>
      <c r="Q3" s="170" t="s">
        <v>627</v>
      </c>
      <c r="R3" s="170" t="s">
        <v>10</v>
      </c>
      <c r="S3" s="170" t="s">
        <v>11</v>
      </c>
      <c r="T3" s="170" t="s">
        <v>8</v>
      </c>
      <c r="U3" s="170" t="s">
        <v>1743</v>
      </c>
      <c r="V3" s="170" t="s">
        <v>1744</v>
      </c>
      <c r="W3" s="170" t="s">
        <v>10</v>
      </c>
      <c r="X3" s="170" t="s">
        <v>11</v>
      </c>
      <c r="Y3" s="170" t="s">
        <v>8</v>
      </c>
      <c r="Z3" s="170" t="s">
        <v>9</v>
      </c>
      <c r="AA3" s="170" t="s">
        <v>626</v>
      </c>
      <c r="AB3" s="170" t="s">
        <v>627</v>
      </c>
      <c r="AC3" s="170" t="s">
        <v>10</v>
      </c>
      <c r="AD3" s="170" t="s">
        <v>11</v>
      </c>
      <c r="AE3" s="170" t="s">
        <v>8</v>
      </c>
      <c r="AF3" s="170" t="s">
        <v>1743</v>
      </c>
      <c r="AG3" s="170" t="s">
        <v>1744</v>
      </c>
      <c r="AH3" s="170" t="s">
        <v>10</v>
      </c>
      <c r="AI3" s="170" t="s">
        <v>11</v>
      </c>
    </row>
    <row r="4" spans="1:35" x14ac:dyDescent="0.2">
      <c r="A4" s="4"/>
      <c r="B4" s="4"/>
      <c r="C4" s="4"/>
      <c r="D4" s="4"/>
      <c r="E4" s="4"/>
      <c r="F4" s="4"/>
      <c r="G4" s="5"/>
      <c r="H4" s="6"/>
      <c r="I4" s="6"/>
      <c r="J4" s="6"/>
      <c r="K4" s="6"/>
      <c r="L4" s="6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 spans="1:35" x14ac:dyDescent="0.2">
      <c r="A5" s="8" t="s">
        <v>1273</v>
      </c>
      <c r="B5" s="8" t="s">
        <v>14</v>
      </c>
      <c r="C5" s="8" t="s">
        <v>14</v>
      </c>
      <c r="D5" s="8" t="s">
        <v>1276</v>
      </c>
      <c r="E5" s="9">
        <v>27.61</v>
      </c>
      <c r="F5" s="8" t="s">
        <v>1740</v>
      </c>
      <c r="G5" s="10">
        <v>3863</v>
      </c>
      <c r="H5" s="132">
        <v>46149</v>
      </c>
      <c r="I5" s="143">
        <f t="array" ref="I5">INDEX([46]perbandingan!$H$24:$H$231,MATCH(1,([46]perbandingan!$E$24:$E$231=$D5)*([46]perbandingan!$E$24:$E$231=$D5),0))</f>
        <v>386.3</v>
      </c>
      <c r="J5" s="9">
        <f t="array" ref="J5">IFERROR(I5/G5*100,0)</f>
        <v>10</v>
      </c>
      <c r="K5" s="143">
        <f t="array" ref="K5">INDEX([46]perbandingan!$L$24:$L$231,MATCH(1,([46]perbandingan!$E$24:$E$231=$D5)*([46]perbandingan!$E$24:$E$231=$D5),0))</f>
        <v>48</v>
      </c>
      <c r="L5" s="9">
        <f t="shared" ref="L5:L68" si="0">IFERROR(K5/I5*100,0)</f>
        <v>12.425575977219777</v>
      </c>
      <c r="M5" s="8" t="str">
        <f>IF(L5&gt;2,"Perlu Pengendalian",IF(L5&gt;0,"Tidak Perlu Pengendalian","Belum Sensus"))</f>
        <v>Perlu Pengendalian</v>
      </c>
      <c r="N5" s="148"/>
      <c r="O5" s="143" t="e">
        <f>MAX(#REF!,#REF!)</f>
        <v>#REF!</v>
      </c>
      <c r="P5" s="9" t="e">
        <f>O5/G5*100</f>
        <v>#REF!</v>
      </c>
      <c r="Q5" s="143" t="e">
        <f>MAX(#REF!,#REF!)</f>
        <v>#REF!</v>
      </c>
      <c r="R5" s="9">
        <f t="shared" ref="R5:R68" si="1">IFERROR(Q5/O5*100,0)</f>
        <v>0</v>
      </c>
      <c r="S5" s="8" t="str">
        <f>IF(R5&gt;2,"Perlu Pengendalian",IF(R5&gt;0,"Tidak Perlu Pengendalian","Belum Sensus"))</f>
        <v>Belum Sensus</v>
      </c>
      <c r="T5" s="148"/>
      <c r="U5" s="143" t="e">
        <f>MAX(#REF!,#REF!)</f>
        <v>#REF!</v>
      </c>
      <c r="V5" s="143" t="e">
        <f>MAX(#REF!,#REF!)</f>
        <v>#REF!</v>
      </c>
      <c r="W5" s="9">
        <f>IFERROR(V5/U5*100,0)</f>
        <v>0</v>
      </c>
      <c r="X5" s="8" t="str">
        <f>IF(W5&gt;2,"Perlu Pengendalian",IF(W5&gt;0,"Tidak Perlu Pengendalian","Belum Sensus"))</f>
        <v>Belum Sensus</v>
      </c>
      <c r="Y5" s="178">
        <v>46153</v>
      </c>
      <c r="Z5" s="143">
        <v>112</v>
      </c>
      <c r="AA5" s="9">
        <f>Z5/G5*100</f>
        <v>2.8993010613512813</v>
      </c>
      <c r="AB5" s="143">
        <v>21</v>
      </c>
      <c r="AC5" s="9">
        <f t="shared" ref="AC5:AC68" si="2">IFERROR(AB5/Z5*100,0)</f>
        <v>18.75</v>
      </c>
      <c r="AD5" s="8" t="str">
        <f>IF(AC5&gt;2,"Perlu Pengendalian",IF(AC5&gt;0,"Tidak Perlu Pengendalian","Belum Sensus"))</f>
        <v>Perlu Pengendalian</v>
      </c>
      <c r="AE5" s="178">
        <v>46153</v>
      </c>
      <c r="AF5" s="143">
        <v>169</v>
      </c>
      <c r="AG5" s="143">
        <v>11</v>
      </c>
      <c r="AH5" s="9">
        <f>IFERROR(AG5/AF5*100,0)</f>
        <v>6.5088757396449708</v>
      </c>
      <c r="AI5" s="8" t="str">
        <f>IF(AH5&gt;2,"Perlu Pengendalian",IF(AH5&gt;0,"Tidak Perlu Pengendalian","Belum Sensus"))</f>
        <v>Perlu Pengendalian</v>
      </c>
    </row>
    <row r="6" spans="1:35" x14ac:dyDescent="0.2">
      <c r="A6" s="8" t="s">
        <v>1273</v>
      </c>
      <c r="B6" s="8" t="s">
        <v>14</v>
      </c>
      <c r="C6" s="8" t="s">
        <v>14</v>
      </c>
      <c r="D6" s="8" t="s">
        <v>1277</v>
      </c>
      <c r="E6" s="9">
        <v>29.099999999999998</v>
      </c>
      <c r="F6" s="8" t="s">
        <v>1740</v>
      </c>
      <c r="G6" s="10">
        <v>4127</v>
      </c>
      <c r="H6" s="132">
        <v>46149</v>
      </c>
      <c r="I6" s="143">
        <f t="array" ref="I6">INDEX([46]perbandingan!$H$24:$H$231,MATCH(1,([46]perbandingan!$E$24:$E$231=$D6)*([46]perbandingan!$E$24:$E$231=$D6),0))</f>
        <v>412.70000000000005</v>
      </c>
      <c r="J6" s="9">
        <f t="array" ref="J6">IFERROR(I6/G6*100,0)</f>
        <v>10</v>
      </c>
      <c r="K6" s="143">
        <f t="array" ref="K6">INDEX([46]perbandingan!$L$24:$L$231,MATCH(1,([46]perbandingan!$E$24:$E$231=$D6)*([46]perbandingan!$E$24:$E$231=$D6),0))</f>
        <v>54</v>
      </c>
      <c r="L6" s="9">
        <f t="shared" si="0"/>
        <v>13.084565059365156</v>
      </c>
      <c r="M6" s="8" t="str">
        <f t="shared" ref="M6:M69" si="3">IF(L6&gt;2,"Perlu Pengendalian",IF(L6&gt;0,"Tidak Perlu Pengendalian","Belum Sensus"))</f>
        <v>Perlu Pengendalian</v>
      </c>
      <c r="N6" s="148"/>
      <c r="O6" s="143" t="e">
        <f>MAX(#REF!,#REF!)</f>
        <v>#REF!</v>
      </c>
      <c r="P6" s="9" t="e">
        <f t="shared" ref="P6:P69" si="4">O6/G6*100</f>
        <v>#REF!</v>
      </c>
      <c r="Q6" s="143" t="e">
        <f>MAX(#REF!,#REF!)</f>
        <v>#REF!</v>
      </c>
      <c r="R6" s="9">
        <f t="shared" si="1"/>
        <v>0</v>
      </c>
      <c r="S6" s="8" t="str">
        <f t="shared" ref="S6:S69" si="5">IF(R6&gt;2,"Perlu Pengendalian",IF(R6&gt;0,"Tidak Perlu Pengendalian","Belum Sensus"))</f>
        <v>Belum Sensus</v>
      </c>
      <c r="T6" s="148"/>
      <c r="U6" s="143" t="e">
        <f>MAX(#REF!,#REF!)</f>
        <v>#REF!</v>
      </c>
      <c r="V6" s="143" t="e">
        <f>MAX(#REF!,#REF!)</f>
        <v>#REF!</v>
      </c>
      <c r="W6" s="9">
        <f t="shared" ref="W6:W69" si="6">IFERROR(V6/U6*100,0)</f>
        <v>0</v>
      </c>
      <c r="X6" s="8" t="str">
        <f t="shared" ref="X6:X69" si="7">IF(W6&gt;2,"Perlu Pengendalian",IF(W6&gt;0,"Tidak Perlu Pengendalian","Belum Sensus"))</f>
        <v>Belum Sensus</v>
      </c>
      <c r="Y6" s="178">
        <v>46153</v>
      </c>
      <c r="Z6" s="143">
        <v>62</v>
      </c>
      <c r="AA6" s="9">
        <f t="shared" ref="AA6:AA69" si="8">Z6/G6*100</f>
        <v>1.5023019142234069</v>
      </c>
      <c r="AB6" s="143">
        <v>12</v>
      </c>
      <c r="AC6" s="9">
        <f t="shared" si="2"/>
        <v>19.35483870967742</v>
      </c>
      <c r="AD6" s="8" t="str">
        <f t="shared" ref="AD6:AD69" si="9">IF(AC6&gt;2,"Perlu Pengendalian",IF(AC6&gt;0,"Tidak Perlu Pengendalian","Belum Sensus"))</f>
        <v>Perlu Pengendalian</v>
      </c>
      <c r="AE6" s="178">
        <v>46153</v>
      </c>
      <c r="AF6" s="143">
        <v>170</v>
      </c>
      <c r="AG6" s="143">
        <v>18</v>
      </c>
      <c r="AH6" s="9">
        <f t="shared" ref="AH6:AH69" si="10">IFERROR(AG6/AF6*100,0)</f>
        <v>10.588235294117647</v>
      </c>
      <c r="AI6" s="8" t="str">
        <f t="shared" ref="AI6:AI69" si="11">IF(AH6&gt;2,"Perlu Pengendalian",IF(AH6&gt;0,"Tidak Perlu Pengendalian","Belum Sensus"))</f>
        <v>Perlu Pengendalian</v>
      </c>
    </row>
    <row r="7" spans="1:35" x14ac:dyDescent="0.2">
      <c r="A7" s="8" t="s">
        <v>1273</v>
      </c>
      <c r="B7" s="8" t="s">
        <v>14</v>
      </c>
      <c r="C7" s="8" t="s">
        <v>14</v>
      </c>
      <c r="D7" s="8" t="s">
        <v>1278</v>
      </c>
      <c r="E7" s="9">
        <v>36.15</v>
      </c>
      <c r="F7" s="8" t="s">
        <v>1740</v>
      </c>
      <c r="G7" s="10">
        <v>5115</v>
      </c>
      <c r="H7" s="132">
        <v>46149</v>
      </c>
      <c r="I7" s="143">
        <f t="array" ref="I7">INDEX([46]perbandingan!$H$24:$H$231,MATCH(1,([46]perbandingan!$E$24:$E$231=$D7)*([46]perbandingan!$E$24:$E$231=$D7),0))</f>
        <v>511.5</v>
      </c>
      <c r="J7" s="9">
        <f t="array" ref="J7">IFERROR(I7/G7*100,0)</f>
        <v>10</v>
      </c>
      <c r="K7" s="143">
        <f t="array" ref="K7">INDEX([46]perbandingan!$L$24:$L$231,MATCH(1,([46]perbandingan!$E$24:$E$231=$D7)*([46]perbandingan!$E$24:$E$231=$D7),0))</f>
        <v>78</v>
      </c>
      <c r="L7" s="9">
        <f t="shared" si="0"/>
        <v>15.249266862170089</v>
      </c>
      <c r="M7" s="8" t="str">
        <f t="shared" si="3"/>
        <v>Perlu Pengendalian</v>
      </c>
      <c r="N7" s="148"/>
      <c r="O7" s="143" t="e">
        <f>MAX(#REF!,#REF!)</f>
        <v>#REF!</v>
      </c>
      <c r="P7" s="9" t="e">
        <f t="shared" si="4"/>
        <v>#REF!</v>
      </c>
      <c r="Q7" s="143" t="e">
        <f>MAX(#REF!,#REF!)</f>
        <v>#REF!</v>
      </c>
      <c r="R7" s="9">
        <f t="shared" si="1"/>
        <v>0</v>
      </c>
      <c r="S7" s="8" t="str">
        <f t="shared" si="5"/>
        <v>Belum Sensus</v>
      </c>
      <c r="T7" s="148"/>
      <c r="U7" s="143" t="e">
        <f>MAX(#REF!,#REF!)</f>
        <v>#REF!</v>
      </c>
      <c r="V7" s="143" t="e">
        <f>MAX(#REF!,#REF!)</f>
        <v>#REF!</v>
      </c>
      <c r="W7" s="9">
        <f t="shared" si="6"/>
        <v>0</v>
      </c>
      <c r="X7" s="8" t="str">
        <f t="shared" si="7"/>
        <v>Belum Sensus</v>
      </c>
      <c r="Y7" s="178">
        <v>46153</v>
      </c>
      <c r="Z7" s="143">
        <v>61</v>
      </c>
      <c r="AA7" s="9">
        <f t="shared" si="8"/>
        <v>1.1925708699902249</v>
      </c>
      <c r="AB7" s="143">
        <v>7</v>
      </c>
      <c r="AC7" s="9">
        <f t="shared" si="2"/>
        <v>11.475409836065573</v>
      </c>
      <c r="AD7" s="8" t="str">
        <f t="shared" si="9"/>
        <v>Perlu Pengendalian</v>
      </c>
      <c r="AE7" s="178"/>
      <c r="AF7" s="143">
        <v>0</v>
      </c>
      <c r="AG7" s="143">
        <v>0</v>
      </c>
      <c r="AH7" s="9">
        <f t="shared" si="10"/>
        <v>0</v>
      </c>
      <c r="AI7" s="8" t="str">
        <f t="shared" si="11"/>
        <v>Belum Sensus</v>
      </c>
    </row>
    <row r="8" spans="1:35" x14ac:dyDescent="0.2">
      <c r="A8" s="8" t="s">
        <v>1273</v>
      </c>
      <c r="B8" s="8" t="s">
        <v>14</v>
      </c>
      <c r="C8" s="8" t="s">
        <v>14</v>
      </c>
      <c r="D8" s="8" t="s">
        <v>1279</v>
      </c>
      <c r="E8" s="9">
        <v>26.01</v>
      </c>
      <c r="F8" s="8" t="s">
        <v>1740</v>
      </c>
      <c r="G8" s="10">
        <v>3582</v>
      </c>
      <c r="H8" s="132">
        <v>46149</v>
      </c>
      <c r="I8" s="143">
        <f t="array" ref="I8">INDEX([46]perbandingan!$H$24:$H$231,MATCH(1,([46]perbandingan!$E$24:$E$231=$D8)*([46]perbandingan!$E$24:$E$231=$D8),0))</f>
        <v>358.20000000000005</v>
      </c>
      <c r="J8" s="9">
        <f t="array" ref="J8">IFERROR(I8/G8*100,0)</f>
        <v>10.000000000000002</v>
      </c>
      <c r="K8" s="143">
        <f t="array" ref="K8">INDEX([46]perbandingan!$L$24:$L$231,MATCH(1,([46]perbandingan!$E$24:$E$231=$D8)*([46]perbandingan!$E$24:$E$231=$D8),0))</f>
        <v>41</v>
      </c>
      <c r="L8" s="9">
        <f t="shared" si="0"/>
        <v>11.446119486320489</v>
      </c>
      <c r="M8" s="8" t="str">
        <f t="shared" si="3"/>
        <v>Perlu Pengendalian</v>
      </c>
      <c r="N8" s="148"/>
      <c r="O8" s="143" t="e">
        <f>MAX(#REF!,#REF!)</f>
        <v>#REF!</v>
      </c>
      <c r="P8" s="9" t="e">
        <f t="shared" si="4"/>
        <v>#REF!</v>
      </c>
      <c r="Q8" s="143" t="e">
        <f>MAX(#REF!,#REF!)</f>
        <v>#REF!</v>
      </c>
      <c r="R8" s="9">
        <f t="shared" si="1"/>
        <v>0</v>
      </c>
      <c r="S8" s="8" t="str">
        <f t="shared" si="5"/>
        <v>Belum Sensus</v>
      </c>
      <c r="T8" s="148"/>
      <c r="U8" s="143" t="e">
        <f>MAX(#REF!,#REF!)</f>
        <v>#REF!</v>
      </c>
      <c r="V8" s="143" t="e">
        <f>MAX(#REF!,#REF!)</f>
        <v>#REF!</v>
      </c>
      <c r="W8" s="9">
        <f t="shared" si="6"/>
        <v>0</v>
      </c>
      <c r="X8" s="8" t="str">
        <f t="shared" si="7"/>
        <v>Belum Sensus</v>
      </c>
      <c r="Y8" s="178">
        <v>46153</v>
      </c>
      <c r="Z8" s="143">
        <v>32</v>
      </c>
      <c r="AA8" s="9">
        <f t="shared" si="8"/>
        <v>0.89335566722501403</v>
      </c>
      <c r="AB8" s="143">
        <v>16</v>
      </c>
      <c r="AC8" s="9">
        <f t="shared" si="2"/>
        <v>50</v>
      </c>
      <c r="AD8" s="8" t="str">
        <f t="shared" si="9"/>
        <v>Perlu Pengendalian</v>
      </c>
      <c r="AE8" s="178"/>
      <c r="AF8" s="143">
        <v>0</v>
      </c>
      <c r="AG8" s="143">
        <v>0</v>
      </c>
      <c r="AH8" s="9">
        <f t="shared" si="10"/>
        <v>0</v>
      </c>
      <c r="AI8" s="8" t="str">
        <f t="shared" si="11"/>
        <v>Belum Sensus</v>
      </c>
    </row>
    <row r="9" spans="1:35" x14ac:dyDescent="0.2">
      <c r="A9" s="8" t="s">
        <v>1273</v>
      </c>
      <c r="B9" s="8" t="s">
        <v>14</v>
      </c>
      <c r="C9" s="8" t="s">
        <v>14</v>
      </c>
      <c r="D9" s="8" t="s">
        <v>1280</v>
      </c>
      <c r="E9" s="9">
        <v>25.76</v>
      </c>
      <c r="F9" s="8" t="s">
        <v>1740</v>
      </c>
      <c r="G9" s="10">
        <v>3580</v>
      </c>
      <c r="H9" s="132">
        <v>46149</v>
      </c>
      <c r="I9" s="143">
        <f t="array" ref="I9">INDEX([46]perbandingan!$H$24:$H$231,MATCH(1,([46]perbandingan!$E$24:$E$231=$D9)*([46]perbandingan!$E$24:$E$231=$D9),0))</f>
        <v>358</v>
      </c>
      <c r="J9" s="9">
        <f t="array" ref="J9">IFERROR(I9/G9*100,0)</f>
        <v>10</v>
      </c>
      <c r="K9" s="143">
        <f t="array" ref="K9">INDEX([46]perbandingan!$L$24:$L$231,MATCH(1,([46]perbandingan!$E$24:$E$231=$D9)*([46]perbandingan!$E$24:$E$231=$D9),0))</f>
        <v>39</v>
      </c>
      <c r="L9" s="9">
        <f t="shared" si="0"/>
        <v>10.893854748603351</v>
      </c>
      <c r="M9" s="8" t="str">
        <f t="shared" si="3"/>
        <v>Perlu Pengendalian</v>
      </c>
      <c r="N9" s="148"/>
      <c r="O9" s="143" t="e">
        <f>MAX(#REF!,#REF!)</f>
        <v>#REF!</v>
      </c>
      <c r="P9" s="9" t="e">
        <f t="shared" si="4"/>
        <v>#REF!</v>
      </c>
      <c r="Q9" s="143" t="e">
        <f>MAX(#REF!,#REF!)</f>
        <v>#REF!</v>
      </c>
      <c r="R9" s="9">
        <f t="shared" si="1"/>
        <v>0</v>
      </c>
      <c r="S9" s="8" t="str">
        <f t="shared" si="5"/>
        <v>Belum Sensus</v>
      </c>
      <c r="T9" s="148"/>
      <c r="U9" s="143" t="e">
        <f>MAX(#REF!,#REF!)</f>
        <v>#REF!</v>
      </c>
      <c r="V9" s="143" t="e">
        <f>MAX(#REF!,#REF!)</f>
        <v>#REF!</v>
      </c>
      <c r="W9" s="9">
        <f t="shared" si="6"/>
        <v>0</v>
      </c>
      <c r="X9" s="8" t="str">
        <f t="shared" si="7"/>
        <v>Belum Sensus</v>
      </c>
      <c r="Y9" s="178">
        <v>46153</v>
      </c>
      <c r="Z9" s="143">
        <v>31</v>
      </c>
      <c r="AA9" s="9">
        <f t="shared" si="8"/>
        <v>0.86592178770949713</v>
      </c>
      <c r="AB9" s="143">
        <v>14</v>
      </c>
      <c r="AC9" s="9">
        <f t="shared" si="2"/>
        <v>45.161290322580641</v>
      </c>
      <c r="AD9" s="8" t="str">
        <f t="shared" si="9"/>
        <v>Perlu Pengendalian</v>
      </c>
      <c r="AE9" s="178">
        <v>46153</v>
      </c>
      <c r="AF9" s="143">
        <v>377</v>
      </c>
      <c r="AG9" s="143">
        <v>134</v>
      </c>
      <c r="AH9" s="9">
        <f t="shared" si="10"/>
        <v>35.543766578249333</v>
      </c>
      <c r="AI9" s="8" t="str">
        <f t="shared" si="11"/>
        <v>Perlu Pengendalian</v>
      </c>
    </row>
    <row r="10" spans="1:35" x14ac:dyDescent="0.2">
      <c r="A10" s="8" t="s">
        <v>1273</v>
      </c>
      <c r="B10" s="8" t="s">
        <v>14</v>
      </c>
      <c r="C10" s="8" t="s">
        <v>14</v>
      </c>
      <c r="D10" s="8" t="s">
        <v>1281</v>
      </c>
      <c r="E10" s="9">
        <v>25.49</v>
      </c>
      <c r="F10" s="8" t="s">
        <v>1740</v>
      </c>
      <c r="G10" s="10">
        <v>3429</v>
      </c>
      <c r="H10" s="132">
        <v>46149</v>
      </c>
      <c r="I10" s="143">
        <f t="array" ref="I10">INDEX([46]perbandingan!$H$24:$H$231,MATCH(1,([46]perbandingan!$E$24:$E$231=$D10)*([46]perbandingan!$E$24:$E$231=$D10),0))</f>
        <v>342.90000000000003</v>
      </c>
      <c r="J10" s="9">
        <f t="array" ref="J10">IFERROR(I10/G10*100,0)</f>
        <v>10</v>
      </c>
      <c r="K10" s="143">
        <f t="array" ref="K10">INDEX([46]perbandingan!$L$24:$L$231,MATCH(1,([46]perbandingan!$E$24:$E$231=$D10)*([46]perbandingan!$E$24:$E$231=$D10),0))</f>
        <v>51</v>
      </c>
      <c r="L10" s="9">
        <f t="shared" si="0"/>
        <v>14.873140857392825</v>
      </c>
      <c r="M10" s="8" t="str">
        <f t="shared" si="3"/>
        <v>Perlu Pengendalian</v>
      </c>
      <c r="N10" s="148"/>
      <c r="O10" s="143" t="e">
        <f>MAX(#REF!,#REF!)</f>
        <v>#REF!</v>
      </c>
      <c r="P10" s="9" t="e">
        <f t="shared" si="4"/>
        <v>#REF!</v>
      </c>
      <c r="Q10" s="143" t="e">
        <f>MAX(#REF!,#REF!)</f>
        <v>#REF!</v>
      </c>
      <c r="R10" s="9">
        <f t="shared" si="1"/>
        <v>0</v>
      </c>
      <c r="S10" s="8" t="str">
        <f t="shared" si="5"/>
        <v>Belum Sensus</v>
      </c>
      <c r="T10" s="148"/>
      <c r="U10" s="143" t="e">
        <f>MAX(#REF!,#REF!)</f>
        <v>#REF!</v>
      </c>
      <c r="V10" s="143" t="e">
        <f>MAX(#REF!,#REF!)</f>
        <v>#REF!</v>
      </c>
      <c r="W10" s="9">
        <f t="shared" si="6"/>
        <v>0</v>
      </c>
      <c r="X10" s="8" t="str">
        <f t="shared" si="7"/>
        <v>Belum Sensus</v>
      </c>
      <c r="Y10" s="178">
        <v>46153</v>
      </c>
      <c r="Z10" s="143">
        <v>33</v>
      </c>
      <c r="AA10" s="9">
        <f t="shared" si="8"/>
        <v>0.96237970253718275</v>
      </c>
      <c r="AB10" s="143">
        <v>16</v>
      </c>
      <c r="AC10" s="9">
        <f t="shared" si="2"/>
        <v>48.484848484848484</v>
      </c>
      <c r="AD10" s="8" t="str">
        <f t="shared" si="9"/>
        <v>Perlu Pengendalian</v>
      </c>
      <c r="AE10" s="178">
        <v>46153</v>
      </c>
      <c r="AF10" s="143">
        <v>334</v>
      </c>
      <c r="AG10" s="143">
        <v>123</v>
      </c>
      <c r="AH10" s="9">
        <f t="shared" si="10"/>
        <v>36.82634730538922</v>
      </c>
      <c r="AI10" s="8" t="str">
        <f t="shared" si="11"/>
        <v>Perlu Pengendalian</v>
      </c>
    </row>
    <row r="11" spans="1:35" x14ac:dyDescent="0.2">
      <c r="A11" s="8" t="s">
        <v>1273</v>
      </c>
      <c r="B11" s="8" t="s">
        <v>14</v>
      </c>
      <c r="C11" s="8" t="s">
        <v>14</v>
      </c>
      <c r="D11" s="8" t="s">
        <v>1282</v>
      </c>
      <c r="E11" s="9">
        <v>25.51</v>
      </c>
      <c r="F11" s="8" t="s">
        <v>1740</v>
      </c>
      <c r="G11" s="10">
        <v>3450</v>
      </c>
      <c r="H11" s="132">
        <v>46149</v>
      </c>
      <c r="I11" s="143">
        <f t="array" ref="I11">INDEX([46]perbandingan!$H$24:$H$231,MATCH(1,([46]perbandingan!$E$24:$E$231=$D11)*([46]perbandingan!$E$24:$E$231=$D11),0))</f>
        <v>345</v>
      </c>
      <c r="J11" s="9">
        <f t="array" ref="J11">IFERROR(I11/G11*100,0)</f>
        <v>10</v>
      </c>
      <c r="K11" s="143">
        <f t="array" ref="K11">INDEX([46]perbandingan!$L$24:$L$231,MATCH(1,([46]perbandingan!$E$24:$E$231=$D11)*([46]perbandingan!$E$24:$E$231=$D11),0))</f>
        <v>68</v>
      </c>
      <c r="L11" s="9">
        <f t="shared" si="0"/>
        <v>19.710144927536234</v>
      </c>
      <c r="M11" s="8" t="str">
        <f t="shared" si="3"/>
        <v>Perlu Pengendalian</v>
      </c>
      <c r="N11" s="148"/>
      <c r="O11" s="143" t="e">
        <f>MAX(#REF!,#REF!)</f>
        <v>#REF!</v>
      </c>
      <c r="P11" s="9" t="e">
        <f t="shared" si="4"/>
        <v>#REF!</v>
      </c>
      <c r="Q11" s="143" t="e">
        <f>MAX(#REF!,#REF!)</f>
        <v>#REF!</v>
      </c>
      <c r="R11" s="9">
        <f t="shared" si="1"/>
        <v>0</v>
      </c>
      <c r="S11" s="8" t="str">
        <f t="shared" si="5"/>
        <v>Belum Sensus</v>
      </c>
      <c r="T11" s="148"/>
      <c r="U11" s="143" t="e">
        <f>MAX(#REF!,#REF!)</f>
        <v>#REF!</v>
      </c>
      <c r="V11" s="143" t="e">
        <f>MAX(#REF!,#REF!)</f>
        <v>#REF!</v>
      </c>
      <c r="W11" s="9">
        <f t="shared" si="6"/>
        <v>0</v>
      </c>
      <c r="X11" s="8" t="str">
        <f t="shared" si="7"/>
        <v>Belum Sensus</v>
      </c>
      <c r="Y11" s="178">
        <v>46153</v>
      </c>
      <c r="Z11" s="143">
        <v>98</v>
      </c>
      <c r="AA11" s="9">
        <f t="shared" si="8"/>
        <v>2.8405797101449277</v>
      </c>
      <c r="AB11" s="143">
        <v>26</v>
      </c>
      <c r="AC11" s="9">
        <f t="shared" si="2"/>
        <v>26.530612244897959</v>
      </c>
      <c r="AD11" s="8" t="str">
        <f t="shared" si="9"/>
        <v>Perlu Pengendalian</v>
      </c>
      <c r="AE11" s="178"/>
      <c r="AF11" s="143">
        <v>0</v>
      </c>
      <c r="AG11" s="143">
        <v>0</v>
      </c>
      <c r="AH11" s="9">
        <f t="shared" si="10"/>
        <v>0</v>
      </c>
      <c r="AI11" s="8" t="str">
        <f t="shared" si="11"/>
        <v>Belum Sensus</v>
      </c>
    </row>
    <row r="12" spans="1:35" x14ac:dyDescent="0.2">
      <c r="A12" s="8" t="s">
        <v>1273</v>
      </c>
      <c r="B12" s="8" t="s">
        <v>14</v>
      </c>
      <c r="C12" s="8" t="s">
        <v>14</v>
      </c>
      <c r="D12" s="8" t="s">
        <v>1283</v>
      </c>
      <c r="E12" s="9">
        <v>26.59</v>
      </c>
      <c r="F12" s="8" t="s">
        <v>1740</v>
      </c>
      <c r="G12" s="10">
        <v>3529</v>
      </c>
      <c r="H12" s="132">
        <v>46149</v>
      </c>
      <c r="I12" s="143">
        <f t="array" ref="I12">INDEX([46]perbandingan!$H$24:$H$231,MATCH(1,([46]perbandingan!$E$24:$E$231=$D12)*([46]perbandingan!$E$24:$E$231=$D12),0))</f>
        <v>352.90000000000003</v>
      </c>
      <c r="J12" s="9">
        <f t="array" ref="J12">IFERROR(I12/G12*100,0)</f>
        <v>10</v>
      </c>
      <c r="K12" s="143">
        <f t="array" ref="K12">INDEX([46]perbandingan!$L$24:$L$231,MATCH(1,([46]perbandingan!$E$24:$E$231=$D12)*([46]perbandingan!$E$24:$E$231=$D12),0))</f>
        <v>52</v>
      </c>
      <c r="L12" s="9">
        <f t="shared" si="0"/>
        <v>14.735052422782658</v>
      </c>
      <c r="M12" s="8" t="str">
        <f t="shared" si="3"/>
        <v>Perlu Pengendalian</v>
      </c>
      <c r="N12" s="148"/>
      <c r="O12" s="143" t="e">
        <f>MAX(#REF!,#REF!)</f>
        <v>#REF!</v>
      </c>
      <c r="P12" s="9" t="e">
        <f t="shared" si="4"/>
        <v>#REF!</v>
      </c>
      <c r="Q12" s="143" t="e">
        <f>MAX(#REF!,#REF!)</f>
        <v>#REF!</v>
      </c>
      <c r="R12" s="9">
        <f t="shared" si="1"/>
        <v>0</v>
      </c>
      <c r="S12" s="8" t="str">
        <f t="shared" si="5"/>
        <v>Belum Sensus</v>
      </c>
      <c r="T12" s="148"/>
      <c r="U12" s="143" t="e">
        <f>MAX(#REF!,#REF!)</f>
        <v>#REF!</v>
      </c>
      <c r="V12" s="143" t="e">
        <f>MAX(#REF!,#REF!)</f>
        <v>#REF!</v>
      </c>
      <c r="W12" s="9">
        <f t="shared" si="6"/>
        <v>0</v>
      </c>
      <c r="X12" s="8" t="str">
        <f t="shared" si="7"/>
        <v>Belum Sensus</v>
      </c>
      <c r="Y12" s="178">
        <v>46153</v>
      </c>
      <c r="Z12" s="143">
        <v>93</v>
      </c>
      <c r="AA12" s="9">
        <f t="shared" si="8"/>
        <v>2.6353074525361295</v>
      </c>
      <c r="AB12" s="143">
        <v>20</v>
      </c>
      <c r="AC12" s="9">
        <f t="shared" si="2"/>
        <v>21.50537634408602</v>
      </c>
      <c r="AD12" s="8" t="str">
        <f t="shared" si="9"/>
        <v>Perlu Pengendalian</v>
      </c>
      <c r="AE12" s="178">
        <v>46153</v>
      </c>
      <c r="AF12" s="143">
        <v>344</v>
      </c>
      <c r="AG12" s="143">
        <v>95</v>
      </c>
      <c r="AH12" s="9">
        <f t="shared" si="10"/>
        <v>27.61627906976744</v>
      </c>
      <c r="AI12" s="8" t="str">
        <f t="shared" si="11"/>
        <v>Perlu Pengendalian</v>
      </c>
    </row>
    <row r="13" spans="1:35" x14ac:dyDescent="0.2">
      <c r="A13" s="8" t="s">
        <v>1273</v>
      </c>
      <c r="B13" s="8" t="s">
        <v>14</v>
      </c>
      <c r="C13" s="8" t="s">
        <v>14</v>
      </c>
      <c r="D13" s="8" t="s">
        <v>1284</v>
      </c>
      <c r="E13" s="9">
        <v>17.739999999999998</v>
      </c>
      <c r="F13" s="8" t="s">
        <v>1740</v>
      </c>
      <c r="G13" s="10">
        <v>2471</v>
      </c>
      <c r="H13" s="132">
        <v>46149</v>
      </c>
      <c r="I13" s="143">
        <f t="array" ref="I13">INDEX([46]perbandingan!$H$24:$H$231,MATCH(1,([46]perbandingan!$E$24:$E$231=$D13)*([46]perbandingan!$E$24:$E$231=$D13),0))</f>
        <v>247.10000000000002</v>
      </c>
      <c r="J13" s="9">
        <f t="array" ref="J13">IFERROR(I13/G13*100,0)</f>
        <v>10</v>
      </c>
      <c r="K13" s="143">
        <f t="array" ref="K13">INDEX([46]perbandingan!$L$24:$L$231,MATCH(1,([46]perbandingan!$E$24:$E$231=$D13)*([46]perbandingan!$E$24:$E$231=$D13),0))</f>
        <v>32</v>
      </c>
      <c r="L13" s="9">
        <f t="shared" si="0"/>
        <v>12.950222581950626</v>
      </c>
      <c r="M13" s="8" t="str">
        <f t="shared" si="3"/>
        <v>Perlu Pengendalian</v>
      </c>
      <c r="N13" s="148"/>
      <c r="O13" s="143" t="e">
        <f>MAX(#REF!,#REF!)</f>
        <v>#REF!</v>
      </c>
      <c r="P13" s="9" t="e">
        <f t="shared" si="4"/>
        <v>#REF!</v>
      </c>
      <c r="Q13" s="143" t="e">
        <f>MAX(#REF!,#REF!)</f>
        <v>#REF!</v>
      </c>
      <c r="R13" s="9">
        <f t="shared" si="1"/>
        <v>0</v>
      </c>
      <c r="S13" s="8" t="str">
        <f t="shared" si="5"/>
        <v>Belum Sensus</v>
      </c>
      <c r="T13" s="148"/>
      <c r="U13" s="143" t="e">
        <f>MAX(#REF!,#REF!)</f>
        <v>#REF!</v>
      </c>
      <c r="V13" s="143" t="e">
        <f>MAX(#REF!,#REF!)</f>
        <v>#REF!</v>
      </c>
      <c r="W13" s="9">
        <f t="shared" si="6"/>
        <v>0</v>
      </c>
      <c r="X13" s="8" t="str">
        <f t="shared" si="7"/>
        <v>Belum Sensus</v>
      </c>
      <c r="Y13" s="178">
        <v>46153</v>
      </c>
      <c r="Z13" s="143">
        <v>30</v>
      </c>
      <c r="AA13" s="9">
        <f t="shared" si="8"/>
        <v>1.2140833670578712</v>
      </c>
      <c r="AB13" s="143">
        <v>17</v>
      </c>
      <c r="AC13" s="9">
        <f t="shared" si="2"/>
        <v>56.666666666666664</v>
      </c>
      <c r="AD13" s="8" t="str">
        <f t="shared" si="9"/>
        <v>Perlu Pengendalian</v>
      </c>
      <c r="AE13" s="178">
        <v>46153</v>
      </c>
      <c r="AF13" s="143">
        <v>326</v>
      </c>
      <c r="AG13" s="143">
        <v>82</v>
      </c>
      <c r="AH13" s="9">
        <f t="shared" si="10"/>
        <v>25.153374233128833</v>
      </c>
      <c r="AI13" s="8" t="str">
        <f t="shared" si="11"/>
        <v>Perlu Pengendalian</v>
      </c>
    </row>
    <row r="14" spans="1:35" x14ac:dyDescent="0.2">
      <c r="A14" s="8" t="s">
        <v>1273</v>
      </c>
      <c r="B14" s="8" t="s">
        <v>14</v>
      </c>
      <c r="C14" s="8" t="s">
        <v>14</v>
      </c>
      <c r="D14" s="8" t="s">
        <v>1285</v>
      </c>
      <c r="E14" s="9">
        <v>19.740000000000002</v>
      </c>
      <c r="F14" s="8" t="s">
        <v>1740</v>
      </c>
      <c r="G14" s="10">
        <v>2684</v>
      </c>
      <c r="H14" s="132">
        <v>46149</v>
      </c>
      <c r="I14" s="143">
        <f t="array" ref="I14">INDEX([46]perbandingan!$H$24:$H$231,MATCH(1,([46]perbandingan!$E$24:$E$231=$D14)*([46]perbandingan!$E$24:$E$231=$D14),0))</f>
        <v>268.40000000000003</v>
      </c>
      <c r="J14" s="9">
        <f t="array" ref="J14">IFERROR(I14/G14*100,0)</f>
        <v>10.000000000000002</v>
      </c>
      <c r="K14" s="143">
        <f t="array" ref="K14">INDEX([46]perbandingan!$L$24:$L$231,MATCH(1,([46]perbandingan!$E$24:$E$231=$D14)*([46]perbandingan!$E$24:$E$231=$D14),0))</f>
        <v>25</v>
      </c>
      <c r="L14" s="9">
        <f t="shared" si="0"/>
        <v>9.3144560357675097</v>
      </c>
      <c r="M14" s="8" t="str">
        <f t="shared" si="3"/>
        <v>Perlu Pengendalian</v>
      </c>
      <c r="N14" s="148"/>
      <c r="O14" s="143" t="e">
        <f>MAX(#REF!,#REF!)</f>
        <v>#REF!</v>
      </c>
      <c r="P14" s="9" t="e">
        <f t="shared" si="4"/>
        <v>#REF!</v>
      </c>
      <c r="Q14" s="143" t="e">
        <f>MAX(#REF!,#REF!)</f>
        <v>#REF!</v>
      </c>
      <c r="R14" s="9">
        <f t="shared" si="1"/>
        <v>0</v>
      </c>
      <c r="S14" s="8" t="str">
        <f t="shared" si="5"/>
        <v>Belum Sensus</v>
      </c>
      <c r="T14" s="148"/>
      <c r="U14" s="143" t="e">
        <f>MAX(#REF!,#REF!)</f>
        <v>#REF!</v>
      </c>
      <c r="V14" s="143" t="e">
        <f>MAX(#REF!,#REF!)</f>
        <v>#REF!</v>
      </c>
      <c r="W14" s="9">
        <f t="shared" si="6"/>
        <v>0</v>
      </c>
      <c r="X14" s="8" t="str">
        <f t="shared" si="7"/>
        <v>Belum Sensus</v>
      </c>
      <c r="Y14" s="178">
        <v>46153</v>
      </c>
      <c r="Z14" s="143">
        <v>34</v>
      </c>
      <c r="AA14" s="9">
        <f t="shared" si="8"/>
        <v>1.2667660208643814</v>
      </c>
      <c r="AB14" s="143">
        <v>14</v>
      </c>
      <c r="AC14" s="9">
        <f t="shared" si="2"/>
        <v>41.17647058823529</v>
      </c>
      <c r="AD14" s="8" t="str">
        <f t="shared" si="9"/>
        <v>Perlu Pengendalian</v>
      </c>
      <c r="AE14" s="178"/>
      <c r="AF14" s="143">
        <v>0</v>
      </c>
      <c r="AG14" s="143">
        <v>0</v>
      </c>
      <c r="AH14" s="9">
        <f t="shared" si="10"/>
        <v>0</v>
      </c>
      <c r="AI14" s="8" t="str">
        <f t="shared" si="11"/>
        <v>Belum Sensus</v>
      </c>
    </row>
    <row r="15" spans="1:35" x14ac:dyDescent="0.2">
      <c r="A15" s="8" t="s">
        <v>1273</v>
      </c>
      <c r="B15" s="8" t="s">
        <v>14</v>
      </c>
      <c r="C15" s="8" t="s">
        <v>14</v>
      </c>
      <c r="D15" s="8" t="s">
        <v>1037</v>
      </c>
      <c r="E15" s="9">
        <v>28.56</v>
      </c>
      <c r="F15" s="8" t="s">
        <v>1740</v>
      </c>
      <c r="G15" s="10">
        <v>3691</v>
      </c>
      <c r="H15" s="132">
        <v>46153</v>
      </c>
      <c r="I15" s="143">
        <f t="array" ref="I15">INDEX([46]perbandingan!$H$24:$H$231,MATCH(1,([46]perbandingan!$E$24:$E$231=$D15)*([46]perbandingan!$E$24:$E$231=$D15),0))</f>
        <v>369.1</v>
      </c>
      <c r="J15" s="9">
        <f t="array" ref="J15">IFERROR(I15/G15*100,0)</f>
        <v>10</v>
      </c>
      <c r="K15" s="143">
        <f t="array" ref="K15">INDEX([46]perbandingan!$L$24:$L$231,MATCH(1,([46]perbandingan!$E$24:$E$231=$D15)*([46]perbandingan!$E$24:$E$231=$D15),0))</f>
        <v>57</v>
      </c>
      <c r="L15" s="9">
        <f t="shared" si="0"/>
        <v>15.442969384990516</v>
      </c>
      <c r="M15" s="8" t="str">
        <f t="shared" si="3"/>
        <v>Perlu Pengendalian</v>
      </c>
      <c r="N15" s="148"/>
      <c r="O15" s="143" t="e">
        <f>MAX(#REF!,#REF!)</f>
        <v>#REF!</v>
      </c>
      <c r="P15" s="9" t="e">
        <f t="shared" si="4"/>
        <v>#REF!</v>
      </c>
      <c r="Q15" s="143" t="e">
        <f>MAX(#REF!,#REF!)</f>
        <v>#REF!</v>
      </c>
      <c r="R15" s="9">
        <f t="shared" si="1"/>
        <v>0</v>
      </c>
      <c r="S15" s="8" t="str">
        <f t="shared" si="5"/>
        <v>Belum Sensus</v>
      </c>
      <c r="T15" s="148"/>
      <c r="U15" s="143" t="e">
        <f>MAX(#REF!,#REF!)</f>
        <v>#REF!</v>
      </c>
      <c r="V15" s="143" t="e">
        <f>MAX(#REF!,#REF!)</f>
        <v>#REF!</v>
      </c>
      <c r="W15" s="9">
        <f t="shared" si="6"/>
        <v>0</v>
      </c>
      <c r="X15" s="8" t="str">
        <f t="shared" si="7"/>
        <v>Belum Sensus</v>
      </c>
      <c r="Y15" s="178"/>
      <c r="Z15" s="143"/>
      <c r="AA15" s="9">
        <f t="shared" si="8"/>
        <v>0</v>
      </c>
      <c r="AB15" s="143"/>
      <c r="AC15" s="9">
        <f t="shared" si="2"/>
        <v>0</v>
      </c>
      <c r="AD15" s="8" t="str">
        <f t="shared" si="9"/>
        <v>Belum Sensus</v>
      </c>
      <c r="AE15" s="178">
        <v>46153</v>
      </c>
      <c r="AF15" s="143">
        <v>140</v>
      </c>
      <c r="AG15" s="143">
        <v>33</v>
      </c>
      <c r="AH15" s="9">
        <f t="shared" si="10"/>
        <v>23.571428571428569</v>
      </c>
      <c r="AI15" s="8" t="str">
        <f t="shared" si="11"/>
        <v>Perlu Pengendalian</v>
      </c>
    </row>
    <row r="16" spans="1:35" x14ac:dyDescent="0.2">
      <c r="A16" s="8" t="s">
        <v>1273</v>
      </c>
      <c r="B16" s="8" t="s">
        <v>14</v>
      </c>
      <c r="C16" s="8" t="s">
        <v>14</v>
      </c>
      <c r="D16" s="8" t="s">
        <v>1035</v>
      </c>
      <c r="E16" s="9">
        <v>25.160000000000004</v>
      </c>
      <c r="F16" s="8" t="s">
        <v>1740</v>
      </c>
      <c r="G16" s="10">
        <v>3259</v>
      </c>
      <c r="H16" s="132">
        <v>46153</v>
      </c>
      <c r="I16" s="143">
        <f t="array" ref="I16">INDEX([46]perbandingan!$H$24:$H$231,MATCH(1,([46]perbandingan!$E$24:$E$231=$D16)*([46]perbandingan!$E$24:$E$231=$D16),0))</f>
        <v>325.90000000000003</v>
      </c>
      <c r="J16" s="9">
        <f t="array" ref="J16">IFERROR(I16/G16*100,0)</f>
        <v>10</v>
      </c>
      <c r="K16" s="143">
        <f t="array" ref="K16">INDEX([46]perbandingan!$L$24:$L$231,MATCH(1,([46]perbandingan!$E$24:$E$231=$D16)*([46]perbandingan!$E$24:$E$231=$D16),0))</f>
        <v>51</v>
      </c>
      <c r="L16" s="9">
        <f t="shared" si="0"/>
        <v>15.648972077324331</v>
      </c>
      <c r="M16" s="8" t="str">
        <f t="shared" si="3"/>
        <v>Perlu Pengendalian</v>
      </c>
      <c r="N16" s="148"/>
      <c r="O16" s="143" t="e">
        <f>MAX(#REF!,#REF!)</f>
        <v>#REF!</v>
      </c>
      <c r="P16" s="9" t="e">
        <f t="shared" si="4"/>
        <v>#REF!</v>
      </c>
      <c r="Q16" s="143" t="e">
        <f>MAX(#REF!,#REF!)</f>
        <v>#REF!</v>
      </c>
      <c r="R16" s="9">
        <f t="shared" si="1"/>
        <v>0</v>
      </c>
      <c r="S16" s="8" t="str">
        <f t="shared" si="5"/>
        <v>Belum Sensus</v>
      </c>
      <c r="T16" s="148"/>
      <c r="U16" s="143" t="e">
        <f>MAX(#REF!,#REF!)</f>
        <v>#REF!</v>
      </c>
      <c r="V16" s="143" t="e">
        <f>MAX(#REF!,#REF!)</f>
        <v>#REF!</v>
      </c>
      <c r="W16" s="9">
        <f t="shared" si="6"/>
        <v>0</v>
      </c>
      <c r="X16" s="8" t="str">
        <f t="shared" si="7"/>
        <v>Belum Sensus</v>
      </c>
      <c r="Y16" s="178"/>
      <c r="Z16" s="143"/>
      <c r="AA16" s="9">
        <f t="shared" si="8"/>
        <v>0</v>
      </c>
      <c r="AB16" s="143"/>
      <c r="AC16" s="9">
        <f t="shared" si="2"/>
        <v>0</v>
      </c>
      <c r="AD16" s="8" t="str">
        <f t="shared" si="9"/>
        <v>Belum Sensus</v>
      </c>
      <c r="AE16" s="178"/>
      <c r="AF16" s="143">
        <v>0</v>
      </c>
      <c r="AG16" s="143">
        <v>0</v>
      </c>
      <c r="AH16" s="9">
        <f t="shared" si="10"/>
        <v>0</v>
      </c>
      <c r="AI16" s="8" t="str">
        <f t="shared" si="11"/>
        <v>Belum Sensus</v>
      </c>
    </row>
    <row r="17" spans="1:35" x14ac:dyDescent="0.2">
      <c r="A17" s="8" t="s">
        <v>1273</v>
      </c>
      <c r="B17" s="8" t="s">
        <v>14</v>
      </c>
      <c r="C17" s="8" t="s">
        <v>14</v>
      </c>
      <c r="D17" s="8" t="s">
        <v>1286</v>
      </c>
      <c r="E17" s="9">
        <v>26.9</v>
      </c>
      <c r="F17" s="8" t="s">
        <v>1740</v>
      </c>
      <c r="G17" s="10">
        <v>3718</v>
      </c>
      <c r="H17" s="132">
        <v>46153</v>
      </c>
      <c r="I17" s="143">
        <f t="array" ref="I17">INDEX([46]perbandingan!$H$24:$H$231,MATCH(1,([46]perbandingan!$E$24:$E$231=$D17)*([46]perbandingan!$E$24:$E$231=$D17),0))</f>
        <v>371.8</v>
      </c>
      <c r="J17" s="9">
        <f t="array" ref="J17">IFERROR(I17/G17*100,0)</f>
        <v>10</v>
      </c>
      <c r="K17" s="143">
        <f t="array" ref="K17">INDEX([46]perbandingan!$L$24:$L$231,MATCH(1,([46]perbandingan!$E$24:$E$231=$D17)*([46]perbandingan!$E$24:$E$231=$D17),0))</f>
        <v>45</v>
      </c>
      <c r="L17" s="9">
        <f t="shared" si="0"/>
        <v>12.103281334050564</v>
      </c>
      <c r="M17" s="8" t="str">
        <f t="shared" si="3"/>
        <v>Perlu Pengendalian</v>
      </c>
      <c r="N17" s="148"/>
      <c r="O17" s="143" t="e">
        <f>MAX(#REF!,#REF!)</f>
        <v>#REF!</v>
      </c>
      <c r="P17" s="9" t="e">
        <f t="shared" si="4"/>
        <v>#REF!</v>
      </c>
      <c r="Q17" s="143" t="e">
        <f>MAX(#REF!,#REF!)</f>
        <v>#REF!</v>
      </c>
      <c r="R17" s="9">
        <f t="shared" si="1"/>
        <v>0</v>
      </c>
      <c r="S17" s="8" t="str">
        <f t="shared" si="5"/>
        <v>Belum Sensus</v>
      </c>
      <c r="T17" s="148"/>
      <c r="U17" s="143" t="e">
        <f>MAX(#REF!,#REF!)</f>
        <v>#REF!</v>
      </c>
      <c r="V17" s="143" t="e">
        <f>MAX(#REF!,#REF!)</f>
        <v>#REF!</v>
      </c>
      <c r="W17" s="9">
        <f t="shared" si="6"/>
        <v>0</v>
      </c>
      <c r="X17" s="8" t="str">
        <f t="shared" si="7"/>
        <v>Belum Sensus</v>
      </c>
      <c r="Y17" s="178"/>
      <c r="Z17" s="143"/>
      <c r="AA17" s="9">
        <f t="shared" si="8"/>
        <v>0</v>
      </c>
      <c r="AB17" s="143"/>
      <c r="AC17" s="9">
        <f t="shared" si="2"/>
        <v>0</v>
      </c>
      <c r="AD17" s="8" t="str">
        <f t="shared" si="9"/>
        <v>Belum Sensus</v>
      </c>
      <c r="AE17" s="178">
        <v>46153</v>
      </c>
      <c r="AF17" s="143">
        <v>182</v>
      </c>
      <c r="AG17" s="143">
        <v>22</v>
      </c>
      <c r="AH17" s="9">
        <f t="shared" si="10"/>
        <v>12.087912087912088</v>
      </c>
      <c r="AI17" s="8" t="str">
        <f t="shared" si="11"/>
        <v>Perlu Pengendalian</v>
      </c>
    </row>
    <row r="18" spans="1:35" x14ac:dyDescent="0.2">
      <c r="A18" s="8" t="s">
        <v>1273</v>
      </c>
      <c r="B18" s="8" t="s">
        <v>14</v>
      </c>
      <c r="C18" s="8" t="s">
        <v>14</v>
      </c>
      <c r="D18" s="8" t="s">
        <v>1287</v>
      </c>
      <c r="E18" s="9">
        <v>27.14</v>
      </c>
      <c r="F18" s="8" t="s">
        <v>1740</v>
      </c>
      <c r="G18" s="10">
        <v>3570</v>
      </c>
      <c r="H18" s="132">
        <v>46149</v>
      </c>
      <c r="I18" s="143">
        <f t="array" ref="I18">INDEX([46]perbandingan!$H$24:$H$231,MATCH(1,([46]perbandingan!$E$24:$E$231=$D18)*([46]perbandingan!$E$24:$E$231=$D18),0))</f>
        <v>357</v>
      </c>
      <c r="J18" s="9">
        <f t="array" ref="J18">IFERROR(I18/G18*100,0)</f>
        <v>10</v>
      </c>
      <c r="K18" s="143">
        <f t="array" ref="K18">INDEX([46]perbandingan!$L$24:$L$231,MATCH(1,([46]perbandingan!$E$24:$E$231=$D18)*([46]perbandingan!$E$24:$E$231=$D18),0))</f>
        <v>56</v>
      </c>
      <c r="L18" s="9">
        <f t="shared" si="0"/>
        <v>15.686274509803921</v>
      </c>
      <c r="M18" s="8" t="str">
        <f t="shared" si="3"/>
        <v>Perlu Pengendalian</v>
      </c>
      <c r="N18" s="148"/>
      <c r="O18" s="143" t="e">
        <f>MAX(#REF!,#REF!)</f>
        <v>#REF!</v>
      </c>
      <c r="P18" s="9" t="e">
        <f t="shared" si="4"/>
        <v>#REF!</v>
      </c>
      <c r="Q18" s="143" t="e">
        <f>MAX(#REF!,#REF!)</f>
        <v>#REF!</v>
      </c>
      <c r="R18" s="9">
        <f t="shared" si="1"/>
        <v>0</v>
      </c>
      <c r="S18" s="8" t="str">
        <f t="shared" si="5"/>
        <v>Belum Sensus</v>
      </c>
      <c r="T18" s="148"/>
      <c r="U18" s="143" t="e">
        <f>MAX(#REF!,#REF!)</f>
        <v>#REF!</v>
      </c>
      <c r="V18" s="143" t="e">
        <f>MAX(#REF!,#REF!)</f>
        <v>#REF!</v>
      </c>
      <c r="W18" s="9">
        <f t="shared" si="6"/>
        <v>0</v>
      </c>
      <c r="X18" s="8" t="str">
        <f t="shared" si="7"/>
        <v>Belum Sensus</v>
      </c>
      <c r="Y18" s="178"/>
      <c r="Z18" s="143"/>
      <c r="AA18" s="9">
        <f t="shared" si="8"/>
        <v>0</v>
      </c>
      <c r="AB18" s="143"/>
      <c r="AC18" s="9">
        <f t="shared" si="2"/>
        <v>0</v>
      </c>
      <c r="AD18" s="8" t="str">
        <f t="shared" si="9"/>
        <v>Belum Sensus</v>
      </c>
      <c r="AE18" s="178">
        <v>46153</v>
      </c>
      <c r="AF18" s="143">
        <v>196</v>
      </c>
      <c r="AG18" s="143">
        <v>18</v>
      </c>
      <c r="AH18" s="9">
        <f t="shared" si="10"/>
        <v>9.183673469387756</v>
      </c>
      <c r="AI18" s="8" t="str">
        <f t="shared" si="11"/>
        <v>Perlu Pengendalian</v>
      </c>
    </row>
    <row r="19" spans="1:35" x14ac:dyDescent="0.2">
      <c r="A19" s="8" t="s">
        <v>1273</v>
      </c>
      <c r="B19" s="8" t="s">
        <v>14</v>
      </c>
      <c r="C19" s="8" t="s">
        <v>14</v>
      </c>
      <c r="D19" s="8" t="s">
        <v>1288</v>
      </c>
      <c r="E19" s="9">
        <v>29.49</v>
      </c>
      <c r="F19" s="8" t="s">
        <v>1740</v>
      </c>
      <c r="G19" s="10">
        <v>3840</v>
      </c>
      <c r="H19" s="132">
        <v>46149</v>
      </c>
      <c r="I19" s="143">
        <f t="array" ref="I19">INDEX([46]perbandingan!$H$24:$H$231,MATCH(1,([46]perbandingan!$E$24:$E$231=$D19)*([46]perbandingan!$E$24:$E$231=$D19),0))</f>
        <v>384</v>
      </c>
      <c r="J19" s="9">
        <f t="array" ref="J19">IFERROR(I19/G19*100,0)</f>
        <v>10</v>
      </c>
      <c r="K19" s="143">
        <f t="array" ref="K19">INDEX([46]perbandingan!$L$24:$L$231,MATCH(1,([46]perbandingan!$E$24:$E$231=$D19)*([46]perbandingan!$E$24:$E$231=$D19),0))</f>
        <v>38</v>
      </c>
      <c r="L19" s="9">
        <f t="shared" si="0"/>
        <v>9.8958333333333321</v>
      </c>
      <c r="M19" s="8" t="str">
        <f t="shared" si="3"/>
        <v>Perlu Pengendalian</v>
      </c>
      <c r="N19" s="148"/>
      <c r="O19" s="143" t="e">
        <f>MAX(#REF!,#REF!)</f>
        <v>#REF!</v>
      </c>
      <c r="P19" s="9" t="e">
        <f t="shared" si="4"/>
        <v>#REF!</v>
      </c>
      <c r="Q19" s="143" t="e">
        <f>MAX(#REF!,#REF!)</f>
        <v>#REF!</v>
      </c>
      <c r="R19" s="9">
        <f t="shared" si="1"/>
        <v>0</v>
      </c>
      <c r="S19" s="8" t="str">
        <f t="shared" si="5"/>
        <v>Belum Sensus</v>
      </c>
      <c r="T19" s="148"/>
      <c r="U19" s="143" t="e">
        <f>MAX(#REF!,#REF!)</f>
        <v>#REF!</v>
      </c>
      <c r="V19" s="143" t="e">
        <f>MAX(#REF!,#REF!)</f>
        <v>#REF!</v>
      </c>
      <c r="W19" s="9">
        <f t="shared" si="6"/>
        <v>0</v>
      </c>
      <c r="X19" s="8" t="str">
        <f t="shared" si="7"/>
        <v>Belum Sensus</v>
      </c>
      <c r="Y19" s="178">
        <v>46153</v>
      </c>
      <c r="Z19" s="143">
        <v>62</v>
      </c>
      <c r="AA19" s="9">
        <f t="shared" si="8"/>
        <v>1.6145833333333335</v>
      </c>
      <c r="AB19" s="143">
        <v>26</v>
      </c>
      <c r="AC19" s="9">
        <f t="shared" si="2"/>
        <v>41.935483870967744</v>
      </c>
      <c r="AD19" s="8" t="str">
        <f t="shared" si="9"/>
        <v>Perlu Pengendalian</v>
      </c>
      <c r="AE19" s="178"/>
      <c r="AF19" s="143">
        <v>0</v>
      </c>
      <c r="AG19" s="143">
        <v>0</v>
      </c>
      <c r="AH19" s="9">
        <f t="shared" si="10"/>
        <v>0</v>
      </c>
      <c r="AI19" s="8" t="str">
        <f t="shared" si="11"/>
        <v>Belum Sensus</v>
      </c>
    </row>
    <row r="20" spans="1:35" x14ac:dyDescent="0.2">
      <c r="A20" s="8" t="s">
        <v>1273</v>
      </c>
      <c r="B20" s="8" t="s">
        <v>14</v>
      </c>
      <c r="C20" s="8" t="s">
        <v>14</v>
      </c>
      <c r="D20" s="8" t="s">
        <v>1289</v>
      </c>
      <c r="E20" s="9">
        <v>29.32</v>
      </c>
      <c r="F20" s="8" t="s">
        <v>1740</v>
      </c>
      <c r="G20" s="10">
        <v>4397</v>
      </c>
      <c r="H20" s="132">
        <v>46149</v>
      </c>
      <c r="I20" s="143">
        <f t="array" ref="I20">INDEX([46]perbandingan!$H$24:$H$231,MATCH(1,([46]perbandingan!$E$24:$E$231=$D20)*([46]perbandingan!$E$24:$E$231=$D20),0))</f>
        <v>439.70000000000005</v>
      </c>
      <c r="J20" s="9">
        <f t="array" ref="J20">IFERROR(I20/G20*100,0)</f>
        <v>10</v>
      </c>
      <c r="K20" s="143">
        <f t="array" ref="K20">INDEX([46]perbandingan!$L$24:$L$231,MATCH(1,([46]perbandingan!$E$24:$E$231=$D20)*([46]perbandingan!$E$24:$E$231=$D20),0))</f>
        <v>77</v>
      </c>
      <c r="L20" s="9">
        <f t="shared" si="0"/>
        <v>17.511939959062996</v>
      </c>
      <c r="M20" s="8" t="str">
        <f t="shared" si="3"/>
        <v>Perlu Pengendalian</v>
      </c>
      <c r="N20" s="148"/>
      <c r="O20" s="143" t="e">
        <f>MAX(#REF!,#REF!)</f>
        <v>#REF!</v>
      </c>
      <c r="P20" s="9" t="e">
        <f t="shared" si="4"/>
        <v>#REF!</v>
      </c>
      <c r="Q20" s="143" t="e">
        <f>MAX(#REF!,#REF!)</f>
        <v>#REF!</v>
      </c>
      <c r="R20" s="9">
        <f t="shared" si="1"/>
        <v>0</v>
      </c>
      <c r="S20" s="8" t="str">
        <f t="shared" si="5"/>
        <v>Belum Sensus</v>
      </c>
      <c r="T20" s="148"/>
      <c r="U20" s="143" t="e">
        <f>MAX(#REF!,#REF!)</f>
        <v>#REF!</v>
      </c>
      <c r="V20" s="143" t="e">
        <f>MAX(#REF!,#REF!)</f>
        <v>#REF!</v>
      </c>
      <c r="W20" s="9">
        <f t="shared" si="6"/>
        <v>0</v>
      </c>
      <c r="X20" s="8" t="str">
        <f t="shared" si="7"/>
        <v>Belum Sensus</v>
      </c>
      <c r="Y20" s="178">
        <v>46153</v>
      </c>
      <c r="Z20" s="143">
        <v>62</v>
      </c>
      <c r="AA20" s="9">
        <f t="shared" si="8"/>
        <v>1.4100523083920855</v>
      </c>
      <c r="AB20" s="143">
        <v>24</v>
      </c>
      <c r="AC20" s="9">
        <f t="shared" si="2"/>
        <v>38.70967741935484</v>
      </c>
      <c r="AD20" s="8" t="str">
        <f t="shared" si="9"/>
        <v>Perlu Pengendalian</v>
      </c>
      <c r="AE20" s="178"/>
      <c r="AF20" s="143">
        <v>0</v>
      </c>
      <c r="AG20" s="143">
        <v>0</v>
      </c>
      <c r="AH20" s="9">
        <f t="shared" si="10"/>
        <v>0</v>
      </c>
      <c r="AI20" s="8" t="str">
        <f t="shared" si="11"/>
        <v>Belum Sensus</v>
      </c>
    </row>
    <row r="21" spans="1:35" x14ac:dyDescent="0.2">
      <c r="A21" s="8" t="s">
        <v>1273</v>
      </c>
      <c r="B21" s="8" t="s">
        <v>14</v>
      </c>
      <c r="C21" s="8" t="s">
        <v>14</v>
      </c>
      <c r="D21" s="8" t="s">
        <v>1290</v>
      </c>
      <c r="E21" s="9">
        <v>29.44</v>
      </c>
      <c r="F21" s="8" t="s">
        <v>1740</v>
      </c>
      <c r="G21" s="10">
        <v>3828</v>
      </c>
      <c r="H21" s="132">
        <v>46149</v>
      </c>
      <c r="I21" s="143">
        <f t="array" ref="I21">INDEX([46]perbandingan!$H$24:$H$231,MATCH(1,([46]perbandingan!$E$24:$E$231=$D21)*([46]perbandingan!$E$24:$E$231=$D21),0))</f>
        <v>382.8</v>
      </c>
      <c r="J21" s="9">
        <f t="array" ref="J21">IFERROR(I21/G21*100,0)</f>
        <v>10</v>
      </c>
      <c r="K21" s="143">
        <f t="array" ref="K21">INDEX([46]perbandingan!$L$24:$L$231,MATCH(1,([46]perbandingan!$E$24:$E$231=$D21)*([46]perbandingan!$E$24:$E$231=$D21),0))</f>
        <v>92</v>
      </c>
      <c r="L21" s="9">
        <f t="shared" si="0"/>
        <v>24.033437826541274</v>
      </c>
      <c r="M21" s="8" t="str">
        <f t="shared" si="3"/>
        <v>Perlu Pengendalian</v>
      </c>
      <c r="N21" s="148"/>
      <c r="O21" s="143" t="e">
        <f>MAX(#REF!,#REF!)</f>
        <v>#REF!</v>
      </c>
      <c r="P21" s="9" t="e">
        <f t="shared" si="4"/>
        <v>#REF!</v>
      </c>
      <c r="Q21" s="143" t="e">
        <f>MAX(#REF!,#REF!)</f>
        <v>#REF!</v>
      </c>
      <c r="R21" s="9">
        <f t="shared" si="1"/>
        <v>0</v>
      </c>
      <c r="S21" s="8" t="str">
        <f t="shared" si="5"/>
        <v>Belum Sensus</v>
      </c>
      <c r="T21" s="148"/>
      <c r="U21" s="143" t="e">
        <f>MAX(#REF!,#REF!)</f>
        <v>#REF!</v>
      </c>
      <c r="V21" s="143" t="e">
        <f>MAX(#REF!,#REF!)</f>
        <v>#REF!</v>
      </c>
      <c r="W21" s="9">
        <f t="shared" si="6"/>
        <v>0</v>
      </c>
      <c r="X21" s="8" t="str">
        <f t="shared" si="7"/>
        <v>Belum Sensus</v>
      </c>
      <c r="Y21" s="178">
        <v>46153</v>
      </c>
      <c r="Z21" s="143">
        <v>35</v>
      </c>
      <c r="AA21" s="9">
        <f t="shared" si="8"/>
        <v>0.9143155694879832</v>
      </c>
      <c r="AB21" s="143">
        <v>19</v>
      </c>
      <c r="AC21" s="9">
        <f t="shared" si="2"/>
        <v>54.285714285714285</v>
      </c>
      <c r="AD21" s="8" t="str">
        <f t="shared" si="9"/>
        <v>Perlu Pengendalian</v>
      </c>
      <c r="AE21" s="178">
        <v>46153</v>
      </c>
      <c r="AF21" s="143">
        <v>362</v>
      </c>
      <c r="AG21" s="143">
        <v>22</v>
      </c>
      <c r="AH21" s="9">
        <f t="shared" si="10"/>
        <v>6.0773480662983426</v>
      </c>
      <c r="AI21" s="8" t="str">
        <f t="shared" si="11"/>
        <v>Perlu Pengendalian</v>
      </c>
    </row>
    <row r="22" spans="1:35" x14ac:dyDescent="0.2">
      <c r="A22" s="8" t="s">
        <v>1273</v>
      </c>
      <c r="B22" s="8" t="s">
        <v>14</v>
      </c>
      <c r="C22" s="8" t="s">
        <v>14</v>
      </c>
      <c r="D22" s="8" t="s">
        <v>1291</v>
      </c>
      <c r="E22" s="9">
        <v>30.67</v>
      </c>
      <c r="F22" s="8" t="s">
        <v>1740</v>
      </c>
      <c r="G22" s="10">
        <v>4563</v>
      </c>
      <c r="H22" s="132">
        <v>46149</v>
      </c>
      <c r="I22" s="143">
        <f t="array" ref="I22">INDEX([46]perbandingan!$H$24:$H$231,MATCH(1,([46]perbandingan!$E$24:$E$231=$D22)*([46]perbandingan!$E$24:$E$231=$D22),0))</f>
        <v>456.3</v>
      </c>
      <c r="J22" s="9">
        <f t="array" ref="J22">IFERROR(I22/G22*100,0)</f>
        <v>10</v>
      </c>
      <c r="K22" s="143">
        <f t="array" ref="K22">INDEX([46]perbandingan!$L$24:$L$231,MATCH(1,([46]perbandingan!$E$24:$E$231=$D22)*([46]perbandingan!$E$24:$E$231=$D22),0))</f>
        <v>65</v>
      </c>
      <c r="L22" s="9">
        <f t="shared" si="0"/>
        <v>14.245014245014245</v>
      </c>
      <c r="M22" s="8" t="str">
        <f t="shared" si="3"/>
        <v>Perlu Pengendalian</v>
      </c>
      <c r="N22" s="148"/>
      <c r="O22" s="143" t="e">
        <f>MAX(#REF!,#REF!)</f>
        <v>#REF!</v>
      </c>
      <c r="P22" s="9" t="e">
        <f t="shared" si="4"/>
        <v>#REF!</v>
      </c>
      <c r="Q22" s="143" t="e">
        <f>MAX(#REF!,#REF!)</f>
        <v>#REF!</v>
      </c>
      <c r="R22" s="9">
        <f t="shared" si="1"/>
        <v>0</v>
      </c>
      <c r="S22" s="8" t="str">
        <f t="shared" si="5"/>
        <v>Belum Sensus</v>
      </c>
      <c r="T22" s="148"/>
      <c r="U22" s="143" t="e">
        <f>MAX(#REF!,#REF!)</f>
        <v>#REF!</v>
      </c>
      <c r="V22" s="143" t="e">
        <f>MAX(#REF!,#REF!)</f>
        <v>#REF!</v>
      </c>
      <c r="W22" s="9">
        <f t="shared" si="6"/>
        <v>0</v>
      </c>
      <c r="X22" s="8" t="str">
        <f t="shared" si="7"/>
        <v>Belum Sensus</v>
      </c>
      <c r="Y22" s="178">
        <v>46153</v>
      </c>
      <c r="Z22" s="143">
        <v>33</v>
      </c>
      <c r="AA22" s="9">
        <f t="shared" si="8"/>
        <v>0.72320841551610782</v>
      </c>
      <c r="AB22" s="143">
        <v>16</v>
      </c>
      <c r="AC22" s="9">
        <f t="shared" si="2"/>
        <v>48.484848484848484</v>
      </c>
      <c r="AD22" s="8" t="str">
        <f t="shared" si="9"/>
        <v>Perlu Pengendalian</v>
      </c>
      <c r="AE22" s="178">
        <v>46153</v>
      </c>
      <c r="AF22" s="143">
        <v>303</v>
      </c>
      <c r="AG22" s="143">
        <v>22</v>
      </c>
      <c r="AH22" s="9">
        <f t="shared" si="10"/>
        <v>7.2607260726072615</v>
      </c>
      <c r="AI22" s="8" t="str">
        <f t="shared" si="11"/>
        <v>Perlu Pengendalian</v>
      </c>
    </row>
    <row r="23" spans="1:35" x14ac:dyDescent="0.2">
      <c r="A23" s="8" t="s">
        <v>1273</v>
      </c>
      <c r="B23" s="8" t="s">
        <v>14</v>
      </c>
      <c r="C23" s="8" t="s">
        <v>14</v>
      </c>
      <c r="D23" s="8" t="s">
        <v>1292</v>
      </c>
      <c r="E23" s="9">
        <v>28.65</v>
      </c>
      <c r="F23" s="8" t="s">
        <v>1740</v>
      </c>
      <c r="G23" s="10">
        <v>3888</v>
      </c>
      <c r="H23" s="132">
        <v>46149</v>
      </c>
      <c r="I23" s="143">
        <f t="array" ref="I23">INDEX([46]perbandingan!$H$24:$H$231,MATCH(1,([46]perbandingan!$E$24:$E$231=$D23)*([46]perbandingan!$E$24:$E$231=$D23),0))</f>
        <v>388.8</v>
      </c>
      <c r="J23" s="9">
        <f t="array" ref="J23">IFERROR(I23/G23*100,0)</f>
        <v>10</v>
      </c>
      <c r="K23" s="143">
        <f t="array" ref="K23">INDEX([46]perbandingan!$L$24:$L$231,MATCH(1,([46]perbandingan!$E$24:$E$231=$D23)*([46]perbandingan!$E$24:$E$231=$D23),0))</f>
        <v>71</v>
      </c>
      <c r="L23" s="9">
        <f t="shared" si="0"/>
        <v>18.261316872427983</v>
      </c>
      <c r="M23" s="8" t="str">
        <f t="shared" si="3"/>
        <v>Perlu Pengendalian</v>
      </c>
      <c r="N23" s="148"/>
      <c r="O23" s="143" t="e">
        <f>MAX(#REF!,#REF!)</f>
        <v>#REF!</v>
      </c>
      <c r="P23" s="9" t="e">
        <f t="shared" si="4"/>
        <v>#REF!</v>
      </c>
      <c r="Q23" s="143" t="e">
        <f>MAX(#REF!,#REF!)</f>
        <v>#REF!</v>
      </c>
      <c r="R23" s="9">
        <f t="shared" si="1"/>
        <v>0</v>
      </c>
      <c r="S23" s="8" t="str">
        <f t="shared" si="5"/>
        <v>Belum Sensus</v>
      </c>
      <c r="T23" s="148"/>
      <c r="U23" s="143" t="e">
        <f>MAX(#REF!,#REF!)</f>
        <v>#REF!</v>
      </c>
      <c r="V23" s="143" t="e">
        <f>MAX(#REF!,#REF!)</f>
        <v>#REF!</v>
      </c>
      <c r="W23" s="9">
        <f t="shared" si="6"/>
        <v>0</v>
      </c>
      <c r="X23" s="8" t="str">
        <f t="shared" si="7"/>
        <v>Belum Sensus</v>
      </c>
      <c r="Y23" s="178">
        <v>46153</v>
      </c>
      <c r="Z23" s="143">
        <v>61</v>
      </c>
      <c r="AA23" s="9">
        <f t="shared" si="8"/>
        <v>1.5689300411522635</v>
      </c>
      <c r="AB23" s="143">
        <v>27</v>
      </c>
      <c r="AC23" s="9">
        <f t="shared" si="2"/>
        <v>44.26229508196721</v>
      </c>
      <c r="AD23" s="8" t="str">
        <f t="shared" si="9"/>
        <v>Perlu Pengendalian</v>
      </c>
      <c r="AE23" s="178"/>
      <c r="AF23" s="143">
        <v>0</v>
      </c>
      <c r="AG23" s="143">
        <v>0</v>
      </c>
      <c r="AH23" s="9">
        <f t="shared" si="10"/>
        <v>0</v>
      </c>
      <c r="AI23" s="8" t="str">
        <f t="shared" si="11"/>
        <v>Belum Sensus</v>
      </c>
    </row>
    <row r="24" spans="1:35" x14ac:dyDescent="0.2">
      <c r="A24" s="8" t="s">
        <v>1273</v>
      </c>
      <c r="B24" s="8" t="s">
        <v>14</v>
      </c>
      <c r="C24" s="8" t="s">
        <v>14</v>
      </c>
      <c r="D24" s="8" t="s">
        <v>1293</v>
      </c>
      <c r="E24" s="9">
        <v>30.57</v>
      </c>
      <c r="F24" s="8" t="s">
        <v>1740</v>
      </c>
      <c r="G24" s="10">
        <v>3442</v>
      </c>
      <c r="H24" s="132">
        <v>46149</v>
      </c>
      <c r="I24" s="143">
        <f t="array" ref="I24">INDEX([46]perbandingan!$H$24:$H$231,MATCH(1,([46]perbandingan!$E$24:$E$231=$D24)*([46]perbandingan!$E$24:$E$231=$D24),0))</f>
        <v>344.20000000000005</v>
      </c>
      <c r="J24" s="9">
        <f t="array" ref="J24">IFERROR(I24/G24*100,0)</f>
        <v>10.000000000000002</v>
      </c>
      <c r="K24" s="143">
        <f t="array" ref="K24">INDEX([46]perbandingan!$L$24:$L$231,MATCH(1,([46]perbandingan!$E$24:$E$231=$D24)*([46]perbandingan!$E$24:$E$231=$D24),0))</f>
        <v>38</v>
      </c>
      <c r="L24" s="9">
        <f t="shared" si="0"/>
        <v>11.04009296920395</v>
      </c>
      <c r="M24" s="8" t="str">
        <f t="shared" si="3"/>
        <v>Perlu Pengendalian</v>
      </c>
      <c r="N24" s="148"/>
      <c r="O24" s="143" t="e">
        <f>MAX(#REF!,#REF!)</f>
        <v>#REF!</v>
      </c>
      <c r="P24" s="9" t="e">
        <f t="shared" si="4"/>
        <v>#REF!</v>
      </c>
      <c r="Q24" s="143" t="e">
        <f>MAX(#REF!,#REF!)</f>
        <v>#REF!</v>
      </c>
      <c r="R24" s="9">
        <f t="shared" si="1"/>
        <v>0</v>
      </c>
      <c r="S24" s="8" t="str">
        <f t="shared" si="5"/>
        <v>Belum Sensus</v>
      </c>
      <c r="T24" s="148"/>
      <c r="U24" s="143" t="e">
        <f>MAX(#REF!,#REF!)</f>
        <v>#REF!</v>
      </c>
      <c r="V24" s="143" t="e">
        <f>MAX(#REF!,#REF!)</f>
        <v>#REF!</v>
      </c>
      <c r="W24" s="9">
        <f t="shared" si="6"/>
        <v>0</v>
      </c>
      <c r="X24" s="8" t="str">
        <f t="shared" si="7"/>
        <v>Belum Sensus</v>
      </c>
      <c r="Y24" s="178">
        <v>46153</v>
      </c>
      <c r="Z24" s="143">
        <v>62</v>
      </c>
      <c r="AA24" s="9">
        <f t="shared" si="8"/>
        <v>1.8012783265543291</v>
      </c>
      <c r="AB24" s="143">
        <v>29</v>
      </c>
      <c r="AC24" s="9">
        <f t="shared" si="2"/>
        <v>46.774193548387096</v>
      </c>
      <c r="AD24" s="8" t="str">
        <f t="shared" si="9"/>
        <v>Perlu Pengendalian</v>
      </c>
      <c r="AE24" s="178">
        <v>46153</v>
      </c>
      <c r="AF24" s="143">
        <v>218</v>
      </c>
      <c r="AG24" s="143">
        <v>41</v>
      </c>
      <c r="AH24" s="9">
        <f t="shared" si="10"/>
        <v>18.807339449541285</v>
      </c>
      <c r="AI24" s="8" t="str">
        <f t="shared" si="11"/>
        <v>Perlu Pengendalian</v>
      </c>
    </row>
    <row r="25" spans="1:35" x14ac:dyDescent="0.2">
      <c r="A25" s="8" t="s">
        <v>1273</v>
      </c>
      <c r="B25" s="8" t="s">
        <v>14</v>
      </c>
      <c r="C25" s="8" t="s">
        <v>14</v>
      </c>
      <c r="D25" s="8" t="s">
        <v>1294</v>
      </c>
      <c r="E25" s="9">
        <v>29.58</v>
      </c>
      <c r="F25" s="8" t="s">
        <v>1740</v>
      </c>
      <c r="G25" s="10">
        <v>3900</v>
      </c>
      <c r="H25" s="132">
        <v>46149</v>
      </c>
      <c r="I25" s="143">
        <f t="array" ref="I25">INDEX([46]perbandingan!$H$24:$H$231,MATCH(1,([46]perbandingan!$E$24:$E$231=$D25)*([46]perbandingan!$E$24:$E$231=$D25),0))</f>
        <v>390</v>
      </c>
      <c r="J25" s="9">
        <f t="array" ref="J25">IFERROR(I25/G25*100,0)</f>
        <v>10</v>
      </c>
      <c r="K25" s="143">
        <f t="array" ref="K25">INDEX([46]perbandingan!$L$24:$L$231,MATCH(1,([46]perbandingan!$E$24:$E$231=$D25)*([46]perbandingan!$E$24:$E$231=$D25),0))</f>
        <v>34</v>
      </c>
      <c r="L25" s="9">
        <f t="shared" si="0"/>
        <v>8.7179487179487172</v>
      </c>
      <c r="M25" s="8" t="str">
        <f t="shared" si="3"/>
        <v>Perlu Pengendalian</v>
      </c>
      <c r="N25" s="148"/>
      <c r="O25" s="143" t="e">
        <f>MAX(#REF!,#REF!)</f>
        <v>#REF!</v>
      </c>
      <c r="P25" s="9" t="e">
        <f t="shared" si="4"/>
        <v>#REF!</v>
      </c>
      <c r="Q25" s="143" t="e">
        <f>MAX(#REF!,#REF!)</f>
        <v>#REF!</v>
      </c>
      <c r="R25" s="9">
        <f t="shared" si="1"/>
        <v>0</v>
      </c>
      <c r="S25" s="8" t="str">
        <f t="shared" si="5"/>
        <v>Belum Sensus</v>
      </c>
      <c r="T25" s="148"/>
      <c r="U25" s="143" t="e">
        <f>MAX(#REF!,#REF!)</f>
        <v>#REF!</v>
      </c>
      <c r="V25" s="143" t="e">
        <f>MAX(#REF!,#REF!)</f>
        <v>#REF!</v>
      </c>
      <c r="W25" s="9">
        <f t="shared" si="6"/>
        <v>0</v>
      </c>
      <c r="X25" s="8" t="str">
        <f t="shared" si="7"/>
        <v>Belum Sensus</v>
      </c>
      <c r="Y25" s="178">
        <v>46153</v>
      </c>
      <c r="Z25" s="143">
        <v>32</v>
      </c>
      <c r="AA25" s="9">
        <f t="shared" si="8"/>
        <v>0.82051282051282048</v>
      </c>
      <c r="AB25" s="143">
        <v>17</v>
      </c>
      <c r="AC25" s="9">
        <f t="shared" si="2"/>
        <v>53.125</v>
      </c>
      <c r="AD25" s="8" t="str">
        <f t="shared" si="9"/>
        <v>Perlu Pengendalian</v>
      </c>
      <c r="AE25" s="178">
        <v>46153</v>
      </c>
      <c r="AF25" s="143">
        <v>192</v>
      </c>
      <c r="AG25" s="143">
        <v>32</v>
      </c>
      <c r="AH25" s="9">
        <f t="shared" si="10"/>
        <v>16.666666666666664</v>
      </c>
      <c r="AI25" s="8" t="str">
        <f t="shared" si="11"/>
        <v>Perlu Pengendalian</v>
      </c>
    </row>
    <row r="26" spans="1:35" x14ac:dyDescent="0.2">
      <c r="A26" s="8" t="s">
        <v>1273</v>
      </c>
      <c r="B26" s="8" t="s">
        <v>14</v>
      </c>
      <c r="C26" s="8" t="s">
        <v>14</v>
      </c>
      <c r="D26" s="8" t="s">
        <v>1041</v>
      </c>
      <c r="E26" s="9">
        <v>39.21</v>
      </c>
      <c r="F26" s="8" t="s">
        <v>1740</v>
      </c>
      <c r="G26" s="10">
        <v>5117</v>
      </c>
      <c r="H26" s="132">
        <v>46153</v>
      </c>
      <c r="I26" s="143">
        <f t="array" ref="I26">INDEX([46]perbandingan!$H$24:$H$231,MATCH(1,([46]perbandingan!$E$24:$E$231=$D26)*([46]perbandingan!$E$24:$E$231=$D26),0))</f>
        <v>511.70000000000005</v>
      </c>
      <c r="J26" s="9">
        <f t="array" ref="J26">IFERROR(I26/G26*100,0)</f>
        <v>10</v>
      </c>
      <c r="K26" s="143">
        <f t="array" ref="K26">INDEX([46]perbandingan!$L$24:$L$231,MATCH(1,([46]perbandingan!$E$24:$E$231=$D26)*([46]perbandingan!$E$24:$E$231=$D26),0))</f>
        <v>32</v>
      </c>
      <c r="L26" s="9">
        <f t="shared" si="0"/>
        <v>6.2536642564002332</v>
      </c>
      <c r="M26" s="8" t="str">
        <f t="shared" si="3"/>
        <v>Perlu Pengendalian</v>
      </c>
      <c r="N26" s="148"/>
      <c r="O26" s="143" t="e">
        <f>MAX(#REF!,#REF!)</f>
        <v>#REF!</v>
      </c>
      <c r="P26" s="9" t="e">
        <f t="shared" si="4"/>
        <v>#REF!</v>
      </c>
      <c r="Q26" s="143" t="e">
        <f>MAX(#REF!,#REF!)</f>
        <v>#REF!</v>
      </c>
      <c r="R26" s="9">
        <f t="shared" si="1"/>
        <v>0</v>
      </c>
      <c r="S26" s="8" t="str">
        <f t="shared" si="5"/>
        <v>Belum Sensus</v>
      </c>
      <c r="T26" s="148"/>
      <c r="U26" s="143" t="e">
        <f>MAX(#REF!,#REF!)</f>
        <v>#REF!</v>
      </c>
      <c r="V26" s="143" t="e">
        <f>MAX(#REF!,#REF!)</f>
        <v>#REF!</v>
      </c>
      <c r="W26" s="9">
        <f t="shared" si="6"/>
        <v>0</v>
      </c>
      <c r="X26" s="8" t="str">
        <f t="shared" si="7"/>
        <v>Belum Sensus</v>
      </c>
      <c r="Y26" s="178"/>
      <c r="Z26" s="143"/>
      <c r="AA26" s="9">
        <f t="shared" si="8"/>
        <v>0</v>
      </c>
      <c r="AB26" s="143"/>
      <c r="AC26" s="9">
        <f t="shared" si="2"/>
        <v>0</v>
      </c>
      <c r="AD26" s="8" t="str">
        <f t="shared" si="9"/>
        <v>Belum Sensus</v>
      </c>
      <c r="AE26" s="178">
        <v>46153</v>
      </c>
      <c r="AF26" s="143">
        <v>150</v>
      </c>
      <c r="AG26" s="143">
        <v>40</v>
      </c>
      <c r="AH26" s="9">
        <f t="shared" si="10"/>
        <v>26.666666666666668</v>
      </c>
      <c r="AI26" s="8" t="str">
        <f t="shared" si="11"/>
        <v>Perlu Pengendalian</v>
      </c>
    </row>
    <row r="27" spans="1:35" x14ac:dyDescent="0.2">
      <c r="A27" s="8" t="s">
        <v>1273</v>
      </c>
      <c r="B27" s="8" t="s">
        <v>14</v>
      </c>
      <c r="C27" s="8" t="s">
        <v>14</v>
      </c>
      <c r="D27" s="8" t="s">
        <v>1295</v>
      </c>
      <c r="E27" s="9">
        <v>25.23</v>
      </c>
      <c r="F27" s="8" t="s">
        <v>1740</v>
      </c>
      <c r="G27" s="10">
        <v>3404</v>
      </c>
      <c r="H27" s="132">
        <v>46153</v>
      </c>
      <c r="I27" s="143">
        <f t="array" ref="I27">INDEX([46]perbandingan!$H$24:$H$231,MATCH(1,([46]perbandingan!$E$24:$E$231=$D27)*([46]perbandingan!$E$24:$E$231=$D27),0))</f>
        <v>340.40000000000003</v>
      </c>
      <c r="J27" s="9">
        <f t="array" ref="J27">IFERROR(I27/G27*100,0)</f>
        <v>10</v>
      </c>
      <c r="K27" s="143">
        <f t="array" ref="K27">INDEX([46]perbandingan!$L$24:$L$231,MATCH(1,([46]perbandingan!$E$24:$E$231=$D27)*([46]perbandingan!$E$24:$E$231=$D27),0))</f>
        <v>65</v>
      </c>
      <c r="L27" s="9">
        <f t="shared" si="0"/>
        <v>19.095182138660398</v>
      </c>
      <c r="M27" s="8" t="str">
        <f t="shared" si="3"/>
        <v>Perlu Pengendalian</v>
      </c>
      <c r="N27" s="148"/>
      <c r="O27" s="143" t="e">
        <f>MAX(#REF!,#REF!)</f>
        <v>#REF!</v>
      </c>
      <c r="P27" s="9" t="e">
        <f t="shared" si="4"/>
        <v>#REF!</v>
      </c>
      <c r="Q27" s="143" t="e">
        <f>MAX(#REF!,#REF!)</f>
        <v>#REF!</v>
      </c>
      <c r="R27" s="9">
        <f t="shared" si="1"/>
        <v>0</v>
      </c>
      <c r="S27" s="8" t="str">
        <f t="shared" si="5"/>
        <v>Belum Sensus</v>
      </c>
      <c r="T27" s="148"/>
      <c r="U27" s="143" t="e">
        <f>MAX(#REF!,#REF!)</f>
        <v>#REF!</v>
      </c>
      <c r="V27" s="143" t="e">
        <f>MAX(#REF!,#REF!)</f>
        <v>#REF!</v>
      </c>
      <c r="W27" s="9">
        <f t="shared" si="6"/>
        <v>0</v>
      </c>
      <c r="X27" s="8" t="str">
        <f t="shared" si="7"/>
        <v>Belum Sensus</v>
      </c>
      <c r="Y27" s="178"/>
      <c r="Z27" s="143"/>
      <c r="AA27" s="9">
        <f t="shared" si="8"/>
        <v>0</v>
      </c>
      <c r="AB27" s="143"/>
      <c r="AC27" s="9">
        <f t="shared" si="2"/>
        <v>0</v>
      </c>
      <c r="AD27" s="8" t="str">
        <f t="shared" si="9"/>
        <v>Belum Sensus</v>
      </c>
      <c r="AE27" s="178"/>
      <c r="AF27" s="143">
        <v>0</v>
      </c>
      <c r="AG27" s="143">
        <v>0</v>
      </c>
      <c r="AH27" s="9">
        <f t="shared" si="10"/>
        <v>0</v>
      </c>
      <c r="AI27" s="8" t="str">
        <f t="shared" si="11"/>
        <v>Belum Sensus</v>
      </c>
    </row>
    <row r="28" spans="1:35" x14ac:dyDescent="0.2">
      <c r="A28" s="8" t="s">
        <v>1273</v>
      </c>
      <c r="B28" s="8" t="s">
        <v>14</v>
      </c>
      <c r="C28" s="8" t="s">
        <v>14</v>
      </c>
      <c r="D28" s="8" t="s">
        <v>1296</v>
      </c>
      <c r="E28" s="9">
        <v>27.4</v>
      </c>
      <c r="F28" s="8" t="s">
        <v>1740</v>
      </c>
      <c r="G28" s="10">
        <v>3628</v>
      </c>
      <c r="H28" s="132">
        <v>46153</v>
      </c>
      <c r="I28" s="143">
        <f t="array" ref="I28">INDEX([46]perbandingan!$H$24:$H$231,MATCH(1,([46]perbandingan!$E$24:$E$231=$D28)*([46]perbandingan!$E$24:$E$231=$D28),0))</f>
        <v>362.8</v>
      </c>
      <c r="J28" s="9">
        <f t="array" ref="J28">IFERROR(I28/G28*100,0)</f>
        <v>10</v>
      </c>
      <c r="K28" s="143">
        <f t="array" ref="K28">INDEX([46]perbandingan!$L$24:$L$231,MATCH(1,([46]perbandingan!$E$24:$E$231=$D28)*([46]perbandingan!$E$24:$E$231=$D28),0))</f>
        <v>47</v>
      </c>
      <c r="L28" s="9">
        <f t="shared" si="0"/>
        <v>12.954796030871002</v>
      </c>
      <c r="M28" s="8" t="str">
        <f t="shared" si="3"/>
        <v>Perlu Pengendalian</v>
      </c>
      <c r="N28" s="148"/>
      <c r="O28" s="143" t="e">
        <f>MAX(#REF!,#REF!)</f>
        <v>#REF!</v>
      </c>
      <c r="P28" s="9" t="e">
        <f t="shared" si="4"/>
        <v>#REF!</v>
      </c>
      <c r="Q28" s="143" t="e">
        <f>MAX(#REF!,#REF!)</f>
        <v>#REF!</v>
      </c>
      <c r="R28" s="9">
        <f t="shared" si="1"/>
        <v>0</v>
      </c>
      <c r="S28" s="8" t="str">
        <f t="shared" si="5"/>
        <v>Belum Sensus</v>
      </c>
      <c r="T28" s="148"/>
      <c r="U28" s="143" t="e">
        <f>MAX(#REF!,#REF!)</f>
        <v>#REF!</v>
      </c>
      <c r="V28" s="143" t="e">
        <f>MAX(#REF!,#REF!)</f>
        <v>#REF!</v>
      </c>
      <c r="W28" s="9">
        <f t="shared" si="6"/>
        <v>0</v>
      </c>
      <c r="X28" s="8" t="str">
        <f t="shared" si="7"/>
        <v>Belum Sensus</v>
      </c>
      <c r="Y28" s="178"/>
      <c r="Z28" s="143"/>
      <c r="AA28" s="9">
        <f t="shared" si="8"/>
        <v>0</v>
      </c>
      <c r="AB28" s="143"/>
      <c r="AC28" s="9">
        <f t="shared" si="2"/>
        <v>0</v>
      </c>
      <c r="AD28" s="8" t="str">
        <f t="shared" si="9"/>
        <v>Belum Sensus</v>
      </c>
      <c r="AE28" s="178"/>
      <c r="AF28" s="143">
        <v>0</v>
      </c>
      <c r="AG28" s="143">
        <v>0</v>
      </c>
      <c r="AH28" s="9">
        <f t="shared" si="10"/>
        <v>0</v>
      </c>
      <c r="AI28" s="8" t="str">
        <f t="shared" si="11"/>
        <v>Belum Sensus</v>
      </c>
    </row>
    <row r="29" spans="1:35" x14ac:dyDescent="0.2">
      <c r="A29" s="8" t="s">
        <v>1273</v>
      </c>
      <c r="B29" s="8" t="s">
        <v>14</v>
      </c>
      <c r="C29" s="8" t="s">
        <v>14</v>
      </c>
      <c r="D29" s="8" t="s">
        <v>1297</v>
      </c>
      <c r="E29" s="9">
        <v>25.05</v>
      </c>
      <c r="F29" s="8" t="s">
        <v>1740</v>
      </c>
      <c r="G29" s="10">
        <v>3467</v>
      </c>
      <c r="H29" s="132">
        <v>46153</v>
      </c>
      <c r="I29" s="143">
        <f t="array" ref="I29">INDEX([46]perbandingan!$H$24:$H$231,MATCH(1,([46]perbandingan!$E$24:$E$231=$D29)*([46]perbandingan!$E$24:$E$231=$D29),0))</f>
        <v>346.70000000000005</v>
      </c>
      <c r="J29" s="9">
        <f t="array" ref="J29">IFERROR(I29/G29*100,0)</f>
        <v>10.000000000000002</v>
      </c>
      <c r="K29" s="143">
        <f t="array" ref="K29">INDEX([46]perbandingan!$L$24:$L$231,MATCH(1,([46]perbandingan!$E$24:$E$231=$D29)*([46]perbandingan!$E$24:$E$231=$D29),0))</f>
        <v>64</v>
      </c>
      <c r="L29" s="9">
        <f t="shared" si="0"/>
        <v>18.459763484280355</v>
      </c>
      <c r="M29" s="8" t="str">
        <f t="shared" si="3"/>
        <v>Perlu Pengendalian</v>
      </c>
      <c r="N29" s="148"/>
      <c r="O29" s="143" t="e">
        <f>MAX(#REF!,#REF!)</f>
        <v>#REF!</v>
      </c>
      <c r="P29" s="9" t="e">
        <f t="shared" si="4"/>
        <v>#REF!</v>
      </c>
      <c r="Q29" s="143" t="e">
        <f>MAX(#REF!,#REF!)</f>
        <v>#REF!</v>
      </c>
      <c r="R29" s="9">
        <f t="shared" si="1"/>
        <v>0</v>
      </c>
      <c r="S29" s="8" t="str">
        <f t="shared" si="5"/>
        <v>Belum Sensus</v>
      </c>
      <c r="T29" s="148"/>
      <c r="U29" s="143" t="e">
        <f>MAX(#REF!,#REF!)</f>
        <v>#REF!</v>
      </c>
      <c r="V29" s="143" t="e">
        <f>MAX(#REF!,#REF!)</f>
        <v>#REF!</v>
      </c>
      <c r="W29" s="9">
        <f t="shared" si="6"/>
        <v>0</v>
      </c>
      <c r="X29" s="8" t="str">
        <f t="shared" si="7"/>
        <v>Belum Sensus</v>
      </c>
      <c r="Y29" s="178">
        <v>46153</v>
      </c>
      <c r="Z29" s="143">
        <v>92</v>
      </c>
      <c r="AA29" s="9">
        <f t="shared" si="8"/>
        <v>2.6535910008653016</v>
      </c>
      <c r="AB29" s="143">
        <v>23</v>
      </c>
      <c r="AC29" s="9">
        <f t="shared" si="2"/>
        <v>25</v>
      </c>
      <c r="AD29" s="8" t="str">
        <f t="shared" si="9"/>
        <v>Perlu Pengendalian</v>
      </c>
      <c r="AE29" s="178"/>
      <c r="AF29" s="143">
        <v>0</v>
      </c>
      <c r="AG29" s="143">
        <v>0</v>
      </c>
      <c r="AH29" s="9">
        <f t="shared" si="10"/>
        <v>0</v>
      </c>
      <c r="AI29" s="8" t="str">
        <f t="shared" si="11"/>
        <v>Belum Sensus</v>
      </c>
    </row>
    <row r="30" spans="1:35" x14ac:dyDescent="0.2">
      <c r="A30" s="8" t="s">
        <v>1273</v>
      </c>
      <c r="B30" s="8" t="s">
        <v>14</v>
      </c>
      <c r="C30" s="8" t="s">
        <v>14</v>
      </c>
      <c r="D30" s="8" t="s">
        <v>1298</v>
      </c>
      <c r="E30" s="9">
        <v>25.07</v>
      </c>
      <c r="F30" s="8" t="s">
        <v>1740</v>
      </c>
      <c r="G30" s="10">
        <v>3379</v>
      </c>
      <c r="H30" s="132">
        <v>46153</v>
      </c>
      <c r="I30" s="143">
        <f t="array" ref="I30">INDEX([46]perbandingan!$H$24:$H$231,MATCH(1,([46]perbandingan!$E$24:$E$231=$D30)*([46]perbandingan!$E$24:$E$231=$D30),0))</f>
        <v>337.90000000000003</v>
      </c>
      <c r="J30" s="9">
        <f t="array" ref="J30">IFERROR(I30/G30*100,0)</f>
        <v>10</v>
      </c>
      <c r="K30" s="143">
        <f t="array" ref="K30">INDEX([46]perbandingan!$L$24:$L$231,MATCH(1,([46]perbandingan!$E$24:$E$231=$D30)*([46]perbandingan!$E$24:$E$231=$D30),0))</f>
        <v>78</v>
      </c>
      <c r="L30" s="9">
        <f t="shared" si="0"/>
        <v>23.083752589523527</v>
      </c>
      <c r="M30" s="8" t="str">
        <f t="shared" si="3"/>
        <v>Perlu Pengendalian</v>
      </c>
      <c r="N30" s="148"/>
      <c r="O30" s="143" t="e">
        <f>MAX(#REF!,#REF!)</f>
        <v>#REF!</v>
      </c>
      <c r="P30" s="9" t="e">
        <f t="shared" si="4"/>
        <v>#REF!</v>
      </c>
      <c r="Q30" s="143" t="e">
        <f>MAX(#REF!,#REF!)</f>
        <v>#REF!</v>
      </c>
      <c r="R30" s="9">
        <f t="shared" si="1"/>
        <v>0</v>
      </c>
      <c r="S30" s="8" t="str">
        <f t="shared" si="5"/>
        <v>Belum Sensus</v>
      </c>
      <c r="T30" s="148"/>
      <c r="U30" s="143" t="e">
        <f>MAX(#REF!,#REF!)</f>
        <v>#REF!</v>
      </c>
      <c r="V30" s="143" t="e">
        <f>MAX(#REF!,#REF!)</f>
        <v>#REF!</v>
      </c>
      <c r="W30" s="9">
        <f t="shared" si="6"/>
        <v>0</v>
      </c>
      <c r="X30" s="8" t="str">
        <f t="shared" si="7"/>
        <v>Belum Sensus</v>
      </c>
      <c r="Y30" s="178">
        <v>46153</v>
      </c>
      <c r="Z30" s="143">
        <v>30</v>
      </c>
      <c r="AA30" s="9">
        <f t="shared" si="8"/>
        <v>0.88783663805859725</v>
      </c>
      <c r="AB30" s="143">
        <v>9</v>
      </c>
      <c r="AC30" s="9">
        <f t="shared" si="2"/>
        <v>30</v>
      </c>
      <c r="AD30" s="8" t="str">
        <f t="shared" si="9"/>
        <v>Perlu Pengendalian</v>
      </c>
      <c r="AE30" s="178"/>
      <c r="AF30" s="143">
        <v>0</v>
      </c>
      <c r="AG30" s="143">
        <v>0</v>
      </c>
      <c r="AH30" s="9">
        <f t="shared" si="10"/>
        <v>0</v>
      </c>
      <c r="AI30" s="8" t="str">
        <f t="shared" si="11"/>
        <v>Belum Sensus</v>
      </c>
    </row>
    <row r="31" spans="1:35" x14ac:dyDescent="0.2">
      <c r="A31" s="8" t="s">
        <v>1273</v>
      </c>
      <c r="B31" s="8" t="s">
        <v>14</v>
      </c>
      <c r="C31" s="8" t="s">
        <v>14</v>
      </c>
      <c r="D31" s="8" t="s">
        <v>1299</v>
      </c>
      <c r="E31" s="9">
        <v>28.35</v>
      </c>
      <c r="F31" s="8" t="s">
        <v>1740</v>
      </c>
      <c r="G31" s="10">
        <v>3738</v>
      </c>
      <c r="H31" s="132">
        <v>46149</v>
      </c>
      <c r="I31" s="143">
        <f t="array" ref="I31">INDEX([46]perbandingan!$H$24:$H$231,MATCH(1,([46]perbandingan!$E$24:$E$231=$D31)*([46]perbandingan!$E$24:$E$231=$D31),0))</f>
        <v>373.8</v>
      </c>
      <c r="J31" s="9">
        <f t="array" ref="J31">IFERROR(I31/G31*100,0)</f>
        <v>10</v>
      </c>
      <c r="K31" s="143">
        <f t="array" ref="K31">INDEX([46]perbandingan!$L$24:$L$231,MATCH(1,([46]perbandingan!$E$24:$E$231=$D31)*([46]perbandingan!$E$24:$E$231=$D31),0))</f>
        <v>34</v>
      </c>
      <c r="L31" s="9">
        <f t="shared" si="0"/>
        <v>9.0957731407169611</v>
      </c>
      <c r="M31" s="8" t="str">
        <f t="shared" si="3"/>
        <v>Perlu Pengendalian</v>
      </c>
      <c r="N31" s="148"/>
      <c r="O31" s="143" t="e">
        <f>MAX(#REF!,#REF!)</f>
        <v>#REF!</v>
      </c>
      <c r="P31" s="9" t="e">
        <f t="shared" si="4"/>
        <v>#REF!</v>
      </c>
      <c r="Q31" s="143" t="e">
        <f>MAX(#REF!,#REF!)</f>
        <v>#REF!</v>
      </c>
      <c r="R31" s="9">
        <f t="shared" si="1"/>
        <v>0</v>
      </c>
      <c r="S31" s="8" t="str">
        <f t="shared" si="5"/>
        <v>Belum Sensus</v>
      </c>
      <c r="T31" s="148"/>
      <c r="U31" s="143" t="e">
        <f>MAX(#REF!,#REF!)</f>
        <v>#REF!</v>
      </c>
      <c r="V31" s="143" t="e">
        <f>MAX(#REF!,#REF!)</f>
        <v>#REF!</v>
      </c>
      <c r="W31" s="9">
        <f t="shared" si="6"/>
        <v>0</v>
      </c>
      <c r="X31" s="8" t="str">
        <f t="shared" si="7"/>
        <v>Belum Sensus</v>
      </c>
      <c r="Y31" s="178">
        <v>46153</v>
      </c>
      <c r="Z31" s="143">
        <v>31</v>
      </c>
      <c r="AA31" s="9">
        <f t="shared" si="8"/>
        <v>0.82932049224184057</v>
      </c>
      <c r="AB31" s="143">
        <v>10</v>
      </c>
      <c r="AC31" s="9">
        <f t="shared" si="2"/>
        <v>32.258064516129032</v>
      </c>
      <c r="AD31" s="8" t="str">
        <f t="shared" si="9"/>
        <v>Perlu Pengendalian</v>
      </c>
      <c r="AE31" s="178"/>
      <c r="AF31" s="143">
        <v>0</v>
      </c>
      <c r="AG31" s="143">
        <v>0</v>
      </c>
      <c r="AH31" s="9">
        <f t="shared" si="10"/>
        <v>0</v>
      </c>
      <c r="AI31" s="8" t="str">
        <f t="shared" si="11"/>
        <v>Belum Sensus</v>
      </c>
    </row>
    <row r="32" spans="1:35" x14ac:dyDescent="0.2">
      <c r="A32" s="8" t="s">
        <v>1273</v>
      </c>
      <c r="B32" s="8" t="s">
        <v>14</v>
      </c>
      <c r="C32" s="8" t="s">
        <v>14</v>
      </c>
      <c r="D32" s="8" t="s">
        <v>1300</v>
      </c>
      <c r="E32" s="9">
        <v>28.47</v>
      </c>
      <c r="F32" s="8" t="s">
        <v>1740</v>
      </c>
      <c r="G32" s="10">
        <v>3651</v>
      </c>
      <c r="H32" s="132">
        <v>46149</v>
      </c>
      <c r="I32" s="143">
        <f t="array" ref="I32">INDEX([46]perbandingan!$H$24:$H$231,MATCH(1,([46]perbandingan!$E$24:$E$231=$D32)*([46]perbandingan!$E$24:$E$231=$D32),0))</f>
        <v>365.1</v>
      </c>
      <c r="J32" s="9">
        <f t="array" ref="J32">IFERROR(I32/G32*100,0)</f>
        <v>10</v>
      </c>
      <c r="K32" s="143">
        <f t="array" ref="K32">INDEX([46]perbandingan!$L$24:$L$231,MATCH(1,([46]perbandingan!$E$24:$E$231=$D32)*([46]perbandingan!$E$24:$E$231=$D32),0))</f>
        <v>41</v>
      </c>
      <c r="L32" s="9">
        <f t="shared" si="0"/>
        <v>11.229800054779512</v>
      </c>
      <c r="M32" s="8" t="str">
        <f t="shared" si="3"/>
        <v>Perlu Pengendalian</v>
      </c>
      <c r="N32" s="148"/>
      <c r="O32" s="143" t="e">
        <f>MAX(#REF!,#REF!)</f>
        <v>#REF!</v>
      </c>
      <c r="P32" s="9" t="e">
        <f t="shared" si="4"/>
        <v>#REF!</v>
      </c>
      <c r="Q32" s="143" t="e">
        <f>MAX(#REF!,#REF!)</f>
        <v>#REF!</v>
      </c>
      <c r="R32" s="9">
        <f t="shared" si="1"/>
        <v>0</v>
      </c>
      <c r="S32" s="8" t="str">
        <f t="shared" si="5"/>
        <v>Belum Sensus</v>
      </c>
      <c r="T32" s="148"/>
      <c r="U32" s="143" t="e">
        <f>MAX(#REF!,#REF!)</f>
        <v>#REF!</v>
      </c>
      <c r="V32" s="143" t="e">
        <f>MAX(#REF!,#REF!)</f>
        <v>#REF!</v>
      </c>
      <c r="W32" s="9">
        <f t="shared" si="6"/>
        <v>0</v>
      </c>
      <c r="X32" s="8" t="str">
        <f t="shared" si="7"/>
        <v>Belum Sensus</v>
      </c>
      <c r="Y32" s="178"/>
      <c r="Z32" s="143"/>
      <c r="AA32" s="9">
        <f t="shared" si="8"/>
        <v>0</v>
      </c>
      <c r="AB32" s="143"/>
      <c r="AC32" s="9">
        <f t="shared" si="2"/>
        <v>0</v>
      </c>
      <c r="AD32" s="8" t="str">
        <f t="shared" si="9"/>
        <v>Belum Sensus</v>
      </c>
      <c r="AE32" s="178"/>
      <c r="AF32" s="143">
        <v>0</v>
      </c>
      <c r="AG32" s="143">
        <v>0</v>
      </c>
      <c r="AH32" s="9">
        <f t="shared" si="10"/>
        <v>0</v>
      </c>
      <c r="AI32" s="8" t="str">
        <f t="shared" si="11"/>
        <v>Belum Sensus</v>
      </c>
    </row>
    <row r="33" spans="1:35" x14ac:dyDescent="0.2">
      <c r="A33" s="8" t="s">
        <v>1273</v>
      </c>
      <c r="B33" s="8" t="s">
        <v>14</v>
      </c>
      <c r="C33" s="8" t="s">
        <v>14</v>
      </c>
      <c r="D33" s="8" t="s">
        <v>1301</v>
      </c>
      <c r="E33" s="9">
        <v>30.21</v>
      </c>
      <c r="F33" s="8" t="s">
        <v>1740</v>
      </c>
      <c r="G33" s="10">
        <v>4033</v>
      </c>
      <c r="H33" s="132">
        <v>46153</v>
      </c>
      <c r="I33" s="143">
        <f t="array" ref="I33">INDEX([46]perbandingan!$H$24:$H$231,MATCH(1,([46]perbandingan!$E$24:$E$231=$D33)*([46]perbandingan!$E$24:$E$231=$D33),0))</f>
        <v>403.3</v>
      </c>
      <c r="J33" s="9">
        <f t="array" ref="J33">IFERROR(I33/G33*100,0)</f>
        <v>10</v>
      </c>
      <c r="K33" s="143">
        <f t="array" ref="K33">INDEX([46]perbandingan!$L$24:$L$231,MATCH(1,([46]perbandingan!$E$24:$E$231=$D33)*([46]perbandingan!$E$24:$E$231=$D33),0))</f>
        <v>67</v>
      </c>
      <c r="L33" s="9">
        <f t="shared" si="0"/>
        <v>16.612943218447803</v>
      </c>
      <c r="M33" s="8" t="str">
        <f t="shared" si="3"/>
        <v>Perlu Pengendalian</v>
      </c>
      <c r="N33" s="148"/>
      <c r="O33" s="143" t="e">
        <f>MAX(#REF!,#REF!)</f>
        <v>#REF!</v>
      </c>
      <c r="P33" s="9" t="e">
        <f t="shared" si="4"/>
        <v>#REF!</v>
      </c>
      <c r="Q33" s="143" t="e">
        <f>MAX(#REF!,#REF!)</f>
        <v>#REF!</v>
      </c>
      <c r="R33" s="9">
        <f t="shared" si="1"/>
        <v>0</v>
      </c>
      <c r="S33" s="8" t="str">
        <f t="shared" si="5"/>
        <v>Belum Sensus</v>
      </c>
      <c r="T33" s="148"/>
      <c r="U33" s="143" t="e">
        <f>MAX(#REF!,#REF!)</f>
        <v>#REF!</v>
      </c>
      <c r="V33" s="143" t="e">
        <f>MAX(#REF!,#REF!)</f>
        <v>#REF!</v>
      </c>
      <c r="W33" s="9">
        <f t="shared" si="6"/>
        <v>0</v>
      </c>
      <c r="X33" s="8" t="str">
        <f t="shared" si="7"/>
        <v>Belum Sensus</v>
      </c>
      <c r="Y33" s="178">
        <v>46153</v>
      </c>
      <c r="Z33" s="143">
        <v>64</v>
      </c>
      <c r="AA33" s="9">
        <f t="shared" si="8"/>
        <v>1.5869080089263576</v>
      </c>
      <c r="AB33" s="143">
        <v>20</v>
      </c>
      <c r="AC33" s="9">
        <f t="shared" si="2"/>
        <v>31.25</v>
      </c>
      <c r="AD33" s="8" t="str">
        <f t="shared" si="9"/>
        <v>Perlu Pengendalian</v>
      </c>
      <c r="AE33" s="178">
        <v>46153</v>
      </c>
      <c r="AF33" s="143">
        <v>245</v>
      </c>
      <c r="AG33" s="143">
        <v>39</v>
      </c>
      <c r="AH33" s="9">
        <f t="shared" si="10"/>
        <v>15.918367346938775</v>
      </c>
      <c r="AI33" s="8" t="str">
        <f t="shared" si="11"/>
        <v>Perlu Pengendalian</v>
      </c>
    </row>
    <row r="34" spans="1:35" x14ac:dyDescent="0.2">
      <c r="A34" s="8" t="s">
        <v>1273</v>
      </c>
      <c r="B34" s="8" t="s">
        <v>14</v>
      </c>
      <c r="C34" s="8" t="s">
        <v>14</v>
      </c>
      <c r="D34" s="8" t="s">
        <v>1302</v>
      </c>
      <c r="E34" s="9">
        <v>28.81</v>
      </c>
      <c r="F34" s="8" t="s">
        <v>1740</v>
      </c>
      <c r="G34" s="10">
        <v>4002</v>
      </c>
      <c r="H34" s="132">
        <v>46153</v>
      </c>
      <c r="I34" s="143">
        <f t="array" ref="I34">INDEX([46]perbandingan!$H$24:$H$231,MATCH(1,([46]perbandingan!$E$24:$E$231=$D34)*([46]perbandingan!$E$24:$E$231=$D34),0))</f>
        <v>400.20000000000005</v>
      </c>
      <c r="J34" s="9">
        <f t="array" ref="J34">IFERROR(I34/G34*100,0)</f>
        <v>10</v>
      </c>
      <c r="K34" s="143">
        <f t="array" ref="K34">INDEX([46]perbandingan!$L$24:$L$231,MATCH(1,([46]perbandingan!$E$24:$E$231=$D34)*([46]perbandingan!$E$24:$E$231=$D34),0))</f>
        <v>82</v>
      </c>
      <c r="L34" s="9">
        <f t="shared" si="0"/>
        <v>20.489755122438776</v>
      </c>
      <c r="M34" s="8" t="str">
        <f t="shared" si="3"/>
        <v>Perlu Pengendalian</v>
      </c>
      <c r="N34" s="148"/>
      <c r="O34" s="143" t="e">
        <f>MAX(#REF!,#REF!)</f>
        <v>#REF!</v>
      </c>
      <c r="P34" s="9" t="e">
        <f t="shared" si="4"/>
        <v>#REF!</v>
      </c>
      <c r="Q34" s="143" t="e">
        <f>MAX(#REF!,#REF!)</f>
        <v>#REF!</v>
      </c>
      <c r="R34" s="9">
        <f t="shared" si="1"/>
        <v>0</v>
      </c>
      <c r="S34" s="8" t="str">
        <f t="shared" si="5"/>
        <v>Belum Sensus</v>
      </c>
      <c r="T34" s="148"/>
      <c r="U34" s="143" t="e">
        <f>MAX(#REF!,#REF!)</f>
        <v>#REF!</v>
      </c>
      <c r="V34" s="143" t="e">
        <f>MAX(#REF!,#REF!)</f>
        <v>#REF!</v>
      </c>
      <c r="W34" s="9">
        <f t="shared" si="6"/>
        <v>0</v>
      </c>
      <c r="X34" s="8" t="str">
        <f t="shared" si="7"/>
        <v>Belum Sensus</v>
      </c>
      <c r="Y34" s="178"/>
      <c r="Z34" s="143"/>
      <c r="AA34" s="9">
        <f t="shared" si="8"/>
        <v>0</v>
      </c>
      <c r="AB34" s="143"/>
      <c r="AC34" s="9">
        <f t="shared" si="2"/>
        <v>0</v>
      </c>
      <c r="AD34" s="8" t="str">
        <f t="shared" si="9"/>
        <v>Belum Sensus</v>
      </c>
      <c r="AE34" s="178">
        <v>46153</v>
      </c>
      <c r="AF34" s="143">
        <v>233</v>
      </c>
      <c r="AG34" s="143">
        <v>37</v>
      </c>
      <c r="AH34" s="9">
        <f t="shared" si="10"/>
        <v>15.879828326180256</v>
      </c>
      <c r="AI34" s="8" t="str">
        <f t="shared" si="11"/>
        <v>Perlu Pengendalian</v>
      </c>
    </row>
    <row r="35" spans="1:35" x14ac:dyDescent="0.2">
      <c r="A35" s="8" t="s">
        <v>1273</v>
      </c>
      <c r="B35" s="8" t="s">
        <v>14</v>
      </c>
      <c r="C35" s="8" t="s">
        <v>14</v>
      </c>
      <c r="D35" s="8" t="s">
        <v>1303</v>
      </c>
      <c r="E35" s="9">
        <v>29.97</v>
      </c>
      <c r="F35" s="8" t="s">
        <v>1740</v>
      </c>
      <c r="G35" s="10">
        <v>3863</v>
      </c>
      <c r="H35" s="132">
        <v>46153</v>
      </c>
      <c r="I35" s="143">
        <f t="array" ref="I35">INDEX([46]perbandingan!$H$24:$H$231,MATCH(1,([46]perbandingan!$E$24:$E$231=$D35)*([46]perbandingan!$E$24:$E$231=$D35),0))</f>
        <v>386.3</v>
      </c>
      <c r="J35" s="9">
        <f t="array" ref="J35">IFERROR(I35/G35*100,0)</f>
        <v>10</v>
      </c>
      <c r="K35" s="143">
        <f t="array" ref="K35">INDEX([46]perbandingan!$L$24:$L$231,MATCH(1,([46]perbandingan!$E$24:$E$231=$D35)*([46]perbandingan!$E$24:$E$231=$D35),0))</f>
        <v>57</v>
      </c>
      <c r="L35" s="9">
        <f t="shared" si="0"/>
        <v>14.755371472948486</v>
      </c>
      <c r="M35" s="8" t="str">
        <f t="shared" si="3"/>
        <v>Perlu Pengendalian</v>
      </c>
      <c r="N35" s="148"/>
      <c r="O35" s="143" t="e">
        <f>MAX(#REF!,#REF!)</f>
        <v>#REF!</v>
      </c>
      <c r="P35" s="9" t="e">
        <f t="shared" si="4"/>
        <v>#REF!</v>
      </c>
      <c r="Q35" s="143" t="e">
        <f>MAX(#REF!,#REF!)</f>
        <v>#REF!</v>
      </c>
      <c r="R35" s="9">
        <f t="shared" si="1"/>
        <v>0</v>
      </c>
      <c r="S35" s="8" t="str">
        <f t="shared" si="5"/>
        <v>Belum Sensus</v>
      </c>
      <c r="T35" s="148"/>
      <c r="U35" s="143" t="e">
        <f>MAX(#REF!,#REF!)</f>
        <v>#REF!</v>
      </c>
      <c r="V35" s="143" t="e">
        <f>MAX(#REF!,#REF!)</f>
        <v>#REF!</v>
      </c>
      <c r="W35" s="9">
        <f t="shared" si="6"/>
        <v>0</v>
      </c>
      <c r="X35" s="8" t="str">
        <f t="shared" si="7"/>
        <v>Belum Sensus</v>
      </c>
      <c r="Y35" s="178"/>
      <c r="Z35" s="143"/>
      <c r="AA35" s="9">
        <f t="shared" si="8"/>
        <v>0</v>
      </c>
      <c r="AB35" s="143"/>
      <c r="AC35" s="9">
        <f t="shared" si="2"/>
        <v>0</v>
      </c>
      <c r="AD35" s="8" t="str">
        <f t="shared" si="9"/>
        <v>Belum Sensus</v>
      </c>
      <c r="AE35" s="178">
        <v>46153</v>
      </c>
      <c r="AF35" s="143">
        <v>256</v>
      </c>
      <c r="AG35" s="143">
        <v>64</v>
      </c>
      <c r="AH35" s="9">
        <f t="shared" si="10"/>
        <v>25</v>
      </c>
      <c r="AI35" s="8" t="str">
        <f t="shared" si="11"/>
        <v>Perlu Pengendalian</v>
      </c>
    </row>
    <row r="36" spans="1:35" x14ac:dyDescent="0.2">
      <c r="A36" s="8" t="s">
        <v>1273</v>
      </c>
      <c r="B36" s="8" t="s">
        <v>14</v>
      </c>
      <c r="C36" s="8" t="s">
        <v>14</v>
      </c>
      <c r="D36" s="8" t="s">
        <v>1304</v>
      </c>
      <c r="E36" s="9">
        <v>40.28</v>
      </c>
      <c r="F36" s="8" t="s">
        <v>1740</v>
      </c>
      <c r="G36" s="10">
        <v>5347</v>
      </c>
      <c r="H36" s="132">
        <v>46153</v>
      </c>
      <c r="I36" s="143">
        <f t="array" ref="I36">INDEX([46]perbandingan!$H$24:$H$231,MATCH(1,([46]perbandingan!$E$24:$E$231=$D36)*([46]perbandingan!$E$24:$E$231=$D36),0))</f>
        <v>534.70000000000005</v>
      </c>
      <c r="J36" s="9">
        <f t="array" ref="J36">IFERROR(I36/G36*100,0)</f>
        <v>10</v>
      </c>
      <c r="K36" s="143">
        <f t="array" ref="K36">INDEX([46]perbandingan!$L$24:$L$231,MATCH(1,([46]perbandingan!$E$24:$E$231=$D36)*([46]perbandingan!$E$24:$E$231=$D36),0))</f>
        <v>33</v>
      </c>
      <c r="L36" s="9">
        <f t="shared" si="0"/>
        <v>6.1716850570413309</v>
      </c>
      <c r="M36" s="8" t="str">
        <f t="shared" si="3"/>
        <v>Perlu Pengendalian</v>
      </c>
      <c r="N36" s="148"/>
      <c r="O36" s="143" t="e">
        <f>MAX(#REF!,#REF!)</f>
        <v>#REF!</v>
      </c>
      <c r="P36" s="9" t="e">
        <f t="shared" si="4"/>
        <v>#REF!</v>
      </c>
      <c r="Q36" s="143" t="e">
        <f>MAX(#REF!,#REF!)</f>
        <v>#REF!</v>
      </c>
      <c r="R36" s="9">
        <f t="shared" si="1"/>
        <v>0</v>
      </c>
      <c r="S36" s="8" t="str">
        <f t="shared" si="5"/>
        <v>Belum Sensus</v>
      </c>
      <c r="T36" s="148"/>
      <c r="U36" s="143" t="e">
        <f>MAX(#REF!,#REF!)</f>
        <v>#REF!</v>
      </c>
      <c r="V36" s="143" t="e">
        <f>MAX(#REF!,#REF!)</f>
        <v>#REF!</v>
      </c>
      <c r="W36" s="9">
        <f t="shared" si="6"/>
        <v>0</v>
      </c>
      <c r="X36" s="8" t="str">
        <f t="shared" si="7"/>
        <v>Belum Sensus</v>
      </c>
      <c r="Y36" s="178"/>
      <c r="Z36" s="143"/>
      <c r="AA36" s="9">
        <f t="shared" si="8"/>
        <v>0</v>
      </c>
      <c r="AB36" s="143"/>
      <c r="AC36" s="9">
        <f t="shared" si="2"/>
        <v>0</v>
      </c>
      <c r="AD36" s="8" t="str">
        <f t="shared" si="9"/>
        <v>Belum Sensus</v>
      </c>
      <c r="AE36" s="178">
        <v>46153</v>
      </c>
      <c r="AF36" s="143">
        <v>226</v>
      </c>
      <c r="AG36" s="143">
        <v>49</v>
      </c>
      <c r="AH36" s="9">
        <f t="shared" si="10"/>
        <v>21.681415929203538</v>
      </c>
      <c r="AI36" s="8" t="str">
        <f t="shared" si="11"/>
        <v>Perlu Pengendalian</v>
      </c>
    </row>
    <row r="37" spans="1:35" x14ac:dyDescent="0.2">
      <c r="A37" s="8" t="s">
        <v>1273</v>
      </c>
      <c r="B37" s="8" t="s">
        <v>14</v>
      </c>
      <c r="C37" s="8" t="s">
        <v>47</v>
      </c>
      <c r="D37" s="8" t="s">
        <v>1305</v>
      </c>
      <c r="E37" s="9">
        <v>38.82</v>
      </c>
      <c r="F37" s="8" t="s">
        <v>1740</v>
      </c>
      <c r="G37" s="10">
        <v>4579</v>
      </c>
      <c r="H37" s="132">
        <v>46153</v>
      </c>
      <c r="I37" s="143">
        <f t="array" ref="I37">INDEX([46]perbandingan!$H$24:$H$231,MATCH(1,([46]perbandingan!$E$24:$E$231=$D37)*([46]perbandingan!$E$24:$E$231=$D37),0))</f>
        <v>288</v>
      </c>
      <c r="J37" s="9">
        <f t="array" ref="J37">IFERROR(I37/G37*100,0)</f>
        <v>6.2895828783577201</v>
      </c>
      <c r="K37" s="143">
        <f t="array" ref="K37">INDEX([46]perbandingan!$L$24:$L$231,MATCH(1,([46]perbandingan!$E$24:$E$231=$D37)*([46]perbandingan!$E$24:$E$231=$D37),0))</f>
        <v>23</v>
      </c>
      <c r="L37" s="9">
        <f t="shared" si="0"/>
        <v>7.9861111111111107</v>
      </c>
      <c r="M37" s="8" t="str">
        <f t="shared" si="3"/>
        <v>Perlu Pengendalian</v>
      </c>
      <c r="N37" s="148"/>
      <c r="O37" s="143" t="e">
        <f>MAX(#REF!,#REF!)</f>
        <v>#REF!</v>
      </c>
      <c r="P37" s="9" t="e">
        <f t="shared" si="4"/>
        <v>#REF!</v>
      </c>
      <c r="Q37" s="143" t="e">
        <f>MAX(#REF!,#REF!)</f>
        <v>#REF!</v>
      </c>
      <c r="R37" s="9">
        <f t="shared" si="1"/>
        <v>0</v>
      </c>
      <c r="S37" s="8" t="str">
        <f t="shared" si="5"/>
        <v>Belum Sensus</v>
      </c>
      <c r="T37" s="148"/>
      <c r="U37" s="143" t="e">
        <f>MAX(#REF!,#REF!)</f>
        <v>#REF!</v>
      </c>
      <c r="V37" s="143" t="e">
        <f>MAX(#REF!,#REF!)</f>
        <v>#REF!</v>
      </c>
      <c r="W37" s="9">
        <f t="shared" si="6"/>
        <v>0</v>
      </c>
      <c r="X37" s="8" t="str">
        <f t="shared" si="7"/>
        <v>Belum Sensus</v>
      </c>
      <c r="Y37" s="178">
        <v>46153</v>
      </c>
      <c r="Z37" s="143">
        <v>64</v>
      </c>
      <c r="AA37" s="9">
        <f t="shared" si="8"/>
        <v>1.3976850840794932</v>
      </c>
      <c r="AB37" s="143">
        <v>26</v>
      </c>
      <c r="AC37" s="9">
        <f t="shared" si="2"/>
        <v>40.625</v>
      </c>
      <c r="AD37" s="8" t="str">
        <f t="shared" si="9"/>
        <v>Perlu Pengendalian</v>
      </c>
      <c r="AE37" s="178">
        <v>46153</v>
      </c>
      <c r="AF37" s="143">
        <v>606</v>
      </c>
      <c r="AG37" s="143">
        <v>50</v>
      </c>
      <c r="AH37" s="9">
        <f t="shared" si="10"/>
        <v>8.2508250825082499</v>
      </c>
      <c r="AI37" s="8" t="str">
        <f t="shared" si="11"/>
        <v>Perlu Pengendalian</v>
      </c>
    </row>
    <row r="38" spans="1:35" x14ac:dyDescent="0.2">
      <c r="A38" s="8" t="s">
        <v>1273</v>
      </c>
      <c r="B38" s="8" t="s">
        <v>14</v>
      </c>
      <c r="C38" s="8" t="s">
        <v>47</v>
      </c>
      <c r="D38" s="8" t="s">
        <v>1306</v>
      </c>
      <c r="E38" s="9">
        <v>42.519999999999996</v>
      </c>
      <c r="F38" s="8" t="s">
        <v>1740</v>
      </c>
      <c r="G38" s="10">
        <v>5684</v>
      </c>
      <c r="H38" s="132">
        <v>46153</v>
      </c>
      <c r="I38" s="143">
        <f t="array" ref="I38">INDEX([46]perbandingan!$H$24:$H$231,MATCH(1,([46]perbandingan!$E$24:$E$231=$D38)*([46]perbandingan!$E$24:$E$231=$D38),0))</f>
        <v>187</v>
      </c>
      <c r="J38" s="9">
        <f t="array" ref="J38">IFERROR(I38/G38*100,0)</f>
        <v>3.2899366643209005</v>
      </c>
      <c r="K38" s="143">
        <f t="array" ref="K38">INDEX([46]perbandingan!$L$24:$L$231,MATCH(1,([46]perbandingan!$E$24:$E$231=$D38)*([46]perbandingan!$E$24:$E$231=$D38),0))</f>
        <v>77</v>
      </c>
      <c r="L38" s="9">
        <f t="shared" si="0"/>
        <v>41.17647058823529</v>
      </c>
      <c r="M38" s="8" t="str">
        <f t="shared" si="3"/>
        <v>Perlu Pengendalian</v>
      </c>
      <c r="N38" s="148"/>
      <c r="O38" s="143" t="e">
        <f>MAX(#REF!,#REF!)</f>
        <v>#REF!</v>
      </c>
      <c r="P38" s="9" t="e">
        <f t="shared" si="4"/>
        <v>#REF!</v>
      </c>
      <c r="Q38" s="143" t="e">
        <f>MAX(#REF!,#REF!)</f>
        <v>#REF!</v>
      </c>
      <c r="R38" s="9">
        <f t="shared" si="1"/>
        <v>0</v>
      </c>
      <c r="S38" s="8" t="str">
        <f t="shared" si="5"/>
        <v>Belum Sensus</v>
      </c>
      <c r="T38" s="148"/>
      <c r="U38" s="143" t="e">
        <f>MAX(#REF!,#REF!)</f>
        <v>#REF!</v>
      </c>
      <c r="V38" s="143" t="e">
        <f>MAX(#REF!,#REF!)</f>
        <v>#REF!</v>
      </c>
      <c r="W38" s="9">
        <f t="shared" si="6"/>
        <v>0</v>
      </c>
      <c r="X38" s="8" t="str">
        <f t="shared" si="7"/>
        <v>Belum Sensus</v>
      </c>
      <c r="Y38" s="178">
        <v>46153</v>
      </c>
      <c r="Z38" s="143">
        <v>67</v>
      </c>
      <c r="AA38" s="9">
        <f t="shared" si="8"/>
        <v>1.178747361013371</v>
      </c>
      <c r="AB38" s="143">
        <v>29</v>
      </c>
      <c r="AC38" s="9">
        <f t="shared" si="2"/>
        <v>43.283582089552233</v>
      </c>
      <c r="AD38" s="8" t="str">
        <f t="shared" si="9"/>
        <v>Perlu Pengendalian</v>
      </c>
      <c r="AE38" s="178">
        <v>46153</v>
      </c>
      <c r="AF38" s="143">
        <v>964</v>
      </c>
      <c r="AG38" s="143">
        <v>75</v>
      </c>
      <c r="AH38" s="9">
        <f t="shared" si="10"/>
        <v>7.7800829875518671</v>
      </c>
      <c r="AI38" s="8" t="str">
        <f t="shared" si="11"/>
        <v>Perlu Pengendalian</v>
      </c>
    </row>
    <row r="39" spans="1:35" x14ac:dyDescent="0.2">
      <c r="A39" s="8" t="s">
        <v>1273</v>
      </c>
      <c r="B39" s="8" t="s">
        <v>14</v>
      </c>
      <c r="C39" s="8" t="s">
        <v>47</v>
      </c>
      <c r="D39" s="8" t="s">
        <v>1307</v>
      </c>
      <c r="E39" s="9">
        <v>30.37</v>
      </c>
      <c r="F39" s="8" t="s">
        <v>1740</v>
      </c>
      <c r="G39" s="10">
        <v>4012</v>
      </c>
      <c r="H39" s="132">
        <v>46153</v>
      </c>
      <c r="I39" s="143">
        <f t="array" ref="I39">INDEX([46]perbandingan!$H$24:$H$231,MATCH(1,([46]perbandingan!$E$24:$E$231=$D39)*([46]perbandingan!$E$24:$E$231=$D39),0))</f>
        <v>389</v>
      </c>
      <c r="J39" s="9">
        <f t="array" ref="J39">IFERROR(I39/G39*100,0)</f>
        <v>9.6959122632103689</v>
      </c>
      <c r="K39" s="143">
        <f t="array" ref="K39">INDEX([46]perbandingan!$L$24:$L$231,MATCH(1,([46]perbandingan!$E$24:$E$231=$D39)*([46]perbandingan!$E$24:$E$231=$D39),0))</f>
        <v>99</v>
      </c>
      <c r="L39" s="9">
        <f t="shared" si="0"/>
        <v>25.449871465295633</v>
      </c>
      <c r="M39" s="8" t="str">
        <f t="shared" si="3"/>
        <v>Perlu Pengendalian</v>
      </c>
      <c r="N39" s="148"/>
      <c r="O39" s="143" t="e">
        <f>MAX(#REF!,#REF!)</f>
        <v>#REF!</v>
      </c>
      <c r="P39" s="9" t="e">
        <f t="shared" si="4"/>
        <v>#REF!</v>
      </c>
      <c r="Q39" s="143" t="e">
        <f>MAX(#REF!,#REF!)</f>
        <v>#REF!</v>
      </c>
      <c r="R39" s="9">
        <f t="shared" si="1"/>
        <v>0</v>
      </c>
      <c r="S39" s="8" t="str">
        <f t="shared" si="5"/>
        <v>Belum Sensus</v>
      </c>
      <c r="T39" s="148"/>
      <c r="U39" s="143" t="e">
        <f>MAX(#REF!,#REF!)</f>
        <v>#REF!</v>
      </c>
      <c r="V39" s="143" t="e">
        <f>MAX(#REF!,#REF!)</f>
        <v>#REF!</v>
      </c>
      <c r="W39" s="9">
        <f t="shared" si="6"/>
        <v>0</v>
      </c>
      <c r="X39" s="8" t="str">
        <f t="shared" si="7"/>
        <v>Belum Sensus</v>
      </c>
      <c r="Y39" s="178">
        <v>46153</v>
      </c>
      <c r="Z39" s="143">
        <v>62</v>
      </c>
      <c r="AA39" s="9">
        <f t="shared" si="8"/>
        <v>1.5453639082751744</v>
      </c>
      <c r="AB39" s="143">
        <v>23</v>
      </c>
      <c r="AC39" s="9">
        <f t="shared" si="2"/>
        <v>37.096774193548384</v>
      </c>
      <c r="AD39" s="8" t="str">
        <f t="shared" si="9"/>
        <v>Perlu Pengendalian</v>
      </c>
      <c r="AE39" s="178">
        <v>46153</v>
      </c>
      <c r="AF39" s="143">
        <v>74</v>
      </c>
      <c r="AG39" s="143">
        <v>4</v>
      </c>
      <c r="AH39" s="9">
        <f t="shared" si="10"/>
        <v>5.4054054054054053</v>
      </c>
      <c r="AI39" s="8" t="str">
        <f t="shared" si="11"/>
        <v>Perlu Pengendalian</v>
      </c>
    </row>
    <row r="40" spans="1:35" x14ac:dyDescent="0.2">
      <c r="A40" s="8" t="s">
        <v>1273</v>
      </c>
      <c r="B40" s="8" t="s">
        <v>14</v>
      </c>
      <c r="C40" s="8" t="s">
        <v>47</v>
      </c>
      <c r="D40" s="8" t="s">
        <v>1308</v>
      </c>
      <c r="E40" s="9">
        <v>28.84</v>
      </c>
      <c r="F40" s="8" t="s">
        <v>1740</v>
      </c>
      <c r="G40" s="10">
        <v>4012</v>
      </c>
      <c r="H40" s="132">
        <v>46153</v>
      </c>
      <c r="I40" s="143">
        <f t="array" ref="I40">INDEX([46]perbandingan!$H$24:$H$231,MATCH(1,([46]perbandingan!$E$24:$E$231=$D40)*([46]perbandingan!$E$24:$E$231=$D40),0))</f>
        <v>234</v>
      </c>
      <c r="J40" s="9">
        <f t="array" ref="J40">IFERROR(I40/G40*100,0)</f>
        <v>5.8325024925224325</v>
      </c>
      <c r="K40" s="143">
        <f t="array" ref="K40">INDEX([46]perbandingan!$L$24:$L$231,MATCH(1,([46]perbandingan!$E$24:$E$231=$D40)*([46]perbandingan!$E$24:$E$231=$D40),0))</f>
        <v>129</v>
      </c>
      <c r="L40" s="9">
        <f t="shared" si="0"/>
        <v>55.128205128205131</v>
      </c>
      <c r="M40" s="8" t="str">
        <f t="shared" si="3"/>
        <v>Perlu Pengendalian</v>
      </c>
      <c r="N40" s="148"/>
      <c r="O40" s="143" t="e">
        <f>MAX(#REF!,#REF!)</f>
        <v>#REF!</v>
      </c>
      <c r="P40" s="9" t="e">
        <f t="shared" si="4"/>
        <v>#REF!</v>
      </c>
      <c r="Q40" s="143" t="e">
        <f>MAX(#REF!,#REF!)</f>
        <v>#REF!</v>
      </c>
      <c r="R40" s="9">
        <f t="shared" si="1"/>
        <v>0</v>
      </c>
      <c r="S40" s="8" t="str">
        <f t="shared" si="5"/>
        <v>Belum Sensus</v>
      </c>
      <c r="T40" s="148"/>
      <c r="U40" s="143" t="e">
        <f>MAX(#REF!,#REF!)</f>
        <v>#REF!</v>
      </c>
      <c r="V40" s="143" t="e">
        <f>MAX(#REF!,#REF!)</f>
        <v>#REF!</v>
      </c>
      <c r="W40" s="9">
        <f t="shared" si="6"/>
        <v>0</v>
      </c>
      <c r="X40" s="8" t="str">
        <f t="shared" si="7"/>
        <v>Belum Sensus</v>
      </c>
      <c r="Y40" s="178">
        <v>46153</v>
      </c>
      <c r="Z40" s="143">
        <v>93</v>
      </c>
      <c r="AA40" s="9">
        <f t="shared" si="8"/>
        <v>2.3180458624127618</v>
      </c>
      <c r="AB40" s="143">
        <v>43</v>
      </c>
      <c r="AC40" s="9">
        <f t="shared" si="2"/>
        <v>46.236559139784944</v>
      </c>
      <c r="AD40" s="8" t="str">
        <f t="shared" si="9"/>
        <v>Perlu Pengendalian</v>
      </c>
      <c r="AE40" s="178"/>
      <c r="AF40" s="143">
        <v>0</v>
      </c>
      <c r="AG40" s="143">
        <v>0</v>
      </c>
      <c r="AH40" s="9">
        <f t="shared" si="10"/>
        <v>0</v>
      </c>
      <c r="AI40" s="8" t="str">
        <f t="shared" si="11"/>
        <v>Belum Sensus</v>
      </c>
    </row>
    <row r="41" spans="1:35" x14ac:dyDescent="0.2">
      <c r="A41" s="8" t="s">
        <v>1273</v>
      </c>
      <c r="B41" s="8" t="s">
        <v>14</v>
      </c>
      <c r="C41" s="8" t="s">
        <v>47</v>
      </c>
      <c r="D41" s="8" t="s">
        <v>1309</v>
      </c>
      <c r="E41" s="9">
        <v>28.89</v>
      </c>
      <c r="F41" s="8" t="s">
        <v>1740</v>
      </c>
      <c r="G41" s="10">
        <v>4342</v>
      </c>
      <c r="H41" s="132">
        <v>46153</v>
      </c>
      <c r="I41" s="143">
        <f t="array" ref="I41">INDEX([46]perbandingan!$H$24:$H$231,MATCH(1,([46]perbandingan!$E$24:$E$231=$D41)*([46]perbandingan!$E$24:$E$231=$D41),0))</f>
        <v>145</v>
      </c>
      <c r="J41" s="9">
        <f t="array" ref="J41">IFERROR(I41/G41*100,0)</f>
        <v>3.339474896361124</v>
      </c>
      <c r="K41" s="143">
        <f t="array" ref="K41">INDEX([46]perbandingan!$L$24:$L$231,MATCH(1,([46]perbandingan!$E$24:$E$231=$D41)*([46]perbandingan!$E$24:$E$231=$D41),0))</f>
        <v>87</v>
      </c>
      <c r="L41" s="9">
        <f t="shared" si="0"/>
        <v>60</v>
      </c>
      <c r="M41" s="8" t="str">
        <f t="shared" si="3"/>
        <v>Perlu Pengendalian</v>
      </c>
      <c r="N41" s="148"/>
      <c r="O41" s="143" t="e">
        <f>MAX(#REF!,#REF!)</f>
        <v>#REF!</v>
      </c>
      <c r="P41" s="9" t="e">
        <f t="shared" si="4"/>
        <v>#REF!</v>
      </c>
      <c r="Q41" s="143" t="e">
        <f>MAX(#REF!,#REF!)</f>
        <v>#REF!</v>
      </c>
      <c r="R41" s="9">
        <f t="shared" si="1"/>
        <v>0</v>
      </c>
      <c r="S41" s="8" t="str">
        <f t="shared" si="5"/>
        <v>Belum Sensus</v>
      </c>
      <c r="T41" s="148"/>
      <c r="U41" s="143" t="e">
        <f>MAX(#REF!,#REF!)</f>
        <v>#REF!</v>
      </c>
      <c r="V41" s="143" t="e">
        <f>MAX(#REF!,#REF!)</f>
        <v>#REF!</v>
      </c>
      <c r="W41" s="9">
        <f t="shared" si="6"/>
        <v>0</v>
      </c>
      <c r="X41" s="8" t="str">
        <f t="shared" si="7"/>
        <v>Belum Sensus</v>
      </c>
      <c r="Y41" s="178"/>
      <c r="Z41" s="143"/>
      <c r="AA41" s="9">
        <f t="shared" si="8"/>
        <v>0</v>
      </c>
      <c r="AB41" s="143"/>
      <c r="AC41" s="9">
        <f t="shared" si="2"/>
        <v>0</v>
      </c>
      <c r="AD41" s="8" t="str">
        <f t="shared" si="9"/>
        <v>Belum Sensus</v>
      </c>
      <c r="AE41" s="178"/>
      <c r="AF41" s="143">
        <v>0</v>
      </c>
      <c r="AG41" s="143">
        <v>0</v>
      </c>
      <c r="AH41" s="9">
        <f t="shared" si="10"/>
        <v>0</v>
      </c>
      <c r="AI41" s="8" t="str">
        <f t="shared" si="11"/>
        <v>Belum Sensus</v>
      </c>
    </row>
    <row r="42" spans="1:35" x14ac:dyDescent="0.2">
      <c r="A42" s="8" t="s">
        <v>1273</v>
      </c>
      <c r="B42" s="8" t="s">
        <v>14</v>
      </c>
      <c r="C42" s="8" t="s">
        <v>47</v>
      </c>
      <c r="D42" s="8" t="s">
        <v>1310</v>
      </c>
      <c r="E42" s="9">
        <v>28.17</v>
      </c>
      <c r="F42" s="8" t="s">
        <v>1740</v>
      </c>
      <c r="G42" s="10">
        <v>3688</v>
      </c>
      <c r="H42" s="132">
        <v>46153</v>
      </c>
      <c r="I42" s="143">
        <f t="array" ref="I42">INDEX([46]perbandingan!$H$24:$H$231,MATCH(1,([46]perbandingan!$E$24:$E$231=$D42)*([46]perbandingan!$E$24:$E$231=$D42),0))</f>
        <v>115</v>
      </c>
      <c r="J42" s="9">
        <f t="array" ref="J42">IFERROR(I42/G42*100,0)</f>
        <v>3.1182212581344904</v>
      </c>
      <c r="K42" s="143">
        <f t="array" ref="K42">INDEX([46]perbandingan!$L$24:$L$231,MATCH(1,([46]perbandingan!$E$24:$E$231=$D42)*([46]perbandingan!$E$24:$E$231=$D42),0))</f>
        <v>65</v>
      </c>
      <c r="L42" s="9">
        <f t="shared" si="0"/>
        <v>56.521739130434781</v>
      </c>
      <c r="M42" s="8" t="str">
        <f t="shared" si="3"/>
        <v>Perlu Pengendalian</v>
      </c>
      <c r="N42" s="148"/>
      <c r="O42" s="143" t="e">
        <f>MAX(#REF!,#REF!)</f>
        <v>#REF!</v>
      </c>
      <c r="P42" s="9" t="e">
        <f t="shared" si="4"/>
        <v>#REF!</v>
      </c>
      <c r="Q42" s="143" t="e">
        <f>MAX(#REF!,#REF!)</f>
        <v>#REF!</v>
      </c>
      <c r="R42" s="9">
        <f t="shared" si="1"/>
        <v>0</v>
      </c>
      <c r="S42" s="8" t="str">
        <f t="shared" si="5"/>
        <v>Belum Sensus</v>
      </c>
      <c r="T42" s="148"/>
      <c r="U42" s="143" t="e">
        <f>MAX(#REF!,#REF!)</f>
        <v>#REF!</v>
      </c>
      <c r="V42" s="143" t="e">
        <f>MAX(#REF!,#REF!)</f>
        <v>#REF!</v>
      </c>
      <c r="W42" s="9">
        <f t="shared" si="6"/>
        <v>0</v>
      </c>
      <c r="X42" s="8" t="str">
        <f t="shared" si="7"/>
        <v>Belum Sensus</v>
      </c>
      <c r="Y42" s="178">
        <v>46153</v>
      </c>
      <c r="Z42" s="143">
        <v>33</v>
      </c>
      <c r="AA42" s="9">
        <f t="shared" si="8"/>
        <v>0.8947939262472886</v>
      </c>
      <c r="AB42" s="143">
        <v>7</v>
      </c>
      <c r="AC42" s="9">
        <f t="shared" si="2"/>
        <v>21.212121212121211</v>
      </c>
      <c r="AD42" s="8" t="str">
        <f t="shared" si="9"/>
        <v>Perlu Pengendalian</v>
      </c>
      <c r="AE42" s="178">
        <v>46153</v>
      </c>
      <c r="AF42" s="143">
        <v>196</v>
      </c>
      <c r="AG42" s="143">
        <v>36</v>
      </c>
      <c r="AH42" s="9">
        <f t="shared" si="10"/>
        <v>18.367346938775512</v>
      </c>
      <c r="AI42" s="8" t="str">
        <f t="shared" si="11"/>
        <v>Perlu Pengendalian</v>
      </c>
    </row>
    <row r="43" spans="1:35" x14ac:dyDescent="0.2">
      <c r="A43" s="8" t="s">
        <v>1273</v>
      </c>
      <c r="B43" s="8" t="s">
        <v>14</v>
      </c>
      <c r="C43" s="8" t="s">
        <v>47</v>
      </c>
      <c r="D43" s="8" t="s">
        <v>1311</v>
      </c>
      <c r="E43" s="9">
        <v>29.12</v>
      </c>
      <c r="F43" s="8" t="s">
        <v>1740</v>
      </c>
      <c r="G43" s="10">
        <v>3807</v>
      </c>
      <c r="H43" s="132">
        <v>46153</v>
      </c>
      <c r="I43" s="143">
        <f t="array" ref="I43">INDEX([46]perbandingan!$H$24:$H$231,MATCH(1,([46]perbandingan!$E$24:$E$231=$D43)*([46]perbandingan!$E$24:$E$231=$D43),0))</f>
        <v>256</v>
      </c>
      <c r="J43" s="9">
        <f t="array" ref="J43">IFERROR(I43/G43*100,0)</f>
        <v>6.7244549514053062</v>
      </c>
      <c r="K43" s="143">
        <f t="array" ref="K43">INDEX([46]perbandingan!$L$24:$L$231,MATCH(1,([46]perbandingan!$E$24:$E$231=$D43)*([46]perbandingan!$E$24:$E$231=$D43),0))</f>
        <v>145</v>
      </c>
      <c r="L43" s="9">
        <f t="shared" si="0"/>
        <v>56.640625</v>
      </c>
      <c r="M43" s="8" t="str">
        <f t="shared" si="3"/>
        <v>Perlu Pengendalian</v>
      </c>
      <c r="N43" s="148"/>
      <c r="O43" s="143" t="e">
        <f>MAX(#REF!,#REF!)</f>
        <v>#REF!</v>
      </c>
      <c r="P43" s="9" t="e">
        <f t="shared" si="4"/>
        <v>#REF!</v>
      </c>
      <c r="Q43" s="143" t="e">
        <f>MAX(#REF!,#REF!)</f>
        <v>#REF!</v>
      </c>
      <c r="R43" s="9">
        <f t="shared" si="1"/>
        <v>0</v>
      </c>
      <c r="S43" s="8" t="str">
        <f t="shared" si="5"/>
        <v>Belum Sensus</v>
      </c>
      <c r="T43" s="148"/>
      <c r="U43" s="143" t="e">
        <f>MAX(#REF!,#REF!)</f>
        <v>#REF!</v>
      </c>
      <c r="V43" s="143" t="e">
        <f>MAX(#REF!,#REF!)</f>
        <v>#REF!</v>
      </c>
      <c r="W43" s="9">
        <f t="shared" si="6"/>
        <v>0</v>
      </c>
      <c r="X43" s="8" t="str">
        <f t="shared" si="7"/>
        <v>Belum Sensus</v>
      </c>
      <c r="Y43" s="178">
        <v>46153</v>
      </c>
      <c r="Z43" s="143">
        <v>34</v>
      </c>
      <c r="AA43" s="9">
        <f t="shared" si="8"/>
        <v>0.89309167323351724</v>
      </c>
      <c r="AB43" s="143">
        <v>6</v>
      </c>
      <c r="AC43" s="9">
        <f t="shared" si="2"/>
        <v>17.647058823529413</v>
      </c>
      <c r="AD43" s="8" t="str">
        <f t="shared" si="9"/>
        <v>Perlu Pengendalian</v>
      </c>
      <c r="AE43" s="178">
        <v>46153</v>
      </c>
      <c r="AF43" s="143">
        <v>398</v>
      </c>
      <c r="AG43" s="143">
        <v>11</v>
      </c>
      <c r="AH43" s="9">
        <f t="shared" si="10"/>
        <v>2.7638190954773871</v>
      </c>
      <c r="AI43" s="8" t="str">
        <f t="shared" si="11"/>
        <v>Perlu Pengendalian</v>
      </c>
    </row>
    <row r="44" spans="1:35" x14ac:dyDescent="0.2">
      <c r="A44" s="8" t="s">
        <v>1273</v>
      </c>
      <c r="B44" s="8" t="s">
        <v>14</v>
      </c>
      <c r="C44" s="8" t="s">
        <v>47</v>
      </c>
      <c r="D44" s="8" t="s">
        <v>1312</v>
      </c>
      <c r="E44" s="9">
        <v>29.2</v>
      </c>
      <c r="F44" s="8" t="s">
        <v>1740</v>
      </c>
      <c r="G44" s="10">
        <v>3700</v>
      </c>
      <c r="H44" s="132">
        <v>46153</v>
      </c>
      <c r="I44" s="143">
        <f t="array" ref="I44">INDEX([46]perbandingan!$H$24:$H$231,MATCH(1,([46]perbandingan!$E$24:$E$231=$D44)*([46]perbandingan!$E$24:$E$231=$D44),0))</f>
        <v>299</v>
      </c>
      <c r="J44" s="9">
        <f t="array" ref="J44">IFERROR(I44/G44*100,0)</f>
        <v>8.0810810810810807</v>
      </c>
      <c r="K44" s="143">
        <f t="array" ref="K44">INDEX([46]perbandingan!$L$24:$L$231,MATCH(1,([46]perbandingan!$E$24:$E$231=$D44)*([46]perbandingan!$E$24:$E$231=$D44),0))</f>
        <v>24</v>
      </c>
      <c r="L44" s="9">
        <f t="shared" si="0"/>
        <v>8.0267558528428093</v>
      </c>
      <c r="M44" s="8" t="str">
        <f t="shared" si="3"/>
        <v>Perlu Pengendalian</v>
      </c>
      <c r="N44" s="148"/>
      <c r="O44" s="143" t="e">
        <f>MAX(#REF!,#REF!)</f>
        <v>#REF!</v>
      </c>
      <c r="P44" s="9" t="e">
        <f t="shared" si="4"/>
        <v>#REF!</v>
      </c>
      <c r="Q44" s="143" t="e">
        <f>MAX(#REF!,#REF!)</f>
        <v>#REF!</v>
      </c>
      <c r="R44" s="9">
        <f t="shared" si="1"/>
        <v>0</v>
      </c>
      <c r="S44" s="8" t="str">
        <f t="shared" si="5"/>
        <v>Belum Sensus</v>
      </c>
      <c r="T44" s="148"/>
      <c r="U44" s="143" t="e">
        <f>MAX(#REF!,#REF!)</f>
        <v>#REF!</v>
      </c>
      <c r="V44" s="143" t="e">
        <f>MAX(#REF!,#REF!)</f>
        <v>#REF!</v>
      </c>
      <c r="W44" s="9">
        <f t="shared" si="6"/>
        <v>0</v>
      </c>
      <c r="X44" s="8" t="str">
        <f t="shared" si="7"/>
        <v>Belum Sensus</v>
      </c>
      <c r="Y44" s="178"/>
      <c r="Z44" s="143"/>
      <c r="AA44" s="9">
        <f t="shared" si="8"/>
        <v>0</v>
      </c>
      <c r="AB44" s="143"/>
      <c r="AC44" s="9">
        <f t="shared" si="2"/>
        <v>0</v>
      </c>
      <c r="AD44" s="8" t="str">
        <f t="shared" si="9"/>
        <v>Belum Sensus</v>
      </c>
      <c r="AE44" s="178">
        <v>46153</v>
      </c>
      <c r="AF44" s="143">
        <v>704</v>
      </c>
      <c r="AG44" s="143">
        <v>135</v>
      </c>
      <c r="AH44" s="9">
        <f t="shared" si="10"/>
        <v>19.176136363636363</v>
      </c>
      <c r="AI44" s="8" t="str">
        <f t="shared" si="11"/>
        <v>Perlu Pengendalian</v>
      </c>
    </row>
    <row r="45" spans="1:35" x14ac:dyDescent="0.2">
      <c r="A45" s="8" t="s">
        <v>1273</v>
      </c>
      <c r="B45" s="8" t="s">
        <v>14</v>
      </c>
      <c r="C45" s="8" t="s">
        <v>47</v>
      </c>
      <c r="D45" s="8" t="s">
        <v>1313</v>
      </c>
      <c r="E45" s="9">
        <v>30.45</v>
      </c>
      <c r="F45" s="8" t="s">
        <v>1740</v>
      </c>
      <c r="G45" s="10">
        <v>3271</v>
      </c>
      <c r="H45" s="132">
        <v>46149</v>
      </c>
      <c r="I45" s="143">
        <f t="array" ref="I45">INDEX([46]perbandingan!$H$24:$H$231,MATCH(1,([46]perbandingan!$E$24:$E$231=$D45)*([46]perbandingan!$E$24:$E$231=$D45),0))</f>
        <v>199</v>
      </c>
      <c r="J45" s="9">
        <f t="array" ref="J45">IFERROR(I45/G45*100,0)</f>
        <v>6.0837664322837055</v>
      </c>
      <c r="K45" s="143">
        <f t="array" ref="K45">INDEX([46]perbandingan!$L$24:$L$231,MATCH(1,([46]perbandingan!$E$24:$E$231=$D45)*([46]perbandingan!$E$24:$E$231=$D45),0))</f>
        <v>34</v>
      </c>
      <c r="L45" s="9">
        <f t="shared" si="0"/>
        <v>17.08542713567839</v>
      </c>
      <c r="M45" s="8" t="str">
        <f t="shared" si="3"/>
        <v>Perlu Pengendalian</v>
      </c>
      <c r="N45" s="148"/>
      <c r="O45" s="143" t="e">
        <f>MAX(#REF!,#REF!)</f>
        <v>#REF!</v>
      </c>
      <c r="P45" s="9" t="e">
        <f t="shared" si="4"/>
        <v>#REF!</v>
      </c>
      <c r="Q45" s="143" t="e">
        <f>MAX(#REF!,#REF!)</f>
        <v>#REF!</v>
      </c>
      <c r="R45" s="9">
        <f t="shared" si="1"/>
        <v>0</v>
      </c>
      <c r="S45" s="8" t="str">
        <f t="shared" si="5"/>
        <v>Belum Sensus</v>
      </c>
      <c r="T45" s="148"/>
      <c r="U45" s="143" t="e">
        <f>MAX(#REF!,#REF!)</f>
        <v>#REF!</v>
      </c>
      <c r="V45" s="143" t="e">
        <f>MAX(#REF!,#REF!)</f>
        <v>#REF!</v>
      </c>
      <c r="W45" s="9">
        <f t="shared" si="6"/>
        <v>0</v>
      </c>
      <c r="X45" s="8" t="str">
        <f t="shared" si="7"/>
        <v>Belum Sensus</v>
      </c>
      <c r="Y45" s="178"/>
      <c r="Z45" s="143"/>
      <c r="AA45" s="9">
        <f t="shared" si="8"/>
        <v>0</v>
      </c>
      <c r="AB45" s="143"/>
      <c r="AC45" s="9">
        <f t="shared" si="2"/>
        <v>0</v>
      </c>
      <c r="AD45" s="8" t="str">
        <f t="shared" si="9"/>
        <v>Belum Sensus</v>
      </c>
      <c r="AE45" s="178">
        <v>46153</v>
      </c>
      <c r="AF45" s="143">
        <v>318</v>
      </c>
      <c r="AG45" s="143">
        <v>31</v>
      </c>
      <c r="AH45" s="9">
        <f t="shared" si="10"/>
        <v>9.7484276729559749</v>
      </c>
      <c r="AI45" s="8" t="str">
        <f t="shared" si="11"/>
        <v>Perlu Pengendalian</v>
      </c>
    </row>
    <row r="46" spans="1:35" x14ac:dyDescent="0.2">
      <c r="A46" s="8" t="s">
        <v>1273</v>
      </c>
      <c r="B46" s="8" t="s">
        <v>14</v>
      </c>
      <c r="C46" s="8" t="s">
        <v>47</v>
      </c>
      <c r="D46" s="8" t="s">
        <v>1314</v>
      </c>
      <c r="E46" s="9">
        <v>28.96</v>
      </c>
      <c r="F46" s="8" t="s">
        <v>1740</v>
      </c>
      <c r="G46" s="10">
        <v>3442</v>
      </c>
      <c r="H46" s="132">
        <v>46149</v>
      </c>
      <c r="I46" s="143">
        <f t="array" ref="I46">INDEX([46]perbandingan!$H$24:$H$231,MATCH(1,([46]perbandingan!$E$24:$E$231=$D46)*([46]perbandingan!$E$24:$E$231=$D46),0))</f>
        <v>387</v>
      </c>
      <c r="J46" s="9">
        <f t="array" ref="J46">IFERROR(I46/G46*100,0)</f>
        <v>11.243463102847182</v>
      </c>
      <c r="K46" s="143">
        <f t="array" ref="K46">INDEX([46]perbandingan!$L$24:$L$231,MATCH(1,([46]perbandingan!$E$24:$E$231=$D46)*([46]perbandingan!$E$24:$E$231=$D46),0))</f>
        <v>47</v>
      </c>
      <c r="L46" s="9">
        <f t="shared" si="0"/>
        <v>12.144702842377262</v>
      </c>
      <c r="M46" s="8" t="str">
        <f t="shared" si="3"/>
        <v>Perlu Pengendalian</v>
      </c>
      <c r="N46" s="148"/>
      <c r="O46" s="143" t="e">
        <f>MAX(#REF!,#REF!)</f>
        <v>#REF!</v>
      </c>
      <c r="P46" s="9" t="e">
        <f t="shared" si="4"/>
        <v>#REF!</v>
      </c>
      <c r="Q46" s="143" t="e">
        <f>MAX(#REF!,#REF!)</f>
        <v>#REF!</v>
      </c>
      <c r="R46" s="9">
        <f t="shared" si="1"/>
        <v>0</v>
      </c>
      <c r="S46" s="8" t="str">
        <f t="shared" si="5"/>
        <v>Belum Sensus</v>
      </c>
      <c r="T46" s="148"/>
      <c r="U46" s="143" t="e">
        <f>MAX(#REF!,#REF!)</f>
        <v>#REF!</v>
      </c>
      <c r="V46" s="143" t="e">
        <f>MAX(#REF!,#REF!)</f>
        <v>#REF!</v>
      </c>
      <c r="W46" s="9">
        <f t="shared" si="6"/>
        <v>0</v>
      </c>
      <c r="X46" s="8" t="str">
        <f t="shared" si="7"/>
        <v>Belum Sensus</v>
      </c>
      <c r="Y46" s="178">
        <v>46153</v>
      </c>
      <c r="Z46" s="143">
        <v>33</v>
      </c>
      <c r="AA46" s="9">
        <f t="shared" si="8"/>
        <v>0.95874491574665899</v>
      </c>
      <c r="AB46" s="143">
        <v>18</v>
      </c>
      <c r="AC46" s="9">
        <f t="shared" si="2"/>
        <v>54.54545454545454</v>
      </c>
      <c r="AD46" s="8" t="str">
        <f t="shared" si="9"/>
        <v>Perlu Pengendalian</v>
      </c>
      <c r="AE46" s="178">
        <v>46153</v>
      </c>
      <c r="AF46" s="143">
        <v>571</v>
      </c>
      <c r="AG46" s="143">
        <v>102</v>
      </c>
      <c r="AH46" s="9">
        <f t="shared" si="10"/>
        <v>17.863397548161121</v>
      </c>
      <c r="AI46" s="8" t="str">
        <f t="shared" si="11"/>
        <v>Perlu Pengendalian</v>
      </c>
    </row>
    <row r="47" spans="1:35" x14ac:dyDescent="0.2">
      <c r="A47" s="8" t="s">
        <v>1273</v>
      </c>
      <c r="B47" s="8" t="s">
        <v>14</v>
      </c>
      <c r="C47" s="8" t="s">
        <v>47</v>
      </c>
      <c r="D47" s="8" t="s">
        <v>1315</v>
      </c>
      <c r="E47" s="9">
        <v>27.98</v>
      </c>
      <c r="F47" s="8" t="s">
        <v>1740</v>
      </c>
      <c r="G47" s="10">
        <v>3700</v>
      </c>
      <c r="H47" s="132">
        <v>46149</v>
      </c>
      <c r="I47" s="143">
        <f t="array" ref="I47">INDEX([46]perbandingan!$H$24:$H$231,MATCH(1,([46]perbandingan!$E$24:$E$231=$D47)*([46]perbandingan!$E$24:$E$231=$D47),0))</f>
        <v>281</v>
      </c>
      <c r="J47" s="9">
        <f t="array" ref="J47">IFERROR(I47/G47*100,0)</f>
        <v>7.5945945945945947</v>
      </c>
      <c r="K47" s="143">
        <f t="array" ref="K47">INDEX([46]perbandingan!$L$24:$L$231,MATCH(1,([46]perbandingan!$E$24:$E$231=$D47)*([46]perbandingan!$E$24:$E$231=$D47),0))</f>
        <v>66</v>
      </c>
      <c r="L47" s="9">
        <f t="shared" si="0"/>
        <v>23.487544483985765</v>
      </c>
      <c r="M47" s="8" t="str">
        <f t="shared" si="3"/>
        <v>Perlu Pengendalian</v>
      </c>
      <c r="N47" s="148"/>
      <c r="O47" s="143" t="e">
        <f>MAX(#REF!,#REF!)</f>
        <v>#REF!</v>
      </c>
      <c r="P47" s="9" t="e">
        <f t="shared" si="4"/>
        <v>#REF!</v>
      </c>
      <c r="Q47" s="143" t="e">
        <f>MAX(#REF!,#REF!)</f>
        <v>#REF!</v>
      </c>
      <c r="R47" s="9">
        <f t="shared" si="1"/>
        <v>0</v>
      </c>
      <c r="S47" s="8" t="str">
        <f t="shared" si="5"/>
        <v>Belum Sensus</v>
      </c>
      <c r="T47" s="148"/>
      <c r="U47" s="143" t="e">
        <f>MAX(#REF!,#REF!)</f>
        <v>#REF!</v>
      </c>
      <c r="V47" s="143" t="e">
        <f>MAX(#REF!,#REF!)</f>
        <v>#REF!</v>
      </c>
      <c r="W47" s="9">
        <f t="shared" si="6"/>
        <v>0</v>
      </c>
      <c r="X47" s="8" t="str">
        <f t="shared" si="7"/>
        <v>Belum Sensus</v>
      </c>
      <c r="Y47" s="178">
        <v>46153</v>
      </c>
      <c r="Z47" s="143">
        <v>98</v>
      </c>
      <c r="AA47" s="9">
        <f t="shared" si="8"/>
        <v>2.6486486486486487</v>
      </c>
      <c r="AB47" s="143">
        <v>44</v>
      </c>
      <c r="AC47" s="9">
        <f t="shared" si="2"/>
        <v>44.897959183673471</v>
      </c>
      <c r="AD47" s="8" t="str">
        <f t="shared" si="9"/>
        <v>Perlu Pengendalian</v>
      </c>
      <c r="AE47" s="178">
        <v>46153</v>
      </c>
      <c r="AF47" s="143">
        <v>271</v>
      </c>
      <c r="AG47" s="143">
        <v>45</v>
      </c>
      <c r="AH47" s="9">
        <f t="shared" si="10"/>
        <v>16.605166051660518</v>
      </c>
      <c r="AI47" s="8" t="str">
        <f t="shared" si="11"/>
        <v>Perlu Pengendalian</v>
      </c>
    </row>
    <row r="48" spans="1:35" x14ac:dyDescent="0.2">
      <c r="A48" s="8" t="s">
        <v>1273</v>
      </c>
      <c r="B48" s="8" t="s">
        <v>14</v>
      </c>
      <c r="C48" s="8" t="s">
        <v>47</v>
      </c>
      <c r="D48" s="8" t="s">
        <v>1316</v>
      </c>
      <c r="E48" s="9">
        <v>29.74</v>
      </c>
      <c r="F48" s="8" t="s">
        <v>1740</v>
      </c>
      <c r="G48" s="10">
        <v>3974</v>
      </c>
      <c r="H48" s="132">
        <v>46149</v>
      </c>
      <c r="I48" s="143">
        <f t="array" ref="I48">INDEX([46]perbandingan!$H$24:$H$231,MATCH(1,([46]perbandingan!$E$24:$E$231=$D48)*([46]perbandingan!$E$24:$E$231=$D48),0))</f>
        <v>371</v>
      </c>
      <c r="J48" s="9">
        <f t="array" ref="J48">IFERROR(I48/G48*100,0)</f>
        <v>9.335681932561652</v>
      </c>
      <c r="K48" s="143">
        <f t="array" ref="K48">INDEX([46]perbandingan!$L$24:$L$231,MATCH(1,([46]perbandingan!$E$24:$E$231=$D48)*([46]perbandingan!$E$24:$E$231=$D48),0))</f>
        <v>17</v>
      </c>
      <c r="L48" s="9">
        <f t="shared" si="0"/>
        <v>4.5822102425876015</v>
      </c>
      <c r="M48" s="8" t="str">
        <f t="shared" si="3"/>
        <v>Perlu Pengendalian</v>
      </c>
      <c r="N48" s="148"/>
      <c r="O48" s="143" t="e">
        <f>MAX(#REF!,#REF!)</f>
        <v>#REF!</v>
      </c>
      <c r="P48" s="9" t="e">
        <f t="shared" si="4"/>
        <v>#REF!</v>
      </c>
      <c r="Q48" s="143" t="e">
        <f>MAX(#REF!,#REF!)</f>
        <v>#REF!</v>
      </c>
      <c r="R48" s="9">
        <f t="shared" si="1"/>
        <v>0</v>
      </c>
      <c r="S48" s="8" t="str">
        <f t="shared" si="5"/>
        <v>Belum Sensus</v>
      </c>
      <c r="T48" s="148"/>
      <c r="U48" s="143" t="e">
        <f>MAX(#REF!,#REF!)</f>
        <v>#REF!</v>
      </c>
      <c r="V48" s="143" t="e">
        <f>MAX(#REF!,#REF!)</f>
        <v>#REF!</v>
      </c>
      <c r="W48" s="9">
        <f t="shared" si="6"/>
        <v>0</v>
      </c>
      <c r="X48" s="8" t="str">
        <f t="shared" si="7"/>
        <v>Belum Sensus</v>
      </c>
      <c r="Y48" s="178">
        <v>46153</v>
      </c>
      <c r="Z48" s="143">
        <v>95</v>
      </c>
      <c r="AA48" s="9">
        <f t="shared" si="8"/>
        <v>2.3905385002516355</v>
      </c>
      <c r="AB48" s="143">
        <v>32</v>
      </c>
      <c r="AC48" s="9">
        <f t="shared" si="2"/>
        <v>33.684210526315788</v>
      </c>
      <c r="AD48" s="8" t="str">
        <f t="shared" si="9"/>
        <v>Perlu Pengendalian</v>
      </c>
      <c r="AE48" s="178">
        <v>46153</v>
      </c>
      <c r="AF48" s="143">
        <v>301</v>
      </c>
      <c r="AG48" s="143">
        <v>29</v>
      </c>
      <c r="AH48" s="9">
        <f t="shared" si="10"/>
        <v>9.6345514950166127</v>
      </c>
      <c r="AI48" s="8" t="str">
        <f t="shared" si="11"/>
        <v>Perlu Pengendalian</v>
      </c>
    </row>
    <row r="49" spans="1:35" x14ac:dyDescent="0.2">
      <c r="A49" s="8" t="s">
        <v>1273</v>
      </c>
      <c r="B49" s="8" t="s">
        <v>14</v>
      </c>
      <c r="C49" s="8" t="s">
        <v>47</v>
      </c>
      <c r="D49" s="8" t="s">
        <v>1317</v>
      </c>
      <c r="E49" s="9">
        <v>28.49</v>
      </c>
      <c r="F49" s="8" t="s">
        <v>1740</v>
      </c>
      <c r="G49" s="10">
        <v>3992</v>
      </c>
      <c r="H49" s="132">
        <v>46149</v>
      </c>
      <c r="I49" s="143">
        <f t="array" ref="I49">INDEX([46]perbandingan!$H$24:$H$231,MATCH(1,([46]perbandingan!$E$24:$E$231=$D49)*([46]perbandingan!$E$24:$E$231=$D49),0))</f>
        <v>166</v>
      </c>
      <c r="J49" s="9">
        <f t="array" ref="J49">IFERROR(I49/G49*100,0)</f>
        <v>4.1583166332665327</v>
      </c>
      <c r="K49" s="143">
        <f t="array" ref="K49">INDEX([46]perbandingan!$L$24:$L$231,MATCH(1,([46]perbandingan!$E$24:$E$231=$D49)*([46]perbandingan!$E$24:$E$231=$D49),0))</f>
        <v>35</v>
      </c>
      <c r="L49" s="9">
        <f t="shared" si="0"/>
        <v>21.084337349397593</v>
      </c>
      <c r="M49" s="8" t="str">
        <f t="shared" si="3"/>
        <v>Perlu Pengendalian</v>
      </c>
      <c r="N49" s="148"/>
      <c r="O49" s="143" t="e">
        <f>MAX(#REF!,#REF!)</f>
        <v>#REF!</v>
      </c>
      <c r="P49" s="9" t="e">
        <f t="shared" si="4"/>
        <v>#REF!</v>
      </c>
      <c r="Q49" s="143" t="e">
        <f>MAX(#REF!,#REF!)</f>
        <v>#REF!</v>
      </c>
      <c r="R49" s="9">
        <f t="shared" si="1"/>
        <v>0</v>
      </c>
      <c r="S49" s="8" t="str">
        <f t="shared" si="5"/>
        <v>Belum Sensus</v>
      </c>
      <c r="T49" s="148"/>
      <c r="U49" s="143" t="e">
        <f>MAX(#REF!,#REF!)</f>
        <v>#REF!</v>
      </c>
      <c r="V49" s="143" t="e">
        <f>MAX(#REF!,#REF!)</f>
        <v>#REF!</v>
      </c>
      <c r="W49" s="9">
        <f t="shared" si="6"/>
        <v>0</v>
      </c>
      <c r="X49" s="8" t="str">
        <f t="shared" si="7"/>
        <v>Belum Sensus</v>
      </c>
      <c r="Y49" s="178">
        <v>46153</v>
      </c>
      <c r="Z49" s="143">
        <v>66</v>
      </c>
      <c r="AA49" s="9">
        <f t="shared" si="8"/>
        <v>1.6533066132264529</v>
      </c>
      <c r="AB49" s="143">
        <v>24</v>
      </c>
      <c r="AC49" s="9">
        <f t="shared" si="2"/>
        <v>36.363636363636367</v>
      </c>
      <c r="AD49" s="8" t="str">
        <f t="shared" si="9"/>
        <v>Perlu Pengendalian</v>
      </c>
      <c r="AE49" s="178">
        <v>46153</v>
      </c>
      <c r="AF49" s="143">
        <v>388</v>
      </c>
      <c r="AG49" s="143">
        <v>57</v>
      </c>
      <c r="AH49" s="9">
        <f t="shared" si="10"/>
        <v>14.690721649484537</v>
      </c>
      <c r="AI49" s="8" t="str">
        <f t="shared" si="11"/>
        <v>Perlu Pengendalian</v>
      </c>
    </row>
    <row r="50" spans="1:35" x14ac:dyDescent="0.2">
      <c r="A50" s="8" t="s">
        <v>1273</v>
      </c>
      <c r="B50" s="8" t="s">
        <v>14</v>
      </c>
      <c r="C50" s="8" t="s">
        <v>47</v>
      </c>
      <c r="D50" s="8" t="s">
        <v>1318</v>
      </c>
      <c r="E50" s="9">
        <v>29.13</v>
      </c>
      <c r="F50" s="8" t="s">
        <v>1740</v>
      </c>
      <c r="G50" s="10">
        <v>4172</v>
      </c>
      <c r="H50" s="132">
        <v>46149</v>
      </c>
      <c r="I50" s="143">
        <f t="array" ref="I50">INDEX([46]perbandingan!$H$24:$H$231,MATCH(1,([46]perbandingan!$E$24:$E$231=$D50)*([46]perbandingan!$E$24:$E$231=$D50),0))</f>
        <v>396</v>
      </c>
      <c r="J50" s="9">
        <f t="array" ref="J50">IFERROR(I50/G50*100,0)</f>
        <v>9.4918504314477481</v>
      </c>
      <c r="K50" s="143">
        <f t="array" ref="K50">INDEX([46]perbandingan!$L$24:$L$231,MATCH(1,([46]perbandingan!$E$24:$E$231=$D50)*([46]perbandingan!$E$24:$E$231=$D50),0))</f>
        <v>23</v>
      </c>
      <c r="L50" s="9">
        <f t="shared" si="0"/>
        <v>5.808080808080808</v>
      </c>
      <c r="M50" s="8" t="str">
        <f t="shared" si="3"/>
        <v>Perlu Pengendalian</v>
      </c>
      <c r="N50" s="148"/>
      <c r="O50" s="143" t="e">
        <f>MAX(#REF!,#REF!)</f>
        <v>#REF!</v>
      </c>
      <c r="P50" s="9" t="e">
        <f t="shared" si="4"/>
        <v>#REF!</v>
      </c>
      <c r="Q50" s="143" t="e">
        <f>MAX(#REF!,#REF!)</f>
        <v>#REF!</v>
      </c>
      <c r="R50" s="9">
        <f t="shared" si="1"/>
        <v>0</v>
      </c>
      <c r="S50" s="8" t="str">
        <f t="shared" si="5"/>
        <v>Belum Sensus</v>
      </c>
      <c r="T50" s="148"/>
      <c r="U50" s="143" t="e">
        <f>MAX(#REF!,#REF!)</f>
        <v>#REF!</v>
      </c>
      <c r="V50" s="143" t="e">
        <f>MAX(#REF!,#REF!)</f>
        <v>#REF!</v>
      </c>
      <c r="W50" s="9">
        <f t="shared" si="6"/>
        <v>0</v>
      </c>
      <c r="X50" s="8" t="str">
        <f t="shared" si="7"/>
        <v>Belum Sensus</v>
      </c>
      <c r="Y50" s="178">
        <v>46153</v>
      </c>
      <c r="Z50" s="143">
        <v>33</v>
      </c>
      <c r="AA50" s="9">
        <f t="shared" si="8"/>
        <v>0.79098753595397886</v>
      </c>
      <c r="AB50" s="143">
        <v>11</v>
      </c>
      <c r="AC50" s="9">
        <f t="shared" si="2"/>
        <v>33.333333333333329</v>
      </c>
      <c r="AD50" s="8" t="str">
        <f t="shared" si="9"/>
        <v>Perlu Pengendalian</v>
      </c>
      <c r="AE50" s="178">
        <v>46153</v>
      </c>
      <c r="AF50" s="143">
        <v>291</v>
      </c>
      <c r="AG50" s="143">
        <v>25</v>
      </c>
      <c r="AH50" s="9">
        <f t="shared" si="10"/>
        <v>8.5910652920962196</v>
      </c>
      <c r="AI50" s="8" t="str">
        <f t="shared" si="11"/>
        <v>Perlu Pengendalian</v>
      </c>
    </row>
    <row r="51" spans="1:35" x14ac:dyDescent="0.2">
      <c r="A51" s="8" t="s">
        <v>1273</v>
      </c>
      <c r="B51" s="8" t="s">
        <v>14</v>
      </c>
      <c r="C51" s="8" t="s">
        <v>47</v>
      </c>
      <c r="D51" s="8" t="s">
        <v>1319</v>
      </c>
      <c r="E51" s="9">
        <v>26.64</v>
      </c>
      <c r="F51" s="8" t="s">
        <v>1740</v>
      </c>
      <c r="G51" s="10">
        <v>3516</v>
      </c>
      <c r="H51" s="132">
        <v>46149</v>
      </c>
      <c r="I51" s="143">
        <f t="array" ref="I51">INDEX([46]perbandingan!$H$24:$H$231,MATCH(1,([46]perbandingan!$E$24:$E$231=$D51)*([46]perbandingan!$E$24:$E$231=$D51),0))</f>
        <v>277</v>
      </c>
      <c r="J51" s="9">
        <f t="array" ref="J51">IFERROR(I51/G51*100,0)</f>
        <v>7.8782707622298069</v>
      </c>
      <c r="K51" s="143">
        <f t="array" ref="K51">INDEX([46]perbandingan!$L$24:$L$231,MATCH(1,([46]perbandingan!$E$24:$E$231=$D51)*([46]perbandingan!$E$24:$E$231=$D51),0))</f>
        <v>57</v>
      </c>
      <c r="L51" s="9">
        <f t="shared" si="0"/>
        <v>20.577617328519857</v>
      </c>
      <c r="M51" s="8" t="str">
        <f t="shared" si="3"/>
        <v>Perlu Pengendalian</v>
      </c>
      <c r="N51" s="148"/>
      <c r="O51" s="143" t="e">
        <f>MAX(#REF!,#REF!)</f>
        <v>#REF!</v>
      </c>
      <c r="P51" s="9" t="e">
        <f t="shared" si="4"/>
        <v>#REF!</v>
      </c>
      <c r="Q51" s="143" t="e">
        <f>MAX(#REF!,#REF!)</f>
        <v>#REF!</v>
      </c>
      <c r="R51" s="9">
        <f t="shared" si="1"/>
        <v>0</v>
      </c>
      <c r="S51" s="8" t="str">
        <f t="shared" si="5"/>
        <v>Belum Sensus</v>
      </c>
      <c r="T51" s="148"/>
      <c r="U51" s="143" t="e">
        <f>MAX(#REF!,#REF!)</f>
        <v>#REF!</v>
      </c>
      <c r="V51" s="143" t="e">
        <f>MAX(#REF!,#REF!)</f>
        <v>#REF!</v>
      </c>
      <c r="W51" s="9">
        <f t="shared" si="6"/>
        <v>0</v>
      </c>
      <c r="X51" s="8" t="str">
        <f t="shared" si="7"/>
        <v>Belum Sensus</v>
      </c>
      <c r="Y51" s="178">
        <v>46153</v>
      </c>
      <c r="Z51" s="143">
        <v>35</v>
      </c>
      <c r="AA51" s="9">
        <f t="shared" si="8"/>
        <v>0.99544937428896474</v>
      </c>
      <c r="AB51" s="143">
        <v>13</v>
      </c>
      <c r="AC51" s="9">
        <f t="shared" si="2"/>
        <v>37.142857142857146</v>
      </c>
      <c r="AD51" s="8" t="str">
        <f t="shared" si="9"/>
        <v>Perlu Pengendalian</v>
      </c>
      <c r="AE51" s="178">
        <v>46153</v>
      </c>
      <c r="AF51" s="143">
        <v>122</v>
      </c>
      <c r="AG51" s="143">
        <v>27</v>
      </c>
      <c r="AH51" s="9">
        <f t="shared" si="10"/>
        <v>22.131147540983605</v>
      </c>
      <c r="AI51" s="8" t="str">
        <f t="shared" si="11"/>
        <v>Perlu Pengendalian</v>
      </c>
    </row>
    <row r="52" spans="1:35" x14ac:dyDescent="0.2">
      <c r="A52" s="8" t="s">
        <v>1273</v>
      </c>
      <c r="B52" s="8" t="s">
        <v>14</v>
      </c>
      <c r="C52" s="8" t="s">
        <v>47</v>
      </c>
      <c r="D52" s="8" t="s">
        <v>1320</v>
      </c>
      <c r="E52" s="9">
        <v>31.18</v>
      </c>
      <c r="F52" s="8" t="s">
        <v>1740</v>
      </c>
      <c r="G52" s="10">
        <v>4067</v>
      </c>
      <c r="H52" s="132">
        <v>46149</v>
      </c>
      <c r="I52" s="143">
        <f t="array" ref="I52">INDEX([46]perbandingan!$H$24:$H$231,MATCH(1,([46]perbandingan!$E$24:$E$231=$D52)*([46]perbandingan!$E$24:$E$231=$D52),0))</f>
        <v>165</v>
      </c>
      <c r="J52" s="9">
        <f t="array" ref="J52">IFERROR(I52/G52*100,0)</f>
        <v>4.0570445045488075</v>
      </c>
      <c r="K52" s="143">
        <f t="array" ref="K52">INDEX([46]perbandingan!$L$24:$L$231,MATCH(1,([46]perbandingan!$E$24:$E$231=$D52)*([46]perbandingan!$E$24:$E$231=$D52),0))</f>
        <v>37</v>
      </c>
      <c r="L52" s="9">
        <f t="shared" si="0"/>
        <v>22.424242424242426</v>
      </c>
      <c r="M52" s="8" t="str">
        <f t="shared" si="3"/>
        <v>Perlu Pengendalian</v>
      </c>
      <c r="N52" s="148"/>
      <c r="O52" s="143" t="e">
        <f>MAX(#REF!,#REF!)</f>
        <v>#REF!</v>
      </c>
      <c r="P52" s="9" t="e">
        <f t="shared" si="4"/>
        <v>#REF!</v>
      </c>
      <c r="Q52" s="143" t="e">
        <f>MAX(#REF!,#REF!)</f>
        <v>#REF!</v>
      </c>
      <c r="R52" s="9">
        <f t="shared" si="1"/>
        <v>0</v>
      </c>
      <c r="S52" s="8" t="str">
        <f t="shared" si="5"/>
        <v>Belum Sensus</v>
      </c>
      <c r="T52" s="148"/>
      <c r="U52" s="143" t="e">
        <f>MAX(#REF!,#REF!)</f>
        <v>#REF!</v>
      </c>
      <c r="V52" s="143" t="e">
        <f>MAX(#REF!,#REF!)</f>
        <v>#REF!</v>
      </c>
      <c r="W52" s="9">
        <f t="shared" si="6"/>
        <v>0</v>
      </c>
      <c r="X52" s="8" t="str">
        <f t="shared" si="7"/>
        <v>Belum Sensus</v>
      </c>
      <c r="Y52" s="178"/>
      <c r="Z52" s="143"/>
      <c r="AA52" s="9">
        <f t="shared" si="8"/>
        <v>0</v>
      </c>
      <c r="AB52" s="143"/>
      <c r="AC52" s="9">
        <f t="shared" si="2"/>
        <v>0</v>
      </c>
      <c r="AD52" s="8" t="str">
        <f t="shared" si="9"/>
        <v>Belum Sensus</v>
      </c>
      <c r="AE52" s="178">
        <v>46153</v>
      </c>
      <c r="AF52" s="143">
        <v>324</v>
      </c>
      <c r="AG52" s="143">
        <v>31</v>
      </c>
      <c r="AH52" s="9">
        <f t="shared" si="10"/>
        <v>9.5679012345679002</v>
      </c>
      <c r="AI52" s="8" t="str">
        <f t="shared" si="11"/>
        <v>Perlu Pengendalian</v>
      </c>
    </row>
    <row r="53" spans="1:35" x14ac:dyDescent="0.2">
      <c r="A53" s="8" t="s">
        <v>1273</v>
      </c>
      <c r="B53" s="8" t="s">
        <v>14</v>
      </c>
      <c r="C53" s="8" t="s">
        <v>47</v>
      </c>
      <c r="D53" s="8" t="s">
        <v>1321</v>
      </c>
      <c r="E53" s="9">
        <v>28.33</v>
      </c>
      <c r="F53" s="8" t="s">
        <v>1740</v>
      </c>
      <c r="G53" s="10">
        <v>3561</v>
      </c>
      <c r="H53" s="132">
        <v>46149</v>
      </c>
      <c r="I53" s="143">
        <f t="array" ref="I53">INDEX([46]perbandingan!$H$24:$H$231,MATCH(1,([46]perbandingan!$E$24:$E$231=$D53)*([46]perbandingan!$E$24:$E$231=$D53),0))</f>
        <v>246</v>
      </c>
      <c r="J53" s="9">
        <f t="array" ref="J53">IFERROR(I53/G53*100,0)</f>
        <v>6.9081718618365624</v>
      </c>
      <c r="K53" s="143">
        <f t="array" ref="K53">INDEX([46]perbandingan!$L$24:$L$231,MATCH(1,([46]perbandingan!$E$24:$E$231=$D53)*([46]perbandingan!$E$24:$E$231=$D53),0))</f>
        <v>44</v>
      </c>
      <c r="L53" s="9">
        <f t="shared" si="0"/>
        <v>17.886178861788618</v>
      </c>
      <c r="M53" s="8" t="str">
        <f t="shared" si="3"/>
        <v>Perlu Pengendalian</v>
      </c>
      <c r="N53" s="148"/>
      <c r="O53" s="143" t="e">
        <f>MAX(#REF!,#REF!)</f>
        <v>#REF!</v>
      </c>
      <c r="P53" s="9" t="e">
        <f t="shared" si="4"/>
        <v>#REF!</v>
      </c>
      <c r="Q53" s="143" t="e">
        <f>MAX(#REF!,#REF!)</f>
        <v>#REF!</v>
      </c>
      <c r="R53" s="9">
        <f t="shared" si="1"/>
        <v>0</v>
      </c>
      <c r="S53" s="8" t="str">
        <f t="shared" si="5"/>
        <v>Belum Sensus</v>
      </c>
      <c r="T53" s="148"/>
      <c r="U53" s="143" t="e">
        <f>MAX(#REF!,#REF!)</f>
        <v>#REF!</v>
      </c>
      <c r="V53" s="143" t="e">
        <f>MAX(#REF!,#REF!)</f>
        <v>#REF!</v>
      </c>
      <c r="W53" s="9">
        <f t="shared" si="6"/>
        <v>0</v>
      </c>
      <c r="X53" s="8" t="str">
        <f t="shared" si="7"/>
        <v>Belum Sensus</v>
      </c>
      <c r="Y53" s="178"/>
      <c r="Z53" s="143"/>
      <c r="AA53" s="9">
        <f t="shared" si="8"/>
        <v>0</v>
      </c>
      <c r="AB53" s="143"/>
      <c r="AC53" s="9">
        <f t="shared" si="2"/>
        <v>0</v>
      </c>
      <c r="AD53" s="8" t="str">
        <f t="shared" si="9"/>
        <v>Belum Sensus</v>
      </c>
      <c r="AE53" s="178">
        <v>46153</v>
      </c>
      <c r="AF53" s="143">
        <v>444</v>
      </c>
      <c r="AG53" s="143">
        <v>50</v>
      </c>
      <c r="AH53" s="9">
        <f t="shared" si="10"/>
        <v>11.261261261261261</v>
      </c>
      <c r="AI53" s="8" t="str">
        <f t="shared" si="11"/>
        <v>Perlu Pengendalian</v>
      </c>
    </row>
    <row r="54" spans="1:35" x14ac:dyDescent="0.2">
      <c r="A54" s="8" t="s">
        <v>1273</v>
      </c>
      <c r="B54" s="8" t="s">
        <v>14</v>
      </c>
      <c r="C54" s="8" t="s">
        <v>47</v>
      </c>
      <c r="D54" s="8" t="s">
        <v>1322</v>
      </c>
      <c r="E54" s="9">
        <v>27.41</v>
      </c>
      <c r="F54" s="8" t="s">
        <v>1740</v>
      </c>
      <c r="G54" s="10">
        <v>2493</v>
      </c>
      <c r="H54" s="132">
        <v>46149</v>
      </c>
      <c r="I54" s="143">
        <f t="array" ref="I54">INDEX([46]perbandingan!$H$24:$H$231,MATCH(1,([46]perbandingan!$E$24:$E$231=$D54)*([46]perbandingan!$E$24:$E$231=$D54),0))</f>
        <v>372</v>
      </c>
      <c r="J54" s="9">
        <f t="array" ref="J54">IFERROR(I54/G54*100,0)</f>
        <v>14.921780986762936</v>
      </c>
      <c r="K54" s="143">
        <f t="array" ref="K54">INDEX([46]perbandingan!$L$24:$L$231,MATCH(1,([46]perbandingan!$E$24:$E$231=$D54)*([46]perbandingan!$E$24:$E$231=$D54),0))</f>
        <v>67</v>
      </c>
      <c r="L54" s="9">
        <f t="shared" si="0"/>
        <v>18.010752688172044</v>
      </c>
      <c r="M54" s="8" t="str">
        <f t="shared" si="3"/>
        <v>Perlu Pengendalian</v>
      </c>
      <c r="N54" s="148"/>
      <c r="O54" s="143" t="e">
        <f>MAX(#REF!,#REF!)</f>
        <v>#REF!</v>
      </c>
      <c r="P54" s="9" t="e">
        <f t="shared" si="4"/>
        <v>#REF!</v>
      </c>
      <c r="Q54" s="143" t="e">
        <f>MAX(#REF!,#REF!)</f>
        <v>#REF!</v>
      </c>
      <c r="R54" s="9">
        <f t="shared" si="1"/>
        <v>0</v>
      </c>
      <c r="S54" s="8" t="str">
        <f t="shared" si="5"/>
        <v>Belum Sensus</v>
      </c>
      <c r="T54" s="148"/>
      <c r="U54" s="143" t="e">
        <f>MAX(#REF!,#REF!)</f>
        <v>#REF!</v>
      </c>
      <c r="V54" s="143" t="e">
        <f>MAX(#REF!,#REF!)</f>
        <v>#REF!</v>
      </c>
      <c r="W54" s="9">
        <f t="shared" si="6"/>
        <v>0</v>
      </c>
      <c r="X54" s="8" t="str">
        <f t="shared" si="7"/>
        <v>Belum Sensus</v>
      </c>
      <c r="Y54" s="178"/>
      <c r="Z54" s="143">
        <v>0</v>
      </c>
      <c r="AA54" s="9">
        <f t="shared" si="8"/>
        <v>0</v>
      </c>
      <c r="AB54" s="143">
        <v>0</v>
      </c>
      <c r="AC54" s="9">
        <f t="shared" si="2"/>
        <v>0</v>
      </c>
      <c r="AD54" s="8" t="str">
        <f t="shared" si="9"/>
        <v>Belum Sensus</v>
      </c>
      <c r="AE54" s="178"/>
      <c r="AF54" s="143"/>
      <c r="AG54" s="143"/>
      <c r="AH54" s="9">
        <f t="shared" si="10"/>
        <v>0</v>
      </c>
      <c r="AI54" s="8" t="str">
        <f t="shared" si="11"/>
        <v>Belum Sensus</v>
      </c>
    </row>
    <row r="55" spans="1:35" x14ac:dyDescent="0.2">
      <c r="A55" s="8" t="s">
        <v>1273</v>
      </c>
      <c r="B55" s="8" t="s">
        <v>14</v>
      </c>
      <c r="C55" s="8" t="s">
        <v>47</v>
      </c>
      <c r="D55" s="8" t="s">
        <v>1323</v>
      </c>
      <c r="E55" s="9">
        <v>38.730000000000004</v>
      </c>
      <c r="F55" s="8" t="s">
        <v>1740</v>
      </c>
      <c r="G55" s="10">
        <v>4604</v>
      </c>
      <c r="H55" s="132">
        <v>46149</v>
      </c>
      <c r="I55" s="143">
        <f t="array" ref="I55">INDEX([46]perbandingan!$H$24:$H$231,MATCH(1,([46]perbandingan!$E$24:$E$231=$D55)*([46]perbandingan!$E$24:$E$231=$D55),0))</f>
        <v>188</v>
      </c>
      <c r="J55" s="9">
        <f t="array" ref="J55">IFERROR(I55/G55*100,0)</f>
        <v>4.0834057341442218</v>
      </c>
      <c r="K55" s="143">
        <f t="array" ref="K55">INDEX([46]perbandingan!$L$24:$L$231,MATCH(1,([46]perbandingan!$E$24:$E$231=$D55)*([46]perbandingan!$E$24:$E$231=$D55),0))</f>
        <v>23</v>
      </c>
      <c r="L55" s="9">
        <f t="shared" si="0"/>
        <v>12.23404255319149</v>
      </c>
      <c r="M55" s="8" t="str">
        <f t="shared" si="3"/>
        <v>Perlu Pengendalian</v>
      </c>
      <c r="N55" s="148"/>
      <c r="O55" s="143" t="e">
        <f>MAX(#REF!,#REF!)</f>
        <v>#REF!</v>
      </c>
      <c r="P55" s="9" t="e">
        <f t="shared" si="4"/>
        <v>#REF!</v>
      </c>
      <c r="Q55" s="143" t="e">
        <f>MAX(#REF!,#REF!)</f>
        <v>#REF!</v>
      </c>
      <c r="R55" s="9">
        <f t="shared" si="1"/>
        <v>0</v>
      </c>
      <c r="S55" s="8" t="str">
        <f t="shared" si="5"/>
        <v>Belum Sensus</v>
      </c>
      <c r="T55" s="148"/>
      <c r="U55" s="143" t="e">
        <f>MAX(#REF!,#REF!)</f>
        <v>#REF!</v>
      </c>
      <c r="V55" s="143" t="e">
        <f>MAX(#REF!,#REF!)</f>
        <v>#REF!</v>
      </c>
      <c r="W55" s="9">
        <f t="shared" si="6"/>
        <v>0</v>
      </c>
      <c r="X55" s="8" t="str">
        <f t="shared" si="7"/>
        <v>Belum Sensus</v>
      </c>
      <c r="Y55" s="178"/>
      <c r="Z55" s="143"/>
      <c r="AA55" s="9">
        <f t="shared" si="8"/>
        <v>0</v>
      </c>
      <c r="AB55" s="143"/>
      <c r="AC55" s="9">
        <f t="shared" si="2"/>
        <v>0</v>
      </c>
      <c r="AD55" s="8" t="str">
        <f t="shared" si="9"/>
        <v>Belum Sensus</v>
      </c>
      <c r="AE55" s="178"/>
      <c r="AF55" s="143">
        <v>0</v>
      </c>
      <c r="AG55" s="143">
        <v>0</v>
      </c>
      <c r="AH55" s="9">
        <f t="shared" si="10"/>
        <v>0</v>
      </c>
      <c r="AI55" s="8" t="str">
        <f t="shared" si="11"/>
        <v>Belum Sensus</v>
      </c>
    </row>
    <row r="56" spans="1:35" x14ac:dyDescent="0.2">
      <c r="A56" s="8" t="s">
        <v>1273</v>
      </c>
      <c r="B56" s="8" t="s">
        <v>14</v>
      </c>
      <c r="C56" s="8" t="s">
        <v>47</v>
      </c>
      <c r="D56" s="8" t="s">
        <v>1324</v>
      </c>
      <c r="E56" s="9">
        <v>29.55</v>
      </c>
      <c r="F56" s="8" t="s">
        <v>1740</v>
      </c>
      <c r="G56" s="10">
        <v>2895</v>
      </c>
      <c r="H56" s="132">
        <v>46149</v>
      </c>
      <c r="I56" s="143">
        <f t="array" ref="I56">INDEX([46]perbandingan!$H$24:$H$231,MATCH(1,([46]perbandingan!$E$24:$E$231=$D56)*([46]perbandingan!$E$24:$E$231=$D56),0))</f>
        <v>198</v>
      </c>
      <c r="J56" s="9">
        <f t="array" ref="J56">IFERROR(I56/G56*100,0)</f>
        <v>6.8393782383419683</v>
      </c>
      <c r="K56" s="143">
        <f t="array" ref="K56">INDEX([46]perbandingan!$L$24:$L$231,MATCH(1,([46]perbandingan!$E$24:$E$231=$D56)*([46]perbandingan!$E$24:$E$231=$D56),0))</f>
        <v>77</v>
      </c>
      <c r="L56" s="9">
        <f t="shared" si="0"/>
        <v>38.888888888888893</v>
      </c>
      <c r="M56" s="8" t="str">
        <f t="shared" si="3"/>
        <v>Perlu Pengendalian</v>
      </c>
      <c r="N56" s="148"/>
      <c r="O56" s="143" t="e">
        <f>MAX(#REF!,#REF!)</f>
        <v>#REF!</v>
      </c>
      <c r="P56" s="9" t="e">
        <f t="shared" si="4"/>
        <v>#REF!</v>
      </c>
      <c r="Q56" s="143" t="e">
        <f>MAX(#REF!,#REF!)</f>
        <v>#REF!</v>
      </c>
      <c r="R56" s="9">
        <f t="shared" si="1"/>
        <v>0</v>
      </c>
      <c r="S56" s="8" t="str">
        <f t="shared" si="5"/>
        <v>Belum Sensus</v>
      </c>
      <c r="T56" s="148"/>
      <c r="U56" s="143" t="e">
        <f>MAX(#REF!,#REF!)</f>
        <v>#REF!</v>
      </c>
      <c r="V56" s="143" t="e">
        <f>MAX(#REF!,#REF!)</f>
        <v>#REF!</v>
      </c>
      <c r="W56" s="9">
        <f t="shared" si="6"/>
        <v>0</v>
      </c>
      <c r="X56" s="8" t="str">
        <f t="shared" si="7"/>
        <v>Belum Sensus</v>
      </c>
      <c r="Y56" s="178"/>
      <c r="Z56" s="143"/>
      <c r="AA56" s="9">
        <f t="shared" si="8"/>
        <v>0</v>
      </c>
      <c r="AB56" s="143"/>
      <c r="AC56" s="9">
        <f t="shared" si="2"/>
        <v>0</v>
      </c>
      <c r="AD56" s="8" t="str">
        <f t="shared" si="9"/>
        <v>Belum Sensus</v>
      </c>
      <c r="AE56" s="178">
        <v>46153</v>
      </c>
      <c r="AF56" s="143">
        <v>221</v>
      </c>
      <c r="AG56" s="143">
        <v>33</v>
      </c>
      <c r="AH56" s="9">
        <f t="shared" si="10"/>
        <v>14.932126696832579</v>
      </c>
      <c r="AI56" s="8" t="str">
        <f t="shared" si="11"/>
        <v>Perlu Pengendalian</v>
      </c>
    </row>
    <row r="57" spans="1:35" x14ac:dyDescent="0.2">
      <c r="A57" s="8" t="s">
        <v>1273</v>
      </c>
      <c r="B57" s="8" t="s">
        <v>14</v>
      </c>
      <c r="C57" s="8" t="s">
        <v>47</v>
      </c>
      <c r="D57" s="8" t="s">
        <v>1325</v>
      </c>
      <c r="E57" s="9">
        <v>29.99</v>
      </c>
      <c r="F57" s="8" t="s">
        <v>1740</v>
      </c>
      <c r="G57" s="10">
        <v>3614</v>
      </c>
      <c r="H57" s="132">
        <v>46149</v>
      </c>
      <c r="I57" s="143">
        <f t="array" ref="I57">INDEX([46]perbandingan!$H$24:$H$231,MATCH(1,([46]perbandingan!$E$24:$E$231=$D57)*([46]perbandingan!$E$24:$E$231=$D57),0))</f>
        <v>132</v>
      </c>
      <c r="J57" s="9">
        <f t="array" ref="J57">IFERROR(I57/G57*100,0)</f>
        <v>3.6524626452684004</v>
      </c>
      <c r="K57" s="143">
        <f t="array" ref="K57">INDEX([46]perbandingan!$L$24:$L$231,MATCH(1,([46]perbandingan!$E$24:$E$231=$D57)*([46]perbandingan!$E$24:$E$231=$D57),0))</f>
        <v>16</v>
      </c>
      <c r="L57" s="9">
        <f t="shared" si="0"/>
        <v>12.121212121212121</v>
      </c>
      <c r="M57" s="8" t="str">
        <f t="shared" si="3"/>
        <v>Perlu Pengendalian</v>
      </c>
      <c r="N57" s="148"/>
      <c r="O57" s="143" t="e">
        <f>MAX(#REF!,#REF!)</f>
        <v>#REF!</v>
      </c>
      <c r="P57" s="9" t="e">
        <f t="shared" si="4"/>
        <v>#REF!</v>
      </c>
      <c r="Q57" s="143" t="e">
        <f>MAX(#REF!,#REF!)</f>
        <v>#REF!</v>
      </c>
      <c r="R57" s="9">
        <f t="shared" si="1"/>
        <v>0</v>
      </c>
      <c r="S57" s="8" t="str">
        <f t="shared" si="5"/>
        <v>Belum Sensus</v>
      </c>
      <c r="T57" s="148"/>
      <c r="U57" s="143" t="e">
        <f>MAX(#REF!,#REF!)</f>
        <v>#REF!</v>
      </c>
      <c r="V57" s="143" t="e">
        <f>MAX(#REF!,#REF!)</f>
        <v>#REF!</v>
      </c>
      <c r="W57" s="9">
        <f t="shared" si="6"/>
        <v>0</v>
      </c>
      <c r="X57" s="8" t="str">
        <f t="shared" si="7"/>
        <v>Belum Sensus</v>
      </c>
      <c r="Y57" s="178">
        <v>46153</v>
      </c>
      <c r="Z57" s="143">
        <v>30</v>
      </c>
      <c r="AA57" s="9">
        <f t="shared" si="8"/>
        <v>0.83010514665190926</v>
      </c>
      <c r="AB57" s="143">
        <v>8</v>
      </c>
      <c r="AC57" s="9">
        <f t="shared" si="2"/>
        <v>26.666666666666668</v>
      </c>
      <c r="AD57" s="8" t="str">
        <f t="shared" si="9"/>
        <v>Perlu Pengendalian</v>
      </c>
      <c r="AE57" s="178">
        <v>46153</v>
      </c>
      <c r="AF57" s="143">
        <v>285</v>
      </c>
      <c r="AG57" s="143">
        <v>37</v>
      </c>
      <c r="AH57" s="9">
        <f t="shared" si="10"/>
        <v>12.982456140350877</v>
      </c>
      <c r="AI57" s="8" t="str">
        <f t="shared" si="11"/>
        <v>Perlu Pengendalian</v>
      </c>
    </row>
    <row r="58" spans="1:35" x14ac:dyDescent="0.2">
      <c r="A58" s="8" t="s">
        <v>1273</v>
      </c>
      <c r="B58" s="8" t="s">
        <v>14</v>
      </c>
      <c r="C58" s="8" t="s">
        <v>47</v>
      </c>
      <c r="D58" s="8" t="s">
        <v>1326</v>
      </c>
      <c r="E58" s="9">
        <v>29.34</v>
      </c>
      <c r="F58" s="8" t="s">
        <v>1740</v>
      </c>
      <c r="G58" s="10">
        <v>4040</v>
      </c>
      <c r="H58" s="132">
        <v>46149</v>
      </c>
      <c r="I58" s="143">
        <f t="array" ref="I58">INDEX([46]perbandingan!$H$24:$H$231,MATCH(1,([46]perbandingan!$E$24:$E$231=$D58)*([46]perbandingan!$E$24:$E$231=$D58),0))</f>
        <v>138</v>
      </c>
      <c r="J58" s="9">
        <f t="array" ref="J58">IFERROR(I58/G58*100,0)</f>
        <v>3.4158415841584162</v>
      </c>
      <c r="K58" s="143">
        <f t="array" ref="K58">INDEX([46]perbandingan!$L$24:$L$231,MATCH(1,([46]perbandingan!$E$24:$E$231=$D58)*([46]perbandingan!$E$24:$E$231=$D58),0))</f>
        <v>31</v>
      </c>
      <c r="L58" s="9">
        <f t="shared" si="0"/>
        <v>22.463768115942027</v>
      </c>
      <c r="M58" s="8" t="str">
        <f t="shared" si="3"/>
        <v>Perlu Pengendalian</v>
      </c>
      <c r="N58" s="148"/>
      <c r="O58" s="143" t="e">
        <f>MAX(#REF!,#REF!)</f>
        <v>#REF!</v>
      </c>
      <c r="P58" s="9" t="e">
        <f t="shared" si="4"/>
        <v>#REF!</v>
      </c>
      <c r="Q58" s="143" t="e">
        <f>MAX(#REF!,#REF!)</f>
        <v>#REF!</v>
      </c>
      <c r="R58" s="9">
        <f t="shared" si="1"/>
        <v>0</v>
      </c>
      <c r="S58" s="8" t="str">
        <f t="shared" si="5"/>
        <v>Belum Sensus</v>
      </c>
      <c r="T58" s="148"/>
      <c r="U58" s="143" t="e">
        <f>MAX(#REF!,#REF!)</f>
        <v>#REF!</v>
      </c>
      <c r="V58" s="143" t="e">
        <f>MAX(#REF!,#REF!)</f>
        <v>#REF!</v>
      </c>
      <c r="W58" s="9">
        <f t="shared" si="6"/>
        <v>0</v>
      </c>
      <c r="X58" s="8" t="str">
        <f t="shared" si="7"/>
        <v>Belum Sensus</v>
      </c>
      <c r="Y58" s="178">
        <v>46153</v>
      </c>
      <c r="Z58" s="143">
        <v>31</v>
      </c>
      <c r="AA58" s="9">
        <f t="shared" si="8"/>
        <v>0.76732673267326734</v>
      </c>
      <c r="AB58" s="143">
        <v>13</v>
      </c>
      <c r="AC58" s="9">
        <f t="shared" si="2"/>
        <v>41.935483870967744</v>
      </c>
      <c r="AD58" s="8" t="str">
        <f t="shared" si="9"/>
        <v>Perlu Pengendalian</v>
      </c>
      <c r="AE58" s="178">
        <v>46153</v>
      </c>
      <c r="AF58" s="143">
        <v>632</v>
      </c>
      <c r="AG58" s="143">
        <v>57</v>
      </c>
      <c r="AH58" s="9">
        <f t="shared" si="10"/>
        <v>9.0189873417721511</v>
      </c>
      <c r="AI58" s="8" t="str">
        <f t="shared" si="11"/>
        <v>Perlu Pengendalian</v>
      </c>
    </row>
    <row r="59" spans="1:35" x14ac:dyDescent="0.2">
      <c r="A59" s="8" t="s">
        <v>1273</v>
      </c>
      <c r="B59" s="8" t="s">
        <v>14</v>
      </c>
      <c r="C59" s="8" t="s">
        <v>47</v>
      </c>
      <c r="D59" s="8" t="s">
        <v>1327</v>
      </c>
      <c r="E59" s="9">
        <v>29.53</v>
      </c>
      <c r="F59" s="8" t="s">
        <v>1740</v>
      </c>
      <c r="G59" s="10">
        <v>3835</v>
      </c>
      <c r="H59" s="132">
        <v>46149</v>
      </c>
      <c r="I59" s="143">
        <f t="array" ref="I59">INDEX([46]perbandingan!$H$24:$H$231,MATCH(1,([46]perbandingan!$E$24:$E$231=$D59)*([46]perbandingan!$E$24:$E$231=$D59),0))</f>
        <v>145</v>
      </c>
      <c r="J59" s="9">
        <f t="array" ref="J59">IFERROR(I59/G59*100,0)</f>
        <v>3.7809647979139509</v>
      </c>
      <c r="K59" s="143">
        <f t="array" ref="K59">INDEX([46]perbandingan!$L$24:$L$231,MATCH(1,([46]perbandingan!$E$24:$E$231=$D59)*([46]perbandingan!$E$24:$E$231=$D59),0))</f>
        <v>33</v>
      </c>
      <c r="L59" s="9">
        <f t="shared" si="0"/>
        <v>22.758620689655174</v>
      </c>
      <c r="M59" s="8" t="str">
        <f t="shared" si="3"/>
        <v>Perlu Pengendalian</v>
      </c>
      <c r="N59" s="148"/>
      <c r="O59" s="143" t="e">
        <f>MAX(#REF!,#REF!)</f>
        <v>#REF!</v>
      </c>
      <c r="P59" s="9" t="e">
        <f t="shared" si="4"/>
        <v>#REF!</v>
      </c>
      <c r="Q59" s="143" t="e">
        <f>MAX(#REF!,#REF!)</f>
        <v>#REF!</v>
      </c>
      <c r="R59" s="9">
        <f t="shared" si="1"/>
        <v>0</v>
      </c>
      <c r="S59" s="8" t="str">
        <f t="shared" si="5"/>
        <v>Belum Sensus</v>
      </c>
      <c r="T59" s="148"/>
      <c r="U59" s="143" t="e">
        <f>MAX(#REF!,#REF!)</f>
        <v>#REF!</v>
      </c>
      <c r="V59" s="143" t="e">
        <f>MAX(#REF!,#REF!)</f>
        <v>#REF!</v>
      </c>
      <c r="W59" s="9">
        <f t="shared" si="6"/>
        <v>0</v>
      </c>
      <c r="X59" s="8" t="str">
        <f t="shared" si="7"/>
        <v>Belum Sensus</v>
      </c>
      <c r="Y59" s="178">
        <v>46153</v>
      </c>
      <c r="Z59" s="143">
        <v>30</v>
      </c>
      <c r="AA59" s="9">
        <f t="shared" si="8"/>
        <v>0.78226857887874846</v>
      </c>
      <c r="AB59" s="143">
        <v>8</v>
      </c>
      <c r="AC59" s="9">
        <f t="shared" si="2"/>
        <v>26.666666666666668</v>
      </c>
      <c r="AD59" s="8" t="str">
        <f t="shared" si="9"/>
        <v>Perlu Pengendalian</v>
      </c>
      <c r="AE59" s="178">
        <v>46153</v>
      </c>
      <c r="AF59" s="143">
        <v>147</v>
      </c>
      <c r="AG59" s="143">
        <v>12</v>
      </c>
      <c r="AH59" s="9">
        <f t="shared" si="10"/>
        <v>8.1632653061224492</v>
      </c>
      <c r="AI59" s="8" t="str">
        <f t="shared" si="11"/>
        <v>Perlu Pengendalian</v>
      </c>
    </row>
    <row r="60" spans="1:35" x14ac:dyDescent="0.2">
      <c r="A60" s="8" t="s">
        <v>1273</v>
      </c>
      <c r="B60" s="8" t="s">
        <v>14</v>
      </c>
      <c r="C60" s="8" t="s">
        <v>47</v>
      </c>
      <c r="D60" s="8" t="s">
        <v>1328</v>
      </c>
      <c r="E60" s="9">
        <v>29.08</v>
      </c>
      <c r="F60" s="8" t="s">
        <v>1740</v>
      </c>
      <c r="G60" s="10">
        <v>3858</v>
      </c>
      <c r="H60" s="132">
        <v>46149</v>
      </c>
      <c r="I60" s="143">
        <f t="array" ref="I60">INDEX([46]perbandingan!$H$24:$H$231,MATCH(1,([46]perbandingan!$E$24:$E$231=$D60)*([46]perbandingan!$E$24:$E$231=$D60),0))</f>
        <v>148</v>
      </c>
      <c r="J60" s="9">
        <f t="array" ref="J60">IFERROR(I60/G60*100,0)</f>
        <v>3.8361845515811304</v>
      </c>
      <c r="K60" s="143">
        <f t="array" ref="K60">INDEX([46]perbandingan!$L$24:$L$231,MATCH(1,([46]perbandingan!$E$24:$E$231=$D60)*([46]perbandingan!$E$24:$E$231=$D60),0))</f>
        <v>45</v>
      </c>
      <c r="L60" s="9">
        <f t="shared" si="0"/>
        <v>30.405405405405407</v>
      </c>
      <c r="M60" s="8" t="str">
        <f t="shared" si="3"/>
        <v>Perlu Pengendalian</v>
      </c>
      <c r="N60" s="148"/>
      <c r="O60" s="143" t="e">
        <f>MAX(#REF!,#REF!)</f>
        <v>#REF!</v>
      </c>
      <c r="P60" s="9" t="e">
        <f t="shared" si="4"/>
        <v>#REF!</v>
      </c>
      <c r="Q60" s="143" t="e">
        <f>MAX(#REF!,#REF!)</f>
        <v>#REF!</v>
      </c>
      <c r="R60" s="9">
        <f t="shared" si="1"/>
        <v>0</v>
      </c>
      <c r="S60" s="8" t="str">
        <f t="shared" si="5"/>
        <v>Belum Sensus</v>
      </c>
      <c r="T60" s="148"/>
      <c r="U60" s="143" t="e">
        <f>MAX(#REF!,#REF!)</f>
        <v>#REF!</v>
      </c>
      <c r="V60" s="143" t="e">
        <f>MAX(#REF!,#REF!)</f>
        <v>#REF!</v>
      </c>
      <c r="W60" s="9">
        <f t="shared" si="6"/>
        <v>0</v>
      </c>
      <c r="X60" s="8" t="str">
        <f t="shared" si="7"/>
        <v>Belum Sensus</v>
      </c>
      <c r="Y60" s="178">
        <v>46153</v>
      </c>
      <c r="Z60" s="143">
        <v>30</v>
      </c>
      <c r="AA60" s="9">
        <f t="shared" si="8"/>
        <v>0.77760497667185069</v>
      </c>
      <c r="AB60" s="143">
        <v>8</v>
      </c>
      <c r="AC60" s="9">
        <f t="shared" si="2"/>
        <v>26.666666666666668</v>
      </c>
      <c r="AD60" s="8" t="str">
        <f t="shared" si="9"/>
        <v>Perlu Pengendalian</v>
      </c>
      <c r="AE60" s="178">
        <v>46153</v>
      </c>
      <c r="AF60" s="143">
        <v>727</v>
      </c>
      <c r="AG60" s="143">
        <v>73</v>
      </c>
      <c r="AH60" s="9">
        <f t="shared" si="10"/>
        <v>10.041265474552958</v>
      </c>
      <c r="AI60" s="8" t="str">
        <f t="shared" si="11"/>
        <v>Perlu Pengendalian</v>
      </c>
    </row>
    <row r="61" spans="1:35" x14ac:dyDescent="0.2">
      <c r="A61" s="8" t="s">
        <v>1273</v>
      </c>
      <c r="B61" s="8" t="s">
        <v>14</v>
      </c>
      <c r="C61" s="8" t="s">
        <v>47</v>
      </c>
      <c r="D61" s="8" t="s">
        <v>1329</v>
      </c>
      <c r="E61" s="9">
        <v>29.46</v>
      </c>
      <c r="F61" s="8" t="s">
        <v>1740</v>
      </c>
      <c r="G61" s="10">
        <v>4223</v>
      </c>
      <c r="H61" s="132">
        <v>46149</v>
      </c>
      <c r="I61" s="143">
        <f t="array" ref="I61">INDEX([46]perbandingan!$H$24:$H$231,MATCH(1,([46]perbandingan!$E$24:$E$231=$D61)*([46]perbandingan!$E$24:$E$231=$D61),0))</f>
        <v>167</v>
      </c>
      <c r="J61" s="9">
        <f t="array" ref="J61">IFERROR(I61/G61*100,0)</f>
        <v>3.9545346909779773</v>
      </c>
      <c r="K61" s="143">
        <f t="array" ref="K61">INDEX([46]perbandingan!$L$24:$L$231,MATCH(1,([46]perbandingan!$E$24:$E$231=$D61)*([46]perbandingan!$E$24:$E$231=$D61),0))</f>
        <v>67</v>
      </c>
      <c r="L61" s="9">
        <f t="shared" si="0"/>
        <v>40.119760479041915</v>
      </c>
      <c r="M61" s="8" t="str">
        <f t="shared" si="3"/>
        <v>Perlu Pengendalian</v>
      </c>
      <c r="N61" s="148"/>
      <c r="O61" s="143" t="e">
        <f>MAX(#REF!,#REF!)</f>
        <v>#REF!</v>
      </c>
      <c r="P61" s="9" t="e">
        <f t="shared" si="4"/>
        <v>#REF!</v>
      </c>
      <c r="Q61" s="143" t="e">
        <f>MAX(#REF!,#REF!)</f>
        <v>#REF!</v>
      </c>
      <c r="R61" s="9">
        <f t="shared" si="1"/>
        <v>0</v>
      </c>
      <c r="S61" s="8" t="str">
        <f t="shared" si="5"/>
        <v>Belum Sensus</v>
      </c>
      <c r="T61" s="148"/>
      <c r="U61" s="143" t="e">
        <f>MAX(#REF!,#REF!)</f>
        <v>#REF!</v>
      </c>
      <c r="V61" s="143" t="e">
        <f>MAX(#REF!,#REF!)</f>
        <v>#REF!</v>
      </c>
      <c r="W61" s="9">
        <f t="shared" si="6"/>
        <v>0</v>
      </c>
      <c r="X61" s="8" t="str">
        <f t="shared" si="7"/>
        <v>Belum Sensus</v>
      </c>
      <c r="Y61" s="178">
        <v>46153</v>
      </c>
      <c r="Z61" s="143">
        <v>31</v>
      </c>
      <c r="AA61" s="9">
        <f t="shared" si="8"/>
        <v>0.73407530191806769</v>
      </c>
      <c r="AB61" s="143">
        <v>6</v>
      </c>
      <c r="AC61" s="9">
        <f t="shared" si="2"/>
        <v>19.35483870967742</v>
      </c>
      <c r="AD61" s="8" t="str">
        <f t="shared" si="9"/>
        <v>Perlu Pengendalian</v>
      </c>
      <c r="AE61" s="178">
        <v>46153</v>
      </c>
      <c r="AF61" s="143">
        <v>83</v>
      </c>
      <c r="AG61" s="143">
        <v>7</v>
      </c>
      <c r="AH61" s="9">
        <f t="shared" si="10"/>
        <v>8.4337349397590362</v>
      </c>
      <c r="AI61" s="8" t="str">
        <f t="shared" si="11"/>
        <v>Perlu Pengendalian</v>
      </c>
    </row>
    <row r="62" spans="1:35" x14ac:dyDescent="0.2">
      <c r="A62" s="8" t="s">
        <v>1273</v>
      </c>
      <c r="B62" s="8" t="s">
        <v>14</v>
      </c>
      <c r="C62" s="8" t="s">
        <v>47</v>
      </c>
      <c r="D62" s="8" t="s">
        <v>1330</v>
      </c>
      <c r="E62" s="9">
        <v>28.63</v>
      </c>
      <c r="F62" s="8" t="s">
        <v>1740</v>
      </c>
      <c r="G62" s="10">
        <v>3689</v>
      </c>
      <c r="H62" s="132">
        <v>46149</v>
      </c>
      <c r="I62" s="143">
        <f t="array" ref="I62">INDEX([46]perbandingan!$H$24:$H$231,MATCH(1,([46]perbandingan!$E$24:$E$231=$D62)*([46]perbandingan!$E$24:$E$231=$D62),0))</f>
        <v>139</v>
      </c>
      <c r="J62" s="9">
        <f t="array" ref="J62">IFERROR(I62/G62*100,0)</f>
        <v>3.7679587964217944</v>
      </c>
      <c r="K62" s="143">
        <f t="array" ref="K62">INDEX([46]perbandingan!$L$24:$L$231,MATCH(1,([46]perbandingan!$E$24:$E$231=$D62)*([46]perbandingan!$E$24:$E$231=$D62),0))</f>
        <v>55</v>
      </c>
      <c r="L62" s="9">
        <f t="shared" si="0"/>
        <v>39.568345323741006</v>
      </c>
      <c r="M62" s="8" t="str">
        <f t="shared" si="3"/>
        <v>Perlu Pengendalian</v>
      </c>
      <c r="N62" s="148"/>
      <c r="O62" s="143" t="e">
        <f>MAX(#REF!,#REF!)</f>
        <v>#REF!</v>
      </c>
      <c r="P62" s="9" t="e">
        <f t="shared" si="4"/>
        <v>#REF!</v>
      </c>
      <c r="Q62" s="143" t="e">
        <f>MAX(#REF!,#REF!)</f>
        <v>#REF!</v>
      </c>
      <c r="R62" s="9">
        <f t="shared" si="1"/>
        <v>0</v>
      </c>
      <c r="S62" s="8" t="str">
        <f t="shared" si="5"/>
        <v>Belum Sensus</v>
      </c>
      <c r="T62" s="148"/>
      <c r="U62" s="143" t="e">
        <f>MAX(#REF!,#REF!)</f>
        <v>#REF!</v>
      </c>
      <c r="V62" s="143" t="e">
        <f>MAX(#REF!,#REF!)</f>
        <v>#REF!</v>
      </c>
      <c r="W62" s="9">
        <f t="shared" si="6"/>
        <v>0</v>
      </c>
      <c r="X62" s="8" t="str">
        <f t="shared" si="7"/>
        <v>Belum Sensus</v>
      </c>
      <c r="Y62" s="178">
        <v>46153</v>
      </c>
      <c r="Z62" s="143">
        <v>35</v>
      </c>
      <c r="AA62" s="9">
        <f t="shared" si="8"/>
        <v>0.94876660341555974</v>
      </c>
      <c r="AB62" s="143">
        <v>5</v>
      </c>
      <c r="AC62" s="9">
        <f t="shared" si="2"/>
        <v>14.285714285714285</v>
      </c>
      <c r="AD62" s="8" t="str">
        <f t="shared" si="9"/>
        <v>Perlu Pengendalian</v>
      </c>
      <c r="AE62" s="178"/>
      <c r="AF62" s="143">
        <v>0</v>
      </c>
      <c r="AG62" s="143">
        <v>0</v>
      </c>
      <c r="AH62" s="9">
        <f t="shared" si="10"/>
        <v>0</v>
      </c>
      <c r="AI62" s="8" t="str">
        <f t="shared" si="11"/>
        <v>Belum Sensus</v>
      </c>
    </row>
    <row r="63" spans="1:35" x14ac:dyDescent="0.2">
      <c r="A63" s="8" t="s">
        <v>1273</v>
      </c>
      <c r="B63" s="8" t="s">
        <v>14</v>
      </c>
      <c r="C63" s="8" t="s">
        <v>47</v>
      </c>
      <c r="D63" s="8" t="s">
        <v>1331</v>
      </c>
      <c r="E63" s="9">
        <v>27.93</v>
      </c>
      <c r="F63" s="8" t="s">
        <v>1740</v>
      </c>
      <c r="G63" s="10">
        <v>3298</v>
      </c>
      <c r="H63" s="132">
        <v>46149</v>
      </c>
      <c r="I63" s="143">
        <f t="array" ref="I63">INDEX([46]perbandingan!$H$24:$H$231,MATCH(1,([46]perbandingan!$E$24:$E$231=$D63)*([46]perbandingan!$E$24:$E$231=$D63),0))</f>
        <v>137</v>
      </c>
      <c r="J63" s="9">
        <f t="array" ref="J63">IFERROR(I63/G63*100,0)</f>
        <v>4.1540327471194658</v>
      </c>
      <c r="K63" s="143">
        <f t="array" ref="K63">INDEX([46]perbandingan!$L$24:$L$231,MATCH(1,([46]perbandingan!$E$24:$E$231=$D63)*([46]perbandingan!$E$24:$E$231=$D63),0))</f>
        <v>21</v>
      </c>
      <c r="L63" s="9">
        <f t="shared" si="0"/>
        <v>15.328467153284672</v>
      </c>
      <c r="M63" s="8" t="str">
        <f t="shared" si="3"/>
        <v>Perlu Pengendalian</v>
      </c>
      <c r="N63" s="148"/>
      <c r="O63" s="143" t="e">
        <f>MAX(#REF!,#REF!)</f>
        <v>#REF!</v>
      </c>
      <c r="P63" s="9" t="e">
        <f t="shared" si="4"/>
        <v>#REF!</v>
      </c>
      <c r="Q63" s="143" t="e">
        <f>MAX(#REF!,#REF!)</f>
        <v>#REF!</v>
      </c>
      <c r="R63" s="9">
        <f t="shared" si="1"/>
        <v>0</v>
      </c>
      <c r="S63" s="8" t="str">
        <f t="shared" si="5"/>
        <v>Belum Sensus</v>
      </c>
      <c r="T63" s="148"/>
      <c r="U63" s="143" t="e">
        <f>MAX(#REF!,#REF!)</f>
        <v>#REF!</v>
      </c>
      <c r="V63" s="143" t="e">
        <f>MAX(#REF!,#REF!)</f>
        <v>#REF!</v>
      </c>
      <c r="W63" s="9">
        <f t="shared" si="6"/>
        <v>0</v>
      </c>
      <c r="X63" s="8" t="str">
        <f t="shared" si="7"/>
        <v>Belum Sensus</v>
      </c>
      <c r="Y63" s="178">
        <v>46153</v>
      </c>
      <c r="Z63" s="143">
        <v>31</v>
      </c>
      <c r="AA63" s="9">
        <f t="shared" si="8"/>
        <v>0.93996361431170405</v>
      </c>
      <c r="AB63" s="143">
        <v>2</v>
      </c>
      <c r="AC63" s="9">
        <f t="shared" si="2"/>
        <v>6.4516129032258061</v>
      </c>
      <c r="AD63" s="8" t="str">
        <f t="shared" si="9"/>
        <v>Perlu Pengendalian</v>
      </c>
      <c r="AE63" s="178"/>
      <c r="AF63" s="143">
        <v>0</v>
      </c>
      <c r="AG63" s="143">
        <v>0</v>
      </c>
      <c r="AH63" s="9">
        <f t="shared" si="10"/>
        <v>0</v>
      </c>
      <c r="AI63" s="8" t="str">
        <f t="shared" si="11"/>
        <v>Belum Sensus</v>
      </c>
    </row>
    <row r="64" spans="1:35" x14ac:dyDescent="0.2">
      <c r="A64" s="8" t="s">
        <v>1273</v>
      </c>
      <c r="B64" s="8" t="s">
        <v>14</v>
      </c>
      <c r="C64" s="8" t="s">
        <v>47</v>
      </c>
      <c r="D64" s="8" t="s">
        <v>1332</v>
      </c>
      <c r="E64" s="9">
        <v>41.41</v>
      </c>
      <c r="F64" s="8" t="s">
        <v>1740</v>
      </c>
      <c r="G64" s="10">
        <v>4754</v>
      </c>
      <c r="H64" s="132">
        <v>46149</v>
      </c>
      <c r="I64" s="143">
        <f t="array" ref="I64">INDEX([46]perbandingan!$H$24:$H$231,MATCH(1,([46]perbandingan!$E$24:$E$231=$D64)*([46]perbandingan!$E$24:$E$231=$D64),0))</f>
        <v>247</v>
      </c>
      <c r="J64" s="9">
        <f t="array" ref="J64">IFERROR(I64/G64*100,0)</f>
        <v>5.1956247370635253</v>
      </c>
      <c r="K64" s="143">
        <f t="array" ref="K64">INDEX([46]perbandingan!$L$24:$L$231,MATCH(1,([46]perbandingan!$E$24:$E$231=$D64)*([46]perbandingan!$E$24:$E$231=$D64),0))</f>
        <v>52</v>
      </c>
      <c r="L64" s="9">
        <f t="shared" si="0"/>
        <v>21.052631578947366</v>
      </c>
      <c r="M64" s="8" t="str">
        <f t="shared" si="3"/>
        <v>Perlu Pengendalian</v>
      </c>
      <c r="N64" s="148"/>
      <c r="O64" s="143" t="e">
        <f>MAX(#REF!,#REF!)</f>
        <v>#REF!</v>
      </c>
      <c r="P64" s="9" t="e">
        <f t="shared" si="4"/>
        <v>#REF!</v>
      </c>
      <c r="Q64" s="143" t="e">
        <f>MAX(#REF!,#REF!)</f>
        <v>#REF!</v>
      </c>
      <c r="R64" s="9">
        <f t="shared" si="1"/>
        <v>0</v>
      </c>
      <c r="S64" s="8" t="str">
        <f t="shared" si="5"/>
        <v>Belum Sensus</v>
      </c>
      <c r="T64" s="148"/>
      <c r="U64" s="143" t="e">
        <f>MAX(#REF!,#REF!)</f>
        <v>#REF!</v>
      </c>
      <c r="V64" s="143" t="e">
        <f>MAX(#REF!,#REF!)</f>
        <v>#REF!</v>
      </c>
      <c r="W64" s="9">
        <f t="shared" si="6"/>
        <v>0</v>
      </c>
      <c r="X64" s="8" t="str">
        <f t="shared" si="7"/>
        <v>Belum Sensus</v>
      </c>
      <c r="Y64" s="178"/>
      <c r="Z64" s="143">
        <v>0</v>
      </c>
      <c r="AA64" s="9">
        <f t="shared" si="8"/>
        <v>0</v>
      </c>
      <c r="AB64" s="143">
        <v>0</v>
      </c>
      <c r="AC64" s="9">
        <f t="shared" si="2"/>
        <v>0</v>
      </c>
      <c r="AD64" s="8" t="str">
        <f t="shared" si="9"/>
        <v>Belum Sensus</v>
      </c>
      <c r="AE64" s="178"/>
      <c r="AF64" s="143"/>
      <c r="AG64" s="143"/>
      <c r="AH64" s="9">
        <f t="shared" si="10"/>
        <v>0</v>
      </c>
      <c r="AI64" s="8" t="str">
        <f t="shared" si="11"/>
        <v>Belum Sensus</v>
      </c>
    </row>
    <row r="65" spans="1:35" x14ac:dyDescent="0.2">
      <c r="A65" s="8" t="s">
        <v>1273</v>
      </c>
      <c r="B65" s="8" t="s">
        <v>14</v>
      </c>
      <c r="C65" s="8" t="s">
        <v>79</v>
      </c>
      <c r="D65" s="8" t="s">
        <v>1333</v>
      </c>
      <c r="E65" s="9">
        <v>40.480000000000004</v>
      </c>
      <c r="F65" s="8" t="s">
        <v>1740</v>
      </c>
      <c r="G65" s="10">
        <v>5338</v>
      </c>
      <c r="H65" s="132">
        <v>46149</v>
      </c>
      <c r="I65" s="143">
        <f t="array" ref="I65">INDEX([46]perbandingan!$H$24:$H$231,MATCH(1,([46]perbandingan!$E$24:$E$231=$D65)*([46]perbandingan!$E$24:$E$231=$D65),0))</f>
        <v>367</v>
      </c>
      <c r="J65" s="9">
        <f t="array" ref="J65">IFERROR(I65/G65*100,0)</f>
        <v>6.8752341701011614</v>
      </c>
      <c r="K65" s="143">
        <f t="array" ref="K65">INDEX([46]perbandingan!$L$24:$L$231,MATCH(1,([46]perbandingan!$E$24:$E$231=$D65)*([46]perbandingan!$E$24:$E$231=$D65),0))</f>
        <v>27</v>
      </c>
      <c r="L65" s="9">
        <f t="shared" si="0"/>
        <v>7.3569482288828345</v>
      </c>
      <c r="M65" s="8" t="str">
        <f t="shared" si="3"/>
        <v>Perlu Pengendalian</v>
      </c>
      <c r="N65" s="148"/>
      <c r="O65" s="143" t="e">
        <f>MAX(#REF!,#REF!)</f>
        <v>#REF!</v>
      </c>
      <c r="P65" s="9" t="e">
        <f t="shared" si="4"/>
        <v>#REF!</v>
      </c>
      <c r="Q65" s="143" t="e">
        <f>MAX(#REF!,#REF!)</f>
        <v>#REF!</v>
      </c>
      <c r="R65" s="9">
        <f t="shared" si="1"/>
        <v>0</v>
      </c>
      <c r="S65" s="8" t="str">
        <f t="shared" si="5"/>
        <v>Belum Sensus</v>
      </c>
      <c r="T65" s="148"/>
      <c r="U65" s="143" t="e">
        <f>MAX(#REF!,#REF!)</f>
        <v>#REF!</v>
      </c>
      <c r="V65" s="143" t="e">
        <f>MAX(#REF!,#REF!)</f>
        <v>#REF!</v>
      </c>
      <c r="W65" s="9">
        <f t="shared" si="6"/>
        <v>0</v>
      </c>
      <c r="X65" s="8" t="str">
        <f t="shared" si="7"/>
        <v>Belum Sensus</v>
      </c>
      <c r="Y65" s="178">
        <v>46153</v>
      </c>
      <c r="Z65" s="143">
        <v>69</v>
      </c>
      <c r="AA65" s="9">
        <f t="shared" si="8"/>
        <v>1.2926189584113901</v>
      </c>
      <c r="AB65" s="143">
        <v>36</v>
      </c>
      <c r="AC65" s="9">
        <f t="shared" si="2"/>
        <v>52.173913043478258</v>
      </c>
      <c r="AD65" s="8" t="str">
        <f t="shared" si="9"/>
        <v>Perlu Pengendalian</v>
      </c>
      <c r="AE65" s="178"/>
      <c r="AF65" s="143">
        <v>0</v>
      </c>
      <c r="AG65" s="143">
        <v>0</v>
      </c>
      <c r="AH65" s="9">
        <f t="shared" si="10"/>
        <v>0</v>
      </c>
      <c r="AI65" s="8" t="str">
        <f t="shared" si="11"/>
        <v>Belum Sensus</v>
      </c>
    </row>
    <row r="66" spans="1:35" x14ac:dyDescent="0.2">
      <c r="A66" s="8" t="s">
        <v>1273</v>
      </c>
      <c r="B66" s="8" t="s">
        <v>14</v>
      </c>
      <c r="C66" s="8" t="s">
        <v>79</v>
      </c>
      <c r="D66" s="8" t="s">
        <v>1334</v>
      </c>
      <c r="E66" s="9">
        <v>31.86</v>
      </c>
      <c r="F66" s="8" t="s">
        <v>1740</v>
      </c>
      <c r="G66" s="10">
        <v>3923</v>
      </c>
      <c r="H66" s="132">
        <v>46149</v>
      </c>
      <c r="I66" s="143">
        <f t="array" ref="I66">INDEX([46]perbandingan!$H$24:$H$231,MATCH(1,([46]perbandingan!$E$24:$E$231=$D66)*([46]perbandingan!$E$24:$E$231=$D66),0))</f>
        <v>259</v>
      </c>
      <c r="J66" s="9">
        <f t="array" ref="J66">IFERROR(I66/G66*100,0)</f>
        <v>6.6020902370634724</v>
      </c>
      <c r="K66" s="143">
        <f t="array" ref="K66">INDEX([46]perbandingan!$L$24:$L$231,MATCH(1,([46]perbandingan!$E$24:$E$231=$D66)*([46]perbandingan!$E$24:$E$231=$D66),0))</f>
        <v>18</v>
      </c>
      <c r="L66" s="9">
        <f t="shared" si="0"/>
        <v>6.9498069498069501</v>
      </c>
      <c r="M66" s="8" t="str">
        <f t="shared" si="3"/>
        <v>Perlu Pengendalian</v>
      </c>
      <c r="N66" s="148"/>
      <c r="O66" s="143" t="e">
        <f>MAX(#REF!,#REF!)</f>
        <v>#REF!</v>
      </c>
      <c r="P66" s="9" t="e">
        <f t="shared" si="4"/>
        <v>#REF!</v>
      </c>
      <c r="Q66" s="143" t="e">
        <f>MAX(#REF!,#REF!)</f>
        <v>#REF!</v>
      </c>
      <c r="R66" s="9">
        <f t="shared" si="1"/>
        <v>0</v>
      </c>
      <c r="S66" s="8" t="str">
        <f t="shared" si="5"/>
        <v>Belum Sensus</v>
      </c>
      <c r="T66" s="148"/>
      <c r="U66" s="143" t="e">
        <f>MAX(#REF!,#REF!)</f>
        <v>#REF!</v>
      </c>
      <c r="V66" s="143" t="e">
        <f>MAX(#REF!,#REF!)</f>
        <v>#REF!</v>
      </c>
      <c r="W66" s="9">
        <f t="shared" si="6"/>
        <v>0</v>
      </c>
      <c r="X66" s="8" t="str">
        <f t="shared" si="7"/>
        <v>Belum Sensus</v>
      </c>
      <c r="Y66" s="178">
        <v>46153</v>
      </c>
      <c r="Z66" s="143">
        <v>33</v>
      </c>
      <c r="AA66" s="9">
        <f t="shared" si="8"/>
        <v>0.84119296456793258</v>
      </c>
      <c r="AB66" s="143">
        <v>22</v>
      </c>
      <c r="AC66" s="9">
        <f t="shared" si="2"/>
        <v>66.666666666666657</v>
      </c>
      <c r="AD66" s="8" t="str">
        <f t="shared" si="9"/>
        <v>Perlu Pengendalian</v>
      </c>
      <c r="AE66" s="178"/>
      <c r="AF66" s="143">
        <v>0</v>
      </c>
      <c r="AG66" s="143">
        <v>0</v>
      </c>
      <c r="AH66" s="9">
        <f t="shared" si="10"/>
        <v>0</v>
      </c>
      <c r="AI66" s="8" t="str">
        <f t="shared" si="11"/>
        <v>Belum Sensus</v>
      </c>
    </row>
    <row r="67" spans="1:35" x14ac:dyDescent="0.2">
      <c r="A67" s="8" t="s">
        <v>1273</v>
      </c>
      <c r="B67" s="8" t="s">
        <v>14</v>
      </c>
      <c r="C67" s="8" t="s">
        <v>79</v>
      </c>
      <c r="D67" s="8" t="s">
        <v>1335</v>
      </c>
      <c r="E67" s="9">
        <v>0</v>
      </c>
      <c r="F67" s="8" t="s">
        <v>1740</v>
      </c>
      <c r="G67" s="10">
        <v>0</v>
      </c>
      <c r="H67" s="132"/>
      <c r="I67" s="143">
        <f t="array" ref="I67">INDEX([46]perbandingan!$H$24:$H$231,MATCH(1,([46]perbandingan!$E$24:$E$231=$D67)*([46]perbandingan!$E$24:$E$231=$D67),0))</f>
        <v>0</v>
      </c>
      <c r="J67" s="9">
        <f t="array" ref="J67">IFERROR(I67/G67*100,0)</f>
        <v>0</v>
      </c>
      <c r="K67" s="143">
        <f t="array" ref="K67">INDEX([46]perbandingan!$L$24:$L$231,MATCH(1,([46]perbandingan!$E$24:$E$231=$D67)*([46]perbandingan!$E$24:$E$231=$D67),0))</f>
        <v>0</v>
      </c>
      <c r="L67" s="9">
        <f t="shared" si="0"/>
        <v>0</v>
      </c>
      <c r="M67" s="8" t="str">
        <f t="shared" si="3"/>
        <v>Belum Sensus</v>
      </c>
      <c r="N67" s="148"/>
      <c r="O67" s="143" t="e">
        <f>MAX(#REF!,#REF!)</f>
        <v>#REF!</v>
      </c>
      <c r="P67" s="9" t="e">
        <f t="shared" si="4"/>
        <v>#REF!</v>
      </c>
      <c r="Q67" s="143" t="e">
        <f>MAX(#REF!,#REF!)</f>
        <v>#REF!</v>
      </c>
      <c r="R67" s="9">
        <f t="shared" si="1"/>
        <v>0</v>
      </c>
      <c r="S67" s="8" t="str">
        <f t="shared" si="5"/>
        <v>Belum Sensus</v>
      </c>
      <c r="T67" s="148"/>
      <c r="U67" s="143" t="e">
        <f>MAX(#REF!,#REF!)</f>
        <v>#REF!</v>
      </c>
      <c r="V67" s="143" t="e">
        <f>MAX(#REF!,#REF!)</f>
        <v>#REF!</v>
      </c>
      <c r="W67" s="9">
        <f t="shared" si="6"/>
        <v>0</v>
      </c>
      <c r="X67" s="8" t="str">
        <f t="shared" si="7"/>
        <v>Belum Sensus</v>
      </c>
      <c r="Y67" s="178"/>
      <c r="Z67" s="143">
        <v>0</v>
      </c>
      <c r="AA67" s="9" t="e">
        <f t="shared" si="8"/>
        <v>#DIV/0!</v>
      </c>
      <c r="AB67" s="143">
        <v>0</v>
      </c>
      <c r="AC67" s="9">
        <f t="shared" si="2"/>
        <v>0</v>
      </c>
      <c r="AD67" s="8" t="str">
        <f t="shared" si="9"/>
        <v>Belum Sensus</v>
      </c>
      <c r="AE67" s="178"/>
      <c r="AF67" s="143">
        <v>0</v>
      </c>
      <c r="AG67" s="143">
        <v>0</v>
      </c>
      <c r="AH67" s="9">
        <f t="shared" si="10"/>
        <v>0</v>
      </c>
      <c r="AI67" s="8" t="str">
        <f t="shared" si="11"/>
        <v>Belum Sensus</v>
      </c>
    </row>
    <row r="68" spans="1:35" x14ac:dyDescent="0.2">
      <c r="A68" s="8" t="s">
        <v>1273</v>
      </c>
      <c r="B68" s="8" t="s">
        <v>14</v>
      </c>
      <c r="C68" s="8" t="s">
        <v>79</v>
      </c>
      <c r="D68" s="8" t="s">
        <v>1336</v>
      </c>
      <c r="E68" s="9">
        <v>25.68</v>
      </c>
      <c r="F68" s="8" t="s">
        <v>1740</v>
      </c>
      <c r="G68" s="10">
        <v>2731</v>
      </c>
      <c r="H68" s="132">
        <v>46149</v>
      </c>
      <c r="I68" s="143">
        <f t="array" ref="I68">INDEX([46]perbandingan!$H$24:$H$231,MATCH(1,([46]perbandingan!$E$24:$E$231=$D68)*([46]perbandingan!$E$24:$E$231=$D68),0))</f>
        <v>272</v>
      </c>
      <c r="J68" s="9">
        <f t="array" ref="J68">IFERROR(I68/G68*100,0)</f>
        <v>9.9597217136580021</v>
      </c>
      <c r="K68" s="143">
        <f t="array" ref="K68">INDEX([46]perbandingan!$L$24:$L$231,MATCH(1,([46]perbandingan!$E$24:$E$231=$D68)*([46]perbandingan!$E$24:$E$231=$D68),0))</f>
        <v>25</v>
      </c>
      <c r="L68" s="9">
        <f t="shared" si="0"/>
        <v>9.1911764705882355</v>
      </c>
      <c r="M68" s="8" t="str">
        <f t="shared" si="3"/>
        <v>Perlu Pengendalian</v>
      </c>
      <c r="N68" s="148"/>
      <c r="O68" s="143" t="e">
        <f>MAX(#REF!,#REF!)</f>
        <v>#REF!</v>
      </c>
      <c r="P68" s="9" t="e">
        <f t="shared" si="4"/>
        <v>#REF!</v>
      </c>
      <c r="Q68" s="143" t="e">
        <f>MAX(#REF!,#REF!)</f>
        <v>#REF!</v>
      </c>
      <c r="R68" s="9">
        <f t="shared" si="1"/>
        <v>0</v>
      </c>
      <c r="S68" s="8" t="str">
        <f t="shared" si="5"/>
        <v>Belum Sensus</v>
      </c>
      <c r="T68" s="148"/>
      <c r="U68" s="143" t="e">
        <f>MAX(#REF!,#REF!)</f>
        <v>#REF!</v>
      </c>
      <c r="V68" s="143" t="e">
        <f>MAX(#REF!,#REF!)</f>
        <v>#REF!</v>
      </c>
      <c r="W68" s="9">
        <f t="shared" si="6"/>
        <v>0</v>
      </c>
      <c r="X68" s="8" t="str">
        <f t="shared" si="7"/>
        <v>Belum Sensus</v>
      </c>
      <c r="Y68" s="178">
        <v>46153</v>
      </c>
      <c r="Z68" s="143">
        <v>60</v>
      </c>
      <c r="AA68" s="9">
        <f t="shared" si="8"/>
        <v>2.1969974368363236</v>
      </c>
      <c r="AB68" s="143">
        <v>26</v>
      </c>
      <c r="AC68" s="9">
        <f t="shared" si="2"/>
        <v>43.333333333333336</v>
      </c>
      <c r="AD68" s="8" t="str">
        <f t="shared" si="9"/>
        <v>Perlu Pengendalian</v>
      </c>
      <c r="AE68" s="178"/>
      <c r="AF68" s="143">
        <v>0</v>
      </c>
      <c r="AG68" s="143">
        <v>0</v>
      </c>
      <c r="AH68" s="9">
        <f t="shared" si="10"/>
        <v>0</v>
      </c>
      <c r="AI68" s="8" t="str">
        <f t="shared" si="11"/>
        <v>Belum Sensus</v>
      </c>
    </row>
    <row r="69" spans="1:35" x14ac:dyDescent="0.2">
      <c r="A69" s="8" t="s">
        <v>1273</v>
      </c>
      <c r="B69" s="8" t="s">
        <v>14</v>
      </c>
      <c r="C69" s="8" t="s">
        <v>79</v>
      </c>
      <c r="D69" s="8" t="s">
        <v>1337</v>
      </c>
      <c r="E69" s="9">
        <v>18.84</v>
      </c>
      <c r="F69" s="8" t="s">
        <v>1740</v>
      </c>
      <c r="G69" s="10">
        <v>2185</v>
      </c>
      <c r="H69" s="132">
        <v>46149</v>
      </c>
      <c r="I69" s="143">
        <f t="array" ref="I69">INDEX([46]perbandingan!$H$24:$H$231,MATCH(1,([46]perbandingan!$E$24:$E$231=$D69)*([46]perbandingan!$E$24:$E$231=$D69),0))</f>
        <v>246</v>
      </c>
      <c r="J69" s="9">
        <f t="array" ref="J69">IFERROR(I69/G69*100,0)</f>
        <v>11.258581235697941</v>
      </c>
      <c r="K69" s="143">
        <f t="array" ref="K69">INDEX([46]perbandingan!$L$24:$L$231,MATCH(1,([46]perbandingan!$E$24:$E$231=$D69)*([46]perbandingan!$E$24:$E$231=$D69),0))</f>
        <v>25</v>
      </c>
      <c r="L69" s="9">
        <f t="shared" ref="L69:L132" si="12">IFERROR(K69/I69*100,0)</f>
        <v>10.16260162601626</v>
      </c>
      <c r="M69" s="8" t="str">
        <f t="shared" si="3"/>
        <v>Perlu Pengendalian</v>
      </c>
      <c r="N69" s="148"/>
      <c r="O69" s="143" t="e">
        <f>MAX(#REF!,#REF!)</f>
        <v>#REF!</v>
      </c>
      <c r="P69" s="9" t="e">
        <f t="shared" si="4"/>
        <v>#REF!</v>
      </c>
      <c r="Q69" s="143" t="e">
        <f>MAX(#REF!,#REF!)</f>
        <v>#REF!</v>
      </c>
      <c r="R69" s="9">
        <f t="shared" ref="R69:R132" si="13">IFERROR(Q69/O69*100,0)</f>
        <v>0</v>
      </c>
      <c r="S69" s="8" t="str">
        <f t="shared" si="5"/>
        <v>Belum Sensus</v>
      </c>
      <c r="T69" s="148"/>
      <c r="U69" s="143" t="e">
        <f>MAX(#REF!,#REF!)</f>
        <v>#REF!</v>
      </c>
      <c r="V69" s="143" t="e">
        <f>MAX(#REF!,#REF!)</f>
        <v>#REF!</v>
      </c>
      <c r="W69" s="9">
        <f t="shared" si="6"/>
        <v>0</v>
      </c>
      <c r="X69" s="8" t="str">
        <f t="shared" si="7"/>
        <v>Belum Sensus</v>
      </c>
      <c r="Y69" s="178">
        <v>46153</v>
      </c>
      <c r="Z69" s="143">
        <v>67</v>
      </c>
      <c r="AA69" s="9">
        <f t="shared" si="8"/>
        <v>3.0663615560640736</v>
      </c>
      <c r="AB69" s="143">
        <v>32</v>
      </c>
      <c r="AC69" s="9">
        <f t="shared" ref="AC69:AC132" si="14">IFERROR(AB69/Z69*100,0)</f>
        <v>47.761194029850742</v>
      </c>
      <c r="AD69" s="8" t="str">
        <f t="shared" si="9"/>
        <v>Perlu Pengendalian</v>
      </c>
      <c r="AE69" s="178"/>
      <c r="AF69" s="143">
        <v>0</v>
      </c>
      <c r="AG69" s="143">
        <v>0</v>
      </c>
      <c r="AH69" s="9">
        <f t="shared" si="10"/>
        <v>0</v>
      </c>
      <c r="AI69" s="8" t="str">
        <f t="shared" si="11"/>
        <v>Belum Sensus</v>
      </c>
    </row>
    <row r="70" spans="1:35" x14ac:dyDescent="0.2">
      <c r="A70" s="8" t="s">
        <v>1273</v>
      </c>
      <c r="B70" s="8" t="s">
        <v>14</v>
      </c>
      <c r="C70" s="8" t="s">
        <v>79</v>
      </c>
      <c r="D70" s="8" t="s">
        <v>1338</v>
      </c>
      <c r="E70" s="9">
        <v>24.58</v>
      </c>
      <c r="F70" s="8" t="s">
        <v>1740</v>
      </c>
      <c r="G70" s="10">
        <v>3194</v>
      </c>
      <c r="H70" s="132">
        <v>46149</v>
      </c>
      <c r="I70" s="143">
        <f t="array" ref="I70">INDEX([46]perbandingan!$H$24:$H$231,MATCH(1,([46]perbandingan!$E$24:$E$231=$D70)*([46]perbandingan!$E$24:$E$231=$D70),0))</f>
        <v>270</v>
      </c>
      <c r="J70" s="9">
        <f t="array" ref="J70">IFERROR(I70/G70*100,0)</f>
        <v>8.4533500313087035</v>
      </c>
      <c r="K70" s="143">
        <f t="array" ref="K70">INDEX([46]perbandingan!$L$24:$L$231,MATCH(1,([46]perbandingan!$E$24:$E$231=$D70)*([46]perbandingan!$E$24:$E$231=$D70),0))</f>
        <v>15</v>
      </c>
      <c r="L70" s="9">
        <f t="shared" si="12"/>
        <v>5.5555555555555554</v>
      </c>
      <c r="M70" s="8" t="str">
        <f t="shared" ref="M70:M133" si="15">IF(L70&gt;2,"Perlu Pengendalian",IF(L70&gt;0,"Tidak Perlu Pengendalian","Belum Sensus"))</f>
        <v>Perlu Pengendalian</v>
      </c>
      <c r="N70" s="148"/>
      <c r="O70" s="143" t="e">
        <f>MAX(#REF!,#REF!)</f>
        <v>#REF!</v>
      </c>
      <c r="P70" s="9" t="e">
        <f t="shared" ref="P70:P133" si="16">O70/G70*100</f>
        <v>#REF!</v>
      </c>
      <c r="Q70" s="143" t="e">
        <f>MAX(#REF!,#REF!)</f>
        <v>#REF!</v>
      </c>
      <c r="R70" s="9">
        <f t="shared" si="13"/>
        <v>0</v>
      </c>
      <c r="S70" s="8" t="str">
        <f t="shared" ref="S70:S133" si="17">IF(R70&gt;2,"Perlu Pengendalian",IF(R70&gt;0,"Tidak Perlu Pengendalian","Belum Sensus"))</f>
        <v>Belum Sensus</v>
      </c>
      <c r="T70" s="148"/>
      <c r="U70" s="143" t="e">
        <f>MAX(#REF!,#REF!)</f>
        <v>#REF!</v>
      </c>
      <c r="V70" s="143" t="e">
        <f>MAX(#REF!,#REF!)</f>
        <v>#REF!</v>
      </c>
      <c r="W70" s="9">
        <f t="shared" ref="W70:W133" si="18">IFERROR(V70/U70*100,0)</f>
        <v>0</v>
      </c>
      <c r="X70" s="8" t="str">
        <f t="shared" ref="X70:X133" si="19">IF(W70&gt;2,"Perlu Pengendalian",IF(W70&gt;0,"Tidak Perlu Pengendalian","Belum Sensus"))</f>
        <v>Belum Sensus</v>
      </c>
      <c r="Y70" s="178"/>
      <c r="Z70" s="143">
        <v>0</v>
      </c>
      <c r="AA70" s="9">
        <f t="shared" ref="AA70:AA133" si="20">Z70/G70*100</f>
        <v>0</v>
      </c>
      <c r="AB70" s="143">
        <v>0</v>
      </c>
      <c r="AC70" s="9">
        <f t="shared" si="14"/>
        <v>0</v>
      </c>
      <c r="AD70" s="8" t="str">
        <f t="shared" ref="AD70:AD133" si="21">IF(AC70&gt;2,"Perlu Pengendalian",IF(AC70&gt;0,"Tidak Perlu Pengendalian","Belum Sensus"))</f>
        <v>Belum Sensus</v>
      </c>
      <c r="AE70" s="178"/>
      <c r="AF70" s="143">
        <v>0</v>
      </c>
      <c r="AG70" s="143">
        <v>0</v>
      </c>
      <c r="AH70" s="9">
        <f t="shared" ref="AH70:AH133" si="22">IFERROR(AG70/AF70*100,0)</f>
        <v>0</v>
      </c>
      <c r="AI70" s="8" t="str">
        <f t="shared" ref="AI70:AI133" si="23">IF(AH70&gt;2,"Perlu Pengendalian",IF(AH70&gt;0,"Tidak Perlu Pengendalian","Belum Sensus"))</f>
        <v>Belum Sensus</v>
      </c>
    </row>
    <row r="71" spans="1:35" x14ac:dyDescent="0.2">
      <c r="A71" s="8" t="s">
        <v>1273</v>
      </c>
      <c r="B71" s="8" t="s">
        <v>14</v>
      </c>
      <c r="C71" s="8" t="s">
        <v>79</v>
      </c>
      <c r="D71" s="8" t="s">
        <v>1339</v>
      </c>
      <c r="E71" s="9">
        <v>34.799999999999997</v>
      </c>
      <c r="F71" s="8" t="s">
        <v>1740</v>
      </c>
      <c r="G71" s="10">
        <v>4206</v>
      </c>
      <c r="H71" s="132">
        <v>46149</v>
      </c>
      <c r="I71" s="143">
        <f t="array" ref="I71">INDEX([46]perbandingan!$H$24:$H$231,MATCH(1,([46]perbandingan!$E$24:$E$231=$D71)*([46]perbandingan!$E$24:$E$231=$D71),0))</f>
        <v>491</v>
      </c>
      <c r="J71" s="9">
        <f t="array" ref="J71">IFERROR(I71/G71*100,0)</f>
        <v>11.673799334284356</v>
      </c>
      <c r="K71" s="143">
        <f t="array" ref="K71">INDEX([46]perbandingan!$L$24:$L$231,MATCH(1,([46]perbandingan!$E$24:$E$231=$D71)*([46]perbandingan!$E$24:$E$231=$D71),0))</f>
        <v>44</v>
      </c>
      <c r="L71" s="9">
        <f t="shared" si="12"/>
        <v>8.9613034623217924</v>
      </c>
      <c r="M71" s="8" t="str">
        <f t="shared" si="15"/>
        <v>Perlu Pengendalian</v>
      </c>
      <c r="N71" s="148"/>
      <c r="O71" s="143" t="e">
        <f>MAX(#REF!,#REF!)</f>
        <v>#REF!</v>
      </c>
      <c r="P71" s="9" t="e">
        <f t="shared" si="16"/>
        <v>#REF!</v>
      </c>
      <c r="Q71" s="143" t="e">
        <f>MAX(#REF!,#REF!)</f>
        <v>#REF!</v>
      </c>
      <c r="R71" s="9">
        <f t="shared" si="13"/>
        <v>0</v>
      </c>
      <c r="S71" s="8" t="str">
        <f t="shared" si="17"/>
        <v>Belum Sensus</v>
      </c>
      <c r="T71" s="148"/>
      <c r="U71" s="143" t="e">
        <f>MAX(#REF!,#REF!)</f>
        <v>#REF!</v>
      </c>
      <c r="V71" s="143" t="e">
        <f>MAX(#REF!,#REF!)</f>
        <v>#REF!</v>
      </c>
      <c r="W71" s="9">
        <f t="shared" si="18"/>
        <v>0</v>
      </c>
      <c r="X71" s="8" t="str">
        <f t="shared" si="19"/>
        <v>Belum Sensus</v>
      </c>
      <c r="Y71" s="178"/>
      <c r="Z71" s="143">
        <v>0</v>
      </c>
      <c r="AA71" s="9">
        <f t="shared" si="20"/>
        <v>0</v>
      </c>
      <c r="AB71" s="143">
        <v>0</v>
      </c>
      <c r="AC71" s="9">
        <f t="shared" si="14"/>
        <v>0</v>
      </c>
      <c r="AD71" s="8" t="str">
        <f t="shared" si="21"/>
        <v>Belum Sensus</v>
      </c>
      <c r="AE71" s="178"/>
      <c r="AF71" s="143">
        <v>0</v>
      </c>
      <c r="AG71" s="143">
        <v>0</v>
      </c>
      <c r="AH71" s="9">
        <f t="shared" si="22"/>
        <v>0</v>
      </c>
      <c r="AI71" s="8" t="str">
        <f t="shared" si="23"/>
        <v>Belum Sensus</v>
      </c>
    </row>
    <row r="72" spans="1:35" x14ac:dyDescent="0.2">
      <c r="A72" s="8" t="s">
        <v>1273</v>
      </c>
      <c r="B72" s="8" t="s">
        <v>14</v>
      </c>
      <c r="C72" s="8" t="s">
        <v>79</v>
      </c>
      <c r="D72" s="8" t="s">
        <v>1340</v>
      </c>
      <c r="E72" s="9">
        <v>34.79</v>
      </c>
      <c r="F72" s="8" t="s">
        <v>1740</v>
      </c>
      <c r="G72" s="10">
        <v>4325</v>
      </c>
      <c r="H72" s="132">
        <v>46149</v>
      </c>
      <c r="I72" s="143">
        <f t="array" ref="I72">INDEX([46]perbandingan!$H$24:$H$231,MATCH(1,([46]perbandingan!$E$24:$E$231=$D72)*([46]perbandingan!$E$24:$E$231=$D72),0))</f>
        <v>367</v>
      </c>
      <c r="J72" s="9">
        <f t="array" ref="J72">IFERROR(I72/G72*100,0)</f>
        <v>8.4855491329479769</v>
      </c>
      <c r="K72" s="143">
        <f t="array" ref="K72">INDEX([46]perbandingan!$L$24:$L$231,MATCH(1,([46]perbandingan!$E$24:$E$231=$D72)*([46]perbandingan!$E$24:$E$231=$D72),0))</f>
        <v>22</v>
      </c>
      <c r="L72" s="9">
        <f t="shared" si="12"/>
        <v>5.9945504087193457</v>
      </c>
      <c r="M72" s="8" t="str">
        <f t="shared" si="15"/>
        <v>Perlu Pengendalian</v>
      </c>
      <c r="N72" s="148"/>
      <c r="O72" s="143" t="e">
        <f>MAX(#REF!,#REF!)</f>
        <v>#REF!</v>
      </c>
      <c r="P72" s="9" t="e">
        <f t="shared" si="16"/>
        <v>#REF!</v>
      </c>
      <c r="Q72" s="143" t="e">
        <f>MAX(#REF!,#REF!)</f>
        <v>#REF!</v>
      </c>
      <c r="R72" s="9">
        <f t="shared" si="13"/>
        <v>0</v>
      </c>
      <c r="S72" s="8" t="str">
        <f t="shared" si="17"/>
        <v>Belum Sensus</v>
      </c>
      <c r="T72" s="148"/>
      <c r="U72" s="143" t="e">
        <f>MAX(#REF!,#REF!)</f>
        <v>#REF!</v>
      </c>
      <c r="V72" s="143" t="e">
        <f>MAX(#REF!,#REF!)</f>
        <v>#REF!</v>
      </c>
      <c r="W72" s="9">
        <f t="shared" si="18"/>
        <v>0</v>
      </c>
      <c r="X72" s="8" t="str">
        <f t="shared" si="19"/>
        <v>Belum Sensus</v>
      </c>
      <c r="Y72" s="178">
        <v>46153</v>
      </c>
      <c r="Z72" s="143">
        <v>66</v>
      </c>
      <c r="AA72" s="9">
        <f t="shared" si="20"/>
        <v>1.5260115606936415</v>
      </c>
      <c r="AB72" s="143">
        <v>22</v>
      </c>
      <c r="AC72" s="9">
        <f t="shared" si="14"/>
        <v>33.333333333333329</v>
      </c>
      <c r="AD72" s="8" t="str">
        <f t="shared" si="21"/>
        <v>Perlu Pengendalian</v>
      </c>
      <c r="AE72" s="178"/>
      <c r="AF72" s="143">
        <v>0</v>
      </c>
      <c r="AG72" s="143">
        <v>0</v>
      </c>
      <c r="AH72" s="9">
        <f t="shared" si="22"/>
        <v>0</v>
      </c>
      <c r="AI72" s="8" t="str">
        <f t="shared" si="23"/>
        <v>Belum Sensus</v>
      </c>
    </row>
    <row r="73" spans="1:35" x14ac:dyDescent="0.2">
      <c r="A73" s="8" t="s">
        <v>1273</v>
      </c>
      <c r="B73" s="8" t="s">
        <v>14</v>
      </c>
      <c r="C73" s="8" t="s">
        <v>79</v>
      </c>
      <c r="D73" s="8" t="s">
        <v>1341</v>
      </c>
      <c r="E73" s="9">
        <v>27.43</v>
      </c>
      <c r="F73" s="8" t="s">
        <v>1740</v>
      </c>
      <c r="G73" s="10">
        <v>3352</v>
      </c>
      <c r="H73" s="132">
        <v>46149</v>
      </c>
      <c r="I73" s="143">
        <f t="array" ref="I73">INDEX([46]perbandingan!$H$24:$H$231,MATCH(1,([46]perbandingan!$E$24:$E$231=$D73)*([46]perbandingan!$E$24:$E$231=$D73),0))</f>
        <v>346</v>
      </c>
      <c r="J73" s="9">
        <f t="array" ref="J73">IFERROR(I73/G73*100,0)</f>
        <v>10.322195704057279</v>
      </c>
      <c r="K73" s="143">
        <f t="array" ref="K73">INDEX([46]perbandingan!$L$24:$L$231,MATCH(1,([46]perbandingan!$E$24:$E$231=$D73)*([46]perbandingan!$E$24:$E$231=$D73),0))</f>
        <v>34</v>
      </c>
      <c r="L73" s="9">
        <f t="shared" si="12"/>
        <v>9.8265895953757223</v>
      </c>
      <c r="M73" s="8" t="str">
        <f t="shared" si="15"/>
        <v>Perlu Pengendalian</v>
      </c>
      <c r="N73" s="148"/>
      <c r="O73" s="143" t="e">
        <f>MAX(#REF!,#REF!)</f>
        <v>#REF!</v>
      </c>
      <c r="P73" s="9" t="e">
        <f t="shared" si="16"/>
        <v>#REF!</v>
      </c>
      <c r="Q73" s="143" t="e">
        <f>MAX(#REF!,#REF!)</f>
        <v>#REF!</v>
      </c>
      <c r="R73" s="9">
        <f t="shared" si="13"/>
        <v>0</v>
      </c>
      <c r="S73" s="8" t="str">
        <f t="shared" si="17"/>
        <v>Belum Sensus</v>
      </c>
      <c r="T73" s="148"/>
      <c r="U73" s="143" t="e">
        <f>MAX(#REF!,#REF!)</f>
        <v>#REF!</v>
      </c>
      <c r="V73" s="143" t="e">
        <f>MAX(#REF!,#REF!)</f>
        <v>#REF!</v>
      </c>
      <c r="W73" s="9">
        <f t="shared" si="18"/>
        <v>0</v>
      </c>
      <c r="X73" s="8" t="str">
        <f t="shared" si="19"/>
        <v>Belum Sensus</v>
      </c>
      <c r="Y73" s="178"/>
      <c r="Z73" s="143"/>
      <c r="AA73" s="9">
        <f t="shared" si="20"/>
        <v>0</v>
      </c>
      <c r="AB73" s="143"/>
      <c r="AC73" s="9">
        <f t="shared" si="14"/>
        <v>0</v>
      </c>
      <c r="AD73" s="8" t="str">
        <f t="shared" si="21"/>
        <v>Belum Sensus</v>
      </c>
      <c r="AE73" s="178"/>
      <c r="AF73" s="143">
        <v>0</v>
      </c>
      <c r="AG73" s="143">
        <v>0</v>
      </c>
      <c r="AH73" s="9">
        <f t="shared" si="22"/>
        <v>0</v>
      </c>
      <c r="AI73" s="8" t="str">
        <f t="shared" si="23"/>
        <v>Belum Sensus</v>
      </c>
    </row>
    <row r="74" spans="1:35" x14ac:dyDescent="0.2">
      <c r="A74" s="8" t="s">
        <v>1273</v>
      </c>
      <c r="B74" s="8" t="s">
        <v>14</v>
      </c>
      <c r="C74" s="8" t="s">
        <v>79</v>
      </c>
      <c r="D74" s="8" t="s">
        <v>1342</v>
      </c>
      <c r="E74" s="9">
        <v>25.81</v>
      </c>
      <c r="F74" s="8" t="s">
        <v>1740</v>
      </c>
      <c r="G74" s="10">
        <v>3111</v>
      </c>
      <c r="H74" s="132">
        <v>46149</v>
      </c>
      <c r="I74" s="143">
        <f t="array" ref="I74">INDEX([46]perbandingan!$H$24:$H$231,MATCH(1,([46]perbandingan!$E$24:$E$231=$D74)*([46]perbandingan!$E$24:$E$231=$D74),0))</f>
        <v>269</v>
      </c>
      <c r="J74" s="9">
        <f t="array" ref="J74">IFERROR(I74/G74*100,0)</f>
        <v>8.6467373834779817</v>
      </c>
      <c r="K74" s="143">
        <f t="array" ref="K74">INDEX([46]perbandingan!$L$24:$L$231,MATCH(1,([46]perbandingan!$E$24:$E$231=$D74)*([46]perbandingan!$E$24:$E$231=$D74),0))</f>
        <v>22</v>
      </c>
      <c r="L74" s="9">
        <f t="shared" si="12"/>
        <v>8.1784386617100377</v>
      </c>
      <c r="M74" s="8" t="str">
        <f t="shared" si="15"/>
        <v>Perlu Pengendalian</v>
      </c>
      <c r="N74" s="148"/>
      <c r="O74" s="143" t="e">
        <f>MAX(#REF!,#REF!)</f>
        <v>#REF!</v>
      </c>
      <c r="P74" s="9" t="e">
        <f t="shared" si="16"/>
        <v>#REF!</v>
      </c>
      <c r="Q74" s="143" t="e">
        <f>MAX(#REF!,#REF!)</f>
        <v>#REF!</v>
      </c>
      <c r="R74" s="9">
        <f t="shared" si="13"/>
        <v>0</v>
      </c>
      <c r="S74" s="8" t="str">
        <f t="shared" si="17"/>
        <v>Belum Sensus</v>
      </c>
      <c r="T74" s="148"/>
      <c r="U74" s="143" t="e">
        <f>MAX(#REF!,#REF!)</f>
        <v>#REF!</v>
      </c>
      <c r="V74" s="143" t="e">
        <f>MAX(#REF!,#REF!)</f>
        <v>#REF!</v>
      </c>
      <c r="W74" s="9">
        <f t="shared" si="18"/>
        <v>0</v>
      </c>
      <c r="X74" s="8" t="str">
        <f t="shared" si="19"/>
        <v>Belum Sensus</v>
      </c>
      <c r="Y74" s="178"/>
      <c r="Z74" s="143"/>
      <c r="AA74" s="9">
        <f t="shared" si="20"/>
        <v>0</v>
      </c>
      <c r="AB74" s="143"/>
      <c r="AC74" s="9">
        <f t="shared" si="14"/>
        <v>0</v>
      </c>
      <c r="AD74" s="8" t="str">
        <f t="shared" si="21"/>
        <v>Belum Sensus</v>
      </c>
      <c r="AE74" s="178"/>
      <c r="AF74" s="143">
        <v>0</v>
      </c>
      <c r="AG74" s="143">
        <v>0</v>
      </c>
      <c r="AH74" s="9">
        <f t="shared" si="22"/>
        <v>0</v>
      </c>
      <c r="AI74" s="8" t="str">
        <f t="shared" si="23"/>
        <v>Belum Sensus</v>
      </c>
    </row>
    <row r="75" spans="1:35" x14ac:dyDescent="0.2">
      <c r="A75" s="8" t="s">
        <v>1273</v>
      </c>
      <c r="B75" s="8" t="s">
        <v>14</v>
      </c>
      <c r="C75" s="8" t="s">
        <v>79</v>
      </c>
      <c r="D75" s="8" t="s">
        <v>1343</v>
      </c>
      <c r="E75" s="9">
        <v>31.86</v>
      </c>
      <c r="F75" s="8" t="s">
        <v>1740</v>
      </c>
      <c r="G75" s="10">
        <v>5099</v>
      </c>
      <c r="H75" s="132">
        <v>46149</v>
      </c>
      <c r="I75" s="143">
        <f t="array" ref="I75">INDEX([46]perbandingan!$H$24:$H$231,MATCH(1,([46]perbandingan!$E$24:$E$231=$D75)*([46]perbandingan!$E$24:$E$231=$D75),0))</f>
        <v>294</v>
      </c>
      <c r="J75" s="9">
        <f t="array" ref="J75">IFERROR(I75/G75*100,0)</f>
        <v>5.7658364385173559</v>
      </c>
      <c r="K75" s="143">
        <f t="array" ref="K75">INDEX([46]perbandingan!$L$24:$L$231,MATCH(1,([46]perbandingan!$E$24:$E$231=$D75)*([46]perbandingan!$E$24:$E$231=$D75),0))</f>
        <v>47</v>
      </c>
      <c r="L75" s="9">
        <f t="shared" si="12"/>
        <v>15.986394557823131</v>
      </c>
      <c r="M75" s="8" t="str">
        <f t="shared" si="15"/>
        <v>Perlu Pengendalian</v>
      </c>
      <c r="N75" s="148"/>
      <c r="O75" s="143" t="e">
        <f>MAX(#REF!,#REF!)</f>
        <v>#REF!</v>
      </c>
      <c r="P75" s="9" t="e">
        <f t="shared" si="16"/>
        <v>#REF!</v>
      </c>
      <c r="Q75" s="143" t="e">
        <f>MAX(#REF!,#REF!)</f>
        <v>#REF!</v>
      </c>
      <c r="R75" s="9">
        <f t="shared" si="13"/>
        <v>0</v>
      </c>
      <c r="S75" s="8" t="str">
        <f t="shared" si="17"/>
        <v>Belum Sensus</v>
      </c>
      <c r="T75" s="148"/>
      <c r="U75" s="143" t="e">
        <f>MAX(#REF!,#REF!)</f>
        <v>#REF!</v>
      </c>
      <c r="V75" s="143" t="e">
        <f>MAX(#REF!,#REF!)</f>
        <v>#REF!</v>
      </c>
      <c r="W75" s="9">
        <f t="shared" si="18"/>
        <v>0</v>
      </c>
      <c r="X75" s="8" t="str">
        <f t="shared" si="19"/>
        <v>Belum Sensus</v>
      </c>
      <c r="Y75" s="178"/>
      <c r="Z75" s="143">
        <v>0</v>
      </c>
      <c r="AA75" s="9">
        <f t="shared" si="20"/>
        <v>0</v>
      </c>
      <c r="AB75" s="143">
        <v>0</v>
      </c>
      <c r="AC75" s="9">
        <f t="shared" si="14"/>
        <v>0</v>
      </c>
      <c r="AD75" s="8" t="str">
        <f t="shared" si="21"/>
        <v>Belum Sensus</v>
      </c>
      <c r="AE75" s="178"/>
      <c r="AF75" s="143">
        <v>0</v>
      </c>
      <c r="AG75" s="143">
        <v>0</v>
      </c>
      <c r="AH75" s="9">
        <f t="shared" si="22"/>
        <v>0</v>
      </c>
      <c r="AI75" s="8" t="str">
        <f t="shared" si="23"/>
        <v>Belum Sensus</v>
      </c>
    </row>
    <row r="76" spans="1:35" x14ac:dyDescent="0.2">
      <c r="A76" s="8" t="s">
        <v>1273</v>
      </c>
      <c r="B76" s="8" t="s">
        <v>14</v>
      </c>
      <c r="C76" s="8" t="s">
        <v>79</v>
      </c>
      <c r="D76" s="8" t="s">
        <v>1344</v>
      </c>
      <c r="E76" s="9">
        <v>28.68</v>
      </c>
      <c r="F76" s="8" t="s">
        <v>1740</v>
      </c>
      <c r="G76" s="10">
        <v>4454</v>
      </c>
      <c r="H76" s="132">
        <v>46149</v>
      </c>
      <c r="I76" s="143">
        <f t="array" ref="I76">INDEX([46]perbandingan!$H$24:$H$231,MATCH(1,([46]perbandingan!$E$24:$E$231=$D76)*([46]perbandingan!$E$24:$E$231=$D76),0))</f>
        <v>376</v>
      </c>
      <c r="J76" s="9">
        <f t="array" ref="J76">IFERROR(I76/G76*100,0)</f>
        <v>8.4418500224517281</v>
      </c>
      <c r="K76" s="143">
        <f t="array" ref="K76">INDEX([46]perbandingan!$L$24:$L$231,MATCH(1,([46]perbandingan!$E$24:$E$231=$D76)*([46]perbandingan!$E$24:$E$231=$D76),0))</f>
        <v>33</v>
      </c>
      <c r="L76" s="9">
        <f t="shared" si="12"/>
        <v>8.7765957446808507</v>
      </c>
      <c r="M76" s="8" t="str">
        <f t="shared" si="15"/>
        <v>Perlu Pengendalian</v>
      </c>
      <c r="N76" s="148"/>
      <c r="O76" s="143" t="e">
        <f>MAX(#REF!,#REF!)</f>
        <v>#REF!</v>
      </c>
      <c r="P76" s="9" t="e">
        <f t="shared" si="16"/>
        <v>#REF!</v>
      </c>
      <c r="Q76" s="143" t="e">
        <f>MAX(#REF!,#REF!)</f>
        <v>#REF!</v>
      </c>
      <c r="R76" s="9">
        <f t="shared" si="13"/>
        <v>0</v>
      </c>
      <c r="S76" s="8" t="str">
        <f t="shared" si="17"/>
        <v>Belum Sensus</v>
      </c>
      <c r="T76" s="148"/>
      <c r="U76" s="143" t="e">
        <f>MAX(#REF!,#REF!)</f>
        <v>#REF!</v>
      </c>
      <c r="V76" s="143" t="e">
        <f>MAX(#REF!,#REF!)</f>
        <v>#REF!</v>
      </c>
      <c r="W76" s="9">
        <f t="shared" si="18"/>
        <v>0</v>
      </c>
      <c r="X76" s="8" t="str">
        <f t="shared" si="19"/>
        <v>Belum Sensus</v>
      </c>
      <c r="Y76" s="178"/>
      <c r="Z76" s="143">
        <v>0</v>
      </c>
      <c r="AA76" s="9">
        <f t="shared" si="20"/>
        <v>0</v>
      </c>
      <c r="AB76" s="143">
        <v>0</v>
      </c>
      <c r="AC76" s="9">
        <f t="shared" si="14"/>
        <v>0</v>
      </c>
      <c r="AD76" s="8" t="str">
        <f t="shared" si="21"/>
        <v>Belum Sensus</v>
      </c>
      <c r="AE76" s="178"/>
      <c r="AF76" s="143">
        <v>0</v>
      </c>
      <c r="AG76" s="143">
        <v>0</v>
      </c>
      <c r="AH76" s="9">
        <f t="shared" si="22"/>
        <v>0</v>
      </c>
      <c r="AI76" s="8" t="str">
        <f t="shared" si="23"/>
        <v>Belum Sensus</v>
      </c>
    </row>
    <row r="77" spans="1:35" x14ac:dyDescent="0.2">
      <c r="A77" s="8" t="s">
        <v>1273</v>
      </c>
      <c r="B77" s="8" t="s">
        <v>14</v>
      </c>
      <c r="C77" s="8" t="s">
        <v>79</v>
      </c>
      <c r="D77" s="8" t="s">
        <v>1345</v>
      </c>
      <c r="E77" s="9">
        <v>30.72</v>
      </c>
      <c r="F77" s="8" t="s">
        <v>1740</v>
      </c>
      <c r="G77" s="10">
        <v>4722</v>
      </c>
      <c r="H77" s="132">
        <v>46149</v>
      </c>
      <c r="I77" s="143">
        <f t="array" ref="I77">INDEX([46]perbandingan!$H$24:$H$231,MATCH(1,([46]perbandingan!$E$24:$E$231=$D77)*([46]perbandingan!$E$24:$E$231=$D77),0))</f>
        <v>368</v>
      </c>
      <c r="J77" s="9">
        <f t="array" ref="J77">IFERROR(I77/G77*100,0)</f>
        <v>7.7933079203727234</v>
      </c>
      <c r="K77" s="143">
        <f t="array" ref="K77">INDEX([46]perbandingan!$L$24:$L$231,MATCH(1,([46]perbandingan!$E$24:$E$231=$D77)*([46]perbandingan!$E$24:$E$231=$D77),0))</f>
        <v>22</v>
      </c>
      <c r="L77" s="9">
        <f t="shared" si="12"/>
        <v>5.9782608695652177</v>
      </c>
      <c r="M77" s="8" t="str">
        <f t="shared" si="15"/>
        <v>Perlu Pengendalian</v>
      </c>
      <c r="N77" s="148"/>
      <c r="O77" s="143" t="e">
        <f>MAX(#REF!,#REF!)</f>
        <v>#REF!</v>
      </c>
      <c r="P77" s="9" t="e">
        <f t="shared" si="16"/>
        <v>#REF!</v>
      </c>
      <c r="Q77" s="143" t="e">
        <f>MAX(#REF!,#REF!)</f>
        <v>#REF!</v>
      </c>
      <c r="R77" s="9">
        <f t="shared" si="13"/>
        <v>0</v>
      </c>
      <c r="S77" s="8" t="str">
        <f t="shared" si="17"/>
        <v>Belum Sensus</v>
      </c>
      <c r="T77" s="148"/>
      <c r="U77" s="143" t="e">
        <f>MAX(#REF!,#REF!)</f>
        <v>#REF!</v>
      </c>
      <c r="V77" s="143" t="e">
        <f>MAX(#REF!,#REF!)</f>
        <v>#REF!</v>
      </c>
      <c r="W77" s="9">
        <f t="shared" si="18"/>
        <v>0</v>
      </c>
      <c r="X77" s="8" t="str">
        <f t="shared" si="19"/>
        <v>Belum Sensus</v>
      </c>
      <c r="Y77" s="178"/>
      <c r="Z77" s="143">
        <v>0</v>
      </c>
      <c r="AA77" s="9">
        <f t="shared" si="20"/>
        <v>0</v>
      </c>
      <c r="AB77" s="143">
        <v>0</v>
      </c>
      <c r="AC77" s="9">
        <f t="shared" si="14"/>
        <v>0</v>
      </c>
      <c r="AD77" s="8" t="str">
        <f t="shared" si="21"/>
        <v>Belum Sensus</v>
      </c>
      <c r="AE77" s="178"/>
      <c r="AF77" s="143">
        <v>0</v>
      </c>
      <c r="AG77" s="143">
        <v>0</v>
      </c>
      <c r="AH77" s="9">
        <f t="shared" si="22"/>
        <v>0</v>
      </c>
      <c r="AI77" s="8" t="str">
        <f t="shared" si="23"/>
        <v>Belum Sensus</v>
      </c>
    </row>
    <row r="78" spans="1:35" x14ac:dyDescent="0.2">
      <c r="A78" s="8" t="s">
        <v>1273</v>
      </c>
      <c r="B78" s="8" t="s">
        <v>14</v>
      </c>
      <c r="C78" s="8" t="s">
        <v>79</v>
      </c>
      <c r="D78" s="8" t="s">
        <v>956</v>
      </c>
      <c r="E78" s="9">
        <v>31.72</v>
      </c>
      <c r="F78" s="8" t="s">
        <v>1740</v>
      </c>
      <c r="G78" s="10">
        <v>4019</v>
      </c>
      <c r="H78" s="132">
        <v>46149</v>
      </c>
      <c r="I78" s="143">
        <f t="array" ref="I78">INDEX([46]perbandingan!$H$24:$H$231,MATCH(1,([46]perbandingan!$E$24:$E$231=$D78)*([46]perbandingan!$E$24:$E$231=$D78),0))</f>
        <v>368</v>
      </c>
      <c r="J78" s="9">
        <f t="array" ref="J78">IFERROR(I78/G78*100,0)</f>
        <v>9.1565065936800192</v>
      </c>
      <c r="K78" s="143">
        <f t="array" ref="K78">INDEX([46]perbandingan!$L$24:$L$231,MATCH(1,([46]perbandingan!$E$24:$E$231=$D78)*([46]perbandingan!$E$24:$E$231=$D78),0))</f>
        <v>33</v>
      </c>
      <c r="L78" s="9">
        <f t="shared" si="12"/>
        <v>8.9673913043478262</v>
      </c>
      <c r="M78" s="8" t="str">
        <f t="shared" si="15"/>
        <v>Perlu Pengendalian</v>
      </c>
      <c r="N78" s="148"/>
      <c r="O78" s="143" t="e">
        <f>MAX(#REF!,#REF!)</f>
        <v>#REF!</v>
      </c>
      <c r="P78" s="9" t="e">
        <f t="shared" si="16"/>
        <v>#REF!</v>
      </c>
      <c r="Q78" s="143" t="e">
        <f>MAX(#REF!,#REF!)</f>
        <v>#REF!</v>
      </c>
      <c r="R78" s="9">
        <f t="shared" si="13"/>
        <v>0</v>
      </c>
      <c r="S78" s="8" t="str">
        <f t="shared" si="17"/>
        <v>Belum Sensus</v>
      </c>
      <c r="T78" s="148"/>
      <c r="U78" s="143" t="e">
        <f>MAX(#REF!,#REF!)</f>
        <v>#REF!</v>
      </c>
      <c r="V78" s="143" t="e">
        <f>MAX(#REF!,#REF!)</f>
        <v>#REF!</v>
      </c>
      <c r="W78" s="9">
        <f t="shared" si="18"/>
        <v>0</v>
      </c>
      <c r="X78" s="8" t="str">
        <f t="shared" si="19"/>
        <v>Belum Sensus</v>
      </c>
      <c r="Y78" s="178"/>
      <c r="Z78" s="143"/>
      <c r="AA78" s="9">
        <f t="shared" si="20"/>
        <v>0</v>
      </c>
      <c r="AB78" s="143"/>
      <c r="AC78" s="9">
        <f t="shared" si="14"/>
        <v>0</v>
      </c>
      <c r="AD78" s="8" t="str">
        <f t="shared" si="21"/>
        <v>Belum Sensus</v>
      </c>
      <c r="AE78" s="178"/>
      <c r="AF78" s="143">
        <v>0</v>
      </c>
      <c r="AG78" s="143">
        <v>0</v>
      </c>
      <c r="AH78" s="9">
        <f t="shared" si="22"/>
        <v>0</v>
      </c>
      <c r="AI78" s="8" t="str">
        <f t="shared" si="23"/>
        <v>Belum Sensus</v>
      </c>
    </row>
    <row r="79" spans="1:35" x14ac:dyDescent="0.2">
      <c r="A79" s="8" t="s">
        <v>1273</v>
      </c>
      <c r="B79" s="8" t="s">
        <v>14</v>
      </c>
      <c r="C79" s="8" t="s">
        <v>79</v>
      </c>
      <c r="D79" s="8" t="s">
        <v>1346</v>
      </c>
      <c r="E79" s="9">
        <v>22.71</v>
      </c>
      <c r="F79" s="8" t="s">
        <v>1740</v>
      </c>
      <c r="G79" s="10">
        <v>2897</v>
      </c>
      <c r="H79" s="132">
        <v>46149</v>
      </c>
      <c r="I79" s="143">
        <f t="array" ref="I79">INDEX([46]perbandingan!$H$24:$H$231,MATCH(1,([46]perbandingan!$E$24:$E$231=$D79)*([46]perbandingan!$E$24:$E$231=$D79),0))</f>
        <v>321</v>
      </c>
      <c r="J79" s="9">
        <f t="array" ref="J79">IFERROR(I79/G79*100,0)</f>
        <v>11.080428028995511</v>
      </c>
      <c r="K79" s="143">
        <f t="array" ref="K79">INDEX([46]perbandingan!$L$24:$L$231,MATCH(1,([46]perbandingan!$E$24:$E$231=$D79)*([46]perbandingan!$E$24:$E$231=$D79),0))</f>
        <v>49</v>
      </c>
      <c r="L79" s="9">
        <f t="shared" si="12"/>
        <v>15.264797507788161</v>
      </c>
      <c r="M79" s="8" t="str">
        <f t="shared" si="15"/>
        <v>Perlu Pengendalian</v>
      </c>
      <c r="N79" s="148"/>
      <c r="O79" s="143" t="e">
        <f>MAX(#REF!,#REF!)</f>
        <v>#REF!</v>
      </c>
      <c r="P79" s="9" t="e">
        <f t="shared" si="16"/>
        <v>#REF!</v>
      </c>
      <c r="Q79" s="143" t="e">
        <f>MAX(#REF!,#REF!)</f>
        <v>#REF!</v>
      </c>
      <c r="R79" s="9">
        <f t="shared" si="13"/>
        <v>0</v>
      </c>
      <c r="S79" s="8" t="str">
        <f t="shared" si="17"/>
        <v>Belum Sensus</v>
      </c>
      <c r="T79" s="148"/>
      <c r="U79" s="143" t="e">
        <f>MAX(#REF!,#REF!)</f>
        <v>#REF!</v>
      </c>
      <c r="V79" s="143" t="e">
        <f>MAX(#REF!,#REF!)</f>
        <v>#REF!</v>
      </c>
      <c r="W79" s="9">
        <f t="shared" si="18"/>
        <v>0</v>
      </c>
      <c r="X79" s="8" t="str">
        <f t="shared" si="19"/>
        <v>Belum Sensus</v>
      </c>
      <c r="Y79" s="178"/>
      <c r="Z79" s="143"/>
      <c r="AA79" s="9">
        <f t="shared" si="20"/>
        <v>0</v>
      </c>
      <c r="AB79" s="143"/>
      <c r="AC79" s="9">
        <f t="shared" si="14"/>
        <v>0</v>
      </c>
      <c r="AD79" s="8" t="str">
        <f t="shared" si="21"/>
        <v>Belum Sensus</v>
      </c>
      <c r="AE79" s="178"/>
      <c r="AF79" s="143">
        <v>0</v>
      </c>
      <c r="AG79" s="143">
        <v>0</v>
      </c>
      <c r="AH79" s="9">
        <f t="shared" si="22"/>
        <v>0</v>
      </c>
      <c r="AI79" s="8" t="str">
        <f t="shared" si="23"/>
        <v>Belum Sensus</v>
      </c>
    </row>
    <row r="80" spans="1:35" x14ac:dyDescent="0.2">
      <c r="A80" s="8" t="s">
        <v>1273</v>
      </c>
      <c r="B80" s="8" t="s">
        <v>14</v>
      </c>
      <c r="C80" s="8" t="s">
        <v>79</v>
      </c>
      <c r="D80" s="8" t="s">
        <v>1347</v>
      </c>
      <c r="E80" s="9">
        <v>21.18</v>
      </c>
      <c r="F80" s="8" t="s">
        <v>1740</v>
      </c>
      <c r="G80" s="10">
        <v>2564</v>
      </c>
      <c r="H80" s="132">
        <v>46149</v>
      </c>
      <c r="I80" s="143">
        <f t="array" ref="I80">INDEX([46]perbandingan!$H$24:$H$231,MATCH(1,([46]perbandingan!$E$24:$E$231=$D80)*([46]perbandingan!$E$24:$E$231=$D80),0))</f>
        <v>234</v>
      </c>
      <c r="J80" s="9">
        <f t="array" ref="J80">IFERROR(I80/G80*100,0)</f>
        <v>9.1263650546021839</v>
      </c>
      <c r="K80" s="143">
        <f t="array" ref="K80">INDEX([46]perbandingan!$L$24:$L$231,MATCH(1,([46]perbandingan!$E$24:$E$231=$D80)*([46]perbandingan!$E$24:$E$231=$D80),0))</f>
        <v>28</v>
      </c>
      <c r="L80" s="9">
        <f t="shared" si="12"/>
        <v>11.965811965811966</v>
      </c>
      <c r="M80" s="8" t="str">
        <f t="shared" si="15"/>
        <v>Perlu Pengendalian</v>
      </c>
      <c r="N80" s="148"/>
      <c r="O80" s="143" t="e">
        <f>MAX(#REF!,#REF!)</f>
        <v>#REF!</v>
      </c>
      <c r="P80" s="9" t="e">
        <f t="shared" si="16"/>
        <v>#REF!</v>
      </c>
      <c r="Q80" s="143" t="e">
        <f>MAX(#REF!,#REF!)</f>
        <v>#REF!</v>
      </c>
      <c r="R80" s="9">
        <f t="shared" si="13"/>
        <v>0</v>
      </c>
      <c r="S80" s="8" t="str">
        <f t="shared" si="17"/>
        <v>Belum Sensus</v>
      </c>
      <c r="T80" s="148"/>
      <c r="U80" s="143" t="e">
        <f>MAX(#REF!,#REF!)</f>
        <v>#REF!</v>
      </c>
      <c r="V80" s="143" t="e">
        <f>MAX(#REF!,#REF!)</f>
        <v>#REF!</v>
      </c>
      <c r="W80" s="9">
        <f t="shared" si="18"/>
        <v>0</v>
      </c>
      <c r="X80" s="8" t="str">
        <f t="shared" si="19"/>
        <v>Belum Sensus</v>
      </c>
      <c r="Y80" s="178"/>
      <c r="Z80" s="143"/>
      <c r="AA80" s="9">
        <f t="shared" si="20"/>
        <v>0</v>
      </c>
      <c r="AB80" s="143"/>
      <c r="AC80" s="9">
        <f t="shared" si="14"/>
        <v>0</v>
      </c>
      <c r="AD80" s="8" t="str">
        <f t="shared" si="21"/>
        <v>Belum Sensus</v>
      </c>
      <c r="AE80" s="178"/>
      <c r="AF80" s="143">
        <v>0</v>
      </c>
      <c r="AG80" s="143">
        <v>0</v>
      </c>
      <c r="AH80" s="9">
        <f t="shared" si="22"/>
        <v>0</v>
      </c>
      <c r="AI80" s="8" t="str">
        <f t="shared" si="23"/>
        <v>Belum Sensus</v>
      </c>
    </row>
    <row r="81" spans="1:35" x14ac:dyDescent="0.2">
      <c r="A81" s="8" t="s">
        <v>1273</v>
      </c>
      <c r="B81" s="8" t="s">
        <v>14</v>
      </c>
      <c r="C81" s="8" t="s">
        <v>79</v>
      </c>
      <c r="D81" s="8" t="s">
        <v>1348</v>
      </c>
      <c r="E81" s="9">
        <v>52.570000000000007</v>
      </c>
      <c r="F81" s="8" t="s">
        <v>1740</v>
      </c>
      <c r="G81" s="10">
        <v>6852</v>
      </c>
      <c r="H81" s="132">
        <v>46149</v>
      </c>
      <c r="I81" s="143">
        <f t="array" ref="I81">INDEX([46]perbandingan!$H$24:$H$231,MATCH(1,([46]perbandingan!$E$24:$E$231=$D81)*([46]perbandingan!$E$24:$E$231=$D81),0))</f>
        <v>380</v>
      </c>
      <c r="J81" s="9">
        <f t="array" ref="J81">IFERROR(I81/G81*100,0)</f>
        <v>5.5458260361938123</v>
      </c>
      <c r="K81" s="143">
        <f t="array" ref="K81">INDEX([46]perbandingan!$L$24:$L$231,MATCH(1,([46]perbandingan!$E$24:$E$231=$D81)*([46]perbandingan!$E$24:$E$231=$D81),0))</f>
        <v>88</v>
      </c>
      <c r="L81" s="9">
        <f t="shared" si="12"/>
        <v>23.157894736842106</v>
      </c>
      <c r="M81" s="8" t="str">
        <f t="shared" si="15"/>
        <v>Perlu Pengendalian</v>
      </c>
      <c r="N81" s="148"/>
      <c r="O81" s="143" t="e">
        <f>MAX(#REF!,#REF!)</f>
        <v>#REF!</v>
      </c>
      <c r="P81" s="9" t="e">
        <f t="shared" si="16"/>
        <v>#REF!</v>
      </c>
      <c r="Q81" s="143" t="e">
        <f>MAX(#REF!,#REF!)</f>
        <v>#REF!</v>
      </c>
      <c r="R81" s="9">
        <f t="shared" si="13"/>
        <v>0</v>
      </c>
      <c r="S81" s="8" t="str">
        <f t="shared" si="17"/>
        <v>Belum Sensus</v>
      </c>
      <c r="T81" s="148"/>
      <c r="U81" s="143" t="e">
        <f>MAX(#REF!,#REF!)</f>
        <v>#REF!</v>
      </c>
      <c r="V81" s="143" t="e">
        <f>MAX(#REF!,#REF!)</f>
        <v>#REF!</v>
      </c>
      <c r="W81" s="9">
        <f t="shared" si="18"/>
        <v>0</v>
      </c>
      <c r="X81" s="8" t="str">
        <f t="shared" si="19"/>
        <v>Belum Sensus</v>
      </c>
      <c r="Y81" s="178">
        <v>46153</v>
      </c>
      <c r="Z81" s="143">
        <v>36</v>
      </c>
      <c r="AA81" s="9">
        <f t="shared" si="20"/>
        <v>0.52539404553415059</v>
      </c>
      <c r="AB81" s="143">
        <v>20</v>
      </c>
      <c r="AC81" s="9">
        <f t="shared" si="14"/>
        <v>55.555555555555557</v>
      </c>
      <c r="AD81" s="8" t="str">
        <f t="shared" si="21"/>
        <v>Perlu Pengendalian</v>
      </c>
      <c r="AE81" s="178"/>
      <c r="AF81" s="143">
        <v>0</v>
      </c>
      <c r="AG81" s="143">
        <v>0</v>
      </c>
      <c r="AH81" s="9">
        <f t="shared" si="22"/>
        <v>0</v>
      </c>
      <c r="AI81" s="8" t="str">
        <f t="shared" si="23"/>
        <v>Belum Sensus</v>
      </c>
    </row>
    <row r="82" spans="1:35" x14ac:dyDescent="0.2">
      <c r="A82" s="8" t="s">
        <v>1273</v>
      </c>
      <c r="B82" s="8" t="s">
        <v>14</v>
      </c>
      <c r="C82" s="8" t="s">
        <v>79</v>
      </c>
      <c r="D82" s="8" t="s">
        <v>1349</v>
      </c>
      <c r="E82" s="9">
        <v>0</v>
      </c>
      <c r="F82" s="8" t="s">
        <v>1740</v>
      </c>
      <c r="G82" s="10">
        <v>0</v>
      </c>
      <c r="H82" s="132"/>
      <c r="I82" s="143">
        <f t="array" ref="I82">INDEX([46]perbandingan!$H$24:$H$231,MATCH(1,([46]perbandingan!$E$24:$E$231=$D82)*([46]perbandingan!$E$24:$E$231=$D82),0))</f>
        <v>0</v>
      </c>
      <c r="J82" s="9">
        <f t="array" ref="J82">IFERROR(I82/G82*100,0)</f>
        <v>0</v>
      </c>
      <c r="K82" s="143">
        <f t="array" ref="K82">INDEX([46]perbandingan!$L$24:$L$231,MATCH(1,([46]perbandingan!$E$24:$E$231=$D82)*([46]perbandingan!$E$24:$E$231=$D82),0))</f>
        <v>0</v>
      </c>
      <c r="L82" s="9">
        <f t="shared" si="12"/>
        <v>0</v>
      </c>
      <c r="M82" s="8" t="str">
        <f t="shared" si="15"/>
        <v>Belum Sensus</v>
      </c>
      <c r="N82" s="148"/>
      <c r="O82" s="143" t="e">
        <f>MAX(#REF!,#REF!)</f>
        <v>#REF!</v>
      </c>
      <c r="P82" s="9" t="e">
        <f t="shared" si="16"/>
        <v>#REF!</v>
      </c>
      <c r="Q82" s="143" t="e">
        <f>MAX(#REF!,#REF!)</f>
        <v>#REF!</v>
      </c>
      <c r="R82" s="9">
        <f t="shared" si="13"/>
        <v>0</v>
      </c>
      <c r="S82" s="8" t="str">
        <f t="shared" si="17"/>
        <v>Belum Sensus</v>
      </c>
      <c r="T82" s="148"/>
      <c r="U82" s="143" t="e">
        <f>MAX(#REF!,#REF!)</f>
        <v>#REF!</v>
      </c>
      <c r="V82" s="143" t="e">
        <f>MAX(#REF!,#REF!)</f>
        <v>#REF!</v>
      </c>
      <c r="W82" s="9">
        <f t="shared" si="18"/>
        <v>0</v>
      </c>
      <c r="X82" s="8" t="str">
        <f t="shared" si="19"/>
        <v>Belum Sensus</v>
      </c>
      <c r="Y82" s="178"/>
      <c r="Z82" s="143">
        <v>0</v>
      </c>
      <c r="AA82" s="9" t="e">
        <f t="shared" si="20"/>
        <v>#DIV/0!</v>
      </c>
      <c r="AB82" s="143">
        <v>0</v>
      </c>
      <c r="AC82" s="9">
        <f t="shared" si="14"/>
        <v>0</v>
      </c>
      <c r="AD82" s="8" t="str">
        <f t="shared" si="21"/>
        <v>Belum Sensus</v>
      </c>
      <c r="AE82" s="178"/>
      <c r="AF82" s="143">
        <v>0</v>
      </c>
      <c r="AG82" s="143">
        <v>0</v>
      </c>
      <c r="AH82" s="9">
        <f t="shared" si="22"/>
        <v>0</v>
      </c>
      <c r="AI82" s="8" t="str">
        <f t="shared" si="23"/>
        <v>Belum Sensus</v>
      </c>
    </row>
    <row r="83" spans="1:35" x14ac:dyDescent="0.2">
      <c r="A83" s="8" t="s">
        <v>1273</v>
      </c>
      <c r="B83" s="8" t="s">
        <v>14</v>
      </c>
      <c r="C83" s="8" t="s">
        <v>79</v>
      </c>
      <c r="D83" s="8" t="s">
        <v>1350</v>
      </c>
      <c r="E83" s="9">
        <v>0</v>
      </c>
      <c r="F83" s="8" t="s">
        <v>1740</v>
      </c>
      <c r="G83" s="10">
        <v>0</v>
      </c>
      <c r="H83" s="132"/>
      <c r="I83" s="143">
        <f t="array" ref="I83">INDEX([46]perbandingan!$H$24:$H$231,MATCH(1,([46]perbandingan!$E$24:$E$231=$D83)*([46]perbandingan!$E$24:$E$231=$D83),0))</f>
        <v>0</v>
      </c>
      <c r="J83" s="9">
        <f t="array" ref="J83">IFERROR(I83/G83*100,0)</f>
        <v>0</v>
      </c>
      <c r="K83" s="143">
        <f t="array" ref="K83">INDEX([46]perbandingan!$L$24:$L$231,MATCH(1,([46]perbandingan!$E$24:$E$231=$D83)*([46]perbandingan!$E$24:$E$231=$D83),0))</f>
        <v>0</v>
      </c>
      <c r="L83" s="9">
        <f t="shared" si="12"/>
        <v>0</v>
      </c>
      <c r="M83" s="8" t="str">
        <f t="shared" si="15"/>
        <v>Belum Sensus</v>
      </c>
      <c r="N83" s="148"/>
      <c r="O83" s="143" t="e">
        <f>MAX(#REF!,#REF!)</f>
        <v>#REF!</v>
      </c>
      <c r="P83" s="9" t="e">
        <f t="shared" si="16"/>
        <v>#REF!</v>
      </c>
      <c r="Q83" s="143" t="e">
        <f>MAX(#REF!,#REF!)</f>
        <v>#REF!</v>
      </c>
      <c r="R83" s="9">
        <f t="shared" si="13"/>
        <v>0</v>
      </c>
      <c r="S83" s="8" t="str">
        <f t="shared" si="17"/>
        <v>Belum Sensus</v>
      </c>
      <c r="T83" s="148"/>
      <c r="U83" s="143" t="e">
        <f>MAX(#REF!,#REF!)</f>
        <v>#REF!</v>
      </c>
      <c r="V83" s="143" t="e">
        <f>MAX(#REF!,#REF!)</f>
        <v>#REF!</v>
      </c>
      <c r="W83" s="9">
        <f t="shared" si="18"/>
        <v>0</v>
      </c>
      <c r="X83" s="8" t="str">
        <f t="shared" si="19"/>
        <v>Belum Sensus</v>
      </c>
      <c r="Y83" s="178"/>
      <c r="Z83" s="143">
        <v>0</v>
      </c>
      <c r="AA83" s="9" t="e">
        <f t="shared" si="20"/>
        <v>#DIV/0!</v>
      </c>
      <c r="AB83" s="143">
        <v>0</v>
      </c>
      <c r="AC83" s="9">
        <f t="shared" si="14"/>
        <v>0</v>
      </c>
      <c r="AD83" s="8" t="str">
        <f t="shared" si="21"/>
        <v>Belum Sensus</v>
      </c>
      <c r="AE83" s="178"/>
      <c r="AF83" s="143">
        <v>0</v>
      </c>
      <c r="AG83" s="143">
        <v>0</v>
      </c>
      <c r="AH83" s="9">
        <f t="shared" si="22"/>
        <v>0</v>
      </c>
      <c r="AI83" s="8" t="str">
        <f t="shared" si="23"/>
        <v>Belum Sensus</v>
      </c>
    </row>
    <row r="84" spans="1:35" x14ac:dyDescent="0.2">
      <c r="A84" s="8" t="s">
        <v>1273</v>
      </c>
      <c r="B84" s="8" t="s">
        <v>14</v>
      </c>
      <c r="C84" s="8" t="s">
        <v>79</v>
      </c>
      <c r="D84" s="8" t="s">
        <v>1351</v>
      </c>
      <c r="E84" s="9">
        <v>25.28</v>
      </c>
      <c r="F84" s="8" t="s">
        <v>1740</v>
      </c>
      <c r="G84" s="10">
        <v>3200</v>
      </c>
      <c r="H84" s="132">
        <v>46153</v>
      </c>
      <c r="I84" s="143">
        <f t="array" ref="I84">INDEX([46]perbandingan!$H$24:$H$231,MATCH(1,([46]perbandingan!$E$24:$E$231=$D84)*([46]perbandingan!$E$24:$E$231=$D84),0))</f>
        <v>272</v>
      </c>
      <c r="J84" s="9">
        <f t="array" ref="J84">IFERROR(I84/G84*100,0)</f>
        <v>8.5</v>
      </c>
      <c r="K84" s="143">
        <f t="array" ref="K84">INDEX([46]perbandingan!$L$24:$L$231,MATCH(1,([46]perbandingan!$E$24:$E$231=$D84)*([46]perbandingan!$E$24:$E$231=$D84),0))</f>
        <v>41</v>
      </c>
      <c r="L84" s="9">
        <f t="shared" si="12"/>
        <v>15.073529411764705</v>
      </c>
      <c r="M84" s="8" t="str">
        <f t="shared" si="15"/>
        <v>Perlu Pengendalian</v>
      </c>
      <c r="N84" s="148"/>
      <c r="O84" s="143" t="e">
        <f>MAX(#REF!,#REF!)</f>
        <v>#REF!</v>
      </c>
      <c r="P84" s="9" t="e">
        <f t="shared" si="16"/>
        <v>#REF!</v>
      </c>
      <c r="Q84" s="143" t="e">
        <f>MAX(#REF!,#REF!)</f>
        <v>#REF!</v>
      </c>
      <c r="R84" s="9">
        <f t="shared" si="13"/>
        <v>0</v>
      </c>
      <c r="S84" s="8" t="str">
        <f t="shared" si="17"/>
        <v>Belum Sensus</v>
      </c>
      <c r="T84" s="148"/>
      <c r="U84" s="143" t="e">
        <f>MAX(#REF!,#REF!)</f>
        <v>#REF!</v>
      </c>
      <c r="V84" s="143" t="e">
        <f>MAX(#REF!,#REF!)</f>
        <v>#REF!</v>
      </c>
      <c r="W84" s="9">
        <f t="shared" si="18"/>
        <v>0</v>
      </c>
      <c r="X84" s="8" t="str">
        <f t="shared" si="19"/>
        <v>Belum Sensus</v>
      </c>
      <c r="Y84" s="178"/>
      <c r="Z84" s="143">
        <v>0</v>
      </c>
      <c r="AA84" s="9">
        <f t="shared" si="20"/>
        <v>0</v>
      </c>
      <c r="AB84" s="143">
        <v>0</v>
      </c>
      <c r="AC84" s="9">
        <f t="shared" si="14"/>
        <v>0</v>
      </c>
      <c r="AD84" s="8" t="str">
        <f t="shared" si="21"/>
        <v>Belum Sensus</v>
      </c>
      <c r="AE84" s="178"/>
      <c r="AF84" s="143">
        <v>0</v>
      </c>
      <c r="AG84" s="143">
        <v>0</v>
      </c>
      <c r="AH84" s="9">
        <f t="shared" si="22"/>
        <v>0</v>
      </c>
      <c r="AI84" s="8" t="str">
        <f t="shared" si="23"/>
        <v>Belum Sensus</v>
      </c>
    </row>
    <row r="85" spans="1:35" x14ac:dyDescent="0.2">
      <c r="A85" s="8" t="s">
        <v>1273</v>
      </c>
      <c r="B85" s="8" t="s">
        <v>14</v>
      </c>
      <c r="C85" s="8" t="s">
        <v>79</v>
      </c>
      <c r="D85" s="8" t="s">
        <v>1352</v>
      </c>
      <c r="E85" s="9">
        <v>47.55</v>
      </c>
      <c r="F85" s="8" t="s">
        <v>1740</v>
      </c>
      <c r="G85" s="10">
        <v>6387</v>
      </c>
      <c r="H85" s="132">
        <v>46153</v>
      </c>
      <c r="I85" s="143">
        <f t="array" ref="I85">INDEX([46]perbandingan!$H$24:$H$231,MATCH(1,([46]perbandingan!$E$24:$E$231=$D85)*([46]perbandingan!$E$24:$E$231=$D85),0))</f>
        <v>214</v>
      </c>
      <c r="J85" s="9">
        <f t="array" ref="J85">IFERROR(I85/G85*100,0)</f>
        <v>3.3505558165022702</v>
      </c>
      <c r="K85" s="143">
        <f t="array" ref="K85">INDEX([46]perbandingan!$L$24:$L$231,MATCH(1,([46]perbandingan!$E$24:$E$231=$D85)*([46]perbandingan!$E$24:$E$231=$D85),0))</f>
        <v>19</v>
      </c>
      <c r="L85" s="9">
        <f t="shared" si="12"/>
        <v>8.8785046728971952</v>
      </c>
      <c r="M85" s="8" t="str">
        <f t="shared" si="15"/>
        <v>Perlu Pengendalian</v>
      </c>
      <c r="N85" s="148"/>
      <c r="O85" s="143" t="e">
        <f>MAX(#REF!,#REF!)</f>
        <v>#REF!</v>
      </c>
      <c r="P85" s="9" t="e">
        <f t="shared" si="16"/>
        <v>#REF!</v>
      </c>
      <c r="Q85" s="143" t="e">
        <f>MAX(#REF!,#REF!)</f>
        <v>#REF!</v>
      </c>
      <c r="R85" s="9">
        <f t="shared" si="13"/>
        <v>0</v>
      </c>
      <c r="S85" s="8" t="str">
        <f t="shared" si="17"/>
        <v>Belum Sensus</v>
      </c>
      <c r="T85" s="148"/>
      <c r="U85" s="143" t="e">
        <f>MAX(#REF!,#REF!)</f>
        <v>#REF!</v>
      </c>
      <c r="V85" s="143" t="e">
        <f>MAX(#REF!,#REF!)</f>
        <v>#REF!</v>
      </c>
      <c r="W85" s="9">
        <f t="shared" si="18"/>
        <v>0</v>
      </c>
      <c r="X85" s="8" t="str">
        <f t="shared" si="19"/>
        <v>Belum Sensus</v>
      </c>
      <c r="Y85" s="178">
        <v>46153</v>
      </c>
      <c r="Z85" s="143">
        <v>109</v>
      </c>
      <c r="AA85" s="9">
        <f t="shared" si="20"/>
        <v>1.7065915140128385</v>
      </c>
      <c r="AB85" s="143">
        <v>33</v>
      </c>
      <c r="AC85" s="9">
        <f t="shared" si="14"/>
        <v>30.275229357798167</v>
      </c>
      <c r="AD85" s="8" t="str">
        <f t="shared" si="21"/>
        <v>Perlu Pengendalian</v>
      </c>
      <c r="AE85" s="178"/>
      <c r="AF85" s="143">
        <v>0</v>
      </c>
      <c r="AG85" s="143">
        <v>0</v>
      </c>
      <c r="AH85" s="9">
        <f t="shared" si="22"/>
        <v>0</v>
      </c>
      <c r="AI85" s="8" t="str">
        <f t="shared" si="23"/>
        <v>Belum Sensus</v>
      </c>
    </row>
    <row r="86" spans="1:35" x14ac:dyDescent="0.2">
      <c r="A86" s="8" t="s">
        <v>1273</v>
      </c>
      <c r="B86" s="8" t="s">
        <v>14</v>
      </c>
      <c r="C86" s="8" t="s">
        <v>79</v>
      </c>
      <c r="D86" s="8" t="s">
        <v>1353</v>
      </c>
      <c r="E86" s="9">
        <v>25.58</v>
      </c>
      <c r="F86" s="8" t="s">
        <v>1740</v>
      </c>
      <c r="G86" s="10">
        <v>2551</v>
      </c>
      <c r="H86" s="132">
        <v>46153</v>
      </c>
      <c r="I86" s="143">
        <f t="array" ref="I86">INDEX([46]perbandingan!$H$24:$H$231,MATCH(1,([46]perbandingan!$E$24:$E$231=$D86)*([46]perbandingan!$E$24:$E$231=$D86),0))</f>
        <v>190</v>
      </c>
      <c r="J86" s="9">
        <f t="array" ref="J86">IFERROR(I86/G86*100,0)</f>
        <v>7.4480595844766757</v>
      </c>
      <c r="K86" s="143">
        <f t="array" ref="K86">INDEX([46]perbandingan!$L$24:$L$231,MATCH(1,([46]perbandingan!$E$24:$E$231=$D86)*([46]perbandingan!$E$24:$E$231=$D86),0))</f>
        <v>18</v>
      </c>
      <c r="L86" s="9">
        <f t="shared" si="12"/>
        <v>9.4736842105263168</v>
      </c>
      <c r="M86" s="8" t="str">
        <f t="shared" si="15"/>
        <v>Perlu Pengendalian</v>
      </c>
      <c r="N86" s="148"/>
      <c r="O86" s="143" t="e">
        <f>MAX(#REF!,#REF!)</f>
        <v>#REF!</v>
      </c>
      <c r="P86" s="9" t="e">
        <f t="shared" si="16"/>
        <v>#REF!</v>
      </c>
      <c r="Q86" s="143" t="e">
        <f>MAX(#REF!,#REF!)</f>
        <v>#REF!</v>
      </c>
      <c r="R86" s="9">
        <f t="shared" si="13"/>
        <v>0</v>
      </c>
      <c r="S86" s="8" t="str">
        <f t="shared" si="17"/>
        <v>Belum Sensus</v>
      </c>
      <c r="T86" s="148"/>
      <c r="U86" s="143" t="e">
        <f>MAX(#REF!,#REF!)</f>
        <v>#REF!</v>
      </c>
      <c r="V86" s="143" t="e">
        <f>MAX(#REF!,#REF!)</f>
        <v>#REF!</v>
      </c>
      <c r="W86" s="9">
        <f t="shared" si="18"/>
        <v>0</v>
      </c>
      <c r="X86" s="8" t="str">
        <f t="shared" si="19"/>
        <v>Belum Sensus</v>
      </c>
      <c r="Y86" s="178"/>
      <c r="Z86" s="143">
        <v>0</v>
      </c>
      <c r="AA86" s="9">
        <f t="shared" si="20"/>
        <v>0</v>
      </c>
      <c r="AB86" s="143">
        <v>0</v>
      </c>
      <c r="AC86" s="9">
        <f t="shared" si="14"/>
        <v>0</v>
      </c>
      <c r="AD86" s="8" t="str">
        <f t="shared" si="21"/>
        <v>Belum Sensus</v>
      </c>
      <c r="AE86" s="178"/>
      <c r="AF86" s="143">
        <v>0</v>
      </c>
      <c r="AG86" s="143">
        <v>0</v>
      </c>
      <c r="AH86" s="9">
        <f t="shared" si="22"/>
        <v>0</v>
      </c>
      <c r="AI86" s="8" t="str">
        <f t="shared" si="23"/>
        <v>Belum Sensus</v>
      </c>
    </row>
    <row r="87" spans="1:35" x14ac:dyDescent="0.2">
      <c r="A87" s="8" t="s">
        <v>1273</v>
      </c>
      <c r="B87" s="8" t="s">
        <v>14</v>
      </c>
      <c r="C87" s="8" t="s">
        <v>79</v>
      </c>
      <c r="D87" s="8" t="s">
        <v>1354</v>
      </c>
      <c r="E87" s="9">
        <v>24.580000000000002</v>
      </c>
      <c r="F87" s="8" t="s">
        <v>1740</v>
      </c>
      <c r="G87" s="10">
        <v>2771</v>
      </c>
      <c r="H87" s="132">
        <v>46153</v>
      </c>
      <c r="I87" s="143">
        <f t="array" ref="I87">INDEX([46]perbandingan!$H$24:$H$231,MATCH(1,([46]perbandingan!$E$24:$E$231=$D87)*([46]perbandingan!$E$24:$E$231=$D87),0))</f>
        <v>248</v>
      </c>
      <c r="J87" s="9">
        <f t="array" ref="J87">IFERROR(I87/G87*100,0)</f>
        <v>8.9498376037531582</v>
      </c>
      <c r="K87" s="143">
        <f t="array" ref="K87">INDEX([46]perbandingan!$L$24:$L$231,MATCH(1,([46]perbandingan!$E$24:$E$231=$D87)*([46]perbandingan!$E$24:$E$231=$D87),0))</f>
        <v>29</v>
      </c>
      <c r="L87" s="9">
        <f t="shared" si="12"/>
        <v>11.693548387096774</v>
      </c>
      <c r="M87" s="8" t="str">
        <f t="shared" si="15"/>
        <v>Perlu Pengendalian</v>
      </c>
      <c r="N87" s="148"/>
      <c r="O87" s="143" t="e">
        <f>MAX(#REF!,#REF!)</f>
        <v>#REF!</v>
      </c>
      <c r="P87" s="9" t="e">
        <f t="shared" si="16"/>
        <v>#REF!</v>
      </c>
      <c r="Q87" s="143" t="e">
        <f>MAX(#REF!,#REF!)</f>
        <v>#REF!</v>
      </c>
      <c r="R87" s="9">
        <f t="shared" si="13"/>
        <v>0</v>
      </c>
      <c r="S87" s="8" t="str">
        <f t="shared" si="17"/>
        <v>Belum Sensus</v>
      </c>
      <c r="T87" s="148"/>
      <c r="U87" s="143" t="e">
        <f>MAX(#REF!,#REF!)</f>
        <v>#REF!</v>
      </c>
      <c r="V87" s="143" t="e">
        <f>MAX(#REF!,#REF!)</f>
        <v>#REF!</v>
      </c>
      <c r="W87" s="9">
        <f t="shared" si="18"/>
        <v>0</v>
      </c>
      <c r="X87" s="8" t="str">
        <f t="shared" si="19"/>
        <v>Belum Sensus</v>
      </c>
      <c r="Y87" s="178">
        <v>46153</v>
      </c>
      <c r="Z87" s="143">
        <v>99</v>
      </c>
      <c r="AA87" s="9">
        <f t="shared" si="20"/>
        <v>3.5727174305304943</v>
      </c>
      <c r="AB87" s="143">
        <v>33</v>
      </c>
      <c r="AC87" s="9">
        <f t="shared" si="14"/>
        <v>33.333333333333329</v>
      </c>
      <c r="AD87" s="8" t="str">
        <f t="shared" si="21"/>
        <v>Perlu Pengendalian</v>
      </c>
      <c r="AE87" s="178"/>
      <c r="AF87" s="143">
        <v>0</v>
      </c>
      <c r="AG87" s="143">
        <v>0</v>
      </c>
      <c r="AH87" s="9">
        <f t="shared" si="22"/>
        <v>0</v>
      </c>
      <c r="AI87" s="8" t="str">
        <f t="shared" si="23"/>
        <v>Belum Sensus</v>
      </c>
    </row>
    <row r="88" spans="1:35" x14ac:dyDescent="0.2">
      <c r="A88" s="8" t="s">
        <v>1273</v>
      </c>
      <c r="B88" s="8" t="s">
        <v>14</v>
      </c>
      <c r="C88" s="8" t="s">
        <v>79</v>
      </c>
      <c r="D88" s="8" t="s">
        <v>1355</v>
      </c>
      <c r="E88" s="9">
        <v>40.53</v>
      </c>
      <c r="F88" s="8" t="s">
        <v>1740</v>
      </c>
      <c r="G88" s="10">
        <v>5611</v>
      </c>
      <c r="H88" s="132">
        <v>46153</v>
      </c>
      <c r="I88" s="143">
        <f t="array" ref="I88">INDEX([46]perbandingan!$H$24:$H$231,MATCH(1,([46]perbandingan!$E$24:$E$231=$D88)*([46]perbandingan!$E$24:$E$231=$D88),0))</f>
        <v>432</v>
      </c>
      <c r="J88" s="9">
        <f t="array" ref="J88">IFERROR(I88/G88*100,0)</f>
        <v>7.6991623596506864</v>
      </c>
      <c r="K88" s="143">
        <f t="array" ref="K88">INDEX([46]perbandingan!$L$24:$L$231,MATCH(1,([46]perbandingan!$E$24:$E$231=$D88)*([46]perbandingan!$E$24:$E$231=$D88),0))</f>
        <v>43</v>
      </c>
      <c r="L88" s="9">
        <f t="shared" si="12"/>
        <v>9.9537037037037042</v>
      </c>
      <c r="M88" s="8" t="str">
        <f t="shared" si="15"/>
        <v>Perlu Pengendalian</v>
      </c>
      <c r="N88" s="148"/>
      <c r="O88" s="143" t="e">
        <f>MAX(#REF!,#REF!)</f>
        <v>#REF!</v>
      </c>
      <c r="P88" s="9" t="e">
        <f t="shared" si="16"/>
        <v>#REF!</v>
      </c>
      <c r="Q88" s="143" t="e">
        <f>MAX(#REF!,#REF!)</f>
        <v>#REF!</v>
      </c>
      <c r="R88" s="9">
        <f t="shared" si="13"/>
        <v>0</v>
      </c>
      <c r="S88" s="8" t="str">
        <f t="shared" si="17"/>
        <v>Belum Sensus</v>
      </c>
      <c r="T88" s="148"/>
      <c r="U88" s="143" t="e">
        <f>MAX(#REF!,#REF!)</f>
        <v>#REF!</v>
      </c>
      <c r="V88" s="143" t="e">
        <f>MAX(#REF!,#REF!)</f>
        <v>#REF!</v>
      </c>
      <c r="W88" s="9">
        <f t="shared" si="18"/>
        <v>0</v>
      </c>
      <c r="X88" s="8" t="str">
        <f t="shared" si="19"/>
        <v>Belum Sensus</v>
      </c>
      <c r="Y88" s="178">
        <v>46153</v>
      </c>
      <c r="Z88" s="143">
        <v>36</v>
      </c>
      <c r="AA88" s="9">
        <f t="shared" si="20"/>
        <v>0.64159686330422383</v>
      </c>
      <c r="AB88" s="143">
        <v>14</v>
      </c>
      <c r="AC88" s="9">
        <f t="shared" si="14"/>
        <v>38.888888888888893</v>
      </c>
      <c r="AD88" s="8" t="str">
        <f t="shared" si="21"/>
        <v>Perlu Pengendalian</v>
      </c>
      <c r="AE88" s="178"/>
      <c r="AF88" s="143">
        <v>0</v>
      </c>
      <c r="AG88" s="143">
        <v>0</v>
      </c>
      <c r="AH88" s="9">
        <f t="shared" si="22"/>
        <v>0</v>
      </c>
      <c r="AI88" s="8" t="str">
        <f t="shared" si="23"/>
        <v>Belum Sensus</v>
      </c>
    </row>
    <row r="89" spans="1:35" x14ac:dyDescent="0.2">
      <c r="A89" s="8" t="s">
        <v>1273</v>
      </c>
      <c r="B89" s="8" t="s">
        <v>14</v>
      </c>
      <c r="C89" s="8" t="s">
        <v>79</v>
      </c>
      <c r="D89" s="8" t="s">
        <v>1356</v>
      </c>
      <c r="E89" s="9">
        <v>25.509999999999998</v>
      </c>
      <c r="F89" s="8" t="s">
        <v>1740</v>
      </c>
      <c r="G89" s="10">
        <v>3377</v>
      </c>
      <c r="H89" s="132">
        <v>46149</v>
      </c>
      <c r="I89" s="143">
        <f t="array" ref="I89">INDEX([46]perbandingan!$H$24:$H$231,MATCH(1,([46]perbandingan!$E$24:$E$231=$D89)*([46]perbandingan!$E$24:$E$231=$D89),0))</f>
        <v>289</v>
      </c>
      <c r="J89" s="9">
        <f t="array" ref="J89">IFERROR(I89/G89*100,0)</f>
        <v>8.5578916197808699</v>
      </c>
      <c r="K89" s="143">
        <f t="array" ref="K89">INDEX([46]perbandingan!$L$24:$L$231,MATCH(1,([46]perbandingan!$E$24:$E$231=$D89)*([46]perbandingan!$E$24:$E$231=$D89),0))</f>
        <v>17</v>
      </c>
      <c r="L89" s="9">
        <f t="shared" si="12"/>
        <v>5.8823529411764701</v>
      </c>
      <c r="M89" s="8" t="str">
        <f t="shared" si="15"/>
        <v>Perlu Pengendalian</v>
      </c>
      <c r="N89" s="148"/>
      <c r="O89" s="143" t="e">
        <f>MAX(#REF!,#REF!)</f>
        <v>#REF!</v>
      </c>
      <c r="P89" s="9" t="e">
        <f t="shared" si="16"/>
        <v>#REF!</v>
      </c>
      <c r="Q89" s="143" t="e">
        <f>MAX(#REF!,#REF!)</f>
        <v>#REF!</v>
      </c>
      <c r="R89" s="9">
        <f t="shared" si="13"/>
        <v>0</v>
      </c>
      <c r="S89" s="8" t="str">
        <f t="shared" si="17"/>
        <v>Belum Sensus</v>
      </c>
      <c r="T89" s="148"/>
      <c r="U89" s="143" t="e">
        <f>MAX(#REF!,#REF!)</f>
        <v>#REF!</v>
      </c>
      <c r="V89" s="143" t="e">
        <f>MAX(#REF!,#REF!)</f>
        <v>#REF!</v>
      </c>
      <c r="W89" s="9">
        <f t="shared" si="18"/>
        <v>0</v>
      </c>
      <c r="X89" s="8" t="str">
        <f t="shared" si="19"/>
        <v>Belum Sensus</v>
      </c>
      <c r="Y89" s="178">
        <v>46153</v>
      </c>
      <c r="Z89" s="143">
        <v>38</v>
      </c>
      <c r="AA89" s="9">
        <f t="shared" si="20"/>
        <v>1.1252591057151318</v>
      </c>
      <c r="AB89" s="143">
        <v>13</v>
      </c>
      <c r="AC89" s="9">
        <f t="shared" si="14"/>
        <v>34.210526315789473</v>
      </c>
      <c r="AD89" s="8" t="str">
        <f t="shared" si="21"/>
        <v>Perlu Pengendalian</v>
      </c>
      <c r="AE89" s="178"/>
      <c r="AF89" s="143">
        <v>0</v>
      </c>
      <c r="AG89" s="143">
        <v>0</v>
      </c>
      <c r="AH89" s="9">
        <f t="shared" si="22"/>
        <v>0</v>
      </c>
      <c r="AI89" s="8" t="str">
        <f t="shared" si="23"/>
        <v>Belum Sensus</v>
      </c>
    </row>
    <row r="90" spans="1:35" x14ac:dyDescent="0.2">
      <c r="A90" s="8" t="s">
        <v>1273</v>
      </c>
      <c r="B90" s="8" t="s">
        <v>14</v>
      </c>
      <c r="C90" s="8" t="s">
        <v>79</v>
      </c>
      <c r="D90" s="8" t="s">
        <v>1357</v>
      </c>
      <c r="E90" s="9">
        <v>26</v>
      </c>
      <c r="F90" s="8" t="s">
        <v>1740</v>
      </c>
      <c r="G90" s="10">
        <v>3314</v>
      </c>
      <c r="H90" s="132">
        <v>46149</v>
      </c>
      <c r="I90" s="143">
        <f t="array" ref="I90">INDEX([46]perbandingan!$H$24:$H$231,MATCH(1,([46]perbandingan!$E$24:$E$231=$D90)*([46]perbandingan!$E$24:$E$231=$D90),0))</f>
        <v>264</v>
      </c>
      <c r="J90" s="9">
        <f t="array" ref="J90">IFERROR(I90/G90*100,0)</f>
        <v>7.9662039831019911</v>
      </c>
      <c r="K90" s="143">
        <f t="array" ref="K90">INDEX([46]perbandingan!$L$24:$L$231,MATCH(1,([46]perbandingan!$E$24:$E$231=$D90)*([46]perbandingan!$E$24:$E$231=$D90),0))</f>
        <v>11</v>
      </c>
      <c r="L90" s="9">
        <f t="shared" si="12"/>
        <v>4.1666666666666661</v>
      </c>
      <c r="M90" s="8" t="str">
        <f t="shared" si="15"/>
        <v>Perlu Pengendalian</v>
      </c>
      <c r="N90" s="148"/>
      <c r="O90" s="143" t="e">
        <f>MAX(#REF!,#REF!)</f>
        <v>#REF!</v>
      </c>
      <c r="P90" s="9" t="e">
        <f t="shared" si="16"/>
        <v>#REF!</v>
      </c>
      <c r="Q90" s="143" t="e">
        <f>MAX(#REF!,#REF!)</f>
        <v>#REF!</v>
      </c>
      <c r="R90" s="9">
        <f t="shared" si="13"/>
        <v>0</v>
      </c>
      <c r="S90" s="8" t="str">
        <f t="shared" si="17"/>
        <v>Belum Sensus</v>
      </c>
      <c r="T90" s="148"/>
      <c r="U90" s="143" t="e">
        <f>MAX(#REF!,#REF!)</f>
        <v>#REF!</v>
      </c>
      <c r="V90" s="143" t="e">
        <f>MAX(#REF!,#REF!)</f>
        <v>#REF!</v>
      </c>
      <c r="W90" s="9">
        <f t="shared" si="18"/>
        <v>0</v>
      </c>
      <c r="X90" s="8" t="str">
        <f t="shared" si="19"/>
        <v>Belum Sensus</v>
      </c>
      <c r="Y90" s="178">
        <v>46153</v>
      </c>
      <c r="Z90" s="143">
        <v>79</v>
      </c>
      <c r="AA90" s="9">
        <f t="shared" si="20"/>
        <v>2.3838261919130956</v>
      </c>
      <c r="AB90" s="143">
        <v>29</v>
      </c>
      <c r="AC90" s="9">
        <f t="shared" si="14"/>
        <v>36.708860759493675</v>
      </c>
      <c r="AD90" s="8" t="str">
        <f t="shared" si="21"/>
        <v>Perlu Pengendalian</v>
      </c>
      <c r="AE90" s="178"/>
      <c r="AF90" s="143">
        <v>0</v>
      </c>
      <c r="AG90" s="143">
        <v>0</v>
      </c>
      <c r="AH90" s="9">
        <f t="shared" si="22"/>
        <v>0</v>
      </c>
      <c r="AI90" s="8" t="str">
        <f t="shared" si="23"/>
        <v>Belum Sensus</v>
      </c>
    </row>
    <row r="91" spans="1:35" x14ac:dyDescent="0.2">
      <c r="A91" s="8" t="s">
        <v>1273</v>
      </c>
      <c r="B91" s="8" t="s">
        <v>14</v>
      </c>
      <c r="C91" s="8" t="s">
        <v>79</v>
      </c>
      <c r="D91" s="8" t="s">
        <v>1358</v>
      </c>
      <c r="E91" s="9">
        <v>22.48</v>
      </c>
      <c r="F91" s="8" t="s">
        <v>1740</v>
      </c>
      <c r="G91" s="10">
        <v>2887</v>
      </c>
      <c r="H91" s="132">
        <v>46149</v>
      </c>
      <c r="I91" s="143">
        <f t="array" ref="I91">INDEX([46]perbandingan!$H$24:$H$231,MATCH(1,([46]perbandingan!$E$24:$E$231=$D91)*([46]perbandingan!$E$24:$E$231=$D91),0))</f>
        <v>246</v>
      </c>
      <c r="J91" s="9">
        <f t="array" ref="J91">IFERROR(I91/G91*100,0)</f>
        <v>8.520956009698649</v>
      </c>
      <c r="K91" s="143">
        <f t="array" ref="K91">INDEX([46]perbandingan!$L$24:$L$231,MATCH(1,([46]perbandingan!$E$24:$E$231=$D91)*([46]perbandingan!$E$24:$E$231=$D91),0))</f>
        <v>27</v>
      </c>
      <c r="L91" s="9">
        <f t="shared" si="12"/>
        <v>10.975609756097562</v>
      </c>
      <c r="M91" s="8" t="str">
        <f t="shared" si="15"/>
        <v>Perlu Pengendalian</v>
      </c>
      <c r="N91" s="148"/>
      <c r="O91" s="143" t="e">
        <f>MAX(#REF!,#REF!)</f>
        <v>#REF!</v>
      </c>
      <c r="P91" s="9" t="e">
        <f t="shared" si="16"/>
        <v>#REF!</v>
      </c>
      <c r="Q91" s="143" t="e">
        <f>MAX(#REF!,#REF!)</f>
        <v>#REF!</v>
      </c>
      <c r="R91" s="9">
        <f t="shared" si="13"/>
        <v>0</v>
      </c>
      <c r="S91" s="8" t="str">
        <f t="shared" si="17"/>
        <v>Belum Sensus</v>
      </c>
      <c r="T91" s="148"/>
      <c r="U91" s="143" t="e">
        <f>MAX(#REF!,#REF!)</f>
        <v>#REF!</v>
      </c>
      <c r="V91" s="143" t="e">
        <f>MAX(#REF!,#REF!)</f>
        <v>#REF!</v>
      </c>
      <c r="W91" s="9">
        <f t="shared" si="18"/>
        <v>0</v>
      </c>
      <c r="X91" s="8" t="str">
        <f t="shared" si="19"/>
        <v>Belum Sensus</v>
      </c>
      <c r="Y91" s="178">
        <v>46153</v>
      </c>
      <c r="Z91" s="143">
        <v>45</v>
      </c>
      <c r="AA91" s="9">
        <f t="shared" si="20"/>
        <v>1.5587114651887772</v>
      </c>
      <c r="AB91" s="143">
        <v>15</v>
      </c>
      <c r="AC91" s="9">
        <f t="shared" si="14"/>
        <v>33.333333333333329</v>
      </c>
      <c r="AD91" s="8" t="str">
        <f t="shared" si="21"/>
        <v>Perlu Pengendalian</v>
      </c>
      <c r="AE91" s="178"/>
      <c r="AF91" s="143">
        <v>0</v>
      </c>
      <c r="AG91" s="143">
        <v>0</v>
      </c>
      <c r="AH91" s="9">
        <f t="shared" si="22"/>
        <v>0</v>
      </c>
      <c r="AI91" s="8" t="str">
        <f t="shared" si="23"/>
        <v>Belum Sensus</v>
      </c>
    </row>
    <row r="92" spans="1:35" x14ac:dyDescent="0.2">
      <c r="A92" s="8" t="s">
        <v>1273</v>
      </c>
      <c r="B92" s="8" t="s">
        <v>14</v>
      </c>
      <c r="C92" s="8" t="s">
        <v>79</v>
      </c>
      <c r="D92" s="8" t="s">
        <v>1359</v>
      </c>
      <c r="E92" s="9">
        <v>27.939999999999998</v>
      </c>
      <c r="F92" s="8" t="s">
        <v>1740</v>
      </c>
      <c r="G92" s="10">
        <v>3658</v>
      </c>
      <c r="H92" s="132">
        <v>46149</v>
      </c>
      <c r="I92" s="143">
        <f t="array" ref="I92">INDEX([46]perbandingan!$H$24:$H$231,MATCH(1,([46]perbandingan!$E$24:$E$231=$D92)*([46]perbandingan!$E$24:$E$231=$D92),0))</f>
        <v>320</v>
      </c>
      <c r="J92" s="9">
        <f t="array" ref="J92">IFERROR(I92/G92*100,0)</f>
        <v>8.7479496992892294</v>
      </c>
      <c r="K92" s="143">
        <f t="array" ref="K92">INDEX([46]perbandingan!$L$24:$L$231,MATCH(1,([46]perbandingan!$E$24:$E$231=$D92)*([46]perbandingan!$E$24:$E$231=$D92),0))</f>
        <v>27</v>
      </c>
      <c r="L92" s="9">
        <f t="shared" si="12"/>
        <v>8.4375</v>
      </c>
      <c r="M92" s="8" t="str">
        <f t="shared" si="15"/>
        <v>Perlu Pengendalian</v>
      </c>
      <c r="N92" s="148"/>
      <c r="O92" s="143" t="e">
        <f>MAX(#REF!,#REF!)</f>
        <v>#REF!</v>
      </c>
      <c r="P92" s="9" t="e">
        <f t="shared" si="16"/>
        <v>#REF!</v>
      </c>
      <c r="Q92" s="143" t="e">
        <f>MAX(#REF!,#REF!)</f>
        <v>#REF!</v>
      </c>
      <c r="R92" s="9">
        <f t="shared" si="13"/>
        <v>0</v>
      </c>
      <c r="S92" s="8" t="str">
        <f t="shared" si="17"/>
        <v>Belum Sensus</v>
      </c>
      <c r="T92" s="148"/>
      <c r="U92" s="143" t="e">
        <f>MAX(#REF!,#REF!)</f>
        <v>#REF!</v>
      </c>
      <c r="V92" s="143" t="e">
        <f>MAX(#REF!,#REF!)</f>
        <v>#REF!</v>
      </c>
      <c r="W92" s="9">
        <f t="shared" si="18"/>
        <v>0</v>
      </c>
      <c r="X92" s="8" t="str">
        <f t="shared" si="19"/>
        <v>Belum Sensus</v>
      </c>
      <c r="Y92" s="178"/>
      <c r="Z92" s="143">
        <v>0</v>
      </c>
      <c r="AA92" s="9">
        <f t="shared" si="20"/>
        <v>0</v>
      </c>
      <c r="AB92" s="143">
        <v>0</v>
      </c>
      <c r="AC92" s="9">
        <f t="shared" si="14"/>
        <v>0</v>
      </c>
      <c r="AD92" s="8" t="str">
        <f t="shared" si="21"/>
        <v>Belum Sensus</v>
      </c>
      <c r="AE92" s="178"/>
      <c r="AF92" s="143">
        <v>0</v>
      </c>
      <c r="AG92" s="143">
        <v>0</v>
      </c>
      <c r="AH92" s="9">
        <f t="shared" si="22"/>
        <v>0</v>
      </c>
      <c r="AI92" s="8" t="str">
        <f t="shared" si="23"/>
        <v>Belum Sensus</v>
      </c>
    </row>
    <row r="93" spans="1:35" x14ac:dyDescent="0.2">
      <c r="A93" s="8" t="s">
        <v>1273</v>
      </c>
      <c r="B93" s="8" t="s">
        <v>14</v>
      </c>
      <c r="C93" s="8" t="s">
        <v>79</v>
      </c>
      <c r="D93" s="8" t="s">
        <v>1360</v>
      </c>
      <c r="E93" s="9">
        <v>21.89</v>
      </c>
      <c r="F93" s="8" t="s">
        <v>1740</v>
      </c>
      <c r="G93" s="10">
        <v>1931</v>
      </c>
      <c r="H93" s="132">
        <v>46149</v>
      </c>
      <c r="I93" s="143">
        <f t="array" ref="I93">INDEX([46]perbandingan!$H$24:$H$231,MATCH(1,([46]perbandingan!$E$24:$E$231=$D93)*([46]perbandingan!$E$24:$E$231=$D93),0))</f>
        <v>231</v>
      </c>
      <c r="J93" s="9">
        <f t="array" ref="J93">IFERROR(I93/G93*100,0)</f>
        <v>11.96271361988607</v>
      </c>
      <c r="K93" s="143">
        <f t="array" ref="K93">INDEX([46]perbandingan!$L$24:$L$231,MATCH(1,([46]perbandingan!$E$24:$E$231=$D93)*([46]perbandingan!$E$24:$E$231=$D93),0))</f>
        <v>12</v>
      </c>
      <c r="L93" s="9">
        <f t="shared" si="12"/>
        <v>5.1948051948051948</v>
      </c>
      <c r="M93" s="8" t="str">
        <f t="shared" si="15"/>
        <v>Perlu Pengendalian</v>
      </c>
      <c r="N93" s="148"/>
      <c r="O93" s="143" t="e">
        <f>MAX(#REF!,#REF!)</f>
        <v>#REF!</v>
      </c>
      <c r="P93" s="9" t="e">
        <f t="shared" si="16"/>
        <v>#REF!</v>
      </c>
      <c r="Q93" s="143" t="e">
        <f>MAX(#REF!,#REF!)</f>
        <v>#REF!</v>
      </c>
      <c r="R93" s="9">
        <f t="shared" si="13"/>
        <v>0</v>
      </c>
      <c r="S93" s="8" t="str">
        <f t="shared" si="17"/>
        <v>Belum Sensus</v>
      </c>
      <c r="T93" s="148"/>
      <c r="U93" s="143" t="e">
        <f>MAX(#REF!,#REF!)</f>
        <v>#REF!</v>
      </c>
      <c r="V93" s="143" t="e">
        <f>MAX(#REF!,#REF!)</f>
        <v>#REF!</v>
      </c>
      <c r="W93" s="9">
        <f t="shared" si="18"/>
        <v>0</v>
      </c>
      <c r="X93" s="8" t="str">
        <f t="shared" si="19"/>
        <v>Belum Sensus</v>
      </c>
      <c r="Y93" s="178"/>
      <c r="Z93" s="143">
        <v>0</v>
      </c>
      <c r="AA93" s="9">
        <f t="shared" si="20"/>
        <v>0</v>
      </c>
      <c r="AB93" s="143">
        <v>0</v>
      </c>
      <c r="AC93" s="9">
        <f t="shared" si="14"/>
        <v>0</v>
      </c>
      <c r="AD93" s="8" t="str">
        <f t="shared" si="21"/>
        <v>Belum Sensus</v>
      </c>
      <c r="AE93" s="178"/>
      <c r="AF93" s="143">
        <v>0</v>
      </c>
      <c r="AG93" s="143">
        <v>0</v>
      </c>
      <c r="AH93" s="9">
        <f t="shared" si="22"/>
        <v>0</v>
      </c>
      <c r="AI93" s="8" t="str">
        <f t="shared" si="23"/>
        <v>Belum Sensus</v>
      </c>
    </row>
    <row r="94" spans="1:35" x14ac:dyDescent="0.2">
      <c r="A94" s="8" t="s">
        <v>1273</v>
      </c>
      <c r="B94" s="8" t="s">
        <v>14</v>
      </c>
      <c r="C94" s="8" t="s">
        <v>79</v>
      </c>
      <c r="D94" s="8" t="s">
        <v>1361</v>
      </c>
      <c r="E94" s="9">
        <v>32.519999999999996</v>
      </c>
      <c r="F94" s="8" t="s">
        <v>1740</v>
      </c>
      <c r="G94" s="10">
        <v>4681</v>
      </c>
      <c r="H94" s="132">
        <v>46153</v>
      </c>
      <c r="I94" s="143">
        <f t="array" ref="I94">INDEX([46]perbandingan!$H$24:$H$231,MATCH(1,([46]perbandingan!$E$24:$E$231=$D94)*([46]perbandingan!$E$24:$E$231=$D94),0))</f>
        <v>397</v>
      </c>
      <c r="J94" s="9">
        <f t="array" ref="J94">IFERROR(I94/G94*100,0)</f>
        <v>8.4810937833796203</v>
      </c>
      <c r="K94" s="143">
        <f t="array" ref="K94">INDEX([46]perbandingan!$L$24:$L$231,MATCH(1,([46]perbandingan!$E$24:$E$231=$D94)*([46]perbandingan!$E$24:$E$231=$D94),0))</f>
        <v>45</v>
      </c>
      <c r="L94" s="9">
        <f t="shared" si="12"/>
        <v>11.335012594458437</v>
      </c>
      <c r="M94" s="8" t="str">
        <f t="shared" si="15"/>
        <v>Perlu Pengendalian</v>
      </c>
      <c r="N94" s="148"/>
      <c r="O94" s="143" t="e">
        <f>MAX(#REF!,#REF!)</f>
        <v>#REF!</v>
      </c>
      <c r="P94" s="9" t="e">
        <f t="shared" si="16"/>
        <v>#REF!</v>
      </c>
      <c r="Q94" s="143" t="e">
        <f>MAX(#REF!,#REF!)</f>
        <v>#REF!</v>
      </c>
      <c r="R94" s="9">
        <f t="shared" si="13"/>
        <v>0</v>
      </c>
      <c r="S94" s="8" t="str">
        <f t="shared" si="17"/>
        <v>Belum Sensus</v>
      </c>
      <c r="T94" s="148"/>
      <c r="U94" s="143" t="e">
        <f>MAX(#REF!,#REF!)</f>
        <v>#REF!</v>
      </c>
      <c r="V94" s="143" t="e">
        <f>MAX(#REF!,#REF!)</f>
        <v>#REF!</v>
      </c>
      <c r="W94" s="9">
        <f t="shared" si="18"/>
        <v>0</v>
      </c>
      <c r="X94" s="8" t="str">
        <f t="shared" si="19"/>
        <v>Belum Sensus</v>
      </c>
      <c r="Y94" s="178">
        <v>46153</v>
      </c>
      <c r="Z94" s="143">
        <v>83</v>
      </c>
      <c r="AA94" s="9">
        <f t="shared" si="20"/>
        <v>1.7731254005554369</v>
      </c>
      <c r="AB94" s="143">
        <v>31</v>
      </c>
      <c r="AC94" s="9">
        <f t="shared" si="14"/>
        <v>37.349397590361441</v>
      </c>
      <c r="AD94" s="8" t="str">
        <f t="shared" si="21"/>
        <v>Perlu Pengendalian</v>
      </c>
      <c r="AE94" s="178"/>
      <c r="AF94" s="143">
        <v>0</v>
      </c>
      <c r="AG94" s="143">
        <v>0</v>
      </c>
      <c r="AH94" s="9">
        <f t="shared" si="22"/>
        <v>0</v>
      </c>
      <c r="AI94" s="8" t="str">
        <f t="shared" si="23"/>
        <v>Belum Sensus</v>
      </c>
    </row>
    <row r="95" spans="1:35" x14ac:dyDescent="0.2">
      <c r="A95" s="8" t="s">
        <v>1273</v>
      </c>
      <c r="B95" s="8" t="s">
        <v>14</v>
      </c>
      <c r="C95" s="8" t="s">
        <v>107</v>
      </c>
      <c r="D95" s="8" t="s">
        <v>1362</v>
      </c>
      <c r="E95" s="9">
        <v>37.540000000000006</v>
      </c>
      <c r="F95" s="8" t="s">
        <v>1740</v>
      </c>
      <c r="G95" s="10">
        <v>4873</v>
      </c>
      <c r="H95" s="132">
        <v>46149</v>
      </c>
      <c r="I95" s="143">
        <f t="array" ref="I95">INDEX([46]perbandingan!$H$24:$H$231,MATCH(1,([46]perbandingan!$E$24:$E$231=$D95)*([46]perbandingan!$E$24:$E$231=$D95),0))</f>
        <v>440</v>
      </c>
      <c r="J95" s="9">
        <f t="array" ref="J95">IFERROR(I95/G95*100,0)</f>
        <v>9.0293453724604973</v>
      </c>
      <c r="K95" s="143">
        <f t="array" ref="K95">INDEX([46]perbandingan!$L$24:$L$231,MATCH(1,([46]perbandingan!$E$24:$E$231=$D95)*([46]perbandingan!$E$24:$E$231=$D95),0))</f>
        <v>41</v>
      </c>
      <c r="L95" s="9">
        <f t="shared" si="12"/>
        <v>9.3181818181818183</v>
      </c>
      <c r="M95" s="8" t="str">
        <f t="shared" si="15"/>
        <v>Perlu Pengendalian</v>
      </c>
      <c r="N95" s="148"/>
      <c r="O95" s="143" t="e">
        <f>MAX(#REF!,#REF!)</f>
        <v>#REF!</v>
      </c>
      <c r="P95" s="9" t="e">
        <f t="shared" si="16"/>
        <v>#REF!</v>
      </c>
      <c r="Q95" s="143" t="e">
        <f>MAX(#REF!,#REF!)</f>
        <v>#REF!</v>
      </c>
      <c r="R95" s="9">
        <f t="shared" si="13"/>
        <v>0</v>
      </c>
      <c r="S95" s="8" t="str">
        <f t="shared" si="17"/>
        <v>Belum Sensus</v>
      </c>
      <c r="T95" s="148"/>
      <c r="U95" s="143" t="e">
        <f>MAX(#REF!,#REF!)</f>
        <v>#REF!</v>
      </c>
      <c r="V95" s="143" t="e">
        <f>MAX(#REF!,#REF!)</f>
        <v>#REF!</v>
      </c>
      <c r="W95" s="9">
        <f t="shared" si="18"/>
        <v>0</v>
      </c>
      <c r="X95" s="8" t="str">
        <f t="shared" si="19"/>
        <v>Belum Sensus</v>
      </c>
      <c r="Y95" s="178">
        <v>46153</v>
      </c>
      <c r="Z95" s="143">
        <v>65</v>
      </c>
      <c r="AA95" s="9">
        <f t="shared" si="20"/>
        <v>1.3338805663862097</v>
      </c>
      <c r="AB95" s="143">
        <v>9</v>
      </c>
      <c r="AC95" s="9">
        <f t="shared" si="14"/>
        <v>13.846153846153847</v>
      </c>
      <c r="AD95" s="8" t="str">
        <f t="shared" si="21"/>
        <v>Perlu Pengendalian</v>
      </c>
      <c r="AE95" s="178">
        <v>46153</v>
      </c>
      <c r="AF95" s="143">
        <v>351</v>
      </c>
      <c r="AG95" s="143">
        <v>118</v>
      </c>
      <c r="AH95" s="9">
        <f t="shared" si="22"/>
        <v>33.618233618233617</v>
      </c>
      <c r="AI95" s="8" t="str">
        <f t="shared" si="23"/>
        <v>Perlu Pengendalian</v>
      </c>
    </row>
    <row r="96" spans="1:35" x14ac:dyDescent="0.2">
      <c r="A96" s="8" t="s">
        <v>1273</v>
      </c>
      <c r="B96" s="8" t="s">
        <v>14</v>
      </c>
      <c r="C96" s="8" t="s">
        <v>107</v>
      </c>
      <c r="D96" s="8" t="s">
        <v>1363</v>
      </c>
      <c r="E96" s="9">
        <v>37.959999999999994</v>
      </c>
      <c r="F96" s="8" t="s">
        <v>1740</v>
      </c>
      <c r="G96" s="10">
        <v>4891</v>
      </c>
      <c r="H96" s="132">
        <v>46153</v>
      </c>
      <c r="I96" s="143">
        <f t="array" ref="I96">INDEX([46]perbandingan!$H$24:$H$231,MATCH(1,([46]perbandingan!$E$24:$E$231=$D96)*([46]perbandingan!$E$24:$E$231=$D96),0))</f>
        <v>1004</v>
      </c>
      <c r="J96" s="9">
        <f t="array" ref="J96">IFERROR(I96/G96*100,0)</f>
        <v>20.527499488857085</v>
      </c>
      <c r="K96" s="143">
        <f t="array" ref="K96">INDEX([46]perbandingan!$L$24:$L$231,MATCH(1,([46]perbandingan!$E$24:$E$231=$D96)*([46]perbandingan!$E$24:$E$231=$D96),0))</f>
        <v>53</v>
      </c>
      <c r="L96" s="9">
        <f t="shared" si="12"/>
        <v>5.2788844621513942</v>
      </c>
      <c r="M96" s="8" t="str">
        <f t="shared" si="15"/>
        <v>Perlu Pengendalian</v>
      </c>
      <c r="N96" s="148"/>
      <c r="O96" s="143" t="e">
        <f>MAX(#REF!,#REF!)</f>
        <v>#REF!</v>
      </c>
      <c r="P96" s="9" t="e">
        <f t="shared" si="16"/>
        <v>#REF!</v>
      </c>
      <c r="Q96" s="143" t="e">
        <f>MAX(#REF!,#REF!)</f>
        <v>#REF!</v>
      </c>
      <c r="R96" s="9">
        <f t="shared" si="13"/>
        <v>0</v>
      </c>
      <c r="S96" s="8" t="str">
        <f t="shared" si="17"/>
        <v>Belum Sensus</v>
      </c>
      <c r="T96" s="148"/>
      <c r="U96" s="143" t="e">
        <f>MAX(#REF!,#REF!)</f>
        <v>#REF!</v>
      </c>
      <c r="V96" s="143" t="e">
        <f>MAX(#REF!,#REF!)</f>
        <v>#REF!</v>
      </c>
      <c r="W96" s="9">
        <f t="shared" si="18"/>
        <v>0</v>
      </c>
      <c r="X96" s="8" t="str">
        <f t="shared" si="19"/>
        <v>Belum Sensus</v>
      </c>
      <c r="Y96" s="178">
        <v>46153</v>
      </c>
      <c r="Z96" s="143">
        <v>187</v>
      </c>
      <c r="AA96" s="9">
        <f t="shared" si="20"/>
        <v>3.8233490083827442</v>
      </c>
      <c r="AB96" s="143">
        <v>40</v>
      </c>
      <c r="AC96" s="9">
        <f t="shared" si="14"/>
        <v>21.390374331550802</v>
      </c>
      <c r="AD96" s="8" t="str">
        <f t="shared" si="21"/>
        <v>Perlu Pengendalian</v>
      </c>
      <c r="AE96" s="178">
        <v>46153</v>
      </c>
      <c r="AF96" s="143">
        <v>285</v>
      </c>
      <c r="AG96" s="143">
        <v>93</v>
      </c>
      <c r="AH96" s="9">
        <f t="shared" si="22"/>
        <v>32.631578947368425</v>
      </c>
      <c r="AI96" s="8" t="str">
        <f t="shared" si="23"/>
        <v>Perlu Pengendalian</v>
      </c>
    </row>
    <row r="97" spans="1:35" x14ac:dyDescent="0.2">
      <c r="A97" s="8" t="s">
        <v>1273</v>
      </c>
      <c r="B97" s="8" t="s">
        <v>14</v>
      </c>
      <c r="C97" s="8" t="s">
        <v>107</v>
      </c>
      <c r="D97" s="8" t="s">
        <v>1364</v>
      </c>
      <c r="E97" s="9">
        <v>39.849999999999994</v>
      </c>
      <c r="F97" s="8" t="s">
        <v>1740</v>
      </c>
      <c r="G97" s="10">
        <v>5081</v>
      </c>
      <c r="H97" s="132">
        <v>46153</v>
      </c>
      <c r="I97" s="143">
        <f t="array" ref="I97">INDEX([46]perbandingan!$H$24:$H$231,MATCH(1,([46]perbandingan!$E$24:$E$231=$D97)*([46]perbandingan!$E$24:$E$231=$D97),0))</f>
        <v>960</v>
      </c>
      <c r="J97" s="9">
        <f t="array" ref="J97">IFERROR(I97/G97*100,0)</f>
        <v>18.893918519976381</v>
      </c>
      <c r="K97" s="143">
        <f t="array" ref="K97">INDEX([46]perbandingan!$L$24:$L$231,MATCH(1,([46]perbandingan!$E$24:$E$231=$D97)*([46]perbandingan!$E$24:$E$231=$D97),0))</f>
        <v>54</v>
      </c>
      <c r="L97" s="9">
        <f t="shared" si="12"/>
        <v>5.625</v>
      </c>
      <c r="M97" s="8" t="str">
        <f t="shared" si="15"/>
        <v>Perlu Pengendalian</v>
      </c>
      <c r="N97" s="148"/>
      <c r="O97" s="143" t="e">
        <f>MAX(#REF!,#REF!)</f>
        <v>#REF!</v>
      </c>
      <c r="P97" s="9" t="e">
        <f t="shared" si="16"/>
        <v>#REF!</v>
      </c>
      <c r="Q97" s="143" t="e">
        <f>MAX(#REF!,#REF!)</f>
        <v>#REF!</v>
      </c>
      <c r="R97" s="9">
        <f t="shared" si="13"/>
        <v>0</v>
      </c>
      <c r="S97" s="8" t="str">
        <f t="shared" si="17"/>
        <v>Belum Sensus</v>
      </c>
      <c r="T97" s="148"/>
      <c r="U97" s="143" t="e">
        <f>MAX(#REF!,#REF!)</f>
        <v>#REF!</v>
      </c>
      <c r="V97" s="143" t="e">
        <f>MAX(#REF!,#REF!)</f>
        <v>#REF!</v>
      </c>
      <c r="W97" s="9">
        <f t="shared" si="18"/>
        <v>0</v>
      </c>
      <c r="X97" s="8" t="str">
        <f t="shared" si="19"/>
        <v>Belum Sensus</v>
      </c>
      <c r="Y97" s="178"/>
      <c r="Z97" s="143"/>
      <c r="AA97" s="9">
        <f t="shared" si="20"/>
        <v>0</v>
      </c>
      <c r="AB97" s="143"/>
      <c r="AC97" s="9">
        <f t="shared" si="14"/>
        <v>0</v>
      </c>
      <c r="AD97" s="8" t="str">
        <f t="shared" si="21"/>
        <v>Belum Sensus</v>
      </c>
      <c r="AE97" s="178">
        <v>46153</v>
      </c>
      <c r="AF97" s="143">
        <v>215</v>
      </c>
      <c r="AG97" s="143">
        <v>34</v>
      </c>
      <c r="AH97" s="9">
        <f t="shared" si="22"/>
        <v>15.813953488372093</v>
      </c>
      <c r="AI97" s="8" t="str">
        <f t="shared" si="23"/>
        <v>Perlu Pengendalian</v>
      </c>
    </row>
    <row r="98" spans="1:35" x14ac:dyDescent="0.2">
      <c r="A98" s="8" t="s">
        <v>1273</v>
      </c>
      <c r="B98" s="8" t="s">
        <v>14</v>
      </c>
      <c r="C98" s="8" t="s">
        <v>107</v>
      </c>
      <c r="D98" s="8" t="s">
        <v>1365</v>
      </c>
      <c r="E98" s="9">
        <v>41.11</v>
      </c>
      <c r="F98" s="8" t="s">
        <v>1740</v>
      </c>
      <c r="G98" s="10">
        <v>5548</v>
      </c>
      <c r="H98" s="132">
        <v>46153</v>
      </c>
      <c r="I98" s="143">
        <f t="array" ref="I98">INDEX([46]perbandingan!$H$24:$H$231,MATCH(1,([46]perbandingan!$E$24:$E$231=$D98)*([46]perbandingan!$E$24:$E$231=$D98),0))</f>
        <v>1084</v>
      </c>
      <c r="J98" s="9">
        <f t="array" ref="J98">IFERROR(I98/G98*100,0)</f>
        <v>19.538572458543619</v>
      </c>
      <c r="K98" s="143">
        <f t="array" ref="K98">INDEX([46]perbandingan!$L$24:$L$231,MATCH(1,([46]perbandingan!$E$24:$E$231=$D98)*([46]perbandingan!$E$24:$E$231=$D98),0))</f>
        <v>73</v>
      </c>
      <c r="L98" s="9">
        <f t="shared" si="12"/>
        <v>6.7343173431734318</v>
      </c>
      <c r="M98" s="8" t="str">
        <f t="shared" si="15"/>
        <v>Perlu Pengendalian</v>
      </c>
      <c r="N98" s="148"/>
      <c r="O98" s="143" t="e">
        <f>MAX(#REF!,#REF!)</f>
        <v>#REF!</v>
      </c>
      <c r="P98" s="9" t="e">
        <f t="shared" si="16"/>
        <v>#REF!</v>
      </c>
      <c r="Q98" s="143" t="e">
        <f>MAX(#REF!,#REF!)</f>
        <v>#REF!</v>
      </c>
      <c r="R98" s="9">
        <f t="shared" si="13"/>
        <v>0</v>
      </c>
      <c r="S98" s="8" t="str">
        <f t="shared" si="17"/>
        <v>Belum Sensus</v>
      </c>
      <c r="T98" s="148"/>
      <c r="U98" s="143" t="e">
        <f>MAX(#REF!,#REF!)</f>
        <v>#REF!</v>
      </c>
      <c r="V98" s="143" t="e">
        <f>MAX(#REF!,#REF!)</f>
        <v>#REF!</v>
      </c>
      <c r="W98" s="9">
        <f t="shared" si="18"/>
        <v>0</v>
      </c>
      <c r="X98" s="8" t="str">
        <f t="shared" si="19"/>
        <v>Belum Sensus</v>
      </c>
      <c r="Y98" s="178"/>
      <c r="Z98" s="143"/>
      <c r="AA98" s="9">
        <f t="shared" si="20"/>
        <v>0</v>
      </c>
      <c r="AB98" s="143"/>
      <c r="AC98" s="9">
        <f t="shared" si="14"/>
        <v>0</v>
      </c>
      <c r="AD98" s="8" t="str">
        <f t="shared" si="21"/>
        <v>Belum Sensus</v>
      </c>
      <c r="AE98" s="178"/>
      <c r="AF98" s="143">
        <v>0</v>
      </c>
      <c r="AG98" s="143">
        <v>0</v>
      </c>
      <c r="AH98" s="9">
        <f t="shared" si="22"/>
        <v>0</v>
      </c>
      <c r="AI98" s="8" t="str">
        <f t="shared" si="23"/>
        <v>Belum Sensus</v>
      </c>
    </row>
    <row r="99" spans="1:35" x14ac:dyDescent="0.2">
      <c r="A99" s="8" t="s">
        <v>1273</v>
      </c>
      <c r="B99" s="8" t="s">
        <v>14</v>
      </c>
      <c r="C99" s="8" t="s">
        <v>107</v>
      </c>
      <c r="D99" s="8" t="s">
        <v>1366</v>
      </c>
      <c r="E99" s="9">
        <v>30.77</v>
      </c>
      <c r="F99" s="8" t="s">
        <v>1740</v>
      </c>
      <c r="G99" s="10">
        <v>4127</v>
      </c>
      <c r="H99" s="132">
        <v>46149</v>
      </c>
      <c r="I99" s="143">
        <f t="array" ref="I99">INDEX([46]perbandingan!$H$24:$H$231,MATCH(1,([46]perbandingan!$E$24:$E$231=$D99)*([46]perbandingan!$E$24:$E$231=$D99),0))</f>
        <v>659</v>
      </c>
      <c r="J99" s="9">
        <f t="array" ref="J99">IFERROR(I99/G99*100,0)</f>
        <v>15.968015507632662</v>
      </c>
      <c r="K99" s="143">
        <f t="array" ref="K99">INDEX([46]perbandingan!$L$24:$L$231,MATCH(1,([46]perbandingan!$E$24:$E$231=$D99)*([46]perbandingan!$E$24:$E$231=$D99),0))</f>
        <v>52</v>
      </c>
      <c r="L99" s="9">
        <f t="shared" si="12"/>
        <v>7.8907435508345971</v>
      </c>
      <c r="M99" s="8" t="str">
        <f t="shared" si="15"/>
        <v>Perlu Pengendalian</v>
      </c>
      <c r="N99" s="148"/>
      <c r="O99" s="143" t="e">
        <f>MAX(#REF!,#REF!)</f>
        <v>#REF!</v>
      </c>
      <c r="P99" s="9" t="e">
        <f t="shared" si="16"/>
        <v>#REF!</v>
      </c>
      <c r="Q99" s="143" t="e">
        <f>MAX(#REF!,#REF!)</f>
        <v>#REF!</v>
      </c>
      <c r="R99" s="9">
        <f t="shared" si="13"/>
        <v>0</v>
      </c>
      <c r="S99" s="8" t="str">
        <f t="shared" si="17"/>
        <v>Belum Sensus</v>
      </c>
      <c r="T99" s="148"/>
      <c r="U99" s="143" t="e">
        <f>MAX(#REF!,#REF!)</f>
        <v>#REF!</v>
      </c>
      <c r="V99" s="143" t="e">
        <f>MAX(#REF!,#REF!)</f>
        <v>#REF!</v>
      </c>
      <c r="W99" s="9">
        <f t="shared" si="18"/>
        <v>0</v>
      </c>
      <c r="X99" s="8" t="str">
        <f t="shared" si="19"/>
        <v>Belum Sensus</v>
      </c>
      <c r="Y99" s="178">
        <v>46153</v>
      </c>
      <c r="Z99" s="143">
        <v>65</v>
      </c>
      <c r="AA99" s="9">
        <f t="shared" si="20"/>
        <v>1.5749939423309909</v>
      </c>
      <c r="AB99" s="143">
        <v>20</v>
      </c>
      <c r="AC99" s="9">
        <f t="shared" si="14"/>
        <v>30.76923076923077</v>
      </c>
      <c r="AD99" s="8" t="str">
        <f t="shared" si="21"/>
        <v>Perlu Pengendalian</v>
      </c>
      <c r="AE99" s="178">
        <v>46153</v>
      </c>
      <c r="AF99" s="143">
        <v>325</v>
      </c>
      <c r="AG99" s="143">
        <v>98</v>
      </c>
      <c r="AH99" s="9">
        <f t="shared" si="22"/>
        <v>30.153846153846153</v>
      </c>
      <c r="AI99" s="8" t="str">
        <f t="shared" si="23"/>
        <v>Perlu Pengendalian</v>
      </c>
    </row>
    <row r="100" spans="1:35" x14ac:dyDescent="0.2">
      <c r="A100" s="8" t="s">
        <v>1273</v>
      </c>
      <c r="B100" s="8" t="s">
        <v>14</v>
      </c>
      <c r="C100" s="8" t="s">
        <v>107</v>
      </c>
      <c r="D100" s="8" t="s">
        <v>1007</v>
      </c>
      <c r="E100" s="9">
        <v>30.18</v>
      </c>
      <c r="F100" s="8" t="s">
        <v>1740</v>
      </c>
      <c r="G100" s="10">
        <v>4042</v>
      </c>
      <c r="H100" s="132">
        <v>46149</v>
      </c>
      <c r="I100" s="143">
        <f t="array" ref="I100">INDEX([46]perbandingan!$H$24:$H$231,MATCH(1,([46]perbandingan!$E$24:$E$231=$D100)*([46]perbandingan!$E$24:$E$231=$D100),0))</f>
        <v>667</v>
      </c>
      <c r="J100" s="9">
        <f t="array" ref="J100">IFERROR(I100/G100*100,0)</f>
        <v>16.501731815932708</v>
      </c>
      <c r="K100" s="143">
        <f t="array" ref="K100">INDEX([46]perbandingan!$L$24:$L$231,MATCH(1,([46]perbandingan!$E$24:$E$231=$D100)*([46]perbandingan!$E$24:$E$231=$D100),0))</f>
        <v>77</v>
      </c>
      <c r="L100" s="9">
        <f t="shared" si="12"/>
        <v>11.544227886056973</v>
      </c>
      <c r="M100" s="8" t="str">
        <f t="shared" si="15"/>
        <v>Perlu Pengendalian</v>
      </c>
      <c r="N100" s="148"/>
      <c r="O100" s="143" t="e">
        <f>MAX(#REF!,#REF!)</f>
        <v>#REF!</v>
      </c>
      <c r="P100" s="9" t="e">
        <f t="shared" si="16"/>
        <v>#REF!</v>
      </c>
      <c r="Q100" s="143" t="e">
        <f>MAX(#REF!,#REF!)</f>
        <v>#REF!</v>
      </c>
      <c r="R100" s="9">
        <f t="shared" si="13"/>
        <v>0</v>
      </c>
      <c r="S100" s="8" t="str">
        <f t="shared" si="17"/>
        <v>Belum Sensus</v>
      </c>
      <c r="T100" s="148"/>
      <c r="U100" s="143" t="e">
        <f>MAX(#REF!,#REF!)</f>
        <v>#REF!</v>
      </c>
      <c r="V100" s="143" t="e">
        <f>MAX(#REF!,#REF!)</f>
        <v>#REF!</v>
      </c>
      <c r="W100" s="9">
        <f t="shared" si="18"/>
        <v>0</v>
      </c>
      <c r="X100" s="8" t="str">
        <f t="shared" si="19"/>
        <v>Belum Sensus</v>
      </c>
      <c r="Y100" s="178"/>
      <c r="Z100" s="143">
        <v>0</v>
      </c>
      <c r="AA100" s="9">
        <f t="shared" si="20"/>
        <v>0</v>
      </c>
      <c r="AB100" s="143">
        <v>0</v>
      </c>
      <c r="AC100" s="9">
        <f t="shared" si="14"/>
        <v>0</v>
      </c>
      <c r="AD100" s="8" t="str">
        <f t="shared" si="21"/>
        <v>Belum Sensus</v>
      </c>
      <c r="AE100" s="178"/>
      <c r="AF100" s="143">
        <v>0</v>
      </c>
      <c r="AG100" s="143">
        <v>0</v>
      </c>
      <c r="AH100" s="9">
        <f t="shared" si="22"/>
        <v>0</v>
      </c>
      <c r="AI100" s="8" t="str">
        <f t="shared" si="23"/>
        <v>Belum Sensus</v>
      </c>
    </row>
    <row r="101" spans="1:35" x14ac:dyDescent="0.2">
      <c r="A101" s="8" t="s">
        <v>1273</v>
      </c>
      <c r="B101" s="8" t="s">
        <v>14</v>
      </c>
      <c r="C101" s="8" t="s">
        <v>107</v>
      </c>
      <c r="D101" s="8" t="s">
        <v>1009</v>
      </c>
      <c r="E101" s="9">
        <v>30.12</v>
      </c>
      <c r="F101" s="8" t="s">
        <v>1740</v>
      </c>
      <c r="G101" s="10">
        <v>3982</v>
      </c>
      <c r="H101" s="132">
        <v>46149</v>
      </c>
      <c r="I101" s="143">
        <f t="array" ref="I101">INDEX([46]perbandingan!$H$24:$H$231,MATCH(1,([46]perbandingan!$E$24:$E$231=$D101)*([46]perbandingan!$E$24:$E$231=$D101),0))</f>
        <v>781</v>
      </c>
      <c r="J101" s="9">
        <f t="array" ref="J101">IFERROR(I101/G101*100,0)</f>
        <v>19.613259668508288</v>
      </c>
      <c r="K101" s="143">
        <f t="array" ref="K101">INDEX([46]perbandingan!$L$24:$L$231,MATCH(1,([46]perbandingan!$E$24:$E$231=$D101)*([46]perbandingan!$E$24:$E$231=$D101),0))</f>
        <v>106</v>
      </c>
      <c r="L101" s="9">
        <f t="shared" si="12"/>
        <v>13.572343149807939</v>
      </c>
      <c r="M101" s="8" t="str">
        <f t="shared" si="15"/>
        <v>Perlu Pengendalian</v>
      </c>
      <c r="N101" s="148"/>
      <c r="O101" s="143" t="e">
        <f>MAX(#REF!,#REF!)</f>
        <v>#REF!</v>
      </c>
      <c r="P101" s="9" t="e">
        <f t="shared" si="16"/>
        <v>#REF!</v>
      </c>
      <c r="Q101" s="143" t="e">
        <f>MAX(#REF!,#REF!)</f>
        <v>#REF!</v>
      </c>
      <c r="R101" s="9">
        <f t="shared" si="13"/>
        <v>0</v>
      </c>
      <c r="S101" s="8" t="str">
        <f t="shared" si="17"/>
        <v>Belum Sensus</v>
      </c>
      <c r="T101" s="148"/>
      <c r="U101" s="143" t="e">
        <f>MAX(#REF!,#REF!)</f>
        <v>#REF!</v>
      </c>
      <c r="V101" s="143" t="e">
        <f>MAX(#REF!,#REF!)</f>
        <v>#REF!</v>
      </c>
      <c r="W101" s="9">
        <f t="shared" si="18"/>
        <v>0</v>
      </c>
      <c r="X101" s="8" t="str">
        <f t="shared" si="19"/>
        <v>Belum Sensus</v>
      </c>
      <c r="Y101" s="178"/>
      <c r="Z101" s="143">
        <v>0</v>
      </c>
      <c r="AA101" s="9">
        <f t="shared" si="20"/>
        <v>0</v>
      </c>
      <c r="AB101" s="143">
        <v>0</v>
      </c>
      <c r="AC101" s="9">
        <f t="shared" si="14"/>
        <v>0</v>
      </c>
      <c r="AD101" s="8" t="str">
        <f t="shared" si="21"/>
        <v>Belum Sensus</v>
      </c>
      <c r="AE101" s="178"/>
      <c r="AF101" s="143">
        <v>0</v>
      </c>
      <c r="AG101" s="143">
        <v>0</v>
      </c>
      <c r="AH101" s="9">
        <f t="shared" si="22"/>
        <v>0</v>
      </c>
      <c r="AI101" s="8" t="str">
        <f t="shared" si="23"/>
        <v>Belum Sensus</v>
      </c>
    </row>
    <row r="102" spans="1:35" x14ac:dyDescent="0.2">
      <c r="A102" s="8" t="s">
        <v>1273</v>
      </c>
      <c r="B102" s="8" t="s">
        <v>14</v>
      </c>
      <c r="C102" s="8" t="s">
        <v>107</v>
      </c>
      <c r="D102" s="8" t="s">
        <v>1367</v>
      </c>
      <c r="E102" s="9">
        <v>30.54</v>
      </c>
      <c r="F102" s="8" t="s">
        <v>1740</v>
      </c>
      <c r="G102" s="10">
        <v>3937</v>
      </c>
      <c r="H102" s="132">
        <v>46149</v>
      </c>
      <c r="I102" s="143">
        <f t="array" ref="I102">INDEX([46]perbandingan!$H$24:$H$231,MATCH(1,([46]perbandingan!$E$24:$E$231=$D102)*([46]perbandingan!$E$24:$E$231=$D102),0))</f>
        <v>840</v>
      </c>
      <c r="J102" s="9">
        <f t="array" ref="J102">IFERROR(I102/G102*100,0)</f>
        <v>21.336042672085345</v>
      </c>
      <c r="K102" s="143">
        <f t="array" ref="K102">INDEX([46]perbandingan!$L$24:$L$231,MATCH(1,([46]perbandingan!$E$24:$E$231=$D102)*([46]perbandingan!$E$24:$E$231=$D102),0))</f>
        <v>8</v>
      </c>
      <c r="L102" s="9">
        <f t="shared" si="12"/>
        <v>0.95238095238095244</v>
      </c>
      <c r="M102" s="8" t="str">
        <f t="shared" si="15"/>
        <v>Tidak Perlu Pengendalian</v>
      </c>
      <c r="N102" s="148"/>
      <c r="O102" s="143" t="e">
        <f>MAX(#REF!,#REF!)</f>
        <v>#REF!</v>
      </c>
      <c r="P102" s="9" t="e">
        <f t="shared" si="16"/>
        <v>#REF!</v>
      </c>
      <c r="Q102" s="143" t="e">
        <f>MAX(#REF!,#REF!)</f>
        <v>#REF!</v>
      </c>
      <c r="R102" s="9">
        <f t="shared" si="13"/>
        <v>0</v>
      </c>
      <c r="S102" s="8" t="str">
        <f t="shared" si="17"/>
        <v>Belum Sensus</v>
      </c>
      <c r="T102" s="148"/>
      <c r="U102" s="143" t="e">
        <f>MAX(#REF!,#REF!)</f>
        <v>#REF!</v>
      </c>
      <c r="V102" s="143" t="e">
        <f>MAX(#REF!,#REF!)</f>
        <v>#REF!</v>
      </c>
      <c r="W102" s="9">
        <f t="shared" si="18"/>
        <v>0</v>
      </c>
      <c r="X102" s="8" t="str">
        <f t="shared" si="19"/>
        <v>Belum Sensus</v>
      </c>
      <c r="Y102" s="178"/>
      <c r="Z102" s="143">
        <v>0</v>
      </c>
      <c r="AA102" s="9">
        <f t="shared" si="20"/>
        <v>0</v>
      </c>
      <c r="AB102" s="143">
        <v>0</v>
      </c>
      <c r="AC102" s="9">
        <f t="shared" si="14"/>
        <v>0</v>
      </c>
      <c r="AD102" s="8" t="str">
        <f t="shared" si="21"/>
        <v>Belum Sensus</v>
      </c>
      <c r="AE102" s="178"/>
      <c r="AF102" s="143">
        <v>0</v>
      </c>
      <c r="AG102" s="143">
        <v>0</v>
      </c>
      <c r="AH102" s="9">
        <f t="shared" si="22"/>
        <v>0</v>
      </c>
      <c r="AI102" s="8" t="str">
        <f t="shared" si="23"/>
        <v>Belum Sensus</v>
      </c>
    </row>
    <row r="103" spans="1:35" x14ac:dyDescent="0.2">
      <c r="A103" s="8" t="s">
        <v>1273</v>
      </c>
      <c r="B103" s="8" t="s">
        <v>14</v>
      </c>
      <c r="C103" s="8" t="s">
        <v>107</v>
      </c>
      <c r="D103" s="8" t="s">
        <v>1368</v>
      </c>
      <c r="E103" s="9">
        <v>30.27</v>
      </c>
      <c r="F103" s="8" t="s">
        <v>1740</v>
      </c>
      <c r="G103" s="10">
        <v>4018</v>
      </c>
      <c r="H103" s="132">
        <v>46149</v>
      </c>
      <c r="I103" s="143">
        <f t="array" ref="I103">INDEX([46]perbandingan!$H$24:$H$231,MATCH(1,([46]perbandingan!$E$24:$E$231=$D103)*([46]perbandingan!$E$24:$E$231=$D103),0))</f>
        <v>840</v>
      </c>
      <c r="J103" s="9">
        <f t="array" ref="J103">IFERROR(I103/G103*100,0)</f>
        <v>20.905923344947734</v>
      </c>
      <c r="K103" s="143">
        <f t="array" ref="K103">INDEX([46]perbandingan!$L$24:$L$231,MATCH(1,([46]perbandingan!$E$24:$E$231=$D103)*([46]perbandingan!$E$24:$E$231=$D103),0))</f>
        <v>31</v>
      </c>
      <c r="L103" s="9">
        <f t="shared" si="12"/>
        <v>3.6904761904761907</v>
      </c>
      <c r="M103" s="8" t="str">
        <f t="shared" si="15"/>
        <v>Perlu Pengendalian</v>
      </c>
      <c r="N103" s="148"/>
      <c r="O103" s="143" t="e">
        <f>MAX(#REF!,#REF!)</f>
        <v>#REF!</v>
      </c>
      <c r="P103" s="9" t="e">
        <f t="shared" si="16"/>
        <v>#REF!</v>
      </c>
      <c r="Q103" s="143" t="e">
        <f>MAX(#REF!,#REF!)</f>
        <v>#REF!</v>
      </c>
      <c r="R103" s="9">
        <f t="shared" si="13"/>
        <v>0</v>
      </c>
      <c r="S103" s="8" t="str">
        <f t="shared" si="17"/>
        <v>Belum Sensus</v>
      </c>
      <c r="T103" s="148"/>
      <c r="U103" s="143" t="e">
        <f>MAX(#REF!,#REF!)</f>
        <v>#REF!</v>
      </c>
      <c r="V103" s="143" t="e">
        <f>MAX(#REF!,#REF!)</f>
        <v>#REF!</v>
      </c>
      <c r="W103" s="9">
        <f t="shared" si="18"/>
        <v>0</v>
      </c>
      <c r="X103" s="8" t="str">
        <f t="shared" si="19"/>
        <v>Belum Sensus</v>
      </c>
      <c r="Y103" s="178"/>
      <c r="Z103" s="143">
        <v>0</v>
      </c>
      <c r="AA103" s="9">
        <f t="shared" si="20"/>
        <v>0</v>
      </c>
      <c r="AB103" s="143">
        <v>0</v>
      </c>
      <c r="AC103" s="9">
        <f t="shared" si="14"/>
        <v>0</v>
      </c>
      <c r="AD103" s="8" t="str">
        <f t="shared" si="21"/>
        <v>Belum Sensus</v>
      </c>
      <c r="AE103" s="178"/>
      <c r="AF103" s="143">
        <v>0</v>
      </c>
      <c r="AG103" s="143">
        <v>0</v>
      </c>
      <c r="AH103" s="9">
        <f t="shared" si="22"/>
        <v>0</v>
      </c>
      <c r="AI103" s="8" t="str">
        <f t="shared" si="23"/>
        <v>Belum Sensus</v>
      </c>
    </row>
    <row r="104" spans="1:35" x14ac:dyDescent="0.2">
      <c r="A104" s="8" t="s">
        <v>1273</v>
      </c>
      <c r="B104" s="8" t="s">
        <v>14</v>
      </c>
      <c r="C104" s="8" t="s">
        <v>107</v>
      </c>
      <c r="D104" s="8" t="s">
        <v>1369</v>
      </c>
      <c r="E104" s="9">
        <v>29.99</v>
      </c>
      <c r="F104" s="8" t="s">
        <v>1740</v>
      </c>
      <c r="G104" s="10">
        <v>3855</v>
      </c>
      <c r="H104" s="132">
        <v>46149</v>
      </c>
      <c r="I104" s="143">
        <f t="array" ref="I104">INDEX([46]perbandingan!$H$24:$H$231,MATCH(1,([46]perbandingan!$E$24:$E$231=$D104)*([46]perbandingan!$E$24:$E$231=$D104),0))</f>
        <v>802</v>
      </c>
      <c r="J104" s="9">
        <f t="array" ref="J104">IFERROR(I104/G104*100,0)</f>
        <v>20.804150453955902</v>
      </c>
      <c r="K104" s="143">
        <f t="array" ref="K104">INDEX([46]perbandingan!$L$24:$L$231,MATCH(1,([46]perbandingan!$E$24:$E$231=$D104)*([46]perbandingan!$E$24:$E$231=$D104),0))</f>
        <v>18</v>
      </c>
      <c r="L104" s="9">
        <f t="shared" si="12"/>
        <v>2.2443890274314215</v>
      </c>
      <c r="M104" s="8" t="str">
        <f t="shared" si="15"/>
        <v>Perlu Pengendalian</v>
      </c>
      <c r="N104" s="148"/>
      <c r="O104" s="143" t="e">
        <f>MAX(#REF!,#REF!)</f>
        <v>#REF!</v>
      </c>
      <c r="P104" s="9" t="e">
        <f t="shared" si="16"/>
        <v>#REF!</v>
      </c>
      <c r="Q104" s="143" t="e">
        <f>MAX(#REF!,#REF!)</f>
        <v>#REF!</v>
      </c>
      <c r="R104" s="9">
        <f t="shared" si="13"/>
        <v>0</v>
      </c>
      <c r="S104" s="8" t="str">
        <f t="shared" si="17"/>
        <v>Belum Sensus</v>
      </c>
      <c r="T104" s="148"/>
      <c r="U104" s="143" t="e">
        <f>MAX(#REF!,#REF!)</f>
        <v>#REF!</v>
      </c>
      <c r="V104" s="143" t="e">
        <f>MAX(#REF!,#REF!)</f>
        <v>#REF!</v>
      </c>
      <c r="W104" s="9">
        <f t="shared" si="18"/>
        <v>0</v>
      </c>
      <c r="X104" s="8" t="str">
        <f t="shared" si="19"/>
        <v>Belum Sensus</v>
      </c>
      <c r="Y104" s="178"/>
      <c r="Z104" s="143">
        <v>0</v>
      </c>
      <c r="AA104" s="9">
        <f t="shared" si="20"/>
        <v>0</v>
      </c>
      <c r="AB104" s="143">
        <v>0</v>
      </c>
      <c r="AC104" s="9">
        <f t="shared" si="14"/>
        <v>0</v>
      </c>
      <c r="AD104" s="8" t="str">
        <f t="shared" si="21"/>
        <v>Belum Sensus</v>
      </c>
      <c r="AE104" s="178">
        <v>46153</v>
      </c>
      <c r="AF104" s="143">
        <v>456</v>
      </c>
      <c r="AG104" s="143">
        <v>146</v>
      </c>
      <c r="AH104" s="9">
        <f t="shared" si="22"/>
        <v>32.017543859649123</v>
      </c>
      <c r="AI104" s="8" t="str">
        <f t="shared" si="23"/>
        <v>Perlu Pengendalian</v>
      </c>
    </row>
    <row r="105" spans="1:35" x14ac:dyDescent="0.2">
      <c r="A105" s="8" t="s">
        <v>1273</v>
      </c>
      <c r="B105" s="8" t="s">
        <v>14</v>
      </c>
      <c r="C105" s="8" t="s">
        <v>107</v>
      </c>
      <c r="D105" s="8" t="s">
        <v>1370</v>
      </c>
      <c r="E105" s="9">
        <v>30.43</v>
      </c>
      <c r="F105" s="8" t="s">
        <v>1740</v>
      </c>
      <c r="G105" s="10">
        <v>4231</v>
      </c>
      <c r="H105" s="132">
        <v>46149</v>
      </c>
      <c r="I105" s="143">
        <f t="array" ref="I105">INDEX([46]perbandingan!$H$24:$H$231,MATCH(1,([46]perbandingan!$E$24:$E$231=$D105)*([46]perbandingan!$E$24:$E$231=$D105),0))</f>
        <v>776</v>
      </c>
      <c r="J105" s="9">
        <f t="array" ref="J105">IFERROR(I105/G105*100,0)</f>
        <v>18.340817773575989</v>
      </c>
      <c r="K105" s="143">
        <f t="array" ref="K105">INDEX([46]perbandingan!$L$24:$L$231,MATCH(1,([46]perbandingan!$E$24:$E$231=$D105)*([46]perbandingan!$E$24:$E$231=$D105),0))</f>
        <v>40</v>
      </c>
      <c r="L105" s="9">
        <f t="shared" si="12"/>
        <v>5.1546391752577314</v>
      </c>
      <c r="M105" s="8" t="str">
        <f t="shared" si="15"/>
        <v>Perlu Pengendalian</v>
      </c>
      <c r="N105" s="148"/>
      <c r="O105" s="143" t="e">
        <f>MAX(#REF!,#REF!)</f>
        <v>#REF!</v>
      </c>
      <c r="P105" s="9" t="e">
        <f t="shared" si="16"/>
        <v>#REF!</v>
      </c>
      <c r="Q105" s="143" t="e">
        <f>MAX(#REF!,#REF!)</f>
        <v>#REF!</v>
      </c>
      <c r="R105" s="9">
        <f t="shared" si="13"/>
        <v>0</v>
      </c>
      <c r="S105" s="8" t="str">
        <f t="shared" si="17"/>
        <v>Belum Sensus</v>
      </c>
      <c r="T105" s="148"/>
      <c r="U105" s="143" t="e">
        <f>MAX(#REF!,#REF!)</f>
        <v>#REF!</v>
      </c>
      <c r="V105" s="143" t="e">
        <f>MAX(#REF!,#REF!)</f>
        <v>#REF!</v>
      </c>
      <c r="W105" s="9">
        <f t="shared" si="18"/>
        <v>0</v>
      </c>
      <c r="X105" s="8" t="str">
        <f t="shared" si="19"/>
        <v>Belum Sensus</v>
      </c>
      <c r="Y105" s="178">
        <v>46153</v>
      </c>
      <c r="Z105" s="143">
        <v>62</v>
      </c>
      <c r="AA105" s="9">
        <f t="shared" si="20"/>
        <v>1.46537461593004</v>
      </c>
      <c r="AB105" s="143">
        <v>22</v>
      </c>
      <c r="AC105" s="9">
        <f t="shared" si="14"/>
        <v>35.483870967741936</v>
      </c>
      <c r="AD105" s="8" t="str">
        <f t="shared" si="21"/>
        <v>Perlu Pengendalian</v>
      </c>
      <c r="AE105" s="178">
        <v>46153</v>
      </c>
      <c r="AF105" s="143">
        <v>135</v>
      </c>
      <c r="AG105" s="143">
        <v>43</v>
      </c>
      <c r="AH105" s="9">
        <f t="shared" si="22"/>
        <v>31.851851851851855</v>
      </c>
      <c r="AI105" s="8" t="str">
        <f t="shared" si="23"/>
        <v>Perlu Pengendalian</v>
      </c>
    </row>
    <row r="106" spans="1:35" x14ac:dyDescent="0.2">
      <c r="A106" s="8" t="s">
        <v>1273</v>
      </c>
      <c r="B106" s="8" t="s">
        <v>14</v>
      </c>
      <c r="C106" s="8" t="s">
        <v>107</v>
      </c>
      <c r="D106" s="8" t="s">
        <v>1371</v>
      </c>
      <c r="E106" s="9">
        <v>28.14</v>
      </c>
      <c r="F106" s="8" t="s">
        <v>1740</v>
      </c>
      <c r="G106" s="10">
        <v>3720</v>
      </c>
      <c r="H106" s="132">
        <v>46149</v>
      </c>
      <c r="I106" s="143">
        <f t="array" ref="I106">INDEX([46]perbandingan!$H$24:$H$231,MATCH(1,([46]perbandingan!$E$24:$E$231=$D106)*([46]perbandingan!$E$24:$E$231=$D106),0))</f>
        <v>704</v>
      </c>
      <c r="J106" s="9">
        <f t="array" ref="J106">IFERROR(I106/G106*100,0)</f>
        <v>18.9247311827957</v>
      </c>
      <c r="K106" s="143">
        <f t="array" ref="K106">INDEX([46]perbandingan!$L$24:$L$231,MATCH(1,([46]perbandingan!$E$24:$E$231=$D106)*([46]perbandingan!$E$24:$E$231=$D106),0))</f>
        <v>33</v>
      </c>
      <c r="L106" s="9">
        <f t="shared" si="12"/>
        <v>4.6875</v>
      </c>
      <c r="M106" s="8" t="str">
        <f t="shared" si="15"/>
        <v>Perlu Pengendalian</v>
      </c>
      <c r="N106" s="148"/>
      <c r="O106" s="143" t="e">
        <f>MAX(#REF!,#REF!)</f>
        <v>#REF!</v>
      </c>
      <c r="P106" s="9" t="e">
        <f t="shared" si="16"/>
        <v>#REF!</v>
      </c>
      <c r="Q106" s="143" t="e">
        <f>MAX(#REF!,#REF!)</f>
        <v>#REF!</v>
      </c>
      <c r="R106" s="9">
        <f t="shared" si="13"/>
        <v>0</v>
      </c>
      <c r="S106" s="8" t="str">
        <f t="shared" si="17"/>
        <v>Belum Sensus</v>
      </c>
      <c r="T106" s="148"/>
      <c r="U106" s="143" t="e">
        <f>MAX(#REF!,#REF!)</f>
        <v>#REF!</v>
      </c>
      <c r="V106" s="143" t="e">
        <f>MAX(#REF!,#REF!)</f>
        <v>#REF!</v>
      </c>
      <c r="W106" s="9">
        <f t="shared" si="18"/>
        <v>0</v>
      </c>
      <c r="X106" s="8" t="str">
        <f t="shared" si="19"/>
        <v>Belum Sensus</v>
      </c>
      <c r="Y106" s="178">
        <v>46153</v>
      </c>
      <c r="Z106" s="143">
        <v>62</v>
      </c>
      <c r="AA106" s="9">
        <f t="shared" si="20"/>
        <v>1.6666666666666667</v>
      </c>
      <c r="AB106" s="143">
        <v>22</v>
      </c>
      <c r="AC106" s="9">
        <f t="shared" si="14"/>
        <v>35.483870967741936</v>
      </c>
      <c r="AD106" s="8" t="str">
        <f t="shared" si="21"/>
        <v>Perlu Pengendalian</v>
      </c>
      <c r="AE106" s="178">
        <v>46153</v>
      </c>
      <c r="AF106" s="143">
        <v>597</v>
      </c>
      <c r="AG106" s="143">
        <v>116</v>
      </c>
      <c r="AH106" s="9">
        <f t="shared" si="22"/>
        <v>19.430485762144052</v>
      </c>
      <c r="AI106" s="8" t="str">
        <f t="shared" si="23"/>
        <v>Perlu Pengendalian</v>
      </c>
    </row>
    <row r="107" spans="1:35" x14ac:dyDescent="0.2">
      <c r="A107" s="8" t="s">
        <v>1273</v>
      </c>
      <c r="B107" s="8" t="s">
        <v>14</v>
      </c>
      <c r="C107" s="8" t="s">
        <v>107</v>
      </c>
      <c r="D107" s="8" t="s">
        <v>1372</v>
      </c>
      <c r="E107" s="9">
        <v>30.13</v>
      </c>
      <c r="F107" s="8" t="s">
        <v>1740</v>
      </c>
      <c r="G107" s="10">
        <v>3993</v>
      </c>
      <c r="H107" s="132">
        <v>46149</v>
      </c>
      <c r="I107" s="143">
        <f t="array" ref="I107">INDEX([46]perbandingan!$H$24:$H$231,MATCH(1,([46]perbandingan!$E$24:$E$231=$D107)*([46]perbandingan!$E$24:$E$231=$D107),0))</f>
        <v>780</v>
      </c>
      <c r="J107" s="9">
        <f t="array" ref="J107">IFERROR(I107/G107*100,0)</f>
        <v>19.534184823441024</v>
      </c>
      <c r="K107" s="143">
        <f t="array" ref="K107">INDEX([46]perbandingan!$L$24:$L$231,MATCH(1,([46]perbandingan!$E$24:$E$231=$D107)*([46]perbandingan!$E$24:$E$231=$D107),0))</f>
        <v>12</v>
      </c>
      <c r="L107" s="9">
        <f t="shared" si="12"/>
        <v>1.5384615384615385</v>
      </c>
      <c r="M107" s="8" t="str">
        <f t="shared" si="15"/>
        <v>Tidak Perlu Pengendalian</v>
      </c>
      <c r="N107" s="148"/>
      <c r="O107" s="143" t="e">
        <f>MAX(#REF!,#REF!)</f>
        <v>#REF!</v>
      </c>
      <c r="P107" s="9" t="e">
        <f t="shared" si="16"/>
        <v>#REF!</v>
      </c>
      <c r="Q107" s="143" t="e">
        <f>MAX(#REF!,#REF!)</f>
        <v>#REF!</v>
      </c>
      <c r="R107" s="9">
        <f t="shared" si="13"/>
        <v>0</v>
      </c>
      <c r="S107" s="8" t="str">
        <f t="shared" si="17"/>
        <v>Belum Sensus</v>
      </c>
      <c r="T107" s="148"/>
      <c r="U107" s="143" t="e">
        <f>MAX(#REF!,#REF!)</f>
        <v>#REF!</v>
      </c>
      <c r="V107" s="143" t="e">
        <f>MAX(#REF!,#REF!)</f>
        <v>#REF!</v>
      </c>
      <c r="W107" s="9">
        <f t="shared" si="18"/>
        <v>0</v>
      </c>
      <c r="X107" s="8" t="str">
        <f t="shared" si="19"/>
        <v>Belum Sensus</v>
      </c>
      <c r="Y107" s="178"/>
      <c r="Z107" s="143">
        <v>0</v>
      </c>
      <c r="AA107" s="9">
        <f t="shared" si="20"/>
        <v>0</v>
      </c>
      <c r="AB107" s="143">
        <v>0</v>
      </c>
      <c r="AC107" s="9">
        <f t="shared" si="14"/>
        <v>0</v>
      </c>
      <c r="AD107" s="8" t="str">
        <f t="shared" si="21"/>
        <v>Belum Sensus</v>
      </c>
      <c r="AE107" s="178"/>
      <c r="AF107" s="143"/>
      <c r="AG107" s="143"/>
      <c r="AH107" s="9">
        <f t="shared" si="22"/>
        <v>0</v>
      </c>
      <c r="AI107" s="8" t="str">
        <f t="shared" si="23"/>
        <v>Belum Sensus</v>
      </c>
    </row>
    <row r="108" spans="1:35" x14ac:dyDescent="0.2">
      <c r="A108" s="8" t="s">
        <v>1273</v>
      </c>
      <c r="B108" s="8" t="s">
        <v>14</v>
      </c>
      <c r="C108" s="8" t="s">
        <v>107</v>
      </c>
      <c r="D108" s="8" t="s">
        <v>1373</v>
      </c>
      <c r="E108" s="9">
        <v>29.45</v>
      </c>
      <c r="F108" s="8" t="s">
        <v>1740</v>
      </c>
      <c r="G108" s="10">
        <v>3906</v>
      </c>
      <c r="H108" s="132">
        <v>46153</v>
      </c>
      <c r="I108" s="143">
        <f t="array" ref="I108">INDEX([46]perbandingan!$H$24:$H$231,MATCH(1,([46]perbandingan!$E$24:$E$231=$D108)*([46]perbandingan!$E$24:$E$231=$D108),0))</f>
        <v>130</v>
      </c>
      <c r="J108" s="9">
        <f t="array" ref="J108">IFERROR(I108/G108*100,0)</f>
        <v>3.3282130056323607</v>
      </c>
      <c r="K108" s="143">
        <f t="array" ref="K108">INDEX([46]perbandingan!$L$24:$L$231,MATCH(1,([46]perbandingan!$E$24:$E$231=$D108)*([46]perbandingan!$E$24:$E$231=$D108),0))</f>
        <v>16</v>
      </c>
      <c r="L108" s="9">
        <f t="shared" si="12"/>
        <v>12.307692307692308</v>
      </c>
      <c r="M108" s="8" t="str">
        <f t="shared" si="15"/>
        <v>Perlu Pengendalian</v>
      </c>
      <c r="N108" s="148"/>
      <c r="O108" s="143" t="e">
        <f>MAX(#REF!,#REF!)</f>
        <v>#REF!</v>
      </c>
      <c r="P108" s="9" t="e">
        <f t="shared" si="16"/>
        <v>#REF!</v>
      </c>
      <c r="Q108" s="143" t="e">
        <f>MAX(#REF!,#REF!)</f>
        <v>#REF!</v>
      </c>
      <c r="R108" s="9">
        <f t="shared" si="13"/>
        <v>0</v>
      </c>
      <c r="S108" s="8" t="str">
        <f t="shared" si="17"/>
        <v>Belum Sensus</v>
      </c>
      <c r="T108" s="148"/>
      <c r="U108" s="143" t="e">
        <f>MAX(#REF!,#REF!)</f>
        <v>#REF!</v>
      </c>
      <c r="V108" s="143" t="e">
        <f>MAX(#REF!,#REF!)</f>
        <v>#REF!</v>
      </c>
      <c r="W108" s="9">
        <f t="shared" si="18"/>
        <v>0</v>
      </c>
      <c r="X108" s="8" t="str">
        <f t="shared" si="19"/>
        <v>Belum Sensus</v>
      </c>
      <c r="Y108" s="178">
        <v>46153</v>
      </c>
      <c r="Z108" s="143">
        <v>190</v>
      </c>
      <c r="AA108" s="9">
        <f t="shared" si="20"/>
        <v>4.8643113159242191</v>
      </c>
      <c r="AB108" s="143">
        <v>35</v>
      </c>
      <c r="AC108" s="9">
        <f t="shared" si="14"/>
        <v>18.421052631578945</v>
      </c>
      <c r="AD108" s="8" t="str">
        <f t="shared" si="21"/>
        <v>Perlu Pengendalian</v>
      </c>
      <c r="AE108" s="178">
        <v>46153</v>
      </c>
      <c r="AF108" s="143">
        <v>38</v>
      </c>
      <c r="AG108" s="143">
        <v>17</v>
      </c>
      <c r="AH108" s="9">
        <f t="shared" si="22"/>
        <v>44.736842105263158</v>
      </c>
      <c r="AI108" s="8" t="str">
        <f t="shared" si="23"/>
        <v>Perlu Pengendalian</v>
      </c>
    </row>
    <row r="109" spans="1:35" x14ac:dyDescent="0.2">
      <c r="A109" s="8" t="s">
        <v>1273</v>
      </c>
      <c r="B109" s="8" t="s">
        <v>14</v>
      </c>
      <c r="C109" s="8" t="s">
        <v>107</v>
      </c>
      <c r="D109" s="8" t="s">
        <v>1374</v>
      </c>
      <c r="E109" s="9">
        <v>31.32</v>
      </c>
      <c r="F109" s="8" t="s">
        <v>1740</v>
      </c>
      <c r="G109" s="10">
        <v>3778</v>
      </c>
      <c r="H109" s="132">
        <v>46153</v>
      </c>
      <c r="I109" s="143">
        <f t="array" ref="I109">INDEX([46]perbandingan!$H$24:$H$231,MATCH(1,([46]perbandingan!$E$24:$E$231=$D109)*([46]perbandingan!$E$24:$E$231=$D109),0))</f>
        <v>884</v>
      </c>
      <c r="J109" s="9">
        <f t="array" ref="J109">IFERROR(I109/G109*100,0)</f>
        <v>23.398623610375861</v>
      </c>
      <c r="K109" s="143">
        <f t="array" ref="K109">INDEX([46]perbandingan!$L$24:$L$231,MATCH(1,([46]perbandingan!$E$24:$E$231=$D109)*([46]perbandingan!$E$24:$E$231=$D109),0))</f>
        <v>80</v>
      </c>
      <c r="L109" s="9">
        <f t="shared" si="12"/>
        <v>9.0497737556561084</v>
      </c>
      <c r="M109" s="8" t="str">
        <f t="shared" si="15"/>
        <v>Perlu Pengendalian</v>
      </c>
      <c r="N109" s="148"/>
      <c r="O109" s="143" t="e">
        <f>MAX(#REF!,#REF!)</f>
        <v>#REF!</v>
      </c>
      <c r="P109" s="9" t="e">
        <f t="shared" si="16"/>
        <v>#REF!</v>
      </c>
      <c r="Q109" s="143" t="e">
        <f>MAX(#REF!,#REF!)</f>
        <v>#REF!</v>
      </c>
      <c r="R109" s="9">
        <f t="shared" si="13"/>
        <v>0</v>
      </c>
      <c r="S109" s="8" t="str">
        <f t="shared" si="17"/>
        <v>Belum Sensus</v>
      </c>
      <c r="T109" s="148"/>
      <c r="U109" s="143" t="e">
        <f>MAX(#REF!,#REF!)</f>
        <v>#REF!</v>
      </c>
      <c r="V109" s="143" t="e">
        <f>MAX(#REF!,#REF!)</f>
        <v>#REF!</v>
      </c>
      <c r="W109" s="9">
        <f t="shared" si="18"/>
        <v>0</v>
      </c>
      <c r="X109" s="8" t="str">
        <f t="shared" si="19"/>
        <v>Belum Sensus</v>
      </c>
      <c r="Y109" s="178"/>
      <c r="Z109" s="143"/>
      <c r="AA109" s="9">
        <f t="shared" si="20"/>
        <v>0</v>
      </c>
      <c r="AB109" s="143"/>
      <c r="AC109" s="9">
        <f t="shared" si="14"/>
        <v>0</v>
      </c>
      <c r="AD109" s="8" t="str">
        <f t="shared" si="21"/>
        <v>Belum Sensus</v>
      </c>
      <c r="AE109" s="178"/>
      <c r="AF109" s="143">
        <v>0</v>
      </c>
      <c r="AG109" s="143">
        <v>0</v>
      </c>
      <c r="AH109" s="9">
        <f t="shared" si="22"/>
        <v>0</v>
      </c>
      <c r="AI109" s="8" t="str">
        <f t="shared" si="23"/>
        <v>Belum Sensus</v>
      </c>
    </row>
    <row r="110" spans="1:35" x14ac:dyDescent="0.2">
      <c r="A110" s="8" t="s">
        <v>1273</v>
      </c>
      <c r="B110" s="8" t="s">
        <v>14</v>
      </c>
      <c r="C110" s="8" t="s">
        <v>107</v>
      </c>
      <c r="D110" s="8" t="s">
        <v>1375</v>
      </c>
      <c r="E110" s="9">
        <v>31.56</v>
      </c>
      <c r="F110" s="8" t="s">
        <v>1740</v>
      </c>
      <c r="G110" s="10">
        <v>4203</v>
      </c>
      <c r="H110" s="132">
        <v>46153</v>
      </c>
      <c r="I110" s="143">
        <f t="array" ref="I110">INDEX([46]perbandingan!$H$24:$H$231,MATCH(1,([46]perbandingan!$E$24:$E$231=$D110)*([46]perbandingan!$E$24:$E$231=$D110),0))</f>
        <v>986</v>
      </c>
      <c r="J110" s="9">
        <f t="array" ref="J110">IFERROR(I110/G110*100,0)</f>
        <v>23.459433737806329</v>
      </c>
      <c r="K110" s="143">
        <f t="array" ref="K110">INDEX([46]perbandingan!$L$24:$L$231,MATCH(1,([46]perbandingan!$E$24:$E$231=$D110)*([46]perbandingan!$E$24:$E$231=$D110),0))</f>
        <v>78</v>
      </c>
      <c r="L110" s="9">
        <f t="shared" si="12"/>
        <v>7.9107505070993911</v>
      </c>
      <c r="M110" s="8" t="str">
        <f t="shared" si="15"/>
        <v>Perlu Pengendalian</v>
      </c>
      <c r="N110" s="148"/>
      <c r="O110" s="143" t="e">
        <f>MAX(#REF!,#REF!)</f>
        <v>#REF!</v>
      </c>
      <c r="P110" s="9" t="e">
        <f t="shared" si="16"/>
        <v>#REF!</v>
      </c>
      <c r="Q110" s="143" t="e">
        <f>MAX(#REF!,#REF!)</f>
        <v>#REF!</v>
      </c>
      <c r="R110" s="9">
        <f t="shared" si="13"/>
        <v>0</v>
      </c>
      <c r="S110" s="8" t="str">
        <f t="shared" si="17"/>
        <v>Belum Sensus</v>
      </c>
      <c r="T110" s="148"/>
      <c r="U110" s="143" t="e">
        <f>MAX(#REF!,#REF!)</f>
        <v>#REF!</v>
      </c>
      <c r="V110" s="143" t="e">
        <f>MAX(#REF!,#REF!)</f>
        <v>#REF!</v>
      </c>
      <c r="W110" s="9">
        <f t="shared" si="18"/>
        <v>0</v>
      </c>
      <c r="X110" s="8" t="str">
        <f t="shared" si="19"/>
        <v>Belum Sensus</v>
      </c>
      <c r="Y110" s="178"/>
      <c r="Z110" s="143"/>
      <c r="AA110" s="9">
        <f t="shared" si="20"/>
        <v>0</v>
      </c>
      <c r="AB110" s="143"/>
      <c r="AC110" s="9">
        <f t="shared" si="14"/>
        <v>0</v>
      </c>
      <c r="AD110" s="8" t="str">
        <f t="shared" si="21"/>
        <v>Belum Sensus</v>
      </c>
      <c r="AE110" s="178"/>
      <c r="AF110" s="143">
        <v>0</v>
      </c>
      <c r="AG110" s="143">
        <v>0</v>
      </c>
      <c r="AH110" s="9">
        <f t="shared" si="22"/>
        <v>0</v>
      </c>
      <c r="AI110" s="8" t="str">
        <f t="shared" si="23"/>
        <v>Belum Sensus</v>
      </c>
    </row>
    <row r="111" spans="1:35" x14ac:dyDescent="0.2">
      <c r="A111" s="8" t="s">
        <v>1273</v>
      </c>
      <c r="B111" s="8" t="s">
        <v>14</v>
      </c>
      <c r="C111" s="8" t="s">
        <v>107</v>
      </c>
      <c r="D111" s="8" t="s">
        <v>1005</v>
      </c>
      <c r="E111" s="9">
        <v>32.85</v>
      </c>
      <c r="F111" s="8" t="s">
        <v>1740</v>
      </c>
      <c r="G111" s="10">
        <v>4379</v>
      </c>
      <c r="H111" s="132">
        <v>46149</v>
      </c>
      <c r="I111" s="143">
        <f t="array" ref="I111">INDEX([46]perbandingan!$H$24:$H$231,MATCH(1,([46]perbandingan!$E$24:$E$231=$D111)*([46]perbandingan!$E$24:$E$231=$D111),0))</f>
        <v>958</v>
      </c>
      <c r="J111" s="9">
        <f t="array" ref="J111">IFERROR(I111/G111*100,0)</f>
        <v>21.877140899748802</v>
      </c>
      <c r="K111" s="143">
        <f t="array" ref="K111">INDEX([46]perbandingan!$L$24:$L$231,MATCH(1,([46]perbandingan!$E$24:$E$231=$D111)*([46]perbandingan!$E$24:$E$231=$D111),0))</f>
        <v>28</v>
      </c>
      <c r="L111" s="9">
        <f t="shared" si="12"/>
        <v>2.9227557411273484</v>
      </c>
      <c r="M111" s="8" t="str">
        <f t="shared" si="15"/>
        <v>Perlu Pengendalian</v>
      </c>
      <c r="N111" s="148"/>
      <c r="O111" s="143" t="e">
        <f>MAX(#REF!,#REF!)</f>
        <v>#REF!</v>
      </c>
      <c r="P111" s="9" t="e">
        <f t="shared" si="16"/>
        <v>#REF!</v>
      </c>
      <c r="Q111" s="143" t="e">
        <f>MAX(#REF!,#REF!)</f>
        <v>#REF!</v>
      </c>
      <c r="R111" s="9">
        <f t="shared" si="13"/>
        <v>0</v>
      </c>
      <c r="S111" s="8" t="str">
        <f t="shared" si="17"/>
        <v>Belum Sensus</v>
      </c>
      <c r="T111" s="148"/>
      <c r="U111" s="143" t="e">
        <f>MAX(#REF!,#REF!)</f>
        <v>#REF!</v>
      </c>
      <c r="V111" s="143" t="e">
        <f>MAX(#REF!,#REF!)</f>
        <v>#REF!</v>
      </c>
      <c r="W111" s="9">
        <f t="shared" si="18"/>
        <v>0</v>
      </c>
      <c r="X111" s="8" t="str">
        <f t="shared" si="19"/>
        <v>Belum Sensus</v>
      </c>
      <c r="Y111" s="178"/>
      <c r="Z111" s="143">
        <v>0</v>
      </c>
      <c r="AA111" s="9">
        <f t="shared" si="20"/>
        <v>0</v>
      </c>
      <c r="AB111" s="143">
        <v>0</v>
      </c>
      <c r="AC111" s="9">
        <f t="shared" si="14"/>
        <v>0</v>
      </c>
      <c r="AD111" s="8" t="str">
        <f t="shared" si="21"/>
        <v>Belum Sensus</v>
      </c>
      <c r="AE111" s="178"/>
      <c r="AF111" s="143">
        <v>0</v>
      </c>
      <c r="AG111" s="143">
        <v>0</v>
      </c>
      <c r="AH111" s="9">
        <f t="shared" si="22"/>
        <v>0</v>
      </c>
      <c r="AI111" s="8" t="str">
        <f t="shared" si="23"/>
        <v>Belum Sensus</v>
      </c>
    </row>
    <row r="112" spans="1:35" x14ac:dyDescent="0.2">
      <c r="A112" s="8" t="s">
        <v>1273</v>
      </c>
      <c r="B112" s="8" t="s">
        <v>14</v>
      </c>
      <c r="C112" s="8" t="s">
        <v>107</v>
      </c>
      <c r="D112" s="8" t="s">
        <v>1376</v>
      </c>
      <c r="E112" s="9">
        <v>30.4</v>
      </c>
      <c r="F112" s="8" t="s">
        <v>1740</v>
      </c>
      <c r="G112" s="10">
        <v>4271</v>
      </c>
      <c r="H112" s="132">
        <v>46149</v>
      </c>
      <c r="I112" s="143">
        <f t="array" ref="I112">INDEX([46]perbandingan!$H$24:$H$231,MATCH(1,([46]perbandingan!$E$24:$E$231=$D112)*([46]perbandingan!$E$24:$E$231=$D112),0))</f>
        <v>390</v>
      </c>
      <c r="J112" s="9">
        <f t="array" ref="J112">IFERROR(I112/G112*100,0)</f>
        <v>9.1313509716693986</v>
      </c>
      <c r="K112" s="143">
        <f t="array" ref="K112">INDEX([46]perbandingan!$L$24:$L$231,MATCH(1,([46]perbandingan!$E$24:$E$231=$D112)*([46]perbandingan!$E$24:$E$231=$D112),0))</f>
        <v>23</v>
      </c>
      <c r="L112" s="9">
        <f t="shared" si="12"/>
        <v>5.8974358974358969</v>
      </c>
      <c r="M112" s="8" t="str">
        <f t="shared" si="15"/>
        <v>Perlu Pengendalian</v>
      </c>
      <c r="N112" s="148"/>
      <c r="O112" s="143" t="e">
        <f>MAX(#REF!,#REF!)</f>
        <v>#REF!</v>
      </c>
      <c r="P112" s="9" t="e">
        <f t="shared" si="16"/>
        <v>#REF!</v>
      </c>
      <c r="Q112" s="143" t="e">
        <f>MAX(#REF!,#REF!)</f>
        <v>#REF!</v>
      </c>
      <c r="R112" s="9">
        <f t="shared" si="13"/>
        <v>0</v>
      </c>
      <c r="S112" s="8" t="str">
        <f t="shared" si="17"/>
        <v>Belum Sensus</v>
      </c>
      <c r="T112" s="148"/>
      <c r="U112" s="143" t="e">
        <f>MAX(#REF!,#REF!)</f>
        <v>#REF!</v>
      </c>
      <c r="V112" s="143" t="e">
        <f>MAX(#REF!,#REF!)</f>
        <v>#REF!</v>
      </c>
      <c r="W112" s="9">
        <f t="shared" si="18"/>
        <v>0</v>
      </c>
      <c r="X112" s="8" t="str">
        <f t="shared" si="19"/>
        <v>Belum Sensus</v>
      </c>
      <c r="Y112" s="178"/>
      <c r="Z112" s="143">
        <v>0</v>
      </c>
      <c r="AA112" s="9">
        <f t="shared" si="20"/>
        <v>0</v>
      </c>
      <c r="AB112" s="143">
        <v>0</v>
      </c>
      <c r="AC112" s="9">
        <f t="shared" si="14"/>
        <v>0</v>
      </c>
      <c r="AD112" s="8" t="str">
        <f t="shared" si="21"/>
        <v>Belum Sensus</v>
      </c>
      <c r="AE112" s="178"/>
      <c r="AF112" s="143">
        <v>0</v>
      </c>
      <c r="AG112" s="143">
        <v>0</v>
      </c>
      <c r="AH112" s="9">
        <f t="shared" si="22"/>
        <v>0</v>
      </c>
      <c r="AI112" s="8" t="str">
        <f t="shared" si="23"/>
        <v>Belum Sensus</v>
      </c>
    </row>
    <row r="113" spans="1:35" x14ac:dyDescent="0.2">
      <c r="A113" s="8" t="s">
        <v>1273</v>
      </c>
      <c r="B113" s="8" t="s">
        <v>14</v>
      </c>
      <c r="C113" s="8" t="s">
        <v>107</v>
      </c>
      <c r="D113" s="8" t="s">
        <v>1377</v>
      </c>
      <c r="E113" s="9">
        <v>27.18</v>
      </c>
      <c r="F113" s="8" t="s">
        <v>1740</v>
      </c>
      <c r="G113" s="10">
        <v>3768</v>
      </c>
      <c r="H113" s="132">
        <v>46149</v>
      </c>
      <c r="I113" s="143">
        <f t="array" ref="I113">INDEX([46]perbandingan!$H$24:$H$231,MATCH(1,([46]perbandingan!$E$24:$E$231=$D113)*([46]perbandingan!$E$24:$E$231=$D113),0))</f>
        <v>760</v>
      </c>
      <c r="J113" s="9">
        <f t="array" ref="J113">IFERROR(I113/G113*100,0)</f>
        <v>20.169851380042463</v>
      </c>
      <c r="K113" s="143">
        <f t="array" ref="K113">INDEX([46]perbandingan!$L$24:$L$231,MATCH(1,([46]perbandingan!$E$24:$E$231=$D113)*([46]perbandingan!$E$24:$E$231=$D113),0))</f>
        <v>25</v>
      </c>
      <c r="L113" s="9">
        <f t="shared" si="12"/>
        <v>3.2894736842105261</v>
      </c>
      <c r="M113" s="8" t="str">
        <f t="shared" si="15"/>
        <v>Perlu Pengendalian</v>
      </c>
      <c r="N113" s="148"/>
      <c r="O113" s="143" t="e">
        <f>MAX(#REF!,#REF!)</f>
        <v>#REF!</v>
      </c>
      <c r="P113" s="9" t="e">
        <f t="shared" si="16"/>
        <v>#REF!</v>
      </c>
      <c r="Q113" s="143" t="e">
        <f>MAX(#REF!,#REF!)</f>
        <v>#REF!</v>
      </c>
      <c r="R113" s="9">
        <f t="shared" si="13"/>
        <v>0</v>
      </c>
      <c r="S113" s="8" t="str">
        <f t="shared" si="17"/>
        <v>Belum Sensus</v>
      </c>
      <c r="T113" s="148"/>
      <c r="U113" s="143" t="e">
        <f>MAX(#REF!,#REF!)</f>
        <v>#REF!</v>
      </c>
      <c r="V113" s="143" t="e">
        <f>MAX(#REF!,#REF!)</f>
        <v>#REF!</v>
      </c>
      <c r="W113" s="9">
        <f t="shared" si="18"/>
        <v>0</v>
      </c>
      <c r="X113" s="8" t="str">
        <f t="shared" si="19"/>
        <v>Belum Sensus</v>
      </c>
      <c r="Y113" s="178">
        <v>46153</v>
      </c>
      <c r="Z113" s="143">
        <v>129</v>
      </c>
      <c r="AA113" s="9">
        <f t="shared" si="20"/>
        <v>3.4235668789808917</v>
      </c>
      <c r="AB113" s="143">
        <v>28</v>
      </c>
      <c r="AC113" s="9">
        <f t="shared" si="14"/>
        <v>21.705426356589147</v>
      </c>
      <c r="AD113" s="8" t="str">
        <f t="shared" si="21"/>
        <v>Perlu Pengendalian</v>
      </c>
      <c r="AE113" s="178"/>
      <c r="AF113" s="143">
        <v>0</v>
      </c>
      <c r="AG113" s="143">
        <v>0</v>
      </c>
      <c r="AH113" s="9">
        <f t="shared" si="22"/>
        <v>0</v>
      </c>
      <c r="AI113" s="8" t="str">
        <f t="shared" si="23"/>
        <v>Belum Sensus</v>
      </c>
    </row>
    <row r="114" spans="1:35" x14ac:dyDescent="0.2">
      <c r="A114" s="8" t="s">
        <v>1273</v>
      </c>
      <c r="B114" s="8" t="s">
        <v>14</v>
      </c>
      <c r="C114" s="8" t="s">
        <v>107</v>
      </c>
      <c r="D114" s="8" t="s">
        <v>1378</v>
      </c>
      <c r="E114" s="9">
        <v>28.37</v>
      </c>
      <c r="F114" s="8" t="s">
        <v>1740</v>
      </c>
      <c r="G114" s="10">
        <v>3690</v>
      </c>
      <c r="H114" s="132">
        <v>46149</v>
      </c>
      <c r="I114" s="143">
        <f t="array" ref="I114">INDEX([46]perbandingan!$H$24:$H$231,MATCH(1,([46]perbandingan!$E$24:$E$231=$D114)*([46]perbandingan!$E$24:$E$231=$D114),0))</f>
        <v>726</v>
      </c>
      <c r="J114" s="9">
        <f t="array" ref="J114">IFERROR(I114/G114*100,0)</f>
        <v>19.674796747967481</v>
      </c>
      <c r="K114" s="143">
        <f t="array" ref="K114">INDEX([46]perbandingan!$L$24:$L$231,MATCH(1,([46]perbandingan!$E$24:$E$231=$D114)*([46]perbandingan!$E$24:$E$231=$D114),0))</f>
        <v>23</v>
      </c>
      <c r="L114" s="9">
        <f t="shared" si="12"/>
        <v>3.1680440771349865</v>
      </c>
      <c r="M114" s="8" t="str">
        <f t="shared" si="15"/>
        <v>Perlu Pengendalian</v>
      </c>
      <c r="N114" s="148"/>
      <c r="O114" s="143" t="e">
        <f>MAX(#REF!,#REF!)</f>
        <v>#REF!</v>
      </c>
      <c r="P114" s="9" t="e">
        <f t="shared" si="16"/>
        <v>#REF!</v>
      </c>
      <c r="Q114" s="143" t="e">
        <f>MAX(#REF!,#REF!)</f>
        <v>#REF!</v>
      </c>
      <c r="R114" s="9">
        <f t="shared" si="13"/>
        <v>0</v>
      </c>
      <c r="S114" s="8" t="str">
        <f t="shared" si="17"/>
        <v>Belum Sensus</v>
      </c>
      <c r="T114" s="148"/>
      <c r="U114" s="143" t="e">
        <f>MAX(#REF!,#REF!)</f>
        <v>#REF!</v>
      </c>
      <c r="V114" s="143" t="e">
        <f>MAX(#REF!,#REF!)</f>
        <v>#REF!</v>
      </c>
      <c r="W114" s="9">
        <f t="shared" si="18"/>
        <v>0</v>
      </c>
      <c r="X114" s="8" t="str">
        <f t="shared" si="19"/>
        <v>Belum Sensus</v>
      </c>
      <c r="Y114" s="178"/>
      <c r="Z114" s="143">
        <v>0</v>
      </c>
      <c r="AA114" s="9">
        <f t="shared" si="20"/>
        <v>0</v>
      </c>
      <c r="AB114" s="143">
        <v>0</v>
      </c>
      <c r="AC114" s="9">
        <f t="shared" si="14"/>
        <v>0</v>
      </c>
      <c r="AD114" s="8" t="str">
        <f t="shared" si="21"/>
        <v>Belum Sensus</v>
      </c>
      <c r="AE114" s="178"/>
      <c r="AF114" s="143">
        <v>0</v>
      </c>
      <c r="AG114" s="143">
        <v>0</v>
      </c>
      <c r="AH114" s="9">
        <f t="shared" si="22"/>
        <v>0</v>
      </c>
      <c r="AI114" s="8" t="str">
        <f t="shared" si="23"/>
        <v>Belum Sensus</v>
      </c>
    </row>
    <row r="115" spans="1:35" x14ac:dyDescent="0.2">
      <c r="A115" s="8" t="s">
        <v>1273</v>
      </c>
      <c r="B115" s="8" t="s">
        <v>14</v>
      </c>
      <c r="C115" s="8" t="s">
        <v>107</v>
      </c>
      <c r="D115" s="8" t="s">
        <v>1379</v>
      </c>
      <c r="E115" s="9">
        <v>28.18</v>
      </c>
      <c r="F115" s="8" t="s">
        <v>1740</v>
      </c>
      <c r="G115" s="10">
        <v>3692</v>
      </c>
      <c r="H115" s="132">
        <v>46153</v>
      </c>
      <c r="I115" s="143">
        <f t="array" ref="I115">INDEX([46]perbandingan!$H$24:$H$231,MATCH(1,([46]perbandingan!$E$24:$E$231=$D115)*([46]perbandingan!$E$24:$E$231=$D115),0))</f>
        <v>736</v>
      </c>
      <c r="J115" s="9">
        <f t="array" ref="J115">IFERROR(I115/G115*100,0)</f>
        <v>19.934994582881906</v>
      </c>
      <c r="K115" s="143">
        <f t="array" ref="K115">INDEX([46]perbandingan!$L$24:$L$231,MATCH(1,([46]perbandingan!$E$24:$E$231=$D115)*([46]perbandingan!$E$24:$E$231=$D115),0))</f>
        <v>26</v>
      </c>
      <c r="L115" s="9">
        <f t="shared" si="12"/>
        <v>3.5326086956521738</v>
      </c>
      <c r="M115" s="8" t="str">
        <f t="shared" si="15"/>
        <v>Perlu Pengendalian</v>
      </c>
      <c r="N115" s="148"/>
      <c r="O115" s="143" t="e">
        <f>MAX(#REF!,#REF!)</f>
        <v>#REF!</v>
      </c>
      <c r="P115" s="9" t="e">
        <f t="shared" si="16"/>
        <v>#REF!</v>
      </c>
      <c r="Q115" s="143" t="e">
        <f>MAX(#REF!,#REF!)</f>
        <v>#REF!</v>
      </c>
      <c r="R115" s="9">
        <f t="shared" si="13"/>
        <v>0</v>
      </c>
      <c r="S115" s="8" t="str">
        <f t="shared" si="17"/>
        <v>Belum Sensus</v>
      </c>
      <c r="T115" s="148"/>
      <c r="U115" s="143" t="e">
        <f>MAX(#REF!,#REF!)</f>
        <v>#REF!</v>
      </c>
      <c r="V115" s="143" t="e">
        <f>MAX(#REF!,#REF!)</f>
        <v>#REF!</v>
      </c>
      <c r="W115" s="9">
        <f t="shared" si="18"/>
        <v>0</v>
      </c>
      <c r="X115" s="8" t="str">
        <f t="shared" si="19"/>
        <v>Belum Sensus</v>
      </c>
      <c r="Y115" s="178"/>
      <c r="Z115" s="143">
        <v>0</v>
      </c>
      <c r="AA115" s="9">
        <f t="shared" si="20"/>
        <v>0</v>
      </c>
      <c r="AB115" s="143">
        <v>0</v>
      </c>
      <c r="AC115" s="9">
        <f t="shared" si="14"/>
        <v>0</v>
      </c>
      <c r="AD115" s="8" t="str">
        <f t="shared" si="21"/>
        <v>Belum Sensus</v>
      </c>
      <c r="AE115" s="178"/>
      <c r="AF115" s="143">
        <v>0</v>
      </c>
      <c r="AG115" s="143">
        <v>0</v>
      </c>
      <c r="AH115" s="9">
        <f t="shared" si="22"/>
        <v>0</v>
      </c>
      <c r="AI115" s="8" t="str">
        <f t="shared" si="23"/>
        <v>Belum Sensus</v>
      </c>
    </row>
    <row r="116" spans="1:35" x14ac:dyDescent="0.2">
      <c r="A116" s="8" t="s">
        <v>1273</v>
      </c>
      <c r="B116" s="8" t="s">
        <v>14</v>
      </c>
      <c r="C116" s="8" t="s">
        <v>107</v>
      </c>
      <c r="D116" s="8" t="s">
        <v>1380</v>
      </c>
      <c r="E116" s="9">
        <v>29.61</v>
      </c>
      <c r="F116" s="8" t="s">
        <v>1740</v>
      </c>
      <c r="G116" s="10">
        <v>3945</v>
      </c>
      <c r="H116" s="132">
        <v>46153</v>
      </c>
      <c r="I116" s="143">
        <f t="array" ref="I116">INDEX([46]perbandingan!$H$24:$H$231,MATCH(1,([46]perbandingan!$E$24:$E$231=$D116)*([46]perbandingan!$E$24:$E$231=$D116),0))</f>
        <v>812</v>
      </c>
      <c r="J116" s="9">
        <f t="array" ref="J116">IFERROR(I116/G116*100,0)</f>
        <v>20.583016476552597</v>
      </c>
      <c r="K116" s="143">
        <f t="array" ref="K116">INDEX([46]perbandingan!$L$24:$L$231,MATCH(1,([46]perbandingan!$E$24:$E$231=$D116)*([46]perbandingan!$E$24:$E$231=$D116),0))</f>
        <v>151</v>
      </c>
      <c r="L116" s="9">
        <f t="shared" si="12"/>
        <v>18.596059113300491</v>
      </c>
      <c r="M116" s="8" t="str">
        <f t="shared" si="15"/>
        <v>Perlu Pengendalian</v>
      </c>
      <c r="N116" s="148"/>
      <c r="O116" s="143" t="e">
        <f>MAX(#REF!,#REF!)</f>
        <v>#REF!</v>
      </c>
      <c r="P116" s="9" t="e">
        <f t="shared" si="16"/>
        <v>#REF!</v>
      </c>
      <c r="Q116" s="143" t="e">
        <f>MAX(#REF!,#REF!)</f>
        <v>#REF!</v>
      </c>
      <c r="R116" s="9">
        <f t="shared" si="13"/>
        <v>0</v>
      </c>
      <c r="S116" s="8" t="str">
        <f t="shared" si="17"/>
        <v>Belum Sensus</v>
      </c>
      <c r="T116" s="148"/>
      <c r="U116" s="143" t="e">
        <f>MAX(#REF!,#REF!)</f>
        <v>#REF!</v>
      </c>
      <c r="V116" s="143" t="e">
        <f>MAX(#REF!,#REF!)</f>
        <v>#REF!</v>
      </c>
      <c r="W116" s="9">
        <f t="shared" si="18"/>
        <v>0</v>
      </c>
      <c r="X116" s="8" t="str">
        <f t="shared" si="19"/>
        <v>Belum Sensus</v>
      </c>
      <c r="Y116" s="178"/>
      <c r="Z116" s="143">
        <v>0</v>
      </c>
      <c r="AA116" s="9">
        <f t="shared" si="20"/>
        <v>0</v>
      </c>
      <c r="AB116" s="143">
        <v>0</v>
      </c>
      <c r="AC116" s="9">
        <f t="shared" si="14"/>
        <v>0</v>
      </c>
      <c r="AD116" s="8" t="str">
        <f t="shared" si="21"/>
        <v>Belum Sensus</v>
      </c>
      <c r="AE116" s="178"/>
      <c r="AF116" s="143">
        <v>0</v>
      </c>
      <c r="AG116" s="143">
        <v>0</v>
      </c>
      <c r="AH116" s="9">
        <f t="shared" si="22"/>
        <v>0</v>
      </c>
      <c r="AI116" s="8" t="str">
        <f t="shared" si="23"/>
        <v>Belum Sensus</v>
      </c>
    </row>
    <row r="117" spans="1:35" x14ac:dyDescent="0.2">
      <c r="A117" s="8" t="s">
        <v>1273</v>
      </c>
      <c r="B117" s="8" t="s">
        <v>14</v>
      </c>
      <c r="C117" s="8" t="s">
        <v>107</v>
      </c>
      <c r="D117" s="8" t="s">
        <v>1381</v>
      </c>
      <c r="E117" s="9">
        <v>25.09</v>
      </c>
      <c r="F117" s="8" t="s">
        <v>1740</v>
      </c>
      <c r="G117" s="10">
        <v>2955</v>
      </c>
      <c r="H117" s="132">
        <v>46153</v>
      </c>
      <c r="I117" s="143">
        <f t="array" ref="I117">INDEX([46]perbandingan!$H$24:$H$231,MATCH(1,([46]perbandingan!$E$24:$E$231=$D117)*([46]perbandingan!$E$24:$E$231=$D117),0))</f>
        <v>43</v>
      </c>
      <c r="J117" s="9">
        <f t="array" ref="J117">IFERROR(I117/G117*100,0)</f>
        <v>1.4551607445008461</v>
      </c>
      <c r="K117" s="143">
        <f t="array" ref="K117">INDEX([46]perbandingan!$L$24:$L$231,MATCH(1,([46]perbandingan!$E$24:$E$231=$D117)*([46]perbandingan!$E$24:$E$231=$D117),0))</f>
        <v>10</v>
      </c>
      <c r="L117" s="9">
        <f t="shared" si="12"/>
        <v>23.255813953488371</v>
      </c>
      <c r="M117" s="8" t="str">
        <f t="shared" si="15"/>
        <v>Perlu Pengendalian</v>
      </c>
      <c r="N117" s="148"/>
      <c r="O117" s="143" t="e">
        <f>MAX(#REF!,#REF!)</f>
        <v>#REF!</v>
      </c>
      <c r="P117" s="9" t="e">
        <f t="shared" si="16"/>
        <v>#REF!</v>
      </c>
      <c r="Q117" s="143" t="e">
        <f>MAX(#REF!,#REF!)</f>
        <v>#REF!</v>
      </c>
      <c r="R117" s="9">
        <f t="shared" si="13"/>
        <v>0</v>
      </c>
      <c r="S117" s="8" t="str">
        <f t="shared" si="17"/>
        <v>Belum Sensus</v>
      </c>
      <c r="T117" s="148"/>
      <c r="U117" s="143" t="e">
        <f>MAX(#REF!,#REF!)</f>
        <v>#REF!</v>
      </c>
      <c r="V117" s="143" t="e">
        <f>MAX(#REF!,#REF!)</f>
        <v>#REF!</v>
      </c>
      <c r="W117" s="9">
        <f t="shared" si="18"/>
        <v>0</v>
      </c>
      <c r="X117" s="8" t="str">
        <f t="shared" si="19"/>
        <v>Belum Sensus</v>
      </c>
      <c r="Y117" s="178">
        <v>46153</v>
      </c>
      <c r="Z117" s="143">
        <v>43</v>
      </c>
      <c r="AA117" s="9">
        <f t="shared" si="20"/>
        <v>1.4551607445008461</v>
      </c>
      <c r="AB117" s="143">
        <v>11</v>
      </c>
      <c r="AC117" s="9">
        <f t="shared" si="14"/>
        <v>25.581395348837212</v>
      </c>
      <c r="AD117" s="8" t="str">
        <f t="shared" si="21"/>
        <v>Perlu Pengendalian</v>
      </c>
      <c r="AE117" s="178">
        <v>46153</v>
      </c>
      <c r="AF117" s="143">
        <v>35</v>
      </c>
      <c r="AG117" s="143">
        <v>11</v>
      </c>
      <c r="AH117" s="9">
        <f t="shared" si="22"/>
        <v>31.428571428571427</v>
      </c>
      <c r="AI117" s="8" t="str">
        <f t="shared" si="23"/>
        <v>Perlu Pengendalian</v>
      </c>
    </row>
    <row r="118" spans="1:35" x14ac:dyDescent="0.2">
      <c r="A118" s="8" t="s">
        <v>1273</v>
      </c>
      <c r="B118" s="8" t="s">
        <v>14</v>
      </c>
      <c r="C118" s="8" t="s">
        <v>107</v>
      </c>
      <c r="D118" s="8" t="s">
        <v>1382</v>
      </c>
      <c r="E118" s="9">
        <v>26.55</v>
      </c>
      <c r="F118" s="8" t="s">
        <v>1740</v>
      </c>
      <c r="G118" s="10">
        <v>3207</v>
      </c>
      <c r="H118" s="132">
        <v>46153</v>
      </c>
      <c r="I118" s="143">
        <f t="array" ref="I118">INDEX([46]perbandingan!$H$24:$H$231,MATCH(1,([46]perbandingan!$E$24:$E$231=$D118)*([46]perbandingan!$E$24:$E$231=$D118),0))</f>
        <v>616</v>
      </c>
      <c r="J118" s="9">
        <f t="array" ref="J118">IFERROR(I118/G118*100,0)</f>
        <v>19.207982538197694</v>
      </c>
      <c r="K118" s="143">
        <f t="array" ref="K118">INDEX([46]perbandingan!$L$24:$L$231,MATCH(1,([46]perbandingan!$E$24:$E$231=$D118)*([46]perbandingan!$E$24:$E$231=$D118),0))</f>
        <v>185</v>
      </c>
      <c r="L118" s="9">
        <f t="shared" si="12"/>
        <v>30.032467532467532</v>
      </c>
      <c r="M118" s="8" t="str">
        <f t="shared" si="15"/>
        <v>Perlu Pengendalian</v>
      </c>
      <c r="N118" s="148"/>
      <c r="O118" s="143" t="e">
        <f>MAX(#REF!,#REF!)</f>
        <v>#REF!</v>
      </c>
      <c r="P118" s="9" t="e">
        <f t="shared" si="16"/>
        <v>#REF!</v>
      </c>
      <c r="Q118" s="143" t="e">
        <f>MAX(#REF!,#REF!)</f>
        <v>#REF!</v>
      </c>
      <c r="R118" s="9">
        <f t="shared" si="13"/>
        <v>0</v>
      </c>
      <c r="S118" s="8" t="str">
        <f t="shared" si="17"/>
        <v>Belum Sensus</v>
      </c>
      <c r="T118" s="148"/>
      <c r="U118" s="143" t="e">
        <f>MAX(#REF!,#REF!)</f>
        <v>#REF!</v>
      </c>
      <c r="V118" s="143" t="e">
        <f>MAX(#REF!,#REF!)</f>
        <v>#REF!</v>
      </c>
      <c r="W118" s="9">
        <f t="shared" si="18"/>
        <v>0</v>
      </c>
      <c r="X118" s="8" t="str">
        <f t="shared" si="19"/>
        <v>Belum Sensus</v>
      </c>
      <c r="Y118" s="178">
        <v>46153</v>
      </c>
      <c r="Z118" s="143">
        <v>116</v>
      </c>
      <c r="AA118" s="9">
        <f t="shared" si="20"/>
        <v>3.617087620829436</v>
      </c>
      <c r="AB118" s="143">
        <v>16</v>
      </c>
      <c r="AC118" s="9">
        <f t="shared" si="14"/>
        <v>13.793103448275861</v>
      </c>
      <c r="AD118" s="8" t="str">
        <f t="shared" si="21"/>
        <v>Perlu Pengendalian</v>
      </c>
      <c r="AE118" s="178">
        <v>46153</v>
      </c>
      <c r="AF118" s="143">
        <v>36</v>
      </c>
      <c r="AG118" s="143">
        <v>19</v>
      </c>
      <c r="AH118" s="9">
        <f t="shared" si="22"/>
        <v>52.777777777777779</v>
      </c>
      <c r="AI118" s="8" t="str">
        <f t="shared" si="23"/>
        <v>Perlu Pengendalian</v>
      </c>
    </row>
    <row r="119" spans="1:35" x14ac:dyDescent="0.2">
      <c r="A119" s="8" t="s">
        <v>1273</v>
      </c>
      <c r="B119" s="8" t="s">
        <v>14</v>
      </c>
      <c r="C119" s="8" t="s">
        <v>107</v>
      </c>
      <c r="D119" s="8" t="s">
        <v>1383</v>
      </c>
      <c r="E119" s="9">
        <v>28.38</v>
      </c>
      <c r="F119" s="8" t="s">
        <v>1740</v>
      </c>
      <c r="G119" s="10">
        <v>3523</v>
      </c>
      <c r="H119" s="132">
        <v>46153</v>
      </c>
      <c r="I119" s="143">
        <f t="array" ref="I119">INDEX([46]perbandingan!$H$24:$H$231,MATCH(1,([46]perbandingan!$E$24:$E$231=$D119)*([46]perbandingan!$E$24:$E$231=$D119),0))</f>
        <v>829</v>
      </c>
      <c r="J119" s="9">
        <f t="array" ref="J119">IFERROR(I119/G119*100,0)</f>
        <v>23.531081464660801</v>
      </c>
      <c r="K119" s="143">
        <f t="array" ref="K119">INDEX([46]perbandingan!$L$24:$L$231,MATCH(1,([46]perbandingan!$E$24:$E$231=$D119)*([46]perbandingan!$E$24:$E$231=$D119),0))</f>
        <v>289</v>
      </c>
      <c r="L119" s="9">
        <f t="shared" si="12"/>
        <v>34.861278648974668</v>
      </c>
      <c r="M119" s="8" t="str">
        <f t="shared" si="15"/>
        <v>Perlu Pengendalian</v>
      </c>
      <c r="N119" s="148"/>
      <c r="O119" s="143" t="e">
        <f>MAX(#REF!,#REF!)</f>
        <v>#REF!</v>
      </c>
      <c r="P119" s="9" t="e">
        <f t="shared" si="16"/>
        <v>#REF!</v>
      </c>
      <c r="Q119" s="143" t="e">
        <f>MAX(#REF!,#REF!)</f>
        <v>#REF!</v>
      </c>
      <c r="R119" s="9">
        <f t="shared" si="13"/>
        <v>0</v>
      </c>
      <c r="S119" s="8" t="str">
        <f t="shared" si="17"/>
        <v>Belum Sensus</v>
      </c>
      <c r="T119" s="148"/>
      <c r="U119" s="143" t="e">
        <f>MAX(#REF!,#REF!)</f>
        <v>#REF!</v>
      </c>
      <c r="V119" s="143" t="e">
        <f>MAX(#REF!,#REF!)</f>
        <v>#REF!</v>
      </c>
      <c r="W119" s="9">
        <f t="shared" si="18"/>
        <v>0</v>
      </c>
      <c r="X119" s="8" t="str">
        <f t="shared" si="19"/>
        <v>Belum Sensus</v>
      </c>
      <c r="Y119" s="178">
        <v>46153</v>
      </c>
      <c r="Z119" s="143">
        <v>117</v>
      </c>
      <c r="AA119" s="9">
        <f t="shared" si="20"/>
        <v>3.3210332103321036</v>
      </c>
      <c r="AB119" s="143">
        <v>17</v>
      </c>
      <c r="AC119" s="9">
        <f t="shared" si="14"/>
        <v>14.529914529914532</v>
      </c>
      <c r="AD119" s="8" t="str">
        <f t="shared" si="21"/>
        <v>Perlu Pengendalian</v>
      </c>
      <c r="AE119" s="178">
        <v>46153</v>
      </c>
      <c r="AF119" s="143">
        <v>29</v>
      </c>
      <c r="AG119" s="143">
        <v>10</v>
      </c>
      <c r="AH119" s="9">
        <f t="shared" si="22"/>
        <v>34.482758620689658</v>
      </c>
      <c r="AI119" s="8" t="str">
        <f t="shared" si="23"/>
        <v>Perlu Pengendalian</v>
      </c>
    </row>
    <row r="120" spans="1:35" x14ac:dyDescent="0.2">
      <c r="A120" s="8" t="s">
        <v>1273</v>
      </c>
      <c r="B120" s="8" t="s">
        <v>14</v>
      </c>
      <c r="C120" s="8" t="s">
        <v>107</v>
      </c>
      <c r="D120" s="8" t="s">
        <v>1384</v>
      </c>
      <c r="E120" s="9">
        <v>29.96</v>
      </c>
      <c r="F120" s="8" t="s">
        <v>1740</v>
      </c>
      <c r="G120" s="10">
        <v>3983</v>
      </c>
      <c r="H120" s="132">
        <v>46153</v>
      </c>
      <c r="I120" s="143">
        <f t="array" ref="I120">INDEX([46]perbandingan!$H$24:$H$231,MATCH(1,([46]perbandingan!$E$24:$E$231=$D120)*([46]perbandingan!$E$24:$E$231=$D120),0))</f>
        <v>907</v>
      </c>
      <c r="J120" s="9">
        <f t="array" ref="J120">IFERROR(I120/G120*100,0)</f>
        <v>22.771780065277429</v>
      </c>
      <c r="K120" s="143">
        <f t="array" ref="K120">INDEX([46]perbandingan!$L$24:$L$231,MATCH(1,([46]perbandingan!$E$24:$E$231=$D120)*([46]perbandingan!$E$24:$E$231=$D120),0))</f>
        <v>55</v>
      </c>
      <c r="L120" s="9">
        <f t="shared" si="12"/>
        <v>6.0639470782800444</v>
      </c>
      <c r="M120" s="8" t="str">
        <f t="shared" si="15"/>
        <v>Perlu Pengendalian</v>
      </c>
      <c r="N120" s="148"/>
      <c r="O120" s="143" t="e">
        <f>MAX(#REF!,#REF!)</f>
        <v>#REF!</v>
      </c>
      <c r="P120" s="9" t="e">
        <f t="shared" si="16"/>
        <v>#REF!</v>
      </c>
      <c r="Q120" s="143" t="e">
        <f>MAX(#REF!,#REF!)</f>
        <v>#REF!</v>
      </c>
      <c r="R120" s="9">
        <f t="shared" si="13"/>
        <v>0</v>
      </c>
      <c r="S120" s="8" t="str">
        <f t="shared" si="17"/>
        <v>Belum Sensus</v>
      </c>
      <c r="T120" s="148"/>
      <c r="U120" s="143" t="e">
        <f>MAX(#REF!,#REF!)</f>
        <v>#REF!</v>
      </c>
      <c r="V120" s="143" t="e">
        <f>MAX(#REF!,#REF!)</f>
        <v>#REF!</v>
      </c>
      <c r="W120" s="9">
        <f t="shared" si="18"/>
        <v>0</v>
      </c>
      <c r="X120" s="8" t="str">
        <f t="shared" si="19"/>
        <v>Belum Sensus</v>
      </c>
      <c r="Y120" s="178"/>
      <c r="Z120" s="143">
        <v>0</v>
      </c>
      <c r="AA120" s="9">
        <f t="shared" si="20"/>
        <v>0</v>
      </c>
      <c r="AB120" s="143">
        <v>0</v>
      </c>
      <c r="AC120" s="9">
        <f t="shared" si="14"/>
        <v>0</v>
      </c>
      <c r="AD120" s="8" t="str">
        <f t="shared" si="21"/>
        <v>Belum Sensus</v>
      </c>
      <c r="AE120" s="178"/>
      <c r="AF120" s="143">
        <v>0</v>
      </c>
      <c r="AG120" s="143">
        <v>0</v>
      </c>
      <c r="AH120" s="9">
        <f t="shared" si="22"/>
        <v>0</v>
      </c>
      <c r="AI120" s="8" t="str">
        <f t="shared" si="23"/>
        <v>Belum Sensus</v>
      </c>
    </row>
    <row r="121" spans="1:35" x14ac:dyDescent="0.2">
      <c r="A121" s="8" t="s">
        <v>1273</v>
      </c>
      <c r="B121" s="8" t="s">
        <v>14</v>
      </c>
      <c r="C121" s="8" t="s">
        <v>107</v>
      </c>
      <c r="D121" s="8" t="s">
        <v>1385</v>
      </c>
      <c r="E121" s="9">
        <v>19.190000000000001</v>
      </c>
      <c r="F121" s="8" t="s">
        <v>1740</v>
      </c>
      <c r="G121" s="10">
        <v>2631</v>
      </c>
      <c r="H121" s="132">
        <v>46153</v>
      </c>
      <c r="I121" s="143">
        <f t="array" ref="I121">INDEX([46]perbandingan!$H$24:$H$231,MATCH(1,([46]perbandingan!$E$24:$E$231=$D121)*([46]perbandingan!$E$24:$E$231=$D121),0))</f>
        <v>582</v>
      </c>
      <c r="J121" s="9">
        <f t="array" ref="J121">IFERROR(I121/G121*100,0)</f>
        <v>22.120866590649943</v>
      </c>
      <c r="K121" s="143">
        <f t="array" ref="K121">INDEX([46]perbandingan!$L$24:$L$231,MATCH(1,([46]perbandingan!$E$24:$E$231=$D121)*([46]perbandingan!$E$24:$E$231=$D121),0))</f>
        <v>22</v>
      </c>
      <c r="L121" s="9">
        <f t="shared" si="12"/>
        <v>3.7800687285223367</v>
      </c>
      <c r="M121" s="8" t="str">
        <f t="shared" si="15"/>
        <v>Perlu Pengendalian</v>
      </c>
      <c r="N121" s="148"/>
      <c r="O121" s="143" t="e">
        <f>MAX(#REF!,#REF!)</f>
        <v>#REF!</v>
      </c>
      <c r="P121" s="9" t="e">
        <f t="shared" si="16"/>
        <v>#REF!</v>
      </c>
      <c r="Q121" s="143" t="e">
        <f>MAX(#REF!,#REF!)</f>
        <v>#REF!</v>
      </c>
      <c r="R121" s="9">
        <f t="shared" si="13"/>
        <v>0</v>
      </c>
      <c r="S121" s="8" t="str">
        <f t="shared" si="17"/>
        <v>Belum Sensus</v>
      </c>
      <c r="T121" s="148"/>
      <c r="U121" s="143" t="e">
        <f>MAX(#REF!,#REF!)</f>
        <v>#REF!</v>
      </c>
      <c r="V121" s="143" t="e">
        <f>MAX(#REF!,#REF!)</f>
        <v>#REF!</v>
      </c>
      <c r="W121" s="9">
        <f t="shared" si="18"/>
        <v>0</v>
      </c>
      <c r="X121" s="8" t="str">
        <f t="shared" si="19"/>
        <v>Belum Sensus</v>
      </c>
      <c r="Y121" s="178"/>
      <c r="Z121" s="143">
        <v>0</v>
      </c>
      <c r="AA121" s="9">
        <f t="shared" si="20"/>
        <v>0</v>
      </c>
      <c r="AB121" s="143">
        <v>0</v>
      </c>
      <c r="AC121" s="9">
        <f t="shared" si="14"/>
        <v>0</v>
      </c>
      <c r="AD121" s="8" t="str">
        <f t="shared" si="21"/>
        <v>Belum Sensus</v>
      </c>
      <c r="AE121" s="178"/>
      <c r="AF121" s="143">
        <v>0</v>
      </c>
      <c r="AG121" s="143">
        <v>0</v>
      </c>
      <c r="AH121" s="9">
        <f t="shared" si="22"/>
        <v>0</v>
      </c>
      <c r="AI121" s="8" t="str">
        <f t="shared" si="23"/>
        <v>Belum Sensus</v>
      </c>
    </row>
    <row r="122" spans="1:35" x14ac:dyDescent="0.2">
      <c r="A122" s="8" t="s">
        <v>1273</v>
      </c>
      <c r="B122" s="8" t="s">
        <v>14</v>
      </c>
      <c r="C122" s="8" t="s">
        <v>107</v>
      </c>
      <c r="D122" s="8" t="s">
        <v>1386</v>
      </c>
      <c r="E122" s="9">
        <v>31.71</v>
      </c>
      <c r="F122" s="8" t="s">
        <v>1740</v>
      </c>
      <c r="G122" s="10">
        <v>3904</v>
      </c>
      <c r="H122" s="132">
        <v>46153</v>
      </c>
      <c r="I122" s="143">
        <f t="array" ref="I122">INDEX([46]perbandingan!$H$24:$H$231,MATCH(1,([46]perbandingan!$E$24:$E$231=$D122)*([46]perbandingan!$E$24:$E$231=$D122),0))</f>
        <v>558</v>
      </c>
      <c r="J122" s="9">
        <f t="array" ref="J122">IFERROR(I122/G122*100,0)</f>
        <v>14.293032786885245</v>
      </c>
      <c r="K122" s="143">
        <f t="array" ref="K122">INDEX([46]perbandingan!$L$24:$L$231,MATCH(1,([46]perbandingan!$E$24:$E$231=$D122)*([46]perbandingan!$E$24:$E$231=$D122),0))</f>
        <v>6</v>
      </c>
      <c r="L122" s="9">
        <f t="shared" si="12"/>
        <v>1.0752688172043012</v>
      </c>
      <c r="M122" s="8" t="str">
        <f t="shared" si="15"/>
        <v>Tidak Perlu Pengendalian</v>
      </c>
      <c r="N122" s="148"/>
      <c r="O122" s="143" t="e">
        <f>MAX(#REF!,#REF!)</f>
        <v>#REF!</v>
      </c>
      <c r="P122" s="9" t="e">
        <f t="shared" si="16"/>
        <v>#REF!</v>
      </c>
      <c r="Q122" s="143" t="e">
        <f>MAX(#REF!,#REF!)</f>
        <v>#REF!</v>
      </c>
      <c r="R122" s="9">
        <f t="shared" si="13"/>
        <v>0</v>
      </c>
      <c r="S122" s="8" t="str">
        <f t="shared" si="17"/>
        <v>Belum Sensus</v>
      </c>
      <c r="T122" s="148"/>
      <c r="U122" s="143" t="e">
        <f>MAX(#REF!,#REF!)</f>
        <v>#REF!</v>
      </c>
      <c r="V122" s="143" t="e">
        <f>MAX(#REF!,#REF!)</f>
        <v>#REF!</v>
      </c>
      <c r="W122" s="9">
        <f t="shared" si="18"/>
        <v>0</v>
      </c>
      <c r="X122" s="8" t="str">
        <f t="shared" si="19"/>
        <v>Belum Sensus</v>
      </c>
      <c r="Y122" s="178">
        <v>46153</v>
      </c>
      <c r="Z122" s="143">
        <v>47</v>
      </c>
      <c r="AA122" s="9">
        <f t="shared" si="20"/>
        <v>1.2038934426229508</v>
      </c>
      <c r="AB122" s="143">
        <v>17</v>
      </c>
      <c r="AC122" s="9">
        <f t="shared" si="14"/>
        <v>36.170212765957451</v>
      </c>
      <c r="AD122" s="8" t="str">
        <f t="shared" si="21"/>
        <v>Perlu Pengendalian</v>
      </c>
      <c r="AE122" s="178"/>
      <c r="AF122" s="143">
        <v>0</v>
      </c>
      <c r="AG122" s="143">
        <v>0</v>
      </c>
      <c r="AH122" s="9">
        <f t="shared" si="22"/>
        <v>0</v>
      </c>
      <c r="AI122" s="8" t="str">
        <f t="shared" si="23"/>
        <v>Belum Sensus</v>
      </c>
    </row>
    <row r="123" spans="1:35" x14ac:dyDescent="0.2">
      <c r="A123" s="8" t="s">
        <v>1273</v>
      </c>
      <c r="B123" s="8" t="s">
        <v>14</v>
      </c>
      <c r="C123" s="8" t="s">
        <v>107</v>
      </c>
      <c r="D123" s="8" t="s">
        <v>1387</v>
      </c>
      <c r="E123" s="9">
        <v>0</v>
      </c>
      <c r="F123" s="8" t="s">
        <v>1740</v>
      </c>
      <c r="G123" s="10">
        <v>0</v>
      </c>
      <c r="H123" s="132"/>
      <c r="I123" s="143">
        <f t="array" ref="I123">INDEX([46]perbandingan!$H$24:$H$231,MATCH(1,([46]perbandingan!$E$24:$E$231=$D123)*([46]perbandingan!$E$24:$E$231=$D123),0))</f>
        <v>0</v>
      </c>
      <c r="J123" s="9">
        <f t="array" ref="J123">IFERROR(I123/G123*100,0)</f>
        <v>0</v>
      </c>
      <c r="K123" s="143">
        <f t="array" ref="K123">INDEX([46]perbandingan!$L$24:$L$231,MATCH(1,([46]perbandingan!$E$24:$E$231=$D123)*([46]perbandingan!$E$24:$E$231=$D123),0))</f>
        <v>0</v>
      </c>
      <c r="L123" s="9">
        <f t="shared" si="12"/>
        <v>0</v>
      </c>
      <c r="M123" s="8" t="str">
        <f t="shared" si="15"/>
        <v>Belum Sensus</v>
      </c>
      <c r="N123" s="148"/>
      <c r="O123" s="143" t="e">
        <f>MAX(#REF!,#REF!)</f>
        <v>#REF!</v>
      </c>
      <c r="P123" s="9" t="e">
        <f t="shared" si="16"/>
        <v>#REF!</v>
      </c>
      <c r="Q123" s="143" t="e">
        <f>MAX(#REF!,#REF!)</f>
        <v>#REF!</v>
      </c>
      <c r="R123" s="9">
        <f t="shared" si="13"/>
        <v>0</v>
      </c>
      <c r="S123" s="8" t="str">
        <f t="shared" si="17"/>
        <v>Belum Sensus</v>
      </c>
      <c r="T123" s="148"/>
      <c r="U123" s="143" t="e">
        <f>MAX(#REF!,#REF!)</f>
        <v>#REF!</v>
      </c>
      <c r="V123" s="143" t="e">
        <f>MAX(#REF!,#REF!)</f>
        <v>#REF!</v>
      </c>
      <c r="W123" s="9">
        <f t="shared" si="18"/>
        <v>0</v>
      </c>
      <c r="X123" s="8" t="str">
        <f t="shared" si="19"/>
        <v>Belum Sensus</v>
      </c>
      <c r="Y123" s="178"/>
      <c r="Z123" s="143">
        <v>0</v>
      </c>
      <c r="AA123" s="9" t="e">
        <f t="shared" si="20"/>
        <v>#DIV/0!</v>
      </c>
      <c r="AB123" s="143">
        <v>0</v>
      </c>
      <c r="AC123" s="9">
        <f t="shared" si="14"/>
        <v>0</v>
      </c>
      <c r="AD123" s="8" t="str">
        <f t="shared" si="21"/>
        <v>Belum Sensus</v>
      </c>
      <c r="AE123" s="178"/>
      <c r="AF123" s="143">
        <v>0</v>
      </c>
      <c r="AG123" s="143">
        <v>0</v>
      </c>
      <c r="AH123" s="9">
        <f t="shared" si="22"/>
        <v>0</v>
      </c>
      <c r="AI123" s="8" t="str">
        <f t="shared" si="23"/>
        <v>Belum Sensus</v>
      </c>
    </row>
    <row r="124" spans="1:35" x14ac:dyDescent="0.2">
      <c r="A124" s="8" t="s">
        <v>1273</v>
      </c>
      <c r="B124" s="8" t="s">
        <v>14</v>
      </c>
      <c r="C124" s="8" t="s">
        <v>107</v>
      </c>
      <c r="D124" s="8" t="s">
        <v>1388</v>
      </c>
      <c r="E124" s="9">
        <v>0</v>
      </c>
      <c r="F124" s="8" t="s">
        <v>1740</v>
      </c>
      <c r="G124" s="10">
        <v>0</v>
      </c>
      <c r="H124" s="132"/>
      <c r="I124" s="143">
        <f t="array" ref="I124">INDEX([46]perbandingan!$H$24:$H$231,MATCH(1,([46]perbandingan!$E$24:$E$231=$D124)*([46]perbandingan!$E$24:$E$231=$D124),0))</f>
        <v>0</v>
      </c>
      <c r="J124" s="9">
        <f t="array" ref="J124">IFERROR(I124/G124*100,0)</f>
        <v>0</v>
      </c>
      <c r="K124" s="143">
        <f t="array" ref="K124">INDEX([46]perbandingan!$L$24:$L$231,MATCH(1,([46]perbandingan!$E$24:$E$231=$D124)*([46]perbandingan!$E$24:$E$231=$D124),0))</f>
        <v>0</v>
      </c>
      <c r="L124" s="9">
        <f t="shared" si="12"/>
        <v>0</v>
      </c>
      <c r="M124" s="8" t="str">
        <f t="shared" si="15"/>
        <v>Belum Sensus</v>
      </c>
      <c r="N124" s="148"/>
      <c r="O124" s="143" t="e">
        <f>MAX(#REF!,#REF!)</f>
        <v>#REF!</v>
      </c>
      <c r="P124" s="9" t="e">
        <f t="shared" si="16"/>
        <v>#REF!</v>
      </c>
      <c r="Q124" s="143" t="e">
        <f>MAX(#REF!,#REF!)</f>
        <v>#REF!</v>
      </c>
      <c r="R124" s="9">
        <f t="shared" si="13"/>
        <v>0</v>
      </c>
      <c r="S124" s="8" t="str">
        <f t="shared" si="17"/>
        <v>Belum Sensus</v>
      </c>
      <c r="T124" s="148"/>
      <c r="U124" s="143" t="e">
        <f>MAX(#REF!,#REF!)</f>
        <v>#REF!</v>
      </c>
      <c r="V124" s="143" t="e">
        <f>MAX(#REF!,#REF!)</f>
        <v>#REF!</v>
      </c>
      <c r="W124" s="9">
        <f t="shared" si="18"/>
        <v>0</v>
      </c>
      <c r="X124" s="8" t="str">
        <f t="shared" si="19"/>
        <v>Belum Sensus</v>
      </c>
      <c r="Y124" s="178"/>
      <c r="Z124" s="143">
        <v>0</v>
      </c>
      <c r="AA124" s="9" t="e">
        <f t="shared" si="20"/>
        <v>#DIV/0!</v>
      </c>
      <c r="AB124" s="143">
        <v>0</v>
      </c>
      <c r="AC124" s="9">
        <f t="shared" si="14"/>
        <v>0</v>
      </c>
      <c r="AD124" s="8" t="str">
        <f t="shared" si="21"/>
        <v>Belum Sensus</v>
      </c>
      <c r="AE124" s="178"/>
      <c r="AF124" s="143">
        <v>0</v>
      </c>
      <c r="AG124" s="143">
        <v>0</v>
      </c>
      <c r="AH124" s="9">
        <f t="shared" si="22"/>
        <v>0</v>
      </c>
      <c r="AI124" s="8" t="str">
        <f t="shared" si="23"/>
        <v>Belum Sensus</v>
      </c>
    </row>
    <row r="125" spans="1:35" x14ac:dyDescent="0.2">
      <c r="A125" s="8" t="s">
        <v>1273</v>
      </c>
      <c r="B125" s="8" t="s">
        <v>14</v>
      </c>
      <c r="C125" s="8" t="s">
        <v>107</v>
      </c>
      <c r="D125" s="8" t="s">
        <v>1389</v>
      </c>
      <c r="E125" s="9">
        <v>26.92</v>
      </c>
      <c r="F125" s="8" t="s">
        <v>1740</v>
      </c>
      <c r="G125" s="10">
        <v>3450</v>
      </c>
      <c r="H125" s="132">
        <v>46149</v>
      </c>
      <c r="I125" s="143">
        <f t="array" ref="I125">INDEX([46]perbandingan!$H$24:$H$231,MATCH(1,([46]perbandingan!$E$24:$E$231=$D125)*([46]perbandingan!$E$24:$E$231=$D125),0))</f>
        <v>256</v>
      </c>
      <c r="J125" s="9">
        <f t="array" ref="J125">IFERROR(I125/G125*100,0)</f>
        <v>7.4202898550724639</v>
      </c>
      <c r="K125" s="143">
        <f t="array" ref="K125">INDEX([46]perbandingan!$L$24:$L$231,MATCH(1,([46]perbandingan!$E$24:$E$231=$D125)*([46]perbandingan!$E$24:$E$231=$D125),0))</f>
        <v>7</v>
      </c>
      <c r="L125" s="9">
        <f t="shared" si="12"/>
        <v>2.734375</v>
      </c>
      <c r="M125" s="8" t="str">
        <f t="shared" si="15"/>
        <v>Perlu Pengendalian</v>
      </c>
      <c r="N125" s="148"/>
      <c r="O125" s="143" t="e">
        <f>MAX(#REF!,#REF!)</f>
        <v>#REF!</v>
      </c>
      <c r="P125" s="9" t="e">
        <f t="shared" si="16"/>
        <v>#REF!</v>
      </c>
      <c r="Q125" s="143" t="e">
        <f>MAX(#REF!,#REF!)</f>
        <v>#REF!</v>
      </c>
      <c r="R125" s="9">
        <f t="shared" si="13"/>
        <v>0</v>
      </c>
      <c r="S125" s="8" t="str">
        <f t="shared" si="17"/>
        <v>Belum Sensus</v>
      </c>
      <c r="T125" s="148"/>
      <c r="U125" s="143" t="e">
        <f>MAX(#REF!,#REF!)</f>
        <v>#REF!</v>
      </c>
      <c r="V125" s="143" t="e">
        <f>MAX(#REF!,#REF!)</f>
        <v>#REF!</v>
      </c>
      <c r="W125" s="9">
        <f t="shared" si="18"/>
        <v>0</v>
      </c>
      <c r="X125" s="8" t="str">
        <f t="shared" si="19"/>
        <v>Belum Sensus</v>
      </c>
      <c r="Y125" s="178"/>
      <c r="Z125" s="143">
        <v>0</v>
      </c>
      <c r="AA125" s="9">
        <f t="shared" si="20"/>
        <v>0</v>
      </c>
      <c r="AB125" s="143">
        <v>0</v>
      </c>
      <c r="AC125" s="9">
        <f t="shared" si="14"/>
        <v>0</v>
      </c>
      <c r="AD125" s="8" t="str">
        <f t="shared" si="21"/>
        <v>Belum Sensus</v>
      </c>
      <c r="AE125" s="178"/>
      <c r="AF125" s="143">
        <v>0</v>
      </c>
      <c r="AG125" s="143">
        <v>0</v>
      </c>
      <c r="AH125" s="9">
        <f t="shared" si="22"/>
        <v>0</v>
      </c>
      <c r="AI125" s="8" t="str">
        <f t="shared" si="23"/>
        <v>Belum Sensus</v>
      </c>
    </row>
    <row r="126" spans="1:35" x14ac:dyDescent="0.2">
      <c r="A126" s="8" t="s">
        <v>1273</v>
      </c>
      <c r="B126" s="8" t="s">
        <v>14</v>
      </c>
      <c r="C126" s="8" t="s">
        <v>144</v>
      </c>
      <c r="D126" s="8" t="s">
        <v>1023</v>
      </c>
      <c r="E126" s="9">
        <v>31.839999999999996</v>
      </c>
      <c r="F126" s="8" t="s">
        <v>1740</v>
      </c>
      <c r="G126" s="10">
        <v>3783</v>
      </c>
      <c r="H126" s="132">
        <v>46149</v>
      </c>
      <c r="I126" s="143">
        <f t="array" ref="I126">INDEX([46]perbandingan!$H$24:$H$231,MATCH(1,([46]perbandingan!$E$24:$E$231=$D126)*([46]perbandingan!$E$24:$E$231=$D126),0))</f>
        <v>381</v>
      </c>
      <c r="J126" s="9">
        <f t="array" ref="J126">IFERROR(I126/G126*100,0)</f>
        <v>10.07137192704203</v>
      </c>
      <c r="K126" s="143">
        <f t="array" ref="K126">INDEX([46]perbandingan!$L$24:$L$231,MATCH(1,([46]perbandingan!$E$24:$E$231=$D126)*([46]perbandingan!$E$24:$E$231=$D126),0))</f>
        <v>23</v>
      </c>
      <c r="L126" s="9">
        <f t="shared" si="12"/>
        <v>6.0367454068241466</v>
      </c>
      <c r="M126" s="8" t="str">
        <f t="shared" si="15"/>
        <v>Perlu Pengendalian</v>
      </c>
      <c r="N126" s="148"/>
      <c r="O126" s="143" t="e">
        <f>MAX(#REF!,#REF!)</f>
        <v>#REF!</v>
      </c>
      <c r="P126" s="9" t="e">
        <f t="shared" si="16"/>
        <v>#REF!</v>
      </c>
      <c r="Q126" s="143" t="e">
        <f>MAX(#REF!,#REF!)</f>
        <v>#REF!</v>
      </c>
      <c r="R126" s="9">
        <f t="shared" si="13"/>
        <v>0</v>
      </c>
      <c r="S126" s="8" t="str">
        <f t="shared" si="17"/>
        <v>Belum Sensus</v>
      </c>
      <c r="T126" s="148"/>
      <c r="U126" s="143" t="e">
        <f>MAX(#REF!,#REF!)</f>
        <v>#REF!</v>
      </c>
      <c r="V126" s="143" t="e">
        <f>MAX(#REF!,#REF!)</f>
        <v>#REF!</v>
      </c>
      <c r="W126" s="9">
        <f t="shared" si="18"/>
        <v>0</v>
      </c>
      <c r="X126" s="8" t="str">
        <f t="shared" si="19"/>
        <v>Belum Sensus</v>
      </c>
      <c r="Y126" s="178">
        <v>46153</v>
      </c>
      <c r="Z126" s="143">
        <v>62</v>
      </c>
      <c r="AA126" s="9">
        <f t="shared" si="20"/>
        <v>1.6389109172614329</v>
      </c>
      <c r="AB126" s="143">
        <v>17</v>
      </c>
      <c r="AC126" s="9">
        <f t="shared" si="14"/>
        <v>27.419354838709676</v>
      </c>
      <c r="AD126" s="8" t="str">
        <f t="shared" si="21"/>
        <v>Perlu Pengendalian</v>
      </c>
      <c r="AE126" s="178"/>
      <c r="AF126" s="143">
        <v>0</v>
      </c>
      <c r="AG126" s="143">
        <v>0</v>
      </c>
      <c r="AH126" s="9">
        <f t="shared" si="22"/>
        <v>0</v>
      </c>
      <c r="AI126" s="8" t="str">
        <f t="shared" si="23"/>
        <v>Belum Sensus</v>
      </c>
    </row>
    <row r="127" spans="1:35" x14ac:dyDescent="0.2">
      <c r="A127" s="8" t="s">
        <v>1273</v>
      </c>
      <c r="B127" s="8" t="s">
        <v>14</v>
      </c>
      <c r="C127" s="8" t="s">
        <v>144</v>
      </c>
      <c r="D127" s="8" t="s">
        <v>1390</v>
      </c>
      <c r="E127" s="9">
        <v>33.5</v>
      </c>
      <c r="F127" s="8" t="s">
        <v>1740</v>
      </c>
      <c r="G127" s="10">
        <v>4602</v>
      </c>
      <c r="H127" s="132">
        <v>46149</v>
      </c>
      <c r="I127" s="143">
        <f t="array" ref="I127">INDEX([46]perbandingan!$H$24:$H$231,MATCH(1,([46]perbandingan!$E$24:$E$231=$D127)*([46]perbandingan!$E$24:$E$231=$D127),0))</f>
        <v>396</v>
      </c>
      <c r="J127" s="9">
        <f t="array" ref="J127">IFERROR(I127/G127*100,0)</f>
        <v>8.604954367666231</v>
      </c>
      <c r="K127" s="143">
        <f t="array" ref="K127">INDEX([46]perbandingan!$L$24:$L$231,MATCH(1,([46]perbandingan!$E$24:$E$231=$D127)*([46]perbandingan!$E$24:$E$231=$D127),0))</f>
        <v>30</v>
      </c>
      <c r="L127" s="9">
        <f t="shared" si="12"/>
        <v>7.5757575757575761</v>
      </c>
      <c r="M127" s="8" t="str">
        <f t="shared" si="15"/>
        <v>Perlu Pengendalian</v>
      </c>
      <c r="N127" s="148"/>
      <c r="O127" s="143" t="e">
        <f>MAX(#REF!,#REF!)</f>
        <v>#REF!</v>
      </c>
      <c r="P127" s="9" t="e">
        <f t="shared" si="16"/>
        <v>#REF!</v>
      </c>
      <c r="Q127" s="143" t="e">
        <f>MAX(#REF!,#REF!)</f>
        <v>#REF!</v>
      </c>
      <c r="R127" s="9">
        <f t="shared" si="13"/>
        <v>0</v>
      </c>
      <c r="S127" s="8" t="str">
        <f t="shared" si="17"/>
        <v>Belum Sensus</v>
      </c>
      <c r="T127" s="148"/>
      <c r="U127" s="143" t="e">
        <f>MAX(#REF!,#REF!)</f>
        <v>#REF!</v>
      </c>
      <c r="V127" s="143" t="e">
        <f>MAX(#REF!,#REF!)</f>
        <v>#REF!</v>
      </c>
      <c r="W127" s="9">
        <f t="shared" si="18"/>
        <v>0</v>
      </c>
      <c r="X127" s="8" t="str">
        <f t="shared" si="19"/>
        <v>Belum Sensus</v>
      </c>
      <c r="Y127" s="178">
        <v>46153</v>
      </c>
      <c r="Z127" s="143">
        <v>63</v>
      </c>
      <c r="AA127" s="9">
        <f t="shared" si="20"/>
        <v>1.3689700130378095</v>
      </c>
      <c r="AB127" s="143">
        <v>14</v>
      </c>
      <c r="AC127" s="9">
        <f t="shared" si="14"/>
        <v>22.222222222222221</v>
      </c>
      <c r="AD127" s="8" t="str">
        <f t="shared" si="21"/>
        <v>Perlu Pengendalian</v>
      </c>
      <c r="AE127" s="178">
        <v>46153</v>
      </c>
      <c r="AF127" s="143">
        <v>543</v>
      </c>
      <c r="AG127" s="143">
        <v>59</v>
      </c>
      <c r="AH127" s="9">
        <f t="shared" si="22"/>
        <v>10.865561694290976</v>
      </c>
      <c r="AI127" s="8" t="str">
        <f t="shared" si="23"/>
        <v>Perlu Pengendalian</v>
      </c>
    </row>
    <row r="128" spans="1:35" x14ac:dyDescent="0.2">
      <c r="A128" s="8" t="s">
        <v>1273</v>
      </c>
      <c r="B128" s="8" t="s">
        <v>14</v>
      </c>
      <c r="C128" s="8" t="s">
        <v>144</v>
      </c>
      <c r="D128" s="8" t="s">
        <v>1002</v>
      </c>
      <c r="E128" s="9">
        <v>32</v>
      </c>
      <c r="F128" s="8" t="s">
        <v>1740</v>
      </c>
      <c r="G128" s="10">
        <v>3969</v>
      </c>
      <c r="H128" s="132">
        <v>46149</v>
      </c>
      <c r="I128" s="143">
        <f t="array" ref="I128">INDEX([46]perbandingan!$H$24:$H$231,MATCH(1,([46]perbandingan!$E$24:$E$231=$D128)*([46]perbandingan!$E$24:$E$231=$D128),0))</f>
        <v>365</v>
      </c>
      <c r="J128" s="9">
        <f t="array" ref="J128">IFERROR(I128/G128*100,0)</f>
        <v>9.1962711010330054</v>
      </c>
      <c r="K128" s="143">
        <f t="array" ref="K128">INDEX([46]perbandingan!$L$24:$L$231,MATCH(1,([46]perbandingan!$E$24:$E$231=$D128)*([46]perbandingan!$E$24:$E$231=$D128),0))</f>
        <v>21</v>
      </c>
      <c r="L128" s="9">
        <f t="shared" si="12"/>
        <v>5.7534246575342465</v>
      </c>
      <c r="M128" s="8" t="str">
        <f t="shared" si="15"/>
        <v>Perlu Pengendalian</v>
      </c>
      <c r="N128" s="148"/>
      <c r="O128" s="143" t="e">
        <f>MAX(#REF!,#REF!)</f>
        <v>#REF!</v>
      </c>
      <c r="P128" s="9" t="e">
        <f t="shared" si="16"/>
        <v>#REF!</v>
      </c>
      <c r="Q128" s="143" t="e">
        <f>MAX(#REF!,#REF!)</f>
        <v>#REF!</v>
      </c>
      <c r="R128" s="9">
        <f t="shared" si="13"/>
        <v>0</v>
      </c>
      <c r="S128" s="8" t="str">
        <f t="shared" si="17"/>
        <v>Belum Sensus</v>
      </c>
      <c r="T128" s="148"/>
      <c r="U128" s="143" t="e">
        <f>MAX(#REF!,#REF!)</f>
        <v>#REF!</v>
      </c>
      <c r="V128" s="143" t="e">
        <f>MAX(#REF!,#REF!)</f>
        <v>#REF!</v>
      </c>
      <c r="W128" s="9">
        <f t="shared" si="18"/>
        <v>0</v>
      </c>
      <c r="X128" s="8" t="str">
        <f t="shared" si="19"/>
        <v>Belum Sensus</v>
      </c>
      <c r="Y128" s="178">
        <v>46153</v>
      </c>
      <c r="Z128" s="143">
        <v>62</v>
      </c>
      <c r="AA128" s="9">
        <f t="shared" si="20"/>
        <v>1.562106324011086</v>
      </c>
      <c r="AB128" s="143">
        <v>16</v>
      </c>
      <c r="AC128" s="9">
        <f t="shared" si="14"/>
        <v>25.806451612903224</v>
      </c>
      <c r="AD128" s="8" t="str">
        <f t="shared" si="21"/>
        <v>Perlu Pengendalian</v>
      </c>
      <c r="AE128" s="178">
        <v>46153</v>
      </c>
      <c r="AF128" s="143">
        <v>657</v>
      </c>
      <c r="AG128" s="143">
        <v>109</v>
      </c>
      <c r="AH128" s="9">
        <f t="shared" si="22"/>
        <v>16.590563165905632</v>
      </c>
      <c r="AI128" s="8" t="str">
        <f t="shared" si="23"/>
        <v>Perlu Pengendalian</v>
      </c>
    </row>
    <row r="129" spans="1:35" x14ac:dyDescent="0.2">
      <c r="A129" s="8" t="s">
        <v>1273</v>
      </c>
      <c r="B129" s="8" t="s">
        <v>14</v>
      </c>
      <c r="C129" s="8" t="s">
        <v>144</v>
      </c>
      <c r="D129" s="8" t="s">
        <v>1391</v>
      </c>
      <c r="E129" s="9">
        <v>31.930000000000003</v>
      </c>
      <c r="F129" s="8" t="s">
        <v>1740</v>
      </c>
      <c r="G129" s="10">
        <v>4022</v>
      </c>
      <c r="H129" s="132">
        <v>46149</v>
      </c>
      <c r="I129" s="143">
        <f t="array" ref="I129">INDEX([46]perbandingan!$H$24:$H$231,MATCH(1,([46]perbandingan!$E$24:$E$231=$D129)*([46]perbandingan!$E$24:$E$231=$D129),0))</f>
        <v>322</v>
      </c>
      <c r="J129" s="9">
        <f t="array" ref="J129">IFERROR(I129/G129*100,0)</f>
        <v>8.005967180507211</v>
      </c>
      <c r="K129" s="143">
        <f t="array" ref="K129">INDEX([46]perbandingan!$L$24:$L$231,MATCH(1,([46]perbandingan!$E$24:$E$231=$D129)*([46]perbandingan!$E$24:$E$231=$D129),0))</f>
        <v>24</v>
      </c>
      <c r="L129" s="9">
        <f t="shared" si="12"/>
        <v>7.4534161490683228</v>
      </c>
      <c r="M129" s="8" t="str">
        <f t="shared" si="15"/>
        <v>Perlu Pengendalian</v>
      </c>
      <c r="N129" s="148"/>
      <c r="O129" s="143" t="e">
        <f>MAX(#REF!,#REF!)</f>
        <v>#REF!</v>
      </c>
      <c r="P129" s="9" t="e">
        <f t="shared" si="16"/>
        <v>#REF!</v>
      </c>
      <c r="Q129" s="143" t="e">
        <f>MAX(#REF!,#REF!)</f>
        <v>#REF!</v>
      </c>
      <c r="R129" s="9">
        <f t="shared" si="13"/>
        <v>0</v>
      </c>
      <c r="S129" s="8" t="str">
        <f t="shared" si="17"/>
        <v>Belum Sensus</v>
      </c>
      <c r="T129" s="148"/>
      <c r="U129" s="143" t="e">
        <f>MAX(#REF!,#REF!)</f>
        <v>#REF!</v>
      </c>
      <c r="V129" s="143" t="e">
        <f>MAX(#REF!,#REF!)</f>
        <v>#REF!</v>
      </c>
      <c r="W129" s="9">
        <f t="shared" si="18"/>
        <v>0</v>
      </c>
      <c r="X129" s="8" t="str">
        <f t="shared" si="19"/>
        <v>Belum Sensus</v>
      </c>
      <c r="Y129" s="178">
        <v>46153</v>
      </c>
      <c r="Z129" s="143">
        <v>134</v>
      </c>
      <c r="AA129" s="9">
        <f t="shared" si="20"/>
        <v>3.3316757831924413</v>
      </c>
      <c r="AB129" s="143">
        <v>39</v>
      </c>
      <c r="AC129" s="9">
        <f t="shared" si="14"/>
        <v>29.1044776119403</v>
      </c>
      <c r="AD129" s="8" t="str">
        <f t="shared" si="21"/>
        <v>Perlu Pengendalian</v>
      </c>
      <c r="AE129" s="178">
        <v>46153</v>
      </c>
      <c r="AF129" s="143">
        <v>440</v>
      </c>
      <c r="AG129" s="143">
        <v>39</v>
      </c>
      <c r="AH129" s="9">
        <f t="shared" si="22"/>
        <v>8.8636363636363633</v>
      </c>
      <c r="AI129" s="8" t="str">
        <f t="shared" si="23"/>
        <v>Perlu Pengendalian</v>
      </c>
    </row>
    <row r="130" spans="1:35" x14ac:dyDescent="0.2">
      <c r="A130" s="8" t="s">
        <v>1273</v>
      </c>
      <c r="B130" s="8" t="s">
        <v>14</v>
      </c>
      <c r="C130" s="8" t="s">
        <v>144</v>
      </c>
      <c r="D130" s="8" t="s">
        <v>1392</v>
      </c>
      <c r="E130" s="9">
        <v>34</v>
      </c>
      <c r="F130" s="8" t="s">
        <v>1740</v>
      </c>
      <c r="G130" s="10">
        <v>4711</v>
      </c>
      <c r="H130" s="132">
        <v>46153</v>
      </c>
      <c r="I130" s="143">
        <f t="array" ref="I130">INDEX([46]perbandingan!$H$24:$H$231,MATCH(1,([46]perbandingan!$E$24:$E$231=$D130)*([46]perbandingan!$E$24:$E$231=$D130),0))</f>
        <v>136</v>
      </c>
      <c r="J130" s="9">
        <f t="array" ref="J130">IFERROR(I130/G130*100,0)</f>
        <v>2.8868605391636595</v>
      </c>
      <c r="K130" s="143">
        <f t="array" ref="K130">INDEX([46]perbandingan!$L$24:$L$231,MATCH(1,([46]perbandingan!$E$24:$E$231=$D130)*([46]perbandingan!$E$24:$E$231=$D130),0))</f>
        <v>43</v>
      </c>
      <c r="L130" s="9">
        <f t="shared" si="12"/>
        <v>31.617647058823529</v>
      </c>
      <c r="M130" s="8" t="str">
        <f t="shared" si="15"/>
        <v>Perlu Pengendalian</v>
      </c>
      <c r="N130" s="148"/>
      <c r="O130" s="143" t="e">
        <f>MAX(#REF!,#REF!)</f>
        <v>#REF!</v>
      </c>
      <c r="P130" s="9" t="e">
        <f t="shared" si="16"/>
        <v>#REF!</v>
      </c>
      <c r="Q130" s="143" t="e">
        <f>MAX(#REF!,#REF!)</f>
        <v>#REF!</v>
      </c>
      <c r="R130" s="9">
        <f t="shared" si="13"/>
        <v>0</v>
      </c>
      <c r="S130" s="8" t="str">
        <f t="shared" si="17"/>
        <v>Belum Sensus</v>
      </c>
      <c r="T130" s="148"/>
      <c r="U130" s="143" t="e">
        <f>MAX(#REF!,#REF!)</f>
        <v>#REF!</v>
      </c>
      <c r="V130" s="143" t="e">
        <f>MAX(#REF!,#REF!)</f>
        <v>#REF!</v>
      </c>
      <c r="W130" s="9">
        <f t="shared" si="18"/>
        <v>0</v>
      </c>
      <c r="X130" s="8" t="str">
        <f t="shared" si="19"/>
        <v>Belum Sensus</v>
      </c>
      <c r="Y130" s="178"/>
      <c r="Z130" s="143"/>
      <c r="AA130" s="9">
        <f t="shared" si="20"/>
        <v>0</v>
      </c>
      <c r="AB130" s="143"/>
      <c r="AC130" s="9">
        <f t="shared" si="14"/>
        <v>0</v>
      </c>
      <c r="AD130" s="8" t="str">
        <f t="shared" si="21"/>
        <v>Belum Sensus</v>
      </c>
      <c r="AE130" s="178">
        <v>46153</v>
      </c>
      <c r="AF130" s="143">
        <v>1398</v>
      </c>
      <c r="AG130" s="143">
        <v>128</v>
      </c>
      <c r="AH130" s="9">
        <f t="shared" si="22"/>
        <v>9.1559370529327602</v>
      </c>
      <c r="AI130" s="8" t="str">
        <f t="shared" si="23"/>
        <v>Perlu Pengendalian</v>
      </c>
    </row>
    <row r="131" spans="1:35" x14ac:dyDescent="0.2">
      <c r="A131" s="8" t="s">
        <v>1273</v>
      </c>
      <c r="B131" s="8" t="s">
        <v>14</v>
      </c>
      <c r="C131" s="8" t="s">
        <v>144</v>
      </c>
      <c r="D131" s="8" t="s">
        <v>1393</v>
      </c>
      <c r="E131" s="9">
        <v>36.69</v>
      </c>
      <c r="F131" s="8" t="s">
        <v>1740</v>
      </c>
      <c r="G131" s="10">
        <v>4806</v>
      </c>
      <c r="H131" s="132">
        <v>46153</v>
      </c>
      <c r="I131" s="143">
        <f t="array" ref="I131">INDEX([46]perbandingan!$H$24:$H$231,MATCH(1,([46]perbandingan!$E$24:$E$231=$D131)*([46]perbandingan!$E$24:$E$231=$D131),0))</f>
        <v>134</v>
      </c>
      <c r="J131" s="9">
        <f t="array" ref="J131">IFERROR(I131/G131*100,0)</f>
        <v>2.7881814398668334</v>
      </c>
      <c r="K131" s="143">
        <f t="array" ref="K131">INDEX([46]perbandingan!$L$24:$L$231,MATCH(1,([46]perbandingan!$E$24:$E$231=$D131)*([46]perbandingan!$E$24:$E$231=$D131),0))</f>
        <v>24</v>
      </c>
      <c r="L131" s="9">
        <f t="shared" si="12"/>
        <v>17.910447761194028</v>
      </c>
      <c r="M131" s="8" t="str">
        <f t="shared" si="15"/>
        <v>Perlu Pengendalian</v>
      </c>
      <c r="N131" s="148"/>
      <c r="O131" s="143" t="e">
        <f>MAX(#REF!,#REF!)</f>
        <v>#REF!</v>
      </c>
      <c r="P131" s="9" t="e">
        <f t="shared" si="16"/>
        <v>#REF!</v>
      </c>
      <c r="Q131" s="143" t="e">
        <f>MAX(#REF!,#REF!)</f>
        <v>#REF!</v>
      </c>
      <c r="R131" s="9">
        <f t="shared" si="13"/>
        <v>0</v>
      </c>
      <c r="S131" s="8" t="str">
        <f t="shared" si="17"/>
        <v>Belum Sensus</v>
      </c>
      <c r="T131" s="148"/>
      <c r="U131" s="143" t="e">
        <f>MAX(#REF!,#REF!)</f>
        <v>#REF!</v>
      </c>
      <c r="V131" s="143" t="e">
        <f>MAX(#REF!,#REF!)</f>
        <v>#REF!</v>
      </c>
      <c r="W131" s="9">
        <f t="shared" si="18"/>
        <v>0</v>
      </c>
      <c r="X131" s="8" t="str">
        <f t="shared" si="19"/>
        <v>Belum Sensus</v>
      </c>
      <c r="Y131" s="178">
        <v>46153</v>
      </c>
      <c r="Z131" s="143">
        <v>128</v>
      </c>
      <c r="AA131" s="9">
        <f t="shared" si="20"/>
        <v>2.6633374947981689</v>
      </c>
      <c r="AB131" s="143">
        <v>29</v>
      </c>
      <c r="AC131" s="9">
        <f t="shared" si="14"/>
        <v>22.65625</v>
      </c>
      <c r="AD131" s="8" t="str">
        <f t="shared" si="21"/>
        <v>Perlu Pengendalian</v>
      </c>
      <c r="AE131" s="178">
        <v>46153</v>
      </c>
      <c r="AF131" s="143">
        <v>605</v>
      </c>
      <c r="AG131" s="143">
        <v>76</v>
      </c>
      <c r="AH131" s="9">
        <f t="shared" si="22"/>
        <v>12.561983471074381</v>
      </c>
      <c r="AI131" s="8" t="str">
        <f t="shared" si="23"/>
        <v>Perlu Pengendalian</v>
      </c>
    </row>
    <row r="132" spans="1:35" x14ac:dyDescent="0.2">
      <c r="A132" s="8" t="s">
        <v>1273</v>
      </c>
      <c r="B132" s="8" t="s">
        <v>14</v>
      </c>
      <c r="C132" s="8" t="s">
        <v>144</v>
      </c>
      <c r="D132" s="8" t="s">
        <v>1394</v>
      </c>
      <c r="E132" s="9">
        <v>36.409999999999997</v>
      </c>
      <c r="F132" s="8" t="s">
        <v>1740</v>
      </c>
      <c r="G132" s="10">
        <v>4786</v>
      </c>
      <c r="H132" s="132">
        <v>46153</v>
      </c>
      <c r="I132" s="143">
        <f t="array" ref="I132">INDEX([46]perbandingan!$H$24:$H$231,MATCH(1,([46]perbandingan!$E$24:$E$231=$D132)*([46]perbandingan!$E$24:$E$231=$D132),0))</f>
        <v>124</v>
      </c>
      <c r="J132" s="9">
        <f t="array" ref="J132">IFERROR(I132/G132*100,0)</f>
        <v>2.5908900961136649</v>
      </c>
      <c r="K132" s="143">
        <f t="array" ref="K132">INDEX([46]perbandingan!$L$24:$L$231,MATCH(1,([46]perbandingan!$E$24:$E$231=$D132)*([46]perbandingan!$E$24:$E$231=$D132),0))</f>
        <v>4</v>
      </c>
      <c r="L132" s="9">
        <f t="shared" si="12"/>
        <v>3.225806451612903</v>
      </c>
      <c r="M132" s="8" t="str">
        <f t="shared" si="15"/>
        <v>Perlu Pengendalian</v>
      </c>
      <c r="N132" s="148"/>
      <c r="O132" s="143" t="e">
        <f>MAX(#REF!,#REF!)</f>
        <v>#REF!</v>
      </c>
      <c r="P132" s="9" t="e">
        <f t="shared" si="16"/>
        <v>#REF!</v>
      </c>
      <c r="Q132" s="143" t="e">
        <f>MAX(#REF!,#REF!)</f>
        <v>#REF!</v>
      </c>
      <c r="R132" s="9">
        <f t="shared" si="13"/>
        <v>0</v>
      </c>
      <c r="S132" s="8" t="str">
        <f t="shared" si="17"/>
        <v>Belum Sensus</v>
      </c>
      <c r="T132" s="148"/>
      <c r="U132" s="143" t="e">
        <f>MAX(#REF!,#REF!)</f>
        <v>#REF!</v>
      </c>
      <c r="V132" s="143" t="e">
        <f>MAX(#REF!,#REF!)</f>
        <v>#REF!</v>
      </c>
      <c r="W132" s="9">
        <f t="shared" si="18"/>
        <v>0</v>
      </c>
      <c r="X132" s="8" t="str">
        <f t="shared" si="19"/>
        <v>Belum Sensus</v>
      </c>
      <c r="Y132" s="178">
        <v>46153</v>
      </c>
      <c r="Z132" s="143">
        <v>135</v>
      </c>
      <c r="AA132" s="9">
        <f t="shared" si="20"/>
        <v>2.8207271207689093</v>
      </c>
      <c r="AB132" s="143">
        <v>38</v>
      </c>
      <c r="AC132" s="9">
        <f t="shared" si="14"/>
        <v>28.148148148148149</v>
      </c>
      <c r="AD132" s="8" t="str">
        <f t="shared" si="21"/>
        <v>Perlu Pengendalian</v>
      </c>
      <c r="AE132" s="178">
        <v>46153</v>
      </c>
      <c r="AF132" s="143">
        <v>584</v>
      </c>
      <c r="AG132" s="143">
        <v>64</v>
      </c>
      <c r="AH132" s="9">
        <f t="shared" si="22"/>
        <v>10.95890410958904</v>
      </c>
      <c r="AI132" s="8" t="str">
        <f t="shared" si="23"/>
        <v>Perlu Pengendalian</v>
      </c>
    </row>
    <row r="133" spans="1:35" x14ac:dyDescent="0.2">
      <c r="A133" s="8" t="s">
        <v>1273</v>
      </c>
      <c r="B133" s="8" t="s">
        <v>14</v>
      </c>
      <c r="C133" s="8" t="s">
        <v>144</v>
      </c>
      <c r="D133" s="8" t="s">
        <v>1395</v>
      </c>
      <c r="E133" s="9">
        <v>18.779999999999998</v>
      </c>
      <c r="F133" s="8" t="s">
        <v>1740</v>
      </c>
      <c r="G133" s="10">
        <v>2591</v>
      </c>
      <c r="H133" s="132">
        <v>46149</v>
      </c>
      <c r="I133" s="143">
        <f t="array" ref="I133">INDEX([46]perbandingan!$H$24:$H$231,MATCH(1,([46]perbandingan!$E$24:$E$231=$D133)*([46]perbandingan!$E$24:$E$231=$D133),0))</f>
        <v>387</v>
      </c>
      <c r="J133" s="9">
        <f t="array" ref="J133">IFERROR(I133/G133*100,0)</f>
        <v>14.936318023928985</v>
      </c>
      <c r="K133" s="143">
        <f t="array" ref="K133">INDEX([46]perbandingan!$L$24:$L$231,MATCH(1,([46]perbandingan!$E$24:$E$231=$D133)*([46]perbandingan!$E$24:$E$231=$D133),0))</f>
        <v>31</v>
      </c>
      <c r="L133" s="9">
        <f t="shared" ref="L133:L196" si="24">IFERROR(K133/I133*100,0)</f>
        <v>8.0103359173126609</v>
      </c>
      <c r="M133" s="8" t="str">
        <f t="shared" si="15"/>
        <v>Perlu Pengendalian</v>
      </c>
      <c r="N133" s="148"/>
      <c r="O133" s="143" t="e">
        <f>MAX(#REF!,#REF!)</f>
        <v>#REF!</v>
      </c>
      <c r="P133" s="9" t="e">
        <f t="shared" si="16"/>
        <v>#REF!</v>
      </c>
      <c r="Q133" s="143" t="e">
        <f>MAX(#REF!,#REF!)</f>
        <v>#REF!</v>
      </c>
      <c r="R133" s="9">
        <f t="shared" ref="R133:R196" si="25">IFERROR(Q133/O133*100,0)</f>
        <v>0</v>
      </c>
      <c r="S133" s="8" t="str">
        <f t="shared" si="17"/>
        <v>Belum Sensus</v>
      </c>
      <c r="T133" s="148"/>
      <c r="U133" s="143" t="e">
        <f>MAX(#REF!,#REF!)</f>
        <v>#REF!</v>
      </c>
      <c r="V133" s="143" t="e">
        <f>MAX(#REF!,#REF!)</f>
        <v>#REF!</v>
      </c>
      <c r="W133" s="9">
        <f t="shared" si="18"/>
        <v>0</v>
      </c>
      <c r="X133" s="8" t="str">
        <f t="shared" si="19"/>
        <v>Belum Sensus</v>
      </c>
      <c r="Y133" s="178"/>
      <c r="Z133" s="143">
        <v>0</v>
      </c>
      <c r="AA133" s="9">
        <f t="shared" si="20"/>
        <v>0</v>
      </c>
      <c r="AB133" s="143">
        <v>0</v>
      </c>
      <c r="AC133" s="9">
        <f t="shared" ref="AC133:AC196" si="26">IFERROR(AB133/Z133*100,0)</f>
        <v>0</v>
      </c>
      <c r="AD133" s="8" t="str">
        <f t="shared" si="21"/>
        <v>Belum Sensus</v>
      </c>
      <c r="AE133" s="178"/>
      <c r="AF133" s="143">
        <v>0</v>
      </c>
      <c r="AG133" s="143">
        <v>0</v>
      </c>
      <c r="AH133" s="9">
        <f t="shared" si="22"/>
        <v>0</v>
      </c>
      <c r="AI133" s="8" t="str">
        <f t="shared" si="23"/>
        <v>Belum Sensus</v>
      </c>
    </row>
    <row r="134" spans="1:35" x14ac:dyDescent="0.2">
      <c r="A134" s="8" t="s">
        <v>1273</v>
      </c>
      <c r="B134" s="8" t="s">
        <v>14</v>
      </c>
      <c r="C134" s="8" t="s">
        <v>144</v>
      </c>
      <c r="D134" s="8" t="s">
        <v>1396</v>
      </c>
      <c r="E134" s="9">
        <v>27.549999999999997</v>
      </c>
      <c r="F134" s="8" t="s">
        <v>1740</v>
      </c>
      <c r="G134" s="10">
        <v>3833</v>
      </c>
      <c r="H134" s="132">
        <v>46149</v>
      </c>
      <c r="I134" s="143">
        <f t="array" ref="I134">INDEX([46]perbandingan!$H$24:$H$231,MATCH(1,([46]perbandingan!$E$24:$E$231=$D134)*([46]perbandingan!$E$24:$E$231=$D134),0))</f>
        <v>387</v>
      </c>
      <c r="J134" s="9">
        <f t="array" ref="J134">IFERROR(I134/G134*100,0)</f>
        <v>10.096530133055047</v>
      </c>
      <c r="K134" s="143">
        <f t="array" ref="K134">INDEX([46]perbandingan!$L$24:$L$231,MATCH(1,([46]perbandingan!$E$24:$E$231=$D134)*([46]perbandingan!$E$24:$E$231=$D134),0))</f>
        <v>23</v>
      </c>
      <c r="L134" s="9">
        <f t="shared" si="24"/>
        <v>5.9431524547803614</v>
      </c>
      <c r="M134" s="8" t="str">
        <f t="shared" ref="M134:M197" si="27">IF(L134&gt;2,"Perlu Pengendalian",IF(L134&gt;0,"Tidak Perlu Pengendalian","Belum Sensus"))</f>
        <v>Perlu Pengendalian</v>
      </c>
      <c r="N134" s="148"/>
      <c r="O134" s="143" t="e">
        <f>MAX(#REF!,#REF!)</f>
        <v>#REF!</v>
      </c>
      <c r="P134" s="9" t="e">
        <f t="shared" ref="P134:P197" si="28">O134/G134*100</f>
        <v>#REF!</v>
      </c>
      <c r="Q134" s="143" t="e">
        <f>MAX(#REF!,#REF!)</f>
        <v>#REF!</v>
      </c>
      <c r="R134" s="9">
        <f t="shared" si="25"/>
        <v>0</v>
      </c>
      <c r="S134" s="8" t="str">
        <f t="shared" ref="S134:S197" si="29">IF(R134&gt;2,"Perlu Pengendalian",IF(R134&gt;0,"Tidak Perlu Pengendalian","Belum Sensus"))</f>
        <v>Belum Sensus</v>
      </c>
      <c r="T134" s="148"/>
      <c r="U134" s="143" t="e">
        <f>MAX(#REF!,#REF!)</f>
        <v>#REF!</v>
      </c>
      <c r="V134" s="143" t="e">
        <f>MAX(#REF!,#REF!)</f>
        <v>#REF!</v>
      </c>
      <c r="W134" s="9">
        <f t="shared" ref="W134:W197" si="30">IFERROR(V134/U134*100,0)</f>
        <v>0</v>
      </c>
      <c r="X134" s="8" t="str">
        <f t="shared" ref="X134:X197" si="31">IF(W134&gt;2,"Perlu Pengendalian",IF(W134&gt;0,"Tidak Perlu Pengendalian","Belum Sensus"))</f>
        <v>Belum Sensus</v>
      </c>
      <c r="Y134" s="178"/>
      <c r="Z134" s="143">
        <v>0</v>
      </c>
      <c r="AA134" s="9">
        <f t="shared" ref="AA134:AA197" si="32">Z134/G134*100</f>
        <v>0</v>
      </c>
      <c r="AB134" s="143">
        <v>0</v>
      </c>
      <c r="AC134" s="9">
        <f t="shared" si="26"/>
        <v>0</v>
      </c>
      <c r="AD134" s="8" t="str">
        <f t="shared" ref="AD134:AD197" si="33">IF(AC134&gt;2,"Perlu Pengendalian",IF(AC134&gt;0,"Tidak Perlu Pengendalian","Belum Sensus"))</f>
        <v>Belum Sensus</v>
      </c>
      <c r="AE134" s="178"/>
      <c r="AF134" s="143">
        <v>0</v>
      </c>
      <c r="AG134" s="143">
        <v>0</v>
      </c>
      <c r="AH134" s="9">
        <f t="shared" ref="AH134:AH197" si="34">IFERROR(AG134/AF134*100,0)</f>
        <v>0</v>
      </c>
      <c r="AI134" s="8" t="str">
        <f t="shared" ref="AI134:AI197" si="35">IF(AH134&gt;2,"Perlu Pengendalian",IF(AH134&gt;0,"Tidak Perlu Pengendalian","Belum Sensus"))</f>
        <v>Belum Sensus</v>
      </c>
    </row>
    <row r="135" spans="1:35" x14ac:dyDescent="0.2">
      <c r="A135" s="8" t="s">
        <v>1273</v>
      </c>
      <c r="B135" s="8" t="s">
        <v>14</v>
      </c>
      <c r="C135" s="8" t="s">
        <v>144</v>
      </c>
      <c r="D135" s="8" t="s">
        <v>1397</v>
      </c>
      <c r="E135" s="9">
        <v>26.919999999999998</v>
      </c>
      <c r="F135" s="8" t="s">
        <v>1740</v>
      </c>
      <c r="G135" s="10">
        <v>3675</v>
      </c>
      <c r="H135" s="132">
        <v>46149</v>
      </c>
      <c r="I135" s="143">
        <f t="array" ref="I135">INDEX([46]perbandingan!$H$24:$H$231,MATCH(1,([46]perbandingan!$E$24:$E$231=$D135)*([46]perbandingan!$E$24:$E$231=$D135),0))</f>
        <v>366</v>
      </c>
      <c r="J135" s="9">
        <f t="array" ref="J135">IFERROR(I135/G135*100,0)</f>
        <v>9.9591836734693882</v>
      </c>
      <c r="K135" s="143">
        <f t="array" ref="K135">INDEX([46]perbandingan!$L$24:$L$231,MATCH(1,([46]perbandingan!$E$24:$E$231=$D135)*([46]perbandingan!$E$24:$E$231=$D135),0))</f>
        <v>24</v>
      </c>
      <c r="L135" s="9">
        <f t="shared" si="24"/>
        <v>6.557377049180328</v>
      </c>
      <c r="M135" s="8" t="str">
        <f t="shared" si="27"/>
        <v>Perlu Pengendalian</v>
      </c>
      <c r="N135" s="148"/>
      <c r="O135" s="143" t="e">
        <f>MAX(#REF!,#REF!)</f>
        <v>#REF!</v>
      </c>
      <c r="P135" s="9" t="e">
        <f t="shared" si="28"/>
        <v>#REF!</v>
      </c>
      <c r="Q135" s="143" t="e">
        <f>MAX(#REF!,#REF!)</f>
        <v>#REF!</v>
      </c>
      <c r="R135" s="9">
        <f t="shared" si="25"/>
        <v>0</v>
      </c>
      <c r="S135" s="8" t="str">
        <f t="shared" si="29"/>
        <v>Belum Sensus</v>
      </c>
      <c r="T135" s="148"/>
      <c r="U135" s="143" t="e">
        <f>MAX(#REF!,#REF!)</f>
        <v>#REF!</v>
      </c>
      <c r="V135" s="143" t="e">
        <f>MAX(#REF!,#REF!)</f>
        <v>#REF!</v>
      </c>
      <c r="W135" s="9">
        <f t="shared" si="30"/>
        <v>0</v>
      </c>
      <c r="X135" s="8" t="str">
        <f t="shared" si="31"/>
        <v>Belum Sensus</v>
      </c>
      <c r="Y135" s="178"/>
      <c r="Z135" s="143"/>
      <c r="AA135" s="9">
        <f t="shared" si="32"/>
        <v>0</v>
      </c>
      <c r="AB135" s="143"/>
      <c r="AC135" s="9">
        <f t="shared" si="26"/>
        <v>0</v>
      </c>
      <c r="AD135" s="8" t="str">
        <f t="shared" si="33"/>
        <v>Belum Sensus</v>
      </c>
      <c r="AE135" s="178"/>
      <c r="AF135" s="143">
        <v>0</v>
      </c>
      <c r="AG135" s="143">
        <v>0</v>
      </c>
      <c r="AH135" s="9">
        <f t="shared" si="34"/>
        <v>0</v>
      </c>
      <c r="AI135" s="8" t="str">
        <f t="shared" si="35"/>
        <v>Belum Sensus</v>
      </c>
    </row>
    <row r="136" spans="1:35" x14ac:dyDescent="0.2">
      <c r="A136" s="8" t="s">
        <v>1273</v>
      </c>
      <c r="B136" s="8" t="s">
        <v>14</v>
      </c>
      <c r="C136" s="8" t="s">
        <v>144</v>
      </c>
      <c r="D136" s="8" t="s">
        <v>1398</v>
      </c>
      <c r="E136" s="9">
        <v>27.54</v>
      </c>
      <c r="F136" s="8" t="s">
        <v>1740</v>
      </c>
      <c r="G136" s="10">
        <v>3741</v>
      </c>
      <c r="H136" s="132">
        <v>46149</v>
      </c>
      <c r="I136" s="143">
        <f t="array" ref="I136">INDEX([46]perbandingan!$H$24:$H$231,MATCH(1,([46]perbandingan!$E$24:$E$231=$D136)*([46]perbandingan!$E$24:$E$231=$D136),0))</f>
        <v>371</v>
      </c>
      <c r="J136" s="9">
        <f t="array" ref="J136">IFERROR(I136/G136*100,0)</f>
        <v>9.9171344560277994</v>
      </c>
      <c r="K136" s="143">
        <f t="array" ref="K136">INDEX([46]perbandingan!$L$24:$L$231,MATCH(1,([46]perbandingan!$E$24:$E$231=$D136)*([46]perbandingan!$E$24:$E$231=$D136),0))</f>
        <v>19</v>
      </c>
      <c r="L136" s="9">
        <f t="shared" si="24"/>
        <v>5.1212938005390836</v>
      </c>
      <c r="M136" s="8" t="str">
        <f t="shared" si="27"/>
        <v>Perlu Pengendalian</v>
      </c>
      <c r="N136" s="148"/>
      <c r="O136" s="143" t="e">
        <f>MAX(#REF!,#REF!)</f>
        <v>#REF!</v>
      </c>
      <c r="P136" s="9" t="e">
        <f t="shared" si="28"/>
        <v>#REF!</v>
      </c>
      <c r="Q136" s="143" t="e">
        <f>MAX(#REF!,#REF!)</f>
        <v>#REF!</v>
      </c>
      <c r="R136" s="9">
        <f t="shared" si="25"/>
        <v>0</v>
      </c>
      <c r="S136" s="8" t="str">
        <f t="shared" si="29"/>
        <v>Belum Sensus</v>
      </c>
      <c r="T136" s="148"/>
      <c r="U136" s="143" t="e">
        <f>MAX(#REF!,#REF!)</f>
        <v>#REF!</v>
      </c>
      <c r="V136" s="143" t="e">
        <f>MAX(#REF!,#REF!)</f>
        <v>#REF!</v>
      </c>
      <c r="W136" s="9">
        <f t="shared" si="30"/>
        <v>0</v>
      </c>
      <c r="X136" s="8" t="str">
        <f t="shared" si="31"/>
        <v>Belum Sensus</v>
      </c>
      <c r="Y136" s="178"/>
      <c r="Z136" s="143"/>
      <c r="AA136" s="9">
        <f t="shared" si="32"/>
        <v>0</v>
      </c>
      <c r="AB136" s="143"/>
      <c r="AC136" s="9">
        <f t="shared" si="26"/>
        <v>0</v>
      </c>
      <c r="AD136" s="8" t="str">
        <f t="shared" si="33"/>
        <v>Belum Sensus</v>
      </c>
      <c r="AE136" s="178"/>
      <c r="AF136" s="143">
        <v>0</v>
      </c>
      <c r="AG136" s="143">
        <v>0</v>
      </c>
      <c r="AH136" s="9">
        <f t="shared" si="34"/>
        <v>0</v>
      </c>
      <c r="AI136" s="8" t="str">
        <f t="shared" si="35"/>
        <v>Belum Sensus</v>
      </c>
    </row>
    <row r="137" spans="1:35" x14ac:dyDescent="0.2">
      <c r="A137" s="8" t="s">
        <v>1273</v>
      </c>
      <c r="B137" s="8" t="s">
        <v>14</v>
      </c>
      <c r="C137" s="8" t="s">
        <v>144</v>
      </c>
      <c r="D137" s="8" t="s">
        <v>1399</v>
      </c>
      <c r="E137" s="9">
        <v>21.95</v>
      </c>
      <c r="F137" s="8" t="s">
        <v>1740</v>
      </c>
      <c r="G137" s="10">
        <v>1534</v>
      </c>
      <c r="H137" s="132">
        <v>46149</v>
      </c>
      <c r="I137" s="143">
        <f t="array" ref="I137">INDEX([46]perbandingan!$H$24:$H$231,MATCH(1,([46]perbandingan!$E$24:$E$231=$D137)*([46]perbandingan!$E$24:$E$231=$D137),0))</f>
        <v>341</v>
      </c>
      <c r="J137" s="9">
        <f t="array" ref="J137">IFERROR(I137/G137*100,0)</f>
        <v>22.229465449804433</v>
      </c>
      <c r="K137" s="143">
        <f t="array" ref="K137">INDEX([46]perbandingan!$L$24:$L$231,MATCH(1,([46]perbandingan!$E$24:$E$231=$D137)*([46]perbandingan!$E$24:$E$231=$D137),0))</f>
        <v>31</v>
      </c>
      <c r="L137" s="9">
        <f t="shared" si="24"/>
        <v>9.0909090909090917</v>
      </c>
      <c r="M137" s="8" t="str">
        <f t="shared" si="27"/>
        <v>Perlu Pengendalian</v>
      </c>
      <c r="N137" s="148"/>
      <c r="O137" s="143" t="e">
        <f>MAX(#REF!,#REF!)</f>
        <v>#REF!</v>
      </c>
      <c r="P137" s="9" t="e">
        <f t="shared" si="28"/>
        <v>#REF!</v>
      </c>
      <c r="Q137" s="143" t="e">
        <f>MAX(#REF!,#REF!)</f>
        <v>#REF!</v>
      </c>
      <c r="R137" s="9">
        <f t="shared" si="25"/>
        <v>0</v>
      </c>
      <c r="S137" s="8" t="str">
        <f t="shared" si="29"/>
        <v>Belum Sensus</v>
      </c>
      <c r="T137" s="148"/>
      <c r="U137" s="143" t="e">
        <f>MAX(#REF!,#REF!)</f>
        <v>#REF!</v>
      </c>
      <c r="V137" s="143" t="e">
        <f>MAX(#REF!,#REF!)</f>
        <v>#REF!</v>
      </c>
      <c r="W137" s="9">
        <f t="shared" si="30"/>
        <v>0</v>
      </c>
      <c r="X137" s="8" t="str">
        <f t="shared" si="31"/>
        <v>Belum Sensus</v>
      </c>
      <c r="Y137" s="178"/>
      <c r="Z137" s="143">
        <v>0</v>
      </c>
      <c r="AA137" s="9">
        <f t="shared" si="32"/>
        <v>0</v>
      </c>
      <c r="AB137" s="143">
        <v>0</v>
      </c>
      <c r="AC137" s="9">
        <f t="shared" si="26"/>
        <v>0</v>
      </c>
      <c r="AD137" s="8" t="str">
        <f t="shared" si="33"/>
        <v>Belum Sensus</v>
      </c>
      <c r="AE137" s="178"/>
      <c r="AF137" s="143">
        <v>0</v>
      </c>
      <c r="AG137" s="143">
        <v>0</v>
      </c>
      <c r="AH137" s="9">
        <f t="shared" si="34"/>
        <v>0</v>
      </c>
      <c r="AI137" s="8" t="str">
        <f t="shared" si="35"/>
        <v>Belum Sensus</v>
      </c>
    </row>
    <row r="138" spans="1:35" x14ac:dyDescent="0.2">
      <c r="A138" s="8" t="s">
        <v>1273</v>
      </c>
      <c r="B138" s="8" t="s">
        <v>14</v>
      </c>
      <c r="C138" s="8" t="s">
        <v>144</v>
      </c>
      <c r="D138" s="8" t="s">
        <v>1400</v>
      </c>
      <c r="E138" s="9">
        <v>25.400000000000002</v>
      </c>
      <c r="F138" s="8" t="s">
        <v>1740</v>
      </c>
      <c r="G138" s="10">
        <v>3287</v>
      </c>
      <c r="H138" s="132">
        <v>46149</v>
      </c>
      <c r="I138" s="143">
        <f t="array" ref="I138">INDEX([46]perbandingan!$H$24:$H$231,MATCH(1,([46]perbandingan!$E$24:$E$231=$D138)*([46]perbandingan!$E$24:$E$231=$D138),0))</f>
        <v>365</v>
      </c>
      <c r="J138" s="9">
        <f t="array" ref="J138">IFERROR(I138/G138*100,0)</f>
        <v>11.104350471554609</v>
      </c>
      <c r="K138" s="143">
        <f t="array" ref="K138">INDEX([46]perbandingan!$L$24:$L$231,MATCH(1,([46]perbandingan!$E$24:$E$231=$D138)*([46]perbandingan!$E$24:$E$231=$D138),0))</f>
        <v>16</v>
      </c>
      <c r="L138" s="9">
        <f t="shared" si="24"/>
        <v>4.3835616438356162</v>
      </c>
      <c r="M138" s="8" t="str">
        <f t="shared" si="27"/>
        <v>Perlu Pengendalian</v>
      </c>
      <c r="N138" s="148"/>
      <c r="O138" s="143" t="e">
        <f>MAX(#REF!,#REF!)</f>
        <v>#REF!</v>
      </c>
      <c r="P138" s="9" t="e">
        <f t="shared" si="28"/>
        <v>#REF!</v>
      </c>
      <c r="Q138" s="143" t="e">
        <f>MAX(#REF!,#REF!)</f>
        <v>#REF!</v>
      </c>
      <c r="R138" s="9">
        <f t="shared" si="25"/>
        <v>0</v>
      </c>
      <c r="S138" s="8" t="str">
        <f t="shared" si="29"/>
        <v>Belum Sensus</v>
      </c>
      <c r="T138" s="148"/>
      <c r="U138" s="143" t="e">
        <f>MAX(#REF!,#REF!)</f>
        <v>#REF!</v>
      </c>
      <c r="V138" s="143" t="e">
        <f>MAX(#REF!,#REF!)</f>
        <v>#REF!</v>
      </c>
      <c r="W138" s="9">
        <f t="shared" si="30"/>
        <v>0</v>
      </c>
      <c r="X138" s="8" t="str">
        <f t="shared" si="31"/>
        <v>Belum Sensus</v>
      </c>
      <c r="Y138" s="178"/>
      <c r="Z138" s="143">
        <v>0</v>
      </c>
      <c r="AA138" s="9">
        <f t="shared" si="32"/>
        <v>0</v>
      </c>
      <c r="AB138" s="143">
        <v>0</v>
      </c>
      <c r="AC138" s="9">
        <f t="shared" si="26"/>
        <v>0</v>
      </c>
      <c r="AD138" s="8" t="str">
        <f t="shared" si="33"/>
        <v>Belum Sensus</v>
      </c>
      <c r="AE138" s="178"/>
      <c r="AF138" s="143">
        <v>0</v>
      </c>
      <c r="AG138" s="143">
        <v>0</v>
      </c>
      <c r="AH138" s="9">
        <f t="shared" si="34"/>
        <v>0</v>
      </c>
      <c r="AI138" s="8" t="str">
        <f t="shared" si="35"/>
        <v>Belum Sensus</v>
      </c>
    </row>
    <row r="139" spans="1:35" x14ac:dyDescent="0.2">
      <c r="A139" s="8" t="s">
        <v>1273</v>
      </c>
      <c r="B139" s="8" t="s">
        <v>14</v>
      </c>
      <c r="C139" s="8" t="s">
        <v>144</v>
      </c>
      <c r="D139" s="8" t="s">
        <v>1401</v>
      </c>
      <c r="E139" s="9">
        <v>26.169999999999998</v>
      </c>
      <c r="F139" s="8" t="s">
        <v>1740</v>
      </c>
      <c r="G139" s="10">
        <v>3033</v>
      </c>
      <c r="H139" s="132">
        <v>46149</v>
      </c>
      <c r="I139" s="143">
        <f t="array" ref="I139">INDEX([46]perbandingan!$H$24:$H$231,MATCH(1,([46]perbandingan!$E$24:$E$231=$D139)*([46]perbandingan!$E$24:$E$231=$D139),0))</f>
        <v>357</v>
      </c>
      <c r="J139" s="9">
        <f t="array" ref="J139">IFERROR(I139/G139*100,0)</f>
        <v>11.770524233432244</v>
      </c>
      <c r="K139" s="143">
        <f t="array" ref="K139">INDEX([46]perbandingan!$L$24:$L$231,MATCH(1,([46]perbandingan!$E$24:$E$231=$D139)*([46]perbandingan!$E$24:$E$231=$D139),0))</f>
        <v>27</v>
      </c>
      <c r="L139" s="9">
        <f t="shared" si="24"/>
        <v>7.5630252100840334</v>
      </c>
      <c r="M139" s="8" t="str">
        <f t="shared" si="27"/>
        <v>Perlu Pengendalian</v>
      </c>
      <c r="N139" s="148"/>
      <c r="O139" s="143" t="e">
        <f>MAX(#REF!,#REF!)</f>
        <v>#REF!</v>
      </c>
      <c r="P139" s="9" t="e">
        <f t="shared" si="28"/>
        <v>#REF!</v>
      </c>
      <c r="Q139" s="143" t="e">
        <f>MAX(#REF!,#REF!)</f>
        <v>#REF!</v>
      </c>
      <c r="R139" s="9">
        <f t="shared" si="25"/>
        <v>0</v>
      </c>
      <c r="S139" s="8" t="str">
        <f t="shared" si="29"/>
        <v>Belum Sensus</v>
      </c>
      <c r="T139" s="148"/>
      <c r="U139" s="143" t="e">
        <f>MAX(#REF!,#REF!)</f>
        <v>#REF!</v>
      </c>
      <c r="V139" s="143" t="e">
        <f>MAX(#REF!,#REF!)</f>
        <v>#REF!</v>
      </c>
      <c r="W139" s="9">
        <f t="shared" si="30"/>
        <v>0</v>
      </c>
      <c r="X139" s="8" t="str">
        <f t="shared" si="31"/>
        <v>Belum Sensus</v>
      </c>
      <c r="Y139" s="178"/>
      <c r="Z139" s="143">
        <v>0</v>
      </c>
      <c r="AA139" s="9">
        <f t="shared" si="32"/>
        <v>0</v>
      </c>
      <c r="AB139" s="143">
        <v>0</v>
      </c>
      <c r="AC139" s="9">
        <f t="shared" si="26"/>
        <v>0</v>
      </c>
      <c r="AD139" s="8" t="str">
        <f t="shared" si="33"/>
        <v>Belum Sensus</v>
      </c>
      <c r="AE139" s="178"/>
      <c r="AF139" s="143">
        <v>0</v>
      </c>
      <c r="AG139" s="143">
        <v>0</v>
      </c>
      <c r="AH139" s="9">
        <f t="shared" si="34"/>
        <v>0</v>
      </c>
      <c r="AI139" s="8" t="str">
        <f t="shared" si="35"/>
        <v>Belum Sensus</v>
      </c>
    </row>
    <row r="140" spans="1:35" x14ac:dyDescent="0.2">
      <c r="A140" s="8" t="s">
        <v>1273</v>
      </c>
      <c r="B140" s="8" t="s">
        <v>14</v>
      </c>
      <c r="C140" s="8" t="s">
        <v>144</v>
      </c>
      <c r="D140" s="8" t="s">
        <v>1402</v>
      </c>
      <c r="E140" s="9">
        <v>28.76</v>
      </c>
      <c r="F140" s="8" t="s">
        <v>1740</v>
      </c>
      <c r="G140" s="10">
        <v>3575</v>
      </c>
      <c r="H140" s="132">
        <v>46149</v>
      </c>
      <c r="I140" s="143">
        <f t="array" ref="I140">INDEX([46]perbandingan!$H$24:$H$231,MATCH(1,([46]perbandingan!$E$24:$E$231=$D140)*([46]perbandingan!$E$24:$E$231=$D140),0))</f>
        <v>387</v>
      </c>
      <c r="J140" s="9">
        <f t="array" ref="J140">IFERROR(I140/G140*100,0)</f>
        <v>10.825174825174825</v>
      </c>
      <c r="K140" s="143">
        <f t="array" ref="K140">INDEX([46]perbandingan!$L$24:$L$231,MATCH(1,([46]perbandingan!$E$24:$E$231=$D140)*([46]perbandingan!$E$24:$E$231=$D140),0))</f>
        <v>17</v>
      </c>
      <c r="L140" s="9">
        <f t="shared" si="24"/>
        <v>4.3927648578811365</v>
      </c>
      <c r="M140" s="8" t="str">
        <f t="shared" si="27"/>
        <v>Perlu Pengendalian</v>
      </c>
      <c r="N140" s="148"/>
      <c r="O140" s="143" t="e">
        <f>MAX(#REF!,#REF!)</f>
        <v>#REF!</v>
      </c>
      <c r="P140" s="9" t="e">
        <f t="shared" si="28"/>
        <v>#REF!</v>
      </c>
      <c r="Q140" s="143" t="e">
        <f>MAX(#REF!,#REF!)</f>
        <v>#REF!</v>
      </c>
      <c r="R140" s="9">
        <f t="shared" si="25"/>
        <v>0</v>
      </c>
      <c r="S140" s="8" t="str">
        <f t="shared" si="29"/>
        <v>Belum Sensus</v>
      </c>
      <c r="T140" s="148"/>
      <c r="U140" s="143" t="e">
        <f>MAX(#REF!,#REF!)</f>
        <v>#REF!</v>
      </c>
      <c r="V140" s="143" t="e">
        <f>MAX(#REF!,#REF!)</f>
        <v>#REF!</v>
      </c>
      <c r="W140" s="9">
        <f t="shared" si="30"/>
        <v>0</v>
      </c>
      <c r="X140" s="8" t="str">
        <f t="shared" si="31"/>
        <v>Belum Sensus</v>
      </c>
      <c r="Y140" s="178"/>
      <c r="Z140" s="143">
        <v>0</v>
      </c>
      <c r="AA140" s="9">
        <f t="shared" si="32"/>
        <v>0</v>
      </c>
      <c r="AB140" s="143">
        <v>0</v>
      </c>
      <c r="AC140" s="9">
        <f t="shared" si="26"/>
        <v>0</v>
      </c>
      <c r="AD140" s="8" t="str">
        <f t="shared" si="33"/>
        <v>Belum Sensus</v>
      </c>
      <c r="AE140" s="178"/>
      <c r="AF140" s="143">
        <v>0</v>
      </c>
      <c r="AG140" s="143">
        <v>0</v>
      </c>
      <c r="AH140" s="9">
        <f t="shared" si="34"/>
        <v>0</v>
      </c>
      <c r="AI140" s="8" t="str">
        <f t="shared" si="35"/>
        <v>Belum Sensus</v>
      </c>
    </row>
    <row r="141" spans="1:35" x14ac:dyDescent="0.2">
      <c r="A141" s="8" t="s">
        <v>1273</v>
      </c>
      <c r="B141" s="8" t="s">
        <v>14</v>
      </c>
      <c r="C141" s="8" t="s">
        <v>144</v>
      </c>
      <c r="D141" s="8" t="s">
        <v>1403</v>
      </c>
      <c r="E141" s="9">
        <v>28.85</v>
      </c>
      <c r="F141" s="8" t="s">
        <v>1740</v>
      </c>
      <c r="G141" s="10">
        <v>3616</v>
      </c>
      <c r="H141" s="132">
        <v>46149</v>
      </c>
      <c r="I141" s="143">
        <f t="array" ref="I141">INDEX([46]perbandingan!$H$24:$H$231,MATCH(1,([46]perbandingan!$E$24:$E$231=$D141)*([46]perbandingan!$E$24:$E$231=$D141),0))</f>
        <v>358</v>
      </c>
      <c r="J141" s="9">
        <f t="array" ref="J141">IFERROR(I141/G141*100,0)</f>
        <v>9.9004424778761067</v>
      </c>
      <c r="K141" s="143">
        <f t="array" ref="K141">INDEX([46]perbandingan!$L$24:$L$231,MATCH(1,([46]perbandingan!$E$24:$E$231=$D141)*([46]perbandingan!$E$24:$E$231=$D141),0))</f>
        <v>17</v>
      </c>
      <c r="L141" s="9">
        <f t="shared" si="24"/>
        <v>4.7486033519553068</v>
      </c>
      <c r="M141" s="8" t="str">
        <f t="shared" si="27"/>
        <v>Perlu Pengendalian</v>
      </c>
      <c r="N141" s="148"/>
      <c r="O141" s="143" t="e">
        <f>MAX(#REF!,#REF!)</f>
        <v>#REF!</v>
      </c>
      <c r="P141" s="9" t="e">
        <f t="shared" si="28"/>
        <v>#REF!</v>
      </c>
      <c r="Q141" s="143" t="e">
        <f>MAX(#REF!,#REF!)</f>
        <v>#REF!</v>
      </c>
      <c r="R141" s="9">
        <f t="shared" si="25"/>
        <v>0</v>
      </c>
      <c r="S141" s="8" t="str">
        <f t="shared" si="29"/>
        <v>Belum Sensus</v>
      </c>
      <c r="T141" s="148"/>
      <c r="U141" s="143" t="e">
        <f>MAX(#REF!,#REF!)</f>
        <v>#REF!</v>
      </c>
      <c r="V141" s="143" t="e">
        <f>MAX(#REF!,#REF!)</f>
        <v>#REF!</v>
      </c>
      <c r="W141" s="9">
        <f t="shared" si="30"/>
        <v>0</v>
      </c>
      <c r="X141" s="8" t="str">
        <f t="shared" si="31"/>
        <v>Belum Sensus</v>
      </c>
      <c r="Y141" s="178">
        <v>46153</v>
      </c>
      <c r="Z141" s="143">
        <v>62</v>
      </c>
      <c r="AA141" s="9">
        <f t="shared" si="32"/>
        <v>1.7146017699115044</v>
      </c>
      <c r="AB141" s="143">
        <v>11</v>
      </c>
      <c r="AC141" s="9">
        <f t="shared" si="26"/>
        <v>17.741935483870968</v>
      </c>
      <c r="AD141" s="8" t="str">
        <f t="shared" si="33"/>
        <v>Perlu Pengendalian</v>
      </c>
      <c r="AE141" s="178"/>
      <c r="AF141" s="143">
        <v>0</v>
      </c>
      <c r="AG141" s="143">
        <v>0</v>
      </c>
      <c r="AH141" s="9">
        <f t="shared" si="34"/>
        <v>0</v>
      </c>
      <c r="AI141" s="8" t="str">
        <f t="shared" si="35"/>
        <v>Belum Sensus</v>
      </c>
    </row>
    <row r="142" spans="1:35" x14ac:dyDescent="0.2">
      <c r="A142" s="8" t="s">
        <v>1273</v>
      </c>
      <c r="B142" s="8" t="s">
        <v>14</v>
      </c>
      <c r="C142" s="8" t="s">
        <v>144</v>
      </c>
      <c r="D142" s="8" t="s">
        <v>1404</v>
      </c>
      <c r="E142" s="9">
        <v>30.58</v>
      </c>
      <c r="F142" s="8" t="s">
        <v>1740</v>
      </c>
      <c r="G142" s="10">
        <v>3391</v>
      </c>
      <c r="H142" s="132">
        <v>46153</v>
      </c>
      <c r="I142" s="143">
        <f t="array" ref="I142">INDEX([46]perbandingan!$H$24:$H$231,MATCH(1,([46]perbandingan!$E$24:$E$231=$D142)*([46]perbandingan!$E$24:$E$231=$D142),0))</f>
        <v>72</v>
      </c>
      <c r="J142" s="9">
        <f t="array" ref="J142">IFERROR(I142/G142*100,0)</f>
        <v>2.1232674727219107</v>
      </c>
      <c r="K142" s="143">
        <f t="array" ref="K142">INDEX([46]perbandingan!$L$24:$L$231,MATCH(1,([46]perbandingan!$E$24:$E$231=$D142)*([46]perbandingan!$E$24:$E$231=$D142),0))</f>
        <v>9</v>
      </c>
      <c r="L142" s="9">
        <f t="shared" si="24"/>
        <v>12.5</v>
      </c>
      <c r="M142" s="8" t="str">
        <f t="shared" si="27"/>
        <v>Perlu Pengendalian</v>
      </c>
      <c r="N142" s="148"/>
      <c r="O142" s="143" t="e">
        <f>MAX(#REF!,#REF!)</f>
        <v>#REF!</v>
      </c>
      <c r="P142" s="9" t="e">
        <f t="shared" si="28"/>
        <v>#REF!</v>
      </c>
      <c r="Q142" s="143" t="e">
        <f>MAX(#REF!,#REF!)</f>
        <v>#REF!</v>
      </c>
      <c r="R142" s="9">
        <f t="shared" si="25"/>
        <v>0</v>
      </c>
      <c r="S142" s="8" t="str">
        <f t="shared" si="29"/>
        <v>Belum Sensus</v>
      </c>
      <c r="T142" s="148"/>
      <c r="U142" s="143" t="e">
        <f>MAX(#REF!,#REF!)</f>
        <v>#REF!</v>
      </c>
      <c r="V142" s="143" t="e">
        <f>MAX(#REF!,#REF!)</f>
        <v>#REF!</v>
      </c>
      <c r="W142" s="9">
        <f t="shared" si="30"/>
        <v>0</v>
      </c>
      <c r="X142" s="8" t="str">
        <f t="shared" si="31"/>
        <v>Belum Sensus</v>
      </c>
      <c r="Y142" s="178">
        <v>46153</v>
      </c>
      <c r="Z142" s="143">
        <v>138</v>
      </c>
      <c r="AA142" s="9">
        <f t="shared" si="32"/>
        <v>4.0695959893836626</v>
      </c>
      <c r="AB142" s="143">
        <v>24</v>
      </c>
      <c r="AC142" s="9">
        <f t="shared" si="26"/>
        <v>17.391304347826086</v>
      </c>
      <c r="AD142" s="8" t="str">
        <f t="shared" si="33"/>
        <v>Perlu Pengendalian</v>
      </c>
      <c r="AE142" s="178"/>
      <c r="AF142" s="143">
        <v>0</v>
      </c>
      <c r="AG142" s="143">
        <v>0</v>
      </c>
      <c r="AH142" s="9">
        <f t="shared" si="34"/>
        <v>0</v>
      </c>
      <c r="AI142" s="8" t="str">
        <f t="shared" si="35"/>
        <v>Belum Sensus</v>
      </c>
    </row>
    <row r="143" spans="1:35" x14ac:dyDescent="0.2">
      <c r="A143" s="8" t="s">
        <v>1273</v>
      </c>
      <c r="B143" s="8" t="s">
        <v>14</v>
      </c>
      <c r="C143" s="8" t="s">
        <v>144</v>
      </c>
      <c r="D143" s="8" t="s">
        <v>1405</v>
      </c>
      <c r="E143" s="9">
        <v>32.31</v>
      </c>
      <c r="F143" s="8" t="s">
        <v>1740</v>
      </c>
      <c r="G143" s="10">
        <v>4480</v>
      </c>
      <c r="H143" s="132">
        <v>46153</v>
      </c>
      <c r="I143" s="143">
        <f t="array" ref="I143">INDEX([46]perbandingan!$H$24:$H$231,MATCH(1,([46]perbandingan!$E$24:$E$231=$D143)*([46]perbandingan!$E$24:$E$231=$D143),0))</f>
        <v>66</v>
      </c>
      <c r="J143" s="9">
        <f t="array" ref="J143">IFERROR(I143/G143*100,0)</f>
        <v>1.4732142857142856</v>
      </c>
      <c r="K143" s="143">
        <f t="array" ref="K143">INDEX([46]perbandingan!$L$24:$L$231,MATCH(1,([46]perbandingan!$E$24:$E$231=$D143)*([46]perbandingan!$E$24:$E$231=$D143),0))</f>
        <v>3</v>
      </c>
      <c r="L143" s="9">
        <f t="shared" si="24"/>
        <v>4.5454545454545459</v>
      </c>
      <c r="M143" s="8" t="str">
        <f t="shared" si="27"/>
        <v>Perlu Pengendalian</v>
      </c>
      <c r="N143" s="148"/>
      <c r="O143" s="143" t="e">
        <f>MAX(#REF!,#REF!)</f>
        <v>#REF!</v>
      </c>
      <c r="P143" s="9" t="e">
        <f t="shared" si="28"/>
        <v>#REF!</v>
      </c>
      <c r="Q143" s="143" t="e">
        <f>MAX(#REF!,#REF!)</f>
        <v>#REF!</v>
      </c>
      <c r="R143" s="9">
        <f t="shared" si="25"/>
        <v>0</v>
      </c>
      <c r="S143" s="8" t="str">
        <f t="shared" si="29"/>
        <v>Belum Sensus</v>
      </c>
      <c r="T143" s="148"/>
      <c r="U143" s="143" t="e">
        <f>MAX(#REF!,#REF!)</f>
        <v>#REF!</v>
      </c>
      <c r="V143" s="143" t="e">
        <f>MAX(#REF!,#REF!)</f>
        <v>#REF!</v>
      </c>
      <c r="W143" s="9">
        <f t="shared" si="30"/>
        <v>0</v>
      </c>
      <c r="X143" s="8" t="str">
        <f t="shared" si="31"/>
        <v>Belum Sensus</v>
      </c>
      <c r="Y143" s="178"/>
      <c r="Z143" s="143"/>
      <c r="AA143" s="9">
        <f t="shared" si="32"/>
        <v>0</v>
      </c>
      <c r="AB143" s="143"/>
      <c r="AC143" s="9">
        <f t="shared" si="26"/>
        <v>0</v>
      </c>
      <c r="AD143" s="8" t="str">
        <f t="shared" si="33"/>
        <v>Belum Sensus</v>
      </c>
      <c r="AE143" s="178">
        <v>46153</v>
      </c>
      <c r="AF143" s="143">
        <v>478</v>
      </c>
      <c r="AG143" s="143">
        <v>78</v>
      </c>
      <c r="AH143" s="9">
        <f t="shared" si="34"/>
        <v>16.317991631799163</v>
      </c>
      <c r="AI143" s="8" t="str">
        <f t="shared" si="35"/>
        <v>Perlu Pengendalian</v>
      </c>
    </row>
    <row r="144" spans="1:35" x14ac:dyDescent="0.2">
      <c r="A144" s="8" t="s">
        <v>1273</v>
      </c>
      <c r="B144" s="8" t="s">
        <v>14</v>
      </c>
      <c r="C144" s="8" t="s">
        <v>144</v>
      </c>
      <c r="D144" s="8" t="s">
        <v>1406</v>
      </c>
      <c r="E144" s="9">
        <v>30.85</v>
      </c>
      <c r="F144" s="8" t="s">
        <v>1740</v>
      </c>
      <c r="G144" s="10">
        <v>4229</v>
      </c>
      <c r="H144" s="132">
        <v>46153</v>
      </c>
      <c r="I144" s="143">
        <f t="array" ref="I144">INDEX([46]perbandingan!$H$24:$H$231,MATCH(1,([46]perbandingan!$E$24:$E$231=$D144)*([46]perbandingan!$E$24:$E$231=$D144),0))</f>
        <v>67</v>
      </c>
      <c r="J144" s="9">
        <f t="array" ref="J144">IFERROR(I144/G144*100,0)</f>
        <v>1.5842988886261529</v>
      </c>
      <c r="K144" s="143">
        <f t="array" ref="K144">INDEX([46]perbandingan!$L$24:$L$231,MATCH(1,([46]perbandingan!$E$24:$E$231=$D144)*([46]perbandingan!$E$24:$E$231=$D144),0))</f>
        <v>3</v>
      </c>
      <c r="L144" s="9">
        <f t="shared" si="24"/>
        <v>4.4776119402985071</v>
      </c>
      <c r="M144" s="8" t="str">
        <f t="shared" si="27"/>
        <v>Perlu Pengendalian</v>
      </c>
      <c r="N144" s="148"/>
      <c r="O144" s="143" t="e">
        <f>MAX(#REF!,#REF!)</f>
        <v>#REF!</v>
      </c>
      <c r="P144" s="9" t="e">
        <f t="shared" si="28"/>
        <v>#REF!</v>
      </c>
      <c r="Q144" s="143" t="e">
        <f>MAX(#REF!,#REF!)</f>
        <v>#REF!</v>
      </c>
      <c r="R144" s="9">
        <f t="shared" si="25"/>
        <v>0</v>
      </c>
      <c r="S144" s="8" t="str">
        <f t="shared" si="29"/>
        <v>Belum Sensus</v>
      </c>
      <c r="T144" s="148"/>
      <c r="U144" s="143" t="e">
        <f>MAX(#REF!,#REF!)</f>
        <v>#REF!</v>
      </c>
      <c r="V144" s="143" t="e">
        <f>MAX(#REF!,#REF!)</f>
        <v>#REF!</v>
      </c>
      <c r="W144" s="9">
        <f t="shared" si="30"/>
        <v>0</v>
      </c>
      <c r="X144" s="8" t="str">
        <f t="shared" si="31"/>
        <v>Belum Sensus</v>
      </c>
      <c r="Y144" s="178"/>
      <c r="Z144" s="143"/>
      <c r="AA144" s="9">
        <f t="shared" si="32"/>
        <v>0</v>
      </c>
      <c r="AB144" s="143"/>
      <c r="AC144" s="9">
        <f t="shared" si="26"/>
        <v>0</v>
      </c>
      <c r="AD144" s="8" t="str">
        <f t="shared" si="33"/>
        <v>Belum Sensus</v>
      </c>
      <c r="AE144" s="178"/>
      <c r="AF144" s="143">
        <v>0</v>
      </c>
      <c r="AG144" s="143">
        <v>0</v>
      </c>
      <c r="AH144" s="9">
        <f t="shared" si="34"/>
        <v>0</v>
      </c>
      <c r="AI144" s="8" t="str">
        <f t="shared" si="35"/>
        <v>Belum Sensus</v>
      </c>
    </row>
    <row r="145" spans="1:35" x14ac:dyDescent="0.2">
      <c r="A145" s="8" t="s">
        <v>1273</v>
      </c>
      <c r="B145" s="8" t="s">
        <v>14</v>
      </c>
      <c r="C145" s="8" t="s">
        <v>144</v>
      </c>
      <c r="D145" s="8" t="s">
        <v>1407</v>
      </c>
      <c r="E145" s="9">
        <v>30.71</v>
      </c>
      <c r="F145" s="8" t="s">
        <v>1740</v>
      </c>
      <c r="G145" s="10">
        <v>4226</v>
      </c>
      <c r="H145" s="132">
        <v>46153</v>
      </c>
      <c r="I145" s="143">
        <f t="array" ref="I145">INDEX([46]perbandingan!$H$24:$H$231,MATCH(1,([46]perbandingan!$E$24:$E$231=$D145)*([46]perbandingan!$E$24:$E$231=$D145),0))</f>
        <v>66</v>
      </c>
      <c r="J145" s="9">
        <f t="array" ref="J145">IFERROR(I145/G145*100,0)</f>
        <v>1.5617605300520587</v>
      </c>
      <c r="K145" s="143">
        <f t="array" ref="K145">INDEX([46]perbandingan!$L$24:$L$231,MATCH(1,([46]perbandingan!$E$24:$E$231=$D145)*([46]perbandingan!$E$24:$E$231=$D145),0))</f>
        <v>15</v>
      </c>
      <c r="L145" s="9">
        <f t="shared" si="24"/>
        <v>22.727272727272727</v>
      </c>
      <c r="M145" s="8" t="str">
        <f t="shared" si="27"/>
        <v>Perlu Pengendalian</v>
      </c>
      <c r="N145" s="148"/>
      <c r="O145" s="143" t="e">
        <f>MAX(#REF!,#REF!)</f>
        <v>#REF!</v>
      </c>
      <c r="P145" s="9" t="e">
        <f t="shared" si="28"/>
        <v>#REF!</v>
      </c>
      <c r="Q145" s="143" t="e">
        <f>MAX(#REF!,#REF!)</f>
        <v>#REF!</v>
      </c>
      <c r="R145" s="9">
        <f t="shared" si="25"/>
        <v>0</v>
      </c>
      <c r="S145" s="8" t="str">
        <f t="shared" si="29"/>
        <v>Belum Sensus</v>
      </c>
      <c r="T145" s="148"/>
      <c r="U145" s="143" t="e">
        <f>MAX(#REF!,#REF!)</f>
        <v>#REF!</v>
      </c>
      <c r="V145" s="143" t="e">
        <f>MAX(#REF!,#REF!)</f>
        <v>#REF!</v>
      </c>
      <c r="W145" s="9">
        <f t="shared" si="30"/>
        <v>0</v>
      </c>
      <c r="X145" s="8" t="str">
        <f t="shared" si="31"/>
        <v>Belum Sensus</v>
      </c>
      <c r="Y145" s="178"/>
      <c r="Z145" s="143"/>
      <c r="AA145" s="9">
        <f t="shared" si="32"/>
        <v>0</v>
      </c>
      <c r="AB145" s="143"/>
      <c r="AC145" s="9">
        <f t="shared" si="26"/>
        <v>0</v>
      </c>
      <c r="AD145" s="8" t="str">
        <f t="shared" si="33"/>
        <v>Belum Sensus</v>
      </c>
      <c r="AE145" s="178"/>
      <c r="AF145" s="143">
        <v>0</v>
      </c>
      <c r="AG145" s="143">
        <v>0</v>
      </c>
      <c r="AH145" s="9">
        <f t="shared" si="34"/>
        <v>0</v>
      </c>
      <c r="AI145" s="8" t="str">
        <f t="shared" si="35"/>
        <v>Belum Sensus</v>
      </c>
    </row>
    <row r="146" spans="1:35" x14ac:dyDescent="0.2">
      <c r="A146" s="8" t="s">
        <v>1273</v>
      </c>
      <c r="B146" s="8" t="s">
        <v>14</v>
      </c>
      <c r="C146" s="8" t="s">
        <v>144</v>
      </c>
      <c r="D146" s="8" t="s">
        <v>1025</v>
      </c>
      <c r="E146" s="9">
        <v>30.56</v>
      </c>
      <c r="F146" s="8" t="s">
        <v>1740</v>
      </c>
      <c r="G146" s="10">
        <v>4214</v>
      </c>
      <c r="H146" s="132">
        <v>46153</v>
      </c>
      <c r="I146" s="143">
        <f t="array" ref="I146">INDEX([46]perbandingan!$H$24:$H$231,MATCH(1,([46]perbandingan!$E$24:$E$231=$D146)*([46]perbandingan!$E$24:$E$231=$D146),0))</f>
        <v>67</v>
      </c>
      <c r="J146" s="9">
        <f t="array" ref="J146">IFERROR(I146/G146*100,0)</f>
        <v>1.589938300901756</v>
      </c>
      <c r="K146" s="143">
        <f t="array" ref="K146">INDEX([46]perbandingan!$L$24:$L$231,MATCH(1,([46]perbandingan!$E$24:$E$231=$D146)*([46]perbandingan!$E$24:$E$231=$D146),0))</f>
        <v>13</v>
      </c>
      <c r="L146" s="9">
        <f t="shared" si="24"/>
        <v>19.402985074626866</v>
      </c>
      <c r="M146" s="8" t="str">
        <f t="shared" si="27"/>
        <v>Perlu Pengendalian</v>
      </c>
      <c r="N146" s="148"/>
      <c r="O146" s="143" t="e">
        <f>MAX(#REF!,#REF!)</f>
        <v>#REF!</v>
      </c>
      <c r="P146" s="9" t="e">
        <f t="shared" si="28"/>
        <v>#REF!</v>
      </c>
      <c r="Q146" s="143" t="e">
        <f>MAX(#REF!,#REF!)</f>
        <v>#REF!</v>
      </c>
      <c r="R146" s="9">
        <f t="shared" si="25"/>
        <v>0</v>
      </c>
      <c r="S146" s="8" t="str">
        <f t="shared" si="29"/>
        <v>Belum Sensus</v>
      </c>
      <c r="T146" s="148"/>
      <c r="U146" s="143" t="e">
        <f>MAX(#REF!,#REF!)</f>
        <v>#REF!</v>
      </c>
      <c r="V146" s="143" t="e">
        <f>MAX(#REF!,#REF!)</f>
        <v>#REF!</v>
      </c>
      <c r="W146" s="9">
        <f t="shared" si="30"/>
        <v>0</v>
      </c>
      <c r="X146" s="8" t="str">
        <f t="shared" si="31"/>
        <v>Belum Sensus</v>
      </c>
      <c r="Y146" s="178"/>
      <c r="Z146" s="143"/>
      <c r="AA146" s="9">
        <f t="shared" si="32"/>
        <v>0</v>
      </c>
      <c r="AB146" s="143"/>
      <c r="AC146" s="9">
        <f t="shared" si="26"/>
        <v>0</v>
      </c>
      <c r="AD146" s="8" t="str">
        <f t="shared" si="33"/>
        <v>Belum Sensus</v>
      </c>
      <c r="AE146" s="178"/>
      <c r="AF146" s="143">
        <v>0</v>
      </c>
      <c r="AG146" s="143">
        <v>0</v>
      </c>
      <c r="AH146" s="9">
        <f t="shared" si="34"/>
        <v>0</v>
      </c>
      <c r="AI146" s="8" t="str">
        <f t="shared" si="35"/>
        <v>Belum Sensus</v>
      </c>
    </row>
    <row r="147" spans="1:35" x14ac:dyDescent="0.2">
      <c r="A147" s="8" t="s">
        <v>1273</v>
      </c>
      <c r="B147" s="8" t="s">
        <v>14</v>
      </c>
      <c r="C147" s="8" t="s">
        <v>144</v>
      </c>
      <c r="D147" s="8" t="s">
        <v>1027</v>
      </c>
      <c r="E147" s="9">
        <v>29.12</v>
      </c>
      <c r="F147" s="8" t="s">
        <v>1740</v>
      </c>
      <c r="G147" s="10">
        <v>3569</v>
      </c>
      <c r="H147" s="132">
        <v>46153</v>
      </c>
      <c r="I147" s="143">
        <f t="array" ref="I147">INDEX([46]perbandingan!$H$24:$H$231,MATCH(1,([46]perbandingan!$E$24:$E$231=$D147)*([46]perbandingan!$E$24:$E$231=$D147),0))</f>
        <v>67</v>
      </c>
      <c r="J147" s="9">
        <f t="array" ref="J147">IFERROR(I147/G147*100,0)</f>
        <v>1.8772765480526759</v>
      </c>
      <c r="K147" s="143">
        <f t="array" ref="K147">INDEX([46]perbandingan!$L$24:$L$231,MATCH(1,([46]perbandingan!$E$24:$E$231=$D147)*([46]perbandingan!$E$24:$E$231=$D147),0))</f>
        <v>13</v>
      </c>
      <c r="L147" s="9">
        <f t="shared" si="24"/>
        <v>19.402985074626866</v>
      </c>
      <c r="M147" s="8" t="str">
        <f t="shared" si="27"/>
        <v>Perlu Pengendalian</v>
      </c>
      <c r="N147" s="148"/>
      <c r="O147" s="143" t="e">
        <f>MAX(#REF!,#REF!)</f>
        <v>#REF!</v>
      </c>
      <c r="P147" s="9" t="e">
        <f t="shared" si="28"/>
        <v>#REF!</v>
      </c>
      <c r="Q147" s="143" t="e">
        <f>MAX(#REF!,#REF!)</f>
        <v>#REF!</v>
      </c>
      <c r="R147" s="9">
        <f t="shared" si="25"/>
        <v>0</v>
      </c>
      <c r="S147" s="8" t="str">
        <f t="shared" si="29"/>
        <v>Belum Sensus</v>
      </c>
      <c r="T147" s="148"/>
      <c r="U147" s="143" t="e">
        <f>MAX(#REF!,#REF!)</f>
        <v>#REF!</v>
      </c>
      <c r="V147" s="143" t="e">
        <f>MAX(#REF!,#REF!)</f>
        <v>#REF!</v>
      </c>
      <c r="W147" s="9">
        <f t="shared" si="30"/>
        <v>0</v>
      </c>
      <c r="X147" s="8" t="str">
        <f t="shared" si="31"/>
        <v>Belum Sensus</v>
      </c>
      <c r="Y147" s="178">
        <v>46153</v>
      </c>
      <c r="Z147" s="143">
        <v>130</v>
      </c>
      <c r="AA147" s="9">
        <f t="shared" si="32"/>
        <v>3.6424768842813116</v>
      </c>
      <c r="AB147" s="143">
        <v>23</v>
      </c>
      <c r="AC147" s="9">
        <f t="shared" si="26"/>
        <v>17.692307692307693</v>
      </c>
      <c r="AD147" s="8" t="str">
        <f t="shared" si="33"/>
        <v>Perlu Pengendalian</v>
      </c>
      <c r="AE147" s="178"/>
      <c r="AF147" s="143">
        <v>0</v>
      </c>
      <c r="AG147" s="143">
        <v>0</v>
      </c>
      <c r="AH147" s="9">
        <f t="shared" si="34"/>
        <v>0</v>
      </c>
      <c r="AI147" s="8" t="str">
        <f t="shared" si="35"/>
        <v>Belum Sensus</v>
      </c>
    </row>
    <row r="148" spans="1:35" x14ac:dyDescent="0.2">
      <c r="A148" s="8" t="s">
        <v>1273</v>
      </c>
      <c r="B148" s="8" t="s">
        <v>14</v>
      </c>
      <c r="C148" s="8" t="s">
        <v>144</v>
      </c>
      <c r="D148" s="8" t="s">
        <v>1408</v>
      </c>
      <c r="E148" s="9">
        <v>34.669999999999995</v>
      </c>
      <c r="F148" s="8" t="s">
        <v>1740</v>
      </c>
      <c r="G148" s="10">
        <v>4446</v>
      </c>
      <c r="H148" s="132">
        <v>46149</v>
      </c>
      <c r="I148" s="143">
        <f t="array" ref="I148">INDEX([46]perbandingan!$H$24:$H$231,MATCH(1,([46]perbandingan!$E$24:$E$231=$D148)*([46]perbandingan!$E$24:$E$231=$D148),0))</f>
        <v>181</v>
      </c>
      <c r="J148" s="9">
        <f t="array" ref="J148">IFERROR(I148/G148*100,0)</f>
        <v>4.0710751237067031</v>
      </c>
      <c r="K148" s="143">
        <f t="array" ref="K148">INDEX([46]perbandingan!$L$24:$L$231,MATCH(1,([46]perbandingan!$E$24:$E$231=$D148)*([46]perbandingan!$E$24:$E$231=$D148),0))</f>
        <v>27</v>
      </c>
      <c r="L148" s="9">
        <f t="shared" si="24"/>
        <v>14.917127071823206</v>
      </c>
      <c r="M148" s="8" t="str">
        <f t="shared" si="27"/>
        <v>Perlu Pengendalian</v>
      </c>
      <c r="N148" s="148"/>
      <c r="O148" s="143" t="e">
        <f>MAX(#REF!,#REF!)</f>
        <v>#REF!</v>
      </c>
      <c r="P148" s="9" t="e">
        <f t="shared" si="28"/>
        <v>#REF!</v>
      </c>
      <c r="Q148" s="143" t="e">
        <f>MAX(#REF!,#REF!)</f>
        <v>#REF!</v>
      </c>
      <c r="R148" s="9">
        <f t="shared" si="25"/>
        <v>0</v>
      </c>
      <c r="S148" s="8" t="str">
        <f t="shared" si="29"/>
        <v>Belum Sensus</v>
      </c>
      <c r="T148" s="148"/>
      <c r="U148" s="143" t="e">
        <f>MAX(#REF!,#REF!)</f>
        <v>#REF!</v>
      </c>
      <c r="V148" s="143" t="e">
        <f>MAX(#REF!,#REF!)</f>
        <v>#REF!</v>
      </c>
      <c r="W148" s="9">
        <f t="shared" si="30"/>
        <v>0</v>
      </c>
      <c r="X148" s="8" t="str">
        <f t="shared" si="31"/>
        <v>Belum Sensus</v>
      </c>
      <c r="Y148" s="178"/>
      <c r="Z148" s="143"/>
      <c r="AA148" s="9">
        <f t="shared" si="32"/>
        <v>0</v>
      </c>
      <c r="AB148" s="143"/>
      <c r="AC148" s="9">
        <f t="shared" si="26"/>
        <v>0</v>
      </c>
      <c r="AD148" s="8" t="str">
        <f t="shared" si="33"/>
        <v>Belum Sensus</v>
      </c>
      <c r="AE148" s="178"/>
      <c r="AF148" s="143">
        <v>0</v>
      </c>
      <c r="AG148" s="143">
        <v>0</v>
      </c>
      <c r="AH148" s="9">
        <f t="shared" si="34"/>
        <v>0</v>
      </c>
      <c r="AI148" s="8" t="str">
        <f t="shared" si="35"/>
        <v>Belum Sensus</v>
      </c>
    </row>
    <row r="149" spans="1:35" x14ac:dyDescent="0.2">
      <c r="A149" s="8" t="s">
        <v>1273</v>
      </c>
      <c r="B149" s="8" t="s">
        <v>14</v>
      </c>
      <c r="C149" s="8" t="s">
        <v>144</v>
      </c>
      <c r="D149" s="8" t="s">
        <v>1409</v>
      </c>
      <c r="E149" s="9">
        <v>24.77</v>
      </c>
      <c r="F149" s="8" t="s">
        <v>1740</v>
      </c>
      <c r="G149" s="10">
        <v>3305</v>
      </c>
      <c r="H149" s="132">
        <v>46149</v>
      </c>
      <c r="I149" s="143">
        <f t="array" ref="I149">INDEX([46]perbandingan!$H$24:$H$231,MATCH(1,([46]perbandingan!$E$24:$E$231=$D149)*([46]perbandingan!$E$24:$E$231=$D149),0))</f>
        <v>105</v>
      </c>
      <c r="J149" s="9">
        <f t="array" ref="J149">IFERROR(I149/G149*100,0)</f>
        <v>3.1770045385779122</v>
      </c>
      <c r="K149" s="143">
        <f t="array" ref="K149">INDEX([46]perbandingan!$L$24:$L$231,MATCH(1,([46]perbandingan!$E$24:$E$231=$D149)*([46]perbandingan!$E$24:$E$231=$D149),0))</f>
        <v>10</v>
      </c>
      <c r="L149" s="9">
        <f t="shared" si="24"/>
        <v>9.5238095238095237</v>
      </c>
      <c r="M149" s="8" t="str">
        <f t="shared" si="27"/>
        <v>Perlu Pengendalian</v>
      </c>
      <c r="N149" s="148"/>
      <c r="O149" s="143" t="e">
        <f>MAX(#REF!,#REF!)</f>
        <v>#REF!</v>
      </c>
      <c r="P149" s="9" t="e">
        <f t="shared" si="28"/>
        <v>#REF!</v>
      </c>
      <c r="Q149" s="143" t="e">
        <f>MAX(#REF!,#REF!)</f>
        <v>#REF!</v>
      </c>
      <c r="R149" s="9">
        <f t="shared" si="25"/>
        <v>0</v>
      </c>
      <c r="S149" s="8" t="str">
        <f t="shared" si="29"/>
        <v>Belum Sensus</v>
      </c>
      <c r="T149" s="148"/>
      <c r="U149" s="143" t="e">
        <f>MAX(#REF!,#REF!)</f>
        <v>#REF!</v>
      </c>
      <c r="V149" s="143" t="e">
        <f>MAX(#REF!,#REF!)</f>
        <v>#REF!</v>
      </c>
      <c r="W149" s="9">
        <f t="shared" si="30"/>
        <v>0</v>
      </c>
      <c r="X149" s="8" t="str">
        <f t="shared" si="31"/>
        <v>Belum Sensus</v>
      </c>
      <c r="Y149" s="178"/>
      <c r="Z149" s="143"/>
      <c r="AA149" s="9">
        <f t="shared" si="32"/>
        <v>0</v>
      </c>
      <c r="AB149" s="143"/>
      <c r="AC149" s="9">
        <f t="shared" si="26"/>
        <v>0</v>
      </c>
      <c r="AD149" s="8" t="str">
        <f t="shared" si="33"/>
        <v>Belum Sensus</v>
      </c>
      <c r="AE149" s="178"/>
      <c r="AF149" s="143">
        <v>0</v>
      </c>
      <c r="AG149" s="143">
        <v>0</v>
      </c>
      <c r="AH149" s="9">
        <f t="shared" si="34"/>
        <v>0</v>
      </c>
      <c r="AI149" s="8" t="str">
        <f t="shared" si="35"/>
        <v>Belum Sensus</v>
      </c>
    </row>
    <row r="150" spans="1:35" x14ac:dyDescent="0.2">
      <c r="A150" s="8" t="s">
        <v>1273</v>
      </c>
      <c r="B150" s="8" t="s">
        <v>14</v>
      </c>
      <c r="C150" s="8" t="s">
        <v>144</v>
      </c>
      <c r="D150" s="8" t="s">
        <v>1410</v>
      </c>
      <c r="E150" s="9">
        <v>23.88</v>
      </c>
      <c r="F150" s="8" t="s">
        <v>1740</v>
      </c>
      <c r="G150" s="10">
        <v>2719</v>
      </c>
      <c r="H150" s="132">
        <v>46149</v>
      </c>
      <c r="I150" s="143">
        <f t="array" ref="I150">INDEX([46]perbandingan!$H$24:$H$231,MATCH(1,([46]perbandingan!$E$24:$E$231=$D150)*([46]perbandingan!$E$24:$E$231=$D150),0))</f>
        <v>55</v>
      </c>
      <c r="J150" s="9">
        <f t="array" ref="J150">IFERROR(I150/G150*100,0)</f>
        <v>2.0228025009194557</v>
      </c>
      <c r="K150" s="143">
        <f t="array" ref="K150">INDEX([46]perbandingan!$L$24:$L$231,MATCH(1,([46]perbandingan!$E$24:$E$231=$D150)*([46]perbandingan!$E$24:$E$231=$D150),0))</f>
        <v>9</v>
      </c>
      <c r="L150" s="9">
        <f t="shared" si="24"/>
        <v>16.363636363636363</v>
      </c>
      <c r="M150" s="8" t="str">
        <f t="shared" si="27"/>
        <v>Perlu Pengendalian</v>
      </c>
      <c r="N150" s="148"/>
      <c r="O150" s="143" t="e">
        <f>MAX(#REF!,#REF!)</f>
        <v>#REF!</v>
      </c>
      <c r="P150" s="9" t="e">
        <f t="shared" si="28"/>
        <v>#REF!</v>
      </c>
      <c r="Q150" s="143" t="e">
        <f>MAX(#REF!,#REF!)</f>
        <v>#REF!</v>
      </c>
      <c r="R150" s="9">
        <f t="shared" si="25"/>
        <v>0</v>
      </c>
      <c r="S150" s="8" t="str">
        <f t="shared" si="29"/>
        <v>Belum Sensus</v>
      </c>
      <c r="T150" s="148"/>
      <c r="U150" s="143" t="e">
        <f>MAX(#REF!,#REF!)</f>
        <v>#REF!</v>
      </c>
      <c r="V150" s="143" t="e">
        <f>MAX(#REF!,#REF!)</f>
        <v>#REF!</v>
      </c>
      <c r="W150" s="9">
        <f t="shared" si="30"/>
        <v>0</v>
      </c>
      <c r="X150" s="8" t="str">
        <f t="shared" si="31"/>
        <v>Belum Sensus</v>
      </c>
      <c r="Y150" s="178"/>
      <c r="Z150" s="143">
        <v>0</v>
      </c>
      <c r="AA150" s="9">
        <f t="shared" si="32"/>
        <v>0</v>
      </c>
      <c r="AB150" s="143">
        <v>0</v>
      </c>
      <c r="AC150" s="9">
        <f t="shared" si="26"/>
        <v>0</v>
      </c>
      <c r="AD150" s="8" t="str">
        <f t="shared" si="33"/>
        <v>Belum Sensus</v>
      </c>
      <c r="AE150" s="178"/>
      <c r="AF150" s="143">
        <v>0</v>
      </c>
      <c r="AG150" s="143">
        <v>0</v>
      </c>
      <c r="AH150" s="9">
        <f t="shared" si="34"/>
        <v>0</v>
      </c>
      <c r="AI150" s="8" t="str">
        <f t="shared" si="35"/>
        <v>Belum Sensus</v>
      </c>
    </row>
    <row r="151" spans="1:35" x14ac:dyDescent="0.2">
      <c r="A151" s="8" t="s">
        <v>1273</v>
      </c>
      <c r="B151" s="8" t="s">
        <v>14</v>
      </c>
      <c r="C151" s="8" t="s">
        <v>144</v>
      </c>
      <c r="D151" s="8" t="s">
        <v>1411</v>
      </c>
      <c r="E151" s="9">
        <v>29.580000000000002</v>
      </c>
      <c r="F151" s="8" t="s">
        <v>1740</v>
      </c>
      <c r="G151" s="10">
        <v>3816</v>
      </c>
      <c r="H151" s="132">
        <v>46149</v>
      </c>
      <c r="I151" s="143">
        <f t="array" ref="I151">INDEX([46]perbandingan!$H$24:$H$231,MATCH(1,([46]perbandingan!$E$24:$E$231=$D151)*([46]perbandingan!$E$24:$E$231=$D151),0))</f>
        <v>60</v>
      </c>
      <c r="J151" s="9">
        <f t="array" ref="J151">IFERROR(I151/G151*100,0)</f>
        <v>1.5723270440251573</v>
      </c>
      <c r="K151" s="143">
        <f t="array" ref="K151">INDEX([46]perbandingan!$L$24:$L$231,MATCH(1,([46]perbandingan!$E$24:$E$231=$D151)*([46]perbandingan!$E$24:$E$231=$D151),0))</f>
        <v>8</v>
      </c>
      <c r="L151" s="9">
        <f t="shared" si="24"/>
        <v>13.333333333333334</v>
      </c>
      <c r="M151" s="8" t="str">
        <f t="shared" si="27"/>
        <v>Perlu Pengendalian</v>
      </c>
      <c r="N151" s="148"/>
      <c r="O151" s="143" t="e">
        <f>MAX(#REF!,#REF!)</f>
        <v>#REF!</v>
      </c>
      <c r="P151" s="9" t="e">
        <f t="shared" si="28"/>
        <v>#REF!</v>
      </c>
      <c r="Q151" s="143" t="e">
        <f>MAX(#REF!,#REF!)</f>
        <v>#REF!</v>
      </c>
      <c r="R151" s="9">
        <f t="shared" si="25"/>
        <v>0</v>
      </c>
      <c r="S151" s="8" t="str">
        <f t="shared" si="29"/>
        <v>Belum Sensus</v>
      </c>
      <c r="T151" s="148"/>
      <c r="U151" s="143" t="e">
        <f>MAX(#REF!,#REF!)</f>
        <v>#REF!</v>
      </c>
      <c r="V151" s="143" t="e">
        <f>MAX(#REF!,#REF!)</f>
        <v>#REF!</v>
      </c>
      <c r="W151" s="9">
        <f t="shared" si="30"/>
        <v>0</v>
      </c>
      <c r="X151" s="8" t="str">
        <f t="shared" si="31"/>
        <v>Belum Sensus</v>
      </c>
      <c r="Y151" s="178"/>
      <c r="Z151" s="143">
        <v>0</v>
      </c>
      <c r="AA151" s="9">
        <f t="shared" si="32"/>
        <v>0</v>
      </c>
      <c r="AB151" s="143">
        <v>0</v>
      </c>
      <c r="AC151" s="9">
        <f t="shared" si="26"/>
        <v>0</v>
      </c>
      <c r="AD151" s="8" t="str">
        <f t="shared" si="33"/>
        <v>Belum Sensus</v>
      </c>
      <c r="AE151" s="178"/>
      <c r="AF151" s="143">
        <v>0</v>
      </c>
      <c r="AG151" s="143">
        <v>0</v>
      </c>
      <c r="AH151" s="9">
        <f t="shared" si="34"/>
        <v>0</v>
      </c>
      <c r="AI151" s="8" t="str">
        <f t="shared" si="35"/>
        <v>Belum Sensus</v>
      </c>
    </row>
    <row r="152" spans="1:35" x14ac:dyDescent="0.2">
      <c r="A152" s="8" t="s">
        <v>1273</v>
      </c>
      <c r="B152" s="8" t="s">
        <v>14</v>
      </c>
      <c r="C152" s="8" t="s">
        <v>144</v>
      </c>
      <c r="D152" s="8" t="s">
        <v>1412</v>
      </c>
      <c r="E152" s="9">
        <v>31.509999999999998</v>
      </c>
      <c r="F152" s="8" t="s">
        <v>1740</v>
      </c>
      <c r="G152" s="10">
        <v>3684</v>
      </c>
      <c r="H152" s="132">
        <v>46149</v>
      </c>
      <c r="I152" s="143">
        <f t="array" ref="I152">INDEX([46]perbandingan!$H$24:$H$231,MATCH(1,([46]perbandingan!$E$24:$E$231=$D152)*([46]perbandingan!$E$24:$E$231=$D152),0))</f>
        <v>63</v>
      </c>
      <c r="J152" s="9">
        <f t="array" ref="J152">IFERROR(I152/G152*100,0)</f>
        <v>1.7100977198697069</v>
      </c>
      <c r="K152" s="143">
        <f t="array" ref="K152">INDEX([46]perbandingan!$L$24:$L$231,MATCH(1,([46]perbandingan!$E$24:$E$231=$D152)*([46]perbandingan!$E$24:$E$231=$D152),0))</f>
        <v>1</v>
      </c>
      <c r="L152" s="9">
        <f t="shared" si="24"/>
        <v>1.5873015873015872</v>
      </c>
      <c r="M152" s="8" t="str">
        <f t="shared" si="27"/>
        <v>Tidak Perlu Pengendalian</v>
      </c>
      <c r="N152" s="148"/>
      <c r="O152" s="143" t="e">
        <f>MAX(#REF!,#REF!)</f>
        <v>#REF!</v>
      </c>
      <c r="P152" s="9" t="e">
        <f t="shared" si="28"/>
        <v>#REF!</v>
      </c>
      <c r="Q152" s="143" t="e">
        <f>MAX(#REF!,#REF!)</f>
        <v>#REF!</v>
      </c>
      <c r="R152" s="9">
        <f t="shared" si="25"/>
        <v>0</v>
      </c>
      <c r="S152" s="8" t="str">
        <f t="shared" si="29"/>
        <v>Belum Sensus</v>
      </c>
      <c r="T152" s="148"/>
      <c r="U152" s="143" t="e">
        <f>MAX(#REF!,#REF!)</f>
        <v>#REF!</v>
      </c>
      <c r="V152" s="143" t="e">
        <f>MAX(#REF!,#REF!)</f>
        <v>#REF!</v>
      </c>
      <c r="W152" s="9">
        <f t="shared" si="30"/>
        <v>0</v>
      </c>
      <c r="X152" s="8" t="str">
        <f t="shared" si="31"/>
        <v>Belum Sensus</v>
      </c>
      <c r="Y152" s="178"/>
      <c r="Z152" s="143">
        <v>0</v>
      </c>
      <c r="AA152" s="9">
        <f t="shared" si="32"/>
        <v>0</v>
      </c>
      <c r="AB152" s="143">
        <v>0</v>
      </c>
      <c r="AC152" s="9">
        <f t="shared" si="26"/>
        <v>0</v>
      </c>
      <c r="AD152" s="8" t="str">
        <f t="shared" si="33"/>
        <v>Belum Sensus</v>
      </c>
      <c r="AE152" s="178"/>
      <c r="AF152" s="143">
        <v>0</v>
      </c>
      <c r="AG152" s="143">
        <v>0</v>
      </c>
      <c r="AH152" s="9">
        <f t="shared" si="34"/>
        <v>0</v>
      </c>
      <c r="AI152" s="8" t="str">
        <f t="shared" si="35"/>
        <v>Belum Sensus</v>
      </c>
    </row>
    <row r="153" spans="1:35" x14ac:dyDescent="0.2">
      <c r="A153" s="8" t="s">
        <v>1273</v>
      </c>
      <c r="B153" s="8" t="s">
        <v>14</v>
      </c>
      <c r="C153" s="8" t="s">
        <v>144</v>
      </c>
      <c r="D153" s="8" t="s">
        <v>1413</v>
      </c>
      <c r="E153" s="9">
        <v>30.96</v>
      </c>
      <c r="F153" s="8" t="s">
        <v>1740</v>
      </c>
      <c r="G153" s="10">
        <v>3551</v>
      </c>
      <c r="H153" s="132">
        <v>46149</v>
      </c>
      <c r="I153" s="143">
        <f t="array" ref="I153">INDEX([46]perbandingan!$H$24:$H$231,MATCH(1,([46]perbandingan!$E$24:$E$231=$D153)*([46]perbandingan!$E$24:$E$231=$D153),0))</f>
        <v>53</v>
      </c>
      <c r="J153" s="9">
        <f t="array" ref="J153">IFERROR(I153/G153*100,0)</f>
        <v>1.4925373134328357</v>
      </c>
      <c r="K153" s="143">
        <f t="array" ref="K153">INDEX([46]perbandingan!$L$24:$L$231,MATCH(1,([46]perbandingan!$E$24:$E$231=$D153)*([46]perbandingan!$E$24:$E$231=$D153),0))</f>
        <v>3</v>
      </c>
      <c r="L153" s="9">
        <f t="shared" si="24"/>
        <v>5.6603773584905666</v>
      </c>
      <c r="M153" s="8" t="str">
        <f t="shared" si="27"/>
        <v>Perlu Pengendalian</v>
      </c>
      <c r="N153" s="148"/>
      <c r="O153" s="143" t="e">
        <f>MAX(#REF!,#REF!)</f>
        <v>#REF!</v>
      </c>
      <c r="P153" s="9" t="e">
        <f t="shared" si="28"/>
        <v>#REF!</v>
      </c>
      <c r="Q153" s="143" t="e">
        <f>MAX(#REF!,#REF!)</f>
        <v>#REF!</v>
      </c>
      <c r="R153" s="9">
        <f t="shared" si="25"/>
        <v>0</v>
      </c>
      <c r="S153" s="8" t="str">
        <f t="shared" si="29"/>
        <v>Belum Sensus</v>
      </c>
      <c r="T153" s="148"/>
      <c r="U153" s="143" t="e">
        <f>MAX(#REF!,#REF!)</f>
        <v>#REF!</v>
      </c>
      <c r="V153" s="143" t="e">
        <f>MAX(#REF!,#REF!)</f>
        <v>#REF!</v>
      </c>
      <c r="W153" s="9">
        <f t="shared" si="30"/>
        <v>0</v>
      </c>
      <c r="X153" s="8" t="str">
        <f t="shared" si="31"/>
        <v>Belum Sensus</v>
      </c>
      <c r="Y153" s="178">
        <v>46153</v>
      </c>
      <c r="Z153" s="143">
        <v>67</v>
      </c>
      <c r="AA153" s="9">
        <f t="shared" si="32"/>
        <v>1.8867924528301887</v>
      </c>
      <c r="AB153" s="143">
        <v>17</v>
      </c>
      <c r="AC153" s="9">
        <f t="shared" si="26"/>
        <v>25.373134328358208</v>
      </c>
      <c r="AD153" s="8" t="str">
        <f t="shared" si="33"/>
        <v>Perlu Pengendalian</v>
      </c>
      <c r="AE153" s="178"/>
      <c r="AF153" s="143">
        <v>0</v>
      </c>
      <c r="AG153" s="143">
        <v>0</v>
      </c>
      <c r="AH153" s="9">
        <f t="shared" si="34"/>
        <v>0</v>
      </c>
      <c r="AI153" s="8" t="str">
        <f t="shared" si="35"/>
        <v>Belum Sensus</v>
      </c>
    </row>
    <row r="154" spans="1:35" x14ac:dyDescent="0.2">
      <c r="A154" s="8" t="s">
        <v>1273</v>
      </c>
      <c r="B154" s="8" t="s">
        <v>14</v>
      </c>
      <c r="C154" s="8" t="s">
        <v>144</v>
      </c>
      <c r="D154" s="8" t="s">
        <v>1414</v>
      </c>
      <c r="E154" s="9">
        <v>33</v>
      </c>
      <c r="F154" s="8" t="s">
        <v>1740</v>
      </c>
      <c r="G154" s="10">
        <v>3871</v>
      </c>
      <c r="H154" s="132">
        <v>46149</v>
      </c>
      <c r="I154" s="143">
        <f t="array" ref="I154">INDEX([46]perbandingan!$H$24:$H$231,MATCH(1,([46]perbandingan!$E$24:$E$231=$D154)*([46]perbandingan!$E$24:$E$231=$D154),0))</f>
        <v>70</v>
      </c>
      <c r="J154" s="9">
        <f t="array" ref="J154">IFERROR(I154/G154*100,0)</f>
        <v>1.8083182640144666</v>
      </c>
      <c r="K154" s="143">
        <f t="array" ref="K154">INDEX([46]perbandingan!$L$24:$L$231,MATCH(1,([46]perbandingan!$E$24:$E$231=$D154)*([46]perbandingan!$E$24:$E$231=$D154),0))</f>
        <v>7</v>
      </c>
      <c r="L154" s="9">
        <f t="shared" si="24"/>
        <v>10</v>
      </c>
      <c r="M154" s="8" t="str">
        <f t="shared" si="27"/>
        <v>Perlu Pengendalian</v>
      </c>
      <c r="N154" s="148"/>
      <c r="O154" s="143" t="e">
        <f>MAX(#REF!,#REF!)</f>
        <v>#REF!</v>
      </c>
      <c r="P154" s="9" t="e">
        <f t="shared" si="28"/>
        <v>#REF!</v>
      </c>
      <c r="Q154" s="143" t="e">
        <f>MAX(#REF!,#REF!)</f>
        <v>#REF!</v>
      </c>
      <c r="R154" s="9">
        <f t="shared" si="25"/>
        <v>0</v>
      </c>
      <c r="S154" s="8" t="str">
        <f t="shared" si="29"/>
        <v>Belum Sensus</v>
      </c>
      <c r="T154" s="148"/>
      <c r="U154" s="143" t="e">
        <f>MAX(#REF!,#REF!)</f>
        <v>#REF!</v>
      </c>
      <c r="V154" s="143" t="e">
        <f>MAX(#REF!,#REF!)</f>
        <v>#REF!</v>
      </c>
      <c r="W154" s="9">
        <f t="shared" si="30"/>
        <v>0</v>
      </c>
      <c r="X154" s="8" t="str">
        <f t="shared" si="31"/>
        <v>Belum Sensus</v>
      </c>
      <c r="Y154" s="178">
        <v>46153</v>
      </c>
      <c r="Z154" s="143">
        <v>64</v>
      </c>
      <c r="AA154" s="9">
        <f t="shared" si="32"/>
        <v>1.6533195556703695</v>
      </c>
      <c r="AB154" s="143">
        <v>11</v>
      </c>
      <c r="AC154" s="9">
        <f t="shared" si="26"/>
        <v>17.1875</v>
      </c>
      <c r="AD154" s="8" t="str">
        <f t="shared" si="33"/>
        <v>Perlu Pengendalian</v>
      </c>
      <c r="AE154" s="178"/>
      <c r="AF154" s="143">
        <v>0</v>
      </c>
      <c r="AG154" s="143">
        <v>0</v>
      </c>
      <c r="AH154" s="9">
        <f t="shared" si="34"/>
        <v>0</v>
      </c>
      <c r="AI154" s="8" t="str">
        <f t="shared" si="35"/>
        <v>Belum Sensus</v>
      </c>
    </row>
    <row r="155" spans="1:35" x14ac:dyDescent="0.2">
      <c r="A155" s="8" t="s">
        <v>1273</v>
      </c>
      <c r="B155" s="8" t="s">
        <v>14</v>
      </c>
      <c r="C155" s="8" t="s">
        <v>173</v>
      </c>
      <c r="D155" s="8" t="s">
        <v>1415</v>
      </c>
      <c r="E155" s="9">
        <v>30.63</v>
      </c>
      <c r="F155" s="8" t="s">
        <v>1740</v>
      </c>
      <c r="G155" s="10">
        <v>3694</v>
      </c>
      <c r="H155" s="132">
        <v>46149</v>
      </c>
      <c r="I155" s="143">
        <f t="array" ref="I155">INDEX([46]perbandingan!$H$24:$H$231,MATCH(1,([46]perbandingan!$E$24:$E$231=$D155)*([46]perbandingan!$E$24:$E$231=$D155),0))</f>
        <v>393</v>
      </c>
      <c r="J155" s="9">
        <f t="array" ref="J155">IFERROR(I155/G155*100,0)</f>
        <v>10.638873849485652</v>
      </c>
      <c r="K155" s="143">
        <f t="array" ref="K155">INDEX([46]perbandingan!$L$24:$L$231,MATCH(1,([46]perbandingan!$E$24:$E$231=$D155)*([46]perbandingan!$E$24:$E$231=$D155),0))</f>
        <v>25</v>
      </c>
      <c r="L155" s="9">
        <f t="shared" si="24"/>
        <v>6.3613231552162848</v>
      </c>
      <c r="M155" s="8" t="str">
        <f t="shared" si="27"/>
        <v>Perlu Pengendalian</v>
      </c>
      <c r="N155" s="148"/>
      <c r="O155" s="143" t="e">
        <f>MAX(#REF!,#REF!)</f>
        <v>#REF!</v>
      </c>
      <c r="P155" s="9" t="e">
        <f t="shared" si="28"/>
        <v>#REF!</v>
      </c>
      <c r="Q155" s="143" t="e">
        <f>MAX(#REF!,#REF!)</f>
        <v>#REF!</v>
      </c>
      <c r="R155" s="9">
        <f t="shared" si="25"/>
        <v>0</v>
      </c>
      <c r="S155" s="8" t="str">
        <f t="shared" si="29"/>
        <v>Belum Sensus</v>
      </c>
      <c r="T155" s="148"/>
      <c r="U155" s="143" t="e">
        <f>MAX(#REF!,#REF!)</f>
        <v>#REF!</v>
      </c>
      <c r="V155" s="143" t="e">
        <f>MAX(#REF!,#REF!)</f>
        <v>#REF!</v>
      </c>
      <c r="W155" s="9">
        <f t="shared" si="30"/>
        <v>0</v>
      </c>
      <c r="X155" s="8" t="str">
        <f t="shared" si="31"/>
        <v>Belum Sensus</v>
      </c>
      <c r="Y155" s="178"/>
      <c r="Z155" s="143"/>
      <c r="AA155" s="9">
        <f t="shared" si="32"/>
        <v>0</v>
      </c>
      <c r="AB155" s="143"/>
      <c r="AC155" s="9">
        <f t="shared" si="26"/>
        <v>0</v>
      </c>
      <c r="AD155" s="8" t="str">
        <f t="shared" si="33"/>
        <v>Belum Sensus</v>
      </c>
      <c r="AE155" s="178">
        <v>46153</v>
      </c>
      <c r="AF155" s="143">
        <v>430</v>
      </c>
      <c r="AG155" s="143">
        <v>246</v>
      </c>
      <c r="AH155" s="9">
        <f t="shared" si="34"/>
        <v>57.20930232558139</v>
      </c>
      <c r="AI155" s="8" t="str">
        <f t="shared" si="35"/>
        <v>Perlu Pengendalian</v>
      </c>
    </row>
    <row r="156" spans="1:35" x14ac:dyDescent="0.2">
      <c r="A156" s="8" t="s">
        <v>1273</v>
      </c>
      <c r="B156" s="8" t="s">
        <v>14</v>
      </c>
      <c r="C156" s="8" t="s">
        <v>173</v>
      </c>
      <c r="D156" s="8" t="s">
        <v>1028</v>
      </c>
      <c r="E156" s="9">
        <v>31.46</v>
      </c>
      <c r="F156" s="8" t="s">
        <v>1740</v>
      </c>
      <c r="G156" s="10">
        <v>4005</v>
      </c>
      <c r="H156" s="132">
        <v>46149</v>
      </c>
      <c r="I156" s="143">
        <f t="array" ref="I156">INDEX([46]perbandingan!$H$24:$H$231,MATCH(1,([46]perbandingan!$E$24:$E$231=$D156)*([46]perbandingan!$E$24:$E$231=$D156),0))</f>
        <v>372</v>
      </c>
      <c r="J156" s="9">
        <f t="array" ref="J156">IFERROR(I156/G156*100,0)</f>
        <v>9.2883895131086138</v>
      </c>
      <c r="K156" s="143">
        <f t="array" ref="K156">INDEX([46]perbandingan!$L$24:$L$231,MATCH(1,([46]perbandingan!$E$24:$E$231=$D156)*([46]perbandingan!$E$24:$E$231=$D156),0))</f>
        <v>29</v>
      </c>
      <c r="L156" s="9">
        <f t="shared" si="24"/>
        <v>7.795698924731183</v>
      </c>
      <c r="M156" s="8" t="str">
        <f t="shared" si="27"/>
        <v>Perlu Pengendalian</v>
      </c>
      <c r="N156" s="148"/>
      <c r="O156" s="143" t="e">
        <f>MAX(#REF!,#REF!)</f>
        <v>#REF!</v>
      </c>
      <c r="P156" s="9" t="e">
        <f t="shared" si="28"/>
        <v>#REF!</v>
      </c>
      <c r="Q156" s="143" t="e">
        <f>MAX(#REF!,#REF!)</f>
        <v>#REF!</v>
      </c>
      <c r="R156" s="9">
        <f t="shared" si="25"/>
        <v>0</v>
      </c>
      <c r="S156" s="8" t="str">
        <f t="shared" si="29"/>
        <v>Belum Sensus</v>
      </c>
      <c r="T156" s="148"/>
      <c r="U156" s="143" t="e">
        <f>MAX(#REF!,#REF!)</f>
        <v>#REF!</v>
      </c>
      <c r="V156" s="143" t="e">
        <f>MAX(#REF!,#REF!)</f>
        <v>#REF!</v>
      </c>
      <c r="W156" s="9">
        <f t="shared" si="30"/>
        <v>0</v>
      </c>
      <c r="X156" s="8" t="str">
        <f t="shared" si="31"/>
        <v>Belum Sensus</v>
      </c>
      <c r="Y156" s="178"/>
      <c r="Z156" s="143"/>
      <c r="AA156" s="9">
        <f t="shared" si="32"/>
        <v>0</v>
      </c>
      <c r="AB156" s="143"/>
      <c r="AC156" s="9">
        <f t="shared" si="26"/>
        <v>0</v>
      </c>
      <c r="AD156" s="8" t="str">
        <f t="shared" si="33"/>
        <v>Belum Sensus</v>
      </c>
      <c r="AE156" s="178">
        <v>46153</v>
      </c>
      <c r="AF156" s="143">
        <v>824</v>
      </c>
      <c r="AG156" s="143">
        <v>378</v>
      </c>
      <c r="AH156" s="9">
        <f t="shared" si="34"/>
        <v>45.873786407766993</v>
      </c>
      <c r="AI156" s="8" t="str">
        <f t="shared" si="35"/>
        <v>Perlu Pengendalian</v>
      </c>
    </row>
    <row r="157" spans="1:35" x14ac:dyDescent="0.2">
      <c r="A157" s="8" t="s">
        <v>1273</v>
      </c>
      <c r="B157" s="8" t="s">
        <v>14</v>
      </c>
      <c r="C157" s="8" t="s">
        <v>173</v>
      </c>
      <c r="D157" s="8" t="s">
        <v>1011</v>
      </c>
      <c r="E157" s="9">
        <v>27.95</v>
      </c>
      <c r="F157" s="8" t="s">
        <v>1740</v>
      </c>
      <c r="G157" s="10">
        <v>3496</v>
      </c>
      <c r="H157" s="132">
        <v>46149</v>
      </c>
      <c r="I157" s="143">
        <f t="array" ref="I157">INDEX([46]perbandingan!$H$24:$H$231,MATCH(1,([46]perbandingan!$E$24:$E$231=$D157)*([46]perbandingan!$E$24:$E$231=$D157),0))</f>
        <v>333</v>
      </c>
      <c r="J157" s="9">
        <f t="array" ref="J157">IFERROR(I157/G157*100,0)</f>
        <v>9.5251716247139591</v>
      </c>
      <c r="K157" s="143">
        <f t="array" ref="K157">INDEX([46]perbandingan!$L$24:$L$231,MATCH(1,([46]perbandingan!$E$24:$E$231=$D157)*([46]perbandingan!$E$24:$E$231=$D157),0))</f>
        <v>42</v>
      </c>
      <c r="L157" s="9">
        <f t="shared" si="24"/>
        <v>12.612612612612612</v>
      </c>
      <c r="M157" s="8" t="str">
        <f t="shared" si="27"/>
        <v>Perlu Pengendalian</v>
      </c>
      <c r="N157" s="148"/>
      <c r="O157" s="143" t="e">
        <f>MAX(#REF!,#REF!)</f>
        <v>#REF!</v>
      </c>
      <c r="P157" s="9" t="e">
        <f t="shared" si="28"/>
        <v>#REF!</v>
      </c>
      <c r="Q157" s="143" t="e">
        <f>MAX(#REF!,#REF!)</f>
        <v>#REF!</v>
      </c>
      <c r="R157" s="9">
        <f t="shared" si="25"/>
        <v>0</v>
      </c>
      <c r="S157" s="8" t="str">
        <f t="shared" si="29"/>
        <v>Belum Sensus</v>
      </c>
      <c r="T157" s="148"/>
      <c r="U157" s="143" t="e">
        <f>MAX(#REF!,#REF!)</f>
        <v>#REF!</v>
      </c>
      <c r="V157" s="143" t="e">
        <f>MAX(#REF!,#REF!)</f>
        <v>#REF!</v>
      </c>
      <c r="W157" s="9">
        <f t="shared" si="30"/>
        <v>0</v>
      </c>
      <c r="X157" s="8" t="str">
        <f t="shared" si="31"/>
        <v>Belum Sensus</v>
      </c>
      <c r="Y157" s="178"/>
      <c r="Z157" s="143">
        <v>0</v>
      </c>
      <c r="AA157" s="9">
        <f t="shared" si="32"/>
        <v>0</v>
      </c>
      <c r="AB157" s="143">
        <v>0</v>
      </c>
      <c r="AC157" s="9">
        <f t="shared" si="26"/>
        <v>0</v>
      </c>
      <c r="AD157" s="8" t="str">
        <f t="shared" si="33"/>
        <v>Belum Sensus</v>
      </c>
      <c r="AE157" s="178"/>
      <c r="AF157" s="143"/>
      <c r="AG157" s="143"/>
      <c r="AH157" s="9">
        <f t="shared" si="34"/>
        <v>0</v>
      </c>
      <c r="AI157" s="8" t="str">
        <f t="shared" si="35"/>
        <v>Belum Sensus</v>
      </c>
    </row>
    <row r="158" spans="1:35" x14ac:dyDescent="0.2">
      <c r="A158" s="8" t="s">
        <v>1273</v>
      </c>
      <c r="B158" s="8" t="s">
        <v>14</v>
      </c>
      <c r="C158" s="8" t="s">
        <v>173</v>
      </c>
      <c r="D158" s="8" t="s">
        <v>1004</v>
      </c>
      <c r="E158" s="9">
        <v>32.81</v>
      </c>
      <c r="F158" s="8" t="s">
        <v>1740</v>
      </c>
      <c r="G158" s="10">
        <v>4374</v>
      </c>
      <c r="H158" s="132">
        <v>46149</v>
      </c>
      <c r="I158" s="143">
        <f t="array" ref="I158">INDEX([46]perbandingan!$H$24:$H$231,MATCH(1,([46]perbandingan!$E$24:$E$231=$D158)*([46]perbandingan!$E$24:$E$231=$D158),0))</f>
        <v>312</v>
      </c>
      <c r="J158" s="9">
        <f t="array" ref="J158">IFERROR(I158/G158*100,0)</f>
        <v>7.1330589849108366</v>
      </c>
      <c r="K158" s="143">
        <f t="array" ref="K158">INDEX([46]perbandingan!$L$24:$L$231,MATCH(1,([46]perbandingan!$E$24:$E$231=$D158)*([46]perbandingan!$E$24:$E$231=$D158),0))</f>
        <v>83</v>
      </c>
      <c r="L158" s="9">
        <f t="shared" si="24"/>
        <v>26.602564102564102</v>
      </c>
      <c r="M158" s="8" t="str">
        <f t="shared" si="27"/>
        <v>Perlu Pengendalian</v>
      </c>
      <c r="N158" s="148"/>
      <c r="O158" s="143" t="e">
        <f>MAX(#REF!,#REF!)</f>
        <v>#REF!</v>
      </c>
      <c r="P158" s="9" t="e">
        <f t="shared" si="28"/>
        <v>#REF!</v>
      </c>
      <c r="Q158" s="143" t="e">
        <f>MAX(#REF!,#REF!)</f>
        <v>#REF!</v>
      </c>
      <c r="R158" s="9">
        <f t="shared" si="25"/>
        <v>0</v>
      </c>
      <c r="S158" s="8" t="str">
        <f t="shared" si="29"/>
        <v>Belum Sensus</v>
      </c>
      <c r="T158" s="148"/>
      <c r="U158" s="143" t="e">
        <f>MAX(#REF!,#REF!)</f>
        <v>#REF!</v>
      </c>
      <c r="V158" s="143" t="e">
        <f>MAX(#REF!,#REF!)</f>
        <v>#REF!</v>
      </c>
      <c r="W158" s="9">
        <f t="shared" si="30"/>
        <v>0</v>
      </c>
      <c r="X158" s="8" t="str">
        <f t="shared" si="31"/>
        <v>Belum Sensus</v>
      </c>
      <c r="Y158" s="178"/>
      <c r="Z158" s="143">
        <v>0</v>
      </c>
      <c r="AA158" s="9">
        <f t="shared" si="32"/>
        <v>0</v>
      </c>
      <c r="AB158" s="143">
        <v>0</v>
      </c>
      <c r="AC158" s="9">
        <f t="shared" si="26"/>
        <v>0</v>
      </c>
      <c r="AD158" s="8" t="str">
        <f t="shared" si="33"/>
        <v>Belum Sensus</v>
      </c>
      <c r="AE158" s="178"/>
      <c r="AF158" s="143"/>
      <c r="AG158" s="143"/>
      <c r="AH158" s="9">
        <f t="shared" si="34"/>
        <v>0</v>
      </c>
      <c r="AI158" s="8" t="str">
        <f t="shared" si="35"/>
        <v>Belum Sensus</v>
      </c>
    </row>
    <row r="159" spans="1:35" x14ac:dyDescent="0.2">
      <c r="A159" s="8" t="s">
        <v>1273</v>
      </c>
      <c r="B159" s="8" t="s">
        <v>14</v>
      </c>
      <c r="C159" s="8" t="s">
        <v>173</v>
      </c>
      <c r="D159" s="8" t="s">
        <v>1416</v>
      </c>
      <c r="E159" s="9">
        <v>26.58</v>
      </c>
      <c r="F159" s="8" t="s">
        <v>1740</v>
      </c>
      <c r="G159" s="10">
        <v>2621</v>
      </c>
      <c r="H159" s="132">
        <v>46149</v>
      </c>
      <c r="I159" s="143">
        <f t="array" ref="I159">INDEX([46]perbandingan!$H$24:$H$231,MATCH(1,([46]perbandingan!$E$24:$E$231=$D159)*([46]perbandingan!$E$24:$E$231=$D159),0))</f>
        <v>307</v>
      </c>
      <c r="J159" s="9">
        <f t="array" ref="J159">IFERROR(I159/G159*100,0)</f>
        <v>11.713086608164822</v>
      </c>
      <c r="K159" s="143">
        <f t="array" ref="K159">INDEX([46]perbandingan!$L$24:$L$231,MATCH(1,([46]perbandingan!$E$24:$E$231=$D159)*([46]perbandingan!$E$24:$E$231=$D159),0))</f>
        <v>50</v>
      </c>
      <c r="L159" s="9">
        <f t="shared" si="24"/>
        <v>16.286644951140065</v>
      </c>
      <c r="M159" s="8" t="str">
        <f t="shared" si="27"/>
        <v>Perlu Pengendalian</v>
      </c>
      <c r="N159" s="148"/>
      <c r="O159" s="143" t="e">
        <f>MAX(#REF!,#REF!)</f>
        <v>#REF!</v>
      </c>
      <c r="P159" s="9" t="e">
        <f t="shared" si="28"/>
        <v>#REF!</v>
      </c>
      <c r="Q159" s="143" t="e">
        <f>MAX(#REF!,#REF!)</f>
        <v>#REF!</v>
      </c>
      <c r="R159" s="9">
        <f t="shared" si="25"/>
        <v>0</v>
      </c>
      <c r="S159" s="8" t="str">
        <f t="shared" si="29"/>
        <v>Belum Sensus</v>
      </c>
      <c r="T159" s="148"/>
      <c r="U159" s="143" t="e">
        <f>MAX(#REF!,#REF!)</f>
        <v>#REF!</v>
      </c>
      <c r="V159" s="143" t="e">
        <f>MAX(#REF!,#REF!)</f>
        <v>#REF!</v>
      </c>
      <c r="W159" s="9">
        <f t="shared" si="30"/>
        <v>0</v>
      </c>
      <c r="X159" s="8" t="str">
        <f t="shared" si="31"/>
        <v>Belum Sensus</v>
      </c>
      <c r="Y159" s="178">
        <v>46153</v>
      </c>
      <c r="Z159" s="143">
        <v>97</v>
      </c>
      <c r="AA159" s="9">
        <f t="shared" si="32"/>
        <v>3.7008775276611976</v>
      </c>
      <c r="AB159" s="143">
        <v>31</v>
      </c>
      <c r="AC159" s="9">
        <f t="shared" si="26"/>
        <v>31.958762886597935</v>
      </c>
      <c r="AD159" s="8" t="str">
        <f t="shared" si="33"/>
        <v>Perlu Pengendalian</v>
      </c>
      <c r="AE159" s="178"/>
      <c r="AF159" s="143">
        <v>0</v>
      </c>
      <c r="AG159" s="143">
        <v>0</v>
      </c>
      <c r="AH159" s="9">
        <f t="shared" si="34"/>
        <v>0</v>
      </c>
      <c r="AI159" s="8" t="str">
        <f t="shared" si="35"/>
        <v>Belum Sensus</v>
      </c>
    </row>
    <row r="160" spans="1:35" x14ac:dyDescent="0.2">
      <c r="A160" s="8" t="s">
        <v>1273</v>
      </c>
      <c r="B160" s="8" t="s">
        <v>14</v>
      </c>
      <c r="C160" s="8" t="s">
        <v>173</v>
      </c>
      <c r="D160" s="8" t="s">
        <v>1417</v>
      </c>
      <c r="E160" s="9">
        <v>26.76</v>
      </c>
      <c r="F160" s="8" t="s">
        <v>1740</v>
      </c>
      <c r="G160" s="10">
        <v>3151</v>
      </c>
      <c r="H160" s="132">
        <v>46149</v>
      </c>
      <c r="I160" s="143">
        <f t="array" ref="I160">INDEX([46]perbandingan!$H$24:$H$231,MATCH(1,([46]perbandingan!$E$24:$E$231=$D160)*([46]perbandingan!$E$24:$E$231=$D160),0))</f>
        <v>315</v>
      </c>
      <c r="J160" s="9">
        <f t="array" ref="J160">IFERROR(I160/G160*100,0)</f>
        <v>9.9968264043160904</v>
      </c>
      <c r="K160" s="143">
        <f t="array" ref="K160">INDEX([46]perbandingan!$L$24:$L$231,MATCH(1,([46]perbandingan!$E$24:$E$231=$D160)*([46]perbandingan!$E$24:$E$231=$D160),0))</f>
        <v>31</v>
      </c>
      <c r="L160" s="9">
        <f t="shared" si="24"/>
        <v>9.8412698412698418</v>
      </c>
      <c r="M160" s="8" t="str">
        <f t="shared" si="27"/>
        <v>Perlu Pengendalian</v>
      </c>
      <c r="N160" s="148"/>
      <c r="O160" s="143" t="e">
        <f>MAX(#REF!,#REF!)</f>
        <v>#REF!</v>
      </c>
      <c r="P160" s="9" t="e">
        <f t="shared" si="28"/>
        <v>#REF!</v>
      </c>
      <c r="Q160" s="143" t="e">
        <f>MAX(#REF!,#REF!)</f>
        <v>#REF!</v>
      </c>
      <c r="R160" s="9">
        <f t="shared" si="25"/>
        <v>0</v>
      </c>
      <c r="S160" s="8" t="str">
        <f t="shared" si="29"/>
        <v>Belum Sensus</v>
      </c>
      <c r="T160" s="148"/>
      <c r="U160" s="143" t="e">
        <f>MAX(#REF!,#REF!)</f>
        <v>#REF!</v>
      </c>
      <c r="V160" s="143" t="e">
        <f>MAX(#REF!,#REF!)</f>
        <v>#REF!</v>
      </c>
      <c r="W160" s="9">
        <f t="shared" si="30"/>
        <v>0</v>
      </c>
      <c r="X160" s="8" t="str">
        <f t="shared" si="31"/>
        <v>Belum Sensus</v>
      </c>
      <c r="Y160" s="178">
        <v>46153</v>
      </c>
      <c r="Z160" s="143">
        <v>56</v>
      </c>
      <c r="AA160" s="9">
        <f t="shared" si="32"/>
        <v>1.7772135829895273</v>
      </c>
      <c r="AB160" s="143">
        <v>8</v>
      </c>
      <c r="AC160" s="9">
        <f t="shared" si="26"/>
        <v>14.285714285714285</v>
      </c>
      <c r="AD160" s="8" t="str">
        <f t="shared" si="33"/>
        <v>Perlu Pengendalian</v>
      </c>
      <c r="AE160" s="178">
        <v>46153</v>
      </c>
      <c r="AF160" s="143">
        <v>623</v>
      </c>
      <c r="AG160" s="143">
        <v>137</v>
      </c>
      <c r="AH160" s="9">
        <f t="shared" si="34"/>
        <v>21.990369181380416</v>
      </c>
      <c r="AI160" s="8" t="str">
        <f t="shared" si="35"/>
        <v>Perlu Pengendalian</v>
      </c>
    </row>
    <row r="161" spans="1:35" x14ac:dyDescent="0.2">
      <c r="A161" s="8" t="s">
        <v>1273</v>
      </c>
      <c r="B161" s="8" t="s">
        <v>14</v>
      </c>
      <c r="C161" s="8" t="s">
        <v>173</v>
      </c>
      <c r="D161" s="8" t="s">
        <v>1418</v>
      </c>
      <c r="E161" s="9">
        <v>27.3</v>
      </c>
      <c r="F161" s="8" t="s">
        <v>1740</v>
      </c>
      <c r="G161" s="10">
        <v>2483</v>
      </c>
      <c r="H161" s="132">
        <v>46149</v>
      </c>
      <c r="I161" s="143">
        <f t="array" ref="I161">INDEX([46]perbandingan!$H$24:$H$231,MATCH(1,([46]perbandingan!$E$24:$E$231=$D161)*([46]perbandingan!$E$24:$E$231=$D161),0))</f>
        <v>413</v>
      </c>
      <c r="J161" s="9">
        <f t="array" ref="J161">IFERROR(I161/G161*100,0)</f>
        <v>16.633105114780509</v>
      </c>
      <c r="K161" s="143">
        <f t="array" ref="K161">INDEX([46]perbandingan!$L$24:$L$231,MATCH(1,([46]perbandingan!$E$24:$E$231=$D161)*([46]perbandingan!$E$24:$E$231=$D161),0))</f>
        <v>167</v>
      </c>
      <c r="L161" s="9">
        <f t="shared" si="24"/>
        <v>40.435835351089587</v>
      </c>
      <c r="M161" s="8" t="str">
        <f t="shared" si="27"/>
        <v>Perlu Pengendalian</v>
      </c>
      <c r="N161" s="148"/>
      <c r="O161" s="143" t="e">
        <f>MAX(#REF!,#REF!)</f>
        <v>#REF!</v>
      </c>
      <c r="P161" s="9" t="e">
        <f t="shared" si="28"/>
        <v>#REF!</v>
      </c>
      <c r="Q161" s="143" t="e">
        <f>MAX(#REF!,#REF!)</f>
        <v>#REF!</v>
      </c>
      <c r="R161" s="9">
        <f t="shared" si="25"/>
        <v>0</v>
      </c>
      <c r="S161" s="8" t="str">
        <f t="shared" si="29"/>
        <v>Belum Sensus</v>
      </c>
      <c r="T161" s="148"/>
      <c r="U161" s="143" t="e">
        <f>MAX(#REF!,#REF!)</f>
        <v>#REF!</v>
      </c>
      <c r="V161" s="143" t="e">
        <f>MAX(#REF!,#REF!)</f>
        <v>#REF!</v>
      </c>
      <c r="W161" s="9">
        <f t="shared" si="30"/>
        <v>0</v>
      </c>
      <c r="X161" s="8" t="str">
        <f t="shared" si="31"/>
        <v>Belum Sensus</v>
      </c>
      <c r="Y161" s="178">
        <v>46153</v>
      </c>
      <c r="Z161" s="143">
        <v>100</v>
      </c>
      <c r="AA161" s="9">
        <f t="shared" si="32"/>
        <v>4.0273862263391056</v>
      </c>
      <c r="AB161" s="143">
        <v>18</v>
      </c>
      <c r="AC161" s="9">
        <f t="shared" si="26"/>
        <v>18</v>
      </c>
      <c r="AD161" s="8" t="str">
        <f t="shared" si="33"/>
        <v>Perlu Pengendalian</v>
      </c>
      <c r="AE161" s="178">
        <v>46153</v>
      </c>
      <c r="AF161" s="143">
        <v>788</v>
      </c>
      <c r="AG161" s="143">
        <v>155</v>
      </c>
      <c r="AH161" s="9">
        <f t="shared" si="34"/>
        <v>19.670050761421322</v>
      </c>
      <c r="AI161" s="8" t="str">
        <f t="shared" si="35"/>
        <v>Perlu Pengendalian</v>
      </c>
    </row>
    <row r="162" spans="1:35" x14ac:dyDescent="0.2">
      <c r="A162" s="8" t="s">
        <v>1273</v>
      </c>
      <c r="B162" s="8" t="s">
        <v>14</v>
      </c>
      <c r="C162" s="8" t="s">
        <v>173</v>
      </c>
      <c r="D162" s="8" t="s">
        <v>1419</v>
      </c>
      <c r="E162" s="9">
        <v>26.11</v>
      </c>
      <c r="F162" s="8" t="s">
        <v>1740</v>
      </c>
      <c r="G162" s="10">
        <v>2997</v>
      </c>
      <c r="H162" s="132">
        <v>46149</v>
      </c>
      <c r="I162" s="143">
        <f t="array" ref="I162">INDEX([46]perbandingan!$H$24:$H$231,MATCH(1,([46]perbandingan!$E$24:$E$231=$D162)*([46]perbandingan!$E$24:$E$231=$D162),0))</f>
        <v>324</v>
      </c>
      <c r="J162" s="9">
        <f t="array" ref="J162">IFERROR(I162/G162*100,0)</f>
        <v>10.810810810810811</v>
      </c>
      <c r="K162" s="143">
        <f t="array" ref="K162">INDEX([46]perbandingan!$L$24:$L$231,MATCH(1,([46]perbandingan!$E$24:$E$231=$D162)*([46]perbandingan!$E$24:$E$231=$D162),0))</f>
        <v>42</v>
      </c>
      <c r="L162" s="9">
        <f t="shared" si="24"/>
        <v>12.962962962962962</v>
      </c>
      <c r="M162" s="8" t="str">
        <f t="shared" si="27"/>
        <v>Perlu Pengendalian</v>
      </c>
      <c r="N162" s="148"/>
      <c r="O162" s="143" t="e">
        <f>MAX(#REF!,#REF!)</f>
        <v>#REF!</v>
      </c>
      <c r="P162" s="9" t="e">
        <f t="shared" si="28"/>
        <v>#REF!</v>
      </c>
      <c r="Q162" s="143" t="e">
        <f>MAX(#REF!,#REF!)</f>
        <v>#REF!</v>
      </c>
      <c r="R162" s="9">
        <f t="shared" si="25"/>
        <v>0</v>
      </c>
      <c r="S162" s="8" t="str">
        <f t="shared" si="29"/>
        <v>Belum Sensus</v>
      </c>
      <c r="T162" s="148"/>
      <c r="U162" s="143" t="e">
        <f>MAX(#REF!,#REF!)</f>
        <v>#REF!</v>
      </c>
      <c r="V162" s="143" t="e">
        <f>MAX(#REF!,#REF!)</f>
        <v>#REF!</v>
      </c>
      <c r="W162" s="9">
        <f t="shared" si="30"/>
        <v>0</v>
      </c>
      <c r="X162" s="8" t="str">
        <f t="shared" si="31"/>
        <v>Belum Sensus</v>
      </c>
      <c r="Y162" s="178">
        <v>46153</v>
      </c>
      <c r="Z162" s="143">
        <v>123</v>
      </c>
      <c r="AA162" s="9">
        <f t="shared" si="32"/>
        <v>4.1041041041041035</v>
      </c>
      <c r="AB162" s="143">
        <v>15</v>
      </c>
      <c r="AC162" s="9">
        <f t="shared" si="26"/>
        <v>12.195121951219512</v>
      </c>
      <c r="AD162" s="8" t="str">
        <f t="shared" si="33"/>
        <v>Perlu Pengendalian</v>
      </c>
      <c r="AE162" s="178">
        <v>46153</v>
      </c>
      <c r="AF162" s="143">
        <v>87</v>
      </c>
      <c r="AG162" s="143">
        <v>12</v>
      </c>
      <c r="AH162" s="9">
        <f t="shared" si="34"/>
        <v>13.793103448275861</v>
      </c>
      <c r="AI162" s="8" t="str">
        <f t="shared" si="35"/>
        <v>Perlu Pengendalian</v>
      </c>
    </row>
    <row r="163" spans="1:35" x14ac:dyDescent="0.2">
      <c r="A163" s="8" t="s">
        <v>1273</v>
      </c>
      <c r="B163" s="8" t="s">
        <v>14</v>
      </c>
      <c r="C163" s="8" t="s">
        <v>173</v>
      </c>
      <c r="D163" s="8" t="s">
        <v>1420</v>
      </c>
      <c r="E163" s="9">
        <v>28.77</v>
      </c>
      <c r="F163" s="8" t="s">
        <v>1740</v>
      </c>
      <c r="G163" s="10">
        <v>3347</v>
      </c>
      <c r="H163" s="132">
        <v>46149</v>
      </c>
      <c r="I163" s="143">
        <f t="array" ref="I163">INDEX([46]perbandingan!$H$24:$H$231,MATCH(1,([46]perbandingan!$E$24:$E$231=$D163)*([46]perbandingan!$E$24:$E$231=$D163),0))</f>
        <v>329</v>
      </c>
      <c r="J163" s="9">
        <f t="array" ref="J163">IFERROR(I163/G163*100,0)</f>
        <v>9.8296982372273671</v>
      </c>
      <c r="K163" s="143">
        <f t="array" ref="K163">INDEX([46]perbandingan!$L$24:$L$231,MATCH(1,([46]perbandingan!$E$24:$E$231=$D163)*([46]perbandingan!$E$24:$E$231=$D163),0))</f>
        <v>83</v>
      </c>
      <c r="L163" s="9">
        <f t="shared" si="24"/>
        <v>25.227963525835868</v>
      </c>
      <c r="M163" s="8" t="str">
        <f t="shared" si="27"/>
        <v>Perlu Pengendalian</v>
      </c>
      <c r="N163" s="148"/>
      <c r="O163" s="143" t="e">
        <f>MAX(#REF!,#REF!)</f>
        <v>#REF!</v>
      </c>
      <c r="P163" s="9" t="e">
        <f t="shared" si="28"/>
        <v>#REF!</v>
      </c>
      <c r="Q163" s="143" t="e">
        <f>MAX(#REF!,#REF!)</f>
        <v>#REF!</v>
      </c>
      <c r="R163" s="9">
        <f t="shared" si="25"/>
        <v>0</v>
      </c>
      <c r="S163" s="8" t="str">
        <f t="shared" si="29"/>
        <v>Belum Sensus</v>
      </c>
      <c r="T163" s="148"/>
      <c r="U163" s="143" t="e">
        <f>MAX(#REF!,#REF!)</f>
        <v>#REF!</v>
      </c>
      <c r="V163" s="143" t="e">
        <f>MAX(#REF!,#REF!)</f>
        <v>#REF!</v>
      </c>
      <c r="W163" s="9">
        <f t="shared" si="30"/>
        <v>0</v>
      </c>
      <c r="X163" s="8" t="str">
        <f t="shared" si="31"/>
        <v>Belum Sensus</v>
      </c>
      <c r="Y163" s="178">
        <v>46153</v>
      </c>
      <c r="Z163" s="143">
        <v>67</v>
      </c>
      <c r="AA163" s="9">
        <f t="shared" si="32"/>
        <v>2.001792650134449</v>
      </c>
      <c r="AB163" s="143">
        <v>18</v>
      </c>
      <c r="AC163" s="9">
        <f t="shared" si="26"/>
        <v>26.865671641791046</v>
      </c>
      <c r="AD163" s="8" t="str">
        <f t="shared" si="33"/>
        <v>Perlu Pengendalian</v>
      </c>
      <c r="AE163" s="178">
        <v>46153</v>
      </c>
      <c r="AF163" s="143">
        <v>750</v>
      </c>
      <c r="AG163" s="143">
        <v>419</v>
      </c>
      <c r="AH163" s="9">
        <f t="shared" si="34"/>
        <v>55.866666666666667</v>
      </c>
      <c r="AI163" s="8" t="str">
        <f t="shared" si="35"/>
        <v>Perlu Pengendalian</v>
      </c>
    </row>
    <row r="164" spans="1:35" x14ac:dyDescent="0.2">
      <c r="A164" s="8" t="s">
        <v>1273</v>
      </c>
      <c r="B164" s="8" t="s">
        <v>14</v>
      </c>
      <c r="C164" s="8" t="s">
        <v>173</v>
      </c>
      <c r="D164" s="8" t="s">
        <v>1421</v>
      </c>
      <c r="E164" s="9">
        <v>26.52</v>
      </c>
      <c r="F164" s="8" t="s">
        <v>1740</v>
      </c>
      <c r="G164" s="10">
        <v>3508</v>
      </c>
      <c r="H164" s="132">
        <v>46149</v>
      </c>
      <c r="I164" s="143">
        <f t="array" ref="I164">INDEX([46]perbandingan!$H$24:$H$231,MATCH(1,([46]perbandingan!$E$24:$E$231=$D164)*([46]perbandingan!$E$24:$E$231=$D164),0))</f>
        <v>313</v>
      </c>
      <c r="J164" s="9">
        <f t="array" ref="J164">IFERROR(I164/G164*100,0)</f>
        <v>8.9224629418472059</v>
      </c>
      <c r="K164" s="143">
        <f t="array" ref="K164">INDEX([46]perbandingan!$L$24:$L$231,MATCH(1,([46]perbandingan!$E$24:$E$231=$D164)*([46]perbandingan!$E$24:$E$231=$D164),0))</f>
        <v>24</v>
      </c>
      <c r="L164" s="9">
        <f t="shared" si="24"/>
        <v>7.6677316293929714</v>
      </c>
      <c r="M164" s="8" t="str">
        <f t="shared" si="27"/>
        <v>Perlu Pengendalian</v>
      </c>
      <c r="N164" s="148"/>
      <c r="O164" s="143" t="e">
        <f>MAX(#REF!,#REF!)</f>
        <v>#REF!</v>
      </c>
      <c r="P164" s="9" t="e">
        <f t="shared" si="28"/>
        <v>#REF!</v>
      </c>
      <c r="Q164" s="143" t="e">
        <f>MAX(#REF!,#REF!)</f>
        <v>#REF!</v>
      </c>
      <c r="R164" s="9">
        <f t="shared" si="25"/>
        <v>0</v>
      </c>
      <c r="S164" s="8" t="str">
        <f t="shared" si="29"/>
        <v>Belum Sensus</v>
      </c>
      <c r="T164" s="148"/>
      <c r="U164" s="143" t="e">
        <f>MAX(#REF!,#REF!)</f>
        <v>#REF!</v>
      </c>
      <c r="V164" s="143" t="e">
        <f>MAX(#REF!,#REF!)</f>
        <v>#REF!</v>
      </c>
      <c r="W164" s="9">
        <f t="shared" si="30"/>
        <v>0</v>
      </c>
      <c r="X164" s="8" t="str">
        <f t="shared" si="31"/>
        <v>Belum Sensus</v>
      </c>
      <c r="Y164" s="178"/>
      <c r="Z164" s="143"/>
      <c r="AA164" s="9">
        <f t="shared" si="32"/>
        <v>0</v>
      </c>
      <c r="AB164" s="143"/>
      <c r="AC164" s="9">
        <f t="shared" si="26"/>
        <v>0</v>
      </c>
      <c r="AD164" s="8" t="str">
        <f t="shared" si="33"/>
        <v>Belum Sensus</v>
      </c>
      <c r="AE164" s="178">
        <v>46153</v>
      </c>
      <c r="AF164" s="143">
        <v>180</v>
      </c>
      <c r="AG164" s="143">
        <v>117</v>
      </c>
      <c r="AH164" s="9">
        <f t="shared" si="34"/>
        <v>65</v>
      </c>
      <c r="AI164" s="8" t="str">
        <f t="shared" si="35"/>
        <v>Perlu Pengendalian</v>
      </c>
    </row>
    <row r="165" spans="1:35" x14ac:dyDescent="0.2">
      <c r="A165" s="8" t="s">
        <v>1273</v>
      </c>
      <c r="B165" s="8" t="s">
        <v>14</v>
      </c>
      <c r="C165" s="8" t="s">
        <v>173</v>
      </c>
      <c r="D165" s="8" t="s">
        <v>1422</v>
      </c>
      <c r="E165" s="9">
        <v>27.08</v>
      </c>
      <c r="F165" s="8" t="s">
        <v>1740</v>
      </c>
      <c r="G165" s="10">
        <v>2961</v>
      </c>
      <c r="H165" s="132">
        <v>46149</v>
      </c>
      <c r="I165" s="143">
        <f t="array" ref="I165">INDEX([46]perbandingan!$H$24:$H$231,MATCH(1,([46]perbandingan!$E$24:$E$231=$D165)*([46]perbandingan!$E$24:$E$231=$D165),0))</f>
        <v>316</v>
      </c>
      <c r="J165" s="9">
        <f t="array" ref="J165">IFERROR(I165/G165*100,0)</f>
        <v>10.672070246538331</v>
      </c>
      <c r="K165" s="143">
        <f t="array" ref="K165">INDEX([46]perbandingan!$L$24:$L$231,MATCH(1,([46]perbandingan!$E$24:$E$231=$D165)*([46]perbandingan!$E$24:$E$231=$D165),0))</f>
        <v>80</v>
      </c>
      <c r="L165" s="9">
        <f t="shared" si="24"/>
        <v>25.316455696202532</v>
      </c>
      <c r="M165" s="8" t="str">
        <f t="shared" si="27"/>
        <v>Perlu Pengendalian</v>
      </c>
      <c r="N165" s="148"/>
      <c r="O165" s="143" t="e">
        <f>MAX(#REF!,#REF!)</f>
        <v>#REF!</v>
      </c>
      <c r="P165" s="9" t="e">
        <f t="shared" si="28"/>
        <v>#REF!</v>
      </c>
      <c r="Q165" s="143" t="e">
        <f>MAX(#REF!,#REF!)</f>
        <v>#REF!</v>
      </c>
      <c r="R165" s="9">
        <f t="shared" si="25"/>
        <v>0</v>
      </c>
      <c r="S165" s="8" t="str">
        <f t="shared" si="29"/>
        <v>Belum Sensus</v>
      </c>
      <c r="T165" s="148"/>
      <c r="U165" s="143" t="e">
        <f>MAX(#REF!,#REF!)</f>
        <v>#REF!</v>
      </c>
      <c r="V165" s="143" t="e">
        <f>MAX(#REF!,#REF!)</f>
        <v>#REF!</v>
      </c>
      <c r="W165" s="9">
        <f t="shared" si="30"/>
        <v>0</v>
      </c>
      <c r="X165" s="8" t="str">
        <f t="shared" si="31"/>
        <v>Belum Sensus</v>
      </c>
      <c r="Y165" s="178"/>
      <c r="Z165" s="143"/>
      <c r="AA165" s="9">
        <f t="shared" si="32"/>
        <v>0</v>
      </c>
      <c r="AB165" s="143"/>
      <c r="AC165" s="9">
        <f t="shared" si="26"/>
        <v>0</v>
      </c>
      <c r="AD165" s="8" t="str">
        <f t="shared" si="33"/>
        <v>Belum Sensus</v>
      </c>
      <c r="AE165" s="178">
        <v>46153</v>
      </c>
      <c r="AF165" s="143">
        <v>338</v>
      </c>
      <c r="AG165" s="143">
        <v>61</v>
      </c>
      <c r="AH165" s="9">
        <f t="shared" si="34"/>
        <v>18.047337278106511</v>
      </c>
      <c r="AI165" s="8" t="str">
        <f t="shared" si="35"/>
        <v>Perlu Pengendalian</v>
      </c>
    </row>
    <row r="166" spans="1:35" x14ac:dyDescent="0.2">
      <c r="A166" s="8" t="s">
        <v>1273</v>
      </c>
      <c r="B166" s="8" t="s">
        <v>14</v>
      </c>
      <c r="C166" s="8" t="s">
        <v>173</v>
      </c>
      <c r="D166" s="8" t="s">
        <v>1423</v>
      </c>
      <c r="E166" s="9">
        <v>34.68</v>
      </c>
      <c r="F166" s="8" t="s">
        <v>1740</v>
      </c>
      <c r="G166" s="10">
        <v>4178</v>
      </c>
      <c r="H166" s="132">
        <v>46149</v>
      </c>
      <c r="I166" s="143">
        <f t="array" ref="I166">INDEX([46]perbandingan!$H$24:$H$231,MATCH(1,([46]perbandingan!$E$24:$E$231=$D166)*([46]perbandingan!$E$24:$E$231=$D166),0))</f>
        <v>455</v>
      </c>
      <c r="J166" s="9">
        <f t="array" ref="J166">IFERROR(I166/G166*100,0)</f>
        <v>10.890378171373863</v>
      </c>
      <c r="K166" s="143">
        <f t="array" ref="K166">INDEX([46]perbandingan!$L$24:$L$231,MATCH(1,([46]perbandingan!$E$24:$E$231=$D166)*([46]perbandingan!$E$24:$E$231=$D166),0))</f>
        <v>37</v>
      </c>
      <c r="L166" s="9">
        <f t="shared" si="24"/>
        <v>8.1318681318681314</v>
      </c>
      <c r="M166" s="8" t="str">
        <f t="shared" si="27"/>
        <v>Perlu Pengendalian</v>
      </c>
      <c r="N166" s="148"/>
      <c r="O166" s="143" t="e">
        <f>MAX(#REF!,#REF!)</f>
        <v>#REF!</v>
      </c>
      <c r="P166" s="9" t="e">
        <f t="shared" si="28"/>
        <v>#REF!</v>
      </c>
      <c r="Q166" s="143" t="e">
        <f>MAX(#REF!,#REF!)</f>
        <v>#REF!</v>
      </c>
      <c r="R166" s="9">
        <f t="shared" si="25"/>
        <v>0</v>
      </c>
      <c r="S166" s="8" t="str">
        <f t="shared" si="29"/>
        <v>Belum Sensus</v>
      </c>
      <c r="T166" s="148"/>
      <c r="U166" s="143" t="e">
        <f>MAX(#REF!,#REF!)</f>
        <v>#REF!</v>
      </c>
      <c r="V166" s="143" t="e">
        <f>MAX(#REF!,#REF!)</f>
        <v>#REF!</v>
      </c>
      <c r="W166" s="9">
        <f t="shared" si="30"/>
        <v>0</v>
      </c>
      <c r="X166" s="8" t="str">
        <f t="shared" si="31"/>
        <v>Belum Sensus</v>
      </c>
      <c r="Y166" s="178">
        <v>46153</v>
      </c>
      <c r="Z166" s="143">
        <v>35</v>
      </c>
      <c r="AA166" s="9">
        <f t="shared" si="32"/>
        <v>0.83772139779798949</v>
      </c>
      <c r="AB166" s="143">
        <v>6</v>
      </c>
      <c r="AC166" s="9">
        <f t="shared" si="26"/>
        <v>17.142857142857142</v>
      </c>
      <c r="AD166" s="8" t="str">
        <f t="shared" si="33"/>
        <v>Perlu Pengendalian</v>
      </c>
      <c r="AE166" s="178"/>
      <c r="AF166" s="143">
        <v>0</v>
      </c>
      <c r="AG166" s="143">
        <v>0</v>
      </c>
      <c r="AH166" s="9">
        <f t="shared" si="34"/>
        <v>0</v>
      </c>
      <c r="AI166" s="8" t="str">
        <f t="shared" si="35"/>
        <v>Belum Sensus</v>
      </c>
    </row>
    <row r="167" spans="1:35" x14ac:dyDescent="0.2">
      <c r="A167" s="8" t="s">
        <v>1273</v>
      </c>
      <c r="B167" s="8" t="s">
        <v>14</v>
      </c>
      <c r="C167" s="8" t="s">
        <v>173</v>
      </c>
      <c r="D167" s="8" t="s">
        <v>1424</v>
      </c>
      <c r="E167" s="9">
        <v>34.46</v>
      </c>
      <c r="F167" s="8" t="s">
        <v>1740</v>
      </c>
      <c r="G167" s="10">
        <v>3279</v>
      </c>
      <c r="H167" s="132">
        <v>46149</v>
      </c>
      <c r="I167" s="143">
        <f t="array" ref="I167">INDEX([46]perbandingan!$H$24:$H$231,MATCH(1,([46]perbandingan!$E$24:$E$231=$D167)*([46]perbandingan!$E$24:$E$231=$D167),0))</f>
        <v>451</v>
      </c>
      <c r="J167" s="9">
        <f t="array" ref="J167">IFERROR(I167/G167*100,0)</f>
        <v>13.754193351631594</v>
      </c>
      <c r="K167" s="143">
        <f t="array" ref="K167">INDEX([46]perbandingan!$L$24:$L$231,MATCH(1,([46]perbandingan!$E$24:$E$231=$D167)*([46]perbandingan!$E$24:$E$231=$D167),0))</f>
        <v>25</v>
      </c>
      <c r="L167" s="9">
        <f t="shared" si="24"/>
        <v>5.5432372505543244</v>
      </c>
      <c r="M167" s="8" t="str">
        <f t="shared" si="27"/>
        <v>Perlu Pengendalian</v>
      </c>
      <c r="N167" s="148"/>
      <c r="O167" s="143" t="e">
        <f>MAX(#REF!,#REF!)</f>
        <v>#REF!</v>
      </c>
      <c r="P167" s="9" t="e">
        <f t="shared" si="28"/>
        <v>#REF!</v>
      </c>
      <c r="Q167" s="143" t="e">
        <f>MAX(#REF!,#REF!)</f>
        <v>#REF!</v>
      </c>
      <c r="R167" s="9">
        <f t="shared" si="25"/>
        <v>0</v>
      </c>
      <c r="S167" s="8" t="str">
        <f t="shared" si="29"/>
        <v>Belum Sensus</v>
      </c>
      <c r="T167" s="148"/>
      <c r="U167" s="143" t="e">
        <f>MAX(#REF!,#REF!)</f>
        <v>#REF!</v>
      </c>
      <c r="V167" s="143" t="e">
        <f>MAX(#REF!,#REF!)</f>
        <v>#REF!</v>
      </c>
      <c r="W167" s="9">
        <f t="shared" si="30"/>
        <v>0</v>
      </c>
      <c r="X167" s="8" t="str">
        <f t="shared" si="31"/>
        <v>Belum Sensus</v>
      </c>
      <c r="Y167" s="178">
        <v>46153</v>
      </c>
      <c r="Z167" s="143">
        <v>57</v>
      </c>
      <c r="AA167" s="9">
        <f t="shared" si="32"/>
        <v>1.7383348581884721</v>
      </c>
      <c r="AB167" s="143">
        <v>24</v>
      </c>
      <c r="AC167" s="9">
        <f t="shared" si="26"/>
        <v>42.105263157894733</v>
      </c>
      <c r="AD167" s="8" t="str">
        <f t="shared" si="33"/>
        <v>Perlu Pengendalian</v>
      </c>
      <c r="AE167" s="178">
        <v>46153</v>
      </c>
      <c r="AF167" s="143">
        <v>647</v>
      </c>
      <c r="AG167" s="143">
        <v>110</v>
      </c>
      <c r="AH167" s="9">
        <f t="shared" si="34"/>
        <v>17.001545595054097</v>
      </c>
      <c r="AI167" s="8" t="str">
        <f t="shared" si="35"/>
        <v>Perlu Pengendalian</v>
      </c>
    </row>
    <row r="168" spans="1:35" x14ac:dyDescent="0.2">
      <c r="A168" s="8" t="s">
        <v>1273</v>
      </c>
      <c r="B168" s="8" t="s">
        <v>14</v>
      </c>
      <c r="C168" s="8" t="s">
        <v>173</v>
      </c>
      <c r="D168" s="8" t="s">
        <v>1425</v>
      </c>
      <c r="E168" s="9">
        <v>24.96</v>
      </c>
      <c r="F168" s="8" t="s">
        <v>1740</v>
      </c>
      <c r="G168" s="10">
        <v>1896</v>
      </c>
      <c r="H168" s="132">
        <v>46149</v>
      </c>
      <c r="I168" s="143">
        <f t="array" ref="I168">INDEX([46]perbandingan!$H$24:$H$231,MATCH(1,([46]perbandingan!$E$24:$E$231=$D168)*([46]perbandingan!$E$24:$E$231=$D168),0))</f>
        <v>265</v>
      </c>
      <c r="J168" s="9">
        <f t="array" ref="J168">IFERROR(I168/G168*100,0)</f>
        <v>13.976793248945146</v>
      </c>
      <c r="K168" s="143">
        <f t="array" ref="K168">INDEX([46]perbandingan!$L$24:$L$231,MATCH(1,([46]perbandingan!$E$24:$E$231=$D168)*([46]perbandingan!$E$24:$E$231=$D168),0))</f>
        <v>27</v>
      </c>
      <c r="L168" s="9">
        <f t="shared" si="24"/>
        <v>10.188679245283019</v>
      </c>
      <c r="M168" s="8" t="str">
        <f t="shared" si="27"/>
        <v>Perlu Pengendalian</v>
      </c>
      <c r="N168" s="148"/>
      <c r="O168" s="143" t="e">
        <f>MAX(#REF!,#REF!)</f>
        <v>#REF!</v>
      </c>
      <c r="P168" s="9" t="e">
        <f t="shared" si="28"/>
        <v>#REF!</v>
      </c>
      <c r="Q168" s="143" t="e">
        <f>MAX(#REF!,#REF!)</f>
        <v>#REF!</v>
      </c>
      <c r="R168" s="9">
        <f t="shared" si="25"/>
        <v>0</v>
      </c>
      <c r="S168" s="8" t="str">
        <f t="shared" si="29"/>
        <v>Belum Sensus</v>
      </c>
      <c r="T168" s="148"/>
      <c r="U168" s="143" t="e">
        <f>MAX(#REF!,#REF!)</f>
        <v>#REF!</v>
      </c>
      <c r="V168" s="143" t="e">
        <f>MAX(#REF!,#REF!)</f>
        <v>#REF!</v>
      </c>
      <c r="W168" s="9">
        <f t="shared" si="30"/>
        <v>0</v>
      </c>
      <c r="X168" s="8" t="str">
        <f t="shared" si="31"/>
        <v>Belum Sensus</v>
      </c>
      <c r="Y168" s="178">
        <v>46153</v>
      </c>
      <c r="Z168" s="143">
        <v>74</v>
      </c>
      <c r="AA168" s="9">
        <f t="shared" si="32"/>
        <v>3.9029535864978904</v>
      </c>
      <c r="AB168" s="143">
        <v>33</v>
      </c>
      <c r="AC168" s="9">
        <f t="shared" si="26"/>
        <v>44.594594594594597</v>
      </c>
      <c r="AD168" s="8" t="str">
        <f t="shared" si="33"/>
        <v>Perlu Pengendalian</v>
      </c>
      <c r="AE168" s="178">
        <v>46153</v>
      </c>
      <c r="AF168" s="143">
        <v>701</v>
      </c>
      <c r="AG168" s="143">
        <v>157</v>
      </c>
      <c r="AH168" s="9">
        <f t="shared" si="34"/>
        <v>22.396576319543509</v>
      </c>
      <c r="AI168" s="8" t="str">
        <f t="shared" si="35"/>
        <v>Perlu Pengendalian</v>
      </c>
    </row>
    <row r="169" spans="1:35" x14ac:dyDescent="0.2">
      <c r="A169" s="8" t="s">
        <v>1273</v>
      </c>
      <c r="B169" s="8" t="s">
        <v>14</v>
      </c>
      <c r="C169" s="8" t="s">
        <v>173</v>
      </c>
      <c r="D169" s="8" t="s">
        <v>1426</v>
      </c>
      <c r="E169" s="9">
        <v>25.19</v>
      </c>
      <c r="F169" s="8" t="s">
        <v>1740</v>
      </c>
      <c r="G169" s="10">
        <v>2795</v>
      </c>
      <c r="H169" s="132">
        <v>46149</v>
      </c>
      <c r="I169" s="143">
        <f t="array" ref="I169">INDEX([46]perbandingan!$H$24:$H$231,MATCH(1,([46]perbandingan!$E$24:$E$231=$D169)*([46]perbandingan!$E$24:$E$231=$D169),0))</f>
        <v>325</v>
      </c>
      <c r="J169" s="9">
        <f t="array" ref="J169">IFERROR(I169/G169*100,0)</f>
        <v>11.627906976744185</v>
      </c>
      <c r="K169" s="143">
        <f t="array" ref="K169">INDEX([46]perbandingan!$L$24:$L$231,MATCH(1,([46]perbandingan!$E$24:$E$231=$D169)*([46]perbandingan!$E$24:$E$231=$D169),0))</f>
        <v>39</v>
      </c>
      <c r="L169" s="9">
        <f t="shared" si="24"/>
        <v>12</v>
      </c>
      <c r="M169" s="8" t="str">
        <f t="shared" si="27"/>
        <v>Perlu Pengendalian</v>
      </c>
      <c r="N169" s="148"/>
      <c r="O169" s="143" t="e">
        <f>MAX(#REF!,#REF!)</f>
        <v>#REF!</v>
      </c>
      <c r="P169" s="9" t="e">
        <f t="shared" si="28"/>
        <v>#REF!</v>
      </c>
      <c r="Q169" s="143" t="e">
        <f>MAX(#REF!,#REF!)</f>
        <v>#REF!</v>
      </c>
      <c r="R169" s="9">
        <f t="shared" si="25"/>
        <v>0</v>
      </c>
      <c r="S169" s="8" t="str">
        <f t="shared" si="29"/>
        <v>Belum Sensus</v>
      </c>
      <c r="T169" s="148"/>
      <c r="U169" s="143" t="e">
        <f>MAX(#REF!,#REF!)</f>
        <v>#REF!</v>
      </c>
      <c r="V169" s="143" t="e">
        <f>MAX(#REF!,#REF!)</f>
        <v>#REF!</v>
      </c>
      <c r="W169" s="9">
        <f t="shared" si="30"/>
        <v>0</v>
      </c>
      <c r="X169" s="8" t="str">
        <f t="shared" si="31"/>
        <v>Belum Sensus</v>
      </c>
      <c r="Y169" s="178">
        <v>46153</v>
      </c>
      <c r="Z169" s="143">
        <v>99</v>
      </c>
      <c r="AA169" s="9">
        <f t="shared" si="32"/>
        <v>3.5420393559928445</v>
      </c>
      <c r="AB169" s="143">
        <v>27</v>
      </c>
      <c r="AC169" s="9">
        <f t="shared" si="26"/>
        <v>27.27272727272727</v>
      </c>
      <c r="AD169" s="8" t="str">
        <f t="shared" si="33"/>
        <v>Perlu Pengendalian</v>
      </c>
      <c r="AE169" s="178">
        <v>46153</v>
      </c>
      <c r="AF169" s="143">
        <v>293</v>
      </c>
      <c r="AG169" s="143">
        <v>62</v>
      </c>
      <c r="AH169" s="9">
        <f t="shared" si="34"/>
        <v>21.160409556313994</v>
      </c>
      <c r="AI169" s="8" t="str">
        <f t="shared" si="35"/>
        <v>Perlu Pengendalian</v>
      </c>
    </row>
    <row r="170" spans="1:35" x14ac:dyDescent="0.2">
      <c r="A170" s="8" t="s">
        <v>1273</v>
      </c>
      <c r="B170" s="8" t="s">
        <v>14</v>
      </c>
      <c r="C170" s="8" t="s">
        <v>173</v>
      </c>
      <c r="D170" s="8" t="s">
        <v>1427</v>
      </c>
      <c r="E170" s="9">
        <v>26.58</v>
      </c>
      <c r="F170" s="8" t="s">
        <v>1740</v>
      </c>
      <c r="G170" s="10">
        <v>3364</v>
      </c>
      <c r="H170" s="132">
        <v>46149</v>
      </c>
      <c r="I170" s="143">
        <f t="array" ref="I170">INDEX([46]perbandingan!$H$24:$H$231,MATCH(1,([46]perbandingan!$E$24:$E$231=$D170)*([46]perbandingan!$E$24:$E$231=$D170),0))</f>
        <v>303</v>
      </c>
      <c r="J170" s="9">
        <f t="array" ref="J170">IFERROR(I170/G170*100,0)</f>
        <v>9.0071343638525558</v>
      </c>
      <c r="K170" s="143">
        <f t="array" ref="K170">INDEX([46]perbandingan!$L$24:$L$231,MATCH(1,([46]perbandingan!$E$24:$E$231=$D170)*([46]perbandingan!$E$24:$E$231=$D170),0))</f>
        <v>35</v>
      </c>
      <c r="L170" s="9">
        <f t="shared" si="24"/>
        <v>11.55115511551155</v>
      </c>
      <c r="M170" s="8" t="str">
        <f t="shared" si="27"/>
        <v>Perlu Pengendalian</v>
      </c>
      <c r="N170" s="148"/>
      <c r="O170" s="143" t="e">
        <f>MAX(#REF!,#REF!)</f>
        <v>#REF!</v>
      </c>
      <c r="P170" s="9" t="e">
        <f t="shared" si="28"/>
        <v>#REF!</v>
      </c>
      <c r="Q170" s="143" t="e">
        <f>MAX(#REF!,#REF!)</f>
        <v>#REF!</v>
      </c>
      <c r="R170" s="9">
        <f t="shared" si="25"/>
        <v>0</v>
      </c>
      <c r="S170" s="8" t="str">
        <f t="shared" si="29"/>
        <v>Belum Sensus</v>
      </c>
      <c r="T170" s="148"/>
      <c r="U170" s="143" t="e">
        <f>MAX(#REF!,#REF!)</f>
        <v>#REF!</v>
      </c>
      <c r="V170" s="143" t="e">
        <f>MAX(#REF!,#REF!)</f>
        <v>#REF!</v>
      </c>
      <c r="W170" s="9">
        <f t="shared" si="30"/>
        <v>0</v>
      </c>
      <c r="X170" s="8" t="str">
        <f t="shared" si="31"/>
        <v>Belum Sensus</v>
      </c>
      <c r="Y170" s="178">
        <v>46153</v>
      </c>
      <c r="Z170" s="143">
        <v>104</v>
      </c>
      <c r="AA170" s="9">
        <f t="shared" si="32"/>
        <v>3.0915576694411415</v>
      </c>
      <c r="AB170" s="143">
        <v>16</v>
      </c>
      <c r="AC170" s="9">
        <f t="shared" si="26"/>
        <v>15.384615384615385</v>
      </c>
      <c r="AD170" s="8" t="str">
        <f t="shared" si="33"/>
        <v>Perlu Pengendalian</v>
      </c>
      <c r="AE170" s="178"/>
      <c r="AF170" s="143">
        <v>0</v>
      </c>
      <c r="AG170" s="143">
        <v>0</v>
      </c>
      <c r="AH170" s="9">
        <f t="shared" si="34"/>
        <v>0</v>
      </c>
      <c r="AI170" s="8" t="str">
        <f t="shared" si="35"/>
        <v>Belum Sensus</v>
      </c>
    </row>
    <row r="171" spans="1:35" x14ac:dyDescent="0.2">
      <c r="A171" s="8" t="s">
        <v>1273</v>
      </c>
      <c r="B171" s="8" t="s">
        <v>14</v>
      </c>
      <c r="C171" s="8" t="s">
        <v>173</v>
      </c>
      <c r="D171" s="8" t="s">
        <v>1428</v>
      </c>
      <c r="E171" s="9">
        <v>25.46</v>
      </c>
      <c r="F171" s="8" t="s">
        <v>1740</v>
      </c>
      <c r="G171" s="10">
        <v>2880</v>
      </c>
      <c r="H171" s="132">
        <v>46149</v>
      </c>
      <c r="I171" s="143">
        <f t="array" ref="I171">INDEX([46]perbandingan!$H$24:$H$231,MATCH(1,([46]perbandingan!$E$24:$E$231=$D171)*([46]perbandingan!$E$24:$E$231=$D171),0))</f>
        <v>332</v>
      </c>
      <c r="J171" s="9">
        <f t="array" ref="J171">IFERROR(I171/G171*100,0)</f>
        <v>11.527777777777779</v>
      </c>
      <c r="K171" s="143">
        <f t="array" ref="K171">INDEX([46]perbandingan!$L$24:$L$231,MATCH(1,([46]perbandingan!$E$24:$E$231=$D171)*([46]perbandingan!$E$24:$E$231=$D171),0))</f>
        <v>55</v>
      </c>
      <c r="L171" s="9">
        <f t="shared" si="24"/>
        <v>16.566265060240966</v>
      </c>
      <c r="M171" s="8" t="str">
        <f t="shared" si="27"/>
        <v>Perlu Pengendalian</v>
      </c>
      <c r="N171" s="148"/>
      <c r="O171" s="143" t="e">
        <f>MAX(#REF!,#REF!)</f>
        <v>#REF!</v>
      </c>
      <c r="P171" s="9" t="e">
        <f t="shared" si="28"/>
        <v>#REF!</v>
      </c>
      <c r="Q171" s="143" t="e">
        <f>MAX(#REF!,#REF!)</f>
        <v>#REF!</v>
      </c>
      <c r="R171" s="9">
        <f t="shared" si="25"/>
        <v>0</v>
      </c>
      <c r="S171" s="8" t="str">
        <f t="shared" si="29"/>
        <v>Belum Sensus</v>
      </c>
      <c r="T171" s="148"/>
      <c r="U171" s="143" t="e">
        <f>MAX(#REF!,#REF!)</f>
        <v>#REF!</v>
      </c>
      <c r="V171" s="143" t="e">
        <f>MAX(#REF!,#REF!)</f>
        <v>#REF!</v>
      </c>
      <c r="W171" s="9">
        <f t="shared" si="30"/>
        <v>0</v>
      </c>
      <c r="X171" s="8" t="str">
        <f t="shared" si="31"/>
        <v>Belum Sensus</v>
      </c>
      <c r="Y171" s="178">
        <v>46153</v>
      </c>
      <c r="Z171" s="143">
        <v>38</v>
      </c>
      <c r="AA171" s="9">
        <f t="shared" si="32"/>
        <v>1.3194444444444444</v>
      </c>
      <c r="AB171" s="143">
        <v>13</v>
      </c>
      <c r="AC171" s="9">
        <f t="shared" si="26"/>
        <v>34.210526315789473</v>
      </c>
      <c r="AD171" s="8" t="str">
        <f t="shared" si="33"/>
        <v>Perlu Pengendalian</v>
      </c>
      <c r="AE171" s="178"/>
      <c r="AF171" s="143">
        <v>0</v>
      </c>
      <c r="AG171" s="143">
        <v>0</v>
      </c>
      <c r="AH171" s="9">
        <f t="shared" si="34"/>
        <v>0</v>
      </c>
      <c r="AI171" s="8" t="str">
        <f t="shared" si="35"/>
        <v>Belum Sensus</v>
      </c>
    </row>
    <row r="172" spans="1:35" x14ac:dyDescent="0.2">
      <c r="A172" s="8" t="s">
        <v>1273</v>
      </c>
      <c r="B172" s="8" t="s">
        <v>14</v>
      </c>
      <c r="C172" s="8" t="s">
        <v>173</v>
      </c>
      <c r="D172" s="8" t="s">
        <v>1429</v>
      </c>
      <c r="E172" s="9">
        <v>27.26</v>
      </c>
      <c r="F172" s="8" t="s">
        <v>1740</v>
      </c>
      <c r="G172" s="10">
        <v>3287</v>
      </c>
      <c r="H172" s="132">
        <v>46149</v>
      </c>
      <c r="I172" s="143">
        <f t="array" ref="I172">INDEX([46]perbandingan!$H$24:$H$231,MATCH(1,([46]perbandingan!$E$24:$E$231=$D172)*([46]perbandingan!$E$24:$E$231=$D172),0))</f>
        <v>333</v>
      </c>
      <c r="J172" s="9">
        <f t="array" ref="J172">IFERROR(I172/G172*100,0)</f>
        <v>10.130818375418315</v>
      </c>
      <c r="K172" s="143">
        <f t="array" ref="K172">INDEX([46]perbandingan!$L$24:$L$231,MATCH(1,([46]perbandingan!$E$24:$E$231=$D172)*([46]perbandingan!$E$24:$E$231=$D172),0))</f>
        <v>38</v>
      </c>
      <c r="L172" s="9">
        <f t="shared" si="24"/>
        <v>11.411411411411411</v>
      </c>
      <c r="M172" s="8" t="str">
        <f t="shared" si="27"/>
        <v>Perlu Pengendalian</v>
      </c>
      <c r="N172" s="148"/>
      <c r="O172" s="143" t="e">
        <f>MAX(#REF!,#REF!)</f>
        <v>#REF!</v>
      </c>
      <c r="P172" s="9" t="e">
        <f t="shared" si="28"/>
        <v>#REF!</v>
      </c>
      <c r="Q172" s="143" t="e">
        <f>MAX(#REF!,#REF!)</f>
        <v>#REF!</v>
      </c>
      <c r="R172" s="9">
        <f t="shared" si="25"/>
        <v>0</v>
      </c>
      <c r="S172" s="8" t="str">
        <f t="shared" si="29"/>
        <v>Belum Sensus</v>
      </c>
      <c r="T172" s="148"/>
      <c r="U172" s="143" t="e">
        <f>MAX(#REF!,#REF!)</f>
        <v>#REF!</v>
      </c>
      <c r="V172" s="143" t="e">
        <f>MAX(#REF!,#REF!)</f>
        <v>#REF!</v>
      </c>
      <c r="W172" s="9">
        <f t="shared" si="30"/>
        <v>0</v>
      </c>
      <c r="X172" s="8" t="str">
        <f t="shared" si="31"/>
        <v>Belum Sensus</v>
      </c>
      <c r="Y172" s="178">
        <v>46153</v>
      </c>
      <c r="Z172" s="143">
        <v>76</v>
      </c>
      <c r="AA172" s="9">
        <f t="shared" si="32"/>
        <v>2.3121387283236992</v>
      </c>
      <c r="AB172" s="143">
        <v>14</v>
      </c>
      <c r="AC172" s="9">
        <f t="shared" si="26"/>
        <v>18.421052631578945</v>
      </c>
      <c r="AD172" s="8" t="str">
        <f t="shared" si="33"/>
        <v>Perlu Pengendalian</v>
      </c>
      <c r="AE172" s="178">
        <v>46153</v>
      </c>
      <c r="AF172" s="143">
        <v>136</v>
      </c>
      <c r="AG172" s="143">
        <v>23</v>
      </c>
      <c r="AH172" s="9">
        <f t="shared" si="34"/>
        <v>16.911764705882355</v>
      </c>
      <c r="AI172" s="8" t="str">
        <f t="shared" si="35"/>
        <v>Perlu Pengendalian</v>
      </c>
    </row>
    <row r="173" spans="1:35" x14ac:dyDescent="0.2">
      <c r="A173" s="8" t="s">
        <v>1273</v>
      </c>
      <c r="B173" s="8" t="s">
        <v>14</v>
      </c>
      <c r="C173" s="8" t="s">
        <v>173</v>
      </c>
      <c r="D173" s="8" t="s">
        <v>1430</v>
      </c>
      <c r="E173" s="9">
        <v>29.15</v>
      </c>
      <c r="F173" s="8" t="s">
        <v>1740</v>
      </c>
      <c r="G173" s="10">
        <v>3574</v>
      </c>
      <c r="H173" s="132">
        <v>46149</v>
      </c>
      <c r="I173" s="143">
        <f t="array" ref="I173">INDEX([46]perbandingan!$H$24:$H$231,MATCH(1,([46]perbandingan!$E$24:$E$231=$D173)*([46]perbandingan!$E$24:$E$231=$D173),0))</f>
        <v>382</v>
      </c>
      <c r="J173" s="9">
        <f t="array" ref="J173">IFERROR(I173/G173*100,0)</f>
        <v>10.688304420817012</v>
      </c>
      <c r="K173" s="143">
        <f t="array" ref="K173">INDEX([46]perbandingan!$L$24:$L$231,MATCH(1,([46]perbandingan!$E$24:$E$231=$D173)*([46]perbandingan!$E$24:$E$231=$D173),0))</f>
        <v>30</v>
      </c>
      <c r="L173" s="9">
        <f t="shared" si="24"/>
        <v>7.8534031413612562</v>
      </c>
      <c r="M173" s="8" t="str">
        <f t="shared" si="27"/>
        <v>Perlu Pengendalian</v>
      </c>
      <c r="N173" s="148"/>
      <c r="O173" s="143" t="e">
        <f>MAX(#REF!,#REF!)</f>
        <v>#REF!</v>
      </c>
      <c r="P173" s="9" t="e">
        <f t="shared" si="28"/>
        <v>#REF!</v>
      </c>
      <c r="Q173" s="143" t="e">
        <f>MAX(#REF!,#REF!)</f>
        <v>#REF!</v>
      </c>
      <c r="R173" s="9">
        <f t="shared" si="25"/>
        <v>0</v>
      </c>
      <c r="S173" s="8" t="str">
        <f t="shared" si="29"/>
        <v>Belum Sensus</v>
      </c>
      <c r="T173" s="148"/>
      <c r="U173" s="143" t="e">
        <f>MAX(#REF!,#REF!)</f>
        <v>#REF!</v>
      </c>
      <c r="V173" s="143" t="e">
        <f>MAX(#REF!,#REF!)</f>
        <v>#REF!</v>
      </c>
      <c r="W173" s="9">
        <f t="shared" si="30"/>
        <v>0</v>
      </c>
      <c r="X173" s="8" t="str">
        <f t="shared" si="31"/>
        <v>Belum Sensus</v>
      </c>
      <c r="Y173" s="178"/>
      <c r="Z173" s="143"/>
      <c r="AA173" s="9">
        <f t="shared" si="32"/>
        <v>0</v>
      </c>
      <c r="AB173" s="143"/>
      <c r="AC173" s="9">
        <f t="shared" si="26"/>
        <v>0</v>
      </c>
      <c r="AD173" s="8" t="str">
        <f t="shared" si="33"/>
        <v>Belum Sensus</v>
      </c>
      <c r="AE173" s="178">
        <v>46153</v>
      </c>
      <c r="AF173" s="143">
        <v>845</v>
      </c>
      <c r="AG173" s="143">
        <v>149</v>
      </c>
      <c r="AH173" s="9">
        <f t="shared" si="34"/>
        <v>17.633136094674555</v>
      </c>
      <c r="AI173" s="8" t="str">
        <f t="shared" si="35"/>
        <v>Perlu Pengendalian</v>
      </c>
    </row>
    <row r="174" spans="1:35" x14ac:dyDescent="0.2">
      <c r="A174" s="8" t="s">
        <v>1273</v>
      </c>
      <c r="B174" s="8" t="s">
        <v>14</v>
      </c>
      <c r="C174" s="8" t="s">
        <v>173</v>
      </c>
      <c r="D174" s="8" t="s">
        <v>1431</v>
      </c>
      <c r="E174" s="9">
        <v>23.700000000000003</v>
      </c>
      <c r="F174" s="8" t="s">
        <v>1740</v>
      </c>
      <c r="G174" s="10">
        <v>2699</v>
      </c>
      <c r="H174" s="132">
        <v>46149</v>
      </c>
      <c r="I174" s="143">
        <f t="array" ref="I174">INDEX([46]perbandingan!$H$24:$H$231,MATCH(1,([46]perbandingan!$E$24:$E$231=$D174)*([46]perbandingan!$E$24:$E$231=$D174),0))</f>
        <v>359</v>
      </c>
      <c r="J174" s="9">
        <f t="array" ref="J174">IFERROR(I174/G174*100,0)</f>
        <v>13.301222675064839</v>
      </c>
      <c r="K174" s="143">
        <f t="array" ref="K174">INDEX([46]perbandingan!$L$24:$L$231,MATCH(1,([46]perbandingan!$E$24:$E$231=$D174)*([46]perbandingan!$E$24:$E$231=$D174),0))</f>
        <v>10</v>
      </c>
      <c r="L174" s="9">
        <f t="shared" si="24"/>
        <v>2.785515320334262</v>
      </c>
      <c r="M174" s="8" t="str">
        <f t="shared" si="27"/>
        <v>Perlu Pengendalian</v>
      </c>
      <c r="N174" s="148"/>
      <c r="O174" s="143" t="e">
        <f>MAX(#REF!,#REF!)</f>
        <v>#REF!</v>
      </c>
      <c r="P174" s="9" t="e">
        <f t="shared" si="28"/>
        <v>#REF!</v>
      </c>
      <c r="Q174" s="143" t="e">
        <f>MAX(#REF!,#REF!)</f>
        <v>#REF!</v>
      </c>
      <c r="R174" s="9">
        <f t="shared" si="25"/>
        <v>0</v>
      </c>
      <c r="S174" s="8" t="str">
        <f t="shared" si="29"/>
        <v>Belum Sensus</v>
      </c>
      <c r="T174" s="148"/>
      <c r="U174" s="143" t="e">
        <f>MAX(#REF!,#REF!)</f>
        <v>#REF!</v>
      </c>
      <c r="V174" s="143" t="e">
        <f>MAX(#REF!,#REF!)</f>
        <v>#REF!</v>
      </c>
      <c r="W174" s="9">
        <f t="shared" si="30"/>
        <v>0</v>
      </c>
      <c r="X174" s="8" t="str">
        <f t="shared" si="31"/>
        <v>Belum Sensus</v>
      </c>
      <c r="Y174" s="178"/>
      <c r="Z174" s="143"/>
      <c r="AA174" s="9">
        <f t="shared" si="32"/>
        <v>0</v>
      </c>
      <c r="AB174" s="143"/>
      <c r="AC174" s="9">
        <f t="shared" si="26"/>
        <v>0</v>
      </c>
      <c r="AD174" s="8" t="str">
        <f t="shared" si="33"/>
        <v>Belum Sensus</v>
      </c>
      <c r="AE174" s="178">
        <v>46153</v>
      </c>
      <c r="AF174" s="143">
        <v>483</v>
      </c>
      <c r="AG174" s="143">
        <v>263</v>
      </c>
      <c r="AH174" s="9">
        <f t="shared" si="34"/>
        <v>54.45134575569358</v>
      </c>
      <c r="AI174" s="8" t="str">
        <f t="shared" si="35"/>
        <v>Perlu Pengendalian</v>
      </c>
    </row>
    <row r="175" spans="1:35" x14ac:dyDescent="0.2">
      <c r="A175" s="8" t="s">
        <v>1273</v>
      </c>
      <c r="B175" s="8" t="s">
        <v>14</v>
      </c>
      <c r="C175" s="8" t="s">
        <v>173</v>
      </c>
      <c r="D175" s="8" t="s">
        <v>1432</v>
      </c>
      <c r="E175" s="9">
        <v>4.639999999999997</v>
      </c>
      <c r="F175" s="8" t="s">
        <v>1740</v>
      </c>
      <c r="G175" s="10">
        <v>420</v>
      </c>
      <c r="H175" s="132">
        <v>46149</v>
      </c>
      <c r="I175" s="143">
        <f t="array" ref="I175">INDEX([46]perbandingan!$H$24:$H$231,MATCH(1,([46]perbandingan!$E$24:$E$231=$D175)*([46]perbandingan!$E$24:$E$231=$D175),0))</f>
        <v>271</v>
      </c>
      <c r="J175" s="9">
        <f t="array" ref="J175">IFERROR(I175/G175*100,0)</f>
        <v>64.523809523809533</v>
      </c>
      <c r="K175" s="143">
        <f t="array" ref="K175">INDEX([46]perbandingan!$L$24:$L$231,MATCH(1,([46]perbandingan!$E$24:$E$231=$D175)*([46]perbandingan!$E$24:$E$231=$D175),0))</f>
        <v>25</v>
      </c>
      <c r="L175" s="9">
        <f t="shared" si="24"/>
        <v>9.2250922509225095</v>
      </c>
      <c r="M175" s="8" t="str">
        <f t="shared" si="27"/>
        <v>Perlu Pengendalian</v>
      </c>
      <c r="N175" s="148"/>
      <c r="O175" s="143" t="e">
        <f>MAX(#REF!,#REF!)</f>
        <v>#REF!</v>
      </c>
      <c r="P175" s="9" t="e">
        <f t="shared" si="28"/>
        <v>#REF!</v>
      </c>
      <c r="Q175" s="143" t="e">
        <f>MAX(#REF!,#REF!)</f>
        <v>#REF!</v>
      </c>
      <c r="R175" s="9">
        <f t="shared" si="25"/>
        <v>0</v>
      </c>
      <c r="S175" s="8" t="str">
        <f t="shared" si="29"/>
        <v>Belum Sensus</v>
      </c>
      <c r="T175" s="148"/>
      <c r="U175" s="143" t="e">
        <f>MAX(#REF!,#REF!)</f>
        <v>#REF!</v>
      </c>
      <c r="V175" s="143" t="e">
        <f>MAX(#REF!,#REF!)</f>
        <v>#REF!</v>
      </c>
      <c r="W175" s="9">
        <f t="shared" si="30"/>
        <v>0</v>
      </c>
      <c r="X175" s="8" t="str">
        <f t="shared" si="31"/>
        <v>Belum Sensus</v>
      </c>
      <c r="Y175" s="178"/>
      <c r="Z175" s="143">
        <v>0</v>
      </c>
      <c r="AA175" s="9">
        <f t="shared" si="32"/>
        <v>0</v>
      </c>
      <c r="AB175" s="143">
        <v>0</v>
      </c>
      <c r="AC175" s="9">
        <f t="shared" si="26"/>
        <v>0</v>
      </c>
      <c r="AD175" s="8" t="str">
        <f t="shared" si="33"/>
        <v>Belum Sensus</v>
      </c>
      <c r="AE175" s="178"/>
      <c r="AF175" s="143"/>
      <c r="AG175" s="143"/>
      <c r="AH175" s="9">
        <f t="shared" si="34"/>
        <v>0</v>
      </c>
      <c r="AI175" s="8" t="str">
        <f t="shared" si="35"/>
        <v>Belum Sensus</v>
      </c>
    </row>
    <row r="176" spans="1:35" x14ac:dyDescent="0.2">
      <c r="A176" s="8" t="s">
        <v>1273</v>
      </c>
      <c r="B176" s="8" t="s">
        <v>14</v>
      </c>
      <c r="C176" s="8" t="s">
        <v>173</v>
      </c>
      <c r="D176" s="8" t="s">
        <v>1433</v>
      </c>
      <c r="E176" s="9">
        <v>22.990000000000002</v>
      </c>
      <c r="F176" s="8" t="s">
        <v>1740</v>
      </c>
      <c r="G176" s="10">
        <v>2556</v>
      </c>
      <c r="H176" s="132">
        <v>46149</v>
      </c>
      <c r="I176" s="143">
        <f t="array" ref="I176">INDEX([46]perbandingan!$H$24:$H$231,MATCH(1,([46]perbandingan!$E$24:$E$231=$D176)*([46]perbandingan!$E$24:$E$231=$D176),0))</f>
        <v>375</v>
      </c>
      <c r="J176" s="9">
        <f t="array" ref="J176">IFERROR(I176/G176*100,0)</f>
        <v>14.671361502347418</v>
      </c>
      <c r="K176" s="143">
        <f t="array" ref="K176">INDEX([46]perbandingan!$L$24:$L$231,MATCH(1,([46]perbandingan!$E$24:$E$231=$D176)*([46]perbandingan!$E$24:$E$231=$D176),0))</f>
        <v>39</v>
      </c>
      <c r="L176" s="9">
        <f t="shared" si="24"/>
        <v>10.4</v>
      </c>
      <c r="M176" s="8" t="str">
        <f t="shared" si="27"/>
        <v>Perlu Pengendalian</v>
      </c>
      <c r="N176" s="148"/>
      <c r="O176" s="143" t="e">
        <f>MAX(#REF!,#REF!)</f>
        <v>#REF!</v>
      </c>
      <c r="P176" s="9" t="e">
        <f t="shared" si="28"/>
        <v>#REF!</v>
      </c>
      <c r="Q176" s="143" t="e">
        <f>MAX(#REF!,#REF!)</f>
        <v>#REF!</v>
      </c>
      <c r="R176" s="9">
        <f t="shared" si="25"/>
        <v>0</v>
      </c>
      <c r="S176" s="8" t="str">
        <f t="shared" si="29"/>
        <v>Belum Sensus</v>
      </c>
      <c r="T176" s="148"/>
      <c r="U176" s="143" t="e">
        <f>MAX(#REF!,#REF!)</f>
        <v>#REF!</v>
      </c>
      <c r="V176" s="143" t="e">
        <f>MAX(#REF!,#REF!)</f>
        <v>#REF!</v>
      </c>
      <c r="W176" s="9">
        <f t="shared" si="30"/>
        <v>0</v>
      </c>
      <c r="X176" s="8" t="str">
        <f t="shared" si="31"/>
        <v>Belum Sensus</v>
      </c>
      <c r="Y176" s="178"/>
      <c r="Z176" s="143">
        <v>0</v>
      </c>
      <c r="AA176" s="9">
        <f t="shared" si="32"/>
        <v>0</v>
      </c>
      <c r="AB176" s="143">
        <v>0</v>
      </c>
      <c r="AC176" s="9">
        <f t="shared" si="26"/>
        <v>0</v>
      </c>
      <c r="AD176" s="8" t="str">
        <f t="shared" si="33"/>
        <v>Belum Sensus</v>
      </c>
      <c r="AE176" s="178"/>
      <c r="AF176" s="143"/>
      <c r="AG176" s="143"/>
      <c r="AH176" s="9">
        <f t="shared" si="34"/>
        <v>0</v>
      </c>
      <c r="AI176" s="8" t="str">
        <f t="shared" si="35"/>
        <v>Belum Sensus</v>
      </c>
    </row>
    <row r="177" spans="1:35" x14ac:dyDescent="0.2">
      <c r="A177" s="8" t="s">
        <v>1273</v>
      </c>
      <c r="B177" s="8" t="s">
        <v>14</v>
      </c>
      <c r="C177" s="8" t="s">
        <v>173</v>
      </c>
      <c r="D177" s="8" t="s">
        <v>1434</v>
      </c>
      <c r="E177" s="9">
        <v>0.71000000000000085</v>
      </c>
      <c r="F177" s="8" t="s">
        <v>1740</v>
      </c>
      <c r="G177" s="10">
        <v>113</v>
      </c>
      <c r="H177" s="132">
        <v>46149</v>
      </c>
      <c r="I177" s="143">
        <f t="array" ref="I177">INDEX([46]perbandingan!$H$24:$H$231,MATCH(1,([46]perbandingan!$E$24:$E$231=$D177)*([46]perbandingan!$E$24:$E$231=$D177),0))</f>
        <v>255</v>
      </c>
      <c r="J177" s="9">
        <f t="array" ref="J177">IFERROR(I177/G177*100,0)</f>
        <v>225.6637168141593</v>
      </c>
      <c r="K177" s="143">
        <f t="array" ref="K177">INDEX([46]perbandingan!$L$24:$L$231,MATCH(1,([46]perbandingan!$E$24:$E$231=$D177)*([46]perbandingan!$E$24:$E$231=$D177),0))</f>
        <v>100</v>
      </c>
      <c r="L177" s="9">
        <f t="shared" si="24"/>
        <v>39.215686274509807</v>
      </c>
      <c r="M177" s="8" t="str">
        <f t="shared" si="27"/>
        <v>Perlu Pengendalian</v>
      </c>
      <c r="N177" s="148"/>
      <c r="O177" s="143" t="e">
        <f>MAX(#REF!,#REF!)</f>
        <v>#REF!</v>
      </c>
      <c r="P177" s="9" t="e">
        <f t="shared" si="28"/>
        <v>#REF!</v>
      </c>
      <c r="Q177" s="143" t="e">
        <f>MAX(#REF!,#REF!)</f>
        <v>#REF!</v>
      </c>
      <c r="R177" s="9">
        <f t="shared" si="25"/>
        <v>0</v>
      </c>
      <c r="S177" s="8" t="str">
        <f t="shared" si="29"/>
        <v>Belum Sensus</v>
      </c>
      <c r="T177" s="148"/>
      <c r="U177" s="143" t="e">
        <f>MAX(#REF!,#REF!)</f>
        <v>#REF!</v>
      </c>
      <c r="V177" s="143" t="e">
        <f>MAX(#REF!,#REF!)</f>
        <v>#REF!</v>
      </c>
      <c r="W177" s="9">
        <f t="shared" si="30"/>
        <v>0</v>
      </c>
      <c r="X177" s="8" t="str">
        <f t="shared" si="31"/>
        <v>Belum Sensus</v>
      </c>
      <c r="Y177" s="178">
        <v>46153</v>
      </c>
      <c r="Z177" s="143">
        <v>36</v>
      </c>
      <c r="AA177" s="9">
        <f t="shared" si="32"/>
        <v>31.858407079646017</v>
      </c>
      <c r="AB177" s="143">
        <v>13</v>
      </c>
      <c r="AC177" s="9">
        <f t="shared" si="26"/>
        <v>36.111111111111107</v>
      </c>
      <c r="AD177" s="8" t="str">
        <f t="shared" si="33"/>
        <v>Perlu Pengendalian</v>
      </c>
      <c r="AE177" s="178"/>
      <c r="AF177" s="143">
        <v>0</v>
      </c>
      <c r="AG177" s="143">
        <v>0</v>
      </c>
      <c r="AH177" s="9">
        <f t="shared" si="34"/>
        <v>0</v>
      </c>
      <c r="AI177" s="8" t="str">
        <f t="shared" si="35"/>
        <v>Belum Sensus</v>
      </c>
    </row>
    <row r="178" spans="1:35" x14ac:dyDescent="0.2">
      <c r="A178" s="8" t="s">
        <v>1273</v>
      </c>
      <c r="B178" s="8" t="s">
        <v>14</v>
      </c>
      <c r="C178" s="8" t="s">
        <v>173</v>
      </c>
      <c r="D178" s="8" t="s">
        <v>1435</v>
      </c>
      <c r="E178" s="9">
        <v>32.07</v>
      </c>
      <c r="F178" s="8" t="s">
        <v>1740</v>
      </c>
      <c r="G178" s="10">
        <v>3824</v>
      </c>
      <c r="H178" s="132">
        <v>46149</v>
      </c>
      <c r="I178" s="143">
        <f t="array" ref="I178">INDEX([46]perbandingan!$H$24:$H$231,MATCH(1,([46]perbandingan!$E$24:$E$231=$D178)*([46]perbandingan!$E$24:$E$231=$D178),0))</f>
        <v>381</v>
      </c>
      <c r="J178" s="9">
        <f t="array" ref="J178">IFERROR(I178/G178*100,0)</f>
        <v>9.9633891213389134</v>
      </c>
      <c r="K178" s="143">
        <f t="array" ref="K178">INDEX([46]perbandingan!$L$24:$L$231,MATCH(1,([46]perbandingan!$E$24:$E$231=$D178)*([46]perbandingan!$E$24:$E$231=$D178),0))</f>
        <v>61</v>
      </c>
      <c r="L178" s="9">
        <f t="shared" si="24"/>
        <v>16.010498687664043</v>
      </c>
      <c r="M178" s="8" t="str">
        <f t="shared" si="27"/>
        <v>Perlu Pengendalian</v>
      </c>
      <c r="N178" s="148"/>
      <c r="O178" s="143" t="e">
        <f>MAX(#REF!,#REF!)</f>
        <v>#REF!</v>
      </c>
      <c r="P178" s="9" t="e">
        <f t="shared" si="28"/>
        <v>#REF!</v>
      </c>
      <c r="Q178" s="143" t="e">
        <f>MAX(#REF!,#REF!)</f>
        <v>#REF!</v>
      </c>
      <c r="R178" s="9">
        <f t="shared" si="25"/>
        <v>0</v>
      </c>
      <c r="S178" s="8" t="str">
        <f t="shared" si="29"/>
        <v>Belum Sensus</v>
      </c>
      <c r="T178" s="148"/>
      <c r="U178" s="143" t="e">
        <f>MAX(#REF!,#REF!)</f>
        <v>#REF!</v>
      </c>
      <c r="V178" s="143" t="e">
        <f>MAX(#REF!,#REF!)</f>
        <v>#REF!</v>
      </c>
      <c r="W178" s="9">
        <f t="shared" si="30"/>
        <v>0</v>
      </c>
      <c r="X178" s="8" t="str">
        <f t="shared" si="31"/>
        <v>Belum Sensus</v>
      </c>
      <c r="Y178" s="178">
        <v>46153</v>
      </c>
      <c r="Z178" s="143">
        <v>38</v>
      </c>
      <c r="AA178" s="9">
        <f t="shared" si="32"/>
        <v>0.99372384937238489</v>
      </c>
      <c r="AB178" s="143">
        <v>13</v>
      </c>
      <c r="AC178" s="9">
        <f t="shared" si="26"/>
        <v>34.210526315789473</v>
      </c>
      <c r="AD178" s="8" t="str">
        <f t="shared" si="33"/>
        <v>Perlu Pengendalian</v>
      </c>
      <c r="AE178" s="178"/>
      <c r="AF178" s="143">
        <v>0</v>
      </c>
      <c r="AG178" s="143">
        <v>0</v>
      </c>
      <c r="AH178" s="9">
        <f t="shared" si="34"/>
        <v>0</v>
      </c>
      <c r="AI178" s="8" t="str">
        <f t="shared" si="35"/>
        <v>Belum Sensus</v>
      </c>
    </row>
    <row r="179" spans="1:35" x14ac:dyDescent="0.2">
      <c r="A179" s="8" t="s">
        <v>1273</v>
      </c>
      <c r="B179" s="8" t="s">
        <v>14</v>
      </c>
      <c r="C179" s="8" t="s">
        <v>173</v>
      </c>
      <c r="D179" s="8" t="s">
        <v>1436</v>
      </c>
      <c r="E179" s="9">
        <v>31.69</v>
      </c>
      <c r="F179" s="8" t="s">
        <v>1740</v>
      </c>
      <c r="G179" s="10">
        <v>3884</v>
      </c>
      <c r="H179" s="132">
        <v>46149</v>
      </c>
      <c r="I179" s="143">
        <f t="array" ref="I179">INDEX([46]perbandingan!$H$24:$H$231,MATCH(1,([46]perbandingan!$E$24:$E$231=$D179)*([46]perbandingan!$E$24:$E$231=$D179),0))</f>
        <v>343</v>
      </c>
      <c r="J179" s="9">
        <f t="array" ref="J179">IFERROR(I179/G179*100,0)</f>
        <v>8.8311019567456217</v>
      </c>
      <c r="K179" s="143">
        <f t="array" ref="K179">INDEX([46]perbandingan!$L$24:$L$231,MATCH(1,([46]perbandingan!$E$24:$E$231=$D179)*([46]perbandingan!$E$24:$E$231=$D179),0))</f>
        <v>140</v>
      </c>
      <c r="L179" s="9">
        <f t="shared" si="24"/>
        <v>40.816326530612244</v>
      </c>
      <c r="M179" s="8" t="str">
        <f t="shared" si="27"/>
        <v>Perlu Pengendalian</v>
      </c>
      <c r="N179" s="148"/>
      <c r="O179" s="143" t="e">
        <f>MAX(#REF!,#REF!)</f>
        <v>#REF!</v>
      </c>
      <c r="P179" s="9" t="e">
        <f t="shared" si="28"/>
        <v>#REF!</v>
      </c>
      <c r="Q179" s="143" t="e">
        <f>MAX(#REF!,#REF!)</f>
        <v>#REF!</v>
      </c>
      <c r="R179" s="9">
        <f t="shared" si="25"/>
        <v>0</v>
      </c>
      <c r="S179" s="8" t="str">
        <f t="shared" si="29"/>
        <v>Belum Sensus</v>
      </c>
      <c r="T179" s="148"/>
      <c r="U179" s="143" t="e">
        <f>MAX(#REF!,#REF!)</f>
        <v>#REF!</v>
      </c>
      <c r="V179" s="143" t="e">
        <f>MAX(#REF!,#REF!)</f>
        <v>#REF!</v>
      </c>
      <c r="W179" s="9">
        <f t="shared" si="30"/>
        <v>0</v>
      </c>
      <c r="X179" s="8" t="str">
        <f t="shared" si="31"/>
        <v>Belum Sensus</v>
      </c>
      <c r="Y179" s="178">
        <v>46153</v>
      </c>
      <c r="Z179" s="143">
        <v>32</v>
      </c>
      <c r="AA179" s="9">
        <f t="shared" si="32"/>
        <v>0.82389289392378984</v>
      </c>
      <c r="AB179" s="143">
        <v>10</v>
      </c>
      <c r="AC179" s="9">
        <f t="shared" si="26"/>
        <v>31.25</v>
      </c>
      <c r="AD179" s="8" t="str">
        <f t="shared" si="33"/>
        <v>Perlu Pengendalian</v>
      </c>
      <c r="AE179" s="178"/>
      <c r="AF179" s="143">
        <v>0</v>
      </c>
      <c r="AG179" s="143">
        <v>0</v>
      </c>
      <c r="AH179" s="9">
        <f t="shared" si="34"/>
        <v>0</v>
      </c>
      <c r="AI179" s="8" t="str">
        <f t="shared" si="35"/>
        <v>Belum Sensus</v>
      </c>
    </row>
    <row r="180" spans="1:35" x14ac:dyDescent="0.2">
      <c r="A180" s="8" t="s">
        <v>1273</v>
      </c>
      <c r="B180" s="8" t="s">
        <v>14</v>
      </c>
      <c r="C180" s="8" t="s">
        <v>173</v>
      </c>
      <c r="D180" s="8" t="s">
        <v>1437</v>
      </c>
      <c r="E180" s="9">
        <v>29.68</v>
      </c>
      <c r="F180" s="8" t="s">
        <v>1740</v>
      </c>
      <c r="G180" s="10">
        <v>3740</v>
      </c>
      <c r="H180" s="132">
        <v>46149</v>
      </c>
      <c r="I180" s="143">
        <f t="array" ref="I180">INDEX([46]perbandingan!$H$24:$H$231,MATCH(1,([46]perbandingan!$E$24:$E$231=$D180)*([46]perbandingan!$E$24:$E$231=$D180),0))</f>
        <v>327</v>
      </c>
      <c r="J180" s="9">
        <f t="array" ref="J180">IFERROR(I180/G180*100,0)</f>
        <v>8.7433155080213911</v>
      </c>
      <c r="K180" s="143">
        <f t="array" ref="K180">INDEX([46]perbandingan!$L$24:$L$231,MATCH(1,([46]perbandingan!$E$24:$E$231=$D180)*([46]perbandingan!$E$24:$E$231=$D180),0))</f>
        <v>23</v>
      </c>
      <c r="L180" s="9">
        <f t="shared" si="24"/>
        <v>7.0336391437308867</v>
      </c>
      <c r="M180" s="8" t="str">
        <f t="shared" si="27"/>
        <v>Perlu Pengendalian</v>
      </c>
      <c r="N180" s="148"/>
      <c r="O180" s="143" t="e">
        <f>MAX(#REF!,#REF!)</f>
        <v>#REF!</v>
      </c>
      <c r="P180" s="9" t="e">
        <f t="shared" si="28"/>
        <v>#REF!</v>
      </c>
      <c r="Q180" s="143" t="e">
        <f>MAX(#REF!,#REF!)</f>
        <v>#REF!</v>
      </c>
      <c r="R180" s="9">
        <f t="shared" si="25"/>
        <v>0</v>
      </c>
      <c r="S180" s="8" t="str">
        <f t="shared" si="29"/>
        <v>Belum Sensus</v>
      </c>
      <c r="T180" s="148"/>
      <c r="U180" s="143" t="e">
        <f>MAX(#REF!,#REF!)</f>
        <v>#REF!</v>
      </c>
      <c r="V180" s="143" t="e">
        <f>MAX(#REF!,#REF!)</f>
        <v>#REF!</v>
      </c>
      <c r="W180" s="9">
        <f t="shared" si="30"/>
        <v>0</v>
      </c>
      <c r="X180" s="8" t="str">
        <f t="shared" si="31"/>
        <v>Belum Sensus</v>
      </c>
      <c r="Y180" s="178">
        <v>46153</v>
      </c>
      <c r="Z180" s="143">
        <v>35</v>
      </c>
      <c r="AA180" s="9">
        <f t="shared" si="32"/>
        <v>0.93582887700534756</v>
      </c>
      <c r="AB180" s="143">
        <v>10</v>
      </c>
      <c r="AC180" s="9">
        <f t="shared" si="26"/>
        <v>28.571428571428569</v>
      </c>
      <c r="AD180" s="8" t="str">
        <f t="shared" si="33"/>
        <v>Perlu Pengendalian</v>
      </c>
      <c r="AE180" s="178"/>
      <c r="AF180" s="143">
        <v>0</v>
      </c>
      <c r="AG180" s="143">
        <v>0</v>
      </c>
      <c r="AH180" s="9">
        <f t="shared" si="34"/>
        <v>0</v>
      </c>
      <c r="AI180" s="8" t="str">
        <f t="shared" si="35"/>
        <v>Belum Sensus</v>
      </c>
    </row>
    <row r="181" spans="1:35" x14ac:dyDescent="0.2">
      <c r="A181" s="8" t="s">
        <v>1273</v>
      </c>
      <c r="B181" s="8" t="s">
        <v>14</v>
      </c>
      <c r="C181" s="8" t="s">
        <v>173</v>
      </c>
      <c r="D181" s="8" t="s">
        <v>1438</v>
      </c>
      <c r="E181" s="9">
        <v>24.94</v>
      </c>
      <c r="F181" s="8" t="s">
        <v>1740</v>
      </c>
      <c r="G181" s="10">
        <v>2599</v>
      </c>
      <c r="H181" s="132">
        <v>46149</v>
      </c>
      <c r="I181" s="143">
        <f t="array" ref="I181">INDEX([46]perbandingan!$H$24:$H$231,MATCH(1,([46]perbandingan!$E$24:$E$231=$D181)*([46]perbandingan!$E$24:$E$231=$D181),0))</f>
        <v>125</v>
      </c>
      <c r="J181" s="9">
        <f t="array" ref="J181">IFERROR(I181/G181*100,0)</f>
        <v>4.8095421315890725</v>
      </c>
      <c r="K181" s="143">
        <f t="array" ref="K181">INDEX([46]perbandingan!$L$24:$L$231,MATCH(1,([46]perbandingan!$E$24:$E$231=$D181)*([46]perbandingan!$E$24:$E$231=$D181),0))</f>
        <v>8</v>
      </c>
      <c r="L181" s="9">
        <f t="shared" si="24"/>
        <v>6.4</v>
      </c>
      <c r="M181" s="8" t="str">
        <f t="shared" si="27"/>
        <v>Perlu Pengendalian</v>
      </c>
      <c r="N181" s="148"/>
      <c r="O181" s="143" t="e">
        <f>MAX(#REF!,#REF!)</f>
        <v>#REF!</v>
      </c>
      <c r="P181" s="9" t="e">
        <f t="shared" si="28"/>
        <v>#REF!</v>
      </c>
      <c r="Q181" s="143" t="e">
        <f>MAX(#REF!,#REF!)</f>
        <v>#REF!</v>
      </c>
      <c r="R181" s="9">
        <f t="shared" si="25"/>
        <v>0</v>
      </c>
      <c r="S181" s="8" t="str">
        <f t="shared" si="29"/>
        <v>Belum Sensus</v>
      </c>
      <c r="T181" s="148"/>
      <c r="U181" s="143" t="e">
        <f>MAX(#REF!,#REF!)</f>
        <v>#REF!</v>
      </c>
      <c r="V181" s="143" t="e">
        <f>MAX(#REF!,#REF!)</f>
        <v>#REF!</v>
      </c>
      <c r="W181" s="9">
        <f t="shared" si="30"/>
        <v>0</v>
      </c>
      <c r="X181" s="8" t="str">
        <f t="shared" si="31"/>
        <v>Belum Sensus</v>
      </c>
      <c r="Y181" s="178"/>
      <c r="Z181" s="143"/>
      <c r="AA181" s="9">
        <f t="shared" si="32"/>
        <v>0</v>
      </c>
      <c r="AB181" s="143"/>
      <c r="AC181" s="9">
        <f t="shared" si="26"/>
        <v>0</v>
      </c>
      <c r="AD181" s="8" t="str">
        <f t="shared" si="33"/>
        <v>Belum Sensus</v>
      </c>
      <c r="AE181" s="178"/>
      <c r="AF181" s="143">
        <v>0</v>
      </c>
      <c r="AG181" s="143">
        <v>0</v>
      </c>
      <c r="AH181" s="9">
        <f t="shared" si="34"/>
        <v>0</v>
      </c>
      <c r="AI181" s="8" t="str">
        <f t="shared" si="35"/>
        <v>Belum Sensus</v>
      </c>
    </row>
    <row r="182" spans="1:35" x14ac:dyDescent="0.2">
      <c r="A182" s="8" t="s">
        <v>1273</v>
      </c>
      <c r="B182" s="8" t="s">
        <v>14</v>
      </c>
      <c r="C182" s="8" t="s">
        <v>173</v>
      </c>
      <c r="D182" s="8" t="s">
        <v>1439</v>
      </c>
      <c r="E182" s="9">
        <v>27.390000000000004</v>
      </c>
      <c r="F182" s="8" t="s">
        <v>1740</v>
      </c>
      <c r="G182" s="10">
        <v>3047</v>
      </c>
      <c r="H182" s="132">
        <v>46149</v>
      </c>
      <c r="I182" s="143">
        <f t="array" ref="I182">INDEX([46]perbandingan!$H$24:$H$231,MATCH(1,([46]perbandingan!$E$24:$E$231=$D182)*([46]perbandingan!$E$24:$E$231=$D182),0))</f>
        <v>313</v>
      </c>
      <c r="J182" s="9">
        <f t="array" ref="J182">IFERROR(I182/G182*100,0)</f>
        <v>10.272399081063341</v>
      </c>
      <c r="K182" s="143">
        <f t="array" ref="K182">INDEX([46]perbandingan!$L$24:$L$231,MATCH(1,([46]perbandingan!$E$24:$E$231=$D182)*([46]perbandingan!$E$24:$E$231=$D182),0))</f>
        <v>42</v>
      </c>
      <c r="L182" s="9">
        <f t="shared" si="24"/>
        <v>13.418530351437699</v>
      </c>
      <c r="M182" s="8" t="str">
        <f t="shared" si="27"/>
        <v>Perlu Pengendalian</v>
      </c>
      <c r="N182" s="148"/>
      <c r="O182" s="143" t="e">
        <f>MAX(#REF!,#REF!)</f>
        <v>#REF!</v>
      </c>
      <c r="P182" s="9" t="e">
        <f t="shared" si="28"/>
        <v>#REF!</v>
      </c>
      <c r="Q182" s="143" t="e">
        <f>MAX(#REF!,#REF!)</f>
        <v>#REF!</v>
      </c>
      <c r="R182" s="9">
        <f t="shared" si="25"/>
        <v>0</v>
      </c>
      <c r="S182" s="8" t="str">
        <f t="shared" si="29"/>
        <v>Belum Sensus</v>
      </c>
      <c r="T182" s="148"/>
      <c r="U182" s="143" t="e">
        <f>MAX(#REF!,#REF!)</f>
        <v>#REF!</v>
      </c>
      <c r="V182" s="143" t="e">
        <f>MAX(#REF!,#REF!)</f>
        <v>#REF!</v>
      </c>
      <c r="W182" s="9">
        <f t="shared" si="30"/>
        <v>0</v>
      </c>
      <c r="X182" s="8" t="str">
        <f t="shared" si="31"/>
        <v>Belum Sensus</v>
      </c>
      <c r="Y182" s="178"/>
      <c r="Z182" s="143"/>
      <c r="AA182" s="9">
        <f t="shared" si="32"/>
        <v>0</v>
      </c>
      <c r="AB182" s="143"/>
      <c r="AC182" s="9">
        <f t="shared" si="26"/>
        <v>0</v>
      </c>
      <c r="AD182" s="8" t="str">
        <f t="shared" si="33"/>
        <v>Belum Sensus</v>
      </c>
      <c r="AE182" s="178">
        <v>46153</v>
      </c>
      <c r="AF182" s="143">
        <v>392</v>
      </c>
      <c r="AG182" s="143">
        <v>104</v>
      </c>
      <c r="AH182" s="9">
        <f t="shared" si="34"/>
        <v>26.530612244897959</v>
      </c>
      <c r="AI182" s="8" t="str">
        <f t="shared" si="35"/>
        <v>Perlu Pengendalian</v>
      </c>
    </row>
    <row r="183" spans="1:35" x14ac:dyDescent="0.2">
      <c r="A183" s="8" t="s">
        <v>1273</v>
      </c>
      <c r="B183" s="8" t="s">
        <v>14</v>
      </c>
      <c r="C183" s="8" t="s">
        <v>173</v>
      </c>
      <c r="D183" s="8" t="s">
        <v>1440</v>
      </c>
      <c r="E183" s="9">
        <v>31.4</v>
      </c>
      <c r="F183" s="8" t="s">
        <v>1740</v>
      </c>
      <c r="G183" s="10">
        <v>4069</v>
      </c>
      <c r="H183" s="132">
        <v>46149</v>
      </c>
      <c r="I183" s="143">
        <f t="array" ref="I183">INDEX([46]perbandingan!$H$24:$H$231,MATCH(1,([46]perbandingan!$E$24:$E$231=$D183)*([46]perbandingan!$E$24:$E$231=$D183),0))</f>
        <v>310</v>
      </c>
      <c r="J183" s="9">
        <f t="array" ref="J183">IFERROR(I183/G183*100,0)</f>
        <v>7.6185795035635291</v>
      </c>
      <c r="K183" s="143">
        <f t="array" ref="K183">INDEX([46]perbandingan!$L$24:$L$231,MATCH(1,([46]perbandingan!$E$24:$E$231=$D183)*([46]perbandingan!$E$24:$E$231=$D183),0))</f>
        <v>27</v>
      </c>
      <c r="L183" s="9">
        <f t="shared" si="24"/>
        <v>8.7096774193548381</v>
      </c>
      <c r="M183" s="8" t="str">
        <f t="shared" si="27"/>
        <v>Perlu Pengendalian</v>
      </c>
      <c r="N183" s="148"/>
      <c r="O183" s="143" t="e">
        <f>MAX(#REF!,#REF!)</f>
        <v>#REF!</v>
      </c>
      <c r="P183" s="9" t="e">
        <f t="shared" si="28"/>
        <v>#REF!</v>
      </c>
      <c r="Q183" s="143" t="e">
        <f>MAX(#REF!,#REF!)</f>
        <v>#REF!</v>
      </c>
      <c r="R183" s="9">
        <f t="shared" si="25"/>
        <v>0</v>
      </c>
      <c r="S183" s="8" t="str">
        <f t="shared" si="29"/>
        <v>Belum Sensus</v>
      </c>
      <c r="T183" s="148"/>
      <c r="U183" s="143" t="e">
        <f>MAX(#REF!,#REF!)</f>
        <v>#REF!</v>
      </c>
      <c r="V183" s="143" t="e">
        <f>MAX(#REF!,#REF!)</f>
        <v>#REF!</v>
      </c>
      <c r="W183" s="9">
        <f t="shared" si="30"/>
        <v>0</v>
      </c>
      <c r="X183" s="8" t="str">
        <f t="shared" si="31"/>
        <v>Belum Sensus</v>
      </c>
      <c r="Y183" s="178"/>
      <c r="Z183" s="143">
        <v>0</v>
      </c>
      <c r="AA183" s="9">
        <f t="shared" si="32"/>
        <v>0</v>
      </c>
      <c r="AB183" s="143">
        <v>0</v>
      </c>
      <c r="AC183" s="9">
        <f t="shared" si="26"/>
        <v>0</v>
      </c>
      <c r="AD183" s="8" t="str">
        <f t="shared" si="33"/>
        <v>Belum Sensus</v>
      </c>
      <c r="AE183" s="178"/>
      <c r="AF183" s="143"/>
      <c r="AG183" s="143"/>
      <c r="AH183" s="9">
        <f t="shared" si="34"/>
        <v>0</v>
      </c>
      <c r="AI183" s="8" t="str">
        <f t="shared" si="35"/>
        <v>Belum Sensus</v>
      </c>
    </row>
    <row r="184" spans="1:35" x14ac:dyDescent="0.2">
      <c r="A184" s="8" t="s">
        <v>1273</v>
      </c>
      <c r="B184" s="8" t="s">
        <v>14</v>
      </c>
      <c r="C184" s="8" t="s">
        <v>216</v>
      </c>
      <c r="D184" s="8" t="s">
        <v>1441</v>
      </c>
      <c r="E184" s="9">
        <v>29.5</v>
      </c>
      <c r="F184" s="8" t="s">
        <v>1740</v>
      </c>
      <c r="G184" s="10">
        <v>3487</v>
      </c>
      <c r="H184" s="132">
        <v>46153</v>
      </c>
      <c r="I184" s="143">
        <f t="array" ref="I184">INDEX([46]perbandingan!$H$24:$H$231,MATCH(1,([46]perbandingan!$E$24:$E$231=$D184)*([46]perbandingan!$E$24:$E$231=$D184),0))</f>
        <v>519</v>
      </c>
      <c r="J184" s="9">
        <f t="array" ref="J184">IFERROR(I184/G184*100,0)</f>
        <v>14.883854316030973</v>
      </c>
      <c r="K184" s="143">
        <f t="array" ref="K184">INDEX([46]perbandingan!$L$24:$L$231,MATCH(1,([46]perbandingan!$E$24:$E$231=$D184)*([46]perbandingan!$E$24:$E$231=$D184),0))</f>
        <v>41</v>
      </c>
      <c r="L184" s="9">
        <f t="shared" si="24"/>
        <v>7.8998073217726397</v>
      </c>
      <c r="M184" s="8" t="str">
        <f t="shared" si="27"/>
        <v>Perlu Pengendalian</v>
      </c>
      <c r="N184" s="148"/>
      <c r="O184" s="143" t="e">
        <f>MAX(#REF!,#REF!)</f>
        <v>#REF!</v>
      </c>
      <c r="P184" s="9" t="e">
        <f t="shared" si="28"/>
        <v>#REF!</v>
      </c>
      <c r="Q184" s="143" t="e">
        <f>MAX(#REF!,#REF!)</f>
        <v>#REF!</v>
      </c>
      <c r="R184" s="9">
        <f t="shared" si="25"/>
        <v>0</v>
      </c>
      <c r="S184" s="8" t="str">
        <f t="shared" si="29"/>
        <v>Belum Sensus</v>
      </c>
      <c r="T184" s="148"/>
      <c r="U184" s="143" t="e">
        <f>MAX(#REF!,#REF!)</f>
        <v>#REF!</v>
      </c>
      <c r="V184" s="143" t="e">
        <f>MAX(#REF!,#REF!)</f>
        <v>#REF!</v>
      </c>
      <c r="W184" s="9">
        <f t="shared" si="30"/>
        <v>0</v>
      </c>
      <c r="X184" s="8" t="str">
        <f t="shared" si="31"/>
        <v>Belum Sensus</v>
      </c>
      <c r="Y184" s="178">
        <v>46153</v>
      </c>
      <c r="Z184" s="143">
        <v>35</v>
      </c>
      <c r="AA184" s="9">
        <f t="shared" si="32"/>
        <v>1.0037281330656724</v>
      </c>
      <c r="AB184" s="143">
        <v>13</v>
      </c>
      <c r="AC184" s="9">
        <f t="shared" si="26"/>
        <v>37.142857142857146</v>
      </c>
      <c r="AD184" s="8" t="str">
        <f t="shared" si="33"/>
        <v>Perlu Pengendalian</v>
      </c>
      <c r="AE184" s="178"/>
      <c r="AF184" s="143">
        <v>0</v>
      </c>
      <c r="AG184" s="143">
        <v>0</v>
      </c>
      <c r="AH184" s="9">
        <f t="shared" si="34"/>
        <v>0</v>
      </c>
      <c r="AI184" s="8" t="str">
        <f t="shared" si="35"/>
        <v>Belum Sensus</v>
      </c>
    </row>
    <row r="185" spans="1:35" x14ac:dyDescent="0.2">
      <c r="A185" s="8" t="s">
        <v>1273</v>
      </c>
      <c r="B185" s="8" t="s">
        <v>14</v>
      </c>
      <c r="C185" s="8" t="s">
        <v>216</v>
      </c>
      <c r="D185" s="8" t="s">
        <v>1442</v>
      </c>
      <c r="E185" s="9">
        <v>31.92</v>
      </c>
      <c r="F185" s="8" t="s">
        <v>1740</v>
      </c>
      <c r="G185" s="10">
        <v>3512</v>
      </c>
      <c r="H185" s="132">
        <v>46153</v>
      </c>
      <c r="I185" s="143">
        <f t="array" ref="I185">INDEX([46]perbandingan!$H$24:$H$231,MATCH(1,([46]perbandingan!$E$24:$E$231=$D185)*([46]perbandingan!$E$24:$E$231=$D185),0))</f>
        <v>373</v>
      </c>
      <c r="J185" s="9">
        <f t="array" ref="J185">IFERROR(I185/G185*100,0)</f>
        <v>10.620728929384967</v>
      </c>
      <c r="K185" s="143">
        <f t="array" ref="K185">INDEX([46]perbandingan!$L$24:$L$231,MATCH(1,([46]perbandingan!$E$24:$E$231=$D185)*([46]perbandingan!$E$24:$E$231=$D185),0))</f>
        <v>39</v>
      </c>
      <c r="L185" s="9">
        <f t="shared" si="24"/>
        <v>10.455764075067025</v>
      </c>
      <c r="M185" s="8" t="str">
        <f t="shared" si="27"/>
        <v>Perlu Pengendalian</v>
      </c>
      <c r="N185" s="148"/>
      <c r="O185" s="143" t="e">
        <f>MAX(#REF!,#REF!)</f>
        <v>#REF!</v>
      </c>
      <c r="P185" s="9" t="e">
        <f t="shared" si="28"/>
        <v>#REF!</v>
      </c>
      <c r="Q185" s="143" t="e">
        <f>MAX(#REF!,#REF!)</f>
        <v>#REF!</v>
      </c>
      <c r="R185" s="9">
        <f t="shared" si="25"/>
        <v>0</v>
      </c>
      <c r="S185" s="8" t="str">
        <f t="shared" si="29"/>
        <v>Belum Sensus</v>
      </c>
      <c r="T185" s="148"/>
      <c r="U185" s="143" t="e">
        <f>MAX(#REF!,#REF!)</f>
        <v>#REF!</v>
      </c>
      <c r="V185" s="143" t="e">
        <f>MAX(#REF!,#REF!)</f>
        <v>#REF!</v>
      </c>
      <c r="W185" s="9">
        <f t="shared" si="30"/>
        <v>0</v>
      </c>
      <c r="X185" s="8" t="str">
        <f t="shared" si="31"/>
        <v>Belum Sensus</v>
      </c>
      <c r="Y185" s="178">
        <v>46153</v>
      </c>
      <c r="Z185" s="143">
        <v>33</v>
      </c>
      <c r="AA185" s="9">
        <f t="shared" si="32"/>
        <v>0.93963553530751698</v>
      </c>
      <c r="AB185" s="143">
        <v>11</v>
      </c>
      <c r="AC185" s="9">
        <f t="shared" si="26"/>
        <v>33.333333333333329</v>
      </c>
      <c r="AD185" s="8" t="str">
        <f t="shared" si="33"/>
        <v>Perlu Pengendalian</v>
      </c>
      <c r="AE185" s="178"/>
      <c r="AF185" s="143">
        <v>0</v>
      </c>
      <c r="AG185" s="143">
        <v>0</v>
      </c>
      <c r="AH185" s="9">
        <f t="shared" si="34"/>
        <v>0</v>
      </c>
      <c r="AI185" s="8" t="str">
        <f t="shared" si="35"/>
        <v>Belum Sensus</v>
      </c>
    </row>
    <row r="186" spans="1:35" x14ac:dyDescent="0.2">
      <c r="A186" s="8" t="s">
        <v>1273</v>
      </c>
      <c r="B186" s="8" t="s">
        <v>14</v>
      </c>
      <c r="C186" s="8" t="s">
        <v>216</v>
      </c>
      <c r="D186" s="8" t="s">
        <v>1443</v>
      </c>
      <c r="E186" s="9">
        <v>28.02</v>
      </c>
      <c r="F186" s="8" t="s">
        <v>1740</v>
      </c>
      <c r="G186" s="10">
        <v>3138</v>
      </c>
      <c r="H186" s="132">
        <v>46153</v>
      </c>
      <c r="I186" s="143">
        <f t="array" ref="I186">INDEX([46]perbandingan!$H$24:$H$231,MATCH(1,([46]perbandingan!$E$24:$E$231=$D186)*([46]perbandingan!$E$24:$E$231=$D186),0))</f>
        <v>355</v>
      </c>
      <c r="J186" s="9">
        <f t="array" ref="J186">IFERROR(I186/G186*100,0)</f>
        <v>11.312938177182918</v>
      </c>
      <c r="K186" s="143">
        <f t="array" ref="K186">INDEX([46]perbandingan!$L$24:$L$231,MATCH(1,([46]perbandingan!$E$24:$E$231=$D186)*([46]perbandingan!$E$24:$E$231=$D186),0))</f>
        <v>38</v>
      </c>
      <c r="L186" s="9">
        <f t="shared" si="24"/>
        <v>10.704225352112676</v>
      </c>
      <c r="M186" s="8" t="str">
        <f t="shared" si="27"/>
        <v>Perlu Pengendalian</v>
      </c>
      <c r="N186" s="148"/>
      <c r="O186" s="143" t="e">
        <f>MAX(#REF!,#REF!)</f>
        <v>#REF!</v>
      </c>
      <c r="P186" s="9" t="e">
        <f t="shared" si="28"/>
        <v>#REF!</v>
      </c>
      <c r="Q186" s="143" t="e">
        <f>MAX(#REF!,#REF!)</f>
        <v>#REF!</v>
      </c>
      <c r="R186" s="9">
        <f t="shared" si="25"/>
        <v>0</v>
      </c>
      <c r="S186" s="8" t="str">
        <f t="shared" si="29"/>
        <v>Belum Sensus</v>
      </c>
      <c r="T186" s="148"/>
      <c r="U186" s="143" t="e">
        <f>MAX(#REF!,#REF!)</f>
        <v>#REF!</v>
      </c>
      <c r="V186" s="143" t="e">
        <f>MAX(#REF!,#REF!)</f>
        <v>#REF!</v>
      </c>
      <c r="W186" s="9">
        <f t="shared" si="30"/>
        <v>0</v>
      </c>
      <c r="X186" s="8" t="str">
        <f t="shared" si="31"/>
        <v>Belum Sensus</v>
      </c>
      <c r="Y186" s="178">
        <v>46153</v>
      </c>
      <c r="Z186" s="143">
        <v>69</v>
      </c>
      <c r="AA186" s="9">
        <f t="shared" si="32"/>
        <v>2.1988527724665392</v>
      </c>
      <c r="AB186" s="143">
        <v>24</v>
      </c>
      <c r="AC186" s="9">
        <f t="shared" si="26"/>
        <v>34.782608695652172</v>
      </c>
      <c r="AD186" s="8" t="str">
        <f t="shared" si="33"/>
        <v>Perlu Pengendalian</v>
      </c>
      <c r="AE186" s="178"/>
      <c r="AF186" s="143">
        <v>0</v>
      </c>
      <c r="AG186" s="143">
        <v>0</v>
      </c>
      <c r="AH186" s="9">
        <f t="shared" si="34"/>
        <v>0</v>
      </c>
      <c r="AI186" s="8" t="str">
        <f t="shared" si="35"/>
        <v>Belum Sensus</v>
      </c>
    </row>
    <row r="187" spans="1:35" x14ac:dyDescent="0.2">
      <c r="A187" s="8" t="s">
        <v>1273</v>
      </c>
      <c r="B187" s="8" t="s">
        <v>14</v>
      </c>
      <c r="C187" s="8" t="s">
        <v>216</v>
      </c>
      <c r="D187" s="8" t="s">
        <v>1444</v>
      </c>
      <c r="E187" s="9">
        <v>28.27</v>
      </c>
      <c r="F187" s="8" t="s">
        <v>1740</v>
      </c>
      <c r="G187" s="10">
        <v>3081</v>
      </c>
      <c r="H187" s="132">
        <v>46153</v>
      </c>
      <c r="I187" s="143">
        <f t="array" ref="I187">INDEX([46]perbandingan!$H$24:$H$231,MATCH(1,([46]perbandingan!$E$24:$E$231=$D187)*([46]perbandingan!$E$24:$E$231=$D187),0))</f>
        <v>369</v>
      </c>
      <c r="J187" s="9">
        <f t="array" ref="J187">IFERROR(I187/G187*100,0)</f>
        <v>11.976630963972736</v>
      </c>
      <c r="K187" s="143">
        <f t="array" ref="K187">INDEX([46]perbandingan!$L$24:$L$231,MATCH(1,([46]perbandingan!$E$24:$E$231=$D187)*([46]perbandingan!$E$24:$E$231=$D187),0))</f>
        <v>41</v>
      </c>
      <c r="L187" s="9">
        <f t="shared" si="24"/>
        <v>11.111111111111111</v>
      </c>
      <c r="M187" s="8" t="str">
        <f t="shared" si="27"/>
        <v>Perlu Pengendalian</v>
      </c>
      <c r="N187" s="148"/>
      <c r="O187" s="143" t="e">
        <f>MAX(#REF!,#REF!)</f>
        <v>#REF!</v>
      </c>
      <c r="P187" s="9" t="e">
        <f t="shared" si="28"/>
        <v>#REF!</v>
      </c>
      <c r="Q187" s="143" t="e">
        <f>MAX(#REF!,#REF!)</f>
        <v>#REF!</v>
      </c>
      <c r="R187" s="9">
        <f t="shared" si="25"/>
        <v>0</v>
      </c>
      <c r="S187" s="8" t="str">
        <f t="shared" si="29"/>
        <v>Belum Sensus</v>
      </c>
      <c r="T187" s="148"/>
      <c r="U187" s="143" t="e">
        <f>MAX(#REF!,#REF!)</f>
        <v>#REF!</v>
      </c>
      <c r="V187" s="143" t="e">
        <f>MAX(#REF!,#REF!)</f>
        <v>#REF!</v>
      </c>
      <c r="W187" s="9">
        <f t="shared" si="30"/>
        <v>0</v>
      </c>
      <c r="X187" s="8" t="str">
        <f t="shared" si="31"/>
        <v>Belum Sensus</v>
      </c>
      <c r="Y187" s="178">
        <v>46153</v>
      </c>
      <c r="Z187" s="143">
        <v>68</v>
      </c>
      <c r="AA187" s="9">
        <f t="shared" si="32"/>
        <v>2.2070756247971439</v>
      </c>
      <c r="AB187" s="143">
        <v>23</v>
      </c>
      <c r="AC187" s="9">
        <f t="shared" si="26"/>
        <v>33.82352941176471</v>
      </c>
      <c r="AD187" s="8" t="str">
        <f t="shared" si="33"/>
        <v>Perlu Pengendalian</v>
      </c>
      <c r="AE187" s="178"/>
      <c r="AF187" s="143">
        <v>0</v>
      </c>
      <c r="AG187" s="143">
        <v>0</v>
      </c>
      <c r="AH187" s="9">
        <f t="shared" si="34"/>
        <v>0</v>
      </c>
      <c r="AI187" s="8" t="str">
        <f t="shared" si="35"/>
        <v>Belum Sensus</v>
      </c>
    </row>
    <row r="188" spans="1:35" x14ac:dyDescent="0.2">
      <c r="A188" s="8" t="s">
        <v>1273</v>
      </c>
      <c r="B188" s="8" t="s">
        <v>14</v>
      </c>
      <c r="C188" s="8" t="s">
        <v>216</v>
      </c>
      <c r="D188" s="8" t="s">
        <v>1445</v>
      </c>
      <c r="E188" s="9">
        <v>28.45</v>
      </c>
      <c r="F188" s="8" t="s">
        <v>1740</v>
      </c>
      <c r="G188" s="10">
        <v>2920</v>
      </c>
      <c r="H188" s="132">
        <v>46153</v>
      </c>
      <c r="I188" s="143">
        <f t="array" ref="I188">INDEX([46]perbandingan!$H$24:$H$231,MATCH(1,([46]perbandingan!$E$24:$E$231=$D188)*([46]perbandingan!$E$24:$E$231=$D188),0))</f>
        <v>323</v>
      </c>
      <c r="J188" s="9">
        <f t="array" ref="J188">IFERROR(I188/G188*100,0)</f>
        <v>11.061643835616438</v>
      </c>
      <c r="K188" s="143">
        <f t="array" ref="K188">INDEX([46]perbandingan!$L$24:$L$231,MATCH(1,([46]perbandingan!$E$24:$E$231=$D188)*([46]perbandingan!$E$24:$E$231=$D188),0))</f>
        <v>43</v>
      </c>
      <c r="L188" s="9">
        <f t="shared" si="24"/>
        <v>13.312693498452013</v>
      </c>
      <c r="M188" s="8" t="str">
        <f t="shared" si="27"/>
        <v>Perlu Pengendalian</v>
      </c>
      <c r="N188" s="148"/>
      <c r="O188" s="143" t="e">
        <f>MAX(#REF!,#REF!)</f>
        <v>#REF!</v>
      </c>
      <c r="P188" s="9" t="e">
        <f t="shared" si="28"/>
        <v>#REF!</v>
      </c>
      <c r="Q188" s="143" t="e">
        <f>MAX(#REF!,#REF!)</f>
        <v>#REF!</v>
      </c>
      <c r="R188" s="9">
        <f t="shared" si="25"/>
        <v>0</v>
      </c>
      <c r="S188" s="8" t="str">
        <f t="shared" si="29"/>
        <v>Belum Sensus</v>
      </c>
      <c r="T188" s="148"/>
      <c r="U188" s="143" t="e">
        <f>MAX(#REF!,#REF!)</f>
        <v>#REF!</v>
      </c>
      <c r="V188" s="143" t="e">
        <f>MAX(#REF!,#REF!)</f>
        <v>#REF!</v>
      </c>
      <c r="W188" s="9">
        <f t="shared" si="30"/>
        <v>0</v>
      </c>
      <c r="X188" s="8" t="str">
        <f t="shared" si="31"/>
        <v>Belum Sensus</v>
      </c>
      <c r="Y188" s="178"/>
      <c r="Z188" s="143">
        <v>0</v>
      </c>
      <c r="AA188" s="9">
        <f t="shared" si="32"/>
        <v>0</v>
      </c>
      <c r="AB188" s="143">
        <v>0</v>
      </c>
      <c r="AC188" s="9">
        <f t="shared" si="26"/>
        <v>0</v>
      </c>
      <c r="AD188" s="8" t="str">
        <f t="shared" si="33"/>
        <v>Belum Sensus</v>
      </c>
      <c r="AE188" s="178"/>
      <c r="AF188" s="143">
        <v>0</v>
      </c>
      <c r="AG188" s="143">
        <v>0</v>
      </c>
      <c r="AH188" s="9">
        <f t="shared" si="34"/>
        <v>0</v>
      </c>
      <c r="AI188" s="8" t="str">
        <f t="shared" si="35"/>
        <v>Belum Sensus</v>
      </c>
    </row>
    <row r="189" spans="1:35" x14ac:dyDescent="0.2">
      <c r="A189" s="8" t="s">
        <v>1273</v>
      </c>
      <c r="B189" s="8" t="s">
        <v>14</v>
      </c>
      <c r="C189" s="8" t="s">
        <v>216</v>
      </c>
      <c r="D189" s="8" t="s">
        <v>1446</v>
      </c>
      <c r="E189" s="9">
        <v>31.65</v>
      </c>
      <c r="F189" s="8" t="s">
        <v>1740</v>
      </c>
      <c r="G189" s="10">
        <v>4187</v>
      </c>
      <c r="H189" s="132">
        <v>46153</v>
      </c>
      <c r="I189" s="143">
        <f t="array" ref="I189">INDEX([46]perbandingan!$H$24:$H$231,MATCH(1,([46]perbandingan!$E$24:$E$231=$D189)*([46]perbandingan!$E$24:$E$231=$D189),0))</f>
        <v>410</v>
      </c>
      <c r="J189" s="9">
        <f t="array" ref="J189">IFERROR(I189/G189*100,0)</f>
        <v>9.7922139957009797</v>
      </c>
      <c r="K189" s="143">
        <f t="array" ref="K189">INDEX([46]perbandingan!$L$24:$L$231,MATCH(1,([46]perbandingan!$E$24:$E$231=$D189)*([46]perbandingan!$E$24:$E$231=$D189),0))</f>
        <v>176</v>
      </c>
      <c r="L189" s="9">
        <f t="shared" si="24"/>
        <v>42.926829268292686</v>
      </c>
      <c r="M189" s="8" t="str">
        <f t="shared" si="27"/>
        <v>Perlu Pengendalian</v>
      </c>
      <c r="N189" s="148"/>
      <c r="O189" s="143" t="e">
        <f>MAX(#REF!,#REF!)</f>
        <v>#REF!</v>
      </c>
      <c r="P189" s="9" t="e">
        <f t="shared" si="28"/>
        <v>#REF!</v>
      </c>
      <c r="Q189" s="143" t="e">
        <f>MAX(#REF!,#REF!)</f>
        <v>#REF!</v>
      </c>
      <c r="R189" s="9">
        <f t="shared" si="25"/>
        <v>0</v>
      </c>
      <c r="S189" s="8" t="str">
        <f t="shared" si="29"/>
        <v>Belum Sensus</v>
      </c>
      <c r="T189" s="148"/>
      <c r="U189" s="143" t="e">
        <f>MAX(#REF!,#REF!)</f>
        <v>#REF!</v>
      </c>
      <c r="V189" s="143" t="e">
        <f>MAX(#REF!,#REF!)</f>
        <v>#REF!</v>
      </c>
      <c r="W189" s="9">
        <f t="shared" si="30"/>
        <v>0</v>
      </c>
      <c r="X189" s="8" t="str">
        <f t="shared" si="31"/>
        <v>Belum Sensus</v>
      </c>
      <c r="Y189" s="178"/>
      <c r="Z189" s="143">
        <v>0</v>
      </c>
      <c r="AA189" s="9">
        <f t="shared" si="32"/>
        <v>0</v>
      </c>
      <c r="AB189" s="143">
        <v>0</v>
      </c>
      <c r="AC189" s="9">
        <f t="shared" si="26"/>
        <v>0</v>
      </c>
      <c r="AD189" s="8" t="str">
        <f t="shared" si="33"/>
        <v>Belum Sensus</v>
      </c>
      <c r="AE189" s="178"/>
      <c r="AF189" s="143">
        <v>0</v>
      </c>
      <c r="AG189" s="143">
        <v>0</v>
      </c>
      <c r="AH189" s="9">
        <f t="shared" si="34"/>
        <v>0</v>
      </c>
      <c r="AI189" s="8" t="str">
        <f t="shared" si="35"/>
        <v>Belum Sensus</v>
      </c>
    </row>
    <row r="190" spans="1:35" x14ac:dyDescent="0.2">
      <c r="A190" s="8" t="s">
        <v>1273</v>
      </c>
      <c r="B190" s="8" t="s">
        <v>14</v>
      </c>
      <c r="C190" s="8" t="s">
        <v>216</v>
      </c>
      <c r="D190" s="8" t="s">
        <v>1447</v>
      </c>
      <c r="E190" s="9">
        <v>23.67</v>
      </c>
      <c r="F190" s="8" t="s">
        <v>1740</v>
      </c>
      <c r="G190" s="10">
        <v>2486</v>
      </c>
      <c r="H190" s="132">
        <v>46149</v>
      </c>
      <c r="I190" s="143">
        <f t="array" ref="I190">INDEX([46]perbandingan!$H$24:$H$231,MATCH(1,([46]perbandingan!$E$24:$E$231=$D190)*([46]perbandingan!$E$24:$E$231=$D190),0))</f>
        <v>394</v>
      </c>
      <c r="J190" s="9">
        <f t="array" ref="J190">IFERROR(I190/G190*100,0)</f>
        <v>15.848753016894609</v>
      </c>
      <c r="K190" s="143">
        <f t="array" ref="K190">INDEX([46]perbandingan!$L$24:$L$231,MATCH(1,([46]perbandingan!$E$24:$E$231=$D190)*([46]perbandingan!$E$24:$E$231=$D190),0))</f>
        <v>10</v>
      </c>
      <c r="L190" s="9">
        <f t="shared" si="24"/>
        <v>2.5380710659898478</v>
      </c>
      <c r="M190" s="8" t="str">
        <f t="shared" si="27"/>
        <v>Perlu Pengendalian</v>
      </c>
      <c r="N190" s="148"/>
      <c r="O190" s="143" t="e">
        <f>MAX(#REF!,#REF!)</f>
        <v>#REF!</v>
      </c>
      <c r="P190" s="9" t="e">
        <f t="shared" si="28"/>
        <v>#REF!</v>
      </c>
      <c r="Q190" s="143" t="e">
        <f>MAX(#REF!,#REF!)</f>
        <v>#REF!</v>
      </c>
      <c r="R190" s="9">
        <f t="shared" si="25"/>
        <v>0</v>
      </c>
      <c r="S190" s="8" t="str">
        <f t="shared" si="29"/>
        <v>Belum Sensus</v>
      </c>
      <c r="T190" s="148"/>
      <c r="U190" s="143" t="e">
        <f>MAX(#REF!,#REF!)</f>
        <v>#REF!</v>
      </c>
      <c r="V190" s="143" t="e">
        <f>MAX(#REF!,#REF!)</f>
        <v>#REF!</v>
      </c>
      <c r="W190" s="9">
        <f t="shared" si="30"/>
        <v>0</v>
      </c>
      <c r="X190" s="8" t="str">
        <f t="shared" si="31"/>
        <v>Belum Sensus</v>
      </c>
      <c r="Y190" s="178"/>
      <c r="Z190" s="143"/>
      <c r="AA190" s="9">
        <f t="shared" si="32"/>
        <v>0</v>
      </c>
      <c r="AB190" s="143"/>
      <c r="AC190" s="9">
        <f t="shared" si="26"/>
        <v>0</v>
      </c>
      <c r="AD190" s="8" t="str">
        <f t="shared" si="33"/>
        <v>Belum Sensus</v>
      </c>
      <c r="AE190" s="178"/>
      <c r="AF190" s="143">
        <v>0</v>
      </c>
      <c r="AG190" s="143">
        <v>0</v>
      </c>
      <c r="AH190" s="9">
        <f t="shared" si="34"/>
        <v>0</v>
      </c>
      <c r="AI190" s="8" t="str">
        <f t="shared" si="35"/>
        <v>Belum Sensus</v>
      </c>
    </row>
    <row r="191" spans="1:35" x14ac:dyDescent="0.2">
      <c r="A191" s="8" t="s">
        <v>1273</v>
      </c>
      <c r="B191" s="8" t="s">
        <v>14</v>
      </c>
      <c r="C191" s="8" t="s">
        <v>216</v>
      </c>
      <c r="D191" s="8" t="s">
        <v>1448</v>
      </c>
      <c r="E191" s="9">
        <v>29</v>
      </c>
      <c r="F191" s="8" t="s">
        <v>1740</v>
      </c>
      <c r="G191" s="10">
        <v>3249</v>
      </c>
      <c r="H191" s="132">
        <v>46149</v>
      </c>
      <c r="I191" s="143">
        <f t="array" ref="I191">INDEX([46]perbandingan!$H$24:$H$231,MATCH(1,([46]perbandingan!$E$24:$E$231=$D191)*([46]perbandingan!$E$24:$E$231=$D191),0))</f>
        <v>375</v>
      </c>
      <c r="J191" s="9">
        <f t="array" ref="J191">IFERROR(I191/G191*100,0)</f>
        <v>11.542012927054477</v>
      </c>
      <c r="K191" s="143">
        <f t="array" ref="K191">INDEX([46]perbandingan!$L$24:$L$231,MATCH(1,([46]perbandingan!$E$24:$E$231=$D191)*([46]perbandingan!$E$24:$E$231=$D191),0))</f>
        <v>23</v>
      </c>
      <c r="L191" s="9">
        <f t="shared" si="24"/>
        <v>6.1333333333333329</v>
      </c>
      <c r="M191" s="8" t="str">
        <f t="shared" si="27"/>
        <v>Perlu Pengendalian</v>
      </c>
      <c r="N191" s="148"/>
      <c r="O191" s="143" t="e">
        <f>MAX(#REF!,#REF!)</f>
        <v>#REF!</v>
      </c>
      <c r="P191" s="9" t="e">
        <f t="shared" si="28"/>
        <v>#REF!</v>
      </c>
      <c r="Q191" s="143" t="e">
        <f>MAX(#REF!,#REF!)</f>
        <v>#REF!</v>
      </c>
      <c r="R191" s="9">
        <f t="shared" si="25"/>
        <v>0</v>
      </c>
      <c r="S191" s="8" t="str">
        <f t="shared" si="29"/>
        <v>Belum Sensus</v>
      </c>
      <c r="T191" s="148"/>
      <c r="U191" s="143" t="e">
        <f>MAX(#REF!,#REF!)</f>
        <v>#REF!</v>
      </c>
      <c r="V191" s="143" t="e">
        <f>MAX(#REF!,#REF!)</f>
        <v>#REF!</v>
      </c>
      <c r="W191" s="9">
        <f t="shared" si="30"/>
        <v>0</v>
      </c>
      <c r="X191" s="8" t="str">
        <f t="shared" si="31"/>
        <v>Belum Sensus</v>
      </c>
      <c r="Y191" s="178"/>
      <c r="Z191" s="143"/>
      <c r="AA191" s="9">
        <f t="shared" si="32"/>
        <v>0</v>
      </c>
      <c r="AB191" s="143"/>
      <c r="AC191" s="9">
        <f t="shared" si="26"/>
        <v>0</v>
      </c>
      <c r="AD191" s="8" t="str">
        <f t="shared" si="33"/>
        <v>Belum Sensus</v>
      </c>
      <c r="AE191" s="178"/>
      <c r="AF191" s="143">
        <v>0</v>
      </c>
      <c r="AG191" s="143">
        <v>0</v>
      </c>
      <c r="AH191" s="9">
        <f t="shared" si="34"/>
        <v>0</v>
      </c>
      <c r="AI191" s="8" t="str">
        <f t="shared" si="35"/>
        <v>Belum Sensus</v>
      </c>
    </row>
    <row r="192" spans="1:35" x14ac:dyDescent="0.2">
      <c r="A192" s="8" t="s">
        <v>1273</v>
      </c>
      <c r="B192" s="8" t="s">
        <v>14</v>
      </c>
      <c r="C192" s="8" t="s">
        <v>216</v>
      </c>
      <c r="D192" s="8" t="s">
        <v>1449</v>
      </c>
      <c r="E192" s="9">
        <v>31.91</v>
      </c>
      <c r="F192" s="8" t="s">
        <v>1740</v>
      </c>
      <c r="G192" s="10">
        <v>3738</v>
      </c>
      <c r="H192" s="132">
        <v>46149</v>
      </c>
      <c r="I192" s="143">
        <f t="array" ref="I192">INDEX([46]perbandingan!$H$24:$H$231,MATCH(1,([46]perbandingan!$E$24:$E$231=$D192)*([46]perbandingan!$E$24:$E$231=$D192),0))</f>
        <v>436</v>
      </c>
      <c r="J192" s="9">
        <f t="array" ref="J192">IFERROR(I192/G192*100,0)</f>
        <v>11.663991439272339</v>
      </c>
      <c r="K192" s="143">
        <f t="array" ref="K192">INDEX([46]perbandingan!$L$24:$L$231,MATCH(1,([46]perbandingan!$E$24:$E$231=$D192)*([46]perbandingan!$E$24:$E$231=$D192),0))</f>
        <v>17</v>
      </c>
      <c r="L192" s="9">
        <f t="shared" si="24"/>
        <v>3.8990825688073398</v>
      </c>
      <c r="M192" s="8" t="str">
        <f t="shared" si="27"/>
        <v>Perlu Pengendalian</v>
      </c>
      <c r="N192" s="148"/>
      <c r="O192" s="143" t="e">
        <f>MAX(#REF!,#REF!)</f>
        <v>#REF!</v>
      </c>
      <c r="P192" s="9" t="e">
        <f t="shared" si="28"/>
        <v>#REF!</v>
      </c>
      <c r="Q192" s="143" t="e">
        <f>MAX(#REF!,#REF!)</f>
        <v>#REF!</v>
      </c>
      <c r="R192" s="9">
        <f t="shared" si="25"/>
        <v>0</v>
      </c>
      <c r="S192" s="8" t="str">
        <f t="shared" si="29"/>
        <v>Belum Sensus</v>
      </c>
      <c r="T192" s="148"/>
      <c r="U192" s="143" t="e">
        <f>MAX(#REF!,#REF!)</f>
        <v>#REF!</v>
      </c>
      <c r="V192" s="143" t="e">
        <f>MAX(#REF!,#REF!)</f>
        <v>#REF!</v>
      </c>
      <c r="W192" s="9">
        <f t="shared" si="30"/>
        <v>0</v>
      </c>
      <c r="X192" s="8" t="str">
        <f t="shared" si="31"/>
        <v>Belum Sensus</v>
      </c>
      <c r="Y192" s="178"/>
      <c r="Z192" s="143"/>
      <c r="AA192" s="9">
        <f t="shared" si="32"/>
        <v>0</v>
      </c>
      <c r="AB192" s="143"/>
      <c r="AC192" s="9">
        <f t="shared" si="26"/>
        <v>0</v>
      </c>
      <c r="AD192" s="8" t="str">
        <f t="shared" si="33"/>
        <v>Belum Sensus</v>
      </c>
      <c r="AE192" s="178"/>
      <c r="AF192" s="143">
        <v>0</v>
      </c>
      <c r="AG192" s="143">
        <v>0</v>
      </c>
      <c r="AH192" s="9">
        <f t="shared" si="34"/>
        <v>0</v>
      </c>
      <c r="AI192" s="8" t="str">
        <f t="shared" si="35"/>
        <v>Belum Sensus</v>
      </c>
    </row>
    <row r="193" spans="1:35" x14ac:dyDescent="0.2">
      <c r="A193" s="8" t="s">
        <v>1273</v>
      </c>
      <c r="B193" s="8" t="s">
        <v>14</v>
      </c>
      <c r="C193" s="8" t="s">
        <v>216</v>
      </c>
      <c r="D193" s="8" t="s">
        <v>1450</v>
      </c>
      <c r="E193" s="9">
        <v>27.73</v>
      </c>
      <c r="F193" s="8" t="s">
        <v>1740</v>
      </c>
      <c r="G193" s="10">
        <v>3224</v>
      </c>
      <c r="H193" s="132">
        <v>46149</v>
      </c>
      <c r="I193" s="143">
        <f t="array" ref="I193">INDEX([46]perbandingan!$H$24:$H$231,MATCH(1,([46]perbandingan!$E$24:$E$231=$D193)*([46]perbandingan!$E$24:$E$231=$D193),0))</f>
        <v>356</v>
      </c>
      <c r="J193" s="9">
        <f t="array" ref="J193">IFERROR(I193/G193*100,0)</f>
        <v>11.042183622828784</v>
      </c>
      <c r="K193" s="143">
        <f t="array" ref="K193">INDEX([46]perbandingan!$L$24:$L$231,MATCH(1,([46]perbandingan!$E$24:$E$231=$D193)*([46]perbandingan!$E$24:$E$231=$D193),0))</f>
        <v>38</v>
      </c>
      <c r="L193" s="9">
        <f t="shared" si="24"/>
        <v>10.674157303370785</v>
      </c>
      <c r="M193" s="8" t="str">
        <f t="shared" si="27"/>
        <v>Perlu Pengendalian</v>
      </c>
      <c r="N193" s="148"/>
      <c r="O193" s="143" t="e">
        <f>MAX(#REF!,#REF!)</f>
        <v>#REF!</v>
      </c>
      <c r="P193" s="9" t="e">
        <f t="shared" si="28"/>
        <v>#REF!</v>
      </c>
      <c r="Q193" s="143" t="e">
        <f>MAX(#REF!,#REF!)</f>
        <v>#REF!</v>
      </c>
      <c r="R193" s="9">
        <f t="shared" si="25"/>
        <v>0</v>
      </c>
      <c r="S193" s="8" t="str">
        <f t="shared" si="29"/>
        <v>Belum Sensus</v>
      </c>
      <c r="T193" s="148"/>
      <c r="U193" s="143" t="e">
        <f>MAX(#REF!,#REF!)</f>
        <v>#REF!</v>
      </c>
      <c r="V193" s="143" t="e">
        <f>MAX(#REF!,#REF!)</f>
        <v>#REF!</v>
      </c>
      <c r="W193" s="9">
        <f t="shared" si="30"/>
        <v>0</v>
      </c>
      <c r="X193" s="8" t="str">
        <f t="shared" si="31"/>
        <v>Belum Sensus</v>
      </c>
      <c r="Y193" s="178"/>
      <c r="Z193" s="143"/>
      <c r="AA193" s="9">
        <f t="shared" si="32"/>
        <v>0</v>
      </c>
      <c r="AB193" s="143"/>
      <c r="AC193" s="9">
        <f t="shared" si="26"/>
        <v>0</v>
      </c>
      <c r="AD193" s="8" t="str">
        <f t="shared" si="33"/>
        <v>Belum Sensus</v>
      </c>
      <c r="AE193" s="178"/>
      <c r="AF193" s="143">
        <v>0</v>
      </c>
      <c r="AG193" s="143">
        <v>0</v>
      </c>
      <c r="AH193" s="9">
        <f t="shared" si="34"/>
        <v>0</v>
      </c>
      <c r="AI193" s="8" t="str">
        <f t="shared" si="35"/>
        <v>Belum Sensus</v>
      </c>
    </row>
    <row r="194" spans="1:35" x14ac:dyDescent="0.2">
      <c r="A194" s="8" t="s">
        <v>1273</v>
      </c>
      <c r="B194" s="8" t="s">
        <v>14</v>
      </c>
      <c r="C194" s="8" t="s">
        <v>216</v>
      </c>
      <c r="D194" s="8" t="s">
        <v>1451</v>
      </c>
      <c r="E194" s="9">
        <v>29.14</v>
      </c>
      <c r="F194" s="8" t="s">
        <v>1740</v>
      </c>
      <c r="G194" s="10">
        <v>3074</v>
      </c>
      <c r="H194" s="132">
        <v>46149</v>
      </c>
      <c r="I194" s="143">
        <f t="array" ref="I194">INDEX([46]perbandingan!$H$24:$H$231,MATCH(1,([46]perbandingan!$E$24:$E$231=$D194)*([46]perbandingan!$E$24:$E$231=$D194),0))</f>
        <v>413</v>
      </c>
      <c r="J194" s="9">
        <f t="array" ref="J194">IFERROR(I194/G194*100,0)</f>
        <v>13.435263500325309</v>
      </c>
      <c r="K194" s="143">
        <f t="array" ref="K194">INDEX([46]perbandingan!$L$24:$L$231,MATCH(1,([46]perbandingan!$E$24:$E$231=$D194)*([46]perbandingan!$E$24:$E$231=$D194),0))</f>
        <v>42</v>
      </c>
      <c r="L194" s="9">
        <f t="shared" si="24"/>
        <v>10.16949152542373</v>
      </c>
      <c r="M194" s="8" t="str">
        <f t="shared" si="27"/>
        <v>Perlu Pengendalian</v>
      </c>
      <c r="N194" s="148"/>
      <c r="O194" s="143" t="e">
        <f>MAX(#REF!,#REF!)</f>
        <v>#REF!</v>
      </c>
      <c r="P194" s="9" t="e">
        <f t="shared" si="28"/>
        <v>#REF!</v>
      </c>
      <c r="Q194" s="143" t="e">
        <f>MAX(#REF!,#REF!)</f>
        <v>#REF!</v>
      </c>
      <c r="R194" s="9">
        <f t="shared" si="25"/>
        <v>0</v>
      </c>
      <c r="S194" s="8" t="str">
        <f t="shared" si="29"/>
        <v>Belum Sensus</v>
      </c>
      <c r="T194" s="148"/>
      <c r="U194" s="143" t="e">
        <f>MAX(#REF!,#REF!)</f>
        <v>#REF!</v>
      </c>
      <c r="V194" s="143" t="e">
        <f>MAX(#REF!,#REF!)</f>
        <v>#REF!</v>
      </c>
      <c r="W194" s="9">
        <f t="shared" si="30"/>
        <v>0</v>
      </c>
      <c r="X194" s="8" t="str">
        <f t="shared" si="31"/>
        <v>Belum Sensus</v>
      </c>
      <c r="Y194" s="178"/>
      <c r="Z194" s="143">
        <v>0</v>
      </c>
      <c r="AA194" s="9">
        <f t="shared" si="32"/>
        <v>0</v>
      </c>
      <c r="AB194" s="143">
        <v>0</v>
      </c>
      <c r="AC194" s="9">
        <f t="shared" si="26"/>
        <v>0</v>
      </c>
      <c r="AD194" s="8" t="str">
        <f t="shared" si="33"/>
        <v>Belum Sensus</v>
      </c>
      <c r="AE194" s="178"/>
      <c r="AF194" s="143">
        <v>0</v>
      </c>
      <c r="AG194" s="143">
        <v>0</v>
      </c>
      <c r="AH194" s="9">
        <f t="shared" si="34"/>
        <v>0</v>
      </c>
      <c r="AI194" s="8" t="str">
        <f t="shared" si="35"/>
        <v>Belum Sensus</v>
      </c>
    </row>
    <row r="195" spans="1:35" x14ac:dyDescent="0.2">
      <c r="A195" s="8" t="s">
        <v>1273</v>
      </c>
      <c r="B195" s="8" t="s">
        <v>14</v>
      </c>
      <c r="C195" s="8" t="s">
        <v>216</v>
      </c>
      <c r="D195" s="8" t="s">
        <v>1452</v>
      </c>
      <c r="E195" s="9">
        <v>26.37</v>
      </c>
      <c r="F195" s="8" t="s">
        <v>1740</v>
      </c>
      <c r="G195" s="10">
        <v>3167</v>
      </c>
      <c r="H195" s="132">
        <v>46149</v>
      </c>
      <c r="I195" s="143">
        <f t="array" ref="I195">INDEX([46]perbandingan!$H$24:$H$231,MATCH(1,([46]perbandingan!$E$24:$E$231=$D195)*([46]perbandingan!$E$24:$E$231=$D195),0))</f>
        <v>618</v>
      </c>
      <c r="J195" s="9">
        <f t="array" ref="J195">IFERROR(I195/G195*100,0)</f>
        <v>19.513735396274075</v>
      </c>
      <c r="K195" s="143">
        <f t="array" ref="K195">INDEX([46]perbandingan!$L$24:$L$231,MATCH(1,([46]perbandingan!$E$24:$E$231=$D195)*([46]perbandingan!$E$24:$E$231=$D195),0))</f>
        <v>56</v>
      </c>
      <c r="L195" s="9">
        <f t="shared" si="24"/>
        <v>9.0614886731391593</v>
      </c>
      <c r="M195" s="8" t="str">
        <f t="shared" si="27"/>
        <v>Perlu Pengendalian</v>
      </c>
      <c r="N195" s="148"/>
      <c r="O195" s="143" t="e">
        <f>MAX(#REF!,#REF!)</f>
        <v>#REF!</v>
      </c>
      <c r="P195" s="9" t="e">
        <f t="shared" si="28"/>
        <v>#REF!</v>
      </c>
      <c r="Q195" s="143" t="e">
        <f>MAX(#REF!,#REF!)</f>
        <v>#REF!</v>
      </c>
      <c r="R195" s="9">
        <f t="shared" si="25"/>
        <v>0</v>
      </c>
      <c r="S195" s="8" t="str">
        <f t="shared" si="29"/>
        <v>Belum Sensus</v>
      </c>
      <c r="T195" s="148"/>
      <c r="U195" s="143" t="e">
        <f>MAX(#REF!,#REF!)</f>
        <v>#REF!</v>
      </c>
      <c r="V195" s="143" t="e">
        <f>MAX(#REF!,#REF!)</f>
        <v>#REF!</v>
      </c>
      <c r="W195" s="9">
        <f t="shared" si="30"/>
        <v>0</v>
      </c>
      <c r="X195" s="8" t="str">
        <f t="shared" si="31"/>
        <v>Belum Sensus</v>
      </c>
      <c r="Y195" s="178">
        <v>46153</v>
      </c>
      <c r="Z195" s="143">
        <v>33</v>
      </c>
      <c r="AA195" s="9">
        <f t="shared" si="32"/>
        <v>1.0419955794126934</v>
      </c>
      <c r="AB195" s="143">
        <v>13</v>
      </c>
      <c r="AC195" s="9">
        <f t="shared" si="26"/>
        <v>39.393939393939391</v>
      </c>
      <c r="AD195" s="8" t="str">
        <f t="shared" si="33"/>
        <v>Perlu Pengendalian</v>
      </c>
      <c r="AE195" s="178"/>
      <c r="AF195" s="143">
        <v>0</v>
      </c>
      <c r="AG195" s="143">
        <v>0</v>
      </c>
      <c r="AH195" s="9">
        <f t="shared" si="34"/>
        <v>0</v>
      </c>
      <c r="AI195" s="8" t="str">
        <f t="shared" si="35"/>
        <v>Belum Sensus</v>
      </c>
    </row>
    <row r="196" spans="1:35" x14ac:dyDescent="0.2">
      <c r="A196" s="8" t="s">
        <v>1273</v>
      </c>
      <c r="B196" s="8" t="s">
        <v>14</v>
      </c>
      <c r="C196" s="8" t="s">
        <v>216</v>
      </c>
      <c r="D196" s="8" t="s">
        <v>1453</v>
      </c>
      <c r="E196" s="9">
        <v>26.89</v>
      </c>
      <c r="F196" s="8" t="s">
        <v>1740</v>
      </c>
      <c r="G196" s="10">
        <v>2811</v>
      </c>
      <c r="H196" s="132">
        <v>46149</v>
      </c>
      <c r="I196" s="143">
        <f t="array" ref="I196">INDEX([46]perbandingan!$H$24:$H$231,MATCH(1,([46]perbandingan!$E$24:$E$231=$D196)*([46]perbandingan!$E$24:$E$231=$D196),0))</f>
        <v>329</v>
      </c>
      <c r="J196" s="9">
        <f t="array" ref="J196">IFERROR(I196/G196*100,0)</f>
        <v>11.704019921736036</v>
      </c>
      <c r="K196" s="143">
        <f t="array" ref="K196">INDEX([46]perbandingan!$L$24:$L$231,MATCH(1,([46]perbandingan!$E$24:$E$231=$D196)*([46]perbandingan!$E$24:$E$231=$D196),0))</f>
        <v>47</v>
      </c>
      <c r="L196" s="9">
        <f t="shared" si="24"/>
        <v>14.285714285714285</v>
      </c>
      <c r="M196" s="8" t="str">
        <f t="shared" si="27"/>
        <v>Perlu Pengendalian</v>
      </c>
      <c r="N196" s="148"/>
      <c r="O196" s="143" t="e">
        <f>MAX(#REF!,#REF!)</f>
        <v>#REF!</v>
      </c>
      <c r="P196" s="9" t="e">
        <f t="shared" si="28"/>
        <v>#REF!</v>
      </c>
      <c r="Q196" s="143" t="e">
        <f>MAX(#REF!,#REF!)</f>
        <v>#REF!</v>
      </c>
      <c r="R196" s="9">
        <f t="shared" si="25"/>
        <v>0</v>
      </c>
      <c r="S196" s="8" t="str">
        <f t="shared" si="29"/>
        <v>Belum Sensus</v>
      </c>
      <c r="T196" s="148"/>
      <c r="U196" s="143" t="e">
        <f>MAX(#REF!,#REF!)</f>
        <v>#REF!</v>
      </c>
      <c r="V196" s="143" t="e">
        <f>MAX(#REF!,#REF!)</f>
        <v>#REF!</v>
      </c>
      <c r="W196" s="9">
        <f t="shared" si="30"/>
        <v>0</v>
      </c>
      <c r="X196" s="8" t="str">
        <f t="shared" si="31"/>
        <v>Belum Sensus</v>
      </c>
      <c r="Y196" s="178">
        <v>46153</v>
      </c>
      <c r="Z196" s="143">
        <v>32</v>
      </c>
      <c r="AA196" s="9">
        <f t="shared" si="32"/>
        <v>1.1383849163998576</v>
      </c>
      <c r="AB196" s="143">
        <v>15</v>
      </c>
      <c r="AC196" s="9">
        <f t="shared" si="26"/>
        <v>46.875</v>
      </c>
      <c r="AD196" s="8" t="str">
        <f t="shared" si="33"/>
        <v>Perlu Pengendalian</v>
      </c>
      <c r="AE196" s="178"/>
      <c r="AF196" s="143">
        <v>0</v>
      </c>
      <c r="AG196" s="143">
        <v>0</v>
      </c>
      <c r="AH196" s="9">
        <f t="shared" si="34"/>
        <v>0</v>
      </c>
      <c r="AI196" s="8" t="str">
        <f t="shared" si="35"/>
        <v>Belum Sensus</v>
      </c>
    </row>
    <row r="197" spans="1:35" x14ac:dyDescent="0.2">
      <c r="A197" s="8" t="s">
        <v>1273</v>
      </c>
      <c r="B197" s="8" t="s">
        <v>14</v>
      </c>
      <c r="C197" s="8" t="s">
        <v>216</v>
      </c>
      <c r="D197" s="8" t="s">
        <v>1454</v>
      </c>
      <c r="E197" s="9">
        <v>34.14</v>
      </c>
      <c r="F197" s="8" t="s">
        <v>1740</v>
      </c>
      <c r="G197" s="10">
        <v>3762</v>
      </c>
      <c r="H197" s="132">
        <v>46149</v>
      </c>
      <c r="I197" s="143">
        <f t="array" ref="I197">INDEX([46]perbandingan!$H$24:$H$231,MATCH(1,([46]perbandingan!$E$24:$E$231=$D197)*([46]perbandingan!$E$24:$E$231=$D197),0))</f>
        <v>423</v>
      </c>
      <c r="J197" s="9">
        <f t="array" ref="J197">IFERROR(I197/G197*100,0)</f>
        <v>11.244019138755981</v>
      </c>
      <c r="K197" s="143">
        <f t="array" ref="K197">INDEX([46]perbandingan!$L$24:$L$231,MATCH(1,([46]perbandingan!$E$24:$E$231=$D197)*([46]perbandingan!$E$24:$E$231=$D197),0))</f>
        <v>56</v>
      </c>
      <c r="L197" s="9">
        <f t="shared" ref="L197:L260" si="36">IFERROR(K197/I197*100,0)</f>
        <v>13.238770685579196</v>
      </c>
      <c r="M197" s="8" t="str">
        <f t="shared" si="27"/>
        <v>Perlu Pengendalian</v>
      </c>
      <c r="N197" s="148"/>
      <c r="O197" s="143" t="e">
        <f>MAX(#REF!,#REF!)</f>
        <v>#REF!</v>
      </c>
      <c r="P197" s="9" t="e">
        <f t="shared" si="28"/>
        <v>#REF!</v>
      </c>
      <c r="Q197" s="143" t="e">
        <f>MAX(#REF!,#REF!)</f>
        <v>#REF!</v>
      </c>
      <c r="R197" s="9">
        <f t="shared" ref="R197:R260" si="37">IFERROR(Q197/O197*100,0)</f>
        <v>0</v>
      </c>
      <c r="S197" s="8" t="str">
        <f t="shared" si="29"/>
        <v>Belum Sensus</v>
      </c>
      <c r="T197" s="148"/>
      <c r="U197" s="143" t="e">
        <f>MAX(#REF!,#REF!)</f>
        <v>#REF!</v>
      </c>
      <c r="V197" s="143" t="e">
        <f>MAX(#REF!,#REF!)</f>
        <v>#REF!</v>
      </c>
      <c r="W197" s="9">
        <f t="shared" si="30"/>
        <v>0</v>
      </c>
      <c r="X197" s="8" t="str">
        <f t="shared" si="31"/>
        <v>Belum Sensus</v>
      </c>
      <c r="Y197" s="178"/>
      <c r="Z197" s="143">
        <v>0</v>
      </c>
      <c r="AA197" s="9">
        <f t="shared" si="32"/>
        <v>0</v>
      </c>
      <c r="AB197" s="143">
        <v>0</v>
      </c>
      <c r="AC197" s="9">
        <f t="shared" ref="AC197:AC260" si="38">IFERROR(AB197/Z197*100,0)</f>
        <v>0</v>
      </c>
      <c r="AD197" s="8" t="str">
        <f t="shared" si="33"/>
        <v>Belum Sensus</v>
      </c>
      <c r="AE197" s="178"/>
      <c r="AF197" s="143">
        <v>0</v>
      </c>
      <c r="AG197" s="143">
        <v>0</v>
      </c>
      <c r="AH197" s="9">
        <f t="shared" si="34"/>
        <v>0</v>
      </c>
      <c r="AI197" s="8" t="str">
        <f t="shared" si="35"/>
        <v>Belum Sensus</v>
      </c>
    </row>
    <row r="198" spans="1:35" x14ac:dyDescent="0.2">
      <c r="A198" s="8" t="s">
        <v>1273</v>
      </c>
      <c r="B198" s="8" t="s">
        <v>14</v>
      </c>
      <c r="C198" s="8" t="s">
        <v>216</v>
      </c>
      <c r="D198" s="8" t="s">
        <v>1455</v>
      </c>
      <c r="E198" s="9">
        <v>26.68</v>
      </c>
      <c r="F198" s="8" t="s">
        <v>1740</v>
      </c>
      <c r="G198" s="10">
        <v>3548</v>
      </c>
      <c r="H198" s="132">
        <v>46149</v>
      </c>
      <c r="I198" s="143">
        <f t="array" ref="I198">INDEX([46]perbandingan!$H$24:$H$231,MATCH(1,([46]perbandingan!$E$24:$E$231=$D198)*([46]perbandingan!$E$24:$E$231=$D198),0))</f>
        <v>526</v>
      </c>
      <c r="J198" s="9">
        <f t="array" ref="J198">IFERROR(I198/G198*100,0)</f>
        <v>14.825253664036076</v>
      </c>
      <c r="K198" s="143">
        <f t="array" ref="K198">INDEX([46]perbandingan!$L$24:$L$231,MATCH(1,([46]perbandingan!$E$24:$E$231=$D198)*([46]perbandingan!$E$24:$E$231=$D198),0))</f>
        <v>77</v>
      </c>
      <c r="L198" s="9">
        <f t="shared" si="36"/>
        <v>14.638783269961978</v>
      </c>
      <c r="M198" s="8" t="str">
        <f t="shared" ref="M198:M261" si="39">IF(L198&gt;2,"Perlu Pengendalian",IF(L198&gt;0,"Tidak Perlu Pengendalian","Belum Sensus"))</f>
        <v>Perlu Pengendalian</v>
      </c>
      <c r="N198" s="148"/>
      <c r="O198" s="143" t="e">
        <f>MAX(#REF!,#REF!)</f>
        <v>#REF!</v>
      </c>
      <c r="P198" s="9" t="e">
        <f t="shared" ref="P198:P261" si="40">O198/G198*100</f>
        <v>#REF!</v>
      </c>
      <c r="Q198" s="143" t="e">
        <f>MAX(#REF!,#REF!)</f>
        <v>#REF!</v>
      </c>
      <c r="R198" s="9">
        <f t="shared" si="37"/>
        <v>0</v>
      </c>
      <c r="S198" s="8" t="str">
        <f t="shared" ref="S198:S261" si="41">IF(R198&gt;2,"Perlu Pengendalian",IF(R198&gt;0,"Tidak Perlu Pengendalian","Belum Sensus"))</f>
        <v>Belum Sensus</v>
      </c>
      <c r="T198" s="148"/>
      <c r="U198" s="143" t="e">
        <f>MAX(#REF!,#REF!)</f>
        <v>#REF!</v>
      </c>
      <c r="V198" s="143" t="e">
        <f>MAX(#REF!,#REF!)</f>
        <v>#REF!</v>
      </c>
      <c r="W198" s="9">
        <f t="shared" ref="W198:W261" si="42">IFERROR(V198/U198*100,0)</f>
        <v>0</v>
      </c>
      <c r="X198" s="8" t="str">
        <f t="shared" ref="X198:X261" si="43">IF(W198&gt;2,"Perlu Pengendalian",IF(W198&gt;0,"Tidak Perlu Pengendalian","Belum Sensus"))</f>
        <v>Belum Sensus</v>
      </c>
      <c r="Y198" s="178"/>
      <c r="Z198" s="143">
        <v>0</v>
      </c>
      <c r="AA198" s="9">
        <f t="shared" ref="AA198:AA261" si="44">Z198/G198*100</f>
        <v>0</v>
      </c>
      <c r="AB198" s="143">
        <v>0</v>
      </c>
      <c r="AC198" s="9">
        <f t="shared" si="38"/>
        <v>0</v>
      </c>
      <c r="AD198" s="8" t="str">
        <f t="shared" ref="AD198:AD261" si="45">IF(AC198&gt;2,"Perlu Pengendalian",IF(AC198&gt;0,"Tidak Perlu Pengendalian","Belum Sensus"))</f>
        <v>Belum Sensus</v>
      </c>
      <c r="AE198" s="178"/>
      <c r="AF198" s="143">
        <v>0</v>
      </c>
      <c r="AG198" s="143">
        <v>0</v>
      </c>
      <c r="AH198" s="9">
        <f t="shared" ref="AH198:AH261" si="46">IFERROR(AG198/AF198*100,0)</f>
        <v>0</v>
      </c>
      <c r="AI198" s="8" t="str">
        <f t="shared" ref="AI198:AI261" si="47">IF(AH198&gt;2,"Perlu Pengendalian",IF(AH198&gt;0,"Tidak Perlu Pengendalian","Belum Sensus"))</f>
        <v>Belum Sensus</v>
      </c>
    </row>
    <row r="199" spans="1:35" x14ac:dyDescent="0.2">
      <c r="A199" s="8" t="s">
        <v>1273</v>
      </c>
      <c r="B199" s="8" t="s">
        <v>14</v>
      </c>
      <c r="C199" s="8" t="s">
        <v>216</v>
      </c>
      <c r="D199" s="8" t="s">
        <v>1456</v>
      </c>
      <c r="E199" s="9">
        <v>32.479999999999997</v>
      </c>
      <c r="F199" s="8" t="s">
        <v>1740</v>
      </c>
      <c r="G199" s="10">
        <v>3466</v>
      </c>
      <c r="H199" s="132">
        <v>46149</v>
      </c>
      <c r="I199" s="143">
        <f t="array" ref="I199">INDEX([46]perbandingan!$H$24:$H$231,MATCH(1,([46]perbandingan!$E$24:$E$231=$D199)*([46]perbandingan!$E$24:$E$231=$D199),0))</f>
        <v>361</v>
      </c>
      <c r="J199" s="9">
        <f t="array" ref="J199">IFERROR(I199/G199*100,0)</f>
        <v>10.415464512406231</v>
      </c>
      <c r="K199" s="143">
        <f t="array" ref="K199">INDEX([46]perbandingan!$L$24:$L$231,MATCH(1,([46]perbandingan!$E$24:$E$231=$D199)*([46]perbandingan!$E$24:$E$231=$D199),0))</f>
        <v>46</v>
      </c>
      <c r="L199" s="9">
        <f t="shared" si="36"/>
        <v>12.742382271468145</v>
      </c>
      <c r="M199" s="8" t="str">
        <f t="shared" si="39"/>
        <v>Perlu Pengendalian</v>
      </c>
      <c r="N199" s="148"/>
      <c r="O199" s="143" t="e">
        <f>MAX(#REF!,#REF!)</f>
        <v>#REF!</v>
      </c>
      <c r="P199" s="9" t="e">
        <f t="shared" si="40"/>
        <v>#REF!</v>
      </c>
      <c r="Q199" s="143" t="e">
        <f>MAX(#REF!,#REF!)</f>
        <v>#REF!</v>
      </c>
      <c r="R199" s="9">
        <f t="shared" si="37"/>
        <v>0</v>
      </c>
      <c r="S199" s="8" t="str">
        <f t="shared" si="41"/>
        <v>Belum Sensus</v>
      </c>
      <c r="T199" s="148"/>
      <c r="U199" s="143" t="e">
        <f>MAX(#REF!,#REF!)</f>
        <v>#REF!</v>
      </c>
      <c r="V199" s="143" t="e">
        <f>MAX(#REF!,#REF!)</f>
        <v>#REF!</v>
      </c>
      <c r="W199" s="9">
        <f t="shared" si="42"/>
        <v>0</v>
      </c>
      <c r="X199" s="8" t="str">
        <f t="shared" si="43"/>
        <v>Belum Sensus</v>
      </c>
      <c r="Y199" s="178">
        <v>46153</v>
      </c>
      <c r="Z199" s="143">
        <v>95</v>
      </c>
      <c r="AA199" s="9">
        <f t="shared" si="44"/>
        <v>2.7409117137911139</v>
      </c>
      <c r="AB199" s="143">
        <v>21</v>
      </c>
      <c r="AC199" s="9">
        <f t="shared" si="38"/>
        <v>22.105263157894736</v>
      </c>
      <c r="AD199" s="8" t="str">
        <f t="shared" si="45"/>
        <v>Perlu Pengendalian</v>
      </c>
      <c r="AE199" s="178"/>
      <c r="AF199" s="143">
        <v>0</v>
      </c>
      <c r="AG199" s="143">
        <v>0</v>
      </c>
      <c r="AH199" s="9">
        <f t="shared" si="46"/>
        <v>0</v>
      </c>
      <c r="AI199" s="8" t="str">
        <f t="shared" si="47"/>
        <v>Belum Sensus</v>
      </c>
    </row>
    <row r="200" spans="1:35" x14ac:dyDescent="0.2">
      <c r="A200" s="8" t="s">
        <v>1273</v>
      </c>
      <c r="B200" s="8" t="s">
        <v>14</v>
      </c>
      <c r="C200" s="8" t="s">
        <v>216</v>
      </c>
      <c r="D200" s="8" t="s">
        <v>1457</v>
      </c>
      <c r="E200" s="9">
        <v>31.58</v>
      </c>
      <c r="F200" s="8" t="s">
        <v>1740</v>
      </c>
      <c r="G200" s="10">
        <v>3871</v>
      </c>
      <c r="H200" s="132">
        <v>46149</v>
      </c>
      <c r="I200" s="143">
        <f t="array" ref="I200">INDEX([46]perbandingan!$H$24:$H$231,MATCH(1,([46]perbandingan!$E$24:$E$231=$D200)*([46]perbandingan!$E$24:$E$231=$D200),0))</f>
        <v>373</v>
      </c>
      <c r="J200" s="9">
        <f t="array" ref="J200">IFERROR(I200/G200*100,0)</f>
        <v>9.635753035391371</v>
      </c>
      <c r="K200" s="143">
        <f t="array" ref="K200">INDEX([46]perbandingan!$L$24:$L$231,MATCH(1,([46]perbandingan!$E$24:$E$231=$D200)*([46]perbandingan!$E$24:$E$231=$D200),0))</f>
        <v>92</v>
      </c>
      <c r="L200" s="9">
        <f t="shared" si="36"/>
        <v>24.664879356568363</v>
      </c>
      <c r="M200" s="8" t="str">
        <f t="shared" si="39"/>
        <v>Perlu Pengendalian</v>
      </c>
      <c r="N200" s="148"/>
      <c r="O200" s="143" t="e">
        <f>MAX(#REF!,#REF!)</f>
        <v>#REF!</v>
      </c>
      <c r="P200" s="9" t="e">
        <f t="shared" si="40"/>
        <v>#REF!</v>
      </c>
      <c r="Q200" s="143" t="e">
        <f>MAX(#REF!,#REF!)</f>
        <v>#REF!</v>
      </c>
      <c r="R200" s="9">
        <f t="shared" si="37"/>
        <v>0</v>
      </c>
      <c r="S200" s="8" t="str">
        <f t="shared" si="41"/>
        <v>Belum Sensus</v>
      </c>
      <c r="T200" s="148"/>
      <c r="U200" s="143" t="e">
        <f>MAX(#REF!,#REF!)</f>
        <v>#REF!</v>
      </c>
      <c r="V200" s="143" t="e">
        <f>MAX(#REF!,#REF!)</f>
        <v>#REF!</v>
      </c>
      <c r="W200" s="9">
        <f t="shared" si="42"/>
        <v>0</v>
      </c>
      <c r="X200" s="8" t="str">
        <f t="shared" si="43"/>
        <v>Belum Sensus</v>
      </c>
      <c r="Y200" s="178">
        <v>46153</v>
      </c>
      <c r="Z200" s="143">
        <v>97</v>
      </c>
      <c r="AA200" s="9">
        <f t="shared" si="44"/>
        <v>2.5058124515629037</v>
      </c>
      <c r="AB200" s="143">
        <v>23</v>
      </c>
      <c r="AC200" s="9">
        <f t="shared" si="38"/>
        <v>23.711340206185564</v>
      </c>
      <c r="AD200" s="8" t="str">
        <f t="shared" si="45"/>
        <v>Perlu Pengendalian</v>
      </c>
      <c r="AE200" s="178"/>
      <c r="AF200" s="143">
        <v>0</v>
      </c>
      <c r="AG200" s="143">
        <v>0</v>
      </c>
      <c r="AH200" s="9">
        <f t="shared" si="46"/>
        <v>0</v>
      </c>
      <c r="AI200" s="8" t="str">
        <f t="shared" si="47"/>
        <v>Belum Sensus</v>
      </c>
    </row>
    <row r="201" spans="1:35" x14ac:dyDescent="0.2">
      <c r="A201" s="8" t="s">
        <v>1273</v>
      </c>
      <c r="B201" s="8" t="s">
        <v>14</v>
      </c>
      <c r="C201" s="8" t="s">
        <v>216</v>
      </c>
      <c r="D201" s="8" t="s">
        <v>1458</v>
      </c>
      <c r="E201" s="9">
        <v>28.48</v>
      </c>
      <c r="F201" s="8" t="s">
        <v>1740</v>
      </c>
      <c r="G201" s="10">
        <v>3884</v>
      </c>
      <c r="H201" s="132">
        <v>46149</v>
      </c>
      <c r="I201" s="143">
        <f t="array" ref="I201">INDEX([46]perbandingan!$H$24:$H$231,MATCH(1,([46]perbandingan!$E$24:$E$231=$D201)*([46]perbandingan!$E$24:$E$231=$D201),0))</f>
        <v>370</v>
      </c>
      <c r="J201" s="9">
        <f t="array" ref="J201">IFERROR(I201/G201*100,0)</f>
        <v>9.5262615859938204</v>
      </c>
      <c r="K201" s="143">
        <f t="array" ref="K201">INDEX([46]perbandingan!$L$24:$L$231,MATCH(1,([46]perbandingan!$E$24:$E$231=$D201)*([46]perbandingan!$E$24:$E$231=$D201),0))</f>
        <v>53</v>
      </c>
      <c r="L201" s="9">
        <f t="shared" si="36"/>
        <v>14.324324324324325</v>
      </c>
      <c r="M201" s="8" t="str">
        <f t="shared" si="39"/>
        <v>Perlu Pengendalian</v>
      </c>
      <c r="N201" s="148"/>
      <c r="O201" s="143" t="e">
        <f>MAX(#REF!,#REF!)</f>
        <v>#REF!</v>
      </c>
      <c r="P201" s="9" t="e">
        <f t="shared" si="40"/>
        <v>#REF!</v>
      </c>
      <c r="Q201" s="143" t="e">
        <f>MAX(#REF!,#REF!)</f>
        <v>#REF!</v>
      </c>
      <c r="R201" s="9">
        <f t="shared" si="37"/>
        <v>0</v>
      </c>
      <c r="S201" s="8" t="str">
        <f t="shared" si="41"/>
        <v>Belum Sensus</v>
      </c>
      <c r="T201" s="148"/>
      <c r="U201" s="143" t="e">
        <f>MAX(#REF!,#REF!)</f>
        <v>#REF!</v>
      </c>
      <c r="V201" s="143" t="e">
        <f>MAX(#REF!,#REF!)</f>
        <v>#REF!</v>
      </c>
      <c r="W201" s="9">
        <f t="shared" si="42"/>
        <v>0</v>
      </c>
      <c r="X201" s="8" t="str">
        <f t="shared" si="43"/>
        <v>Belum Sensus</v>
      </c>
      <c r="Y201" s="178"/>
      <c r="Z201" s="143"/>
      <c r="AA201" s="9">
        <f t="shared" si="44"/>
        <v>0</v>
      </c>
      <c r="AB201" s="143"/>
      <c r="AC201" s="9">
        <f t="shared" si="38"/>
        <v>0</v>
      </c>
      <c r="AD201" s="8" t="str">
        <f t="shared" si="45"/>
        <v>Belum Sensus</v>
      </c>
      <c r="AE201" s="178"/>
      <c r="AF201" s="143">
        <v>0</v>
      </c>
      <c r="AG201" s="143">
        <v>0</v>
      </c>
      <c r="AH201" s="9">
        <f t="shared" si="46"/>
        <v>0</v>
      </c>
      <c r="AI201" s="8" t="str">
        <f t="shared" si="47"/>
        <v>Belum Sensus</v>
      </c>
    </row>
    <row r="202" spans="1:35" x14ac:dyDescent="0.2">
      <c r="A202" s="8" t="s">
        <v>1273</v>
      </c>
      <c r="B202" s="8" t="s">
        <v>14</v>
      </c>
      <c r="C202" s="8" t="s">
        <v>216</v>
      </c>
      <c r="D202" s="8" t="s">
        <v>1459</v>
      </c>
      <c r="E202" s="9">
        <v>30.01</v>
      </c>
      <c r="F202" s="8" t="s">
        <v>1740</v>
      </c>
      <c r="G202" s="10">
        <v>3701</v>
      </c>
      <c r="H202" s="132">
        <v>46149</v>
      </c>
      <c r="I202" s="143">
        <f t="array" ref="I202">INDEX([46]perbandingan!$H$24:$H$231,MATCH(1,([46]perbandingan!$E$24:$E$231=$D202)*([46]perbandingan!$E$24:$E$231=$D202),0))</f>
        <v>369</v>
      </c>
      <c r="J202" s="9">
        <f t="array" ref="J202">IFERROR(I202/G202*100,0)</f>
        <v>9.970278303161308</v>
      </c>
      <c r="K202" s="143">
        <f t="array" ref="K202">INDEX([46]perbandingan!$L$24:$L$231,MATCH(1,([46]perbandingan!$E$24:$E$231=$D202)*([46]perbandingan!$E$24:$E$231=$D202),0))</f>
        <v>52</v>
      </c>
      <c r="L202" s="9">
        <f t="shared" si="36"/>
        <v>14.092140921409213</v>
      </c>
      <c r="M202" s="8" t="str">
        <f t="shared" si="39"/>
        <v>Perlu Pengendalian</v>
      </c>
      <c r="N202" s="148"/>
      <c r="O202" s="143" t="e">
        <f>MAX(#REF!,#REF!)</f>
        <v>#REF!</v>
      </c>
      <c r="P202" s="9" t="e">
        <f t="shared" si="40"/>
        <v>#REF!</v>
      </c>
      <c r="Q202" s="143" t="e">
        <f>MAX(#REF!,#REF!)</f>
        <v>#REF!</v>
      </c>
      <c r="R202" s="9">
        <f t="shared" si="37"/>
        <v>0</v>
      </c>
      <c r="S202" s="8" t="str">
        <f t="shared" si="41"/>
        <v>Belum Sensus</v>
      </c>
      <c r="T202" s="148"/>
      <c r="U202" s="143" t="e">
        <f>MAX(#REF!,#REF!)</f>
        <v>#REF!</v>
      </c>
      <c r="V202" s="143" t="e">
        <f>MAX(#REF!,#REF!)</f>
        <v>#REF!</v>
      </c>
      <c r="W202" s="9">
        <f t="shared" si="42"/>
        <v>0</v>
      </c>
      <c r="X202" s="8" t="str">
        <f t="shared" si="43"/>
        <v>Belum Sensus</v>
      </c>
      <c r="Y202" s="178"/>
      <c r="Z202" s="143"/>
      <c r="AA202" s="9">
        <f t="shared" si="44"/>
        <v>0</v>
      </c>
      <c r="AB202" s="143"/>
      <c r="AC202" s="9">
        <f t="shared" si="38"/>
        <v>0</v>
      </c>
      <c r="AD202" s="8" t="str">
        <f t="shared" si="45"/>
        <v>Belum Sensus</v>
      </c>
      <c r="AE202" s="178"/>
      <c r="AF202" s="143">
        <v>0</v>
      </c>
      <c r="AG202" s="143">
        <v>0</v>
      </c>
      <c r="AH202" s="9">
        <f t="shared" si="46"/>
        <v>0</v>
      </c>
      <c r="AI202" s="8" t="str">
        <f t="shared" si="47"/>
        <v>Belum Sensus</v>
      </c>
    </row>
    <row r="203" spans="1:35" x14ac:dyDescent="0.2">
      <c r="A203" s="8" t="s">
        <v>1273</v>
      </c>
      <c r="B203" s="8" t="s">
        <v>14</v>
      </c>
      <c r="C203" s="8" t="s">
        <v>216</v>
      </c>
      <c r="D203" s="8" t="s">
        <v>1460</v>
      </c>
      <c r="E203" s="9">
        <v>27.34</v>
      </c>
      <c r="F203" s="8" t="s">
        <v>1740</v>
      </c>
      <c r="G203" s="10">
        <v>3151</v>
      </c>
      <c r="H203" s="132">
        <v>46149</v>
      </c>
      <c r="I203" s="143">
        <f t="array" ref="I203">INDEX([46]perbandingan!$H$24:$H$231,MATCH(1,([46]perbandingan!$E$24:$E$231=$D203)*([46]perbandingan!$E$24:$E$231=$D203),0))</f>
        <v>371</v>
      </c>
      <c r="J203" s="9">
        <f t="array" ref="J203">IFERROR(I203/G203*100,0)</f>
        <v>11.774039987305617</v>
      </c>
      <c r="K203" s="143">
        <f t="array" ref="K203">INDEX([46]perbandingan!$L$24:$L$231,MATCH(1,([46]perbandingan!$E$24:$E$231=$D203)*([46]perbandingan!$E$24:$E$231=$D203),0))</f>
        <v>39</v>
      </c>
      <c r="L203" s="9">
        <f t="shared" si="36"/>
        <v>10.512129380053908</v>
      </c>
      <c r="M203" s="8" t="str">
        <f t="shared" si="39"/>
        <v>Perlu Pengendalian</v>
      </c>
      <c r="N203" s="148"/>
      <c r="O203" s="143" t="e">
        <f>MAX(#REF!,#REF!)</f>
        <v>#REF!</v>
      </c>
      <c r="P203" s="9" t="e">
        <f t="shared" si="40"/>
        <v>#REF!</v>
      </c>
      <c r="Q203" s="143" t="e">
        <f>MAX(#REF!,#REF!)</f>
        <v>#REF!</v>
      </c>
      <c r="R203" s="9">
        <f t="shared" si="37"/>
        <v>0</v>
      </c>
      <c r="S203" s="8" t="str">
        <f t="shared" si="41"/>
        <v>Belum Sensus</v>
      </c>
      <c r="T203" s="148"/>
      <c r="U203" s="143" t="e">
        <f>MAX(#REF!,#REF!)</f>
        <v>#REF!</v>
      </c>
      <c r="V203" s="143" t="e">
        <f>MAX(#REF!,#REF!)</f>
        <v>#REF!</v>
      </c>
      <c r="W203" s="9">
        <f t="shared" si="42"/>
        <v>0</v>
      </c>
      <c r="X203" s="8" t="str">
        <f t="shared" si="43"/>
        <v>Belum Sensus</v>
      </c>
      <c r="Y203" s="178"/>
      <c r="Z203" s="143">
        <v>0</v>
      </c>
      <c r="AA203" s="9">
        <f t="shared" si="44"/>
        <v>0</v>
      </c>
      <c r="AB203" s="143">
        <v>0</v>
      </c>
      <c r="AC203" s="9">
        <f t="shared" si="38"/>
        <v>0</v>
      </c>
      <c r="AD203" s="8" t="str">
        <f t="shared" si="45"/>
        <v>Belum Sensus</v>
      </c>
      <c r="AE203" s="178"/>
      <c r="AF203" s="143">
        <v>0</v>
      </c>
      <c r="AG203" s="143">
        <v>0</v>
      </c>
      <c r="AH203" s="9">
        <f t="shared" si="46"/>
        <v>0</v>
      </c>
      <c r="AI203" s="8" t="str">
        <f t="shared" si="47"/>
        <v>Belum Sensus</v>
      </c>
    </row>
    <row r="204" spans="1:35" x14ac:dyDescent="0.2">
      <c r="A204" s="8" t="s">
        <v>1273</v>
      </c>
      <c r="B204" s="8" t="s">
        <v>14</v>
      </c>
      <c r="C204" s="8" t="s">
        <v>216</v>
      </c>
      <c r="D204" s="8" t="s">
        <v>1461</v>
      </c>
      <c r="E204" s="9">
        <v>23.8</v>
      </c>
      <c r="F204" s="8" t="s">
        <v>1740</v>
      </c>
      <c r="G204" s="10">
        <v>2726</v>
      </c>
      <c r="H204" s="132">
        <v>46149</v>
      </c>
      <c r="I204" s="143">
        <f t="array" ref="I204">INDEX([46]perbandingan!$H$24:$H$231,MATCH(1,([46]perbandingan!$E$24:$E$231=$D204)*([46]perbandingan!$E$24:$E$231=$D204),0))</f>
        <v>374</v>
      </c>
      <c r="J204" s="9">
        <f t="array" ref="J204">IFERROR(I204/G204*100,0)</f>
        <v>13.719735876742481</v>
      </c>
      <c r="K204" s="143">
        <f t="array" ref="K204">INDEX([46]perbandingan!$L$24:$L$231,MATCH(1,([46]perbandingan!$E$24:$E$231=$D204)*([46]perbandingan!$E$24:$E$231=$D204),0))</f>
        <v>56</v>
      </c>
      <c r="L204" s="9">
        <f t="shared" si="36"/>
        <v>14.973262032085561</v>
      </c>
      <c r="M204" s="8" t="str">
        <f t="shared" si="39"/>
        <v>Perlu Pengendalian</v>
      </c>
      <c r="N204" s="148"/>
      <c r="O204" s="143" t="e">
        <f>MAX(#REF!,#REF!)</f>
        <v>#REF!</v>
      </c>
      <c r="P204" s="9" t="e">
        <f t="shared" si="40"/>
        <v>#REF!</v>
      </c>
      <c r="Q204" s="143" t="e">
        <f>MAX(#REF!,#REF!)</f>
        <v>#REF!</v>
      </c>
      <c r="R204" s="9">
        <f t="shared" si="37"/>
        <v>0</v>
      </c>
      <c r="S204" s="8" t="str">
        <f t="shared" si="41"/>
        <v>Belum Sensus</v>
      </c>
      <c r="T204" s="148"/>
      <c r="U204" s="143" t="e">
        <f>MAX(#REF!,#REF!)</f>
        <v>#REF!</v>
      </c>
      <c r="V204" s="143" t="e">
        <f>MAX(#REF!,#REF!)</f>
        <v>#REF!</v>
      </c>
      <c r="W204" s="9">
        <f t="shared" si="42"/>
        <v>0</v>
      </c>
      <c r="X204" s="8" t="str">
        <f t="shared" si="43"/>
        <v>Belum Sensus</v>
      </c>
      <c r="Y204" s="178"/>
      <c r="Z204" s="143">
        <v>0</v>
      </c>
      <c r="AA204" s="9">
        <f t="shared" si="44"/>
        <v>0</v>
      </c>
      <c r="AB204" s="143">
        <v>0</v>
      </c>
      <c r="AC204" s="9">
        <f t="shared" si="38"/>
        <v>0</v>
      </c>
      <c r="AD204" s="8" t="str">
        <f t="shared" si="45"/>
        <v>Belum Sensus</v>
      </c>
      <c r="AE204" s="178"/>
      <c r="AF204" s="143">
        <v>0</v>
      </c>
      <c r="AG204" s="143">
        <v>0</v>
      </c>
      <c r="AH204" s="9">
        <f t="shared" si="46"/>
        <v>0</v>
      </c>
      <c r="AI204" s="8" t="str">
        <f t="shared" si="47"/>
        <v>Belum Sensus</v>
      </c>
    </row>
    <row r="205" spans="1:35" x14ac:dyDescent="0.2">
      <c r="A205" s="8" t="s">
        <v>1273</v>
      </c>
      <c r="B205" s="8" t="s">
        <v>14</v>
      </c>
      <c r="C205" s="8" t="s">
        <v>216</v>
      </c>
      <c r="D205" s="8" t="s">
        <v>1462</v>
      </c>
      <c r="E205" s="9">
        <v>46.47</v>
      </c>
      <c r="F205" s="8" t="s">
        <v>1740</v>
      </c>
      <c r="G205" s="10">
        <v>5150</v>
      </c>
      <c r="H205" s="132">
        <v>46153</v>
      </c>
      <c r="I205" s="143">
        <f t="array" ref="I205">INDEX([46]perbandingan!$H$24:$H$231,MATCH(1,([46]perbandingan!$E$24:$E$231=$D205)*([46]perbandingan!$E$24:$E$231=$D205),0))</f>
        <v>578</v>
      </c>
      <c r="J205" s="9">
        <f t="array" ref="J205">IFERROR(I205/G205*100,0)</f>
        <v>11.223300970873787</v>
      </c>
      <c r="K205" s="143">
        <f t="array" ref="K205">INDEX([46]perbandingan!$L$24:$L$231,MATCH(1,([46]perbandingan!$E$24:$E$231=$D205)*([46]perbandingan!$E$24:$E$231=$D205),0))</f>
        <v>86</v>
      </c>
      <c r="L205" s="9">
        <f t="shared" si="36"/>
        <v>14.878892733564014</v>
      </c>
      <c r="M205" s="8" t="str">
        <f t="shared" si="39"/>
        <v>Perlu Pengendalian</v>
      </c>
      <c r="N205" s="148"/>
      <c r="O205" s="143" t="e">
        <f>MAX(#REF!,#REF!)</f>
        <v>#REF!</v>
      </c>
      <c r="P205" s="9" t="e">
        <f t="shared" si="40"/>
        <v>#REF!</v>
      </c>
      <c r="Q205" s="143" t="e">
        <f>MAX(#REF!,#REF!)</f>
        <v>#REF!</v>
      </c>
      <c r="R205" s="9">
        <f t="shared" si="37"/>
        <v>0</v>
      </c>
      <c r="S205" s="8" t="str">
        <f t="shared" si="41"/>
        <v>Belum Sensus</v>
      </c>
      <c r="T205" s="148"/>
      <c r="U205" s="143" t="e">
        <f>MAX(#REF!,#REF!)</f>
        <v>#REF!</v>
      </c>
      <c r="V205" s="143" t="e">
        <f>MAX(#REF!,#REF!)</f>
        <v>#REF!</v>
      </c>
      <c r="W205" s="9">
        <f t="shared" si="42"/>
        <v>0</v>
      </c>
      <c r="X205" s="8" t="str">
        <f t="shared" si="43"/>
        <v>Belum Sensus</v>
      </c>
      <c r="Y205" s="178">
        <v>46153</v>
      </c>
      <c r="Z205" s="143">
        <v>72</v>
      </c>
      <c r="AA205" s="9">
        <f t="shared" si="44"/>
        <v>1.3980582524271845</v>
      </c>
      <c r="AB205" s="143">
        <v>28</v>
      </c>
      <c r="AC205" s="9">
        <f t="shared" si="38"/>
        <v>38.888888888888893</v>
      </c>
      <c r="AD205" s="8" t="str">
        <f t="shared" si="45"/>
        <v>Perlu Pengendalian</v>
      </c>
      <c r="AE205" s="178"/>
      <c r="AF205" s="143">
        <v>0</v>
      </c>
      <c r="AG205" s="143">
        <v>0</v>
      </c>
      <c r="AH205" s="9">
        <f t="shared" si="46"/>
        <v>0</v>
      </c>
      <c r="AI205" s="8" t="str">
        <f t="shared" si="47"/>
        <v>Belum Sensus</v>
      </c>
    </row>
    <row r="206" spans="1:35" x14ac:dyDescent="0.2">
      <c r="A206" s="8" t="s">
        <v>1273</v>
      </c>
      <c r="B206" s="8" t="s">
        <v>14</v>
      </c>
      <c r="C206" s="8" t="s">
        <v>216</v>
      </c>
      <c r="D206" s="8" t="s">
        <v>1463</v>
      </c>
      <c r="E206" s="9">
        <v>32.19</v>
      </c>
      <c r="F206" s="8" t="s">
        <v>1740</v>
      </c>
      <c r="G206" s="10">
        <v>3246</v>
      </c>
      <c r="H206" s="132">
        <v>46149</v>
      </c>
      <c r="I206" s="143">
        <f t="array" ref="I206">INDEX([46]perbandingan!$H$24:$H$231,MATCH(1,([46]perbandingan!$E$24:$E$231=$D206)*([46]perbandingan!$E$24:$E$231=$D206),0))</f>
        <v>337</v>
      </c>
      <c r="J206" s="9">
        <f t="array" ref="J206">IFERROR(I206/G206*100,0)</f>
        <v>10.382008626001232</v>
      </c>
      <c r="K206" s="143">
        <f t="array" ref="K206">INDEX([46]perbandingan!$L$24:$L$231,MATCH(1,([46]perbandingan!$E$24:$E$231=$D206)*([46]perbandingan!$E$24:$E$231=$D206),0))</f>
        <v>14</v>
      </c>
      <c r="L206" s="9">
        <f t="shared" si="36"/>
        <v>4.154302670623145</v>
      </c>
      <c r="M206" s="8" t="str">
        <f t="shared" si="39"/>
        <v>Perlu Pengendalian</v>
      </c>
      <c r="N206" s="148"/>
      <c r="O206" s="143" t="e">
        <f>MAX(#REF!,#REF!)</f>
        <v>#REF!</v>
      </c>
      <c r="P206" s="9" t="e">
        <f t="shared" si="40"/>
        <v>#REF!</v>
      </c>
      <c r="Q206" s="143" t="e">
        <f>MAX(#REF!,#REF!)</f>
        <v>#REF!</v>
      </c>
      <c r="R206" s="9">
        <f t="shared" si="37"/>
        <v>0</v>
      </c>
      <c r="S206" s="8" t="str">
        <f t="shared" si="41"/>
        <v>Belum Sensus</v>
      </c>
      <c r="T206" s="148"/>
      <c r="U206" s="143" t="e">
        <f>MAX(#REF!,#REF!)</f>
        <v>#REF!</v>
      </c>
      <c r="V206" s="143" t="e">
        <f>MAX(#REF!,#REF!)</f>
        <v>#REF!</v>
      </c>
      <c r="W206" s="9">
        <f t="shared" si="42"/>
        <v>0</v>
      </c>
      <c r="X206" s="8" t="str">
        <f t="shared" si="43"/>
        <v>Belum Sensus</v>
      </c>
      <c r="Y206" s="178">
        <v>46153</v>
      </c>
      <c r="Z206" s="143">
        <v>74</v>
      </c>
      <c r="AA206" s="9">
        <f t="shared" si="44"/>
        <v>2.2797288971041283</v>
      </c>
      <c r="AB206" s="143">
        <v>34</v>
      </c>
      <c r="AC206" s="9">
        <f t="shared" si="38"/>
        <v>45.945945945945951</v>
      </c>
      <c r="AD206" s="8" t="str">
        <f t="shared" si="45"/>
        <v>Perlu Pengendalian</v>
      </c>
      <c r="AE206" s="178"/>
      <c r="AF206" s="143">
        <v>0</v>
      </c>
      <c r="AG206" s="143">
        <v>0</v>
      </c>
      <c r="AH206" s="9">
        <f t="shared" si="46"/>
        <v>0</v>
      </c>
      <c r="AI206" s="8" t="str">
        <f t="shared" si="47"/>
        <v>Belum Sensus</v>
      </c>
    </row>
    <row r="207" spans="1:35" x14ac:dyDescent="0.2">
      <c r="A207" s="8" t="s">
        <v>1273</v>
      </c>
      <c r="B207" s="8" t="s">
        <v>14</v>
      </c>
      <c r="C207" s="8" t="s">
        <v>216</v>
      </c>
      <c r="D207" s="8" t="s">
        <v>1464</v>
      </c>
      <c r="E207" s="9">
        <v>33.71</v>
      </c>
      <c r="F207" s="8" t="s">
        <v>1740</v>
      </c>
      <c r="G207" s="10">
        <v>2797</v>
      </c>
      <c r="H207" s="132">
        <v>46149</v>
      </c>
      <c r="I207" s="143">
        <f t="array" ref="I207">INDEX([46]perbandingan!$H$24:$H$231,MATCH(1,([46]perbandingan!$E$24:$E$231=$D207)*([46]perbandingan!$E$24:$E$231=$D207),0))</f>
        <v>218</v>
      </c>
      <c r="J207" s="9">
        <f t="array" ref="J207">IFERROR(I207/G207*100,0)</f>
        <v>7.7940650697175542</v>
      </c>
      <c r="K207" s="143">
        <f t="array" ref="K207">INDEX([46]perbandingan!$L$24:$L$231,MATCH(1,([46]perbandingan!$E$24:$E$231=$D207)*([46]perbandingan!$E$24:$E$231=$D207),0))</f>
        <v>31</v>
      </c>
      <c r="L207" s="9">
        <f t="shared" si="36"/>
        <v>14.220183486238533</v>
      </c>
      <c r="M207" s="8" t="str">
        <f t="shared" si="39"/>
        <v>Perlu Pengendalian</v>
      </c>
      <c r="N207" s="148"/>
      <c r="O207" s="143" t="e">
        <f>MAX(#REF!,#REF!)</f>
        <v>#REF!</v>
      </c>
      <c r="P207" s="9" t="e">
        <f t="shared" si="40"/>
        <v>#REF!</v>
      </c>
      <c r="Q207" s="143" t="e">
        <f>MAX(#REF!,#REF!)</f>
        <v>#REF!</v>
      </c>
      <c r="R207" s="9">
        <f t="shared" si="37"/>
        <v>0</v>
      </c>
      <c r="S207" s="8" t="str">
        <f t="shared" si="41"/>
        <v>Belum Sensus</v>
      </c>
      <c r="T207" s="148"/>
      <c r="U207" s="143" t="e">
        <f>MAX(#REF!,#REF!)</f>
        <v>#REF!</v>
      </c>
      <c r="V207" s="143" t="e">
        <f>MAX(#REF!,#REF!)</f>
        <v>#REF!</v>
      </c>
      <c r="W207" s="9">
        <f t="shared" si="42"/>
        <v>0</v>
      </c>
      <c r="X207" s="8" t="str">
        <f t="shared" si="43"/>
        <v>Belum Sensus</v>
      </c>
      <c r="Y207" s="178">
        <v>46153</v>
      </c>
      <c r="Z207" s="143">
        <v>64</v>
      </c>
      <c r="AA207" s="9">
        <f t="shared" si="44"/>
        <v>2.2881658920271719</v>
      </c>
      <c r="AB207" s="143">
        <v>24</v>
      </c>
      <c r="AC207" s="9">
        <f t="shared" si="38"/>
        <v>37.5</v>
      </c>
      <c r="AD207" s="8" t="str">
        <f t="shared" si="45"/>
        <v>Perlu Pengendalian</v>
      </c>
      <c r="AE207" s="178"/>
      <c r="AF207" s="143">
        <v>0</v>
      </c>
      <c r="AG207" s="143">
        <v>0</v>
      </c>
      <c r="AH207" s="9">
        <f t="shared" si="46"/>
        <v>0</v>
      </c>
      <c r="AI207" s="8" t="str">
        <f t="shared" si="47"/>
        <v>Belum Sensus</v>
      </c>
    </row>
    <row r="208" spans="1:35" x14ac:dyDescent="0.2">
      <c r="A208" s="8" t="s">
        <v>1273</v>
      </c>
      <c r="B208" s="8" t="s">
        <v>14</v>
      </c>
      <c r="C208" s="8" t="s">
        <v>216</v>
      </c>
      <c r="D208" s="8" t="s">
        <v>1465</v>
      </c>
      <c r="E208" s="9">
        <v>38.9</v>
      </c>
      <c r="F208" s="8" t="s">
        <v>1740</v>
      </c>
      <c r="G208" s="10">
        <v>5136</v>
      </c>
      <c r="H208" s="132">
        <v>46149</v>
      </c>
      <c r="I208" s="143">
        <f t="array" ref="I208">INDEX([46]perbandingan!$H$24:$H$231,MATCH(1,([46]perbandingan!$E$24:$E$231=$D208)*([46]perbandingan!$E$24:$E$231=$D208),0))</f>
        <v>212</v>
      </c>
      <c r="J208" s="9">
        <f t="array" ref="J208">IFERROR(I208/G208*100,0)</f>
        <v>4.1277258566978192</v>
      </c>
      <c r="K208" s="143">
        <f t="array" ref="K208">INDEX([46]perbandingan!$L$24:$L$231,MATCH(1,([46]perbandingan!$E$24:$E$231=$D208)*([46]perbandingan!$E$24:$E$231=$D208),0))</f>
        <v>23</v>
      </c>
      <c r="L208" s="9">
        <f t="shared" si="36"/>
        <v>10.849056603773585</v>
      </c>
      <c r="M208" s="8" t="str">
        <f t="shared" si="39"/>
        <v>Perlu Pengendalian</v>
      </c>
      <c r="N208" s="148"/>
      <c r="O208" s="143" t="e">
        <f>MAX(#REF!,#REF!)</f>
        <v>#REF!</v>
      </c>
      <c r="P208" s="9" t="e">
        <f t="shared" si="40"/>
        <v>#REF!</v>
      </c>
      <c r="Q208" s="143" t="e">
        <f>MAX(#REF!,#REF!)</f>
        <v>#REF!</v>
      </c>
      <c r="R208" s="9">
        <f t="shared" si="37"/>
        <v>0</v>
      </c>
      <c r="S208" s="8" t="str">
        <f t="shared" si="41"/>
        <v>Belum Sensus</v>
      </c>
      <c r="T208" s="148"/>
      <c r="U208" s="143" t="e">
        <f>MAX(#REF!,#REF!)</f>
        <v>#REF!</v>
      </c>
      <c r="V208" s="143" t="e">
        <f>MAX(#REF!,#REF!)</f>
        <v>#REF!</v>
      </c>
      <c r="W208" s="9">
        <f t="shared" si="42"/>
        <v>0</v>
      </c>
      <c r="X208" s="8" t="str">
        <f t="shared" si="43"/>
        <v>Belum Sensus</v>
      </c>
      <c r="Y208" s="178">
        <v>46153</v>
      </c>
      <c r="Z208" s="143">
        <v>34</v>
      </c>
      <c r="AA208" s="9">
        <f t="shared" si="44"/>
        <v>0.661993769470405</v>
      </c>
      <c r="AB208" s="143">
        <v>8</v>
      </c>
      <c r="AC208" s="9">
        <f t="shared" si="38"/>
        <v>23.52941176470588</v>
      </c>
      <c r="AD208" s="8" t="str">
        <f t="shared" si="45"/>
        <v>Perlu Pengendalian</v>
      </c>
      <c r="AE208" s="178"/>
      <c r="AF208" s="143">
        <v>0</v>
      </c>
      <c r="AG208" s="143">
        <v>0</v>
      </c>
      <c r="AH208" s="9">
        <f t="shared" si="46"/>
        <v>0</v>
      </c>
      <c r="AI208" s="8" t="str">
        <f t="shared" si="47"/>
        <v>Belum Sensus</v>
      </c>
    </row>
    <row r="209" spans="1:35" x14ac:dyDescent="0.2">
      <c r="A209" s="8" t="s">
        <v>1273</v>
      </c>
      <c r="B209" s="8" t="s">
        <v>14</v>
      </c>
      <c r="C209" s="8" t="s">
        <v>216</v>
      </c>
      <c r="D209" s="8" t="s">
        <v>1466</v>
      </c>
      <c r="E209" s="9">
        <v>27.740000000000002</v>
      </c>
      <c r="F209" s="8" t="s">
        <v>1740</v>
      </c>
      <c r="G209" s="10">
        <v>3197</v>
      </c>
      <c r="H209" s="132">
        <v>46153</v>
      </c>
      <c r="I209" s="143">
        <f t="array" ref="I209">INDEX([46]perbandingan!$H$24:$H$231,MATCH(1,([46]perbandingan!$E$24:$E$231=$D209)*([46]perbandingan!$E$24:$E$231=$D209),0))</f>
        <v>426</v>
      </c>
      <c r="J209" s="9">
        <f t="array" ref="J209">IFERROR(I209/G209*100,0)</f>
        <v>13.324992180168909</v>
      </c>
      <c r="K209" s="143">
        <f t="array" ref="K209">INDEX([46]perbandingan!$L$24:$L$231,MATCH(1,([46]perbandingan!$E$24:$E$231=$D209)*([46]perbandingan!$E$24:$E$231=$D209),0))</f>
        <v>71</v>
      </c>
      <c r="L209" s="9">
        <f t="shared" si="36"/>
        <v>16.666666666666664</v>
      </c>
      <c r="M209" s="8" t="str">
        <f t="shared" si="39"/>
        <v>Perlu Pengendalian</v>
      </c>
      <c r="N209" s="148"/>
      <c r="O209" s="143" t="e">
        <f>MAX(#REF!,#REF!)</f>
        <v>#REF!</v>
      </c>
      <c r="P209" s="9" t="e">
        <f t="shared" si="40"/>
        <v>#REF!</v>
      </c>
      <c r="Q209" s="143" t="e">
        <f>MAX(#REF!,#REF!)</f>
        <v>#REF!</v>
      </c>
      <c r="R209" s="9">
        <f t="shared" si="37"/>
        <v>0</v>
      </c>
      <c r="S209" s="8" t="str">
        <f t="shared" si="41"/>
        <v>Belum Sensus</v>
      </c>
      <c r="T209" s="148"/>
      <c r="U209" s="143" t="e">
        <f>MAX(#REF!,#REF!)</f>
        <v>#REF!</v>
      </c>
      <c r="V209" s="143" t="e">
        <f>MAX(#REF!,#REF!)</f>
        <v>#REF!</v>
      </c>
      <c r="W209" s="9">
        <f t="shared" si="42"/>
        <v>0</v>
      </c>
      <c r="X209" s="8" t="str">
        <f t="shared" si="43"/>
        <v>Belum Sensus</v>
      </c>
      <c r="Y209" s="178">
        <v>46153</v>
      </c>
      <c r="Z209" s="143">
        <v>36</v>
      </c>
      <c r="AA209" s="9">
        <f t="shared" si="44"/>
        <v>1.1260556771973727</v>
      </c>
      <c r="AB209" s="143">
        <v>12</v>
      </c>
      <c r="AC209" s="9">
        <f t="shared" si="38"/>
        <v>33.333333333333329</v>
      </c>
      <c r="AD209" s="8" t="str">
        <f t="shared" si="45"/>
        <v>Perlu Pengendalian</v>
      </c>
      <c r="AE209" s="178"/>
      <c r="AF209" s="143">
        <v>0</v>
      </c>
      <c r="AG209" s="143">
        <v>0</v>
      </c>
      <c r="AH209" s="9">
        <f t="shared" si="46"/>
        <v>0</v>
      </c>
      <c r="AI209" s="8" t="str">
        <f t="shared" si="47"/>
        <v>Belum Sensus</v>
      </c>
    </row>
    <row r="210" spans="1:35" x14ac:dyDescent="0.2">
      <c r="A210" s="8" t="s">
        <v>1273</v>
      </c>
      <c r="B210" s="8" t="s">
        <v>14</v>
      </c>
      <c r="C210" s="8" t="s">
        <v>216</v>
      </c>
      <c r="D210" s="8" t="s">
        <v>1467</v>
      </c>
      <c r="E210" s="9">
        <v>30.409999999999997</v>
      </c>
      <c r="F210" s="8" t="s">
        <v>1740</v>
      </c>
      <c r="G210" s="10">
        <v>2442</v>
      </c>
      <c r="H210" s="132">
        <v>46153</v>
      </c>
      <c r="I210" s="143">
        <f t="array" ref="I210">INDEX([46]perbandingan!$H$24:$H$231,MATCH(1,([46]perbandingan!$E$24:$E$231=$D210)*([46]perbandingan!$E$24:$E$231=$D210),0))</f>
        <v>377</v>
      </c>
      <c r="J210" s="9">
        <f t="array" ref="J210">IFERROR(I210/G210*100,0)</f>
        <v>15.438165438165438</v>
      </c>
      <c r="K210" s="143">
        <f t="array" ref="K210">INDEX([46]perbandingan!$L$24:$L$231,MATCH(1,([46]perbandingan!$E$24:$E$231=$D210)*([46]perbandingan!$E$24:$E$231=$D210),0))</f>
        <v>53</v>
      </c>
      <c r="L210" s="9">
        <f t="shared" si="36"/>
        <v>14.058355437665782</v>
      </c>
      <c r="M210" s="8" t="str">
        <f t="shared" si="39"/>
        <v>Perlu Pengendalian</v>
      </c>
      <c r="N210" s="148"/>
      <c r="O210" s="143" t="e">
        <f>MAX(#REF!,#REF!)</f>
        <v>#REF!</v>
      </c>
      <c r="P210" s="9" t="e">
        <f t="shared" si="40"/>
        <v>#REF!</v>
      </c>
      <c r="Q210" s="143" t="e">
        <f>MAX(#REF!,#REF!)</f>
        <v>#REF!</v>
      </c>
      <c r="R210" s="9">
        <f t="shared" si="37"/>
        <v>0</v>
      </c>
      <c r="S210" s="8" t="str">
        <f t="shared" si="41"/>
        <v>Belum Sensus</v>
      </c>
      <c r="T210" s="148"/>
      <c r="U210" s="143" t="e">
        <f>MAX(#REF!,#REF!)</f>
        <v>#REF!</v>
      </c>
      <c r="V210" s="143" t="e">
        <f>MAX(#REF!,#REF!)</f>
        <v>#REF!</v>
      </c>
      <c r="W210" s="9">
        <f t="shared" si="42"/>
        <v>0</v>
      </c>
      <c r="X210" s="8" t="str">
        <f t="shared" si="43"/>
        <v>Belum Sensus</v>
      </c>
      <c r="Y210" s="178">
        <v>46153</v>
      </c>
      <c r="Z210" s="143">
        <v>71</v>
      </c>
      <c r="AA210" s="9">
        <f t="shared" si="44"/>
        <v>2.9074529074529076</v>
      </c>
      <c r="AB210" s="143">
        <v>34</v>
      </c>
      <c r="AC210" s="9">
        <f t="shared" si="38"/>
        <v>47.887323943661968</v>
      </c>
      <c r="AD210" s="8" t="str">
        <f t="shared" si="45"/>
        <v>Perlu Pengendalian</v>
      </c>
      <c r="AE210" s="178"/>
      <c r="AF210" s="143">
        <v>0</v>
      </c>
      <c r="AG210" s="143">
        <v>0</v>
      </c>
      <c r="AH210" s="9">
        <f t="shared" si="46"/>
        <v>0</v>
      </c>
      <c r="AI210" s="8" t="str">
        <f t="shared" si="47"/>
        <v>Belum Sensus</v>
      </c>
    </row>
    <row r="211" spans="1:35" x14ac:dyDescent="0.2">
      <c r="A211" s="8" t="s">
        <v>1273</v>
      </c>
      <c r="B211" s="8" t="s">
        <v>14</v>
      </c>
      <c r="C211" s="8" t="s">
        <v>216</v>
      </c>
      <c r="D211" s="8" t="s">
        <v>1468</v>
      </c>
      <c r="E211" s="9">
        <v>51.39</v>
      </c>
      <c r="F211" s="8" t="s">
        <v>1740</v>
      </c>
      <c r="G211" s="10">
        <v>6305</v>
      </c>
      <c r="H211" s="132">
        <v>46153</v>
      </c>
      <c r="I211" s="143">
        <f t="array" ref="I211">INDEX([46]perbandingan!$H$24:$H$231,MATCH(1,([46]perbandingan!$E$24:$E$231=$D211)*([46]perbandingan!$E$24:$E$231=$D211),0))</f>
        <v>402</v>
      </c>
      <c r="J211" s="9">
        <f t="array" ref="J211">IFERROR(I211/G211*100,0)</f>
        <v>6.3758921490880249</v>
      </c>
      <c r="K211" s="143">
        <f t="array" ref="K211">INDEX([46]perbandingan!$L$24:$L$231,MATCH(1,([46]perbandingan!$E$24:$E$231=$D211)*([46]perbandingan!$E$24:$E$231=$D211),0))</f>
        <v>3</v>
      </c>
      <c r="L211" s="9">
        <f t="shared" si="36"/>
        <v>0.74626865671641784</v>
      </c>
      <c r="M211" s="8" t="str">
        <f t="shared" si="39"/>
        <v>Tidak Perlu Pengendalian</v>
      </c>
      <c r="N211" s="148"/>
      <c r="O211" s="143" t="e">
        <f>MAX(#REF!,#REF!)</f>
        <v>#REF!</v>
      </c>
      <c r="P211" s="9" t="e">
        <f t="shared" si="40"/>
        <v>#REF!</v>
      </c>
      <c r="Q211" s="143" t="e">
        <f>MAX(#REF!,#REF!)</f>
        <v>#REF!</v>
      </c>
      <c r="R211" s="9">
        <f t="shared" si="37"/>
        <v>0</v>
      </c>
      <c r="S211" s="8" t="str">
        <f t="shared" si="41"/>
        <v>Belum Sensus</v>
      </c>
      <c r="T211" s="148"/>
      <c r="U211" s="143" t="e">
        <f>MAX(#REF!,#REF!)</f>
        <v>#REF!</v>
      </c>
      <c r="V211" s="143" t="e">
        <f>MAX(#REF!,#REF!)</f>
        <v>#REF!</v>
      </c>
      <c r="W211" s="9">
        <f t="shared" si="42"/>
        <v>0</v>
      </c>
      <c r="X211" s="8" t="str">
        <f t="shared" si="43"/>
        <v>Belum Sensus</v>
      </c>
      <c r="Y211" s="178">
        <v>46153</v>
      </c>
      <c r="Z211" s="143">
        <v>55</v>
      </c>
      <c r="AA211" s="9">
        <f t="shared" si="44"/>
        <v>0.87232355273592388</v>
      </c>
      <c r="AB211" s="143">
        <v>13</v>
      </c>
      <c r="AC211" s="9">
        <f t="shared" si="38"/>
        <v>23.636363636363637</v>
      </c>
      <c r="AD211" s="8" t="str">
        <f t="shared" si="45"/>
        <v>Perlu Pengendalian</v>
      </c>
      <c r="AE211" s="178"/>
      <c r="AF211" s="143">
        <v>0</v>
      </c>
      <c r="AG211" s="143">
        <v>0</v>
      </c>
      <c r="AH211" s="9">
        <f t="shared" si="46"/>
        <v>0</v>
      </c>
      <c r="AI211" s="8" t="str">
        <f t="shared" si="47"/>
        <v>Belum Sensus</v>
      </c>
    </row>
    <row r="212" spans="1:35" x14ac:dyDescent="0.2">
      <c r="A212" s="8" t="s">
        <v>1273</v>
      </c>
      <c r="B212" s="8" t="s">
        <v>14</v>
      </c>
      <c r="C212" s="8" t="s">
        <v>216</v>
      </c>
      <c r="D212" s="8" t="s">
        <v>1469</v>
      </c>
      <c r="E212" s="9">
        <v>28.16</v>
      </c>
      <c r="F212" s="8" t="s">
        <v>1740</v>
      </c>
      <c r="G212" s="10">
        <v>1541</v>
      </c>
      <c r="H212" s="132">
        <v>46153</v>
      </c>
      <c r="I212" s="143">
        <f t="array" ref="I212">INDEX([46]perbandingan!$H$24:$H$231,MATCH(1,([46]perbandingan!$E$24:$E$231=$D212)*([46]perbandingan!$E$24:$E$231=$D212),0))</f>
        <v>452</v>
      </c>
      <c r="J212" s="9">
        <f t="array" ref="J212">IFERROR(I212/G212*100,0)</f>
        <v>29.331602855288775</v>
      </c>
      <c r="K212" s="143">
        <f t="array" ref="K212">INDEX([46]perbandingan!$L$24:$L$231,MATCH(1,([46]perbandingan!$E$24:$E$231=$D212)*([46]perbandingan!$E$24:$E$231=$D212),0))</f>
        <v>46</v>
      </c>
      <c r="L212" s="9">
        <f t="shared" si="36"/>
        <v>10.176991150442479</v>
      </c>
      <c r="M212" s="8" t="str">
        <f t="shared" si="39"/>
        <v>Perlu Pengendalian</v>
      </c>
      <c r="N212" s="148"/>
      <c r="O212" s="143" t="e">
        <f>MAX(#REF!,#REF!)</f>
        <v>#REF!</v>
      </c>
      <c r="P212" s="9" t="e">
        <f t="shared" si="40"/>
        <v>#REF!</v>
      </c>
      <c r="Q212" s="143" t="e">
        <f>MAX(#REF!,#REF!)</f>
        <v>#REF!</v>
      </c>
      <c r="R212" s="9">
        <f t="shared" si="37"/>
        <v>0</v>
      </c>
      <c r="S212" s="8" t="str">
        <f t="shared" si="41"/>
        <v>Belum Sensus</v>
      </c>
      <c r="T212" s="148"/>
      <c r="U212" s="143" t="e">
        <f>MAX(#REF!,#REF!)</f>
        <v>#REF!</v>
      </c>
      <c r="V212" s="143" t="e">
        <f>MAX(#REF!,#REF!)</f>
        <v>#REF!</v>
      </c>
      <c r="W212" s="9">
        <f t="shared" si="42"/>
        <v>0</v>
      </c>
      <c r="X212" s="8" t="str">
        <f t="shared" si="43"/>
        <v>Belum Sensus</v>
      </c>
      <c r="Y212" s="178"/>
      <c r="Z212" s="143"/>
      <c r="AA212" s="9">
        <f t="shared" si="44"/>
        <v>0</v>
      </c>
      <c r="AB212" s="143"/>
      <c r="AC212" s="9">
        <f t="shared" si="38"/>
        <v>0</v>
      </c>
      <c r="AD212" s="8" t="str">
        <f t="shared" si="45"/>
        <v>Belum Sensus</v>
      </c>
      <c r="AE212" s="178"/>
      <c r="AF212" s="143">
        <v>0</v>
      </c>
      <c r="AG212" s="143">
        <v>0</v>
      </c>
      <c r="AH212" s="9">
        <f t="shared" si="46"/>
        <v>0</v>
      </c>
      <c r="AI212" s="8" t="str">
        <f t="shared" si="47"/>
        <v>Belum Sensus</v>
      </c>
    </row>
    <row r="213" spans="1:35" x14ac:dyDescent="0.2">
      <c r="A213" s="8" t="s">
        <v>1739</v>
      </c>
      <c r="B213" s="8" t="s">
        <v>14</v>
      </c>
      <c r="C213" s="8" t="s">
        <v>252</v>
      </c>
      <c r="D213" s="8" t="s">
        <v>1078</v>
      </c>
      <c r="E213" s="9">
        <v>24.6</v>
      </c>
      <c r="F213" s="8" t="s">
        <v>1740</v>
      </c>
      <c r="G213" s="10">
        <v>3121</v>
      </c>
      <c r="H213" s="132">
        <v>46149</v>
      </c>
      <c r="I213" s="8">
        <f t="array" ref="I213">INDEX([26]KOMPARASI!$H$20:$H$199,MATCH(1,([26]KOMPARASI!$C$20:$C$199=$D213)*([26]KOMPARASI!$C$20:$C$199=$D213),0))</f>
        <v>562</v>
      </c>
      <c r="J213" s="9">
        <f t="array" ref="J213">IFERROR(I213/G213*100,0)</f>
        <v>18.007049022749118</v>
      </c>
      <c r="K213" s="8">
        <f t="array" ref="K213">INDEX([26]KOMPARASI!$J$20:$J$199,MATCH(1,([26]KOMPARASI!$C$20:$C$199=$D213)*([26]KOMPARASI!$C$20:$C$199=$D213),0))</f>
        <v>94</v>
      </c>
      <c r="L213" s="9">
        <f t="shared" si="36"/>
        <v>16.72597864768683</v>
      </c>
      <c r="M213" s="8" t="str">
        <f t="shared" si="39"/>
        <v>Perlu Pengendalian</v>
      </c>
      <c r="N213" s="148"/>
      <c r="O213" s="143" t="e">
        <f>MAX(#REF!,#REF!)</f>
        <v>#REF!</v>
      </c>
      <c r="P213" s="9" t="e">
        <f t="shared" si="40"/>
        <v>#REF!</v>
      </c>
      <c r="Q213" s="143" t="e">
        <f>MAX(#REF!,#REF!)</f>
        <v>#REF!</v>
      </c>
      <c r="R213" s="9">
        <f t="shared" si="37"/>
        <v>0</v>
      </c>
      <c r="S213" s="8" t="str">
        <f t="shared" si="41"/>
        <v>Belum Sensus</v>
      </c>
      <c r="T213" s="148"/>
      <c r="U213" s="143" t="e">
        <f>MAX(#REF!,#REF!)</f>
        <v>#REF!</v>
      </c>
      <c r="V213" s="143" t="e">
        <f>MAX(#REF!,#REF!)</f>
        <v>#REF!</v>
      </c>
      <c r="W213" s="9">
        <f t="shared" si="42"/>
        <v>0</v>
      </c>
      <c r="X213" s="8" t="str">
        <f t="shared" si="43"/>
        <v>Belum Sensus</v>
      </c>
      <c r="Y213" s="178">
        <v>46153</v>
      </c>
      <c r="Z213" s="143">
        <v>54</v>
      </c>
      <c r="AA213" s="9">
        <f t="shared" si="44"/>
        <v>1.730214674783723</v>
      </c>
      <c r="AB213" s="143">
        <v>11</v>
      </c>
      <c r="AC213" s="9">
        <f t="shared" si="38"/>
        <v>20.37037037037037</v>
      </c>
      <c r="AD213" s="8" t="str">
        <f t="shared" si="45"/>
        <v>Perlu Pengendalian</v>
      </c>
      <c r="AE213" s="178"/>
      <c r="AF213" s="143">
        <v>0</v>
      </c>
      <c r="AG213" s="143">
        <v>0</v>
      </c>
      <c r="AH213" s="9">
        <f t="shared" si="46"/>
        <v>0</v>
      </c>
      <c r="AI213" s="8" t="str">
        <f t="shared" si="47"/>
        <v>Belum Sensus</v>
      </c>
    </row>
    <row r="214" spans="1:35" x14ac:dyDescent="0.2">
      <c r="A214" s="8" t="s">
        <v>1739</v>
      </c>
      <c r="B214" s="8" t="s">
        <v>14</v>
      </c>
      <c r="C214" s="8" t="s">
        <v>252</v>
      </c>
      <c r="D214" s="8" t="s">
        <v>1079</v>
      </c>
      <c r="E214" s="9">
        <v>28.45</v>
      </c>
      <c r="F214" s="8" t="s">
        <v>1740</v>
      </c>
      <c r="G214" s="10">
        <v>3539</v>
      </c>
      <c r="H214" s="132">
        <v>46149</v>
      </c>
      <c r="I214" s="8">
        <f t="array" ref="I214">INDEX([26]KOMPARASI!$H$20:$H$199,MATCH(1,([26]KOMPARASI!$C$20:$C$199=$D214)*([26]KOMPARASI!$C$20:$C$199=$D214),0))</f>
        <v>369</v>
      </c>
      <c r="J214" s="9">
        <f t="array" ref="J214">IFERROR(I214/G214*100,0)</f>
        <v>10.426674201751908</v>
      </c>
      <c r="K214" s="8">
        <f t="array" ref="K214">INDEX([26]KOMPARASI!$J$20:$J$199,MATCH(1,([26]KOMPARASI!$C$20:$C$199=$D214)*([26]KOMPARASI!$C$20:$C$199=$D214),0))</f>
        <v>39</v>
      </c>
      <c r="L214" s="9">
        <f t="shared" si="36"/>
        <v>10.569105691056912</v>
      </c>
      <c r="M214" s="8" t="str">
        <f t="shared" si="39"/>
        <v>Perlu Pengendalian</v>
      </c>
      <c r="N214" s="148"/>
      <c r="O214" s="143" t="e">
        <f>MAX(#REF!,#REF!)</f>
        <v>#REF!</v>
      </c>
      <c r="P214" s="9" t="e">
        <f t="shared" si="40"/>
        <v>#REF!</v>
      </c>
      <c r="Q214" s="143" t="e">
        <f>MAX(#REF!,#REF!)</f>
        <v>#REF!</v>
      </c>
      <c r="R214" s="9">
        <f t="shared" si="37"/>
        <v>0</v>
      </c>
      <c r="S214" s="8" t="str">
        <f t="shared" si="41"/>
        <v>Belum Sensus</v>
      </c>
      <c r="T214" s="148"/>
      <c r="U214" s="143" t="e">
        <f>MAX(#REF!,#REF!)</f>
        <v>#REF!</v>
      </c>
      <c r="V214" s="143" t="e">
        <f>MAX(#REF!,#REF!)</f>
        <v>#REF!</v>
      </c>
      <c r="W214" s="9">
        <f t="shared" si="42"/>
        <v>0</v>
      </c>
      <c r="X214" s="8" t="str">
        <f t="shared" si="43"/>
        <v>Belum Sensus</v>
      </c>
      <c r="Y214" s="178"/>
      <c r="Z214" s="143">
        <v>0</v>
      </c>
      <c r="AA214" s="9">
        <f t="shared" si="44"/>
        <v>0</v>
      </c>
      <c r="AB214" s="143">
        <v>0</v>
      </c>
      <c r="AC214" s="9">
        <f t="shared" si="38"/>
        <v>0</v>
      </c>
      <c r="AD214" s="8" t="str">
        <f t="shared" si="45"/>
        <v>Belum Sensus</v>
      </c>
      <c r="AE214" s="178"/>
      <c r="AF214" s="143">
        <v>0</v>
      </c>
      <c r="AG214" s="143">
        <v>0</v>
      </c>
      <c r="AH214" s="9">
        <f t="shared" si="46"/>
        <v>0</v>
      </c>
      <c r="AI214" s="8" t="str">
        <f t="shared" si="47"/>
        <v>Belum Sensus</v>
      </c>
    </row>
    <row r="215" spans="1:35" x14ac:dyDescent="0.2">
      <c r="A215" s="8" t="s">
        <v>1739</v>
      </c>
      <c r="B215" s="8" t="s">
        <v>14</v>
      </c>
      <c r="C215" s="8" t="s">
        <v>252</v>
      </c>
      <c r="D215" s="8" t="s">
        <v>1080</v>
      </c>
      <c r="E215" s="9">
        <v>29.4</v>
      </c>
      <c r="F215" s="8" t="s">
        <v>1740</v>
      </c>
      <c r="G215" s="10">
        <v>3865</v>
      </c>
      <c r="H215" s="132">
        <v>46149</v>
      </c>
      <c r="I215" s="8">
        <f t="array" ref="I215">INDEX([26]KOMPARASI!$H$20:$H$199,MATCH(1,([26]KOMPARASI!$C$20:$C$199=$D215)*([26]KOMPARASI!$C$20:$C$199=$D215),0))</f>
        <v>405</v>
      </c>
      <c r="J215" s="9">
        <f t="array" ref="J215">IFERROR(I215/G215*100,0)</f>
        <v>10.478654592496765</v>
      </c>
      <c r="K215" s="8">
        <f t="array" ref="K215">INDEX([26]KOMPARASI!$J$20:$J$199,MATCH(1,([26]KOMPARASI!$C$20:$C$199=$D215)*([26]KOMPARASI!$C$20:$C$199=$D215),0))</f>
        <v>49</v>
      </c>
      <c r="L215" s="9">
        <f t="shared" si="36"/>
        <v>12.098765432098766</v>
      </c>
      <c r="M215" s="8" t="str">
        <f t="shared" si="39"/>
        <v>Perlu Pengendalian</v>
      </c>
      <c r="N215" s="148"/>
      <c r="O215" s="143" t="e">
        <f>MAX(#REF!,#REF!)</f>
        <v>#REF!</v>
      </c>
      <c r="P215" s="9" t="e">
        <f t="shared" si="40"/>
        <v>#REF!</v>
      </c>
      <c r="Q215" s="143" t="e">
        <f>MAX(#REF!,#REF!)</f>
        <v>#REF!</v>
      </c>
      <c r="R215" s="9">
        <f t="shared" si="37"/>
        <v>0</v>
      </c>
      <c r="S215" s="8" t="str">
        <f t="shared" si="41"/>
        <v>Belum Sensus</v>
      </c>
      <c r="T215" s="148"/>
      <c r="U215" s="143" t="e">
        <f>MAX(#REF!,#REF!)</f>
        <v>#REF!</v>
      </c>
      <c r="V215" s="143" t="e">
        <f>MAX(#REF!,#REF!)</f>
        <v>#REF!</v>
      </c>
      <c r="W215" s="9">
        <f t="shared" si="42"/>
        <v>0</v>
      </c>
      <c r="X215" s="8" t="str">
        <f t="shared" si="43"/>
        <v>Belum Sensus</v>
      </c>
      <c r="Y215" s="178"/>
      <c r="Z215" s="143">
        <v>0</v>
      </c>
      <c r="AA215" s="9">
        <f t="shared" si="44"/>
        <v>0</v>
      </c>
      <c r="AB215" s="143">
        <v>0</v>
      </c>
      <c r="AC215" s="9">
        <f t="shared" si="38"/>
        <v>0</v>
      </c>
      <c r="AD215" s="8" t="str">
        <f t="shared" si="45"/>
        <v>Belum Sensus</v>
      </c>
      <c r="AE215" s="178">
        <v>46153</v>
      </c>
      <c r="AF215" s="143">
        <v>498</v>
      </c>
      <c r="AG215" s="143">
        <v>123</v>
      </c>
      <c r="AH215" s="9">
        <f t="shared" si="46"/>
        <v>24.69879518072289</v>
      </c>
      <c r="AI215" s="8" t="str">
        <f t="shared" si="47"/>
        <v>Perlu Pengendalian</v>
      </c>
    </row>
    <row r="216" spans="1:35" x14ac:dyDescent="0.2">
      <c r="A216" s="8" t="s">
        <v>1739</v>
      </c>
      <c r="B216" s="8" t="s">
        <v>14</v>
      </c>
      <c r="C216" s="8" t="s">
        <v>252</v>
      </c>
      <c r="D216" s="8" t="s">
        <v>1081</v>
      </c>
      <c r="E216" s="9">
        <v>30.32</v>
      </c>
      <c r="F216" s="8" t="s">
        <v>1740</v>
      </c>
      <c r="G216" s="10">
        <v>4065</v>
      </c>
      <c r="H216" s="132">
        <v>46153</v>
      </c>
      <c r="I216" s="8">
        <f t="array" ref="I216">INDEX([26]KOMPARASI!$H$20:$H$199,MATCH(1,([26]KOMPARASI!$C$20:$C$199=$D216)*([26]KOMPARASI!$C$20:$C$199=$D216),0))</f>
        <v>422</v>
      </c>
      <c r="J216" s="9">
        <f t="array" ref="J216">IFERROR(I216/G216*100,0)</f>
        <v>10.38130381303813</v>
      </c>
      <c r="K216" s="8">
        <f t="array" ref="K216">INDEX([26]KOMPARASI!$J$20:$J$199,MATCH(1,([26]KOMPARASI!$C$20:$C$199=$D216)*([26]KOMPARASI!$C$20:$C$199=$D216),0))</f>
        <v>44</v>
      </c>
      <c r="L216" s="9">
        <f t="shared" si="36"/>
        <v>10.42654028436019</v>
      </c>
      <c r="M216" s="8" t="str">
        <f t="shared" si="39"/>
        <v>Perlu Pengendalian</v>
      </c>
      <c r="N216" s="148"/>
      <c r="O216" s="143" t="e">
        <f>MAX(#REF!,#REF!)</f>
        <v>#REF!</v>
      </c>
      <c r="P216" s="9" t="e">
        <f t="shared" si="40"/>
        <v>#REF!</v>
      </c>
      <c r="Q216" s="143" t="e">
        <f>MAX(#REF!,#REF!)</f>
        <v>#REF!</v>
      </c>
      <c r="R216" s="9">
        <f t="shared" si="37"/>
        <v>0</v>
      </c>
      <c r="S216" s="8" t="str">
        <f t="shared" si="41"/>
        <v>Belum Sensus</v>
      </c>
      <c r="T216" s="148"/>
      <c r="U216" s="143" t="e">
        <f>MAX(#REF!,#REF!)</f>
        <v>#REF!</v>
      </c>
      <c r="V216" s="143" t="e">
        <f>MAX(#REF!,#REF!)</f>
        <v>#REF!</v>
      </c>
      <c r="W216" s="9">
        <f t="shared" si="42"/>
        <v>0</v>
      </c>
      <c r="X216" s="8" t="str">
        <f t="shared" si="43"/>
        <v>Belum Sensus</v>
      </c>
      <c r="Y216" s="178"/>
      <c r="Z216" s="143">
        <v>0</v>
      </c>
      <c r="AA216" s="9">
        <f t="shared" si="44"/>
        <v>0</v>
      </c>
      <c r="AB216" s="143">
        <v>0</v>
      </c>
      <c r="AC216" s="9">
        <f t="shared" si="38"/>
        <v>0</v>
      </c>
      <c r="AD216" s="8" t="str">
        <f t="shared" si="45"/>
        <v>Belum Sensus</v>
      </c>
      <c r="AE216" s="178"/>
      <c r="AF216" s="143">
        <v>0</v>
      </c>
      <c r="AG216" s="143">
        <v>0</v>
      </c>
      <c r="AH216" s="9">
        <f t="shared" si="46"/>
        <v>0</v>
      </c>
      <c r="AI216" s="8" t="str">
        <f t="shared" si="47"/>
        <v>Belum Sensus</v>
      </c>
    </row>
    <row r="217" spans="1:35" x14ac:dyDescent="0.2">
      <c r="A217" s="8" t="s">
        <v>1739</v>
      </c>
      <c r="B217" s="8" t="s">
        <v>14</v>
      </c>
      <c r="C217" s="8" t="s">
        <v>252</v>
      </c>
      <c r="D217" s="8" t="s">
        <v>1082</v>
      </c>
      <c r="E217" s="9">
        <v>29.07</v>
      </c>
      <c r="F217" s="8" t="s">
        <v>1740</v>
      </c>
      <c r="G217" s="10">
        <v>3832</v>
      </c>
      <c r="H217" s="132">
        <v>46149</v>
      </c>
      <c r="I217" s="8">
        <f t="array" ref="I217">INDEX([26]KOMPARASI!$H$20:$H$199,MATCH(1,([26]KOMPARASI!$C$20:$C$199=$D217)*([26]KOMPARASI!$C$20:$C$199=$D217),0))</f>
        <v>384</v>
      </c>
      <c r="J217" s="9">
        <f t="array" ref="J217">IFERROR(I217/G217*100,0)</f>
        <v>10.020876826722338</v>
      </c>
      <c r="K217" s="8">
        <f t="array" ref="K217">INDEX([26]KOMPARASI!$J$20:$J$199,MATCH(1,([26]KOMPARASI!$C$20:$C$199=$D217)*([26]KOMPARASI!$C$20:$C$199=$D217),0))</f>
        <v>49</v>
      </c>
      <c r="L217" s="9">
        <f t="shared" si="36"/>
        <v>12.760416666666666</v>
      </c>
      <c r="M217" s="8" t="str">
        <f t="shared" si="39"/>
        <v>Perlu Pengendalian</v>
      </c>
      <c r="N217" s="148"/>
      <c r="O217" s="143" t="e">
        <f>MAX(#REF!,#REF!)</f>
        <v>#REF!</v>
      </c>
      <c r="P217" s="9" t="e">
        <f t="shared" si="40"/>
        <v>#REF!</v>
      </c>
      <c r="Q217" s="143" t="e">
        <f>MAX(#REF!,#REF!)</f>
        <v>#REF!</v>
      </c>
      <c r="R217" s="9">
        <f t="shared" si="37"/>
        <v>0</v>
      </c>
      <c r="S217" s="8" t="str">
        <f t="shared" si="41"/>
        <v>Belum Sensus</v>
      </c>
      <c r="T217" s="148"/>
      <c r="U217" s="143" t="e">
        <f>MAX(#REF!,#REF!)</f>
        <v>#REF!</v>
      </c>
      <c r="V217" s="143" t="e">
        <f>MAX(#REF!,#REF!)</f>
        <v>#REF!</v>
      </c>
      <c r="W217" s="9">
        <f t="shared" si="42"/>
        <v>0</v>
      </c>
      <c r="X217" s="8" t="str">
        <f t="shared" si="43"/>
        <v>Belum Sensus</v>
      </c>
      <c r="Y217" s="178">
        <v>46153</v>
      </c>
      <c r="Z217" s="143">
        <v>64</v>
      </c>
      <c r="AA217" s="9">
        <f t="shared" si="44"/>
        <v>1.6701461377870561</v>
      </c>
      <c r="AB217" s="143">
        <v>39</v>
      </c>
      <c r="AC217" s="9">
        <f t="shared" si="38"/>
        <v>60.9375</v>
      </c>
      <c r="AD217" s="8" t="str">
        <f t="shared" si="45"/>
        <v>Perlu Pengendalian</v>
      </c>
      <c r="AE217" s="178">
        <v>46153</v>
      </c>
      <c r="AF217" s="143">
        <v>267</v>
      </c>
      <c r="AG217" s="143">
        <v>21</v>
      </c>
      <c r="AH217" s="9">
        <f t="shared" si="46"/>
        <v>7.8651685393258424</v>
      </c>
      <c r="AI217" s="8" t="str">
        <f t="shared" si="47"/>
        <v>Perlu Pengendalian</v>
      </c>
    </row>
    <row r="218" spans="1:35" x14ac:dyDescent="0.2">
      <c r="A218" s="8" t="s">
        <v>1739</v>
      </c>
      <c r="B218" s="8" t="s">
        <v>14</v>
      </c>
      <c r="C218" s="8" t="s">
        <v>252</v>
      </c>
      <c r="D218" s="8" t="s">
        <v>1083</v>
      </c>
      <c r="E218" s="9">
        <v>0</v>
      </c>
      <c r="F218" s="8" t="s">
        <v>1740</v>
      </c>
      <c r="G218" s="10">
        <v>0</v>
      </c>
      <c r="H218" s="132"/>
      <c r="I218" s="8">
        <f t="array" ref="I218">INDEX([26]KOMPARASI!$H$20:$H$199,MATCH(1,([26]KOMPARASI!$C$20:$C$199=$D218)*([26]KOMPARASI!$C$20:$C$199=$D218),0))</f>
        <v>0</v>
      </c>
      <c r="J218" s="9">
        <f t="array" ref="J218">IFERROR(I218/G218*100,0)</f>
        <v>0</v>
      </c>
      <c r="K218" s="8">
        <f t="array" ref="K218">INDEX([26]KOMPARASI!$J$20:$J$199,MATCH(1,([26]KOMPARASI!$C$20:$C$199=$D218)*([26]KOMPARASI!$C$20:$C$199=$D218),0))</f>
        <v>0</v>
      </c>
      <c r="L218" s="9">
        <f t="shared" si="36"/>
        <v>0</v>
      </c>
      <c r="M218" s="8" t="str">
        <f t="shared" si="39"/>
        <v>Belum Sensus</v>
      </c>
      <c r="N218" s="148"/>
      <c r="O218" s="143" t="e">
        <f>MAX(#REF!,#REF!)</f>
        <v>#REF!</v>
      </c>
      <c r="P218" s="9" t="e">
        <f t="shared" si="40"/>
        <v>#REF!</v>
      </c>
      <c r="Q218" s="143" t="e">
        <f>MAX(#REF!,#REF!)</f>
        <v>#REF!</v>
      </c>
      <c r="R218" s="9">
        <f t="shared" si="37"/>
        <v>0</v>
      </c>
      <c r="S218" s="8" t="str">
        <f t="shared" si="41"/>
        <v>Belum Sensus</v>
      </c>
      <c r="T218" s="148"/>
      <c r="U218" s="143" t="e">
        <f>MAX(#REF!,#REF!)</f>
        <v>#REF!</v>
      </c>
      <c r="V218" s="143" t="e">
        <f>MAX(#REF!,#REF!)</f>
        <v>#REF!</v>
      </c>
      <c r="W218" s="9">
        <f t="shared" si="42"/>
        <v>0</v>
      </c>
      <c r="X218" s="8" t="str">
        <f t="shared" si="43"/>
        <v>Belum Sensus</v>
      </c>
      <c r="Y218" s="178"/>
      <c r="Z218" s="143">
        <v>0</v>
      </c>
      <c r="AA218" s="9" t="e">
        <f t="shared" si="44"/>
        <v>#DIV/0!</v>
      </c>
      <c r="AB218" s="143">
        <v>0</v>
      </c>
      <c r="AC218" s="9">
        <f t="shared" si="38"/>
        <v>0</v>
      </c>
      <c r="AD218" s="8" t="str">
        <f t="shared" si="45"/>
        <v>Belum Sensus</v>
      </c>
      <c r="AE218" s="178"/>
      <c r="AF218" s="143">
        <v>0</v>
      </c>
      <c r="AG218" s="143">
        <v>0</v>
      </c>
      <c r="AH218" s="9">
        <f t="shared" si="46"/>
        <v>0</v>
      </c>
      <c r="AI218" s="8" t="str">
        <f t="shared" si="47"/>
        <v>Belum Sensus</v>
      </c>
    </row>
    <row r="219" spans="1:35" x14ac:dyDescent="0.2">
      <c r="A219" s="8" t="s">
        <v>1739</v>
      </c>
      <c r="B219" s="8" t="s">
        <v>14</v>
      </c>
      <c r="C219" s="8" t="s">
        <v>252</v>
      </c>
      <c r="D219" s="8" t="s">
        <v>1084</v>
      </c>
      <c r="E219" s="9">
        <v>0</v>
      </c>
      <c r="F219" s="8" t="s">
        <v>1740</v>
      </c>
      <c r="G219" s="10">
        <v>0</v>
      </c>
      <c r="H219" s="132"/>
      <c r="I219" s="8">
        <f t="array" ref="I219">INDEX([26]KOMPARASI!$H$20:$H$199,MATCH(1,([26]KOMPARASI!$C$20:$C$199=$D219)*([26]KOMPARASI!$C$20:$C$199=$D219),0))</f>
        <v>0</v>
      </c>
      <c r="J219" s="9">
        <f t="array" ref="J219">IFERROR(I219/G219*100,0)</f>
        <v>0</v>
      </c>
      <c r="K219" s="8">
        <f t="array" ref="K219">INDEX([26]KOMPARASI!$J$20:$J$199,MATCH(1,([26]KOMPARASI!$C$20:$C$199=$D219)*([26]KOMPARASI!$C$20:$C$199=$D219),0))</f>
        <v>0</v>
      </c>
      <c r="L219" s="9">
        <f t="shared" si="36"/>
        <v>0</v>
      </c>
      <c r="M219" s="8" t="str">
        <f t="shared" si="39"/>
        <v>Belum Sensus</v>
      </c>
      <c r="N219" s="148"/>
      <c r="O219" s="143" t="e">
        <f>MAX(#REF!,#REF!)</f>
        <v>#REF!</v>
      </c>
      <c r="P219" s="9" t="e">
        <f t="shared" si="40"/>
        <v>#REF!</v>
      </c>
      <c r="Q219" s="143" t="e">
        <f>MAX(#REF!,#REF!)</f>
        <v>#REF!</v>
      </c>
      <c r="R219" s="9">
        <f t="shared" si="37"/>
        <v>0</v>
      </c>
      <c r="S219" s="8" t="str">
        <f t="shared" si="41"/>
        <v>Belum Sensus</v>
      </c>
      <c r="T219" s="148"/>
      <c r="U219" s="143" t="e">
        <f>MAX(#REF!,#REF!)</f>
        <v>#REF!</v>
      </c>
      <c r="V219" s="143" t="e">
        <f>MAX(#REF!,#REF!)</f>
        <v>#REF!</v>
      </c>
      <c r="W219" s="9">
        <f t="shared" si="42"/>
        <v>0</v>
      </c>
      <c r="X219" s="8" t="str">
        <f t="shared" si="43"/>
        <v>Belum Sensus</v>
      </c>
      <c r="Y219" s="178"/>
      <c r="Z219" s="143">
        <v>0</v>
      </c>
      <c r="AA219" s="9" t="e">
        <f t="shared" si="44"/>
        <v>#DIV/0!</v>
      </c>
      <c r="AB219" s="143">
        <v>0</v>
      </c>
      <c r="AC219" s="9">
        <f t="shared" si="38"/>
        <v>0</v>
      </c>
      <c r="AD219" s="8" t="str">
        <f t="shared" si="45"/>
        <v>Belum Sensus</v>
      </c>
      <c r="AE219" s="178"/>
      <c r="AF219" s="143">
        <v>0</v>
      </c>
      <c r="AG219" s="143">
        <v>0</v>
      </c>
      <c r="AH219" s="9">
        <f t="shared" si="46"/>
        <v>0</v>
      </c>
      <c r="AI219" s="8" t="str">
        <f t="shared" si="47"/>
        <v>Belum Sensus</v>
      </c>
    </row>
    <row r="220" spans="1:35" x14ac:dyDescent="0.2">
      <c r="A220" s="8" t="s">
        <v>1739</v>
      </c>
      <c r="B220" s="8" t="s">
        <v>14</v>
      </c>
      <c r="C220" s="8" t="s">
        <v>252</v>
      </c>
      <c r="D220" s="8" t="s">
        <v>1085</v>
      </c>
      <c r="E220" s="9">
        <v>0</v>
      </c>
      <c r="F220" s="8" t="s">
        <v>1740</v>
      </c>
      <c r="G220" s="10">
        <v>0</v>
      </c>
      <c r="H220" s="132"/>
      <c r="I220" s="8">
        <f t="array" ref="I220">INDEX([26]KOMPARASI!$H$20:$H$199,MATCH(1,([26]KOMPARASI!$C$20:$C$199=$D220)*([26]KOMPARASI!$C$20:$C$199=$D220),0))</f>
        <v>0</v>
      </c>
      <c r="J220" s="9">
        <f t="array" ref="J220">IFERROR(I220/G220*100,0)</f>
        <v>0</v>
      </c>
      <c r="K220" s="8">
        <f t="array" ref="K220">INDEX([26]KOMPARASI!$J$20:$J$199,MATCH(1,([26]KOMPARASI!$C$20:$C$199=$D220)*([26]KOMPARASI!$C$20:$C$199=$D220),0))</f>
        <v>0</v>
      </c>
      <c r="L220" s="9">
        <f t="shared" si="36"/>
        <v>0</v>
      </c>
      <c r="M220" s="8" t="str">
        <f t="shared" si="39"/>
        <v>Belum Sensus</v>
      </c>
      <c r="N220" s="148"/>
      <c r="O220" s="143" t="e">
        <f>MAX(#REF!,#REF!)</f>
        <v>#REF!</v>
      </c>
      <c r="P220" s="9" t="e">
        <f t="shared" si="40"/>
        <v>#REF!</v>
      </c>
      <c r="Q220" s="143" t="e">
        <f>MAX(#REF!,#REF!)</f>
        <v>#REF!</v>
      </c>
      <c r="R220" s="9">
        <f t="shared" si="37"/>
        <v>0</v>
      </c>
      <c r="S220" s="8" t="str">
        <f t="shared" si="41"/>
        <v>Belum Sensus</v>
      </c>
      <c r="T220" s="148"/>
      <c r="U220" s="143" t="e">
        <f>MAX(#REF!,#REF!)</f>
        <v>#REF!</v>
      </c>
      <c r="V220" s="143" t="e">
        <f>MAX(#REF!,#REF!)</f>
        <v>#REF!</v>
      </c>
      <c r="W220" s="9">
        <f t="shared" si="42"/>
        <v>0</v>
      </c>
      <c r="X220" s="8" t="str">
        <f t="shared" si="43"/>
        <v>Belum Sensus</v>
      </c>
      <c r="Y220" s="178"/>
      <c r="Z220" s="143">
        <v>0</v>
      </c>
      <c r="AA220" s="9" t="e">
        <f t="shared" si="44"/>
        <v>#DIV/0!</v>
      </c>
      <c r="AB220" s="143">
        <v>0</v>
      </c>
      <c r="AC220" s="9">
        <f t="shared" si="38"/>
        <v>0</v>
      </c>
      <c r="AD220" s="8" t="str">
        <f t="shared" si="45"/>
        <v>Belum Sensus</v>
      </c>
      <c r="AE220" s="178"/>
      <c r="AF220" s="143">
        <v>0</v>
      </c>
      <c r="AG220" s="143">
        <v>0</v>
      </c>
      <c r="AH220" s="9">
        <f t="shared" si="46"/>
        <v>0</v>
      </c>
      <c r="AI220" s="8" t="str">
        <f t="shared" si="47"/>
        <v>Belum Sensus</v>
      </c>
    </row>
    <row r="221" spans="1:35" x14ac:dyDescent="0.2">
      <c r="A221" s="8" t="s">
        <v>1739</v>
      </c>
      <c r="B221" s="8" t="s">
        <v>14</v>
      </c>
      <c r="C221" s="8" t="s">
        <v>252</v>
      </c>
      <c r="D221" s="8" t="s">
        <v>1086</v>
      </c>
      <c r="E221" s="9">
        <v>0</v>
      </c>
      <c r="F221" s="8" t="s">
        <v>1740</v>
      </c>
      <c r="G221" s="10">
        <v>0</v>
      </c>
      <c r="H221" s="132"/>
      <c r="I221" s="8">
        <f t="array" ref="I221">INDEX([26]KOMPARASI!$H$20:$H$199,MATCH(1,([26]KOMPARASI!$C$20:$C$199=$D221)*([26]KOMPARASI!$C$20:$C$199=$D221),0))</f>
        <v>0</v>
      </c>
      <c r="J221" s="9">
        <f t="array" ref="J221">IFERROR(I221/G221*100,0)</f>
        <v>0</v>
      </c>
      <c r="K221" s="8">
        <f t="array" ref="K221">INDEX([26]KOMPARASI!$J$20:$J$199,MATCH(1,([26]KOMPARASI!$C$20:$C$199=$D221)*([26]KOMPARASI!$C$20:$C$199=$D221),0))</f>
        <v>0</v>
      </c>
      <c r="L221" s="9">
        <f t="shared" si="36"/>
        <v>0</v>
      </c>
      <c r="M221" s="8" t="str">
        <f t="shared" si="39"/>
        <v>Belum Sensus</v>
      </c>
      <c r="N221" s="148"/>
      <c r="O221" s="143" t="e">
        <f>MAX(#REF!,#REF!)</f>
        <v>#REF!</v>
      </c>
      <c r="P221" s="9" t="e">
        <f t="shared" si="40"/>
        <v>#REF!</v>
      </c>
      <c r="Q221" s="143" t="e">
        <f>MAX(#REF!,#REF!)</f>
        <v>#REF!</v>
      </c>
      <c r="R221" s="9">
        <f t="shared" si="37"/>
        <v>0</v>
      </c>
      <c r="S221" s="8" t="str">
        <f t="shared" si="41"/>
        <v>Belum Sensus</v>
      </c>
      <c r="T221" s="148"/>
      <c r="U221" s="143" t="e">
        <f>MAX(#REF!,#REF!)</f>
        <v>#REF!</v>
      </c>
      <c r="V221" s="143" t="e">
        <f>MAX(#REF!,#REF!)</f>
        <v>#REF!</v>
      </c>
      <c r="W221" s="9">
        <f t="shared" si="42"/>
        <v>0</v>
      </c>
      <c r="X221" s="8" t="str">
        <f t="shared" si="43"/>
        <v>Belum Sensus</v>
      </c>
      <c r="Y221" s="178"/>
      <c r="Z221" s="143">
        <v>0</v>
      </c>
      <c r="AA221" s="9" t="e">
        <f t="shared" si="44"/>
        <v>#DIV/0!</v>
      </c>
      <c r="AB221" s="143">
        <v>0</v>
      </c>
      <c r="AC221" s="9">
        <f t="shared" si="38"/>
        <v>0</v>
      </c>
      <c r="AD221" s="8" t="str">
        <f t="shared" si="45"/>
        <v>Belum Sensus</v>
      </c>
      <c r="AE221" s="178"/>
      <c r="AF221" s="143">
        <v>0</v>
      </c>
      <c r="AG221" s="143">
        <v>0</v>
      </c>
      <c r="AH221" s="9">
        <f t="shared" si="46"/>
        <v>0</v>
      </c>
      <c r="AI221" s="8" t="str">
        <f t="shared" si="47"/>
        <v>Belum Sensus</v>
      </c>
    </row>
    <row r="222" spans="1:35" x14ac:dyDescent="0.2">
      <c r="A222" s="8" t="s">
        <v>1739</v>
      </c>
      <c r="B222" s="8" t="s">
        <v>14</v>
      </c>
      <c r="C222" s="8" t="s">
        <v>252</v>
      </c>
      <c r="D222" s="8" t="s">
        <v>1087</v>
      </c>
      <c r="E222" s="9">
        <v>30.37</v>
      </c>
      <c r="F222" s="8" t="s">
        <v>1740</v>
      </c>
      <c r="G222" s="10">
        <v>3919</v>
      </c>
      <c r="H222" s="132">
        <v>46149</v>
      </c>
      <c r="I222" s="8">
        <f t="array" ref="I222">INDEX([26]KOMPARASI!$H$20:$H$199,MATCH(1,([26]KOMPARASI!$C$20:$C$199=$D222)*([26]KOMPARASI!$C$20:$C$199=$D222),0))</f>
        <v>296</v>
      </c>
      <c r="J222" s="9">
        <f t="array" ref="J222">IFERROR(I222/G222*100,0)</f>
        <v>7.5529471804031649</v>
      </c>
      <c r="K222" s="8">
        <f t="array" ref="K222">INDEX([26]KOMPARASI!$J$20:$J$199,MATCH(1,([26]KOMPARASI!$C$20:$C$199=$D222)*([26]KOMPARASI!$C$20:$C$199=$D222),0))</f>
        <v>44</v>
      </c>
      <c r="L222" s="9">
        <f t="shared" si="36"/>
        <v>14.864864864864865</v>
      </c>
      <c r="M222" s="8" t="str">
        <f t="shared" si="39"/>
        <v>Perlu Pengendalian</v>
      </c>
      <c r="N222" s="148"/>
      <c r="O222" s="143" t="e">
        <f>MAX(#REF!,#REF!)</f>
        <v>#REF!</v>
      </c>
      <c r="P222" s="9" t="e">
        <f t="shared" si="40"/>
        <v>#REF!</v>
      </c>
      <c r="Q222" s="143" t="e">
        <f>MAX(#REF!,#REF!)</f>
        <v>#REF!</v>
      </c>
      <c r="R222" s="9">
        <f t="shared" si="37"/>
        <v>0</v>
      </c>
      <c r="S222" s="8" t="str">
        <f t="shared" si="41"/>
        <v>Belum Sensus</v>
      </c>
      <c r="T222" s="148"/>
      <c r="U222" s="143" t="e">
        <f>MAX(#REF!,#REF!)</f>
        <v>#REF!</v>
      </c>
      <c r="V222" s="143" t="e">
        <f>MAX(#REF!,#REF!)</f>
        <v>#REF!</v>
      </c>
      <c r="W222" s="9">
        <f t="shared" si="42"/>
        <v>0</v>
      </c>
      <c r="X222" s="8" t="str">
        <f t="shared" si="43"/>
        <v>Belum Sensus</v>
      </c>
      <c r="Y222" s="178">
        <v>46153</v>
      </c>
      <c r="Z222" s="143">
        <v>131</v>
      </c>
      <c r="AA222" s="9">
        <f t="shared" si="44"/>
        <v>3.3426894615973466</v>
      </c>
      <c r="AB222" s="143">
        <v>35</v>
      </c>
      <c r="AC222" s="9">
        <f t="shared" si="38"/>
        <v>26.717557251908396</v>
      </c>
      <c r="AD222" s="8" t="str">
        <f t="shared" si="45"/>
        <v>Perlu Pengendalian</v>
      </c>
      <c r="AE222" s="178">
        <v>46153</v>
      </c>
      <c r="AF222" s="143">
        <v>405</v>
      </c>
      <c r="AG222" s="143">
        <v>54</v>
      </c>
      <c r="AH222" s="9">
        <f t="shared" si="46"/>
        <v>13.333333333333334</v>
      </c>
      <c r="AI222" s="8" t="str">
        <f t="shared" si="47"/>
        <v>Perlu Pengendalian</v>
      </c>
    </row>
    <row r="223" spans="1:35" x14ac:dyDescent="0.2">
      <c r="A223" s="8" t="s">
        <v>1739</v>
      </c>
      <c r="B223" s="8" t="s">
        <v>14</v>
      </c>
      <c r="C223" s="8" t="s">
        <v>252</v>
      </c>
      <c r="D223" s="8" t="s">
        <v>1088</v>
      </c>
      <c r="E223" s="9">
        <v>30.66</v>
      </c>
      <c r="F223" s="8" t="s">
        <v>1740</v>
      </c>
      <c r="G223" s="10">
        <v>3907</v>
      </c>
      <c r="H223" s="132">
        <v>46153</v>
      </c>
      <c r="I223" s="8">
        <f t="array" ref="I223">INDEX([26]KOMPARASI!$H$20:$H$199,MATCH(1,([26]KOMPARASI!$C$20:$C$199=$D223)*([26]KOMPARASI!$C$20:$C$199=$D223),0))</f>
        <v>346</v>
      </c>
      <c r="J223" s="9">
        <f t="array" ref="J223">IFERROR(I223/G223*100,0)</f>
        <v>8.8558996672638841</v>
      </c>
      <c r="K223" s="8">
        <f t="array" ref="K223">INDEX([26]KOMPARASI!$J$20:$J$199,MATCH(1,([26]KOMPARASI!$C$20:$C$199=$D223)*([26]KOMPARASI!$C$20:$C$199=$D223),0))</f>
        <v>51</v>
      </c>
      <c r="L223" s="9">
        <f t="shared" si="36"/>
        <v>14.739884393063585</v>
      </c>
      <c r="M223" s="8" t="str">
        <f t="shared" si="39"/>
        <v>Perlu Pengendalian</v>
      </c>
      <c r="N223" s="148"/>
      <c r="O223" s="143" t="e">
        <f>MAX(#REF!,#REF!)</f>
        <v>#REF!</v>
      </c>
      <c r="P223" s="9" t="e">
        <f t="shared" si="40"/>
        <v>#REF!</v>
      </c>
      <c r="Q223" s="143" t="e">
        <f>MAX(#REF!,#REF!)</f>
        <v>#REF!</v>
      </c>
      <c r="R223" s="9">
        <f t="shared" si="37"/>
        <v>0</v>
      </c>
      <c r="S223" s="8" t="str">
        <f t="shared" si="41"/>
        <v>Belum Sensus</v>
      </c>
      <c r="T223" s="148"/>
      <c r="U223" s="143" t="e">
        <f>MAX(#REF!,#REF!)</f>
        <v>#REF!</v>
      </c>
      <c r="V223" s="143" t="e">
        <f>MAX(#REF!,#REF!)</f>
        <v>#REF!</v>
      </c>
      <c r="W223" s="9">
        <f t="shared" si="42"/>
        <v>0</v>
      </c>
      <c r="X223" s="8" t="str">
        <f t="shared" si="43"/>
        <v>Belum Sensus</v>
      </c>
      <c r="Y223" s="178">
        <v>46153</v>
      </c>
      <c r="Z223" s="143">
        <v>135</v>
      </c>
      <c r="AA223" s="9">
        <f t="shared" si="44"/>
        <v>3.4553365753775274</v>
      </c>
      <c r="AB223" s="143">
        <v>32</v>
      </c>
      <c r="AC223" s="9">
        <f t="shared" si="38"/>
        <v>23.703703703703706</v>
      </c>
      <c r="AD223" s="8" t="str">
        <f t="shared" si="45"/>
        <v>Perlu Pengendalian</v>
      </c>
      <c r="AE223" s="178">
        <v>46153</v>
      </c>
      <c r="AF223" s="143">
        <v>474</v>
      </c>
      <c r="AG223" s="143">
        <v>91</v>
      </c>
      <c r="AH223" s="9">
        <f t="shared" si="46"/>
        <v>19.198312236286917</v>
      </c>
      <c r="AI223" s="8" t="str">
        <f t="shared" si="47"/>
        <v>Perlu Pengendalian</v>
      </c>
    </row>
    <row r="224" spans="1:35" x14ac:dyDescent="0.2">
      <c r="A224" s="8" t="s">
        <v>1739</v>
      </c>
      <c r="B224" s="8" t="s">
        <v>14</v>
      </c>
      <c r="C224" s="8" t="s">
        <v>252</v>
      </c>
      <c r="D224" s="8" t="s">
        <v>1089</v>
      </c>
      <c r="E224" s="9">
        <v>29.83</v>
      </c>
      <c r="F224" s="8" t="s">
        <v>1740</v>
      </c>
      <c r="G224" s="10">
        <v>3866</v>
      </c>
      <c r="H224" s="132">
        <v>46153</v>
      </c>
      <c r="I224" s="8">
        <f t="array" ref="I224">INDEX([26]KOMPARASI!$H$20:$H$199,MATCH(1,([26]KOMPARASI!$C$20:$C$199=$D224)*([26]KOMPARASI!$C$20:$C$199=$D224),0))</f>
        <v>368</v>
      </c>
      <c r="J224" s="9">
        <f t="array" ref="J224">IFERROR(I224/G224*100,0)</f>
        <v>9.5188825659596485</v>
      </c>
      <c r="K224" s="8">
        <f t="array" ref="K224">INDEX([26]KOMPARASI!$J$20:$J$199,MATCH(1,([26]KOMPARASI!$C$20:$C$199=$D224)*([26]KOMPARASI!$C$20:$C$199=$D224),0))</f>
        <v>63</v>
      </c>
      <c r="L224" s="9">
        <f t="shared" si="36"/>
        <v>17.119565217391305</v>
      </c>
      <c r="M224" s="8" t="str">
        <f t="shared" si="39"/>
        <v>Perlu Pengendalian</v>
      </c>
      <c r="N224" s="148"/>
      <c r="O224" s="143" t="e">
        <f>MAX(#REF!,#REF!)</f>
        <v>#REF!</v>
      </c>
      <c r="P224" s="9" t="e">
        <f t="shared" si="40"/>
        <v>#REF!</v>
      </c>
      <c r="Q224" s="143" t="e">
        <f>MAX(#REF!,#REF!)</f>
        <v>#REF!</v>
      </c>
      <c r="R224" s="9">
        <f t="shared" si="37"/>
        <v>0</v>
      </c>
      <c r="S224" s="8" t="str">
        <f t="shared" si="41"/>
        <v>Belum Sensus</v>
      </c>
      <c r="T224" s="148"/>
      <c r="U224" s="143" t="e">
        <f>MAX(#REF!,#REF!)</f>
        <v>#REF!</v>
      </c>
      <c r="V224" s="143" t="e">
        <f>MAX(#REF!,#REF!)</f>
        <v>#REF!</v>
      </c>
      <c r="W224" s="9">
        <f t="shared" si="42"/>
        <v>0</v>
      </c>
      <c r="X224" s="8" t="str">
        <f t="shared" si="43"/>
        <v>Belum Sensus</v>
      </c>
      <c r="Y224" s="178">
        <v>46153</v>
      </c>
      <c r="Z224" s="143">
        <v>68</v>
      </c>
      <c r="AA224" s="9">
        <f t="shared" si="44"/>
        <v>1.7589239524055871</v>
      </c>
      <c r="AB224" s="143">
        <v>10</v>
      </c>
      <c r="AC224" s="9">
        <f t="shared" si="38"/>
        <v>14.705882352941178</v>
      </c>
      <c r="AD224" s="8" t="str">
        <f t="shared" si="45"/>
        <v>Perlu Pengendalian</v>
      </c>
      <c r="AE224" s="178">
        <v>46153</v>
      </c>
      <c r="AF224" s="143">
        <v>636</v>
      </c>
      <c r="AG224" s="143">
        <v>117</v>
      </c>
      <c r="AH224" s="9">
        <f t="shared" si="46"/>
        <v>18.39622641509434</v>
      </c>
      <c r="AI224" s="8" t="str">
        <f t="shared" si="47"/>
        <v>Perlu Pengendalian</v>
      </c>
    </row>
    <row r="225" spans="1:35" x14ac:dyDescent="0.2">
      <c r="A225" s="8" t="s">
        <v>1739</v>
      </c>
      <c r="B225" s="8" t="s">
        <v>14</v>
      </c>
      <c r="C225" s="8" t="s">
        <v>252</v>
      </c>
      <c r="D225" s="8" t="s">
        <v>1090</v>
      </c>
      <c r="E225" s="9">
        <v>29.94</v>
      </c>
      <c r="F225" s="8" t="s">
        <v>1740</v>
      </c>
      <c r="G225" s="10">
        <v>3882</v>
      </c>
      <c r="H225" s="132">
        <v>46149</v>
      </c>
      <c r="I225" s="8">
        <f t="array" ref="I225">INDEX([26]KOMPARASI!$H$20:$H$199,MATCH(1,([26]KOMPARASI!$C$20:$C$199=$D225)*([26]KOMPARASI!$C$20:$C$199=$D225),0))</f>
        <v>384</v>
      </c>
      <c r="J225" s="9">
        <f t="array" ref="J225">IFERROR(I225/G225*100,0)</f>
        <v>9.891808346213292</v>
      </c>
      <c r="K225" s="8">
        <f t="array" ref="K225">INDEX([26]KOMPARASI!$J$20:$J$199,MATCH(1,([26]KOMPARASI!$C$20:$C$199=$D225)*([26]KOMPARASI!$C$20:$C$199=$D225),0))</f>
        <v>49</v>
      </c>
      <c r="L225" s="9">
        <f t="shared" si="36"/>
        <v>12.760416666666666</v>
      </c>
      <c r="M225" s="8" t="str">
        <f t="shared" si="39"/>
        <v>Perlu Pengendalian</v>
      </c>
      <c r="N225" s="148"/>
      <c r="O225" s="143" t="e">
        <f>MAX(#REF!,#REF!)</f>
        <v>#REF!</v>
      </c>
      <c r="P225" s="9" t="e">
        <f t="shared" si="40"/>
        <v>#REF!</v>
      </c>
      <c r="Q225" s="143" t="e">
        <f>MAX(#REF!,#REF!)</f>
        <v>#REF!</v>
      </c>
      <c r="R225" s="9">
        <f t="shared" si="37"/>
        <v>0</v>
      </c>
      <c r="S225" s="8" t="str">
        <f t="shared" si="41"/>
        <v>Belum Sensus</v>
      </c>
      <c r="T225" s="148"/>
      <c r="U225" s="143" t="e">
        <f>MAX(#REF!,#REF!)</f>
        <v>#REF!</v>
      </c>
      <c r="V225" s="143" t="e">
        <f>MAX(#REF!,#REF!)</f>
        <v>#REF!</v>
      </c>
      <c r="W225" s="9">
        <f t="shared" si="42"/>
        <v>0</v>
      </c>
      <c r="X225" s="8" t="str">
        <f t="shared" si="43"/>
        <v>Belum Sensus</v>
      </c>
      <c r="Y225" s="178">
        <v>46153</v>
      </c>
      <c r="Z225" s="143">
        <v>194</v>
      </c>
      <c r="AA225" s="9">
        <f t="shared" si="44"/>
        <v>4.9974240082431738</v>
      </c>
      <c r="AB225" s="143">
        <v>54</v>
      </c>
      <c r="AC225" s="9">
        <f t="shared" si="38"/>
        <v>27.835051546391753</v>
      </c>
      <c r="AD225" s="8" t="str">
        <f t="shared" si="45"/>
        <v>Perlu Pengendalian</v>
      </c>
      <c r="AE225" s="178">
        <v>46153</v>
      </c>
      <c r="AF225" s="143">
        <v>750</v>
      </c>
      <c r="AG225" s="143">
        <v>166</v>
      </c>
      <c r="AH225" s="9">
        <f t="shared" si="46"/>
        <v>22.133333333333333</v>
      </c>
      <c r="AI225" s="8" t="str">
        <f t="shared" si="47"/>
        <v>Perlu Pengendalian</v>
      </c>
    </row>
    <row r="226" spans="1:35" x14ac:dyDescent="0.2">
      <c r="A226" s="8" t="s">
        <v>1739</v>
      </c>
      <c r="B226" s="8" t="s">
        <v>14</v>
      </c>
      <c r="C226" s="8" t="s">
        <v>252</v>
      </c>
      <c r="D226" s="8" t="s">
        <v>1091</v>
      </c>
      <c r="E226" s="9">
        <v>30.76</v>
      </c>
      <c r="F226" s="8" t="s">
        <v>1740</v>
      </c>
      <c r="G226" s="10">
        <v>3987</v>
      </c>
      <c r="H226" s="132">
        <v>46149</v>
      </c>
      <c r="I226" s="8">
        <f t="array" ref="I226">INDEX([26]KOMPARASI!$H$20:$H$199,MATCH(1,([26]KOMPARASI!$C$20:$C$199=$D226)*([26]KOMPARASI!$C$20:$C$199=$D226),0))</f>
        <v>421</v>
      </c>
      <c r="J226" s="9">
        <f t="array" ref="J226">IFERROR(I226/G226*100,0)</f>
        <v>10.55931778279408</v>
      </c>
      <c r="K226" s="8">
        <f t="array" ref="K226">INDEX([26]KOMPARASI!$J$20:$J$199,MATCH(1,([26]KOMPARASI!$C$20:$C$199=$D226)*([26]KOMPARASI!$C$20:$C$199=$D226),0))</f>
        <v>35</v>
      </c>
      <c r="L226" s="9">
        <f t="shared" si="36"/>
        <v>8.31353919239905</v>
      </c>
      <c r="M226" s="8" t="str">
        <f t="shared" si="39"/>
        <v>Perlu Pengendalian</v>
      </c>
      <c r="N226" s="148"/>
      <c r="O226" s="143" t="e">
        <f>MAX(#REF!,#REF!)</f>
        <v>#REF!</v>
      </c>
      <c r="P226" s="9" t="e">
        <f t="shared" si="40"/>
        <v>#REF!</v>
      </c>
      <c r="Q226" s="143" t="e">
        <f>MAX(#REF!,#REF!)</f>
        <v>#REF!</v>
      </c>
      <c r="R226" s="9">
        <f t="shared" si="37"/>
        <v>0</v>
      </c>
      <c r="S226" s="8" t="str">
        <f t="shared" si="41"/>
        <v>Belum Sensus</v>
      </c>
      <c r="T226" s="148"/>
      <c r="U226" s="143" t="e">
        <f>MAX(#REF!,#REF!)</f>
        <v>#REF!</v>
      </c>
      <c r="V226" s="143" t="e">
        <f>MAX(#REF!,#REF!)</f>
        <v>#REF!</v>
      </c>
      <c r="W226" s="9">
        <f t="shared" si="42"/>
        <v>0</v>
      </c>
      <c r="X226" s="8" t="str">
        <f t="shared" si="43"/>
        <v>Belum Sensus</v>
      </c>
      <c r="Y226" s="178">
        <v>46153</v>
      </c>
      <c r="Z226" s="143">
        <v>123</v>
      </c>
      <c r="AA226" s="9">
        <f t="shared" si="44"/>
        <v>3.0850263355906695</v>
      </c>
      <c r="AB226" s="143">
        <v>37</v>
      </c>
      <c r="AC226" s="9">
        <f t="shared" si="38"/>
        <v>30.081300813008134</v>
      </c>
      <c r="AD226" s="8" t="str">
        <f t="shared" si="45"/>
        <v>Perlu Pengendalian</v>
      </c>
      <c r="AE226" s="178">
        <v>46153</v>
      </c>
      <c r="AF226" s="143">
        <v>801</v>
      </c>
      <c r="AG226" s="143">
        <v>102</v>
      </c>
      <c r="AH226" s="9">
        <f t="shared" si="46"/>
        <v>12.734082397003746</v>
      </c>
      <c r="AI226" s="8" t="str">
        <f t="shared" si="47"/>
        <v>Perlu Pengendalian</v>
      </c>
    </row>
    <row r="227" spans="1:35" x14ac:dyDescent="0.2">
      <c r="A227" s="8" t="s">
        <v>1739</v>
      </c>
      <c r="B227" s="8" t="s">
        <v>14</v>
      </c>
      <c r="C227" s="8" t="s">
        <v>252</v>
      </c>
      <c r="D227" s="8" t="s">
        <v>1092</v>
      </c>
      <c r="E227" s="9">
        <v>0</v>
      </c>
      <c r="F227" s="8" t="s">
        <v>1740</v>
      </c>
      <c r="G227" s="10">
        <v>0</v>
      </c>
      <c r="H227" s="132"/>
      <c r="I227" s="8">
        <f t="array" ref="I227">INDEX([26]KOMPARASI!$H$20:$H$199,MATCH(1,([26]KOMPARASI!$C$20:$C$199=$D227)*([26]KOMPARASI!$C$20:$C$199=$D227),0))</f>
        <v>0</v>
      </c>
      <c r="J227" s="9">
        <f t="array" ref="J227">IFERROR(I227/G227*100,0)</f>
        <v>0</v>
      </c>
      <c r="K227" s="8">
        <f t="array" ref="K227">INDEX([26]KOMPARASI!$J$20:$J$199,MATCH(1,([26]KOMPARASI!$C$20:$C$199=$D227)*([26]KOMPARASI!$C$20:$C$199=$D227),0))</f>
        <v>0</v>
      </c>
      <c r="L227" s="9">
        <f t="shared" si="36"/>
        <v>0</v>
      </c>
      <c r="M227" s="8" t="str">
        <f t="shared" si="39"/>
        <v>Belum Sensus</v>
      </c>
      <c r="N227" s="148"/>
      <c r="O227" s="143" t="e">
        <f>MAX(#REF!,#REF!)</f>
        <v>#REF!</v>
      </c>
      <c r="P227" s="9" t="e">
        <f t="shared" si="40"/>
        <v>#REF!</v>
      </c>
      <c r="Q227" s="143" t="e">
        <f>MAX(#REF!,#REF!)</f>
        <v>#REF!</v>
      </c>
      <c r="R227" s="9">
        <f t="shared" si="37"/>
        <v>0</v>
      </c>
      <c r="S227" s="8" t="str">
        <f t="shared" si="41"/>
        <v>Belum Sensus</v>
      </c>
      <c r="T227" s="148"/>
      <c r="U227" s="143" t="e">
        <f>MAX(#REF!,#REF!)</f>
        <v>#REF!</v>
      </c>
      <c r="V227" s="143" t="e">
        <f>MAX(#REF!,#REF!)</f>
        <v>#REF!</v>
      </c>
      <c r="W227" s="9">
        <f t="shared" si="42"/>
        <v>0</v>
      </c>
      <c r="X227" s="8" t="str">
        <f t="shared" si="43"/>
        <v>Belum Sensus</v>
      </c>
      <c r="Y227" s="178"/>
      <c r="Z227" s="143">
        <v>0</v>
      </c>
      <c r="AA227" s="9" t="e">
        <f t="shared" si="44"/>
        <v>#DIV/0!</v>
      </c>
      <c r="AB227" s="143">
        <v>0</v>
      </c>
      <c r="AC227" s="9">
        <f t="shared" si="38"/>
        <v>0</v>
      </c>
      <c r="AD227" s="8" t="str">
        <f t="shared" si="45"/>
        <v>Belum Sensus</v>
      </c>
      <c r="AE227" s="178"/>
      <c r="AF227" s="143">
        <v>0</v>
      </c>
      <c r="AG227" s="143">
        <v>0</v>
      </c>
      <c r="AH227" s="9">
        <f t="shared" si="46"/>
        <v>0</v>
      </c>
      <c r="AI227" s="8" t="str">
        <f t="shared" si="47"/>
        <v>Belum Sensus</v>
      </c>
    </row>
    <row r="228" spans="1:35" x14ac:dyDescent="0.2">
      <c r="A228" s="8" t="s">
        <v>1739</v>
      </c>
      <c r="B228" s="8" t="s">
        <v>14</v>
      </c>
      <c r="C228" s="8" t="s">
        <v>252</v>
      </c>
      <c r="D228" s="8" t="s">
        <v>1093</v>
      </c>
      <c r="E228" s="9">
        <v>0</v>
      </c>
      <c r="F228" s="8" t="s">
        <v>1740</v>
      </c>
      <c r="G228" s="10">
        <v>0</v>
      </c>
      <c r="H228" s="132"/>
      <c r="I228" s="8">
        <f t="array" ref="I228">INDEX([26]KOMPARASI!$H$20:$H$199,MATCH(1,([26]KOMPARASI!$C$20:$C$199=$D228)*([26]KOMPARASI!$C$20:$C$199=$D228),0))</f>
        <v>0</v>
      </c>
      <c r="J228" s="9">
        <f t="array" ref="J228">IFERROR(I228/G228*100,0)</f>
        <v>0</v>
      </c>
      <c r="K228" s="8">
        <f t="array" ref="K228">INDEX([26]KOMPARASI!$J$20:$J$199,MATCH(1,([26]KOMPARASI!$C$20:$C$199=$D228)*([26]KOMPARASI!$C$20:$C$199=$D228),0))</f>
        <v>0</v>
      </c>
      <c r="L228" s="9">
        <f t="shared" si="36"/>
        <v>0</v>
      </c>
      <c r="M228" s="8" t="str">
        <f t="shared" si="39"/>
        <v>Belum Sensus</v>
      </c>
      <c r="N228" s="148"/>
      <c r="O228" s="143" t="e">
        <f>MAX(#REF!,#REF!)</f>
        <v>#REF!</v>
      </c>
      <c r="P228" s="9" t="e">
        <f t="shared" si="40"/>
        <v>#REF!</v>
      </c>
      <c r="Q228" s="143" t="e">
        <f>MAX(#REF!,#REF!)</f>
        <v>#REF!</v>
      </c>
      <c r="R228" s="9">
        <f t="shared" si="37"/>
        <v>0</v>
      </c>
      <c r="S228" s="8" t="str">
        <f t="shared" si="41"/>
        <v>Belum Sensus</v>
      </c>
      <c r="T228" s="148"/>
      <c r="U228" s="143" t="e">
        <f>MAX(#REF!,#REF!)</f>
        <v>#REF!</v>
      </c>
      <c r="V228" s="143" t="e">
        <f>MAX(#REF!,#REF!)</f>
        <v>#REF!</v>
      </c>
      <c r="W228" s="9">
        <f t="shared" si="42"/>
        <v>0</v>
      </c>
      <c r="X228" s="8" t="str">
        <f t="shared" si="43"/>
        <v>Belum Sensus</v>
      </c>
      <c r="Y228" s="178"/>
      <c r="Z228" s="143">
        <v>0</v>
      </c>
      <c r="AA228" s="9" t="e">
        <f t="shared" si="44"/>
        <v>#DIV/0!</v>
      </c>
      <c r="AB228" s="143">
        <v>0</v>
      </c>
      <c r="AC228" s="9">
        <f t="shared" si="38"/>
        <v>0</v>
      </c>
      <c r="AD228" s="8" t="str">
        <f t="shared" si="45"/>
        <v>Belum Sensus</v>
      </c>
      <c r="AE228" s="178"/>
      <c r="AF228" s="143">
        <v>0</v>
      </c>
      <c r="AG228" s="143">
        <v>0</v>
      </c>
      <c r="AH228" s="9">
        <f t="shared" si="46"/>
        <v>0</v>
      </c>
      <c r="AI228" s="8" t="str">
        <f t="shared" si="47"/>
        <v>Belum Sensus</v>
      </c>
    </row>
    <row r="229" spans="1:35" x14ac:dyDescent="0.2">
      <c r="A229" s="8" t="s">
        <v>1739</v>
      </c>
      <c r="B229" s="8" t="s">
        <v>14</v>
      </c>
      <c r="C229" s="8" t="s">
        <v>252</v>
      </c>
      <c r="D229" s="8" t="s">
        <v>1094</v>
      </c>
      <c r="E229" s="9">
        <v>0</v>
      </c>
      <c r="F229" s="8" t="s">
        <v>1740</v>
      </c>
      <c r="G229" s="10">
        <v>0</v>
      </c>
      <c r="H229" s="132"/>
      <c r="I229" s="8">
        <f t="array" ref="I229">INDEX([26]KOMPARASI!$H$20:$H$199,MATCH(1,([26]KOMPARASI!$C$20:$C$199=$D229)*([26]KOMPARASI!$C$20:$C$199=$D229),0))</f>
        <v>0</v>
      </c>
      <c r="J229" s="9">
        <f t="array" ref="J229">IFERROR(I229/G229*100,0)</f>
        <v>0</v>
      </c>
      <c r="K229" s="8">
        <f t="array" ref="K229">INDEX([26]KOMPARASI!$J$20:$J$199,MATCH(1,([26]KOMPARASI!$C$20:$C$199=$D229)*([26]KOMPARASI!$C$20:$C$199=$D229),0))</f>
        <v>0</v>
      </c>
      <c r="L229" s="9">
        <f t="shared" si="36"/>
        <v>0</v>
      </c>
      <c r="M229" s="8" t="str">
        <f t="shared" si="39"/>
        <v>Belum Sensus</v>
      </c>
      <c r="N229" s="148"/>
      <c r="O229" s="143" t="e">
        <f>MAX(#REF!,#REF!)</f>
        <v>#REF!</v>
      </c>
      <c r="P229" s="9" t="e">
        <f t="shared" si="40"/>
        <v>#REF!</v>
      </c>
      <c r="Q229" s="143" t="e">
        <f>MAX(#REF!,#REF!)</f>
        <v>#REF!</v>
      </c>
      <c r="R229" s="9">
        <f t="shared" si="37"/>
        <v>0</v>
      </c>
      <c r="S229" s="8" t="str">
        <f t="shared" si="41"/>
        <v>Belum Sensus</v>
      </c>
      <c r="T229" s="148"/>
      <c r="U229" s="143" t="e">
        <f>MAX(#REF!,#REF!)</f>
        <v>#REF!</v>
      </c>
      <c r="V229" s="143" t="e">
        <f>MAX(#REF!,#REF!)</f>
        <v>#REF!</v>
      </c>
      <c r="W229" s="9">
        <f t="shared" si="42"/>
        <v>0</v>
      </c>
      <c r="X229" s="8" t="str">
        <f t="shared" si="43"/>
        <v>Belum Sensus</v>
      </c>
      <c r="Y229" s="178"/>
      <c r="Z229" s="143">
        <v>0</v>
      </c>
      <c r="AA229" s="9" t="e">
        <f t="shared" si="44"/>
        <v>#DIV/0!</v>
      </c>
      <c r="AB229" s="143">
        <v>0</v>
      </c>
      <c r="AC229" s="9">
        <f t="shared" si="38"/>
        <v>0</v>
      </c>
      <c r="AD229" s="8" t="str">
        <f t="shared" si="45"/>
        <v>Belum Sensus</v>
      </c>
      <c r="AE229" s="178"/>
      <c r="AF229" s="143">
        <v>0</v>
      </c>
      <c r="AG229" s="143">
        <v>0</v>
      </c>
      <c r="AH229" s="9">
        <f t="shared" si="46"/>
        <v>0</v>
      </c>
      <c r="AI229" s="8" t="str">
        <f t="shared" si="47"/>
        <v>Belum Sensus</v>
      </c>
    </row>
    <row r="230" spans="1:35" x14ac:dyDescent="0.2">
      <c r="A230" s="8" t="s">
        <v>1739</v>
      </c>
      <c r="B230" s="8" t="s">
        <v>14</v>
      </c>
      <c r="C230" s="8" t="s">
        <v>252</v>
      </c>
      <c r="D230" s="8" t="s">
        <v>1095</v>
      </c>
      <c r="E230" s="9">
        <v>24.63</v>
      </c>
      <c r="F230" s="8" t="s">
        <v>1740</v>
      </c>
      <c r="G230" s="10">
        <v>3108</v>
      </c>
      <c r="H230" s="132">
        <v>46153</v>
      </c>
      <c r="I230" s="8">
        <f t="array" ref="I230">INDEX([26]KOMPARASI!$H$20:$H$199,MATCH(1,([26]KOMPARASI!$C$20:$C$199=$D230)*([26]KOMPARASI!$C$20:$C$199=$D230),0))</f>
        <v>225</v>
      </c>
      <c r="J230" s="9">
        <f t="array" ref="J230">IFERROR(I230/G230*100,0)</f>
        <v>7.2393822393822385</v>
      </c>
      <c r="K230" s="8">
        <f t="array" ref="K230">INDEX([26]KOMPARASI!$J$20:$J$199,MATCH(1,([26]KOMPARASI!$C$20:$C$199=$D230)*([26]KOMPARASI!$C$20:$C$199=$D230),0))</f>
        <v>25</v>
      </c>
      <c r="L230" s="9">
        <f t="shared" si="36"/>
        <v>11.111111111111111</v>
      </c>
      <c r="M230" s="8" t="str">
        <f t="shared" si="39"/>
        <v>Perlu Pengendalian</v>
      </c>
      <c r="N230" s="148"/>
      <c r="O230" s="143" t="e">
        <f>MAX(#REF!,#REF!)</f>
        <v>#REF!</v>
      </c>
      <c r="P230" s="9" t="e">
        <f t="shared" si="40"/>
        <v>#REF!</v>
      </c>
      <c r="Q230" s="143" t="e">
        <f>MAX(#REF!,#REF!)</f>
        <v>#REF!</v>
      </c>
      <c r="R230" s="9">
        <f t="shared" si="37"/>
        <v>0</v>
      </c>
      <c r="S230" s="8" t="str">
        <f t="shared" si="41"/>
        <v>Belum Sensus</v>
      </c>
      <c r="T230" s="148"/>
      <c r="U230" s="143" t="e">
        <f>MAX(#REF!,#REF!)</f>
        <v>#REF!</v>
      </c>
      <c r="V230" s="143" t="e">
        <f>MAX(#REF!,#REF!)</f>
        <v>#REF!</v>
      </c>
      <c r="W230" s="9">
        <f t="shared" si="42"/>
        <v>0</v>
      </c>
      <c r="X230" s="8" t="str">
        <f t="shared" si="43"/>
        <v>Belum Sensus</v>
      </c>
      <c r="Y230" s="178">
        <v>46153</v>
      </c>
      <c r="Z230" s="143">
        <v>44</v>
      </c>
      <c r="AA230" s="9">
        <f t="shared" si="44"/>
        <v>1.4157014157014158</v>
      </c>
      <c r="AB230" s="143">
        <v>14</v>
      </c>
      <c r="AC230" s="9">
        <f t="shared" si="38"/>
        <v>31.818181818181817</v>
      </c>
      <c r="AD230" s="8" t="str">
        <f t="shared" si="45"/>
        <v>Perlu Pengendalian</v>
      </c>
      <c r="AE230" s="178">
        <v>46153</v>
      </c>
      <c r="AF230" s="143">
        <v>314</v>
      </c>
      <c r="AG230" s="143">
        <v>33</v>
      </c>
      <c r="AH230" s="9">
        <f t="shared" si="46"/>
        <v>10.509554140127388</v>
      </c>
      <c r="AI230" s="8" t="str">
        <f t="shared" si="47"/>
        <v>Perlu Pengendalian</v>
      </c>
    </row>
    <row r="231" spans="1:35" x14ac:dyDescent="0.2">
      <c r="A231" s="8" t="s">
        <v>1739</v>
      </c>
      <c r="B231" s="8" t="s">
        <v>14</v>
      </c>
      <c r="C231" s="8" t="s">
        <v>252</v>
      </c>
      <c r="D231" s="8" t="s">
        <v>1096</v>
      </c>
      <c r="E231" s="9">
        <v>31.19</v>
      </c>
      <c r="F231" s="8" t="s">
        <v>1740</v>
      </c>
      <c r="G231" s="10">
        <v>4177</v>
      </c>
      <c r="H231" s="132">
        <v>46153</v>
      </c>
      <c r="I231" s="8">
        <f t="array" ref="I231">INDEX([26]KOMPARASI!$H$20:$H$199,MATCH(1,([26]KOMPARASI!$C$20:$C$199=$D231)*([26]KOMPARASI!$C$20:$C$199=$D231),0))</f>
        <v>431</v>
      </c>
      <c r="J231" s="9">
        <f t="array" ref="J231">IFERROR(I231/G231*100,0)</f>
        <v>10.318410342350969</v>
      </c>
      <c r="K231" s="8">
        <f t="array" ref="K231">INDEX([26]KOMPARASI!$J$20:$J$199,MATCH(1,([26]KOMPARASI!$C$20:$C$199=$D231)*([26]KOMPARASI!$C$20:$C$199=$D231),0))</f>
        <v>49</v>
      </c>
      <c r="L231" s="9">
        <f t="shared" si="36"/>
        <v>11.36890951276102</v>
      </c>
      <c r="M231" s="8" t="str">
        <f t="shared" si="39"/>
        <v>Perlu Pengendalian</v>
      </c>
      <c r="N231" s="148"/>
      <c r="O231" s="143" t="e">
        <f>MAX(#REF!,#REF!)</f>
        <v>#REF!</v>
      </c>
      <c r="P231" s="9" t="e">
        <f t="shared" si="40"/>
        <v>#REF!</v>
      </c>
      <c r="Q231" s="143" t="e">
        <f>MAX(#REF!,#REF!)</f>
        <v>#REF!</v>
      </c>
      <c r="R231" s="9">
        <f t="shared" si="37"/>
        <v>0</v>
      </c>
      <c r="S231" s="8" t="str">
        <f t="shared" si="41"/>
        <v>Belum Sensus</v>
      </c>
      <c r="T231" s="148"/>
      <c r="U231" s="143" t="e">
        <f>MAX(#REF!,#REF!)</f>
        <v>#REF!</v>
      </c>
      <c r="V231" s="143" t="e">
        <f>MAX(#REF!,#REF!)</f>
        <v>#REF!</v>
      </c>
      <c r="W231" s="9">
        <f t="shared" si="42"/>
        <v>0</v>
      </c>
      <c r="X231" s="8" t="str">
        <f t="shared" si="43"/>
        <v>Belum Sensus</v>
      </c>
      <c r="Y231" s="178">
        <v>46153</v>
      </c>
      <c r="Z231" s="143">
        <v>69</v>
      </c>
      <c r="AA231" s="9">
        <f t="shared" si="44"/>
        <v>1.6519032798659326</v>
      </c>
      <c r="AB231" s="143">
        <v>24</v>
      </c>
      <c r="AC231" s="9">
        <f t="shared" si="38"/>
        <v>34.782608695652172</v>
      </c>
      <c r="AD231" s="8" t="str">
        <f t="shared" si="45"/>
        <v>Perlu Pengendalian</v>
      </c>
      <c r="AE231" s="178">
        <v>46153</v>
      </c>
      <c r="AF231" s="143">
        <v>573</v>
      </c>
      <c r="AG231" s="143">
        <v>62</v>
      </c>
      <c r="AH231" s="9">
        <f t="shared" si="46"/>
        <v>10.820244328097731</v>
      </c>
      <c r="AI231" s="8" t="str">
        <f t="shared" si="47"/>
        <v>Perlu Pengendalian</v>
      </c>
    </row>
    <row r="232" spans="1:35" x14ac:dyDescent="0.2">
      <c r="A232" s="8" t="s">
        <v>1739</v>
      </c>
      <c r="B232" s="8" t="s">
        <v>14</v>
      </c>
      <c r="C232" s="8" t="s">
        <v>252</v>
      </c>
      <c r="D232" s="8" t="s">
        <v>1097</v>
      </c>
      <c r="E232" s="9">
        <v>28.98</v>
      </c>
      <c r="F232" s="8" t="s">
        <v>1740</v>
      </c>
      <c r="G232" s="10">
        <v>3701</v>
      </c>
      <c r="H232" s="132">
        <v>46153</v>
      </c>
      <c r="I232" s="8">
        <f t="array" ref="I232">INDEX([26]KOMPARASI!$H$20:$H$199,MATCH(1,([26]KOMPARASI!$C$20:$C$199=$D232)*([26]KOMPARASI!$C$20:$C$199=$D232),0))</f>
        <v>386</v>
      </c>
      <c r="J232" s="9">
        <f t="array" ref="J232">IFERROR(I232/G232*100,0)</f>
        <v>10.429613617941097</v>
      </c>
      <c r="K232" s="8">
        <f t="array" ref="K232">INDEX([26]KOMPARASI!$J$20:$J$199,MATCH(1,([26]KOMPARASI!$C$20:$C$199=$D232)*([26]KOMPARASI!$C$20:$C$199=$D232),0))</f>
        <v>51</v>
      </c>
      <c r="L232" s="9">
        <f t="shared" si="36"/>
        <v>13.212435233160621</v>
      </c>
      <c r="M232" s="8" t="str">
        <f t="shared" si="39"/>
        <v>Perlu Pengendalian</v>
      </c>
      <c r="N232" s="148"/>
      <c r="O232" s="143" t="e">
        <f>MAX(#REF!,#REF!)</f>
        <v>#REF!</v>
      </c>
      <c r="P232" s="9" t="e">
        <f t="shared" si="40"/>
        <v>#REF!</v>
      </c>
      <c r="Q232" s="143" t="e">
        <f>MAX(#REF!,#REF!)</f>
        <v>#REF!</v>
      </c>
      <c r="R232" s="9">
        <f t="shared" si="37"/>
        <v>0</v>
      </c>
      <c r="S232" s="8" t="str">
        <f t="shared" si="41"/>
        <v>Belum Sensus</v>
      </c>
      <c r="T232" s="148"/>
      <c r="U232" s="143" t="e">
        <f>MAX(#REF!,#REF!)</f>
        <v>#REF!</v>
      </c>
      <c r="V232" s="143" t="e">
        <f>MAX(#REF!,#REF!)</f>
        <v>#REF!</v>
      </c>
      <c r="W232" s="9">
        <f t="shared" si="42"/>
        <v>0</v>
      </c>
      <c r="X232" s="8" t="str">
        <f t="shared" si="43"/>
        <v>Belum Sensus</v>
      </c>
      <c r="Y232" s="178">
        <v>46153</v>
      </c>
      <c r="Z232" s="143">
        <v>68</v>
      </c>
      <c r="AA232" s="9">
        <f t="shared" si="44"/>
        <v>1.8373412591191569</v>
      </c>
      <c r="AB232" s="143">
        <v>19</v>
      </c>
      <c r="AC232" s="9">
        <f t="shared" si="38"/>
        <v>27.941176470588236</v>
      </c>
      <c r="AD232" s="8" t="str">
        <f t="shared" si="45"/>
        <v>Perlu Pengendalian</v>
      </c>
      <c r="AE232" s="178">
        <v>46153</v>
      </c>
      <c r="AF232" s="143">
        <v>731</v>
      </c>
      <c r="AG232" s="143">
        <v>86</v>
      </c>
      <c r="AH232" s="9">
        <f t="shared" si="46"/>
        <v>11.76470588235294</v>
      </c>
      <c r="AI232" s="8" t="str">
        <f t="shared" si="47"/>
        <v>Perlu Pengendalian</v>
      </c>
    </row>
    <row r="233" spans="1:35" x14ac:dyDescent="0.2">
      <c r="A233" s="8" t="s">
        <v>1739</v>
      </c>
      <c r="B233" s="8" t="s">
        <v>14</v>
      </c>
      <c r="C233" s="8" t="s">
        <v>252</v>
      </c>
      <c r="D233" s="8" t="s">
        <v>1098</v>
      </c>
      <c r="E233" s="9">
        <v>30.54</v>
      </c>
      <c r="F233" s="8" t="s">
        <v>1740</v>
      </c>
      <c r="G233" s="10">
        <v>3587</v>
      </c>
      <c r="H233" s="132">
        <v>46153</v>
      </c>
      <c r="I233" s="8">
        <f t="array" ref="I233">INDEX([26]KOMPARASI!$H$20:$H$199,MATCH(1,([26]KOMPARASI!$C$20:$C$199=$D233)*([26]KOMPARASI!$C$20:$C$199=$D233),0))</f>
        <v>409</v>
      </c>
      <c r="J233" s="9">
        <f t="array" ref="J233">IFERROR(I233/G233*100,0)</f>
        <v>11.402286032896571</v>
      </c>
      <c r="K233" s="8">
        <f t="array" ref="K233">INDEX([26]KOMPARASI!$J$20:$J$199,MATCH(1,([26]KOMPARASI!$C$20:$C$199=$D233)*([26]KOMPARASI!$C$20:$C$199=$D233),0))</f>
        <v>57</v>
      </c>
      <c r="L233" s="9">
        <f t="shared" si="36"/>
        <v>13.93643031784841</v>
      </c>
      <c r="M233" s="8" t="str">
        <f t="shared" si="39"/>
        <v>Perlu Pengendalian</v>
      </c>
      <c r="N233" s="148"/>
      <c r="O233" s="143" t="e">
        <f>MAX(#REF!,#REF!)</f>
        <v>#REF!</v>
      </c>
      <c r="P233" s="9" t="e">
        <f t="shared" si="40"/>
        <v>#REF!</v>
      </c>
      <c r="Q233" s="143" t="e">
        <f>MAX(#REF!,#REF!)</f>
        <v>#REF!</v>
      </c>
      <c r="R233" s="9">
        <f t="shared" si="37"/>
        <v>0</v>
      </c>
      <c r="S233" s="8" t="str">
        <f t="shared" si="41"/>
        <v>Belum Sensus</v>
      </c>
      <c r="T233" s="148"/>
      <c r="U233" s="143" t="e">
        <f>MAX(#REF!,#REF!)</f>
        <v>#REF!</v>
      </c>
      <c r="V233" s="143" t="e">
        <f>MAX(#REF!,#REF!)</f>
        <v>#REF!</v>
      </c>
      <c r="W233" s="9">
        <f t="shared" si="42"/>
        <v>0</v>
      </c>
      <c r="X233" s="8" t="str">
        <f t="shared" si="43"/>
        <v>Belum Sensus</v>
      </c>
      <c r="Y233" s="178">
        <v>46153</v>
      </c>
      <c r="Z233" s="143">
        <v>114</v>
      </c>
      <c r="AA233" s="9">
        <f t="shared" si="44"/>
        <v>3.1781432952327853</v>
      </c>
      <c r="AB233" s="143">
        <v>45</v>
      </c>
      <c r="AC233" s="9">
        <f t="shared" si="38"/>
        <v>39.473684210526315</v>
      </c>
      <c r="AD233" s="8" t="str">
        <f t="shared" si="45"/>
        <v>Perlu Pengendalian</v>
      </c>
      <c r="AE233" s="178">
        <v>46153</v>
      </c>
      <c r="AF233" s="143">
        <v>420</v>
      </c>
      <c r="AG233" s="143">
        <v>120</v>
      </c>
      <c r="AH233" s="9">
        <f t="shared" si="46"/>
        <v>28.571428571428569</v>
      </c>
      <c r="AI233" s="8" t="str">
        <f t="shared" si="47"/>
        <v>Perlu Pengendalian</v>
      </c>
    </row>
    <row r="234" spans="1:35" x14ac:dyDescent="0.2">
      <c r="A234" s="8" t="s">
        <v>1739</v>
      </c>
      <c r="B234" s="8" t="s">
        <v>14</v>
      </c>
      <c r="C234" s="8" t="s">
        <v>252</v>
      </c>
      <c r="D234" s="8" t="s">
        <v>1099</v>
      </c>
      <c r="E234" s="9">
        <v>25.31</v>
      </c>
      <c r="F234" s="8" t="s">
        <v>1740</v>
      </c>
      <c r="G234" s="10">
        <v>3271</v>
      </c>
      <c r="H234" s="132">
        <v>46153</v>
      </c>
      <c r="I234" s="8">
        <f t="array" ref="I234">INDEX([26]KOMPARASI!$H$20:$H$199,MATCH(1,([26]KOMPARASI!$C$20:$C$199=$D234)*([26]KOMPARASI!$C$20:$C$199=$D234),0))</f>
        <v>314</v>
      </c>
      <c r="J234" s="9">
        <f t="array" ref="J234">IFERROR(I234/G234*100,0)</f>
        <v>9.5995108529501696</v>
      </c>
      <c r="K234" s="8">
        <f t="array" ref="K234">INDEX([26]KOMPARASI!$J$20:$J$199,MATCH(1,([26]KOMPARASI!$C$20:$C$199=$D234)*([26]KOMPARASI!$C$20:$C$199=$D234),0))</f>
        <v>38</v>
      </c>
      <c r="L234" s="9">
        <f t="shared" si="36"/>
        <v>12.101910828025478</v>
      </c>
      <c r="M234" s="8" t="str">
        <f t="shared" si="39"/>
        <v>Perlu Pengendalian</v>
      </c>
      <c r="N234" s="148"/>
      <c r="O234" s="143" t="e">
        <f>MAX(#REF!,#REF!)</f>
        <v>#REF!</v>
      </c>
      <c r="P234" s="9" t="e">
        <f t="shared" si="40"/>
        <v>#REF!</v>
      </c>
      <c r="Q234" s="143" t="e">
        <f>MAX(#REF!,#REF!)</f>
        <v>#REF!</v>
      </c>
      <c r="R234" s="9">
        <f t="shared" si="37"/>
        <v>0</v>
      </c>
      <c r="S234" s="8" t="str">
        <f t="shared" si="41"/>
        <v>Belum Sensus</v>
      </c>
      <c r="T234" s="148"/>
      <c r="U234" s="143" t="e">
        <f>MAX(#REF!,#REF!)</f>
        <v>#REF!</v>
      </c>
      <c r="V234" s="143" t="e">
        <f>MAX(#REF!,#REF!)</f>
        <v>#REF!</v>
      </c>
      <c r="W234" s="9">
        <f t="shared" si="42"/>
        <v>0</v>
      </c>
      <c r="X234" s="8" t="str">
        <f t="shared" si="43"/>
        <v>Belum Sensus</v>
      </c>
      <c r="Y234" s="178">
        <v>46153</v>
      </c>
      <c r="Z234" s="143">
        <v>99</v>
      </c>
      <c r="AA234" s="9">
        <f t="shared" si="44"/>
        <v>3.0265973708346072</v>
      </c>
      <c r="AB234" s="143">
        <v>35</v>
      </c>
      <c r="AC234" s="9">
        <f t="shared" si="38"/>
        <v>35.353535353535356</v>
      </c>
      <c r="AD234" s="8" t="str">
        <f t="shared" si="45"/>
        <v>Perlu Pengendalian</v>
      </c>
      <c r="AE234" s="178"/>
      <c r="AF234" s="143">
        <v>0</v>
      </c>
      <c r="AG234" s="143">
        <v>0</v>
      </c>
      <c r="AH234" s="9">
        <f t="shared" si="46"/>
        <v>0</v>
      </c>
      <c r="AI234" s="8" t="str">
        <f t="shared" si="47"/>
        <v>Belum Sensus</v>
      </c>
    </row>
    <row r="235" spans="1:35" x14ac:dyDescent="0.2">
      <c r="A235" s="8" t="s">
        <v>1739</v>
      </c>
      <c r="B235" s="8" t="s">
        <v>14</v>
      </c>
      <c r="C235" s="8" t="s">
        <v>252</v>
      </c>
      <c r="D235" s="8" t="s">
        <v>1100</v>
      </c>
      <c r="E235" s="9">
        <v>0</v>
      </c>
      <c r="F235" s="8" t="s">
        <v>1740</v>
      </c>
      <c r="G235" s="10">
        <v>0</v>
      </c>
      <c r="H235" s="132"/>
      <c r="I235" s="8">
        <f t="array" ref="I235">INDEX([26]KOMPARASI!$H$20:$H$199,MATCH(1,([26]KOMPARASI!$C$20:$C$199=$D235)*([26]KOMPARASI!$C$20:$C$199=$D235),0))</f>
        <v>0</v>
      </c>
      <c r="J235" s="9">
        <f t="array" ref="J235">IFERROR(I235/G235*100,0)</f>
        <v>0</v>
      </c>
      <c r="K235" s="8">
        <f t="array" ref="K235">INDEX([26]KOMPARASI!$J$20:$J$199,MATCH(1,([26]KOMPARASI!$C$20:$C$199=$D235)*([26]KOMPARASI!$C$20:$C$199=$D235),0))</f>
        <v>0</v>
      </c>
      <c r="L235" s="9">
        <f t="shared" si="36"/>
        <v>0</v>
      </c>
      <c r="M235" s="8" t="str">
        <f t="shared" si="39"/>
        <v>Belum Sensus</v>
      </c>
      <c r="N235" s="148"/>
      <c r="O235" s="143" t="e">
        <f>MAX(#REF!,#REF!)</f>
        <v>#REF!</v>
      </c>
      <c r="P235" s="9" t="e">
        <f t="shared" si="40"/>
        <v>#REF!</v>
      </c>
      <c r="Q235" s="143" t="e">
        <f>MAX(#REF!,#REF!)</f>
        <v>#REF!</v>
      </c>
      <c r="R235" s="9">
        <f t="shared" si="37"/>
        <v>0</v>
      </c>
      <c r="S235" s="8" t="str">
        <f t="shared" si="41"/>
        <v>Belum Sensus</v>
      </c>
      <c r="T235" s="148"/>
      <c r="U235" s="143" t="e">
        <f>MAX(#REF!,#REF!)</f>
        <v>#REF!</v>
      </c>
      <c r="V235" s="143" t="e">
        <f>MAX(#REF!,#REF!)</f>
        <v>#REF!</v>
      </c>
      <c r="W235" s="9">
        <f t="shared" si="42"/>
        <v>0</v>
      </c>
      <c r="X235" s="8" t="str">
        <f t="shared" si="43"/>
        <v>Belum Sensus</v>
      </c>
      <c r="Y235" s="178"/>
      <c r="Z235" s="143">
        <v>0</v>
      </c>
      <c r="AA235" s="9" t="e">
        <f t="shared" si="44"/>
        <v>#DIV/0!</v>
      </c>
      <c r="AB235" s="143">
        <v>0</v>
      </c>
      <c r="AC235" s="9">
        <f t="shared" si="38"/>
        <v>0</v>
      </c>
      <c r="AD235" s="8" t="str">
        <f t="shared" si="45"/>
        <v>Belum Sensus</v>
      </c>
      <c r="AE235" s="178"/>
      <c r="AF235" s="143">
        <v>0</v>
      </c>
      <c r="AG235" s="143">
        <v>0</v>
      </c>
      <c r="AH235" s="9">
        <f t="shared" si="46"/>
        <v>0</v>
      </c>
      <c r="AI235" s="8" t="str">
        <f t="shared" si="47"/>
        <v>Belum Sensus</v>
      </c>
    </row>
    <row r="236" spans="1:35" x14ac:dyDescent="0.2">
      <c r="A236" s="8" t="s">
        <v>1739</v>
      </c>
      <c r="B236" s="8" t="s">
        <v>14</v>
      </c>
      <c r="C236" s="8" t="s">
        <v>252</v>
      </c>
      <c r="D236" s="8" t="s">
        <v>1101</v>
      </c>
      <c r="E236" s="9">
        <v>34.58</v>
      </c>
      <c r="F236" s="8" t="s">
        <v>1740</v>
      </c>
      <c r="G236" s="10">
        <v>4363</v>
      </c>
      <c r="H236" s="132">
        <v>46153</v>
      </c>
      <c r="I236" s="8">
        <f t="array" ref="I236">INDEX([26]KOMPARASI!$H$20:$H$199,MATCH(1,([26]KOMPARASI!$C$20:$C$199=$D236)*([26]KOMPARASI!$C$20:$C$199=$D236),0))</f>
        <v>424</v>
      </c>
      <c r="J236" s="9">
        <f t="array" ref="J236">IFERROR(I236/G236*100,0)</f>
        <v>9.7180838872335542</v>
      </c>
      <c r="K236" s="8">
        <f t="array" ref="K236">INDEX([26]KOMPARASI!$J$20:$J$199,MATCH(1,([26]KOMPARASI!$C$20:$C$199=$D236)*([26]KOMPARASI!$C$20:$C$199=$D236),0))</f>
        <v>33</v>
      </c>
      <c r="L236" s="9">
        <f t="shared" si="36"/>
        <v>7.783018867924528</v>
      </c>
      <c r="M236" s="8" t="str">
        <f t="shared" si="39"/>
        <v>Perlu Pengendalian</v>
      </c>
      <c r="N236" s="148"/>
      <c r="O236" s="143" t="e">
        <f>MAX(#REF!,#REF!)</f>
        <v>#REF!</v>
      </c>
      <c r="P236" s="9" t="e">
        <f t="shared" si="40"/>
        <v>#REF!</v>
      </c>
      <c r="Q236" s="143" t="e">
        <f>MAX(#REF!,#REF!)</f>
        <v>#REF!</v>
      </c>
      <c r="R236" s="9">
        <f t="shared" si="37"/>
        <v>0</v>
      </c>
      <c r="S236" s="8" t="str">
        <f t="shared" si="41"/>
        <v>Belum Sensus</v>
      </c>
      <c r="T236" s="148"/>
      <c r="U236" s="143" t="e">
        <f>MAX(#REF!,#REF!)</f>
        <v>#REF!</v>
      </c>
      <c r="V236" s="143" t="e">
        <f>MAX(#REF!,#REF!)</f>
        <v>#REF!</v>
      </c>
      <c r="W236" s="9">
        <f t="shared" si="42"/>
        <v>0</v>
      </c>
      <c r="X236" s="8" t="str">
        <f t="shared" si="43"/>
        <v>Belum Sensus</v>
      </c>
      <c r="Y236" s="178">
        <v>46153</v>
      </c>
      <c r="Z236" s="143">
        <v>64</v>
      </c>
      <c r="AA236" s="9">
        <f t="shared" si="44"/>
        <v>1.4668805867522348</v>
      </c>
      <c r="AB236" s="143">
        <v>22</v>
      </c>
      <c r="AC236" s="9">
        <f t="shared" si="38"/>
        <v>34.375</v>
      </c>
      <c r="AD236" s="8" t="str">
        <f t="shared" si="45"/>
        <v>Perlu Pengendalian</v>
      </c>
      <c r="AE236" s="178"/>
      <c r="AF236" s="143">
        <v>0</v>
      </c>
      <c r="AG236" s="143">
        <v>0</v>
      </c>
      <c r="AH236" s="9">
        <f t="shared" si="46"/>
        <v>0</v>
      </c>
      <c r="AI236" s="8" t="str">
        <f t="shared" si="47"/>
        <v>Belum Sensus</v>
      </c>
    </row>
    <row r="237" spans="1:35" x14ac:dyDescent="0.2">
      <c r="A237" s="8" t="s">
        <v>1739</v>
      </c>
      <c r="B237" s="8" t="s">
        <v>14</v>
      </c>
      <c r="C237" s="8" t="s">
        <v>252</v>
      </c>
      <c r="D237" s="8" t="s">
        <v>1102</v>
      </c>
      <c r="E237" s="9">
        <v>29.14</v>
      </c>
      <c r="F237" s="8" t="s">
        <v>1740</v>
      </c>
      <c r="G237" s="10">
        <v>3643</v>
      </c>
      <c r="H237" s="132">
        <v>46153</v>
      </c>
      <c r="I237" s="8">
        <f t="array" ref="I237">INDEX([26]KOMPARASI!$H$20:$H$199,MATCH(1,([26]KOMPARASI!$C$20:$C$199=$D237)*([26]KOMPARASI!$C$20:$C$199=$D237),0))</f>
        <v>387</v>
      </c>
      <c r="J237" s="9">
        <f t="array" ref="J237">IFERROR(I237/G237*100,0)</f>
        <v>10.623112819105133</v>
      </c>
      <c r="K237" s="8">
        <f t="array" ref="K237">INDEX([26]KOMPARASI!$J$20:$J$199,MATCH(1,([26]KOMPARASI!$C$20:$C$199=$D237)*([26]KOMPARASI!$C$20:$C$199=$D237),0))</f>
        <v>46</v>
      </c>
      <c r="L237" s="9">
        <f t="shared" si="36"/>
        <v>11.886304909560723</v>
      </c>
      <c r="M237" s="8" t="str">
        <f t="shared" si="39"/>
        <v>Perlu Pengendalian</v>
      </c>
      <c r="N237" s="148"/>
      <c r="O237" s="143" t="e">
        <f>MAX(#REF!,#REF!)</f>
        <v>#REF!</v>
      </c>
      <c r="P237" s="9" t="e">
        <f t="shared" si="40"/>
        <v>#REF!</v>
      </c>
      <c r="Q237" s="143" t="e">
        <f>MAX(#REF!,#REF!)</f>
        <v>#REF!</v>
      </c>
      <c r="R237" s="9">
        <f t="shared" si="37"/>
        <v>0</v>
      </c>
      <c r="S237" s="8" t="str">
        <f t="shared" si="41"/>
        <v>Belum Sensus</v>
      </c>
      <c r="T237" s="148"/>
      <c r="U237" s="143" t="e">
        <f>MAX(#REF!,#REF!)</f>
        <v>#REF!</v>
      </c>
      <c r="V237" s="143" t="e">
        <f>MAX(#REF!,#REF!)</f>
        <v>#REF!</v>
      </c>
      <c r="W237" s="9">
        <f t="shared" si="42"/>
        <v>0</v>
      </c>
      <c r="X237" s="8" t="str">
        <f t="shared" si="43"/>
        <v>Belum Sensus</v>
      </c>
      <c r="Y237" s="178">
        <v>46153</v>
      </c>
      <c r="Z237" s="143">
        <v>66</v>
      </c>
      <c r="AA237" s="9">
        <f t="shared" si="44"/>
        <v>1.8116936590721933</v>
      </c>
      <c r="AB237" s="143">
        <v>14</v>
      </c>
      <c r="AC237" s="9">
        <f t="shared" si="38"/>
        <v>21.212121212121211</v>
      </c>
      <c r="AD237" s="8" t="str">
        <f t="shared" si="45"/>
        <v>Perlu Pengendalian</v>
      </c>
      <c r="AE237" s="178">
        <v>46153</v>
      </c>
      <c r="AF237" s="143">
        <v>871</v>
      </c>
      <c r="AG237" s="143">
        <v>168</v>
      </c>
      <c r="AH237" s="9">
        <f t="shared" si="46"/>
        <v>19.288174512055107</v>
      </c>
      <c r="AI237" s="8" t="str">
        <f t="shared" si="47"/>
        <v>Perlu Pengendalian</v>
      </c>
    </row>
    <row r="238" spans="1:35" x14ac:dyDescent="0.2">
      <c r="A238" s="8" t="s">
        <v>1739</v>
      </c>
      <c r="B238" s="8" t="s">
        <v>14</v>
      </c>
      <c r="C238" s="8" t="s">
        <v>252</v>
      </c>
      <c r="D238" s="8" t="s">
        <v>1103</v>
      </c>
      <c r="E238" s="9">
        <v>0</v>
      </c>
      <c r="F238" s="8" t="s">
        <v>1740</v>
      </c>
      <c r="G238" s="10">
        <v>0</v>
      </c>
      <c r="H238" s="132"/>
      <c r="I238" s="8">
        <f t="array" ref="I238">INDEX([26]KOMPARASI!$H$20:$H$199,MATCH(1,([26]KOMPARASI!$C$20:$C$199=$D238)*([26]KOMPARASI!$C$20:$C$199=$D238),0))</f>
        <v>0</v>
      </c>
      <c r="J238" s="9">
        <f t="array" ref="J238">IFERROR(I238/G238*100,0)</f>
        <v>0</v>
      </c>
      <c r="K238" s="8">
        <f t="array" ref="K238">INDEX([26]KOMPARASI!$J$20:$J$199,MATCH(1,([26]KOMPARASI!$C$20:$C$199=$D238)*([26]KOMPARASI!$C$20:$C$199=$D238),0))</f>
        <v>0</v>
      </c>
      <c r="L238" s="9">
        <f t="shared" si="36"/>
        <v>0</v>
      </c>
      <c r="M238" s="8" t="str">
        <f t="shared" si="39"/>
        <v>Belum Sensus</v>
      </c>
      <c r="N238" s="148"/>
      <c r="O238" s="143" t="e">
        <f>MAX(#REF!,#REF!)</f>
        <v>#REF!</v>
      </c>
      <c r="P238" s="9" t="e">
        <f t="shared" si="40"/>
        <v>#REF!</v>
      </c>
      <c r="Q238" s="143" t="e">
        <f>MAX(#REF!,#REF!)</f>
        <v>#REF!</v>
      </c>
      <c r="R238" s="9">
        <f t="shared" si="37"/>
        <v>0</v>
      </c>
      <c r="S238" s="8" t="str">
        <f t="shared" si="41"/>
        <v>Belum Sensus</v>
      </c>
      <c r="T238" s="148"/>
      <c r="U238" s="143" t="e">
        <f>MAX(#REF!,#REF!)</f>
        <v>#REF!</v>
      </c>
      <c r="V238" s="143" t="e">
        <f>MAX(#REF!,#REF!)</f>
        <v>#REF!</v>
      </c>
      <c r="W238" s="9">
        <f t="shared" si="42"/>
        <v>0</v>
      </c>
      <c r="X238" s="8" t="str">
        <f t="shared" si="43"/>
        <v>Belum Sensus</v>
      </c>
      <c r="Y238" s="178"/>
      <c r="Z238" s="143">
        <v>0</v>
      </c>
      <c r="AA238" s="9" t="e">
        <f t="shared" si="44"/>
        <v>#DIV/0!</v>
      </c>
      <c r="AB238" s="143">
        <v>0</v>
      </c>
      <c r="AC238" s="9">
        <f t="shared" si="38"/>
        <v>0</v>
      </c>
      <c r="AD238" s="8" t="str">
        <f t="shared" si="45"/>
        <v>Belum Sensus</v>
      </c>
      <c r="AE238" s="178"/>
      <c r="AF238" s="143">
        <v>0</v>
      </c>
      <c r="AG238" s="143">
        <v>0</v>
      </c>
      <c r="AH238" s="9">
        <f t="shared" si="46"/>
        <v>0</v>
      </c>
      <c r="AI238" s="8" t="str">
        <f t="shared" si="47"/>
        <v>Belum Sensus</v>
      </c>
    </row>
    <row r="239" spans="1:35" x14ac:dyDescent="0.2">
      <c r="A239" s="8" t="s">
        <v>1739</v>
      </c>
      <c r="B239" s="8" t="s">
        <v>14</v>
      </c>
      <c r="C239" s="8" t="s">
        <v>252</v>
      </c>
      <c r="D239" s="8" t="s">
        <v>1104</v>
      </c>
      <c r="E239" s="9">
        <v>0</v>
      </c>
      <c r="F239" s="8" t="s">
        <v>1740</v>
      </c>
      <c r="G239" s="10">
        <v>0</v>
      </c>
      <c r="H239" s="132"/>
      <c r="I239" s="8">
        <f t="array" ref="I239">INDEX([26]KOMPARASI!$H$20:$H$199,MATCH(1,([26]KOMPARASI!$C$20:$C$199=$D239)*([26]KOMPARASI!$C$20:$C$199=$D239),0))</f>
        <v>0</v>
      </c>
      <c r="J239" s="9">
        <f t="array" ref="J239">IFERROR(I239/G239*100,0)</f>
        <v>0</v>
      </c>
      <c r="K239" s="8">
        <f t="array" ref="K239">INDEX([26]KOMPARASI!$J$20:$J$199,MATCH(1,([26]KOMPARASI!$C$20:$C$199=$D239)*([26]KOMPARASI!$C$20:$C$199=$D239),0))</f>
        <v>0</v>
      </c>
      <c r="L239" s="9">
        <f t="shared" si="36"/>
        <v>0</v>
      </c>
      <c r="M239" s="8" t="str">
        <f t="shared" si="39"/>
        <v>Belum Sensus</v>
      </c>
      <c r="N239" s="148"/>
      <c r="O239" s="143" t="e">
        <f>MAX(#REF!,#REF!)</f>
        <v>#REF!</v>
      </c>
      <c r="P239" s="9" t="e">
        <f t="shared" si="40"/>
        <v>#REF!</v>
      </c>
      <c r="Q239" s="143" t="e">
        <f>MAX(#REF!,#REF!)</f>
        <v>#REF!</v>
      </c>
      <c r="R239" s="9">
        <f t="shared" si="37"/>
        <v>0</v>
      </c>
      <c r="S239" s="8" t="str">
        <f t="shared" si="41"/>
        <v>Belum Sensus</v>
      </c>
      <c r="T239" s="148"/>
      <c r="U239" s="143" t="e">
        <f>MAX(#REF!,#REF!)</f>
        <v>#REF!</v>
      </c>
      <c r="V239" s="143" t="e">
        <f>MAX(#REF!,#REF!)</f>
        <v>#REF!</v>
      </c>
      <c r="W239" s="9">
        <f t="shared" si="42"/>
        <v>0</v>
      </c>
      <c r="X239" s="8" t="str">
        <f t="shared" si="43"/>
        <v>Belum Sensus</v>
      </c>
      <c r="Y239" s="178"/>
      <c r="Z239" s="143">
        <v>0</v>
      </c>
      <c r="AA239" s="9" t="e">
        <f t="shared" si="44"/>
        <v>#DIV/0!</v>
      </c>
      <c r="AB239" s="143">
        <v>0</v>
      </c>
      <c r="AC239" s="9">
        <f t="shared" si="38"/>
        <v>0</v>
      </c>
      <c r="AD239" s="8" t="str">
        <f t="shared" si="45"/>
        <v>Belum Sensus</v>
      </c>
      <c r="AE239" s="178"/>
      <c r="AF239" s="143">
        <v>0</v>
      </c>
      <c r="AG239" s="143">
        <v>0</v>
      </c>
      <c r="AH239" s="9">
        <f t="shared" si="46"/>
        <v>0</v>
      </c>
      <c r="AI239" s="8" t="str">
        <f t="shared" si="47"/>
        <v>Belum Sensus</v>
      </c>
    </row>
    <row r="240" spans="1:35" x14ac:dyDescent="0.2">
      <c r="A240" s="8" t="s">
        <v>1739</v>
      </c>
      <c r="B240" s="8" t="s">
        <v>14</v>
      </c>
      <c r="C240" s="8" t="s">
        <v>252</v>
      </c>
      <c r="D240" s="8" t="s">
        <v>1105</v>
      </c>
      <c r="E240" s="9">
        <v>0</v>
      </c>
      <c r="F240" s="8" t="s">
        <v>1740</v>
      </c>
      <c r="G240" s="10">
        <v>0</v>
      </c>
      <c r="H240" s="132"/>
      <c r="I240" s="8">
        <f t="array" ref="I240">INDEX([26]KOMPARASI!$H$20:$H$199,MATCH(1,([26]KOMPARASI!$C$20:$C$199=$D240)*([26]KOMPARASI!$C$20:$C$199=$D240),0))</f>
        <v>0</v>
      </c>
      <c r="J240" s="9">
        <f t="array" ref="J240">IFERROR(I240/G240*100,0)</f>
        <v>0</v>
      </c>
      <c r="K240" s="8">
        <f t="array" ref="K240">INDEX([26]KOMPARASI!$J$20:$J$199,MATCH(1,([26]KOMPARASI!$C$20:$C$199=$D240)*([26]KOMPARASI!$C$20:$C$199=$D240),0))</f>
        <v>0</v>
      </c>
      <c r="L240" s="9">
        <f t="shared" si="36"/>
        <v>0</v>
      </c>
      <c r="M240" s="8" t="str">
        <f t="shared" si="39"/>
        <v>Belum Sensus</v>
      </c>
      <c r="N240" s="148"/>
      <c r="O240" s="143" t="e">
        <f>MAX(#REF!,#REF!)</f>
        <v>#REF!</v>
      </c>
      <c r="P240" s="9" t="e">
        <f t="shared" si="40"/>
        <v>#REF!</v>
      </c>
      <c r="Q240" s="143" t="e">
        <f>MAX(#REF!,#REF!)</f>
        <v>#REF!</v>
      </c>
      <c r="R240" s="9">
        <f t="shared" si="37"/>
        <v>0</v>
      </c>
      <c r="S240" s="8" t="str">
        <f t="shared" si="41"/>
        <v>Belum Sensus</v>
      </c>
      <c r="T240" s="148"/>
      <c r="U240" s="143" t="e">
        <f>MAX(#REF!,#REF!)</f>
        <v>#REF!</v>
      </c>
      <c r="V240" s="143" t="e">
        <f>MAX(#REF!,#REF!)</f>
        <v>#REF!</v>
      </c>
      <c r="W240" s="9">
        <f t="shared" si="42"/>
        <v>0</v>
      </c>
      <c r="X240" s="8" t="str">
        <f t="shared" si="43"/>
        <v>Belum Sensus</v>
      </c>
      <c r="Y240" s="178"/>
      <c r="Z240" s="143">
        <v>0</v>
      </c>
      <c r="AA240" s="9" t="e">
        <f t="shared" si="44"/>
        <v>#DIV/0!</v>
      </c>
      <c r="AB240" s="143">
        <v>0</v>
      </c>
      <c r="AC240" s="9">
        <f t="shared" si="38"/>
        <v>0</v>
      </c>
      <c r="AD240" s="8" t="str">
        <f t="shared" si="45"/>
        <v>Belum Sensus</v>
      </c>
      <c r="AE240" s="178"/>
      <c r="AF240" s="143">
        <v>0</v>
      </c>
      <c r="AG240" s="143">
        <v>0</v>
      </c>
      <c r="AH240" s="9">
        <f t="shared" si="46"/>
        <v>0</v>
      </c>
      <c r="AI240" s="8" t="str">
        <f t="shared" si="47"/>
        <v>Belum Sensus</v>
      </c>
    </row>
    <row r="241" spans="1:35" x14ac:dyDescent="0.2">
      <c r="A241" s="8" t="s">
        <v>1739</v>
      </c>
      <c r="B241" s="8" t="s">
        <v>14</v>
      </c>
      <c r="C241" s="8" t="s">
        <v>252</v>
      </c>
      <c r="D241" s="8" t="s">
        <v>1106</v>
      </c>
      <c r="E241" s="9">
        <v>0</v>
      </c>
      <c r="F241" s="8" t="s">
        <v>1740</v>
      </c>
      <c r="G241" s="10">
        <v>0</v>
      </c>
      <c r="H241" s="132"/>
      <c r="I241" s="8">
        <f t="array" ref="I241">INDEX([26]KOMPARASI!$H$20:$H$199,MATCH(1,([26]KOMPARASI!$C$20:$C$199=$D241)*([26]KOMPARASI!$C$20:$C$199=$D241),0))</f>
        <v>0</v>
      </c>
      <c r="J241" s="9">
        <f t="array" ref="J241">IFERROR(I241/G241*100,0)</f>
        <v>0</v>
      </c>
      <c r="K241" s="8">
        <f t="array" ref="K241">INDEX([26]KOMPARASI!$J$20:$J$199,MATCH(1,([26]KOMPARASI!$C$20:$C$199=$D241)*([26]KOMPARASI!$C$20:$C$199=$D241),0))</f>
        <v>0</v>
      </c>
      <c r="L241" s="9">
        <f t="shared" si="36"/>
        <v>0</v>
      </c>
      <c r="M241" s="8" t="str">
        <f t="shared" si="39"/>
        <v>Belum Sensus</v>
      </c>
      <c r="N241" s="148"/>
      <c r="O241" s="143" t="e">
        <f>MAX(#REF!,#REF!)</f>
        <v>#REF!</v>
      </c>
      <c r="P241" s="9" t="e">
        <f t="shared" si="40"/>
        <v>#REF!</v>
      </c>
      <c r="Q241" s="143" t="e">
        <f>MAX(#REF!,#REF!)</f>
        <v>#REF!</v>
      </c>
      <c r="R241" s="9">
        <f t="shared" si="37"/>
        <v>0</v>
      </c>
      <c r="S241" s="8" t="str">
        <f t="shared" si="41"/>
        <v>Belum Sensus</v>
      </c>
      <c r="T241" s="148"/>
      <c r="U241" s="143" t="e">
        <f>MAX(#REF!,#REF!)</f>
        <v>#REF!</v>
      </c>
      <c r="V241" s="143" t="e">
        <f>MAX(#REF!,#REF!)</f>
        <v>#REF!</v>
      </c>
      <c r="W241" s="9">
        <f t="shared" si="42"/>
        <v>0</v>
      </c>
      <c r="X241" s="8" t="str">
        <f t="shared" si="43"/>
        <v>Belum Sensus</v>
      </c>
      <c r="Y241" s="178"/>
      <c r="Z241" s="143">
        <v>0</v>
      </c>
      <c r="AA241" s="9" t="e">
        <f t="shared" si="44"/>
        <v>#DIV/0!</v>
      </c>
      <c r="AB241" s="143">
        <v>0</v>
      </c>
      <c r="AC241" s="9">
        <f t="shared" si="38"/>
        <v>0</v>
      </c>
      <c r="AD241" s="8" t="str">
        <f t="shared" si="45"/>
        <v>Belum Sensus</v>
      </c>
      <c r="AE241" s="178"/>
      <c r="AF241" s="143">
        <v>0</v>
      </c>
      <c r="AG241" s="143">
        <v>0</v>
      </c>
      <c r="AH241" s="9">
        <f t="shared" si="46"/>
        <v>0</v>
      </c>
      <c r="AI241" s="8" t="str">
        <f t="shared" si="47"/>
        <v>Belum Sensus</v>
      </c>
    </row>
    <row r="242" spans="1:35" x14ac:dyDescent="0.2">
      <c r="A242" s="8" t="s">
        <v>1739</v>
      </c>
      <c r="B242" s="8" t="s">
        <v>14</v>
      </c>
      <c r="C242" s="8" t="s">
        <v>252</v>
      </c>
      <c r="D242" s="8" t="s">
        <v>1107</v>
      </c>
      <c r="E242" s="9">
        <v>26.43</v>
      </c>
      <c r="F242" s="8" t="s">
        <v>1740</v>
      </c>
      <c r="G242" s="10">
        <v>3065</v>
      </c>
      <c r="H242" s="132">
        <v>46153</v>
      </c>
      <c r="I242" s="8">
        <f t="array" ref="I242">INDEX([26]KOMPARASI!$H$20:$H$199,MATCH(1,([26]KOMPARASI!$C$20:$C$199=$D242)*([26]KOMPARASI!$C$20:$C$199=$D242),0))</f>
        <v>341</v>
      </c>
      <c r="J242" s="9">
        <f t="array" ref="J242">IFERROR(I242/G242*100,0)</f>
        <v>11.125611745513867</v>
      </c>
      <c r="K242" s="8">
        <f t="array" ref="K242">INDEX([26]KOMPARASI!$J$20:$J$199,MATCH(1,([26]KOMPARASI!$C$20:$C$199=$D242)*([26]KOMPARASI!$C$20:$C$199=$D242),0))</f>
        <v>67</v>
      </c>
      <c r="L242" s="9">
        <f t="shared" si="36"/>
        <v>19.648093841642229</v>
      </c>
      <c r="M242" s="8" t="str">
        <f t="shared" si="39"/>
        <v>Perlu Pengendalian</v>
      </c>
      <c r="N242" s="148"/>
      <c r="O242" s="143" t="e">
        <f>MAX(#REF!,#REF!)</f>
        <v>#REF!</v>
      </c>
      <c r="P242" s="9" t="e">
        <f t="shared" si="40"/>
        <v>#REF!</v>
      </c>
      <c r="Q242" s="143" t="e">
        <f>MAX(#REF!,#REF!)</f>
        <v>#REF!</v>
      </c>
      <c r="R242" s="9">
        <f t="shared" si="37"/>
        <v>0</v>
      </c>
      <c r="S242" s="8" t="str">
        <f t="shared" si="41"/>
        <v>Belum Sensus</v>
      </c>
      <c r="T242" s="148"/>
      <c r="U242" s="143" t="e">
        <f>MAX(#REF!,#REF!)</f>
        <v>#REF!</v>
      </c>
      <c r="V242" s="143" t="e">
        <f>MAX(#REF!,#REF!)</f>
        <v>#REF!</v>
      </c>
      <c r="W242" s="9">
        <f t="shared" si="42"/>
        <v>0</v>
      </c>
      <c r="X242" s="8" t="str">
        <f t="shared" si="43"/>
        <v>Belum Sensus</v>
      </c>
      <c r="Y242" s="178">
        <v>46153</v>
      </c>
      <c r="Z242" s="143">
        <v>134</v>
      </c>
      <c r="AA242" s="9">
        <f t="shared" si="44"/>
        <v>4.3719412724306688</v>
      </c>
      <c r="AB242" s="143">
        <v>41</v>
      </c>
      <c r="AC242" s="9">
        <f t="shared" si="38"/>
        <v>30.597014925373134</v>
      </c>
      <c r="AD242" s="8" t="str">
        <f t="shared" si="45"/>
        <v>Perlu Pengendalian</v>
      </c>
      <c r="AE242" s="178"/>
      <c r="AF242" s="143">
        <v>0</v>
      </c>
      <c r="AG242" s="143">
        <v>0</v>
      </c>
      <c r="AH242" s="9">
        <f t="shared" si="46"/>
        <v>0</v>
      </c>
      <c r="AI242" s="8" t="str">
        <f t="shared" si="47"/>
        <v>Belum Sensus</v>
      </c>
    </row>
    <row r="243" spans="1:35" x14ac:dyDescent="0.2">
      <c r="A243" s="8" t="s">
        <v>1739</v>
      </c>
      <c r="B243" s="8" t="s">
        <v>14</v>
      </c>
      <c r="C243" s="8" t="s">
        <v>252</v>
      </c>
      <c r="D243" s="8" t="s">
        <v>1108</v>
      </c>
      <c r="E243" s="9">
        <v>28.55</v>
      </c>
      <c r="F243" s="8" t="s">
        <v>1740</v>
      </c>
      <c r="G243" s="10">
        <v>3557</v>
      </c>
      <c r="H243" s="132">
        <v>46153</v>
      </c>
      <c r="I243" s="8">
        <f t="array" ref="I243">INDEX([26]KOMPARASI!$H$20:$H$199,MATCH(1,([26]KOMPARASI!$C$20:$C$199=$D243)*([26]KOMPARASI!$C$20:$C$199=$D243),0))</f>
        <v>355</v>
      </c>
      <c r="J243" s="9">
        <f t="array" ref="J243">IFERROR(I243/G243*100,0)</f>
        <v>9.9803204947989865</v>
      </c>
      <c r="K243" s="8">
        <f t="array" ref="K243">INDEX([26]KOMPARASI!$J$20:$J$199,MATCH(1,([26]KOMPARASI!$C$20:$C$199=$D243)*([26]KOMPARASI!$C$20:$C$199=$D243),0))</f>
        <v>47</v>
      </c>
      <c r="L243" s="9">
        <f t="shared" si="36"/>
        <v>13.239436619718308</v>
      </c>
      <c r="M243" s="8" t="str">
        <f t="shared" si="39"/>
        <v>Perlu Pengendalian</v>
      </c>
      <c r="N243" s="148"/>
      <c r="O243" s="143" t="e">
        <f>MAX(#REF!,#REF!)</f>
        <v>#REF!</v>
      </c>
      <c r="P243" s="9" t="e">
        <f t="shared" si="40"/>
        <v>#REF!</v>
      </c>
      <c r="Q243" s="143" t="e">
        <f>MAX(#REF!,#REF!)</f>
        <v>#REF!</v>
      </c>
      <c r="R243" s="9">
        <f t="shared" si="37"/>
        <v>0</v>
      </c>
      <c r="S243" s="8" t="str">
        <f t="shared" si="41"/>
        <v>Belum Sensus</v>
      </c>
      <c r="T243" s="148"/>
      <c r="U243" s="143" t="e">
        <f>MAX(#REF!,#REF!)</f>
        <v>#REF!</v>
      </c>
      <c r="V243" s="143" t="e">
        <f>MAX(#REF!,#REF!)</f>
        <v>#REF!</v>
      </c>
      <c r="W243" s="9">
        <f t="shared" si="42"/>
        <v>0</v>
      </c>
      <c r="X243" s="8" t="str">
        <f t="shared" si="43"/>
        <v>Belum Sensus</v>
      </c>
      <c r="Y243" s="178">
        <v>46153</v>
      </c>
      <c r="Z243" s="143">
        <v>183</v>
      </c>
      <c r="AA243" s="9">
        <f t="shared" si="44"/>
        <v>5.1447849311217322</v>
      </c>
      <c r="AB243" s="143">
        <v>50</v>
      </c>
      <c r="AC243" s="9">
        <f t="shared" si="38"/>
        <v>27.322404371584703</v>
      </c>
      <c r="AD243" s="8" t="str">
        <f t="shared" si="45"/>
        <v>Perlu Pengendalian</v>
      </c>
      <c r="AE243" s="178"/>
      <c r="AF243" s="143">
        <v>0</v>
      </c>
      <c r="AG243" s="143">
        <v>0</v>
      </c>
      <c r="AH243" s="9">
        <f t="shared" si="46"/>
        <v>0</v>
      </c>
      <c r="AI243" s="8" t="str">
        <f t="shared" si="47"/>
        <v>Belum Sensus</v>
      </c>
    </row>
    <row r="244" spans="1:35" x14ac:dyDescent="0.2">
      <c r="A244" s="8" t="s">
        <v>1739</v>
      </c>
      <c r="B244" s="8" t="s">
        <v>14</v>
      </c>
      <c r="C244" s="8" t="s">
        <v>252</v>
      </c>
      <c r="D244" s="8" t="s">
        <v>1109</v>
      </c>
      <c r="E244" s="9">
        <v>20.48</v>
      </c>
      <c r="F244" s="8" t="s">
        <v>1740</v>
      </c>
      <c r="G244" s="10">
        <v>3218</v>
      </c>
      <c r="H244" s="132">
        <v>46153</v>
      </c>
      <c r="I244" s="8">
        <f t="array" ref="I244">INDEX([26]KOMPARASI!$H$20:$H$199,MATCH(1,([26]KOMPARASI!$C$20:$C$199=$D244)*([26]KOMPARASI!$C$20:$C$199=$D244),0))</f>
        <v>219</v>
      </c>
      <c r="J244" s="9">
        <f t="array" ref="J244">IFERROR(I244/G244*100,0)</f>
        <v>6.8054692355500306</v>
      </c>
      <c r="K244" s="8">
        <f t="array" ref="K244">INDEX([26]KOMPARASI!$J$20:$J$199,MATCH(1,([26]KOMPARASI!$C$20:$C$199=$D244)*([26]KOMPARASI!$C$20:$C$199=$D244),0))</f>
        <v>35</v>
      </c>
      <c r="L244" s="9">
        <f t="shared" si="36"/>
        <v>15.981735159817351</v>
      </c>
      <c r="M244" s="8" t="str">
        <f t="shared" si="39"/>
        <v>Perlu Pengendalian</v>
      </c>
      <c r="N244" s="148"/>
      <c r="O244" s="143" t="e">
        <f>MAX(#REF!,#REF!)</f>
        <v>#REF!</v>
      </c>
      <c r="P244" s="9" t="e">
        <f t="shared" si="40"/>
        <v>#REF!</v>
      </c>
      <c r="Q244" s="143" t="e">
        <f>MAX(#REF!,#REF!)</f>
        <v>#REF!</v>
      </c>
      <c r="R244" s="9">
        <f t="shared" si="37"/>
        <v>0</v>
      </c>
      <c r="S244" s="8" t="str">
        <f t="shared" si="41"/>
        <v>Belum Sensus</v>
      </c>
      <c r="T244" s="148"/>
      <c r="U244" s="143" t="e">
        <f>MAX(#REF!,#REF!)</f>
        <v>#REF!</v>
      </c>
      <c r="V244" s="143" t="e">
        <f>MAX(#REF!,#REF!)</f>
        <v>#REF!</v>
      </c>
      <c r="W244" s="9">
        <f t="shared" si="42"/>
        <v>0</v>
      </c>
      <c r="X244" s="8" t="str">
        <f t="shared" si="43"/>
        <v>Belum Sensus</v>
      </c>
      <c r="Y244" s="178"/>
      <c r="Z244" s="143">
        <v>0</v>
      </c>
      <c r="AA244" s="9">
        <f t="shared" si="44"/>
        <v>0</v>
      </c>
      <c r="AB244" s="143">
        <v>0</v>
      </c>
      <c r="AC244" s="9">
        <f t="shared" si="38"/>
        <v>0</v>
      </c>
      <c r="AD244" s="8" t="str">
        <f t="shared" si="45"/>
        <v>Belum Sensus</v>
      </c>
      <c r="AE244" s="178"/>
      <c r="AF244" s="143">
        <v>0</v>
      </c>
      <c r="AG244" s="143">
        <v>0</v>
      </c>
      <c r="AH244" s="9">
        <f t="shared" si="46"/>
        <v>0</v>
      </c>
      <c r="AI244" s="8" t="str">
        <f t="shared" si="47"/>
        <v>Belum Sensus</v>
      </c>
    </row>
    <row r="245" spans="1:35" x14ac:dyDescent="0.2">
      <c r="A245" s="8" t="s">
        <v>1739</v>
      </c>
      <c r="B245" s="8" t="s">
        <v>14</v>
      </c>
      <c r="C245" s="8" t="s">
        <v>252</v>
      </c>
      <c r="D245" s="8" t="s">
        <v>1110</v>
      </c>
      <c r="E245" s="9">
        <v>0</v>
      </c>
      <c r="F245" s="8" t="s">
        <v>1740</v>
      </c>
      <c r="G245" s="10">
        <v>0</v>
      </c>
      <c r="H245" s="132"/>
      <c r="I245" s="8">
        <f t="array" ref="I245">INDEX([26]KOMPARASI!$H$20:$H$199,MATCH(1,([26]KOMPARASI!$C$20:$C$199=$D245)*([26]KOMPARASI!$C$20:$C$199=$D245),0))</f>
        <v>0</v>
      </c>
      <c r="J245" s="9">
        <f t="array" ref="J245">IFERROR(I245/G245*100,0)</f>
        <v>0</v>
      </c>
      <c r="K245" s="8">
        <f t="array" ref="K245">INDEX([26]KOMPARASI!$J$20:$J$199,MATCH(1,([26]KOMPARASI!$C$20:$C$199=$D245)*([26]KOMPARASI!$C$20:$C$199=$D245),0))</f>
        <v>0</v>
      </c>
      <c r="L245" s="9">
        <f t="shared" si="36"/>
        <v>0</v>
      </c>
      <c r="M245" s="8" t="str">
        <f t="shared" si="39"/>
        <v>Belum Sensus</v>
      </c>
      <c r="N245" s="148"/>
      <c r="O245" s="143" t="e">
        <f>MAX(#REF!,#REF!)</f>
        <v>#REF!</v>
      </c>
      <c r="P245" s="9" t="e">
        <f t="shared" si="40"/>
        <v>#REF!</v>
      </c>
      <c r="Q245" s="143" t="e">
        <f>MAX(#REF!,#REF!)</f>
        <v>#REF!</v>
      </c>
      <c r="R245" s="9">
        <f t="shared" si="37"/>
        <v>0</v>
      </c>
      <c r="S245" s="8" t="str">
        <f t="shared" si="41"/>
        <v>Belum Sensus</v>
      </c>
      <c r="T245" s="148"/>
      <c r="U245" s="143" t="e">
        <f>MAX(#REF!,#REF!)</f>
        <v>#REF!</v>
      </c>
      <c r="V245" s="143" t="e">
        <f>MAX(#REF!,#REF!)</f>
        <v>#REF!</v>
      </c>
      <c r="W245" s="9">
        <f t="shared" si="42"/>
        <v>0</v>
      </c>
      <c r="X245" s="8" t="str">
        <f t="shared" si="43"/>
        <v>Belum Sensus</v>
      </c>
      <c r="Y245" s="178"/>
      <c r="Z245" s="143">
        <v>0</v>
      </c>
      <c r="AA245" s="9" t="e">
        <f t="shared" si="44"/>
        <v>#DIV/0!</v>
      </c>
      <c r="AB245" s="143">
        <v>0</v>
      </c>
      <c r="AC245" s="9">
        <f t="shared" si="38"/>
        <v>0</v>
      </c>
      <c r="AD245" s="8" t="str">
        <f t="shared" si="45"/>
        <v>Belum Sensus</v>
      </c>
      <c r="AE245" s="178"/>
      <c r="AF245" s="143">
        <v>0</v>
      </c>
      <c r="AG245" s="143">
        <v>0</v>
      </c>
      <c r="AH245" s="9">
        <f t="shared" si="46"/>
        <v>0</v>
      </c>
      <c r="AI245" s="8" t="str">
        <f t="shared" si="47"/>
        <v>Belum Sensus</v>
      </c>
    </row>
    <row r="246" spans="1:35" x14ac:dyDescent="0.2">
      <c r="A246" s="8" t="s">
        <v>1739</v>
      </c>
      <c r="B246" s="8" t="s">
        <v>14</v>
      </c>
      <c r="C246" s="8" t="s">
        <v>252</v>
      </c>
      <c r="D246" s="8" t="s">
        <v>1111</v>
      </c>
      <c r="E246" s="9">
        <v>38.25</v>
      </c>
      <c r="F246" s="8" t="s">
        <v>1740</v>
      </c>
      <c r="G246" s="10">
        <v>4895</v>
      </c>
      <c r="H246" s="132">
        <v>46153</v>
      </c>
      <c r="I246" s="8">
        <f t="array" ref="I246">INDEX([26]KOMPARASI!$H$20:$H$199,MATCH(1,([26]KOMPARASI!$C$20:$C$199=$D246)*([26]KOMPARASI!$C$20:$C$199=$D246),0))</f>
        <v>274</v>
      </c>
      <c r="J246" s="9">
        <f t="array" ref="J246">IFERROR(I246/G246*100,0)</f>
        <v>5.5975485188968328</v>
      </c>
      <c r="K246" s="8">
        <f t="array" ref="K246">INDEX([26]KOMPARASI!$J$20:$J$199,MATCH(1,([26]KOMPARASI!$C$20:$C$199=$D246)*([26]KOMPARASI!$C$20:$C$199=$D246),0))</f>
        <v>51</v>
      </c>
      <c r="L246" s="9">
        <f t="shared" si="36"/>
        <v>18.613138686131386</v>
      </c>
      <c r="M246" s="8" t="str">
        <f t="shared" si="39"/>
        <v>Perlu Pengendalian</v>
      </c>
      <c r="N246" s="148"/>
      <c r="O246" s="143" t="e">
        <f>MAX(#REF!,#REF!)</f>
        <v>#REF!</v>
      </c>
      <c r="P246" s="9" t="e">
        <f t="shared" si="40"/>
        <v>#REF!</v>
      </c>
      <c r="Q246" s="143" t="e">
        <f>MAX(#REF!,#REF!)</f>
        <v>#REF!</v>
      </c>
      <c r="R246" s="9">
        <f t="shared" si="37"/>
        <v>0</v>
      </c>
      <c r="S246" s="8" t="str">
        <f t="shared" si="41"/>
        <v>Belum Sensus</v>
      </c>
      <c r="T246" s="148"/>
      <c r="U246" s="143" t="e">
        <f>MAX(#REF!,#REF!)</f>
        <v>#REF!</v>
      </c>
      <c r="V246" s="143" t="e">
        <f>MAX(#REF!,#REF!)</f>
        <v>#REF!</v>
      </c>
      <c r="W246" s="9">
        <f t="shared" si="42"/>
        <v>0</v>
      </c>
      <c r="X246" s="8" t="str">
        <f t="shared" si="43"/>
        <v>Belum Sensus</v>
      </c>
      <c r="Y246" s="178">
        <v>46153</v>
      </c>
      <c r="Z246" s="143">
        <v>191</v>
      </c>
      <c r="AA246" s="9">
        <f t="shared" si="44"/>
        <v>3.9019407558733397</v>
      </c>
      <c r="AB246" s="143">
        <v>54</v>
      </c>
      <c r="AC246" s="9">
        <f t="shared" si="38"/>
        <v>28.272251308900525</v>
      </c>
      <c r="AD246" s="8" t="str">
        <f t="shared" si="45"/>
        <v>Perlu Pengendalian</v>
      </c>
      <c r="AE246" s="178"/>
      <c r="AF246" s="143">
        <v>0</v>
      </c>
      <c r="AG246" s="143">
        <v>0</v>
      </c>
      <c r="AH246" s="9">
        <f t="shared" si="46"/>
        <v>0</v>
      </c>
      <c r="AI246" s="8" t="str">
        <f t="shared" si="47"/>
        <v>Belum Sensus</v>
      </c>
    </row>
    <row r="247" spans="1:35" x14ac:dyDescent="0.2">
      <c r="A247" s="8" t="s">
        <v>1739</v>
      </c>
      <c r="B247" s="8" t="s">
        <v>14</v>
      </c>
      <c r="C247" s="8" t="s">
        <v>252</v>
      </c>
      <c r="D247" s="8" t="s">
        <v>1112</v>
      </c>
      <c r="E247" s="9">
        <v>29.69</v>
      </c>
      <c r="F247" s="8" t="s">
        <v>1740</v>
      </c>
      <c r="G247" s="10">
        <v>3841</v>
      </c>
      <c r="H247" s="132">
        <v>46153</v>
      </c>
      <c r="I247" s="8">
        <f t="array" ref="I247">INDEX([26]KOMPARASI!$H$20:$H$199,MATCH(1,([26]KOMPARASI!$C$20:$C$199=$D247)*([26]KOMPARASI!$C$20:$C$199=$D247),0))</f>
        <v>247</v>
      </c>
      <c r="J247" s="9">
        <f t="array" ref="J247">IFERROR(I247/G247*100,0)</f>
        <v>6.4306170268159342</v>
      </c>
      <c r="K247" s="8">
        <f t="array" ref="K247">INDEX([26]KOMPARASI!$J$20:$J$199,MATCH(1,([26]KOMPARASI!$C$20:$C$199=$D247)*([26]KOMPARASI!$C$20:$C$199=$D247),0))</f>
        <v>43</v>
      </c>
      <c r="L247" s="9">
        <f t="shared" si="36"/>
        <v>17.408906882591094</v>
      </c>
      <c r="M247" s="8" t="str">
        <f t="shared" si="39"/>
        <v>Perlu Pengendalian</v>
      </c>
      <c r="N247" s="148"/>
      <c r="O247" s="143" t="e">
        <f>MAX(#REF!,#REF!)</f>
        <v>#REF!</v>
      </c>
      <c r="P247" s="9" t="e">
        <f t="shared" si="40"/>
        <v>#REF!</v>
      </c>
      <c r="Q247" s="143" t="e">
        <f>MAX(#REF!,#REF!)</f>
        <v>#REF!</v>
      </c>
      <c r="R247" s="9">
        <f t="shared" si="37"/>
        <v>0</v>
      </c>
      <c r="S247" s="8" t="str">
        <f t="shared" si="41"/>
        <v>Belum Sensus</v>
      </c>
      <c r="T247" s="148"/>
      <c r="U247" s="143" t="e">
        <f>MAX(#REF!,#REF!)</f>
        <v>#REF!</v>
      </c>
      <c r="V247" s="143" t="e">
        <f>MAX(#REF!,#REF!)</f>
        <v>#REF!</v>
      </c>
      <c r="W247" s="9">
        <f t="shared" si="42"/>
        <v>0</v>
      </c>
      <c r="X247" s="8" t="str">
        <f t="shared" si="43"/>
        <v>Belum Sensus</v>
      </c>
      <c r="Y247" s="178">
        <v>46153</v>
      </c>
      <c r="Z247" s="143">
        <v>68</v>
      </c>
      <c r="AA247" s="9">
        <f t="shared" si="44"/>
        <v>1.7703722988804997</v>
      </c>
      <c r="AB247" s="143">
        <v>19</v>
      </c>
      <c r="AC247" s="9">
        <f t="shared" si="38"/>
        <v>27.941176470588236</v>
      </c>
      <c r="AD247" s="8" t="str">
        <f t="shared" si="45"/>
        <v>Perlu Pengendalian</v>
      </c>
      <c r="AE247" s="178"/>
      <c r="AF247" s="143">
        <v>0</v>
      </c>
      <c r="AG247" s="143">
        <v>0</v>
      </c>
      <c r="AH247" s="9">
        <f t="shared" si="46"/>
        <v>0</v>
      </c>
      <c r="AI247" s="8" t="str">
        <f t="shared" si="47"/>
        <v>Belum Sensus</v>
      </c>
    </row>
    <row r="248" spans="1:35" x14ac:dyDescent="0.2">
      <c r="A248" s="8" t="s">
        <v>1739</v>
      </c>
      <c r="B248" s="8" t="s">
        <v>14</v>
      </c>
      <c r="C248" s="8" t="s">
        <v>252</v>
      </c>
      <c r="D248" s="8" t="s">
        <v>1113</v>
      </c>
      <c r="E248" s="9">
        <v>25.89</v>
      </c>
      <c r="F248" s="8" t="s">
        <v>1740</v>
      </c>
      <c r="G248" s="10">
        <v>3294</v>
      </c>
      <c r="H248" s="132">
        <v>46153</v>
      </c>
      <c r="I248" s="8">
        <f t="array" ref="I248">INDEX([26]KOMPARASI!$H$20:$H$199,MATCH(1,([26]KOMPARASI!$C$20:$C$199=$D248)*([26]KOMPARASI!$C$20:$C$199=$D248),0))</f>
        <v>260</v>
      </c>
      <c r="J248" s="9">
        <f t="array" ref="J248">IFERROR(I248/G248*100,0)</f>
        <v>7.8931390406800235</v>
      </c>
      <c r="K248" s="8">
        <f t="array" ref="K248">INDEX([26]KOMPARASI!$J$20:$J$199,MATCH(1,([26]KOMPARASI!$C$20:$C$199=$D248)*([26]KOMPARASI!$C$20:$C$199=$D248),0))</f>
        <v>37</v>
      </c>
      <c r="L248" s="9">
        <f t="shared" si="36"/>
        <v>14.23076923076923</v>
      </c>
      <c r="M248" s="8" t="str">
        <f t="shared" si="39"/>
        <v>Perlu Pengendalian</v>
      </c>
      <c r="N248" s="148"/>
      <c r="O248" s="143" t="e">
        <f>MAX(#REF!,#REF!)</f>
        <v>#REF!</v>
      </c>
      <c r="P248" s="9" t="e">
        <f t="shared" si="40"/>
        <v>#REF!</v>
      </c>
      <c r="Q248" s="143" t="e">
        <f>MAX(#REF!,#REF!)</f>
        <v>#REF!</v>
      </c>
      <c r="R248" s="9">
        <f t="shared" si="37"/>
        <v>0</v>
      </c>
      <c r="S248" s="8" t="str">
        <f t="shared" si="41"/>
        <v>Belum Sensus</v>
      </c>
      <c r="T248" s="148"/>
      <c r="U248" s="143" t="e">
        <f>MAX(#REF!,#REF!)</f>
        <v>#REF!</v>
      </c>
      <c r="V248" s="143" t="e">
        <f>MAX(#REF!,#REF!)</f>
        <v>#REF!</v>
      </c>
      <c r="W248" s="9">
        <f t="shared" si="42"/>
        <v>0</v>
      </c>
      <c r="X248" s="8" t="str">
        <f t="shared" si="43"/>
        <v>Belum Sensus</v>
      </c>
      <c r="Y248" s="178">
        <v>46153</v>
      </c>
      <c r="Z248" s="143">
        <v>78</v>
      </c>
      <c r="AA248" s="9">
        <f t="shared" si="44"/>
        <v>2.3679417122040074</v>
      </c>
      <c r="AB248" s="143">
        <v>31</v>
      </c>
      <c r="AC248" s="9">
        <f t="shared" si="38"/>
        <v>39.743589743589745</v>
      </c>
      <c r="AD248" s="8" t="str">
        <f t="shared" si="45"/>
        <v>Perlu Pengendalian</v>
      </c>
      <c r="AE248" s="178"/>
      <c r="AF248" s="143">
        <v>0</v>
      </c>
      <c r="AG248" s="143">
        <v>0</v>
      </c>
      <c r="AH248" s="9">
        <f t="shared" si="46"/>
        <v>0</v>
      </c>
      <c r="AI248" s="8" t="str">
        <f t="shared" si="47"/>
        <v>Belum Sensus</v>
      </c>
    </row>
    <row r="249" spans="1:35" x14ac:dyDescent="0.2">
      <c r="A249" s="8" t="s">
        <v>1739</v>
      </c>
      <c r="B249" s="8" t="s">
        <v>14</v>
      </c>
      <c r="C249" s="8" t="s">
        <v>290</v>
      </c>
      <c r="D249" s="8" t="s">
        <v>1114</v>
      </c>
      <c r="E249" s="9">
        <v>24.19</v>
      </c>
      <c r="F249" s="8" t="s">
        <v>1740</v>
      </c>
      <c r="G249" s="10">
        <v>3142</v>
      </c>
      <c r="H249" s="132">
        <v>46153</v>
      </c>
      <c r="I249" s="8">
        <f t="array" ref="I249">INDEX([26]KOMPARASI!$H$20:$H$199,MATCH(1,([26]KOMPARASI!$C$20:$C$199=$D249)*([26]KOMPARASI!$C$20:$C$199=$D249),0))</f>
        <v>327</v>
      </c>
      <c r="J249" s="9">
        <f t="array" ref="J249">IFERROR(I249/G249*100,0)</f>
        <v>10.407383831954169</v>
      </c>
      <c r="K249" s="8">
        <f t="array" ref="K249">INDEX([26]KOMPARASI!$J$20:$J$199,MATCH(1,([26]KOMPARASI!$C$20:$C$199=$D249)*([26]KOMPARASI!$C$20:$C$199=$D249),0))</f>
        <v>37</v>
      </c>
      <c r="L249" s="9">
        <f t="shared" si="36"/>
        <v>11.314984709480122</v>
      </c>
      <c r="M249" s="8" t="str">
        <f t="shared" si="39"/>
        <v>Perlu Pengendalian</v>
      </c>
      <c r="N249" s="148"/>
      <c r="O249" s="143" t="e">
        <f>MAX(#REF!,#REF!)</f>
        <v>#REF!</v>
      </c>
      <c r="P249" s="9" t="e">
        <f t="shared" si="40"/>
        <v>#REF!</v>
      </c>
      <c r="Q249" s="143" t="e">
        <f>MAX(#REF!,#REF!)</f>
        <v>#REF!</v>
      </c>
      <c r="R249" s="9">
        <f t="shared" si="37"/>
        <v>0</v>
      </c>
      <c r="S249" s="8" t="str">
        <f t="shared" si="41"/>
        <v>Belum Sensus</v>
      </c>
      <c r="T249" s="148"/>
      <c r="U249" s="143" t="e">
        <f>MAX(#REF!,#REF!)</f>
        <v>#REF!</v>
      </c>
      <c r="V249" s="143" t="e">
        <f>MAX(#REF!,#REF!)</f>
        <v>#REF!</v>
      </c>
      <c r="W249" s="9">
        <f t="shared" si="42"/>
        <v>0</v>
      </c>
      <c r="X249" s="8" t="str">
        <f t="shared" si="43"/>
        <v>Belum Sensus</v>
      </c>
      <c r="Y249" s="178"/>
      <c r="Z249" s="143">
        <v>0</v>
      </c>
      <c r="AA249" s="9">
        <f t="shared" si="44"/>
        <v>0</v>
      </c>
      <c r="AB249" s="143">
        <v>0</v>
      </c>
      <c r="AC249" s="9">
        <f t="shared" si="38"/>
        <v>0</v>
      </c>
      <c r="AD249" s="8" t="str">
        <f t="shared" si="45"/>
        <v>Belum Sensus</v>
      </c>
      <c r="AE249" s="178"/>
      <c r="AF249" s="143">
        <v>0</v>
      </c>
      <c r="AG249" s="143">
        <v>0</v>
      </c>
      <c r="AH249" s="9">
        <f t="shared" si="46"/>
        <v>0</v>
      </c>
      <c r="AI249" s="8" t="str">
        <f t="shared" si="47"/>
        <v>Belum Sensus</v>
      </c>
    </row>
    <row r="250" spans="1:35" x14ac:dyDescent="0.2">
      <c r="A250" s="8" t="s">
        <v>1739</v>
      </c>
      <c r="B250" s="8" t="s">
        <v>14</v>
      </c>
      <c r="C250" s="8" t="s">
        <v>290</v>
      </c>
      <c r="D250" s="8" t="s">
        <v>1115</v>
      </c>
      <c r="E250" s="9">
        <v>22.79</v>
      </c>
      <c r="F250" s="8" t="s">
        <v>1740</v>
      </c>
      <c r="G250" s="10">
        <v>3348</v>
      </c>
      <c r="H250" s="132">
        <v>46153</v>
      </c>
      <c r="I250" s="8">
        <f t="array" ref="I250">INDEX([26]KOMPARASI!$H$20:$H$199,MATCH(1,([26]KOMPARASI!$C$20:$C$199=$D250)*([26]KOMPARASI!$C$20:$C$199=$D250),0))</f>
        <v>323</v>
      </c>
      <c r="J250" s="9">
        <f t="array" ref="J250">IFERROR(I250/G250*100,0)</f>
        <v>9.6475507765830351</v>
      </c>
      <c r="K250" s="8">
        <f t="array" ref="K250">INDEX([26]KOMPARASI!$J$20:$J$199,MATCH(1,([26]KOMPARASI!$C$20:$C$199=$D250)*([26]KOMPARASI!$C$20:$C$199=$D250),0))</f>
        <v>93</v>
      </c>
      <c r="L250" s="9">
        <f t="shared" si="36"/>
        <v>28.792569659442723</v>
      </c>
      <c r="M250" s="8" t="str">
        <f t="shared" si="39"/>
        <v>Perlu Pengendalian</v>
      </c>
      <c r="N250" s="148"/>
      <c r="O250" s="143" t="e">
        <f>MAX(#REF!,#REF!)</f>
        <v>#REF!</v>
      </c>
      <c r="P250" s="9" t="e">
        <f t="shared" si="40"/>
        <v>#REF!</v>
      </c>
      <c r="Q250" s="143" t="e">
        <f>MAX(#REF!,#REF!)</f>
        <v>#REF!</v>
      </c>
      <c r="R250" s="9">
        <f t="shared" si="37"/>
        <v>0</v>
      </c>
      <c r="S250" s="8" t="str">
        <f t="shared" si="41"/>
        <v>Belum Sensus</v>
      </c>
      <c r="T250" s="148"/>
      <c r="U250" s="143" t="e">
        <f>MAX(#REF!,#REF!)</f>
        <v>#REF!</v>
      </c>
      <c r="V250" s="143" t="e">
        <f>MAX(#REF!,#REF!)</f>
        <v>#REF!</v>
      </c>
      <c r="W250" s="9">
        <f t="shared" si="42"/>
        <v>0</v>
      </c>
      <c r="X250" s="8" t="str">
        <f t="shared" si="43"/>
        <v>Belum Sensus</v>
      </c>
      <c r="Y250" s="178"/>
      <c r="Z250" s="143">
        <v>0</v>
      </c>
      <c r="AA250" s="9">
        <f t="shared" si="44"/>
        <v>0</v>
      </c>
      <c r="AB250" s="143">
        <v>0</v>
      </c>
      <c r="AC250" s="9">
        <f t="shared" si="38"/>
        <v>0</v>
      </c>
      <c r="AD250" s="8" t="str">
        <f t="shared" si="45"/>
        <v>Belum Sensus</v>
      </c>
      <c r="AE250" s="178"/>
      <c r="AF250" s="143">
        <v>0</v>
      </c>
      <c r="AG250" s="143">
        <v>0</v>
      </c>
      <c r="AH250" s="9">
        <f t="shared" si="46"/>
        <v>0</v>
      </c>
      <c r="AI250" s="8" t="str">
        <f t="shared" si="47"/>
        <v>Belum Sensus</v>
      </c>
    </row>
    <row r="251" spans="1:35" x14ac:dyDescent="0.2">
      <c r="A251" s="8" t="s">
        <v>1739</v>
      </c>
      <c r="B251" s="8" t="s">
        <v>14</v>
      </c>
      <c r="C251" s="8" t="s">
        <v>290</v>
      </c>
      <c r="D251" s="8" t="s">
        <v>1116</v>
      </c>
      <c r="E251" s="9">
        <v>27.12</v>
      </c>
      <c r="F251" s="8" t="s">
        <v>1740</v>
      </c>
      <c r="G251" s="10">
        <v>3746</v>
      </c>
      <c r="H251" s="132">
        <v>46153</v>
      </c>
      <c r="I251" s="8">
        <f t="array" ref="I251">INDEX([26]KOMPARASI!$H$20:$H$199,MATCH(1,([26]KOMPARASI!$C$20:$C$199=$D251)*([26]KOMPARASI!$C$20:$C$199=$D251),0))</f>
        <v>334</v>
      </c>
      <c r="J251" s="9">
        <f t="array" ref="J251">IFERROR(I251/G251*100,0)</f>
        <v>8.9161772557394556</v>
      </c>
      <c r="K251" s="8">
        <f t="array" ref="K251">INDEX([26]KOMPARASI!$J$20:$J$199,MATCH(1,([26]KOMPARASI!$C$20:$C$199=$D251)*([26]KOMPARASI!$C$20:$C$199=$D251),0))</f>
        <v>129</v>
      </c>
      <c r="L251" s="9">
        <f t="shared" si="36"/>
        <v>38.622754491017965</v>
      </c>
      <c r="M251" s="8" t="str">
        <f t="shared" si="39"/>
        <v>Perlu Pengendalian</v>
      </c>
      <c r="N251" s="148"/>
      <c r="O251" s="143" t="e">
        <f>MAX(#REF!,#REF!)</f>
        <v>#REF!</v>
      </c>
      <c r="P251" s="9" t="e">
        <f t="shared" si="40"/>
        <v>#REF!</v>
      </c>
      <c r="Q251" s="143" t="e">
        <f>MAX(#REF!,#REF!)</f>
        <v>#REF!</v>
      </c>
      <c r="R251" s="9">
        <f t="shared" si="37"/>
        <v>0</v>
      </c>
      <c r="S251" s="8" t="str">
        <f t="shared" si="41"/>
        <v>Belum Sensus</v>
      </c>
      <c r="T251" s="148"/>
      <c r="U251" s="143" t="e">
        <f>MAX(#REF!,#REF!)</f>
        <v>#REF!</v>
      </c>
      <c r="V251" s="143" t="e">
        <f>MAX(#REF!,#REF!)</f>
        <v>#REF!</v>
      </c>
      <c r="W251" s="9">
        <f t="shared" si="42"/>
        <v>0</v>
      </c>
      <c r="X251" s="8" t="str">
        <f t="shared" si="43"/>
        <v>Belum Sensus</v>
      </c>
      <c r="Y251" s="178"/>
      <c r="Z251" s="143">
        <v>0</v>
      </c>
      <c r="AA251" s="9">
        <f t="shared" si="44"/>
        <v>0</v>
      </c>
      <c r="AB251" s="143">
        <v>0</v>
      </c>
      <c r="AC251" s="9">
        <f t="shared" si="38"/>
        <v>0</v>
      </c>
      <c r="AD251" s="8" t="str">
        <f t="shared" si="45"/>
        <v>Belum Sensus</v>
      </c>
      <c r="AE251" s="178"/>
      <c r="AF251" s="143">
        <v>0</v>
      </c>
      <c r="AG251" s="143">
        <v>0</v>
      </c>
      <c r="AH251" s="9">
        <f t="shared" si="46"/>
        <v>0</v>
      </c>
      <c r="AI251" s="8" t="str">
        <f t="shared" si="47"/>
        <v>Belum Sensus</v>
      </c>
    </row>
    <row r="252" spans="1:35" x14ac:dyDescent="0.2">
      <c r="A252" s="8" t="s">
        <v>1739</v>
      </c>
      <c r="B252" s="8" t="s">
        <v>14</v>
      </c>
      <c r="C252" s="8" t="s">
        <v>290</v>
      </c>
      <c r="D252" s="8" t="s">
        <v>1117</v>
      </c>
      <c r="E252" s="9">
        <v>25.17</v>
      </c>
      <c r="F252" s="8" t="s">
        <v>1740</v>
      </c>
      <c r="G252" s="10">
        <v>2638</v>
      </c>
      <c r="H252" s="132">
        <v>46153</v>
      </c>
      <c r="I252" s="8">
        <f t="array" ref="I252">INDEX([26]KOMPARASI!$H$20:$H$199,MATCH(1,([26]KOMPARASI!$C$20:$C$199=$D252)*([26]KOMPARASI!$C$20:$C$199=$D252),0))</f>
        <v>329</v>
      </c>
      <c r="J252" s="9">
        <f t="array" ref="J252">IFERROR(I252/G252*100,0)</f>
        <v>12.471569370735406</v>
      </c>
      <c r="K252" s="8">
        <f t="array" ref="K252">INDEX([26]KOMPARASI!$J$20:$J$199,MATCH(1,([26]KOMPARASI!$C$20:$C$199=$D252)*([26]KOMPARASI!$C$20:$C$199=$D252),0))</f>
        <v>78</v>
      </c>
      <c r="L252" s="9">
        <f t="shared" si="36"/>
        <v>23.70820668693009</v>
      </c>
      <c r="M252" s="8" t="str">
        <f t="shared" si="39"/>
        <v>Perlu Pengendalian</v>
      </c>
      <c r="N252" s="148"/>
      <c r="O252" s="143" t="e">
        <f>MAX(#REF!,#REF!)</f>
        <v>#REF!</v>
      </c>
      <c r="P252" s="9" t="e">
        <f t="shared" si="40"/>
        <v>#REF!</v>
      </c>
      <c r="Q252" s="143" t="e">
        <f>MAX(#REF!,#REF!)</f>
        <v>#REF!</v>
      </c>
      <c r="R252" s="9">
        <f t="shared" si="37"/>
        <v>0</v>
      </c>
      <c r="S252" s="8" t="str">
        <f t="shared" si="41"/>
        <v>Belum Sensus</v>
      </c>
      <c r="T252" s="148"/>
      <c r="U252" s="143" t="e">
        <f>MAX(#REF!,#REF!)</f>
        <v>#REF!</v>
      </c>
      <c r="V252" s="143" t="e">
        <f>MAX(#REF!,#REF!)</f>
        <v>#REF!</v>
      </c>
      <c r="W252" s="9">
        <f t="shared" si="42"/>
        <v>0</v>
      </c>
      <c r="X252" s="8" t="str">
        <f t="shared" si="43"/>
        <v>Belum Sensus</v>
      </c>
      <c r="Y252" s="178"/>
      <c r="Z252" s="143">
        <v>0</v>
      </c>
      <c r="AA252" s="9">
        <f t="shared" si="44"/>
        <v>0</v>
      </c>
      <c r="AB252" s="143">
        <v>0</v>
      </c>
      <c r="AC252" s="9">
        <f t="shared" si="38"/>
        <v>0</v>
      </c>
      <c r="AD252" s="8" t="str">
        <f t="shared" si="45"/>
        <v>Belum Sensus</v>
      </c>
      <c r="AE252" s="178"/>
      <c r="AF252" s="143">
        <v>0</v>
      </c>
      <c r="AG252" s="143">
        <v>0</v>
      </c>
      <c r="AH252" s="9">
        <f t="shared" si="46"/>
        <v>0</v>
      </c>
      <c r="AI252" s="8" t="str">
        <f t="shared" si="47"/>
        <v>Belum Sensus</v>
      </c>
    </row>
    <row r="253" spans="1:35" x14ac:dyDescent="0.2">
      <c r="A253" s="8" t="s">
        <v>1739</v>
      </c>
      <c r="B253" s="8" t="s">
        <v>14</v>
      </c>
      <c r="C253" s="8" t="s">
        <v>290</v>
      </c>
      <c r="D253" s="8" t="s">
        <v>1118</v>
      </c>
      <c r="E253" s="9">
        <v>24.56</v>
      </c>
      <c r="F253" s="8" t="s">
        <v>1740</v>
      </c>
      <c r="G253" s="10">
        <v>3226</v>
      </c>
      <c r="H253" s="132">
        <v>46153</v>
      </c>
      <c r="I253" s="8">
        <f t="array" ref="I253">INDEX([26]KOMPARASI!$H$20:$H$199,MATCH(1,([26]KOMPARASI!$C$20:$C$199=$D253)*([26]KOMPARASI!$C$20:$C$199=$D253),0))</f>
        <v>247</v>
      </c>
      <c r="J253" s="9">
        <f t="array" ref="J253">IFERROR(I253/G253*100,0)</f>
        <v>7.6565406075635458</v>
      </c>
      <c r="K253" s="8">
        <f t="array" ref="K253">INDEX([26]KOMPARASI!$J$20:$J$199,MATCH(1,([26]KOMPARASI!$C$20:$C$199=$D253)*([26]KOMPARASI!$C$20:$C$199=$D253),0))</f>
        <v>105</v>
      </c>
      <c r="L253" s="9">
        <f t="shared" si="36"/>
        <v>42.51012145748988</v>
      </c>
      <c r="M253" s="8" t="str">
        <f t="shared" si="39"/>
        <v>Perlu Pengendalian</v>
      </c>
      <c r="N253" s="148"/>
      <c r="O253" s="143" t="e">
        <f>MAX(#REF!,#REF!)</f>
        <v>#REF!</v>
      </c>
      <c r="P253" s="9" t="e">
        <f t="shared" si="40"/>
        <v>#REF!</v>
      </c>
      <c r="Q253" s="143" t="e">
        <f>MAX(#REF!,#REF!)</f>
        <v>#REF!</v>
      </c>
      <c r="R253" s="9">
        <f t="shared" si="37"/>
        <v>0</v>
      </c>
      <c r="S253" s="8" t="str">
        <f t="shared" si="41"/>
        <v>Belum Sensus</v>
      </c>
      <c r="T253" s="148"/>
      <c r="U253" s="143" t="e">
        <f>MAX(#REF!,#REF!)</f>
        <v>#REF!</v>
      </c>
      <c r="V253" s="143" t="e">
        <f>MAX(#REF!,#REF!)</f>
        <v>#REF!</v>
      </c>
      <c r="W253" s="9">
        <f t="shared" si="42"/>
        <v>0</v>
      </c>
      <c r="X253" s="8" t="str">
        <f t="shared" si="43"/>
        <v>Belum Sensus</v>
      </c>
      <c r="Y253" s="178"/>
      <c r="Z253" s="143">
        <v>0</v>
      </c>
      <c r="AA253" s="9">
        <f t="shared" si="44"/>
        <v>0</v>
      </c>
      <c r="AB253" s="143">
        <v>0</v>
      </c>
      <c r="AC253" s="9">
        <f t="shared" si="38"/>
        <v>0</v>
      </c>
      <c r="AD253" s="8" t="str">
        <f t="shared" si="45"/>
        <v>Belum Sensus</v>
      </c>
      <c r="AE253" s="178">
        <v>46153</v>
      </c>
      <c r="AF253" s="143">
        <v>656</v>
      </c>
      <c r="AG253" s="143">
        <v>78</v>
      </c>
      <c r="AH253" s="9">
        <f t="shared" si="46"/>
        <v>11.890243902439025</v>
      </c>
      <c r="AI253" s="8" t="str">
        <f t="shared" si="47"/>
        <v>Perlu Pengendalian</v>
      </c>
    </row>
    <row r="254" spans="1:35" x14ac:dyDescent="0.2">
      <c r="A254" s="8" t="s">
        <v>1739</v>
      </c>
      <c r="B254" s="8" t="s">
        <v>14</v>
      </c>
      <c r="C254" s="8" t="s">
        <v>290</v>
      </c>
      <c r="D254" s="8" t="s">
        <v>1119</v>
      </c>
      <c r="E254" s="9">
        <v>24.9</v>
      </c>
      <c r="F254" s="8" t="s">
        <v>1740</v>
      </c>
      <c r="G254" s="10">
        <v>3358</v>
      </c>
      <c r="H254" s="132">
        <v>46149</v>
      </c>
      <c r="I254" s="8">
        <f t="array" ref="I254">INDEX([26]KOMPARASI!$H$20:$H$199,MATCH(1,([26]KOMPARASI!$C$20:$C$199=$D254)*([26]KOMPARASI!$C$20:$C$199=$D254),0))</f>
        <v>127</v>
      </c>
      <c r="J254" s="9">
        <f t="array" ref="J254">IFERROR(I254/G254*100,0)</f>
        <v>3.7820131030375221</v>
      </c>
      <c r="K254" s="8">
        <f t="array" ref="K254">INDEX([26]KOMPARASI!$J$20:$J$199,MATCH(1,([26]KOMPARASI!$C$20:$C$199=$D254)*([26]KOMPARASI!$C$20:$C$199=$D254),0))</f>
        <v>39</v>
      </c>
      <c r="L254" s="9">
        <f t="shared" si="36"/>
        <v>30.708661417322837</v>
      </c>
      <c r="M254" s="8" t="str">
        <f t="shared" si="39"/>
        <v>Perlu Pengendalian</v>
      </c>
      <c r="N254" s="148"/>
      <c r="O254" s="143" t="e">
        <f>MAX(#REF!,#REF!)</f>
        <v>#REF!</v>
      </c>
      <c r="P254" s="9" t="e">
        <f t="shared" si="40"/>
        <v>#REF!</v>
      </c>
      <c r="Q254" s="143" t="e">
        <f>MAX(#REF!,#REF!)</f>
        <v>#REF!</v>
      </c>
      <c r="R254" s="9">
        <f t="shared" si="37"/>
        <v>0</v>
      </c>
      <c r="S254" s="8" t="str">
        <f t="shared" si="41"/>
        <v>Belum Sensus</v>
      </c>
      <c r="T254" s="148"/>
      <c r="U254" s="143" t="e">
        <f>MAX(#REF!,#REF!)</f>
        <v>#REF!</v>
      </c>
      <c r="V254" s="143" t="e">
        <f>MAX(#REF!,#REF!)</f>
        <v>#REF!</v>
      </c>
      <c r="W254" s="9">
        <f t="shared" si="42"/>
        <v>0</v>
      </c>
      <c r="X254" s="8" t="str">
        <f t="shared" si="43"/>
        <v>Belum Sensus</v>
      </c>
      <c r="Y254" s="178">
        <v>46153</v>
      </c>
      <c r="Z254" s="143">
        <v>212</v>
      </c>
      <c r="AA254" s="9">
        <f t="shared" si="44"/>
        <v>6.3132817153067302</v>
      </c>
      <c r="AB254" s="143">
        <v>22</v>
      </c>
      <c r="AC254" s="9">
        <f t="shared" si="38"/>
        <v>10.377358490566039</v>
      </c>
      <c r="AD254" s="8" t="str">
        <f t="shared" si="45"/>
        <v>Perlu Pengendalian</v>
      </c>
      <c r="AE254" s="178">
        <v>46153</v>
      </c>
      <c r="AF254" s="143">
        <v>624</v>
      </c>
      <c r="AG254" s="143">
        <v>72</v>
      </c>
      <c r="AH254" s="9">
        <f t="shared" si="46"/>
        <v>11.538461538461538</v>
      </c>
      <c r="AI254" s="8" t="str">
        <f t="shared" si="47"/>
        <v>Perlu Pengendalian</v>
      </c>
    </row>
    <row r="255" spans="1:35" x14ac:dyDescent="0.2">
      <c r="A255" s="8" t="s">
        <v>1739</v>
      </c>
      <c r="B255" s="8" t="s">
        <v>14</v>
      </c>
      <c r="C255" s="8" t="s">
        <v>290</v>
      </c>
      <c r="D255" s="8" t="s">
        <v>1120</v>
      </c>
      <c r="E255" s="9">
        <v>42.05</v>
      </c>
      <c r="F255" s="8" t="s">
        <v>1740</v>
      </c>
      <c r="G255" s="10">
        <v>5609</v>
      </c>
      <c r="H255" s="132">
        <v>46153</v>
      </c>
      <c r="I255" s="8">
        <f t="array" ref="I255">INDEX([26]KOMPARASI!$H$20:$H$199,MATCH(1,([26]KOMPARASI!$C$20:$C$199=$D255)*([26]KOMPARASI!$C$20:$C$199=$D255),0))</f>
        <v>342</v>
      </c>
      <c r="J255" s="9">
        <f t="array" ref="J255">IFERROR(I255/G255*100,0)</f>
        <v>6.097343555000891</v>
      </c>
      <c r="K255" s="8">
        <f t="array" ref="K255">INDEX([26]KOMPARASI!$J$20:$J$199,MATCH(1,([26]KOMPARASI!$C$20:$C$199=$D255)*([26]KOMPARASI!$C$20:$C$199=$D255),0))</f>
        <v>164</v>
      </c>
      <c r="L255" s="9">
        <f t="shared" si="36"/>
        <v>47.953216374269005</v>
      </c>
      <c r="M255" s="8" t="str">
        <f t="shared" si="39"/>
        <v>Perlu Pengendalian</v>
      </c>
      <c r="N255" s="148"/>
      <c r="O255" s="143" t="e">
        <f>MAX(#REF!,#REF!)</f>
        <v>#REF!</v>
      </c>
      <c r="P255" s="9" t="e">
        <f t="shared" si="40"/>
        <v>#REF!</v>
      </c>
      <c r="Q255" s="143" t="e">
        <f>MAX(#REF!,#REF!)</f>
        <v>#REF!</v>
      </c>
      <c r="R255" s="9">
        <f t="shared" si="37"/>
        <v>0</v>
      </c>
      <c r="S255" s="8" t="str">
        <f t="shared" si="41"/>
        <v>Belum Sensus</v>
      </c>
      <c r="T255" s="148"/>
      <c r="U255" s="143" t="e">
        <f>MAX(#REF!,#REF!)</f>
        <v>#REF!</v>
      </c>
      <c r="V255" s="143" t="e">
        <f>MAX(#REF!,#REF!)</f>
        <v>#REF!</v>
      </c>
      <c r="W255" s="9">
        <f t="shared" si="42"/>
        <v>0</v>
      </c>
      <c r="X255" s="8" t="str">
        <f t="shared" si="43"/>
        <v>Belum Sensus</v>
      </c>
      <c r="Y255" s="178"/>
      <c r="Z255" s="143">
        <v>0</v>
      </c>
      <c r="AA255" s="9">
        <f t="shared" si="44"/>
        <v>0</v>
      </c>
      <c r="AB255" s="143">
        <v>0</v>
      </c>
      <c r="AC255" s="9">
        <f t="shared" si="38"/>
        <v>0</v>
      </c>
      <c r="AD255" s="8" t="str">
        <f t="shared" si="45"/>
        <v>Belum Sensus</v>
      </c>
      <c r="AE255" s="178">
        <v>46153</v>
      </c>
      <c r="AF255" s="143">
        <v>412</v>
      </c>
      <c r="AG255" s="143">
        <v>110</v>
      </c>
      <c r="AH255" s="9">
        <f t="shared" si="46"/>
        <v>26.699029126213592</v>
      </c>
      <c r="AI255" s="8" t="str">
        <f t="shared" si="47"/>
        <v>Perlu Pengendalian</v>
      </c>
    </row>
    <row r="256" spans="1:35" x14ac:dyDescent="0.2">
      <c r="A256" s="8" t="s">
        <v>1739</v>
      </c>
      <c r="B256" s="8" t="s">
        <v>14</v>
      </c>
      <c r="C256" s="8" t="s">
        <v>290</v>
      </c>
      <c r="D256" s="8" t="s">
        <v>1121</v>
      </c>
      <c r="E256" s="9">
        <v>20.91</v>
      </c>
      <c r="F256" s="8" t="s">
        <v>1740</v>
      </c>
      <c r="G256" s="10">
        <v>2725</v>
      </c>
      <c r="H256" s="132">
        <v>46149</v>
      </c>
      <c r="I256" s="8">
        <f t="array" ref="I256">INDEX([26]KOMPARASI!$H$20:$H$199,MATCH(1,([26]KOMPARASI!$C$20:$C$199=$D256)*([26]KOMPARASI!$C$20:$C$199=$D256),0))</f>
        <v>273</v>
      </c>
      <c r="J256" s="9">
        <f t="array" ref="J256">IFERROR(I256/G256*100,0)</f>
        <v>10.01834862385321</v>
      </c>
      <c r="K256" s="8">
        <f t="array" ref="K256">INDEX([26]KOMPARASI!$J$20:$J$199,MATCH(1,([26]KOMPARASI!$C$20:$C$199=$D256)*([26]KOMPARASI!$C$20:$C$199=$D256),0))</f>
        <v>53</v>
      </c>
      <c r="L256" s="9">
        <f t="shared" si="36"/>
        <v>19.413919413919416</v>
      </c>
      <c r="M256" s="8" t="str">
        <f t="shared" si="39"/>
        <v>Perlu Pengendalian</v>
      </c>
      <c r="N256" s="148"/>
      <c r="O256" s="143" t="e">
        <f>MAX(#REF!,#REF!)</f>
        <v>#REF!</v>
      </c>
      <c r="P256" s="9" t="e">
        <f t="shared" si="40"/>
        <v>#REF!</v>
      </c>
      <c r="Q256" s="143" t="e">
        <f>MAX(#REF!,#REF!)</f>
        <v>#REF!</v>
      </c>
      <c r="R256" s="9">
        <f t="shared" si="37"/>
        <v>0</v>
      </c>
      <c r="S256" s="8" t="str">
        <f t="shared" si="41"/>
        <v>Belum Sensus</v>
      </c>
      <c r="T256" s="148"/>
      <c r="U256" s="143" t="e">
        <f>MAX(#REF!,#REF!)</f>
        <v>#REF!</v>
      </c>
      <c r="V256" s="143" t="e">
        <f>MAX(#REF!,#REF!)</f>
        <v>#REF!</v>
      </c>
      <c r="W256" s="9">
        <f t="shared" si="42"/>
        <v>0</v>
      </c>
      <c r="X256" s="8" t="str">
        <f t="shared" si="43"/>
        <v>Belum Sensus</v>
      </c>
      <c r="Y256" s="178">
        <v>46153</v>
      </c>
      <c r="Z256" s="143">
        <v>25</v>
      </c>
      <c r="AA256" s="9">
        <f t="shared" si="44"/>
        <v>0.91743119266055051</v>
      </c>
      <c r="AB256" s="143">
        <v>7</v>
      </c>
      <c r="AC256" s="9">
        <f t="shared" si="38"/>
        <v>28.000000000000004</v>
      </c>
      <c r="AD256" s="8" t="str">
        <f t="shared" si="45"/>
        <v>Perlu Pengendalian</v>
      </c>
      <c r="AE256" s="178">
        <v>46153</v>
      </c>
      <c r="AF256" s="143">
        <v>920</v>
      </c>
      <c r="AG256" s="143">
        <v>104</v>
      </c>
      <c r="AH256" s="9">
        <f t="shared" si="46"/>
        <v>11.304347826086957</v>
      </c>
      <c r="AI256" s="8" t="str">
        <f t="shared" si="47"/>
        <v>Perlu Pengendalian</v>
      </c>
    </row>
    <row r="257" spans="1:35" x14ac:dyDescent="0.2">
      <c r="A257" s="8" t="s">
        <v>1739</v>
      </c>
      <c r="B257" s="8" t="s">
        <v>14</v>
      </c>
      <c r="C257" s="8" t="s">
        <v>290</v>
      </c>
      <c r="D257" s="8" t="s">
        <v>1122</v>
      </c>
      <c r="E257" s="9">
        <v>23.51</v>
      </c>
      <c r="F257" s="8" t="s">
        <v>1740</v>
      </c>
      <c r="G257" s="10">
        <v>3181</v>
      </c>
      <c r="H257" s="132">
        <v>46149</v>
      </c>
      <c r="I257" s="8">
        <f t="array" ref="I257">INDEX([26]KOMPARASI!$H$20:$H$199,MATCH(1,([26]KOMPARASI!$C$20:$C$199=$D257)*([26]KOMPARASI!$C$20:$C$199=$D257),0))</f>
        <v>335</v>
      </c>
      <c r="J257" s="9">
        <f t="array" ref="J257">IFERROR(I257/G257*100,0)</f>
        <v>10.531279471864194</v>
      </c>
      <c r="K257" s="8">
        <f t="array" ref="K257">INDEX([26]KOMPARASI!$J$20:$J$199,MATCH(1,([26]KOMPARASI!$C$20:$C$199=$D257)*([26]KOMPARASI!$C$20:$C$199=$D257),0))</f>
        <v>34</v>
      </c>
      <c r="L257" s="9">
        <f t="shared" si="36"/>
        <v>10.149253731343283</v>
      </c>
      <c r="M257" s="8" t="str">
        <f t="shared" si="39"/>
        <v>Perlu Pengendalian</v>
      </c>
      <c r="N257" s="148"/>
      <c r="O257" s="143" t="e">
        <f>MAX(#REF!,#REF!)</f>
        <v>#REF!</v>
      </c>
      <c r="P257" s="9" t="e">
        <f t="shared" si="40"/>
        <v>#REF!</v>
      </c>
      <c r="Q257" s="143" t="e">
        <f>MAX(#REF!,#REF!)</f>
        <v>#REF!</v>
      </c>
      <c r="R257" s="9">
        <f t="shared" si="37"/>
        <v>0</v>
      </c>
      <c r="S257" s="8" t="str">
        <f t="shared" si="41"/>
        <v>Belum Sensus</v>
      </c>
      <c r="T257" s="148"/>
      <c r="U257" s="143" t="e">
        <f>MAX(#REF!,#REF!)</f>
        <v>#REF!</v>
      </c>
      <c r="V257" s="143" t="e">
        <f>MAX(#REF!,#REF!)</f>
        <v>#REF!</v>
      </c>
      <c r="W257" s="9">
        <f t="shared" si="42"/>
        <v>0</v>
      </c>
      <c r="X257" s="8" t="str">
        <f t="shared" si="43"/>
        <v>Belum Sensus</v>
      </c>
      <c r="Y257" s="178">
        <v>46153</v>
      </c>
      <c r="Z257" s="143">
        <v>25</v>
      </c>
      <c r="AA257" s="9">
        <f t="shared" si="44"/>
        <v>0.78591637849732798</v>
      </c>
      <c r="AB257" s="143">
        <v>8</v>
      </c>
      <c r="AC257" s="9">
        <f t="shared" si="38"/>
        <v>32</v>
      </c>
      <c r="AD257" s="8" t="str">
        <f t="shared" si="45"/>
        <v>Perlu Pengendalian</v>
      </c>
      <c r="AE257" s="178">
        <v>46153</v>
      </c>
      <c r="AF257" s="143">
        <v>988</v>
      </c>
      <c r="AG257" s="143">
        <v>144</v>
      </c>
      <c r="AH257" s="9">
        <f t="shared" si="46"/>
        <v>14.5748987854251</v>
      </c>
      <c r="AI257" s="8" t="str">
        <f t="shared" si="47"/>
        <v>Perlu Pengendalian</v>
      </c>
    </row>
    <row r="258" spans="1:35" x14ac:dyDescent="0.2">
      <c r="A258" s="8" t="s">
        <v>1739</v>
      </c>
      <c r="B258" s="8" t="s">
        <v>14</v>
      </c>
      <c r="C258" s="8" t="s">
        <v>290</v>
      </c>
      <c r="D258" s="8" t="s">
        <v>1123</v>
      </c>
      <c r="E258" s="9">
        <v>21.32</v>
      </c>
      <c r="F258" s="8" t="s">
        <v>1740</v>
      </c>
      <c r="G258" s="10">
        <v>2792</v>
      </c>
      <c r="H258" s="132">
        <v>46149</v>
      </c>
      <c r="I258" s="8">
        <f t="array" ref="I258">INDEX([26]KOMPARASI!$H$20:$H$199,MATCH(1,([26]KOMPARASI!$C$20:$C$199=$D258)*([26]KOMPARASI!$C$20:$C$199=$D258),0))</f>
        <v>275</v>
      </c>
      <c r="J258" s="9">
        <f t="array" ref="J258">IFERROR(I258/G258*100,0)</f>
        <v>9.8495702005730656</v>
      </c>
      <c r="K258" s="8">
        <f t="array" ref="K258">INDEX([26]KOMPARASI!$J$20:$J$199,MATCH(1,([26]KOMPARASI!$C$20:$C$199=$D258)*([26]KOMPARASI!$C$20:$C$199=$D258),0))</f>
        <v>34</v>
      </c>
      <c r="L258" s="9">
        <f t="shared" si="36"/>
        <v>12.363636363636363</v>
      </c>
      <c r="M258" s="8" t="str">
        <f t="shared" si="39"/>
        <v>Perlu Pengendalian</v>
      </c>
      <c r="N258" s="148"/>
      <c r="O258" s="143" t="e">
        <f>MAX(#REF!,#REF!)</f>
        <v>#REF!</v>
      </c>
      <c r="P258" s="9" t="e">
        <f t="shared" si="40"/>
        <v>#REF!</v>
      </c>
      <c r="Q258" s="143" t="e">
        <f>MAX(#REF!,#REF!)</f>
        <v>#REF!</v>
      </c>
      <c r="R258" s="9">
        <f t="shared" si="37"/>
        <v>0</v>
      </c>
      <c r="S258" s="8" t="str">
        <f t="shared" si="41"/>
        <v>Belum Sensus</v>
      </c>
      <c r="T258" s="148"/>
      <c r="U258" s="143" t="e">
        <f>MAX(#REF!,#REF!)</f>
        <v>#REF!</v>
      </c>
      <c r="V258" s="143" t="e">
        <f>MAX(#REF!,#REF!)</f>
        <v>#REF!</v>
      </c>
      <c r="W258" s="9">
        <f t="shared" si="42"/>
        <v>0</v>
      </c>
      <c r="X258" s="8" t="str">
        <f t="shared" si="43"/>
        <v>Belum Sensus</v>
      </c>
      <c r="Y258" s="178">
        <v>46153</v>
      </c>
      <c r="Z258" s="143">
        <v>22</v>
      </c>
      <c r="AA258" s="9">
        <f t="shared" si="44"/>
        <v>0.78796561604584525</v>
      </c>
      <c r="AB258" s="143">
        <v>1</v>
      </c>
      <c r="AC258" s="9">
        <f t="shared" si="38"/>
        <v>4.5454545454545459</v>
      </c>
      <c r="AD258" s="8" t="str">
        <f t="shared" si="45"/>
        <v>Perlu Pengendalian</v>
      </c>
      <c r="AE258" s="178">
        <v>46153</v>
      </c>
      <c r="AF258" s="143">
        <v>707</v>
      </c>
      <c r="AG258" s="143">
        <v>98</v>
      </c>
      <c r="AH258" s="9">
        <f t="shared" si="46"/>
        <v>13.861386138613863</v>
      </c>
      <c r="AI258" s="8" t="str">
        <f t="shared" si="47"/>
        <v>Perlu Pengendalian</v>
      </c>
    </row>
    <row r="259" spans="1:35" x14ac:dyDescent="0.2">
      <c r="A259" s="8" t="s">
        <v>1739</v>
      </c>
      <c r="B259" s="8" t="s">
        <v>14</v>
      </c>
      <c r="C259" s="8" t="s">
        <v>290</v>
      </c>
      <c r="D259" s="8" t="s">
        <v>1124</v>
      </c>
      <c r="E259" s="9">
        <v>25.89</v>
      </c>
      <c r="F259" s="8" t="s">
        <v>1740</v>
      </c>
      <c r="G259" s="10">
        <v>3404</v>
      </c>
      <c r="H259" s="132">
        <v>46153</v>
      </c>
      <c r="I259" s="8">
        <f t="array" ref="I259">INDEX([26]KOMPARASI!$H$20:$H$199,MATCH(1,([26]KOMPARASI!$C$20:$C$199=$D259)*([26]KOMPARASI!$C$20:$C$199=$D259),0))</f>
        <v>275</v>
      </c>
      <c r="J259" s="9">
        <f t="array" ref="J259">IFERROR(I259/G259*100,0)</f>
        <v>8.0787309048178617</v>
      </c>
      <c r="K259" s="8">
        <f t="array" ref="K259">INDEX([26]KOMPARASI!$J$20:$J$199,MATCH(1,([26]KOMPARASI!$C$20:$C$199=$D259)*([26]KOMPARASI!$C$20:$C$199=$D259),0))</f>
        <v>34</v>
      </c>
      <c r="L259" s="9">
        <f t="shared" si="36"/>
        <v>12.363636363636363</v>
      </c>
      <c r="M259" s="8" t="str">
        <f t="shared" si="39"/>
        <v>Perlu Pengendalian</v>
      </c>
      <c r="N259" s="148"/>
      <c r="O259" s="143" t="e">
        <f>MAX(#REF!,#REF!)</f>
        <v>#REF!</v>
      </c>
      <c r="P259" s="9" t="e">
        <f t="shared" si="40"/>
        <v>#REF!</v>
      </c>
      <c r="Q259" s="143" t="e">
        <f>MAX(#REF!,#REF!)</f>
        <v>#REF!</v>
      </c>
      <c r="R259" s="9">
        <f t="shared" si="37"/>
        <v>0</v>
      </c>
      <c r="S259" s="8" t="str">
        <f t="shared" si="41"/>
        <v>Belum Sensus</v>
      </c>
      <c r="T259" s="148"/>
      <c r="U259" s="143" t="e">
        <f>MAX(#REF!,#REF!)</f>
        <v>#REF!</v>
      </c>
      <c r="V259" s="143" t="e">
        <f>MAX(#REF!,#REF!)</f>
        <v>#REF!</v>
      </c>
      <c r="W259" s="9">
        <f t="shared" si="42"/>
        <v>0</v>
      </c>
      <c r="X259" s="8" t="str">
        <f t="shared" si="43"/>
        <v>Belum Sensus</v>
      </c>
      <c r="Y259" s="178">
        <v>46153</v>
      </c>
      <c r="Z259" s="143">
        <v>28</v>
      </c>
      <c r="AA259" s="9">
        <f t="shared" si="44"/>
        <v>0.82256169212690955</v>
      </c>
      <c r="AB259" s="143">
        <v>1</v>
      </c>
      <c r="AC259" s="9">
        <f t="shared" si="38"/>
        <v>3.5714285714285712</v>
      </c>
      <c r="AD259" s="8" t="str">
        <f t="shared" si="45"/>
        <v>Perlu Pengendalian</v>
      </c>
      <c r="AE259" s="178">
        <v>46153</v>
      </c>
      <c r="AF259" s="143">
        <v>406</v>
      </c>
      <c r="AG259" s="143">
        <v>47</v>
      </c>
      <c r="AH259" s="9">
        <f t="shared" si="46"/>
        <v>11.576354679802956</v>
      </c>
      <c r="AI259" s="8" t="str">
        <f t="shared" si="47"/>
        <v>Perlu Pengendalian</v>
      </c>
    </row>
    <row r="260" spans="1:35" x14ac:dyDescent="0.2">
      <c r="A260" s="8" t="s">
        <v>1739</v>
      </c>
      <c r="B260" s="8" t="s">
        <v>14</v>
      </c>
      <c r="C260" s="8" t="s">
        <v>290</v>
      </c>
      <c r="D260" s="8" t="s">
        <v>1125</v>
      </c>
      <c r="E260" s="9">
        <v>23.31</v>
      </c>
      <c r="F260" s="8" t="s">
        <v>1740</v>
      </c>
      <c r="G260" s="10">
        <v>2922</v>
      </c>
      <c r="H260" s="132">
        <v>46149</v>
      </c>
      <c r="I260" s="8">
        <f t="array" ref="I260">INDEX([26]KOMPARASI!$H$20:$H$199,MATCH(1,([26]KOMPARASI!$C$20:$C$199=$D260)*([26]KOMPARASI!$C$20:$C$199=$D260),0))</f>
        <v>289</v>
      </c>
      <c r="J260" s="9">
        <f t="array" ref="J260">IFERROR(I260/G260*100,0)</f>
        <v>9.8904859685147155</v>
      </c>
      <c r="K260" s="8">
        <f t="array" ref="K260">INDEX([26]KOMPARASI!$J$20:$J$199,MATCH(1,([26]KOMPARASI!$C$20:$C$199=$D260)*([26]KOMPARASI!$C$20:$C$199=$D260),0))</f>
        <v>18</v>
      </c>
      <c r="L260" s="9">
        <f t="shared" si="36"/>
        <v>6.2283737024221448</v>
      </c>
      <c r="M260" s="8" t="str">
        <f t="shared" si="39"/>
        <v>Perlu Pengendalian</v>
      </c>
      <c r="N260" s="148"/>
      <c r="O260" s="143" t="e">
        <f>MAX(#REF!,#REF!)</f>
        <v>#REF!</v>
      </c>
      <c r="P260" s="9" t="e">
        <f t="shared" si="40"/>
        <v>#REF!</v>
      </c>
      <c r="Q260" s="143" t="e">
        <f>MAX(#REF!,#REF!)</f>
        <v>#REF!</v>
      </c>
      <c r="R260" s="9">
        <f t="shared" si="37"/>
        <v>0</v>
      </c>
      <c r="S260" s="8" t="str">
        <f t="shared" si="41"/>
        <v>Belum Sensus</v>
      </c>
      <c r="T260" s="148"/>
      <c r="U260" s="143" t="e">
        <f>MAX(#REF!,#REF!)</f>
        <v>#REF!</v>
      </c>
      <c r="V260" s="143" t="e">
        <f>MAX(#REF!,#REF!)</f>
        <v>#REF!</v>
      </c>
      <c r="W260" s="9">
        <f t="shared" si="42"/>
        <v>0</v>
      </c>
      <c r="X260" s="8" t="str">
        <f t="shared" si="43"/>
        <v>Belum Sensus</v>
      </c>
      <c r="Y260" s="178">
        <v>46153</v>
      </c>
      <c r="Z260" s="143">
        <v>24</v>
      </c>
      <c r="AA260" s="9">
        <f t="shared" si="44"/>
        <v>0.82135523613963046</v>
      </c>
      <c r="AB260" s="143">
        <v>2</v>
      </c>
      <c r="AC260" s="9">
        <f t="shared" si="38"/>
        <v>8.3333333333333321</v>
      </c>
      <c r="AD260" s="8" t="str">
        <f t="shared" si="45"/>
        <v>Perlu Pengendalian</v>
      </c>
      <c r="AE260" s="178">
        <v>46153</v>
      </c>
      <c r="AF260" s="143">
        <v>549</v>
      </c>
      <c r="AG260" s="143">
        <v>52</v>
      </c>
      <c r="AH260" s="9">
        <f t="shared" si="46"/>
        <v>9.4717668488160296</v>
      </c>
      <c r="AI260" s="8" t="str">
        <f t="shared" si="47"/>
        <v>Perlu Pengendalian</v>
      </c>
    </row>
    <row r="261" spans="1:35" x14ac:dyDescent="0.2">
      <c r="A261" s="8" t="s">
        <v>1739</v>
      </c>
      <c r="B261" s="8" t="s">
        <v>14</v>
      </c>
      <c r="C261" s="8" t="s">
        <v>290</v>
      </c>
      <c r="D261" s="8" t="s">
        <v>1126</v>
      </c>
      <c r="E261" s="9">
        <v>26.88</v>
      </c>
      <c r="F261" s="8" t="s">
        <v>1740</v>
      </c>
      <c r="G261" s="10">
        <v>3519</v>
      </c>
      <c r="H261" s="132">
        <v>46153</v>
      </c>
      <c r="I261" s="8">
        <f t="array" ref="I261">INDEX([26]KOMPARASI!$H$20:$H$199,MATCH(1,([26]KOMPARASI!$C$20:$C$199=$D261)*([26]KOMPARASI!$C$20:$C$199=$D261),0))</f>
        <v>340</v>
      </c>
      <c r="J261" s="9">
        <f t="array" ref="J261">IFERROR(I261/G261*100,0)</f>
        <v>9.6618357487922708</v>
      </c>
      <c r="K261" s="8">
        <f t="array" ref="K261">INDEX([26]KOMPARASI!$J$20:$J$199,MATCH(1,([26]KOMPARASI!$C$20:$C$199=$D261)*([26]KOMPARASI!$C$20:$C$199=$D261),0))</f>
        <v>33</v>
      </c>
      <c r="L261" s="9">
        <f t="shared" ref="L261:L324" si="48">IFERROR(K261/I261*100,0)</f>
        <v>9.7058823529411775</v>
      </c>
      <c r="M261" s="8" t="str">
        <f t="shared" si="39"/>
        <v>Perlu Pengendalian</v>
      </c>
      <c r="N261" s="148"/>
      <c r="O261" s="143" t="e">
        <f>MAX(#REF!,#REF!)</f>
        <v>#REF!</v>
      </c>
      <c r="P261" s="9" t="e">
        <f t="shared" si="40"/>
        <v>#REF!</v>
      </c>
      <c r="Q261" s="143" t="e">
        <f>MAX(#REF!,#REF!)</f>
        <v>#REF!</v>
      </c>
      <c r="R261" s="9">
        <f t="shared" ref="R261:R324" si="49">IFERROR(Q261/O261*100,0)</f>
        <v>0</v>
      </c>
      <c r="S261" s="8" t="str">
        <f t="shared" si="41"/>
        <v>Belum Sensus</v>
      </c>
      <c r="T261" s="148"/>
      <c r="U261" s="143" t="e">
        <f>MAX(#REF!,#REF!)</f>
        <v>#REF!</v>
      </c>
      <c r="V261" s="143" t="e">
        <f>MAX(#REF!,#REF!)</f>
        <v>#REF!</v>
      </c>
      <c r="W261" s="9">
        <f t="shared" si="42"/>
        <v>0</v>
      </c>
      <c r="X261" s="8" t="str">
        <f t="shared" si="43"/>
        <v>Belum Sensus</v>
      </c>
      <c r="Y261" s="178">
        <v>46153</v>
      </c>
      <c r="Z261" s="143">
        <v>24</v>
      </c>
      <c r="AA261" s="9">
        <f t="shared" si="44"/>
        <v>0.68201193520886616</v>
      </c>
      <c r="AB261" s="143">
        <v>0</v>
      </c>
      <c r="AC261" s="9">
        <f t="shared" ref="AC261:AC324" si="50">IFERROR(AB261/Z261*100,0)</f>
        <v>0</v>
      </c>
      <c r="AD261" s="8" t="str">
        <f t="shared" si="45"/>
        <v>Belum Sensus</v>
      </c>
      <c r="AE261" s="178">
        <v>46153</v>
      </c>
      <c r="AF261" s="143">
        <v>2042</v>
      </c>
      <c r="AG261" s="143">
        <v>268</v>
      </c>
      <c r="AH261" s="9">
        <f t="shared" si="46"/>
        <v>13.124387855044075</v>
      </c>
      <c r="AI261" s="8" t="str">
        <f t="shared" si="47"/>
        <v>Perlu Pengendalian</v>
      </c>
    </row>
    <row r="262" spans="1:35" x14ac:dyDescent="0.2">
      <c r="A262" s="8" t="s">
        <v>1739</v>
      </c>
      <c r="B262" s="8" t="s">
        <v>14</v>
      </c>
      <c r="C262" s="8" t="s">
        <v>290</v>
      </c>
      <c r="D262" s="8" t="s">
        <v>1127</v>
      </c>
      <c r="E262" s="9">
        <v>26.44</v>
      </c>
      <c r="F262" s="8" t="s">
        <v>1740</v>
      </c>
      <c r="G262" s="10">
        <v>3599</v>
      </c>
      <c r="H262" s="132">
        <v>46153</v>
      </c>
      <c r="I262" s="8">
        <f t="array" ref="I262">INDEX([26]KOMPARASI!$H$20:$H$199,MATCH(1,([26]KOMPARASI!$C$20:$C$199=$D262)*([26]KOMPARASI!$C$20:$C$199=$D262),0))</f>
        <v>363</v>
      </c>
      <c r="J262" s="9">
        <f t="array" ref="J262">IFERROR(I262/G262*100,0)</f>
        <v>10.08613503751042</v>
      </c>
      <c r="K262" s="8">
        <f t="array" ref="K262">INDEX([26]KOMPARASI!$J$20:$J$199,MATCH(1,([26]KOMPARASI!$C$20:$C$199=$D262)*([26]KOMPARASI!$C$20:$C$199=$D262),0))</f>
        <v>10</v>
      </c>
      <c r="L262" s="9">
        <f t="shared" si="48"/>
        <v>2.7548209366391188</v>
      </c>
      <c r="M262" s="8" t="str">
        <f t="shared" ref="M262:M325" si="51">IF(L262&gt;2,"Perlu Pengendalian",IF(L262&gt;0,"Tidak Perlu Pengendalian","Belum Sensus"))</f>
        <v>Perlu Pengendalian</v>
      </c>
      <c r="N262" s="148"/>
      <c r="O262" s="143" t="e">
        <f>MAX(#REF!,#REF!)</f>
        <v>#REF!</v>
      </c>
      <c r="P262" s="9" t="e">
        <f t="shared" ref="P262:P325" si="52">O262/G262*100</f>
        <v>#REF!</v>
      </c>
      <c r="Q262" s="143" t="e">
        <f>MAX(#REF!,#REF!)</f>
        <v>#REF!</v>
      </c>
      <c r="R262" s="9">
        <f t="shared" si="49"/>
        <v>0</v>
      </c>
      <c r="S262" s="8" t="str">
        <f t="shared" ref="S262:S325" si="53">IF(R262&gt;2,"Perlu Pengendalian",IF(R262&gt;0,"Tidak Perlu Pengendalian","Belum Sensus"))</f>
        <v>Belum Sensus</v>
      </c>
      <c r="T262" s="148"/>
      <c r="U262" s="143" t="e">
        <f>MAX(#REF!,#REF!)</f>
        <v>#REF!</v>
      </c>
      <c r="V262" s="143" t="e">
        <f>MAX(#REF!,#REF!)</f>
        <v>#REF!</v>
      </c>
      <c r="W262" s="9">
        <f t="shared" ref="W262:W325" si="54">IFERROR(V262/U262*100,0)</f>
        <v>0</v>
      </c>
      <c r="X262" s="8" t="str">
        <f t="shared" ref="X262:X325" si="55">IF(W262&gt;2,"Perlu Pengendalian",IF(W262&gt;0,"Tidak Perlu Pengendalian","Belum Sensus"))</f>
        <v>Belum Sensus</v>
      </c>
      <c r="Y262" s="178">
        <v>46153</v>
      </c>
      <c r="Z262" s="143">
        <v>28</v>
      </c>
      <c r="AA262" s="9">
        <f t="shared" ref="AA262:AA325" si="56">Z262/G262*100</f>
        <v>0.77799388719088636</v>
      </c>
      <c r="AB262" s="143">
        <v>0</v>
      </c>
      <c r="AC262" s="9">
        <f t="shared" si="50"/>
        <v>0</v>
      </c>
      <c r="AD262" s="8" t="str">
        <f t="shared" ref="AD262:AD325" si="57">IF(AC262&gt;2,"Perlu Pengendalian",IF(AC262&gt;0,"Tidak Perlu Pengendalian","Belum Sensus"))</f>
        <v>Belum Sensus</v>
      </c>
      <c r="AE262" s="178">
        <v>46153</v>
      </c>
      <c r="AF262" s="143">
        <v>198</v>
      </c>
      <c r="AG262" s="143">
        <v>32</v>
      </c>
      <c r="AH262" s="9">
        <f t="shared" ref="AH262:AH325" si="58">IFERROR(AG262/AF262*100,0)</f>
        <v>16.161616161616163</v>
      </c>
      <c r="AI262" s="8" t="str">
        <f t="shared" ref="AI262:AI325" si="59">IF(AH262&gt;2,"Perlu Pengendalian",IF(AH262&gt;0,"Tidak Perlu Pengendalian","Belum Sensus"))</f>
        <v>Perlu Pengendalian</v>
      </c>
    </row>
    <row r="263" spans="1:35" x14ac:dyDescent="0.2">
      <c r="A263" s="8" t="s">
        <v>1739</v>
      </c>
      <c r="B263" s="8" t="s">
        <v>14</v>
      </c>
      <c r="C263" s="8" t="s">
        <v>290</v>
      </c>
      <c r="D263" s="8" t="s">
        <v>1128</v>
      </c>
      <c r="E263" s="9">
        <v>24.47</v>
      </c>
      <c r="F263" s="8" t="s">
        <v>1740</v>
      </c>
      <c r="G263" s="10">
        <v>3374</v>
      </c>
      <c r="H263" s="132">
        <v>46153</v>
      </c>
      <c r="I263" s="8">
        <f t="array" ref="I263">INDEX([26]KOMPARASI!$H$20:$H$199,MATCH(1,([26]KOMPARASI!$C$20:$C$199=$D263)*([26]KOMPARASI!$C$20:$C$199=$D263),0))</f>
        <v>326</v>
      </c>
      <c r="J263" s="9">
        <f t="array" ref="J263">IFERROR(I263/G263*100,0)</f>
        <v>9.6621221102548915</v>
      </c>
      <c r="K263" s="8">
        <f t="array" ref="K263">INDEX([26]KOMPARASI!$J$20:$J$199,MATCH(1,([26]KOMPARASI!$C$20:$C$199=$D263)*([26]KOMPARASI!$C$20:$C$199=$D263),0))</f>
        <v>41</v>
      </c>
      <c r="L263" s="9">
        <f t="shared" si="48"/>
        <v>12.576687116564417</v>
      </c>
      <c r="M263" s="8" t="str">
        <f t="shared" si="51"/>
        <v>Perlu Pengendalian</v>
      </c>
      <c r="N263" s="148"/>
      <c r="O263" s="143" t="e">
        <f>MAX(#REF!,#REF!)</f>
        <v>#REF!</v>
      </c>
      <c r="P263" s="9" t="e">
        <f t="shared" si="52"/>
        <v>#REF!</v>
      </c>
      <c r="Q263" s="143" t="e">
        <f>MAX(#REF!,#REF!)</f>
        <v>#REF!</v>
      </c>
      <c r="R263" s="9">
        <f t="shared" si="49"/>
        <v>0</v>
      </c>
      <c r="S263" s="8" t="str">
        <f t="shared" si="53"/>
        <v>Belum Sensus</v>
      </c>
      <c r="T263" s="148"/>
      <c r="U263" s="143" t="e">
        <f>MAX(#REF!,#REF!)</f>
        <v>#REF!</v>
      </c>
      <c r="V263" s="143" t="e">
        <f>MAX(#REF!,#REF!)</f>
        <v>#REF!</v>
      </c>
      <c r="W263" s="9">
        <f t="shared" si="54"/>
        <v>0</v>
      </c>
      <c r="X263" s="8" t="str">
        <f t="shared" si="55"/>
        <v>Belum Sensus</v>
      </c>
      <c r="Y263" s="178">
        <v>46153</v>
      </c>
      <c r="Z263" s="143">
        <v>561</v>
      </c>
      <c r="AA263" s="9">
        <f t="shared" si="56"/>
        <v>16.627148784825131</v>
      </c>
      <c r="AB263" s="143">
        <v>80</v>
      </c>
      <c r="AC263" s="9">
        <f t="shared" si="50"/>
        <v>14.260249554367203</v>
      </c>
      <c r="AD263" s="8" t="str">
        <f t="shared" si="57"/>
        <v>Perlu Pengendalian</v>
      </c>
      <c r="AE263" s="178">
        <v>46153</v>
      </c>
      <c r="AF263" s="143">
        <v>189</v>
      </c>
      <c r="AG263" s="143">
        <v>21</v>
      </c>
      <c r="AH263" s="9">
        <f t="shared" si="58"/>
        <v>11.111111111111111</v>
      </c>
      <c r="AI263" s="8" t="str">
        <f t="shared" si="59"/>
        <v>Perlu Pengendalian</v>
      </c>
    </row>
    <row r="264" spans="1:35" x14ac:dyDescent="0.2">
      <c r="A264" s="8" t="s">
        <v>1739</v>
      </c>
      <c r="B264" s="8" t="s">
        <v>14</v>
      </c>
      <c r="C264" s="8" t="s">
        <v>290</v>
      </c>
      <c r="D264" s="8" t="s">
        <v>1129</v>
      </c>
      <c r="E264" s="9">
        <v>25.95</v>
      </c>
      <c r="F264" s="8" t="s">
        <v>1740</v>
      </c>
      <c r="G264" s="10">
        <v>3496</v>
      </c>
      <c r="H264" s="132">
        <v>46153</v>
      </c>
      <c r="I264" s="8">
        <f t="array" ref="I264">INDEX([26]KOMPARASI!$H$20:$H$199,MATCH(1,([26]KOMPARASI!$C$20:$C$199=$D264)*([26]KOMPARASI!$C$20:$C$199=$D264),0))</f>
        <v>352</v>
      </c>
      <c r="J264" s="9">
        <f t="array" ref="J264">IFERROR(I264/G264*100,0)</f>
        <v>10.068649885583524</v>
      </c>
      <c r="K264" s="8">
        <f t="array" ref="K264">INDEX([26]KOMPARASI!$J$20:$J$199,MATCH(1,([26]KOMPARASI!$C$20:$C$199=$D264)*([26]KOMPARASI!$C$20:$C$199=$D264),0))</f>
        <v>22</v>
      </c>
      <c r="L264" s="9">
        <f t="shared" si="48"/>
        <v>6.25</v>
      </c>
      <c r="M264" s="8" t="str">
        <f t="shared" si="51"/>
        <v>Perlu Pengendalian</v>
      </c>
      <c r="N264" s="148"/>
      <c r="O264" s="143" t="e">
        <f>MAX(#REF!,#REF!)</f>
        <v>#REF!</v>
      </c>
      <c r="P264" s="9" t="e">
        <f t="shared" si="52"/>
        <v>#REF!</v>
      </c>
      <c r="Q264" s="143" t="e">
        <f>MAX(#REF!,#REF!)</f>
        <v>#REF!</v>
      </c>
      <c r="R264" s="9">
        <f t="shared" si="49"/>
        <v>0</v>
      </c>
      <c r="S264" s="8" t="str">
        <f t="shared" si="53"/>
        <v>Belum Sensus</v>
      </c>
      <c r="T264" s="148"/>
      <c r="U264" s="143" t="e">
        <f>MAX(#REF!,#REF!)</f>
        <v>#REF!</v>
      </c>
      <c r="V264" s="143" t="e">
        <f>MAX(#REF!,#REF!)</f>
        <v>#REF!</v>
      </c>
      <c r="W264" s="9">
        <f t="shared" si="54"/>
        <v>0</v>
      </c>
      <c r="X264" s="8" t="str">
        <f t="shared" si="55"/>
        <v>Belum Sensus</v>
      </c>
      <c r="Y264" s="178">
        <v>46153</v>
      </c>
      <c r="Z264" s="143">
        <v>784</v>
      </c>
      <c r="AA264" s="9">
        <f t="shared" si="56"/>
        <v>22.425629290617849</v>
      </c>
      <c r="AB264" s="143">
        <v>60</v>
      </c>
      <c r="AC264" s="9">
        <f t="shared" si="50"/>
        <v>7.6530612244897958</v>
      </c>
      <c r="AD264" s="8" t="str">
        <f t="shared" si="57"/>
        <v>Perlu Pengendalian</v>
      </c>
      <c r="AE264" s="178">
        <v>46153</v>
      </c>
      <c r="AF264" s="143">
        <v>196</v>
      </c>
      <c r="AG264" s="143">
        <v>29</v>
      </c>
      <c r="AH264" s="9">
        <f t="shared" si="58"/>
        <v>14.795918367346939</v>
      </c>
      <c r="AI264" s="8" t="str">
        <f t="shared" si="59"/>
        <v>Perlu Pengendalian</v>
      </c>
    </row>
    <row r="265" spans="1:35" x14ac:dyDescent="0.2">
      <c r="A265" s="8" t="s">
        <v>1739</v>
      </c>
      <c r="B265" s="8" t="s">
        <v>14</v>
      </c>
      <c r="C265" s="8" t="s">
        <v>290</v>
      </c>
      <c r="D265" s="8" t="s">
        <v>1130</v>
      </c>
      <c r="E265" s="9">
        <v>25.53</v>
      </c>
      <c r="F265" s="8" t="s">
        <v>1740</v>
      </c>
      <c r="G265" s="10">
        <v>3274</v>
      </c>
      <c r="H265" s="132">
        <v>46149</v>
      </c>
      <c r="I265" s="8">
        <f t="array" ref="I265">INDEX([26]KOMPARASI!$H$20:$H$199,MATCH(1,([26]KOMPARASI!$C$20:$C$199=$D265)*([26]KOMPARASI!$C$20:$C$199=$D265),0))</f>
        <v>351</v>
      </c>
      <c r="J265" s="9">
        <f t="array" ref="J265">IFERROR(I265/G265*100,0)</f>
        <v>10.720830788026879</v>
      </c>
      <c r="K265" s="8">
        <f t="array" ref="K265">INDEX([26]KOMPARASI!$J$20:$J$199,MATCH(1,([26]KOMPARASI!$C$20:$C$199=$D265)*([26]KOMPARASI!$C$20:$C$199=$D265),0))</f>
        <v>23</v>
      </c>
      <c r="L265" s="9">
        <f t="shared" si="48"/>
        <v>6.5527065527065522</v>
      </c>
      <c r="M265" s="8" t="str">
        <f t="shared" si="51"/>
        <v>Perlu Pengendalian</v>
      </c>
      <c r="N265" s="148"/>
      <c r="O265" s="143" t="e">
        <f>MAX(#REF!,#REF!)</f>
        <v>#REF!</v>
      </c>
      <c r="P265" s="9" t="e">
        <f t="shared" si="52"/>
        <v>#REF!</v>
      </c>
      <c r="Q265" s="143" t="e">
        <f>MAX(#REF!,#REF!)</f>
        <v>#REF!</v>
      </c>
      <c r="R265" s="9">
        <f t="shared" si="49"/>
        <v>0</v>
      </c>
      <c r="S265" s="8" t="str">
        <f t="shared" si="53"/>
        <v>Belum Sensus</v>
      </c>
      <c r="T265" s="148"/>
      <c r="U265" s="143" t="e">
        <f>MAX(#REF!,#REF!)</f>
        <v>#REF!</v>
      </c>
      <c r="V265" s="143" t="e">
        <f>MAX(#REF!,#REF!)</f>
        <v>#REF!</v>
      </c>
      <c r="W265" s="9">
        <f t="shared" si="54"/>
        <v>0</v>
      </c>
      <c r="X265" s="8" t="str">
        <f t="shared" si="55"/>
        <v>Belum Sensus</v>
      </c>
      <c r="Y265" s="178">
        <v>46153</v>
      </c>
      <c r="Z265" s="143">
        <v>159</v>
      </c>
      <c r="AA265" s="9">
        <f t="shared" si="56"/>
        <v>4.8564447159437991</v>
      </c>
      <c r="AB265" s="143">
        <v>41</v>
      </c>
      <c r="AC265" s="9">
        <f t="shared" si="50"/>
        <v>25.786163522012579</v>
      </c>
      <c r="AD265" s="8" t="str">
        <f t="shared" si="57"/>
        <v>Perlu Pengendalian</v>
      </c>
      <c r="AE265" s="178">
        <v>46153</v>
      </c>
      <c r="AF265" s="143">
        <v>312</v>
      </c>
      <c r="AG265" s="143">
        <v>38</v>
      </c>
      <c r="AH265" s="9">
        <f t="shared" si="58"/>
        <v>12.179487179487179</v>
      </c>
      <c r="AI265" s="8" t="str">
        <f t="shared" si="59"/>
        <v>Perlu Pengendalian</v>
      </c>
    </row>
    <row r="266" spans="1:35" x14ac:dyDescent="0.2">
      <c r="A266" s="8" t="s">
        <v>1739</v>
      </c>
      <c r="B266" s="8" t="s">
        <v>14</v>
      </c>
      <c r="C266" s="8" t="s">
        <v>290</v>
      </c>
      <c r="D266" s="8" t="s">
        <v>1131</v>
      </c>
      <c r="E266" s="9">
        <v>25.24</v>
      </c>
      <c r="F266" s="8" t="s">
        <v>1740</v>
      </c>
      <c r="G266" s="10">
        <v>3307</v>
      </c>
      <c r="H266" s="132">
        <v>46153</v>
      </c>
      <c r="I266" s="8">
        <f t="array" ref="I266">INDEX([26]KOMPARASI!$H$20:$H$199,MATCH(1,([26]KOMPARASI!$C$20:$C$199=$D266)*([26]KOMPARASI!$C$20:$C$199=$D266),0))</f>
        <v>350</v>
      </c>
      <c r="J266" s="9">
        <f t="array" ref="J266">IFERROR(I266/G266*100,0)</f>
        <v>10.583610523132748</v>
      </c>
      <c r="K266" s="8">
        <f t="array" ref="K266">INDEX([26]KOMPARASI!$J$20:$J$199,MATCH(1,([26]KOMPARASI!$C$20:$C$199=$D266)*([26]KOMPARASI!$C$20:$C$199=$D266),0))</f>
        <v>11</v>
      </c>
      <c r="L266" s="9">
        <f t="shared" si="48"/>
        <v>3.1428571428571432</v>
      </c>
      <c r="M266" s="8" t="str">
        <f t="shared" si="51"/>
        <v>Perlu Pengendalian</v>
      </c>
      <c r="N266" s="148"/>
      <c r="O266" s="143" t="e">
        <f>MAX(#REF!,#REF!)</f>
        <v>#REF!</v>
      </c>
      <c r="P266" s="9" t="e">
        <f t="shared" si="52"/>
        <v>#REF!</v>
      </c>
      <c r="Q266" s="143" t="e">
        <f>MAX(#REF!,#REF!)</f>
        <v>#REF!</v>
      </c>
      <c r="R266" s="9">
        <f t="shared" si="49"/>
        <v>0</v>
      </c>
      <c r="S266" s="8" t="str">
        <f t="shared" si="53"/>
        <v>Belum Sensus</v>
      </c>
      <c r="T266" s="148"/>
      <c r="U266" s="143" t="e">
        <f>MAX(#REF!,#REF!)</f>
        <v>#REF!</v>
      </c>
      <c r="V266" s="143" t="e">
        <f>MAX(#REF!,#REF!)</f>
        <v>#REF!</v>
      </c>
      <c r="W266" s="9">
        <f t="shared" si="54"/>
        <v>0</v>
      </c>
      <c r="X266" s="8" t="str">
        <f t="shared" si="55"/>
        <v>Belum Sensus</v>
      </c>
      <c r="Y266" s="178">
        <v>46153</v>
      </c>
      <c r="Z266" s="143">
        <v>28</v>
      </c>
      <c r="AA266" s="9">
        <f t="shared" si="56"/>
        <v>0.84668884185061988</v>
      </c>
      <c r="AB266" s="143">
        <v>8</v>
      </c>
      <c r="AC266" s="9">
        <f t="shared" si="50"/>
        <v>28.571428571428569</v>
      </c>
      <c r="AD266" s="8" t="str">
        <f t="shared" si="57"/>
        <v>Perlu Pengendalian</v>
      </c>
      <c r="AE266" s="178">
        <v>46153</v>
      </c>
      <c r="AF266" s="143">
        <v>949</v>
      </c>
      <c r="AG266" s="143">
        <v>118</v>
      </c>
      <c r="AH266" s="9">
        <f t="shared" si="58"/>
        <v>12.434141201264488</v>
      </c>
      <c r="AI266" s="8" t="str">
        <f t="shared" si="59"/>
        <v>Perlu Pengendalian</v>
      </c>
    </row>
    <row r="267" spans="1:35" x14ac:dyDescent="0.2">
      <c r="A267" s="8" t="s">
        <v>1739</v>
      </c>
      <c r="B267" s="8" t="s">
        <v>14</v>
      </c>
      <c r="C267" s="8" t="s">
        <v>290</v>
      </c>
      <c r="D267" s="8" t="s">
        <v>1132</v>
      </c>
      <c r="E267" s="9">
        <v>27.13</v>
      </c>
      <c r="F267" s="8" t="s">
        <v>1740</v>
      </c>
      <c r="G267" s="10">
        <v>3611</v>
      </c>
      <c r="H267" s="132">
        <v>46153</v>
      </c>
      <c r="I267" s="8">
        <f t="array" ref="I267">INDEX([26]KOMPARASI!$H$20:$H$199,MATCH(1,([26]KOMPARASI!$C$20:$C$199=$D267)*([26]KOMPARASI!$C$20:$C$199=$D267),0))</f>
        <v>366</v>
      </c>
      <c r="J267" s="9">
        <f t="array" ref="J267">IFERROR(I267/G267*100,0)</f>
        <v>10.135696482968706</v>
      </c>
      <c r="K267" s="8">
        <f t="array" ref="K267">INDEX([26]KOMPARASI!$J$20:$J$199,MATCH(1,([26]KOMPARASI!$C$20:$C$199=$D267)*([26]KOMPARASI!$C$20:$C$199=$D267),0))</f>
        <v>13</v>
      </c>
      <c r="L267" s="9">
        <f t="shared" si="48"/>
        <v>3.5519125683060109</v>
      </c>
      <c r="M267" s="8" t="str">
        <f t="shared" si="51"/>
        <v>Perlu Pengendalian</v>
      </c>
      <c r="N267" s="148"/>
      <c r="O267" s="143" t="e">
        <f>MAX(#REF!,#REF!)</f>
        <v>#REF!</v>
      </c>
      <c r="P267" s="9" t="e">
        <f t="shared" si="52"/>
        <v>#REF!</v>
      </c>
      <c r="Q267" s="143" t="e">
        <f>MAX(#REF!,#REF!)</f>
        <v>#REF!</v>
      </c>
      <c r="R267" s="9">
        <f t="shared" si="49"/>
        <v>0</v>
      </c>
      <c r="S267" s="8" t="str">
        <f t="shared" si="53"/>
        <v>Belum Sensus</v>
      </c>
      <c r="T267" s="148"/>
      <c r="U267" s="143" t="e">
        <f>MAX(#REF!,#REF!)</f>
        <v>#REF!</v>
      </c>
      <c r="V267" s="143" t="e">
        <f>MAX(#REF!,#REF!)</f>
        <v>#REF!</v>
      </c>
      <c r="W267" s="9">
        <f t="shared" si="54"/>
        <v>0</v>
      </c>
      <c r="X267" s="8" t="str">
        <f t="shared" si="55"/>
        <v>Belum Sensus</v>
      </c>
      <c r="Y267" s="178">
        <v>46153</v>
      </c>
      <c r="Z267" s="143">
        <v>29</v>
      </c>
      <c r="AA267" s="9">
        <f t="shared" si="56"/>
        <v>0.80310163389642752</v>
      </c>
      <c r="AB267" s="143">
        <v>5</v>
      </c>
      <c r="AC267" s="9">
        <f t="shared" si="50"/>
        <v>17.241379310344829</v>
      </c>
      <c r="AD267" s="8" t="str">
        <f t="shared" si="57"/>
        <v>Perlu Pengendalian</v>
      </c>
      <c r="AE267" s="178">
        <v>46153</v>
      </c>
      <c r="AF267" s="143">
        <v>940</v>
      </c>
      <c r="AG267" s="143">
        <v>142</v>
      </c>
      <c r="AH267" s="9">
        <f t="shared" si="58"/>
        <v>15.106382978723405</v>
      </c>
      <c r="AI267" s="8" t="str">
        <f t="shared" si="59"/>
        <v>Perlu Pengendalian</v>
      </c>
    </row>
    <row r="268" spans="1:35" x14ac:dyDescent="0.2">
      <c r="A268" s="8" t="s">
        <v>1739</v>
      </c>
      <c r="B268" s="8" t="s">
        <v>14</v>
      </c>
      <c r="C268" s="8" t="s">
        <v>290</v>
      </c>
      <c r="D268" s="8" t="s">
        <v>1133</v>
      </c>
      <c r="E268" s="9">
        <v>24.3</v>
      </c>
      <c r="F268" s="8" t="s">
        <v>1740</v>
      </c>
      <c r="G268" s="10">
        <v>3358</v>
      </c>
      <c r="H268" s="132">
        <v>46153</v>
      </c>
      <c r="I268" s="8">
        <f t="array" ref="I268">INDEX([26]KOMPARASI!$H$20:$H$199,MATCH(1,([26]KOMPARASI!$C$20:$C$199=$D268)*([26]KOMPARASI!$C$20:$C$199=$D268),0))</f>
        <v>366</v>
      </c>
      <c r="J268" s="9">
        <f t="array" ref="J268">IFERROR(I268/G268*100,0)</f>
        <v>10.899344848123883</v>
      </c>
      <c r="K268" s="8">
        <f t="array" ref="K268">INDEX([26]KOMPARASI!$J$20:$J$199,MATCH(1,([26]KOMPARASI!$C$20:$C$199=$D268)*([26]KOMPARASI!$C$20:$C$199=$D268),0))</f>
        <v>6</v>
      </c>
      <c r="L268" s="9">
        <f t="shared" si="48"/>
        <v>1.639344262295082</v>
      </c>
      <c r="M268" s="8" t="str">
        <f t="shared" si="51"/>
        <v>Tidak Perlu Pengendalian</v>
      </c>
      <c r="N268" s="148"/>
      <c r="O268" s="143" t="e">
        <f>MAX(#REF!,#REF!)</f>
        <v>#REF!</v>
      </c>
      <c r="P268" s="9" t="e">
        <f t="shared" si="52"/>
        <v>#REF!</v>
      </c>
      <c r="Q268" s="143" t="e">
        <f>MAX(#REF!,#REF!)</f>
        <v>#REF!</v>
      </c>
      <c r="R268" s="9">
        <f t="shared" si="49"/>
        <v>0</v>
      </c>
      <c r="S268" s="8" t="str">
        <f t="shared" si="53"/>
        <v>Belum Sensus</v>
      </c>
      <c r="T268" s="148"/>
      <c r="U268" s="143" t="e">
        <f>MAX(#REF!,#REF!)</f>
        <v>#REF!</v>
      </c>
      <c r="V268" s="143" t="e">
        <f>MAX(#REF!,#REF!)</f>
        <v>#REF!</v>
      </c>
      <c r="W268" s="9">
        <f t="shared" si="54"/>
        <v>0</v>
      </c>
      <c r="X268" s="8" t="str">
        <f t="shared" si="55"/>
        <v>Belum Sensus</v>
      </c>
      <c r="Y268" s="178">
        <v>46153</v>
      </c>
      <c r="Z268" s="143">
        <v>339</v>
      </c>
      <c r="AA268" s="9">
        <f t="shared" si="56"/>
        <v>10.095294818344252</v>
      </c>
      <c r="AB268" s="143">
        <v>6</v>
      </c>
      <c r="AC268" s="9">
        <f t="shared" si="50"/>
        <v>1.7699115044247788</v>
      </c>
      <c r="AD268" s="8" t="str">
        <f t="shared" si="57"/>
        <v>Tidak Perlu Pengendalian</v>
      </c>
      <c r="AE268" s="178">
        <v>46153</v>
      </c>
      <c r="AF268" s="143">
        <v>301</v>
      </c>
      <c r="AG268" s="143">
        <v>39</v>
      </c>
      <c r="AH268" s="9">
        <f t="shared" si="58"/>
        <v>12.956810631229235</v>
      </c>
      <c r="AI268" s="8" t="str">
        <f t="shared" si="59"/>
        <v>Perlu Pengendalian</v>
      </c>
    </row>
    <row r="269" spans="1:35" x14ac:dyDescent="0.2">
      <c r="A269" s="8" t="s">
        <v>1739</v>
      </c>
      <c r="B269" s="8" t="s">
        <v>14</v>
      </c>
      <c r="C269" s="8" t="s">
        <v>290</v>
      </c>
      <c r="D269" s="8" t="s">
        <v>1134</v>
      </c>
      <c r="E269" s="9">
        <v>27.94</v>
      </c>
      <c r="F269" s="8" t="s">
        <v>1740</v>
      </c>
      <c r="G269" s="10">
        <v>3795</v>
      </c>
      <c r="H269" s="132">
        <v>46153</v>
      </c>
      <c r="I269" s="8">
        <f t="array" ref="I269">INDEX([26]KOMPARASI!$H$20:$H$199,MATCH(1,([26]KOMPARASI!$C$20:$C$199=$D269)*([26]KOMPARASI!$C$20:$C$199=$D269),0))</f>
        <v>369</v>
      </c>
      <c r="J269" s="9">
        <f t="array" ref="J269">IFERROR(I269/G269*100,0)</f>
        <v>9.7233201581027657</v>
      </c>
      <c r="K269" s="8">
        <f t="array" ref="K269">INDEX([26]KOMPARASI!$J$20:$J$199,MATCH(1,([26]KOMPARASI!$C$20:$C$199=$D269)*([26]KOMPARASI!$C$20:$C$199=$D269),0))</f>
        <v>27</v>
      </c>
      <c r="L269" s="9">
        <f t="shared" si="48"/>
        <v>7.3170731707317067</v>
      </c>
      <c r="M269" s="8" t="str">
        <f t="shared" si="51"/>
        <v>Perlu Pengendalian</v>
      </c>
      <c r="N269" s="148"/>
      <c r="O269" s="143" t="e">
        <f>MAX(#REF!,#REF!)</f>
        <v>#REF!</v>
      </c>
      <c r="P269" s="9" t="e">
        <f t="shared" si="52"/>
        <v>#REF!</v>
      </c>
      <c r="Q269" s="143" t="e">
        <f>MAX(#REF!,#REF!)</f>
        <v>#REF!</v>
      </c>
      <c r="R269" s="9">
        <f t="shared" si="49"/>
        <v>0</v>
      </c>
      <c r="S269" s="8" t="str">
        <f t="shared" si="53"/>
        <v>Belum Sensus</v>
      </c>
      <c r="T269" s="148"/>
      <c r="U269" s="143" t="e">
        <f>MAX(#REF!,#REF!)</f>
        <v>#REF!</v>
      </c>
      <c r="V269" s="143" t="e">
        <f>MAX(#REF!,#REF!)</f>
        <v>#REF!</v>
      </c>
      <c r="W269" s="9">
        <f t="shared" si="54"/>
        <v>0</v>
      </c>
      <c r="X269" s="8" t="str">
        <f t="shared" si="55"/>
        <v>Belum Sensus</v>
      </c>
      <c r="Y269" s="178"/>
      <c r="Z269" s="143">
        <v>0</v>
      </c>
      <c r="AA269" s="9">
        <f t="shared" si="56"/>
        <v>0</v>
      </c>
      <c r="AB269" s="143">
        <v>0</v>
      </c>
      <c r="AC269" s="9">
        <f t="shared" si="50"/>
        <v>0</v>
      </c>
      <c r="AD269" s="8" t="str">
        <f t="shared" si="57"/>
        <v>Belum Sensus</v>
      </c>
      <c r="AE269" s="178">
        <v>46153</v>
      </c>
      <c r="AF269" s="143">
        <v>380</v>
      </c>
      <c r="AG269" s="143">
        <v>42</v>
      </c>
      <c r="AH269" s="9">
        <f t="shared" si="58"/>
        <v>11.052631578947368</v>
      </c>
      <c r="AI269" s="8" t="str">
        <f t="shared" si="59"/>
        <v>Perlu Pengendalian</v>
      </c>
    </row>
    <row r="270" spans="1:35" x14ac:dyDescent="0.2">
      <c r="A270" s="8" t="s">
        <v>1739</v>
      </c>
      <c r="B270" s="8" t="s">
        <v>14</v>
      </c>
      <c r="C270" s="8" t="s">
        <v>290</v>
      </c>
      <c r="D270" s="8" t="s">
        <v>1135</v>
      </c>
      <c r="E270" s="9">
        <v>28.88</v>
      </c>
      <c r="F270" s="8" t="s">
        <v>1740</v>
      </c>
      <c r="G270" s="10">
        <v>3826</v>
      </c>
      <c r="H270" s="132">
        <v>46153</v>
      </c>
      <c r="I270" s="8">
        <f t="array" ref="I270">INDEX([26]KOMPARASI!$H$20:$H$199,MATCH(1,([26]KOMPARASI!$C$20:$C$199=$D270)*([26]KOMPARASI!$C$20:$C$199=$D270),0))</f>
        <v>389</v>
      </c>
      <c r="J270" s="9">
        <f t="array" ref="J270">IFERROR(I270/G270*100,0)</f>
        <v>10.167276529012023</v>
      </c>
      <c r="K270" s="8">
        <f t="array" ref="K270">INDEX([26]KOMPARASI!$J$20:$J$199,MATCH(1,([26]KOMPARASI!$C$20:$C$199=$D270)*([26]KOMPARASI!$C$20:$C$199=$D270),0))</f>
        <v>29</v>
      </c>
      <c r="L270" s="9">
        <f t="shared" si="48"/>
        <v>7.4550128534704374</v>
      </c>
      <c r="M270" s="8" t="str">
        <f t="shared" si="51"/>
        <v>Perlu Pengendalian</v>
      </c>
      <c r="N270" s="148"/>
      <c r="O270" s="143" t="e">
        <f>MAX(#REF!,#REF!)</f>
        <v>#REF!</v>
      </c>
      <c r="P270" s="9" t="e">
        <f t="shared" si="52"/>
        <v>#REF!</v>
      </c>
      <c r="Q270" s="143" t="e">
        <f>MAX(#REF!,#REF!)</f>
        <v>#REF!</v>
      </c>
      <c r="R270" s="9">
        <f t="shared" si="49"/>
        <v>0</v>
      </c>
      <c r="S270" s="8" t="str">
        <f t="shared" si="53"/>
        <v>Belum Sensus</v>
      </c>
      <c r="T270" s="148"/>
      <c r="U270" s="143" t="e">
        <f>MAX(#REF!,#REF!)</f>
        <v>#REF!</v>
      </c>
      <c r="V270" s="143" t="e">
        <f>MAX(#REF!,#REF!)</f>
        <v>#REF!</v>
      </c>
      <c r="W270" s="9">
        <f t="shared" si="54"/>
        <v>0</v>
      </c>
      <c r="X270" s="8" t="str">
        <f t="shared" si="55"/>
        <v>Belum Sensus</v>
      </c>
      <c r="Y270" s="178">
        <v>46153</v>
      </c>
      <c r="Z270" s="143">
        <v>115</v>
      </c>
      <c r="AA270" s="9">
        <f t="shared" si="56"/>
        <v>3.0057501306847882</v>
      </c>
      <c r="AB270" s="143">
        <v>17</v>
      </c>
      <c r="AC270" s="9">
        <f t="shared" si="50"/>
        <v>14.782608695652174</v>
      </c>
      <c r="AD270" s="8" t="str">
        <f t="shared" si="57"/>
        <v>Perlu Pengendalian</v>
      </c>
      <c r="AE270" s="178">
        <v>46153</v>
      </c>
      <c r="AF270" s="143">
        <v>517</v>
      </c>
      <c r="AG270" s="143">
        <v>68</v>
      </c>
      <c r="AH270" s="9">
        <f t="shared" si="58"/>
        <v>13.152804642166343</v>
      </c>
      <c r="AI270" s="8" t="str">
        <f t="shared" si="59"/>
        <v>Perlu Pengendalian</v>
      </c>
    </row>
    <row r="271" spans="1:35" x14ac:dyDescent="0.2">
      <c r="A271" s="8" t="s">
        <v>1739</v>
      </c>
      <c r="B271" s="8" t="s">
        <v>14</v>
      </c>
      <c r="C271" s="8" t="s">
        <v>290</v>
      </c>
      <c r="D271" s="8" t="s">
        <v>1136</v>
      </c>
      <c r="E271" s="9">
        <v>28.5</v>
      </c>
      <c r="F271" s="8" t="s">
        <v>1740</v>
      </c>
      <c r="G271" s="10">
        <v>3797</v>
      </c>
      <c r="H271" s="132">
        <v>46153</v>
      </c>
      <c r="I271" s="8">
        <f t="array" ref="I271">INDEX([26]KOMPARASI!$H$20:$H$199,MATCH(1,([26]KOMPARASI!$C$20:$C$199=$D271)*([26]KOMPARASI!$C$20:$C$199=$D271),0))</f>
        <v>224</v>
      </c>
      <c r="J271" s="9">
        <f t="array" ref="J271">IFERROR(I271/G271*100,0)</f>
        <v>5.8993942586252306</v>
      </c>
      <c r="K271" s="8">
        <f t="array" ref="K271">INDEX([26]KOMPARASI!$J$20:$J$199,MATCH(1,([26]KOMPARASI!$C$20:$C$199=$D271)*([26]KOMPARASI!$C$20:$C$199=$D271),0))</f>
        <v>55</v>
      </c>
      <c r="L271" s="9">
        <f t="shared" si="48"/>
        <v>24.553571428571427</v>
      </c>
      <c r="M271" s="8" t="str">
        <f t="shared" si="51"/>
        <v>Perlu Pengendalian</v>
      </c>
      <c r="N271" s="148"/>
      <c r="O271" s="143" t="e">
        <f>MAX(#REF!,#REF!)</f>
        <v>#REF!</v>
      </c>
      <c r="P271" s="9" t="e">
        <f t="shared" si="52"/>
        <v>#REF!</v>
      </c>
      <c r="Q271" s="143" t="e">
        <f>MAX(#REF!,#REF!)</f>
        <v>#REF!</v>
      </c>
      <c r="R271" s="9">
        <f t="shared" si="49"/>
        <v>0</v>
      </c>
      <c r="S271" s="8" t="str">
        <f t="shared" si="53"/>
        <v>Belum Sensus</v>
      </c>
      <c r="T271" s="148"/>
      <c r="U271" s="143" t="e">
        <f>MAX(#REF!,#REF!)</f>
        <v>#REF!</v>
      </c>
      <c r="V271" s="143" t="e">
        <f>MAX(#REF!,#REF!)</f>
        <v>#REF!</v>
      </c>
      <c r="W271" s="9">
        <f t="shared" si="54"/>
        <v>0</v>
      </c>
      <c r="X271" s="8" t="str">
        <f t="shared" si="55"/>
        <v>Belum Sensus</v>
      </c>
      <c r="Y271" s="178"/>
      <c r="Z271" s="143">
        <v>0</v>
      </c>
      <c r="AA271" s="9">
        <f t="shared" si="56"/>
        <v>0</v>
      </c>
      <c r="AB271" s="143">
        <v>0</v>
      </c>
      <c r="AC271" s="9">
        <f t="shared" si="50"/>
        <v>0</v>
      </c>
      <c r="AD271" s="8" t="str">
        <f t="shared" si="57"/>
        <v>Belum Sensus</v>
      </c>
      <c r="AE271" s="178"/>
      <c r="AF271" s="143">
        <v>0</v>
      </c>
      <c r="AG271" s="143">
        <v>0</v>
      </c>
      <c r="AH271" s="9">
        <f t="shared" si="58"/>
        <v>0</v>
      </c>
      <c r="AI271" s="8" t="str">
        <f t="shared" si="59"/>
        <v>Belum Sensus</v>
      </c>
    </row>
    <row r="272" spans="1:35" x14ac:dyDescent="0.2">
      <c r="A272" s="8" t="s">
        <v>1739</v>
      </c>
      <c r="B272" s="8" t="s">
        <v>14</v>
      </c>
      <c r="C272" s="8" t="s">
        <v>290</v>
      </c>
      <c r="D272" s="8" t="s">
        <v>1137</v>
      </c>
      <c r="E272" s="9">
        <v>0</v>
      </c>
      <c r="F272" s="8" t="s">
        <v>1740</v>
      </c>
      <c r="G272" s="10">
        <v>0</v>
      </c>
      <c r="H272" s="132"/>
      <c r="I272" s="8">
        <f t="array" ref="I272">INDEX([26]KOMPARASI!$H$20:$H$199,MATCH(1,([26]KOMPARASI!$C$20:$C$199=$D272)*([26]KOMPARASI!$C$20:$C$199=$D272),0))</f>
        <v>0</v>
      </c>
      <c r="J272" s="9">
        <f t="array" ref="J272">IFERROR(I272/G272*100,0)</f>
        <v>0</v>
      </c>
      <c r="K272" s="8">
        <f t="array" ref="K272">INDEX([26]KOMPARASI!$J$20:$J$199,MATCH(1,([26]KOMPARASI!$C$20:$C$199=$D272)*([26]KOMPARASI!$C$20:$C$199=$D272),0))</f>
        <v>0</v>
      </c>
      <c r="L272" s="9">
        <f t="shared" si="48"/>
        <v>0</v>
      </c>
      <c r="M272" s="8" t="str">
        <f t="shared" si="51"/>
        <v>Belum Sensus</v>
      </c>
      <c r="N272" s="148"/>
      <c r="O272" s="143" t="e">
        <f>MAX(#REF!,#REF!)</f>
        <v>#REF!</v>
      </c>
      <c r="P272" s="9" t="e">
        <f t="shared" si="52"/>
        <v>#REF!</v>
      </c>
      <c r="Q272" s="143" t="e">
        <f>MAX(#REF!,#REF!)</f>
        <v>#REF!</v>
      </c>
      <c r="R272" s="9">
        <f t="shared" si="49"/>
        <v>0</v>
      </c>
      <c r="S272" s="8" t="str">
        <f t="shared" si="53"/>
        <v>Belum Sensus</v>
      </c>
      <c r="T272" s="148"/>
      <c r="U272" s="143" t="e">
        <f>MAX(#REF!,#REF!)</f>
        <v>#REF!</v>
      </c>
      <c r="V272" s="143" t="e">
        <f>MAX(#REF!,#REF!)</f>
        <v>#REF!</v>
      </c>
      <c r="W272" s="9">
        <f t="shared" si="54"/>
        <v>0</v>
      </c>
      <c r="X272" s="8" t="str">
        <f t="shared" si="55"/>
        <v>Belum Sensus</v>
      </c>
      <c r="Y272" s="178"/>
      <c r="Z272" s="143">
        <v>0</v>
      </c>
      <c r="AA272" s="9" t="e">
        <f t="shared" si="56"/>
        <v>#DIV/0!</v>
      </c>
      <c r="AB272" s="143">
        <v>0</v>
      </c>
      <c r="AC272" s="9">
        <f t="shared" si="50"/>
        <v>0</v>
      </c>
      <c r="AD272" s="8" t="str">
        <f t="shared" si="57"/>
        <v>Belum Sensus</v>
      </c>
      <c r="AE272" s="178"/>
      <c r="AF272" s="143">
        <v>0</v>
      </c>
      <c r="AG272" s="143">
        <v>0</v>
      </c>
      <c r="AH272" s="9">
        <f t="shared" si="58"/>
        <v>0</v>
      </c>
      <c r="AI272" s="8" t="str">
        <f t="shared" si="59"/>
        <v>Belum Sensus</v>
      </c>
    </row>
    <row r="273" spans="1:35" x14ac:dyDescent="0.2">
      <c r="A273" s="8" t="s">
        <v>1739</v>
      </c>
      <c r="B273" s="8" t="s">
        <v>14</v>
      </c>
      <c r="C273" s="8" t="s">
        <v>290</v>
      </c>
      <c r="D273" s="8" t="s">
        <v>1138</v>
      </c>
      <c r="E273" s="9">
        <v>21.8</v>
      </c>
      <c r="F273" s="8" t="s">
        <v>1740</v>
      </c>
      <c r="G273" s="10">
        <v>2966</v>
      </c>
      <c r="H273" s="132">
        <v>46153</v>
      </c>
      <c r="I273" s="8">
        <f t="array" ref="I273">INDEX([26]KOMPARASI!$H$20:$H$199,MATCH(1,([26]KOMPARASI!$C$20:$C$199=$D273)*([26]KOMPARASI!$C$20:$C$199=$D273),0))</f>
        <v>388</v>
      </c>
      <c r="J273" s="9">
        <f t="array" ref="J273">IFERROR(I273/G273*100,0)</f>
        <v>13.081591368846931</v>
      </c>
      <c r="K273" s="8">
        <f t="array" ref="K273">INDEX([26]KOMPARASI!$J$20:$J$199,MATCH(1,([26]KOMPARASI!$C$20:$C$199=$D273)*([26]KOMPARASI!$C$20:$C$199=$D273),0))</f>
        <v>47</v>
      </c>
      <c r="L273" s="9">
        <f t="shared" si="48"/>
        <v>12.11340206185567</v>
      </c>
      <c r="M273" s="8" t="str">
        <f t="shared" si="51"/>
        <v>Perlu Pengendalian</v>
      </c>
      <c r="N273" s="148"/>
      <c r="O273" s="143" t="e">
        <f>MAX(#REF!,#REF!)</f>
        <v>#REF!</v>
      </c>
      <c r="P273" s="9" t="e">
        <f t="shared" si="52"/>
        <v>#REF!</v>
      </c>
      <c r="Q273" s="143" t="e">
        <f>MAX(#REF!,#REF!)</f>
        <v>#REF!</v>
      </c>
      <c r="R273" s="9">
        <f t="shared" si="49"/>
        <v>0</v>
      </c>
      <c r="S273" s="8" t="str">
        <f t="shared" si="53"/>
        <v>Belum Sensus</v>
      </c>
      <c r="T273" s="148"/>
      <c r="U273" s="143" t="e">
        <f>MAX(#REF!,#REF!)</f>
        <v>#REF!</v>
      </c>
      <c r="V273" s="143" t="e">
        <f>MAX(#REF!,#REF!)</f>
        <v>#REF!</v>
      </c>
      <c r="W273" s="9">
        <f t="shared" si="54"/>
        <v>0</v>
      </c>
      <c r="X273" s="8" t="str">
        <f t="shared" si="55"/>
        <v>Belum Sensus</v>
      </c>
      <c r="Y273" s="178"/>
      <c r="Z273" s="143">
        <v>0</v>
      </c>
      <c r="AA273" s="9">
        <f t="shared" si="56"/>
        <v>0</v>
      </c>
      <c r="AB273" s="143">
        <v>0</v>
      </c>
      <c r="AC273" s="9">
        <f t="shared" si="50"/>
        <v>0</v>
      </c>
      <c r="AD273" s="8" t="str">
        <f t="shared" si="57"/>
        <v>Belum Sensus</v>
      </c>
      <c r="AE273" s="178"/>
      <c r="AF273" s="143">
        <v>0</v>
      </c>
      <c r="AG273" s="143">
        <v>0</v>
      </c>
      <c r="AH273" s="9">
        <f t="shared" si="58"/>
        <v>0</v>
      </c>
      <c r="AI273" s="8" t="str">
        <f t="shared" si="59"/>
        <v>Belum Sensus</v>
      </c>
    </row>
    <row r="274" spans="1:35" x14ac:dyDescent="0.2">
      <c r="A274" s="8" t="s">
        <v>1739</v>
      </c>
      <c r="B274" s="8" t="s">
        <v>14</v>
      </c>
      <c r="C274" s="8" t="s">
        <v>290</v>
      </c>
      <c r="D274" s="8" t="s">
        <v>1139</v>
      </c>
      <c r="E274" s="9">
        <v>37.770000000000003</v>
      </c>
      <c r="F274" s="8" t="s">
        <v>1740</v>
      </c>
      <c r="G274" s="10">
        <v>5033</v>
      </c>
      <c r="H274" s="132">
        <v>46153</v>
      </c>
      <c r="I274" s="8">
        <f t="array" ref="I274">INDEX([26]KOMPARASI!$H$20:$H$199,MATCH(1,([26]KOMPARASI!$C$20:$C$199=$D274)*([26]KOMPARASI!$C$20:$C$199=$D274),0))</f>
        <v>760</v>
      </c>
      <c r="J274" s="9">
        <f t="array" ref="J274">IFERROR(I274/G274*100,0)</f>
        <v>15.100337770713294</v>
      </c>
      <c r="K274" s="8">
        <f t="array" ref="K274">INDEX([26]KOMPARASI!$J$20:$J$199,MATCH(1,([26]KOMPARASI!$C$20:$C$199=$D274)*([26]KOMPARASI!$C$20:$C$199=$D274),0))</f>
        <v>287</v>
      </c>
      <c r="L274" s="9">
        <f t="shared" si="48"/>
        <v>37.763157894736842</v>
      </c>
      <c r="M274" s="8" t="str">
        <f t="shared" si="51"/>
        <v>Perlu Pengendalian</v>
      </c>
      <c r="N274" s="148"/>
      <c r="O274" s="143" t="e">
        <f>MAX(#REF!,#REF!)</f>
        <v>#REF!</v>
      </c>
      <c r="P274" s="9" t="e">
        <f t="shared" si="52"/>
        <v>#REF!</v>
      </c>
      <c r="Q274" s="143" t="e">
        <f>MAX(#REF!,#REF!)</f>
        <v>#REF!</v>
      </c>
      <c r="R274" s="9">
        <f t="shared" si="49"/>
        <v>0</v>
      </c>
      <c r="S274" s="8" t="str">
        <f t="shared" si="53"/>
        <v>Belum Sensus</v>
      </c>
      <c r="T274" s="148"/>
      <c r="U274" s="143" t="e">
        <f>MAX(#REF!,#REF!)</f>
        <v>#REF!</v>
      </c>
      <c r="V274" s="143" t="e">
        <f>MAX(#REF!,#REF!)</f>
        <v>#REF!</v>
      </c>
      <c r="W274" s="9">
        <f t="shared" si="54"/>
        <v>0</v>
      </c>
      <c r="X274" s="8" t="str">
        <f t="shared" si="55"/>
        <v>Belum Sensus</v>
      </c>
      <c r="Y274" s="178"/>
      <c r="Z274" s="143">
        <v>0</v>
      </c>
      <c r="AA274" s="9">
        <f t="shared" si="56"/>
        <v>0</v>
      </c>
      <c r="AB274" s="143">
        <v>0</v>
      </c>
      <c r="AC274" s="9">
        <f t="shared" si="50"/>
        <v>0</v>
      </c>
      <c r="AD274" s="8" t="str">
        <f t="shared" si="57"/>
        <v>Belum Sensus</v>
      </c>
      <c r="AE274" s="178">
        <v>46153</v>
      </c>
      <c r="AF274" s="143">
        <v>407</v>
      </c>
      <c r="AG274" s="143">
        <v>70</v>
      </c>
      <c r="AH274" s="9">
        <f t="shared" si="58"/>
        <v>17.199017199017199</v>
      </c>
      <c r="AI274" s="8" t="str">
        <f t="shared" si="59"/>
        <v>Perlu Pengendalian</v>
      </c>
    </row>
    <row r="275" spans="1:35" x14ac:dyDescent="0.2">
      <c r="A275" s="8" t="s">
        <v>1739</v>
      </c>
      <c r="B275" s="8" t="s">
        <v>14</v>
      </c>
      <c r="C275" s="8" t="s">
        <v>290</v>
      </c>
      <c r="D275" s="8" t="s">
        <v>1140</v>
      </c>
      <c r="E275" s="9">
        <v>25.59</v>
      </c>
      <c r="F275" s="8" t="s">
        <v>1740</v>
      </c>
      <c r="G275" s="10">
        <v>3459</v>
      </c>
      <c r="H275" s="132">
        <v>46153</v>
      </c>
      <c r="I275" s="8">
        <f t="array" ref="I275">INDEX([26]KOMPARASI!$H$20:$H$199,MATCH(1,([26]KOMPARASI!$C$20:$C$199=$D275)*([26]KOMPARASI!$C$20:$C$199=$D275),0))</f>
        <v>377</v>
      </c>
      <c r="J275" s="9">
        <f t="array" ref="J275">IFERROR(I275/G275*100,0)</f>
        <v>10.89910378722174</v>
      </c>
      <c r="K275" s="8">
        <f t="array" ref="K275">INDEX([26]KOMPARASI!$J$20:$J$199,MATCH(1,([26]KOMPARASI!$C$20:$C$199=$D275)*([26]KOMPARASI!$C$20:$C$199=$D275),0))</f>
        <v>97</v>
      </c>
      <c r="L275" s="9">
        <f t="shared" si="48"/>
        <v>25.72944297082228</v>
      </c>
      <c r="M275" s="8" t="str">
        <f t="shared" si="51"/>
        <v>Perlu Pengendalian</v>
      </c>
      <c r="N275" s="148"/>
      <c r="O275" s="143" t="e">
        <f>MAX(#REF!,#REF!)</f>
        <v>#REF!</v>
      </c>
      <c r="P275" s="9" t="e">
        <f t="shared" si="52"/>
        <v>#REF!</v>
      </c>
      <c r="Q275" s="143" t="e">
        <f>MAX(#REF!,#REF!)</f>
        <v>#REF!</v>
      </c>
      <c r="R275" s="9">
        <f t="shared" si="49"/>
        <v>0</v>
      </c>
      <c r="S275" s="8" t="str">
        <f t="shared" si="53"/>
        <v>Belum Sensus</v>
      </c>
      <c r="T275" s="148"/>
      <c r="U275" s="143" t="e">
        <f>MAX(#REF!,#REF!)</f>
        <v>#REF!</v>
      </c>
      <c r="V275" s="143" t="e">
        <f>MAX(#REF!,#REF!)</f>
        <v>#REF!</v>
      </c>
      <c r="W275" s="9">
        <f t="shared" si="54"/>
        <v>0</v>
      </c>
      <c r="X275" s="8" t="str">
        <f t="shared" si="55"/>
        <v>Belum Sensus</v>
      </c>
      <c r="Y275" s="178"/>
      <c r="Z275" s="143">
        <v>0</v>
      </c>
      <c r="AA275" s="9">
        <f t="shared" si="56"/>
        <v>0</v>
      </c>
      <c r="AB275" s="143">
        <v>0</v>
      </c>
      <c r="AC275" s="9">
        <f t="shared" si="50"/>
        <v>0</v>
      </c>
      <c r="AD275" s="8" t="str">
        <f t="shared" si="57"/>
        <v>Belum Sensus</v>
      </c>
      <c r="AE275" s="178"/>
      <c r="AF275" s="143">
        <v>0</v>
      </c>
      <c r="AG275" s="143">
        <v>0</v>
      </c>
      <c r="AH275" s="9">
        <f t="shared" si="58"/>
        <v>0</v>
      </c>
      <c r="AI275" s="8" t="str">
        <f t="shared" si="59"/>
        <v>Belum Sensus</v>
      </c>
    </row>
    <row r="276" spans="1:35" x14ac:dyDescent="0.2">
      <c r="A276" s="8" t="s">
        <v>1739</v>
      </c>
      <c r="B276" s="8" t="s">
        <v>14</v>
      </c>
      <c r="C276" s="8" t="s">
        <v>290</v>
      </c>
      <c r="D276" s="8" t="s">
        <v>1141</v>
      </c>
      <c r="E276" s="9">
        <v>28.88</v>
      </c>
      <c r="F276" s="8" t="s">
        <v>1740</v>
      </c>
      <c r="G276" s="10">
        <v>3930</v>
      </c>
      <c r="H276" s="132">
        <v>46153</v>
      </c>
      <c r="I276" s="8">
        <f t="array" ref="I276">INDEX([26]KOMPARASI!$H$20:$H$199,MATCH(1,([26]KOMPARASI!$C$20:$C$199=$D276)*([26]KOMPARASI!$C$20:$C$199=$D276),0))</f>
        <v>419</v>
      </c>
      <c r="J276" s="9">
        <f t="array" ref="J276">IFERROR(I276/G276*100,0)</f>
        <v>10.661577608142494</v>
      </c>
      <c r="K276" s="8">
        <f t="array" ref="K276">INDEX([26]KOMPARASI!$J$20:$J$199,MATCH(1,([26]KOMPARASI!$C$20:$C$199=$D276)*([26]KOMPARASI!$C$20:$C$199=$D276),0))</f>
        <v>171</v>
      </c>
      <c r="L276" s="9">
        <f t="shared" si="48"/>
        <v>40.811455847255367</v>
      </c>
      <c r="M276" s="8" t="str">
        <f t="shared" si="51"/>
        <v>Perlu Pengendalian</v>
      </c>
      <c r="N276" s="148"/>
      <c r="O276" s="143" t="e">
        <f>MAX(#REF!,#REF!)</f>
        <v>#REF!</v>
      </c>
      <c r="P276" s="9" t="e">
        <f t="shared" si="52"/>
        <v>#REF!</v>
      </c>
      <c r="Q276" s="143" t="e">
        <f>MAX(#REF!,#REF!)</f>
        <v>#REF!</v>
      </c>
      <c r="R276" s="9">
        <f t="shared" si="49"/>
        <v>0</v>
      </c>
      <c r="S276" s="8" t="str">
        <f t="shared" si="53"/>
        <v>Belum Sensus</v>
      </c>
      <c r="T276" s="148"/>
      <c r="U276" s="143" t="e">
        <f>MAX(#REF!,#REF!)</f>
        <v>#REF!</v>
      </c>
      <c r="V276" s="143" t="e">
        <f>MAX(#REF!,#REF!)</f>
        <v>#REF!</v>
      </c>
      <c r="W276" s="9">
        <f t="shared" si="54"/>
        <v>0</v>
      </c>
      <c r="X276" s="8" t="str">
        <f t="shared" si="55"/>
        <v>Belum Sensus</v>
      </c>
      <c r="Y276" s="178"/>
      <c r="Z276" s="143">
        <v>0</v>
      </c>
      <c r="AA276" s="9">
        <f t="shared" si="56"/>
        <v>0</v>
      </c>
      <c r="AB276" s="143">
        <v>0</v>
      </c>
      <c r="AC276" s="9">
        <f t="shared" si="50"/>
        <v>0</v>
      </c>
      <c r="AD276" s="8" t="str">
        <f t="shared" si="57"/>
        <v>Belum Sensus</v>
      </c>
      <c r="AE276" s="178"/>
      <c r="AF276" s="143">
        <v>0</v>
      </c>
      <c r="AG276" s="143">
        <v>0</v>
      </c>
      <c r="AH276" s="9">
        <f t="shared" si="58"/>
        <v>0</v>
      </c>
      <c r="AI276" s="8" t="str">
        <f t="shared" si="59"/>
        <v>Belum Sensus</v>
      </c>
    </row>
    <row r="277" spans="1:35" x14ac:dyDescent="0.2">
      <c r="A277" s="8" t="s">
        <v>1739</v>
      </c>
      <c r="B277" s="8" t="s">
        <v>14</v>
      </c>
      <c r="C277" s="8" t="s">
        <v>323</v>
      </c>
      <c r="D277" s="8" t="s">
        <v>1142</v>
      </c>
      <c r="E277" s="9">
        <v>38.159999999999997</v>
      </c>
      <c r="F277" s="8" t="s">
        <v>1740</v>
      </c>
      <c r="G277" s="10">
        <v>4730</v>
      </c>
      <c r="H277" s="132">
        <v>46153</v>
      </c>
      <c r="I277" s="8">
        <f t="array" ref="I277">INDEX([26]KOMPARASI!$H$20:$H$199,MATCH(1,([26]KOMPARASI!$C$20:$C$199=$D277)*([26]KOMPARASI!$C$20:$C$199=$D277),0))</f>
        <v>431</v>
      </c>
      <c r="J277" s="9">
        <f t="array" ref="J277">IFERROR(I277/G277*100,0)</f>
        <v>9.1120507399577164</v>
      </c>
      <c r="K277" s="8">
        <f t="array" ref="K277">INDEX([26]KOMPARASI!$J$20:$J$199,MATCH(1,([26]KOMPARASI!$C$20:$C$199=$D277)*([26]KOMPARASI!$C$20:$C$199=$D277),0))</f>
        <v>109</v>
      </c>
      <c r="L277" s="9">
        <f t="shared" si="48"/>
        <v>25.290023201856147</v>
      </c>
      <c r="M277" s="8" t="str">
        <f t="shared" si="51"/>
        <v>Perlu Pengendalian</v>
      </c>
      <c r="N277" s="148"/>
      <c r="O277" s="143" t="e">
        <f>MAX(#REF!,#REF!)</f>
        <v>#REF!</v>
      </c>
      <c r="P277" s="9" t="e">
        <f t="shared" si="52"/>
        <v>#REF!</v>
      </c>
      <c r="Q277" s="143" t="e">
        <f>MAX(#REF!,#REF!)</f>
        <v>#REF!</v>
      </c>
      <c r="R277" s="9">
        <f t="shared" si="49"/>
        <v>0</v>
      </c>
      <c r="S277" s="8" t="str">
        <f t="shared" si="53"/>
        <v>Belum Sensus</v>
      </c>
      <c r="T277" s="148"/>
      <c r="U277" s="143" t="e">
        <f>MAX(#REF!,#REF!)</f>
        <v>#REF!</v>
      </c>
      <c r="V277" s="143" t="e">
        <f>MAX(#REF!,#REF!)</f>
        <v>#REF!</v>
      </c>
      <c r="W277" s="9">
        <f t="shared" si="54"/>
        <v>0</v>
      </c>
      <c r="X277" s="8" t="str">
        <f t="shared" si="55"/>
        <v>Belum Sensus</v>
      </c>
      <c r="Y277" s="178"/>
      <c r="Z277" s="143">
        <v>0</v>
      </c>
      <c r="AA277" s="9">
        <f t="shared" si="56"/>
        <v>0</v>
      </c>
      <c r="AB277" s="143">
        <v>0</v>
      </c>
      <c r="AC277" s="9">
        <f t="shared" si="50"/>
        <v>0</v>
      </c>
      <c r="AD277" s="8" t="str">
        <f t="shared" si="57"/>
        <v>Belum Sensus</v>
      </c>
      <c r="AE277" s="178"/>
      <c r="AF277" s="143">
        <v>0</v>
      </c>
      <c r="AG277" s="143">
        <v>0</v>
      </c>
      <c r="AH277" s="9">
        <f t="shared" si="58"/>
        <v>0</v>
      </c>
      <c r="AI277" s="8" t="str">
        <f t="shared" si="59"/>
        <v>Belum Sensus</v>
      </c>
    </row>
    <row r="278" spans="1:35" x14ac:dyDescent="0.2">
      <c r="A278" s="8" t="s">
        <v>1739</v>
      </c>
      <c r="B278" s="8" t="s">
        <v>14</v>
      </c>
      <c r="C278" s="8" t="s">
        <v>323</v>
      </c>
      <c r="D278" s="8" t="s">
        <v>1143</v>
      </c>
      <c r="E278" s="9">
        <v>43.82</v>
      </c>
      <c r="F278" s="8" t="s">
        <v>1740</v>
      </c>
      <c r="G278" s="10">
        <v>5538</v>
      </c>
      <c r="H278" s="132">
        <v>46153</v>
      </c>
      <c r="I278" s="8">
        <f t="array" ref="I278">INDEX([26]KOMPARASI!$H$20:$H$199,MATCH(1,([26]KOMPARASI!$C$20:$C$199=$D278)*([26]KOMPARASI!$C$20:$C$199=$D278),0))</f>
        <v>582</v>
      </c>
      <c r="J278" s="9">
        <f t="array" ref="J278">IFERROR(I278/G278*100,0)</f>
        <v>10.509209100758396</v>
      </c>
      <c r="K278" s="8">
        <f t="array" ref="K278">INDEX([26]KOMPARASI!$J$20:$J$199,MATCH(1,([26]KOMPARASI!$C$20:$C$199=$D278)*([26]KOMPARASI!$C$20:$C$199=$D278),0))</f>
        <v>69</v>
      </c>
      <c r="L278" s="9">
        <f t="shared" si="48"/>
        <v>11.855670103092782</v>
      </c>
      <c r="M278" s="8" t="str">
        <f t="shared" si="51"/>
        <v>Perlu Pengendalian</v>
      </c>
      <c r="N278" s="148"/>
      <c r="O278" s="143" t="e">
        <f>MAX(#REF!,#REF!)</f>
        <v>#REF!</v>
      </c>
      <c r="P278" s="9" t="e">
        <f t="shared" si="52"/>
        <v>#REF!</v>
      </c>
      <c r="Q278" s="143" t="e">
        <f>MAX(#REF!,#REF!)</f>
        <v>#REF!</v>
      </c>
      <c r="R278" s="9">
        <f t="shared" si="49"/>
        <v>0</v>
      </c>
      <c r="S278" s="8" t="str">
        <f t="shared" si="53"/>
        <v>Belum Sensus</v>
      </c>
      <c r="T278" s="148"/>
      <c r="U278" s="143" t="e">
        <f>MAX(#REF!,#REF!)</f>
        <v>#REF!</v>
      </c>
      <c r="V278" s="143" t="e">
        <f>MAX(#REF!,#REF!)</f>
        <v>#REF!</v>
      </c>
      <c r="W278" s="9">
        <f t="shared" si="54"/>
        <v>0</v>
      </c>
      <c r="X278" s="8" t="str">
        <f t="shared" si="55"/>
        <v>Belum Sensus</v>
      </c>
      <c r="Y278" s="178">
        <v>46153</v>
      </c>
      <c r="Z278" s="143">
        <v>292</v>
      </c>
      <c r="AA278" s="9">
        <f t="shared" si="56"/>
        <v>5.2726616106897799</v>
      </c>
      <c r="AB278" s="143">
        <v>58</v>
      </c>
      <c r="AC278" s="9">
        <f t="shared" si="50"/>
        <v>19.863013698630137</v>
      </c>
      <c r="AD278" s="8" t="str">
        <f t="shared" si="57"/>
        <v>Perlu Pengendalian</v>
      </c>
      <c r="AE278" s="178">
        <v>46153</v>
      </c>
      <c r="AF278" s="143">
        <v>1179</v>
      </c>
      <c r="AG278" s="143">
        <v>401</v>
      </c>
      <c r="AH278" s="9">
        <f t="shared" si="58"/>
        <v>34.011874469889733</v>
      </c>
      <c r="AI278" s="8" t="str">
        <f t="shared" si="59"/>
        <v>Perlu Pengendalian</v>
      </c>
    </row>
    <row r="279" spans="1:35" x14ac:dyDescent="0.2">
      <c r="A279" s="8" t="s">
        <v>1739</v>
      </c>
      <c r="B279" s="8" t="s">
        <v>14</v>
      </c>
      <c r="C279" s="8" t="s">
        <v>323</v>
      </c>
      <c r="D279" s="8" t="s">
        <v>1144</v>
      </c>
      <c r="E279" s="9">
        <v>41.61</v>
      </c>
      <c r="F279" s="8" t="s">
        <v>1740</v>
      </c>
      <c r="G279" s="10">
        <v>5454</v>
      </c>
      <c r="H279" s="132">
        <v>46153</v>
      </c>
      <c r="I279" s="8">
        <f t="array" ref="I279">INDEX([26]KOMPARASI!$H$20:$H$199,MATCH(1,([26]KOMPARASI!$C$20:$C$199=$D279)*([26]KOMPARASI!$C$20:$C$199=$D279),0))</f>
        <v>544</v>
      </c>
      <c r="J279" s="9">
        <f t="array" ref="J279">IFERROR(I279/G279*100,0)</f>
        <v>9.9743307664099738</v>
      </c>
      <c r="K279" s="8">
        <f t="array" ref="K279">INDEX([26]KOMPARASI!$J$20:$J$199,MATCH(1,([26]KOMPARASI!$C$20:$C$199=$D279)*([26]KOMPARASI!$C$20:$C$199=$D279),0))</f>
        <v>43</v>
      </c>
      <c r="L279" s="9">
        <f t="shared" si="48"/>
        <v>7.9044117647058822</v>
      </c>
      <c r="M279" s="8" t="str">
        <f t="shared" si="51"/>
        <v>Perlu Pengendalian</v>
      </c>
      <c r="N279" s="148"/>
      <c r="O279" s="143" t="e">
        <f>MAX(#REF!,#REF!)</f>
        <v>#REF!</v>
      </c>
      <c r="P279" s="9" t="e">
        <f t="shared" si="52"/>
        <v>#REF!</v>
      </c>
      <c r="Q279" s="143" t="e">
        <f>MAX(#REF!,#REF!)</f>
        <v>#REF!</v>
      </c>
      <c r="R279" s="9">
        <f t="shared" si="49"/>
        <v>0</v>
      </c>
      <c r="S279" s="8" t="str">
        <f t="shared" si="53"/>
        <v>Belum Sensus</v>
      </c>
      <c r="T279" s="148"/>
      <c r="U279" s="143" t="e">
        <f>MAX(#REF!,#REF!)</f>
        <v>#REF!</v>
      </c>
      <c r="V279" s="143" t="e">
        <f>MAX(#REF!,#REF!)</f>
        <v>#REF!</v>
      </c>
      <c r="W279" s="9">
        <f t="shared" si="54"/>
        <v>0</v>
      </c>
      <c r="X279" s="8" t="str">
        <f t="shared" si="55"/>
        <v>Belum Sensus</v>
      </c>
      <c r="Y279" s="178">
        <v>46153</v>
      </c>
      <c r="Z279" s="143">
        <v>77</v>
      </c>
      <c r="AA279" s="9">
        <f t="shared" si="56"/>
        <v>1.4118078474514117</v>
      </c>
      <c r="AB279" s="143">
        <v>28</v>
      </c>
      <c r="AC279" s="9">
        <f t="shared" si="50"/>
        <v>36.363636363636367</v>
      </c>
      <c r="AD279" s="8" t="str">
        <f t="shared" si="57"/>
        <v>Perlu Pengendalian</v>
      </c>
      <c r="AE279" s="178">
        <v>46153</v>
      </c>
      <c r="AF279" s="143">
        <v>908</v>
      </c>
      <c r="AG279" s="143">
        <v>372</v>
      </c>
      <c r="AH279" s="9">
        <f t="shared" si="58"/>
        <v>40.969162995594715</v>
      </c>
      <c r="AI279" s="8" t="str">
        <f t="shared" si="59"/>
        <v>Perlu Pengendalian</v>
      </c>
    </row>
    <row r="280" spans="1:35" x14ac:dyDescent="0.2">
      <c r="A280" s="8" t="s">
        <v>1739</v>
      </c>
      <c r="B280" s="8" t="s">
        <v>14</v>
      </c>
      <c r="C280" s="8" t="s">
        <v>323</v>
      </c>
      <c r="D280" s="8" t="s">
        <v>1145</v>
      </c>
      <c r="E280" s="9">
        <v>31.18</v>
      </c>
      <c r="F280" s="8" t="s">
        <v>1740</v>
      </c>
      <c r="G280" s="10">
        <v>3814</v>
      </c>
      <c r="H280" s="132">
        <v>46153</v>
      </c>
      <c r="I280" s="8">
        <f t="array" ref="I280">INDEX([26]KOMPARASI!$H$20:$H$199,MATCH(1,([26]KOMPARASI!$C$20:$C$199=$D280)*([26]KOMPARASI!$C$20:$C$199=$D280),0))</f>
        <v>420</v>
      </c>
      <c r="J280" s="9">
        <f t="array" ref="J280">IFERROR(I280/G280*100,0)</f>
        <v>11.012060828526483</v>
      </c>
      <c r="K280" s="8">
        <f t="array" ref="K280">INDEX([26]KOMPARASI!$J$20:$J$199,MATCH(1,([26]KOMPARASI!$C$20:$C$199=$D280)*([26]KOMPARASI!$C$20:$C$199=$D280),0))</f>
        <v>66</v>
      </c>
      <c r="L280" s="9">
        <f t="shared" si="48"/>
        <v>15.714285714285714</v>
      </c>
      <c r="M280" s="8" t="str">
        <f t="shared" si="51"/>
        <v>Perlu Pengendalian</v>
      </c>
      <c r="N280" s="148"/>
      <c r="O280" s="143" t="e">
        <f>MAX(#REF!,#REF!)</f>
        <v>#REF!</v>
      </c>
      <c r="P280" s="9" t="e">
        <f t="shared" si="52"/>
        <v>#REF!</v>
      </c>
      <c r="Q280" s="143" t="e">
        <f>MAX(#REF!,#REF!)</f>
        <v>#REF!</v>
      </c>
      <c r="R280" s="9">
        <f t="shared" si="49"/>
        <v>0</v>
      </c>
      <c r="S280" s="8" t="str">
        <f t="shared" si="53"/>
        <v>Belum Sensus</v>
      </c>
      <c r="T280" s="148"/>
      <c r="U280" s="143" t="e">
        <f>MAX(#REF!,#REF!)</f>
        <v>#REF!</v>
      </c>
      <c r="V280" s="143" t="e">
        <f>MAX(#REF!,#REF!)</f>
        <v>#REF!</v>
      </c>
      <c r="W280" s="9">
        <f t="shared" si="54"/>
        <v>0</v>
      </c>
      <c r="X280" s="8" t="str">
        <f t="shared" si="55"/>
        <v>Belum Sensus</v>
      </c>
      <c r="Y280" s="178"/>
      <c r="Z280" s="143">
        <v>0</v>
      </c>
      <c r="AA280" s="9">
        <f t="shared" si="56"/>
        <v>0</v>
      </c>
      <c r="AB280" s="143">
        <v>0</v>
      </c>
      <c r="AC280" s="9">
        <f t="shared" si="50"/>
        <v>0</v>
      </c>
      <c r="AD280" s="8" t="str">
        <f t="shared" si="57"/>
        <v>Belum Sensus</v>
      </c>
      <c r="AE280" s="178"/>
      <c r="AF280" s="143">
        <v>0</v>
      </c>
      <c r="AG280" s="143">
        <v>0</v>
      </c>
      <c r="AH280" s="9">
        <f t="shared" si="58"/>
        <v>0</v>
      </c>
      <c r="AI280" s="8" t="str">
        <f t="shared" si="59"/>
        <v>Belum Sensus</v>
      </c>
    </row>
    <row r="281" spans="1:35" x14ac:dyDescent="0.2">
      <c r="A281" s="8" t="s">
        <v>1739</v>
      </c>
      <c r="B281" s="8" t="s">
        <v>14</v>
      </c>
      <c r="C281" s="8" t="s">
        <v>323</v>
      </c>
      <c r="D281" s="8" t="s">
        <v>1146</v>
      </c>
      <c r="E281" s="9">
        <v>22.77</v>
      </c>
      <c r="F281" s="8" t="s">
        <v>1740</v>
      </c>
      <c r="G281" s="10">
        <v>2900</v>
      </c>
      <c r="H281" s="132">
        <v>46153</v>
      </c>
      <c r="I281" s="8">
        <f t="array" ref="I281">INDEX([26]KOMPARASI!$H$20:$H$199,MATCH(1,([26]KOMPARASI!$C$20:$C$199=$D281)*([26]KOMPARASI!$C$20:$C$199=$D281),0))</f>
        <v>316</v>
      </c>
      <c r="J281" s="9">
        <f t="array" ref="J281">IFERROR(I281/G281*100,0)</f>
        <v>10.896551724137932</v>
      </c>
      <c r="K281" s="8">
        <f t="array" ref="K281">INDEX([26]KOMPARASI!$J$20:$J$199,MATCH(1,([26]KOMPARASI!$C$20:$C$199=$D281)*([26]KOMPARASI!$C$20:$C$199=$D281),0))</f>
        <v>38</v>
      </c>
      <c r="L281" s="9">
        <f t="shared" si="48"/>
        <v>12.025316455696203</v>
      </c>
      <c r="M281" s="8" t="str">
        <f t="shared" si="51"/>
        <v>Perlu Pengendalian</v>
      </c>
      <c r="N281" s="148"/>
      <c r="O281" s="143" t="e">
        <f>MAX(#REF!,#REF!)</f>
        <v>#REF!</v>
      </c>
      <c r="P281" s="9" t="e">
        <f t="shared" si="52"/>
        <v>#REF!</v>
      </c>
      <c r="Q281" s="143" t="e">
        <f>MAX(#REF!,#REF!)</f>
        <v>#REF!</v>
      </c>
      <c r="R281" s="9">
        <f t="shared" si="49"/>
        <v>0</v>
      </c>
      <c r="S281" s="8" t="str">
        <f t="shared" si="53"/>
        <v>Belum Sensus</v>
      </c>
      <c r="T281" s="148"/>
      <c r="U281" s="143" t="e">
        <f>MAX(#REF!,#REF!)</f>
        <v>#REF!</v>
      </c>
      <c r="V281" s="143" t="e">
        <f>MAX(#REF!,#REF!)</f>
        <v>#REF!</v>
      </c>
      <c r="W281" s="9">
        <f t="shared" si="54"/>
        <v>0</v>
      </c>
      <c r="X281" s="8" t="str">
        <f t="shared" si="55"/>
        <v>Belum Sensus</v>
      </c>
      <c r="Y281" s="178"/>
      <c r="Z281" s="143">
        <v>0</v>
      </c>
      <c r="AA281" s="9">
        <f t="shared" si="56"/>
        <v>0</v>
      </c>
      <c r="AB281" s="143">
        <v>0</v>
      </c>
      <c r="AC281" s="9">
        <f t="shared" si="50"/>
        <v>0</v>
      </c>
      <c r="AD281" s="8" t="str">
        <f t="shared" si="57"/>
        <v>Belum Sensus</v>
      </c>
      <c r="AE281" s="178">
        <v>46153</v>
      </c>
      <c r="AF281" s="143">
        <v>337</v>
      </c>
      <c r="AG281" s="143">
        <v>100</v>
      </c>
      <c r="AH281" s="9">
        <f t="shared" si="58"/>
        <v>29.673590504451035</v>
      </c>
      <c r="AI281" s="8" t="str">
        <f t="shared" si="59"/>
        <v>Perlu Pengendalian</v>
      </c>
    </row>
    <row r="282" spans="1:35" x14ac:dyDescent="0.2">
      <c r="A282" s="8" t="s">
        <v>1739</v>
      </c>
      <c r="B282" s="8" t="s">
        <v>14</v>
      </c>
      <c r="C282" s="8" t="s">
        <v>323</v>
      </c>
      <c r="D282" s="8" t="s">
        <v>1147</v>
      </c>
      <c r="E282" s="9">
        <v>22.25</v>
      </c>
      <c r="F282" s="8" t="s">
        <v>1740</v>
      </c>
      <c r="G282" s="10">
        <v>2965</v>
      </c>
      <c r="H282" s="132">
        <v>46153</v>
      </c>
      <c r="I282" s="8">
        <f t="array" ref="I282">INDEX([26]KOMPARASI!$H$20:$H$199,MATCH(1,([26]KOMPARASI!$C$20:$C$199=$D282)*([26]KOMPARASI!$C$20:$C$199=$D282),0))</f>
        <v>285</v>
      </c>
      <c r="J282" s="9">
        <f t="array" ref="J282">IFERROR(I282/G282*100,0)</f>
        <v>9.6121416526138272</v>
      </c>
      <c r="K282" s="8">
        <f t="array" ref="K282">INDEX([26]KOMPARASI!$J$20:$J$199,MATCH(1,([26]KOMPARASI!$C$20:$C$199=$D282)*([26]KOMPARASI!$C$20:$C$199=$D282),0))</f>
        <v>76</v>
      </c>
      <c r="L282" s="9">
        <f t="shared" si="48"/>
        <v>26.666666666666668</v>
      </c>
      <c r="M282" s="8" t="str">
        <f t="shared" si="51"/>
        <v>Perlu Pengendalian</v>
      </c>
      <c r="N282" s="148"/>
      <c r="O282" s="143" t="e">
        <f>MAX(#REF!,#REF!)</f>
        <v>#REF!</v>
      </c>
      <c r="P282" s="9" t="e">
        <f t="shared" si="52"/>
        <v>#REF!</v>
      </c>
      <c r="Q282" s="143" t="e">
        <f>MAX(#REF!,#REF!)</f>
        <v>#REF!</v>
      </c>
      <c r="R282" s="9">
        <f t="shared" si="49"/>
        <v>0</v>
      </c>
      <c r="S282" s="8" t="str">
        <f t="shared" si="53"/>
        <v>Belum Sensus</v>
      </c>
      <c r="T282" s="148"/>
      <c r="U282" s="143" t="e">
        <f>MAX(#REF!,#REF!)</f>
        <v>#REF!</v>
      </c>
      <c r="V282" s="143" t="e">
        <f>MAX(#REF!,#REF!)</f>
        <v>#REF!</v>
      </c>
      <c r="W282" s="9">
        <f t="shared" si="54"/>
        <v>0</v>
      </c>
      <c r="X282" s="8" t="str">
        <f t="shared" si="55"/>
        <v>Belum Sensus</v>
      </c>
      <c r="Y282" s="178">
        <v>46153</v>
      </c>
      <c r="Z282" s="143">
        <v>124</v>
      </c>
      <c r="AA282" s="9">
        <f t="shared" si="56"/>
        <v>4.1821247892074194</v>
      </c>
      <c r="AB282" s="143">
        <v>20</v>
      </c>
      <c r="AC282" s="9">
        <f t="shared" si="50"/>
        <v>16.129032258064516</v>
      </c>
      <c r="AD282" s="8" t="str">
        <f t="shared" si="57"/>
        <v>Perlu Pengendalian</v>
      </c>
      <c r="AE282" s="178"/>
      <c r="AF282" s="143">
        <v>0</v>
      </c>
      <c r="AG282" s="143">
        <v>0</v>
      </c>
      <c r="AH282" s="9">
        <f t="shared" si="58"/>
        <v>0</v>
      </c>
      <c r="AI282" s="8" t="str">
        <f t="shared" si="59"/>
        <v>Belum Sensus</v>
      </c>
    </row>
    <row r="283" spans="1:35" x14ac:dyDescent="0.2">
      <c r="A283" s="8" t="s">
        <v>1739</v>
      </c>
      <c r="B283" s="8" t="s">
        <v>14</v>
      </c>
      <c r="C283" s="8" t="s">
        <v>323</v>
      </c>
      <c r="D283" s="8" t="s">
        <v>1148</v>
      </c>
      <c r="E283" s="9">
        <v>0</v>
      </c>
      <c r="F283" s="8" t="s">
        <v>1740</v>
      </c>
      <c r="G283" s="10">
        <v>0</v>
      </c>
      <c r="H283" s="132"/>
      <c r="I283" s="8">
        <f t="array" ref="I283">INDEX([26]KOMPARASI!$H$20:$H$199,MATCH(1,([26]KOMPARASI!$C$20:$C$199=$D283)*([26]KOMPARASI!$C$20:$C$199=$D283),0))</f>
        <v>0</v>
      </c>
      <c r="J283" s="9">
        <f t="array" ref="J283">IFERROR(I283/G283*100,0)</f>
        <v>0</v>
      </c>
      <c r="K283" s="8">
        <f t="array" ref="K283">INDEX([26]KOMPARASI!$J$20:$J$199,MATCH(1,([26]KOMPARASI!$C$20:$C$199=$D283)*([26]KOMPARASI!$C$20:$C$199=$D283),0))</f>
        <v>0</v>
      </c>
      <c r="L283" s="9">
        <f t="shared" si="48"/>
        <v>0</v>
      </c>
      <c r="M283" s="8" t="str">
        <f t="shared" si="51"/>
        <v>Belum Sensus</v>
      </c>
      <c r="N283" s="148"/>
      <c r="O283" s="143" t="e">
        <f>MAX(#REF!,#REF!)</f>
        <v>#REF!</v>
      </c>
      <c r="P283" s="9" t="e">
        <f t="shared" si="52"/>
        <v>#REF!</v>
      </c>
      <c r="Q283" s="143" t="e">
        <f>MAX(#REF!,#REF!)</f>
        <v>#REF!</v>
      </c>
      <c r="R283" s="9">
        <f t="shared" si="49"/>
        <v>0</v>
      </c>
      <c r="S283" s="8" t="str">
        <f t="shared" si="53"/>
        <v>Belum Sensus</v>
      </c>
      <c r="T283" s="148"/>
      <c r="U283" s="143" t="e">
        <f>MAX(#REF!,#REF!)</f>
        <v>#REF!</v>
      </c>
      <c r="V283" s="143" t="e">
        <f>MAX(#REF!,#REF!)</f>
        <v>#REF!</v>
      </c>
      <c r="W283" s="9">
        <f t="shared" si="54"/>
        <v>0</v>
      </c>
      <c r="X283" s="8" t="str">
        <f t="shared" si="55"/>
        <v>Belum Sensus</v>
      </c>
      <c r="Y283" s="178"/>
      <c r="Z283" s="143">
        <v>0</v>
      </c>
      <c r="AA283" s="9" t="e">
        <f t="shared" si="56"/>
        <v>#DIV/0!</v>
      </c>
      <c r="AB283" s="143">
        <v>0</v>
      </c>
      <c r="AC283" s="9">
        <f t="shared" si="50"/>
        <v>0</v>
      </c>
      <c r="AD283" s="8" t="str">
        <f t="shared" si="57"/>
        <v>Belum Sensus</v>
      </c>
      <c r="AE283" s="178"/>
      <c r="AF283" s="143">
        <v>0</v>
      </c>
      <c r="AG283" s="143">
        <v>0</v>
      </c>
      <c r="AH283" s="9">
        <f t="shared" si="58"/>
        <v>0</v>
      </c>
      <c r="AI283" s="8" t="str">
        <f t="shared" si="59"/>
        <v>Belum Sensus</v>
      </c>
    </row>
    <row r="284" spans="1:35" x14ac:dyDescent="0.2">
      <c r="A284" s="8" t="s">
        <v>1739</v>
      </c>
      <c r="B284" s="8" t="s">
        <v>14</v>
      </c>
      <c r="C284" s="8" t="s">
        <v>323</v>
      </c>
      <c r="D284" s="8" t="s">
        <v>1149</v>
      </c>
      <c r="E284" s="9">
        <v>26.56</v>
      </c>
      <c r="F284" s="8" t="s">
        <v>1740</v>
      </c>
      <c r="G284" s="10">
        <v>3012</v>
      </c>
      <c r="H284" s="132">
        <v>46153</v>
      </c>
      <c r="I284" s="8">
        <f t="array" ref="I284">INDEX([26]KOMPARASI!$H$20:$H$199,MATCH(1,([26]KOMPARASI!$C$20:$C$199=$D284)*([26]KOMPARASI!$C$20:$C$199=$D284),0))</f>
        <v>276</v>
      </c>
      <c r="J284" s="9">
        <f t="array" ref="J284">IFERROR(I284/G284*100,0)</f>
        <v>9.1633466135458175</v>
      </c>
      <c r="K284" s="8">
        <f t="array" ref="K284">INDEX([26]KOMPARASI!$J$20:$J$199,MATCH(1,([26]KOMPARASI!$C$20:$C$199=$D284)*([26]KOMPARASI!$C$20:$C$199=$D284),0))</f>
        <v>52</v>
      </c>
      <c r="L284" s="9">
        <f t="shared" si="48"/>
        <v>18.840579710144929</v>
      </c>
      <c r="M284" s="8" t="str">
        <f t="shared" si="51"/>
        <v>Perlu Pengendalian</v>
      </c>
      <c r="N284" s="148"/>
      <c r="O284" s="143" t="e">
        <f>MAX(#REF!,#REF!)</f>
        <v>#REF!</v>
      </c>
      <c r="P284" s="9" t="e">
        <f t="shared" si="52"/>
        <v>#REF!</v>
      </c>
      <c r="Q284" s="143" t="e">
        <f>MAX(#REF!,#REF!)</f>
        <v>#REF!</v>
      </c>
      <c r="R284" s="9">
        <f t="shared" si="49"/>
        <v>0</v>
      </c>
      <c r="S284" s="8" t="str">
        <f t="shared" si="53"/>
        <v>Belum Sensus</v>
      </c>
      <c r="T284" s="148"/>
      <c r="U284" s="143" t="e">
        <f>MAX(#REF!,#REF!)</f>
        <v>#REF!</v>
      </c>
      <c r="V284" s="143" t="e">
        <f>MAX(#REF!,#REF!)</f>
        <v>#REF!</v>
      </c>
      <c r="W284" s="9">
        <f t="shared" si="54"/>
        <v>0</v>
      </c>
      <c r="X284" s="8" t="str">
        <f t="shared" si="55"/>
        <v>Belum Sensus</v>
      </c>
      <c r="Y284" s="178"/>
      <c r="Z284" s="143">
        <v>0</v>
      </c>
      <c r="AA284" s="9">
        <f t="shared" si="56"/>
        <v>0</v>
      </c>
      <c r="AB284" s="143">
        <v>0</v>
      </c>
      <c r="AC284" s="9">
        <f t="shared" si="50"/>
        <v>0</v>
      </c>
      <c r="AD284" s="8" t="str">
        <f t="shared" si="57"/>
        <v>Belum Sensus</v>
      </c>
      <c r="AE284" s="178"/>
      <c r="AF284" s="143">
        <v>0</v>
      </c>
      <c r="AG284" s="143">
        <v>0</v>
      </c>
      <c r="AH284" s="9">
        <f t="shared" si="58"/>
        <v>0</v>
      </c>
      <c r="AI284" s="8" t="str">
        <f t="shared" si="59"/>
        <v>Belum Sensus</v>
      </c>
    </row>
    <row r="285" spans="1:35" x14ac:dyDescent="0.2">
      <c r="A285" s="8" t="s">
        <v>1739</v>
      </c>
      <c r="B285" s="8" t="s">
        <v>14</v>
      </c>
      <c r="C285" s="8" t="s">
        <v>323</v>
      </c>
      <c r="D285" s="8" t="s">
        <v>1150</v>
      </c>
      <c r="E285" s="9">
        <v>25.02</v>
      </c>
      <c r="F285" s="8" t="s">
        <v>1740</v>
      </c>
      <c r="G285" s="10">
        <v>2929</v>
      </c>
      <c r="H285" s="132">
        <v>46153</v>
      </c>
      <c r="I285" s="8">
        <f t="array" ref="I285">INDEX([26]KOMPARASI!$H$20:$H$199,MATCH(1,([26]KOMPARASI!$C$20:$C$199=$D285)*([26]KOMPARASI!$C$20:$C$199=$D285),0))</f>
        <v>322</v>
      </c>
      <c r="J285" s="9">
        <f t="array" ref="J285">IFERROR(I285/G285*100,0)</f>
        <v>10.993513144417891</v>
      </c>
      <c r="K285" s="8">
        <f t="array" ref="K285">INDEX([26]KOMPARASI!$J$20:$J$199,MATCH(1,([26]KOMPARASI!$C$20:$C$199=$D285)*([26]KOMPARASI!$C$20:$C$199=$D285),0))</f>
        <v>32</v>
      </c>
      <c r="L285" s="9">
        <f t="shared" si="48"/>
        <v>9.9378881987577632</v>
      </c>
      <c r="M285" s="8" t="str">
        <f t="shared" si="51"/>
        <v>Perlu Pengendalian</v>
      </c>
      <c r="N285" s="148"/>
      <c r="O285" s="143" t="e">
        <f>MAX(#REF!,#REF!)</f>
        <v>#REF!</v>
      </c>
      <c r="P285" s="9" t="e">
        <f t="shared" si="52"/>
        <v>#REF!</v>
      </c>
      <c r="Q285" s="143" t="e">
        <f>MAX(#REF!,#REF!)</f>
        <v>#REF!</v>
      </c>
      <c r="R285" s="9">
        <f t="shared" si="49"/>
        <v>0</v>
      </c>
      <c r="S285" s="8" t="str">
        <f t="shared" si="53"/>
        <v>Belum Sensus</v>
      </c>
      <c r="T285" s="148"/>
      <c r="U285" s="143" t="e">
        <f>MAX(#REF!,#REF!)</f>
        <v>#REF!</v>
      </c>
      <c r="V285" s="143" t="e">
        <f>MAX(#REF!,#REF!)</f>
        <v>#REF!</v>
      </c>
      <c r="W285" s="9">
        <f t="shared" si="54"/>
        <v>0</v>
      </c>
      <c r="X285" s="8" t="str">
        <f t="shared" si="55"/>
        <v>Belum Sensus</v>
      </c>
      <c r="Y285" s="178">
        <v>46153</v>
      </c>
      <c r="Z285" s="143">
        <v>112</v>
      </c>
      <c r="AA285" s="9">
        <f t="shared" si="56"/>
        <v>3.8238306589279616</v>
      </c>
      <c r="AB285" s="143">
        <v>19</v>
      </c>
      <c r="AC285" s="9">
        <f t="shared" si="50"/>
        <v>16.964285714285715</v>
      </c>
      <c r="AD285" s="8" t="str">
        <f t="shared" si="57"/>
        <v>Perlu Pengendalian</v>
      </c>
      <c r="AE285" s="178"/>
      <c r="AF285" s="143">
        <v>0</v>
      </c>
      <c r="AG285" s="143">
        <v>0</v>
      </c>
      <c r="AH285" s="9">
        <f t="shared" si="58"/>
        <v>0</v>
      </c>
      <c r="AI285" s="8" t="str">
        <f t="shared" si="59"/>
        <v>Belum Sensus</v>
      </c>
    </row>
    <row r="286" spans="1:35" x14ac:dyDescent="0.2">
      <c r="A286" s="8" t="s">
        <v>1739</v>
      </c>
      <c r="B286" s="8" t="s">
        <v>14</v>
      </c>
      <c r="C286" s="8" t="s">
        <v>323</v>
      </c>
      <c r="D286" s="8" t="s">
        <v>1151</v>
      </c>
      <c r="E286" s="9">
        <v>46.12</v>
      </c>
      <c r="F286" s="8" t="s">
        <v>1740</v>
      </c>
      <c r="G286" s="10">
        <v>6013</v>
      </c>
      <c r="H286" s="132">
        <v>46149</v>
      </c>
      <c r="I286" s="8">
        <f t="array" ref="I286">INDEX([26]KOMPARASI!$H$20:$H$199,MATCH(1,([26]KOMPARASI!$C$20:$C$199=$D286)*([26]KOMPARASI!$C$20:$C$199=$D286),0))</f>
        <v>634</v>
      </c>
      <c r="J286" s="9">
        <f t="array" ref="J286">IFERROR(I286/G286*100,0)</f>
        <v>10.543821719607518</v>
      </c>
      <c r="K286" s="8">
        <f t="array" ref="K286">INDEX([26]KOMPARASI!$J$20:$J$199,MATCH(1,([26]KOMPARASI!$C$20:$C$199=$D286)*([26]KOMPARASI!$C$20:$C$199=$D286),0))</f>
        <v>178</v>
      </c>
      <c r="L286" s="9">
        <f t="shared" si="48"/>
        <v>28.075709779179807</v>
      </c>
      <c r="M286" s="8" t="str">
        <f t="shared" si="51"/>
        <v>Perlu Pengendalian</v>
      </c>
      <c r="N286" s="148"/>
      <c r="O286" s="143" t="e">
        <f>MAX(#REF!,#REF!)</f>
        <v>#REF!</v>
      </c>
      <c r="P286" s="9" t="e">
        <f t="shared" si="52"/>
        <v>#REF!</v>
      </c>
      <c r="Q286" s="143" t="e">
        <f>MAX(#REF!,#REF!)</f>
        <v>#REF!</v>
      </c>
      <c r="R286" s="9">
        <f t="shared" si="49"/>
        <v>0</v>
      </c>
      <c r="S286" s="8" t="str">
        <f t="shared" si="53"/>
        <v>Belum Sensus</v>
      </c>
      <c r="T286" s="148"/>
      <c r="U286" s="143" t="e">
        <f>MAX(#REF!,#REF!)</f>
        <v>#REF!</v>
      </c>
      <c r="V286" s="143" t="e">
        <f>MAX(#REF!,#REF!)</f>
        <v>#REF!</v>
      </c>
      <c r="W286" s="9">
        <f t="shared" si="54"/>
        <v>0</v>
      </c>
      <c r="X286" s="8" t="str">
        <f t="shared" si="55"/>
        <v>Belum Sensus</v>
      </c>
      <c r="Y286" s="178">
        <v>46153</v>
      </c>
      <c r="Z286" s="143">
        <v>64</v>
      </c>
      <c r="AA286" s="9">
        <f t="shared" si="56"/>
        <v>1.0643605521370363</v>
      </c>
      <c r="AB286" s="143">
        <v>11</v>
      </c>
      <c r="AC286" s="9">
        <f t="shared" si="50"/>
        <v>17.1875</v>
      </c>
      <c r="AD286" s="8" t="str">
        <f t="shared" si="57"/>
        <v>Perlu Pengendalian</v>
      </c>
      <c r="AE286" s="178">
        <v>46153</v>
      </c>
      <c r="AF286" s="143">
        <v>1050</v>
      </c>
      <c r="AG286" s="143">
        <v>270</v>
      </c>
      <c r="AH286" s="9">
        <f t="shared" si="58"/>
        <v>25.714285714285712</v>
      </c>
      <c r="AI286" s="8" t="str">
        <f t="shared" si="59"/>
        <v>Perlu Pengendalian</v>
      </c>
    </row>
    <row r="287" spans="1:35" x14ac:dyDescent="0.2">
      <c r="A287" s="8" t="s">
        <v>1739</v>
      </c>
      <c r="B287" s="8" t="s">
        <v>14</v>
      </c>
      <c r="C287" s="8" t="s">
        <v>323</v>
      </c>
      <c r="D287" s="8" t="s">
        <v>1152</v>
      </c>
      <c r="E287" s="9">
        <v>26.46</v>
      </c>
      <c r="F287" s="8" t="s">
        <v>1740</v>
      </c>
      <c r="G287" s="10">
        <v>3322</v>
      </c>
      <c r="H287" s="132">
        <v>46153</v>
      </c>
      <c r="I287" s="8">
        <f t="array" ref="I287">INDEX([26]KOMPARASI!$H$20:$H$199,MATCH(1,([26]KOMPARASI!$C$20:$C$199=$D287)*([26]KOMPARASI!$C$20:$C$199=$D287),0))</f>
        <v>525</v>
      </c>
      <c r="J287" s="9">
        <f t="array" ref="J287">IFERROR(I287/G287*100,0)</f>
        <v>15.803732691149911</v>
      </c>
      <c r="K287" s="8">
        <f t="array" ref="K287">INDEX([26]KOMPARASI!$J$20:$J$199,MATCH(1,([26]KOMPARASI!$C$20:$C$199=$D287)*([26]KOMPARASI!$C$20:$C$199=$D287),0))</f>
        <v>141</v>
      </c>
      <c r="L287" s="9">
        <f t="shared" si="48"/>
        <v>26.857142857142858</v>
      </c>
      <c r="M287" s="8" t="str">
        <f t="shared" si="51"/>
        <v>Perlu Pengendalian</v>
      </c>
      <c r="N287" s="148"/>
      <c r="O287" s="143" t="e">
        <f>MAX(#REF!,#REF!)</f>
        <v>#REF!</v>
      </c>
      <c r="P287" s="9" t="e">
        <f t="shared" si="52"/>
        <v>#REF!</v>
      </c>
      <c r="Q287" s="143" t="e">
        <f>MAX(#REF!,#REF!)</f>
        <v>#REF!</v>
      </c>
      <c r="R287" s="9">
        <f t="shared" si="49"/>
        <v>0</v>
      </c>
      <c r="S287" s="8" t="str">
        <f t="shared" si="53"/>
        <v>Belum Sensus</v>
      </c>
      <c r="T287" s="148"/>
      <c r="U287" s="143" t="e">
        <f>MAX(#REF!,#REF!)</f>
        <v>#REF!</v>
      </c>
      <c r="V287" s="143" t="e">
        <f>MAX(#REF!,#REF!)</f>
        <v>#REF!</v>
      </c>
      <c r="W287" s="9">
        <f t="shared" si="54"/>
        <v>0</v>
      </c>
      <c r="X287" s="8" t="str">
        <f t="shared" si="55"/>
        <v>Belum Sensus</v>
      </c>
      <c r="Y287" s="178">
        <v>46153</v>
      </c>
      <c r="Z287" s="143">
        <v>66</v>
      </c>
      <c r="AA287" s="9">
        <f t="shared" si="56"/>
        <v>1.9867549668874174</v>
      </c>
      <c r="AB287" s="143">
        <v>18</v>
      </c>
      <c r="AC287" s="9">
        <f t="shared" si="50"/>
        <v>27.27272727272727</v>
      </c>
      <c r="AD287" s="8" t="str">
        <f t="shared" si="57"/>
        <v>Perlu Pengendalian</v>
      </c>
      <c r="AE287" s="178">
        <v>46153</v>
      </c>
      <c r="AF287" s="143">
        <v>492</v>
      </c>
      <c r="AG287" s="143">
        <v>115</v>
      </c>
      <c r="AH287" s="9">
        <f t="shared" si="58"/>
        <v>23.373983739837399</v>
      </c>
      <c r="AI287" s="8" t="str">
        <f t="shared" si="59"/>
        <v>Perlu Pengendalian</v>
      </c>
    </row>
    <row r="288" spans="1:35" x14ac:dyDescent="0.2">
      <c r="A288" s="8" t="s">
        <v>1739</v>
      </c>
      <c r="B288" s="8" t="s">
        <v>14</v>
      </c>
      <c r="C288" s="8" t="s">
        <v>323</v>
      </c>
      <c r="D288" s="8" t="s">
        <v>1153</v>
      </c>
      <c r="E288" s="9">
        <v>30.29</v>
      </c>
      <c r="F288" s="8" t="s">
        <v>1740</v>
      </c>
      <c r="G288" s="10">
        <v>4133</v>
      </c>
      <c r="H288" s="132">
        <v>46149</v>
      </c>
      <c r="I288" s="8">
        <f t="array" ref="I288">INDEX([26]KOMPARASI!$H$20:$H$199,MATCH(1,([26]KOMPARASI!$C$20:$C$199=$D288)*([26]KOMPARASI!$C$20:$C$199=$D288),0))</f>
        <v>417</v>
      </c>
      <c r="J288" s="9">
        <f t="array" ref="J288">IFERROR(I288/G288*100,0)</f>
        <v>10.089523348657149</v>
      </c>
      <c r="K288" s="8">
        <f t="array" ref="K288">INDEX([26]KOMPARASI!$J$20:$J$199,MATCH(1,([26]KOMPARASI!$C$20:$C$199=$D288)*([26]KOMPARASI!$C$20:$C$199=$D288),0))</f>
        <v>46</v>
      </c>
      <c r="L288" s="9">
        <f t="shared" si="48"/>
        <v>11.031175059952037</v>
      </c>
      <c r="M288" s="8" t="str">
        <f t="shared" si="51"/>
        <v>Perlu Pengendalian</v>
      </c>
      <c r="N288" s="148"/>
      <c r="O288" s="143" t="e">
        <f>MAX(#REF!,#REF!)</f>
        <v>#REF!</v>
      </c>
      <c r="P288" s="9" t="e">
        <f t="shared" si="52"/>
        <v>#REF!</v>
      </c>
      <c r="Q288" s="143" t="e">
        <f>MAX(#REF!,#REF!)</f>
        <v>#REF!</v>
      </c>
      <c r="R288" s="9">
        <f t="shared" si="49"/>
        <v>0</v>
      </c>
      <c r="S288" s="8" t="str">
        <f t="shared" si="53"/>
        <v>Belum Sensus</v>
      </c>
      <c r="T288" s="148"/>
      <c r="U288" s="143" t="e">
        <f>MAX(#REF!,#REF!)</f>
        <v>#REF!</v>
      </c>
      <c r="V288" s="143" t="e">
        <f>MAX(#REF!,#REF!)</f>
        <v>#REF!</v>
      </c>
      <c r="W288" s="9">
        <f t="shared" si="54"/>
        <v>0</v>
      </c>
      <c r="X288" s="8" t="str">
        <f t="shared" si="55"/>
        <v>Belum Sensus</v>
      </c>
      <c r="Y288" s="178">
        <v>46153</v>
      </c>
      <c r="Z288" s="143">
        <v>67</v>
      </c>
      <c r="AA288" s="9">
        <f t="shared" si="56"/>
        <v>1.6210984756835227</v>
      </c>
      <c r="AB288" s="143">
        <v>21</v>
      </c>
      <c r="AC288" s="9">
        <f t="shared" si="50"/>
        <v>31.343283582089555</v>
      </c>
      <c r="AD288" s="8" t="str">
        <f t="shared" si="57"/>
        <v>Perlu Pengendalian</v>
      </c>
      <c r="AE288" s="178">
        <v>46153</v>
      </c>
      <c r="AF288" s="143">
        <v>591</v>
      </c>
      <c r="AG288" s="143">
        <v>165</v>
      </c>
      <c r="AH288" s="9">
        <f t="shared" si="58"/>
        <v>27.918781725888326</v>
      </c>
      <c r="AI288" s="8" t="str">
        <f t="shared" si="59"/>
        <v>Perlu Pengendalian</v>
      </c>
    </row>
    <row r="289" spans="1:35" x14ac:dyDescent="0.2">
      <c r="A289" s="8" t="s">
        <v>1739</v>
      </c>
      <c r="B289" s="8" t="s">
        <v>14</v>
      </c>
      <c r="C289" s="8" t="s">
        <v>323</v>
      </c>
      <c r="D289" s="8" t="s">
        <v>1154</v>
      </c>
      <c r="E289" s="9">
        <v>22.15</v>
      </c>
      <c r="F289" s="8" t="s">
        <v>1740</v>
      </c>
      <c r="G289" s="10">
        <v>2987</v>
      </c>
      <c r="H289" s="132">
        <v>46149</v>
      </c>
      <c r="I289" s="8">
        <f t="array" ref="I289">INDEX([26]KOMPARASI!$H$20:$H$199,MATCH(1,([26]KOMPARASI!$C$20:$C$199=$D289)*([26]KOMPARASI!$C$20:$C$199=$D289),0))</f>
        <v>294</v>
      </c>
      <c r="J289" s="9">
        <f t="array" ref="J289">IFERROR(I289/G289*100,0)</f>
        <v>9.8426514897890858</v>
      </c>
      <c r="K289" s="8">
        <f t="array" ref="K289">INDEX([26]KOMPARASI!$J$20:$J$199,MATCH(1,([26]KOMPARASI!$C$20:$C$199=$D289)*([26]KOMPARASI!$C$20:$C$199=$D289),0))</f>
        <v>12</v>
      </c>
      <c r="L289" s="9">
        <f t="shared" si="48"/>
        <v>4.0816326530612246</v>
      </c>
      <c r="M289" s="8" t="str">
        <f t="shared" si="51"/>
        <v>Perlu Pengendalian</v>
      </c>
      <c r="N289" s="148"/>
      <c r="O289" s="143" t="e">
        <f>MAX(#REF!,#REF!)</f>
        <v>#REF!</v>
      </c>
      <c r="P289" s="9" t="e">
        <f t="shared" si="52"/>
        <v>#REF!</v>
      </c>
      <c r="Q289" s="143" t="e">
        <f>MAX(#REF!,#REF!)</f>
        <v>#REF!</v>
      </c>
      <c r="R289" s="9">
        <f t="shared" si="49"/>
        <v>0</v>
      </c>
      <c r="S289" s="8" t="str">
        <f t="shared" si="53"/>
        <v>Belum Sensus</v>
      </c>
      <c r="T289" s="148"/>
      <c r="U289" s="143" t="e">
        <f>MAX(#REF!,#REF!)</f>
        <v>#REF!</v>
      </c>
      <c r="V289" s="143" t="e">
        <f>MAX(#REF!,#REF!)</f>
        <v>#REF!</v>
      </c>
      <c r="W289" s="9">
        <f t="shared" si="54"/>
        <v>0</v>
      </c>
      <c r="X289" s="8" t="str">
        <f t="shared" si="55"/>
        <v>Belum Sensus</v>
      </c>
      <c r="Y289" s="178">
        <v>46153</v>
      </c>
      <c r="Z289" s="143">
        <v>71</v>
      </c>
      <c r="AA289" s="9">
        <f t="shared" si="56"/>
        <v>2.3769668563776363</v>
      </c>
      <c r="AB289" s="143">
        <v>24</v>
      </c>
      <c r="AC289" s="9">
        <f t="shared" si="50"/>
        <v>33.802816901408448</v>
      </c>
      <c r="AD289" s="8" t="str">
        <f t="shared" si="57"/>
        <v>Perlu Pengendalian</v>
      </c>
      <c r="AE289" s="178">
        <v>46153</v>
      </c>
      <c r="AF289" s="143">
        <v>603</v>
      </c>
      <c r="AG289" s="143">
        <v>192</v>
      </c>
      <c r="AH289" s="9">
        <f t="shared" si="58"/>
        <v>31.840796019900498</v>
      </c>
      <c r="AI289" s="8" t="str">
        <f t="shared" si="59"/>
        <v>Perlu Pengendalian</v>
      </c>
    </row>
    <row r="290" spans="1:35" x14ac:dyDescent="0.2">
      <c r="A290" s="8" t="s">
        <v>1739</v>
      </c>
      <c r="B290" s="8" t="s">
        <v>14</v>
      </c>
      <c r="C290" s="8" t="s">
        <v>323</v>
      </c>
      <c r="D290" s="8" t="s">
        <v>1155</v>
      </c>
      <c r="E290" s="9">
        <v>25.45</v>
      </c>
      <c r="F290" s="8" t="s">
        <v>1740</v>
      </c>
      <c r="G290" s="10">
        <v>3312</v>
      </c>
      <c r="H290" s="132">
        <v>46149</v>
      </c>
      <c r="I290" s="8">
        <f t="array" ref="I290">INDEX([26]KOMPARASI!$H$20:$H$199,MATCH(1,([26]KOMPARASI!$C$20:$C$199=$D290)*([26]KOMPARASI!$C$20:$C$199=$D290),0))</f>
        <v>355</v>
      </c>
      <c r="J290" s="9">
        <f t="array" ref="J290">IFERROR(I290/G290*100,0)</f>
        <v>10.718599033816426</v>
      </c>
      <c r="K290" s="8">
        <f t="array" ref="K290">INDEX([26]KOMPARASI!$J$20:$J$199,MATCH(1,([26]KOMPARASI!$C$20:$C$199=$D290)*([26]KOMPARASI!$C$20:$C$199=$D290),0))</f>
        <v>31</v>
      </c>
      <c r="L290" s="9">
        <f t="shared" si="48"/>
        <v>8.7323943661971821</v>
      </c>
      <c r="M290" s="8" t="str">
        <f t="shared" si="51"/>
        <v>Perlu Pengendalian</v>
      </c>
      <c r="N290" s="148"/>
      <c r="O290" s="143" t="e">
        <f>MAX(#REF!,#REF!)</f>
        <v>#REF!</v>
      </c>
      <c r="P290" s="9" t="e">
        <f t="shared" si="52"/>
        <v>#REF!</v>
      </c>
      <c r="Q290" s="143" t="e">
        <f>MAX(#REF!,#REF!)</f>
        <v>#REF!</v>
      </c>
      <c r="R290" s="9">
        <f t="shared" si="49"/>
        <v>0</v>
      </c>
      <c r="S290" s="8" t="str">
        <f t="shared" si="53"/>
        <v>Belum Sensus</v>
      </c>
      <c r="T290" s="148"/>
      <c r="U290" s="143" t="e">
        <f>MAX(#REF!,#REF!)</f>
        <v>#REF!</v>
      </c>
      <c r="V290" s="143" t="e">
        <f>MAX(#REF!,#REF!)</f>
        <v>#REF!</v>
      </c>
      <c r="W290" s="9">
        <f t="shared" si="54"/>
        <v>0</v>
      </c>
      <c r="X290" s="8" t="str">
        <f t="shared" si="55"/>
        <v>Belum Sensus</v>
      </c>
      <c r="Y290" s="178">
        <v>46153</v>
      </c>
      <c r="Z290" s="143">
        <v>144</v>
      </c>
      <c r="AA290" s="9">
        <f t="shared" si="56"/>
        <v>4.3478260869565215</v>
      </c>
      <c r="AB290" s="143">
        <v>43</v>
      </c>
      <c r="AC290" s="9">
        <f t="shared" si="50"/>
        <v>29.861111111111111</v>
      </c>
      <c r="AD290" s="8" t="str">
        <f t="shared" si="57"/>
        <v>Perlu Pengendalian</v>
      </c>
      <c r="AE290" s="178">
        <v>46153</v>
      </c>
      <c r="AF290" s="143">
        <v>602</v>
      </c>
      <c r="AG290" s="143">
        <v>185</v>
      </c>
      <c r="AH290" s="9">
        <f t="shared" si="58"/>
        <v>30.730897009966778</v>
      </c>
      <c r="AI290" s="8" t="str">
        <f t="shared" si="59"/>
        <v>Perlu Pengendalian</v>
      </c>
    </row>
    <row r="291" spans="1:35" x14ac:dyDescent="0.2">
      <c r="A291" s="8" t="s">
        <v>1739</v>
      </c>
      <c r="B291" s="8" t="s">
        <v>14</v>
      </c>
      <c r="C291" s="8" t="s">
        <v>323</v>
      </c>
      <c r="D291" s="8" t="s">
        <v>1156</v>
      </c>
      <c r="E291" s="9">
        <v>30.1</v>
      </c>
      <c r="F291" s="8" t="s">
        <v>1740</v>
      </c>
      <c r="G291" s="10">
        <v>3956</v>
      </c>
      <c r="H291" s="132">
        <v>46149</v>
      </c>
      <c r="I291" s="8">
        <f t="array" ref="I291">INDEX([26]KOMPARASI!$H$20:$H$199,MATCH(1,([26]KOMPARASI!$C$20:$C$199=$D291)*([26]KOMPARASI!$C$20:$C$199=$D291),0))</f>
        <v>409</v>
      </c>
      <c r="J291" s="9">
        <f t="array" ref="J291">IFERROR(I291/G291*100,0)</f>
        <v>10.338725985844286</v>
      </c>
      <c r="K291" s="8">
        <f t="array" ref="K291">INDEX([26]KOMPARASI!$J$20:$J$199,MATCH(1,([26]KOMPARASI!$C$20:$C$199=$D291)*([26]KOMPARASI!$C$20:$C$199=$D291),0))</f>
        <v>74</v>
      </c>
      <c r="L291" s="9">
        <f t="shared" si="48"/>
        <v>18.092909535452321</v>
      </c>
      <c r="M291" s="8" t="str">
        <f t="shared" si="51"/>
        <v>Perlu Pengendalian</v>
      </c>
      <c r="N291" s="148"/>
      <c r="O291" s="143" t="e">
        <f>MAX(#REF!,#REF!)</f>
        <v>#REF!</v>
      </c>
      <c r="P291" s="9" t="e">
        <f t="shared" si="52"/>
        <v>#REF!</v>
      </c>
      <c r="Q291" s="143" t="e">
        <f>MAX(#REF!,#REF!)</f>
        <v>#REF!</v>
      </c>
      <c r="R291" s="9">
        <f t="shared" si="49"/>
        <v>0</v>
      </c>
      <c r="S291" s="8" t="str">
        <f t="shared" si="53"/>
        <v>Belum Sensus</v>
      </c>
      <c r="T291" s="148"/>
      <c r="U291" s="143" t="e">
        <f>MAX(#REF!,#REF!)</f>
        <v>#REF!</v>
      </c>
      <c r="V291" s="143" t="e">
        <f>MAX(#REF!,#REF!)</f>
        <v>#REF!</v>
      </c>
      <c r="W291" s="9">
        <f t="shared" si="54"/>
        <v>0</v>
      </c>
      <c r="X291" s="8" t="str">
        <f t="shared" si="55"/>
        <v>Belum Sensus</v>
      </c>
      <c r="Y291" s="178"/>
      <c r="Z291" s="143">
        <v>0</v>
      </c>
      <c r="AA291" s="9">
        <f t="shared" si="56"/>
        <v>0</v>
      </c>
      <c r="AB291" s="143">
        <v>0</v>
      </c>
      <c r="AC291" s="9">
        <f t="shared" si="50"/>
        <v>0</v>
      </c>
      <c r="AD291" s="8" t="str">
        <f t="shared" si="57"/>
        <v>Belum Sensus</v>
      </c>
      <c r="AE291" s="178">
        <v>46153</v>
      </c>
      <c r="AF291" s="143">
        <v>754</v>
      </c>
      <c r="AG291" s="143">
        <v>227</v>
      </c>
      <c r="AH291" s="9">
        <f t="shared" si="58"/>
        <v>30.106100795755967</v>
      </c>
      <c r="AI291" s="8" t="str">
        <f t="shared" si="59"/>
        <v>Perlu Pengendalian</v>
      </c>
    </row>
    <row r="292" spans="1:35" x14ac:dyDescent="0.2">
      <c r="A292" s="8" t="s">
        <v>1739</v>
      </c>
      <c r="B292" s="8" t="s">
        <v>14</v>
      </c>
      <c r="C292" s="8" t="s">
        <v>323</v>
      </c>
      <c r="D292" s="8" t="s">
        <v>1157</v>
      </c>
      <c r="E292" s="9">
        <v>27.13</v>
      </c>
      <c r="F292" s="8" t="s">
        <v>1740</v>
      </c>
      <c r="G292" s="10">
        <v>3388</v>
      </c>
      <c r="H292" s="132">
        <v>46149</v>
      </c>
      <c r="I292" s="8">
        <f t="array" ref="I292">INDEX([26]KOMPARASI!$H$20:$H$199,MATCH(1,([26]KOMPARASI!$C$20:$C$199=$D292)*([26]KOMPARASI!$C$20:$C$199=$D292),0))</f>
        <v>356</v>
      </c>
      <c r="J292" s="9">
        <f t="array" ref="J292">IFERROR(I292/G292*100,0)</f>
        <v>10.507674144037781</v>
      </c>
      <c r="K292" s="8">
        <f t="array" ref="K292">INDEX([26]KOMPARASI!$J$20:$J$199,MATCH(1,([26]KOMPARASI!$C$20:$C$199=$D292)*([26]KOMPARASI!$C$20:$C$199=$D292),0))</f>
        <v>119</v>
      </c>
      <c r="L292" s="9">
        <f t="shared" si="48"/>
        <v>33.426966292134829</v>
      </c>
      <c r="M292" s="8" t="str">
        <f t="shared" si="51"/>
        <v>Perlu Pengendalian</v>
      </c>
      <c r="N292" s="148"/>
      <c r="O292" s="143" t="e">
        <f>MAX(#REF!,#REF!)</f>
        <v>#REF!</v>
      </c>
      <c r="P292" s="9" t="e">
        <f t="shared" si="52"/>
        <v>#REF!</v>
      </c>
      <c r="Q292" s="143" t="e">
        <f>MAX(#REF!,#REF!)</f>
        <v>#REF!</v>
      </c>
      <c r="R292" s="9">
        <f t="shared" si="49"/>
        <v>0</v>
      </c>
      <c r="S292" s="8" t="str">
        <f t="shared" si="53"/>
        <v>Belum Sensus</v>
      </c>
      <c r="T292" s="148"/>
      <c r="U292" s="143" t="e">
        <f>MAX(#REF!,#REF!)</f>
        <v>#REF!</v>
      </c>
      <c r="V292" s="143" t="e">
        <f>MAX(#REF!,#REF!)</f>
        <v>#REF!</v>
      </c>
      <c r="W292" s="9">
        <f t="shared" si="54"/>
        <v>0</v>
      </c>
      <c r="X292" s="8" t="str">
        <f t="shared" si="55"/>
        <v>Belum Sensus</v>
      </c>
      <c r="Y292" s="178">
        <v>46153</v>
      </c>
      <c r="Z292" s="143">
        <v>162</v>
      </c>
      <c r="AA292" s="9">
        <f t="shared" si="56"/>
        <v>4.781582054309327</v>
      </c>
      <c r="AB292" s="143">
        <v>34</v>
      </c>
      <c r="AC292" s="9">
        <f t="shared" si="50"/>
        <v>20.987654320987652</v>
      </c>
      <c r="AD292" s="8" t="str">
        <f t="shared" si="57"/>
        <v>Perlu Pengendalian</v>
      </c>
      <c r="AE292" s="178">
        <v>46153</v>
      </c>
      <c r="AF292" s="143">
        <v>349</v>
      </c>
      <c r="AG292" s="143">
        <v>107</v>
      </c>
      <c r="AH292" s="9">
        <f t="shared" si="58"/>
        <v>30.659025787965614</v>
      </c>
      <c r="AI292" s="8" t="str">
        <f t="shared" si="59"/>
        <v>Perlu Pengendalian</v>
      </c>
    </row>
    <row r="293" spans="1:35" x14ac:dyDescent="0.2">
      <c r="A293" s="8" t="s">
        <v>1739</v>
      </c>
      <c r="B293" s="8" t="s">
        <v>14</v>
      </c>
      <c r="C293" s="8" t="s">
        <v>323</v>
      </c>
      <c r="D293" s="8" t="s">
        <v>1158</v>
      </c>
      <c r="E293" s="9">
        <v>26.62</v>
      </c>
      <c r="F293" s="8" t="s">
        <v>1740</v>
      </c>
      <c r="G293" s="10">
        <v>3540</v>
      </c>
      <c r="H293" s="132">
        <v>46149</v>
      </c>
      <c r="I293" s="8">
        <f t="array" ref="I293">INDEX([26]KOMPARASI!$H$20:$H$199,MATCH(1,([26]KOMPARASI!$C$20:$C$199=$D293)*([26]KOMPARASI!$C$20:$C$199=$D293),0))</f>
        <v>342</v>
      </c>
      <c r="J293" s="9">
        <f t="array" ref="J293">IFERROR(I293/G293*100,0)</f>
        <v>9.6610169491525433</v>
      </c>
      <c r="K293" s="8">
        <f t="array" ref="K293">INDEX([26]KOMPARASI!$J$20:$J$199,MATCH(1,([26]KOMPARASI!$C$20:$C$199=$D293)*([26]KOMPARASI!$C$20:$C$199=$D293),0))</f>
        <v>27</v>
      </c>
      <c r="L293" s="9">
        <f t="shared" si="48"/>
        <v>7.8947368421052628</v>
      </c>
      <c r="M293" s="8" t="str">
        <f t="shared" si="51"/>
        <v>Perlu Pengendalian</v>
      </c>
      <c r="N293" s="148"/>
      <c r="O293" s="143" t="e">
        <f>MAX(#REF!,#REF!)</f>
        <v>#REF!</v>
      </c>
      <c r="P293" s="9" t="e">
        <f t="shared" si="52"/>
        <v>#REF!</v>
      </c>
      <c r="Q293" s="143" t="e">
        <f>MAX(#REF!,#REF!)</f>
        <v>#REF!</v>
      </c>
      <c r="R293" s="9">
        <f t="shared" si="49"/>
        <v>0</v>
      </c>
      <c r="S293" s="8" t="str">
        <f t="shared" si="53"/>
        <v>Belum Sensus</v>
      </c>
      <c r="T293" s="148"/>
      <c r="U293" s="143" t="e">
        <f>MAX(#REF!,#REF!)</f>
        <v>#REF!</v>
      </c>
      <c r="V293" s="143" t="e">
        <f>MAX(#REF!,#REF!)</f>
        <v>#REF!</v>
      </c>
      <c r="W293" s="9">
        <f t="shared" si="54"/>
        <v>0</v>
      </c>
      <c r="X293" s="8" t="str">
        <f t="shared" si="55"/>
        <v>Belum Sensus</v>
      </c>
      <c r="Y293" s="178">
        <v>46153</v>
      </c>
      <c r="Z293" s="143">
        <v>70</v>
      </c>
      <c r="AA293" s="9">
        <f t="shared" si="56"/>
        <v>1.977401129943503</v>
      </c>
      <c r="AB293" s="143">
        <v>17</v>
      </c>
      <c r="AC293" s="9">
        <f t="shared" si="50"/>
        <v>24.285714285714285</v>
      </c>
      <c r="AD293" s="8" t="str">
        <f t="shared" si="57"/>
        <v>Perlu Pengendalian</v>
      </c>
      <c r="AE293" s="178"/>
      <c r="AF293" s="143">
        <v>0</v>
      </c>
      <c r="AG293" s="143">
        <v>0</v>
      </c>
      <c r="AH293" s="9">
        <f t="shared" si="58"/>
        <v>0</v>
      </c>
      <c r="AI293" s="8" t="str">
        <f t="shared" si="59"/>
        <v>Belum Sensus</v>
      </c>
    </row>
    <row r="294" spans="1:35" x14ac:dyDescent="0.2">
      <c r="A294" s="8" t="s">
        <v>1739</v>
      </c>
      <c r="B294" s="8" t="s">
        <v>14</v>
      </c>
      <c r="C294" s="8" t="s">
        <v>323</v>
      </c>
      <c r="D294" s="8" t="s">
        <v>1159</v>
      </c>
      <c r="E294" s="9">
        <v>33.36</v>
      </c>
      <c r="F294" s="8" t="s">
        <v>1740</v>
      </c>
      <c r="G294" s="10">
        <v>4591</v>
      </c>
      <c r="H294" s="132">
        <v>46153</v>
      </c>
      <c r="I294" s="8">
        <f t="array" ref="I294">INDEX([26]KOMPARASI!$H$20:$H$199,MATCH(1,([26]KOMPARASI!$C$20:$C$199=$D294)*([26]KOMPARASI!$C$20:$C$199=$D294),0))</f>
        <v>419</v>
      </c>
      <c r="J294" s="9">
        <f t="array" ref="J294">IFERROR(I294/G294*100,0)</f>
        <v>9.1265519494663465</v>
      </c>
      <c r="K294" s="8">
        <f t="array" ref="K294">INDEX([26]KOMPARASI!$J$20:$J$199,MATCH(1,([26]KOMPARASI!$C$20:$C$199=$D294)*([26]KOMPARASI!$C$20:$C$199=$D294),0))</f>
        <v>110</v>
      </c>
      <c r="L294" s="9">
        <f t="shared" si="48"/>
        <v>26.252983293556088</v>
      </c>
      <c r="M294" s="8" t="str">
        <f t="shared" si="51"/>
        <v>Perlu Pengendalian</v>
      </c>
      <c r="N294" s="148"/>
      <c r="O294" s="143" t="e">
        <f>MAX(#REF!,#REF!)</f>
        <v>#REF!</v>
      </c>
      <c r="P294" s="9" t="e">
        <f t="shared" si="52"/>
        <v>#REF!</v>
      </c>
      <c r="Q294" s="143" t="e">
        <f>MAX(#REF!,#REF!)</f>
        <v>#REF!</v>
      </c>
      <c r="R294" s="9">
        <f t="shared" si="49"/>
        <v>0</v>
      </c>
      <c r="S294" s="8" t="str">
        <f t="shared" si="53"/>
        <v>Belum Sensus</v>
      </c>
      <c r="T294" s="148"/>
      <c r="U294" s="143" t="e">
        <f>MAX(#REF!,#REF!)</f>
        <v>#REF!</v>
      </c>
      <c r="V294" s="143" t="e">
        <f>MAX(#REF!,#REF!)</f>
        <v>#REF!</v>
      </c>
      <c r="W294" s="9">
        <f t="shared" si="54"/>
        <v>0</v>
      </c>
      <c r="X294" s="8" t="str">
        <f t="shared" si="55"/>
        <v>Belum Sensus</v>
      </c>
      <c r="Y294" s="178"/>
      <c r="Z294" s="143">
        <v>0</v>
      </c>
      <c r="AA294" s="9">
        <f t="shared" si="56"/>
        <v>0</v>
      </c>
      <c r="AB294" s="143">
        <v>0</v>
      </c>
      <c r="AC294" s="9">
        <f t="shared" si="50"/>
        <v>0</v>
      </c>
      <c r="AD294" s="8" t="str">
        <f t="shared" si="57"/>
        <v>Belum Sensus</v>
      </c>
      <c r="AE294" s="178"/>
      <c r="AF294" s="143">
        <v>0</v>
      </c>
      <c r="AG294" s="143">
        <v>0</v>
      </c>
      <c r="AH294" s="9">
        <f t="shared" si="58"/>
        <v>0</v>
      </c>
      <c r="AI294" s="8" t="str">
        <f t="shared" si="59"/>
        <v>Belum Sensus</v>
      </c>
    </row>
    <row r="295" spans="1:35" x14ac:dyDescent="0.2">
      <c r="A295" s="8" t="s">
        <v>1739</v>
      </c>
      <c r="B295" s="8" t="s">
        <v>14</v>
      </c>
      <c r="C295" s="8" t="s">
        <v>323</v>
      </c>
      <c r="D295" s="8" t="s">
        <v>1160</v>
      </c>
      <c r="E295" s="9">
        <v>46.45</v>
      </c>
      <c r="F295" s="8" t="s">
        <v>1740</v>
      </c>
      <c r="G295" s="10">
        <v>6421</v>
      </c>
      <c r="H295" s="132">
        <v>46153</v>
      </c>
      <c r="I295" s="8">
        <f t="array" ref="I295">INDEX([26]KOMPARASI!$H$20:$H$199,MATCH(1,([26]KOMPARASI!$C$20:$C$199=$D295)*([26]KOMPARASI!$C$20:$C$199=$D295),0))</f>
        <v>655</v>
      </c>
      <c r="J295" s="9">
        <f t="array" ref="J295">IFERROR(I295/G295*100,0)</f>
        <v>10.20090328609251</v>
      </c>
      <c r="K295" s="8">
        <f t="array" ref="K295">INDEX([26]KOMPARASI!$J$20:$J$199,MATCH(1,([26]KOMPARASI!$C$20:$C$199=$D295)*([26]KOMPARASI!$C$20:$C$199=$D295),0))</f>
        <v>46</v>
      </c>
      <c r="L295" s="9">
        <f t="shared" si="48"/>
        <v>7.0229007633587788</v>
      </c>
      <c r="M295" s="8" t="str">
        <f t="shared" si="51"/>
        <v>Perlu Pengendalian</v>
      </c>
      <c r="N295" s="148"/>
      <c r="O295" s="143" t="e">
        <f>MAX(#REF!,#REF!)</f>
        <v>#REF!</v>
      </c>
      <c r="P295" s="9" t="e">
        <f t="shared" si="52"/>
        <v>#REF!</v>
      </c>
      <c r="Q295" s="143" t="e">
        <f>MAX(#REF!,#REF!)</f>
        <v>#REF!</v>
      </c>
      <c r="R295" s="9">
        <f t="shared" si="49"/>
        <v>0</v>
      </c>
      <c r="S295" s="8" t="str">
        <f t="shared" si="53"/>
        <v>Belum Sensus</v>
      </c>
      <c r="T295" s="148"/>
      <c r="U295" s="143" t="e">
        <f>MAX(#REF!,#REF!)</f>
        <v>#REF!</v>
      </c>
      <c r="V295" s="143" t="e">
        <f>MAX(#REF!,#REF!)</f>
        <v>#REF!</v>
      </c>
      <c r="W295" s="9">
        <f t="shared" si="54"/>
        <v>0</v>
      </c>
      <c r="X295" s="8" t="str">
        <f t="shared" si="55"/>
        <v>Belum Sensus</v>
      </c>
      <c r="Y295" s="178"/>
      <c r="Z295" s="143">
        <v>0</v>
      </c>
      <c r="AA295" s="9">
        <f t="shared" si="56"/>
        <v>0</v>
      </c>
      <c r="AB295" s="143">
        <v>0</v>
      </c>
      <c r="AC295" s="9">
        <f t="shared" si="50"/>
        <v>0</v>
      </c>
      <c r="AD295" s="8" t="str">
        <f t="shared" si="57"/>
        <v>Belum Sensus</v>
      </c>
      <c r="AE295" s="178">
        <v>46153</v>
      </c>
      <c r="AF295" s="143">
        <v>54</v>
      </c>
      <c r="AG295" s="143">
        <v>10</v>
      </c>
      <c r="AH295" s="9">
        <f t="shared" si="58"/>
        <v>18.518518518518519</v>
      </c>
      <c r="AI295" s="8" t="str">
        <f t="shared" si="59"/>
        <v>Perlu Pengendalian</v>
      </c>
    </row>
    <row r="296" spans="1:35" x14ac:dyDescent="0.2">
      <c r="A296" s="8" t="s">
        <v>1739</v>
      </c>
      <c r="B296" s="8" t="s">
        <v>14</v>
      </c>
      <c r="C296" s="8" t="s">
        <v>323</v>
      </c>
      <c r="D296" s="8" t="s">
        <v>1161</v>
      </c>
      <c r="E296" s="9">
        <v>30.97</v>
      </c>
      <c r="F296" s="8" t="s">
        <v>1740</v>
      </c>
      <c r="G296" s="10">
        <v>4152</v>
      </c>
      <c r="H296" s="132">
        <v>46149</v>
      </c>
      <c r="I296" s="8">
        <f t="array" ref="I296">INDEX([26]KOMPARASI!$H$20:$H$199,MATCH(1,([26]KOMPARASI!$C$20:$C$199=$D296)*([26]KOMPARASI!$C$20:$C$199=$D296),0))</f>
        <v>457</v>
      </c>
      <c r="J296" s="9">
        <f t="array" ref="J296">IFERROR(I296/G296*100,0)</f>
        <v>11.006743737957612</v>
      </c>
      <c r="K296" s="8">
        <f t="array" ref="K296">INDEX([26]KOMPARASI!$J$20:$J$199,MATCH(1,([26]KOMPARASI!$C$20:$C$199=$D296)*([26]KOMPARASI!$C$20:$C$199=$D296),0))</f>
        <v>43</v>
      </c>
      <c r="L296" s="9">
        <f t="shared" si="48"/>
        <v>9.4091903719912473</v>
      </c>
      <c r="M296" s="8" t="str">
        <f t="shared" si="51"/>
        <v>Perlu Pengendalian</v>
      </c>
      <c r="N296" s="148"/>
      <c r="O296" s="143" t="e">
        <f>MAX(#REF!,#REF!)</f>
        <v>#REF!</v>
      </c>
      <c r="P296" s="9" t="e">
        <f t="shared" si="52"/>
        <v>#REF!</v>
      </c>
      <c r="Q296" s="143" t="e">
        <f>MAX(#REF!,#REF!)</f>
        <v>#REF!</v>
      </c>
      <c r="R296" s="9">
        <f t="shared" si="49"/>
        <v>0</v>
      </c>
      <c r="S296" s="8" t="str">
        <f t="shared" si="53"/>
        <v>Belum Sensus</v>
      </c>
      <c r="T296" s="148"/>
      <c r="U296" s="143" t="e">
        <f>MAX(#REF!,#REF!)</f>
        <v>#REF!</v>
      </c>
      <c r="V296" s="143" t="e">
        <f>MAX(#REF!,#REF!)</f>
        <v>#REF!</v>
      </c>
      <c r="W296" s="9">
        <f t="shared" si="54"/>
        <v>0</v>
      </c>
      <c r="X296" s="8" t="str">
        <f t="shared" si="55"/>
        <v>Belum Sensus</v>
      </c>
      <c r="Y296" s="178"/>
      <c r="Z296" s="143">
        <v>0</v>
      </c>
      <c r="AA296" s="9">
        <f t="shared" si="56"/>
        <v>0</v>
      </c>
      <c r="AB296" s="143">
        <v>0</v>
      </c>
      <c r="AC296" s="9">
        <f t="shared" si="50"/>
        <v>0</v>
      </c>
      <c r="AD296" s="8" t="str">
        <f t="shared" si="57"/>
        <v>Belum Sensus</v>
      </c>
      <c r="AE296" s="178">
        <v>46153</v>
      </c>
      <c r="AF296" s="143">
        <v>1053</v>
      </c>
      <c r="AG296" s="143">
        <v>281</v>
      </c>
      <c r="AH296" s="9">
        <f t="shared" si="58"/>
        <v>26.685660018993353</v>
      </c>
      <c r="AI296" s="8" t="str">
        <f t="shared" si="59"/>
        <v>Perlu Pengendalian</v>
      </c>
    </row>
    <row r="297" spans="1:35" x14ac:dyDescent="0.2">
      <c r="A297" s="8" t="s">
        <v>1739</v>
      </c>
      <c r="B297" s="8" t="s">
        <v>14</v>
      </c>
      <c r="C297" s="8" t="s">
        <v>323</v>
      </c>
      <c r="D297" s="8" t="s">
        <v>1162</v>
      </c>
      <c r="E297" s="9">
        <v>37.630000000000003</v>
      </c>
      <c r="F297" s="8" t="s">
        <v>1740</v>
      </c>
      <c r="G297" s="10">
        <v>5190</v>
      </c>
      <c r="H297" s="132">
        <v>46149</v>
      </c>
      <c r="I297" s="8">
        <f t="array" ref="I297">INDEX([26]KOMPARASI!$H$20:$H$199,MATCH(1,([26]KOMPARASI!$C$20:$C$199=$D297)*([26]KOMPARASI!$C$20:$C$199=$D297),0))</f>
        <v>527</v>
      </c>
      <c r="J297" s="9">
        <f t="array" ref="J297">IFERROR(I297/G297*100,0)</f>
        <v>10.154142581888246</v>
      </c>
      <c r="K297" s="8">
        <f t="array" ref="K297">INDEX([26]KOMPARASI!$J$20:$J$199,MATCH(1,([26]KOMPARASI!$C$20:$C$199=$D297)*([26]KOMPARASI!$C$20:$C$199=$D297),0))</f>
        <v>30</v>
      </c>
      <c r="L297" s="9">
        <f t="shared" si="48"/>
        <v>5.6925996204933584</v>
      </c>
      <c r="M297" s="8" t="str">
        <f t="shared" si="51"/>
        <v>Perlu Pengendalian</v>
      </c>
      <c r="N297" s="148"/>
      <c r="O297" s="143" t="e">
        <f>MAX(#REF!,#REF!)</f>
        <v>#REF!</v>
      </c>
      <c r="P297" s="9" t="e">
        <f t="shared" si="52"/>
        <v>#REF!</v>
      </c>
      <c r="Q297" s="143" t="e">
        <f>MAX(#REF!,#REF!)</f>
        <v>#REF!</v>
      </c>
      <c r="R297" s="9">
        <f t="shared" si="49"/>
        <v>0</v>
      </c>
      <c r="S297" s="8" t="str">
        <f t="shared" si="53"/>
        <v>Belum Sensus</v>
      </c>
      <c r="T297" s="148"/>
      <c r="U297" s="143" t="e">
        <f>MAX(#REF!,#REF!)</f>
        <v>#REF!</v>
      </c>
      <c r="V297" s="143" t="e">
        <f>MAX(#REF!,#REF!)</f>
        <v>#REF!</v>
      </c>
      <c r="W297" s="9">
        <f t="shared" si="54"/>
        <v>0</v>
      </c>
      <c r="X297" s="8" t="str">
        <f t="shared" si="55"/>
        <v>Belum Sensus</v>
      </c>
      <c r="Y297" s="178"/>
      <c r="Z297" s="143">
        <v>0</v>
      </c>
      <c r="AA297" s="9">
        <f t="shared" si="56"/>
        <v>0</v>
      </c>
      <c r="AB297" s="143">
        <v>0</v>
      </c>
      <c r="AC297" s="9">
        <f t="shared" si="50"/>
        <v>0</v>
      </c>
      <c r="AD297" s="8" t="str">
        <f t="shared" si="57"/>
        <v>Belum Sensus</v>
      </c>
      <c r="AE297" s="178">
        <v>46153</v>
      </c>
      <c r="AF297" s="143">
        <v>839</v>
      </c>
      <c r="AG297" s="143">
        <v>302</v>
      </c>
      <c r="AH297" s="9">
        <f t="shared" si="58"/>
        <v>35.995232419547079</v>
      </c>
      <c r="AI297" s="8" t="str">
        <f t="shared" si="59"/>
        <v>Perlu Pengendalian</v>
      </c>
    </row>
    <row r="298" spans="1:35" x14ac:dyDescent="0.2">
      <c r="A298" s="8" t="s">
        <v>1739</v>
      </c>
      <c r="B298" s="8" t="s">
        <v>14</v>
      </c>
      <c r="C298" s="8" t="s">
        <v>323</v>
      </c>
      <c r="D298" s="8" t="s">
        <v>1163</v>
      </c>
      <c r="E298" s="9">
        <v>35.65</v>
      </c>
      <c r="F298" s="8" t="s">
        <v>1740</v>
      </c>
      <c r="G298" s="10">
        <v>4861</v>
      </c>
      <c r="H298" s="132">
        <v>46149</v>
      </c>
      <c r="I298" s="8">
        <f t="array" ref="I298">INDEX([26]KOMPARASI!$H$20:$H$199,MATCH(1,([26]KOMPARASI!$C$20:$C$199=$D298)*([26]KOMPARASI!$C$20:$C$199=$D298),0))</f>
        <v>396</v>
      </c>
      <c r="J298" s="9">
        <f t="array" ref="J298">IFERROR(I298/G298*100,0)</f>
        <v>8.1464719193581576</v>
      </c>
      <c r="K298" s="8">
        <f t="array" ref="K298">INDEX([26]KOMPARASI!$J$20:$J$199,MATCH(1,([26]KOMPARASI!$C$20:$C$199=$D298)*([26]KOMPARASI!$C$20:$C$199=$D298),0))</f>
        <v>95</v>
      </c>
      <c r="L298" s="9">
        <f t="shared" si="48"/>
        <v>23.98989898989899</v>
      </c>
      <c r="M298" s="8" t="str">
        <f t="shared" si="51"/>
        <v>Perlu Pengendalian</v>
      </c>
      <c r="N298" s="148"/>
      <c r="O298" s="143" t="e">
        <f>MAX(#REF!,#REF!)</f>
        <v>#REF!</v>
      </c>
      <c r="P298" s="9" t="e">
        <f t="shared" si="52"/>
        <v>#REF!</v>
      </c>
      <c r="Q298" s="143" t="e">
        <f>MAX(#REF!,#REF!)</f>
        <v>#REF!</v>
      </c>
      <c r="R298" s="9">
        <f t="shared" si="49"/>
        <v>0</v>
      </c>
      <c r="S298" s="8" t="str">
        <f t="shared" si="53"/>
        <v>Belum Sensus</v>
      </c>
      <c r="T298" s="148"/>
      <c r="U298" s="143" t="e">
        <f>MAX(#REF!,#REF!)</f>
        <v>#REF!</v>
      </c>
      <c r="V298" s="143" t="e">
        <f>MAX(#REF!,#REF!)</f>
        <v>#REF!</v>
      </c>
      <c r="W298" s="9">
        <f t="shared" si="54"/>
        <v>0</v>
      </c>
      <c r="X298" s="8" t="str">
        <f t="shared" si="55"/>
        <v>Belum Sensus</v>
      </c>
      <c r="Y298" s="178"/>
      <c r="Z298" s="143">
        <v>0</v>
      </c>
      <c r="AA298" s="9">
        <f t="shared" si="56"/>
        <v>0</v>
      </c>
      <c r="AB298" s="143">
        <v>0</v>
      </c>
      <c r="AC298" s="9">
        <f t="shared" si="50"/>
        <v>0</v>
      </c>
      <c r="AD298" s="8" t="str">
        <f t="shared" si="57"/>
        <v>Belum Sensus</v>
      </c>
      <c r="AE298" s="178">
        <v>46153</v>
      </c>
      <c r="AF298" s="143">
        <v>341</v>
      </c>
      <c r="AG298" s="143">
        <v>114</v>
      </c>
      <c r="AH298" s="9">
        <f t="shared" si="58"/>
        <v>33.431085043988269</v>
      </c>
      <c r="AI298" s="8" t="str">
        <f t="shared" si="59"/>
        <v>Perlu Pengendalian</v>
      </c>
    </row>
    <row r="299" spans="1:35" x14ac:dyDescent="0.2">
      <c r="A299" s="8" t="s">
        <v>1739</v>
      </c>
      <c r="B299" s="8" t="s">
        <v>14</v>
      </c>
      <c r="C299" s="8" t="s">
        <v>323</v>
      </c>
      <c r="D299" s="8" t="s">
        <v>1164</v>
      </c>
      <c r="E299" s="9">
        <v>34.29</v>
      </c>
      <c r="F299" s="8" t="s">
        <v>1740</v>
      </c>
      <c r="G299" s="10">
        <v>4602</v>
      </c>
      <c r="H299" s="132">
        <v>46149</v>
      </c>
      <c r="I299" s="8">
        <f t="array" ref="I299">INDEX([26]KOMPARASI!$H$20:$H$199,MATCH(1,([26]KOMPARASI!$C$20:$C$199=$D299)*([26]KOMPARASI!$C$20:$C$199=$D299),0))</f>
        <v>461</v>
      </c>
      <c r="J299" s="9">
        <f t="array" ref="J299">IFERROR(I299/G299*100,0)</f>
        <v>10.017383746197305</v>
      </c>
      <c r="K299" s="8">
        <f t="array" ref="K299">INDEX([26]KOMPARASI!$J$20:$J$199,MATCH(1,([26]KOMPARASI!$C$20:$C$199=$D299)*([26]KOMPARASI!$C$20:$C$199=$D299),0))</f>
        <v>48</v>
      </c>
      <c r="L299" s="9">
        <f t="shared" si="48"/>
        <v>10.412147505422993</v>
      </c>
      <c r="M299" s="8" t="str">
        <f t="shared" si="51"/>
        <v>Perlu Pengendalian</v>
      </c>
      <c r="N299" s="148"/>
      <c r="O299" s="143" t="e">
        <f>MAX(#REF!,#REF!)</f>
        <v>#REF!</v>
      </c>
      <c r="P299" s="9" t="e">
        <f t="shared" si="52"/>
        <v>#REF!</v>
      </c>
      <c r="Q299" s="143" t="e">
        <f>MAX(#REF!,#REF!)</f>
        <v>#REF!</v>
      </c>
      <c r="R299" s="9">
        <f t="shared" si="49"/>
        <v>0</v>
      </c>
      <c r="S299" s="8" t="str">
        <f t="shared" si="53"/>
        <v>Belum Sensus</v>
      </c>
      <c r="T299" s="148"/>
      <c r="U299" s="143" t="e">
        <f>MAX(#REF!,#REF!)</f>
        <v>#REF!</v>
      </c>
      <c r="V299" s="143" t="e">
        <f>MAX(#REF!,#REF!)</f>
        <v>#REF!</v>
      </c>
      <c r="W299" s="9">
        <f t="shared" si="54"/>
        <v>0</v>
      </c>
      <c r="X299" s="8" t="str">
        <f t="shared" si="55"/>
        <v>Belum Sensus</v>
      </c>
      <c r="Y299" s="178"/>
      <c r="Z299" s="143">
        <v>0</v>
      </c>
      <c r="AA299" s="9">
        <f t="shared" si="56"/>
        <v>0</v>
      </c>
      <c r="AB299" s="143">
        <v>0</v>
      </c>
      <c r="AC299" s="9">
        <f t="shared" si="50"/>
        <v>0</v>
      </c>
      <c r="AD299" s="8" t="str">
        <f t="shared" si="57"/>
        <v>Belum Sensus</v>
      </c>
      <c r="AE299" s="178">
        <v>46153</v>
      </c>
      <c r="AF299" s="143">
        <v>83</v>
      </c>
      <c r="AG299" s="143">
        <v>12</v>
      </c>
      <c r="AH299" s="9">
        <f t="shared" si="58"/>
        <v>14.457831325301203</v>
      </c>
      <c r="AI299" s="8" t="str">
        <f t="shared" si="59"/>
        <v>Perlu Pengendalian</v>
      </c>
    </row>
    <row r="300" spans="1:35" x14ac:dyDescent="0.2">
      <c r="A300" s="8" t="s">
        <v>1739</v>
      </c>
      <c r="B300" s="8" t="s">
        <v>14</v>
      </c>
      <c r="C300" s="8" t="s">
        <v>323</v>
      </c>
      <c r="D300" s="8" t="s">
        <v>1165</v>
      </c>
      <c r="E300" s="9">
        <v>29.12</v>
      </c>
      <c r="F300" s="8" t="s">
        <v>1740</v>
      </c>
      <c r="G300" s="10">
        <v>3931</v>
      </c>
      <c r="H300" s="132">
        <v>46149</v>
      </c>
      <c r="I300" s="8">
        <f t="array" ref="I300">INDEX([26]KOMPARASI!$H$20:$H$199,MATCH(1,([26]KOMPARASI!$C$20:$C$199=$D300)*([26]KOMPARASI!$C$20:$C$199=$D300),0))</f>
        <v>342</v>
      </c>
      <c r="J300" s="9">
        <f t="array" ref="J300">IFERROR(I300/G300*100,0)</f>
        <v>8.7000763164589152</v>
      </c>
      <c r="K300" s="8">
        <f t="array" ref="K300">INDEX([26]KOMPARASI!$J$20:$J$199,MATCH(1,([26]KOMPARASI!$C$20:$C$199=$D300)*([26]KOMPARASI!$C$20:$C$199=$D300),0))</f>
        <v>52</v>
      </c>
      <c r="L300" s="9">
        <f t="shared" si="48"/>
        <v>15.204678362573098</v>
      </c>
      <c r="M300" s="8" t="str">
        <f t="shared" si="51"/>
        <v>Perlu Pengendalian</v>
      </c>
      <c r="N300" s="148"/>
      <c r="O300" s="143" t="e">
        <f>MAX(#REF!,#REF!)</f>
        <v>#REF!</v>
      </c>
      <c r="P300" s="9" t="e">
        <f t="shared" si="52"/>
        <v>#REF!</v>
      </c>
      <c r="Q300" s="143" t="e">
        <f>MAX(#REF!,#REF!)</f>
        <v>#REF!</v>
      </c>
      <c r="R300" s="9">
        <f t="shared" si="49"/>
        <v>0</v>
      </c>
      <c r="S300" s="8" t="str">
        <f t="shared" si="53"/>
        <v>Belum Sensus</v>
      </c>
      <c r="T300" s="148"/>
      <c r="U300" s="143" t="e">
        <f>MAX(#REF!,#REF!)</f>
        <v>#REF!</v>
      </c>
      <c r="V300" s="143" t="e">
        <f>MAX(#REF!,#REF!)</f>
        <v>#REF!</v>
      </c>
      <c r="W300" s="9">
        <f t="shared" si="54"/>
        <v>0</v>
      </c>
      <c r="X300" s="8" t="str">
        <f t="shared" si="55"/>
        <v>Belum Sensus</v>
      </c>
      <c r="Y300" s="178"/>
      <c r="Z300" s="143">
        <v>0</v>
      </c>
      <c r="AA300" s="9">
        <f t="shared" si="56"/>
        <v>0</v>
      </c>
      <c r="AB300" s="143">
        <v>0</v>
      </c>
      <c r="AC300" s="9">
        <f t="shared" si="50"/>
        <v>0</v>
      </c>
      <c r="AD300" s="8" t="str">
        <f t="shared" si="57"/>
        <v>Belum Sensus</v>
      </c>
      <c r="AE300" s="178">
        <v>46153</v>
      </c>
      <c r="AF300" s="143">
        <v>324</v>
      </c>
      <c r="AG300" s="143">
        <v>106</v>
      </c>
      <c r="AH300" s="9">
        <f t="shared" si="58"/>
        <v>32.716049382716051</v>
      </c>
      <c r="AI300" s="8" t="str">
        <f t="shared" si="59"/>
        <v>Perlu Pengendalian</v>
      </c>
    </row>
    <row r="301" spans="1:35" x14ac:dyDescent="0.2">
      <c r="A301" s="8" t="s">
        <v>1739</v>
      </c>
      <c r="B301" s="8" t="s">
        <v>14</v>
      </c>
      <c r="C301" s="8" t="s">
        <v>323</v>
      </c>
      <c r="D301" s="8" t="s">
        <v>1166</v>
      </c>
      <c r="E301" s="9">
        <v>33.07</v>
      </c>
      <c r="F301" s="8" t="s">
        <v>1740</v>
      </c>
      <c r="G301" s="10">
        <v>4462</v>
      </c>
      <c r="H301" s="132">
        <v>46149</v>
      </c>
      <c r="I301" s="8">
        <f t="array" ref="I301">INDEX([26]KOMPARASI!$H$20:$H$199,MATCH(1,([26]KOMPARASI!$C$20:$C$199=$D301)*([26]KOMPARASI!$C$20:$C$199=$D301),0))</f>
        <v>361</v>
      </c>
      <c r="J301" s="9">
        <f t="array" ref="J301">IFERROR(I301/G301*100,0)</f>
        <v>8.090542357687136</v>
      </c>
      <c r="K301" s="8">
        <f t="array" ref="K301">INDEX([26]KOMPARASI!$J$20:$J$199,MATCH(1,([26]KOMPARASI!$C$20:$C$199=$D301)*([26]KOMPARASI!$C$20:$C$199=$D301),0))</f>
        <v>76</v>
      </c>
      <c r="L301" s="9">
        <f t="shared" si="48"/>
        <v>21.052631578947366</v>
      </c>
      <c r="M301" s="8" t="str">
        <f t="shared" si="51"/>
        <v>Perlu Pengendalian</v>
      </c>
      <c r="N301" s="148"/>
      <c r="O301" s="143" t="e">
        <f>MAX(#REF!,#REF!)</f>
        <v>#REF!</v>
      </c>
      <c r="P301" s="9" t="e">
        <f t="shared" si="52"/>
        <v>#REF!</v>
      </c>
      <c r="Q301" s="143" t="e">
        <f>MAX(#REF!,#REF!)</f>
        <v>#REF!</v>
      </c>
      <c r="R301" s="9">
        <f t="shared" si="49"/>
        <v>0</v>
      </c>
      <c r="S301" s="8" t="str">
        <f t="shared" si="53"/>
        <v>Belum Sensus</v>
      </c>
      <c r="T301" s="148"/>
      <c r="U301" s="143" t="e">
        <f>MAX(#REF!,#REF!)</f>
        <v>#REF!</v>
      </c>
      <c r="V301" s="143" t="e">
        <f>MAX(#REF!,#REF!)</f>
        <v>#REF!</v>
      </c>
      <c r="W301" s="9">
        <f t="shared" si="54"/>
        <v>0</v>
      </c>
      <c r="X301" s="8" t="str">
        <f t="shared" si="55"/>
        <v>Belum Sensus</v>
      </c>
      <c r="Y301" s="178">
        <v>46153</v>
      </c>
      <c r="Z301" s="143">
        <v>71</v>
      </c>
      <c r="AA301" s="9">
        <f t="shared" si="56"/>
        <v>1.5912147019273868</v>
      </c>
      <c r="AB301" s="143">
        <v>24</v>
      </c>
      <c r="AC301" s="9">
        <f t="shared" si="50"/>
        <v>33.802816901408448</v>
      </c>
      <c r="AD301" s="8" t="str">
        <f t="shared" si="57"/>
        <v>Perlu Pengendalian</v>
      </c>
      <c r="AE301" s="178">
        <v>46153</v>
      </c>
      <c r="AF301" s="143">
        <v>857</v>
      </c>
      <c r="AG301" s="143">
        <v>346</v>
      </c>
      <c r="AH301" s="9">
        <f t="shared" si="58"/>
        <v>40.373395565927659</v>
      </c>
      <c r="AI301" s="8" t="str">
        <f t="shared" si="59"/>
        <v>Perlu Pengendalian</v>
      </c>
    </row>
    <row r="302" spans="1:35" x14ac:dyDescent="0.2">
      <c r="A302" s="8" t="s">
        <v>1739</v>
      </c>
      <c r="B302" s="8" t="s">
        <v>14</v>
      </c>
      <c r="C302" s="8" t="s">
        <v>323</v>
      </c>
      <c r="D302" s="8" t="s">
        <v>1167</v>
      </c>
      <c r="E302" s="9">
        <v>39.130000000000003</v>
      </c>
      <c r="F302" s="8" t="s">
        <v>1740</v>
      </c>
      <c r="G302" s="10">
        <v>5492</v>
      </c>
      <c r="H302" s="132">
        <v>46149</v>
      </c>
      <c r="I302" s="8">
        <f t="array" ref="I302">INDEX([26]KOMPARASI!$H$20:$H$199,MATCH(1,([26]KOMPARASI!$C$20:$C$199=$D302)*([26]KOMPARASI!$C$20:$C$199=$D302),0))</f>
        <v>479</v>
      </c>
      <c r="J302" s="9">
        <f t="array" ref="J302">IFERROR(I302/G302*100,0)</f>
        <v>8.72177713037145</v>
      </c>
      <c r="K302" s="8">
        <f t="array" ref="K302">INDEX([26]KOMPARASI!$J$20:$J$199,MATCH(1,([26]KOMPARASI!$C$20:$C$199=$D302)*([26]KOMPARASI!$C$20:$C$199=$D302),0))</f>
        <v>138</v>
      </c>
      <c r="L302" s="9">
        <f t="shared" si="48"/>
        <v>28.810020876826719</v>
      </c>
      <c r="M302" s="8" t="str">
        <f t="shared" si="51"/>
        <v>Perlu Pengendalian</v>
      </c>
      <c r="N302" s="148"/>
      <c r="O302" s="143" t="e">
        <f>MAX(#REF!,#REF!)</f>
        <v>#REF!</v>
      </c>
      <c r="P302" s="9" t="e">
        <f t="shared" si="52"/>
        <v>#REF!</v>
      </c>
      <c r="Q302" s="143" t="e">
        <f>MAX(#REF!,#REF!)</f>
        <v>#REF!</v>
      </c>
      <c r="R302" s="9">
        <f t="shared" si="49"/>
        <v>0</v>
      </c>
      <c r="S302" s="8" t="str">
        <f t="shared" si="53"/>
        <v>Belum Sensus</v>
      </c>
      <c r="T302" s="148"/>
      <c r="U302" s="143" t="e">
        <f>MAX(#REF!,#REF!)</f>
        <v>#REF!</v>
      </c>
      <c r="V302" s="143" t="e">
        <f>MAX(#REF!,#REF!)</f>
        <v>#REF!</v>
      </c>
      <c r="W302" s="9">
        <f t="shared" si="54"/>
        <v>0</v>
      </c>
      <c r="X302" s="8" t="str">
        <f t="shared" si="55"/>
        <v>Belum Sensus</v>
      </c>
      <c r="Y302" s="178">
        <v>46153</v>
      </c>
      <c r="Z302" s="143">
        <v>68</v>
      </c>
      <c r="AA302" s="9">
        <f t="shared" si="56"/>
        <v>1.2381646030589948</v>
      </c>
      <c r="AB302" s="143">
        <v>27</v>
      </c>
      <c r="AC302" s="9">
        <f t="shared" si="50"/>
        <v>39.705882352941174</v>
      </c>
      <c r="AD302" s="8" t="str">
        <f t="shared" si="57"/>
        <v>Perlu Pengendalian</v>
      </c>
      <c r="AE302" s="178">
        <v>46153</v>
      </c>
      <c r="AF302" s="143">
        <v>444</v>
      </c>
      <c r="AG302" s="143">
        <v>193</v>
      </c>
      <c r="AH302" s="9">
        <f t="shared" si="58"/>
        <v>43.468468468468465</v>
      </c>
      <c r="AI302" s="8" t="str">
        <f t="shared" si="59"/>
        <v>Perlu Pengendalian</v>
      </c>
    </row>
    <row r="303" spans="1:35" x14ac:dyDescent="0.2">
      <c r="A303" s="8" t="s">
        <v>1739</v>
      </c>
      <c r="B303" s="8" t="s">
        <v>14</v>
      </c>
      <c r="C303" s="8" t="s">
        <v>323</v>
      </c>
      <c r="D303" s="8" t="s">
        <v>1168</v>
      </c>
      <c r="E303" s="9">
        <v>26.83</v>
      </c>
      <c r="F303" s="8" t="s">
        <v>1740</v>
      </c>
      <c r="G303" s="10">
        <v>3195</v>
      </c>
      <c r="H303" s="132">
        <v>46149</v>
      </c>
      <c r="I303" s="8">
        <f t="array" ref="I303">INDEX([26]KOMPARASI!$H$20:$H$199,MATCH(1,([26]KOMPARASI!$C$20:$C$199=$D303)*([26]KOMPARASI!$C$20:$C$199=$D303),0))</f>
        <v>319</v>
      </c>
      <c r="J303" s="9">
        <f t="array" ref="J303">IFERROR(I303/G303*100,0)</f>
        <v>9.9843505477308288</v>
      </c>
      <c r="K303" s="8">
        <f t="array" ref="K303">INDEX([26]KOMPARASI!$J$20:$J$199,MATCH(1,([26]KOMPARASI!$C$20:$C$199=$D303)*([26]KOMPARASI!$C$20:$C$199=$D303),0))</f>
        <v>73</v>
      </c>
      <c r="L303" s="9">
        <f t="shared" si="48"/>
        <v>22.884012539184955</v>
      </c>
      <c r="M303" s="8" t="str">
        <f t="shared" si="51"/>
        <v>Perlu Pengendalian</v>
      </c>
      <c r="N303" s="148"/>
      <c r="O303" s="143" t="e">
        <f>MAX(#REF!,#REF!)</f>
        <v>#REF!</v>
      </c>
      <c r="P303" s="9" t="e">
        <f t="shared" si="52"/>
        <v>#REF!</v>
      </c>
      <c r="Q303" s="143" t="e">
        <f>MAX(#REF!,#REF!)</f>
        <v>#REF!</v>
      </c>
      <c r="R303" s="9">
        <f t="shared" si="49"/>
        <v>0</v>
      </c>
      <c r="S303" s="8" t="str">
        <f t="shared" si="53"/>
        <v>Belum Sensus</v>
      </c>
      <c r="T303" s="148"/>
      <c r="U303" s="143" t="e">
        <f>MAX(#REF!,#REF!)</f>
        <v>#REF!</v>
      </c>
      <c r="V303" s="143" t="e">
        <f>MAX(#REF!,#REF!)</f>
        <v>#REF!</v>
      </c>
      <c r="W303" s="9">
        <f t="shared" si="54"/>
        <v>0</v>
      </c>
      <c r="X303" s="8" t="str">
        <f t="shared" si="55"/>
        <v>Belum Sensus</v>
      </c>
      <c r="Y303" s="178"/>
      <c r="Z303" s="143">
        <v>0</v>
      </c>
      <c r="AA303" s="9">
        <f t="shared" si="56"/>
        <v>0</v>
      </c>
      <c r="AB303" s="143">
        <v>0</v>
      </c>
      <c r="AC303" s="9">
        <f t="shared" si="50"/>
        <v>0</v>
      </c>
      <c r="AD303" s="8" t="str">
        <f t="shared" si="57"/>
        <v>Belum Sensus</v>
      </c>
      <c r="AE303" s="178"/>
      <c r="AF303" s="143">
        <v>0</v>
      </c>
      <c r="AG303" s="143">
        <v>0</v>
      </c>
      <c r="AH303" s="9">
        <f t="shared" si="58"/>
        <v>0</v>
      </c>
      <c r="AI303" s="8" t="str">
        <f t="shared" si="59"/>
        <v>Belum Sensus</v>
      </c>
    </row>
    <row r="304" spans="1:35" x14ac:dyDescent="0.2">
      <c r="A304" s="8" t="s">
        <v>1739</v>
      </c>
      <c r="B304" s="8" t="s">
        <v>14</v>
      </c>
      <c r="C304" s="8" t="s">
        <v>323</v>
      </c>
      <c r="D304" s="8" t="s">
        <v>1169</v>
      </c>
      <c r="E304" s="9">
        <v>25.2</v>
      </c>
      <c r="F304" s="8" t="s">
        <v>1740</v>
      </c>
      <c r="G304" s="10">
        <v>3489</v>
      </c>
      <c r="H304" s="132">
        <v>46153</v>
      </c>
      <c r="I304" s="8">
        <f t="array" ref="I304">INDEX([26]KOMPARASI!$H$20:$H$199,MATCH(1,([26]KOMPARASI!$C$20:$C$199=$D304)*([26]KOMPARASI!$C$20:$C$199=$D304),0))</f>
        <v>331</v>
      </c>
      <c r="J304" s="9">
        <f t="array" ref="J304">IFERROR(I304/G304*100,0)</f>
        <v>9.4869590140441389</v>
      </c>
      <c r="K304" s="8">
        <f t="array" ref="K304">INDEX([26]KOMPARASI!$J$20:$J$199,MATCH(1,([26]KOMPARASI!$C$20:$C$199=$D304)*([26]KOMPARASI!$C$20:$C$199=$D304),0))</f>
        <v>69</v>
      </c>
      <c r="L304" s="9">
        <f t="shared" si="48"/>
        <v>20.84592145015106</v>
      </c>
      <c r="M304" s="8" t="str">
        <f t="shared" si="51"/>
        <v>Perlu Pengendalian</v>
      </c>
      <c r="N304" s="148"/>
      <c r="O304" s="143" t="e">
        <f>MAX(#REF!,#REF!)</f>
        <v>#REF!</v>
      </c>
      <c r="P304" s="9" t="e">
        <f t="shared" si="52"/>
        <v>#REF!</v>
      </c>
      <c r="Q304" s="143" t="e">
        <f>MAX(#REF!,#REF!)</f>
        <v>#REF!</v>
      </c>
      <c r="R304" s="9">
        <f t="shared" si="49"/>
        <v>0</v>
      </c>
      <c r="S304" s="8" t="str">
        <f t="shared" si="53"/>
        <v>Belum Sensus</v>
      </c>
      <c r="T304" s="148"/>
      <c r="U304" s="143" t="e">
        <f>MAX(#REF!,#REF!)</f>
        <v>#REF!</v>
      </c>
      <c r="V304" s="143" t="e">
        <f>MAX(#REF!,#REF!)</f>
        <v>#REF!</v>
      </c>
      <c r="W304" s="9">
        <f t="shared" si="54"/>
        <v>0</v>
      </c>
      <c r="X304" s="8" t="str">
        <f t="shared" si="55"/>
        <v>Belum Sensus</v>
      </c>
      <c r="Y304" s="178"/>
      <c r="Z304" s="143">
        <v>0</v>
      </c>
      <c r="AA304" s="9">
        <f t="shared" si="56"/>
        <v>0</v>
      </c>
      <c r="AB304" s="143">
        <v>0</v>
      </c>
      <c r="AC304" s="9">
        <f t="shared" si="50"/>
        <v>0</v>
      </c>
      <c r="AD304" s="8" t="str">
        <f t="shared" si="57"/>
        <v>Belum Sensus</v>
      </c>
      <c r="AE304" s="178"/>
      <c r="AF304" s="143">
        <v>0</v>
      </c>
      <c r="AG304" s="143">
        <v>0</v>
      </c>
      <c r="AH304" s="9">
        <f t="shared" si="58"/>
        <v>0</v>
      </c>
      <c r="AI304" s="8" t="str">
        <f t="shared" si="59"/>
        <v>Belum Sensus</v>
      </c>
    </row>
    <row r="305" spans="1:35" x14ac:dyDescent="0.2">
      <c r="A305" s="8" t="s">
        <v>1739</v>
      </c>
      <c r="B305" s="8" t="s">
        <v>14</v>
      </c>
      <c r="C305" s="8" t="s">
        <v>345</v>
      </c>
      <c r="D305" s="8" t="s">
        <v>1170</v>
      </c>
      <c r="E305" s="9">
        <v>34.99</v>
      </c>
      <c r="F305" s="8" t="s">
        <v>1740</v>
      </c>
      <c r="G305" s="10">
        <v>4929</v>
      </c>
      <c r="H305" s="132">
        <v>46153</v>
      </c>
      <c r="I305" s="8">
        <f t="array" ref="I305">INDEX([26]KOMPARASI!$H$20:$H$199,MATCH(1,([26]KOMPARASI!$C$20:$C$199=$D305)*([26]KOMPARASI!$C$20:$C$199=$D305),0))</f>
        <v>424</v>
      </c>
      <c r="J305" s="9">
        <f t="array" ref="J305">IFERROR(I305/G305*100,0)</f>
        <v>8.6021505376344098</v>
      </c>
      <c r="K305" s="8">
        <f t="array" ref="K305">INDEX([26]KOMPARASI!$J$20:$J$199,MATCH(1,([26]KOMPARASI!$C$20:$C$199=$D305)*([26]KOMPARASI!$C$20:$C$199=$D305),0))</f>
        <v>131</v>
      </c>
      <c r="L305" s="9">
        <f t="shared" si="48"/>
        <v>30.89622641509434</v>
      </c>
      <c r="M305" s="8" t="str">
        <f t="shared" si="51"/>
        <v>Perlu Pengendalian</v>
      </c>
      <c r="N305" s="148"/>
      <c r="O305" s="143" t="e">
        <f>MAX(#REF!,#REF!)</f>
        <v>#REF!</v>
      </c>
      <c r="P305" s="9" t="e">
        <f t="shared" si="52"/>
        <v>#REF!</v>
      </c>
      <c r="Q305" s="143" t="e">
        <f>MAX(#REF!,#REF!)</f>
        <v>#REF!</v>
      </c>
      <c r="R305" s="9">
        <f t="shared" si="49"/>
        <v>0</v>
      </c>
      <c r="S305" s="8" t="str">
        <f t="shared" si="53"/>
        <v>Belum Sensus</v>
      </c>
      <c r="T305" s="148"/>
      <c r="U305" s="143" t="e">
        <f>MAX(#REF!,#REF!)</f>
        <v>#REF!</v>
      </c>
      <c r="V305" s="143" t="e">
        <f>MAX(#REF!,#REF!)</f>
        <v>#REF!</v>
      </c>
      <c r="W305" s="9">
        <f t="shared" si="54"/>
        <v>0</v>
      </c>
      <c r="X305" s="8" t="str">
        <f t="shared" si="55"/>
        <v>Belum Sensus</v>
      </c>
      <c r="Y305" s="178"/>
      <c r="Z305" s="143">
        <v>0</v>
      </c>
      <c r="AA305" s="9">
        <f t="shared" si="56"/>
        <v>0</v>
      </c>
      <c r="AB305" s="143">
        <v>0</v>
      </c>
      <c r="AC305" s="9">
        <f t="shared" si="50"/>
        <v>0</v>
      </c>
      <c r="AD305" s="8" t="str">
        <f t="shared" si="57"/>
        <v>Belum Sensus</v>
      </c>
      <c r="AE305" s="178"/>
      <c r="AF305" s="143">
        <v>0</v>
      </c>
      <c r="AG305" s="143">
        <v>0</v>
      </c>
      <c r="AH305" s="9">
        <f t="shared" si="58"/>
        <v>0</v>
      </c>
      <c r="AI305" s="8" t="str">
        <f t="shared" si="59"/>
        <v>Belum Sensus</v>
      </c>
    </row>
    <row r="306" spans="1:35" x14ac:dyDescent="0.2">
      <c r="A306" s="8" t="s">
        <v>1739</v>
      </c>
      <c r="B306" s="8" t="s">
        <v>14</v>
      </c>
      <c r="C306" s="8" t="s">
        <v>345</v>
      </c>
      <c r="D306" s="8" t="s">
        <v>1171</v>
      </c>
      <c r="E306" s="9">
        <v>29.89</v>
      </c>
      <c r="F306" s="8" t="s">
        <v>1740</v>
      </c>
      <c r="G306" s="10">
        <v>4214</v>
      </c>
      <c r="H306" s="132">
        <v>46153</v>
      </c>
      <c r="I306" s="8">
        <f t="array" ref="I306">INDEX([26]KOMPARASI!$H$20:$H$199,MATCH(1,([26]KOMPARASI!$C$20:$C$199=$D306)*([26]KOMPARASI!$C$20:$C$199=$D306),0))</f>
        <v>408</v>
      </c>
      <c r="J306" s="9">
        <f t="array" ref="J306">IFERROR(I306/G306*100,0)</f>
        <v>9.6820123398196483</v>
      </c>
      <c r="K306" s="8">
        <f t="array" ref="K306">INDEX([26]KOMPARASI!$J$20:$J$199,MATCH(1,([26]KOMPARASI!$C$20:$C$199=$D306)*([26]KOMPARASI!$C$20:$C$199=$D306),0))</f>
        <v>123</v>
      </c>
      <c r="L306" s="9">
        <f t="shared" si="48"/>
        <v>30.147058823529409</v>
      </c>
      <c r="M306" s="8" t="str">
        <f t="shared" si="51"/>
        <v>Perlu Pengendalian</v>
      </c>
      <c r="N306" s="148"/>
      <c r="O306" s="143" t="e">
        <f>MAX(#REF!,#REF!)</f>
        <v>#REF!</v>
      </c>
      <c r="P306" s="9" t="e">
        <f t="shared" si="52"/>
        <v>#REF!</v>
      </c>
      <c r="Q306" s="143" t="e">
        <f>MAX(#REF!,#REF!)</f>
        <v>#REF!</v>
      </c>
      <c r="R306" s="9">
        <f t="shared" si="49"/>
        <v>0</v>
      </c>
      <c r="S306" s="8" t="str">
        <f t="shared" si="53"/>
        <v>Belum Sensus</v>
      </c>
      <c r="T306" s="148"/>
      <c r="U306" s="143" t="e">
        <f>MAX(#REF!,#REF!)</f>
        <v>#REF!</v>
      </c>
      <c r="V306" s="143" t="e">
        <f>MAX(#REF!,#REF!)</f>
        <v>#REF!</v>
      </c>
      <c r="W306" s="9">
        <f t="shared" si="54"/>
        <v>0</v>
      </c>
      <c r="X306" s="8" t="str">
        <f t="shared" si="55"/>
        <v>Belum Sensus</v>
      </c>
      <c r="Y306" s="178"/>
      <c r="Z306" s="143">
        <v>0</v>
      </c>
      <c r="AA306" s="9">
        <f t="shared" si="56"/>
        <v>0</v>
      </c>
      <c r="AB306" s="143">
        <v>0</v>
      </c>
      <c r="AC306" s="9">
        <f t="shared" si="50"/>
        <v>0</v>
      </c>
      <c r="AD306" s="8" t="str">
        <f t="shared" si="57"/>
        <v>Belum Sensus</v>
      </c>
      <c r="AE306" s="178"/>
      <c r="AF306" s="143">
        <v>0</v>
      </c>
      <c r="AG306" s="143">
        <v>0</v>
      </c>
      <c r="AH306" s="9">
        <f t="shared" si="58"/>
        <v>0</v>
      </c>
      <c r="AI306" s="8" t="str">
        <f t="shared" si="59"/>
        <v>Belum Sensus</v>
      </c>
    </row>
    <row r="307" spans="1:35" x14ac:dyDescent="0.2">
      <c r="A307" s="8" t="s">
        <v>1739</v>
      </c>
      <c r="B307" s="8" t="s">
        <v>14</v>
      </c>
      <c r="C307" s="8" t="s">
        <v>345</v>
      </c>
      <c r="D307" s="8" t="s">
        <v>1172</v>
      </c>
      <c r="E307" s="9">
        <v>28.24</v>
      </c>
      <c r="F307" s="8" t="s">
        <v>1740</v>
      </c>
      <c r="G307" s="10">
        <v>3860</v>
      </c>
      <c r="H307" s="132">
        <v>46153</v>
      </c>
      <c r="I307" s="8">
        <f t="array" ref="I307">INDEX([26]KOMPARASI!$H$20:$H$199,MATCH(1,([26]KOMPARASI!$C$20:$C$199=$D307)*([26]KOMPARASI!$C$20:$C$199=$D307),0))</f>
        <v>437</v>
      </c>
      <c r="J307" s="9">
        <f t="array" ref="J307">IFERROR(I307/G307*100,0)</f>
        <v>11.321243523316062</v>
      </c>
      <c r="K307" s="8">
        <f t="array" ref="K307">INDEX([26]KOMPARASI!$J$20:$J$199,MATCH(1,([26]KOMPARASI!$C$20:$C$199=$D307)*([26]KOMPARASI!$C$20:$C$199=$D307),0))</f>
        <v>92</v>
      </c>
      <c r="L307" s="9">
        <f t="shared" si="48"/>
        <v>21.052631578947366</v>
      </c>
      <c r="M307" s="8" t="str">
        <f t="shared" si="51"/>
        <v>Perlu Pengendalian</v>
      </c>
      <c r="N307" s="148"/>
      <c r="O307" s="143" t="e">
        <f>MAX(#REF!,#REF!)</f>
        <v>#REF!</v>
      </c>
      <c r="P307" s="9" t="e">
        <f t="shared" si="52"/>
        <v>#REF!</v>
      </c>
      <c r="Q307" s="143" t="e">
        <f>MAX(#REF!,#REF!)</f>
        <v>#REF!</v>
      </c>
      <c r="R307" s="9">
        <f t="shared" si="49"/>
        <v>0</v>
      </c>
      <c r="S307" s="8" t="str">
        <f t="shared" si="53"/>
        <v>Belum Sensus</v>
      </c>
      <c r="T307" s="148"/>
      <c r="U307" s="143" t="e">
        <f>MAX(#REF!,#REF!)</f>
        <v>#REF!</v>
      </c>
      <c r="V307" s="143" t="e">
        <f>MAX(#REF!,#REF!)</f>
        <v>#REF!</v>
      </c>
      <c r="W307" s="9">
        <f t="shared" si="54"/>
        <v>0</v>
      </c>
      <c r="X307" s="8" t="str">
        <f t="shared" si="55"/>
        <v>Belum Sensus</v>
      </c>
      <c r="Y307" s="178">
        <v>46153</v>
      </c>
      <c r="Z307" s="143">
        <v>64</v>
      </c>
      <c r="AA307" s="9">
        <f t="shared" si="56"/>
        <v>1.6580310880829014</v>
      </c>
      <c r="AB307" s="143">
        <v>10</v>
      </c>
      <c r="AC307" s="9">
        <f t="shared" si="50"/>
        <v>15.625</v>
      </c>
      <c r="AD307" s="8" t="str">
        <f t="shared" si="57"/>
        <v>Perlu Pengendalian</v>
      </c>
      <c r="AE307" s="178"/>
      <c r="AF307" s="143">
        <v>0</v>
      </c>
      <c r="AG307" s="143">
        <v>0</v>
      </c>
      <c r="AH307" s="9">
        <f t="shared" si="58"/>
        <v>0</v>
      </c>
      <c r="AI307" s="8" t="str">
        <f t="shared" si="59"/>
        <v>Belum Sensus</v>
      </c>
    </row>
    <row r="308" spans="1:35" x14ac:dyDescent="0.2">
      <c r="A308" s="8" t="s">
        <v>1739</v>
      </c>
      <c r="B308" s="8" t="s">
        <v>14</v>
      </c>
      <c r="C308" s="8" t="s">
        <v>345</v>
      </c>
      <c r="D308" s="8" t="s">
        <v>1173</v>
      </c>
      <c r="E308" s="9">
        <v>24.1</v>
      </c>
      <c r="F308" s="8" t="s">
        <v>1740</v>
      </c>
      <c r="G308" s="10">
        <v>3293</v>
      </c>
      <c r="H308" s="11"/>
      <c r="I308" s="8">
        <f t="array" ref="I308">INDEX([26]KOMPARASI!$H$20:$H$199,MATCH(1,([26]KOMPARASI!$C$20:$C$199=$D308)*([26]KOMPARASI!$C$20:$C$199=$D308),0))</f>
        <v>0</v>
      </c>
      <c r="J308" s="9">
        <f t="array" ref="J308">IFERROR(I308/G308*100,0)</f>
        <v>0</v>
      </c>
      <c r="K308" s="8">
        <f t="array" ref="K308">INDEX([26]KOMPARASI!$J$20:$J$199,MATCH(1,([26]KOMPARASI!$C$20:$C$199=$D308)*([26]KOMPARASI!$C$20:$C$199=$D308),0))</f>
        <v>0</v>
      </c>
      <c r="L308" s="9">
        <f t="shared" si="48"/>
        <v>0</v>
      </c>
      <c r="M308" s="8" t="str">
        <f t="shared" si="51"/>
        <v>Belum Sensus</v>
      </c>
      <c r="N308" s="148"/>
      <c r="O308" s="143" t="e">
        <f>MAX(#REF!,#REF!)</f>
        <v>#REF!</v>
      </c>
      <c r="P308" s="9" t="e">
        <f t="shared" si="52"/>
        <v>#REF!</v>
      </c>
      <c r="Q308" s="143" t="e">
        <f>MAX(#REF!,#REF!)</f>
        <v>#REF!</v>
      </c>
      <c r="R308" s="9">
        <f t="shared" si="49"/>
        <v>0</v>
      </c>
      <c r="S308" s="8" t="str">
        <f t="shared" si="53"/>
        <v>Belum Sensus</v>
      </c>
      <c r="T308" s="148"/>
      <c r="U308" s="143" t="e">
        <f>MAX(#REF!,#REF!)</f>
        <v>#REF!</v>
      </c>
      <c r="V308" s="143" t="e">
        <f>MAX(#REF!,#REF!)</f>
        <v>#REF!</v>
      </c>
      <c r="W308" s="9">
        <f t="shared" si="54"/>
        <v>0</v>
      </c>
      <c r="X308" s="8" t="str">
        <f t="shared" si="55"/>
        <v>Belum Sensus</v>
      </c>
      <c r="Y308" s="178">
        <v>46153</v>
      </c>
      <c r="Z308" s="143">
        <v>66</v>
      </c>
      <c r="AA308" s="9">
        <f t="shared" si="56"/>
        <v>2.0042514424536897</v>
      </c>
      <c r="AB308" s="143">
        <v>11</v>
      </c>
      <c r="AC308" s="9">
        <f t="shared" si="50"/>
        <v>16.666666666666664</v>
      </c>
      <c r="AD308" s="8" t="str">
        <f t="shared" si="57"/>
        <v>Perlu Pengendalian</v>
      </c>
      <c r="AE308" s="178"/>
      <c r="AF308" s="143">
        <v>0</v>
      </c>
      <c r="AG308" s="143">
        <v>0</v>
      </c>
      <c r="AH308" s="9">
        <f t="shared" si="58"/>
        <v>0</v>
      </c>
      <c r="AI308" s="8" t="str">
        <f t="shared" si="59"/>
        <v>Belum Sensus</v>
      </c>
    </row>
    <row r="309" spans="1:35" x14ac:dyDescent="0.2">
      <c r="A309" s="8" t="s">
        <v>1739</v>
      </c>
      <c r="B309" s="8" t="s">
        <v>14</v>
      </c>
      <c r="C309" s="8" t="s">
        <v>345</v>
      </c>
      <c r="D309" s="8" t="s">
        <v>1174</v>
      </c>
      <c r="E309" s="9">
        <v>31.95</v>
      </c>
      <c r="F309" s="8" t="s">
        <v>1740</v>
      </c>
      <c r="G309" s="10">
        <v>4146</v>
      </c>
      <c r="H309" s="11"/>
      <c r="I309" s="8">
        <f t="array" ref="I309">INDEX([26]KOMPARASI!$H$20:$H$199,MATCH(1,([26]KOMPARASI!$C$20:$C$199=$D309)*([26]KOMPARASI!$C$20:$C$199=$D309),0))</f>
        <v>0</v>
      </c>
      <c r="J309" s="9">
        <f t="array" ref="J309">IFERROR(I309/G309*100,0)</f>
        <v>0</v>
      </c>
      <c r="K309" s="8">
        <f t="array" ref="K309">INDEX([26]KOMPARASI!$J$20:$J$199,MATCH(1,([26]KOMPARASI!$C$20:$C$199=$D309)*([26]KOMPARASI!$C$20:$C$199=$D309),0))</f>
        <v>0</v>
      </c>
      <c r="L309" s="9">
        <f t="shared" si="48"/>
        <v>0</v>
      </c>
      <c r="M309" s="8" t="str">
        <f t="shared" si="51"/>
        <v>Belum Sensus</v>
      </c>
      <c r="N309" s="148"/>
      <c r="O309" s="143" t="e">
        <f>MAX(#REF!,#REF!)</f>
        <v>#REF!</v>
      </c>
      <c r="P309" s="9" t="e">
        <f t="shared" si="52"/>
        <v>#REF!</v>
      </c>
      <c r="Q309" s="143" t="e">
        <f>MAX(#REF!,#REF!)</f>
        <v>#REF!</v>
      </c>
      <c r="R309" s="9">
        <f t="shared" si="49"/>
        <v>0</v>
      </c>
      <c r="S309" s="8" t="str">
        <f t="shared" si="53"/>
        <v>Belum Sensus</v>
      </c>
      <c r="T309" s="148"/>
      <c r="U309" s="143" t="e">
        <f>MAX(#REF!,#REF!)</f>
        <v>#REF!</v>
      </c>
      <c r="V309" s="143" t="e">
        <f>MAX(#REF!,#REF!)</f>
        <v>#REF!</v>
      </c>
      <c r="W309" s="9">
        <f t="shared" si="54"/>
        <v>0</v>
      </c>
      <c r="X309" s="8" t="str">
        <f t="shared" si="55"/>
        <v>Belum Sensus</v>
      </c>
      <c r="Y309" s="178"/>
      <c r="Z309" s="143">
        <v>0</v>
      </c>
      <c r="AA309" s="9">
        <f t="shared" si="56"/>
        <v>0</v>
      </c>
      <c r="AB309" s="143">
        <v>0</v>
      </c>
      <c r="AC309" s="9">
        <f t="shared" si="50"/>
        <v>0</v>
      </c>
      <c r="AD309" s="8" t="str">
        <f t="shared" si="57"/>
        <v>Belum Sensus</v>
      </c>
      <c r="AE309" s="178"/>
      <c r="AF309" s="143">
        <v>0</v>
      </c>
      <c r="AG309" s="143">
        <v>0</v>
      </c>
      <c r="AH309" s="9">
        <f t="shared" si="58"/>
        <v>0</v>
      </c>
      <c r="AI309" s="8" t="str">
        <f t="shared" si="59"/>
        <v>Belum Sensus</v>
      </c>
    </row>
    <row r="310" spans="1:35" x14ac:dyDescent="0.2">
      <c r="A310" s="8" t="s">
        <v>1739</v>
      </c>
      <c r="B310" s="8" t="s">
        <v>14</v>
      </c>
      <c r="C310" s="8" t="s">
        <v>345</v>
      </c>
      <c r="D310" s="8" t="s">
        <v>1175</v>
      </c>
      <c r="E310" s="9">
        <v>31.64</v>
      </c>
      <c r="F310" s="8" t="s">
        <v>1740</v>
      </c>
      <c r="G310" s="10">
        <v>3526</v>
      </c>
      <c r="H310" s="11"/>
      <c r="I310" s="8">
        <f t="array" ref="I310">INDEX([26]KOMPARASI!$H$20:$H$199,MATCH(1,([26]KOMPARASI!$C$20:$C$199=$D310)*([26]KOMPARASI!$C$20:$C$199=$D310),0))</f>
        <v>0</v>
      </c>
      <c r="J310" s="9">
        <f t="array" ref="J310">IFERROR(I310/G310*100,0)</f>
        <v>0</v>
      </c>
      <c r="K310" s="8">
        <f t="array" ref="K310">INDEX([26]KOMPARASI!$J$20:$J$199,MATCH(1,([26]KOMPARASI!$C$20:$C$199=$D310)*([26]KOMPARASI!$C$20:$C$199=$D310),0))</f>
        <v>0</v>
      </c>
      <c r="L310" s="9">
        <f t="shared" si="48"/>
        <v>0</v>
      </c>
      <c r="M310" s="8" t="str">
        <f t="shared" si="51"/>
        <v>Belum Sensus</v>
      </c>
      <c r="N310" s="148"/>
      <c r="O310" s="143" t="e">
        <f>MAX(#REF!,#REF!)</f>
        <v>#REF!</v>
      </c>
      <c r="P310" s="9" t="e">
        <f t="shared" si="52"/>
        <v>#REF!</v>
      </c>
      <c r="Q310" s="143" t="e">
        <f>MAX(#REF!,#REF!)</f>
        <v>#REF!</v>
      </c>
      <c r="R310" s="9">
        <f t="shared" si="49"/>
        <v>0</v>
      </c>
      <c r="S310" s="8" t="str">
        <f t="shared" si="53"/>
        <v>Belum Sensus</v>
      </c>
      <c r="T310" s="148"/>
      <c r="U310" s="143" t="e">
        <f>MAX(#REF!,#REF!)</f>
        <v>#REF!</v>
      </c>
      <c r="V310" s="143" t="e">
        <f>MAX(#REF!,#REF!)</f>
        <v>#REF!</v>
      </c>
      <c r="W310" s="9">
        <f t="shared" si="54"/>
        <v>0</v>
      </c>
      <c r="X310" s="8" t="str">
        <f t="shared" si="55"/>
        <v>Belum Sensus</v>
      </c>
      <c r="Y310" s="178">
        <v>46153</v>
      </c>
      <c r="Z310" s="143">
        <v>35</v>
      </c>
      <c r="AA310" s="9">
        <f t="shared" si="56"/>
        <v>0.99262620533182078</v>
      </c>
      <c r="AB310" s="143">
        <v>12</v>
      </c>
      <c r="AC310" s="9">
        <f t="shared" si="50"/>
        <v>34.285714285714285</v>
      </c>
      <c r="AD310" s="8" t="str">
        <f t="shared" si="57"/>
        <v>Perlu Pengendalian</v>
      </c>
      <c r="AE310" s="178"/>
      <c r="AF310" s="143">
        <v>0</v>
      </c>
      <c r="AG310" s="143">
        <v>0</v>
      </c>
      <c r="AH310" s="9">
        <f t="shared" si="58"/>
        <v>0</v>
      </c>
      <c r="AI310" s="8" t="str">
        <f t="shared" si="59"/>
        <v>Belum Sensus</v>
      </c>
    </row>
    <row r="311" spans="1:35" x14ac:dyDescent="0.2">
      <c r="A311" s="8" t="s">
        <v>1739</v>
      </c>
      <c r="B311" s="8" t="s">
        <v>14</v>
      </c>
      <c r="C311" s="8" t="s">
        <v>345</v>
      </c>
      <c r="D311" s="8" t="s">
        <v>1176</v>
      </c>
      <c r="E311" s="9">
        <v>26.06</v>
      </c>
      <c r="F311" s="8" t="s">
        <v>1740</v>
      </c>
      <c r="G311" s="10">
        <v>2902</v>
      </c>
      <c r="H311" s="132">
        <v>46153</v>
      </c>
      <c r="I311" s="8">
        <f t="array" ref="I311">INDEX([26]KOMPARASI!$H$20:$H$199,MATCH(1,([26]KOMPARASI!$C$20:$C$199=$D311)*([26]KOMPARASI!$C$20:$C$199=$D311),0))</f>
        <v>490</v>
      </c>
      <c r="J311" s="9">
        <f t="array" ref="J311">IFERROR(I311/G311*100,0)</f>
        <v>16.884906960716748</v>
      </c>
      <c r="K311" s="8">
        <f t="array" ref="K311">INDEX([26]KOMPARASI!$J$20:$J$199,MATCH(1,([26]KOMPARASI!$C$20:$C$199=$D311)*([26]KOMPARASI!$C$20:$C$199=$D311),0))</f>
        <v>131</v>
      </c>
      <c r="L311" s="9">
        <f t="shared" si="48"/>
        <v>26.73469387755102</v>
      </c>
      <c r="M311" s="8" t="str">
        <f t="shared" si="51"/>
        <v>Perlu Pengendalian</v>
      </c>
      <c r="N311" s="148"/>
      <c r="O311" s="143" t="e">
        <f>MAX(#REF!,#REF!)</f>
        <v>#REF!</v>
      </c>
      <c r="P311" s="9" t="e">
        <f t="shared" si="52"/>
        <v>#REF!</v>
      </c>
      <c r="Q311" s="143" t="e">
        <f>MAX(#REF!,#REF!)</f>
        <v>#REF!</v>
      </c>
      <c r="R311" s="9">
        <f t="shared" si="49"/>
        <v>0</v>
      </c>
      <c r="S311" s="8" t="str">
        <f t="shared" si="53"/>
        <v>Belum Sensus</v>
      </c>
      <c r="T311" s="148"/>
      <c r="U311" s="143" t="e">
        <f>MAX(#REF!,#REF!)</f>
        <v>#REF!</v>
      </c>
      <c r="V311" s="143" t="e">
        <f>MAX(#REF!,#REF!)</f>
        <v>#REF!</v>
      </c>
      <c r="W311" s="9">
        <f t="shared" si="54"/>
        <v>0</v>
      </c>
      <c r="X311" s="8" t="str">
        <f t="shared" si="55"/>
        <v>Belum Sensus</v>
      </c>
      <c r="Y311" s="178">
        <v>46153</v>
      </c>
      <c r="Z311" s="143">
        <v>29</v>
      </c>
      <c r="AA311" s="9">
        <f t="shared" si="56"/>
        <v>0.99931082012405226</v>
      </c>
      <c r="AB311" s="143">
        <v>4</v>
      </c>
      <c r="AC311" s="9">
        <f t="shared" si="50"/>
        <v>13.793103448275861</v>
      </c>
      <c r="AD311" s="8" t="str">
        <f t="shared" si="57"/>
        <v>Perlu Pengendalian</v>
      </c>
      <c r="AE311" s="178"/>
      <c r="AF311" s="143">
        <v>0</v>
      </c>
      <c r="AG311" s="143">
        <v>0</v>
      </c>
      <c r="AH311" s="9">
        <f t="shared" si="58"/>
        <v>0</v>
      </c>
      <c r="AI311" s="8" t="str">
        <f t="shared" si="59"/>
        <v>Belum Sensus</v>
      </c>
    </row>
    <row r="312" spans="1:35" x14ac:dyDescent="0.2">
      <c r="A312" s="8" t="s">
        <v>1739</v>
      </c>
      <c r="B312" s="8" t="s">
        <v>14</v>
      </c>
      <c r="C312" s="8" t="s">
        <v>345</v>
      </c>
      <c r="D312" s="8" t="s">
        <v>1177</v>
      </c>
      <c r="E312" s="9">
        <v>39.51</v>
      </c>
      <c r="F312" s="8" t="s">
        <v>1740</v>
      </c>
      <c r="G312" s="10">
        <v>4991</v>
      </c>
      <c r="H312" s="132">
        <v>46153</v>
      </c>
      <c r="I312" s="8">
        <f t="array" ref="I312">INDEX([26]KOMPARASI!$H$20:$H$199,MATCH(1,([26]KOMPARASI!$C$20:$C$199=$D312)*([26]KOMPARASI!$C$20:$C$199=$D312),0))</f>
        <v>434</v>
      </c>
      <c r="J312" s="9">
        <f t="array" ref="J312">IFERROR(I312/G312*100,0)</f>
        <v>8.695652173913043</v>
      </c>
      <c r="K312" s="8">
        <f t="array" ref="K312">INDEX([26]KOMPARASI!$J$20:$J$199,MATCH(1,([26]KOMPARASI!$C$20:$C$199=$D312)*([26]KOMPARASI!$C$20:$C$199=$D312),0))</f>
        <v>99</v>
      </c>
      <c r="L312" s="9">
        <f t="shared" si="48"/>
        <v>22.811059907834103</v>
      </c>
      <c r="M312" s="8" t="str">
        <f t="shared" si="51"/>
        <v>Perlu Pengendalian</v>
      </c>
      <c r="N312" s="148"/>
      <c r="O312" s="143" t="e">
        <f>MAX(#REF!,#REF!)</f>
        <v>#REF!</v>
      </c>
      <c r="P312" s="9" t="e">
        <f t="shared" si="52"/>
        <v>#REF!</v>
      </c>
      <c r="Q312" s="143" t="e">
        <f>MAX(#REF!,#REF!)</f>
        <v>#REF!</v>
      </c>
      <c r="R312" s="9">
        <f t="shared" si="49"/>
        <v>0</v>
      </c>
      <c r="S312" s="8" t="str">
        <f t="shared" si="53"/>
        <v>Belum Sensus</v>
      </c>
      <c r="T312" s="148"/>
      <c r="U312" s="143" t="e">
        <f>MAX(#REF!,#REF!)</f>
        <v>#REF!</v>
      </c>
      <c r="V312" s="143" t="e">
        <f>MAX(#REF!,#REF!)</f>
        <v>#REF!</v>
      </c>
      <c r="W312" s="9">
        <f t="shared" si="54"/>
        <v>0</v>
      </c>
      <c r="X312" s="8" t="str">
        <f t="shared" si="55"/>
        <v>Belum Sensus</v>
      </c>
      <c r="Y312" s="178"/>
      <c r="Z312" s="143">
        <v>0</v>
      </c>
      <c r="AA312" s="9">
        <f t="shared" si="56"/>
        <v>0</v>
      </c>
      <c r="AB312" s="143">
        <v>0</v>
      </c>
      <c r="AC312" s="9">
        <f t="shared" si="50"/>
        <v>0</v>
      </c>
      <c r="AD312" s="8" t="str">
        <f t="shared" si="57"/>
        <v>Belum Sensus</v>
      </c>
      <c r="AE312" s="178"/>
      <c r="AF312" s="143">
        <v>0</v>
      </c>
      <c r="AG312" s="143">
        <v>0</v>
      </c>
      <c r="AH312" s="9">
        <f t="shared" si="58"/>
        <v>0</v>
      </c>
      <c r="AI312" s="8" t="str">
        <f t="shared" si="59"/>
        <v>Belum Sensus</v>
      </c>
    </row>
    <row r="313" spans="1:35" x14ac:dyDescent="0.2">
      <c r="A313" s="8" t="s">
        <v>1739</v>
      </c>
      <c r="B313" s="8" t="s">
        <v>14</v>
      </c>
      <c r="C313" s="8" t="s">
        <v>345</v>
      </c>
      <c r="D313" s="8" t="s">
        <v>1178</v>
      </c>
      <c r="E313" s="9">
        <v>28.73</v>
      </c>
      <c r="F313" s="8" t="s">
        <v>1740</v>
      </c>
      <c r="G313" s="10">
        <v>3888</v>
      </c>
      <c r="H313" s="132">
        <v>46153</v>
      </c>
      <c r="I313" s="8">
        <f t="array" ref="I313">INDEX([26]KOMPARASI!$H$20:$H$199,MATCH(1,([26]KOMPARASI!$C$20:$C$199=$D313)*([26]KOMPARASI!$C$20:$C$199=$D313),0))</f>
        <v>436</v>
      </c>
      <c r="J313" s="9">
        <f t="array" ref="J313">IFERROR(I313/G313*100,0)</f>
        <v>11.213991769547325</v>
      </c>
      <c r="K313" s="8">
        <f t="array" ref="K313">INDEX([26]KOMPARASI!$J$20:$J$199,MATCH(1,([26]KOMPARASI!$C$20:$C$199=$D313)*([26]KOMPARASI!$C$20:$C$199=$D313),0))</f>
        <v>95</v>
      </c>
      <c r="L313" s="9">
        <f t="shared" si="48"/>
        <v>21.788990825688074</v>
      </c>
      <c r="M313" s="8" t="str">
        <f t="shared" si="51"/>
        <v>Perlu Pengendalian</v>
      </c>
      <c r="N313" s="148"/>
      <c r="O313" s="143" t="e">
        <f>MAX(#REF!,#REF!)</f>
        <v>#REF!</v>
      </c>
      <c r="P313" s="9" t="e">
        <f t="shared" si="52"/>
        <v>#REF!</v>
      </c>
      <c r="Q313" s="143" t="e">
        <f>MAX(#REF!,#REF!)</f>
        <v>#REF!</v>
      </c>
      <c r="R313" s="9">
        <f t="shared" si="49"/>
        <v>0</v>
      </c>
      <c r="S313" s="8" t="str">
        <f t="shared" si="53"/>
        <v>Belum Sensus</v>
      </c>
      <c r="T313" s="148"/>
      <c r="U313" s="143" t="e">
        <f>MAX(#REF!,#REF!)</f>
        <v>#REF!</v>
      </c>
      <c r="V313" s="143" t="e">
        <f>MAX(#REF!,#REF!)</f>
        <v>#REF!</v>
      </c>
      <c r="W313" s="9">
        <f t="shared" si="54"/>
        <v>0</v>
      </c>
      <c r="X313" s="8" t="str">
        <f t="shared" si="55"/>
        <v>Belum Sensus</v>
      </c>
      <c r="Y313" s="178"/>
      <c r="Z313" s="143">
        <v>0</v>
      </c>
      <c r="AA313" s="9">
        <f t="shared" si="56"/>
        <v>0</v>
      </c>
      <c r="AB313" s="143">
        <v>0</v>
      </c>
      <c r="AC313" s="9">
        <f t="shared" si="50"/>
        <v>0</v>
      </c>
      <c r="AD313" s="8" t="str">
        <f t="shared" si="57"/>
        <v>Belum Sensus</v>
      </c>
      <c r="AE313" s="178"/>
      <c r="AF313" s="143">
        <v>0</v>
      </c>
      <c r="AG313" s="143">
        <v>0</v>
      </c>
      <c r="AH313" s="9">
        <f t="shared" si="58"/>
        <v>0</v>
      </c>
      <c r="AI313" s="8" t="str">
        <f t="shared" si="59"/>
        <v>Belum Sensus</v>
      </c>
    </row>
    <row r="314" spans="1:35" x14ac:dyDescent="0.2">
      <c r="A314" s="8" t="s">
        <v>1739</v>
      </c>
      <c r="B314" s="8" t="s">
        <v>14</v>
      </c>
      <c r="C314" s="8" t="s">
        <v>345</v>
      </c>
      <c r="D314" s="8" t="s">
        <v>1179</v>
      </c>
      <c r="E314" s="9">
        <v>31.17</v>
      </c>
      <c r="F314" s="8" t="s">
        <v>1740</v>
      </c>
      <c r="G314" s="10">
        <v>3705</v>
      </c>
      <c r="H314" s="132">
        <v>46153</v>
      </c>
      <c r="I314" s="8">
        <f t="array" ref="I314">INDEX([26]KOMPARASI!$H$20:$H$199,MATCH(1,([26]KOMPARASI!$C$20:$C$199=$D314)*([26]KOMPARASI!$C$20:$C$199=$D314),0))</f>
        <v>425</v>
      </c>
      <c r="J314" s="9">
        <f t="array" ref="J314">IFERROR(I314/G314*100,0)</f>
        <v>11.470985155195681</v>
      </c>
      <c r="K314" s="8">
        <f t="array" ref="K314">INDEX([26]KOMPARASI!$J$20:$J$199,MATCH(1,([26]KOMPARASI!$C$20:$C$199=$D314)*([26]KOMPARASI!$C$20:$C$199=$D314),0))</f>
        <v>82</v>
      </c>
      <c r="L314" s="9">
        <f t="shared" si="48"/>
        <v>19.294117647058822</v>
      </c>
      <c r="M314" s="8" t="str">
        <f t="shared" si="51"/>
        <v>Perlu Pengendalian</v>
      </c>
      <c r="N314" s="148"/>
      <c r="O314" s="143" t="e">
        <f>MAX(#REF!,#REF!)</f>
        <v>#REF!</v>
      </c>
      <c r="P314" s="9" t="e">
        <f t="shared" si="52"/>
        <v>#REF!</v>
      </c>
      <c r="Q314" s="143" t="e">
        <f>MAX(#REF!,#REF!)</f>
        <v>#REF!</v>
      </c>
      <c r="R314" s="9">
        <f t="shared" si="49"/>
        <v>0</v>
      </c>
      <c r="S314" s="8" t="str">
        <f t="shared" si="53"/>
        <v>Belum Sensus</v>
      </c>
      <c r="T314" s="148"/>
      <c r="U314" s="143" t="e">
        <f>MAX(#REF!,#REF!)</f>
        <v>#REF!</v>
      </c>
      <c r="V314" s="143" t="e">
        <f>MAX(#REF!,#REF!)</f>
        <v>#REF!</v>
      </c>
      <c r="W314" s="9">
        <f t="shared" si="54"/>
        <v>0</v>
      </c>
      <c r="X314" s="8" t="str">
        <f t="shared" si="55"/>
        <v>Belum Sensus</v>
      </c>
      <c r="Y314" s="178"/>
      <c r="Z314" s="143">
        <v>0</v>
      </c>
      <c r="AA314" s="9">
        <f t="shared" si="56"/>
        <v>0</v>
      </c>
      <c r="AB314" s="143">
        <v>0</v>
      </c>
      <c r="AC314" s="9">
        <f t="shared" si="50"/>
        <v>0</v>
      </c>
      <c r="AD314" s="8" t="str">
        <f t="shared" si="57"/>
        <v>Belum Sensus</v>
      </c>
      <c r="AE314" s="178"/>
      <c r="AF314" s="143">
        <v>0</v>
      </c>
      <c r="AG314" s="143">
        <v>0</v>
      </c>
      <c r="AH314" s="9">
        <f t="shared" si="58"/>
        <v>0</v>
      </c>
      <c r="AI314" s="8" t="str">
        <f t="shared" si="59"/>
        <v>Belum Sensus</v>
      </c>
    </row>
    <row r="315" spans="1:35" x14ac:dyDescent="0.2">
      <c r="A315" s="8" t="s">
        <v>1739</v>
      </c>
      <c r="B315" s="8" t="s">
        <v>14</v>
      </c>
      <c r="C315" s="8" t="s">
        <v>345</v>
      </c>
      <c r="D315" s="8" t="s">
        <v>1180</v>
      </c>
      <c r="E315" s="9">
        <v>26.99</v>
      </c>
      <c r="F315" s="8" t="s">
        <v>1740</v>
      </c>
      <c r="G315" s="10">
        <v>3344</v>
      </c>
      <c r="H315" s="132">
        <v>46153</v>
      </c>
      <c r="I315" s="8">
        <f t="array" ref="I315">INDEX([26]KOMPARASI!$H$20:$H$199,MATCH(1,([26]KOMPARASI!$C$20:$C$199=$D315)*([26]KOMPARASI!$C$20:$C$199=$D315),0))</f>
        <v>383</v>
      </c>
      <c r="J315" s="9">
        <f t="array" ref="J315">IFERROR(I315/G315*100,0)</f>
        <v>11.453349282296649</v>
      </c>
      <c r="K315" s="8">
        <f t="array" ref="K315">INDEX([26]KOMPARASI!$J$20:$J$199,MATCH(1,([26]KOMPARASI!$C$20:$C$199=$D315)*([26]KOMPARASI!$C$20:$C$199=$D315),0))</f>
        <v>75</v>
      </c>
      <c r="L315" s="9">
        <f t="shared" si="48"/>
        <v>19.582245430809401</v>
      </c>
      <c r="M315" s="8" t="str">
        <f t="shared" si="51"/>
        <v>Perlu Pengendalian</v>
      </c>
      <c r="N315" s="148"/>
      <c r="O315" s="143" t="e">
        <f>MAX(#REF!,#REF!)</f>
        <v>#REF!</v>
      </c>
      <c r="P315" s="9" t="e">
        <f t="shared" si="52"/>
        <v>#REF!</v>
      </c>
      <c r="Q315" s="143" t="e">
        <f>MAX(#REF!,#REF!)</f>
        <v>#REF!</v>
      </c>
      <c r="R315" s="9">
        <f t="shared" si="49"/>
        <v>0</v>
      </c>
      <c r="S315" s="8" t="str">
        <f t="shared" si="53"/>
        <v>Belum Sensus</v>
      </c>
      <c r="T315" s="148"/>
      <c r="U315" s="143" t="e">
        <f>MAX(#REF!,#REF!)</f>
        <v>#REF!</v>
      </c>
      <c r="V315" s="143" t="e">
        <f>MAX(#REF!,#REF!)</f>
        <v>#REF!</v>
      </c>
      <c r="W315" s="9">
        <f t="shared" si="54"/>
        <v>0</v>
      </c>
      <c r="X315" s="8" t="str">
        <f t="shared" si="55"/>
        <v>Belum Sensus</v>
      </c>
      <c r="Y315" s="178"/>
      <c r="Z315" s="143">
        <v>0</v>
      </c>
      <c r="AA315" s="9">
        <f t="shared" si="56"/>
        <v>0</v>
      </c>
      <c r="AB315" s="143">
        <v>0</v>
      </c>
      <c r="AC315" s="9">
        <f t="shared" si="50"/>
        <v>0</v>
      </c>
      <c r="AD315" s="8" t="str">
        <f t="shared" si="57"/>
        <v>Belum Sensus</v>
      </c>
      <c r="AE315" s="178"/>
      <c r="AF315" s="143">
        <v>0</v>
      </c>
      <c r="AG315" s="143">
        <v>0</v>
      </c>
      <c r="AH315" s="9">
        <f t="shared" si="58"/>
        <v>0</v>
      </c>
      <c r="AI315" s="8" t="str">
        <f t="shared" si="59"/>
        <v>Belum Sensus</v>
      </c>
    </row>
    <row r="316" spans="1:35" x14ac:dyDescent="0.2">
      <c r="A316" s="8" t="s">
        <v>1739</v>
      </c>
      <c r="B316" s="8" t="s">
        <v>14</v>
      </c>
      <c r="C316" s="8" t="s">
        <v>345</v>
      </c>
      <c r="D316" s="8" t="s">
        <v>1181</v>
      </c>
      <c r="E316" s="9">
        <v>28.54</v>
      </c>
      <c r="F316" s="8" t="s">
        <v>1740</v>
      </c>
      <c r="G316" s="10">
        <v>3356</v>
      </c>
      <c r="H316" s="132">
        <v>46153</v>
      </c>
      <c r="I316" s="8">
        <f t="array" ref="I316">INDEX([26]KOMPARASI!$H$20:$H$199,MATCH(1,([26]KOMPARASI!$C$20:$C$199=$D316)*([26]KOMPARASI!$C$20:$C$199=$D316),0))</f>
        <v>429</v>
      </c>
      <c r="J316" s="9">
        <f t="array" ref="J316">IFERROR(I316/G316*100,0)</f>
        <v>12.783075089392135</v>
      </c>
      <c r="K316" s="8">
        <f t="array" ref="K316">INDEX([26]KOMPARASI!$J$20:$J$199,MATCH(1,([26]KOMPARASI!$C$20:$C$199=$D316)*([26]KOMPARASI!$C$20:$C$199=$D316),0))</f>
        <v>93</v>
      </c>
      <c r="L316" s="9">
        <f t="shared" si="48"/>
        <v>21.678321678321677</v>
      </c>
      <c r="M316" s="8" t="str">
        <f t="shared" si="51"/>
        <v>Perlu Pengendalian</v>
      </c>
      <c r="N316" s="148"/>
      <c r="O316" s="143" t="e">
        <f>MAX(#REF!,#REF!)</f>
        <v>#REF!</v>
      </c>
      <c r="P316" s="9" t="e">
        <f t="shared" si="52"/>
        <v>#REF!</v>
      </c>
      <c r="Q316" s="143" t="e">
        <f>MAX(#REF!,#REF!)</f>
        <v>#REF!</v>
      </c>
      <c r="R316" s="9">
        <f t="shared" si="49"/>
        <v>0</v>
      </c>
      <c r="S316" s="8" t="str">
        <f t="shared" si="53"/>
        <v>Belum Sensus</v>
      </c>
      <c r="T316" s="148"/>
      <c r="U316" s="143" t="e">
        <f>MAX(#REF!,#REF!)</f>
        <v>#REF!</v>
      </c>
      <c r="V316" s="143" t="e">
        <f>MAX(#REF!,#REF!)</f>
        <v>#REF!</v>
      </c>
      <c r="W316" s="9">
        <f t="shared" si="54"/>
        <v>0</v>
      </c>
      <c r="X316" s="8" t="str">
        <f t="shared" si="55"/>
        <v>Belum Sensus</v>
      </c>
      <c r="Y316" s="178"/>
      <c r="Z316" s="143">
        <v>0</v>
      </c>
      <c r="AA316" s="9">
        <f t="shared" si="56"/>
        <v>0</v>
      </c>
      <c r="AB316" s="143">
        <v>0</v>
      </c>
      <c r="AC316" s="9">
        <f t="shared" si="50"/>
        <v>0</v>
      </c>
      <c r="AD316" s="8" t="str">
        <f t="shared" si="57"/>
        <v>Belum Sensus</v>
      </c>
      <c r="AE316" s="178"/>
      <c r="AF316" s="143">
        <v>0</v>
      </c>
      <c r="AG316" s="143">
        <v>0</v>
      </c>
      <c r="AH316" s="9">
        <f t="shared" si="58"/>
        <v>0</v>
      </c>
      <c r="AI316" s="8" t="str">
        <f t="shared" si="59"/>
        <v>Belum Sensus</v>
      </c>
    </row>
    <row r="317" spans="1:35" x14ac:dyDescent="0.2">
      <c r="A317" s="8" t="s">
        <v>1739</v>
      </c>
      <c r="B317" s="8" t="s">
        <v>14</v>
      </c>
      <c r="C317" s="8" t="s">
        <v>345</v>
      </c>
      <c r="D317" s="8" t="s">
        <v>1182</v>
      </c>
      <c r="E317" s="9">
        <v>29.16</v>
      </c>
      <c r="F317" s="8" t="s">
        <v>1740</v>
      </c>
      <c r="G317" s="10">
        <v>4245</v>
      </c>
      <c r="H317" s="132">
        <v>46153</v>
      </c>
      <c r="I317" s="8">
        <f t="array" ref="I317">INDEX([26]KOMPARASI!$H$20:$H$199,MATCH(1,([26]KOMPARASI!$C$20:$C$199=$D317)*([26]KOMPARASI!$C$20:$C$199=$D317),0))</f>
        <v>511</v>
      </c>
      <c r="J317" s="9">
        <f t="array" ref="J317">IFERROR(I317/G317*100,0)</f>
        <v>12.037691401648999</v>
      </c>
      <c r="K317" s="8">
        <f t="array" ref="K317">INDEX([26]KOMPARASI!$J$20:$J$199,MATCH(1,([26]KOMPARASI!$C$20:$C$199=$D317)*([26]KOMPARASI!$C$20:$C$199=$D317),0))</f>
        <v>139</v>
      </c>
      <c r="L317" s="9">
        <f t="shared" si="48"/>
        <v>27.201565557729939</v>
      </c>
      <c r="M317" s="8" t="str">
        <f t="shared" si="51"/>
        <v>Perlu Pengendalian</v>
      </c>
      <c r="N317" s="148"/>
      <c r="O317" s="143" t="e">
        <f>MAX(#REF!,#REF!)</f>
        <v>#REF!</v>
      </c>
      <c r="P317" s="9" t="e">
        <f t="shared" si="52"/>
        <v>#REF!</v>
      </c>
      <c r="Q317" s="143" t="e">
        <f>MAX(#REF!,#REF!)</f>
        <v>#REF!</v>
      </c>
      <c r="R317" s="9">
        <f t="shared" si="49"/>
        <v>0</v>
      </c>
      <c r="S317" s="8" t="str">
        <f t="shared" si="53"/>
        <v>Belum Sensus</v>
      </c>
      <c r="T317" s="148"/>
      <c r="U317" s="143" t="e">
        <f>MAX(#REF!,#REF!)</f>
        <v>#REF!</v>
      </c>
      <c r="V317" s="143" t="e">
        <f>MAX(#REF!,#REF!)</f>
        <v>#REF!</v>
      </c>
      <c r="W317" s="9">
        <f t="shared" si="54"/>
        <v>0</v>
      </c>
      <c r="X317" s="8" t="str">
        <f t="shared" si="55"/>
        <v>Belum Sensus</v>
      </c>
      <c r="Y317" s="178"/>
      <c r="Z317" s="143">
        <v>0</v>
      </c>
      <c r="AA317" s="9">
        <f t="shared" si="56"/>
        <v>0</v>
      </c>
      <c r="AB317" s="143">
        <v>0</v>
      </c>
      <c r="AC317" s="9">
        <f t="shared" si="50"/>
        <v>0</v>
      </c>
      <c r="AD317" s="8" t="str">
        <f t="shared" si="57"/>
        <v>Belum Sensus</v>
      </c>
      <c r="AE317" s="178"/>
      <c r="AF317" s="143">
        <v>0</v>
      </c>
      <c r="AG317" s="143">
        <v>0</v>
      </c>
      <c r="AH317" s="9">
        <f t="shared" si="58"/>
        <v>0</v>
      </c>
      <c r="AI317" s="8" t="str">
        <f t="shared" si="59"/>
        <v>Belum Sensus</v>
      </c>
    </row>
    <row r="318" spans="1:35" x14ac:dyDescent="0.2">
      <c r="A318" s="8" t="s">
        <v>1739</v>
      </c>
      <c r="B318" s="8" t="s">
        <v>14</v>
      </c>
      <c r="C318" s="8" t="s">
        <v>345</v>
      </c>
      <c r="D318" s="8" t="s">
        <v>1183</v>
      </c>
      <c r="E318" s="9">
        <v>42.33</v>
      </c>
      <c r="F318" s="8" t="s">
        <v>1740</v>
      </c>
      <c r="G318" s="10">
        <v>5601</v>
      </c>
      <c r="H318" s="132">
        <v>46153</v>
      </c>
      <c r="I318" s="8">
        <f t="array" ref="I318">INDEX([26]KOMPARASI!$H$20:$H$199,MATCH(1,([26]KOMPARASI!$C$20:$C$199=$D318)*([26]KOMPARASI!$C$20:$C$199=$D318),0))</f>
        <v>432</v>
      </c>
      <c r="J318" s="9">
        <f t="array" ref="J318">IFERROR(I318/G318*100,0)</f>
        <v>7.7129084092126403</v>
      </c>
      <c r="K318" s="8">
        <f t="array" ref="K318">INDEX([26]KOMPARASI!$J$20:$J$199,MATCH(1,([26]KOMPARASI!$C$20:$C$199=$D318)*([26]KOMPARASI!$C$20:$C$199=$D318),0))</f>
        <v>117</v>
      </c>
      <c r="L318" s="9">
        <f t="shared" si="48"/>
        <v>27.083333333333332</v>
      </c>
      <c r="M318" s="8" t="str">
        <f t="shared" si="51"/>
        <v>Perlu Pengendalian</v>
      </c>
      <c r="N318" s="148"/>
      <c r="O318" s="143" t="e">
        <f>MAX(#REF!,#REF!)</f>
        <v>#REF!</v>
      </c>
      <c r="P318" s="9" t="e">
        <f t="shared" si="52"/>
        <v>#REF!</v>
      </c>
      <c r="Q318" s="143" t="e">
        <f>MAX(#REF!,#REF!)</f>
        <v>#REF!</v>
      </c>
      <c r="R318" s="9">
        <f t="shared" si="49"/>
        <v>0</v>
      </c>
      <c r="S318" s="8" t="str">
        <f t="shared" si="53"/>
        <v>Belum Sensus</v>
      </c>
      <c r="T318" s="148"/>
      <c r="U318" s="143" t="e">
        <f>MAX(#REF!,#REF!)</f>
        <v>#REF!</v>
      </c>
      <c r="V318" s="143" t="e">
        <f>MAX(#REF!,#REF!)</f>
        <v>#REF!</v>
      </c>
      <c r="W318" s="9">
        <f t="shared" si="54"/>
        <v>0</v>
      </c>
      <c r="X318" s="8" t="str">
        <f t="shared" si="55"/>
        <v>Belum Sensus</v>
      </c>
      <c r="Y318" s="178">
        <v>46153</v>
      </c>
      <c r="Z318" s="143">
        <v>68</v>
      </c>
      <c r="AA318" s="9">
        <f t="shared" si="56"/>
        <v>1.2140689162649527</v>
      </c>
      <c r="AB318" s="143">
        <v>18</v>
      </c>
      <c r="AC318" s="9">
        <f t="shared" si="50"/>
        <v>26.47058823529412</v>
      </c>
      <c r="AD318" s="8" t="str">
        <f t="shared" si="57"/>
        <v>Perlu Pengendalian</v>
      </c>
      <c r="AE318" s="178"/>
      <c r="AF318" s="143">
        <v>0</v>
      </c>
      <c r="AG318" s="143">
        <v>0</v>
      </c>
      <c r="AH318" s="9">
        <f t="shared" si="58"/>
        <v>0</v>
      </c>
      <c r="AI318" s="8" t="str">
        <f t="shared" si="59"/>
        <v>Belum Sensus</v>
      </c>
    </row>
    <row r="319" spans="1:35" x14ac:dyDescent="0.2">
      <c r="A319" s="8" t="s">
        <v>1739</v>
      </c>
      <c r="B319" s="8" t="s">
        <v>14</v>
      </c>
      <c r="C319" s="8" t="s">
        <v>345</v>
      </c>
      <c r="D319" s="8" t="s">
        <v>1184</v>
      </c>
      <c r="E319" s="9">
        <v>26</v>
      </c>
      <c r="F319" s="8" t="s">
        <v>1740</v>
      </c>
      <c r="G319" s="10">
        <v>3701</v>
      </c>
      <c r="H319" s="132">
        <v>46153</v>
      </c>
      <c r="I319" s="8">
        <f t="array" ref="I319">INDEX([26]KOMPARASI!$H$20:$H$199,MATCH(1,([26]KOMPARASI!$C$20:$C$199=$D319)*([26]KOMPARASI!$C$20:$C$199=$D319),0))</f>
        <v>204</v>
      </c>
      <c r="J319" s="9">
        <f t="array" ref="J319">IFERROR(I319/G319*100,0)</f>
        <v>5.512023777357471</v>
      </c>
      <c r="K319" s="8">
        <f t="array" ref="K319">INDEX([26]KOMPARASI!$J$20:$J$199,MATCH(1,([26]KOMPARASI!$C$20:$C$199=$D319)*([26]KOMPARASI!$C$20:$C$199=$D319),0))</f>
        <v>58</v>
      </c>
      <c r="L319" s="9">
        <f t="shared" si="48"/>
        <v>28.431372549019606</v>
      </c>
      <c r="M319" s="8" t="str">
        <f t="shared" si="51"/>
        <v>Perlu Pengendalian</v>
      </c>
      <c r="N319" s="148"/>
      <c r="O319" s="143" t="e">
        <f>MAX(#REF!,#REF!)</f>
        <v>#REF!</v>
      </c>
      <c r="P319" s="9" t="e">
        <f t="shared" si="52"/>
        <v>#REF!</v>
      </c>
      <c r="Q319" s="143" t="e">
        <f>MAX(#REF!,#REF!)</f>
        <v>#REF!</v>
      </c>
      <c r="R319" s="9">
        <f t="shared" si="49"/>
        <v>0</v>
      </c>
      <c r="S319" s="8" t="str">
        <f t="shared" si="53"/>
        <v>Belum Sensus</v>
      </c>
      <c r="T319" s="148"/>
      <c r="U319" s="143" t="e">
        <f>MAX(#REF!,#REF!)</f>
        <v>#REF!</v>
      </c>
      <c r="V319" s="143" t="e">
        <f>MAX(#REF!,#REF!)</f>
        <v>#REF!</v>
      </c>
      <c r="W319" s="9">
        <f t="shared" si="54"/>
        <v>0</v>
      </c>
      <c r="X319" s="8" t="str">
        <f t="shared" si="55"/>
        <v>Belum Sensus</v>
      </c>
      <c r="Y319" s="178"/>
      <c r="Z319" s="143">
        <v>0</v>
      </c>
      <c r="AA319" s="9">
        <f t="shared" si="56"/>
        <v>0</v>
      </c>
      <c r="AB319" s="143">
        <v>0</v>
      </c>
      <c r="AC319" s="9">
        <f t="shared" si="50"/>
        <v>0</v>
      </c>
      <c r="AD319" s="8" t="str">
        <f t="shared" si="57"/>
        <v>Belum Sensus</v>
      </c>
      <c r="AE319" s="178"/>
      <c r="AF319" s="143">
        <v>0</v>
      </c>
      <c r="AG319" s="143">
        <v>0</v>
      </c>
      <c r="AH319" s="9">
        <f t="shared" si="58"/>
        <v>0</v>
      </c>
      <c r="AI319" s="8" t="str">
        <f t="shared" si="59"/>
        <v>Belum Sensus</v>
      </c>
    </row>
    <row r="320" spans="1:35" x14ac:dyDescent="0.2">
      <c r="A320" s="8" t="s">
        <v>1739</v>
      </c>
      <c r="B320" s="8" t="s">
        <v>14</v>
      </c>
      <c r="C320" s="8" t="s">
        <v>345</v>
      </c>
      <c r="D320" s="8" t="s">
        <v>1185</v>
      </c>
      <c r="E320" s="9">
        <v>16.28</v>
      </c>
      <c r="F320" s="8" t="s">
        <v>1740</v>
      </c>
      <c r="G320" s="10">
        <v>2079</v>
      </c>
      <c r="H320" s="132">
        <v>46153</v>
      </c>
      <c r="I320" s="8">
        <f t="array" ref="I320">INDEX([26]KOMPARASI!$H$20:$H$199,MATCH(1,([26]KOMPARASI!$C$20:$C$199=$D320)*([26]KOMPARASI!$C$20:$C$199=$D320),0))</f>
        <v>204</v>
      </c>
      <c r="J320" s="9">
        <f t="array" ref="J320">IFERROR(I320/G320*100,0)</f>
        <v>9.8124098124098129</v>
      </c>
      <c r="K320" s="8">
        <f t="array" ref="K320">INDEX([26]KOMPARASI!$J$20:$J$199,MATCH(1,([26]KOMPARASI!$C$20:$C$199=$D320)*([26]KOMPARASI!$C$20:$C$199=$D320),0))</f>
        <v>58</v>
      </c>
      <c r="L320" s="9">
        <f t="shared" si="48"/>
        <v>28.431372549019606</v>
      </c>
      <c r="M320" s="8" t="str">
        <f t="shared" si="51"/>
        <v>Perlu Pengendalian</v>
      </c>
      <c r="N320" s="148"/>
      <c r="O320" s="143" t="e">
        <f>MAX(#REF!,#REF!)</f>
        <v>#REF!</v>
      </c>
      <c r="P320" s="9" t="e">
        <f t="shared" si="52"/>
        <v>#REF!</v>
      </c>
      <c r="Q320" s="143" t="e">
        <f>MAX(#REF!,#REF!)</f>
        <v>#REF!</v>
      </c>
      <c r="R320" s="9">
        <f t="shared" si="49"/>
        <v>0</v>
      </c>
      <c r="S320" s="8" t="str">
        <f t="shared" si="53"/>
        <v>Belum Sensus</v>
      </c>
      <c r="T320" s="148"/>
      <c r="U320" s="143" t="e">
        <f>MAX(#REF!,#REF!)</f>
        <v>#REF!</v>
      </c>
      <c r="V320" s="143" t="e">
        <f>MAX(#REF!,#REF!)</f>
        <v>#REF!</v>
      </c>
      <c r="W320" s="9">
        <f t="shared" si="54"/>
        <v>0</v>
      </c>
      <c r="X320" s="8" t="str">
        <f t="shared" si="55"/>
        <v>Belum Sensus</v>
      </c>
      <c r="Y320" s="178"/>
      <c r="Z320" s="143">
        <v>0</v>
      </c>
      <c r="AA320" s="9">
        <f t="shared" si="56"/>
        <v>0</v>
      </c>
      <c r="AB320" s="143">
        <v>0</v>
      </c>
      <c r="AC320" s="9">
        <f t="shared" si="50"/>
        <v>0</v>
      </c>
      <c r="AD320" s="8" t="str">
        <f t="shared" si="57"/>
        <v>Belum Sensus</v>
      </c>
      <c r="AE320" s="178"/>
      <c r="AF320" s="143">
        <v>0</v>
      </c>
      <c r="AG320" s="143">
        <v>0</v>
      </c>
      <c r="AH320" s="9">
        <f t="shared" si="58"/>
        <v>0</v>
      </c>
      <c r="AI320" s="8" t="str">
        <f t="shared" si="59"/>
        <v>Belum Sensus</v>
      </c>
    </row>
    <row r="321" spans="1:35" x14ac:dyDescent="0.2">
      <c r="A321" s="8" t="s">
        <v>1739</v>
      </c>
      <c r="B321" s="8" t="s">
        <v>14</v>
      </c>
      <c r="C321" s="8" t="s">
        <v>345</v>
      </c>
      <c r="D321" s="8" t="s">
        <v>1186</v>
      </c>
      <c r="E321" s="9">
        <v>36.5</v>
      </c>
      <c r="F321" s="8" t="s">
        <v>1740</v>
      </c>
      <c r="G321" s="10">
        <v>4664</v>
      </c>
      <c r="H321" s="132">
        <v>46153</v>
      </c>
      <c r="I321" s="8">
        <f t="array" ref="I321">INDEX([26]KOMPARASI!$H$20:$H$199,MATCH(1,([26]KOMPARASI!$C$20:$C$199=$D321)*([26]KOMPARASI!$C$20:$C$199=$D321),0))</f>
        <v>362</v>
      </c>
      <c r="J321" s="9">
        <f t="array" ref="J321">IFERROR(I321/G321*100,0)</f>
        <v>7.7615780445969129</v>
      </c>
      <c r="K321" s="8">
        <f t="array" ref="K321">INDEX([26]KOMPARASI!$J$20:$J$199,MATCH(1,([26]KOMPARASI!$C$20:$C$199=$D321)*([26]KOMPARASI!$C$20:$C$199=$D321),0))</f>
        <v>24</v>
      </c>
      <c r="L321" s="9">
        <f t="shared" si="48"/>
        <v>6.6298342541436464</v>
      </c>
      <c r="M321" s="8" t="str">
        <f t="shared" si="51"/>
        <v>Perlu Pengendalian</v>
      </c>
      <c r="N321" s="148"/>
      <c r="O321" s="143" t="e">
        <f>MAX(#REF!,#REF!)</f>
        <v>#REF!</v>
      </c>
      <c r="P321" s="9" t="e">
        <f t="shared" si="52"/>
        <v>#REF!</v>
      </c>
      <c r="Q321" s="143" t="e">
        <f>MAX(#REF!,#REF!)</f>
        <v>#REF!</v>
      </c>
      <c r="R321" s="9">
        <f t="shared" si="49"/>
        <v>0</v>
      </c>
      <c r="S321" s="8" t="str">
        <f t="shared" si="53"/>
        <v>Belum Sensus</v>
      </c>
      <c r="T321" s="148"/>
      <c r="U321" s="143" t="e">
        <f>MAX(#REF!,#REF!)</f>
        <v>#REF!</v>
      </c>
      <c r="V321" s="143" t="e">
        <f>MAX(#REF!,#REF!)</f>
        <v>#REF!</v>
      </c>
      <c r="W321" s="9">
        <f t="shared" si="54"/>
        <v>0</v>
      </c>
      <c r="X321" s="8" t="str">
        <f t="shared" si="55"/>
        <v>Belum Sensus</v>
      </c>
      <c r="Y321" s="178"/>
      <c r="Z321" s="143">
        <v>0</v>
      </c>
      <c r="AA321" s="9">
        <f t="shared" si="56"/>
        <v>0</v>
      </c>
      <c r="AB321" s="143">
        <v>0</v>
      </c>
      <c r="AC321" s="9">
        <f t="shared" si="50"/>
        <v>0</v>
      </c>
      <c r="AD321" s="8" t="str">
        <f t="shared" si="57"/>
        <v>Belum Sensus</v>
      </c>
      <c r="AE321" s="178"/>
      <c r="AF321" s="143">
        <v>0</v>
      </c>
      <c r="AG321" s="143">
        <v>0</v>
      </c>
      <c r="AH321" s="9">
        <f t="shared" si="58"/>
        <v>0</v>
      </c>
      <c r="AI321" s="8" t="str">
        <f t="shared" si="59"/>
        <v>Belum Sensus</v>
      </c>
    </row>
    <row r="322" spans="1:35" x14ac:dyDescent="0.2">
      <c r="A322" s="8" t="s">
        <v>1739</v>
      </c>
      <c r="B322" s="8" t="s">
        <v>14</v>
      </c>
      <c r="C322" s="8" t="s">
        <v>345</v>
      </c>
      <c r="D322" s="8" t="s">
        <v>1187</v>
      </c>
      <c r="E322" s="9">
        <v>30.62</v>
      </c>
      <c r="F322" s="8" t="s">
        <v>1740</v>
      </c>
      <c r="G322" s="10">
        <v>3969</v>
      </c>
      <c r="H322" s="132">
        <v>46153</v>
      </c>
      <c r="I322" s="8">
        <f t="array" ref="I322">INDEX([26]KOMPARASI!$H$20:$H$199,MATCH(1,([26]KOMPARASI!$C$20:$C$199=$D322)*([26]KOMPARASI!$C$20:$C$199=$D322),0))</f>
        <v>370</v>
      </c>
      <c r="J322" s="9">
        <f t="array" ref="J322">IFERROR(I322/G322*100,0)</f>
        <v>9.3222474174855137</v>
      </c>
      <c r="K322" s="8">
        <f t="array" ref="K322">INDEX([26]KOMPARASI!$J$20:$J$199,MATCH(1,([26]KOMPARASI!$C$20:$C$199=$D322)*([26]KOMPARASI!$C$20:$C$199=$D322),0))</f>
        <v>20</v>
      </c>
      <c r="L322" s="9">
        <f t="shared" si="48"/>
        <v>5.4054054054054053</v>
      </c>
      <c r="M322" s="8" t="str">
        <f t="shared" si="51"/>
        <v>Perlu Pengendalian</v>
      </c>
      <c r="N322" s="148"/>
      <c r="O322" s="143" t="e">
        <f>MAX(#REF!,#REF!)</f>
        <v>#REF!</v>
      </c>
      <c r="P322" s="9" t="e">
        <f t="shared" si="52"/>
        <v>#REF!</v>
      </c>
      <c r="Q322" s="143" t="e">
        <f>MAX(#REF!,#REF!)</f>
        <v>#REF!</v>
      </c>
      <c r="R322" s="9">
        <f t="shared" si="49"/>
        <v>0</v>
      </c>
      <c r="S322" s="8" t="str">
        <f t="shared" si="53"/>
        <v>Belum Sensus</v>
      </c>
      <c r="T322" s="148"/>
      <c r="U322" s="143" t="e">
        <f>MAX(#REF!,#REF!)</f>
        <v>#REF!</v>
      </c>
      <c r="V322" s="143" t="e">
        <f>MAX(#REF!,#REF!)</f>
        <v>#REF!</v>
      </c>
      <c r="W322" s="9">
        <f t="shared" si="54"/>
        <v>0</v>
      </c>
      <c r="X322" s="8" t="str">
        <f t="shared" si="55"/>
        <v>Belum Sensus</v>
      </c>
      <c r="Y322" s="178"/>
      <c r="Z322" s="143">
        <v>0</v>
      </c>
      <c r="AA322" s="9">
        <f t="shared" si="56"/>
        <v>0</v>
      </c>
      <c r="AB322" s="143">
        <v>0</v>
      </c>
      <c r="AC322" s="9">
        <f t="shared" si="50"/>
        <v>0</v>
      </c>
      <c r="AD322" s="8" t="str">
        <f t="shared" si="57"/>
        <v>Belum Sensus</v>
      </c>
      <c r="AE322" s="178">
        <v>46153</v>
      </c>
      <c r="AF322" s="143">
        <v>244</v>
      </c>
      <c r="AG322" s="143">
        <v>36</v>
      </c>
      <c r="AH322" s="9">
        <f t="shared" si="58"/>
        <v>14.754098360655737</v>
      </c>
      <c r="AI322" s="8" t="str">
        <f t="shared" si="59"/>
        <v>Perlu Pengendalian</v>
      </c>
    </row>
    <row r="323" spans="1:35" x14ac:dyDescent="0.2">
      <c r="A323" s="8" t="s">
        <v>1739</v>
      </c>
      <c r="B323" s="8" t="s">
        <v>14</v>
      </c>
      <c r="C323" s="8" t="s">
        <v>345</v>
      </c>
      <c r="D323" s="8" t="s">
        <v>1188</v>
      </c>
      <c r="E323" s="9">
        <v>27.45</v>
      </c>
      <c r="F323" s="8" t="s">
        <v>1740</v>
      </c>
      <c r="G323" s="10">
        <v>3572</v>
      </c>
      <c r="H323" s="132">
        <v>46149</v>
      </c>
      <c r="I323" s="8">
        <f t="array" ref="I323">INDEX([26]KOMPARASI!$H$20:$H$199,MATCH(1,([26]KOMPARASI!$C$20:$C$199=$D323)*([26]KOMPARASI!$C$20:$C$199=$D323),0))</f>
        <v>316</v>
      </c>
      <c r="J323" s="9">
        <f t="array" ref="J323">IFERROR(I323/G323*100,0)</f>
        <v>8.846584546472565</v>
      </c>
      <c r="K323" s="8">
        <f t="array" ref="K323">INDEX([26]KOMPARASI!$J$20:$J$199,MATCH(1,([26]KOMPARASI!$C$20:$C$199=$D323)*([26]KOMPARASI!$C$20:$C$199=$D323),0))</f>
        <v>83</v>
      </c>
      <c r="L323" s="9">
        <f t="shared" si="48"/>
        <v>26.265822784810126</v>
      </c>
      <c r="M323" s="8" t="str">
        <f t="shared" si="51"/>
        <v>Perlu Pengendalian</v>
      </c>
      <c r="N323" s="148"/>
      <c r="O323" s="143" t="e">
        <f>MAX(#REF!,#REF!)</f>
        <v>#REF!</v>
      </c>
      <c r="P323" s="9" t="e">
        <f t="shared" si="52"/>
        <v>#REF!</v>
      </c>
      <c r="Q323" s="143" t="e">
        <f>MAX(#REF!,#REF!)</f>
        <v>#REF!</v>
      </c>
      <c r="R323" s="9">
        <f t="shared" si="49"/>
        <v>0</v>
      </c>
      <c r="S323" s="8" t="str">
        <f t="shared" si="53"/>
        <v>Belum Sensus</v>
      </c>
      <c r="T323" s="148"/>
      <c r="U323" s="143" t="e">
        <f>MAX(#REF!,#REF!)</f>
        <v>#REF!</v>
      </c>
      <c r="V323" s="143" t="e">
        <f>MAX(#REF!,#REF!)</f>
        <v>#REF!</v>
      </c>
      <c r="W323" s="9">
        <f t="shared" si="54"/>
        <v>0</v>
      </c>
      <c r="X323" s="8" t="str">
        <f t="shared" si="55"/>
        <v>Belum Sensus</v>
      </c>
      <c r="Y323" s="178">
        <v>46153</v>
      </c>
      <c r="Z323" s="143">
        <v>74</v>
      </c>
      <c r="AA323" s="9">
        <f t="shared" si="56"/>
        <v>2.0716685330347144</v>
      </c>
      <c r="AB323" s="143">
        <v>10</v>
      </c>
      <c r="AC323" s="9">
        <f t="shared" si="50"/>
        <v>13.513513513513514</v>
      </c>
      <c r="AD323" s="8" t="str">
        <f t="shared" si="57"/>
        <v>Perlu Pengendalian</v>
      </c>
      <c r="AE323" s="178">
        <v>46153</v>
      </c>
      <c r="AF323" s="143">
        <v>588</v>
      </c>
      <c r="AG323" s="143">
        <v>173</v>
      </c>
      <c r="AH323" s="9">
        <f t="shared" si="58"/>
        <v>29.421768707482993</v>
      </c>
      <c r="AI323" s="8" t="str">
        <f t="shared" si="59"/>
        <v>Perlu Pengendalian</v>
      </c>
    </row>
    <row r="324" spans="1:35" x14ac:dyDescent="0.2">
      <c r="A324" s="8" t="s">
        <v>1739</v>
      </c>
      <c r="B324" s="8" t="s">
        <v>14</v>
      </c>
      <c r="C324" s="8" t="s">
        <v>345</v>
      </c>
      <c r="D324" s="8" t="s">
        <v>1189</v>
      </c>
      <c r="E324" s="9">
        <v>25.44</v>
      </c>
      <c r="F324" s="8" t="s">
        <v>1740</v>
      </c>
      <c r="G324" s="10">
        <v>3369</v>
      </c>
      <c r="H324" s="132">
        <v>46149</v>
      </c>
      <c r="I324" s="8">
        <f t="array" ref="I324">INDEX([26]KOMPARASI!$H$20:$H$199,MATCH(1,([26]KOMPARASI!$C$20:$C$199=$D324)*([26]KOMPARASI!$C$20:$C$199=$D324),0))</f>
        <v>279</v>
      </c>
      <c r="J324" s="9">
        <f t="array" ref="J324">IFERROR(I324/G324*100,0)</f>
        <v>8.2813891362422076</v>
      </c>
      <c r="K324" s="8">
        <f t="array" ref="K324">INDEX([26]KOMPARASI!$J$20:$J$199,MATCH(1,([26]KOMPARASI!$C$20:$C$199=$D324)*([26]KOMPARASI!$C$20:$C$199=$D324),0))</f>
        <v>126</v>
      </c>
      <c r="L324" s="9">
        <f t="shared" si="48"/>
        <v>45.161290322580641</v>
      </c>
      <c r="M324" s="8" t="str">
        <f t="shared" si="51"/>
        <v>Perlu Pengendalian</v>
      </c>
      <c r="N324" s="148"/>
      <c r="O324" s="143" t="e">
        <f>MAX(#REF!,#REF!)</f>
        <v>#REF!</v>
      </c>
      <c r="P324" s="9" t="e">
        <f t="shared" si="52"/>
        <v>#REF!</v>
      </c>
      <c r="Q324" s="143" t="e">
        <f>MAX(#REF!,#REF!)</f>
        <v>#REF!</v>
      </c>
      <c r="R324" s="9">
        <f t="shared" si="49"/>
        <v>0</v>
      </c>
      <c r="S324" s="8" t="str">
        <f t="shared" si="53"/>
        <v>Belum Sensus</v>
      </c>
      <c r="T324" s="148"/>
      <c r="U324" s="143" t="e">
        <f>MAX(#REF!,#REF!)</f>
        <v>#REF!</v>
      </c>
      <c r="V324" s="143" t="e">
        <f>MAX(#REF!,#REF!)</f>
        <v>#REF!</v>
      </c>
      <c r="W324" s="9">
        <f t="shared" si="54"/>
        <v>0</v>
      </c>
      <c r="X324" s="8" t="str">
        <f t="shared" si="55"/>
        <v>Belum Sensus</v>
      </c>
      <c r="Y324" s="178"/>
      <c r="Z324" s="143">
        <v>0</v>
      </c>
      <c r="AA324" s="9">
        <f t="shared" si="56"/>
        <v>0</v>
      </c>
      <c r="AB324" s="143">
        <v>0</v>
      </c>
      <c r="AC324" s="9">
        <f t="shared" si="50"/>
        <v>0</v>
      </c>
      <c r="AD324" s="8" t="str">
        <f t="shared" si="57"/>
        <v>Belum Sensus</v>
      </c>
      <c r="AE324" s="178">
        <v>46153</v>
      </c>
      <c r="AF324" s="143">
        <v>688</v>
      </c>
      <c r="AG324" s="143">
        <v>155</v>
      </c>
      <c r="AH324" s="9">
        <f t="shared" si="58"/>
        <v>22.529069767441861</v>
      </c>
      <c r="AI324" s="8" t="str">
        <f t="shared" si="59"/>
        <v>Perlu Pengendalian</v>
      </c>
    </row>
    <row r="325" spans="1:35" x14ac:dyDescent="0.2">
      <c r="A325" s="8" t="s">
        <v>1739</v>
      </c>
      <c r="B325" s="8" t="s">
        <v>14</v>
      </c>
      <c r="C325" s="8" t="s">
        <v>345</v>
      </c>
      <c r="D325" s="8" t="s">
        <v>1190</v>
      </c>
      <c r="E325" s="9">
        <v>30.41</v>
      </c>
      <c r="F325" s="8" t="s">
        <v>1740</v>
      </c>
      <c r="G325" s="10">
        <v>4249</v>
      </c>
      <c r="H325" s="132">
        <v>46149</v>
      </c>
      <c r="I325" s="8">
        <f t="array" ref="I325">INDEX([26]KOMPARASI!$H$20:$H$199,MATCH(1,([26]KOMPARASI!$C$20:$C$199=$D325)*([26]KOMPARASI!$C$20:$C$199=$D325),0))</f>
        <v>340</v>
      </c>
      <c r="J325" s="9">
        <f t="array" ref="J325">IFERROR(I325/G325*100,0)</f>
        <v>8.0018827959519889</v>
      </c>
      <c r="K325" s="8">
        <f t="array" ref="K325">INDEX([26]KOMPARASI!$J$20:$J$199,MATCH(1,([26]KOMPARASI!$C$20:$C$199=$D325)*([26]KOMPARASI!$C$20:$C$199=$D325),0))</f>
        <v>151</v>
      </c>
      <c r="L325" s="9">
        <f t="shared" ref="L325:L388" si="60">IFERROR(K325/I325*100,0)</f>
        <v>44.411764705882348</v>
      </c>
      <c r="M325" s="8" t="str">
        <f t="shared" si="51"/>
        <v>Perlu Pengendalian</v>
      </c>
      <c r="N325" s="148"/>
      <c r="O325" s="143" t="e">
        <f>MAX(#REF!,#REF!)</f>
        <v>#REF!</v>
      </c>
      <c r="P325" s="9" t="e">
        <f t="shared" si="52"/>
        <v>#REF!</v>
      </c>
      <c r="Q325" s="143" t="e">
        <f>MAX(#REF!,#REF!)</f>
        <v>#REF!</v>
      </c>
      <c r="R325" s="9">
        <f t="shared" ref="R325:R388" si="61">IFERROR(Q325/O325*100,0)</f>
        <v>0</v>
      </c>
      <c r="S325" s="8" t="str">
        <f t="shared" si="53"/>
        <v>Belum Sensus</v>
      </c>
      <c r="T325" s="148"/>
      <c r="U325" s="143" t="e">
        <f>MAX(#REF!,#REF!)</f>
        <v>#REF!</v>
      </c>
      <c r="V325" s="143" t="e">
        <f>MAX(#REF!,#REF!)</f>
        <v>#REF!</v>
      </c>
      <c r="W325" s="9">
        <f t="shared" si="54"/>
        <v>0</v>
      </c>
      <c r="X325" s="8" t="str">
        <f t="shared" si="55"/>
        <v>Belum Sensus</v>
      </c>
      <c r="Y325" s="178"/>
      <c r="Z325" s="143">
        <v>0</v>
      </c>
      <c r="AA325" s="9">
        <f t="shared" si="56"/>
        <v>0</v>
      </c>
      <c r="AB325" s="143">
        <v>0</v>
      </c>
      <c r="AC325" s="9">
        <f t="shared" ref="AC325:AC388" si="62">IFERROR(AB325/Z325*100,0)</f>
        <v>0</v>
      </c>
      <c r="AD325" s="8" t="str">
        <f t="shared" si="57"/>
        <v>Belum Sensus</v>
      </c>
      <c r="AE325" s="178">
        <v>46153</v>
      </c>
      <c r="AF325" s="143">
        <v>871</v>
      </c>
      <c r="AG325" s="143">
        <v>204</v>
      </c>
      <c r="AH325" s="9">
        <f t="shared" si="58"/>
        <v>23.421354764638348</v>
      </c>
      <c r="AI325" s="8" t="str">
        <f t="shared" si="59"/>
        <v>Perlu Pengendalian</v>
      </c>
    </row>
    <row r="326" spans="1:35" x14ac:dyDescent="0.2">
      <c r="A326" s="8" t="s">
        <v>1739</v>
      </c>
      <c r="B326" s="8" t="s">
        <v>14</v>
      </c>
      <c r="C326" s="8" t="s">
        <v>345</v>
      </c>
      <c r="D326" s="8" t="s">
        <v>1191</v>
      </c>
      <c r="E326" s="9">
        <v>28.59</v>
      </c>
      <c r="F326" s="8" t="s">
        <v>1740</v>
      </c>
      <c r="G326" s="10">
        <v>3905</v>
      </c>
      <c r="H326" s="132">
        <v>46153</v>
      </c>
      <c r="I326" s="8">
        <f t="array" ref="I326">INDEX([26]KOMPARASI!$H$20:$H$199,MATCH(1,([26]KOMPARASI!$C$20:$C$199=$D326)*([26]KOMPARASI!$C$20:$C$199=$D326),0))</f>
        <v>350</v>
      </c>
      <c r="J326" s="9">
        <f t="array" ref="J326">IFERROR(I326/G326*100,0)</f>
        <v>8.9628681177976954</v>
      </c>
      <c r="K326" s="8">
        <f t="array" ref="K326">INDEX([26]KOMPARASI!$J$20:$J$199,MATCH(1,([26]KOMPARASI!$C$20:$C$199=$D326)*([26]KOMPARASI!$C$20:$C$199=$D326),0))</f>
        <v>186</v>
      </c>
      <c r="L326" s="9">
        <f t="shared" si="60"/>
        <v>53.142857142857146</v>
      </c>
      <c r="M326" s="8" t="str">
        <f t="shared" ref="M326:M389" si="63">IF(L326&gt;2,"Perlu Pengendalian",IF(L326&gt;0,"Tidak Perlu Pengendalian","Belum Sensus"))</f>
        <v>Perlu Pengendalian</v>
      </c>
      <c r="N326" s="148"/>
      <c r="O326" s="143" t="e">
        <f>MAX(#REF!,#REF!)</f>
        <v>#REF!</v>
      </c>
      <c r="P326" s="9" t="e">
        <f t="shared" ref="P326:P389" si="64">O326/G326*100</f>
        <v>#REF!</v>
      </c>
      <c r="Q326" s="143" t="e">
        <f>MAX(#REF!,#REF!)</f>
        <v>#REF!</v>
      </c>
      <c r="R326" s="9">
        <f t="shared" si="61"/>
        <v>0</v>
      </c>
      <c r="S326" s="8" t="str">
        <f t="shared" ref="S326:S389" si="65">IF(R326&gt;2,"Perlu Pengendalian",IF(R326&gt;0,"Tidak Perlu Pengendalian","Belum Sensus"))</f>
        <v>Belum Sensus</v>
      </c>
      <c r="T326" s="148"/>
      <c r="U326" s="143" t="e">
        <f>MAX(#REF!,#REF!)</f>
        <v>#REF!</v>
      </c>
      <c r="V326" s="143" t="e">
        <f>MAX(#REF!,#REF!)</f>
        <v>#REF!</v>
      </c>
      <c r="W326" s="9">
        <f t="shared" ref="W326:W389" si="66">IFERROR(V326/U326*100,0)</f>
        <v>0</v>
      </c>
      <c r="X326" s="8" t="str">
        <f t="shared" ref="X326:X389" si="67">IF(W326&gt;2,"Perlu Pengendalian",IF(W326&gt;0,"Tidak Perlu Pengendalian","Belum Sensus"))</f>
        <v>Belum Sensus</v>
      </c>
      <c r="Y326" s="178"/>
      <c r="Z326" s="143">
        <v>0</v>
      </c>
      <c r="AA326" s="9">
        <f t="shared" ref="AA326:AA389" si="68">Z326/G326*100</f>
        <v>0</v>
      </c>
      <c r="AB326" s="143">
        <v>0</v>
      </c>
      <c r="AC326" s="9">
        <f t="shared" si="62"/>
        <v>0</v>
      </c>
      <c r="AD326" s="8" t="str">
        <f t="shared" ref="AD326:AD389" si="69">IF(AC326&gt;2,"Perlu Pengendalian",IF(AC326&gt;0,"Tidak Perlu Pengendalian","Belum Sensus"))</f>
        <v>Belum Sensus</v>
      </c>
      <c r="AE326" s="178">
        <v>46153</v>
      </c>
      <c r="AF326" s="143">
        <v>371</v>
      </c>
      <c r="AG326" s="143">
        <v>60</v>
      </c>
      <c r="AH326" s="9">
        <f t="shared" ref="AH326:AH389" si="70">IFERROR(AG326/AF326*100,0)</f>
        <v>16.172506738544474</v>
      </c>
      <c r="AI326" s="8" t="str">
        <f t="shared" ref="AI326:AI389" si="71">IF(AH326&gt;2,"Perlu Pengendalian",IF(AH326&gt;0,"Tidak Perlu Pengendalian","Belum Sensus"))</f>
        <v>Perlu Pengendalian</v>
      </c>
    </row>
    <row r="327" spans="1:35" x14ac:dyDescent="0.2">
      <c r="A327" s="8" t="s">
        <v>1739</v>
      </c>
      <c r="B327" s="8" t="s">
        <v>14</v>
      </c>
      <c r="C327" s="8" t="s">
        <v>345</v>
      </c>
      <c r="D327" s="8" t="s">
        <v>1192</v>
      </c>
      <c r="E327" s="9">
        <v>28.55</v>
      </c>
      <c r="F327" s="8" t="s">
        <v>1740</v>
      </c>
      <c r="G327" s="10">
        <v>3813</v>
      </c>
      <c r="H327" s="132">
        <v>46149</v>
      </c>
      <c r="I327" s="8">
        <f t="array" ref="I327">INDEX([26]KOMPARASI!$H$20:$H$199,MATCH(1,([26]KOMPARASI!$C$20:$C$199=$D327)*([26]KOMPARASI!$C$20:$C$199=$D327),0))</f>
        <v>366</v>
      </c>
      <c r="J327" s="9">
        <f t="array" ref="J327">IFERROR(I327/G327*100,0)</f>
        <v>9.5987411487018104</v>
      </c>
      <c r="K327" s="8">
        <f t="array" ref="K327">INDEX([26]KOMPARASI!$J$20:$J$199,MATCH(1,([26]KOMPARASI!$C$20:$C$199=$D327)*([26]KOMPARASI!$C$20:$C$199=$D327),0))</f>
        <v>29</v>
      </c>
      <c r="L327" s="9">
        <f t="shared" si="60"/>
        <v>7.9234972677595632</v>
      </c>
      <c r="M327" s="8" t="str">
        <f t="shared" si="63"/>
        <v>Perlu Pengendalian</v>
      </c>
      <c r="N327" s="148"/>
      <c r="O327" s="143" t="e">
        <f>MAX(#REF!,#REF!)</f>
        <v>#REF!</v>
      </c>
      <c r="P327" s="9" t="e">
        <f t="shared" si="64"/>
        <v>#REF!</v>
      </c>
      <c r="Q327" s="143" t="e">
        <f>MAX(#REF!,#REF!)</f>
        <v>#REF!</v>
      </c>
      <c r="R327" s="9">
        <f t="shared" si="61"/>
        <v>0</v>
      </c>
      <c r="S327" s="8" t="str">
        <f t="shared" si="65"/>
        <v>Belum Sensus</v>
      </c>
      <c r="T327" s="148"/>
      <c r="U327" s="143" t="e">
        <f>MAX(#REF!,#REF!)</f>
        <v>#REF!</v>
      </c>
      <c r="V327" s="143" t="e">
        <f>MAX(#REF!,#REF!)</f>
        <v>#REF!</v>
      </c>
      <c r="W327" s="9">
        <f t="shared" si="66"/>
        <v>0</v>
      </c>
      <c r="X327" s="8" t="str">
        <f t="shared" si="67"/>
        <v>Belum Sensus</v>
      </c>
      <c r="Y327" s="178"/>
      <c r="Z327" s="143">
        <v>0</v>
      </c>
      <c r="AA327" s="9">
        <f t="shared" si="68"/>
        <v>0</v>
      </c>
      <c r="AB327" s="143">
        <v>0</v>
      </c>
      <c r="AC327" s="9">
        <f t="shared" si="62"/>
        <v>0</v>
      </c>
      <c r="AD327" s="8" t="str">
        <f t="shared" si="69"/>
        <v>Belum Sensus</v>
      </c>
      <c r="AE327" s="178"/>
      <c r="AF327" s="143">
        <v>0</v>
      </c>
      <c r="AG327" s="143">
        <v>0</v>
      </c>
      <c r="AH327" s="9">
        <f t="shared" si="70"/>
        <v>0</v>
      </c>
      <c r="AI327" s="8" t="str">
        <f t="shared" si="71"/>
        <v>Belum Sensus</v>
      </c>
    </row>
    <row r="328" spans="1:35" x14ac:dyDescent="0.2">
      <c r="A328" s="8" t="s">
        <v>1739</v>
      </c>
      <c r="B328" s="8" t="s">
        <v>14</v>
      </c>
      <c r="C328" s="8" t="s">
        <v>345</v>
      </c>
      <c r="D328" s="8" t="s">
        <v>1193</v>
      </c>
      <c r="E328" s="9">
        <v>31.35</v>
      </c>
      <c r="F328" s="8" t="s">
        <v>1740</v>
      </c>
      <c r="G328" s="10">
        <v>4247</v>
      </c>
      <c r="H328" s="132">
        <v>46153</v>
      </c>
      <c r="I328" s="8">
        <f t="array" ref="I328">INDEX([26]KOMPARASI!$H$20:$H$199,MATCH(1,([26]KOMPARASI!$C$20:$C$199=$D328)*([26]KOMPARASI!$C$20:$C$199=$D328),0))</f>
        <v>369</v>
      </c>
      <c r="J328" s="9">
        <f t="array" ref="J328">IFERROR(I328/G328*100,0)</f>
        <v>8.6884859901106672</v>
      </c>
      <c r="K328" s="8">
        <f t="array" ref="K328">INDEX([26]KOMPARASI!$J$20:$J$199,MATCH(1,([26]KOMPARASI!$C$20:$C$199=$D328)*([26]KOMPARASI!$C$20:$C$199=$D328),0))</f>
        <v>23</v>
      </c>
      <c r="L328" s="9">
        <f t="shared" si="60"/>
        <v>6.2330623306233059</v>
      </c>
      <c r="M328" s="8" t="str">
        <f t="shared" si="63"/>
        <v>Perlu Pengendalian</v>
      </c>
      <c r="N328" s="148"/>
      <c r="O328" s="143" t="e">
        <f>MAX(#REF!,#REF!)</f>
        <v>#REF!</v>
      </c>
      <c r="P328" s="9" t="e">
        <f t="shared" si="64"/>
        <v>#REF!</v>
      </c>
      <c r="Q328" s="143" t="e">
        <f>MAX(#REF!,#REF!)</f>
        <v>#REF!</v>
      </c>
      <c r="R328" s="9">
        <f t="shared" si="61"/>
        <v>0</v>
      </c>
      <c r="S328" s="8" t="str">
        <f t="shared" si="65"/>
        <v>Belum Sensus</v>
      </c>
      <c r="T328" s="148"/>
      <c r="U328" s="143" t="e">
        <f>MAX(#REF!,#REF!)</f>
        <v>#REF!</v>
      </c>
      <c r="V328" s="143" t="e">
        <f>MAX(#REF!,#REF!)</f>
        <v>#REF!</v>
      </c>
      <c r="W328" s="9">
        <f t="shared" si="66"/>
        <v>0</v>
      </c>
      <c r="X328" s="8" t="str">
        <f t="shared" si="67"/>
        <v>Belum Sensus</v>
      </c>
      <c r="Y328" s="178"/>
      <c r="Z328" s="143">
        <v>0</v>
      </c>
      <c r="AA328" s="9">
        <f t="shared" si="68"/>
        <v>0</v>
      </c>
      <c r="AB328" s="143">
        <v>0</v>
      </c>
      <c r="AC328" s="9">
        <f t="shared" si="62"/>
        <v>0</v>
      </c>
      <c r="AD328" s="8" t="str">
        <f t="shared" si="69"/>
        <v>Belum Sensus</v>
      </c>
      <c r="AE328" s="178"/>
      <c r="AF328" s="143">
        <v>0</v>
      </c>
      <c r="AG328" s="143">
        <v>0</v>
      </c>
      <c r="AH328" s="9">
        <f t="shared" si="70"/>
        <v>0</v>
      </c>
      <c r="AI328" s="8" t="str">
        <f t="shared" si="71"/>
        <v>Belum Sensus</v>
      </c>
    </row>
    <row r="329" spans="1:35" x14ac:dyDescent="0.2">
      <c r="A329" s="8" t="s">
        <v>1739</v>
      </c>
      <c r="B329" s="8" t="s">
        <v>14</v>
      </c>
      <c r="C329" s="8" t="s">
        <v>345</v>
      </c>
      <c r="D329" s="8" t="s">
        <v>1194</v>
      </c>
      <c r="E329" s="9">
        <v>28.99</v>
      </c>
      <c r="F329" s="8" t="s">
        <v>1740</v>
      </c>
      <c r="G329" s="10">
        <v>4003</v>
      </c>
      <c r="H329" s="132">
        <v>46153</v>
      </c>
      <c r="I329" s="8">
        <f t="array" ref="I329">INDEX([26]KOMPARASI!$H$20:$H$199,MATCH(1,([26]KOMPARASI!$C$20:$C$199=$D329)*([26]KOMPARASI!$C$20:$C$199=$D329),0))</f>
        <v>316</v>
      </c>
      <c r="J329" s="9">
        <f t="array" ref="J329">IFERROR(I329/G329*100,0)</f>
        <v>7.8940794404196852</v>
      </c>
      <c r="K329" s="8">
        <f t="array" ref="K329">INDEX([26]KOMPARASI!$J$20:$J$199,MATCH(1,([26]KOMPARASI!$C$20:$C$199=$D329)*([26]KOMPARASI!$C$20:$C$199=$D329),0))</f>
        <v>40</v>
      </c>
      <c r="L329" s="9">
        <f t="shared" si="60"/>
        <v>12.658227848101266</v>
      </c>
      <c r="M329" s="8" t="str">
        <f t="shared" si="63"/>
        <v>Perlu Pengendalian</v>
      </c>
      <c r="N329" s="148"/>
      <c r="O329" s="143" t="e">
        <f>MAX(#REF!,#REF!)</f>
        <v>#REF!</v>
      </c>
      <c r="P329" s="9" t="e">
        <f t="shared" si="64"/>
        <v>#REF!</v>
      </c>
      <c r="Q329" s="143" t="e">
        <f>MAX(#REF!,#REF!)</f>
        <v>#REF!</v>
      </c>
      <c r="R329" s="9">
        <f t="shared" si="61"/>
        <v>0</v>
      </c>
      <c r="S329" s="8" t="str">
        <f t="shared" si="65"/>
        <v>Belum Sensus</v>
      </c>
      <c r="T329" s="148"/>
      <c r="U329" s="143" t="e">
        <f>MAX(#REF!,#REF!)</f>
        <v>#REF!</v>
      </c>
      <c r="V329" s="143" t="e">
        <f>MAX(#REF!,#REF!)</f>
        <v>#REF!</v>
      </c>
      <c r="W329" s="9">
        <f t="shared" si="66"/>
        <v>0</v>
      </c>
      <c r="X329" s="8" t="str">
        <f t="shared" si="67"/>
        <v>Belum Sensus</v>
      </c>
      <c r="Y329" s="178"/>
      <c r="Z329" s="143">
        <v>0</v>
      </c>
      <c r="AA329" s="9">
        <f t="shared" si="68"/>
        <v>0</v>
      </c>
      <c r="AB329" s="143">
        <v>0</v>
      </c>
      <c r="AC329" s="9">
        <f t="shared" si="62"/>
        <v>0</v>
      </c>
      <c r="AD329" s="8" t="str">
        <f t="shared" si="69"/>
        <v>Belum Sensus</v>
      </c>
      <c r="AE329" s="178">
        <v>46153</v>
      </c>
      <c r="AF329" s="143">
        <v>550</v>
      </c>
      <c r="AG329" s="143">
        <v>85</v>
      </c>
      <c r="AH329" s="9">
        <f t="shared" si="70"/>
        <v>15.454545454545453</v>
      </c>
      <c r="AI329" s="8" t="str">
        <f t="shared" si="71"/>
        <v>Perlu Pengendalian</v>
      </c>
    </row>
    <row r="330" spans="1:35" x14ac:dyDescent="0.2">
      <c r="A330" s="8" t="s">
        <v>1739</v>
      </c>
      <c r="B330" s="8" t="s">
        <v>14</v>
      </c>
      <c r="C330" s="8" t="s">
        <v>345</v>
      </c>
      <c r="D330" s="8" t="s">
        <v>1195</v>
      </c>
      <c r="E330" s="9">
        <v>30.02</v>
      </c>
      <c r="F330" s="8" t="s">
        <v>1740</v>
      </c>
      <c r="G330" s="10">
        <v>4099</v>
      </c>
      <c r="H330" s="132">
        <v>46149</v>
      </c>
      <c r="I330" s="8">
        <f t="array" ref="I330">INDEX([26]KOMPARASI!$H$20:$H$199,MATCH(1,([26]KOMPARASI!$C$20:$C$199=$D330)*([26]KOMPARASI!$C$20:$C$199=$D330),0))</f>
        <v>299</v>
      </c>
      <c r="J330" s="9">
        <f t="array" ref="J330">IFERROR(I330/G330*100,0)</f>
        <v>7.2944620639180293</v>
      </c>
      <c r="K330" s="8">
        <f t="array" ref="K330">INDEX([26]KOMPARASI!$J$20:$J$199,MATCH(1,([26]KOMPARASI!$C$20:$C$199=$D330)*([26]KOMPARASI!$C$20:$C$199=$D330),0))</f>
        <v>144</v>
      </c>
      <c r="L330" s="9">
        <f t="shared" si="60"/>
        <v>48.16053511705686</v>
      </c>
      <c r="M330" s="8" t="str">
        <f t="shared" si="63"/>
        <v>Perlu Pengendalian</v>
      </c>
      <c r="N330" s="148"/>
      <c r="O330" s="143" t="e">
        <f>MAX(#REF!,#REF!)</f>
        <v>#REF!</v>
      </c>
      <c r="P330" s="9" t="e">
        <f t="shared" si="64"/>
        <v>#REF!</v>
      </c>
      <c r="Q330" s="143" t="e">
        <f>MAX(#REF!,#REF!)</f>
        <v>#REF!</v>
      </c>
      <c r="R330" s="9">
        <f t="shared" si="61"/>
        <v>0</v>
      </c>
      <c r="S330" s="8" t="str">
        <f t="shared" si="65"/>
        <v>Belum Sensus</v>
      </c>
      <c r="T330" s="148"/>
      <c r="U330" s="143" t="e">
        <f>MAX(#REF!,#REF!)</f>
        <v>#REF!</v>
      </c>
      <c r="V330" s="143" t="e">
        <f>MAX(#REF!,#REF!)</f>
        <v>#REF!</v>
      </c>
      <c r="W330" s="9">
        <f t="shared" si="66"/>
        <v>0</v>
      </c>
      <c r="X330" s="8" t="str">
        <f t="shared" si="67"/>
        <v>Belum Sensus</v>
      </c>
      <c r="Y330" s="178"/>
      <c r="Z330" s="143">
        <v>0</v>
      </c>
      <c r="AA330" s="9">
        <f t="shared" si="68"/>
        <v>0</v>
      </c>
      <c r="AB330" s="143">
        <v>0</v>
      </c>
      <c r="AC330" s="9">
        <f t="shared" si="62"/>
        <v>0</v>
      </c>
      <c r="AD330" s="8" t="str">
        <f t="shared" si="69"/>
        <v>Belum Sensus</v>
      </c>
      <c r="AE330" s="178">
        <v>46153</v>
      </c>
      <c r="AF330" s="143">
        <v>764</v>
      </c>
      <c r="AG330" s="143">
        <v>155</v>
      </c>
      <c r="AH330" s="9">
        <f t="shared" si="70"/>
        <v>20.287958115183248</v>
      </c>
      <c r="AI330" s="8" t="str">
        <f t="shared" si="71"/>
        <v>Perlu Pengendalian</v>
      </c>
    </row>
    <row r="331" spans="1:35" x14ac:dyDescent="0.2">
      <c r="A331" s="8" t="s">
        <v>1739</v>
      </c>
      <c r="B331" s="8" t="s">
        <v>14</v>
      </c>
      <c r="C331" s="8" t="s">
        <v>345</v>
      </c>
      <c r="D331" s="8" t="s">
        <v>1196</v>
      </c>
      <c r="E331" s="9">
        <v>30.87</v>
      </c>
      <c r="F331" s="8" t="s">
        <v>1740</v>
      </c>
      <c r="G331" s="10">
        <v>4020</v>
      </c>
      <c r="H331" s="132">
        <v>46149</v>
      </c>
      <c r="I331" s="8">
        <f t="array" ref="I331">INDEX([26]KOMPARASI!$H$20:$H$199,MATCH(1,([26]KOMPARASI!$C$20:$C$199=$D331)*([26]KOMPARASI!$C$20:$C$199=$D331),0))</f>
        <v>387</v>
      </c>
      <c r="J331" s="9">
        <f t="array" ref="J331">IFERROR(I331/G331*100,0)</f>
        <v>9.6268656716417897</v>
      </c>
      <c r="K331" s="8">
        <f t="array" ref="K331">INDEX([26]KOMPARASI!$J$20:$J$199,MATCH(1,([26]KOMPARASI!$C$20:$C$199=$D331)*([26]KOMPARASI!$C$20:$C$199=$D331),0))</f>
        <v>55</v>
      </c>
      <c r="L331" s="9">
        <f t="shared" si="60"/>
        <v>14.211886304909561</v>
      </c>
      <c r="M331" s="8" t="str">
        <f t="shared" si="63"/>
        <v>Perlu Pengendalian</v>
      </c>
      <c r="N331" s="148"/>
      <c r="O331" s="143" t="e">
        <f>MAX(#REF!,#REF!)</f>
        <v>#REF!</v>
      </c>
      <c r="P331" s="9" t="e">
        <f t="shared" si="64"/>
        <v>#REF!</v>
      </c>
      <c r="Q331" s="143" t="e">
        <f>MAX(#REF!,#REF!)</f>
        <v>#REF!</v>
      </c>
      <c r="R331" s="9">
        <f t="shared" si="61"/>
        <v>0</v>
      </c>
      <c r="S331" s="8" t="str">
        <f t="shared" si="65"/>
        <v>Belum Sensus</v>
      </c>
      <c r="T331" s="148"/>
      <c r="U331" s="143" t="e">
        <f>MAX(#REF!,#REF!)</f>
        <v>#REF!</v>
      </c>
      <c r="V331" s="143" t="e">
        <f>MAX(#REF!,#REF!)</f>
        <v>#REF!</v>
      </c>
      <c r="W331" s="9">
        <f t="shared" si="66"/>
        <v>0</v>
      </c>
      <c r="X331" s="8" t="str">
        <f t="shared" si="67"/>
        <v>Belum Sensus</v>
      </c>
      <c r="Y331" s="178">
        <v>46153</v>
      </c>
      <c r="Z331" s="143">
        <v>37</v>
      </c>
      <c r="AA331" s="9">
        <f t="shared" si="68"/>
        <v>0.92039800995024879</v>
      </c>
      <c r="AB331" s="143">
        <v>7</v>
      </c>
      <c r="AC331" s="9">
        <f t="shared" si="62"/>
        <v>18.918918918918919</v>
      </c>
      <c r="AD331" s="8" t="str">
        <f t="shared" si="69"/>
        <v>Perlu Pengendalian</v>
      </c>
      <c r="AE331" s="178"/>
      <c r="AF331" s="143">
        <v>0</v>
      </c>
      <c r="AG331" s="143">
        <v>0</v>
      </c>
      <c r="AH331" s="9">
        <f t="shared" si="70"/>
        <v>0</v>
      </c>
      <c r="AI331" s="8" t="str">
        <f t="shared" si="71"/>
        <v>Belum Sensus</v>
      </c>
    </row>
    <row r="332" spans="1:35" x14ac:dyDescent="0.2">
      <c r="A332" s="8" t="s">
        <v>1739</v>
      </c>
      <c r="B332" s="8" t="s">
        <v>14</v>
      </c>
      <c r="C332" s="8" t="s">
        <v>345</v>
      </c>
      <c r="D332" s="8" t="s">
        <v>1197</v>
      </c>
      <c r="E332" s="9">
        <v>30.32</v>
      </c>
      <c r="F332" s="8" t="s">
        <v>1740</v>
      </c>
      <c r="G332" s="10">
        <v>4153</v>
      </c>
      <c r="H332" s="132">
        <v>46149</v>
      </c>
      <c r="I332" s="8">
        <f t="array" ref="I332">INDEX([26]KOMPARASI!$H$20:$H$199,MATCH(1,([26]KOMPARASI!$C$20:$C$199=$D332)*([26]KOMPARASI!$C$20:$C$199=$D332),0))</f>
        <v>377</v>
      </c>
      <c r="J332" s="9">
        <f t="array" ref="J332">IFERROR(I332/G332*100,0)</f>
        <v>9.0777751023356608</v>
      </c>
      <c r="K332" s="8">
        <f t="array" ref="K332">INDEX([26]KOMPARASI!$J$20:$J$199,MATCH(1,([26]KOMPARASI!$C$20:$C$199=$D332)*([26]KOMPARASI!$C$20:$C$199=$D332),0))</f>
        <v>22</v>
      </c>
      <c r="L332" s="9">
        <f t="shared" si="60"/>
        <v>5.8355437665782492</v>
      </c>
      <c r="M332" s="8" t="str">
        <f t="shared" si="63"/>
        <v>Perlu Pengendalian</v>
      </c>
      <c r="N332" s="148"/>
      <c r="O332" s="143" t="e">
        <f>MAX(#REF!,#REF!)</f>
        <v>#REF!</v>
      </c>
      <c r="P332" s="9" t="e">
        <f t="shared" si="64"/>
        <v>#REF!</v>
      </c>
      <c r="Q332" s="143" t="e">
        <f>MAX(#REF!,#REF!)</f>
        <v>#REF!</v>
      </c>
      <c r="R332" s="9">
        <f t="shared" si="61"/>
        <v>0</v>
      </c>
      <c r="S332" s="8" t="str">
        <f t="shared" si="65"/>
        <v>Belum Sensus</v>
      </c>
      <c r="T332" s="148"/>
      <c r="U332" s="143" t="e">
        <f>MAX(#REF!,#REF!)</f>
        <v>#REF!</v>
      </c>
      <c r="V332" s="143" t="e">
        <f>MAX(#REF!,#REF!)</f>
        <v>#REF!</v>
      </c>
      <c r="W332" s="9">
        <f t="shared" si="66"/>
        <v>0</v>
      </c>
      <c r="X332" s="8" t="str">
        <f t="shared" si="67"/>
        <v>Belum Sensus</v>
      </c>
      <c r="Y332" s="178">
        <v>46153</v>
      </c>
      <c r="Z332" s="143">
        <v>97</v>
      </c>
      <c r="AA332" s="9">
        <f t="shared" si="68"/>
        <v>2.3356609679749578</v>
      </c>
      <c r="AB332" s="143">
        <v>17</v>
      </c>
      <c r="AC332" s="9">
        <f t="shared" si="62"/>
        <v>17.525773195876287</v>
      </c>
      <c r="AD332" s="8" t="str">
        <f t="shared" si="69"/>
        <v>Perlu Pengendalian</v>
      </c>
      <c r="AE332" s="178"/>
      <c r="AF332" s="143">
        <v>0</v>
      </c>
      <c r="AG332" s="143">
        <v>0</v>
      </c>
      <c r="AH332" s="9">
        <f t="shared" si="70"/>
        <v>0</v>
      </c>
      <c r="AI332" s="8" t="str">
        <f t="shared" si="71"/>
        <v>Belum Sensus</v>
      </c>
    </row>
    <row r="333" spans="1:35" x14ac:dyDescent="0.2">
      <c r="A333" s="8" t="s">
        <v>1739</v>
      </c>
      <c r="B333" s="8" t="s">
        <v>14</v>
      </c>
      <c r="C333" s="8" t="s">
        <v>345</v>
      </c>
      <c r="D333" s="8" t="s">
        <v>1198</v>
      </c>
      <c r="E333" s="9">
        <v>47.56</v>
      </c>
      <c r="F333" s="8" t="s">
        <v>1740</v>
      </c>
      <c r="G333" s="10">
        <v>4893</v>
      </c>
      <c r="H333" s="132">
        <v>46149</v>
      </c>
      <c r="I333" s="8">
        <f t="array" ref="I333">INDEX([26]KOMPARASI!$H$20:$H$199,MATCH(1,([26]KOMPARASI!$C$20:$C$199=$D333)*([26]KOMPARASI!$C$20:$C$199=$D333),0))</f>
        <v>475</v>
      </c>
      <c r="J333" s="9">
        <f t="array" ref="J333">IFERROR(I333/G333*100,0)</f>
        <v>9.7077457592479064</v>
      </c>
      <c r="K333" s="8">
        <f t="array" ref="K333">INDEX([26]KOMPARASI!$J$20:$J$199,MATCH(1,([26]KOMPARASI!$C$20:$C$199=$D333)*([26]KOMPARASI!$C$20:$C$199=$D333),0))</f>
        <v>95</v>
      </c>
      <c r="L333" s="9">
        <f t="shared" si="60"/>
        <v>20</v>
      </c>
      <c r="M333" s="8" t="str">
        <f t="shared" si="63"/>
        <v>Perlu Pengendalian</v>
      </c>
      <c r="N333" s="148"/>
      <c r="O333" s="143" t="e">
        <f>MAX(#REF!,#REF!)</f>
        <v>#REF!</v>
      </c>
      <c r="P333" s="9" t="e">
        <f t="shared" si="64"/>
        <v>#REF!</v>
      </c>
      <c r="Q333" s="143" t="e">
        <f>MAX(#REF!,#REF!)</f>
        <v>#REF!</v>
      </c>
      <c r="R333" s="9">
        <f t="shared" si="61"/>
        <v>0</v>
      </c>
      <c r="S333" s="8" t="str">
        <f t="shared" si="65"/>
        <v>Belum Sensus</v>
      </c>
      <c r="T333" s="148"/>
      <c r="U333" s="143" t="e">
        <f>MAX(#REF!,#REF!)</f>
        <v>#REF!</v>
      </c>
      <c r="V333" s="143" t="e">
        <f>MAX(#REF!,#REF!)</f>
        <v>#REF!</v>
      </c>
      <c r="W333" s="9">
        <f t="shared" si="66"/>
        <v>0</v>
      </c>
      <c r="X333" s="8" t="str">
        <f t="shared" si="67"/>
        <v>Belum Sensus</v>
      </c>
      <c r="Y333" s="178">
        <v>46153</v>
      </c>
      <c r="Z333" s="143">
        <v>68</v>
      </c>
      <c r="AA333" s="9">
        <f t="shared" si="68"/>
        <v>1.3897404455344371</v>
      </c>
      <c r="AB333" s="143">
        <v>17</v>
      </c>
      <c r="AC333" s="9">
        <f t="shared" si="62"/>
        <v>25</v>
      </c>
      <c r="AD333" s="8" t="str">
        <f t="shared" si="69"/>
        <v>Perlu Pengendalian</v>
      </c>
      <c r="AE333" s="178">
        <v>46153</v>
      </c>
      <c r="AF333" s="143">
        <v>1765</v>
      </c>
      <c r="AG333" s="143">
        <v>469</v>
      </c>
      <c r="AH333" s="9">
        <f t="shared" si="70"/>
        <v>26.572237960339944</v>
      </c>
      <c r="AI333" s="8" t="str">
        <f t="shared" si="71"/>
        <v>Perlu Pengendalian</v>
      </c>
    </row>
    <row r="334" spans="1:35" x14ac:dyDescent="0.2">
      <c r="A334" s="8" t="s">
        <v>1739</v>
      </c>
      <c r="B334" s="8" t="s">
        <v>14</v>
      </c>
      <c r="C334" s="8" t="s">
        <v>380</v>
      </c>
      <c r="D334" s="8" t="s">
        <v>1199</v>
      </c>
      <c r="E334" s="9">
        <v>12.96</v>
      </c>
      <c r="F334" s="8" t="s">
        <v>1740</v>
      </c>
      <c r="G334" s="10">
        <v>1786</v>
      </c>
      <c r="H334" s="132">
        <v>46153</v>
      </c>
      <c r="I334" s="8">
        <f t="array" ref="I334">INDEX([26]KOMPARASI!$H$20:$H$199,MATCH(1,([26]KOMPARASI!$C$20:$C$199=$D334)*([26]KOMPARASI!$C$20:$C$199=$D334),0))</f>
        <v>248</v>
      </c>
      <c r="J334" s="9">
        <f t="array" ref="J334">IFERROR(I334/G334*100,0)</f>
        <v>13.885778275475925</v>
      </c>
      <c r="K334" s="8">
        <f t="array" ref="K334">INDEX([26]KOMPARASI!$J$20:$J$199,MATCH(1,([26]KOMPARASI!$C$20:$C$199=$D334)*([26]KOMPARASI!$C$20:$C$199=$D334),0))</f>
        <v>67</v>
      </c>
      <c r="L334" s="9">
        <f t="shared" si="60"/>
        <v>27.016129032258064</v>
      </c>
      <c r="M334" s="8" t="str">
        <f t="shared" si="63"/>
        <v>Perlu Pengendalian</v>
      </c>
      <c r="N334" s="148"/>
      <c r="O334" s="143" t="e">
        <f>MAX(#REF!,#REF!)</f>
        <v>#REF!</v>
      </c>
      <c r="P334" s="9" t="e">
        <f t="shared" si="64"/>
        <v>#REF!</v>
      </c>
      <c r="Q334" s="143" t="e">
        <f>MAX(#REF!,#REF!)</f>
        <v>#REF!</v>
      </c>
      <c r="R334" s="9">
        <f t="shared" si="61"/>
        <v>0</v>
      </c>
      <c r="S334" s="8" t="str">
        <f t="shared" si="65"/>
        <v>Belum Sensus</v>
      </c>
      <c r="T334" s="148"/>
      <c r="U334" s="143" t="e">
        <f>MAX(#REF!,#REF!)</f>
        <v>#REF!</v>
      </c>
      <c r="V334" s="143" t="e">
        <f>MAX(#REF!,#REF!)</f>
        <v>#REF!</v>
      </c>
      <c r="W334" s="9">
        <f t="shared" si="66"/>
        <v>0</v>
      </c>
      <c r="X334" s="8" t="str">
        <f t="shared" si="67"/>
        <v>Belum Sensus</v>
      </c>
      <c r="Y334" s="178"/>
      <c r="Z334" s="143">
        <v>0</v>
      </c>
      <c r="AA334" s="9">
        <f t="shared" si="68"/>
        <v>0</v>
      </c>
      <c r="AB334" s="143">
        <v>0</v>
      </c>
      <c r="AC334" s="9">
        <f t="shared" si="62"/>
        <v>0</v>
      </c>
      <c r="AD334" s="8" t="str">
        <f t="shared" si="69"/>
        <v>Belum Sensus</v>
      </c>
      <c r="AE334" s="178"/>
      <c r="AF334" s="143">
        <v>0</v>
      </c>
      <c r="AG334" s="143">
        <v>0</v>
      </c>
      <c r="AH334" s="9">
        <f t="shared" si="70"/>
        <v>0</v>
      </c>
      <c r="AI334" s="8" t="str">
        <f t="shared" si="71"/>
        <v>Belum Sensus</v>
      </c>
    </row>
    <row r="335" spans="1:35" x14ac:dyDescent="0.2">
      <c r="A335" s="8" t="s">
        <v>1739</v>
      </c>
      <c r="B335" s="8" t="s">
        <v>14</v>
      </c>
      <c r="C335" s="8" t="s">
        <v>380</v>
      </c>
      <c r="D335" s="8" t="s">
        <v>1200</v>
      </c>
      <c r="E335" s="9">
        <v>34.1</v>
      </c>
      <c r="F335" s="8" t="s">
        <v>1740</v>
      </c>
      <c r="G335" s="10">
        <v>4609</v>
      </c>
      <c r="H335" s="132">
        <v>46153</v>
      </c>
      <c r="I335" s="8">
        <f t="array" ref="I335">INDEX([26]KOMPARASI!$H$20:$H$199,MATCH(1,([26]KOMPARASI!$C$20:$C$199=$D335)*([26]KOMPARASI!$C$20:$C$199=$D335),0))</f>
        <v>352</v>
      </c>
      <c r="J335" s="9">
        <f t="array" ref="J335">IFERROR(I335/G335*100,0)</f>
        <v>7.6372315035799527</v>
      </c>
      <c r="K335" s="8">
        <f t="array" ref="K335">INDEX([26]KOMPARASI!$J$20:$J$199,MATCH(1,([26]KOMPARASI!$C$20:$C$199=$D335)*([26]KOMPARASI!$C$20:$C$199=$D335),0))</f>
        <v>85</v>
      </c>
      <c r="L335" s="9">
        <f t="shared" si="60"/>
        <v>24.147727272727273</v>
      </c>
      <c r="M335" s="8" t="str">
        <f t="shared" si="63"/>
        <v>Perlu Pengendalian</v>
      </c>
      <c r="N335" s="148"/>
      <c r="O335" s="143" t="e">
        <f>MAX(#REF!,#REF!)</f>
        <v>#REF!</v>
      </c>
      <c r="P335" s="9" t="e">
        <f t="shared" si="64"/>
        <v>#REF!</v>
      </c>
      <c r="Q335" s="143" t="e">
        <f>MAX(#REF!,#REF!)</f>
        <v>#REF!</v>
      </c>
      <c r="R335" s="9">
        <f t="shared" si="61"/>
        <v>0</v>
      </c>
      <c r="S335" s="8" t="str">
        <f t="shared" si="65"/>
        <v>Belum Sensus</v>
      </c>
      <c r="T335" s="148"/>
      <c r="U335" s="143" t="e">
        <f>MAX(#REF!,#REF!)</f>
        <v>#REF!</v>
      </c>
      <c r="V335" s="143" t="e">
        <f>MAX(#REF!,#REF!)</f>
        <v>#REF!</v>
      </c>
      <c r="W335" s="9">
        <f t="shared" si="66"/>
        <v>0</v>
      </c>
      <c r="X335" s="8" t="str">
        <f t="shared" si="67"/>
        <v>Belum Sensus</v>
      </c>
      <c r="Y335" s="178">
        <v>46153</v>
      </c>
      <c r="Z335" s="143">
        <v>30</v>
      </c>
      <c r="AA335" s="9">
        <f t="shared" si="68"/>
        <v>0.65090041223692774</v>
      </c>
      <c r="AB335" s="143">
        <v>7</v>
      </c>
      <c r="AC335" s="9">
        <f t="shared" si="62"/>
        <v>23.333333333333332</v>
      </c>
      <c r="AD335" s="8" t="str">
        <f t="shared" si="69"/>
        <v>Perlu Pengendalian</v>
      </c>
      <c r="AE335" s="178">
        <v>46153</v>
      </c>
      <c r="AF335" s="143">
        <v>1076</v>
      </c>
      <c r="AG335" s="143">
        <v>214</v>
      </c>
      <c r="AH335" s="9">
        <f t="shared" si="70"/>
        <v>19.888475836431226</v>
      </c>
      <c r="AI335" s="8" t="str">
        <f t="shared" si="71"/>
        <v>Perlu Pengendalian</v>
      </c>
    </row>
    <row r="336" spans="1:35" x14ac:dyDescent="0.2">
      <c r="A336" s="8" t="s">
        <v>1739</v>
      </c>
      <c r="B336" s="8" t="s">
        <v>14</v>
      </c>
      <c r="C336" s="8" t="s">
        <v>380</v>
      </c>
      <c r="D336" s="8" t="s">
        <v>1201</v>
      </c>
      <c r="E336" s="9">
        <v>23.07</v>
      </c>
      <c r="F336" s="8" t="s">
        <v>1740</v>
      </c>
      <c r="G336" s="10">
        <v>3106</v>
      </c>
      <c r="H336" s="132">
        <v>46153</v>
      </c>
      <c r="I336" s="8">
        <f t="array" ref="I336">INDEX([26]KOMPARASI!$H$20:$H$199,MATCH(1,([26]KOMPARASI!$C$20:$C$199=$D336)*([26]KOMPARASI!$C$20:$C$199=$D336),0))</f>
        <v>311</v>
      </c>
      <c r="J336" s="9">
        <f t="array" ref="J336">IFERROR(I336/G336*100,0)</f>
        <v>10.012878300064392</v>
      </c>
      <c r="K336" s="8">
        <f t="array" ref="K336">INDEX([26]KOMPARASI!$J$20:$J$199,MATCH(1,([26]KOMPARASI!$C$20:$C$199=$D336)*([26]KOMPARASI!$C$20:$C$199=$D336),0))</f>
        <v>69</v>
      </c>
      <c r="L336" s="9">
        <f t="shared" si="60"/>
        <v>22.186495176848876</v>
      </c>
      <c r="M336" s="8" t="str">
        <f t="shared" si="63"/>
        <v>Perlu Pengendalian</v>
      </c>
      <c r="N336" s="148"/>
      <c r="O336" s="143" t="e">
        <f>MAX(#REF!,#REF!)</f>
        <v>#REF!</v>
      </c>
      <c r="P336" s="9" t="e">
        <f t="shared" si="64"/>
        <v>#REF!</v>
      </c>
      <c r="Q336" s="143" t="e">
        <f>MAX(#REF!,#REF!)</f>
        <v>#REF!</v>
      </c>
      <c r="R336" s="9">
        <f t="shared" si="61"/>
        <v>0</v>
      </c>
      <c r="S336" s="8" t="str">
        <f t="shared" si="65"/>
        <v>Belum Sensus</v>
      </c>
      <c r="T336" s="148"/>
      <c r="U336" s="143" t="e">
        <f>MAX(#REF!,#REF!)</f>
        <v>#REF!</v>
      </c>
      <c r="V336" s="143" t="e">
        <f>MAX(#REF!,#REF!)</f>
        <v>#REF!</v>
      </c>
      <c r="W336" s="9">
        <f t="shared" si="66"/>
        <v>0</v>
      </c>
      <c r="X336" s="8" t="str">
        <f t="shared" si="67"/>
        <v>Belum Sensus</v>
      </c>
      <c r="Y336" s="178">
        <v>46153</v>
      </c>
      <c r="Z336" s="143">
        <v>36</v>
      </c>
      <c r="AA336" s="9">
        <f t="shared" si="68"/>
        <v>1.1590470057952349</v>
      </c>
      <c r="AB336" s="143">
        <v>8</v>
      </c>
      <c r="AC336" s="9">
        <f t="shared" si="62"/>
        <v>22.222222222222221</v>
      </c>
      <c r="AD336" s="8" t="str">
        <f t="shared" si="69"/>
        <v>Perlu Pengendalian</v>
      </c>
      <c r="AE336" s="178">
        <v>46153</v>
      </c>
      <c r="AF336" s="143">
        <v>795</v>
      </c>
      <c r="AG336" s="143">
        <v>171</v>
      </c>
      <c r="AH336" s="9">
        <f t="shared" si="70"/>
        <v>21.509433962264151</v>
      </c>
      <c r="AI336" s="8" t="str">
        <f t="shared" si="71"/>
        <v>Perlu Pengendalian</v>
      </c>
    </row>
    <row r="337" spans="1:35" x14ac:dyDescent="0.2">
      <c r="A337" s="8" t="s">
        <v>1739</v>
      </c>
      <c r="B337" s="8" t="s">
        <v>14</v>
      </c>
      <c r="C337" s="8" t="s">
        <v>380</v>
      </c>
      <c r="D337" s="8" t="s">
        <v>1202</v>
      </c>
      <c r="E337" s="9">
        <v>31.18</v>
      </c>
      <c r="F337" s="8" t="s">
        <v>1740</v>
      </c>
      <c r="G337" s="10">
        <v>4105</v>
      </c>
      <c r="H337" s="132">
        <v>46153</v>
      </c>
      <c r="I337" s="8">
        <f t="array" ref="I337">INDEX([26]KOMPARASI!$H$20:$H$199,MATCH(1,([26]KOMPARASI!$C$20:$C$199=$D337)*([26]KOMPARASI!$C$20:$C$199=$D337),0))</f>
        <v>355</v>
      </c>
      <c r="J337" s="9">
        <f t="array" ref="J337">IFERROR(I337/G337*100,0)</f>
        <v>8.6479902557856274</v>
      </c>
      <c r="K337" s="8">
        <f t="array" ref="K337">INDEX([26]KOMPARASI!$J$20:$J$199,MATCH(1,([26]KOMPARASI!$C$20:$C$199=$D337)*([26]KOMPARASI!$C$20:$C$199=$D337),0))</f>
        <v>118</v>
      </c>
      <c r="L337" s="9">
        <f t="shared" si="60"/>
        <v>33.239436619718312</v>
      </c>
      <c r="M337" s="8" t="str">
        <f t="shared" si="63"/>
        <v>Perlu Pengendalian</v>
      </c>
      <c r="N337" s="148"/>
      <c r="O337" s="143" t="e">
        <f>MAX(#REF!,#REF!)</f>
        <v>#REF!</v>
      </c>
      <c r="P337" s="9" t="e">
        <f t="shared" si="64"/>
        <v>#REF!</v>
      </c>
      <c r="Q337" s="143" t="e">
        <f>MAX(#REF!,#REF!)</f>
        <v>#REF!</v>
      </c>
      <c r="R337" s="9">
        <f t="shared" si="61"/>
        <v>0</v>
      </c>
      <c r="S337" s="8" t="str">
        <f t="shared" si="65"/>
        <v>Belum Sensus</v>
      </c>
      <c r="T337" s="148"/>
      <c r="U337" s="143" t="e">
        <f>MAX(#REF!,#REF!)</f>
        <v>#REF!</v>
      </c>
      <c r="V337" s="143" t="e">
        <f>MAX(#REF!,#REF!)</f>
        <v>#REF!</v>
      </c>
      <c r="W337" s="9">
        <f t="shared" si="66"/>
        <v>0</v>
      </c>
      <c r="X337" s="8" t="str">
        <f t="shared" si="67"/>
        <v>Belum Sensus</v>
      </c>
      <c r="Y337" s="178">
        <v>46153</v>
      </c>
      <c r="Z337" s="143">
        <v>67</v>
      </c>
      <c r="AA337" s="9">
        <f t="shared" si="68"/>
        <v>1.6321559074299636</v>
      </c>
      <c r="AB337" s="143">
        <v>19</v>
      </c>
      <c r="AC337" s="9">
        <f t="shared" si="62"/>
        <v>28.35820895522388</v>
      </c>
      <c r="AD337" s="8" t="str">
        <f t="shared" si="69"/>
        <v>Perlu Pengendalian</v>
      </c>
      <c r="AE337" s="178">
        <v>46153</v>
      </c>
      <c r="AF337" s="143">
        <v>1255</v>
      </c>
      <c r="AG337" s="143">
        <v>222</v>
      </c>
      <c r="AH337" s="9">
        <f t="shared" si="70"/>
        <v>17.689243027888445</v>
      </c>
      <c r="AI337" s="8" t="str">
        <f t="shared" si="71"/>
        <v>Perlu Pengendalian</v>
      </c>
    </row>
    <row r="338" spans="1:35" x14ac:dyDescent="0.2">
      <c r="A338" s="8" t="s">
        <v>1739</v>
      </c>
      <c r="B338" s="8" t="s">
        <v>14</v>
      </c>
      <c r="C338" s="8" t="s">
        <v>380</v>
      </c>
      <c r="D338" s="8" t="s">
        <v>1203</v>
      </c>
      <c r="E338" s="9">
        <v>31.6</v>
      </c>
      <c r="F338" s="8" t="s">
        <v>1740</v>
      </c>
      <c r="G338" s="10">
        <v>3818</v>
      </c>
      <c r="H338" s="132">
        <v>46153</v>
      </c>
      <c r="I338" s="8">
        <f t="array" ref="I338">INDEX([26]KOMPARASI!$H$20:$H$199,MATCH(1,([26]KOMPARASI!$C$20:$C$199=$D338)*([26]KOMPARASI!$C$20:$C$199=$D338),0))</f>
        <v>359</v>
      </c>
      <c r="J338" s="9">
        <f t="array" ref="J338">IFERROR(I338/G338*100,0)</f>
        <v>9.4028287061288633</v>
      </c>
      <c r="K338" s="8">
        <f t="array" ref="K338">INDEX([26]KOMPARASI!$J$20:$J$199,MATCH(1,([26]KOMPARASI!$C$20:$C$199=$D338)*([26]KOMPARASI!$C$20:$C$199=$D338),0))</f>
        <v>98</v>
      </c>
      <c r="L338" s="9">
        <f t="shared" si="60"/>
        <v>27.298050139275766</v>
      </c>
      <c r="M338" s="8" t="str">
        <f t="shared" si="63"/>
        <v>Perlu Pengendalian</v>
      </c>
      <c r="N338" s="148"/>
      <c r="O338" s="143" t="e">
        <f>MAX(#REF!,#REF!)</f>
        <v>#REF!</v>
      </c>
      <c r="P338" s="9" t="e">
        <f t="shared" si="64"/>
        <v>#REF!</v>
      </c>
      <c r="Q338" s="143" t="e">
        <f>MAX(#REF!,#REF!)</f>
        <v>#REF!</v>
      </c>
      <c r="R338" s="9">
        <f t="shared" si="61"/>
        <v>0</v>
      </c>
      <c r="S338" s="8" t="str">
        <f t="shared" si="65"/>
        <v>Belum Sensus</v>
      </c>
      <c r="T338" s="148"/>
      <c r="U338" s="143" t="e">
        <f>MAX(#REF!,#REF!)</f>
        <v>#REF!</v>
      </c>
      <c r="V338" s="143" t="e">
        <f>MAX(#REF!,#REF!)</f>
        <v>#REF!</v>
      </c>
      <c r="W338" s="9">
        <f t="shared" si="66"/>
        <v>0</v>
      </c>
      <c r="X338" s="8" t="str">
        <f t="shared" si="67"/>
        <v>Belum Sensus</v>
      </c>
      <c r="Y338" s="178">
        <v>46153</v>
      </c>
      <c r="Z338" s="143">
        <v>64</v>
      </c>
      <c r="AA338" s="9">
        <f t="shared" si="68"/>
        <v>1.676270298585647</v>
      </c>
      <c r="AB338" s="143">
        <v>26</v>
      </c>
      <c r="AC338" s="9">
        <f t="shared" si="62"/>
        <v>40.625</v>
      </c>
      <c r="AD338" s="8" t="str">
        <f t="shared" si="69"/>
        <v>Perlu Pengendalian</v>
      </c>
      <c r="AE338" s="178">
        <v>46153</v>
      </c>
      <c r="AF338" s="143">
        <v>993</v>
      </c>
      <c r="AG338" s="143">
        <v>209</v>
      </c>
      <c r="AH338" s="9">
        <f t="shared" si="70"/>
        <v>21.04733131923464</v>
      </c>
      <c r="AI338" s="8" t="str">
        <f t="shared" si="71"/>
        <v>Perlu Pengendalian</v>
      </c>
    </row>
    <row r="339" spans="1:35" x14ac:dyDescent="0.2">
      <c r="A339" s="8" t="s">
        <v>1739</v>
      </c>
      <c r="B339" s="8" t="s">
        <v>14</v>
      </c>
      <c r="C339" s="8" t="s">
        <v>380</v>
      </c>
      <c r="D339" s="8" t="s">
        <v>1204</v>
      </c>
      <c r="E339" s="9">
        <v>33.119999999999997</v>
      </c>
      <c r="F339" s="8" t="s">
        <v>1740</v>
      </c>
      <c r="G339" s="10">
        <v>4374</v>
      </c>
      <c r="H339" s="132">
        <v>46153</v>
      </c>
      <c r="I339" s="8">
        <f t="array" ref="I339">INDEX([26]KOMPARASI!$H$20:$H$199,MATCH(1,([26]KOMPARASI!$C$20:$C$199=$D339)*([26]KOMPARASI!$C$20:$C$199=$D339),0))</f>
        <v>366</v>
      </c>
      <c r="J339" s="9">
        <f t="array" ref="J339">IFERROR(I339/G339*100,0)</f>
        <v>8.3676268861454037</v>
      </c>
      <c r="K339" s="8">
        <f t="array" ref="K339">INDEX([26]KOMPARASI!$J$20:$J$199,MATCH(1,([26]KOMPARASI!$C$20:$C$199=$D339)*([26]KOMPARASI!$C$20:$C$199=$D339),0))</f>
        <v>43</v>
      </c>
      <c r="L339" s="9">
        <f t="shared" si="60"/>
        <v>11.748633879781421</v>
      </c>
      <c r="M339" s="8" t="str">
        <f t="shared" si="63"/>
        <v>Perlu Pengendalian</v>
      </c>
      <c r="N339" s="148"/>
      <c r="O339" s="143" t="e">
        <f>MAX(#REF!,#REF!)</f>
        <v>#REF!</v>
      </c>
      <c r="P339" s="9" t="e">
        <f t="shared" si="64"/>
        <v>#REF!</v>
      </c>
      <c r="Q339" s="143" t="e">
        <f>MAX(#REF!,#REF!)</f>
        <v>#REF!</v>
      </c>
      <c r="R339" s="9">
        <f t="shared" si="61"/>
        <v>0</v>
      </c>
      <c r="S339" s="8" t="str">
        <f t="shared" si="65"/>
        <v>Belum Sensus</v>
      </c>
      <c r="T339" s="148"/>
      <c r="U339" s="143" t="e">
        <f>MAX(#REF!,#REF!)</f>
        <v>#REF!</v>
      </c>
      <c r="V339" s="143" t="e">
        <f>MAX(#REF!,#REF!)</f>
        <v>#REF!</v>
      </c>
      <c r="W339" s="9">
        <f t="shared" si="66"/>
        <v>0</v>
      </c>
      <c r="X339" s="8" t="str">
        <f t="shared" si="67"/>
        <v>Belum Sensus</v>
      </c>
      <c r="Y339" s="178">
        <v>46153</v>
      </c>
      <c r="Z339" s="143">
        <v>33</v>
      </c>
      <c r="AA339" s="9">
        <f t="shared" si="68"/>
        <v>0.75445816186556924</v>
      </c>
      <c r="AB339" s="143">
        <v>12</v>
      </c>
      <c r="AC339" s="9">
        <f t="shared" si="62"/>
        <v>36.363636363636367</v>
      </c>
      <c r="AD339" s="8" t="str">
        <f t="shared" si="69"/>
        <v>Perlu Pengendalian</v>
      </c>
      <c r="AE339" s="178">
        <v>46153</v>
      </c>
      <c r="AF339" s="143">
        <v>1292</v>
      </c>
      <c r="AG339" s="143">
        <v>384</v>
      </c>
      <c r="AH339" s="9">
        <f t="shared" si="70"/>
        <v>29.721362229102166</v>
      </c>
      <c r="AI339" s="8" t="str">
        <f t="shared" si="71"/>
        <v>Perlu Pengendalian</v>
      </c>
    </row>
    <row r="340" spans="1:35" x14ac:dyDescent="0.2">
      <c r="A340" s="8" t="s">
        <v>1739</v>
      </c>
      <c r="B340" s="8" t="s">
        <v>14</v>
      </c>
      <c r="C340" s="8" t="s">
        <v>380</v>
      </c>
      <c r="D340" s="8" t="s">
        <v>1205</v>
      </c>
      <c r="E340" s="9">
        <v>37.04</v>
      </c>
      <c r="F340" s="8" t="s">
        <v>1740</v>
      </c>
      <c r="G340" s="10">
        <v>4861</v>
      </c>
      <c r="H340" s="132">
        <v>46153</v>
      </c>
      <c r="I340" s="8">
        <f t="array" ref="I340">INDEX([26]KOMPARASI!$H$20:$H$199,MATCH(1,([26]KOMPARASI!$C$20:$C$199=$D340)*([26]KOMPARASI!$C$20:$C$199=$D340),0))</f>
        <v>363</v>
      </c>
      <c r="J340" s="9">
        <f t="array" ref="J340">IFERROR(I340/G340*100,0)</f>
        <v>7.4675992594116432</v>
      </c>
      <c r="K340" s="8">
        <f t="array" ref="K340">INDEX([26]KOMPARASI!$J$20:$J$199,MATCH(1,([26]KOMPARASI!$C$20:$C$199=$D340)*([26]KOMPARASI!$C$20:$C$199=$D340),0))</f>
        <v>39</v>
      </c>
      <c r="L340" s="9">
        <f t="shared" si="60"/>
        <v>10.743801652892563</v>
      </c>
      <c r="M340" s="8" t="str">
        <f t="shared" si="63"/>
        <v>Perlu Pengendalian</v>
      </c>
      <c r="N340" s="148"/>
      <c r="O340" s="143" t="e">
        <f>MAX(#REF!,#REF!)</f>
        <v>#REF!</v>
      </c>
      <c r="P340" s="9" t="e">
        <f t="shared" si="64"/>
        <v>#REF!</v>
      </c>
      <c r="Q340" s="143" t="e">
        <f>MAX(#REF!,#REF!)</f>
        <v>#REF!</v>
      </c>
      <c r="R340" s="9">
        <f t="shared" si="61"/>
        <v>0</v>
      </c>
      <c r="S340" s="8" t="str">
        <f t="shared" si="65"/>
        <v>Belum Sensus</v>
      </c>
      <c r="T340" s="148"/>
      <c r="U340" s="143" t="e">
        <f>MAX(#REF!,#REF!)</f>
        <v>#REF!</v>
      </c>
      <c r="V340" s="143" t="e">
        <f>MAX(#REF!,#REF!)</f>
        <v>#REF!</v>
      </c>
      <c r="W340" s="9">
        <f t="shared" si="66"/>
        <v>0</v>
      </c>
      <c r="X340" s="8" t="str">
        <f t="shared" si="67"/>
        <v>Belum Sensus</v>
      </c>
      <c r="Y340" s="178">
        <v>46153</v>
      </c>
      <c r="Z340" s="143">
        <v>68</v>
      </c>
      <c r="AA340" s="9">
        <f t="shared" si="68"/>
        <v>1.398889117465542</v>
      </c>
      <c r="AB340" s="143">
        <v>11</v>
      </c>
      <c r="AC340" s="9">
        <f t="shared" si="62"/>
        <v>16.176470588235293</v>
      </c>
      <c r="AD340" s="8" t="str">
        <f t="shared" si="69"/>
        <v>Perlu Pengendalian</v>
      </c>
      <c r="AE340" s="178">
        <v>46153</v>
      </c>
      <c r="AF340" s="143">
        <v>570</v>
      </c>
      <c r="AG340" s="143">
        <v>170</v>
      </c>
      <c r="AH340" s="9">
        <f t="shared" si="70"/>
        <v>29.82456140350877</v>
      </c>
      <c r="AI340" s="8" t="str">
        <f t="shared" si="71"/>
        <v>Perlu Pengendalian</v>
      </c>
    </row>
    <row r="341" spans="1:35" x14ac:dyDescent="0.2">
      <c r="A341" s="8" t="s">
        <v>1739</v>
      </c>
      <c r="B341" s="8" t="s">
        <v>14</v>
      </c>
      <c r="C341" s="8" t="s">
        <v>380</v>
      </c>
      <c r="D341" s="8" t="s">
        <v>1206</v>
      </c>
      <c r="E341" s="9">
        <v>38.369999999999997</v>
      </c>
      <c r="F341" s="8" t="s">
        <v>1740</v>
      </c>
      <c r="G341" s="10">
        <v>5260</v>
      </c>
      <c r="H341" s="132">
        <v>46153</v>
      </c>
      <c r="I341" s="8">
        <f t="array" ref="I341">INDEX([26]KOMPARASI!$H$20:$H$199,MATCH(1,([26]KOMPARASI!$C$20:$C$199=$D341)*([26]KOMPARASI!$C$20:$C$199=$D341),0))</f>
        <v>352</v>
      </c>
      <c r="J341" s="9">
        <f t="array" ref="J341">IFERROR(I341/G341*100,0)</f>
        <v>6.6920152091254748</v>
      </c>
      <c r="K341" s="8">
        <f t="array" ref="K341">INDEX([26]KOMPARASI!$J$20:$J$199,MATCH(1,([26]KOMPARASI!$C$20:$C$199=$D341)*([26]KOMPARASI!$C$20:$C$199=$D341),0))</f>
        <v>105</v>
      </c>
      <c r="L341" s="9">
        <f t="shared" si="60"/>
        <v>29.829545454545453</v>
      </c>
      <c r="M341" s="8" t="str">
        <f t="shared" si="63"/>
        <v>Perlu Pengendalian</v>
      </c>
      <c r="N341" s="148"/>
      <c r="O341" s="143" t="e">
        <f>MAX(#REF!,#REF!)</f>
        <v>#REF!</v>
      </c>
      <c r="P341" s="9" t="e">
        <f t="shared" si="64"/>
        <v>#REF!</v>
      </c>
      <c r="Q341" s="143" t="e">
        <f>MAX(#REF!,#REF!)</f>
        <v>#REF!</v>
      </c>
      <c r="R341" s="9">
        <f t="shared" si="61"/>
        <v>0</v>
      </c>
      <c r="S341" s="8" t="str">
        <f t="shared" si="65"/>
        <v>Belum Sensus</v>
      </c>
      <c r="T341" s="148"/>
      <c r="U341" s="143" t="e">
        <f>MAX(#REF!,#REF!)</f>
        <v>#REF!</v>
      </c>
      <c r="V341" s="143" t="e">
        <f>MAX(#REF!,#REF!)</f>
        <v>#REF!</v>
      </c>
      <c r="W341" s="9">
        <f t="shared" si="66"/>
        <v>0</v>
      </c>
      <c r="X341" s="8" t="str">
        <f t="shared" si="67"/>
        <v>Belum Sensus</v>
      </c>
      <c r="Y341" s="178">
        <v>46153</v>
      </c>
      <c r="Z341" s="143">
        <v>73</v>
      </c>
      <c r="AA341" s="9">
        <f t="shared" si="68"/>
        <v>1.3878326996197718</v>
      </c>
      <c r="AB341" s="143">
        <v>25</v>
      </c>
      <c r="AC341" s="9">
        <f t="shared" si="62"/>
        <v>34.246575342465754</v>
      </c>
      <c r="AD341" s="8" t="str">
        <f t="shared" si="69"/>
        <v>Perlu Pengendalian</v>
      </c>
      <c r="AE341" s="178">
        <v>46153</v>
      </c>
      <c r="AF341" s="143">
        <v>999</v>
      </c>
      <c r="AG341" s="143">
        <v>212</v>
      </c>
      <c r="AH341" s="9">
        <f t="shared" si="70"/>
        <v>21.221221221221221</v>
      </c>
      <c r="AI341" s="8" t="str">
        <f t="shared" si="71"/>
        <v>Perlu Pengendalian</v>
      </c>
    </row>
    <row r="342" spans="1:35" x14ac:dyDescent="0.2">
      <c r="A342" s="8" t="s">
        <v>1739</v>
      </c>
      <c r="B342" s="8" t="s">
        <v>14</v>
      </c>
      <c r="C342" s="8" t="s">
        <v>380</v>
      </c>
      <c r="D342" s="8" t="s">
        <v>1207</v>
      </c>
      <c r="E342" s="9">
        <v>28.83</v>
      </c>
      <c r="F342" s="8" t="s">
        <v>1740</v>
      </c>
      <c r="G342" s="10">
        <v>3796</v>
      </c>
      <c r="H342" s="132">
        <v>46153</v>
      </c>
      <c r="I342" s="8">
        <f t="array" ref="I342">INDEX([26]KOMPARASI!$H$20:$H$199,MATCH(1,([26]KOMPARASI!$C$20:$C$199=$D342)*([26]KOMPARASI!$C$20:$C$199=$D342),0))</f>
        <v>355</v>
      </c>
      <c r="J342" s="9">
        <f t="array" ref="J342">IFERROR(I342/G342*100,0)</f>
        <v>9.3519494204425708</v>
      </c>
      <c r="K342" s="8">
        <f t="array" ref="K342">INDEX([26]KOMPARASI!$J$20:$J$199,MATCH(1,([26]KOMPARASI!$C$20:$C$199=$D342)*([26]KOMPARASI!$C$20:$C$199=$D342),0))</f>
        <v>97</v>
      </c>
      <c r="L342" s="9">
        <f t="shared" si="60"/>
        <v>27.323943661971832</v>
      </c>
      <c r="M342" s="8" t="str">
        <f t="shared" si="63"/>
        <v>Perlu Pengendalian</v>
      </c>
      <c r="N342" s="148"/>
      <c r="O342" s="143" t="e">
        <f>MAX(#REF!,#REF!)</f>
        <v>#REF!</v>
      </c>
      <c r="P342" s="9" t="e">
        <f t="shared" si="64"/>
        <v>#REF!</v>
      </c>
      <c r="Q342" s="143" t="e">
        <f>MAX(#REF!,#REF!)</f>
        <v>#REF!</v>
      </c>
      <c r="R342" s="9">
        <f t="shared" si="61"/>
        <v>0</v>
      </c>
      <c r="S342" s="8" t="str">
        <f t="shared" si="65"/>
        <v>Belum Sensus</v>
      </c>
      <c r="T342" s="148"/>
      <c r="U342" s="143" t="e">
        <f>MAX(#REF!,#REF!)</f>
        <v>#REF!</v>
      </c>
      <c r="V342" s="143" t="e">
        <f>MAX(#REF!,#REF!)</f>
        <v>#REF!</v>
      </c>
      <c r="W342" s="9">
        <f t="shared" si="66"/>
        <v>0</v>
      </c>
      <c r="X342" s="8" t="str">
        <f t="shared" si="67"/>
        <v>Belum Sensus</v>
      </c>
      <c r="Y342" s="178">
        <v>46153</v>
      </c>
      <c r="Z342" s="143">
        <v>101</v>
      </c>
      <c r="AA342" s="9">
        <f t="shared" si="68"/>
        <v>2.6606954689146471</v>
      </c>
      <c r="AB342" s="143">
        <v>38</v>
      </c>
      <c r="AC342" s="9">
        <f t="shared" si="62"/>
        <v>37.623762376237622</v>
      </c>
      <c r="AD342" s="8" t="str">
        <f t="shared" si="69"/>
        <v>Perlu Pengendalian</v>
      </c>
      <c r="AE342" s="178">
        <v>46153</v>
      </c>
      <c r="AF342" s="143">
        <v>797</v>
      </c>
      <c r="AG342" s="143">
        <v>152</v>
      </c>
      <c r="AH342" s="9">
        <f t="shared" si="70"/>
        <v>19.071518193224595</v>
      </c>
      <c r="AI342" s="8" t="str">
        <f t="shared" si="71"/>
        <v>Perlu Pengendalian</v>
      </c>
    </row>
    <row r="343" spans="1:35" x14ac:dyDescent="0.2">
      <c r="A343" s="8" t="s">
        <v>1739</v>
      </c>
      <c r="B343" s="8" t="s">
        <v>14</v>
      </c>
      <c r="C343" s="8" t="s">
        <v>380</v>
      </c>
      <c r="D343" s="8" t="s">
        <v>1208</v>
      </c>
      <c r="E343" s="9">
        <v>29.7</v>
      </c>
      <c r="F343" s="8" t="s">
        <v>1740</v>
      </c>
      <c r="G343" s="10">
        <v>3837</v>
      </c>
      <c r="H343" s="132">
        <v>46153</v>
      </c>
      <c r="I343" s="8">
        <f t="array" ref="I343">INDEX([26]KOMPARASI!$H$20:$H$199,MATCH(1,([26]KOMPARASI!$C$20:$C$199=$D343)*([26]KOMPARASI!$C$20:$C$199=$D343),0))</f>
        <v>346</v>
      </c>
      <c r="J343" s="9">
        <f t="array" ref="J343">IFERROR(I343/G343*100,0)</f>
        <v>9.0174615585092521</v>
      </c>
      <c r="K343" s="8">
        <f t="array" ref="K343">INDEX([26]KOMPARASI!$J$20:$J$199,MATCH(1,([26]KOMPARASI!$C$20:$C$199=$D343)*([26]KOMPARASI!$C$20:$C$199=$D343),0))</f>
        <v>57</v>
      </c>
      <c r="L343" s="9">
        <f t="shared" si="60"/>
        <v>16.473988439306357</v>
      </c>
      <c r="M343" s="8" t="str">
        <f t="shared" si="63"/>
        <v>Perlu Pengendalian</v>
      </c>
      <c r="N343" s="148"/>
      <c r="O343" s="143" t="e">
        <f>MAX(#REF!,#REF!)</f>
        <v>#REF!</v>
      </c>
      <c r="P343" s="9" t="e">
        <f t="shared" si="64"/>
        <v>#REF!</v>
      </c>
      <c r="Q343" s="143" t="e">
        <f>MAX(#REF!,#REF!)</f>
        <v>#REF!</v>
      </c>
      <c r="R343" s="9">
        <f t="shared" si="61"/>
        <v>0</v>
      </c>
      <c r="S343" s="8" t="str">
        <f t="shared" si="65"/>
        <v>Belum Sensus</v>
      </c>
      <c r="T343" s="148"/>
      <c r="U343" s="143" t="e">
        <f>MAX(#REF!,#REF!)</f>
        <v>#REF!</v>
      </c>
      <c r="V343" s="143" t="e">
        <f>MAX(#REF!,#REF!)</f>
        <v>#REF!</v>
      </c>
      <c r="W343" s="9">
        <f t="shared" si="66"/>
        <v>0</v>
      </c>
      <c r="X343" s="8" t="str">
        <f t="shared" si="67"/>
        <v>Belum Sensus</v>
      </c>
      <c r="Y343" s="178"/>
      <c r="Z343" s="143">
        <v>0</v>
      </c>
      <c r="AA343" s="9">
        <f t="shared" si="68"/>
        <v>0</v>
      </c>
      <c r="AB343" s="143">
        <v>0</v>
      </c>
      <c r="AC343" s="9">
        <f t="shared" si="62"/>
        <v>0</v>
      </c>
      <c r="AD343" s="8" t="str">
        <f t="shared" si="69"/>
        <v>Belum Sensus</v>
      </c>
      <c r="AE343" s="178">
        <v>46153</v>
      </c>
      <c r="AF343" s="143">
        <v>806</v>
      </c>
      <c r="AG343" s="143">
        <v>178</v>
      </c>
      <c r="AH343" s="9">
        <f t="shared" si="70"/>
        <v>22.084367245657567</v>
      </c>
      <c r="AI343" s="8" t="str">
        <f t="shared" si="71"/>
        <v>Perlu Pengendalian</v>
      </c>
    </row>
    <row r="344" spans="1:35" x14ac:dyDescent="0.2">
      <c r="A344" s="8" t="s">
        <v>1739</v>
      </c>
      <c r="B344" s="8" t="s">
        <v>14</v>
      </c>
      <c r="C344" s="8" t="s">
        <v>380</v>
      </c>
      <c r="D344" s="8" t="s">
        <v>1209</v>
      </c>
      <c r="E344" s="9">
        <v>29.28</v>
      </c>
      <c r="F344" s="8" t="s">
        <v>1740</v>
      </c>
      <c r="G344" s="10">
        <v>3935</v>
      </c>
      <c r="H344" s="132">
        <v>46153</v>
      </c>
      <c r="I344" s="8">
        <f t="array" ref="I344">INDEX([26]KOMPARASI!$H$20:$H$199,MATCH(1,([26]KOMPARASI!$C$20:$C$199=$D344)*([26]KOMPARASI!$C$20:$C$199=$D344),0))</f>
        <v>350</v>
      </c>
      <c r="J344" s="9">
        <f t="array" ref="J344">IFERROR(I344/G344*100,0)</f>
        <v>8.8945362134688697</v>
      </c>
      <c r="K344" s="8">
        <f t="array" ref="K344">INDEX([26]KOMPARASI!$J$20:$J$199,MATCH(1,([26]KOMPARASI!$C$20:$C$199=$D344)*([26]KOMPARASI!$C$20:$C$199=$D344),0))</f>
        <v>49</v>
      </c>
      <c r="L344" s="9">
        <f t="shared" si="60"/>
        <v>14.000000000000002</v>
      </c>
      <c r="M344" s="8" t="str">
        <f t="shared" si="63"/>
        <v>Perlu Pengendalian</v>
      </c>
      <c r="N344" s="148"/>
      <c r="O344" s="143" t="e">
        <f>MAX(#REF!,#REF!)</f>
        <v>#REF!</v>
      </c>
      <c r="P344" s="9" t="e">
        <f t="shared" si="64"/>
        <v>#REF!</v>
      </c>
      <c r="Q344" s="143" t="e">
        <f>MAX(#REF!,#REF!)</f>
        <v>#REF!</v>
      </c>
      <c r="R344" s="9">
        <f t="shared" si="61"/>
        <v>0</v>
      </c>
      <c r="S344" s="8" t="str">
        <f t="shared" si="65"/>
        <v>Belum Sensus</v>
      </c>
      <c r="T344" s="148"/>
      <c r="U344" s="143" t="e">
        <f>MAX(#REF!,#REF!)</f>
        <v>#REF!</v>
      </c>
      <c r="V344" s="143" t="e">
        <f>MAX(#REF!,#REF!)</f>
        <v>#REF!</v>
      </c>
      <c r="W344" s="9">
        <f t="shared" si="66"/>
        <v>0</v>
      </c>
      <c r="X344" s="8" t="str">
        <f t="shared" si="67"/>
        <v>Belum Sensus</v>
      </c>
      <c r="Y344" s="178">
        <v>46153</v>
      </c>
      <c r="Z344" s="143">
        <v>68</v>
      </c>
      <c r="AA344" s="9">
        <f t="shared" si="68"/>
        <v>1.7280813214739517</v>
      </c>
      <c r="AB344" s="143">
        <v>33</v>
      </c>
      <c r="AC344" s="9">
        <f t="shared" si="62"/>
        <v>48.529411764705884</v>
      </c>
      <c r="AD344" s="8" t="str">
        <f t="shared" si="69"/>
        <v>Perlu Pengendalian</v>
      </c>
      <c r="AE344" s="178">
        <v>46153</v>
      </c>
      <c r="AF344" s="143">
        <v>386</v>
      </c>
      <c r="AG344" s="143">
        <v>130</v>
      </c>
      <c r="AH344" s="9">
        <f t="shared" si="70"/>
        <v>33.678756476683937</v>
      </c>
      <c r="AI344" s="8" t="str">
        <f t="shared" si="71"/>
        <v>Perlu Pengendalian</v>
      </c>
    </row>
    <row r="345" spans="1:35" x14ac:dyDescent="0.2">
      <c r="A345" s="8" t="s">
        <v>1739</v>
      </c>
      <c r="B345" s="8" t="s">
        <v>14</v>
      </c>
      <c r="C345" s="8" t="s">
        <v>380</v>
      </c>
      <c r="D345" s="8" t="s">
        <v>1210</v>
      </c>
      <c r="E345" s="9">
        <v>29.97</v>
      </c>
      <c r="F345" s="8" t="s">
        <v>1740</v>
      </c>
      <c r="G345" s="10">
        <v>4009</v>
      </c>
      <c r="H345" s="132">
        <v>46153</v>
      </c>
      <c r="I345" s="8">
        <f t="array" ref="I345">INDEX([26]KOMPARASI!$H$20:$H$199,MATCH(1,([26]KOMPARASI!$C$20:$C$199=$D345)*([26]KOMPARASI!$C$20:$C$199=$D345),0))</f>
        <v>394</v>
      </c>
      <c r="J345" s="9">
        <f t="array" ref="J345">IFERROR(I345/G345*100,0)</f>
        <v>9.8278872536792203</v>
      </c>
      <c r="K345" s="8">
        <f t="array" ref="K345">INDEX([26]KOMPARASI!$J$20:$J$199,MATCH(1,([26]KOMPARASI!$C$20:$C$199=$D345)*([26]KOMPARASI!$C$20:$C$199=$D345),0))</f>
        <v>106</v>
      </c>
      <c r="L345" s="9">
        <f t="shared" si="60"/>
        <v>26.903553299492383</v>
      </c>
      <c r="M345" s="8" t="str">
        <f t="shared" si="63"/>
        <v>Perlu Pengendalian</v>
      </c>
      <c r="N345" s="148"/>
      <c r="O345" s="143" t="e">
        <f>MAX(#REF!,#REF!)</f>
        <v>#REF!</v>
      </c>
      <c r="P345" s="9" t="e">
        <f t="shared" si="64"/>
        <v>#REF!</v>
      </c>
      <c r="Q345" s="143" t="e">
        <f>MAX(#REF!,#REF!)</f>
        <v>#REF!</v>
      </c>
      <c r="R345" s="9">
        <f t="shared" si="61"/>
        <v>0</v>
      </c>
      <c r="S345" s="8" t="str">
        <f t="shared" si="65"/>
        <v>Belum Sensus</v>
      </c>
      <c r="T345" s="148"/>
      <c r="U345" s="143" t="e">
        <f>MAX(#REF!,#REF!)</f>
        <v>#REF!</v>
      </c>
      <c r="V345" s="143" t="e">
        <f>MAX(#REF!,#REF!)</f>
        <v>#REF!</v>
      </c>
      <c r="W345" s="9">
        <f t="shared" si="66"/>
        <v>0</v>
      </c>
      <c r="X345" s="8" t="str">
        <f t="shared" si="67"/>
        <v>Belum Sensus</v>
      </c>
      <c r="Y345" s="178">
        <v>46153</v>
      </c>
      <c r="Z345" s="143">
        <v>33</v>
      </c>
      <c r="AA345" s="9">
        <f t="shared" si="68"/>
        <v>0.82314791718633085</v>
      </c>
      <c r="AB345" s="143">
        <v>18</v>
      </c>
      <c r="AC345" s="9">
        <f t="shared" si="62"/>
        <v>54.54545454545454</v>
      </c>
      <c r="AD345" s="8" t="str">
        <f t="shared" si="69"/>
        <v>Perlu Pengendalian</v>
      </c>
      <c r="AE345" s="178">
        <v>46153</v>
      </c>
      <c r="AF345" s="143">
        <v>155</v>
      </c>
      <c r="AG345" s="143">
        <v>67</v>
      </c>
      <c r="AH345" s="9">
        <f t="shared" si="70"/>
        <v>43.225806451612904</v>
      </c>
      <c r="AI345" s="8" t="str">
        <f t="shared" si="71"/>
        <v>Perlu Pengendalian</v>
      </c>
    </row>
    <row r="346" spans="1:35" x14ac:dyDescent="0.2">
      <c r="A346" s="8" t="s">
        <v>1739</v>
      </c>
      <c r="B346" s="8" t="s">
        <v>14</v>
      </c>
      <c r="C346" s="8" t="s">
        <v>380</v>
      </c>
      <c r="D346" s="8" t="s">
        <v>1211</v>
      </c>
      <c r="E346" s="9">
        <v>29.21</v>
      </c>
      <c r="F346" s="8" t="s">
        <v>1740</v>
      </c>
      <c r="G346" s="10">
        <v>3808</v>
      </c>
      <c r="H346" s="132">
        <v>46153</v>
      </c>
      <c r="I346" s="8">
        <f t="array" ref="I346">INDEX([26]KOMPARASI!$H$20:$H$199,MATCH(1,([26]KOMPARASI!$C$20:$C$199=$D346)*([26]KOMPARASI!$C$20:$C$199=$D346),0))</f>
        <v>333</v>
      </c>
      <c r="J346" s="9">
        <f t="array" ref="J346">IFERROR(I346/G346*100,0)</f>
        <v>8.7447478991596626</v>
      </c>
      <c r="K346" s="8">
        <f t="array" ref="K346">INDEX([26]KOMPARASI!$J$20:$J$199,MATCH(1,([26]KOMPARASI!$C$20:$C$199=$D346)*([26]KOMPARASI!$C$20:$C$199=$D346),0))</f>
        <v>91</v>
      </c>
      <c r="L346" s="9">
        <f t="shared" si="60"/>
        <v>27.327327327327328</v>
      </c>
      <c r="M346" s="8" t="str">
        <f t="shared" si="63"/>
        <v>Perlu Pengendalian</v>
      </c>
      <c r="N346" s="148"/>
      <c r="O346" s="143" t="e">
        <f>MAX(#REF!,#REF!)</f>
        <v>#REF!</v>
      </c>
      <c r="P346" s="9" t="e">
        <f t="shared" si="64"/>
        <v>#REF!</v>
      </c>
      <c r="Q346" s="143" t="e">
        <f>MAX(#REF!,#REF!)</f>
        <v>#REF!</v>
      </c>
      <c r="R346" s="9">
        <f t="shared" si="61"/>
        <v>0</v>
      </c>
      <c r="S346" s="8" t="str">
        <f t="shared" si="65"/>
        <v>Belum Sensus</v>
      </c>
      <c r="T346" s="148"/>
      <c r="U346" s="143" t="e">
        <f>MAX(#REF!,#REF!)</f>
        <v>#REF!</v>
      </c>
      <c r="V346" s="143" t="e">
        <f>MAX(#REF!,#REF!)</f>
        <v>#REF!</v>
      </c>
      <c r="W346" s="9">
        <f t="shared" si="66"/>
        <v>0</v>
      </c>
      <c r="X346" s="8" t="str">
        <f t="shared" si="67"/>
        <v>Belum Sensus</v>
      </c>
      <c r="Y346" s="178"/>
      <c r="Z346" s="143">
        <v>0</v>
      </c>
      <c r="AA346" s="9">
        <f t="shared" si="68"/>
        <v>0</v>
      </c>
      <c r="AB346" s="143">
        <v>0</v>
      </c>
      <c r="AC346" s="9">
        <f t="shared" si="62"/>
        <v>0</v>
      </c>
      <c r="AD346" s="8" t="str">
        <f t="shared" si="69"/>
        <v>Belum Sensus</v>
      </c>
      <c r="AE346" s="178">
        <v>46153</v>
      </c>
      <c r="AF346" s="143">
        <v>115</v>
      </c>
      <c r="AG346" s="143">
        <v>34</v>
      </c>
      <c r="AH346" s="9">
        <f t="shared" si="70"/>
        <v>29.565217391304348</v>
      </c>
      <c r="AI346" s="8" t="str">
        <f t="shared" si="71"/>
        <v>Perlu Pengendalian</v>
      </c>
    </row>
    <row r="347" spans="1:35" x14ac:dyDescent="0.2">
      <c r="A347" s="8" t="s">
        <v>1739</v>
      </c>
      <c r="B347" s="8" t="s">
        <v>14</v>
      </c>
      <c r="C347" s="8" t="s">
        <v>380</v>
      </c>
      <c r="D347" s="8" t="s">
        <v>1212</v>
      </c>
      <c r="E347" s="9">
        <v>30.45</v>
      </c>
      <c r="F347" s="8" t="s">
        <v>1740</v>
      </c>
      <c r="G347" s="10">
        <v>4156</v>
      </c>
      <c r="H347" s="132">
        <v>46153</v>
      </c>
      <c r="I347" s="8">
        <f t="array" ref="I347">INDEX([26]KOMPARASI!$H$20:$H$199,MATCH(1,([26]KOMPARASI!$C$20:$C$199=$D347)*([26]KOMPARASI!$C$20:$C$199=$D347),0))</f>
        <v>397</v>
      </c>
      <c r="J347" s="9">
        <f t="array" ref="J347">IFERROR(I347/G347*100,0)</f>
        <v>9.5524542829643888</v>
      </c>
      <c r="K347" s="8">
        <f t="array" ref="K347">INDEX([26]KOMPARASI!$J$20:$J$199,MATCH(1,([26]KOMPARASI!$C$20:$C$199=$D347)*([26]KOMPARASI!$C$20:$C$199=$D347),0))</f>
        <v>50</v>
      </c>
      <c r="L347" s="9">
        <f t="shared" si="60"/>
        <v>12.594458438287154</v>
      </c>
      <c r="M347" s="8" t="str">
        <f t="shared" si="63"/>
        <v>Perlu Pengendalian</v>
      </c>
      <c r="N347" s="148"/>
      <c r="O347" s="143" t="e">
        <f>MAX(#REF!,#REF!)</f>
        <v>#REF!</v>
      </c>
      <c r="P347" s="9" t="e">
        <f t="shared" si="64"/>
        <v>#REF!</v>
      </c>
      <c r="Q347" s="143" t="e">
        <f>MAX(#REF!,#REF!)</f>
        <v>#REF!</v>
      </c>
      <c r="R347" s="9">
        <f t="shared" si="61"/>
        <v>0</v>
      </c>
      <c r="S347" s="8" t="str">
        <f t="shared" si="65"/>
        <v>Belum Sensus</v>
      </c>
      <c r="T347" s="148"/>
      <c r="U347" s="143" t="e">
        <f>MAX(#REF!,#REF!)</f>
        <v>#REF!</v>
      </c>
      <c r="V347" s="143" t="e">
        <f>MAX(#REF!,#REF!)</f>
        <v>#REF!</v>
      </c>
      <c r="W347" s="9">
        <f t="shared" si="66"/>
        <v>0</v>
      </c>
      <c r="X347" s="8" t="str">
        <f t="shared" si="67"/>
        <v>Belum Sensus</v>
      </c>
      <c r="Y347" s="178"/>
      <c r="Z347" s="143">
        <v>0</v>
      </c>
      <c r="AA347" s="9">
        <f t="shared" si="68"/>
        <v>0</v>
      </c>
      <c r="AB347" s="143">
        <v>0</v>
      </c>
      <c r="AC347" s="9">
        <f t="shared" si="62"/>
        <v>0</v>
      </c>
      <c r="AD347" s="8" t="str">
        <f t="shared" si="69"/>
        <v>Belum Sensus</v>
      </c>
      <c r="AE347" s="178"/>
      <c r="AF347" s="143">
        <v>0</v>
      </c>
      <c r="AG347" s="143">
        <v>0</v>
      </c>
      <c r="AH347" s="9">
        <f t="shared" si="70"/>
        <v>0</v>
      </c>
      <c r="AI347" s="8" t="str">
        <f t="shared" si="71"/>
        <v>Belum Sensus</v>
      </c>
    </row>
    <row r="348" spans="1:35" x14ac:dyDescent="0.2">
      <c r="A348" s="8" t="s">
        <v>1739</v>
      </c>
      <c r="B348" s="8" t="s">
        <v>14</v>
      </c>
      <c r="C348" s="8" t="s">
        <v>380</v>
      </c>
      <c r="D348" s="8" t="s">
        <v>1213</v>
      </c>
      <c r="E348" s="9">
        <v>25.35</v>
      </c>
      <c r="F348" s="8" t="s">
        <v>1740</v>
      </c>
      <c r="G348" s="10">
        <v>2866</v>
      </c>
      <c r="H348" s="132">
        <v>46153</v>
      </c>
      <c r="I348" s="8">
        <f t="array" ref="I348">INDEX([26]KOMPARASI!$H$20:$H$199,MATCH(1,([26]KOMPARASI!$C$20:$C$199=$D348)*([26]KOMPARASI!$C$20:$C$199=$D348),0))</f>
        <v>317</v>
      </c>
      <c r="J348" s="9">
        <f t="array" ref="J348">IFERROR(I348/G348*100,0)</f>
        <v>11.060711793440335</v>
      </c>
      <c r="K348" s="8">
        <f t="array" ref="K348">INDEX([26]KOMPARASI!$J$20:$J$199,MATCH(1,([26]KOMPARASI!$C$20:$C$199=$D348)*([26]KOMPARASI!$C$20:$C$199=$D348),0))</f>
        <v>25</v>
      </c>
      <c r="L348" s="9">
        <f t="shared" si="60"/>
        <v>7.8864353312302837</v>
      </c>
      <c r="M348" s="8" t="str">
        <f t="shared" si="63"/>
        <v>Perlu Pengendalian</v>
      </c>
      <c r="N348" s="148"/>
      <c r="O348" s="143" t="e">
        <f>MAX(#REF!,#REF!)</f>
        <v>#REF!</v>
      </c>
      <c r="P348" s="9" t="e">
        <f t="shared" si="64"/>
        <v>#REF!</v>
      </c>
      <c r="Q348" s="143" t="e">
        <f>MAX(#REF!,#REF!)</f>
        <v>#REF!</v>
      </c>
      <c r="R348" s="9">
        <f t="shared" si="61"/>
        <v>0</v>
      </c>
      <c r="S348" s="8" t="str">
        <f t="shared" si="65"/>
        <v>Belum Sensus</v>
      </c>
      <c r="T348" s="148"/>
      <c r="U348" s="143" t="e">
        <f>MAX(#REF!,#REF!)</f>
        <v>#REF!</v>
      </c>
      <c r="V348" s="143" t="e">
        <f>MAX(#REF!,#REF!)</f>
        <v>#REF!</v>
      </c>
      <c r="W348" s="9">
        <f t="shared" si="66"/>
        <v>0</v>
      </c>
      <c r="X348" s="8" t="str">
        <f t="shared" si="67"/>
        <v>Belum Sensus</v>
      </c>
      <c r="Y348" s="178"/>
      <c r="Z348" s="143">
        <v>0</v>
      </c>
      <c r="AA348" s="9">
        <f t="shared" si="68"/>
        <v>0</v>
      </c>
      <c r="AB348" s="143">
        <v>0</v>
      </c>
      <c r="AC348" s="9">
        <f t="shared" si="62"/>
        <v>0</v>
      </c>
      <c r="AD348" s="8" t="str">
        <f t="shared" si="69"/>
        <v>Belum Sensus</v>
      </c>
      <c r="AE348" s="178"/>
      <c r="AF348" s="143">
        <v>0</v>
      </c>
      <c r="AG348" s="143">
        <v>0</v>
      </c>
      <c r="AH348" s="9">
        <f t="shared" si="70"/>
        <v>0</v>
      </c>
      <c r="AI348" s="8" t="str">
        <f t="shared" si="71"/>
        <v>Belum Sensus</v>
      </c>
    </row>
    <row r="349" spans="1:35" x14ac:dyDescent="0.2">
      <c r="A349" s="8" t="s">
        <v>1739</v>
      </c>
      <c r="B349" s="8" t="s">
        <v>14</v>
      </c>
      <c r="C349" s="8" t="s">
        <v>380</v>
      </c>
      <c r="D349" s="8" t="s">
        <v>1214</v>
      </c>
      <c r="E349" s="9">
        <v>16.59</v>
      </c>
      <c r="F349" s="8" t="s">
        <v>1740</v>
      </c>
      <c r="G349" s="10">
        <v>1692</v>
      </c>
      <c r="H349" s="132">
        <v>46153</v>
      </c>
      <c r="I349" s="8">
        <f t="array" ref="I349">INDEX([26]KOMPARASI!$H$20:$H$199,MATCH(1,([26]KOMPARASI!$C$20:$C$199=$D349)*([26]KOMPARASI!$C$20:$C$199=$D349),0))</f>
        <v>222</v>
      </c>
      <c r="J349" s="9">
        <f t="array" ref="J349">IFERROR(I349/G349*100,0)</f>
        <v>13.120567375886525</v>
      </c>
      <c r="K349" s="8">
        <f t="array" ref="K349">INDEX([26]KOMPARASI!$J$20:$J$199,MATCH(1,([26]KOMPARASI!$C$20:$C$199=$D349)*([26]KOMPARASI!$C$20:$C$199=$D349),0))</f>
        <v>76</v>
      </c>
      <c r="L349" s="9">
        <f t="shared" si="60"/>
        <v>34.234234234234236</v>
      </c>
      <c r="M349" s="8" t="str">
        <f t="shared" si="63"/>
        <v>Perlu Pengendalian</v>
      </c>
      <c r="N349" s="148"/>
      <c r="O349" s="143" t="e">
        <f>MAX(#REF!,#REF!)</f>
        <v>#REF!</v>
      </c>
      <c r="P349" s="9" t="e">
        <f t="shared" si="64"/>
        <v>#REF!</v>
      </c>
      <c r="Q349" s="143" t="e">
        <f>MAX(#REF!,#REF!)</f>
        <v>#REF!</v>
      </c>
      <c r="R349" s="9">
        <f t="shared" si="61"/>
        <v>0</v>
      </c>
      <c r="S349" s="8" t="str">
        <f t="shared" si="65"/>
        <v>Belum Sensus</v>
      </c>
      <c r="T349" s="148"/>
      <c r="U349" s="143" t="e">
        <f>MAX(#REF!,#REF!)</f>
        <v>#REF!</v>
      </c>
      <c r="V349" s="143" t="e">
        <f>MAX(#REF!,#REF!)</f>
        <v>#REF!</v>
      </c>
      <c r="W349" s="9">
        <f t="shared" si="66"/>
        <v>0</v>
      </c>
      <c r="X349" s="8" t="str">
        <f t="shared" si="67"/>
        <v>Belum Sensus</v>
      </c>
      <c r="Y349" s="178"/>
      <c r="Z349" s="143">
        <v>0</v>
      </c>
      <c r="AA349" s="9">
        <f t="shared" si="68"/>
        <v>0</v>
      </c>
      <c r="AB349" s="143">
        <v>0</v>
      </c>
      <c r="AC349" s="9">
        <f t="shared" si="62"/>
        <v>0</v>
      </c>
      <c r="AD349" s="8" t="str">
        <f t="shared" si="69"/>
        <v>Belum Sensus</v>
      </c>
      <c r="AE349" s="178"/>
      <c r="AF349" s="143">
        <v>0</v>
      </c>
      <c r="AG349" s="143">
        <v>0</v>
      </c>
      <c r="AH349" s="9">
        <f t="shared" si="70"/>
        <v>0</v>
      </c>
      <c r="AI349" s="8" t="str">
        <f t="shared" si="71"/>
        <v>Belum Sensus</v>
      </c>
    </row>
    <row r="350" spans="1:35" x14ac:dyDescent="0.2">
      <c r="A350" s="8" t="s">
        <v>1739</v>
      </c>
      <c r="B350" s="8" t="s">
        <v>14</v>
      </c>
      <c r="C350" s="8" t="s">
        <v>380</v>
      </c>
      <c r="D350" s="8" t="s">
        <v>1215</v>
      </c>
      <c r="E350" s="9">
        <v>23</v>
      </c>
      <c r="F350" s="8" t="s">
        <v>1740</v>
      </c>
      <c r="G350" s="10">
        <v>2559</v>
      </c>
      <c r="H350" s="132">
        <v>46153</v>
      </c>
      <c r="I350" s="8">
        <f t="array" ref="I350">INDEX([26]KOMPARASI!$H$20:$H$199,MATCH(1,([26]KOMPARASI!$C$20:$C$199=$D350)*([26]KOMPARASI!$C$20:$C$199=$D350),0))</f>
        <v>312</v>
      </c>
      <c r="J350" s="9">
        <f t="array" ref="J350">IFERROR(I350/G350*100,0)</f>
        <v>12.192262602579133</v>
      </c>
      <c r="K350" s="8">
        <f t="array" ref="K350">INDEX([26]KOMPARASI!$J$20:$J$199,MATCH(1,([26]KOMPARASI!$C$20:$C$199=$D350)*([26]KOMPARASI!$C$20:$C$199=$D350),0))</f>
        <v>108</v>
      </c>
      <c r="L350" s="9">
        <f t="shared" si="60"/>
        <v>34.615384615384613</v>
      </c>
      <c r="M350" s="8" t="str">
        <f t="shared" si="63"/>
        <v>Perlu Pengendalian</v>
      </c>
      <c r="N350" s="148"/>
      <c r="O350" s="143" t="e">
        <f>MAX(#REF!,#REF!)</f>
        <v>#REF!</v>
      </c>
      <c r="P350" s="9" t="e">
        <f t="shared" si="64"/>
        <v>#REF!</v>
      </c>
      <c r="Q350" s="143" t="e">
        <f>MAX(#REF!,#REF!)</f>
        <v>#REF!</v>
      </c>
      <c r="R350" s="9">
        <f t="shared" si="61"/>
        <v>0</v>
      </c>
      <c r="S350" s="8" t="str">
        <f t="shared" si="65"/>
        <v>Belum Sensus</v>
      </c>
      <c r="T350" s="148"/>
      <c r="U350" s="143" t="e">
        <f>MAX(#REF!,#REF!)</f>
        <v>#REF!</v>
      </c>
      <c r="V350" s="143" t="e">
        <f>MAX(#REF!,#REF!)</f>
        <v>#REF!</v>
      </c>
      <c r="W350" s="9">
        <f t="shared" si="66"/>
        <v>0</v>
      </c>
      <c r="X350" s="8" t="str">
        <f t="shared" si="67"/>
        <v>Belum Sensus</v>
      </c>
      <c r="Y350" s="178"/>
      <c r="Z350" s="143">
        <v>0</v>
      </c>
      <c r="AA350" s="9">
        <f t="shared" si="68"/>
        <v>0</v>
      </c>
      <c r="AB350" s="143">
        <v>0</v>
      </c>
      <c r="AC350" s="9">
        <f t="shared" si="62"/>
        <v>0</v>
      </c>
      <c r="AD350" s="8" t="str">
        <f t="shared" si="69"/>
        <v>Belum Sensus</v>
      </c>
      <c r="AE350" s="178"/>
      <c r="AF350" s="143">
        <v>0</v>
      </c>
      <c r="AG350" s="143">
        <v>0</v>
      </c>
      <c r="AH350" s="9">
        <f t="shared" si="70"/>
        <v>0</v>
      </c>
      <c r="AI350" s="8" t="str">
        <f t="shared" si="71"/>
        <v>Belum Sensus</v>
      </c>
    </row>
    <row r="351" spans="1:35" x14ac:dyDescent="0.2">
      <c r="A351" s="8" t="s">
        <v>1739</v>
      </c>
      <c r="B351" s="8" t="s">
        <v>14</v>
      </c>
      <c r="C351" s="8" t="s">
        <v>380</v>
      </c>
      <c r="D351" s="8" t="s">
        <v>1216</v>
      </c>
      <c r="E351" s="9">
        <v>29.14</v>
      </c>
      <c r="F351" s="8" t="s">
        <v>1740</v>
      </c>
      <c r="G351" s="10">
        <v>4278</v>
      </c>
      <c r="H351" s="132">
        <v>46149</v>
      </c>
      <c r="I351" s="8">
        <f t="array" ref="I351">INDEX([26]KOMPARASI!$H$20:$H$199,MATCH(1,([26]KOMPARASI!$C$20:$C$199=$D351)*([26]KOMPARASI!$C$20:$C$199=$D351),0))</f>
        <v>389</v>
      </c>
      <c r="J351" s="9">
        <f t="array" ref="J351">IFERROR(I351/G351*100,0)</f>
        <v>9.0930341280972424</v>
      </c>
      <c r="K351" s="8">
        <f t="array" ref="K351">INDEX([26]KOMPARASI!$J$20:$J$199,MATCH(1,([26]KOMPARASI!$C$20:$C$199=$D351)*([26]KOMPARASI!$C$20:$C$199=$D351),0))</f>
        <v>91</v>
      </c>
      <c r="L351" s="9">
        <f t="shared" si="60"/>
        <v>23.393316195372751</v>
      </c>
      <c r="M351" s="8" t="str">
        <f t="shared" si="63"/>
        <v>Perlu Pengendalian</v>
      </c>
      <c r="N351" s="148"/>
      <c r="O351" s="143" t="e">
        <f>MAX(#REF!,#REF!)</f>
        <v>#REF!</v>
      </c>
      <c r="P351" s="9" t="e">
        <f t="shared" si="64"/>
        <v>#REF!</v>
      </c>
      <c r="Q351" s="143" t="e">
        <f>MAX(#REF!,#REF!)</f>
        <v>#REF!</v>
      </c>
      <c r="R351" s="9">
        <f t="shared" si="61"/>
        <v>0</v>
      </c>
      <c r="S351" s="8" t="str">
        <f t="shared" si="65"/>
        <v>Belum Sensus</v>
      </c>
      <c r="T351" s="148"/>
      <c r="U351" s="143" t="e">
        <f>MAX(#REF!,#REF!)</f>
        <v>#REF!</v>
      </c>
      <c r="V351" s="143" t="e">
        <f>MAX(#REF!,#REF!)</f>
        <v>#REF!</v>
      </c>
      <c r="W351" s="9">
        <f t="shared" si="66"/>
        <v>0</v>
      </c>
      <c r="X351" s="8" t="str">
        <f t="shared" si="67"/>
        <v>Belum Sensus</v>
      </c>
      <c r="Y351" s="178"/>
      <c r="Z351" s="143">
        <v>0</v>
      </c>
      <c r="AA351" s="9">
        <f t="shared" si="68"/>
        <v>0</v>
      </c>
      <c r="AB351" s="143">
        <v>0</v>
      </c>
      <c r="AC351" s="9">
        <f t="shared" si="62"/>
        <v>0</v>
      </c>
      <c r="AD351" s="8" t="str">
        <f t="shared" si="69"/>
        <v>Belum Sensus</v>
      </c>
      <c r="AE351" s="178"/>
      <c r="AF351" s="143">
        <v>0</v>
      </c>
      <c r="AG351" s="143">
        <v>0</v>
      </c>
      <c r="AH351" s="9">
        <f t="shared" si="70"/>
        <v>0</v>
      </c>
      <c r="AI351" s="8" t="str">
        <f t="shared" si="71"/>
        <v>Belum Sensus</v>
      </c>
    </row>
    <row r="352" spans="1:35" x14ac:dyDescent="0.2">
      <c r="A352" s="8" t="s">
        <v>1739</v>
      </c>
      <c r="B352" s="8" t="s">
        <v>14</v>
      </c>
      <c r="C352" s="8" t="s">
        <v>380</v>
      </c>
      <c r="D352" s="8" t="s">
        <v>1217</v>
      </c>
      <c r="E352" s="9">
        <v>31.11</v>
      </c>
      <c r="F352" s="8" t="s">
        <v>1740</v>
      </c>
      <c r="G352" s="10">
        <v>4510</v>
      </c>
      <c r="H352" s="132">
        <v>46153</v>
      </c>
      <c r="I352" s="8">
        <f t="array" ref="I352">INDEX([26]KOMPARASI!$H$20:$H$199,MATCH(1,([26]KOMPARASI!$C$20:$C$199=$D352)*([26]KOMPARASI!$C$20:$C$199=$D352),0))</f>
        <v>387</v>
      </c>
      <c r="J352" s="9">
        <f t="array" ref="J352">IFERROR(I352/G352*100,0)</f>
        <v>8.5809312638580941</v>
      </c>
      <c r="K352" s="8">
        <f t="array" ref="K352">INDEX([26]KOMPARASI!$J$20:$J$199,MATCH(1,([26]KOMPARASI!$C$20:$C$199=$D352)*([26]KOMPARASI!$C$20:$C$199=$D352),0))</f>
        <v>87</v>
      </c>
      <c r="L352" s="9">
        <f t="shared" si="60"/>
        <v>22.480620155038761</v>
      </c>
      <c r="M352" s="8" t="str">
        <f t="shared" si="63"/>
        <v>Perlu Pengendalian</v>
      </c>
      <c r="N352" s="148"/>
      <c r="O352" s="143" t="e">
        <f>MAX(#REF!,#REF!)</f>
        <v>#REF!</v>
      </c>
      <c r="P352" s="9" t="e">
        <f t="shared" si="64"/>
        <v>#REF!</v>
      </c>
      <c r="Q352" s="143" t="e">
        <f>MAX(#REF!,#REF!)</f>
        <v>#REF!</v>
      </c>
      <c r="R352" s="9">
        <f t="shared" si="61"/>
        <v>0</v>
      </c>
      <c r="S352" s="8" t="str">
        <f t="shared" si="65"/>
        <v>Belum Sensus</v>
      </c>
      <c r="T352" s="148"/>
      <c r="U352" s="143" t="e">
        <f>MAX(#REF!,#REF!)</f>
        <v>#REF!</v>
      </c>
      <c r="V352" s="143" t="e">
        <f>MAX(#REF!,#REF!)</f>
        <v>#REF!</v>
      </c>
      <c r="W352" s="9">
        <f t="shared" si="66"/>
        <v>0</v>
      </c>
      <c r="X352" s="8" t="str">
        <f t="shared" si="67"/>
        <v>Belum Sensus</v>
      </c>
      <c r="Y352" s="178"/>
      <c r="Z352" s="143">
        <v>0</v>
      </c>
      <c r="AA352" s="9">
        <f t="shared" si="68"/>
        <v>0</v>
      </c>
      <c r="AB352" s="143">
        <v>0</v>
      </c>
      <c r="AC352" s="9">
        <f t="shared" si="62"/>
        <v>0</v>
      </c>
      <c r="AD352" s="8" t="str">
        <f t="shared" si="69"/>
        <v>Belum Sensus</v>
      </c>
      <c r="AE352" s="178"/>
      <c r="AF352" s="143">
        <v>0</v>
      </c>
      <c r="AG352" s="143">
        <v>0</v>
      </c>
      <c r="AH352" s="9">
        <f t="shared" si="70"/>
        <v>0</v>
      </c>
      <c r="AI352" s="8" t="str">
        <f t="shared" si="71"/>
        <v>Belum Sensus</v>
      </c>
    </row>
    <row r="353" spans="1:35" x14ac:dyDescent="0.2">
      <c r="A353" s="8" t="s">
        <v>1739</v>
      </c>
      <c r="B353" s="8" t="s">
        <v>14</v>
      </c>
      <c r="C353" s="8" t="s">
        <v>380</v>
      </c>
      <c r="D353" s="8" t="s">
        <v>1218</v>
      </c>
      <c r="E353" s="9">
        <v>30.66</v>
      </c>
      <c r="F353" s="8" t="s">
        <v>1740</v>
      </c>
      <c r="G353" s="10">
        <v>4017</v>
      </c>
      <c r="H353" s="132">
        <v>46153</v>
      </c>
      <c r="I353" s="8">
        <f t="array" ref="I353">INDEX([26]KOMPARASI!$H$20:$H$199,MATCH(1,([26]KOMPARASI!$C$20:$C$199=$D353)*([26]KOMPARASI!$C$20:$C$199=$D353),0))</f>
        <v>384</v>
      </c>
      <c r="J353" s="9">
        <f t="array" ref="J353">IFERROR(I353/G353*100,0)</f>
        <v>9.5593726661687839</v>
      </c>
      <c r="K353" s="8">
        <f t="array" ref="K353">INDEX([26]KOMPARASI!$J$20:$J$199,MATCH(1,([26]KOMPARASI!$C$20:$C$199=$D353)*([26]KOMPARASI!$C$20:$C$199=$D353),0))</f>
        <v>89</v>
      </c>
      <c r="L353" s="9">
        <f t="shared" si="60"/>
        <v>23.177083333333336</v>
      </c>
      <c r="M353" s="8" t="str">
        <f t="shared" si="63"/>
        <v>Perlu Pengendalian</v>
      </c>
      <c r="N353" s="148"/>
      <c r="O353" s="143" t="e">
        <f>MAX(#REF!,#REF!)</f>
        <v>#REF!</v>
      </c>
      <c r="P353" s="9" t="e">
        <f t="shared" si="64"/>
        <v>#REF!</v>
      </c>
      <c r="Q353" s="143" t="e">
        <f>MAX(#REF!,#REF!)</f>
        <v>#REF!</v>
      </c>
      <c r="R353" s="9">
        <f t="shared" si="61"/>
        <v>0</v>
      </c>
      <c r="S353" s="8" t="str">
        <f t="shared" si="65"/>
        <v>Belum Sensus</v>
      </c>
      <c r="T353" s="148"/>
      <c r="U353" s="143" t="e">
        <f>MAX(#REF!,#REF!)</f>
        <v>#REF!</v>
      </c>
      <c r="V353" s="143" t="e">
        <f>MAX(#REF!,#REF!)</f>
        <v>#REF!</v>
      </c>
      <c r="W353" s="9">
        <f t="shared" si="66"/>
        <v>0</v>
      </c>
      <c r="X353" s="8" t="str">
        <f t="shared" si="67"/>
        <v>Belum Sensus</v>
      </c>
      <c r="Y353" s="178"/>
      <c r="Z353" s="143">
        <v>0</v>
      </c>
      <c r="AA353" s="9">
        <f t="shared" si="68"/>
        <v>0</v>
      </c>
      <c r="AB353" s="143">
        <v>0</v>
      </c>
      <c r="AC353" s="9">
        <f t="shared" si="62"/>
        <v>0</v>
      </c>
      <c r="AD353" s="8" t="str">
        <f t="shared" si="69"/>
        <v>Belum Sensus</v>
      </c>
      <c r="AE353" s="178">
        <v>46153</v>
      </c>
      <c r="AF353" s="143">
        <v>24</v>
      </c>
      <c r="AG353" s="143">
        <v>9</v>
      </c>
      <c r="AH353" s="9">
        <f t="shared" si="70"/>
        <v>37.5</v>
      </c>
      <c r="AI353" s="8" t="str">
        <f t="shared" si="71"/>
        <v>Perlu Pengendalian</v>
      </c>
    </row>
    <row r="354" spans="1:35" x14ac:dyDescent="0.2">
      <c r="A354" s="8" t="s">
        <v>1739</v>
      </c>
      <c r="B354" s="8" t="s">
        <v>14</v>
      </c>
      <c r="C354" s="8" t="s">
        <v>380</v>
      </c>
      <c r="D354" s="8" t="s">
        <v>1219</v>
      </c>
      <c r="E354" s="9">
        <v>31.03</v>
      </c>
      <c r="F354" s="8" t="s">
        <v>1740</v>
      </c>
      <c r="G354" s="10">
        <v>4134</v>
      </c>
      <c r="H354" s="132">
        <v>46153</v>
      </c>
      <c r="I354" s="8">
        <f t="array" ref="I354">INDEX([26]KOMPARASI!$H$20:$H$199,MATCH(1,([26]KOMPARASI!$C$20:$C$199=$D354)*([26]KOMPARASI!$C$20:$C$199=$D354),0))</f>
        <v>384</v>
      </c>
      <c r="J354" s="9">
        <f t="array" ref="J354">IFERROR(I354/G354*100,0)</f>
        <v>9.2888243831640054</v>
      </c>
      <c r="K354" s="8">
        <f t="array" ref="K354">INDEX([26]KOMPARASI!$J$20:$J$199,MATCH(1,([26]KOMPARASI!$C$20:$C$199=$D354)*([26]KOMPARASI!$C$20:$C$199=$D354),0))</f>
        <v>149</v>
      </c>
      <c r="L354" s="9">
        <f t="shared" si="60"/>
        <v>38.802083333333329</v>
      </c>
      <c r="M354" s="8" t="str">
        <f t="shared" si="63"/>
        <v>Perlu Pengendalian</v>
      </c>
      <c r="N354" s="148"/>
      <c r="O354" s="143" t="e">
        <f>MAX(#REF!,#REF!)</f>
        <v>#REF!</v>
      </c>
      <c r="P354" s="9" t="e">
        <f t="shared" si="64"/>
        <v>#REF!</v>
      </c>
      <c r="Q354" s="143" t="e">
        <f>MAX(#REF!,#REF!)</f>
        <v>#REF!</v>
      </c>
      <c r="R354" s="9">
        <f t="shared" si="61"/>
        <v>0</v>
      </c>
      <c r="S354" s="8" t="str">
        <f t="shared" si="65"/>
        <v>Belum Sensus</v>
      </c>
      <c r="T354" s="148"/>
      <c r="U354" s="143" t="e">
        <f>MAX(#REF!,#REF!)</f>
        <v>#REF!</v>
      </c>
      <c r="V354" s="143" t="e">
        <f>MAX(#REF!,#REF!)</f>
        <v>#REF!</v>
      </c>
      <c r="W354" s="9">
        <f t="shared" si="66"/>
        <v>0</v>
      </c>
      <c r="X354" s="8" t="str">
        <f t="shared" si="67"/>
        <v>Belum Sensus</v>
      </c>
      <c r="Y354" s="178">
        <v>46153</v>
      </c>
      <c r="Z354" s="143">
        <v>32</v>
      </c>
      <c r="AA354" s="9">
        <f t="shared" si="68"/>
        <v>0.77406869859700045</v>
      </c>
      <c r="AB354" s="143">
        <v>4</v>
      </c>
      <c r="AC354" s="9">
        <f t="shared" si="62"/>
        <v>12.5</v>
      </c>
      <c r="AD354" s="8" t="str">
        <f t="shared" si="69"/>
        <v>Perlu Pengendalian</v>
      </c>
      <c r="AE354" s="178">
        <v>46153</v>
      </c>
      <c r="AF354" s="143">
        <v>714</v>
      </c>
      <c r="AG354" s="143">
        <v>112</v>
      </c>
      <c r="AH354" s="9">
        <f t="shared" si="70"/>
        <v>15.686274509803921</v>
      </c>
      <c r="AI354" s="8" t="str">
        <f t="shared" si="71"/>
        <v>Perlu Pengendalian</v>
      </c>
    </row>
    <row r="355" spans="1:35" x14ac:dyDescent="0.2">
      <c r="A355" s="8" t="s">
        <v>1739</v>
      </c>
      <c r="B355" s="8" t="s">
        <v>14</v>
      </c>
      <c r="C355" s="8" t="s">
        <v>380</v>
      </c>
      <c r="D355" s="8" t="s">
        <v>1220</v>
      </c>
      <c r="E355" s="9">
        <v>27.62</v>
      </c>
      <c r="F355" s="8" t="s">
        <v>1740</v>
      </c>
      <c r="G355" s="10">
        <v>3602</v>
      </c>
      <c r="H355" s="132">
        <v>46153</v>
      </c>
      <c r="I355" s="8">
        <f t="array" ref="I355">INDEX([26]KOMPARASI!$H$20:$H$199,MATCH(1,([26]KOMPARASI!$C$20:$C$199=$D355)*([26]KOMPARASI!$C$20:$C$199=$D355),0))</f>
        <v>334</v>
      </c>
      <c r="J355" s="9">
        <f t="array" ref="J355">IFERROR(I355/G355*100,0)</f>
        <v>9.2726263187118274</v>
      </c>
      <c r="K355" s="8">
        <f t="array" ref="K355">INDEX([26]KOMPARASI!$J$20:$J$199,MATCH(1,([26]KOMPARASI!$C$20:$C$199=$D355)*([26]KOMPARASI!$C$20:$C$199=$D355),0))</f>
        <v>102</v>
      </c>
      <c r="L355" s="9">
        <f t="shared" si="60"/>
        <v>30.538922155688624</v>
      </c>
      <c r="M355" s="8" t="str">
        <f t="shared" si="63"/>
        <v>Perlu Pengendalian</v>
      </c>
      <c r="N355" s="148"/>
      <c r="O355" s="143" t="e">
        <f>MAX(#REF!,#REF!)</f>
        <v>#REF!</v>
      </c>
      <c r="P355" s="9" t="e">
        <f t="shared" si="64"/>
        <v>#REF!</v>
      </c>
      <c r="Q355" s="143" t="e">
        <f>MAX(#REF!,#REF!)</f>
        <v>#REF!</v>
      </c>
      <c r="R355" s="9">
        <f t="shared" si="61"/>
        <v>0</v>
      </c>
      <c r="S355" s="8" t="str">
        <f t="shared" si="65"/>
        <v>Belum Sensus</v>
      </c>
      <c r="T355" s="148"/>
      <c r="U355" s="143" t="e">
        <f>MAX(#REF!,#REF!)</f>
        <v>#REF!</v>
      </c>
      <c r="V355" s="143" t="e">
        <f>MAX(#REF!,#REF!)</f>
        <v>#REF!</v>
      </c>
      <c r="W355" s="9">
        <f t="shared" si="66"/>
        <v>0</v>
      </c>
      <c r="X355" s="8" t="str">
        <f t="shared" si="67"/>
        <v>Belum Sensus</v>
      </c>
      <c r="Y355" s="178">
        <v>46153</v>
      </c>
      <c r="Z355" s="143">
        <v>134</v>
      </c>
      <c r="AA355" s="9">
        <f t="shared" si="68"/>
        <v>3.720155469183787</v>
      </c>
      <c r="AB355" s="143">
        <v>36</v>
      </c>
      <c r="AC355" s="9">
        <f t="shared" si="62"/>
        <v>26.865671641791046</v>
      </c>
      <c r="AD355" s="8" t="str">
        <f t="shared" si="69"/>
        <v>Perlu Pengendalian</v>
      </c>
      <c r="AE355" s="178">
        <v>46153</v>
      </c>
      <c r="AF355" s="143">
        <v>504</v>
      </c>
      <c r="AG355" s="143">
        <v>117</v>
      </c>
      <c r="AH355" s="9">
        <f t="shared" si="70"/>
        <v>23.214285714285715</v>
      </c>
      <c r="AI355" s="8" t="str">
        <f t="shared" si="71"/>
        <v>Perlu Pengendalian</v>
      </c>
    </row>
    <row r="356" spans="1:35" x14ac:dyDescent="0.2">
      <c r="A356" s="8" t="s">
        <v>1739</v>
      </c>
      <c r="B356" s="8" t="s">
        <v>14</v>
      </c>
      <c r="C356" s="8" t="s">
        <v>380</v>
      </c>
      <c r="D356" s="8" t="s">
        <v>1221</v>
      </c>
      <c r="E356" s="9">
        <v>26.77</v>
      </c>
      <c r="F356" s="8" t="s">
        <v>1740</v>
      </c>
      <c r="G356" s="10">
        <v>3731</v>
      </c>
      <c r="H356" s="132">
        <v>46153</v>
      </c>
      <c r="I356" s="8">
        <f t="array" ref="I356">INDEX([26]KOMPARASI!$H$20:$H$199,MATCH(1,([26]KOMPARASI!$C$20:$C$199=$D356)*([26]KOMPARASI!$C$20:$C$199=$D356),0))</f>
        <v>381</v>
      </c>
      <c r="J356" s="9">
        <f t="array" ref="J356">IFERROR(I356/G356*100,0)</f>
        <v>10.211739480032163</v>
      </c>
      <c r="K356" s="8">
        <f t="array" ref="K356">INDEX([26]KOMPARASI!$J$20:$J$199,MATCH(1,([26]KOMPARASI!$C$20:$C$199=$D356)*([26]KOMPARASI!$C$20:$C$199=$D356),0))</f>
        <v>113</v>
      </c>
      <c r="L356" s="9">
        <f t="shared" si="60"/>
        <v>29.658792650918635</v>
      </c>
      <c r="M356" s="8" t="str">
        <f t="shared" si="63"/>
        <v>Perlu Pengendalian</v>
      </c>
      <c r="N356" s="148"/>
      <c r="O356" s="143" t="e">
        <f>MAX(#REF!,#REF!)</f>
        <v>#REF!</v>
      </c>
      <c r="P356" s="9" t="e">
        <f t="shared" si="64"/>
        <v>#REF!</v>
      </c>
      <c r="Q356" s="143" t="e">
        <f>MAX(#REF!,#REF!)</f>
        <v>#REF!</v>
      </c>
      <c r="R356" s="9">
        <f t="shared" si="61"/>
        <v>0</v>
      </c>
      <c r="S356" s="8" t="str">
        <f t="shared" si="65"/>
        <v>Belum Sensus</v>
      </c>
      <c r="T356" s="148"/>
      <c r="U356" s="143" t="e">
        <f>MAX(#REF!,#REF!)</f>
        <v>#REF!</v>
      </c>
      <c r="V356" s="143" t="e">
        <f>MAX(#REF!,#REF!)</f>
        <v>#REF!</v>
      </c>
      <c r="W356" s="9">
        <f t="shared" si="66"/>
        <v>0</v>
      </c>
      <c r="X356" s="8" t="str">
        <f t="shared" si="67"/>
        <v>Belum Sensus</v>
      </c>
      <c r="Y356" s="178">
        <v>46153</v>
      </c>
      <c r="Z356" s="143">
        <v>96</v>
      </c>
      <c r="AA356" s="9">
        <f t="shared" si="68"/>
        <v>2.5730367193781829</v>
      </c>
      <c r="AB356" s="143">
        <v>30</v>
      </c>
      <c r="AC356" s="9">
        <f t="shared" si="62"/>
        <v>31.25</v>
      </c>
      <c r="AD356" s="8" t="str">
        <f t="shared" si="69"/>
        <v>Perlu Pengendalian</v>
      </c>
      <c r="AE356" s="178">
        <v>46153</v>
      </c>
      <c r="AF356" s="143">
        <v>432</v>
      </c>
      <c r="AG356" s="143">
        <v>136</v>
      </c>
      <c r="AH356" s="9">
        <f t="shared" si="70"/>
        <v>31.481481481481481</v>
      </c>
      <c r="AI356" s="8" t="str">
        <f t="shared" si="71"/>
        <v>Perlu Pengendalian</v>
      </c>
    </row>
    <row r="357" spans="1:35" x14ac:dyDescent="0.2">
      <c r="A357" s="8" t="s">
        <v>1739</v>
      </c>
      <c r="B357" s="8" t="s">
        <v>14</v>
      </c>
      <c r="C357" s="8" t="s">
        <v>380</v>
      </c>
      <c r="D357" s="8" t="s">
        <v>1222</v>
      </c>
      <c r="E357" s="9">
        <v>36.31</v>
      </c>
      <c r="F357" s="8" t="s">
        <v>1740</v>
      </c>
      <c r="G357" s="10">
        <v>5204</v>
      </c>
      <c r="H357" s="132">
        <v>46153</v>
      </c>
      <c r="I357" s="8">
        <f t="array" ref="I357">INDEX([26]KOMPARASI!$H$20:$H$199,MATCH(1,([26]KOMPARASI!$C$20:$C$199=$D357)*([26]KOMPARASI!$C$20:$C$199=$D357),0))</f>
        <v>371</v>
      </c>
      <c r="J357" s="9">
        <f t="array" ref="J357">IFERROR(I357/G357*100,0)</f>
        <v>7.1291314373558805</v>
      </c>
      <c r="K357" s="8">
        <f t="array" ref="K357">INDEX([26]KOMPARASI!$J$20:$J$199,MATCH(1,([26]KOMPARASI!$C$20:$C$199=$D357)*([26]KOMPARASI!$C$20:$C$199=$D357),0))</f>
        <v>93</v>
      </c>
      <c r="L357" s="9">
        <f t="shared" si="60"/>
        <v>25.067385444743934</v>
      </c>
      <c r="M357" s="8" t="str">
        <f t="shared" si="63"/>
        <v>Perlu Pengendalian</v>
      </c>
      <c r="N357" s="148"/>
      <c r="O357" s="143" t="e">
        <f>MAX(#REF!,#REF!)</f>
        <v>#REF!</v>
      </c>
      <c r="P357" s="9" t="e">
        <f t="shared" si="64"/>
        <v>#REF!</v>
      </c>
      <c r="Q357" s="143" t="e">
        <f>MAX(#REF!,#REF!)</f>
        <v>#REF!</v>
      </c>
      <c r="R357" s="9">
        <f t="shared" si="61"/>
        <v>0</v>
      </c>
      <c r="S357" s="8" t="str">
        <f t="shared" si="65"/>
        <v>Belum Sensus</v>
      </c>
      <c r="T357" s="148"/>
      <c r="U357" s="143" t="e">
        <f>MAX(#REF!,#REF!)</f>
        <v>#REF!</v>
      </c>
      <c r="V357" s="143" t="e">
        <f>MAX(#REF!,#REF!)</f>
        <v>#REF!</v>
      </c>
      <c r="W357" s="9">
        <f t="shared" si="66"/>
        <v>0</v>
      </c>
      <c r="X357" s="8" t="str">
        <f t="shared" si="67"/>
        <v>Belum Sensus</v>
      </c>
      <c r="Y357" s="178">
        <v>46153</v>
      </c>
      <c r="Z357" s="143">
        <v>54</v>
      </c>
      <c r="AA357" s="9">
        <f t="shared" si="68"/>
        <v>1.037663335895465</v>
      </c>
      <c r="AB357" s="143">
        <v>16</v>
      </c>
      <c r="AC357" s="9">
        <f t="shared" si="62"/>
        <v>29.629629629629626</v>
      </c>
      <c r="AD357" s="8" t="str">
        <f t="shared" si="69"/>
        <v>Perlu Pengendalian</v>
      </c>
      <c r="AE357" s="178">
        <v>46153</v>
      </c>
      <c r="AF357" s="143">
        <v>203</v>
      </c>
      <c r="AG357" s="143">
        <v>49</v>
      </c>
      <c r="AH357" s="9">
        <f t="shared" si="70"/>
        <v>24.137931034482758</v>
      </c>
      <c r="AI357" s="8" t="str">
        <f t="shared" si="71"/>
        <v>Perlu Pengendalian</v>
      </c>
    </row>
    <row r="358" spans="1:35" x14ac:dyDescent="0.2">
      <c r="A358" s="8" t="s">
        <v>1739</v>
      </c>
      <c r="B358" s="8" t="s">
        <v>14</v>
      </c>
      <c r="C358" s="8" t="s">
        <v>380</v>
      </c>
      <c r="D358" s="8" t="s">
        <v>1223</v>
      </c>
      <c r="E358" s="9">
        <v>22.3</v>
      </c>
      <c r="F358" s="8" t="s">
        <v>1740</v>
      </c>
      <c r="G358" s="10">
        <v>3119</v>
      </c>
      <c r="H358" s="132">
        <v>46153</v>
      </c>
      <c r="I358" s="8">
        <f t="array" ref="I358">INDEX([26]KOMPARASI!$H$20:$H$199,MATCH(1,([26]KOMPARASI!$C$20:$C$199=$D358)*([26]KOMPARASI!$C$20:$C$199=$D358),0))</f>
        <v>301</v>
      </c>
      <c r="J358" s="9">
        <f t="array" ref="J358">IFERROR(I358/G358*100,0)</f>
        <v>9.6505290157101626</v>
      </c>
      <c r="K358" s="8">
        <f t="array" ref="K358">INDEX([26]KOMPARASI!$J$20:$J$199,MATCH(1,([26]KOMPARASI!$C$20:$C$199=$D358)*([26]KOMPARASI!$C$20:$C$199=$D358),0))</f>
        <v>73</v>
      </c>
      <c r="L358" s="9">
        <f t="shared" si="60"/>
        <v>24.252491694352159</v>
      </c>
      <c r="M358" s="8" t="str">
        <f t="shared" si="63"/>
        <v>Perlu Pengendalian</v>
      </c>
      <c r="N358" s="148"/>
      <c r="O358" s="143" t="e">
        <f>MAX(#REF!,#REF!)</f>
        <v>#REF!</v>
      </c>
      <c r="P358" s="9" t="e">
        <f t="shared" si="64"/>
        <v>#REF!</v>
      </c>
      <c r="Q358" s="143" t="e">
        <f>MAX(#REF!,#REF!)</f>
        <v>#REF!</v>
      </c>
      <c r="R358" s="9">
        <f t="shared" si="61"/>
        <v>0</v>
      </c>
      <c r="S358" s="8" t="str">
        <f t="shared" si="65"/>
        <v>Belum Sensus</v>
      </c>
      <c r="T358" s="148"/>
      <c r="U358" s="143" t="e">
        <f>MAX(#REF!,#REF!)</f>
        <v>#REF!</v>
      </c>
      <c r="V358" s="143" t="e">
        <f>MAX(#REF!,#REF!)</f>
        <v>#REF!</v>
      </c>
      <c r="W358" s="9">
        <f t="shared" si="66"/>
        <v>0</v>
      </c>
      <c r="X358" s="8" t="str">
        <f t="shared" si="67"/>
        <v>Belum Sensus</v>
      </c>
      <c r="Y358" s="178">
        <v>46153</v>
      </c>
      <c r="Z358" s="143">
        <v>100</v>
      </c>
      <c r="AA358" s="9">
        <f t="shared" si="68"/>
        <v>3.2061558191728117</v>
      </c>
      <c r="AB358" s="143">
        <v>24</v>
      </c>
      <c r="AC358" s="9">
        <f t="shared" si="62"/>
        <v>24</v>
      </c>
      <c r="AD358" s="8" t="str">
        <f t="shared" si="69"/>
        <v>Perlu Pengendalian</v>
      </c>
      <c r="AE358" s="178">
        <v>46153</v>
      </c>
      <c r="AF358" s="143">
        <v>272</v>
      </c>
      <c r="AG358" s="143">
        <v>79</v>
      </c>
      <c r="AH358" s="9">
        <f t="shared" si="70"/>
        <v>29.044117647058826</v>
      </c>
      <c r="AI358" s="8" t="str">
        <f t="shared" si="71"/>
        <v>Perlu Pengendalian</v>
      </c>
    </row>
    <row r="359" spans="1:35" x14ac:dyDescent="0.2">
      <c r="A359" s="8" t="s">
        <v>1739</v>
      </c>
      <c r="B359" s="8" t="s">
        <v>14</v>
      </c>
      <c r="C359" s="8" t="s">
        <v>380</v>
      </c>
      <c r="D359" s="8" t="s">
        <v>1224</v>
      </c>
      <c r="E359" s="9">
        <v>25.53</v>
      </c>
      <c r="F359" s="8" t="s">
        <v>1740</v>
      </c>
      <c r="G359" s="10">
        <v>3344</v>
      </c>
      <c r="H359" s="132">
        <v>46153</v>
      </c>
      <c r="I359" s="8">
        <f t="array" ref="I359">INDEX([26]KOMPARASI!$H$20:$H$199,MATCH(1,([26]KOMPARASI!$C$20:$C$199=$D359)*([26]KOMPARASI!$C$20:$C$199=$D359),0))</f>
        <v>319</v>
      </c>
      <c r="J359" s="9">
        <f t="array" ref="J359">IFERROR(I359/G359*100,0)</f>
        <v>9.5394736842105274</v>
      </c>
      <c r="K359" s="8">
        <f t="array" ref="K359">INDEX([26]KOMPARASI!$J$20:$J$199,MATCH(1,([26]KOMPARASI!$C$20:$C$199=$D359)*([26]KOMPARASI!$C$20:$C$199=$D359),0))</f>
        <v>68</v>
      </c>
      <c r="L359" s="9">
        <f t="shared" si="60"/>
        <v>21.316614420062695</v>
      </c>
      <c r="M359" s="8" t="str">
        <f t="shared" si="63"/>
        <v>Perlu Pengendalian</v>
      </c>
      <c r="N359" s="148"/>
      <c r="O359" s="143" t="e">
        <f>MAX(#REF!,#REF!)</f>
        <v>#REF!</v>
      </c>
      <c r="P359" s="9" t="e">
        <f t="shared" si="64"/>
        <v>#REF!</v>
      </c>
      <c r="Q359" s="143" t="e">
        <f>MAX(#REF!,#REF!)</f>
        <v>#REF!</v>
      </c>
      <c r="R359" s="9">
        <f t="shared" si="61"/>
        <v>0</v>
      </c>
      <c r="S359" s="8" t="str">
        <f t="shared" si="65"/>
        <v>Belum Sensus</v>
      </c>
      <c r="T359" s="148"/>
      <c r="U359" s="143" t="e">
        <f>MAX(#REF!,#REF!)</f>
        <v>#REF!</v>
      </c>
      <c r="V359" s="143" t="e">
        <f>MAX(#REF!,#REF!)</f>
        <v>#REF!</v>
      </c>
      <c r="W359" s="9">
        <f t="shared" si="66"/>
        <v>0</v>
      </c>
      <c r="X359" s="8" t="str">
        <f t="shared" si="67"/>
        <v>Belum Sensus</v>
      </c>
      <c r="Y359" s="178">
        <v>46153</v>
      </c>
      <c r="Z359" s="143">
        <v>36</v>
      </c>
      <c r="AA359" s="9">
        <f t="shared" si="68"/>
        <v>1.0765550239234449</v>
      </c>
      <c r="AB359" s="143">
        <v>6</v>
      </c>
      <c r="AC359" s="9">
        <f t="shared" si="62"/>
        <v>16.666666666666664</v>
      </c>
      <c r="AD359" s="8" t="str">
        <f t="shared" si="69"/>
        <v>Perlu Pengendalian</v>
      </c>
      <c r="AE359" s="178">
        <v>46153</v>
      </c>
      <c r="AF359" s="143">
        <v>461</v>
      </c>
      <c r="AG359" s="143">
        <v>93</v>
      </c>
      <c r="AH359" s="9">
        <f t="shared" si="70"/>
        <v>20.17353579175705</v>
      </c>
      <c r="AI359" s="8" t="str">
        <f t="shared" si="71"/>
        <v>Perlu Pengendalian</v>
      </c>
    </row>
    <row r="360" spans="1:35" x14ac:dyDescent="0.2">
      <c r="A360" s="8" t="s">
        <v>1739</v>
      </c>
      <c r="B360" s="8" t="s">
        <v>14</v>
      </c>
      <c r="C360" s="8" t="s">
        <v>380</v>
      </c>
      <c r="D360" s="8" t="s">
        <v>1225</v>
      </c>
      <c r="E360" s="9">
        <v>28.66</v>
      </c>
      <c r="F360" s="8" t="s">
        <v>1740</v>
      </c>
      <c r="G360" s="10">
        <v>3428</v>
      </c>
      <c r="H360" s="132">
        <v>46149</v>
      </c>
      <c r="I360" s="8">
        <f t="array" ref="I360">INDEX([26]KOMPARASI!$H$20:$H$199,MATCH(1,([26]KOMPARASI!$C$20:$C$199=$D360)*([26]KOMPARASI!$C$20:$C$199=$D360),0))</f>
        <v>294</v>
      </c>
      <c r="J360" s="9">
        <f t="array" ref="J360">IFERROR(I360/G360*100,0)</f>
        <v>8.5764294049008161</v>
      </c>
      <c r="K360" s="8">
        <f t="array" ref="K360">INDEX([26]KOMPARASI!$J$20:$J$199,MATCH(1,([26]KOMPARASI!$C$20:$C$199=$D360)*([26]KOMPARASI!$C$20:$C$199=$D360),0))</f>
        <v>87</v>
      </c>
      <c r="L360" s="9">
        <f t="shared" si="60"/>
        <v>29.591836734693878</v>
      </c>
      <c r="M360" s="8" t="str">
        <f t="shared" si="63"/>
        <v>Perlu Pengendalian</v>
      </c>
      <c r="N360" s="148"/>
      <c r="O360" s="143" t="e">
        <f>MAX(#REF!,#REF!)</f>
        <v>#REF!</v>
      </c>
      <c r="P360" s="9" t="e">
        <f t="shared" si="64"/>
        <v>#REF!</v>
      </c>
      <c r="Q360" s="143" t="e">
        <f>MAX(#REF!,#REF!)</f>
        <v>#REF!</v>
      </c>
      <c r="R360" s="9">
        <f t="shared" si="61"/>
        <v>0</v>
      </c>
      <c r="S360" s="8" t="str">
        <f t="shared" si="65"/>
        <v>Belum Sensus</v>
      </c>
      <c r="T360" s="148"/>
      <c r="U360" s="143" t="e">
        <f>MAX(#REF!,#REF!)</f>
        <v>#REF!</v>
      </c>
      <c r="V360" s="143" t="e">
        <f>MAX(#REF!,#REF!)</f>
        <v>#REF!</v>
      </c>
      <c r="W360" s="9">
        <f t="shared" si="66"/>
        <v>0</v>
      </c>
      <c r="X360" s="8" t="str">
        <f t="shared" si="67"/>
        <v>Belum Sensus</v>
      </c>
      <c r="Y360" s="178"/>
      <c r="Z360" s="143">
        <v>0</v>
      </c>
      <c r="AA360" s="9">
        <f t="shared" si="68"/>
        <v>0</v>
      </c>
      <c r="AB360" s="143">
        <v>0</v>
      </c>
      <c r="AC360" s="9">
        <f t="shared" si="62"/>
        <v>0</v>
      </c>
      <c r="AD360" s="8" t="str">
        <f t="shared" si="69"/>
        <v>Belum Sensus</v>
      </c>
      <c r="AE360" s="178"/>
      <c r="AF360" s="143">
        <v>0</v>
      </c>
      <c r="AG360" s="143">
        <v>0</v>
      </c>
      <c r="AH360" s="9">
        <f t="shared" si="70"/>
        <v>0</v>
      </c>
      <c r="AI360" s="8" t="str">
        <f t="shared" si="71"/>
        <v>Belum Sensus</v>
      </c>
    </row>
    <row r="361" spans="1:35" x14ac:dyDescent="0.2">
      <c r="A361" s="8" t="s">
        <v>1739</v>
      </c>
      <c r="B361" s="8" t="s">
        <v>14</v>
      </c>
      <c r="C361" s="8" t="s">
        <v>380</v>
      </c>
      <c r="D361" s="8" t="s">
        <v>1226</v>
      </c>
      <c r="E361" s="9">
        <v>27.58</v>
      </c>
      <c r="F361" s="8" t="s">
        <v>1740</v>
      </c>
      <c r="G361" s="10">
        <v>3503</v>
      </c>
      <c r="H361" s="132">
        <v>46149</v>
      </c>
      <c r="I361" s="8">
        <f t="array" ref="I361">INDEX([26]KOMPARASI!$H$20:$H$199,MATCH(1,([26]KOMPARASI!$C$20:$C$199=$D361)*([26]KOMPARASI!$C$20:$C$199=$D361),0))</f>
        <v>293</v>
      </c>
      <c r="J361" s="9">
        <f t="array" ref="J361">IFERROR(I361/G361*100,0)</f>
        <v>8.364259206394518</v>
      </c>
      <c r="K361" s="8">
        <f t="array" ref="K361">INDEX([26]KOMPARASI!$J$20:$J$199,MATCH(1,([26]KOMPARASI!$C$20:$C$199=$D361)*([26]KOMPARASI!$C$20:$C$199=$D361),0))</f>
        <v>103</v>
      </c>
      <c r="L361" s="9">
        <f t="shared" si="60"/>
        <v>35.153583617747444</v>
      </c>
      <c r="M361" s="8" t="str">
        <f t="shared" si="63"/>
        <v>Perlu Pengendalian</v>
      </c>
      <c r="N361" s="148"/>
      <c r="O361" s="143" t="e">
        <f>MAX(#REF!,#REF!)</f>
        <v>#REF!</v>
      </c>
      <c r="P361" s="9" t="e">
        <f t="shared" si="64"/>
        <v>#REF!</v>
      </c>
      <c r="Q361" s="143" t="e">
        <f>MAX(#REF!,#REF!)</f>
        <v>#REF!</v>
      </c>
      <c r="R361" s="9">
        <f t="shared" si="61"/>
        <v>0</v>
      </c>
      <c r="S361" s="8" t="str">
        <f t="shared" si="65"/>
        <v>Belum Sensus</v>
      </c>
      <c r="T361" s="148"/>
      <c r="U361" s="143" t="e">
        <f>MAX(#REF!,#REF!)</f>
        <v>#REF!</v>
      </c>
      <c r="V361" s="143" t="e">
        <f>MAX(#REF!,#REF!)</f>
        <v>#REF!</v>
      </c>
      <c r="W361" s="9">
        <f t="shared" si="66"/>
        <v>0</v>
      </c>
      <c r="X361" s="8" t="str">
        <f t="shared" si="67"/>
        <v>Belum Sensus</v>
      </c>
      <c r="Y361" s="178"/>
      <c r="Z361" s="143">
        <v>0</v>
      </c>
      <c r="AA361" s="9">
        <f t="shared" si="68"/>
        <v>0</v>
      </c>
      <c r="AB361" s="143">
        <v>0</v>
      </c>
      <c r="AC361" s="9">
        <f t="shared" si="62"/>
        <v>0</v>
      </c>
      <c r="AD361" s="8" t="str">
        <f t="shared" si="69"/>
        <v>Belum Sensus</v>
      </c>
      <c r="AE361" s="178">
        <v>46153</v>
      </c>
      <c r="AF361" s="143">
        <v>778</v>
      </c>
      <c r="AG361" s="143">
        <v>59</v>
      </c>
      <c r="AH361" s="9">
        <f t="shared" si="70"/>
        <v>7.5835475578406166</v>
      </c>
      <c r="AI361" s="8" t="str">
        <f t="shared" si="71"/>
        <v>Perlu Pengendalian</v>
      </c>
    </row>
    <row r="362" spans="1:35" x14ac:dyDescent="0.2">
      <c r="A362" s="8" t="s">
        <v>1739</v>
      </c>
      <c r="B362" s="8" t="s">
        <v>14</v>
      </c>
      <c r="C362" s="8" t="s">
        <v>416</v>
      </c>
      <c r="D362" s="8" t="s">
        <v>1227</v>
      </c>
      <c r="E362" s="9">
        <v>0</v>
      </c>
      <c r="F362" s="8" t="s">
        <v>1740</v>
      </c>
      <c r="G362" s="10">
        <v>0</v>
      </c>
      <c r="H362" s="11"/>
      <c r="I362" s="8">
        <f t="array" ref="I362">INDEX([26]KOMPARASI!$H$20:$H$199,MATCH(1,([26]KOMPARASI!$C$20:$C$199=$D362)*([26]KOMPARASI!$C$20:$C$199=$D362),0))</f>
        <v>0</v>
      </c>
      <c r="J362" s="9">
        <f t="array" ref="J362">IFERROR(I362/G362*100,0)</f>
        <v>0</v>
      </c>
      <c r="K362" s="8">
        <f t="array" ref="K362">INDEX([26]KOMPARASI!$J$20:$J$199,MATCH(1,([26]KOMPARASI!$C$20:$C$199=$D362)*([26]KOMPARASI!$C$20:$C$199=$D362),0))</f>
        <v>0</v>
      </c>
      <c r="L362" s="9">
        <f t="shared" si="60"/>
        <v>0</v>
      </c>
      <c r="M362" s="8" t="str">
        <f t="shared" si="63"/>
        <v>Belum Sensus</v>
      </c>
      <c r="N362" s="148"/>
      <c r="O362" s="143" t="e">
        <f>MAX(#REF!,#REF!)</f>
        <v>#REF!</v>
      </c>
      <c r="P362" s="9" t="e">
        <f t="shared" si="64"/>
        <v>#REF!</v>
      </c>
      <c r="Q362" s="143" t="e">
        <f>MAX(#REF!,#REF!)</f>
        <v>#REF!</v>
      </c>
      <c r="R362" s="9">
        <f t="shared" si="61"/>
        <v>0</v>
      </c>
      <c r="S362" s="8" t="str">
        <f t="shared" si="65"/>
        <v>Belum Sensus</v>
      </c>
      <c r="T362" s="148"/>
      <c r="U362" s="143" t="e">
        <f>MAX(#REF!,#REF!)</f>
        <v>#REF!</v>
      </c>
      <c r="V362" s="143" t="e">
        <f>MAX(#REF!,#REF!)</f>
        <v>#REF!</v>
      </c>
      <c r="W362" s="9">
        <f t="shared" si="66"/>
        <v>0</v>
      </c>
      <c r="X362" s="8" t="str">
        <f t="shared" si="67"/>
        <v>Belum Sensus</v>
      </c>
      <c r="Y362" s="178"/>
      <c r="Z362" s="143">
        <v>0</v>
      </c>
      <c r="AA362" s="9" t="e">
        <f t="shared" si="68"/>
        <v>#DIV/0!</v>
      </c>
      <c r="AB362" s="143">
        <v>0</v>
      </c>
      <c r="AC362" s="9">
        <f t="shared" si="62"/>
        <v>0</v>
      </c>
      <c r="AD362" s="8" t="str">
        <f t="shared" si="69"/>
        <v>Belum Sensus</v>
      </c>
      <c r="AE362" s="178"/>
      <c r="AF362" s="143">
        <v>0</v>
      </c>
      <c r="AG362" s="143">
        <v>0</v>
      </c>
      <c r="AH362" s="9">
        <f t="shared" si="70"/>
        <v>0</v>
      </c>
      <c r="AI362" s="8" t="str">
        <f t="shared" si="71"/>
        <v>Belum Sensus</v>
      </c>
    </row>
    <row r="363" spans="1:35" x14ac:dyDescent="0.2">
      <c r="A363" s="8" t="s">
        <v>1739</v>
      </c>
      <c r="B363" s="8" t="s">
        <v>14</v>
      </c>
      <c r="C363" s="8" t="s">
        <v>416</v>
      </c>
      <c r="D363" s="8" t="s">
        <v>1228</v>
      </c>
      <c r="E363" s="9">
        <v>39.21</v>
      </c>
      <c r="F363" s="8" t="s">
        <v>1740</v>
      </c>
      <c r="G363" s="10">
        <v>5154</v>
      </c>
      <c r="H363" s="132">
        <v>46153</v>
      </c>
      <c r="I363" s="8">
        <f t="array" ref="I363">INDEX([26]KOMPARASI!$H$20:$H$199,MATCH(1,([26]KOMPARASI!$C$20:$C$199=$D363)*([26]KOMPARASI!$C$20:$C$199=$D363),0))</f>
        <v>290</v>
      </c>
      <c r="J363" s="9">
        <f t="array" ref="J363">IFERROR(I363/G363*100,0)</f>
        <v>5.6266977105161047</v>
      </c>
      <c r="K363" s="8">
        <f t="array" ref="K363">INDEX([26]KOMPARASI!$J$20:$J$199,MATCH(1,([26]KOMPARASI!$C$20:$C$199=$D363)*([26]KOMPARASI!$C$20:$C$199=$D363),0))</f>
        <v>65</v>
      </c>
      <c r="L363" s="9">
        <f t="shared" si="60"/>
        <v>22.413793103448278</v>
      </c>
      <c r="M363" s="8" t="str">
        <f t="shared" si="63"/>
        <v>Perlu Pengendalian</v>
      </c>
      <c r="N363" s="148"/>
      <c r="O363" s="143" t="e">
        <f>MAX(#REF!,#REF!)</f>
        <v>#REF!</v>
      </c>
      <c r="P363" s="9" t="e">
        <f t="shared" si="64"/>
        <v>#REF!</v>
      </c>
      <c r="Q363" s="143" t="e">
        <f>MAX(#REF!,#REF!)</f>
        <v>#REF!</v>
      </c>
      <c r="R363" s="9">
        <f t="shared" si="61"/>
        <v>0</v>
      </c>
      <c r="S363" s="8" t="str">
        <f t="shared" si="65"/>
        <v>Belum Sensus</v>
      </c>
      <c r="T363" s="148"/>
      <c r="U363" s="143" t="e">
        <f>MAX(#REF!,#REF!)</f>
        <v>#REF!</v>
      </c>
      <c r="V363" s="143" t="e">
        <f>MAX(#REF!,#REF!)</f>
        <v>#REF!</v>
      </c>
      <c r="W363" s="9">
        <f t="shared" si="66"/>
        <v>0</v>
      </c>
      <c r="X363" s="8" t="str">
        <f t="shared" si="67"/>
        <v>Belum Sensus</v>
      </c>
      <c r="Y363" s="178"/>
      <c r="Z363" s="143">
        <v>0</v>
      </c>
      <c r="AA363" s="9">
        <f t="shared" si="68"/>
        <v>0</v>
      </c>
      <c r="AB363" s="143">
        <v>0</v>
      </c>
      <c r="AC363" s="9">
        <f t="shared" si="62"/>
        <v>0</v>
      </c>
      <c r="AD363" s="8" t="str">
        <f t="shared" si="69"/>
        <v>Belum Sensus</v>
      </c>
      <c r="AE363" s="178">
        <v>46153</v>
      </c>
      <c r="AF363" s="143">
        <v>93</v>
      </c>
      <c r="AG363" s="143">
        <v>28</v>
      </c>
      <c r="AH363" s="9">
        <f t="shared" si="70"/>
        <v>30.107526881720432</v>
      </c>
      <c r="AI363" s="8" t="str">
        <f t="shared" si="71"/>
        <v>Perlu Pengendalian</v>
      </c>
    </row>
    <row r="364" spans="1:35" x14ac:dyDescent="0.2">
      <c r="A364" s="8" t="s">
        <v>1739</v>
      </c>
      <c r="B364" s="8" t="s">
        <v>14</v>
      </c>
      <c r="C364" s="8" t="s">
        <v>416</v>
      </c>
      <c r="D364" s="8" t="s">
        <v>1229</v>
      </c>
      <c r="E364" s="9">
        <v>23.27</v>
      </c>
      <c r="F364" s="8" t="s">
        <v>1740</v>
      </c>
      <c r="G364" s="10">
        <v>2657</v>
      </c>
      <c r="H364" s="132">
        <v>46153</v>
      </c>
      <c r="I364" s="8">
        <f t="array" ref="I364">INDEX([26]KOMPARASI!$H$20:$H$199,MATCH(1,([26]KOMPARASI!$C$20:$C$199=$D364)*([26]KOMPARASI!$C$20:$C$199=$D364),0))</f>
        <v>313</v>
      </c>
      <c r="J364" s="9">
        <f t="array" ref="J364">IFERROR(I364/G364*100,0)</f>
        <v>11.780203236733158</v>
      </c>
      <c r="K364" s="8">
        <f t="array" ref="K364">INDEX([26]KOMPARASI!$J$20:$J$199,MATCH(1,([26]KOMPARASI!$C$20:$C$199=$D364)*([26]KOMPARASI!$C$20:$C$199=$D364),0))</f>
        <v>83</v>
      </c>
      <c r="L364" s="9">
        <f t="shared" si="60"/>
        <v>26.517571884984026</v>
      </c>
      <c r="M364" s="8" t="str">
        <f t="shared" si="63"/>
        <v>Perlu Pengendalian</v>
      </c>
      <c r="N364" s="148"/>
      <c r="O364" s="143" t="e">
        <f>MAX(#REF!,#REF!)</f>
        <v>#REF!</v>
      </c>
      <c r="P364" s="9" t="e">
        <f t="shared" si="64"/>
        <v>#REF!</v>
      </c>
      <c r="Q364" s="143" t="e">
        <f>MAX(#REF!,#REF!)</f>
        <v>#REF!</v>
      </c>
      <c r="R364" s="9">
        <f t="shared" si="61"/>
        <v>0</v>
      </c>
      <c r="S364" s="8" t="str">
        <f t="shared" si="65"/>
        <v>Belum Sensus</v>
      </c>
      <c r="T364" s="148"/>
      <c r="U364" s="143" t="e">
        <f>MAX(#REF!,#REF!)</f>
        <v>#REF!</v>
      </c>
      <c r="V364" s="143" t="e">
        <f>MAX(#REF!,#REF!)</f>
        <v>#REF!</v>
      </c>
      <c r="W364" s="9">
        <f t="shared" si="66"/>
        <v>0</v>
      </c>
      <c r="X364" s="8" t="str">
        <f t="shared" si="67"/>
        <v>Belum Sensus</v>
      </c>
      <c r="Y364" s="178"/>
      <c r="Z364" s="143">
        <v>0</v>
      </c>
      <c r="AA364" s="9">
        <f t="shared" si="68"/>
        <v>0</v>
      </c>
      <c r="AB364" s="143">
        <v>0</v>
      </c>
      <c r="AC364" s="9">
        <f t="shared" si="62"/>
        <v>0</v>
      </c>
      <c r="AD364" s="8" t="str">
        <f t="shared" si="69"/>
        <v>Belum Sensus</v>
      </c>
      <c r="AE364" s="178">
        <v>46153</v>
      </c>
      <c r="AF364" s="143">
        <v>969</v>
      </c>
      <c r="AG364" s="143">
        <v>342</v>
      </c>
      <c r="AH364" s="9">
        <f t="shared" si="70"/>
        <v>35.294117647058826</v>
      </c>
      <c r="AI364" s="8" t="str">
        <f t="shared" si="71"/>
        <v>Perlu Pengendalian</v>
      </c>
    </row>
    <row r="365" spans="1:35" x14ac:dyDescent="0.2">
      <c r="A365" s="8" t="s">
        <v>1739</v>
      </c>
      <c r="B365" s="8" t="s">
        <v>14</v>
      </c>
      <c r="C365" s="8" t="s">
        <v>416</v>
      </c>
      <c r="D365" s="8" t="s">
        <v>1230</v>
      </c>
      <c r="E365" s="9">
        <v>26.23</v>
      </c>
      <c r="F365" s="8" t="s">
        <v>1740</v>
      </c>
      <c r="G365" s="10">
        <v>3410</v>
      </c>
      <c r="H365" s="132">
        <v>46153</v>
      </c>
      <c r="I365" s="8">
        <f t="array" ref="I365">INDEX([26]KOMPARASI!$H$20:$H$199,MATCH(1,([26]KOMPARASI!$C$20:$C$199=$D365)*([26]KOMPARASI!$C$20:$C$199=$D365),0))</f>
        <v>255</v>
      </c>
      <c r="J365" s="9">
        <f t="array" ref="J365">IFERROR(I365/G365*100,0)</f>
        <v>7.4780058651026398</v>
      </c>
      <c r="K365" s="8">
        <f t="array" ref="K365">INDEX([26]KOMPARASI!$J$20:$J$199,MATCH(1,([26]KOMPARASI!$C$20:$C$199=$D365)*([26]KOMPARASI!$C$20:$C$199=$D365),0))</f>
        <v>59</v>
      </c>
      <c r="L365" s="9">
        <f t="shared" si="60"/>
        <v>23.137254901960784</v>
      </c>
      <c r="M365" s="8" t="str">
        <f t="shared" si="63"/>
        <v>Perlu Pengendalian</v>
      </c>
      <c r="N365" s="148"/>
      <c r="O365" s="143" t="e">
        <f>MAX(#REF!,#REF!)</f>
        <v>#REF!</v>
      </c>
      <c r="P365" s="9" t="e">
        <f t="shared" si="64"/>
        <v>#REF!</v>
      </c>
      <c r="Q365" s="143" t="e">
        <f>MAX(#REF!,#REF!)</f>
        <v>#REF!</v>
      </c>
      <c r="R365" s="9">
        <f t="shared" si="61"/>
        <v>0</v>
      </c>
      <c r="S365" s="8" t="str">
        <f t="shared" si="65"/>
        <v>Belum Sensus</v>
      </c>
      <c r="T365" s="148"/>
      <c r="U365" s="143" t="e">
        <f>MAX(#REF!,#REF!)</f>
        <v>#REF!</v>
      </c>
      <c r="V365" s="143" t="e">
        <f>MAX(#REF!,#REF!)</f>
        <v>#REF!</v>
      </c>
      <c r="W365" s="9">
        <f t="shared" si="66"/>
        <v>0</v>
      </c>
      <c r="X365" s="8" t="str">
        <f t="shared" si="67"/>
        <v>Belum Sensus</v>
      </c>
      <c r="Y365" s="178"/>
      <c r="Z365" s="143">
        <v>0</v>
      </c>
      <c r="AA365" s="9">
        <f t="shared" si="68"/>
        <v>0</v>
      </c>
      <c r="AB365" s="143">
        <v>0</v>
      </c>
      <c r="AC365" s="9">
        <f t="shared" si="62"/>
        <v>0</v>
      </c>
      <c r="AD365" s="8" t="str">
        <f t="shared" si="69"/>
        <v>Belum Sensus</v>
      </c>
      <c r="AE365" s="178">
        <v>46153</v>
      </c>
      <c r="AF365" s="143">
        <v>554</v>
      </c>
      <c r="AG365" s="143">
        <v>130</v>
      </c>
      <c r="AH365" s="9">
        <f t="shared" si="70"/>
        <v>23.465703971119133</v>
      </c>
      <c r="AI365" s="8" t="str">
        <f t="shared" si="71"/>
        <v>Perlu Pengendalian</v>
      </c>
    </row>
    <row r="366" spans="1:35" x14ac:dyDescent="0.2">
      <c r="A366" s="8" t="s">
        <v>1739</v>
      </c>
      <c r="B366" s="8" t="s">
        <v>14</v>
      </c>
      <c r="C366" s="8" t="s">
        <v>416</v>
      </c>
      <c r="D366" s="8" t="s">
        <v>1231</v>
      </c>
      <c r="E366" s="9">
        <v>18.66</v>
      </c>
      <c r="F366" s="8" t="s">
        <v>1740</v>
      </c>
      <c r="G366" s="10">
        <v>2374</v>
      </c>
      <c r="H366" s="11"/>
      <c r="I366" s="8">
        <f t="array" ref="I366">INDEX([26]KOMPARASI!$H$20:$H$199,MATCH(1,([26]KOMPARASI!$C$20:$C$199=$D366)*([26]KOMPARASI!$C$20:$C$199=$D366),0))</f>
        <v>0</v>
      </c>
      <c r="J366" s="9">
        <f t="array" ref="J366">IFERROR(I366/G366*100,0)</f>
        <v>0</v>
      </c>
      <c r="K366" s="8">
        <f t="array" ref="K366">INDEX([26]KOMPARASI!$J$20:$J$199,MATCH(1,([26]KOMPARASI!$C$20:$C$199=$D366)*([26]KOMPARASI!$C$20:$C$199=$D366),0))</f>
        <v>0</v>
      </c>
      <c r="L366" s="9">
        <f t="shared" si="60"/>
        <v>0</v>
      </c>
      <c r="M366" s="8" t="str">
        <f t="shared" si="63"/>
        <v>Belum Sensus</v>
      </c>
      <c r="N366" s="148"/>
      <c r="O366" s="143" t="e">
        <f>MAX(#REF!,#REF!)</f>
        <v>#REF!</v>
      </c>
      <c r="P366" s="9" t="e">
        <f t="shared" si="64"/>
        <v>#REF!</v>
      </c>
      <c r="Q366" s="143" t="e">
        <f>MAX(#REF!,#REF!)</f>
        <v>#REF!</v>
      </c>
      <c r="R366" s="9">
        <f t="shared" si="61"/>
        <v>0</v>
      </c>
      <c r="S366" s="8" t="str">
        <f t="shared" si="65"/>
        <v>Belum Sensus</v>
      </c>
      <c r="T366" s="148"/>
      <c r="U366" s="143" t="e">
        <f>MAX(#REF!,#REF!)</f>
        <v>#REF!</v>
      </c>
      <c r="V366" s="143" t="e">
        <f>MAX(#REF!,#REF!)</f>
        <v>#REF!</v>
      </c>
      <c r="W366" s="9">
        <f t="shared" si="66"/>
        <v>0</v>
      </c>
      <c r="X366" s="8" t="str">
        <f t="shared" si="67"/>
        <v>Belum Sensus</v>
      </c>
      <c r="Y366" s="178"/>
      <c r="Z366" s="143">
        <v>0</v>
      </c>
      <c r="AA366" s="9">
        <f t="shared" si="68"/>
        <v>0</v>
      </c>
      <c r="AB366" s="143">
        <v>0</v>
      </c>
      <c r="AC366" s="9">
        <f t="shared" si="62"/>
        <v>0</v>
      </c>
      <c r="AD366" s="8" t="str">
        <f t="shared" si="69"/>
        <v>Belum Sensus</v>
      </c>
      <c r="AE366" s="178">
        <v>46153</v>
      </c>
      <c r="AF366" s="143">
        <v>735</v>
      </c>
      <c r="AG366" s="143">
        <v>198</v>
      </c>
      <c r="AH366" s="9">
        <f t="shared" si="70"/>
        <v>26.938775510204081</v>
      </c>
      <c r="AI366" s="8" t="str">
        <f t="shared" si="71"/>
        <v>Perlu Pengendalian</v>
      </c>
    </row>
    <row r="367" spans="1:35" x14ac:dyDescent="0.2">
      <c r="A367" s="8" t="s">
        <v>1739</v>
      </c>
      <c r="B367" s="8" t="s">
        <v>14</v>
      </c>
      <c r="C367" s="8" t="s">
        <v>416</v>
      </c>
      <c r="D367" s="8" t="s">
        <v>1232</v>
      </c>
      <c r="E367" s="9">
        <v>26.67</v>
      </c>
      <c r="F367" s="8" t="s">
        <v>1740</v>
      </c>
      <c r="G367" s="10">
        <v>3617</v>
      </c>
      <c r="H367" s="132">
        <v>46153</v>
      </c>
      <c r="I367" s="8">
        <f t="array" ref="I367">INDEX([26]KOMPARASI!$H$20:$H$199,MATCH(1,([26]KOMPARASI!$C$20:$C$199=$D367)*([26]KOMPARASI!$C$20:$C$199=$D367),0))</f>
        <v>140</v>
      </c>
      <c r="J367" s="9">
        <f t="array" ref="J367">IFERROR(I367/G367*100,0)</f>
        <v>3.870611003594139</v>
      </c>
      <c r="K367" s="8">
        <f t="array" ref="K367">INDEX([26]KOMPARASI!$J$20:$J$199,MATCH(1,([26]KOMPARASI!$C$20:$C$199=$D367)*([26]KOMPARASI!$C$20:$C$199=$D367),0))</f>
        <v>37</v>
      </c>
      <c r="L367" s="9">
        <f t="shared" si="60"/>
        <v>26.428571428571431</v>
      </c>
      <c r="M367" s="8" t="str">
        <f t="shared" si="63"/>
        <v>Perlu Pengendalian</v>
      </c>
      <c r="N367" s="148"/>
      <c r="O367" s="143" t="e">
        <f>MAX(#REF!,#REF!)</f>
        <v>#REF!</v>
      </c>
      <c r="P367" s="9" t="e">
        <f t="shared" si="64"/>
        <v>#REF!</v>
      </c>
      <c r="Q367" s="143" t="e">
        <f>MAX(#REF!,#REF!)</f>
        <v>#REF!</v>
      </c>
      <c r="R367" s="9">
        <f t="shared" si="61"/>
        <v>0</v>
      </c>
      <c r="S367" s="8" t="str">
        <f t="shared" si="65"/>
        <v>Belum Sensus</v>
      </c>
      <c r="T367" s="148"/>
      <c r="U367" s="143" t="e">
        <f>MAX(#REF!,#REF!)</f>
        <v>#REF!</v>
      </c>
      <c r="V367" s="143" t="e">
        <f>MAX(#REF!,#REF!)</f>
        <v>#REF!</v>
      </c>
      <c r="W367" s="9">
        <f t="shared" si="66"/>
        <v>0</v>
      </c>
      <c r="X367" s="8" t="str">
        <f t="shared" si="67"/>
        <v>Belum Sensus</v>
      </c>
      <c r="Y367" s="178">
        <v>46153</v>
      </c>
      <c r="Z367" s="143">
        <v>65</v>
      </c>
      <c r="AA367" s="9">
        <f t="shared" si="68"/>
        <v>1.7970693945258502</v>
      </c>
      <c r="AB367" s="143">
        <v>15</v>
      </c>
      <c r="AC367" s="9">
        <f t="shared" si="62"/>
        <v>23.076923076923077</v>
      </c>
      <c r="AD367" s="8" t="str">
        <f t="shared" si="69"/>
        <v>Perlu Pengendalian</v>
      </c>
      <c r="AE367" s="178">
        <v>46153</v>
      </c>
      <c r="AF367" s="143">
        <v>487</v>
      </c>
      <c r="AG367" s="143">
        <v>171</v>
      </c>
      <c r="AH367" s="9">
        <f t="shared" si="70"/>
        <v>35.112936344969199</v>
      </c>
      <c r="AI367" s="8" t="str">
        <f t="shared" si="71"/>
        <v>Perlu Pengendalian</v>
      </c>
    </row>
    <row r="368" spans="1:35" x14ac:dyDescent="0.2">
      <c r="A368" s="8" t="s">
        <v>1739</v>
      </c>
      <c r="B368" s="8" t="s">
        <v>14</v>
      </c>
      <c r="C368" s="8" t="s">
        <v>416</v>
      </c>
      <c r="D368" s="8" t="s">
        <v>1233</v>
      </c>
      <c r="E368" s="9">
        <v>28</v>
      </c>
      <c r="F368" s="8" t="s">
        <v>1740</v>
      </c>
      <c r="G368" s="10">
        <v>3917</v>
      </c>
      <c r="H368" s="132">
        <v>46153</v>
      </c>
      <c r="I368" s="8">
        <f t="array" ref="I368">INDEX([26]KOMPARASI!$H$20:$H$199,MATCH(1,([26]KOMPARASI!$C$20:$C$199=$D368)*([26]KOMPARASI!$C$20:$C$199=$D368),0))</f>
        <v>135</v>
      </c>
      <c r="J368" s="9">
        <f t="array" ref="J368">IFERROR(I368/G368*100,0)</f>
        <v>3.4465151901965791</v>
      </c>
      <c r="K368" s="8">
        <f t="array" ref="K368">INDEX([26]KOMPARASI!$J$20:$J$199,MATCH(1,([26]KOMPARASI!$C$20:$C$199=$D368)*([26]KOMPARASI!$C$20:$C$199=$D368),0))</f>
        <v>24</v>
      </c>
      <c r="L368" s="9">
        <f t="shared" si="60"/>
        <v>17.777777777777779</v>
      </c>
      <c r="M368" s="8" t="str">
        <f t="shared" si="63"/>
        <v>Perlu Pengendalian</v>
      </c>
      <c r="N368" s="148"/>
      <c r="O368" s="143" t="e">
        <f>MAX(#REF!,#REF!)</f>
        <v>#REF!</v>
      </c>
      <c r="P368" s="9" t="e">
        <f t="shared" si="64"/>
        <v>#REF!</v>
      </c>
      <c r="Q368" s="143" t="e">
        <f>MAX(#REF!,#REF!)</f>
        <v>#REF!</v>
      </c>
      <c r="R368" s="9">
        <f t="shared" si="61"/>
        <v>0</v>
      </c>
      <c r="S368" s="8" t="str">
        <f t="shared" si="65"/>
        <v>Belum Sensus</v>
      </c>
      <c r="T368" s="148"/>
      <c r="U368" s="143" t="e">
        <f>MAX(#REF!,#REF!)</f>
        <v>#REF!</v>
      </c>
      <c r="V368" s="143" t="e">
        <f>MAX(#REF!,#REF!)</f>
        <v>#REF!</v>
      </c>
      <c r="W368" s="9">
        <f t="shared" si="66"/>
        <v>0</v>
      </c>
      <c r="X368" s="8" t="str">
        <f t="shared" si="67"/>
        <v>Belum Sensus</v>
      </c>
      <c r="Y368" s="178">
        <v>46153</v>
      </c>
      <c r="Z368" s="143">
        <v>67</v>
      </c>
      <c r="AA368" s="9">
        <f t="shared" si="68"/>
        <v>1.7104927240234873</v>
      </c>
      <c r="AB368" s="143">
        <v>14</v>
      </c>
      <c r="AC368" s="9">
        <f t="shared" si="62"/>
        <v>20.8955223880597</v>
      </c>
      <c r="AD368" s="8" t="str">
        <f t="shared" si="69"/>
        <v>Perlu Pengendalian</v>
      </c>
      <c r="AE368" s="178">
        <v>46153</v>
      </c>
      <c r="AF368" s="143">
        <v>377</v>
      </c>
      <c r="AG368" s="143">
        <v>112</v>
      </c>
      <c r="AH368" s="9">
        <f t="shared" si="70"/>
        <v>29.708222811671085</v>
      </c>
      <c r="AI368" s="8" t="str">
        <f t="shared" si="71"/>
        <v>Perlu Pengendalian</v>
      </c>
    </row>
    <row r="369" spans="1:35" x14ac:dyDescent="0.2">
      <c r="A369" s="8" t="s">
        <v>1739</v>
      </c>
      <c r="B369" s="8" t="s">
        <v>14</v>
      </c>
      <c r="C369" s="8" t="s">
        <v>416</v>
      </c>
      <c r="D369" s="8" t="s">
        <v>1234</v>
      </c>
      <c r="E369" s="9">
        <v>15.23</v>
      </c>
      <c r="F369" s="8" t="s">
        <v>1740</v>
      </c>
      <c r="G369" s="10">
        <v>2455</v>
      </c>
      <c r="H369" s="11"/>
      <c r="I369" s="8" t="str">
        <f t="array" ref="I369">INDEX([26]KOMPARASI!$H$20:$H$199,MATCH(1,([26]KOMPARASI!$C$20:$C$199=$D369)*([26]KOMPARASI!$C$20:$C$199=$D369),0))</f>
        <v xml:space="preserve">   </v>
      </c>
      <c r="J369" s="9">
        <f t="array" ref="J369">IFERROR(I369/G369*100,0)</f>
        <v>0</v>
      </c>
      <c r="K369" s="8">
        <f t="array" ref="K369">INDEX([26]KOMPARASI!$J$20:$J$199,MATCH(1,([26]KOMPARASI!$C$20:$C$199=$D369)*([26]KOMPARASI!$C$20:$C$199=$D369),0))</f>
        <v>0</v>
      </c>
      <c r="L369" s="9">
        <f t="shared" si="60"/>
        <v>0</v>
      </c>
      <c r="M369" s="8" t="str">
        <f t="shared" si="63"/>
        <v>Belum Sensus</v>
      </c>
      <c r="N369" s="148"/>
      <c r="O369" s="143" t="e">
        <f>MAX(#REF!,#REF!)</f>
        <v>#REF!</v>
      </c>
      <c r="P369" s="9" t="e">
        <f t="shared" si="64"/>
        <v>#REF!</v>
      </c>
      <c r="Q369" s="143" t="e">
        <f>MAX(#REF!,#REF!)</f>
        <v>#REF!</v>
      </c>
      <c r="R369" s="9">
        <f t="shared" si="61"/>
        <v>0</v>
      </c>
      <c r="S369" s="8" t="str">
        <f t="shared" si="65"/>
        <v>Belum Sensus</v>
      </c>
      <c r="T369" s="148"/>
      <c r="U369" s="143" t="e">
        <f>MAX(#REF!,#REF!)</f>
        <v>#REF!</v>
      </c>
      <c r="V369" s="143" t="e">
        <f>MAX(#REF!,#REF!)</f>
        <v>#REF!</v>
      </c>
      <c r="W369" s="9">
        <f t="shared" si="66"/>
        <v>0</v>
      </c>
      <c r="X369" s="8" t="str">
        <f t="shared" si="67"/>
        <v>Belum Sensus</v>
      </c>
      <c r="Y369" s="178"/>
      <c r="Z369" s="143">
        <v>0</v>
      </c>
      <c r="AA369" s="9">
        <f t="shared" si="68"/>
        <v>0</v>
      </c>
      <c r="AB369" s="143">
        <v>0</v>
      </c>
      <c r="AC369" s="9">
        <f t="shared" si="62"/>
        <v>0</v>
      </c>
      <c r="AD369" s="8" t="str">
        <f t="shared" si="69"/>
        <v>Belum Sensus</v>
      </c>
      <c r="AE369" s="178">
        <v>46153</v>
      </c>
      <c r="AF369" s="143">
        <v>259</v>
      </c>
      <c r="AG369" s="143">
        <v>81</v>
      </c>
      <c r="AH369" s="9">
        <f t="shared" si="70"/>
        <v>31.274131274131271</v>
      </c>
      <c r="AI369" s="8" t="str">
        <f t="shared" si="71"/>
        <v>Perlu Pengendalian</v>
      </c>
    </row>
    <row r="370" spans="1:35" x14ac:dyDescent="0.2">
      <c r="A370" s="8" t="s">
        <v>1739</v>
      </c>
      <c r="B370" s="8" t="s">
        <v>14</v>
      </c>
      <c r="C370" s="8" t="s">
        <v>416</v>
      </c>
      <c r="D370" s="8" t="s">
        <v>1235</v>
      </c>
      <c r="E370" s="9">
        <v>22.05</v>
      </c>
      <c r="F370" s="8" t="s">
        <v>1740</v>
      </c>
      <c r="G370" s="10">
        <v>3039</v>
      </c>
      <c r="H370" s="11"/>
      <c r="I370" s="8">
        <f t="array" ref="I370">INDEX([26]KOMPARASI!$H$20:$H$199,MATCH(1,([26]KOMPARASI!$C$20:$C$199=$D370)*([26]KOMPARASI!$C$20:$C$199=$D370),0))</f>
        <v>0</v>
      </c>
      <c r="J370" s="9">
        <f t="array" ref="J370">IFERROR(I370/G370*100,0)</f>
        <v>0</v>
      </c>
      <c r="K370" s="8">
        <f t="array" ref="K370">INDEX([26]KOMPARASI!$J$20:$J$199,MATCH(1,([26]KOMPARASI!$C$20:$C$199=$D370)*([26]KOMPARASI!$C$20:$C$199=$D370),0))</f>
        <v>0</v>
      </c>
      <c r="L370" s="9">
        <f t="shared" si="60"/>
        <v>0</v>
      </c>
      <c r="M370" s="8" t="str">
        <f t="shared" si="63"/>
        <v>Belum Sensus</v>
      </c>
      <c r="N370" s="148"/>
      <c r="O370" s="143" t="e">
        <f>MAX(#REF!,#REF!)</f>
        <v>#REF!</v>
      </c>
      <c r="P370" s="9" t="e">
        <f t="shared" si="64"/>
        <v>#REF!</v>
      </c>
      <c r="Q370" s="143" t="e">
        <f>MAX(#REF!,#REF!)</f>
        <v>#REF!</v>
      </c>
      <c r="R370" s="9">
        <f t="shared" si="61"/>
        <v>0</v>
      </c>
      <c r="S370" s="8" t="str">
        <f t="shared" si="65"/>
        <v>Belum Sensus</v>
      </c>
      <c r="T370" s="148"/>
      <c r="U370" s="143" t="e">
        <f>MAX(#REF!,#REF!)</f>
        <v>#REF!</v>
      </c>
      <c r="V370" s="143" t="e">
        <f>MAX(#REF!,#REF!)</f>
        <v>#REF!</v>
      </c>
      <c r="W370" s="9">
        <f t="shared" si="66"/>
        <v>0</v>
      </c>
      <c r="X370" s="8" t="str">
        <f t="shared" si="67"/>
        <v>Belum Sensus</v>
      </c>
      <c r="Y370" s="178"/>
      <c r="Z370" s="143">
        <v>0</v>
      </c>
      <c r="AA370" s="9">
        <f t="shared" si="68"/>
        <v>0</v>
      </c>
      <c r="AB370" s="143">
        <v>0</v>
      </c>
      <c r="AC370" s="9">
        <f t="shared" si="62"/>
        <v>0</v>
      </c>
      <c r="AD370" s="8" t="str">
        <f t="shared" si="69"/>
        <v>Belum Sensus</v>
      </c>
      <c r="AE370" s="178"/>
      <c r="AF370" s="143">
        <v>0</v>
      </c>
      <c r="AG370" s="143">
        <v>0</v>
      </c>
      <c r="AH370" s="9">
        <f t="shared" si="70"/>
        <v>0</v>
      </c>
      <c r="AI370" s="8" t="str">
        <f t="shared" si="71"/>
        <v>Belum Sensus</v>
      </c>
    </row>
    <row r="371" spans="1:35" x14ac:dyDescent="0.2">
      <c r="A371" s="8" t="s">
        <v>1739</v>
      </c>
      <c r="B371" s="8" t="s">
        <v>14</v>
      </c>
      <c r="C371" s="8" t="s">
        <v>416</v>
      </c>
      <c r="D371" s="8" t="s">
        <v>1236</v>
      </c>
      <c r="E371" s="9">
        <v>34.03</v>
      </c>
      <c r="F371" s="8" t="s">
        <v>1740</v>
      </c>
      <c r="G371" s="10">
        <v>3861</v>
      </c>
      <c r="H371" s="11"/>
      <c r="I371" s="8">
        <f t="array" ref="I371">INDEX([26]KOMPARASI!$H$20:$H$199,MATCH(1,([26]KOMPARASI!$C$20:$C$199=$D371)*([26]KOMPARASI!$C$20:$C$199=$D371),0))</f>
        <v>0</v>
      </c>
      <c r="J371" s="9">
        <f t="array" ref="J371">IFERROR(I371/G371*100,0)</f>
        <v>0</v>
      </c>
      <c r="K371" s="8">
        <f t="array" ref="K371">INDEX([26]KOMPARASI!$J$20:$J$199,MATCH(1,([26]KOMPARASI!$C$20:$C$199=$D371)*([26]KOMPARASI!$C$20:$C$199=$D371),0))</f>
        <v>0</v>
      </c>
      <c r="L371" s="9">
        <f t="shared" si="60"/>
        <v>0</v>
      </c>
      <c r="M371" s="8" t="str">
        <f t="shared" si="63"/>
        <v>Belum Sensus</v>
      </c>
      <c r="N371" s="148"/>
      <c r="O371" s="143" t="e">
        <f>MAX(#REF!,#REF!)</f>
        <v>#REF!</v>
      </c>
      <c r="P371" s="9" t="e">
        <f t="shared" si="64"/>
        <v>#REF!</v>
      </c>
      <c r="Q371" s="143" t="e">
        <f>MAX(#REF!,#REF!)</f>
        <v>#REF!</v>
      </c>
      <c r="R371" s="9">
        <f t="shared" si="61"/>
        <v>0</v>
      </c>
      <c r="S371" s="8" t="str">
        <f t="shared" si="65"/>
        <v>Belum Sensus</v>
      </c>
      <c r="T371" s="148"/>
      <c r="U371" s="143" t="e">
        <f>MAX(#REF!,#REF!)</f>
        <v>#REF!</v>
      </c>
      <c r="V371" s="143" t="e">
        <f>MAX(#REF!,#REF!)</f>
        <v>#REF!</v>
      </c>
      <c r="W371" s="9">
        <f t="shared" si="66"/>
        <v>0</v>
      </c>
      <c r="X371" s="8" t="str">
        <f t="shared" si="67"/>
        <v>Belum Sensus</v>
      </c>
      <c r="Y371" s="178"/>
      <c r="Z371" s="143">
        <v>0</v>
      </c>
      <c r="AA371" s="9">
        <f t="shared" si="68"/>
        <v>0</v>
      </c>
      <c r="AB371" s="143">
        <v>0</v>
      </c>
      <c r="AC371" s="9">
        <f t="shared" si="62"/>
        <v>0</v>
      </c>
      <c r="AD371" s="8" t="str">
        <f t="shared" si="69"/>
        <v>Belum Sensus</v>
      </c>
      <c r="AE371" s="178"/>
      <c r="AF371" s="143">
        <v>0</v>
      </c>
      <c r="AG371" s="143">
        <v>0</v>
      </c>
      <c r="AH371" s="9">
        <f t="shared" si="70"/>
        <v>0</v>
      </c>
      <c r="AI371" s="8" t="str">
        <f t="shared" si="71"/>
        <v>Belum Sensus</v>
      </c>
    </row>
    <row r="372" spans="1:35" x14ac:dyDescent="0.2">
      <c r="A372" s="8" t="s">
        <v>1739</v>
      </c>
      <c r="B372" s="8" t="s">
        <v>14</v>
      </c>
      <c r="C372" s="8" t="s">
        <v>416</v>
      </c>
      <c r="D372" s="8" t="s">
        <v>1237</v>
      </c>
      <c r="E372" s="9">
        <v>28.82</v>
      </c>
      <c r="F372" s="8" t="s">
        <v>1740</v>
      </c>
      <c r="G372" s="10">
        <v>3879</v>
      </c>
      <c r="H372" s="132">
        <v>46153</v>
      </c>
      <c r="I372" s="8">
        <f t="array" ref="I372">INDEX([26]KOMPARASI!$H$20:$H$199,MATCH(1,([26]KOMPARASI!$C$20:$C$199=$D372)*([26]KOMPARASI!$C$20:$C$199=$D372),0))</f>
        <v>345</v>
      </c>
      <c r="J372" s="9">
        <f t="array" ref="J372">IFERROR(I372/G372*100,0)</f>
        <v>8.8940448569218873</v>
      </c>
      <c r="K372" s="8">
        <f t="array" ref="K372">INDEX([26]KOMPARASI!$J$20:$J$199,MATCH(1,([26]KOMPARASI!$C$20:$C$199=$D372)*([26]KOMPARASI!$C$20:$C$199=$D372),0))</f>
        <v>97</v>
      </c>
      <c r="L372" s="9">
        <f t="shared" si="60"/>
        <v>28.115942028985508</v>
      </c>
      <c r="M372" s="8" t="str">
        <f t="shared" si="63"/>
        <v>Perlu Pengendalian</v>
      </c>
      <c r="N372" s="148"/>
      <c r="O372" s="143" t="e">
        <f>MAX(#REF!,#REF!)</f>
        <v>#REF!</v>
      </c>
      <c r="P372" s="9" t="e">
        <f t="shared" si="64"/>
        <v>#REF!</v>
      </c>
      <c r="Q372" s="143" t="e">
        <f>MAX(#REF!,#REF!)</f>
        <v>#REF!</v>
      </c>
      <c r="R372" s="9">
        <f t="shared" si="61"/>
        <v>0</v>
      </c>
      <c r="S372" s="8" t="str">
        <f t="shared" si="65"/>
        <v>Belum Sensus</v>
      </c>
      <c r="T372" s="148"/>
      <c r="U372" s="143" t="e">
        <f>MAX(#REF!,#REF!)</f>
        <v>#REF!</v>
      </c>
      <c r="V372" s="143" t="e">
        <f>MAX(#REF!,#REF!)</f>
        <v>#REF!</v>
      </c>
      <c r="W372" s="9">
        <f t="shared" si="66"/>
        <v>0</v>
      </c>
      <c r="X372" s="8" t="str">
        <f t="shared" si="67"/>
        <v>Belum Sensus</v>
      </c>
      <c r="Y372" s="178"/>
      <c r="Z372" s="143">
        <v>0</v>
      </c>
      <c r="AA372" s="9">
        <f t="shared" si="68"/>
        <v>0</v>
      </c>
      <c r="AB372" s="143">
        <v>0</v>
      </c>
      <c r="AC372" s="9">
        <f t="shared" si="62"/>
        <v>0</v>
      </c>
      <c r="AD372" s="8" t="str">
        <f t="shared" si="69"/>
        <v>Belum Sensus</v>
      </c>
      <c r="AE372" s="178">
        <v>46153</v>
      </c>
      <c r="AF372" s="143">
        <v>840</v>
      </c>
      <c r="AG372" s="143">
        <v>184</v>
      </c>
      <c r="AH372" s="9">
        <f t="shared" si="70"/>
        <v>21.904761904761905</v>
      </c>
      <c r="AI372" s="8" t="str">
        <f t="shared" si="71"/>
        <v>Perlu Pengendalian</v>
      </c>
    </row>
    <row r="373" spans="1:35" x14ac:dyDescent="0.2">
      <c r="A373" s="8" t="s">
        <v>1739</v>
      </c>
      <c r="B373" s="8" t="s">
        <v>14</v>
      </c>
      <c r="C373" s="8" t="s">
        <v>416</v>
      </c>
      <c r="D373" s="8" t="s">
        <v>1238</v>
      </c>
      <c r="E373" s="9">
        <v>29.21</v>
      </c>
      <c r="F373" s="8" t="s">
        <v>1740</v>
      </c>
      <c r="G373" s="10">
        <v>4197</v>
      </c>
      <c r="H373" s="132">
        <v>46153</v>
      </c>
      <c r="I373" s="8">
        <f t="array" ref="I373">INDEX([26]KOMPARASI!$H$20:$H$199,MATCH(1,([26]KOMPARASI!$C$20:$C$199=$D373)*([26]KOMPARASI!$C$20:$C$199=$D373),0))</f>
        <v>345</v>
      </c>
      <c r="J373" s="9">
        <f t="array" ref="J373">IFERROR(I373/G373*100,0)</f>
        <v>8.2201572551822721</v>
      </c>
      <c r="K373" s="8">
        <f t="array" ref="K373">INDEX([26]KOMPARASI!$J$20:$J$199,MATCH(1,([26]KOMPARASI!$C$20:$C$199=$D373)*([26]KOMPARASI!$C$20:$C$199=$D373),0))</f>
        <v>76</v>
      </c>
      <c r="L373" s="9">
        <f t="shared" si="60"/>
        <v>22.028985507246375</v>
      </c>
      <c r="M373" s="8" t="str">
        <f t="shared" si="63"/>
        <v>Perlu Pengendalian</v>
      </c>
      <c r="N373" s="148"/>
      <c r="O373" s="143" t="e">
        <f>MAX(#REF!,#REF!)</f>
        <v>#REF!</v>
      </c>
      <c r="P373" s="9" t="e">
        <f t="shared" si="64"/>
        <v>#REF!</v>
      </c>
      <c r="Q373" s="143" t="e">
        <f>MAX(#REF!,#REF!)</f>
        <v>#REF!</v>
      </c>
      <c r="R373" s="9">
        <f t="shared" si="61"/>
        <v>0</v>
      </c>
      <c r="S373" s="8" t="str">
        <f t="shared" si="65"/>
        <v>Belum Sensus</v>
      </c>
      <c r="T373" s="148"/>
      <c r="U373" s="143" t="e">
        <f>MAX(#REF!,#REF!)</f>
        <v>#REF!</v>
      </c>
      <c r="V373" s="143" t="e">
        <f>MAX(#REF!,#REF!)</f>
        <v>#REF!</v>
      </c>
      <c r="W373" s="9">
        <f t="shared" si="66"/>
        <v>0</v>
      </c>
      <c r="X373" s="8" t="str">
        <f t="shared" si="67"/>
        <v>Belum Sensus</v>
      </c>
      <c r="Y373" s="178"/>
      <c r="Z373" s="143">
        <v>0</v>
      </c>
      <c r="AA373" s="9">
        <f t="shared" si="68"/>
        <v>0</v>
      </c>
      <c r="AB373" s="143">
        <v>0</v>
      </c>
      <c r="AC373" s="9">
        <f t="shared" si="62"/>
        <v>0</v>
      </c>
      <c r="AD373" s="8" t="str">
        <f t="shared" si="69"/>
        <v>Belum Sensus</v>
      </c>
      <c r="AE373" s="178">
        <v>46153</v>
      </c>
      <c r="AF373" s="143">
        <v>1267</v>
      </c>
      <c r="AG373" s="143">
        <v>273</v>
      </c>
      <c r="AH373" s="9">
        <f t="shared" si="70"/>
        <v>21.546961325966851</v>
      </c>
      <c r="AI373" s="8" t="str">
        <f t="shared" si="71"/>
        <v>Perlu Pengendalian</v>
      </c>
    </row>
    <row r="374" spans="1:35" x14ac:dyDescent="0.2">
      <c r="A374" s="8" t="s">
        <v>1739</v>
      </c>
      <c r="B374" s="8" t="s">
        <v>14</v>
      </c>
      <c r="C374" s="8" t="s">
        <v>416</v>
      </c>
      <c r="D374" s="8" t="s">
        <v>1239</v>
      </c>
      <c r="E374" s="9">
        <v>27.05</v>
      </c>
      <c r="F374" s="8" t="s">
        <v>1740</v>
      </c>
      <c r="G374" s="10">
        <v>4061</v>
      </c>
      <c r="H374" s="132">
        <v>46153</v>
      </c>
      <c r="I374" s="8">
        <f t="array" ref="I374">INDEX([26]KOMPARASI!$H$20:$H$199,MATCH(1,([26]KOMPARASI!$C$20:$C$199=$D374)*([26]KOMPARASI!$C$20:$C$199=$D374),0))</f>
        <v>290</v>
      </c>
      <c r="J374" s="9">
        <f t="array" ref="J374">IFERROR(I374/G374*100,0)</f>
        <v>7.141098251662152</v>
      </c>
      <c r="K374" s="8">
        <f t="array" ref="K374">INDEX([26]KOMPARASI!$J$20:$J$199,MATCH(1,([26]KOMPARASI!$C$20:$C$199=$D374)*([26]KOMPARASI!$C$20:$C$199=$D374),0))</f>
        <v>67</v>
      </c>
      <c r="L374" s="9">
        <f t="shared" si="60"/>
        <v>23.103448275862068</v>
      </c>
      <c r="M374" s="8" t="str">
        <f t="shared" si="63"/>
        <v>Perlu Pengendalian</v>
      </c>
      <c r="N374" s="148"/>
      <c r="O374" s="143" t="e">
        <f>MAX(#REF!,#REF!)</f>
        <v>#REF!</v>
      </c>
      <c r="P374" s="9" t="e">
        <f t="shared" si="64"/>
        <v>#REF!</v>
      </c>
      <c r="Q374" s="143" t="e">
        <f>MAX(#REF!,#REF!)</f>
        <v>#REF!</v>
      </c>
      <c r="R374" s="9">
        <f t="shared" si="61"/>
        <v>0</v>
      </c>
      <c r="S374" s="8" t="str">
        <f t="shared" si="65"/>
        <v>Belum Sensus</v>
      </c>
      <c r="T374" s="148"/>
      <c r="U374" s="143" t="e">
        <f>MAX(#REF!,#REF!)</f>
        <v>#REF!</v>
      </c>
      <c r="V374" s="143" t="e">
        <f>MAX(#REF!,#REF!)</f>
        <v>#REF!</v>
      </c>
      <c r="W374" s="9">
        <f t="shared" si="66"/>
        <v>0</v>
      </c>
      <c r="X374" s="8" t="str">
        <f t="shared" si="67"/>
        <v>Belum Sensus</v>
      </c>
      <c r="Y374" s="178">
        <v>46153</v>
      </c>
      <c r="Z374" s="143">
        <v>196</v>
      </c>
      <c r="AA374" s="9">
        <f t="shared" si="68"/>
        <v>4.8263974390544204</v>
      </c>
      <c r="AB374" s="143">
        <v>21</v>
      </c>
      <c r="AC374" s="9">
        <f t="shared" si="62"/>
        <v>10.714285714285714</v>
      </c>
      <c r="AD374" s="8" t="str">
        <f t="shared" si="69"/>
        <v>Perlu Pengendalian</v>
      </c>
      <c r="AE374" s="178"/>
      <c r="AF374" s="143">
        <v>0</v>
      </c>
      <c r="AG374" s="143">
        <v>0</v>
      </c>
      <c r="AH374" s="9">
        <f t="shared" si="70"/>
        <v>0</v>
      </c>
      <c r="AI374" s="8" t="str">
        <f t="shared" si="71"/>
        <v>Belum Sensus</v>
      </c>
    </row>
    <row r="375" spans="1:35" x14ac:dyDescent="0.2">
      <c r="A375" s="8" t="s">
        <v>1739</v>
      </c>
      <c r="B375" s="8" t="s">
        <v>14</v>
      </c>
      <c r="C375" s="8" t="s">
        <v>416</v>
      </c>
      <c r="D375" s="8" t="s">
        <v>1240</v>
      </c>
      <c r="E375" s="9">
        <v>21.88</v>
      </c>
      <c r="F375" s="8" t="s">
        <v>1740</v>
      </c>
      <c r="G375" s="10">
        <v>3087</v>
      </c>
      <c r="H375" s="132">
        <v>46153</v>
      </c>
      <c r="I375" s="8">
        <f t="array" ref="I375">INDEX([26]KOMPARASI!$H$20:$H$199,MATCH(1,([26]KOMPARASI!$C$20:$C$199=$D375)*([26]KOMPARASI!$C$20:$C$199=$D375),0))</f>
        <v>195</v>
      </c>
      <c r="J375" s="9">
        <f t="array" ref="J375">IFERROR(I375/G375*100,0)</f>
        <v>6.316812439261418</v>
      </c>
      <c r="K375" s="8">
        <f t="array" ref="K375">INDEX([26]KOMPARASI!$J$20:$J$199,MATCH(1,([26]KOMPARASI!$C$20:$C$199=$D375)*([26]KOMPARASI!$C$20:$C$199=$D375),0))</f>
        <v>34</v>
      </c>
      <c r="L375" s="9">
        <f t="shared" si="60"/>
        <v>17.435897435897434</v>
      </c>
      <c r="M375" s="8" t="str">
        <f t="shared" si="63"/>
        <v>Perlu Pengendalian</v>
      </c>
      <c r="N375" s="148"/>
      <c r="O375" s="143" t="e">
        <f>MAX(#REF!,#REF!)</f>
        <v>#REF!</v>
      </c>
      <c r="P375" s="9" t="e">
        <f t="shared" si="64"/>
        <v>#REF!</v>
      </c>
      <c r="Q375" s="143" t="e">
        <f>MAX(#REF!,#REF!)</f>
        <v>#REF!</v>
      </c>
      <c r="R375" s="9">
        <f t="shared" si="61"/>
        <v>0</v>
      </c>
      <c r="S375" s="8" t="str">
        <f t="shared" si="65"/>
        <v>Belum Sensus</v>
      </c>
      <c r="T375" s="148"/>
      <c r="U375" s="143" t="e">
        <f>MAX(#REF!,#REF!)</f>
        <v>#REF!</v>
      </c>
      <c r="V375" s="143" t="e">
        <f>MAX(#REF!,#REF!)</f>
        <v>#REF!</v>
      </c>
      <c r="W375" s="9">
        <f t="shared" si="66"/>
        <v>0</v>
      </c>
      <c r="X375" s="8" t="str">
        <f t="shared" si="67"/>
        <v>Belum Sensus</v>
      </c>
      <c r="Y375" s="178">
        <v>46153</v>
      </c>
      <c r="Z375" s="143">
        <v>68</v>
      </c>
      <c r="AA375" s="9">
        <f t="shared" si="68"/>
        <v>2.2027858762552639</v>
      </c>
      <c r="AB375" s="143">
        <v>12</v>
      </c>
      <c r="AC375" s="9">
        <f t="shared" si="62"/>
        <v>17.647058823529413</v>
      </c>
      <c r="AD375" s="8" t="str">
        <f t="shared" si="69"/>
        <v>Perlu Pengendalian</v>
      </c>
      <c r="AE375" s="178"/>
      <c r="AF375" s="143">
        <v>0</v>
      </c>
      <c r="AG375" s="143">
        <v>0</v>
      </c>
      <c r="AH375" s="9">
        <f t="shared" si="70"/>
        <v>0</v>
      </c>
      <c r="AI375" s="8" t="str">
        <f t="shared" si="71"/>
        <v>Belum Sensus</v>
      </c>
    </row>
    <row r="376" spans="1:35" x14ac:dyDescent="0.2">
      <c r="A376" s="8" t="s">
        <v>1739</v>
      </c>
      <c r="B376" s="8" t="s">
        <v>14</v>
      </c>
      <c r="C376" s="8" t="s">
        <v>416</v>
      </c>
      <c r="D376" s="8" t="s">
        <v>1241</v>
      </c>
      <c r="E376" s="9">
        <v>22.46</v>
      </c>
      <c r="F376" s="8" t="s">
        <v>1740</v>
      </c>
      <c r="G376" s="10">
        <v>2354</v>
      </c>
      <c r="H376" s="132">
        <v>46153</v>
      </c>
      <c r="I376" s="8">
        <f t="array" ref="I376">INDEX([26]KOMPARASI!$H$20:$H$199,MATCH(1,([26]KOMPARASI!$C$20:$C$199=$D376)*([26]KOMPARASI!$C$20:$C$199=$D376),0))</f>
        <v>210</v>
      </c>
      <c r="J376" s="9">
        <f t="array" ref="J376">IFERROR(I376/G376*100,0)</f>
        <v>8.9209855564995753</v>
      </c>
      <c r="K376" s="8">
        <f t="array" ref="K376">INDEX([26]KOMPARASI!$J$20:$J$199,MATCH(1,([26]KOMPARASI!$C$20:$C$199=$D376)*([26]KOMPARASI!$C$20:$C$199=$D376),0))</f>
        <v>56</v>
      </c>
      <c r="L376" s="9">
        <f t="shared" si="60"/>
        <v>26.666666666666668</v>
      </c>
      <c r="M376" s="8" t="str">
        <f t="shared" si="63"/>
        <v>Perlu Pengendalian</v>
      </c>
      <c r="N376" s="148"/>
      <c r="O376" s="143" t="e">
        <f>MAX(#REF!,#REF!)</f>
        <v>#REF!</v>
      </c>
      <c r="P376" s="9" t="e">
        <f t="shared" si="64"/>
        <v>#REF!</v>
      </c>
      <c r="Q376" s="143" t="e">
        <f>MAX(#REF!,#REF!)</f>
        <v>#REF!</v>
      </c>
      <c r="R376" s="9">
        <f t="shared" si="61"/>
        <v>0</v>
      </c>
      <c r="S376" s="8" t="str">
        <f t="shared" si="65"/>
        <v>Belum Sensus</v>
      </c>
      <c r="T376" s="148"/>
      <c r="U376" s="143" t="e">
        <f>MAX(#REF!,#REF!)</f>
        <v>#REF!</v>
      </c>
      <c r="V376" s="143" t="e">
        <f>MAX(#REF!,#REF!)</f>
        <v>#REF!</v>
      </c>
      <c r="W376" s="9">
        <f t="shared" si="66"/>
        <v>0</v>
      </c>
      <c r="X376" s="8" t="str">
        <f t="shared" si="67"/>
        <v>Belum Sensus</v>
      </c>
      <c r="Y376" s="178"/>
      <c r="Z376" s="143">
        <v>0</v>
      </c>
      <c r="AA376" s="9">
        <f t="shared" si="68"/>
        <v>0</v>
      </c>
      <c r="AB376" s="143">
        <v>0</v>
      </c>
      <c r="AC376" s="9">
        <f t="shared" si="62"/>
        <v>0</v>
      </c>
      <c r="AD376" s="8" t="str">
        <f t="shared" si="69"/>
        <v>Belum Sensus</v>
      </c>
      <c r="AE376" s="178">
        <v>46153</v>
      </c>
      <c r="AF376" s="143">
        <v>785</v>
      </c>
      <c r="AG376" s="143">
        <v>212</v>
      </c>
      <c r="AH376" s="9">
        <f t="shared" si="70"/>
        <v>27.006369426751593</v>
      </c>
      <c r="AI376" s="8" t="str">
        <f t="shared" si="71"/>
        <v>Perlu Pengendalian</v>
      </c>
    </row>
    <row r="377" spans="1:35" x14ac:dyDescent="0.2">
      <c r="A377" s="8" t="s">
        <v>1739</v>
      </c>
      <c r="B377" s="8" t="s">
        <v>14</v>
      </c>
      <c r="C377" s="8" t="s">
        <v>416</v>
      </c>
      <c r="D377" s="8" t="s">
        <v>1242</v>
      </c>
      <c r="E377" s="9">
        <v>28.29</v>
      </c>
      <c r="F377" s="8" t="s">
        <v>1740</v>
      </c>
      <c r="G377" s="10">
        <v>3163</v>
      </c>
      <c r="H377" s="132">
        <v>46153</v>
      </c>
      <c r="I377" s="8">
        <f t="array" ref="I377">INDEX([26]KOMPARASI!$H$20:$H$199,MATCH(1,([26]KOMPARASI!$C$20:$C$199=$D377)*([26]KOMPARASI!$C$20:$C$199=$D377),0))</f>
        <v>219</v>
      </c>
      <c r="J377" s="9">
        <f t="array" ref="J377">IFERROR(I377/G377*100,0)</f>
        <v>6.9238065128042994</v>
      </c>
      <c r="K377" s="8">
        <f t="array" ref="K377">INDEX([26]KOMPARASI!$J$20:$J$199,MATCH(1,([26]KOMPARASI!$C$20:$C$199=$D377)*([26]KOMPARASI!$C$20:$C$199=$D377),0))</f>
        <v>59</v>
      </c>
      <c r="L377" s="9">
        <f t="shared" si="60"/>
        <v>26.94063926940639</v>
      </c>
      <c r="M377" s="8" t="str">
        <f t="shared" si="63"/>
        <v>Perlu Pengendalian</v>
      </c>
      <c r="N377" s="148"/>
      <c r="O377" s="143" t="e">
        <f>MAX(#REF!,#REF!)</f>
        <v>#REF!</v>
      </c>
      <c r="P377" s="9" t="e">
        <f t="shared" si="64"/>
        <v>#REF!</v>
      </c>
      <c r="Q377" s="143" t="e">
        <f>MAX(#REF!,#REF!)</f>
        <v>#REF!</v>
      </c>
      <c r="R377" s="9">
        <f t="shared" si="61"/>
        <v>0</v>
      </c>
      <c r="S377" s="8" t="str">
        <f t="shared" si="65"/>
        <v>Belum Sensus</v>
      </c>
      <c r="T377" s="148"/>
      <c r="U377" s="143" t="e">
        <f>MAX(#REF!,#REF!)</f>
        <v>#REF!</v>
      </c>
      <c r="V377" s="143" t="e">
        <f>MAX(#REF!,#REF!)</f>
        <v>#REF!</v>
      </c>
      <c r="W377" s="9">
        <f t="shared" si="66"/>
        <v>0</v>
      </c>
      <c r="X377" s="8" t="str">
        <f t="shared" si="67"/>
        <v>Belum Sensus</v>
      </c>
      <c r="Y377" s="178"/>
      <c r="Z377" s="143">
        <v>0</v>
      </c>
      <c r="AA377" s="9">
        <f t="shared" si="68"/>
        <v>0</v>
      </c>
      <c r="AB377" s="143">
        <v>0</v>
      </c>
      <c r="AC377" s="9">
        <f t="shared" si="62"/>
        <v>0</v>
      </c>
      <c r="AD377" s="8" t="str">
        <f t="shared" si="69"/>
        <v>Belum Sensus</v>
      </c>
      <c r="AE377" s="178">
        <v>46153</v>
      </c>
      <c r="AF377" s="143">
        <v>829</v>
      </c>
      <c r="AG377" s="143">
        <v>201</v>
      </c>
      <c r="AH377" s="9">
        <f t="shared" si="70"/>
        <v>24.246079613992762</v>
      </c>
      <c r="AI377" s="8" t="str">
        <f t="shared" si="71"/>
        <v>Perlu Pengendalian</v>
      </c>
    </row>
    <row r="378" spans="1:35" x14ac:dyDescent="0.2">
      <c r="A378" s="8" t="s">
        <v>1739</v>
      </c>
      <c r="B378" s="8" t="s">
        <v>14</v>
      </c>
      <c r="C378" s="8" t="s">
        <v>416</v>
      </c>
      <c r="D378" s="8" t="s">
        <v>1243</v>
      </c>
      <c r="E378" s="9">
        <v>28.85</v>
      </c>
      <c r="F378" s="8" t="s">
        <v>1740</v>
      </c>
      <c r="G378" s="10">
        <v>3771</v>
      </c>
      <c r="H378" s="132">
        <v>46153</v>
      </c>
      <c r="I378" s="8">
        <f t="array" ref="I378">INDEX([26]KOMPARASI!$H$20:$H$199,MATCH(1,([26]KOMPARASI!$C$20:$C$199=$D378)*([26]KOMPARASI!$C$20:$C$199=$D378),0))</f>
        <v>216</v>
      </c>
      <c r="J378" s="9">
        <f t="array" ref="J378">IFERROR(I378/G378*100,0)</f>
        <v>5.7279236276849641</v>
      </c>
      <c r="K378" s="8">
        <f t="array" ref="K378">INDEX([26]KOMPARASI!$J$20:$J$199,MATCH(1,([26]KOMPARASI!$C$20:$C$199=$D378)*([26]KOMPARASI!$C$20:$C$199=$D378),0))</f>
        <v>62</v>
      </c>
      <c r="L378" s="9">
        <f t="shared" si="60"/>
        <v>28.703703703703702</v>
      </c>
      <c r="M378" s="8" t="str">
        <f t="shared" si="63"/>
        <v>Perlu Pengendalian</v>
      </c>
      <c r="N378" s="148"/>
      <c r="O378" s="143" t="e">
        <f>MAX(#REF!,#REF!)</f>
        <v>#REF!</v>
      </c>
      <c r="P378" s="9" t="e">
        <f t="shared" si="64"/>
        <v>#REF!</v>
      </c>
      <c r="Q378" s="143" t="e">
        <f>MAX(#REF!,#REF!)</f>
        <v>#REF!</v>
      </c>
      <c r="R378" s="9">
        <f t="shared" si="61"/>
        <v>0</v>
      </c>
      <c r="S378" s="8" t="str">
        <f t="shared" si="65"/>
        <v>Belum Sensus</v>
      </c>
      <c r="T378" s="148"/>
      <c r="U378" s="143" t="e">
        <f>MAX(#REF!,#REF!)</f>
        <v>#REF!</v>
      </c>
      <c r="V378" s="143" t="e">
        <f>MAX(#REF!,#REF!)</f>
        <v>#REF!</v>
      </c>
      <c r="W378" s="9">
        <f t="shared" si="66"/>
        <v>0</v>
      </c>
      <c r="X378" s="8" t="str">
        <f t="shared" si="67"/>
        <v>Belum Sensus</v>
      </c>
      <c r="Y378" s="178">
        <v>46153</v>
      </c>
      <c r="Z378" s="143">
        <v>68</v>
      </c>
      <c r="AA378" s="9">
        <f t="shared" si="68"/>
        <v>1.8032352161230443</v>
      </c>
      <c r="AB378" s="143">
        <v>10</v>
      </c>
      <c r="AC378" s="9">
        <f t="shared" si="62"/>
        <v>14.705882352941178</v>
      </c>
      <c r="AD378" s="8" t="str">
        <f t="shared" si="69"/>
        <v>Perlu Pengendalian</v>
      </c>
      <c r="AE378" s="178">
        <v>46153</v>
      </c>
      <c r="AF378" s="143">
        <v>284</v>
      </c>
      <c r="AG378" s="143">
        <v>29</v>
      </c>
      <c r="AH378" s="9">
        <f t="shared" si="70"/>
        <v>10.211267605633804</v>
      </c>
      <c r="AI378" s="8" t="str">
        <f t="shared" si="71"/>
        <v>Perlu Pengendalian</v>
      </c>
    </row>
    <row r="379" spans="1:35" x14ac:dyDescent="0.2">
      <c r="A379" s="8" t="s">
        <v>1739</v>
      </c>
      <c r="B379" s="8" t="s">
        <v>14</v>
      </c>
      <c r="C379" s="8" t="s">
        <v>416</v>
      </c>
      <c r="D379" s="8" t="s">
        <v>1244</v>
      </c>
      <c r="E379" s="9">
        <v>27.58</v>
      </c>
      <c r="F379" s="8" t="s">
        <v>1740</v>
      </c>
      <c r="G379" s="10">
        <v>3456</v>
      </c>
      <c r="H379" s="132">
        <v>46153</v>
      </c>
      <c r="I379" s="8">
        <f t="array" ref="I379">INDEX([26]KOMPARASI!$H$20:$H$199,MATCH(1,([26]KOMPARASI!$C$20:$C$199=$D379)*([26]KOMPARASI!$C$20:$C$199=$D379),0))</f>
        <v>325</v>
      </c>
      <c r="J379" s="9">
        <f t="array" ref="J379">IFERROR(I379/G379*100,0)</f>
        <v>9.4039351851851851</v>
      </c>
      <c r="K379" s="8">
        <f t="array" ref="K379">INDEX([26]KOMPARASI!$J$20:$J$199,MATCH(1,([26]KOMPARASI!$C$20:$C$199=$D379)*([26]KOMPARASI!$C$20:$C$199=$D379),0))</f>
        <v>70</v>
      </c>
      <c r="L379" s="9">
        <f t="shared" si="60"/>
        <v>21.53846153846154</v>
      </c>
      <c r="M379" s="8" t="str">
        <f t="shared" si="63"/>
        <v>Perlu Pengendalian</v>
      </c>
      <c r="N379" s="148"/>
      <c r="O379" s="143" t="e">
        <f>MAX(#REF!,#REF!)</f>
        <v>#REF!</v>
      </c>
      <c r="P379" s="9" t="e">
        <f t="shared" si="64"/>
        <v>#REF!</v>
      </c>
      <c r="Q379" s="143" t="e">
        <f>MAX(#REF!,#REF!)</f>
        <v>#REF!</v>
      </c>
      <c r="R379" s="9">
        <f t="shared" si="61"/>
        <v>0</v>
      </c>
      <c r="S379" s="8" t="str">
        <f t="shared" si="65"/>
        <v>Belum Sensus</v>
      </c>
      <c r="T379" s="148"/>
      <c r="U379" s="143" t="e">
        <f>MAX(#REF!,#REF!)</f>
        <v>#REF!</v>
      </c>
      <c r="V379" s="143" t="e">
        <f>MAX(#REF!,#REF!)</f>
        <v>#REF!</v>
      </c>
      <c r="W379" s="9">
        <f t="shared" si="66"/>
        <v>0</v>
      </c>
      <c r="X379" s="8" t="str">
        <f t="shared" si="67"/>
        <v>Belum Sensus</v>
      </c>
      <c r="Y379" s="178"/>
      <c r="Z379" s="143">
        <v>0</v>
      </c>
      <c r="AA379" s="9">
        <f t="shared" si="68"/>
        <v>0</v>
      </c>
      <c r="AB379" s="143">
        <v>0</v>
      </c>
      <c r="AC379" s="9">
        <f t="shared" si="62"/>
        <v>0</v>
      </c>
      <c r="AD379" s="8" t="str">
        <f t="shared" si="69"/>
        <v>Belum Sensus</v>
      </c>
      <c r="AE379" s="178">
        <v>46153</v>
      </c>
      <c r="AF379" s="143">
        <v>1162</v>
      </c>
      <c r="AG379" s="143">
        <v>248</v>
      </c>
      <c r="AH379" s="9">
        <f t="shared" si="70"/>
        <v>21.342512908777969</v>
      </c>
      <c r="AI379" s="8" t="str">
        <f t="shared" si="71"/>
        <v>Perlu Pengendalian</v>
      </c>
    </row>
    <row r="380" spans="1:35" x14ac:dyDescent="0.2">
      <c r="A380" s="8" t="s">
        <v>1739</v>
      </c>
      <c r="B380" s="8" t="s">
        <v>14</v>
      </c>
      <c r="C380" s="8" t="s">
        <v>416</v>
      </c>
      <c r="D380" s="8" t="s">
        <v>1245</v>
      </c>
      <c r="E380" s="9">
        <v>26.48</v>
      </c>
      <c r="F380" s="8" t="s">
        <v>1740</v>
      </c>
      <c r="G380" s="10">
        <v>3210</v>
      </c>
      <c r="H380" s="11"/>
      <c r="I380" s="8">
        <f t="array" ref="I380">INDEX([26]KOMPARASI!$H$20:$H$199,MATCH(1,([26]KOMPARASI!$C$20:$C$199=$D380)*([26]KOMPARASI!$C$20:$C$199=$D380),0))</f>
        <v>0</v>
      </c>
      <c r="J380" s="9">
        <f t="array" ref="J380">IFERROR(I380/G380*100,0)</f>
        <v>0</v>
      </c>
      <c r="K380" s="8">
        <f t="array" ref="K380">INDEX([26]KOMPARASI!$J$20:$J$199,MATCH(1,([26]KOMPARASI!$C$20:$C$199=$D380)*([26]KOMPARASI!$C$20:$C$199=$D380),0))</f>
        <v>0</v>
      </c>
      <c r="L380" s="9">
        <f t="shared" si="60"/>
        <v>0</v>
      </c>
      <c r="M380" s="8" t="str">
        <f t="shared" si="63"/>
        <v>Belum Sensus</v>
      </c>
      <c r="N380" s="148"/>
      <c r="O380" s="143" t="e">
        <f>MAX(#REF!,#REF!)</f>
        <v>#REF!</v>
      </c>
      <c r="P380" s="9" t="e">
        <f t="shared" si="64"/>
        <v>#REF!</v>
      </c>
      <c r="Q380" s="143" t="e">
        <f>MAX(#REF!,#REF!)</f>
        <v>#REF!</v>
      </c>
      <c r="R380" s="9">
        <f t="shared" si="61"/>
        <v>0</v>
      </c>
      <c r="S380" s="8" t="str">
        <f t="shared" si="65"/>
        <v>Belum Sensus</v>
      </c>
      <c r="T380" s="148"/>
      <c r="U380" s="143" t="e">
        <f>MAX(#REF!,#REF!)</f>
        <v>#REF!</v>
      </c>
      <c r="V380" s="143" t="e">
        <f>MAX(#REF!,#REF!)</f>
        <v>#REF!</v>
      </c>
      <c r="W380" s="9">
        <f t="shared" si="66"/>
        <v>0</v>
      </c>
      <c r="X380" s="8" t="str">
        <f t="shared" si="67"/>
        <v>Belum Sensus</v>
      </c>
      <c r="Y380" s="178"/>
      <c r="Z380" s="143">
        <v>0</v>
      </c>
      <c r="AA380" s="9">
        <f t="shared" si="68"/>
        <v>0</v>
      </c>
      <c r="AB380" s="143">
        <v>0</v>
      </c>
      <c r="AC380" s="9">
        <f t="shared" si="62"/>
        <v>0</v>
      </c>
      <c r="AD380" s="8" t="str">
        <f t="shared" si="69"/>
        <v>Belum Sensus</v>
      </c>
      <c r="AE380" s="178">
        <v>46153</v>
      </c>
      <c r="AF380" s="143">
        <v>1074</v>
      </c>
      <c r="AG380" s="143">
        <v>189</v>
      </c>
      <c r="AH380" s="9">
        <f t="shared" si="70"/>
        <v>17.597765363128492</v>
      </c>
      <c r="AI380" s="8" t="str">
        <f t="shared" si="71"/>
        <v>Perlu Pengendalian</v>
      </c>
    </row>
    <row r="381" spans="1:35" x14ac:dyDescent="0.2">
      <c r="A381" s="8" t="s">
        <v>1739</v>
      </c>
      <c r="B381" s="8" t="s">
        <v>14</v>
      </c>
      <c r="C381" s="8" t="s">
        <v>416</v>
      </c>
      <c r="D381" s="8" t="s">
        <v>1246</v>
      </c>
      <c r="E381" s="9">
        <v>24.28</v>
      </c>
      <c r="F381" s="8" t="s">
        <v>1740</v>
      </c>
      <c r="G381" s="10">
        <v>3407</v>
      </c>
      <c r="H381" s="11"/>
      <c r="I381" s="8">
        <f t="array" ref="I381">INDEX([26]KOMPARASI!$H$20:$H$199,MATCH(1,([26]KOMPARASI!$C$20:$C$199=$D381)*([26]KOMPARASI!$C$20:$C$199=$D381),0))</f>
        <v>0</v>
      </c>
      <c r="J381" s="9">
        <f t="array" ref="J381">IFERROR(I381/G381*100,0)</f>
        <v>0</v>
      </c>
      <c r="K381" s="8">
        <f t="array" ref="K381">INDEX([26]KOMPARASI!$J$20:$J$199,MATCH(1,([26]KOMPARASI!$C$20:$C$199=$D381)*([26]KOMPARASI!$C$20:$C$199=$D381),0))</f>
        <v>0</v>
      </c>
      <c r="L381" s="9">
        <f t="shared" si="60"/>
        <v>0</v>
      </c>
      <c r="M381" s="8" t="str">
        <f t="shared" si="63"/>
        <v>Belum Sensus</v>
      </c>
      <c r="N381" s="148"/>
      <c r="O381" s="143" t="e">
        <f>MAX(#REF!,#REF!)</f>
        <v>#REF!</v>
      </c>
      <c r="P381" s="9" t="e">
        <f t="shared" si="64"/>
        <v>#REF!</v>
      </c>
      <c r="Q381" s="143" t="e">
        <f>MAX(#REF!,#REF!)</f>
        <v>#REF!</v>
      </c>
      <c r="R381" s="9">
        <f t="shared" si="61"/>
        <v>0</v>
      </c>
      <c r="S381" s="8" t="str">
        <f t="shared" si="65"/>
        <v>Belum Sensus</v>
      </c>
      <c r="T381" s="148"/>
      <c r="U381" s="143" t="e">
        <f>MAX(#REF!,#REF!)</f>
        <v>#REF!</v>
      </c>
      <c r="V381" s="143" t="e">
        <f>MAX(#REF!,#REF!)</f>
        <v>#REF!</v>
      </c>
      <c r="W381" s="9">
        <f t="shared" si="66"/>
        <v>0</v>
      </c>
      <c r="X381" s="8" t="str">
        <f t="shared" si="67"/>
        <v>Belum Sensus</v>
      </c>
      <c r="Y381" s="178"/>
      <c r="Z381" s="143">
        <v>0</v>
      </c>
      <c r="AA381" s="9">
        <f t="shared" si="68"/>
        <v>0</v>
      </c>
      <c r="AB381" s="143">
        <v>0</v>
      </c>
      <c r="AC381" s="9">
        <f t="shared" si="62"/>
        <v>0</v>
      </c>
      <c r="AD381" s="8" t="str">
        <f t="shared" si="69"/>
        <v>Belum Sensus</v>
      </c>
      <c r="AE381" s="178"/>
      <c r="AF381" s="143">
        <v>0</v>
      </c>
      <c r="AG381" s="143">
        <v>0</v>
      </c>
      <c r="AH381" s="9">
        <f t="shared" si="70"/>
        <v>0</v>
      </c>
      <c r="AI381" s="8" t="str">
        <f t="shared" si="71"/>
        <v>Belum Sensus</v>
      </c>
    </row>
    <row r="382" spans="1:35" x14ac:dyDescent="0.2">
      <c r="A382" s="8" t="s">
        <v>1739</v>
      </c>
      <c r="B382" s="8" t="s">
        <v>14</v>
      </c>
      <c r="C382" s="8" t="s">
        <v>416</v>
      </c>
      <c r="D382" s="8" t="s">
        <v>1247</v>
      </c>
      <c r="E382" s="9">
        <v>29.73</v>
      </c>
      <c r="F382" s="8" t="s">
        <v>1740</v>
      </c>
      <c r="G382" s="10">
        <v>4080</v>
      </c>
      <c r="H382" s="132">
        <v>46149</v>
      </c>
      <c r="I382" s="8">
        <f t="array" ref="I382">INDEX([26]KOMPARASI!$H$20:$H$199,MATCH(1,([26]KOMPARASI!$C$20:$C$199=$D382)*([26]KOMPARASI!$C$20:$C$199=$D382),0))</f>
        <v>385</v>
      </c>
      <c r="J382" s="9">
        <f t="array" ref="J382">IFERROR(I382/G382*100,0)</f>
        <v>9.4362745098039209</v>
      </c>
      <c r="K382" s="8">
        <f t="array" ref="K382">INDEX([26]KOMPARASI!$J$20:$J$199,MATCH(1,([26]KOMPARASI!$C$20:$C$199=$D382)*([26]KOMPARASI!$C$20:$C$199=$D382),0))</f>
        <v>52</v>
      </c>
      <c r="L382" s="9">
        <f t="shared" si="60"/>
        <v>13.506493506493506</v>
      </c>
      <c r="M382" s="8" t="str">
        <f t="shared" si="63"/>
        <v>Perlu Pengendalian</v>
      </c>
      <c r="N382" s="148"/>
      <c r="O382" s="143" t="e">
        <f>MAX(#REF!,#REF!)</f>
        <v>#REF!</v>
      </c>
      <c r="P382" s="9" t="e">
        <f t="shared" si="64"/>
        <v>#REF!</v>
      </c>
      <c r="Q382" s="143" t="e">
        <f>MAX(#REF!,#REF!)</f>
        <v>#REF!</v>
      </c>
      <c r="R382" s="9">
        <f t="shared" si="61"/>
        <v>0</v>
      </c>
      <c r="S382" s="8" t="str">
        <f t="shared" si="65"/>
        <v>Belum Sensus</v>
      </c>
      <c r="T382" s="148"/>
      <c r="U382" s="143" t="e">
        <f>MAX(#REF!,#REF!)</f>
        <v>#REF!</v>
      </c>
      <c r="V382" s="143" t="e">
        <f>MAX(#REF!,#REF!)</f>
        <v>#REF!</v>
      </c>
      <c r="W382" s="9">
        <f t="shared" si="66"/>
        <v>0</v>
      </c>
      <c r="X382" s="8" t="str">
        <f t="shared" si="67"/>
        <v>Belum Sensus</v>
      </c>
      <c r="Y382" s="178">
        <v>46153</v>
      </c>
      <c r="Z382" s="143">
        <v>68</v>
      </c>
      <c r="AA382" s="9">
        <f t="shared" si="68"/>
        <v>1.6666666666666667</v>
      </c>
      <c r="AB382" s="143">
        <v>12</v>
      </c>
      <c r="AC382" s="9">
        <f t="shared" si="62"/>
        <v>17.647058823529413</v>
      </c>
      <c r="AD382" s="8" t="str">
        <f t="shared" si="69"/>
        <v>Perlu Pengendalian</v>
      </c>
      <c r="AE382" s="178"/>
      <c r="AF382" s="143">
        <v>0</v>
      </c>
      <c r="AG382" s="143">
        <v>0</v>
      </c>
      <c r="AH382" s="9">
        <f t="shared" si="70"/>
        <v>0</v>
      </c>
      <c r="AI382" s="8" t="str">
        <f t="shared" si="71"/>
        <v>Belum Sensus</v>
      </c>
    </row>
    <row r="383" spans="1:35" x14ac:dyDescent="0.2">
      <c r="A383" s="8" t="s">
        <v>1739</v>
      </c>
      <c r="B383" s="8" t="s">
        <v>14</v>
      </c>
      <c r="C383" s="8" t="s">
        <v>416</v>
      </c>
      <c r="D383" s="8" t="s">
        <v>1248</v>
      </c>
      <c r="E383" s="9">
        <v>29.54</v>
      </c>
      <c r="F383" s="8" t="s">
        <v>1740</v>
      </c>
      <c r="G383" s="10">
        <v>3594</v>
      </c>
      <c r="H383" s="132">
        <v>46153</v>
      </c>
      <c r="I383" s="8">
        <f t="array" ref="I383">INDEX([26]KOMPARASI!$H$20:$H$199,MATCH(1,([26]KOMPARASI!$C$20:$C$199=$D383)*([26]KOMPARASI!$C$20:$C$199=$D383),0))</f>
        <v>186</v>
      </c>
      <c r="J383" s="9">
        <f t="array" ref="J383">IFERROR(I383/G383*100,0)</f>
        <v>5.1752921535893153</v>
      </c>
      <c r="K383" s="8">
        <f t="array" ref="K383">INDEX([26]KOMPARASI!$J$20:$J$199,MATCH(1,([26]KOMPARASI!$C$20:$C$199=$D383)*([26]KOMPARASI!$C$20:$C$199=$D383),0))</f>
        <v>44</v>
      </c>
      <c r="L383" s="9">
        <f t="shared" si="60"/>
        <v>23.655913978494624</v>
      </c>
      <c r="M383" s="8" t="str">
        <f t="shared" si="63"/>
        <v>Perlu Pengendalian</v>
      </c>
      <c r="N383" s="148"/>
      <c r="O383" s="143" t="e">
        <f>MAX(#REF!,#REF!)</f>
        <v>#REF!</v>
      </c>
      <c r="P383" s="9" t="e">
        <f t="shared" si="64"/>
        <v>#REF!</v>
      </c>
      <c r="Q383" s="143" t="e">
        <f>MAX(#REF!,#REF!)</f>
        <v>#REF!</v>
      </c>
      <c r="R383" s="9">
        <f t="shared" si="61"/>
        <v>0</v>
      </c>
      <c r="S383" s="8" t="str">
        <f t="shared" si="65"/>
        <v>Belum Sensus</v>
      </c>
      <c r="T383" s="148"/>
      <c r="U383" s="143" t="e">
        <f>MAX(#REF!,#REF!)</f>
        <v>#REF!</v>
      </c>
      <c r="V383" s="143" t="e">
        <f>MAX(#REF!,#REF!)</f>
        <v>#REF!</v>
      </c>
      <c r="W383" s="9">
        <f t="shared" si="66"/>
        <v>0</v>
      </c>
      <c r="X383" s="8" t="str">
        <f t="shared" si="67"/>
        <v>Belum Sensus</v>
      </c>
      <c r="Y383" s="178">
        <v>46153</v>
      </c>
      <c r="Z383" s="143">
        <v>66</v>
      </c>
      <c r="AA383" s="9">
        <f t="shared" si="68"/>
        <v>1.8363939899833055</v>
      </c>
      <c r="AB383" s="143">
        <v>12</v>
      </c>
      <c r="AC383" s="9">
        <f t="shared" si="62"/>
        <v>18.181818181818183</v>
      </c>
      <c r="AD383" s="8" t="str">
        <f t="shared" si="69"/>
        <v>Perlu Pengendalian</v>
      </c>
      <c r="AE383" s="178"/>
      <c r="AF383" s="143">
        <v>0</v>
      </c>
      <c r="AG383" s="143">
        <v>0</v>
      </c>
      <c r="AH383" s="9">
        <f t="shared" si="70"/>
        <v>0</v>
      </c>
      <c r="AI383" s="8" t="str">
        <f t="shared" si="71"/>
        <v>Belum Sensus</v>
      </c>
    </row>
    <row r="384" spans="1:35" x14ac:dyDescent="0.2">
      <c r="A384" s="8" t="s">
        <v>1739</v>
      </c>
      <c r="B384" s="8" t="s">
        <v>14</v>
      </c>
      <c r="C384" s="8" t="s">
        <v>416</v>
      </c>
      <c r="D384" s="8" t="s">
        <v>1249</v>
      </c>
      <c r="E384" s="9">
        <v>29.37</v>
      </c>
      <c r="F384" s="8" t="s">
        <v>1740</v>
      </c>
      <c r="G384" s="10">
        <v>3727</v>
      </c>
      <c r="H384" s="132">
        <v>46153</v>
      </c>
      <c r="I384" s="8">
        <f t="array" ref="I384">INDEX([26]KOMPARASI!$H$20:$H$199,MATCH(1,([26]KOMPARASI!$C$20:$C$199=$D384)*([26]KOMPARASI!$C$20:$C$199=$D384),0))</f>
        <v>109</v>
      </c>
      <c r="J384" s="9">
        <f t="array" ref="J384">IFERROR(I384/G384*100,0)</f>
        <v>2.9246042393345855</v>
      </c>
      <c r="K384" s="8">
        <f t="array" ref="K384">INDEX([26]KOMPARASI!$J$20:$J$199,MATCH(1,([26]KOMPARASI!$C$20:$C$199=$D384)*([26]KOMPARASI!$C$20:$C$199=$D384),0))</f>
        <v>27</v>
      </c>
      <c r="L384" s="9">
        <f t="shared" si="60"/>
        <v>24.770642201834864</v>
      </c>
      <c r="M384" s="8" t="str">
        <f t="shared" si="63"/>
        <v>Perlu Pengendalian</v>
      </c>
      <c r="N384" s="148"/>
      <c r="O384" s="143" t="e">
        <f>MAX(#REF!,#REF!)</f>
        <v>#REF!</v>
      </c>
      <c r="P384" s="9" t="e">
        <f t="shared" si="64"/>
        <v>#REF!</v>
      </c>
      <c r="Q384" s="143" t="e">
        <f>MAX(#REF!,#REF!)</f>
        <v>#REF!</v>
      </c>
      <c r="R384" s="9">
        <f t="shared" si="61"/>
        <v>0</v>
      </c>
      <c r="S384" s="8" t="str">
        <f t="shared" si="65"/>
        <v>Belum Sensus</v>
      </c>
      <c r="T384" s="148"/>
      <c r="U384" s="143" t="e">
        <f>MAX(#REF!,#REF!)</f>
        <v>#REF!</v>
      </c>
      <c r="V384" s="143" t="e">
        <f>MAX(#REF!,#REF!)</f>
        <v>#REF!</v>
      </c>
      <c r="W384" s="9">
        <f t="shared" si="66"/>
        <v>0</v>
      </c>
      <c r="X384" s="8" t="str">
        <f t="shared" si="67"/>
        <v>Belum Sensus</v>
      </c>
      <c r="Y384" s="178"/>
      <c r="Z384" s="143">
        <v>0</v>
      </c>
      <c r="AA384" s="9">
        <f t="shared" si="68"/>
        <v>0</v>
      </c>
      <c r="AB384" s="143">
        <v>0</v>
      </c>
      <c r="AC384" s="9">
        <f t="shared" si="62"/>
        <v>0</v>
      </c>
      <c r="AD384" s="8" t="str">
        <f t="shared" si="69"/>
        <v>Belum Sensus</v>
      </c>
      <c r="AE384" s="178">
        <v>46153</v>
      </c>
      <c r="AF384" s="143">
        <v>791</v>
      </c>
      <c r="AG384" s="143">
        <v>273</v>
      </c>
      <c r="AH384" s="9">
        <f t="shared" si="70"/>
        <v>34.513274336283182</v>
      </c>
      <c r="AI384" s="8" t="str">
        <f t="shared" si="71"/>
        <v>Perlu Pengendalian</v>
      </c>
    </row>
    <row r="385" spans="1:35" x14ac:dyDescent="0.2">
      <c r="A385" s="8" t="s">
        <v>1739</v>
      </c>
      <c r="B385" s="8" t="s">
        <v>14</v>
      </c>
      <c r="C385" s="8" t="s">
        <v>416</v>
      </c>
      <c r="D385" s="8" t="s">
        <v>1250</v>
      </c>
      <c r="E385" s="9">
        <v>33.299999999999997</v>
      </c>
      <c r="F385" s="8" t="s">
        <v>1740</v>
      </c>
      <c r="G385" s="10">
        <v>5009</v>
      </c>
      <c r="H385" s="132">
        <v>46153</v>
      </c>
      <c r="I385" s="8">
        <f t="array" ref="I385">INDEX([26]KOMPARASI!$H$20:$H$199,MATCH(1,([26]KOMPARASI!$C$20:$C$199=$D385)*([26]KOMPARASI!$C$20:$C$199=$D385),0))</f>
        <v>329</v>
      </c>
      <c r="J385" s="9">
        <f t="array" ref="J385">IFERROR(I385/G385*100,0)</f>
        <v>6.5681772808943899</v>
      </c>
      <c r="K385" s="8">
        <f t="array" ref="K385">INDEX([26]KOMPARASI!$J$20:$J$199,MATCH(1,([26]KOMPARASI!$C$20:$C$199=$D385)*([26]KOMPARASI!$C$20:$C$199=$D385),0))</f>
        <v>49</v>
      </c>
      <c r="L385" s="9">
        <f t="shared" si="60"/>
        <v>14.893617021276595</v>
      </c>
      <c r="M385" s="8" t="str">
        <f t="shared" si="63"/>
        <v>Perlu Pengendalian</v>
      </c>
      <c r="N385" s="148"/>
      <c r="O385" s="143" t="e">
        <f>MAX(#REF!,#REF!)</f>
        <v>#REF!</v>
      </c>
      <c r="P385" s="9" t="e">
        <f t="shared" si="64"/>
        <v>#REF!</v>
      </c>
      <c r="Q385" s="143" t="e">
        <f>MAX(#REF!,#REF!)</f>
        <v>#REF!</v>
      </c>
      <c r="R385" s="9">
        <f t="shared" si="61"/>
        <v>0</v>
      </c>
      <c r="S385" s="8" t="str">
        <f t="shared" si="65"/>
        <v>Belum Sensus</v>
      </c>
      <c r="T385" s="148"/>
      <c r="U385" s="143" t="e">
        <f>MAX(#REF!,#REF!)</f>
        <v>#REF!</v>
      </c>
      <c r="V385" s="143" t="e">
        <f>MAX(#REF!,#REF!)</f>
        <v>#REF!</v>
      </c>
      <c r="W385" s="9">
        <f t="shared" si="66"/>
        <v>0</v>
      </c>
      <c r="X385" s="8" t="str">
        <f t="shared" si="67"/>
        <v>Belum Sensus</v>
      </c>
      <c r="Y385" s="178"/>
      <c r="Z385" s="143">
        <v>0</v>
      </c>
      <c r="AA385" s="9">
        <f t="shared" si="68"/>
        <v>0</v>
      </c>
      <c r="AB385" s="143">
        <v>0</v>
      </c>
      <c r="AC385" s="9">
        <f t="shared" si="62"/>
        <v>0</v>
      </c>
      <c r="AD385" s="8" t="str">
        <f t="shared" si="69"/>
        <v>Belum Sensus</v>
      </c>
      <c r="AE385" s="178">
        <v>46153</v>
      </c>
      <c r="AF385" s="143">
        <v>1115</v>
      </c>
      <c r="AG385" s="143">
        <v>218</v>
      </c>
      <c r="AH385" s="9">
        <f t="shared" si="70"/>
        <v>19.551569506726459</v>
      </c>
      <c r="AI385" s="8" t="str">
        <f t="shared" si="71"/>
        <v>Perlu Pengendalian</v>
      </c>
    </row>
    <row r="386" spans="1:35" x14ac:dyDescent="0.2">
      <c r="A386" s="8" t="s">
        <v>1739</v>
      </c>
      <c r="B386" s="8" t="s">
        <v>14</v>
      </c>
      <c r="C386" s="8" t="s">
        <v>416</v>
      </c>
      <c r="D386" s="8" t="s">
        <v>1251</v>
      </c>
      <c r="E386" s="9">
        <v>32.6</v>
      </c>
      <c r="F386" s="8" t="s">
        <v>1740</v>
      </c>
      <c r="G386" s="10">
        <v>4360</v>
      </c>
      <c r="H386" s="132">
        <v>46153</v>
      </c>
      <c r="I386" s="8">
        <f t="array" ref="I386">INDEX([26]KOMPARASI!$H$20:$H$199,MATCH(1,([26]KOMPARASI!$C$20:$C$199=$D386)*([26]KOMPARASI!$C$20:$C$199=$D386),0))</f>
        <v>359</v>
      </c>
      <c r="J386" s="9">
        <f t="array" ref="J386">IFERROR(I386/G386*100,0)</f>
        <v>8.2339449541284395</v>
      </c>
      <c r="K386" s="8">
        <f t="array" ref="K386">INDEX([26]KOMPARASI!$J$20:$J$199,MATCH(1,([26]KOMPARASI!$C$20:$C$199=$D386)*([26]KOMPARASI!$C$20:$C$199=$D386),0))</f>
        <v>47</v>
      </c>
      <c r="L386" s="9">
        <f t="shared" si="60"/>
        <v>13.09192200557103</v>
      </c>
      <c r="M386" s="8" t="str">
        <f t="shared" si="63"/>
        <v>Perlu Pengendalian</v>
      </c>
      <c r="N386" s="148"/>
      <c r="O386" s="143" t="e">
        <f>MAX(#REF!,#REF!)</f>
        <v>#REF!</v>
      </c>
      <c r="P386" s="9" t="e">
        <f t="shared" si="64"/>
        <v>#REF!</v>
      </c>
      <c r="Q386" s="143" t="e">
        <f>MAX(#REF!,#REF!)</f>
        <v>#REF!</v>
      </c>
      <c r="R386" s="9">
        <f t="shared" si="61"/>
        <v>0</v>
      </c>
      <c r="S386" s="8" t="str">
        <f t="shared" si="65"/>
        <v>Belum Sensus</v>
      </c>
      <c r="T386" s="148"/>
      <c r="U386" s="143" t="e">
        <f>MAX(#REF!,#REF!)</f>
        <v>#REF!</v>
      </c>
      <c r="V386" s="143" t="e">
        <f>MAX(#REF!,#REF!)</f>
        <v>#REF!</v>
      </c>
      <c r="W386" s="9">
        <f t="shared" si="66"/>
        <v>0</v>
      </c>
      <c r="X386" s="8" t="str">
        <f t="shared" si="67"/>
        <v>Belum Sensus</v>
      </c>
      <c r="Y386" s="178"/>
      <c r="Z386" s="143">
        <v>0</v>
      </c>
      <c r="AA386" s="9">
        <f t="shared" si="68"/>
        <v>0</v>
      </c>
      <c r="AB386" s="143">
        <v>0</v>
      </c>
      <c r="AC386" s="9">
        <f t="shared" si="62"/>
        <v>0</v>
      </c>
      <c r="AD386" s="8" t="str">
        <f t="shared" si="69"/>
        <v>Belum Sensus</v>
      </c>
      <c r="AE386" s="178">
        <v>46153</v>
      </c>
      <c r="AF386" s="143">
        <v>1134</v>
      </c>
      <c r="AG386" s="143">
        <v>195</v>
      </c>
      <c r="AH386" s="9">
        <f t="shared" si="70"/>
        <v>17.195767195767196</v>
      </c>
      <c r="AI386" s="8" t="str">
        <f t="shared" si="71"/>
        <v>Perlu Pengendalian</v>
      </c>
    </row>
    <row r="387" spans="1:35" x14ac:dyDescent="0.2">
      <c r="A387" s="8" t="s">
        <v>1739</v>
      </c>
      <c r="B387" s="8" t="s">
        <v>14</v>
      </c>
      <c r="C387" s="8" t="s">
        <v>416</v>
      </c>
      <c r="D387" s="8" t="s">
        <v>1252</v>
      </c>
      <c r="E387" s="9">
        <v>21.81</v>
      </c>
      <c r="F387" s="8" t="s">
        <v>1740</v>
      </c>
      <c r="G387" s="10">
        <v>2638</v>
      </c>
      <c r="H387" s="132">
        <v>46149</v>
      </c>
      <c r="I387" s="8">
        <f t="array" ref="I387">INDEX([26]KOMPARASI!$H$20:$H$199,MATCH(1,([26]KOMPARASI!$C$20:$C$199=$D387)*([26]KOMPARASI!$C$20:$C$199=$D387),0))</f>
        <v>339</v>
      </c>
      <c r="J387" s="9">
        <f t="array" ref="J387">IFERROR(I387/G387*100,0)</f>
        <v>12.850644427596663</v>
      </c>
      <c r="K387" s="8">
        <f t="array" ref="K387">INDEX([26]KOMPARASI!$J$20:$J$199,MATCH(1,([26]KOMPARASI!$C$20:$C$199=$D387)*([26]KOMPARASI!$C$20:$C$199=$D387),0))</f>
        <v>81</v>
      </c>
      <c r="L387" s="9">
        <f t="shared" si="60"/>
        <v>23.893805309734514</v>
      </c>
      <c r="M387" s="8" t="str">
        <f t="shared" si="63"/>
        <v>Perlu Pengendalian</v>
      </c>
      <c r="N387" s="148"/>
      <c r="O387" s="143" t="e">
        <f>MAX(#REF!,#REF!)</f>
        <v>#REF!</v>
      </c>
      <c r="P387" s="9" t="e">
        <f t="shared" si="64"/>
        <v>#REF!</v>
      </c>
      <c r="Q387" s="143" t="e">
        <f>MAX(#REF!,#REF!)</f>
        <v>#REF!</v>
      </c>
      <c r="R387" s="9">
        <f t="shared" si="61"/>
        <v>0</v>
      </c>
      <c r="S387" s="8" t="str">
        <f t="shared" si="65"/>
        <v>Belum Sensus</v>
      </c>
      <c r="T387" s="148"/>
      <c r="U387" s="143" t="e">
        <f>MAX(#REF!,#REF!)</f>
        <v>#REF!</v>
      </c>
      <c r="V387" s="143" t="e">
        <f>MAX(#REF!,#REF!)</f>
        <v>#REF!</v>
      </c>
      <c r="W387" s="9">
        <f t="shared" si="66"/>
        <v>0</v>
      </c>
      <c r="X387" s="8" t="str">
        <f t="shared" si="67"/>
        <v>Belum Sensus</v>
      </c>
      <c r="Y387" s="178">
        <v>46153</v>
      </c>
      <c r="Z387" s="143">
        <v>65</v>
      </c>
      <c r="AA387" s="9">
        <f t="shared" si="68"/>
        <v>2.4639878695981805</v>
      </c>
      <c r="AB387" s="143">
        <v>12</v>
      </c>
      <c r="AC387" s="9">
        <f t="shared" si="62"/>
        <v>18.461538461538463</v>
      </c>
      <c r="AD387" s="8" t="str">
        <f t="shared" si="69"/>
        <v>Perlu Pengendalian</v>
      </c>
      <c r="AE387" s="178">
        <v>46153</v>
      </c>
      <c r="AF387" s="143">
        <v>187</v>
      </c>
      <c r="AG387" s="143">
        <v>33</v>
      </c>
      <c r="AH387" s="9">
        <f t="shared" si="70"/>
        <v>17.647058823529413</v>
      </c>
      <c r="AI387" s="8" t="str">
        <f t="shared" si="71"/>
        <v>Perlu Pengendalian</v>
      </c>
    </row>
    <row r="388" spans="1:35" x14ac:dyDescent="0.2">
      <c r="A388" s="8" t="s">
        <v>1739</v>
      </c>
      <c r="B388" s="8" t="s">
        <v>14</v>
      </c>
      <c r="C388" s="8" t="s">
        <v>416</v>
      </c>
      <c r="D388" s="8" t="s">
        <v>1253</v>
      </c>
      <c r="E388" s="9">
        <v>24.09</v>
      </c>
      <c r="F388" s="8" t="s">
        <v>1740</v>
      </c>
      <c r="G388" s="10">
        <v>3113</v>
      </c>
      <c r="H388" s="132">
        <v>46149</v>
      </c>
      <c r="I388" s="8">
        <f t="array" ref="I388">INDEX([26]KOMPARASI!$H$20:$H$199,MATCH(1,([26]KOMPARASI!$C$20:$C$199=$D388)*([26]KOMPARASI!$C$20:$C$199=$D388),0))</f>
        <v>283</v>
      </c>
      <c r="J388" s="9">
        <f t="array" ref="J388">IFERROR(I388/G388*100,0)</f>
        <v>9.0909090909090917</v>
      </c>
      <c r="K388" s="8">
        <f t="array" ref="K388">INDEX([26]KOMPARASI!$J$20:$J$199,MATCH(1,([26]KOMPARASI!$C$20:$C$199=$D388)*([26]KOMPARASI!$C$20:$C$199=$D388),0))</f>
        <v>60</v>
      </c>
      <c r="L388" s="9">
        <f t="shared" si="60"/>
        <v>21.201413427561839</v>
      </c>
      <c r="M388" s="8" t="str">
        <f t="shared" si="63"/>
        <v>Perlu Pengendalian</v>
      </c>
      <c r="N388" s="148"/>
      <c r="O388" s="143" t="e">
        <f>MAX(#REF!,#REF!)</f>
        <v>#REF!</v>
      </c>
      <c r="P388" s="9" t="e">
        <f t="shared" si="64"/>
        <v>#REF!</v>
      </c>
      <c r="Q388" s="143" t="e">
        <f>MAX(#REF!,#REF!)</f>
        <v>#REF!</v>
      </c>
      <c r="R388" s="9">
        <f t="shared" si="61"/>
        <v>0</v>
      </c>
      <c r="S388" s="8" t="str">
        <f t="shared" si="65"/>
        <v>Belum Sensus</v>
      </c>
      <c r="T388" s="148"/>
      <c r="U388" s="143" t="e">
        <f>MAX(#REF!,#REF!)</f>
        <v>#REF!</v>
      </c>
      <c r="V388" s="143" t="e">
        <f>MAX(#REF!,#REF!)</f>
        <v>#REF!</v>
      </c>
      <c r="W388" s="9">
        <f t="shared" si="66"/>
        <v>0</v>
      </c>
      <c r="X388" s="8" t="str">
        <f t="shared" si="67"/>
        <v>Belum Sensus</v>
      </c>
      <c r="Y388" s="178">
        <v>46153</v>
      </c>
      <c r="Z388" s="143">
        <v>66</v>
      </c>
      <c r="AA388" s="9">
        <f t="shared" si="68"/>
        <v>2.1201413427561837</v>
      </c>
      <c r="AB388" s="143">
        <v>10</v>
      </c>
      <c r="AC388" s="9">
        <f t="shared" si="62"/>
        <v>15.151515151515152</v>
      </c>
      <c r="AD388" s="8" t="str">
        <f t="shared" si="69"/>
        <v>Perlu Pengendalian</v>
      </c>
      <c r="AE388" s="178">
        <v>46153</v>
      </c>
      <c r="AF388" s="143">
        <v>211</v>
      </c>
      <c r="AG388" s="143">
        <v>29</v>
      </c>
      <c r="AH388" s="9">
        <f t="shared" si="70"/>
        <v>13.744075829383887</v>
      </c>
      <c r="AI388" s="8" t="str">
        <f t="shared" si="71"/>
        <v>Perlu Pengendalian</v>
      </c>
    </row>
    <row r="389" spans="1:35" x14ac:dyDescent="0.2">
      <c r="A389" s="8" t="s">
        <v>1739</v>
      </c>
      <c r="B389" s="8" t="s">
        <v>14</v>
      </c>
      <c r="C389" s="8" t="s">
        <v>416</v>
      </c>
      <c r="D389" s="8" t="s">
        <v>1254</v>
      </c>
      <c r="E389" s="9">
        <v>23.88</v>
      </c>
      <c r="F389" s="8" t="s">
        <v>1740</v>
      </c>
      <c r="G389" s="10">
        <v>3157</v>
      </c>
      <c r="H389" s="132">
        <v>46153</v>
      </c>
      <c r="I389" s="8">
        <f t="array" ref="I389">INDEX([26]KOMPARASI!$H$20:$H$199,MATCH(1,([26]KOMPARASI!$C$20:$C$199=$D389)*([26]KOMPARASI!$C$20:$C$199=$D389),0))</f>
        <v>289</v>
      </c>
      <c r="J389" s="9">
        <f t="array" ref="J389">IFERROR(I389/G389*100,0)</f>
        <v>9.1542603737725692</v>
      </c>
      <c r="K389" s="8">
        <f t="array" ref="K389">INDEX([26]KOMPARASI!$J$20:$J$199,MATCH(1,([26]KOMPARASI!$C$20:$C$199=$D389)*([26]KOMPARASI!$C$20:$C$199=$D389),0))</f>
        <v>61</v>
      </c>
      <c r="L389" s="9">
        <f t="shared" ref="L389:L452" si="72">IFERROR(K389/I389*100,0)</f>
        <v>21.107266435986158</v>
      </c>
      <c r="M389" s="8" t="str">
        <f t="shared" si="63"/>
        <v>Perlu Pengendalian</v>
      </c>
      <c r="N389" s="148"/>
      <c r="O389" s="143" t="e">
        <f>MAX(#REF!,#REF!)</f>
        <v>#REF!</v>
      </c>
      <c r="P389" s="9" t="e">
        <f t="shared" si="64"/>
        <v>#REF!</v>
      </c>
      <c r="Q389" s="143" t="e">
        <f>MAX(#REF!,#REF!)</f>
        <v>#REF!</v>
      </c>
      <c r="R389" s="9">
        <f t="shared" ref="R389:R452" si="73">IFERROR(Q389/O389*100,0)</f>
        <v>0</v>
      </c>
      <c r="S389" s="8" t="str">
        <f t="shared" si="65"/>
        <v>Belum Sensus</v>
      </c>
      <c r="T389" s="148"/>
      <c r="U389" s="143" t="e">
        <f>MAX(#REF!,#REF!)</f>
        <v>#REF!</v>
      </c>
      <c r="V389" s="143" t="e">
        <f>MAX(#REF!,#REF!)</f>
        <v>#REF!</v>
      </c>
      <c r="W389" s="9">
        <f t="shared" si="66"/>
        <v>0</v>
      </c>
      <c r="X389" s="8" t="str">
        <f t="shared" si="67"/>
        <v>Belum Sensus</v>
      </c>
      <c r="Y389" s="178"/>
      <c r="Z389" s="143"/>
      <c r="AA389" s="9">
        <f t="shared" si="68"/>
        <v>0</v>
      </c>
      <c r="AB389" s="143"/>
      <c r="AC389" s="9">
        <f t="shared" ref="AC389:AC392" si="74">IFERROR(AB389/Z389*100,0)</f>
        <v>0</v>
      </c>
      <c r="AD389" s="8" t="str">
        <f t="shared" si="69"/>
        <v>Belum Sensus</v>
      </c>
      <c r="AE389" s="178"/>
      <c r="AF389" s="143">
        <v>0</v>
      </c>
      <c r="AG389" s="143">
        <v>0</v>
      </c>
      <c r="AH389" s="9">
        <f t="shared" si="70"/>
        <v>0</v>
      </c>
      <c r="AI389" s="8" t="str">
        <f t="shared" si="71"/>
        <v>Belum Sensus</v>
      </c>
    </row>
    <row r="390" spans="1:35" x14ac:dyDescent="0.2">
      <c r="A390" s="8" t="s">
        <v>1739</v>
      </c>
      <c r="B390" s="8" t="s">
        <v>14</v>
      </c>
      <c r="C390" s="8" t="s">
        <v>416</v>
      </c>
      <c r="D390" s="8" t="s">
        <v>1255</v>
      </c>
      <c r="E390" s="9">
        <v>23.69</v>
      </c>
      <c r="F390" s="8" t="s">
        <v>1740</v>
      </c>
      <c r="G390" s="10">
        <v>2671</v>
      </c>
      <c r="H390" s="132">
        <v>46153</v>
      </c>
      <c r="I390" s="8">
        <f t="array" ref="I390">INDEX([26]KOMPARASI!$H$20:$H$199,MATCH(1,([26]KOMPARASI!$C$20:$C$199=$D390)*([26]KOMPARASI!$C$20:$C$199=$D390),0))</f>
        <v>274</v>
      </c>
      <c r="J390" s="9">
        <f t="array" ref="J390">IFERROR(I390/G390*100,0)</f>
        <v>10.258330213403219</v>
      </c>
      <c r="K390" s="8">
        <f t="array" ref="K390">INDEX([26]KOMPARASI!$J$20:$J$199,MATCH(1,([26]KOMPARASI!$C$20:$C$199=$D390)*([26]KOMPARASI!$C$20:$C$199=$D390),0))</f>
        <v>48</v>
      </c>
      <c r="L390" s="9">
        <f t="shared" si="72"/>
        <v>17.518248175182482</v>
      </c>
      <c r="M390" s="8" t="str">
        <f t="shared" ref="M390:M392" si="75">IF(L390&gt;2,"Perlu Pengendalian",IF(L390&gt;0,"Tidak Perlu Pengendalian","Belum Sensus"))</f>
        <v>Perlu Pengendalian</v>
      </c>
      <c r="N390" s="148"/>
      <c r="O390" s="143" t="e">
        <f>MAX(#REF!,#REF!)</f>
        <v>#REF!</v>
      </c>
      <c r="P390" s="9" t="e">
        <f t="shared" ref="P390:P392" si="76">O390/G390*100</f>
        <v>#REF!</v>
      </c>
      <c r="Q390" s="143" t="e">
        <f>MAX(#REF!,#REF!)</f>
        <v>#REF!</v>
      </c>
      <c r="R390" s="9">
        <f t="shared" si="73"/>
        <v>0</v>
      </c>
      <c r="S390" s="8" t="str">
        <f t="shared" ref="S390:S392" si="77">IF(R390&gt;2,"Perlu Pengendalian",IF(R390&gt;0,"Tidak Perlu Pengendalian","Belum Sensus"))</f>
        <v>Belum Sensus</v>
      </c>
      <c r="T390" s="148"/>
      <c r="U390" s="143" t="e">
        <f>MAX(#REF!,#REF!)</f>
        <v>#REF!</v>
      </c>
      <c r="V390" s="143" t="e">
        <f>MAX(#REF!,#REF!)</f>
        <v>#REF!</v>
      </c>
      <c r="W390" s="9">
        <f t="shared" ref="W390:W453" si="78">IFERROR(V390/U390*100,0)</f>
        <v>0</v>
      </c>
      <c r="X390" s="8" t="str">
        <f t="shared" ref="X390:X392" si="79">IF(W390&gt;2,"Perlu Pengendalian",IF(W390&gt;0,"Tidak Perlu Pengendalian","Belum Sensus"))</f>
        <v>Belum Sensus</v>
      </c>
      <c r="Y390" s="178"/>
      <c r="Z390" s="143">
        <v>0</v>
      </c>
      <c r="AA390" s="9">
        <f t="shared" ref="AA390:AA392" si="80">Z390/G390*100</f>
        <v>0</v>
      </c>
      <c r="AB390" s="143">
        <v>0</v>
      </c>
      <c r="AC390" s="9">
        <f t="shared" si="74"/>
        <v>0</v>
      </c>
      <c r="AD390" s="8" t="str">
        <f t="shared" ref="AD390:AD392" si="81">IF(AC390&gt;2,"Perlu Pengendalian",IF(AC390&gt;0,"Tidak Perlu Pengendalian","Belum Sensus"))</f>
        <v>Belum Sensus</v>
      </c>
      <c r="AE390" s="178"/>
      <c r="AF390" s="143">
        <v>0</v>
      </c>
      <c r="AG390" s="143">
        <v>0</v>
      </c>
      <c r="AH390" s="9">
        <f t="shared" ref="AH390:AH392" si="82">IFERROR(AG390/AF390*100,0)</f>
        <v>0</v>
      </c>
      <c r="AI390" s="8" t="str">
        <f t="shared" ref="AI390:AI392" si="83">IF(AH390&gt;2,"Perlu Pengendalian",IF(AH390&gt;0,"Tidak Perlu Pengendalian","Belum Sensus"))</f>
        <v>Belum Sensus</v>
      </c>
    </row>
    <row r="391" spans="1:35" x14ac:dyDescent="0.2">
      <c r="A391" s="8" t="s">
        <v>1739</v>
      </c>
      <c r="B391" s="8" t="s">
        <v>14</v>
      </c>
      <c r="C391" s="8" t="s">
        <v>416</v>
      </c>
      <c r="D391" s="8" t="s">
        <v>1256</v>
      </c>
      <c r="E391" s="9">
        <v>40.270000000000003</v>
      </c>
      <c r="F391" s="8" t="s">
        <v>1740</v>
      </c>
      <c r="G391" s="10">
        <v>5410</v>
      </c>
      <c r="H391" s="132">
        <v>46153</v>
      </c>
      <c r="I391" s="8">
        <f t="array" ref="I391">INDEX([26]KOMPARASI!$H$20:$H$199,MATCH(1,([26]KOMPARASI!$C$20:$C$199=$D391)*([26]KOMPARASI!$C$20:$C$199=$D391),0))</f>
        <v>258</v>
      </c>
      <c r="J391" s="9">
        <f t="array" ref="J391">IFERROR(I391/G391*100,0)</f>
        <v>4.7689463955637708</v>
      </c>
      <c r="K391" s="8">
        <f t="array" ref="K391">INDEX([26]KOMPARASI!$J$20:$J$199,MATCH(1,([26]KOMPARASI!$C$20:$C$199=$D391)*([26]KOMPARASI!$C$20:$C$199=$D391),0))</f>
        <v>43</v>
      </c>
      <c r="L391" s="9">
        <f t="shared" si="72"/>
        <v>16.666666666666664</v>
      </c>
      <c r="M391" s="8" t="str">
        <f t="shared" si="75"/>
        <v>Perlu Pengendalian</v>
      </c>
      <c r="N391" s="148"/>
      <c r="O391" s="143" t="e">
        <f>MAX(#REF!,#REF!)</f>
        <v>#REF!</v>
      </c>
      <c r="P391" s="9" t="e">
        <f t="shared" si="76"/>
        <v>#REF!</v>
      </c>
      <c r="Q391" s="143" t="e">
        <f>MAX(#REF!,#REF!)</f>
        <v>#REF!</v>
      </c>
      <c r="R391" s="9">
        <f t="shared" si="73"/>
        <v>0</v>
      </c>
      <c r="S391" s="8" t="str">
        <f t="shared" si="77"/>
        <v>Belum Sensus</v>
      </c>
      <c r="T391" s="148"/>
      <c r="U391" s="143" t="e">
        <f>MAX(#REF!,#REF!)</f>
        <v>#REF!</v>
      </c>
      <c r="V391" s="143" t="e">
        <f>MAX(#REF!,#REF!)</f>
        <v>#REF!</v>
      </c>
      <c r="W391" s="9">
        <f t="shared" si="78"/>
        <v>0</v>
      </c>
      <c r="X391" s="8" t="str">
        <f t="shared" si="79"/>
        <v>Belum Sensus</v>
      </c>
      <c r="Y391" s="178"/>
      <c r="Z391" s="143">
        <v>0</v>
      </c>
      <c r="AA391" s="9">
        <f t="shared" si="80"/>
        <v>0</v>
      </c>
      <c r="AB391" s="143">
        <v>0</v>
      </c>
      <c r="AC391" s="9">
        <f t="shared" si="74"/>
        <v>0</v>
      </c>
      <c r="AD391" s="8" t="str">
        <f t="shared" si="81"/>
        <v>Belum Sensus</v>
      </c>
      <c r="AE391" s="178"/>
      <c r="AF391" s="143">
        <v>0</v>
      </c>
      <c r="AG391" s="143">
        <v>0</v>
      </c>
      <c r="AH391" s="9">
        <f t="shared" si="82"/>
        <v>0</v>
      </c>
      <c r="AI391" s="8" t="str">
        <f t="shared" si="83"/>
        <v>Belum Sensus</v>
      </c>
    </row>
    <row r="392" spans="1:35" x14ac:dyDescent="0.2">
      <c r="A392" s="8" t="s">
        <v>1739</v>
      </c>
      <c r="B392" s="8" t="s">
        <v>14</v>
      </c>
      <c r="C392" s="8" t="s">
        <v>416</v>
      </c>
      <c r="D392" s="8" t="s">
        <v>1257</v>
      </c>
      <c r="E392" s="9">
        <v>37.99</v>
      </c>
      <c r="F392" s="8" t="s">
        <v>1740</v>
      </c>
      <c r="G392" s="10">
        <v>5100</v>
      </c>
      <c r="H392" s="132">
        <v>46153</v>
      </c>
      <c r="I392" s="8">
        <f t="array" ref="I392">INDEX([26]KOMPARASI!$H$20:$H$199,MATCH(1,([26]KOMPARASI!$C$20:$C$199=$D392)*([26]KOMPARASI!$C$20:$C$199=$D392),0))</f>
        <v>84</v>
      </c>
      <c r="J392" s="9">
        <f t="array" ref="J392">IFERROR(I392/G392*100,0)</f>
        <v>1.6470588235294119</v>
      </c>
      <c r="K392" s="8">
        <f t="array" ref="K392">INDEX([26]KOMPARASI!$J$20:$J$199,MATCH(1,([26]KOMPARASI!$C$20:$C$199=$D392)*([26]KOMPARASI!$C$20:$C$199=$D392),0))</f>
        <v>25</v>
      </c>
      <c r="L392" s="9">
        <f t="shared" si="72"/>
        <v>29.761904761904763</v>
      </c>
      <c r="M392" s="8" t="str">
        <f t="shared" si="75"/>
        <v>Perlu Pengendalian</v>
      </c>
      <c r="N392" s="148"/>
      <c r="O392" s="143" t="e">
        <f>MAX(#REF!,#REF!)</f>
        <v>#REF!</v>
      </c>
      <c r="P392" s="9" t="e">
        <f t="shared" si="76"/>
        <v>#REF!</v>
      </c>
      <c r="Q392" s="143" t="e">
        <f>MAX(#REF!,#REF!)</f>
        <v>#REF!</v>
      </c>
      <c r="R392" s="9">
        <f t="shared" si="73"/>
        <v>0</v>
      </c>
      <c r="S392" s="8" t="str">
        <f t="shared" si="77"/>
        <v>Belum Sensus</v>
      </c>
      <c r="T392" s="148"/>
      <c r="U392" s="143" t="e">
        <f>MAX(#REF!,#REF!)</f>
        <v>#REF!</v>
      </c>
      <c r="V392" s="143" t="e">
        <f>MAX(#REF!,#REF!)</f>
        <v>#REF!</v>
      </c>
      <c r="W392" s="9">
        <f t="shared" si="78"/>
        <v>0</v>
      </c>
      <c r="X392" s="8" t="str">
        <f t="shared" si="79"/>
        <v>Belum Sensus</v>
      </c>
      <c r="Y392" s="178"/>
      <c r="Z392" s="143">
        <v>0</v>
      </c>
      <c r="AA392" s="9">
        <f t="shared" si="80"/>
        <v>0</v>
      </c>
      <c r="AB392" s="143">
        <v>0</v>
      </c>
      <c r="AC392" s="9">
        <f t="shared" si="74"/>
        <v>0</v>
      </c>
      <c r="AD392" s="8" t="str">
        <f t="shared" si="81"/>
        <v>Belum Sensus</v>
      </c>
      <c r="AE392" s="178"/>
      <c r="AF392" s="143">
        <v>0</v>
      </c>
      <c r="AG392" s="143">
        <v>0</v>
      </c>
      <c r="AH392" s="9">
        <f t="shared" si="82"/>
        <v>0</v>
      </c>
      <c r="AI392" s="8" t="str">
        <f t="shared" si="83"/>
        <v>Belum Sensus</v>
      </c>
    </row>
    <row r="393" spans="1:35" x14ac:dyDescent="0.2">
      <c r="A393" s="8" t="s">
        <v>1927</v>
      </c>
      <c r="B393" s="8"/>
      <c r="C393" s="8" t="s">
        <v>1928</v>
      </c>
      <c r="D393" s="177" t="s">
        <v>1431</v>
      </c>
      <c r="E393" s="9">
        <v>27.97</v>
      </c>
      <c r="F393" s="8" t="s">
        <v>1740</v>
      </c>
      <c r="G393" s="10">
        <v>3204</v>
      </c>
      <c r="H393" s="132"/>
      <c r="I393" s="8">
        <v>0</v>
      </c>
      <c r="J393" s="9">
        <v>0</v>
      </c>
      <c r="K393" s="8">
        <v>0</v>
      </c>
      <c r="L393" s="9">
        <f t="shared" si="72"/>
        <v>0</v>
      </c>
      <c r="M393" s="8" t="s">
        <v>2076</v>
      </c>
      <c r="N393" s="132"/>
      <c r="O393" s="143">
        <v>0</v>
      </c>
      <c r="P393" s="9">
        <v>0</v>
      </c>
      <c r="Q393" s="143">
        <v>0</v>
      </c>
      <c r="R393" s="9">
        <f t="shared" si="73"/>
        <v>0</v>
      </c>
      <c r="S393" s="8" t="s">
        <v>2050</v>
      </c>
      <c r="T393" s="132">
        <v>0</v>
      </c>
      <c r="U393" s="143">
        <v>919</v>
      </c>
      <c r="V393" s="143">
        <v>31</v>
      </c>
      <c r="W393" s="9">
        <f t="shared" si="78"/>
        <v>3.3732317736670292</v>
      </c>
      <c r="X393" s="8" t="s">
        <v>2049</v>
      </c>
      <c r="Y393" s="178"/>
      <c r="Z393" s="143">
        <v>0</v>
      </c>
      <c r="AA393" s="9">
        <v>0</v>
      </c>
      <c r="AB393" s="143">
        <v>0</v>
      </c>
      <c r="AC393" s="9">
        <v>0</v>
      </c>
      <c r="AD393" s="8" t="s">
        <v>2050</v>
      </c>
      <c r="AE393" s="178"/>
      <c r="AF393" s="143">
        <v>0</v>
      </c>
      <c r="AG393" s="143">
        <v>0</v>
      </c>
      <c r="AH393" s="9">
        <v>0</v>
      </c>
      <c r="AI393" s="8" t="s">
        <v>2050</v>
      </c>
    </row>
    <row r="394" spans="1:35" x14ac:dyDescent="0.2">
      <c r="A394" s="8" t="s">
        <v>1927</v>
      </c>
      <c r="B394" s="8"/>
      <c r="C394" s="8" t="s">
        <v>1928</v>
      </c>
      <c r="D394" s="8" t="s">
        <v>1439</v>
      </c>
      <c r="E394" s="9">
        <v>42.620000000000005</v>
      </c>
      <c r="F394" s="8" t="s">
        <v>1740</v>
      </c>
      <c r="G394" s="10">
        <v>5392</v>
      </c>
      <c r="H394" s="132"/>
      <c r="I394" s="8">
        <v>0</v>
      </c>
      <c r="J394" s="9">
        <v>0</v>
      </c>
      <c r="K394" s="8">
        <v>0</v>
      </c>
      <c r="L394" s="9">
        <f t="shared" si="72"/>
        <v>0</v>
      </c>
      <c r="M394" s="8" t="s">
        <v>2076</v>
      </c>
      <c r="N394" s="132"/>
      <c r="O394" s="143">
        <v>0</v>
      </c>
      <c r="P394" s="9">
        <v>0</v>
      </c>
      <c r="Q394" s="143">
        <v>0</v>
      </c>
      <c r="R394" s="9">
        <f t="shared" si="73"/>
        <v>0</v>
      </c>
      <c r="S394" s="8" t="s">
        <v>2050</v>
      </c>
      <c r="T394" s="132"/>
      <c r="U394" s="143">
        <v>0</v>
      </c>
      <c r="V394" s="143">
        <v>0</v>
      </c>
      <c r="W394" s="9">
        <f t="shared" si="78"/>
        <v>0</v>
      </c>
      <c r="X394" s="8" t="s">
        <v>2050</v>
      </c>
      <c r="Y394" s="178"/>
      <c r="Z394" s="143">
        <v>0</v>
      </c>
      <c r="AA394" s="9">
        <v>0</v>
      </c>
      <c r="AB394" s="143">
        <v>0</v>
      </c>
      <c r="AC394" s="9">
        <v>0</v>
      </c>
      <c r="AD394" s="8" t="s">
        <v>2050</v>
      </c>
      <c r="AE394" s="178">
        <v>46153</v>
      </c>
      <c r="AF394" s="143">
        <v>270</v>
      </c>
      <c r="AG394" s="143">
        <v>5</v>
      </c>
      <c r="AH394" s="9">
        <v>1.8518518518518516</v>
      </c>
      <c r="AI394" s="8" t="s">
        <v>2049</v>
      </c>
    </row>
    <row r="395" spans="1:35" x14ac:dyDescent="0.2">
      <c r="A395" s="8" t="s">
        <v>1927</v>
      </c>
      <c r="B395" s="8"/>
      <c r="C395" s="8" t="s">
        <v>1928</v>
      </c>
      <c r="D395" s="177" t="s">
        <v>1443</v>
      </c>
      <c r="E395" s="9">
        <v>38.29</v>
      </c>
      <c r="F395" s="8" t="s">
        <v>1740</v>
      </c>
      <c r="G395" s="10">
        <v>4436</v>
      </c>
      <c r="H395" s="132">
        <v>46158</v>
      </c>
      <c r="I395" s="8">
        <v>451</v>
      </c>
      <c r="J395" s="9">
        <v>10.166816952209198</v>
      </c>
      <c r="K395" s="8">
        <v>21</v>
      </c>
      <c r="L395" s="9">
        <f t="shared" si="72"/>
        <v>4.6563192904656319</v>
      </c>
      <c r="M395" s="8" t="s">
        <v>2075</v>
      </c>
      <c r="N395" s="132"/>
      <c r="O395" s="143">
        <v>0</v>
      </c>
      <c r="P395" s="9">
        <v>0</v>
      </c>
      <c r="Q395" s="143">
        <v>0</v>
      </c>
      <c r="R395" s="9">
        <f t="shared" si="73"/>
        <v>0</v>
      </c>
      <c r="S395" s="8" t="s">
        <v>2050</v>
      </c>
      <c r="T395" s="132"/>
      <c r="U395" s="143">
        <v>0</v>
      </c>
      <c r="V395" s="143">
        <v>0</v>
      </c>
      <c r="W395" s="9">
        <f t="shared" si="78"/>
        <v>0</v>
      </c>
      <c r="X395" s="8" t="s">
        <v>2050</v>
      </c>
      <c r="Y395" s="178">
        <v>46155</v>
      </c>
      <c r="Z395" s="143">
        <v>80</v>
      </c>
      <c r="AA395" s="9">
        <v>1.8034265103697025</v>
      </c>
      <c r="AB395" s="143">
        <v>4</v>
      </c>
      <c r="AC395" s="9">
        <v>5</v>
      </c>
      <c r="AD395" s="8" t="s">
        <v>2049</v>
      </c>
      <c r="AE395" s="178">
        <v>46153</v>
      </c>
      <c r="AF395" s="143">
        <v>792</v>
      </c>
      <c r="AG395" s="143">
        <v>19</v>
      </c>
      <c r="AH395" s="9">
        <v>2.3989898989898988</v>
      </c>
      <c r="AI395" s="8" t="s">
        <v>2049</v>
      </c>
    </row>
    <row r="396" spans="1:35" x14ac:dyDescent="0.2">
      <c r="A396" s="8" t="s">
        <v>1927</v>
      </c>
      <c r="B396" s="8"/>
      <c r="C396" s="8" t="s">
        <v>1928</v>
      </c>
      <c r="D396" s="8" t="s">
        <v>1078</v>
      </c>
      <c r="E396" s="9">
        <v>29.62</v>
      </c>
      <c r="F396" s="8" t="s">
        <v>1740</v>
      </c>
      <c r="G396" s="10">
        <v>2114</v>
      </c>
      <c r="H396" s="132"/>
      <c r="I396" s="8">
        <v>0</v>
      </c>
      <c r="J396" s="9">
        <v>0</v>
      </c>
      <c r="K396" s="8">
        <v>0</v>
      </c>
      <c r="L396" s="9">
        <f t="shared" si="72"/>
        <v>0</v>
      </c>
      <c r="M396" s="8" t="s">
        <v>2076</v>
      </c>
      <c r="N396" s="132"/>
      <c r="O396" s="143">
        <v>0</v>
      </c>
      <c r="P396" s="9">
        <v>0</v>
      </c>
      <c r="Q396" s="143">
        <v>0</v>
      </c>
      <c r="R396" s="9">
        <f t="shared" si="73"/>
        <v>0</v>
      </c>
      <c r="S396" s="8" t="s">
        <v>2050</v>
      </c>
      <c r="T396" s="132"/>
      <c r="U396" s="143">
        <v>0</v>
      </c>
      <c r="V396" s="143">
        <v>0</v>
      </c>
      <c r="W396" s="9">
        <f t="shared" si="78"/>
        <v>0</v>
      </c>
      <c r="X396" s="8" t="s">
        <v>2050</v>
      </c>
      <c r="Y396" s="178"/>
      <c r="Z396" s="143">
        <v>0</v>
      </c>
      <c r="AA396" s="9">
        <v>0</v>
      </c>
      <c r="AB396" s="143">
        <v>0</v>
      </c>
      <c r="AC396" s="9">
        <v>0</v>
      </c>
      <c r="AD396" s="8" t="s">
        <v>2050</v>
      </c>
      <c r="AE396" s="178">
        <v>46153</v>
      </c>
      <c r="AF396" s="143">
        <v>637</v>
      </c>
      <c r="AG396" s="143">
        <v>18</v>
      </c>
      <c r="AH396" s="9">
        <v>2.8257456828885403</v>
      </c>
      <c r="AI396" s="8" t="s">
        <v>2049</v>
      </c>
    </row>
    <row r="397" spans="1:35" x14ac:dyDescent="0.2">
      <c r="A397" s="8" t="s">
        <v>1927</v>
      </c>
      <c r="B397" s="8"/>
      <c r="C397" s="8" t="s">
        <v>1928</v>
      </c>
      <c r="D397" s="177" t="s">
        <v>1432</v>
      </c>
      <c r="E397" s="9">
        <v>34.07</v>
      </c>
      <c r="F397" s="8" t="s">
        <v>1740</v>
      </c>
      <c r="G397" s="10">
        <v>4566</v>
      </c>
      <c r="H397" s="132">
        <v>46154</v>
      </c>
      <c r="I397" s="8">
        <v>439</v>
      </c>
      <c r="J397" s="9">
        <v>9.6145422689443727</v>
      </c>
      <c r="K397" s="8">
        <v>26</v>
      </c>
      <c r="L397" s="9">
        <f t="shared" si="72"/>
        <v>5.9225512528473807</v>
      </c>
      <c r="M397" s="8" t="s">
        <v>2075</v>
      </c>
      <c r="N397" s="132">
        <v>46150</v>
      </c>
      <c r="O397" s="143">
        <v>58</v>
      </c>
      <c r="P397" s="9">
        <v>1.2702584318878667</v>
      </c>
      <c r="Q397" s="143">
        <v>3</v>
      </c>
      <c r="R397" s="9">
        <f t="shared" si="73"/>
        <v>5.1724137931034484</v>
      </c>
      <c r="S397" s="8" t="s">
        <v>2040</v>
      </c>
      <c r="T397" s="132">
        <v>46150</v>
      </c>
      <c r="U397" s="143">
        <v>1193</v>
      </c>
      <c r="V397" s="143">
        <v>35</v>
      </c>
      <c r="W397" s="9">
        <f t="shared" si="78"/>
        <v>2.933780385582565</v>
      </c>
      <c r="X397" s="8" t="s">
        <v>2049</v>
      </c>
      <c r="Y397" s="178"/>
      <c r="Z397" s="143">
        <v>0</v>
      </c>
      <c r="AA397" s="9">
        <v>0</v>
      </c>
      <c r="AB397" s="143">
        <v>0</v>
      </c>
      <c r="AC397" s="9">
        <v>0</v>
      </c>
      <c r="AD397" s="8" t="s">
        <v>2050</v>
      </c>
      <c r="AE397" s="178"/>
      <c r="AF397" s="143">
        <v>0</v>
      </c>
      <c r="AG397" s="143">
        <v>0</v>
      </c>
      <c r="AH397" s="9">
        <v>0</v>
      </c>
      <c r="AI397" s="8" t="s">
        <v>2050</v>
      </c>
    </row>
    <row r="398" spans="1:35" x14ac:dyDescent="0.2">
      <c r="A398" s="8" t="s">
        <v>1927</v>
      </c>
      <c r="B398" s="8"/>
      <c r="C398" s="8" t="s">
        <v>1928</v>
      </c>
      <c r="D398" s="177" t="s">
        <v>1441</v>
      </c>
      <c r="E398" s="9">
        <v>34.25</v>
      </c>
      <c r="F398" s="8" t="s">
        <v>1740</v>
      </c>
      <c r="G398" s="10">
        <v>4416</v>
      </c>
      <c r="H398" s="132"/>
      <c r="I398" s="8">
        <v>0</v>
      </c>
      <c r="J398" s="9">
        <v>0</v>
      </c>
      <c r="K398" s="8">
        <v>0</v>
      </c>
      <c r="L398" s="9">
        <f t="shared" si="72"/>
        <v>0</v>
      </c>
      <c r="M398" s="8" t="s">
        <v>2076</v>
      </c>
      <c r="N398" s="132">
        <v>46148</v>
      </c>
      <c r="O398" s="143">
        <v>146</v>
      </c>
      <c r="P398" s="9">
        <v>3.306159420289855</v>
      </c>
      <c r="Q398" s="143">
        <v>5</v>
      </c>
      <c r="R398" s="9">
        <f t="shared" si="73"/>
        <v>3.4246575342465753</v>
      </c>
      <c r="S398" s="8" t="s">
        <v>2049</v>
      </c>
      <c r="T398" s="132"/>
      <c r="U398" s="143">
        <v>0</v>
      </c>
      <c r="V398" s="143">
        <v>0</v>
      </c>
      <c r="W398" s="9">
        <f t="shared" si="78"/>
        <v>0</v>
      </c>
      <c r="X398" s="8" t="s">
        <v>2050</v>
      </c>
      <c r="Y398" s="178"/>
      <c r="Z398" s="143">
        <v>0</v>
      </c>
      <c r="AA398" s="9">
        <v>0</v>
      </c>
      <c r="AB398" s="143">
        <v>0</v>
      </c>
      <c r="AC398" s="9">
        <v>0</v>
      </c>
      <c r="AD398" s="8" t="s">
        <v>2050</v>
      </c>
      <c r="AE398" s="178">
        <v>46153</v>
      </c>
      <c r="AF398" s="143">
        <v>1609</v>
      </c>
      <c r="AG398" s="143">
        <v>33</v>
      </c>
      <c r="AH398" s="9">
        <v>2.0509633312616531</v>
      </c>
      <c r="AI398" s="8" t="s">
        <v>2049</v>
      </c>
    </row>
    <row r="399" spans="1:35" x14ac:dyDescent="0.2">
      <c r="A399" s="8" t="s">
        <v>1927</v>
      </c>
      <c r="B399" s="8"/>
      <c r="C399" s="8" t="s">
        <v>1928</v>
      </c>
      <c r="D399" s="177" t="s">
        <v>1429</v>
      </c>
      <c r="E399" s="9">
        <v>34.18</v>
      </c>
      <c r="F399" s="8" t="s">
        <v>1740</v>
      </c>
      <c r="G399" s="10">
        <v>4404</v>
      </c>
      <c r="H399" s="132">
        <v>46153</v>
      </c>
      <c r="I399" s="8">
        <v>359</v>
      </c>
      <c r="J399" s="9">
        <v>8.1516802906448671</v>
      </c>
      <c r="K399" s="8">
        <v>65</v>
      </c>
      <c r="L399" s="9">
        <f t="shared" si="72"/>
        <v>18.105849582172702</v>
      </c>
      <c r="M399" s="8" t="s">
        <v>2075</v>
      </c>
      <c r="N399" s="132">
        <v>46149</v>
      </c>
      <c r="O399" s="143">
        <v>42</v>
      </c>
      <c r="P399" s="9">
        <v>0.9536784741144414</v>
      </c>
      <c r="Q399" s="143">
        <v>9</v>
      </c>
      <c r="R399" s="9">
        <f t="shared" si="73"/>
        <v>21.428571428571427</v>
      </c>
      <c r="S399" s="8" t="s">
        <v>2040</v>
      </c>
      <c r="T399" s="132">
        <v>46149</v>
      </c>
      <c r="U399" s="143">
        <v>1004</v>
      </c>
      <c r="V399" s="143">
        <v>21</v>
      </c>
      <c r="W399" s="9">
        <f t="shared" si="78"/>
        <v>2.0916334661354581</v>
      </c>
      <c r="X399" s="8" t="s">
        <v>2049</v>
      </c>
      <c r="Y399" s="178"/>
      <c r="Z399" s="143">
        <v>0</v>
      </c>
      <c r="AA399" s="9">
        <v>0</v>
      </c>
      <c r="AB399" s="143">
        <v>0</v>
      </c>
      <c r="AC399" s="9">
        <v>0</v>
      </c>
      <c r="AD399" s="8" t="s">
        <v>2050</v>
      </c>
      <c r="AE399" s="178">
        <v>46153</v>
      </c>
      <c r="AF399" s="143">
        <v>862</v>
      </c>
      <c r="AG399" s="143">
        <v>20</v>
      </c>
      <c r="AH399" s="9">
        <v>2.3201856148491879</v>
      </c>
      <c r="AI399" s="8" t="s">
        <v>2049</v>
      </c>
    </row>
    <row r="400" spans="1:35" x14ac:dyDescent="0.2">
      <c r="A400" s="8" t="s">
        <v>1927</v>
      </c>
      <c r="B400" s="8"/>
      <c r="C400" s="8" t="s">
        <v>1928</v>
      </c>
      <c r="D400" s="177" t="s">
        <v>1079</v>
      </c>
      <c r="E400" s="9">
        <v>35.080000000000005</v>
      </c>
      <c r="F400" s="8" t="s">
        <v>1740</v>
      </c>
      <c r="G400" s="10">
        <v>2148</v>
      </c>
      <c r="H400" s="132"/>
      <c r="I400" s="8">
        <v>0</v>
      </c>
      <c r="J400" s="9">
        <v>0</v>
      </c>
      <c r="K400" s="8">
        <v>0</v>
      </c>
      <c r="L400" s="9">
        <f t="shared" si="72"/>
        <v>0</v>
      </c>
      <c r="M400" s="8" t="s">
        <v>2076</v>
      </c>
      <c r="N400" s="132">
        <v>46150</v>
      </c>
      <c r="O400" s="143">
        <v>95</v>
      </c>
      <c r="P400" s="9">
        <v>4.422718808193669</v>
      </c>
      <c r="Q400" s="143">
        <v>3</v>
      </c>
      <c r="R400" s="9">
        <f t="shared" si="73"/>
        <v>3.1578947368421053</v>
      </c>
      <c r="S400" s="8" t="s">
        <v>2049</v>
      </c>
      <c r="T400" s="132"/>
      <c r="U400" s="143">
        <v>0</v>
      </c>
      <c r="V400" s="143">
        <v>0</v>
      </c>
      <c r="W400" s="9">
        <f t="shared" si="78"/>
        <v>0</v>
      </c>
      <c r="X400" s="8" t="s">
        <v>2050</v>
      </c>
      <c r="Y400" s="178"/>
      <c r="Z400" s="143">
        <v>0</v>
      </c>
      <c r="AA400" s="9">
        <v>0</v>
      </c>
      <c r="AB400" s="143">
        <v>0</v>
      </c>
      <c r="AC400" s="9">
        <v>0</v>
      </c>
      <c r="AD400" s="8" t="s">
        <v>2050</v>
      </c>
      <c r="AE400" s="178"/>
      <c r="AF400" s="143">
        <v>0</v>
      </c>
      <c r="AG400" s="143">
        <v>0</v>
      </c>
      <c r="AH400" s="9">
        <v>0</v>
      </c>
      <c r="AI400" s="8" t="s">
        <v>2050</v>
      </c>
    </row>
    <row r="401" spans="1:35" x14ac:dyDescent="0.2">
      <c r="A401" s="8" t="s">
        <v>1927</v>
      </c>
      <c r="B401" s="8"/>
      <c r="C401" s="8" t="s">
        <v>1928</v>
      </c>
      <c r="D401" s="177" t="s">
        <v>1834</v>
      </c>
      <c r="E401" s="9">
        <v>35.269999999999996</v>
      </c>
      <c r="F401" s="8" t="s">
        <v>1740</v>
      </c>
      <c r="G401" s="10">
        <v>4109</v>
      </c>
      <c r="H401" s="132"/>
      <c r="I401" s="8">
        <v>0</v>
      </c>
      <c r="J401" s="9">
        <v>0</v>
      </c>
      <c r="K401" s="8">
        <v>0</v>
      </c>
      <c r="L401" s="9">
        <f t="shared" si="72"/>
        <v>0</v>
      </c>
      <c r="M401" s="8" t="s">
        <v>2076</v>
      </c>
      <c r="N401" s="132">
        <v>46149</v>
      </c>
      <c r="O401" s="143">
        <v>54</v>
      </c>
      <c r="P401" s="9">
        <v>1.3141883669992698</v>
      </c>
      <c r="Q401" s="143">
        <v>4</v>
      </c>
      <c r="R401" s="9">
        <f t="shared" si="73"/>
        <v>7.4074074074074066</v>
      </c>
      <c r="S401" s="8" t="s">
        <v>2040</v>
      </c>
      <c r="T401" s="132">
        <v>46149</v>
      </c>
      <c r="U401" s="143">
        <v>1187</v>
      </c>
      <c r="V401" s="143">
        <v>25</v>
      </c>
      <c r="W401" s="9">
        <f t="shared" si="78"/>
        <v>2.1061499578770007</v>
      </c>
      <c r="X401" s="8" t="s">
        <v>2049</v>
      </c>
      <c r="Y401" s="178"/>
      <c r="Z401" s="143">
        <v>0</v>
      </c>
      <c r="AA401" s="9">
        <v>0</v>
      </c>
      <c r="AB401" s="143">
        <v>0</v>
      </c>
      <c r="AC401" s="9">
        <v>0</v>
      </c>
      <c r="AD401" s="8" t="s">
        <v>2050</v>
      </c>
      <c r="AE401" s="178"/>
      <c r="AF401" s="143">
        <v>0</v>
      </c>
      <c r="AG401" s="143">
        <v>0</v>
      </c>
      <c r="AH401" s="9">
        <v>0</v>
      </c>
      <c r="AI401" s="8" t="s">
        <v>2050</v>
      </c>
    </row>
    <row r="402" spans="1:35" x14ac:dyDescent="0.2">
      <c r="A402" s="8" t="s">
        <v>1927</v>
      </c>
      <c r="B402" s="8"/>
      <c r="C402" s="8" t="s">
        <v>1928</v>
      </c>
      <c r="D402" s="8" t="s">
        <v>1455</v>
      </c>
      <c r="E402" s="9">
        <v>47.09</v>
      </c>
      <c r="F402" s="8" t="s">
        <v>1740</v>
      </c>
      <c r="G402" s="10">
        <v>5844</v>
      </c>
      <c r="H402" s="132"/>
      <c r="I402" s="8">
        <v>0</v>
      </c>
      <c r="J402" s="9">
        <v>0</v>
      </c>
      <c r="K402" s="8">
        <v>0</v>
      </c>
      <c r="L402" s="9">
        <f t="shared" si="72"/>
        <v>0</v>
      </c>
      <c r="M402" s="8" t="s">
        <v>2076</v>
      </c>
      <c r="N402" s="132"/>
      <c r="O402" s="143">
        <v>0</v>
      </c>
      <c r="P402" s="9">
        <v>0</v>
      </c>
      <c r="Q402" s="143">
        <v>0</v>
      </c>
      <c r="R402" s="9">
        <f t="shared" si="73"/>
        <v>0</v>
      </c>
      <c r="S402" s="8" t="s">
        <v>2050</v>
      </c>
      <c r="T402" s="132"/>
      <c r="U402" s="143">
        <v>0</v>
      </c>
      <c r="V402" s="143">
        <v>0</v>
      </c>
      <c r="W402" s="9">
        <f t="shared" si="78"/>
        <v>0</v>
      </c>
      <c r="X402" s="8" t="s">
        <v>2050</v>
      </c>
      <c r="Y402" s="178"/>
      <c r="Z402" s="143">
        <v>0</v>
      </c>
      <c r="AA402" s="9">
        <v>0</v>
      </c>
      <c r="AB402" s="143">
        <v>0</v>
      </c>
      <c r="AC402" s="9">
        <v>0</v>
      </c>
      <c r="AD402" s="8" t="s">
        <v>2050</v>
      </c>
      <c r="AE402" s="178"/>
      <c r="AF402" s="143">
        <v>0</v>
      </c>
      <c r="AG402" s="143">
        <v>0</v>
      </c>
      <c r="AH402" s="9">
        <v>0</v>
      </c>
      <c r="AI402" s="8" t="s">
        <v>2050</v>
      </c>
    </row>
    <row r="403" spans="1:35" x14ac:dyDescent="0.2">
      <c r="A403" s="8" t="s">
        <v>1927</v>
      </c>
      <c r="B403" s="8"/>
      <c r="C403" s="8" t="s">
        <v>1928</v>
      </c>
      <c r="D403" s="177" t="s">
        <v>1430</v>
      </c>
      <c r="E403" s="9">
        <v>28.35</v>
      </c>
      <c r="F403" s="8" t="s">
        <v>1740</v>
      </c>
      <c r="G403" s="10">
        <v>3662.0000000000005</v>
      </c>
      <c r="H403" s="132"/>
      <c r="I403" s="8">
        <v>0</v>
      </c>
      <c r="J403" s="9">
        <v>0</v>
      </c>
      <c r="K403" s="8">
        <v>0</v>
      </c>
      <c r="L403" s="9">
        <f t="shared" si="72"/>
        <v>0</v>
      </c>
      <c r="M403" s="8" t="s">
        <v>2076</v>
      </c>
      <c r="N403" s="132">
        <v>46150</v>
      </c>
      <c r="O403" s="143">
        <v>102</v>
      </c>
      <c r="P403" s="9">
        <v>2.7853631895139266</v>
      </c>
      <c r="Q403" s="143">
        <v>3</v>
      </c>
      <c r="R403" s="9">
        <f t="shared" si="73"/>
        <v>2.9411764705882351</v>
      </c>
      <c r="S403" s="8" t="s">
        <v>2049</v>
      </c>
      <c r="T403" s="132"/>
      <c r="U403" s="143">
        <v>0</v>
      </c>
      <c r="V403" s="143">
        <v>0</v>
      </c>
      <c r="W403" s="9">
        <f t="shared" si="78"/>
        <v>0</v>
      </c>
      <c r="X403" s="8" t="s">
        <v>2050</v>
      </c>
      <c r="Y403" s="178"/>
      <c r="Z403" s="143">
        <v>0</v>
      </c>
      <c r="AA403" s="9">
        <v>0</v>
      </c>
      <c r="AB403" s="143">
        <v>0</v>
      </c>
      <c r="AC403" s="9">
        <v>0</v>
      </c>
      <c r="AD403" s="8" t="s">
        <v>2050</v>
      </c>
      <c r="AE403" s="178">
        <v>46153</v>
      </c>
      <c r="AF403" s="143">
        <v>486</v>
      </c>
      <c r="AG403" s="143">
        <v>11</v>
      </c>
      <c r="AH403" s="9">
        <v>2.263374485596708</v>
      </c>
      <c r="AI403" s="8" t="s">
        <v>2049</v>
      </c>
    </row>
    <row r="404" spans="1:35" x14ac:dyDescent="0.2">
      <c r="A404" s="8" t="s">
        <v>1927</v>
      </c>
      <c r="B404" s="8"/>
      <c r="C404" s="8" t="s">
        <v>1928</v>
      </c>
      <c r="D404" s="177" t="s">
        <v>1433</v>
      </c>
      <c r="E404" s="9">
        <v>36.25</v>
      </c>
      <c r="F404" s="8" t="s">
        <v>1740</v>
      </c>
      <c r="G404" s="10">
        <v>4035</v>
      </c>
      <c r="H404" s="132">
        <v>46155</v>
      </c>
      <c r="I404" s="8">
        <v>407</v>
      </c>
      <c r="J404" s="9">
        <v>10.086741016109046</v>
      </c>
      <c r="K404" s="8">
        <v>21</v>
      </c>
      <c r="L404" s="9">
        <f t="shared" si="72"/>
        <v>5.1597051597051591</v>
      </c>
      <c r="M404" s="8" t="s">
        <v>2075</v>
      </c>
      <c r="N404" s="132">
        <v>46149</v>
      </c>
      <c r="O404" s="143">
        <v>87</v>
      </c>
      <c r="P404" s="9">
        <v>2.1561338289962824</v>
      </c>
      <c r="Q404" s="143">
        <v>5</v>
      </c>
      <c r="R404" s="9">
        <f t="shared" si="73"/>
        <v>5.7471264367816088</v>
      </c>
      <c r="S404" s="8" t="s">
        <v>2040</v>
      </c>
      <c r="T404" s="132">
        <v>46149</v>
      </c>
      <c r="U404" s="143">
        <v>1157</v>
      </c>
      <c r="V404" s="143">
        <v>30</v>
      </c>
      <c r="W404" s="9">
        <f t="shared" si="78"/>
        <v>2.5929127052722558</v>
      </c>
      <c r="X404" s="8" t="s">
        <v>2049</v>
      </c>
      <c r="Y404" s="178"/>
      <c r="Z404" s="143">
        <v>0</v>
      </c>
      <c r="AA404" s="9">
        <v>0</v>
      </c>
      <c r="AB404" s="143">
        <v>0</v>
      </c>
      <c r="AC404" s="9">
        <v>0</v>
      </c>
      <c r="AD404" s="8" t="s">
        <v>2050</v>
      </c>
      <c r="AE404" s="178">
        <v>46153</v>
      </c>
      <c r="AF404" s="143">
        <v>677</v>
      </c>
      <c r="AG404" s="143">
        <v>18</v>
      </c>
      <c r="AH404" s="9">
        <v>2.6587887740029541</v>
      </c>
      <c r="AI404" s="8" t="s">
        <v>2049</v>
      </c>
    </row>
    <row r="405" spans="1:35" x14ac:dyDescent="0.2">
      <c r="A405" s="8" t="s">
        <v>1927</v>
      </c>
      <c r="B405" s="8"/>
      <c r="C405" s="8" t="s">
        <v>1928</v>
      </c>
      <c r="D405" s="8" t="s">
        <v>1436</v>
      </c>
      <c r="E405" s="9">
        <v>28.34</v>
      </c>
      <c r="F405" s="8" t="s">
        <v>1740</v>
      </c>
      <c r="G405" s="10">
        <v>2649</v>
      </c>
      <c r="H405" s="132"/>
      <c r="I405" s="8">
        <v>0</v>
      </c>
      <c r="J405" s="9">
        <v>0</v>
      </c>
      <c r="K405" s="8">
        <v>0</v>
      </c>
      <c r="L405" s="9">
        <f t="shared" si="72"/>
        <v>0</v>
      </c>
      <c r="M405" s="8" t="s">
        <v>2076</v>
      </c>
      <c r="N405" s="132"/>
      <c r="O405" s="143">
        <v>0</v>
      </c>
      <c r="P405" s="9">
        <v>0</v>
      </c>
      <c r="Q405" s="143">
        <v>0</v>
      </c>
      <c r="R405" s="9">
        <f t="shared" si="73"/>
        <v>0</v>
      </c>
      <c r="S405" s="8" t="s">
        <v>2050</v>
      </c>
      <c r="T405" s="132"/>
      <c r="U405" s="143">
        <v>0</v>
      </c>
      <c r="V405" s="143">
        <v>0</v>
      </c>
      <c r="W405" s="9">
        <f t="shared" si="78"/>
        <v>0</v>
      </c>
      <c r="X405" s="8" t="s">
        <v>2050</v>
      </c>
      <c r="Y405" s="178"/>
      <c r="Z405" s="143">
        <v>0</v>
      </c>
      <c r="AA405" s="9">
        <v>0</v>
      </c>
      <c r="AB405" s="143">
        <v>0</v>
      </c>
      <c r="AC405" s="9">
        <v>0</v>
      </c>
      <c r="AD405" s="8" t="s">
        <v>2050</v>
      </c>
      <c r="AE405" s="178"/>
      <c r="AF405" s="143">
        <v>0</v>
      </c>
      <c r="AG405" s="143">
        <v>0</v>
      </c>
      <c r="AH405" s="9">
        <v>0</v>
      </c>
      <c r="AI405" s="8" t="s">
        <v>2050</v>
      </c>
    </row>
    <row r="406" spans="1:35" x14ac:dyDescent="0.2">
      <c r="A406" s="8" t="s">
        <v>1927</v>
      </c>
      <c r="B406" s="8"/>
      <c r="C406" s="8" t="s">
        <v>1928</v>
      </c>
      <c r="D406" s="8" t="s">
        <v>1438</v>
      </c>
      <c r="E406" s="9">
        <v>31.9</v>
      </c>
      <c r="F406" s="8" t="s">
        <v>1740</v>
      </c>
      <c r="G406" s="10">
        <v>3654</v>
      </c>
      <c r="H406" s="132"/>
      <c r="I406" s="8">
        <v>0</v>
      </c>
      <c r="J406" s="9">
        <v>0</v>
      </c>
      <c r="K406" s="8">
        <v>0</v>
      </c>
      <c r="L406" s="9">
        <f t="shared" si="72"/>
        <v>0</v>
      </c>
      <c r="M406" s="8" t="s">
        <v>2076</v>
      </c>
      <c r="N406" s="132"/>
      <c r="O406" s="143">
        <v>0</v>
      </c>
      <c r="P406" s="9">
        <v>0</v>
      </c>
      <c r="Q406" s="143">
        <v>0</v>
      </c>
      <c r="R406" s="9">
        <f t="shared" si="73"/>
        <v>0</v>
      </c>
      <c r="S406" s="8" t="s">
        <v>2050</v>
      </c>
      <c r="T406" s="132"/>
      <c r="U406" s="143">
        <v>0</v>
      </c>
      <c r="V406" s="143">
        <v>0</v>
      </c>
      <c r="W406" s="9">
        <f t="shared" si="78"/>
        <v>0</v>
      </c>
      <c r="X406" s="8" t="s">
        <v>2050</v>
      </c>
      <c r="Y406" s="178">
        <v>46154</v>
      </c>
      <c r="Z406" s="143">
        <v>108</v>
      </c>
      <c r="AA406" s="9">
        <v>2.9556650246305418</v>
      </c>
      <c r="AB406" s="143">
        <v>4</v>
      </c>
      <c r="AC406" s="9">
        <v>3.7037037037037033</v>
      </c>
      <c r="AD406" s="8" t="s">
        <v>2049</v>
      </c>
      <c r="AE406" s="178"/>
      <c r="AF406" s="143">
        <v>0</v>
      </c>
      <c r="AG406" s="143">
        <v>0</v>
      </c>
      <c r="AH406" s="9">
        <v>0</v>
      </c>
      <c r="AI406" s="8" t="s">
        <v>2050</v>
      </c>
    </row>
    <row r="407" spans="1:35" x14ac:dyDescent="0.2">
      <c r="A407" s="8" t="s">
        <v>1927</v>
      </c>
      <c r="B407" s="8"/>
      <c r="C407" s="8" t="s">
        <v>1928</v>
      </c>
      <c r="D407" s="8" t="s">
        <v>1440</v>
      </c>
      <c r="E407" s="9">
        <v>35.380000000000003</v>
      </c>
      <c r="F407" s="8" t="s">
        <v>1740</v>
      </c>
      <c r="G407" s="10">
        <v>4717</v>
      </c>
      <c r="H407" s="132"/>
      <c r="I407" s="8">
        <v>0</v>
      </c>
      <c r="J407" s="9">
        <v>0</v>
      </c>
      <c r="K407" s="8">
        <v>0</v>
      </c>
      <c r="L407" s="9">
        <f t="shared" si="72"/>
        <v>0</v>
      </c>
      <c r="M407" s="8" t="s">
        <v>2076</v>
      </c>
      <c r="N407" s="132"/>
      <c r="O407" s="143">
        <v>0</v>
      </c>
      <c r="P407" s="9">
        <v>0</v>
      </c>
      <c r="Q407" s="143">
        <v>0</v>
      </c>
      <c r="R407" s="9">
        <f t="shared" si="73"/>
        <v>0</v>
      </c>
      <c r="S407" s="8" t="s">
        <v>2050</v>
      </c>
      <c r="T407" s="132"/>
      <c r="U407" s="143">
        <v>0</v>
      </c>
      <c r="V407" s="143">
        <v>0</v>
      </c>
      <c r="W407" s="9">
        <f t="shared" si="78"/>
        <v>0</v>
      </c>
      <c r="X407" s="8" t="s">
        <v>2050</v>
      </c>
      <c r="Y407" s="178"/>
      <c r="Z407" s="143">
        <v>0</v>
      </c>
      <c r="AA407" s="9">
        <v>0</v>
      </c>
      <c r="AB407" s="143">
        <v>0</v>
      </c>
      <c r="AC407" s="9">
        <v>0</v>
      </c>
      <c r="AD407" s="8" t="s">
        <v>2050</v>
      </c>
      <c r="AE407" s="178">
        <v>46153</v>
      </c>
      <c r="AF407" s="143">
        <v>934</v>
      </c>
      <c r="AG407" s="143">
        <v>12</v>
      </c>
      <c r="AH407" s="9">
        <v>1.2847965738758029</v>
      </c>
      <c r="AI407" s="8" t="s">
        <v>2049</v>
      </c>
    </row>
    <row r="408" spans="1:35" x14ac:dyDescent="0.2">
      <c r="A408" s="8" t="s">
        <v>1927</v>
      </c>
      <c r="B408" s="8"/>
      <c r="C408" s="8" t="s">
        <v>1928</v>
      </c>
      <c r="D408" s="177" t="s">
        <v>1442</v>
      </c>
      <c r="E408" s="9">
        <v>25.740000000000002</v>
      </c>
      <c r="F408" s="8" t="s">
        <v>1740</v>
      </c>
      <c r="G408" s="10">
        <v>3108</v>
      </c>
      <c r="H408" s="132">
        <v>46157</v>
      </c>
      <c r="I408" s="8">
        <v>308</v>
      </c>
      <c r="J408" s="9">
        <v>9.9099099099099099</v>
      </c>
      <c r="K408" s="8">
        <v>27</v>
      </c>
      <c r="L408" s="9">
        <f t="shared" si="72"/>
        <v>8.7662337662337659</v>
      </c>
      <c r="M408" s="8" t="s">
        <v>2075</v>
      </c>
      <c r="N408" s="132">
        <v>46148</v>
      </c>
      <c r="O408" s="143">
        <v>72</v>
      </c>
      <c r="P408" s="9">
        <v>2.3166023166023164</v>
      </c>
      <c r="Q408" s="143">
        <v>7</v>
      </c>
      <c r="R408" s="9">
        <f t="shared" si="73"/>
        <v>9.7222222222222232</v>
      </c>
      <c r="S408" s="8" t="s">
        <v>2040</v>
      </c>
      <c r="T408" s="132">
        <v>46148</v>
      </c>
      <c r="U408" s="143">
        <v>1170</v>
      </c>
      <c r="V408" s="143">
        <v>34</v>
      </c>
      <c r="W408" s="9">
        <f t="shared" si="78"/>
        <v>2.9059829059829059</v>
      </c>
      <c r="X408" s="8" t="s">
        <v>2049</v>
      </c>
      <c r="Y408" s="178"/>
      <c r="Z408" s="143">
        <v>0</v>
      </c>
      <c r="AA408" s="9">
        <v>0</v>
      </c>
      <c r="AB408" s="143">
        <v>0</v>
      </c>
      <c r="AC408" s="9">
        <v>0</v>
      </c>
      <c r="AD408" s="8" t="s">
        <v>2050</v>
      </c>
      <c r="AE408" s="178"/>
      <c r="AF408" s="143">
        <v>0</v>
      </c>
      <c r="AG408" s="143">
        <v>0</v>
      </c>
      <c r="AH408" s="9">
        <v>0</v>
      </c>
      <c r="AI408" s="8" t="s">
        <v>2050</v>
      </c>
    </row>
    <row r="409" spans="1:35" x14ac:dyDescent="0.2">
      <c r="A409" s="8" t="s">
        <v>1927</v>
      </c>
      <c r="B409" s="8"/>
      <c r="C409" s="8" t="s">
        <v>1928</v>
      </c>
      <c r="D409" s="177" t="s">
        <v>1444</v>
      </c>
      <c r="E409" s="9">
        <v>37.43</v>
      </c>
      <c r="F409" s="8" t="s">
        <v>1740</v>
      </c>
      <c r="G409" s="10">
        <v>4585</v>
      </c>
      <c r="H409" s="132"/>
      <c r="I409" s="8">
        <v>0</v>
      </c>
      <c r="J409" s="9">
        <v>0</v>
      </c>
      <c r="K409" s="8">
        <v>0</v>
      </c>
      <c r="L409" s="9">
        <f t="shared" si="72"/>
        <v>0</v>
      </c>
      <c r="M409" s="8" t="s">
        <v>2076</v>
      </c>
      <c r="N409" s="132">
        <v>46148</v>
      </c>
      <c r="O409" s="143">
        <v>66</v>
      </c>
      <c r="P409" s="9">
        <v>1.4394765539803707</v>
      </c>
      <c r="Q409" s="143">
        <v>3</v>
      </c>
      <c r="R409" s="9">
        <f t="shared" si="73"/>
        <v>4.5454545454545459</v>
      </c>
      <c r="S409" s="8" t="s">
        <v>2049</v>
      </c>
      <c r="T409" s="132">
        <v>46148</v>
      </c>
      <c r="U409" s="143">
        <v>938</v>
      </c>
      <c r="V409" s="143">
        <v>22</v>
      </c>
      <c r="W409" s="9">
        <f t="shared" si="78"/>
        <v>2.3454157782515992</v>
      </c>
      <c r="X409" s="8" t="s">
        <v>2049</v>
      </c>
      <c r="Y409" s="178"/>
      <c r="Z409" s="143">
        <v>0</v>
      </c>
      <c r="AA409" s="9">
        <v>0</v>
      </c>
      <c r="AB409" s="143">
        <v>0</v>
      </c>
      <c r="AC409" s="9">
        <v>0</v>
      </c>
      <c r="AD409" s="8" t="s">
        <v>2050</v>
      </c>
      <c r="AE409" s="178"/>
      <c r="AF409" s="143">
        <v>0</v>
      </c>
      <c r="AG409" s="143">
        <v>0</v>
      </c>
      <c r="AH409" s="9">
        <v>0</v>
      </c>
      <c r="AI409" s="8" t="s">
        <v>2050</v>
      </c>
    </row>
    <row r="410" spans="1:35" x14ac:dyDescent="0.2">
      <c r="A410" s="8" t="s">
        <v>1927</v>
      </c>
      <c r="B410" s="8"/>
      <c r="C410" s="8" t="s">
        <v>1928</v>
      </c>
      <c r="D410" s="177" t="s">
        <v>1434</v>
      </c>
      <c r="E410" s="9">
        <v>27.029999999999998</v>
      </c>
      <c r="F410" s="8" t="s">
        <v>1740</v>
      </c>
      <c r="G410" s="10">
        <v>3085</v>
      </c>
      <c r="H410" s="132"/>
      <c r="I410" s="8">
        <v>0</v>
      </c>
      <c r="J410" s="9">
        <v>0</v>
      </c>
      <c r="K410" s="8">
        <v>0</v>
      </c>
      <c r="L410" s="9">
        <f t="shared" si="72"/>
        <v>0</v>
      </c>
      <c r="M410" s="8" t="s">
        <v>2076</v>
      </c>
      <c r="N410" s="132"/>
      <c r="O410" s="143">
        <v>0</v>
      </c>
      <c r="P410" s="9">
        <v>0</v>
      </c>
      <c r="Q410" s="143">
        <v>0</v>
      </c>
      <c r="R410" s="9">
        <f t="shared" si="73"/>
        <v>0</v>
      </c>
      <c r="S410" s="8" t="s">
        <v>2050</v>
      </c>
      <c r="T410" s="132">
        <v>0</v>
      </c>
      <c r="U410" s="143">
        <v>1008</v>
      </c>
      <c r="V410" s="143">
        <v>23</v>
      </c>
      <c r="W410" s="9">
        <f t="shared" si="78"/>
        <v>2.2817460317460316</v>
      </c>
      <c r="X410" s="8" t="s">
        <v>2049</v>
      </c>
      <c r="Y410" s="178">
        <v>46154</v>
      </c>
      <c r="Z410" s="143">
        <v>109</v>
      </c>
      <c r="AA410" s="9">
        <v>3.5332252836304701</v>
      </c>
      <c r="AB410" s="143">
        <v>5</v>
      </c>
      <c r="AC410" s="9">
        <v>4.5871559633027523</v>
      </c>
      <c r="AD410" s="8" t="s">
        <v>2049</v>
      </c>
      <c r="AE410" s="178"/>
      <c r="AF410" s="143">
        <v>0</v>
      </c>
      <c r="AG410" s="143">
        <v>0</v>
      </c>
      <c r="AH410" s="9">
        <v>0</v>
      </c>
      <c r="AI410" s="8" t="s">
        <v>2050</v>
      </c>
    </row>
    <row r="411" spans="1:35" x14ac:dyDescent="0.2">
      <c r="A411" s="8" t="s">
        <v>1927</v>
      </c>
      <c r="B411" s="8"/>
      <c r="C411" s="8" t="s">
        <v>1928</v>
      </c>
      <c r="D411" s="8" t="s">
        <v>1435</v>
      </c>
      <c r="E411" s="9">
        <v>26.560000000000002</v>
      </c>
      <c r="F411" s="8" t="s">
        <v>1740</v>
      </c>
      <c r="G411" s="10">
        <v>2435</v>
      </c>
      <c r="H411" s="132"/>
      <c r="I411" s="8">
        <v>0</v>
      </c>
      <c r="J411" s="9">
        <v>0</v>
      </c>
      <c r="K411" s="8">
        <v>0</v>
      </c>
      <c r="L411" s="9">
        <f t="shared" si="72"/>
        <v>0</v>
      </c>
      <c r="M411" s="8" t="s">
        <v>2076</v>
      </c>
      <c r="N411" s="132"/>
      <c r="O411" s="143">
        <v>0</v>
      </c>
      <c r="P411" s="9">
        <v>0</v>
      </c>
      <c r="Q411" s="143">
        <v>0</v>
      </c>
      <c r="R411" s="9">
        <f t="shared" si="73"/>
        <v>0</v>
      </c>
      <c r="S411" s="8" t="s">
        <v>2050</v>
      </c>
      <c r="T411" s="132"/>
      <c r="U411" s="143">
        <v>0</v>
      </c>
      <c r="V411" s="143">
        <v>0</v>
      </c>
      <c r="W411" s="9">
        <f t="shared" si="78"/>
        <v>0</v>
      </c>
      <c r="X411" s="8" t="s">
        <v>2050</v>
      </c>
      <c r="Y411" s="178"/>
      <c r="Z411" s="143">
        <v>0</v>
      </c>
      <c r="AA411" s="9">
        <v>0</v>
      </c>
      <c r="AB411" s="143">
        <v>0</v>
      </c>
      <c r="AC411" s="9">
        <v>0</v>
      </c>
      <c r="AD411" s="8" t="s">
        <v>2050</v>
      </c>
      <c r="AE411" s="178"/>
      <c r="AF411" s="143">
        <v>0</v>
      </c>
      <c r="AG411" s="143">
        <v>0</v>
      </c>
      <c r="AH411" s="9">
        <v>0</v>
      </c>
      <c r="AI411" s="8" t="s">
        <v>2050</v>
      </c>
    </row>
    <row r="412" spans="1:35" x14ac:dyDescent="0.2">
      <c r="A412" s="8" t="s">
        <v>1927</v>
      </c>
      <c r="B412" s="8"/>
      <c r="C412" s="8" t="s">
        <v>1929</v>
      </c>
      <c r="D412" s="8" t="s">
        <v>1103</v>
      </c>
      <c r="E412" s="9">
        <v>38.840000000000003</v>
      </c>
      <c r="F412" s="8" t="s">
        <v>1740</v>
      </c>
      <c r="G412" s="10">
        <v>5317</v>
      </c>
      <c r="H412" s="132"/>
      <c r="I412" s="8">
        <v>0</v>
      </c>
      <c r="J412" s="9">
        <v>0</v>
      </c>
      <c r="K412" s="8">
        <v>0</v>
      </c>
      <c r="L412" s="9">
        <f t="shared" si="72"/>
        <v>0</v>
      </c>
      <c r="M412" s="8" t="s">
        <v>2076</v>
      </c>
      <c r="N412" s="132"/>
      <c r="O412" s="143">
        <v>0</v>
      </c>
      <c r="P412" s="9">
        <v>0</v>
      </c>
      <c r="Q412" s="143">
        <v>0</v>
      </c>
      <c r="R412" s="9">
        <f t="shared" si="73"/>
        <v>0</v>
      </c>
      <c r="S412" s="8" t="s">
        <v>2050</v>
      </c>
      <c r="T412" s="132"/>
      <c r="U412" s="143">
        <v>0</v>
      </c>
      <c r="V412" s="143">
        <v>0</v>
      </c>
      <c r="W412" s="9">
        <f t="shared" si="78"/>
        <v>0</v>
      </c>
      <c r="X412" s="8" t="s">
        <v>2050</v>
      </c>
      <c r="Y412" s="178">
        <v>46157</v>
      </c>
      <c r="Z412" s="143">
        <v>65</v>
      </c>
      <c r="AA412" s="9">
        <v>1.2224938875305624</v>
      </c>
      <c r="AB412" s="143">
        <v>2</v>
      </c>
      <c r="AC412" s="9">
        <v>3.0769230769230771</v>
      </c>
      <c r="AD412" s="8" t="s">
        <v>2049</v>
      </c>
      <c r="AE412" s="178"/>
      <c r="AF412" s="143">
        <v>0</v>
      </c>
      <c r="AG412" s="143">
        <v>0</v>
      </c>
      <c r="AH412" s="9">
        <v>0</v>
      </c>
      <c r="AI412" s="8" t="s">
        <v>2050</v>
      </c>
    </row>
    <row r="413" spans="1:35" x14ac:dyDescent="0.2">
      <c r="A413" s="8" t="s">
        <v>1927</v>
      </c>
      <c r="B413" s="8"/>
      <c r="C413" s="8" t="s">
        <v>1929</v>
      </c>
      <c r="D413" s="8" t="s">
        <v>1161</v>
      </c>
      <c r="E413" s="9">
        <v>41.849999999999994</v>
      </c>
      <c r="F413" s="8" t="s">
        <v>1740</v>
      </c>
      <c r="G413" s="10">
        <v>4765</v>
      </c>
      <c r="H413" s="132"/>
      <c r="I413" s="8">
        <v>0</v>
      </c>
      <c r="J413" s="9">
        <v>0</v>
      </c>
      <c r="K413" s="8">
        <v>0</v>
      </c>
      <c r="L413" s="9">
        <f t="shared" si="72"/>
        <v>0</v>
      </c>
      <c r="M413" s="8" t="s">
        <v>2076</v>
      </c>
      <c r="N413" s="132"/>
      <c r="O413" s="143">
        <v>0</v>
      </c>
      <c r="P413" s="9">
        <v>0</v>
      </c>
      <c r="Q413" s="143">
        <v>0</v>
      </c>
      <c r="R413" s="9">
        <f t="shared" si="73"/>
        <v>0</v>
      </c>
      <c r="S413" s="8" t="s">
        <v>2050</v>
      </c>
      <c r="T413" s="132"/>
      <c r="U413" s="143">
        <v>0</v>
      </c>
      <c r="V413" s="143">
        <v>0</v>
      </c>
      <c r="W413" s="9">
        <f t="shared" si="78"/>
        <v>0</v>
      </c>
      <c r="X413" s="8" t="s">
        <v>2050</v>
      </c>
      <c r="Y413" s="178"/>
      <c r="Z413" s="143">
        <v>0</v>
      </c>
      <c r="AA413" s="9">
        <v>0</v>
      </c>
      <c r="AB413" s="143">
        <v>0</v>
      </c>
      <c r="AC413" s="9">
        <v>0</v>
      </c>
      <c r="AD413" s="8" t="s">
        <v>2050</v>
      </c>
      <c r="AE413" s="178"/>
      <c r="AF413" s="143">
        <v>0</v>
      </c>
      <c r="AG413" s="143">
        <v>0</v>
      </c>
      <c r="AH413" s="9">
        <v>0</v>
      </c>
      <c r="AI413" s="8" t="s">
        <v>2050</v>
      </c>
    </row>
    <row r="414" spans="1:35" x14ac:dyDescent="0.2">
      <c r="A414" s="8" t="s">
        <v>1927</v>
      </c>
      <c r="B414" s="8"/>
      <c r="C414" s="8" t="s">
        <v>1929</v>
      </c>
      <c r="D414" s="177" t="s">
        <v>1162</v>
      </c>
      <c r="E414" s="9">
        <v>27.48</v>
      </c>
      <c r="F414" s="8" t="s">
        <v>1740</v>
      </c>
      <c r="G414" s="10">
        <v>2571</v>
      </c>
      <c r="H414" s="132">
        <v>46157</v>
      </c>
      <c r="I414" s="8">
        <v>265</v>
      </c>
      <c r="J414" s="9">
        <v>10.307273434461299</v>
      </c>
      <c r="K414" s="8">
        <v>21</v>
      </c>
      <c r="L414" s="9">
        <f t="shared" si="72"/>
        <v>7.9245283018867925</v>
      </c>
      <c r="M414" s="8" t="s">
        <v>2075</v>
      </c>
      <c r="N414" s="132">
        <v>46150</v>
      </c>
      <c r="O414" s="143">
        <v>95</v>
      </c>
      <c r="P414" s="9">
        <v>3.6950602878257488</v>
      </c>
      <c r="Q414" s="143">
        <v>8</v>
      </c>
      <c r="R414" s="9">
        <f t="shared" si="73"/>
        <v>8.4210526315789469</v>
      </c>
      <c r="S414" s="8" t="s">
        <v>2040</v>
      </c>
      <c r="T414" s="132"/>
      <c r="U414" s="143">
        <v>0</v>
      </c>
      <c r="V414" s="143">
        <v>0</v>
      </c>
      <c r="W414" s="9">
        <f t="shared" si="78"/>
        <v>0</v>
      </c>
      <c r="X414" s="8" t="s">
        <v>2050</v>
      </c>
      <c r="Y414" s="178"/>
      <c r="Z414" s="143">
        <v>0</v>
      </c>
      <c r="AA414" s="9">
        <v>0</v>
      </c>
      <c r="AB414" s="143">
        <v>0</v>
      </c>
      <c r="AC414" s="9">
        <v>0</v>
      </c>
      <c r="AD414" s="8" t="s">
        <v>2050</v>
      </c>
      <c r="AE414" s="178"/>
      <c r="AF414" s="143">
        <v>0</v>
      </c>
      <c r="AG414" s="143">
        <v>0</v>
      </c>
      <c r="AH414" s="9">
        <v>0</v>
      </c>
      <c r="AI414" s="8" t="s">
        <v>2050</v>
      </c>
    </row>
    <row r="415" spans="1:35" x14ac:dyDescent="0.2">
      <c r="A415" s="8" t="s">
        <v>1927</v>
      </c>
      <c r="B415" s="8"/>
      <c r="C415" s="8" t="s">
        <v>1929</v>
      </c>
      <c r="D415" s="177" t="s">
        <v>1098</v>
      </c>
      <c r="E415" s="9">
        <v>34.270000000000003</v>
      </c>
      <c r="F415" s="8" t="s">
        <v>1740</v>
      </c>
      <c r="G415" s="10">
        <v>3799</v>
      </c>
      <c r="H415" s="132"/>
      <c r="I415" s="8">
        <v>0</v>
      </c>
      <c r="J415" s="9">
        <v>0</v>
      </c>
      <c r="K415" s="8">
        <v>0</v>
      </c>
      <c r="L415" s="9">
        <f t="shared" si="72"/>
        <v>0</v>
      </c>
      <c r="M415" s="8" t="s">
        <v>2076</v>
      </c>
      <c r="N415" s="132">
        <v>46150</v>
      </c>
      <c r="O415" s="143">
        <v>118</v>
      </c>
      <c r="P415" s="9">
        <v>3.1060805475125033</v>
      </c>
      <c r="Q415" s="143">
        <v>2</v>
      </c>
      <c r="R415" s="9">
        <f t="shared" si="73"/>
        <v>1.6949152542372881</v>
      </c>
      <c r="S415" s="8" t="s">
        <v>2049</v>
      </c>
      <c r="T415" s="132"/>
      <c r="U415" s="143">
        <v>0</v>
      </c>
      <c r="V415" s="143">
        <v>0</v>
      </c>
      <c r="W415" s="9">
        <f t="shared" si="78"/>
        <v>0</v>
      </c>
      <c r="X415" s="8" t="s">
        <v>2050</v>
      </c>
      <c r="Y415" s="178"/>
      <c r="Z415" s="143">
        <v>0</v>
      </c>
      <c r="AA415" s="9">
        <v>0</v>
      </c>
      <c r="AB415" s="143">
        <v>0</v>
      </c>
      <c r="AC415" s="9">
        <v>0</v>
      </c>
      <c r="AD415" s="8" t="s">
        <v>2050</v>
      </c>
      <c r="AE415" s="178"/>
      <c r="AF415" s="143">
        <v>0</v>
      </c>
      <c r="AG415" s="143">
        <v>0</v>
      </c>
      <c r="AH415" s="9">
        <v>0</v>
      </c>
      <c r="AI415" s="8" t="s">
        <v>2050</v>
      </c>
    </row>
    <row r="416" spans="1:35" x14ac:dyDescent="0.2">
      <c r="A416" s="8" t="s">
        <v>1927</v>
      </c>
      <c r="B416" s="8"/>
      <c r="C416" s="8" t="s">
        <v>1929</v>
      </c>
      <c r="D416" s="8" t="s">
        <v>1138</v>
      </c>
      <c r="E416" s="9">
        <v>41.88</v>
      </c>
      <c r="F416" s="8" t="s">
        <v>1740</v>
      </c>
      <c r="G416" s="10">
        <v>5052</v>
      </c>
      <c r="H416" s="132"/>
      <c r="I416" s="8">
        <v>0</v>
      </c>
      <c r="J416" s="9">
        <v>0</v>
      </c>
      <c r="K416" s="8">
        <v>0</v>
      </c>
      <c r="L416" s="9">
        <f t="shared" si="72"/>
        <v>0</v>
      </c>
      <c r="M416" s="8" t="s">
        <v>2076</v>
      </c>
      <c r="N416" s="132"/>
      <c r="O416" s="143">
        <v>0</v>
      </c>
      <c r="P416" s="9">
        <v>0</v>
      </c>
      <c r="Q416" s="143">
        <v>0</v>
      </c>
      <c r="R416" s="9">
        <f t="shared" si="73"/>
        <v>0</v>
      </c>
      <c r="S416" s="8" t="s">
        <v>2050</v>
      </c>
      <c r="T416" s="132"/>
      <c r="U416" s="143">
        <v>0</v>
      </c>
      <c r="V416" s="143">
        <v>0</v>
      </c>
      <c r="W416" s="9">
        <f t="shared" si="78"/>
        <v>0</v>
      </c>
      <c r="X416" s="8" t="s">
        <v>2050</v>
      </c>
      <c r="Y416" s="178"/>
      <c r="Z416" s="143">
        <v>0</v>
      </c>
      <c r="AA416" s="9">
        <v>0</v>
      </c>
      <c r="AB416" s="143">
        <v>0</v>
      </c>
      <c r="AC416" s="9">
        <v>0</v>
      </c>
      <c r="AD416" s="8" t="s">
        <v>2050</v>
      </c>
      <c r="AE416" s="178">
        <v>46153</v>
      </c>
      <c r="AF416" s="143">
        <v>2157</v>
      </c>
      <c r="AG416" s="143">
        <v>39</v>
      </c>
      <c r="AH416" s="9">
        <v>1.8080667593880391</v>
      </c>
      <c r="AI416" s="8" t="s">
        <v>2049</v>
      </c>
    </row>
    <row r="417" spans="1:35" x14ac:dyDescent="0.2">
      <c r="A417" s="8" t="s">
        <v>1927</v>
      </c>
      <c r="B417" s="8"/>
      <c r="C417" s="8" t="s">
        <v>1929</v>
      </c>
      <c r="D417" s="177" t="s">
        <v>1437</v>
      </c>
      <c r="E417" s="9">
        <v>39.36</v>
      </c>
      <c r="F417" s="8" t="s">
        <v>1740</v>
      </c>
      <c r="G417" s="10">
        <v>4067</v>
      </c>
      <c r="H417" s="132"/>
      <c r="I417" s="8">
        <v>0</v>
      </c>
      <c r="J417" s="9">
        <v>0</v>
      </c>
      <c r="K417" s="8">
        <v>0</v>
      </c>
      <c r="L417" s="9">
        <f t="shared" si="72"/>
        <v>0</v>
      </c>
      <c r="M417" s="8" t="s">
        <v>2076</v>
      </c>
      <c r="N417" s="132">
        <v>46148</v>
      </c>
      <c r="O417" s="143">
        <v>81</v>
      </c>
      <c r="P417" s="9">
        <v>1.9916400295057781</v>
      </c>
      <c r="Q417" s="143">
        <v>3</v>
      </c>
      <c r="R417" s="9">
        <f t="shared" si="73"/>
        <v>3.7037037037037033</v>
      </c>
      <c r="S417" s="8" t="s">
        <v>2049</v>
      </c>
      <c r="T417" s="132">
        <v>46148</v>
      </c>
      <c r="U417" s="143">
        <v>1375</v>
      </c>
      <c r="V417" s="143">
        <v>49</v>
      </c>
      <c r="W417" s="9">
        <f t="shared" si="78"/>
        <v>3.5636363636363639</v>
      </c>
      <c r="X417" s="8" t="s">
        <v>2049</v>
      </c>
      <c r="Y417" s="178"/>
      <c r="Z417" s="143">
        <v>0</v>
      </c>
      <c r="AA417" s="9">
        <v>0</v>
      </c>
      <c r="AB417" s="143">
        <v>0</v>
      </c>
      <c r="AC417" s="9">
        <v>0</v>
      </c>
      <c r="AD417" s="8" t="s">
        <v>2050</v>
      </c>
      <c r="AE417" s="178"/>
      <c r="AF417" s="143">
        <v>0</v>
      </c>
      <c r="AG417" s="143">
        <v>0</v>
      </c>
      <c r="AH417" s="9">
        <v>0</v>
      </c>
      <c r="AI417" s="8" t="s">
        <v>2050</v>
      </c>
    </row>
    <row r="418" spans="1:35" x14ac:dyDescent="0.2">
      <c r="A418" s="8" t="s">
        <v>1927</v>
      </c>
      <c r="B418" s="8"/>
      <c r="C418" s="8" t="s">
        <v>1929</v>
      </c>
      <c r="D418" s="177" t="s">
        <v>1096</v>
      </c>
      <c r="E418" s="9">
        <v>30.76</v>
      </c>
      <c r="F418" s="8" t="s">
        <v>1740</v>
      </c>
      <c r="G418" s="10">
        <v>2660</v>
      </c>
      <c r="H418" s="132">
        <v>46154</v>
      </c>
      <c r="I418" s="8">
        <v>281</v>
      </c>
      <c r="J418" s="9">
        <v>10.563909774436091</v>
      </c>
      <c r="K418" s="8">
        <v>116</v>
      </c>
      <c r="L418" s="9">
        <f t="shared" si="72"/>
        <v>41.281138790035584</v>
      </c>
      <c r="M418" s="8" t="s">
        <v>2075</v>
      </c>
      <c r="N418" s="132">
        <v>46148</v>
      </c>
      <c r="O418" s="143">
        <v>41</v>
      </c>
      <c r="P418" s="9">
        <v>1.5413533834586466</v>
      </c>
      <c r="Q418" s="143">
        <v>18</v>
      </c>
      <c r="R418" s="9">
        <f t="shared" si="73"/>
        <v>43.902439024390247</v>
      </c>
      <c r="S418" s="8" t="s">
        <v>2040</v>
      </c>
      <c r="T418" s="132"/>
      <c r="U418" s="143">
        <v>0</v>
      </c>
      <c r="V418" s="143">
        <v>0</v>
      </c>
      <c r="W418" s="9">
        <f t="shared" si="78"/>
        <v>0</v>
      </c>
      <c r="X418" s="8" t="s">
        <v>2050</v>
      </c>
      <c r="Y418" s="178"/>
      <c r="Z418" s="143">
        <v>0</v>
      </c>
      <c r="AA418" s="9">
        <v>0</v>
      </c>
      <c r="AB418" s="143">
        <v>0</v>
      </c>
      <c r="AC418" s="9">
        <v>0</v>
      </c>
      <c r="AD418" s="8" t="s">
        <v>2050</v>
      </c>
      <c r="AE418" s="178"/>
      <c r="AF418" s="143">
        <v>0</v>
      </c>
      <c r="AG418" s="143">
        <v>0</v>
      </c>
      <c r="AH418" s="9">
        <v>0</v>
      </c>
      <c r="AI418" s="8" t="s">
        <v>2050</v>
      </c>
    </row>
    <row r="419" spans="1:35" x14ac:dyDescent="0.2">
      <c r="A419" s="8" t="s">
        <v>1927</v>
      </c>
      <c r="B419" s="8"/>
      <c r="C419" s="8" t="s">
        <v>1929</v>
      </c>
      <c r="D419" s="8" t="s">
        <v>1930</v>
      </c>
      <c r="E419" s="9">
        <v>34.93</v>
      </c>
      <c r="F419" s="8" t="s">
        <v>1740</v>
      </c>
      <c r="G419" s="10">
        <v>3831</v>
      </c>
      <c r="H419" s="132"/>
      <c r="I419" s="8">
        <v>0</v>
      </c>
      <c r="J419" s="9">
        <v>0</v>
      </c>
      <c r="K419" s="8">
        <v>0</v>
      </c>
      <c r="L419" s="9">
        <f t="shared" si="72"/>
        <v>0</v>
      </c>
      <c r="M419" s="8" t="s">
        <v>2076</v>
      </c>
      <c r="N419" s="132"/>
      <c r="O419" s="143">
        <v>0</v>
      </c>
      <c r="P419" s="9">
        <v>0</v>
      </c>
      <c r="Q419" s="143">
        <v>0</v>
      </c>
      <c r="R419" s="9">
        <f t="shared" si="73"/>
        <v>0</v>
      </c>
      <c r="S419" s="8" t="s">
        <v>2050</v>
      </c>
      <c r="T419" s="132"/>
      <c r="U419" s="143">
        <v>0</v>
      </c>
      <c r="V419" s="143">
        <v>0</v>
      </c>
      <c r="W419" s="9">
        <f t="shared" si="78"/>
        <v>0</v>
      </c>
      <c r="X419" s="8" t="s">
        <v>2050</v>
      </c>
      <c r="Y419" s="178">
        <v>46154</v>
      </c>
      <c r="Z419" s="143">
        <v>77</v>
      </c>
      <c r="AA419" s="9">
        <v>2.0099190811798486</v>
      </c>
      <c r="AB419" s="143">
        <v>2</v>
      </c>
      <c r="AC419" s="9">
        <v>2.5974025974025974</v>
      </c>
      <c r="AD419" s="8" t="s">
        <v>2049</v>
      </c>
      <c r="AE419" s="178"/>
      <c r="AF419" s="143">
        <v>0</v>
      </c>
      <c r="AG419" s="143">
        <v>0</v>
      </c>
      <c r="AH419" s="9">
        <v>0</v>
      </c>
      <c r="AI419" s="8" t="s">
        <v>2050</v>
      </c>
    </row>
    <row r="420" spans="1:35" x14ac:dyDescent="0.2">
      <c r="A420" s="8" t="s">
        <v>1927</v>
      </c>
      <c r="B420" s="8"/>
      <c r="C420" s="8" t="s">
        <v>1929</v>
      </c>
      <c r="D420" s="177" t="s">
        <v>1087</v>
      </c>
      <c r="E420" s="9">
        <v>29.18</v>
      </c>
      <c r="F420" s="8" t="s">
        <v>1740</v>
      </c>
      <c r="G420" s="10">
        <v>2366</v>
      </c>
      <c r="H420" s="132">
        <v>46153</v>
      </c>
      <c r="I420" s="8">
        <v>248</v>
      </c>
      <c r="J420" s="9">
        <v>10.48182586644125</v>
      </c>
      <c r="K420" s="8">
        <v>42</v>
      </c>
      <c r="L420" s="9">
        <f t="shared" si="72"/>
        <v>16.93548387096774</v>
      </c>
      <c r="M420" s="8" t="s">
        <v>2075</v>
      </c>
      <c r="N420" s="132">
        <v>46149</v>
      </c>
      <c r="O420" s="143">
        <v>54</v>
      </c>
      <c r="P420" s="9">
        <v>2.2823330515638207</v>
      </c>
      <c r="Q420" s="143">
        <v>9</v>
      </c>
      <c r="R420" s="9">
        <f t="shared" si="73"/>
        <v>16.666666666666664</v>
      </c>
      <c r="S420" s="8" t="s">
        <v>2040</v>
      </c>
      <c r="T420" s="132">
        <v>46149</v>
      </c>
      <c r="U420" s="143">
        <v>186</v>
      </c>
      <c r="V420" s="143">
        <v>4</v>
      </c>
      <c r="W420" s="9">
        <f t="shared" si="78"/>
        <v>2.1505376344086025</v>
      </c>
      <c r="X420" s="8" t="s">
        <v>2049</v>
      </c>
      <c r="Y420" s="178"/>
      <c r="Z420" s="143">
        <v>0</v>
      </c>
      <c r="AA420" s="9">
        <v>0</v>
      </c>
      <c r="AB420" s="143">
        <v>0</v>
      </c>
      <c r="AC420" s="9">
        <v>0</v>
      </c>
      <c r="AD420" s="8" t="s">
        <v>2050</v>
      </c>
      <c r="AE420" s="178"/>
      <c r="AF420" s="143">
        <v>0</v>
      </c>
      <c r="AG420" s="143">
        <v>0</v>
      </c>
      <c r="AH420" s="9">
        <v>0</v>
      </c>
      <c r="AI420" s="8" t="s">
        <v>2050</v>
      </c>
    </row>
    <row r="421" spans="1:35" x14ac:dyDescent="0.2">
      <c r="A421" s="8" t="s">
        <v>1927</v>
      </c>
      <c r="B421" s="8"/>
      <c r="C421" s="8" t="s">
        <v>1929</v>
      </c>
      <c r="D421" s="8" t="s">
        <v>1099</v>
      </c>
      <c r="E421" s="9">
        <v>54.219999999999992</v>
      </c>
      <c r="F421" s="8" t="s">
        <v>1740</v>
      </c>
      <c r="G421" s="10">
        <v>3877</v>
      </c>
      <c r="H421" s="132"/>
      <c r="I421" s="8">
        <v>0</v>
      </c>
      <c r="J421" s="9">
        <v>0</v>
      </c>
      <c r="K421" s="8">
        <v>0</v>
      </c>
      <c r="L421" s="9">
        <f t="shared" si="72"/>
        <v>0</v>
      </c>
      <c r="M421" s="8" t="s">
        <v>2076</v>
      </c>
      <c r="N421" s="132"/>
      <c r="O421" s="143">
        <v>0</v>
      </c>
      <c r="P421" s="9">
        <v>0</v>
      </c>
      <c r="Q421" s="143">
        <v>0</v>
      </c>
      <c r="R421" s="9">
        <f t="shared" si="73"/>
        <v>0</v>
      </c>
      <c r="S421" s="8" t="s">
        <v>2050</v>
      </c>
      <c r="T421" s="132"/>
      <c r="U421" s="143">
        <v>0</v>
      </c>
      <c r="V421" s="143">
        <v>0</v>
      </c>
      <c r="W421" s="9">
        <f t="shared" si="78"/>
        <v>0</v>
      </c>
      <c r="X421" s="8" t="s">
        <v>2050</v>
      </c>
      <c r="Y421" s="178"/>
      <c r="Z421" s="143">
        <v>0</v>
      </c>
      <c r="AA421" s="9">
        <v>0</v>
      </c>
      <c r="AB421" s="143">
        <v>0</v>
      </c>
      <c r="AC421" s="9">
        <v>0</v>
      </c>
      <c r="AD421" s="8" t="s">
        <v>2050</v>
      </c>
      <c r="AE421" s="178"/>
      <c r="AF421" s="143">
        <v>0</v>
      </c>
      <c r="AG421" s="143">
        <v>0</v>
      </c>
      <c r="AH421" s="9">
        <v>0</v>
      </c>
      <c r="AI421" s="8" t="s">
        <v>2050</v>
      </c>
    </row>
    <row r="422" spans="1:35" x14ac:dyDescent="0.2">
      <c r="A422" s="8" t="s">
        <v>1927</v>
      </c>
      <c r="B422" s="8"/>
      <c r="C422" s="8" t="s">
        <v>1929</v>
      </c>
      <c r="D422" s="8" t="s">
        <v>1104</v>
      </c>
      <c r="E422" s="9">
        <v>35.800000000000004</v>
      </c>
      <c r="F422" s="8" t="s">
        <v>1740</v>
      </c>
      <c r="G422" s="10">
        <v>3670</v>
      </c>
      <c r="H422" s="132"/>
      <c r="I422" s="8">
        <v>0</v>
      </c>
      <c r="J422" s="9">
        <v>0</v>
      </c>
      <c r="K422" s="8">
        <v>0</v>
      </c>
      <c r="L422" s="9">
        <f t="shared" si="72"/>
        <v>0</v>
      </c>
      <c r="M422" s="8" t="s">
        <v>2076</v>
      </c>
      <c r="N422" s="132"/>
      <c r="O422" s="143">
        <v>0</v>
      </c>
      <c r="P422" s="9">
        <v>0</v>
      </c>
      <c r="Q422" s="143">
        <v>0</v>
      </c>
      <c r="R422" s="9">
        <f t="shared" si="73"/>
        <v>0</v>
      </c>
      <c r="S422" s="8" t="s">
        <v>2050</v>
      </c>
      <c r="T422" s="132"/>
      <c r="U422" s="143">
        <v>0</v>
      </c>
      <c r="V422" s="143">
        <v>0</v>
      </c>
      <c r="W422" s="9">
        <f t="shared" si="78"/>
        <v>0</v>
      </c>
      <c r="X422" s="8" t="s">
        <v>2050</v>
      </c>
      <c r="Y422" s="178"/>
      <c r="Z422" s="143">
        <v>0</v>
      </c>
      <c r="AA422" s="9">
        <v>0</v>
      </c>
      <c r="AB422" s="143">
        <v>0</v>
      </c>
      <c r="AC422" s="9">
        <v>0</v>
      </c>
      <c r="AD422" s="8" t="s">
        <v>2050</v>
      </c>
      <c r="AE422" s="178"/>
      <c r="AF422" s="143">
        <v>0</v>
      </c>
      <c r="AG422" s="143">
        <v>0</v>
      </c>
      <c r="AH422" s="9">
        <v>0</v>
      </c>
      <c r="AI422" s="8" t="s">
        <v>2050</v>
      </c>
    </row>
    <row r="423" spans="1:35" x14ac:dyDescent="0.2">
      <c r="A423" s="8" t="s">
        <v>1927</v>
      </c>
      <c r="B423" s="8"/>
      <c r="C423" s="8" t="s">
        <v>1929</v>
      </c>
      <c r="D423" s="177" t="s">
        <v>1445</v>
      </c>
      <c r="E423" s="9">
        <v>23.689999999999998</v>
      </c>
      <c r="F423" s="8" t="s">
        <v>1740</v>
      </c>
      <c r="G423" s="10">
        <v>2155</v>
      </c>
      <c r="H423" s="132">
        <v>46154</v>
      </c>
      <c r="I423" s="8">
        <v>233</v>
      </c>
      <c r="J423" s="9">
        <v>10.812064965197216</v>
      </c>
      <c r="K423" s="8">
        <v>91</v>
      </c>
      <c r="L423" s="9">
        <f t="shared" si="72"/>
        <v>39.055793991416309</v>
      </c>
      <c r="M423" s="8" t="s">
        <v>2075</v>
      </c>
      <c r="N423" s="132">
        <v>46148</v>
      </c>
      <c r="O423" s="143">
        <v>27</v>
      </c>
      <c r="P423" s="9">
        <v>1.2529002320185616</v>
      </c>
      <c r="Q423" s="143">
        <v>11</v>
      </c>
      <c r="R423" s="9">
        <f t="shared" si="73"/>
        <v>40.74074074074074</v>
      </c>
      <c r="S423" s="8" t="s">
        <v>2040</v>
      </c>
      <c r="T423" s="132"/>
      <c r="U423" s="143">
        <v>0</v>
      </c>
      <c r="V423" s="143">
        <v>0</v>
      </c>
      <c r="W423" s="9">
        <f t="shared" si="78"/>
        <v>0</v>
      </c>
      <c r="X423" s="8" t="s">
        <v>2050</v>
      </c>
      <c r="Y423" s="178"/>
      <c r="Z423" s="143">
        <v>0</v>
      </c>
      <c r="AA423" s="9">
        <v>0</v>
      </c>
      <c r="AB423" s="143">
        <v>0</v>
      </c>
      <c r="AC423" s="9">
        <v>0</v>
      </c>
      <c r="AD423" s="8" t="s">
        <v>2050</v>
      </c>
      <c r="AE423" s="178">
        <v>46153</v>
      </c>
      <c r="AF423" s="143">
        <v>1247</v>
      </c>
      <c r="AG423" s="143">
        <v>22</v>
      </c>
      <c r="AH423" s="9">
        <v>1.7642341619887731</v>
      </c>
      <c r="AI423" s="8" t="s">
        <v>2049</v>
      </c>
    </row>
    <row r="424" spans="1:35" x14ac:dyDescent="0.2">
      <c r="A424" s="8" t="s">
        <v>1927</v>
      </c>
      <c r="B424" s="8"/>
      <c r="C424" s="8" t="s">
        <v>1931</v>
      </c>
      <c r="D424" s="177" t="s">
        <v>1181</v>
      </c>
      <c r="E424" s="9">
        <v>39.369999999999997</v>
      </c>
      <c r="F424" s="8" t="s">
        <v>1740</v>
      </c>
      <c r="G424" s="10">
        <v>4222</v>
      </c>
      <c r="H424" s="132"/>
      <c r="I424" s="8">
        <v>0</v>
      </c>
      <c r="J424" s="9">
        <v>0</v>
      </c>
      <c r="K424" s="8">
        <v>0</v>
      </c>
      <c r="L424" s="9">
        <f t="shared" si="72"/>
        <v>0</v>
      </c>
      <c r="M424" s="8" t="s">
        <v>2076</v>
      </c>
      <c r="N424" s="132">
        <v>46148</v>
      </c>
      <c r="O424" s="143">
        <v>192</v>
      </c>
      <c r="P424" s="9">
        <v>4.5476077688299386</v>
      </c>
      <c r="Q424" s="143">
        <v>5</v>
      </c>
      <c r="R424" s="9">
        <f t="shared" si="73"/>
        <v>2.604166666666667</v>
      </c>
      <c r="S424" s="8" t="s">
        <v>2049</v>
      </c>
      <c r="T424" s="132">
        <v>46148</v>
      </c>
      <c r="U424" s="143">
        <v>582</v>
      </c>
      <c r="V424" s="143">
        <v>10</v>
      </c>
      <c r="W424" s="9">
        <f t="shared" si="78"/>
        <v>1.7182130584192441</v>
      </c>
      <c r="X424" s="8" t="s">
        <v>2049</v>
      </c>
      <c r="Y424" s="178"/>
      <c r="Z424" s="143">
        <v>0</v>
      </c>
      <c r="AA424" s="9">
        <v>0</v>
      </c>
      <c r="AB424" s="143">
        <v>0</v>
      </c>
      <c r="AC424" s="9">
        <v>0</v>
      </c>
      <c r="AD424" s="8" t="s">
        <v>2050</v>
      </c>
      <c r="AE424" s="178"/>
      <c r="AF424" s="143">
        <v>0</v>
      </c>
      <c r="AG424" s="143">
        <v>0</v>
      </c>
      <c r="AH424" s="9">
        <v>0</v>
      </c>
      <c r="AI424" s="8" t="s">
        <v>2050</v>
      </c>
    </row>
    <row r="425" spans="1:35" x14ac:dyDescent="0.2">
      <c r="A425" s="8" t="s">
        <v>1927</v>
      </c>
      <c r="B425" s="8"/>
      <c r="C425" s="8" t="s">
        <v>1931</v>
      </c>
      <c r="D425" s="177" t="s">
        <v>1184</v>
      </c>
      <c r="E425" s="9">
        <v>31.349999999999998</v>
      </c>
      <c r="F425" s="8" t="s">
        <v>1740</v>
      </c>
      <c r="G425" s="10">
        <v>3951</v>
      </c>
      <c r="H425" s="132">
        <v>46154</v>
      </c>
      <c r="I425" s="8">
        <v>390</v>
      </c>
      <c r="J425" s="9">
        <v>9.8709187547456327</v>
      </c>
      <c r="K425" s="8">
        <v>66</v>
      </c>
      <c r="L425" s="9">
        <f t="shared" si="72"/>
        <v>16.923076923076923</v>
      </c>
      <c r="M425" s="8" t="s">
        <v>2075</v>
      </c>
      <c r="N425" s="132">
        <v>46148</v>
      </c>
      <c r="O425" s="143">
        <v>106</v>
      </c>
      <c r="P425" s="9">
        <v>2.6828650974436852</v>
      </c>
      <c r="Q425" s="143">
        <v>23</v>
      </c>
      <c r="R425" s="9">
        <f t="shared" si="73"/>
        <v>21.69811320754717</v>
      </c>
      <c r="S425" s="8" t="s">
        <v>2040</v>
      </c>
      <c r="T425" s="132">
        <v>46148</v>
      </c>
      <c r="U425" s="143">
        <v>1435</v>
      </c>
      <c r="V425" s="143">
        <v>60</v>
      </c>
      <c r="W425" s="9">
        <f t="shared" si="78"/>
        <v>4.1811846689895473</v>
      </c>
      <c r="X425" s="8" t="s">
        <v>2049</v>
      </c>
      <c r="Y425" s="178"/>
      <c r="Z425" s="143">
        <v>0</v>
      </c>
      <c r="AA425" s="9">
        <v>0</v>
      </c>
      <c r="AB425" s="143">
        <v>0</v>
      </c>
      <c r="AC425" s="9">
        <v>0</v>
      </c>
      <c r="AD425" s="8" t="s">
        <v>2050</v>
      </c>
      <c r="AE425" s="178"/>
      <c r="AF425" s="143">
        <v>0</v>
      </c>
      <c r="AG425" s="143">
        <v>0</v>
      </c>
      <c r="AH425" s="9">
        <v>0</v>
      </c>
      <c r="AI425" s="8" t="s">
        <v>2050</v>
      </c>
    </row>
    <row r="426" spans="1:35" x14ac:dyDescent="0.2">
      <c r="A426" s="8" t="s">
        <v>1927</v>
      </c>
      <c r="B426" s="8"/>
      <c r="C426" s="8" t="s">
        <v>1931</v>
      </c>
      <c r="D426" s="177" t="s">
        <v>1229</v>
      </c>
      <c r="E426" s="9">
        <v>37.74</v>
      </c>
      <c r="F426" s="8" t="s">
        <v>1740</v>
      </c>
      <c r="G426" s="10">
        <v>4638</v>
      </c>
      <c r="H426" s="132">
        <v>46155</v>
      </c>
      <c r="I426" s="8">
        <v>432</v>
      </c>
      <c r="J426" s="9">
        <v>9.3143596377749027</v>
      </c>
      <c r="K426" s="8">
        <v>34</v>
      </c>
      <c r="L426" s="9">
        <f t="shared" si="72"/>
        <v>7.8703703703703702</v>
      </c>
      <c r="M426" s="8" t="s">
        <v>2075</v>
      </c>
      <c r="N426" s="132"/>
      <c r="O426" s="143">
        <v>0</v>
      </c>
      <c r="P426" s="9">
        <v>0</v>
      </c>
      <c r="Q426" s="143">
        <v>0</v>
      </c>
      <c r="R426" s="9">
        <f t="shared" si="73"/>
        <v>0</v>
      </c>
      <c r="S426" s="8" t="s">
        <v>2050</v>
      </c>
      <c r="T426" s="132"/>
      <c r="U426" s="143">
        <v>0</v>
      </c>
      <c r="V426" s="143">
        <v>0</v>
      </c>
      <c r="W426" s="9">
        <f t="shared" si="78"/>
        <v>0</v>
      </c>
      <c r="X426" s="8" t="s">
        <v>2050</v>
      </c>
      <c r="Y426" s="178"/>
      <c r="Z426" s="143">
        <v>0</v>
      </c>
      <c r="AA426" s="9">
        <v>0</v>
      </c>
      <c r="AB426" s="143">
        <v>0</v>
      </c>
      <c r="AC426" s="9">
        <v>0</v>
      </c>
      <c r="AD426" s="8" t="s">
        <v>2050</v>
      </c>
      <c r="AE426" s="178"/>
      <c r="AF426" s="143">
        <v>0</v>
      </c>
      <c r="AG426" s="143">
        <v>0</v>
      </c>
      <c r="AH426" s="9">
        <v>0</v>
      </c>
      <c r="AI426" s="8" t="s">
        <v>2050</v>
      </c>
    </row>
    <row r="427" spans="1:35" x14ac:dyDescent="0.2">
      <c r="A427" s="8" t="s">
        <v>1927</v>
      </c>
      <c r="B427" s="8"/>
      <c r="C427" s="8" t="s">
        <v>1931</v>
      </c>
      <c r="D427" s="177" t="s">
        <v>1193</v>
      </c>
      <c r="E427" s="9">
        <v>34.589999999999996</v>
      </c>
      <c r="F427" s="8" t="s">
        <v>1740</v>
      </c>
      <c r="G427" s="10">
        <v>4654.9999999999991</v>
      </c>
      <c r="H427" s="132">
        <v>46155</v>
      </c>
      <c r="I427" s="8">
        <v>467</v>
      </c>
      <c r="J427" s="9">
        <v>10.032223415682063</v>
      </c>
      <c r="K427" s="8">
        <v>24</v>
      </c>
      <c r="L427" s="9">
        <f t="shared" si="72"/>
        <v>5.1391862955032117</v>
      </c>
      <c r="M427" s="8" t="s">
        <v>2075</v>
      </c>
      <c r="N427" s="132"/>
      <c r="O427" s="143">
        <v>0</v>
      </c>
      <c r="P427" s="9">
        <v>0</v>
      </c>
      <c r="Q427" s="143">
        <v>0</v>
      </c>
      <c r="R427" s="9">
        <f t="shared" si="73"/>
        <v>0</v>
      </c>
      <c r="S427" s="8" t="s">
        <v>2050</v>
      </c>
      <c r="T427" s="132"/>
      <c r="U427" s="143">
        <v>0</v>
      </c>
      <c r="V427" s="143">
        <v>0</v>
      </c>
      <c r="W427" s="9">
        <f t="shared" si="78"/>
        <v>0</v>
      </c>
      <c r="X427" s="8" t="s">
        <v>2050</v>
      </c>
      <c r="Y427" s="178">
        <v>46154</v>
      </c>
      <c r="Z427" s="143">
        <v>164</v>
      </c>
      <c r="AA427" s="9">
        <v>3.5230934479054787</v>
      </c>
      <c r="AB427" s="143">
        <v>11</v>
      </c>
      <c r="AC427" s="9">
        <v>6.7073170731707323</v>
      </c>
      <c r="AD427" s="8" t="s">
        <v>2040</v>
      </c>
      <c r="AE427" s="178">
        <v>46153</v>
      </c>
      <c r="AF427" s="143">
        <v>1446</v>
      </c>
      <c r="AG427" s="143">
        <v>20</v>
      </c>
      <c r="AH427" s="9">
        <v>1.3831258644536653</v>
      </c>
      <c r="AI427" s="8" t="s">
        <v>2049</v>
      </c>
    </row>
    <row r="428" spans="1:35" x14ac:dyDescent="0.2">
      <c r="A428" s="8" t="s">
        <v>1927</v>
      </c>
      <c r="B428" s="8"/>
      <c r="C428" s="8" t="s">
        <v>1931</v>
      </c>
      <c r="D428" s="177" t="s">
        <v>1201</v>
      </c>
      <c r="E428" s="9">
        <v>24.47</v>
      </c>
      <c r="F428" s="8" t="s">
        <v>1740</v>
      </c>
      <c r="G428" s="10">
        <v>2692</v>
      </c>
      <c r="H428" s="132">
        <v>46153</v>
      </c>
      <c r="I428" s="8">
        <v>283</v>
      </c>
      <c r="J428" s="9">
        <v>10.512630014858841</v>
      </c>
      <c r="K428" s="8">
        <v>68</v>
      </c>
      <c r="L428" s="9">
        <f t="shared" si="72"/>
        <v>24.028268551236749</v>
      </c>
      <c r="M428" s="8" t="s">
        <v>2075</v>
      </c>
      <c r="N428" s="132">
        <v>46149</v>
      </c>
      <c r="O428" s="143">
        <v>47</v>
      </c>
      <c r="P428" s="9">
        <v>1.7459138187221397</v>
      </c>
      <c r="Q428" s="143">
        <v>12</v>
      </c>
      <c r="R428" s="9">
        <f t="shared" si="73"/>
        <v>25.531914893617021</v>
      </c>
      <c r="S428" s="8" t="s">
        <v>2040</v>
      </c>
      <c r="T428" s="132">
        <v>46149</v>
      </c>
      <c r="U428" s="143">
        <v>1469</v>
      </c>
      <c r="V428" s="143">
        <v>40</v>
      </c>
      <c r="W428" s="9">
        <f t="shared" si="78"/>
        <v>2.7229407760381208</v>
      </c>
      <c r="X428" s="8" t="s">
        <v>2049</v>
      </c>
      <c r="Y428" s="178"/>
      <c r="Z428" s="143">
        <v>0</v>
      </c>
      <c r="AA428" s="9">
        <v>0</v>
      </c>
      <c r="AB428" s="143">
        <v>0</v>
      </c>
      <c r="AC428" s="9">
        <v>0</v>
      </c>
      <c r="AD428" s="8" t="s">
        <v>2050</v>
      </c>
      <c r="AE428" s="178"/>
      <c r="AF428" s="143">
        <v>0</v>
      </c>
      <c r="AG428" s="143">
        <v>0</v>
      </c>
      <c r="AH428" s="9">
        <v>0</v>
      </c>
      <c r="AI428" s="8" t="s">
        <v>2050</v>
      </c>
    </row>
    <row r="429" spans="1:35" x14ac:dyDescent="0.2">
      <c r="A429" s="8" t="s">
        <v>1927</v>
      </c>
      <c r="B429" s="8"/>
      <c r="C429" s="8" t="s">
        <v>1931</v>
      </c>
      <c r="D429" s="177" t="s">
        <v>1194</v>
      </c>
      <c r="E429" s="9">
        <v>32.56</v>
      </c>
      <c r="F429" s="8" t="s">
        <v>1740</v>
      </c>
      <c r="G429" s="10">
        <v>4366</v>
      </c>
      <c r="H429" s="132">
        <v>46155</v>
      </c>
      <c r="I429" s="8">
        <v>412</v>
      </c>
      <c r="J429" s="9">
        <v>9.4365551992670635</v>
      </c>
      <c r="K429" s="8">
        <v>49</v>
      </c>
      <c r="L429" s="9">
        <f t="shared" si="72"/>
        <v>11.893203883495145</v>
      </c>
      <c r="M429" s="8" t="s">
        <v>2075</v>
      </c>
      <c r="N429" s="132">
        <v>46149</v>
      </c>
      <c r="O429" s="143">
        <v>443</v>
      </c>
      <c r="P429" s="9">
        <v>10.146587265231332</v>
      </c>
      <c r="Q429" s="143">
        <v>57</v>
      </c>
      <c r="R429" s="9">
        <f t="shared" si="73"/>
        <v>12.866817155756207</v>
      </c>
      <c r="S429" s="8" t="s">
        <v>2040</v>
      </c>
      <c r="T429" s="132"/>
      <c r="U429" s="143">
        <v>0</v>
      </c>
      <c r="V429" s="143">
        <v>0</v>
      </c>
      <c r="W429" s="9">
        <f t="shared" si="78"/>
        <v>0</v>
      </c>
      <c r="X429" s="8" t="s">
        <v>2050</v>
      </c>
      <c r="Y429" s="178"/>
      <c r="Z429" s="143">
        <v>0</v>
      </c>
      <c r="AA429" s="9">
        <v>0</v>
      </c>
      <c r="AB429" s="143">
        <v>0</v>
      </c>
      <c r="AC429" s="9">
        <v>0</v>
      </c>
      <c r="AD429" s="8" t="s">
        <v>2050</v>
      </c>
      <c r="AE429" s="178"/>
      <c r="AF429" s="143">
        <v>0</v>
      </c>
      <c r="AG429" s="143">
        <v>0</v>
      </c>
      <c r="AH429" s="9">
        <v>0</v>
      </c>
      <c r="AI429" s="8" t="s">
        <v>2050</v>
      </c>
    </row>
    <row r="430" spans="1:35" x14ac:dyDescent="0.2">
      <c r="A430" s="8" t="s">
        <v>1927</v>
      </c>
      <c r="B430" s="8"/>
      <c r="C430" s="8" t="s">
        <v>1931</v>
      </c>
      <c r="D430" s="177" t="s">
        <v>1214</v>
      </c>
      <c r="E430" s="9">
        <v>45.260000000000005</v>
      </c>
      <c r="F430" s="8" t="s">
        <v>1740</v>
      </c>
      <c r="G430" s="10">
        <v>6056</v>
      </c>
      <c r="H430" s="132">
        <v>46159</v>
      </c>
      <c r="I430" s="8">
        <v>598</v>
      </c>
      <c r="J430" s="9">
        <v>9.8745046235138698</v>
      </c>
      <c r="K430" s="8">
        <v>32</v>
      </c>
      <c r="L430" s="9">
        <f t="shared" si="72"/>
        <v>5.3511705685618729</v>
      </c>
      <c r="M430" s="8" t="s">
        <v>2075</v>
      </c>
      <c r="N430" s="132"/>
      <c r="O430" s="143">
        <v>0</v>
      </c>
      <c r="P430" s="9">
        <v>0</v>
      </c>
      <c r="Q430" s="143">
        <v>0</v>
      </c>
      <c r="R430" s="9">
        <f t="shared" si="73"/>
        <v>0</v>
      </c>
      <c r="S430" s="8" t="s">
        <v>2050</v>
      </c>
      <c r="T430" s="132"/>
      <c r="U430" s="143">
        <v>0</v>
      </c>
      <c r="V430" s="143">
        <v>0</v>
      </c>
      <c r="W430" s="9">
        <f t="shared" si="78"/>
        <v>0</v>
      </c>
      <c r="X430" s="8" t="s">
        <v>2050</v>
      </c>
      <c r="Y430" s="178">
        <v>46155</v>
      </c>
      <c r="Z430" s="143">
        <v>60</v>
      </c>
      <c r="AA430" s="9">
        <v>0.99075297225891679</v>
      </c>
      <c r="AB430" s="143">
        <v>4</v>
      </c>
      <c r="AC430" s="9">
        <v>6.666666666666667</v>
      </c>
      <c r="AD430" s="8" t="s">
        <v>2040</v>
      </c>
      <c r="AE430" s="178"/>
      <c r="AF430" s="143">
        <v>0</v>
      </c>
      <c r="AG430" s="143">
        <v>0</v>
      </c>
      <c r="AH430" s="9">
        <v>0</v>
      </c>
      <c r="AI430" s="8" t="s">
        <v>2050</v>
      </c>
    </row>
    <row r="431" spans="1:35" x14ac:dyDescent="0.2">
      <c r="A431" s="8" t="s">
        <v>1927</v>
      </c>
      <c r="B431" s="8"/>
      <c r="C431" s="8" t="s">
        <v>1931</v>
      </c>
      <c r="D431" s="8" t="s">
        <v>1207</v>
      </c>
      <c r="E431" s="9">
        <v>35.28</v>
      </c>
      <c r="F431" s="8" t="s">
        <v>1740</v>
      </c>
      <c r="G431" s="10">
        <v>4196</v>
      </c>
      <c r="H431" s="132"/>
      <c r="I431" s="8">
        <v>0</v>
      </c>
      <c r="J431" s="9">
        <v>0</v>
      </c>
      <c r="K431" s="8">
        <v>0</v>
      </c>
      <c r="L431" s="9">
        <f t="shared" si="72"/>
        <v>0</v>
      </c>
      <c r="M431" s="8" t="s">
        <v>2076</v>
      </c>
      <c r="N431" s="132"/>
      <c r="O431" s="143">
        <v>0</v>
      </c>
      <c r="P431" s="9">
        <v>0</v>
      </c>
      <c r="Q431" s="143">
        <v>0</v>
      </c>
      <c r="R431" s="9">
        <f t="shared" si="73"/>
        <v>0</v>
      </c>
      <c r="S431" s="8" t="s">
        <v>2050</v>
      </c>
      <c r="T431" s="132"/>
      <c r="U431" s="143">
        <v>0</v>
      </c>
      <c r="V431" s="143">
        <v>0</v>
      </c>
      <c r="W431" s="9">
        <f t="shared" si="78"/>
        <v>0</v>
      </c>
      <c r="X431" s="8" t="s">
        <v>2050</v>
      </c>
      <c r="Y431" s="178">
        <v>46154</v>
      </c>
      <c r="Z431" s="143">
        <v>82</v>
      </c>
      <c r="AA431" s="9">
        <v>1.9542421353670163</v>
      </c>
      <c r="AB431" s="143">
        <v>4</v>
      </c>
      <c r="AC431" s="9">
        <v>4.8780487804878048</v>
      </c>
      <c r="AD431" s="8" t="s">
        <v>2049</v>
      </c>
      <c r="AE431" s="178"/>
      <c r="AF431" s="143">
        <v>0</v>
      </c>
      <c r="AG431" s="143">
        <v>0</v>
      </c>
      <c r="AH431" s="9">
        <v>0</v>
      </c>
      <c r="AI431" s="8" t="s">
        <v>2050</v>
      </c>
    </row>
    <row r="432" spans="1:35" x14ac:dyDescent="0.2">
      <c r="A432" s="8" t="s">
        <v>1927</v>
      </c>
      <c r="B432" s="8"/>
      <c r="C432" s="8" t="s">
        <v>1931</v>
      </c>
      <c r="D432" s="177" t="s">
        <v>1153</v>
      </c>
      <c r="E432" s="9">
        <v>45.86</v>
      </c>
      <c r="F432" s="8" t="s">
        <v>1740</v>
      </c>
      <c r="G432" s="10">
        <v>5032</v>
      </c>
      <c r="H432" s="132">
        <v>46154</v>
      </c>
      <c r="I432" s="8">
        <v>511</v>
      </c>
      <c r="J432" s="9">
        <v>10.155007949125597</v>
      </c>
      <c r="K432" s="8">
        <v>136</v>
      </c>
      <c r="L432" s="9">
        <f t="shared" si="72"/>
        <v>26.614481409001954</v>
      </c>
      <c r="M432" s="8" t="s">
        <v>2075</v>
      </c>
      <c r="N432" s="132">
        <v>46148</v>
      </c>
      <c r="O432" s="143">
        <v>35</v>
      </c>
      <c r="P432" s="9">
        <v>0.69554848966613669</v>
      </c>
      <c r="Q432" s="143">
        <v>11</v>
      </c>
      <c r="R432" s="9">
        <f t="shared" si="73"/>
        <v>31.428571428571427</v>
      </c>
      <c r="S432" s="8" t="s">
        <v>2040</v>
      </c>
      <c r="T432" s="132">
        <v>46148</v>
      </c>
      <c r="U432" s="143">
        <v>665</v>
      </c>
      <c r="V432" s="143">
        <v>20</v>
      </c>
      <c r="W432" s="9">
        <f t="shared" si="78"/>
        <v>3.007518796992481</v>
      </c>
      <c r="X432" s="8" t="s">
        <v>2049</v>
      </c>
      <c r="Y432" s="178"/>
      <c r="Z432" s="143">
        <v>0</v>
      </c>
      <c r="AA432" s="9">
        <v>0</v>
      </c>
      <c r="AB432" s="143">
        <v>0</v>
      </c>
      <c r="AC432" s="9">
        <v>0</v>
      </c>
      <c r="AD432" s="8" t="s">
        <v>2050</v>
      </c>
      <c r="AE432" s="178"/>
      <c r="AF432" s="143">
        <v>0</v>
      </c>
      <c r="AG432" s="143">
        <v>0</v>
      </c>
      <c r="AH432" s="9">
        <v>0</v>
      </c>
      <c r="AI432" s="8" t="s">
        <v>2050</v>
      </c>
    </row>
    <row r="433" spans="1:35" x14ac:dyDescent="0.2">
      <c r="A433" s="8" t="s">
        <v>1927</v>
      </c>
      <c r="B433" s="8"/>
      <c r="C433" s="8" t="s">
        <v>1931</v>
      </c>
      <c r="D433" s="177" t="s">
        <v>1932</v>
      </c>
      <c r="E433" s="9">
        <v>40.380000000000003</v>
      </c>
      <c r="F433" s="8" t="s">
        <v>1740</v>
      </c>
      <c r="G433" s="10">
        <v>4991</v>
      </c>
      <c r="H433" s="132">
        <v>46158</v>
      </c>
      <c r="I433" s="8">
        <v>503</v>
      </c>
      <c r="J433" s="9">
        <v>10.078140653175716</v>
      </c>
      <c r="K433" s="8">
        <v>41</v>
      </c>
      <c r="L433" s="9">
        <f t="shared" si="72"/>
        <v>8.1510934393638177</v>
      </c>
      <c r="M433" s="8" t="s">
        <v>2075</v>
      </c>
      <c r="N433" s="132"/>
      <c r="O433" s="143">
        <v>0</v>
      </c>
      <c r="P433" s="9">
        <v>0</v>
      </c>
      <c r="Q433" s="143">
        <v>0</v>
      </c>
      <c r="R433" s="9">
        <f t="shared" si="73"/>
        <v>0</v>
      </c>
      <c r="S433" s="8" t="s">
        <v>2050</v>
      </c>
      <c r="T433" s="132"/>
      <c r="U433" s="143">
        <v>0</v>
      </c>
      <c r="V433" s="143">
        <v>0</v>
      </c>
      <c r="W433" s="9">
        <f t="shared" si="78"/>
        <v>0</v>
      </c>
      <c r="X433" s="8" t="s">
        <v>2050</v>
      </c>
      <c r="Y433" s="178">
        <v>46155</v>
      </c>
      <c r="Z433" s="143">
        <v>204</v>
      </c>
      <c r="AA433" s="9">
        <v>4.0873572430374674</v>
      </c>
      <c r="AB433" s="143">
        <v>16</v>
      </c>
      <c r="AC433" s="9">
        <v>7.8431372549019605</v>
      </c>
      <c r="AD433" s="8" t="s">
        <v>2040</v>
      </c>
      <c r="AE433" s="178">
        <v>46153</v>
      </c>
      <c r="AF433" s="143">
        <v>1001</v>
      </c>
      <c r="AG433" s="143">
        <v>30</v>
      </c>
      <c r="AH433" s="9">
        <v>2.9970029970029972</v>
      </c>
      <c r="AI433" s="8" t="s">
        <v>2049</v>
      </c>
    </row>
    <row r="434" spans="1:35" x14ac:dyDescent="0.2">
      <c r="A434" s="8" t="s">
        <v>1927</v>
      </c>
      <c r="B434" s="8"/>
      <c r="C434" s="8" t="s">
        <v>1931</v>
      </c>
      <c r="D434" s="177" t="s">
        <v>1713</v>
      </c>
      <c r="E434" s="9">
        <v>31.520000000000003</v>
      </c>
      <c r="F434" s="8" t="s">
        <v>1740</v>
      </c>
      <c r="G434" s="10">
        <v>4176</v>
      </c>
      <c r="H434" s="132">
        <v>46153</v>
      </c>
      <c r="I434" s="8">
        <v>421</v>
      </c>
      <c r="J434" s="9">
        <v>10.081417624521073</v>
      </c>
      <c r="K434" s="8">
        <v>25</v>
      </c>
      <c r="L434" s="9">
        <f t="shared" si="72"/>
        <v>5.938242280285035</v>
      </c>
      <c r="M434" s="8" t="s">
        <v>2075</v>
      </c>
      <c r="N434" s="132">
        <v>46150</v>
      </c>
      <c r="O434" s="143">
        <v>103</v>
      </c>
      <c r="P434" s="9">
        <v>2.4664750957854404</v>
      </c>
      <c r="Q434" s="143">
        <v>7</v>
      </c>
      <c r="R434" s="9">
        <f t="shared" si="73"/>
        <v>6.7961165048543686</v>
      </c>
      <c r="S434" s="8" t="s">
        <v>2040</v>
      </c>
      <c r="T434" s="132"/>
      <c r="U434" s="143">
        <v>0</v>
      </c>
      <c r="V434" s="143">
        <v>0</v>
      </c>
      <c r="W434" s="9">
        <f t="shared" si="78"/>
        <v>0</v>
      </c>
      <c r="X434" s="8" t="s">
        <v>2050</v>
      </c>
      <c r="Y434" s="178"/>
      <c r="Z434" s="143">
        <v>0</v>
      </c>
      <c r="AA434" s="9">
        <v>0</v>
      </c>
      <c r="AB434" s="143">
        <v>0</v>
      </c>
      <c r="AC434" s="9">
        <v>0</v>
      </c>
      <c r="AD434" s="8" t="s">
        <v>2050</v>
      </c>
      <c r="AE434" s="178">
        <v>46153</v>
      </c>
      <c r="AF434" s="143">
        <v>684</v>
      </c>
      <c r="AG434" s="143">
        <v>20</v>
      </c>
      <c r="AH434" s="9">
        <v>2.9239766081871341</v>
      </c>
      <c r="AI434" s="8" t="s">
        <v>2049</v>
      </c>
    </row>
    <row r="435" spans="1:35" x14ac:dyDescent="0.2">
      <c r="A435" s="8" t="s">
        <v>1927</v>
      </c>
      <c r="B435" s="8"/>
      <c r="C435" s="8" t="s">
        <v>1931</v>
      </c>
      <c r="D435" s="177" t="s">
        <v>1228</v>
      </c>
      <c r="E435" s="9">
        <v>40.520000000000003</v>
      </c>
      <c r="F435" s="8" t="s">
        <v>1740</v>
      </c>
      <c r="G435" s="10">
        <v>5057</v>
      </c>
      <c r="H435" s="132">
        <v>46153</v>
      </c>
      <c r="I435" s="8">
        <v>520</v>
      </c>
      <c r="J435" s="9">
        <v>10.282776349614396</v>
      </c>
      <c r="K435" s="8">
        <v>34</v>
      </c>
      <c r="L435" s="9">
        <f t="shared" si="72"/>
        <v>6.5384615384615392</v>
      </c>
      <c r="M435" s="8" t="s">
        <v>2075</v>
      </c>
      <c r="N435" s="132">
        <v>46150</v>
      </c>
      <c r="O435" s="143">
        <v>126</v>
      </c>
      <c r="P435" s="9">
        <v>2.4915958077911804</v>
      </c>
      <c r="Q435" s="143">
        <v>11</v>
      </c>
      <c r="R435" s="9">
        <f t="shared" si="73"/>
        <v>8.7301587301587293</v>
      </c>
      <c r="S435" s="8" t="s">
        <v>2040</v>
      </c>
      <c r="T435" s="132"/>
      <c r="U435" s="143">
        <v>0</v>
      </c>
      <c r="V435" s="143">
        <v>0</v>
      </c>
      <c r="W435" s="9">
        <f t="shared" si="78"/>
        <v>0</v>
      </c>
      <c r="X435" s="8" t="s">
        <v>2050</v>
      </c>
      <c r="Y435" s="178"/>
      <c r="Z435" s="143">
        <v>0</v>
      </c>
      <c r="AA435" s="9">
        <v>0</v>
      </c>
      <c r="AB435" s="143">
        <v>0</v>
      </c>
      <c r="AC435" s="9">
        <v>0</v>
      </c>
      <c r="AD435" s="8" t="s">
        <v>2050</v>
      </c>
      <c r="AE435" s="178">
        <v>46153</v>
      </c>
      <c r="AF435" s="143">
        <v>1600</v>
      </c>
      <c r="AG435" s="143">
        <v>60</v>
      </c>
      <c r="AH435" s="9">
        <v>3.75</v>
      </c>
      <c r="AI435" s="8" t="s">
        <v>2049</v>
      </c>
    </row>
    <row r="436" spans="1:35" x14ac:dyDescent="0.2">
      <c r="A436" s="8" t="s">
        <v>1927</v>
      </c>
      <c r="B436" s="8"/>
      <c r="C436" s="8" t="s">
        <v>1931</v>
      </c>
      <c r="D436" s="177" t="s">
        <v>1208</v>
      </c>
      <c r="E436" s="9">
        <v>29.96</v>
      </c>
      <c r="F436" s="8" t="s">
        <v>1740</v>
      </c>
      <c r="G436" s="10">
        <v>2815</v>
      </c>
      <c r="H436" s="132">
        <v>46157</v>
      </c>
      <c r="I436" s="8">
        <v>286</v>
      </c>
      <c r="J436" s="9">
        <v>10.159857904085259</v>
      </c>
      <c r="K436" s="8">
        <v>27</v>
      </c>
      <c r="L436" s="9">
        <f t="shared" si="72"/>
        <v>9.44055944055944</v>
      </c>
      <c r="M436" s="8" t="s">
        <v>2075</v>
      </c>
      <c r="N436" s="132"/>
      <c r="O436" s="143">
        <v>0</v>
      </c>
      <c r="P436" s="9">
        <v>0</v>
      </c>
      <c r="Q436" s="143">
        <v>0</v>
      </c>
      <c r="R436" s="9">
        <f t="shared" si="73"/>
        <v>0</v>
      </c>
      <c r="S436" s="8" t="s">
        <v>2050</v>
      </c>
      <c r="T436" s="132"/>
      <c r="U436" s="143">
        <v>0</v>
      </c>
      <c r="V436" s="143">
        <v>0</v>
      </c>
      <c r="W436" s="9">
        <f t="shared" si="78"/>
        <v>0</v>
      </c>
      <c r="X436" s="8" t="s">
        <v>2050</v>
      </c>
      <c r="Y436" s="178">
        <v>46157</v>
      </c>
      <c r="Z436" s="143">
        <v>282</v>
      </c>
      <c r="AA436" s="9">
        <v>10.017761989342807</v>
      </c>
      <c r="AB436" s="143">
        <v>36</v>
      </c>
      <c r="AC436" s="9">
        <v>12.76595744680851</v>
      </c>
      <c r="AD436" s="8" t="s">
        <v>2040</v>
      </c>
      <c r="AE436" s="178"/>
      <c r="AF436" s="143">
        <v>0</v>
      </c>
      <c r="AG436" s="143">
        <v>0</v>
      </c>
      <c r="AH436" s="9">
        <v>0</v>
      </c>
      <c r="AI436" s="8" t="s">
        <v>2050</v>
      </c>
    </row>
    <row r="437" spans="1:35" x14ac:dyDescent="0.2">
      <c r="A437" s="8" t="s">
        <v>1927</v>
      </c>
      <c r="B437" s="8"/>
      <c r="C437" s="8" t="s">
        <v>1931</v>
      </c>
      <c r="D437" s="8" t="s">
        <v>1933</v>
      </c>
      <c r="E437" s="9">
        <v>24.68</v>
      </c>
      <c r="F437" s="8" t="s">
        <v>1740</v>
      </c>
      <c r="G437" s="10">
        <v>2831</v>
      </c>
      <c r="H437" s="132"/>
      <c r="I437" s="8">
        <v>0</v>
      </c>
      <c r="J437" s="9">
        <v>0</v>
      </c>
      <c r="K437" s="8">
        <v>0</v>
      </c>
      <c r="L437" s="9">
        <f t="shared" si="72"/>
        <v>0</v>
      </c>
      <c r="M437" s="8" t="s">
        <v>2076</v>
      </c>
      <c r="N437" s="132"/>
      <c r="O437" s="143">
        <v>0</v>
      </c>
      <c r="P437" s="9">
        <v>0</v>
      </c>
      <c r="Q437" s="143">
        <v>0</v>
      </c>
      <c r="R437" s="9">
        <f t="shared" si="73"/>
        <v>0</v>
      </c>
      <c r="S437" s="8" t="s">
        <v>2050</v>
      </c>
      <c r="T437" s="132"/>
      <c r="U437" s="143">
        <v>0</v>
      </c>
      <c r="V437" s="143">
        <v>0</v>
      </c>
      <c r="W437" s="9">
        <f t="shared" si="78"/>
        <v>0</v>
      </c>
      <c r="X437" s="8" t="s">
        <v>2050</v>
      </c>
      <c r="Y437" s="178"/>
      <c r="Z437" s="143">
        <v>0</v>
      </c>
      <c r="AA437" s="9">
        <v>0</v>
      </c>
      <c r="AB437" s="143">
        <v>0</v>
      </c>
      <c r="AC437" s="9">
        <v>0</v>
      </c>
      <c r="AD437" s="8" t="s">
        <v>2050</v>
      </c>
      <c r="AE437" s="178">
        <v>46153</v>
      </c>
      <c r="AF437" s="143">
        <v>1150</v>
      </c>
      <c r="AG437" s="143">
        <v>30</v>
      </c>
      <c r="AH437" s="9">
        <v>2.6086956521739131</v>
      </c>
      <c r="AI437" s="8" t="s">
        <v>2049</v>
      </c>
    </row>
    <row r="438" spans="1:35" x14ac:dyDescent="0.2">
      <c r="A438" s="8" t="s">
        <v>1927</v>
      </c>
      <c r="B438" s="8"/>
      <c r="C438" s="8" t="s">
        <v>1931</v>
      </c>
      <c r="D438" s="177" t="s">
        <v>1206</v>
      </c>
      <c r="E438" s="9">
        <v>27.160000000000004</v>
      </c>
      <c r="F438" s="8" t="s">
        <v>1740</v>
      </c>
      <c r="G438" s="10">
        <v>3294</v>
      </c>
      <c r="H438" s="132">
        <v>46154</v>
      </c>
      <c r="I438" s="8">
        <v>309</v>
      </c>
      <c r="J438" s="9">
        <v>9.3806921675774131</v>
      </c>
      <c r="K438" s="8">
        <v>15</v>
      </c>
      <c r="L438" s="9">
        <f t="shared" si="72"/>
        <v>4.8543689320388346</v>
      </c>
      <c r="M438" s="8" t="s">
        <v>2075</v>
      </c>
      <c r="N438" s="132">
        <v>46149</v>
      </c>
      <c r="O438" s="143">
        <v>112</v>
      </c>
      <c r="P438" s="9">
        <v>3.400121432908318</v>
      </c>
      <c r="Q438" s="143">
        <v>6</v>
      </c>
      <c r="R438" s="9">
        <f t="shared" si="73"/>
        <v>5.3571428571428568</v>
      </c>
      <c r="S438" s="8" t="s">
        <v>2040</v>
      </c>
      <c r="T438" s="132"/>
      <c r="U438" s="143">
        <v>0</v>
      </c>
      <c r="V438" s="143">
        <v>0</v>
      </c>
      <c r="W438" s="9">
        <f t="shared" si="78"/>
        <v>0</v>
      </c>
      <c r="X438" s="8" t="s">
        <v>2050</v>
      </c>
      <c r="Y438" s="178"/>
      <c r="Z438" s="143">
        <v>0</v>
      </c>
      <c r="AA438" s="9">
        <v>0</v>
      </c>
      <c r="AB438" s="143">
        <v>0</v>
      </c>
      <c r="AC438" s="9">
        <v>0</v>
      </c>
      <c r="AD438" s="8" t="s">
        <v>2050</v>
      </c>
      <c r="AE438" s="178"/>
      <c r="AF438" s="143">
        <v>0</v>
      </c>
      <c r="AG438" s="143">
        <v>0</v>
      </c>
      <c r="AH438" s="9">
        <v>0</v>
      </c>
      <c r="AI438" s="8" t="s">
        <v>2050</v>
      </c>
    </row>
    <row r="439" spans="1:35" x14ac:dyDescent="0.2">
      <c r="A439" s="8" t="s">
        <v>1927</v>
      </c>
      <c r="B439" s="8"/>
      <c r="C439" s="8" t="s">
        <v>1934</v>
      </c>
      <c r="D439" s="8" t="s">
        <v>1350</v>
      </c>
      <c r="E439" s="9">
        <v>23.759999999999998</v>
      </c>
      <c r="F439" s="8" t="s">
        <v>1740</v>
      </c>
      <c r="G439" s="10">
        <v>2328</v>
      </c>
      <c r="H439" s="132"/>
      <c r="I439" s="8">
        <v>0</v>
      </c>
      <c r="J439" s="9">
        <v>0</v>
      </c>
      <c r="K439" s="8">
        <v>0</v>
      </c>
      <c r="L439" s="9">
        <f t="shared" si="72"/>
        <v>0</v>
      </c>
      <c r="M439" s="8" t="s">
        <v>2076</v>
      </c>
      <c r="N439" s="132"/>
      <c r="O439" s="143"/>
      <c r="P439" s="9">
        <v>0</v>
      </c>
      <c r="Q439" s="143"/>
      <c r="R439" s="9">
        <f t="shared" si="73"/>
        <v>0</v>
      </c>
      <c r="S439" s="8" t="s">
        <v>2050</v>
      </c>
      <c r="T439" s="132"/>
      <c r="U439" s="143"/>
      <c r="V439" s="143"/>
      <c r="W439" s="9">
        <f t="shared" si="78"/>
        <v>0</v>
      </c>
      <c r="X439" s="8" t="s">
        <v>2050</v>
      </c>
      <c r="Y439" s="178"/>
      <c r="Z439" s="143">
        <v>0</v>
      </c>
      <c r="AA439" s="9">
        <v>0</v>
      </c>
      <c r="AB439" s="143">
        <v>0</v>
      </c>
      <c r="AC439" s="9">
        <v>0</v>
      </c>
      <c r="AD439" s="8" t="s">
        <v>2050</v>
      </c>
      <c r="AE439" s="178"/>
      <c r="AF439" s="143"/>
      <c r="AG439" s="143"/>
      <c r="AH439" s="9">
        <v>0</v>
      </c>
      <c r="AI439" s="8" t="s">
        <v>2050</v>
      </c>
    </row>
    <row r="440" spans="1:35" x14ac:dyDescent="0.2">
      <c r="A440" s="8" t="s">
        <v>1927</v>
      </c>
      <c r="B440" s="8"/>
      <c r="C440" s="8" t="s">
        <v>1934</v>
      </c>
      <c r="D440" s="8" t="s">
        <v>1756</v>
      </c>
      <c r="E440" s="9">
        <v>25.17</v>
      </c>
      <c r="F440" s="8" t="s">
        <v>1740</v>
      </c>
      <c r="G440" s="10">
        <v>2233</v>
      </c>
      <c r="H440" s="132"/>
      <c r="I440" s="8">
        <v>0</v>
      </c>
      <c r="J440" s="9">
        <v>0</v>
      </c>
      <c r="K440" s="8">
        <v>0</v>
      </c>
      <c r="L440" s="9">
        <f t="shared" si="72"/>
        <v>0</v>
      </c>
      <c r="M440" s="8" t="s">
        <v>2076</v>
      </c>
      <c r="N440" s="132"/>
      <c r="O440" s="143"/>
      <c r="P440" s="9">
        <v>0</v>
      </c>
      <c r="Q440" s="143"/>
      <c r="R440" s="9">
        <f t="shared" si="73"/>
        <v>0</v>
      </c>
      <c r="S440" s="8" t="s">
        <v>2050</v>
      </c>
      <c r="T440" s="132"/>
      <c r="U440" s="143"/>
      <c r="V440" s="143"/>
      <c r="W440" s="9">
        <f t="shared" si="78"/>
        <v>0</v>
      </c>
      <c r="X440" s="8" t="s">
        <v>2050</v>
      </c>
      <c r="Y440" s="178"/>
      <c r="Z440" s="143">
        <v>0</v>
      </c>
      <c r="AA440" s="9">
        <v>0</v>
      </c>
      <c r="AB440" s="143">
        <v>0</v>
      </c>
      <c r="AC440" s="9">
        <v>0</v>
      </c>
      <c r="AD440" s="8" t="s">
        <v>2050</v>
      </c>
      <c r="AE440" s="178"/>
      <c r="AF440" s="143"/>
      <c r="AG440" s="143"/>
      <c r="AH440" s="9">
        <v>0</v>
      </c>
      <c r="AI440" s="8" t="s">
        <v>2050</v>
      </c>
    </row>
    <row r="441" spans="1:35" x14ac:dyDescent="0.2">
      <c r="A441" s="8" t="s">
        <v>1927</v>
      </c>
      <c r="B441" s="8"/>
      <c r="C441" s="8" t="s">
        <v>1934</v>
      </c>
      <c r="D441" s="8" t="s">
        <v>1354</v>
      </c>
      <c r="E441" s="9">
        <v>23.55</v>
      </c>
      <c r="F441" s="8" t="s">
        <v>1740</v>
      </c>
      <c r="G441" s="10">
        <v>2205</v>
      </c>
      <c r="H441" s="132"/>
      <c r="I441" s="8">
        <v>0</v>
      </c>
      <c r="J441" s="9">
        <v>0</v>
      </c>
      <c r="K441" s="8">
        <v>0</v>
      </c>
      <c r="L441" s="9">
        <f t="shared" si="72"/>
        <v>0</v>
      </c>
      <c r="M441" s="8" t="s">
        <v>2076</v>
      </c>
      <c r="N441" s="132"/>
      <c r="O441" s="143"/>
      <c r="P441" s="9">
        <v>0</v>
      </c>
      <c r="Q441" s="143"/>
      <c r="R441" s="9">
        <f t="shared" si="73"/>
        <v>0</v>
      </c>
      <c r="S441" s="8" t="s">
        <v>2050</v>
      </c>
      <c r="T441" s="132"/>
      <c r="U441" s="143"/>
      <c r="V441" s="143"/>
      <c r="W441" s="9">
        <f t="shared" si="78"/>
        <v>0</v>
      </c>
      <c r="X441" s="8" t="s">
        <v>2050</v>
      </c>
      <c r="Y441" s="178"/>
      <c r="Z441" s="143">
        <v>0</v>
      </c>
      <c r="AA441" s="9">
        <v>0</v>
      </c>
      <c r="AB441" s="143">
        <v>0</v>
      </c>
      <c r="AC441" s="9">
        <v>0</v>
      </c>
      <c r="AD441" s="8" t="s">
        <v>2050</v>
      </c>
      <c r="AE441" s="178"/>
      <c r="AF441" s="143"/>
      <c r="AG441" s="143"/>
      <c r="AH441" s="9">
        <v>0</v>
      </c>
      <c r="AI441" s="8" t="s">
        <v>2050</v>
      </c>
    </row>
    <row r="442" spans="1:35" x14ac:dyDescent="0.2">
      <c r="A442" s="8" t="s">
        <v>1927</v>
      </c>
      <c r="B442" s="8"/>
      <c r="C442" s="8" t="s">
        <v>1934</v>
      </c>
      <c r="D442" s="8" t="s">
        <v>1335</v>
      </c>
      <c r="E442" s="9">
        <v>49.719999999999985</v>
      </c>
      <c r="F442" s="8" t="s">
        <v>1740</v>
      </c>
      <c r="G442" s="10">
        <v>4247</v>
      </c>
      <c r="H442" s="132"/>
      <c r="I442" s="8">
        <v>0</v>
      </c>
      <c r="J442" s="9">
        <v>0</v>
      </c>
      <c r="K442" s="8">
        <v>0</v>
      </c>
      <c r="L442" s="9">
        <f t="shared" si="72"/>
        <v>0</v>
      </c>
      <c r="M442" s="8" t="s">
        <v>2076</v>
      </c>
      <c r="N442" s="132"/>
      <c r="O442" s="143"/>
      <c r="P442" s="9">
        <v>0</v>
      </c>
      <c r="Q442" s="143"/>
      <c r="R442" s="9">
        <f t="shared" si="73"/>
        <v>0</v>
      </c>
      <c r="S442" s="8" t="s">
        <v>2050</v>
      </c>
      <c r="T442" s="132"/>
      <c r="U442" s="143"/>
      <c r="V442" s="143"/>
      <c r="W442" s="9">
        <f t="shared" si="78"/>
        <v>0</v>
      </c>
      <c r="X442" s="8" t="s">
        <v>2050</v>
      </c>
      <c r="Y442" s="178"/>
      <c r="Z442" s="143">
        <v>0</v>
      </c>
      <c r="AA442" s="9">
        <v>0</v>
      </c>
      <c r="AB442" s="143">
        <v>0</v>
      </c>
      <c r="AC442" s="9">
        <v>0</v>
      </c>
      <c r="AD442" s="8" t="s">
        <v>2050</v>
      </c>
      <c r="AE442" s="178"/>
      <c r="AF442" s="143"/>
      <c r="AG442" s="143"/>
      <c r="AH442" s="9">
        <v>0</v>
      </c>
      <c r="AI442" s="8" t="s">
        <v>2050</v>
      </c>
    </row>
    <row r="443" spans="1:35" x14ac:dyDescent="0.2">
      <c r="A443" s="8" t="s">
        <v>1927</v>
      </c>
      <c r="B443" s="8"/>
      <c r="C443" s="8" t="s">
        <v>1934</v>
      </c>
      <c r="D443" s="8" t="s">
        <v>1935</v>
      </c>
      <c r="E443" s="9">
        <v>26.200000000000003</v>
      </c>
      <c r="F443" s="8" t="s">
        <v>1740</v>
      </c>
      <c r="G443" s="10">
        <v>3509</v>
      </c>
      <c r="H443" s="132"/>
      <c r="I443" s="8">
        <v>0</v>
      </c>
      <c r="J443" s="9">
        <v>0</v>
      </c>
      <c r="K443" s="8">
        <v>0</v>
      </c>
      <c r="L443" s="9">
        <f t="shared" si="72"/>
        <v>0</v>
      </c>
      <c r="M443" s="8" t="s">
        <v>2076</v>
      </c>
      <c r="N443" s="132"/>
      <c r="O443" s="143"/>
      <c r="P443" s="9">
        <v>0</v>
      </c>
      <c r="Q443" s="143"/>
      <c r="R443" s="9">
        <f t="shared" si="73"/>
        <v>0</v>
      </c>
      <c r="S443" s="8" t="s">
        <v>2050</v>
      </c>
      <c r="T443" s="132"/>
      <c r="U443" s="143"/>
      <c r="V443" s="143"/>
      <c r="W443" s="9">
        <f t="shared" si="78"/>
        <v>0</v>
      </c>
      <c r="X443" s="8" t="s">
        <v>2050</v>
      </c>
      <c r="Y443" s="178"/>
      <c r="Z443" s="143">
        <v>0</v>
      </c>
      <c r="AA443" s="9">
        <v>0</v>
      </c>
      <c r="AB443" s="143">
        <v>0</v>
      </c>
      <c r="AC443" s="9">
        <v>0</v>
      </c>
      <c r="AD443" s="8" t="s">
        <v>2050</v>
      </c>
      <c r="AE443" s="178"/>
      <c r="AF443" s="143"/>
      <c r="AG443" s="143"/>
      <c r="AH443" s="9">
        <v>0</v>
      </c>
      <c r="AI443" s="8" t="s">
        <v>2050</v>
      </c>
    </row>
    <row r="444" spans="1:35" x14ac:dyDescent="0.2">
      <c r="A444" s="8" t="s">
        <v>1927</v>
      </c>
      <c r="B444" s="8"/>
      <c r="C444" s="8" t="s">
        <v>1934</v>
      </c>
      <c r="D444" s="8" t="s">
        <v>1353</v>
      </c>
      <c r="E444" s="9">
        <v>23.5</v>
      </c>
      <c r="F444" s="8" t="s">
        <v>1740</v>
      </c>
      <c r="G444" s="10">
        <v>2187</v>
      </c>
      <c r="H444" s="132"/>
      <c r="I444" s="8">
        <v>0</v>
      </c>
      <c r="J444" s="9">
        <v>0</v>
      </c>
      <c r="K444" s="8">
        <v>0</v>
      </c>
      <c r="L444" s="9">
        <f t="shared" si="72"/>
        <v>0</v>
      </c>
      <c r="M444" s="8" t="s">
        <v>2076</v>
      </c>
      <c r="N444" s="132"/>
      <c r="O444" s="143"/>
      <c r="P444" s="9">
        <v>0</v>
      </c>
      <c r="Q444" s="143"/>
      <c r="R444" s="9">
        <f t="shared" si="73"/>
        <v>0</v>
      </c>
      <c r="S444" s="8" t="s">
        <v>2050</v>
      </c>
      <c r="T444" s="132"/>
      <c r="U444" s="143"/>
      <c r="V444" s="143"/>
      <c r="W444" s="9">
        <f t="shared" si="78"/>
        <v>0</v>
      </c>
      <c r="X444" s="8" t="s">
        <v>2050</v>
      </c>
      <c r="Y444" s="178"/>
      <c r="Z444" s="143">
        <v>0</v>
      </c>
      <c r="AA444" s="9">
        <v>0</v>
      </c>
      <c r="AB444" s="143">
        <v>0</v>
      </c>
      <c r="AC444" s="9">
        <v>0</v>
      </c>
      <c r="AD444" s="8" t="s">
        <v>2050</v>
      </c>
      <c r="AE444" s="178"/>
      <c r="AF444" s="143"/>
      <c r="AG444" s="143"/>
      <c r="AH444" s="9">
        <v>0</v>
      </c>
      <c r="AI444" s="8" t="s">
        <v>2050</v>
      </c>
    </row>
    <row r="445" spans="1:35" x14ac:dyDescent="0.2">
      <c r="A445" s="8" t="s">
        <v>1927</v>
      </c>
      <c r="B445" s="8"/>
      <c r="C445" s="8" t="s">
        <v>1934</v>
      </c>
      <c r="D445" s="8" t="s">
        <v>1355</v>
      </c>
      <c r="E445" s="9">
        <v>35.44</v>
      </c>
      <c r="F445" s="8" t="s">
        <v>1740</v>
      </c>
      <c r="G445" s="10">
        <v>2794</v>
      </c>
      <c r="H445" s="132"/>
      <c r="I445" s="8">
        <v>0</v>
      </c>
      <c r="J445" s="9">
        <v>0</v>
      </c>
      <c r="K445" s="8">
        <v>0</v>
      </c>
      <c r="L445" s="9">
        <f t="shared" si="72"/>
        <v>0</v>
      </c>
      <c r="M445" s="8" t="s">
        <v>2076</v>
      </c>
      <c r="N445" s="132"/>
      <c r="O445" s="143"/>
      <c r="P445" s="9">
        <v>0</v>
      </c>
      <c r="Q445" s="143"/>
      <c r="R445" s="9">
        <f t="shared" si="73"/>
        <v>0</v>
      </c>
      <c r="S445" s="8" t="s">
        <v>2050</v>
      </c>
      <c r="T445" s="132"/>
      <c r="U445" s="143"/>
      <c r="V445" s="143"/>
      <c r="W445" s="9">
        <f t="shared" si="78"/>
        <v>0</v>
      </c>
      <c r="X445" s="8" t="s">
        <v>2050</v>
      </c>
      <c r="Y445" s="178"/>
      <c r="Z445" s="143">
        <v>0</v>
      </c>
      <c r="AA445" s="9">
        <v>0</v>
      </c>
      <c r="AB445" s="143">
        <v>0</v>
      </c>
      <c r="AC445" s="9">
        <v>0</v>
      </c>
      <c r="AD445" s="8" t="s">
        <v>2050</v>
      </c>
      <c r="AE445" s="178"/>
      <c r="AF445" s="143"/>
      <c r="AG445" s="143"/>
      <c r="AH445" s="9">
        <v>0</v>
      </c>
      <c r="AI445" s="8" t="s">
        <v>2050</v>
      </c>
    </row>
    <row r="446" spans="1:35" x14ac:dyDescent="0.2">
      <c r="A446" s="8" t="s">
        <v>1927</v>
      </c>
      <c r="B446" s="8"/>
      <c r="C446" s="8" t="s">
        <v>1934</v>
      </c>
      <c r="D446" s="8" t="s">
        <v>1358</v>
      </c>
      <c r="E446" s="9">
        <v>28.040000000000003</v>
      </c>
      <c r="F446" s="8" t="s">
        <v>1740</v>
      </c>
      <c r="G446" s="10">
        <v>2242</v>
      </c>
      <c r="H446" s="132"/>
      <c r="I446" s="8">
        <v>0</v>
      </c>
      <c r="J446" s="9">
        <v>0</v>
      </c>
      <c r="K446" s="8">
        <v>0</v>
      </c>
      <c r="L446" s="9">
        <f t="shared" si="72"/>
        <v>0</v>
      </c>
      <c r="M446" s="8" t="s">
        <v>2076</v>
      </c>
      <c r="N446" s="132"/>
      <c r="O446" s="143"/>
      <c r="P446" s="9">
        <v>0</v>
      </c>
      <c r="Q446" s="143"/>
      <c r="R446" s="9">
        <f t="shared" si="73"/>
        <v>0</v>
      </c>
      <c r="S446" s="8" t="s">
        <v>2050</v>
      </c>
      <c r="T446" s="132"/>
      <c r="U446" s="143"/>
      <c r="V446" s="143"/>
      <c r="W446" s="9">
        <f t="shared" si="78"/>
        <v>0</v>
      </c>
      <c r="X446" s="8" t="s">
        <v>2050</v>
      </c>
      <c r="Y446" s="178"/>
      <c r="Z446" s="143">
        <v>0</v>
      </c>
      <c r="AA446" s="9">
        <v>0</v>
      </c>
      <c r="AB446" s="143">
        <v>0</v>
      </c>
      <c r="AC446" s="9">
        <v>0</v>
      </c>
      <c r="AD446" s="8" t="s">
        <v>2050</v>
      </c>
      <c r="AE446" s="178"/>
      <c r="AF446" s="143"/>
      <c r="AG446" s="143"/>
      <c r="AH446" s="9">
        <v>0</v>
      </c>
      <c r="AI446" s="8" t="s">
        <v>2050</v>
      </c>
    </row>
    <row r="447" spans="1:35" x14ac:dyDescent="0.2">
      <c r="A447" s="8" t="s">
        <v>1927</v>
      </c>
      <c r="B447" s="8"/>
      <c r="C447" s="8" t="s">
        <v>1934</v>
      </c>
      <c r="D447" s="8" t="s">
        <v>1936</v>
      </c>
      <c r="E447" s="9">
        <v>44.82</v>
      </c>
      <c r="F447" s="8" t="s">
        <v>1740</v>
      </c>
      <c r="G447" s="10">
        <v>4255</v>
      </c>
      <c r="H447" s="132"/>
      <c r="I447" s="8">
        <v>0</v>
      </c>
      <c r="J447" s="9">
        <v>0</v>
      </c>
      <c r="K447" s="8">
        <v>0</v>
      </c>
      <c r="L447" s="9">
        <f t="shared" si="72"/>
        <v>0</v>
      </c>
      <c r="M447" s="8" t="s">
        <v>2076</v>
      </c>
      <c r="N447" s="132"/>
      <c r="O447" s="143"/>
      <c r="P447" s="9">
        <v>0</v>
      </c>
      <c r="Q447" s="143"/>
      <c r="R447" s="9">
        <f t="shared" si="73"/>
        <v>0</v>
      </c>
      <c r="S447" s="8" t="s">
        <v>2050</v>
      </c>
      <c r="T447" s="132"/>
      <c r="U447" s="143"/>
      <c r="V447" s="143"/>
      <c r="W447" s="9">
        <f t="shared" si="78"/>
        <v>0</v>
      </c>
      <c r="X447" s="8" t="s">
        <v>2050</v>
      </c>
      <c r="Y447" s="178"/>
      <c r="Z447" s="143">
        <v>0</v>
      </c>
      <c r="AA447" s="9">
        <v>0</v>
      </c>
      <c r="AB447" s="143">
        <v>0</v>
      </c>
      <c r="AC447" s="9">
        <v>0</v>
      </c>
      <c r="AD447" s="8" t="s">
        <v>2050</v>
      </c>
      <c r="AE447" s="178"/>
      <c r="AF447" s="143"/>
      <c r="AG447" s="143"/>
      <c r="AH447" s="9">
        <v>0</v>
      </c>
      <c r="AI447" s="8" t="s">
        <v>2050</v>
      </c>
    </row>
    <row r="448" spans="1:35" x14ac:dyDescent="0.2">
      <c r="A448" s="8" t="s">
        <v>1927</v>
      </c>
      <c r="B448" s="8"/>
      <c r="C448" s="8" t="s">
        <v>1934</v>
      </c>
      <c r="D448" s="8" t="s">
        <v>1356</v>
      </c>
      <c r="E448" s="9">
        <v>32.18</v>
      </c>
      <c r="F448" s="8" t="s">
        <v>1740</v>
      </c>
      <c r="G448" s="10">
        <v>3169</v>
      </c>
      <c r="H448" s="132"/>
      <c r="I448" s="8">
        <v>0</v>
      </c>
      <c r="J448" s="9">
        <v>0</v>
      </c>
      <c r="K448" s="8">
        <v>0</v>
      </c>
      <c r="L448" s="9">
        <f t="shared" si="72"/>
        <v>0</v>
      </c>
      <c r="M448" s="8" t="s">
        <v>2076</v>
      </c>
      <c r="N448" s="132"/>
      <c r="O448" s="143"/>
      <c r="P448" s="9">
        <v>0</v>
      </c>
      <c r="Q448" s="143"/>
      <c r="R448" s="9">
        <f t="shared" si="73"/>
        <v>0</v>
      </c>
      <c r="S448" s="8" t="s">
        <v>2050</v>
      </c>
      <c r="T448" s="132"/>
      <c r="U448" s="143"/>
      <c r="V448" s="143"/>
      <c r="W448" s="9">
        <f t="shared" si="78"/>
        <v>0</v>
      </c>
      <c r="X448" s="8" t="s">
        <v>2050</v>
      </c>
      <c r="Y448" s="178"/>
      <c r="Z448" s="143">
        <v>0</v>
      </c>
      <c r="AA448" s="9">
        <v>0</v>
      </c>
      <c r="AB448" s="143">
        <v>0</v>
      </c>
      <c r="AC448" s="9">
        <v>0</v>
      </c>
      <c r="AD448" s="8" t="s">
        <v>2050</v>
      </c>
      <c r="AE448" s="178"/>
      <c r="AF448" s="143"/>
      <c r="AG448" s="143"/>
      <c r="AH448" s="9">
        <v>0</v>
      </c>
      <c r="AI448" s="8" t="s">
        <v>2050</v>
      </c>
    </row>
    <row r="449" spans="1:35" x14ac:dyDescent="0.2">
      <c r="A449" s="8" t="s">
        <v>1927</v>
      </c>
      <c r="B449" s="8"/>
      <c r="C449" s="8" t="s">
        <v>1934</v>
      </c>
      <c r="D449" s="8" t="s">
        <v>1387</v>
      </c>
      <c r="E449" s="9">
        <v>25.74</v>
      </c>
      <c r="F449" s="8" t="s">
        <v>1740</v>
      </c>
      <c r="G449" s="10">
        <v>3605</v>
      </c>
      <c r="H449" s="132"/>
      <c r="I449" s="8">
        <v>0</v>
      </c>
      <c r="J449" s="9">
        <v>0</v>
      </c>
      <c r="K449" s="8">
        <v>0</v>
      </c>
      <c r="L449" s="9">
        <f t="shared" si="72"/>
        <v>0</v>
      </c>
      <c r="M449" s="8" t="s">
        <v>2076</v>
      </c>
      <c r="N449" s="132"/>
      <c r="O449" s="143"/>
      <c r="P449" s="9">
        <v>0</v>
      </c>
      <c r="Q449" s="143"/>
      <c r="R449" s="9">
        <f t="shared" si="73"/>
        <v>0</v>
      </c>
      <c r="S449" s="8" t="s">
        <v>2050</v>
      </c>
      <c r="T449" s="132"/>
      <c r="U449" s="143"/>
      <c r="V449" s="143"/>
      <c r="W449" s="9">
        <f t="shared" si="78"/>
        <v>0</v>
      </c>
      <c r="X449" s="8" t="s">
        <v>2050</v>
      </c>
      <c r="Y449" s="178"/>
      <c r="Z449" s="143">
        <v>0</v>
      </c>
      <c r="AA449" s="9">
        <v>0</v>
      </c>
      <c r="AB449" s="143">
        <v>0</v>
      </c>
      <c r="AC449" s="9">
        <v>0</v>
      </c>
      <c r="AD449" s="8" t="s">
        <v>2050</v>
      </c>
      <c r="AE449" s="178"/>
      <c r="AF449" s="143"/>
      <c r="AG449" s="143"/>
      <c r="AH449" s="9">
        <v>0</v>
      </c>
      <c r="AI449" s="8" t="s">
        <v>2050</v>
      </c>
    </row>
    <row r="450" spans="1:35" x14ac:dyDescent="0.2">
      <c r="A450" s="8" t="s">
        <v>1927</v>
      </c>
      <c r="B450" s="8"/>
      <c r="C450" s="8" t="s">
        <v>1934</v>
      </c>
      <c r="D450" s="8" t="s">
        <v>1389</v>
      </c>
      <c r="E450" s="9">
        <v>24.189999999999998</v>
      </c>
      <c r="F450" s="8" t="s">
        <v>1740</v>
      </c>
      <c r="G450" s="10">
        <v>2264</v>
      </c>
      <c r="H450" s="132"/>
      <c r="I450" s="8">
        <v>0</v>
      </c>
      <c r="J450" s="9">
        <v>0</v>
      </c>
      <c r="K450" s="8">
        <v>0</v>
      </c>
      <c r="L450" s="9">
        <f t="shared" si="72"/>
        <v>0</v>
      </c>
      <c r="M450" s="8" t="s">
        <v>2076</v>
      </c>
      <c r="N450" s="132"/>
      <c r="O450" s="143"/>
      <c r="P450" s="9">
        <v>0</v>
      </c>
      <c r="Q450" s="143"/>
      <c r="R450" s="9">
        <f t="shared" si="73"/>
        <v>0</v>
      </c>
      <c r="S450" s="8" t="s">
        <v>2050</v>
      </c>
      <c r="T450" s="132"/>
      <c r="U450" s="143"/>
      <c r="V450" s="143"/>
      <c r="W450" s="9">
        <f t="shared" si="78"/>
        <v>0</v>
      </c>
      <c r="X450" s="8" t="s">
        <v>2050</v>
      </c>
      <c r="Y450" s="178"/>
      <c r="Z450" s="143">
        <v>0</v>
      </c>
      <c r="AA450" s="9">
        <v>0</v>
      </c>
      <c r="AB450" s="143">
        <v>0</v>
      </c>
      <c r="AC450" s="9">
        <v>0</v>
      </c>
      <c r="AD450" s="8" t="s">
        <v>2050</v>
      </c>
      <c r="AE450" s="178"/>
      <c r="AF450" s="143"/>
      <c r="AG450" s="143"/>
      <c r="AH450" s="9">
        <v>0</v>
      </c>
      <c r="AI450" s="8" t="s">
        <v>2050</v>
      </c>
    </row>
    <row r="451" spans="1:35" x14ac:dyDescent="0.2">
      <c r="A451" s="8" t="s">
        <v>1927</v>
      </c>
      <c r="B451" s="8"/>
      <c r="C451" s="8" t="s">
        <v>1934</v>
      </c>
      <c r="D451" s="8" t="s">
        <v>1118</v>
      </c>
      <c r="E451" s="9">
        <v>25.15</v>
      </c>
      <c r="F451" s="8" t="s">
        <v>1740</v>
      </c>
      <c r="G451" s="10">
        <v>3020</v>
      </c>
      <c r="H451" s="132"/>
      <c r="I451" s="8">
        <v>0</v>
      </c>
      <c r="J451" s="9">
        <v>0</v>
      </c>
      <c r="K451" s="8">
        <v>0</v>
      </c>
      <c r="L451" s="9">
        <f t="shared" si="72"/>
        <v>0</v>
      </c>
      <c r="M451" s="8" t="s">
        <v>2076</v>
      </c>
      <c r="N451" s="132"/>
      <c r="O451" s="143"/>
      <c r="P451" s="9">
        <v>0</v>
      </c>
      <c r="Q451" s="143"/>
      <c r="R451" s="9">
        <f t="shared" si="73"/>
        <v>0</v>
      </c>
      <c r="S451" s="8" t="s">
        <v>2050</v>
      </c>
      <c r="T451" s="132"/>
      <c r="U451" s="143"/>
      <c r="V451" s="143"/>
      <c r="W451" s="9">
        <f t="shared" si="78"/>
        <v>0</v>
      </c>
      <c r="X451" s="8" t="s">
        <v>2050</v>
      </c>
      <c r="Y451" s="178"/>
      <c r="Z451" s="143">
        <v>0</v>
      </c>
      <c r="AA451" s="9">
        <v>0</v>
      </c>
      <c r="AB451" s="143">
        <v>0</v>
      </c>
      <c r="AC451" s="9">
        <v>0</v>
      </c>
      <c r="AD451" s="8" t="s">
        <v>2050</v>
      </c>
      <c r="AE451" s="178"/>
      <c r="AF451" s="143"/>
      <c r="AG451" s="143"/>
      <c r="AH451" s="9">
        <v>0</v>
      </c>
      <c r="AI451" s="8" t="s">
        <v>2050</v>
      </c>
    </row>
    <row r="452" spans="1:35" x14ac:dyDescent="0.2">
      <c r="A452" s="8" t="s">
        <v>1927</v>
      </c>
      <c r="B452" s="8"/>
      <c r="C452" s="8" t="s">
        <v>1934</v>
      </c>
      <c r="D452" s="8" t="s">
        <v>1314</v>
      </c>
      <c r="E452" s="9">
        <v>30.78</v>
      </c>
      <c r="F452" s="8" t="s">
        <v>1740</v>
      </c>
      <c r="G452" s="10">
        <v>3021</v>
      </c>
      <c r="H452" s="132"/>
      <c r="I452" s="8">
        <v>0</v>
      </c>
      <c r="J452" s="9">
        <v>0</v>
      </c>
      <c r="K452" s="8">
        <v>0</v>
      </c>
      <c r="L452" s="9">
        <f t="shared" si="72"/>
        <v>0</v>
      </c>
      <c r="M452" s="8" t="s">
        <v>2076</v>
      </c>
      <c r="N452" s="132"/>
      <c r="O452" s="143"/>
      <c r="P452" s="9">
        <v>0</v>
      </c>
      <c r="Q452" s="143"/>
      <c r="R452" s="9">
        <f t="shared" si="73"/>
        <v>0</v>
      </c>
      <c r="S452" s="8" t="s">
        <v>2050</v>
      </c>
      <c r="T452" s="132"/>
      <c r="U452" s="143"/>
      <c r="V452" s="143"/>
      <c r="W452" s="9">
        <f t="shared" si="78"/>
        <v>0</v>
      </c>
      <c r="X452" s="8" t="s">
        <v>2050</v>
      </c>
      <c r="Y452" s="178"/>
      <c r="Z452" s="143">
        <v>0</v>
      </c>
      <c r="AA452" s="9">
        <v>0</v>
      </c>
      <c r="AB452" s="143">
        <v>0</v>
      </c>
      <c r="AC452" s="9">
        <v>0</v>
      </c>
      <c r="AD452" s="8" t="s">
        <v>2050</v>
      </c>
      <c r="AE452" s="178"/>
      <c r="AF452" s="143"/>
      <c r="AG452" s="143"/>
      <c r="AH452" s="9">
        <v>0</v>
      </c>
      <c r="AI452" s="8" t="s">
        <v>2050</v>
      </c>
    </row>
    <row r="453" spans="1:35" x14ac:dyDescent="0.2">
      <c r="A453" s="8" t="s">
        <v>1927</v>
      </c>
      <c r="B453" s="8"/>
      <c r="C453" s="8" t="s">
        <v>1934</v>
      </c>
      <c r="D453" s="8" t="s">
        <v>1328</v>
      </c>
      <c r="E453" s="9">
        <v>35.01</v>
      </c>
      <c r="F453" s="8" t="s">
        <v>1740</v>
      </c>
      <c r="G453" s="10">
        <v>2647</v>
      </c>
      <c r="H453" s="132"/>
      <c r="I453" s="8">
        <v>0</v>
      </c>
      <c r="J453" s="9">
        <v>0</v>
      </c>
      <c r="K453" s="8">
        <v>0</v>
      </c>
      <c r="L453" s="9">
        <f t="shared" ref="L453:L516" si="84">IFERROR(K453/I453*100,0)</f>
        <v>0</v>
      </c>
      <c r="M453" s="8" t="s">
        <v>2076</v>
      </c>
      <c r="N453" s="132"/>
      <c r="O453" s="143"/>
      <c r="P453" s="9">
        <v>0</v>
      </c>
      <c r="Q453" s="143"/>
      <c r="R453" s="9">
        <f t="shared" ref="R453:R516" si="85">IFERROR(Q453/O453*100,0)</f>
        <v>0</v>
      </c>
      <c r="S453" s="8" t="s">
        <v>2050</v>
      </c>
      <c r="T453" s="132"/>
      <c r="U453" s="143"/>
      <c r="V453" s="143"/>
      <c r="W453" s="9">
        <f t="shared" si="78"/>
        <v>0</v>
      </c>
      <c r="X453" s="8" t="s">
        <v>2050</v>
      </c>
      <c r="Y453" s="178"/>
      <c r="Z453" s="143">
        <v>0</v>
      </c>
      <c r="AA453" s="9">
        <v>0</v>
      </c>
      <c r="AB453" s="143">
        <v>0</v>
      </c>
      <c r="AC453" s="9">
        <v>0</v>
      </c>
      <c r="AD453" s="8" t="s">
        <v>2050</v>
      </c>
      <c r="AE453" s="178"/>
      <c r="AF453" s="143"/>
      <c r="AG453" s="143"/>
      <c r="AH453" s="9">
        <v>0</v>
      </c>
      <c r="AI453" s="8" t="s">
        <v>2050</v>
      </c>
    </row>
    <row r="454" spans="1:35" x14ac:dyDescent="0.2">
      <c r="A454" s="8" t="s">
        <v>1927</v>
      </c>
      <c r="B454" s="8"/>
      <c r="C454" s="8" t="s">
        <v>1934</v>
      </c>
      <c r="D454" s="8" t="s">
        <v>1340</v>
      </c>
      <c r="E454" s="9">
        <v>32.9</v>
      </c>
      <c r="F454" s="8" t="s">
        <v>1740</v>
      </c>
      <c r="G454" s="10">
        <v>2519.0000000000005</v>
      </c>
      <c r="H454" s="132"/>
      <c r="I454" s="8">
        <v>0</v>
      </c>
      <c r="J454" s="9">
        <v>0</v>
      </c>
      <c r="K454" s="8">
        <v>0</v>
      </c>
      <c r="L454" s="9">
        <f t="shared" si="84"/>
        <v>0</v>
      </c>
      <c r="M454" s="8" t="s">
        <v>2076</v>
      </c>
      <c r="N454" s="132"/>
      <c r="O454" s="143"/>
      <c r="P454" s="9">
        <v>0</v>
      </c>
      <c r="Q454" s="143"/>
      <c r="R454" s="9">
        <f t="shared" si="85"/>
        <v>0</v>
      </c>
      <c r="S454" s="8" t="s">
        <v>2050</v>
      </c>
      <c r="T454" s="132"/>
      <c r="U454" s="143"/>
      <c r="V454" s="143"/>
      <c r="W454" s="9">
        <f t="shared" ref="W454:W517" si="86">IFERROR(V454/U454*100,0)</f>
        <v>0</v>
      </c>
      <c r="X454" s="8" t="s">
        <v>2050</v>
      </c>
      <c r="Y454" s="178"/>
      <c r="Z454" s="143">
        <v>0</v>
      </c>
      <c r="AA454" s="9">
        <v>0</v>
      </c>
      <c r="AB454" s="143">
        <v>0</v>
      </c>
      <c r="AC454" s="9">
        <v>0</v>
      </c>
      <c r="AD454" s="8" t="s">
        <v>2050</v>
      </c>
      <c r="AE454" s="178"/>
      <c r="AF454" s="143"/>
      <c r="AG454" s="143"/>
      <c r="AH454" s="9">
        <v>0</v>
      </c>
      <c r="AI454" s="8" t="s">
        <v>2050</v>
      </c>
    </row>
    <row r="455" spans="1:35" x14ac:dyDescent="0.2">
      <c r="A455" s="8" t="s">
        <v>1927</v>
      </c>
      <c r="B455" s="8"/>
      <c r="C455" s="8" t="s">
        <v>1934</v>
      </c>
      <c r="D455" s="8" t="s">
        <v>1811</v>
      </c>
      <c r="E455" s="9">
        <v>27.18</v>
      </c>
      <c r="F455" s="8" t="s">
        <v>1740</v>
      </c>
      <c r="G455" s="10">
        <v>3108</v>
      </c>
      <c r="H455" s="132"/>
      <c r="I455" s="8">
        <v>0</v>
      </c>
      <c r="J455" s="9">
        <v>0</v>
      </c>
      <c r="K455" s="8">
        <v>0</v>
      </c>
      <c r="L455" s="9">
        <f t="shared" si="84"/>
        <v>0</v>
      </c>
      <c r="M455" s="8" t="s">
        <v>2076</v>
      </c>
      <c r="N455" s="132"/>
      <c r="O455" s="143"/>
      <c r="P455" s="9">
        <v>0</v>
      </c>
      <c r="Q455" s="143"/>
      <c r="R455" s="9">
        <f t="shared" si="85"/>
        <v>0</v>
      </c>
      <c r="S455" s="8" t="s">
        <v>2050</v>
      </c>
      <c r="T455" s="132"/>
      <c r="U455" s="143"/>
      <c r="V455" s="143"/>
      <c r="W455" s="9">
        <f t="shared" si="86"/>
        <v>0</v>
      </c>
      <c r="X455" s="8" t="s">
        <v>2050</v>
      </c>
      <c r="Y455" s="178"/>
      <c r="Z455" s="143">
        <v>0</v>
      </c>
      <c r="AA455" s="9">
        <v>0</v>
      </c>
      <c r="AB455" s="143">
        <v>0</v>
      </c>
      <c r="AC455" s="9">
        <v>0</v>
      </c>
      <c r="AD455" s="8" t="s">
        <v>2050</v>
      </c>
      <c r="AE455" s="178"/>
      <c r="AF455" s="143"/>
      <c r="AG455" s="143"/>
      <c r="AH455" s="9">
        <v>0</v>
      </c>
      <c r="AI455" s="8" t="s">
        <v>2050</v>
      </c>
    </row>
    <row r="456" spans="1:35" x14ac:dyDescent="0.2">
      <c r="A456" s="8" t="s">
        <v>1927</v>
      </c>
      <c r="B456" s="8"/>
      <c r="C456" s="8" t="s">
        <v>1934</v>
      </c>
      <c r="D456" s="8" t="s">
        <v>1305</v>
      </c>
      <c r="E456" s="9">
        <v>42.359999999999992</v>
      </c>
      <c r="F456" s="8" t="s">
        <v>1740</v>
      </c>
      <c r="G456" s="10">
        <v>4709</v>
      </c>
      <c r="H456" s="132"/>
      <c r="I456" s="8">
        <v>0</v>
      </c>
      <c r="J456" s="9">
        <v>0</v>
      </c>
      <c r="K456" s="8">
        <v>0</v>
      </c>
      <c r="L456" s="9">
        <f t="shared" si="84"/>
        <v>0</v>
      </c>
      <c r="M456" s="8" t="s">
        <v>2076</v>
      </c>
      <c r="N456" s="132"/>
      <c r="O456" s="143"/>
      <c r="P456" s="9">
        <v>0</v>
      </c>
      <c r="Q456" s="143"/>
      <c r="R456" s="9">
        <f t="shared" si="85"/>
        <v>0</v>
      </c>
      <c r="S456" s="8" t="s">
        <v>2050</v>
      </c>
      <c r="T456" s="132"/>
      <c r="U456" s="143"/>
      <c r="V456" s="143"/>
      <c r="W456" s="9">
        <f t="shared" si="86"/>
        <v>0</v>
      </c>
      <c r="X456" s="8" t="s">
        <v>2050</v>
      </c>
      <c r="Y456" s="178"/>
      <c r="Z456" s="143">
        <v>0</v>
      </c>
      <c r="AA456" s="9">
        <v>0</v>
      </c>
      <c r="AB456" s="143">
        <v>0</v>
      </c>
      <c r="AC456" s="9">
        <v>0</v>
      </c>
      <c r="AD456" s="8" t="s">
        <v>2050</v>
      </c>
      <c r="AE456" s="178"/>
      <c r="AF456" s="143"/>
      <c r="AG456" s="143"/>
      <c r="AH456" s="9">
        <v>0</v>
      </c>
      <c r="AI456" s="8" t="s">
        <v>2050</v>
      </c>
    </row>
    <row r="457" spans="1:35" x14ac:dyDescent="0.2">
      <c r="A457" s="8" t="s">
        <v>1927</v>
      </c>
      <c r="B457" s="8"/>
      <c r="C457" s="8" t="s">
        <v>1937</v>
      </c>
      <c r="D457" s="177" t="s">
        <v>1938</v>
      </c>
      <c r="E457" s="9">
        <v>24.08</v>
      </c>
      <c r="F457" s="8" t="s">
        <v>1740</v>
      </c>
      <c r="G457" s="10">
        <v>3086.0000000000005</v>
      </c>
      <c r="H457" s="132"/>
      <c r="I457" s="8">
        <v>0</v>
      </c>
      <c r="J457" s="9">
        <v>0</v>
      </c>
      <c r="K457" s="8">
        <v>0</v>
      </c>
      <c r="L457" s="9">
        <f t="shared" si="84"/>
        <v>0</v>
      </c>
      <c r="M457" s="8" t="s">
        <v>2076</v>
      </c>
      <c r="N457" s="132">
        <v>46148</v>
      </c>
      <c r="O457" s="143">
        <v>64</v>
      </c>
      <c r="P457" s="9">
        <v>2.0738820479585218</v>
      </c>
      <c r="Q457" s="143">
        <v>1</v>
      </c>
      <c r="R457" s="9">
        <f t="shared" si="85"/>
        <v>1.5625</v>
      </c>
      <c r="S457" s="8" t="s">
        <v>2049</v>
      </c>
      <c r="T457" s="132"/>
      <c r="U457" s="143">
        <v>0</v>
      </c>
      <c r="V457" s="143">
        <v>0</v>
      </c>
      <c r="W457" s="9">
        <f t="shared" si="86"/>
        <v>0</v>
      </c>
      <c r="X457" s="8" t="s">
        <v>2050</v>
      </c>
      <c r="Y457" s="178"/>
      <c r="Z457" s="143">
        <v>0</v>
      </c>
      <c r="AA457" s="9">
        <v>0</v>
      </c>
      <c r="AB457" s="143">
        <v>0</v>
      </c>
      <c r="AC457" s="9">
        <v>0</v>
      </c>
      <c r="AD457" s="8" t="s">
        <v>2050</v>
      </c>
      <c r="AE457" s="178">
        <v>46153</v>
      </c>
      <c r="AF457" s="143">
        <v>156</v>
      </c>
      <c r="AG457" s="143">
        <v>3</v>
      </c>
      <c r="AH457" s="9">
        <v>1.9230769230769231</v>
      </c>
      <c r="AI457" s="8" t="s">
        <v>2049</v>
      </c>
    </row>
    <row r="458" spans="1:35" x14ac:dyDescent="0.2">
      <c r="A458" s="8" t="s">
        <v>1927</v>
      </c>
      <c r="B458" s="8"/>
      <c r="C458" s="8" t="s">
        <v>1937</v>
      </c>
      <c r="D458" s="177" t="s">
        <v>1939</v>
      </c>
      <c r="E458" s="9">
        <v>21.88</v>
      </c>
      <c r="F458" s="8" t="s">
        <v>1740</v>
      </c>
      <c r="G458" s="10">
        <v>2734</v>
      </c>
      <c r="H458" s="132"/>
      <c r="I458" s="8">
        <v>0</v>
      </c>
      <c r="J458" s="9">
        <v>0</v>
      </c>
      <c r="K458" s="8">
        <v>0</v>
      </c>
      <c r="L458" s="9">
        <f t="shared" si="84"/>
        <v>0</v>
      </c>
      <c r="M458" s="8" t="s">
        <v>2076</v>
      </c>
      <c r="N458" s="132">
        <v>46148</v>
      </c>
      <c r="O458" s="143">
        <v>80</v>
      </c>
      <c r="P458" s="9">
        <v>2.9261155815654716</v>
      </c>
      <c r="Q458" s="143">
        <v>3</v>
      </c>
      <c r="R458" s="9">
        <f t="shared" si="85"/>
        <v>3.75</v>
      </c>
      <c r="S458" s="8" t="s">
        <v>2049</v>
      </c>
      <c r="T458" s="132"/>
      <c r="U458" s="143">
        <v>0</v>
      </c>
      <c r="V458" s="143">
        <v>0</v>
      </c>
      <c r="W458" s="9">
        <f t="shared" si="86"/>
        <v>0</v>
      </c>
      <c r="X458" s="8" t="s">
        <v>2050</v>
      </c>
      <c r="Y458" s="178"/>
      <c r="Z458" s="143">
        <v>0</v>
      </c>
      <c r="AA458" s="9">
        <v>0</v>
      </c>
      <c r="AB458" s="143">
        <v>0</v>
      </c>
      <c r="AC458" s="9">
        <v>0</v>
      </c>
      <c r="AD458" s="8" t="s">
        <v>2050</v>
      </c>
      <c r="AE458" s="178"/>
      <c r="AF458" s="143">
        <v>0</v>
      </c>
      <c r="AG458" s="143">
        <v>0</v>
      </c>
      <c r="AH458" s="9">
        <v>0</v>
      </c>
      <c r="AI458" s="8" t="s">
        <v>2050</v>
      </c>
    </row>
    <row r="459" spans="1:35" x14ac:dyDescent="0.2">
      <c r="A459" s="8" t="s">
        <v>1927</v>
      </c>
      <c r="B459" s="8"/>
      <c r="C459" s="8" t="s">
        <v>1937</v>
      </c>
      <c r="D459" s="177" t="s">
        <v>1940</v>
      </c>
      <c r="E459" s="9">
        <v>36.06</v>
      </c>
      <c r="F459" s="8" t="s">
        <v>1740</v>
      </c>
      <c r="G459" s="10">
        <v>4542</v>
      </c>
      <c r="H459" s="132">
        <v>46154</v>
      </c>
      <c r="I459" s="8">
        <v>421</v>
      </c>
      <c r="J459" s="9">
        <v>9.2690444738000881</v>
      </c>
      <c r="K459" s="8">
        <v>24</v>
      </c>
      <c r="L459" s="9">
        <f t="shared" si="84"/>
        <v>5.7007125890736345</v>
      </c>
      <c r="M459" s="8" t="s">
        <v>2075</v>
      </c>
      <c r="N459" s="132">
        <v>46149</v>
      </c>
      <c r="O459" s="143">
        <v>43</v>
      </c>
      <c r="P459" s="9">
        <v>0.94671950682518702</v>
      </c>
      <c r="Q459" s="143">
        <v>3</v>
      </c>
      <c r="R459" s="9">
        <f t="shared" si="85"/>
        <v>6.9767441860465116</v>
      </c>
      <c r="S459" s="8" t="s">
        <v>2040</v>
      </c>
      <c r="T459" s="132">
        <v>46149</v>
      </c>
      <c r="U459" s="143">
        <v>176</v>
      </c>
      <c r="V459" s="143">
        <v>4</v>
      </c>
      <c r="W459" s="9">
        <f t="shared" si="86"/>
        <v>2.2727272727272729</v>
      </c>
      <c r="X459" s="8" t="s">
        <v>2049</v>
      </c>
      <c r="Y459" s="178"/>
      <c r="Z459" s="143">
        <v>0</v>
      </c>
      <c r="AA459" s="9">
        <v>0</v>
      </c>
      <c r="AB459" s="143">
        <v>0</v>
      </c>
      <c r="AC459" s="9">
        <v>0</v>
      </c>
      <c r="AD459" s="8" t="s">
        <v>2050</v>
      </c>
      <c r="AE459" s="178"/>
      <c r="AF459" s="143">
        <v>0</v>
      </c>
      <c r="AG459" s="143">
        <v>0</v>
      </c>
      <c r="AH459" s="9">
        <v>0</v>
      </c>
      <c r="AI459" s="8" t="s">
        <v>2050</v>
      </c>
    </row>
    <row r="460" spans="1:35" x14ac:dyDescent="0.2">
      <c r="A460" s="8" t="s">
        <v>1927</v>
      </c>
      <c r="B460" s="8"/>
      <c r="C460" s="8" t="s">
        <v>1937</v>
      </c>
      <c r="D460" s="177" t="s">
        <v>1941</v>
      </c>
      <c r="E460" s="9">
        <v>33.51</v>
      </c>
      <c r="F460" s="8" t="s">
        <v>1740</v>
      </c>
      <c r="G460" s="10">
        <v>4098</v>
      </c>
      <c r="H460" s="132"/>
      <c r="I460" s="8">
        <v>0</v>
      </c>
      <c r="J460" s="9">
        <v>0</v>
      </c>
      <c r="K460" s="8">
        <v>0</v>
      </c>
      <c r="L460" s="9">
        <f t="shared" si="84"/>
        <v>0</v>
      </c>
      <c r="M460" s="8" t="s">
        <v>2076</v>
      </c>
      <c r="N460" s="132">
        <v>46150</v>
      </c>
      <c r="O460" s="143">
        <v>61</v>
      </c>
      <c r="P460" s="9">
        <v>1.488530990727184</v>
      </c>
      <c r="Q460" s="143">
        <v>3</v>
      </c>
      <c r="R460" s="9">
        <f t="shared" si="85"/>
        <v>4.918032786885246</v>
      </c>
      <c r="S460" s="8" t="s">
        <v>2049</v>
      </c>
      <c r="T460" s="132"/>
      <c r="U460" s="143">
        <v>0</v>
      </c>
      <c r="V460" s="143">
        <v>0</v>
      </c>
      <c r="W460" s="9">
        <f t="shared" si="86"/>
        <v>0</v>
      </c>
      <c r="X460" s="8" t="s">
        <v>2050</v>
      </c>
      <c r="Y460" s="178"/>
      <c r="Z460" s="143">
        <v>0</v>
      </c>
      <c r="AA460" s="9">
        <v>0</v>
      </c>
      <c r="AB460" s="143">
        <v>0</v>
      </c>
      <c r="AC460" s="9">
        <v>0</v>
      </c>
      <c r="AD460" s="8" t="s">
        <v>2050</v>
      </c>
      <c r="AE460" s="178"/>
      <c r="AF460" s="143">
        <v>0</v>
      </c>
      <c r="AG460" s="143">
        <v>0</v>
      </c>
      <c r="AH460" s="9">
        <v>0</v>
      </c>
      <c r="AI460" s="8" t="s">
        <v>2050</v>
      </c>
    </row>
    <row r="461" spans="1:35" x14ac:dyDescent="0.2">
      <c r="A461" s="8" t="s">
        <v>1927</v>
      </c>
      <c r="B461" s="8"/>
      <c r="C461" s="8" t="s">
        <v>1937</v>
      </c>
      <c r="D461" s="8" t="s">
        <v>1942</v>
      </c>
      <c r="E461" s="9">
        <v>18.8</v>
      </c>
      <c r="F461" s="8" t="s">
        <v>1740</v>
      </c>
      <c r="G461" s="10">
        <v>2555.0000000000005</v>
      </c>
      <c r="H461" s="132"/>
      <c r="I461" s="8">
        <v>0</v>
      </c>
      <c r="J461" s="9">
        <v>0</v>
      </c>
      <c r="K461" s="8">
        <v>0</v>
      </c>
      <c r="L461" s="9">
        <f t="shared" si="84"/>
        <v>0</v>
      </c>
      <c r="M461" s="8" t="s">
        <v>2076</v>
      </c>
      <c r="N461" s="132"/>
      <c r="O461" s="143">
        <v>0</v>
      </c>
      <c r="P461" s="9">
        <v>0</v>
      </c>
      <c r="Q461" s="143">
        <v>0</v>
      </c>
      <c r="R461" s="9">
        <f t="shared" si="85"/>
        <v>0</v>
      </c>
      <c r="S461" s="8" t="s">
        <v>2050</v>
      </c>
      <c r="T461" s="132"/>
      <c r="U461" s="143">
        <v>0</v>
      </c>
      <c r="V461" s="143">
        <v>0</v>
      </c>
      <c r="W461" s="9">
        <f t="shared" si="86"/>
        <v>0</v>
      </c>
      <c r="X461" s="8" t="s">
        <v>2050</v>
      </c>
      <c r="Y461" s="178">
        <v>46157</v>
      </c>
      <c r="Z461" s="143">
        <v>55</v>
      </c>
      <c r="AA461" s="9">
        <v>2.1526418786692756</v>
      </c>
      <c r="AB461" s="143">
        <v>0</v>
      </c>
      <c r="AC461" s="9">
        <v>0</v>
      </c>
      <c r="AD461" s="8" t="s">
        <v>2050</v>
      </c>
      <c r="AE461" s="178"/>
      <c r="AF461" s="143">
        <v>0</v>
      </c>
      <c r="AG461" s="143">
        <v>0</v>
      </c>
      <c r="AH461" s="9">
        <v>0</v>
      </c>
      <c r="AI461" s="8" t="s">
        <v>2050</v>
      </c>
    </row>
    <row r="462" spans="1:35" x14ac:dyDescent="0.2">
      <c r="A462" s="8" t="s">
        <v>1927</v>
      </c>
      <c r="B462" s="8"/>
      <c r="C462" s="8" t="s">
        <v>1937</v>
      </c>
      <c r="D462" s="177" t="s">
        <v>1943</v>
      </c>
      <c r="E462" s="9">
        <v>39.590000000000003</v>
      </c>
      <c r="F462" s="8" t="s">
        <v>1740</v>
      </c>
      <c r="G462" s="10">
        <v>5106</v>
      </c>
      <c r="H462" s="132"/>
      <c r="I462" s="8">
        <v>0</v>
      </c>
      <c r="J462" s="9">
        <v>0</v>
      </c>
      <c r="K462" s="8">
        <v>0</v>
      </c>
      <c r="L462" s="9">
        <f t="shared" si="84"/>
        <v>0</v>
      </c>
      <c r="M462" s="8" t="s">
        <v>2076</v>
      </c>
      <c r="N462" s="132">
        <v>46149</v>
      </c>
      <c r="O462" s="143">
        <v>80</v>
      </c>
      <c r="P462" s="9">
        <v>1.5667841754798277</v>
      </c>
      <c r="Q462" s="143">
        <v>1</v>
      </c>
      <c r="R462" s="9">
        <f t="shared" si="85"/>
        <v>1.25</v>
      </c>
      <c r="S462" s="8" t="s">
        <v>2049</v>
      </c>
      <c r="T462" s="132"/>
      <c r="U462" s="143">
        <v>0</v>
      </c>
      <c r="V462" s="143">
        <v>0</v>
      </c>
      <c r="W462" s="9">
        <f t="shared" si="86"/>
        <v>0</v>
      </c>
      <c r="X462" s="8" t="s">
        <v>2050</v>
      </c>
      <c r="Y462" s="178"/>
      <c r="Z462" s="143">
        <v>0</v>
      </c>
      <c r="AA462" s="9">
        <v>0</v>
      </c>
      <c r="AB462" s="143">
        <v>0</v>
      </c>
      <c r="AC462" s="9">
        <v>0</v>
      </c>
      <c r="AD462" s="8" t="s">
        <v>2050</v>
      </c>
      <c r="AE462" s="178">
        <v>46153</v>
      </c>
      <c r="AF462" s="143">
        <v>195</v>
      </c>
      <c r="AG462" s="143">
        <v>5</v>
      </c>
      <c r="AH462" s="9">
        <v>2.5641025641025639</v>
      </c>
      <c r="AI462" s="8" t="s">
        <v>2049</v>
      </c>
    </row>
    <row r="463" spans="1:35" x14ac:dyDescent="0.2">
      <c r="A463" s="8" t="s">
        <v>1927</v>
      </c>
      <c r="B463" s="8"/>
      <c r="C463" s="8" t="s">
        <v>1937</v>
      </c>
      <c r="D463" s="177" t="s">
        <v>1944</v>
      </c>
      <c r="E463" s="9">
        <v>24.709999999999997</v>
      </c>
      <c r="F463" s="8" t="s">
        <v>1740</v>
      </c>
      <c r="G463" s="10">
        <v>3060</v>
      </c>
      <c r="H463" s="132">
        <v>46154</v>
      </c>
      <c r="I463" s="8">
        <v>298</v>
      </c>
      <c r="J463" s="9">
        <v>9.7385620915032689</v>
      </c>
      <c r="K463" s="8">
        <v>19</v>
      </c>
      <c r="L463" s="9">
        <f t="shared" si="84"/>
        <v>6.375838926174497</v>
      </c>
      <c r="M463" s="8" t="s">
        <v>2075</v>
      </c>
      <c r="N463" s="132">
        <v>46149</v>
      </c>
      <c r="O463" s="143">
        <v>81</v>
      </c>
      <c r="P463" s="9">
        <v>2.6470588235294117</v>
      </c>
      <c r="Q463" s="143">
        <v>6</v>
      </c>
      <c r="R463" s="9">
        <f t="shared" si="85"/>
        <v>7.4074074074074066</v>
      </c>
      <c r="S463" s="8" t="s">
        <v>2040</v>
      </c>
      <c r="T463" s="132">
        <v>46149</v>
      </c>
      <c r="U463" s="143">
        <v>907</v>
      </c>
      <c r="V463" s="143">
        <v>20</v>
      </c>
      <c r="W463" s="9">
        <f t="shared" si="86"/>
        <v>2.2050716648291067</v>
      </c>
      <c r="X463" s="8" t="s">
        <v>2049</v>
      </c>
      <c r="Y463" s="178"/>
      <c r="Z463" s="143">
        <v>0</v>
      </c>
      <c r="AA463" s="9">
        <v>0</v>
      </c>
      <c r="AB463" s="143">
        <v>0</v>
      </c>
      <c r="AC463" s="9">
        <v>0</v>
      </c>
      <c r="AD463" s="8" t="s">
        <v>2050</v>
      </c>
      <c r="AE463" s="178"/>
      <c r="AF463" s="143">
        <v>0</v>
      </c>
      <c r="AG463" s="143">
        <v>0</v>
      </c>
      <c r="AH463" s="9">
        <v>0</v>
      </c>
      <c r="AI463" s="8" t="s">
        <v>2050</v>
      </c>
    </row>
    <row r="464" spans="1:35" x14ac:dyDescent="0.2">
      <c r="A464" s="8" t="s">
        <v>1927</v>
      </c>
      <c r="B464" s="8"/>
      <c r="C464" s="8" t="s">
        <v>1937</v>
      </c>
      <c r="D464" s="8" t="s">
        <v>1945</v>
      </c>
      <c r="E464" s="9">
        <v>28.72</v>
      </c>
      <c r="F464" s="8" t="s">
        <v>1740</v>
      </c>
      <c r="G464" s="10">
        <v>3648</v>
      </c>
      <c r="H464" s="132"/>
      <c r="I464" s="8">
        <v>0</v>
      </c>
      <c r="J464" s="9">
        <v>0</v>
      </c>
      <c r="K464" s="8">
        <v>0</v>
      </c>
      <c r="L464" s="9">
        <f t="shared" si="84"/>
        <v>0</v>
      </c>
      <c r="M464" s="8" t="s">
        <v>2076</v>
      </c>
      <c r="N464" s="132"/>
      <c r="O464" s="143">
        <v>0</v>
      </c>
      <c r="P464" s="9">
        <v>0</v>
      </c>
      <c r="Q464" s="143">
        <v>0</v>
      </c>
      <c r="R464" s="9">
        <f t="shared" si="85"/>
        <v>0</v>
      </c>
      <c r="S464" s="8" t="s">
        <v>2050</v>
      </c>
      <c r="T464" s="132"/>
      <c r="U464" s="143">
        <v>0</v>
      </c>
      <c r="V464" s="143">
        <v>0</v>
      </c>
      <c r="W464" s="9">
        <f t="shared" si="86"/>
        <v>0</v>
      </c>
      <c r="X464" s="8" t="s">
        <v>2050</v>
      </c>
      <c r="Y464" s="178">
        <v>46157</v>
      </c>
      <c r="Z464" s="143">
        <v>61</v>
      </c>
      <c r="AA464" s="9">
        <v>1.6721491228070176</v>
      </c>
      <c r="AB464" s="143">
        <v>3</v>
      </c>
      <c r="AC464" s="9">
        <v>4.918032786885246</v>
      </c>
      <c r="AD464" s="8" t="s">
        <v>2049</v>
      </c>
      <c r="AE464" s="178"/>
      <c r="AF464" s="143">
        <v>0</v>
      </c>
      <c r="AG464" s="143">
        <v>0</v>
      </c>
      <c r="AH464" s="9">
        <v>0</v>
      </c>
      <c r="AI464" s="8" t="s">
        <v>2050</v>
      </c>
    </row>
    <row r="465" spans="1:35" x14ac:dyDescent="0.2">
      <c r="A465" s="8" t="s">
        <v>1927</v>
      </c>
      <c r="B465" s="8"/>
      <c r="C465" s="8" t="s">
        <v>1937</v>
      </c>
      <c r="D465" s="177" t="s">
        <v>1946</v>
      </c>
      <c r="E465" s="9">
        <v>28.18</v>
      </c>
      <c r="F465" s="8" t="s">
        <v>1740</v>
      </c>
      <c r="G465" s="10">
        <v>3574</v>
      </c>
      <c r="H465" s="132"/>
      <c r="I465" s="8">
        <v>0</v>
      </c>
      <c r="J465" s="9">
        <v>0</v>
      </c>
      <c r="K465" s="8">
        <v>0</v>
      </c>
      <c r="L465" s="9">
        <f t="shared" si="84"/>
        <v>0</v>
      </c>
      <c r="M465" s="8" t="s">
        <v>2076</v>
      </c>
      <c r="N465" s="132">
        <v>46150</v>
      </c>
      <c r="O465" s="143">
        <v>64</v>
      </c>
      <c r="P465" s="9">
        <v>1.790710688304421</v>
      </c>
      <c r="Q465" s="143">
        <v>1</v>
      </c>
      <c r="R465" s="9">
        <f t="shared" si="85"/>
        <v>1.5625</v>
      </c>
      <c r="S465" s="8" t="s">
        <v>2049</v>
      </c>
      <c r="T465" s="132"/>
      <c r="U465" s="143">
        <v>0</v>
      </c>
      <c r="V465" s="143">
        <v>0</v>
      </c>
      <c r="W465" s="9">
        <f t="shared" si="86"/>
        <v>0</v>
      </c>
      <c r="X465" s="8" t="s">
        <v>2050</v>
      </c>
      <c r="Y465" s="178"/>
      <c r="Z465" s="143">
        <v>0</v>
      </c>
      <c r="AA465" s="9">
        <v>0</v>
      </c>
      <c r="AB465" s="143">
        <v>0</v>
      </c>
      <c r="AC465" s="9">
        <v>0</v>
      </c>
      <c r="AD465" s="8" t="s">
        <v>2050</v>
      </c>
      <c r="AE465" s="178"/>
      <c r="AF465" s="143">
        <v>0</v>
      </c>
      <c r="AG465" s="143">
        <v>0</v>
      </c>
      <c r="AH465" s="9">
        <v>0</v>
      </c>
      <c r="AI465" s="8" t="s">
        <v>2050</v>
      </c>
    </row>
    <row r="466" spans="1:35" x14ac:dyDescent="0.2">
      <c r="A466" s="8" t="s">
        <v>1927</v>
      </c>
      <c r="B466" s="8"/>
      <c r="C466" s="8" t="s">
        <v>1937</v>
      </c>
      <c r="D466" s="177" t="s">
        <v>1947</v>
      </c>
      <c r="E466" s="9">
        <v>30.74</v>
      </c>
      <c r="F466" s="8" t="s">
        <v>1740</v>
      </c>
      <c r="G466" s="10">
        <v>3920</v>
      </c>
      <c r="H466" s="132"/>
      <c r="I466" s="8">
        <v>0</v>
      </c>
      <c r="J466" s="9">
        <v>0</v>
      </c>
      <c r="K466" s="8">
        <v>0</v>
      </c>
      <c r="L466" s="9">
        <f t="shared" si="84"/>
        <v>0</v>
      </c>
      <c r="M466" s="8" t="s">
        <v>2076</v>
      </c>
      <c r="N466" s="132">
        <v>46149</v>
      </c>
      <c r="O466" s="143">
        <v>78</v>
      </c>
      <c r="P466" s="9">
        <v>1.9897959183673468</v>
      </c>
      <c r="Q466" s="143">
        <v>1</v>
      </c>
      <c r="R466" s="9">
        <f t="shared" si="85"/>
        <v>1.2820512820512819</v>
      </c>
      <c r="S466" s="8" t="s">
        <v>2049</v>
      </c>
      <c r="T466" s="132">
        <v>46149</v>
      </c>
      <c r="U466" s="143">
        <v>509</v>
      </c>
      <c r="V466" s="143">
        <v>13</v>
      </c>
      <c r="W466" s="9">
        <f t="shared" si="86"/>
        <v>2.5540275049115913</v>
      </c>
      <c r="X466" s="8" t="s">
        <v>2049</v>
      </c>
      <c r="Y466" s="178"/>
      <c r="Z466" s="143">
        <v>0</v>
      </c>
      <c r="AA466" s="9">
        <v>0</v>
      </c>
      <c r="AB466" s="143">
        <v>0</v>
      </c>
      <c r="AC466" s="9">
        <v>0</v>
      </c>
      <c r="AD466" s="8" t="s">
        <v>2050</v>
      </c>
      <c r="AE466" s="178"/>
      <c r="AF466" s="143">
        <v>0</v>
      </c>
      <c r="AG466" s="143">
        <v>0</v>
      </c>
      <c r="AH466" s="9">
        <v>0</v>
      </c>
      <c r="AI466" s="8" t="s">
        <v>2050</v>
      </c>
    </row>
    <row r="467" spans="1:35" x14ac:dyDescent="0.2">
      <c r="A467" s="8" t="s">
        <v>1927</v>
      </c>
      <c r="B467" s="8"/>
      <c r="C467" s="8" t="s">
        <v>1937</v>
      </c>
      <c r="D467" s="177" t="s">
        <v>1948</v>
      </c>
      <c r="E467" s="9">
        <v>43.780000000000008</v>
      </c>
      <c r="F467" s="8" t="s">
        <v>1740</v>
      </c>
      <c r="G467" s="10">
        <v>4990</v>
      </c>
      <c r="H467" s="132"/>
      <c r="I467" s="8">
        <v>0</v>
      </c>
      <c r="J467" s="9">
        <v>0</v>
      </c>
      <c r="K467" s="8">
        <v>0</v>
      </c>
      <c r="L467" s="9">
        <f t="shared" si="84"/>
        <v>0</v>
      </c>
      <c r="M467" s="8" t="s">
        <v>2076</v>
      </c>
      <c r="N467" s="132">
        <v>46149</v>
      </c>
      <c r="O467" s="143">
        <v>71</v>
      </c>
      <c r="P467" s="9">
        <v>1.4228456913827654</v>
      </c>
      <c r="Q467" s="143">
        <v>3</v>
      </c>
      <c r="R467" s="9">
        <f t="shared" si="85"/>
        <v>4.225352112676056</v>
      </c>
      <c r="S467" s="8" t="s">
        <v>2049</v>
      </c>
      <c r="T467" s="132">
        <v>46149</v>
      </c>
      <c r="U467" s="143">
        <v>1045</v>
      </c>
      <c r="V467" s="143">
        <v>26</v>
      </c>
      <c r="W467" s="9">
        <f t="shared" si="86"/>
        <v>2.4880382775119618</v>
      </c>
      <c r="X467" s="8" t="s">
        <v>2049</v>
      </c>
      <c r="Y467" s="178"/>
      <c r="Z467" s="143">
        <v>0</v>
      </c>
      <c r="AA467" s="9">
        <v>0</v>
      </c>
      <c r="AB467" s="143">
        <v>0</v>
      </c>
      <c r="AC467" s="9">
        <v>0</v>
      </c>
      <c r="AD467" s="8" t="s">
        <v>2050</v>
      </c>
      <c r="AE467" s="178"/>
      <c r="AF467" s="143">
        <v>0</v>
      </c>
      <c r="AG467" s="143">
        <v>0</v>
      </c>
      <c r="AH467" s="9">
        <v>0</v>
      </c>
      <c r="AI467" s="8" t="s">
        <v>2050</v>
      </c>
    </row>
    <row r="468" spans="1:35" x14ac:dyDescent="0.2">
      <c r="A468" s="8" t="s">
        <v>1927</v>
      </c>
      <c r="B468" s="8"/>
      <c r="C468" s="8" t="s">
        <v>1937</v>
      </c>
      <c r="D468" s="177" t="s">
        <v>1949</v>
      </c>
      <c r="E468" s="9">
        <v>31.97</v>
      </c>
      <c r="F468" s="8" t="s">
        <v>1740</v>
      </c>
      <c r="G468" s="10">
        <v>4090</v>
      </c>
      <c r="H468" s="132">
        <v>46155</v>
      </c>
      <c r="I468" s="8">
        <v>456</v>
      </c>
      <c r="J468" s="9">
        <v>11.149144254278728</v>
      </c>
      <c r="K468" s="8">
        <v>93</v>
      </c>
      <c r="L468" s="9">
        <f t="shared" si="84"/>
        <v>20.394736842105264</v>
      </c>
      <c r="M468" s="8" t="s">
        <v>2075</v>
      </c>
      <c r="N468" s="132"/>
      <c r="O468" s="143">
        <v>0</v>
      </c>
      <c r="P468" s="9">
        <v>0</v>
      </c>
      <c r="Q468" s="143">
        <v>0</v>
      </c>
      <c r="R468" s="9">
        <f t="shared" si="85"/>
        <v>0</v>
      </c>
      <c r="S468" s="8" t="s">
        <v>2050</v>
      </c>
      <c r="T468" s="132"/>
      <c r="U468" s="143">
        <v>0</v>
      </c>
      <c r="V468" s="143">
        <v>0</v>
      </c>
      <c r="W468" s="9">
        <f t="shared" si="86"/>
        <v>0</v>
      </c>
      <c r="X468" s="8" t="s">
        <v>2050</v>
      </c>
      <c r="Y468" s="178">
        <v>46154</v>
      </c>
      <c r="Z468" s="143">
        <v>54</v>
      </c>
      <c r="AA468" s="9">
        <v>1.3202933985330072</v>
      </c>
      <c r="AB468" s="143">
        <v>12</v>
      </c>
      <c r="AC468" s="9">
        <v>22.222222222222221</v>
      </c>
      <c r="AD468" s="8" t="s">
        <v>2040</v>
      </c>
      <c r="AE468" s="178"/>
      <c r="AF468" s="143">
        <v>0</v>
      </c>
      <c r="AG468" s="143">
        <v>0</v>
      </c>
      <c r="AH468" s="9">
        <v>0</v>
      </c>
      <c r="AI468" s="8" t="s">
        <v>2050</v>
      </c>
    </row>
    <row r="469" spans="1:35" x14ac:dyDescent="0.2">
      <c r="A469" s="8" t="s">
        <v>1927</v>
      </c>
      <c r="B469" s="8"/>
      <c r="C469" s="8" t="s">
        <v>1937</v>
      </c>
      <c r="D469" s="8" t="s">
        <v>1950</v>
      </c>
      <c r="E469" s="9">
        <v>26.73</v>
      </c>
      <c r="F469" s="8" t="s">
        <v>1740</v>
      </c>
      <c r="G469" s="10">
        <v>3218</v>
      </c>
      <c r="H469" s="132"/>
      <c r="I469" s="8">
        <v>0</v>
      </c>
      <c r="J469" s="9">
        <v>0</v>
      </c>
      <c r="K469" s="8">
        <v>0</v>
      </c>
      <c r="L469" s="9">
        <f t="shared" si="84"/>
        <v>0</v>
      </c>
      <c r="M469" s="8" t="s">
        <v>2076</v>
      </c>
      <c r="N469" s="132"/>
      <c r="O469" s="143">
        <v>0</v>
      </c>
      <c r="P469" s="9">
        <v>0</v>
      </c>
      <c r="Q469" s="143">
        <v>0</v>
      </c>
      <c r="R469" s="9">
        <f t="shared" si="85"/>
        <v>0</v>
      </c>
      <c r="S469" s="8" t="s">
        <v>2050</v>
      </c>
      <c r="T469" s="132"/>
      <c r="U469" s="143">
        <v>0</v>
      </c>
      <c r="V469" s="143">
        <v>0</v>
      </c>
      <c r="W469" s="9">
        <f t="shared" si="86"/>
        <v>0</v>
      </c>
      <c r="X469" s="8" t="s">
        <v>2050</v>
      </c>
      <c r="Y469" s="178">
        <v>46154</v>
      </c>
      <c r="Z469" s="143">
        <v>61</v>
      </c>
      <c r="AA469" s="9">
        <v>1.8955873213175884</v>
      </c>
      <c r="AB469" s="143">
        <v>3</v>
      </c>
      <c r="AC469" s="9">
        <v>4.918032786885246</v>
      </c>
      <c r="AD469" s="8" t="s">
        <v>2049</v>
      </c>
      <c r="AE469" s="178"/>
      <c r="AF469" s="143">
        <v>0</v>
      </c>
      <c r="AG469" s="143">
        <v>0</v>
      </c>
      <c r="AH469" s="9">
        <v>0</v>
      </c>
      <c r="AI469" s="8" t="s">
        <v>2050</v>
      </c>
    </row>
    <row r="470" spans="1:35" x14ac:dyDescent="0.2">
      <c r="A470" s="8" t="s">
        <v>1927</v>
      </c>
      <c r="B470" s="8"/>
      <c r="C470" s="8" t="s">
        <v>1937</v>
      </c>
      <c r="D470" s="177" t="s">
        <v>1215</v>
      </c>
      <c r="E470" s="9">
        <v>28.119999999999997</v>
      </c>
      <c r="F470" s="8" t="s">
        <v>1740</v>
      </c>
      <c r="G470" s="10">
        <v>3820</v>
      </c>
      <c r="H470" s="132">
        <v>46154</v>
      </c>
      <c r="I470" s="8">
        <v>423</v>
      </c>
      <c r="J470" s="9">
        <v>11.073298429319371</v>
      </c>
      <c r="K470" s="8">
        <v>32</v>
      </c>
      <c r="L470" s="9">
        <f t="shared" si="84"/>
        <v>7.5650118203309695</v>
      </c>
      <c r="M470" s="8" t="s">
        <v>2075</v>
      </c>
      <c r="N470" s="132"/>
      <c r="O470" s="143">
        <v>0</v>
      </c>
      <c r="P470" s="9">
        <v>0</v>
      </c>
      <c r="Q470" s="143">
        <v>0</v>
      </c>
      <c r="R470" s="9">
        <f t="shared" si="85"/>
        <v>0</v>
      </c>
      <c r="S470" s="8" t="s">
        <v>2050</v>
      </c>
      <c r="T470" s="132"/>
      <c r="U470" s="143">
        <v>0</v>
      </c>
      <c r="V470" s="143">
        <v>0</v>
      </c>
      <c r="W470" s="9">
        <f t="shared" si="86"/>
        <v>0</v>
      </c>
      <c r="X470" s="8" t="s">
        <v>2050</v>
      </c>
      <c r="Y470" s="178">
        <v>46157</v>
      </c>
      <c r="Z470" s="143">
        <v>57</v>
      </c>
      <c r="AA470" s="9">
        <v>1.4921465968586389</v>
      </c>
      <c r="AB470" s="143">
        <v>6</v>
      </c>
      <c r="AC470" s="9">
        <v>10.526315789473683</v>
      </c>
      <c r="AD470" s="8" t="s">
        <v>2040</v>
      </c>
      <c r="AE470" s="178"/>
      <c r="AF470" s="143">
        <v>0</v>
      </c>
      <c r="AG470" s="143">
        <v>0</v>
      </c>
      <c r="AH470" s="9">
        <v>0</v>
      </c>
      <c r="AI470" s="8" t="s">
        <v>2050</v>
      </c>
    </row>
    <row r="471" spans="1:35" x14ac:dyDescent="0.2">
      <c r="A471" s="8" t="s">
        <v>1927</v>
      </c>
      <c r="B471" s="8"/>
      <c r="C471" s="8" t="s">
        <v>1951</v>
      </c>
      <c r="D471" s="177" t="s">
        <v>1952</v>
      </c>
      <c r="E471" s="9">
        <v>44.169999999999995</v>
      </c>
      <c r="F471" s="8" t="s">
        <v>1740</v>
      </c>
      <c r="G471" s="10">
        <v>5433</v>
      </c>
      <c r="H471" s="132"/>
      <c r="I471" s="8">
        <v>0</v>
      </c>
      <c r="J471" s="9">
        <v>0</v>
      </c>
      <c r="K471" s="8">
        <v>0</v>
      </c>
      <c r="L471" s="9">
        <f t="shared" si="84"/>
        <v>0</v>
      </c>
      <c r="M471" s="8" t="s">
        <v>2076</v>
      </c>
      <c r="N471" s="132">
        <v>46148</v>
      </c>
      <c r="O471" s="143">
        <v>116</v>
      </c>
      <c r="P471" s="9">
        <v>2.1351003129026322</v>
      </c>
      <c r="Q471" s="143">
        <v>4</v>
      </c>
      <c r="R471" s="9">
        <f t="shared" si="85"/>
        <v>3.4482758620689653</v>
      </c>
      <c r="S471" s="8" t="s">
        <v>2049</v>
      </c>
      <c r="T471" s="132">
        <v>46148</v>
      </c>
      <c r="U471" s="143">
        <v>432</v>
      </c>
      <c r="V471" s="143">
        <v>26</v>
      </c>
      <c r="W471" s="9">
        <f t="shared" si="86"/>
        <v>6.0185185185185182</v>
      </c>
      <c r="X471" s="8" t="s">
        <v>2040</v>
      </c>
      <c r="Y471" s="178"/>
      <c r="Z471" s="143">
        <v>0</v>
      </c>
      <c r="AA471" s="9">
        <v>0</v>
      </c>
      <c r="AB471" s="143">
        <v>0</v>
      </c>
      <c r="AC471" s="9">
        <v>0</v>
      </c>
      <c r="AD471" s="8" t="s">
        <v>2050</v>
      </c>
      <c r="AE471" s="178"/>
      <c r="AF471" s="143">
        <v>0</v>
      </c>
      <c r="AG471" s="143">
        <v>0</v>
      </c>
      <c r="AH471" s="9">
        <v>0</v>
      </c>
      <c r="AI471" s="8" t="s">
        <v>2050</v>
      </c>
    </row>
    <row r="472" spans="1:35" x14ac:dyDescent="0.2">
      <c r="A472" s="8" t="s">
        <v>1927</v>
      </c>
      <c r="B472" s="8"/>
      <c r="C472" s="8" t="s">
        <v>1951</v>
      </c>
      <c r="D472" s="177" t="s">
        <v>1953</v>
      </c>
      <c r="E472" s="9">
        <v>34.64</v>
      </c>
      <c r="F472" s="8" t="s">
        <v>1740</v>
      </c>
      <c r="G472" s="10">
        <v>4244</v>
      </c>
      <c r="H472" s="132"/>
      <c r="I472" s="8">
        <v>0</v>
      </c>
      <c r="J472" s="9">
        <v>0</v>
      </c>
      <c r="K472" s="8">
        <v>0</v>
      </c>
      <c r="L472" s="9">
        <f t="shared" si="84"/>
        <v>0</v>
      </c>
      <c r="M472" s="8" t="s">
        <v>2076</v>
      </c>
      <c r="N472" s="132">
        <v>46150</v>
      </c>
      <c r="O472" s="143">
        <v>92</v>
      </c>
      <c r="P472" s="9">
        <v>2.167766258246937</v>
      </c>
      <c r="Q472" s="143">
        <v>1</v>
      </c>
      <c r="R472" s="9">
        <f t="shared" si="85"/>
        <v>1.0869565217391304</v>
      </c>
      <c r="S472" s="8" t="s">
        <v>2049</v>
      </c>
      <c r="T472" s="132"/>
      <c r="U472" s="143">
        <v>0</v>
      </c>
      <c r="V472" s="143">
        <v>0</v>
      </c>
      <c r="W472" s="9">
        <f t="shared" si="86"/>
        <v>0</v>
      </c>
      <c r="X472" s="8" t="s">
        <v>2050</v>
      </c>
      <c r="Y472" s="178"/>
      <c r="Z472" s="143">
        <v>0</v>
      </c>
      <c r="AA472" s="9">
        <v>0</v>
      </c>
      <c r="AB472" s="143">
        <v>0</v>
      </c>
      <c r="AC472" s="9">
        <v>0</v>
      </c>
      <c r="AD472" s="8" t="s">
        <v>2050</v>
      </c>
      <c r="AE472" s="178"/>
      <c r="AF472" s="143">
        <v>0</v>
      </c>
      <c r="AG472" s="143">
        <v>0</v>
      </c>
      <c r="AH472" s="9">
        <v>0</v>
      </c>
      <c r="AI472" s="8" t="s">
        <v>2050</v>
      </c>
    </row>
    <row r="473" spans="1:35" x14ac:dyDescent="0.2">
      <c r="A473" s="8" t="s">
        <v>1927</v>
      </c>
      <c r="B473" s="8"/>
      <c r="C473" s="8" t="s">
        <v>1951</v>
      </c>
      <c r="D473" s="177" t="s">
        <v>1954</v>
      </c>
      <c r="E473" s="9">
        <v>31.310000000000002</v>
      </c>
      <c r="F473" s="8" t="s">
        <v>1740</v>
      </c>
      <c r="G473" s="10">
        <v>1783</v>
      </c>
      <c r="H473" s="132"/>
      <c r="I473" s="8">
        <v>0</v>
      </c>
      <c r="J473" s="9">
        <v>0</v>
      </c>
      <c r="K473" s="8">
        <v>0</v>
      </c>
      <c r="L473" s="9">
        <f t="shared" si="84"/>
        <v>0</v>
      </c>
      <c r="M473" s="8" t="s">
        <v>2076</v>
      </c>
      <c r="N473" s="132"/>
      <c r="O473" s="143">
        <v>0</v>
      </c>
      <c r="P473" s="9">
        <v>0</v>
      </c>
      <c r="Q473" s="143">
        <v>0</v>
      </c>
      <c r="R473" s="9">
        <f t="shared" si="85"/>
        <v>0</v>
      </c>
      <c r="S473" s="8" t="s">
        <v>2050</v>
      </c>
      <c r="T473" s="132">
        <v>0</v>
      </c>
      <c r="U473" s="143">
        <v>215</v>
      </c>
      <c r="V473" s="143">
        <v>9</v>
      </c>
      <c r="W473" s="9">
        <f t="shared" si="86"/>
        <v>4.1860465116279073</v>
      </c>
      <c r="X473" s="8" t="s">
        <v>2049</v>
      </c>
      <c r="Y473" s="178">
        <v>46154</v>
      </c>
      <c r="Z473" s="143">
        <v>89</v>
      </c>
      <c r="AA473" s="9">
        <v>4.991587212563096</v>
      </c>
      <c r="AB473" s="143">
        <v>3</v>
      </c>
      <c r="AC473" s="9">
        <v>3.3707865168539324</v>
      </c>
      <c r="AD473" s="8" t="s">
        <v>2049</v>
      </c>
      <c r="AE473" s="178"/>
      <c r="AF473" s="143">
        <v>0</v>
      </c>
      <c r="AG473" s="143">
        <v>0</v>
      </c>
      <c r="AH473" s="9">
        <v>0</v>
      </c>
      <c r="AI473" s="8" t="s">
        <v>2050</v>
      </c>
    </row>
    <row r="474" spans="1:35" x14ac:dyDescent="0.2">
      <c r="A474" s="8" t="s">
        <v>1927</v>
      </c>
      <c r="B474" s="8"/>
      <c r="C474" s="8" t="s">
        <v>1951</v>
      </c>
      <c r="D474" s="8" t="s">
        <v>1955</v>
      </c>
      <c r="E474" s="9">
        <v>17.920000000000002</v>
      </c>
      <c r="F474" s="8" t="s">
        <v>1740</v>
      </c>
      <c r="G474" s="10">
        <v>2283</v>
      </c>
      <c r="H474" s="132"/>
      <c r="I474" s="8">
        <v>0</v>
      </c>
      <c r="J474" s="9">
        <v>0</v>
      </c>
      <c r="K474" s="8">
        <v>0</v>
      </c>
      <c r="L474" s="9">
        <f t="shared" si="84"/>
        <v>0</v>
      </c>
      <c r="M474" s="8" t="s">
        <v>2076</v>
      </c>
      <c r="N474" s="132"/>
      <c r="O474" s="143">
        <v>0</v>
      </c>
      <c r="P474" s="9">
        <v>0</v>
      </c>
      <c r="Q474" s="143">
        <v>0</v>
      </c>
      <c r="R474" s="9">
        <f t="shared" si="85"/>
        <v>0</v>
      </c>
      <c r="S474" s="8" t="s">
        <v>2050</v>
      </c>
      <c r="T474" s="132"/>
      <c r="U474" s="143">
        <v>0</v>
      </c>
      <c r="V474" s="143">
        <v>0</v>
      </c>
      <c r="W474" s="9">
        <f t="shared" si="86"/>
        <v>0</v>
      </c>
      <c r="X474" s="8" t="s">
        <v>2050</v>
      </c>
      <c r="Y474" s="178">
        <v>46157</v>
      </c>
      <c r="Z474" s="143">
        <v>96</v>
      </c>
      <c r="AA474" s="9">
        <v>4.2049934296977662</v>
      </c>
      <c r="AB474" s="143">
        <v>2</v>
      </c>
      <c r="AC474" s="9">
        <v>2.083333333333333</v>
      </c>
      <c r="AD474" s="8" t="s">
        <v>2049</v>
      </c>
      <c r="AE474" s="178"/>
      <c r="AF474" s="143">
        <v>0</v>
      </c>
      <c r="AG474" s="143">
        <v>0</v>
      </c>
      <c r="AH474" s="9">
        <v>0</v>
      </c>
      <c r="AI474" s="8" t="s">
        <v>2050</v>
      </c>
    </row>
    <row r="475" spans="1:35" x14ac:dyDescent="0.2">
      <c r="A475" s="8" t="s">
        <v>1927</v>
      </c>
      <c r="B475" s="8"/>
      <c r="C475" s="8" t="s">
        <v>1951</v>
      </c>
      <c r="D475" s="177" t="s">
        <v>1956</v>
      </c>
      <c r="E475" s="9">
        <v>24.29</v>
      </c>
      <c r="F475" s="8" t="s">
        <v>1740</v>
      </c>
      <c r="G475" s="10">
        <v>2837</v>
      </c>
      <c r="H475" s="132">
        <v>46157</v>
      </c>
      <c r="I475" s="8">
        <v>267</v>
      </c>
      <c r="J475" s="9">
        <v>9.4113500176242511</v>
      </c>
      <c r="K475" s="8">
        <v>17</v>
      </c>
      <c r="L475" s="9">
        <f t="shared" si="84"/>
        <v>6.3670411985018731</v>
      </c>
      <c r="M475" s="8" t="s">
        <v>2075</v>
      </c>
      <c r="N475" s="132">
        <v>46150</v>
      </c>
      <c r="O475" s="143">
        <v>51</v>
      </c>
      <c r="P475" s="9">
        <v>1.7976735988720478</v>
      </c>
      <c r="Q475" s="143">
        <v>4</v>
      </c>
      <c r="R475" s="9">
        <f t="shared" si="85"/>
        <v>7.8431372549019605</v>
      </c>
      <c r="S475" s="8" t="s">
        <v>2040</v>
      </c>
      <c r="T475" s="132"/>
      <c r="U475" s="143">
        <v>0</v>
      </c>
      <c r="V475" s="143">
        <v>0</v>
      </c>
      <c r="W475" s="9">
        <f t="shared" si="86"/>
        <v>0</v>
      </c>
      <c r="X475" s="8" t="s">
        <v>2050</v>
      </c>
      <c r="Y475" s="178"/>
      <c r="Z475" s="143">
        <v>0</v>
      </c>
      <c r="AA475" s="9">
        <v>0</v>
      </c>
      <c r="AB475" s="143">
        <v>0</v>
      </c>
      <c r="AC475" s="9">
        <v>0</v>
      </c>
      <c r="AD475" s="8" t="s">
        <v>2050</v>
      </c>
      <c r="AE475" s="178">
        <v>46153</v>
      </c>
      <c r="AF475" s="143">
        <v>506</v>
      </c>
      <c r="AG475" s="143">
        <v>23</v>
      </c>
      <c r="AH475" s="9">
        <v>4.5454545454545459</v>
      </c>
      <c r="AI475" s="8" t="s">
        <v>2049</v>
      </c>
    </row>
    <row r="476" spans="1:35" x14ac:dyDescent="0.2">
      <c r="A476" s="8" t="s">
        <v>1927</v>
      </c>
      <c r="B476" s="8"/>
      <c r="C476" s="8" t="s">
        <v>1951</v>
      </c>
      <c r="D476" s="8" t="s">
        <v>1957</v>
      </c>
      <c r="E476" s="9">
        <v>50.07</v>
      </c>
      <c r="F476" s="8" t="s">
        <v>1740</v>
      </c>
      <c r="G476" s="10">
        <v>4633</v>
      </c>
      <c r="H476" s="132"/>
      <c r="I476" s="8">
        <v>0</v>
      </c>
      <c r="J476" s="9">
        <v>0</v>
      </c>
      <c r="K476" s="8">
        <v>0</v>
      </c>
      <c r="L476" s="9">
        <f t="shared" si="84"/>
        <v>0</v>
      </c>
      <c r="M476" s="8" t="s">
        <v>2076</v>
      </c>
      <c r="N476" s="132"/>
      <c r="O476" s="143">
        <v>0</v>
      </c>
      <c r="P476" s="9">
        <v>0</v>
      </c>
      <c r="Q476" s="143">
        <v>0</v>
      </c>
      <c r="R476" s="9">
        <f t="shared" si="85"/>
        <v>0</v>
      </c>
      <c r="S476" s="8" t="s">
        <v>2050</v>
      </c>
      <c r="T476" s="132"/>
      <c r="U476" s="143">
        <v>0</v>
      </c>
      <c r="V476" s="143">
        <v>0</v>
      </c>
      <c r="W476" s="9">
        <f t="shared" si="86"/>
        <v>0</v>
      </c>
      <c r="X476" s="8" t="s">
        <v>2050</v>
      </c>
      <c r="Y476" s="178">
        <v>46154</v>
      </c>
      <c r="Z476" s="143">
        <v>124</v>
      </c>
      <c r="AA476" s="9">
        <v>2.6764515432764946</v>
      </c>
      <c r="AB476" s="143">
        <v>3</v>
      </c>
      <c r="AC476" s="9">
        <v>2.4193548387096775</v>
      </c>
      <c r="AD476" s="8" t="s">
        <v>2049</v>
      </c>
      <c r="AE476" s="178">
        <v>46153</v>
      </c>
      <c r="AF476" s="143">
        <v>582</v>
      </c>
      <c r="AG476" s="143">
        <v>20</v>
      </c>
      <c r="AH476" s="9">
        <v>3.4364261168384882</v>
      </c>
      <c r="AI476" s="8" t="s">
        <v>2049</v>
      </c>
    </row>
    <row r="477" spans="1:35" x14ac:dyDescent="0.2">
      <c r="A477" s="8" t="s">
        <v>1927</v>
      </c>
      <c r="B477" s="8"/>
      <c r="C477" s="8" t="s">
        <v>1951</v>
      </c>
      <c r="D477" s="177" t="s">
        <v>1958</v>
      </c>
      <c r="E477" s="9">
        <v>36.69</v>
      </c>
      <c r="F477" s="8" t="s">
        <v>1740</v>
      </c>
      <c r="G477" s="10">
        <v>4223</v>
      </c>
      <c r="H477" s="132"/>
      <c r="I477" s="8">
        <v>0</v>
      </c>
      <c r="J477" s="9">
        <v>0</v>
      </c>
      <c r="K477" s="8">
        <v>0</v>
      </c>
      <c r="L477" s="9">
        <f t="shared" si="84"/>
        <v>0</v>
      </c>
      <c r="M477" s="8" t="s">
        <v>2076</v>
      </c>
      <c r="N477" s="132">
        <v>46149</v>
      </c>
      <c r="O477" s="143">
        <v>82</v>
      </c>
      <c r="P477" s="9">
        <v>1.9417475728155338</v>
      </c>
      <c r="Q477" s="143">
        <v>3</v>
      </c>
      <c r="R477" s="9">
        <f t="shared" si="85"/>
        <v>3.6585365853658534</v>
      </c>
      <c r="S477" s="8" t="s">
        <v>2049</v>
      </c>
      <c r="T477" s="132">
        <v>46149</v>
      </c>
      <c r="U477" s="143">
        <v>632</v>
      </c>
      <c r="V477" s="143">
        <v>60</v>
      </c>
      <c r="W477" s="9">
        <f t="shared" si="86"/>
        <v>9.4936708860759502</v>
      </c>
      <c r="X477" s="8" t="s">
        <v>2040</v>
      </c>
      <c r="Y477" s="178"/>
      <c r="Z477" s="143">
        <v>0</v>
      </c>
      <c r="AA477" s="9">
        <v>0</v>
      </c>
      <c r="AB477" s="143">
        <v>0</v>
      </c>
      <c r="AC477" s="9">
        <v>0</v>
      </c>
      <c r="AD477" s="8" t="s">
        <v>2050</v>
      </c>
      <c r="AE477" s="178"/>
      <c r="AF477" s="143">
        <v>0</v>
      </c>
      <c r="AG477" s="143">
        <v>0</v>
      </c>
      <c r="AH477" s="9">
        <v>0</v>
      </c>
      <c r="AI477" s="8" t="s">
        <v>2050</v>
      </c>
    </row>
    <row r="478" spans="1:35" x14ac:dyDescent="0.2">
      <c r="A478" s="8" t="s">
        <v>1927</v>
      </c>
      <c r="B478" s="8"/>
      <c r="C478" s="8" t="s">
        <v>1951</v>
      </c>
      <c r="D478" s="8" t="s">
        <v>1959</v>
      </c>
      <c r="E478" s="9">
        <v>28.5</v>
      </c>
      <c r="F478" s="8" t="s">
        <v>1740</v>
      </c>
      <c r="G478" s="10">
        <v>2981</v>
      </c>
      <c r="H478" s="132"/>
      <c r="I478" s="8">
        <v>0</v>
      </c>
      <c r="J478" s="9">
        <v>0</v>
      </c>
      <c r="K478" s="8">
        <v>0</v>
      </c>
      <c r="L478" s="9">
        <f t="shared" si="84"/>
        <v>0</v>
      </c>
      <c r="M478" s="8" t="s">
        <v>2076</v>
      </c>
      <c r="N478" s="132"/>
      <c r="O478" s="143">
        <v>0</v>
      </c>
      <c r="P478" s="9">
        <v>0</v>
      </c>
      <c r="Q478" s="143">
        <v>0</v>
      </c>
      <c r="R478" s="9">
        <f t="shared" si="85"/>
        <v>0</v>
      </c>
      <c r="S478" s="8" t="s">
        <v>2050</v>
      </c>
      <c r="T478" s="132">
        <v>0</v>
      </c>
      <c r="U478" s="143">
        <v>188</v>
      </c>
      <c r="V478" s="143">
        <v>3</v>
      </c>
      <c r="W478" s="9">
        <f t="shared" si="86"/>
        <v>1.5957446808510638</v>
      </c>
      <c r="X478" s="8" t="s">
        <v>2049</v>
      </c>
      <c r="Y478" s="178"/>
      <c r="Z478" s="143">
        <v>0</v>
      </c>
      <c r="AA478" s="9">
        <v>0</v>
      </c>
      <c r="AB478" s="143">
        <v>0</v>
      </c>
      <c r="AC478" s="9">
        <v>0</v>
      </c>
      <c r="AD478" s="8" t="s">
        <v>2050</v>
      </c>
      <c r="AE478" s="178"/>
      <c r="AF478" s="143">
        <v>0</v>
      </c>
      <c r="AG478" s="143">
        <v>0</v>
      </c>
      <c r="AH478" s="9">
        <v>0</v>
      </c>
      <c r="AI478" s="8" t="s">
        <v>2050</v>
      </c>
    </row>
    <row r="479" spans="1:35" x14ac:dyDescent="0.2">
      <c r="A479" s="8" t="s">
        <v>1927</v>
      </c>
      <c r="B479" s="8"/>
      <c r="C479" s="8" t="s">
        <v>1951</v>
      </c>
      <c r="D479" s="177" t="s">
        <v>1960</v>
      </c>
      <c r="E479" s="9">
        <v>23.580000000000002</v>
      </c>
      <c r="F479" s="8" t="s">
        <v>1740</v>
      </c>
      <c r="G479" s="10">
        <v>2622</v>
      </c>
      <c r="H479" s="132">
        <v>46154</v>
      </c>
      <c r="I479" s="8">
        <v>345</v>
      </c>
      <c r="J479" s="9">
        <v>13.157894736842104</v>
      </c>
      <c r="K479" s="8">
        <v>87</v>
      </c>
      <c r="L479" s="9">
        <f t="shared" si="84"/>
        <v>25.217391304347824</v>
      </c>
      <c r="M479" s="8" t="s">
        <v>2075</v>
      </c>
      <c r="N479" s="132"/>
      <c r="O479" s="143">
        <v>0</v>
      </c>
      <c r="P479" s="9">
        <v>0</v>
      </c>
      <c r="Q479" s="143">
        <v>0</v>
      </c>
      <c r="R479" s="9">
        <f t="shared" si="85"/>
        <v>0</v>
      </c>
      <c r="S479" s="8" t="s">
        <v>2050</v>
      </c>
      <c r="T479" s="132"/>
      <c r="U479" s="143">
        <v>0</v>
      </c>
      <c r="V479" s="143">
        <v>0</v>
      </c>
      <c r="W479" s="9">
        <f t="shared" si="86"/>
        <v>0</v>
      </c>
      <c r="X479" s="8" t="s">
        <v>2050</v>
      </c>
      <c r="Y479" s="178"/>
      <c r="Z479" s="143">
        <v>0</v>
      </c>
      <c r="AA479" s="9">
        <v>0</v>
      </c>
      <c r="AB479" s="143">
        <v>0</v>
      </c>
      <c r="AC479" s="9">
        <v>0</v>
      </c>
      <c r="AD479" s="8" t="s">
        <v>2050</v>
      </c>
      <c r="AE479" s="178">
        <v>46153</v>
      </c>
      <c r="AF479" s="143">
        <v>120</v>
      </c>
      <c r="AG479" s="143">
        <v>7</v>
      </c>
      <c r="AH479" s="9">
        <v>5.833333333333333</v>
      </c>
      <c r="AI479" s="8" t="s">
        <v>2040</v>
      </c>
    </row>
    <row r="480" spans="1:35" x14ac:dyDescent="0.2">
      <c r="A480" s="8" t="s">
        <v>1927</v>
      </c>
      <c r="B480" s="8"/>
      <c r="C480" s="8" t="s">
        <v>1961</v>
      </c>
      <c r="D480" s="8" t="s">
        <v>1962</v>
      </c>
      <c r="E480" s="9">
        <v>37.299999999999997</v>
      </c>
      <c r="F480" s="8" t="s">
        <v>1740</v>
      </c>
      <c r="G480" s="10">
        <v>4655</v>
      </c>
      <c r="H480" s="132"/>
      <c r="I480" s="8">
        <v>0</v>
      </c>
      <c r="J480" s="9">
        <v>0</v>
      </c>
      <c r="K480" s="8">
        <v>0</v>
      </c>
      <c r="L480" s="9">
        <f t="shared" si="84"/>
        <v>0</v>
      </c>
      <c r="M480" s="8" t="s">
        <v>2076</v>
      </c>
      <c r="N480" s="132"/>
      <c r="O480" s="143">
        <v>0</v>
      </c>
      <c r="P480" s="9">
        <v>0</v>
      </c>
      <c r="Q480" s="143">
        <v>0</v>
      </c>
      <c r="R480" s="9">
        <f t="shared" si="85"/>
        <v>0</v>
      </c>
      <c r="S480" s="8" t="s">
        <v>2050</v>
      </c>
      <c r="T480" s="132"/>
      <c r="U480" s="143">
        <v>0</v>
      </c>
      <c r="V480" s="143">
        <v>0</v>
      </c>
      <c r="W480" s="9">
        <f t="shared" si="86"/>
        <v>0</v>
      </c>
      <c r="X480" s="8" t="s">
        <v>2050</v>
      </c>
      <c r="Y480" s="178">
        <v>46155</v>
      </c>
      <c r="Z480" s="143">
        <v>71</v>
      </c>
      <c r="AA480" s="9">
        <v>1.5252416756176155</v>
      </c>
      <c r="AB480" s="143">
        <v>3</v>
      </c>
      <c r="AC480" s="9">
        <v>4.225352112676056</v>
      </c>
      <c r="AD480" s="8" t="s">
        <v>2049</v>
      </c>
      <c r="AE480" s="178">
        <v>46153</v>
      </c>
      <c r="AF480" s="143">
        <v>458</v>
      </c>
      <c r="AG480" s="143">
        <v>12</v>
      </c>
      <c r="AH480" s="9">
        <v>2.6200873362445414</v>
      </c>
      <c r="AI480" s="8" t="s">
        <v>2049</v>
      </c>
    </row>
    <row r="481" spans="1:35" x14ac:dyDescent="0.2">
      <c r="A481" s="8" t="s">
        <v>1927</v>
      </c>
      <c r="B481" s="8"/>
      <c r="C481" s="8" t="s">
        <v>1961</v>
      </c>
      <c r="D481" s="8" t="s">
        <v>1963</v>
      </c>
      <c r="E481" s="9">
        <v>36.99</v>
      </c>
      <c r="F481" s="8" t="s">
        <v>1740</v>
      </c>
      <c r="G481" s="10">
        <v>4362</v>
      </c>
      <c r="H481" s="132"/>
      <c r="I481" s="8">
        <v>0</v>
      </c>
      <c r="J481" s="9">
        <v>0</v>
      </c>
      <c r="K481" s="8">
        <v>0</v>
      </c>
      <c r="L481" s="9">
        <f t="shared" si="84"/>
        <v>0</v>
      </c>
      <c r="M481" s="8" t="s">
        <v>2076</v>
      </c>
      <c r="N481" s="132"/>
      <c r="O481" s="143">
        <v>0</v>
      </c>
      <c r="P481" s="9">
        <v>0</v>
      </c>
      <c r="Q481" s="143">
        <v>0</v>
      </c>
      <c r="R481" s="9">
        <f t="shared" si="85"/>
        <v>0</v>
      </c>
      <c r="S481" s="8" t="s">
        <v>2050</v>
      </c>
      <c r="T481" s="132"/>
      <c r="U481" s="143">
        <v>0</v>
      </c>
      <c r="V481" s="143">
        <v>0</v>
      </c>
      <c r="W481" s="9">
        <f t="shared" si="86"/>
        <v>0</v>
      </c>
      <c r="X481" s="8" t="s">
        <v>2050</v>
      </c>
      <c r="Y481" s="178">
        <v>46154</v>
      </c>
      <c r="Z481" s="143">
        <v>54</v>
      </c>
      <c r="AA481" s="9">
        <v>1.2379642365887207</v>
      </c>
      <c r="AB481" s="143">
        <v>2</v>
      </c>
      <c r="AC481" s="9">
        <v>3.7037037037037033</v>
      </c>
      <c r="AD481" s="8" t="s">
        <v>2049</v>
      </c>
      <c r="AE481" s="178">
        <v>46153</v>
      </c>
      <c r="AF481" s="143">
        <v>978</v>
      </c>
      <c r="AG481" s="143">
        <v>28</v>
      </c>
      <c r="AH481" s="9">
        <v>2.8629856850715747</v>
      </c>
      <c r="AI481" s="8" t="s">
        <v>2049</v>
      </c>
    </row>
    <row r="482" spans="1:35" x14ac:dyDescent="0.2">
      <c r="A482" s="8" t="s">
        <v>1927</v>
      </c>
      <c r="B482" s="8"/>
      <c r="C482" s="8" t="s">
        <v>1961</v>
      </c>
      <c r="D482" s="8" t="s">
        <v>1964</v>
      </c>
      <c r="E482" s="9">
        <v>32.01</v>
      </c>
      <c r="F482" s="8" t="s">
        <v>1740</v>
      </c>
      <c r="G482" s="10">
        <v>3088</v>
      </c>
      <c r="H482" s="132"/>
      <c r="I482" s="8">
        <v>0</v>
      </c>
      <c r="J482" s="9">
        <v>0</v>
      </c>
      <c r="K482" s="8">
        <v>0</v>
      </c>
      <c r="L482" s="9">
        <f t="shared" si="84"/>
        <v>0</v>
      </c>
      <c r="M482" s="8" t="s">
        <v>2076</v>
      </c>
      <c r="N482" s="132"/>
      <c r="O482" s="143">
        <v>0</v>
      </c>
      <c r="P482" s="9">
        <v>0</v>
      </c>
      <c r="Q482" s="143">
        <v>0</v>
      </c>
      <c r="R482" s="9">
        <f t="shared" si="85"/>
        <v>0</v>
      </c>
      <c r="S482" s="8" t="s">
        <v>2050</v>
      </c>
      <c r="T482" s="132"/>
      <c r="U482" s="143"/>
      <c r="V482" s="143"/>
      <c r="W482" s="9">
        <f t="shared" si="86"/>
        <v>0</v>
      </c>
      <c r="X482" s="8" t="s">
        <v>2050</v>
      </c>
      <c r="Y482" s="178"/>
      <c r="Z482" s="143">
        <v>0</v>
      </c>
      <c r="AA482" s="9">
        <v>0</v>
      </c>
      <c r="AB482" s="143">
        <v>0</v>
      </c>
      <c r="AC482" s="9">
        <v>0</v>
      </c>
      <c r="AD482" s="8" t="s">
        <v>2050</v>
      </c>
      <c r="AE482" s="178"/>
      <c r="AF482" s="143">
        <v>0</v>
      </c>
      <c r="AG482" s="143">
        <v>0</v>
      </c>
      <c r="AH482" s="9">
        <v>0</v>
      </c>
      <c r="AI482" s="8" t="s">
        <v>2050</v>
      </c>
    </row>
    <row r="483" spans="1:35" x14ac:dyDescent="0.2">
      <c r="A483" s="8" t="s">
        <v>1927</v>
      </c>
      <c r="B483" s="8"/>
      <c r="C483" s="8" t="s">
        <v>1961</v>
      </c>
      <c r="D483" s="8" t="s">
        <v>1965</v>
      </c>
      <c r="E483" s="9">
        <v>45.82</v>
      </c>
      <c r="F483" s="8" t="s">
        <v>1740</v>
      </c>
      <c r="G483" s="10">
        <v>4930</v>
      </c>
      <c r="H483" s="132"/>
      <c r="I483" s="8">
        <v>0</v>
      </c>
      <c r="J483" s="9">
        <v>0</v>
      </c>
      <c r="K483" s="8">
        <v>0</v>
      </c>
      <c r="L483" s="9">
        <f t="shared" si="84"/>
        <v>0</v>
      </c>
      <c r="M483" s="8" t="s">
        <v>2076</v>
      </c>
      <c r="N483" s="132"/>
      <c r="O483" s="143">
        <v>0</v>
      </c>
      <c r="P483" s="9">
        <v>0</v>
      </c>
      <c r="Q483" s="143">
        <v>0</v>
      </c>
      <c r="R483" s="9">
        <f t="shared" si="85"/>
        <v>0</v>
      </c>
      <c r="S483" s="8" t="s">
        <v>2050</v>
      </c>
      <c r="T483" s="132"/>
      <c r="U483" s="143"/>
      <c r="V483" s="143"/>
      <c r="W483" s="9">
        <f t="shared" si="86"/>
        <v>0</v>
      </c>
      <c r="X483" s="8" t="s">
        <v>2050</v>
      </c>
      <c r="Y483" s="178"/>
      <c r="Z483" s="143">
        <v>0</v>
      </c>
      <c r="AA483" s="9">
        <v>0</v>
      </c>
      <c r="AB483" s="143">
        <v>0</v>
      </c>
      <c r="AC483" s="9">
        <v>0</v>
      </c>
      <c r="AD483" s="8" t="s">
        <v>2050</v>
      </c>
      <c r="AE483" s="178"/>
      <c r="AF483" s="143">
        <v>0</v>
      </c>
      <c r="AG483" s="143">
        <v>0</v>
      </c>
      <c r="AH483" s="9">
        <v>0</v>
      </c>
      <c r="AI483" s="8" t="s">
        <v>2050</v>
      </c>
    </row>
    <row r="484" spans="1:35" x14ac:dyDescent="0.2">
      <c r="A484" s="8" t="s">
        <v>1927</v>
      </c>
      <c r="B484" s="8"/>
      <c r="C484" s="8" t="s">
        <v>1961</v>
      </c>
      <c r="D484" s="177" t="s">
        <v>1966</v>
      </c>
      <c r="E484" s="9">
        <v>42.81</v>
      </c>
      <c r="F484" s="8" t="s">
        <v>1740</v>
      </c>
      <c r="G484" s="10">
        <v>5842.9999999999991</v>
      </c>
      <c r="H484" s="132">
        <v>46157</v>
      </c>
      <c r="I484" s="8">
        <v>512</v>
      </c>
      <c r="J484" s="9">
        <v>8.7626219407838448</v>
      </c>
      <c r="K484" s="8">
        <v>27</v>
      </c>
      <c r="L484" s="9">
        <f t="shared" si="84"/>
        <v>5.2734375</v>
      </c>
      <c r="M484" s="8" t="s">
        <v>2075</v>
      </c>
      <c r="N484" s="132">
        <v>46149</v>
      </c>
      <c r="O484" s="143">
        <v>60</v>
      </c>
      <c r="P484" s="9">
        <v>1.0268697586856068</v>
      </c>
      <c r="Q484" s="143">
        <v>4</v>
      </c>
      <c r="R484" s="9">
        <f t="shared" si="85"/>
        <v>6.666666666666667</v>
      </c>
      <c r="S484" s="8" t="s">
        <v>2040</v>
      </c>
      <c r="T484" s="132">
        <v>46149</v>
      </c>
      <c r="U484" s="143">
        <v>542</v>
      </c>
      <c r="V484" s="143">
        <v>16</v>
      </c>
      <c r="W484" s="9">
        <f t="shared" si="86"/>
        <v>2.9520295202952029</v>
      </c>
      <c r="X484" s="8" t="s">
        <v>2049</v>
      </c>
      <c r="Y484" s="178"/>
      <c r="Z484" s="143">
        <v>0</v>
      </c>
      <c r="AA484" s="9">
        <v>0</v>
      </c>
      <c r="AB484" s="143">
        <v>0</v>
      </c>
      <c r="AC484" s="9">
        <v>0</v>
      </c>
      <c r="AD484" s="8" t="s">
        <v>2050</v>
      </c>
      <c r="AE484" s="178"/>
      <c r="AF484" s="143">
        <v>0</v>
      </c>
      <c r="AG484" s="143">
        <v>0</v>
      </c>
      <c r="AH484" s="9">
        <v>0</v>
      </c>
      <c r="AI484" s="8" t="s">
        <v>2050</v>
      </c>
    </row>
    <row r="485" spans="1:35" x14ac:dyDescent="0.2">
      <c r="A485" s="8" t="s">
        <v>1927</v>
      </c>
      <c r="B485" s="8"/>
      <c r="C485" s="8" t="s">
        <v>1961</v>
      </c>
      <c r="D485" s="8" t="s">
        <v>1967</v>
      </c>
      <c r="E485" s="9">
        <v>28.47</v>
      </c>
      <c r="F485" s="8" t="s">
        <v>1740</v>
      </c>
      <c r="G485" s="10">
        <v>3535</v>
      </c>
      <c r="H485" s="132"/>
      <c r="I485" s="8">
        <v>0</v>
      </c>
      <c r="J485" s="9">
        <v>0</v>
      </c>
      <c r="K485" s="8">
        <v>0</v>
      </c>
      <c r="L485" s="9">
        <f t="shared" si="84"/>
        <v>0</v>
      </c>
      <c r="M485" s="8" t="s">
        <v>2076</v>
      </c>
      <c r="N485" s="132"/>
      <c r="O485" s="143">
        <v>0</v>
      </c>
      <c r="P485" s="9">
        <v>0</v>
      </c>
      <c r="Q485" s="143">
        <v>0</v>
      </c>
      <c r="R485" s="9">
        <f t="shared" si="85"/>
        <v>0</v>
      </c>
      <c r="S485" s="8" t="s">
        <v>2050</v>
      </c>
      <c r="T485" s="132"/>
      <c r="U485" s="143">
        <v>0</v>
      </c>
      <c r="V485" s="143">
        <v>0</v>
      </c>
      <c r="W485" s="9">
        <f t="shared" si="86"/>
        <v>0</v>
      </c>
      <c r="X485" s="8" t="s">
        <v>2050</v>
      </c>
      <c r="Y485" s="178">
        <v>46157</v>
      </c>
      <c r="Z485" s="143">
        <v>67</v>
      </c>
      <c r="AA485" s="9">
        <v>1.8953323903818955</v>
      </c>
      <c r="AB485" s="143">
        <v>3</v>
      </c>
      <c r="AC485" s="9">
        <v>4.4776119402985071</v>
      </c>
      <c r="AD485" s="8" t="s">
        <v>2049</v>
      </c>
      <c r="AE485" s="178"/>
      <c r="AF485" s="143">
        <v>0</v>
      </c>
      <c r="AG485" s="143">
        <v>0</v>
      </c>
      <c r="AH485" s="9">
        <v>0</v>
      </c>
      <c r="AI485" s="8" t="s">
        <v>2050</v>
      </c>
    </row>
    <row r="486" spans="1:35" x14ac:dyDescent="0.2">
      <c r="A486" s="8" t="s">
        <v>1927</v>
      </c>
      <c r="B486" s="8"/>
      <c r="C486" s="8" t="s">
        <v>1961</v>
      </c>
      <c r="D486" s="8" t="s">
        <v>1968</v>
      </c>
      <c r="E486" s="9">
        <v>37.08</v>
      </c>
      <c r="F486" s="8" t="s">
        <v>1740</v>
      </c>
      <c r="G486" s="10">
        <v>4375</v>
      </c>
      <c r="H486" s="132"/>
      <c r="I486" s="8">
        <v>0</v>
      </c>
      <c r="J486" s="9">
        <v>0</v>
      </c>
      <c r="K486" s="8">
        <v>0</v>
      </c>
      <c r="L486" s="9">
        <f t="shared" si="84"/>
        <v>0</v>
      </c>
      <c r="M486" s="8" t="s">
        <v>2076</v>
      </c>
      <c r="N486" s="132"/>
      <c r="O486" s="143">
        <v>0</v>
      </c>
      <c r="P486" s="9">
        <v>0</v>
      </c>
      <c r="Q486" s="143">
        <v>0</v>
      </c>
      <c r="R486" s="9">
        <f t="shared" si="85"/>
        <v>0</v>
      </c>
      <c r="S486" s="8" t="s">
        <v>2050</v>
      </c>
      <c r="T486" s="132"/>
      <c r="U486" s="143">
        <v>0</v>
      </c>
      <c r="V486" s="143">
        <v>0</v>
      </c>
      <c r="W486" s="9">
        <f t="shared" si="86"/>
        <v>0</v>
      </c>
      <c r="X486" s="8" t="s">
        <v>2050</v>
      </c>
      <c r="Y486" s="178"/>
      <c r="Z486" s="143">
        <v>0</v>
      </c>
      <c r="AA486" s="9">
        <v>0</v>
      </c>
      <c r="AB486" s="143">
        <v>0</v>
      </c>
      <c r="AC486" s="9">
        <v>0</v>
      </c>
      <c r="AD486" s="8" t="s">
        <v>2050</v>
      </c>
      <c r="AE486" s="178"/>
      <c r="AF486" s="143">
        <v>0</v>
      </c>
      <c r="AG486" s="143">
        <v>0</v>
      </c>
      <c r="AH486" s="9">
        <v>0</v>
      </c>
      <c r="AI486" s="8" t="s">
        <v>2050</v>
      </c>
    </row>
    <row r="487" spans="1:35" x14ac:dyDescent="0.2">
      <c r="A487" s="8" t="s">
        <v>1927</v>
      </c>
      <c r="B487" s="8"/>
      <c r="C487" s="8" t="s">
        <v>1961</v>
      </c>
      <c r="D487" s="177" t="s">
        <v>1969</v>
      </c>
      <c r="E487" s="9">
        <v>34.1</v>
      </c>
      <c r="F487" s="8" t="s">
        <v>1740</v>
      </c>
      <c r="G487" s="10">
        <v>3481</v>
      </c>
      <c r="H487" s="132"/>
      <c r="I487" s="8">
        <v>0</v>
      </c>
      <c r="J487" s="9">
        <v>0</v>
      </c>
      <c r="K487" s="8">
        <v>0</v>
      </c>
      <c r="L487" s="9">
        <f t="shared" si="84"/>
        <v>0</v>
      </c>
      <c r="M487" s="8" t="s">
        <v>2076</v>
      </c>
      <c r="N487" s="132">
        <v>46150</v>
      </c>
      <c r="O487" s="143">
        <v>75</v>
      </c>
      <c r="P487" s="9">
        <v>2.1545532892846881</v>
      </c>
      <c r="Q487" s="143">
        <v>2</v>
      </c>
      <c r="R487" s="9">
        <f t="shared" si="85"/>
        <v>2.666666666666667</v>
      </c>
      <c r="S487" s="8" t="s">
        <v>2049</v>
      </c>
      <c r="T487" s="132">
        <v>46150</v>
      </c>
      <c r="U487" s="143">
        <v>318</v>
      </c>
      <c r="V487" s="143">
        <v>11</v>
      </c>
      <c r="W487" s="9">
        <f t="shared" si="86"/>
        <v>3.459119496855346</v>
      </c>
      <c r="X487" s="8" t="s">
        <v>2049</v>
      </c>
      <c r="Y487" s="178"/>
      <c r="Z487" s="143">
        <v>0</v>
      </c>
      <c r="AA487" s="9">
        <v>0</v>
      </c>
      <c r="AB487" s="143">
        <v>0</v>
      </c>
      <c r="AC487" s="9">
        <v>0</v>
      </c>
      <c r="AD487" s="8" t="s">
        <v>2050</v>
      </c>
      <c r="AE487" s="178"/>
      <c r="AF487" s="143">
        <v>0</v>
      </c>
      <c r="AG487" s="143">
        <v>0</v>
      </c>
      <c r="AH487" s="9">
        <v>0</v>
      </c>
      <c r="AI487" s="8" t="s">
        <v>2050</v>
      </c>
    </row>
    <row r="488" spans="1:35" x14ac:dyDescent="0.2">
      <c r="A488" s="8" t="s">
        <v>1970</v>
      </c>
      <c r="B488" s="8"/>
      <c r="C488" s="8" t="s">
        <v>14</v>
      </c>
      <c r="D488" s="177" t="s">
        <v>1971</v>
      </c>
      <c r="E488" s="9">
        <v>25.35</v>
      </c>
      <c r="F488" s="8" t="s">
        <v>1740</v>
      </c>
      <c r="G488" s="10">
        <v>2512</v>
      </c>
      <c r="H488" s="132">
        <v>46154</v>
      </c>
      <c r="I488" s="8">
        <v>312</v>
      </c>
      <c r="J488" s="9">
        <v>12.420382165605096</v>
      </c>
      <c r="K488" s="8">
        <v>33</v>
      </c>
      <c r="L488" s="9">
        <f t="shared" si="84"/>
        <v>10.576923076923077</v>
      </c>
      <c r="M488" s="8" t="s">
        <v>2075</v>
      </c>
      <c r="N488" s="132"/>
      <c r="O488" s="143">
        <v>0</v>
      </c>
      <c r="P488" s="9">
        <v>0</v>
      </c>
      <c r="Q488" s="143">
        <v>0</v>
      </c>
      <c r="R488" s="9">
        <f t="shared" si="85"/>
        <v>0</v>
      </c>
      <c r="S488" s="8" t="s">
        <v>2050</v>
      </c>
      <c r="T488" s="132"/>
      <c r="U488" s="143">
        <v>0</v>
      </c>
      <c r="V488" s="143">
        <v>0</v>
      </c>
      <c r="W488" s="9">
        <f t="shared" si="86"/>
        <v>0</v>
      </c>
      <c r="X488" s="8" t="s">
        <v>2050</v>
      </c>
      <c r="Y488" s="178">
        <v>46155</v>
      </c>
      <c r="Z488" s="143">
        <v>312</v>
      </c>
      <c r="AA488" s="9">
        <v>12.420382165605096</v>
      </c>
      <c r="AB488" s="143">
        <v>33</v>
      </c>
      <c r="AC488" s="9">
        <v>10.576923076923077</v>
      </c>
      <c r="AD488" s="8" t="s">
        <v>2040</v>
      </c>
      <c r="AE488" s="178"/>
      <c r="AF488" s="143"/>
      <c r="AG488" s="143"/>
      <c r="AH488" s="9">
        <v>0</v>
      </c>
      <c r="AI488" s="8" t="s">
        <v>2050</v>
      </c>
    </row>
    <row r="489" spans="1:35" x14ac:dyDescent="0.2">
      <c r="A489" s="8" t="s">
        <v>1970</v>
      </c>
      <c r="B489" s="8"/>
      <c r="C489" s="8" t="s">
        <v>14</v>
      </c>
      <c r="D489" s="8" t="s">
        <v>1972</v>
      </c>
      <c r="E489" s="9">
        <v>36.53</v>
      </c>
      <c r="F489" s="8" t="s">
        <v>1740</v>
      </c>
      <c r="G489" s="10">
        <v>4548</v>
      </c>
      <c r="H489" s="132"/>
      <c r="I489" s="8">
        <v>0</v>
      </c>
      <c r="J489" s="9">
        <v>0</v>
      </c>
      <c r="K489" s="8">
        <v>0</v>
      </c>
      <c r="L489" s="9">
        <f t="shared" si="84"/>
        <v>0</v>
      </c>
      <c r="M489" s="8" t="s">
        <v>2076</v>
      </c>
      <c r="N489" s="132"/>
      <c r="O489" s="143">
        <v>0</v>
      </c>
      <c r="P489" s="9">
        <v>0</v>
      </c>
      <c r="Q489" s="143">
        <v>0</v>
      </c>
      <c r="R489" s="9">
        <f t="shared" si="85"/>
        <v>0</v>
      </c>
      <c r="S489" s="8" t="s">
        <v>2050</v>
      </c>
      <c r="T489" s="132"/>
      <c r="U489" s="143">
        <v>0</v>
      </c>
      <c r="V489" s="143">
        <v>0</v>
      </c>
      <c r="W489" s="9">
        <f t="shared" si="86"/>
        <v>0</v>
      </c>
      <c r="X489" s="8" t="s">
        <v>2050</v>
      </c>
      <c r="Y489" s="178">
        <v>46155</v>
      </c>
      <c r="Z489" s="143">
        <v>149</v>
      </c>
      <c r="AA489" s="9">
        <v>3.2761653474054526</v>
      </c>
      <c r="AB489" s="143">
        <v>23</v>
      </c>
      <c r="AC489" s="9">
        <v>15.436241610738255</v>
      </c>
      <c r="AD489" s="8" t="s">
        <v>2040</v>
      </c>
      <c r="AE489" s="178">
        <v>46155</v>
      </c>
      <c r="AF489" s="143">
        <v>4057</v>
      </c>
      <c r="AG489" s="143">
        <v>100</v>
      </c>
      <c r="AH489" s="9">
        <v>2.4648755237860489</v>
      </c>
      <c r="AI489" s="8" t="s">
        <v>2049</v>
      </c>
    </row>
    <row r="490" spans="1:35" x14ac:dyDescent="0.2">
      <c r="A490" s="8" t="s">
        <v>1970</v>
      </c>
      <c r="B490" s="8"/>
      <c r="C490" s="8" t="s">
        <v>14</v>
      </c>
      <c r="D490" s="177" t="s">
        <v>1973</v>
      </c>
      <c r="E490" s="9">
        <v>34.28</v>
      </c>
      <c r="F490" s="8" t="s">
        <v>1740</v>
      </c>
      <c r="G490" s="10">
        <v>4035</v>
      </c>
      <c r="H490" s="132">
        <v>46153</v>
      </c>
      <c r="I490" s="8">
        <v>203</v>
      </c>
      <c r="J490" s="9">
        <v>5.0309789343246596</v>
      </c>
      <c r="K490" s="8">
        <v>6</v>
      </c>
      <c r="L490" s="9">
        <f t="shared" si="84"/>
        <v>2.9556650246305418</v>
      </c>
      <c r="M490" s="8" t="s">
        <v>2075</v>
      </c>
      <c r="N490" s="132">
        <v>46150</v>
      </c>
      <c r="O490" s="143">
        <v>118</v>
      </c>
      <c r="P490" s="9">
        <v>2.9244114002478314</v>
      </c>
      <c r="Q490" s="143">
        <v>2</v>
      </c>
      <c r="R490" s="9">
        <f t="shared" si="85"/>
        <v>1.6949152542372881</v>
      </c>
      <c r="S490" s="8" t="s">
        <v>2049</v>
      </c>
      <c r="T490" s="132"/>
      <c r="U490" s="143">
        <v>0</v>
      </c>
      <c r="V490" s="143">
        <v>0</v>
      </c>
      <c r="W490" s="9">
        <f t="shared" si="86"/>
        <v>0</v>
      </c>
      <c r="X490" s="8" t="s">
        <v>2050</v>
      </c>
      <c r="Y490" s="178">
        <v>46155</v>
      </c>
      <c r="Z490" s="143">
        <v>85</v>
      </c>
      <c r="AA490" s="9">
        <v>2.1065675340768277</v>
      </c>
      <c r="AB490" s="143">
        <v>4</v>
      </c>
      <c r="AC490" s="9">
        <v>4.7058823529411766</v>
      </c>
      <c r="AD490" s="8" t="s">
        <v>2049</v>
      </c>
      <c r="AE490" s="178">
        <v>46153</v>
      </c>
      <c r="AF490" s="143">
        <v>1239</v>
      </c>
      <c r="AG490" s="143">
        <v>25</v>
      </c>
      <c r="AH490" s="9">
        <v>2.0177562550443904</v>
      </c>
      <c r="AI490" s="8" t="s">
        <v>2049</v>
      </c>
    </row>
    <row r="491" spans="1:35" x14ac:dyDescent="0.2">
      <c r="A491" s="8" t="s">
        <v>1970</v>
      </c>
      <c r="B491" s="8"/>
      <c r="C491" s="8" t="s">
        <v>14</v>
      </c>
      <c r="D491" s="8" t="s">
        <v>1469</v>
      </c>
      <c r="E491" s="9">
        <v>32.67</v>
      </c>
      <c r="F491" s="8" t="s">
        <v>1740</v>
      </c>
      <c r="G491" s="10">
        <v>3245</v>
      </c>
      <c r="H491" s="132"/>
      <c r="I491" s="8">
        <v>0</v>
      </c>
      <c r="J491" s="9">
        <v>0</v>
      </c>
      <c r="K491" s="8">
        <v>0</v>
      </c>
      <c r="L491" s="9">
        <f t="shared" si="84"/>
        <v>0</v>
      </c>
      <c r="M491" s="8" t="s">
        <v>2076</v>
      </c>
      <c r="N491" s="132"/>
      <c r="O491" s="143">
        <v>0</v>
      </c>
      <c r="P491" s="9">
        <v>0</v>
      </c>
      <c r="Q491" s="143">
        <v>0</v>
      </c>
      <c r="R491" s="9">
        <f t="shared" si="85"/>
        <v>0</v>
      </c>
      <c r="S491" s="8" t="s">
        <v>2050</v>
      </c>
      <c r="T491" s="132"/>
      <c r="U491" s="143">
        <v>0</v>
      </c>
      <c r="V491" s="143">
        <v>0</v>
      </c>
      <c r="W491" s="9">
        <f t="shared" si="86"/>
        <v>0</v>
      </c>
      <c r="X491" s="8" t="s">
        <v>2050</v>
      </c>
      <c r="Y491" s="178">
        <v>46155</v>
      </c>
      <c r="Z491" s="143">
        <v>95</v>
      </c>
      <c r="AA491" s="9">
        <v>2.9275808936825887</v>
      </c>
      <c r="AB491" s="143">
        <v>5</v>
      </c>
      <c r="AC491" s="9">
        <v>5.2631578947368416</v>
      </c>
      <c r="AD491" s="8" t="s">
        <v>2040</v>
      </c>
      <c r="AE491" s="178">
        <v>46155</v>
      </c>
      <c r="AF491" s="143">
        <v>1136</v>
      </c>
      <c r="AG491" s="143">
        <v>60</v>
      </c>
      <c r="AH491" s="9">
        <v>5.28169014084507</v>
      </c>
      <c r="AI491" s="8" t="s">
        <v>2040</v>
      </c>
    </row>
    <row r="492" spans="1:35" x14ac:dyDescent="0.2">
      <c r="A492" s="8" t="s">
        <v>1970</v>
      </c>
      <c r="B492" s="8"/>
      <c r="C492" s="8" t="s">
        <v>14</v>
      </c>
      <c r="D492" s="177" t="s">
        <v>1974</v>
      </c>
      <c r="E492" s="9">
        <v>42.56</v>
      </c>
      <c r="F492" s="8" t="s">
        <v>1740</v>
      </c>
      <c r="G492" s="10">
        <v>5154</v>
      </c>
      <c r="H492" s="132">
        <v>46154</v>
      </c>
      <c r="I492" s="8">
        <v>519</v>
      </c>
      <c r="J492" s="9">
        <v>10.069848661233994</v>
      </c>
      <c r="K492" s="8">
        <v>36</v>
      </c>
      <c r="L492" s="9">
        <f t="shared" si="84"/>
        <v>6.9364161849710975</v>
      </c>
      <c r="M492" s="8" t="s">
        <v>2075</v>
      </c>
      <c r="N492" s="132">
        <v>46150</v>
      </c>
      <c r="O492" s="143">
        <v>279</v>
      </c>
      <c r="P492" s="9">
        <v>5.4132712456344585</v>
      </c>
      <c r="Q492" s="143">
        <v>16</v>
      </c>
      <c r="R492" s="9">
        <f t="shared" si="85"/>
        <v>5.7347670250896057</v>
      </c>
      <c r="S492" s="8" t="s">
        <v>2040</v>
      </c>
      <c r="T492" s="132">
        <v>46150</v>
      </c>
      <c r="U492" s="143">
        <v>135</v>
      </c>
      <c r="V492" s="143">
        <v>3</v>
      </c>
      <c r="W492" s="9">
        <f t="shared" si="86"/>
        <v>2.2222222222222223</v>
      </c>
      <c r="X492" s="8" t="s">
        <v>2049</v>
      </c>
      <c r="Y492" s="178">
        <v>46155</v>
      </c>
      <c r="Z492" s="143">
        <v>145</v>
      </c>
      <c r="AA492" s="9">
        <v>2.8133488552580523</v>
      </c>
      <c r="AB492" s="143">
        <v>10</v>
      </c>
      <c r="AC492" s="9">
        <v>6.8965517241379306</v>
      </c>
      <c r="AD492" s="8" t="s">
        <v>2040</v>
      </c>
      <c r="AE492" s="178">
        <v>46155</v>
      </c>
      <c r="AF492" s="143">
        <v>546</v>
      </c>
      <c r="AG492" s="143">
        <v>11</v>
      </c>
      <c r="AH492" s="9">
        <v>2.0146520146520146</v>
      </c>
      <c r="AI492" s="8" t="s">
        <v>2049</v>
      </c>
    </row>
    <row r="493" spans="1:35" x14ac:dyDescent="0.2">
      <c r="A493" s="8" t="s">
        <v>1970</v>
      </c>
      <c r="B493" s="8"/>
      <c r="C493" s="8" t="s">
        <v>14</v>
      </c>
      <c r="D493" s="177" t="s">
        <v>1975</v>
      </c>
      <c r="E493" s="9">
        <v>44.089999999999996</v>
      </c>
      <c r="F493" s="8" t="s">
        <v>1740</v>
      </c>
      <c r="G493" s="10">
        <v>5141</v>
      </c>
      <c r="H493" s="132">
        <v>46151</v>
      </c>
      <c r="I493" s="8">
        <v>538</v>
      </c>
      <c r="J493" s="9">
        <v>10.46489009920249</v>
      </c>
      <c r="K493" s="8">
        <v>45</v>
      </c>
      <c r="L493" s="9">
        <f t="shared" si="84"/>
        <v>8.3643122676579935</v>
      </c>
      <c r="M493" s="8" t="s">
        <v>2075</v>
      </c>
      <c r="N493" s="132">
        <v>46150</v>
      </c>
      <c r="O493" s="143">
        <v>127</v>
      </c>
      <c r="P493" s="9">
        <v>2.4703365104065358</v>
      </c>
      <c r="Q493" s="143">
        <v>18</v>
      </c>
      <c r="R493" s="9">
        <f t="shared" si="85"/>
        <v>14.173228346456693</v>
      </c>
      <c r="S493" s="8" t="s">
        <v>2040</v>
      </c>
      <c r="T493" s="132">
        <v>46150</v>
      </c>
      <c r="U493" s="143">
        <v>1561</v>
      </c>
      <c r="V493" s="143">
        <v>60</v>
      </c>
      <c r="W493" s="9">
        <f t="shared" si="86"/>
        <v>3.8436899423446511</v>
      </c>
      <c r="X493" s="8" t="s">
        <v>2049</v>
      </c>
      <c r="Y493" s="178"/>
      <c r="Z493" s="143">
        <v>0</v>
      </c>
      <c r="AA493" s="9">
        <v>0</v>
      </c>
      <c r="AB493" s="143">
        <v>0</v>
      </c>
      <c r="AC493" s="9">
        <v>0</v>
      </c>
      <c r="AD493" s="8" t="s">
        <v>2050</v>
      </c>
      <c r="AE493" s="178"/>
      <c r="AF493" s="143"/>
      <c r="AG493" s="143"/>
      <c r="AH493" s="9">
        <v>0</v>
      </c>
      <c r="AI493" s="8" t="s">
        <v>2050</v>
      </c>
    </row>
    <row r="494" spans="1:35" x14ac:dyDescent="0.2">
      <c r="A494" s="8" t="s">
        <v>1970</v>
      </c>
      <c r="B494" s="8"/>
      <c r="C494" s="8" t="s">
        <v>14</v>
      </c>
      <c r="D494" s="177" t="s">
        <v>1976</v>
      </c>
      <c r="E494" s="9">
        <v>30.320000000000004</v>
      </c>
      <c r="F494" s="8" t="s">
        <v>1740</v>
      </c>
      <c r="G494" s="10">
        <v>3607</v>
      </c>
      <c r="H494" s="132"/>
      <c r="I494" s="8">
        <v>0</v>
      </c>
      <c r="J494" s="9">
        <v>0</v>
      </c>
      <c r="K494" s="8">
        <v>0</v>
      </c>
      <c r="L494" s="9">
        <f t="shared" si="84"/>
        <v>0</v>
      </c>
      <c r="M494" s="8" t="s">
        <v>2076</v>
      </c>
      <c r="N494" s="132">
        <v>46150</v>
      </c>
      <c r="O494" s="143">
        <v>86</v>
      </c>
      <c r="P494" s="9">
        <v>2.3842528416967008</v>
      </c>
      <c r="Q494" s="143">
        <v>5</v>
      </c>
      <c r="R494" s="9">
        <f t="shared" si="85"/>
        <v>5.8139534883720927</v>
      </c>
      <c r="S494" s="8" t="s">
        <v>2040</v>
      </c>
      <c r="T494" s="132">
        <v>46150</v>
      </c>
      <c r="U494" s="143">
        <v>380</v>
      </c>
      <c r="V494" s="143">
        <v>6</v>
      </c>
      <c r="W494" s="9">
        <f t="shared" si="86"/>
        <v>1.5789473684210527</v>
      </c>
      <c r="X494" s="8" t="s">
        <v>2049</v>
      </c>
      <c r="Y494" s="178"/>
      <c r="Z494" s="143">
        <v>0</v>
      </c>
      <c r="AA494" s="9">
        <v>0</v>
      </c>
      <c r="AB494" s="143">
        <v>0</v>
      </c>
      <c r="AC494" s="9">
        <v>0</v>
      </c>
      <c r="AD494" s="8" t="s">
        <v>2050</v>
      </c>
      <c r="AE494" s="178"/>
      <c r="AF494" s="143"/>
      <c r="AG494" s="143"/>
      <c r="AH494" s="9">
        <v>0</v>
      </c>
      <c r="AI494" s="8" t="s">
        <v>2050</v>
      </c>
    </row>
    <row r="495" spans="1:35" x14ac:dyDescent="0.2">
      <c r="A495" s="8" t="s">
        <v>1970</v>
      </c>
      <c r="B495" s="8"/>
      <c r="C495" s="8" t="s">
        <v>14</v>
      </c>
      <c r="D495" s="177" t="s">
        <v>1977</v>
      </c>
      <c r="E495" s="9">
        <v>37.53</v>
      </c>
      <c r="F495" s="8" t="s">
        <v>1740</v>
      </c>
      <c r="G495" s="10">
        <v>4035</v>
      </c>
      <c r="H495" s="132"/>
      <c r="I495" s="8">
        <v>0</v>
      </c>
      <c r="J495" s="9">
        <v>0</v>
      </c>
      <c r="K495" s="8">
        <v>0</v>
      </c>
      <c r="L495" s="9">
        <f t="shared" si="84"/>
        <v>0</v>
      </c>
      <c r="M495" s="8" t="s">
        <v>2076</v>
      </c>
      <c r="N495" s="132">
        <v>46150</v>
      </c>
      <c r="O495" s="143">
        <v>101</v>
      </c>
      <c r="P495" s="9">
        <v>2.5030978934324657</v>
      </c>
      <c r="Q495" s="143">
        <v>6</v>
      </c>
      <c r="R495" s="9">
        <f t="shared" si="85"/>
        <v>5.9405940594059405</v>
      </c>
      <c r="S495" s="8" t="s">
        <v>2040</v>
      </c>
      <c r="T495" s="132"/>
      <c r="U495" s="143">
        <v>0</v>
      </c>
      <c r="V495" s="143">
        <v>0</v>
      </c>
      <c r="W495" s="9">
        <f t="shared" si="86"/>
        <v>0</v>
      </c>
      <c r="X495" s="8" t="s">
        <v>2050</v>
      </c>
      <c r="Y495" s="178"/>
      <c r="Z495" s="143">
        <v>0</v>
      </c>
      <c r="AA495" s="9">
        <v>0</v>
      </c>
      <c r="AB495" s="143">
        <v>0</v>
      </c>
      <c r="AC495" s="9">
        <v>0</v>
      </c>
      <c r="AD495" s="8" t="s">
        <v>2050</v>
      </c>
      <c r="AE495" s="178"/>
      <c r="AF495" s="143"/>
      <c r="AG495" s="143"/>
      <c r="AH495" s="9">
        <v>0</v>
      </c>
      <c r="AI495" s="8" t="s">
        <v>2050</v>
      </c>
    </row>
    <row r="496" spans="1:35" x14ac:dyDescent="0.2">
      <c r="A496" s="8" t="s">
        <v>1970</v>
      </c>
      <c r="B496" s="8"/>
      <c r="C496" s="8" t="s">
        <v>14</v>
      </c>
      <c r="D496" s="177" t="s">
        <v>1978</v>
      </c>
      <c r="E496" s="9">
        <v>36.300000000000004</v>
      </c>
      <c r="F496" s="8" t="s">
        <v>1740</v>
      </c>
      <c r="G496" s="10">
        <v>4747</v>
      </c>
      <c r="H496" s="132"/>
      <c r="I496" s="8">
        <v>0</v>
      </c>
      <c r="J496" s="9">
        <v>0</v>
      </c>
      <c r="K496" s="8">
        <v>0</v>
      </c>
      <c r="L496" s="9">
        <f t="shared" si="84"/>
        <v>0</v>
      </c>
      <c r="M496" s="8" t="s">
        <v>2076</v>
      </c>
      <c r="N496" s="132">
        <v>46150</v>
      </c>
      <c r="O496" s="143">
        <v>93</v>
      </c>
      <c r="P496" s="9">
        <v>1.9591320834211081</v>
      </c>
      <c r="Q496" s="143">
        <v>8</v>
      </c>
      <c r="R496" s="9">
        <f t="shared" si="85"/>
        <v>8.6021505376344098</v>
      </c>
      <c r="S496" s="8" t="s">
        <v>2040</v>
      </c>
      <c r="T496" s="132"/>
      <c r="U496" s="143">
        <v>0</v>
      </c>
      <c r="V496" s="143">
        <v>0</v>
      </c>
      <c r="W496" s="9">
        <f t="shared" si="86"/>
        <v>0</v>
      </c>
      <c r="X496" s="8" t="s">
        <v>2050</v>
      </c>
      <c r="Y496" s="178"/>
      <c r="Z496" s="143">
        <v>0</v>
      </c>
      <c r="AA496" s="9">
        <v>0</v>
      </c>
      <c r="AB496" s="143">
        <v>0</v>
      </c>
      <c r="AC496" s="9">
        <v>0</v>
      </c>
      <c r="AD496" s="8" t="s">
        <v>2050</v>
      </c>
      <c r="AE496" s="178">
        <v>46153</v>
      </c>
      <c r="AF496" s="143">
        <v>747</v>
      </c>
      <c r="AG496" s="143">
        <v>23</v>
      </c>
      <c r="AH496" s="9">
        <v>3.0789825970548863</v>
      </c>
      <c r="AI496" s="8" t="s">
        <v>2049</v>
      </c>
    </row>
    <row r="497" spans="1:35" x14ac:dyDescent="0.2">
      <c r="A497" s="8" t="s">
        <v>1970</v>
      </c>
      <c r="B497" s="8"/>
      <c r="C497" s="8" t="s">
        <v>14</v>
      </c>
      <c r="D497" s="177" t="s">
        <v>1979</v>
      </c>
      <c r="E497" s="9">
        <v>34.1</v>
      </c>
      <c r="F497" s="8" t="s">
        <v>1740</v>
      </c>
      <c r="G497" s="10">
        <v>4539</v>
      </c>
      <c r="H497" s="132"/>
      <c r="I497" s="8">
        <v>0</v>
      </c>
      <c r="J497" s="9">
        <v>0</v>
      </c>
      <c r="K497" s="8">
        <v>0</v>
      </c>
      <c r="L497" s="9">
        <f t="shared" si="84"/>
        <v>0</v>
      </c>
      <c r="M497" s="8" t="s">
        <v>2076</v>
      </c>
      <c r="N497" s="132">
        <v>46149</v>
      </c>
      <c r="O497" s="143">
        <v>91</v>
      </c>
      <c r="P497" s="9">
        <v>2.0048468825732542</v>
      </c>
      <c r="Q497" s="143">
        <v>4</v>
      </c>
      <c r="R497" s="9">
        <f t="shared" si="85"/>
        <v>4.395604395604396</v>
      </c>
      <c r="S497" s="8" t="s">
        <v>2049</v>
      </c>
      <c r="T497" s="132">
        <v>46150</v>
      </c>
      <c r="U497" s="143">
        <v>850</v>
      </c>
      <c r="V497" s="143">
        <v>10</v>
      </c>
      <c r="W497" s="9">
        <f t="shared" si="86"/>
        <v>1.1764705882352942</v>
      </c>
      <c r="X497" s="8" t="s">
        <v>2049</v>
      </c>
      <c r="Y497" s="178"/>
      <c r="Z497" s="143">
        <v>0</v>
      </c>
      <c r="AA497" s="9">
        <v>0</v>
      </c>
      <c r="AB497" s="143">
        <v>0</v>
      </c>
      <c r="AC497" s="9">
        <v>0</v>
      </c>
      <c r="AD497" s="8" t="s">
        <v>2050</v>
      </c>
      <c r="AE497" s="178"/>
      <c r="AF497" s="143"/>
      <c r="AG497" s="143"/>
      <c r="AH497" s="9">
        <v>0</v>
      </c>
      <c r="AI497" s="8" t="s">
        <v>2050</v>
      </c>
    </row>
    <row r="498" spans="1:35" x14ac:dyDescent="0.2">
      <c r="A498" s="8" t="s">
        <v>1970</v>
      </c>
      <c r="B498" s="8"/>
      <c r="C498" s="8" t="s">
        <v>14</v>
      </c>
      <c r="D498" s="177" t="s">
        <v>1980</v>
      </c>
      <c r="E498" s="9">
        <v>32.640000000000008</v>
      </c>
      <c r="F498" s="8" t="s">
        <v>1740</v>
      </c>
      <c r="G498" s="10">
        <v>4394</v>
      </c>
      <c r="H498" s="132"/>
      <c r="I498" s="8">
        <v>0</v>
      </c>
      <c r="J498" s="9">
        <v>0</v>
      </c>
      <c r="K498" s="8">
        <v>0</v>
      </c>
      <c r="L498" s="9">
        <f t="shared" si="84"/>
        <v>0</v>
      </c>
      <c r="M498" s="8" t="s">
        <v>2076</v>
      </c>
      <c r="N498" s="132">
        <v>46149</v>
      </c>
      <c r="O498" s="143">
        <v>90</v>
      </c>
      <c r="P498" s="9">
        <v>2.0482476103777878</v>
      </c>
      <c r="Q498" s="143">
        <v>6</v>
      </c>
      <c r="R498" s="9">
        <f t="shared" si="85"/>
        <v>6.666666666666667</v>
      </c>
      <c r="S498" s="8" t="s">
        <v>2040</v>
      </c>
      <c r="T498" s="132">
        <v>46149</v>
      </c>
      <c r="U498" s="143">
        <v>1133</v>
      </c>
      <c r="V498" s="143">
        <v>33</v>
      </c>
      <c r="W498" s="9">
        <f t="shared" si="86"/>
        <v>2.912621359223301</v>
      </c>
      <c r="X498" s="8" t="s">
        <v>2049</v>
      </c>
      <c r="Y498" s="178"/>
      <c r="Z498" s="143">
        <v>0</v>
      </c>
      <c r="AA498" s="9">
        <v>0</v>
      </c>
      <c r="AB498" s="143">
        <v>0</v>
      </c>
      <c r="AC498" s="9">
        <v>0</v>
      </c>
      <c r="AD498" s="8" t="s">
        <v>2050</v>
      </c>
      <c r="AE498" s="178"/>
      <c r="AF498" s="143"/>
      <c r="AG498" s="143"/>
      <c r="AH498" s="9">
        <v>0</v>
      </c>
      <c r="AI498" s="8" t="s">
        <v>2050</v>
      </c>
    </row>
    <row r="499" spans="1:35" x14ac:dyDescent="0.2">
      <c r="A499" s="8" t="s">
        <v>1970</v>
      </c>
      <c r="B499" s="8"/>
      <c r="C499" s="8" t="s">
        <v>14</v>
      </c>
      <c r="D499" s="8" t="s">
        <v>1981</v>
      </c>
      <c r="E499" s="9">
        <v>35.83</v>
      </c>
      <c r="F499" s="8" t="s">
        <v>1740</v>
      </c>
      <c r="G499" s="10">
        <v>4214</v>
      </c>
      <c r="H499" s="132"/>
      <c r="I499" s="8">
        <v>0</v>
      </c>
      <c r="J499" s="9">
        <v>0</v>
      </c>
      <c r="K499" s="8">
        <v>0</v>
      </c>
      <c r="L499" s="9">
        <f t="shared" si="84"/>
        <v>0</v>
      </c>
      <c r="M499" s="8" t="s">
        <v>2076</v>
      </c>
      <c r="N499" s="132"/>
      <c r="O499" s="143">
        <v>0</v>
      </c>
      <c r="P499" s="9">
        <v>0</v>
      </c>
      <c r="Q499" s="143">
        <v>0</v>
      </c>
      <c r="R499" s="9">
        <f t="shared" si="85"/>
        <v>0</v>
      </c>
      <c r="S499" s="8" t="s">
        <v>2050</v>
      </c>
      <c r="T499" s="132"/>
      <c r="U499" s="143">
        <v>0</v>
      </c>
      <c r="V499" s="143">
        <v>0</v>
      </c>
      <c r="W499" s="9">
        <f t="shared" si="86"/>
        <v>0</v>
      </c>
      <c r="X499" s="8" t="s">
        <v>2050</v>
      </c>
      <c r="Y499" s="178">
        <v>46155</v>
      </c>
      <c r="Z499" s="143">
        <v>102</v>
      </c>
      <c r="AA499" s="9">
        <v>2.4205030849549121</v>
      </c>
      <c r="AB499" s="143">
        <v>7</v>
      </c>
      <c r="AC499" s="9">
        <v>6.8627450980392162</v>
      </c>
      <c r="AD499" s="8" t="s">
        <v>2040</v>
      </c>
      <c r="AE499" s="178"/>
      <c r="AF499" s="143"/>
      <c r="AG499" s="143"/>
      <c r="AH499" s="9">
        <v>0</v>
      </c>
      <c r="AI499" s="8" t="s">
        <v>2050</v>
      </c>
    </row>
    <row r="500" spans="1:35" x14ac:dyDescent="0.2">
      <c r="A500" s="8" t="s">
        <v>1970</v>
      </c>
      <c r="B500" s="8"/>
      <c r="C500" s="8" t="s">
        <v>14</v>
      </c>
      <c r="D500" s="177" t="s">
        <v>1982</v>
      </c>
      <c r="E500" s="9">
        <v>28.880000000000003</v>
      </c>
      <c r="F500" s="8" t="s">
        <v>1740</v>
      </c>
      <c r="G500" s="10">
        <v>3548</v>
      </c>
      <c r="H500" s="132"/>
      <c r="I500" s="8">
        <v>0</v>
      </c>
      <c r="J500" s="9">
        <v>0</v>
      </c>
      <c r="K500" s="8">
        <v>0</v>
      </c>
      <c r="L500" s="9">
        <f t="shared" si="84"/>
        <v>0</v>
      </c>
      <c r="M500" s="8" t="s">
        <v>2076</v>
      </c>
      <c r="N500" s="132">
        <v>46148</v>
      </c>
      <c r="O500" s="143">
        <v>75</v>
      </c>
      <c r="P500" s="9">
        <v>2.1138669673055244</v>
      </c>
      <c r="Q500" s="143">
        <v>4</v>
      </c>
      <c r="R500" s="9">
        <f t="shared" si="85"/>
        <v>5.3333333333333339</v>
      </c>
      <c r="S500" s="8" t="s">
        <v>2040</v>
      </c>
      <c r="T500" s="132"/>
      <c r="U500" s="143">
        <v>0</v>
      </c>
      <c r="V500" s="143">
        <v>0</v>
      </c>
      <c r="W500" s="9">
        <f t="shared" si="86"/>
        <v>0</v>
      </c>
      <c r="X500" s="8" t="s">
        <v>2050</v>
      </c>
      <c r="Y500" s="178"/>
      <c r="Z500" s="143">
        <v>0</v>
      </c>
      <c r="AA500" s="9">
        <v>0</v>
      </c>
      <c r="AB500" s="143">
        <v>0</v>
      </c>
      <c r="AC500" s="9">
        <v>0</v>
      </c>
      <c r="AD500" s="8" t="s">
        <v>2050</v>
      </c>
      <c r="AE500" s="178"/>
      <c r="AF500" s="143"/>
      <c r="AG500" s="143"/>
      <c r="AH500" s="9">
        <v>0</v>
      </c>
      <c r="AI500" s="8" t="s">
        <v>2050</v>
      </c>
    </row>
    <row r="501" spans="1:35" x14ac:dyDescent="0.2">
      <c r="A501" s="8" t="s">
        <v>1970</v>
      </c>
      <c r="B501" s="8"/>
      <c r="C501" s="8" t="s">
        <v>14</v>
      </c>
      <c r="D501" s="8" t="s">
        <v>1983</v>
      </c>
      <c r="E501" s="9">
        <v>36.18</v>
      </c>
      <c r="F501" s="8" t="s">
        <v>1740</v>
      </c>
      <c r="G501" s="10">
        <v>4489</v>
      </c>
      <c r="H501" s="132"/>
      <c r="I501" s="8">
        <v>0</v>
      </c>
      <c r="J501" s="9">
        <v>0</v>
      </c>
      <c r="K501" s="8">
        <v>0</v>
      </c>
      <c r="L501" s="9">
        <f t="shared" si="84"/>
        <v>0</v>
      </c>
      <c r="M501" s="8" t="s">
        <v>2076</v>
      </c>
      <c r="N501" s="132"/>
      <c r="O501" s="143">
        <v>0</v>
      </c>
      <c r="P501" s="9">
        <v>0</v>
      </c>
      <c r="Q501" s="143">
        <v>0</v>
      </c>
      <c r="R501" s="9">
        <f t="shared" si="85"/>
        <v>0</v>
      </c>
      <c r="S501" s="8" t="s">
        <v>2050</v>
      </c>
      <c r="T501" s="132"/>
      <c r="U501" s="143">
        <v>0</v>
      </c>
      <c r="V501" s="143">
        <v>0</v>
      </c>
      <c r="W501" s="9">
        <f t="shared" si="86"/>
        <v>0</v>
      </c>
      <c r="X501" s="8" t="s">
        <v>2050</v>
      </c>
      <c r="Y501" s="178">
        <v>46155</v>
      </c>
      <c r="Z501" s="143">
        <v>137</v>
      </c>
      <c r="AA501" s="9">
        <v>3.0519046558253509</v>
      </c>
      <c r="AB501" s="143">
        <v>23</v>
      </c>
      <c r="AC501" s="9">
        <v>16.788321167883211</v>
      </c>
      <c r="AD501" s="8" t="s">
        <v>2040</v>
      </c>
      <c r="AE501" s="178"/>
      <c r="AF501" s="143"/>
      <c r="AG501" s="143"/>
      <c r="AH501" s="9">
        <v>0</v>
      </c>
      <c r="AI501" s="8" t="s">
        <v>2050</v>
      </c>
    </row>
    <row r="502" spans="1:35" x14ac:dyDescent="0.2">
      <c r="A502" s="8" t="s">
        <v>1970</v>
      </c>
      <c r="B502" s="8"/>
      <c r="C502" s="8" t="s">
        <v>14</v>
      </c>
      <c r="D502" s="8" t="s">
        <v>1984</v>
      </c>
      <c r="E502" s="9">
        <v>43.65</v>
      </c>
      <c r="F502" s="8" t="s">
        <v>1740</v>
      </c>
      <c r="G502" s="10">
        <v>4868</v>
      </c>
      <c r="H502" s="132"/>
      <c r="I502" s="8">
        <v>0</v>
      </c>
      <c r="J502" s="9">
        <v>0</v>
      </c>
      <c r="K502" s="8">
        <v>0</v>
      </c>
      <c r="L502" s="9">
        <f t="shared" si="84"/>
        <v>0</v>
      </c>
      <c r="M502" s="8" t="s">
        <v>2076</v>
      </c>
      <c r="N502" s="132"/>
      <c r="O502" s="143">
        <v>0</v>
      </c>
      <c r="P502" s="9">
        <v>0</v>
      </c>
      <c r="Q502" s="143">
        <v>0</v>
      </c>
      <c r="R502" s="9">
        <f t="shared" si="85"/>
        <v>0</v>
      </c>
      <c r="S502" s="8" t="s">
        <v>2050</v>
      </c>
      <c r="T502" s="132"/>
      <c r="U502" s="143">
        <v>0</v>
      </c>
      <c r="V502" s="143">
        <v>0</v>
      </c>
      <c r="W502" s="9">
        <f t="shared" si="86"/>
        <v>0</v>
      </c>
      <c r="X502" s="8" t="s">
        <v>2050</v>
      </c>
      <c r="Y502" s="178">
        <v>46155</v>
      </c>
      <c r="Z502" s="143">
        <v>112</v>
      </c>
      <c r="AA502" s="9">
        <v>2.3007395234182417</v>
      </c>
      <c r="AB502" s="143">
        <v>4</v>
      </c>
      <c r="AC502" s="9">
        <v>3.5714285714285712</v>
      </c>
      <c r="AD502" s="8" t="s">
        <v>2049</v>
      </c>
      <c r="AE502" s="178"/>
      <c r="AF502" s="143"/>
      <c r="AG502" s="143"/>
      <c r="AH502" s="9">
        <v>0</v>
      </c>
      <c r="AI502" s="8" t="s">
        <v>2050</v>
      </c>
    </row>
    <row r="503" spans="1:35" x14ac:dyDescent="0.2">
      <c r="A503" s="8" t="s">
        <v>1970</v>
      </c>
      <c r="B503" s="8"/>
      <c r="C503" s="8" t="s">
        <v>14</v>
      </c>
      <c r="D503" s="8" t="s">
        <v>1985</v>
      </c>
      <c r="E503" s="9">
        <v>33.29</v>
      </c>
      <c r="F503" s="8" t="s">
        <v>1740</v>
      </c>
      <c r="G503" s="10">
        <v>4316</v>
      </c>
      <c r="H503" s="132"/>
      <c r="I503" s="8">
        <v>0</v>
      </c>
      <c r="J503" s="9">
        <v>0</v>
      </c>
      <c r="K503" s="8">
        <v>0</v>
      </c>
      <c r="L503" s="9">
        <f t="shared" si="84"/>
        <v>0</v>
      </c>
      <c r="M503" s="8" t="s">
        <v>2076</v>
      </c>
      <c r="N503" s="132"/>
      <c r="O503" s="143">
        <v>0</v>
      </c>
      <c r="P503" s="9">
        <v>0</v>
      </c>
      <c r="Q503" s="143">
        <v>0</v>
      </c>
      <c r="R503" s="9">
        <f t="shared" si="85"/>
        <v>0</v>
      </c>
      <c r="S503" s="8" t="s">
        <v>2050</v>
      </c>
      <c r="T503" s="132"/>
      <c r="U503" s="143">
        <v>0</v>
      </c>
      <c r="V503" s="143">
        <v>0</v>
      </c>
      <c r="W503" s="9">
        <f t="shared" si="86"/>
        <v>0</v>
      </c>
      <c r="X503" s="8" t="s">
        <v>2050</v>
      </c>
      <c r="Y503" s="178">
        <v>46155</v>
      </c>
      <c r="Z503" s="143">
        <v>186</v>
      </c>
      <c r="AA503" s="9">
        <v>4.3095458758109366</v>
      </c>
      <c r="AB503" s="143">
        <v>15</v>
      </c>
      <c r="AC503" s="9">
        <v>8.064516129032258</v>
      </c>
      <c r="AD503" s="8" t="s">
        <v>2040</v>
      </c>
      <c r="AE503" s="178"/>
      <c r="AF503" s="143"/>
      <c r="AG503" s="143"/>
      <c r="AH503" s="9">
        <v>0</v>
      </c>
      <c r="AI503" s="8" t="s">
        <v>2050</v>
      </c>
    </row>
    <row r="504" spans="1:35" x14ac:dyDescent="0.2">
      <c r="A504" s="8" t="s">
        <v>1970</v>
      </c>
      <c r="B504" s="8"/>
      <c r="C504" s="8" t="s">
        <v>14</v>
      </c>
      <c r="D504" s="8" t="s">
        <v>1986</v>
      </c>
      <c r="E504" s="9">
        <v>32.47</v>
      </c>
      <c r="F504" s="8" t="s">
        <v>1740</v>
      </c>
      <c r="G504" s="10">
        <v>3995</v>
      </c>
      <c r="H504" s="132"/>
      <c r="I504" s="8">
        <v>0</v>
      </c>
      <c r="J504" s="9">
        <v>0</v>
      </c>
      <c r="K504" s="8">
        <v>0</v>
      </c>
      <c r="L504" s="9">
        <f t="shared" si="84"/>
        <v>0</v>
      </c>
      <c r="M504" s="8" t="s">
        <v>2076</v>
      </c>
      <c r="N504" s="132"/>
      <c r="O504" s="143">
        <v>0</v>
      </c>
      <c r="P504" s="9">
        <v>0</v>
      </c>
      <c r="Q504" s="143">
        <v>0</v>
      </c>
      <c r="R504" s="9">
        <f t="shared" si="85"/>
        <v>0</v>
      </c>
      <c r="S504" s="8" t="s">
        <v>2050</v>
      </c>
      <c r="T504" s="132"/>
      <c r="U504" s="143">
        <v>0</v>
      </c>
      <c r="V504" s="143">
        <v>0</v>
      </c>
      <c r="W504" s="9">
        <f t="shared" si="86"/>
        <v>0</v>
      </c>
      <c r="X504" s="8" t="s">
        <v>2050</v>
      </c>
      <c r="Y504" s="178">
        <v>46155</v>
      </c>
      <c r="Z504" s="143">
        <v>88</v>
      </c>
      <c r="AA504" s="9">
        <v>2.202753441802253</v>
      </c>
      <c r="AB504" s="143">
        <v>5</v>
      </c>
      <c r="AC504" s="9">
        <v>5.6818181818181817</v>
      </c>
      <c r="AD504" s="8" t="s">
        <v>2040</v>
      </c>
      <c r="AE504" s="178">
        <v>46155</v>
      </c>
      <c r="AF504" s="143">
        <v>1034</v>
      </c>
      <c r="AG504" s="143">
        <v>53</v>
      </c>
      <c r="AH504" s="9">
        <v>5.1257253384912955</v>
      </c>
      <c r="AI504" s="8" t="s">
        <v>2040</v>
      </c>
    </row>
    <row r="505" spans="1:35" x14ac:dyDescent="0.2">
      <c r="A505" s="8" t="s">
        <v>1970</v>
      </c>
      <c r="B505" s="8"/>
      <c r="C505" s="8" t="s">
        <v>14</v>
      </c>
      <c r="D505" s="177" t="s">
        <v>1987</v>
      </c>
      <c r="E505" s="9">
        <v>37.26</v>
      </c>
      <c r="F505" s="8" t="s">
        <v>1740</v>
      </c>
      <c r="G505" s="10">
        <v>4416</v>
      </c>
      <c r="H505" s="132"/>
      <c r="I505" s="8">
        <v>0</v>
      </c>
      <c r="J505" s="9">
        <v>0</v>
      </c>
      <c r="K505" s="8">
        <v>0</v>
      </c>
      <c r="L505" s="9">
        <f t="shared" si="84"/>
        <v>0</v>
      </c>
      <c r="M505" s="8" t="s">
        <v>2076</v>
      </c>
      <c r="N505" s="132">
        <v>46147</v>
      </c>
      <c r="O505" s="143">
        <v>71</v>
      </c>
      <c r="P505" s="9">
        <v>1.6077898550724636</v>
      </c>
      <c r="Q505" s="143">
        <v>3</v>
      </c>
      <c r="R505" s="9">
        <f t="shared" si="85"/>
        <v>4.225352112676056</v>
      </c>
      <c r="S505" s="8" t="s">
        <v>2049</v>
      </c>
      <c r="T505" s="132"/>
      <c r="U505" s="143">
        <v>0</v>
      </c>
      <c r="V505" s="143">
        <v>0</v>
      </c>
      <c r="W505" s="9">
        <f t="shared" si="86"/>
        <v>0</v>
      </c>
      <c r="X505" s="8" t="s">
        <v>2050</v>
      </c>
      <c r="Y505" s="178"/>
      <c r="Z505" s="143">
        <v>0</v>
      </c>
      <c r="AA505" s="9">
        <v>0</v>
      </c>
      <c r="AB505" s="143">
        <v>0</v>
      </c>
      <c r="AC505" s="9">
        <v>0</v>
      </c>
      <c r="AD505" s="8" t="s">
        <v>2050</v>
      </c>
      <c r="AE505" s="178"/>
      <c r="AF505" s="143"/>
      <c r="AG505" s="143"/>
      <c r="AH505" s="9">
        <v>0</v>
      </c>
      <c r="AI505" s="8" t="s">
        <v>2050</v>
      </c>
    </row>
    <row r="506" spans="1:35" x14ac:dyDescent="0.2">
      <c r="A506" s="8" t="s">
        <v>1970</v>
      </c>
      <c r="B506" s="8"/>
      <c r="C506" s="8" t="s">
        <v>14</v>
      </c>
      <c r="D506" s="177" t="s">
        <v>1988</v>
      </c>
      <c r="E506" s="9">
        <v>31.37</v>
      </c>
      <c r="F506" s="8" t="s">
        <v>1740</v>
      </c>
      <c r="G506" s="10">
        <v>3947</v>
      </c>
      <c r="H506" s="132"/>
      <c r="I506" s="8">
        <v>0</v>
      </c>
      <c r="J506" s="9">
        <v>0</v>
      </c>
      <c r="K506" s="8">
        <v>0</v>
      </c>
      <c r="L506" s="9">
        <f t="shared" si="84"/>
        <v>0</v>
      </c>
      <c r="M506" s="8" t="s">
        <v>2076</v>
      </c>
      <c r="N506" s="132">
        <v>46149</v>
      </c>
      <c r="O506" s="143">
        <v>110</v>
      </c>
      <c r="P506" s="9">
        <v>2.7869267798327844</v>
      </c>
      <c r="Q506" s="143">
        <v>3</v>
      </c>
      <c r="R506" s="9">
        <f t="shared" si="85"/>
        <v>2.7272727272727271</v>
      </c>
      <c r="S506" s="8" t="s">
        <v>2049</v>
      </c>
      <c r="T506" s="132"/>
      <c r="U506" s="143">
        <v>0</v>
      </c>
      <c r="V506" s="143">
        <v>0</v>
      </c>
      <c r="W506" s="9">
        <f t="shared" si="86"/>
        <v>0</v>
      </c>
      <c r="X506" s="8" t="s">
        <v>2050</v>
      </c>
      <c r="Y506" s="178"/>
      <c r="Z506" s="143">
        <v>0</v>
      </c>
      <c r="AA506" s="9">
        <v>0</v>
      </c>
      <c r="AB506" s="143">
        <v>0</v>
      </c>
      <c r="AC506" s="9">
        <v>0</v>
      </c>
      <c r="AD506" s="8" t="s">
        <v>2050</v>
      </c>
      <c r="AE506" s="178"/>
      <c r="AF506" s="143"/>
      <c r="AG506" s="143"/>
      <c r="AH506" s="9">
        <v>0</v>
      </c>
      <c r="AI506" s="8" t="s">
        <v>2050</v>
      </c>
    </row>
    <row r="507" spans="1:35" x14ac:dyDescent="0.2">
      <c r="A507" s="8" t="s">
        <v>1970</v>
      </c>
      <c r="B507" s="8"/>
      <c r="C507" s="8" t="s">
        <v>14</v>
      </c>
      <c r="D507" s="177" t="s">
        <v>1989</v>
      </c>
      <c r="E507" s="9">
        <v>34.569999999999993</v>
      </c>
      <c r="F507" s="8" t="s">
        <v>1740</v>
      </c>
      <c r="G507" s="10">
        <v>4070</v>
      </c>
      <c r="H507" s="132">
        <v>46153</v>
      </c>
      <c r="I507" s="8">
        <v>453</v>
      </c>
      <c r="J507" s="9">
        <v>11.13022113022113</v>
      </c>
      <c r="K507" s="8">
        <v>43</v>
      </c>
      <c r="L507" s="9">
        <f t="shared" si="84"/>
        <v>9.4922737306843263</v>
      </c>
      <c r="M507" s="8" t="s">
        <v>2075</v>
      </c>
      <c r="N507" s="132">
        <v>46149</v>
      </c>
      <c r="O507" s="143">
        <v>88</v>
      </c>
      <c r="P507" s="9">
        <v>2.1621621621621623</v>
      </c>
      <c r="Q507" s="143">
        <v>25</v>
      </c>
      <c r="R507" s="9">
        <f t="shared" si="85"/>
        <v>28.40909090909091</v>
      </c>
      <c r="S507" s="8" t="s">
        <v>2040</v>
      </c>
      <c r="T507" s="132">
        <v>46149</v>
      </c>
      <c r="U507" s="143">
        <v>1636</v>
      </c>
      <c r="V507" s="143">
        <v>52</v>
      </c>
      <c r="W507" s="9">
        <f t="shared" si="86"/>
        <v>3.1784841075794623</v>
      </c>
      <c r="X507" s="8" t="s">
        <v>2049</v>
      </c>
      <c r="Y507" s="178">
        <v>46155</v>
      </c>
      <c r="Z507" s="143">
        <v>200</v>
      </c>
      <c r="AA507" s="9">
        <v>4.9140049140049138</v>
      </c>
      <c r="AB507" s="143">
        <v>8</v>
      </c>
      <c r="AC507" s="9">
        <v>4</v>
      </c>
      <c r="AD507" s="8" t="s">
        <v>2049</v>
      </c>
      <c r="AE507" s="178"/>
      <c r="AF507" s="143"/>
      <c r="AG507" s="143"/>
      <c r="AH507" s="9">
        <v>0</v>
      </c>
      <c r="AI507" s="8" t="s">
        <v>2050</v>
      </c>
    </row>
    <row r="508" spans="1:35" x14ac:dyDescent="0.2">
      <c r="A508" s="8" t="s">
        <v>1970</v>
      </c>
      <c r="B508" s="8"/>
      <c r="C508" s="8" t="s">
        <v>14</v>
      </c>
      <c r="D508" s="8" t="s">
        <v>1990</v>
      </c>
      <c r="E508" s="9">
        <v>41.559999999999995</v>
      </c>
      <c r="F508" s="8" t="s">
        <v>1740</v>
      </c>
      <c r="G508" s="10">
        <v>4804</v>
      </c>
      <c r="H508" s="132"/>
      <c r="I508" s="8">
        <v>0</v>
      </c>
      <c r="J508" s="9">
        <v>0</v>
      </c>
      <c r="K508" s="8">
        <v>0</v>
      </c>
      <c r="L508" s="9">
        <f t="shared" si="84"/>
        <v>0</v>
      </c>
      <c r="M508" s="8" t="s">
        <v>2076</v>
      </c>
      <c r="N508" s="132">
        <v>46147</v>
      </c>
      <c r="O508" s="143">
        <v>75</v>
      </c>
      <c r="P508" s="9">
        <v>1.5611990008326395</v>
      </c>
      <c r="Q508" s="143">
        <v>0</v>
      </c>
      <c r="R508" s="9">
        <f t="shared" si="85"/>
        <v>0</v>
      </c>
      <c r="S508" s="8" t="s">
        <v>2050</v>
      </c>
      <c r="T508" s="132"/>
      <c r="U508" s="143">
        <v>0</v>
      </c>
      <c r="V508" s="143">
        <v>0</v>
      </c>
      <c r="W508" s="9">
        <f t="shared" si="86"/>
        <v>0</v>
      </c>
      <c r="X508" s="8" t="s">
        <v>2050</v>
      </c>
      <c r="Y508" s="178"/>
      <c r="Z508" s="143">
        <v>0</v>
      </c>
      <c r="AA508" s="9">
        <v>0</v>
      </c>
      <c r="AB508" s="143">
        <v>0</v>
      </c>
      <c r="AC508" s="9">
        <v>0</v>
      </c>
      <c r="AD508" s="8" t="s">
        <v>2050</v>
      </c>
      <c r="AE508" s="178"/>
      <c r="AF508" s="143"/>
      <c r="AG508" s="143"/>
      <c r="AH508" s="9">
        <v>0</v>
      </c>
      <c r="AI508" s="8" t="s">
        <v>2050</v>
      </c>
    </row>
    <row r="509" spans="1:35" x14ac:dyDescent="0.2">
      <c r="A509" s="8" t="s">
        <v>1970</v>
      </c>
      <c r="B509" s="8"/>
      <c r="C509" s="8" t="s">
        <v>14</v>
      </c>
      <c r="D509" s="8" t="s">
        <v>1991</v>
      </c>
      <c r="E509" s="9">
        <v>28.91</v>
      </c>
      <c r="F509" s="8" t="s">
        <v>1740</v>
      </c>
      <c r="G509" s="10">
        <v>3377</v>
      </c>
      <c r="H509" s="132"/>
      <c r="I509" s="8">
        <v>0</v>
      </c>
      <c r="J509" s="9">
        <v>0</v>
      </c>
      <c r="K509" s="8">
        <v>0</v>
      </c>
      <c r="L509" s="9">
        <f t="shared" si="84"/>
        <v>0</v>
      </c>
      <c r="M509" s="8" t="s">
        <v>2076</v>
      </c>
      <c r="N509" s="132"/>
      <c r="O509" s="143">
        <v>0</v>
      </c>
      <c r="P509" s="9">
        <v>0</v>
      </c>
      <c r="Q509" s="143">
        <v>0</v>
      </c>
      <c r="R509" s="9">
        <f t="shared" si="85"/>
        <v>0</v>
      </c>
      <c r="S509" s="8" t="s">
        <v>2050</v>
      </c>
      <c r="T509" s="132"/>
      <c r="U509" s="143">
        <v>0</v>
      </c>
      <c r="V509" s="143">
        <v>0</v>
      </c>
      <c r="W509" s="9">
        <f t="shared" si="86"/>
        <v>0</v>
      </c>
      <c r="X509" s="8" t="s">
        <v>2050</v>
      </c>
      <c r="Y509" s="178">
        <v>46155</v>
      </c>
      <c r="Z509" s="143">
        <v>109</v>
      </c>
      <c r="AA509" s="9">
        <v>3.227716908498667</v>
      </c>
      <c r="AB509" s="143">
        <v>4</v>
      </c>
      <c r="AC509" s="9">
        <v>3.669724770642202</v>
      </c>
      <c r="AD509" s="8" t="s">
        <v>2049</v>
      </c>
      <c r="AE509" s="178"/>
      <c r="AF509" s="143"/>
      <c r="AG509" s="143"/>
      <c r="AH509" s="9">
        <v>0</v>
      </c>
      <c r="AI509" s="8" t="s">
        <v>2050</v>
      </c>
    </row>
    <row r="510" spans="1:35" x14ac:dyDescent="0.2">
      <c r="A510" s="8" t="s">
        <v>1970</v>
      </c>
      <c r="B510" s="8"/>
      <c r="C510" s="8" t="s">
        <v>14</v>
      </c>
      <c r="D510" s="8" t="s">
        <v>1992</v>
      </c>
      <c r="E510" s="9">
        <v>26.499999999999996</v>
      </c>
      <c r="F510" s="8" t="s">
        <v>1740</v>
      </c>
      <c r="G510" s="10">
        <v>3395</v>
      </c>
      <c r="H510" s="132"/>
      <c r="I510" s="8">
        <v>0</v>
      </c>
      <c r="J510" s="9">
        <v>0</v>
      </c>
      <c r="K510" s="8">
        <v>0</v>
      </c>
      <c r="L510" s="9">
        <f t="shared" si="84"/>
        <v>0</v>
      </c>
      <c r="M510" s="8" t="s">
        <v>2076</v>
      </c>
      <c r="N510" s="132"/>
      <c r="O510" s="143">
        <v>0</v>
      </c>
      <c r="P510" s="9">
        <v>0</v>
      </c>
      <c r="Q510" s="143">
        <v>0</v>
      </c>
      <c r="R510" s="9">
        <f t="shared" si="85"/>
        <v>0</v>
      </c>
      <c r="S510" s="8" t="s">
        <v>2050</v>
      </c>
      <c r="T510" s="132"/>
      <c r="U510" s="143">
        <v>0</v>
      </c>
      <c r="V510" s="143">
        <v>0</v>
      </c>
      <c r="W510" s="9">
        <f t="shared" si="86"/>
        <v>0</v>
      </c>
      <c r="X510" s="8" t="s">
        <v>2050</v>
      </c>
      <c r="Y510" s="178">
        <v>46155</v>
      </c>
      <c r="Z510" s="143">
        <v>105</v>
      </c>
      <c r="AA510" s="9">
        <v>3.0927835051546393</v>
      </c>
      <c r="AB510" s="143">
        <v>5</v>
      </c>
      <c r="AC510" s="9">
        <v>4.7619047619047619</v>
      </c>
      <c r="AD510" s="8" t="s">
        <v>2049</v>
      </c>
      <c r="AE510" s="178"/>
      <c r="AF510" s="143"/>
      <c r="AG510" s="143"/>
      <c r="AH510" s="9">
        <v>0</v>
      </c>
      <c r="AI510" s="8" t="s">
        <v>2050</v>
      </c>
    </row>
    <row r="511" spans="1:35" x14ac:dyDescent="0.2">
      <c r="A511" s="8" t="s">
        <v>1970</v>
      </c>
      <c r="B511" s="8"/>
      <c r="C511" s="8" t="s">
        <v>14</v>
      </c>
      <c r="D511" s="8" t="s">
        <v>1993</v>
      </c>
      <c r="E511" s="9">
        <v>24.250000000000004</v>
      </c>
      <c r="F511" s="8" t="s">
        <v>1740</v>
      </c>
      <c r="G511" s="10">
        <v>2634</v>
      </c>
      <c r="H511" s="132"/>
      <c r="I511" s="8">
        <v>0</v>
      </c>
      <c r="J511" s="9">
        <v>0</v>
      </c>
      <c r="K511" s="8">
        <v>0</v>
      </c>
      <c r="L511" s="9">
        <f t="shared" si="84"/>
        <v>0</v>
      </c>
      <c r="M511" s="8" t="s">
        <v>2076</v>
      </c>
      <c r="N511" s="132"/>
      <c r="O511" s="143">
        <v>0</v>
      </c>
      <c r="P511" s="9">
        <v>0</v>
      </c>
      <c r="Q511" s="143">
        <v>0</v>
      </c>
      <c r="R511" s="9">
        <f t="shared" si="85"/>
        <v>0</v>
      </c>
      <c r="S511" s="8" t="s">
        <v>2050</v>
      </c>
      <c r="T511" s="132"/>
      <c r="U511" s="143">
        <v>0</v>
      </c>
      <c r="V511" s="143">
        <v>0</v>
      </c>
      <c r="W511" s="9">
        <f t="shared" si="86"/>
        <v>0</v>
      </c>
      <c r="X511" s="8" t="s">
        <v>2050</v>
      </c>
      <c r="Y511" s="178">
        <v>46155</v>
      </c>
      <c r="Z511" s="143">
        <v>104</v>
      </c>
      <c r="AA511" s="9">
        <v>3.9483675018982534</v>
      </c>
      <c r="AB511" s="143">
        <v>3</v>
      </c>
      <c r="AC511" s="9">
        <v>2.8846153846153846</v>
      </c>
      <c r="AD511" s="8" t="s">
        <v>2049</v>
      </c>
      <c r="AE511" s="178"/>
      <c r="AF511" s="143"/>
      <c r="AG511" s="143"/>
      <c r="AH511" s="9">
        <v>0</v>
      </c>
      <c r="AI511" s="8" t="s">
        <v>2050</v>
      </c>
    </row>
    <row r="512" spans="1:35" x14ac:dyDescent="0.2">
      <c r="A512" s="8" t="s">
        <v>1970</v>
      </c>
      <c r="B512" s="8"/>
      <c r="C512" s="8" t="s">
        <v>14</v>
      </c>
      <c r="D512" s="177" t="s">
        <v>1994</v>
      </c>
      <c r="E512" s="9">
        <v>28.029999999999998</v>
      </c>
      <c r="F512" s="8" t="s">
        <v>1740</v>
      </c>
      <c r="G512" s="10">
        <v>3526</v>
      </c>
      <c r="H512" s="132">
        <v>46157</v>
      </c>
      <c r="I512" s="8">
        <v>290</v>
      </c>
      <c r="J512" s="9">
        <v>8.2246171298922288</v>
      </c>
      <c r="K512" s="8">
        <v>27</v>
      </c>
      <c r="L512" s="9">
        <f t="shared" si="84"/>
        <v>9.3103448275862082</v>
      </c>
      <c r="M512" s="8" t="s">
        <v>2075</v>
      </c>
      <c r="N512" s="132"/>
      <c r="O512" s="143">
        <v>0</v>
      </c>
      <c r="P512" s="9">
        <v>0</v>
      </c>
      <c r="Q512" s="143">
        <v>0</v>
      </c>
      <c r="R512" s="9">
        <f t="shared" si="85"/>
        <v>0</v>
      </c>
      <c r="S512" s="8" t="s">
        <v>2050</v>
      </c>
      <c r="T512" s="132"/>
      <c r="U512" s="143">
        <v>0</v>
      </c>
      <c r="V512" s="143">
        <v>0</v>
      </c>
      <c r="W512" s="9">
        <f t="shared" si="86"/>
        <v>0</v>
      </c>
      <c r="X512" s="8" t="s">
        <v>2050</v>
      </c>
      <c r="Y512" s="178">
        <v>46155</v>
      </c>
      <c r="Z512" s="143">
        <v>290</v>
      </c>
      <c r="AA512" s="9">
        <v>8.2246171298922288</v>
      </c>
      <c r="AB512" s="143">
        <v>27</v>
      </c>
      <c r="AC512" s="9">
        <v>9.3103448275862082</v>
      </c>
      <c r="AD512" s="8" t="s">
        <v>2040</v>
      </c>
      <c r="AE512" s="178"/>
      <c r="AF512" s="143"/>
      <c r="AG512" s="143"/>
      <c r="AH512" s="9">
        <v>0</v>
      </c>
      <c r="AI512" s="8" t="s">
        <v>2050</v>
      </c>
    </row>
    <row r="513" spans="1:35" x14ac:dyDescent="0.2">
      <c r="A513" s="8" t="s">
        <v>1970</v>
      </c>
      <c r="B513" s="8"/>
      <c r="C513" s="8" t="s">
        <v>47</v>
      </c>
      <c r="D513" s="8" t="s">
        <v>1109</v>
      </c>
      <c r="E513" s="9">
        <v>30.350000000000005</v>
      </c>
      <c r="F513" s="8" t="s">
        <v>1740</v>
      </c>
      <c r="G513" s="10">
        <v>3346</v>
      </c>
      <c r="H513" s="132"/>
      <c r="I513" s="8">
        <v>0</v>
      </c>
      <c r="J513" s="9">
        <v>0</v>
      </c>
      <c r="K513" s="8">
        <v>0</v>
      </c>
      <c r="L513" s="9">
        <f t="shared" si="84"/>
        <v>0</v>
      </c>
      <c r="M513" s="8" t="s">
        <v>2076</v>
      </c>
      <c r="N513" s="132"/>
      <c r="O513" s="143">
        <v>0</v>
      </c>
      <c r="P513" s="9">
        <v>0</v>
      </c>
      <c r="Q513" s="143">
        <v>0</v>
      </c>
      <c r="R513" s="9">
        <f t="shared" si="85"/>
        <v>0</v>
      </c>
      <c r="S513" s="8" t="s">
        <v>2050</v>
      </c>
      <c r="T513" s="132"/>
      <c r="U513" s="143">
        <v>0</v>
      </c>
      <c r="V513" s="143">
        <v>0</v>
      </c>
      <c r="W513" s="9">
        <f t="shared" si="86"/>
        <v>0</v>
      </c>
      <c r="X513" s="8" t="s">
        <v>2050</v>
      </c>
      <c r="Y513" s="178"/>
      <c r="Z513" s="143">
        <v>0</v>
      </c>
      <c r="AA513" s="9">
        <v>0</v>
      </c>
      <c r="AB513" s="143">
        <v>0</v>
      </c>
      <c r="AC513" s="9">
        <v>0</v>
      </c>
      <c r="AD513" s="8" t="s">
        <v>2050</v>
      </c>
      <c r="AE513" s="178"/>
      <c r="AF513" s="143"/>
      <c r="AG513" s="143"/>
      <c r="AH513" s="9">
        <v>0</v>
      </c>
      <c r="AI513" s="8" t="s">
        <v>2050</v>
      </c>
    </row>
    <row r="514" spans="1:35" x14ac:dyDescent="0.2">
      <c r="A514" s="8" t="s">
        <v>1970</v>
      </c>
      <c r="B514" s="8"/>
      <c r="C514" s="8" t="s">
        <v>47</v>
      </c>
      <c r="D514" s="8" t="s">
        <v>1110</v>
      </c>
      <c r="E514" s="9">
        <v>24.740000000000002</v>
      </c>
      <c r="F514" s="8" t="s">
        <v>1740</v>
      </c>
      <c r="G514" s="10">
        <v>2955</v>
      </c>
      <c r="H514" s="132"/>
      <c r="I514" s="8">
        <v>0</v>
      </c>
      <c r="J514" s="9">
        <v>0</v>
      </c>
      <c r="K514" s="8">
        <v>0</v>
      </c>
      <c r="L514" s="9">
        <f t="shared" si="84"/>
        <v>0</v>
      </c>
      <c r="M514" s="8" t="s">
        <v>2076</v>
      </c>
      <c r="N514" s="132"/>
      <c r="O514" s="143">
        <v>0</v>
      </c>
      <c r="P514" s="9">
        <v>0</v>
      </c>
      <c r="Q514" s="143">
        <v>0</v>
      </c>
      <c r="R514" s="9">
        <f t="shared" si="85"/>
        <v>0</v>
      </c>
      <c r="S514" s="8" t="s">
        <v>2050</v>
      </c>
      <c r="T514" s="132"/>
      <c r="U514" s="143">
        <v>0</v>
      </c>
      <c r="V514" s="143">
        <v>0</v>
      </c>
      <c r="W514" s="9">
        <f t="shared" si="86"/>
        <v>0</v>
      </c>
      <c r="X514" s="8" t="s">
        <v>2050</v>
      </c>
      <c r="Y514" s="178"/>
      <c r="Z514" s="143">
        <v>0</v>
      </c>
      <c r="AA514" s="9">
        <v>0</v>
      </c>
      <c r="AB514" s="143">
        <v>0</v>
      </c>
      <c r="AC514" s="9">
        <v>0</v>
      </c>
      <c r="AD514" s="8" t="s">
        <v>2050</v>
      </c>
      <c r="AE514" s="178"/>
      <c r="AF514" s="143"/>
      <c r="AG514" s="143"/>
      <c r="AH514" s="9">
        <v>0</v>
      </c>
      <c r="AI514" s="8" t="s">
        <v>2050</v>
      </c>
    </row>
    <row r="515" spans="1:35" x14ac:dyDescent="0.2">
      <c r="A515" s="8" t="s">
        <v>1970</v>
      </c>
      <c r="B515" s="8"/>
      <c r="C515" s="8" t="s">
        <v>47</v>
      </c>
      <c r="D515" s="8" t="s">
        <v>1113</v>
      </c>
      <c r="E515" s="9">
        <v>27.330000000000002</v>
      </c>
      <c r="F515" s="8" t="s">
        <v>1740</v>
      </c>
      <c r="G515" s="10">
        <v>2369</v>
      </c>
      <c r="H515" s="132"/>
      <c r="I515" s="8">
        <v>0</v>
      </c>
      <c r="J515" s="9">
        <v>0</v>
      </c>
      <c r="K515" s="8">
        <v>0</v>
      </c>
      <c r="L515" s="9">
        <f t="shared" si="84"/>
        <v>0</v>
      </c>
      <c r="M515" s="8" t="s">
        <v>2076</v>
      </c>
      <c r="N515" s="132"/>
      <c r="O515" s="143">
        <v>0</v>
      </c>
      <c r="P515" s="9">
        <v>0</v>
      </c>
      <c r="Q515" s="143">
        <v>0</v>
      </c>
      <c r="R515" s="9">
        <f t="shared" si="85"/>
        <v>0</v>
      </c>
      <c r="S515" s="8" t="s">
        <v>2050</v>
      </c>
      <c r="T515" s="132"/>
      <c r="U515" s="143">
        <v>0</v>
      </c>
      <c r="V515" s="143">
        <v>0</v>
      </c>
      <c r="W515" s="9">
        <f t="shared" si="86"/>
        <v>0</v>
      </c>
      <c r="X515" s="8" t="s">
        <v>2050</v>
      </c>
      <c r="Y515" s="178"/>
      <c r="Z515" s="143">
        <v>0</v>
      </c>
      <c r="AA515" s="9">
        <v>0</v>
      </c>
      <c r="AB515" s="143">
        <v>0</v>
      </c>
      <c r="AC515" s="9">
        <v>0</v>
      </c>
      <c r="AD515" s="8" t="s">
        <v>2050</v>
      </c>
      <c r="AE515" s="178"/>
      <c r="AF515" s="143"/>
      <c r="AG515" s="143"/>
      <c r="AH515" s="9">
        <v>0</v>
      </c>
      <c r="AI515" s="8" t="s">
        <v>2050</v>
      </c>
    </row>
    <row r="516" spans="1:35" x14ac:dyDescent="0.2">
      <c r="A516" s="8" t="s">
        <v>1970</v>
      </c>
      <c r="B516" s="8"/>
      <c r="C516" s="8" t="s">
        <v>47</v>
      </c>
      <c r="D516" s="8" t="s">
        <v>1140</v>
      </c>
      <c r="E516" s="9">
        <v>36.909999999999997</v>
      </c>
      <c r="F516" s="8" t="s">
        <v>1740</v>
      </c>
      <c r="G516" s="10">
        <v>4388</v>
      </c>
      <c r="H516" s="132"/>
      <c r="I516" s="8">
        <v>0</v>
      </c>
      <c r="J516" s="9">
        <v>0</v>
      </c>
      <c r="K516" s="8">
        <v>0</v>
      </c>
      <c r="L516" s="9">
        <f t="shared" si="84"/>
        <v>0</v>
      </c>
      <c r="M516" s="8" t="s">
        <v>2076</v>
      </c>
      <c r="N516" s="132"/>
      <c r="O516" s="143">
        <v>0</v>
      </c>
      <c r="P516" s="9">
        <v>0</v>
      </c>
      <c r="Q516" s="143">
        <v>0</v>
      </c>
      <c r="R516" s="9">
        <f t="shared" si="85"/>
        <v>0</v>
      </c>
      <c r="S516" s="8" t="s">
        <v>2050</v>
      </c>
      <c r="T516" s="132"/>
      <c r="U516" s="143">
        <v>0</v>
      </c>
      <c r="V516" s="143">
        <v>0</v>
      </c>
      <c r="W516" s="9">
        <f t="shared" si="86"/>
        <v>0</v>
      </c>
      <c r="X516" s="8" t="s">
        <v>2050</v>
      </c>
      <c r="Y516" s="178"/>
      <c r="Z516" s="143">
        <v>0</v>
      </c>
      <c r="AA516" s="9">
        <v>0</v>
      </c>
      <c r="AB516" s="143">
        <v>0</v>
      </c>
      <c r="AC516" s="9">
        <v>0</v>
      </c>
      <c r="AD516" s="8" t="s">
        <v>2050</v>
      </c>
      <c r="AE516" s="178"/>
      <c r="AF516" s="143"/>
      <c r="AG516" s="143"/>
      <c r="AH516" s="9">
        <v>0</v>
      </c>
      <c r="AI516" s="8" t="s">
        <v>2050</v>
      </c>
    </row>
    <row r="517" spans="1:35" x14ac:dyDescent="0.2">
      <c r="A517" s="8" t="s">
        <v>1970</v>
      </c>
      <c r="B517" s="8"/>
      <c r="C517" s="8" t="s">
        <v>47</v>
      </c>
      <c r="D517" s="8" t="s">
        <v>1995</v>
      </c>
      <c r="E517" s="9">
        <v>37.06</v>
      </c>
      <c r="F517" s="8" t="s">
        <v>1740</v>
      </c>
      <c r="G517" s="10">
        <v>4760</v>
      </c>
      <c r="H517" s="132"/>
      <c r="I517" s="8">
        <v>0</v>
      </c>
      <c r="J517" s="9">
        <v>0</v>
      </c>
      <c r="K517" s="8">
        <v>0</v>
      </c>
      <c r="L517" s="9">
        <f t="shared" ref="L517:L577" si="87">IFERROR(K517/I517*100,0)</f>
        <v>0</v>
      </c>
      <c r="M517" s="8" t="s">
        <v>2076</v>
      </c>
      <c r="N517" s="132"/>
      <c r="O517" s="143">
        <v>0</v>
      </c>
      <c r="P517" s="9">
        <v>0</v>
      </c>
      <c r="Q517" s="143">
        <v>0</v>
      </c>
      <c r="R517" s="9">
        <f t="shared" ref="R517:R577" si="88">IFERROR(Q517/O517*100,0)</f>
        <v>0</v>
      </c>
      <c r="S517" s="8" t="s">
        <v>2050</v>
      </c>
      <c r="T517" s="132"/>
      <c r="U517" s="143">
        <v>0</v>
      </c>
      <c r="V517" s="143">
        <v>0</v>
      </c>
      <c r="W517" s="9">
        <f t="shared" si="86"/>
        <v>0</v>
      </c>
      <c r="X517" s="8" t="s">
        <v>2050</v>
      </c>
      <c r="Y517" s="178">
        <v>46155</v>
      </c>
      <c r="Z517" s="143">
        <v>88</v>
      </c>
      <c r="AA517" s="9">
        <v>1.8487394957983194</v>
      </c>
      <c r="AB517" s="143">
        <v>10</v>
      </c>
      <c r="AC517" s="9">
        <v>11.363636363636363</v>
      </c>
      <c r="AD517" s="8" t="s">
        <v>2040</v>
      </c>
      <c r="AE517" s="178">
        <v>46157</v>
      </c>
      <c r="AF517" s="143">
        <v>510</v>
      </c>
      <c r="AG517" s="143">
        <v>15</v>
      </c>
      <c r="AH517" s="9">
        <v>2.9411764705882351</v>
      </c>
      <c r="AI517" s="8" t="s">
        <v>2049</v>
      </c>
    </row>
    <row r="518" spans="1:35" x14ac:dyDescent="0.2">
      <c r="A518" s="8" t="s">
        <v>1970</v>
      </c>
      <c r="B518" s="8"/>
      <c r="C518" s="8" t="s">
        <v>47</v>
      </c>
      <c r="D518" s="177" t="s">
        <v>1996</v>
      </c>
      <c r="E518" s="9">
        <v>32.050000000000004</v>
      </c>
      <c r="F518" s="8" t="s">
        <v>1740</v>
      </c>
      <c r="G518" s="10">
        <v>4234</v>
      </c>
      <c r="H518" s="132">
        <v>46154</v>
      </c>
      <c r="I518" s="8">
        <v>306</v>
      </c>
      <c r="J518" s="9">
        <v>7.2272083136513938</v>
      </c>
      <c r="K518" s="8">
        <v>11</v>
      </c>
      <c r="L518" s="9">
        <f t="shared" si="87"/>
        <v>3.594771241830065</v>
      </c>
      <c r="M518" s="8" t="s">
        <v>2075</v>
      </c>
      <c r="N518" s="132"/>
      <c r="O518" s="143">
        <v>0</v>
      </c>
      <c r="P518" s="9">
        <v>0</v>
      </c>
      <c r="Q518" s="143">
        <v>0</v>
      </c>
      <c r="R518" s="9">
        <f t="shared" si="88"/>
        <v>0</v>
      </c>
      <c r="S518" s="8" t="s">
        <v>2050</v>
      </c>
      <c r="T518" s="132"/>
      <c r="U518" s="143">
        <v>0</v>
      </c>
      <c r="V518" s="143">
        <v>0</v>
      </c>
      <c r="W518" s="9">
        <f t="shared" ref="W518:W577" si="89">IFERROR(V518/U518*100,0)</f>
        <v>0</v>
      </c>
      <c r="X518" s="8" t="s">
        <v>2050</v>
      </c>
      <c r="Y518" s="178">
        <v>46155</v>
      </c>
      <c r="Z518" s="143">
        <v>306</v>
      </c>
      <c r="AA518" s="9">
        <v>7.2272083136513938</v>
      </c>
      <c r="AB518" s="143">
        <v>11</v>
      </c>
      <c r="AC518" s="9">
        <v>3.594771241830065</v>
      </c>
      <c r="AD518" s="8" t="s">
        <v>2049</v>
      </c>
      <c r="AE518" s="178">
        <v>46154</v>
      </c>
      <c r="AF518" s="143">
        <v>720</v>
      </c>
      <c r="AG518" s="143">
        <v>3</v>
      </c>
      <c r="AH518" s="9">
        <v>0.41666666666666669</v>
      </c>
      <c r="AI518" s="8" t="s">
        <v>2049</v>
      </c>
    </row>
    <row r="519" spans="1:35" x14ac:dyDescent="0.2">
      <c r="A519" s="8" t="s">
        <v>1970</v>
      </c>
      <c r="B519" s="8"/>
      <c r="C519" s="8" t="s">
        <v>47</v>
      </c>
      <c r="D519" s="8" t="s">
        <v>1997</v>
      </c>
      <c r="E519" s="9">
        <v>28.740000000000002</v>
      </c>
      <c r="F519" s="8" t="s">
        <v>1740</v>
      </c>
      <c r="G519" s="10">
        <v>3558</v>
      </c>
      <c r="H519" s="132"/>
      <c r="I519" s="8">
        <v>0</v>
      </c>
      <c r="J519" s="9">
        <v>0</v>
      </c>
      <c r="K519" s="8">
        <v>0</v>
      </c>
      <c r="L519" s="9">
        <f t="shared" si="87"/>
        <v>0</v>
      </c>
      <c r="M519" s="8" t="s">
        <v>2076</v>
      </c>
      <c r="N519" s="132"/>
      <c r="O519" s="143">
        <v>0</v>
      </c>
      <c r="P519" s="9">
        <v>0</v>
      </c>
      <c r="Q519" s="143">
        <v>0</v>
      </c>
      <c r="R519" s="9">
        <f t="shared" si="88"/>
        <v>0</v>
      </c>
      <c r="S519" s="8" t="s">
        <v>2050</v>
      </c>
      <c r="T519" s="132"/>
      <c r="U519" s="143">
        <v>0</v>
      </c>
      <c r="V519" s="143">
        <v>0</v>
      </c>
      <c r="W519" s="9">
        <f t="shared" si="89"/>
        <v>0</v>
      </c>
      <c r="X519" s="8" t="s">
        <v>2050</v>
      </c>
      <c r="Y519" s="178">
        <v>46155</v>
      </c>
      <c r="Z519" s="143">
        <v>87</v>
      </c>
      <c r="AA519" s="9">
        <v>2.4451939291736933</v>
      </c>
      <c r="AB519" s="143">
        <v>4</v>
      </c>
      <c r="AC519" s="9">
        <v>4.5977011494252871</v>
      </c>
      <c r="AD519" s="8" t="s">
        <v>2049</v>
      </c>
      <c r="AE519" s="178">
        <v>46155</v>
      </c>
      <c r="AF519" s="143">
        <v>780</v>
      </c>
      <c r="AG519" s="143">
        <v>8</v>
      </c>
      <c r="AH519" s="9">
        <v>1.0256410256410255</v>
      </c>
      <c r="AI519" s="8" t="s">
        <v>2049</v>
      </c>
    </row>
    <row r="520" spans="1:35" x14ac:dyDescent="0.2">
      <c r="A520" s="8" t="s">
        <v>1970</v>
      </c>
      <c r="B520" s="8"/>
      <c r="C520" s="8" t="s">
        <v>47</v>
      </c>
      <c r="D520" s="8" t="s">
        <v>1998</v>
      </c>
      <c r="E520" s="9">
        <v>27.590000000000003</v>
      </c>
      <c r="F520" s="8" t="s">
        <v>1740</v>
      </c>
      <c r="G520" s="10">
        <v>3900</v>
      </c>
      <c r="H520" s="132"/>
      <c r="I520" s="8">
        <v>0</v>
      </c>
      <c r="J520" s="9">
        <v>0</v>
      </c>
      <c r="K520" s="8">
        <v>0</v>
      </c>
      <c r="L520" s="9">
        <f t="shared" si="87"/>
        <v>0</v>
      </c>
      <c r="M520" s="8" t="s">
        <v>2076</v>
      </c>
      <c r="N520" s="132"/>
      <c r="O520" s="143">
        <v>0</v>
      </c>
      <c r="P520" s="9">
        <v>0</v>
      </c>
      <c r="Q520" s="143">
        <v>0</v>
      </c>
      <c r="R520" s="9">
        <f t="shared" si="88"/>
        <v>0</v>
      </c>
      <c r="S520" s="8" t="s">
        <v>2050</v>
      </c>
      <c r="T520" s="132"/>
      <c r="U520" s="143">
        <v>0</v>
      </c>
      <c r="V520" s="143">
        <v>0</v>
      </c>
      <c r="W520" s="9">
        <f t="shared" si="89"/>
        <v>0</v>
      </c>
      <c r="X520" s="8" t="s">
        <v>2050</v>
      </c>
      <c r="Y520" s="178"/>
      <c r="Z520" s="143">
        <v>0</v>
      </c>
      <c r="AA520" s="9">
        <v>0</v>
      </c>
      <c r="AB520" s="143">
        <v>0</v>
      </c>
      <c r="AC520" s="9">
        <v>0</v>
      </c>
      <c r="AD520" s="8" t="s">
        <v>2050</v>
      </c>
      <c r="AE520" s="178"/>
      <c r="AF520" s="143"/>
      <c r="AG520" s="143"/>
      <c r="AH520" s="9">
        <v>0</v>
      </c>
      <c r="AI520" s="8" t="s">
        <v>2050</v>
      </c>
    </row>
    <row r="521" spans="1:35" x14ac:dyDescent="0.2">
      <c r="A521" s="8" t="s">
        <v>1970</v>
      </c>
      <c r="B521" s="8"/>
      <c r="C521" s="8" t="s">
        <v>47</v>
      </c>
      <c r="D521" s="8" t="s">
        <v>1999</v>
      </c>
      <c r="E521" s="9">
        <v>37.519999999999996</v>
      </c>
      <c r="F521" s="8" t="s">
        <v>1740</v>
      </c>
      <c r="G521" s="10">
        <v>4938</v>
      </c>
      <c r="H521" s="132"/>
      <c r="I521" s="8">
        <v>0</v>
      </c>
      <c r="J521" s="9">
        <v>0</v>
      </c>
      <c r="K521" s="8">
        <v>0</v>
      </c>
      <c r="L521" s="9">
        <f t="shared" si="87"/>
        <v>0</v>
      </c>
      <c r="M521" s="8" t="s">
        <v>2076</v>
      </c>
      <c r="N521" s="132"/>
      <c r="O521" s="143">
        <v>0</v>
      </c>
      <c r="P521" s="9">
        <v>0</v>
      </c>
      <c r="Q521" s="143">
        <v>0</v>
      </c>
      <c r="R521" s="9">
        <f t="shared" si="88"/>
        <v>0</v>
      </c>
      <c r="S521" s="8" t="s">
        <v>2050</v>
      </c>
      <c r="T521" s="132"/>
      <c r="U521" s="143">
        <v>0</v>
      </c>
      <c r="V521" s="143">
        <v>0</v>
      </c>
      <c r="W521" s="9">
        <f t="shared" si="89"/>
        <v>0</v>
      </c>
      <c r="X521" s="8" t="s">
        <v>2050</v>
      </c>
      <c r="Y521" s="178"/>
      <c r="Z521" s="143">
        <v>0</v>
      </c>
      <c r="AA521" s="9">
        <v>0</v>
      </c>
      <c r="AB521" s="143">
        <v>0</v>
      </c>
      <c r="AC521" s="9">
        <v>0</v>
      </c>
      <c r="AD521" s="8" t="s">
        <v>2050</v>
      </c>
      <c r="AE521" s="178">
        <v>46153</v>
      </c>
      <c r="AF521" s="143">
        <v>106</v>
      </c>
      <c r="AG521" s="143">
        <v>2</v>
      </c>
      <c r="AH521" s="9">
        <v>1.8867924528301887</v>
      </c>
      <c r="AI521" s="8" t="s">
        <v>2049</v>
      </c>
    </row>
    <row r="522" spans="1:35" x14ac:dyDescent="0.2">
      <c r="A522" s="8" t="s">
        <v>1970</v>
      </c>
      <c r="B522" s="8"/>
      <c r="C522" s="8" t="s">
        <v>47</v>
      </c>
      <c r="D522" s="177" t="s">
        <v>2000</v>
      </c>
      <c r="E522" s="9">
        <v>36.99</v>
      </c>
      <c r="F522" s="8" t="s">
        <v>1740</v>
      </c>
      <c r="G522" s="10">
        <v>4769</v>
      </c>
      <c r="H522" s="132">
        <v>46153</v>
      </c>
      <c r="I522" s="8">
        <v>279</v>
      </c>
      <c r="J522" s="9">
        <v>5.8502830782134616</v>
      </c>
      <c r="K522" s="8">
        <v>16</v>
      </c>
      <c r="L522" s="9">
        <f t="shared" si="87"/>
        <v>5.7347670250896057</v>
      </c>
      <c r="M522" s="8" t="s">
        <v>2075</v>
      </c>
      <c r="N522" s="132">
        <v>46150</v>
      </c>
      <c r="O522" s="143">
        <v>87</v>
      </c>
      <c r="P522" s="9">
        <v>1.8242818200880688</v>
      </c>
      <c r="Q522" s="143">
        <v>4</v>
      </c>
      <c r="R522" s="9">
        <f t="shared" si="88"/>
        <v>4.5977011494252871</v>
      </c>
      <c r="S522" s="8" t="s">
        <v>2049</v>
      </c>
      <c r="T522" s="132"/>
      <c r="U522" s="143">
        <v>0</v>
      </c>
      <c r="V522" s="143">
        <v>0</v>
      </c>
      <c r="W522" s="9">
        <f t="shared" si="89"/>
        <v>0</v>
      </c>
      <c r="X522" s="8" t="s">
        <v>2050</v>
      </c>
      <c r="Y522" s="178">
        <v>46155</v>
      </c>
      <c r="Z522" s="143">
        <v>192</v>
      </c>
      <c r="AA522" s="9">
        <v>4.026001258125393</v>
      </c>
      <c r="AB522" s="143">
        <v>12</v>
      </c>
      <c r="AC522" s="9">
        <v>6.25</v>
      </c>
      <c r="AD522" s="8" t="s">
        <v>2040</v>
      </c>
      <c r="AE522" s="178">
        <v>46154</v>
      </c>
      <c r="AF522" s="143">
        <v>1110</v>
      </c>
      <c r="AG522" s="143">
        <v>8</v>
      </c>
      <c r="AH522" s="9">
        <v>0.72072072072072069</v>
      </c>
      <c r="AI522" s="8" t="s">
        <v>2049</v>
      </c>
    </row>
    <row r="523" spans="1:35" x14ac:dyDescent="0.2">
      <c r="A523" s="8" t="s">
        <v>1970</v>
      </c>
      <c r="B523" s="8"/>
      <c r="C523" s="8" t="s">
        <v>47</v>
      </c>
      <c r="D523" s="8" t="s">
        <v>2001</v>
      </c>
      <c r="E523" s="9">
        <v>28.979999999999997</v>
      </c>
      <c r="F523" s="8" t="s">
        <v>1740</v>
      </c>
      <c r="G523" s="10">
        <v>3655</v>
      </c>
      <c r="H523" s="132"/>
      <c r="I523" s="8">
        <v>0</v>
      </c>
      <c r="J523" s="9">
        <v>0</v>
      </c>
      <c r="K523" s="8">
        <v>0</v>
      </c>
      <c r="L523" s="9">
        <f t="shared" si="87"/>
        <v>0</v>
      </c>
      <c r="M523" s="8" t="s">
        <v>2076</v>
      </c>
      <c r="N523" s="132"/>
      <c r="O523" s="143">
        <v>0</v>
      </c>
      <c r="P523" s="9">
        <v>0</v>
      </c>
      <c r="Q523" s="143">
        <v>0</v>
      </c>
      <c r="R523" s="9">
        <f t="shared" si="88"/>
        <v>0</v>
      </c>
      <c r="S523" s="8" t="s">
        <v>2050</v>
      </c>
      <c r="T523" s="132"/>
      <c r="U523" s="143">
        <v>0</v>
      </c>
      <c r="V523" s="143">
        <v>0</v>
      </c>
      <c r="W523" s="9">
        <f t="shared" si="89"/>
        <v>0</v>
      </c>
      <c r="X523" s="8" t="s">
        <v>2050</v>
      </c>
      <c r="Y523" s="178">
        <v>46155</v>
      </c>
      <c r="Z523" s="143">
        <v>112</v>
      </c>
      <c r="AA523" s="9">
        <v>3.0642954856361149</v>
      </c>
      <c r="AB523" s="143">
        <v>4</v>
      </c>
      <c r="AC523" s="9">
        <v>3.5714285714285712</v>
      </c>
      <c r="AD523" s="8" t="s">
        <v>2049</v>
      </c>
      <c r="AE523" s="178"/>
      <c r="AF523" s="143"/>
      <c r="AG523" s="143"/>
      <c r="AH523" s="9">
        <v>0</v>
      </c>
      <c r="AI523" s="8" t="s">
        <v>2050</v>
      </c>
    </row>
    <row r="524" spans="1:35" x14ac:dyDescent="0.2">
      <c r="A524" s="8" t="s">
        <v>1970</v>
      </c>
      <c r="B524" s="8"/>
      <c r="C524" s="8" t="s">
        <v>47</v>
      </c>
      <c r="D524" s="8" t="s">
        <v>2002</v>
      </c>
      <c r="E524" s="9">
        <v>32.700000000000003</v>
      </c>
      <c r="F524" s="8" t="s">
        <v>1740</v>
      </c>
      <c r="G524" s="10">
        <v>4506</v>
      </c>
      <c r="H524" s="132"/>
      <c r="I524" s="8">
        <v>0</v>
      </c>
      <c r="J524" s="9">
        <v>0</v>
      </c>
      <c r="K524" s="8">
        <v>0</v>
      </c>
      <c r="L524" s="9">
        <f t="shared" si="87"/>
        <v>0</v>
      </c>
      <c r="M524" s="8" t="s">
        <v>2076</v>
      </c>
      <c r="N524" s="132"/>
      <c r="O524" s="143">
        <v>0</v>
      </c>
      <c r="P524" s="9">
        <v>0</v>
      </c>
      <c r="Q524" s="143">
        <v>0</v>
      </c>
      <c r="R524" s="9">
        <f t="shared" si="88"/>
        <v>0</v>
      </c>
      <c r="S524" s="8" t="s">
        <v>2050</v>
      </c>
      <c r="T524" s="132"/>
      <c r="U524" s="143">
        <v>0</v>
      </c>
      <c r="V524" s="143">
        <v>0</v>
      </c>
      <c r="W524" s="9">
        <f t="shared" si="89"/>
        <v>0</v>
      </c>
      <c r="X524" s="8" t="s">
        <v>2050</v>
      </c>
      <c r="Y524" s="178">
        <v>46155</v>
      </c>
      <c r="Z524" s="143">
        <v>95</v>
      </c>
      <c r="AA524" s="9">
        <v>2.1083000443852642</v>
      </c>
      <c r="AB524" s="143">
        <v>5</v>
      </c>
      <c r="AC524" s="9">
        <v>5.2631578947368416</v>
      </c>
      <c r="AD524" s="8" t="s">
        <v>2040</v>
      </c>
      <c r="AE524" s="178">
        <v>46155</v>
      </c>
      <c r="AF524" s="143">
        <v>450</v>
      </c>
      <c r="AG524" s="143">
        <v>2</v>
      </c>
      <c r="AH524" s="9">
        <v>0.44444444444444442</v>
      </c>
      <c r="AI524" s="8" t="s">
        <v>2049</v>
      </c>
    </row>
    <row r="525" spans="1:35" x14ac:dyDescent="0.2">
      <c r="A525" s="8" t="s">
        <v>1970</v>
      </c>
      <c r="B525" s="8"/>
      <c r="C525" s="8" t="s">
        <v>47</v>
      </c>
      <c r="D525" s="8" t="s">
        <v>2003</v>
      </c>
      <c r="E525" s="9">
        <v>29.57</v>
      </c>
      <c r="F525" s="8" t="s">
        <v>1740</v>
      </c>
      <c r="G525" s="10">
        <v>3945</v>
      </c>
      <c r="H525" s="132"/>
      <c r="I525" s="8">
        <v>0</v>
      </c>
      <c r="J525" s="9">
        <v>0</v>
      </c>
      <c r="K525" s="8">
        <v>0</v>
      </c>
      <c r="L525" s="9">
        <f t="shared" si="87"/>
        <v>0</v>
      </c>
      <c r="M525" s="8" t="s">
        <v>2076</v>
      </c>
      <c r="N525" s="132"/>
      <c r="O525" s="143">
        <v>0</v>
      </c>
      <c r="P525" s="9">
        <v>0</v>
      </c>
      <c r="Q525" s="143">
        <v>0</v>
      </c>
      <c r="R525" s="9">
        <f t="shared" si="88"/>
        <v>0</v>
      </c>
      <c r="S525" s="8" t="s">
        <v>2050</v>
      </c>
      <c r="T525" s="132"/>
      <c r="U525" s="143">
        <v>0</v>
      </c>
      <c r="V525" s="143">
        <v>0</v>
      </c>
      <c r="W525" s="9">
        <f t="shared" si="89"/>
        <v>0</v>
      </c>
      <c r="X525" s="8" t="s">
        <v>2050</v>
      </c>
      <c r="Y525" s="178">
        <v>46155</v>
      </c>
      <c r="Z525" s="143">
        <v>97</v>
      </c>
      <c r="AA525" s="9">
        <v>2.458808618504436</v>
      </c>
      <c r="AB525" s="143">
        <v>5</v>
      </c>
      <c r="AC525" s="9">
        <v>5.1546391752577314</v>
      </c>
      <c r="AD525" s="8" t="s">
        <v>2040</v>
      </c>
      <c r="AE525" s="178"/>
      <c r="AF525" s="143"/>
      <c r="AG525" s="143"/>
      <c r="AH525" s="9">
        <v>0</v>
      </c>
      <c r="AI525" s="8" t="s">
        <v>2050</v>
      </c>
    </row>
    <row r="526" spans="1:35" x14ac:dyDescent="0.2">
      <c r="A526" s="8" t="s">
        <v>1970</v>
      </c>
      <c r="B526" s="8"/>
      <c r="C526" s="8" t="s">
        <v>47</v>
      </c>
      <c r="D526" s="8" t="s">
        <v>2004</v>
      </c>
      <c r="E526" s="9">
        <v>43.999999999999993</v>
      </c>
      <c r="F526" s="8" t="s">
        <v>1740</v>
      </c>
      <c r="G526" s="10">
        <v>5691</v>
      </c>
      <c r="H526" s="132"/>
      <c r="I526" s="8">
        <v>0</v>
      </c>
      <c r="J526" s="9">
        <v>0</v>
      </c>
      <c r="K526" s="8">
        <v>0</v>
      </c>
      <c r="L526" s="9">
        <f t="shared" si="87"/>
        <v>0</v>
      </c>
      <c r="M526" s="8" t="s">
        <v>2076</v>
      </c>
      <c r="N526" s="132"/>
      <c r="O526" s="143">
        <v>0</v>
      </c>
      <c r="P526" s="9">
        <v>0</v>
      </c>
      <c r="Q526" s="143">
        <v>0</v>
      </c>
      <c r="R526" s="9">
        <f t="shared" si="88"/>
        <v>0</v>
      </c>
      <c r="S526" s="8" t="s">
        <v>2050</v>
      </c>
      <c r="T526" s="132"/>
      <c r="U526" s="143">
        <v>0</v>
      </c>
      <c r="V526" s="143">
        <v>0</v>
      </c>
      <c r="W526" s="9">
        <f t="shared" si="89"/>
        <v>0</v>
      </c>
      <c r="X526" s="8" t="s">
        <v>2050</v>
      </c>
      <c r="Y526" s="178">
        <v>46155</v>
      </c>
      <c r="Z526" s="143">
        <v>88</v>
      </c>
      <c r="AA526" s="9">
        <v>1.5463011772974873</v>
      </c>
      <c r="AB526" s="143">
        <v>3</v>
      </c>
      <c r="AC526" s="9">
        <v>3.4090909090909087</v>
      </c>
      <c r="AD526" s="8" t="s">
        <v>2049</v>
      </c>
      <c r="AE526" s="178"/>
      <c r="AF526" s="143"/>
      <c r="AG526" s="143"/>
      <c r="AH526" s="9">
        <v>0</v>
      </c>
      <c r="AI526" s="8" t="s">
        <v>2050</v>
      </c>
    </row>
    <row r="527" spans="1:35" x14ac:dyDescent="0.2">
      <c r="A527" s="8" t="s">
        <v>1970</v>
      </c>
      <c r="B527" s="8"/>
      <c r="C527" s="8" t="s">
        <v>47</v>
      </c>
      <c r="D527" s="8" t="s">
        <v>2005</v>
      </c>
      <c r="E527" s="9">
        <v>33.01</v>
      </c>
      <c r="F527" s="8" t="s">
        <v>1740</v>
      </c>
      <c r="G527" s="10">
        <v>4569</v>
      </c>
      <c r="H527" s="132"/>
      <c r="I527" s="8">
        <v>0</v>
      </c>
      <c r="J527" s="9">
        <v>0</v>
      </c>
      <c r="K527" s="8">
        <v>0</v>
      </c>
      <c r="L527" s="9">
        <f t="shared" si="87"/>
        <v>0</v>
      </c>
      <c r="M527" s="8" t="s">
        <v>2076</v>
      </c>
      <c r="N527" s="132"/>
      <c r="O527" s="143">
        <v>0</v>
      </c>
      <c r="P527" s="9">
        <v>0</v>
      </c>
      <c r="Q527" s="143">
        <v>0</v>
      </c>
      <c r="R527" s="9">
        <f t="shared" si="88"/>
        <v>0</v>
      </c>
      <c r="S527" s="8" t="s">
        <v>2050</v>
      </c>
      <c r="T527" s="132"/>
      <c r="U527" s="143">
        <v>0</v>
      </c>
      <c r="V527" s="143">
        <v>0</v>
      </c>
      <c r="W527" s="9">
        <f t="shared" si="89"/>
        <v>0</v>
      </c>
      <c r="X527" s="8" t="s">
        <v>2050</v>
      </c>
      <c r="Y527" s="178">
        <v>46155</v>
      </c>
      <c r="Z527" s="143">
        <v>94</v>
      </c>
      <c r="AA527" s="9">
        <v>2.0573429634493321</v>
      </c>
      <c r="AB527" s="143">
        <v>6</v>
      </c>
      <c r="AC527" s="9">
        <v>6.3829787234042552</v>
      </c>
      <c r="AD527" s="8" t="s">
        <v>2040</v>
      </c>
      <c r="AE527" s="178"/>
      <c r="AF527" s="143"/>
      <c r="AG527" s="143"/>
      <c r="AH527" s="9">
        <v>0</v>
      </c>
      <c r="AI527" s="8" t="s">
        <v>2050</v>
      </c>
    </row>
    <row r="528" spans="1:35" x14ac:dyDescent="0.2">
      <c r="A528" s="8" t="s">
        <v>1970</v>
      </c>
      <c r="B528" s="8"/>
      <c r="C528" s="8" t="s">
        <v>47</v>
      </c>
      <c r="D528" s="8" t="s">
        <v>2006</v>
      </c>
      <c r="E528" s="9">
        <v>29.220000000000002</v>
      </c>
      <c r="F528" s="8" t="s">
        <v>1740</v>
      </c>
      <c r="G528" s="10">
        <v>3838</v>
      </c>
      <c r="H528" s="132"/>
      <c r="I528" s="8">
        <v>0</v>
      </c>
      <c r="J528" s="9">
        <v>0</v>
      </c>
      <c r="K528" s="8">
        <v>0</v>
      </c>
      <c r="L528" s="9">
        <f t="shared" si="87"/>
        <v>0</v>
      </c>
      <c r="M528" s="8" t="s">
        <v>2076</v>
      </c>
      <c r="N528" s="132"/>
      <c r="O528" s="143">
        <v>0</v>
      </c>
      <c r="P528" s="9">
        <v>0</v>
      </c>
      <c r="Q528" s="143">
        <v>0</v>
      </c>
      <c r="R528" s="9">
        <f t="shared" si="88"/>
        <v>0</v>
      </c>
      <c r="S528" s="8" t="s">
        <v>2050</v>
      </c>
      <c r="T528" s="132"/>
      <c r="U528" s="143">
        <v>0</v>
      </c>
      <c r="V528" s="143">
        <v>0</v>
      </c>
      <c r="W528" s="9">
        <f t="shared" si="89"/>
        <v>0</v>
      </c>
      <c r="X528" s="8" t="s">
        <v>2050</v>
      </c>
      <c r="Y528" s="178">
        <v>46155</v>
      </c>
      <c r="Z528" s="143">
        <v>96</v>
      </c>
      <c r="AA528" s="9">
        <v>2.5013027618551327</v>
      </c>
      <c r="AB528" s="143">
        <v>3</v>
      </c>
      <c r="AC528" s="9">
        <v>3.125</v>
      </c>
      <c r="AD528" s="8" t="s">
        <v>2049</v>
      </c>
      <c r="AE528" s="178"/>
      <c r="AF528" s="143"/>
      <c r="AG528" s="143"/>
      <c r="AH528" s="9">
        <v>0</v>
      </c>
      <c r="AI528" s="8" t="s">
        <v>2050</v>
      </c>
    </row>
    <row r="529" spans="1:35" x14ac:dyDescent="0.2">
      <c r="A529" s="8" t="s">
        <v>1970</v>
      </c>
      <c r="B529" s="8"/>
      <c r="C529" s="8" t="s">
        <v>47</v>
      </c>
      <c r="D529" s="8" t="s">
        <v>2007</v>
      </c>
      <c r="E529" s="9">
        <v>31.869999999999997</v>
      </c>
      <c r="F529" s="8" t="s">
        <v>1740</v>
      </c>
      <c r="G529" s="10">
        <v>4370</v>
      </c>
      <c r="H529" s="132"/>
      <c r="I529" s="8">
        <v>0</v>
      </c>
      <c r="J529" s="9">
        <v>0</v>
      </c>
      <c r="K529" s="8">
        <v>0</v>
      </c>
      <c r="L529" s="9">
        <f t="shared" si="87"/>
        <v>0</v>
      </c>
      <c r="M529" s="8" t="s">
        <v>2076</v>
      </c>
      <c r="N529" s="132"/>
      <c r="O529" s="143">
        <v>0</v>
      </c>
      <c r="P529" s="9">
        <v>0</v>
      </c>
      <c r="Q529" s="143">
        <v>0</v>
      </c>
      <c r="R529" s="9">
        <f t="shared" si="88"/>
        <v>0</v>
      </c>
      <c r="S529" s="8" t="s">
        <v>2050</v>
      </c>
      <c r="T529" s="132"/>
      <c r="U529" s="143">
        <v>0</v>
      </c>
      <c r="V529" s="143">
        <v>0</v>
      </c>
      <c r="W529" s="9">
        <f t="shared" si="89"/>
        <v>0</v>
      </c>
      <c r="X529" s="8" t="s">
        <v>2050</v>
      </c>
      <c r="Y529" s="178"/>
      <c r="Z529" s="143">
        <v>0</v>
      </c>
      <c r="AA529" s="9">
        <v>0</v>
      </c>
      <c r="AB529" s="143">
        <v>0</v>
      </c>
      <c r="AC529" s="9">
        <v>0</v>
      </c>
      <c r="AD529" s="8" t="s">
        <v>2050</v>
      </c>
      <c r="AE529" s="178">
        <v>46153</v>
      </c>
      <c r="AF529" s="143">
        <v>418</v>
      </c>
      <c r="AG529" s="143">
        <v>5</v>
      </c>
      <c r="AH529" s="9">
        <v>1.1961722488038278</v>
      </c>
      <c r="AI529" s="8" t="s">
        <v>2049</v>
      </c>
    </row>
    <row r="530" spans="1:35" x14ac:dyDescent="0.2">
      <c r="A530" s="8" t="s">
        <v>1970</v>
      </c>
      <c r="B530" s="8"/>
      <c r="C530" s="8" t="s">
        <v>47</v>
      </c>
      <c r="D530" s="177" t="s">
        <v>2008</v>
      </c>
      <c r="E530" s="9">
        <v>35.04</v>
      </c>
      <c r="F530" s="8" t="s">
        <v>1740</v>
      </c>
      <c r="G530" s="10">
        <v>5100</v>
      </c>
      <c r="H530" s="132"/>
      <c r="I530" s="8">
        <v>0</v>
      </c>
      <c r="J530" s="9">
        <v>0</v>
      </c>
      <c r="K530" s="8">
        <v>0</v>
      </c>
      <c r="L530" s="9">
        <f t="shared" si="87"/>
        <v>0</v>
      </c>
      <c r="M530" s="8" t="s">
        <v>2076</v>
      </c>
      <c r="N530" s="132">
        <v>46150</v>
      </c>
      <c r="O530" s="143">
        <v>106</v>
      </c>
      <c r="P530" s="9">
        <v>2.0784313725490193</v>
      </c>
      <c r="Q530" s="143">
        <v>3</v>
      </c>
      <c r="R530" s="9">
        <f t="shared" si="88"/>
        <v>2.8301886792452833</v>
      </c>
      <c r="S530" s="8" t="s">
        <v>2049</v>
      </c>
      <c r="T530" s="132">
        <v>46150</v>
      </c>
      <c r="U530" s="143">
        <v>550</v>
      </c>
      <c r="V530" s="143">
        <v>10</v>
      </c>
      <c r="W530" s="9">
        <f t="shared" si="89"/>
        <v>1.8181818181818181</v>
      </c>
      <c r="X530" s="8" t="s">
        <v>2049</v>
      </c>
      <c r="Y530" s="178"/>
      <c r="Z530" s="143">
        <v>0</v>
      </c>
      <c r="AA530" s="9">
        <v>0</v>
      </c>
      <c r="AB530" s="143">
        <v>0</v>
      </c>
      <c r="AC530" s="9">
        <v>0</v>
      </c>
      <c r="AD530" s="8" t="s">
        <v>2050</v>
      </c>
      <c r="AE530" s="178"/>
      <c r="AF530" s="143"/>
      <c r="AG530" s="143"/>
      <c r="AH530" s="9">
        <v>0</v>
      </c>
      <c r="AI530" s="8" t="s">
        <v>2050</v>
      </c>
    </row>
    <row r="531" spans="1:35" x14ac:dyDescent="0.2">
      <c r="A531" s="8" t="s">
        <v>1970</v>
      </c>
      <c r="B531" s="8"/>
      <c r="C531" s="8" t="s">
        <v>47</v>
      </c>
      <c r="D531" s="177" t="s">
        <v>2009</v>
      </c>
      <c r="E531" s="9">
        <v>25.32</v>
      </c>
      <c r="F531" s="8" t="s">
        <v>1740</v>
      </c>
      <c r="G531" s="10">
        <v>3740</v>
      </c>
      <c r="H531" s="132"/>
      <c r="I531" s="8">
        <v>0</v>
      </c>
      <c r="J531" s="9">
        <v>0</v>
      </c>
      <c r="K531" s="8">
        <v>0</v>
      </c>
      <c r="L531" s="9">
        <f t="shared" si="87"/>
        <v>0</v>
      </c>
      <c r="M531" s="8" t="s">
        <v>2076</v>
      </c>
      <c r="N531" s="132">
        <v>46150</v>
      </c>
      <c r="O531" s="143">
        <v>86</v>
      </c>
      <c r="P531" s="9">
        <v>2.2994652406417111</v>
      </c>
      <c r="Q531" s="143">
        <v>3</v>
      </c>
      <c r="R531" s="9">
        <f t="shared" si="88"/>
        <v>3.4883720930232558</v>
      </c>
      <c r="S531" s="8" t="s">
        <v>2049</v>
      </c>
      <c r="T531" s="132">
        <v>46150</v>
      </c>
      <c r="U531" s="143">
        <v>240</v>
      </c>
      <c r="V531" s="143">
        <v>2</v>
      </c>
      <c r="W531" s="9">
        <f t="shared" si="89"/>
        <v>0.83333333333333337</v>
      </c>
      <c r="X531" s="8" t="s">
        <v>2049</v>
      </c>
      <c r="Y531" s="178"/>
      <c r="Z531" s="143">
        <v>0</v>
      </c>
      <c r="AA531" s="9">
        <v>0</v>
      </c>
      <c r="AB531" s="143">
        <v>0</v>
      </c>
      <c r="AC531" s="9">
        <v>0</v>
      </c>
      <c r="AD531" s="8" t="s">
        <v>2050</v>
      </c>
      <c r="AE531" s="178"/>
      <c r="AF531" s="143"/>
      <c r="AG531" s="143"/>
      <c r="AH531" s="9">
        <v>0</v>
      </c>
      <c r="AI531" s="8" t="s">
        <v>2050</v>
      </c>
    </row>
    <row r="532" spans="1:35" x14ac:dyDescent="0.2">
      <c r="A532" s="8" t="s">
        <v>1970</v>
      </c>
      <c r="B532" s="8"/>
      <c r="C532" s="8" t="s">
        <v>47</v>
      </c>
      <c r="D532" s="177" t="s">
        <v>2010</v>
      </c>
      <c r="E532" s="9">
        <v>32.68</v>
      </c>
      <c r="F532" s="8" t="s">
        <v>1740</v>
      </c>
      <c r="G532" s="10">
        <v>4375</v>
      </c>
      <c r="H532" s="132"/>
      <c r="I532" s="8">
        <v>0</v>
      </c>
      <c r="J532" s="9">
        <v>0</v>
      </c>
      <c r="K532" s="8">
        <v>0</v>
      </c>
      <c r="L532" s="9">
        <f t="shared" si="87"/>
        <v>0</v>
      </c>
      <c r="M532" s="8" t="s">
        <v>2076</v>
      </c>
      <c r="N532" s="132">
        <v>46150</v>
      </c>
      <c r="O532" s="143">
        <v>193</v>
      </c>
      <c r="P532" s="9">
        <v>4.4114285714285719</v>
      </c>
      <c r="Q532" s="143">
        <v>8</v>
      </c>
      <c r="R532" s="9">
        <f t="shared" si="88"/>
        <v>4.1450777202072544</v>
      </c>
      <c r="S532" s="8" t="s">
        <v>2049</v>
      </c>
      <c r="T532" s="132">
        <v>46149</v>
      </c>
      <c r="U532" s="143">
        <v>560</v>
      </c>
      <c r="V532" s="143">
        <v>2</v>
      </c>
      <c r="W532" s="9">
        <f t="shared" si="89"/>
        <v>0.35714285714285715</v>
      </c>
      <c r="X532" s="8" t="s">
        <v>2049</v>
      </c>
      <c r="Y532" s="178"/>
      <c r="Z532" s="143">
        <v>0</v>
      </c>
      <c r="AA532" s="9">
        <v>0</v>
      </c>
      <c r="AB532" s="143">
        <v>0</v>
      </c>
      <c r="AC532" s="9">
        <v>0</v>
      </c>
      <c r="AD532" s="8" t="s">
        <v>2050</v>
      </c>
      <c r="AE532" s="178"/>
      <c r="AF532" s="143"/>
      <c r="AG532" s="143"/>
      <c r="AH532" s="9">
        <v>0</v>
      </c>
      <c r="AI532" s="8" t="s">
        <v>2050</v>
      </c>
    </row>
    <row r="533" spans="1:35" x14ac:dyDescent="0.2">
      <c r="A533" s="8" t="s">
        <v>1970</v>
      </c>
      <c r="B533" s="8"/>
      <c r="C533" s="8" t="s">
        <v>47</v>
      </c>
      <c r="D533" s="177" t="s">
        <v>2011</v>
      </c>
      <c r="E533" s="9">
        <v>29.29</v>
      </c>
      <c r="F533" s="8" t="s">
        <v>1740</v>
      </c>
      <c r="G533" s="10">
        <v>3878</v>
      </c>
      <c r="H533" s="132"/>
      <c r="I533" s="8">
        <v>0</v>
      </c>
      <c r="J533" s="9">
        <v>0</v>
      </c>
      <c r="K533" s="8">
        <v>0</v>
      </c>
      <c r="L533" s="9">
        <f t="shared" si="87"/>
        <v>0</v>
      </c>
      <c r="M533" s="8" t="s">
        <v>2076</v>
      </c>
      <c r="N533" s="132">
        <v>46149</v>
      </c>
      <c r="O533" s="143">
        <v>103</v>
      </c>
      <c r="P533" s="9">
        <v>2.6560082516761216</v>
      </c>
      <c r="Q533" s="143">
        <v>2</v>
      </c>
      <c r="R533" s="9">
        <f t="shared" si="88"/>
        <v>1.9417475728155338</v>
      </c>
      <c r="S533" s="8" t="s">
        <v>2049</v>
      </c>
      <c r="T533" s="132">
        <v>46150</v>
      </c>
      <c r="U533" s="143">
        <v>815</v>
      </c>
      <c r="V533" s="143">
        <v>8</v>
      </c>
      <c r="W533" s="9">
        <f t="shared" si="89"/>
        <v>0.98159509202453998</v>
      </c>
      <c r="X533" s="8" t="s">
        <v>2049</v>
      </c>
      <c r="Y533" s="178"/>
      <c r="Z533" s="143">
        <v>0</v>
      </c>
      <c r="AA533" s="9">
        <v>0</v>
      </c>
      <c r="AB533" s="143">
        <v>0</v>
      </c>
      <c r="AC533" s="9">
        <v>0</v>
      </c>
      <c r="AD533" s="8" t="s">
        <v>2050</v>
      </c>
      <c r="AE533" s="178"/>
      <c r="AF533" s="143"/>
      <c r="AG533" s="143"/>
      <c r="AH533" s="9">
        <v>0</v>
      </c>
      <c r="AI533" s="8" t="s">
        <v>2050</v>
      </c>
    </row>
    <row r="534" spans="1:35" x14ac:dyDescent="0.2">
      <c r="A534" s="8" t="s">
        <v>1970</v>
      </c>
      <c r="B534" s="8"/>
      <c r="C534" s="8" t="s">
        <v>47</v>
      </c>
      <c r="D534" s="177" t="s">
        <v>2012</v>
      </c>
      <c r="E534" s="9">
        <v>38.56</v>
      </c>
      <c r="F534" s="8" t="s">
        <v>1740</v>
      </c>
      <c r="G534" s="10">
        <v>4874</v>
      </c>
      <c r="H534" s="132"/>
      <c r="I534" s="8">
        <v>0</v>
      </c>
      <c r="J534" s="9">
        <v>0</v>
      </c>
      <c r="K534" s="8">
        <v>0</v>
      </c>
      <c r="L534" s="9">
        <f t="shared" si="87"/>
        <v>0</v>
      </c>
      <c r="M534" s="8" t="s">
        <v>2076</v>
      </c>
      <c r="N534" s="132">
        <v>46149</v>
      </c>
      <c r="O534" s="143">
        <v>87</v>
      </c>
      <c r="P534" s="9">
        <v>1.7849815346737792</v>
      </c>
      <c r="Q534" s="143">
        <v>2</v>
      </c>
      <c r="R534" s="9">
        <f t="shared" si="88"/>
        <v>2.2988505747126435</v>
      </c>
      <c r="S534" s="8" t="s">
        <v>2049</v>
      </c>
      <c r="T534" s="132">
        <v>46149</v>
      </c>
      <c r="U534" s="143">
        <v>756</v>
      </c>
      <c r="V534" s="143">
        <v>4</v>
      </c>
      <c r="W534" s="9">
        <f t="shared" si="89"/>
        <v>0.52910052910052907</v>
      </c>
      <c r="X534" s="8" t="s">
        <v>2049</v>
      </c>
      <c r="Y534" s="178"/>
      <c r="Z534" s="143">
        <v>0</v>
      </c>
      <c r="AA534" s="9">
        <v>0</v>
      </c>
      <c r="AB534" s="143">
        <v>0</v>
      </c>
      <c r="AC534" s="9">
        <v>0</v>
      </c>
      <c r="AD534" s="8" t="s">
        <v>2050</v>
      </c>
      <c r="AE534" s="178"/>
      <c r="AF534" s="143"/>
      <c r="AG534" s="143"/>
      <c r="AH534" s="9">
        <v>0</v>
      </c>
      <c r="AI534" s="8" t="s">
        <v>2050</v>
      </c>
    </row>
    <row r="535" spans="1:35" x14ac:dyDescent="0.2">
      <c r="A535" s="8" t="s">
        <v>1970</v>
      </c>
      <c r="B535" s="8"/>
      <c r="C535" s="8" t="s">
        <v>47</v>
      </c>
      <c r="D535" s="177" t="s">
        <v>2013</v>
      </c>
      <c r="E535" s="9">
        <v>28.57</v>
      </c>
      <c r="F535" s="8" t="s">
        <v>1740</v>
      </c>
      <c r="G535" s="10">
        <v>3963</v>
      </c>
      <c r="H535" s="132">
        <v>46155</v>
      </c>
      <c r="I535" s="8">
        <v>306</v>
      </c>
      <c r="J535" s="9">
        <v>7.7214231642694937</v>
      </c>
      <c r="K535" s="8">
        <v>9</v>
      </c>
      <c r="L535" s="9">
        <f t="shared" si="87"/>
        <v>2.9411764705882351</v>
      </c>
      <c r="M535" s="8" t="s">
        <v>2075</v>
      </c>
      <c r="N535" s="132">
        <v>46149</v>
      </c>
      <c r="O535" s="143">
        <v>193</v>
      </c>
      <c r="P535" s="9">
        <v>4.8700479434771644</v>
      </c>
      <c r="Q535" s="143">
        <v>5</v>
      </c>
      <c r="R535" s="9">
        <f t="shared" si="88"/>
        <v>2.5906735751295336</v>
      </c>
      <c r="S535" s="8" t="s">
        <v>2049</v>
      </c>
      <c r="T535" s="132">
        <v>46149</v>
      </c>
      <c r="U535" s="143">
        <v>320</v>
      </c>
      <c r="V535" s="143">
        <v>5</v>
      </c>
      <c r="W535" s="9">
        <f t="shared" si="89"/>
        <v>1.5625</v>
      </c>
      <c r="X535" s="8" t="s">
        <v>2049</v>
      </c>
      <c r="Y535" s="178">
        <v>46155</v>
      </c>
      <c r="Z535" s="143">
        <v>113</v>
      </c>
      <c r="AA535" s="9">
        <v>2.8513752207923289</v>
      </c>
      <c r="AB535" s="143">
        <v>4</v>
      </c>
      <c r="AC535" s="9">
        <v>3.5398230088495577</v>
      </c>
      <c r="AD535" s="8" t="s">
        <v>2049</v>
      </c>
      <c r="AE535" s="178"/>
      <c r="AF535" s="143"/>
      <c r="AG535" s="143"/>
      <c r="AH535" s="9">
        <v>0</v>
      </c>
      <c r="AI535" s="8" t="s">
        <v>2050</v>
      </c>
    </row>
    <row r="536" spans="1:35" x14ac:dyDescent="0.2">
      <c r="A536" s="8" t="s">
        <v>1970</v>
      </c>
      <c r="B536" s="8"/>
      <c r="C536" s="8" t="s">
        <v>47</v>
      </c>
      <c r="D536" s="8" t="s">
        <v>2014</v>
      </c>
      <c r="E536" s="9">
        <v>30.95</v>
      </c>
      <c r="F536" s="8" t="s">
        <v>1740</v>
      </c>
      <c r="G536" s="10">
        <v>3979</v>
      </c>
      <c r="H536" s="132"/>
      <c r="I536" s="8">
        <v>0</v>
      </c>
      <c r="J536" s="9">
        <v>0</v>
      </c>
      <c r="K536" s="8">
        <v>0</v>
      </c>
      <c r="L536" s="9">
        <f t="shared" si="87"/>
        <v>0</v>
      </c>
      <c r="M536" s="8" t="s">
        <v>2076</v>
      </c>
      <c r="N536" s="132"/>
      <c r="O536" s="143">
        <v>0</v>
      </c>
      <c r="P536" s="9">
        <v>0</v>
      </c>
      <c r="Q536" s="143">
        <v>0</v>
      </c>
      <c r="R536" s="9">
        <f t="shared" si="88"/>
        <v>0</v>
      </c>
      <c r="S536" s="8" t="s">
        <v>2050</v>
      </c>
      <c r="T536" s="132"/>
      <c r="U536" s="143">
        <v>0</v>
      </c>
      <c r="V536" s="143">
        <v>0</v>
      </c>
      <c r="W536" s="9">
        <f t="shared" si="89"/>
        <v>0</v>
      </c>
      <c r="X536" s="8" t="s">
        <v>2050</v>
      </c>
      <c r="Y536" s="178"/>
      <c r="Z536" s="143">
        <v>0</v>
      </c>
      <c r="AA536" s="9">
        <v>0</v>
      </c>
      <c r="AB536" s="143">
        <v>0</v>
      </c>
      <c r="AC536" s="9">
        <v>0</v>
      </c>
      <c r="AD536" s="8" t="s">
        <v>2050</v>
      </c>
      <c r="AE536" s="178"/>
      <c r="AF536" s="143"/>
      <c r="AG536" s="143"/>
      <c r="AH536" s="9">
        <v>0</v>
      </c>
      <c r="AI536" s="8" t="s">
        <v>2050</v>
      </c>
    </row>
    <row r="537" spans="1:35" x14ac:dyDescent="0.2">
      <c r="A537" s="8" t="s">
        <v>1970</v>
      </c>
      <c r="B537" s="8"/>
      <c r="C537" s="8" t="s">
        <v>47</v>
      </c>
      <c r="D537" s="8" t="s">
        <v>2015</v>
      </c>
      <c r="E537" s="9">
        <v>38.489999999999995</v>
      </c>
      <c r="F537" s="8" t="s">
        <v>1740</v>
      </c>
      <c r="G537" s="10">
        <v>4900</v>
      </c>
      <c r="H537" s="132"/>
      <c r="I537" s="8">
        <v>0</v>
      </c>
      <c r="J537" s="9">
        <v>0</v>
      </c>
      <c r="K537" s="8">
        <v>0</v>
      </c>
      <c r="L537" s="9">
        <f t="shared" si="87"/>
        <v>0</v>
      </c>
      <c r="M537" s="8" t="s">
        <v>2076</v>
      </c>
      <c r="N537" s="132"/>
      <c r="O537" s="143">
        <v>0</v>
      </c>
      <c r="P537" s="9">
        <v>0</v>
      </c>
      <c r="Q537" s="143">
        <v>0</v>
      </c>
      <c r="R537" s="9">
        <f t="shared" si="88"/>
        <v>0</v>
      </c>
      <c r="S537" s="8" t="s">
        <v>2050</v>
      </c>
      <c r="T537" s="132"/>
      <c r="U537" s="143">
        <v>0</v>
      </c>
      <c r="V537" s="143">
        <v>0</v>
      </c>
      <c r="W537" s="9">
        <f t="shared" si="89"/>
        <v>0</v>
      </c>
      <c r="X537" s="8" t="s">
        <v>2050</v>
      </c>
      <c r="Y537" s="178"/>
      <c r="Z537" s="143">
        <v>0</v>
      </c>
      <c r="AA537" s="9">
        <v>0</v>
      </c>
      <c r="AB537" s="143">
        <v>0</v>
      </c>
      <c r="AC537" s="9">
        <v>0</v>
      </c>
      <c r="AD537" s="8" t="s">
        <v>2050</v>
      </c>
      <c r="AE537" s="178"/>
      <c r="AF537" s="143"/>
      <c r="AG537" s="143"/>
      <c r="AH537" s="9">
        <v>0</v>
      </c>
      <c r="AI537" s="8" t="s">
        <v>2050</v>
      </c>
    </row>
    <row r="538" spans="1:35" x14ac:dyDescent="0.2">
      <c r="A538" s="8" t="s">
        <v>1970</v>
      </c>
      <c r="B538" s="8"/>
      <c r="C538" s="8" t="s">
        <v>47</v>
      </c>
      <c r="D538" s="8" t="s">
        <v>2016</v>
      </c>
      <c r="E538" s="9">
        <v>37.44</v>
      </c>
      <c r="F538" s="8" t="s">
        <v>1740</v>
      </c>
      <c r="G538" s="10">
        <v>5152</v>
      </c>
      <c r="H538" s="132"/>
      <c r="I538" s="8">
        <v>0</v>
      </c>
      <c r="J538" s="9">
        <v>0</v>
      </c>
      <c r="K538" s="8">
        <v>0</v>
      </c>
      <c r="L538" s="9">
        <f t="shared" si="87"/>
        <v>0</v>
      </c>
      <c r="M538" s="8" t="s">
        <v>2076</v>
      </c>
      <c r="N538" s="132"/>
      <c r="O538" s="143">
        <v>0</v>
      </c>
      <c r="P538" s="9">
        <v>0</v>
      </c>
      <c r="Q538" s="143">
        <v>0</v>
      </c>
      <c r="R538" s="9">
        <f t="shared" si="88"/>
        <v>0</v>
      </c>
      <c r="S538" s="8" t="s">
        <v>2050</v>
      </c>
      <c r="T538" s="132"/>
      <c r="U538" s="143">
        <v>0</v>
      </c>
      <c r="V538" s="143">
        <v>0</v>
      </c>
      <c r="W538" s="9">
        <f t="shared" si="89"/>
        <v>0</v>
      </c>
      <c r="X538" s="8" t="s">
        <v>2050</v>
      </c>
      <c r="Y538" s="178"/>
      <c r="Z538" s="143">
        <v>0</v>
      </c>
      <c r="AA538" s="9">
        <v>0</v>
      </c>
      <c r="AB538" s="143">
        <v>0</v>
      </c>
      <c r="AC538" s="9">
        <v>0</v>
      </c>
      <c r="AD538" s="8" t="s">
        <v>2050</v>
      </c>
      <c r="AE538" s="178"/>
      <c r="AF538" s="143"/>
      <c r="AG538" s="143"/>
      <c r="AH538" s="9">
        <v>0</v>
      </c>
      <c r="AI538" s="8" t="s">
        <v>2050</v>
      </c>
    </row>
    <row r="539" spans="1:35" x14ac:dyDescent="0.2">
      <c r="A539" s="8" t="s">
        <v>1970</v>
      </c>
      <c r="B539" s="8"/>
      <c r="C539" s="8" t="s">
        <v>79</v>
      </c>
      <c r="D539" s="177" t="s">
        <v>1136</v>
      </c>
      <c r="E539" s="9">
        <v>27.78</v>
      </c>
      <c r="F539" s="8" t="s">
        <v>1740</v>
      </c>
      <c r="G539" s="10">
        <v>3378</v>
      </c>
      <c r="H539" s="132"/>
      <c r="I539" s="8">
        <v>0</v>
      </c>
      <c r="J539" s="9">
        <v>0</v>
      </c>
      <c r="K539" s="8">
        <v>0</v>
      </c>
      <c r="L539" s="9">
        <f t="shared" si="87"/>
        <v>0</v>
      </c>
      <c r="M539" s="8" t="s">
        <v>2076</v>
      </c>
      <c r="N539" s="132">
        <v>46149</v>
      </c>
      <c r="O539" s="143">
        <v>98</v>
      </c>
      <c r="P539" s="9">
        <v>2.9011249259917111</v>
      </c>
      <c r="Q539" s="143">
        <v>4</v>
      </c>
      <c r="R539" s="9">
        <f t="shared" si="88"/>
        <v>4.0816326530612246</v>
      </c>
      <c r="S539" s="8" t="s">
        <v>2049</v>
      </c>
      <c r="T539" s="132"/>
      <c r="U539" s="143">
        <v>0</v>
      </c>
      <c r="V539" s="143">
        <v>0</v>
      </c>
      <c r="W539" s="9">
        <f t="shared" si="89"/>
        <v>0</v>
      </c>
      <c r="X539" s="8" t="s">
        <v>2050</v>
      </c>
      <c r="Y539" s="178"/>
      <c r="Z539" s="143">
        <v>0</v>
      </c>
      <c r="AA539" s="9">
        <v>0</v>
      </c>
      <c r="AB539" s="143">
        <v>0</v>
      </c>
      <c r="AC539" s="9">
        <v>0</v>
      </c>
      <c r="AD539" s="8" t="s">
        <v>2050</v>
      </c>
      <c r="AE539" s="178">
        <v>46155</v>
      </c>
      <c r="AF539" s="143">
        <v>659</v>
      </c>
      <c r="AG539" s="143">
        <v>45</v>
      </c>
      <c r="AH539" s="9">
        <v>6.8285280728376323</v>
      </c>
      <c r="AI539" s="8" t="s">
        <v>2040</v>
      </c>
    </row>
    <row r="540" spans="1:35" x14ac:dyDescent="0.2">
      <c r="A540" s="8" t="s">
        <v>1970</v>
      </c>
      <c r="B540" s="8"/>
      <c r="C540" s="8" t="s">
        <v>79</v>
      </c>
      <c r="D540" s="177" t="s">
        <v>1137</v>
      </c>
      <c r="E540" s="9">
        <v>28.79</v>
      </c>
      <c r="F540" s="8" t="s">
        <v>1740</v>
      </c>
      <c r="G540" s="10">
        <v>2640</v>
      </c>
      <c r="H540" s="132">
        <v>46158</v>
      </c>
      <c r="I540" s="8">
        <v>391</v>
      </c>
      <c r="J540" s="9">
        <v>14.810606060606061</v>
      </c>
      <c r="K540" s="8">
        <v>31</v>
      </c>
      <c r="L540" s="9">
        <f t="shared" si="87"/>
        <v>7.9283887468030692</v>
      </c>
      <c r="M540" s="8" t="s">
        <v>2075</v>
      </c>
      <c r="N540" s="132">
        <v>46149</v>
      </c>
      <c r="O540" s="143">
        <v>52</v>
      </c>
      <c r="P540" s="9">
        <v>1.9696969696969695</v>
      </c>
      <c r="Q540" s="143">
        <v>7</v>
      </c>
      <c r="R540" s="9">
        <f t="shared" si="88"/>
        <v>13.461538461538462</v>
      </c>
      <c r="S540" s="8" t="s">
        <v>2040</v>
      </c>
      <c r="T540" s="132">
        <v>46149</v>
      </c>
      <c r="U540" s="143">
        <v>341</v>
      </c>
      <c r="V540" s="143">
        <v>13</v>
      </c>
      <c r="W540" s="9">
        <f t="shared" si="89"/>
        <v>3.8123167155425222</v>
      </c>
      <c r="X540" s="8" t="s">
        <v>2049</v>
      </c>
      <c r="Y540" s="178">
        <v>46155</v>
      </c>
      <c r="Z540" s="143">
        <v>339</v>
      </c>
      <c r="AA540" s="9">
        <v>12.840909090909092</v>
      </c>
      <c r="AB540" s="143">
        <v>24</v>
      </c>
      <c r="AC540" s="9">
        <v>7.0796460176991154</v>
      </c>
      <c r="AD540" s="8" t="s">
        <v>2040</v>
      </c>
      <c r="AE540" s="178"/>
      <c r="AF540" s="143"/>
      <c r="AG540" s="143"/>
      <c r="AH540" s="9">
        <v>0</v>
      </c>
      <c r="AI540" s="8" t="s">
        <v>2050</v>
      </c>
    </row>
    <row r="541" spans="1:35" x14ac:dyDescent="0.2">
      <c r="A541" s="8" t="s">
        <v>1970</v>
      </c>
      <c r="B541" s="8"/>
      <c r="C541" s="8" t="s">
        <v>79</v>
      </c>
      <c r="D541" s="177" t="s">
        <v>1138</v>
      </c>
      <c r="E541" s="9">
        <v>30.1</v>
      </c>
      <c r="F541" s="8" t="s">
        <v>1740</v>
      </c>
      <c r="G541" s="10">
        <v>3172</v>
      </c>
      <c r="H541" s="132"/>
      <c r="I541" s="8">
        <v>0</v>
      </c>
      <c r="J541" s="9">
        <v>0</v>
      </c>
      <c r="K541" s="8">
        <v>0</v>
      </c>
      <c r="L541" s="9">
        <f t="shared" si="87"/>
        <v>0</v>
      </c>
      <c r="M541" s="8" t="s">
        <v>2076</v>
      </c>
      <c r="N541" s="132">
        <v>46149</v>
      </c>
      <c r="O541" s="143">
        <v>80</v>
      </c>
      <c r="P541" s="9">
        <v>2.5220680958385877</v>
      </c>
      <c r="Q541" s="143">
        <v>2</v>
      </c>
      <c r="R541" s="9">
        <f t="shared" si="88"/>
        <v>2.5</v>
      </c>
      <c r="S541" s="8" t="s">
        <v>2049</v>
      </c>
      <c r="T541" s="132">
        <v>46149</v>
      </c>
      <c r="U541" s="143">
        <v>320</v>
      </c>
      <c r="V541" s="143">
        <v>15</v>
      </c>
      <c r="W541" s="9">
        <f t="shared" si="89"/>
        <v>4.6875</v>
      </c>
      <c r="X541" s="8" t="s">
        <v>2049</v>
      </c>
      <c r="Y541" s="178"/>
      <c r="Z541" s="143">
        <v>0</v>
      </c>
      <c r="AA541" s="9">
        <v>0</v>
      </c>
      <c r="AB541" s="143">
        <v>0</v>
      </c>
      <c r="AC541" s="9">
        <v>0</v>
      </c>
      <c r="AD541" s="8" t="s">
        <v>2050</v>
      </c>
      <c r="AE541" s="178"/>
      <c r="AF541" s="143"/>
      <c r="AG541" s="143"/>
      <c r="AH541" s="9">
        <v>0</v>
      </c>
      <c r="AI541" s="8" t="s">
        <v>2050</v>
      </c>
    </row>
    <row r="542" spans="1:35" x14ac:dyDescent="0.2">
      <c r="A542" s="8" t="s">
        <v>1970</v>
      </c>
      <c r="B542" s="8"/>
      <c r="C542" s="8" t="s">
        <v>79</v>
      </c>
      <c r="D542" s="177" t="s">
        <v>1169</v>
      </c>
      <c r="E542" s="9">
        <v>33.96</v>
      </c>
      <c r="F542" s="8" t="s">
        <v>1740</v>
      </c>
      <c r="G542" s="10">
        <v>3306</v>
      </c>
      <c r="H542" s="132">
        <v>46154</v>
      </c>
      <c r="I542" s="8">
        <v>404</v>
      </c>
      <c r="J542" s="9">
        <v>12.220205686630369</v>
      </c>
      <c r="K542" s="8">
        <v>30</v>
      </c>
      <c r="L542" s="9">
        <f t="shared" si="87"/>
        <v>7.4257425742574252</v>
      </c>
      <c r="M542" s="8" t="s">
        <v>2075</v>
      </c>
      <c r="N542" s="132">
        <v>46149</v>
      </c>
      <c r="O542" s="143">
        <v>80</v>
      </c>
      <c r="P542" s="9">
        <v>2.4198427102238353</v>
      </c>
      <c r="Q542" s="143">
        <v>9</v>
      </c>
      <c r="R542" s="9">
        <f t="shared" si="88"/>
        <v>11.25</v>
      </c>
      <c r="S542" s="8" t="s">
        <v>2040</v>
      </c>
      <c r="T542" s="132"/>
      <c r="U542" s="143">
        <v>0</v>
      </c>
      <c r="V542" s="143">
        <v>0</v>
      </c>
      <c r="W542" s="9">
        <f t="shared" si="89"/>
        <v>0</v>
      </c>
      <c r="X542" s="8" t="s">
        <v>2050</v>
      </c>
      <c r="Y542" s="178">
        <v>46155</v>
      </c>
      <c r="Z542" s="143">
        <v>324</v>
      </c>
      <c r="AA542" s="9">
        <v>9.8003629764065341</v>
      </c>
      <c r="AB542" s="143">
        <v>21</v>
      </c>
      <c r="AC542" s="9">
        <v>6.481481481481481</v>
      </c>
      <c r="AD542" s="8" t="s">
        <v>2040</v>
      </c>
      <c r="AE542" s="178"/>
      <c r="AF542" s="143"/>
      <c r="AG542" s="143"/>
      <c r="AH542" s="9">
        <v>0</v>
      </c>
      <c r="AI542" s="8" t="s">
        <v>2050</v>
      </c>
    </row>
    <row r="543" spans="1:35" x14ac:dyDescent="0.2">
      <c r="A543" s="8" t="s">
        <v>1970</v>
      </c>
      <c r="B543" s="8"/>
      <c r="C543" s="8" t="s">
        <v>79</v>
      </c>
      <c r="D543" s="8" t="s">
        <v>1111</v>
      </c>
      <c r="E543" s="9">
        <v>29.169999999999998</v>
      </c>
      <c r="F543" s="8" t="s">
        <v>1740</v>
      </c>
      <c r="G543" s="10">
        <v>3409</v>
      </c>
      <c r="H543" s="132"/>
      <c r="I543" s="8">
        <v>0</v>
      </c>
      <c r="J543" s="9">
        <v>0</v>
      </c>
      <c r="K543" s="8">
        <v>0</v>
      </c>
      <c r="L543" s="9">
        <f t="shared" si="87"/>
        <v>0</v>
      </c>
      <c r="M543" s="8" t="s">
        <v>2076</v>
      </c>
      <c r="N543" s="132">
        <v>46147</v>
      </c>
      <c r="O543" s="143">
        <v>83</v>
      </c>
      <c r="P543" s="9">
        <v>2.4347315928424758</v>
      </c>
      <c r="Q543" s="143">
        <v>0</v>
      </c>
      <c r="R543" s="9">
        <f t="shared" si="88"/>
        <v>0</v>
      </c>
      <c r="S543" s="8" t="s">
        <v>2050</v>
      </c>
      <c r="T543" s="132"/>
      <c r="U543" s="143">
        <v>0</v>
      </c>
      <c r="V543" s="143">
        <v>0</v>
      </c>
      <c r="W543" s="9">
        <f t="shared" si="89"/>
        <v>0</v>
      </c>
      <c r="X543" s="8" t="s">
        <v>2050</v>
      </c>
      <c r="Y543" s="178"/>
      <c r="Z543" s="143">
        <v>0</v>
      </c>
      <c r="AA543" s="9">
        <v>0</v>
      </c>
      <c r="AB543" s="143">
        <v>0</v>
      </c>
      <c r="AC543" s="9">
        <v>0</v>
      </c>
      <c r="AD543" s="8" t="s">
        <v>2050</v>
      </c>
      <c r="AE543" s="178">
        <v>46155</v>
      </c>
      <c r="AF543" s="143">
        <v>518</v>
      </c>
      <c r="AG543" s="143">
        <v>17</v>
      </c>
      <c r="AH543" s="9">
        <v>3.2818532818532815</v>
      </c>
      <c r="AI543" s="8" t="s">
        <v>2049</v>
      </c>
    </row>
    <row r="544" spans="1:35" x14ac:dyDescent="0.2">
      <c r="A544" s="8" t="s">
        <v>1970</v>
      </c>
      <c r="B544" s="8"/>
      <c r="C544" s="8" t="s">
        <v>79</v>
      </c>
      <c r="D544" s="177" t="s">
        <v>1112</v>
      </c>
      <c r="E544" s="9">
        <v>23.93</v>
      </c>
      <c r="F544" s="8" t="s">
        <v>1740</v>
      </c>
      <c r="G544" s="10">
        <v>2784</v>
      </c>
      <c r="H544" s="132">
        <v>46154</v>
      </c>
      <c r="I544" s="8">
        <v>423</v>
      </c>
      <c r="J544" s="9">
        <v>15.193965517241379</v>
      </c>
      <c r="K544" s="8">
        <v>22</v>
      </c>
      <c r="L544" s="9">
        <f t="shared" si="87"/>
        <v>5.2009456264775409</v>
      </c>
      <c r="M544" s="8" t="s">
        <v>2075</v>
      </c>
      <c r="N544" s="132">
        <v>46147</v>
      </c>
      <c r="O544" s="143">
        <v>58</v>
      </c>
      <c r="P544" s="9">
        <v>2.083333333333333</v>
      </c>
      <c r="Q544" s="143">
        <v>6</v>
      </c>
      <c r="R544" s="9">
        <f t="shared" si="88"/>
        <v>10.344827586206897</v>
      </c>
      <c r="S544" s="8" t="s">
        <v>2040</v>
      </c>
      <c r="T544" s="132"/>
      <c r="U544" s="143">
        <v>0</v>
      </c>
      <c r="V544" s="143">
        <v>0</v>
      </c>
      <c r="W544" s="9">
        <f t="shared" si="89"/>
        <v>0</v>
      </c>
      <c r="X544" s="8" t="s">
        <v>2050</v>
      </c>
      <c r="Y544" s="178">
        <v>46155</v>
      </c>
      <c r="Z544" s="143">
        <v>365</v>
      </c>
      <c r="AA544" s="9">
        <v>13.110632183908047</v>
      </c>
      <c r="AB544" s="143">
        <v>16</v>
      </c>
      <c r="AC544" s="9">
        <v>4.3835616438356162</v>
      </c>
      <c r="AD544" s="8" t="s">
        <v>2049</v>
      </c>
      <c r="AE544" s="178"/>
      <c r="AF544" s="143"/>
      <c r="AG544" s="143"/>
      <c r="AH544" s="9">
        <v>0</v>
      </c>
      <c r="AI544" s="8" t="s">
        <v>2050</v>
      </c>
    </row>
    <row r="545" spans="1:35" x14ac:dyDescent="0.2">
      <c r="A545" s="8" t="s">
        <v>1970</v>
      </c>
      <c r="B545" s="8"/>
      <c r="C545" s="8" t="s">
        <v>79</v>
      </c>
      <c r="D545" s="8" t="s">
        <v>1141</v>
      </c>
      <c r="E545" s="9">
        <v>26.02</v>
      </c>
      <c r="F545" s="8" t="s">
        <v>1740</v>
      </c>
      <c r="G545" s="10">
        <v>3436</v>
      </c>
      <c r="H545" s="132"/>
      <c r="I545" s="8">
        <v>0</v>
      </c>
      <c r="J545" s="9">
        <v>0</v>
      </c>
      <c r="K545" s="8">
        <v>0</v>
      </c>
      <c r="L545" s="9">
        <f t="shared" si="87"/>
        <v>0</v>
      </c>
      <c r="M545" s="8" t="s">
        <v>2076</v>
      </c>
      <c r="N545" s="132"/>
      <c r="O545" s="143">
        <v>0</v>
      </c>
      <c r="P545" s="9">
        <v>0</v>
      </c>
      <c r="Q545" s="143">
        <v>0</v>
      </c>
      <c r="R545" s="9">
        <f t="shared" si="88"/>
        <v>0</v>
      </c>
      <c r="S545" s="8" t="s">
        <v>2050</v>
      </c>
      <c r="T545" s="132"/>
      <c r="U545" s="143">
        <v>0</v>
      </c>
      <c r="V545" s="143">
        <v>0</v>
      </c>
      <c r="W545" s="9">
        <f t="shared" si="89"/>
        <v>0</v>
      </c>
      <c r="X545" s="8" t="s">
        <v>2050</v>
      </c>
      <c r="Y545" s="178">
        <v>46155</v>
      </c>
      <c r="Z545" s="143">
        <v>80</v>
      </c>
      <c r="AA545" s="9">
        <v>2.3282887077997674</v>
      </c>
      <c r="AB545" s="143">
        <v>7</v>
      </c>
      <c r="AC545" s="9">
        <v>8.75</v>
      </c>
      <c r="AD545" s="8" t="s">
        <v>2040</v>
      </c>
      <c r="AE545" s="178">
        <v>46157</v>
      </c>
      <c r="AF545" s="143">
        <v>650</v>
      </c>
      <c r="AG545" s="143">
        <v>36</v>
      </c>
      <c r="AH545" s="9">
        <v>5.5384615384615383</v>
      </c>
      <c r="AI545" s="8" t="s">
        <v>2040</v>
      </c>
    </row>
    <row r="546" spans="1:35" x14ac:dyDescent="0.2">
      <c r="A546" s="8" t="s">
        <v>1970</v>
      </c>
      <c r="B546" s="8"/>
      <c r="C546" s="8" t="s">
        <v>79</v>
      </c>
      <c r="D546" s="177" t="s">
        <v>1198</v>
      </c>
      <c r="E546" s="9">
        <v>32.39</v>
      </c>
      <c r="F546" s="8" t="s">
        <v>1740</v>
      </c>
      <c r="G546" s="10">
        <v>3199</v>
      </c>
      <c r="H546" s="132"/>
      <c r="I546" s="8">
        <v>0</v>
      </c>
      <c r="J546" s="9">
        <v>0</v>
      </c>
      <c r="K546" s="8">
        <v>0</v>
      </c>
      <c r="L546" s="9">
        <f t="shared" si="87"/>
        <v>0</v>
      </c>
      <c r="M546" s="8" t="s">
        <v>2076</v>
      </c>
      <c r="N546" s="132">
        <v>46150</v>
      </c>
      <c r="O546" s="143">
        <v>80</v>
      </c>
      <c r="P546" s="9">
        <v>2.5007814942169428</v>
      </c>
      <c r="Q546" s="143">
        <v>3</v>
      </c>
      <c r="R546" s="9">
        <f t="shared" si="88"/>
        <v>3.75</v>
      </c>
      <c r="S546" s="8" t="s">
        <v>2049</v>
      </c>
      <c r="T546" s="132">
        <v>46150</v>
      </c>
      <c r="U546" s="143">
        <v>751</v>
      </c>
      <c r="V546" s="143">
        <v>11</v>
      </c>
      <c r="W546" s="9">
        <f t="shared" si="89"/>
        <v>1.4647137150466045</v>
      </c>
      <c r="X546" s="8" t="s">
        <v>2049</v>
      </c>
      <c r="Y546" s="178"/>
      <c r="Z546" s="143">
        <v>0</v>
      </c>
      <c r="AA546" s="9">
        <v>0</v>
      </c>
      <c r="AB546" s="143">
        <v>0</v>
      </c>
      <c r="AC546" s="9">
        <v>0</v>
      </c>
      <c r="AD546" s="8" t="s">
        <v>2050</v>
      </c>
      <c r="AE546" s="178"/>
      <c r="AF546" s="143"/>
      <c r="AG546" s="143"/>
      <c r="AH546" s="9">
        <v>0</v>
      </c>
      <c r="AI546" s="8" t="s">
        <v>2050</v>
      </c>
    </row>
    <row r="547" spans="1:35" x14ac:dyDescent="0.2">
      <c r="A547" s="8" t="s">
        <v>1970</v>
      </c>
      <c r="B547" s="8"/>
      <c r="C547" s="8" t="s">
        <v>79</v>
      </c>
      <c r="D547" s="8" t="s">
        <v>1225</v>
      </c>
      <c r="E547" s="9">
        <v>37.440000000000005</v>
      </c>
      <c r="F547" s="8" t="s">
        <v>1740</v>
      </c>
      <c r="G547" s="10">
        <v>3570</v>
      </c>
      <c r="H547" s="132"/>
      <c r="I547" s="8">
        <v>0</v>
      </c>
      <c r="J547" s="9">
        <v>0</v>
      </c>
      <c r="K547" s="8">
        <v>0</v>
      </c>
      <c r="L547" s="9">
        <f t="shared" si="87"/>
        <v>0</v>
      </c>
      <c r="M547" s="8" t="s">
        <v>2076</v>
      </c>
      <c r="N547" s="132"/>
      <c r="O547" s="143">
        <v>0</v>
      </c>
      <c r="P547" s="9">
        <v>0</v>
      </c>
      <c r="Q547" s="143">
        <v>0</v>
      </c>
      <c r="R547" s="9">
        <f t="shared" si="88"/>
        <v>0</v>
      </c>
      <c r="S547" s="8" t="s">
        <v>2050</v>
      </c>
      <c r="T547" s="132"/>
      <c r="U547" s="143">
        <v>0</v>
      </c>
      <c r="V547" s="143">
        <v>0</v>
      </c>
      <c r="W547" s="9">
        <f t="shared" si="89"/>
        <v>0</v>
      </c>
      <c r="X547" s="8" t="s">
        <v>2050</v>
      </c>
      <c r="Y547" s="178"/>
      <c r="Z547" s="143">
        <v>0</v>
      </c>
      <c r="AA547" s="9">
        <v>0</v>
      </c>
      <c r="AB547" s="143">
        <v>0</v>
      </c>
      <c r="AC547" s="9">
        <v>0</v>
      </c>
      <c r="AD547" s="8" t="s">
        <v>2050</v>
      </c>
      <c r="AE547" s="178">
        <v>46154</v>
      </c>
      <c r="AF547" s="143">
        <v>714</v>
      </c>
      <c r="AG547" s="143">
        <v>23</v>
      </c>
      <c r="AH547" s="9">
        <v>3.2212885154061621</v>
      </c>
      <c r="AI547" s="8" t="s">
        <v>2049</v>
      </c>
    </row>
    <row r="548" spans="1:35" x14ac:dyDescent="0.2">
      <c r="A548" s="8" t="s">
        <v>1970</v>
      </c>
      <c r="B548" s="8"/>
      <c r="C548" s="8" t="s">
        <v>79</v>
      </c>
      <c r="D548" s="177" t="s">
        <v>2017</v>
      </c>
      <c r="E548" s="9">
        <v>30.800000000000004</v>
      </c>
      <c r="F548" s="8" t="s">
        <v>1740</v>
      </c>
      <c r="G548" s="10">
        <v>3320</v>
      </c>
      <c r="H548" s="132"/>
      <c r="I548" s="8">
        <v>0</v>
      </c>
      <c r="J548" s="9">
        <v>0</v>
      </c>
      <c r="K548" s="8">
        <v>0</v>
      </c>
      <c r="L548" s="9">
        <f t="shared" si="87"/>
        <v>0</v>
      </c>
      <c r="M548" s="8" t="s">
        <v>2076</v>
      </c>
      <c r="N548" s="132">
        <v>46147</v>
      </c>
      <c r="O548" s="143">
        <v>76</v>
      </c>
      <c r="P548" s="9">
        <v>2.2891566265060241</v>
      </c>
      <c r="Q548" s="143">
        <v>2</v>
      </c>
      <c r="R548" s="9">
        <f t="shared" si="88"/>
        <v>2.6315789473684208</v>
      </c>
      <c r="S548" s="8" t="s">
        <v>2049</v>
      </c>
      <c r="T548" s="132"/>
      <c r="U548" s="143">
        <v>0</v>
      </c>
      <c r="V548" s="143">
        <v>0</v>
      </c>
      <c r="W548" s="9">
        <f t="shared" si="89"/>
        <v>0</v>
      </c>
      <c r="X548" s="8" t="s">
        <v>2050</v>
      </c>
      <c r="Y548" s="178">
        <v>46155</v>
      </c>
      <c r="Z548" s="143">
        <v>80</v>
      </c>
      <c r="AA548" s="9">
        <v>2.4096385542168677</v>
      </c>
      <c r="AB548" s="143">
        <v>6</v>
      </c>
      <c r="AC548" s="9">
        <v>7.5</v>
      </c>
      <c r="AD548" s="8" t="s">
        <v>2040</v>
      </c>
      <c r="AE548" s="178">
        <v>46155</v>
      </c>
      <c r="AF548" s="143">
        <v>492</v>
      </c>
      <c r="AG548" s="143">
        <v>32</v>
      </c>
      <c r="AH548" s="9">
        <v>6.5040650406504072</v>
      </c>
      <c r="AI548" s="8" t="s">
        <v>2040</v>
      </c>
    </row>
    <row r="549" spans="1:35" x14ac:dyDescent="0.2">
      <c r="A549" s="8" t="s">
        <v>1970</v>
      </c>
      <c r="B549" s="8"/>
      <c r="C549" s="8" t="s">
        <v>79</v>
      </c>
      <c r="D549" s="177" t="s">
        <v>2018</v>
      </c>
      <c r="E549" s="9">
        <v>26.05</v>
      </c>
      <c r="F549" s="8" t="s">
        <v>1740</v>
      </c>
      <c r="G549" s="10">
        <v>3026</v>
      </c>
      <c r="H549" s="132">
        <v>46158</v>
      </c>
      <c r="I549" s="8">
        <v>370</v>
      </c>
      <c r="J549" s="9">
        <v>12.227362855254462</v>
      </c>
      <c r="K549" s="8">
        <v>19</v>
      </c>
      <c r="L549" s="9">
        <f t="shared" si="87"/>
        <v>5.1351351351351351</v>
      </c>
      <c r="M549" s="8" t="s">
        <v>2075</v>
      </c>
      <c r="N549" s="132"/>
      <c r="O549" s="143">
        <v>0</v>
      </c>
      <c r="P549" s="9">
        <v>0</v>
      </c>
      <c r="Q549" s="143">
        <v>0</v>
      </c>
      <c r="R549" s="9">
        <f t="shared" si="88"/>
        <v>0</v>
      </c>
      <c r="S549" s="8" t="s">
        <v>2050</v>
      </c>
      <c r="T549" s="132"/>
      <c r="U549" s="143">
        <v>0</v>
      </c>
      <c r="V549" s="143">
        <v>0</v>
      </c>
      <c r="W549" s="9">
        <f t="shared" si="89"/>
        <v>0</v>
      </c>
      <c r="X549" s="8" t="s">
        <v>2050</v>
      </c>
      <c r="Y549" s="178">
        <v>46155</v>
      </c>
      <c r="Z549" s="143">
        <v>370</v>
      </c>
      <c r="AA549" s="9">
        <v>12.227362855254462</v>
      </c>
      <c r="AB549" s="143">
        <v>19</v>
      </c>
      <c r="AC549" s="9">
        <v>5.1351351351351351</v>
      </c>
      <c r="AD549" s="8" t="s">
        <v>2040</v>
      </c>
      <c r="AE549" s="178"/>
      <c r="AF549" s="143"/>
      <c r="AG549" s="143"/>
      <c r="AH549" s="9">
        <v>0</v>
      </c>
      <c r="AI549" s="8" t="s">
        <v>2050</v>
      </c>
    </row>
    <row r="550" spans="1:35" x14ac:dyDescent="0.2">
      <c r="A550" s="8" t="s">
        <v>1970</v>
      </c>
      <c r="B550" s="8"/>
      <c r="C550" s="8" t="s">
        <v>79</v>
      </c>
      <c r="D550" s="177" t="s">
        <v>2019</v>
      </c>
      <c r="E550" s="9">
        <v>32.949999999999996</v>
      </c>
      <c r="F550" s="8" t="s">
        <v>1740</v>
      </c>
      <c r="G550" s="10">
        <v>4337</v>
      </c>
      <c r="H550" s="132">
        <v>46154</v>
      </c>
      <c r="I550" s="8">
        <v>499</v>
      </c>
      <c r="J550" s="9">
        <v>11.505649066174776</v>
      </c>
      <c r="K550" s="8">
        <v>38</v>
      </c>
      <c r="L550" s="9">
        <f t="shared" si="87"/>
        <v>7.6152304609218442</v>
      </c>
      <c r="M550" s="8" t="s">
        <v>2075</v>
      </c>
      <c r="N550" s="132">
        <v>46150</v>
      </c>
      <c r="O550" s="143">
        <v>80</v>
      </c>
      <c r="P550" s="9">
        <v>1.8445930366612864</v>
      </c>
      <c r="Q550" s="143">
        <v>5</v>
      </c>
      <c r="R550" s="9">
        <f t="shared" si="88"/>
        <v>6.25</v>
      </c>
      <c r="S550" s="8" t="s">
        <v>2040</v>
      </c>
      <c r="T550" s="132"/>
      <c r="U550" s="143">
        <v>0</v>
      </c>
      <c r="V550" s="143">
        <v>0</v>
      </c>
      <c r="W550" s="9">
        <f t="shared" si="89"/>
        <v>0</v>
      </c>
      <c r="X550" s="8" t="s">
        <v>2050</v>
      </c>
      <c r="Y550" s="178">
        <v>46155</v>
      </c>
      <c r="Z550" s="143">
        <v>419</v>
      </c>
      <c r="AA550" s="9">
        <v>9.6610560295134889</v>
      </c>
      <c r="AB550" s="143">
        <v>33</v>
      </c>
      <c r="AC550" s="9">
        <v>7.8758949880668254</v>
      </c>
      <c r="AD550" s="8" t="s">
        <v>2040</v>
      </c>
      <c r="AE550" s="178"/>
      <c r="AF550" s="143"/>
      <c r="AG550" s="143"/>
      <c r="AH550" s="9">
        <v>0</v>
      </c>
      <c r="AI550" s="8" t="s">
        <v>2050</v>
      </c>
    </row>
    <row r="551" spans="1:35" x14ac:dyDescent="0.2">
      <c r="A551" s="8" t="s">
        <v>1970</v>
      </c>
      <c r="B551" s="8"/>
      <c r="C551" s="8" t="s">
        <v>79</v>
      </c>
      <c r="D551" s="177" t="s">
        <v>2020</v>
      </c>
      <c r="E551" s="9">
        <v>46.410000000000004</v>
      </c>
      <c r="F551" s="8" t="s">
        <v>1740</v>
      </c>
      <c r="G551" s="10">
        <v>5514</v>
      </c>
      <c r="H551" s="132">
        <v>46155</v>
      </c>
      <c r="I551" s="8">
        <v>603</v>
      </c>
      <c r="J551" s="9">
        <v>10.935799782372143</v>
      </c>
      <c r="K551" s="8">
        <v>22</v>
      </c>
      <c r="L551" s="9">
        <f t="shared" si="87"/>
        <v>3.6484245439469323</v>
      </c>
      <c r="M551" s="8" t="s">
        <v>2075</v>
      </c>
      <c r="N551" s="132"/>
      <c r="O551" s="143">
        <v>0</v>
      </c>
      <c r="P551" s="9">
        <v>0</v>
      </c>
      <c r="Q551" s="143">
        <v>0</v>
      </c>
      <c r="R551" s="9">
        <f t="shared" si="88"/>
        <v>0</v>
      </c>
      <c r="S551" s="8" t="s">
        <v>2050</v>
      </c>
      <c r="T551" s="132"/>
      <c r="U551" s="143">
        <v>0</v>
      </c>
      <c r="V551" s="143">
        <v>0</v>
      </c>
      <c r="W551" s="9">
        <f t="shared" si="89"/>
        <v>0</v>
      </c>
      <c r="X551" s="8" t="s">
        <v>2050</v>
      </c>
      <c r="Y551" s="178">
        <v>46155</v>
      </c>
      <c r="Z551" s="143">
        <v>603</v>
      </c>
      <c r="AA551" s="9">
        <v>10.935799782372143</v>
      </c>
      <c r="AB551" s="143">
        <v>22</v>
      </c>
      <c r="AC551" s="9">
        <v>3.6484245439469323</v>
      </c>
      <c r="AD551" s="8" t="s">
        <v>2049</v>
      </c>
      <c r="AE551" s="178">
        <v>46154</v>
      </c>
      <c r="AF551" s="143">
        <v>547</v>
      </c>
      <c r="AG551" s="143">
        <v>43</v>
      </c>
      <c r="AH551" s="9">
        <v>7.8610603290676417</v>
      </c>
      <c r="AI551" s="8" t="s">
        <v>2040</v>
      </c>
    </row>
    <row r="552" spans="1:35" x14ac:dyDescent="0.2">
      <c r="A552" s="8" t="s">
        <v>1970</v>
      </c>
      <c r="B552" s="8"/>
      <c r="C552" s="8" t="s">
        <v>79</v>
      </c>
      <c r="D552" s="177" t="s">
        <v>2021</v>
      </c>
      <c r="E552" s="9">
        <v>21.49</v>
      </c>
      <c r="F552" s="8" t="s">
        <v>1740</v>
      </c>
      <c r="G552" s="10">
        <v>2521</v>
      </c>
      <c r="H552" s="132">
        <v>46157</v>
      </c>
      <c r="I552" s="8">
        <v>316</v>
      </c>
      <c r="J552" s="9">
        <v>12.534708449028164</v>
      </c>
      <c r="K552" s="8">
        <v>15</v>
      </c>
      <c r="L552" s="9">
        <f t="shared" si="87"/>
        <v>4.7468354430379751</v>
      </c>
      <c r="M552" s="8" t="s">
        <v>2075</v>
      </c>
      <c r="N552" s="132"/>
      <c r="O552" s="143">
        <v>0</v>
      </c>
      <c r="P552" s="9">
        <v>0</v>
      </c>
      <c r="Q552" s="143">
        <v>0</v>
      </c>
      <c r="R552" s="9">
        <f t="shared" si="88"/>
        <v>0</v>
      </c>
      <c r="S552" s="8" t="s">
        <v>2050</v>
      </c>
      <c r="T552" s="132"/>
      <c r="U552" s="143">
        <v>0</v>
      </c>
      <c r="V552" s="143">
        <v>0</v>
      </c>
      <c r="W552" s="9">
        <f t="shared" si="89"/>
        <v>0</v>
      </c>
      <c r="X552" s="8" t="s">
        <v>2050</v>
      </c>
      <c r="Y552" s="178">
        <v>46155</v>
      </c>
      <c r="Z552" s="143">
        <v>316</v>
      </c>
      <c r="AA552" s="9">
        <v>12.534708449028164</v>
      </c>
      <c r="AB552" s="143">
        <v>15</v>
      </c>
      <c r="AC552" s="9">
        <v>4.7468354430379751</v>
      </c>
      <c r="AD552" s="8" t="s">
        <v>2049</v>
      </c>
      <c r="AE552" s="178"/>
      <c r="AF552" s="143"/>
      <c r="AG552" s="143"/>
      <c r="AH552" s="9">
        <v>0</v>
      </c>
      <c r="AI552" s="8" t="s">
        <v>2050</v>
      </c>
    </row>
    <row r="553" spans="1:35" x14ac:dyDescent="0.2">
      <c r="A553" s="8" t="s">
        <v>1970</v>
      </c>
      <c r="B553" s="8"/>
      <c r="C553" s="8" t="s">
        <v>79</v>
      </c>
      <c r="D553" s="177" t="s">
        <v>2022</v>
      </c>
      <c r="E553" s="9">
        <v>24.209999999999997</v>
      </c>
      <c r="F553" s="8" t="s">
        <v>1740</v>
      </c>
      <c r="G553" s="10">
        <v>3060</v>
      </c>
      <c r="H553" s="132">
        <v>46153</v>
      </c>
      <c r="I553" s="8">
        <v>494</v>
      </c>
      <c r="J553" s="9">
        <v>16.143790849673202</v>
      </c>
      <c r="K553" s="8">
        <v>24</v>
      </c>
      <c r="L553" s="9">
        <f t="shared" si="87"/>
        <v>4.8582995951417001</v>
      </c>
      <c r="M553" s="8" t="s">
        <v>2075</v>
      </c>
      <c r="N553" s="132">
        <v>46150</v>
      </c>
      <c r="O553" s="143">
        <v>174</v>
      </c>
      <c r="P553" s="9">
        <v>5.6862745098039218</v>
      </c>
      <c r="Q553" s="143">
        <v>11</v>
      </c>
      <c r="R553" s="9">
        <f t="shared" si="88"/>
        <v>6.3218390804597711</v>
      </c>
      <c r="S553" s="8" t="s">
        <v>2040</v>
      </c>
      <c r="T553" s="132"/>
      <c r="U553" s="143">
        <v>0</v>
      </c>
      <c r="V553" s="143">
        <v>0</v>
      </c>
      <c r="W553" s="9">
        <f t="shared" si="89"/>
        <v>0</v>
      </c>
      <c r="X553" s="8" t="s">
        <v>2050</v>
      </c>
      <c r="Y553" s="178">
        <v>46155</v>
      </c>
      <c r="Z553" s="143">
        <v>320</v>
      </c>
      <c r="AA553" s="9">
        <v>10.457516339869281</v>
      </c>
      <c r="AB553" s="143">
        <v>13</v>
      </c>
      <c r="AC553" s="9">
        <v>4.0625</v>
      </c>
      <c r="AD553" s="8" t="s">
        <v>2049</v>
      </c>
      <c r="AE553" s="178">
        <v>46153</v>
      </c>
      <c r="AF553" s="143">
        <v>574</v>
      </c>
      <c r="AG553" s="143">
        <v>22</v>
      </c>
      <c r="AH553" s="9">
        <v>3.8327526132404177</v>
      </c>
      <c r="AI553" s="8" t="s">
        <v>2049</v>
      </c>
    </row>
    <row r="554" spans="1:35" x14ac:dyDescent="0.2">
      <c r="A554" s="8" t="s">
        <v>1970</v>
      </c>
      <c r="B554" s="8"/>
      <c r="C554" s="8" t="s">
        <v>79</v>
      </c>
      <c r="D554" s="177" t="s">
        <v>2023</v>
      </c>
      <c r="E554" s="9">
        <v>32.549999999999997</v>
      </c>
      <c r="F554" s="8" t="s">
        <v>1740</v>
      </c>
      <c r="G554" s="10">
        <v>4390</v>
      </c>
      <c r="H554" s="132"/>
      <c r="I554" s="8">
        <v>0</v>
      </c>
      <c r="J554" s="9">
        <v>0</v>
      </c>
      <c r="K554" s="8">
        <v>0</v>
      </c>
      <c r="L554" s="9">
        <f t="shared" si="87"/>
        <v>0</v>
      </c>
      <c r="M554" s="8" t="s">
        <v>2076</v>
      </c>
      <c r="N554" s="132">
        <v>46150</v>
      </c>
      <c r="O554" s="143">
        <v>167</v>
      </c>
      <c r="P554" s="9">
        <v>3.8041002277904328</v>
      </c>
      <c r="Q554" s="143">
        <v>5</v>
      </c>
      <c r="R554" s="9">
        <f t="shared" si="88"/>
        <v>2.9940119760479043</v>
      </c>
      <c r="S554" s="8" t="s">
        <v>2049</v>
      </c>
      <c r="T554" s="132">
        <v>46150</v>
      </c>
      <c r="U554" s="143">
        <v>562</v>
      </c>
      <c r="V554" s="143">
        <v>18</v>
      </c>
      <c r="W554" s="9">
        <f t="shared" si="89"/>
        <v>3.2028469750889679</v>
      </c>
      <c r="X554" s="8" t="s">
        <v>2049</v>
      </c>
      <c r="Y554" s="178"/>
      <c r="Z554" s="143">
        <v>0</v>
      </c>
      <c r="AA554" s="9">
        <v>0</v>
      </c>
      <c r="AB554" s="143">
        <v>0</v>
      </c>
      <c r="AC554" s="9">
        <v>0</v>
      </c>
      <c r="AD554" s="8" t="s">
        <v>2050</v>
      </c>
      <c r="AE554" s="178"/>
      <c r="AF554" s="143"/>
      <c r="AG554" s="143"/>
      <c r="AH554" s="9">
        <v>0</v>
      </c>
      <c r="AI554" s="8" t="s">
        <v>2050</v>
      </c>
    </row>
    <row r="555" spans="1:35" x14ac:dyDescent="0.2">
      <c r="A555" s="8" t="s">
        <v>1970</v>
      </c>
      <c r="B555" s="8"/>
      <c r="C555" s="8" t="s">
        <v>79</v>
      </c>
      <c r="D555" s="177" t="s">
        <v>2024</v>
      </c>
      <c r="E555" s="9">
        <v>21.83</v>
      </c>
      <c r="F555" s="8" t="s">
        <v>1740</v>
      </c>
      <c r="G555" s="10">
        <v>2333</v>
      </c>
      <c r="H555" s="132">
        <v>46154</v>
      </c>
      <c r="I555" s="8">
        <v>295</v>
      </c>
      <c r="J555" s="9">
        <v>12.64466352336048</v>
      </c>
      <c r="K555" s="8">
        <v>10</v>
      </c>
      <c r="L555" s="9">
        <f t="shared" si="87"/>
        <v>3.3898305084745761</v>
      </c>
      <c r="M555" s="8" t="s">
        <v>2075</v>
      </c>
      <c r="N555" s="132"/>
      <c r="O555" s="143">
        <v>0</v>
      </c>
      <c r="P555" s="9">
        <v>0</v>
      </c>
      <c r="Q555" s="143">
        <v>0</v>
      </c>
      <c r="R555" s="9">
        <f t="shared" si="88"/>
        <v>0</v>
      </c>
      <c r="S555" s="8" t="s">
        <v>2050</v>
      </c>
      <c r="T555" s="132"/>
      <c r="U555" s="143">
        <v>0</v>
      </c>
      <c r="V555" s="143">
        <v>0</v>
      </c>
      <c r="W555" s="9">
        <f t="shared" si="89"/>
        <v>0</v>
      </c>
      <c r="X555" s="8" t="s">
        <v>2050</v>
      </c>
      <c r="Y555" s="178">
        <v>46155</v>
      </c>
      <c r="Z555" s="143">
        <v>295</v>
      </c>
      <c r="AA555" s="9">
        <v>12.64466352336048</v>
      </c>
      <c r="AB555" s="143">
        <v>10</v>
      </c>
      <c r="AC555" s="9">
        <v>3.3898305084745761</v>
      </c>
      <c r="AD555" s="8" t="s">
        <v>2049</v>
      </c>
      <c r="AE555" s="178">
        <v>46153</v>
      </c>
      <c r="AF555" s="143">
        <v>103</v>
      </c>
      <c r="AG555" s="143">
        <v>9</v>
      </c>
      <c r="AH555" s="9">
        <v>8.7378640776699026</v>
      </c>
      <c r="AI555" s="8" t="s">
        <v>2040</v>
      </c>
    </row>
    <row r="556" spans="1:35" x14ac:dyDescent="0.2">
      <c r="A556" s="8" t="s">
        <v>1970</v>
      </c>
      <c r="B556" s="8"/>
      <c r="C556" s="8" t="s">
        <v>107</v>
      </c>
      <c r="D556" s="8" t="s">
        <v>1940</v>
      </c>
      <c r="E556" s="9">
        <v>34.03</v>
      </c>
      <c r="F556" s="8" t="s">
        <v>1740</v>
      </c>
      <c r="G556" s="10">
        <v>4075</v>
      </c>
      <c r="H556" s="132"/>
      <c r="I556" s="8">
        <v>0</v>
      </c>
      <c r="J556" s="9">
        <v>0</v>
      </c>
      <c r="K556" s="8">
        <v>0</v>
      </c>
      <c r="L556" s="9">
        <f t="shared" si="87"/>
        <v>0</v>
      </c>
      <c r="M556" s="8" t="s">
        <v>2076</v>
      </c>
      <c r="N556" s="132"/>
      <c r="O556" s="143">
        <v>0</v>
      </c>
      <c r="P556" s="9">
        <v>0</v>
      </c>
      <c r="Q556" s="143">
        <v>0</v>
      </c>
      <c r="R556" s="9">
        <f t="shared" si="88"/>
        <v>0</v>
      </c>
      <c r="S556" s="8" t="s">
        <v>2050</v>
      </c>
      <c r="T556" s="132"/>
      <c r="U556" s="143">
        <v>0</v>
      </c>
      <c r="V556" s="143">
        <v>0</v>
      </c>
      <c r="W556" s="9">
        <f t="shared" si="89"/>
        <v>0</v>
      </c>
      <c r="X556" s="8" t="s">
        <v>2050</v>
      </c>
      <c r="Y556" s="178">
        <v>46155</v>
      </c>
      <c r="Z556" s="143">
        <v>86</v>
      </c>
      <c r="AA556" s="9">
        <v>2.110429447852761</v>
      </c>
      <c r="AB556" s="143">
        <v>4</v>
      </c>
      <c r="AC556" s="9">
        <v>4.6511627906976747</v>
      </c>
      <c r="AD556" s="8" t="s">
        <v>2049</v>
      </c>
      <c r="AE556" s="178">
        <v>46153</v>
      </c>
      <c r="AF556" s="143">
        <v>341</v>
      </c>
      <c r="AG556" s="143">
        <v>0</v>
      </c>
      <c r="AH556" s="9">
        <v>0</v>
      </c>
      <c r="AI556" s="8" t="s">
        <v>2050</v>
      </c>
    </row>
    <row r="557" spans="1:35" x14ac:dyDescent="0.2">
      <c r="A557" s="8" t="s">
        <v>1970</v>
      </c>
      <c r="B557" s="8"/>
      <c r="C557" s="8" t="s">
        <v>107</v>
      </c>
      <c r="D557" s="8" t="s">
        <v>2025</v>
      </c>
      <c r="E557" s="9">
        <v>36.299999999999997</v>
      </c>
      <c r="F557" s="8" t="s">
        <v>1740</v>
      </c>
      <c r="G557" s="10">
        <v>3663</v>
      </c>
      <c r="H557" s="132"/>
      <c r="I557" s="8">
        <v>0</v>
      </c>
      <c r="J557" s="9">
        <v>0</v>
      </c>
      <c r="K557" s="8">
        <v>0</v>
      </c>
      <c r="L557" s="9">
        <f t="shared" si="87"/>
        <v>0</v>
      </c>
      <c r="M557" s="8" t="s">
        <v>2076</v>
      </c>
      <c r="N557" s="132"/>
      <c r="O557" s="143">
        <v>0</v>
      </c>
      <c r="P557" s="9">
        <v>0</v>
      </c>
      <c r="Q557" s="143">
        <v>0</v>
      </c>
      <c r="R557" s="9">
        <f t="shared" si="88"/>
        <v>0</v>
      </c>
      <c r="S557" s="8" t="s">
        <v>2050</v>
      </c>
      <c r="T557" s="132"/>
      <c r="U557" s="143">
        <v>0</v>
      </c>
      <c r="V557" s="143">
        <v>0</v>
      </c>
      <c r="W557" s="9">
        <f t="shared" si="89"/>
        <v>0</v>
      </c>
      <c r="X557" s="8" t="s">
        <v>2050</v>
      </c>
      <c r="Y557" s="178">
        <v>46155</v>
      </c>
      <c r="Z557" s="143">
        <v>97</v>
      </c>
      <c r="AA557" s="9">
        <v>2.6481026481026482</v>
      </c>
      <c r="AB557" s="143">
        <v>4</v>
      </c>
      <c r="AC557" s="9">
        <v>4.1237113402061851</v>
      </c>
      <c r="AD557" s="8" t="s">
        <v>2049</v>
      </c>
      <c r="AE557" s="178">
        <v>46153</v>
      </c>
      <c r="AF557" s="143">
        <v>579</v>
      </c>
      <c r="AG557" s="143">
        <v>22</v>
      </c>
      <c r="AH557" s="9">
        <v>3.7996545768566494</v>
      </c>
      <c r="AI557" s="8" t="s">
        <v>2049</v>
      </c>
    </row>
    <row r="558" spans="1:35" x14ac:dyDescent="0.2">
      <c r="A558" s="8" t="s">
        <v>1970</v>
      </c>
      <c r="B558" s="8"/>
      <c r="C558" s="8" t="s">
        <v>107</v>
      </c>
      <c r="D558" s="8" t="s">
        <v>1220</v>
      </c>
      <c r="E558" s="9">
        <v>28.929999999999993</v>
      </c>
      <c r="F558" s="8" t="s">
        <v>1740</v>
      </c>
      <c r="G558" s="10">
        <v>2575</v>
      </c>
      <c r="H558" s="132"/>
      <c r="I558" s="8">
        <v>0</v>
      </c>
      <c r="J558" s="9">
        <v>0</v>
      </c>
      <c r="K558" s="8">
        <v>0</v>
      </c>
      <c r="L558" s="9">
        <f t="shared" si="87"/>
        <v>0</v>
      </c>
      <c r="M558" s="8" t="s">
        <v>2076</v>
      </c>
      <c r="N558" s="132"/>
      <c r="O558" s="143">
        <v>0</v>
      </c>
      <c r="P558" s="9">
        <v>0</v>
      </c>
      <c r="Q558" s="143">
        <v>0</v>
      </c>
      <c r="R558" s="9">
        <f t="shared" si="88"/>
        <v>0</v>
      </c>
      <c r="S558" s="8" t="s">
        <v>2050</v>
      </c>
      <c r="T558" s="132"/>
      <c r="U558" s="143">
        <v>0</v>
      </c>
      <c r="V558" s="143">
        <v>0</v>
      </c>
      <c r="W558" s="9">
        <f t="shared" si="89"/>
        <v>0</v>
      </c>
      <c r="X558" s="8" t="s">
        <v>2050</v>
      </c>
      <c r="Y558" s="178">
        <v>46155</v>
      </c>
      <c r="Z558" s="143">
        <v>88</v>
      </c>
      <c r="AA558" s="9">
        <v>3.4174757281553401</v>
      </c>
      <c r="AB558" s="143">
        <v>2</v>
      </c>
      <c r="AC558" s="9">
        <v>2.2727272727272729</v>
      </c>
      <c r="AD558" s="8" t="s">
        <v>2049</v>
      </c>
      <c r="AE558" s="178">
        <v>46154</v>
      </c>
      <c r="AF558" s="143">
        <v>435</v>
      </c>
      <c r="AG558" s="143">
        <v>7</v>
      </c>
      <c r="AH558" s="9">
        <v>1.6091954022988506</v>
      </c>
      <c r="AI558" s="8" t="s">
        <v>2049</v>
      </c>
    </row>
    <row r="559" spans="1:35" x14ac:dyDescent="0.2">
      <c r="A559" s="8" t="s">
        <v>1970</v>
      </c>
      <c r="B559" s="8"/>
      <c r="C559" s="8" t="s">
        <v>107</v>
      </c>
      <c r="D559" s="8" t="s">
        <v>1226</v>
      </c>
      <c r="E559" s="9">
        <v>24.419999999999998</v>
      </c>
      <c r="F559" s="8" t="s">
        <v>1740</v>
      </c>
      <c r="G559" s="10">
        <v>2376</v>
      </c>
      <c r="H559" s="132"/>
      <c r="I559" s="8">
        <v>0</v>
      </c>
      <c r="J559" s="9">
        <v>0</v>
      </c>
      <c r="K559" s="8">
        <v>0</v>
      </c>
      <c r="L559" s="9">
        <f t="shared" si="87"/>
        <v>0</v>
      </c>
      <c r="M559" s="8" t="s">
        <v>2076</v>
      </c>
      <c r="N559" s="132"/>
      <c r="O559" s="143">
        <v>0</v>
      </c>
      <c r="P559" s="9">
        <v>0</v>
      </c>
      <c r="Q559" s="143">
        <v>0</v>
      </c>
      <c r="R559" s="9">
        <f t="shared" si="88"/>
        <v>0</v>
      </c>
      <c r="S559" s="8" t="s">
        <v>2050</v>
      </c>
      <c r="T559" s="132"/>
      <c r="U559" s="143">
        <v>0</v>
      </c>
      <c r="V559" s="143">
        <v>0</v>
      </c>
      <c r="W559" s="9">
        <f t="shared" si="89"/>
        <v>0</v>
      </c>
      <c r="X559" s="8" t="s">
        <v>2050</v>
      </c>
      <c r="Y559" s="178">
        <v>46155</v>
      </c>
      <c r="Z559" s="143">
        <v>93</v>
      </c>
      <c r="AA559" s="9">
        <v>3.9141414141414144</v>
      </c>
      <c r="AB559" s="143">
        <v>3</v>
      </c>
      <c r="AC559" s="9">
        <v>3.225806451612903</v>
      </c>
      <c r="AD559" s="8" t="s">
        <v>2049</v>
      </c>
      <c r="AE559" s="178"/>
      <c r="AF559" s="143"/>
      <c r="AG559" s="143"/>
      <c r="AH559" s="9">
        <v>0</v>
      </c>
      <c r="AI559" s="8" t="s">
        <v>2050</v>
      </c>
    </row>
    <row r="560" spans="1:35" x14ac:dyDescent="0.2">
      <c r="A560" s="8" t="s">
        <v>1970</v>
      </c>
      <c r="B560" s="8"/>
      <c r="C560" s="8" t="s">
        <v>107</v>
      </c>
      <c r="D560" s="8" t="s">
        <v>1926</v>
      </c>
      <c r="E560" s="9">
        <v>46.250000000000007</v>
      </c>
      <c r="F560" s="8" t="s">
        <v>1740</v>
      </c>
      <c r="G560" s="10">
        <v>4707</v>
      </c>
      <c r="H560" s="132"/>
      <c r="I560" s="8">
        <v>0</v>
      </c>
      <c r="J560" s="9">
        <v>0</v>
      </c>
      <c r="K560" s="8">
        <v>0</v>
      </c>
      <c r="L560" s="9">
        <f t="shared" si="87"/>
        <v>0</v>
      </c>
      <c r="M560" s="8" t="s">
        <v>2076</v>
      </c>
      <c r="N560" s="132"/>
      <c r="O560" s="143">
        <v>0</v>
      </c>
      <c r="P560" s="9">
        <v>0</v>
      </c>
      <c r="Q560" s="143">
        <v>0</v>
      </c>
      <c r="R560" s="9">
        <f t="shared" si="88"/>
        <v>0</v>
      </c>
      <c r="S560" s="8" t="s">
        <v>2050</v>
      </c>
      <c r="T560" s="132"/>
      <c r="U560" s="143">
        <v>0</v>
      </c>
      <c r="V560" s="143">
        <v>0</v>
      </c>
      <c r="W560" s="9">
        <f t="shared" si="89"/>
        <v>0</v>
      </c>
      <c r="X560" s="8" t="s">
        <v>2050</v>
      </c>
      <c r="Y560" s="178">
        <v>46155</v>
      </c>
      <c r="Z560" s="143">
        <v>86</v>
      </c>
      <c r="AA560" s="9">
        <v>1.8270660718079454</v>
      </c>
      <c r="AB560" s="143">
        <v>1</v>
      </c>
      <c r="AC560" s="9">
        <v>1.1627906976744187</v>
      </c>
      <c r="AD560" s="8" t="s">
        <v>2049</v>
      </c>
      <c r="AE560" s="178">
        <v>46154</v>
      </c>
      <c r="AF560" s="143">
        <v>677</v>
      </c>
      <c r="AG560" s="143">
        <v>0</v>
      </c>
      <c r="AH560" s="9">
        <v>0</v>
      </c>
      <c r="AI560" s="8" t="s">
        <v>2050</v>
      </c>
    </row>
    <row r="561" spans="1:35" x14ac:dyDescent="0.2">
      <c r="A561" s="8" t="s">
        <v>1970</v>
      </c>
      <c r="B561" s="8"/>
      <c r="C561" s="8" t="s">
        <v>107</v>
      </c>
      <c r="D561" s="8" t="s">
        <v>1247</v>
      </c>
      <c r="E561" s="9">
        <v>24.919999999999998</v>
      </c>
      <c r="F561" s="8" t="s">
        <v>1740</v>
      </c>
      <c r="G561" s="10">
        <v>2718</v>
      </c>
      <c r="H561" s="132"/>
      <c r="I561" s="8">
        <v>0</v>
      </c>
      <c r="J561" s="9">
        <v>0</v>
      </c>
      <c r="K561" s="8">
        <v>0</v>
      </c>
      <c r="L561" s="9">
        <f t="shared" si="87"/>
        <v>0</v>
      </c>
      <c r="M561" s="8" t="s">
        <v>2076</v>
      </c>
      <c r="N561" s="132"/>
      <c r="O561" s="143">
        <v>0</v>
      </c>
      <c r="P561" s="9">
        <v>0</v>
      </c>
      <c r="Q561" s="143">
        <v>0</v>
      </c>
      <c r="R561" s="9">
        <f t="shared" si="88"/>
        <v>0</v>
      </c>
      <c r="S561" s="8" t="s">
        <v>2050</v>
      </c>
      <c r="T561" s="132"/>
      <c r="U561" s="143">
        <v>0</v>
      </c>
      <c r="V561" s="143">
        <v>0</v>
      </c>
      <c r="W561" s="9">
        <f t="shared" si="89"/>
        <v>0</v>
      </c>
      <c r="X561" s="8" t="s">
        <v>2050</v>
      </c>
      <c r="Y561" s="178">
        <v>46155</v>
      </c>
      <c r="Z561" s="143">
        <v>166</v>
      </c>
      <c r="AA561" s="9">
        <v>6.1074319352465043</v>
      </c>
      <c r="AB561" s="143">
        <v>3</v>
      </c>
      <c r="AC561" s="9">
        <v>1.8072289156626504</v>
      </c>
      <c r="AD561" s="8" t="s">
        <v>2049</v>
      </c>
      <c r="AE561" s="178"/>
      <c r="AF561" s="143"/>
      <c r="AG561" s="143"/>
      <c r="AH561" s="9">
        <v>0</v>
      </c>
      <c r="AI561" s="8" t="s">
        <v>2050</v>
      </c>
    </row>
    <row r="562" spans="1:35" x14ac:dyDescent="0.2">
      <c r="A562" s="8" t="s">
        <v>1970</v>
      </c>
      <c r="B562" s="8"/>
      <c r="C562" s="8" t="s">
        <v>107</v>
      </c>
      <c r="D562" s="8" t="s">
        <v>1248</v>
      </c>
      <c r="E562" s="9">
        <v>29.77</v>
      </c>
      <c r="F562" s="8" t="s">
        <v>1740</v>
      </c>
      <c r="G562" s="10">
        <v>3324</v>
      </c>
      <c r="H562" s="132"/>
      <c r="I562" s="8">
        <v>0</v>
      </c>
      <c r="J562" s="9">
        <v>0</v>
      </c>
      <c r="K562" s="8">
        <v>0</v>
      </c>
      <c r="L562" s="9">
        <f t="shared" si="87"/>
        <v>0</v>
      </c>
      <c r="M562" s="8" t="s">
        <v>2076</v>
      </c>
      <c r="N562" s="132"/>
      <c r="O562" s="143">
        <v>0</v>
      </c>
      <c r="P562" s="9">
        <v>0</v>
      </c>
      <c r="Q562" s="143">
        <v>0</v>
      </c>
      <c r="R562" s="9">
        <f t="shared" si="88"/>
        <v>0</v>
      </c>
      <c r="S562" s="8" t="s">
        <v>2050</v>
      </c>
      <c r="T562" s="132"/>
      <c r="U562" s="143">
        <v>0</v>
      </c>
      <c r="V562" s="143">
        <v>0</v>
      </c>
      <c r="W562" s="9">
        <f t="shared" si="89"/>
        <v>0</v>
      </c>
      <c r="X562" s="8" t="s">
        <v>2050</v>
      </c>
      <c r="Y562" s="178">
        <v>46155</v>
      </c>
      <c r="Z562" s="143">
        <v>88</v>
      </c>
      <c r="AA562" s="9">
        <v>2.6474127557160045</v>
      </c>
      <c r="AB562" s="143">
        <v>1</v>
      </c>
      <c r="AC562" s="9">
        <v>1.1363636363636365</v>
      </c>
      <c r="AD562" s="8" t="s">
        <v>2049</v>
      </c>
      <c r="AE562" s="178"/>
      <c r="AF562" s="143"/>
      <c r="AG562" s="143"/>
      <c r="AH562" s="9">
        <v>0</v>
      </c>
      <c r="AI562" s="8" t="s">
        <v>2050</v>
      </c>
    </row>
    <row r="563" spans="1:35" x14ac:dyDescent="0.2">
      <c r="A563" s="8" t="s">
        <v>1970</v>
      </c>
      <c r="B563" s="8"/>
      <c r="C563" s="8" t="s">
        <v>107</v>
      </c>
      <c r="D563" s="8" t="s">
        <v>1468</v>
      </c>
      <c r="E563" s="9">
        <v>42.19</v>
      </c>
      <c r="F563" s="8" t="s">
        <v>1740</v>
      </c>
      <c r="G563" s="10">
        <v>3975</v>
      </c>
      <c r="H563" s="132"/>
      <c r="I563" s="8">
        <v>0</v>
      </c>
      <c r="J563" s="9">
        <v>0</v>
      </c>
      <c r="K563" s="8">
        <v>0</v>
      </c>
      <c r="L563" s="9">
        <f t="shared" si="87"/>
        <v>0</v>
      </c>
      <c r="M563" s="8" t="s">
        <v>2076</v>
      </c>
      <c r="N563" s="132"/>
      <c r="O563" s="143">
        <v>0</v>
      </c>
      <c r="P563" s="9">
        <v>0</v>
      </c>
      <c r="Q563" s="143">
        <v>0</v>
      </c>
      <c r="R563" s="9">
        <f t="shared" si="88"/>
        <v>0</v>
      </c>
      <c r="S563" s="8" t="s">
        <v>2050</v>
      </c>
      <c r="T563" s="132"/>
      <c r="U563" s="143">
        <v>0</v>
      </c>
      <c r="V563" s="143">
        <v>0</v>
      </c>
      <c r="W563" s="9">
        <f t="shared" si="89"/>
        <v>0</v>
      </c>
      <c r="X563" s="8" t="s">
        <v>2050</v>
      </c>
      <c r="Y563" s="178">
        <v>46155</v>
      </c>
      <c r="Z563" s="143">
        <v>87</v>
      </c>
      <c r="AA563" s="9">
        <v>2.1886792452830188</v>
      </c>
      <c r="AB563" s="143">
        <v>3</v>
      </c>
      <c r="AC563" s="9">
        <v>3.4482758620689653</v>
      </c>
      <c r="AD563" s="8" t="s">
        <v>2049</v>
      </c>
      <c r="AE563" s="178"/>
      <c r="AF563" s="143"/>
      <c r="AG563" s="143"/>
      <c r="AH563" s="9">
        <v>0</v>
      </c>
      <c r="AI563" s="8" t="s">
        <v>2050</v>
      </c>
    </row>
    <row r="564" spans="1:35" x14ac:dyDescent="0.2">
      <c r="A564" s="8" t="s">
        <v>1970</v>
      </c>
      <c r="B564" s="8"/>
      <c r="C564" s="8" t="s">
        <v>107</v>
      </c>
      <c r="D564" s="177" t="s">
        <v>2026</v>
      </c>
      <c r="E564" s="9">
        <v>40.64</v>
      </c>
      <c r="F564" s="8" t="s">
        <v>1740</v>
      </c>
      <c r="G564" s="10">
        <v>5609</v>
      </c>
      <c r="H564" s="132"/>
      <c r="I564" s="8">
        <v>0</v>
      </c>
      <c r="J564" s="9">
        <v>0</v>
      </c>
      <c r="K564" s="8">
        <v>0</v>
      </c>
      <c r="L564" s="9">
        <f t="shared" si="87"/>
        <v>0</v>
      </c>
      <c r="M564" s="8" t="s">
        <v>2076</v>
      </c>
      <c r="N564" s="132">
        <v>46150</v>
      </c>
      <c r="O564" s="143">
        <v>86</v>
      </c>
      <c r="P564" s="9">
        <v>1.5332501337136744</v>
      </c>
      <c r="Q564" s="143">
        <v>2</v>
      </c>
      <c r="R564" s="9">
        <f t="shared" si="88"/>
        <v>2.3255813953488373</v>
      </c>
      <c r="S564" s="8" t="s">
        <v>2049</v>
      </c>
      <c r="T564" s="132">
        <v>46150</v>
      </c>
      <c r="U564" s="143">
        <v>902</v>
      </c>
      <c r="V564" s="143">
        <v>31</v>
      </c>
      <c r="W564" s="9">
        <f t="shared" si="89"/>
        <v>3.4368070953436809</v>
      </c>
      <c r="X564" s="8" t="s">
        <v>2049</v>
      </c>
      <c r="Y564" s="178"/>
      <c r="Z564" s="143">
        <v>0</v>
      </c>
      <c r="AA564" s="9">
        <v>0</v>
      </c>
      <c r="AB564" s="143">
        <v>0</v>
      </c>
      <c r="AC564" s="9">
        <v>0</v>
      </c>
      <c r="AD564" s="8" t="s">
        <v>2050</v>
      </c>
      <c r="AE564" s="178">
        <v>46155</v>
      </c>
      <c r="AF564" s="143">
        <v>846</v>
      </c>
      <c r="AG564" s="143">
        <v>7</v>
      </c>
      <c r="AH564" s="9">
        <v>0.82742316784869974</v>
      </c>
      <c r="AI564" s="8" t="s">
        <v>2049</v>
      </c>
    </row>
    <row r="565" spans="1:35" x14ac:dyDescent="0.2">
      <c r="A565" s="8" t="s">
        <v>1970</v>
      </c>
      <c r="B565" s="8"/>
      <c r="C565" s="8" t="s">
        <v>107</v>
      </c>
      <c r="D565" s="8" t="s">
        <v>2027</v>
      </c>
      <c r="E565" s="9">
        <v>32.260000000000005</v>
      </c>
      <c r="F565" s="8" t="s">
        <v>1740</v>
      </c>
      <c r="G565" s="10">
        <v>3855</v>
      </c>
      <c r="H565" s="132"/>
      <c r="I565" s="8">
        <v>0</v>
      </c>
      <c r="J565" s="9">
        <v>0</v>
      </c>
      <c r="K565" s="8">
        <v>0</v>
      </c>
      <c r="L565" s="9">
        <f t="shared" si="87"/>
        <v>0</v>
      </c>
      <c r="M565" s="8" t="s">
        <v>2076</v>
      </c>
      <c r="N565" s="132"/>
      <c r="O565" s="143">
        <v>0</v>
      </c>
      <c r="P565" s="9">
        <v>0</v>
      </c>
      <c r="Q565" s="143">
        <v>0</v>
      </c>
      <c r="R565" s="9">
        <f t="shared" si="88"/>
        <v>0</v>
      </c>
      <c r="S565" s="8" t="s">
        <v>2050</v>
      </c>
      <c r="T565" s="132"/>
      <c r="U565" s="143">
        <v>0</v>
      </c>
      <c r="V565" s="143">
        <v>0</v>
      </c>
      <c r="W565" s="9">
        <f t="shared" si="89"/>
        <v>0</v>
      </c>
      <c r="X565" s="8" t="s">
        <v>2050</v>
      </c>
      <c r="Y565" s="178"/>
      <c r="Z565" s="143">
        <v>0</v>
      </c>
      <c r="AA565" s="9">
        <v>0</v>
      </c>
      <c r="AB565" s="143">
        <v>0</v>
      </c>
      <c r="AC565" s="9">
        <v>0</v>
      </c>
      <c r="AD565" s="8" t="s">
        <v>2050</v>
      </c>
      <c r="AE565" s="178"/>
      <c r="AF565" s="143"/>
      <c r="AG565" s="143"/>
      <c r="AH565" s="9">
        <v>0</v>
      </c>
      <c r="AI565" s="8" t="s">
        <v>2050</v>
      </c>
    </row>
    <row r="566" spans="1:35" x14ac:dyDescent="0.2">
      <c r="A566" s="8" t="s">
        <v>1970</v>
      </c>
      <c r="B566" s="8"/>
      <c r="C566" s="8" t="s">
        <v>107</v>
      </c>
      <c r="D566" s="177" t="s">
        <v>2028</v>
      </c>
      <c r="E566" s="9">
        <v>33.6</v>
      </c>
      <c r="F566" s="8" t="s">
        <v>1740</v>
      </c>
      <c r="G566" s="10">
        <v>3952</v>
      </c>
      <c r="H566" s="132">
        <v>46157</v>
      </c>
      <c r="I566" s="8">
        <v>587</v>
      </c>
      <c r="J566" s="9">
        <v>14.853238866396762</v>
      </c>
      <c r="K566" s="8">
        <v>19</v>
      </c>
      <c r="L566" s="9">
        <f t="shared" si="87"/>
        <v>3.2367972742759794</v>
      </c>
      <c r="M566" s="8" t="s">
        <v>2075</v>
      </c>
      <c r="N566" s="132">
        <v>46149</v>
      </c>
      <c r="O566" s="143">
        <v>187</v>
      </c>
      <c r="P566" s="9">
        <v>4.7317813765182191</v>
      </c>
      <c r="Q566" s="143">
        <v>10</v>
      </c>
      <c r="R566" s="9">
        <f t="shared" si="88"/>
        <v>5.3475935828877006</v>
      </c>
      <c r="S566" s="8" t="s">
        <v>2040</v>
      </c>
      <c r="T566" s="132">
        <v>46150</v>
      </c>
      <c r="U566" s="143">
        <v>500</v>
      </c>
      <c r="V566" s="143">
        <v>62</v>
      </c>
      <c r="W566" s="9">
        <f t="shared" si="89"/>
        <v>12.4</v>
      </c>
      <c r="X566" s="8" t="s">
        <v>2040</v>
      </c>
      <c r="Y566" s="178">
        <v>46155</v>
      </c>
      <c r="Z566" s="143">
        <v>400</v>
      </c>
      <c r="AA566" s="9">
        <v>10.121457489878543</v>
      </c>
      <c r="AB566" s="143">
        <v>9</v>
      </c>
      <c r="AC566" s="9">
        <v>2.25</v>
      </c>
      <c r="AD566" s="8" t="s">
        <v>2049</v>
      </c>
      <c r="AE566" s="178"/>
      <c r="AF566" s="143"/>
      <c r="AG566" s="143"/>
      <c r="AH566" s="9">
        <v>0</v>
      </c>
      <c r="AI566" s="8" t="s">
        <v>2050</v>
      </c>
    </row>
    <row r="567" spans="1:35" x14ac:dyDescent="0.2">
      <c r="A567" s="8" t="s">
        <v>1970</v>
      </c>
      <c r="B567" s="8"/>
      <c r="C567" s="8" t="s">
        <v>107</v>
      </c>
      <c r="D567" s="177" t="s">
        <v>2029</v>
      </c>
      <c r="E567" s="9">
        <v>34.24</v>
      </c>
      <c r="F567" s="8" t="s">
        <v>1740</v>
      </c>
      <c r="G567" s="10">
        <v>3736</v>
      </c>
      <c r="H567" s="132">
        <v>46151</v>
      </c>
      <c r="I567" s="8">
        <v>262</v>
      </c>
      <c r="J567" s="9">
        <v>7.0128479657387581</v>
      </c>
      <c r="K567" s="8">
        <v>8</v>
      </c>
      <c r="L567" s="9">
        <f t="shared" si="87"/>
        <v>3.0534351145038165</v>
      </c>
      <c r="M567" s="8" t="s">
        <v>2075</v>
      </c>
      <c r="N567" s="132">
        <v>46150</v>
      </c>
      <c r="O567" s="143">
        <v>262</v>
      </c>
      <c r="P567" s="9">
        <v>7.0128479657387581</v>
      </c>
      <c r="Q567" s="143">
        <v>8</v>
      </c>
      <c r="R567" s="9">
        <f t="shared" si="88"/>
        <v>3.0534351145038165</v>
      </c>
      <c r="S567" s="8" t="s">
        <v>2049</v>
      </c>
      <c r="T567" s="132">
        <v>46149</v>
      </c>
      <c r="U567" s="143">
        <v>804</v>
      </c>
      <c r="V567" s="143">
        <v>0</v>
      </c>
      <c r="W567" s="9">
        <f t="shared" si="89"/>
        <v>0</v>
      </c>
      <c r="X567" s="8" t="s">
        <v>2050</v>
      </c>
      <c r="Y567" s="178"/>
      <c r="Z567" s="143">
        <v>0</v>
      </c>
      <c r="AA567" s="9">
        <v>0</v>
      </c>
      <c r="AB567" s="143">
        <v>0</v>
      </c>
      <c r="AC567" s="9">
        <v>0</v>
      </c>
      <c r="AD567" s="8" t="s">
        <v>2050</v>
      </c>
      <c r="AE567" s="178"/>
      <c r="AF567" s="143"/>
      <c r="AG567" s="143"/>
      <c r="AH567" s="9">
        <v>0</v>
      </c>
      <c r="AI567" s="8" t="s">
        <v>2050</v>
      </c>
    </row>
    <row r="568" spans="1:35" x14ac:dyDescent="0.2">
      <c r="A568" s="8" t="s">
        <v>1970</v>
      </c>
      <c r="B568" s="8"/>
      <c r="C568" s="8" t="s">
        <v>107</v>
      </c>
      <c r="D568" s="177" t="s">
        <v>2030</v>
      </c>
      <c r="E568" s="9">
        <v>28.169999999999998</v>
      </c>
      <c r="F568" s="8" t="s">
        <v>1740</v>
      </c>
      <c r="G568" s="10">
        <v>2688</v>
      </c>
      <c r="H568" s="132"/>
      <c r="I568" s="8">
        <v>0</v>
      </c>
      <c r="J568" s="9">
        <v>0</v>
      </c>
      <c r="K568" s="8">
        <v>0</v>
      </c>
      <c r="L568" s="9">
        <f t="shared" si="87"/>
        <v>0</v>
      </c>
      <c r="M568" s="8" t="s">
        <v>2076</v>
      </c>
      <c r="N568" s="132">
        <v>46149</v>
      </c>
      <c r="O568" s="143">
        <v>80</v>
      </c>
      <c r="P568" s="9">
        <v>2.9761904761904758</v>
      </c>
      <c r="Q568" s="143">
        <v>1</v>
      </c>
      <c r="R568" s="9">
        <f t="shared" si="88"/>
        <v>1.25</v>
      </c>
      <c r="S568" s="8" t="s">
        <v>2049</v>
      </c>
      <c r="T568" s="132"/>
      <c r="U568" s="143">
        <v>0</v>
      </c>
      <c r="V568" s="143">
        <v>0</v>
      </c>
      <c r="W568" s="9">
        <f t="shared" si="89"/>
        <v>0</v>
      </c>
      <c r="X568" s="8" t="s">
        <v>2050</v>
      </c>
      <c r="Y568" s="178">
        <v>46155</v>
      </c>
      <c r="Z568" s="143">
        <v>91</v>
      </c>
      <c r="AA568" s="9">
        <v>3.3854166666666665</v>
      </c>
      <c r="AB568" s="143">
        <v>4</v>
      </c>
      <c r="AC568" s="9">
        <v>4.395604395604396</v>
      </c>
      <c r="AD568" s="8" t="s">
        <v>2049</v>
      </c>
      <c r="AE568" s="178"/>
      <c r="AF568" s="143"/>
      <c r="AG568" s="143"/>
      <c r="AH568" s="9">
        <v>0</v>
      </c>
      <c r="AI568" s="8" t="s">
        <v>2050</v>
      </c>
    </row>
    <row r="569" spans="1:35" x14ac:dyDescent="0.2">
      <c r="A569" s="8" t="s">
        <v>1970</v>
      </c>
      <c r="B569" s="8"/>
      <c r="C569" s="8" t="s">
        <v>107</v>
      </c>
      <c r="D569" s="8" t="s">
        <v>2031</v>
      </c>
      <c r="E569" s="9">
        <v>35.589999999999996</v>
      </c>
      <c r="F569" s="8" t="s">
        <v>1740</v>
      </c>
      <c r="G569" s="10">
        <v>3928</v>
      </c>
      <c r="H569" s="132"/>
      <c r="I569" s="8">
        <v>0</v>
      </c>
      <c r="J569" s="9">
        <v>0</v>
      </c>
      <c r="K569" s="8">
        <v>0</v>
      </c>
      <c r="L569" s="9">
        <f t="shared" si="87"/>
        <v>0</v>
      </c>
      <c r="M569" s="8" t="s">
        <v>2076</v>
      </c>
      <c r="N569" s="132"/>
      <c r="O569" s="143">
        <v>0</v>
      </c>
      <c r="P569" s="9">
        <v>0</v>
      </c>
      <c r="Q569" s="143">
        <v>0</v>
      </c>
      <c r="R569" s="9">
        <f t="shared" si="88"/>
        <v>0</v>
      </c>
      <c r="S569" s="8" t="s">
        <v>2050</v>
      </c>
      <c r="T569" s="132"/>
      <c r="U569" s="143">
        <v>0</v>
      </c>
      <c r="V569" s="143">
        <v>0</v>
      </c>
      <c r="W569" s="9">
        <f t="shared" si="89"/>
        <v>0</v>
      </c>
      <c r="X569" s="8" t="s">
        <v>2050</v>
      </c>
      <c r="Y569" s="178"/>
      <c r="Z569" s="143">
        <v>0</v>
      </c>
      <c r="AA569" s="9">
        <v>0</v>
      </c>
      <c r="AB569" s="143">
        <v>0</v>
      </c>
      <c r="AC569" s="9">
        <v>0</v>
      </c>
      <c r="AD569" s="8" t="s">
        <v>2050</v>
      </c>
      <c r="AE569" s="178"/>
      <c r="AF569" s="143"/>
      <c r="AG569" s="143"/>
      <c r="AH569" s="9">
        <v>0</v>
      </c>
      <c r="AI569" s="8" t="s">
        <v>2050</v>
      </c>
    </row>
    <row r="570" spans="1:35" x14ac:dyDescent="0.2">
      <c r="A570" s="8" t="s">
        <v>1970</v>
      </c>
      <c r="B570" s="8"/>
      <c r="C570" s="8" t="s">
        <v>107</v>
      </c>
      <c r="D570" s="8" t="s">
        <v>2032</v>
      </c>
      <c r="E570" s="9">
        <v>26.130000000000003</v>
      </c>
      <c r="F570" s="8" t="s">
        <v>1740</v>
      </c>
      <c r="G570" s="10">
        <v>3101</v>
      </c>
      <c r="H570" s="132"/>
      <c r="I570" s="8">
        <v>0</v>
      </c>
      <c r="J570" s="9">
        <v>0</v>
      </c>
      <c r="K570" s="8">
        <v>0</v>
      </c>
      <c r="L570" s="9">
        <f t="shared" si="87"/>
        <v>0</v>
      </c>
      <c r="M570" s="8" t="s">
        <v>2076</v>
      </c>
      <c r="N570" s="132"/>
      <c r="O570" s="143">
        <v>0</v>
      </c>
      <c r="P570" s="9">
        <v>0</v>
      </c>
      <c r="Q570" s="143">
        <v>0</v>
      </c>
      <c r="R570" s="9">
        <f t="shared" si="88"/>
        <v>0</v>
      </c>
      <c r="S570" s="8" t="s">
        <v>2050</v>
      </c>
      <c r="T570" s="132"/>
      <c r="U570" s="143">
        <v>0</v>
      </c>
      <c r="V570" s="143">
        <v>0</v>
      </c>
      <c r="W570" s="9">
        <f t="shared" si="89"/>
        <v>0</v>
      </c>
      <c r="X570" s="8" t="s">
        <v>2050</v>
      </c>
      <c r="Y570" s="178"/>
      <c r="Z570" s="143">
        <v>0</v>
      </c>
      <c r="AA570" s="9">
        <v>0</v>
      </c>
      <c r="AB570" s="143">
        <v>0</v>
      </c>
      <c r="AC570" s="9">
        <v>0</v>
      </c>
      <c r="AD570" s="8" t="s">
        <v>2050</v>
      </c>
      <c r="AE570" s="178"/>
      <c r="AF570" s="143"/>
      <c r="AG570" s="143"/>
      <c r="AH570" s="9">
        <v>0</v>
      </c>
      <c r="AI570" s="8" t="s">
        <v>2050</v>
      </c>
    </row>
    <row r="571" spans="1:35" x14ac:dyDescent="0.2">
      <c r="A571" s="8" t="s">
        <v>1970</v>
      </c>
      <c r="B571" s="8"/>
      <c r="C571" s="8" t="s">
        <v>107</v>
      </c>
      <c r="D571" s="8" t="s">
        <v>2033</v>
      </c>
      <c r="E571" s="9">
        <v>30.040000000000003</v>
      </c>
      <c r="F571" s="8" t="s">
        <v>1740</v>
      </c>
      <c r="G571" s="10">
        <v>3455</v>
      </c>
      <c r="H571" s="132"/>
      <c r="I571" s="8">
        <v>0</v>
      </c>
      <c r="J571" s="9">
        <v>0</v>
      </c>
      <c r="K571" s="8">
        <v>0</v>
      </c>
      <c r="L571" s="9">
        <f t="shared" si="87"/>
        <v>0</v>
      </c>
      <c r="M571" s="8" t="s">
        <v>2076</v>
      </c>
      <c r="N571" s="132"/>
      <c r="O571" s="143">
        <v>0</v>
      </c>
      <c r="P571" s="9">
        <v>0</v>
      </c>
      <c r="Q571" s="143">
        <v>0</v>
      </c>
      <c r="R571" s="9">
        <f t="shared" si="88"/>
        <v>0</v>
      </c>
      <c r="S571" s="8" t="s">
        <v>2050</v>
      </c>
      <c r="T571" s="132"/>
      <c r="U571" s="143">
        <v>0</v>
      </c>
      <c r="V571" s="143">
        <v>0</v>
      </c>
      <c r="W571" s="9">
        <f t="shared" si="89"/>
        <v>0</v>
      </c>
      <c r="X571" s="8" t="s">
        <v>2050</v>
      </c>
      <c r="Y571" s="178"/>
      <c r="Z571" s="143">
        <v>0</v>
      </c>
      <c r="AA571" s="9">
        <v>0</v>
      </c>
      <c r="AB571" s="143">
        <v>0</v>
      </c>
      <c r="AC571" s="9">
        <v>0</v>
      </c>
      <c r="AD571" s="8" t="s">
        <v>2050</v>
      </c>
      <c r="AE571" s="178"/>
      <c r="AF571" s="143"/>
      <c r="AG571" s="143"/>
      <c r="AH571" s="9">
        <v>0</v>
      </c>
      <c r="AI571" s="8" t="s">
        <v>2050</v>
      </c>
    </row>
    <row r="572" spans="1:35" x14ac:dyDescent="0.2">
      <c r="A572" s="8" t="s">
        <v>1970</v>
      </c>
      <c r="B572" s="8"/>
      <c r="C572" s="8" t="s">
        <v>107</v>
      </c>
      <c r="D572" s="177" t="s">
        <v>2034</v>
      </c>
      <c r="E572" s="9">
        <v>31.84</v>
      </c>
      <c r="F572" s="8" t="s">
        <v>1740</v>
      </c>
      <c r="G572" s="10">
        <v>3760</v>
      </c>
      <c r="H572" s="132">
        <v>46150</v>
      </c>
      <c r="I572" s="8">
        <v>271</v>
      </c>
      <c r="J572" s="9">
        <v>7.207446808510638</v>
      </c>
      <c r="K572" s="8">
        <v>7</v>
      </c>
      <c r="L572" s="9">
        <f t="shared" si="87"/>
        <v>2.5830258302583027</v>
      </c>
      <c r="M572" s="8" t="s">
        <v>2075</v>
      </c>
      <c r="N572" s="132">
        <v>46150</v>
      </c>
      <c r="O572" s="143">
        <v>271</v>
      </c>
      <c r="P572" s="9">
        <v>7.207446808510638</v>
      </c>
      <c r="Q572" s="143">
        <v>7</v>
      </c>
      <c r="R572" s="9">
        <f t="shared" si="88"/>
        <v>2.5830258302583027</v>
      </c>
      <c r="S572" s="8" t="s">
        <v>2049</v>
      </c>
      <c r="T572" s="132">
        <v>46150</v>
      </c>
      <c r="U572" s="143">
        <v>1333</v>
      </c>
      <c r="V572" s="143">
        <v>77</v>
      </c>
      <c r="W572" s="9">
        <f t="shared" si="89"/>
        <v>5.7764441110277573</v>
      </c>
      <c r="X572" s="8" t="s">
        <v>2040</v>
      </c>
      <c r="Y572" s="178"/>
      <c r="Z572" s="143">
        <v>0</v>
      </c>
      <c r="AA572" s="9">
        <v>0</v>
      </c>
      <c r="AB572" s="143">
        <v>0</v>
      </c>
      <c r="AC572" s="9">
        <v>0</v>
      </c>
      <c r="AD572" s="8" t="s">
        <v>2050</v>
      </c>
      <c r="AE572" s="178"/>
      <c r="AF572" s="143"/>
      <c r="AG572" s="143"/>
      <c r="AH572" s="9">
        <v>0</v>
      </c>
      <c r="AI572" s="8" t="s">
        <v>2050</v>
      </c>
    </row>
    <row r="573" spans="1:35" x14ac:dyDescent="0.2">
      <c r="A573" s="8" t="s">
        <v>1970</v>
      </c>
      <c r="B573" s="8"/>
      <c r="C573" s="8" t="s">
        <v>107</v>
      </c>
      <c r="D573" s="177" t="s">
        <v>2035</v>
      </c>
      <c r="E573" s="9">
        <v>25.489999999999995</v>
      </c>
      <c r="F573" s="8" t="s">
        <v>1740</v>
      </c>
      <c r="G573" s="10">
        <v>2481</v>
      </c>
      <c r="H573" s="132"/>
      <c r="I573" s="8">
        <v>0</v>
      </c>
      <c r="J573" s="9">
        <v>0</v>
      </c>
      <c r="K573" s="8">
        <v>0</v>
      </c>
      <c r="L573" s="9">
        <f t="shared" si="87"/>
        <v>0</v>
      </c>
      <c r="M573" s="8" t="s">
        <v>2076</v>
      </c>
      <c r="N573" s="132">
        <v>46149</v>
      </c>
      <c r="O573" s="143">
        <v>86</v>
      </c>
      <c r="P573" s="9">
        <v>3.4663442160419189</v>
      </c>
      <c r="Q573" s="143">
        <v>1</v>
      </c>
      <c r="R573" s="9">
        <f t="shared" si="88"/>
        <v>1.1627906976744187</v>
      </c>
      <c r="S573" s="8" t="s">
        <v>2049</v>
      </c>
      <c r="T573" s="132">
        <v>46149</v>
      </c>
      <c r="U573" s="143">
        <v>1106</v>
      </c>
      <c r="V573" s="143">
        <v>11</v>
      </c>
      <c r="W573" s="9">
        <f t="shared" si="89"/>
        <v>0.99457504520795659</v>
      </c>
      <c r="X573" s="8" t="s">
        <v>2049</v>
      </c>
      <c r="Y573" s="178">
        <v>46155</v>
      </c>
      <c r="Z573" s="143">
        <v>86</v>
      </c>
      <c r="AA573" s="9">
        <v>3.4663442160419189</v>
      </c>
      <c r="AB573" s="143">
        <v>2</v>
      </c>
      <c r="AC573" s="9">
        <v>2.3255813953488373</v>
      </c>
      <c r="AD573" s="8" t="s">
        <v>2049</v>
      </c>
      <c r="AE573" s="178">
        <v>46155</v>
      </c>
      <c r="AF573" s="143">
        <v>366</v>
      </c>
      <c r="AG573" s="143">
        <v>5</v>
      </c>
      <c r="AH573" s="9">
        <v>1.3661202185792349</v>
      </c>
      <c r="AI573" s="8" t="s">
        <v>2049</v>
      </c>
    </row>
    <row r="574" spans="1:35" x14ac:dyDescent="0.2">
      <c r="A574" s="8" t="s">
        <v>1970</v>
      </c>
      <c r="B574" s="8"/>
      <c r="C574" s="8" t="s">
        <v>107</v>
      </c>
      <c r="D574" s="177" t="s">
        <v>2036</v>
      </c>
      <c r="E574" s="9">
        <v>32.97</v>
      </c>
      <c r="F574" s="8" t="s">
        <v>1740</v>
      </c>
      <c r="G574" s="10">
        <v>3515</v>
      </c>
      <c r="H574" s="132"/>
      <c r="I574" s="8">
        <v>0</v>
      </c>
      <c r="J574" s="9">
        <v>0</v>
      </c>
      <c r="K574" s="8">
        <v>0</v>
      </c>
      <c r="L574" s="9">
        <f t="shared" si="87"/>
        <v>0</v>
      </c>
      <c r="M574" s="8" t="s">
        <v>2076</v>
      </c>
      <c r="N574" s="132">
        <v>46150</v>
      </c>
      <c r="O574" s="143">
        <v>84</v>
      </c>
      <c r="P574" s="9">
        <v>2.3897581792318636</v>
      </c>
      <c r="Q574" s="143">
        <v>4</v>
      </c>
      <c r="R574" s="9">
        <f t="shared" si="88"/>
        <v>4.7619047619047619</v>
      </c>
      <c r="S574" s="8" t="s">
        <v>2049</v>
      </c>
      <c r="T574" s="132"/>
      <c r="U574" s="143">
        <v>0</v>
      </c>
      <c r="V574" s="143">
        <v>0</v>
      </c>
      <c r="W574" s="9">
        <f t="shared" si="89"/>
        <v>0</v>
      </c>
      <c r="X574" s="8" t="s">
        <v>2050</v>
      </c>
      <c r="Y574" s="178">
        <v>46155</v>
      </c>
      <c r="Z574" s="143">
        <v>102</v>
      </c>
      <c r="AA574" s="9">
        <v>2.9018492176386914</v>
      </c>
      <c r="AB574" s="143">
        <v>7</v>
      </c>
      <c r="AC574" s="9">
        <v>6.8627450980392162</v>
      </c>
      <c r="AD574" s="8" t="s">
        <v>2040</v>
      </c>
      <c r="AE574" s="178"/>
      <c r="AF574" s="143"/>
      <c r="AG574" s="143"/>
      <c r="AH574" s="9">
        <v>0</v>
      </c>
      <c r="AI574" s="8" t="s">
        <v>2050</v>
      </c>
    </row>
    <row r="575" spans="1:35" x14ac:dyDescent="0.2">
      <c r="A575" s="8" t="s">
        <v>1970</v>
      </c>
      <c r="B575" s="8"/>
      <c r="C575" s="8" t="s">
        <v>107</v>
      </c>
      <c r="D575" s="177" t="s">
        <v>2037</v>
      </c>
      <c r="E575" s="9">
        <v>33.019999999999996</v>
      </c>
      <c r="F575" s="8" t="s">
        <v>1740</v>
      </c>
      <c r="G575" s="10">
        <v>3279</v>
      </c>
      <c r="H575" s="132"/>
      <c r="I575" s="8">
        <v>0</v>
      </c>
      <c r="J575" s="9">
        <v>0</v>
      </c>
      <c r="K575" s="8">
        <v>0</v>
      </c>
      <c r="L575" s="9">
        <f t="shared" si="87"/>
        <v>0</v>
      </c>
      <c r="M575" s="8" t="s">
        <v>2076</v>
      </c>
      <c r="N575" s="132"/>
      <c r="O575" s="143">
        <v>0</v>
      </c>
      <c r="P575" s="9">
        <v>0</v>
      </c>
      <c r="Q575" s="143">
        <v>0</v>
      </c>
      <c r="R575" s="9">
        <f t="shared" si="88"/>
        <v>0</v>
      </c>
      <c r="S575" s="8" t="s">
        <v>2050</v>
      </c>
      <c r="T575" s="132">
        <v>46150</v>
      </c>
      <c r="U575" s="143">
        <v>958</v>
      </c>
      <c r="V575" s="143">
        <v>26</v>
      </c>
      <c r="W575" s="9">
        <f t="shared" si="89"/>
        <v>2.7139874739039667</v>
      </c>
      <c r="X575" s="8" t="s">
        <v>2049</v>
      </c>
      <c r="Y575" s="178">
        <v>46155</v>
      </c>
      <c r="Z575" s="143">
        <v>90</v>
      </c>
      <c r="AA575" s="9">
        <v>2.7447392497712717</v>
      </c>
      <c r="AB575" s="143">
        <v>6</v>
      </c>
      <c r="AC575" s="9">
        <v>6.666666666666667</v>
      </c>
      <c r="AD575" s="8" t="s">
        <v>2040</v>
      </c>
      <c r="AE575" s="178">
        <v>46155</v>
      </c>
      <c r="AF575" s="143">
        <v>277</v>
      </c>
      <c r="AG575" s="143">
        <v>0</v>
      </c>
      <c r="AH575" s="9">
        <v>0</v>
      </c>
      <c r="AI575" s="8" t="s">
        <v>2050</v>
      </c>
    </row>
    <row r="576" spans="1:35" x14ac:dyDescent="0.2">
      <c r="A576" s="8" t="s">
        <v>1970</v>
      </c>
      <c r="B576" s="8"/>
      <c r="C576" s="8" t="s">
        <v>107</v>
      </c>
      <c r="D576" s="8" t="s">
        <v>2038</v>
      </c>
      <c r="E576" s="9">
        <v>31.650000000000006</v>
      </c>
      <c r="F576" s="8" t="s">
        <v>1740</v>
      </c>
      <c r="G576" s="10">
        <v>2915</v>
      </c>
      <c r="H576" s="132"/>
      <c r="I576" s="8">
        <v>0</v>
      </c>
      <c r="J576" s="9">
        <v>0</v>
      </c>
      <c r="K576" s="8">
        <v>0</v>
      </c>
      <c r="L576" s="9">
        <f t="shared" si="87"/>
        <v>0</v>
      </c>
      <c r="M576" s="8" t="s">
        <v>2076</v>
      </c>
      <c r="N576" s="132"/>
      <c r="O576" s="143">
        <v>0</v>
      </c>
      <c r="P576" s="9">
        <v>0</v>
      </c>
      <c r="Q576" s="143">
        <v>0</v>
      </c>
      <c r="R576" s="9">
        <f t="shared" si="88"/>
        <v>0</v>
      </c>
      <c r="S576" s="8" t="s">
        <v>2050</v>
      </c>
      <c r="T576" s="132"/>
      <c r="U576" s="143">
        <v>0</v>
      </c>
      <c r="V576" s="143">
        <v>0</v>
      </c>
      <c r="W576" s="9">
        <f t="shared" si="89"/>
        <v>0</v>
      </c>
      <c r="X576" s="8" t="s">
        <v>2050</v>
      </c>
      <c r="Y576" s="178"/>
      <c r="Z576" s="143">
        <v>0</v>
      </c>
      <c r="AA576" s="9">
        <v>0</v>
      </c>
      <c r="AB576" s="143">
        <v>0</v>
      </c>
      <c r="AC576" s="9">
        <v>0</v>
      </c>
      <c r="AD576" s="8" t="s">
        <v>2050</v>
      </c>
      <c r="AE576" s="178"/>
      <c r="AF576" s="143"/>
      <c r="AG576" s="143"/>
      <c r="AH576" s="9">
        <v>0</v>
      </c>
      <c r="AI576" s="8" t="s">
        <v>2050</v>
      </c>
    </row>
    <row r="577" spans="1:35" x14ac:dyDescent="0.2">
      <c r="A577" s="8" t="s">
        <v>1970</v>
      </c>
      <c r="B577" s="8"/>
      <c r="C577" s="8" t="s">
        <v>107</v>
      </c>
      <c r="D577" s="8" t="s">
        <v>2039</v>
      </c>
      <c r="E577" s="9">
        <v>28.519999999999992</v>
      </c>
      <c r="F577" s="8" t="s">
        <v>1740</v>
      </c>
      <c r="G577" s="10">
        <v>3445</v>
      </c>
      <c r="H577" s="132"/>
      <c r="I577" s="8">
        <v>0</v>
      </c>
      <c r="J577" s="9">
        <v>0</v>
      </c>
      <c r="K577" s="8">
        <v>0</v>
      </c>
      <c r="L577" s="9">
        <f t="shared" si="87"/>
        <v>0</v>
      </c>
      <c r="M577" s="8" t="s">
        <v>2076</v>
      </c>
      <c r="N577" s="132"/>
      <c r="O577" s="143">
        <v>0</v>
      </c>
      <c r="P577" s="9">
        <v>0</v>
      </c>
      <c r="Q577" s="143">
        <v>0</v>
      </c>
      <c r="R577" s="9">
        <f t="shared" si="88"/>
        <v>0</v>
      </c>
      <c r="S577" s="8" t="s">
        <v>2050</v>
      </c>
      <c r="T577" s="132"/>
      <c r="U577" s="143">
        <v>0</v>
      </c>
      <c r="V577" s="143">
        <v>0</v>
      </c>
      <c r="W577" s="9">
        <f t="shared" si="89"/>
        <v>0</v>
      </c>
      <c r="X577" s="8" t="s">
        <v>2050</v>
      </c>
      <c r="Y577" s="178"/>
      <c r="Z577" s="143">
        <v>0</v>
      </c>
      <c r="AA577" s="9">
        <v>0</v>
      </c>
      <c r="AB577" s="143">
        <v>0</v>
      </c>
      <c r="AC577" s="9">
        <v>0</v>
      </c>
      <c r="AD577" s="8" t="s">
        <v>2050</v>
      </c>
      <c r="AE577" s="178"/>
      <c r="AF577" s="143"/>
      <c r="AG577" s="143"/>
      <c r="AH577" s="9">
        <v>0</v>
      </c>
      <c r="AI577" s="8" t="s">
        <v>2050</v>
      </c>
    </row>
    <row r="579" spans="1:35" ht="45" x14ac:dyDescent="0.2">
      <c r="B579" s="176" t="s">
        <v>619</v>
      </c>
      <c r="C579" s="176" t="s">
        <v>625</v>
      </c>
      <c r="D579" s="176" t="s">
        <v>2081</v>
      </c>
      <c r="E579" s="176" t="s">
        <v>2082</v>
      </c>
      <c r="F579" s="176" t="s">
        <v>2083</v>
      </c>
      <c r="I579" s="175">
        <f>SUBTOTAL(9,I5:I577)</f>
        <v>147879.5</v>
      </c>
      <c r="K579" s="175">
        <f>SUBTOTAL(9,K5:K577)</f>
        <v>21357</v>
      </c>
      <c r="L579" s="9">
        <f>IFERROR(K579/I579*100,0)</f>
        <v>14.442164059250945</v>
      </c>
      <c r="O579" s="175" t="e">
        <f>SUBTOTAL(9,O5:O577)</f>
        <v>#REF!</v>
      </c>
      <c r="Q579" s="175" t="e">
        <f>SUBTOTAL(9,Q5:Q577)</f>
        <v>#REF!</v>
      </c>
      <c r="R579" s="9">
        <f t="shared" ref="R579" si="90">IFERROR(Q579/O579*100,0)</f>
        <v>0</v>
      </c>
      <c r="U579" s="175" t="e">
        <f>SUBTOTAL(9,U5:U577)</f>
        <v>#REF!</v>
      </c>
      <c r="V579" s="175" t="e">
        <f>SUBTOTAL(9,V5:V577)</f>
        <v>#REF!</v>
      </c>
      <c r="W579" s="9">
        <f>IFERROR(V579/U579*100,0)</f>
        <v>0</v>
      </c>
    </row>
    <row r="580" spans="1:35" x14ac:dyDescent="0.2">
      <c r="B580" s="8" t="s">
        <v>2077</v>
      </c>
      <c r="C580" s="8">
        <v>71</v>
      </c>
      <c r="D580" s="9">
        <v>14.518808090314225</v>
      </c>
      <c r="E580" s="9">
        <v>27.352150537634408</v>
      </c>
      <c r="F580" s="9">
        <v>19.859481276627548</v>
      </c>
    </row>
    <row r="581" spans="1:35" x14ac:dyDescent="0.2">
      <c r="B581" s="8" t="s">
        <v>2078</v>
      </c>
      <c r="C581" s="8">
        <v>74</v>
      </c>
      <c r="D581" s="9">
        <v>17.087632835361159</v>
      </c>
      <c r="E581" s="9">
        <v>19.727614594979165</v>
      </c>
      <c r="F581" s="9">
        <v>23.644922398172223</v>
      </c>
    </row>
    <row r="582" spans="1:35" x14ac:dyDescent="0.2">
      <c r="B582" s="8" t="s">
        <v>1927</v>
      </c>
      <c r="C582" s="8">
        <v>11</v>
      </c>
      <c r="D582" s="9">
        <v>12.476053639846743</v>
      </c>
      <c r="E582" s="9">
        <v>13.430656934306571</v>
      </c>
      <c r="F582" s="9">
        <v>2.8675282714054928</v>
      </c>
    </row>
    <row r="583" spans="1:35" x14ac:dyDescent="0.2">
      <c r="B583" s="8" t="s">
        <v>2079</v>
      </c>
      <c r="C583" s="8">
        <v>7</v>
      </c>
      <c r="D583" s="9">
        <v>6.1990212071778146</v>
      </c>
      <c r="E583" s="9">
        <v>7.3517126148705092</v>
      </c>
      <c r="F583" s="9">
        <v>4.6687263989014758</v>
      </c>
    </row>
    <row r="584" spans="1:35" x14ac:dyDescent="0.2">
      <c r="B584" s="173" t="s">
        <v>2080</v>
      </c>
      <c r="C584" s="173">
        <f>SUM(C580:C583)</f>
        <v>163</v>
      </c>
      <c r="D584" s="17">
        <v>15.081623973566263</v>
      </c>
      <c r="E584" s="17">
        <v>20.648748841519925</v>
      </c>
      <c r="F584" s="17">
        <v>19.166845378511688</v>
      </c>
    </row>
    <row r="609" spans="4:21" ht="50.5" customHeight="1" x14ac:dyDescent="0.2"/>
    <row r="610" spans="4:21" ht="32.5" customHeight="1" x14ac:dyDescent="0.2"/>
    <row r="611" spans="4:21" ht="32.5" customHeight="1" x14ac:dyDescent="0.2">
      <c r="U611" s="192"/>
    </row>
    <row r="612" spans="4:21" x14ac:dyDescent="0.2">
      <c r="D612">
        <f>F612/E612</f>
        <v>1.3546099290780142E-2</v>
      </c>
      <c r="E612">
        <v>141</v>
      </c>
      <c r="F612">
        <v>1.91</v>
      </c>
      <c r="U612" s="192"/>
    </row>
    <row r="613" spans="4:21" x14ac:dyDescent="0.2">
      <c r="D613">
        <f>102*D612</f>
        <v>1.3817021276595745</v>
      </c>
      <c r="U613" s="192"/>
    </row>
    <row r="617" spans="4:21" ht="60" customHeight="1" x14ac:dyDescent="0.2"/>
  </sheetData>
  <autoFilter ref="A4:X577" xr:uid="{AB65755D-E23C-408B-8A18-982BDF836DA9}"/>
  <mergeCells count="19">
    <mergeCell ref="N1:X1"/>
    <mergeCell ref="Y1:AI1"/>
    <mergeCell ref="Y2:AD2"/>
    <mergeCell ref="AE2:AI2"/>
    <mergeCell ref="M2:M3"/>
    <mergeCell ref="N2:S2"/>
    <mergeCell ref="T2:X2"/>
    <mergeCell ref="L2:L3"/>
    <mergeCell ref="F2:F3"/>
    <mergeCell ref="A2:A3"/>
    <mergeCell ref="B2:B3"/>
    <mergeCell ref="C2:C3"/>
    <mergeCell ref="D2:D3"/>
    <mergeCell ref="E2:E3"/>
    <mergeCell ref="G2:G3"/>
    <mergeCell ref="H2:H3"/>
    <mergeCell ref="I2:I3"/>
    <mergeCell ref="J2:J3"/>
    <mergeCell ref="K2:K3"/>
  </mergeCells>
  <conditionalFormatting sqref="D580:F584">
    <cfRule type="cellIs" dxfId="40" priority="13" operator="equal">
      <formula>"-"</formula>
    </cfRule>
    <cfRule type="cellIs" dxfId="39" priority="14" operator="greaterThan">
      <formula>5</formula>
    </cfRule>
    <cfRule type="cellIs" dxfId="38" priority="15" operator="between">
      <formula>2</formula>
      <formula>5</formula>
    </cfRule>
    <cfRule type="cellIs" dxfId="37" priority="16" operator="lessThan">
      <formula>2</formula>
    </cfRule>
  </conditionalFormatting>
  <conditionalFormatting sqref="L5:L577 R5:R577 W5:W577 L579 R579 W579">
    <cfRule type="cellIs" dxfId="36" priority="37" operator="equal">
      <formula>"-"</formula>
    </cfRule>
    <cfRule type="cellIs" dxfId="35" priority="38" operator="greaterThan">
      <formula>5</formula>
    </cfRule>
    <cfRule type="cellIs" dxfId="34" priority="39" operator="between">
      <formula>2</formula>
      <formula>5</formula>
    </cfRule>
    <cfRule type="cellIs" dxfId="33" priority="40" operator="lessThan">
      <formula>2</formula>
    </cfRule>
  </conditionalFormatting>
  <conditionalFormatting sqref="AC5:AC577 AH5:AH577">
    <cfRule type="cellIs" dxfId="32" priority="1" operator="equal">
      <formula>"-"</formula>
    </cfRule>
    <cfRule type="cellIs" dxfId="31" priority="2" operator="greaterThan">
      <formula>5</formula>
    </cfRule>
    <cfRule type="cellIs" dxfId="30" priority="3" operator="between">
      <formula>2</formula>
      <formula>5</formula>
    </cfRule>
    <cfRule type="cellIs" dxfId="29" priority="4" operator="lessThan">
      <formula>2</formula>
    </cfRule>
  </conditionalFormatting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06759-C15E-4F47-981A-F8C40CD27F8F}">
  <dimension ref="A2:AD200"/>
  <sheetViews>
    <sheetView showGridLines="0" zoomScale="70" zoomScaleNormal="70" workbookViewId="0">
      <selection activeCell="R199" sqref="R20:R199"/>
    </sheetView>
  </sheetViews>
  <sheetFormatPr baseColWidth="10" defaultColWidth="12.5" defaultRowHeight="16" outlineLevelRow="3" outlineLevelCol="1" x14ac:dyDescent="0.2"/>
  <cols>
    <col min="1" max="1" width="4.1640625" style="76" customWidth="1"/>
    <col min="2" max="2" width="12.5" style="76"/>
    <col min="3" max="3" width="12" style="76" customWidth="1"/>
    <col min="4" max="4" width="7" style="76" customWidth="1"/>
    <col min="5" max="5" width="10.83203125" style="76" customWidth="1"/>
    <col min="6" max="6" width="13.1640625" style="78" customWidth="1"/>
    <col min="7" max="7" width="7.1640625" style="79" hidden="1" customWidth="1"/>
    <col min="8" max="8" width="10" style="76" customWidth="1" outlineLevel="1"/>
    <col min="9" max="9" width="9.83203125" style="76" customWidth="1" outlineLevel="1"/>
    <col min="10" max="10" width="10.83203125" style="76" customWidth="1" outlineLevel="1"/>
    <col min="11" max="11" width="14.1640625" style="76" customWidth="1"/>
    <col min="12" max="12" width="10.1640625" style="76" customWidth="1" outlineLevel="1"/>
    <col min="13" max="13" width="11.33203125" style="76" customWidth="1" outlineLevel="1"/>
    <col min="14" max="14" width="11.1640625" style="76" customWidth="1" outlineLevel="1"/>
    <col min="15" max="15" width="12.83203125" style="76" customWidth="1"/>
    <col min="16" max="16" width="13" style="76" customWidth="1" outlineLevel="1"/>
    <col min="17" max="17" width="10.83203125" style="76" customWidth="1" outlineLevel="1" collapsed="1"/>
    <col min="18" max="18" width="9.5" style="76" customWidth="1" outlineLevel="1"/>
    <col min="19" max="19" width="9.6640625" style="76" customWidth="1" outlineLevel="1"/>
    <col min="20" max="20" width="13" style="76" customWidth="1"/>
    <col min="21" max="21" width="13" style="76" customWidth="1" outlineLevel="1"/>
    <col min="22" max="22" width="12.5" style="76"/>
    <col min="23" max="23" width="14.6640625" style="76" customWidth="1"/>
    <col min="24" max="24" width="12.5" style="76" customWidth="1"/>
    <col min="25" max="25" width="5" style="76" customWidth="1"/>
    <col min="26" max="26" width="14.5" style="76" customWidth="1"/>
    <col min="27" max="16384" width="12.5" style="76"/>
  </cols>
  <sheetData>
    <row r="2" spans="1:26" x14ac:dyDescent="0.2">
      <c r="B2" s="77" t="s">
        <v>1044</v>
      </c>
    </row>
    <row r="3" spans="1:26" x14ac:dyDescent="0.2">
      <c r="B3" s="80" t="s">
        <v>1045</v>
      </c>
    </row>
    <row r="4" spans="1:26" x14ac:dyDescent="0.2">
      <c r="B4" s="77" t="s">
        <v>1046</v>
      </c>
    </row>
    <row r="5" spans="1:26" s="81" customFormat="1" x14ac:dyDescent="0.2">
      <c r="B5" s="77" t="s">
        <v>1047</v>
      </c>
      <c r="F5" s="82"/>
      <c r="G5" s="83"/>
      <c r="H5" s="81">
        <v>4</v>
      </c>
      <c r="J5" s="81">
        <v>6</v>
      </c>
      <c r="L5" s="81">
        <v>2</v>
      </c>
      <c r="M5" s="81">
        <v>3</v>
      </c>
      <c r="N5" s="81">
        <v>4</v>
      </c>
      <c r="Q5" s="81">
        <v>2</v>
      </c>
      <c r="R5" s="81">
        <v>3</v>
      </c>
      <c r="S5" s="81">
        <v>4</v>
      </c>
    </row>
    <row r="6" spans="1:26" ht="26" customHeight="1" x14ac:dyDescent="0.2">
      <c r="B6" s="367" t="s">
        <v>1048</v>
      </c>
      <c r="C6" s="367" t="s">
        <v>1049</v>
      </c>
      <c r="D6" s="367"/>
      <c r="E6" s="367"/>
      <c r="F6" s="367"/>
      <c r="G6" s="367"/>
      <c r="H6" s="367" t="s">
        <v>1050</v>
      </c>
      <c r="I6" s="367"/>
      <c r="J6" s="367"/>
      <c r="K6" s="367"/>
      <c r="L6" s="367"/>
      <c r="M6" s="367"/>
      <c r="N6" s="367"/>
      <c r="O6" s="367"/>
      <c r="P6" s="367"/>
      <c r="Q6" s="367"/>
      <c r="R6" s="367"/>
      <c r="S6" s="367"/>
      <c r="T6" s="367"/>
      <c r="U6" s="367"/>
      <c r="V6" s="368" t="s">
        <v>1051</v>
      </c>
      <c r="W6" s="369"/>
      <c r="X6" s="370"/>
    </row>
    <row r="7" spans="1:26" ht="34" customHeight="1" x14ac:dyDescent="0.2">
      <c r="B7" s="367"/>
      <c r="C7" s="367"/>
      <c r="D7" s="367"/>
      <c r="E7" s="367"/>
      <c r="F7" s="367"/>
      <c r="G7" s="367"/>
      <c r="H7" s="374" t="s">
        <v>1052</v>
      </c>
      <c r="I7" s="374"/>
      <c r="J7" s="374"/>
      <c r="K7" s="374"/>
      <c r="L7" s="375" t="s">
        <v>1053</v>
      </c>
      <c r="M7" s="375"/>
      <c r="N7" s="375"/>
      <c r="O7" s="375"/>
      <c r="P7" s="375"/>
      <c r="Q7" s="376" t="s">
        <v>1054</v>
      </c>
      <c r="R7" s="376"/>
      <c r="S7" s="376"/>
      <c r="T7" s="376"/>
      <c r="U7" s="376"/>
      <c r="V7" s="371"/>
      <c r="W7" s="372"/>
      <c r="X7" s="373"/>
    </row>
    <row r="8" spans="1:26" ht="38" customHeight="1" x14ac:dyDescent="0.2">
      <c r="B8" s="367"/>
      <c r="C8" s="84" t="s">
        <v>4</v>
      </c>
      <c r="D8" s="84" t="s">
        <v>1055</v>
      </c>
      <c r="E8" s="84" t="s">
        <v>1056</v>
      </c>
      <c r="F8" s="86" t="s">
        <v>1057</v>
      </c>
      <c r="G8" s="87" t="s">
        <v>1058</v>
      </c>
      <c r="H8" s="88" t="s">
        <v>1059</v>
      </c>
      <c r="I8" s="88" t="s">
        <v>1060</v>
      </c>
      <c r="J8" s="88" t="s">
        <v>943</v>
      </c>
      <c r="K8" s="88" t="s">
        <v>945</v>
      </c>
      <c r="L8" s="85" t="s">
        <v>1059</v>
      </c>
      <c r="M8" s="85" t="s">
        <v>943</v>
      </c>
      <c r="N8" s="85" t="s">
        <v>944</v>
      </c>
      <c r="O8" s="85" t="s">
        <v>945</v>
      </c>
      <c r="P8" s="85" t="s">
        <v>946</v>
      </c>
      <c r="Q8" s="89" t="s">
        <v>1061</v>
      </c>
      <c r="R8" s="89" t="s">
        <v>943</v>
      </c>
      <c r="S8" s="89" t="s">
        <v>944</v>
      </c>
      <c r="T8" s="89" t="s">
        <v>945</v>
      </c>
      <c r="U8" s="89" t="s">
        <v>946</v>
      </c>
      <c r="V8" s="90" t="s">
        <v>1062</v>
      </c>
      <c r="W8" s="90" t="s">
        <v>1063</v>
      </c>
      <c r="X8" s="90" t="s">
        <v>1064</v>
      </c>
    </row>
    <row r="9" spans="1:26" outlineLevel="2" x14ac:dyDescent="0.2">
      <c r="B9" s="366" t="s">
        <v>1065</v>
      </c>
      <c r="C9" s="366"/>
      <c r="D9" s="91"/>
      <c r="E9" s="92">
        <f>SUM(E10:E12)</f>
        <v>4742.7700000000004</v>
      </c>
      <c r="F9" s="93">
        <f>SUM(F10:F12)</f>
        <v>620628</v>
      </c>
      <c r="G9" s="94">
        <f t="shared" ref="G9:G18" si="0">IFERROR($F9/$E9,0)</f>
        <v>130.85770551808329</v>
      </c>
      <c r="H9" s="93">
        <f>SUM(H10:H12)</f>
        <v>15846</v>
      </c>
      <c r="I9" s="95">
        <f t="shared" ref="I9:I18" si="1">IFERROR(H9/F9*100,0)</f>
        <v>2.5532202865484641</v>
      </c>
      <c r="J9" s="93">
        <f>SUM(J10:J12)</f>
        <v>2827</v>
      </c>
      <c r="K9" s="96">
        <f t="shared" ref="K9:K18" si="2">IFERROR(J9/H9*100,0)</f>
        <v>17.84046447052884</v>
      </c>
      <c r="L9" s="93">
        <f t="shared" ref="L9:N9" si="3">SUM(L10:L12)</f>
        <v>6236</v>
      </c>
      <c r="M9" s="93">
        <f t="shared" si="3"/>
        <v>1157</v>
      </c>
      <c r="N9" s="93">
        <f t="shared" si="3"/>
        <v>1712</v>
      </c>
      <c r="O9" s="96">
        <f t="shared" ref="O9:P18" si="4">IFERROR(M9/$L9*100,0)</f>
        <v>18.553559974342527</v>
      </c>
      <c r="P9" s="96">
        <f t="shared" si="4"/>
        <v>27.453495830660678</v>
      </c>
      <c r="Q9" s="93">
        <f t="shared" ref="Q9:S9" si="5">SUM(Q10:Q12)</f>
        <v>24487</v>
      </c>
      <c r="R9" s="93">
        <f t="shared" si="5"/>
        <v>6573</v>
      </c>
      <c r="S9" s="93">
        <f t="shared" si="5"/>
        <v>8098</v>
      </c>
      <c r="T9" s="97">
        <f t="shared" ref="T9:U18" si="6">IFERROR(R9/$Q9*100,0)</f>
        <v>26.842814554661658</v>
      </c>
      <c r="U9" s="97">
        <f t="shared" si="6"/>
        <v>33.070608894515459</v>
      </c>
      <c r="V9" s="98">
        <f>K9-O9</f>
        <v>-0.7130955038136868</v>
      </c>
      <c r="W9" s="98">
        <f>K9-T9</f>
        <v>-9.0023500841328179</v>
      </c>
      <c r="X9" s="98">
        <f>O9-T9</f>
        <v>-8.2892545803191311</v>
      </c>
    </row>
    <row r="10" spans="1:26" outlineLevel="3" x14ac:dyDescent="0.2">
      <c r="B10" s="365" t="s">
        <v>1066</v>
      </c>
      <c r="C10" s="365"/>
      <c r="D10" s="91"/>
      <c r="E10" s="100">
        <f>SUM(E13:E14)</f>
        <v>1378.08</v>
      </c>
      <c r="F10" s="94">
        <f>SUM(F13:F14)</f>
        <v>180138</v>
      </c>
      <c r="G10" s="94">
        <f t="shared" si="0"/>
        <v>130.71664925113203</v>
      </c>
      <c r="H10" s="94">
        <f>SUM(H13:H14)</f>
        <v>4772</v>
      </c>
      <c r="I10" s="100">
        <f t="shared" si="1"/>
        <v>2.6490801496630358</v>
      </c>
      <c r="J10" s="94">
        <f>SUM(J13:J14)</f>
        <v>587</v>
      </c>
      <c r="K10" s="97">
        <f t="shared" si="2"/>
        <v>12.30092204526404</v>
      </c>
      <c r="L10" s="94">
        <f t="shared" ref="L10:N10" si="7">SUM(L13:L14)</f>
        <v>3536</v>
      </c>
      <c r="M10" s="94">
        <f t="shared" si="7"/>
        <v>638</v>
      </c>
      <c r="N10" s="94">
        <f t="shared" si="7"/>
        <v>935</v>
      </c>
      <c r="O10" s="97">
        <f t="shared" si="4"/>
        <v>18.042986425339365</v>
      </c>
      <c r="P10" s="97">
        <f t="shared" si="4"/>
        <v>26.442307692307693</v>
      </c>
      <c r="Q10" s="94">
        <f t="shared" ref="Q10:S10" si="8">SUM(Q13:Q14)</f>
        <v>7095</v>
      </c>
      <c r="R10" s="94">
        <f t="shared" si="8"/>
        <v>1123</v>
      </c>
      <c r="S10" s="94">
        <f t="shared" si="8"/>
        <v>1860</v>
      </c>
      <c r="T10" s="97">
        <f t="shared" si="6"/>
        <v>15.828047921071175</v>
      </c>
      <c r="U10" s="97">
        <f t="shared" si="6"/>
        <v>26.215644820295985</v>
      </c>
      <c r="V10" s="98">
        <f t="shared" ref="V10:V18" si="9">K10-O10</f>
        <v>-5.742064380075325</v>
      </c>
      <c r="W10" s="98">
        <f t="shared" ref="W10:W18" si="10">K10-T10</f>
        <v>-3.5271258758071351</v>
      </c>
      <c r="X10" s="98">
        <f t="shared" ref="X10:X18" si="11">O10-T10</f>
        <v>2.2149385042681899</v>
      </c>
    </row>
    <row r="11" spans="1:26" outlineLevel="3" x14ac:dyDescent="0.2">
      <c r="B11" s="365" t="s">
        <v>1067</v>
      </c>
      <c r="C11" s="365"/>
      <c r="D11" s="91"/>
      <c r="E11" s="100">
        <f>SUM(E15:E16)</f>
        <v>1739.6400000000003</v>
      </c>
      <c r="F11" s="94">
        <f>SUM(F15:F16)</f>
        <v>227115</v>
      </c>
      <c r="G11" s="94">
        <f t="shared" si="0"/>
        <v>130.55287300820856</v>
      </c>
      <c r="H11" s="94">
        <f>SUM(H15:H16)</f>
        <v>9091</v>
      </c>
      <c r="I11" s="100">
        <f t="shared" si="1"/>
        <v>4.0028179556612287</v>
      </c>
      <c r="J11" s="94">
        <f>SUM(J15:J16)</f>
        <v>1766</v>
      </c>
      <c r="K11" s="97">
        <f t="shared" si="2"/>
        <v>19.425805741942582</v>
      </c>
      <c r="L11" s="94">
        <f t="shared" ref="L11:N11" si="12">SUM(L15:L16)</f>
        <v>1392</v>
      </c>
      <c r="M11" s="94">
        <f t="shared" si="12"/>
        <v>265</v>
      </c>
      <c r="N11" s="94">
        <f t="shared" si="12"/>
        <v>422</v>
      </c>
      <c r="O11" s="97">
        <f t="shared" si="4"/>
        <v>19.037356321839081</v>
      </c>
      <c r="P11" s="97">
        <f t="shared" si="4"/>
        <v>30.316091954022991</v>
      </c>
      <c r="Q11" s="94">
        <f t="shared" ref="Q11:S11" si="13">SUM(Q15:Q16)</f>
        <v>7499</v>
      </c>
      <c r="R11" s="94">
        <f t="shared" si="13"/>
        <v>2385</v>
      </c>
      <c r="S11" s="94">
        <f t="shared" si="13"/>
        <v>2804</v>
      </c>
      <c r="T11" s="97">
        <f t="shared" si="6"/>
        <v>31.804240565408719</v>
      </c>
      <c r="U11" s="97">
        <f t="shared" si="6"/>
        <v>37.391652220296038</v>
      </c>
      <c r="V11" s="98">
        <f t="shared" si="9"/>
        <v>0.38844942010350181</v>
      </c>
      <c r="W11" s="98">
        <f t="shared" si="10"/>
        <v>-12.378434823466137</v>
      </c>
      <c r="X11" s="98">
        <f t="shared" si="11"/>
        <v>-12.766884243569638</v>
      </c>
    </row>
    <row r="12" spans="1:26" outlineLevel="3" x14ac:dyDescent="0.2">
      <c r="B12" s="365" t="s">
        <v>1068</v>
      </c>
      <c r="C12" s="365"/>
      <c r="D12" s="91"/>
      <c r="E12" s="100">
        <f>SUM(E17:E18)</f>
        <v>1625.05</v>
      </c>
      <c r="F12" s="94">
        <f>SUM(F17:F18)</f>
        <v>213375</v>
      </c>
      <c r="G12" s="94">
        <f t="shared" si="0"/>
        <v>131.30365219531708</v>
      </c>
      <c r="H12" s="94">
        <f>SUM(H17:H18)</f>
        <v>1983</v>
      </c>
      <c r="I12" s="100">
        <f t="shared" si="1"/>
        <v>0.92934973637961338</v>
      </c>
      <c r="J12" s="94">
        <f>SUM(J17:J18)</f>
        <v>474</v>
      </c>
      <c r="K12" s="97">
        <f t="shared" si="2"/>
        <v>23.903177004538577</v>
      </c>
      <c r="L12" s="94">
        <f t="shared" ref="L12:N12" si="14">SUM(L17:L18)</f>
        <v>1308</v>
      </c>
      <c r="M12" s="94">
        <f t="shared" si="14"/>
        <v>254</v>
      </c>
      <c r="N12" s="94">
        <f t="shared" si="14"/>
        <v>355</v>
      </c>
      <c r="O12" s="97">
        <f t="shared" si="4"/>
        <v>19.418960244648318</v>
      </c>
      <c r="P12" s="97">
        <f t="shared" si="4"/>
        <v>27.140672782874621</v>
      </c>
      <c r="Q12" s="94">
        <f t="shared" ref="Q12:S12" si="15">SUM(Q17:Q18)</f>
        <v>9893</v>
      </c>
      <c r="R12" s="94">
        <f t="shared" si="15"/>
        <v>3065</v>
      </c>
      <c r="S12" s="94">
        <f t="shared" si="15"/>
        <v>3434</v>
      </c>
      <c r="T12" s="97">
        <f t="shared" si="6"/>
        <v>30.981502072172244</v>
      </c>
      <c r="U12" s="97">
        <f t="shared" si="6"/>
        <v>34.711412109572429</v>
      </c>
      <c r="V12" s="98">
        <f t="shared" si="9"/>
        <v>4.4842167598902591</v>
      </c>
      <c r="W12" s="98">
        <f t="shared" si="10"/>
        <v>-7.0783250676336671</v>
      </c>
      <c r="X12" s="98">
        <f t="shared" si="11"/>
        <v>-11.562541827523926</v>
      </c>
    </row>
    <row r="13" spans="1:26" outlineLevel="2" x14ac:dyDescent="0.2">
      <c r="A13" s="101" t="s">
        <v>252</v>
      </c>
      <c r="B13" s="365" t="s">
        <v>1069</v>
      </c>
      <c r="C13" s="365"/>
      <c r="D13" s="91"/>
      <c r="E13" s="91">
        <f>SUMIF($B$20:$B$199,$A13,$E$20:$E$199)</f>
        <v>667.06</v>
      </c>
      <c r="F13" s="94">
        <f>SUMIF($B$20:$B$199,$A13,$F$20:$F$199)</f>
        <v>85703</v>
      </c>
      <c r="G13" s="94">
        <f t="shared" si="0"/>
        <v>128.47869756843463</v>
      </c>
      <c r="H13" s="94">
        <f>SUMIF($B$20:$B$199,$A13,H$20:H$199)</f>
        <v>2821</v>
      </c>
      <c r="I13" s="100">
        <f t="shared" si="1"/>
        <v>3.2916000606746558</v>
      </c>
      <c r="J13" s="94">
        <f>SUMIF($B$20:$B$199,$A13,J$20:J$199)</f>
        <v>359</v>
      </c>
      <c r="K13" s="97">
        <f t="shared" si="2"/>
        <v>12.725983693725629</v>
      </c>
      <c r="L13" s="94">
        <f t="shared" ref="L13:N13" si="16">SUMIF($B$20:$B$199,$A13,L$20:L$199)</f>
        <v>987</v>
      </c>
      <c r="M13" s="94">
        <f t="shared" si="16"/>
        <v>212</v>
      </c>
      <c r="N13" s="94">
        <f t="shared" si="16"/>
        <v>462</v>
      </c>
      <c r="O13" s="97">
        <f t="shared" si="4"/>
        <v>21.479229989868287</v>
      </c>
      <c r="P13" s="97">
        <f t="shared" si="4"/>
        <v>46.808510638297875</v>
      </c>
      <c r="Q13" s="94">
        <f t="shared" ref="Q13:S18" si="17">SUMIF($B$20:$B$199,$A13,Q$20:Q$199)</f>
        <v>3232</v>
      </c>
      <c r="R13" s="94">
        <f t="shared" si="17"/>
        <v>552</v>
      </c>
      <c r="S13" s="94">
        <f t="shared" si="17"/>
        <v>958</v>
      </c>
      <c r="T13" s="97">
        <f t="shared" si="6"/>
        <v>17.079207920792079</v>
      </c>
      <c r="U13" s="97">
        <f t="shared" si="6"/>
        <v>29.64108910891089</v>
      </c>
      <c r="V13" s="98">
        <f t="shared" si="9"/>
        <v>-8.7532462961426578</v>
      </c>
      <c r="W13" s="98">
        <f t="shared" si="10"/>
        <v>-4.3532242270664501</v>
      </c>
      <c r="X13" s="98">
        <f t="shared" si="11"/>
        <v>4.4000220690762077</v>
      </c>
      <c r="Z13" s="76" t="s">
        <v>1070</v>
      </c>
    </row>
    <row r="14" spans="1:26" outlineLevel="2" x14ac:dyDescent="0.2">
      <c r="A14" s="101" t="s">
        <v>290</v>
      </c>
      <c r="B14" s="365" t="s">
        <v>1071</v>
      </c>
      <c r="C14" s="365"/>
      <c r="D14" s="91"/>
      <c r="E14" s="91">
        <f t="shared" ref="E14:E18" si="18">SUMIF($B$20:$B$199,$A14,$E$20:$E$199)</f>
        <v>711.02</v>
      </c>
      <c r="F14" s="94">
        <f t="shared" ref="F14:F18" si="19">SUMIF($B$20:$B$199,$A14,$F$20:$F$199)</f>
        <v>94435</v>
      </c>
      <c r="G14" s="94">
        <f t="shared" si="0"/>
        <v>132.81623583021576</v>
      </c>
      <c r="H14" s="94">
        <f t="shared" ref="H14:N18" si="20">SUMIF($B$20:$B$199,$A14,H$20:H$199)</f>
        <v>1951</v>
      </c>
      <c r="I14" s="100">
        <f t="shared" si="1"/>
        <v>2.0659713030126543</v>
      </c>
      <c r="J14" s="94">
        <f t="shared" si="20"/>
        <v>228</v>
      </c>
      <c r="K14" s="97">
        <f t="shared" si="2"/>
        <v>11.68631471040492</v>
      </c>
      <c r="L14" s="94">
        <f t="shared" si="20"/>
        <v>2549</v>
      </c>
      <c r="M14" s="94">
        <f t="shared" si="20"/>
        <v>426</v>
      </c>
      <c r="N14" s="94">
        <f t="shared" si="20"/>
        <v>473</v>
      </c>
      <c r="O14" s="97">
        <f t="shared" si="4"/>
        <v>16.712436249509611</v>
      </c>
      <c r="P14" s="97">
        <f t="shared" si="4"/>
        <v>18.556296586896824</v>
      </c>
      <c r="Q14" s="94">
        <f t="shared" si="17"/>
        <v>3863</v>
      </c>
      <c r="R14" s="94">
        <f t="shared" si="17"/>
        <v>571</v>
      </c>
      <c r="S14" s="94">
        <f t="shared" si="17"/>
        <v>902</v>
      </c>
      <c r="T14" s="97">
        <f t="shared" si="6"/>
        <v>14.781258089567695</v>
      </c>
      <c r="U14" s="97">
        <f t="shared" si="6"/>
        <v>23.349728190525497</v>
      </c>
      <c r="V14" s="98">
        <f t="shared" si="9"/>
        <v>-5.0261215391046914</v>
      </c>
      <c r="W14" s="98">
        <f t="shared" si="10"/>
        <v>-3.0949433791627747</v>
      </c>
      <c r="X14" s="98">
        <f t="shared" si="11"/>
        <v>1.9311781599419167</v>
      </c>
      <c r="Z14" s="76" t="s">
        <v>1072</v>
      </c>
    </row>
    <row r="15" spans="1:26" outlineLevel="2" x14ac:dyDescent="0.2">
      <c r="A15" s="101" t="s">
        <v>323</v>
      </c>
      <c r="B15" s="365" t="s">
        <v>1073</v>
      </c>
      <c r="C15" s="365"/>
      <c r="D15" s="91"/>
      <c r="E15" s="91">
        <f t="shared" si="18"/>
        <v>857.3900000000001</v>
      </c>
      <c r="F15" s="94">
        <f t="shared" si="19"/>
        <v>112379</v>
      </c>
      <c r="G15" s="94">
        <f t="shared" si="0"/>
        <v>131.07104118312552</v>
      </c>
      <c r="H15" s="94">
        <f t="shared" si="20"/>
        <v>6104</v>
      </c>
      <c r="I15" s="100">
        <f t="shared" si="1"/>
        <v>5.4316197866149372</v>
      </c>
      <c r="J15" s="94">
        <f t="shared" si="20"/>
        <v>1031</v>
      </c>
      <c r="K15" s="97">
        <f t="shared" si="2"/>
        <v>16.890563564875492</v>
      </c>
      <c r="L15" s="94">
        <f t="shared" si="20"/>
        <v>752</v>
      </c>
      <c r="M15" s="94">
        <f t="shared" si="20"/>
        <v>140</v>
      </c>
      <c r="N15" s="94">
        <f t="shared" si="20"/>
        <v>199</v>
      </c>
      <c r="O15" s="97">
        <f t="shared" si="4"/>
        <v>18.617021276595743</v>
      </c>
      <c r="P15" s="97">
        <f t="shared" si="4"/>
        <v>26.462765957446809</v>
      </c>
      <c r="Q15" s="94">
        <f t="shared" si="17"/>
        <v>4814</v>
      </c>
      <c r="R15" s="94">
        <f t="shared" si="17"/>
        <v>1898</v>
      </c>
      <c r="S15" s="94">
        <f t="shared" si="17"/>
        <v>2061</v>
      </c>
      <c r="T15" s="97">
        <f t="shared" si="6"/>
        <v>39.426672206065646</v>
      </c>
      <c r="U15" s="97">
        <f t="shared" si="6"/>
        <v>42.812629829663479</v>
      </c>
      <c r="V15" s="98">
        <f t="shared" si="9"/>
        <v>-1.7264577117202506</v>
      </c>
      <c r="W15" s="98">
        <f t="shared" si="10"/>
        <v>-22.536108641190154</v>
      </c>
      <c r="X15" s="98">
        <f t="shared" si="11"/>
        <v>-20.809650929469903</v>
      </c>
    </row>
    <row r="16" spans="1:26" outlineLevel="2" x14ac:dyDescent="0.2">
      <c r="A16" s="101" t="s">
        <v>345</v>
      </c>
      <c r="B16" s="365" t="s">
        <v>1074</v>
      </c>
      <c r="C16" s="365"/>
      <c r="D16" s="91"/>
      <c r="E16" s="91">
        <f t="shared" si="18"/>
        <v>882.25000000000023</v>
      </c>
      <c r="F16" s="94">
        <f t="shared" si="19"/>
        <v>114736</v>
      </c>
      <c r="G16" s="94">
        <f t="shared" si="0"/>
        <v>130.04930575233774</v>
      </c>
      <c r="H16" s="94">
        <f t="shared" si="20"/>
        <v>2987</v>
      </c>
      <c r="I16" s="100">
        <f t="shared" si="1"/>
        <v>2.6033677311393113</v>
      </c>
      <c r="J16" s="94">
        <f t="shared" si="20"/>
        <v>735</v>
      </c>
      <c r="K16" s="97">
        <f t="shared" si="2"/>
        <v>24.606628724472714</v>
      </c>
      <c r="L16" s="94">
        <f t="shared" si="20"/>
        <v>640</v>
      </c>
      <c r="M16" s="94">
        <f t="shared" si="20"/>
        <v>125</v>
      </c>
      <c r="N16" s="94">
        <f t="shared" si="20"/>
        <v>223</v>
      </c>
      <c r="O16" s="97">
        <f t="shared" si="4"/>
        <v>19.53125</v>
      </c>
      <c r="P16" s="97">
        <f t="shared" si="4"/>
        <v>34.84375</v>
      </c>
      <c r="Q16" s="94">
        <f t="shared" si="17"/>
        <v>2685</v>
      </c>
      <c r="R16" s="94">
        <f t="shared" si="17"/>
        <v>487</v>
      </c>
      <c r="S16" s="94">
        <f t="shared" si="17"/>
        <v>743</v>
      </c>
      <c r="T16" s="97">
        <f t="shared" si="6"/>
        <v>18.137802607076349</v>
      </c>
      <c r="U16" s="97">
        <f t="shared" si="6"/>
        <v>27.672253258845437</v>
      </c>
      <c r="V16" s="98">
        <f t="shared" si="9"/>
        <v>5.0753787244727135</v>
      </c>
      <c r="W16" s="98">
        <f t="shared" si="10"/>
        <v>6.4688261173963646</v>
      </c>
      <c r="X16" s="98">
        <f t="shared" si="11"/>
        <v>1.3934473929236511</v>
      </c>
    </row>
    <row r="17" spans="1:30" outlineLevel="2" x14ac:dyDescent="0.2">
      <c r="A17" s="101" t="s">
        <v>380</v>
      </c>
      <c r="B17" s="365" t="s">
        <v>1075</v>
      </c>
      <c r="C17" s="365"/>
      <c r="D17" s="91"/>
      <c r="E17" s="91">
        <f t="shared" si="18"/>
        <v>800.53</v>
      </c>
      <c r="F17" s="94">
        <f t="shared" si="19"/>
        <v>105447</v>
      </c>
      <c r="G17" s="94">
        <f t="shared" si="0"/>
        <v>131.72148451650781</v>
      </c>
      <c r="H17" s="94">
        <f t="shared" si="20"/>
        <v>976</v>
      </c>
      <c r="I17" s="100">
        <f t="shared" si="1"/>
        <v>0.92558346847231321</v>
      </c>
      <c r="J17" s="94">
        <f t="shared" si="20"/>
        <v>281</v>
      </c>
      <c r="K17" s="97">
        <f t="shared" si="2"/>
        <v>28.790983606557376</v>
      </c>
      <c r="L17" s="94">
        <f t="shared" si="20"/>
        <v>493</v>
      </c>
      <c r="M17" s="94">
        <f t="shared" si="20"/>
        <v>142</v>
      </c>
      <c r="N17" s="94">
        <f t="shared" si="20"/>
        <v>270</v>
      </c>
      <c r="O17" s="97">
        <f t="shared" si="4"/>
        <v>28.803245436105477</v>
      </c>
      <c r="P17" s="97">
        <f t="shared" si="4"/>
        <v>54.766734279918857</v>
      </c>
      <c r="Q17" s="94">
        <f t="shared" si="17"/>
        <v>4404</v>
      </c>
      <c r="R17" s="94">
        <f t="shared" si="17"/>
        <v>1328</v>
      </c>
      <c r="S17" s="94">
        <f t="shared" si="17"/>
        <v>2224</v>
      </c>
      <c r="T17" s="97">
        <f t="shared" si="6"/>
        <v>30.154405086285195</v>
      </c>
      <c r="U17" s="97">
        <f t="shared" si="6"/>
        <v>50.49954586739328</v>
      </c>
      <c r="V17" s="98">
        <f t="shared" si="9"/>
        <v>-1.2261829548101844E-2</v>
      </c>
      <c r="W17" s="98">
        <f t="shared" si="10"/>
        <v>-1.363421479727819</v>
      </c>
      <c r="X17" s="98">
        <f t="shared" si="11"/>
        <v>-1.3511596501797172</v>
      </c>
    </row>
    <row r="18" spans="1:30" outlineLevel="2" x14ac:dyDescent="0.2">
      <c r="A18" s="101" t="s">
        <v>416</v>
      </c>
      <c r="B18" s="365" t="s">
        <v>1076</v>
      </c>
      <c r="C18" s="365"/>
      <c r="D18" s="91"/>
      <c r="E18" s="91">
        <f t="shared" si="18"/>
        <v>824.52</v>
      </c>
      <c r="F18" s="94">
        <f t="shared" si="19"/>
        <v>107928</v>
      </c>
      <c r="G18" s="94">
        <f t="shared" si="0"/>
        <v>130.89797700480278</v>
      </c>
      <c r="H18" s="94">
        <f t="shared" si="20"/>
        <v>1007</v>
      </c>
      <c r="I18" s="100">
        <f t="shared" si="1"/>
        <v>0.93302942702542435</v>
      </c>
      <c r="J18" s="94">
        <f t="shared" si="20"/>
        <v>193</v>
      </c>
      <c r="K18" s="97">
        <f t="shared" si="2"/>
        <v>19.165839126117177</v>
      </c>
      <c r="L18" s="94">
        <f t="shared" si="20"/>
        <v>815</v>
      </c>
      <c r="M18" s="94">
        <f t="shared" si="20"/>
        <v>112</v>
      </c>
      <c r="N18" s="94">
        <f t="shared" si="20"/>
        <v>85</v>
      </c>
      <c r="O18" s="97">
        <f t="shared" si="4"/>
        <v>13.742331288343559</v>
      </c>
      <c r="P18" s="97">
        <f t="shared" si="4"/>
        <v>10.429447852760736</v>
      </c>
      <c r="Q18" s="94">
        <f t="shared" si="17"/>
        <v>5489</v>
      </c>
      <c r="R18" s="94">
        <f t="shared" si="17"/>
        <v>1737</v>
      </c>
      <c r="S18" s="94">
        <f t="shared" si="17"/>
        <v>1210</v>
      </c>
      <c r="T18" s="97">
        <f t="shared" si="6"/>
        <v>31.645108398615413</v>
      </c>
      <c r="U18" s="97">
        <f t="shared" si="6"/>
        <v>22.044088176352705</v>
      </c>
      <c r="V18" s="98">
        <f t="shared" si="9"/>
        <v>5.4235078377736183</v>
      </c>
      <c r="W18" s="98">
        <f t="shared" si="10"/>
        <v>-12.479269272498236</v>
      </c>
      <c r="X18" s="98">
        <f t="shared" si="11"/>
        <v>-17.902777110271856</v>
      </c>
    </row>
    <row r="19" spans="1:30" outlineLevel="1" x14ac:dyDescent="0.2">
      <c r="B19" s="102"/>
      <c r="C19" s="102"/>
      <c r="D19" s="102"/>
      <c r="E19" s="103"/>
      <c r="F19" s="104"/>
      <c r="G19" s="104"/>
      <c r="Y19" s="101"/>
      <c r="Z19" s="81" t="s">
        <v>1077</v>
      </c>
    </row>
    <row r="20" spans="1:30" x14ac:dyDescent="0.2">
      <c r="B20" s="99" t="s">
        <v>252</v>
      </c>
      <c r="C20" s="99" t="s">
        <v>1078</v>
      </c>
      <c r="D20" s="91">
        <v>2007</v>
      </c>
      <c r="E20" s="100">
        <v>24.6</v>
      </c>
      <c r="F20" s="94">
        <v>3121</v>
      </c>
      <c r="G20" s="94">
        <f>IFERROR($F20/$E20,0)</f>
        <v>126.86991869918698</v>
      </c>
      <c r="H20" s="94">
        <v>562</v>
      </c>
      <c r="I20" s="100">
        <f>IFERROR(H20/F20*100,0)</f>
        <v>18.007049022749118</v>
      </c>
      <c r="J20" s="94">
        <v>94</v>
      </c>
      <c r="K20" s="97">
        <f>IFERROR(J20/H20*100,0)</f>
        <v>16.72597864768683</v>
      </c>
      <c r="L20" s="94"/>
      <c r="M20" s="94"/>
      <c r="N20" s="94"/>
      <c r="O20" s="97">
        <f t="shared" ref="O20:P37" si="21">IFERROR(M20/$L20*100,0)</f>
        <v>0</v>
      </c>
      <c r="P20" s="97">
        <f t="shared" si="21"/>
        <v>0</v>
      </c>
      <c r="Q20" s="94"/>
      <c r="R20" s="94"/>
      <c r="S20" s="94"/>
      <c r="T20" s="97">
        <f>IFERROR(R20/$Q20*100,0)</f>
        <v>0</v>
      </c>
      <c r="U20" s="97">
        <f>IFERROR(S20/$Q20*100,0)</f>
        <v>0</v>
      </c>
      <c r="V20" s="98">
        <f t="shared" ref="V20:V83" si="22">K20-O20</f>
        <v>16.72597864768683</v>
      </c>
      <c r="W20" s="98">
        <f t="shared" ref="W20:W83" si="23">K20-T20</f>
        <v>16.72597864768683</v>
      </c>
      <c r="X20" s="98">
        <f t="shared" ref="X20:X83" si="24">O20-T20</f>
        <v>0</v>
      </c>
      <c r="Z20" s="76" t="str">
        <f>IFERROR(IF($K20&gt;0,"A",IF($K20&lt;0,"B")),0)</f>
        <v>A</v>
      </c>
      <c r="AA20" s="76" t="b">
        <f>IFERROR(IF($O20&gt;0,"A",IF($O20&lt;0,"B")),0)</f>
        <v>0</v>
      </c>
      <c r="AB20" s="76" t="b">
        <f>IFERROR(IF($T20&gt;0,"A",IF($T20&lt;0,"B")),0)</f>
        <v>0</v>
      </c>
      <c r="AC20" s="76">
        <f>COUNTIF(Z20:AB20,$Z$19)</f>
        <v>1</v>
      </c>
      <c r="AD20" s="105">
        <f>SUM(V20:X20)</f>
        <v>33.45195729537366</v>
      </c>
    </row>
    <row r="21" spans="1:30" x14ac:dyDescent="0.2">
      <c r="B21" s="99" t="s">
        <v>252</v>
      </c>
      <c r="C21" s="99" t="s">
        <v>1079</v>
      </c>
      <c r="D21" s="91">
        <v>2007</v>
      </c>
      <c r="E21" s="100">
        <v>28.45</v>
      </c>
      <c r="F21" s="94">
        <v>3539</v>
      </c>
      <c r="G21" s="94">
        <f t="shared" ref="G21:G84" si="25">IFERROR($F21/$E21,0)</f>
        <v>124.39367311072057</v>
      </c>
      <c r="H21" s="94">
        <v>369</v>
      </c>
      <c r="I21" s="100">
        <f t="shared" ref="I21:I84" si="26">IFERROR(H21/F21*100,0)</f>
        <v>10.426674201751908</v>
      </c>
      <c r="J21" s="94">
        <v>39</v>
      </c>
      <c r="K21" s="97">
        <f t="shared" ref="K21:K84" si="27">IFERROR(J21/H21*100,0)</f>
        <v>10.569105691056912</v>
      </c>
      <c r="L21" s="94"/>
      <c r="M21" s="94"/>
      <c r="N21" s="94"/>
      <c r="O21" s="97">
        <f t="shared" si="21"/>
        <v>0</v>
      </c>
      <c r="P21" s="97">
        <f t="shared" si="21"/>
        <v>0</v>
      </c>
      <c r="Q21" s="94"/>
      <c r="R21" s="94"/>
      <c r="S21" s="94"/>
      <c r="T21" s="97">
        <f t="shared" ref="T21:U84" si="28">IFERROR(R21/$Q21*100,0)</f>
        <v>0</v>
      </c>
      <c r="U21" s="97">
        <f t="shared" si="28"/>
        <v>0</v>
      </c>
      <c r="V21" s="98">
        <f t="shared" si="22"/>
        <v>10.569105691056912</v>
      </c>
      <c r="W21" s="98">
        <f t="shared" si="23"/>
        <v>10.569105691056912</v>
      </c>
      <c r="X21" s="98">
        <f t="shared" si="24"/>
        <v>0</v>
      </c>
      <c r="Z21" s="76" t="str">
        <f t="shared" ref="Z21:Z84" si="29">IFERROR(IF($K21&gt;0,"A",IF($K21&lt;0,"B")),0)</f>
        <v>A</v>
      </c>
      <c r="AA21" s="76" t="b">
        <f t="shared" ref="AA21:AA84" si="30">IFERROR(IF($O21&gt;0,"A",IF($O21&lt;0,"B")),0)</f>
        <v>0</v>
      </c>
      <c r="AB21" s="76" t="b">
        <f t="shared" ref="AB21:AB84" si="31">IFERROR(IF($T21&gt;0,"A",IF($T21&lt;0,"B")),0)</f>
        <v>0</v>
      </c>
      <c r="AC21" s="76">
        <f t="shared" ref="AC21:AC84" si="32">COUNTIF(Z21:AB21,$Z$19)</f>
        <v>1</v>
      </c>
      <c r="AD21" s="105">
        <f t="shared" ref="AD21:AD84" si="33">SUM(V21:X21)</f>
        <v>21.138211382113823</v>
      </c>
    </row>
    <row r="22" spans="1:30" x14ac:dyDescent="0.2">
      <c r="B22" s="99" t="s">
        <v>252</v>
      </c>
      <c r="C22" s="99" t="s">
        <v>1080</v>
      </c>
      <c r="D22" s="91">
        <v>2007</v>
      </c>
      <c r="E22" s="100">
        <v>29.4</v>
      </c>
      <c r="F22" s="94">
        <v>3865</v>
      </c>
      <c r="G22" s="94">
        <f t="shared" si="25"/>
        <v>131.46258503401361</v>
      </c>
      <c r="H22" s="94">
        <v>405</v>
      </c>
      <c r="I22" s="100">
        <f t="shared" si="26"/>
        <v>10.478654592496765</v>
      </c>
      <c r="J22" s="94">
        <v>49</v>
      </c>
      <c r="K22" s="97">
        <f t="shared" si="27"/>
        <v>12.098765432098766</v>
      </c>
      <c r="L22" s="94"/>
      <c r="M22" s="94"/>
      <c r="N22" s="94"/>
      <c r="O22" s="97">
        <f t="shared" si="21"/>
        <v>0</v>
      </c>
      <c r="P22" s="97">
        <f t="shared" si="21"/>
        <v>0</v>
      </c>
      <c r="Q22" s="94"/>
      <c r="R22" s="94"/>
      <c r="S22" s="94"/>
      <c r="T22" s="97">
        <f t="shared" si="28"/>
        <v>0</v>
      </c>
      <c r="U22" s="97">
        <f t="shared" si="28"/>
        <v>0</v>
      </c>
      <c r="V22" s="98">
        <f t="shared" si="22"/>
        <v>12.098765432098766</v>
      </c>
      <c r="W22" s="98">
        <f t="shared" si="23"/>
        <v>12.098765432098766</v>
      </c>
      <c r="X22" s="98">
        <f t="shared" si="24"/>
        <v>0</v>
      </c>
      <c r="Z22" s="76" t="str">
        <f t="shared" si="29"/>
        <v>A</v>
      </c>
      <c r="AA22" s="76" t="b">
        <f t="shared" si="30"/>
        <v>0</v>
      </c>
      <c r="AB22" s="76" t="b">
        <f t="shared" si="31"/>
        <v>0</v>
      </c>
      <c r="AC22" s="76">
        <f t="shared" si="32"/>
        <v>1</v>
      </c>
      <c r="AD22" s="105">
        <f t="shared" si="33"/>
        <v>24.197530864197532</v>
      </c>
    </row>
    <row r="23" spans="1:30" x14ac:dyDescent="0.2">
      <c r="B23" s="99" t="s">
        <v>252</v>
      </c>
      <c r="C23" s="99" t="s">
        <v>1081</v>
      </c>
      <c r="D23" s="91">
        <v>2007</v>
      </c>
      <c r="E23" s="100">
        <v>30.32</v>
      </c>
      <c r="F23" s="94">
        <v>4065</v>
      </c>
      <c r="G23" s="94">
        <f t="shared" si="25"/>
        <v>134.06992084432719</v>
      </c>
      <c r="H23" s="94"/>
      <c r="I23" s="100">
        <f t="shared" si="26"/>
        <v>0</v>
      </c>
      <c r="J23" s="94"/>
      <c r="K23" s="97"/>
      <c r="L23" s="94"/>
      <c r="M23" s="94"/>
      <c r="N23" s="94"/>
      <c r="O23" s="97">
        <f t="shared" si="21"/>
        <v>0</v>
      </c>
      <c r="P23" s="97">
        <f t="shared" si="21"/>
        <v>0</v>
      </c>
      <c r="Q23" s="94"/>
      <c r="R23" s="94"/>
      <c r="S23" s="94"/>
      <c r="T23" s="97">
        <f t="shared" si="28"/>
        <v>0</v>
      </c>
      <c r="U23" s="97">
        <f t="shared" si="28"/>
        <v>0</v>
      </c>
      <c r="V23" s="98">
        <f t="shared" si="22"/>
        <v>0</v>
      </c>
      <c r="W23" s="98">
        <f t="shared" si="23"/>
        <v>0</v>
      </c>
      <c r="X23" s="98">
        <f t="shared" si="24"/>
        <v>0</v>
      </c>
      <c r="Z23" s="76" t="b">
        <f t="shared" si="29"/>
        <v>0</v>
      </c>
      <c r="AA23" s="76" t="b">
        <f t="shared" si="30"/>
        <v>0</v>
      </c>
      <c r="AB23" s="76" t="b">
        <f t="shared" si="31"/>
        <v>0</v>
      </c>
      <c r="AC23" s="76">
        <f t="shared" si="32"/>
        <v>0</v>
      </c>
      <c r="AD23" s="105">
        <f t="shared" si="33"/>
        <v>0</v>
      </c>
    </row>
    <row r="24" spans="1:30" x14ac:dyDescent="0.2">
      <c r="B24" s="99" t="s">
        <v>252</v>
      </c>
      <c r="C24" s="99" t="s">
        <v>1082</v>
      </c>
      <c r="D24" s="91">
        <v>2007</v>
      </c>
      <c r="E24" s="100">
        <v>29.07</v>
      </c>
      <c r="F24" s="94">
        <v>3832</v>
      </c>
      <c r="G24" s="94">
        <f t="shared" si="25"/>
        <v>131.81974544203646</v>
      </c>
      <c r="H24" s="94">
        <v>384</v>
      </c>
      <c r="I24" s="100">
        <f t="shared" si="26"/>
        <v>10.020876826722338</v>
      </c>
      <c r="J24" s="94">
        <v>49</v>
      </c>
      <c r="K24" s="97">
        <f t="shared" si="27"/>
        <v>12.760416666666666</v>
      </c>
      <c r="L24" s="94"/>
      <c r="M24" s="94"/>
      <c r="N24" s="94"/>
      <c r="O24" s="97">
        <f t="shared" si="21"/>
        <v>0</v>
      </c>
      <c r="P24" s="97">
        <f t="shared" si="21"/>
        <v>0</v>
      </c>
      <c r="Q24" s="94"/>
      <c r="R24" s="94"/>
      <c r="S24" s="94"/>
      <c r="T24" s="97">
        <f t="shared" si="28"/>
        <v>0</v>
      </c>
      <c r="U24" s="97">
        <f t="shared" si="28"/>
        <v>0</v>
      </c>
      <c r="V24" s="98">
        <f t="shared" si="22"/>
        <v>12.760416666666666</v>
      </c>
      <c r="W24" s="98">
        <f t="shared" si="23"/>
        <v>12.760416666666666</v>
      </c>
      <c r="X24" s="98">
        <f t="shared" si="24"/>
        <v>0</v>
      </c>
      <c r="Z24" s="76" t="str">
        <f t="shared" si="29"/>
        <v>A</v>
      </c>
      <c r="AA24" s="76" t="b">
        <f t="shared" si="30"/>
        <v>0</v>
      </c>
      <c r="AB24" s="76" t="b">
        <f t="shared" si="31"/>
        <v>0</v>
      </c>
      <c r="AC24" s="76">
        <f t="shared" si="32"/>
        <v>1</v>
      </c>
      <c r="AD24" s="105">
        <f t="shared" si="33"/>
        <v>25.520833333333332</v>
      </c>
    </row>
    <row r="25" spans="1:30" x14ac:dyDescent="0.2">
      <c r="B25" s="99" t="s">
        <v>252</v>
      </c>
      <c r="C25" s="99" t="s">
        <v>1083</v>
      </c>
      <c r="D25" s="91">
        <v>2025</v>
      </c>
      <c r="E25" s="100">
        <v>0</v>
      </c>
      <c r="F25" s="94">
        <v>0</v>
      </c>
      <c r="G25" s="94">
        <f t="shared" si="25"/>
        <v>0</v>
      </c>
      <c r="H25" s="94"/>
      <c r="I25" s="100">
        <f t="shared" si="26"/>
        <v>0</v>
      </c>
      <c r="J25" s="94"/>
      <c r="K25" s="97">
        <f t="shared" si="27"/>
        <v>0</v>
      </c>
      <c r="L25" s="94"/>
      <c r="M25" s="94"/>
      <c r="N25" s="94"/>
      <c r="O25" s="97">
        <f t="shared" si="21"/>
        <v>0</v>
      </c>
      <c r="P25" s="97">
        <f t="shared" si="21"/>
        <v>0</v>
      </c>
      <c r="Q25" s="94"/>
      <c r="R25" s="94"/>
      <c r="S25" s="94"/>
      <c r="T25" s="97">
        <f t="shared" si="28"/>
        <v>0</v>
      </c>
      <c r="U25" s="97">
        <f t="shared" si="28"/>
        <v>0</v>
      </c>
      <c r="V25" s="98">
        <f t="shared" si="22"/>
        <v>0</v>
      </c>
      <c r="W25" s="98">
        <f t="shared" si="23"/>
        <v>0</v>
      </c>
      <c r="X25" s="98">
        <f t="shared" si="24"/>
        <v>0</v>
      </c>
      <c r="Z25" s="76" t="b">
        <f t="shared" si="29"/>
        <v>0</v>
      </c>
      <c r="AA25" s="76" t="b">
        <f t="shared" si="30"/>
        <v>0</v>
      </c>
      <c r="AB25" s="76" t="b">
        <f t="shared" si="31"/>
        <v>0</v>
      </c>
      <c r="AC25" s="76">
        <f t="shared" si="32"/>
        <v>0</v>
      </c>
      <c r="AD25" s="105">
        <f t="shared" si="33"/>
        <v>0</v>
      </c>
    </row>
    <row r="26" spans="1:30" x14ac:dyDescent="0.2">
      <c r="B26" s="99" t="s">
        <v>252</v>
      </c>
      <c r="C26" s="99" t="s">
        <v>1084</v>
      </c>
      <c r="D26" s="91">
        <v>2026</v>
      </c>
      <c r="E26" s="100">
        <v>0</v>
      </c>
      <c r="F26" s="94">
        <v>0</v>
      </c>
      <c r="G26" s="94">
        <f t="shared" si="25"/>
        <v>0</v>
      </c>
      <c r="H26" s="94"/>
      <c r="I26" s="100">
        <f t="shared" si="26"/>
        <v>0</v>
      </c>
      <c r="J26" s="94"/>
      <c r="K26" s="97">
        <f t="shared" si="27"/>
        <v>0</v>
      </c>
      <c r="L26" s="94"/>
      <c r="M26" s="94"/>
      <c r="N26" s="94"/>
      <c r="O26" s="97">
        <f t="shared" si="21"/>
        <v>0</v>
      </c>
      <c r="P26" s="97">
        <f t="shared" si="21"/>
        <v>0</v>
      </c>
      <c r="Q26" s="94"/>
      <c r="R26" s="94"/>
      <c r="S26" s="94"/>
      <c r="T26" s="97">
        <f t="shared" si="28"/>
        <v>0</v>
      </c>
      <c r="U26" s="97">
        <f t="shared" si="28"/>
        <v>0</v>
      </c>
      <c r="V26" s="98">
        <f t="shared" si="22"/>
        <v>0</v>
      </c>
      <c r="W26" s="98">
        <f t="shared" si="23"/>
        <v>0</v>
      </c>
      <c r="X26" s="98">
        <f t="shared" si="24"/>
        <v>0</v>
      </c>
      <c r="Z26" s="76" t="b">
        <f t="shared" si="29"/>
        <v>0</v>
      </c>
      <c r="AA26" s="76" t="b">
        <f t="shared" si="30"/>
        <v>0</v>
      </c>
      <c r="AB26" s="76" t="b">
        <f t="shared" si="31"/>
        <v>0</v>
      </c>
      <c r="AC26" s="76">
        <f t="shared" si="32"/>
        <v>0</v>
      </c>
      <c r="AD26" s="105">
        <f t="shared" si="33"/>
        <v>0</v>
      </c>
    </row>
    <row r="27" spans="1:30" x14ac:dyDescent="0.2">
      <c r="B27" s="99" t="s">
        <v>252</v>
      </c>
      <c r="C27" s="99" t="s">
        <v>1085</v>
      </c>
      <c r="D27" s="91">
        <v>2026</v>
      </c>
      <c r="E27" s="100">
        <v>0</v>
      </c>
      <c r="F27" s="94">
        <v>0</v>
      </c>
      <c r="G27" s="94">
        <f t="shared" si="25"/>
        <v>0</v>
      </c>
      <c r="H27" s="94"/>
      <c r="I27" s="100">
        <f t="shared" si="26"/>
        <v>0</v>
      </c>
      <c r="J27" s="94"/>
      <c r="K27" s="97">
        <f t="shared" si="27"/>
        <v>0</v>
      </c>
      <c r="L27" s="94"/>
      <c r="M27" s="94"/>
      <c r="N27" s="94"/>
      <c r="O27" s="97">
        <f t="shared" si="21"/>
        <v>0</v>
      </c>
      <c r="P27" s="97">
        <f t="shared" si="21"/>
        <v>0</v>
      </c>
      <c r="Q27" s="94"/>
      <c r="R27" s="94"/>
      <c r="S27" s="94"/>
      <c r="T27" s="97">
        <f t="shared" si="28"/>
        <v>0</v>
      </c>
      <c r="U27" s="97">
        <f t="shared" si="28"/>
        <v>0</v>
      </c>
      <c r="V27" s="98">
        <f t="shared" si="22"/>
        <v>0</v>
      </c>
      <c r="W27" s="98">
        <f t="shared" si="23"/>
        <v>0</v>
      </c>
      <c r="X27" s="98">
        <f t="shared" si="24"/>
        <v>0</v>
      </c>
      <c r="Z27" s="76" t="b">
        <f t="shared" si="29"/>
        <v>0</v>
      </c>
      <c r="AA27" s="76" t="b">
        <f t="shared" si="30"/>
        <v>0</v>
      </c>
      <c r="AB27" s="76" t="b">
        <f t="shared" si="31"/>
        <v>0</v>
      </c>
      <c r="AC27" s="76">
        <f t="shared" si="32"/>
        <v>0</v>
      </c>
      <c r="AD27" s="105">
        <f t="shared" si="33"/>
        <v>0</v>
      </c>
    </row>
    <row r="28" spans="1:30" x14ac:dyDescent="0.2">
      <c r="B28" s="99" t="s">
        <v>252</v>
      </c>
      <c r="C28" s="99" t="s">
        <v>1086</v>
      </c>
      <c r="D28" s="91">
        <v>2026</v>
      </c>
      <c r="E28" s="100">
        <v>0</v>
      </c>
      <c r="F28" s="94">
        <v>0</v>
      </c>
      <c r="G28" s="94">
        <f t="shared" si="25"/>
        <v>0</v>
      </c>
      <c r="H28" s="94"/>
      <c r="I28" s="100">
        <f t="shared" si="26"/>
        <v>0</v>
      </c>
      <c r="J28" s="94"/>
      <c r="K28" s="97">
        <f t="shared" si="27"/>
        <v>0</v>
      </c>
      <c r="L28" s="94"/>
      <c r="M28" s="94"/>
      <c r="N28" s="94"/>
      <c r="O28" s="97">
        <f t="shared" si="21"/>
        <v>0</v>
      </c>
      <c r="P28" s="97">
        <f t="shared" si="21"/>
        <v>0</v>
      </c>
      <c r="Q28" s="94"/>
      <c r="R28" s="94"/>
      <c r="S28" s="94"/>
      <c r="T28" s="97">
        <f t="shared" si="28"/>
        <v>0</v>
      </c>
      <c r="U28" s="97">
        <f t="shared" si="28"/>
        <v>0</v>
      </c>
      <c r="V28" s="98">
        <f t="shared" si="22"/>
        <v>0</v>
      </c>
      <c r="W28" s="98">
        <f t="shared" si="23"/>
        <v>0</v>
      </c>
      <c r="X28" s="98">
        <f t="shared" si="24"/>
        <v>0</v>
      </c>
      <c r="Z28" s="76" t="b">
        <f t="shared" si="29"/>
        <v>0</v>
      </c>
      <c r="AA28" s="76" t="b">
        <f t="shared" si="30"/>
        <v>0</v>
      </c>
      <c r="AB28" s="76" t="b">
        <f t="shared" si="31"/>
        <v>0</v>
      </c>
      <c r="AC28" s="76">
        <f t="shared" si="32"/>
        <v>0</v>
      </c>
      <c r="AD28" s="105">
        <f t="shared" si="33"/>
        <v>0</v>
      </c>
    </row>
    <row r="29" spans="1:30" x14ac:dyDescent="0.2">
      <c r="B29" s="99" t="s">
        <v>252</v>
      </c>
      <c r="C29" s="99" t="s">
        <v>1087</v>
      </c>
      <c r="D29" s="91">
        <v>2007</v>
      </c>
      <c r="E29" s="100">
        <v>30.37</v>
      </c>
      <c r="F29" s="94">
        <v>3919</v>
      </c>
      <c r="G29" s="94">
        <f t="shared" si="25"/>
        <v>129.04181758314127</v>
      </c>
      <c r="H29" s="94">
        <v>296</v>
      </c>
      <c r="I29" s="100">
        <f t="shared" si="26"/>
        <v>7.5529471804031649</v>
      </c>
      <c r="J29" s="94">
        <v>44</v>
      </c>
      <c r="K29" s="97">
        <f t="shared" si="27"/>
        <v>14.864864864864865</v>
      </c>
      <c r="L29" s="94"/>
      <c r="M29" s="94"/>
      <c r="N29" s="94"/>
      <c r="O29" s="97">
        <f t="shared" si="21"/>
        <v>0</v>
      </c>
      <c r="P29" s="97">
        <f t="shared" si="21"/>
        <v>0</v>
      </c>
      <c r="Q29" s="94"/>
      <c r="R29" s="94"/>
      <c r="S29" s="94"/>
      <c r="T29" s="97">
        <f t="shared" si="28"/>
        <v>0</v>
      </c>
      <c r="U29" s="97">
        <f t="shared" si="28"/>
        <v>0</v>
      </c>
      <c r="V29" s="98">
        <f t="shared" si="22"/>
        <v>14.864864864864865</v>
      </c>
      <c r="W29" s="98">
        <f t="shared" si="23"/>
        <v>14.864864864864865</v>
      </c>
      <c r="X29" s="98">
        <f t="shared" si="24"/>
        <v>0</v>
      </c>
      <c r="Z29" s="76" t="str">
        <f t="shared" si="29"/>
        <v>A</v>
      </c>
      <c r="AA29" s="76" t="b">
        <f t="shared" si="30"/>
        <v>0</v>
      </c>
      <c r="AB29" s="76" t="b">
        <f t="shared" si="31"/>
        <v>0</v>
      </c>
      <c r="AC29" s="76">
        <f t="shared" si="32"/>
        <v>1</v>
      </c>
      <c r="AD29" s="105">
        <f t="shared" si="33"/>
        <v>29.72972972972973</v>
      </c>
    </row>
    <row r="30" spans="1:30" x14ac:dyDescent="0.2">
      <c r="B30" s="99" t="s">
        <v>252</v>
      </c>
      <c r="C30" s="99" t="s">
        <v>1088</v>
      </c>
      <c r="D30" s="91">
        <v>2007</v>
      </c>
      <c r="E30" s="100">
        <v>30.66</v>
      </c>
      <c r="F30" s="94">
        <v>3907</v>
      </c>
      <c r="G30" s="94">
        <f t="shared" si="25"/>
        <v>127.42987606001304</v>
      </c>
      <c r="H30" s="94"/>
      <c r="I30" s="100">
        <f t="shared" si="26"/>
        <v>0</v>
      </c>
      <c r="J30" s="94"/>
      <c r="K30" s="97">
        <f t="shared" si="27"/>
        <v>0</v>
      </c>
      <c r="L30" s="94"/>
      <c r="M30" s="94"/>
      <c r="N30" s="94"/>
      <c r="O30" s="97">
        <f t="shared" si="21"/>
        <v>0</v>
      </c>
      <c r="P30" s="97">
        <f t="shared" si="21"/>
        <v>0</v>
      </c>
      <c r="Q30" s="94"/>
      <c r="R30" s="94"/>
      <c r="S30" s="94"/>
      <c r="T30" s="97">
        <f t="shared" si="28"/>
        <v>0</v>
      </c>
      <c r="U30" s="97">
        <f t="shared" si="28"/>
        <v>0</v>
      </c>
      <c r="V30" s="98">
        <f t="shared" si="22"/>
        <v>0</v>
      </c>
      <c r="W30" s="98">
        <f t="shared" si="23"/>
        <v>0</v>
      </c>
      <c r="X30" s="98">
        <f t="shared" si="24"/>
        <v>0</v>
      </c>
      <c r="Z30" s="76" t="b">
        <f t="shared" si="29"/>
        <v>0</v>
      </c>
      <c r="AA30" s="76" t="b">
        <f t="shared" si="30"/>
        <v>0</v>
      </c>
      <c r="AB30" s="76" t="b">
        <f t="shared" si="31"/>
        <v>0</v>
      </c>
      <c r="AC30" s="76">
        <f t="shared" si="32"/>
        <v>0</v>
      </c>
      <c r="AD30" s="105">
        <f t="shared" si="33"/>
        <v>0</v>
      </c>
    </row>
    <row r="31" spans="1:30" x14ac:dyDescent="0.2">
      <c r="B31" s="99" t="s">
        <v>252</v>
      </c>
      <c r="C31" s="99" t="s">
        <v>1089</v>
      </c>
      <c r="D31" s="91">
        <v>2007</v>
      </c>
      <c r="E31" s="100">
        <v>29.83</v>
      </c>
      <c r="F31" s="94">
        <v>3866</v>
      </c>
      <c r="G31" s="94">
        <f t="shared" si="25"/>
        <v>129.60107274555818</v>
      </c>
      <c r="H31" s="94"/>
      <c r="I31" s="100">
        <f t="shared" si="26"/>
        <v>0</v>
      </c>
      <c r="J31" s="94"/>
      <c r="K31" s="97">
        <f t="shared" si="27"/>
        <v>0</v>
      </c>
      <c r="L31" s="94"/>
      <c r="M31" s="94"/>
      <c r="N31" s="94"/>
      <c r="O31" s="97">
        <f t="shared" si="21"/>
        <v>0</v>
      </c>
      <c r="P31" s="97">
        <f t="shared" si="21"/>
        <v>0</v>
      </c>
      <c r="Q31" s="94"/>
      <c r="R31" s="94"/>
      <c r="S31" s="94"/>
      <c r="T31" s="97">
        <f t="shared" si="28"/>
        <v>0</v>
      </c>
      <c r="U31" s="97">
        <f t="shared" si="28"/>
        <v>0</v>
      </c>
      <c r="V31" s="98">
        <f t="shared" si="22"/>
        <v>0</v>
      </c>
      <c r="W31" s="98">
        <f t="shared" si="23"/>
        <v>0</v>
      </c>
      <c r="X31" s="98">
        <f t="shared" si="24"/>
        <v>0</v>
      </c>
      <c r="Z31" s="76" t="b">
        <f t="shared" si="29"/>
        <v>0</v>
      </c>
      <c r="AA31" s="76" t="b">
        <f t="shared" si="30"/>
        <v>0</v>
      </c>
      <c r="AB31" s="76" t="b">
        <f t="shared" si="31"/>
        <v>0</v>
      </c>
      <c r="AC31" s="76">
        <f t="shared" si="32"/>
        <v>0</v>
      </c>
      <c r="AD31" s="105">
        <f t="shared" si="33"/>
        <v>0</v>
      </c>
    </row>
    <row r="32" spans="1:30" x14ac:dyDescent="0.2">
      <c r="B32" s="99" t="s">
        <v>252</v>
      </c>
      <c r="C32" s="99" t="s">
        <v>1090</v>
      </c>
      <c r="D32" s="91">
        <v>2007</v>
      </c>
      <c r="E32" s="100">
        <v>29.94</v>
      </c>
      <c r="F32" s="94">
        <v>3882</v>
      </c>
      <c r="G32" s="94">
        <f t="shared" si="25"/>
        <v>129.65931863727454</v>
      </c>
      <c r="H32" s="94">
        <v>384</v>
      </c>
      <c r="I32" s="100">
        <f t="shared" si="26"/>
        <v>9.891808346213292</v>
      </c>
      <c r="J32" s="94">
        <v>49</v>
      </c>
      <c r="K32" s="97">
        <f t="shared" si="27"/>
        <v>12.760416666666666</v>
      </c>
      <c r="L32" s="94"/>
      <c r="M32" s="94"/>
      <c r="N32" s="94"/>
      <c r="O32" s="97">
        <f t="shared" si="21"/>
        <v>0</v>
      </c>
      <c r="P32" s="97">
        <f t="shared" si="21"/>
        <v>0</v>
      </c>
      <c r="Q32" s="94"/>
      <c r="R32" s="94"/>
      <c r="S32" s="94"/>
      <c r="T32" s="97">
        <f t="shared" si="28"/>
        <v>0</v>
      </c>
      <c r="U32" s="97">
        <f t="shared" si="28"/>
        <v>0</v>
      </c>
      <c r="V32" s="98">
        <f t="shared" si="22"/>
        <v>12.760416666666666</v>
      </c>
      <c r="W32" s="98">
        <f t="shared" si="23"/>
        <v>12.760416666666666</v>
      </c>
      <c r="X32" s="98">
        <f t="shared" si="24"/>
        <v>0</v>
      </c>
      <c r="Z32" s="76" t="str">
        <f t="shared" si="29"/>
        <v>A</v>
      </c>
      <c r="AA32" s="76" t="b">
        <f t="shared" si="30"/>
        <v>0</v>
      </c>
      <c r="AB32" s="76" t="b">
        <f t="shared" si="31"/>
        <v>0</v>
      </c>
      <c r="AC32" s="76">
        <f t="shared" si="32"/>
        <v>1</v>
      </c>
      <c r="AD32" s="105">
        <f t="shared" si="33"/>
        <v>25.520833333333332</v>
      </c>
    </row>
    <row r="33" spans="2:30" x14ac:dyDescent="0.2">
      <c r="B33" s="99" t="s">
        <v>252</v>
      </c>
      <c r="C33" s="99" t="s">
        <v>1091</v>
      </c>
      <c r="D33" s="91">
        <v>2007</v>
      </c>
      <c r="E33" s="100">
        <v>30.76</v>
      </c>
      <c r="F33" s="94">
        <v>3987</v>
      </c>
      <c r="G33" s="94">
        <f t="shared" si="25"/>
        <v>129.61638491547464</v>
      </c>
      <c r="H33" s="94">
        <v>421</v>
      </c>
      <c r="I33" s="100">
        <f t="shared" si="26"/>
        <v>10.55931778279408</v>
      </c>
      <c r="J33" s="94">
        <v>35</v>
      </c>
      <c r="K33" s="97">
        <f t="shared" si="27"/>
        <v>8.31353919239905</v>
      </c>
      <c r="L33" s="94"/>
      <c r="M33" s="94"/>
      <c r="N33" s="94"/>
      <c r="O33" s="97">
        <f t="shared" si="21"/>
        <v>0</v>
      </c>
      <c r="P33" s="97">
        <f t="shared" si="21"/>
        <v>0</v>
      </c>
      <c r="Q33" s="94">
        <v>928</v>
      </c>
      <c r="R33" s="94">
        <v>128</v>
      </c>
      <c r="S33" s="94">
        <v>223</v>
      </c>
      <c r="T33" s="97">
        <f t="shared" si="28"/>
        <v>13.793103448275861</v>
      </c>
      <c r="U33" s="97">
        <f t="shared" si="28"/>
        <v>24.030172413793103</v>
      </c>
      <c r="V33" s="98">
        <f t="shared" si="22"/>
        <v>8.31353919239905</v>
      </c>
      <c r="W33" s="98">
        <f t="shared" si="23"/>
        <v>-5.4795642558768112</v>
      </c>
      <c r="X33" s="98">
        <f t="shared" si="24"/>
        <v>-13.793103448275861</v>
      </c>
      <c r="Z33" s="76" t="str">
        <f t="shared" si="29"/>
        <v>A</v>
      </c>
      <c r="AA33" s="76" t="b">
        <f t="shared" si="30"/>
        <v>0</v>
      </c>
      <c r="AB33" s="76" t="str">
        <f t="shared" si="31"/>
        <v>A</v>
      </c>
      <c r="AC33" s="76">
        <f t="shared" si="32"/>
        <v>2</v>
      </c>
      <c r="AD33" s="105">
        <f t="shared" si="33"/>
        <v>-10.959128511753622</v>
      </c>
    </row>
    <row r="34" spans="2:30" x14ac:dyDescent="0.2">
      <c r="B34" s="99" t="s">
        <v>252</v>
      </c>
      <c r="C34" s="99" t="s">
        <v>1092</v>
      </c>
      <c r="D34" s="91">
        <v>2025</v>
      </c>
      <c r="E34" s="100">
        <v>0</v>
      </c>
      <c r="F34" s="94">
        <v>0</v>
      </c>
      <c r="G34" s="94">
        <f t="shared" si="25"/>
        <v>0</v>
      </c>
      <c r="H34" s="94"/>
      <c r="I34" s="100">
        <f t="shared" si="26"/>
        <v>0</v>
      </c>
      <c r="J34" s="94"/>
      <c r="K34" s="97">
        <f t="shared" si="27"/>
        <v>0</v>
      </c>
      <c r="L34" s="94"/>
      <c r="M34" s="94"/>
      <c r="N34" s="94"/>
      <c r="O34" s="97">
        <f t="shared" si="21"/>
        <v>0</v>
      </c>
      <c r="P34" s="97">
        <f t="shared" si="21"/>
        <v>0</v>
      </c>
      <c r="Q34" s="94"/>
      <c r="R34" s="94"/>
      <c r="S34" s="94"/>
      <c r="T34" s="97">
        <f t="shared" si="28"/>
        <v>0</v>
      </c>
      <c r="U34" s="97">
        <f t="shared" si="28"/>
        <v>0</v>
      </c>
      <c r="V34" s="98">
        <f t="shared" si="22"/>
        <v>0</v>
      </c>
      <c r="W34" s="98">
        <f t="shared" si="23"/>
        <v>0</v>
      </c>
      <c r="X34" s="98">
        <f t="shared" si="24"/>
        <v>0</v>
      </c>
      <c r="Z34" s="76" t="b">
        <f t="shared" si="29"/>
        <v>0</v>
      </c>
      <c r="AA34" s="76" t="b">
        <f t="shared" si="30"/>
        <v>0</v>
      </c>
      <c r="AB34" s="76" t="b">
        <f t="shared" si="31"/>
        <v>0</v>
      </c>
      <c r="AC34" s="76">
        <f t="shared" si="32"/>
        <v>0</v>
      </c>
      <c r="AD34" s="105">
        <f t="shared" si="33"/>
        <v>0</v>
      </c>
    </row>
    <row r="35" spans="2:30" x14ac:dyDescent="0.2">
      <c r="B35" s="99" t="s">
        <v>252</v>
      </c>
      <c r="C35" s="99" t="s">
        <v>1093</v>
      </c>
      <c r="D35" s="91">
        <v>2025</v>
      </c>
      <c r="E35" s="100">
        <v>0</v>
      </c>
      <c r="F35" s="94">
        <v>0</v>
      </c>
      <c r="G35" s="94">
        <f t="shared" si="25"/>
        <v>0</v>
      </c>
      <c r="H35" s="94"/>
      <c r="I35" s="100">
        <f t="shared" si="26"/>
        <v>0</v>
      </c>
      <c r="J35" s="94"/>
      <c r="K35" s="97">
        <f t="shared" si="27"/>
        <v>0</v>
      </c>
      <c r="L35" s="94"/>
      <c r="M35" s="94"/>
      <c r="N35" s="94"/>
      <c r="O35" s="97">
        <f t="shared" si="21"/>
        <v>0</v>
      </c>
      <c r="P35" s="97">
        <f t="shared" si="21"/>
        <v>0</v>
      </c>
      <c r="Q35" s="94"/>
      <c r="R35" s="94"/>
      <c r="S35" s="94"/>
      <c r="T35" s="97">
        <f t="shared" si="28"/>
        <v>0</v>
      </c>
      <c r="U35" s="97">
        <f t="shared" si="28"/>
        <v>0</v>
      </c>
      <c r="V35" s="98">
        <f t="shared" si="22"/>
        <v>0</v>
      </c>
      <c r="W35" s="98">
        <f t="shared" si="23"/>
        <v>0</v>
      </c>
      <c r="X35" s="98">
        <f t="shared" si="24"/>
        <v>0</v>
      </c>
      <c r="Z35" s="76" t="b">
        <f t="shared" si="29"/>
        <v>0</v>
      </c>
      <c r="AA35" s="76" t="b">
        <f t="shared" si="30"/>
        <v>0</v>
      </c>
      <c r="AB35" s="76" t="b">
        <f t="shared" si="31"/>
        <v>0</v>
      </c>
      <c r="AC35" s="76">
        <f t="shared" si="32"/>
        <v>0</v>
      </c>
      <c r="AD35" s="105">
        <f t="shared" si="33"/>
        <v>0</v>
      </c>
    </row>
    <row r="36" spans="2:30" x14ac:dyDescent="0.2">
      <c r="B36" s="99" t="s">
        <v>252</v>
      </c>
      <c r="C36" s="99" t="s">
        <v>1094</v>
      </c>
      <c r="D36" s="91">
        <v>2025</v>
      </c>
      <c r="E36" s="100">
        <v>0</v>
      </c>
      <c r="F36" s="94">
        <v>0</v>
      </c>
      <c r="G36" s="94">
        <f t="shared" si="25"/>
        <v>0</v>
      </c>
      <c r="H36" s="94"/>
      <c r="I36" s="100">
        <f t="shared" si="26"/>
        <v>0</v>
      </c>
      <c r="J36" s="94"/>
      <c r="K36" s="97">
        <f t="shared" si="27"/>
        <v>0</v>
      </c>
      <c r="L36" s="94"/>
      <c r="M36" s="94"/>
      <c r="N36" s="94"/>
      <c r="O36" s="97">
        <f t="shared" si="21"/>
        <v>0</v>
      </c>
      <c r="P36" s="97">
        <f t="shared" si="21"/>
        <v>0</v>
      </c>
      <c r="Q36" s="94"/>
      <c r="R36" s="94"/>
      <c r="S36" s="94"/>
      <c r="T36" s="97">
        <f t="shared" si="28"/>
        <v>0</v>
      </c>
      <c r="U36" s="97">
        <f t="shared" si="28"/>
        <v>0</v>
      </c>
      <c r="V36" s="98">
        <f t="shared" si="22"/>
        <v>0</v>
      </c>
      <c r="W36" s="98">
        <f t="shared" si="23"/>
        <v>0</v>
      </c>
      <c r="X36" s="98">
        <f t="shared" si="24"/>
        <v>0</v>
      </c>
      <c r="Z36" s="76" t="b">
        <f t="shared" si="29"/>
        <v>0</v>
      </c>
      <c r="AA36" s="76" t="b">
        <f t="shared" si="30"/>
        <v>0</v>
      </c>
      <c r="AB36" s="76" t="b">
        <f t="shared" si="31"/>
        <v>0</v>
      </c>
      <c r="AC36" s="76">
        <f t="shared" si="32"/>
        <v>0</v>
      </c>
      <c r="AD36" s="105">
        <f t="shared" si="33"/>
        <v>0</v>
      </c>
    </row>
    <row r="37" spans="2:30" x14ac:dyDescent="0.2">
      <c r="B37" s="99" t="s">
        <v>252</v>
      </c>
      <c r="C37" s="99" t="s">
        <v>1095</v>
      </c>
      <c r="D37" s="91">
        <v>1998</v>
      </c>
      <c r="E37" s="100">
        <v>24.63</v>
      </c>
      <c r="F37" s="94">
        <v>3108</v>
      </c>
      <c r="G37" s="94">
        <f t="shared" si="25"/>
        <v>126.1875761266748</v>
      </c>
      <c r="H37" s="94"/>
      <c r="I37" s="100">
        <f t="shared" si="26"/>
        <v>0</v>
      </c>
      <c r="J37" s="94"/>
      <c r="K37" s="97">
        <f t="shared" si="27"/>
        <v>0</v>
      </c>
      <c r="L37" s="94"/>
      <c r="M37" s="94"/>
      <c r="N37" s="94"/>
      <c r="O37" s="97">
        <f t="shared" si="21"/>
        <v>0</v>
      </c>
      <c r="P37" s="97">
        <f t="shared" si="21"/>
        <v>0</v>
      </c>
      <c r="Q37" s="94"/>
      <c r="R37" s="94"/>
      <c r="S37" s="94"/>
      <c r="T37" s="97">
        <f t="shared" si="28"/>
        <v>0</v>
      </c>
      <c r="U37" s="97">
        <f t="shared" si="28"/>
        <v>0</v>
      </c>
      <c r="V37" s="98">
        <f t="shared" si="22"/>
        <v>0</v>
      </c>
      <c r="W37" s="98">
        <f t="shared" si="23"/>
        <v>0</v>
      </c>
      <c r="X37" s="98">
        <f t="shared" si="24"/>
        <v>0</v>
      </c>
      <c r="Z37" s="76" t="b">
        <f t="shared" si="29"/>
        <v>0</v>
      </c>
      <c r="AA37" s="76" t="b">
        <f t="shared" si="30"/>
        <v>0</v>
      </c>
      <c r="AB37" s="76" t="b">
        <f t="shared" si="31"/>
        <v>0</v>
      </c>
      <c r="AC37" s="76">
        <f t="shared" si="32"/>
        <v>0</v>
      </c>
      <c r="AD37" s="105">
        <f t="shared" si="33"/>
        <v>0</v>
      </c>
    </row>
    <row r="38" spans="2:30" x14ac:dyDescent="0.2">
      <c r="B38" s="99" t="s">
        <v>252</v>
      </c>
      <c r="C38" s="99" t="s">
        <v>1096</v>
      </c>
      <c r="D38" s="91">
        <v>2007</v>
      </c>
      <c r="E38" s="100">
        <v>31.19</v>
      </c>
      <c r="F38" s="94">
        <v>4177</v>
      </c>
      <c r="G38" s="94">
        <f t="shared" si="25"/>
        <v>133.92112856684835</v>
      </c>
      <c r="H38" s="94"/>
      <c r="I38" s="100">
        <f t="shared" si="26"/>
        <v>0</v>
      </c>
      <c r="J38" s="94"/>
      <c r="K38" s="97">
        <f t="shared" si="27"/>
        <v>0</v>
      </c>
      <c r="L38" s="94">
        <v>132</v>
      </c>
      <c r="M38" s="94">
        <v>32</v>
      </c>
      <c r="N38" s="94">
        <v>66</v>
      </c>
      <c r="O38" s="97">
        <f>IFERROR(M38/$L38*100,0)</f>
        <v>24.242424242424242</v>
      </c>
      <c r="P38" s="97">
        <f>IFERROR(N38/$L38*100,0)</f>
        <v>50</v>
      </c>
      <c r="Q38" s="94">
        <v>695</v>
      </c>
      <c r="R38" s="94">
        <v>125</v>
      </c>
      <c r="S38" s="94">
        <v>198</v>
      </c>
      <c r="T38" s="97">
        <f t="shared" si="28"/>
        <v>17.985611510791365</v>
      </c>
      <c r="U38" s="97">
        <f t="shared" si="28"/>
        <v>28.489208633093526</v>
      </c>
      <c r="V38" s="98">
        <f t="shared" si="22"/>
        <v>-24.242424242424242</v>
      </c>
      <c r="W38" s="98">
        <f t="shared" si="23"/>
        <v>-17.985611510791365</v>
      </c>
      <c r="X38" s="98">
        <f t="shared" si="24"/>
        <v>6.256812731632877</v>
      </c>
      <c r="Z38" s="76" t="b">
        <f t="shared" si="29"/>
        <v>0</v>
      </c>
      <c r="AA38" s="76" t="str">
        <f t="shared" si="30"/>
        <v>A</v>
      </c>
      <c r="AB38" s="76" t="str">
        <f t="shared" si="31"/>
        <v>A</v>
      </c>
      <c r="AC38" s="76">
        <f t="shared" si="32"/>
        <v>2</v>
      </c>
      <c r="AD38" s="105">
        <f t="shared" si="33"/>
        <v>-35.97122302158273</v>
      </c>
    </row>
    <row r="39" spans="2:30" x14ac:dyDescent="0.2">
      <c r="B39" s="99" t="s">
        <v>252</v>
      </c>
      <c r="C39" s="99" t="s">
        <v>1097</v>
      </c>
      <c r="D39" s="91">
        <v>2007</v>
      </c>
      <c r="E39" s="100">
        <v>28.98</v>
      </c>
      <c r="F39" s="94">
        <v>3701</v>
      </c>
      <c r="G39" s="94">
        <f t="shared" si="25"/>
        <v>127.70876466528641</v>
      </c>
      <c r="H39" s="94"/>
      <c r="I39" s="100">
        <f t="shared" si="26"/>
        <v>0</v>
      </c>
      <c r="J39" s="94"/>
      <c r="K39" s="97">
        <f t="shared" si="27"/>
        <v>0</v>
      </c>
      <c r="L39" s="94">
        <v>132</v>
      </c>
      <c r="M39" s="94">
        <v>24</v>
      </c>
      <c r="N39" s="94">
        <v>64</v>
      </c>
      <c r="O39" s="97">
        <f t="shared" ref="O39:P102" si="34">IFERROR(M39/$L39*100,0)</f>
        <v>18.181818181818183</v>
      </c>
      <c r="P39" s="97">
        <f t="shared" si="34"/>
        <v>48.484848484848484</v>
      </c>
      <c r="Q39" s="94">
        <v>777</v>
      </c>
      <c r="R39" s="94">
        <v>183</v>
      </c>
      <c r="S39" s="94">
        <v>298</v>
      </c>
      <c r="T39" s="97">
        <f t="shared" si="28"/>
        <v>23.552123552123554</v>
      </c>
      <c r="U39" s="97">
        <f t="shared" si="28"/>
        <v>38.352638352638351</v>
      </c>
      <c r="V39" s="98">
        <f t="shared" si="22"/>
        <v>-18.181818181818183</v>
      </c>
      <c r="W39" s="98">
        <f t="shared" si="23"/>
        <v>-23.552123552123554</v>
      </c>
      <c r="X39" s="98">
        <f t="shared" si="24"/>
        <v>-5.3703053703053705</v>
      </c>
      <c r="Z39" s="76" t="b">
        <f t="shared" si="29"/>
        <v>0</v>
      </c>
      <c r="AA39" s="76" t="str">
        <f t="shared" si="30"/>
        <v>A</v>
      </c>
      <c r="AB39" s="76" t="str">
        <f t="shared" si="31"/>
        <v>A</v>
      </c>
      <c r="AC39" s="76">
        <f t="shared" si="32"/>
        <v>2</v>
      </c>
      <c r="AD39" s="105">
        <f t="shared" si="33"/>
        <v>-47.104247104247108</v>
      </c>
    </row>
    <row r="40" spans="2:30" x14ac:dyDescent="0.2">
      <c r="B40" s="99" t="s">
        <v>252</v>
      </c>
      <c r="C40" s="99" t="s">
        <v>1098</v>
      </c>
      <c r="D40" s="91">
        <v>1998</v>
      </c>
      <c r="E40" s="100">
        <v>30.54</v>
      </c>
      <c r="F40" s="94">
        <v>3587</v>
      </c>
      <c r="G40" s="94">
        <f t="shared" si="25"/>
        <v>117.45252128356255</v>
      </c>
      <c r="H40" s="94"/>
      <c r="I40" s="100">
        <f t="shared" si="26"/>
        <v>0</v>
      </c>
      <c r="J40" s="94"/>
      <c r="K40" s="97">
        <f t="shared" si="27"/>
        <v>0</v>
      </c>
      <c r="L40" s="94"/>
      <c r="M40" s="94"/>
      <c r="N40" s="94"/>
      <c r="O40" s="97">
        <f t="shared" si="34"/>
        <v>0</v>
      </c>
      <c r="P40" s="97">
        <f t="shared" si="34"/>
        <v>0</v>
      </c>
      <c r="Q40" s="94"/>
      <c r="R40" s="94"/>
      <c r="S40" s="94"/>
      <c r="T40" s="97">
        <f t="shared" si="28"/>
        <v>0</v>
      </c>
      <c r="U40" s="97">
        <f t="shared" si="28"/>
        <v>0</v>
      </c>
      <c r="V40" s="98">
        <f t="shared" si="22"/>
        <v>0</v>
      </c>
      <c r="W40" s="98">
        <f t="shared" si="23"/>
        <v>0</v>
      </c>
      <c r="X40" s="98">
        <f t="shared" si="24"/>
        <v>0</v>
      </c>
      <c r="Z40" s="76" t="b">
        <f t="shared" si="29"/>
        <v>0</v>
      </c>
      <c r="AA40" s="76" t="b">
        <f t="shared" si="30"/>
        <v>0</v>
      </c>
      <c r="AB40" s="76" t="b">
        <f t="shared" si="31"/>
        <v>0</v>
      </c>
      <c r="AC40" s="76">
        <f t="shared" si="32"/>
        <v>0</v>
      </c>
      <c r="AD40" s="105">
        <f t="shared" si="33"/>
        <v>0</v>
      </c>
    </row>
    <row r="41" spans="2:30" x14ac:dyDescent="0.2">
      <c r="B41" s="99" t="s">
        <v>252</v>
      </c>
      <c r="C41" s="99" t="s">
        <v>1099</v>
      </c>
      <c r="D41" s="91">
        <v>1998</v>
      </c>
      <c r="E41" s="100">
        <v>25.31</v>
      </c>
      <c r="F41" s="94">
        <v>3271</v>
      </c>
      <c r="G41" s="94">
        <f t="shared" si="25"/>
        <v>129.23745555116557</v>
      </c>
      <c r="H41" s="94"/>
      <c r="I41" s="100">
        <f t="shared" si="26"/>
        <v>0</v>
      </c>
      <c r="J41" s="94"/>
      <c r="K41" s="97">
        <f t="shared" si="27"/>
        <v>0</v>
      </c>
      <c r="L41" s="94"/>
      <c r="M41" s="94"/>
      <c r="N41" s="94"/>
      <c r="O41" s="97">
        <f t="shared" si="34"/>
        <v>0</v>
      </c>
      <c r="P41" s="97">
        <f t="shared" si="34"/>
        <v>0</v>
      </c>
      <c r="Q41" s="94"/>
      <c r="R41" s="94"/>
      <c r="S41" s="94"/>
      <c r="T41" s="97">
        <f t="shared" si="28"/>
        <v>0</v>
      </c>
      <c r="U41" s="97">
        <f t="shared" si="28"/>
        <v>0</v>
      </c>
      <c r="V41" s="98">
        <f t="shared" si="22"/>
        <v>0</v>
      </c>
      <c r="W41" s="98">
        <f t="shared" si="23"/>
        <v>0</v>
      </c>
      <c r="X41" s="98">
        <f t="shared" si="24"/>
        <v>0</v>
      </c>
      <c r="Z41" s="76" t="b">
        <f t="shared" si="29"/>
        <v>0</v>
      </c>
      <c r="AA41" s="76" t="b">
        <f t="shared" si="30"/>
        <v>0</v>
      </c>
      <c r="AB41" s="76" t="b">
        <f t="shared" si="31"/>
        <v>0</v>
      </c>
      <c r="AC41" s="76">
        <f t="shared" si="32"/>
        <v>0</v>
      </c>
      <c r="AD41" s="105">
        <f t="shared" si="33"/>
        <v>0</v>
      </c>
    </row>
    <row r="42" spans="2:30" x14ac:dyDescent="0.2">
      <c r="B42" s="99" t="s">
        <v>252</v>
      </c>
      <c r="C42" s="99" t="s">
        <v>1100</v>
      </c>
      <c r="D42" s="91">
        <v>2026</v>
      </c>
      <c r="E42" s="100">
        <v>0</v>
      </c>
      <c r="F42" s="94">
        <v>0</v>
      </c>
      <c r="G42" s="94">
        <f t="shared" si="25"/>
        <v>0</v>
      </c>
      <c r="H42" s="94"/>
      <c r="I42" s="100">
        <f t="shared" si="26"/>
        <v>0</v>
      </c>
      <c r="J42" s="94"/>
      <c r="K42" s="97">
        <f t="shared" si="27"/>
        <v>0</v>
      </c>
      <c r="L42" s="94"/>
      <c r="M42" s="94"/>
      <c r="N42" s="94"/>
      <c r="O42" s="97">
        <f t="shared" si="34"/>
        <v>0</v>
      </c>
      <c r="P42" s="97">
        <f t="shared" si="34"/>
        <v>0</v>
      </c>
      <c r="Q42" s="94"/>
      <c r="R42" s="94"/>
      <c r="S42" s="94"/>
      <c r="T42" s="97">
        <f t="shared" si="28"/>
        <v>0</v>
      </c>
      <c r="U42" s="97">
        <f t="shared" si="28"/>
        <v>0</v>
      </c>
      <c r="V42" s="98">
        <f t="shared" si="22"/>
        <v>0</v>
      </c>
      <c r="W42" s="98">
        <f t="shared" si="23"/>
        <v>0</v>
      </c>
      <c r="X42" s="98">
        <f t="shared" si="24"/>
        <v>0</v>
      </c>
      <c r="Z42" s="76" t="b">
        <f t="shared" si="29"/>
        <v>0</v>
      </c>
      <c r="AA42" s="76" t="b">
        <f t="shared" si="30"/>
        <v>0</v>
      </c>
      <c r="AB42" s="76" t="b">
        <f t="shared" si="31"/>
        <v>0</v>
      </c>
      <c r="AC42" s="76">
        <f t="shared" si="32"/>
        <v>0</v>
      </c>
      <c r="AD42" s="105">
        <f t="shared" si="33"/>
        <v>0</v>
      </c>
    </row>
    <row r="43" spans="2:30" x14ac:dyDescent="0.2">
      <c r="B43" s="99" t="s">
        <v>252</v>
      </c>
      <c r="C43" s="99" t="s">
        <v>1101</v>
      </c>
      <c r="D43" s="91">
        <v>2007</v>
      </c>
      <c r="E43" s="100">
        <v>34.58</v>
      </c>
      <c r="F43" s="94">
        <v>4363</v>
      </c>
      <c r="G43" s="94">
        <f t="shared" si="25"/>
        <v>126.17119722382881</v>
      </c>
      <c r="H43" s="94"/>
      <c r="I43" s="100">
        <f t="shared" si="26"/>
        <v>0</v>
      </c>
      <c r="J43" s="94"/>
      <c r="K43" s="97">
        <f t="shared" si="27"/>
        <v>0</v>
      </c>
      <c r="L43" s="94">
        <v>144</v>
      </c>
      <c r="M43" s="94">
        <v>25</v>
      </c>
      <c r="N43" s="94">
        <v>56</v>
      </c>
      <c r="O43" s="97">
        <f t="shared" si="34"/>
        <v>17.361111111111111</v>
      </c>
      <c r="P43" s="97">
        <f t="shared" si="34"/>
        <v>38.888888888888893</v>
      </c>
      <c r="Q43" s="94"/>
      <c r="R43" s="94"/>
      <c r="S43" s="94"/>
      <c r="T43" s="97">
        <f t="shared" si="28"/>
        <v>0</v>
      </c>
      <c r="U43" s="97">
        <f t="shared" si="28"/>
        <v>0</v>
      </c>
      <c r="V43" s="98">
        <f t="shared" si="22"/>
        <v>-17.361111111111111</v>
      </c>
      <c r="W43" s="98">
        <f t="shared" si="23"/>
        <v>0</v>
      </c>
      <c r="X43" s="98">
        <f t="shared" si="24"/>
        <v>17.361111111111111</v>
      </c>
      <c r="Z43" s="76" t="b">
        <f t="shared" si="29"/>
        <v>0</v>
      </c>
      <c r="AA43" s="76" t="str">
        <f t="shared" si="30"/>
        <v>A</v>
      </c>
      <c r="AB43" s="76" t="b">
        <f t="shared" si="31"/>
        <v>0</v>
      </c>
      <c r="AC43" s="76">
        <f t="shared" si="32"/>
        <v>1</v>
      </c>
      <c r="AD43" s="105">
        <f t="shared" si="33"/>
        <v>0</v>
      </c>
    </row>
    <row r="44" spans="2:30" x14ac:dyDescent="0.2">
      <c r="B44" s="99" t="s">
        <v>252</v>
      </c>
      <c r="C44" s="99" t="s">
        <v>1102</v>
      </c>
      <c r="D44" s="91">
        <v>2007</v>
      </c>
      <c r="E44" s="100">
        <v>29.14</v>
      </c>
      <c r="F44" s="94">
        <v>3643</v>
      </c>
      <c r="G44" s="94">
        <f t="shared" si="25"/>
        <v>125.01715854495538</v>
      </c>
      <c r="H44" s="94"/>
      <c r="I44" s="100">
        <f t="shared" si="26"/>
        <v>0</v>
      </c>
      <c r="J44" s="94"/>
      <c r="K44" s="97">
        <f t="shared" si="27"/>
        <v>0</v>
      </c>
      <c r="L44" s="94">
        <v>128</v>
      </c>
      <c r="M44" s="94">
        <v>26</v>
      </c>
      <c r="N44" s="94">
        <v>69</v>
      </c>
      <c r="O44" s="97">
        <f t="shared" si="34"/>
        <v>20.3125</v>
      </c>
      <c r="P44" s="97">
        <f t="shared" si="34"/>
        <v>53.90625</v>
      </c>
      <c r="Q44" s="94">
        <v>832</v>
      </c>
      <c r="R44" s="94">
        <v>116</v>
      </c>
      <c r="S44" s="94">
        <v>239</v>
      </c>
      <c r="T44" s="97">
        <f t="shared" si="28"/>
        <v>13.942307692307693</v>
      </c>
      <c r="U44" s="97">
        <f t="shared" si="28"/>
        <v>28.725961538461537</v>
      </c>
      <c r="V44" s="98">
        <f t="shared" si="22"/>
        <v>-20.3125</v>
      </c>
      <c r="W44" s="98">
        <f t="shared" si="23"/>
        <v>-13.942307692307693</v>
      </c>
      <c r="X44" s="98">
        <f t="shared" si="24"/>
        <v>6.3701923076923066</v>
      </c>
      <c r="Z44" s="76" t="b">
        <f t="shared" si="29"/>
        <v>0</v>
      </c>
      <c r="AA44" s="76" t="str">
        <f t="shared" si="30"/>
        <v>A</v>
      </c>
      <c r="AB44" s="76" t="str">
        <f t="shared" si="31"/>
        <v>A</v>
      </c>
      <c r="AC44" s="76">
        <f t="shared" si="32"/>
        <v>2</v>
      </c>
      <c r="AD44" s="105">
        <f t="shared" si="33"/>
        <v>-27.884615384615387</v>
      </c>
    </row>
    <row r="45" spans="2:30" x14ac:dyDescent="0.2">
      <c r="B45" s="99" t="s">
        <v>252</v>
      </c>
      <c r="C45" s="99" t="s">
        <v>1103</v>
      </c>
      <c r="D45" s="91">
        <v>2026</v>
      </c>
      <c r="E45" s="100">
        <v>0</v>
      </c>
      <c r="F45" s="94">
        <v>0</v>
      </c>
      <c r="G45" s="94">
        <f t="shared" si="25"/>
        <v>0</v>
      </c>
      <c r="H45" s="94"/>
      <c r="I45" s="100">
        <f t="shared" si="26"/>
        <v>0</v>
      </c>
      <c r="J45" s="94"/>
      <c r="K45" s="97">
        <f t="shared" si="27"/>
        <v>0</v>
      </c>
      <c r="L45" s="94"/>
      <c r="M45" s="94"/>
      <c r="N45" s="94"/>
      <c r="O45" s="97">
        <f t="shared" si="34"/>
        <v>0</v>
      </c>
      <c r="P45" s="97">
        <f t="shared" si="34"/>
        <v>0</v>
      </c>
      <c r="Q45" s="94"/>
      <c r="R45" s="94"/>
      <c r="S45" s="94"/>
      <c r="T45" s="97">
        <f t="shared" si="28"/>
        <v>0</v>
      </c>
      <c r="U45" s="97">
        <f t="shared" si="28"/>
        <v>0</v>
      </c>
      <c r="V45" s="98">
        <f t="shared" si="22"/>
        <v>0</v>
      </c>
      <c r="W45" s="98">
        <f t="shared" si="23"/>
        <v>0</v>
      </c>
      <c r="X45" s="98">
        <f t="shared" si="24"/>
        <v>0</v>
      </c>
      <c r="Z45" s="76" t="b">
        <f t="shared" si="29"/>
        <v>0</v>
      </c>
      <c r="AA45" s="76" t="b">
        <f t="shared" si="30"/>
        <v>0</v>
      </c>
      <c r="AB45" s="76" t="b">
        <f t="shared" si="31"/>
        <v>0</v>
      </c>
      <c r="AC45" s="76">
        <f t="shared" si="32"/>
        <v>0</v>
      </c>
      <c r="AD45" s="105">
        <f t="shared" si="33"/>
        <v>0</v>
      </c>
    </row>
    <row r="46" spans="2:30" x14ac:dyDescent="0.2">
      <c r="B46" s="99" t="s">
        <v>252</v>
      </c>
      <c r="C46" s="99" t="s">
        <v>1104</v>
      </c>
      <c r="D46" s="91">
        <v>2026</v>
      </c>
      <c r="E46" s="100">
        <v>0</v>
      </c>
      <c r="F46" s="94">
        <v>0</v>
      </c>
      <c r="G46" s="94">
        <f t="shared" si="25"/>
        <v>0</v>
      </c>
      <c r="H46" s="94"/>
      <c r="I46" s="100">
        <f t="shared" si="26"/>
        <v>0</v>
      </c>
      <c r="J46" s="94"/>
      <c r="K46" s="97">
        <f t="shared" si="27"/>
        <v>0</v>
      </c>
      <c r="L46" s="94"/>
      <c r="M46" s="94"/>
      <c r="N46" s="94"/>
      <c r="O46" s="97">
        <f t="shared" si="34"/>
        <v>0</v>
      </c>
      <c r="P46" s="97">
        <f t="shared" si="34"/>
        <v>0</v>
      </c>
      <c r="Q46" s="94"/>
      <c r="R46" s="94"/>
      <c r="S46" s="94"/>
      <c r="T46" s="97">
        <f t="shared" si="28"/>
        <v>0</v>
      </c>
      <c r="U46" s="97">
        <f t="shared" si="28"/>
        <v>0</v>
      </c>
      <c r="V46" s="98">
        <f t="shared" si="22"/>
        <v>0</v>
      </c>
      <c r="W46" s="98">
        <f t="shared" si="23"/>
        <v>0</v>
      </c>
      <c r="X46" s="98">
        <f t="shared" si="24"/>
        <v>0</v>
      </c>
      <c r="Z46" s="76" t="b">
        <f t="shared" si="29"/>
        <v>0</v>
      </c>
      <c r="AA46" s="76" t="b">
        <f t="shared" si="30"/>
        <v>0</v>
      </c>
      <c r="AB46" s="76" t="b">
        <f t="shared" si="31"/>
        <v>0</v>
      </c>
      <c r="AC46" s="76">
        <f t="shared" si="32"/>
        <v>0</v>
      </c>
      <c r="AD46" s="105">
        <f t="shared" si="33"/>
        <v>0</v>
      </c>
    </row>
    <row r="47" spans="2:30" x14ac:dyDescent="0.2">
      <c r="B47" s="99" t="s">
        <v>252</v>
      </c>
      <c r="C47" s="99" t="s">
        <v>1105</v>
      </c>
      <c r="D47" s="91">
        <v>2026</v>
      </c>
      <c r="E47" s="100">
        <v>0</v>
      </c>
      <c r="F47" s="94">
        <v>0</v>
      </c>
      <c r="G47" s="94">
        <f t="shared" si="25"/>
        <v>0</v>
      </c>
      <c r="H47" s="94"/>
      <c r="I47" s="100">
        <f t="shared" si="26"/>
        <v>0</v>
      </c>
      <c r="J47" s="94"/>
      <c r="K47" s="97">
        <f t="shared" si="27"/>
        <v>0</v>
      </c>
      <c r="L47" s="94"/>
      <c r="M47" s="94"/>
      <c r="N47" s="94"/>
      <c r="O47" s="97">
        <f t="shared" si="34"/>
        <v>0</v>
      </c>
      <c r="P47" s="97">
        <f t="shared" si="34"/>
        <v>0</v>
      </c>
      <c r="Q47" s="94"/>
      <c r="R47" s="94"/>
      <c r="S47" s="94"/>
      <c r="T47" s="97">
        <f t="shared" si="28"/>
        <v>0</v>
      </c>
      <c r="U47" s="97">
        <f t="shared" si="28"/>
        <v>0</v>
      </c>
      <c r="V47" s="98">
        <f t="shared" si="22"/>
        <v>0</v>
      </c>
      <c r="W47" s="98">
        <f t="shared" si="23"/>
        <v>0</v>
      </c>
      <c r="X47" s="98">
        <f t="shared" si="24"/>
        <v>0</v>
      </c>
      <c r="Z47" s="76" t="b">
        <f t="shared" si="29"/>
        <v>0</v>
      </c>
      <c r="AA47" s="76" t="b">
        <f t="shared" si="30"/>
        <v>0</v>
      </c>
      <c r="AB47" s="76" t="b">
        <f t="shared" si="31"/>
        <v>0</v>
      </c>
      <c r="AC47" s="76">
        <f t="shared" si="32"/>
        <v>0</v>
      </c>
      <c r="AD47" s="105">
        <f t="shared" si="33"/>
        <v>0</v>
      </c>
    </row>
    <row r="48" spans="2:30" x14ac:dyDescent="0.2">
      <c r="B48" s="99" t="s">
        <v>252</v>
      </c>
      <c r="C48" s="99" t="s">
        <v>1106</v>
      </c>
      <c r="D48" s="91">
        <v>2026</v>
      </c>
      <c r="E48" s="100">
        <v>0</v>
      </c>
      <c r="F48" s="94">
        <v>0</v>
      </c>
      <c r="G48" s="94">
        <f t="shared" si="25"/>
        <v>0</v>
      </c>
      <c r="H48" s="94"/>
      <c r="I48" s="100">
        <f t="shared" si="26"/>
        <v>0</v>
      </c>
      <c r="J48" s="94"/>
      <c r="K48" s="97">
        <f t="shared" si="27"/>
        <v>0</v>
      </c>
      <c r="L48" s="94"/>
      <c r="M48" s="94"/>
      <c r="N48" s="94"/>
      <c r="O48" s="97">
        <f t="shared" si="34"/>
        <v>0</v>
      </c>
      <c r="P48" s="97">
        <f t="shared" si="34"/>
        <v>0</v>
      </c>
      <c r="Q48" s="94"/>
      <c r="R48" s="94"/>
      <c r="S48" s="94"/>
      <c r="T48" s="97">
        <f t="shared" si="28"/>
        <v>0</v>
      </c>
      <c r="U48" s="97">
        <f t="shared" si="28"/>
        <v>0</v>
      </c>
      <c r="V48" s="98">
        <f t="shared" si="22"/>
        <v>0</v>
      </c>
      <c r="W48" s="98">
        <f t="shared" si="23"/>
        <v>0</v>
      </c>
      <c r="X48" s="98">
        <f t="shared" si="24"/>
        <v>0</v>
      </c>
      <c r="Z48" s="76" t="b">
        <f t="shared" si="29"/>
        <v>0</v>
      </c>
      <c r="AA48" s="76" t="b">
        <f t="shared" si="30"/>
        <v>0</v>
      </c>
      <c r="AB48" s="76" t="b">
        <f t="shared" si="31"/>
        <v>0</v>
      </c>
      <c r="AC48" s="76">
        <f t="shared" si="32"/>
        <v>0</v>
      </c>
      <c r="AD48" s="105">
        <f t="shared" si="33"/>
        <v>0</v>
      </c>
    </row>
    <row r="49" spans="2:30" x14ac:dyDescent="0.2">
      <c r="B49" s="99" t="s">
        <v>252</v>
      </c>
      <c r="C49" s="99" t="s">
        <v>1107</v>
      </c>
      <c r="D49" s="91">
        <v>2009</v>
      </c>
      <c r="E49" s="100">
        <v>26.43</v>
      </c>
      <c r="F49" s="94">
        <v>3065</v>
      </c>
      <c r="G49" s="94">
        <f t="shared" si="25"/>
        <v>115.96670450245932</v>
      </c>
      <c r="H49" s="94"/>
      <c r="I49" s="100">
        <f t="shared" si="26"/>
        <v>0</v>
      </c>
      <c r="J49" s="94"/>
      <c r="K49" s="97">
        <f t="shared" si="27"/>
        <v>0</v>
      </c>
      <c r="L49" s="94">
        <v>160</v>
      </c>
      <c r="M49" s="94">
        <v>45</v>
      </c>
      <c r="N49" s="94">
        <v>85</v>
      </c>
      <c r="O49" s="97">
        <f t="shared" si="34"/>
        <v>28.125</v>
      </c>
      <c r="P49" s="97">
        <f t="shared" si="34"/>
        <v>53.125</v>
      </c>
      <c r="Q49" s="94"/>
      <c r="R49" s="94"/>
      <c r="S49" s="94"/>
      <c r="T49" s="97">
        <f t="shared" si="28"/>
        <v>0</v>
      </c>
      <c r="U49" s="97">
        <f t="shared" si="28"/>
        <v>0</v>
      </c>
      <c r="V49" s="98">
        <f t="shared" si="22"/>
        <v>-28.125</v>
      </c>
      <c r="W49" s="98">
        <f t="shared" si="23"/>
        <v>0</v>
      </c>
      <c r="X49" s="98">
        <f t="shared" si="24"/>
        <v>28.125</v>
      </c>
      <c r="Z49" s="76" t="b">
        <f t="shared" si="29"/>
        <v>0</v>
      </c>
      <c r="AA49" s="76" t="str">
        <f t="shared" si="30"/>
        <v>A</v>
      </c>
      <c r="AB49" s="76" t="b">
        <f t="shared" si="31"/>
        <v>0</v>
      </c>
      <c r="AC49" s="76">
        <f t="shared" si="32"/>
        <v>1</v>
      </c>
      <c r="AD49" s="105">
        <f t="shared" si="33"/>
        <v>0</v>
      </c>
    </row>
    <row r="50" spans="2:30" x14ac:dyDescent="0.2">
      <c r="B50" s="99" t="s">
        <v>252</v>
      </c>
      <c r="C50" s="99" t="s">
        <v>1108</v>
      </c>
      <c r="D50" s="91">
        <v>2008</v>
      </c>
      <c r="E50" s="100">
        <v>28.55</v>
      </c>
      <c r="F50" s="94">
        <v>3557</v>
      </c>
      <c r="G50" s="94">
        <f t="shared" si="25"/>
        <v>124.58844133099825</v>
      </c>
      <c r="H50" s="94"/>
      <c r="I50" s="100">
        <f t="shared" si="26"/>
        <v>0</v>
      </c>
      <c r="J50" s="94"/>
      <c r="K50" s="97">
        <f t="shared" si="27"/>
        <v>0</v>
      </c>
      <c r="L50" s="94">
        <v>291</v>
      </c>
      <c r="M50" s="94">
        <v>60</v>
      </c>
      <c r="N50" s="94">
        <v>122</v>
      </c>
      <c r="O50" s="97">
        <f t="shared" si="34"/>
        <v>20.618556701030926</v>
      </c>
      <c r="P50" s="97">
        <f t="shared" si="34"/>
        <v>41.924398625429554</v>
      </c>
      <c r="Q50" s="94"/>
      <c r="R50" s="94"/>
      <c r="S50" s="94"/>
      <c r="T50" s="97">
        <f t="shared" si="28"/>
        <v>0</v>
      </c>
      <c r="U50" s="97">
        <f t="shared" si="28"/>
        <v>0</v>
      </c>
      <c r="V50" s="98">
        <f t="shared" si="22"/>
        <v>-20.618556701030926</v>
      </c>
      <c r="W50" s="98">
        <f t="shared" si="23"/>
        <v>0</v>
      </c>
      <c r="X50" s="98">
        <f t="shared" si="24"/>
        <v>20.618556701030926</v>
      </c>
      <c r="Z50" s="76" t="b">
        <f t="shared" si="29"/>
        <v>0</v>
      </c>
      <c r="AA50" s="76" t="str">
        <f t="shared" si="30"/>
        <v>A</v>
      </c>
      <c r="AB50" s="76" t="b">
        <f t="shared" si="31"/>
        <v>0</v>
      </c>
      <c r="AC50" s="76">
        <f t="shared" si="32"/>
        <v>1</v>
      </c>
      <c r="AD50" s="105">
        <f t="shared" si="33"/>
        <v>0</v>
      </c>
    </row>
    <row r="51" spans="2:30" x14ac:dyDescent="0.2">
      <c r="B51" s="99" t="s">
        <v>252</v>
      </c>
      <c r="C51" s="99" t="s">
        <v>1109</v>
      </c>
      <c r="D51" s="91">
        <v>2009</v>
      </c>
      <c r="E51" s="100">
        <v>20.48</v>
      </c>
      <c r="F51" s="94">
        <v>3218</v>
      </c>
      <c r="G51" s="94">
        <f t="shared" si="25"/>
        <v>157.12890625</v>
      </c>
      <c r="H51" s="94"/>
      <c r="I51" s="100">
        <f t="shared" si="26"/>
        <v>0</v>
      </c>
      <c r="J51" s="94"/>
      <c r="K51" s="97">
        <f t="shared" si="27"/>
        <v>0</v>
      </c>
      <c r="L51" s="94"/>
      <c r="M51" s="94"/>
      <c r="N51" s="94"/>
      <c r="O51" s="97">
        <f t="shared" si="34"/>
        <v>0</v>
      </c>
      <c r="P51" s="97">
        <f t="shared" si="34"/>
        <v>0</v>
      </c>
      <c r="Q51" s="94"/>
      <c r="R51" s="94"/>
      <c r="S51" s="94"/>
      <c r="T51" s="97">
        <f t="shared" si="28"/>
        <v>0</v>
      </c>
      <c r="U51" s="97">
        <f t="shared" si="28"/>
        <v>0</v>
      </c>
      <c r="V51" s="98">
        <f t="shared" si="22"/>
        <v>0</v>
      </c>
      <c r="W51" s="98">
        <f t="shared" si="23"/>
        <v>0</v>
      </c>
      <c r="X51" s="98">
        <f t="shared" si="24"/>
        <v>0</v>
      </c>
      <c r="Z51" s="76" t="b">
        <f t="shared" si="29"/>
        <v>0</v>
      </c>
      <c r="AA51" s="76" t="b">
        <f t="shared" si="30"/>
        <v>0</v>
      </c>
      <c r="AB51" s="76" t="b">
        <f t="shared" si="31"/>
        <v>0</v>
      </c>
      <c r="AC51" s="76">
        <f t="shared" si="32"/>
        <v>0</v>
      </c>
      <c r="AD51" s="105">
        <f t="shared" si="33"/>
        <v>0</v>
      </c>
    </row>
    <row r="52" spans="2:30" x14ac:dyDescent="0.2">
      <c r="B52" s="99" t="s">
        <v>252</v>
      </c>
      <c r="C52" s="99" t="s">
        <v>1110</v>
      </c>
      <c r="D52" s="91">
        <v>2026</v>
      </c>
      <c r="E52" s="100">
        <v>0</v>
      </c>
      <c r="F52" s="94">
        <v>0</v>
      </c>
      <c r="G52" s="94">
        <f t="shared" si="25"/>
        <v>0</v>
      </c>
      <c r="H52" s="94"/>
      <c r="I52" s="100">
        <f t="shared" si="26"/>
        <v>0</v>
      </c>
      <c r="J52" s="94"/>
      <c r="K52" s="97">
        <f t="shared" si="27"/>
        <v>0</v>
      </c>
      <c r="L52" s="94"/>
      <c r="M52" s="94"/>
      <c r="N52" s="94"/>
      <c r="O52" s="97">
        <f t="shared" si="34"/>
        <v>0</v>
      </c>
      <c r="P52" s="97">
        <f t="shared" si="34"/>
        <v>0</v>
      </c>
      <c r="Q52" s="94"/>
      <c r="R52" s="94"/>
      <c r="S52" s="94"/>
      <c r="T52" s="97">
        <f t="shared" si="28"/>
        <v>0</v>
      </c>
      <c r="U52" s="97">
        <f t="shared" si="28"/>
        <v>0</v>
      </c>
      <c r="V52" s="98">
        <f t="shared" si="22"/>
        <v>0</v>
      </c>
      <c r="W52" s="98">
        <f t="shared" si="23"/>
        <v>0</v>
      </c>
      <c r="X52" s="98">
        <f t="shared" si="24"/>
        <v>0</v>
      </c>
      <c r="Z52" s="76" t="b">
        <f t="shared" si="29"/>
        <v>0</v>
      </c>
      <c r="AA52" s="76" t="b">
        <f t="shared" si="30"/>
        <v>0</v>
      </c>
      <c r="AB52" s="76" t="b">
        <f t="shared" si="31"/>
        <v>0</v>
      </c>
      <c r="AC52" s="76">
        <f t="shared" si="32"/>
        <v>0</v>
      </c>
      <c r="AD52" s="105">
        <f t="shared" si="33"/>
        <v>0</v>
      </c>
    </row>
    <row r="53" spans="2:30" x14ac:dyDescent="0.2">
      <c r="B53" s="99" t="s">
        <v>252</v>
      </c>
      <c r="C53" s="99" t="s">
        <v>1111</v>
      </c>
      <c r="D53" s="91">
        <v>2008</v>
      </c>
      <c r="E53" s="100">
        <v>38.25</v>
      </c>
      <c r="F53" s="94">
        <v>4895</v>
      </c>
      <c r="G53" s="94">
        <f t="shared" si="25"/>
        <v>127.97385620915033</v>
      </c>
      <c r="H53" s="94"/>
      <c r="I53" s="100">
        <f t="shared" si="26"/>
        <v>0</v>
      </c>
      <c r="J53" s="94"/>
      <c r="K53" s="97">
        <f t="shared" si="27"/>
        <v>0</v>
      </c>
      <c r="L53" s="94"/>
      <c r="M53" s="94"/>
      <c r="N53" s="94"/>
      <c r="O53" s="97">
        <f t="shared" si="34"/>
        <v>0</v>
      </c>
      <c r="P53" s="97">
        <f t="shared" si="34"/>
        <v>0</v>
      </c>
      <c r="Q53" s="94"/>
      <c r="R53" s="94"/>
      <c r="S53" s="94"/>
      <c r="T53" s="97">
        <f t="shared" si="28"/>
        <v>0</v>
      </c>
      <c r="U53" s="97">
        <f t="shared" si="28"/>
        <v>0</v>
      </c>
      <c r="V53" s="98">
        <f t="shared" si="22"/>
        <v>0</v>
      </c>
      <c r="W53" s="98">
        <f t="shared" si="23"/>
        <v>0</v>
      </c>
      <c r="X53" s="98">
        <f t="shared" si="24"/>
        <v>0</v>
      </c>
      <c r="Z53" s="76" t="b">
        <f t="shared" si="29"/>
        <v>0</v>
      </c>
      <c r="AA53" s="76" t="b">
        <f t="shared" si="30"/>
        <v>0</v>
      </c>
      <c r="AB53" s="76" t="b">
        <f t="shared" si="31"/>
        <v>0</v>
      </c>
      <c r="AC53" s="76">
        <f t="shared" si="32"/>
        <v>0</v>
      </c>
      <c r="AD53" s="105">
        <f t="shared" si="33"/>
        <v>0</v>
      </c>
    </row>
    <row r="54" spans="2:30" x14ac:dyDescent="0.2">
      <c r="B54" s="99" t="s">
        <v>252</v>
      </c>
      <c r="C54" s="99" t="s">
        <v>1112</v>
      </c>
      <c r="D54" s="91">
        <v>2013</v>
      </c>
      <c r="E54" s="100">
        <v>29.69</v>
      </c>
      <c r="F54" s="94">
        <v>3841</v>
      </c>
      <c r="G54" s="94">
        <f t="shared" si="25"/>
        <v>129.37015830245875</v>
      </c>
      <c r="H54" s="94"/>
      <c r="I54" s="100">
        <f t="shared" si="26"/>
        <v>0</v>
      </c>
      <c r="J54" s="94"/>
      <c r="K54" s="97">
        <f t="shared" si="27"/>
        <v>0</v>
      </c>
      <c r="L54" s="94"/>
      <c r="M54" s="94"/>
      <c r="N54" s="94"/>
      <c r="O54" s="97">
        <f t="shared" si="34"/>
        <v>0</v>
      </c>
      <c r="P54" s="97">
        <f t="shared" si="34"/>
        <v>0</v>
      </c>
      <c r="Q54" s="94"/>
      <c r="R54" s="94"/>
      <c r="S54" s="94"/>
      <c r="T54" s="97">
        <f t="shared" si="28"/>
        <v>0</v>
      </c>
      <c r="U54" s="97">
        <f t="shared" si="28"/>
        <v>0</v>
      </c>
      <c r="V54" s="98">
        <f t="shared" si="22"/>
        <v>0</v>
      </c>
      <c r="W54" s="98">
        <f t="shared" si="23"/>
        <v>0</v>
      </c>
      <c r="X54" s="98">
        <f t="shared" si="24"/>
        <v>0</v>
      </c>
      <c r="Z54" s="76" t="b">
        <f t="shared" si="29"/>
        <v>0</v>
      </c>
      <c r="AA54" s="76" t="b">
        <f t="shared" si="30"/>
        <v>0</v>
      </c>
      <c r="AB54" s="76" t="b">
        <f t="shared" si="31"/>
        <v>0</v>
      </c>
      <c r="AC54" s="76">
        <f t="shared" si="32"/>
        <v>0</v>
      </c>
      <c r="AD54" s="105">
        <f t="shared" si="33"/>
        <v>0</v>
      </c>
    </row>
    <row r="55" spans="2:30" x14ac:dyDescent="0.2">
      <c r="B55" s="99" t="s">
        <v>252</v>
      </c>
      <c r="C55" s="99" t="s">
        <v>1113</v>
      </c>
      <c r="D55" s="91">
        <v>2009</v>
      </c>
      <c r="E55" s="100">
        <v>25.89</v>
      </c>
      <c r="F55" s="94">
        <v>3294</v>
      </c>
      <c r="G55" s="94">
        <f t="shared" si="25"/>
        <v>127.23059096176129</v>
      </c>
      <c r="H55" s="94"/>
      <c r="I55" s="100">
        <f t="shared" si="26"/>
        <v>0</v>
      </c>
      <c r="J55" s="94"/>
      <c r="K55" s="97">
        <f t="shared" si="27"/>
        <v>0</v>
      </c>
      <c r="L55" s="94"/>
      <c r="M55" s="94"/>
      <c r="N55" s="94"/>
      <c r="O55" s="97">
        <f t="shared" si="34"/>
        <v>0</v>
      </c>
      <c r="P55" s="97">
        <f t="shared" si="34"/>
        <v>0</v>
      </c>
      <c r="Q55" s="94"/>
      <c r="R55" s="94"/>
      <c r="S55" s="94"/>
      <c r="T55" s="97">
        <f t="shared" si="28"/>
        <v>0</v>
      </c>
      <c r="U55" s="97">
        <f t="shared" si="28"/>
        <v>0</v>
      </c>
      <c r="V55" s="98">
        <f t="shared" si="22"/>
        <v>0</v>
      </c>
      <c r="W55" s="98">
        <f t="shared" si="23"/>
        <v>0</v>
      </c>
      <c r="X55" s="98">
        <f t="shared" si="24"/>
        <v>0</v>
      </c>
      <c r="Z55" s="76" t="b">
        <f t="shared" si="29"/>
        <v>0</v>
      </c>
      <c r="AA55" s="76" t="b">
        <f t="shared" si="30"/>
        <v>0</v>
      </c>
      <c r="AB55" s="76" t="b">
        <f t="shared" si="31"/>
        <v>0</v>
      </c>
      <c r="AC55" s="76">
        <f t="shared" si="32"/>
        <v>0</v>
      </c>
      <c r="AD55" s="105">
        <f t="shared" si="33"/>
        <v>0</v>
      </c>
    </row>
    <row r="56" spans="2:30" x14ac:dyDescent="0.2">
      <c r="B56" s="99" t="s">
        <v>290</v>
      </c>
      <c r="C56" s="99" t="s">
        <v>1114</v>
      </c>
      <c r="D56" s="91">
        <v>1997</v>
      </c>
      <c r="E56" s="100">
        <v>24.19</v>
      </c>
      <c r="F56" s="94">
        <v>3142</v>
      </c>
      <c r="G56" s="94">
        <f t="shared" si="25"/>
        <v>129.88838362959899</v>
      </c>
      <c r="H56" s="94"/>
      <c r="I56" s="100">
        <f t="shared" si="26"/>
        <v>0</v>
      </c>
      <c r="J56" s="94"/>
      <c r="K56" s="97">
        <f t="shared" si="27"/>
        <v>0</v>
      </c>
      <c r="L56" s="94"/>
      <c r="M56" s="94"/>
      <c r="N56" s="94"/>
      <c r="O56" s="97">
        <f t="shared" si="34"/>
        <v>0</v>
      </c>
      <c r="P56" s="97">
        <f t="shared" si="34"/>
        <v>0</v>
      </c>
      <c r="Q56" s="94"/>
      <c r="R56" s="94"/>
      <c r="S56" s="94"/>
      <c r="T56" s="97">
        <f t="shared" si="28"/>
        <v>0</v>
      </c>
      <c r="U56" s="97">
        <f t="shared" si="28"/>
        <v>0</v>
      </c>
      <c r="V56" s="98">
        <f t="shared" si="22"/>
        <v>0</v>
      </c>
      <c r="W56" s="98">
        <f t="shared" si="23"/>
        <v>0</v>
      </c>
      <c r="X56" s="98">
        <f t="shared" si="24"/>
        <v>0</v>
      </c>
      <c r="Z56" s="76" t="b">
        <f t="shared" si="29"/>
        <v>0</v>
      </c>
      <c r="AA56" s="76" t="b">
        <f t="shared" si="30"/>
        <v>0</v>
      </c>
      <c r="AB56" s="76" t="b">
        <f t="shared" si="31"/>
        <v>0</v>
      </c>
      <c r="AC56" s="76">
        <f t="shared" si="32"/>
        <v>0</v>
      </c>
      <c r="AD56" s="105">
        <f t="shared" si="33"/>
        <v>0</v>
      </c>
    </row>
    <row r="57" spans="2:30" x14ac:dyDescent="0.2">
      <c r="B57" s="99" t="s">
        <v>290</v>
      </c>
      <c r="C57" s="99" t="s">
        <v>1115</v>
      </c>
      <c r="D57" s="91">
        <v>1997</v>
      </c>
      <c r="E57" s="100">
        <v>22.79</v>
      </c>
      <c r="F57" s="94">
        <v>3348</v>
      </c>
      <c r="G57" s="94">
        <f t="shared" si="25"/>
        <v>146.90653795524352</v>
      </c>
      <c r="H57" s="94"/>
      <c r="I57" s="100">
        <f t="shared" si="26"/>
        <v>0</v>
      </c>
      <c r="J57" s="94"/>
      <c r="K57" s="97">
        <f t="shared" si="27"/>
        <v>0</v>
      </c>
      <c r="L57" s="94"/>
      <c r="M57" s="94"/>
      <c r="N57" s="94"/>
      <c r="O57" s="97">
        <f t="shared" si="34"/>
        <v>0</v>
      </c>
      <c r="P57" s="97">
        <f t="shared" si="34"/>
        <v>0</v>
      </c>
      <c r="Q57" s="94"/>
      <c r="R57" s="94"/>
      <c r="S57" s="94"/>
      <c r="T57" s="97">
        <f t="shared" si="28"/>
        <v>0</v>
      </c>
      <c r="U57" s="97">
        <f t="shared" si="28"/>
        <v>0</v>
      </c>
      <c r="V57" s="98">
        <f t="shared" si="22"/>
        <v>0</v>
      </c>
      <c r="W57" s="98">
        <f t="shared" si="23"/>
        <v>0</v>
      </c>
      <c r="X57" s="98">
        <f t="shared" si="24"/>
        <v>0</v>
      </c>
      <c r="Z57" s="76" t="b">
        <f t="shared" si="29"/>
        <v>0</v>
      </c>
      <c r="AA57" s="76" t="b">
        <f t="shared" si="30"/>
        <v>0</v>
      </c>
      <c r="AB57" s="76" t="b">
        <f t="shared" si="31"/>
        <v>0</v>
      </c>
      <c r="AC57" s="76">
        <f t="shared" si="32"/>
        <v>0</v>
      </c>
      <c r="AD57" s="105">
        <f t="shared" si="33"/>
        <v>0</v>
      </c>
    </row>
    <row r="58" spans="2:30" x14ac:dyDescent="0.2">
      <c r="B58" s="99" t="s">
        <v>290</v>
      </c>
      <c r="C58" s="99" t="s">
        <v>1116</v>
      </c>
      <c r="D58" s="91">
        <v>1998</v>
      </c>
      <c r="E58" s="100">
        <v>27.12</v>
      </c>
      <c r="F58" s="94">
        <v>3746</v>
      </c>
      <c r="G58" s="94">
        <f t="shared" si="25"/>
        <v>138.12684365781709</v>
      </c>
      <c r="H58" s="94"/>
      <c r="I58" s="100">
        <f t="shared" si="26"/>
        <v>0</v>
      </c>
      <c r="J58" s="94"/>
      <c r="K58" s="97">
        <f t="shared" si="27"/>
        <v>0</v>
      </c>
      <c r="L58" s="94"/>
      <c r="M58" s="94"/>
      <c r="N58" s="94"/>
      <c r="O58" s="97">
        <f t="shared" si="34"/>
        <v>0</v>
      </c>
      <c r="P58" s="97">
        <f t="shared" si="34"/>
        <v>0</v>
      </c>
      <c r="Q58" s="94"/>
      <c r="R58" s="94"/>
      <c r="S58" s="94"/>
      <c r="T58" s="97">
        <f t="shared" si="28"/>
        <v>0</v>
      </c>
      <c r="U58" s="97">
        <f t="shared" si="28"/>
        <v>0</v>
      </c>
      <c r="V58" s="98">
        <f t="shared" si="22"/>
        <v>0</v>
      </c>
      <c r="W58" s="98">
        <f t="shared" si="23"/>
        <v>0</v>
      </c>
      <c r="X58" s="98">
        <f t="shared" si="24"/>
        <v>0</v>
      </c>
      <c r="Z58" s="76" t="b">
        <f t="shared" si="29"/>
        <v>0</v>
      </c>
      <c r="AA58" s="76" t="b">
        <f t="shared" si="30"/>
        <v>0</v>
      </c>
      <c r="AB58" s="76" t="b">
        <f t="shared" si="31"/>
        <v>0</v>
      </c>
      <c r="AC58" s="76">
        <f t="shared" si="32"/>
        <v>0</v>
      </c>
      <c r="AD58" s="105">
        <f t="shared" si="33"/>
        <v>0</v>
      </c>
    </row>
    <row r="59" spans="2:30" x14ac:dyDescent="0.2">
      <c r="B59" s="99" t="s">
        <v>290</v>
      </c>
      <c r="C59" s="99" t="s">
        <v>1117</v>
      </c>
      <c r="D59" s="91">
        <v>2012</v>
      </c>
      <c r="E59" s="100">
        <v>25.17</v>
      </c>
      <c r="F59" s="94">
        <v>2638</v>
      </c>
      <c r="G59" s="94">
        <f t="shared" si="25"/>
        <v>104.8073102900278</v>
      </c>
      <c r="H59" s="94"/>
      <c r="I59" s="100">
        <f t="shared" si="26"/>
        <v>0</v>
      </c>
      <c r="J59" s="94"/>
      <c r="K59" s="97">
        <f t="shared" si="27"/>
        <v>0</v>
      </c>
      <c r="L59" s="94"/>
      <c r="M59" s="94"/>
      <c r="N59" s="94"/>
      <c r="O59" s="97">
        <f t="shared" si="34"/>
        <v>0</v>
      </c>
      <c r="P59" s="97">
        <f t="shared" si="34"/>
        <v>0</v>
      </c>
      <c r="Q59" s="94"/>
      <c r="R59" s="94"/>
      <c r="S59" s="94"/>
      <c r="T59" s="97">
        <f t="shared" si="28"/>
        <v>0</v>
      </c>
      <c r="U59" s="97">
        <f t="shared" si="28"/>
        <v>0</v>
      </c>
      <c r="V59" s="98">
        <f t="shared" si="22"/>
        <v>0</v>
      </c>
      <c r="W59" s="98">
        <f t="shared" si="23"/>
        <v>0</v>
      </c>
      <c r="X59" s="98">
        <f t="shared" si="24"/>
        <v>0</v>
      </c>
      <c r="Z59" s="76" t="b">
        <f t="shared" si="29"/>
        <v>0</v>
      </c>
      <c r="AA59" s="76" t="b">
        <f t="shared" si="30"/>
        <v>0</v>
      </c>
      <c r="AB59" s="76" t="b">
        <f t="shared" si="31"/>
        <v>0</v>
      </c>
      <c r="AC59" s="76">
        <f t="shared" si="32"/>
        <v>0</v>
      </c>
      <c r="AD59" s="105">
        <f t="shared" si="33"/>
        <v>0</v>
      </c>
    </row>
    <row r="60" spans="2:30" x14ac:dyDescent="0.2">
      <c r="B60" s="99" t="s">
        <v>290</v>
      </c>
      <c r="C60" s="99" t="s">
        <v>1118</v>
      </c>
      <c r="D60" s="91">
        <v>1997</v>
      </c>
      <c r="E60" s="100">
        <v>24.56</v>
      </c>
      <c r="F60" s="94">
        <v>3226</v>
      </c>
      <c r="G60" s="94">
        <f t="shared" si="25"/>
        <v>131.35179153094464</v>
      </c>
      <c r="H60" s="94"/>
      <c r="I60" s="100">
        <f t="shared" si="26"/>
        <v>0</v>
      </c>
      <c r="J60" s="94"/>
      <c r="K60" s="97">
        <f t="shared" si="27"/>
        <v>0</v>
      </c>
      <c r="L60" s="94"/>
      <c r="M60" s="94"/>
      <c r="N60" s="94"/>
      <c r="O60" s="97">
        <f t="shared" si="34"/>
        <v>0</v>
      </c>
      <c r="P60" s="97">
        <f t="shared" si="34"/>
        <v>0</v>
      </c>
      <c r="Q60" s="94"/>
      <c r="R60" s="94"/>
      <c r="S60" s="94"/>
      <c r="T60" s="97">
        <f t="shared" si="28"/>
        <v>0</v>
      </c>
      <c r="U60" s="97">
        <f t="shared" si="28"/>
        <v>0</v>
      </c>
      <c r="V60" s="98">
        <f t="shared" si="22"/>
        <v>0</v>
      </c>
      <c r="W60" s="98">
        <f t="shared" si="23"/>
        <v>0</v>
      </c>
      <c r="X60" s="98">
        <f t="shared" si="24"/>
        <v>0</v>
      </c>
      <c r="Z60" s="76" t="b">
        <f t="shared" si="29"/>
        <v>0</v>
      </c>
      <c r="AA60" s="76" t="b">
        <f t="shared" si="30"/>
        <v>0</v>
      </c>
      <c r="AB60" s="76" t="b">
        <f t="shared" si="31"/>
        <v>0</v>
      </c>
      <c r="AC60" s="76">
        <f t="shared" si="32"/>
        <v>0</v>
      </c>
      <c r="AD60" s="105">
        <f t="shared" si="33"/>
        <v>0</v>
      </c>
    </row>
    <row r="61" spans="2:30" x14ac:dyDescent="0.2">
      <c r="B61" s="99" t="s">
        <v>290</v>
      </c>
      <c r="C61" s="99" t="s">
        <v>1119</v>
      </c>
      <c r="D61" s="91">
        <v>1997</v>
      </c>
      <c r="E61" s="100">
        <v>24.9</v>
      </c>
      <c r="F61" s="94">
        <v>3358</v>
      </c>
      <c r="G61" s="94">
        <f t="shared" si="25"/>
        <v>134.85943775100404</v>
      </c>
      <c r="H61" s="94">
        <v>127</v>
      </c>
      <c r="I61" s="100">
        <f t="shared" si="26"/>
        <v>3.7820131030375221</v>
      </c>
      <c r="J61" s="94">
        <v>39</v>
      </c>
      <c r="K61" s="97">
        <f t="shared" si="27"/>
        <v>30.708661417322837</v>
      </c>
      <c r="L61" s="94"/>
      <c r="M61" s="94"/>
      <c r="N61" s="94"/>
      <c r="O61" s="97">
        <f t="shared" si="34"/>
        <v>0</v>
      </c>
      <c r="P61" s="97">
        <f t="shared" si="34"/>
        <v>0</v>
      </c>
      <c r="Q61" s="94"/>
      <c r="R61" s="94"/>
      <c r="S61" s="94"/>
      <c r="T61" s="97">
        <f t="shared" si="28"/>
        <v>0</v>
      </c>
      <c r="U61" s="97">
        <f t="shared" si="28"/>
        <v>0</v>
      </c>
      <c r="V61" s="98">
        <f t="shared" si="22"/>
        <v>30.708661417322837</v>
      </c>
      <c r="W61" s="98">
        <f t="shared" si="23"/>
        <v>30.708661417322837</v>
      </c>
      <c r="X61" s="98">
        <f t="shared" si="24"/>
        <v>0</v>
      </c>
      <c r="Z61" s="76" t="str">
        <f t="shared" si="29"/>
        <v>A</v>
      </c>
      <c r="AA61" s="76" t="b">
        <f t="shared" si="30"/>
        <v>0</v>
      </c>
      <c r="AB61" s="76" t="b">
        <f t="shared" si="31"/>
        <v>0</v>
      </c>
      <c r="AC61" s="76">
        <f t="shared" si="32"/>
        <v>1</v>
      </c>
      <c r="AD61" s="105">
        <f t="shared" si="33"/>
        <v>61.417322834645674</v>
      </c>
    </row>
    <row r="62" spans="2:30" x14ac:dyDescent="0.2">
      <c r="B62" s="99" t="s">
        <v>290</v>
      </c>
      <c r="C62" s="99" t="s">
        <v>1120</v>
      </c>
      <c r="D62" s="91">
        <v>1997</v>
      </c>
      <c r="E62" s="100">
        <v>42.05</v>
      </c>
      <c r="F62" s="94">
        <v>5609</v>
      </c>
      <c r="G62" s="94">
        <f t="shared" si="25"/>
        <v>133.38882282996434</v>
      </c>
      <c r="H62" s="94">
        <v>0</v>
      </c>
      <c r="I62" s="100">
        <f t="shared" si="26"/>
        <v>0</v>
      </c>
      <c r="J62" s="94">
        <v>0</v>
      </c>
      <c r="K62" s="97">
        <f t="shared" si="27"/>
        <v>0</v>
      </c>
      <c r="L62" s="94"/>
      <c r="M62" s="94"/>
      <c r="N62" s="94"/>
      <c r="O62" s="97">
        <f t="shared" si="34"/>
        <v>0</v>
      </c>
      <c r="P62" s="97">
        <f t="shared" si="34"/>
        <v>0</v>
      </c>
      <c r="Q62" s="94"/>
      <c r="R62" s="94"/>
      <c r="S62" s="94"/>
      <c r="T62" s="97">
        <f t="shared" si="28"/>
        <v>0</v>
      </c>
      <c r="U62" s="97">
        <f t="shared" si="28"/>
        <v>0</v>
      </c>
      <c r="V62" s="98">
        <f t="shared" si="22"/>
        <v>0</v>
      </c>
      <c r="W62" s="98">
        <f t="shared" si="23"/>
        <v>0</v>
      </c>
      <c r="X62" s="98">
        <f t="shared" si="24"/>
        <v>0</v>
      </c>
      <c r="Z62" s="76" t="b">
        <f t="shared" si="29"/>
        <v>0</v>
      </c>
      <c r="AA62" s="76" t="b">
        <f t="shared" si="30"/>
        <v>0</v>
      </c>
      <c r="AB62" s="76" t="b">
        <f t="shared" si="31"/>
        <v>0</v>
      </c>
      <c r="AC62" s="76">
        <f t="shared" si="32"/>
        <v>0</v>
      </c>
      <c r="AD62" s="105">
        <f t="shared" si="33"/>
        <v>0</v>
      </c>
    </row>
    <row r="63" spans="2:30" x14ac:dyDescent="0.2">
      <c r="B63" s="99" t="s">
        <v>290</v>
      </c>
      <c r="C63" s="99" t="s">
        <v>1121</v>
      </c>
      <c r="D63" s="91">
        <v>1997</v>
      </c>
      <c r="E63" s="100">
        <v>20.91</v>
      </c>
      <c r="F63" s="94">
        <v>2725</v>
      </c>
      <c r="G63" s="94">
        <f t="shared" si="25"/>
        <v>130.32042085126733</v>
      </c>
      <c r="H63" s="94">
        <v>273</v>
      </c>
      <c r="I63" s="100">
        <f t="shared" si="26"/>
        <v>10.01834862385321</v>
      </c>
      <c r="J63" s="94">
        <v>53</v>
      </c>
      <c r="K63" s="97">
        <f t="shared" si="27"/>
        <v>19.413919413919416</v>
      </c>
      <c r="L63" s="94">
        <v>273</v>
      </c>
      <c r="M63" s="94">
        <v>53</v>
      </c>
      <c r="N63" s="94">
        <v>70</v>
      </c>
      <c r="O63" s="97">
        <f t="shared" si="34"/>
        <v>19.413919413919416</v>
      </c>
      <c r="P63" s="97">
        <f t="shared" si="34"/>
        <v>25.641025641025639</v>
      </c>
      <c r="Q63" s="94"/>
      <c r="R63" s="94"/>
      <c r="S63" s="94"/>
      <c r="T63" s="97">
        <f t="shared" si="28"/>
        <v>0</v>
      </c>
      <c r="U63" s="97">
        <f t="shared" si="28"/>
        <v>0</v>
      </c>
      <c r="V63" s="98">
        <f t="shared" si="22"/>
        <v>0</v>
      </c>
      <c r="W63" s="98">
        <f t="shared" si="23"/>
        <v>19.413919413919416</v>
      </c>
      <c r="X63" s="98">
        <f t="shared" si="24"/>
        <v>19.413919413919416</v>
      </c>
      <c r="Z63" s="76" t="str">
        <f t="shared" si="29"/>
        <v>A</v>
      </c>
      <c r="AA63" s="76" t="str">
        <f t="shared" si="30"/>
        <v>A</v>
      </c>
      <c r="AB63" s="76" t="b">
        <f t="shared" si="31"/>
        <v>0</v>
      </c>
      <c r="AC63" s="76">
        <f t="shared" si="32"/>
        <v>2</v>
      </c>
      <c r="AD63" s="105">
        <f t="shared" si="33"/>
        <v>38.827838827838832</v>
      </c>
    </row>
    <row r="64" spans="2:30" x14ac:dyDescent="0.2">
      <c r="B64" s="99" t="s">
        <v>290</v>
      </c>
      <c r="C64" s="99" t="s">
        <v>1122</v>
      </c>
      <c r="D64" s="91">
        <v>1997</v>
      </c>
      <c r="E64" s="100">
        <v>23.51</v>
      </c>
      <c r="F64" s="94">
        <v>3181</v>
      </c>
      <c r="G64" s="94">
        <f t="shared" si="25"/>
        <v>135.3041259038707</v>
      </c>
      <c r="H64" s="94">
        <v>636</v>
      </c>
      <c r="I64" s="100">
        <f t="shared" si="26"/>
        <v>19.993712668972023</v>
      </c>
      <c r="J64" s="94">
        <v>61</v>
      </c>
      <c r="K64" s="97">
        <f t="shared" si="27"/>
        <v>9.5911949685534594</v>
      </c>
      <c r="L64" s="94">
        <v>636</v>
      </c>
      <c r="M64" s="94">
        <v>61</v>
      </c>
      <c r="N64" s="94">
        <v>80</v>
      </c>
      <c r="O64" s="97">
        <f t="shared" si="34"/>
        <v>9.5911949685534594</v>
      </c>
      <c r="P64" s="97">
        <f t="shared" si="34"/>
        <v>12.578616352201259</v>
      </c>
      <c r="Q64" s="94"/>
      <c r="R64" s="94"/>
      <c r="S64" s="94"/>
      <c r="T64" s="97">
        <f t="shared" si="28"/>
        <v>0</v>
      </c>
      <c r="U64" s="97">
        <f t="shared" si="28"/>
        <v>0</v>
      </c>
      <c r="V64" s="98">
        <f t="shared" si="22"/>
        <v>0</v>
      </c>
      <c r="W64" s="98">
        <f t="shared" si="23"/>
        <v>9.5911949685534594</v>
      </c>
      <c r="X64" s="98">
        <f t="shared" si="24"/>
        <v>9.5911949685534594</v>
      </c>
      <c r="Z64" s="76" t="str">
        <f t="shared" si="29"/>
        <v>A</v>
      </c>
      <c r="AA64" s="76" t="str">
        <f t="shared" si="30"/>
        <v>A</v>
      </c>
      <c r="AB64" s="76" t="b">
        <f t="shared" si="31"/>
        <v>0</v>
      </c>
      <c r="AC64" s="76">
        <f t="shared" si="32"/>
        <v>2</v>
      </c>
      <c r="AD64" s="105">
        <f t="shared" si="33"/>
        <v>19.182389937106919</v>
      </c>
    </row>
    <row r="65" spans="2:30" x14ac:dyDescent="0.2">
      <c r="B65" s="99" t="s">
        <v>290</v>
      </c>
      <c r="C65" s="99" t="s">
        <v>1123</v>
      </c>
      <c r="D65" s="91">
        <v>1997</v>
      </c>
      <c r="E65" s="100">
        <v>21.32</v>
      </c>
      <c r="F65" s="94">
        <v>2792</v>
      </c>
      <c r="G65" s="94">
        <f t="shared" si="25"/>
        <v>130.95684803001876</v>
      </c>
      <c r="H65" s="94">
        <v>275</v>
      </c>
      <c r="I65" s="100">
        <f t="shared" si="26"/>
        <v>9.8495702005730656</v>
      </c>
      <c r="J65" s="94">
        <v>34</v>
      </c>
      <c r="K65" s="97">
        <f t="shared" si="27"/>
        <v>12.363636363636363</v>
      </c>
      <c r="L65" s="94">
        <v>275</v>
      </c>
      <c r="M65" s="94">
        <v>34</v>
      </c>
      <c r="N65" s="94">
        <v>0</v>
      </c>
      <c r="O65" s="97">
        <f t="shared" si="34"/>
        <v>12.363636363636363</v>
      </c>
      <c r="P65" s="97">
        <f t="shared" si="34"/>
        <v>0</v>
      </c>
      <c r="Q65" s="94"/>
      <c r="R65" s="94"/>
      <c r="S65" s="94"/>
      <c r="T65" s="97">
        <f t="shared" si="28"/>
        <v>0</v>
      </c>
      <c r="U65" s="97">
        <f t="shared" si="28"/>
        <v>0</v>
      </c>
      <c r="V65" s="98">
        <f t="shared" si="22"/>
        <v>0</v>
      </c>
      <c r="W65" s="98">
        <f t="shared" si="23"/>
        <v>12.363636363636363</v>
      </c>
      <c r="X65" s="98">
        <f t="shared" si="24"/>
        <v>12.363636363636363</v>
      </c>
      <c r="Z65" s="76" t="str">
        <f t="shared" si="29"/>
        <v>A</v>
      </c>
      <c r="AA65" s="76" t="str">
        <f t="shared" si="30"/>
        <v>A</v>
      </c>
      <c r="AB65" s="76" t="b">
        <f t="shared" si="31"/>
        <v>0</v>
      </c>
      <c r="AC65" s="76">
        <f t="shared" si="32"/>
        <v>2</v>
      </c>
      <c r="AD65" s="105">
        <f t="shared" si="33"/>
        <v>24.727272727272727</v>
      </c>
    </row>
    <row r="66" spans="2:30" x14ac:dyDescent="0.2">
      <c r="B66" s="99" t="s">
        <v>290</v>
      </c>
      <c r="C66" s="99" t="s">
        <v>1124</v>
      </c>
      <c r="D66" s="91">
        <v>1997</v>
      </c>
      <c r="E66" s="100">
        <v>25.89</v>
      </c>
      <c r="F66" s="94">
        <v>3404</v>
      </c>
      <c r="G66" s="94">
        <f t="shared" si="25"/>
        <v>131.47933565083042</v>
      </c>
      <c r="H66" s="94"/>
      <c r="I66" s="100">
        <f t="shared" si="26"/>
        <v>0</v>
      </c>
      <c r="J66" s="94"/>
      <c r="K66" s="97">
        <f t="shared" si="27"/>
        <v>0</v>
      </c>
      <c r="L66" s="94"/>
      <c r="M66" s="94"/>
      <c r="N66" s="94"/>
      <c r="O66" s="97">
        <f t="shared" si="34"/>
        <v>0</v>
      </c>
      <c r="P66" s="97">
        <f t="shared" si="34"/>
        <v>0</v>
      </c>
      <c r="Q66" s="94"/>
      <c r="R66" s="94"/>
      <c r="S66" s="94"/>
      <c r="T66" s="97">
        <f t="shared" si="28"/>
        <v>0</v>
      </c>
      <c r="U66" s="97">
        <f t="shared" si="28"/>
        <v>0</v>
      </c>
      <c r="V66" s="98">
        <f t="shared" si="22"/>
        <v>0</v>
      </c>
      <c r="W66" s="98">
        <f t="shared" si="23"/>
        <v>0</v>
      </c>
      <c r="X66" s="98">
        <f t="shared" si="24"/>
        <v>0</v>
      </c>
      <c r="Z66" s="76" t="b">
        <f t="shared" si="29"/>
        <v>0</v>
      </c>
      <c r="AA66" s="76" t="b">
        <f t="shared" si="30"/>
        <v>0</v>
      </c>
      <c r="AB66" s="76" t="b">
        <f t="shared" si="31"/>
        <v>0</v>
      </c>
      <c r="AC66" s="76">
        <f t="shared" si="32"/>
        <v>0</v>
      </c>
      <c r="AD66" s="105">
        <f t="shared" si="33"/>
        <v>0</v>
      </c>
    </row>
    <row r="67" spans="2:30" x14ac:dyDescent="0.2">
      <c r="B67" s="99" t="s">
        <v>290</v>
      </c>
      <c r="C67" s="99" t="s">
        <v>1125</v>
      </c>
      <c r="D67" s="91">
        <v>1998</v>
      </c>
      <c r="E67" s="100">
        <v>23.31</v>
      </c>
      <c r="F67" s="94">
        <v>2922</v>
      </c>
      <c r="G67" s="94">
        <f t="shared" si="25"/>
        <v>125.35392535392536</v>
      </c>
      <c r="H67" s="94">
        <v>289</v>
      </c>
      <c r="I67" s="100">
        <f t="shared" si="26"/>
        <v>9.8904859685147155</v>
      </c>
      <c r="J67" s="94">
        <v>18</v>
      </c>
      <c r="K67" s="97">
        <f t="shared" si="27"/>
        <v>6.2283737024221448</v>
      </c>
      <c r="L67" s="94">
        <v>289</v>
      </c>
      <c r="M67" s="94">
        <v>18</v>
      </c>
      <c r="N67" s="94">
        <v>87</v>
      </c>
      <c r="O67" s="97">
        <f t="shared" si="34"/>
        <v>6.2283737024221448</v>
      </c>
      <c r="P67" s="97">
        <f t="shared" si="34"/>
        <v>30.103806228373703</v>
      </c>
      <c r="Q67" s="94">
        <v>318</v>
      </c>
      <c r="R67" s="94">
        <v>38</v>
      </c>
      <c r="S67" s="94">
        <v>105</v>
      </c>
      <c r="T67" s="97">
        <f t="shared" si="28"/>
        <v>11.949685534591195</v>
      </c>
      <c r="U67" s="97">
        <f t="shared" si="28"/>
        <v>33.018867924528301</v>
      </c>
      <c r="V67" s="98">
        <f t="shared" si="22"/>
        <v>0</v>
      </c>
      <c r="W67" s="98">
        <f t="shared" si="23"/>
        <v>-5.7213118321690501</v>
      </c>
      <c r="X67" s="98">
        <f t="shared" si="24"/>
        <v>-5.7213118321690501</v>
      </c>
      <c r="Z67" s="76" t="str">
        <f t="shared" si="29"/>
        <v>A</v>
      </c>
      <c r="AA67" s="76" t="str">
        <f t="shared" si="30"/>
        <v>A</v>
      </c>
      <c r="AB67" s="76" t="str">
        <f t="shared" si="31"/>
        <v>A</v>
      </c>
      <c r="AC67" s="76">
        <f t="shared" si="32"/>
        <v>3</v>
      </c>
      <c r="AD67" s="105">
        <f t="shared" si="33"/>
        <v>-11.4426236643381</v>
      </c>
    </row>
    <row r="68" spans="2:30" x14ac:dyDescent="0.2">
      <c r="B68" s="99" t="s">
        <v>290</v>
      </c>
      <c r="C68" s="99" t="s">
        <v>1126</v>
      </c>
      <c r="D68" s="91">
        <v>1997</v>
      </c>
      <c r="E68" s="100">
        <v>26.88</v>
      </c>
      <c r="F68" s="94">
        <v>3519</v>
      </c>
      <c r="G68" s="94">
        <f t="shared" si="25"/>
        <v>130.91517857142858</v>
      </c>
      <c r="H68" s="94"/>
      <c r="I68" s="100">
        <f t="shared" si="26"/>
        <v>0</v>
      </c>
      <c r="J68" s="94"/>
      <c r="K68" s="97">
        <f t="shared" si="27"/>
        <v>0</v>
      </c>
      <c r="L68" s="94">
        <v>292</v>
      </c>
      <c r="M68" s="94">
        <v>174</v>
      </c>
      <c r="N68" s="94">
        <v>99</v>
      </c>
      <c r="O68" s="97">
        <f t="shared" si="34"/>
        <v>59.589041095890416</v>
      </c>
      <c r="P68" s="97">
        <f t="shared" si="34"/>
        <v>33.904109589041099</v>
      </c>
      <c r="Q68" s="94">
        <v>387</v>
      </c>
      <c r="R68" s="94">
        <v>63</v>
      </c>
      <c r="S68" s="94">
        <v>95</v>
      </c>
      <c r="T68" s="97">
        <f t="shared" si="28"/>
        <v>16.279069767441861</v>
      </c>
      <c r="U68" s="97">
        <f t="shared" si="28"/>
        <v>24.547803617571059</v>
      </c>
      <c r="V68" s="98">
        <f t="shared" si="22"/>
        <v>-59.589041095890416</v>
      </c>
      <c r="W68" s="98">
        <f t="shared" si="23"/>
        <v>-16.279069767441861</v>
      </c>
      <c r="X68" s="98">
        <f t="shared" si="24"/>
        <v>43.309971328448555</v>
      </c>
      <c r="Z68" s="76" t="b">
        <f t="shared" si="29"/>
        <v>0</v>
      </c>
      <c r="AA68" s="76" t="str">
        <f t="shared" si="30"/>
        <v>A</v>
      </c>
      <c r="AB68" s="76" t="str">
        <f t="shared" si="31"/>
        <v>A</v>
      </c>
      <c r="AC68" s="76">
        <f t="shared" si="32"/>
        <v>2</v>
      </c>
      <c r="AD68" s="105">
        <f t="shared" si="33"/>
        <v>-32.558139534883722</v>
      </c>
    </row>
    <row r="69" spans="2:30" x14ac:dyDescent="0.2">
      <c r="B69" s="99" t="s">
        <v>290</v>
      </c>
      <c r="C69" s="99" t="s">
        <v>1127</v>
      </c>
      <c r="D69" s="91">
        <v>1997</v>
      </c>
      <c r="E69" s="100">
        <v>26.44</v>
      </c>
      <c r="F69" s="94">
        <v>3599</v>
      </c>
      <c r="G69" s="94">
        <f t="shared" si="25"/>
        <v>136.11951588502268</v>
      </c>
      <c r="H69" s="94"/>
      <c r="I69" s="100">
        <f t="shared" si="26"/>
        <v>0</v>
      </c>
      <c r="J69" s="94"/>
      <c r="K69" s="97">
        <f t="shared" si="27"/>
        <v>0</v>
      </c>
      <c r="L69" s="94"/>
      <c r="M69" s="94"/>
      <c r="N69" s="94"/>
      <c r="O69" s="97">
        <f t="shared" si="34"/>
        <v>0</v>
      </c>
      <c r="P69" s="97">
        <f t="shared" si="34"/>
        <v>0</v>
      </c>
      <c r="Q69" s="94">
        <v>225</v>
      </c>
      <c r="R69" s="94">
        <v>23</v>
      </c>
      <c r="S69" s="94">
        <v>81</v>
      </c>
      <c r="T69" s="97">
        <f t="shared" si="28"/>
        <v>10.222222222222223</v>
      </c>
      <c r="U69" s="97">
        <f t="shared" si="28"/>
        <v>36</v>
      </c>
      <c r="V69" s="98">
        <f t="shared" si="22"/>
        <v>0</v>
      </c>
      <c r="W69" s="98">
        <f t="shared" si="23"/>
        <v>-10.222222222222223</v>
      </c>
      <c r="X69" s="98">
        <f t="shared" si="24"/>
        <v>-10.222222222222223</v>
      </c>
      <c r="Z69" s="76" t="b">
        <f t="shared" si="29"/>
        <v>0</v>
      </c>
      <c r="AA69" s="76" t="b">
        <f t="shared" si="30"/>
        <v>0</v>
      </c>
      <c r="AB69" s="76" t="str">
        <f t="shared" si="31"/>
        <v>A</v>
      </c>
      <c r="AC69" s="76">
        <f t="shared" si="32"/>
        <v>1</v>
      </c>
      <c r="AD69" s="105">
        <f t="shared" si="33"/>
        <v>-20.444444444444446</v>
      </c>
    </row>
    <row r="70" spans="2:30" x14ac:dyDescent="0.2">
      <c r="B70" s="99" t="s">
        <v>290</v>
      </c>
      <c r="C70" s="99" t="s">
        <v>1128</v>
      </c>
      <c r="D70" s="91">
        <v>1997</v>
      </c>
      <c r="E70" s="100">
        <v>24.47</v>
      </c>
      <c r="F70" s="94">
        <v>3374</v>
      </c>
      <c r="G70" s="94">
        <f t="shared" si="25"/>
        <v>137.88312219043726</v>
      </c>
      <c r="H70" s="94"/>
      <c r="I70" s="100">
        <f t="shared" si="26"/>
        <v>0</v>
      </c>
      <c r="J70" s="94"/>
      <c r="K70" s="97">
        <f t="shared" si="27"/>
        <v>0</v>
      </c>
      <c r="L70" s="94"/>
      <c r="M70" s="94"/>
      <c r="N70" s="94"/>
      <c r="O70" s="97">
        <f t="shared" si="34"/>
        <v>0</v>
      </c>
      <c r="P70" s="97">
        <f t="shared" si="34"/>
        <v>0</v>
      </c>
      <c r="Q70" s="94">
        <v>154</v>
      </c>
      <c r="R70" s="94">
        <v>12</v>
      </c>
      <c r="S70" s="94">
        <v>45</v>
      </c>
      <c r="T70" s="97">
        <f t="shared" si="28"/>
        <v>7.7922077922077921</v>
      </c>
      <c r="U70" s="97">
        <f t="shared" si="28"/>
        <v>29.220779220779221</v>
      </c>
      <c r="V70" s="98">
        <f t="shared" si="22"/>
        <v>0</v>
      </c>
      <c r="W70" s="98">
        <f t="shared" si="23"/>
        <v>-7.7922077922077921</v>
      </c>
      <c r="X70" s="98">
        <f t="shared" si="24"/>
        <v>-7.7922077922077921</v>
      </c>
      <c r="Z70" s="76" t="b">
        <f t="shared" si="29"/>
        <v>0</v>
      </c>
      <c r="AA70" s="76" t="b">
        <f t="shared" si="30"/>
        <v>0</v>
      </c>
      <c r="AB70" s="76" t="str">
        <f t="shared" si="31"/>
        <v>A</v>
      </c>
      <c r="AC70" s="76">
        <f t="shared" si="32"/>
        <v>1</v>
      </c>
      <c r="AD70" s="105">
        <f t="shared" si="33"/>
        <v>-15.584415584415584</v>
      </c>
    </row>
    <row r="71" spans="2:30" x14ac:dyDescent="0.2">
      <c r="B71" s="99" t="s">
        <v>290</v>
      </c>
      <c r="C71" s="99" t="s">
        <v>1129</v>
      </c>
      <c r="D71" s="91">
        <v>1997</v>
      </c>
      <c r="E71" s="100">
        <v>25.95</v>
      </c>
      <c r="F71" s="94">
        <v>3496</v>
      </c>
      <c r="G71" s="94">
        <f t="shared" si="25"/>
        <v>134.72061657032756</v>
      </c>
      <c r="H71" s="94"/>
      <c r="I71" s="100">
        <f t="shared" si="26"/>
        <v>0</v>
      </c>
      <c r="J71" s="94"/>
      <c r="K71" s="97">
        <f t="shared" si="27"/>
        <v>0</v>
      </c>
      <c r="L71" s="94"/>
      <c r="M71" s="94"/>
      <c r="N71" s="94"/>
      <c r="O71" s="97">
        <f t="shared" si="34"/>
        <v>0</v>
      </c>
      <c r="P71" s="97">
        <f t="shared" si="34"/>
        <v>0</v>
      </c>
      <c r="Q71" s="94">
        <v>240</v>
      </c>
      <c r="R71" s="94">
        <v>23</v>
      </c>
      <c r="S71" s="94">
        <v>94</v>
      </c>
      <c r="T71" s="97">
        <f t="shared" si="28"/>
        <v>9.5833333333333339</v>
      </c>
      <c r="U71" s="97">
        <f t="shared" si="28"/>
        <v>39.166666666666664</v>
      </c>
      <c r="V71" s="98">
        <f t="shared" si="22"/>
        <v>0</v>
      </c>
      <c r="W71" s="98">
        <f t="shared" si="23"/>
        <v>-9.5833333333333339</v>
      </c>
      <c r="X71" s="98">
        <f t="shared" si="24"/>
        <v>-9.5833333333333339</v>
      </c>
      <c r="Z71" s="76" t="b">
        <f t="shared" si="29"/>
        <v>0</v>
      </c>
      <c r="AA71" s="76" t="b">
        <f t="shared" si="30"/>
        <v>0</v>
      </c>
      <c r="AB71" s="76" t="str">
        <f t="shared" si="31"/>
        <v>A</v>
      </c>
      <c r="AC71" s="76">
        <f t="shared" si="32"/>
        <v>1</v>
      </c>
      <c r="AD71" s="105">
        <f t="shared" si="33"/>
        <v>-19.166666666666668</v>
      </c>
    </row>
    <row r="72" spans="2:30" x14ac:dyDescent="0.2">
      <c r="B72" s="99" t="s">
        <v>290</v>
      </c>
      <c r="C72" s="99" t="s">
        <v>1130</v>
      </c>
      <c r="D72" s="91">
        <v>1997</v>
      </c>
      <c r="E72" s="100">
        <v>25.53</v>
      </c>
      <c r="F72" s="94">
        <v>3274</v>
      </c>
      <c r="G72" s="94">
        <f t="shared" si="25"/>
        <v>128.24128476302388</v>
      </c>
      <c r="H72" s="94">
        <v>351</v>
      </c>
      <c r="I72" s="100">
        <f t="shared" si="26"/>
        <v>10.720830788026879</v>
      </c>
      <c r="J72" s="94">
        <v>23</v>
      </c>
      <c r="K72" s="97">
        <f t="shared" si="27"/>
        <v>6.5527065527065522</v>
      </c>
      <c r="L72" s="94">
        <v>351</v>
      </c>
      <c r="M72" s="94">
        <v>23</v>
      </c>
      <c r="N72" s="94">
        <v>92</v>
      </c>
      <c r="O72" s="97">
        <f t="shared" si="34"/>
        <v>6.5527065527065522</v>
      </c>
      <c r="P72" s="97">
        <f t="shared" si="34"/>
        <v>26.210826210826209</v>
      </c>
      <c r="Q72" s="94">
        <v>188</v>
      </c>
      <c r="R72" s="94">
        <v>22</v>
      </c>
      <c r="S72" s="94">
        <v>79</v>
      </c>
      <c r="T72" s="97">
        <f t="shared" si="28"/>
        <v>11.702127659574469</v>
      </c>
      <c r="U72" s="97">
        <f t="shared" si="28"/>
        <v>42.021276595744681</v>
      </c>
      <c r="V72" s="98">
        <f t="shared" si="22"/>
        <v>0</v>
      </c>
      <c r="W72" s="98">
        <f t="shared" si="23"/>
        <v>-5.1494211068679165</v>
      </c>
      <c r="X72" s="98">
        <f t="shared" si="24"/>
        <v>-5.1494211068679165</v>
      </c>
      <c r="Z72" s="76" t="str">
        <f t="shared" si="29"/>
        <v>A</v>
      </c>
      <c r="AA72" s="76" t="str">
        <f t="shared" si="30"/>
        <v>A</v>
      </c>
      <c r="AB72" s="76" t="str">
        <f t="shared" si="31"/>
        <v>A</v>
      </c>
      <c r="AC72" s="76">
        <f t="shared" si="32"/>
        <v>3</v>
      </c>
      <c r="AD72" s="105">
        <f t="shared" si="33"/>
        <v>-10.298842213735833</v>
      </c>
    </row>
    <row r="73" spans="2:30" x14ac:dyDescent="0.2">
      <c r="B73" s="99" t="s">
        <v>290</v>
      </c>
      <c r="C73" s="99" t="s">
        <v>1131</v>
      </c>
      <c r="D73" s="91">
        <v>1998</v>
      </c>
      <c r="E73" s="100">
        <v>25.24</v>
      </c>
      <c r="F73" s="94">
        <v>3307</v>
      </c>
      <c r="G73" s="94">
        <f t="shared" si="25"/>
        <v>131.02218700475436</v>
      </c>
      <c r="H73" s="94"/>
      <c r="I73" s="100">
        <f t="shared" si="26"/>
        <v>0</v>
      </c>
      <c r="J73" s="94"/>
      <c r="K73" s="97">
        <f t="shared" si="27"/>
        <v>0</v>
      </c>
      <c r="L73" s="94">
        <v>26</v>
      </c>
      <c r="M73" s="94">
        <v>2</v>
      </c>
      <c r="N73" s="94">
        <v>6</v>
      </c>
      <c r="O73" s="97">
        <f t="shared" si="34"/>
        <v>7.6923076923076925</v>
      </c>
      <c r="P73" s="97">
        <f t="shared" si="34"/>
        <v>23.076923076923077</v>
      </c>
      <c r="Q73" s="94">
        <v>456</v>
      </c>
      <c r="R73" s="94">
        <v>66</v>
      </c>
      <c r="S73" s="94">
        <v>62</v>
      </c>
      <c r="T73" s="97">
        <f t="shared" si="28"/>
        <v>14.473684210526317</v>
      </c>
      <c r="U73" s="97">
        <f t="shared" si="28"/>
        <v>13.596491228070176</v>
      </c>
      <c r="V73" s="98">
        <f t="shared" si="22"/>
        <v>-7.6923076923076925</v>
      </c>
      <c r="W73" s="98">
        <f t="shared" si="23"/>
        <v>-14.473684210526317</v>
      </c>
      <c r="X73" s="98">
        <f t="shared" si="24"/>
        <v>-6.7813765182186243</v>
      </c>
      <c r="Z73" s="76" t="b">
        <f t="shared" si="29"/>
        <v>0</v>
      </c>
      <c r="AA73" s="76" t="str">
        <f t="shared" si="30"/>
        <v>A</v>
      </c>
      <c r="AB73" s="76" t="str">
        <f t="shared" si="31"/>
        <v>A</v>
      </c>
      <c r="AC73" s="76">
        <f t="shared" si="32"/>
        <v>2</v>
      </c>
      <c r="AD73" s="105">
        <f t="shared" si="33"/>
        <v>-28.947368421052634</v>
      </c>
    </row>
    <row r="74" spans="2:30" x14ac:dyDescent="0.2">
      <c r="B74" s="99" t="s">
        <v>290</v>
      </c>
      <c r="C74" s="99" t="s">
        <v>1132</v>
      </c>
      <c r="D74" s="91">
        <v>1999</v>
      </c>
      <c r="E74" s="100">
        <v>27.13</v>
      </c>
      <c r="F74" s="94">
        <v>3611</v>
      </c>
      <c r="G74" s="94">
        <f t="shared" si="25"/>
        <v>133.09988942130482</v>
      </c>
      <c r="H74" s="94"/>
      <c r="I74" s="100">
        <f t="shared" si="26"/>
        <v>0</v>
      </c>
      <c r="J74" s="94"/>
      <c r="K74" s="97">
        <f t="shared" si="27"/>
        <v>0</v>
      </c>
      <c r="L74" s="94">
        <v>27</v>
      </c>
      <c r="M74" s="94">
        <v>2</v>
      </c>
      <c r="N74" s="94">
        <v>6</v>
      </c>
      <c r="O74" s="97">
        <f t="shared" si="34"/>
        <v>7.4074074074074066</v>
      </c>
      <c r="P74" s="97">
        <f t="shared" si="34"/>
        <v>22.222222222222221</v>
      </c>
      <c r="Q74" s="94">
        <v>160</v>
      </c>
      <c r="R74" s="94">
        <v>23</v>
      </c>
      <c r="S74" s="94">
        <v>23</v>
      </c>
      <c r="T74" s="97">
        <f t="shared" si="28"/>
        <v>14.374999999999998</v>
      </c>
      <c r="U74" s="97">
        <f t="shared" si="28"/>
        <v>14.374999999999998</v>
      </c>
      <c r="V74" s="98">
        <f t="shared" si="22"/>
        <v>-7.4074074074074066</v>
      </c>
      <c r="W74" s="98">
        <f t="shared" si="23"/>
        <v>-14.374999999999998</v>
      </c>
      <c r="X74" s="98">
        <f t="shared" si="24"/>
        <v>-6.9675925925925917</v>
      </c>
      <c r="Z74" s="76" t="b">
        <f t="shared" si="29"/>
        <v>0</v>
      </c>
      <c r="AA74" s="76" t="str">
        <f t="shared" si="30"/>
        <v>A</v>
      </c>
      <c r="AB74" s="76" t="str">
        <f t="shared" si="31"/>
        <v>A</v>
      </c>
      <c r="AC74" s="76">
        <f t="shared" si="32"/>
        <v>2</v>
      </c>
      <c r="AD74" s="105">
        <f t="shared" si="33"/>
        <v>-28.749999999999996</v>
      </c>
    </row>
    <row r="75" spans="2:30" x14ac:dyDescent="0.2">
      <c r="B75" s="99" t="s">
        <v>290</v>
      </c>
      <c r="C75" s="99" t="s">
        <v>1133</v>
      </c>
      <c r="D75" s="91">
        <v>1999</v>
      </c>
      <c r="E75" s="100">
        <v>24.3</v>
      </c>
      <c r="F75" s="94">
        <v>3358</v>
      </c>
      <c r="G75" s="94">
        <f t="shared" si="25"/>
        <v>138.18930041152262</v>
      </c>
      <c r="H75" s="94"/>
      <c r="I75" s="100">
        <f t="shared" si="26"/>
        <v>0</v>
      </c>
      <c r="J75" s="94"/>
      <c r="K75" s="97">
        <f t="shared" si="27"/>
        <v>0</v>
      </c>
      <c r="L75" s="94">
        <v>275</v>
      </c>
      <c r="M75" s="94">
        <v>34</v>
      </c>
      <c r="N75" s="94">
        <v>0</v>
      </c>
      <c r="O75" s="97">
        <f t="shared" si="34"/>
        <v>12.363636363636363</v>
      </c>
      <c r="P75" s="97">
        <f t="shared" si="34"/>
        <v>0</v>
      </c>
      <c r="Q75" s="94">
        <v>174</v>
      </c>
      <c r="R75" s="94">
        <v>22</v>
      </c>
      <c r="S75" s="94">
        <v>28</v>
      </c>
      <c r="T75" s="97">
        <f t="shared" si="28"/>
        <v>12.643678160919542</v>
      </c>
      <c r="U75" s="97">
        <f t="shared" si="28"/>
        <v>16.091954022988507</v>
      </c>
      <c r="V75" s="98">
        <f t="shared" si="22"/>
        <v>-12.363636363636363</v>
      </c>
      <c r="W75" s="98">
        <f t="shared" si="23"/>
        <v>-12.643678160919542</v>
      </c>
      <c r="X75" s="98">
        <f t="shared" si="24"/>
        <v>-0.28004179728317879</v>
      </c>
      <c r="Z75" s="76" t="b">
        <f t="shared" si="29"/>
        <v>0</v>
      </c>
      <c r="AA75" s="76" t="str">
        <f t="shared" si="30"/>
        <v>A</v>
      </c>
      <c r="AB75" s="76" t="str">
        <f t="shared" si="31"/>
        <v>A</v>
      </c>
      <c r="AC75" s="76">
        <f t="shared" si="32"/>
        <v>2</v>
      </c>
      <c r="AD75" s="105">
        <f t="shared" si="33"/>
        <v>-25.287356321839084</v>
      </c>
    </row>
    <row r="76" spans="2:30" x14ac:dyDescent="0.2">
      <c r="B76" s="99" t="s">
        <v>290</v>
      </c>
      <c r="C76" s="99" t="s">
        <v>1134</v>
      </c>
      <c r="D76" s="91">
        <v>1999</v>
      </c>
      <c r="E76" s="100">
        <v>27.94</v>
      </c>
      <c r="F76" s="94">
        <v>3795</v>
      </c>
      <c r="G76" s="94">
        <f t="shared" si="25"/>
        <v>135.82677165354329</v>
      </c>
      <c r="H76" s="94"/>
      <c r="I76" s="100">
        <f t="shared" si="26"/>
        <v>0</v>
      </c>
      <c r="J76" s="94"/>
      <c r="K76" s="97">
        <f t="shared" si="27"/>
        <v>0</v>
      </c>
      <c r="L76" s="94">
        <v>27</v>
      </c>
      <c r="M76" s="94">
        <v>1</v>
      </c>
      <c r="N76" s="94">
        <v>6</v>
      </c>
      <c r="O76" s="97">
        <f t="shared" si="34"/>
        <v>3.7037037037037033</v>
      </c>
      <c r="P76" s="97">
        <f t="shared" si="34"/>
        <v>22.222222222222221</v>
      </c>
      <c r="Q76" s="94">
        <v>216</v>
      </c>
      <c r="R76" s="94">
        <v>33</v>
      </c>
      <c r="S76" s="94">
        <v>51</v>
      </c>
      <c r="T76" s="97">
        <f t="shared" si="28"/>
        <v>15.277777777777779</v>
      </c>
      <c r="U76" s="97">
        <f t="shared" si="28"/>
        <v>23.611111111111111</v>
      </c>
      <c r="V76" s="98">
        <f t="shared" si="22"/>
        <v>-3.7037037037037033</v>
      </c>
      <c r="W76" s="98">
        <f t="shared" si="23"/>
        <v>-15.277777777777779</v>
      </c>
      <c r="X76" s="98">
        <f t="shared" si="24"/>
        <v>-11.574074074074076</v>
      </c>
      <c r="Z76" s="76" t="b">
        <f t="shared" si="29"/>
        <v>0</v>
      </c>
      <c r="AA76" s="76" t="str">
        <f t="shared" si="30"/>
        <v>A</v>
      </c>
      <c r="AB76" s="76" t="str">
        <f t="shared" si="31"/>
        <v>A</v>
      </c>
      <c r="AC76" s="76">
        <f t="shared" si="32"/>
        <v>2</v>
      </c>
      <c r="AD76" s="105">
        <f t="shared" si="33"/>
        <v>-30.555555555555557</v>
      </c>
    </row>
    <row r="77" spans="2:30" x14ac:dyDescent="0.2">
      <c r="B77" s="99" t="s">
        <v>290</v>
      </c>
      <c r="C77" s="99" t="s">
        <v>1135</v>
      </c>
      <c r="D77" s="91">
        <v>1999</v>
      </c>
      <c r="E77" s="100">
        <v>28.88</v>
      </c>
      <c r="F77" s="94">
        <v>3826</v>
      </c>
      <c r="G77" s="94">
        <f t="shared" si="25"/>
        <v>132.47922437673131</v>
      </c>
      <c r="H77" s="94"/>
      <c r="I77" s="100">
        <f t="shared" si="26"/>
        <v>0</v>
      </c>
      <c r="J77" s="94"/>
      <c r="K77" s="97">
        <f t="shared" si="27"/>
        <v>0</v>
      </c>
      <c r="L77" s="94">
        <v>27</v>
      </c>
      <c r="M77" s="94">
        <v>1</v>
      </c>
      <c r="N77" s="94">
        <v>10</v>
      </c>
      <c r="O77" s="97">
        <f t="shared" si="34"/>
        <v>3.7037037037037033</v>
      </c>
      <c r="P77" s="97">
        <f t="shared" si="34"/>
        <v>37.037037037037038</v>
      </c>
      <c r="Q77" s="94">
        <v>84</v>
      </c>
      <c r="R77" s="94">
        <v>23</v>
      </c>
      <c r="S77" s="94">
        <v>21</v>
      </c>
      <c r="T77" s="97">
        <f t="shared" si="28"/>
        <v>27.380952380952383</v>
      </c>
      <c r="U77" s="97">
        <f t="shared" si="28"/>
        <v>25</v>
      </c>
      <c r="V77" s="98">
        <f t="shared" si="22"/>
        <v>-3.7037037037037033</v>
      </c>
      <c r="W77" s="98">
        <f t="shared" si="23"/>
        <v>-27.380952380952383</v>
      </c>
      <c r="X77" s="98">
        <f t="shared" si="24"/>
        <v>-23.677248677248681</v>
      </c>
      <c r="Z77" s="76" t="b">
        <f t="shared" si="29"/>
        <v>0</v>
      </c>
      <c r="AA77" s="76" t="str">
        <f t="shared" si="30"/>
        <v>A</v>
      </c>
      <c r="AB77" s="76" t="str">
        <f t="shared" si="31"/>
        <v>A</v>
      </c>
      <c r="AC77" s="76">
        <f t="shared" si="32"/>
        <v>2</v>
      </c>
      <c r="AD77" s="105">
        <f t="shared" si="33"/>
        <v>-54.761904761904766</v>
      </c>
    </row>
    <row r="78" spans="2:30" x14ac:dyDescent="0.2">
      <c r="B78" s="99" t="s">
        <v>290</v>
      </c>
      <c r="C78" s="99" t="s">
        <v>1136</v>
      </c>
      <c r="D78" s="91">
        <v>2008</v>
      </c>
      <c r="E78" s="100">
        <v>28.5</v>
      </c>
      <c r="F78" s="94">
        <v>3797</v>
      </c>
      <c r="G78" s="94">
        <f t="shared" si="25"/>
        <v>133.2280701754386</v>
      </c>
      <c r="H78" s="94"/>
      <c r="I78" s="100">
        <f t="shared" si="26"/>
        <v>0</v>
      </c>
      <c r="J78" s="94"/>
      <c r="K78" s="97">
        <f t="shared" si="27"/>
        <v>0</v>
      </c>
      <c r="L78" s="94"/>
      <c r="M78" s="94"/>
      <c r="N78" s="94"/>
      <c r="O78" s="97">
        <f t="shared" si="34"/>
        <v>0</v>
      </c>
      <c r="P78" s="97">
        <f t="shared" si="34"/>
        <v>0</v>
      </c>
      <c r="Q78" s="94">
        <v>586</v>
      </c>
      <c r="R78" s="94">
        <v>106</v>
      </c>
      <c r="S78" s="94">
        <v>104</v>
      </c>
      <c r="T78" s="97">
        <f t="shared" si="28"/>
        <v>18.088737201365188</v>
      </c>
      <c r="U78" s="97">
        <f t="shared" si="28"/>
        <v>17.747440273037544</v>
      </c>
      <c r="V78" s="98">
        <f t="shared" si="22"/>
        <v>0</v>
      </c>
      <c r="W78" s="98">
        <f t="shared" si="23"/>
        <v>-18.088737201365188</v>
      </c>
      <c r="X78" s="98">
        <f t="shared" si="24"/>
        <v>-18.088737201365188</v>
      </c>
      <c r="Z78" s="76" t="b">
        <f t="shared" si="29"/>
        <v>0</v>
      </c>
      <c r="AA78" s="76" t="b">
        <f t="shared" si="30"/>
        <v>0</v>
      </c>
      <c r="AB78" s="76" t="str">
        <f t="shared" si="31"/>
        <v>A</v>
      </c>
      <c r="AC78" s="76">
        <f t="shared" si="32"/>
        <v>1</v>
      </c>
      <c r="AD78" s="105">
        <f t="shared" si="33"/>
        <v>-36.177474402730375</v>
      </c>
    </row>
    <row r="79" spans="2:30" x14ac:dyDescent="0.2">
      <c r="B79" s="99" t="s">
        <v>290</v>
      </c>
      <c r="C79" s="99" t="s">
        <v>1137</v>
      </c>
      <c r="D79" s="91">
        <v>2026</v>
      </c>
      <c r="E79" s="100">
        <v>0</v>
      </c>
      <c r="F79" s="94">
        <v>0</v>
      </c>
      <c r="G79" s="94">
        <f t="shared" si="25"/>
        <v>0</v>
      </c>
      <c r="H79" s="94"/>
      <c r="I79" s="100">
        <f t="shared" si="26"/>
        <v>0</v>
      </c>
      <c r="J79" s="94"/>
      <c r="K79" s="97">
        <f t="shared" si="27"/>
        <v>0</v>
      </c>
      <c r="L79" s="94"/>
      <c r="M79" s="94"/>
      <c r="N79" s="94"/>
      <c r="O79" s="97">
        <f t="shared" si="34"/>
        <v>0</v>
      </c>
      <c r="P79" s="97">
        <f t="shared" si="34"/>
        <v>0</v>
      </c>
      <c r="Q79" s="94"/>
      <c r="R79" s="94"/>
      <c r="S79" s="94"/>
      <c r="T79" s="97">
        <f t="shared" si="28"/>
        <v>0</v>
      </c>
      <c r="U79" s="97">
        <f t="shared" si="28"/>
        <v>0</v>
      </c>
      <c r="V79" s="98">
        <f t="shared" si="22"/>
        <v>0</v>
      </c>
      <c r="W79" s="98">
        <f t="shared" si="23"/>
        <v>0</v>
      </c>
      <c r="X79" s="98">
        <f t="shared" si="24"/>
        <v>0</v>
      </c>
      <c r="Z79" s="76" t="b">
        <f t="shared" si="29"/>
        <v>0</v>
      </c>
      <c r="AA79" s="76" t="b">
        <f t="shared" si="30"/>
        <v>0</v>
      </c>
      <c r="AB79" s="76" t="b">
        <f t="shared" si="31"/>
        <v>0</v>
      </c>
      <c r="AC79" s="76">
        <f t="shared" si="32"/>
        <v>0</v>
      </c>
      <c r="AD79" s="105">
        <f t="shared" si="33"/>
        <v>0</v>
      </c>
    </row>
    <row r="80" spans="2:30" x14ac:dyDescent="0.2">
      <c r="B80" s="99" t="s">
        <v>290</v>
      </c>
      <c r="C80" s="99" t="s">
        <v>1138</v>
      </c>
      <c r="D80" s="91">
        <v>1999</v>
      </c>
      <c r="E80" s="100">
        <v>21.8</v>
      </c>
      <c r="F80" s="94">
        <v>2966</v>
      </c>
      <c r="G80" s="94">
        <f t="shared" si="25"/>
        <v>136.05504587155963</v>
      </c>
      <c r="H80" s="94"/>
      <c r="I80" s="100">
        <f t="shared" si="26"/>
        <v>0</v>
      </c>
      <c r="J80" s="94"/>
      <c r="K80" s="97">
        <f t="shared" si="27"/>
        <v>0</v>
      </c>
      <c r="L80" s="94"/>
      <c r="M80" s="94"/>
      <c r="N80" s="94"/>
      <c r="O80" s="97">
        <f t="shared" si="34"/>
        <v>0</v>
      </c>
      <c r="P80" s="97">
        <f t="shared" si="34"/>
        <v>0</v>
      </c>
      <c r="Q80" s="94">
        <v>241</v>
      </c>
      <c r="R80" s="94">
        <v>56</v>
      </c>
      <c r="S80" s="94">
        <v>58</v>
      </c>
      <c r="T80" s="97">
        <f t="shared" si="28"/>
        <v>23.236514522821576</v>
      </c>
      <c r="U80" s="97">
        <f t="shared" si="28"/>
        <v>24.066390041493776</v>
      </c>
      <c r="V80" s="98">
        <f t="shared" si="22"/>
        <v>0</v>
      </c>
      <c r="W80" s="98">
        <f t="shared" si="23"/>
        <v>-23.236514522821576</v>
      </c>
      <c r="X80" s="98">
        <f t="shared" si="24"/>
        <v>-23.236514522821576</v>
      </c>
      <c r="Z80" s="76" t="b">
        <f t="shared" si="29"/>
        <v>0</v>
      </c>
      <c r="AA80" s="76" t="b">
        <f t="shared" si="30"/>
        <v>0</v>
      </c>
      <c r="AB80" s="76" t="str">
        <f t="shared" si="31"/>
        <v>A</v>
      </c>
      <c r="AC80" s="76">
        <f t="shared" si="32"/>
        <v>1</v>
      </c>
      <c r="AD80" s="105">
        <f t="shared" si="33"/>
        <v>-46.473029045643152</v>
      </c>
    </row>
    <row r="81" spans="2:30" x14ac:dyDescent="0.2">
      <c r="B81" s="99" t="s">
        <v>290</v>
      </c>
      <c r="C81" s="99" t="s">
        <v>1139</v>
      </c>
      <c r="D81" s="91">
        <v>1999</v>
      </c>
      <c r="E81" s="100">
        <v>37.770000000000003</v>
      </c>
      <c r="F81" s="94">
        <v>5033</v>
      </c>
      <c r="G81" s="94">
        <f t="shared" si="25"/>
        <v>133.2539052157797</v>
      </c>
      <c r="H81" s="94"/>
      <c r="I81" s="100">
        <f t="shared" si="26"/>
        <v>0</v>
      </c>
      <c r="J81" s="94"/>
      <c r="K81" s="97">
        <f t="shared" si="27"/>
        <v>0</v>
      </c>
      <c r="L81" s="94"/>
      <c r="M81" s="94"/>
      <c r="N81" s="94"/>
      <c r="O81" s="97">
        <f t="shared" si="34"/>
        <v>0</v>
      </c>
      <c r="P81" s="97">
        <f t="shared" si="34"/>
        <v>0</v>
      </c>
      <c r="Q81" s="94">
        <v>434</v>
      </c>
      <c r="R81" s="94">
        <v>61</v>
      </c>
      <c r="S81" s="94">
        <v>56</v>
      </c>
      <c r="T81" s="97">
        <f t="shared" si="28"/>
        <v>14.055299539170507</v>
      </c>
      <c r="U81" s="97">
        <f t="shared" si="28"/>
        <v>12.903225806451612</v>
      </c>
      <c r="V81" s="98">
        <f t="shared" si="22"/>
        <v>0</v>
      </c>
      <c r="W81" s="98">
        <f t="shared" si="23"/>
        <v>-14.055299539170507</v>
      </c>
      <c r="X81" s="98">
        <f t="shared" si="24"/>
        <v>-14.055299539170507</v>
      </c>
      <c r="Z81" s="76" t="b">
        <f t="shared" si="29"/>
        <v>0</v>
      </c>
      <c r="AA81" s="76" t="b">
        <f t="shared" si="30"/>
        <v>0</v>
      </c>
      <c r="AB81" s="76" t="str">
        <f t="shared" si="31"/>
        <v>A</v>
      </c>
      <c r="AC81" s="76">
        <f t="shared" si="32"/>
        <v>1</v>
      </c>
      <c r="AD81" s="105">
        <f t="shared" si="33"/>
        <v>-28.110599078341014</v>
      </c>
    </row>
    <row r="82" spans="2:30" x14ac:dyDescent="0.2">
      <c r="B82" s="99" t="s">
        <v>290</v>
      </c>
      <c r="C82" s="99" t="s">
        <v>1140</v>
      </c>
      <c r="D82" s="91">
        <v>2008</v>
      </c>
      <c r="E82" s="100">
        <v>25.59</v>
      </c>
      <c r="F82" s="94">
        <v>3459</v>
      </c>
      <c r="G82" s="94">
        <f t="shared" si="25"/>
        <v>135.16998827667058</v>
      </c>
      <c r="H82" s="94"/>
      <c r="I82" s="100">
        <f t="shared" si="26"/>
        <v>0</v>
      </c>
      <c r="J82" s="94"/>
      <c r="K82" s="97">
        <f t="shared" si="27"/>
        <v>0</v>
      </c>
      <c r="L82" s="94">
        <v>26</v>
      </c>
      <c r="M82" s="94">
        <v>11</v>
      </c>
      <c r="N82" s="94">
        <v>12</v>
      </c>
      <c r="O82" s="97">
        <f t="shared" si="34"/>
        <v>42.307692307692307</v>
      </c>
      <c r="P82" s="97">
        <f t="shared" si="34"/>
        <v>46.153846153846153</v>
      </c>
      <c r="Q82" s="94"/>
      <c r="R82" s="94"/>
      <c r="S82" s="94"/>
      <c r="T82" s="97">
        <f t="shared" si="28"/>
        <v>0</v>
      </c>
      <c r="U82" s="97">
        <f t="shared" si="28"/>
        <v>0</v>
      </c>
      <c r="V82" s="98">
        <f t="shared" si="22"/>
        <v>-42.307692307692307</v>
      </c>
      <c r="W82" s="98">
        <f t="shared" si="23"/>
        <v>0</v>
      </c>
      <c r="X82" s="98">
        <f t="shared" si="24"/>
        <v>42.307692307692307</v>
      </c>
      <c r="Z82" s="76" t="b">
        <f t="shared" si="29"/>
        <v>0</v>
      </c>
      <c r="AA82" s="76" t="str">
        <f t="shared" si="30"/>
        <v>A</v>
      </c>
      <c r="AB82" s="76" t="b">
        <f t="shared" si="31"/>
        <v>0</v>
      </c>
      <c r="AC82" s="76">
        <f t="shared" si="32"/>
        <v>1</v>
      </c>
      <c r="AD82" s="105">
        <f t="shared" si="33"/>
        <v>0</v>
      </c>
    </row>
    <row r="83" spans="2:30" x14ac:dyDescent="0.2">
      <c r="B83" s="99" t="s">
        <v>290</v>
      </c>
      <c r="C83" s="99" t="s">
        <v>1141</v>
      </c>
      <c r="D83" s="91">
        <v>2008</v>
      </c>
      <c r="E83" s="100">
        <v>28.88</v>
      </c>
      <c r="F83" s="94">
        <v>3930</v>
      </c>
      <c r="G83" s="94">
        <f t="shared" si="25"/>
        <v>136.0803324099723</v>
      </c>
      <c r="H83" s="94"/>
      <c r="I83" s="100">
        <f t="shared" si="26"/>
        <v>0</v>
      </c>
      <c r="J83" s="94"/>
      <c r="K83" s="97">
        <f t="shared" si="27"/>
        <v>0</v>
      </c>
      <c r="L83" s="94">
        <v>25</v>
      </c>
      <c r="M83" s="94">
        <v>12</v>
      </c>
      <c r="N83" s="94">
        <v>5</v>
      </c>
      <c r="O83" s="97">
        <f t="shared" si="34"/>
        <v>48</v>
      </c>
      <c r="P83" s="97">
        <f t="shared" si="34"/>
        <v>20</v>
      </c>
      <c r="Q83" s="94"/>
      <c r="R83" s="94"/>
      <c r="S83" s="94"/>
      <c r="T83" s="97">
        <f t="shared" si="28"/>
        <v>0</v>
      </c>
      <c r="U83" s="97">
        <f t="shared" si="28"/>
        <v>0</v>
      </c>
      <c r="V83" s="98">
        <f t="shared" si="22"/>
        <v>-48</v>
      </c>
      <c r="W83" s="98">
        <f t="shared" si="23"/>
        <v>0</v>
      </c>
      <c r="X83" s="98">
        <f t="shared" si="24"/>
        <v>48</v>
      </c>
      <c r="Z83" s="76" t="b">
        <f t="shared" si="29"/>
        <v>0</v>
      </c>
      <c r="AA83" s="76" t="str">
        <f t="shared" si="30"/>
        <v>A</v>
      </c>
      <c r="AB83" s="76" t="b">
        <f t="shared" si="31"/>
        <v>0</v>
      </c>
      <c r="AC83" s="76">
        <f t="shared" si="32"/>
        <v>1</v>
      </c>
      <c r="AD83" s="105">
        <f t="shared" si="33"/>
        <v>0</v>
      </c>
    </row>
    <row r="84" spans="2:30" x14ac:dyDescent="0.2">
      <c r="B84" s="99" t="s">
        <v>323</v>
      </c>
      <c r="C84" s="99" t="s">
        <v>1142</v>
      </c>
      <c r="D84" s="91">
        <v>2015</v>
      </c>
      <c r="E84" s="100">
        <v>38.159999999999997</v>
      </c>
      <c r="F84" s="94">
        <v>4730</v>
      </c>
      <c r="G84" s="94">
        <f t="shared" si="25"/>
        <v>123.9517819706499</v>
      </c>
      <c r="H84" s="94"/>
      <c r="I84" s="100">
        <f t="shared" si="26"/>
        <v>0</v>
      </c>
      <c r="J84" s="94"/>
      <c r="K84" s="97">
        <f t="shared" si="27"/>
        <v>0</v>
      </c>
      <c r="L84" s="94"/>
      <c r="M84" s="94"/>
      <c r="N84" s="94"/>
      <c r="O84" s="97">
        <f t="shared" si="34"/>
        <v>0</v>
      </c>
      <c r="P84" s="97">
        <f t="shared" si="34"/>
        <v>0</v>
      </c>
      <c r="Q84" s="91">
        <v>354</v>
      </c>
      <c r="R84" s="91">
        <v>117</v>
      </c>
      <c r="S84" s="91">
        <v>231</v>
      </c>
      <c r="T84" s="97">
        <f t="shared" si="28"/>
        <v>33.050847457627121</v>
      </c>
      <c r="U84" s="97">
        <f t="shared" si="28"/>
        <v>65.254237288135599</v>
      </c>
      <c r="V84" s="98">
        <f t="shared" ref="V84:V147" si="35">K84-O84</f>
        <v>0</v>
      </c>
      <c r="W84" s="98">
        <f t="shared" ref="W84:W147" si="36">K84-T84</f>
        <v>-33.050847457627121</v>
      </c>
      <c r="X84" s="98">
        <f t="shared" ref="X84:X147" si="37">O84-T84</f>
        <v>-33.050847457627121</v>
      </c>
      <c r="Z84" s="76" t="b">
        <f t="shared" si="29"/>
        <v>0</v>
      </c>
      <c r="AA84" s="76" t="b">
        <f t="shared" si="30"/>
        <v>0</v>
      </c>
      <c r="AB84" s="76" t="str">
        <f t="shared" si="31"/>
        <v>A</v>
      </c>
      <c r="AC84" s="76">
        <f t="shared" si="32"/>
        <v>1</v>
      </c>
      <c r="AD84" s="105">
        <f t="shared" si="33"/>
        <v>-66.101694915254242</v>
      </c>
    </row>
    <row r="85" spans="2:30" x14ac:dyDescent="0.2">
      <c r="B85" s="99" t="s">
        <v>323</v>
      </c>
      <c r="C85" s="99" t="s">
        <v>1143</v>
      </c>
      <c r="D85" s="91">
        <v>1999</v>
      </c>
      <c r="E85" s="100">
        <v>43.82</v>
      </c>
      <c r="F85" s="94">
        <v>5538</v>
      </c>
      <c r="G85" s="94">
        <f t="shared" ref="G85:G148" si="38">IFERROR($F85/$E85,0)</f>
        <v>126.38064810588772</v>
      </c>
      <c r="H85" s="94"/>
      <c r="I85" s="100">
        <f t="shared" ref="I85:I148" si="39">IFERROR(H85/F85*100,0)</f>
        <v>0</v>
      </c>
      <c r="J85" s="94"/>
      <c r="K85" s="97">
        <f t="shared" ref="K85:K148" si="40">IFERROR(J85/H85*100,0)</f>
        <v>0</v>
      </c>
      <c r="L85" s="94"/>
      <c r="M85" s="94"/>
      <c r="N85" s="94"/>
      <c r="O85" s="97">
        <f t="shared" si="34"/>
        <v>0</v>
      </c>
      <c r="P85" s="97">
        <f t="shared" si="34"/>
        <v>0</v>
      </c>
      <c r="Q85" s="94"/>
      <c r="R85" s="94"/>
      <c r="S85" s="94"/>
      <c r="T85" s="97">
        <f t="shared" ref="T85:U148" si="41">IFERROR(R85/$Q85*100,0)</f>
        <v>0</v>
      </c>
      <c r="U85" s="97">
        <f t="shared" si="41"/>
        <v>0</v>
      </c>
      <c r="V85" s="98">
        <f t="shared" si="35"/>
        <v>0</v>
      </c>
      <c r="W85" s="98">
        <f t="shared" si="36"/>
        <v>0</v>
      </c>
      <c r="X85" s="98">
        <f t="shared" si="37"/>
        <v>0</v>
      </c>
      <c r="Z85" s="76" t="b">
        <f t="shared" ref="Z85:Z148" si="42">IFERROR(IF($K85&gt;0,"A",IF($K85&lt;0,"B")),0)</f>
        <v>0</v>
      </c>
      <c r="AA85" s="76" t="b">
        <f t="shared" ref="AA85:AA148" si="43">IFERROR(IF($O85&gt;0,"A",IF($O85&lt;0,"B")),0)</f>
        <v>0</v>
      </c>
      <c r="AB85" s="76" t="b">
        <f t="shared" ref="AB85:AB148" si="44">IFERROR(IF($T85&gt;0,"A",IF($T85&lt;0,"B")),0)</f>
        <v>0</v>
      </c>
      <c r="AC85" s="76">
        <f t="shared" ref="AC85:AC148" si="45">COUNTIF(Z85:AB85,$Z$19)</f>
        <v>0</v>
      </c>
      <c r="AD85" s="105">
        <f t="shared" ref="AD85:AD148" si="46">SUM(V85:X85)</f>
        <v>0</v>
      </c>
    </row>
    <row r="86" spans="2:30" x14ac:dyDescent="0.2">
      <c r="B86" s="99" t="s">
        <v>323</v>
      </c>
      <c r="C86" s="99" t="s">
        <v>1144</v>
      </c>
      <c r="D86" s="91">
        <v>1999</v>
      </c>
      <c r="E86" s="100">
        <v>41.61</v>
      </c>
      <c r="F86" s="94">
        <v>5454</v>
      </c>
      <c r="G86" s="94">
        <f t="shared" si="38"/>
        <v>131.07426099495314</v>
      </c>
      <c r="H86" s="94"/>
      <c r="I86" s="100">
        <f t="shared" si="39"/>
        <v>0</v>
      </c>
      <c r="J86" s="94"/>
      <c r="K86" s="97">
        <f t="shared" si="40"/>
        <v>0</v>
      </c>
      <c r="L86" s="94"/>
      <c r="M86" s="94"/>
      <c r="N86" s="94"/>
      <c r="O86" s="97">
        <f t="shared" si="34"/>
        <v>0</v>
      </c>
      <c r="P86" s="97">
        <f t="shared" si="34"/>
        <v>0</v>
      </c>
      <c r="Q86" s="94"/>
      <c r="R86" s="94"/>
      <c r="S86" s="94"/>
      <c r="T86" s="97">
        <f t="shared" si="41"/>
        <v>0</v>
      </c>
      <c r="U86" s="97">
        <f t="shared" si="41"/>
        <v>0</v>
      </c>
      <c r="V86" s="98">
        <f t="shared" si="35"/>
        <v>0</v>
      </c>
      <c r="W86" s="98">
        <f t="shared" si="36"/>
        <v>0</v>
      </c>
      <c r="X86" s="98">
        <f t="shared" si="37"/>
        <v>0</v>
      </c>
      <c r="Z86" s="76" t="b">
        <f t="shared" si="42"/>
        <v>0</v>
      </c>
      <c r="AA86" s="76" t="b">
        <f t="shared" si="43"/>
        <v>0</v>
      </c>
      <c r="AB86" s="76" t="b">
        <f t="shared" si="44"/>
        <v>0</v>
      </c>
      <c r="AC86" s="76">
        <f t="shared" si="45"/>
        <v>0</v>
      </c>
      <c r="AD86" s="105">
        <f t="shared" si="46"/>
        <v>0</v>
      </c>
    </row>
    <row r="87" spans="2:30" x14ac:dyDescent="0.2">
      <c r="B87" s="99" t="s">
        <v>323</v>
      </c>
      <c r="C87" s="99" t="s">
        <v>1145</v>
      </c>
      <c r="D87" s="91">
        <v>2013</v>
      </c>
      <c r="E87" s="100">
        <v>31.18</v>
      </c>
      <c r="F87" s="94">
        <v>3814</v>
      </c>
      <c r="G87" s="94">
        <f t="shared" si="38"/>
        <v>122.32200128287364</v>
      </c>
      <c r="H87" s="94"/>
      <c r="I87" s="100">
        <f t="shared" si="39"/>
        <v>0</v>
      </c>
      <c r="J87" s="94"/>
      <c r="K87" s="97">
        <f t="shared" si="40"/>
        <v>0</v>
      </c>
      <c r="L87" s="94"/>
      <c r="M87" s="94"/>
      <c r="N87" s="94"/>
      <c r="O87" s="97">
        <f t="shared" si="34"/>
        <v>0</v>
      </c>
      <c r="P87" s="97">
        <f t="shared" si="34"/>
        <v>0</v>
      </c>
      <c r="Q87" s="94"/>
      <c r="R87" s="94"/>
      <c r="S87" s="94"/>
      <c r="T87" s="97">
        <f t="shared" si="41"/>
        <v>0</v>
      </c>
      <c r="U87" s="97">
        <f t="shared" si="41"/>
        <v>0</v>
      </c>
      <c r="V87" s="98">
        <f t="shared" si="35"/>
        <v>0</v>
      </c>
      <c r="W87" s="98">
        <f t="shared" si="36"/>
        <v>0</v>
      </c>
      <c r="X87" s="98">
        <f t="shared" si="37"/>
        <v>0</v>
      </c>
      <c r="Z87" s="76" t="b">
        <f t="shared" si="42"/>
        <v>0</v>
      </c>
      <c r="AA87" s="76" t="b">
        <f t="shared" si="43"/>
        <v>0</v>
      </c>
      <c r="AB87" s="76" t="b">
        <f t="shared" si="44"/>
        <v>0</v>
      </c>
      <c r="AC87" s="76">
        <f t="shared" si="45"/>
        <v>0</v>
      </c>
      <c r="AD87" s="105">
        <f t="shared" si="46"/>
        <v>0</v>
      </c>
    </row>
    <row r="88" spans="2:30" x14ac:dyDescent="0.2">
      <c r="B88" s="99" t="s">
        <v>323</v>
      </c>
      <c r="C88" s="99" t="s">
        <v>1146</v>
      </c>
      <c r="D88" s="91">
        <v>1998</v>
      </c>
      <c r="E88" s="100">
        <v>22.77</v>
      </c>
      <c r="F88" s="94">
        <v>2900</v>
      </c>
      <c r="G88" s="94">
        <f t="shared" si="38"/>
        <v>127.36056214317084</v>
      </c>
      <c r="H88" s="94"/>
      <c r="I88" s="100">
        <f t="shared" si="39"/>
        <v>0</v>
      </c>
      <c r="J88" s="94"/>
      <c r="K88" s="97">
        <f t="shared" si="40"/>
        <v>0</v>
      </c>
      <c r="L88" s="94">
        <v>64</v>
      </c>
      <c r="M88" s="94">
        <v>8</v>
      </c>
      <c r="N88" s="94">
        <v>4</v>
      </c>
      <c r="O88" s="97">
        <f t="shared" si="34"/>
        <v>12.5</v>
      </c>
      <c r="P88" s="97">
        <f t="shared" si="34"/>
        <v>6.25</v>
      </c>
      <c r="Q88" s="94">
        <v>30</v>
      </c>
      <c r="R88" s="94">
        <v>10</v>
      </c>
      <c r="S88" s="94">
        <v>12</v>
      </c>
      <c r="T88" s="97">
        <f t="shared" si="41"/>
        <v>33.333333333333329</v>
      </c>
      <c r="U88" s="97">
        <f t="shared" si="41"/>
        <v>40</v>
      </c>
      <c r="V88" s="98">
        <f t="shared" si="35"/>
        <v>-12.5</v>
      </c>
      <c r="W88" s="98">
        <f t="shared" si="36"/>
        <v>-33.333333333333329</v>
      </c>
      <c r="X88" s="98">
        <f t="shared" si="37"/>
        <v>-20.833333333333329</v>
      </c>
      <c r="Z88" s="76" t="b">
        <f t="shared" si="42"/>
        <v>0</v>
      </c>
      <c r="AA88" s="76" t="str">
        <f t="shared" si="43"/>
        <v>A</v>
      </c>
      <c r="AB88" s="76" t="str">
        <f t="shared" si="44"/>
        <v>A</v>
      </c>
      <c r="AC88" s="76">
        <f t="shared" si="45"/>
        <v>2</v>
      </c>
      <c r="AD88" s="105">
        <f t="shared" si="46"/>
        <v>-66.666666666666657</v>
      </c>
    </row>
    <row r="89" spans="2:30" x14ac:dyDescent="0.2">
      <c r="B89" s="99" t="s">
        <v>323</v>
      </c>
      <c r="C89" s="99" t="s">
        <v>1147</v>
      </c>
      <c r="D89" s="91">
        <v>1997</v>
      </c>
      <c r="E89" s="100">
        <v>22.25</v>
      </c>
      <c r="F89" s="94">
        <v>2965</v>
      </c>
      <c r="G89" s="94">
        <f t="shared" si="38"/>
        <v>133.25842696629215</v>
      </c>
      <c r="H89" s="94"/>
      <c r="I89" s="100">
        <f t="shared" si="39"/>
        <v>0</v>
      </c>
      <c r="J89" s="94"/>
      <c r="K89" s="97">
        <f t="shared" si="40"/>
        <v>0</v>
      </c>
      <c r="L89" s="94">
        <v>62</v>
      </c>
      <c r="M89" s="94">
        <v>6</v>
      </c>
      <c r="N89" s="94">
        <v>4</v>
      </c>
      <c r="O89" s="97">
        <f t="shared" si="34"/>
        <v>9.67741935483871</v>
      </c>
      <c r="P89" s="97">
        <f t="shared" si="34"/>
        <v>6.4516129032258061</v>
      </c>
      <c r="Q89" s="94">
        <v>148</v>
      </c>
      <c r="R89" s="94">
        <v>31</v>
      </c>
      <c r="S89" s="94">
        <v>54</v>
      </c>
      <c r="T89" s="97">
        <f t="shared" si="41"/>
        <v>20.945945945945947</v>
      </c>
      <c r="U89" s="97">
        <f t="shared" si="41"/>
        <v>36.486486486486484</v>
      </c>
      <c r="V89" s="98">
        <f t="shared" si="35"/>
        <v>-9.67741935483871</v>
      </c>
      <c r="W89" s="98">
        <f t="shared" si="36"/>
        <v>-20.945945945945947</v>
      </c>
      <c r="X89" s="98">
        <f t="shared" si="37"/>
        <v>-11.268526591107237</v>
      </c>
      <c r="Z89" s="76" t="b">
        <f t="shared" si="42"/>
        <v>0</v>
      </c>
      <c r="AA89" s="76" t="str">
        <f t="shared" si="43"/>
        <v>A</v>
      </c>
      <c r="AB89" s="76" t="str">
        <f t="shared" si="44"/>
        <v>A</v>
      </c>
      <c r="AC89" s="76">
        <f t="shared" si="45"/>
        <v>2</v>
      </c>
      <c r="AD89" s="105">
        <f t="shared" si="46"/>
        <v>-41.891891891891895</v>
      </c>
    </row>
    <row r="90" spans="2:30" x14ac:dyDescent="0.2">
      <c r="B90" s="99" t="s">
        <v>323</v>
      </c>
      <c r="C90" s="99" t="s">
        <v>1148</v>
      </c>
      <c r="D90" s="91">
        <v>2026</v>
      </c>
      <c r="E90" s="100">
        <v>0</v>
      </c>
      <c r="F90" s="94">
        <v>0</v>
      </c>
      <c r="G90" s="94">
        <f t="shared" si="38"/>
        <v>0</v>
      </c>
      <c r="H90" s="94"/>
      <c r="I90" s="100">
        <f t="shared" si="39"/>
        <v>0</v>
      </c>
      <c r="J90" s="94"/>
      <c r="K90" s="97">
        <f t="shared" si="40"/>
        <v>0</v>
      </c>
      <c r="L90" s="94"/>
      <c r="M90" s="94"/>
      <c r="N90" s="94"/>
      <c r="O90" s="97">
        <f t="shared" si="34"/>
        <v>0</v>
      </c>
      <c r="P90" s="97">
        <f t="shared" si="34"/>
        <v>0</v>
      </c>
      <c r="Q90" s="94"/>
      <c r="R90" s="94"/>
      <c r="S90" s="94"/>
      <c r="T90" s="97">
        <f t="shared" si="41"/>
        <v>0</v>
      </c>
      <c r="U90" s="97">
        <f t="shared" si="41"/>
        <v>0</v>
      </c>
      <c r="V90" s="98">
        <f t="shared" si="35"/>
        <v>0</v>
      </c>
      <c r="W90" s="98">
        <f t="shared" si="36"/>
        <v>0</v>
      </c>
      <c r="X90" s="98">
        <f t="shared" si="37"/>
        <v>0</v>
      </c>
      <c r="Z90" s="76" t="b">
        <f t="shared" si="42"/>
        <v>0</v>
      </c>
      <c r="AA90" s="76" t="b">
        <f t="shared" si="43"/>
        <v>0</v>
      </c>
      <c r="AB90" s="76" t="b">
        <f t="shared" si="44"/>
        <v>0</v>
      </c>
      <c r="AC90" s="76">
        <f t="shared" si="45"/>
        <v>0</v>
      </c>
      <c r="AD90" s="105">
        <f t="shared" si="46"/>
        <v>0</v>
      </c>
    </row>
    <row r="91" spans="2:30" x14ac:dyDescent="0.2">
      <c r="B91" s="99" t="s">
        <v>323</v>
      </c>
      <c r="C91" s="99" t="s">
        <v>1149</v>
      </c>
      <c r="D91" s="91">
        <v>1997</v>
      </c>
      <c r="E91" s="100">
        <v>26.56</v>
      </c>
      <c r="F91" s="94">
        <v>3012</v>
      </c>
      <c r="G91" s="94">
        <f t="shared" si="38"/>
        <v>113.40361445783132</v>
      </c>
      <c r="H91" s="94"/>
      <c r="I91" s="100">
        <f t="shared" si="39"/>
        <v>0</v>
      </c>
      <c r="J91" s="94"/>
      <c r="K91" s="97">
        <f t="shared" si="40"/>
        <v>0</v>
      </c>
      <c r="L91" s="94"/>
      <c r="M91" s="94"/>
      <c r="N91" s="94"/>
      <c r="O91" s="97">
        <f t="shared" si="34"/>
        <v>0</v>
      </c>
      <c r="P91" s="97">
        <f t="shared" si="34"/>
        <v>0</v>
      </c>
      <c r="Q91" s="94">
        <v>421</v>
      </c>
      <c r="R91" s="94">
        <v>100</v>
      </c>
      <c r="S91" s="94">
        <v>103</v>
      </c>
      <c r="T91" s="97">
        <f t="shared" si="41"/>
        <v>23.75296912114014</v>
      </c>
      <c r="U91" s="97">
        <f t="shared" si="41"/>
        <v>24.465558194774349</v>
      </c>
      <c r="V91" s="98">
        <f t="shared" si="35"/>
        <v>0</v>
      </c>
      <c r="W91" s="98">
        <f t="shared" si="36"/>
        <v>-23.75296912114014</v>
      </c>
      <c r="X91" s="98">
        <f t="shared" si="37"/>
        <v>-23.75296912114014</v>
      </c>
      <c r="Z91" s="76" t="b">
        <f t="shared" si="42"/>
        <v>0</v>
      </c>
      <c r="AA91" s="76" t="b">
        <f t="shared" si="43"/>
        <v>0</v>
      </c>
      <c r="AB91" s="76" t="str">
        <f t="shared" si="44"/>
        <v>A</v>
      </c>
      <c r="AC91" s="76">
        <f t="shared" si="45"/>
        <v>1</v>
      </c>
      <c r="AD91" s="105">
        <f t="shared" si="46"/>
        <v>-47.50593824228028</v>
      </c>
    </row>
    <row r="92" spans="2:30" x14ac:dyDescent="0.2">
      <c r="B92" s="99" t="s">
        <v>323</v>
      </c>
      <c r="C92" s="99" t="s">
        <v>1150</v>
      </c>
      <c r="D92" s="91">
        <v>1999</v>
      </c>
      <c r="E92" s="100">
        <v>25.02</v>
      </c>
      <c r="F92" s="94">
        <v>2929</v>
      </c>
      <c r="G92" s="94">
        <f t="shared" si="38"/>
        <v>117.06634692246203</v>
      </c>
      <c r="H92" s="94"/>
      <c r="I92" s="100">
        <f t="shared" si="39"/>
        <v>0</v>
      </c>
      <c r="J92" s="94"/>
      <c r="K92" s="97">
        <f t="shared" si="40"/>
        <v>0</v>
      </c>
      <c r="L92" s="94"/>
      <c r="M92" s="94"/>
      <c r="N92" s="94"/>
      <c r="O92" s="97">
        <f t="shared" si="34"/>
        <v>0</v>
      </c>
      <c r="P92" s="97">
        <f t="shared" si="34"/>
        <v>0</v>
      </c>
      <c r="Q92" s="94">
        <v>181</v>
      </c>
      <c r="R92" s="94">
        <v>41</v>
      </c>
      <c r="S92" s="94">
        <v>59</v>
      </c>
      <c r="T92" s="97">
        <f t="shared" si="41"/>
        <v>22.651933701657459</v>
      </c>
      <c r="U92" s="97">
        <f t="shared" si="41"/>
        <v>32.596685082872931</v>
      </c>
      <c r="V92" s="98">
        <f t="shared" si="35"/>
        <v>0</v>
      </c>
      <c r="W92" s="98">
        <f t="shared" si="36"/>
        <v>-22.651933701657459</v>
      </c>
      <c r="X92" s="98">
        <f t="shared" si="37"/>
        <v>-22.651933701657459</v>
      </c>
      <c r="Z92" s="76" t="b">
        <f t="shared" si="42"/>
        <v>0</v>
      </c>
      <c r="AA92" s="76" t="b">
        <f t="shared" si="43"/>
        <v>0</v>
      </c>
      <c r="AB92" s="76" t="str">
        <f t="shared" si="44"/>
        <v>A</v>
      </c>
      <c r="AC92" s="76">
        <f t="shared" si="45"/>
        <v>1</v>
      </c>
      <c r="AD92" s="105">
        <f t="shared" si="46"/>
        <v>-45.303867403314918</v>
      </c>
    </row>
    <row r="93" spans="2:30" x14ac:dyDescent="0.2">
      <c r="B93" s="99" t="s">
        <v>323</v>
      </c>
      <c r="C93" s="99" t="s">
        <v>1151</v>
      </c>
      <c r="D93" s="91">
        <v>1999</v>
      </c>
      <c r="E93" s="100">
        <v>46.12</v>
      </c>
      <c r="F93" s="94">
        <v>6013</v>
      </c>
      <c r="G93" s="94">
        <f t="shared" si="38"/>
        <v>130.37727666955769</v>
      </c>
      <c r="H93" s="94">
        <v>589</v>
      </c>
      <c r="I93" s="100">
        <f t="shared" si="39"/>
        <v>9.7954432063861638</v>
      </c>
      <c r="J93" s="94">
        <v>167</v>
      </c>
      <c r="K93" s="97">
        <f t="shared" si="40"/>
        <v>28.353140916808151</v>
      </c>
      <c r="L93" s="94"/>
      <c r="M93" s="94"/>
      <c r="N93" s="94"/>
      <c r="O93" s="97">
        <f t="shared" si="34"/>
        <v>0</v>
      </c>
      <c r="P93" s="97">
        <f t="shared" si="34"/>
        <v>0</v>
      </c>
      <c r="Q93" s="94"/>
      <c r="R93" s="94"/>
      <c r="S93" s="94"/>
      <c r="T93" s="97">
        <f t="shared" si="41"/>
        <v>0</v>
      </c>
      <c r="U93" s="97">
        <f t="shared" si="41"/>
        <v>0</v>
      </c>
      <c r="V93" s="98">
        <f t="shared" si="35"/>
        <v>28.353140916808151</v>
      </c>
      <c r="W93" s="98">
        <f t="shared" si="36"/>
        <v>28.353140916808151</v>
      </c>
      <c r="X93" s="98">
        <f t="shared" si="37"/>
        <v>0</v>
      </c>
      <c r="Z93" s="76" t="str">
        <f t="shared" si="42"/>
        <v>A</v>
      </c>
      <c r="AA93" s="76" t="b">
        <f t="shared" si="43"/>
        <v>0</v>
      </c>
      <c r="AB93" s="76" t="b">
        <f t="shared" si="44"/>
        <v>0</v>
      </c>
      <c r="AC93" s="76">
        <f t="shared" si="45"/>
        <v>1</v>
      </c>
      <c r="AD93" s="105">
        <f t="shared" si="46"/>
        <v>56.706281833616302</v>
      </c>
    </row>
    <row r="94" spans="2:30" x14ac:dyDescent="0.2">
      <c r="B94" s="99" t="s">
        <v>323</v>
      </c>
      <c r="C94" s="99" t="s">
        <v>1152</v>
      </c>
      <c r="D94" s="91">
        <v>2008</v>
      </c>
      <c r="E94" s="100">
        <v>26.46</v>
      </c>
      <c r="F94" s="94">
        <v>3322</v>
      </c>
      <c r="G94" s="94">
        <f t="shared" si="38"/>
        <v>125.5479969765684</v>
      </c>
      <c r="H94" s="94"/>
      <c r="I94" s="100">
        <f t="shared" si="39"/>
        <v>0</v>
      </c>
      <c r="J94" s="94"/>
      <c r="K94" s="97">
        <f t="shared" si="40"/>
        <v>0</v>
      </c>
      <c r="L94" s="94"/>
      <c r="M94" s="94"/>
      <c r="N94" s="94"/>
      <c r="O94" s="97">
        <f t="shared" si="34"/>
        <v>0</v>
      </c>
      <c r="P94" s="97">
        <f t="shared" si="34"/>
        <v>0</v>
      </c>
      <c r="Q94" s="94"/>
      <c r="R94" s="94"/>
      <c r="S94" s="94"/>
      <c r="T94" s="97">
        <f t="shared" si="41"/>
        <v>0</v>
      </c>
      <c r="U94" s="97">
        <f t="shared" si="41"/>
        <v>0</v>
      </c>
      <c r="V94" s="98">
        <f t="shared" si="35"/>
        <v>0</v>
      </c>
      <c r="W94" s="98">
        <f t="shared" si="36"/>
        <v>0</v>
      </c>
      <c r="X94" s="98">
        <f t="shared" si="37"/>
        <v>0</v>
      </c>
      <c r="Z94" s="76" t="b">
        <f t="shared" si="42"/>
        <v>0</v>
      </c>
      <c r="AA94" s="76" t="b">
        <f t="shared" si="43"/>
        <v>0</v>
      </c>
      <c r="AB94" s="76" t="b">
        <f t="shared" si="44"/>
        <v>0</v>
      </c>
      <c r="AC94" s="76">
        <f t="shared" si="45"/>
        <v>0</v>
      </c>
      <c r="AD94" s="105">
        <f t="shared" si="46"/>
        <v>0</v>
      </c>
    </row>
    <row r="95" spans="2:30" x14ac:dyDescent="0.2">
      <c r="B95" s="99" t="s">
        <v>323</v>
      </c>
      <c r="C95" s="99" t="s">
        <v>1153</v>
      </c>
      <c r="D95" s="91">
        <v>2009</v>
      </c>
      <c r="E95" s="100">
        <v>30.29</v>
      </c>
      <c r="F95" s="94">
        <v>4133</v>
      </c>
      <c r="G95" s="94">
        <f t="shared" si="38"/>
        <v>136.44767249917464</v>
      </c>
      <c r="H95" s="94">
        <v>417</v>
      </c>
      <c r="I95" s="100">
        <f t="shared" si="39"/>
        <v>10.089523348657149</v>
      </c>
      <c r="J95" s="94">
        <v>46</v>
      </c>
      <c r="K95" s="97">
        <f t="shared" si="40"/>
        <v>11.031175059952037</v>
      </c>
      <c r="L95" s="94"/>
      <c r="M95" s="94"/>
      <c r="N95" s="94"/>
      <c r="O95" s="97">
        <f t="shared" si="34"/>
        <v>0</v>
      </c>
      <c r="P95" s="97">
        <f t="shared" si="34"/>
        <v>0</v>
      </c>
      <c r="Q95" s="94"/>
      <c r="R95" s="94"/>
      <c r="S95" s="94"/>
      <c r="T95" s="97">
        <f t="shared" si="41"/>
        <v>0</v>
      </c>
      <c r="U95" s="97">
        <f t="shared" si="41"/>
        <v>0</v>
      </c>
      <c r="V95" s="98">
        <f t="shared" si="35"/>
        <v>11.031175059952037</v>
      </c>
      <c r="W95" s="98">
        <f t="shared" si="36"/>
        <v>11.031175059952037</v>
      </c>
      <c r="X95" s="98">
        <f t="shared" si="37"/>
        <v>0</v>
      </c>
      <c r="Z95" s="76" t="str">
        <f t="shared" si="42"/>
        <v>A</v>
      </c>
      <c r="AA95" s="76" t="b">
        <f t="shared" si="43"/>
        <v>0</v>
      </c>
      <c r="AB95" s="76" t="b">
        <f t="shared" si="44"/>
        <v>0</v>
      </c>
      <c r="AC95" s="76">
        <f t="shared" si="45"/>
        <v>1</v>
      </c>
      <c r="AD95" s="105">
        <f t="shared" si="46"/>
        <v>22.062350119904075</v>
      </c>
    </row>
    <row r="96" spans="2:30" x14ac:dyDescent="0.2">
      <c r="B96" s="99" t="s">
        <v>323</v>
      </c>
      <c r="C96" s="99" t="s">
        <v>1154</v>
      </c>
      <c r="D96" s="91">
        <v>1999</v>
      </c>
      <c r="E96" s="100">
        <v>22.15</v>
      </c>
      <c r="F96" s="94">
        <v>2987</v>
      </c>
      <c r="G96" s="94">
        <f t="shared" si="38"/>
        <v>134.85327313769753</v>
      </c>
      <c r="H96" s="94">
        <v>294</v>
      </c>
      <c r="I96" s="100">
        <f t="shared" si="39"/>
        <v>9.8426514897890858</v>
      </c>
      <c r="J96" s="94">
        <v>12</v>
      </c>
      <c r="K96" s="97">
        <f t="shared" si="40"/>
        <v>4.0816326530612246</v>
      </c>
      <c r="L96" s="94"/>
      <c r="M96" s="94"/>
      <c r="N96" s="94"/>
      <c r="O96" s="97">
        <f t="shared" si="34"/>
        <v>0</v>
      </c>
      <c r="P96" s="97">
        <f t="shared" si="34"/>
        <v>0</v>
      </c>
      <c r="Q96" s="94"/>
      <c r="R96" s="94"/>
      <c r="S96" s="94"/>
      <c r="T96" s="97">
        <f t="shared" si="41"/>
        <v>0</v>
      </c>
      <c r="U96" s="97">
        <f t="shared" si="41"/>
        <v>0</v>
      </c>
      <c r="V96" s="98">
        <f t="shared" si="35"/>
        <v>4.0816326530612246</v>
      </c>
      <c r="W96" s="98">
        <f t="shared" si="36"/>
        <v>4.0816326530612246</v>
      </c>
      <c r="X96" s="98">
        <f t="shared" si="37"/>
        <v>0</v>
      </c>
      <c r="Z96" s="76" t="str">
        <f t="shared" si="42"/>
        <v>A</v>
      </c>
      <c r="AA96" s="76" t="b">
        <f t="shared" si="43"/>
        <v>0</v>
      </c>
      <c r="AB96" s="76" t="b">
        <f t="shared" si="44"/>
        <v>0</v>
      </c>
      <c r="AC96" s="76">
        <f t="shared" si="45"/>
        <v>1</v>
      </c>
      <c r="AD96" s="105">
        <f t="shared" si="46"/>
        <v>8.1632653061224492</v>
      </c>
    </row>
    <row r="97" spans="2:30" x14ac:dyDescent="0.2">
      <c r="B97" s="99" t="s">
        <v>323</v>
      </c>
      <c r="C97" s="99" t="s">
        <v>1155</v>
      </c>
      <c r="D97" s="91">
        <v>1999</v>
      </c>
      <c r="E97" s="100">
        <v>25.45</v>
      </c>
      <c r="F97" s="94">
        <v>3312</v>
      </c>
      <c r="G97" s="94">
        <f t="shared" si="38"/>
        <v>130.13752455795679</v>
      </c>
      <c r="H97" s="94">
        <v>355</v>
      </c>
      <c r="I97" s="100">
        <f t="shared" si="39"/>
        <v>10.718599033816426</v>
      </c>
      <c r="J97" s="94">
        <v>31</v>
      </c>
      <c r="K97" s="97">
        <f t="shared" si="40"/>
        <v>8.7323943661971821</v>
      </c>
      <c r="L97" s="94"/>
      <c r="M97" s="94"/>
      <c r="N97" s="94"/>
      <c r="O97" s="97">
        <f t="shared" si="34"/>
        <v>0</v>
      </c>
      <c r="P97" s="97">
        <f t="shared" si="34"/>
        <v>0</v>
      </c>
      <c r="Q97" s="94"/>
      <c r="R97" s="94"/>
      <c r="S97" s="94"/>
      <c r="T97" s="97">
        <f t="shared" si="41"/>
        <v>0</v>
      </c>
      <c r="U97" s="97">
        <f t="shared" si="41"/>
        <v>0</v>
      </c>
      <c r="V97" s="98">
        <f t="shared" si="35"/>
        <v>8.7323943661971821</v>
      </c>
      <c r="W97" s="98">
        <f t="shared" si="36"/>
        <v>8.7323943661971821</v>
      </c>
      <c r="X97" s="98">
        <f t="shared" si="37"/>
        <v>0</v>
      </c>
      <c r="Z97" s="76" t="str">
        <f t="shared" si="42"/>
        <v>A</v>
      </c>
      <c r="AA97" s="76" t="b">
        <f t="shared" si="43"/>
        <v>0</v>
      </c>
      <c r="AB97" s="76" t="b">
        <f t="shared" si="44"/>
        <v>0</v>
      </c>
      <c r="AC97" s="76">
        <f t="shared" si="45"/>
        <v>1</v>
      </c>
      <c r="AD97" s="105">
        <f t="shared" si="46"/>
        <v>17.464788732394364</v>
      </c>
    </row>
    <row r="98" spans="2:30" x14ac:dyDescent="0.2">
      <c r="B98" s="99" t="s">
        <v>323</v>
      </c>
      <c r="C98" s="99" t="s">
        <v>1156</v>
      </c>
      <c r="D98" s="91">
        <v>1999</v>
      </c>
      <c r="E98" s="100">
        <v>30.1</v>
      </c>
      <c r="F98" s="94">
        <v>3956</v>
      </c>
      <c r="G98" s="94">
        <f t="shared" si="38"/>
        <v>131.42857142857142</v>
      </c>
      <c r="H98" s="94">
        <v>409</v>
      </c>
      <c r="I98" s="100">
        <f t="shared" si="39"/>
        <v>10.338725985844286</v>
      </c>
      <c r="J98" s="94">
        <v>74</v>
      </c>
      <c r="K98" s="97">
        <f t="shared" si="40"/>
        <v>18.092909535452321</v>
      </c>
      <c r="L98" s="94">
        <v>116</v>
      </c>
      <c r="M98" s="94">
        <v>33</v>
      </c>
      <c r="N98" s="94">
        <v>64</v>
      </c>
      <c r="O98" s="97">
        <f t="shared" si="34"/>
        <v>28.448275862068968</v>
      </c>
      <c r="P98" s="97">
        <f t="shared" si="34"/>
        <v>55.172413793103445</v>
      </c>
      <c r="Q98" s="94"/>
      <c r="R98" s="94"/>
      <c r="S98" s="94"/>
      <c r="T98" s="97">
        <f t="shared" si="41"/>
        <v>0</v>
      </c>
      <c r="U98" s="97">
        <f t="shared" si="41"/>
        <v>0</v>
      </c>
      <c r="V98" s="98">
        <f t="shared" si="35"/>
        <v>-10.355366326616647</v>
      </c>
      <c r="W98" s="98">
        <f t="shared" si="36"/>
        <v>18.092909535452321</v>
      </c>
      <c r="X98" s="98">
        <f t="shared" si="37"/>
        <v>28.448275862068968</v>
      </c>
      <c r="Z98" s="76" t="str">
        <f t="shared" si="42"/>
        <v>A</v>
      </c>
      <c r="AA98" s="76" t="str">
        <f t="shared" si="43"/>
        <v>A</v>
      </c>
      <c r="AB98" s="76" t="b">
        <f t="shared" si="44"/>
        <v>0</v>
      </c>
      <c r="AC98" s="76">
        <f t="shared" si="45"/>
        <v>2</v>
      </c>
      <c r="AD98" s="105">
        <f t="shared" si="46"/>
        <v>36.185819070904643</v>
      </c>
    </row>
    <row r="99" spans="2:30" x14ac:dyDescent="0.2">
      <c r="B99" s="99" t="s">
        <v>323</v>
      </c>
      <c r="C99" s="99" t="s">
        <v>1157</v>
      </c>
      <c r="D99" s="91">
        <v>1999</v>
      </c>
      <c r="E99" s="100">
        <v>27.13</v>
      </c>
      <c r="F99" s="94">
        <v>3388</v>
      </c>
      <c r="G99" s="94">
        <f t="shared" si="38"/>
        <v>124.88020641356432</v>
      </c>
      <c r="H99" s="94">
        <v>356</v>
      </c>
      <c r="I99" s="100">
        <f t="shared" si="39"/>
        <v>10.507674144037781</v>
      </c>
      <c r="J99" s="94">
        <v>119</v>
      </c>
      <c r="K99" s="97">
        <f t="shared" si="40"/>
        <v>33.426966292134829</v>
      </c>
      <c r="L99" s="94"/>
      <c r="M99" s="94"/>
      <c r="N99" s="94"/>
      <c r="O99" s="97">
        <f t="shared" si="34"/>
        <v>0</v>
      </c>
      <c r="P99" s="97">
        <f t="shared" si="34"/>
        <v>0</v>
      </c>
      <c r="Q99" s="94"/>
      <c r="R99" s="94"/>
      <c r="S99" s="94"/>
      <c r="T99" s="97">
        <f t="shared" si="41"/>
        <v>0</v>
      </c>
      <c r="U99" s="97">
        <f t="shared" si="41"/>
        <v>0</v>
      </c>
      <c r="V99" s="98">
        <f t="shared" si="35"/>
        <v>33.426966292134829</v>
      </c>
      <c r="W99" s="98">
        <f t="shared" si="36"/>
        <v>33.426966292134829</v>
      </c>
      <c r="X99" s="98">
        <f t="shared" si="37"/>
        <v>0</v>
      </c>
      <c r="Z99" s="76" t="str">
        <f t="shared" si="42"/>
        <v>A</v>
      </c>
      <c r="AA99" s="76" t="b">
        <f t="shared" si="43"/>
        <v>0</v>
      </c>
      <c r="AB99" s="76" t="b">
        <f t="shared" si="44"/>
        <v>0</v>
      </c>
      <c r="AC99" s="76">
        <f t="shared" si="45"/>
        <v>1</v>
      </c>
      <c r="AD99" s="105">
        <f t="shared" si="46"/>
        <v>66.853932584269657</v>
      </c>
    </row>
    <row r="100" spans="2:30" x14ac:dyDescent="0.2">
      <c r="B100" s="99" t="s">
        <v>323</v>
      </c>
      <c r="C100" s="99" t="s">
        <v>1158</v>
      </c>
      <c r="D100" s="91">
        <v>1999</v>
      </c>
      <c r="E100" s="100">
        <v>26.62</v>
      </c>
      <c r="F100" s="94">
        <v>3540</v>
      </c>
      <c r="G100" s="94">
        <f t="shared" si="38"/>
        <v>132.98271975957925</v>
      </c>
      <c r="H100" s="94">
        <v>342</v>
      </c>
      <c r="I100" s="100">
        <f t="shared" si="39"/>
        <v>9.6610169491525433</v>
      </c>
      <c r="J100" s="94">
        <v>27</v>
      </c>
      <c r="K100" s="97">
        <f t="shared" si="40"/>
        <v>7.8947368421052628</v>
      </c>
      <c r="L100" s="94"/>
      <c r="M100" s="94"/>
      <c r="N100" s="94"/>
      <c r="O100" s="97">
        <f t="shared" si="34"/>
        <v>0</v>
      </c>
      <c r="P100" s="97">
        <f t="shared" si="34"/>
        <v>0</v>
      </c>
      <c r="Q100" s="94"/>
      <c r="R100" s="94"/>
      <c r="S100" s="94"/>
      <c r="T100" s="97">
        <f t="shared" si="41"/>
        <v>0</v>
      </c>
      <c r="U100" s="97">
        <f t="shared" si="41"/>
        <v>0</v>
      </c>
      <c r="V100" s="98">
        <f t="shared" si="35"/>
        <v>7.8947368421052628</v>
      </c>
      <c r="W100" s="98">
        <f t="shared" si="36"/>
        <v>7.8947368421052628</v>
      </c>
      <c r="X100" s="98">
        <f t="shared" si="37"/>
        <v>0</v>
      </c>
      <c r="Z100" s="76" t="str">
        <f t="shared" si="42"/>
        <v>A</v>
      </c>
      <c r="AA100" s="76" t="b">
        <f t="shared" si="43"/>
        <v>0</v>
      </c>
      <c r="AB100" s="76" t="b">
        <f t="shared" si="44"/>
        <v>0</v>
      </c>
      <c r="AC100" s="76">
        <f t="shared" si="45"/>
        <v>1</v>
      </c>
      <c r="AD100" s="105">
        <f t="shared" si="46"/>
        <v>15.789473684210526</v>
      </c>
    </row>
    <row r="101" spans="2:30" x14ac:dyDescent="0.2">
      <c r="B101" s="99" t="s">
        <v>323</v>
      </c>
      <c r="C101" s="99" t="s">
        <v>1159</v>
      </c>
      <c r="D101" s="91">
        <v>1999</v>
      </c>
      <c r="E101" s="100">
        <v>33.36</v>
      </c>
      <c r="F101" s="94">
        <v>4591</v>
      </c>
      <c r="G101" s="94">
        <f t="shared" si="38"/>
        <v>137.61990407673861</v>
      </c>
      <c r="H101" s="94"/>
      <c r="I101" s="100">
        <f t="shared" si="39"/>
        <v>0</v>
      </c>
      <c r="J101" s="94"/>
      <c r="K101" s="97">
        <f t="shared" si="40"/>
        <v>0</v>
      </c>
      <c r="L101" s="94"/>
      <c r="M101" s="94"/>
      <c r="N101" s="94"/>
      <c r="O101" s="97">
        <f t="shared" si="34"/>
        <v>0</v>
      </c>
      <c r="P101" s="97">
        <f t="shared" si="34"/>
        <v>0</v>
      </c>
      <c r="Q101" s="94"/>
      <c r="R101" s="94"/>
      <c r="S101" s="94"/>
      <c r="T101" s="97">
        <f t="shared" si="41"/>
        <v>0</v>
      </c>
      <c r="U101" s="97">
        <f t="shared" si="41"/>
        <v>0</v>
      </c>
      <c r="V101" s="98">
        <f t="shared" si="35"/>
        <v>0</v>
      </c>
      <c r="W101" s="98">
        <f t="shared" si="36"/>
        <v>0</v>
      </c>
      <c r="X101" s="98">
        <f t="shared" si="37"/>
        <v>0</v>
      </c>
      <c r="Z101" s="76" t="b">
        <f t="shared" si="42"/>
        <v>0</v>
      </c>
      <c r="AA101" s="76" t="b">
        <f t="shared" si="43"/>
        <v>0</v>
      </c>
      <c r="AB101" s="76" t="b">
        <f t="shared" si="44"/>
        <v>0</v>
      </c>
      <c r="AC101" s="76">
        <f t="shared" si="45"/>
        <v>0</v>
      </c>
      <c r="AD101" s="105">
        <f t="shared" si="46"/>
        <v>0</v>
      </c>
    </row>
    <row r="102" spans="2:30" x14ac:dyDescent="0.2">
      <c r="B102" s="99" t="s">
        <v>323</v>
      </c>
      <c r="C102" s="99" t="s">
        <v>1160</v>
      </c>
      <c r="D102" s="91">
        <v>2008</v>
      </c>
      <c r="E102" s="100">
        <v>46.45</v>
      </c>
      <c r="F102" s="94">
        <v>6421</v>
      </c>
      <c r="G102" s="94">
        <f t="shared" si="38"/>
        <v>138.23466092572659</v>
      </c>
      <c r="H102" s="94"/>
      <c r="I102" s="100">
        <f t="shared" si="39"/>
        <v>0</v>
      </c>
      <c r="J102" s="94"/>
      <c r="K102" s="97">
        <f t="shared" si="40"/>
        <v>0</v>
      </c>
      <c r="L102" s="94"/>
      <c r="M102" s="94"/>
      <c r="N102" s="94"/>
      <c r="O102" s="97">
        <f t="shared" si="34"/>
        <v>0</v>
      </c>
      <c r="P102" s="97">
        <f t="shared" si="34"/>
        <v>0</v>
      </c>
      <c r="Q102" s="94"/>
      <c r="R102" s="94"/>
      <c r="S102" s="94"/>
      <c r="T102" s="97">
        <f t="shared" si="41"/>
        <v>0</v>
      </c>
      <c r="U102" s="97">
        <f t="shared" si="41"/>
        <v>0</v>
      </c>
      <c r="V102" s="98">
        <f t="shared" si="35"/>
        <v>0</v>
      </c>
      <c r="W102" s="98">
        <f t="shared" si="36"/>
        <v>0</v>
      </c>
      <c r="X102" s="98">
        <f t="shared" si="37"/>
        <v>0</v>
      </c>
      <c r="Z102" s="76" t="b">
        <f t="shared" si="42"/>
        <v>0</v>
      </c>
      <c r="AA102" s="76" t="b">
        <f t="shared" si="43"/>
        <v>0</v>
      </c>
      <c r="AB102" s="76" t="b">
        <f t="shared" si="44"/>
        <v>0</v>
      </c>
      <c r="AC102" s="76">
        <f t="shared" si="45"/>
        <v>0</v>
      </c>
      <c r="AD102" s="105">
        <f t="shared" si="46"/>
        <v>0</v>
      </c>
    </row>
    <row r="103" spans="2:30" x14ac:dyDescent="0.2">
      <c r="B103" s="99" t="s">
        <v>323</v>
      </c>
      <c r="C103" s="99" t="s">
        <v>1161</v>
      </c>
      <c r="D103" s="91">
        <v>2008</v>
      </c>
      <c r="E103" s="100">
        <v>30.97</v>
      </c>
      <c r="F103" s="94">
        <v>4152</v>
      </c>
      <c r="G103" s="94">
        <f t="shared" si="38"/>
        <v>134.06522441072005</v>
      </c>
      <c r="H103" s="94">
        <v>457</v>
      </c>
      <c r="I103" s="100">
        <f t="shared" si="39"/>
        <v>11.006743737957612</v>
      </c>
      <c r="J103" s="94">
        <v>43</v>
      </c>
      <c r="K103" s="97">
        <f t="shared" si="40"/>
        <v>9.4091903719912473</v>
      </c>
      <c r="L103" s="94"/>
      <c r="M103" s="94"/>
      <c r="N103" s="94"/>
      <c r="O103" s="97">
        <f t="shared" ref="O103:P166" si="47">IFERROR(M103/$L103*100,0)</f>
        <v>0</v>
      </c>
      <c r="P103" s="97">
        <f t="shared" si="47"/>
        <v>0</v>
      </c>
      <c r="Q103" s="94"/>
      <c r="R103" s="94"/>
      <c r="S103" s="94"/>
      <c r="T103" s="97">
        <f t="shared" si="41"/>
        <v>0</v>
      </c>
      <c r="U103" s="97">
        <f t="shared" si="41"/>
        <v>0</v>
      </c>
      <c r="V103" s="98">
        <f t="shared" si="35"/>
        <v>9.4091903719912473</v>
      </c>
      <c r="W103" s="98">
        <f t="shared" si="36"/>
        <v>9.4091903719912473</v>
      </c>
      <c r="X103" s="98">
        <f t="shared" si="37"/>
        <v>0</v>
      </c>
      <c r="Z103" s="76" t="str">
        <f t="shared" si="42"/>
        <v>A</v>
      </c>
      <c r="AA103" s="76" t="b">
        <f t="shared" si="43"/>
        <v>0</v>
      </c>
      <c r="AB103" s="76" t="b">
        <f t="shared" si="44"/>
        <v>0</v>
      </c>
      <c r="AC103" s="76">
        <f t="shared" si="45"/>
        <v>1</v>
      </c>
      <c r="AD103" s="105">
        <f t="shared" si="46"/>
        <v>18.818380743982495</v>
      </c>
    </row>
    <row r="104" spans="2:30" x14ac:dyDescent="0.2">
      <c r="B104" s="99" t="s">
        <v>323</v>
      </c>
      <c r="C104" s="99" t="s">
        <v>1162</v>
      </c>
      <c r="D104" s="91">
        <v>2008</v>
      </c>
      <c r="E104" s="100">
        <v>37.630000000000003</v>
      </c>
      <c r="F104" s="94">
        <v>5190</v>
      </c>
      <c r="G104" s="94">
        <f t="shared" si="38"/>
        <v>137.92187084772786</v>
      </c>
      <c r="H104" s="94">
        <v>527</v>
      </c>
      <c r="I104" s="100">
        <f t="shared" si="39"/>
        <v>10.154142581888246</v>
      </c>
      <c r="J104" s="94">
        <v>30</v>
      </c>
      <c r="K104" s="97">
        <f t="shared" si="40"/>
        <v>5.6925996204933584</v>
      </c>
      <c r="L104" s="94"/>
      <c r="M104" s="94"/>
      <c r="N104" s="94"/>
      <c r="O104" s="97">
        <f t="shared" si="47"/>
        <v>0</v>
      </c>
      <c r="P104" s="97">
        <f t="shared" si="47"/>
        <v>0</v>
      </c>
      <c r="Q104" s="94">
        <v>349</v>
      </c>
      <c r="R104" s="94">
        <v>118</v>
      </c>
      <c r="S104" s="94">
        <v>134</v>
      </c>
      <c r="T104" s="97">
        <f t="shared" si="41"/>
        <v>33.810888252148999</v>
      </c>
      <c r="U104" s="97">
        <f t="shared" si="41"/>
        <v>38.395415472779369</v>
      </c>
      <c r="V104" s="98">
        <f t="shared" si="35"/>
        <v>5.6925996204933584</v>
      </c>
      <c r="W104" s="98">
        <f t="shared" si="36"/>
        <v>-28.118288631655641</v>
      </c>
      <c r="X104" s="98">
        <f t="shared" si="37"/>
        <v>-33.810888252148999</v>
      </c>
      <c r="Z104" s="76" t="str">
        <f t="shared" si="42"/>
        <v>A</v>
      </c>
      <c r="AA104" s="76" t="b">
        <f t="shared" si="43"/>
        <v>0</v>
      </c>
      <c r="AB104" s="76" t="str">
        <f t="shared" si="44"/>
        <v>A</v>
      </c>
      <c r="AC104" s="76">
        <f t="shared" si="45"/>
        <v>2</v>
      </c>
      <c r="AD104" s="105">
        <f t="shared" si="46"/>
        <v>-56.236577263311283</v>
      </c>
    </row>
    <row r="105" spans="2:30" x14ac:dyDescent="0.2">
      <c r="B105" s="99" t="s">
        <v>323</v>
      </c>
      <c r="C105" s="99" t="s">
        <v>1163</v>
      </c>
      <c r="D105" s="91">
        <v>2008</v>
      </c>
      <c r="E105" s="100">
        <v>35.65</v>
      </c>
      <c r="F105" s="94">
        <v>4861</v>
      </c>
      <c r="G105" s="94">
        <f t="shared" si="38"/>
        <v>136.35343618513323</v>
      </c>
      <c r="H105" s="94">
        <v>396</v>
      </c>
      <c r="I105" s="100">
        <f t="shared" si="39"/>
        <v>8.1464719193581576</v>
      </c>
      <c r="J105" s="94">
        <v>95</v>
      </c>
      <c r="K105" s="97">
        <f t="shared" si="40"/>
        <v>23.98989898989899</v>
      </c>
      <c r="L105" s="94"/>
      <c r="M105" s="94"/>
      <c r="N105" s="94"/>
      <c r="O105" s="97">
        <f t="shared" si="47"/>
        <v>0</v>
      </c>
      <c r="P105" s="97">
        <f t="shared" si="47"/>
        <v>0</v>
      </c>
      <c r="Q105" s="94">
        <v>461</v>
      </c>
      <c r="R105" s="94">
        <v>215</v>
      </c>
      <c r="S105" s="94">
        <v>220</v>
      </c>
      <c r="T105" s="97">
        <f t="shared" si="41"/>
        <v>46.637744034707154</v>
      </c>
      <c r="U105" s="97">
        <f t="shared" si="41"/>
        <v>47.722342733188725</v>
      </c>
      <c r="V105" s="98">
        <f t="shared" si="35"/>
        <v>23.98989898989899</v>
      </c>
      <c r="W105" s="98">
        <f t="shared" si="36"/>
        <v>-22.647845044808165</v>
      </c>
      <c r="X105" s="98">
        <f t="shared" si="37"/>
        <v>-46.637744034707154</v>
      </c>
      <c r="Z105" s="76" t="str">
        <f t="shared" si="42"/>
        <v>A</v>
      </c>
      <c r="AA105" s="76" t="b">
        <f t="shared" si="43"/>
        <v>0</v>
      </c>
      <c r="AB105" s="76" t="str">
        <f t="shared" si="44"/>
        <v>A</v>
      </c>
      <c r="AC105" s="76">
        <f t="shared" si="45"/>
        <v>2</v>
      </c>
      <c r="AD105" s="105">
        <f t="shared" si="46"/>
        <v>-45.295690089616329</v>
      </c>
    </row>
    <row r="106" spans="2:30" x14ac:dyDescent="0.2">
      <c r="B106" s="99" t="s">
        <v>323</v>
      </c>
      <c r="C106" s="99" t="s">
        <v>1164</v>
      </c>
      <c r="D106" s="91">
        <v>2008</v>
      </c>
      <c r="E106" s="100">
        <v>34.29</v>
      </c>
      <c r="F106" s="94">
        <v>4602</v>
      </c>
      <c r="G106" s="94">
        <f t="shared" si="38"/>
        <v>134.20822397200351</v>
      </c>
      <c r="H106" s="94">
        <v>461</v>
      </c>
      <c r="I106" s="100">
        <f t="shared" si="39"/>
        <v>10.017383746197305</v>
      </c>
      <c r="J106" s="94">
        <v>48</v>
      </c>
      <c r="K106" s="97">
        <f t="shared" si="40"/>
        <v>10.412147505422993</v>
      </c>
      <c r="L106" s="94">
        <v>132</v>
      </c>
      <c r="M106" s="94">
        <v>19</v>
      </c>
      <c r="N106" s="94">
        <v>32</v>
      </c>
      <c r="O106" s="97">
        <f t="shared" si="47"/>
        <v>14.393939393939394</v>
      </c>
      <c r="P106" s="97">
        <f t="shared" si="47"/>
        <v>24.242424242424242</v>
      </c>
      <c r="Q106" s="94">
        <v>555</v>
      </c>
      <c r="R106" s="94">
        <v>223</v>
      </c>
      <c r="S106" s="94">
        <v>258</v>
      </c>
      <c r="T106" s="97">
        <f t="shared" si="41"/>
        <v>40.18018018018018</v>
      </c>
      <c r="U106" s="97">
        <f t="shared" si="41"/>
        <v>46.486486486486491</v>
      </c>
      <c r="V106" s="98">
        <f t="shared" si="35"/>
        <v>-3.9817918885164012</v>
      </c>
      <c r="W106" s="98">
        <f t="shared" si="36"/>
        <v>-29.768032674757187</v>
      </c>
      <c r="X106" s="98">
        <f t="shared" si="37"/>
        <v>-25.786240786240786</v>
      </c>
      <c r="Z106" s="76" t="str">
        <f t="shared" si="42"/>
        <v>A</v>
      </c>
      <c r="AA106" s="76" t="str">
        <f t="shared" si="43"/>
        <v>A</v>
      </c>
      <c r="AB106" s="76" t="str">
        <f t="shared" si="44"/>
        <v>A</v>
      </c>
      <c r="AC106" s="76">
        <f t="shared" si="45"/>
        <v>3</v>
      </c>
      <c r="AD106" s="105">
        <f t="shared" si="46"/>
        <v>-59.536065349514374</v>
      </c>
    </row>
    <row r="107" spans="2:30" x14ac:dyDescent="0.2">
      <c r="B107" s="99" t="s">
        <v>323</v>
      </c>
      <c r="C107" s="99" t="s">
        <v>1165</v>
      </c>
      <c r="D107" s="91">
        <v>2008</v>
      </c>
      <c r="E107" s="100">
        <v>29.12</v>
      </c>
      <c r="F107" s="94">
        <v>3931</v>
      </c>
      <c r="G107" s="94">
        <f t="shared" si="38"/>
        <v>134.99313186813185</v>
      </c>
      <c r="H107" s="94">
        <v>342</v>
      </c>
      <c r="I107" s="100">
        <f t="shared" si="39"/>
        <v>8.7000763164589152</v>
      </c>
      <c r="J107" s="94">
        <v>52</v>
      </c>
      <c r="K107" s="97">
        <f t="shared" si="40"/>
        <v>15.204678362573098</v>
      </c>
      <c r="L107" s="94"/>
      <c r="M107" s="94"/>
      <c r="N107" s="94"/>
      <c r="O107" s="97">
        <f t="shared" si="47"/>
        <v>0</v>
      </c>
      <c r="P107" s="97">
        <f t="shared" si="47"/>
        <v>0</v>
      </c>
      <c r="Q107" s="94">
        <v>391</v>
      </c>
      <c r="R107" s="94">
        <v>119</v>
      </c>
      <c r="S107" s="94">
        <v>143</v>
      </c>
      <c r="T107" s="97">
        <f t="shared" si="41"/>
        <v>30.434782608695656</v>
      </c>
      <c r="U107" s="97">
        <f t="shared" si="41"/>
        <v>36.572890025575447</v>
      </c>
      <c r="V107" s="98">
        <f t="shared" si="35"/>
        <v>15.204678362573098</v>
      </c>
      <c r="W107" s="98">
        <f t="shared" si="36"/>
        <v>-15.230104246122558</v>
      </c>
      <c r="X107" s="98">
        <f t="shared" si="37"/>
        <v>-30.434782608695656</v>
      </c>
      <c r="Z107" s="76" t="str">
        <f t="shared" si="42"/>
        <v>A</v>
      </c>
      <c r="AA107" s="76" t="b">
        <f t="shared" si="43"/>
        <v>0</v>
      </c>
      <c r="AB107" s="76" t="str">
        <f t="shared" si="44"/>
        <v>A</v>
      </c>
      <c r="AC107" s="76">
        <f t="shared" si="45"/>
        <v>2</v>
      </c>
      <c r="AD107" s="105">
        <f t="shared" si="46"/>
        <v>-30.460208492245116</v>
      </c>
    </row>
    <row r="108" spans="2:30" x14ac:dyDescent="0.2">
      <c r="B108" s="99" t="s">
        <v>323</v>
      </c>
      <c r="C108" s="99" t="s">
        <v>1166</v>
      </c>
      <c r="D108" s="91">
        <v>2014</v>
      </c>
      <c r="E108" s="100">
        <v>33.07</v>
      </c>
      <c r="F108" s="94">
        <v>4462</v>
      </c>
      <c r="G108" s="94">
        <f t="shared" si="38"/>
        <v>134.92591472633808</v>
      </c>
      <c r="H108" s="94">
        <v>361</v>
      </c>
      <c r="I108" s="100">
        <f t="shared" si="39"/>
        <v>8.090542357687136</v>
      </c>
      <c r="J108" s="94">
        <v>76</v>
      </c>
      <c r="K108" s="97">
        <f t="shared" si="40"/>
        <v>21.052631578947366</v>
      </c>
      <c r="L108" s="94">
        <v>59</v>
      </c>
      <c r="M108" s="94">
        <v>13</v>
      </c>
      <c r="N108" s="94">
        <v>19</v>
      </c>
      <c r="O108" s="97">
        <f t="shared" si="47"/>
        <v>22.033898305084744</v>
      </c>
      <c r="P108" s="97">
        <f t="shared" si="47"/>
        <v>32.20338983050847</v>
      </c>
      <c r="Q108" s="94">
        <v>860</v>
      </c>
      <c r="R108" s="94">
        <v>501</v>
      </c>
      <c r="S108" s="94">
        <v>411</v>
      </c>
      <c r="T108" s="97">
        <f t="shared" si="41"/>
        <v>58.255813953488364</v>
      </c>
      <c r="U108" s="97">
        <f t="shared" si="41"/>
        <v>47.790697674418603</v>
      </c>
      <c r="V108" s="98">
        <f t="shared" si="35"/>
        <v>-0.98126672613737753</v>
      </c>
      <c r="W108" s="98">
        <f t="shared" si="36"/>
        <v>-37.203182374541001</v>
      </c>
      <c r="X108" s="98">
        <f t="shared" si="37"/>
        <v>-36.221915648403623</v>
      </c>
      <c r="Z108" s="76" t="str">
        <f t="shared" si="42"/>
        <v>A</v>
      </c>
      <c r="AA108" s="76" t="str">
        <f t="shared" si="43"/>
        <v>A</v>
      </c>
      <c r="AB108" s="76" t="str">
        <f t="shared" si="44"/>
        <v>A</v>
      </c>
      <c r="AC108" s="76">
        <f t="shared" si="45"/>
        <v>3</v>
      </c>
      <c r="AD108" s="105">
        <f t="shared" si="46"/>
        <v>-74.406364749082002</v>
      </c>
    </row>
    <row r="109" spans="2:30" x14ac:dyDescent="0.2">
      <c r="B109" s="99" t="s">
        <v>323</v>
      </c>
      <c r="C109" s="99" t="s">
        <v>1167</v>
      </c>
      <c r="D109" s="91">
        <v>2014</v>
      </c>
      <c r="E109" s="100">
        <v>39.130000000000003</v>
      </c>
      <c r="F109" s="94">
        <v>5492</v>
      </c>
      <c r="G109" s="94">
        <f t="shared" si="38"/>
        <v>140.35267058522871</v>
      </c>
      <c r="H109" s="94">
        <v>479</v>
      </c>
      <c r="I109" s="100">
        <f t="shared" si="39"/>
        <v>8.72177713037145</v>
      </c>
      <c r="J109" s="94">
        <v>138</v>
      </c>
      <c r="K109" s="97">
        <f t="shared" si="40"/>
        <v>28.810020876826719</v>
      </c>
      <c r="L109" s="94">
        <v>319</v>
      </c>
      <c r="M109" s="94">
        <v>61</v>
      </c>
      <c r="N109" s="94">
        <v>76</v>
      </c>
      <c r="O109" s="97">
        <f t="shared" si="47"/>
        <v>19.122257053291534</v>
      </c>
      <c r="P109" s="97">
        <f t="shared" si="47"/>
        <v>23.824451410658305</v>
      </c>
      <c r="Q109" s="94">
        <v>761</v>
      </c>
      <c r="R109" s="94">
        <v>282</v>
      </c>
      <c r="S109" s="94">
        <v>317</v>
      </c>
      <c r="T109" s="97">
        <f t="shared" si="41"/>
        <v>37.056504599211564</v>
      </c>
      <c r="U109" s="97">
        <f t="shared" si="41"/>
        <v>41.655716162943499</v>
      </c>
      <c r="V109" s="98">
        <f t="shared" si="35"/>
        <v>9.6877638235351853</v>
      </c>
      <c r="W109" s="98">
        <f t="shared" si="36"/>
        <v>-8.2464837223848448</v>
      </c>
      <c r="X109" s="98">
        <f t="shared" si="37"/>
        <v>-17.93424754592003</v>
      </c>
      <c r="Z109" s="76" t="str">
        <f t="shared" si="42"/>
        <v>A</v>
      </c>
      <c r="AA109" s="76" t="str">
        <f t="shared" si="43"/>
        <v>A</v>
      </c>
      <c r="AB109" s="76" t="str">
        <f t="shared" si="44"/>
        <v>A</v>
      </c>
      <c r="AC109" s="76">
        <f t="shared" si="45"/>
        <v>3</v>
      </c>
      <c r="AD109" s="105">
        <f t="shared" si="46"/>
        <v>-16.49296744476969</v>
      </c>
    </row>
    <row r="110" spans="2:30" x14ac:dyDescent="0.2">
      <c r="B110" s="99" t="s">
        <v>323</v>
      </c>
      <c r="C110" s="99" t="s">
        <v>1168</v>
      </c>
      <c r="D110" s="91">
        <v>2014</v>
      </c>
      <c r="E110" s="100">
        <v>26.83</v>
      </c>
      <c r="F110" s="94">
        <v>3195</v>
      </c>
      <c r="G110" s="94">
        <f t="shared" si="38"/>
        <v>119.08311591502051</v>
      </c>
      <c r="H110" s="94">
        <v>319</v>
      </c>
      <c r="I110" s="100">
        <f t="shared" si="39"/>
        <v>9.9843505477308288</v>
      </c>
      <c r="J110" s="94">
        <v>73</v>
      </c>
      <c r="K110" s="97">
        <f t="shared" si="40"/>
        <v>22.884012539184955</v>
      </c>
      <c r="L110" s="94"/>
      <c r="M110" s="94"/>
      <c r="N110" s="94"/>
      <c r="O110" s="97">
        <f t="shared" si="47"/>
        <v>0</v>
      </c>
      <c r="P110" s="97">
        <f t="shared" si="47"/>
        <v>0</v>
      </c>
      <c r="Q110" s="94">
        <v>303</v>
      </c>
      <c r="R110" s="94">
        <v>141</v>
      </c>
      <c r="S110" s="94">
        <v>119</v>
      </c>
      <c r="T110" s="97">
        <f t="shared" si="41"/>
        <v>46.534653465346537</v>
      </c>
      <c r="U110" s="97">
        <f t="shared" si="41"/>
        <v>39.273927392739274</v>
      </c>
      <c r="V110" s="98">
        <f t="shared" si="35"/>
        <v>22.884012539184955</v>
      </c>
      <c r="W110" s="98">
        <f t="shared" si="36"/>
        <v>-23.650640926161582</v>
      </c>
      <c r="X110" s="98">
        <f t="shared" si="37"/>
        <v>-46.534653465346537</v>
      </c>
      <c r="Z110" s="76" t="str">
        <f t="shared" si="42"/>
        <v>A</v>
      </c>
      <c r="AA110" s="76" t="b">
        <f t="shared" si="43"/>
        <v>0</v>
      </c>
      <c r="AB110" s="76" t="str">
        <f t="shared" si="44"/>
        <v>A</v>
      </c>
      <c r="AC110" s="76">
        <f t="shared" si="45"/>
        <v>2</v>
      </c>
      <c r="AD110" s="105">
        <f t="shared" si="46"/>
        <v>-47.301281852323164</v>
      </c>
    </row>
    <row r="111" spans="2:30" x14ac:dyDescent="0.2">
      <c r="B111" s="99" t="s">
        <v>323</v>
      </c>
      <c r="C111" s="99" t="s">
        <v>1169</v>
      </c>
      <c r="D111" s="91">
        <v>2015</v>
      </c>
      <c r="E111" s="100">
        <v>25.2</v>
      </c>
      <c r="F111" s="94">
        <v>3489</v>
      </c>
      <c r="G111" s="94">
        <f t="shared" si="38"/>
        <v>138.45238095238096</v>
      </c>
      <c r="H111" s="94"/>
      <c r="I111" s="100">
        <f t="shared" si="39"/>
        <v>0</v>
      </c>
      <c r="J111" s="94"/>
      <c r="K111" s="97">
        <f t="shared" si="40"/>
        <v>0</v>
      </c>
      <c r="L111" s="94"/>
      <c r="M111" s="94"/>
      <c r="N111" s="94"/>
      <c r="O111" s="97">
        <f t="shared" si="47"/>
        <v>0</v>
      </c>
      <c r="P111" s="97">
        <f t="shared" si="47"/>
        <v>0</v>
      </c>
      <c r="Q111" s="94"/>
      <c r="R111" s="94"/>
      <c r="S111" s="94"/>
      <c r="T111" s="97">
        <f t="shared" si="41"/>
        <v>0</v>
      </c>
      <c r="U111" s="97">
        <f t="shared" si="41"/>
        <v>0</v>
      </c>
      <c r="V111" s="98">
        <f t="shared" si="35"/>
        <v>0</v>
      </c>
      <c r="W111" s="98">
        <f t="shared" si="36"/>
        <v>0</v>
      </c>
      <c r="X111" s="98">
        <f t="shared" si="37"/>
        <v>0</v>
      </c>
      <c r="Z111" s="76" t="b">
        <f t="shared" si="42"/>
        <v>0</v>
      </c>
      <c r="AA111" s="76" t="b">
        <f t="shared" si="43"/>
        <v>0</v>
      </c>
      <c r="AB111" s="76" t="b">
        <f t="shared" si="44"/>
        <v>0</v>
      </c>
      <c r="AC111" s="76">
        <f t="shared" si="45"/>
        <v>0</v>
      </c>
      <c r="AD111" s="105">
        <f t="shared" si="46"/>
        <v>0</v>
      </c>
    </row>
    <row r="112" spans="2:30" x14ac:dyDescent="0.2">
      <c r="B112" s="99" t="s">
        <v>345</v>
      </c>
      <c r="C112" s="99" t="s">
        <v>1170</v>
      </c>
      <c r="D112" s="91">
        <v>2016</v>
      </c>
      <c r="E112" s="100">
        <v>34.99</v>
      </c>
      <c r="F112" s="94">
        <v>4929</v>
      </c>
      <c r="G112" s="94">
        <f t="shared" si="38"/>
        <v>140.86881966276079</v>
      </c>
      <c r="H112" s="94"/>
      <c r="I112" s="100">
        <f t="shared" si="39"/>
        <v>0</v>
      </c>
      <c r="J112" s="94"/>
      <c r="K112" s="97">
        <f t="shared" si="40"/>
        <v>0</v>
      </c>
      <c r="L112" s="94"/>
      <c r="M112" s="94"/>
      <c r="N112" s="94"/>
      <c r="O112" s="97">
        <f t="shared" si="47"/>
        <v>0</v>
      </c>
      <c r="P112" s="97">
        <f t="shared" si="47"/>
        <v>0</v>
      </c>
      <c r="Q112" s="94"/>
      <c r="R112" s="94"/>
      <c r="S112" s="94"/>
      <c r="T112" s="97">
        <f t="shared" si="41"/>
        <v>0</v>
      </c>
      <c r="U112" s="97">
        <f t="shared" si="41"/>
        <v>0</v>
      </c>
      <c r="V112" s="98">
        <f t="shared" si="35"/>
        <v>0</v>
      </c>
      <c r="W112" s="98">
        <f t="shared" si="36"/>
        <v>0</v>
      </c>
      <c r="X112" s="98">
        <f t="shared" si="37"/>
        <v>0</v>
      </c>
      <c r="Z112" s="76" t="b">
        <f t="shared" si="42"/>
        <v>0</v>
      </c>
      <c r="AA112" s="76" t="b">
        <f t="shared" si="43"/>
        <v>0</v>
      </c>
      <c r="AB112" s="76" t="b">
        <f t="shared" si="44"/>
        <v>0</v>
      </c>
      <c r="AC112" s="76">
        <f t="shared" si="45"/>
        <v>0</v>
      </c>
      <c r="AD112" s="105">
        <f t="shared" si="46"/>
        <v>0</v>
      </c>
    </row>
    <row r="113" spans="2:30" x14ac:dyDescent="0.2">
      <c r="B113" s="99" t="s">
        <v>345</v>
      </c>
      <c r="C113" s="99" t="s">
        <v>1171</v>
      </c>
      <c r="D113" s="91">
        <v>2016</v>
      </c>
      <c r="E113" s="100">
        <v>29.89</v>
      </c>
      <c r="F113" s="94">
        <v>4214</v>
      </c>
      <c r="G113" s="94">
        <f t="shared" si="38"/>
        <v>140.98360655737704</v>
      </c>
      <c r="H113" s="94"/>
      <c r="I113" s="100">
        <f t="shared" si="39"/>
        <v>0</v>
      </c>
      <c r="J113" s="94"/>
      <c r="K113" s="97">
        <f t="shared" si="40"/>
        <v>0</v>
      </c>
      <c r="L113" s="94"/>
      <c r="M113" s="94"/>
      <c r="N113" s="94"/>
      <c r="O113" s="97">
        <f t="shared" si="47"/>
        <v>0</v>
      </c>
      <c r="P113" s="97">
        <f t="shared" si="47"/>
        <v>0</v>
      </c>
      <c r="Q113" s="94"/>
      <c r="R113" s="94"/>
      <c r="S113" s="94"/>
      <c r="T113" s="97">
        <f t="shared" si="41"/>
        <v>0</v>
      </c>
      <c r="U113" s="97">
        <f t="shared" si="41"/>
        <v>0</v>
      </c>
      <c r="V113" s="98">
        <f t="shared" si="35"/>
        <v>0</v>
      </c>
      <c r="W113" s="98">
        <f t="shared" si="36"/>
        <v>0</v>
      </c>
      <c r="X113" s="98">
        <f t="shared" si="37"/>
        <v>0</v>
      </c>
      <c r="Z113" s="76" t="b">
        <f t="shared" si="42"/>
        <v>0</v>
      </c>
      <c r="AA113" s="76" t="b">
        <f t="shared" si="43"/>
        <v>0</v>
      </c>
      <c r="AB113" s="76" t="b">
        <f t="shared" si="44"/>
        <v>0</v>
      </c>
      <c r="AC113" s="76">
        <f t="shared" si="45"/>
        <v>0</v>
      </c>
      <c r="AD113" s="105">
        <f t="shared" si="46"/>
        <v>0</v>
      </c>
    </row>
    <row r="114" spans="2:30" x14ac:dyDescent="0.2">
      <c r="B114" s="99" t="s">
        <v>345</v>
      </c>
      <c r="C114" s="99" t="s">
        <v>1172</v>
      </c>
      <c r="D114" s="91">
        <v>2014</v>
      </c>
      <c r="E114" s="100">
        <v>28.24</v>
      </c>
      <c r="F114" s="94">
        <v>3860</v>
      </c>
      <c r="G114" s="94">
        <f t="shared" si="38"/>
        <v>136.68555240793202</v>
      </c>
      <c r="H114" s="94"/>
      <c r="I114" s="100">
        <f t="shared" si="39"/>
        <v>0</v>
      </c>
      <c r="J114" s="94"/>
      <c r="K114" s="97">
        <f t="shared" si="40"/>
        <v>0</v>
      </c>
      <c r="L114" s="94"/>
      <c r="M114" s="94"/>
      <c r="N114" s="94"/>
      <c r="O114" s="97">
        <f t="shared" si="47"/>
        <v>0</v>
      </c>
      <c r="P114" s="97">
        <f t="shared" si="47"/>
        <v>0</v>
      </c>
      <c r="Q114" s="94"/>
      <c r="R114" s="94"/>
      <c r="S114" s="94"/>
      <c r="T114" s="97">
        <f t="shared" si="41"/>
        <v>0</v>
      </c>
      <c r="U114" s="97">
        <f t="shared" si="41"/>
        <v>0</v>
      </c>
      <c r="V114" s="98">
        <f t="shared" si="35"/>
        <v>0</v>
      </c>
      <c r="W114" s="98">
        <f t="shared" si="36"/>
        <v>0</v>
      </c>
      <c r="X114" s="98">
        <f t="shared" si="37"/>
        <v>0</v>
      </c>
      <c r="Z114" s="76" t="b">
        <f t="shared" si="42"/>
        <v>0</v>
      </c>
      <c r="AA114" s="76" t="b">
        <f t="shared" si="43"/>
        <v>0</v>
      </c>
      <c r="AB114" s="76" t="b">
        <f t="shared" si="44"/>
        <v>0</v>
      </c>
      <c r="AC114" s="76">
        <f t="shared" si="45"/>
        <v>0</v>
      </c>
      <c r="AD114" s="105">
        <f t="shared" si="46"/>
        <v>0</v>
      </c>
    </row>
    <row r="115" spans="2:30" x14ac:dyDescent="0.2">
      <c r="B115" s="99" t="s">
        <v>345</v>
      </c>
      <c r="C115" s="99" t="s">
        <v>1173</v>
      </c>
      <c r="D115" s="91">
        <v>2014</v>
      </c>
      <c r="E115" s="100">
        <v>24.1</v>
      </c>
      <c r="F115" s="94">
        <v>3293</v>
      </c>
      <c r="G115" s="94">
        <f t="shared" si="38"/>
        <v>136.6390041493776</v>
      </c>
      <c r="H115" s="94"/>
      <c r="I115" s="100">
        <f t="shared" si="39"/>
        <v>0</v>
      </c>
      <c r="J115" s="94"/>
      <c r="K115" s="97">
        <f t="shared" si="40"/>
        <v>0</v>
      </c>
      <c r="L115" s="94"/>
      <c r="M115" s="94"/>
      <c r="N115" s="94"/>
      <c r="O115" s="97">
        <f t="shared" si="47"/>
        <v>0</v>
      </c>
      <c r="P115" s="97">
        <f t="shared" si="47"/>
        <v>0</v>
      </c>
      <c r="Q115" s="94"/>
      <c r="R115" s="94"/>
      <c r="S115" s="94"/>
      <c r="T115" s="97">
        <f t="shared" si="41"/>
        <v>0</v>
      </c>
      <c r="U115" s="97">
        <f t="shared" si="41"/>
        <v>0</v>
      </c>
      <c r="V115" s="98">
        <f t="shared" si="35"/>
        <v>0</v>
      </c>
      <c r="W115" s="98">
        <f t="shared" si="36"/>
        <v>0</v>
      </c>
      <c r="X115" s="98">
        <f t="shared" si="37"/>
        <v>0</v>
      </c>
      <c r="Z115" s="76" t="b">
        <f t="shared" si="42"/>
        <v>0</v>
      </c>
      <c r="AA115" s="76" t="b">
        <f t="shared" si="43"/>
        <v>0</v>
      </c>
      <c r="AB115" s="76" t="b">
        <f t="shared" si="44"/>
        <v>0</v>
      </c>
      <c r="AC115" s="76">
        <f t="shared" si="45"/>
        <v>0</v>
      </c>
      <c r="AD115" s="105">
        <f t="shared" si="46"/>
        <v>0</v>
      </c>
    </row>
    <row r="116" spans="2:30" x14ac:dyDescent="0.2">
      <c r="B116" s="99" t="s">
        <v>345</v>
      </c>
      <c r="C116" s="99" t="s">
        <v>1174</v>
      </c>
      <c r="D116" s="91">
        <v>2016</v>
      </c>
      <c r="E116" s="100">
        <v>31.95</v>
      </c>
      <c r="F116" s="94">
        <v>4146</v>
      </c>
      <c r="G116" s="94">
        <f t="shared" si="38"/>
        <v>129.76525821596243</v>
      </c>
      <c r="H116" s="94"/>
      <c r="I116" s="100">
        <f t="shared" si="39"/>
        <v>0</v>
      </c>
      <c r="J116" s="94"/>
      <c r="K116" s="97">
        <f t="shared" si="40"/>
        <v>0</v>
      </c>
      <c r="L116" s="94"/>
      <c r="M116" s="94"/>
      <c r="N116" s="94"/>
      <c r="O116" s="97">
        <f t="shared" si="47"/>
        <v>0</v>
      </c>
      <c r="P116" s="97">
        <f t="shared" si="47"/>
        <v>0</v>
      </c>
      <c r="Q116" s="94"/>
      <c r="R116" s="94"/>
      <c r="S116" s="94"/>
      <c r="T116" s="97">
        <f t="shared" si="41"/>
        <v>0</v>
      </c>
      <c r="U116" s="97">
        <f t="shared" si="41"/>
        <v>0</v>
      </c>
      <c r="V116" s="98">
        <f t="shared" si="35"/>
        <v>0</v>
      </c>
      <c r="W116" s="98">
        <f t="shared" si="36"/>
        <v>0</v>
      </c>
      <c r="X116" s="98">
        <f t="shared" si="37"/>
        <v>0</v>
      </c>
      <c r="Z116" s="76" t="b">
        <f t="shared" si="42"/>
        <v>0</v>
      </c>
      <c r="AA116" s="76" t="b">
        <f t="shared" si="43"/>
        <v>0</v>
      </c>
      <c r="AB116" s="76" t="b">
        <f t="shared" si="44"/>
        <v>0</v>
      </c>
      <c r="AC116" s="76">
        <f t="shared" si="45"/>
        <v>0</v>
      </c>
      <c r="AD116" s="105">
        <f t="shared" si="46"/>
        <v>0</v>
      </c>
    </row>
    <row r="117" spans="2:30" x14ac:dyDescent="0.2">
      <c r="B117" s="99" t="s">
        <v>345</v>
      </c>
      <c r="C117" s="99" t="s">
        <v>1175</v>
      </c>
      <c r="D117" s="91">
        <v>2016</v>
      </c>
      <c r="E117" s="100">
        <v>31.64</v>
      </c>
      <c r="F117" s="94">
        <v>3526</v>
      </c>
      <c r="G117" s="94">
        <f t="shared" si="38"/>
        <v>111.44121365360303</v>
      </c>
      <c r="H117" s="94"/>
      <c r="I117" s="100">
        <f t="shared" si="39"/>
        <v>0</v>
      </c>
      <c r="J117" s="94"/>
      <c r="K117" s="97">
        <f t="shared" si="40"/>
        <v>0</v>
      </c>
      <c r="L117" s="94"/>
      <c r="M117" s="94"/>
      <c r="N117" s="94"/>
      <c r="O117" s="97">
        <f t="shared" si="47"/>
        <v>0</v>
      </c>
      <c r="P117" s="97">
        <f t="shared" si="47"/>
        <v>0</v>
      </c>
      <c r="Q117" s="94"/>
      <c r="R117" s="94"/>
      <c r="S117" s="94"/>
      <c r="T117" s="97">
        <f t="shared" si="41"/>
        <v>0</v>
      </c>
      <c r="U117" s="97">
        <f t="shared" si="41"/>
        <v>0</v>
      </c>
      <c r="V117" s="98">
        <f t="shared" si="35"/>
        <v>0</v>
      </c>
      <c r="W117" s="98">
        <f t="shared" si="36"/>
        <v>0</v>
      </c>
      <c r="X117" s="98">
        <f t="shared" si="37"/>
        <v>0</v>
      </c>
      <c r="Z117" s="76" t="b">
        <f t="shared" si="42"/>
        <v>0</v>
      </c>
      <c r="AA117" s="76" t="b">
        <f t="shared" si="43"/>
        <v>0</v>
      </c>
      <c r="AB117" s="76" t="b">
        <f t="shared" si="44"/>
        <v>0</v>
      </c>
      <c r="AC117" s="76">
        <f t="shared" si="45"/>
        <v>0</v>
      </c>
      <c r="AD117" s="105">
        <f t="shared" si="46"/>
        <v>0</v>
      </c>
    </row>
    <row r="118" spans="2:30" x14ac:dyDescent="0.2">
      <c r="B118" s="99" t="s">
        <v>345</v>
      </c>
      <c r="C118" s="99" t="s">
        <v>1176</v>
      </c>
      <c r="D118" s="91">
        <v>2016</v>
      </c>
      <c r="E118" s="100">
        <v>26.06</v>
      </c>
      <c r="F118" s="94">
        <v>2902</v>
      </c>
      <c r="G118" s="94">
        <f t="shared" si="38"/>
        <v>111.3584036838066</v>
      </c>
      <c r="H118" s="94"/>
      <c r="I118" s="100">
        <f t="shared" si="39"/>
        <v>0</v>
      </c>
      <c r="J118" s="94"/>
      <c r="K118" s="97">
        <f t="shared" si="40"/>
        <v>0</v>
      </c>
      <c r="L118" s="94"/>
      <c r="M118" s="94"/>
      <c r="N118" s="94"/>
      <c r="O118" s="97">
        <f t="shared" si="47"/>
        <v>0</v>
      </c>
      <c r="P118" s="97">
        <f t="shared" si="47"/>
        <v>0</v>
      </c>
      <c r="Q118" s="94"/>
      <c r="R118" s="94"/>
      <c r="S118" s="94"/>
      <c r="T118" s="97">
        <f t="shared" si="41"/>
        <v>0</v>
      </c>
      <c r="U118" s="97">
        <f t="shared" si="41"/>
        <v>0</v>
      </c>
      <c r="V118" s="98">
        <f t="shared" si="35"/>
        <v>0</v>
      </c>
      <c r="W118" s="98">
        <f t="shared" si="36"/>
        <v>0</v>
      </c>
      <c r="X118" s="98">
        <f t="shared" si="37"/>
        <v>0</v>
      </c>
      <c r="Z118" s="76" t="b">
        <f t="shared" si="42"/>
        <v>0</v>
      </c>
      <c r="AA118" s="76" t="b">
        <f t="shared" si="43"/>
        <v>0</v>
      </c>
      <c r="AB118" s="76" t="b">
        <f t="shared" si="44"/>
        <v>0</v>
      </c>
      <c r="AC118" s="76">
        <f t="shared" si="45"/>
        <v>0</v>
      </c>
      <c r="AD118" s="105">
        <f t="shared" si="46"/>
        <v>0</v>
      </c>
    </row>
    <row r="119" spans="2:30" x14ac:dyDescent="0.2">
      <c r="B119" s="99" t="s">
        <v>345</v>
      </c>
      <c r="C119" s="99" t="s">
        <v>1177</v>
      </c>
      <c r="D119" s="91">
        <v>2014</v>
      </c>
      <c r="E119" s="100">
        <v>39.51</v>
      </c>
      <c r="F119" s="94">
        <v>4991</v>
      </c>
      <c r="G119" s="94">
        <f t="shared" si="38"/>
        <v>126.32245001265503</v>
      </c>
      <c r="H119" s="94"/>
      <c r="I119" s="100">
        <f t="shared" si="39"/>
        <v>0</v>
      </c>
      <c r="J119" s="94"/>
      <c r="K119" s="97">
        <f t="shared" si="40"/>
        <v>0</v>
      </c>
      <c r="L119" s="94">
        <v>68</v>
      </c>
      <c r="M119" s="94">
        <v>17</v>
      </c>
      <c r="N119" s="94">
        <v>21</v>
      </c>
      <c r="O119" s="97">
        <f t="shared" si="47"/>
        <v>25</v>
      </c>
      <c r="P119" s="97">
        <f t="shared" si="47"/>
        <v>30.882352941176471</v>
      </c>
      <c r="Q119" s="94"/>
      <c r="R119" s="94"/>
      <c r="S119" s="94"/>
      <c r="T119" s="97">
        <f t="shared" si="41"/>
        <v>0</v>
      </c>
      <c r="U119" s="97">
        <f t="shared" si="41"/>
        <v>0</v>
      </c>
      <c r="V119" s="98">
        <f t="shared" si="35"/>
        <v>-25</v>
      </c>
      <c r="W119" s="98">
        <f t="shared" si="36"/>
        <v>0</v>
      </c>
      <c r="X119" s="98">
        <f t="shared" si="37"/>
        <v>25</v>
      </c>
      <c r="Z119" s="76" t="b">
        <f t="shared" si="42"/>
        <v>0</v>
      </c>
      <c r="AA119" s="76" t="str">
        <f t="shared" si="43"/>
        <v>A</v>
      </c>
      <c r="AB119" s="76" t="b">
        <f t="shared" si="44"/>
        <v>0</v>
      </c>
      <c r="AC119" s="76">
        <f t="shared" si="45"/>
        <v>1</v>
      </c>
      <c r="AD119" s="105">
        <f t="shared" si="46"/>
        <v>0</v>
      </c>
    </row>
    <row r="120" spans="2:30" x14ac:dyDescent="0.2">
      <c r="B120" s="99" t="s">
        <v>345</v>
      </c>
      <c r="C120" s="99" t="s">
        <v>1178</v>
      </c>
      <c r="D120" s="91">
        <v>2015</v>
      </c>
      <c r="E120" s="100">
        <v>28.73</v>
      </c>
      <c r="F120" s="94">
        <v>3888</v>
      </c>
      <c r="G120" s="94">
        <f t="shared" si="38"/>
        <v>135.32892446919595</v>
      </c>
      <c r="H120" s="94"/>
      <c r="I120" s="100">
        <f t="shared" si="39"/>
        <v>0</v>
      </c>
      <c r="J120" s="94"/>
      <c r="K120" s="97">
        <f t="shared" si="40"/>
        <v>0</v>
      </c>
      <c r="L120" s="94">
        <v>187</v>
      </c>
      <c r="M120" s="94">
        <v>56</v>
      </c>
      <c r="N120" s="94">
        <v>81</v>
      </c>
      <c r="O120" s="97">
        <f t="shared" si="47"/>
        <v>29.946524064171122</v>
      </c>
      <c r="P120" s="97">
        <f t="shared" si="47"/>
        <v>43.315508021390379</v>
      </c>
      <c r="Q120" s="94"/>
      <c r="R120" s="94"/>
      <c r="S120" s="94"/>
      <c r="T120" s="97">
        <f t="shared" si="41"/>
        <v>0</v>
      </c>
      <c r="U120" s="97">
        <f t="shared" si="41"/>
        <v>0</v>
      </c>
      <c r="V120" s="98">
        <f t="shared" si="35"/>
        <v>-29.946524064171122</v>
      </c>
      <c r="W120" s="98">
        <f t="shared" si="36"/>
        <v>0</v>
      </c>
      <c r="X120" s="98">
        <f t="shared" si="37"/>
        <v>29.946524064171122</v>
      </c>
      <c r="Z120" s="76" t="b">
        <f t="shared" si="42"/>
        <v>0</v>
      </c>
      <c r="AA120" s="76" t="str">
        <f t="shared" si="43"/>
        <v>A</v>
      </c>
      <c r="AB120" s="76" t="b">
        <f t="shared" si="44"/>
        <v>0</v>
      </c>
      <c r="AC120" s="76">
        <f t="shared" si="45"/>
        <v>1</v>
      </c>
      <c r="AD120" s="105">
        <f t="shared" si="46"/>
        <v>0</v>
      </c>
    </row>
    <row r="121" spans="2:30" x14ac:dyDescent="0.2">
      <c r="B121" s="99" t="s">
        <v>345</v>
      </c>
      <c r="C121" s="99" t="s">
        <v>1179</v>
      </c>
      <c r="D121" s="91">
        <v>2015</v>
      </c>
      <c r="E121" s="100">
        <v>31.17</v>
      </c>
      <c r="F121" s="94">
        <v>3705</v>
      </c>
      <c r="G121" s="94">
        <f t="shared" si="38"/>
        <v>118.86429258902791</v>
      </c>
      <c r="H121" s="94"/>
      <c r="I121" s="100">
        <f t="shared" si="39"/>
        <v>0</v>
      </c>
      <c r="J121" s="94"/>
      <c r="K121" s="97">
        <f t="shared" si="40"/>
        <v>0</v>
      </c>
      <c r="L121" s="94">
        <v>125</v>
      </c>
      <c r="M121" s="94">
        <v>24</v>
      </c>
      <c r="N121" s="94">
        <v>35</v>
      </c>
      <c r="O121" s="97">
        <f t="shared" si="47"/>
        <v>19.2</v>
      </c>
      <c r="P121" s="97">
        <f t="shared" si="47"/>
        <v>28.000000000000004</v>
      </c>
      <c r="Q121" s="94"/>
      <c r="R121" s="94"/>
      <c r="S121" s="94"/>
      <c r="T121" s="97">
        <f t="shared" si="41"/>
        <v>0</v>
      </c>
      <c r="U121" s="97">
        <f t="shared" si="41"/>
        <v>0</v>
      </c>
      <c r="V121" s="98">
        <f t="shared" si="35"/>
        <v>-19.2</v>
      </c>
      <c r="W121" s="98">
        <f t="shared" si="36"/>
        <v>0</v>
      </c>
      <c r="X121" s="98">
        <f t="shared" si="37"/>
        <v>19.2</v>
      </c>
      <c r="Z121" s="76" t="b">
        <f t="shared" si="42"/>
        <v>0</v>
      </c>
      <c r="AA121" s="76" t="str">
        <f t="shared" si="43"/>
        <v>A</v>
      </c>
      <c r="AB121" s="76" t="b">
        <f t="shared" si="44"/>
        <v>0</v>
      </c>
      <c r="AC121" s="76">
        <f t="shared" si="45"/>
        <v>1</v>
      </c>
      <c r="AD121" s="105">
        <f t="shared" si="46"/>
        <v>0</v>
      </c>
    </row>
    <row r="122" spans="2:30" x14ac:dyDescent="0.2">
      <c r="B122" s="99" t="s">
        <v>345</v>
      </c>
      <c r="C122" s="99" t="s">
        <v>1180</v>
      </c>
      <c r="D122" s="91">
        <v>2015</v>
      </c>
      <c r="E122" s="100">
        <v>26.99</v>
      </c>
      <c r="F122" s="94">
        <v>3344</v>
      </c>
      <c r="G122" s="94">
        <f t="shared" si="38"/>
        <v>123.89773990366803</v>
      </c>
      <c r="H122" s="94"/>
      <c r="I122" s="100">
        <f t="shared" si="39"/>
        <v>0</v>
      </c>
      <c r="J122" s="94"/>
      <c r="K122" s="97">
        <f t="shared" si="40"/>
        <v>0</v>
      </c>
      <c r="L122" s="94"/>
      <c r="M122" s="94"/>
      <c r="N122" s="94"/>
      <c r="O122" s="97">
        <f t="shared" si="47"/>
        <v>0</v>
      </c>
      <c r="P122" s="97">
        <f t="shared" si="47"/>
        <v>0</v>
      </c>
      <c r="Q122" s="94"/>
      <c r="R122" s="94"/>
      <c r="S122" s="94"/>
      <c r="T122" s="97">
        <f t="shared" si="41"/>
        <v>0</v>
      </c>
      <c r="U122" s="97">
        <f t="shared" si="41"/>
        <v>0</v>
      </c>
      <c r="V122" s="98">
        <f t="shared" si="35"/>
        <v>0</v>
      </c>
      <c r="W122" s="98">
        <f t="shared" si="36"/>
        <v>0</v>
      </c>
      <c r="X122" s="98">
        <f t="shared" si="37"/>
        <v>0</v>
      </c>
      <c r="Z122" s="76" t="b">
        <f t="shared" si="42"/>
        <v>0</v>
      </c>
      <c r="AA122" s="76" t="b">
        <f t="shared" si="43"/>
        <v>0</v>
      </c>
      <c r="AB122" s="76" t="b">
        <f t="shared" si="44"/>
        <v>0</v>
      </c>
      <c r="AC122" s="76">
        <f t="shared" si="45"/>
        <v>0</v>
      </c>
      <c r="AD122" s="105">
        <f t="shared" si="46"/>
        <v>0</v>
      </c>
    </row>
    <row r="123" spans="2:30" x14ac:dyDescent="0.2">
      <c r="B123" s="99" t="s">
        <v>345</v>
      </c>
      <c r="C123" s="99" t="s">
        <v>1181</v>
      </c>
      <c r="D123" s="91">
        <v>2015</v>
      </c>
      <c r="E123" s="100">
        <v>28.54</v>
      </c>
      <c r="F123" s="94">
        <v>3356</v>
      </c>
      <c r="G123" s="94">
        <f t="shared" si="38"/>
        <v>117.58934828311142</v>
      </c>
      <c r="H123" s="94"/>
      <c r="I123" s="100">
        <f t="shared" si="39"/>
        <v>0</v>
      </c>
      <c r="J123" s="94"/>
      <c r="K123" s="97">
        <f t="shared" si="40"/>
        <v>0</v>
      </c>
      <c r="L123" s="94"/>
      <c r="M123" s="94"/>
      <c r="N123" s="94"/>
      <c r="O123" s="97">
        <f t="shared" si="47"/>
        <v>0</v>
      </c>
      <c r="P123" s="97">
        <f t="shared" si="47"/>
        <v>0</v>
      </c>
      <c r="Q123" s="94"/>
      <c r="R123" s="94"/>
      <c r="S123" s="94"/>
      <c r="T123" s="97">
        <f t="shared" si="41"/>
        <v>0</v>
      </c>
      <c r="U123" s="97">
        <f t="shared" si="41"/>
        <v>0</v>
      </c>
      <c r="V123" s="98">
        <f t="shared" si="35"/>
        <v>0</v>
      </c>
      <c r="W123" s="98">
        <f t="shared" si="36"/>
        <v>0</v>
      </c>
      <c r="X123" s="98">
        <f t="shared" si="37"/>
        <v>0</v>
      </c>
      <c r="Z123" s="76" t="b">
        <f t="shared" si="42"/>
        <v>0</v>
      </c>
      <c r="AA123" s="76" t="b">
        <f t="shared" si="43"/>
        <v>0</v>
      </c>
      <c r="AB123" s="76" t="b">
        <f t="shared" si="44"/>
        <v>0</v>
      </c>
      <c r="AC123" s="76">
        <f t="shared" si="45"/>
        <v>0</v>
      </c>
      <c r="AD123" s="105">
        <f t="shared" si="46"/>
        <v>0</v>
      </c>
    </row>
    <row r="124" spans="2:30" x14ac:dyDescent="0.2">
      <c r="B124" s="99" t="s">
        <v>345</v>
      </c>
      <c r="C124" s="99" t="s">
        <v>1182</v>
      </c>
      <c r="D124" s="91">
        <v>2015</v>
      </c>
      <c r="E124" s="100">
        <v>29.16</v>
      </c>
      <c r="F124" s="94">
        <v>4245</v>
      </c>
      <c r="G124" s="94">
        <f t="shared" si="38"/>
        <v>145.57613168724279</v>
      </c>
      <c r="H124" s="94"/>
      <c r="I124" s="100">
        <f t="shared" si="39"/>
        <v>0</v>
      </c>
      <c r="J124" s="94"/>
      <c r="K124" s="97">
        <f t="shared" si="40"/>
        <v>0</v>
      </c>
      <c r="L124" s="94"/>
      <c r="M124" s="94"/>
      <c r="N124" s="94"/>
      <c r="O124" s="97">
        <f t="shared" si="47"/>
        <v>0</v>
      </c>
      <c r="P124" s="97">
        <f t="shared" si="47"/>
        <v>0</v>
      </c>
      <c r="Q124" s="94"/>
      <c r="R124" s="94"/>
      <c r="S124" s="94"/>
      <c r="T124" s="97">
        <f t="shared" si="41"/>
        <v>0</v>
      </c>
      <c r="U124" s="97">
        <f t="shared" si="41"/>
        <v>0</v>
      </c>
      <c r="V124" s="98">
        <f t="shared" si="35"/>
        <v>0</v>
      </c>
      <c r="W124" s="98">
        <f t="shared" si="36"/>
        <v>0</v>
      </c>
      <c r="X124" s="98">
        <f t="shared" si="37"/>
        <v>0</v>
      </c>
      <c r="Z124" s="76" t="b">
        <f t="shared" si="42"/>
        <v>0</v>
      </c>
      <c r="AA124" s="76" t="b">
        <f t="shared" si="43"/>
        <v>0</v>
      </c>
      <c r="AB124" s="76" t="b">
        <f t="shared" si="44"/>
        <v>0</v>
      </c>
      <c r="AC124" s="76">
        <f t="shared" si="45"/>
        <v>0</v>
      </c>
      <c r="AD124" s="105">
        <f t="shared" si="46"/>
        <v>0</v>
      </c>
    </row>
    <row r="125" spans="2:30" x14ac:dyDescent="0.2">
      <c r="B125" s="99" t="s">
        <v>345</v>
      </c>
      <c r="C125" s="99" t="s">
        <v>1183</v>
      </c>
      <c r="D125" s="91">
        <v>2016</v>
      </c>
      <c r="E125" s="100">
        <v>42.33</v>
      </c>
      <c r="F125" s="94">
        <v>5601</v>
      </c>
      <c r="G125" s="94">
        <f t="shared" si="38"/>
        <v>132.31750531537918</v>
      </c>
      <c r="H125" s="94"/>
      <c r="I125" s="100">
        <f t="shared" si="39"/>
        <v>0</v>
      </c>
      <c r="J125" s="94"/>
      <c r="K125" s="97">
        <f t="shared" si="40"/>
        <v>0</v>
      </c>
      <c r="L125" s="94"/>
      <c r="M125" s="94"/>
      <c r="N125" s="94"/>
      <c r="O125" s="97">
        <f t="shared" si="47"/>
        <v>0</v>
      </c>
      <c r="P125" s="97">
        <f t="shared" si="47"/>
        <v>0</v>
      </c>
      <c r="Q125" s="94"/>
      <c r="R125" s="94"/>
      <c r="S125" s="94"/>
      <c r="T125" s="97">
        <f t="shared" si="41"/>
        <v>0</v>
      </c>
      <c r="U125" s="97">
        <f t="shared" si="41"/>
        <v>0</v>
      </c>
      <c r="V125" s="98">
        <f t="shared" si="35"/>
        <v>0</v>
      </c>
      <c r="W125" s="98">
        <f t="shared" si="36"/>
        <v>0</v>
      </c>
      <c r="X125" s="98">
        <f t="shared" si="37"/>
        <v>0</v>
      </c>
      <c r="Z125" s="76" t="b">
        <f t="shared" si="42"/>
        <v>0</v>
      </c>
      <c r="AA125" s="76" t="b">
        <f t="shared" si="43"/>
        <v>0</v>
      </c>
      <c r="AB125" s="76" t="b">
        <f t="shared" si="44"/>
        <v>0</v>
      </c>
      <c r="AC125" s="76">
        <f t="shared" si="45"/>
        <v>0</v>
      </c>
      <c r="AD125" s="105">
        <f t="shared" si="46"/>
        <v>0</v>
      </c>
    </row>
    <row r="126" spans="2:30" x14ac:dyDescent="0.2">
      <c r="B126" s="99" t="s">
        <v>345</v>
      </c>
      <c r="C126" s="99" t="s">
        <v>1184</v>
      </c>
      <c r="D126" s="91">
        <v>2011</v>
      </c>
      <c r="E126" s="100">
        <v>26</v>
      </c>
      <c r="F126" s="94">
        <v>3701</v>
      </c>
      <c r="G126" s="94">
        <f t="shared" si="38"/>
        <v>142.34615384615384</v>
      </c>
      <c r="H126" s="94"/>
      <c r="I126" s="100">
        <f t="shared" si="39"/>
        <v>0</v>
      </c>
      <c r="J126" s="94"/>
      <c r="K126" s="97">
        <f t="shared" si="40"/>
        <v>0</v>
      </c>
      <c r="L126" s="94"/>
      <c r="M126" s="94"/>
      <c r="N126" s="94"/>
      <c r="O126" s="97">
        <f t="shared" si="47"/>
        <v>0</v>
      </c>
      <c r="P126" s="97">
        <f t="shared" si="47"/>
        <v>0</v>
      </c>
      <c r="Q126" s="94">
        <v>351</v>
      </c>
      <c r="R126" s="94">
        <v>81</v>
      </c>
      <c r="S126" s="94">
        <v>97</v>
      </c>
      <c r="T126" s="97">
        <f t="shared" si="41"/>
        <v>23.076923076923077</v>
      </c>
      <c r="U126" s="97">
        <f t="shared" si="41"/>
        <v>27.635327635327634</v>
      </c>
      <c r="V126" s="98">
        <f t="shared" si="35"/>
        <v>0</v>
      </c>
      <c r="W126" s="98">
        <f t="shared" si="36"/>
        <v>-23.076923076923077</v>
      </c>
      <c r="X126" s="98">
        <f t="shared" si="37"/>
        <v>-23.076923076923077</v>
      </c>
      <c r="Z126" s="76" t="b">
        <f t="shared" si="42"/>
        <v>0</v>
      </c>
      <c r="AA126" s="76" t="b">
        <f t="shared" si="43"/>
        <v>0</v>
      </c>
      <c r="AB126" s="76" t="str">
        <f t="shared" si="44"/>
        <v>A</v>
      </c>
      <c r="AC126" s="76">
        <f t="shared" si="45"/>
        <v>1</v>
      </c>
      <c r="AD126" s="105">
        <f t="shared" si="46"/>
        <v>-46.153846153846153</v>
      </c>
    </row>
    <row r="127" spans="2:30" x14ac:dyDescent="0.2">
      <c r="B127" s="99" t="s">
        <v>345</v>
      </c>
      <c r="C127" s="99" t="s">
        <v>1185</v>
      </c>
      <c r="D127" s="91">
        <v>2015</v>
      </c>
      <c r="E127" s="100">
        <v>16.28</v>
      </c>
      <c r="F127" s="94">
        <v>2079</v>
      </c>
      <c r="G127" s="94">
        <f t="shared" si="38"/>
        <v>127.70270270270269</v>
      </c>
      <c r="H127" s="94"/>
      <c r="I127" s="100">
        <f t="shared" si="39"/>
        <v>0</v>
      </c>
      <c r="J127" s="94"/>
      <c r="K127" s="97">
        <f t="shared" si="40"/>
        <v>0</v>
      </c>
      <c r="L127" s="94"/>
      <c r="M127" s="94"/>
      <c r="N127" s="94"/>
      <c r="O127" s="97">
        <f t="shared" si="47"/>
        <v>0</v>
      </c>
      <c r="P127" s="97">
        <f t="shared" si="47"/>
        <v>0</v>
      </c>
      <c r="Q127" s="94"/>
      <c r="R127" s="94"/>
      <c r="S127" s="94"/>
      <c r="T127" s="97">
        <f t="shared" si="41"/>
        <v>0</v>
      </c>
      <c r="U127" s="97">
        <f t="shared" si="41"/>
        <v>0</v>
      </c>
      <c r="V127" s="98">
        <f t="shared" si="35"/>
        <v>0</v>
      </c>
      <c r="W127" s="98">
        <f t="shared" si="36"/>
        <v>0</v>
      </c>
      <c r="X127" s="98">
        <f t="shared" si="37"/>
        <v>0</v>
      </c>
      <c r="Z127" s="76" t="b">
        <f t="shared" si="42"/>
        <v>0</v>
      </c>
      <c r="AA127" s="76" t="b">
        <f t="shared" si="43"/>
        <v>0</v>
      </c>
      <c r="AB127" s="76" t="b">
        <f t="shared" si="44"/>
        <v>0</v>
      </c>
      <c r="AC127" s="76">
        <f t="shared" si="45"/>
        <v>0</v>
      </c>
      <c r="AD127" s="105">
        <f t="shared" si="46"/>
        <v>0</v>
      </c>
    </row>
    <row r="128" spans="2:30" x14ac:dyDescent="0.2">
      <c r="B128" s="99" t="s">
        <v>345</v>
      </c>
      <c r="C128" s="99" t="s">
        <v>1186</v>
      </c>
      <c r="D128" s="91">
        <v>2011</v>
      </c>
      <c r="E128" s="100">
        <v>36.5</v>
      </c>
      <c r="F128" s="94">
        <v>4664</v>
      </c>
      <c r="G128" s="94">
        <f t="shared" si="38"/>
        <v>127.78082191780823</v>
      </c>
      <c r="H128" s="94"/>
      <c r="I128" s="100">
        <f t="shared" si="39"/>
        <v>0</v>
      </c>
      <c r="J128" s="94"/>
      <c r="K128" s="97">
        <f t="shared" si="40"/>
        <v>0</v>
      </c>
      <c r="L128" s="94"/>
      <c r="M128" s="94"/>
      <c r="N128" s="94"/>
      <c r="O128" s="97">
        <f t="shared" si="47"/>
        <v>0</v>
      </c>
      <c r="P128" s="97">
        <f t="shared" si="47"/>
        <v>0</v>
      </c>
      <c r="Q128" s="94"/>
      <c r="R128" s="94"/>
      <c r="S128" s="94"/>
      <c r="T128" s="97">
        <f t="shared" si="41"/>
        <v>0</v>
      </c>
      <c r="U128" s="97">
        <f t="shared" si="41"/>
        <v>0</v>
      </c>
      <c r="V128" s="98">
        <f t="shared" si="35"/>
        <v>0</v>
      </c>
      <c r="W128" s="98">
        <f t="shared" si="36"/>
        <v>0</v>
      </c>
      <c r="X128" s="98">
        <f t="shared" si="37"/>
        <v>0</v>
      </c>
      <c r="Z128" s="76" t="b">
        <f t="shared" si="42"/>
        <v>0</v>
      </c>
      <c r="AA128" s="76" t="b">
        <f t="shared" si="43"/>
        <v>0</v>
      </c>
      <c r="AB128" s="76" t="b">
        <f t="shared" si="44"/>
        <v>0</v>
      </c>
      <c r="AC128" s="76">
        <f t="shared" si="45"/>
        <v>0</v>
      </c>
      <c r="AD128" s="105">
        <f t="shared" si="46"/>
        <v>0</v>
      </c>
    </row>
    <row r="129" spans="2:30" x14ac:dyDescent="0.2">
      <c r="B129" s="99" t="s">
        <v>345</v>
      </c>
      <c r="C129" s="99" t="s">
        <v>1187</v>
      </c>
      <c r="D129" s="91">
        <v>2010</v>
      </c>
      <c r="E129" s="100">
        <v>30.62</v>
      </c>
      <c r="F129" s="94">
        <v>3969</v>
      </c>
      <c r="G129" s="94">
        <f t="shared" si="38"/>
        <v>129.62116263879815</v>
      </c>
      <c r="H129" s="94"/>
      <c r="I129" s="100">
        <f t="shared" si="39"/>
        <v>0</v>
      </c>
      <c r="J129" s="94"/>
      <c r="K129" s="97">
        <f t="shared" si="40"/>
        <v>0</v>
      </c>
      <c r="L129" s="94"/>
      <c r="M129" s="94"/>
      <c r="N129" s="94"/>
      <c r="O129" s="97">
        <f t="shared" si="47"/>
        <v>0</v>
      </c>
      <c r="P129" s="97">
        <f t="shared" si="47"/>
        <v>0</v>
      </c>
      <c r="Q129" s="94"/>
      <c r="R129" s="94"/>
      <c r="S129" s="94"/>
      <c r="T129" s="97">
        <f t="shared" si="41"/>
        <v>0</v>
      </c>
      <c r="U129" s="97">
        <f t="shared" si="41"/>
        <v>0</v>
      </c>
      <c r="V129" s="98">
        <f t="shared" si="35"/>
        <v>0</v>
      </c>
      <c r="W129" s="98">
        <f t="shared" si="36"/>
        <v>0</v>
      </c>
      <c r="X129" s="98">
        <f t="shared" si="37"/>
        <v>0</v>
      </c>
      <c r="Z129" s="76" t="b">
        <f t="shared" si="42"/>
        <v>0</v>
      </c>
      <c r="AA129" s="76" t="b">
        <f t="shared" si="43"/>
        <v>0</v>
      </c>
      <c r="AB129" s="76" t="b">
        <f t="shared" si="44"/>
        <v>0</v>
      </c>
      <c r="AC129" s="76">
        <f t="shared" si="45"/>
        <v>0</v>
      </c>
      <c r="AD129" s="105">
        <f t="shared" si="46"/>
        <v>0</v>
      </c>
    </row>
    <row r="130" spans="2:30" x14ac:dyDescent="0.2">
      <c r="B130" s="99" t="s">
        <v>345</v>
      </c>
      <c r="C130" s="99" t="s">
        <v>1188</v>
      </c>
      <c r="D130" s="91">
        <v>2008</v>
      </c>
      <c r="E130" s="100">
        <v>27.45</v>
      </c>
      <c r="F130" s="94">
        <v>3572</v>
      </c>
      <c r="G130" s="94">
        <f t="shared" si="38"/>
        <v>130.12750455373407</v>
      </c>
      <c r="H130" s="94">
        <v>316</v>
      </c>
      <c r="I130" s="100">
        <f t="shared" si="39"/>
        <v>8.846584546472565</v>
      </c>
      <c r="J130" s="94">
        <v>83</v>
      </c>
      <c r="K130" s="97">
        <f t="shared" si="40"/>
        <v>26.265822784810126</v>
      </c>
      <c r="L130" s="94"/>
      <c r="M130" s="94"/>
      <c r="N130" s="94"/>
      <c r="O130" s="97">
        <f t="shared" si="47"/>
        <v>0</v>
      </c>
      <c r="P130" s="97">
        <f t="shared" si="47"/>
        <v>0</v>
      </c>
      <c r="Q130" s="94"/>
      <c r="R130" s="94"/>
      <c r="S130" s="94"/>
      <c r="T130" s="97">
        <f t="shared" si="41"/>
        <v>0</v>
      </c>
      <c r="U130" s="97">
        <f t="shared" si="41"/>
        <v>0</v>
      </c>
      <c r="V130" s="98">
        <f t="shared" si="35"/>
        <v>26.265822784810126</v>
      </c>
      <c r="W130" s="98">
        <f t="shared" si="36"/>
        <v>26.265822784810126</v>
      </c>
      <c r="X130" s="98">
        <f t="shared" si="37"/>
        <v>0</v>
      </c>
      <c r="Z130" s="76" t="str">
        <f t="shared" si="42"/>
        <v>A</v>
      </c>
      <c r="AA130" s="76" t="b">
        <f t="shared" si="43"/>
        <v>0</v>
      </c>
      <c r="AB130" s="76" t="b">
        <f t="shared" si="44"/>
        <v>0</v>
      </c>
      <c r="AC130" s="76">
        <f t="shared" si="45"/>
        <v>1</v>
      </c>
      <c r="AD130" s="105">
        <f t="shared" si="46"/>
        <v>52.531645569620252</v>
      </c>
    </row>
    <row r="131" spans="2:30" x14ac:dyDescent="0.2">
      <c r="B131" s="99" t="s">
        <v>345</v>
      </c>
      <c r="C131" s="99" t="s">
        <v>1189</v>
      </c>
      <c r="D131" s="91">
        <v>2013</v>
      </c>
      <c r="E131" s="100">
        <v>25.44</v>
      </c>
      <c r="F131" s="94">
        <v>3369</v>
      </c>
      <c r="G131" s="94">
        <f t="shared" si="38"/>
        <v>132.42924528301887</v>
      </c>
      <c r="H131" s="94">
        <v>279</v>
      </c>
      <c r="I131" s="100">
        <f t="shared" si="39"/>
        <v>8.2813891362422076</v>
      </c>
      <c r="J131" s="94">
        <v>126</v>
      </c>
      <c r="K131" s="97">
        <f t="shared" si="40"/>
        <v>45.161290322580641</v>
      </c>
      <c r="L131" s="94"/>
      <c r="M131" s="94"/>
      <c r="N131" s="94"/>
      <c r="O131" s="97">
        <f t="shared" si="47"/>
        <v>0</v>
      </c>
      <c r="P131" s="97">
        <f t="shared" si="47"/>
        <v>0</v>
      </c>
      <c r="Q131" s="94">
        <v>413</v>
      </c>
      <c r="R131" s="94">
        <v>98</v>
      </c>
      <c r="S131" s="94">
        <v>137</v>
      </c>
      <c r="T131" s="97">
        <f t="shared" si="41"/>
        <v>23.728813559322035</v>
      </c>
      <c r="U131" s="97">
        <f t="shared" si="41"/>
        <v>33.171912832929785</v>
      </c>
      <c r="V131" s="98">
        <f t="shared" si="35"/>
        <v>45.161290322580641</v>
      </c>
      <c r="W131" s="98">
        <f t="shared" si="36"/>
        <v>21.432476763258606</v>
      </c>
      <c r="X131" s="98">
        <f t="shared" si="37"/>
        <v>-23.728813559322035</v>
      </c>
      <c r="Z131" s="76" t="str">
        <f t="shared" si="42"/>
        <v>A</v>
      </c>
      <c r="AA131" s="76" t="b">
        <f t="shared" si="43"/>
        <v>0</v>
      </c>
      <c r="AB131" s="76" t="str">
        <f t="shared" si="44"/>
        <v>A</v>
      </c>
      <c r="AC131" s="76">
        <f t="shared" si="45"/>
        <v>2</v>
      </c>
      <c r="AD131" s="105">
        <f t="shared" si="46"/>
        <v>42.864953526517212</v>
      </c>
    </row>
    <row r="132" spans="2:30" x14ac:dyDescent="0.2">
      <c r="B132" s="99" t="s">
        <v>345</v>
      </c>
      <c r="C132" s="99" t="s">
        <v>1190</v>
      </c>
      <c r="D132" s="91">
        <v>2014</v>
      </c>
      <c r="E132" s="100">
        <v>30.41</v>
      </c>
      <c r="F132" s="94">
        <v>4249</v>
      </c>
      <c r="G132" s="94">
        <f t="shared" si="38"/>
        <v>139.72377507398883</v>
      </c>
      <c r="H132" s="94">
        <v>340</v>
      </c>
      <c r="I132" s="100">
        <f t="shared" si="39"/>
        <v>8.0018827959519889</v>
      </c>
      <c r="J132" s="94">
        <v>151</v>
      </c>
      <c r="K132" s="97">
        <f t="shared" si="40"/>
        <v>44.411764705882348</v>
      </c>
      <c r="L132" s="94"/>
      <c r="M132" s="94"/>
      <c r="N132" s="94"/>
      <c r="O132" s="97">
        <f t="shared" si="47"/>
        <v>0</v>
      </c>
      <c r="P132" s="97">
        <f t="shared" si="47"/>
        <v>0</v>
      </c>
      <c r="Q132" s="94">
        <v>383</v>
      </c>
      <c r="R132" s="94">
        <v>92</v>
      </c>
      <c r="S132" s="94">
        <v>116</v>
      </c>
      <c r="T132" s="97">
        <f t="shared" si="41"/>
        <v>24.020887728459531</v>
      </c>
      <c r="U132" s="97">
        <f t="shared" si="41"/>
        <v>30.287206266318538</v>
      </c>
      <c r="V132" s="98">
        <f t="shared" si="35"/>
        <v>44.411764705882348</v>
      </c>
      <c r="W132" s="98">
        <f t="shared" si="36"/>
        <v>20.390876977422817</v>
      </c>
      <c r="X132" s="98">
        <f t="shared" si="37"/>
        <v>-24.020887728459531</v>
      </c>
      <c r="Z132" s="76" t="str">
        <f t="shared" si="42"/>
        <v>A</v>
      </c>
      <c r="AA132" s="76" t="b">
        <f t="shared" si="43"/>
        <v>0</v>
      </c>
      <c r="AB132" s="76" t="str">
        <f t="shared" si="44"/>
        <v>A</v>
      </c>
      <c r="AC132" s="76">
        <f t="shared" si="45"/>
        <v>2</v>
      </c>
      <c r="AD132" s="105">
        <f t="shared" si="46"/>
        <v>40.781753954845641</v>
      </c>
    </row>
    <row r="133" spans="2:30" x14ac:dyDescent="0.2">
      <c r="B133" s="99" t="s">
        <v>345</v>
      </c>
      <c r="C133" s="99" t="s">
        <v>1191</v>
      </c>
      <c r="D133" s="91">
        <v>2008</v>
      </c>
      <c r="E133" s="100">
        <v>28.59</v>
      </c>
      <c r="F133" s="94">
        <v>3905</v>
      </c>
      <c r="G133" s="94">
        <f t="shared" si="38"/>
        <v>136.58621895767752</v>
      </c>
      <c r="H133" s="94"/>
      <c r="I133" s="100">
        <f t="shared" si="39"/>
        <v>0</v>
      </c>
      <c r="J133" s="94"/>
      <c r="K133" s="97">
        <f t="shared" si="40"/>
        <v>0</v>
      </c>
      <c r="L133" s="94"/>
      <c r="M133" s="94"/>
      <c r="N133" s="94"/>
      <c r="O133" s="97">
        <f t="shared" si="47"/>
        <v>0</v>
      </c>
      <c r="P133" s="97">
        <f t="shared" si="47"/>
        <v>0</v>
      </c>
      <c r="Q133" s="94">
        <v>458</v>
      </c>
      <c r="R133" s="94">
        <v>53</v>
      </c>
      <c r="S133" s="94">
        <v>92</v>
      </c>
      <c r="T133" s="97">
        <f t="shared" si="41"/>
        <v>11.572052401746726</v>
      </c>
      <c r="U133" s="97">
        <f t="shared" si="41"/>
        <v>20.087336244541483</v>
      </c>
      <c r="V133" s="98">
        <f t="shared" si="35"/>
        <v>0</v>
      </c>
      <c r="W133" s="98">
        <f t="shared" si="36"/>
        <v>-11.572052401746726</v>
      </c>
      <c r="X133" s="98">
        <f t="shared" si="37"/>
        <v>-11.572052401746726</v>
      </c>
      <c r="Z133" s="76" t="b">
        <f t="shared" si="42"/>
        <v>0</v>
      </c>
      <c r="AA133" s="76" t="b">
        <f t="shared" si="43"/>
        <v>0</v>
      </c>
      <c r="AB133" s="76" t="str">
        <f t="shared" si="44"/>
        <v>A</v>
      </c>
      <c r="AC133" s="76">
        <f t="shared" si="45"/>
        <v>1</v>
      </c>
      <c r="AD133" s="105">
        <f t="shared" si="46"/>
        <v>-23.144104803493452</v>
      </c>
    </row>
    <row r="134" spans="2:30" x14ac:dyDescent="0.2">
      <c r="B134" s="99" t="s">
        <v>345</v>
      </c>
      <c r="C134" s="99" t="s">
        <v>1192</v>
      </c>
      <c r="D134" s="91">
        <v>2009</v>
      </c>
      <c r="E134" s="100">
        <v>28.55</v>
      </c>
      <c r="F134" s="94">
        <v>3813</v>
      </c>
      <c r="G134" s="94">
        <f t="shared" si="38"/>
        <v>133.55516637478109</v>
      </c>
      <c r="H134" s="94">
        <v>366</v>
      </c>
      <c r="I134" s="100">
        <f t="shared" si="39"/>
        <v>9.5987411487018104</v>
      </c>
      <c r="J134" s="94">
        <v>29</v>
      </c>
      <c r="K134" s="97">
        <f t="shared" si="40"/>
        <v>7.9234972677595632</v>
      </c>
      <c r="L134" s="94">
        <v>98</v>
      </c>
      <c r="M134" s="94">
        <v>9</v>
      </c>
      <c r="N134" s="94">
        <v>23</v>
      </c>
      <c r="O134" s="97">
        <f t="shared" si="47"/>
        <v>9.183673469387756</v>
      </c>
      <c r="P134" s="97">
        <f t="shared" si="47"/>
        <v>23.469387755102041</v>
      </c>
      <c r="Q134" s="94">
        <v>664</v>
      </c>
      <c r="R134" s="94">
        <v>76</v>
      </c>
      <c r="S134" s="94">
        <v>176</v>
      </c>
      <c r="T134" s="97">
        <f t="shared" si="41"/>
        <v>11.445783132530121</v>
      </c>
      <c r="U134" s="97">
        <f t="shared" si="41"/>
        <v>26.506024096385545</v>
      </c>
      <c r="V134" s="98">
        <f t="shared" si="35"/>
        <v>-1.2601762016281928</v>
      </c>
      <c r="W134" s="98">
        <f t="shared" si="36"/>
        <v>-3.5222858647705575</v>
      </c>
      <c r="X134" s="98">
        <f t="shared" si="37"/>
        <v>-2.2621096631423647</v>
      </c>
      <c r="Z134" s="76" t="str">
        <f t="shared" si="42"/>
        <v>A</v>
      </c>
      <c r="AA134" s="76" t="str">
        <f t="shared" si="43"/>
        <v>A</v>
      </c>
      <c r="AB134" s="76" t="str">
        <f t="shared" si="44"/>
        <v>A</v>
      </c>
      <c r="AC134" s="76">
        <f t="shared" si="45"/>
        <v>3</v>
      </c>
      <c r="AD134" s="105">
        <f t="shared" si="46"/>
        <v>-7.044571729541115</v>
      </c>
    </row>
    <row r="135" spans="2:30" x14ac:dyDescent="0.2">
      <c r="B135" s="99" t="s">
        <v>345</v>
      </c>
      <c r="C135" s="99" t="s">
        <v>1193</v>
      </c>
      <c r="D135" s="91">
        <v>2009</v>
      </c>
      <c r="E135" s="100">
        <v>31.35</v>
      </c>
      <c r="F135" s="94">
        <v>4247</v>
      </c>
      <c r="G135" s="94">
        <f t="shared" si="38"/>
        <v>135.47049441786282</v>
      </c>
      <c r="H135" s="94"/>
      <c r="I135" s="100">
        <f t="shared" si="39"/>
        <v>0</v>
      </c>
      <c r="J135" s="94"/>
      <c r="K135" s="97">
        <f t="shared" si="40"/>
        <v>0</v>
      </c>
      <c r="L135" s="94">
        <v>94</v>
      </c>
      <c r="M135" s="94">
        <v>14</v>
      </c>
      <c r="N135" s="94">
        <v>30</v>
      </c>
      <c r="O135" s="97">
        <f t="shared" si="47"/>
        <v>14.893617021276595</v>
      </c>
      <c r="P135" s="97">
        <f t="shared" si="47"/>
        <v>31.914893617021278</v>
      </c>
      <c r="Q135" s="94">
        <v>416</v>
      </c>
      <c r="R135" s="94">
        <v>87</v>
      </c>
      <c r="S135" s="94">
        <v>125</v>
      </c>
      <c r="T135" s="97">
        <f t="shared" si="41"/>
        <v>20.91346153846154</v>
      </c>
      <c r="U135" s="97">
        <f t="shared" si="41"/>
        <v>30.048076923076923</v>
      </c>
      <c r="V135" s="98">
        <f t="shared" si="35"/>
        <v>-14.893617021276595</v>
      </c>
      <c r="W135" s="98">
        <f t="shared" si="36"/>
        <v>-20.91346153846154</v>
      </c>
      <c r="X135" s="98">
        <f t="shared" si="37"/>
        <v>-6.0198445171849446</v>
      </c>
      <c r="Z135" s="76" t="b">
        <f t="shared" si="42"/>
        <v>0</v>
      </c>
      <c r="AA135" s="76" t="str">
        <f t="shared" si="43"/>
        <v>A</v>
      </c>
      <c r="AB135" s="76" t="str">
        <f t="shared" si="44"/>
        <v>A</v>
      </c>
      <c r="AC135" s="76">
        <f t="shared" si="45"/>
        <v>2</v>
      </c>
      <c r="AD135" s="105">
        <f t="shared" si="46"/>
        <v>-41.82692307692308</v>
      </c>
    </row>
    <row r="136" spans="2:30" x14ac:dyDescent="0.2">
      <c r="B136" s="99" t="s">
        <v>345</v>
      </c>
      <c r="C136" s="99" t="s">
        <v>1194</v>
      </c>
      <c r="D136" s="91">
        <v>2008</v>
      </c>
      <c r="E136" s="100">
        <v>28.99</v>
      </c>
      <c r="F136" s="94">
        <v>4003</v>
      </c>
      <c r="G136" s="94">
        <f t="shared" si="38"/>
        <v>138.0820972749224</v>
      </c>
      <c r="H136" s="94"/>
      <c r="I136" s="100">
        <f t="shared" si="39"/>
        <v>0</v>
      </c>
      <c r="J136" s="94"/>
      <c r="K136" s="97">
        <f t="shared" si="40"/>
        <v>0</v>
      </c>
      <c r="L136" s="94"/>
      <c r="M136" s="94"/>
      <c r="N136" s="94"/>
      <c r="O136" s="97">
        <f t="shared" si="47"/>
        <v>0</v>
      </c>
      <c r="P136" s="97">
        <f t="shared" si="47"/>
        <v>0</v>
      </c>
      <c r="Q136" s="94"/>
      <c r="R136" s="94"/>
      <c r="S136" s="94"/>
      <c r="T136" s="97">
        <f t="shared" si="41"/>
        <v>0</v>
      </c>
      <c r="U136" s="97">
        <f t="shared" si="41"/>
        <v>0</v>
      </c>
      <c r="V136" s="98">
        <f t="shared" si="35"/>
        <v>0</v>
      </c>
      <c r="W136" s="98">
        <f t="shared" si="36"/>
        <v>0</v>
      </c>
      <c r="X136" s="98">
        <f t="shared" si="37"/>
        <v>0</v>
      </c>
      <c r="Z136" s="76" t="b">
        <f t="shared" si="42"/>
        <v>0</v>
      </c>
      <c r="AA136" s="76" t="b">
        <f t="shared" si="43"/>
        <v>0</v>
      </c>
      <c r="AB136" s="76" t="b">
        <f t="shared" si="44"/>
        <v>0</v>
      </c>
      <c r="AC136" s="76">
        <f t="shared" si="45"/>
        <v>0</v>
      </c>
      <c r="AD136" s="105">
        <f t="shared" si="46"/>
        <v>0</v>
      </c>
    </row>
    <row r="137" spans="2:30" x14ac:dyDescent="0.2">
      <c r="B137" s="99" t="s">
        <v>345</v>
      </c>
      <c r="C137" s="99" t="s">
        <v>1195</v>
      </c>
      <c r="D137" s="91">
        <v>2011</v>
      </c>
      <c r="E137" s="100">
        <v>30.02</v>
      </c>
      <c r="F137" s="94">
        <v>4099</v>
      </c>
      <c r="G137" s="94">
        <f t="shared" si="38"/>
        <v>136.54230512991339</v>
      </c>
      <c r="H137" s="94">
        <v>447</v>
      </c>
      <c r="I137" s="100">
        <f t="shared" si="39"/>
        <v>10.905098804586483</v>
      </c>
      <c r="J137" s="94">
        <v>174</v>
      </c>
      <c r="K137" s="97">
        <f t="shared" si="40"/>
        <v>38.926174496644293</v>
      </c>
      <c r="L137" s="94"/>
      <c r="M137" s="94"/>
      <c r="N137" s="94"/>
      <c r="O137" s="97">
        <f t="shared" si="47"/>
        <v>0</v>
      </c>
      <c r="P137" s="97">
        <f t="shared" si="47"/>
        <v>0</v>
      </c>
      <c r="Q137" s="94"/>
      <c r="R137" s="94"/>
      <c r="S137" s="94"/>
      <c r="T137" s="97">
        <f t="shared" si="41"/>
        <v>0</v>
      </c>
      <c r="U137" s="97">
        <f t="shared" si="41"/>
        <v>0</v>
      </c>
      <c r="V137" s="98">
        <f t="shared" si="35"/>
        <v>38.926174496644293</v>
      </c>
      <c r="W137" s="98">
        <f t="shared" si="36"/>
        <v>38.926174496644293</v>
      </c>
      <c r="X137" s="98">
        <f t="shared" si="37"/>
        <v>0</v>
      </c>
      <c r="Z137" s="76" t="str">
        <f t="shared" si="42"/>
        <v>A</v>
      </c>
      <c r="AA137" s="76" t="b">
        <f t="shared" si="43"/>
        <v>0</v>
      </c>
      <c r="AB137" s="76" t="b">
        <f t="shared" si="44"/>
        <v>0</v>
      </c>
      <c r="AC137" s="76">
        <f t="shared" si="45"/>
        <v>1</v>
      </c>
      <c r="AD137" s="105">
        <f t="shared" si="46"/>
        <v>77.852348993288587</v>
      </c>
    </row>
    <row r="138" spans="2:30" x14ac:dyDescent="0.2">
      <c r="B138" s="99" t="s">
        <v>345</v>
      </c>
      <c r="C138" s="99" t="s">
        <v>1196</v>
      </c>
      <c r="D138" s="91">
        <v>2011</v>
      </c>
      <c r="E138" s="100">
        <v>30.87</v>
      </c>
      <c r="F138" s="94">
        <v>4020</v>
      </c>
      <c r="G138" s="94">
        <f t="shared" si="38"/>
        <v>130.22351797862001</v>
      </c>
      <c r="H138" s="94">
        <v>387</v>
      </c>
      <c r="I138" s="100">
        <f t="shared" si="39"/>
        <v>9.6268656716417897</v>
      </c>
      <c r="J138" s="94">
        <v>55</v>
      </c>
      <c r="K138" s="97">
        <f t="shared" si="40"/>
        <v>14.211886304909561</v>
      </c>
      <c r="L138" s="94">
        <v>37</v>
      </c>
      <c r="M138" s="94">
        <v>3</v>
      </c>
      <c r="N138" s="94">
        <v>15</v>
      </c>
      <c r="O138" s="97">
        <f t="shared" si="47"/>
        <v>8.1081081081081088</v>
      </c>
      <c r="P138" s="97">
        <f t="shared" si="47"/>
        <v>40.54054054054054</v>
      </c>
      <c r="Q138" s="94"/>
      <c r="R138" s="94"/>
      <c r="S138" s="94"/>
      <c r="T138" s="97">
        <f t="shared" si="41"/>
        <v>0</v>
      </c>
      <c r="U138" s="97">
        <f t="shared" si="41"/>
        <v>0</v>
      </c>
      <c r="V138" s="98">
        <f t="shared" si="35"/>
        <v>6.1037781968014517</v>
      </c>
      <c r="W138" s="98">
        <f t="shared" si="36"/>
        <v>14.211886304909561</v>
      </c>
      <c r="X138" s="98">
        <f t="shared" si="37"/>
        <v>8.1081081081081088</v>
      </c>
      <c r="Z138" s="76" t="str">
        <f t="shared" si="42"/>
        <v>A</v>
      </c>
      <c r="AA138" s="76" t="str">
        <f t="shared" si="43"/>
        <v>A</v>
      </c>
      <c r="AB138" s="76" t="b">
        <f t="shared" si="44"/>
        <v>0</v>
      </c>
      <c r="AC138" s="76">
        <f t="shared" si="45"/>
        <v>2</v>
      </c>
      <c r="AD138" s="105">
        <f t="shared" si="46"/>
        <v>28.423772609819121</v>
      </c>
    </row>
    <row r="139" spans="2:30" x14ac:dyDescent="0.2">
      <c r="B139" s="99" t="s">
        <v>345</v>
      </c>
      <c r="C139" s="99" t="s">
        <v>1197</v>
      </c>
      <c r="D139" s="91">
        <v>2012</v>
      </c>
      <c r="E139" s="100">
        <v>30.32</v>
      </c>
      <c r="F139" s="94">
        <v>4153</v>
      </c>
      <c r="G139" s="94">
        <f t="shared" si="38"/>
        <v>136.97229551451187</v>
      </c>
      <c r="H139" s="94">
        <v>377</v>
      </c>
      <c r="I139" s="100">
        <f t="shared" si="39"/>
        <v>9.0777751023356608</v>
      </c>
      <c r="J139" s="94">
        <v>22</v>
      </c>
      <c r="K139" s="97">
        <f t="shared" si="40"/>
        <v>5.8355437665782492</v>
      </c>
      <c r="L139" s="94">
        <v>31</v>
      </c>
      <c r="M139" s="94">
        <v>2</v>
      </c>
      <c r="N139" s="94">
        <v>18</v>
      </c>
      <c r="O139" s="97">
        <f t="shared" si="47"/>
        <v>6.4516129032258061</v>
      </c>
      <c r="P139" s="97">
        <f t="shared" si="47"/>
        <v>58.064516129032263</v>
      </c>
      <c r="Q139" s="94"/>
      <c r="R139" s="94"/>
      <c r="S139" s="94"/>
      <c r="T139" s="97">
        <f t="shared" si="41"/>
        <v>0</v>
      </c>
      <c r="U139" s="97">
        <f t="shared" si="41"/>
        <v>0</v>
      </c>
      <c r="V139" s="98">
        <f t="shared" si="35"/>
        <v>-0.6160691366475568</v>
      </c>
      <c r="W139" s="98">
        <f t="shared" si="36"/>
        <v>5.8355437665782492</v>
      </c>
      <c r="X139" s="98">
        <f t="shared" si="37"/>
        <v>6.4516129032258061</v>
      </c>
      <c r="Z139" s="76" t="str">
        <f t="shared" si="42"/>
        <v>A</v>
      </c>
      <c r="AA139" s="76" t="str">
        <f t="shared" si="43"/>
        <v>A</v>
      </c>
      <c r="AB139" s="76" t="b">
        <f t="shared" si="44"/>
        <v>0</v>
      </c>
      <c r="AC139" s="76">
        <f t="shared" si="45"/>
        <v>2</v>
      </c>
      <c r="AD139" s="105">
        <f t="shared" si="46"/>
        <v>11.671087533156498</v>
      </c>
    </row>
    <row r="140" spans="2:30" x14ac:dyDescent="0.2">
      <c r="B140" s="99" t="s">
        <v>345</v>
      </c>
      <c r="C140" s="99" t="s">
        <v>1198</v>
      </c>
      <c r="D140" s="91">
        <v>2015</v>
      </c>
      <c r="E140" s="100">
        <v>47.56</v>
      </c>
      <c r="F140" s="94">
        <v>4893</v>
      </c>
      <c r="G140" s="94">
        <f t="shared" si="38"/>
        <v>102.88057190916736</v>
      </c>
      <c r="H140" s="94">
        <v>475</v>
      </c>
      <c r="I140" s="100">
        <f t="shared" si="39"/>
        <v>9.7077457592479064</v>
      </c>
      <c r="J140" s="94">
        <v>95</v>
      </c>
      <c r="K140" s="97">
        <f t="shared" si="40"/>
        <v>20</v>
      </c>
      <c r="L140" s="94"/>
      <c r="M140" s="94"/>
      <c r="N140" s="94"/>
      <c r="O140" s="97">
        <f t="shared" si="47"/>
        <v>0</v>
      </c>
      <c r="P140" s="97">
        <f t="shared" si="47"/>
        <v>0</v>
      </c>
      <c r="Q140" s="94"/>
      <c r="R140" s="94"/>
      <c r="S140" s="94"/>
      <c r="T140" s="97">
        <f t="shared" si="41"/>
        <v>0</v>
      </c>
      <c r="U140" s="97">
        <f t="shared" si="41"/>
        <v>0</v>
      </c>
      <c r="V140" s="98">
        <f t="shared" si="35"/>
        <v>20</v>
      </c>
      <c r="W140" s="98">
        <f t="shared" si="36"/>
        <v>20</v>
      </c>
      <c r="X140" s="98">
        <f t="shared" si="37"/>
        <v>0</v>
      </c>
      <c r="Z140" s="76" t="str">
        <f t="shared" si="42"/>
        <v>A</v>
      </c>
      <c r="AA140" s="76" t="b">
        <f t="shared" si="43"/>
        <v>0</v>
      </c>
      <c r="AB140" s="76" t="b">
        <f t="shared" si="44"/>
        <v>0</v>
      </c>
      <c r="AC140" s="76">
        <f t="shared" si="45"/>
        <v>1</v>
      </c>
      <c r="AD140" s="105">
        <f t="shared" si="46"/>
        <v>40</v>
      </c>
    </row>
    <row r="141" spans="2:30" x14ac:dyDescent="0.2">
      <c r="B141" s="99" t="s">
        <v>380</v>
      </c>
      <c r="C141" s="99" t="s">
        <v>1199</v>
      </c>
      <c r="D141" s="91">
        <v>2017</v>
      </c>
      <c r="E141" s="100">
        <v>12.96</v>
      </c>
      <c r="F141" s="94">
        <v>1786</v>
      </c>
      <c r="G141" s="94">
        <f t="shared" si="38"/>
        <v>137.80864197530863</v>
      </c>
      <c r="H141" s="94"/>
      <c r="I141" s="100">
        <f t="shared" si="39"/>
        <v>0</v>
      </c>
      <c r="J141" s="94"/>
      <c r="K141" s="97">
        <f t="shared" si="40"/>
        <v>0</v>
      </c>
      <c r="L141" s="94"/>
      <c r="M141" s="94"/>
      <c r="N141" s="94"/>
      <c r="O141" s="97">
        <f t="shared" si="47"/>
        <v>0</v>
      </c>
      <c r="P141" s="97">
        <f t="shared" si="47"/>
        <v>0</v>
      </c>
      <c r="Q141" s="94"/>
      <c r="R141" s="94"/>
      <c r="S141" s="94"/>
      <c r="T141" s="97">
        <f t="shared" si="41"/>
        <v>0</v>
      </c>
      <c r="U141" s="97">
        <f t="shared" si="41"/>
        <v>0</v>
      </c>
      <c r="V141" s="98">
        <f t="shared" si="35"/>
        <v>0</v>
      </c>
      <c r="W141" s="98">
        <f t="shared" si="36"/>
        <v>0</v>
      </c>
      <c r="X141" s="98">
        <f t="shared" si="37"/>
        <v>0</v>
      </c>
      <c r="Z141" s="76" t="b">
        <f t="shared" si="42"/>
        <v>0</v>
      </c>
      <c r="AA141" s="76" t="b">
        <f t="shared" si="43"/>
        <v>0</v>
      </c>
      <c r="AB141" s="76" t="b">
        <f t="shared" si="44"/>
        <v>0</v>
      </c>
      <c r="AC141" s="76">
        <f t="shared" si="45"/>
        <v>0</v>
      </c>
      <c r="AD141" s="105">
        <f t="shared" si="46"/>
        <v>0</v>
      </c>
    </row>
    <row r="142" spans="2:30" x14ac:dyDescent="0.2">
      <c r="B142" s="99" t="s">
        <v>380</v>
      </c>
      <c r="C142" s="99" t="s">
        <v>1200</v>
      </c>
      <c r="D142" s="91">
        <v>2016</v>
      </c>
      <c r="E142" s="100">
        <v>34.1</v>
      </c>
      <c r="F142" s="94">
        <v>4609</v>
      </c>
      <c r="G142" s="94">
        <f t="shared" si="38"/>
        <v>135.16129032258064</v>
      </c>
      <c r="H142" s="94"/>
      <c r="I142" s="100">
        <f t="shared" si="39"/>
        <v>0</v>
      </c>
      <c r="J142" s="94"/>
      <c r="K142" s="97">
        <f t="shared" si="40"/>
        <v>0</v>
      </c>
      <c r="L142" s="94"/>
      <c r="M142" s="94"/>
      <c r="N142" s="94"/>
      <c r="O142" s="97">
        <f t="shared" si="47"/>
        <v>0</v>
      </c>
      <c r="P142" s="97">
        <f t="shared" si="47"/>
        <v>0</v>
      </c>
      <c r="Q142" s="94"/>
      <c r="R142" s="94"/>
      <c r="S142" s="94"/>
      <c r="T142" s="97">
        <f t="shared" si="41"/>
        <v>0</v>
      </c>
      <c r="U142" s="97">
        <f t="shared" si="41"/>
        <v>0</v>
      </c>
      <c r="V142" s="98">
        <f t="shared" si="35"/>
        <v>0</v>
      </c>
      <c r="W142" s="98">
        <f t="shared" si="36"/>
        <v>0</v>
      </c>
      <c r="X142" s="98">
        <f t="shared" si="37"/>
        <v>0</v>
      </c>
      <c r="Z142" s="76" t="b">
        <f t="shared" si="42"/>
        <v>0</v>
      </c>
      <c r="AA142" s="76" t="b">
        <f t="shared" si="43"/>
        <v>0</v>
      </c>
      <c r="AB142" s="76" t="b">
        <f t="shared" si="44"/>
        <v>0</v>
      </c>
      <c r="AC142" s="76">
        <f t="shared" si="45"/>
        <v>0</v>
      </c>
      <c r="AD142" s="105">
        <f t="shared" si="46"/>
        <v>0</v>
      </c>
    </row>
    <row r="143" spans="2:30" x14ac:dyDescent="0.2">
      <c r="B143" s="99" t="s">
        <v>380</v>
      </c>
      <c r="C143" s="99" t="s">
        <v>1201</v>
      </c>
      <c r="D143" s="91">
        <v>2014</v>
      </c>
      <c r="E143" s="100">
        <v>23.07</v>
      </c>
      <c r="F143" s="94">
        <v>3106</v>
      </c>
      <c r="G143" s="94">
        <f t="shared" si="38"/>
        <v>134.63372345036845</v>
      </c>
      <c r="H143" s="94"/>
      <c r="I143" s="100">
        <f t="shared" si="39"/>
        <v>0</v>
      </c>
      <c r="J143" s="94"/>
      <c r="K143" s="97">
        <f t="shared" si="40"/>
        <v>0</v>
      </c>
      <c r="L143" s="94"/>
      <c r="M143" s="94"/>
      <c r="N143" s="94"/>
      <c r="O143" s="97">
        <f t="shared" si="47"/>
        <v>0</v>
      </c>
      <c r="P143" s="97">
        <f t="shared" si="47"/>
        <v>0</v>
      </c>
      <c r="Q143" s="94"/>
      <c r="R143" s="94"/>
      <c r="S143" s="94"/>
      <c r="T143" s="97">
        <f t="shared" si="41"/>
        <v>0</v>
      </c>
      <c r="U143" s="97">
        <f t="shared" si="41"/>
        <v>0</v>
      </c>
      <c r="V143" s="98">
        <f t="shared" si="35"/>
        <v>0</v>
      </c>
      <c r="W143" s="98">
        <f t="shared" si="36"/>
        <v>0</v>
      </c>
      <c r="X143" s="98">
        <f t="shared" si="37"/>
        <v>0</v>
      </c>
      <c r="Z143" s="76" t="b">
        <f t="shared" si="42"/>
        <v>0</v>
      </c>
      <c r="AA143" s="76" t="b">
        <f t="shared" si="43"/>
        <v>0</v>
      </c>
      <c r="AB143" s="76" t="b">
        <f t="shared" si="44"/>
        <v>0</v>
      </c>
      <c r="AC143" s="76">
        <f t="shared" si="45"/>
        <v>0</v>
      </c>
      <c r="AD143" s="105">
        <f t="shared" si="46"/>
        <v>0</v>
      </c>
    </row>
    <row r="144" spans="2:30" x14ac:dyDescent="0.2">
      <c r="B144" s="99" t="s">
        <v>380</v>
      </c>
      <c r="C144" s="99" t="s">
        <v>1202</v>
      </c>
      <c r="D144" s="91">
        <v>2013</v>
      </c>
      <c r="E144" s="100">
        <v>31.18</v>
      </c>
      <c r="F144" s="94">
        <v>4105</v>
      </c>
      <c r="G144" s="94">
        <f t="shared" si="38"/>
        <v>131.65490699166133</v>
      </c>
      <c r="H144" s="94"/>
      <c r="I144" s="100">
        <f t="shared" si="39"/>
        <v>0</v>
      </c>
      <c r="J144" s="94"/>
      <c r="K144" s="97">
        <f t="shared" si="40"/>
        <v>0</v>
      </c>
      <c r="L144" s="94"/>
      <c r="M144" s="94"/>
      <c r="N144" s="94"/>
      <c r="O144" s="97">
        <f t="shared" si="47"/>
        <v>0</v>
      </c>
      <c r="P144" s="97">
        <f t="shared" si="47"/>
        <v>0</v>
      </c>
      <c r="Q144" s="94">
        <v>272</v>
      </c>
      <c r="R144" s="94">
        <v>38</v>
      </c>
      <c r="S144" s="94">
        <v>105</v>
      </c>
      <c r="T144" s="97">
        <f t="shared" si="41"/>
        <v>13.970588235294118</v>
      </c>
      <c r="U144" s="97">
        <f t="shared" si="41"/>
        <v>38.602941176470587</v>
      </c>
      <c r="V144" s="98">
        <f t="shared" si="35"/>
        <v>0</v>
      </c>
      <c r="W144" s="98">
        <f t="shared" si="36"/>
        <v>-13.970588235294118</v>
      </c>
      <c r="X144" s="98">
        <f t="shared" si="37"/>
        <v>-13.970588235294118</v>
      </c>
      <c r="Z144" s="76" t="b">
        <f t="shared" si="42"/>
        <v>0</v>
      </c>
      <c r="AA144" s="76" t="b">
        <f t="shared" si="43"/>
        <v>0</v>
      </c>
      <c r="AB144" s="76" t="str">
        <f t="shared" si="44"/>
        <v>A</v>
      </c>
      <c r="AC144" s="76">
        <f t="shared" si="45"/>
        <v>1</v>
      </c>
      <c r="AD144" s="105">
        <f t="shared" si="46"/>
        <v>-27.941176470588236</v>
      </c>
    </row>
    <row r="145" spans="2:30" x14ac:dyDescent="0.2">
      <c r="B145" s="99" t="s">
        <v>380</v>
      </c>
      <c r="C145" s="99" t="s">
        <v>1203</v>
      </c>
      <c r="D145" s="91">
        <v>2011</v>
      </c>
      <c r="E145" s="100">
        <v>31.6</v>
      </c>
      <c r="F145" s="94">
        <v>3818</v>
      </c>
      <c r="G145" s="94">
        <f t="shared" si="38"/>
        <v>120.82278481012658</v>
      </c>
      <c r="H145" s="94"/>
      <c r="I145" s="100">
        <f t="shared" si="39"/>
        <v>0</v>
      </c>
      <c r="J145" s="94"/>
      <c r="K145" s="97">
        <f t="shared" si="40"/>
        <v>0</v>
      </c>
      <c r="L145" s="94"/>
      <c r="M145" s="94"/>
      <c r="N145" s="94"/>
      <c r="O145" s="97">
        <f t="shared" si="47"/>
        <v>0</v>
      </c>
      <c r="P145" s="97">
        <f t="shared" si="47"/>
        <v>0</v>
      </c>
      <c r="Q145" s="94"/>
      <c r="R145" s="94"/>
      <c r="S145" s="94"/>
      <c r="T145" s="97">
        <f t="shared" si="41"/>
        <v>0</v>
      </c>
      <c r="U145" s="97">
        <f t="shared" si="41"/>
        <v>0</v>
      </c>
      <c r="V145" s="98">
        <f t="shared" si="35"/>
        <v>0</v>
      </c>
      <c r="W145" s="98">
        <f t="shared" si="36"/>
        <v>0</v>
      </c>
      <c r="X145" s="98">
        <f t="shared" si="37"/>
        <v>0</v>
      </c>
      <c r="Z145" s="76" t="b">
        <f t="shared" si="42"/>
        <v>0</v>
      </c>
      <c r="AA145" s="76" t="b">
        <f t="shared" si="43"/>
        <v>0</v>
      </c>
      <c r="AB145" s="76" t="b">
        <f t="shared" si="44"/>
        <v>0</v>
      </c>
      <c r="AC145" s="76">
        <f t="shared" si="45"/>
        <v>0</v>
      </c>
      <c r="AD145" s="105">
        <f t="shared" si="46"/>
        <v>0</v>
      </c>
    </row>
    <row r="146" spans="2:30" x14ac:dyDescent="0.2">
      <c r="B146" s="99" t="s">
        <v>380</v>
      </c>
      <c r="C146" s="99" t="s">
        <v>1204</v>
      </c>
      <c r="D146" s="91">
        <v>2013</v>
      </c>
      <c r="E146" s="100">
        <v>33.119999999999997</v>
      </c>
      <c r="F146" s="94">
        <v>4374</v>
      </c>
      <c r="G146" s="94">
        <f t="shared" si="38"/>
        <v>132.06521739130434</v>
      </c>
      <c r="H146" s="94"/>
      <c r="I146" s="100">
        <f t="shared" si="39"/>
        <v>0</v>
      </c>
      <c r="J146" s="94"/>
      <c r="K146" s="97">
        <f t="shared" si="40"/>
        <v>0</v>
      </c>
      <c r="L146" s="94"/>
      <c r="M146" s="94"/>
      <c r="N146" s="94"/>
      <c r="O146" s="97">
        <f t="shared" si="47"/>
        <v>0</v>
      </c>
      <c r="P146" s="97">
        <f t="shared" si="47"/>
        <v>0</v>
      </c>
      <c r="Q146" s="94"/>
      <c r="R146" s="94"/>
      <c r="S146" s="94"/>
      <c r="T146" s="97">
        <f t="shared" si="41"/>
        <v>0</v>
      </c>
      <c r="U146" s="97">
        <f t="shared" si="41"/>
        <v>0</v>
      </c>
      <c r="V146" s="98">
        <f t="shared" si="35"/>
        <v>0</v>
      </c>
      <c r="W146" s="98">
        <f t="shared" si="36"/>
        <v>0</v>
      </c>
      <c r="X146" s="98">
        <f t="shared" si="37"/>
        <v>0</v>
      </c>
      <c r="Z146" s="76" t="b">
        <f t="shared" si="42"/>
        <v>0</v>
      </c>
      <c r="AA146" s="76" t="b">
        <f t="shared" si="43"/>
        <v>0</v>
      </c>
      <c r="AB146" s="76" t="b">
        <f t="shared" si="44"/>
        <v>0</v>
      </c>
      <c r="AC146" s="76">
        <f t="shared" si="45"/>
        <v>0</v>
      </c>
      <c r="AD146" s="105">
        <f t="shared" si="46"/>
        <v>0</v>
      </c>
    </row>
    <row r="147" spans="2:30" x14ac:dyDescent="0.2">
      <c r="B147" s="99" t="s">
        <v>380</v>
      </c>
      <c r="C147" s="99" t="s">
        <v>1205</v>
      </c>
      <c r="D147" s="91">
        <v>2013</v>
      </c>
      <c r="E147" s="100">
        <v>37.04</v>
      </c>
      <c r="F147" s="94">
        <v>4861</v>
      </c>
      <c r="G147" s="94">
        <f t="shared" si="38"/>
        <v>131.23650107991361</v>
      </c>
      <c r="H147" s="94"/>
      <c r="I147" s="100">
        <f t="shared" si="39"/>
        <v>0</v>
      </c>
      <c r="J147" s="94"/>
      <c r="K147" s="97">
        <f t="shared" si="40"/>
        <v>0</v>
      </c>
      <c r="L147" s="94"/>
      <c r="M147" s="94"/>
      <c r="N147" s="94"/>
      <c r="O147" s="97">
        <f t="shared" si="47"/>
        <v>0</v>
      </c>
      <c r="P147" s="97">
        <f t="shared" si="47"/>
        <v>0</v>
      </c>
      <c r="Q147" s="94"/>
      <c r="R147" s="94"/>
      <c r="S147" s="94"/>
      <c r="T147" s="97">
        <f t="shared" si="41"/>
        <v>0</v>
      </c>
      <c r="U147" s="97">
        <f t="shared" si="41"/>
        <v>0</v>
      </c>
      <c r="V147" s="98">
        <f t="shared" si="35"/>
        <v>0</v>
      </c>
      <c r="W147" s="98">
        <f t="shared" si="36"/>
        <v>0</v>
      </c>
      <c r="X147" s="98">
        <f t="shared" si="37"/>
        <v>0</v>
      </c>
      <c r="Z147" s="76" t="b">
        <f t="shared" si="42"/>
        <v>0</v>
      </c>
      <c r="AA147" s="76" t="b">
        <f t="shared" si="43"/>
        <v>0</v>
      </c>
      <c r="AB147" s="76" t="b">
        <f t="shared" si="44"/>
        <v>0</v>
      </c>
      <c r="AC147" s="76">
        <f t="shared" si="45"/>
        <v>0</v>
      </c>
      <c r="AD147" s="105">
        <f t="shared" si="46"/>
        <v>0</v>
      </c>
    </row>
    <row r="148" spans="2:30" x14ac:dyDescent="0.2">
      <c r="B148" s="99" t="s">
        <v>380</v>
      </c>
      <c r="C148" s="99" t="s">
        <v>1206</v>
      </c>
      <c r="D148" s="91">
        <v>2013</v>
      </c>
      <c r="E148" s="100">
        <v>38.369999999999997</v>
      </c>
      <c r="F148" s="94">
        <v>5260</v>
      </c>
      <c r="G148" s="94">
        <f t="shared" si="38"/>
        <v>137.08626531144125</v>
      </c>
      <c r="H148" s="94"/>
      <c r="I148" s="100">
        <f t="shared" si="39"/>
        <v>0</v>
      </c>
      <c r="J148" s="94"/>
      <c r="K148" s="97">
        <f t="shared" si="40"/>
        <v>0</v>
      </c>
      <c r="L148" s="94"/>
      <c r="M148" s="94"/>
      <c r="N148" s="94"/>
      <c r="O148" s="97">
        <f t="shared" si="47"/>
        <v>0</v>
      </c>
      <c r="P148" s="97">
        <f t="shared" si="47"/>
        <v>0</v>
      </c>
      <c r="Q148" s="94"/>
      <c r="R148" s="94"/>
      <c r="S148" s="94"/>
      <c r="T148" s="97">
        <f t="shared" si="41"/>
        <v>0</v>
      </c>
      <c r="U148" s="97">
        <f t="shared" si="41"/>
        <v>0</v>
      </c>
      <c r="V148" s="98">
        <f t="shared" ref="V148:V199" si="48">K148-O148</f>
        <v>0</v>
      </c>
      <c r="W148" s="98">
        <f t="shared" ref="W148:W199" si="49">K148-T148</f>
        <v>0</v>
      </c>
      <c r="X148" s="98">
        <f t="shared" ref="X148:X199" si="50">O148-T148</f>
        <v>0</v>
      </c>
      <c r="Z148" s="76" t="b">
        <f t="shared" si="42"/>
        <v>0</v>
      </c>
      <c r="AA148" s="76" t="b">
        <f t="shared" si="43"/>
        <v>0</v>
      </c>
      <c r="AB148" s="76" t="b">
        <f t="shared" si="44"/>
        <v>0</v>
      </c>
      <c r="AC148" s="76">
        <f t="shared" si="45"/>
        <v>0</v>
      </c>
      <c r="AD148" s="105">
        <f t="shared" si="46"/>
        <v>0</v>
      </c>
    </row>
    <row r="149" spans="2:30" x14ac:dyDescent="0.2">
      <c r="B149" s="99" t="s">
        <v>380</v>
      </c>
      <c r="C149" s="99" t="s">
        <v>1207</v>
      </c>
      <c r="D149" s="91">
        <v>2013</v>
      </c>
      <c r="E149" s="100">
        <v>28.83</v>
      </c>
      <c r="F149" s="94">
        <v>3796</v>
      </c>
      <c r="G149" s="94">
        <f t="shared" ref="G149:G199" si="51">IFERROR($F149/$E149,0)</f>
        <v>131.66840097121056</v>
      </c>
      <c r="H149" s="94"/>
      <c r="I149" s="100">
        <f t="shared" ref="I149:I199" si="52">IFERROR(H149/F149*100,0)</f>
        <v>0</v>
      </c>
      <c r="J149" s="94"/>
      <c r="K149" s="97">
        <f t="shared" ref="K149:K199" si="53">IFERROR(J149/H149*100,0)</f>
        <v>0</v>
      </c>
      <c r="L149" s="94"/>
      <c r="M149" s="94"/>
      <c r="N149" s="94"/>
      <c r="O149" s="97">
        <f t="shared" si="47"/>
        <v>0</v>
      </c>
      <c r="P149" s="97">
        <f t="shared" si="47"/>
        <v>0</v>
      </c>
      <c r="Q149" s="94"/>
      <c r="R149" s="94"/>
      <c r="S149" s="94"/>
      <c r="T149" s="97">
        <f t="shared" ref="T149:U199" si="54">IFERROR(R149/$Q149*100,0)</f>
        <v>0</v>
      </c>
      <c r="U149" s="97">
        <f t="shared" si="54"/>
        <v>0</v>
      </c>
      <c r="V149" s="98">
        <f t="shared" si="48"/>
        <v>0</v>
      </c>
      <c r="W149" s="98">
        <f t="shared" si="49"/>
        <v>0</v>
      </c>
      <c r="X149" s="98">
        <f t="shared" si="50"/>
        <v>0</v>
      </c>
      <c r="Z149" s="76" t="b">
        <f t="shared" ref="Z149:Z199" si="55">IFERROR(IF($K149&gt;0,"A",IF($K149&lt;0,"B")),0)</f>
        <v>0</v>
      </c>
      <c r="AA149" s="76" t="b">
        <f t="shared" ref="AA149:AA199" si="56">IFERROR(IF($O149&gt;0,"A",IF($O149&lt;0,"B")),0)</f>
        <v>0</v>
      </c>
      <c r="AB149" s="76" t="b">
        <f t="shared" ref="AB149:AB199" si="57">IFERROR(IF($T149&gt;0,"A",IF($T149&lt;0,"B")),0)</f>
        <v>0</v>
      </c>
      <c r="AC149" s="76">
        <f t="shared" ref="AC149:AC199" si="58">COUNTIF(Z149:AB149,$Z$19)</f>
        <v>0</v>
      </c>
      <c r="AD149" s="105">
        <f t="shared" ref="AD149:AD199" si="59">SUM(V149:X149)</f>
        <v>0</v>
      </c>
    </row>
    <row r="150" spans="2:30" x14ac:dyDescent="0.2">
      <c r="B150" s="99" t="s">
        <v>380</v>
      </c>
      <c r="C150" s="99" t="s">
        <v>1208</v>
      </c>
      <c r="D150" s="91">
        <v>2009</v>
      </c>
      <c r="E150" s="100">
        <v>29.7</v>
      </c>
      <c r="F150" s="94">
        <v>3837</v>
      </c>
      <c r="G150" s="94">
        <f t="shared" si="51"/>
        <v>129.1919191919192</v>
      </c>
      <c r="H150" s="94"/>
      <c r="I150" s="100">
        <f t="shared" si="52"/>
        <v>0</v>
      </c>
      <c r="J150" s="94"/>
      <c r="K150" s="97">
        <f t="shared" si="53"/>
        <v>0</v>
      </c>
      <c r="L150" s="94"/>
      <c r="M150" s="94"/>
      <c r="N150" s="94"/>
      <c r="O150" s="97">
        <f t="shared" si="47"/>
        <v>0</v>
      </c>
      <c r="P150" s="97">
        <f t="shared" si="47"/>
        <v>0</v>
      </c>
      <c r="Q150" s="94">
        <v>621</v>
      </c>
      <c r="R150" s="94">
        <v>243</v>
      </c>
      <c r="S150" s="94">
        <v>346</v>
      </c>
      <c r="T150" s="97">
        <f t="shared" si="54"/>
        <v>39.130434782608695</v>
      </c>
      <c r="U150" s="97">
        <f t="shared" si="54"/>
        <v>55.716586151368766</v>
      </c>
      <c r="V150" s="98">
        <f t="shared" si="48"/>
        <v>0</v>
      </c>
      <c r="W150" s="98">
        <f t="shared" si="49"/>
        <v>-39.130434782608695</v>
      </c>
      <c r="X150" s="98">
        <f t="shared" si="50"/>
        <v>-39.130434782608695</v>
      </c>
      <c r="Z150" s="76" t="b">
        <f t="shared" si="55"/>
        <v>0</v>
      </c>
      <c r="AA150" s="76" t="b">
        <f t="shared" si="56"/>
        <v>0</v>
      </c>
      <c r="AB150" s="76" t="str">
        <f t="shared" si="57"/>
        <v>A</v>
      </c>
      <c r="AC150" s="76">
        <f t="shared" si="58"/>
        <v>1</v>
      </c>
      <c r="AD150" s="105">
        <f t="shared" si="59"/>
        <v>-78.260869565217391</v>
      </c>
    </row>
    <row r="151" spans="2:30" x14ac:dyDescent="0.2">
      <c r="B151" s="99" t="s">
        <v>380</v>
      </c>
      <c r="C151" s="99" t="s">
        <v>1209</v>
      </c>
      <c r="D151" s="91">
        <v>2010</v>
      </c>
      <c r="E151" s="100">
        <v>29.28</v>
      </c>
      <c r="F151" s="94">
        <v>3935</v>
      </c>
      <c r="G151" s="94">
        <f t="shared" si="51"/>
        <v>134.39207650273224</v>
      </c>
      <c r="H151" s="94"/>
      <c r="I151" s="100">
        <f t="shared" si="52"/>
        <v>0</v>
      </c>
      <c r="J151" s="94"/>
      <c r="K151" s="97">
        <f t="shared" si="53"/>
        <v>0</v>
      </c>
      <c r="L151" s="94"/>
      <c r="M151" s="94"/>
      <c r="N151" s="94"/>
      <c r="O151" s="97">
        <f t="shared" si="47"/>
        <v>0</v>
      </c>
      <c r="P151" s="97">
        <f t="shared" si="47"/>
        <v>0</v>
      </c>
      <c r="Q151" s="94">
        <v>1148</v>
      </c>
      <c r="R151" s="94">
        <v>526</v>
      </c>
      <c r="S151" s="94">
        <v>1140</v>
      </c>
      <c r="T151" s="97">
        <f t="shared" si="54"/>
        <v>45.818815331010455</v>
      </c>
      <c r="U151" s="97">
        <f t="shared" si="54"/>
        <v>99.303135888501743</v>
      </c>
      <c r="V151" s="98">
        <f t="shared" si="48"/>
        <v>0</v>
      </c>
      <c r="W151" s="98">
        <f t="shared" si="49"/>
        <v>-45.818815331010455</v>
      </c>
      <c r="X151" s="98">
        <f t="shared" si="50"/>
        <v>-45.818815331010455</v>
      </c>
      <c r="Z151" s="76" t="b">
        <f t="shared" si="55"/>
        <v>0</v>
      </c>
      <c r="AA151" s="76" t="b">
        <f t="shared" si="56"/>
        <v>0</v>
      </c>
      <c r="AB151" s="76" t="str">
        <f t="shared" si="57"/>
        <v>A</v>
      </c>
      <c r="AC151" s="76">
        <f t="shared" si="58"/>
        <v>1</v>
      </c>
      <c r="AD151" s="105">
        <f t="shared" si="59"/>
        <v>-91.637630662020911</v>
      </c>
    </row>
    <row r="152" spans="2:30" x14ac:dyDescent="0.2">
      <c r="B152" s="99" t="s">
        <v>380</v>
      </c>
      <c r="C152" s="99" t="s">
        <v>1210</v>
      </c>
      <c r="D152" s="91">
        <v>2011</v>
      </c>
      <c r="E152" s="100">
        <v>29.97</v>
      </c>
      <c r="F152" s="94">
        <v>4009</v>
      </c>
      <c r="G152" s="94">
        <f t="shared" si="51"/>
        <v>133.7671004337671</v>
      </c>
      <c r="H152" s="94"/>
      <c r="I152" s="100">
        <f t="shared" si="52"/>
        <v>0</v>
      </c>
      <c r="J152" s="94"/>
      <c r="K152" s="97">
        <f t="shared" si="53"/>
        <v>0</v>
      </c>
      <c r="L152" s="94"/>
      <c r="M152" s="94"/>
      <c r="N152" s="94"/>
      <c r="O152" s="97">
        <f t="shared" si="47"/>
        <v>0</v>
      </c>
      <c r="P152" s="97">
        <f t="shared" si="47"/>
        <v>0</v>
      </c>
      <c r="Q152" s="94">
        <v>751</v>
      </c>
      <c r="R152" s="94">
        <v>193</v>
      </c>
      <c r="S152" s="94">
        <v>220</v>
      </c>
      <c r="T152" s="97">
        <f t="shared" si="54"/>
        <v>25.699067909454058</v>
      </c>
      <c r="U152" s="97">
        <f t="shared" si="54"/>
        <v>29.294274300932088</v>
      </c>
      <c r="V152" s="98">
        <f t="shared" si="48"/>
        <v>0</v>
      </c>
      <c r="W152" s="98">
        <f t="shared" si="49"/>
        <v>-25.699067909454058</v>
      </c>
      <c r="X152" s="98">
        <f t="shared" si="50"/>
        <v>-25.699067909454058</v>
      </c>
      <c r="Z152" s="76" t="b">
        <f t="shared" si="55"/>
        <v>0</v>
      </c>
      <c r="AA152" s="76" t="b">
        <f t="shared" si="56"/>
        <v>0</v>
      </c>
      <c r="AB152" s="76" t="str">
        <f t="shared" si="57"/>
        <v>A</v>
      </c>
      <c r="AC152" s="76">
        <f t="shared" si="58"/>
        <v>1</v>
      </c>
      <c r="AD152" s="105">
        <f t="shared" si="59"/>
        <v>-51.398135818908116</v>
      </c>
    </row>
    <row r="153" spans="2:30" x14ac:dyDescent="0.2">
      <c r="B153" s="99" t="s">
        <v>380</v>
      </c>
      <c r="C153" s="99" t="s">
        <v>1211</v>
      </c>
      <c r="D153" s="91">
        <v>2012</v>
      </c>
      <c r="E153" s="100">
        <v>29.21</v>
      </c>
      <c r="F153" s="94">
        <v>3808</v>
      </c>
      <c r="G153" s="94">
        <f t="shared" si="51"/>
        <v>130.36631290653887</v>
      </c>
      <c r="H153" s="94"/>
      <c r="I153" s="100">
        <f t="shared" si="52"/>
        <v>0</v>
      </c>
      <c r="J153" s="94"/>
      <c r="K153" s="97">
        <f t="shared" si="53"/>
        <v>0</v>
      </c>
      <c r="L153" s="94">
        <v>125</v>
      </c>
      <c r="M153" s="94">
        <v>37</v>
      </c>
      <c r="N153" s="94">
        <v>65</v>
      </c>
      <c r="O153" s="97">
        <f t="shared" si="47"/>
        <v>29.599999999999998</v>
      </c>
      <c r="P153" s="97">
        <f t="shared" si="47"/>
        <v>52</v>
      </c>
      <c r="Q153" s="94">
        <v>688</v>
      </c>
      <c r="R153" s="94">
        <v>161</v>
      </c>
      <c r="S153" s="94">
        <v>191</v>
      </c>
      <c r="T153" s="97">
        <f t="shared" si="54"/>
        <v>23.401162790697676</v>
      </c>
      <c r="U153" s="97">
        <f t="shared" si="54"/>
        <v>27.761627906976745</v>
      </c>
      <c r="V153" s="98">
        <f t="shared" si="48"/>
        <v>-29.599999999999998</v>
      </c>
      <c r="W153" s="98">
        <f t="shared" si="49"/>
        <v>-23.401162790697676</v>
      </c>
      <c r="X153" s="98">
        <f t="shared" si="50"/>
        <v>6.1988372093023223</v>
      </c>
      <c r="Z153" s="76" t="b">
        <f t="shared" si="55"/>
        <v>0</v>
      </c>
      <c r="AA153" s="76" t="str">
        <f t="shared" si="56"/>
        <v>A</v>
      </c>
      <c r="AB153" s="76" t="str">
        <f t="shared" si="57"/>
        <v>A</v>
      </c>
      <c r="AC153" s="76">
        <f t="shared" si="58"/>
        <v>2</v>
      </c>
      <c r="AD153" s="105">
        <f t="shared" si="59"/>
        <v>-46.802325581395351</v>
      </c>
    </row>
    <row r="154" spans="2:30" x14ac:dyDescent="0.2">
      <c r="B154" s="99" t="s">
        <v>380</v>
      </c>
      <c r="C154" s="99" t="s">
        <v>1212</v>
      </c>
      <c r="D154" s="91">
        <v>2012</v>
      </c>
      <c r="E154" s="100">
        <v>30.45</v>
      </c>
      <c r="F154" s="94">
        <v>4156</v>
      </c>
      <c r="G154" s="94">
        <f t="shared" si="51"/>
        <v>136.48604269293924</v>
      </c>
      <c r="H154" s="94"/>
      <c r="I154" s="100">
        <f t="shared" si="52"/>
        <v>0</v>
      </c>
      <c r="J154" s="94"/>
      <c r="K154" s="97">
        <f t="shared" si="53"/>
        <v>0</v>
      </c>
      <c r="L154" s="94">
        <v>100</v>
      </c>
      <c r="M154" s="94">
        <v>31</v>
      </c>
      <c r="N154" s="94">
        <v>61</v>
      </c>
      <c r="O154" s="97">
        <f t="shared" si="47"/>
        <v>31</v>
      </c>
      <c r="P154" s="97">
        <f t="shared" si="47"/>
        <v>61</v>
      </c>
      <c r="Q154" s="94">
        <v>896</v>
      </c>
      <c r="R154" s="94">
        <v>164</v>
      </c>
      <c r="S154" s="94">
        <v>207</v>
      </c>
      <c r="T154" s="97">
        <f t="shared" si="54"/>
        <v>18.303571428571427</v>
      </c>
      <c r="U154" s="97">
        <f t="shared" si="54"/>
        <v>23.102678571428573</v>
      </c>
      <c r="V154" s="98">
        <f t="shared" si="48"/>
        <v>-31</v>
      </c>
      <c r="W154" s="98">
        <f t="shared" si="49"/>
        <v>-18.303571428571427</v>
      </c>
      <c r="X154" s="98">
        <f t="shared" si="50"/>
        <v>12.696428571428573</v>
      </c>
      <c r="Z154" s="76" t="b">
        <f t="shared" si="55"/>
        <v>0</v>
      </c>
      <c r="AA154" s="76" t="str">
        <f t="shared" si="56"/>
        <v>A</v>
      </c>
      <c r="AB154" s="76" t="str">
        <f t="shared" si="57"/>
        <v>A</v>
      </c>
      <c r="AC154" s="76">
        <f t="shared" si="58"/>
        <v>2</v>
      </c>
      <c r="AD154" s="105">
        <f t="shared" si="59"/>
        <v>-36.607142857142861</v>
      </c>
    </row>
    <row r="155" spans="2:30" x14ac:dyDescent="0.2">
      <c r="B155" s="99" t="s">
        <v>380</v>
      </c>
      <c r="C155" s="99" t="s">
        <v>1213</v>
      </c>
      <c r="D155" s="91">
        <v>2012</v>
      </c>
      <c r="E155" s="100">
        <v>25.35</v>
      </c>
      <c r="F155" s="94">
        <v>2866</v>
      </c>
      <c r="G155" s="94">
        <f t="shared" si="51"/>
        <v>113.05719921104536</v>
      </c>
      <c r="H155" s="94"/>
      <c r="I155" s="100">
        <f t="shared" si="52"/>
        <v>0</v>
      </c>
      <c r="J155" s="94"/>
      <c r="K155" s="97">
        <f t="shared" si="53"/>
        <v>0</v>
      </c>
      <c r="L155" s="94">
        <v>32</v>
      </c>
      <c r="M155" s="94">
        <v>7</v>
      </c>
      <c r="N155" s="94">
        <v>16</v>
      </c>
      <c r="O155" s="97">
        <f t="shared" si="47"/>
        <v>21.875</v>
      </c>
      <c r="P155" s="97">
        <f t="shared" si="47"/>
        <v>50</v>
      </c>
      <c r="Q155" s="94">
        <v>28</v>
      </c>
      <c r="R155" s="94">
        <v>3</v>
      </c>
      <c r="S155" s="94">
        <v>15</v>
      </c>
      <c r="T155" s="97">
        <f t="shared" si="54"/>
        <v>10.714285714285714</v>
      </c>
      <c r="U155" s="97">
        <f t="shared" si="54"/>
        <v>53.571428571428569</v>
      </c>
      <c r="V155" s="98">
        <f t="shared" si="48"/>
        <v>-21.875</v>
      </c>
      <c r="W155" s="98">
        <f t="shared" si="49"/>
        <v>-10.714285714285714</v>
      </c>
      <c r="X155" s="98">
        <f t="shared" si="50"/>
        <v>11.160714285714286</v>
      </c>
      <c r="Z155" s="76" t="b">
        <f t="shared" si="55"/>
        <v>0</v>
      </c>
      <c r="AA155" s="76" t="str">
        <f t="shared" si="56"/>
        <v>A</v>
      </c>
      <c r="AB155" s="76" t="str">
        <f t="shared" si="57"/>
        <v>A</v>
      </c>
      <c r="AC155" s="76">
        <f t="shared" si="58"/>
        <v>2</v>
      </c>
      <c r="AD155" s="105">
        <f t="shared" si="59"/>
        <v>-21.428571428571431</v>
      </c>
    </row>
    <row r="156" spans="2:30" x14ac:dyDescent="0.2">
      <c r="B156" s="99" t="s">
        <v>380</v>
      </c>
      <c r="C156" s="99" t="s">
        <v>1214</v>
      </c>
      <c r="D156" s="91">
        <v>2014</v>
      </c>
      <c r="E156" s="100">
        <v>16.59</v>
      </c>
      <c r="F156" s="94">
        <v>1692</v>
      </c>
      <c r="G156" s="94">
        <f t="shared" si="51"/>
        <v>101.98915009041592</v>
      </c>
      <c r="H156" s="94"/>
      <c r="I156" s="100">
        <f t="shared" si="52"/>
        <v>0</v>
      </c>
      <c r="J156" s="94"/>
      <c r="K156" s="97">
        <f t="shared" si="53"/>
        <v>0</v>
      </c>
      <c r="L156" s="94"/>
      <c r="M156" s="94"/>
      <c r="N156" s="94"/>
      <c r="O156" s="97">
        <f t="shared" si="47"/>
        <v>0</v>
      </c>
      <c r="P156" s="97">
        <f t="shared" si="47"/>
        <v>0</v>
      </c>
      <c r="Q156" s="94"/>
      <c r="R156" s="94"/>
      <c r="S156" s="94"/>
      <c r="T156" s="97">
        <f t="shared" si="54"/>
        <v>0</v>
      </c>
      <c r="U156" s="97">
        <f t="shared" si="54"/>
        <v>0</v>
      </c>
      <c r="V156" s="98">
        <f t="shared" si="48"/>
        <v>0</v>
      </c>
      <c r="W156" s="98">
        <f t="shared" si="49"/>
        <v>0</v>
      </c>
      <c r="X156" s="98">
        <f t="shared" si="50"/>
        <v>0</v>
      </c>
      <c r="Z156" s="76" t="b">
        <f t="shared" si="55"/>
        <v>0</v>
      </c>
      <c r="AA156" s="76" t="b">
        <f t="shared" si="56"/>
        <v>0</v>
      </c>
      <c r="AB156" s="76" t="b">
        <f t="shared" si="57"/>
        <v>0</v>
      </c>
      <c r="AC156" s="76">
        <f t="shared" si="58"/>
        <v>0</v>
      </c>
      <c r="AD156" s="105">
        <f t="shared" si="59"/>
        <v>0</v>
      </c>
    </row>
    <row r="157" spans="2:30" x14ac:dyDescent="0.2">
      <c r="B157" s="99" t="s">
        <v>380</v>
      </c>
      <c r="C157" s="99" t="s">
        <v>1215</v>
      </c>
      <c r="D157" s="91">
        <v>2014</v>
      </c>
      <c r="E157" s="100">
        <v>23</v>
      </c>
      <c r="F157" s="94">
        <v>2559</v>
      </c>
      <c r="G157" s="94">
        <f t="shared" si="51"/>
        <v>111.26086956521739</v>
      </c>
      <c r="H157" s="94"/>
      <c r="I157" s="100">
        <f t="shared" si="52"/>
        <v>0</v>
      </c>
      <c r="J157" s="94"/>
      <c r="K157" s="97">
        <f t="shared" si="53"/>
        <v>0</v>
      </c>
      <c r="L157" s="94"/>
      <c r="M157" s="94"/>
      <c r="N157" s="94"/>
      <c r="O157" s="97">
        <f t="shared" si="47"/>
        <v>0</v>
      </c>
      <c r="P157" s="97">
        <f t="shared" si="47"/>
        <v>0</v>
      </c>
      <c r="Q157" s="94"/>
      <c r="R157" s="94"/>
      <c r="S157" s="94"/>
      <c r="T157" s="97">
        <f t="shared" si="54"/>
        <v>0</v>
      </c>
      <c r="U157" s="97">
        <f t="shared" si="54"/>
        <v>0</v>
      </c>
      <c r="V157" s="98">
        <f t="shared" si="48"/>
        <v>0</v>
      </c>
      <c r="W157" s="98">
        <f t="shared" si="49"/>
        <v>0</v>
      </c>
      <c r="X157" s="98">
        <f t="shared" si="50"/>
        <v>0</v>
      </c>
      <c r="Z157" s="76" t="b">
        <f t="shared" si="55"/>
        <v>0</v>
      </c>
      <c r="AA157" s="76" t="b">
        <f t="shared" si="56"/>
        <v>0</v>
      </c>
      <c r="AB157" s="76" t="b">
        <f t="shared" si="57"/>
        <v>0</v>
      </c>
      <c r="AC157" s="76">
        <f t="shared" si="58"/>
        <v>0</v>
      </c>
      <c r="AD157" s="105">
        <f t="shared" si="59"/>
        <v>0</v>
      </c>
    </row>
    <row r="158" spans="2:30" x14ac:dyDescent="0.2">
      <c r="B158" s="99" t="s">
        <v>380</v>
      </c>
      <c r="C158" s="99" t="s">
        <v>1216</v>
      </c>
      <c r="D158" s="91">
        <v>2012</v>
      </c>
      <c r="E158" s="100">
        <v>29.14</v>
      </c>
      <c r="F158" s="94">
        <v>4278</v>
      </c>
      <c r="G158" s="94">
        <f t="shared" si="51"/>
        <v>146.80851063829786</v>
      </c>
      <c r="H158" s="94">
        <v>389</v>
      </c>
      <c r="I158" s="100">
        <f t="shared" si="52"/>
        <v>9.0930341280972424</v>
      </c>
      <c r="J158" s="94">
        <v>91</v>
      </c>
      <c r="K158" s="97">
        <f t="shared" si="53"/>
        <v>23.393316195372751</v>
      </c>
      <c r="L158" s="94">
        <v>137</v>
      </c>
      <c r="M158" s="94">
        <v>35</v>
      </c>
      <c r="N158" s="94">
        <v>66</v>
      </c>
      <c r="O158" s="97">
        <f t="shared" si="47"/>
        <v>25.547445255474454</v>
      </c>
      <c r="P158" s="97">
        <f t="shared" si="47"/>
        <v>48.175182481751825</v>
      </c>
      <c r="Q158" s="94"/>
      <c r="R158" s="94"/>
      <c r="S158" s="94"/>
      <c r="T158" s="97">
        <f t="shared" si="54"/>
        <v>0</v>
      </c>
      <c r="U158" s="97">
        <f t="shared" si="54"/>
        <v>0</v>
      </c>
      <c r="V158" s="98">
        <f t="shared" si="48"/>
        <v>-2.1541290601017025</v>
      </c>
      <c r="W158" s="98">
        <f t="shared" si="49"/>
        <v>23.393316195372751</v>
      </c>
      <c r="X158" s="98">
        <f t="shared" si="50"/>
        <v>25.547445255474454</v>
      </c>
      <c r="Z158" s="76" t="str">
        <f t="shared" si="55"/>
        <v>A</v>
      </c>
      <c r="AA158" s="76" t="str">
        <f t="shared" si="56"/>
        <v>A</v>
      </c>
      <c r="AB158" s="76" t="b">
        <f t="shared" si="57"/>
        <v>0</v>
      </c>
      <c r="AC158" s="76">
        <f t="shared" si="58"/>
        <v>2</v>
      </c>
      <c r="AD158" s="105">
        <f t="shared" si="59"/>
        <v>46.786632390745503</v>
      </c>
    </row>
    <row r="159" spans="2:30" x14ac:dyDescent="0.2">
      <c r="B159" s="99" t="s">
        <v>380</v>
      </c>
      <c r="C159" s="99" t="s">
        <v>1217</v>
      </c>
      <c r="D159" s="91">
        <v>2011</v>
      </c>
      <c r="E159" s="100">
        <v>31.11</v>
      </c>
      <c r="F159" s="94">
        <v>4510</v>
      </c>
      <c r="G159" s="94">
        <f t="shared" si="51"/>
        <v>144.96946319511412</v>
      </c>
      <c r="H159" s="94"/>
      <c r="I159" s="100">
        <f t="shared" si="52"/>
        <v>0</v>
      </c>
      <c r="J159" s="94"/>
      <c r="K159" s="97">
        <f t="shared" si="53"/>
        <v>0</v>
      </c>
      <c r="L159" s="94">
        <v>99</v>
      </c>
      <c r="M159" s="94">
        <v>32</v>
      </c>
      <c r="N159" s="94">
        <v>62</v>
      </c>
      <c r="O159" s="97">
        <f t="shared" si="47"/>
        <v>32.323232323232325</v>
      </c>
      <c r="P159" s="97">
        <f t="shared" si="47"/>
        <v>62.62626262626263</v>
      </c>
      <c r="Q159" s="94"/>
      <c r="R159" s="94"/>
      <c r="S159" s="94"/>
      <c r="T159" s="97">
        <f t="shared" si="54"/>
        <v>0</v>
      </c>
      <c r="U159" s="97">
        <f t="shared" si="54"/>
        <v>0</v>
      </c>
      <c r="V159" s="98">
        <f t="shared" si="48"/>
        <v>-32.323232323232325</v>
      </c>
      <c r="W159" s="98">
        <f t="shared" si="49"/>
        <v>0</v>
      </c>
      <c r="X159" s="98">
        <f t="shared" si="50"/>
        <v>32.323232323232325</v>
      </c>
      <c r="Z159" s="76" t="b">
        <f t="shared" si="55"/>
        <v>0</v>
      </c>
      <c r="AA159" s="76" t="str">
        <f t="shared" si="56"/>
        <v>A</v>
      </c>
      <c r="AB159" s="76" t="b">
        <f t="shared" si="57"/>
        <v>0</v>
      </c>
      <c r="AC159" s="76">
        <f t="shared" si="58"/>
        <v>1</v>
      </c>
      <c r="AD159" s="105">
        <f t="shared" si="59"/>
        <v>0</v>
      </c>
    </row>
    <row r="160" spans="2:30" x14ac:dyDescent="0.2">
      <c r="B160" s="99" t="s">
        <v>380</v>
      </c>
      <c r="C160" s="99" t="s">
        <v>1218</v>
      </c>
      <c r="D160" s="91">
        <v>2011</v>
      </c>
      <c r="E160" s="100">
        <v>30.66</v>
      </c>
      <c r="F160" s="94">
        <v>4017</v>
      </c>
      <c r="G160" s="94">
        <f t="shared" si="51"/>
        <v>131.01761252446184</v>
      </c>
      <c r="H160" s="94"/>
      <c r="I160" s="100">
        <f t="shared" si="52"/>
        <v>0</v>
      </c>
      <c r="J160" s="94"/>
      <c r="K160" s="97">
        <f t="shared" si="53"/>
        <v>0</v>
      </c>
      <c r="L160" s="94"/>
      <c r="M160" s="94"/>
      <c r="N160" s="94"/>
      <c r="O160" s="97">
        <f t="shared" si="47"/>
        <v>0</v>
      </c>
      <c r="P160" s="97">
        <f t="shared" si="47"/>
        <v>0</v>
      </c>
      <c r="Q160" s="94"/>
      <c r="R160" s="94"/>
      <c r="S160" s="94"/>
      <c r="T160" s="97">
        <f t="shared" si="54"/>
        <v>0</v>
      </c>
      <c r="U160" s="97">
        <f t="shared" si="54"/>
        <v>0</v>
      </c>
      <c r="V160" s="98">
        <f t="shared" si="48"/>
        <v>0</v>
      </c>
      <c r="W160" s="98">
        <f t="shared" si="49"/>
        <v>0</v>
      </c>
      <c r="X160" s="98">
        <f t="shared" si="50"/>
        <v>0</v>
      </c>
      <c r="Z160" s="76" t="b">
        <f t="shared" si="55"/>
        <v>0</v>
      </c>
      <c r="AA160" s="76" t="b">
        <f t="shared" si="56"/>
        <v>0</v>
      </c>
      <c r="AB160" s="76" t="b">
        <f t="shared" si="57"/>
        <v>0</v>
      </c>
      <c r="AC160" s="76">
        <f t="shared" si="58"/>
        <v>0</v>
      </c>
      <c r="AD160" s="105">
        <f t="shared" si="59"/>
        <v>0</v>
      </c>
    </row>
    <row r="161" spans="2:30" x14ac:dyDescent="0.2">
      <c r="B161" s="99" t="s">
        <v>380</v>
      </c>
      <c r="C161" s="99" t="s">
        <v>1219</v>
      </c>
      <c r="D161" s="91">
        <v>2011</v>
      </c>
      <c r="E161" s="100">
        <v>31.03</v>
      </c>
      <c r="F161" s="94">
        <v>4134</v>
      </c>
      <c r="G161" s="94">
        <f t="shared" si="51"/>
        <v>133.22591040928134</v>
      </c>
      <c r="H161" s="94"/>
      <c r="I161" s="100">
        <f t="shared" si="52"/>
        <v>0</v>
      </c>
      <c r="J161" s="94"/>
      <c r="K161" s="97">
        <f t="shared" si="53"/>
        <v>0</v>
      </c>
      <c r="L161" s="94"/>
      <c r="M161" s="94"/>
      <c r="N161" s="94"/>
      <c r="O161" s="97">
        <f t="shared" si="47"/>
        <v>0</v>
      </c>
      <c r="P161" s="97">
        <f t="shared" si="47"/>
        <v>0</v>
      </c>
      <c r="Q161" s="94"/>
      <c r="R161" s="94"/>
      <c r="S161" s="94"/>
      <c r="T161" s="97">
        <f t="shared" si="54"/>
        <v>0</v>
      </c>
      <c r="U161" s="97">
        <f t="shared" si="54"/>
        <v>0</v>
      </c>
      <c r="V161" s="98">
        <f t="shared" si="48"/>
        <v>0</v>
      </c>
      <c r="W161" s="98">
        <f t="shared" si="49"/>
        <v>0</v>
      </c>
      <c r="X161" s="98">
        <f t="shared" si="50"/>
        <v>0</v>
      </c>
      <c r="Z161" s="76" t="b">
        <f t="shared" si="55"/>
        <v>0</v>
      </c>
      <c r="AA161" s="76" t="b">
        <f t="shared" si="56"/>
        <v>0</v>
      </c>
      <c r="AB161" s="76" t="b">
        <f t="shared" si="57"/>
        <v>0</v>
      </c>
      <c r="AC161" s="76">
        <f t="shared" si="58"/>
        <v>0</v>
      </c>
      <c r="AD161" s="105">
        <f t="shared" si="59"/>
        <v>0</v>
      </c>
    </row>
    <row r="162" spans="2:30" x14ac:dyDescent="0.2">
      <c r="B162" s="99" t="s">
        <v>380</v>
      </c>
      <c r="C162" s="99" t="s">
        <v>1220</v>
      </c>
      <c r="D162" s="91">
        <v>2011</v>
      </c>
      <c r="E162" s="100">
        <v>27.62</v>
      </c>
      <c r="F162" s="94">
        <v>3602</v>
      </c>
      <c r="G162" s="94">
        <f t="shared" si="51"/>
        <v>130.41274438812454</v>
      </c>
      <c r="H162" s="94"/>
      <c r="I162" s="100">
        <f t="shared" si="52"/>
        <v>0</v>
      </c>
      <c r="J162" s="94"/>
      <c r="K162" s="97">
        <f t="shared" si="53"/>
        <v>0</v>
      </c>
      <c r="L162" s="94"/>
      <c r="M162" s="94"/>
      <c r="N162" s="94"/>
      <c r="O162" s="97">
        <f t="shared" si="47"/>
        <v>0</v>
      </c>
      <c r="P162" s="97">
        <f t="shared" si="47"/>
        <v>0</v>
      </c>
      <c r="Q162" s="94"/>
      <c r="R162" s="94"/>
      <c r="S162" s="94"/>
      <c r="T162" s="97">
        <f t="shared" si="54"/>
        <v>0</v>
      </c>
      <c r="U162" s="97">
        <f t="shared" si="54"/>
        <v>0</v>
      </c>
      <c r="V162" s="98">
        <f t="shared" si="48"/>
        <v>0</v>
      </c>
      <c r="W162" s="98">
        <f t="shared" si="49"/>
        <v>0</v>
      </c>
      <c r="X162" s="98">
        <f t="shared" si="50"/>
        <v>0</v>
      </c>
      <c r="Z162" s="76" t="b">
        <f t="shared" si="55"/>
        <v>0</v>
      </c>
      <c r="AA162" s="76" t="b">
        <f t="shared" si="56"/>
        <v>0</v>
      </c>
      <c r="AB162" s="76" t="b">
        <f t="shared" si="57"/>
        <v>0</v>
      </c>
      <c r="AC162" s="76">
        <f t="shared" si="58"/>
        <v>0</v>
      </c>
      <c r="AD162" s="105">
        <f t="shared" si="59"/>
        <v>0</v>
      </c>
    </row>
    <row r="163" spans="2:30" x14ac:dyDescent="0.2">
      <c r="B163" s="99" t="s">
        <v>380</v>
      </c>
      <c r="C163" s="99" t="s">
        <v>1221</v>
      </c>
      <c r="D163" s="91">
        <v>2012</v>
      </c>
      <c r="E163" s="100">
        <v>26.77</v>
      </c>
      <c r="F163" s="94">
        <v>3731</v>
      </c>
      <c r="G163" s="94">
        <f t="shared" si="51"/>
        <v>139.37243182667166</v>
      </c>
      <c r="H163" s="94"/>
      <c r="I163" s="100">
        <f t="shared" si="52"/>
        <v>0</v>
      </c>
      <c r="J163" s="94"/>
      <c r="K163" s="97">
        <f t="shared" si="53"/>
        <v>0</v>
      </c>
      <c r="L163" s="94"/>
      <c r="M163" s="94"/>
      <c r="N163" s="94"/>
      <c r="O163" s="97">
        <f t="shared" si="47"/>
        <v>0</v>
      </c>
      <c r="P163" s="97">
        <f t="shared" si="47"/>
        <v>0</v>
      </c>
      <c r="Q163" s="94"/>
      <c r="R163" s="94"/>
      <c r="S163" s="94"/>
      <c r="T163" s="97">
        <f t="shared" si="54"/>
        <v>0</v>
      </c>
      <c r="U163" s="97">
        <f t="shared" si="54"/>
        <v>0</v>
      </c>
      <c r="V163" s="98">
        <f t="shared" si="48"/>
        <v>0</v>
      </c>
      <c r="W163" s="98">
        <f t="shared" si="49"/>
        <v>0</v>
      </c>
      <c r="X163" s="98">
        <f t="shared" si="50"/>
        <v>0</v>
      </c>
      <c r="Z163" s="76" t="b">
        <f t="shared" si="55"/>
        <v>0</v>
      </c>
      <c r="AA163" s="76" t="b">
        <f t="shared" si="56"/>
        <v>0</v>
      </c>
      <c r="AB163" s="76" t="b">
        <f t="shared" si="57"/>
        <v>0</v>
      </c>
      <c r="AC163" s="76">
        <f t="shared" si="58"/>
        <v>0</v>
      </c>
      <c r="AD163" s="105">
        <f t="shared" si="59"/>
        <v>0</v>
      </c>
    </row>
    <row r="164" spans="2:30" x14ac:dyDescent="0.2">
      <c r="B164" s="99" t="s">
        <v>380</v>
      </c>
      <c r="C164" s="99" t="s">
        <v>1222</v>
      </c>
      <c r="D164" s="91">
        <v>2016</v>
      </c>
      <c r="E164" s="100">
        <v>36.31</v>
      </c>
      <c r="F164" s="94">
        <v>5204</v>
      </c>
      <c r="G164" s="94">
        <f t="shared" si="51"/>
        <v>143.32139906361883</v>
      </c>
      <c r="H164" s="94"/>
      <c r="I164" s="100">
        <f t="shared" si="52"/>
        <v>0</v>
      </c>
      <c r="J164" s="94"/>
      <c r="K164" s="97">
        <f t="shared" si="53"/>
        <v>0</v>
      </c>
      <c r="L164" s="94"/>
      <c r="M164" s="94"/>
      <c r="N164" s="94"/>
      <c r="O164" s="97">
        <f t="shared" si="47"/>
        <v>0</v>
      </c>
      <c r="P164" s="97">
        <f t="shared" si="47"/>
        <v>0</v>
      </c>
      <c r="Q164" s="94"/>
      <c r="R164" s="94"/>
      <c r="S164" s="94"/>
      <c r="T164" s="97">
        <f t="shared" si="54"/>
        <v>0</v>
      </c>
      <c r="U164" s="97">
        <f t="shared" si="54"/>
        <v>0</v>
      </c>
      <c r="V164" s="98">
        <f t="shared" si="48"/>
        <v>0</v>
      </c>
      <c r="W164" s="98">
        <f t="shared" si="49"/>
        <v>0</v>
      </c>
      <c r="X164" s="98">
        <f t="shared" si="50"/>
        <v>0</v>
      </c>
      <c r="Z164" s="76" t="b">
        <f t="shared" si="55"/>
        <v>0</v>
      </c>
      <c r="AA164" s="76" t="b">
        <f t="shared" si="56"/>
        <v>0</v>
      </c>
      <c r="AB164" s="76" t="b">
        <f t="shared" si="57"/>
        <v>0</v>
      </c>
      <c r="AC164" s="76">
        <f t="shared" si="58"/>
        <v>0</v>
      </c>
      <c r="AD164" s="105">
        <f t="shared" si="59"/>
        <v>0</v>
      </c>
    </row>
    <row r="165" spans="2:30" x14ac:dyDescent="0.2">
      <c r="B165" s="99" t="s">
        <v>380</v>
      </c>
      <c r="C165" s="99" t="s">
        <v>1223</v>
      </c>
      <c r="D165" s="91">
        <v>2016</v>
      </c>
      <c r="E165" s="100">
        <v>22.3</v>
      </c>
      <c r="F165" s="94">
        <v>3119</v>
      </c>
      <c r="G165" s="94">
        <f t="shared" si="51"/>
        <v>139.86547085201792</v>
      </c>
      <c r="H165" s="94"/>
      <c r="I165" s="100">
        <f t="shared" si="52"/>
        <v>0</v>
      </c>
      <c r="J165" s="94"/>
      <c r="K165" s="97">
        <f t="shared" si="53"/>
        <v>0</v>
      </c>
      <c r="L165" s="94"/>
      <c r="M165" s="94"/>
      <c r="N165" s="94"/>
      <c r="O165" s="97">
        <f t="shared" si="47"/>
        <v>0</v>
      </c>
      <c r="P165" s="97">
        <f t="shared" si="47"/>
        <v>0</v>
      </c>
      <c r="Q165" s="94"/>
      <c r="R165" s="94"/>
      <c r="S165" s="94"/>
      <c r="T165" s="97">
        <f t="shared" si="54"/>
        <v>0</v>
      </c>
      <c r="U165" s="97">
        <f t="shared" si="54"/>
        <v>0</v>
      </c>
      <c r="V165" s="98">
        <f t="shared" si="48"/>
        <v>0</v>
      </c>
      <c r="W165" s="98">
        <f t="shared" si="49"/>
        <v>0</v>
      </c>
      <c r="X165" s="98">
        <f t="shared" si="50"/>
        <v>0</v>
      </c>
      <c r="Z165" s="76" t="b">
        <f t="shared" si="55"/>
        <v>0</v>
      </c>
      <c r="AA165" s="76" t="b">
        <f t="shared" si="56"/>
        <v>0</v>
      </c>
      <c r="AB165" s="76" t="b">
        <f t="shared" si="57"/>
        <v>0</v>
      </c>
      <c r="AC165" s="76">
        <f t="shared" si="58"/>
        <v>0</v>
      </c>
      <c r="AD165" s="105">
        <f t="shared" si="59"/>
        <v>0</v>
      </c>
    </row>
    <row r="166" spans="2:30" x14ac:dyDescent="0.2">
      <c r="B166" s="99" t="s">
        <v>380</v>
      </c>
      <c r="C166" s="99" t="s">
        <v>1224</v>
      </c>
      <c r="D166" s="91">
        <v>2015</v>
      </c>
      <c r="E166" s="100">
        <v>25.53</v>
      </c>
      <c r="F166" s="94">
        <v>3344</v>
      </c>
      <c r="G166" s="94">
        <f t="shared" si="51"/>
        <v>130.98315707011358</v>
      </c>
      <c r="H166" s="94"/>
      <c r="I166" s="100">
        <f t="shared" si="52"/>
        <v>0</v>
      </c>
      <c r="J166" s="94"/>
      <c r="K166" s="97">
        <f t="shared" si="53"/>
        <v>0</v>
      </c>
      <c r="L166" s="94"/>
      <c r="M166" s="94"/>
      <c r="N166" s="94"/>
      <c r="O166" s="97">
        <f t="shared" si="47"/>
        <v>0</v>
      </c>
      <c r="P166" s="97">
        <f t="shared" si="47"/>
        <v>0</v>
      </c>
      <c r="Q166" s="94"/>
      <c r="R166" s="94"/>
      <c r="S166" s="94"/>
      <c r="T166" s="97">
        <f t="shared" si="54"/>
        <v>0</v>
      </c>
      <c r="U166" s="97">
        <f t="shared" si="54"/>
        <v>0</v>
      </c>
      <c r="V166" s="98">
        <f t="shared" si="48"/>
        <v>0</v>
      </c>
      <c r="W166" s="98">
        <f t="shared" si="49"/>
        <v>0</v>
      </c>
      <c r="X166" s="98">
        <f t="shared" si="50"/>
        <v>0</v>
      </c>
      <c r="Z166" s="76" t="b">
        <f t="shared" si="55"/>
        <v>0</v>
      </c>
      <c r="AA166" s="76" t="b">
        <f t="shared" si="56"/>
        <v>0</v>
      </c>
      <c r="AB166" s="76" t="b">
        <f t="shared" si="57"/>
        <v>0</v>
      </c>
      <c r="AC166" s="76">
        <f t="shared" si="58"/>
        <v>0</v>
      </c>
      <c r="AD166" s="105">
        <f t="shared" si="59"/>
        <v>0</v>
      </c>
    </row>
    <row r="167" spans="2:30" x14ac:dyDescent="0.2">
      <c r="B167" s="99" t="s">
        <v>380</v>
      </c>
      <c r="C167" s="99" t="s">
        <v>1225</v>
      </c>
      <c r="D167" s="91">
        <v>2016</v>
      </c>
      <c r="E167" s="100">
        <v>28.66</v>
      </c>
      <c r="F167" s="94">
        <v>3428</v>
      </c>
      <c r="G167" s="94">
        <f t="shared" si="51"/>
        <v>119.60921144452197</v>
      </c>
      <c r="H167" s="94">
        <v>294</v>
      </c>
      <c r="I167" s="100">
        <f t="shared" si="52"/>
        <v>8.5764294049008161</v>
      </c>
      <c r="J167" s="94">
        <v>87</v>
      </c>
      <c r="K167" s="97">
        <f t="shared" si="53"/>
        <v>29.591836734693878</v>
      </c>
      <c r="L167" s="94"/>
      <c r="M167" s="94"/>
      <c r="N167" s="94"/>
      <c r="O167" s="97">
        <f t="shared" ref="O167:P199" si="60">IFERROR(M167/$L167*100,0)</f>
        <v>0</v>
      </c>
      <c r="P167" s="97">
        <f t="shared" si="60"/>
        <v>0</v>
      </c>
      <c r="Q167" s="94"/>
      <c r="R167" s="94"/>
      <c r="S167" s="94"/>
      <c r="T167" s="97">
        <f t="shared" si="54"/>
        <v>0</v>
      </c>
      <c r="U167" s="97">
        <f t="shared" si="54"/>
        <v>0</v>
      </c>
      <c r="V167" s="98">
        <f t="shared" si="48"/>
        <v>29.591836734693878</v>
      </c>
      <c r="W167" s="98">
        <f t="shared" si="49"/>
        <v>29.591836734693878</v>
      </c>
      <c r="X167" s="98">
        <f t="shared" si="50"/>
        <v>0</v>
      </c>
      <c r="Z167" s="76" t="str">
        <f t="shared" si="55"/>
        <v>A</v>
      </c>
      <c r="AA167" s="76" t="b">
        <f t="shared" si="56"/>
        <v>0</v>
      </c>
      <c r="AB167" s="76" t="b">
        <f t="shared" si="57"/>
        <v>0</v>
      </c>
      <c r="AC167" s="76">
        <f t="shared" si="58"/>
        <v>1</v>
      </c>
      <c r="AD167" s="105">
        <f t="shared" si="59"/>
        <v>59.183673469387756</v>
      </c>
    </row>
    <row r="168" spans="2:30" x14ac:dyDescent="0.2">
      <c r="B168" s="99" t="s">
        <v>380</v>
      </c>
      <c r="C168" s="99" t="s">
        <v>1226</v>
      </c>
      <c r="D168" s="91">
        <v>2012</v>
      </c>
      <c r="E168" s="100">
        <v>27.58</v>
      </c>
      <c r="F168" s="94">
        <v>3503</v>
      </c>
      <c r="G168" s="94">
        <f t="shared" si="51"/>
        <v>127.01232777374911</v>
      </c>
      <c r="H168" s="94">
        <v>293</v>
      </c>
      <c r="I168" s="100">
        <f t="shared" si="52"/>
        <v>8.364259206394518</v>
      </c>
      <c r="J168" s="94">
        <v>103</v>
      </c>
      <c r="K168" s="97">
        <f t="shared" si="53"/>
        <v>35.153583617747444</v>
      </c>
      <c r="L168" s="94"/>
      <c r="M168" s="94"/>
      <c r="N168" s="94"/>
      <c r="O168" s="97">
        <f t="shared" si="60"/>
        <v>0</v>
      </c>
      <c r="P168" s="97">
        <f t="shared" si="60"/>
        <v>0</v>
      </c>
      <c r="Q168" s="94"/>
      <c r="R168" s="94"/>
      <c r="S168" s="94"/>
      <c r="T168" s="97">
        <f t="shared" si="54"/>
        <v>0</v>
      </c>
      <c r="U168" s="97">
        <f t="shared" si="54"/>
        <v>0</v>
      </c>
      <c r="V168" s="98">
        <f t="shared" si="48"/>
        <v>35.153583617747444</v>
      </c>
      <c r="W168" s="98">
        <f t="shared" si="49"/>
        <v>35.153583617747444</v>
      </c>
      <c r="X168" s="98">
        <f t="shared" si="50"/>
        <v>0</v>
      </c>
      <c r="Z168" s="76" t="str">
        <f t="shared" si="55"/>
        <v>A</v>
      </c>
      <c r="AA168" s="76" t="b">
        <f t="shared" si="56"/>
        <v>0</v>
      </c>
      <c r="AB168" s="76" t="b">
        <f t="shared" si="57"/>
        <v>0</v>
      </c>
      <c r="AC168" s="76">
        <f t="shared" si="58"/>
        <v>1</v>
      </c>
      <c r="AD168" s="105">
        <f t="shared" si="59"/>
        <v>70.307167235494887</v>
      </c>
    </row>
    <row r="169" spans="2:30" x14ac:dyDescent="0.2">
      <c r="B169" s="99" t="s">
        <v>416</v>
      </c>
      <c r="C169" s="99" t="s">
        <v>1227</v>
      </c>
      <c r="D169" s="94">
        <v>0</v>
      </c>
      <c r="E169" s="100">
        <v>0</v>
      </c>
      <c r="F169" s="94">
        <v>0</v>
      </c>
      <c r="G169" s="94">
        <f t="shared" si="51"/>
        <v>0</v>
      </c>
      <c r="H169" s="94"/>
      <c r="I169" s="100">
        <f t="shared" si="52"/>
        <v>0</v>
      </c>
      <c r="J169" s="94"/>
      <c r="K169" s="97">
        <f t="shared" si="53"/>
        <v>0</v>
      </c>
      <c r="L169" s="94"/>
      <c r="M169" s="94"/>
      <c r="N169" s="94"/>
      <c r="O169" s="97">
        <f t="shared" si="60"/>
        <v>0</v>
      </c>
      <c r="P169" s="97">
        <f t="shared" si="60"/>
        <v>0</v>
      </c>
      <c r="Q169" s="94"/>
      <c r="R169" s="94"/>
      <c r="S169" s="94"/>
      <c r="T169" s="97">
        <f t="shared" si="54"/>
        <v>0</v>
      </c>
      <c r="U169" s="97">
        <f t="shared" si="54"/>
        <v>0</v>
      </c>
      <c r="V169" s="98">
        <f t="shared" si="48"/>
        <v>0</v>
      </c>
      <c r="W169" s="98">
        <f t="shared" si="49"/>
        <v>0</v>
      </c>
      <c r="X169" s="98">
        <f t="shared" si="50"/>
        <v>0</v>
      </c>
      <c r="Z169" s="76" t="b">
        <f t="shared" si="55"/>
        <v>0</v>
      </c>
      <c r="AA169" s="76" t="b">
        <f t="shared" si="56"/>
        <v>0</v>
      </c>
      <c r="AB169" s="76" t="b">
        <f t="shared" si="57"/>
        <v>0</v>
      </c>
      <c r="AC169" s="76">
        <f t="shared" si="58"/>
        <v>0</v>
      </c>
      <c r="AD169" s="105">
        <f t="shared" si="59"/>
        <v>0</v>
      </c>
    </row>
    <row r="170" spans="2:30" x14ac:dyDescent="0.2">
      <c r="B170" s="99" t="s">
        <v>416</v>
      </c>
      <c r="C170" s="99" t="s">
        <v>1228</v>
      </c>
      <c r="D170" s="91">
        <v>2017</v>
      </c>
      <c r="E170" s="100">
        <v>39.21</v>
      </c>
      <c r="F170" s="94">
        <v>5154</v>
      </c>
      <c r="G170" s="94">
        <f t="shared" si="51"/>
        <v>131.4460596786534</v>
      </c>
      <c r="H170" s="94"/>
      <c r="I170" s="100">
        <f t="shared" si="52"/>
        <v>0</v>
      </c>
      <c r="J170" s="94"/>
      <c r="K170" s="97">
        <f t="shared" si="53"/>
        <v>0</v>
      </c>
      <c r="L170" s="94"/>
      <c r="M170" s="94"/>
      <c r="N170" s="94"/>
      <c r="O170" s="97">
        <f t="shared" si="60"/>
        <v>0</v>
      </c>
      <c r="P170" s="97">
        <f t="shared" si="60"/>
        <v>0</v>
      </c>
      <c r="Q170" s="94"/>
      <c r="R170" s="94"/>
      <c r="S170" s="94"/>
      <c r="T170" s="97">
        <f t="shared" si="54"/>
        <v>0</v>
      </c>
      <c r="U170" s="97">
        <f t="shared" si="54"/>
        <v>0</v>
      </c>
      <c r="V170" s="98">
        <f t="shared" si="48"/>
        <v>0</v>
      </c>
      <c r="W170" s="98">
        <f t="shared" si="49"/>
        <v>0</v>
      </c>
      <c r="X170" s="98">
        <f t="shared" si="50"/>
        <v>0</v>
      </c>
      <c r="Z170" s="76" t="b">
        <f t="shared" si="55"/>
        <v>0</v>
      </c>
      <c r="AA170" s="76" t="b">
        <f t="shared" si="56"/>
        <v>0</v>
      </c>
      <c r="AB170" s="76" t="b">
        <f t="shared" si="57"/>
        <v>0</v>
      </c>
      <c r="AC170" s="76">
        <f t="shared" si="58"/>
        <v>0</v>
      </c>
      <c r="AD170" s="105">
        <f t="shared" si="59"/>
        <v>0</v>
      </c>
    </row>
    <row r="171" spans="2:30" x14ac:dyDescent="0.2">
      <c r="B171" s="99" t="s">
        <v>416</v>
      </c>
      <c r="C171" s="99" t="s">
        <v>1229</v>
      </c>
      <c r="D171" s="91">
        <v>2013</v>
      </c>
      <c r="E171" s="100">
        <v>23.27</v>
      </c>
      <c r="F171" s="94">
        <v>2657</v>
      </c>
      <c r="G171" s="94">
        <f t="shared" si="51"/>
        <v>114.18134937688011</v>
      </c>
      <c r="H171" s="94"/>
      <c r="I171" s="100">
        <f t="shared" si="52"/>
        <v>0</v>
      </c>
      <c r="J171" s="94"/>
      <c r="K171" s="97">
        <f t="shared" si="53"/>
        <v>0</v>
      </c>
      <c r="L171" s="94"/>
      <c r="M171" s="94"/>
      <c r="N171" s="94"/>
      <c r="O171" s="97">
        <f t="shared" si="60"/>
        <v>0</v>
      </c>
      <c r="P171" s="97">
        <f t="shared" si="60"/>
        <v>0</v>
      </c>
      <c r="Q171" s="94"/>
      <c r="R171" s="94"/>
      <c r="S171" s="94"/>
      <c r="T171" s="97">
        <f t="shared" si="54"/>
        <v>0</v>
      </c>
      <c r="U171" s="97">
        <f t="shared" si="54"/>
        <v>0</v>
      </c>
      <c r="V171" s="98">
        <f t="shared" si="48"/>
        <v>0</v>
      </c>
      <c r="W171" s="98">
        <f t="shared" si="49"/>
        <v>0</v>
      </c>
      <c r="X171" s="98">
        <f t="shared" si="50"/>
        <v>0</v>
      </c>
      <c r="Z171" s="76" t="b">
        <f t="shared" si="55"/>
        <v>0</v>
      </c>
      <c r="AA171" s="76" t="b">
        <f t="shared" si="56"/>
        <v>0</v>
      </c>
      <c r="AB171" s="76" t="b">
        <f t="shared" si="57"/>
        <v>0</v>
      </c>
      <c r="AC171" s="76">
        <f t="shared" si="58"/>
        <v>0</v>
      </c>
      <c r="AD171" s="105">
        <f t="shared" si="59"/>
        <v>0</v>
      </c>
    </row>
    <row r="172" spans="2:30" x14ac:dyDescent="0.2">
      <c r="B172" s="99" t="s">
        <v>416</v>
      </c>
      <c r="C172" s="99" t="s">
        <v>1230</v>
      </c>
      <c r="D172" s="91">
        <v>2015</v>
      </c>
      <c r="E172" s="100">
        <v>26.23</v>
      </c>
      <c r="F172" s="94">
        <v>3410</v>
      </c>
      <c r="G172" s="94">
        <f t="shared" si="51"/>
        <v>130.00381242851697</v>
      </c>
      <c r="H172" s="94"/>
      <c r="I172" s="100">
        <f t="shared" si="52"/>
        <v>0</v>
      </c>
      <c r="J172" s="94"/>
      <c r="K172" s="97">
        <f t="shared" si="53"/>
        <v>0</v>
      </c>
      <c r="L172" s="94"/>
      <c r="M172" s="94"/>
      <c r="N172" s="94"/>
      <c r="O172" s="97">
        <f t="shared" si="60"/>
        <v>0</v>
      </c>
      <c r="P172" s="97">
        <f t="shared" si="60"/>
        <v>0</v>
      </c>
      <c r="Q172" s="94"/>
      <c r="R172" s="94"/>
      <c r="S172" s="94"/>
      <c r="T172" s="97">
        <f t="shared" si="54"/>
        <v>0</v>
      </c>
      <c r="U172" s="97">
        <f t="shared" si="54"/>
        <v>0</v>
      </c>
      <c r="V172" s="98">
        <f t="shared" si="48"/>
        <v>0</v>
      </c>
      <c r="W172" s="98">
        <f t="shared" si="49"/>
        <v>0</v>
      </c>
      <c r="X172" s="98">
        <f t="shared" si="50"/>
        <v>0</v>
      </c>
      <c r="Z172" s="76" t="b">
        <f t="shared" si="55"/>
        <v>0</v>
      </c>
      <c r="AA172" s="76" t="b">
        <f t="shared" si="56"/>
        <v>0</v>
      </c>
      <c r="AB172" s="76" t="b">
        <f t="shared" si="57"/>
        <v>0</v>
      </c>
      <c r="AC172" s="76">
        <f t="shared" si="58"/>
        <v>0</v>
      </c>
      <c r="AD172" s="105">
        <f t="shared" si="59"/>
        <v>0</v>
      </c>
    </row>
    <row r="173" spans="2:30" x14ac:dyDescent="0.2">
      <c r="B173" s="99" t="s">
        <v>416</v>
      </c>
      <c r="C173" s="99" t="s">
        <v>1231</v>
      </c>
      <c r="D173" s="91">
        <v>2017</v>
      </c>
      <c r="E173" s="100">
        <v>18.66</v>
      </c>
      <c r="F173" s="94">
        <v>2374</v>
      </c>
      <c r="G173" s="94">
        <f t="shared" si="51"/>
        <v>127.2240085744909</v>
      </c>
      <c r="H173" s="94"/>
      <c r="I173" s="100">
        <f t="shared" si="52"/>
        <v>0</v>
      </c>
      <c r="J173" s="94"/>
      <c r="K173" s="97">
        <f t="shared" si="53"/>
        <v>0</v>
      </c>
      <c r="L173" s="94"/>
      <c r="M173" s="94"/>
      <c r="N173" s="94"/>
      <c r="O173" s="97">
        <f t="shared" si="60"/>
        <v>0</v>
      </c>
      <c r="P173" s="97">
        <f t="shared" si="60"/>
        <v>0</v>
      </c>
      <c r="Q173" s="94"/>
      <c r="R173" s="94"/>
      <c r="S173" s="94"/>
      <c r="T173" s="97">
        <f t="shared" si="54"/>
        <v>0</v>
      </c>
      <c r="U173" s="97">
        <f t="shared" si="54"/>
        <v>0</v>
      </c>
      <c r="V173" s="98">
        <f t="shared" si="48"/>
        <v>0</v>
      </c>
      <c r="W173" s="98">
        <f t="shared" si="49"/>
        <v>0</v>
      </c>
      <c r="X173" s="98">
        <f t="shared" si="50"/>
        <v>0</v>
      </c>
      <c r="Z173" s="76" t="b">
        <f t="shared" si="55"/>
        <v>0</v>
      </c>
      <c r="AA173" s="76" t="b">
        <f t="shared" si="56"/>
        <v>0</v>
      </c>
      <c r="AB173" s="76" t="b">
        <f t="shared" si="57"/>
        <v>0</v>
      </c>
      <c r="AC173" s="76">
        <f t="shared" si="58"/>
        <v>0</v>
      </c>
      <c r="AD173" s="105">
        <f t="shared" si="59"/>
        <v>0</v>
      </c>
    </row>
    <row r="174" spans="2:30" x14ac:dyDescent="0.2">
      <c r="B174" s="99" t="s">
        <v>416</v>
      </c>
      <c r="C174" s="99" t="s">
        <v>1232</v>
      </c>
      <c r="D174" s="91">
        <v>2015</v>
      </c>
      <c r="E174" s="100">
        <v>26.67</v>
      </c>
      <c r="F174" s="94">
        <v>3617</v>
      </c>
      <c r="G174" s="94">
        <f t="shared" si="51"/>
        <v>135.62054743157105</v>
      </c>
      <c r="H174" s="94"/>
      <c r="I174" s="100">
        <f t="shared" si="52"/>
        <v>0</v>
      </c>
      <c r="J174" s="94"/>
      <c r="K174" s="97">
        <f t="shared" si="53"/>
        <v>0</v>
      </c>
      <c r="L174" s="94"/>
      <c r="M174" s="94"/>
      <c r="N174" s="94"/>
      <c r="O174" s="97">
        <f t="shared" si="60"/>
        <v>0</v>
      </c>
      <c r="P174" s="97">
        <f t="shared" si="60"/>
        <v>0</v>
      </c>
      <c r="Q174" s="94"/>
      <c r="R174" s="94"/>
      <c r="S174" s="94"/>
      <c r="T174" s="97">
        <f t="shared" si="54"/>
        <v>0</v>
      </c>
      <c r="U174" s="97">
        <f t="shared" si="54"/>
        <v>0</v>
      </c>
      <c r="V174" s="98">
        <f t="shared" si="48"/>
        <v>0</v>
      </c>
      <c r="W174" s="98">
        <f t="shared" si="49"/>
        <v>0</v>
      </c>
      <c r="X174" s="98">
        <f t="shared" si="50"/>
        <v>0</v>
      </c>
      <c r="Z174" s="76" t="b">
        <f t="shared" si="55"/>
        <v>0</v>
      </c>
      <c r="AA174" s="76" t="b">
        <f t="shared" si="56"/>
        <v>0</v>
      </c>
      <c r="AB174" s="76" t="b">
        <f t="shared" si="57"/>
        <v>0</v>
      </c>
      <c r="AC174" s="76">
        <f t="shared" si="58"/>
        <v>0</v>
      </c>
      <c r="AD174" s="105">
        <f t="shared" si="59"/>
        <v>0</v>
      </c>
    </row>
    <row r="175" spans="2:30" x14ac:dyDescent="0.2">
      <c r="B175" s="99" t="s">
        <v>416</v>
      </c>
      <c r="C175" s="99" t="s">
        <v>1233</v>
      </c>
      <c r="D175" s="91">
        <v>2016</v>
      </c>
      <c r="E175" s="100">
        <v>28</v>
      </c>
      <c r="F175" s="94">
        <v>3917</v>
      </c>
      <c r="G175" s="94">
        <f t="shared" si="51"/>
        <v>139.89285714285714</v>
      </c>
      <c r="H175" s="94"/>
      <c r="I175" s="100">
        <f t="shared" si="52"/>
        <v>0</v>
      </c>
      <c r="J175" s="94"/>
      <c r="K175" s="97">
        <f t="shared" si="53"/>
        <v>0</v>
      </c>
      <c r="L175" s="94">
        <v>126</v>
      </c>
      <c r="M175" s="94">
        <v>9</v>
      </c>
      <c r="N175" s="94">
        <v>3</v>
      </c>
      <c r="O175" s="97">
        <f t="shared" si="60"/>
        <v>7.1428571428571423</v>
      </c>
      <c r="P175" s="97">
        <f t="shared" si="60"/>
        <v>2.3809523809523809</v>
      </c>
      <c r="Q175" s="94"/>
      <c r="R175" s="94"/>
      <c r="S175" s="94"/>
      <c r="T175" s="97">
        <f t="shared" si="54"/>
        <v>0</v>
      </c>
      <c r="U175" s="97">
        <f t="shared" si="54"/>
        <v>0</v>
      </c>
      <c r="V175" s="98">
        <f t="shared" si="48"/>
        <v>-7.1428571428571423</v>
      </c>
      <c r="W175" s="98">
        <f t="shared" si="49"/>
        <v>0</v>
      </c>
      <c r="X175" s="98">
        <f t="shared" si="50"/>
        <v>7.1428571428571423</v>
      </c>
      <c r="Z175" s="76" t="b">
        <f t="shared" si="55"/>
        <v>0</v>
      </c>
      <c r="AA175" s="76" t="str">
        <f t="shared" si="56"/>
        <v>A</v>
      </c>
      <c r="AB175" s="76" t="b">
        <f t="shared" si="57"/>
        <v>0</v>
      </c>
      <c r="AC175" s="76">
        <f t="shared" si="58"/>
        <v>1</v>
      </c>
      <c r="AD175" s="105">
        <f t="shared" si="59"/>
        <v>0</v>
      </c>
    </row>
    <row r="176" spans="2:30" x14ac:dyDescent="0.2">
      <c r="B176" s="99" t="s">
        <v>416</v>
      </c>
      <c r="C176" s="99" t="s">
        <v>1234</v>
      </c>
      <c r="D176" s="91">
        <v>2017</v>
      </c>
      <c r="E176" s="100">
        <v>15.23</v>
      </c>
      <c r="F176" s="94">
        <v>2455</v>
      </c>
      <c r="G176" s="94">
        <f t="shared" si="51"/>
        <v>161.19500984898227</v>
      </c>
      <c r="H176" s="94"/>
      <c r="I176" s="100">
        <f t="shared" si="52"/>
        <v>0</v>
      </c>
      <c r="J176" s="94"/>
      <c r="K176" s="97">
        <f t="shared" si="53"/>
        <v>0</v>
      </c>
      <c r="L176" s="94"/>
      <c r="M176" s="94"/>
      <c r="N176" s="94"/>
      <c r="O176" s="97">
        <f t="shared" si="60"/>
        <v>0</v>
      </c>
      <c r="P176" s="97">
        <f t="shared" si="60"/>
        <v>0</v>
      </c>
      <c r="Q176" s="94"/>
      <c r="R176" s="94"/>
      <c r="S176" s="94"/>
      <c r="T176" s="97">
        <f t="shared" si="54"/>
        <v>0</v>
      </c>
      <c r="U176" s="97">
        <f t="shared" si="54"/>
        <v>0</v>
      </c>
      <c r="V176" s="98">
        <f t="shared" si="48"/>
        <v>0</v>
      </c>
      <c r="W176" s="98">
        <f t="shared" si="49"/>
        <v>0</v>
      </c>
      <c r="X176" s="98">
        <f t="shared" si="50"/>
        <v>0</v>
      </c>
      <c r="Z176" s="76" t="b">
        <f t="shared" si="55"/>
        <v>0</v>
      </c>
      <c r="AA176" s="76" t="b">
        <f t="shared" si="56"/>
        <v>0</v>
      </c>
      <c r="AB176" s="76" t="b">
        <f t="shared" si="57"/>
        <v>0</v>
      </c>
      <c r="AC176" s="76">
        <f t="shared" si="58"/>
        <v>0</v>
      </c>
      <c r="AD176" s="105">
        <f t="shared" si="59"/>
        <v>0</v>
      </c>
    </row>
    <row r="177" spans="2:30" x14ac:dyDescent="0.2">
      <c r="B177" s="99" t="s">
        <v>416</v>
      </c>
      <c r="C177" s="99" t="s">
        <v>1235</v>
      </c>
      <c r="D177" s="91">
        <v>2017</v>
      </c>
      <c r="E177" s="100">
        <v>22.05</v>
      </c>
      <c r="F177" s="94">
        <v>3039</v>
      </c>
      <c r="G177" s="94">
        <f t="shared" si="51"/>
        <v>137.82312925170066</v>
      </c>
      <c r="H177" s="94"/>
      <c r="I177" s="100">
        <f t="shared" si="52"/>
        <v>0</v>
      </c>
      <c r="J177" s="94"/>
      <c r="K177" s="97">
        <f t="shared" si="53"/>
        <v>0</v>
      </c>
      <c r="L177" s="94"/>
      <c r="M177" s="94"/>
      <c r="N177" s="94"/>
      <c r="O177" s="97">
        <f t="shared" si="60"/>
        <v>0</v>
      </c>
      <c r="P177" s="97">
        <f t="shared" si="60"/>
        <v>0</v>
      </c>
      <c r="Q177" s="94"/>
      <c r="R177" s="94"/>
      <c r="S177" s="94"/>
      <c r="T177" s="97">
        <f t="shared" si="54"/>
        <v>0</v>
      </c>
      <c r="U177" s="97">
        <f t="shared" si="54"/>
        <v>0</v>
      </c>
      <c r="V177" s="98">
        <f t="shared" si="48"/>
        <v>0</v>
      </c>
      <c r="W177" s="98">
        <f t="shared" si="49"/>
        <v>0</v>
      </c>
      <c r="X177" s="98">
        <f t="shared" si="50"/>
        <v>0</v>
      </c>
      <c r="Z177" s="76" t="b">
        <f t="shared" si="55"/>
        <v>0</v>
      </c>
      <c r="AA177" s="76" t="b">
        <f t="shared" si="56"/>
        <v>0</v>
      </c>
      <c r="AB177" s="76" t="b">
        <f t="shared" si="57"/>
        <v>0</v>
      </c>
      <c r="AC177" s="76">
        <f t="shared" si="58"/>
        <v>0</v>
      </c>
      <c r="AD177" s="105">
        <f t="shared" si="59"/>
        <v>0</v>
      </c>
    </row>
    <row r="178" spans="2:30" x14ac:dyDescent="0.2">
      <c r="B178" s="99" t="s">
        <v>416</v>
      </c>
      <c r="C178" s="99" t="s">
        <v>1236</v>
      </c>
      <c r="D178" s="91">
        <v>2015</v>
      </c>
      <c r="E178" s="100">
        <v>34.03</v>
      </c>
      <c r="F178" s="94">
        <v>3861</v>
      </c>
      <c r="G178" s="94">
        <f t="shared" si="51"/>
        <v>113.45871290038201</v>
      </c>
      <c r="H178" s="94"/>
      <c r="I178" s="100">
        <f t="shared" si="52"/>
        <v>0</v>
      </c>
      <c r="J178" s="94"/>
      <c r="K178" s="97">
        <f t="shared" si="53"/>
        <v>0</v>
      </c>
      <c r="L178" s="94"/>
      <c r="M178" s="94"/>
      <c r="N178" s="94"/>
      <c r="O178" s="97">
        <f t="shared" si="60"/>
        <v>0</v>
      </c>
      <c r="P178" s="97">
        <f t="shared" si="60"/>
        <v>0</v>
      </c>
      <c r="Q178" s="94"/>
      <c r="R178" s="94"/>
      <c r="S178" s="94"/>
      <c r="T178" s="97">
        <f t="shared" si="54"/>
        <v>0</v>
      </c>
      <c r="U178" s="97">
        <f t="shared" si="54"/>
        <v>0</v>
      </c>
      <c r="V178" s="98">
        <f t="shared" si="48"/>
        <v>0</v>
      </c>
      <c r="W178" s="98">
        <f t="shared" si="49"/>
        <v>0</v>
      </c>
      <c r="X178" s="98">
        <f t="shared" si="50"/>
        <v>0</v>
      </c>
      <c r="Z178" s="76" t="b">
        <f t="shared" si="55"/>
        <v>0</v>
      </c>
      <c r="AA178" s="76" t="b">
        <f t="shared" si="56"/>
        <v>0</v>
      </c>
      <c r="AB178" s="76" t="b">
        <f t="shared" si="57"/>
        <v>0</v>
      </c>
      <c r="AC178" s="76">
        <f t="shared" si="58"/>
        <v>0</v>
      </c>
      <c r="AD178" s="105">
        <f t="shared" si="59"/>
        <v>0</v>
      </c>
    </row>
    <row r="179" spans="2:30" x14ac:dyDescent="0.2">
      <c r="B179" s="99" t="s">
        <v>416</v>
      </c>
      <c r="C179" s="99" t="s">
        <v>1237</v>
      </c>
      <c r="D179" s="91">
        <v>2015</v>
      </c>
      <c r="E179" s="100">
        <v>28.82</v>
      </c>
      <c r="F179" s="94">
        <v>3879</v>
      </c>
      <c r="G179" s="94">
        <f t="shared" si="51"/>
        <v>134.5940319222762</v>
      </c>
      <c r="H179" s="94"/>
      <c r="I179" s="100">
        <f t="shared" si="52"/>
        <v>0</v>
      </c>
      <c r="J179" s="94"/>
      <c r="K179" s="97">
        <f t="shared" si="53"/>
        <v>0</v>
      </c>
      <c r="L179" s="94">
        <v>126</v>
      </c>
      <c r="M179" s="94">
        <v>9</v>
      </c>
      <c r="N179" s="94">
        <v>4</v>
      </c>
      <c r="O179" s="97">
        <f t="shared" si="60"/>
        <v>7.1428571428571423</v>
      </c>
      <c r="P179" s="97">
        <f t="shared" si="60"/>
        <v>3.1746031746031744</v>
      </c>
      <c r="Q179" s="94"/>
      <c r="R179" s="94"/>
      <c r="S179" s="94"/>
      <c r="T179" s="97">
        <f t="shared" si="54"/>
        <v>0</v>
      </c>
      <c r="U179" s="97">
        <f t="shared" si="54"/>
        <v>0</v>
      </c>
      <c r="V179" s="98">
        <f t="shared" si="48"/>
        <v>-7.1428571428571423</v>
      </c>
      <c r="W179" s="98">
        <f t="shared" si="49"/>
        <v>0</v>
      </c>
      <c r="X179" s="98">
        <f t="shared" si="50"/>
        <v>7.1428571428571423</v>
      </c>
      <c r="Z179" s="76" t="b">
        <f t="shared" si="55"/>
        <v>0</v>
      </c>
      <c r="AA179" s="76" t="str">
        <f t="shared" si="56"/>
        <v>A</v>
      </c>
      <c r="AB179" s="76" t="b">
        <f t="shared" si="57"/>
        <v>0</v>
      </c>
      <c r="AC179" s="76">
        <f t="shared" si="58"/>
        <v>1</v>
      </c>
      <c r="AD179" s="105">
        <f t="shared" si="59"/>
        <v>0</v>
      </c>
    </row>
    <row r="180" spans="2:30" x14ac:dyDescent="0.2">
      <c r="B180" s="99" t="s">
        <v>416</v>
      </c>
      <c r="C180" s="99" t="s">
        <v>1238</v>
      </c>
      <c r="D180" s="91">
        <v>2016</v>
      </c>
      <c r="E180" s="100">
        <v>29.21</v>
      </c>
      <c r="F180" s="94">
        <v>4197</v>
      </c>
      <c r="G180" s="94">
        <f t="shared" si="51"/>
        <v>143.68366997603559</v>
      </c>
      <c r="H180" s="94"/>
      <c r="I180" s="100">
        <f t="shared" si="52"/>
        <v>0</v>
      </c>
      <c r="J180" s="94"/>
      <c r="K180" s="97">
        <f t="shared" si="53"/>
        <v>0</v>
      </c>
      <c r="L180" s="94">
        <v>120</v>
      </c>
      <c r="M180" s="94">
        <v>25</v>
      </c>
      <c r="N180" s="94">
        <v>8</v>
      </c>
      <c r="O180" s="97">
        <f t="shared" si="60"/>
        <v>20.833333333333336</v>
      </c>
      <c r="P180" s="97">
        <f t="shared" si="60"/>
        <v>6.666666666666667</v>
      </c>
      <c r="Q180" s="94"/>
      <c r="R180" s="94"/>
      <c r="S180" s="94"/>
      <c r="T180" s="97">
        <f t="shared" si="54"/>
        <v>0</v>
      </c>
      <c r="U180" s="97">
        <f t="shared" si="54"/>
        <v>0</v>
      </c>
      <c r="V180" s="98">
        <f t="shared" si="48"/>
        <v>-20.833333333333336</v>
      </c>
      <c r="W180" s="98">
        <f t="shared" si="49"/>
        <v>0</v>
      </c>
      <c r="X180" s="98">
        <f t="shared" si="50"/>
        <v>20.833333333333336</v>
      </c>
      <c r="Z180" s="76" t="b">
        <f t="shared" si="55"/>
        <v>0</v>
      </c>
      <c r="AA180" s="76" t="str">
        <f t="shared" si="56"/>
        <v>A</v>
      </c>
      <c r="AB180" s="76" t="b">
        <f t="shared" si="57"/>
        <v>0</v>
      </c>
      <c r="AC180" s="76">
        <f t="shared" si="58"/>
        <v>1</v>
      </c>
      <c r="AD180" s="105">
        <f t="shared" si="59"/>
        <v>0</v>
      </c>
    </row>
    <row r="181" spans="2:30" x14ac:dyDescent="0.2">
      <c r="B181" s="99" t="s">
        <v>416</v>
      </c>
      <c r="C181" s="99" t="s">
        <v>1239</v>
      </c>
      <c r="D181" s="91">
        <v>2016</v>
      </c>
      <c r="E181" s="100">
        <v>27.05</v>
      </c>
      <c r="F181" s="94">
        <v>4061</v>
      </c>
      <c r="G181" s="94">
        <f t="shared" si="51"/>
        <v>150.12939001848429</v>
      </c>
      <c r="H181" s="94"/>
      <c r="I181" s="100">
        <f t="shared" si="52"/>
        <v>0</v>
      </c>
      <c r="J181" s="94"/>
      <c r="K181" s="97">
        <f t="shared" si="53"/>
        <v>0</v>
      </c>
      <c r="L181" s="94"/>
      <c r="M181" s="94"/>
      <c r="N181" s="94"/>
      <c r="O181" s="97">
        <f t="shared" si="60"/>
        <v>0</v>
      </c>
      <c r="P181" s="97">
        <f t="shared" si="60"/>
        <v>0</v>
      </c>
      <c r="Q181" s="94"/>
      <c r="R181" s="94"/>
      <c r="S181" s="94"/>
      <c r="T181" s="97">
        <f t="shared" si="54"/>
        <v>0</v>
      </c>
      <c r="U181" s="97">
        <f t="shared" si="54"/>
        <v>0</v>
      </c>
      <c r="V181" s="98">
        <f t="shared" si="48"/>
        <v>0</v>
      </c>
      <c r="W181" s="98">
        <f t="shared" si="49"/>
        <v>0</v>
      </c>
      <c r="X181" s="98">
        <f t="shared" si="50"/>
        <v>0</v>
      </c>
      <c r="Z181" s="76" t="b">
        <f t="shared" si="55"/>
        <v>0</v>
      </c>
      <c r="AA181" s="76" t="b">
        <f t="shared" si="56"/>
        <v>0</v>
      </c>
      <c r="AB181" s="76" t="b">
        <f t="shared" si="57"/>
        <v>0</v>
      </c>
      <c r="AC181" s="76">
        <f t="shared" si="58"/>
        <v>0</v>
      </c>
      <c r="AD181" s="105">
        <f t="shared" si="59"/>
        <v>0</v>
      </c>
    </row>
    <row r="182" spans="2:30" x14ac:dyDescent="0.2">
      <c r="B182" s="99" t="s">
        <v>416</v>
      </c>
      <c r="C182" s="99" t="s">
        <v>1240</v>
      </c>
      <c r="D182" s="91">
        <v>2016</v>
      </c>
      <c r="E182" s="100">
        <v>21.88</v>
      </c>
      <c r="F182" s="94">
        <v>3087</v>
      </c>
      <c r="G182" s="94">
        <f t="shared" si="51"/>
        <v>141.08775137111519</v>
      </c>
      <c r="H182" s="94"/>
      <c r="I182" s="100">
        <f t="shared" si="52"/>
        <v>0</v>
      </c>
      <c r="J182" s="94"/>
      <c r="K182" s="97">
        <f t="shared" si="53"/>
        <v>0</v>
      </c>
      <c r="L182" s="94">
        <v>108</v>
      </c>
      <c r="M182" s="94">
        <v>24</v>
      </c>
      <c r="N182" s="94">
        <v>11</v>
      </c>
      <c r="O182" s="97">
        <f t="shared" si="60"/>
        <v>22.222222222222221</v>
      </c>
      <c r="P182" s="97">
        <f t="shared" si="60"/>
        <v>10.185185185185185</v>
      </c>
      <c r="Q182" s="94"/>
      <c r="R182" s="94"/>
      <c r="S182" s="94"/>
      <c r="T182" s="97">
        <f t="shared" si="54"/>
        <v>0</v>
      </c>
      <c r="U182" s="97">
        <f t="shared" si="54"/>
        <v>0</v>
      </c>
      <c r="V182" s="98">
        <f t="shared" si="48"/>
        <v>-22.222222222222221</v>
      </c>
      <c r="W182" s="98">
        <f t="shared" si="49"/>
        <v>0</v>
      </c>
      <c r="X182" s="98">
        <f t="shared" si="50"/>
        <v>22.222222222222221</v>
      </c>
      <c r="Z182" s="76" t="b">
        <f t="shared" si="55"/>
        <v>0</v>
      </c>
      <c r="AA182" s="76" t="str">
        <f t="shared" si="56"/>
        <v>A</v>
      </c>
      <c r="AB182" s="76" t="b">
        <f t="shared" si="57"/>
        <v>0</v>
      </c>
      <c r="AC182" s="76">
        <f t="shared" si="58"/>
        <v>1</v>
      </c>
      <c r="AD182" s="105">
        <f t="shared" si="59"/>
        <v>0</v>
      </c>
    </row>
    <row r="183" spans="2:30" x14ac:dyDescent="0.2">
      <c r="B183" s="99" t="s">
        <v>416</v>
      </c>
      <c r="C183" s="99" t="s">
        <v>1241</v>
      </c>
      <c r="D183" s="91">
        <v>2016</v>
      </c>
      <c r="E183" s="100">
        <v>22.46</v>
      </c>
      <c r="F183" s="94">
        <v>2354</v>
      </c>
      <c r="G183" s="94">
        <f t="shared" si="51"/>
        <v>104.80854853072128</v>
      </c>
      <c r="H183" s="94"/>
      <c r="I183" s="100">
        <f t="shared" si="52"/>
        <v>0</v>
      </c>
      <c r="J183" s="94"/>
      <c r="K183" s="97">
        <f t="shared" si="53"/>
        <v>0</v>
      </c>
      <c r="L183" s="94"/>
      <c r="M183" s="94"/>
      <c r="N183" s="94"/>
      <c r="O183" s="97">
        <f t="shared" si="60"/>
        <v>0</v>
      </c>
      <c r="P183" s="97">
        <f t="shared" si="60"/>
        <v>0</v>
      </c>
      <c r="Q183" s="94"/>
      <c r="R183" s="94"/>
      <c r="S183" s="94"/>
      <c r="T183" s="97">
        <f t="shared" si="54"/>
        <v>0</v>
      </c>
      <c r="U183" s="97">
        <f t="shared" si="54"/>
        <v>0</v>
      </c>
      <c r="V183" s="98">
        <f t="shared" si="48"/>
        <v>0</v>
      </c>
      <c r="W183" s="98">
        <f t="shared" si="49"/>
        <v>0</v>
      </c>
      <c r="X183" s="98">
        <f t="shared" si="50"/>
        <v>0</v>
      </c>
      <c r="Z183" s="76" t="b">
        <f t="shared" si="55"/>
        <v>0</v>
      </c>
      <c r="AA183" s="76" t="b">
        <f t="shared" si="56"/>
        <v>0</v>
      </c>
      <c r="AB183" s="76" t="b">
        <f t="shared" si="57"/>
        <v>0</v>
      </c>
      <c r="AC183" s="76">
        <f t="shared" si="58"/>
        <v>0</v>
      </c>
      <c r="AD183" s="105">
        <f t="shared" si="59"/>
        <v>0</v>
      </c>
    </row>
    <row r="184" spans="2:30" x14ac:dyDescent="0.2">
      <c r="B184" s="99" t="s">
        <v>416</v>
      </c>
      <c r="C184" s="99" t="s">
        <v>1242</v>
      </c>
      <c r="D184" s="91">
        <v>2016</v>
      </c>
      <c r="E184" s="100">
        <v>28.29</v>
      </c>
      <c r="F184" s="94">
        <v>3163</v>
      </c>
      <c r="G184" s="94">
        <f t="shared" si="51"/>
        <v>111.80629197596325</v>
      </c>
      <c r="H184" s="94"/>
      <c r="I184" s="100">
        <f t="shared" si="52"/>
        <v>0</v>
      </c>
      <c r="J184" s="94"/>
      <c r="K184" s="97">
        <f t="shared" si="53"/>
        <v>0</v>
      </c>
      <c r="L184" s="94"/>
      <c r="M184" s="94"/>
      <c r="N184" s="94"/>
      <c r="O184" s="97">
        <f t="shared" si="60"/>
        <v>0</v>
      </c>
      <c r="P184" s="97">
        <f t="shared" si="60"/>
        <v>0</v>
      </c>
      <c r="Q184" s="94"/>
      <c r="R184" s="94"/>
      <c r="S184" s="94"/>
      <c r="T184" s="97">
        <f t="shared" si="54"/>
        <v>0</v>
      </c>
      <c r="U184" s="97">
        <f t="shared" si="54"/>
        <v>0</v>
      </c>
      <c r="V184" s="98">
        <f t="shared" si="48"/>
        <v>0</v>
      </c>
      <c r="W184" s="98">
        <f t="shared" si="49"/>
        <v>0</v>
      </c>
      <c r="X184" s="98">
        <f t="shared" si="50"/>
        <v>0</v>
      </c>
      <c r="Z184" s="76" t="b">
        <f t="shared" si="55"/>
        <v>0</v>
      </c>
      <c r="AA184" s="76" t="b">
        <f t="shared" si="56"/>
        <v>0</v>
      </c>
      <c r="AB184" s="76" t="b">
        <f t="shared" si="57"/>
        <v>0</v>
      </c>
      <c r="AC184" s="76">
        <f t="shared" si="58"/>
        <v>0</v>
      </c>
      <c r="AD184" s="105">
        <f t="shared" si="59"/>
        <v>0</v>
      </c>
    </row>
    <row r="185" spans="2:30" x14ac:dyDescent="0.2">
      <c r="B185" s="99" t="s">
        <v>416</v>
      </c>
      <c r="C185" s="99" t="s">
        <v>1243</v>
      </c>
      <c r="D185" s="91">
        <v>2017</v>
      </c>
      <c r="E185" s="100">
        <v>28.85</v>
      </c>
      <c r="F185" s="94">
        <v>3771</v>
      </c>
      <c r="G185" s="94">
        <f t="shared" si="51"/>
        <v>130.71057192374349</v>
      </c>
      <c r="H185" s="94"/>
      <c r="I185" s="100">
        <f t="shared" si="52"/>
        <v>0</v>
      </c>
      <c r="J185" s="94"/>
      <c r="K185" s="97">
        <f t="shared" si="53"/>
        <v>0</v>
      </c>
      <c r="L185" s="94"/>
      <c r="M185" s="94"/>
      <c r="N185" s="94"/>
      <c r="O185" s="97">
        <f t="shared" si="60"/>
        <v>0</v>
      </c>
      <c r="P185" s="97">
        <f t="shared" si="60"/>
        <v>0</v>
      </c>
      <c r="Q185" s="94">
        <v>1023</v>
      </c>
      <c r="R185" s="94">
        <v>311</v>
      </c>
      <c r="S185" s="94">
        <v>106</v>
      </c>
      <c r="T185" s="97">
        <f t="shared" si="54"/>
        <v>30.400782013685241</v>
      </c>
      <c r="U185" s="97">
        <f t="shared" si="54"/>
        <v>10.361681329423265</v>
      </c>
      <c r="V185" s="98">
        <f t="shared" si="48"/>
        <v>0</v>
      </c>
      <c r="W185" s="98">
        <f t="shared" si="49"/>
        <v>-30.400782013685241</v>
      </c>
      <c r="X185" s="98">
        <f t="shared" si="50"/>
        <v>-30.400782013685241</v>
      </c>
      <c r="Z185" s="76" t="b">
        <f t="shared" si="55"/>
        <v>0</v>
      </c>
      <c r="AA185" s="76" t="b">
        <f t="shared" si="56"/>
        <v>0</v>
      </c>
      <c r="AB185" s="76" t="str">
        <f t="shared" si="57"/>
        <v>A</v>
      </c>
      <c r="AC185" s="76">
        <f t="shared" si="58"/>
        <v>1</v>
      </c>
      <c r="AD185" s="105">
        <f t="shared" si="59"/>
        <v>-60.801564027370482</v>
      </c>
    </row>
    <row r="186" spans="2:30" x14ac:dyDescent="0.2">
      <c r="B186" s="99" t="s">
        <v>416</v>
      </c>
      <c r="C186" s="99" t="s">
        <v>1244</v>
      </c>
      <c r="D186" s="91">
        <v>2014</v>
      </c>
      <c r="E186" s="100">
        <v>27.58</v>
      </c>
      <c r="F186" s="94">
        <v>3456</v>
      </c>
      <c r="G186" s="94">
        <f t="shared" si="51"/>
        <v>125.30819434372735</v>
      </c>
      <c r="H186" s="94"/>
      <c r="I186" s="100">
        <f t="shared" si="52"/>
        <v>0</v>
      </c>
      <c r="J186" s="94"/>
      <c r="K186" s="97">
        <f t="shared" si="53"/>
        <v>0</v>
      </c>
      <c r="L186" s="94"/>
      <c r="M186" s="94"/>
      <c r="N186" s="94"/>
      <c r="O186" s="97">
        <f t="shared" si="60"/>
        <v>0</v>
      </c>
      <c r="P186" s="97">
        <f t="shared" si="60"/>
        <v>0</v>
      </c>
      <c r="Q186" s="94">
        <v>1022</v>
      </c>
      <c r="R186" s="94">
        <v>249</v>
      </c>
      <c r="S186" s="94">
        <v>224</v>
      </c>
      <c r="T186" s="97">
        <f t="shared" si="54"/>
        <v>24.363992172211351</v>
      </c>
      <c r="U186" s="97">
        <f t="shared" si="54"/>
        <v>21.917808219178081</v>
      </c>
      <c r="V186" s="98">
        <f t="shared" si="48"/>
        <v>0</v>
      </c>
      <c r="W186" s="98">
        <f t="shared" si="49"/>
        <v>-24.363992172211351</v>
      </c>
      <c r="X186" s="98">
        <f t="shared" si="50"/>
        <v>-24.363992172211351</v>
      </c>
      <c r="Z186" s="76" t="b">
        <f t="shared" si="55"/>
        <v>0</v>
      </c>
      <c r="AA186" s="76" t="b">
        <f t="shared" si="56"/>
        <v>0</v>
      </c>
      <c r="AB186" s="76" t="str">
        <f t="shared" si="57"/>
        <v>A</v>
      </c>
      <c r="AC186" s="76">
        <f t="shared" si="58"/>
        <v>1</v>
      </c>
      <c r="AD186" s="105">
        <f t="shared" si="59"/>
        <v>-48.727984344422701</v>
      </c>
    </row>
    <row r="187" spans="2:30" x14ac:dyDescent="0.2">
      <c r="B187" s="99" t="s">
        <v>416</v>
      </c>
      <c r="C187" s="99" t="s">
        <v>1245</v>
      </c>
      <c r="D187" s="91">
        <v>2014</v>
      </c>
      <c r="E187" s="100">
        <v>26.48</v>
      </c>
      <c r="F187" s="94">
        <v>3210</v>
      </c>
      <c r="G187" s="94">
        <f t="shared" si="51"/>
        <v>121.22356495468277</v>
      </c>
      <c r="H187" s="94"/>
      <c r="I187" s="100">
        <f t="shared" si="52"/>
        <v>0</v>
      </c>
      <c r="J187" s="94"/>
      <c r="K187" s="97">
        <f t="shared" si="53"/>
        <v>0</v>
      </c>
      <c r="L187" s="94"/>
      <c r="M187" s="94"/>
      <c r="N187" s="94"/>
      <c r="O187" s="97">
        <f t="shared" si="60"/>
        <v>0</v>
      </c>
      <c r="P187" s="97">
        <f t="shared" si="60"/>
        <v>0</v>
      </c>
      <c r="Q187" s="94">
        <v>1002</v>
      </c>
      <c r="R187" s="94">
        <v>183</v>
      </c>
      <c r="S187" s="94">
        <v>159</v>
      </c>
      <c r="T187" s="97">
        <f t="shared" si="54"/>
        <v>18.263473053892216</v>
      </c>
      <c r="U187" s="97">
        <f t="shared" si="54"/>
        <v>15.868263473053892</v>
      </c>
      <c r="V187" s="98">
        <f t="shared" si="48"/>
        <v>0</v>
      </c>
      <c r="W187" s="98">
        <f t="shared" si="49"/>
        <v>-18.263473053892216</v>
      </c>
      <c r="X187" s="98">
        <f t="shared" si="50"/>
        <v>-18.263473053892216</v>
      </c>
      <c r="Z187" s="76" t="b">
        <f t="shared" si="55"/>
        <v>0</v>
      </c>
      <c r="AA187" s="76" t="b">
        <f t="shared" si="56"/>
        <v>0</v>
      </c>
      <c r="AB187" s="76" t="str">
        <f t="shared" si="57"/>
        <v>A</v>
      </c>
      <c r="AC187" s="76">
        <f t="shared" si="58"/>
        <v>1</v>
      </c>
      <c r="AD187" s="105">
        <f t="shared" si="59"/>
        <v>-36.526946107784433</v>
      </c>
    </row>
    <row r="188" spans="2:30" x14ac:dyDescent="0.2">
      <c r="B188" s="99" t="s">
        <v>416</v>
      </c>
      <c r="C188" s="99" t="s">
        <v>1246</v>
      </c>
      <c r="D188" s="91">
        <v>2016</v>
      </c>
      <c r="E188" s="100">
        <v>24.28</v>
      </c>
      <c r="F188" s="94">
        <v>3407</v>
      </c>
      <c r="G188" s="94">
        <f t="shared" si="51"/>
        <v>140.32125205930808</v>
      </c>
      <c r="H188" s="94"/>
      <c r="I188" s="100">
        <f t="shared" si="52"/>
        <v>0</v>
      </c>
      <c r="J188" s="94"/>
      <c r="K188" s="97">
        <f t="shared" si="53"/>
        <v>0</v>
      </c>
      <c r="L188" s="94"/>
      <c r="M188" s="94"/>
      <c r="N188" s="94"/>
      <c r="O188" s="97">
        <f t="shared" si="60"/>
        <v>0</v>
      </c>
      <c r="P188" s="97">
        <f t="shared" si="60"/>
        <v>0</v>
      </c>
      <c r="Q188" s="94"/>
      <c r="R188" s="94"/>
      <c r="S188" s="94"/>
      <c r="T188" s="97">
        <f t="shared" si="54"/>
        <v>0</v>
      </c>
      <c r="U188" s="97">
        <f t="shared" si="54"/>
        <v>0</v>
      </c>
      <c r="V188" s="98">
        <f t="shared" si="48"/>
        <v>0</v>
      </c>
      <c r="W188" s="98">
        <f t="shared" si="49"/>
        <v>0</v>
      </c>
      <c r="X188" s="98">
        <f t="shared" si="50"/>
        <v>0</v>
      </c>
      <c r="Z188" s="76" t="b">
        <f t="shared" si="55"/>
        <v>0</v>
      </c>
      <c r="AA188" s="76" t="b">
        <f t="shared" si="56"/>
        <v>0</v>
      </c>
      <c r="AB188" s="76" t="b">
        <f t="shared" si="57"/>
        <v>0</v>
      </c>
      <c r="AC188" s="76">
        <f t="shared" si="58"/>
        <v>0</v>
      </c>
      <c r="AD188" s="105">
        <f t="shared" si="59"/>
        <v>0</v>
      </c>
    </row>
    <row r="189" spans="2:30" x14ac:dyDescent="0.2">
      <c r="B189" s="99" t="s">
        <v>416</v>
      </c>
      <c r="C189" s="99" t="s">
        <v>1247</v>
      </c>
      <c r="D189" s="91">
        <v>2016</v>
      </c>
      <c r="E189" s="100">
        <v>29.73</v>
      </c>
      <c r="F189" s="94">
        <v>4080</v>
      </c>
      <c r="G189" s="94">
        <f t="shared" si="51"/>
        <v>137.2351160443996</v>
      </c>
      <c r="H189" s="94">
        <v>385</v>
      </c>
      <c r="I189" s="100">
        <f t="shared" si="52"/>
        <v>9.4362745098039209</v>
      </c>
      <c r="J189" s="94">
        <v>52</v>
      </c>
      <c r="K189" s="97">
        <f t="shared" si="53"/>
        <v>13.506493506493506</v>
      </c>
      <c r="L189" s="94"/>
      <c r="M189" s="94"/>
      <c r="N189" s="94"/>
      <c r="O189" s="97">
        <f t="shared" si="60"/>
        <v>0</v>
      </c>
      <c r="P189" s="97">
        <f t="shared" si="60"/>
        <v>0</v>
      </c>
      <c r="Q189" s="94"/>
      <c r="R189" s="94"/>
      <c r="S189" s="94"/>
      <c r="T189" s="97">
        <f t="shared" si="54"/>
        <v>0</v>
      </c>
      <c r="U189" s="97">
        <f t="shared" si="54"/>
        <v>0</v>
      </c>
      <c r="V189" s="98">
        <f t="shared" si="48"/>
        <v>13.506493506493506</v>
      </c>
      <c r="W189" s="98">
        <f t="shared" si="49"/>
        <v>13.506493506493506</v>
      </c>
      <c r="X189" s="98">
        <f t="shared" si="50"/>
        <v>0</v>
      </c>
      <c r="Z189" s="76" t="str">
        <f t="shared" si="55"/>
        <v>A</v>
      </c>
      <c r="AA189" s="76" t="b">
        <f t="shared" si="56"/>
        <v>0</v>
      </c>
      <c r="AB189" s="76" t="b">
        <f t="shared" si="57"/>
        <v>0</v>
      </c>
      <c r="AC189" s="76">
        <f t="shared" si="58"/>
        <v>1</v>
      </c>
      <c r="AD189" s="105">
        <f t="shared" si="59"/>
        <v>27.012987012987011</v>
      </c>
    </row>
    <row r="190" spans="2:30" x14ac:dyDescent="0.2">
      <c r="B190" s="99" t="s">
        <v>416</v>
      </c>
      <c r="C190" s="99" t="s">
        <v>1248</v>
      </c>
      <c r="D190" s="91">
        <v>2016</v>
      </c>
      <c r="E190" s="100">
        <v>29.54</v>
      </c>
      <c r="F190" s="94">
        <v>3594</v>
      </c>
      <c r="G190" s="94">
        <f t="shared" si="51"/>
        <v>121.66553825321598</v>
      </c>
      <c r="H190" s="94"/>
      <c r="I190" s="100">
        <f t="shared" si="52"/>
        <v>0</v>
      </c>
      <c r="J190" s="94"/>
      <c r="K190" s="97">
        <f t="shared" si="53"/>
        <v>0</v>
      </c>
      <c r="L190" s="94"/>
      <c r="M190" s="94"/>
      <c r="N190" s="94"/>
      <c r="O190" s="97">
        <f t="shared" si="60"/>
        <v>0</v>
      </c>
      <c r="P190" s="97">
        <f t="shared" si="60"/>
        <v>0</v>
      </c>
      <c r="Q190" s="94">
        <v>402</v>
      </c>
      <c r="R190" s="94">
        <v>102</v>
      </c>
      <c r="S190" s="94">
        <v>63</v>
      </c>
      <c r="T190" s="97">
        <f t="shared" si="54"/>
        <v>25.373134328358208</v>
      </c>
      <c r="U190" s="97">
        <f t="shared" si="54"/>
        <v>15.671641791044777</v>
      </c>
      <c r="V190" s="98">
        <f t="shared" si="48"/>
        <v>0</v>
      </c>
      <c r="W190" s="98">
        <f t="shared" si="49"/>
        <v>-25.373134328358208</v>
      </c>
      <c r="X190" s="98">
        <f t="shared" si="50"/>
        <v>-25.373134328358208</v>
      </c>
      <c r="Z190" s="76" t="b">
        <f t="shared" si="55"/>
        <v>0</v>
      </c>
      <c r="AA190" s="76" t="b">
        <f t="shared" si="56"/>
        <v>0</v>
      </c>
      <c r="AB190" s="76" t="str">
        <f t="shared" si="57"/>
        <v>A</v>
      </c>
      <c r="AC190" s="76">
        <f t="shared" si="58"/>
        <v>1</v>
      </c>
      <c r="AD190" s="105">
        <f t="shared" si="59"/>
        <v>-50.746268656716417</v>
      </c>
    </row>
    <row r="191" spans="2:30" x14ac:dyDescent="0.2">
      <c r="B191" s="99" t="s">
        <v>416</v>
      </c>
      <c r="C191" s="99" t="s">
        <v>1249</v>
      </c>
      <c r="D191" s="91">
        <v>2016</v>
      </c>
      <c r="E191" s="100">
        <v>29.37</v>
      </c>
      <c r="F191" s="94">
        <v>3727</v>
      </c>
      <c r="G191" s="94">
        <f t="shared" si="51"/>
        <v>126.89819543752128</v>
      </c>
      <c r="H191" s="94"/>
      <c r="I191" s="100">
        <f t="shared" si="52"/>
        <v>0</v>
      </c>
      <c r="J191" s="94"/>
      <c r="K191" s="97">
        <f t="shared" si="53"/>
        <v>0</v>
      </c>
      <c r="L191" s="94"/>
      <c r="M191" s="94"/>
      <c r="N191" s="94"/>
      <c r="O191" s="97">
        <f t="shared" si="60"/>
        <v>0</v>
      </c>
      <c r="P191" s="97">
        <f t="shared" si="60"/>
        <v>0</v>
      </c>
      <c r="Q191" s="94"/>
      <c r="R191" s="94"/>
      <c r="S191" s="94"/>
      <c r="T191" s="97">
        <f t="shared" si="54"/>
        <v>0</v>
      </c>
      <c r="U191" s="97">
        <f t="shared" si="54"/>
        <v>0</v>
      </c>
      <c r="V191" s="98">
        <f t="shared" si="48"/>
        <v>0</v>
      </c>
      <c r="W191" s="98">
        <f t="shared" si="49"/>
        <v>0</v>
      </c>
      <c r="X191" s="98">
        <f t="shared" si="50"/>
        <v>0</v>
      </c>
      <c r="Z191" s="76" t="b">
        <f t="shared" si="55"/>
        <v>0</v>
      </c>
      <c r="AA191" s="76" t="b">
        <f t="shared" si="56"/>
        <v>0</v>
      </c>
      <c r="AB191" s="76" t="b">
        <f t="shared" si="57"/>
        <v>0</v>
      </c>
      <c r="AC191" s="76">
        <f t="shared" si="58"/>
        <v>0</v>
      </c>
      <c r="AD191" s="105">
        <f t="shared" si="59"/>
        <v>0</v>
      </c>
    </row>
    <row r="192" spans="2:30" x14ac:dyDescent="0.2">
      <c r="B192" s="99" t="s">
        <v>416</v>
      </c>
      <c r="C192" s="99" t="s">
        <v>1250</v>
      </c>
      <c r="D192" s="91">
        <v>2014</v>
      </c>
      <c r="E192" s="100">
        <v>33.299999999999997</v>
      </c>
      <c r="F192" s="94">
        <v>5009</v>
      </c>
      <c r="G192" s="94">
        <f t="shared" si="51"/>
        <v>150.42042042042044</v>
      </c>
      <c r="H192" s="94"/>
      <c r="I192" s="100">
        <f t="shared" si="52"/>
        <v>0</v>
      </c>
      <c r="J192" s="94"/>
      <c r="K192" s="97">
        <f t="shared" si="53"/>
        <v>0</v>
      </c>
      <c r="L192" s="94">
        <v>64</v>
      </c>
      <c r="M192" s="94">
        <v>8</v>
      </c>
      <c r="N192" s="94">
        <v>10</v>
      </c>
      <c r="O192" s="97">
        <f t="shared" si="60"/>
        <v>12.5</v>
      </c>
      <c r="P192" s="97">
        <f t="shared" si="60"/>
        <v>15.625</v>
      </c>
      <c r="Q192" s="94"/>
      <c r="R192" s="94"/>
      <c r="S192" s="94"/>
      <c r="T192" s="97">
        <f t="shared" si="54"/>
        <v>0</v>
      </c>
      <c r="U192" s="97">
        <f t="shared" si="54"/>
        <v>0</v>
      </c>
      <c r="V192" s="98">
        <f t="shared" si="48"/>
        <v>-12.5</v>
      </c>
      <c r="W192" s="98">
        <f t="shared" si="49"/>
        <v>0</v>
      </c>
      <c r="X192" s="98">
        <f t="shared" si="50"/>
        <v>12.5</v>
      </c>
      <c r="Z192" s="76" t="b">
        <f t="shared" si="55"/>
        <v>0</v>
      </c>
      <c r="AA192" s="76" t="str">
        <f t="shared" si="56"/>
        <v>A</v>
      </c>
      <c r="AB192" s="76" t="b">
        <f t="shared" si="57"/>
        <v>0</v>
      </c>
      <c r="AC192" s="76">
        <f t="shared" si="58"/>
        <v>1</v>
      </c>
      <c r="AD192" s="105">
        <f t="shared" si="59"/>
        <v>0</v>
      </c>
    </row>
    <row r="193" spans="2:30" x14ac:dyDescent="0.2">
      <c r="B193" s="99" t="s">
        <v>416</v>
      </c>
      <c r="C193" s="99" t="s">
        <v>1251</v>
      </c>
      <c r="D193" s="91">
        <v>2015</v>
      </c>
      <c r="E193" s="100">
        <v>32.6</v>
      </c>
      <c r="F193" s="94">
        <v>4360</v>
      </c>
      <c r="G193" s="94">
        <f t="shared" si="51"/>
        <v>133.74233128834356</v>
      </c>
      <c r="H193" s="94"/>
      <c r="I193" s="100">
        <f t="shared" si="52"/>
        <v>0</v>
      </c>
      <c r="J193" s="94"/>
      <c r="K193" s="97">
        <f t="shared" si="53"/>
        <v>0</v>
      </c>
      <c r="L193" s="94"/>
      <c r="M193" s="94"/>
      <c r="N193" s="94"/>
      <c r="O193" s="97">
        <f t="shared" si="60"/>
        <v>0</v>
      </c>
      <c r="P193" s="97">
        <f t="shared" si="60"/>
        <v>0</v>
      </c>
      <c r="Q193" s="94">
        <v>57</v>
      </c>
      <c r="R193" s="94">
        <v>130</v>
      </c>
      <c r="S193" s="94">
        <v>117</v>
      </c>
      <c r="T193" s="97">
        <f t="shared" si="54"/>
        <v>228.07017543859649</v>
      </c>
      <c r="U193" s="97">
        <f t="shared" si="54"/>
        <v>205.26315789473685</v>
      </c>
      <c r="V193" s="98">
        <f t="shared" si="48"/>
        <v>0</v>
      </c>
      <c r="W193" s="98">
        <f t="shared" si="49"/>
        <v>-228.07017543859649</v>
      </c>
      <c r="X193" s="98">
        <f t="shared" si="50"/>
        <v>-228.07017543859649</v>
      </c>
      <c r="Z193" s="76" t="b">
        <f t="shared" si="55"/>
        <v>0</v>
      </c>
      <c r="AA193" s="76" t="b">
        <f t="shared" si="56"/>
        <v>0</v>
      </c>
      <c r="AB193" s="76" t="str">
        <f t="shared" si="57"/>
        <v>A</v>
      </c>
      <c r="AC193" s="76">
        <f t="shared" si="58"/>
        <v>1</v>
      </c>
      <c r="AD193" s="105">
        <f t="shared" si="59"/>
        <v>-456.14035087719299</v>
      </c>
    </row>
    <row r="194" spans="2:30" x14ac:dyDescent="0.2">
      <c r="B194" s="99" t="s">
        <v>416</v>
      </c>
      <c r="C194" s="99" t="s">
        <v>1252</v>
      </c>
      <c r="D194" s="91">
        <v>2016</v>
      </c>
      <c r="E194" s="100">
        <v>21.81</v>
      </c>
      <c r="F194" s="94">
        <v>2638</v>
      </c>
      <c r="G194" s="94">
        <f t="shared" si="51"/>
        <v>120.95369096744614</v>
      </c>
      <c r="H194" s="94">
        <v>339</v>
      </c>
      <c r="I194" s="100">
        <f t="shared" si="52"/>
        <v>12.850644427596663</v>
      </c>
      <c r="J194" s="94">
        <v>81</v>
      </c>
      <c r="K194" s="97">
        <f t="shared" si="53"/>
        <v>23.893805309734514</v>
      </c>
      <c r="L194" s="94">
        <v>65</v>
      </c>
      <c r="M194" s="94">
        <v>8</v>
      </c>
      <c r="N194" s="94">
        <v>10</v>
      </c>
      <c r="O194" s="97">
        <f t="shared" si="60"/>
        <v>12.307692307692308</v>
      </c>
      <c r="P194" s="97">
        <f t="shared" si="60"/>
        <v>15.384615384615385</v>
      </c>
      <c r="Q194" s="94">
        <v>926</v>
      </c>
      <c r="R194" s="94">
        <v>333</v>
      </c>
      <c r="S194" s="94">
        <v>126</v>
      </c>
      <c r="T194" s="97">
        <f t="shared" si="54"/>
        <v>35.961123110151192</v>
      </c>
      <c r="U194" s="97">
        <f t="shared" si="54"/>
        <v>13.606911447084233</v>
      </c>
      <c r="V194" s="98">
        <f t="shared" si="48"/>
        <v>11.586113002042206</v>
      </c>
      <c r="W194" s="98">
        <f t="shared" si="49"/>
        <v>-12.067317800416678</v>
      </c>
      <c r="X194" s="98">
        <f t="shared" si="50"/>
        <v>-23.653430802458885</v>
      </c>
      <c r="Z194" s="76" t="str">
        <f t="shared" si="55"/>
        <v>A</v>
      </c>
      <c r="AA194" s="76" t="str">
        <f t="shared" si="56"/>
        <v>A</v>
      </c>
      <c r="AB194" s="76" t="str">
        <f t="shared" si="57"/>
        <v>A</v>
      </c>
      <c r="AC194" s="76">
        <f t="shared" si="58"/>
        <v>3</v>
      </c>
      <c r="AD194" s="105">
        <f t="shared" si="59"/>
        <v>-24.134635600833356</v>
      </c>
    </row>
    <row r="195" spans="2:30" x14ac:dyDescent="0.2">
      <c r="B195" s="99" t="s">
        <v>416</v>
      </c>
      <c r="C195" s="99" t="s">
        <v>1253</v>
      </c>
      <c r="D195" s="91">
        <v>2016</v>
      </c>
      <c r="E195" s="100">
        <v>24.09</v>
      </c>
      <c r="F195" s="94">
        <v>3113</v>
      </c>
      <c r="G195" s="94">
        <f t="shared" si="51"/>
        <v>129.22374429223746</v>
      </c>
      <c r="H195" s="94">
        <v>283</v>
      </c>
      <c r="I195" s="100">
        <f t="shared" si="52"/>
        <v>9.0909090909090917</v>
      </c>
      <c r="J195" s="94">
        <v>60</v>
      </c>
      <c r="K195" s="97">
        <f t="shared" si="53"/>
        <v>21.201413427561839</v>
      </c>
      <c r="L195" s="94">
        <v>69</v>
      </c>
      <c r="M195" s="94">
        <v>6</v>
      </c>
      <c r="N195" s="94">
        <v>11</v>
      </c>
      <c r="O195" s="97">
        <f t="shared" si="60"/>
        <v>8.695652173913043</v>
      </c>
      <c r="P195" s="97">
        <f t="shared" si="60"/>
        <v>15.942028985507244</v>
      </c>
      <c r="Q195" s="94">
        <v>594</v>
      </c>
      <c r="R195" s="94">
        <v>112</v>
      </c>
      <c r="S195" s="94">
        <v>121</v>
      </c>
      <c r="T195" s="97">
        <f t="shared" si="54"/>
        <v>18.855218855218855</v>
      </c>
      <c r="U195" s="97">
        <f t="shared" si="54"/>
        <v>20.37037037037037</v>
      </c>
      <c r="V195" s="98">
        <f t="shared" si="48"/>
        <v>12.505761253648796</v>
      </c>
      <c r="W195" s="98">
        <f t="shared" si="49"/>
        <v>2.3461945723429842</v>
      </c>
      <c r="X195" s="98">
        <f t="shared" si="50"/>
        <v>-10.159566681305812</v>
      </c>
      <c r="Z195" s="76" t="str">
        <f t="shared" si="55"/>
        <v>A</v>
      </c>
      <c r="AA195" s="76" t="str">
        <f t="shared" si="56"/>
        <v>A</v>
      </c>
      <c r="AB195" s="76" t="str">
        <f t="shared" si="57"/>
        <v>A</v>
      </c>
      <c r="AC195" s="76">
        <f t="shared" si="58"/>
        <v>3</v>
      </c>
      <c r="AD195" s="105">
        <f t="shared" si="59"/>
        <v>4.6923891446859685</v>
      </c>
    </row>
    <row r="196" spans="2:30" x14ac:dyDescent="0.2">
      <c r="B196" s="99" t="s">
        <v>416</v>
      </c>
      <c r="C196" s="99" t="s">
        <v>1254</v>
      </c>
      <c r="D196" s="91">
        <v>2016</v>
      </c>
      <c r="E196" s="100">
        <v>23.88</v>
      </c>
      <c r="F196" s="94">
        <v>3157</v>
      </c>
      <c r="G196" s="94">
        <f t="shared" si="51"/>
        <v>132.20268006700169</v>
      </c>
      <c r="H196" s="94"/>
      <c r="I196" s="100">
        <f t="shared" si="52"/>
        <v>0</v>
      </c>
      <c r="J196" s="94"/>
      <c r="K196" s="97">
        <f t="shared" si="53"/>
        <v>0</v>
      </c>
      <c r="L196" s="94">
        <v>68</v>
      </c>
      <c r="M196" s="94">
        <v>13</v>
      </c>
      <c r="N196" s="94">
        <v>12</v>
      </c>
      <c r="O196" s="97">
        <f t="shared" si="60"/>
        <v>19.117647058823529</v>
      </c>
      <c r="P196" s="97">
        <f t="shared" si="60"/>
        <v>17.647058823529413</v>
      </c>
      <c r="Q196" s="94"/>
      <c r="R196" s="94"/>
      <c r="S196" s="94"/>
      <c r="T196" s="97">
        <f t="shared" si="54"/>
        <v>0</v>
      </c>
      <c r="U196" s="97">
        <f t="shared" si="54"/>
        <v>0</v>
      </c>
      <c r="V196" s="98">
        <f t="shared" si="48"/>
        <v>-19.117647058823529</v>
      </c>
      <c r="W196" s="98">
        <f t="shared" si="49"/>
        <v>0</v>
      </c>
      <c r="X196" s="98">
        <f t="shared" si="50"/>
        <v>19.117647058823529</v>
      </c>
      <c r="Z196" s="76" t="b">
        <f t="shared" si="55"/>
        <v>0</v>
      </c>
      <c r="AA196" s="76" t="str">
        <f t="shared" si="56"/>
        <v>A</v>
      </c>
      <c r="AB196" s="76" t="b">
        <f t="shared" si="57"/>
        <v>0</v>
      </c>
      <c r="AC196" s="76">
        <f t="shared" si="58"/>
        <v>1</v>
      </c>
      <c r="AD196" s="105">
        <f t="shared" si="59"/>
        <v>0</v>
      </c>
    </row>
    <row r="197" spans="2:30" x14ac:dyDescent="0.2">
      <c r="B197" s="99" t="s">
        <v>416</v>
      </c>
      <c r="C197" s="99" t="s">
        <v>1255</v>
      </c>
      <c r="D197" s="91">
        <v>2016</v>
      </c>
      <c r="E197" s="100">
        <v>23.69</v>
      </c>
      <c r="F197" s="94">
        <v>2671</v>
      </c>
      <c r="G197" s="94">
        <f t="shared" si="51"/>
        <v>112.74799493457154</v>
      </c>
      <c r="H197" s="94"/>
      <c r="I197" s="100">
        <f t="shared" si="52"/>
        <v>0</v>
      </c>
      <c r="J197" s="94"/>
      <c r="K197" s="97">
        <f t="shared" si="53"/>
        <v>0</v>
      </c>
      <c r="L197" s="94">
        <v>69</v>
      </c>
      <c r="M197" s="94">
        <v>10</v>
      </c>
      <c r="N197" s="94">
        <v>16</v>
      </c>
      <c r="O197" s="97">
        <f t="shared" si="60"/>
        <v>14.492753623188406</v>
      </c>
      <c r="P197" s="97">
        <f t="shared" si="60"/>
        <v>23.188405797101449</v>
      </c>
      <c r="Q197" s="94">
        <v>463</v>
      </c>
      <c r="R197" s="94">
        <v>317</v>
      </c>
      <c r="S197" s="94">
        <v>294</v>
      </c>
      <c r="T197" s="97">
        <f t="shared" si="54"/>
        <v>68.466522678185754</v>
      </c>
      <c r="U197" s="97">
        <f t="shared" si="54"/>
        <v>63.498920086393085</v>
      </c>
      <c r="V197" s="98">
        <f t="shared" si="48"/>
        <v>-14.492753623188406</v>
      </c>
      <c r="W197" s="98">
        <f t="shared" si="49"/>
        <v>-68.466522678185754</v>
      </c>
      <c r="X197" s="98">
        <f t="shared" si="50"/>
        <v>-53.973769054997348</v>
      </c>
      <c r="Z197" s="76" t="b">
        <f t="shared" si="55"/>
        <v>0</v>
      </c>
      <c r="AA197" s="76" t="str">
        <f t="shared" si="56"/>
        <v>A</v>
      </c>
      <c r="AB197" s="76" t="str">
        <f t="shared" si="57"/>
        <v>A</v>
      </c>
      <c r="AC197" s="76">
        <f t="shared" si="58"/>
        <v>2</v>
      </c>
      <c r="AD197" s="105">
        <f t="shared" si="59"/>
        <v>-136.93304535637151</v>
      </c>
    </row>
    <row r="198" spans="2:30" x14ac:dyDescent="0.2">
      <c r="B198" s="99" t="s">
        <v>416</v>
      </c>
      <c r="C198" s="99" t="s">
        <v>1256</v>
      </c>
      <c r="D198" s="91">
        <v>2017</v>
      </c>
      <c r="E198" s="100">
        <v>40.270000000000003</v>
      </c>
      <c r="F198" s="94">
        <v>5410</v>
      </c>
      <c r="G198" s="94">
        <f t="shared" si="51"/>
        <v>134.34318351129872</v>
      </c>
      <c r="H198" s="94"/>
      <c r="I198" s="100">
        <f t="shared" si="52"/>
        <v>0</v>
      </c>
      <c r="J198" s="94"/>
      <c r="K198" s="97">
        <f t="shared" si="53"/>
        <v>0</v>
      </c>
      <c r="L198" s="94"/>
      <c r="M198" s="94"/>
      <c r="N198" s="94"/>
      <c r="O198" s="97">
        <f t="shared" si="60"/>
        <v>0</v>
      </c>
      <c r="P198" s="97">
        <f t="shared" si="60"/>
        <v>0</v>
      </c>
      <c r="Q198" s="94"/>
      <c r="R198" s="94"/>
      <c r="S198" s="94"/>
      <c r="T198" s="97">
        <f t="shared" si="54"/>
        <v>0</v>
      </c>
      <c r="U198" s="97">
        <f t="shared" si="54"/>
        <v>0</v>
      </c>
      <c r="V198" s="98">
        <f t="shared" si="48"/>
        <v>0</v>
      </c>
      <c r="W198" s="98">
        <f t="shared" si="49"/>
        <v>0</v>
      </c>
      <c r="X198" s="98">
        <f t="shared" si="50"/>
        <v>0</v>
      </c>
      <c r="Z198" s="76" t="b">
        <f t="shared" si="55"/>
        <v>0</v>
      </c>
      <c r="AA198" s="76" t="b">
        <f t="shared" si="56"/>
        <v>0</v>
      </c>
      <c r="AB198" s="76" t="b">
        <f t="shared" si="57"/>
        <v>0</v>
      </c>
      <c r="AC198" s="76">
        <f t="shared" si="58"/>
        <v>0</v>
      </c>
      <c r="AD198" s="105">
        <f t="shared" si="59"/>
        <v>0</v>
      </c>
    </row>
    <row r="199" spans="2:30" x14ac:dyDescent="0.2">
      <c r="B199" s="99" t="s">
        <v>416</v>
      </c>
      <c r="C199" s="99" t="s">
        <v>1257</v>
      </c>
      <c r="D199" s="91">
        <v>2017</v>
      </c>
      <c r="E199" s="100">
        <v>37.99</v>
      </c>
      <c r="F199" s="94">
        <v>5100</v>
      </c>
      <c r="G199" s="94">
        <f t="shared" si="51"/>
        <v>134.24585417215056</v>
      </c>
      <c r="H199" s="94"/>
      <c r="I199" s="100">
        <f t="shared" si="52"/>
        <v>0</v>
      </c>
      <c r="J199" s="94"/>
      <c r="K199" s="97">
        <f t="shared" si="53"/>
        <v>0</v>
      </c>
      <c r="L199" s="94"/>
      <c r="M199" s="94"/>
      <c r="N199" s="94"/>
      <c r="O199" s="97">
        <f t="shared" si="60"/>
        <v>0</v>
      </c>
      <c r="P199" s="97">
        <f t="shared" si="60"/>
        <v>0</v>
      </c>
      <c r="Q199" s="94"/>
      <c r="R199" s="94"/>
      <c r="S199" s="94"/>
      <c r="T199" s="97">
        <f t="shared" si="54"/>
        <v>0</v>
      </c>
      <c r="U199" s="97">
        <f t="shared" si="54"/>
        <v>0</v>
      </c>
      <c r="V199" s="98">
        <f t="shared" si="48"/>
        <v>0</v>
      </c>
      <c r="W199" s="98">
        <f t="shared" si="49"/>
        <v>0</v>
      </c>
      <c r="X199" s="98">
        <f t="shared" si="50"/>
        <v>0</v>
      </c>
      <c r="Z199" s="76" t="b">
        <f t="shared" si="55"/>
        <v>0</v>
      </c>
      <c r="AA199" s="76" t="b">
        <f t="shared" si="56"/>
        <v>0</v>
      </c>
      <c r="AB199" s="76" t="b">
        <f t="shared" si="57"/>
        <v>0</v>
      </c>
      <c r="AC199" s="76">
        <f t="shared" si="58"/>
        <v>0</v>
      </c>
      <c r="AD199" s="105">
        <f t="shared" si="59"/>
        <v>0</v>
      </c>
    </row>
    <row r="200" spans="2:30" x14ac:dyDescent="0.2">
      <c r="Q200" s="79"/>
      <c r="R200" s="79"/>
      <c r="S200" s="79"/>
    </row>
  </sheetData>
  <autoFilter ref="B19:AD199" xr:uid="{E70C0F5C-6E4B-BC4B-A8C7-08A55367F543}"/>
  <mergeCells count="17">
    <mergeCell ref="B6:B8"/>
    <mergeCell ref="C6:G7"/>
    <mergeCell ref="H6:U6"/>
    <mergeCell ref="V6:X7"/>
    <mergeCell ref="H7:K7"/>
    <mergeCell ref="L7:P7"/>
    <mergeCell ref="Q7:U7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B14:C14"/>
  </mergeCells>
  <conditionalFormatting sqref="K9:K18">
    <cfRule type="cellIs" dxfId="28" priority="26" operator="lessThanOrEqual">
      <formula>"&gt;5,00"</formula>
    </cfRule>
    <cfRule type="cellIs" dxfId="27" priority="25" operator="between">
      <formula>3</formula>
      <formula>4.99</formula>
    </cfRule>
    <cfRule type="cellIs" dxfId="26" priority="24" operator="between">
      <formula>0.001</formula>
      <formula>2.99</formula>
    </cfRule>
    <cfRule type="cellIs" dxfId="25" priority="23" operator="equal">
      <formula>0</formula>
    </cfRule>
  </conditionalFormatting>
  <conditionalFormatting sqref="K20:K199">
    <cfRule type="cellIs" dxfId="24" priority="14" operator="lessThanOrEqual">
      <formula>"&gt;5,00"</formula>
    </cfRule>
    <cfRule type="cellIs" dxfId="23" priority="11" operator="equal">
      <formula>0</formula>
    </cfRule>
    <cfRule type="cellIs" dxfId="22" priority="12" operator="between">
      <formula>0.001</formula>
      <formula>2.99</formula>
    </cfRule>
    <cfRule type="cellIs" dxfId="21" priority="13" operator="between">
      <formula>3</formula>
      <formula>4.99</formula>
    </cfRule>
  </conditionalFormatting>
  <conditionalFormatting sqref="O9:P18">
    <cfRule type="cellIs" dxfId="20" priority="19" operator="equal">
      <formula>0</formula>
    </cfRule>
    <cfRule type="cellIs" dxfId="19" priority="20" operator="between">
      <formula>0.001</formula>
      <formula>2.99</formula>
    </cfRule>
    <cfRule type="cellIs" dxfId="18" priority="21" operator="between">
      <formula>3</formula>
      <formula>4.99</formula>
    </cfRule>
    <cfRule type="cellIs" dxfId="17" priority="22" operator="lessThanOrEqual">
      <formula>"&gt;5,00"</formula>
    </cfRule>
  </conditionalFormatting>
  <conditionalFormatting sqref="O20:P199">
    <cfRule type="cellIs" dxfId="16" priority="7" operator="equal">
      <formula>0</formula>
    </cfRule>
    <cfRule type="cellIs" dxfId="15" priority="8" operator="between">
      <formula>0.001</formula>
      <formula>2.99</formula>
    </cfRule>
    <cfRule type="cellIs" dxfId="14" priority="9" operator="between">
      <formula>3</formula>
      <formula>4.99</formula>
    </cfRule>
    <cfRule type="cellIs" dxfId="13" priority="10" operator="lessThanOrEqual">
      <formula>"&gt;5,00"</formula>
    </cfRule>
  </conditionalFormatting>
  <conditionalFormatting sqref="T9:U18">
    <cfRule type="cellIs" dxfId="12" priority="15" operator="equal">
      <formula>0</formula>
    </cfRule>
    <cfRule type="cellIs" dxfId="11" priority="16" operator="between">
      <formula>0.001</formula>
      <formula>2.99</formula>
    </cfRule>
    <cfRule type="cellIs" dxfId="10" priority="17" operator="between">
      <formula>3</formula>
      <formula>4.99</formula>
    </cfRule>
    <cfRule type="cellIs" dxfId="9" priority="18" operator="lessThanOrEqual">
      <formula>"&gt;5,00"</formula>
    </cfRule>
  </conditionalFormatting>
  <conditionalFormatting sqref="T20:U199">
    <cfRule type="cellIs" dxfId="8" priority="6" operator="lessThanOrEqual">
      <formula>"&gt;5,00"</formula>
    </cfRule>
    <cfRule type="cellIs" dxfId="7" priority="5" operator="between">
      <formula>3</formula>
      <formula>4.99</formula>
    </cfRule>
    <cfRule type="cellIs" dxfId="6" priority="4" operator="between">
      <formula>0.001</formula>
      <formula>2.99</formula>
    </cfRule>
    <cfRule type="cellIs" dxfId="5" priority="3" operator="equal">
      <formula>0</formula>
    </cfRule>
  </conditionalFormatting>
  <conditionalFormatting sqref="V9:X199">
    <cfRule type="cellIs" dxfId="4" priority="2" operator="lessThan">
      <formula>0</formula>
    </cfRule>
    <cfRule type="cellIs" dxfId="3" priority="1" operator="greaterThan">
      <formula>0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9DBFF-6DE1-468E-A3E4-65A367FBA2B5}">
  <dimension ref="B2:AO231"/>
  <sheetViews>
    <sheetView showGridLines="0" tabSelected="1" zoomScaleNormal="100" workbookViewId="0">
      <selection activeCell="AN231" sqref="AN24:AN231"/>
    </sheetView>
  </sheetViews>
  <sheetFormatPr baseColWidth="10" defaultColWidth="8.83203125" defaultRowHeight="15" x14ac:dyDescent="0.2"/>
  <cols>
    <col min="1" max="1" width="2.1640625" style="107" customWidth="1"/>
    <col min="2" max="2" width="11.83203125" style="107" customWidth="1"/>
    <col min="3" max="3" width="0" style="107" hidden="1" customWidth="1"/>
    <col min="4" max="4" width="9.83203125" style="107" customWidth="1"/>
    <col min="5" max="5" width="8.83203125" style="107"/>
    <col min="6" max="6" width="12.5" style="107" customWidth="1"/>
    <col min="7" max="7" width="11" style="107" customWidth="1"/>
    <col min="8" max="8" width="7.6640625" style="107" customWidth="1"/>
    <col min="9" max="9" width="10.33203125" style="107" hidden="1" customWidth="1"/>
    <col min="10" max="10" width="9.83203125" style="107" customWidth="1"/>
    <col min="11" max="11" width="10.33203125" style="107" customWidth="1"/>
    <col min="12" max="13" width="9.83203125" style="107" customWidth="1"/>
    <col min="14" max="21" width="0" style="107" hidden="1" customWidth="1"/>
    <col min="22" max="22" width="8.83203125" style="107"/>
    <col min="23" max="23" width="9.83203125" style="107" hidden="1" customWidth="1"/>
    <col min="24" max="24" width="8.83203125" style="107"/>
    <col min="25" max="25" width="10.1640625" style="107" customWidth="1"/>
    <col min="26" max="27" width="8.83203125" style="107"/>
    <col min="28" max="35" width="0" style="107" hidden="1" customWidth="1"/>
    <col min="36" max="36" width="8.83203125" style="107"/>
    <col min="37" max="37" width="9.83203125" style="107" hidden="1" customWidth="1"/>
    <col min="38" max="38" width="8.83203125" style="107"/>
    <col min="39" max="39" width="9.6640625" style="107" customWidth="1"/>
    <col min="40" max="40" width="8.83203125" style="107"/>
    <col min="41" max="41" width="9.83203125" style="107" customWidth="1"/>
    <col min="42" max="42" width="3.5" style="107" customWidth="1"/>
    <col min="43" max="16384" width="8.83203125" style="107"/>
  </cols>
  <sheetData>
    <row r="2" spans="2:41" x14ac:dyDescent="0.2">
      <c r="B2" s="106" t="s">
        <v>1258</v>
      </c>
    </row>
    <row r="3" spans="2:41" x14ac:dyDescent="0.2">
      <c r="B3" s="108">
        <f ca="1">TODAY()-1</f>
        <v>46257</v>
      </c>
    </row>
    <row r="4" spans="2:41" x14ac:dyDescent="0.2">
      <c r="B4" s="109" t="s">
        <v>1259</v>
      </c>
    </row>
    <row r="5" spans="2:41" x14ac:dyDescent="0.2">
      <c r="B5" s="379" t="s">
        <v>619</v>
      </c>
      <c r="C5" s="110"/>
      <c r="D5" s="379" t="s">
        <v>1048</v>
      </c>
      <c r="E5" s="379" t="s">
        <v>1260</v>
      </c>
      <c r="F5" s="379" t="s">
        <v>1261</v>
      </c>
      <c r="G5" s="379" t="s">
        <v>1262</v>
      </c>
      <c r="H5" s="390" t="s">
        <v>1263</v>
      </c>
      <c r="I5" s="390"/>
      <c r="J5" s="390"/>
      <c r="K5" s="390"/>
      <c r="L5" s="390"/>
      <c r="M5" s="390"/>
      <c r="N5" s="111"/>
      <c r="O5" s="111"/>
      <c r="P5" s="111"/>
      <c r="Q5" s="111"/>
      <c r="R5" s="111" t="s">
        <v>938</v>
      </c>
      <c r="S5" s="111"/>
      <c r="T5" s="111"/>
      <c r="U5" s="111"/>
      <c r="V5" s="388" t="s">
        <v>1264</v>
      </c>
      <c r="W5" s="388"/>
      <c r="X5" s="388"/>
      <c r="Y5" s="388"/>
      <c r="Z5" s="388"/>
      <c r="AA5" s="388"/>
      <c r="AB5" s="111"/>
      <c r="AC5" s="111"/>
      <c r="AD5" s="111"/>
      <c r="AE5" s="111"/>
      <c r="AF5" s="389" t="s">
        <v>1265</v>
      </c>
      <c r="AG5" s="389"/>
      <c r="AH5" s="389"/>
      <c r="AI5" s="389"/>
      <c r="AJ5" s="389"/>
      <c r="AK5" s="389"/>
      <c r="AL5" s="389"/>
      <c r="AM5" s="389"/>
      <c r="AN5" s="389"/>
      <c r="AO5" s="389"/>
    </row>
    <row r="6" spans="2:41" ht="32" customHeight="1" x14ac:dyDescent="0.2">
      <c r="B6" s="379"/>
      <c r="C6" s="379" t="s">
        <v>933</v>
      </c>
      <c r="D6" s="379"/>
      <c r="E6" s="379"/>
      <c r="F6" s="379"/>
      <c r="G6" s="379"/>
      <c r="H6" s="381" t="s">
        <v>1266</v>
      </c>
      <c r="I6" s="381"/>
      <c r="J6" s="382" t="s">
        <v>1267</v>
      </c>
      <c r="K6" s="382"/>
      <c r="L6" s="382" t="s">
        <v>1268</v>
      </c>
      <c r="M6" s="382"/>
      <c r="P6" s="379" t="s">
        <v>619</v>
      </c>
      <c r="Q6" s="379" t="s">
        <v>933</v>
      </c>
      <c r="R6" s="379" t="s">
        <v>934</v>
      </c>
      <c r="S6" s="379" t="s">
        <v>4</v>
      </c>
      <c r="T6" s="379" t="s">
        <v>8</v>
      </c>
      <c r="U6" s="379" t="s">
        <v>1262</v>
      </c>
      <c r="V6" s="383" t="s">
        <v>1269</v>
      </c>
      <c r="W6" s="383"/>
      <c r="X6" s="380" t="s">
        <v>1267</v>
      </c>
      <c r="Y6" s="380"/>
      <c r="Z6" s="380" t="s">
        <v>1268</v>
      </c>
      <c r="AA6" s="380"/>
      <c r="AD6" s="379" t="s">
        <v>619</v>
      </c>
      <c r="AE6" s="379" t="s">
        <v>933</v>
      </c>
      <c r="AF6" s="387" t="s">
        <v>934</v>
      </c>
      <c r="AG6" s="387" t="s">
        <v>4</v>
      </c>
      <c r="AH6" s="387" t="s">
        <v>8</v>
      </c>
      <c r="AI6" s="387" t="s">
        <v>1262</v>
      </c>
      <c r="AJ6" s="387" t="s">
        <v>1270</v>
      </c>
      <c r="AK6" s="387"/>
      <c r="AL6" s="384" t="s">
        <v>1267</v>
      </c>
      <c r="AM6" s="384"/>
      <c r="AN6" s="384" t="s">
        <v>1268</v>
      </c>
      <c r="AO6" s="384"/>
    </row>
    <row r="7" spans="2:41" ht="15.5" customHeight="1" x14ac:dyDescent="0.2">
      <c r="B7" s="379"/>
      <c r="C7" s="379"/>
      <c r="D7" s="379"/>
      <c r="E7" s="379"/>
      <c r="F7" s="379"/>
      <c r="G7" s="379"/>
      <c r="H7" s="381"/>
      <c r="I7" s="381"/>
      <c r="J7" s="382"/>
      <c r="K7" s="382"/>
      <c r="L7" s="382"/>
      <c r="M7" s="382"/>
      <c r="P7" s="379"/>
      <c r="Q7" s="379"/>
      <c r="R7" s="379"/>
      <c r="S7" s="379"/>
      <c r="T7" s="379"/>
      <c r="U7" s="379"/>
      <c r="V7" s="383"/>
      <c r="W7" s="383"/>
      <c r="X7" s="380"/>
      <c r="Y7" s="380"/>
      <c r="Z7" s="380"/>
      <c r="AA7" s="380"/>
      <c r="AD7" s="379"/>
      <c r="AE7" s="379"/>
      <c r="AF7" s="387"/>
      <c r="AG7" s="387"/>
      <c r="AH7" s="387"/>
      <c r="AI7" s="387"/>
      <c r="AJ7" s="387"/>
      <c r="AK7" s="387"/>
      <c r="AL7" s="384"/>
      <c r="AM7" s="384"/>
      <c r="AN7" s="384"/>
      <c r="AO7" s="384"/>
    </row>
    <row r="8" spans="2:41" ht="41.5" customHeight="1" x14ac:dyDescent="0.2">
      <c r="B8" s="379"/>
      <c r="C8" s="379"/>
      <c r="D8" s="379"/>
      <c r="E8" s="379"/>
      <c r="F8" s="379"/>
      <c r="G8" s="379"/>
      <c r="H8" s="112" t="s">
        <v>1262</v>
      </c>
      <c r="I8" s="112" t="s">
        <v>1271</v>
      </c>
      <c r="J8" s="112" t="s">
        <v>1262</v>
      </c>
      <c r="K8" s="112" t="s">
        <v>1271</v>
      </c>
      <c r="L8" s="112" t="s">
        <v>1262</v>
      </c>
      <c r="M8" s="112" t="s">
        <v>1271</v>
      </c>
      <c r="P8" s="379"/>
      <c r="Q8" s="379"/>
      <c r="R8" s="379"/>
      <c r="S8" s="379"/>
      <c r="T8" s="379"/>
      <c r="U8" s="379"/>
      <c r="V8" s="113" t="s">
        <v>1262</v>
      </c>
      <c r="W8" s="113" t="s">
        <v>1271</v>
      </c>
      <c r="X8" s="113" t="s">
        <v>1262</v>
      </c>
      <c r="Y8" s="113" t="s">
        <v>1271</v>
      </c>
      <c r="Z8" s="113" t="s">
        <v>1262</v>
      </c>
      <c r="AA8" s="113" t="s">
        <v>1271</v>
      </c>
      <c r="AD8" s="379"/>
      <c r="AE8" s="379"/>
      <c r="AF8" s="387"/>
      <c r="AG8" s="387"/>
      <c r="AH8" s="387"/>
      <c r="AI8" s="387"/>
      <c r="AJ8" s="114" t="s">
        <v>1272</v>
      </c>
      <c r="AK8" s="114" t="s">
        <v>1271</v>
      </c>
      <c r="AL8" s="114" t="s">
        <v>1262</v>
      </c>
      <c r="AM8" s="114" t="s">
        <v>1271</v>
      </c>
      <c r="AN8" s="114" t="s">
        <v>1262</v>
      </c>
      <c r="AO8" s="114" t="s">
        <v>1271</v>
      </c>
    </row>
    <row r="9" spans="2:41" x14ac:dyDescent="0.2">
      <c r="B9" s="385" t="s">
        <v>1273</v>
      </c>
      <c r="C9" s="110" t="s">
        <v>1274</v>
      </c>
      <c r="D9" s="110" t="s">
        <v>14</v>
      </c>
      <c r="E9" s="115">
        <f t="shared" ref="E9:E15" si="0">COUNTIF($D$24:$D$231,D9)</f>
        <v>32</v>
      </c>
      <c r="F9" s="115">
        <v>20</v>
      </c>
      <c r="G9" s="116">
        <f t="shared" ref="G9:H15" si="1">SUMIF($D$24:$D$231,$D9,G$24:G$231)</f>
        <v>121555</v>
      </c>
      <c r="H9" s="110">
        <f t="shared" si="1"/>
        <v>7465</v>
      </c>
      <c r="I9" s="117">
        <f t="shared" ref="I9:I19" si="2">IFERROR(H9/G9%,0)</f>
        <v>6.1412529307720787</v>
      </c>
      <c r="J9" s="110">
        <f t="shared" ref="J9:J15" si="3">SUMIF($D$24:$D$231,$D9,J$24:J$231)</f>
        <v>4009</v>
      </c>
      <c r="K9" s="117">
        <f>IFERROR(J9/H9%,0)</f>
        <v>53.703951774949765</v>
      </c>
      <c r="L9" s="110">
        <f t="shared" ref="L9:L15" si="4">SUMIF($D$24:$D$231,$D9,L$24:L$231)</f>
        <v>1034</v>
      </c>
      <c r="M9" s="117">
        <f t="shared" ref="M9:M19" si="5">IFERROR(L9/H9%,0)</f>
        <v>13.851306095110514</v>
      </c>
      <c r="N9" s="110"/>
      <c r="O9" s="110"/>
      <c r="P9" s="385" t="s">
        <v>1273</v>
      </c>
      <c r="Q9" s="110" t="s">
        <v>1274</v>
      </c>
      <c r="R9" s="110" t="s">
        <v>14</v>
      </c>
      <c r="S9" s="115">
        <f t="shared" ref="S9:S15" si="6">COUNTIF($D$24:$D$231,R9)</f>
        <v>32</v>
      </c>
      <c r="T9" s="115"/>
      <c r="U9" s="116">
        <f t="shared" ref="U9:V15" si="7">SUMIF($D$24:$D$231,$D9,U$24:U$231)</f>
        <v>121555</v>
      </c>
      <c r="V9" s="110">
        <f t="shared" si="7"/>
        <v>291</v>
      </c>
      <c r="W9" s="117">
        <f t="shared" ref="W9:W19" si="8">IFERROR(V9/U9%,0)</f>
        <v>0.23939780346345277</v>
      </c>
      <c r="X9" s="110">
        <f t="shared" ref="X9:X15" si="9">SUMIF($D$24:$D$231,$D9,X$24:X$231)</f>
        <v>134</v>
      </c>
      <c r="Y9" s="117">
        <f>IFERROR(X9/V9%,0)</f>
        <v>46.048109965635739</v>
      </c>
      <c r="Z9" s="110">
        <f t="shared" ref="Z9:Z15" si="10">SUMIF($D$24:$D$231,$D9,Z$24:Z$231)</f>
        <v>80</v>
      </c>
      <c r="AA9" s="117">
        <f t="shared" ref="AA9:AA19" si="11">IFERROR(Z9/V9%,0)</f>
        <v>27.491408934707902</v>
      </c>
      <c r="AB9" s="110"/>
      <c r="AC9" s="110"/>
      <c r="AD9" s="385" t="s">
        <v>1273</v>
      </c>
      <c r="AE9" s="110" t="s">
        <v>1274</v>
      </c>
      <c r="AF9" s="110" t="s">
        <v>14</v>
      </c>
      <c r="AG9" s="115">
        <f t="shared" ref="AG9:AG15" si="12">COUNTIF($D$24:$D$231,AF9)</f>
        <v>32</v>
      </c>
      <c r="AH9" s="115"/>
      <c r="AI9" s="116">
        <f t="shared" ref="AI9:AJ15" si="13">SUMIF($D$24:$D$231,$D9,AI$24:AI$231)</f>
        <v>121555</v>
      </c>
      <c r="AJ9" s="110">
        <f t="shared" si="13"/>
        <v>717</v>
      </c>
      <c r="AK9" s="117">
        <f t="shared" ref="AK9:AK19" si="14">IFERROR(AJ9/AI9%,0)</f>
        <v>0.58985644358520839</v>
      </c>
      <c r="AL9" s="110">
        <f t="shared" ref="AL9:AL15" si="15">SUMIF($D$24:$D$231,$D9,AL$24:AL$231)</f>
        <v>196</v>
      </c>
      <c r="AM9" s="117">
        <f>IFERROR(AL9/AJ9%,0)</f>
        <v>27.336122733612275</v>
      </c>
      <c r="AN9" s="110">
        <f t="shared" ref="AN9:AN15" si="16">SUMIF($D$24:$D$231,$D9,AN$24:AN$231)</f>
        <v>69</v>
      </c>
      <c r="AO9" s="117">
        <f t="shared" ref="AO9:AO19" si="17">IFERROR(AN9/AJ9%,0)</f>
        <v>9.6234309623430967</v>
      </c>
    </row>
    <row r="10" spans="2:41" x14ac:dyDescent="0.2">
      <c r="B10" s="385"/>
      <c r="C10" s="110" t="s">
        <v>1274</v>
      </c>
      <c r="D10" s="110" t="s">
        <v>47</v>
      </c>
      <c r="E10" s="115">
        <f t="shared" si="0"/>
        <v>28</v>
      </c>
      <c r="F10" s="115">
        <v>20</v>
      </c>
      <c r="G10" s="116">
        <f t="shared" si="1"/>
        <v>108822</v>
      </c>
      <c r="H10" s="110">
        <f t="shared" si="1"/>
        <v>4499</v>
      </c>
      <c r="I10" s="117">
        <f t="shared" si="2"/>
        <v>4.1342743195309772</v>
      </c>
      <c r="J10" s="110">
        <f t="shared" si="3"/>
        <v>1824</v>
      </c>
      <c r="K10" s="117">
        <f t="shared" ref="K10:K19" si="18">IFERROR(J10/H10%,0)</f>
        <v>40.542342742831735</v>
      </c>
      <c r="L10" s="110">
        <f t="shared" si="4"/>
        <v>847</v>
      </c>
      <c r="M10" s="117">
        <f t="shared" si="5"/>
        <v>18.82640586797066</v>
      </c>
      <c r="N10" s="110"/>
      <c r="O10" s="110"/>
      <c r="P10" s="385"/>
      <c r="Q10" s="110" t="s">
        <v>1274</v>
      </c>
      <c r="R10" s="110" t="s">
        <v>47</v>
      </c>
      <c r="S10" s="115">
        <f t="shared" si="6"/>
        <v>28</v>
      </c>
      <c r="T10" s="115"/>
      <c r="U10" s="116">
        <f t="shared" si="7"/>
        <v>108822</v>
      </c>
      <c r="V10" s="110">
        <f t="shared" si="7"/>
        <v>186</v>
      </c>
      <c r="W10" s="117">
        <f t="shared" si="8"/>
        <v>0.17092132105640404</v>
      </c>
      <c r="X10" s="110">
        <f t="shared" si="9"/>
        <v>30</v>
      </c>
      <c r="Y10" s="117">
        <f t="shared" ref="Y10:Y19" si="19">IFERROR(X10/V10%,0)</f>
        <v>16.129032258064516</v>
      </c>
      <c r="Z10" s="110">
        <f t="shared" si="10"/>
        <v>75</v>
      </c>
      <c r="AA10" s="117">
        <f t="shared" si="11"/>
        <v>40.322580645161288</v>
      </c>
      <c r="AB10" s="110"/>
      <c r="AC10" s="110"/>
      <c r="AD10" s="385"/>
      <c r="AE10" s="110" t="s">
        <v>1274</v>
      </c>
      <c r="AF10" s="110" t="s">
        <v>47</v>
      </c>
      <c r="AG10" s="115">
        <f t="shared" si="12"/>
        <v>28</v>
      </c>
      <c r="AH10" s="115">
        <v>20</v>
      </c>
      <c r="AI10" s="116">
        <f t="shared" si="13"/>
        <v>108822</v>
      </c>
      <c r="AJ10" s="110">
        <f t="shared" si="13"/>
        <v>1678</v>
      </c>
      <c r="AK10" s="117">
        <f t="shared" si="14"/>
        <v>1.5419676168421825</v>
      </c>
      <c r="AL10" s="110">
        <f t="shared" si="15"/>
        <v>691</v>
      </c>
      <c r="AM10" s="117">
        <f t="shared" ref="AM10:AM19" si="20">IFERROR(AL10/AJ10%,0)</f>
        <v>41.179976162097731</v>
      </c>
      <c r="AN10" s="110">
        <f t="shared" si="16"/>
        <v>284</v>
      </c>
      <c r="AO10" s="117">
        <f t="shared" si="17"/>
        <v>16.924910607866508</v>
      </c>
    </row>
    <row r="11" spans="2:41" x14ac:dyDescent="0.2">
      <c r="B11" s="385"/>
      <c r="C11" s="110" t="s">
        <v>1274</v>
      </c>
      <c r="D11" s="110" t="s">
        <v>79</v>
      </c>
      <c r="E11" s="115">
        <f t="shared" si="0"/>
        <v>30</v>
      </c>
      <c r="F11" s="115">
        <v>30</v>
      </c>
      <c r="G11" s="116">
        <f t="shared" si="1"/>
        <v>103340</v>
      </c>
      <c r="H11" s="110">
        <f t="shared" si="1"/>
        <v>1408</v>
      </c>
      <c r="I11" s="117">
        <f t="shared" si="2"/>
        <v>1.3624927424037159</v>
      </c>
      <c r="J11" s="110">
        <f t="shared" si="3"/>
        <v>1196</v>
      </c>
      <c r="K11" s="117">
        <f t="shared" si="18"/>
        <v>84.943181818181813</v>
      </c>
      <c r="L11" s="110">
        <f t="shared" si="4"/>
        <v>212</v>
      </c>
      <c r="M11" s="117">
        <f t="shared" si="5"/>
        <v>15.056818181818182</v>
      </c>
      <c r="N11" s="110"/>
      <c r="O11" s="110"/>
      <c r="P11" s="385"/>
      <c r="Q11" s="110" t="s">
        <v>1274</v>
      </c>
      <c r="R11" s="110" t="s">
        <v>79</v>
      </c>
      <c r="S11" s="115">
        <f t="shared" si="6"/>
        <v>30</v>
      </c>
      <c r="T11" s="115"/>
      <c r="U11" s="116">
        <f t="shared" si="7"/>
        <v>103340</v>
      </c>
      <c r="V11" s="110">
        <f t="shared" si="7"/>
        <v>319</v>
      </c>
      <c r="W11" s="117">
        <f t="shared" si="8"/>
        <v>0.30868976195084186</v>
      </c>
      <c r="X11" s="110">
        <f t="shared" si="9"/>
        <v>105</v>
      </c>
      <c r="Y11" s="117">
        <f t="shared" si="19"/>
        <v>32.915360501567399</v>
      </c>
      <c r="Z11" s="110">
        <f t="shared" si="10"/>
        <v>109</v>
      </c>
      <c r="AA11" s="117">
        <f t="shared" si="11"/>
        <v>34.169278996865202</v>
      </c>
      <c r="AB11" s="110"/>
      <c r="AC11" s="110"/>
      <c r="AD11" s="385"/>
      <c r="AE11" s="110" t="s">
        <v>1274</v>
      </c>
      <c r="AF11" s="110" t="s">
        <v>79</v>
      </c>
      <c r="AG11" s="115">
        <f t="shared" si="12"/>
        <v>30</v>
      </c>
      <c r="AH11" s="115">
        <v>30</v>
      </c>
      <c r="AI11" s="116">
        <f t="shared" si="13"/>
        <v>103340</v>
      </c>
      <c r="AJ11" s="110">
        <f t="shared" si="13"/>
        <v>0</v>
      </c>
      <c r="AK11" s="117">
        <f t="shared" si="14"/>
        <v>0</v>
      </c>
      <c r="AL11" s="110">
        <f t="shared" si="15"/>
        <v>0</v>
      </c>
      <c r="AM11" s="117">
        <f t="shared" si="20"/>
        <v>0</v>
      </c>
      <c r="AN11" s="110">
        <f t="shared" si="16"/>
        <v>0</v>
      </c>
      <c r="AO11" s="117">
        <f t="shared" si="17"/>
        <v>0</v>
      </c>
    </row>
    <row r="12" spans="2:41" x14ac:dyDescent="0.2">
      <c r="B12" s="385"/>
      <c r="C12" s="110" t="s">
        <v>1274</v>
      </c>
      <c r="D12" s="110" t="s">
        <v>107</v>
      </c>
      <c r="E12" s="115">
        <f t="shared" si="0"/>
        <v>31</v>
      </c>
      <c r="F12" s="115">
        <v>15</v>
      </c>
      <c r="G12" s="116">
        <f t="shared" si="1"/>
        <v>115583</v>
      </c>
      <c r="H12" s="110">
        <f t="shared" si="1"/>
        <v>10379</v>
      </c>
      <c r="I12" s="117">
        <f t="shared" si="2"/>
        <v>8.9796942456935707</v>
      </c>
      <c r="J12" s="110">
        <f t="shared" si="3"/>
        <v>2215</v>
      </c>
      <c r="K12" s="117">
        <f t="shared" si="18"/>
        <v>21.341169669525001</v>
      </c>
      <c r="L12" s="110">
        <f t="shared" si="4"/>
        <v>524</v>
      </c>
      <c r="M12" s="117">
        <f t="shared" si="5"/>
        <v>5.0486559398786008</v>
      </c>
      <c r="N12" s="110"/>
      <c r="O12" s="110"/>
      <c r="P12" s="385"/>
      <c r="Q12" s="110" t="s">
        <v>1274</v>
      </c>
      <c r="R12" s="110" t="s">
        <v>107</v>
      </c>
      <c r="S12" s="115">
        <f t="shared" si="6"/>
        <v>31</v>
      </c>
      <c r="T12" s="115"/>
      <c r="U12" s="116">
        <f t="shared" si="7"/>
        <v>115583</v>
      </c>
      <c r="V12" s="110">
        <f t="shared" si="7"/>
        <v>382</v>
      </c>
      <c r="W12" s="117">
        <f t="shared" si="8"/>
        <v>0.33049842969986937</v>
      </c>
      <c r="X12" s="110">
        <f t="shared" si="9"/>
        <v>128</v>
      </c>
      <c r="Y12" s="117">
        <f t="shared" si="19"/>
        <v>33.507853403141361</v>
      </c>
      <c r="Z12" s="110">
        <f t="shared" si="10"/>
        <v>68</v>
      </c>
      <c r="AA12" s="117">
        <f t="shared" si="11"/>
        <v>17.801047120418851</v>
      </c>
      <c r="AB12" s="110"/>
      <c r="AC12" s="110"/>
      <c r="AD12" s="385"/>
      <c r="AE12" s="110" t="s">
        <v>1274</v>
      </c>
      <c r="AF12" s="110" t="s">
        <v>107</v>
      </c>
      <c r="AG12" s="115">
        <f t="shared" si="12"/>
        <v>31</v>
      </c>
      <c r="AH12" s="115"/>
      <c r="AI12" s="116">
        <f t="shared" si="13"/>
        <v>115583</v>
      </c>
      <c r="AJ12" s="110">
        <f t="shared" si="13"/>
        <v>350</v>
      </c>
      <c r="AK12" s="117">
        <f t="shared" si="14"/>
        <v>0.30281269736899025</v>
      </c>
      <c r="AL12" s="110">
        <f t="shared" si="15"/>
        <v>224</v>
      </c>
      <c r="AM12" s="117">
        <f t="shared" si="20"/>
        <v>64</v>
      </c>
      <c r="AN12" s="110">
        <f t="shared" si="16"/>
        <v>77</v>
      </c>
      <c r="AO12" s="117">
        <f t="shared" si="17"/>
        <v>22</v>
      </c>
    </row>
    <row r="13" spans="2:41" x14ac:dyDescent="0.2">
      <c r="B13" s="385"/>
      <c r="C13" s="110" t="s">
        <v>1274</v>
      </c>
      <c r="D13" s="110" t="s">
        <v>144</v>
      </c>
      <c r="E13" s="115">
        <f t="shared" si="0"/>
        <v>29</v>
      </c>
      <c r="F13" s="115">
        <v>22</v>
      </c>
      <c r="G13" s="116">
        <f t="shared" si="1"/>
        <v>109065</v>
      </c>
      <c r="H13" s="110">
        <f t="shared" si="1"/>
        <v>5370</v>
      </c>
      <c r="I13" s="117">
        <f t="shared" si="2"/>
        <v>4.9236693714757251</v>
      </c>
      <c r="J13" s="110">
        <f t="shared" si="3"/>
        <v>1521</v>
      </c>
      <c r="K13" s="117">
        <f t="shared" si="18"/>
        <v>28.324022346368714</v>
      </c>
      <c r="L13" s="110">
        <f t="shared" si="4"/>
        <v>368</v>
      </c>
      <c r="M13" s="117">
        <f t="shared" si="5"/>
        <v>6.8528864059590315</v>
      </c>
      <c r="N13" s="110"/>
      <c r="O13" s="110"/>
      <c r="P13" s="385"/>
      <c r="Q13" s="110" t="s">
        <v>1274</v>
      </c>
      <c r="R13" s="110" t="s">
        <v>144</v>
      </c>
      <c r="S13" s="115">
        <f t="shared" si="6"/>
        <v>29</v>
      </c>
      <c r="T13" s="115"/>
      <c r="U13" s="116">
        <f t="shared" si="7"/>
        <v>109065</v>
      </c>
      <c r="V13" s="110">
        <f t="shared" si="7"/>
        <v>389</v>
      </c>
      <c r="W13" s="117">
        <f t="shared" si="8"/>
        <v>0.35666804199330671</v>
      </c>
      <c r="X13" s="110">
        <f t="shared" si="9"/>
        <v>157</v>
      </c>
      <c r="Y13" s="117">
        <f t="shared" si="19"/>
        <v>40.359897172236501</v>
      </c>
      <c r="Z13" s="110">
        <f t="shared" si="10"/>
        <v>84</v>
      </c>
      <c r="AA13" s="117">
        <f t="shared" si="11"/>
        <v>21.59383033419023</v>
      </c>
      <c r="AB13" s="110"/>
      <c r="AC13" s="110"/>
      <c r="AD13" s="385"/>
      <c r="AE13" s="110" t="s">
        <v>1274</v>
      </c>
      <c r="AF13" s="110" t="s">
        <v>144</v>
      </c>
      <c r="AG13" s="115">
        <f t="shared" si="12"/>
        <v>29</v>
      </c>
      <c r="AH13" s="115"/>
      <c r="AI13" s="116">
        <f t="shared" si="13"/>
        <v>109065</v>
      </c>
      <c r="AJ13" s="110">
        <f t="shared" si="13"/>
        <v>1200</v>
      </c>
      <c r="AK13" s="117">
        <f t="shared" si="14"/>
        <v>1.1002613120616145</v>
      </c>
      <c r="AL13" s="110">
        <f t="shared" si="15"/>
        <v>136</v>
      </c>
      <c r="AM13" s="117">
        <f t="shared" si="20"/>
        <v>11.333333333333334</v>
      </c>
      <c r="AN13" s="110">
        <f t="shared" si="16"/>
        <v>168</v>
      </c>
      <c r="AO13" s="117">
        <f t="shared" si="17"/>
        <v>14</v>
      </c>
    </row>
    <row r="14" spans="2:41" x14ac:dyDescent="0.2">
      <c r="B14" s="385"/>
      <c r="C14" s="110" t="s">
        <v>1274</v>
      </c>
      <c r="D14" s="110" t="s">
        <v>173</v>
      </c>
      <c r="E14" s="115">
        <f t="shared" si="0"/>
        <v>29</v>
      </c>
      <c r="F14" s="115">
        <v>29</v>
      </c>
      <c r="G14" s="116">
        <f t="shared" si="1"/>
        <v>88841</v>
      </c>
      <c r="H14" s="110">
        <f t="shared" si="1"/>
        <v>9632</v>
      </c>
      <c r="I14" s="117">
        <f t="shared" si="2"/>
        <v>10.841841041861302</v>
      </c>
      <c r="J14" s="110">
        <f t="shared" si="3"/>
        <v>4212</v>
      </c>
      <c r="K14" s="117">
        <f t="shared" si="18"/>
        <v>43.729235880398676</v>
      </c>
      <c r="L14" s="110">
        <f t="shared" si="4"/>
        <v>1417</v>
      </c>
      <c r="M14" s="117">
        <f t="shared" si="5"/>
        <v>14.71137873754153</v>
      </c>
      <c r="N14" s="110"/>
      <c r="O14" s="110"/>
      <c r="P14" s="385"/>
      <c r="Q14" s="110" t="s">
        <v>1274</v>
      </c>
      <c r="R14" s="110" t="s">
        <v>173</v>
      </c>
      <c r="S14" s="115">
        <f t="shared" si="6"/>
        <v>29</v>
      </c>
      <c r="T14" s="115"/>
      <c r="U14" s="116">
        <f t="shared" si="7"/>
        <v>88841</v>
      </c>
      <c r="V14" s="110">
        <f t="shared" si="7"/>
        <v>219</v>
      </c>
      <c r="W14" s="117">
        <f t="shared" si="8"/>
        <v>0.24650780608052589</v>
      </c>
      <c r="X14" s="110">
        <f t="shared" si="9"/>
        <v>68</v>
      </c>
      <c r="Y14" s="117">
        <f t="shared" si="19"/>
        <v>31.050228310502284</v>
      </c>
      <c r="Z14" s="110">
        <f t="shared" si="10"/>
        <v>43</v>
      </c>
      <c r="AA14" s="117">
        <f t="shared" si="11"/>
        <v>19.634703196347033</v>
      </c>
      <c r="AB14" s="110"/>
      <c r="AC14" s="110"/>
      <c r="AD14" s="385"/>
      <c r="AE14" s="110" t="s">
        <v>1274</v>
      </c>
      <c r="AF14" s="110" t="s">
        <v>173</v>
      </c>
      <c r="AG14" s="115">
        <f t="shared" si="12"/>
        <v>29</v>
      </c>
      <c r="AH14" s="115"/>
      <c r="AI14" s="116">
        <f t="shared" si="13"/>
        <v>88841</v>
      </c>
      <c r="AJ14" s="110">
        <f t="shared" si="13"/>
        <v>2316</v>
      </c>
      <c r="AK14" s="117">
        <f t="shared" si="14"/>
        <v>2.6069044697830956</v>
      </c>
      <c r="AL14" s="110">
        <f t="shared" si="15"/>
        <v>750</v>
      </c>
      <c r="AM14" s="117">
        <f t="shared" si="20"/>
        <v>32.383419689119172</v>
      </c>
      <c r="AN14" s="110">
        <f t="shared" si="16"/>
        <v>892</v>
      </c>
      <c r="AO14" s="117">
        <f t="shared" si="17"/>
        <v>38.5146804835924</v>
      </c>
    </row>
    <row r="15" spans="2:41" x14ac:dyDescent="0.2">
      <c r="B15" s="385"/>
      <c r="C15" s="110" t="s">
        <v>1274</v>
      </c>
      <c r="D15" s="110" t="s">
        <v>216</v>
      </c>
      <c r="E15" s="115">
        <f t="shared" si="0"/>
        <v>29</v>
      </c>
      <c r="F15" s="115">
        <v>18</v>
      </c>
      <c r="G15" s="116">
        <f t="shared" si="1"/>
        <v>99997</v>
      </c>
      <c r="H15" s="110">
        <f t="shared" si="1"/>
        <v>6255</v>
      </c>
      <c r="I15" s="117">
        <f t="shared" si="2"/>
        <v>6.2551876556296691</v>
      </c>
      <c r="J15" s="110">
        <f t="shared" si="3"/>
        <v>3038</v>
      </c>
      <c r="K15" s="117">
        <f t="shared" si="18"/>
        <v>48.569144684252599</v>
      </c>
      <c r="L15" s="110">
        <f t="shared" si="4"/>
        <v>772</v>
      </c>
      <c r="M15" s="117">
        <f t="shared" si="5"/>
        <v>12.342126298960832</v>
      </c>
      <c r="N15" s="110"/>
      <c r="O15" s="110"/>
      <c r="P15" s="385"/>
      <c r="Q15" s="110" t="s">
        <v>1274</v>
      </c>
      <c r="R15" s="110" t="s">
        <v>216</v>
      </c>
      <c r="S15" s="115">
        <f t="shared" si="6"/>
        <v>29</v>
      </c>
      <c r="T15" s="115"/>
      <c r="U15" s="116">
        <f t="shared" si="7"/>
        <v>99997</v>
      </c>
      <c r="V15" s="110">
        <f t="shared" si="7"/>
        <v>262</v>
      </c>
      <c r="W15" s="117">
        <f t="shared" si="8"/>
        <v>0.26200786023580708</v>
      </c>
      <c r="X15" s="110">
        <f t="shared" si="9"/>
        <v>97</v>
      </c>
      <c r="Y15" s="117">
        <f t="shared" si="19"/>
        <v>37.022900763358777</v>
      </c>
      <c r="Z15" s="110">
        <f t="shared" si="10"/>
        <v>54</v>
      </c>
      <c r="AA15" s="117">
        <f t="shared" si="11"/>
        <v>20.610687022900763</v>
      </c>
      <c r="AB15" s="110"/>
      <c r="AC15" s="110"/>
      <c r="AD15" s="385"/>
      <c r="AE15" s="110" t="s">
        <v>1274</v>
      </c>
      <c r="AF15" s="110" t="s">
        <v>216</v>
      </c>
      <c r="AG15" s="115">
        <f t="shared" si="12"/>
        <v>29</v>
      </c>
      <c r="AH15" s="115"/>
      <c r="AI15" s="116">
        <f t="shared" si="13"/>
        <v>99997</v>
      </c>
      <c r="AJ15" s="110">
        <f t="shared" si="13"/>
        <v>0</v>
      </c>
      <c r="AK15" s="117">
        <f t="shared" si="14"/>
        <v>0</v>
      </c>
      <c r="AL15" s="110">
        <f t="shared" si="15"/>
        <v>0</v>
      </c>
      <c r="AM15" s="117">
        <f t="shared" si="20"/>
        <v>0</v>
      </c>
      <c r="AN15" s="110">
        <f t="shared" si="16"/>
        <v>0</v>
      </c>
      <c r="AO15" s="117">
        <f t="shared" si="17"/>
        <v>0</v>
      </c>
    </row>
    <row r="16" spans="2:41" x14ac:dyDescent="0.2">
      <c r="B16" s="385"/>
      <c r="C16" s="118" t="s">
        <v>1274</v>
      </c>
      <c r="D16" s="118" t="s">
        <v>610</v>
      </c>
      <c r="E16" s="119">
        <f>SUM(E9:E11)</f>
        <v>90</v>
      </c>
      <c r="F16" s="119">
        <f>SUM(F9:F11)</f>
        <v>70</v>
      </c>
      <c r="G16" s="119">
        <f>SUM(G9:G11)</f>
        <v>333717</v>
      </c>
      <c r="H16" s="118">
        <f>SUM(H9:H11)</f>
        <v>13372</v>
      </c>
      <c r="I16" s="120">
        <f t="shared" si="2"/>
        <v>4.0069879568616518</v>
      </c>
      <c r="J16" s="118">
        <f>SUM(J9:J11)</f>
        <v>7029</v>
      </c>
      <c r="K16" s="120">
        <f t="shared" si="18"/>
        <v>52.565061322165718</v>
      </c>
      <c r="L16" s="118">
        <f>SUM(L9:L11)</f>
        <v>2093</v>
      </c>
      <c r="M16" s="120">
        <f t="shared" si="5"/>
        <v>15.652108884235716</v>
      </c>
      <c r="N16" s="110"/>
      <c r="O16" s="110"/>
      <c r="P16" s="385"/>
      <c r="Q16" s="118" t="s">
        <v>1274</v>
      </c>
      <c r="R16" s="118" t="s">
        <v>610</v>
      </c>
      <c r="S16" s="119">
        <f>SUM(S9:S11)</f>
        <v>90</v>
      </c>
      <c r="T16" s="121"/>
      <c r="U16" s="119">
        <f>SUM(U9:U11)</f>
        <v>333717</v>
      </c>
      <c r="V16" s="118">
        <f>SUM(V9:V11)</f>
        <v>796</v>
      </c>
      <c r="W16" s="120">
        <f t="shared" si="8"/>
        <v>0.23852545719876422</v>
      </c>
      <c r="X16" s="118">
        <f>SUM(X9:X11)</f>
        <v>269</v>
      </c>
      <c r="Y16" s="120">
        <f t="shared" si="19"/>
        <v>33.793969849246231</v>
      </c>
      <c r="Z16" s="118">
        <f>SUM(Z9:Z11)</f>
        <v>264</v>
      </c>
      <c r="AA16" s="120">
        <f t="shared" si="11"/>
        <v>33.165829145728644</v>
      </c>
      <c r="AB16" s="110"/>
      <c r="AC16" s="110"/>
      <c r="AD16" s="385"/>
      <c r="AE16" s="118" t="s">
        <v>1274</v>
      </c>
      <c r="AF16" s="118" t="s">
        <v>610</v>
      </c>
      <c r="AG16" s="119">
        <f>SUM(AG9:AG11)</f>
        <v>90</v>
      </c>
      <c r="AH16" s="121"/>
      <c r="AI16" s="119">
        <f>SUM(AI9:AI11)</f>
        <v>333717</v>
      </c>
      <c r="AJ16" s="118">
        <f>SUM(AJ9:AJ11)</f>
        <v>2395</v>
      </c>
      <c r="AK16" s="120">
        <f t="shared" si="14"/>
        <v>0.71767395727517624</v>
      </c>
      <c r="AL16" s="118">
        <f>SUM(AL9:AL11)</f>
        <v>887</v>
      </c>
      <c r="AM16" s="120">
        <f t="shared" si="20"/>
        <v>37.035490605427974</v>
      </c>
      <c r="AN16" s="118">
        <f>SUM(AN9:AN11)</f>
        <v>353</v>
      </c>
      <c r="AO16" s="120">
        <f t="shared" si="17"/>
        <v>14.739039665970774</v>
      </c>
    </row>
    <row r="17" spans="2:41" x14ac:dyDescent="0.2">
      <c r="B17" s="385"/>
      <c r="C17" s="118" t="s">
        <v>1274</v>
      </c>
      <c r="D17" s="118" t="s">
        <v>611</v>
      </c>
      <c r="E17" s="119">
        <f>SUM(E12:E13)</f>
        <v>60</v>
      </c>
      <c r="F17" s="119">
        <f>SUM(F12:F13)</f>
        <v>37</v>
      </c>
      <c r="G17" s="119">
        <f>SUM(G12:G13)</f>
        <v>224648</v>
      </c>
      <c r="H17" s="118">
        <f>SUM(H12:H13)</f>
        <v>15749</v>
      </c>
      <c r="I17" s="120">
        <f t="shared" si="2"/>
        <v>7.0105231295181794</v>
      </c>
      <c r="J17" s="118">
        <f>SUM(J12:J13)</f>
        <v>3736</v>
      </c>
      <c r="K17" s="120">
        <f t="shared" si="18"/>
        <v>23.722141088323067</v>
      </c>
      <c r="L17" s="118">
        <f>SUM(L12:L13)</f>
        <v>892</v>
      </c>
      <c r="M17" s="120">
        <f t="shared" si="5"/>
        <v>5.6638516731221022</v>
      </c>
      <c r="N17" s="110"/>
      <c r="O17" s="110"/>
      <c r="P17" s="385"/>
      <c r="Q17" s="118" t="s">
        <v>1274</v>
      </c>
      <c r="R17" s="118" t="s">
        <v>611</v>
      </c>
      <c r="S17" s="119">
        <f>SUM(S12:S13)</f>
        <v>60</v>
      </c>
      <c r="T17" s="121"/>
      <c r="U17" s="119">
        <f>SUM(U12:U13)</f>
        <v>224648</v>
      </c>
      <c r="V17" s="118">
        <f>SUM(V12:V13)</f>
        <v>771</v>
      </c>
      <c r="W17" s="120">
        <f t="shared" si="8"/>
        <v>0.34320358961575442</v>
      </c>
      <c r="X17" s="118">
        <f>SUM(X12:X13)</f>
        <v>285</v>
      </c>
      <c r="Y17" s="120">
        <f t="shared" si="19"/>
        <v>36.964980544747085</v>
      </c>
      <c r="Z17" s="118">
        <f>SUM(Z12:Z13)</f>
        <v>152</v>
      </c>
      <c r="AA17" s="120">
        <f t="shared" si="11"/>
        <v>19.714656290531778</v>
      </c>
      <c r="AB17" s="110"/>
      <c r="AC17" s="110"/>
      <c r="AD17" s="385"/>
      <c r="AE17" s="118" t="s">
        <v>1274</v>
      </c>
      <c r="AF17" s="118" t="s">
        <v>611</v>
      </c>
      <c r="AG17" s="119">
        <f>SUM(AG12:AG13)</f>
        <v>60</v>
      </c>
      <c r="AH17" s="121"/>
      <c r="AI17" s="119">
        <f>SUM(AI12:AI13)</f>
        <v>224648</v>
      </c>
      <c r="AJ17" s="118">
        <f>SUM(AJ12:AJ13)</f>
        <v>1550</v>
      </c>
      <c r="AK17" s="120">
        <f t="shared" si="14"/>
        <v>0.68996830597200953</v>
      </c>
      <c r="AL17" s="118">
        <f>SUM(AL12:AL13)</f>
        <v>360</v>
      </c>
      <c r="AM17" s="120">
        <f t="shared" si="20"/>
        <v>23.225806451612904</v>
      </c>
      <c r="AN17" s="118">
        <f>SUM(AN12:AN13)</f>
        <v>245</v>
      </c>
      <c r="AO17" s="120">
        <f t="shared" si="17"/>
        <v>15.806451612903226</v>
      </c>
    </row>
    <row r="18" spans="2:41" x14ac:dyDescent="0.2">
      <c r="B18" s="385"/>
      <c r="C18" s="118" t="s">
        <v>1274</v>
      </c>
      <c r="D18" s="118" t="s">
        <v>612</v>
      </c>
      <c r="E18" s="119">
        <f>SUM(E14:E15)</f>
        <v>58</v>
      </c>
      <c r="F18" s="119">
        <f>SUM(F14:F15)</f>
        <v>47</v>
      </c>
      <c r="G18" s="119">
        <f>SUM(G14:G15)</f>
        <v>188838</v>
      </c>
      <c r="H18" s="118">
        <f>SUM(H14:H15)</f>
        <v>15887</v>
      </c>
      <c r="I18" s="120">
        <f t="shared" si="2"/>
        <v>8.4130312754848067</v>
      </c>
      <c r="J18" s="118">
        <f>SUM(J14:J15)</f>
        <v>7250</v>
      </c>
      <c r="K18" s="120">
        <f t="shared" si="18"/>
        <v>45.634795744948697</v>
      </c>
      <c r="L18" s="118">
        <f>SUM(L14:L15)</f>
        <v>2189</v>
      </c>
      <c r="M18" s="120">
        <f t="shared" si="5"/>
        <v>13.778561087681751</v>
      </c>
      <c r="N18" s="110"/>
      <c r="O18" s="110"/>
      <c r="P18" s="385"/>
      <c r="Q18" s="118" t="s">
        <v>1274</v>
      </c>
      <c r="R18" s="118" t="s">
        <v>612</v>
      </c>
      <c r="S18" s="119">
        <f>SUM(S14:S15)</f>
        <v>58</v>
      </c>
      <c r="T18" s="121"/>
      <c r="U18" s="119">
        <f>SUM(U14:U15)</f>
        <v>188838</v>
      </c>
      <c r="V18" s="118">
        <f>SUM(V14:V15)</f>
        <v>481</v>
      </c>
      <c r="W18" s="120">
        <f t="shared" si="8"/>
        <v>0.25471568222497587</v>
      </c>
      <c r="X18" s="118">
        <f>SUM(X14:X15)</f>
        <v>165</v>
      </c>
      <c r="Y18" s="120">
        <f t="shared" si="19"/>
        <v>34.303534303534306</v>
      </c>
      <c r="Z18" s="118">
        <f>SUM(Z14:Z15)</f>
        <v>97</v>
      </c>
      <c r="AA18" s="120">
        <f t="shared" si="11"/>
        <v>20.166320166320169</v>
      </c>
      <c r="AB18" s="110"/>
      <c r="AC18" s="110"/>
      <c r="AD18" s="385"/>
      <c r="AE18" s="118" t="s">
        <v>1274</v>
      </c>
      <c r="AF18" s="118" t="s">
        <v>612</v>
      </c>
      <c r="AG18" s="119">
        <f>SUM(AG14:AG15)</f>
        <v>58</v>
      </c>
      <c r="AH18" s="121"/>
      <c r="AI18" s="119">
        <f>SUM(AI14:AI15)</f>
        <v>188838</v>
      </c>
      <c r="AJ18" s="118">
        <f>SUM(AJ14:AJ15)</f>
        <v>2316</v>
      </c>
      <c r="AK18" s="120">
        <f t="shared" si="14"/>
        <v>1.2264480665967654</v>
      </c>
      <c r="AL18" s="118">
        <f>SUM(AL14:AL15)</f>
        <v>750</v>
      </c>
      <c r="AM18" s="120">
        <f t="shared" si="20"/>
        <v>32.383419689119172</v>
      </c>
      <c r="AN18" s="118">
        <f>SUM(AN14:AN15)</f>
        <v>892</v>
      </c>
      <c r="AO18" s="120">
        <f t="shared" si="17"/>
        <v>38.5146804835924</v>
      </c>
    </row>
    <row r="19" spans="2:41" x14ac:dyDescent="0.2">
      <c r="B19" s="386" t="s">
        <v>1275</v>
      </c>
      <c r="C19" s="386"/>
      <c r="D19" s="386"/>
      <c r="E19" s="122">
        <f>SUM(E16:E18)</f>
        <v>208</v>
      </c>
      <c r="F19" s="122">
        <f>SUM(F16:F18)</f>
        <v>154</v>
      </c>
      <c r="G19" s="122">
        <f>SUM(G16:G18)</f>
        <v>747203</v>
      </c>
      <c r="H19" s="123">
        <f>SUM(H16:H18)</f>
        <v>45008</v>
      </c>
      <c r="I19" s="124">
        <f t="shared" si="2"/>
        <v>6.0235304194442474</v>
      </c>
      <c r="J19" s="123">
        <f>SUM(J16:J18)</f>
        <v>18015</v>
      </c>
      <c r="K19" s="124">
        <f t="shared" si="18"/>
        <v>40.026217561322433</v>
      </c>
      <c r="L19" s="123">
        <f>SUM(L16:L18)</f>
        <v>5174</v>
      </c>
      <c r="M19" s="124">
        <f t="shared" si="5"/>
        <v>11.495734091717029</v>
      </c>
      <c r="N19" s="110"/>
      <c r="O19" s="110"/>
      <c r="P19" s="386" t="s">
        <v>1275</v>
      </c>
      <c r="Q19" s="386"/>
      <c r="R19" s="386"/>
      <c r="S19" s="122">
        <f>SUM(S16:S18)</f>
        <v>208</v>
      </c>
      <c r="T19" s="115"/>
      <c r="U19" s="122">
        <f>SUM(U16:U18)</f>
        <v>747203</v>
      </c>
      <c r="V19" s="123">
        <f>SUM(V16:V18)</f>
        <v>2048</v>
      </c>
      <c r="W19" s="124">
        <f t="shared" si="8"/>
        <v>0.27408883529643219</v>
      </c>
      <c r="X19" s="123">
        <f>SUM(X16:X18)</f>
        <v>719</v>
      </c>
      <c r="Y19" s="124">
        <f t="shared" si="19"/>
        <v>35.107421875</v>
      </c>
      <c r="Z19" s="123">
        <f>SUM(Z16:Z18)</f>
        <v>513</v>
      </c>
      <c r="AA19" s="124">
        <f t="shared" si="11"/>
        <v>25.048828125</v>
      </c>
      <c r="AB19" s="110"/>
      <c r="AC19" s="110"/>
      <c r="AD19" s="386" t="s">
        <v>1275</v>
      </c>
      <c r="AE19" s="386"/>
      <c r="AF19" s="386"/>
      <c r="AG19" s="122">
        <f>SUM(AG16:AG18)</f>
        <v>208</v>
      </c>
      <c r="AH19" s="115"/>
      <c r="AI19" s="122">
        <f>SUM(AI16:AI18)</f>
        <v>747203</v>
      </c>
      <c r="AJ19" s="123">
        <f>SUM(AJ16:AJ18)</f>
        <v>6261</v>
      </c>
      <c r="AK19" s="124">
        <f t="shared" si="14"/>
        <v>0.83792490126511809</v>
      </c>
      <c r="AL19" s="123">
        <f>SUM(AL16:AL18)</f>
        <v>1997</v>
      </c>
      <c r="AM19" s="124">
        <f t="shared" si="20"/>
        <v>31.895863280626099</v>
      </c>
      <c r="AN19" s="123">
        <f>SUM(AN16:AN18)</f>
        <v>1490</v>
      </c>
      <c r="AO19" s="124">
        <f t="shared" si="17"/>
        <v>23.798115317042008</v>
      </c>
    </row>
    <row r="20" spans="2:41" x14ac:dyDescent="0.2">
      <c r="B20" s="125"/>
      <c r="C20" s="125"/>
      <c r="D20" s="125"/>
      <c r="E20" s="126"/>
      <c r="F20" s="126"/>
      <c r="G20" s="126"/>
      <c r="H20" s="126"/>
      <c r="I20" s="126"/>
      <c r="J20" s="126"/>
      <c r="K20" s="126"/>
      <c r="L20" s="126"/>
      <c r="M20" s="126"/>
      <c r="P20" s="125"/>
      <c r="Q20" s="125"/>
      <c r="R20" s="125"/>
      <c r="S20" s="126"/>
      <c r="T20" s="126"/>
      <c r="U20" s="126"/>
      <c r="V20" s="126"/>
      <c r="W20" s="126"/>
      <c r="X20" s="126"/>
      <c r="Y20" s="126"/>
      <c r="Z20" s="126"/>
      <c r="AA20" s="126"/>
      <c r="AD20" s="125"/>
      <c r="AE20" s="125"/>
      <c r="AF20" s="125"/>
      <c r="AG20" s="126"/>
      <c r="AH20" s="126"/>
      <c r="AI20" s="126"/>
      <c r="AJ20" s="126"/>
      <c r="AK20" s="126"/>
      <c r="AL20" s="126"/>
      <c r="AM20" s="126"/>
      <c r="AN20" s="126"/>
      <c r="AO20" s="126"/>
    </row>
    <row r="21" spans="2:41" x14ac:dyDescent="0.2">
      <c r="B21" s="379" t="s">
        <v>619</v>
      </c>
      <c r="C21" s="379" t="s">
        <v>933</v>
      </c>
      <c r="D21" s="379" t="s">
        <v>934</v>
      </c>
      <c r="E21" s="379" t="s">
        <v>4</v>
      </c>
      <c r="F21" s="379" t="s">
        <v>8</v>
      </c>
      <c r="G21" s="379" t="s">
        <v>1262</v>
      </c>
      <c r="H21" s="381" t="s">
        <v>1266</v>
      </c>
      <c r="I21" s="381"/>
      <c r="J21" s="382" t="s">
        <v>1267</v>
      </c>
      <c r="K21" s="382"/>
      <c r="L21" s="382" t="s">
        <v>1268</v>
      </c>
      <c r="M21" s="382"/>
      <c r="P21" s="379" t="s">
        <v>619</v>
      </c>
      <c r="Q21" s="379" t="s">
        <v>933</v>
      </c>
      <c r="R21" s="379" t="s">
        <v>934</v>
      </c>
      <c r="S21" s="379" t="s">
        <v>4</v>
      </c>
      <c r="T21" s="379" t="s">
        <v>8</v>
      </c>
      <c r="U21" s="379" t="s">
        <v>1262</v>
      </c>
      <c r="V21" s="383" t="s">
        <v>1269</v>
      </c>
      <c r="W21" s="383"/>
      <c r="X21" s="380" t="s">
        <v>1267</v>
      </c>
      <c r="Y21" s="380"/>
      <c r="Z21" s="380" t="s">
        <v>1268</v>
      </c>
      <c r="AA21" s="380"/>
      <c r="AD21" s="379" t="s">
        <v>619</v>
      </c>
      <c r="AE21" s="379" t="s">
        <v>933</v>
      </c>
      <c r="AF21" s="379" t="s">
        <v>934</v>
      </c>
      <c r="AG21" s="379" t="s">
        <v>4</v>
      </c>
      <c r="AH21" s="379" t="s">
        <v>8</v>
      </c>
      <c r="AI21" s="379" t="s">
        <v>1262</v>
      </c>
      <c r="AJ21" s="377" t="s">
        <v>1266</v>
      </c>
      <c r="AK21" s="377"/>
      <c r="AL21" s="378" t="s">
        <v>1267</v>
      </c>
      <c r="AM21" s="378"/>
      <c r="AN21" s="378" t="s">
        <v>1268</v>
      </c>
      <c r="AO21" s="378"/>
    </row>
    <row r="22" spans="2:41" ht="27" customHeight="1" x14ac:dyDescent="0.2">
      <c r="B22" s="379"/>
      <c r="C22" s="379"/>
      <c r="D22" s="379"/>
      <c r="E22" s="379"/>
      <c r="F22" s="379"/>
      <c r="G22" s="379"/>
      <c r="H22" s="381"/>
      <c r="I22" s="381"/>
      <c r="J22" s="382"/>
      <c r="K22" s="382"/>
      <c r="L22" s="382"/>
      <c r="M22" s="382"/>
      <c r="P22" s="379"/>
      <c r="Q22" s="379"/>
      <c r="R22" s="379"/>
      <c r="S22" s="379"/>
      <c r="T22" s="379"/>
      <c r="U22" s="379"/>
      <c r="V22" s="383"/>
      <c r="W22" s="383"/>
      <c r="X22" s="380"/>
      <c r="Y22" s="380"/>
      <c r="Z22" s="380"/>
      <c r="AA22" s="380"/>
      <c r="AD22" s="379"/>
      <c r="AE22" s="379"/>
      <c r="AF22" s="379"/>
      <c r="AG22" s="379"/>
      <c r="AH22" s="379"/>
      <c r="AI22" s="379"/>
      <c r="AJ22" s="377"/>
      <c r="AK22" s="377"/>
      <c r="AL22" s="378"/>
      <c r="AM22" s="378"/>
      <c r="AN22" s="378"/>
      <c r="AO22" s="378"/>
    </row>
    <row r="23" spans="2:41" ht="51" x14ac:dyDescent="0.2">
      <c r="B23" s="379"/>
      <c r="C23" s="379"/>
      <c r="D23" s="379"/>
      <c r="E23" s="379"/>
      <c r="F23" s="379"/>
      <c r="G23" s="379"/>
      <c r="H23" s="112" t="s">
        <v>1262</v>
      </c>
      <c r="I23" s="112" t="s">
        <v>10</v>
      </c>
      <c r="J23" s="112" t="s">
        <v>1262</v>
      </c>
      <c r="K23" s="112" t="s">
        <v>1271</v>
      </c>
      <c r="L23" s="112" t="s">
        <v>1262</v>
      </c>
      <c r="M23" s="112" t="s">
        <v>1271</v>
      </c>
      <c r="P23" s="379"/>
      <c r="Q23" s="379"/>
      <c r="R23" s="379"/>
      <c r="S23" s="379"/>
      <c r="T23" s="379"/>
      <c r="U23" s="379"/>
      <c r="V23" s="113" t="s">
        <v>1262</v>
      </c>
      <c r="W23" s="113" t="s">
        <v>10</v>
      </c>
      <c r="X23" s="113" t="s">
        <v>1262</v>
      </c>
      <c r="Y23" s="113" t="s">
        <v>1271</v>
      </c>
      <c r="Z23" s="113" t="s">
        <v>1262</v>
      </c>
      <c r="AA23" s="113" t="s">
        <v>1271</v>
      </c>
      <c r="AD23" s="379"/>
      <c r="AE23" s="379"/>
      <c r="AF23" s="379"/>
      <c r="AG23" s="379"/>
      <c r="AH23" s="379"/>
      <c r="AI23" s="379"/>
      <c r="AJ23" s="127" t="s">
        <v>1262</v>
      </c>
      <c r="AK23" s="127" t="s">
        <v>10</v>
      </c>
      <c r="AL23" s="127" t="s">
        <v>1262</v>
      </c>
      <c r="AM23" s="127" t="s">
        <v>1271</v>
      </c>
      <c r="AN23" s="127" t="s">
        <v>1262</v>
      </c>
      <c r="AO23" s="127" t="s">
        <v>1271</v>
      </c>
    </row>
    <row r="24" spans="2:41" x14ac:dyDescent="0.2">
      <c r="B24" s="110" t="s">
        <v>1273</v>
      </c>
      <c r="C24" s="110" t="s">
        <v>1274</v>
      </c>
      <c r="D24" s="110" t="s">
        <v>14</v>
      </c>
      <c r="E24" s="110" t="s">
        <v>1276</v>
      </c>
      <c r="F24" s="110"/>
      <c r="G24" s="116">
        <v>3863</v>
      </c>
      <c r="H24" s="115">
        <v>386</v>
      </c>
      <c r="I24" s="128">
        <f>IFERROR(H24/G24%,0)</f>
        <v>9.9922340150142368</v>
      </c>
      <c r="J24" s="115">
        <v>278</v>
      </c>
      <c r="K24" s="128">
        <f>IFERROR(J24/H24%,0)</f>
        <v>72.020725388601036</v>
      </c>
      <c r="L24" s="115">
        <v>48</v>
      </c>
      <c r="M24" s="129">
        <f>IFERROR(L24/H24%,0)</f>
        <v>12.435233160621761</v>
      </c>
      <c r="N24" s="130"/>
      <c r="O24" s="130"/>
      <c r="P24" s="115" t="s">
        <v>1273</v>
      </c>
      <c r="Q24" s="115" t="s">
        <v>1274</v>
      </c>
      <c r="R24" s="115" t="s">
        <v>14</v>
      </c>
      <c r="S24" s="115" t="s">
        <v>1276</v>
      </c>
      <c r="T24" s="115"/>
      <c r="U24" s="131">
        <v>3863</v>
      </c>
      <c r="V24" s="131">
        <f>IFERROR(_xlfn.XLOOKUP($S24,'[47]Tgl 8'!$E$108:$E$156,'[47]Tgl 8'!$F$108:$F$156),0)</f>
        <v>0</v>
      </c>
      <c r="W24" s="128">
        <f>IFERROR(V24/U24%,0)</f>
        <v>0</v>
      </c>
      <c r="X24" s="131">
        <f>IFERROR(_xlfn.XLOOKUP($S24,'[47]Tgl 8'!$E$108:$E$156,'[47]Tgl 8'!$H$108:$H$156),0)</f>
        <v>0</v>
      </c>
      <c r="Y24" s="128">
        <f>IFERROR(X24/V24%,0)</f>
        <v>0</v>
      </c>
      <c r="Z24" s="131">
        <f>IFERROR(_xlfn.XLOOKUP($S24,'[47]Tgl 8'!$E$108:$E$156,'[47]Tgl 8'!$G$108:$G$156),0)</f>
        <v>0</v>
      </c>
      <c r="AA24" s="129">
        <f>IFERROR(Z24/V24%,0)</f>
        <v>0</v>
      </c>
      <c r="AB24" s="130"/>
      <c r="AC24" s="130"/>
      <c r="AD24" s="115" t="s">
        <v>1273</v>
      </c>
      <c r="AE24" s="115" t="s">
        <v>1274</v>
      </c>
      <c r="AF24" s="115" t="s">
        <v>14</v>
      </c>
      <c r="AG24" s="115" t="s">
        <v>1276</v>
      </c>
      <c r="AH24" s="115"/>
      <c r="AI24" s="131">
        <v>3863</v>
      </c>
      <c r="AJ24" s="131">
        <f>IFERROR(_xlfn.XLOOKUP($AG24,[47]Sheet1!$E$108:$E$132,[47]Sheet1!F$108:F$132),0)</f>
        <v>169</v>
      </c>
      <c r="AK24" s="128">
        <f>IFERROR(AJ24/AI24%,0)</f>
        <v>4.3748382086461293</v>
      </c>
      <c r="AL24" s="131">
        <f>IFERROR(_xlfn.XLOOKUP($AG24,[47]Sheet1!$E$108:$E$132,[47]Sheet1!H$108:H$132),0)</f>
        <v>43</v>
      </c>
      <c r="AM24" s="128">
        <f>IFERROR(AL24/AJ24%,0)</f>
        <v>25.443786982248522</v>
      </c>
      <c r="AN24" s="131">
        <f>IFERROR(_xlfn.XLOOKUP($AG24,[47]Sheet1!$E$108:$E$132,[47]Sheet1!G$108:G$132),0)</f>
        <v>11</v>
      </c>
      <c r="AO24" s="129">
        <f>IFERROR(AN24/AJ24%,0)</f>
        <v>6.5088757396449708</v>
      </c>
    </row>
    <row r="25" spans="2:41" x14ac:dyDescent="0.2">
      <c r="B25" s="110" t="s">
        <v>1273</v>
      </c>
      <c r="C25" s="110" t="s">
        <v>1274</v>
      </c>
      <c r="D25" s="110" t="s">
        <v>14</v>
      </c>
      <c r="E25" s="110" t="s">
        <v>1277</v>
      </c>
      <c r="F25" s="110"/>
      <c r="G25" s="116">
        <v>4127</v>
      </c>
      <c r="H25" s="115">
        <v>413</v>
      </c>
      <c r="I25" s="128">
        <f t="shared" ref="I25:I88" si="21">IFERROR(H25/G25%,0)</f>
        <v>10.007269202810757</v>
      </c>
      <c r="J25" s="115">
        <v>211</v>
      </c>
      <c r="K25" s="128">
        <f t="shared" ref="K25:K88" si="22">IFERROR(J25/H25%,0)</f>
        <v>51.08958837772397</v>
      </c>
      <c r="L25" s="115">
        <v>54</v>
      </c>
      <c r="M25" s="129">
        <f t="shared" ref="M25:M88" si="23">IFERROR(L25/H25%,0)</f>
        <v>13.075060532687651</v>
      </c>
      <c r="N25" s="130"/>
      <c r="O25" s="130"/>
      <c r="P25" s="115" t="s">
        <v>1273</v>
      </c>
      <c r="Q25" s="115" t="s">
        <v>1274</v>
      </c>
      <c r="R25" s="115" t="s">
        <v>14</v>
      </c>
      <c r="S25" s="115" t="s">
        <v>1277</v>
      </c>
      <c r="T25" s="115"/>
      <c r="U25" s="131">
        <v>4127</v>
      </c>
      <c r="V25" s="131">
        <f>IFERROR(_xlfn.XLOOKUP($S25,'[47]Tgl 8'!$E$108:$E$156,'[47]Tgl 8'!$F$108:$F$156),0)</f>
        <v>0</v>
      </c>
      <c r="W25" s="128">
        <f t="shared" ref="W25:W88" si="24">IFERROR(V25/U25%,0)</f>
        <v>0</v>
      </c>
      <c r="X25" s="131">
        <f>IFERROR(_xlfn.XLOOKUP($S25,'[47]Tgl 8'!$E$108:$E$156,'[47]Tgl 8'!$H$108:$H$156),0)</f>
        <v>0</v>
      </c>
      <c r="Y25" s="128">
        <f t="shared" ref="Y25:Y88" si="25">IFERROR(X25/V25%,0)</f>
        <v>0</v>
      </c>
      <c r="Z25" s="131">
        <f>IFERROR(_xlfn.XLOOKUP($S25,'[47]Tgl 8'!$E$108:$E$156,'[47]Tgl 8'!$G$108:$G$156),0)</f>
        <v>0</v>
      </c>
      <c r="AA25" s="129">
        <f t="shared" ref="AA25:AA88" si="26">IFERROR(Z25/V25%,0)</f>
        <v>0</v>
      </c>
      <c r="AB25" s="130"/>
      <c r="AC25" s="130"/>
      <c r="AD25" s="115" t="s">
        <v>1273</v>
      </c>
      <c r="AE25" s="115" t="s">
        <v>1274</v>
      </c>
      <c r="AF25" s="115" t="s">
        <v>14</v>
      </c>
      <c r="AG25" s="115" t="s">
        <v>1277</v>
      </c>
      <c r="AH25" s="115"/>
      <c r="AI25" s="131">
        <v>4127</v>
      </c>
      <c r="AJ25" s="131">
        <f>IFERROR(_xlfn.XLOOKUP($AG25,[47]Sheet1!$E$108:$E$132,[47]Sheet1!F$108:F$132),0)</f>
        <v>170</v>
      </c>
      <c r="AK25" s="128">
        <f t="shared" ref="AK25:AK88" si="27">IFERROR(AJ25/AI25%,0)</f>
        <v>4.1192149260964381</v>
      </c>
      <c r="AL25" s="131">
        <f>IFERROR(_xlfn.XLOOKUP($AG25,[47]Sheet1!$E$108:$E$132,[47]Sheet1!H$108:H$132),0)</f>
        <v>46</v>
      </c>
      <c r="AM25" s="128">
        <f t="shared" ref="AM25:AM88" si="28">IFERROR(AL25/AJ25%,0)</f>
        <v>27.058823529411764</v>
      </c>
      <c r="AN25" s="131">
        <f>IFERROR(_xlfn.XLOOKUP($AG25,[47]Sheet1!$E$108:$E$132,[47]Sheet1!G$108:G$132),0)</f>
        <v>18</v>
      </c>
      <c r="AO25" s="129">
        <f t="shared" ref="AO25:AO88" si="29">IFERROR(AN25/AJ25%,0)</f>
        <v>10.588235294117647</v>
      </c>
    </row>
    <row r="26" spans="2:41" x14ac:dyDescent="0.2">
      <c r="B26" s="110" t="s">
        <v>1273</v>
      </c>
      <c r="C26" s="110" t="s">
        <v>1274</v>
      </c>
      <c r="D26" s="110" t="s">
        <v>14</v>
      </c>
      <c r="E26" s="110" t="s">
        <v>1278</v>
      </c>
      <c r="F26" s="110"/>
      <c r="G26" s="116">
        <v>5115</v>
      </c>
      <c r="H26" s="115">
        <v>512</v>
      </c>
      <c r="I26" s="128">
        <f t="shared" si="21"/>
        <v>10.009775171065494</v>
      </c>
      <c r="J26" s="115">
        <v>192</v>
      </c>
      <c r="K26" s="128">
        <f t="shared" si="22"/>
        <v>37.5</v>
      </c>
      <c r="L26" s="115">
        <v>78</v>
      </c>
      <c r="M26" s="129">
        <f t="shared" si="23"/>
        <v>15.234375</v>
      </c>
      <c r="N26" s="130"/>
      <c r="O26" s="130"/>
      <c r="P26" s="115" t="s">
        <v>1273</v>
      </c>
      <c r="Q26" s="115" t="s">
        <v>1274</v>
      </c>
      <c r="R26" s="115" t="s">
        <v>14</v>
      </c>
      <c r="S26" s="115" t="s">
        <v>1278</v>
      </c>
      <c r="T26" s="115"/>
      <c r="U26" s="131">
        <v>5115</v>
      </c>
      <c r="V26" s="131">
        <f>IFERROR(_xlfn.XLOOKUP($S26,'[47]Tgl 8'!$E$108:$E$156,'[47]Tgl 8'!$F$108:$F$156),0)</f>
        <v>0</v>
      </c>
      <c r="W26" s="128">
        <f t="shared" si="24"/>
        <v>0</v>
      </c>
      <c r="X26" s="131">
        <f>IFERROR(_xlfn.XLOOKUP($S26,'[47]Tgl 8'!$E$108:$E$156,'[47]Tgl 8'!$H$108:$H$156),0)</f>
        <v>0</v>
      </c>
      <c r="Y26" s="128">
        <f t="shared" si="25"/>
        <v>0</v>
      </c>
      <c r="Z26" s="131">
        <f>IFERROR(_xlfn.XLOOKUP($S26,'[47]Tgl 8'!$E$108:$E$156,'[47]Tgl 8'!$G$108:$G$156),0)</f>
        <v>0</v>
      </c>
      <c r="AA26" s="129">
        <f t="shared" si="26"/>
        <v>0</v>
      </c>
      <c r="AB26" s="130"/>
      <c r="AC26" s="130"/>
      <c r="AD26" s="115" t="s">
        <v>1273</v>
      </c>
      <c r="AE26" s="115" t="s">
        <v>1274</v>
      </c>
      <c r="AF26" s="115" t="s">
        <v>14</v>
      </c>
      <c r="AG26" s="115" t="s">
        <v>1278</v>
      </c>
      <c r="AH26" s="115"/>
      <c r="AI26" s="131">
        <v>5115</v>
      </c>
      <c r="AJ26" s="131">
        <f>IFERROR(_xlfn.XLOOKUP($AG26,[47]Sheet1!$E$108:$E$132,[47]Sheet1!F$108:F$132),0)</f>
        <v>0</v>
      </c>
      <c r="AK26" s="128">
        <f t="shared" si="27"/>
        <v>0</v>
      </c>
      <c r="AL26" s="131">
        <f>IFERROR(_xlfn.XLOOKUP($AG26,[47]Sheet1!$E$108:$E$132,[47]Sheet1!H$108:H$132),0)</f>
        <v>0</v>
      </c>
      <c r="AM26" s="128">
        <f t="shared" si="28"/>
        <v>0</v>
      </c>
      <c r="AN26" s="131">
        <f>IFERROR(_xlfn.XLOOKUP($AG26,[47]Sheet1!$E$108:$E$132,[47]Sheet1!G$108:G$132),0)</f>
        <v>0</v>
      </c>
      <c r="AO26" s="129">
        <f t="shared" si="29"/>
        <v>0</v>
      </c>
    </row>
    <row r="27" spans="2:41" x14ac:dyDescent="0.2">
      <c r="B27" s="110" t="s">
        <v>1273</v>
      </c>
      <c r="C27" s="110" t="s">
        <v>1274</v>
      </c>
      <c r="D27" s="110" t="s">
        <v>14</v>
      </c>
      <c r="E27" s="110" t="s">
        <v>1279</v>
      </c>
      <c r="F27" s="110"/>
      <c r="G27" s="116">
        <v>3582</v>
      </c>
      <c r="H27" s="115">
        <v>358</v>
      </c>
      <c r="I27" s="128">
        <f t="shared" si="21"/>
        <v>9.994416527079844</v>
      </c>
      <c r="J27" s="115">
        <v>37</v>
      </c>
      <c r="K27" s="128">
        <f t="shared" si="22"/>
        <v>10.335195530726256</v>
      </c>
      <c r="L27" s="115">
        <v>41</v>
      </c>
      <c r="M27" s="129">
        <f t="shared" si="23"/>
        <v>11.452513966480447</v>
      </c>
      <c r="N27" s="130"/>
      <c r="O27" s="130"/>
      <c r="P27" s="115" t="s">
        <v>1273</v>
      </c>
      <c r="Q27" s="115" t="s">
        <v>1274</v>
      </c>
      <c r="R27" s="115" t="s">
        <v>14</v>
      </c>
      <c r="S27" s="115" t="s">
        <v>1279</v>
      </c>
      <c r="T27" s="115"/>
      <c r="U27" s="131">
        <v>3582</v>
      </c>
      <c r="V27" s="131">
        <f>IFERROR(_xlfn.XLOOKUP($S27,'[47]Tgl 8'!$E$108:$E$156,'[47]Tgl 8'!$F$108:$F$156),0)</f>
        <v>0</v>
      </c>
      <c r="W27" s="128">
        <f t="shared" si="24"/>
        <v>0</v>
      </c>
      <c r="X27" s="131">
        <f>IFERROR(_xlfn.XLOOKUP($S27,'[47]Tgl 8'!$E$108:$E$156,'[47]Tgl 8'!$H$108:$H$156),0)</f>
        <v>0</v>
      </c>
      <c r="Y27" s="128">
        <f t="shared" si="25"/>
        <v>0</v>
      </c>
      <c r="Z27" s="131">
        <f>IFERROR(_xlfn.XLOOKUP($S27,'[47]Tgl 8'!$E$108:$E$156,'[47]Tgl 8'!$G$108:$G$156),0)</f>
        <v>0</v>
      </c>
      <c r="AA27" s="129">
        <f t="shared" si="26"/>
        <v>0</v>
      </c>
      <c r="AB27" s="130"/>
      <c r="AC27" s="130"/>
      <c r="AD27" s="115" t="s">
        <v>1273</v>
      </c>
      <c r="AE27" s="115" t="s">
        <v>1274</v>
      </c>
      <c r="AF27" s="115" t="s">
        <v>14</v>
      </c>
      <c r="AG27" s="115" t="s">
        <v>1279</v>
      </c>
      <c r="AH27" s="115"/>
      <c r="AI27" s="131">
        <v>3582</v>
      </c>
      <c r="AJ27" s="131">
        <f>IFERROR(_xlfn.XLOOKUP($AG27,[47]Sheet1!$E$108:$E$132,[47]Sheet1!F$108:F$132),0)</f>
        <v>0</v>
      </c>
      <c r="AK27" s="128">
        <f t="shared" si="27"/>
        <v>0</v>
      </c>
      <c r="AL27" s="131">
        <f>IFERROR(_xlfn.XLOOKUP($AG27,[47]Sheet1!$E$108:$E$132,[47]Sheet1!H$108:H$132),0)</f>
        <v>0</v>
      </c>
      <c r="AM27" s="128">
        <f t="shared" si="28"/>
        <v>0</v>
      </c>
      <c r="AN27" s="131">
        <f>IFERROR(_xlfn.XLOOKUP($AG27,[47]Sheet1!$E$108:$E$132,[47]Sheet1!G$108:G$132),0)</f>
        <v>0</v>
      </c>
      <c r="AO27" s="129">
        <f t="shared" si="29"/>
        <v>0</v>
      </c>
    </row>
    <row r="28" spans="2:41" x14ac:dyDescent="0.2">
      <c r="B28" s="110" t="s">
        <v>1273</v>
      </c>
      <c r="C28" s="110" t="s">
        <v>1274</v>
      </c>
      <c r="D28" s="110" t="s">
        <v>14</v>
      </c>
      <c r="E28" s="110" t="s">
        <v>1280</v>
      </c>
      <c r="F28" s="110"/>
      <c r="G28" s="116">
        <v>3580</v>
      </c>
      <c r="H28" s="115">
        <v>358</v>
      </c>
      <c r="I28" s="128">
        <f t="shared" si="21"/>
        <v>10</v>
      </c>
      <c r="J28" s="115">
        <v>43</v>
      </c>
      <c r="K28" s="128">
        <f t="shared" si="22"/>
        <v>12.011173184357542</v>
      </c>
      <c r="L28" s="115">
        <v>39</v>
      </c>
      <c r="M28" s="129">
        <f t="shared" si="23"/>
        <v>10.893854748603351</v>
      </c>
      <c r="N28" s="130"/>
      <c r="O28" s="130"/>
      <c r="P28" s="115" t="s">
        <v>1273</v>
      </c>
      <c r="Q28" s="115" t="s">
        <v>1274</v>
      </c>
      <c r="R28" s="115" t="s">
        <v>14</v>
      </c>
      <c r="S28" s="115" t="s">
        <v>1280</v>
      </c>
      <c r="T28" s="115"/>
      <c r="U28" s="131">
        <v>3580</v>
      </c>
      <c r="V28" s="131">
        <f>IFERROR(_xlfn.XLOOKUP($S28,'[47]Tgl 8'!$E$108:$E$156,'[47]Tgl 8'!$F$108:$F$156),0)</f>
        <v>0</v>
      </c>
      <c r="W28" s="128">
        <f t="shared" si="24"/>
        <v>0</v>
      </c>
      <c r="X28" s="131">
        <f>IFERROR(_xlfn.XLOOKUP($S28,'[47]Tgl 8'!$E$108:$E$156,'[47]Tgl 8'!$H$108:$H$156),0)</f>
        <v>0</v>
      </c>
      <c r="Y28" s="128">
        <f t="shared" si="25"/>
        <v>0</v>
      </c>
      <c r="Z28" s="131">
        <f>IFERROR(_xlfn.XLOOKUP($S28,'[47]Tgl 8'!$E$108:$E$156,'[47]Tgl 8'!$G$108:$G$156),0)</f>
        <v>0</v>
      </c>
      <c r="AA28" s="129">
        <f t="shared" si="26"/>
        <v>0</v>
      </c>
      <c r="AB28" s="130"/>
      <c r="AC28" s="130"/>
      <c r="AD28" s="115" t="s">
        <v>1273</v>
      </c>
      <c r="AE28" s="115" t="s">
        <v>1274</v>
      </c>
      <c r="AF28" s="115" t="s">
        <v>14</v>
      </c>
      <c r="AG28" s="115" t="s">
        <v>1280</v>
      </c>
      <c r="AH28" s="115"/>
      <c r="AI28" s="131">
        <v>3580</v>
      </c>
      <c r="AJ28" s="131">
        <f>IFERROR(_xlfn.XLOOKUP($AG28,[47]Sheet1!$E$108:$E$132,[47]Sheet1!F$108:F$132),0)</f>
        <v>0</v>
      </c>
      <c r="AK28" s="128">
        <f t="shared" si="27"/>
        <v>0</v>
      </c>
      <c r="AL28" s="131">
        <f>IFERROR(_xlfn.XLOOKUP($AG28,[47]Sheet1!$E$108:$E$132,[47]Sheet1!H$108:H$132),0)</f>
        <v>0</v>
      </c>
      <c r="AM28" s="128">
        <f t="shared" si="28"/>
        <v>0</v>
      </c>
      <c r="AN28" s="131">
        <f>IFERROR(_xlfn.XLOOKUP($AG28,[47]Sheet1!$E$108:$E$132,[47]Sheet1!G$108:G$132),0)</f>
        <v>0</v>
      </c>
      <c r="AO28" s="129">
        <f t="shared" si="29"/>
        <v>0</v>
      </c>
    </row>
    <row r="29" spans="2:41" x14ac:dyDescent="0.2">
      <c r="B29" s="110" t="s">
        <v>1273</v>
      </c>
      <c r="C29" s="110" t="s">
        <v>1274</v>
      </c>
      <c r="D29" s="110" t="s">
        <v>14</v>
      </c>
      <c r="E29" s="110" t="s">
        <v>1281</v>
      </c>
      <c r="F29" s="110"/>
      <c r="G29" s="116">
        <v>3429</v>
      </c>
      <c r="H29" s="115">
        <v>343</v>
      </c>
      <c r="I29" s="128">
        <f t="shared" si="21"/>
        <v>10.0029163021289</v>
      </c>
      <c r="J29" s="115">
        <v>76</v>
      </c>
      <c r="K29" s="128">
        <f t="shared" si="22"/>
        <v>22.15743440233236</v>
      </c>
      <c r="L29" s="115">
        <v>51</v>
      </c>
      <c r="M29" s="129">
        <f t="shared" si="23"/>
        <v>14.868804664723031</v>
      </c>
      <c r="N29" s="130"/>
      <c r="O29" s="130"/>
      <c r="P29" s="115" t="s">
        <v>1273</v>
      </c>
      <c r="Q29" s="115" t="s">
        <v>1274</v>
      </c>
      <c r="R29" s="115" t="s">
        <v>14</v>
      </c>
      <c r="S29" s="115" t="s">
        <v>1281</v>
      </c>
      <c r="T29" s="115"/>
      <c r="U29" s="131">
        <v>3429</v>
      </c>
      <c r="V29" s="131">
        <f>IFERROR(_xlfn.XLOOKUP($S29,'[47]Tgl 8'!$E$108:$E$156,'[47]Tgl 8'!$F$108:$F$156),0)</f>
        <v>0</v>
      </c>
      <c r="W29" s="128">
        <f t="shared" si="24"/>
        <v>0</v>
      </c>
      <c r="X29" s="131">
        <f>IFERROR(_xlfn.XLOOKUP($S29,'[47]Tgl 8'!$E$108:$E$156,'[47]Tgl 8'!$H$108:$H$156),0)</f>
        <v>0</v>
      </c>
      <c r="Y29" s="128">
        <f t="shared" si="25"/>
        <v>0</v>
      </c>
      <c r="Z29" s="131">
        <f>IFERROR(_xlfn.XLOOKUP($S29,'[47]Tgl 8'!$E$108:$E$156,'[47]Tgl 8'!$G$108:$G$156),0)</f>
        <v>0</v>
      </c>
      <c r="AA29" s="129">
        <f t="shared" si="26"/>
        <v>0</v>
      </c>
      <c r="AB29" s="130"/>
      <c r="AC29" s="130"/>
      <c r="AD29" s="115" t="s">
        <v>1273</v>
      </c>
      <c r="AE29" s="115" t="s">
        <v>1274</v>
      </c>
      <c r="AF29" s="115" t="s">
        <v>14</v>
      </c>
      <c r="AG29" s="115" t="s">
        <v>1281</v>
      </c>
      <c r="AH29" s="115"/>
      <c r="AI29" s="131">
        <v>3429</v>
      </c>
      <c r="AJ29" s="131">
        <f>IFERROR(_xlfn.XLOOKUP($AG29,[47]Sheet1!$E$108:$E$132,[47]Sheet1!F$108:F$132),0)</f>
        <v>0</v>
      </c>
      <c r="AK29" s="128">
        <f t="shared" si="27"/>
        <v>0</v>
      </c>
      <c r="AL29" s="131">
        <f>IFERROR(_xlfn.XLOOKUP($AG29,[47]Sheet1!$E$108:$E$132,[47]Sheet1!H$108:H$132),0)</f>
        <v>0</v>
      </c>
      <c r="AM29" s="128">
        <f t="shared" si="28"/>
        <v>0</v>
      </c>
      <c r="AN29" s="131">
        <f>IFERROR(_xlfn.XLOOKUP($AG29,[47]Sheet1!$E$108:$E$132,[47]Sheet1!G$108:G$132),0)</f>
        <v>0</v>
      </c>
      <c r="AO29" s="129">
        <f t="shared" si="29"/>
        <v>0</v>
      </c>
    </row>
    <row r="30" spans="2:41" x14ac:dyDescent="0.2">
      <c r="B30" s="110" t="s">
        <v>1273</v>
      </c>
      <c r="C30" s="110" t="s">
        <v>1274</v>
      </c>
      <c r="D30" s="110" t="s">
        <v>14</v>
      </c>
      <c r="E30" s="110" t="s">
        <v>1282</v>
      </c>
      <c r="F30" s="110"/>
      <c r="G30" s="116">
        <v>3450</v>
      </c>
      <c r="H30" s="115">
        <v>345</v>
      </c>
      <c r="I30" s="128">
        <f t="shared" si="21"/>
        <v>10</v>
      </c>
      <c r="J30" s="115">
        <v>337</v>
      </c>
      <c r="K30" s="128">
        <f t="shared" si="22"/>
        <v>97.681159420289845</v>
      </c>
      <c r="L30" s="115">
        <v>68</v>
      </c>
      <c r="M30" s="129">
        <f t="shared" si="23"/>
        <v>19.710144927536231</v>
      </c>
      <c r="N30" s="130"/>
      <c r="O30" s="130"/>
      <c r="P30" s="115" t="s">
        <v>1273</v>
      </c>
      <c r="Q30" s="115" t="s">
        <v>1274</v>
      </c>
      <c r="R30" s="115" t="s">
        <v>14</v>
      </c>
      <c r="S30" s="115" t="s">
        <v>1282</v>
      </c>
      <c r="T30" s="115"/>
      <c r="U30" s="131">
        <v>3450</v>
      </c>
      <c r="V30" s="131">
        <f>IFERROR(_xlfn.XLOOKUP($S30,'[47]Tgl 8'!$E$108:$E$156,'[47]Tgl 8'!$F$108:$F$156),0)</f>
        <v>0</v>
      </c>
      <c r="W30" s="128">
        <f t="shared" si="24"/>
        <v>0</v>
      </c>
      <c r="X30" s="131">
        <f>IFERROR(_xlfn.XLOOKUP($S30,'[47]Tgl 8'!$E$108:$E$156,'[47]Tgl 8'!$H$108:$H$156),0)</f>
        <v>0</v>
      </c>
      <c r="Y30" s="128">
        <f t="shared" si="25"/>
        <v>0</v>
      </c>
      <c r="Z30" s="131">
        <f>IFERROR(_xlfn.XLOOKUP($S30,'[47]Tgl 8'!$E$108:$E$156,'[47]Tgl 8'!$G$108:$G$156),0)</f>
        <v>0</v>
      </c>
      <c r="AA30" s="129">
        <f t="shared" si="26"/>
        <v>0</v>
      </c>
      <c r="AB30" s="130"/>
      <c r="AC30" s="130"/>
      <c r="AD30" s="115" t="s">
        <v>1273</v>
      </c>
      <c r="AE30" s="115" t="s">
        <v>1274</v>
      </c>
      <c r="AF30" s="115" t="s">
        <v>14</v>
      </c>
      <c r="AG30" s="115" t="s">
        <v>1282</v>
      </c>
      <c r="AH30" s="115"/>
      <c r="AI30" s="131">
        <v>3450</v>
      </c>
      <c r="AJ30" s="131">
        <f>IFERROR(_xlfn.XLOOKUP($AG30,[47]Sheet1!$E$108:$E$132,[47]Sheet1!F$108:F$132),0)</f>
        <v>0</v>
      </c>
      <c r="AK30" s="128">
        <f t="shared" si="27"/>
        <v>0</v>
      </c>
      <c r="AL30" s="131">
        <f>IFERROR(_xlfn.XLOOKUP($AG30,[47]Sheet1!$E$108:$E$132,[47]Sheet1!H$108:H$132),0)</f>
        <v>0</v>
      </c>
      <c r="AM30" s="128">
        <f t="shared" si="28"/>
        <v>0</v>
      </c>
      <c r="AN30" s="131">
        <f>IFERROR(_xlfn.XLOOKUP($AG30,[47]Sheet1!$E$108:$E$132,[47]Sheet1!G$108:G$132),0)</f>
        <v>0</v>
      </c>
      <c r="AO30" s="129">
        <f t="shared" si="29"/>
        <v>0</v>
      </c>
    </row>
    <row r="31" spans="2:41" x14ac:dyDescent="0.2">
      <c r="B31" s="110" t="s">
        <v>1273</v>
      </c>
      <c r="C31" s="110" t="s">
        <v>1274</v>
      </c>
      <c r="D31" s="110" t="s">
        <v>14</v>
      </c>
      <c r="E31" s="110" t="s">
        <v>1283</v>
      </c>
      <c r="F31" s="110"/>
      <c r="G31" s="116">
        <v>3529</v>
      </c>
      <c r="H31" s="115">
        <v>353</v>
      </c>
      <c r="I31" s="128">
        <f t="shared" si="21"/>
        <v>10.002833663927458</v>
      </c>
      <c r="J31" s="115">
        <v>210</v>
      </c>
      <c r="K31" s="128">
        <f t="shared" si="22"/>
        <v>59.490084985835701</v>
      </c>
      <c r="L31" s="115">
        <v>52</v>
      </c>
      <c r="M31" s="129">
        <f t="shared" si="23"/>
        <v>14.730878186968839</v>
      </c>
      <c r="N31" s="130"/>
      <c r="O31" s="130"/>
      <c r="P31" s="115" t="s">
        <v>1273</v>
      </c>
      <c r="Q31" s="115" t="s">
        <v>1274</v>
      </c>
      <c r="R31" s="115" t="s">
        <v>14</v>
      </c>
      <c r="S31" s="115" t="s">
        <v>1283</v>
      </c>
      <c r="T31" s="115"/>
      <c r="U31" s="131">
        <v>3529</v>
      </c>
      <c r="V31" s="131">
        <f>IFERROR(_xlfn.XLOOKUP($S31,'[47]Tgl 8'!$E$108:$E$156,'[47]Tgl 8'!$F$108:$F$156),0)</f>
        <v>0</v>
      </c>
      <c r="W31" s="128">
        <f t="shared" si="24"/>
        <v>0</v>
      </c>
      <c r="X31" s="131">
        <f>IFERROR(_xlfn.XLOOKUP($S31,'[47]Tgl 8'!$E$108:$E$156,'[47]Tgl 8'!$H$108:$H$156),0)</f>
        <v>0</v>
      </c>
      <c r="Y31" s="128">
        <f t="shared" si="25"/>
        <v>0</v>
      </c>
      <c r="Z31" s="131">
        <f>IFERROR(_xlfn.XLOOKUP($S31,'[47]Tgl 8'!$E$108:$E$156,'[47]Tgl 8'!$G$108:$G$156),0)</f>
        <v>0</v>
      </c>
      <c r="AA31" s="129">
        <f t="shared" si="26"/>
        <v>0</v>
      </c>
      <c r="AB31" s="130"/>
      <c r="AC31" s="130"/>
      <c r="AD31" s="115" t="s">
        <v>1273</v>
      </c>
      <c r="AE31" s="115" t="s">
        <v>1274</v>
      </c>
      <c r="AF31" s="115" t="s">
        <v>14</v>
      </c>
      <c r="AG31" s="115" t="s">
        <v>1283</v>
      </c>
      <c r="AH31" s="115"/>
      <c r="AI31" s="131">
        <v>3529</v>
      </c>
      <c r="AJ31" s="131">
        <f>IFERROR(_xlfn.XLOOKUP($AG31,[47]Sheet1!$E$108:$E$132,[47]Sheet1!F$108:F$132),0)</f>
        <v>0</v>
      </c>
      <c r="AK31" s="128">
        <f t="shared" si="27"/>
        <v>0</v>
      </c>
      <c r="AL31" s="131">
        <f>IFERROR(_xlfn.XLOOKUP($AG31,[47]Sheet1!$E$108:$E$132,[47]Sheet1!H$108:H$132),0)</f>
        <v>0</v>
      </c>
      <c r="AM31" s="128">
        <f t="shared" si="28"/>
        <v>0</v>
      </c>
      <c r="AN31" s="131">
        <f>IFERROR(_xlfn.XLOOKUP($AG31,[47]Sheet1!$E$108:$E$132,[47]Sheet1!G$108:G$132),0)</f>
        <v>0</v>
      </c>
      <c r="AO31" s="129">
        <f t="shared" si="29"/>
        <v>0</v>
      </c>
    </row>
    <row r="32" spans="2:41" x14ac:dyDescent="0.2">
      <c r="B32" s="110" t="s">
        <v>1273</v>
      </c>
      <c r="C32" s="110" t="s">
        <v>1274</v>
      </c>
      <c r="D32" s="110" t="s">
        <v>14</v>
      </c>
      <c r="E32" s="110" t="s">
        <v>1284</v>
      </c>
      <c r="F32" s="110"/>
      <c r="G32" s="116">
        <v>2471</v>
      </c>
      <c r="H32" s="115">
        <v>247</v>
      </c>
      <c r="I32" s="128">
        <f t="shared" si="21"/>
        <v>9.9959530554431399</v>
      </c>
      <c r="J32" s="115">
        <v>154</v>
      </c>
      <c r="K32" s="128">
        <f t="shared" si="22"/>
        <v>62.348178137651814</v>
      </c>
      <c r="L32" s="115">
        <v>32</v>
      </c>
      <c r="M32" s="129">
        <f t="shared" si="23"/>
        <v>12.955465587044534</v>
      </c>
      <c r="N32" s="130"/>
      <c r="O32" s="130"/>
      <c r="P32" s="115" t="s">
        <v>1273</v>
      </c>
      <c r="Q32" s="115" t="s">
        <v>1274</v>
      </c>
      <c r="R32" s="115" t="s">
        <v>14</v>
      </c>
      <c r="S32" s="115" t="s">
        <v>1284</v>
      </c>
      <c r="T32" s="115"/>
      <c r="U32" s="131">
        <v>2471</v>
      </c>
      <c r="V32" s="131">
        <f>IFERROR(_xlfn.XLOOKUP($S32,'[47]Tgl 8'!$E$108:$E$156,'[47]Tgl 8'!$F$108:$F$156),0)</f>
        <v>0</v>
      </c>
      <c r="W32" s="128">
        <f t="shared" si="24"/>
        <v>0</v>
      </c>
      <c r="X32" s="131">
        <f>IFERROR(_xlfn.XLOOKUP($S32,'[47]Tgl 8'!$E$108:$E$156,'[47]Tgl 8'!$H$108:$H$156),0)</f>
        <v>0</v>
      </c>
      <c r="Y32" s="128">
        <f t="shared" si="25"/>
        <v>0</v>
      </c>
      <c r="Z32" s="131">
        <f>IFERROR(_xlfn.XLOOKUP($S32,'[47]Tgl 8'!$E$108:$E$156,'[47]Tgl 8'!$G$108:$G$156),0)</f>
        <v>0</v>
      </c>
      <c r="AA32" s="129">
        <f t="shared" si="26"/>
        <v>0</v>
      </c>
      <c r="AB32" s="130"/>
      <c r="AC32" s="130"/>
      <c r="AD32" s="115" t="s">
        <v>1273</v>
      </c>
      <c r="AE32" s="115" t="s">
        <v>1274</v>
      </c>
      <c r="AF32" s="115" t="s">
        <v>14</v>
      </c>
      <c r="AG32" s="115" t="s">
        <v>1284</v>
      </c>
      <c r="AH32" s="115"/>
      <c r="AI32" s="131">
        <v>2471</v>
      </c>
      <c r="AJ32" s="131">
        <f>IFERROR(_xlfn.XLOOKUP($AG32,[47]Sheet1!$E$108:$E$132,[47]Sheet1!F$108:F$132),0)</f>
        <v>0</v>
      </c>
      <c r="AK32" s="128">
        <f t="shared" si="27"/>
        <v>0</v>
      </c>
      <c r="AL32" s="131">
        <f>IFERROR(_xlfn.XLOOKUP($AG32,[47]Sheet1!$E$108:$E$132,[47]Sheet1!H$108:H$132),0)</f>
        <v>0</v>
      </c>
      <c r="AM32" s="128">
        <f t="shared" si="28"/>
        <v>0</v>
      </c>
      <c r="AN32" s="131">
        <f>IFERROR(_xlfn.XLOOKUP($AG32,[47]Sheet1!$E$108:$E$132,[47]Sheet1!G$108:G$132),0)</f>
        <v>0</v>
      </c>
      <c r="AO32" s="129">
        <f t="shared" si="29"/>
        <v>0</v>
      </c>
    </row>
    <row r="33" spans="2:41" x14ac:dyDescent="0.2">
      <c r="B33" s="110" t="s">
        <v>1273</v>
      </c>
      <c r="C33" s="110" t="s">
        <v>1274</v>
      </c>
      <c r="D33" s="110" t="s">
        <v>14</v>
      </c>
      <c r="E33" s="110" t="s">
        <v>1285</v>
      </c>
      <c r="F33" s="110"/>
      <c r="G33" s="116">
        <v>2684</v>
      </c>
      <c r="H33" s="115">
        <v>268</v>
      </c>
      <c r="I33" s="128">
        <f t="shared" si="21"/>
        <v>9.9850968703427725</v>
      </c>
      <c r="J33" s="115">
        <v>103</v>
      </c>
      <c r="K33" s="128">
        <f t="shared" si="22"/>
        <v>38.432835820895519</v>
      </c>
      <c r="L33" s="115">
        <v>25</v>
      </c>
      <c r="M33" s="129">
        <f t="shared" si="23"/>
        <v>9.3283582089552226</v>
      </c>
      <c r="N33" s="130"/>
      <c r="O33" s="130"/>
      <c r="P33" s="115" t="s">
        <v>1273</v>
      </c>
      <c r="Q33" s="115" t="s">
        <v>1274</v>
      </c>
      <c r="R33" s="115" t="s">
        <v>14</v>
      </c>
      <c r="S33" s="115" t="s">
        <v>1285</v>
      </c>
      <c r="T33" s="115"/>
      <c r="U33" s="131">
        <v>2684</v>
      </c>
      <c r="V33" s="131">
        <f>IFERROR(_xlfn.XLOOKUP($S33,'[47]Tgl 8'!$E$108:$E$156,'[47]Tgl 8'!$F$108:$F$156),0)</f>
        <v>0</v>
      </c>
      <c r="W33" s="128">
        <f t="shared" si="24"/>
        <v>0</v>
      </c>
      <c r="X33" s="131">
        <f>IFERROR(_xlfn.XLOOKUP($S33,'[47]Tgl 8'!$E$108:$E$156,'[47]Tgl 8'!$H$108:$H$156),0)</f>
        <v>0</v>
      </c>
      <c r="Y33" s="128">
        <f t="shared" si="25"/>
        <v>0</v>
      </c>
      <c r="Z33" s="131">
        <f>IFERROR(_xlfn.XLOOKUP($S33,'[47]Tgl 8'!$E$108:$E$156,'[47]Tgl 8'!$G$108:$G$156),0)</f>
        <v>0</v>
      </c>
      <c r="AA33" s="129">
        <f t="shared" si="26"/>
        <v>0</v>
      </c>
      <c r="AB33" s="130"/>
      <c r="AC33" s="130"/>
      <c r="AD33" s="115" t="s">
        <v>1273</v>
      </c>
      <c r="AE33" s="115" t="s">
        <v>1274</v>
      </c>
      <c r="AF33" s="115" t="s">
        <v>14</v>
      </c>
      <c r="AG33" s="115" t="s">
        <v>1285</v>
      </c>
      <c r="AH33" s="115"/>
      <c r="AI33" s="131">
        <v>2684</v>
      </c>
      <c r="AJ33" s="131">
        <f>IFERROR(_xlfn.XLOOKUP($AG33,[47]Sheet1!$E$108:$E$132,[47]Sheet1!F$108:F$132),0)</f>
        <v>0</v>
      </c>
      <c r="AK33" s="128">
        <f t="shared" si="27"/>
        <v>0</v>
      </c>
      <c r="AL33" s="131">
        <f>IFERROR(_xlfn.XLOOKUP($AG33,[47]Sheet1!$E$108:$E$132,[47]Sheet1!H$108:H$132),0)</f>
        <v>0</v>
      </c>
      <c r="AM33" s="128">
        <f t="shared" si="28"/>
        <v>0</v>
      </c>
      <c r="AN33" s="131">
        <f>IFERROR(_xlfn.XLOOKUP($AG33,[47]Sheet1!$E$108:$E$132,[47]Sheet1!G$108:G$132),0)</f>
        <v>0</v>
      </c>
      <c r="AO33" s="129">
        <f t="shared" si="29"/>
        <v>0</v>
      </c>
    </row>
    <row r="34" spans="2:41" x14ac:dyDescent="0.2">
      <c r="B34" s="110" t="s">
        <v>1273</v>
      </c>
      <c r="C34" s="110" t="s">
        <v>1274</v>
      </c>
      <c r="D34" s="110" t="s">
        <v>14</v>
      </c>
      <c r="E34" s="110" t="s">
        <v>1037</v>
      </c>
      <c r="F34" s="110"/>
      <c r="G34" s="116">
        <v>3691</v>
      </c>
      <c r="H34" s="115">
        <v>0</v>
      </c>
      <c r="I34" s="128">
        <f t="shared" si="21"/>
        <v>0</v>
      </c>
      <c r="J34" s="115">
        <v>0</v>
      </c>
      <c r="K34" s="128">
        <f t="shared" si="22"/>
        <v>0</v>
      </c>
      <c r="L34" s="115">
        <v>0</v>
      </c>
      <c r="M34" s="129">
        <f t="shared" si="23"/>
        <v>0</v>
      </c>
      <c r="N34" s="130"/>
      <c r="O34" s="130"/>
      <c r="P34" s="115" t="s">
        <v>1273</v>
      </c>
      <c r="Q34" s="115" t="s">
        <v>1274</v>
      </c>
      <c r="R34" s="115" t="s">
        <v>14</v>
      </c>
      <c r="S34" s="115" t="s">
        <v>1037</v>
      </c>
      <c r="T34" s="115"/>
      <c r="U34" s="131">
        <v>3691</v>
      </c>
      <c r="V34" s="131">
        <f>IFERROR(_xlfn.XLOOKUP($S34,'[47]Tgl 8'!$E$108:$E$156,'[47]Tgl 8'!$F$108:$F$156),0)</f>
        <v>24</v>
      </c>
      <c r="W34" s="128">
        <f t="shared" si="24"/>
        <v>0.65023028989433762</v>
      </c>
      <c r="X34" s="131">
        <f>IFERROR(_xlfn.XLOOKUP($S34,'[47]Tgl 8'!$E$108:$E$156,'[47]Tgl 8'!$H$108:$H$156),0)</f>
        <v>14</v>
      </c>
      <c r="Y34" s="128">
        <f t="shared" si="25"/>
        <v>58.333333333333336</v>
      </c>
      <c r="Z34" s="131">
        <f>IFERROR(_xlfn.XLOOKUP($S34,'[47]Tgl 8'!$E$108:$E$156,'[47]Tgl 8'!$G$108:$G$156),0)</f>
        <v>5</v>
      </c>
      <c r="AA34" s="129">
        <f t="shared" si="26"/>
        <v>20.833333333333336</v>
      </c>
      <c r="AB34" s="130"/>
      <c r="AC34" s="130"/>
      <c r="AD34" s="115" t="s">
        <v>1273</v>
      </c>
      <c r="AE34" s="115" t="s">
        <v>1274</v>
      </c>
      <c r="AF34" s="115" t="s">
        <v>14</v>
      </c>
      <c r="AG34" s="115" t="s">
        <v>1037</v>
      </c>
      <c r="AH34" s="115"/>
      <c r="AI34" s="131">
        <v>3691</v>
      </c>
      <c r="AJ34" s="131">
        <f>IFERROR(_xlfn.XLOOKUP($AG34,[47]Sheet1!$E$108:$E$132,[47]Sheet1!F$108:F$132),0)</f>
        <v>0</v>
      </c>
      <c r="AK34" s="128">
        <f t="shared" si="27"/>
        <v>0</v>
      </c>
      <c r="AL34" s="131">
        <f>IFERROR(_xlfn.XLOOKUP($AG34,[47]Sheet1!$E$108:$E$132,[47]Sheet1!H$108:H$132),0)</f>
        <v>0</v>
      </c>
      <c r="AM34" s="128">
        <f t="shared" si="28"/>
        <v>0</v>
      </c>
      <c r="AN34" s="131">
        <f>IFERROR(_xlfn.XLOOKUP($AG34,[47]Sheet1!$E$108:$E$132,[47]Sheet1!G$108:G$132),0)</f>
        <v>0</v>
      </c>
      <c r="AO34" s="129">
        <f t="shared" si="29"/>
        <v>0</v>
      </c>
    </row>
    <row r="35" spans="2:41" x14ac:dyDescent="0.2">
      <c r="B35" s="110" t="s">
        <v>1273</v>
      </c>
      <c r="C35" s="110" t="s">
        <v>1274</v>
      </c>
      <c r="D35" s="110" t="s">
        <v>14</v>
      </c>
      <c r="E35" s="110" t="s">
        <v>1035</v>
      </c>
      <c r="F35" s="110"/>
      <c r="G35" s="116">
        <v>3259</v>
      </c>
      <c r="H35" s="115">
        <v>0</v>
      </c>
      <c r="I35" s="128">
        <f t="shared" si="21"/>
        <v>0</v>
      </c>
      <c r="J35" s="115">
        <v>0</v>
      </c>
      <c r="K35" s="128">
        <f t="shared" si="22"/>
        <v>0</v>
      </c>
      <c r="L35" s="115">
        <v>0</v>
      </c>
      <c r="M35" s="129">
        <f t="shared" si="23"/>
        <v>0</v>
      </c>
      <c r="N35" s="130"/>
      <c r="O35" s="130"/>
      <c r="P35" s="115" t="s">
        <v>1273</v>
      </c>
      <c r="Q35" s="115" t="s">
        <v>1274</v>
      </c>
      <c r="R35" s="115" t="s">
        <v>14</v>
      </c>
      <c r="S35" s="115" t="s">
        <v>1035</v>
      </c>
      <c r="T35" s="115"/>
      <c r="U35" s="131">
        <v>3259</v>
      </c>
      <c r="V35" s="131">
        <f>IFERROR(_xlfn.XLOOKUP($S35,'[47]Tgl 8'!$E$108:$E$156,'[47]Tgl 8'!$F$108:$F$156),0)</f>
        <v>29</v>
      </c>
      <c r="W35" s="128">
        <f t="shared" si="24"/>
        <v>0.8898435102792267</v>
      </c>
      <c r="X35" s="131">
        <f>IFERROR(_xlfn.XLOOKUP($S35,'[47]Tgl 8'!$E$108:$E$156,'[47]Tgl 8'!$H$108:$H$156),0)</f>
        <v>12</v>
      </c>
      <c r="Y35" s="128">
        <f t="shared" si="25"/>
        <v>41.379310344827587</v>
      </c>
      <c r="Z35" s="131">
        <f>IFERROR(_xlfn.XLOOKUP($S35,'[47]Tgl 8'!$E$108:$E$156,'[47]Tgl 8'!$G$108:$G$156),0)</f>
        <v>10</v>
      </c>
      <c r="AA35" s="129">
        <f t="shared" si="26"/>
        <v>34.482758620689658</v>
      </c>
      <c r="AB35" s="130"/>
      <c r="AC35" s="130"/>
      <c r="AD35" s="115" t="s">
        <v>1273</v>
      </c>
      <c r="AE35" s="115" t="s">
        <v>1274</v>
      </c>
      <c r="AF35" s="115" t="s">
        <v>14</v>
      </c>
      <c r="AG35" s="115" t="s">
        <v>1035</v>
      </c>
      <c r="AH35" s="115"/>
      <c r="AI35" s="131">
        <v>3259</v>
      </c>
      <c r="AJ35" s="131">
        <f>IFERROR(_xlfn.XLOOKUP($AG35,[47]Sheet1!$E$108:$E$132,[47]Sheet1!F$108:F$132),0)</f>
        <v>0</v>
      </c>
      <c r="AK35" s="128">
        <f t="shared" si="27"/>
        <v>0</v>
      </c>
      <c r="AL35" s="131">
        <f>IFERROR(_xlfn.XLOOKUP($AG35,[47]Sheet1!$E$108:$E$132,[47]Sheet1!H$108:H$132),0)</f>
        <v>0</v>
      </c>
      <c r="AM35" s="128">
        <f t="shared" si="28"/>
        <v>0</v>
      </c>
      <c r="AN35" s="131">
        <f>IFERROR(_xlfn.XLOOKUP($AG35,[47]Sheet1!$E$108:$E$132,[47]Sheet1!G$108:G$132),0)</f>
        <v>0</v>
      </c>
      <c r="AO35" s="129">
        <f t="shared" si="29"/>
        <v>0</v>
      </c>
    </row>
    <row r="36" spans="2:41" x14ac:dyDescent="0.2">
      <c r="B36" s="110" t="s">
        <v>1273</v>
      </c>
      <c r="C36" s="110" t="s">
        <v>1274</v>
      </c>
      <c r="D36" s="110" t="s">
        <v>14</v>
      </c>
      <c r="E36" s="110" t="s">
        <v>1286</v>
      </c>
      <c r="F36" s="110"/>
      <c r="G36" s="116">
        <v>3718</v>
      </c>
      <c r="H36" s="115">
        <v>0</v>
      </c>
      <c r="I36" s="128">
        <f t="shared" si="21"/>
        <v>0</v>
      </c>
      <c r="J36" s="115">
        <v>0</v>
      </c>
      <c r="K36" s="128">
        <f t="shared" si="22"/>
        <v>0</v>
      </c>
      <c r="L36" s="115">
        <v>0</v>
      </c>
      <c r="M36" s="129">
        <f t="shared" si="23"/>
        <v>0</v>
      </c>
      <c r="N36" s="130"/>
      <c r="O36" s="130"/>
      <c r="P36" s="115" t="s">
        <v>1273</v>
      </c>
      <c r="Q36" s="115" t="s">
        <v>1274</v>
      </c>
      <c r="R36" s="115" t="s">
        <v>14</v>
      </c>
      <c r="S36" s="115" t="s">
        <v>1286</v>
      </c>
      <c r="T36" s="115"/>
      <c r="U36" s="131">
        <v>3718</v>
      </c>
      <c r="V36" s="131">
        <f>IFERROR(_xlfn.XLOOKUP($S36,'[47]Tgl 8'!$E$108:$E$156,'[47]Tgl 8'!$F$108:$F$156),0)</f>
        <v>0</v>
      </c>
      <c r="W36" s="128">
        <f t="shared" si="24"/>
        <v>0</v>
      </c>
      <c r="X36" s="131">
        <f>IFERROR(_xlfn.XLOOKUP($S36,'[47]Tgl 8'!$E$108:$E$156,'[47]Tgl 8'!$H$108:$H$156),0)</f>
        <v>0</v>
      </c>
      <c r="Y36" s="128">
        <f t="shared" si="25"/>
        <v>0</v>
      </c>
      <c r="Z36" s="131">
        <f>IFERROR(_xlfn.XLOOKUP($S36,'[47]Tgl 8'!$E$108:$E$156,'[47]Tgl 8'!$G$108:$G$156),0)</f>
        <v>0</v>
      </c>
      <c r="AA36" s="129">
        <f t="shared" si="26"/>
        <v>0</v>
      </c>
      <c r="AB36" s="130"/>
      <c r="AC36" s="130"/>
      <c r="AD36" s="115" t="s">
        <v>1273</v>
      </c>
      <c r="AE36" s="115" t="s">
        <v>1274</v>
      </c>
      <c r="AF36" s="115" t="s">
        <v>14</v>
      </c>
      <c r="AG36" s="115" t="s">
        <v>1286</v>
      </c>
      <c r="AH36" s="115"/>
      <c r="AI36" s="131">
        <v>3718</v>
      </c>
      <c r="AJ36" s="131">
        <f>IFERROR(_xlfn.XLOOKUP($AG36,[47]Sheet1!$E$108:$E$132,[47]Sheet1!F$108:F$132),0)</f>
        <v>182</v>
      </c>
      <c r="AK36" s="128">
        <f t="shared" si="27"/>
        <v>4.895104895104895</v>
      </c>
      <c r="AL36" s="131">
        <f>IFERROR(_xlfn.XLOOKUP($AG36,[47]Sheet1!$E$108:$E$132,[47]Sheet1!H$108:H$132),0)</f>
        <v>54</v>
      </c>
      <c r="AM36" s="128">
        <f t="shared" si="28"/>
        <v>29.670329670329668</v>
      </c>
      <c r="AN36" s="131">
        <f>IFERROR(_xlfn.XLOOKUP($AG36,[47]Sheet1!$E$108:$E$132,[47]Sheet1!G$108:G$132),0)</f>
        <v>22</v>
      </c>
      <c r="AO36" s="129">
        <f t="shared" si="29"/>
        <v>12.087912087912088</v>
      </c>
    </row>
    <row r="37" spans="2:41" x14ac:dyDescent="0.2">
      <c r="B37" s="110" t="s">
        <v>1273</v>
      </c>
      <c r="C37" s="110" t="s">
        <v>1274</v>
      </c>
      <c r="D37" s="110" t="s">
        <v>14</v>
      </c>
      <c r="E37" s="110" t="s">
        <v>1287</v>
      </c>
      <c r="F37" s="110"/>
      <c r="G37" s="116">
        <v>3570</v>
      </c>
      <c r="H37" s="115">
        <v>357</v>
      </c>
      <c r="I37" s="128">
        <f t="shared" si="21"/>
        <v>10</v>
      </c>
      <c r="J37" s="115">
        <v>231</v>
      </c>
      <c r="K37" s="128">
        <f t="shared" si="22"/>
        <v>64.705882352941174</v>
      </c>
      <c r="L37" s="115">
        <v>56</v>
      </c>
      <c r="M37" s="129">
        <f t="shared" si="23"/>
        <v>15.686274509803923</v>
      </c>
      <c r="N37" s="130"/>
      <c r="O37" s="130"/>
      <c r="P37" s="115" t="s">
        <v>1273</v>
      </c>
      <c r="Q37" s="115" t="s">
        <v>1274</v>
      </c>
      <c r="R37" s="115" t="s">
        <v>14</v>
      </c>
      <c r="S37" s="115" t="s">
        <v>1287</v>
      </c>
      <c r="T37" s="115"/>
      <c r="U37" s="131">
        <v>3570</v>
      </c>
      <c r="V37" s="131">
        <f>IFERROR(_xlfn.XLOOKUP($S37,'[47]Tgl 8'!$E$108:$E$156,'[47]Tgl 8'!$F$108:$F$156),0)</f>
        <v>0</v>
      </c>
      <c r="W37" s="128">
        <f t="shared" si="24"/>
        <v>0</v>
      </c>
      <c r="X37" s="131">
        <f>IFERROR(_xlfn.XLOOKUP($S37,'[47]Tgl 8'!$E$108:$E$156,'[47]Tgl 8'!$H$108:$H$156),0)</f>
        <v>0</v>
      </c>
      <c r="Y37" s="128">
        <f t="shared" si="25"/>
        <v>0</v>
      </c>
      <c r="Z37" s="131">
        <f>IFERROR(_xlfn.XLOOKUP($S37,'[47]Tgl 8'!$E$108:$E$156,'[47]Tgl 8'!$G$108:$G$156),0)</f>
        <v>0</v>
      </c>
      <c r="AA37" s="129">
        <f t="shared" si="26"/>
        <v>0</v>
      </c>
      <c r="AB37" s="130"/>
      <c r="AC37" s="130"/>
      <c r="AD37" s="115" t="s">
        <v>1273</v>
      </c>
      <c r="AE37" s="115" t="s">
        <v>1274</v>
      </c>
      <c r="AF37" s="115" t="s">
        <v>14</v>
      </c>
      <c r="AG37" s="115" t="s">
        <v>1287</v>
      </c>
      <c r="AH37" s="115"/>
      <c r="AI37" s="131">
        <v>3570</v>
      </c>
      <c r="AJ37" s="131">
        <f>IFERROR(_xlfn.XLOOKUP($AG37,[47]Sheet1!$E$108:$E$132,[47]Sheet1!F$108:F$132),0)</f>
        <v>196</v>
      </c>
      <c r="AK37" s="128">
        <f t="shared" si="27"/>
        <v>5.4901960784313717</v>
      </c>
      <c r="AL37" s="131">
        <f>IFERROR(_xlfn.XLOOKUP($AG37,[47]Sheet1!$E$108:$E$132,[47]Sheet1!H$108:H$132),0)</f>
        <v>53</v>
      </c>
      <c r="AM37" s="128">
        <f t="shared" si="28"/>
        <v>27.040816326530614</v>
      </c>
      <c r="AN37" s="131">
        <f>IFERROR(_xlfn.XLOOKUP($AG37,[47]Sheet1!$E$108:$E$132,[47]Sheet1!G$108:G$132),0)</f>
        <v>18</v>
      </c>
      <c r="AO37" s="129">
        <f t="shared" si="29"/>
        <v>9.183673469387756</v>
      </c>
    </row>
    <row r="38" spans="2:41" x14ac:dyDescent="0.2">
      <c r="B38" s="110" t="s">
        <v>1273</v>
      </c>
      <c r="C38" s="110" t="s">
        <v>1274</v>
      </c>
      <c r="D38" s="110" t="s">
        <v>14</v>
      </c>
      <c r="E38" s="110" t="s">
        <v>1288</v>
      </c>
      <c r="F38" s="110"/>
      <c r="G38" s="116">
        <v>3840</v>
      </c>
      <c r="H38" s="115">
        <v>384</v>
      </c>
      <c r="I38" s="128">
        <f t="shared" si="21"/>
        <v>10</v>
      </c>
      <c r="J38" s="115">
        <v>210</v>
      </c>
      <c r="K38" s="128">
        <f t="shared" si="22"/>
        <v>54.6875</v>
      </c>
      <c r="L38" s="115">
        <v>38</v>
      </c>
      <c r="M38" s="129">
        <f t="shared" si="23"/>
        <v>9.8958333333333339</v>
      </c>
      <c r="N38" s="130"/>
      <c r="O38" s="130"/>
      <c r="P38" s="115" t="s">
        <v>1273</v>
      </c>
      <c r="Q38" s="115" t="s">
        <v>1274</v>
      </c>
      <c r="R38" s="115" t="s">
        <v>14</v>
      </c>
      <c r="S38" s="115" t="s">
        <v>1288</v>
      </c>
      <c r="T38" s="115"/>
      <c r="U38" s="131">
        <v>3840</v>
      </c>
      <c r="V38" s="131">
        <f>IFERROR(_xlfn.XLOOKUP($S38,'[47]Tgl 8'!$E$108:$E$156,'[47]Tgl 8'!$F$108:$F$156),0)</f>
        <v>0</v>
      </c>
      <c r="W38" s="128">
        <f t="shared" si="24"/>
        <v>0</v>
      </c>
      <c r="X38" s="131">
        <f>IFERROR(_xlfn.XLOOKUP($S38,'[47]Tgl 8'!$E$108:$E$156,'[47]Tgl 8'!$H$108:$H$156),0)</f>
        <v>0</v>
      </c>
      <c r="Y38" s="128">
        <f t="shared" si="25"/>
        <v>0</v>
      </c>
      <c r="Z38" s="131">
        <f>IFERROR(_xlfn.XLOOKUP($S38,'[47]Tgl 8'!$E$108:$E$156,'[47]Tgl 8'!$G$108:$G$156),0)</f>
        <v>0</v>
      </c>
      <c r="AA38" s="129">
        <f t="shared" si="26"/>
        <v>0</v>
      </c>
      <c r="AB38" s="130"/>
      <c r="AC38" s="130"/>
      <c r="AD38" s="115" t="s">
        <v>1273</v>
      </c>
      <c r="AE38" s="115" t="s">
        <v>1274</v>
      </c>
      <c r="AF38" s="115" t="s">
        <v>14</v>
      </c>
      <c r="AG38" s="115" t="s">
        <v>1288</v>
      </c>
      <c r="AH38" s="115"/>
      <c r="AI38" s="131">
        <v>3840</v>
      </c>
      <c r="AJ38" s="131">
        <f>IFERROR(_xlfn.XLOOKUP($AG38,[47]Sheet1!$E$108:$E$132,[47]Sheet1!F$108:F$132),0)</f>
        <v>0</v>
      </c>
      <c r="AK38" s="128">
        <f t="shared" si="27"/>
        <v>0</v>
      </c>
      <c r="AL38" s="131">
        <f>IFERROR(_xlfn.XLOOKUP($AG38,[47]Sheet1!$E$108:$E$132,[47]Sheet1!H$108:H$132),0)</f>
        <v>0</v>
      </c>
      <c r="AM38" s="128">
        <f t="shared" si="28"/>
        <v>0</v>
      </c>
      <c r="AN38" s="131">
        <f>IFERROR(_xlfn.XLOOKUP($AG38,[47]Sheet1!$E$108:$E$132,[47]Sheet1!G$108:G$132),0)</f>
        <v>0</v>
      </c>
      <c r="AO38" s="129">
        <f t="shared" si="29"/>
        <v>0</v>
      </c>
    </row>
    <row r="39" spans="2:41" x14ac:dyDescent="0.2">
      <c r="B39" s="110" t="s">
        <v>1273</v>
      </c>
      <c r="C39" s="110" t="s">
        <v>1274</v>
      </c>
      <c r="D39" s="110" t="s">
        <v>14</v>
      </c>
      <c r="E39" s="110" t="s">
        <v>1289</v>
      </c>
      <c r="F39" s="110"/>
      <c r="G39" s="116">
        <v>4397</v>
      </c>
      <c r="H39" s="115">
        <v>440</v>
      </c>
      <c r="I39" s="128">
        <f t="shared" si="21"/>
        <v>10.006822833750284</v>
      </c>
      <c r="J39" s="115">
        <v>320</v>
      </c>
      <c r="K39" s="128">
        <f t="shared" si="22"/>
        <v>72.72727272727272</v>
      </c>
      <c r="L39" s="115">
        <v>77</v>
      </c>
      <c r="M39" s="129">
        <f t="shared" si="23"/>
        <v>17.5</v>
      </c>
      <c r="N39" s="130"/>
      <c r="O39" s="130"/>
      <c r="P39" s="115" t="s">
        <v>1273</v>
      </c>
      <c r="Q39" s="115" t="s">
        <v>1274</v>
      </c>
      <c r="R39" s="115" t="s">
        <v>14</v>
      </c>
      <c r="S39" s="115" t="s">
        <v>1289</v>
      </c>
      <c r="T39" s="115"/>
      <c r="U39" s="131">
        <v>4397</v>
      </c>
      <c r="V39" s="131">
        <f>IFERROR(_xlfn.XLOOKUP($S39,'[47]Tgl 8'!$E$108:$E$156,'[47]Tgl 8'!$F$108:$F$156),0)</f>
        <v>0</v>
      </c>
      <c r="W39" s="128">
        <f t="shared" si="24"/>
        <v>0</v>
      </c>
      <c r="X39" s="131">
        <f>IFERROR(_xlfn.XLOOKUP($S39,'[47]Tgl 8'!$E$108:$E$156,'[47]Tgl 8'!$H$108:$H$156),0)</f>
        <v>0</v>
      </c>
      <c r="Y39" s="128">
        <f t="shared" si="25"/>
        <v>0</v>
      </c>
      <c r="Z39" s="131">
        <f>IFERROR(_xlfn.XLOOKUP($S39,'[47]Tgl 8'!$E$108:$E$156,'[47]Tgl 8'!$G$108:$G$156),0)</f>
        <v>0</v>
      </c>
      <c r="AA39" s="129">
        <f t="shared" si="26"/>
        <v>0</v>
      </c>
      <c r="AB39" s="130"/>
      <c r="AC39" s="130"/>
      <c r="AD39" s="115" t="s">
        <v>1273</v>
      </c>
      <c r="AE39" s="115" t="s">
        <v>1274</v>
      </c>
      <c r="AF39" s="115" t="s">
        <v>14</v>
      </c>
      <c r="AG39" s="115" t="s">
        <v>1289</v>
      </c>
      <c r="AH39" s="115"/>
      <c r="AI39" s="131">
        <v>4397</v>
      </c>
      <c r="AJ39" s="131">
        <f>IFERROR(_xlfn.XLOOKUP($AG39,[47]Sheet1!$E$108:$E$132,[47]Sheet1!F$108:F$132),0)</f>
        <v>0</v>
      </c>
      <c r="AK39" s="128">
        <f t="shared" si="27"/>
        <v>0</v>
      </c>
      <c r="AL39" s="131">
        <f>IFERROR(_xlfn.XLOOKUP($AG39,[47]Sheet1!$E$108:$E$132,[47]Sheet1!H$108:H$132),0)</f>
        <v>0</v>
      </c>
      <c r="AM39" s="128">
        <f t="shared" si="28"/>
        <v>0</v>
      </c>
      <c r="AN39" s="131">
        <f>IFERROR(_xlfn.XLOOKUP($AG39,[47]Sheet1!$E$108:$E$132,[47]Sheet1!G$108:G$132),0)</f>
        <v>0</v>
      </c>
      <c r="AO39" s="129">
        <f t="shared" si="29"/>
        <v>0</v>
      </c>
    </row>
    <row r="40" spans="2:41" x14ac:dyDescent="0.2">
      <c r="B40" s="110" t="s">
        <v>1273</v>
      </c>
      <c r="C40" s="110" t="s">
        <v>1274</v>
      </c>
      <c r="D40" s="110" t="s">
        <v>14</v>
      </c>
      <c r="E40" s="110" t="s">
        <v>1290</v>
      </c>
      <c r="F40" s="110"/>
      <c r="G40" s="116">
        <v>3828</v>
      </c>
      <c r="H40" s="115">
        <v>383</v>
      </c>
      <c r="I40" s="128">
        <f t="shared" si="21"/>
        <v>10.005224660397074</v>
      </c>
      <c r="J40" s="115">
        <v>303</v>
      </c>
      <c r="K40" s="128">
        <f t="shared" si="22"/>
        <v>79.112271540469976</v>
      </c>
      <c r="L40" s="115">
        <v>92</v>
      </c>
      <c r="M40" s="129">
        <f t="shared" si="23"/>
        <v>24.020887728459531</v>
      </c>
      <c r="N40" s="130"/>
      <c r="O40" s="130"/>
      <c r="P40" s="115" t="s">
        <v>1273</v>
      </c>
      <c r="Q40" s="115" t="s">
        <v>1274</v>
      </c>
      <c r="R40" s="115" t="s">
        <v>14</v>
      </c>
      <c r="S40" s="115" t="s">
        <v>1290</v>
      </c>
      <c r="T40" s="115"/>
      <c r="U40" s="131">
        <v>3828</v>
      </c>
      <c r="V40" s="131">
        <f>IFERROR(_xlfn.XLOOKUP($S40,'[47]Tgl 8'!$E$108:$E$156,'[47]Tgl 8'!$F$108:$F$156),0)</f>
        <v>0</v>
      </c>
      <c r="W40" s="128">
        <f t="shared" si="24"/>
        <v>0</v>
      </c>
      <c r="X40" s="131">
        <f>IFERROR(_xlfn.XLOOKUP($S40,'[47]Tgl 8'!$E$108:$E$156,'[47]Tgl 8'!$H$108:$H$156),0)</f>
        <v>0</v>
      </c>
      <c r="Y40" s="128">
        <f t="shared" si="25"/>
        <v>0</v>
      </c>
      <c r="Z40" s="131">
        <f>IFERROR(_xlfn.XLOOKUP($S40,'[47]Tgl 8'!$E$108:$E$156,'[47]Tgl 8'!$G$108:$G$156),0)</f>
        <v>0</v>
      </c>
      <c r="AA40" s="129">
        <f t="shared" si="26"/>
        <v>0</v>
      </c>
      <c r="AB40" s="130"/>
      <c r="AC40" s="130"/>
      <c r="AD40" s="115" t="s">
        <v>1273</v>
      </c>
      <c r="AE40" s="115" t="s">
        <v>1274</v>
      </c>
      <c r="AF40" s="115" t="s">
        <v>14</v>
      </c>
      <c r="AG40" s="115" t="s">
        <v>1290</v>
      </c>
      <c r="AH40" s="115"/>
      <c r="AI40" s="131">
        <v>3828</v>
      </c>
      <c r="AJ40" s="131">
        <f>IFERROR(_xlfn.XLOOKUP($AG40,[47]Sheet1!$E$108:$E$132,[47]Sheet1!F$108:F$132),0)</f>
        <v>0</v>
      </c>
      <c r="AK40" s="128">
        <f t="shared" si="27"/>
        <v>0</v>
      </c>
      <c r="AL40" s="131">
        <f>IFERROR(_xlfn.XLOOKUP($AG40,[47]Sheet1!$E$108:$E$132,[47]Sheet1!H$108:H$132),0)</f>
        <v>0</v>
      </c>
      <c r="AM40" s="128">
        <f t="shared" si="28"/>
        <v>0</v>
      </c>
      <c r="AN40" s="131">
        <f>IFERROR(_xlfn.XLOOKUP($AG40,[47]Sheet1!$E$108:$E$132,[47]Sheet1!G$108:G$132),0)</f>
        <v>0</v>
      </c>
      <c r="AO40" s="129">
        <f t="shared" si="29"/>
        <v>0</v>
      </c>
    </row>
    <row r="41" spans="2:41" x14ac:dyDescent="0.2">
      <c r="B41" s="110" t="s">
        <v>1273</v>
      </c>
      <c r="C41" s="110" t="s">
        <v>1274</v>
      </c>
      <c r="D41" s="110" t="s">
        <v>14</v>
      </c>
      <c r="E41" s="110" t="s">
        <v>1291</v>
      </c>
      <c r="F41" s="110"/>
      <c r="G41" s="116">
        <v>4563</v>
      </c>
      <c r="H41" s="115">
        <v>456</v>
      </c>
      <c r="I41" s="128">
        <f t="shared" si="21"/>
        <v>9.9934253780407616</v>
      </c>
      <c r="J41" s="115">
        <v>365</v>
      </c>
      <c r="K41" s="128">
        <f t="shared" si="22"/>
        <v>80.043859649122808</v>
      </c>
      <c r="L41" s="115">
        <v>65</v>
      </c>
      <c r="M41" s="129">
        <f t="shared" si="23"/>
        <v>14.254385964912283</v>
      </c>
      <c r="N41" s="130"/>
      <c r="O41" s="130"/>
      <c r="P41" s="115" t="s">
        <v>1273</v>
      </c>
      <c r="Q41" s="115" t="s">
        <v>1274</v>
      </c>
      <c r="R41" s="115" t="s">
        <v>14</v>
      </c>
      <c r="S41" s="115" t="s">
        <v>1291</v>
      </c>
      <c r="T41" s="115"/>
      <c r="U41" s="131">
        <v>4563</v>
      </c>
      <c r="V41" s="131">
        <f>IFERROR(_xlfn.XLOOKUP($S41,'[47]Tgl 8'!$E$108:$E$156,'[47]Tgl 8'!$F$108:$F$156),0)</f>
        <v>0</v>
      </c>
      <c r="W41" s="128">
        <f t="shared" si="24"/>
        <v>0</v>
      </c>
      <c r="X41" s="131">
        <f>IFERROR(_xlfn.XLOOKUP($S41,'[47]Tgl 8'!$E$108:$E$156,'[47]Tgl 8'!$H$108:$H$156),0)</f>
        <v>0</v>
      </c>
      <c r="Y41" s="128">
        <f t="shared" si="25"/>
        <v>0</v>
      </c>
      <c r="Z41" s="131">
        <f>IFERROR(_xlfn.XLOOKUP($S41,'[47]Tgl 8'!$E$108:$E$156,'[47]Tgl 8'!$G$108:$G$156),0)</f>
        <v>0</v>
      </c>
      <c r="AA41" s="129">
        <f t="shared" si="26"/>
        <v>0</v>
      </c>
      <c r="AB41" s="130"/>
      <c r="AC41" s="130"/>
      <c r="AD41" s="115" t="s">
        <v>1273</v>
      </c>
      <c r="AE41" s="115" t="s">
        <v>1274</v>
      </c>
      <c r="AF41" s="115" t="s">
        <v>14</v>
      </c>
      <c r="AG41" s="115" t="s">
        <v>1291</v>
      </c>
      <c r="AH41" s="115"/>
      <c r="AI41" s="131">
        <v>4563</v>
      </c>
      <c r="AJ41" s="131">
        <f>IFERROR(_xlfn.XLOOKUP($AG41,[47]Sheet1!$E$108:$E$132,[47]Sheet1!F$108:F$132),0)</f>
        <v>0</v>
      </c>
      <c r="AK41" s="128">
        <f t="shared" si="27"/>
        <v>0</v>
      </c>
      <c r="AL41" s="131">
        <f>IFERROR(_xlfn.XLOOKUP($AG41,[47]Sheet1!$E$108:$E$132,[47]Sheet1!H$108:H$132),0)</f>
        <v>0</v>
      </c>
      <c r="AM41" s="128">
        <f t="shared" si="28"/>
        <v>0</v>
      </c>
      <c r="AN41" s="131">
        <f>IFERROR(_xlfn.XLOOKUP($AG41,[47]Sheet1!$E$108:$E$132,[47]Sheet1!G$108:G$132),0)</f>
        <v>0</v>
      </c>
      <c r="AO41" s="129">
        <f t="shared" si="29"/>
        <v>0</v>
      </c>
    </row>
    <row r="42" spans="2:41" x14ac:dyDescent="0.2">
      <c r="B42" s="110" t="s">
        <v>1273</v>
      </c>
      <c r="C42" s="110" t="s">
        <v>1274</v>
      </c>
      <c r="D42" s="110" t="s">
        <v>14</v>
      </c>
      <c r="E42" s="110" t="s">
        <v>1292</v>
      </c>
      <c r="F42" s="110"/>
      <c r="G42" s="116">
        <v>3888</v>
      </c>
      <c r="H42" s="115">
        <v>389</v>
      </c>
      <c r="I42" s="128">
        <f t="shared" si="21"/>
        <v>10.005144032921811</v>
      </c>
      <c r="J42" s="115">
        <v>271</v>
      </c>
      <c r="K42" s="128">
        <f t="shared" si="22"/>
        <v>69.66580976863753</v>
      </c>
      <c r="L42" s="115">
        <v>71</v>
      </c>
      <c r="M42" s="129">
        <f t="shared" si="23"/>
        <v>18.251928020565551</v>
      </c>
      <c r="N42" s="130"/>
      <c r="O42" s="130"/>
      <c r="P42" s="115" t="s">
        <v>1273</v>
      </c>
      <c r="Q42" s="115" t="s">
        <v>1274</v>
      </c>
      <c r="R42" s="115" t="s">
        <v>14</v>
      </c>
      <c r="S42" s="115" t="s">
        <v>1292</v>
      </c>
      <c r="T42" s="115"/>
      <c r="U42" s="131">
        <v>3888</v>
      </c>
      <c r="V42" s="131">
        <f>IFERROR(_xlfn.XLOOKUP($S42,'[47]Tgl 8'!$E$108:$E$156,'[47]Tgl 8'!$F$108:$F$156),0)</f>
        <v>0</v>
      </c>
      <c r="W42" s="128">
        <f t="shared" si="24"/>
        <v>0</v>
      </c>
      <c r="X42" s="131">
        <f>IFERROR(_xlfn.XLOOKUP($S42,'[47]Tgl 8'!$E$108:$E$156,'[47]Tgl 8'!$H$108:$H$156),0)</f>
        <v>0</v>
      </c>
      <c r="Y42" s="128">
        <f t="shared" si="25"/>
        <v>0</v>
      </c>
      <c r="Z42" s="131">
        <f>IFERROR(_xlfn.XLOOKUP($S42,'[47]Tgl 8'!$E$108:$E$156,'[47]Tgl 8'!$G$108:$G$156),0)</f>
        <v>0</v>
      </c>
      <c r="AA42" s="129">
        <f t="shared" si="26"/>
        <v>0</v>
      </c>
      <c r="AB42" s="130"/>
      <c r="AC42" s="130"/>
      <c r="AD42" s="115" t="s">
        <v>1273</v>
      </c>
      <c r="AE42" s="115" t="s">
        <v>1274</v>
      </c>
      <c r="AF42" s="115" t="s">
        <v>14</v>
      </c>
      <c r="AG42" s="115" t="s">
        <v>1292</v>
      </c>
      <c r="AH42" s="115"/>
      <c r="AI42" s="131">
        <v>3888</v>
      </c>
      <c r="AJ42" s="131">
        <f>IFERROR(_xlfn.XLOOKUP($AG42,[47]Sheet1!$E$108:$E$132,[47]Sheet1!F$108:F$132),0)</f>
        <v>0</v>
      </c>
      <c r="AK42" s="128">
        <f t="shared" si="27"/>
        <v>0</v>
      </c>
      <c r="AL42" s="131">
        <f>IFERROR(_xlfn.XLOOKUP($AG42,[47]Sheet1!$E$108:$E$132,[47]Sheet1!H$108:H$132),0)</f>
        <v>0</v>
      </c>
      <c r="AM42" s="128">
        <f t="shared" si="28"/>
        <v>0</v>
      </c>
      <c r="AN42" s="131">
        <f>IFERROR(_xlfn.XLOOKUP($AG42,[47]Sheet1!$E$108:$E$132,[47]Sheet1!G$108:G$132),0)</f>
        <v>0</v>
      </c>
      <c r="AO42" s="129">
        <f t="shared" si="29"/>
        <v>0</v>
      </c>
    </row>
    <row r="43" spans="2:41" x14ac:dyDescent="0.2">
      <c r="B43" s="110" t="s">
        <v>1273</v>
      </c>
      <c r="C43" s="110" t="s">
        <v>1274</v>
      </c>
      <c r="D43" s="110" t="s">
        <v>14</v>
      </c>
      <c r="E43" s="110" t="s">
        <v>1293</v>
      </c>
      <c r="F43" s="110"/>
      <c r="G43" s="116">
        <v>3442</v>
      </c>
      <c r="H43" s="115">
        <v>344</v>
      </c>
      <c r="I43" s="128">
        <f t="shared" si="21"/>
        <v>9.9941894247530509</v>
      </c>
      <c r="J43" s="115">
        <v>307</v>
      </c>
      <c r="K43" s="128">
        <f t="shared" si="22"/>
        <v>89.244186046511629</v>
      </c>
      <c r="L43" s="115">
        <v>38</v>
      </c>
      <c r="M43" s="129">
        <f t="shared" si="23"/>
        <v>11.046511627906977</v>
      </c>
      <c r="N43" s="130"/>
      <c r="O43" s="130"/>
      <c r="P43" s="115" t="s">
        <v>1273</v>
      </c>
      <c r="Q43" s="115" t="s">
        <v>1274</v>
      </c>
      <c r="R43" s="115" t="s">
        <v>14</v>
      </c>
      <c r="S43" s="115" t="s">
        <v>1293</v>
      </c>
      <c r="T43" s="115"/>
      <c r="U43" s="131">
        <v>3442</v>
      </c>
      <c r="V43" s="131">
        <f>IFERROR(_xlfn.XLOOKUP($S43,'[47]Tgl 8'!$E$108:$E$156,'[47]Tgl 8'!$F$108:$F$156),0)</f>
        <v>0</v>
      </c>
      <c r="W43" s="128">
        <f t="shared" si="24"/>
        <v>0</v>
      </c>
      <c r="X43" s="131">
        <f>IFERROR(_xlfn.XLOOKUP($S43,'[47]Tgl 8'!$E$108:$E$156,'[47]Tgl 8'!$H$108:$H$156),0)</f>
        <v>0</v>
      </c>
      <c r="Y43" s="128">
        <f t="shared" si="25"/>
        <v>0</v>
      </c>
      <c r="Z43" s="131">
        <f>IFERROR(_xlfn.XLOOKUP($S43,'[47]Tgl 8'!$E$108:$E$156,'[47]Tgl 8'!$G$108:$G$156),0)</f>
        <v>0</v>
      </c>
      <c r="AA43" s="129">
        <f t="shared" si="26"/>
        <v>0</v>
      </c>
      <c r="AB43" s="130"/>
      <c r="AC43" s="130"/>
      <c r="AD43" s="115" t="s">
        <v>1273</v>
      </c>
      <c r="AE43" s="115" t="s">
        <v>1274</v>
      </c>
      <c r="AF43" s="115" t="s">
        <v>14</v>
      </c>
      <c r="AG43" s="115" t="s">
        <v>1293</v>
      </c>
      <c r="AH43" s="115"/>
      <c r="AI43" s="131">
        <v>3442</v>
      </c>
      <c r="AJ43" s="131">
        <f>IFERROR(_xlfn.XLOOKUP($AG43,[47]Sheet1!$E$108:$E$132,[47]Sheet1!F$108:F$132),0)</f>
        <v>0</v>
      </c>
      <c r="AK43" s="128">
        <f t="shared" si="27"/>
        <v>0</v>
      </c>
      <c r="AL43" s="131">
        <f>IFERROR(_xlfn.XLOOKUP($AG43,[47]Sheet1!$E$108:$E$132,[47]Sheet1!H$108:H$132),0)</f>
        <v>0</v>
      </c>
      <c r="AM43" s="128">
        <f t="shared" si="28"/>
        <v>0</v>
      </c>
      <c r="AN43" s="131">
        <f>IFERROR(_xlfn.XLOOKUP($AG43,[47]Sheet1!$E$108:$E$132,[47]Sheet1!G$108:G$132),0)</f>
        <v>0</v>
      </c>
      <c r="AO43" s="129">
        <f t="shared" si="29"/>
        <v>0</v>
      </c>
    </row>
    <row r="44" spans="2:41" x14ac:dyDescent="0.2">
      <c r="B44" s="110" t="s">
        <v>1273</v>
      </c>
      <c r="C44" s="110" t="s">
        <v>1274</v>
      </c>
      <c r="D44" s="110" t="s">
        <v>14</v>
      </c>
      <c r="E44" s="110" t="s">
        <v>1294</v>
      </c>
      <c r="F44" s="110"/>
      <c r="G44" s="116">
        <v>3900</v>
      </c>
      <c r="H44" s="115">
        <v>390</v>
      </c>
      <c r="I44" s="128">
        <f t="shared" si="21"/>
        <v>10</v>
      </c>
      <c r="J44" s="115">
        <v>120</v>
      </c>
      <c r="K44" s="128">
        <f t="shared" si="22"/>
        <v>30.76923076923077</v>
      </c>
      <c r="L44" s="115">
        <v>34</v>
      </c>
      <c r="M44" s="129">
        <f t="shared" si="23"/>
        <v>8.717948717948719</v>
      </c>
      <c r="N44" s="130"/>
      <c r="O44" s="130"/>
      <c r="P44" s="115" t="s">
        <v>1273</v>
      </c>
      <c r="Q44" s="115" t="s">
        <v>1274</v>
      </c>
      <c r="R44" s="115" t="s">
        <v>14</v>
      </c>
      <c r="S44" s="115" t="s">
        <v>1294</v>
      </c>
      <c r="T44" s="115"/>
      <c r="U44" s="131">
        <v>3900</v>
      </c>
      <c r="V44" s="131">
        <f>IFERROR(_xlfn.XLOOKUP($S44,'[47]Tgl 8'!$E$108:$E$156,'[47]Tgl 8'!$F$108:$F$156),0)</f>
        <v>0</v>
      </c>
      <c r="W44" s="128">
        <f t="shared" si="24"/>
        <v>0</v>
      </c>
      <c r="X44" s="131">
        <f>IFERROR(_xlfn.XLOOKUP($S44,'[47]Tgl 8'!$E$108:$E$156,'[47]Tgl 8'!$H$108:$H$156),0)</f>
        <v>0</v>
      </c>
      <c r="Y44" s="128">
        <f t="shared" si="25"/>
        <v>0</v>
      </c>
      <c r="Z44" s="131">
        <f>IFERROR(_xlfn.XLOOKUP($S44,'[47]Tgl 8'!$E$108:$E$156,'[47]Tgl 8'!$G$108:$G$156),0)</f>
        <v>0</v>
      </c>
      <c r="AA44" s="129">
        <f t="shared" si="26"/>
        <v>0</v>
      </c>
      <c r="AB44" s="130"/>
      <c r="AC44" s="130"/>
      <c r="AD44" s="115" t="s">
        <v>1273</v>
      </c>
      <c r="AE44" s="115" t="s">
        <v>1274</v>
      </c>
      <c r="AF44" s="115" t="s">
        <v>14</v>
      </c>
      <c r="AG44" s="115" t="s">
        <v>1294</v>
      </c>
      <c r="AH44" s="115"/>
      <c r="AI44" s="131">
        <v>3900</v>
      </c>
      <c r="AJ44" s="131">
        <f>IFERROR(_xlfn.XLOOKUP($AG44,[47]Sheet1!$E$108:$E$132,[47]Sheet1!F$108:F$132),0)</f>
        <v>0</v>
      </c>
      <c r="AK44" s="128">
        <f t="shared" si="27"/>
        <v>0</v>
      </c>
      <c r="AL44" s="131">
        <f>IFERROR(_xlfn.XLOOKUP($AG44,[47]Sheet1!$E$108:$E$132,[47]Sheet1!H$108:H$132),0)</f>
        <v>0</v>
      </c>
      <c r="AM44" s="128">
        <f t="shared" si="28"/>
        <v>0</v>
      </c>
      <c r="AN44" s="131">
        <f>IFERROR(_xlfn.XLOOKUP($AG44,[47]Sheet1!$E$108:$E$132,[47]Sheet1!G$108:G$132),0)</f>
        <v>0</v>
      </c>
      <c r="AO44" s="129">
        <f t="shared" si="29"/>
        <v>0</v>
      </c>
    </row>
    <row r="45" spans="2:41" x14ac:dyDescent="0.2">
      <c r="B45" s="110" t="s">
        <v>1273</v>
      </c>
      <c r="C45" s="110" t="s">
        <v>1274</v>
      </c>
      <c r="D45" s="110" t="s">
        <v>14</v>
      </c>
      <c r="E45" s="110" t="s">
        <v>1041</v>
      </c>
      <c r="F45" s="110"/>
      <c r="G45" s="116">
        <v>5117</v>
      </c>
      <c r="H45" s="115">
        <v>0</v>
      </c>
      <c r="I45" s="128">
        <f t="shared" si="21"/>
        <v>0</v>
      </c>
      <c r="J45" s="115">
        <v>0</v>
      </c>
      <c r="K45" s="128">
        <f t="shared" si="22"/>
        <v>0</v>
      </c>
      <c r="L45" s="115">
        <v>0</v>
      </c>
      <c r="M45" s="129">
        <f t="shared" si="23"/>
        <v>0</v>
      </c>
      <c r="N45" s="130"/>
      <c r="O45" s="130"/>
      <c r="P45" s="115" t="s">
        <v>1273</v>
      </c>
      <c r="Q45" s="115" t="s">
        <v>1274</v>
      </c>
      <c r="R45" s="115" t="s">
        <v>14</v>
      </c>
      <c r="S45" s="115" t="s">
        <v>1041</v>
      </c>
      <c r="T45" s="115"/>
      <c r="U45" s="131">
        <v>5117</v>
      </c>
      <c r="V45" s="131">
        <f>IFERROR(_xlfn.XLOOKUP($S45,'[47]Tgl 8'!$E$108:$E$156,'[47]Tgl 8'!$F$108:$F$156),0)</f>
        <v>22</v>
      </c>
      <c r="W45" s="128">
        <f t="shared" si="24"/>
        <v>0.42993941762751609</v>
      </c>
      <c r="X45" s="131">
        <f>IFERROR(_xlfn.XLOOKUP($S45,'[47]Tgl 8'!$E$108:$E$156,'[47]Tgl 8'!$H$108:$H$156),0)</f>
        <v>9</v>
      </c>
      <c r="Y45" s="128">
        <f t="shared" si="25"/>
        <v>40.909090909090907</v>
      </c>
      <c r="Z45" s="131">
        <f>IFERROR(_xlfn.XLOOKUP($S45,'[47]Tgl 8'!$E$108:$E$156,'[47]Tgl 8'!$G$108:$G$156),0)</f>
        <v>7</v>
      </c>
      <c r="AA45" s="129">
        <f t="shared" si="26"/>
        <v>31.818181818181817</v>
      </c>
      <c r="AB45" s="130"/>
      <c r="AC45" s="130"/>
      <c r="AD45" s="115" t="s">
        <v>1273</v>
      </c>
      <c r="AE45" s="115" t="s">
        <v>1274</v>
      </c>
      <c r="AF45" s="115" t="s">
        <v>14</v>
      </c>
      <c r="AG45" s="115" t="s">
        <v>1041</v>
      </c>
      <c r="AH45" s="115"/>
      <c r="AI45" s="131">
        <v>5117</v>
      </c>
      <c r="AJ45" s="131">
        <f>IFERROR(_xlfn.XLOOKUP($AG45,[47]Sheet1!$E$108:$E$132,[47]Sheet1!F$108:F$132),0)</f>
        <v>0</v>
      </c>
      <c r="AK45" s="128">
        <f t="shared" si="27"/>
        <v>0</v>
      </c>
      <c r="AL45" s="131">
        <f>IFERROR(_xlfn.XLOOKUP($AG45,[47]Sheet1!$E$108:$E$132,[47]Sheet1!H$108:H$132),0)</f>
        <v>0</v>
      </c>
      <c r="AM45" s="128">
        <f t="shared" si="28"/>
        <v>0</v>
      </c>
      <c r="AN45" s="131">
        <f>IFERROR(_xlfn.XLOOKUP($AG45,[47]Sheet1!$E$108:$E$132,[47]Sheet1!G$108:G$132),0)</f>
        <v>0</v>
      </c>
      <c r="AO45" s="129">
        <f t="shared" si="29"/>
        <v>0</v>
      </c>
    </row>
    <row r="46" spans="2:41" x14ac:dyDescent="0.2">
      <c r="B46" s="110" t="s">
        <v>1273</v>
      </c>
      <c r="C46" s="110" t="s">
        <v>1274</v>
      </c>
      <c r="D46" s="110" t="s">
        <v>14</v>
      </c>
      <c r="E46" s="110" t="s">
        <v>1295</v>
      </c>
      <c r="F46" s="110"/>
      <c r="G46" s="116">
        <v>3404</v>
      </c>
      <c r="H46" s="115">
        <v>0</v>
      </c>
      <c r="I46" s="128">
        <f t="shared" si="21"/>
        <v>0</v>
      </c>
      <c r="J46" s="115">
        <v>0</v>
      </c>
      <c r="K46" s="128">
        <f t="shared" si="22"/>
        <v>0</v>
      </c>
      <c r="L46" s="115">
        <v>0</v>
      </c>
      <c r="M46" s="129">
        <f t="shared" si="23"/>
        <v>0</v>
      </c>
      <c r="N46" s="130"/>
      <c r="O46" s="130"/>
      <c r="P46" s="115" t="s">
        <v>1273</v>
      </c>
      <c r="Q46" s="115" t="s">
        <v>1274</v>
      </c>
      <c r="R46" s="115" t="s">
        <v>14</v>
      </c>
      <c r="S46" s="115" t="s">
        <v>1295</v>
      </c>
      <c r="T46" s="115"/>
      <c r="U46" s="131">
        <v>3404</v>
      </c>
      <c r="V46" s="131">
        <f>IFERROR(_xlfn.XLOOKUP($S46,'[47]Tgl 8'!$E$108:$E$156,'[47]Tgl 8'!$F$108:$F$156),0)</f>
        <v>28</v>
      </c>
      <c r="W46" s="128">
        <f t="shared" si="24"/>
        <v>0.82256169212690955</v>
      </c>
      <c r="X46" s="131">
        <f>IFERROR(_xlfn.XLOOKUP($S46,'[47]Tgl 8'!$E$108:$E$156,'[47]Tgl 8'!$H$108:$H$156),0)</f>
        <v>11</v>
      </c>
      <c r="Y46" s="128">
        <f t="shared" si="25"/>
        <v>39.285714285714285</v>
      </c>
      <c r="Z46" s="131">
        <f>IFERROR(_xlfn.XLOOKUP($S46,'[47]Tgl 8'!$E$108:$E$156,'[47]Tgl 8'!$G$108:$G$156),0)</f>
        <v>9</v>
      </c>
      <c r="AA46" s="129">
        <f t="shared" si="26"/>
        <v>32.142857142857139</v>
      </c>
      <c r="AB46" s="130"/>
      <c r="AC46" s="130"/>
      <c r="AD46" s="115" t="s">
        <v>1273</v>
      </c>
      <c r="AE46" s="115" t="s">
        <v>1274</v>
      </c>
      <c r="AF46" s="115" t="s">
        <v>14</v>
      </c>
      <c r="AG46" s="115" t="s">
        <v>1295</v>
      </c>
      <c r="AH46" s="115"/>
      <c r="AI46" s="131">
        <v>3404</v>
      </c>
      <c r="AJ46" s="131">
        <f>IFERROR(_xlfn.XLOOKUP($AG46,[47]Sheet1!$E$108:$E$132,[47]Sheet1!F$108:F$132),0)</f>
        <v>0</v>
      </c>
      <c r="AK46" s="128">
        <f t="shared" si="27"/>
        <v>0</v>
      </c>
      <c r="AL46" s="131">
        <f>IFERROR(_xlfn.XLOOKUP($AG46,[47]Sheet1!$E$108:$E$132,[47]Sheet1!H$108:H$132),0)</f>
        <v>0</v>
      </c>
      <c r="AM46" s="128">
        <f t="shared" si="28"/>
        <v>0</v>
      </c>
      <c r="AN46" s="131">
        <f>IFERROR(_xlfn.XLOOKUP($AG46,[47]Sheet1!$E$108:$E$132,[47]Sheet1!G$108:G$132),0)</f>
        <v>0</v>
      </c>
      <c r="AO46" s="129">
        <f t="shared" si="29"/>
        <v>0</v>
      </c>
    </row>
    <row r="47" spans="2:41" x14ac:dyDescent="0.2">
      <c r="B47" s="110" t="s">
        <v>1273</v>
      </c>
      <c r="C47" s="110" t="s">
        <v>1274</v>
      </c>
      <c r="D47" s="110" t="s">
        <v>14</v>
      </c>
      <c r="E47" s="110" t="s">
        <v>1296</v>
      </c>
      <c r="F47" s="110"/>
      <c r="G47" s="116">
        <v>3628</v>
      </c>
      <c r="H47" s="115">
        <v>0</v>
      </c>
      <c r="I47" s="128">
        <f t="shared" si="21"/>
        <v>0</v>
      </c>
      <c r="J47" s="115">
        <v>0</v>
      </c>
      <c r="K47" s="128">
        <f t="shared" si="22"/>
        <v>0</v>
      </c>
      <c r="L47" s="115">
        <v>0</v>
      </c>
      <c r="M47" s="129">
        <f t="shared" si="23"/>
        <v>0</v>
      </c>
      <c r="N47" s="130"/>
      <c r="O47" s="130"/>
      <c r="P47" s="115" t="s">
        <v>1273</v>
      </c>
      <c r="Q47" s="115" t="s">
        <v>1274</v>
      </c>
      <c r="R47" s="115" t="s">
        <v>14</v>
      </c>
      <c r="S47" s="115" t="s">
        <v>1296</v>
      </c>
      <c r="T47" s="115"/>
      <c r="U47" s="131">
        <v>3628</v>
      </c>
      <c r="V47" s="131">
        <f>IFERROR(_xlfn.XLOOKUP($S47,'[47]Tgl 8'!$E$108:$E$156,'[47]Tgl 8'!$F$108:$F$156),0)</f>
        <v>30</v>
      </c>
      <c r="W47" s="128">
        <f t="shared" si="24"/>
        <v>0.82690187431091511</v>
      </c>
      <c r="X47" s="131">
        <f>IFERROR(_xlfn.XLOOKUP($S47,'[47]Tgl 8'!$E$108:$E$156,'[47]Tgl 8'!$H$108:$H$156),0)</f>
        <v>13</v>
      </c>
      <c r="Y47" s="128">
        <f t="shared" si="25"/>
        <v>43.333333333333336</v>
      </c>
      <c r="Z47" s="131">
        <f>IFERROR(_xlfn.XLOOKUP($S47,'[47]Tgl 8'!$E$108:$E$156,'[47]Tgl 8'!$G$108:$G$156),0)</f>
        <v>11</v>
      </c>
      <c r="AA47" s="129">
        <f t="shared" si="26"/>
        <v>36.666666666666671</v>
      </c>
      <c r="AB47" s="130"/>
      <c r="AC47" s="130"/>
      <c r="AD47" s="115" t="s">
        <v>1273</v>
      </c>
      <c r="AE47" s="115" t="s">
        <v>1274</v>
      </c>
      <c r="AF47" s="115" t="s">
        <v>14</v>
      </c>
      <c r="AG47" s="115" t="s">
        <v>1296</v>
      </c>
      <c r="AH47" s="115"/>
      <c r="AI47" s="131">
        <v>3628</v>
      </c>
      <c r="AJ47" s="131">
        <f>IFERROR(_xlfn.XLOOKUP($AG47,[47]Sheet1!$E$108:$E$132,[47]Sheet1!F$108:F$132),0)</f>
        <v>0</v>
      </c>
      <c r="AK47" s="128">
        <f t="shared" si="27"/>
        <v>0</v>
      </c>
      <c r="AL47" s="131">
        <f>IFERROR(_xlfn.XLOOKUP($AG47,[47]Sheet1!$E$108:$E$132,[47]Sheet1!H$108:H$132),0)</f>
        <v>0</v>
      </c>
      <c r="AM47" s="128">
        <f t="shared" si="28"/>
        <v>0</v>
      </c>
      <c r="AN47" s="131">
        <f>IFERROR(_xlfn.XLOOKUP($AG47,[47]Sheet1!$E$108:$E$132,[47]Sheet1!G$108:G$132),0)</f>
        <v>0</v>
      </c>
      <c r="AO47" s="129">
        <f t="shared" si="29"/>
        <v>0</v>
      </c>
    </row>
    <row r="48" spans="2:41" x14ac:dyDescent="0.2">
      <c r="B48" s="110" t="s">
        <v>1273</v>
      </c>
      <c r="C48" s="110" t="s">
        <v>1274</v>
      </c>
      <c r="D48" s="110" t="s">
        <v>14</v>
      </c>
      <c r="E48" s="110" t="s">
        <v>1297</v>
      </c>
      <c r="F48" s="110"/>
      <c r="G48" s="116">
        <v>3467</v>
      </c>
      <c r="H48" s="115">
        <v>0</v>
      </c>
      <c r="I48" s="128">
        <f t="shared" si="21"/>
        <v>0</v>
      </c>
      <c r="J48" s="115">
        <v>0</v>
      </c>
      <c r="K48" s="128">
        <f t="shared" si="22"/>
        <v>0</v>
      </c>
      <c r="L48" s="115">
        <v>0</v>
      </c>
      <c r="M48" s="129">
        <f t="shared" si="23"/>
        <v>0</v>
      </c>
      <c r="N48" s="130"/>
      <c r="O48" s="130"/>
      <c r="P48" s="115" t="s">
        <v>1273</v>
      </c>
      <c r="Q48" s="115" t="s">
        <v>1274</v>
      </c>
      <c r="R48" s="115" t="s">
        <v>14</v>
      </c>
      <c r="S48" s="115" t="s">
        <v>1297</v>
      </c>
      <c r="T48" s="115"/>
      <c r="U48" s="131">
        <v>3467</v>
      </c>
      <c r="V48" s="131">
        <f>IFERROR(_xlfn.XLOOKUP($S48,'[47]Tgl 8'!$E$108:$E$156,'[47]Tgl 8'!$F$108:$F$156),0)</f>
        <v>0</v>
      </c>
      <c r="W48" s="128">
        <f t="shared" si="24"/>
        <v>0</v>
      </c>
      <c r="X48" s="131">
        <f>IFERROR(_xlfn.XLOOKUP($S48,'[47]Tgl 8'!$E$108:$E$156,'[47]Tgl 8'!$H$108:$H$156),0)</f>
        <v>0</v>
      </c>
      <c r="Y48" s="128">
        <f t="shared" si="25"/>
        <v>0</v>
      </c>
      <c r="Z48" s="131">
        <f>IFERROR(_xlfn.XLOOKUP($S48,'[47]Tgl 8'!$E$108:$E$156,'[47]Tgl 8'!$G$108:$G$156),0)</f>
        <v>0</v>
      </c>
      <c r="AA48" s="129">
        <f t="shared" si="26"/>
        <v>0</v>
      </c>
      <c r="AB48" s="130"/>
      <c r="AC48" s="130"/>
      <c r="AD48" s="115" t="s">
        <v>1273</v>
      </c>
      <c r="AE48" s="115" t="s">
        <v>1274</v>
      </c>
      <c r="AF48" s="115" t="s">
        <v>14</v>
      </c>
      <c r="AG48" s="115" t="s">
        <v>1297</v>
      </c>
      <c r="AH48" s="115"/>
      <c r="AI48" s="131">
        <v>3467</v>
      </c>
      <c r="AJ48" s="131">
        <f>IFERROR(_xlfn.XLOOKUP($AG48,[47]Sheet1!$E$108:$E$132,[47]Sheet1!F$108:F$132),0)</f>
        <v>0</v>
      </c>
      <c r="AK48" s="128">
        <f t="shared" si="27"/>
        <v>0</v>
      </c>
      <c r="AL48" s="131">
        <f>IFERROR(_xlfn.XLOOKUP($AG48,[47]Sheet1!$E$108:$E$132,[47]Sheet1!H$108:H$132),0)</f>
        <v>0</v>
      </c>
      <c r="AM48" s="128">
        <f t="shared" si="28"/>
        <v>0</v>
      </c>
      <c r="AN48" s="131">
        <f>IFERROR(_xlfn.XLOOKUP($AG48,[47]Sheet1!$E$108:$E$132,[47]Sheet1!G$108:G$132),0)</f>
        <v>0</v>
      </c>
      <c r="AO48" s="129">
        <f t="shared" si="29"/>
        <v>0</v>
      </c>
    </row>
    <row r="49" spans="2:41" x14ac:dyDescent="0.2">
      <c r="B49" s="110" t="s">
        <v>1273</v>
      </c>
      <c r="C49" s="110" t="s">
        <v>1274</v>
      </c>
      <c r="D49" s="110" t="s">
        <v>14</v>
      </c>
      <c r="E49" s="110" t="s">
        <v>1298</v>
      </c>
      <c r="F49" s="110"/>
      <c r="G49" s="116">
        <v>3379</v>
      </c>
      <c r="H49" s="115">
        <v>0</v>
      </c>
      <c r="I49" s="128">
        <f t="shared" si="21"/>
        <v>0</v>
      </c>
      <c r="J49" s="115">
        <v>0</v>
      </c>
      <c r="K49" s="128">
        <f t="shared" si="22"/>
        <v>0</v>
      </c>
      <c r="L49" s="115">
        <v>0</v>
      </c>
      <c r="M49" s="129">
        <f t="shared" si="23"/>
        <v>0</v>
      </c>
      <c r="N49" s="130"/>
      <c r="O49" s="130"/>
      <c r="P49" s="115" t="s">
        <v>1273</v>
      </c>
      <c r="Q49" s="115" t="s">
        <v>1274</v>
      </c>
      <c r="R49" s="115" t="s">
        <v>14</v>
      </c>
      <c r="S49" s="115" t="s">
        <v>1298</v>
      </c>
      <c r="T49" s="115"/>
      <c r="U49" s="131">
        <v>3379</v>
      </c>
      <c r="V49" s="131">
        <f>IFERROR(_xlfn.XLOOKUP($S49,'[47]Tgl 8'!$E$108:$E$156,'[47]Tgl 8'!$F$108:$F$156),0)</f>
        <v>0</v>
      </c>
      <c r="W49" s="128">
        <f t="shared" si="24"/>
        <v>0</v>
      </c>
      <c r="X49" s="131">
        <f>IFERROR(_xlfn.XLOOKUP($S49,'[47]Tgl 8'!$E$108:$E$156,'[47]Tgl 8'!$H$108:$H$156),0)</f>
        <v>0</v>
      </c>
      <c r="Y49" s="128">
        <f t="shared" si="25"/>
        <v>0</v>
      </c>
      <c r="Z49" s="131">
        <f>IFERROR(_xlfn.XLOOKUP($S49,'[47]Tgl 8'!$E$108:$E$156,'[47]Tgl 8'!$G$108:$G$156),0)</f>
        <v>0</v>
      </c>
      <c r="AA49" s="129">
        <f t="shared" si="26"/>
        <v>0</v>
      </c>
      <c r="AB49" s="130"/>
      <c r="AC49" s="130"/>
      <c r="AD49" s="115" t="s">
        <v>1273</v>
      </c>
      <c r="AE49" s="115" t="s">
        <v>1274</v>
      </c>
      <c r="AF49" s="115" t="s">
        <v>14</v>
      </c>
      <c r="AG49" s="115" t="s">
        <v>1298</v>
      </c>
      <c r="AH49" s="115"/>
      <c r="AI49" s="131">
        <v>3379</v>
      </c>
      <c r="AJ49" s="131">
        <f>IFERROR(_xlfn.XLOOKUP($AG49,[47]Sheet1!$E$108:$E$132,[47]Sheet1!F$108:F$132),0)</f>
        <v>0</v>
      </c>
      <c r="AK49" s="128">
        <f t="shared" si="27"/>
        <v>0</v>
      </c>
      <c r="AL49" s="131">
        <f>IFERROR(_xlfn.XLOOKUP($AG49,[47]Sheet1!$E$108:$E$132,[47]Sheet1!H$108:H$132),0)</f>
        <v>0</v>
      </c>
      <c r="AM49" s="128">
        <f t="shared" si="28"/>
        <v>0</v>
      </c>
      <c r="AN49" s="131">
        <f>IFERROR(_xlfn.XLOOKUP($AG49,[47]Sheet1!$E$108:$E$132,[47]Sheet1!G$108:G$132),0)</f>
        <v>0</v>
      </c>
      <c r="AO49" s="129">
        <f t="shared" si="29"/>
        <v>0</v>
      </c>
    </row>
    <row r="50" spans="2:41" x14ac:dyDescent="0.2">
      <c r="B50" s="110" t="s">
        <v>1273</v>
      </c>
      <c r="C50" s="110" t="s">
        <v>1274</v>
      </c>
      <c r="D50" s="110" t="s">
        <v>14</v>
      </c>
      <c r="E50" s="110" t="s">
        <v>1299</v>
      </c>
      <c r="F50" s="110"/>
      <c r="G50" s="116">
        <v>3738</v>
      </c>
      <c r="H50" s="115">
        <v>374</v>
      </c>
      <c r="I50" s="128">
        <f t="shared" si="21"/>
        <v>10.005350454788656</v>
      </c>
      <c r="J50" s="115">
        <v>108</v>
      </c>
      <c r="K50" s="128">
        <f t="shared" si="22"/>
        <v>28.877005347593581</v>
      </c>
      <c r="L50" s="115">
        <v>34</v>
      </c>
      <c r="M50" s="129">
        <f t="shared" si="23"/>
        <v>9.0909090909090899</v>
      </c>
      <c r="N50" s="130"/>
      <c r="O50" s="130"/>
      <c r="P50" s="115" t="s">
        <v>1273</v>
      </c>
      <c r="Q50" s="115" t="s">
        <v>1274</v>
      </c>
      <c r="R50" s="115" t="s">
        <v>14</v>
      </c>
      <c r="S50" s="115" t="s">
        <v>1299</v>
      </c>
      <c r="T50" s="115"/>
      <c r="U50" s="131">
        <v>3738</v>
      </c>
      <c r="V50" s="131">
        <f>IFERROR(_xlfn.XLOOKUP($S50,'[47]Tgl 8'!$E$108:$E$156,'[47]Tgl 8'!$F$108:$F$156),0)</f>
        <v>0</v>
      </c>
      <c r="W50" s="128">
        <f t="shared" si="24"/>
        <v>0</v>
      </c>
      <c r="X50" s="131">
        <f>IFERROR(_xlfn.XLOOKUP($S50,'[47]Tgl 8'!$E$108:$E$156,'[47]Tgl 8'!$H$108:$H$156),0)</f>
        <v>0</v>
      </c>
      <c r="Y50" s="128">
        <f t="shared" si="25"/>
        <v>0</v>
      </c>
      <c r="Z50" s="131">
        <f>IFERROR(_xlfn.XLOOKUP($S50,'[47]Tgl 8'!$E$108:$E$156,'[47]Tgl 8'!$G$108:$G$156),0)</f>
        <v>0</v>
      </c>
      <c r="AA50" s="129">
        <f t="shared" si="26"/>
        <v>0</v>
      </c>
      <c r="AB50" s="130"/>
      <c r="AC50" s="130"/>
      <c r="AD50" s="115" t="s">
        <v>1273</v>
      </c>
      <c r="AE50" s="115" t="s">
        <v>1274</v>
      </c>
      <c r="AF50" s="115" t="s">
        <v>14</v>
      </c>
      <c r="AG50" s="115" t="s">
        <v>1299</v>
      </c>
      <c r="AH50" s="115"/>
      <c r="AI50" s="131">
        <v>3738</v>
      </c>
      <c r="AJ50" s="131">
        <f>IFERROR(_xlfn.XLOOKUP($AG50,[47]Sheet1!$E$108:$E$132,[47]Sheet1!F$108:F$132),0)</f>
        <v>0</v>
      </c>
      <c r="AK50" s="128">
        <f t="shared" si="27"/>
        <v>0</v>
      </c>
      <c r="AL50" s="131">
        <f>IFERROR(_xlfn.XLOOKUP($AG50,[47]Sheet1!$E$108:$E$132,[47]Sheet1!H$108:H$132),0)</f>
        <v>0</v>
      </c>
      <c r="AM50" s="128">
        <f t="shared" si="28"/>
        <v>0</v>
      </c>
      <c r="AN50" s="131">
        <f>IFERROR(_xlfn.XLOOKUP($AG50,[47]Sheet1!$E$108:$E$132,[47]Sheet1!G$108:G$132),0)</f>
        <v>0</v>
      </c>
      <c r="AO50" s="129">
        <f t="shared" si="29"/>
        <v>0</v>
      </c>
    </row>
    <row r="51" spans="2:41" x14ac:dyDescent="0.2">
      <c r="B51" s="110" t="s">
        <v>1273</v>
      </c>
      <c r="C51" s="110" t="s">
        <v>1274</v>
      </c>
      <c r="D51" s="110" t="s">
        <v>14</v>
      </c>
      <c r="E51" s="110" t="s">
        <v>1300</v>
      </c>
      <c r="F51" s="110"/>
      <c r="G51" s="116">
        <v>3651</v>
      </c>
      <c r="H51" s="115">
        <v>365</v>
      </c>
      <c r="I51" s="128">
        <f t="shared" si="21"/>
        <v>9.9972610243768845</v>
      </c>
      <c r="J51" s="115">
        <v>133</v>
      </c>
      <c r="K51" s="128">
        <f t="shared" si="22"/>
        <v>36.438356164383563</v>
      </c>
      <c r="L51" s="115">
        <v>41</v>
      </c>
      <c r="M51" s="129">
        <f t="shared" si="23"/>
        <v>11.232876712328768</v>
      </c>
      <c r="N51" s="130"/>
      <c r="O51" s="130"/>
      <c r="P51" s="115" t="s">
        <v>1273</v>
      </c>
      <c r="Q51" s="115" t="s">
        <v>1274</v>
      </c>
      <c r="R51" s="115" t="s">
        <v>14</v>
      </c>
      <c r="S51" s="115" t="s">
        <v>1300</v>
      </c>
      <c r="T51" s="115"/>
      <c r="U51" s="131">
        <v>3651</v>
      </c>
      <c r="V51" s="131">
        <f>IFERROR(_xlfn.XLOOKUP($S51,'[47]Tgl 8'!$E$108:$E$156,'[47]Tgl 8'!$F$108:$F$156),0)</f>
        <v>0</v>
      </c>
      <c r="W51" s="128">
        <f t="shared" si="24"/>
        <v>0</v>
      </c>
      <c r="X51" s="131">
        <f>IFERROR(_xlfn.XLOOKUP($S51,'[47]Tgl 8'!$E$108:$E$156,'[47]Tgl 8'!$H$108:$H$156),0)</f>
        <v>0</v>
      </c>
      <c r="Y51" s="128">
        <f t="shared" si="25"/>
        <v>0</v>
      </c>
      <c r="Z51" s="131">
        <f>IFERROR(_xlfn.XLOOKUP($S51,'[47]Tgl 8'!$E$108:$E$156,'[47]Tgl 8'!$G$108:$G$156),0)</f>
        <v>0</v>
      </c>
      <c r="AA51" s="129">
        <f t="shared" si="26"/>
        <v>0</v>
      </c>
      <c r="AB51" s="130"/>
      <c r="AC51" s="130"/>
      <c r="AD51" s="115" t="s">
        <v>1273</v>
      </c>
      <c r="AE51" s="115" t="s">
        <v>1274</v>
      </c>
      <c r="AF51" s="115" t="s">
        <v>14</v>
      </c>
      <c r="AG51" s="115" t="s">
        <v>1300</v>
      </c>
      <c r="AH51" s="115"/>
      <c r="AI51" s="131">
        <v>3651</v>
      </c>
      <c r="AJ51" s="131">
        <f>IFERROR(_xlfn.XLOOKUP($AG51,[47]Sheet1!$E$108:$E$132,[47]Sheet1!F$108:F$132),0)</f>
        <v>0</v>
      </c>
      <c r="AK51" s="128">
        <f t="shared" si="27"/>
        <v>0</v>
      </c>
      <c r="AL51" s="131">
        <f>IFERROR(_xlfn.XLOOKUP($AG51,[47]Sheet1!$E$108:$E$132,[47]Sheet1!H$108:H$132),0)</f>
        <v>0</v>
      </c>
      <c r="AM51" s="128">
        <f t="shared" si="28"/>
        <v>0</v>
      </c>
      <c r="AN51" s="131">
        <f>IFERROR(_xlfn.XLOOKUP($AG51,[47]Sheet1!$E$108:$E$132,[47]Sheet1!G$108:G$132),0)</f>
        <v>0</v>
      </c>
      <c r="AO51" s="129">
        <f t="shared" si="29"/>
        <v>0</v>
      </c>
    </row>
    <row r="52" spans="2:41" x14ac:dyDescent="0.2">
      <c r="B52" s="110" t="s">
        <v>1273</v>
      </c>
      <c r="C52" s="110" t="s">
        <v>1274</v>
      </c>
      <c r="D52" s="110" t="s">
        <v>14</v>
      </c>
      <c r="E52" s="110" t="s">
        <v>1301</v>
      </c>
      <c r="F52" s="110"/>
      <c r="G52" s="116">
        <v>4033</v>
      </c>
      <c r="H52" s="115">
        <v>0</v>
      </c>
      <c r="I52" s="128">
        <f t="shared" si="21"/>
        <v>0</v>
      </c>
      <c r="J52" s="115">
        <v>0</v>
      </c>
      <c r="K52" s="128">
        <f t="shared" si="22"/>
        <v>0</v>
      </c>
      <c r="L52" s="115">
        <v>0</v>
      </c>
      <c r="M52" s="129">
        <f t="shared" si="23"/>
        <v>0</v>
      </c>
      <c r="N52" s="130"/>
      <c r="O52" s="130"/>
      <c r="P52" s="115" t="s">
        <v>1273</v>
      </c>
      <c r="Q52" s="115" t="s">
        <v>1274</v>
      </c>
      <c r="R52" s="115" t="s">
        <v>14</v>
      </c>
      <c r="S52" s="115" t="s">
        <v>1301</v>
      </c>
      <c r="T52" s="115"/>
      <c r="U52" s="131">
        <v>4033</v>
      </c>
      <c r="V52" s="131">
        <f>IFERROR(_xlfn.XLOOKUP($S52,'[47]Tgl 8'!$E$108:$E$156,'[47]Tgl 8'!$F$108:$F$156),0)</f>
        <v>0</v>
      </c>
      <c r="W52" s="128">
        <f t="shared" si="24"/>
        <v>0</v>
      </c>
      <c r="X52" s="131">
        <f>IFERROR(_xlfn.XLOOKUP($S52,'[47]Tgl 8'!$E$108:$E$156,'[47]Tgl 8'!$H$108:$H$156),0)</f>
        <v>0</v>
      </c>
      <c r="Y52" s="128">
        <f t="shared" si="25"/>
        <v>0</v>
      </c>
      <c r="Z52" s="131">
        <f>IFERROR(_xlfn.XLOOKUP($S52,'[47]Tgl 8'!$E$108:$E$156,'[47]Tgl 8'!$G$108:$G$156),0)</f>
        <v>0</v>
      </c>
      <c r="AA52" s="129">
        <f t="shared" si="26"/>
        <v>0</v>
      </c>
      <c r="AB52" s="130"/>
      <c r="AC52" s="130"/>
      <c r="AD52" s="115" t="s">
        <v>1273</v>
      </c>
      <c r="AE52" s="115" t="s">
        <v>1274</v>
      </c>
      <c r="AF52" s="115" t="s">
        <v>14</v>
      </c>
      <c r="AG52" s="115" t="s">
        <v>1301</v>
      </c>
      <c r="AH52" s="115"/>
      <c r="AI52" s="131">
        <v>4033</v>
      </c>
      <c r="AJ52" s="131">
        <f>IFERROR(_xlfn.XLOOKUP($AG52,[47]Sheet1!$E$108:$E$132,[47]Sheet1!F$108:F$132),0)</f>
        <v>0</v>
      </c>
      <c r="AK52" s="128">
        <f t="shared" si="27"/>
        <v>0</v>
      </c>
      <c r="AL52" s="131">
        <f>IFERROR(_xlfn.XLOOKUP($AG52,[47]Sheet1!$E$108:$E$132,[47]Sheet1!H$108:H$132),0)</f>
        <v>0</v>
      </c>
      <c r="AM52" s="128">
        <f t="shared" si="28"/>
        <v>0</v>
      </c>
      <c r="AN52" s="131">
        <f>IFERROR(_xlfn.XLOOKUP($AG52,[47]Sheet1!$E$108:$E$132,[47]Sheet1!G$108:G$132),0)</f>
        <v>0</v>
      </c>
      <c r="AO52" s="129">
        <f t="shared" si="29"/>
        <v>0</v>
      </c>
    </row>
    <row r="53" spans="2:41" x14ac:dyDescent="0.2">
      <c r="B53" s="110" t="s">
        <v>1273</v>
      </c>
      <c r="C53" s="110" t="s">
        <v>1274</v>
      </c>
      <c r="D53" s="110" t="s">
        <v>14</v>
      </c>
      <c r="E53" s="110" t="s">
        <v>1302</v>
      </c>
      <c r="F53" s="110"/>
      <c r="G53" s="116">
        <v>4002</v>
      </c>
      <c r="H53" s="115">
        <v>0</v>
      </c>
      <c r="I53" s="128">
        <f t="shared" si="21"/>
        <v>0</v>
      </c>
      <c r="J53" s="115">
        <v>0</v>
      </c>
      <c r="K53" s="128">
        <f t="shared" si="22"/>
        <v>0</v>
      </c>
      <c r="L53" s="115">
        <v>0</v>
      </c>
      <c r="M53" s="129">
        <f t="shared" si="23"/>
        <v>0</v>
      </c>
      <c r="N53" s="130"/>
      <c r="O53" s="130"/>
      <c r="P53" s="115" t="s">
        <v>1273</v>
      </c>
      <c r="Q53" s="115" t="s">
        <v>1274</v>
      </c>
      <c r="R53" s="115" t="s">
        <v>14</v>
      </c>
      <c r="S53" s="115" t="s">
        <v>1302</v>
      </c>
      <c r="T53" s="115"/>
      <c r="U53" s="131">
        <v>4002</v>
      </c>
      <c r="V53" s="131">
        <f>IFERROR(_xlfn.XLOOKUP($S53,'[47]Tgl 8'!$E$108:$E$156,'[47]Tgl 8'!$F$108:$F$156),0)</f>
        <v>32</v>
      </c>
      <c r="W53" s="128">
        <f t="shared" si="24"/>
        <v>0.79960019990004993</v>
      </c>
      <c r="X53" s="131">
        <f>IFERROR(_xlfn.XLOOKUP($S53,'[47]Tgl 8'!$E$108:$E$156,'[47]Tgl 8'!$H$108:$H$156),0)</f>
        <v>11</v>
      </c>
      <c r="Y53" s="128">
        <f t="shared" si="25"/>
        <v>34.375</v>
      </c>
      <c r="Z53" s="131">
        <f>IFERROR(_xlfn.XLOOKUP($S53,'[47]Tgl 8'!$E$108:$E$156,'[47]Tgl 8'!$G$108:$G$156),0)</f>
        <v>9</v>
      </c>
      <c r="AA53" s="129">
        <f t="shared" si="26"/>
        <v>28.125</v>
      </c>
      <c r="AB53" s="130"/>
      <c r="AC53" s="130"/>
      <c r="AD53" s="115" t="s">
        <v>1273</v>
      </c>
      <c r="AE53" s="115" t="s">
        <v>1274</v>
      </c>
      <c r="AF53" s="115" t="s">
        <v>14</v>
      </c>
      <c r="AG53" s="115" t="s">
        <v>1302</v>
      </c>
      <c r="AH53" s="115"/>
      <c r="AI53" s="131">
        <v>4002</v>
      </c>
      <c r="AJ53" s="131">
        <f>IFERROR(_xlfn.XLOOKUP($AG53,[47]Sheet1!$E$108:$E$132,[47]Sheet1!F$108:F$132),0)</f>
        <v>0</v>
      </c>
      <c r="AK53" s="128">
        <f t="shared" si="27"/>
        <v>0</v>
      </c>
      <c r="AL53" s="131">
        <f>IFERROR(_xlfn.XLOOKUP($AG53,[47]Sheet1!$E$108:$E$132,[47]Sheet1!H$108:H$132),0)</f>
        <v>0</v>
      </c>
      <c r="AM53" s="128">
        <f t="shared" si="28"/>
        <v>0</v>
      </c>
      <c r="AN53" s="131">
        <f>IFERROR(_xlfn.XLOOKUP($AG53,[47]Sheet1!$E$108:$E$132,[47]Sheet1!G$108:G$132),0)</f>
        <v>0</v>
      </c>
      <c r="AO53" s="129">
        <f t="shared" si="29"/>
        <v>0</v>
      </c>
    </row>
    <row r="54" spans="2:41" x14ac:dyDescent="0.2">
      <c r="B54" s="110" t="s">
        <v>1273</v>
      </c>
      <c r="C54" s="110" t="s">
        <v>1274</v>
      </c>
      <c r="D54" s="110" t="s">
        <v>14</v>
      </c>
      <c r="E54" s="110" t="s">
        <v>1303</v>
      </c>
      <c r="F54" s="110"/>
      <c r="G54" s="116">
        <v>3863</v>
      </c>
      <c r="H54" s="115">
        <v>0</v>
      </c>
      <c r="I54" s="128">
        <f t="shared" si="21"/>
        <v>0</v>
      </c>
      <c r="J54" s="115">
        <v>0</v>
      </c>
      <c r="K54" s="128">
        <f t="shared" si="22"/>
        <v>0</v>
      </c>
      <c r="L54" s="115">
        <v>0</v>
      </c>
      <c r="M54" s="129">
        <f t="shared" si="23"/>
        <v>0</v>
      </c>
      <c r="N54" s="130"/>
      <c r="O54" s="130"/>
      <c r="P54" s="115" t="s">
        <v>1273</v>
      </c>
      <c r="Q54" s="115" t="s">
        <v>1274</v>
      </c>
      <c r="R54" s="115" t="s">
        <v>14</v>
      </c>
      <c r="S54" s="115" t="s">
        <v>1303</v>
      </c>
      <c r="T54" s="115"/>
      <c r="U54" s="131">
        <v>3863</v>
      </c>
      <c r="V54" s="131">
        <v>72</v>
      </c>
      <c r="W54" s="128">
        <f t="shared" si="24"/>
        <v>1.8638363965829665</v>
      </c>
      <c r="X54" s="131">
        <v>26</v>
      </c>
      <c r="Y54" s="128">
        <f t="shared" si="25"/>
        <v>36.111111111111114</v>
      </c>
      <c r="Z54" s="131">
        <v>20</v>
      </c>
      <c r="AA54" s="129">
        <f t="shared" si="26"/>
        <v>27.777777777777779</v>
      </c>
      <c r="AB54" s="130"/>
      <c r="AC54" s="130"/>
      <c r="AD54" s="115" t="s">
        <v>1273</v>
      </c>
      <c r="AE54" s="115" t="s">
        <v>1274</v>
      </c>
      <c r="AF54" s="115" t="s">
        <v>14</v>
      </c>
      <c r="AG54" s="115" t="s">
        <v>1303</v>
      </c>
      <c r="AH54" s="115"/>
      <c r="AI54" s="131">
        <v>3863</v>
      </c>
      <c r="AJ54" s="131">
        <f>IFERROR(_xlfn.XLOOKUP($AG54,[47]Sheet1!$E$108:$E$132,[47]Sheet1!F$108:F$132),0)</f>
        <v>0</v>
      </c>
      <c r="AK54" s="128">
        <f t="shared" si="27"/>
        <v>0</v>
      </c>
      <c r="AL54" s="131">
        <f>IFERROR(_xlfn.XLOOKUP($AG54,[47]Sheet1!$E$108:$E$132,[47]Sheet1!H$108:H$132),0)</f>
        <v>0</v>
      </c>
      <c r="AM54" s="128">
        <f t="shared" si="28"/>
        <v>0</v>
      </c>
      <c r="AN54" s="131">
        <f>IFERROR(_xlfn.XLOOKUP($AG54,[47]Sheet1!$E$108:$E$132,[47]Sheet1!G$108:G$132),0)</f>
        <v>0</v>
      </c>
      <c r="AO54" s="129">
        <f t="shared" si="29"/>
        <v>0</v>
      </c>
    </row>
    <row r="55" spans="2:41" x14ac:dyDescent="0.2">
      <c r="B55" s="110" t="s">
        <v>1273</v>
      </c>
      <c r="C55" s="110" t="s">
        <v>1274</v>
      </c>
      <c r="D55" s="110" t="s">
        <v>14</v>
      </c>
      <c r="E55" s="110" t="s">
        <v>1304</v>
      </c>
      <c r="F55" s="110"/>
      <c r="G55" s="116">
        <v>5347</v>
      </c>
      <c r="H55" s="115">
        <v>0</v>
      </c>
      <c r="I55" s="128">
        <f t="shared" si="21"/>
        <v>0</v>
      </c>
      <c r="J55" s="115">
        <v>0</v>
      </c>
      <c r="K55" s="128">
        <f t="shared" si="22"/>
        <v>0</v>
      </c>
      <c r="L55" s="115">
        <v>0</v>
      </c>
      <c r="M55" s="129">
        <f t="shared" si="23"/>
        <v>0</v>
      </c>
      <c r="N55" s="130"/>
      <c r="O55" s="130"/>
      <c r="P55" s="115" t="s">
        <v>1273</v>
      </c>
      <c r="Q55" s="115" t="s">
        <v>1274</v>
      </c>
      <c r="R55" s="115" t="s">
        <v>14</v>
      </c>
      <c r="S55" s="115" t="s">
        <v>1304</v>
      </c>
      <c r="T55" s="115"/>
      <c r="U55" s="131">
        <v>5347</v>
      </c>
      <c r="V55" s="131">
        <v>54</v>
      </c>
      <c r="W55" s="128">
        <f t="shared" si="24"/>
        <v>1.0099121002431271</v>
      </c>
      <c r="X55" s="131">
        <v>38</v>
      </c>
      <c r="Y55" s="128">
        <f t="shared" si="25"/>
        <v>70.370370370370367</v>
      </c>
      <c r="Z55" s="131">
        <v>9</v>
      </c>
      <c r="AA55" s="129">
        <f t="shared" si="26"/>
        <v>16.666666666666664</v>
      </c>
      <c r="AB55" s="130"/>
      <c r="AC55" s="130"/>
      <c r="AD55" s="115" t="s">
        <v>1273</v>
      </c>
      <c r="AE55" s="115" t="s">
        <v>1274</v>
      </c>
      <c r="AF55" s="115" t="s">
        <v>14</v>
      </c>
      <c r="AG55" s="115" t="s">
        <v>1304</v>
      </c>
      <c r="AH55" s="115"/>
      <c r="AI55" s="131">
        <v>5347</v>
      </c>
      <c r="AJ55" s="131">
        <f>IFERROR(_xlfn.XLOOKUP($AG55,[47]Sheet1!$E$108:$E$132,[47]Sheet1!F$108:F$132),0)</f>
        <v>0</v>
      </c>
      <c r="AK55" s="128">
        <f t="shared" si="27"/>
        <v>0</v>
      </c>
      <c r="AL55" s="131">
        <f>IFERROR(_xlfn.XLOOKUP($AG55,[47]Sheet1!$E$108:$E$132,[47]Sheet1!H$108:H$132),0)</f>
        <v>0</v>
      </c>
      <c r="AM55" s="128">
        <f t="shared" si="28"/>
        <v>0</v>
      </c>
      <c r="AN55" s="131">
        <f>IFERROR(_xlfn.XLOOKUP($AG55,[47]Sheet1!$E$108:$E$132,[47]Sheet1!G$108:G$132),0)</f>
        <v>0</v>
      </c>
      <c r="AO55" s="129">
        <f t="shared" si="29"/>
        <v>0</v>
      </c>
    </row>
    <row r="56" spans="2:41" x14ac:dyDescent="0.2">
      <c r="B56" s="110" t="s">
        <v>1273</v>
      </c>
      <c r="C56" s="110" t="s">
        <v>1274</v>
      </c>
      <c r="D56" s="110" t="s">
        <v>47</v>
      </c>
      <c r="E56" s="110" t="s">
        <v>1305</v>
      </c>
      <c r="F56" s="110"/>
      <c r="G56" s="116">
        <v>4579</v>
      </c>
      <c r="H56" s="115">
        <v>0</v>
      </c>
      <c r="I56" s="128">
        <f t="shared" si="21"/>
        <v>0</v>
      </c>
      <c r="J56" s="115">
        <v>0</v>
      </c>
      <c r="K56" s="128">
        <f t="shared" si="22"/>
        <v>0</v>
      </c>
      <c r="L56" s="115">
        <v>0</v>
      </c>
      <c r="M56" s="129">
        <f t="shared" si="23"/>
        <v>0</v>
      </c>
      <c r="N56" s="130"/>
      <c r="O56" s="130"/>
      <c r="P56" s="115" t="s">
        <v>1273</v>
      </c>
      <c r="Q56" s="115" t="s">
        <v>1274</v>
      </c>
      <c r="R56" s="115" t="s">
        <v>47</v>
      </c>
      <c r="S56" s="115" t="s">
        <v>1305</v>
      </c>
      <c r="T56" s="115"/>
      <c r="U56" s="131">
        <v>4579</v>
      </c>
      <c r="V56" s="131">
        <f>IFERROR(_xlfn.XLOOKUP($S56,'[47]Tgl 8'!$E$108:$E$156,'[47]Tgl 8'!$F$108:$F$156),0)</f>
        <v>0</v>
      </c>
      <c r="W56" s="128">
        <f t="shared" si="24"/>
        <v>0</v>
      </c>
      <c r="X56" s="131">
        <f>IFERROR(_xlfn.XLOOKUP($S56,'[47]Tgl 8'!$E$108:$E$156,'[47]Tgl 8'!$H$108:$H$156),0)</f>
        <v>0</v>
      </c>
      <c r="Y56" s="128">
        <f t="shared" si="25"/>
        <v>0</v>
      </c>
      <c r="Z56" s="131">
        <f>IFERROR(_xlfn.XLOOKUP($S56,'[47]Tgl 8'!$E$108:$E$156,'[47]Tgl 8'!$G$108:$G$156),0)</f>
        <v>0</v>
      </c>
      <c r="AA56" s="129">
        <f t="shared" si="26"/>
        <v>0</v>
      </c>
      <c r="AB56" s="130"/>
      <c r="AC56" s="130"/>
      <c r="AD56" s="115" t="s">
        <v>1273</v>
      </c>
      <c r="AE56" s="115" t="s">
        <v>1274</v>
      </c>
      <c r="AF56" s="115" t="s">
        <v>47</v>
      </c>
      <c r="AG56" s="115" t="s">
        <v>1305</v>
      </c>
      <c r="AH56" s="115"/>
      <c r="AI56" s="131">
        <v>4579</v>
      </c>
      <c r="AJ56" s="131">
        <f>IFERROR(_xlfn.XLOOKUP($AG56,[47]Sheet1!$E$108:$E$132,[47]Sheet1!F$108:F$132),0)</f>
        <v>0</v>
      </c>
      <c r="AK56" s="128">
        <f t="shared" si="27"/>
        <v>0</v>
      </c>
      <c r="AL56" s="131">
        <f>IFERROR(_xlfn.XLOOKUP($AG56,[47]Sheet1!$E$108:$E$132,[47]Sheet1!H$108:H$132),0)</f>
        <v>0</v>
      </c>
      <c r="AM56" s="128">
        <f t="shared" si="28"/>
        <v>0</v>
      </c>
      <c r="AN56" s="131">
        <f>IFERROR(_xlfn.XLOOKUP($AG56,[47]Sheet1!$E$108:$E$132,[47]Sheet1!G$108:G$132),0)</f>
        <v>0</v>
      </c>
      <c r="AO56" s="129">
        <f t="shared" si="29"/>
        <v>0</v>
      </c>
    </row>
    <row r="57" spans="2:41" x14ac:dyDescent="0.2">
      <c r="B57" s="110" t="s">
        <v>1273</v>
      </c>
      <c r="C57" s="110" t="s">
        <v>1274</v>
      </c>
      <c r="D57" s="110" t="s">
        <v>47</v>
      </c>
      <c r="E57" s="110" t="s">
        <v>1306</v>
      </c>
      <c r="F57" s="110"/>
      <c r="G57" s="116">
        <v>5684</v>
      </c>
      <c r="H57" s="115">
        <v>0</v>
      </c>
      <c r="I57" s="128">
        <f t="shared" si="21"/>
        <v>0</v>
      </c>
      <c r="J57" s="115">
        <v>0</v>
      </c>
      <c r="K57" s="128">
        <f t="shared" si="22"/>
        <v>0</v>
      </c>
      <c r="L57" s="115">
        <v>0</v>
      </c>
      <c r="M57" s="129">
        <f t="shared" si="23"/>
        <v>0</v>
      </c>
      <c r="N57" s="130"/>
      <c r="O57" s="130"/>
      <c r="P57" s="115" t="s">
        <v>1273</v>
      </c>
      <c r="Q57" s="115" t="s">
        <v>1274</v>
      </c>
      <c r="R57" s="115" t="s">
        <v>47</v>
      </c>
      <c r="S57" s="115" t="s">
        <v>1306</v>
      </c>
      <c r="T57" s="115"/>
      <c r="U57" s="131">
        <v>5684</v>
      </c>
      <c r="V57" s="131">
        <f>IFERROR(_xlfn.XLOOKUP($S57,'[47]Tgl 8'!$E$108:$E$156,'[47]Tgl 8'!$F$108:$F$156),0)</f>
        <v>0</v>
      </c>
      <c r="W57" s="128">
        <f t="shared" si="24"/>
        <v>0</v>
      </c>
      <c r="X57" s="131">
        <f>IFERROR(_xlfn.XLOOKUP($S57,'[47]Tgl 8'!$E$108:$E$156,'[47]Tgl 8'!$H$108:$H$156),0)</f>
        <v>0</v>
      </c>
      <c r="Y57" s="128">
        <f t="shared" si="25"/>
        <v>0</v>
      </c>
      <c r="Z57" s="131">
        <f>IFERROR(_xlfn.XLOOKUP($S57,'[47]Tgl 8'!$E$108:$E$156,'[47]Tgl 8'!$G$108:$G$156),0)</f>
        <v>0</v>
      </c>
      <c r="AA57" s="129">
        <f t="shared" si="26"/>
        <v>0</v>
      </c>
      <c r="AB57" s="130"/>
      <c r="AC57" s="130"/>
      <c r="AD57" s="115" t="s">
        <v>1273</v>
      </c>
      <c r="AE57" s="115" t="s">
        <v>1274</v>
      </c>
      <c r="AF57" s="115" t="s">
        <v>47</v>
      </c>
      <c r="AG57" s="115" t="s">
        <v>1306</v>
      </c>
      <c r="AH57" s="115"/>
      <c r="AI57" s="131">
        <v>5684</v>
      </c>
      <c r="AJ57" s="131">
        <f>IFERROR(_xlfn.XLOOKUP($AG57,[47]Sheet1!$E$108:$E$132,[47]Sheet1!F$108:F$132),0)</f>
        <v>0</v>
      </c>
      <c r="AK57" s="128">
        <f t="shared" si="27"/>
        <v>0</v>
      </c>
      <c r="AL57" s="131">
        <f>IFERROR(_xlfn.XLOOKUP($AG57,[47]Sheet1!$E$108:$E$132,[47]Sheet1!H$108:H$132),0)</f>
        <v>0</v>
      </c>
      <c r="AM57" s="128">
        <f t="shared" si="28"/>
        <v>0</v>
      </c>
      <c r="AN57" s="131">
        <f>IFERROR(_xlfn.XLOOKUP($AG57,[47]Sheet1!$E$108:$E$132,[47]Sheet1!G$108:G$132),0)</f>
        <v>0</v>
      </c>
      <c r="AO57" s="129">
        <f t="shared" si="29"/>
        <v>0</v>
      </c>
    </row>
    <row r="58" spans="2:41" x14ac:dyDescent="0.2">
      <c r="B58" s="110" t="s">
        <v>1273</v>
      </c>
      <c r="C58" s="110" t="s">
        <v>1274</v>
      </c>
      <c r="D58" s="110" t="s">
        <v>47</v>
      </c>
      <c r="E58" s="110" t="s">
        <v>1307</v>
      </c>
      <c r="F58" s="110"/>
      <c r="G58" s="116">
        <v>4012</v>
      </c>
      <c r="H58" s="115">
        <v>0</v>
      </c>
      <c r="I58" s="128">
        <f t="shared" si="21"/>
        <v>0</v>
      </c>
      <c r="J58" s="115">
        <v>0</v>
      </c>
      <c r="K58" s="128">
        <f t="shared" si="22"/>
        <v>0</v>
      </c>
      <c r="L58" s="115">
        <v>0</v>
      </c>
      <c r="M58" s="129">
        <f t="shared" si="23"/>
        <v>0</v>
      </c>
      <c r="N58" s="130"/>
      <c r="O58" s="130"/>
      <c r="P58" s="115" t="s">
        <v>1273</v>
      </c>
      <c r="Q58" s="115" t="s">
        <v>1274</v>
      </c>
      <c r="R58" s="115" t="s">
        <v>47</v>
      </c>
      <c r="S58" s="115" t="s">
        <v>1307</v>
      </c>
      <c r="T58" s="115"/>
      <c r="U58" s="131">
        <v>4012</v>
      </c>
      <c r="V58" s="131">
        <f>IFERROR(_xlfn.XLOOKUP($S58,'[47]Tgl 8'!$E$108:$E$156,'[47]Tgl 8'!$F$108:$F$156),0)</f>
        <v>0</v>
      </c>
      <c r="W58" s="128">
        <f t="shared" si="24"/>
        <v>0</v>
      </c>
      <c r="X58" s="131">
        <f>IFERROR(_xlfn.XLOOKUP($S58,'[47]Tgl 8'!$E$108:$E$156,'[47]Tgl 8'!$H$108:$H$156),0)</f>
        <v>0</v>
      </c>
      <c r="Y58" s="128">
        <f t="shared" si="25"/>
        <v>0</v>
      </c>
      <c r="Z58" s="131">
        <f>IFERROR(_xlfn.XLOOKUP($S58,'[47]Tgl 8'!$E$108:$E$156,'[47]Tgl 8'!$G$108:$G$156),0)</f>
        <v>0</v>
      </c>
      <c r="AA58" s="129">
        <f t="shared" si="26"/>
        <v>0</v>
      </c>
      <c r="AB58" s="130"/>
      <c r="AC58" s="130"/>
      <c r="AD58" s="115" t="s">
        <v>1273</v>
      </c>
      <c r="AE58" s="115" t="s">
        <v>1274</v>
      </c>
      <c r="AF58" s="115" t="s">
        <v>47</v>
      </c>
      <c r="AG58" s="115" t="s">
        <v>1307</v>
      </c>
      <c r="AH58" s="115"/>
      <c r="AI58" s="131">
        <v>4012</v>
      </c>
      <c r="AJ58" s="131">
        <f>IFERROR(_xlfn.XLOOKUP($AG58,[47]Sheet1!$E$108:$E$132,[47]Sheet1!F$108:F$132),0)</f>
        <v>0</v>
      </c>
      <c r="AK58" s="128">
        <f t="shared" si="27"/>
        <v>0</v>
      </c>
      <c r="AL58" s="131">
        <f>IFERROR(_xlfn.XLOOKUP($AG58,[47]Sheet1!$E$108:$E$132,[47]Sheet1!H$108:H$132),0)</f>
        <v>0</v>
      </c>
      <c r="AM58" s="128">
        <f t="shared" si="28"/>
        <v>0</v>
      </c>
      <c r="AN58" s="131">
        <f>IFERROR(_xlfn.XLOOKUP($AG58,[47]Sheet1!$E$108:$E$132,[47]Sheet1!G$108:G$132),0)</f>
        <v>0</v>
      </c>
      <c r="AO58" s="129">
        <f t="shared" si="29"/>
        <v>0</v>
      </c>
    </row>
    <row r="59" spans="2:41" x14ac:dyDescent="0.2">
      <c r="B59" s="110" t="s">
        <v>1273</v>
      </c>
      <c r="C59" s="110" t="s">
        <v>1274</v>
      </c>
      <c r="D59" s="110" t="s">
        <v>47</v>
      </c>
      <c r="E59" s="110" t="s">
        <v>1308</v>
      </c>
      <c r="F59" s="110"/>
      <c r="G59" s="116">
        <v>4012</v>
      </c>
      <c r="H59" s="115">
        <v>0</v>
      </c>
      <c r="I59" s="128">
        <f t="shared" si="21"/>
        <v>0</v>
      </c>
      <c r="J59" s="115">
        <v>0</v>
      </c>
      <c r="K59" s="128">
        <f t="shared" si="22"/>
        <v>0</v>
      </c>
      <c r="L59" s="115">
        <v>0</v>
      </c>
      <c r="M59" s="129">
        <f t="shared" si="23"/>
        <v>0</v>
      </c>
      <c r="N59" s="130"/>
      <c r="O59" s="130"/>
      <c r="P59" s="115" t="s">
        <v>1273</v>
      </c>
      <c r="Q59" s="115" t="s">
        <v>1274</v>
      </c>
      <c r="R59" s="115" t="s">
        <v>47</v>
      </c>
      <c r="S59" s="115" t="s">
        <v>1308</v>
      </c>
      <c r="T59" s="115"/>
      <c r="U59" s="131">
        <v>4012</v>
      </c>
      <c r="V59" s="131">
        <f>IFERROR(_xlfn.XLOOKUP($S59,'[47]Tgl 8'!$E$108:$E$156,'[47]Tgl 8'!$F$108:$F$156),0)</f>
        <v>0</v>
      </c>
      <c r="W59" s="128">
        <f t="shared" si="24"/>
        <v>0</v>
      </c>
      <c r="X59" s="131">
        <f>IFERROR(_xlfn.XLOOKUP($S59,'[47]Tgl 8'!$E$108:$E$156,'[47]Tgl 8'!$H$108:$H$156),0)</f>
        <v>0</v>
      </c>
      <c r="Y59" s="128">
        <f t="shared" si="25"/>
        <v>0</v>
      </c>
      <c r="Z59" s="131">
        <f>IFERROR(_xlfn.XLOOKUP($S59,'[47]Tgl 8'!$E$108:$E$156,'[47]Tgl 8'!$G$108:$G$156),0)</f>
        <v>0</v>
      </c>
      <c r="AA59" s="129">
        <f t="shared" si="26"/>
        <v>0</v>
      </c>
      <c r="AB59" s="130"/>
      <c r="AC59" s="130"/>
      <c r="AD59" s="115" t="s">
        <v>1273</v>
      </c>
      <c r="AE59" s="115" t="s">
        <v>1274</v>
      </c>
      <c r="AF59" s="115" t="s">
        <v>47</v>
      </c>
      <c r="AG59" s="115" t="s">
        <v>1308</v>
      </c>
      <c r="AH59" s="115"/>
      <c r="AI59" s="131">
        <v>4012</v>
      </c>
      <c r="AJ59" s="131">
        <f>IFERROR(_xlfn.XLOOKUP($AG59,[47]Sheet1!$E$108:$E$132,[47]Sheet1!F$108:F$132),0)</f>
        <v>0</v>
      </c>
      <c r="AK59" s="128">
        <f t="shared" si="27"/>
        <v>0</v>
      </c>
      <c r="AL59" s="131">
        <f>IFERROR(_xlfn.XLOOKUP($AG59,[47]Sheet1!$E$108:$E$132,[47]Sheet1!H$108:H$132),0)</f>
        <v>0</v>
      </c>
      <c r="AM59" s="128">
        <f t="shared" si="28"/>
        <v>0</v>
      </c>
      <c r="AN59" s="131">
        <f>IFERROR(_xlfn.XLOOKUP($AG59,[47]Sheet1!$E$108:$E$132,[47]Sheet1!G$108:G$132),0)</f>
        <v>0</v>
      </c>
      <c r="AO59" s="129">
        <f t="shared" si="29"/>
        <v>0</v>
      </c>
    </row>
    <row r="60" spans="2:41" x14ac:dyDescent="0.2">
      <c r="B60" s="110" t="s">
        <v>1273</v>
      </c>
      <c r="C60" s="110" t="s">
        <v>1274</v>
      </c>
      <c r="D60" s="110" t="s">
        <v>47</v>
      </c>
      <c r="E60" s="110" t="s">
        <v>1309</v>
      </c>
      <c r="F60" s="110"/>
      <c r="G60" s="116">
        <v>4342</v>
      </c>
      <c r="H60" s="115">
        <v>0</v>
      </c>
      <c r="I60" s="128">
        <f t="shared" si="21"/>
        <v>0</v>
      </c>
      <c r="J60" s="115">
        <v>0</v>
      </c>
      <c r="K60" s="128">
        <f t="shared" si="22"/>
        <v>0</v>
      </c>
      <c r="L60" s="115">
        <v>0</v>
      </c>
      <c r="M60" s="129">
        <f t="shared" si="23"/>
        <v>0</v>
      </c>
      <c r="N60" s="130"/>
      <c r="O60" s="130"/>
      <c r="P60" s="115" t="s">
        <v>1273</v>
      </c>
      <c r="Q60" s="115" t="s">
        <v>1274</v>
      </c>
      <c r="R60" s="115" t="s">
        <v>47</v>
      </c>
      <c r="S60" s="115" t="s">
        <v>1309</v>
      </c>
      <c r="T60" s="115"/>
      <c r="U60" s="131">
        <v>4342</v>
      </c>
      <c r="V60" s="131">
        <f>IFERROR(_xlfn.XLOOKUP($S60,'[47]Tgl 8'!$E$108:$E$156,'[47]Tgl 8'!$F$108:$F$156),0)</f>
        <v>0</v>
      </c>
      <c r="W60" s="128">
        <f t="shared" si="24"/>
        <v>0</v>
      </c>
      <c r="X60" s="131">
        <f>IFERROR(_xlfn.XLOOKUP($S60,'[47]Tgl 8'!$E$108:$E$156,'[47]Tgl 8'!$H$108:$H$156),0)</f>
        <v>0</v>
      </c>
      <c r="Y60" s="128">
        <f t="shared" si="25"/>
        <v>0</v>
      </c>
      <c r="Z60" s="131">
        <f>IFERROR(_xlfn.XLOOKUP($S60,'[47]Tgl 8'!$E$108:$E$156,'[47]Tgl 8'!$G$108:$G$156),0)</f>
        <v>0</v>
      </c>
      <c r="AA60" s="129">
        <f t="shared" si="26"/>
        <v>0</v>
      </c>
      <c r="AB60" s="130"/>
      <c r="AC60" s="130"/>
      <c r="AD60" s="115" t="s">
        <v>1273</v>
      </c>
      <c r="AE60" s="115" t="s">
        <v>1274</v>
      </c>
      <c r="AF60" s="115" t="s">
        <v>47</v>
      </c>
      <c r="AG60" s="115" t="s">
        <v>1309</v>
      </c>
      <c r="AH60" s="115"/>
      <c r="AI60" s="131">
        <v>4342</v>
      </c>
      <c r="AJ60" s="131">
        <f>IFERROR(_xlfn.XLOOKUP($AG60,[47]Sheet1!$E$108:$E$132,[47]Sheet1!F$108:F$132),0)</f>
        <v>0</v>
      </c>
      <c r="AK60" s="128">
        <f t="shared" si="27"/>
        <v>0</v>
      </c>
      <c r="AL60" s="131">
        <f>IFERROR(_xlfn.XLOOKUP($AG60,[47]Sheet1!$E$108:$E$132,[47]Sheet1!H$108:H$132),0)</f>
        <v>0</v>
      </c>
      <c r="AM60" s="128">
        <f t="shared" si="28"/>
        <v>0</v>
      </c>
      <c r="AN60" s="131">
        <f>IFERROR(_xlfn.XLOOKUP($AG60,[47]Sheet1!$E$108:$E$132,[47]Sheet1!G$108:G$132),0)</f>
        <v>0</v>
      </c>
      <c r="AO60" s="129">
        <f t="shared" si="29"/>
        <v>0</v>
      </c>
    </row>
    <row r="61" spans="2:41" x14ac:dyDescent="0.2">
      <c r="B61" s="110" t="s">
        <v>1273</v>
      </c>
      <c r="C61" s="110" t="s">
        <v>1274</v>
      </c>
      <c r="D61" s="110" t="s">
        <v>47</v>
      </c>
      <c r="E61" s="110" t="s">
        <v>1310</v>
      </c>
      <c r="F61" s="110"/>
      <c r="G61" s="116">
        <v>3688</v>
      </c>
      <c r="H61" s="115">
        <v>0</v>
      </c>
      <c r="I61" s="128">
        <f t="shared" si="21"/>
        <v>0</v>
      </c>
      <c r="J61" s="115">
        <v>0</v>
      </c>
      <c r="K61" s="128">
        <f t="shared" si="22"/>
        <v>0</v>
      </c>
      <c r="L61" s="115">
        <v>0</v>
      </c>
      <c r="M61" s="129">
        <f t="shared" si="23"/>
        <v>0</v>
      </c>
      <c r="N61" s="130"/>
      <c r="O61" s="130"/>
      <c r="P61" s="115" t="s">
        <v>1273</v>
      </c>
      <c r="Q61" s="115" t="s">
        <v>1274</v>
      </c>
      <c r="R61" s="115" t="s">
        <v>47</v>
      </c>
      <c r="S61" s="115" t="s">
        <v>1310</v>
      </c>
      <c r="T61" s="115"/>
      <c r="U61" s="131">
        <v>3688</v>
      </c>
      <c r="V61" s="131">
        <f>IFERROR(_xlfn.XLOOKUP($S61,'[47]Tgl 8'!$E$108:$E$156,'[47]Tgl 8'!$F$108:$F$156),0)</f>
        <v>0</v>
      </c>
      <c r="W61" s="128">
        <f t="shared" si="24"/>
        <v>0</v>
      </c>
      <c r="X61" s="131">
        <f>IFERROR(_xlfn.XLOOKUP($S61,'[47]Tgl 8'!$E$108:$E$156,'[47]Tgl 8'!$H$108:$H$156),0)</f>
        <v>0</v>
      </c>
      <c r="Y61" s="128">
        <f t="shared" si="25"/>
        <v>0</v>
      </c>
      <c r="Z61" s="131">
        <f>IFERROR(_xlfn.XLOOKUP($S61,'[47]Tgl 8'!$E$108:$E$156,'[47]Tgl 8'!$G$108:$G$156),0)</f>
        <v>0</v>
      </c>
      <c r="AA61" s="129">
        <f t="shared" si="26"/>
        <v>0</v>
      </c>
      <c r="AB61" s="130"/>
      <c r="AC61" s="130"/>
      <c r="AD61" s="115" t="s">
        <v>1273</v>
      </c>
      <c r="AE61" s="115" t="s">
        <v>1274</v>
      </c>
      <c r="AF61" s="115" t="s">
        <v>47</v>
      </c>
      <c r="AG61" s="115" t="s">
        <v>1310</v>
      </c>
      <c r="AH61" s="115"/>
      <c r="AI61" s="131">
        <v>3688</v>
      </c>
      <c r="AJ61" s="131">
        <f>IFERROR(_xlfn.XLOOKUP($AG61,[47]Sheet1!$E$108:$E$132,[47]Sheet1!F$108:F$132),0)</f>
        <v>0</v>
      </c>
      <c r="AK61" s="128">
        <f t="shared" si="27"/>
        <v>0</v>
      </c>
      <c r="AL61" s="131">
        <f>IFERROR(_xlfn.XLOOKUP($AG61,[47]Sheet1!$E$108:$E$132,[47]Sheet1!H$108:H$132),0)</f>
        <v>0</v>
      </c>
      <c r="AM61" s="128">
        <f t="shared" si="28"/>
        <v>0</v>
      </c>
      <c r="AN61" s="131">
        <f>IFERROR(_xlfn.XLOOKUP($AG61,[47]Sheet1!$E$108:$E$132,[47]Sheet1!G$108:G$132),0)</f>
        <v>0</v>
      </c>
      <c r="AO61" s="129">
        <f t="shared" si="29"/>
        <v>0</v>
      </c>
    </row>
    <row r="62" spans="2:41" x14ac:dyDescent="0.2">
      <c r="B62" s="110" t="s">
        <v>1273</v>
      </c>
      <c r="C62" s="110" t="s">
        <v>1274</v>
      </c>
      <c r="D62" s="110" t="s">
        <v>47</v>
      </c>
      <c r="E62" s="110" t="s">
        <v>1311</v>
      </c>
      <c r="F62" s="110"/>
      <c r="G62" s="116">
        <v>3807</v>
      </c>
      <c r="H62" s="115">
        <v>0</v>
      </c>
      <c r="I62" s="128">
        <f t="shared" si="21"/>
        <v>0</v>
      </c>
      <c r="J62" s="115">
        <v>0</v>
      </c>
      <c r="K62" s="128">
        <f t="shared" si="22"/>
        <v>0</v>
      </c>
      <c r="L62" s="115">
        <v>0</v>
      </c>
      <c r="M62" s="129">
        <f t="shared" si="23"/>
        <v>0</v>
      </c>
      <c r="N62" s="130"/>
      <c r="O62" s="130"/>
      <c r="P62" s="115" t="s">
        <v>1273</v>
      </c>
      <c r="Q62" s="115" t="s">
        <v>1274</v>
      </c>
      <c r="R62" s="115" t="s">
        <v>47</v>
      </c>
      <c r="S62" s="115" t="s">
        <v>1311</v>
      </c>
      <c r="T62" s="115"/>
      <c r="U62" s="131">
        <v>3807</v>
      </c>
      <c r="V62" s="131">
        <f>IFERROR(_xlfn.XLOOKUP($S62,'[47]Tgl 8'!$E$108:$E$156,'[47]Tgl 8'!$F$108:$F$156),0)</f>
        <v>0</v>
      </c>
      <c r="W62" s="128">
        <f t="shared" si="24"/>
        <v>0</v>
      </c>
      <c r="X62" s="131">
        <f>IFERROR(_xlfn.XLOOKUP($S62,'[47]Tgl 8'!$E$108:$E$156,'[47]Tgl 8'!$H$108:$H$156),0)</f>
        <v>0</v>
      </c>
      <c r="Y62" s="128">
        <f t="shared" si="25"/>
        <v>0</v>
      </c>
      <c r="Z62" s="131">
        <f>IFERROR(_xlfn.XLOOKUP($S62,'[47]Tgl 8'!$E$108:$E$156,'[47]Tgl 8'!$G$108:$G$156),0)</f>
        <v>0</v>
      </c>
      <c r="AA62" s="129">
        <f t="shared" si="26"/>
        <v>0</v>
      </c>
      <c r="AB62" s="130"/>
      <c r="AC62" s="130"/>
      <c r="AD62" s="115" t="s">
        <v>1273</v>
      </c>
      <c r="AE62" s="115" t="s">
        <v>1274</v>
      </c>
      <c r="AF62" s="115" t="s">
        <v>47</v>
      </c>
      <c r="AG62" s="115" t="s">
        <v>1311</v>
      </c>
      <c r="AH62" s="115"/>
      <c r="AI62" s="131">
        <v>3807</v>
      </c>
      <c r="AJ62" s="131">
        <f>IFERROR(_xlfn.XLOOKUP($AG62,[47]Sheet1!$E$108:$E$132,[47]Sheet1!F$108:F$132),0)</f>
        <v>0</v>
      </c>
      <c r="AK62" s="128">
        <f t="shared" si="27"/>
        <v>0</v>
      </c>
      <c r="AL62" s="131">
        <f>IFERROR(_xlfn.XLOOKUP($AG62,[47]Sheet1!$E$108:$E$132,[47]Sheet1!H$108:H$132),0)</f>
        <v>0</v>
      </c>
      <c r="AM62" s="128">
        <f t="shared" si="28"/>
        <v>0</v>
      </c>
      <c r="AN62" s="131">
        <f>IFERROR(_xlfn.XLOOKUP($AG62,[47]Sheet1!$E$108:$E$132,[47]Sheet1!G$108:G$132),0)</f>
        <v>0</v>
      </c>
      <c r="AO62" s="129">
        <f t="shared" si="29"/>
        <v>0</v>
      </c>
    </row>
    <row r="63" spans="2:41" x14ac:dyDescent="0.2">
      <c r="B63" s="110" t="s">
        <v>1273</v>
      </c>
      <c r="C63" s="110" t="s">
        <v>1274</v>
      </c>
      <c r="D63" s="110" t="s">
        <v>47</v>
      </c>
      <c r="E63" s="110" t="s">
        <v>1312</v>
      </c>
      <c r="F63" s="110"/>
      <c r="G63" s="116">
        <v>3700</v>
      </c>
      <c r="H63" s="128">
        <v>0</v>
      </c>
      <c r="I63" s="128">
        <f t="shared" si="21"/>
        <v>0</v>
      </c>
      <c r="J63" s="128">
        <v>0</v>
      </c>
      <c r="K63" s="128">
        <f t="shared" si="22"/>
        <v>0</v>
      </c>
      <c r="L63" s="128">
        <v>0</v>
      </c>
      <c r="M63" s="128">
        <f t="shared" si="23"/>
        <v>0</v>
      </c>
      <c r="N63" s="130"/>
      <c r="O63" s="130"/>
      <c r="P63" s="115" t="s">
        <v>1273</v>
      </c>
      <c r="Q63" s="115" t="s">
        <v>1274</v>
      </c>
      <c r="R63" s="115" t="s">
        <v>47</v>
      </c>
      <c r="S63" s="115" t="s">
        <v>1312</v>
      </c>
      <c r="T63" s="115"/>
      <c r="U63" s="131">
        <v>3700</v>
      </c>
      <c r="V63" s="131">
        <f>IFERROR(_xlfn.XLOOKUP($S63,'[47]Tgl 8'!$E$108:$E$156,'[47]Tgl 8'!$F$108:$F$156),0)</f>
        <v>22</v>
      </c>
      <c r="W63" s="128">
        <f t="shared" si="24"/>
        <v>0.59459459459459463</v>
      </c>
      <c r="X63" s="131">
        <f>IFERROR(_xlfn.XLOOKUP($S63,'[47]Tgl 8'!$E$108:$E$156,'[47]Tgl 8'!$H$108:$H$156),0)</f>
        <v>6</v>
      </c>
      <c r="Y63" s="128">
        <f t="shared" si="25"/>
        <v>27.272727272727273</v>
      </c>
      <c r="Z63" s="131">
        <f>IFERROR(_xlfn.XLOOKUP($S63,'[47]Tgl 8'!$E$108:$E$156,'[47]Tgl 8'!$G$108:$G$156),0)</f>
        <v>9</v>
      </c>
      <c r="AA63" s="129">
        <f t="shared" si="26"/>
        <v>40.909090909090907</v>
      </c>
      <c r="AB63" s="130"/>
      <c r="AC63" s="130"/>
      <c r="AD63" s="115" t="s">
        <v>1273</v>
      </c>
      <c r="AE63" s="115" t="s">
        <v>1274</v>
      </c>
      <c r="AF63" s="115" t="s">
        <v>47</v>
      </c>
      <c r="AG63" s="115" t="s">
        <v>1312</v>
      </c>
      <c r="AH63" s="115"/>
      <c r="AI63" s="131">
        <v>3700</v>
      </c>
      <c r="AJ63" s="131">
        <f>IFERROR(_xlfn.XLOOKUP($AG63,[47]Sheet1!$E$108:$E$132,[47]Sheet1!F$108:F$132),0)</f>
        <v>704</v>
      </c>
      <c r="AK63" s="128">
        <f t="shared" si="27"/>
        <v>19.027027027027028</v>
      </c>
      <c r="AL63" s="131">
        <f>IFERROR(_xlfn.XLOOKUP($AG63,[47]Sheet1!$E$108:$E$132,[47]Sheet1!H$108:H$132),0)</f>
        <v>406</v>
      </c>
      <c r="AM63" s="128">
        <f t="shared" si="28"/>
        <v>57.670454545454547</v>
      </c>
      <c r="AN63" s="131">
        <f>IFERROR(_xlfn.XLOOKUP($AG63,[47]Sheet1!$E$108:$E$132,[47]Sheet1!G$108:G$132),0)</f>
        <v>135</v>
      </c>
      <c r="AO63" s="129">
        <f t="shared" si="29"/>
        <v>19.176136363636363</v>
      </c>
    </row>
    <row r="64" spans="2:41" x14ac:dyDescent="0.2">
      <c r="B64" s="110" t="s">
        <v>1273</v>
      </c>
      <c r="C64" s="110" t="s">
        <v>1274</v>
      </c>
      <c r="D64" s="110" t="s">
        <v>47</v>
      </c>
      <c r="E64" s="110" t="s">
        <v>1313</v>
      </c>
      <c r="F64" s="110"/>
      <c r="G64" s="116">
        <v>3271</v>
      </c>
      <c r="H64" s="115">
        <v>199</v>
      </c>
      <c r="I64" s="128">
        <f t="shared" si="21"/>
        <v>6.0837664322837055</v>
      </c>
      <c r="J64" s="115">
        <v>99</v>
      </c>
      <c r="K64" s="128">
        <f t="shared" si="22"/>
        <v>49.748743718592962</v>
      </c>
      <c r="L64" s="115">
        <v>34</v>
      </c>
      <c r="M64" s="129">
        <f t="shared" si="23"/>
        <v>17.08542713567839</v>
      </c>
      <c r="N64" s="130"/>
      <c r="O64" s="130"/>
      <c r="P64" s="115" t="s">
        <v>1273</v>
      </c>
      <c r="Q64" s="115" t="s">
        <v>1274</v>
      </c>
      <c r="R64" s="115" t="s">
        <v>47</v>
      </c>
      <c r="S64" s="115" t="s">
        <v>1313</v>
      </c>
      <c r="T64" s="115"/>
      <c r="U64" s="131">
        <v>3271</v>
      </c>
      <c r="V64" s="131">
        <f>IFERROR(_xlfn.XLOOKUP($S64,'[47]Tgl 8'!$E$108:$E$156,'[47]Tgl 8'!$F$108:$F$156),0)</f>
        <v>31</v>
      </c>
      <c r="W64" s="128">
        <f t="shared" si="24"/>
        <v>0.94772240904922045</v>
      </c>
      <c r="X64" s="131">
        <f>IFERROR(_xlfn.XLOOKUP($S64,'[47]Tgl 8'!$E$108:$E$156,'[47]Tgl 8'!$H$108:$H$156),0)</f>
        <v>8</v>
      </c>
      <c r="Y64" s="128">
        <f t="shared" si="25"/>
        <v>25.806451612903228</v>
      </c>
      <c r="Z64" s="131">
        <f>IFERROR(_xlfn.XLOOKUP($S64,'[47]Tgl 8'!$E$108:$E$156,'[47]Tgl 8'!$G$108:$G$156),0)</f>
        <v>12</v>
      </c>
      <c r="AA64" s="129">
        <f t="shared" si="26"/>
        <v>38.70967741935484</v>
      </c>
      <c r="AB64" s="130"/>
      <c r="AC64" s="130"/>
      <c r="AD64" s="115" t="s">
        <v>1273</v>
      </c>
      <c r="AE64" s="115" t="s">
        <v>1274</v>
      </c>
      <c r="AF64" s="115" t="s">
        <v>47</v>
      </c>
      <c r="AG64" s="115" t="s">
        <v>1313</v>
      </c>
      <c r="AH64" s="115"/>
      <c r="AI64" s="131">
        <v>3271</v>
      </c>
      <c r="AJ64" s="131">
        <f>IFERROR(_xlfn.XLOOKUP($AG64,[47]Sheet1!$E$108:$E$132,[47]Sheet1!F$108:F$132),0)</f>
        <v>318</v>
      </c>
      <c r="AK64" s="128">
        <f t="shared" si="27"/>
        <v>9.721797615408132</v>
      </c>
      <c r="AL64" s="131">
        <f>IFERROR(_xlfn.XLOOKUP($AG64,[47]Sheet1!$E$108:$E$132,[47]Sheet1!H$108:H$132),0)</f>
        <v>95</v>
      </c>
      <c r="AM64" s="128">
        <f t="shared" si="28"/>
        <v>29.874213836477985</v>
      </c>
      <c r="AN64" s="131">
        <f>IFERROR(_xlfn.XLOOKUP($AG64,[47]Sheet1!$E$108:$E$132,[47]Sheet1!G$108:G$132),0)</f>
        <v>31</v>
      </c>
      <c r="AO64" s="129">
        <f t="shared" si="29"/>
        <v>9.7484276729559749</v>
      </c>
    </row>
    <row r="65" spans="2:41" x14ac:dyDescent="0.2">
      <c r="B65" s="110" t="s">
        <v>1273</v>
      </c>
      <c r="C65" s="110" t="s">
        <v>1274</v>
      </c>
      <c r="D65" s="110" t="s">
        <v>47</v>
      </c>
      <c r="E65" s="110" t="s">
        <v>1314</v>
      </c>
      <c r="F65" s="110"/>
      <c r="G65" s="116">
        <v>3442</v>
      </c>
      <c r="H65" s="115">
        <v>387</v>
      </c>
      <c r="I65" s="128">
        <f t="shared" si="21"/>
        <v>11.243463102847182</v>
      </c>
      <c r="J65" s="115">
        <v>134</v>
      </c>
      <c r="K65" s="128">
        <f t="shared" si="22"/>
        <v>34.625322997416021</v>
      </c>
      <c r="L65" s="115">
        <v>47</v>
      </c>
      <c r="M65" s="129">
        <f t="shared" si="23"/>
        <v>12.14470284237726</v>
      </c>
      <c r="N65" s="130"/>
      <c r="O65" s="130"/>
      <c r="P65" s="115" t="s">
        <v>1273</v>
      </c>
      <c r="Q65" s="115" t="s">
        <v>1274</v>
      </c>
      <c r="R65" s="115" t="s">
        <v>47</v>
      </c>
      <c r="S65" s="115" t="s">
        <v>1314</v>
      </c>
      <c r="T65" s="115"/>
      <c r="U65" s="131">
        <v>3442</v>
      </c>
      <c r="V65" s="131">
        <f>IFERROR(_xlfn.XLOOKUP($S65,'[47]Tgl 8'!$E$108:$E$156,'[47]Tgl 8'!$F$108:$F$156),0)</f>
        <v>0</v>
      </c>
      <c r="W65" s="128">
        <f t="shared" si="24"/>
        <v>0</v>
      </c>
      <c r="X65" s="131">
        <f>IFERROR(_xlfn.XLOOKUP($S65,'[47]Tgl 8'!$E$108:$E$156,'[47]Tgl 8'!$H$108:$H$156),0)</f>
        <v>0</v>
      </c>
      <c r="Y65" s="128">
        <f t="shared" si="25"/>
        <v>0</v>
      </c>
      <c r="Z65" s="131">
        <f>IFERROR(_xlfn.XLOOKUP($S65,'[47]Tgl 8'!$E$108:$E$156,'[47]Tgl 8'!$G$108:$G$156),0)</f>
        <v>0</v>
      </c>
      <c r="AA65" s="129">
        <f t="shared" si="26"/>
        <v>0</v>
      </c>
      <c r="AB65" s="130"/>
      <c r="AC65" s="130"/>
      <c r="AD65" s="115" t="s">
        <v>1273</v>
      </c>
      <c r="AE65" s="115" t="s">
        <v>1274</v>
      </c>
      <c r="AF65" s="115" t="s">
        <v>47</v>
      </c>
      <c r="AG65" s="115" t="s">
        <v>1314</v>
      </c>
      <c r="AH65" s="115"/>
      <c r="AI65" s="131">
        <v>3442</v>
      </c>
      <c r="AJ65" s="131">
        <f>IFERROR(_xlfn.XLOOKUP($AG65,[47]Sheet1!$E$108:$E$132,[47]Sheet1!F$108:F$132),0)</f>
        <v>0</v>
      </c>
      <c r="AK65" s="128">
        <f t="shared" si="27"/>
        <v>0</v>
      </c>
      <c r="AL65" s="131">
        <f>IFERROR(_xlfn.XLOOKUP($AG65,[47]Sheet1!$E$108:$E$132,[47]Sheet1!H$108:H$132),0)</f>
        <v>0</v>
      </c>
      <c r="AM65" s="128">
        <f t="shared" si="28"/>
        <v>0</v>
      </c>
      <c r="AN65" s="131">
        <f>IFERROR(_xlfn.XLOOKUP($AG65,[47]Sheet1!$E$108:$E$132,[47]Sheet1!G$108:G$132),0)</f>
        <v>0</v>
      </c>
      <c r="AO65" s="129">
        <f t="shared" si="29"/>
        <v>0</v>
      </c>
    </row>
    <row r="66" spans="2:41" x14ac:dyDescent="0.2">
      <c r="B66" s="110" t="s">
        <v>1273</v>
      </c>
      <c r="C66" s="110" t="s">
        <v>1274</v>
      </c>
      <c r="D66" s="110" t="s">
        <v>47</v>
      </c>
      <c r="E66" s="110" t="s">
        <v>1315</v>
      </c>
      <c r="F66" s="110"/>
      <c r="G66" s="116">
        <v>3700</v>
      </c>
      <c r="H66" s="115">
        <v>281</v>
      </c>
      <c r="I66" s="128">
        <f t="shared" si="21"/>
        <v>7.5945945945945947</v>
      </c>
      <c r="J66" s="115">
        <v>99</v>
      </c>
      <c r="K66" s="128">
        <f t="shared" si="22"/>
        <v>35.231316725978644</v>
      </c>
      <c r="L66" s="115">
        <v>66</v>
      </c>
      <c r="M66" s="129">
        <f t="shared" si="23"/>
        <v>23.487544483985765</v>
      </c>
      <c r="N66" s="130"/>
      <c r="O66" s="130"/>
      <c r="P66" s="115" t="s">
        <v>1273</v>
      </c>
      <c r="Q66" s="115" t="s">
        <v>1274</v>
      </c>
      <c r="R66" s="115" t="s">
        <v>47</v>
      </c>
      <c r="S66" s="115" t="s">
        <v>1315</v>
      </c>
      <c r="T66" s="115"/>
      <c r="U66" s="131">
        <v>3700</v>
      </c>
      <c r="V66" s="131">
        <f>IFERROR(_xlfn.XLOOKUP($S66,'[47]Tgl 8'!$E$108:$E$156,'[47]Tgl 8'!$F$108:$F$156),0)</f>
        <v>0</v>
      </c>
      <c r="W66" s="128">
        <f t="shared" si="24"/>
        <v>0</v>
      </c>
      <c r="X66" s="131">
        <f>IFERROR(_xlfn.XLOOKUP($S66,'[47]Tgl 8'!$E$108:$E$156,'[47]Tgl 8'!$H$108:$H$156),0)</f>
        <v>0</v>
      </c>
      <c r="Y66" s="128">
        <f t="shared" si="25"/>
        <v>0</v>
      </c>
      <c r="Z66" s="131">
        <f>IFERROR(_xlfn.XLOOKUP($S66,'[47]Tgl 8'!$E$108:$E$156,'[47]Tgl 8'!$G$108:$G$156),0)</f>
        <v>0</v>
      </c>
      <c r="AA66" s="129">
        <f t="shared" si="26"/>
        <v>0</v>
      </c>
      <c r="AB66" s="130"/>
      <c r="AC66" s="130"/>
      <c r="AD66" s="115" t="s">
        <v>1273</v>
      </c>
      <c r="AE66" s="115" t="s">
        <v>1274</v>
      </c>
      <c r="AF66" s="115" t="s">
        <v>47</v>
      </c>
      <c r="AG66" s="115" t="s">
        <v>1315</v>
      </c>
      <c r="AH66" s="115"/>
      <c r="AI66" s="131">
        <v>3700</v>
      </c>
      <c r="AJ66" s="131">
        <f>IFERROR(_xlfn.XLOOKUP($AG66,[47]Sheet1!$E$108:$E$132,[47]Sheet1!F$108:F$132),0)</f>
        <v>0</v>
      </c>
      <c r="AK66" s="128">
        <f t="shared" si="27"/>
        <v>0</v>
      </c>
      <c r="AL66" s="131">
        <f>IFERROR(_xlfn.XLOOKUP($AG66,[47]Sheet1!$E$108:$E$132,[47]Sheet1!H$108:H$132),0)</f>
        <v>0</v>
      </c>
      <c r="AM66" s="128">
        <f t="shared" si="28"/>
        <v>0</v>
      </c>
      <c r="AN66" s="131">
        <f>IFERROR(_xlfn.XLOOKUP($AG66,[47]Sheet1!$E$108:$E$132,[47]Sheet1!G$108:G$132),0)</f>
        <v>0</v>
      </c>
      <c r="AO66" s="129">
        <f t="shared" si="29"/>
        <v>0</v>
      </c>
    </row>
    <row r="67" spans="2:41" x14ac:dyDescent="0.2">
      <c r="B67" s="110" t="s">
        <v>1273</v>
      </c>
      <c r="C67" s="110" t="s">
        <v>1274</v>
      </c>
      <c r="D67" s="110" t="s">
        <v>47</v>
      </c>
      <c r="E67" s="110" t="s">
        <v>1316</v>
      </c>
      <c r="F67" s="110"/>
      <c r="G67" s="116">
        <v>3974</v>
      </c>
      <c r="H67" s="115">
        <v>371</v>
      </c>
      <c r="I67" s="128">
        <f t="shared" si="21"/>
        <v>9.3356819325616502</v>
      </c>
      <c r="J67" s="115">
        <v>89</v>
      </c>
      <c r="K67" s="128">
        <f t="shared" si="22"/>
        <v>23.98921832884097</v>
      </c>
      <c r="L67" s="115">
        <v>17</v>
      </c>
      <c r="M67" s="129">
        <f t="shared" si="23"/>
        <v>4.5822102425876015</v>
      </c>
      <c r="N67" s="130"/>
      <c r="O67" s="130"/>
      <c r="P67" s="115" t="s">
        <v>1273</v>
      </c>
      <c r="Q67" s="115" t="s">
        <v>1274</v>
      </c>
      <c r="R67" s="115" t="s">
        <v>47</v>
      </c>
      <c r="S67" s="115" t="s">
        <v>1316</v>
      </c>
      <c r="T67" s="115"/>
      <c r="U67" s="131">
        <v>3974</v>
      </c>
      <c r="V67" s="131">
        <f>IFERROR(_xlfn.XLOOKUP($S67,'[47]Tgl 8'!$E$108:$E$156,'[47]Tgl 8'!$F$108:$F$156),0)</f>
        <v>0</v>
      </c>
      <c r="W67" s="128">
        <f t="shared" si="24"/>
        <v>0</v>
      </c>
      <c r="X67" s="131">
        <f>IFERROR(_xlfn.XLOOKUP($S67,'[47]Tgl 8'!$E$108:$E$156,'[47]Tgl 8'!$H$108:$H$156),0)</f>
        <v>0</v>
      </c>
      <c r="Y67" s="128">
        <f t="shared" si="25"/>
        <v>0</v>
      </c>
      <c r="Z67" s="131">
        <f>IFERROR(_xlfn.XLOOKUP($S67,'[47]Tgl 8'!$E$108:$E$156,'[47]Tgl 8'!$G$108:$G$156),0)</f>
        <v>0</v>
      </c>
      <c r="AA67" s="129">
        <f t="shared" si="26"/>
        <v>0</v>
      </c>
      <c r="AB67" s="130"/>
      <c r="AC67" s="130"/>
      <c r="AD67" s="115" t="s">
        <v>1273</v>
      </c>
      <c r="AE67" s="115" t="s">
        <v>1274</v>
      </c>
      <c r="AF67" s="115" t="s">
        <v>47</v>
      </c>
      <c r="AG67" s="115" t="s">
        <v>1316</v>
      </c>
      <c r="AH67" s="115"/>
      <c r="AI67" s="131">
        <v>3974</v>
      </c>
      <c r="AJ67" s="131">
        <f>IFERROR(_xlfn.XLOOKUP($AG67,[47]Sheet1!$E$108:$E$132,[47]Sheet1!F$108:F$132),0)</f>
        <v>0</v>
      </c>
      <c r="AK67" s="128">
        <f t="shared" si="27"/>
        <v>0</v>
      </c>
      <c r="AL67" s="131">
        <f>IFERROR(_xlfn.XLOOKUP($AG67,[47]Sheet1!$E$108:$E$132,[47]Sheet1!H$108:H$132),0)</f>
        <v>0</v>
      </c>
      <c r="AM67" s="128">
        <f t="shared" si="28"/>
        <v>0</v>
      </c>
      <c r="AN67" s="131">
        <f>IFERROR(_xlfn.XLOOKUP($AG67,[47]Sheet1!$E$108:$E$132,[47]Sheet1!G$108:G$132),0)</f>
        <v>0</v>
      </c>
      <c r="AO67" s="129">
        <f t="shared" si="29"/>
        <v>0</v>
      </c>
    </row>
    <row r="68" spans="2:41" x14ac:dyDescent="0.2">
      <c r="B68" s="110" t="s">
        <v>1273</v>
      </c>
      <c r="C68" s="110" t="s">
        <v>1274</v>
      </c>
      <c r="D68" s="110" t="s">
        <v>47</v>
      </c>
      <c r="E68" s="110" t="s">
        <v>1317</v>
      </c>
      <c r="F68" s="110"/>
      <c r="G68" s="116">
        <v>3992</v>
      </c>
      <c r="H68" s="115">
        <v>166</v>
      </c>
      <c r="I68" s="128">
        <f t="shared" si="21"/>
        <v>4.1583166332665327</v>
      </c>
      <c r="J68" s="115">
        <v>67</v>
      </c>
      <c r="K68" s="128">
        <f t="shared" si="22"/>
        <v>40.361445783132531</v>
      </c>
      <c r="L68" s="115">
        <v>35</v>
      </c>
      <c r="M68" s="129">
        <f t="shared" si="23"/>
        <v>21.08433734939759</v>
      </c>
      <c r="N68" s="130"/>
      <c r="O68" s="130"/>
      <c r="P68" s="115" t="s">
        <v>1273</v>
      </c>
      <c r="Q68" s="115" t="s">
        <v>1274</v>
      </c>
      <c r="R68" s="115" t="s">
        <v>47</v>
      </c>
      <c r="S68" s="115" t="s">
        <v>1317</v>
      </c>
      <c r="T68" s="115"/>
      <c r="U68" s="131">
        <v>3992</v>
      </c>
      <c r="V68" s="131">
        <f>IFERROR(_xlfn.XLOOKUP($S68,'[47]Tgl 8'!$E$108:$E$156,'[47]Tgl 8'!$F$108:$F$156),0)</f>
        <v>0</v>
      </c>
      <c r="W68" s="128">
        <f t="shared" si="24"/>
        <v>0</v>
      </c>
      <c r="X68" s="131">
        <f>IFERROR(_xlfn.XLOOKUP($S68,'[47]Tgl 8'!$E$108:$E$156,'[47]Tgl 8'!$H$108:$H$156),0)</f>
        <v>0</v>
      </c>
      <c r="Y68" s="128">
        <f t="shared" si="25"/>
        <v>0</v>
      </c>
      <c r="Z68" s="131">
        <f>IFERROR(_xlfn.XLOOKUP($S68,'[47]Tgl 8'!$E$108:$E$156,'[47]Tgl 8'!$G$108:$G$156),0)</f>
        <v>0</v>
      </c>
      <c r="AA68" s="129">
        <f t="shared" si="26"/>
        <v>0</v>
      </c>
      <c r="AB68" s="130"/>
      <c r="AC68" s="130"/>
      <c r="AD68" s="115" t="s">
        <v>1273</v>
      </c>
      <c r="AE68" s="115" t="s">
        <v>1274</v>
      </c>
      <c r="AF68" s="115" t="s">
        <v>47</v>
      </c>
      <c r="AG68" s="115" t="s">
        <v>1317</v>
      </c>
      <c r="AH68" s="115"/>
      <c r="AI68" s="131">
        <v>3992</v>
      </c>
      <c r="AJ68" s="131">
        <f>IFERROR(_xlfn.XLOOKUP($AG68,[47]Sheet1!$E$108:$E$132,[47]Sheet1!F$108:F$132),0)</f>
        <v>0</v>
      </c>
      <c r="AK68" s="128">
        <f t="shared" si="27"/>
        <v>0</v>
      </c>
      <c r="AL68" s="131">
        <f>IFERROR(_xlfn.XLOOKUP($AG68,[47]Sheet1!$E$108:$E$132,[47]Sheet1!H$108:H$132),0)</f>
        <v>0</v>
      </c>
      <c r="AM68" s="128">
        <f t="shared" si="28"/>
        <v>0</v>
      </c>
      <c r="AN68" s="131">
        <f>IFERROR(_xlfn.XLOOKUP($AG68,[47]Sheet1!$E$108:$E$132,[47]Sheet1!G$108:G$132),0)</f>
        <v>0</v>
      </c>
      <c r="AO68" s="129">
        <f t="shared" si="29"/>
        <v>0</v>
      </c>
    </row>
    <row r="69" spans="2:41" x14ac:dyDescent="0.2">
      <c r="B69" s="110" t="s">
        <v>1273</v>
      </c>
      <c r="C69" s="110" t="s">
        <v>1274</v>
      </c>
      <c r="D69" s="110" t="s">
        <v>47</v>
      </c>
      <c r="E69" s="110" t="s">
        <v>1318</v>
      </c>
      <c r="F69" s="110"/>
      <c r="G69" s="116">
        <v>4172</v>
      </c>
      <c r="H69" s="115">
        <v>396</v>
      </c>
      <c r="I69" s="128">
        <f t="shared" si="21"/>
        <v>9.4918504314477463</v>
      </c>
      <c r="J69" s="115">
        <v>90</v>
      </c>
      <c r="K69" s="128">
        <f t="shared" si="22"/>
        <v>22.727272727272727</v>
      </c>
      <c r="L69" s="115">
        <v>23</v>
      </c>
      <c r="M69" s="129">
        <f t="shared" si="23"/>
        <v>5.808080808080808</v>
      </c>
      <c r="N69" s="130"/>
      <c r="O69" s="130"/>
      <c r="P69" s="115" t="s">
        <v>1273</v>
      </c>
      <c r="Q69" s="115" t="s">
        <v>1274</v>
      </c>
      <c r="R69" s="115" t="s">
        <v>47</v>
      </c>
      <c r="S69" s="115" t="s">
        <v>1318</v>
      </c>
      <c r="T69" s="115"/>
      <c r="U69" s="131">
        <v>4172</v>
      </c>
      <c r="V69" s="131">
        <f>IFERROR(_xlfn.XLOOKUP($S69,'[47]Tgl 8'!$E$108:$E$156,'[47]Tgl 8'!$F$108:$F$156),0)</f>
        <v>0</v>
      </c>
      <c r="W69" s="128">
        <f t="shared" si="24"/>
        <v>0</v>
      </c>
      <c r="X69" s="131">
        <f>IFERROR(_xlfn.XLOOKUP($S69,'[47]Tgl 8'!$E$108:$E$156,'[47]Tgl 8'!$H$108:$H$156),0)</f>
        <v>0</v>
      </c>
      <c r="Y69" s="128">
        <f t="shared" si="25"/>
        <v>0</v>
      </c>
      <c r="Z69" s="131">
        <f>IFERROR(_xlfn.XLOOKUP($S69,'[47]Tgl 8'!$E$108:$E$156,'[47]Tgl 8'!$G$108:$G$156),0)</f>
        <v>0</v>
      </c>
      <c r="AA69" s="129">
        <f t="shared" si="26"/>
        <v>0</v>
      </c>
      <c r="AB69" s="130"/>
      <c r="AC69" s="130"/>
      <c r="AD69" s="115" t="s">
        <v>1273</v>
      </c>
      <c r="AE69" s="115" t="s">
        <v>1274</v>
      </c>
      <c r="AF69" s="115" t="s">
        <v>47</v>
      </c>
      <c r="AG69" s="115" t="s">
        <v>1318</v>
      </c>
      <c r="AH69" s="115"/>
      <c r="AI69" s="131">
        <v>4172</v>
      </c>
      <c r="AJ69" s="131">
        <f>IFERROR(_xlfn.XLOOKUP($AG69,[47]Sheet1!$E$108:$E$132,[47]Sheet1!F$108:F$132),0)</f>
        <v>0</v>
      </c>
      <c r="AK69" s="128">
        <f t="shared" si="27"/>
        <v>0</v>
      </c>
      <c r="AL69" s="131">
        <f>IFERROR(_xlfn.XLOOKUP($AG69,[47]Sheet1!$E$108:$E$132,[47]Sheet1!H$108:H$132),0)</f>
        <v>0</v>
      </c>
      <c r="AM69" s="128">
        <f t="shared" si="28"/>
        <v>0</v>
      </c>
      <c r="AN69" s="131">
        <f>IFERROR(_xlfn.XLOOKUP($AG69,[47]Sheet1!$E$108:$E$132,[47]Sheet1!G$108:G$132),0)</f>
        <v>0</v>
      </c>
      <c r="AO69" s="129">
        <f t="shared" si="29"/>
        <v>0</v>
      </c>
    </row>
    <row r="70" spans="2:41" x14ac:dyDescent="0.2">
      <c r="B70" s="110" t="s">
        <v>1273</v>
      </c>
      <c r="C70" s="110" t="s">
        <v>1274</v>
      </c>
      <c r="D70" s="110" t="s">
        <v>47</v>
      </c>
      <c r="E70" s="110" t="s">
        <v>1319</v>
      </c>
      <c r="F70" s="110"/>
      <c r="G70" s="116">
        <v>3516</v>
      </c>
      <c r="H70" s="115">
        <v>277</v>
      </c>
      <c r="I70" s="128">
        <f t="shared" si="21"/>
        <v>7.8782707622298069</v>
      </c>
      <c r="J70" s="115">
        <v>77</v>
      </c>
      <c r="K70" s="128">
        <f t="shared" si="22"/>
        <v>27.797833935018051</v>
      </c>
      <c r="L70" s="115">
        <v>57</v>
      </c>
      <c r="M70" s="129">
        <f t="shared" si="23"/>
        <v>20.577617328519857</v>
      </c>
      <c r="N70" s="130"/>
      <c r="O70" s="130"/>
      <c r="P70" s="115" t="s">
        <v>1273</v>
      </c>
      <c r="Q70" s="115" t="s">
        <v>1274</v>
      </c>
      <c r="R70" s="115" t="s">
        <v>47</v>
      </c>
      <c r="S70" s="115" t="s">
        <v>1319</v>
      </c>
      <c r="T70" s="115"/>
      <c r="U70" s="131">
        <v>3516</v>
      </c>
      <c r="V70" s="131">
        <f>IFERROR(_xlfn.XLOOKUP($S70,'[47]Tgl 8'!$E$108:$E$156,'[47]Tgl 8'!$F$108:$F$156),0)</f>
        <v>0</v>
      </c>
      <c r="W70" s="128">
        <f t="shared" si="24"/>
        <v>0</v>
      </c>
      <c r="X70" s="131">
        <f>IFERROR(_xlfn.XLOOKUP($S70,'[47]Tgl 8'!$E$108:$E$156,'[47]Tgl 8'!$H$108:$H$156),0)</f>
        <v>0</v>
      </c>
      <c r="Y70" s="128">
        <f t="shared" si="25"/>
        <v>0</v>
      </c>
      <c r="Z70" s="131">
        <f>IFERROR(_xlfn.XLOOKUP($S70,'[47]Tgl 8'!$E$108:$E$156,'[47]Tgl 8'!$G$108:$G$156),0)</f>
        <v>0</v>
      </c>
      <c r="AA70" s="129">
        <f t="shared" si="26"/>
        <v>0</v>
      </c>
      <c r="AB70" s="130"/>
      <c r="AC70" s="130"/>
      <c r="AD70" s="115" t="s">
        <v>1273</v>
      </c>
      <c r="AE70" s="115" t="s">
        <v>1274</v>
      </c>
      <c r="AF70" s="115" t="s">
        <v>47</v>
      </c>
      <c r="AG70" s="115" t="s">
        <v>1319</v>
      </c>
      <c r="AH70" s="115"/>
      <c r="AI70" s="131">
        <v>3516</v>
      </c>
      <c r="AJ70" s="131">
        <f>IFERROR(_xlfn.XLOOKUP($AG70,[47]Sheet1!$E$108:$E$132,[47]Sheet1!F$108:F$132),0)</f>
        <v>122</v>
      </c>
      <c r="AK70" s="128">
        <f t="shared" si="27"/>
        <v>3.4698521046643918</v>
      </c>
      <c r="AL70" s="131">
        <f>IFERROR(_xlfn.XLOOKUP($AG70,[47]Sheet1!$E$108:$E$132,[47]Sheet1!H$108:H$132),0)</f>
        <v>9</v>
      </c>
      <c r="AM70" s="128">
        <f t="shared" si="28"/>
        <v>7.3770491803278686</v>
      </c>
      <c r="AN70" s="131">
        <f>IFERROR(_xlfn.XLOOKUP($AG70,[47]Sheet1!$E$108:$E$132,[47]Sheet1!G$108:G$132),0)</f>
        <v>27</v>
      </c>
      <c r="AO70" s="129">
        <f t="shared" si="29"/>
        <v>22.131147540983608</v>
      </c>
    </row>
    <row r="71" spans="2:41" x14ac:dyDescent="0.2">
      <c r="B71" s="110" t="s">
        <v>1273</v>
      </c>
      <c r="C71" s="110" t="s">
        <v>1274</v>
      </c>
      <c r="D71" s="110" t="s">
        <v>47</v>
      </c>
      <c r="E71" s="110" t="s">
        <v>1320</v>
      </c>
      <c r="F71" s="110"/>
      <c r="G71" s="116">
        <v>4067</v>
      </c>
      <c r="H71" s="115">
        <v>165</v>
      </c>
      <c r="I71" s="128">
        <f t="shared" si="21"/>
        <v>4.0570445045488075</v>
      </c>
      <c r="J71" s="115">
        <v>65</v>
      </c>
      <c r="K71" s="128">
        <f t="shared" si="22"/>
        <v>39.393939393939398</v>
      </c>
      <c r="L71" s="115">
        <v>37</v>
      </c>
      <c r="M71" s="129">
        <f t="shared" si="23"/>
        <v>22.424242424242426</v>
      </c>
      <c r="N71" s="130"/>
      <c r="O71" s="130"/>
      <c r="P71" s="115" t="s">
        <v>1273</v>
      </c>
      <c r="Q71" s="115" t="s">
        <v>1274</v>
      </c>
      <c r="R71" s="115" t="s">
        <v>47</v>
      </c>
      <c r="S71" s="115" t="s">
        <v>1320</v>
      </c>
      <c r="T71" s="115"/>
      <c r="U71" s="131">
        <v>4067</v>
      </c>
      <c r="V71" s="131">
        <v>67</v>
      </c>
      <c r="W71" s="128">
        <f t="shared" si="24"/>
        <v>1.64740595033194</v>
      </c>
      <c r="X71" s="131">
        <v>6</v>
      </c>
      <c r="Y71" s="128">
        <f t="shared" si="25"/>
        <v>8.9552238805970141</v>
      </c>
      <c r="Z71" s="131">
        <v>24</v>
      </c>
      <c r="AA71" s="129">
        <f t="shared" si="26"/>
        <v>35.820895522388057</v>
      </c>
      <c r="AB71" s="130"/>
      <c r="AC71" s="130"/>
      <c r="AD71" s="115" t="s">
        <v>1273</v>
      </c>
      <c r="AE71" s="115" t="s">
        <v>1274</v>
      </c>
      <c r="AF71" s="115" t="s">
        <v>47</v>
      </c>
      <c r="AG71" s="115" t="s">
        <v>1320</v>
      </c>
      <c r="AH71" s="115"/>
      <c r="AI71" s="131">
        <v>4067</v>
      </c>
      <c r="AJ71" s="131">
        <f>IFERROR(_xlfn.XLOOKUP($AG71,[47]Sheet1!$E$108:$E$132,[47]Sheet1!F$108:F$132),0)</f>
        <v>0</v>
      </c>
      <c r="AK71" s="128">
        <f t="shared" si="27"/>
        <v>0</v>
      </c>
      <c r="AL71" s="131">
        <f>IFERROR(_xlfn.XLOOKUP($AG71,[47]Sheet1!$E$108:$E$132,[47]Sheet1!H$108:H$132),0)</f>
        <v>0</v>
      </c>
      <c r="AM71" s="128">
        <f t="shared" si="28"/>
        <v>0</v>
      </c>
      <c r="AN71" s="131">
        <f>IFERROR(_xlfn.XLOOKUP($AG71,[47]Sheet1!$E$108:$E$132,[47]Sheet1!G$108:G$132),0)</f>
        <v>0</v>
      </c>
      <c r="AO71" s="129">
        <f t="shared" si="29"/>
        <v>0</v>
      </c>
    </row>
    <row r="72" spans="2:41" x14ac:dyDescent="0.2">
      <c r="B72" s="110" t="s">
        <v>1273</v>
      </c>
      <c r="C72" s="110" t="s">
        <v>1274</v>
      </c>
      <c r="D72" s="110" t="s">
        <v>47</v>
      </c>
      <c r="E72" s="110" t="s">
        <v>1321</v>
      </c>
      <c r="F72" s="110"/>
      <c r="G72" s="116">
        <v>3561</v>
      </c>
      <c r="H72" s="115">
        <v>246</v>
      </c>
      <c r="I72" s="128">
        <f t="shared" si="21"/>
        <v>6.9081718618365633</v>
      </c>
      <c r="J72" s="115">
        <v>167</v>
      </c>
      <c r="K72" s="128">
        <f t="shared" si="22"/>
        <v>67.886178861788622</v>
      </c>
      <c r="L72" s="115">
        <v>44</v>
      </c>
      <c r="M72" s="129">
        <f t="shared" si="23"/>
        <v>17.886178861788618</v>
      </c>
      <c r="N72" s="130"/>
      <c r="O72" s="130"/>
      <c r="P72" s="115" t="s">
        <v>1273</v>
      </c>
      <c r="Q72" s="115" t="s">
        <v>1274</v>
      </c>
      <c r="R72" s="115" t="s">
        <v>47</v>
      </c>
      <c r="S72" s="115" t="s">
        <v>1321</v>
      </c>
      <c r="T72" s="115"/>
      <c r="U72" s="131">
        <v>3561</v>
      </c>
      <c r="V72" s="131">
        <f>IFERROR(_xlfn.XLOOKUP($S72,'[47]Tgl 8'!$E$108:$E$156,'[47]Tgl 8'!$F$108:$F$156),0)</f>
        <v>36</v>
      </c>
      <c r="W72" s="128">
        <f t="shared" si="24"/>
        <v>1.0109519797809605</v>
      </c>
      <c r="X72" s="131">
        <f>IFERROR(_xlfn.XLOOKUP($S72,'[47]Tgl 8'!$E$108:$E$156,'[47]Tgl 8'!$H$108:$H$156),0)</f>
        <v>4</v>
      </c>
      <c r="Y72" s="128">
        <f t="shared" si="25"/>
        <v>11.111111111111111</v>
      </c>
      <c r="Z72" s="131">
        <f>IFERROR(_xlfn.XLOOKUP($S72,'[47]Tgl 8'!$E$108:$E$156,'[47]Tgl 8'!$G$108:$G$156),0)</f>
        <v>20</v>
      </c>
      <c r="AA72" s="129">
        <f t="shared" si="26"/>
        <v>55.555555555555557</v>
      </c>
      <c r="AB72" s="130"/>
      <c r="AC72" s="130"/>
      <c r="AD72" s="115" t="s">
        <v>1273</v>
      </c>
      <c r="AE72" s="115" t="s">
        <v>1274</v>
      </c>
      <c r="AF72" s="115" t="s">
        <v>47</v>
      </c>
      <c r="AG72" s="115" t="s">
        <v>1321</v>
      </c>
      <c r="AH72" s="115"/>
      <c r="AI72" s="131">
        <v>3561</v>
      </c>
      <c r="AJ72" s="131">
        <f>IFERROR(_xlfn.XLOOKUP($AG72,[47]Sheet1!$E$108:$E$132,[47]Sheet1!F$108:F$132),0)</f>
        <v>141</v>
      </c>
      <c r="AK72" s="128">
        <f t="shared" si="27"/>
        <v>3.9595619208087616</v>
      </c>
      <c r="AL72" s="131">
        <f>IFERROR(_xlfn.XLOOKUP($AG72,[47]Sheet1!$E$108:$E$132,[47]Sheet1!H$108:H$132),0)</f>
        <v>12</v>
      </c>
      <c r="AM72" s="128">
        <f t="shared" si="28"/>
        <v>8.5106382978723403</v>
      </c>
      <c r="AN72" s="131">
        <f>IFERROR(_xlfn.XLOOKUP($AG72,[47]Sheet1!$E$108:$E$132,[47]Sheet1!G$108:G$132),0)</f>
        <v>35</v>
      </c>
      <c r="AO72" s="129">
        <f t="shared" si="29"/>
        <v>24.822695035460995</v>
      </c>
    </row>
    <row r="73" spans="2:41" x14ac:dyDescent="0.2">
      <c r="B73" s="110" t="s">
        <v>1273</v>
      </c>
      <c r="C73" s="110" t="s">
        <v>1274</v>
      </c>
      <c r="D73" s="110" t="s">
        <v>47</v>
      </c>
      <c r="E73" s="110" t="s">
        <v>1322</v>
      </c>
      <c r="F73" s="110"/>
      <c r="G73" s="116">
        <v>2493</v>
      </c>
      <c r="H73" s="115">
        <v>372</v>
      </c>
      <c r="I73" s="128">
        <f t="shared" si="21"/>
        <v>14.921780986762936</v>
      </c>
      <c r="J73" s="115">
        <v>132</v>
      </c>
      <c r="K73" s="128">
        <f t="shared" si="22"/>
        <v>35.483870967741936</v>
      </c>
      <c r="L73" s="115">
        <v>67</v>
      </c>
      <c r="M73" s="129">
        <f t="shared" si="23"/>
        <v>18.01075268817204</v>
      </c>
      <c r="N73" s="130"/>
      <c r="O73" s="130"/>
      <c r="P73" s="115" t="s">
        <v>1273</v>
      </c>
      <c r="Q73" s="115" t="s">
        <v>1274</v>
      </c>
      <c r="R73" s="115" t="s">
        <v>47</v>
      </c>
      <c r="S73" s="115" t="s">
        <v>1322</v>
      </c>
      <c r="T73" s="115"/>
      <c r="U73" s="131">
        <v>2493</v>
      </c>
      <c r="V73" s="131">
        <f>IFERROR(_xlfn.XLOOKUP($S73,'[47]Tgl 8'!$E$108:$E$156,'[47]Tgl 8'!$F$108:$F$156),0)</f>
        <v>0</v>
      </c>
      <c r="W73" s="128">
        <f t="shared" si="24"/>
        <v>0</v>
      </c>
      <c r="X73" s="131">
        <f>IFERROR(_xlfn.XLOOKUP($S73,'[47]Tgl 8'!$E$108:$E$156,'[47]Tgl 8'!$H$108:$H$156),0)</f>
        <v>0</v>
      </c>
      <c r="Y73" s="128">
        <f t="shared" si="25"/>
        <v>0</v>
      </c>
      <c r="Z73" s="131">
        <f>IFERROR(_xlfn.XLOOKUP($S73,'[47]Tgl 8'!$E$108:$E$156,'[47]Tgl 8'!$G$108:$G$156),0)</f>
        <v>0</v>
      </c>
      <c r="AA73" s="129">
        <f t="shared" si="26"/>
        <v>0</v>
      </c>
      <c r="AB73" s="130"/>
      <c r="AC73" s="130"/>
      <c r="AD73" s="115" t="s">
        <v>1273</v>
      </c>
      <c r="AE73" s="115" t="s">
        <v>1274</v>
      </c>
      <c r="AF73" s="115" t="s">
        <v>47</v>
      </c>
      <c r="AG73" s="115" t="s">
        <v>1322</v>
      </c>
      <c r="AH73" s="115"/>
      <c r="AI73" s="131">
        <v>2493</v>
      </c>
      <c r="AJ73" s="131">
        <f>IFERROR(_xlfn.XLOOKUP($AG73,[47]Sheet1!$E$108:$E$132,[47]Sheet1!F$108:F$132),0)</f>
        <v>0</v>
      </c>
      <c r="AK73" s="128">
        <f t="shared" si="27"/>
        <v>0</v>
      </c>
      <c r="AL73" s="131">
        <f>IFERROR(_xlfn.XLOOKUP($AG73,[47]Sheet1!$E$108:$E$132,[47]Sheet1!H$108:H$132),0)</f>
        <v>0</v>
      </c>
      <c r="AM73" s="128">
        <f t="shared" si="28"/>
        <v>0</v>
      </c>
      <c r="AN73" s="131">
        <f>IFERROR(_xlfn.XLOOKUP($AG73,[47]Sheet1!$E$108:$E$132,[47]Sheet1!G$108:G$132),0)</f>
        <v>0</v>
      </c>
      <c r="AO73" s="129">
        <f t="shared" si="29"/>
        <v>0</v>
      </c>
    </row>
    <row r="74" spans="2:41" x14ac:dyDescent="0.2">
      <c r="B74" s="110" t="s">
        <v>1273</v>
      </c>
      <c r="C74" s="110" t="s">
        <v>1274</v>
      </c>
      <c r="D74" s="110" t="s">
        <v>47</v>
      </c>
      <c r="E74" s="110" t="s">
        <v>1323</v>
      </c>
      <c r="F74" s="110"/>
      <c r="G74" s="116">
        <v>4604</v>
      </c>
      <c r="H74" s="115">
        <v>188</v>
      </c>
      <c r="I74" s="128">
        <f t="shared" si="21"/>
        <v>4.0834057341442227</v>
      </c>
      <c r="J74" s="115">
        <v>92</v>
      </c>
      <c r="K74" s="128">
        <f t="shared" si="22"/>
        <v>48.936170212765958</v>
      </c>
      <c r="L74" s="115">
        <v>23</v>
      </c>
      <c r="M74" s="129">
        <f t="shared" si="23"/>
        <v>12.23404255319149</v>
      </c>
      <c r="N74" s="130"/>
      <c r="O74" s="130"/>
      <c r="P74" s="115" t="s">
        <v>1273</v>
      </c>
      <c r="Q74" s="115" t="s">
        <v>1274</v>
      </c>
      <c r="R74" s="115" t="s">
        <v>47</v>
      </c>
      <c r="S74" s="115" t="s">
        <v>1323</v>
      </c>
      <c r="T74" s="115"/>
      <c r="U74" s="131">
        <v>4604</v>
      </c>
      <c r="V74" s="131">
        <f>IFERROR(_xlfn.XLOOKUP($S74,'[47]Tgl 8'!$E$108:$E$156,'[47]Tgl 8'!$F$108:$F$156),0)</f>
        <v>0</v>
      </c>
      <c r="W74" s="128">
        <f t="shared" si="24"/>
        <v>0</v>
      </c>
      <c r="X74" s="131">
        <f>IFERROR(_xlfn.XLOOKUP($S74,'[47]Tgl 8'!$E$108:$E$156,'[47]Tgl 8'!$H$108:$H$156),0)</f>
        <v>0</v>
      </c>
      <c r="Y74" s="128">
        <f t="shared" si="25"/>
        <v>0</v>
      </c>
      <c r="Z74" s="131">
        <f>IFERROR(_xlfn.XLOOKUP($S74,'[47]Tgl 8'!$E$108:$E$156,'[47]Tgl 8'!$G$108:$G$156),0)</f>
        <v>0</v>
      </c>
      <c r="AA74" s="129">
        <f t="shared" si="26"/>
        <v>0</v>
      </c>
      <c r="AB74" s="130"/>
      <c r="AC74" s="130"/>
      <c r="AD74" s="115" t="s">
        <v>1273</v>
      </c>
      <c r="AE74" s="115" t="s">
        <v>1274</v>
      </c>
      <c r="AF74" s="115" t="s">
        <v>47</v>
      </c>
      <c r="AG74" s="115" t="s">
        <v>1323</v>
      </c>
      <c r="AH74" s="115"/>
      <c r="AI74" s="131">
        <v>4604</v>
      </c>
      <c r="AJ74" s="131">
        <f>IFERROR(_xlfn.XLOOKUP($AG74,[47]Sheet1!$E$108:$E$132,[47]Sheet1!F$108:F$132),0)</f>
        <v>0</v>
      </c>
      <c r="AK74" s="128">
        <f t="shared" si="27"/>
        <v>0</v>
      </c>
      <c r="AL74" s="131">
        <f>IFERROR(_xlfn.XLOOKUP($AG74,[47]Sheet1!$E$108:$E$132,[47]Sheet1!H$108:H$132),0)</f>
        <v>0</v>
      </c>
      <c r="AM74" s="128">
        <f t="shared" si="28"/>
        <v>0</v>
      </c>
      <c r="AN74" s="131">
        <f>IFERROR(_xlfn.XLOOKUP($AG74,[47]Sheet1!$E$108:$E$132,[47]Sheet1!G$108:G$132),0)</f>
        <v>0</v>
      </c>
      <c r="AO74" s="129">
        <f t="shared" si="29"/>
        <v>0</v>
      </c>
    </row>
    <row r="75" spans="2:41" x14ac:dyDescent="0.2">
      <c r="B75" s="110" t="s">
        <v>1273</v>
      </c>
      <c r="C75" s="110" t="s">
        <v>1274</v>
      </c>
      <c r="D75" s="110" t="s">
        <v>47</v>
      </c>
      <c r="E75" s="110" t="s">
        <v>1324</v>
      </c>
      <c r="F75" s="110"/>
      <c r="G75" s="116">
        <v>2895</v>
      </c>
      <c r="H75" s="115">
        <v>198</v>
      </c>
      <c r="I75" s="128">
        <f t="shared" si="21"/>
        <v>6.8393782383419692</v>
      </c>
      <c r="J75" s="115">
        <v>99</v>
      </c>
      <c r="K75" s="128">
        <f t="shared" si="22"/>
        <v>50</v>
      </c>
      <c r="L75" s="115">
        <v>77</v>
      </c>
      <c r="M75" s="129">
        <f t="shared" si="23"/>
        <v>38.888888888888886</v>
      </c>
      <c r="N75" s="130"/>
      <c r="O75" s="130"/>
      <c r="P75" s="115" t="s">
        <v>1273</v>
      </c>
      <c r="Q75" s="115" t="s">
        <v>1274</v>
      </c>
      <c r="R75" s="115" t="s">
        <v>47</v>
      </c>
      <c r="S75" s="115" t="s">
        <v>1324</v>
      </c>
      <c r="T75" s="115"/>
      <c r="U75" s="131">
        <v>2895</v>
      </c>
      <c r="V75" s="131">
        <f>IFERROR(_xlfn.XLOOKUP($S75,'[47]Tgl 8'!$E$108:$E$156,'[47]Tgl 8'!$F$108:$F$156),0)</f>
        <v>30</v>
      </c>
      <c r="W75" s="128">
        <f t="shared" si="24"/>
        <v>1.0362694300518136</v>
      </c>
      <c r="X75" s="131">
        <f>IFERROR(_xlfn.XLOOKUP($S75,'[47]Tgl 8'!$E$108:$E$156,'[47]Tgl 8'!$H$108:$H$156),0)</f>
        <v>6</v>
      </c>
      <c r="Y75" s="128">
        <f t="shared" si="25"/>
        <v>20</v>
      </c>
      <c r="Z75" s="131">
        <f>IFERROR(_xlfn.XLOOKUP($S75,'[47]Tgl 8'!$E$108:$E$156,'[47]Tgl 8'!$G$108:$G$156),0)</f>
        <v>10</v>
      </c>
      <c r="AA75" s="129">
        <f t="shared" si="26"/>
        <v>33.333333333333336</v>
      </c>
      <c r="AB75" s="130"/>
      <c r="AC75" s="130"/>
      <c r="AD75" s="115" t="s">
        <v>1273</v>
      </c>
      <c r="AE75" s="115" t="s">
        <v>1274</v>
      </c>
      <c r="AF75" s="115" t="s">
        <v>47</v>
      </c>
      <c r="AG75" s="115" t="s">
        <v>1324</v>
      </c>
      <c r="AH75" s="115"/>
      <c r="AI75" s="131">
        <v>2895</v>
      </c>
      <c r="AJ75" s="131">
        <f>IFERROR(_xlfn.XLOOKUP($AG75,[47]Sheet1!$E$108:$E$132,[47]Sheet1!F$108:F$132),0)</f>
        <v>221</v>
      </c>
      <c r="AK75" s="128">
        <f t="shared" si="27"/>
        <v>7.6338514680483591</v>
      </c>
      <c r="AL75" s="131">
        <f>IFERROR(_xlfn.XLOOKUP($AG75,[47]Sheet1!$E$108:$E$132,[47]Sheet1!H$108:H$132),0)</f>
        <v>99</v>
      </c>
      <c r="AM75" s="128">
        <f t="shared" si="28"/>
        <v>44.796380090497735</v>
      </c>
      <c r="AN75" s="131">
        <f>IFERROR(_xlfn.XLOOKUP($AG75,[47]Sheet1!$E$108:$E$132,[47]Sheet1!G$108:G$132),0)</f>
        <v>33</v>
      </c>
      <c r="AO75" s="129">
        <f t="shared" si="29"/>
        <v>14.932126696832579</v>
      </c>
    </row>
    <row r="76" spans="2:41" x14ac:dyDescent="0.2">
      <c r="B76" s="110" t="s">
        <v>1273</v>
      </c>
      <c r="C76" s="110" t="s">
        <v>1274</v>
      </c>
      <c r="D76" s="110" t="s">
        <v>47</v>
      </c>
      <c r="E76" s="110" t="s">
        <v>1325</v>
      </c>
      <c r="F76" s="110"/>
      <c r="G76" s="116">
        <v>3614</v>
      </c>
      <c r="H76" s="115">
        <v>132</v>
      </c>
      <c r="I76" s="128">
        <f t="shared" si="21"/>
        <v>3.6524626452684008</v>
      </c>
      <c r="J76" s="115">
        <v>54</v>
      </c>
      <c r="K76" s="128">
        <f t="shared" si="22"/>
        <v>40.909090909090907</v>
      </c>
      <c r="L76" s="115">
        <v>16</v>
      </c>
      <c r="M76" s="129">
        <f t="shared" si="23"/>
        <v>12.121212121212121</v>
      </c>
      <c r="N76" s="130"/>
      <c r="O76" s="130"/>
      <c r="P76" s="115" t="s">
        <v>1273</v>
      </c>
      <c r="Q76" s="115" t="s">
        <v>1274</v>
      </c>
      <c r="R76" s="115" t="s">
        <v>47</v>
      </c>
      <c r="S76" s="115" t="s">
        <v>1325</v>
      </c>
      <c r="T76" s="115"/>
      <c r="U76" s="131">
        <v>3614</v>
      </c>
      <c r="V76" s="131">
        <f>IFERROR(_xlfn.XLOOKUP($S76,'[47]Tgl 8'!$E$108:$E$156,'[47]Tgl 8'!$F$108:$F$156),0)</f>
        <v>0</v>
      </c>
      <c r="W76" s="128">
        <f t="shared" si="24"/>
        <v>0</v>
      </c>
      <c r="X76" s="131">
        <f>IFERROR(_xlfn.XLOOKUP($S76,'[47]Tgl 8'!$E$108:$E$156,'[47]Tgl 8'!$H$108:$H$156),0)</f>
        <v>0</v>
      </c>
      <c r="Y76" s="128">
        <f t="shared" si="25"/>
        <v>0</v>
      </c>
      <c r="Z76" s="131">
        <f>IFERROR(_xlfn.XLOOKUP($S76,'[47]Tgl 8'!$E$108:$E$156,'[47]Tgl 8'!$G$108:$G$156),0)</f>
        <v>0</v>
      </c>
      <c r="AA76" s="129">
        <f t="shared" si="26"/>
        <v>0</v>
      </c>
      <c r="AB76" s="130"/>
      <c r="AC76" s="130"/>
      <c r="AD76" s="115" t="s">
        <v>1273</v>
      </c>
      <c r="AE76" s="115" t="s">
        <v>1274</v>
      </c>
      <c r="AF76" s="115" t="s">
        <v>47</v>
      </c>
      <c r="AG76" s="115" t="s">
        <v>1325</v>
      </c>
      <c r="AH76" s="115"/>
      <c r="AI76" s="131">
        <v>3614</v>
      </c>
      <c r="AJ76" s="131">
        <f>IFERROR(_xlfn.XLOOKUP($AG76,[47]Sheet1!$E$108:$E$132,[47]Sheet1!F$108:F$132),0)</f>
        <v>0</v>
      </c>
      <c r="AK76" s="128">
        <f t="shared" si="27"/>
        <v>0</v>
      </c>
      <c r="AL76" s="131">
        <f>IFERROR(_xlfn.XLOOKUP($AG76,[47]Sheet1!$E$108:$E$132,[47]Sheet1!H$108:H$132),0)</f>
        <v>0</v>
      </c>
      <c r="AM76" s="128">
        <f t="shared" si="28"/>
        <v>0</v>
      </c>
      <c r="AN76" s="131">
        <f>IFERROR(_xlfn.XLOOKUP($AG76,[47]Sheet1!$E$108:$E$132,[47]Sheet1!G$108:G$132),0)</f>
        <v>0</v>
      </c>
      <c r="AO76" s="129">
        <f t="shared" si="29"/>
        <v>0</v>
      </c>
    </row>
    <row r="77" spans="2:41" x14ac:dyDescent="0.2">
      <c r="B77" s="110" t="s">
        <v>1273</v>
      </c>
      <c r="C77" s="110" t="s">
        <v>1274</v>
      </c>
      <c r="D77" s="110" t="s">
        <v>47</v>
      </c>
      <c r="E77" s="110" t="s">
        <v>1326</v>
      </c>
      <c r="F77" s="110"/>
      <c r="G77" s="116">
        <v>4040</v>
      </c>
      <c r="H77" s="115">
        <v>138</v>
      </c>
      <c r="I77" s="128">
        <f t="shared" si="21"/>
        <v>3.4158415841584158</v>
      </c>
      <c r="J77" s="115">
        <v>68</v>
      </c>
      <c r="K77" s="128">
        <f t="shared" si="22"/>
        <v>49.275362318840585</v>
      </c>
      <c r="L77" s="115">
        <v>31</v>
      </c>
      <c r="M77" s="129">
        <f t="shared" si="23"/>
        <v>22.463768115942031</v>
      </c>
      <c r="N77" s="130"/>
      <c r="O77" s="130"/>
      <c r="P77" s="115" t="s">
        <v>1273</v>
      </c>
      <c r="Q77" s="115" t="s">
        <v>1274</v>
      </c>
      <c r="R77" s="115" t="s">
        <v>47</v>
      </c>
      <c r="S77" s="115" t="s">
        <v>1326</v>
      </c>
      <c r="T77" s="115"/>
      <c r="U77" s="131">
        <v>4040</v>
      </c>
      <c r="V77" s="131">
        <f>IFERROR(_xlfn.XLOOKUP($S77,'[47]Tgl 8'!$E$108:$E$156,'[47]Tgl 8'!$F$108:$F$156),0)</f>
        <v>0</v>
      </c>
      <c r="W77" s="128">
        <f t="shared" si="24"/>
        <v>0</v>
      </c>
      <c r="X77" s="131">
        <f>IFERROR(_xlfn.XLOOKUP($S77,'[47]Tgl 8'!$E$108:$E$156,'[47]Tgl 8'!$H$108:$H$156),0)</f>
        <v>0</v>
      </c>
      <c r="Y77" s="128">
        <f t="shared" si="25"/>
        <v>0</v>
      </c>
      <c r="Z77" s="131">
        <f>IFERROR(_xlfn.XLOOKUP($S77,'[47]Tgl 8'!$E$108:$E$156,'[47]Tgl 8'!$G$108:$G$156),0)</f>
        <v>0</v>
      </c>
      <c r="AA77" s="129">
        <f t="shared" si="26"/>
        <v>0</v>
      </c>
      <c r="AB77" s="130"/>
      <c r="AC77" s="130"/>
      <c r="AD77" s="115" t="s">
        <v>1273</v>
      </c>
      <c r="AE77" s="115" t="s">
        <v>1274</v>
      </c>
      <c r="AF77" s="115" t="s">
        <v>47</v>
      </c>
      <c r="AG77" s="115" t="s">
        <v>1326</v>
      </c>
      <c r="AH77" s="115"/>
      <c r="AI77" s="131">
        <v>4040</v>
      </c>
      <c r="AJ77" s="131">
        <f>IFERROR(_xlfn.XLOOKUP($AG77,[47]Sheet1!$E$108:$E$132,[47]Sheet1!F$108:F$132),0)</f>
        <v>0</v>
      </c>
      <c r="AK77" s="128">
        <f t="shared" si="27"/>
        <v>0</v>
      </c>
      <c r="AL77" s="131">
        <f>IFERROR(_xlfn.XLOOKUP($AG77,[47]Sheet1!$E$108:$E$132,[47]Sheet1!H$108:H$132),0)</f>
        <v>0</v>
      </c>
      <c r="AM77" s="128">
        <f t="shared" si="28"/>
        <v>0</v>
      </c>
      <c r="AN77" s="131">
        <f>IFERROR(_xlfn.XLOOKUP($AG77,[47]Sheet1!$E$108:$E$132,[47]Sheet1!G$108:G$132),0)</f>
        <v>0</v>
      </c>
      <c r="AO77" s="129">
        <f t="shared" si="29"/>
        <v>0</v>
      </c>
    </row>
    <row r="78" spans="2:41" x14ac:dyDescent="0.2">
      <c r="B78" s="110" t="s">
        <v>1273</v>
      </c>
      <c r="C78" s="110" t="s">
        <v>1274</v>
      </c>
      <c r="D78" s="110" t="s">
        <v>47</v>
      </c>
      <c r="E78" s="110" t="s">
        <v>1327</v>
      </c>
      <c r="F78" s="110"/>
      <c r="G78" s="116">
        <v>3835</v>
      </c>
      <c r="H78" s="115">
        <v>145</v>
      </c>
      <c r="I78" s="128">
        <f t="shared" si="21"/>
        <v>3.7809647979139505</v>
      </c>
      <c r="J78" s="115">
        <v>74</v>
      </c>
      <c r="K78" s="128">
        <f t="shared" si="22"/>
        <v>51.03448275862069</v>
      </c>
      <c r="L78" s="115">
        <v>33</v>
      </c>
      <c r="M78" s="129">
        <f t="shared" si="23"/>
        <v>22.758620689655174</v>
      </c>
      <c r="N78" s="130"/>
      <c r="O78" s="130"/>
      <c r="P78" s="115" t="s">
        <v>1273</v>
      </c>
      <c r="Q78" s="115" t="s">
        <v>1274</v>
      </c>
      <c r="R78" s="115" t="s">
        <v>47</v>
      </c>
      <c r="S78" s="115" t="s">
        <v>1327</v>
      </c>
      <c r="T78" s="115"/>
      <c r="U78" s="131">
        <v>3835</v>
      </c>
      <c r="V78" s="131">
        <f>IFERROR(_xlfn.XLOOKUP($S78,'[47]Tgl 8'!$E$108:$E$156,'[47]Tgl 8'!$F$108:$F$156),0)</f>
        <v>0</v>
      </c>
      <c r="W78" s="128">
        <f t="shared" si="24"/>
        <v>0</v>
      </c>
      <c r="X78" s="131">
        <f>IFERROR(_xlfn.XLOOKUP($S78,'[47]Tgl 8'!$E$108:$E$156,'[47]Tgl 8'!$H$108:$H$156),0)</f>
        <v>0</v>
      </c>
      <c r="Y78" s="128">
        <f t="shared" si="25"/>
        <v>0</v>
      </c>
      <c r="Z78" s="131">
        <f>IFERROR(_xlfn.XLOOKUP($S78,'[47]Tgl 8'!$E$108:$E$156,'[47]Tgl 8'!$G$108:$G$156),0)</f>
        <v>0</v>
      </c>
      <c r="AA78" s="129">
        <f t="shared" si="26"/>
        <v>0</v>
      </c>
      <c r="AB78" s="130"/>
      <c r="AC78" s="130"/>
      <c r="AD78" s="115" t="s">
        <v>1273</v>
      </c>
      <c r="AE78" s="115" t="s">
        <v>1274</v>
      </c>
      <c r="AF78" s="115" t="s">
        <v>47</v>
      </c>
      <c r="AG78" s="115" t="s">
        <v>1327</v>
      </c>
      <c r="AH78" s="115"/>
      <c r="AI78" s="131">
        <v>3835</v>
      </c>
      <c r="AJ78" s="131">
        <f>IFERROR(_xlfn.XLOOKUP($AG78,[47]Sheet1!$E$108:$E$132,[47]Sheet1!F$108:F$132),0)</f>
        <v>0</v>
      </c>
      <c r="AK78" s="128">
        <f t="shared" si="27"/>
        <v>0</v>
      </c>
      <c r="AL78" s="131">
        <f>IFERROR(_xlfn.XLOOKUP($AG78,[47]Sheet1!$E$108:$E$132,[47]Sheet1!H$108:H$132),0)</f>
        <v>0</v>
      </c>
      <c r="AM78" s="128">
        <f t="shared" si="28"/>
        <v>0</v>
      </c>
      <c r="AN78" s="131">
        <f>IFERROR(_xlfn.XLOOKUP($AG78,[47]Sheet1!$E$108:$E$132,[47]Sheet1!G$108:G$132),0)</f>
        <v>0</v>
      </c>
      <c r="AO78" s="129">
        <f t="shared" si="29"/>
        <v>0</v>
      </c>
    </row>
    <row r="79" spans="2:41" x14ac:dyDescent="0.2">
      <c r="B79" s="110" t="s">
        <v>1273</v>
      </c>
      <c r="C79" s="110" t="s">
        <v>1274</v>
      </c>
      <c r="D79" s="110" t="s">
        <v>47</v>
      </c>
      <c r="E79" s="110" t="s">
        <v>1328</v>
      </c>
      <c r="F79" s="110"/>
      <c r="G79" s="116">
        <v>3858</v>
      </c>
      <c r="H79" s="115">
        <v>148</v>
      </c>
      <c r="I79" s="128">
        <f t="shared" si="21"/>
        <v>3.8361845515811304</v>
      </c>
      <c r="J79" s="115">
        <v>88</v>
      </c>
      <c r="K79" s="128">
        <f t="shared" si="22"/>
        <v>59.45945945945946</v>
      </c>
      <c r="L79" s="115">
        <v>45</v>
      </c>
      <c r="M79" s="129">
        <f t="shared" si="23"/>
        <v>30.405405405405407</v>
      </c>
      <c r="N79" s="130"/>
      <c r="O79" s="130"/>
      <c r="P79" s="115" t="s">
        <v>1273</v>
      </c>
      <c r="Q79" s="115" t="s">
        <v>1274</v>
      </c>
      <c r="R79" s="115" t="s">
        <v>47</v>
      </c>
      <c r="S79" s="115" t="s">
        <v>1328</v>
      </c>
      <c r="T79" s="115"/>
      <c r="U79" s="131">
        <v>3858</v>
      </c>
      <c r="V79" s="131">
        <f>IFERROR(_xlfn.XLOOKUP($S79,'[47]Tgl 8'!$E$108:$E$156,'[47]Tgl 8'!$F$108:$F$156),0)</f>
        <v>0</v>
      </c>
      <c r="W79" s="128">
        <f t="shared" si="24"/>
        <v>0</v>
      </c>
      <c r="X79" s="131">
        <f>IFERROR(_xlfn.XLOOKUP($S79,'[47]Tgl 8'!$E$108:$E$156,'[47]Tgl 8'!$H$108:$H$156),0)</f>
        <v>0</v>
      </c>
      <c r="Y79" s="128">
        <f t="shared" si="25"/>
        <v>0</v>
      </c>
      <c r="Z79" s="131">
        <f>IFERROR(_xlfn.XLOOKUP($S79,'[47]Tgl 8'!$E$108:$E$156,'[47]Tgl 8'!$G$108:$G$156),0)</f>
        <v>0</v>
      </c>
      <c r="AA79" s="129">
        <f t="shared" si="26"/>
        <v>0</v>
      </c>
      <c r="AB79" s="130"/>
      <c r="AC79" s="130"/>
      <c r="AD79" s="115" t="s">
        <v>1273</v>
      </c>
      <c r="AE79" s="115" t="s">
        <v>1274</v>
      </c>
      <c r="AF79" s="115" t="s">
        <v>47</v>
      </c>
      <c r="AG79" s="115" t="s">
        <v>1328</v>
      </c>
      <c r="AH79" s="115"/>
      <c r="AI79" s="131">
        <v>3858</v>
      </c>
      <c r="AJ79" s="131">
        <f>IFERROR(_xlfn.XLOOKUP($AG79,[47]Sheet1!$E$108:$E$132,[47]Sheet1!F$108:F$132),0)</f>
        <v>0</v>
      </c>
      <c r="AK79" s="128">
        <f t="shared" si="27"/>
        <v>0</v>
      </c>
      <c r="AL79" s="131">
        <f>IFERROR(_xlfn.XLOOKUP($AG79,[47]Sheet1!$E$108:$E$132,[47]Sheet1!H$108:H$132),0)</f>
        <v>0</v>
      </c>
      <c r="AM79" s="128">
        <f t="shared" si="28"/>
        <v>0</v>
      </c>
      <c r="AN79" s="131">
        <f>IFERROR(_xlfn.XLOOKUP($AG79,[47]Sheet1!$E$108:$E$132,[47]Sheet1!G$108:G$132),0)</f>
        <v>0</v>
      </c>
      <c r="AO79" s="129">
        <f t="shared" si="29"/>
        <v>0</v>
      </c>
    </row>
    <row r="80" spans="2:41" x14ac:dyDescent="0.2">
      <c r="B80" s="110" t="s">
        <v>1273</v>
      </c>
      <c r="C80" s="110" t="s">
        <v>1274</v>
      </c>
      <c r="D80" s="110" t="s">
        <v>47</v>
      </c>
      <c r="E80" s="110" t="s">
        <v>1329</v>
      </c>
      <c r="F80" s="110"/>
      <c r="G80" s="116">
        <v>4223</v>
      </c>
      <c r="H80" s="115">
        <v>167</v>
      </c>
      <c r="I80" s="128">
        <f t="shared" si="21"/>
        <v>3.9545346909779782</v>
      </c>
      <c r="J80" s="115">
        <v>99</v>
      </c>
      <c r="K80" s="128">
        <f t="shared" si="22"/>
        <v>59.281437125748504</v>
      </c>
      <c r="L80" s="115">
        <v>67</v>
      </c>
      <c r="M80" s="129">
        <f t="shared" si="23"/>
        <v>40.119760479041915</v>
      </c>
      <c r="N80" s="130"/>
      <c r="O80" s="130"/>
      <c r="P80" s="115" t="s">
        <v>1273</v>
      </c>
      <c r="Q80" s="115" t="s">
        <v>1274</v>
      </c>
      <c r="R80" s="115" t="s">
        <v>47</v>
      </c>
      <c r="S80" s="115" t="s">
        <v>1329</v>
      </c>
      <c r="T80" s="115"/>
      <c r="U80" s="131">
        <v>4223</v>
      </c>
      <c r="V80" s="131">
        <f>IFERROR(_xlfn.XLOOKUP($S80,'[47]Tgl 8'!$E$108:$E$156,'[47]Tgl 8'!$F$108:$F$156),0)</f>
        <v>0</v>
      </c>
      <c r="W80" s="128">
        <f t="shared" si="24"/>
        <v>0</v>
      </c>
      <c r="X80" s="131">
        <f>IFERROR(_xlfn.XLOOKUP($S80,'[47]Tgl 8'!$E$108:$E$156,'[47]Tgl 8'!$H$108:$H$156),0)</f>
        <v>0</v>
      </c>
      <c r="Y80" s="128">
        <f t="shared" si="25"/>
        <v>0</v>
      </c>
      <c r="Z80" s="131">
        <f>IFERROR(_xlfn.XLOOKUP($S80,'[47]Tgl 8'!$E$108:$E$156,'[47]Tgl 8'!$G$108:$G$156),0)</f>
        <v>0</v>
      </c>
      <c r="AA80" s="129">
        <f t="shared" si="26"/>
        <v>0</v>
      </c>
      <c r="AB80" s="130"/>
      <c r="AC80" s="130"/>
      <c r="AD80" s="115" t="s">
        <v>1273</v>
      </c>
      <c r="AE80" s="115" t="s">
        <v>1274</v>
      </c>
      <c r="AF80" s="115" t="s">
        <v>47</v>
      </c>
      <c r="AG80" s="115" t="s">
        <v>1329</v>
      </c>
      <c r="AH80" s="115"/>
      <c r="AI80" s="131">
        <v>4223</v>
      </c>
      <c r="AJ80" s="131">
        <f>IFERROR(_xlfn.XLOOKUP($AG80,[47]Sheet1!$E$108:$E$132,[47]Sheet1!F$108:F$132),0)</f>
        <v>0</v>
      </c>
      <c r="AK80" s="128">
        <f t="shared" si="27"/>
        <v>0</v>
      </c>
      <c r="AL80" s="131">
        <f>IFERROR(_xlfn.XLOOKUP($AG80,[47]Sheet1!$E$108:$E$132,[47]Sheet1!H$108:H$132),0)</f>
        <v>0</v>
      </c>
      <c r="AM80" s="128">
        <f t="shared" si="28"/>
        <v>0</v>
      </c>
      <c r="AN80" s="131">
        <f>IFERROR(_xlfn.XLOOKUP($AG80,[47]Sheet1!$E$108:$E$132,[47]Sheet1!G$108:G$132),0)</f>
        <v>0</v>
      </c>
      <c r="AO80" s="129">
        <f t="shared" si="29"/>
        <v>0</v>
      </c>
    </row>
    <row r="81" spans="2:41" x14ac:dyDescent="0.2">
      <c r="B81" s="110" t="s">
        <v>1273</v>
      </c>
      <c r="C81" s="110" t="s">
        <v>1274</v>
      </c>
      <c r="D81" s="110" t="s">
        <v>47</v>
      </c>
      <c r="E81" s="110" t="s">
        <v>1330</v>
      </c>
      <c r="F81" s="110"/>
      <c r="G81" s="116">
        <v>3689</v>
      </c>
      <c r="H81" s="115">
        <v>139</v>
      </c>
      <c r="I81" s="128">
        <f t="shared" si="21"/>
        <v>3.7679587964217944</v>
      </c>
      <c r="J81" s="115">
        <v>87</v>
      </c>
      <c r="K81" s="128">
        <f t="shared" si="22"/>
        <v>62.589928057553962</v>
      </c>
      <c r="L81" s="115">
        <v>55</v>
      </c>
      <c r="M81" s="129">
        <f t="shared" si="23"/>
        <v>39.568345323741013</v>
      </c>
      <c r="N81" s="130"/>
      <c r="O81" s="130"/>
      <c r="P81" s="115" t="s">
        <v>1273</v>
      </c>
      <c r="Q81" s="115" t="s">
        <v>1274</v>
      </c>
      <c r="R81" s="115" t="s">
        <v>47</v>
      </c>
      <c r="S81" s="115" t="s">
        <v>1330</v>
      </c>
      <c r="T81" s="115"/>
      <c r="U81" s="131">
        <v>3689</v>
      </c>
      <c r="V81" s="131">
        <f>IFERROR(_xlfn.XLOOKUP($S81,'[47]Tgl 8'!$E$108:$E$156,'[47]Tgl 8'!$F$108:$F$156),0)</f>
        <v>0</v>
      </c>
      <c r="W81" s="128">
        <f t="shared" si="24"/>
        <v>0</v>
      </c>
      <c r="X81" s="131">
        <f>IFERROR(_xlfn.XLOOKUP($S81,'[47]Tgl 8'!$E$108:$E$156,'[47]Tgl 8'!$H$108:$H$156),0)</f>
        <v>0</v>
      </c>
      <c r="Y81" s="128">
        <f t="shared" si="25"/>
        <v>0</v>
      </c>
      <c r="Z81" s="131">
        <f>IFERROR(_xlfn.XLOOKUP($S81,'[47]Tgl 8'!$E$108:$E$156,'[47]Tgl 8'!$G$108:$G$156),0)</f>
        <v>0</v>
      </c>
      <c r="AA81" s="129">
        <f t="shared" si="26"/>
        <v>0</v>
      </c>
      <c r="AB81" s="130"/>
      <c r="AC81" s="130"/>
      <c r="AD81" s="115" t="s">
        <v>1273</v>
      </c>
      <c r="AE81" s="115" t="s">
        <v>1274</v>
      </c>
      <c r="AF81" s="115" t="s">
        <v>47</v>
      </c>
      <c r="AG81" s="115" t="s">
        <v>1330</v>
      </c>
      <c r="AH81" s="115"/>
      <c r="AI81" s="131">
        <v>3689</v>
      </c>
      <c r="AJ81" s="131">
        <f>IFERROR(_xlfn.XLOOKUP($AG81,[47]Sheet1!$E$108:$E$132,[47]Sheet1!F$108:F$132),0)</f>
        <v>0</v>
      </c>
      <c r="AK81" s="128">
        <f t="shared" si="27"/>
        <v>0</v>
      </c>
      <c r="AL81" s="131">
        <f>IFERROR(_xlfn.XLOOKUP($AG81,[47]Sheet1!$E$108:$E$132,[47]Sheet1!H$108:H$132),0)</f>
        <v>0</v>
      </c>
      <c r="AM81" s="128">
        <f t="shared" si="28"/>
        <v>0</v>
      </c>
      <c r="AN81" s="131">
        <f>IFERROR(_xlfn.XLOOKUP($AG81,[47]Sheet1!$E$108:$E$132,[47]Sheet1!G$108:G$132),0)</f>
        <v>0</v>
      </c>
      <c r="AO81" s="129">
        <f t="shared" si="29"/>
        <v>0</v>
      </c>
    </row>
    <row r="82" spans="2:41" x14ac:dyDescent="0.2">
      <c r="B82" s="110" t="s">
        <v>1273</v>
      </c>
      <c r="C82" s="110" t="s">
        <v>1274</v>
      </c>
      <c r="D82" s="110" t="s">
        <v>47</v>
      </c>
      <c r="E82" s="110" t="s">
        <v>1331</v>
      </c>
      <c r="F82" s="110"/>
      <c r="G82" s="116">
        <v>3298</v>
      </c>
      <c r="H82" s="115">
        <v>137</v>
      </c>
      <c r="I82" s="128">
        <f t="shared" si="21"/>
        <v>4.1540327471194667</v>
      </c>
      <c r="J82" s="115">
        <v>56</v>
      </c>
      <c r="K82" s="128">
        <f t="shared" si="22"/>
        <v>40.87591240875912</v>
      </c>
      <c r="L82" s="115">
        <v>21</v>
      </c>
      <c r="M82" s="129">
        <f t="shared" si="23"/>
        <v>15.32846715328467</v>
      </c>
      <c r="N82" s="130"/>
      <c r="O82" s="130"/>
      <c r="P82" s="115" t="s">
        <v>1273</v>
      </c>
      <c r="Q82" s="115" t="s">
        <v>1274</v>
      </c>
      <c r="R82" s="115" t="s">
        <v>47</v>
      </c>
      <c r="S82" s="115" t="s">
        <v>1331</v>
      </c>
      <c r="T82" s="115"/>
      <c r="U82" s="131">
        <v>3298</v>
      </c>
      <c r="V82" s="131">
        <f>IFERROR(_xlfn.XLOOKUP($S82,'[47]Tgl 8'!$E$108:$E$156,'[47]Tgl 8'!$F$108:$F$156),0)</f>
        <v>0</v>
      </c>
      <c r="W82" s="128">
        <f t="shared" si="24"/>
        <v>0</v>
      </c>
      <c r="X82" s="131">
        <f>IFERROR(_xlfn.XLOOKUP($S82,'[47]Tgl 8'!$E$108:$E$156,'[47]Tgl 8'!$H$108:$H$156),0)</f>
        <v>0</v>
      </c>
      <c r="Y82" s="128">
        <f t="shared" si="25"/>
        <v>0</v>
      </c>
      <c r="Z82" s="131">
        <f>IFERROR(_xlfn.XLOOKUP($S82,'[47]Tgl 8'!$E$108:$E$156,'[47]Tgl 8'!$G$108:$G$156),0)</f>
        <v>0</v>
      </c>
      <c r="AA82" s="129">
        <f t="shared" si="26"/>
        <v>0</v>
      </c>
      <c r="AB82" s="130"/>
      <c r="AC82" s="130"/>
      <c r="AD82" s="115" t="s">
        <v>1273</v>
      </c>
      <c r="AE82" s="115" t="s">
        <v>1274</v>
      </c>
      <c r="AF82" s="115" t="s">
        <v>47</v>
      </c>
      <c r="AG82" s="115" t="s">
        <v>1331</v>
      </c>
      <c r="AH82" s="115"/>
      <c r="AI82" s="131">
        <v>3298</v>
      </c>
      <c r="AJ82" s="131">
        <f>IFERROR(_xlfn.XLOOKUP($AG82,[47]Sheet1!$E$108:$E$132,[47]Sheet1!F$108:F$132),0)</f>
        <v>0</v>
      </c>
      <c r="AK82" s="128">
        <f t="shared" si="27"/>
        <v>0</v>
      </c>
      <c r="AL82" s="131">
        <f>IFERROR(_xlfn.XLOOKUP($AG82,[47]Sheet1!$E$108:$E$132,[47]Sheet1!H$108:H$132),0)</f>
        <v>0</v>
      </c>
      <c r="AM82" s="128">
        <f t="shared" si="28"/>
        <v>0</v>
      </c>
      <c r="AN82" s="131">
        <f>IFERROR(_xlfn.XLOOKUP($AG82,[47]Sheet1!$E$108:$E$132,[47]Sheet1!G$108:G$132),0)</f>
        <v>0</v>
      </c>
      <c r="AO82" s="129">
        <f t="shared" si="29"/>
        <v>0</v>
      </c>
    </row>
    <row r="83" spans="2:41" x14ac:dyDescent="0.2">
      <c r="B83" s="110" t="s">
        <v>1273</v>
      </c>
      <c r="C83" s="110" t="s">
        <v>1274</v>
      </c>
      <c r="D83" s="110" t="s">
        <v>47</v>
      </c>
      <c r="E83" s="110" t="s">
        <v>1332</v>
      </c>
      <c r="F83" s="110"/>
      <c r="G83" s="116">
        <v>4754</v>
      </c>
      <c r="H83" s="115">
        <v>247</v>
      </c>
      <c r="I83" s="128">
        <f t="shared" si="21"/>
        <v>5.1956247370635253</v>
      </c>
      <c r="J83" s="115">
        <v>88</v>
      </c>
      <c r="K83" s="128">
        <f t="shared" si="22"/>
        <v>35.627530364372468</v>
      </c>
      <c r="L83" s="115">
        <v>52</v>
      </c>
      <c r="M83" s="129">
        <f t="shared" si="23"/>
        <v>21.052631578947366</v>
      </c>
      <c r="N83" s="130"/>
      <c r="O83" s="130"/>
      <c r="P83" s="115" t="s">
        <v>1273</v>
      </c>
      <c r="Q83" s="115" t="s">
        <v>1274</v>
      </c>
      <c r="R83" s="115" t="s">
        <v>47</v>
      </c>
      <c r="S83" s="115" t="s">
        <v>1332</v>
      </c>
      <c r="T83" s="115"/>
      <c r="U83" s="131">
        <v>4754</v>
      </c>
      <c r="V83" s="131">
        <f>IFERROR(_xlfn.XLOOKUP($S83,'[47]Tgl 8'!$E$108:$E$156,'[47]Tgl 8'!$F$108:$F$156),0)</f>
        <v>0</v>
      </c>
      <c r="W83" s="128">
        <f t="shared" si="24"/>
        <v>0</v>
      </c>
      <c r="X83" s="131">
        <f>IFERROR(_xlfn.XLOOKUP($S83,'[47]Tgl 8'!$E$108:$E$156,'[47]Tgl 8'!$H$108:$H$156),0)</f>
        <v>0</v>
      </c>
      <c r="Y83" s="128">
        <f t="shared" si="25"/>
        <v>0</v>
      </c>
      <c r="Z83" s="131">
        <f>IFERROR(_xlfn.XLOOKUP($S83,'[47]Tgl 8'!$E$108:$E$156,'[47]Tgl 8'!$G$108:$G$156),0)</f>
        <v>0</v>
      </c>
      <c r="AA83" s="129">
        <f t="shared" si="26"/>
        <v>0</v>
      </c>
      <c r="AB83" s="130"/>
      <c r="AC83" s="130"/>
      <c r="AD83" s="115" t="s">
        <v>1273</v>
      </c>
      <c r="AE83" s="115" t="s">
        <v>1274</v>
      </c>
      <c r="AF83" s="115" t="s">
        <v>47</v>
      </c>
      <c r="AG83" s="115" t="s">
        <v>1332</v>
      </c>
      <c r="AH83" s="115"/>
      <c r="AI83" s="131">
        <v>4754</v>
      </c>
      <c r="AJ83" s="131">
        <f>IFERROR(_xlfn.XLOOKUP($AG83,[47]Sheet1!$E$108:$E$132,[47]Sheet1!F$108:F$132),0)</f>
        <v>172</v>
      </c>
      <c r="AK83" s="128">
        <f t="shared" si="27"/>
        <v>3.61800588977703</v>
      </c>
      <c r="AL83" s="131">
        <f>IFERROR(_xlfn.XLOOKUP($AG83,[47]Sheet1!$E$108:$E$132,[47]Sheet1!H$108:H$132),0)</f>
        <v>70</v>
      </c>
      <c r="AM83" s="128">
        <f t="shared" si="28"/>
        <v>40.697674418604649</v>
      </c>
      <c r="AN83" s="131">
        <f>IFERROR(_xlfn.XLOOKUP($AG83,[47]Sheet1!$E$108:$E$132,[47]Sheet1!G$108:G$132),0)</f>
        <v>23</v>
      </c>
      <c r="AO83" s="129">
        <f t="shared" si="29"/>
        <v>13.372093023255815</v>
      </c>
    </row>
    <row r="84" spans="2:41" x14ac:dyDescent="0.2">
      <c r="B84" s="110" t="s">
        <v>1273</v>
      </c>
      <c r="C84" s="110" t="s">
        <v>1274</v>
      </c>
      <c r="D84" s="110" t="s">
        <v>79</v>
      </c>
      <c r="E84" s="110" t="s">
        <v>1333</v>
      </c>
      <c r="F84" s="110"/>
      <c r="G84" s="116">
        <v>5338</v>
      </c>
      <c r="H84" s="115">
        <v>81</v>
      </c>
      <c r="I84" s="128">
        <f t="shared" si="21"/>
        <v>1.5174222555264143</v>
      </c>
      <c r="J84" s="115">
        <v>72</v>
      </c>
      <c r="K84" s="128">
        <f t="shared" si="22"/>
        <v>88.888888888888886</v>
      </c>
      <c r="L84" s="115">
        <v>9</v>
      </c>
      <c r="M84" s="129">
        <f t="shared" si="23"/>
        <v>11.111111111111111</v>
      </c>
      <c r="N84" s="130"/>
      <c r="O84" s="130"/>
      <c r="P84" s="115" t="s">
        <v>1273</v>
      </c>
      <c r="Q84" s="115" t="s">
        <v>1274</v>
      </c>
      <c r="R84" s="115" t="s">
        <v>79</v>
      </c>
      <c r="S84" s="115" t="s">
        <v>1333</v>
      </c>
      <c r="T84" s="115"/>
      <c r="U84" s="131">
        <v>5338</v>
      </c>
      <c r="V84" s="131">
        <f>IFERROR(_xlfn.XLOOKUP($S84,'[47]Tgl 8'!$E$108:$E$156,'[47]Tgl 8'!$F$108:$F$156),0)</f>
        <v>0</v>
      </c>
      <c r="W84" s="128">
        <f t="shared" si="24"/>
        <v>0</v>
      </c>
      <c r="X84" s="131">
        <f>IFERROR(_xlfn.XLOOKUP($S84,'[47]Tgl 8'!$E$108:$E$156,'[47]Tgl 8'!$H$108:$H$156),0)</f>
        <v>0</v>
      </c>
      <c r="Y84" s="128">
        <f t="shared" si="25"/>
        <v>0</v>
      </c>
      <c r="Z84" s="131">
        <f>IFERROR(_xlfn.XLOOKUP($S84,'[47]Tgl 8'!$E$108:$E$156,'[47]Tgl 8'!$G$108:$G$156),0)</f>
        <v>0</v>
      </c>
      <c r="AA84" s="129">
        <f t="shared" si="26"/>
        <v>0</v>
      </c>
      <c r="AB84" s="130"/>
      <c r="AC84" s="130"/>
      <c r="AD84" s="115" t="s">
        <v>1273</v>
      </c>
      <c r="AE84" s="115" t="s">
        <v>1274</v>
      </c>
      <c r="AF84" s="115" t="s">
        <v>79</v>
      </c>
      <c r="AG84" s="115" t="s">
        <v>1333</v>
      </c>
      <c r="AH84" s="115"/>
      <c r="AI84" s="131">
        <v>5338</v>
      </c>
      <c r="AJ84" s="131">
        <f>IFERROR(_xlfn.XLOOKUP($AG84,[47]Sheet1!$E$108:$E$132,[47]Sheet1!F$108:F$132),0)</f>
        <v>0</v>
      </c>
      <c r="AK84" s="128">
        <f t="shared" si="27"/>
        <v>0</v>
      </c>
      <c r="AL84" s="131">
        <f>IFERROR(_xlfn.XLOOKUP($AG84,[47]Sheet1!$E$108:$E$132,[47]Sheet1!H$108:H$132),0)</f>
        <v>0</v>
      </c>
      <c r="AM84" s="128">
        <f t="shared" si="28"/>
        <v>0</v>
      </c>
      <c r="AN84" s="131">
        <f>IFERROR(_xlfn.XLOOKUP($AG84,[47]Sheet1!$E$108:$E$132,[47]Sheet1!G$108:G$132),0)</f>
        <v>0</v>
      </c>
      <c r="AO84" s="129">
        <f t="shared" si="29"/>
        <v>0</v>
      </c>
    </row>
    <row r="85" spans="2:41" x14ac:dyDescent="0.2">
      <c r="B85" s="110" t="s">
        <v>1273</v>
      </c>
      <c r="C85" s="110" t="s">
        <v>1274</v>
      </c>
      <c r="D85" s="110" t="s">
        <v>79</v>
      </c>
      <c r="E85" s="110" t="s">
        <v>1334</v>
      </c>
      <c r="F85" s="110"/>
      <c r="G85" s="116">
        <v>3923</v>
      </c>
      <c r="H85" s="115">
        <v>104</v>
      </c>
      <c r="I85" s="128">
        <f t="shared" si="21"/>
        <v>2.6510323731837881</v>
      </c>
      <c r="J85" s="115">
        <v>90</v>
      </c>
      <c r="K85" s="128">
        <f t="shared" si="22"/>
        <v>86.538461538461533</v>
      </c>
      <c r="L85" s="115">
        <v>14</v>
      </c>
      <c r="M85" s="129">
        <f t="shared" si="23"/>
        <v>13.461538461538462</v>
      </c>
      <c r="N85" s="130"/>
      <c r="O85" s="130"/>
      <c r="P85" s="115" t="s">
        <v>1273</v>
      </c>
      <c r="Q85" s="115" t="s">
        <v>1274</v>
      </c>
      <c r="R85" s="115" t="s">
        <v>79</v>
      </c>
      <c r="S85" s="115" t="s">
        <v>1334</v>
      </c>
      <c r="T85" s="115"/>
      <c r="U85" s="131">
        <v>3923</v>
      </c>
      <c r="V85" s="131">
        <f>IFERROR(_xlfn.XLOOKUP($S85,'[47]Tgl 8'!$E$108:$E$156,'[47]Tgl 8'!$F$108:$F$156),0)</f>
        <v>0</v>
      </c>
      <c r="W85" s="128">
        <f t="shared" si="24"/>
        <v>0</v>
      </c>
      <c r="X85" s="131">
        <f>IFERROR(_xlfn.XLOOKUP($S85,'[47]Tgl 8'!$E$108:$E$156,'[47]Tgl 8'!$H$108:$H$156),0)</f>
        <v>0</v>
      </c>
      <c r="Y85" s="128">
        <f t="shared" si="25"/>
        <v>0</v>
      </c>
      <c r="Z85" s="131">
        <f>IFERROR(_xlfn.XLOOKUP($S85,'[47]Tgl 8'!$E$108:$E$156,'[47]Tgl 8'!$G$108:$G$156),0)</f>
        <v>0</v>
      </c>
      <c r="AA85" s="129">
        <f t="shared" si="26"/>
        <v>0</v>
      </c>
      <c r="AB85" s="130"/>
      <c r="AC85" s="130"/>
      <c r="AD85" s="115" t="s">
        <v>1273</v>
      </c>
      <c r="AE85" s="115" t="s">
        <v>1274</v>
      </c>
      <c r="AF85" s="115" t="s">
        <v>79</v>
      </c>
      <c r="AG85" s="115" t="s">
        <v>1334</v>
      </c>
      <c r="AH85" s="115"/>
      <c r="AI85" s="131">
        <v>3923</v>
      </c>
      <c r="AJ85" s="131">
        <f>IFERROR(_xlfn.XLOOKUP($AG85,[47]Sheet1!$E$108:$E$132,[47]Sheet1!F$108:F$132),0)</f>
        <v>0</v>
      </c>
      <c r="AK85" s="128">
        <f t="shared" si="27"/>
        <v>0</v>
      </c>
      <c r="AL85" s="131">
        <f>IFERROR(_xlfn.XLOOKUP($AG85,[47]Sheet1!$E$108:$E$132,[47]Sheet1!H$108:H$132),0)</f>
        <v>0</v>
      </c>
      <c r="AM85" s="128">
        <f t="shared" si="28"/>
        <v>0</v>
      </c>
      <c r="AN85" s="131">
        <f>IFERROR(_xlfn.XLOOKUP($AG85,[47]Sheet1!$E$108:$E$132,[47]Sheet1!G$108:G$132),0)</f>
        <v>0</v>
      </c>
      <c r="AO85" s="129">
        <f t="shared" si="29"/>
        <v>0</v>
      </c>
    </row>
    <row r="86" spans="2:41" x14ac:dyDescent="0.2">
      <c r="B86" s="110" t="s">
        <v>1273</v>
      </c>
      <c r="C86" s="110" t="s">
        <v>1274</v>
      </c>
      <c r="D86" s="110" t="s">
        <v>79</v>
      </c>
      <c r="E86" s="110" t="s">
        <v>1335</v>
      </c>
      <c r="F86" s="110"/>
      <c r="G86" s="116">
        <v>0</v>
      </c>
      <c r="H86" s="115">
        <v>0</v>
      </c>
      <c r="I86" s="128">
        <f t="shared" si="21"/>
        <v>0</v>
      </c>
      <c r="J86" s="115">
        <v>0</v>
      </c>
      <c r="K86" s="128">
        <f t="shared" si="22"/>
        <v>0</v>
      </c>
      <c r="L86" s="115">
        <v>0</v>
      </c>
      <c r="M86" s="129">
        <f t="shared" si="23"/>
        <v>0</v>
      </c>
      <c r="N86" s="130"/>
      <c r="O86" s="130"/>
      <c r="P86" s="115" t="s">
        <v>1273</v>
      </c>
      <c r="Q86" s="115" t="s">
        <v>1274</v>
      </c>
      <c r="R86" s="115" t="s">
        <v>79</v>
      </c>
      <c r="S86" s="115" t="s">
        <v>1335</v>
      </c>
      <c r="T86" s="115"/>
      <c r="U86" s="131">
        <v>0</v>
      </c>
      <c r="V86" s="131">
        <f>IFERROR(_xlfn.XLOOKUP($S86,'[47]Tgl 8'!$E$108:$E$156,'[47]Tgl 8'!$F$108:$F$156),0)</f>
        <v>0</v>
      </c>
      <c r="W86" s="128">
        <f t="shared" si="24"/>
        <v>0</v>
      </c>
      <c r="X86" s="131">
        <f>IFERROR(_xlfn.XLOOKUP($S86,'[47]Tgl 8'!$E$108:$E$156,'[47]Tgl 8'!$H$108:$H$156),0)</f>
        <v>0</v>
      </c>
      <c r="Y86" s="128">
        <f t="shared" si="25"/>
        <v>0</v>
      </c>
      <c r="Z86" s="131">
        <f>IFERROR(_xlfn.XLOOKUP($S86,'[47]Tgl 8'!$E$108:$E$156,'[47]Tgl 8'!$G$108:$G$156),0)</f>
        <v>0</v>
      </c>
      <c r="AA86" s="129">
        <f t="shared" si="26"/>
        <v>0</v>
      </c>
      <c r="AB86" s="130"/>
      <c r="AC86" s="130"/>
      <c r="AD86" s="115" t="s">
        <v>1273</v>
      </c>
      <c r="AE86" s="115" t="s">
        <v>1274</v>
      </c>
      <c r="AF86" s="115" t="s">
        <v>79</v>
      </c>
      <c r="AG86" s="115" t="s">
        <v>1335</v>
      </c>
      <c r="AH86" s="115"/>
      <c r="AI86" s="131">
        <v>0</v>
      </c>
      <c r="AJ86" s="131">
        <f>IFERROR(_xlfn.XLOOKUP($AG86,[47]Sheet1!$E$108:$E$132,[47]Sheet1!F$108:F$132),0)</f>
        <v>0</v>
      </c>
      <c r="AK86" s="128">
        <f t="shared" si="27"/>
        <v>0</v>
      </c>
      <c r="AL86" s="131">
        <f>IFERROR(_xlfn.XLOOKUP($AG86,[47]Sheet1!$E$108:$E$132,[47]Sheet1!H$108:H$132),0)</f>
        <v>0</v>
      </c>
      <c r="AM86" s="128">
        <f t="shared" si="28"/>
        <v>0</v>
      </c>
      <c r="AN86" s="131">
        <f>IFERROR(_xlfn.XLOOKUP($AG86,[47]Sheet1!$E$108:$E$132,[47]Sheet1!G$108:G$132),0)</f>
        <v>0</v>
      </c>
      <c r="AO86" s="129">
        <f t="shared" si="29"/>
        <v>0</v>
      </c>
    </row>
    <row r="87" spans="2:41" x14ac:dyDescent="0.2">
      <c r="B87" s="110" t="s">
        <v>1273</v>
      </c>
      <c r="C87" s="110" t="s">
        <v>1274</v>
      </c>
      <c r="D87" s="110" t="s">
        <v>79</v>
      </c>
      <c r="E87" s="110" t="s">
        <v>1336</v>
      </c>
      <c r="F87" s="110"/>
      <c r="G87" s="116">
        <v>2731</v>
      </c>
      <c r="H87" s="115">
        <v>35</v>
      </c>
      <c r="I87" s="128">
        <f t="shared" si="21"/>
        <v>1.2815818381545223</v>
      </c>
      <c r="J87" s="115">
        <v>30</v>
      </c>
      <c r="K87" s="128">
        <f t="shared" si="22"/>
        <v>85.714285714285722</v>
      </c>
      <c r="L87" s="115">
        <v>5</v>
      </c>
      <c r="M87" s="129">
        <f t="shared" si="23"/>
        <v>14.285714285714286</v>
      </c>
      <c r="N87" s="130"/>
      <c r="O87" s="130"/>
      <c r="P87" s="115" t="s">
        <v>1273</v>
      </c>
      <c r="Q87" s="115" t="s">
        <v>1274</v>
      </c>
      <c r="R87" s="115" t="s">
        <v>79</v>
      </c>
      <c r="S87" s="115" t="s">
        <v>1336</v>
      </c>
      <c r="T87" s="115"/>
      <c r="U87" s="131">
        <v>2731</v>
      </c>
      <c r="V87" s="131">
        <f>IFERROR(_xlfn.XLOOKUP($S87,'[47]Tgl 8'!$E$108:$E$156,'[47]Tgl 8'!$F$108:$F$156),0)</f>
        <v>0</v>
      </c>
      <c r="W87" s="128">
        <f t="shared" si="24"/>
        <v>0</v>
      </c>
      <c r="X87" s="131">
        <f>IFERROR(_xlfn.XLOOKUP($S87,'[47]Tgl 8'!$E$108:$E$156,'[47]Tgl 8'!$H$108:$H$156),0)</f>
        <v>0</v>
      </c>
      <c r="Y87" s="128">
        <f t="shared" si="25"/>
        <v>0</v>
      </c>
      <c r="Z87" s="131">
        <f>IFERROR(_xlfn.XLOOKUP($S87,'[47]Tgl 8'!$E$108:$E$156,'[47]Tgl 8'!$G$108:$G$156),0)</f>
        <v>0</v>
      </c>
      <c r="AA87" s="129">
        <f t="shared" si="26"/>
        <v>0</v>
      </c>
      <c r="AB87" s="130"/>
      <c r="AC87" s="130"/>
      <c r="AD87" s="115" t="s">
        <v>1273</v>
      </c>
      <c r="AE87" s="115" t="s">
        <v>1274</v>
      </c>
      <c r="AF87" s="115" t="s">
        <v>79</v>
      </c>
      <c r="AG87" s="115" t="s">
        <v>1336</v>
      </c>
      <c r="AH87" s="115"/>
      <c r="AI87" s="131">
        <v>2731</v>
      </c>
      <c r="AJ87" s="131">
        <f>IFERROR(_xlfn.XLOOKUP($AG87,[47]Sheet1!$E$108:$E$132,[47]Sheet1!F$108:F$132),0)</f>
        <v>0</v>
      </c>
      <c r="AK87" s="128">
        <f t="shared" si="27"/>
        <v>0</v>
      </c>
      <c r="AL87" s="131">
        <f>IFERROR(_xlfn.XLOOKUP($AG87,[47]Sheet1!$E$108:$E$132,[47]Sheet1!H$108:H$132),0)</f>
        <v>0</v>
      </c>
      <c r="AM87" s="128">
        <f t="shared" si="28"/>
        <v>0</v>
      </c>
      <c r="AN87" s="131">
        <f>IFERROR(_xlfn.XLOOKUP($AG87,[47]Sheet1!$E$108:$E$132,[47]Sheet1!G$108:G$132),0)</f>
        <v>0</v>
      </c>
      <c r="AO87" s="129">
        <f t="shared" si="29"/>
        <v>0</v>
      </c>
    </row>
    <row r="88" spans="2:41" x14ac:dyDescent="0.2">
      <c r="B88" s="110" t="s">
        <v>1273</v>
      </c>
      <c r="C88" s="110" t="s">
        <v>1274</v>
      </c>
      <c r="D88" s="110" t="s">
        <v>79</v>
      </c>
      <c r="E88" s="110" t="s">
        <v>1337</v>
      </c>
      <c r="F88" s="110"/>
      <c r="G88" s="116">
        <v>2185</v>
      </c>
      <c r="H88" s="115">
        <v>39</v>
      </c>
      <c r="I88" s="128">
        <f t="shared" si="21"/>
        <v>1.7848970251716245</v>
      </c>
      <c r="J88" s="115">
        <v>36</v>
      </c>
      <c r="K88" s="128">
        <f t="shared" si="22"/>
        <v>92.307692307692307</v>
      </c>
      <c r="L88" s="115">
        <v>3</v>
      </c>
      <c r="M88" s="129">
        <f t="shared" si="23"/>
        <v>7.6923076923076916</v>
      </c>
      <c r="N88" s="130"/>
      <c r="O88" s="130"/>
      <c r="P88" s="115" t="s">
        <v>1273</v>
      </c>
      <c r="Q88" s="115" t="s">
        <v>1274</v>
      </c>
      <c r="R88" s="115" t="s">
        <v>79</v>
      </c>
      <c r="S88" s="115" t="s">
        <v>1337</v>
      </c>
      <c r="T88" s="115"/>
      <c r="U88" s="131">
        <v>2185</v>
      </c>
      <c r="V88" s="131">
        <f>IFERROR(_xlfn.XLOOKUP($S88,'[47]Tgl 8'!$E$108:$E$156,'[47]Tgl 8'!$F$108:$F$156),0)</f>
        <v>0</v>
      </c>
      <c r="W88" s="128">
        <f t="shared" si="24"/>
        <v>0</v>
      </c>
      <c r="X88" s="131">
        <f>IFERROR(_xlfn.XLOOKUP($S88,'[47]Tgl 8'!$E$108:$E$156,'[47]Tgl 8'!$H$108:$H$156),0)</f>
        <v>0</v>
      </c>
      <c r="Y88" s="128">
        <f t="shared" si="25"/>
        <v>0</v>
      </c>
      <c r="Z88" s="131">
        <f>IFERROR(_xlfn.XLOOKUP($S88,'[47]Tgl 8'!$E$108:$E$156,'[47]Tgl 8'!$G$108:$G$156),0)</f>
        <v>0</v>
      </c>
      <c r="AA88" s="129">
        <f t="shared" si="26"/>
        <v>0</v>
      </c>
      <c r="AB88" s="130"/>
      <c r="AC88" s="130"/>
      <c r="AD88" s="115" t="s">
        <v>1273</v>
      </c>
      <c r="AE88" s="115" t="s">
        <v>1274</v>
      </c>
      <c r="AF88" s="115" t="s">
        <v>79</v>
      </c>
      <c r="AG88" s="115" t="s">
        <v>1337</v>
      </c>
      <c r="AH88" s="115"/>
      <c r="AI88" s="131">
        <v>2185</v>
      </c>
      <c r="AJ88" s="131">
        <f>IFERROR(_xlfn.XLOOKUP($AG88,[47]Sheet1!$E$108:$E$132,[47]Sheet1!F$108:F$132),0)</f>
        <v>0</v>
      </c>
      <c r="AK88" s="128">
        <f t="shared" si="27"/>
        <v>0</v>
      </c>
      <c r="AL88" s="131">
        <f>IFERROR(_xlfn.XLOOKUP($AG88,[47]Sheet1!$E$108:$E$132,[47]Sheet1!H$108:H$132),0)</f>
        <v>0</v>
      </c>
      <c r="AM88" s="128">
        <f t="shared" si="28"/>
        <v>0</v>
      </c>
      <c r="AN88" s="131">
        <f>IFERROR(_xlfn.XLOOKUP($AG88,[47]Sheet1!$E$108:$E$132,[47]Sheet1!G$108:G$132),0)</f>
        <v>0</v>
      </c>
      <c r="AO88" s="129">
        <f t="shared" si="29"/>
        <v>0</v>
      </c>
    </row>
    <row r="89" spans="2:41" x14ac:dyDescent="0.2">
      <c r="B89" s="110" t="s">
        <v>1273</v>
      </c>
      <c r="C89" s="110" t="s">
        <v>1274</v>
      </c>
      <c r="D89" s="110" t="s">
        <v>79</v>
      </c>
      <c r="E89" s="110" t="s">
        <v>1338</v>
      </c>
      <c r="F89" s="110"/>
      <c r="G89" s="116">
        <v>3194</v>
      </c>
      <c r="H89" s="115">
        <v>83</v>
      </c>
      <c r="I89" s="128">
        <f t="shared" ref="I89:I152" si="30">IFERROR(H89/G89%,0)</f>
        <v>2.598622417031935</v>
      </c>
      <c r="J89" s="115">
        <v>68</v>
      </c>
      <c r="K89" s="128">
        <f t="shared" ref="K89:K152" si="31">IFERROR(J89/H89%,0)</f>
        <v>81.927710843373504</v>
      </c>
      <c r="L89" s="115">
        <v>15</v>
      </c>
      <c r="M89" s="129">
        <f t="shared" ref="M89:M152" si="32">IFERROR(L89/H89%,0)</f>
        <v>18.072289156626507</v>
      </c>
      <c r="N89" s="130"/>
      <c r="O89" s="130"/>
      <c r="P89" s="115" t="s">
        <v>1273</v>
      </c>
      <c r="Q89" s="115" t="s">
        <v>1274</v>
      </c>
      <c r="R89" s="115" t="s">
        <v>79</v>
      </c>
      <c r="S89" s="115" t="s">
        <v>1338</v>
      </c>
      <c r="T89" s="115"/>
      <c r="U89" s="131">
        <v>3194</v>
      </c>
      <c r="V89" s="131">
        <f>IFERROR(_xlfn.XLOOKUP($S89,'[47]Tgl 8'!$E$108:$E$156,'[47]Tgl 8'!$F$108:$F$156),0)</f>
        <v>0</v>
      </c>
      <c r="W89" s="128">
        <f t="shared" ref="W89:W152" si="33">IFERROR(V89/U89%,0)</f>
        <v>0</v>
      </c>
      <c r="X89" s="131">
        <f>IFERROR(_xlfn.XLOOKUP($S89,'[47]Tgl 8'!$E$108:$E$156,'[47]Tgl 8'!$H$108:$H$156),0)</f>
        <v>0</v>
      </c>
      <c r="Y89" s="128">
        <f t="shared" ref="Y89:Y152" si="34">IFERROR(X89/V89%,0)</f>
        <v>0</v>
      </c>
      <c r="Z89" s="131">
        <f>IFERROR(_xlfn.XLOOKUP($S89,'[47]Tgl 8'!$E$108:$E$156,'[47]Tgl 8'!$G$108:$G$156),0)</f>
        <v>0</v>
      </c>
      <c r="AA89" s="129">
        <f t="shared" ref="AA89:AA152" si="35">IFERROR(Z89/V89%,0)</f>
        <v>0</v>
      </c>
      <c r="AB89" s="130"/>
      <c r="AC89" s="130"/>
      <c r="AD89" s="115" t="s">
        <v>1273</v>
      </c>
      <c r="AE89" s="115" t="s">
        <v>1274</v>
      </c>
      <c r="AF89" s="115" t="s">
        <v>79</v>
      </c>
      <c r="AG89" s="115" t="s">
        <v>1338</v>
      </c>
      <c r="AH89" s="115"/>
      <c r="AI89" s="131">
        <v>3194</v>
      </c>
      <c r="AJ89" s="131">
        <f>IFERROR(_xlfn.XLOOKUP($AG89,[47]Sheet1!$E$108:$E$132,[47]Sheet1!F$108:F$132),0)</f>
        <v>0</v>
      </c>
      <c r="AK89" s="128">
        <f t="shared" ref="AK89:AK152" si="36">IFERROR(AJ89/AI89%,0)</f>
        <v>0</v>
      </c>
      <c r="AL89" s="131">
        <f>IFERROR(_xlfn.XLOOKUP($AG89,[47]Sheet1!$E$108:$E$132,[47]Sheet1!H$108:H$132),0)</f>
        <v>0</v>
      </c>
      <c r="AM89" s="128">
        <f t="shared" ref="AM89:AM152" si="37">IFERROR(AL89/AJ89%,0)</f>
        <v>0</v>
      </c>
      <c r="AN89" s="131">
        <f>IFERROR(_xlfn.XLOOKUP($AG89,[47]Sheet1!$E$108:$E$132,[47]Sheet1!G$108:G$132),0)</f>
        <v>0</v>
      </c>
      <c r="AO89" s="129">
        <f t="shared" ref="AO89:AO152" si="38">IFERROR(AN89/AJ89%,0)</f>
        <v>0</v>
      </c>
    </row>
    <row r="90" spans="2:41" x14ac:dyDescent="0.2">
      <c r="B90" s="110" t="s">
        <v>1273</v>
      </c>
      <c r="C90" s="110" t="s">
        <v>1274</v>
      </c>
      <c r="D90" s="110" t="s">
        <v>79</v>
      </c>
      <c r="E90" s="110" t="s">
        <v>1339</v>
      </c>
      <c r="F90" s="110"/>
      <c r="G90" s="116">
        <v>4206</v>
      </c>
      <c r="H90" s="115">
        <v>61</v>
      </c>
      <c r="I90" s="128">
        <f t="shared" si="30"/>
        <v>1.450309082263433</v>
      </c>
      <c r="J90" s="115">
        <v>55</v>
      </c>
      <c r="K90" s="128">
        <f t="shared" si="31"/>
        <v>90.163934426229517</v>
      </c>
      <c r="L90" s="115">
        <v>6</v>
      </c>
      <c r="M90" s="129">
        <f t="shared" si="32"/>
        <v>9.8360655737704921</v>
      </c>
      <c r="N90" s="130"/>
      <c r="O90" s="130"/>
      <c r="P90" s="115" t="s">
        <v>1273</v>
      </c>
      <c r="Q90" s="115" t="s">
        <v>1274</v>
      </c>
      <c r="R90" s="115" t="s">
        <v>79</v>
      </c>
      <c r="S90" s="115" t="s">
        <v>1339</v>
      </c>
      <c r="T90" s="115"/>
      <c r="U90" s="131">
        <v>4206</v>
      </c>
      <c r="V90" s="131">
        <f>IFERROR(_xlfn.XLOOKUP($S90,'[47]Tgl 8'!$E$108:$E$156,'[47]Tgl 8'!$F$108:$F$156),0)</f>
        <v>0</v>
      </c>
      <c r="W90" s="128">
        <f t="shared" si="33"/>
        <v>0</v>
      </c>
      <c r="X90" s="131">
        <f>IFERROR(_xlfn.XLOOKUP($S90,'[47]Tgl 8'!$E$108:$E$156,'[47]Tgl 8'!$H$108:$H$156),0)</f>
        <v>0</v>
      </c>
      <c r="Y90" s="128">
        <f t="shared" si="34"/>
        <v>0</v>
      </c>
      <c r="Z90" s="131">
        <f>IFERROR(_xlfn.XLOOKUP($S90,'[47]Tgl 8'!$E$108:$E$156,'[47]Tgl 8'!$G$108:$G$156),0)</f>
        <v>0</v>
      </c>
      <c r="AA90" s="129">
        <f t="shared" si="35"/>
        <v>0</v>
      </c>
      <c r="AB90" s="130"/>
      <c r="AC90" s="130"/>
      <c r="AD90" s="115" t="s">
        <v>1273</v>
      </c>
      <c r="AE90" s="115" t="s">
        <v>1274</v>
      </c>
      <c r="AF90" s="115" t="s">
        <v>79</v>
      </c>
      <c r="AG90" s="115" t="s">
        <v>1339</v>
      </c>
      <c r="AH90" s="115"/>
      <c r="AI90" s="131">
        <v>4206</v>
      </c>
      <c r="AJ90" s="131">
        <f>IFERROR(_xlfn.XLOOKUP($AG90,[47]Sheet1!$E$108:$E$132,[47]Sheet1!F$108:F$132),0)</f>
        <v>0</v>
      </c>
      <c r="AK90" s="128">
        <f t="shared" si="36"/>
        <v>0</v>
      </c>
      <c r="AL90" s="131">
        <f>IFERROR(_xlfn.XLOOKUP($AG90,[47]Sheet1!$E$108:$E$132,[47]Sheet1!H$108:H$132),0)</f>
        <v>0</v>
      </c>
      <c r="AM90" s="128">
        <f t="shared" si="37"/>
        <v>0</v>
      </c>
      <c r="AN90" s="131">
        <f>IFERROR(_xlfn.XLOOKUP($AG90,[47]Sheet1!$E$108:$E$132,[47]Sheet1!G$108:G$132),0)</f>
        <v>0</v>
      </c>
      <c r="AO90" s="129">
        <f t="shared" si="38"/>
        <v>0</v>
      </c>
    </row>
    <row r="91" spans="2:41" x14ac:dyDescent="0.2">
      <c r="B91" s="110" t="s">
        <v>1273</v>
      </c>
      <c r="C91" s="110" t="s">
        <v>1274</v>
      </c>
      <c r="D91" s="110" t="s">
        <v>79</v>
      </c>
      <c r="E91" s="110" t="s">
        <v>1340</v>
      </c>
      <c r="F91" s="110"/>
      <c r="G91" s="116">
        <v>4325</v>
      </c>
      <c r="H91" s="115">
        <v>47</v>
      </c>
      <c r="I91" s="128">
        <f t="shared" si="30"/>
        <v>1.0867052023121386</v>
      </c>
      <c r="J91" s="115">
        <v>41</v>
      </c>
      <c r="K91" s="128">
        <f t="shared" si="31"/>
        <v>87.2340425531915</v>
      </c>
      <c r="L91" s="115">
        <v>6</v>
      </c>
      <c r="M91" s="129">
        <f t="shared" si="32"/>
        <v>12.765957446808512</v>
      </c>
      <c r="N91" s="130"/>
      <c r="O91" s="130"/>
      <c r="P91" s="115" t="s">
        <v>1273</v>
      </c>
      <c r="Q91" s="115" t="s">
        <v>1274</v>
      </c>
      <c r="R91" s="115" t="s">
        <v>79</v>
      </c>
      <c r="S91" s="115" t="s">
        <v>1340</v>
      </c>
      <c r="T91" s="115"/>
      <c r="U91" s="131">
        <v>4325</v>
      </c>
      <c r="V91" s="131">
        <f>IFERROR(_xlfn.XLOOKUP($S91,'[47]Tgl 8'!$E$108:$E$156,'[47]Tgl 8'!$F$108:$F$156),0)</f>
        <v>32</v>
      </c>
      <c r="W91" s="128">
        <f t="shared" si="33"/>
        <v>0.73988439306358378</v>
      </c>
      <c r="X91" s="131">
        <f>IFERROR(_xlfn.XLOOKUP($S91,'[47]Tgl 8'!$E$108:$E$156,'[47]Tgl 8'!$H$108:$H$156),0)</f>
        <v>18</v>
      </c>
      <c r="Y91" s="128">
        <f t="shared" si="34"/>
        <v>56.25</v>
      </c>
      <c r="Z91" s="131">
        <f>IFERROR(_xlfn.XLOOKUP($S91,'[47]Tgl 8'!$E$108:$E$156,'[47]Tgl 8'!$G$108:$G$156),0)</f>
        <v>6</v>
      </c>
      <c r="AA91" s="129">
        <f t="shared" si="35"/>
        <v>18.75</v>
      </c>
      <c r="AB91" s="130"/>
      <c r="AC91" s="130"/>
      <c r="AD91" s="115" t="s">
        <v>1273</v>
      </c>
      <c r="AE91" s="115" t="s">
        <v>1274</v>
      </c>
      <c r="AF91" s="115" t="s">
        <v>79</v>
      </c>
      <c r="AG91" s="115" t="s">
        <v>1340</v>
      </c>
      <c r="AH91" s="115"/>
      <c r="AI91" s="131">
        <v>4325</v>
      </c>
      <c r="AJ91" s="131">
        <f>IFERROR(_xlfn.XLOOKUP($AG91,[47]Sheet1!$E$108:$E$132,[47]Sheet1!F$108:F$132),0)</f>
        <v>0</v>
      </c>
      <c r="AK91" s="128">
        <f t="shared" si="36"/>
        <v>0</v>
      </c>
      <c r="AL91" s="131">
        <f>IFERROR(_xlfn.XLOOKUP($AG91,[47]Sheet1!$E$108:$E$132,[47]Sheet1!H$108:H$132),0)</f>
        <v>0</v>
      </c>
      <c r="AM91" s="128">
        <f t="shared" si="37"/>
        <v>0</v>
      </c>
      <c r="AN91" s="131">
        <f>IFERROR(_xlfn.XLOOKUP($AG91,[47]Sheet1!$E$108:$E$132,[47]Sheet1!G$108:G$132),0)</f>
        <v>0</v>
      </c>
      <c r="AO91" s="129">
        <f t="shared" si="38"/>
        <v>0</v>
      </c>
    </row>
    <row r="92" spans="2:41" x14ac:dyDescent="0.2">
      <c r="B92" s="110" t="s">
        <v>1273</v>
      </c>
      <c r="C92" s="110" t="s">
        <v>1274</v>
      </c>
      <c r="D92" s="110" t="s">
        <v>79</v>
      </c>
      <c r="E92" s="110" t="s">
        <v>1341</v>
      </c>
      <c r="F92" s="110"/>
      <c r="G92" s="116">
        <v>3352</v>
      </c>
      <c r="H92" s="115">
        <v>88</v>
      </c>
      <c r="I92" s="128">
        <f t="shared" si="30"/>
        <v>2.6252983293556085</v>
      </c>
      <c r="J92" s="115">
        <v>73</v>
      </c>
      <c r="K92" s="128">
        <f t="shared" si="31"/>
        <v>82.954545454545453</v>
      </c>
      <c r="L92" s="115">
        <v>15</v>
      </c>
      <c r="M92" s="129">
        <f t="shared" si="32"/>
        <v>17.045454545454547</v>
      </c>
      <c r="N92" s="130"/>
      <c r="O92" s="130"/>
      <c r="P92" s="115" t="s">
        <v>1273</v>
      </c>
      <c r="Q92" s="115" t="s">
        <v>1274</v>
      </c>
      <c r="R92" s="115" t="s">
        <v>79</v>
      </c>
      <c r="S92" s="115" t="s">
        <v>1341</v>
      </c>
      <c r="T92" s="115"/>
      <c r="U92" s="131">
        <v>3352</v>
      </c>
      <c r="V92" s="131">
        <v>65</v>
      </c>
      <c r="W92" s="128">
        <f t="shared" si="33"/>
        <v>1.939140811455847</v>
      </c>
      <c r="X92" s="131">
        <v>31</v>
      </c>
      <c r="Y92" s="128">
        <f t="shared" si="34"/>
        <v>47.692307692307693</v>
      </c>
      <c r="Z92" s="131">
        <v>29</v>
      </c>
      <c r="AA92" s="129">
        <f t="shared" si="35"/>
        <v>44.615384615384613</v>
      </c>
      <c r="AB92" s="130"/>
      <c r="AC92" s="130"/>
      <c r="AD92" s="115" t="s">
        <v>1273</v>
      </c>
      <c r="AE92" s="115" t="s">
        <v>1274</v>
      </c>
      <c r="AF92" s="115" t="s">
        <v>79</v>
      </c>
      <c r="AG92" s="115" t="s">
        <v>1341</v>
      </c>
      <c r="AH92" s="115"/>
      <c r="AI92" s="131">
        <v>3352</v>
      </c>
      <c r="AJ92" s="131">
        <f>IFERROR(_xlfn.XLOOKUP($AG92,[47]Sheet1!$E$108:$E$132,[47]Sheet1!F$108:F$132),0)</f>
        <v>0</v>
      </c>
      <c r="AK92" s="128">
        <f t="shared" si="36"/>
        <v>0</v>
      </c>
      <c r="AL92" s="131">
        <f>IFERROR(_xlfn.XLOOKUP($AG92,[47]Sheet1!$E$108:$E$132,[47]Sheet1!H$108:H$132),0)</f>
        <v>0</v>
      </c>
      <c r="AM92" s="128">
        <f t="shared" si="37"/>
        <v>0</v>
      </c>
      <c r="AN92" s="131">
        <f>IFERROR(_xlfn.XLOOKUP($AG92,[47]Sheet1!$E$108:$E$132,[47]Sheet1!G$108:G$132),0)</f>
        <v>0</v>
      </c>
      <c r="AO92" s="129">
        <f t="shared" si="38"/>
        <v>0</v>
      </c>
    </row>
    <row r="93" spans="2:41" x14ac:dyDescent="0.2">
      <c r="B93" s="110" t="s">
        <v>1273</v>
      </c>
      <c r="C93" s="110" t="s">
        <v>1274</v>
      </c>
      <c r="D93" s="110" t="s">
        <v>79</v>
      </c>
      <c r="E93" s="110" t="s">
        <v>1342</v>
      </c>
      <c r="F93" s="110"/>
      <c r="G93" s="116">
        <v>3111</v>
      </c>
      <c r="H93" s="115">
        <v>89</v>
      </c>
      <c r="I93" s="128">
        <f t="shared" si="30"/>
        <v>2.8608164577306332</v>
      </c>
      <c r="J93" s="115">
        <v>67</v>
      </c>
      <c r="K93" s="128">
        <f t="shared" si="31"/>
        <v>75.280898876404493</v>
      </c>
      <c r="L93" s="115">
        <v>22</v>
      </c>
      <c r="M93" s="129">
        <f t="shared" si="32"/>
        <v>24.719101123595504</v>
      </c>
      <c r="N93" s="130"/>
      <c r="O93" s="130"/>
      <c r="P93" s="115" t="s">
        <v>1273</v>
      </c>
      <c r="Q93" s="115" t="s">
        <v>1274</v>
      </c>
      <c r="R93" s="115" t="s">
        <v>79</v>
      </c>
      <c r="S93" s="115" t="s">
        <v>1342</v>
      </c>
      <c r="T93" s="115"/>
      <c r="U93" s="131">
        <v>3111</v>
      </c>
      <c r="V93" s="131">
        <f>IFERROR(_xlfn.XLOOKUP($S93,'[47]Tgl 8'!$E$108:$E$156,'[47]Tgl 8'!$F$108:$F$156),0)</f>
        <v>33</v>
      </c>
      <c r="W93" s="128">
        <f t="shared" si="33"/>
        <v>1.0607521697203472</v>
      </c>
      <c r="X93" s="131">
        <f>IFERROR(_xlfn.XLOOKUP($S93,'[47]Tgl 8'!$E$108:$E$156,'[47]Tgl 8'!$H$108:$H$156),0)</f>
        <v>7</v>
      </c>
      <c r="Y93" s="128">
        <f t="shared" si="34"/>
        <v>21.212121212121211</v>
      </c>
      <c r="Z93" s="131">
        <f>IFERROR(_xlfn.XLOOKUP($S93,'[47]Tgl 8'!$E$108:$E$156,'[47]Tgl 8'!$G$108:$G$156),0)</f>
        <v>13</v>
      </c>
      <c r="AA93" s="129">
        <f t="shared" si="35"/>
        <v>39.393939393939391</v>
      </c>
      <c r="AB93" s="130"/>
      <c r="AC93" s="130"/>
      <c r="AD93" s="115" t="s">
        <v>1273</v>
      </c>
      <c r="AE93" s="115" t="s">
        <v>1274</v>
      </c>
      <c r="AF93" s="115" t="s">
        <v>79</v>
      </c>
      <c r="AG93" s="115" t="s">
        <v>1342</v>
      </c>
      <c r="AH93" s="115"/>
      <c r="AI93" s="131">
        <v>3111</v>
      </c>
      <c r="AJ93" s="131">
        <f>IFERROR(_xlfn.XLOOKUP($AG93,[47]Sheet1!$E$108:$E$132,[47]Sheet1!F$108:F$132),0)</f>
        <v>0</v>
      </c>
      <c r="AK93" s="128">
        <f t="shared" si="36"/>
        <v>0</v>
      </c>
      <c r="AL93" s="131">
        <f>IFERROR(_xlfn.XLOOKUP($AG93,[47]Sheet1!$E$108:$E$132,[47]Sheet1!H$108:H$132),0)</f>
        <v>0</v>
      </c>
      <c r="AM93" s="128">
        <f t="shared" si="37"/>
        <v>0</v>
      </c>
      <c r="AN93" s="131">
        <f>IFERROR(_xlfn.XLOOKUP($AG93,[47]Sheet1!$E$108:$E$132,[47]Sheet1!G$108:G$132),0)</f>
        <v>0</v>
      </c>
      <c r="AO93" s="129">
        <f t="shared" si="38"/>
        <v>0</v>
      </c>
    </row>
    <row r="94" spans="2:41" x14ac:dyDescent="0.2">
      <c r="B94" s="110" t="s">
        <v>1273</v>
      </c>
      <c r="C94" s="110" t="s">
        <v>1274</v>
      </c>
      <c r="D94" s="110" t="s">
        <v>79</v>
      </c>
      <c r="E94" s="110" t="s">
        <v>1343</v>
      </c>
      <c r="F94" s="110"/>
      <c r="G94" s="116">
        <v>5099</v>
      </c>
      <c r="H94" s="115">
        <v>84</v>
      </c>
      <c r="I94" s="128">
        <f t="shared" si="30"/>
        <v>1.6473818395763875</v>
      </c>
      <c r="J94" s="115">
        <v>70</v>
      </c>
      <c r="K94" s="128">
        <f t="shared" si="31"/>
        <v>83.333333333333343</v>
      </c>
      <c r="L94" s="115">
        <v>14</v>
      </c>
      <c r="M94" s="129">
        <f t="shared" si="32"/>
        <v>16.666666666666668</v>
      </c>
      <c r="N94" s="130"/>
      <c r="O94" s="130"/>
      <c r="P94" s="115" t="s">
        <v>1273</v>
      </c>
      <c r="Q94" s="115" t="s">
        <v>1274</v>
      </c>
      <c r="R94" s="115" t="s">
        <v>79</v>
      </c>
      <c r="S94" s="115" t="s">
        <v>1343</v>
      </c>
      <c r="T94" s="115"/>
      <c r="U94" s="131">
        <v>5099</v>
      </c>
      <c r="V94" s="131">
        <f>IFERROR(_xlfn.XLOOKUP($S94,'[47]Tgl 8'!$E$108:$E$156,'[47]Tgl 8'!$F$108:$F$156),0)</f>
        <v>0</v>
      </c>
      <c r="W94" s="128">
        <f t="shared" si="33"/>
        <v>0</v>
      </c>
      <c r="X94" s="131">
        <f>IFERROR(_xlfn.XLOOKUP($S94,'[47]Tgl 8'!$E$108:$E$156,'[47]Tgl 8'!$H$108:$H$156),0)</f>
        <v>0</v>
      </c>
      <c r="Y94" s="128">
        <f t="shared" si="34"/>
        <v>0</v>
      </c>
      <c r="Z94" s="131">
        <f>IFERROR(_xlfn.XLOOKUP($S94,'[47]Tgl 8'!$E$108:$E$156,'[47]Tgl 8'!$G$108:$G$156),0)</f>
        <v>0</v>
      </c>
      <c r="AA94" s="129">
        <f t="shared" si="35"/>
        <v>0</v>
      </c>
      <c r="AB94" s="130"/>
      <c r="AC94" s="130"/>
      <c r="AD94" s="115" t="s">
        <v>1273</v>
      </c>
      <c r="AE94" s="115" t="s">
        <v>1274</v>
      </c>
      <c r="AF94" s="115" t="s">
        <v>79</v>
      </c>
      <c r="AG94" s="115" t="s">
        <v>1343</v>
      </c>
      <c r="AH94" s="115"/>
      <c r="AI94" s="131">
        <v>5099</v>
      </c>
      <c r="AJ94" s="131">
        <f>IFERROR(_xlfn.XLOOKUP($AG94,[47]Sheet1!$E$108:$E$132,[47]Sheet1!F$108:F$132),0)</f>
        <v>0</v>
      </c>
      <c r="AK94" s="128">
        <f t="shared" si="36"/>
        <v>0</v>
      </c>
      <c r="AL94" s="131">
        <f>IFERROR(_xlfn.XLOOKUP($AG94,[47]Sheet1!$E$108:$E$132,[47]Sheet1!H$108:H$132),0)</f>
        <v>0</v>
      </c>
      <c r="AM94" s="128">
        <f t="shared" si="37"/>
        <v>0</v>
      </c>
      <c r="AN94" s="131">
        <f>IFERROR(_xlfn.XLOOKUP($AG94,[47]Sheet1!$E$108:$E$132,[47]Sheet1!G$108:G$132),0)</f>
        <v>0</v>
      </c>
      <c r="AO94" s="129">
        <f t="shared" si="38"/>
        <v>0</v>
      </c>
    </row>
    <row r="95" spans="2:41" x14ac:dyDescent="0.2">
      <c r="B95" s="110" t="s">
        <v>1273</v>
      </c>
      <c r="C95" s="110" t="s">
        <v>1274</v>
      </c>
      <c r="D95" s="110" t="s">
        <v>79</v>
      </c>
      <c r="E95" s="110" t="s">
        <v>1344</v>
      </c>
      <c r="F95" s="110"/>
      <c r="G95" s="116">
        <v>4454</v>
      </c>
      <c r="H95" s="115">
        <v>71</v>
      </c>
      <c r="I95" s="128">
        <f t="shared" si="30"/>
        <v>1.5940727436012574</v>
      </c>
      <c r="J95" s="115">
        <v>60</v>
      </c>
      <c r="K95" s="128">
        <f t="shared" si="31"/>
        <v>84.507042253521135</v>
      </c>
      <c r="L95" s="115">
        <v>11</v>
      </c>
      <c r="M95" s="129">
        <f t="shared" si="32"/>
        <v>15.492957746478874</v>
      </c>
      <c r="N95" s="130"/>
      <c r="O95" s="130"/>
      <c r="P95" s="115" t="s">
        <v>1273</v>
      </c>
      <c r="Q95" s="115" t="s">
        <v>1274</v>
      </c>
      <c r="R95" s="115" t="s">
        <v>79</v>
      </c>
      <c r="S95" s="115" t="s">
        <v>1344</v>
      </c>
      <c r="T95" s="115"/>
      <c r="U95" s="131">
        <v>4454</v>
      </c>
      <c r="V95" s="131">
        <f>IFERROR(_xlfn.XLOOKUP($S95,'[47]Tgl 8'!$E$108:$E$156,'[47]Tgl 8'!$F$108:$F$156),0)</f>
        <v>0</v>
      </c>
      <c r="W95" s="128">
        <f t="shared" si="33"/>
        <v>0</v>
      </c>
      <c r="X95" s="131">
        <f>IFERROR(_xlfn.XLOOKUP($S95,'[47]Tgl 8'!$E$108:$E$156,'[47]Tgl 8'!$H$108:$H$156),0)</f>
        <v>0</v>
      </c>
      <c r="Y95" s="128">
        <f t="shared" si="34"/>
        <v>0</v>
      </c>
      <c r="Z95" s="131">
        <f>IFERROR(_xlfn.XLOOKUP($S95,'[47]Tgl 8'!$E$108:$E$156,'[47]Tgl 8'!$G$108:$G$156),0)</f>
        <v>0</v>
      </c>
      <c r="AA95" s="129">
        <f t="shared" si="35"/>
        <v>0</v>
      </c>
      <c r="AB95" s="130"/>
      <c r="AC95" s="130"/>
      <c r="AD95" s="115" t="s">
        <v>1273</v>
      </c>
      <c r="AE95" s="115" t="s">
        <v>1274</v>
      </c>
      <c r="AF95" s="115" t="s">
        <v>79</v>
      </c>
      <c r="AG95" s="115" t="s">
        <v>1344</v>
      </c>
      <c r="AH95" s="115"/>
      <c r="AI95" s="131">
        <v>4454</v>
      </c>
      <c r="AJ95" s="131">
        <f>IFERROR(_xlfn.XLOOKUP($AG95,[47]Sheet1!$E$108:$E$132,[47]Sheet1!F$108:F$132),0)</f>
        <v>0</v>
      </c>
      <c r="AK95" s="128">
        <f t="shared" si="36"/>
        <v>0</v>
      </c>
      <c r="AL95" s="131">
        <f>IFERROR(_xlfn.XLOOKUP($AG95,[47]Sheet1!$E$108:$E$132,[47]Sheet1!H$108:H$132),0)</f>
        <v>0</v>
      </c>
      <c r="AM95" s="128">
        <f t="shared" si="37"/>
        <v>0</v>
      </c>
      <c r="AN95" s="131">
        <f>IFERROR(_xlfn.XLOOKUP($AG95,[47]Sheet1!$E$108:$E$132,[47]Sheet1!G$108:G$132),0)</f>
        <v>0</v>
      </c>
      <c r="AO95" s="129">
        <f t="shared" si="38"/>
        <v>0</v>
      </c>
    </row>
    <row r="96" spans="2:41" x14ac:dyDescent="0.2">
      <c r="B96" s="110" t="s">
        <v>1273</v>
      </c>
      <c r="C96" s="110" t="s">
        <v>1274</v>
      </c>
      <c r="D96" s="110" t="s">
        <v>79</v>
      </c>
      <c r="E96" s="110" t="s">
        <v>1345</v>
      </c>
      <c r="F96" s="110"/>
      <c r="G96" s="116">
        <v>4722</v>
      </c>
      <c r="H96" s="115">
        <v>38</v>
      </c>
      <c r="I96" s="128">
        <f t="shared" si="30"/>
        <v>0.80474375264718345</v>
      </c>
      <c r="J96" s="115">
        <v>28</v>
      </c>
      <c r="K96" s="128">
        <f t="shared" si="31"/>
        <v>73.684210526315795</v>
      </c>
      <c r="L96" s="115">
        <v>10</v>
      </c>
      <c r="M96" s="129">
        <f t="shared" si="32"/>
        <v>26.315789473684209</v>
      </c>
      <c r="N96" s="130"/>
      <c r="O96" s="130"/>
      <c r="P96" s="115" t="s">
        <v>1273</v>
      </c>
      <c r="Q96" s="115" t="s">
        <v>1274</v>
      </c>
      <c r="R96" s="115" t="s">
        <v>79</v>
      </c>
      <c r="S96" s="115" t="s">
        <v>1345</v>
      </c>
      <c r="T96" s="115"/>
      <c r="U96" s="131">
        <v>4722</v>
      </c>
      <c r="V96" s="131">
        <f>IFERROR(_xlfn.XLOOKUP($S96,'[47]Tgl 8'!$E$108:$E$156,'[47]Tgl 8'!$F$108:$F$156),0)</f>
        <v>0</v>
      </c>
      <c r="W96" s="128">
        <f t="shared" si="33"/>
        <v>0</v>
      </c>
      <c r="X96" s="131">
        <f>IFERROR(_xlfn.XLOOKUP($S96,'[47]Tgl 8'!$E$108:$E$156,'[47]Tgl 8'!$H$108:$H$156),0)</f>
        <v>0</v>
      </c>
      <c r="Y96" s="128">
        <f t="shared" si="34"/>
        <v>0</v>
      </c>
      <c r="Z96" s="131">
        <f>IFERROR(_xlfn.XLOOKUP($S96,'[47]Tgl 8'!$E$108:$E$156,'[47]Tgl 8'!$G$108:$G$156),0)</f>
        <v>0</v>
      </c>
      <c r="AA96" s="129">
        <f t="shared" si="35"/>
        <v>0</v>
      </c>
      <c r="AB96" s="130"/>
      <c r="AC96" s="130"/>
      <c r="AD96" s="115" t="s">
        <v>1273</v>
      </c>
      <c r="AE96" s="115" t="s">
        <v>1274</v>
      </c>
      <c r="AF96" s="115" t="s">
        <v>79</v>
      </c>
      <c r="AG96" s="115" t="s">
        <v>1345</v>
      </c>
      <c r="AH96" s="115"/>
      <c r="AI96" s="131">
        <v>4722</v>
      </c>
      <c r="AJ96" s="131">
        <f>IFERROR(_xlfn.XLOOKUP($AG96,[47]Sheet1!$E$108:$E$132,[47]Sheet1!F$108:F$132),0)</f>
        <v>0</v>
      </c>
      <c r="AK96" s="128">
        <f t="shared" si="36"/>
        <v>0</v>
      </c>
      <c r="AL96" s="131">
        <f>IFERROR(_xlfn.XLOOKUP($AG96,[47]Sheet1!$E$108:$E$132,[47]Sheet1!H$108:H$132),0)</f>
        <v>0</v>
      </c>
      <c r="AM96" s="128">
        <f t="shared" si="37"/>
        <v>0</v>
      </c>
      <c r="AN96" s="131">
        <f>IFERROR(_xlfn.XLOOKUP($AG96,[47]Sheet1!$E$108:$E$132,[47]Sheet1!G$108:G$132),0)</f>
        <v>0</v>
      </c>
      <c r="AO96" s="129">
        <f t="shared" si="38"/>
        <v>0</v>
      </c>
    </row>
    <row r="97" spans="2:41" x14ac:dyDescent="0.2">
      <c r="B97" s="110" t="s">
        <v>1273</v>
      </c>
      <c r="C97" s="110" t="s">
        <v>1274</v>
      </c>
      <c r="D97" s="110" t="s">
        <v>79</v>
      </c>
      <c r="E97" s="110" t="s">
        <v>956</v>
      </c>
      <c r="F97" s="110"/>
      <c r="G97" s="116">
        <v>4019</v>
      </c>
      <c r="H97" s="115">
        <v>73</v>
      </c>
      <c r="I97" s="128">
        <f t="shared" si="30"/>
        <v>1.8163722318984823</v>
      </c>
      <c r="J97" s="115">
        <v>67</v>
      </c>
      <c r="K97" s="128">
        <f t="shared" si="31"/>
        <v>91.780821917808225</v>
      </c>
      <c r="L97" s="115">
        <v>6</v>
      </c>
      <c r="M97" s="129">
        <f t="shared" si="32"/>
        <v>8.2191780821917817</v>
      </c>
      <c r="N97" s="130"/>
      <c r="O97" s="130"/>
      <c r="P97" s="115" t="s">
        <v>1273</v>
      </c>
      <c r="Q97" s="115" t="s">
        <v>1274</v>
      </c>
      <c r="R97" s="115" t="s">
        <v>79</v>
      </c>
      <c r="S97" s="115" t="s">
        <v>956</v>
      </c>
      <c r="T97" s="115"/>
      <c r="U97" s="131">
        <v>4019</v>
      </c>
      <c r="V97" s="131">
        <v>65</v>
      </c>
      <c r="W97" s="128">
        <f t="shared" si="33"/>
        <v>1.6173177407315253</v>
      </c>
      <c r="X97" s="131">
        <v>20</v>
      </c>
      <c r="Y97" s="128">
        <f t="shared" si="34"/>
        <v>30.769230769230766</v>
      </c>
      <c r="Z97" s="131">
        <v>33</v>
      </c>
      <c r="AA97" s="129">
        <f t="shared" si="35"/>
        <v>50.769230769230766</v>
      </c>
      <c r="AB97" s="130"/>
      <c r="AC97" s="130"/>
      <c r="AD97" s="115" t="s">
        <v>1273</v>
      </c>
      <c r="AE97" s="115" t="s">
        <v>1274</v>
      </c>
      <c r="AF97" s="115" t="s">
        <v>79</v>
      </c>
      <c r="AG97" s="115" t="s">
        <v>956</v>
      </c>
      <c r="AH97" s="115"/>
      <c r="AI97" s="131">
        <v>4019</v>
      </c>
      <c r="AJ97" s="131">
        <f>IFERROR(_xlfn.XLOOKUP($AG97,[47]Sheet1!$E$108:$E$132,[47]Sheet1!F$108:F$132),0)</f>
        <v>0</v>
      </c>
      <c r="AK97" s="128">
        <f t="shared" si="36"/>
        <v>0</v>
      </c>
      <c r="AL97" s="131">
        <f>IFERROR(_xlfn.XLOOKUP($AG97,[47]Sheet1!$E$108:$E$132,[47]Sheet1!H$108:H$132),0)</f>
        <v>0</v>
      </c>
      <c r="AM97" s="128">
        <f t="shared" si="37"/>
        <v>0</v>
      </c>
      <c r="AN97" s="131">
        <f>IFERROR(_xlfn.XLOOKUP($AG97,[47]Sheet1!$E$108:$E$132,[47]Sheet1!G$108:G$132),0)</f>
        <v>0</v>
      </c>
      <c r="AO97" s="129">
        <f t="shared" si="38"/>
        <v>0</v>
      </c>
    </row>
    <row r="98" spans="2:41" x14ac:dyDescent="0.2">
      <c r="B98" s="110" t="s">
        <v>1273</v>
      </c>
      <c r="C98" s="110" t="s">
        <v>1274</v>
      </c>
      <c r="D98" s="110" t="s">
        <v>79</v>
      </c>
      <c r="E98" s="110" t="s">
        <v>1346</v>
      </c>
      <c r="F98" s="110"/>
      <c r="G98" s="116">
        <v>2897</v>
      </c>
      <c r="H98" s="115">
        <v>104</v>
      </c>
      <c r="I98" s="128">
        <f t="shared" si="30"/>
        <v>3.5899206075250261</v>
      </c>
      <c r="J98" s="115">
        <v>88</v>
      </c>
      <c r="K98" s="128">
        <f t="shared" si="31"/>
        <v>84.615384615384613</v>
      </c>
      <c r="L98" s="115">
        <v>16</v>
      </c>
      <c r="M98" s="129">
        <f t="shared" si="32"/>
        <v>15.384615384615383</v>
      </c>
      <c r="N98" s="130"/>
      <c r="O98" s="130"/>
      <c r="P98" s="115" t="s">
        <v>1273</v>
      </c>
      <c r="Q98" s="115" t="s">
        <v>1274</v>
      </c>
      <c r="R98" s="115" t="s">
        <v>79</v>
      </c>
      <c r="S98" s="115" t="s">
        <v>1346</v>
      </c>
      <c r="T98" s="115"/>
      <c r="U98" s="131">
        <v>2897</v>
      </c>
      <c r="V98" s="131">
        <f>IFERROR(_xlfn.XLOOKUP($S98,'[47]Tgl 8'!$E$108:$E$156,'[47]Tgl 8'!$F$108:$F$156),0)</f>
        <v>0</v>
      </c>
      <c r="W98" s="128">
        <f t="shared" si="33"/>
        <v>0</v>
      </c>
      <c r="X98" s="131">
        <f>IFERROR(_xlfn.XLOOKUP($S98,'[47]Tgl 8'!$E$108:$E$156,'[47]Tgl 8'!$H$108:$H$156),0)</f>
        <v>0</v>
      </c>
      <c r="Y98" s="128">
        <f t="shared" si="34"/>
        <v>0</v>
      </c>
      <c r="Z98" s="131">
        <f>IFERROR(_xlfn.XLOOKUP($S98,'[47]Tgl 8'!$E$108:$E$156,'[47]Tgl 8'!$G$108:$G$156),0)</f>
        <v>0</v>
      </c>
      <c r="AA98" s="129">
        <f t="shared" si="35"/>
        <v>0</v>
      </c>
      <c r="AB98" s="130"/>
      <c r="AC98" s="130"/>
      <c r="AD98" s="115" t="s">
        <v>1273</v>
      </c>
      <c r="AE98" s="115" t="s">
        <v>1274</v>
      </c>
      <c r="AF98" s="115" t="s">
        <v>79</v>
      </c>
      <c r="AG98" s="115" t="s">
        <v>1346</v>
      </c>
      <c r="AH98" s="115"/>
      <c r="AI98" s="131">
        <v>2897</v>
      </c>
      <c r="AJ98" s="131">
        <f>IFERROR(_xlfn.XLOOKUP($AG98,[47]Sheet1!$E$108:$E$132,[47]Sheet1!F$108:F$132),0)</f>
        <v>0</v>
      </c>
      <c r="AK98" s="128">
        <f t="shared" si="36"/>
        <v>0</v>
      </c>
      <c r="AL98" s="131">
        <f>IFERROR(_xlfn.XLOOKUP($AG98,[47]Sheet1!$E$108:$E$132,[47]Sheet1!H$108:H$132),0)</f>
        <v>0</v>
      </c>
      <c r="AM98" s="128">
        <f t="shared" si="37"/>
        <v>0</v>
      </c>
      <c r="AN98" s="131">
        <f>IFERROR(_xlfn.XLOOKUP($AG98,[47]Sheet1!$E$108:$E$132,[47]Sheet1!G$108:G$132),0)</f>
        <v>0</v>
      </c>
      <c r="AO98" s="129">
        <f t="shared" si="38"/>
        <v>0</v>
      </c>
    </row>
    <row r="99" spans="2:41" x14ac:dyDescent="0.2">
      <c r="B99" s="110" t="s">
        <v>1273</v>
      </c>
      <c r="C99" s="110" t="s">
        <v>1274</v>
      </c>
      <c r="D99" s="110" t="s">
        <v>79</v>
      </c>
      <c r="E99" s="110" t="s">
        <v>1347</v>
      </c>
      <c r="F99" s="110"/>
      <c r="G99" s="116">
        <v>2564</v>
      </c>
      <c r="H99" s="115">
        <v>39</v>
      </c>
      <c r="I99" s="128">
        <f t="shared" si="30"/>
        <v>1.5210608424336973</v>
      </c>
      <c r="J99" s="115">
        <v>39</v>
      </c>
      <c r="K99" s="128">
        <f t="shared" si="31"/>
        <v>100</v>
      </c>
      <c r="L99" s="115">
        <v>0</v>
      </c>
      <c r="M99" s="129">
        <f t="shared" si="32"/>
        <v>0</v>
      </c>
      <c r="N99" s="130"/>
      <c r="O99" s="130"/>
      <c r="P99" s="115" t="s">
        <v>1273</v>
      </c>
      <c r="Q99" s="115" t="s">
        <v>1274</v>
      </c>
      <c r="R99" s="115" t="s">
        <v>79</v>
      </c>
      <c r="S99" s="115" t="s">
        <v>1347</v>
      </c>
      <c r="T99" s="115"/>
      <c r="U99" s="131">
        <v>2564</v>
      </c>
      <c r="V99" s="131">
        <v>124</v>
      </c>
      <c r="W99" s="128">
        <f t="shared" si="33"/>
        <v>4.8361934477379096</v>
      </c>
      <c r="X99" s="131">
        <v>29</v>
      </c>
      <c r="Y99" s="128">
        <f t="shared" si="34"/>
        <v>23.387096774193548</v>
      </c>
      <c r="Z99" s="131">
        <v>28</v>
      </c>
      <c r="AA99" s="129">
        <f t="shared" si="35"/>
        <v>22.580645161290324</v>
      </c>
      <c r="AB99" s="130"/>
      <c r="AC99" s="130"/>
      <c r="AD99" s="115" t="s">
        <v>1273</v>
      </c>
      <c r="AE99" s="115" t="s">
        <v>1274</v>
      </c>
      <c r="AF99" s="115" t="s">
        <v>79</v>
      </c>
      <c r="AG99" s="115" t="s">
        <v>1347</v>
      </c>
      <c r="AH99" s="115"/>
      <c r="AI99" s="131">
        <v>2564</v>
      </c>
      <c r="AJ99" s="131">
        <f>IFERROR(_xlfn.XLOOKUP($AG99,[47]Sheet1!$E$108:$E$132,[47]Sheet1!F$108:F$132),0)</f>
        <v>0</v>
      </c>
      <c r="AK99" s="128">
        <f t="shared" si="36"/>
        <v>0</v>
      </c>
      <c r="AL99" s="131">
        <f>IFERROR(_xlfn.XLOOKUP($AG99,[47]Sheet1!$E$108:$E$132,[47]Sheet1!H$108:H$132),0)</f>
        <v>0</v>
      </c>
      <c r="AM99" s="128">
        <f t="shared" si="37"/>
        <v>0</v>
      </c>
      <c r="AN99" s="131">
        <f>IFERROR(_xlfn.XLOOKUP($AG99,[47]Sheet1!$E$108:$E$132,[47]Sheet1!G$108:G$132),0)</f>
        <v>0</v>
      </c>
      <c r="AO99" s="129">
        <f t="shared" si="38"/>
        <v>0</v>
      </c>
    </row>
    <row r="100" spans="2:41" x14ac:dyDescent="0.2">
      <c r="B100" s="110" t="s">
        <v>1273</v>
      </c>
      <c r="C100" s="110" t="s">
        <v>1274</v>
      </c>
      <c r="D100" s="110" t="s">
        <v>79</v>
      </c>
      <c r="E100" s="110" t="s">
        <v>1348</v>
      </c>
      <c r="F100" s="110"/>
      <c r="G100" s="116">
        <v>6852</v>
      </c>
      <c r="H100" s="115">
        <v>80</v>
      </c>
      <c r="I100" s="128">
        <f t="shared" si="30"/>
        <v>1.1675423234092237</v>
      </c>
      <c r="J100" s="115">
        <v>69</v>
      </c>
      <c r="K100" s="128">
        <f t="shared" si="31"/>
        <v>86.25</v>
      </c>
      <c r="L100" s="115">
        <v>11</v>
      </c>
      <c r="M100" s="129">
        <f t="shared" si="32"/>
        <v>13.75</v>
      </c>
      <c r="N100" s="130"/>
      <c r="O100" s="130"/>
      <c r="P100" s="115" t="s">
        <v>1273</v>
      </c>
      <c r="Q100" s="115" t="s">
        <v>1274</v>
      </c>
      <c r="R100" s="115" t="s">
        <v>79</v>
      </c>
      <c r="S100" s="115" t="s">
        <v>1348</v>
      </c>
      <c r="T100" s="115"/>
      <c r="U100" s="131">
        <v>6852</v>
      </c>
      <c r="V100" s="131">
        <f>IFERROR(_xlfn.XLOOKUP($S100,'[47]Tgl 8'!$E$108:$E$156,'[47]Tgl 8'!$F$108:$F$156),0)</f>
        <v>0</v>
      </c>
      <c r="W100" s="128">
        <f t="shared" si="33"/>
        <v>0</v>
      </c>
      <c r="X100" s="131">
        <f>IFERROR(_xlfn.XLOOKUP($S100,'[47]Tgl 8'!$E$108:$E$156,'[47]Tgl 8'!$H$108:$H$156),0)</f>
        <v>0</v>
      </c>
      <c r="Y100" s="128">
        <f t="shared" si="34"/>
        <v>0</v>
      </c>
      <c r="Z100" s="131">
        <f>IFERROR(_xlfn.XLOOKUP($S100,'[47]Tgl 8'!$E$108:$E$156,'[47]Tgl 8'!$G$108:$G$156),0)</f>
        <v>0</v>
      </c>
      <c r="AA100" s="129">
        <f t="shared" si="35"/>
        <v>0</v>
      </c>
      <c r="AB100" s="130"/>
      <c r="AC100" s="130"/>
      <c r="AD100" s="115" t="s">
        <v>1273</v>
      </c>
      <c r="AE100" s="115" t="s">
        <v>1274</v>
      </c>
      <c r="AF100" s="115" t="s">
        <v>79</v>
      </c>
      <c r="AG100" s="115" t="s">
        <v>1348</v>
      </c>
      <c r="AH100" s="115"/>
      <c r="AI100" s="131">
        <v>6852</v>
      </c>
      <c r="AJ100" s="131">
        <f>IFERROR(_xlfn.XLOOKUP($AG100,[47]Sheet1!$E$108:$E$132,[47]Sheet1!F$108:F$132),0)</f>
        <v>0</v>
      </c>
      <c r="AK100" s="128">
        <f t="shared" si="36"/>
        <v>0</v>
      </c>
      <c r="AL100" s="131">
        <f>IFERROR(_xlfn.XLOOKUP($AG100,[47]Sheet1!$E$108:$E$132,[47]Sheet1!H$108:H$132),0)</f>
        <v>0</v>
      </c>
      <c r="AM100" s="128">
        <f t="shared" si="37"/>
        <v>0</v>
      </c>
      <c r="AN100" s="131">
        <f>IFERROR(_xlfn.XLOOKUP($AG100,[47]Sheet1!$E$108:$E$132,[47]Sheet1!G$108:G$132),0)</f>
        <v>0</v>
      </c>
      <c r="AO100" s="129">
        <f t="shared" si="38"/>
        <v>0</v>
      </c>
    </row>
    <row r="101" spans="2:41" x14ac:dyDescent="0.2">
      <c r="B101" s="110" t="s">
        <v>1273</v>
      </c>
      <c r="C101" s="110" t="s">
        <v>1274</v>
      </c>
      <c r="D101" s="110" t="s">
        <v>79</v>
      </c>
      <c r="E101" s="110" t="s">
        <v>1349</v>
      </c>
      <c r="F101" s="110"/>
      <c r="G101" s="116">
        <v>0</v>
      </c>
      <c r="H101" s="115">
        <v>0</v>
      </c>
      <c r="I101" s="128">
        <f t="shared" si="30"/>
        <v>0</v>
      </c>
      <c r="J101" s="115">
        <v>0</v>
      </c>
      <c r="K101" s="128">
        <f t="shared" si="31"/>
        <v>0</v>
      </c>
      <c r="L101" s="115">
        <v>0</v>
      </c>
      <c r="M101" s="129">
        <f t="shared" si="32"/>
        <v>0</v>
      </c>
      <c r="N101" s="130"/>
      <c r="O101" s="130"/>
      <c r="P101" s="115" t="s">
        <v>1273</v>
      </c>
      <c r="Q101" s="115" t="s">
        <v>1274</v>
      </c>
      <c r="R101" s="115" t="s">
        <v>79</v>
      </c>
      <c r="S101" s="115" t="s">
        <v>1349</v>
      </c>
      <c r="T101" s="115"/>
      <c r="U101" s="131">
        <v>0</v>
      </c>
      <c r="V101" s="131">
        <f>IFERROR(_xlfn.XLOOKUP($S101,'[47]Tgl 8'!$E$108:$E$156,'[47]Tgl 8'!$F$108:$F$156),0)</f>
        <v>0</v>
      </c>
      <c r="W101" s="128">
        <f t="shared" si="33"/>
        <v>0</v>
      </c>
      <c r="X101" s="131">
        <f>IFERROR(_xlfn.XLOOKUP($S101,'[47]Tgl 8'!$E$108:$E$156,'[47]Tgl 8'!$H$108:$H$156),0)</f>
        <v>0</v>
      </c>
      <c r="Y101" s="128">
        <f t="shared" si="34"/>
        <v>0</v>
      </c>
      <c r="Z101" s="131">
        <f>IFERROR(_xlfn.XLOOKUP($S101,'[47]Tgl 8'!$E$108:$E$156,'[47]Tgl 8'!$G$108:$G$156),0)</f>
        <v>0</v>
      </c>
      <c r="AA101" s="129">
        <f t="shared" si="35"/>
        <v>0</v>
      </c>
      <c r="AB101" s="130"/>
      <c r="AC101" s="130"/>
      <c r="AD101" s="115" t="s">
        <v>1273</v>
      </c>
      <c r="AE101" s="115" t="s">
        <v>1274</v>
      </c>
      <c r="AF101" s="115" t="s">
        <v>79</v>
      </c>
      <c r="AG101" s="115" t="s">
        <v>1349</v>
      </c>
      <c r="AH101" s="115"/>
      <c r="AI101" s="131">
        <v>0</v>
      </c>
      <c r="AJ101" s="131">
        <f>IFERROR(_xlfn.XLOOKUP($AG101,[47]Sheet1!$E$108:$E$132,[47]Sheet1!F$108:F$132),0)</f>
        <v>0</v>
      </c>
      <c r="AK101" s="128">
        <f t="shared" si="36"/>
        <v>0</v>
      </c>
      <c r="AL101" s="131">
        <f>IFERROR(_xlfn.XLOOKUP($AG101,[47]Sheet1!$E$108:$E$132,[47]Sheet1!H$108:H$132),0)</f>
        <v>0</v>
      </c>
      <c r="AM101" s="128">
        <f t="shared" si="37"/>
        <v>0</v>
      </c>
      <c r="AN101" s="131">
        <f>IFERROR(_xlfn.XLOOKUP($AG101,[47]Sheet1!$E$108:$E$132,[47]Sheet1!G$108:G$132),0)</f>
        <v>0</v>
      </c>
      <c r="AO101" s="129">
        <f t="shared" si="38"/>
        <v>0</v>
      </c>
    </row>
    <row r="102" spans="2:41" x14ac:dyDescent="0.2">
      <c r="B102" s="110" t="s">
        <v>1273</v>
      </c>
      <c r="C102" s="110" t="s">
        <v>1274</v>
      </c>
      <c r="D102" s="110" t="s">
        <v>79</v>
      </c>
      <c r="E102" s="110" t="s">
        <v>1350</v>
      </c>
      <c r="F102" s="110"/>
      <c r="G102" s="116">
        <v>0</v>
      </c>
      <c r="H102" s="115">
        <v>0</v>
      </c>
      <c r="I102" s="128">
        <f t="shared" si="30"/>
        <v>0</v>
      </c>
      <c r="J102" s="115">
        <v>0</v>
      </c>
      <c r="K102" s="128">
        <f t="shared" si="31"/>
        <v>0</v>
      </c>
      <c r="L102" s="115">
        <v>0</v>
      </c>
      <c r="M102" s="129">
        <f t="shared" si="32"/>
        <v>0</v>
      </c>
      <c r="N102" s="130"/>
      <c r="O102" s="130"/>
      <c r="P102" s="115" t="s">
        <v>1273</v>
      </c>
      <c r="Q102" s="115" t="s">
        <v>1274</v>
      </c>
      <c r="R102" s="115" t="s">
        <v>79</v>
      </c>
      <c r="S102" s="115" t="s">
        <v>1350</v>
      </c>
      <c r="T102" s="115"/>
      <c r="U102" s="131">
        <v>0</v>
      </c>
      <c r="V102" s="131">
        <f>IFERROR(_xlfn.XLOOKUP($S102,'[47]Tgl 8'!$E$108:$E$156,'[47]Tgl 8'!$F$108:$F$156),0)</f>
        <v>0</v>
      </c>
      <c r="W102" s="128">
        <f t="shared" si="33"/>
        <v>0</v>
      </c>
      <c r="X102" s="131">
        <f>IFERROR(_xlfn.XLOOKUP($S102,'[47]Tgl 8'!$E$108:$E$156,'[47]Tgl 8'!$H$108:$H$156),0)</f>
        <v>0</v>
      </c>
      <c r="Y102" s="128">
        <f t="shared" si="34"/>
        <v>0</v>
      </c>
      <c r="Z102" s="131">
        <f>IFERROR(_xlfn.XLOOKUP($S102,'[47]Tgl 8'!$E$108:$E$156,'[47]Tgl 8'!$G$108:$G$156),0)</f>
        <v>0</v>
      </c>
      <c r="AA102" s="129">
        <f t="shared" si="35"/>
        <v>0</v>
      </c>
      <c r="AB102" s="130"/>
      <c r="AC102" s="130"/>
      <c r="AD102" s="115" t="s">
        <v>1273</v>
      </c>
      <c r="AE102" s="115" t="s">
        <v>1274</v>
      </c>
      <c r="AF102" s="115" t="s">
        <v>79</v>
      </c>
      <c r="AG102" s="115" t="s">
        <v>1350</v>
      </c>
      <c r="AH102" s="115"/>
      <c r="AI102" s="131">
        <v>0</v>
      </c>
      <c r="AJ102" s="131">
        <f>IFERROR(_xlfn.XLOOKUP($AG102,[47]Sheet1!$E$108:$E$132,[47]Sheet1!F$108:F$132),0)</f>
        <v>0</v>
      </c>
      <c r="AK102" s="128">
        <f t="shared" si="36"/>
        <v>0</v>
      </c>
      <c r="AL102" s="131">
        <f>IFERROR(_xlfn.XLOOKUP($AG102,[47]Sheet1!$E$108:$E$132,[47]Sheet1!H$108:H$132),0)</f>
        <v>0</v>
      </c>
      <c r="AM102" s="128">
        <f t="shared" si="37"/>
        <v>0</v>
      </c>
      <c r="AN102" s="131">
        <f>IFERROR(_xlfn.XLOOKUP($AG102,[47]Sheet1!$E$108:$E$132,[47]Sheet1!G$108:G$132),0)</f>
        <v>0</v>
      </c>
      <c r="AO102" s="129">
        <f t="shared" si="38"/>
        <v>0</v>
      </c>
    </row>
    <row r="103" spans="2:41" x14ac:dyDescent="0.2">
      <c r="B103" s="110" t="s">
        <v>1273</v>
      </c>
      <c r="C103" s="110" t="s">
        <v>1274</v>
      </c>
      <c r="D103" s="110" t="s">
        <v>79</v>
      </c>
      <c r="E103" s="110" t="s">
        <v>1351</v>
      </c>
      <c r="F103" s="110"/>
      <c r="G103" s="116">
        <v>3200</v>
      </c>
      <c r="H103" s="115">
        <v>0</v>
      </c>
      <c r="I103" s="128">
        <f t="shared" si="30"/>
        <v>0</v>
      </c>
      <c r="J103" s="115">
        <v>0</v>
      </c>
      <c r="K103" s="128">
        <f t="shared" si="31"/>
        <v>0</v>
      </c>
      <c r="L103" s="115">
        <v>0</v>
      </c>
      <c r="M103" s="129">
        <f t="shared" si="32"/>
        <v>0</v>
      </c>
      <c r="N103" s="130"/>
      <c r="O103" s="130"/>
      <c r="P103" s="115" t="s">
        <v>1273</v>
      </c>
      <c r="Q103" s="115" t="s">
        <v>1274</v>
      </c>
      <c r="R103" s="115" t="s">
        <v>79</v>
      </c>
      <c r="S103" s="115" t="s">
        <v>1351</v>
      </c>
      <c r="T103" s="115"/>
      <c r="U103" s="131">
        <v>3200</v>
      </c>
      <c r="V103" s="131">
        <f>IFERROR(_xlfn.XLOOKUP($S103,'[47]Tgl 8'!$E$108:$E$156,'[47]Tgl 8'!$F$108:$F$156),0)</f>
        <v>0</v>
      </c>
      <c r="W103" s="128">
        <f t="shared" si="33"/>
        <v>0</v>
      </c>
      <c r="X103" s="131">
        <f>IFERROR(_xlfn.XLOOKUP($S103,'[47]Tgl 8'!$E$108:$E$156,'[47]Tgl 8'!$H$108:$H$156),0)</f>
        <v>0</v>
      </c>
      <c r="Y103" s="128">
        <f t="shared" si="34"/>
        <v>0</v>
      </c>
      <c r="Z103" s="131">
        <f>IFERROR(_xlfn.XLOOKUP($S103,'[47]Tgl 8'!$E$108:$E$156,'[47]Tgl 8'!$G$108:$G$156),0)</f>
        <v>0</v>
      </c>
      <c r="AA103" s="129">
        <f t="shared" si="35"/>
        <v>0</v>
      </c>
      <c r="AB103" s="130"/>
      <c r="AC103" s="130"/>
      <c r="AD103" s="115" t="s">
        <v>1273</v>
      </c>
      <c r="AE103" s="115" t="s">
        <v>1274</v>
      </c>
      <c r="AF103" s="115" t="s">
        <v>79</v>
      </c>
      <c r="AG103" s="115" t="s">
        <v>1351</v>
      </c>
      <c r="AH103" s="115"/>
      <c r="AI103" s="131">
        <v>3200</v>
      </c>
      <c r="AJ103" s="131">
        <f>IFERROR(_xlfn.XLOOKUP($AG103,[47]Sheet1!$E$108:$E$132,[47]Sheet1!F$108:F$132),0)</f>
        <v>0</v>
      </c>
      <c r="AK103" s="128">
        <f t="shared" si="36"/>
        <v>0</v>
      </c>
      <c r="AL103" s="131">
        <f>IFERROR(_xlfn.XLOOKUP($AG103,[47]Sheet1!$E$108:$E$132,[47]Sheet1!H$108:H$132),0)</f>
        <v>0</v>
      </c>
      <c r="AM103" s="128">
        <f t="shared" si="37"/>
        <v>0</v>
      </c>
      <c r="AN103" s="131">
        <f>IFERROR(_xlfn.XLOOKUP($AG103,[47]Sheet1!$E$108:$E$132,[47]Sheet1!G$108:G$132),0)</f>
        <v>0</v>
      </c>
      <c r="AO103" s="129">
        <f t="shared" si="38"/>
        <v>0</v>
      </c>
    </row>
    <row r="104" spans="2:41" x14ac:dyDescent="0.2">
      <c r="B104" s="110" t="s">
        <v>1273</v>
      </c>
      <c r="C104" s="110" t="s">
        <v>1274</v>
      </c>
      <c r="D104" s="110" t="s">
        <v>79</v>
      </c>
      <c r="E104" s="110" t="s">
        <v>1352</v>
      </c>
      <c r="F104" s="110"/>
      <c r="G104" s="116">
        <v>6387</v>
      </c>
      <c r="H104" s="115">
        <v>0</v>
      </c>
      <c r="I104" s="128">
        <f t="shared" si="30"/>
        <v>0</v>
      </c>
      <c r="J104" s="115">
        <v>0</v>
      </c>
      <c r="K104" s="128">
        <f t="shared" si="31"/>
        <v>0</v>
      </c>
      <c r="L104" s="115">
        <v>0</v>
      </c>
      <c r="M104" s="129">
        <f t="shared" si="32"/>
        <v>0</v>
      </c>
      <c r="N104" s="130"/>
      <c r="O104" s="130"/>
      <c r="P104" s="115" t="s">
        <v>1273</v>
      </c>
      <c r="Q104" s="115" t="s">
        <v>1274</v>
      </c>
      <c r="R104" s="115" t="s">
        <v>79</v>
      </c>
      <c r="S104" s="115" t="s">
        <v>1352</v>
      </c>
      <c r="T104" s="115"/>
      <c r="U104" s="131">
        <v>6387</v>
      </c>
      <c r="V104" s="131">
        <f>IFERROR(_xlfn.XLOOKUP($S104,'[47]Tgl 8'!$E$108:$E$156,'[47]Tgl 8'!$F$108:$F$156),0)</f>
        <v>0</v>
      </c>
      <c r="W104" s="128">
        <f t="shared" si="33"/>
        <v>0</v>
      </c>
      <c r="X104" s="131">
        <f>IFERROR(_xlfn.XLOOKUP($S104,'[47]Tgl 8'!$E$108:$E$156,'[47]Tgl 8'!$H$108:$H$156),0)</f>
        <v>0</v>
      </c>
      <c r="Y104" s="128">
        <f t="shared" si="34"/>
        <v>0</v>
      </c>
      <c r="Z104" s="131">
        <f>IFERROR(_xlfn.XLOOKUP($S104,'[47]Tgl 8'!$E$108:$E$156,'[47]Tgl 8'!$G$108:$G$156),0)</f>
        <v>0</v>
      </c>
      <c r="AA104" s="129">
        <f t="shared" si="35"/>
        <v>0</v>
      </c>
      <c r="AB104" s="130"/>
      <c r="AC104" s="130"/>
      <c r="AD104" s="115" t="s">
        <v>1273</v>
      </c>
      <c r="AE104" s="115" t="s">
        <v>1274</v>
      </c>
      <c r="AF104" s="115" t="s">
        <v>79</v>
      </c>
      <c r="AG104" s="115" t="s">
        <v>1352</v>
      </c>
      <c r="AH104" s="115"/>
      <c r="AI104" s="131">
        <v>6387</v>
      </c>
      <c r="AJ104" s="131">
        <f>IFERROR(_xlfn.XLOOKUP($AG104,[47]Sheet1!$E$108:$E$132,[47]Sheet1!F$108:F$132),0)</f>
        <v>0</v>
      </c>
      <c r="AK104" s="128">
        <f t="shared" si="36"/>
        <v>0</v>
      </c>
      <c r="AL104" s="131">
        <f>IFERROR(_xlfn.XLOOKUP($AG104,[47]Sheet1!$E$108:$E$132,[47]Sheet1!H$108:H$132),0)</f>
        <v>0</v>
      </c>
      <c r="AM104" s="128">
        <f t="shared" si="37"/>
        <v>0</v>
      </c>
      <c r="AN104" s="131">
        <f>IFERROR(_xlfn.XLOOKUP($AG104,[47]Sheet1!$E$108:$E$132,[47]Sheet1!G$108:G$132),0)</f>
        <v>0</v>
      </c>
      <c r="AO104" s="129">
        <f t="shared" si="38"/>
        <v>0</v>
      </c>
    </row>
    <row r="105" spans="2:41" x14ac:dyDescent="0.2">
      <c r="B105" s="110" t="s">
        <v>1273</v>
      </c>
      <c r="C105" s="110" t="s">
        <v>1274</v>
      </c>
      <c r="D105" s="110" t="s">
        <v>79</v>
      </c>
      <c r="E105" s="110" t="s">
        <v>1353</v>
      </c>
      <c r="F105" s="110"/>
      <c r="G105" s="116">
        <v>2551</v>
      </c>
      <c r="H105" s="115">
        <v>0</v>
      </c>
      <c r="I105" s="128">
        <f t="shared" si="30"/>
        <v>0</v>
      </c>
      <c r="J105" s="115">
        <v>0</v>
      </c>
      <c r="K105" s="128">
        <f t="shared" si="31"/>
        <v>0</v>
      </c>
      <c r="L105" s="115">
        <v>0</v>
      </c>
      <c r="M105" s="129">
        <f t="shared" si="32"/>
        <v>0</v>
      </c>
      <c r="N105" s="130"/>
      <c r="O105" s="130"/>
      <c r="P105" s="115" t="s">
        <v>1273</v>
      </c>
      <c r="Q105" s="115" t="s">
        <v>1274</v>
      </c>
      <c r="R105" s="115" t="s">
        <v>79</v>
      </c>
      <c r="S105" s="115" t="s">
        <v>1353</v>
      </c>
      <c r="T105" s="115"/>
      <c r="U105" s="131">
        <v>2551</v>
      </c>
      <c r="V105" s="131">
        <f>IFERROR(_xlfn.XLOOKUP($S105,'[47]Tgl 8'!$E$108:$E$156,'[47]Tgl 8'!$F$108:$F$156),0)</f>
        <v>0</v>
      </c>
      <c r="W105" s="128">
        <f t="shared" si="33"/>
        <v>0</v>
      </c>
      <c r="X105" s="131">
        <f>IFERROR(_xlfn.XLOOKUP($S105,'[47]Tgl 8'!$E$108:$E$156,'[47]Tgl 8'!$H$108:$H$156),0)</f>
        <v>0</v>
      </c>
      <c r="Y105" s="128">
        <f t="shared" si="34"/>
        <v>0</v>
      </c>
      <c r="Z105" s="131">
        <f>IFERROR(_xlfn.XLOOKUP($S105,'[47]Tgl 8'!$E$108:$E$156,'[47]Tgl 8'!$G$108:$G$156),0)</f>
        <v>0</v>
      </c>
      <c r="AA105" s="129">
        <f t="shared" si="35"/>
        <v>0</v>
      </c>
      <c r="AB105" s="130"/>
      <c r="AC105" s="130"/>
      <c r="AD105" s="115" t="s">
        <v>1273</v>
      </c>
      <c r="AE105" s="115" t="s">
        <v>1274</v>
      </c>
      <c r="AF105" s="115" t="s">
        <v>79</v>
      </c>
      <c r="AG105" s="115" t="s">
        <v>1353</v>
      </c>
      <c r="AH105" s="115"/>
      <c r="AI105" s="131">
        <v>2551</v>
      </c>
      <c r="AJ105" s="131">
        <f>IFERROR(_xlfn.XLOOKUP($AG105,[47]Sheet1!$E$108:$E$132,[47]Sheet1!F$108:F$132),0)</f>
        <v>0</v>
      </c>
      <c r="AK105" s="128">
        <f t="shared" si="36"/>
        <v>0</v>
      </c>
      <c r="AL105" s="131">
        <f>IFERROR(_xlfn.XLOOKUP($AG105,[47]Sheet1!$E$108:$E$132,[47]Sheet1!H$108:H$132),0)</f>
        <v>0</v>
      </c>
      <c r="AM105" s="128">
        <f t="shared" si="37"/>
        <v>0</v>
      </c>
      <c r="AN105" s="131">
        <f>IFERROR(_xlfn.XLOOKUP($AG105,[47]Sheet1!$E$108:$E$132,[47]Sheet1!G$108:G$132),0)</f>
        <v>0</v>
      </c>
      <c r="AO105" s="129">
        <f t="shared" si="38"/>
        <v>0</v>
      </c>
    </row>
    <row r="106" spans="2:41" x14ac:dyDescent="0.2">
      <c r="B106" s="110" t="s">
        <v>1273</v>
      </c>
      <c r="C106" s="110" t="s">
        <v>1274</v>
      </c>
      <c r="D106" s="110" t="s">
        <v>79</v>
      </c>
      <c r="E106" s="110" t="s">
        <v>1354</v>
      </c>
      <c r="F106" s="110"/>
      <c r="G106" s="116">
        <v>2771</v>
      </c>
      <c r="H106" s="115">
        <v>0</v>
      </c>
      <c r="I106" s="128">
        <f t="shared" si="30"/>
        <v>0</v>
      </c>
      <c r="J106" s="115">
        <v>0</v>
      </c>
      <c r="K106" s="128">
        <f t="shared" si="31"/>
        <v>0</v>
      </c>
      <c r="L106" s="115">
        <v>0</v>
      </c>
      <c r="M106" s="129">
        <f t="shared" si="32"/>
        <v>0</v>
      </c>
      <c r="N106" s="130"/>
      <c r="O106" s="130"/>
      <c r="P106" s="115" t="s">
        <v>1273</v>
      </c>
      <c r="Q106" s="115" t="s">
        <v>1274</v>
      </c>
      <c r="R106" s="115" t="s">
        <v>79</v>
      </c>
      <c r="S106" s="115" t="s">
        <v>1354</v>
      </c>
      <c r="T106" s="115"/>
      <c r="U106" s="131">
        <v>2771</v>
      </c>
      <c r="V106" s="131">
        <f>IFERROR(_xlfn.XLOOKUP($S106,'[47]Tgl 8'!$E$108:$E$156,'[47]Tgl 8'!$F$108:$F$156),0)</f>
        <v>0</v>
      </c>
      <c r="W106" s="128">
        <f t="shared" si="33"/>
        <v>0</v>
      </c>
      <c r="X106" s="131">
        <f>IFERROR(_xlfn.XLOOKUP($S106,'[47]Tgl 8'!$E$108:$E$156,'[47]Tgl 8'!$H$108:$H$156),0)</f>
        <v>0</v>
      </c>
      <c r="Y106" s="128">
        <f t="shared" si="34"/>
        <v>0</v>
      </c>
      <c r="Z106" s="131">
        <f>IFERROR(_xlfn.XLOOKUP($S106,'[47]Tgl 8'!$E$108:$E$156,'[47]Tgl 8'!$G$108:$G$156),0)</f>
        <v>0</v>
      </c>
      <c r="AA106" s="129">
        <f t="shared" si="35"/>
        <v>0</v>
      </c>
      <c r="AB106" s="130"/>
      <c r="AC106" s="130"/>
      <c r="AD106" s="115" t="s">
        <v>1273</v>
      </c>
      <c r="AE106" s="115" t="s">
        <v>1274</v>
      </c>
      <c r="AF106" s="115" t="s">
        <v>79</v>
      </c>
      <c r="AG106" s="115" t="s">
        <v>1354</v>
      </c>
      <c r="AH106" s="115"/>
      <c r="AI106" s="131">
        <v>2771</v>
      </c>
      <c r="AJ106" s="131">
        <f>IFERROR(_xlfn.XLOOKUP($AG106,[47]Sheet1!$E$108:$E$132,[47]Sheet1!F$108:F$132),0)</f>
        <v>0</v>
      </c>
      <c r="AK106" s="128">
        <f t="shared" si="36"/>
        <v>0</v>
      </c>
      <c r="AL106" s="131">
        <f>IFERROR(_xlfn.XLOOKUP($AG106,[47]Sheet1!$E$108:$E$132,[47]Sheet1!H$108:H$132),0)</f>
        <v>0</v>
      </c>
      <c r="AM106" s="128">
        <f t="shared" si="37"/>
        <v>0</v>
      </c>
      <c r="AN106" s="131">
        <f>IFERROR(_xlfn.XLOOKUP($AG106,[47]Sheet1!$E$108:$E$132,[47]Sheet1!G$108:G$132),0)</f>
        <v>0</v>
      </c>
      <c r="AO106" s="129">
        <f t="shared" si="38"/>
        <v>0</v>
      </c>
    </row>
    <row r="107" spans="2:41" x14ac:dyDescent="0.2">
      <c r="B107" s="110" t="s">
        <v>1273</v>
      </c>
      <c r="C107" s="110" t="s">
        <v>1274</v>
      </c>
      <c r="D107" s="110" t="s">
        <v>79</v>
      </c>
      <c r="E107" s="110" t="s">
        <v>1355</v>
      </c>
      <c r="F107" s="110"/>
      <c r="G107" s="116">
        <v>5611</v>
      </c>
      <c r="H107" s="115">
        <v>0</v>
      </c>
      <c r="I107" s="128">
        <f t="shared" si="30"/>
        <v>0</v>
      </c>
      <c r="J107" s="115">
        <v>0</v>
      </c>
      <c r="K107" s="128">
        <f t="shared" si="31"/>
        <v>0</v>
      </c>
      <c r="L107" s="115">
        <v>0</v>
      </c>
      <c r="M107" s="129">
        <f t="shared" si="32"/>
        <v>0</v>
      </c>
      <c r="N107" s="130"/>
      <c r="O107" s="130"/>
      <c r="P107" s="115" t="s">
        <v>1273</v>
      </c>
      <c r="Q107" s="115" t="s">
        <v>1274</v>
      </c>
      <c r="R107" s="115" t="s">
        <v>79</v>
      </c>
      <c r="S107" s="115" t="s">
        <v>1355</v>
      </c>
      <c r="T107" s="115"/>
      <c r="U107" s="131">
        <v>5611</v>
      </c>
      <c r="V107" s="131">
        <f>IFERROR(_xlfn.XLOOKUP($S107,'[47]Tgl 8'!$E$108:$E$156,'[47]Tgl 8'!$F$108:$F$156),0)</f>
        <v>0</v>
      </c>
      <c r="W107" s="128">
        <f t="shared" si="33"/>
        <v>0</v>
      </c>
      <c r="X107" s="131">
        <f>IFERROR(_xlfn.XLOOKUP($S107,'[47]Tgl 8'!$E$108:$E$156,'[47]Tgl 8'!$H$108:$H$156),0)</f>
        <v>0</v>
      </c>
      <c r="Y107" s="128">
        <f t="shared" si="34"/>
        <v>0</v>
      </c>
      <c r="Z107" s="131">
        <f>IFERROR(_xlfn.XLOOKUP($S107,'[47]Tgl 8'!$E$108:$E$156,'[47]Tgl 8'!$G$108:$G$156),0)</f>
        <v>0</v>
      </c>
      <c r="AA107" s="129">
        <f t="shared" si="35"/>
        <v>0</v>
      </c>
      <c r="AB107" s="130"/>
      <c r="AC107" s="130"/>
      <c r="AD107" s="115" t="s">
        <v>1273</v>
      </c>
      <c r="AE107" s="115" t="s">
        <v>1274</v>
      </c>
      <c r="AF107" s="115" t="s">
        <v>79</v>
      </c>
      <c r="AG107" s="115" t="s">
        <v>1355</v>
      </c>
      <c r="AH107" s="115"/>
      <c r="AI107" s="131">
        <v>5611</v>
      </c>
      <c r="AJ107" s="131">
        <f>IFERROR(_xlfn.XLOOKUP($AG107,[47]Sheet1!$E$108:$E$132,[47]Sheet1!F$108:F$132),0)</f>
        <v>0</v>
      </c>
      <c r="AK107" s="128">
        <f t="shared" si="36"/>
        <v>0</v>
      </c>
      <c r="AL107" s="131">
        <f>IFERROR(_xlfn.XLOOKUP($AG107,[47]Sheet1!$E$108:$E$132,[47]Sheet1!H$108:H$132),0)</f>
        <v>0</v>
      </c>
      <c r="AM107" s="128">
        <f t="shared" si="37"/>
        <v>0</v>
      </c>
      <c r="AN107" s="131">
        <f>IFERROR(_xlfn.XLOOKUP($AG107,[47]Sheet1!$E$108:$E$132,[47]Sheet1!G$108:G$132),0)</f>
        <v>0</v>
      </c>
      <c r="AO107" s="129">
        <f t="shared" si="38"/>
        <v>0</v>
      </c>
    </row>
    <row r="108" spans="2:41" x14ac:dyDescent="0.2">
      <c r="B108" s="110" t="s">
        <v>1273</v>
      </c>
      <c r="C108" s="110" t="s">
        <v>1274</v>
      </c>
      <c r="D108" s="110" t="s">
        <v>79</v>
      </c>
      <c r="E108" s="110" t="s">
        <v>1356</v>
      </c>
      <c r="F108" s="110"/>
      <c r="G108" s="116">
        <v>3377</v>
      </c>
      <c r="H108" s="115">
        <v>63</v>
      </c>
      <c r="I108" s="128">
        <f t="shared" si="30"/>
        <v>1.8655611489487709</v>
      </c>
      <c r="J108" s="115">
        <v>57</v>
      </c>
      <c r="K108" s="128">
        <f t="shared" si="31"/>
        <v>90.476190476190482</v>
      </c>
      <c r="L108" s="115">
        <v>6</v>
      </c>
      <c r="M108" s="129">
        <f t="shared" si="32"/>
        <v>9.5238095238095237</v>
      </c>
      <c r="N108" s="130"/>
      <c r="O108" s="130"/>
      <c r="P108" s="115" t="s">
        <v>1273</v>
      </c>
      <c r="Q108" s="115" t="s">
        <v>1274</v>
      </c>
      <c r="R108" s="115" t="s">
        <v>79</v>
      </c>
      <c r="S108" s="115" t="s">
        <v>1356</v>
      </c>
      <c r="T108" s="115"/>
      <c r="U108" s="131">
        <v>3377</v>
      </c>
      <c r="V108" s="131">
        <f>IFERROR(_xlfn.XLOOKUP($S108,'[47]Tgl 8'!$E$108:$E$156,'[47]Tgl 8'!$F$108:$F$156),0)</f>
        <v>0</v>
      </c>
      <c r="W108" s="128">
        <f t="shared" si="33"/>
        <v>0</v>
      </c>
      <c r="X108" s="131">
        <f>IFERROR(_xlfn.XLOOKUP($S108,'[47]Tgl 8'!$E$108:$E$156,'[47]Tgl 8'!$H$108:$H$156),0)</f>
        <v>0</v>
      </c>
      <c r="Y108" s="128">
        <f t="shared" si="34"/>
        <v>0</v>
      </c>
      <c r="Z108" s="131">
        <f>IFERROR(_xlfn.XLOOKUP($S108,'[47]Tgl 8'!$E$108:$E$156,'[47]Tgl 8'!$G$108:$G$156),0)</f>
        <v>0</v>
      </c>
      <c r="AA108" s="129">
        <f t="shared" si="35"/>
        <v>0</v>
      </c>
      <c r="AB108" s="130"/>
      <c r="AC108" s="130"/>
      <c r="AD108" s="115" t="s">
        <v>1273</v>
      </c>
      <c r="AE108" s="115" t="s">
        <v>1274</v>
      </c>
      <c r="AF108" s="115" t="s">
        <v>79</v>
      </c>
      <c r="AG108" s="115" t="s">
        <v>1356</v>
      </c>
      <c r="AH108" s="115"/>
      <c r="AI108" s="131">
        <v>3377</v>
      </c>
      <c r="AJ108" s="131">
        <f>IFERROR(_xlfn.XLOOKUP($AG108,[47]Sheet1!$E$108:$E$132,[47]Sheet1!F$108:F$132),0)</f>
        <v>0</v>
      </c>
      <c r="AK108" s="128">
        <f t="shared" si="36"/>
        <v>0</v>
      </c>
      <c r="AL108" s="131">
        <f>IFERROR(_xlfn.XLOOKUP($AG108,[47]Sheet1!$E$108:$E$132,[47]Sheet1!H$108:H$132),0)</f>
        <v>0</v>
      </c>
      <c r="AM108" s="128">
        <f t="shared" si="37"/>
        <v>0</v>
      </c>
      <c r="AN108" s="131">
        <f>IFERROR(_xlfn.XLOOKUP($AG108,[47]Sheet1!$E$108:$E$132,[47]Sheet1!G$108:G$132),0)</f>
        <v>0</v>
      </c>
      <c r="AO108" s="129">
        <f t="shared" si="38"/>
        <v>0</v>
      </c>
    </row>
    <row r="109" spans="2:41" x14ac:dyDescent="0.2">
      <c r="B109" s="110" t="s">
        <v>1273</v>
      </c>
      <c r="C109" s="110" t="s">
        <v>1274</v>
      </c>
      <c r="D109" s="110" t="s">
        <v>79</v>
      </c>
      <c r="E109" s="110" t="s">
        <v>1357</v>
      </c>
      <c r="F109" s="110"/>
      <c r="G109" s="116">
        <v>3314</v>
      </c>
      <c r="H109" s="115">
        <v>67</v>
      </c>
      <c r="I109" s="128">
        <f t="shared" si="30"/>
        <v>2.0217260108630053</v>
      </c>
      <c r="J109" s="115">
        <v>56</v>
      </c>
      <c r="K109" s="128">
        <f t="shared" si="31"/>
        <v>83.582089552238799</v>
      </c>
      <c r="L109" s="115">
        <v>11</v>
      </c>
      <c r="M109" s="129">
        <f t="shared" si="32"/>
        <v>16.417910447761194</v>
      </c>
      <c r="N109" s="130"/>
      <c r="O109" s="130"/>
      <c r="P109" s="115" t="s">
        <v>1273</v>
      </c>
      <c r="Q109" s="115" t="s">
        <v>1274</v>
      </c>
      <c r="R109" s="115" t="s">
        <v>79</v>
      </c>
      <c r="S109" s="115" t="s">
        <v>1357</v>
      </c>
      <c r="T109" s="115"/>
      <c r="U109" s="131">
        <v>3314</v>
      </c>
      <c r="V109" s="131">
        <f>IFERROR(_xlfn.XLOOKUP($S109,'[47]Tgl 8'!$E$108:$E$156,'[47]Tgl 8'!$F$108:$F$156),0)</f>
        <v>0</v>
      </c>
      <c r="W109" s="128">
        <f t="shared" si="33"/>
        <v>0</v>
      </c>
      <c r="X109" s="131">
        <f>IFERROR(_xlfn.XLOOKUP($S109,'[47]Tgl 8'!$E$108:$E$156,'[47]Tgl 8'!$H$108:$H$156),0)</f>
        <v>0</v>
      </c>
      <c r="Y109" s="128">
        <f t="shared" si="34"/>
        <v>0</v>
      </c>
      <c r="Z109" s="131">
        <f>IFERROR(_xlfn.XLOOKUP($S109,'[47]Tgl 8'!$E$108:$E$156,'[47]Tgl 8'!$G$108:$G$156),0)</f>
        <v>0</v>
      </c>
      <c r="AA109" s="129">
        <f t="shared" si="35"/>
        <v>0</v>
      </c>
      <c r="AB109" s="130"/>
      <c r="AC109" s="130"/>
      <c r="AD109" s="115" t="s">
        <v>1273</v>
      </c>
      <c r="AE109" s="115" t="s">
        <v>1274</v>
      </c>
      <c r="AF109" s="115" t="s">
        <v>79</v>
      </c>
      <c r="AG109" s="115" t="s">
        <v>1357</v>
      </c>
      <c r="AH109" s="115"/>
      <c r="AI109" s="131">
        <v>3314</v>
      </c>
      <c r="AJ109" s="131">
        <f>IFERROR(_xlfn.XLOOKUP($AG109,[47]Sheet1!$E$108:$E$132,[47]Sheet1!F$108:F$132),0)</f>
        <v>0</v>
      </c>
      <c r="AK109" s="128">
        <f t="shared" si="36"/>
        <v>0</v>
      </c>
      <c r="AL109" s="131">
        <f>IFERROR(_xlfn.XLOOKUP($AG109,[47]Sheet1!$E$108:$E$132,[47]Sheet1!H$108:H$132),0)</f>
        <v>0</v>
      </c>
      <c r="AM109" s="128">
        <f t="shared" si="37"/>
        <v>0</v>
      </c>
      <c r="AN109" s="131">
        <f>IFERROR(_xlfn.XLOOKUP($AG109,[47]Sheet1!$E$108:$E$132,[47]Sheet1!G$108:G$132),0)</f>
        <v>0</v>
      </c>
      <c r="AO109" s="129">
        <f t="shared" si="38"/>
        <v>0</v>
      </c>
    </row>
    <row r="110" spans="2:41" x14ac:dyDescent="0.2">
      <c r="B110" s="110" t="s">
        <v>1273</v>
      </c>
      <c r="C110" s="110" t="s">
        <v>1274</v>
      </c>
      <c r="D110" s="110" t="s">
        <v>79</v>
      </c>
      <c r="E110" s="110" t="s">
        <v>1358</v>
      </c>
      <c r="F110" s="110"/>
      <c r="G110" s="116">
        <v>2887</v>
      </c>
      <c r="H110" s="115">
        <v>60</v>
      </c>
      <c r="I110" s="128">
        <f t="shared" si="30"/>
        <v>2.0782819535850363</v>
      </c>
      <c r="J110" s="115">
        <v>52</v>
      </c>
      <c r="K110" s="128">
        <f t="shared" si="31"/>
        <v>86.666666666666671</v>
      </c>
      <c r="L110" s="115">
        <v>8</v>
      </c>
      <c r="M110" s="129">
        <f t="shared" si="32"/>
        <v>13.333333333333334</v>
      </c>
      <c r="N110" s="130"/>
      <c r="O110" s="130"/>
      <c r="P110" s="115" t="s">
        <v>1273</v>
      </c>
      <c r="Q110" s="115" t="s">
        <v>1274</v>
      </c>
      <c r="R110" s="115" t="s">
        <v>79</v>
      </c>
      <c r="S110" s="115" t="s">
        <v>1358</v>
      </c>
      <c r="T110" s="115"/>
      <c r="U110" s="131">
        <v>2887</v>
      </c>
      <c r="V110" s="131">
        <f>IFERROR(_xlfn.XLOOKUP($S110,'[47]Tgl 8'!$E$108:$E$156,'[47]Tgl 8'!$F$108:$F$156),0)</f>
        <v>0</v>
      </c>
      <c r="W110" s="128">
        <f t="shared" si="33"/>
        <v>0</v>
      </c>
      <c r="X110" s="131">
        <f>IFERROR(_xlfn.XLOOKUP($S110,'[47]Tgl 8'!$E$108:$E$156,'[47]Tgl 8'!$H$108:$H$156),0)</f>
        <v>0</v>
      </c>
      <c r="Y110" s="128">
        <f t="shared" si="34"/>
        <v>0</v>
      </c>
      <c r="Z110" s="131">
        <f>IFERROR(_xlfn.XLOOKUP($S110,'[47]Tgl 8'!$E$108:$E$156,'[47]Tgl 8'!$G$108:$G$156),0)</f>
        <v>0</v>
      </c>
      <c r="AA110" s="129">
        <f t="shared" si="35"/>
        <v>0</v>
      </c>
      <c r="AB110" s="130"/>
      <c r="AC110" s="130"/>
      <c r="AD110" s="115" t="s">
        <v>1273</v>
      </c>
      <c r="AE110" s="115" t="s">
        <v>1274</v>
      </c>
      <c r="AF110" s="115" t="s">
        <v>79</v>
      </c>
      <c r="AG110" s="115" t="s">
        <v>1358</v>
      </c>
      <c r="AH110" s="115"/>
      <c r="AI110" s="131">
        <v>2887</v>
      </c>
      <c r="AJ110" s="131">
        <f>IFERROR(_xlfn.XLOOKUP($AG110,[47]Sheet1!$E$108:$E$132,[47]Sheet1!F$108:F$132),0)</f>
        <v>0</v>
      </c>
      <c r="AK110" s="128">
        <f t="shared" si="36"/>
        <v>0</v>
      </c>
      <c r="AL110" s="131">
        <f>IFERROR(_xlfn.XLOOKUP($AG110,[47]Sheet1!$E$108:$E$132,[47]Sheet1!H$108:H$132),0)</f>
        <v>0</v>
      </c>
      <c r="AM110" s="128">
        <f t="shared" si="37"/>
        <v>0</v>
      </c>
      <c r="AN110" s="131">
        <f>IFERROR(_xlfn.XLOOKUP($AG110,[47]Sheet1!$E$108:$E$132,[47]Sheet1!G$108:G$132),0)</f>
        <v>0</v>
      </c>
      <c r="AO110" s="129">
        <f t="shared" si="38"/>
        <v>0</v>
      </c>
    </row>
    <row r="111" spans="2:41" x14ac:dyDescent="0.2">
      <c r="B111" s="110" t="s">
        <v>1273</v>
      </c>
      <c r="C111" s="110" t="s">
        <v>1274</v>
      </c>
      <c r="D111" s="110" t="s">
        <v>79</v>
      </c>
      <c r="E111" s="110" t="s">
        <v>1359</v>
      </c>
      <c r="F111" s="110"/>
      <c r="G111" s="116">
        <v>3658</v>
      </c>
      <c r="H111" s="115">
        <v>28</v>
      </c>
      <c r="I111" s="128">
        <f t="shared" si="30"/>
        <v>0.76544559868780759</v>
      </c>
      <c r="J111" s="115">
        <v>15</v>
      </c>
      <c r="K111" s="128">
        <f t="shared" si="31"/>
        <v>53.571428571428569</v>
      </c>
      <c r="L111" s="115">
        <v>13</v>
      </c>
      <c r="M111" s="129">
        <f t="shared" si="32"/>
        <v>46.428571428571423</v>
      </c>
      <c r="N111" s="130"/>
      <c r="O111" s="130"/>
      <c r="P111" s="115" t="s">
        <v>1273</v>
      </c>
      <c r="Q111" s="115" t="s">
        <v>1274</v>
      </c>
      <c r="R111" s="115" t="s">
        <v>79</v>
      </c>
      <c r="S111" s="115" t="s">
        <v>1359</v>
      </c>
      <c r="T111" s="115"/>
      <c r="U111" s="131">
        <v>3658</v>
      </c>
      <c r="V111" s="131">
        <f>IFERROR(_xlfn.XLOOKUP($S111,'[47]Tgl 8'!$E$108:$E$156,'[47]Tgl 8'!$F$108:$F$156),0)</f>
        <v>0</v>
      </c>
      <c r="W111" s="128">
        <f t="shared" si="33"/>
        <v>0</v>
      </c>
      <c r="X111" s="131">
        <f>IFERROR(_xlfn.XLOOKUP($S111,'[47]Tgl 8'!$E$108:$E$156,'[47]Tgl 8'!$H$108:$H$156),0)</f>
        <v>0</v>
      </c>
      <c r="Y111" s="128">
        <f t="shared" si="34"/>
        <v>0</v>
      </c>
      <c r="Z111" s="131">
        <f>IFERROR(_xlfn.XLOOKUP($S111,'[47]Tgl 8'!$E$108:$E$156,'[47]Tgl 8'!$G$108:$G$156),0)</f>
        <v>0</v>
      </c>
      <c r="AA111" s="129">
        <f t="shared" si="35"/>
        <v>0</v>
      </c>
      <c r="AB111" s="130"/>
      <c r="AC111" s="130"/>
      <c r="AD111" s="115" t="s">
        <v>1273</v>
      </c>
      <c r="AE111" s="115" t="s">
        <v>1274</v>
      </c>
      <c r="AF111" s="115" t="s">
        <v>79</v>
      </c>
      <c r="AG111" s="115" t="s">
        <v>1359</v>
      </c>
      <c r="AH111" s="115"/>
      <c r="AI111" s="131">
        <v>3658</v>
      </c>
      <c r="AJ111" s="131">
        <f>IFERROR(_xlfn.XLOOKUP($AG111,[47]Sheet1!$E$108:$E$132,[47]Sheet1!F$108:F$132),0)</f>
        <v>0</v>
      </c>
      <c r="AK111" s="128">
        <f t="shared" si="36"/>
        <v>0</v>
      </c>
      <c r="AL111" s="131">
        <f>IFERROR(_xlfn.XLOOKUP($AG111,[47]Sheet1!$E$108:$E$132,[47]Sheet1!H$108:H$132),0)</f>
        <v>0</v>
      </c>
      <c r="AM111" s="128">
        <f t="shared" si="37"/>
        <v>0</v>
      </c>
      <c r="AN111" s="131">
        <f>IFERROR(_xlfn.XLOOKUP($AG111,[47]Sheet1!$E$108:$E$132,[47]Sheet1!G$108:G$132),0)</f>
        <v>0</v>
      </c>
      <c r="AO111" s="129">
        <f t="shared" si="38"/>
        <v>0</v>
      </c>
    </row>
    <row r="112" spans="2:41" x14ac:dyDescent="0.2">
      <c r="B112" s="110" t="s">
        <v>1273</v>
      </c>
      <c r="C112" s="110" t="s">
        <v>1274</v>
      </c>
      <c r="D112" s="110" t="s">
        <v>79</v>
      </c>
      <c r="E112" s="110" t="s">
        <v>1360</v>
      </c>
      <c r="F112" s="110"/>
      <c r="G112" s="116">
        <v>1931</v>
      </c>
      <c r="H112" s="115">
        <v>74</v>
      </c>
      <c r="I112" s="128">
        <f t="shared" si="30"/>
        <v>3.8322112894873124</v>
      </c>
      <c r="J112" s="115">
        <v>63</v>
      </c>
      <c r="K112" s="128">
        <f t="shared" si="31"/>
        <v>85.13513513513513</v>
      </c>
      <c r="L112" s="115">
        <v>11</v>
      </c>
      <c r="M112" s="129">
        <f t="shared" si="32"/>
        <v>14.864864864864865</v>
      </c>
      <c r="N112" s="130"/>
      <c r="O112" s="130"/>
      <c r="P112" s="115" t="s">
        <v>1273</v>
      </c>
      <c r="Q112" s="115" t="s">
        <v>1274</v>
      </c>
      <c r="R112" s="115" t="s">
        <v>79</v>
      </c>
      <c r="S112" s="115" t="s">
        <v>1360</v>
      </c>
      <c r="T112" s="115"/>
      <c r="U112" s="131">
        <v>1931</v>
      </c>
      <c r="V112" s="131">
        <f>IFERROR(_xlfn.XLOOKUP($S112,'[47]Tgl 8'!$E$108:$E$156,'[47]Tgl 8'!$F$108:$F$156),0)</f>
        <v>0</v>
      </c>
      <c r="W112" s="128">
        <f t="shared" si="33"/>
        <v>0</v>
      </c>
      <c r="X112" s="131">
        <f>IFERROR(_xlfn.XLOOKUP($S112,'[47]Tgl 8'!$E$108:$E$156,'[47]Tgl 8'!$H$108:$H$156),0)</f>
        <v>0</v>
      </c>
      <c r="Y112" s="128">
        <f t="shared" si="34"/>
        <v>0</v>
      </c>
      <c r="Z112" s="131">
        <f>IFERROR(_xlfn.XLOOKUP($S112,'[47]Tgl 8'!$E$108:$E$156,'[47]Tgl 8'!$G$108:$G$156),0)</f>
        <v>0</v>
      </c>
      <c r="AA112" s="129">
        <f t="shared" si="35"/>
        <v>0</v>
      </c>
      <c r="AB112" s="130"/>
      <c r="AC112" s="130"/>
      <c r="AD112" s="115" t="s">
        <v>1273</v>
      </c>
      <c r="AE112" s="115" t="s">
        <v>1274</v>
      </c>
      <c r="AF112" s="115" t="s">
        <v>79</v>
      </c>
      <c r="AG112" s="115" t="s">
        <v>1360</v>
      </c>
      <c r="AH112" s="115"/>
      <c r="AI112" s="131">
        <v>1931</v>
      </c>
      <c r="AJ112" s="131">
        <f>IFERROR(_xlfn.XLOOKUP($AG112,[47]Sheet1!$E$108:$E$132,[47]Sheet1!F$108:F$132),0)</f>
        <v>0</v>
      </c>
      <c r="AK112" s="128">
        <f t="shared" si="36"/>
        <v>0</v>
      </c>
      <c r="AL112" s="131">
        <f>IFERROR(_xlfn.XLOOKUP($AG112,[47]Sheet1!$E$108:$E$132,[47]Sheet1!H$108:H$132),0)</f>
        <v>0</v>
      </c>
      <c r="AM112" s="128">
        <f t="shared" si="37"/>
        <v>0</v>
      </c>
      <c r="AN112" s="131">
        <f>IFERROR(_xlfn.XLOOKUP($AG112,[47]Sheet1!$E$108:$E$132,[47]Sheet1!G$108:G$132),0)</f>
        <v>0</v>
      </c>
      <c r="AO112" s="129">
        <f t="shared" si="38"/>
        <v>0</v>
      </c>
    </row>
    <row r="113" spans="2:41" x14ac:dyDescent="0.2">
      <c r="B113" s="110" t="s">
        <v>1273</v>
      </c>
      <c r="C113" s="110" t="s">
        <v>1274</v>
      </c>
      <c r="D113" s="110" t="s">
        <v>79</v>
      </c>
      <c r="E113" s="110" t="s">
        <v>1361</v>
      </c>
      <c r="F113" s="110"/>
      <c r="G113" s="116">
        <v>4681</v>
      </c>
      <c r="H113" s="115">
        <v>0</v>
      </c>
      <c r="I113" s="128">
        <f t="shared" si="30"/>
        <v>0</v>
      </c>
      <c r="J113" s="115">
        <v>0</v>
      </c>
      <c r="K113" s="128">
        <f t="shared" si="31"/>
        <v>0</v>
      </c>
      <c r="L113" s="115">
        <v>0</v>
      </c>
      <c r="M113" s="129">
        <f t="shared" si="32"/>
        <v>0</v>
      </c>
      <c r="N113" s="130"/>
      <c r="O113" s="130"/>
      <c r="P113" s="115" t="s">
        <v>1273</v>
      </c>
      <c r="Q113" s="115" t="s">
        <v>1274</v>
      </c>
      <c r="R113" s="115" t="s">
        <v>79</v>
      </c>
      <c r="S113" s="115" t="s">
        <v>1361</v>
      </c>
      <c r="T113" s="115"/>
      <c r="U113" s="131">
        <v>4681</v>
      </c>
      <c r="V113" s="131">
        <f>IFERROR(_xlfn.XLOOKUP($S113,'[47]Tgl 8'!$E$108:$E$156,'[47]Tgl 8'!$F$108:$F$156),0)</f>
        <v>0</v>
      </c>
      <c r="W113" s="128">
        <f t="shared" si="33"/>
        <v>0</v>
      </c>
      <c r="X113" s="131">
        <f>IFERROR(_xlfn.XLOOKUP($S113,'[47]Tgl 8'!$E$108:$E$156,'[47]Tgl 8'!$H$108:$H$156),0)</f>
        <v>0</v>
      </c>
      <c r="Y113" s="128">
        <f t="shared" si="34"/>
        <v>0</v>
      </c>
      <c r="Z113" s="131">
        <f>IFERROR(_xlfn.XLOOKUP($S113,'[47]Tgl 8'!$E$108:$E$156,'[47]Tgl 8'!$G$108:$G$156),0)</f>
        <v>0</v>
      </c>
      <c r="AA113" s="129">
        <f t="shared" si="35"/>
        <v>0</v>
      </c>
      <c r="AB113" s="130"/>
      <c r="AC113" s="130"/>
      <c r="AD113" s="115" t="s">
        <v>1273</v>
      </c>
      <c r="AE113" s="115" t="s">
        <v>1274</v>
      </c>
      <c r="AF113" s="115" t="s">
        <v>79</v>
      </c>
      <c r="AG113" s="115" t="s">
        <v>1361</v>
      </c>
      <c r="AH113" s="115"/>
      <c r="AI113" s="131">
        <v>4681</v>
      </c>
      <c r="AJ113" s="131">
        <f>IFERROR(_xlfn.XLOOKUP($AG113,[47]Sheet1!$E$108:$E$132,[47]Sheet1!F$108:F$132),0)</f>
        <v>0</v>
      </c>
      <c r="AK113" s="128">
        <f t="shared" si="36"/>
        <v>0</v>
      </c>
      <c r="AL113" s="131">
        <f>IFERROR(_xlfn.XLOOKUP($AG113,[47]Sheet1!$E$108:$E$132,[47]Sheet1!H$108:H$132),0)</f>
        <v>0</v>
      </c>
      <c r="AM113" s="128">
        <f t="shared" si="37"/>
        <v>0</v>
      </c>
      <c r="AN113" s="131">
        <f>IFERROR(_xlfn.XLOOKUP($AG113,[47]Sheet1!$E$108:$E$132,[47]Sheet1!G$108:G$132),0)</f>
        <v>0</v>
      </c>
      <c r="AO113" s="129">
        <f t="shared" si="38"/>
        <v>0</v>
      </c>
    </row>
    <row r="114" spans="2:41" x14ac:dyDescent="0.2">
      <c r="B114" s="110" t="s">
        <v>1273</v>
      </c>
      <c r="C114" s="110" t="s">
        <v>1274</v>
      </c>
      <c r="D114" s="110" t="s">
        <v>107</v>
      </c>
      <c r="E114" s="110" t="s">
        <v>1362</v>
      </c>
      <c r="F114" s="110"/>
      <c r="G114" s="116">
        <v>4873</v>
      </c>
      <c r="H114" s="115">
        <v>440</v>
      </c>
      <c r="I114" s="128">
        <f t="shared" si="30"/>
        <v>9.0293453724604973</v>
      </c>
      <c r="J114" s="115">
        <v>113</v>
      </c>
      <c r="K114" s="128">
        <f t="shared" si="31"/>
        <v>25.68181818181818</v>
      </c>
      <c r="L114" s="115">
        <v>41</v>
      </c>
      <c r="M114" s="129">
        <f t="shared" si="32"/>
        <v>9.3181818181818166</v>
      </c>
      <c r="N114" s="130"/>
      <c r="O114" s="130"/>
      <c r="P114" s="115" t="s">
        <v>1273</v>
      </c>
      <c r="Q114" s="115" t="s">
        <v>1274</v>
      </c>
      <c r="R114" s="115" t="s">
        <v>107</v>
      </c>
      <c r="S114" s="115" t="s">
        <v>1362</v>
      </c>
      <c r="T114" s="115"/>
      <c r="U114" s="131">
        <v>4873</v>
      </c>
      <c r="V114" s="131">
        <f>IFERROR(_xlfn.XLOOKUP($S114,'[47]Tgl 8'!$E$108:$E$156,'[47]Tgl 8'!$F$108:$F$156),0)</f>
        <v>0</v>
      </c>
      <c r="W114" s="128">
        <f t="shared" si="33"/>
        <v>0</v>
      </c>
      <c r="X114" s="131">
        <f>IFERROR(_xlfn.XLOOKUP($S114,'[47]Tgl 8'!$E$108:$E$156,'[47]Tgl 8'!$H$108:$H$156),0)</f>
        <v>0</v>
      </c>
      <c r="Y114" s="128">
        <f t="shared" si="34"/>
        <v>0</v>
      </c>
      <c r="Z114" s="131">
        <f>IFERROR(_xlfn.XLOOKUP($S114,'[47]Tgl 8'!$E$108:$E$156,'[47]Tgl 8'!$G$108:$G$156),0)</f>
        <v>0</v>
      </c>
      <c r="AA114" s="129">
        <f t="shared" si="35"/>
        <v>0</v>
      </c>
      <c r="AB114" s="130"/>
      <c r="AC114" s="130"/>
      <c r="AD114" s="115" t="s">
        <v>1273</v>
      </c>
      <c r="AE114" s="115" t="s">
        <v>1274</v>
      </c>
      <c r="AF114" s="115" t="s">
        <v>107</v>
      </c>
      <c r="AG114" s="115" t="s">
        <v>1362</v>
      </c>
      <c r="AH114" s="115"/>
      <c r="AI114" s="131">
        <v>4873</v>
      </c>
      <c r="AJ114" s="131">
        <f>IFERROR(_xlfn.XLOOKUP($AG114,[47]Sheet1!$E$108:$E$132,[47]Sheet1!F$108:F$132),0)</f>
        <v>0</v>
      </c>
      <c r="AK114" s="128">
        <f t="shared" si="36"/>
        <v>0</v>
      </c>
      <c r="AL114" s="131">
        <f>IFERROR(_xlfn.XLOOKUP($AG114,[47]Sheet1!$E$108:$E$132,[47]Sheet1!H$108:H$132),0)</f>
        <v>0</v>
      </c>
      <c r="AM114" s="128">
        <f t="shared" si="37"/>
        <v>0</v>
      </c>
      <c r="AN114" s="131">
        <f>IFERROR(_xlfn.XLOOKUP($AG114,[47]Sheet1!$E$108:$E$132,[47]Sheet1!G$108:G$132),0)</f>
        <v>0</v>
      </c>
      <c r="AO114" s="129">
        <f t="shared" si="38"/>
        <v>0</v>
      </c>
    </row>
    <row r="115" spans="2:41" x14ac:dyDescent="0.2">
      <c r="B115" s="110" t="s">
        <v>1273</v>
      </c>
      <c r="C115" s="110" t="s">
        <v>1274</v>
      </c>
      <c r="D115" s="110" t="s">
        <v>107</v>
      </c>
      <c r="E115" s="110" t="s">
        <v>1363</v>
      </c>
      <c r="F115" s="110"/>
      <c r="G115" s="116">
        <v>4891</v>
      </c>
      <c r="H115" s="115">
        <v>0</v>
      </c>
      <c r="I115" s="128">
        <f t="shared" si="30"/>
        <v>0</v>
      </c>
      <c r="J115" s="115">
        <v>0</v>
      </c>
      <c r="K115" s="128">
        <f t="shared" si="31"/>
        <v>0</v>
      </c>
      <c r="L115" s="115">
        <v>0</v>
      </c>
      <c r="M115" s="129">
        <f t="shared" si="32"/>
        <v>0</v>
      </c>
      <c r="N115" s="130"/>
      <c r="O115" s="130"/>
      <c r="P115" s="115" t="s">
        <v>1273</v>
      </c>
      <c r="Q115" s="115" t="s">
        <v>1274</v>
      </c>
      <c r="R115" s="115" t="s">
        <v>107</v>
      </c>
      <c r="S115" s="115" t="s">
        <v>1363</v>
      </c>
      <c r="T115" s="115"/>
      <c r="U115" s="131">
        <v>4891</v>
      </c>
      <c r="V115" s="131">
        <f>IFERROR(_xlfn.XLOOKUP($S115,'[47]Tgl 8'!$E$108:$E$156,'[47]Tgl 8'!$F$108:$F$156),0)</f>
        <v>0</v>
      </c>
      <c r="W115" s="128">
        <f t="shared" si="33"/>
        <v>0</v>
      </c>
      <c r="X115" s="131">
        <f>IFERROR(_xlfn.XLOOKUP($S115,'[47]Tgl 8'!$E$108:$E$156,'[47]Tgl 8'!$H$108:$H$156),0)</f>
        <v>0</v>
      </c>
      <c r="Y115" s="128">
        <f t="shared" si="34"/>
        <v>0</v>
      </c>
      <c r="Z115" s="131">
        <f>IFERROR(_xlfn.XLOOKUP($S115,'[47]Tgl 8'!$E$108:$E$156,'[47]Tgl 8'!$G$108:$G$156),0)</f>
        <v>0</v>
      </c>
      <c r="AA115" s="129">
        <f t="shared" si="35"/>
        <v>0</v>
      </c>
      <c r="AB115" s="130"/>
      <c r="AC115" s="130"/>
      <c r="AD115" s="115" t="s">
        <v>1273</v>
      </c>
      <c r="AE115" s="115" t="s">
        <v>1274</v>
      </c>
      <c r="AF115" s="115" t="s">
        <v>107</v>
      </c>
      <c r="AG115" s="115" t="s">
        <v>1363</v>
      </c>
      <c r="AH115" s="115"/>
      <c r="AI115" s="131">
        <v>4891</v>
      </c>
      <c r="AJ115" s="131">
        <f>IFERROR(_xlfn.XLOOKUP($AG115,[47]Sheet1!$E$108:$E$132,[47]Sheet1!F$108:F$132),0)</f>
        <v>0</v>
      </c>
      <c r="AK115" s="128">
        <f t="shared" si="36"/>
        <v>0</v>
      </c>
      <c r="AL115" s="131">
        <f>IFERROR(_xlfn.XLOOKUP($AG115,[47]Sheet1!$E$108:$E$132,[47]Sheet1!H$108:H$132),0)</f>
        <v>0</v>
      </c>
      <c r="AM115" s="128">
        <f t="shared" si="37"/>
        <v>0</v>
      </c>
      <c r="AN115" s="131">
        <f>IFERROR(_xlfn.XLOOKUP($AG115,[47]Sheet1!$E$108:$E$132,[47]Sheet1!G$108:G$132),0)</f>
        <v>0</v>
      </c>
      <c r="AO115" s="129">
        <f t="shared" si="38"/>
        <v>0</v>
      </c>
    </row>
    <row r="116" spans="2:41" x14ac:dyDescent="0.2">
      <c r="B116" s="110" t="s">
        <v>1273</v>
      </c>
      <c r="C116" s="110" t="s">
        <v>1274</v>
      </c>
      <c r="D116" s="110" t="s">
        <v>107</v>
      </c>
      <c r="E116" s="110" t="s">
        <v>1364</v>
      </c>
      <c r="F116" s="110"/>
      <c r="G116" s="116">
        <v>5081</v>
      </c>
      <c r="H116" s="115">
        <v>0</v>
      </c>
      <c r="I116" s="128">
        <f t="shared" si="30"/>
        <v>0</v>
      </c>
      <c r="J116" s="115">
        <v>0</v>
      </c>
      <c r="K116" s="128">
        <f t="shared" si="31"/>
        <v>0</v>
      </c>
      <c r="L116" s="115">
        <v>0</v>
      </c>
      <c r="M116" s="129">
        <f t="shared" si="32"/>
        <v>0</v>
      </c>
      <c r="N116" s="130"/>
      <c r="O116" s="130"/>
      <c r="P116" s="115" t="s">
        <v>1273</v>
      </c>
      <c r="Q116" s="115" t="s">
        <v>1274</v>
      </c>
      <c r="R116" s="115" t="s">
        <v>107</v>
      </c>
      <c r="S116" s="115" t="s">
        <v>1364</v>
      </c>
      <c r="T116" s="115"/>
      <c r="U116" s="131">
        <v>5081</v>
      </c>
      <c r="V116" s="131">
        <f>IFERROR(_xlfn.XLOOKUP($S116,'[47]Tgl 8'!$E$108:$E$156,'[47]Tgl 8'!$F$108:$F$156),0)</f>
        <v>89</v>
      </c>
      <c r="W116" s="128">
        <f t="shared" si="33"/>
        <v>1.7516236961228104</v>
      </c>
      <c r="X116" s="131">
        <f>IFERROR(_xlfn.XLOOKUP($S116,'[47]Tgl 8'!$E$108:$E$156,'[47]Tgl 8'!$H$108:$H$156),0)</f>
        <v>39</v>
      </c>
      <c r="Y116" s="128">
        <f t="shared" si="34"/>
        <v>43.82022471910112</v>
      </c>
      <c r="Z116" s="131">
        <f>IFERROR(_xlfn.XLOOKUP($S116,'[47]Tgl 8'!$E$108:$E$156,'[47]Tgl 8'!$G$108:$G$156),0)</f>
        <v>16</v>
      </c>
      <c r="AA116" s="129">
        <f t="shared" si="35"/>
        <v>17.977528089887642</v>
      </c>
      <c r="AB116" s="130"/>
      <c r="AC116" s="130"/>
      <c r="AD116" s="115" t="s">
        <v>1273</v>
      </c>
      <c r="AE116" s="115" t="s">
        <v>1274</v>
      </c>
      <c r="AF116" s="115" t="s">
        <v>107</v>
      </c>
      <c r="AG116" s="115" t="s">
        <v>1364</v>
      </c>
      <c r="AH116" s="115"/>
      <c r="AI116" s="131">
        <v>5081</v>
      </c>
      <c r="AJ116" s="131">
        <f>IFERROR(_xlfn.XLOOKUP($AG116,[47]Sheet1!$E$108:$E$132,[47]Sheet1!F$108:F$132),0)</f>
        <v>0</v>
      </c>
      <c r="AK116" s="128">
        <f t="shared" si="36"/>
        <v>0</v>
      </c>
      <c r="AL116" s="131">
        <f>IFERROR(_xlfn.XLOOKUP($AG116,[47]Sheet1!$E$108:$E$132,[47]Sheet1!H$108:H$132),0)</f>
        <v>0</v>
      </c>
      <c r="AM116" s="128">
        <f t="shared" si="37"/>
        <v>0</v>
      </c>
      <c r="AN116" s="131">
        <f>IFERROR(_xlfn.XLOOKUP($AG116,[47]Sheet1!$E$108:$E$132,[47]Sheet1!G$108:G$132),0)</f>
        <v>0</v>
      </c>
      <c r="AO116" s="129">
        <f t="shared" si="38"/>
        <v>0</v>
      </c>
    </row>
    <row r="117" spans="2:41" x14ac:dyDescent="0.2">
      <c r="B117" s="110" t="s">
        <v>1273</v>
      </c>
      <c r="C117" s="110" t="s">
        <v>1274</v>
      </c>
      <c r="D117" s="110" t="s">
        <v>107</v>
      </c>
      <c r="E117" s="110" t="s">
        <v>1365</v>
      </c>
      <c r="F117" s="110"/>
      <c r="G117" s="116">
        <v>5548</v>
      </c>
      <c r="H117" s="115">
        <v>0</v>
      </c>
      <c r="I117" s="128">
        <f t="shared" si="30"/>
        <v>0</v>
      </c>
      <c r="J117" s="115">
        <v>0</v>
      </c>
      <c r="K117" s="128">
        <f t="shared" si="31"/>
        <v>0</v>
      </c>
      <c r="L117" s="115">
        <v>0</v>
      </c>
      <c r="M117" s="129">
        <f t="shared" si="32"/>
        <v>0</v>
      </c>
      <c r="N117" s="130"/>
      <c r="O117" s="130"/>
      <c r="P117" s="115" t="s">
        <v>1273</v>
      </c>
      <c r="Q117" s="115" t="s">
        <v>1274</v>
      </c>
      <c r="R117" s="115" t="s">
        <v>107</v>
      </c>
      <c r="S117" s="115" t="s">
        <v>1365</v>
      </c>
      <c r="T117" s="115"/>
      <c r="U117" s="131">
        <v>5548</v>
      </c>
      <c r="V117" s="131">
        <f>IFERROR(_xlfn.XLOOKUP($S117,'[47]Tgl 8'!$E$108:$E$156,'[47]Tgl 8'!$F$108:$F$156),0)</f>
        <v>97</v>
      </c>
      <c r="W117" s="128">
        <f t="shared" si="33"/>
        <v>1.7483777937995675</v>
      </c>
      <c r="X117" s="131">
        <f>IFERROR(_xlfn.XLOOKUP($S117,'[47]Tgl 8'!$E$108:$E$156,'[47]Tgl 8'!$H$108:$H$156),0)</f>
        <v>45</v>
      </c>
      <c r="Y117" s="128">
        <f t="shared" si="34"/>
        <v>46.391752577319586</v>
      </c>
      <c r="Z117" s="131">
        <f>IFERROR(_xlfn.XLOOKUP($S117,'[47]Tgl 8'!$E$108:$E$156,'[47]Tgl 8'!$G$108:$G$156),0)</f>
        <v>19</v>
      </c>
      <c r="AA117" s="129">
        <f t="shared" si="35"/>
        <v>19.587628865979383</v>
      </c>
      <c r="AB117" s="130"/>
      <c r="AC117" s="130"/>
      <c r="AD117" s="115" t="s">
        <v>1273</v>
      </c>
      <c r="AE117" s="115" t="s">
        <v>1274</v>
      </c>
      <c r="AF117" s="115" t="s">
        <v>107</v>
      </c>
      <c r="AG117" s="115" t="s">
        <v>1365</v>
      </c>
      <c r="AH117" s="115"/>
      <c r="AI117" s="131">
        <v>5548</v>
      </c>
      <c r="AJ117" s="131">
        <f>IFERROR(_xlfn.XLOOKUP($AG117,[47]Sheet1!$E$108:$E$132,[47]Sheet1!F$108:F$132),0)</f>
        <v>0</v>
      </c>
      <c r="AK117" s="128">
        <f t="shared" si="36"/>
        <v>0</v>
      </c>
      <c r="AL117" s="131">
        <f>IFERROR(_xlfn.XLOOKUP($AG117,[47]Sheet1!$E$108:$E$132,[47]Sheet1!H$108:H$132),0)</f>
        <v>0</v>
      </c>
      <c r="AM117" s="128">
        <f t="shared" si="37"/>
        <v>0</v>
      </c>
      <c r="AN117" s="131">
        <f>IFERROR(_xlfn.XLOOKUP($AG117,[47]Sheet1!$E$108:$E$132,[47]Sheet1!G$108:G$132),0)</f>
        <v>0</v>
      </c>
      <c r="AO117" s="129">
        <f t="shared" si="38"/>
        <v>0</v>
      </c>
    </row>
    <row r="118" spans="2:41" x14ac:dyDescent="0.2">
      <c r="B118" s="110" t="s">
        <v>1273</v>
      </c>
      <c r="C118" s="110" t="s">
        <v>1274</v>
      </c>
      <c r="D118" s="110" t="s">
        <v>107</v>
      </c>
      <c r="E118" s="110" t="s">
        <v>1366</v>
      </c>
      <c r="F118" s="110"/>
      <c r="G118" s="116">
        <v>4127</v>
      </c>
      <c r="H118" s="115">
        <v>659</v>
      </c>
      <c r="I118" s="128">
        <f t="shared" si="30"/>
        <v>15.968015507632662</v>
      </c>
      <c r="J118" s="115">
        <v>114</v>
      </c>
      <c r="K118" s="128">
        <f t="shared" si="31"/>
        <v>17.298937784522003</v>
      </c>
      <c r="L118" s="115">
        <v>52</v>
      </c>
      <c r="M118" s="129">
        <f t="shared" si="32"/>
        <v>7.890743550834598</v>
      </c>
      <c r="N118" s="130"/>
      <c r="O118" s="130"/>
      <c r="P118" s="115" t="s">
        <v>1273</v>
      </c>
      <c r="Q118" s="115" t="s">
        <v>1274</v>
      </c>
      <c r="R118" s="115" t="s">
        <v>107</v>
      </c>
      <c r="S118" s="115" t="s">
        <v>1366</v>
      </c>
      <c r="T118" s="115"/>
      <c r="U118" s="131">
        <v>4127</v>
      </c>
      <c r="V118" s="131">
        <f>IFERROR(_xlfn.XLOOKUP($S118,'[47]Tgl 8'!$E$108:$E$156,'[47]Tgl 8'!$F$108:$F$156),0)</f>
        <v>0</v>
      </c>
      <c r="W118" s="128">
        <f t="shared" si="33"/>
        <v>0</v>
      </c>
      <c r="X118" s="131">
        <f>IFERROR(_xlfn.XLOOKUP($S118,'[47]Tgl 8'!$E$108:$E$156,'[47]Tgl 8'!$H$108:$H$156),0)</f>
        <v>0</v>
      </c>
      <c r="Y118" s="128">
        <f t="shared" si="34"/>
        <v>0</v>
      </c>
      <c r="Z118" s="131">
        <f>IFERROR(_xlfn.XLOOKUP($S118,'[47]Tgl 8'!$E$108:$E$156,'[47]Tgl 8'!$G$108:$G$156),0)</f>
        <v>0</v>
      </c>
      <c r="AA118" s="129">
        <f t="shared" si="35"/>
        <v>0</v>
      </c>
      <c r="AB118" s="130"/>
      <c r="AC118" s="130"/>
      <c r="AD118" s="115" t="s">
        <v>1273</v>
      </c>
      <c r="AE118" s="115" t="s">
        <v>1274</v>
      </c>
      <c r="AF118" s="115" t="s">
        <v>107</v>
      </c>
      <c r="AG118" s="115" t="s">
        <v>1366</v>
      </c>
      <c r="AH118" s="115"/>
      <c r="AI118" s="131">
        <v>4127</v>
      </c>
      <c r="AJ118" s="131">
        <f>IFERROR(_xlfn.XLOOKUP($AG118,[47]Sheet1!$E$108:$E$132,[47]Sheet1!F$108:F$132),0)</f>
        <v>0</v>
      </c>
      <c r="AK118" s="128">
        <f t="shared" si="36"/>
        <v>0</v>
      </c>
      <c r="AL118" s="131">
        <f>IFERROR(_xlfn.XLOOKUP($AG118,[47]Sheet1!$E$108:$E$132,[47]Sheet1!H$108:H$132),0)</f>
        <v>0</v>
      </c>
      <c r="AM118" s="128">
        <f t="shared" si="37"/>
        <v>0</v>
      </c>
      <c r="AN118" s="131">
        <f>IFERROR(_xlfn.XLOOKUP($AG118,[47]Sheet1!$E$108:$E$132,[47]Sheet1!G$108:G$132),0)</f>
        <v>0</v>
      </c>
      <c r="AO118" s="129">
        <f t="shared" si="38"/>
        <v>0</v>
      </c>
    </row>
    <row r="119" spans="2:41" x14ac:dyDescent="0.2">
      <c r="B119" s="110" t="s">
        <v>1273</v>
      </c>
      <c r="C119" s="110" t="s">
        <v>1274</v>
      </c>
      <c r="D119" s="110" t="s">
        <v>107</v>
      </c>
      <c r="E119" s="110" t="s">
        <v>1007</v>
      </c>
      <c r="F119" s="110"/>
      <c r="G119" s="116">
        <v>4042</v>
      </c>
      <c r="H119" s="115">
        <v>667</v>
      </c>
      <c r="I119" s="128">
        <f t="shared" si="30"/>
        <v>16.501731815932708</v>
      </c>
      <c r="J119" s="115">
        <v>139</v>
      </c>
      <c r="K119" s="128">
        <f t="shared" si="31"/>
        <v>20.839580209895054</v>
      </c>
      <c r="L119" s="115">
        <v>77</v>
      </c>
      <c r="M119" s="129">
        <f t="shared" si="32"/>
        <v>11.544227886056971</v>
      </c>
      <c r="N119" s="130"/>
      <c r="O119" s="130"/>
      <c r="P119" s="115" t="s">
        <v>1273</v>
      </c>
      <c r="Q119" s="115" t="s">
        <v>1274</v>
      </c>
      <c r="R119" s="115" t="s">
        <v>107</v>
      </c>
      <c r="S119" s="115" t="s">
        <v>1007</v>
      </c>
      <c r="T119" s="115"/>
      <c r="U119" s="131">
        <v>4042</v>
      </c>
      <c r="V119" s="131">
        <f>IFERROR(_xlfn.XLOOKUP($S119,'[47]Tgl 8'!$E$108:$E$156,'[47]Tgl 8'!$F$108:$F$156),0)</f>
        <v>0</v>
      </c>
      <c r="W119" s="128">
        <f t="shared" si="33"/>
        <v>0</v>
      </c>
      <c r="X119" s="131">
        <f>IFERROR(_xlfn.XLOOKUP($S119,'[47]Tgl 8'!$E$108:$E$156,'[47]Tgl 8'!$H$108:$H$156),0)</f>
        <v>0</v>
      </c>
      <c r="Y119" s="128">
        <f t="shared" si="34"/>
        <v>0</v>
      </c>
      <c r="Z119" s="131">
        <f>IFERROR(_xlfn.XLOOKUP($S119,'[47]Tgl 8'!$E$108:$E$156,'[47]Tgl 8'!$G$108:$G$156),0)</f>
        <v>0</v>
      </c>
      <c r="AA119" s="129">
        <f t="shared" si="35"/>
        <v>0</v>
      </c>
      <c r="AB119" s="130"/>
      <c r="AC119" s="130"/>
      <c r="AD119" s="115" t="s">
        <v>1273</v>
      </c>
      <c r="AE119" s="115" t="s">
        <v>1274</v>
      </c>
      <c r="AF119" s="115" t="s">
        <v>107</v>
      </c>
      <c r="AG119" s="115" t="s">
        <v>1007</v>
      </c>
      <c r="AH119" s="115"/>
      <c r="AI119" s="131">
        <v>4042</v>
      </c>
      <c r="AJ119" s="131">
        <f>IFERROR(_xlfn.XLOOKUP($AG119,[47]Sheet1!$E$108:$E$132,[47]Sheet1!F$108:F$132),0)</f>
        <v>0</v>
      </c>
      <c r="AK119" s="128">
        <f t="shared" si="36"/>
        <v>0</v>
      </c>
      <c r="AL119" s="131">
        <f>IFERROR(_xlfn.XLOOKUP($AG119,[47]Sheet1!$E$108:$E$132,[47]Sheet1!H$108:H$132),0)</f>
        <v>0</v>
      </c>
      <c r="AM119" s="128">
        <f t="shared" si="37"/>
        <v>0</v>
      </c>
      <c r="AN119" s="131">
        <f>IFERROR(_xlfn.XLOOKUP($AG119,[47]Sheet1!$E$108:$E$132,[47]Sheet1!G$108:G$132),0)</f>
        <v>0</v>
      </c>
      <c r="AO119" s="129">
        <f t="shared" si="38"/>
        <v>0</v>
      </c>
    </row>
    <row r="120" spans="2:41" x14ac:dyDescent="0.2">
      <c r="B120" s="110" t="s">
        <v>1273</v>
      </c>
      <c r="C120" s="110" t="s">
        <v>1274</v>
      </c>
      <c r="D120" s="110" t="s">
        <v>107</v>
      </c>
      <c r="E120" s="110" t="s">
        <v>1009</v>
      </c>
      <c r="F120" s="110"/>
      <c r="G120" s="116">
        <v>3982</v>
      </c>
      <c r="H120" s="115">
        <v>781</v>
      </c>
      <c r="I120" s="128">
        <f t="shared" si="30"/>
        <v>19.613259668508288</v>
      </c>
      <c r="J120" s="115">
        <v>146</v>
      </c>
      <c r="K120" s="128">
        <f t="shared" si="31"/>
        <v>18.693982074263765</v>
      </c>
      <c r="L120" s="115">
        <v>106</v>
      </c>
      <c r="M120" s="129">
        <f t="shared" si="32"/>
        <v>13.572343149807939</v>
      </c>
      <c r="N120" s="130"/>
      <c r="O120" s="130"/>
      <c r="P120" s="115" t="s">
        <v>1273</v>
      </c>
      <c r="Q120" s="115" t="s">
        <v>1274</v>
      </c>
      <c r="R120" s="115" t="s">
        <v>107</v>
      </c>
      <c r="S120" s="115" t="s">
        <v>1009</v>
      </c>
      <c r="T120" s="115"/>
      <c r="U120" s="131">
        <v>3982</v>
      </c>
      <c r="V120" s="131">
        <f>IFERROR(_xlfn.XLOOKUP($S120,'[47]Tgl 8'!$E$108:$E$156,'[47]Tgl 8'!$F$108:$F$156),0)</f>
        <v>0</v>
      </c>
      <c r="W120" s="128">
        <f t="shared" si="33"/>
        <v>0</v>
      </c>
      <c r="X120" s="131">
        <f>IFERROR(_xlfn.XLOOKUP($S120,'[47]Tgl 8'!$E$108:$E$156,'[47]Tgl 8'!$H$108:$H$156),0)</f>
        <v>0</v>
      </c>
      <c r="Y120" s="128">
        <f t="shared" si="34"/>
        <v>0</v>
      </c>
      <c r="Z120" s="131">
        <f>IFERROR(_xlfn.XLOOKUP($S120,'[47]Tgl 8'!$E$108:$E$156,'[47]Tgl 8'!$G$108:$G$156),0)</f>
        <v>0</v>
      </c>
      <c r="AA120" s="129">
        <f t="shared" si="35"/>
        <v>0</v>
      </c>
      <c r="AB120" s="130"/>
      <c r="AC120" s="130"/>
      <c r="AD120" s="115" t="s">
        <v>1273</v>
      </c>
      <c r="AE120" s="115" t="s">
        <v>1274</v>
      </c>
      <c r="AF120" s="115" t="s">
        <v>107</v>
      </c>
      <c r="AG120" s="115" t="s">
        <v>1009</v>
      </c>
      <c r="AH120" s="115"/>
      <c r="AI120" s="131">
        <v>3982</v>
      </c>
      <c r="AJ120" s="131">
        <f>IFERROR(_xlfn.XLOOKUP($AG120,[47]Sheet1!$E$108:$E$132,[47]Sheet1!F$108:F$132),0)</f>
        <v>0</v>
      </c>
      <c r="AK120" s="128">
        <f t="shared" si="36"/>
        <v>0</v>
      </c>
      <c r="AL120" s="131">
        <f>IFERROR(_xlfn.XLOOKUP($AG120,[47]Sheet1!$E$108:$E$132,[47]Sheet1!H$108:H$132),0)</f>
        <v>0</v>
      </c>
      <c r="AM120" s="128">
        <f t="shared" si="37"/>
        <v>0</v>
      </c>
      <c r="AN120" s="131">
        <f>IFERROR(_xlfn.XLOOKUP($AG120,[47]Sheet1!$E$108:$E$132,[47]Sheet1!G$108:G$132),0)</f>
        <v>0</v>
      </c>
      <c r="AO120" s="129">
        <f t="shared" si="38"/>
        <v>0</v>
      </c>
    </row>
    <row r="121" spans="2:41" x14ac:dyDescent="0.2">
      <c r="B121" s="110" t="s">
        <v>1273</v>
      </c>
      <c r="C121" s="110" t="s">
        <v>1274</v>
      </c>
      <c r="D121" s="110" t="s">
        <v>107</v>
      </c>
      <c r="E121" s="110" t="s">
        <v>1367</v>
      </c>
      <c r="F121" s="110"/>
      <c r="G121" s="116">
        <v>3937</v>
      </c>
      <c r="H121" s="115">
        <v>840</v>
      </c>
      <c r="I121" s="128">
        <f t="shared" si="30"/>
        <v>21.336042672085345</v>
      </c>
      <c r="J121" s="115">
        <v>222</v>
      </c>
      <c r="K121" s="128">
        <f t="shared" si="31"/>
        <v>26.428571428571427</v>
      </c>
      <c r="L121" s="115">
        <v>8</v>
      </c>
      <c r="M121" s="129">
        <f t="shared" si="32"/>
        <v>0.95238095238095233</v>
      </c>
      <c r="N121" s="130"/>
      <c r="O121" s="130"/>
      <c r="P121" s="115" t="s">
        <v>1273</v>
      </c>
      <c r="Q121" s="115" t="s">
        <v>1274</v>
      </c>
      <c r="R121" s="115" t="s">
        <v>107</v>
      </c>
      <c r="S121" s="115" t="s">
        <v>1367</v>
      </c>
      <c r="T121" s="115"/>
      <c r="U121" s="131">
        <v>3937</v>
      </c>
      <c r="V121" s="131">
        <f>IFERROR(_xlfn.XLOOKUP($S121,'[47]Tgl 8'!$E$108:$E$156,'[47]Tgl 8'!$F$108:$F$156),0)</f>
        <v>0</v>
      </c>
      <c r="W121" s="128">
        <f t="shared" si="33"/>
        <v>0</v>
      </c>
      <c r="X121" s="131">
        <f>IFERROR(_xlfn.XLOOKUP($S121,'[47]Tgl 8'!$E$108:$E$156,'[47]Tgl 8'!$H$108:$H$156),0)</f>
        <v>0</v>
      </c>
      <c r="Y121" s="128">
        <f t="shared" si="34"/>
        <v>0</v>
      </c>
      <c r="Z121" s="131">
        <f>IFERROR(_xlfn.XLOOKUP($S121,'[47]Tgl 8'!$E$108:$E$156,'[47]Tgl 8'!$G$108:$G$156),0)</f>
        <v>0</v>
      </c>
      <c r="AA121" s="129">
        <f t="shared" si="35"/>
        <v>0</v>
      </c>
      <c r="AB121" s="130"/>
      <c r="AC121" s="130"/>
      <c r="AD121" s="115" t="s">
        <v>1273</v>
      </c>
      <c r="AE121" s="115" t="s">
        <v>1274</v>
      </c>
      <c r="AF121" s="115" t="s">
        <v>107</v>
      </c>
      <c r="AG121" s="115" t="s">
        <v>1367</v>
      </c>
      <c r="AH121" s="115"/>
      <c r="AI121" s="131">
        <v>3937</v>
      </c>
      <c r="AJ121" s="131">
        <f>IFERROR(_xlfn.XLOOKUP($AG121,[47]Sheet1!$E$108:$E$132,[47]Sheet1!F$108:F$132),0)</f>
        <v>0</v>
      </c>
      <c r="AK121" s="128">
        <f t="shared" si="36"/>
        <v>0</v>
      </c>
      <c r="AL121" s="131">
        <f>IFERROR(_xlfn.XLOOKUP($AG121,[47]Sheet1!$E$108:$E$132,[47]Sheet1!H$108:H$132),0)</f>
        <v>0</v>
      </c>
      <c r="AM121" s="128">
        <f t="shared" si="37"/>
        <v>0</v>
      </c>
      <c r="AN121" s="131">
        <f>IFERROR(_xlfn.XLOOKUP($AG121,[47]Sheet1!$E$108:$E$132,[47]Sheet1!G$108:G$132),0)</f>
        <v>0</v>
      </c>
      <c r="AO121" s="129">
        <f t="shared" si="38"/>
        <v>0</v>
      </c>
    </row>
    <row r="122" spans="2:41" x14ac:dyDescent="0.2">
      <c r="B122" s="110" t="s">
        <v>1273</v>
      </c>
      <c r="C122" s="110" t="s">
        <v>1274</v>
      </c>
      <c r="D122" s="110" t="s">
        <v>107</v>
      </c>
      <c r="E122" s="110" t="s">
        <v>1368</v>
      </c>
      <c r="F122" s="110"/>
      <c r="G122" s="116">
        <v>4018</v>
      </c>
      <c r="H122" s="115">
        <v>840</v>
      </c>
      <c r="I122" s="128">
        <f t="shared" si="30"/>
        <v>20.905923344947734</v>
      </c>
      <c r="J122" s="115">
        <v>327</v>
      </c>
      <c r="K122" s="128">
        <f t="shared" si="31"/>
        <v>38.928571428571423</v>
      </c>
      <c r="L122" s="115">
        <v>31</v>
      </c>
      <c r="M122" s="129">
        <f t="shared" si="32"/>
        <v>3.6904761904761902</v>
      </c>
      <c r="N122" s="130"/>
      <c r="O122" s="130"/>
      <c r="P122" s="115" t="s">
        <v>1273</v>
      </c>
      <c r="Q122" s="115" t="s">
        <v>1274</v>
      </c>
      <c r="R122" s="115" t="s">
        <v>107</v>
      </c>
      <c r="S122" s="115" t="s">
        <v>1368</v>
      </c>
      <c r="T122" s="115"/>
      <c r="U122" s="131">
        <v>4018</v>
      </c>
      <c r="V122" s="131">
        <f>IFERROR(_xlfn.XLOOKUP($S122,'[47]Tgl 8'!$E$108:$E$156,'[47]Tgl 8'!$F$108:$F$156),0)</f>
        <v>0</v>
      </c>
      <c r="W122" s="128">
        <f t="shared" si="33"/>
        <v>0</v>
      </c>
      <c r="X122" s="131">
        <f>IFERROR(_xlfn.XLOOKUP($S122,'[47]Tgl 8'!$E$108:$E$156,'[47]Tgl 8'!$H$108:$H$156),0)</f>
        <v>0</v>
      </c>
      <c r="Y122" s="128">
        <f t="shared" si="34"/>
        <v>0</v>
      </c>
      <c r="Z122" s="131">
        <f>IFERROR(_xlfn.XLOOKUP($S122,'[47]Tgl 8'!$E$108:$E$156,'[47]Tgl 8'!$G$108:$G$156),0)</f>
        <v>0</v>
      </c>
      <c r="AA122" s="129">
        <f t="shared" si="35"/>
        <v>0</v>
      </c>
      <c r="AB122" s="130"/>
      <c r="AC122" s="130"/>
      <c r="AD122" s="115" t="s">
        <v>1273</v>
      </c>
      <c r="AE122" s="115" t="s">
        <v>1274</v>
      </c>
      <c r="AF122" s="115" t="s">
        <v>107</v>
      </c>
      <c r="AG122" s="115" t="s">
        <v>1368</v>
      </c>
      <c r="AH122" s="115"/>
      <c r="AI122" s="131">
        <v>4018</v>
      </c>
      <c r="AJ122" s="131">
        <f>IFERROR(_xlfn.XLOOKUP($AG122,[47]Sheet1!$E$108:$E$132,[47]Sheet1!F$108:F$132),0)</f>
        <v>0</v>
      </c>
      <c r="AK122" s="128">
        <f t="shared" si="36"/>
        <v>0</v>
      </c>
      <c r="AL122" s="131">
        <f>IFERROR(_xlfn.XLOOKUP($AG122,[47]Sheet1!$E$108:$E$132,[47]Sheet1!H$108:H$132),0)</f>
        <v>0</v>
      </c>
      <c r="AM122" s="128">
        <f t="shared" si="37"/>
        <v>0</v>
      </c>
      <c r="AN122" s="131">
        <f>IFERROR(_xlfn.XLOOKUP($AG122,[47]Sheet1!$E$108:$E$132,[47]Sheet1!G$108:G$132),0)</f>
        <v>0</v>
      </c>
      <c r="AO122" s="129">
        <f t="shared" si="38"/>
        <v>0</v>
      </c>
    </row>
    <row r="123" spans="2:41" x14ac:dyDescent="0.2">
      <c r="B123" s="110" t="s">
        <v>1273</v>
      </c>
      <c r="C123" s="110" t="s">
        <v>1274</v>
      </c>
      <c r="D123" s="110" t="s">
        <v>107</v>
      </c>
      <c r="E123" s="110" t="s">
        <v>1369</v>
      </c>
      <c r="F123" s="110"/>
      <c r="G123" s="116">
        <v>3855</v>
      </c>
      <c r="H123" s="115">
        <v>802</v>
      </c>
      <c r="I123" s="128">
        <f t="shared" si="30"/>
        <v>20.804150453955902</v>
      </c>
      <c r="J123" s="115">
        <v>144</v>
      </c>
      <c r="K123" s="128">
        <f t="shared" si="31"/>
        <v>17.955112219451372</v>
      </c>
      <c r="L123" s="115">
        <v>18</v>
      </c>
      <c r="M123" s="129">
        <f t="shared" si="32"/>
        <v>2.2443890274314215</v>
      </c>
      <c r="N123" s="130"/>
      <c r="O123" s="130"/>
      <c r="P123" s="115" t="s">
        <v>1273</v>
      </c>
      <c r="Q123" s="115" t="s">
        <v>1274</v>
      </c>
      <c r="R123" s="115" t="s">
        <v>107</v>
      </c>
      <c r="S123" s="115" t="s">
        <v>1369</v>
      </c>
      <c r="T123" s="115"/>
      <c r="U123" s="131">
        <v>3855</v>
      </c>
      <c r="V123" s="131">
        <f>IFERROR(_xlfn.XLOOKUP($S123,'[47]Tgl 8'!$E$108:$E$156,'[47]Tgl 8'!$F$108:$F$156),0)</f>
        <v>0</v>
      </c>
      <c r="W123" s="128">
        <f t="shared" si="33"/>
        <v>0</v>
      </c>
      <c r="X123" s="131">
        <f>IFERROR(_xlfn.XLOOKUP($S123,'[47]Tgl 8'!$E$108:$E$156,'[47]Tgl 8'!$H$108:$H$156),0)</f>
        <v>0</v>
      </c>
      <c r="Y123" s="128">
        <f t="shared" si="34"/>
        <v>0</v>
      </c>
      <c r="Z123" s="131">
        <f>IFERROR(_xlfn.XLOOKUP($S123,'[47]Tgl 8'!$E$108:$E$156,'[47]Tgl 8'!$G$108:$G$156),0)</f>
        <v>0</v>
      </c>
      <c r="AA123" s="129">
        <f t="shared" si="35"/>
        <v>0</v>
      </c>
      <c r="AB123" s="130"/>
      <c r="AC123" s="130"/>
      <c r="AD123" s="115" t="s">
        <v>1273</v>
      </c>
      <c r="AE123" s="115" t="s">
        <v>1274</v>
      </c>
      <c r="AF123" s="115" t="s">
        <v>107</v>
      </c>
      <c r="AG123" s="115" t="s">
        <v>1369</v>
      </c>
      <c r="AH123" s="115"/>
      <c r="AI123" s="131">
        <v>3855</v>
      </c>
      <c r="AJ123" s="131">
        <f>IFERROR(_xlfn.XLOOKUP($AG123,[47]Sheet1!$E$108:$E$132,[47]Sheet1!F$108:F$132),0)</f>
        <v>0</v>
      </c>
      <c r="AK123" s="128">
        <f t="shared" si="36"/>
        <v>0</v>
      </c>
      <c r="AL123" s="131">
        <f>IFERROR(_xlfn.XLOOKUP($AG123,[47]Sheet1!$E$108:$E$132,[47]Sheet1!H$108:H$132),0)</f>
        <v>0</v>
      </c>
      <c r="AM123" s="128">
        <f t="shared" si="37"/>
        <v>0</v>
      </c>
      <c r="AN123" s="131">
        <f>IFERROR(_xlfn.XLOOKUP($AG123,[47]Sheet1!$E$108:$E$132,[47]Sheet1!G$108:G$132),0)</f>
        <v>0</v>
      </c>
      <c r="AO123" s="129">
        <f t="shared" si="38"/>
        <v>0</v>
      </c>
    </row>
    <row r="124" spans="2:41" x14ac:dyDescent="0.2">
      <c r="B124" s="110" t="s">
        <v>1273</v>
      </c>
      <c r="C124" s="110" t="s">
        <v>1274</v>
      </c>
      <c r="D124" s="110" t="s">
        <v>107</v>
      </c>
      <c r="E124" s="110" t="s">
        <v>1370</v>
      </c>
      <c r="F124" s="110"/>
      <c r="G124" s="116">
        <v>4231</v>
      </c>
      <c r="H124" s="115">
        <v>776</v>
      </c>
      <c r="I124" s="128">
        <f t="shared" si="30"/>
        <v>18.340817773575985</v>
      </c>
      <c r="J124" s="115">
        <v>124</v>
      </c>
      <c r="K124" s="128">
        <f t="shared" si="31"/>
        <v>15.979381443298969</v>
      </c>
      <c r="L124" s="115">
        <v>40</v>
      </c>
      <c r="M124" s="129">
        <f t="shared" si="32"/>
        <v>5.1546391752577323</v>
      </c>
      <c r="N124" s="130"/>
      <c r="O124" s="130"/>
      <c r="P124" s="115" t="s">
        <v>1273</v>
      </c>
      <c r="Q124" s="115" t="s">
        <v>1274</v>
      </c>
      <c r="R124" s="115" t="s">
        <v>107</v>
      </c>
      <c r="S124" s="115" t="s">
        <v>1370</v>
      </c>
      <c r="T124" s="115"/>
      <c r="U124" s="131">
        <v>4231</v>
      </c>
      <c r="V124" s="131">
        <f>IFERROR(_xlfn.XLOOKUP($S124,'[47]Tgl 8'!$E$108:$E$156,'[47]Tgl 8'!$F$108:$F$156),0)</f>
        <v>0</v>
      </c>
      <c r="W124" s="128">
        <f t="shared" si="33"/>
        <v>0</v>
      </c>
      <c r="X124" s="131">
        <f>IFERROR(_xlfn.XLOOKUP($S124,'[47]Tgl 8'!$E$108:$E$156,'[47]Tgl 8'!$H$108:$H$156),0)</f>
        <v>0</v>
      </c>
      <c r="Y124" s="128">
        <f t="shared" si="34"/>
        <v>0</v>
      </c>
      <c r="Z124" s="131">
        <f>IFERROR(_xlfn.XLOOKUP($S124,'[47]Tgl 8'!$E$108:$E$156,'[47]Tgl 8'!$G$108:$G$156),0)</f>
        <v>0</v>
      </c>
      <c r="AA124" s="129">
        <f t="shared" si="35"/>
        <v>0</v>
      </c>
      <c r="AB124" s="130"/>
      <c r="AC124" s="130"/>
      <c r="AD124" s="115" t="s">
        <v>1273</v>
      </c>
      <c r="AE124" s="115" t="s">
        <v>1274</v>
      </c>
      <c r="AF124" s="115" t="s">
        <v>107</v>
      </c>
      <c r="AG124" s="115" t="s">
        <v>1370</v>
      </c>
      <c r="AH124" s="115"/>
      <c r="AI124" s="131">
        <v>4231</v>
      </c>
      <c r="AJ124" s="131">
        <f>IFERROR(_xlfn.XLOOKUP($AG124,[47]Sheet1!$E$108:$E$132,[47]Sheet1!F$108:F$132),0)</f>
        <v>135</v>
      </c>
      <c r="AK124" s="128">
        <f t="shared" si="36"/>
        <v>3.1907350508154098</v>
      </c>
      <c r="AL124" s="131">
        <f>IFERROR(_xlfn.XLOOKUP($AG124,[47]Sheet1!$E$108:$E$132,[47]Sheet1!H$108:H$132),0)</f>
        <v>102</v>
      </c>
      <c r="AM124" s="128">
        <f t="shared" si="37"/>
        <v>75.555555555555557</v>
      </c>
      <c r="AN124" s="131">
        <f>IFERROR(_xlfn.XLOOKUP($AG124,[47]Sheet1!$E$108:$E$132,[47]Sheet1!G$108:G$132),0)</f>
        <v>43</v>
      </c>
      <c r="AO124" s="129">
        <f t="shared" si="38"/>
        <v>31.851851851851851</v>
      </c>
    </row>
    <row r="125" spans="2:41" x14ac:dyDescent="0.2">
      <c r="B125" s="110" t="s">
        <v>1273</v>
      </c>
      <c r="C125" s="110" t="s">
        <v>1274</v>
      </c>
      <c r="D125" s="110" t="s">
        <v>107</v>
      </c>
      <c r="E125" s="110" t="s">
        <v>1371</v>
      </c>
      <c r="F125" s="110"/>
      <c r="G125" s="116">
        <v>3720</v>
      </c>
      <c r="H125" s="115">
        <v>704</v>
      </c>
      <c r="I125" s="128">
        <f t="shared" si="30"/>
        <v>18.924731182795696</v>
      </c>
      <c r="J125" s="115">
        <v>163</v>
      </c>
      <c r="K125" s="128">
        <f t="shared" si="31"/>
        <v>23.15340909090909</v>
      </c>
      <c r="L125" s="115">
        <v>33</v>
      </c>
      <c r="M125" s="129">
        <f t="shared" si="32"/>
        <v>4.6875</v>
      </c>
      <c r="N125" s="130"/>
      <c r="O125" s="130"/>
      <c r="P125" s="115" t="s">
        <v>1273</v>
      </c>
      <c r="Q125" s="115" t="s">
        <v>1274</v>
      </c>
      <c r="R125" s="115" t="s">
        <v>107</v>
      </c>
      <c r="S125" s="115" t="s">
        <v>1371</v>
      </c>
      <c r="T125" s="115"/>
      <c r="U125" s="131">
        <v>3720</v>
      </c>
      <c r="V125" s="131">
        <f>IFERROR(_xlfn.XLOOKUP($S125,'[47]Tgl 8'!$E$108:$E$156,'[47]Tgl 8'!$F$108:$F$156),0)</f>
        <v>0</v>
      </c>
      <c r="W125" s="128">
        <f t="shared" si="33"/>
        <v>0</v>
      </c>
      <c r="X125" s="131">
        <f>IFERROR(_xlfn.XLOOKUP($S125,'[47]Tgl 8'!$E$108:$E$156,'[47]Tgl 8'!$H$108:$H$156),0)</f>
        <v>0</v>
      </c>
      <c r="Y125" s="128">
        <f t="shared" si="34"/>
        <v>0</v>
      </c>
      <c r="Z125" s="131">
        <f>IFERROR(_xlfn.XLOOKUP($S125,'[47]Tgl 8'!$E$108:$E$156,'[47]Tgl 8'!$G$108:$G$156),0)</f>
        <v>0</v>
      </c>
      <c r="AA125" s="129">
        <f t="shared" si="35"/>
        <v>0</v>
      </c>
      <c r="AB125" s="130"/>
      <c r="AC125" s="130"/>
      <c r="AD125" s="115" t="s">
        <v>1273</v>
      </c>
      <c r="AE125" s="115" t="s">
        <v>1274</v>
      </c>
      <c r="AF125" s="115" t="s">
        <v>107</v>
      </c>
      <c r="AG125" s="115" t="s">
        <v>1371</v>
      </c>
      <c r="AH125" s="115"/>
      <c r="AI125" s="131">
        <v>3720</v>
      </c>
      <c r="AJ125" s="131">
        <f>IFERROR(_xlfn.XLOOKUP($AG125,[47]Sheet1!$E$108:$E$132,[47]Sheet1!F$108:F$132),0)</f>
        <v>215</v>
      </c>
      <c r="AK125" s="128">
        <f t="shared" si="36"/>
        <v>5.779569892473118</v>
      </c>
      <c r="AL125" s="131">
        <f>IFERROR(_xlfn.XLOOKUP($AG125,[47]Sheet1!$E$108:$E$132,[47]Sheet1!H$108:H$132),0)</f>
        <v>122</v>
      </c>
      <c r="AM125" s="128">
        <f t="shared" si="37"/>
        <v>56.744186046511629</v>
      </c>
      <c r="AN125" s="131">
        <f>IFERROR(_xlfn.XLOOKUP($AG125,[47]Sheet1!$E$108:$E$132,[47]Sheet1!G$108:G$132),0)</f>
        <v>34</v>
      </c>
      <c r="AO125" s="129">
        <f t="shared" si="38"/>
        <v>15.813953488372094</v>
      </c>
    </row>
    <row r="126" spans="2:41" x14ac:dyDescent="0.2">
      <c r="B126" s="110" t="s">
        <v>1273</v>
      </c>
      <c r="C126" s="110" t="s">
        <v>1274</v>
      </c>
      <c r="D126" s="110" t="s">
        <v>107</v>
      </c>
      <c r="E126" s="110" t="s">
        <v>1372</v>
      </c>
      <c r="F126" s="110"/>
      <c r="G126" s="116">
        <v>3993</v>
      </c>
      <c r="H126" s="115">
        <v>780</v>
      </c>
      <c r="I126" s="128">
        <f t="shared" si="30"/>
        <v>19.534184823441024</v>
      </c>
      <c r="J126" s="115">
        <v>110</v>
      </c>
      <c r="K126" s="128">
        <f t="shared" si="31"/>
        <v>14.102564102564102</v>
      </c>
      <c r="L126" s="115">
        <v>12</v>
      </c>
      <c r="M126" s="129">
        <f t="shared" si="32"/>
        <v>1.5384615384615385</v>
      </c>
      <c r="N126" s="130"/>
      <c r="O126" s="130"/>
      <c r="P126" s="115" t="s">
        <v>1273</v>
      </c>
      <c r="Q126" s="115" t="s">
        <v>1274</v>
      </c>
      <c r="R126" s="115" t="s">
        <v>107</v>
      </c>
      <c r="S126" s="115" t="s">
        <v>1372</v>
      </c>
      <c r="T126" s="115"/>
      <c r="U126" s="131">
        <v>3993</v>
      </c>
      <c r="V126" s="131">
        <f>IFERROR(_xlfn.XLOOKUP($S126,'[47]Tgl 8'!$E$108:$E$156,'[47]Tgl 8'!$F$108:$F$156),0)</f>
        <v>0</v>
      </c>
      <c r="W126" s="128">
        <f t="shared" si="33"/>
        <v>0</v>
      </c>
      <c r="X126" s="131">
        <f>IFERROR(_xlfn.XLOOKUP($S126,'[47]Tgl 8'!$E$108:$E$156,'[47]Tgl 8'!$H$108:$H$156),0)</f>
        <v>0</v>
      </c>
      <c r="Y126" s="128">
        <f t="shared" si="34"/>
        <v>0</v>
      </c>
      <c r="Z126" s="131">
        <f>IFERROR(_xlfn.XLOOKUP($S126,'[47]Tgl 8'!$E$108:$E$156,'[47]Tgl 8'!$G$108:$G$156),0)</f>
        <v>0</v>
      </c>
      <c r="AA126" s="129">
        <f t="shared" si="35"/>
        <v>0</v>
      </c>
      <c r="AB126" s="130"/>
      <c r="AC126" s="130"/>
      <c r="AD126" s="115" t="s">
        <v>1273</v>
      </c>
      <c r="AE126" s="115" t="s">
        <v>1274</v>
      </c>
      <c r="AF126" s="115" t="s">
        <v>107</v>
      </c>
      <c r="AG126" s="115" t="s">
        <v>1372</v>
      </c>
      <c r="AH126" s="115"/>
      <c r="AI126" s="131">
        <v>3993</v>
      </c>
      <c r="AJ126" s="131">
        <f>IFERROR(_xlfn.XLOOKUP($AG126,[47]Sheet1!$E$108:$E$132,[47]Sheet1!F$108:F$132),0)</f>
        <v>0</v>
      </c>
      <c r="AK126" s="128">
        <f t="shared" si="36"/>
        <v>0</v>
      </c>
      <c r="AL126" s="131">
        <f>IFERROR(_xlfn.XLOOKUP($AG126,[47]Sheet1!$E$108:$E$132,[47]Sheet1!H$108:H$132),0)</f>
        <v>0</v>
      </c>
      <c r="AM126" s="128">
        <f t="shared" si="37"/>
        <v>0</v>
      </c>
      <c r="AN126" s="131">
        <f>IFERROR(_xlfn.XLOOKUP($AG126,[47]Sheet1!$E$108:$E$132,[47]Sheet1!G$108:G$132),0)</f>
        <v>0</v>
      </c>
      <c r="AO126" s="129">
        <f t="shared" si="38"/>
        <v>0</v>
      </c>
    </row>
    <row r="127" spans="2:41" x14ac:dyDescent="0.2">
      <c r="B127" s="110" t="s">
        <v>1273</v>
      </c>
      <c r="C127" s="110" t="s">
        <v>1274</v>
      </c>
      <c r="D127" s="110" t="s">
        <v>107</v>
      </c>
      <c r="E127" s="110" t="s">
        <v>1373</v>
      </c>
      <c r="F127" s="110"/>
      <c r="G127" s="116">
        <v>3906</v>
      </c>
      <c r="H127" s="115">
        <v>0</v>
      </c>
      <c r="I127" s="128">
        <f t="shared" si="30"/>
        <v>0</v>
      </c>
      <c r="J127" s="115">
        <v>0</v>
      </c>
      <c r="K127" s="128">
        <f t="shared" si="31"/>
        <v>0</v>
      </c>
      <c r="L127" s="115">
        <v>0</v>
      </c>
      <c r="M127" s="129">
        <f t="shared" si="32"/>
        <v>0</v>
      </c>
      <c r="N127" s="130"/>
      <c r="O127" s="130"/>
      <c r="P127" s="115" t="s">
        <v>1273</v>
      </c>
      <c r="Q127" s="115" t="s">
        <v>1274</v>
      </c>
      <c r="R127" s="115" t="s">
        <v>107</v>
      </c>
      <c r="S127" s="115" t="s">
        <v>1373</v>
      </c>
      <c r="T127" s="115"/>
      <c r="U127" s="131">
        <v>3906</v>
      </c>
      <c r="V127" s="131">
        <f>IFERROR(_xlfn.XLOOKUP($S127,'[47]Tgl 8'!$E$108:$E$156,'[47]Tgl 8'!$F$108:$F$156),0)</f>
        <v>0</v>
      </c>
      <c r="W127" s="128">
        <f t="shared" si="33"/>
        <v>0</v>
      </c>
      <c r="X127" s="131">
        <f>IFERROR(_xlfn.XLOOKUP($S127,'[47]Tgl 8'!$E$108:$E$156,'[47]Tgl 8'!$H$108:$H$156),0)</f>
        <v>0</v>
      </c>
      <c r="Y127" s="128">
        <f t="shared" si="34"/>
        <v>0</v>
      </c>
      <c r="Z127" s="131">
        <f>IFERROR(_xlfn.XLOOKUP($S127,'[47]Tgl 8'!$E$108:$E$156,'[47]Tgl 8'!$G$108:$G$156),0)</f>
        <v>0</v>
      </c>
      <c r="AA127" s="129">
        <f t="shared" si="35"/>
        <v>0</v>
      </c>
      <c r="AB127" s="130"/>
      <c r="AC127" s="130"/>
      <c r="AD127" s="115" t="s">
        <v>1273</v>
      </c>
      <c r="AE127" s="115" t="s">
        <v>1274</v>
      </c>
      <c r="AF127" s="115" t="s">
        <v>107</v>
      </c>
      <c r="AG127" s="115" t="s">
        <v>1373</v>
      </c>
      <c r="AH127" s="115"/>
      <c r="AI127" s="131">
        <v>3906</v>
      </c>
      <c r="AJ127" s="131">
        <f>IFERROR(_xlfn.XLOOKUP($AG127,[47]Sheet1!$E$108:$E$132,[47]Sheet1!F$108:F$132),0)</f>
        <v>0</v>
      </c>
      <c r="AK127" s="128">
        <f t="shared" si="36"/>
        <v>0</v>
      </c>
      <c r="AL127" s="131">
        <f>IFERROR(_xlfn.XLOOKUP($AG127,[47]Sheet1!$E$108:$E$132,[47]Sheet1!H$108:H$132),0)</f>
        <v>0</v>
      </c>
      <c r="AM127" s="128">
        <f t="shared" si="37"/>
        <v>0</v>
      </c>
      <c r="AN127" s="131">
        <f>IFERROR(_xlfn.XLOOKUP($AG127,[47]Sheet1!$E$108:$E$132,[47]Sheet1!G$108:G$132),0)</f>
        <v>0</v>
      </c>
      <c r="AO127" s="129">
        <f t="shared" si="38"/>
        <v>0</v>
      </c>
    </row>
    <row r="128" spans="2:41" x14ac:dyDescent="0.2">
      <c r="B128" s="110" t="s">
        <v>1273</v>
      </c>
      <c r="C128" s="110" t="s">
        <v>1274</v>
      </c>
      <c r="D128" s="110" t="s">
        <v>107</v>
      </c>
      <c r="E128" s="110" t="s">
        <v>1374</v>
      </c>
      <c r="F128" s="110"/>
      <c r="G128" s="116">
        <v>3778</v>
      </c>
      <c r="H128" s="115">
        <v>0</v>
      </c>
      <c r="I128" s="128">
        <f t="shared" si="30"/>
        <v>0</v>
      </c>
      <c r="J128" s="115">
        <v>0</v>
      </c>
      <c r="K128" s="128">
        <f t="shared" si="31"/>
        <v>0</v>
      </c>
      <c r="L128" s="115">
        <v>0</v>
      </c>
      <c r="M128" s="129">
        <f t="shared" si="32"/>
        <v>0</v>
      </c>
      <c r="N128" s="130"/>
      <c r="O128" s="130"/>
      <c r="P128" s="115" t="s">
        <v>1273</v>
      </c>
      <c r="Q128" s="115" t="s">
        <v>1274</v>
      </c>
      <c r="R128" s="115" t="s">
        <v>107</v>
      </c>
      <c r="S128" s="115" t="s">
        <v>1374</v>
      </c>
      <c r="T128" s="115"/>
      <c r="U128" s="131">
        <v>3778</v>
      </c>
      <c r="V128" s="131">
        <f>IFERROR(_xlfn.XLOOKUP($S128,'[47]Tgl 8'!$E$108:$E$156,'[47]Tgl 8'!$F$108:$F$156),0)</f>
        <v>86</v>
      </c>
      <c r="W128" s="128">
        <f t="shared" si="33"/>
        <v>2.2763366860772893</v>
      </c>
      <c r="X128" s="131">
        <f>IFERROR(_xlfn.XLOOKUP($S128,'[47]Tgl 8'!$E$108:$E$156,'[47]Tgl 8'!$H$108:$H$156),0)</f>
        <v>19</v>
      </c>
      <c r="Y128" s="128">
        <f t="shared" si="34"/>
        <v>22.093023255813954</v>
      </c>
      <c r="Z128" s="131">
        <f>IFERROR(_xlfn.XLOOKUP($S128,'[47]Tgl 8'!$E$108:$E$156,'[47]Tgl 8'!$G$108:$G$156),0)</f>
        <v>14</v>
      </c>
      <c r="AA128" s="129">
        <f t="shared" si="35"/>
        <v>16.279069767441861</v>
      </c>
      <c r="AB128" s="130"/>
      <c r="AC128" s="130"/>
      <c r="AD128" s="115" t="s">
        <v>1273</v>
      </c>
      <c r="AE128" s="115" t="s">
        <v>1274</v>
      </c>
      <c r="AF128" s="115" t="s">
        <v>107</v>
      </c>
      <c r="AG128" s="115" t="s">
        <v>1374</v>
      </c>
      <c r="AH128" s="115"/>
      <c r="AI128" s="131">
        <v>3778</v>
      </c>
      <c r="AJ128" s="131">
        <f>IFERROR(_xlfn.XLOOKUP($AG128,[47]Sheet1!$E$108:$E$132,[47]Sheet1!F$108:F$132),0)</f>
        <v>0</v>
      </c>
      <c r="AK128" s="128">
        <f t="shared" si="36"/>
        <v>0</v>
      </c>
      <c r="AL128" s="131">
        <f>IFERROR(_xlfn.XLOOKUP($AG128,[47]Sheet1!$E$108:$E$132,[47]Sheet1!H$108:H$132),0)</f>
        <v>0</v>
      </c>
      <c r="AM128" s="128">
        <f t="shared" si="37"/>
        <v>0</v>
      </c>
      <c r="AN128" s="131">
        <f>IFERROR(_xlfn.XLOOKUP($AG128,[47]Sheet1!$E$108:$E$132,[47]Sheet1!G$108:G$132),0)</f>
        <v>0</v>
      </c>
      <c r="AO128" s="129">
        <f t="shared" si="38"/>
        <v>0</v>
      </c>
    </row>
    <row r="129" spans="2:41" x14ac:dyDescent="0.2">
      <c r="B129" s="110" t="s">
        <v>1273</v>
      </c>
      <c r="C129" s="110" t="s">
        <v>1274</v>
      </c>
      <c r="D129" s="110" t="s">
        <v>107</v>
      </c>
      <c r="E129" s="110" t="s">
        <v>1375</v>
      </c>
      <c r="F129" s="110"/>
      <c r="G129" s="116">
        <v>4203</v>
      </c>
      <c r="H129" s="115">
        <v>0</v>
      </c>
      <c r="I129" s="128">
        <f t="shared" si="30"/>
        <v>0</v>
      </c>
      <c r="J129" s="115">
        <v>0</v>
      </c>
      <c r="K129" s="128">
        <f t="shared" si="31"/>
        <v>0</v>
      </c>
      <c r="L129" s="115">
        <v>0</v>
      </c>
      <c r="M129" s="129">
        <f t="shared" si="32"/>
        <v>0</v>
      </c>
      <c r="N129" s="130"/>
      <c r="O129" s="130"/>
      <c r="P129" s="115" t="s">
        <v>1273</v>
      </c>
      <c r="Q129" s="115" t="s">
        <v>1274</v>
      </c>
      <c r="R129" s="115" t="s">
        <v>107</v>
      </c>
      <c r="S129" s="115" t="s">
        <v>1375</v>
      </c>
      <c r="T129" s="115"/>
      <c r="U129" s="131">
        <v>4203</v>
      </c>
      <c r="V129" s="131">
        <f>IFERROR(_xlfn.XLOOKUP($S129,'[47]Tgl 8'!$E$108:$E$156,'[47]Tgl 8'!$F$108:$F$156),0)</f>
        <v>110</v>
      </c>
      <c r="W129" s="128">
        <f t="shared" si="33"/>
        <v>2.6171782060433024</v>
      </c>
      <c r="X129" s="131">
        <f>IFERROR(_xlfn.XLOOKUP($S129,'[47]Tgl 8'!$E$108:$E$156,'[47]Tgl 8'!$H$108:$H$156),0)</f>
        <v>25</v>
      </c>
      <c r="Y129" s="128">
        <f t="shared" si="34"/>
        <v>22.727272727272727</v>
      </c>
      <c r="Z129" s="131">
        <f>IFERROR(_xlfn.XLOOKUP($S129,'[47]Tgl 8'!$E$108:$E$156,'[47]Tgl 8'!$G$108:$G$156),0)</f>
        <v>19</v>
      </c>
      <c r="AA129" s="129">
        <f t="shared" si="35"/>
        <v>17.27272727272727</v>
      </c>
      <c r="AB129" s="130"/>
      <c r="AC129" s="130"/>
      <c r="AD129" s="115" t="s">
        <v>1273</v>
      </c>
      <c r="AE129" s="115" t="s">
        <v>1274</v>
      </c>
      <c r="AF129" s="115" t="s">
        <v>107</v>
      </c>
      <c r="AG129" s="115" t="s">
        <v>1375</v>
      </c>
      <c r="AH129" s="115"/>
      <c r="AI129" s="131">
        <v>4203</v>
      </c>
      <c r="AJ129" s="131">
        <f>IFERROR(_xlfn.XLOOKUP($AG129,[47]Sheet1!$E$108:$E$132,[47]Sheet1!F$108:F$132),0)</f>
        <v>0</v>
      </c>
      <c r="AK129" s="128">
        <f t="shared" si="36"/>
        <v>0</v>
      </c>
      <c r="AL129" s="131">
        <f>IFERROR(_xlfn.XLOOKUP($AG129,[47]Sheet1!$E$108:$E$132,[47]Sheet1!H$108:H$132),0)</f>
        <v>0</v>
      </c>
      <c r="AM129" s="128">
        <f t="shared" si="37"/>
        <v>0</v>
      </c>
      <c r="AN129" s="131">
        <f>IFERROR(_xlfn.XLOOKUP($AG129,[47]Sheet1!$E$108:$E$132,[47]Sheet1!G$108:G$132),0)</f>
        <v>0</v>
      </c>
      <c r="AO129" s="129">
        <f t="shared" si="38"/>
        <v>0</v>
      </c>
    </row>
    <row r="130" spans="2:41" x14ac:dyDescent="0.2">
      <c r="B130" s="110" t="s">
        <v>1273</v>
      </c>
      <c r="C130" s="110" t="s">
        <v>1274</v>
      </c>
      <c r="D130" s="110" t="s">
        <v>107</v>
      </c>
      <c r="E130" s="110" t="s">
        <v>1005</v>
      </c>
      <c r="F130" s="110"/>
      <c r="G130" s="116">
        <v>4379</v>
      </c>
      <c r="H130" s="115">
        <v>958</v>
      </c>
      <c r="I130" s="128">
        <f t="shared" si="30"/>
        <v>21.877140899748802</v>
      </c>
      <c r="J130" s="115">
        <v>238</v>
      </c>
      <c r="K130" s="128">
        <f t="shared" si="31"/>
        <v>24.843423799582464</v>
      </c>
      <c r="L130" s="115">
        <v>28</v>
      </c>
      <c r="M130" s="129">
        <f t="shared" si="32"/>
        <v>2.9227557411273488</v>
      </c>
      <c r="N130" s="130"/>
      <c r="O130" s="130"/>
      <c r="P130" s="115" t="s">
        <v>1273</v>
      </c>
      <c r="Q130" s="115" t="s">
        <v>1274</v>
      </c>
      <c r="R130" s="115" t="s">
        <v>107</v>
      </c>
      <c r="S130" s="115" t="s">
        <v>1005</v>
      </c>
      <c r="T130" s="115"/>
      <c r="U130" s="131">
        <v>4379</v>
      </c>
      <c r="V130" s="131">
        <f>IFERROR(_xlfn.XLOOKUP($S130,'[47]Tgl 8'!$E$108:$E$156,'[47]Tgl 8'!$F$108:$F$156),0)</f>
        <v>0</v>
      </c>
      <c r="W130" s="128">
        <f t="shared" si="33"/>
        <v>0</v>
      </c>
      <c r="X130" s="131">
        <f>IFERROR(_xlfn.XLOOKUP($S130,'[47]Tgl 8'!$E$108:$E$156,'[47]Tgl 8'!$H$108:$H$156),0)</f>
        <v>0</v>
      </c>
      <c r="Y130" s="128">
        <f t="shared" si="34"/>
        <v>0</v>
      </c>
      <c r="Z130" s="131">
        <f>IFERROR(_xlfn.XLOOKUP($S130,'[47]Tgl 8'!$E$108:$E$156,'[47]Tgl 8'!$G$108:$G$156),0)</f>
        <v>0</v>
      </c>
      <c r="AA130" s="129">
        <f t="shared" si="35"/>
        <v>0</v>
      </c>
      <c r="AB130" s="130"/>
      <c r="AC130" s="130"/>
      <c r="AD130" s="115" t="s">
        <v>1273</v>
      </c>
      <c r="AE130" s="115" t="s">
        <v>1274</v>
      </c>
      <c r="AF130" s="115" t="s">
        <v>107</v>
      </c>
      <c r="AG130" s="115" t="s">
        <v>1005</v>
      </c>
      <c r="AH130" s="115"/>
      <c r="AI130" s="131">
        <v>4379</v>
      </c>
      <c r="AJ130" s="131">
        <f>IFERROR(_xlfn.XLOOKUP($AG130,[47]Sheet1!$E$108:$E$132,[47]Sheet1!F$108:F$132),0)</f>
        <v>0</v>
      </c>
      <c r="AK130" s="128">
        <f t="shared" si="36"/>
        <v>0</v>
      </c>
      <c r="AL130" s="131">
        <f>IFERROR(_xlfn.XLOOKUP($AG130,[47]Sheet1!$E$108:$E$132,[47]Sheet1!H$108:H$132),0)</f>
        <v>0</v>
      </c>
      <c r="AM130" s="128">
        <f t="shared" si="37"/>
        <v>0</v>
      </c>
      <c r="AN130" s="131">
        <f>IFERROR(_xlfn.XLOOKUP($AG130,[47]Sheet1!$E$108:$E$132,[47]Sheet1!G$108:G$132),0)</f>
        <v>0</v>
      </c>
      <c r="AO130" s="129">
        <f t="shared" si="38"/>
        <v>0</v>
      </c>
    </row>
    <row r="131" spans="2:41" x14ac:dyDescent="0.2">
      <c r="B131" s="110" t="s">
        <v>1273</v>
      </c>
      <c r="C131" s="110" t="s">
        <v>1274</v>
      </c>
      <c r="D131" s="110" t="s">
        <v>107</v>
      </c>
      <c r="E131" s="110" t="s">
        <v>1376</v>
      </c>
      <c r="F131" s="110"/>
      <c r="G131" s="116">
        <v>4271</v>
      </c>
      <c r="H131" s="115">
        <v>390</v>
      </c>
      <c r="I131" s="128">
        <f t="shared" si="30"/>
        <v>9.1313509716693986</v>
      </c>
      <c r="J131" s="115">
        <v>46</v>
      </c>
      <c r="K131" s="128">
        <f t="shared" si="31"/>
        <v>11.794871794871796</v>
      </c>
      <c r="L131" s="115">
        <v>23</v>
      </c>
      <c r="M131" s="129">
        <f t="shared" si="32"/>
        <v>5.8974358974358978</v>
      </c>
      <c r="N131" s="130"/>
      <c r="O131" s="130"/>
      <c r="P131" s="115" t="s">
        <v>1273</v>
      </c>
      <c r="Q131" s="115" t="s">
        <v>1274</v>
      </c>
      <c r="R131" s="115" t="s">
        <v>107</v>
      </c>
      <c r="S131" s="115" t="s">
        <v>1376</v>
      </c>
      <c r="T131" s="115"/>
      <c r="U131" s="131">
        <v>4271</v>
      </c>
      <c r="V131" s="131">
        <f>IFERROR(_xlfn.XLOOKUP($S131,'[47]Tgl 8'!$E$108:$E$156,'[47]Tgl 8'!$F$108:$F$156),0)</f>
        <v>0</v>
      </c>
      <c r="W131" s="128">
        <f t="shared" si="33"/>
        <v>0</v>
      </c>
      <c r="X131" s="131">
        <f>IFERROR(_xlfn.XLOOKUP($S131,'[47]Tgl 8'!$E$108:$E$156,'[47]Tgl 8'!$H$108:$H$156),0)</f>
        <v>0</v>
      </c>
      <c r="Y131" s="128">
        <f t="shared" si="34"/>
        <v>0</v>
      </c>
      <c r="Z131" s="131">
        <f>IFERROR(_xlfn.XLOOKUP($S131,'[47]Tgl 8'!$E$108:$E$156,'[47]Tgl 8'!$G$108:$G$156),0)</f>
        <v>0</v>
      </c>
      <c r="AA131" s="129">
        <f t="shared" si="35"/>
        <v>0</v>
      </c>
      <c r="AB131" s="130"/>
      <c r="AC131" s="130"/>
      <c r="AD131" s="115" t="s">
        <v>1273</v>
      </c>
      <c r="AE131" s="115" t="s">
        <v>1274</v>
      </c>
      <c r="AF131" s="115" t="s">
        <v>107</v>
      </c>
      <c r="AG131" s="115" t="s">
        <v>1376</v>
      </c>
      <c r="AH131" s="115"/>
      <c r="AI131" s="131">
        <v>4271</v>
      </c>
      <c r="AJ131" s="131">
        <f>IFERROR(_xlfn.XLOOKUP($AG131,[47]Sheet1!$E$108:$E$132,[47]Sheet1!F$108:F$132),0)</f>
        <v>0</v>
      </c>
      <c r="AK131" s="128">
        <f t="shared" si="36"/>
        <v>0</v>
      </c>
      <c r="AL131" s="131">
        <f>IFERROR(_xlfn.XLOOKUP($AG131,[47]Sheet1!$E$108:$E$132,[47]Sheet1!H$108:H$132),0)</f>
        <v>0</v>
      </c>
      <c r="AM131" s="128">
        <f t="shared" si="37"/>
        <v>0</v>
      </c>
      <c r="AN131" s="131">
        <f>IFERROR(_xlfn.XLOOKUP($AG131,[47]Sheet1!$E$108:$E$132,[47]Sheet1!G$108:G$132),0)</f>
        <v>0</v>
      </c>
      <c r="AO131" s="129">
        <f t="shared" si="38"/>
        <v>0</v>
      </c>
    </row>
    <row r="132" spans="2:41" x14ac:dyDescent="0.2">
      <c r="B132" s="110" t="s">
        <v>1273</v>
      </c>
      <c r="C132" s="110" t="s">
        <v>1274</v>
      </c>
      <c r="D132" s="110" t="s">
        <v>107</v>
      </c>
      <c r="E132" s="110" t="s">
        <v>1377</v>
      </c>
      <c r="F132" s="110"/>
      <c r="G132" s="116">
        <v>3768</v>
      </c>
      <c r="H132" s="115">
        <v>760</v>
      </c>
      <c r="I132" s="128">
        <f t="shared" si="30"/>
        <v>20.169851380042463</v>
      </c>
      <c r="J132" s="115">
        <v>180</v>
      </c>
      <c r="K132" s="128">
        <f t="shared" si="31"/>
        <v>23.684210526315791</v>
      </c>
      <c r="L132" s="115">
        <v>25</v>
      </c>
      <c r="M132" s="129">
        <f t="shared" si="32"/>
        <v>3.2894736842105265</v>
      </c>
      <c r="N132" s="130"/>
      <c r="O132" s="130"/>
      <c r="P132" s="115" t="s">
        <v>1273</v>
      </c>
      <c r="Q132" s="115" t="s">
        <v>1274</v>
      </c>
      <c r="R132" s="115" t="s">
        <v>107</v>
      </c>
      <c r="S132" s="115" t="s">
        <v>1377</v>
      </c>
      <c r="T132" s="115"/>
      <c r="U132" s="131">
        <v>3768</v>
      </c>
      <c r="V132" s="131">
        <f>IFERROR(_xlfn.XLOOKUP($S132,'[47]Tgl 8'!$E$108:$E$156,'[47]Tgl 8'!$F$108:$F$156),0)</f>
        <v>0</v>
      </c>
      <c r="W132" s="128">
        <f t="shared" si="33"/>
        <v>0</v>
      </c>
      <c r="X132" s="131">
        <f>IFERROR(_xlfn.XLOOKUP($S132,'[47]Tgl 8'!$E$108:$E$156,'[47]Tgl 8'!$H$108:$H$156),0)</f>
        <v>0</v>
      </c>
      <c r="Y132" s="128">
        <f t="shared" si="34"/>
        <v>0</v>
      </c>
      <c r="Z132" s="131">
        <f>IFERROR(_xlfn.XLOOKUP($S132,'[47]Tgl 8'!$E$108:$E$156,'[47]Tgl 8'!$G$108:$G$156),0)</f>
        <v>0</v>
      </c>
      <c r="AA132" s="129">
        <f t="shared" si="35"/>
        <v>0</v>
      </c>
      <c r="AB132" s="130"/>
      <c r="AC132" s="130"/>
      <c r="AD132" s="115" t="s">
        <v>1273</v>
      </c>
      <c r="AE132" s="115" t="s">
        <v>1274</v>
      </c>
      <c r="AF132" s="115" t="s">
        <v>107</v>
      </c>
      <c r="AG132" s="115" t="s">
        <v>1377</v>
      </c>
      <c r="AH132" s="115"/>
      <c r="AI132" s="131">
        <v>3768</v>
      </c>
      <c r="AJ132" s="131">
        <f>IFERROR(_xlfn.XLOOKUP($AG132,[47]Sheet1!$E$108:$E$132,[47]Sheet1!F$108:F$132),0)</f>
        <v>0</v>
      </c>
      <c r="AK132" s="128">
        <f t="shared" si="36"/>
        <v>0</v>
      </c>
      <c r="AL132" s="131">
        <f>IFERROR(_xlfn.XLOOKUP($AG132,[47]Sheet1!$E$108:$E$132,[47]Sheet1!H$108:H$132),0)</f>
        <v>0</v>
      </c>
      <c r="AM132" s="128">
        <f t="shared" si="37"/>
        <v>0</v>
      </c>
      <c r="AN132" s="131">
        <f>IFERROR(_xlfn.XLOOKUP($AG132,[47]Sheet1!$E$108:$E$132,[47]Sheet1!G$108:G$132),0)</f>
        <v>0</v>
      </c>
      <c r="AO132" s="129">
        <f t="shared" si="38"/>
        <v>0</v>
      </c>
    </row>
    <row r="133" spans="2:41" x14ac:dyDescent="0.2">
      <c r="B133" s="110" t="s">
        <v>1273</v>
      </c>
      <c r="C133" s="110" t="s">
        <v>1274</v>
      </c>
      <c r="D133" s="110" t="s">
        <v>107</v>
      </c>
      <c r="E133" s="110" t="s">
        <v>1378</v>
      </c>
      <c r="F133" s="110"/>
      <c r="G133" s="116">
        <v>3690</v>
      </c>
      <c r="H133" s="115">
        <v>726</v>
      </c>
      <c r="I133" s="128">
        <f t="shared" si="30"/>
        <v>19.674796747967481</v>
      </c>
      <c r="J133" s="115">
        <v>109</v>
      </c>
      <c r="K133" s="128">
        <f t="shared" si="31"/>
        <v>15.013774104683195</v>
      </c>
      <c r="L133" s="115">
        <v>23</v>
      </c>
      <c r="M133" s="129">
        <f t="shared" si="32"/>
        <v>3.1680440771349865</v>
      </c>
      <c r="N133" s="130"/>
      <c r="O133" s="130"/>
      <c r="P133" s="115" t="s">
        <v>1273</v>
      </c>
      <c r="Q133" s="115" t="s">
        <v>1274</v>
      </c>
      <c r="R133" s="115" t="s">
        <v>107</v>
      </c>
      <c r="S133" s="115" t="s">
        <v>1378</v>
      </c>
      <c r="T133" s="115"/>
      <c r="U133" s="131">
        <v>3690</v>
      </c>
      <c r="V133" s="131">
        <f>IFERROR(_xlfn.XLOOKUP($S133,'[47]Tgl 8'!$E$108:$E$156,'[47]Tgl 8'!$F$108:$F$156),0)</f>
        <v>0</v>
      </c>
      <c r="W133" s="128">
        <f t="shared" si="33"/>
        <v>0</v>
      </c>
      <c r="X133" s="131">
        <f>IFERROR(_xlfn.XLOOKUP($S133,'[47]Tgl 8'!$E$108:$E$156,'[47]Tgl 8'!$H$108:$H$156),0)</f>
        <v>0</v>
      </c>
      <c r="Y133" s="128">
        <f t="shared" si="34"/>
        <v>0</v>
      </c>
      <c r="Z133" s="131">
        <f>IFERROR(_xlfn.XLOOKUP($S133,'[47]Tgl 8'!$E$108:$E$156,'[47]Tgl 8'!$G$108:$G$156),0)</f>
        <v>0</v>
      </c>
      <c r="AA133" s="129">
        <f t="shared" si="35"/>
        <v>0</v>
      </c>
      <c r="AB133" s="130"/>
      <c r="AC133" s="130"/>
      <c r="AD133" s="115" t="s">
        <v>1273</v>
      </c>
      <c r="AE133" s="115" t="s">
        <v>1274</v>
      </c>
      <c r="AF133" s="115" t="s">
        <v>107</v>
      </c>
      <c r="AG133" s="115" t="s">
        <v>1378</v>
      </c>
      <c r="AH133" s="115"/>
      <c r="AI133" s="131">
        <v>3690</v>
      </c>
      <c r="AJ133" s="131">
        <f>IFERROR(_xlfn.XLOOKUP($AG133,[47]Sheet1!$E$108:$E$132,[47]Sheet1!F$108:F$132),0)</f>
        <v>0</v>
      </c>
      <c r="AK133" s="128">
        <f t="shared" si="36"/>
        <v>0</v>
      </c>
      <c r="AL133" s="131">
        <f>IFERROR(_xlfn.XLOOKUP($AG133,[47]Sheet1!$E$108:$E$132,[47]Sheet1!H$108:H$132),0)</f>
        <v>0</v>
      </c>
      <c r="AM133" s="128">
        <f t="shared" si="37"/>
        <v>0</v>
      </c>
      <c r="AN133" s="131">
        <f>IFERROR(_xlfn.XLOOKUP($AG133,[47]Sheet1!$E$108:$E$132,[47]Sheet1!G$108:G$132),0)</f>
        <v>0</v>
      </c>
      <c r="AO133" s="129">
        <f t="shared" si="38"/>
        <v>0</v>
      </c>
    </row>
    <row r="134" spans="2:41" x14ac:dyDescent="0.2">
      <c r="B134" s="110" t="s">
        <v>1273</v>
      </c>
      <c r="C134" s="110" t="s">
        <v>1274</v>
      </c>
      <c r="D134" s="110" t="s">
        <v>107</v>
      </c>
      <c r="E134" s="110" t="s">
        <v>1379</v>
      </c>
      <c r="F134" s="110"/>
      <c r="G134" s="116">
        <v>3692</v>
      </c>
      <c r="H134" s="115">
        <v>0</v>
      </c>
      <c r="I134" s="128">
        <f t="shared" si="30"/>
        <v>0</v>
      </c>
      <c r="J134" s="115">
        <v>0</v>
      </c>
      <c r="K134" s="128">
        <f t="shared" si="31"/>
        <v>0</v>
      </c>
      <c r="L134" s="115">
        <v>0</v>
      </c>
      <c r="M134" s="129">
        <f t="shared" si="32"/>
        <v>0</v>
      </c>
      <c r="N134" s="130"/>
      <c r="O134" s="130"/>
      <c r="P134" s="115" t="s">
        <v>1273</v>
      </c>
      <c r="Q134" s="115" t="s">
        <v>1274</v>
      </c>
      <c r="R134" s="115" t="s">
        <v>107</v>
      </c>
      <c r="S134" s="115" t="s">
        <v>1379</v>
      </c>
      <c r="T134" s="115"/>
      <c r="U134" s="131">
        <v>3692</v>
      </c>
      <c r="V134" s="131">
        <f>IFERROR(_xlfn.XLOOKUP($S134,'[47]Tgl 8'!$E$108:$E$156,'[47]Tgl 8'!$F$108:$F$156),0)</f>
        <v>0</v>
      </c>
      <c r="W134" s="128">
        <f t="shared" si="33"/>
        <v>0</v>
      </c>
      <c r="X134" s="131">
        <f>IFERROR(_xlfn.XLOOKUP($S134,'[47]Tgl 8'!$E$108:$E$156,'[47]Tgl 8'!$H$108:$H$156),0)</f>
        <v>0</v>
      </c>
      <c r="Y134" s="128">
        <f t="shared" si="34"/>
        <v>0</v>
      </c>
      <c r="Z134" s="131">
        <f>IFERROR(_xlfn.XLOOKUP($S134,'[47]Tgl 8'!$E$108:$E$156,'[47]Tgl 8'!$G$108:$G$156),0)</f>
        <v>0</v>
      </c>
      <c r="AA134" s="129">
        <f t="shared" si="35"/>
        <v>0</v>
      </c>
      <c r="AB134" s="130"/>
      <c r="AC134" s="130"/>
      <c r="AD134" s="115" t="s">
        <v>1273</v>
      </c>
      <c r="AE134" s="115" t="s">
        <v>1274</v>
      </c>
      <c r="AF134" s="115" t="s">
        <v>107</v>
      </c>
      <c r="AG134" s="115" t="s">
        <v>1379</v>
      </c>
      <c r="AH134" s="115"/>
      <c r="AI134" s="131">
        <v>3692</v>
      </c>
      <c r="AJ134" s="131">
        <f>IFERROR(_xlfn.XLOOKUP($AG134,[47]Sheet1!$E$108:$E$132,[47]Sheet1!F$108:F$132),0)</f>
        <v>0</v>
      </c>
      <c r="AK134" s="128">
        <f t="shared" si="36"/>
        <v>0</v>
      </c>
      <c r="AL134" s="131">
        <f>IFERROR(_xlfn.XLOOKUP($AG134,[47]Sheet1!$E$108:$E$132,[47]Sheet1!H$108:H$132),0)</f>
        <v>0</v>
      </c>
      <c r="AM134" s="128">
        <f t="shared" si="37"/>
        <v>0</v>
      </c>
      <c r="AN134" s="131">
        <f>IFERROR(_xlfn.XLOOKUP($AG134,[47]Sheet1!$E$108:$E$132,[47]Sheet1!G$108:G$132),0)</f>
        <v>0</v>
      </c>
      <c r="AO134" s="129">
        <f t="shared" si="38"/>
        <v>0</v>
      </c>
    </row>
    <row r="135" spans="2:41" x14ac:dyDescent="0.2">
      <c r="B135" s="110" t="s">
        <v>1273</v>
      </c>
      <c r="C135" s="110" t="s">
        <v>1274</v>
      </c>
      <c r="D135" s="110" t="s">
        <v>107</v>
      </c>
      <c r="E135" s="110" t="s">
        <v>1380</v>
      </c>
      <c r="F135" s="110"/>
      <c r="G135" s="116">
        <v>3945</v>
      </c>
      <c r="H135" s="115">
        <v>0</v>
      </c>
      <c r="I135" s="128">
        <f t="shared" si="30"/>
        <v>0</v>
      </c>
      <c r="J135" s="115">
        <v>0</v>
      </c>
      <c r="K135" s="128">
        <f t="shared" si="31"/>
        <v>0</v>
      </c>
      <c r="L135" s="115">
        <v>0</v>
      </c>
      <c r="M135" s="129">
        <f t="shared" si="32"/>
        <v>0</v>
      </c>
      <c r="N135" s="130"/>
      <c r="O135" s="130"/>
      <c r="P135" s="115" t="s">
        <v>1273</v>
      </c>
      <c r="Q135" s="115" t="s">
        <v>1274</v>
      </c>
      <c r="R135" s="115" t="s">
        <v>107</v>
      </c>
      <c r="S135" s="115" t="s">
        <v>1380</v>
      </c>
      <c r="T135" s="115"/>
      <c r="U135" s="131">
        <v>3945</v>
      </c>
      <c r="V135" s="131">
        <f>IFERROR(_xlfn.XLOOKUP($S135,'[47]Tgl 8'!$E$108:$E$156,'[47]Tgl 8'!$F$108:$F$156),0)</f>
        <v>0</v>
      </c>
      <c r="W135" s="128">
        <f t="shared" si="33"/>
        <v>0</v>
      </c>
      <c r="X135" s="131">
        <f>IFERROR(_xlfn.XLOOKUP($S135,'[47]Tgl 8'!$E$108:$E$156,'[47]Tgl 8'!$H$108:$H$156),0)</f>
        <v>0</v>
      </c>
      <c r="Y135" s="128">
        <f t="shared" si="34"/>
        <v>0</v>
      </c>
      <c r="Z135" s="131">
        <f>IFERROR(_xlfn.XLOOKUP($S135,'[47]Tgl 8'!$E$108:$E$156,'[47]Tgl 8'!$G$108:$G$156),0)</f>
        <v>0</v>
      </c>
      <c r="AA135" s="129">
        <f t="shared" si="35"/>
        <v>0</v>
      </c>
      <c r="AB135" s="130"/>
      <c r="AC135" s="130"/>
      <c r="AD135" s="115" t="s">
        <v>1273</v>
      </c>
      <c r="AE135" s="115" t="s">
        <v>1274</v>
      </c>
      <c r="AF135" s="115" t="s">
        <v>107</v>
      </c>
      <c r="AG135" s="115" t="s">
        <v>1380</v>
      </c>
      <c r="AH135" s="115"/>
      <c r="AI135" s="131">
        <v>3945</v>
      </c>
      <c r="AJ135" s="131">
        <f>IFERROR(_xlfn.XLOOKUP($AG135,[47]Sheet1!$E$108:$E$132,[47]Sheet1!F$108:F$132),0)</f>
        <v>0</v>
      </c>
      <c r="AK135" s="128">
        <f t="shared" si="36"/>
        <v>0</v>
      </c>
      <c r="AL135" s="131">
        <f>IFERROR(_xlfn.XLOOKUP($AG135,[47]Sheet1!$E$108:$E$132,[47]Sheet1!H$108:H$132),0)</f>
        <v>0</v>
      </c>
      <c r="AM135" s="128">
        <f t="shared" si="37"/>
        <v>0</v>
      </c>
      <c r="AN135" s="131">
        <f>IFERROR(_xlfn.XLOOKUP($AG135,[47]Sheet1!$E$108:$E$132,[47]Sheet1!G$108:G$132),0)</f>
        <v>0</v>
      </c>
      <c r="AO135" s="129">
        <f t="shared" si="38"/>
        <v>0</v>
      </c>
    </row>
    <row r="136" spans="2:41" x14ac:dyDescent="0.2">
      <c r="B136" s="110" t="s">
        <v>1273</v>
      </c>
      <c r="C136" s="110" t="s">
        <v>1274</v>
      </c>
      <c r="D136" s="110" t="s">
        <v>107</v>
      </c>
      <c r="E136" s="110" t="s">
        <v>1381</v>
      </c>
      <c r="F136" s="110"/>
      <c r="G136" s="116">
        <v>2955</v>
      </c>
      <c r="H136" s="115">
        <v>0</v>
      </c>
      <c r="I136" s="128">
        <f t="shared" si="30"/>
        <v>0</v>
      </c>
      <c r="J136" s="115">
        <v>0</v>
      </c>
      <c r="K136" s="128">
        <f t="shared" si="31"/>
        <v>0</v>
      </c>
      <c r="L136" s="115">
        <v>0</v>
      </c>
      <c r="M136" s="129">
        <f t="shared" si="32"/>
        <v>0</v>
      </c>
      <c r="N136" s="130"/>
      <c r="O136" s="130"/>
      <c r="P136" s="115" t="s">
        <v>1273</v>
      </c>
      <c r="Q136" s="115" t="s">
        <v>1274</v>
      </c>
      <c r="R136" s="115" t="s">
        <v>107</v>
      </c>
      <c r="S136" s="115" t="s">
        <v>1381</v>
      </c>
      <c r="T136" s="115"/>
      <c r="U136" s="131">
        <v>2955</v>
      </c>
      <c r="V136" s="131">
        <f>IFERROR(_xlfn.XLOOKUP($S136,'[47]Tgl 8'!$E$108:$E$156,'[47]Tgl 8'!$F$108:$F$156),0)</f>
        <v>0</v>
      </c>
      <c r="W136" s="128">
        <f t="shared" si="33"/>
        <v>0</v>
      </c>
      <c r="X136" s="131">
        <f>IFERROR(_xlfn.XLOOKUP($S136,'[47]Tgl 8'!$E$108:$E$156,'[47]Tgl 8'!$H$108:$H$156),0)</f>
        <v>0</v>
      </c>
      <c r="Y136" s="128">
        <f t="shared" si="34"/>
        <v>0</v>
      </c>
      <c r="Z136" s="131">
        <f>IFERROR(_xlfn.XLOOKUP($S136,'[47]Tgl 8'!$E$108:$E$156,'[47]Tgl 8'!$G$108:$G$156),0)</f>
        <v>0</v>
      </c>
      <c r="AA136" s="129">
        <f t="shared" si="35"/>
        <v>0</v>
      </c>
      <c r="AB136" s="130"/>
      <c r="AC136" s="130"/>
      <c r="AD136" s="115" t="s">
        <v>1273</v>
      </c>
      <c r="AE136" s="115" t="s">
        <v>1274</v>
      </c>
      <c r="AF136" s="115" t="s">
        <v>107</v>
      </c>
      <c r="AG136" s="115" t="s">
        <v>1381</v>
      </c>
      <c r="AH136" s="115"/>
      <c r="AI136" s="131">
        <v>2955</v>
      </c>
      <c r="AJ136" s="131">
        <f>IFERROR(_xlfn.XLOOKUP($AG136,[47]Sheet1!$E$108:$E$132,[47]Sheet1!F$108:F$132),0)</f>
        <v>0</v>
      </c>
      <c r="AK136" s="128">
        <f t="shared" si="36"/>
        <v>0</v>
      </c>
      <c r="AL136" s="131">
        <f>IFERROR(_xlfn.XLOOKUP($AG136,[47]Sheet1!$E$108:$E$132,[47]Sheet1!H$108:H$132),0)</f>
        <v>0</v>
      </c>
      <c r="AM136" s="128">
        <f t="shared" si="37"/>
        <v>0</v>
      </c>
      <c r="AN136" s="131">
        <f>IFERROR(_xlfn.XLOOKUP($AG136,[47]Sheet1!$E$108:$E$132,[47]Sheet1!G$108:G$132),0)</f>
        <v>0</v>
      </c>
      <c r="AO136" s="129">
        <f t="shared" si="38"/>
        <v>0</v>
      </c>
    </row>
    <row r="137" spans="2:41" x14ac:dyDescent="0.2">
      <c r="B137" s="110" t="s">
        <v>1273</v>
      </c>
      <c r="C137" s="110" t="s">
        <v>1274</v>
      </c>
      <c r="D137" s="110" t="s">
        <v>107</v>
      </c>
      <c r="E137" s="110" t="s">
        <v>1382</v>
      </c>
      <c r="F137" s="110"/>
      <c r="G137" s="116">
        <v>3207</v>
      </c>
      <c r="H137" s="115">
        <v>0</v>
      </c>
      <c r="I137" s="128">
        <f t="shared" si="30"/>
        <v>0</v>
      </c>
      <c r="J137" s="115">
        <v>0</v>
      </c>
      <c r="K137" s="128">
        <f t="shared" si="31"/>
        <v>0</v>
      </c>
      <c r="L137" s="115">
        <v>0</v>
      </c>
      <c r="M137" s="129">
        <f t="shared" si="32"/>
        <v>0</v>
      </c>
      <c r="N137" s="130"/>
      <c r="O137" s="130"/>
      <c r="P137" s="115" t="s">
        <v>1273</v>
      </c>
      <c r="Q137" s="115" t="s">
        <v>1274</v>
      </c>
      <c r="R137" s="115" t="s">
        <v>107</v>
      </c>
      <c r="S137" s="115" t="s">
        <v>1382</v>
      </c>
      <c r="T137" s="115"/>
      <c r="U137" s="131">
        <v>3207</v>
      </c>
      <c r="V137" s="131">
        <f>IFERROR(_xlfn.XLOOKUP($S137,'[47]Tgl 8'!$E$108:$E$156,'[47]Tgl 8'!$F$108:$F$156),0)</f>
        <v>0</v>
      </c>
      <c r="W137" s="128">
        <f t="shared" si="33"/>
        <v>0</v>
      </c>
      <c r="X137" s="131">
        <f>IFERROR(_xlfn.XLOOKUP($S137,'[47]Tgl 8'!$E$108:$E$156,'[47]Tgl 8'!$H$108:$H$156),0)</f>
        <v>0</v>
      </c>
      <c r="Y137" s="128">
        <f t="shared" si="34"/>
        <v>0</v>
      </c>
      <c r="Z137" s="131">
        <f>IFERROR(_xlfn.XLOOKUP($S137,'[47]Tgl 8'!$E$108:$E$156,'[47]Tgl 8'!$G$108:$G$156),0)</f>
        <v>0</v>
      </c>
      <c r="AA137" s="129">
        <f t="shared" si="35"/>
        <v>0</v>
      </c>
      <c r="AB137" s="130"/>
      <c r="AC137" s="130"/>
      <c r="AD137" s="115" t="s">
        <v>1273</v>
      </c>
      <c r="AE137" s="115" t="s">
        <v>1274</v>
      </c>
      <c r="AF137" s="115" t="s">
        <v>107</v>
      </c>
      <c r="AG137" s="115" t="s">
        <v>1382</v>
      </c>
      <c r="AH137" s="115"/>
      <c r="AI137" s="131">
        <v>3207</v>
      </c>
      <c r="AJ137" s="131">
        <f>IFERROR(_xlfn.XLOOKUP($AG137,[47]Sheet1!$E$108:$E$132,[47]Sheet1!F$108:F$132),0)</f>
        <v>0</v>
      </c>
      <c r="AK137" s="128">
        <f t="shared" si="36"/>
        <v>0</v>
      </c>
      <c r="AL137" s="131">
        <f>IFERROR(_xlfn.XLOOKUP($AG137,[47]Sheet1!$E$108:$E$132,[47]Sheet1!H$108:H$132),0)</f>
        <v>0</v>
      </c>
      <c r="AM137" s="128">
        <f t="shared" si="37"/>
        <v>0</v>
      </c>
      <c r="AN137" s="131">
        <f>IFERROR(_xlfn.XLOOKUP($AG137,[47]Sheet1!$E$108:$E$132,[47]Sheet1!G$108:G$132),0)</f>
        <v>0</v>
      </c>
      <c r="AO137" s="129">
        <f t="shared" si="38"/>
        <v>0</v>
      </c>
    </row>
    <row r="138" spans="2:41" x14ac:dyDescent="0.2">
      <c r="B138" s="110" t="s">
        <v>1273</v>
      </c>
      <c r="C138" s="110" t="s">
        <v>1274</v>
      </c>
      <c r="D138" s="110" t="s">
        <v>107</v>
      </c>
      <c r="E138" s="110" t="s">
        <v>1383</v>
      </c>
      <c r="F138" s="110"/>
      <c r="G138" s="116">
        <v>3523</v>
      </c>
      <c r="H138" s="115">
        <v>0</v>
      </c>
      <c r="I138" s="128">
        <f t="shared" si="30"/>
        <v>0</v>
      </c>
      <c r="J138" s="115">
        <v>0</v>
      </c>
      <c r="K138" s="128">
        <f t="shared" si="31"/>
        <v>0</v>
      </c>
      <c r="L138" s="115">
        <v>0</v>
      </c>
      <c r="M138" s="129">
        <f t="shared" si="32"/>
        <v>0</v>
      </c>
      <c r="N138" s="130"/>
      <c r="O138" s="130"/>
      <c r="P138" s="115" t="s">
        <v>1273</v>
      </c>
      <c r="Q138" s="115" t="s">
        <v>1274</v>
      </c>
      <c r="R138" s="115" t="s">
        <v>107</v>
      </c>
      <c r="S138" s="115" t="s">
        <v>1383</v>
      </c>
      <c r="T138" s="115"/>
      <c r="U138" s="131">
        <v>3523</v>
      </c>
      <c r="V138" s="131">
        <f>IFERROR(_xlfn.XLOOKUP($S138,'[47]Tgl 8'!$E$108:$E$156,'[47]Tgl 8'!$F$108:$F$156),0)</f>
        <v>0</v>
      </c>
      <c r="W138" s="128">
        <f t="shared" si="33"/>
        <v>0</v>
      </c>
      <c r="X138" s="131">
        <f>IFERROR(_xlfn.XLOOKUP($S138,'[47]Tgl 8'!$E$108:$E$156,'[47]Tgl 8'!$H$108:$H$156),0)</f>
        <v>0</v>
      </c>
      <c r="Y138" s="128">
        <f t="shared" si="34"/>
        <v>0</v>
      </c>
      <c r="Z138" s="131">
        <f>IFERROR(_xlfn.XLOOKUP($S138,'[47]Tgl 8'!$E$108:$E$156,'[47]Tgl 8'!$G$108:$G$156),0)</f>
        <v>0</v>
      </c>
      <c r="AA138" s="129">
        <f t="shared" si="35"/>
        <v>0</v>
      </c>
      <c r="AB138" s="130"/>
      <c r="AC138" s="130"/>
      <c r="AD138" s="115" t="s">
        <v>1273</v>
      </c>
      <c r="AE138" s="115" t="s">
        <v>1274</v>
      </c>
      <c r="AF138" s="115" t="s">
        <v>107</v>
      </c>
      <c r="AG138" s="115" t="s">
        <v>1383</v>
      </c>
      <c r="AH138" s="115"/>
      <c r="AI138" s="131">
        <v>3523</v>
      </c>
      <c r="AJ138" s="131">
        <f>IFERROR(_xlfn.XLOOKUP($AG138,[47]Sheet1!$E$108:$E$132,[47]Sheet1!F$108:F$132),0)</f>
        <v>0</v>
      </c>
      <c r="AK138" s="128">
        <f t="shared" si="36"/>
        <v>0</v>
      </c>
      <c r="AL138" s="131">
        <f>IFERROR(_xlfn.XLOOKUP($AG138,[47]Sheet1!$E$108:$E$132,[47]Sheet1!H$108:H$132),0)</f>
        <v>0</v>
      </c>
      <c r="AM138" s="128">
        <f t="shared" si="37"/>
        <v>0</v>
      </c>
      <c r="AN138" s="131">
        <f>IFERROR(_xlfn.XLOOKUP($AG138,[47]Sheet1!$E$108:$E$132,[47]Sheet1!G$108:G$132),0)</f>
        <v>0</v>
      </c>
      <c r="AO138" s="129">
        <f t="shared" si="38"/>
        <v>0</v>
      </c>
    </row>
    <row r="139" spans="2:41" x14ac:dyDescent="0.2">
      <c r="B139" s="110" t="s">
        <v>1273</v>
      </c>
      <c r="C139" s="110" t="s">
        <v>1274</v>
      </c>
      <c r="D139" s="110" t="s">
        <v>107</v>
      </c>
      <c r="E139" s="110" t="s">
        <v>1384</v>
      </c>
      <c r="F139" s="110"/>
      <c r="G139" s="116">
        <v>3983</v>
      </c>
      <c r="H139" s="115">
        <v>0</v>
      </c>
      <c r="I139" s="128">
        <f t="shared" si="30"/>
        <v>0</v>
      </c>
      <c r="J139" s="115">
        <v>0</v>
      </c>
      <c r="K139" s="128">
        <f t="shared" si="31"/>
        <v>0</v>
      </c>
      <c r="L139" s="115">
        <v>0</v>
      </c>
      <c r="M139" s="129">
        <f t="shared" si="32"/>
        <v>0</v>
      </c>
      <c r="N139" s="130"/>
      <c r="O139" s="130"/>
      <c r="P139" s="115" t="s">
        <v>1273</v>
      </c>
      <c r="Q139" s="115" t="s">
        <v>1274</v>
      </c>
      <c r="R139" s="115" t="s">
        <v>107</v>
      </c>
      <c r="S139" s="115" t="s">
        <v>1384</v>
      </c>
      <c r="T139" s="115"/>
      <c r="U139" s="131">
        <v>3983</v>
      </c>
      <c r="V139" s="131">
        <f>IFERROR(_xlfn.XLOOKUP($S139,'[47]Tgl 8'!$E$108:$E$156,'[47]Tgl 8'!$F$108:$F$156),0)</f>
        <v>0</v>
      </c>
      <c r="W139" s="128">
        <f t="shared" si="33"/>
        <v>0</v>
      </c>
      <c r="X139" s="131">
        <f>IFERROR(_xlfn.XLOOKUP($S139,'[47]Tgl 8'!$E$108:$E$156,'[47]Tgl 8'!$H$108:$H$156),0)</f>
        <v>0</v>
      </c>
      <c r="Y139" s="128">
        <f t="shared" si="34"/>
        <v>0</v>
      </c>
      <c r="Z139" s="131">
        <f>IFERROR(_xlfn.XLOOKUP($S139,'[47]Tgl 8'!$E$108:$E$156,'[47]Tgl 8'!$G$108:$G$156),0)</f>
        <v>0</v>
      </c>
      <c r="AA139" s="129">
        <f t="shared" si="35"/>
        <v>0</v>
      </c>
      <c r="AB139" s="130"/>
      <c r="AC139" s="130"/>
      <c r="AD139" s="115" t="s">
        <v>1273</v>
      </c>
      <c r="AE139" s="115" t="s">
        <v>1274</v>
      </c>
      <c r="AF139" s="115" t="s">
        <v>107</v>
      </c>
      <c r="AG139" s="115" t="s">
        <v>1384</v>
      </c>
      <c r="AH139" s="115"/>
      <c r="AI139" s="131">
        <v>3983</v>
      </c>
      <c r="AJ139" s="131">
        <f>IFERROR(_xlfn.XLOOKUP($AG139,[47]Sheet1!$E$108:$E$132,[47]Sheet1!F$108:F$132),0)</f>
        <v>0</v>
      </c>
      <c r="AK139" s="128">
        <f t="shared" si="36"/>
        <v>0</v>
      </c>
      <c r="AL139" s="131">
        <f>IFERROR(_xlfn.XLOOKUP($AG139,[47]Sheet1!$E$108:$E$132,[47]Sheet1!H$108:H$132),0)</f>
        <v>0</v>
      </c>
      <c r="AM139" s="128">
        <f t="shared" si="37"/>
        <v>0</v>
      </c>
      <c r="AN139" s="131">
        <f>IFERROR(_xlfn.XLOOKUP($AG139,[47]Sheet1!$E$108:$E$132,[47]Sheet1!G$108:G$132),0)</f>
        <v>0</v>
      </c>
      <c r="AO139" s="129">
        <f t="shared" si="38"/>
        <v>0</v>
      </c>
    </row>
    <row r="140" spans="2:41" x14ac:dyDescent="0.2">
      <c r="B140" s="110" t="s">
        <v>1273</v>
      </c>
      <c r="C140" s="110" t="s">
        <v>1274</v>
      </c>
      <c r="D140" s="110" t="s">
        <v>107</v>
      </c>
      <c r="E140" s="110" t="s">
        <v>1385</v>
      </c>
      <c r="F140" s="110"/>
      <c r="G140" s="116">
        <v>2631</v>
      </c>
      <c r="H140" s="115">
        <v>0</v>
      </c>
      <c r="I140" s="128">
        <f t="shared" si="30"/>
        <v>0</v>
      </c>
      <c r="J140" s="115">
        <v>0</v>
      </c>
      <c r="K140" s="128">
        <f t="shared" si="31"/>
        <v>0</v>
      </c>
      <c r="L140" s="115">
        <v>0</v>
      </c>
      <c r="M140" s="129">
        <f t="shared" si="32"/>
        <v>0</v>
      </c>
      <c r="N140" s="130"/>
      <c r="O140" s="130"/>
      <c r="P140" s="115" t="s">
        <v>1273</v>
      </c>
      <c r="Q140" s="115" t="s">
        <v>1274</v>
      </c>
      <c r="R140" s="115" t="s">
        <v>107</v>
      </c>
      <c r="S140" s="115" t="s">
        <v>1385</v>
      </c>
      <c r="T140" s="115"/>
      <c r="U140" s="131">
        <v>2631</v>
      </c>
      <c r="V140" s="131">
        <f>IFERROR(_xlfn.XLOOKUP($S140,'[47]Tgl 8'!$E$108:$E$156,'[47]Tgl 8'!$F$108:$F$156),0)</f>
        <v>0</v>
      </c>
      <c r="W140" s="128">
        <f t="shared" si="33"/>
        <v>0</v>
      </c>
      <c r="X140" s="131">
        <f>IFERROR(_xlfn.XLOOKUP($S140,'[47]Tgl 8'!$E$108:$E$156,'[47]Tgl 8'!$H$108:$H$156),0)</f>
        <v>0</v>
      </c>
      <c r="Y140" s="128">
        <f t="shared" si="34"/>
        <v>0</v>
      </c>
      <c r="Z140" s="131">
        <f>IFERROR(_xlfn.XLOOKUP($S140,'[47]Tgl 8'!$E$108:$E$156,'[47]Tgl 8'!$G$108:$G$156),0)</f>
        <v>0</v>
      </c>
      <c r="AA140" s="129">
        <f t="shared" si="35"/>
        <v>0</v>
      </c>
      <c r="AB140" s="130"/>
      <c r="AC140" s="130"/>
      <c r="AD140" s="115" t="s">
        <v>1273</v>
      </c>
      <c r="AE140" s="115" t="s">
        <v>1274</v>
      </c>
      <c r="AF140" s="115" t="s">
        <v>107</v>
      </c>
      <c r="AG140" s="115" t="s">
        <v>1385</v>
      </c>
      <c r="AH140" s="115"/>
      <c r="AI140" s="131">
        <v>2631</v>
      </c>
      <c r="AJ140" s="131">
        <f>IFERROR(_xlfn.XLOOKUP($AG140,[47]Sheet1!$E$108:$E$132,[47]Sheet1!F$108:F$132),0)</f>
        <v>0</v>
      </c>
      <c r="AK140" s="128">
        <f t="shared" si="36"/>
        <v>0</v>
      </c>
      <c r="AL140" s="131">
        <f>IFERROR(_xlfn.XLOOKUP($AG140,[47]Sheet1!$E$108:$E$132,[47]Sheet1!H$108:H$132),0)</f>
        <v>0</v>
      </c>
      <c r="AM140" s="128">
        <f t="shared" si="37"/>
        <v>0</v>
      </c>
      <c r="AN140" s="131">
        <f>IFERROR(_xlfn.XLOOKUP($AG140,[47]Sheet1!$E$108:$E$132,[47]Sheet1!G$108:G$132),0)</f>
        <v>0</v>
      </c>
      <c r="AO140" s="129">
        <f t="shared" si="38"/>
        <v>0</v>
      </c>
    </row>
    <row r="141" spans="2:41" x14ac:dyDescent="0.2">
      <c r="B141" s="110" t="s">
        <v>1273</v>
      </c>
      <c r="C141" s="110" t="s">
        <v>1274</v>
      </c>
      <c r="D141" s="110" t="s">
        <v>107</v>
      </c>
      <c r="E141" s="110" t="s">
        <v>1386</v>
      </c>
      <c r="F141" s="110"/>
      <c r="G141" s="116">
        <v>3904</v>
      </c>
      <c r="H141" s="115">
        <v>0</v>
      </c>
      <c r="I141" s="128">
        <f t="shared" si="30"/>
        <v>0</v>
      </c>
      <c r="J141" s="115">
        <v>0</v>
      </c>
      <c r="K141" s="128">
        <f t="shared" si="31"/>
        <v>0</v>
      </c>
      <c r="L141" s="115">
        <v>0</v>
      </c>
      <c r="M141" s="129">
        <f t="shared" si="32"/>
        <v>0</v>
      </c>
      <c r="N141" s="130"/>
      <c r="O141" s="130"/>
      <c r="P141" s="115" t="s">
        <v>1273</v>
      </c>
      <c r="Q141" s="115" t="s">
        <v>1274</v>
      </c>
      <c r="R141" s="115" t="s">
        <v>107</v>
      </c>
      <c r="S141" s="115" t="s">
        <v>1386</v>
      </c>
      <c r="T141" s="115"/>
      <c r="U141" s="131">
        <v>3904</v>
      </c>
      <c r="V141" s="131">
        <f>IFERROR(_xlfn.XLOOKUP($S141,'[47]Tgl 8'!$E$108:$E$156,'[47]Tgl 8'!$F$108:$F$156),0)</f>
        <v>0</v>
      </c>
      <c r="W141" s="128">
        <f t="shared" si="33"/>
        <v>0</v>
      </c>
      <c r="X141" s="131">
        <f>IFERROR(_xlfn.XLOOKUP($S141,'[47]Tgl 8'!$E$108:$E$156,'[47]Tgl 8'!$H$108:$H$156),0)</f>
        <v>0</v>
      </c>
      <c r="Y141" s="128">
        <f t="shared" si="34"/>
        <v>0</v>
      </c>
      <c r="Z141" s="131">
        <f>IFERROR(_xlfn.XLOOKUP($S141,'[47]Tgl 8'!$E$108:$E$156,'[47]Tgl 8'!$G$108:$G$156),0)</f>
        <v>0</v>
      </c>
      <c r="AA141" s="129">
        <f t="shared" si="35"/>
        <v>0</v>
      </c>
      <c r="AB141" s="130"/>
      <c r="AC141" s="130"/>
      <c r="AD141" s="115" t="s">
        <v>1273</v>
      </c>
      <c r="AE141" s="115" t="s">
        <v>1274</v>
      </c>
      <c r="AF141" s="115" t="s">
        <v>107</v>
      </c>
      <c r="AG141" s="115" t="s">
        <v>1386</v>
      </c>
      <c r="AH141" s="115"/>
      <c r="AI141" s="131">
        <v>3904</v>
      </c>
      <c r="AJ141" s="131">
        <f>IFERROR(_xlfn.XLOOKUP($AG141,[47]Sheet1!$E$108:$E$132,[47]Sheet1!F$108:F$132),0)</f>
        <v>0</v>
      </c>
      <c r="AK141" s="128">
        <f t="shared" si="36"/>
        <v>0</v>
      </c>
      <c r="AL141" s="131">
        <f>IFERROR(_xlfn.XLOOKUP($AG141,[47]Sheet1!$E$108:$E$132,[47]Sheet1!H$108:H$132),0)</f>
        <v>0</v>
      </c>
      <c r="AM141" s="128">
        <f t="shared" si="37"/>
        <v>0</v>
      </c>
      <c r="AN141" s="131">
        <f>IFERROR(_xlfn.XLOOKUP($AG141,[47]Sheet1!$E$108:$E$132,[47]Sheet1!G$108:G$132),0)</f>
        <v>0</v>
      </c>
      <c r="AO141" s="129">
        <f t="shared" si="38"/>
        <v>0</v>
      </c>
    </row>
    <row r="142" spans="2:41" x14ac:dyDescent="0.2">
      <c r="B142" s="110" t="s">
        <v>1273</v>
      </c>
      <c r="C142" s="110" t="s">
        <v>1274</v>
      </c>
      <c r="D142" s="110" t="s">
        <v>107</v>
      </c>
      <c r="E142" s="110" t="s">
        <v>1387</v>
      </c>
      <c r="F142" s="110"/>
      <c r="G142" s="116">
        <v>0</v>
      </c>
      <c r="H142" s="115">
        <v>0</v>
      </c>
      <c r="I142" s="128">
        <f t="shared" si="30"/>
        <v>0</v>
      </c>
      <c r="J142" s="115">
        <v>0</v>
      </c>
      <c r="K142" s="128">
        <f t="shared" si="31"/>
        <v>0</v>
      </c>
      <c r="L142" s="115">
        <v>0</v>
      </c>
      <c r="M142" s="129">
        <f t="shared" si="32"/>
        <v>0</v>
      </c>
      <c r="N142" s="130"/>
      <c r="O142" s="130"/>
      <c r="P142" s="115" t="s">
        <v>1273</v>
      </c>
      <c r="Q142" s="115" t="s">
        <v>1274</v>
      </c>
      <c r="R142" s="115" t="s">
        <v>107</v>
      </c>
      <c r="S142" s="115" t="s">
        <v>1387</v>
      </c>
      <c r="T142" s="115"/>
      <c r="U142" s="131">
        <v>0</v>
      </c>
      <c r="V142" s="131">
        <f>IFERROR(_xlfn.XLOOKUP($S142,'[47]Tgl 8'!$E$108:$E$156,'[47]Tgl 8'!$F$108:$F$156),0)</f>
        <v>0</v>
      </c>
      <c r="W142" s="128">
        <f t="shared" si="33"/>
        <v>0</v>
      </c>
      <c r="X142" s="131">
        <f>IFERROR(_xlfn.XLOOKUP($S142,'[47]Tgl 8'!$E$108:$E$156,'[47]Tgl 8'!$H$108:$H$156),0)</f>
        <v>0</v>
      </c>
      <c r="Y142" s="128">
        <f t="shared" si="34"/>
        <v>0</v>
      </c>
      <c r="Z142" s="131">
        <f>IFERROR(_xlfn.XLOOKUP($S142,'[47]Tgl 8'!$E$108:$E$156,'[47]Tgl 8'!$G$108:$G$156),0)</f>
        <v>0</v>
      </c>
      <c r="AA142" s="129">
        <f t="shared" si="35"/>
        <v>0</v>
      </c>
      <c r="AB142" s="130"/>
      <c r="AC142" s="130"/>
      <c r="AD142" s="115" t="s">
        <v>1273</v>
      </c>
      <c r="AE142" s="115" t="s">
        <v>1274</v>
      </c>
      <c r="AF142" s="115" t="s">
        <v>107</v>
      </c>
      <c r="AG142" s="115" t="s">
        <v>1387</v>
      </c>
      <c r="AH142" s="115"/>
      <c r="AI142" s="131">
        <v>0</v>
      </c>
      <c r="AJ142" s="131">
        <f>IFERROR(_xlfn.XLOOKUP($AG142,[47]Sheet1!$E$108:$E$132,[47]Sheet1!F$108:F$132),0)</f>
        <v>0</v>
      </c>
      <c r="AK142" s="128">
        <f t="shared" si="36"/>
        <v>0</v>
      </c>
      <c r="AL142" s="131">
        <f>IFERROR(_xlfn.XLOOKUP($AG142,[47]Sheet1!$E$108:$E$132,[47]Sheet1!H$108:H$132),0)</f>
        <v>0</v>
      </c>
      <c r="AM142" s="128">
        <f t="shared" si="37"/>
        <v>0</v>
      </c>
      <c r="AN142" s="131">
        <f>IFERROR(_xlfn.XLOOKUP($AG142,[47]Sheet1!$E$108:$E$132,[47]Sheet1!G$108:G$132),0)</f>
        <v>0</v>
      </c>
      <c r="AO142" s="129">
        <f t="shared" si="38"/>
        <v>0</v>
      </c>
    </row>
    <row r="143" spans="2:41" x14ac:dyDescent="0.2">
      <c r="B143" s="110" t="s">
        <v>1273</v>
      </c>
      <c r="C143" s="110" t="s">
        <v>1274</v>
      </c>
      <c r="D143" s="110" t="s">
        <v>107</v>
      </c>
      <c r="E143" s="110" t="s">
        <v>1388</v>
      </c>
      <c r="F143" s="110"/>
      <c r="G143" s="116">
        <v>0</v>
      </c>
      <c r="H143" s="115">
        <v>0</v>
      </c>
      <c r="I143" s="128">
        <f t="shared" si="30"/>
        <v>0</v>
      </c>
      <c r="J143" s="115">
        <v>0</v>
      </c>
      <c r="K143" s="128">
        <f t="shared" si="31"/>
        <v>0</v>
      </c>
      <c r="L143" s="115">
        <v>0</v>
      </c>
      <c r="M143" s="129">
        <f t="shared" si="32"/>
        <v>0</v>
      </c>
      <c r="N143" s="130"/>
      <c r="O143" s="130"/>
      <c r="P143" s="115" t="s">
        <v>1273</v>
      </c>
      <c r="Q143" s="115" t="s">
        <v>1274</v>
      </c>
      <c r="R143" s="115" t="s">
        <v>107</v>
      </c>
      <c r="S143" s="115" t="s">
        <v>1388</v>
      </c>
      <c r="T143" s="115"/>
      <c r="U143" s="131">
        <v>0</v>
      </c>
      <c r="V143" s="131">
        <f>IFERROR(_xlfn.XLOOKUP($S143,'[47]Tgl 8'!$E$108:$E$156,'[47]Tgl 8'!$F$108:$F$156),0)</f>
        <v>0</v>
      </c>
      <c r="W143" s="128">
        <f t="shared" si="33"/>
        <v>0</v>
      </c>
      <c r="X143" s="131">
        <f>IFERROR(_xlfn.XLOOKUP($S143,'[47]Tgl 8'!$E$108:$E$156,'[47]Tgl 8'!$H$108:$H$156),0)</f>
        <v>0</v>
      </c>
      <c r="Y143" s="128">
        <f t="shared" si="34"/>
        <v>0</v>
      </c>
      <c r="Z143" s="131">
        <f>IFERROR(_xlfn.XLOOKUP($S143,'[47]Tgl 8'!$E$108:$E$156,'[47]Tgl 8'!$G$108:$G$156),0)</f>
        <v>0</v>
      </c>
      <c r="AA143" s="129">
        <f t="shared" si="35"/>
        <v>0</v>
      </c>
      <c r="AB143" s="130"/>
      <c r="AC143" s="130"/>
      <c r="AD143" s="115" t="s">
        <v>1273</v>
      </c>
      <c r="AE143" s="115" t="s">
        <v>1274</v>
      </c>
      <c r="AF143" s="115" t="s">
        <v>107</v>
      </c>
      <c r="AG143" s="115" t="s">
        <v>1388</v>
      </c>
      <c r="AH143" s="115"/>
      <c r="AI143" s="131">
        <v>0</v>
      </c>
      <c r="AJ143" s="131">
        <f>IFERROR(_xlfn.XLOOKUP($AG143,[47]Sheet1!$E$108:$E$132,[47]Sheet1!F$108:F$132),0)</f>
        <v>0</v>
      </c>
      <c r="AK143" s="128">
        <f t="shared" si="36"/>
        <v>0</v>
      </c>
      <c r="AL143" s="131">
        <f>IFERROR(_xlfn.XLOOKUP($AG143,[47]Sheet1!$E$108:$E$132,[47]Sheet1!H$108:H$132),0)</f>
        <v>0</v>
      </c>
      <c r="AM143" s="128">
        <f t="shared" si="37"/>
        <v>0</v>
      </c>
      <c r="AN143" s="131">
        <f>IFERROR(_xlfn.XLOOKUP($AG143,[47]Sheet1!$E$108:$E$132,[47]Sheet1!G$108:G$132),0)</f>
        <v>0</v>
      </c>
      <c r="AO143" s="129">
        <f t="shared" si="38"/>
        <v>0</v>
      </c>
    </row>
    <row r="144" spans="2:41" x14ac:dyDescent="0.2">
      <c r="B144" s="110" t="s">
        <v>1273</v>
      </c>
      <c r="C144" s="110" t="s">
        <v>1274</v>
      </c>
      <c r="D144" s="110" t="s">
        <v>107</v>
      </c>
      <c r="E144" s="110" t="s">
        <v>1389</v>
      </c>
      <c r="F144" s="110"/>
      <c r="G144" s="116">
        <v>3450</v>
      </c>
      <c r="H144" s="115">
        <v>256</v>
      </c>
      <c r="I144" s="128">
        <f t="shared" si="30"/>
        <v>7.4202898550724639</v>
      </c>
      <c r="J144" s="115">
        <v>40</v>
      </c>
      <c r="K144" s="128">
        <f t="shared" si="31"/>
        <v>15.625</v>
      </c>
      <c r="L144" s="115">
        <v>7</v>
      </c>
      <c r="M144" s="129">
        <f t="shared" si="32"/>
        <v>2.734375</v>
      </c>
      <c r="N144" s="130"/>
      <c r="O144" s="130"/>
      <c r="P144" s="115" t="s">
        <v>1273</v>
      </c>
      <c r="Q144" s="115" t="s">
        <v>1274</v>
      </c>
      <c r="R144" s="115" t="s">
        <v>107</v>
      </c>
      <c r="S144" s="115" t="s">
        <v>1389</v>
      </c>
      <c r="T144" s="115"/>
      <c r="U144" s="131">
        <v>3450</v>
      </c>
      <c r="V144" s="131">
        <f>IFERROR(_xlfn.XLOOKUP($S144,'[47]Tgl 8'!$E$108:$E$156,'[47]Tgl 8'!$F$108:$F$156),0)</f>
        <v>0</v>
      </c>
      <c r="W144" s="128">
        <f t="shared" si="33"/>
        <v>0</v>
      </c>
      <c r="X144" s="131">
        <f>IFERROR(_xlfn.XLOOKUP($S144,'[47]Tgl 8'!$E$108:$E$156,'[47]Tgl 8'!$H$108:$H$156),0)</f>
        <v>0</v>
      </c>
      <c r="Y144" s="128">
        <f t="shared" si="34"/>
        <v>0</v>
      </c>
      <c r="Z144" s="131">
        <f>IFERROR(_xlfn.XLOOKUP($S144,'[47]Tgl 8'!$E$108:$E$156,'[47]Tgl 8'!$G$108:$G$156),0)</f>
        <v>0</v>
      </c>
      <c r="AA144" s="129">
        <f t="shared" si="35"/>
        <v>0</v>
      </c>
      <c r="AB144" s="130"/>
      <c r="AC144" s="130"/>
      <c r="AD144" s="115" t="s">
        <v>1273</v>
      </c>
      <c r="AE144" s="115" t="s">
        <v>1274</v>
      </c>
      <c r="AF144" s="115" t="s">
        <v>107</v>
      </c>
      <c r="AG144" s="115" t="s">
        <v>1389</v>
      </c>
      <c r="AH144" s="115"/>
      <c r="AI144" s="131">
        <v>3450</v>
      </c>
      <c r="AJ144" s="131">
        <f>IFERROR(_xlfn.XLOOKUP($AG144,[47]Sheet1!$E$108:$E$132,[47]Sheet1!F$108:F$132),0)</f>
        <v>0</v>
      </c>
      <c r="AK144" s="128">
        <f t="shared" si="36"/>
        <v>0</v>
      </c>
      <c r="AL144" s="131">
        <f>IFERROR(_xlfn.XLOOKUP($AG144,[47]Sheet1!$E$108:$E$132,[47]Sheet1!H$108:H$132),0)</f>
        <v>0</v>
      </c>
      <c r="AM144" s="128">
        <f t="shared" si="37"/>
        <v>0</v>
      </c>
      <c r="AN144" s="131">
        <f>IFERROR(_xlfn.XLOOKUP($AG144,[47]Sheet1!$E$108:$E$132,[47]Sheet1!G$108:G$132),0)</f>
        <v>0</v>
      </c>
      <c r="AO144" s="129">
        <f t="shared" si="38"/>
        <v>0</v>
      </c>
    </row>
    <row r="145" spans="2:41" x14ac:dyDescent="0.2">
      <c r="B145" s="110" t="s">
        <v>1273</v>
      </c>
      <c r="C145" s="110" t="s">
        <v>1274</v>
      </c>
      <c r="D145" s="110" t="s">
        <v>144</v>
      </c>
      <c r="E145" s="110" t="s">
        <v>1023</v>
      </c>
      <c r="F145" s="110"/>
      <c r="G145" s="116">
        <v>3783</v>
      </c>
      <c r="H145" s="115">
        <v>381</v>
      </c>
      <c r="I145" s="128">
        <f t="shared" si="30"/>
        <v>10.07137192704203</v>
      </c>
      <c r="J145" s="115">
        <v>67</v>
      </c>
      <c r="K145" s="128">
        <f t="shared" si="31"/>
        <v>17.58530183727034</v>
      </c>
      <c r="L145" s="115">
        <v>23</v>
      </c>
      <c r="M145" s="129">
        <f t="shared" si="32"/>
        <v>6.0367454068241466</v>
      </c>
      <c r="N145" s="130"/>
      <c r="O145" s="130"/>
      <c r="P145" s="115" t="s">
        <v>1273</v>
      </c>
      <c r="Q145" s="115" t="s">
        <v>1274</v>
      </c>
      <c r="R145" s="115" t="s">
        <v>144</v>
      </c>
      <c r="S145" s="115" t="s">
        <v>1023</v>
      </c>
      <c r="T145" s="115"/>
      <c r="U145" s="131">
        <v>3783</v>
      </c>
      <c r="V145" s="131">
        <f>IFERROR(_xlfn.XLOOKUP($S145,'[47]Tgl 8'!$E$108:$E$156,'[47]Tgl 8'!$F$108:$F$156),0)</f>
        <v>0</v>
      </c>
      <c r="W145" s="128">
        <f t="shared" si="33"/>
        <v>0</v>
      </c>
      <c r="X145" s="131">
        <f>IFERROR(_xlfn.XLOOKUP($S145,'[47]Tgl 8'!$E$108:$E$156,'[47]Tgl 8'!$H$108:$H$156),0)</f>
        <v>0</v>
      </c>
      <c r="Y145" s="128">
        <f t="shared" si="34"/>
        <v>0</v>
      </c>
      <c r="Z145" s="131">
        <f>IFERROR(_xlfn.XLOOKUP($S145,'[47]Tgl 8'!$E$108:$E$156,'[47]Tgl 8'!$G$108:$G$156),0)</f>
        <v>0</v>
      </c>
      <c r="AA145" s="129">
        <f t="shared" si="35"/>
        <v>0</v>
      </c>
      <c r="AB145" s="130"/>
      <c r="AC145" s="130"/>
      <c r="AD145" s="115" t="s">
        <v>1273</v>
      </c>
      <c r="AE145" s="115" t="s">
        <v>1274</v>
      </c>
      <c r="AF145" s="115" t="s">
        <v>144</v>
      </c>
      <c r="AG145" s="115" t="s">
        <v>1023</v>
      </c>
      <c r="AH145" s="115"/>
      <c r="AI145" s="131">
        <v>3783</v>
      </c>
      <c r="AJ145" s="131">
        <f>IFERROR(_xlfn.XLOOKUP($AG145,[47]Sheet1!$E$108:$E$132,[47]Sheet1!F$108:F$132),0)</f>
        <v>0</v>
      </c>
      <c r="AK145" s="128">
        <f t="shared" si="36"/>
        <v>0</v>
      </c>
      <c r="AL145" s="131">
        <f>IFERROR(_xlfn.XLOOKUP($AG145,[47]Sheet1!$E$108:$E$132,[47]Sheet1!H$108:H$132),0)</f>
        <v>0</v>
      </c>
      <c r="AM145" s="128">
        <f t="shared" si="37"/>
        <v>0</v>
      </c>
      <c r="AN145" s="131">
        <f>IFERROR(_xlfn.XLOOKUP($AG145,[47]Sheet1!$E$108:$E$132,[47]Sheet1!G$108:G$132),0)</f>
        <v>0</v>
      </c>
      <c r="AO145" s="129">
        <f t="shared" si="38"/>
        <v>0</v>
      </c>
    </row>
    <row r="146" spans="2:41" x14ac:dyDescent="0.2">
      <c r="B146" s="110" t="s">
        <v>1273</v>
      </c>
      <c r="C146" s="110" t="s">
        <v>1274</v>
      </c>
      <c r="D146" s="110" t="s">
        <v>144</v>
      </c>
      <c r="E146" s="110" t="s">
        <v>1390</v>
      </c>
      <c r="F146" s="110"/>
      <c r="G146" s="116">
        <v>4602</v>
      </c>
      <c r="H146" s="115">
        <v>396</v>
      </c>
      <c r="I146" s="128">
        <f t="shared" si="30"/>
        <v>8.604954367666231</v>
      </c>
      <c r="J146" s="115">
        <v>198</v>
      </c>
      <c r="K146" s="128">
        <f t="shared" si="31"/>
        <v>50</v>
      </c>
      <c r="L146" s="115">
        <v>30</v>
      </c>
      <c r="M146" s="129">
        <f t="shared" si="32"/>
        <v>7.5757575757575761</v>
      </c>
      <c r="N146" s="130"/>
      <c r="O146" s="130"/>
      <c r="P146" s="115" t="s">
        <v>1273</v>
      </c>
      <c r="Q146" s="115" t="s">
        <v>1274</v>
      </c>
      <c r="R146" s="115" t="s">
        <v>144</v>
      </c>
      <c r="S146" s="115" t="s">
        <v>1390</v>
      </c>
      <c r="T146" s="115"/>
      <c r="U146" s="131">
        <v>4602</v>
      </c>
      <c r="V146" s="131">
        <f>IFERROR(_xlfn.XLOOKUP($S146,'[47]Tgl 8'!$E$108:$E$156,'[47]Tgl 8'!$F$108:$F$156),0)</f>
        <v>0</v>
      </c>
      <c r="W146" s="128">
        <f t="shared" si="33"/>
        <v>0</v>
      </c>
      <c r="X146" s="131">
        <f>IFERROR(_xlfn.XLOOKUP($S146,'[47]Tgl 8'!$E$108:$E$156,'[47]Tgl 8'!$H$108:$H$156),0)</f>
        <v>0</v>
      </c>
      <c r="Y146" s="128">
        <f t="shared" si="34"/>
        <v>0</v>
      </c>
      <c r="Z146" s="131">
        <f>IFERROR(_xlfn.XLOOKUP($S146,'[47]Tgl 8'!$E$108:$E$156,'[47]Tgl 8'!$G$108:$G$156),0)</f>
        <v>0</v>
      </c>
      <c r="AA146" s="129">
        <f t="shared" si="35"/>
        <v>0</v>
      </c>
      <c r="AB146" s="130"/>
      <c r="AC146" s="130"/>
      <c r="AD146" s="115" t="s">
        <v>1273</v>
      </c>
      <c r="AE146" s="115" t="s">
        <v>1274</v>
      </c>
      <c r="AF146" s="115" t="s">
        <v>144</v>
      </c>
      <c r="AG146" s="115" t="s">
        <v>1390</v>
      </c>
      <c r="AH146" s="115"/>
      <c r="AI146" s="131">
        <v>4602</v>
      </c>
      <c r="AJ146" s="131">
        <f>IFERROR(_xlfn.XLOOKUP($AG146,[47]Sheet1!$E$108:$E$132,[47]Sheet1!F$108:F$132),0)</f>
        <v>543</v>
      </c>
      <c r="AK146" s="128">
        <f t="shared" si="36"/>
        <v>11.79921773142112</v>
      </c>
      <c r="AL146" s="131">
        <f>IFERROR(_xlfn.XLOOKUP($AG146,[47]Sheet1!$E$108:$E$132,[47]Sheet1!H$108:H$132),0)</f>
        <v>47</v>
      </c>
      <c r="AM146" s="128">
        <f t="shared" si="37"/>
        <v>8.6556169429097611</v>
      </c>
      <c r="AN146" s="131">
        <f>IFERROR(_xlfn.XLOOKUP($AG146,[47]Sheet1!$E$108:$E$132,[47]Sheet1!G$108:G$132),0)</f>
        <v>59</v>
      </c>
      <c r="AO146" s="129">
        <f t="shared" si="38"/>
        <v>10.865561694290976</v>
      </c>
    </row>
    <row r="147" spans="2:41" x14ac:dyDescent="0.2">
      <c r="B147" s="110" t="s">
        <v>1273</v>
      </c>
      <c r="C147" s="110" t="s">
        <v>1274</v>
      </c>
      <c r="D147" s="110" t="s">
        <v>144</v>
      </c>
      <c r="E147" s="110" t="s">
        <v>1002</v>
      </c>
      <c r="F147" s="110"/>
      <c r="G147" s="116">
        <v>3969</v>
      </c>
      <c r="H147" s="115">
        <v>365</v>
      </c>
      <c r="I147" s="128">
        <f t="shared" si="30"/>
        <v>9.1962711010330072</v>
      </c>
      <c r="J147" s="115">
        <v>81</v>
      </c>
      <c r="K147" s="128">
        <f t="shared" si="31"/>
        <v>22.19178082191781</v>
      </c>
      <c r="L147" s="115">
        <v>21</v>
      </c>
      <c r="M147" s="129">
        <f t="shared" si="32"/>
        <v>5.7534246575342465</v>
      </c>
      <c r="N147" s="130"/>
      <c r="O147" s="130"/>
      <c r="P147" s="115" t="s">
        <v>1273</v>
      </c>
      <c r="Q147" s="115" t="s">
        <v>1274</v>
      </c>
      <c r="R147" s="115" t="s">
        <v>144</v>
      </c>
      <c r="S147" s="115" t="s">
        <v>1002</v>
      </c>
      <c r="T147" s="115"/>
      <c r="U147" s="131">
        <v>3969</v>
      </c>
      <c r="V147" s="131">
        <f>IFERROR(_xlfn.XLOOKUP($S147,'[47]Tgl 8'!$E$108:$E$156,'[47]Tgl 8'!$F$108:$F$156),0)</f>
        <v>0</v>
      </c>
      <c r="W147" s="128">
        <f t="shared" si="33"/>
        <v>0</v>
      </c>
      <c r="X147" s="131">
        <f>IFERROR(_xlfn.XLOOKUP($S147,'[47]Tgl 8'!$E$108:$E$156,'[47]Tgl 8'!$H$108:$H$156),0)</f>
        <v>0</v>
      </c>
      <c r="Y147" s="128">
        <f t="shared" si="34"/>
        <v>0</v>
      </c>
      <c r="Z147" s="131">
        <f>IFERROR(_xlfn.XLOOKUP($S147,'[47]Tgl 8'!$E$108:$E$156,'[47]Tgl 8'!$G$108:$G$156),0)</f>
        <v>0</v>
      </c>
      <c r="AA147" s="129">
        <f t="shared" si="35"/>
        <v>0</v>
      </c>
      <c r="AB147" s="130"/>
      <c r="AC147" s="130"/>
      <c r="AD147" s="115" t="s">
        <v>1273</v>
      </c>
      <c r="AE147" s="115" t="s">
        <v>1274</v>
      </c>
      <c r="AF147" s="115" t="s">
        <v>144</v>
      </c>
      <c r="AG147" s="115" t="s">
        <v>1002</v>
      </c>
      <c r="AH147" s="115"/>
      <c r="AI147" s="131">
        <v>3969</v>
      </c>
      <c r="AJ147" s="131">
        <f>IFERROR(_xlfn.XLOOKUP($AG147,[47]Sheet1!$E$108:$E$132,[47]Sheet1!F$108:F$132),0)</f>
        <v>657</v>
      </c>
      <c r="AK147" s="128">
        <f t="shared" si="36"/>
        <v>16.553287981859413</v>
      </c>
      <c r="AL147" s="131">
        <f>IFERROR(_xlfn.XLOOKUP($AG147,[47]Sheet1!$E$108:$E$132,[47]Sheet1!H$108:H$132),0)</f>
        <v>89</v>
      </c>
      <c r="AM147" s="128">
        <f t="shared" si="37"/>
        <v>13.546423135464231</v>
      </c>
      <c r="AN147" s="131">
        <f>IFERROR(_xlfn.XLOOKUP($AG147,[47]Sheet1!$E$108:$E$132,[47]Sheet1!G$108:G$132),0)</f>
        <v>109</v>
      </c>
      <c r="AO147" s="129">
        <f t="shared" si="38"/>
        <v>16.590563165905632</v>
      </c>
    </row>
    <row r="148" spans="2:41" x14ac:dyDescent="0.2">
      <c r="B148" s="110" t="s">
        <v>1273</v>
      </c>
      <c r="C148" s="110" t="s">
        <v>1274</v>
      </c>
      <c r="D148" s="110" t="s">
        <v>144</v>
      </c>
      <c r="E148" s="110" t="s">
        <v>1391</v>
      </c>
      <c r="F148" s="110"/>
      <c r="G148" s="116">
        <v>4022</v>
      </c>
      <c r="H148" s="115">
        <v>322</v>
      </c>
      <c r="I148" s="128">
        <f t="shared" si="30"/>
        <v>8.005967180507211</v>
      </c>
      <c r="J148" s="115">
        <v>61</v>
      </c>
      <c r="K148" s="128">
        <f t="shared" si="31"/>
        <v>18.944099378881987</v>
      </c>
      <c r="L148" s="115">
        <v>24</v>
      </c>
      <c r="M148" s="129">
        <f t="shared" si="32"/>
        <v>7.4534161490683228</v>
      </c>
      <c r="N148" s="130"/>
      <c r="O148" s="130"/>
      <c r="P148" s="115" t="s">
        <v>1273</v>
      </c>
      <c r="Q148" s="115" t="s">
        <v>1274</v>
      </c>
      <c r="R148" s="115" t="s">
        <v>144</v>
      </c>
      <c r="S148" s="115" t="s">
        <v>1391</v>
      </c>
      <c r="T148" s="115"/>
      <c r="U148" s="131">
        <v>4022</v>
      </c>
      <c r="V148" s="131">
        <f>IFERROR(_xlfn.XLOOKUP($S148,'[47]Tgl 8'!$E$108:$E$156,'[47]Tgl 8'!$F$108:$F$156),0)</f>
        <v>69</v>
      </c>
      <c r="W148" s="128">
        <f t="shared" si="33"/>
        <v>1.7155643958229736</v>
      </c>
      <c r="X148" s="131">
        <f>IFERROR(_xlfn.XLOOKUP($S148,'[47]Tgl 8'!$E$108:$E$156,'[47]Tgl 8'!$H$108:$H$156),0)</f>
        <v>34</v>
      </c>
      <c r="Y148" s="128">
        <f t="shared" si="34"/>
        <v>49.275362318840585</v>
      </c>
      <c r="Z148" s="131">
        <f>IFERROR(_xlfn.XLOOKUP($S148,'[47]Tgl 8'!$E$108:$E$156,'[47]Tgl 8'!$G$108:$G$156),0)</f>
        <v>21</v>
      </c>
      <c r="AA148" s="129">
        <f t="shared" si="35"/>
        <v>30.434782608695656</v>
      </c>
      <c r="AB148" s="130"/>
      <c r="AC148" s="130"/>
      <c r="AD148" s="115" t="s">
        <v>1273</v>
      </c>
      <c r="AE148" s="115" t="s">
        <v>1274</v>
      </c>
      <c r="AF148" s="115" t="s">
        <v>144</v>
      </c>
      <c r="AG148" s="115" t="s">
        <v>1391</v>
      </c>
      <c r="AH148" s="115"/>
      <c r="AI148" s="131">
        <v>4022</v>
      </c>
      <c r="AJ148" s="131">
        <f>IFERROR(_xlfn.XLOOKUP($AG148,[47]Sheet1!$E$108:$E$132,[47]Sheet1!F$108:F$132),0)</f>
        <v>0</v>
      </c>
      <c r="AK148" s="128">
        <f t="shared" si="36"/>
        <v>0</v>
      </c>
      <c r="AL148" s="131">
        <f>IFERROR(_xlfn.XLOOKUP($AG148,[47]Sheet1!$E$108:$E$132,[47]Sheet1!H$108:H$132),0)</f>
        <v>0</v>
      </c>
      <c r="AM148" s="128">
        <f t="shared" si="37"/>
        <v>0</v>
      </c>
      <c r="AN148" s="131">
        <f>IFERROR(_xlfn.XLOOKUP($AG148,[47]Sheet1!$E$108:$E$132,[47]Sheet1!G$108:G$132),0)</f>
        <v>0</v>
      </c>
      <c r="AO148" s="129">
        <f t="shared" si="38"/>
        <v>0</v>
      </c>
    </row>
    <row r="149" spans="2:41" x14ac:dyDescent="0.2">
      <c r="B149" s="110" t="s">
        <v>1273</v>
      </c>
      <c r="C149" s="110" t="s">
        <v>1274</v>
      </c>
      <c r="D149" s="110" t="s">
        <v>144</v>
      </c>
      <c r="E149" s="110" t="s">
        <v>1392</v>
      </c>
      <c r="F149" s="110"/>
      <c r="G149" s="116">
        <v>4711</v>
      </c>
      <c r="H149" s="115">
        <v>0</v>
      </c>
      <c r="I149" s="128">
        <f t="shared" si="30"/>
        <v>0</v>
      </c>
      <c r="J149" s="115">
        <v>0</v>
      </c>
      <c r="K149" s="128">
        <f t="shared" si="31"/>
        <v>0</v>
      </c>
      <c r="L149" s="115">
        <v>0</v>
      </c>
      <c r="M149" s="129">
        <f t="shared" si="32"/>
        <v>0</v>
      </c>
      <c r="N149" s="130"/>
      <c r="O149" s="130"/>
      <c r="P149" s="115" t="s">
        <v>1273</v>
      </c>
      <c r="Q149" s="115" t="s">
        <v>1274</v>
      </c>
      <c r="R149" s="115" t="s">
        <v>144</v>
      </c>
      <c r="S149" s="115" t="s">
        <v>1392</v>
      </c>
      <c r="T149" s="115"/>
      <c r="U149" s="131">
        <v>4711</v>
      </c>
      <c r="V149" s="131">
        <f>IFERROR(_xlfn.XLOOKUP($S149,'[47]Tgl 8'!$E$108:$E$156,'[47]Tgl 8'!$F$108:$F$156),0)</f>
        <v>65</v>
      </c>
      <c r="W149" s="128">
        <f t="shared" si="33"/>
        <v>1.3797495223943961</v>
      </c>
      <c r="X149" s="131">
        <f>IFERROR(_xlfn.XLOOKUP($S149,'[47]Tgl 8'!$E$108:$E$156,'[47]Tgl 8'!$H$108:$H$156),0)</f>
        <v>29</v>
      </c>
      <c r="Y149" s="128">
        <f t="shared" si="34"/>
        <v>44.615384615384613</v>
      </c>
      <c r="Z149" s="131">
        <f>IFERROR(_xlfn.XLOOKUP($S149,'[47]Tgl 8'!$E$108:$E$156,'[47]Tgl 8'!$G$108:$G$156),0)</f>
        <v>16</v>
      </c>
      <c r="AA149" s="129">
        <f t="shared" si="35"/>
        <v>24.615384615384613</v>
      </c>
      <c r="AB149" s="130"/>
      <c r="AC149" s="130"/>
      <c r="AD149" s="115" t="s">
        <v>1273</v>
      </c>
      <c r="AE149" s="115" t="s">
        <v>1274</v>
      </c>
      <c r="AF149" s="115" t="s">
        <v>144</v>
      </c>
      <c r="AG149" s="115" t="s">
        <v>1392</v>
      </c>
      <c r="AH149" s="115"/>
      <c r="AI149" s="131">
        <v>4711</v>
      </c>
      <c r="AJ149" s="131">
        <f>IFERROR(_xlfn.XLOOKUP($AG149,[47]Sheet1!$E$108:$E$132,[47]Sheet1!F$108:F$132),0)</f>
        <v>0</v>
      </c>
      <c r="AK149" s="128">
        <f t="shared" si="36"/>
        <v>0</v>
      </c>
      <c r="AL149" s="131">
        <f>IFERROR(_xlfn.XLOOKUP($AG149,[47]Sheet1!$E$108:$E$132,[47]Sheet1!H$108:H$132),0)</f>
        <v>0</v>
      </c>
      <c r="AM149" s="128">
        <f t="shared" si="37"/>
        <v>0</v>
      </c>
      <c r="AN149" s="131">
        <f>IFERROR(_xlfn.XLOOKUP($AG149,[47]Sheet1!$E$108:$E$132,[47]Sheet1!G$108:G$132),0)</f>
        <v>0</v>
      </c>
      <c r="AO149" s="129">
        <f t="shared" si="38"/>
        <v>0</v>
      </c>
    </row>
    <row r="150" spans="2:41" x14ac:dyDescent="0.2">
      <c r="B150" s="110" t="s">
        <v>1273</v>
      </c>
      <c r="C150" s="110" t="s">
        <v>1274</v>
      </c>
      <c r="D150" s="110" t="s">
        <v>144</v>
      </c>
      <c r="E150" s="110" t="s">
        <v>1393</v>
      </c>
      <c r="F150" s="110"/>
      <c r="G150" s="116">
        <v>4806</v>
      </c>
      <c r="H150" s="115">
        <v>0</v>
      </c>
      <c r="I150" s="128">
        <f t="shared" si="30"/>
        <v>0</v>
      </c>
      <c r="J150" s="115">
        <v>0</v>
      </c>
      <c r="K150" s="128">
        <f t="shared" si="31"/>
        <v>0</v>
      </c>
      <c r="L150" s="115">
        <v>0</v>
      </c>
      <c r="M150" s="129">
        <f t="shared" si="32"/>
        <v>0</v>
      </c>
      <c r="N150" s="130"/>
      <c r="O150" s="130"/>
      <c r="P150" s="115" t="s">
        <v>1273</v>
      </c>
      <c r="Q150" s="115" t="s">
        <v>1274</v>
      </c>
      <c r="R150" s="115" t="s">
        <v>144</v>
      </c>
      <c r="S150" s="115" t="s">
        <v>1393</v>
      </c>
      <c r="T150" s="115"/>
      <c r="U150" s="131">
        <v>4806</v>
      </c>
      <c r="V150" s="131">
        <f>IFERROR(_xlfn.XLOOKUP($S150,'[47]Tgl 8'!$E$108:$E$156,'[47]Tgl 8'!$F$108:$F$156),0)</f>
        <v>0</v>
      </c>
      <c r="W150" s="128">
        <f t="shared" si="33"/>
        <v>0</v>
      </c>
      <c r="X150" s="131">
        <f>IFERROR(_xlfn.XLOOKUP($S150,'[47]Tgl 8'!$E$108:$E$156,'[47]Tgl 8'!$H$108:$H$156),0)</f>
        <v>0</v>
      </c>
      <c r="Y150" s="128">
        <f t="shared" si="34"/>
        <v>0</v>
      </c>
      <c r="Z150" s="131">
        <f>IFERROR(_xlfn.XLOOKUP($S150,'[47]Tgl 8'!$E$108:$E$156,'[47]Tgl 8'!$G$108:$G$156),0)</f>
        <v>0</v>
      </c>
      <c r="AA150" s="129">
        <f t="shared" si="35"/>
        <v>0</v>
      </c>
      <c r="AB150" s="130"/>
      <c r="AC150" s="130"/>
      <c r="AD150" s="115" t="s">
        <v>1273</v>
      </c>
      <c r="AE150" s="115" t="s">
        <v>1274</v>
      </c>
      <c r="AF150" s="115" t="s">
        <v>144</v>
      </c>
      <c r="AG150" s="115" t="s">
        <v>1393</v>
      </c>
      <c r="AH150" s="115"/>
      <c r="AI150" s="131">
        <v>4806</v>
      </c>
      <c r="AJ150" s="131">
        <f>IFERROR(_xlfn.XLOOKUP($AG150,[47]Sheet1!$E$108:$E$132,[47]Sheet1!F$108:F$132),0)</f>
        <v>0</v>
      </c>
      <c r="AK150" s="128">
        <f t="shared" si="36"/>
        <v>0</v>
      </c>
      <c r="AL150" s="131">
        <f>IFERROR(_xlfn.XLOOKUP($AG150,[47]Sheet1!$E$108:$E$132,[47]Sheet1!H$108:H$132),0)</f>
        <v>0</v>
      </c>
      <c r="AM150" s="128">
        <f t="shared" si="37"/>
        <v>0</v>
      </c>
      <c r="AN150" s="131">
        <f>IFERROR(_xlfn.XLOOKUP($AG150,[47]Sheet1!$E$108:$E$132,[47]Sheet1!G$108:G$132),0)</f>
        <v>0</v>
      </c>
      <c r="AO150" s="129">
        <f t="shared" si="38"/>
        <v>0</v>
      </c>
    </row>
    <row r="151" spans="2:41" x14ac:dyDescent="0.2">
      <c r="B151" s="110" t="s">
        <v>1273</v>
      </c>
      <c r="C151" s="110" t="s">
        <v>1274</v>
      </c>
      <c r="D151" s="110" t="s">
        <v>144</v>
      </c>
      <c r="E151" s="110" t="s">
        <v>1394</v>
      </c>
      <c r="F151" s="110"/>
      <c r="G151" s="116">
        <v>4786</v>
      </c>
      <c r="H151" s="115">
        <v>0</v>
      </c>
      <c r="I151" s="128">
        <f t="shared" si="30"/>
        <v>0</v>
      </c>
      <c r="J151" s="115">
        <v>0</v>
      </c>
      <c r="K151" s="128">
        <f t="shared" si="31"/>
        <v>0</v>
      </c>
      <c r="L151" s="115">
        <v>0</v>
      </c>
      <c r="M151" s="129">
        <f t="shared" si="32"/>
        <v>0</v>
      </c>
      <c r="N151" s="130"/>
      <c r="O151" s="130"/>
      <c r="P151" s="115" t="s">
        <v>1273</v>
      </c>
      <c r="Q151" s="115" t="s">
        <v>1274</v>
      </c>
      <c r="R151" s="115" t="s">
        <v>144</v>
      </c>
      <c r="S151" s="115" t="s">
        <v>1394</v>
      </c>
      <c r="T151" s="115"/>
      <c r="U151" s="131">
        <v>4786</v>
      </c>
      <c r="V151" s="131">
        <f>IFERROR(_xlfn.XLOOKUP($S151,'[47]Tgl 8'!$E$108:$E$156,'[47]Tgl 8'!$F$108:$F$156),0)</f>
        <v>0</v>
      </c>
      <c r="W151" s="128">
        <f t="shared" si="33"/>
        <v>0</v>
      </c>
      <c r="X151" s="131">
        <f>IFERROR(_xlfn.XLOOKUP($S151,'[47]Tgl 8'!$E$108:$E$156,'[47]Tgl 8'!$H$108:$H$156),0)</f>
        <v>0</v>
      </c>
      <c r="Y151" s="128">
        <f t="shared" si="34"/>
        <v>0</v>
      </c>
      <c r="Z151" s="131">
        <f>IFERROR(_xlfn.XLOOKUP($S151,'[47]Tgl 8'!$E$108:$E$156,'[47]Tgl 8'!$G$108:$G$156),0)</f>
        <v>0</v>
      </c>
      <c r="AA151" s="129">
        <f t="shared" si="35"/>
        <v>0</v>
      </c>
      <c r="AB151" s="130"/>
      <c r="AC151" s="130"/>
      <c r="AD151" s="115" t="s">
        <v>1273</v>
      </c>
      <c r="AE151" s="115" t="s">
        <v>1274</v>
      </c>
      <c r="AF151" s="115" t="s">
        <v>144</v>
      </c>
      <c r="AG151" s="115" t="s">
        <v>1394</v>
      </c>
      <c r="AH151" s="115"/>
      <c r="AI151" s="131">
        <v>4786</v>
      </c>
      <c r="AJ151" s="131">
        <f>IFERROR(_xlfn.XLOOKUP($AG151,[47]Sheet1!$E$108:$E$132,[47]Sheet1!F$108:F$132),0)</f>
        <v>0</v>
      </c>
      <c r="AK151" s="128">
        <f t="shared" si="36"/>
        <v>0</v>
      </c>
      <c r="AL151" s="131">
        <f>IFERROR(_xlfn.XLOOKUP($AG151,[47]Sheet1!$E$108:$E$132,[47]Sheet1!H$108:H$132),0)</f>
        <v>0</v>
      </c>
      <c r="AM151" s="128">
        <f t="shared" si="37"/>
        <v>0</v>
      </c>
      <c r="AN151" s="131">
        <f>IFERROR(_xlfn.XLOOKUP($AG151,[47]Sheet1!$E$108:$E$132,[47]Sheet1!G$108:G$132),0)</f>
        <v>0</v>
      </c>
      <c r="AO151" s="129">
        <f t="shared" si="38"/>
        <v>0</v>
      </c>
    </row>
    <row r="152" spans="2:41" x14ac:dyDescent="0.2">
      <c r="B152" s="110" t="s">
        <v>1273</v>
      </c>
      <c r="C152" s="110" t="s">
        <v>1274</v>
      </c>
      <c r="D152" s="110" t="s">
        <v>144</v>
      </c>
      <c r="E152" s="110" t="s">
        <v>1395</v>
      </c>
      <c r="F152" s="110"/>
      <c r="G152" s="116">
        <v>2591</v>
      </c>
      <c r="H152" s="115">
        <v>387</v>
      </c>
      <c r="I152" s="128">
        <f t="shared" si="30"/>
        <v>14.936318023928985</v>
      </c>
      <c r="J152" s="115">
        <v>178</v>
      </c>
      <c r="K152" s="128">
        <f t="shared" si="31"/>
        <v>45.99483204134367</v>
      </c>
      <c r="L152" s="115">
        <v>31</v>
      </c>
      <c r="M152" s="129">
        <f t="shared" si="32"/>
        <v>8.0103359173126609</v>
      </c>
      <c r="N152" s="130"/>
      <c r="O152" s="130"/>
      <c r="P152" s="115" t="s">
        <v>1273</v>
      </c>
      <c r="Q152" s="115" t="s">
        <v>1274</v>
      </c>
      <c r="R152" s="115" t="s">
        <v>144</v>
      </c>
      <c r="S152" s="115" t="s">
        <v>1395</v>
      </c>
      <c r="T152" s="115"/>
      <c r="U152" s="131">
        <v>2591</v>
      </c>
      <c r="V152" s="131">
        <f>IFERROR(_xlfn.XLOOKUP($S152,'[47]Tgl 8'!$E$108:$E$156,'[47]Tgl 8'!$F$108:$F$156),0)</f>
        <v>0</v>
      </c>
      <c r="W152" s="128">
        <f t="shared" si="33"/>
        <v>0</v>
      </c>
      <c r="X152" s="131">
        <f>IFERROR(_xlfn.XLOOKUP($S152,'[47]Tgl 8'!$E$108:$E$156,'[47]Tgl 8'!$H$108:$H$156),0)</f>
        <v>0</v>
      </c>
      <c r="Y152" s="128">
        <f t="shared" si="34"/>
        <v>0</v>
      </c>
      <c r="Z152" s="131">
        <f>IFERROR(_xlfn.XLOOKUP($S152,'[47]Tgl 8'!$E$108:$E$156,'[47]Tgl 8'!$G$108:$G$156),0)</f>
        <v>0</v>
      </c>
      <c r="AA152" s="129">
        <f t="shared" si="35"/>
        <v>0</v>
      </c>
      <c r="AB152" s="130"/>
      <c r="AC152" s="130"/>
      <c r="AD152" s="115" t="s">
        <v>1273</v>
      </c>
      <c r="AE152" s="115" t="s">
        <v>1274</v>
      </c>
      <c r="AF152" s="115" t="s">
        <v>144</v>
      </c>
      <c r="AG152" s="115" t="s">
        <v>1395</v>
      </c>
      <c r="AH152" s="115"/>
      <c r="AI152" s="131">
        <v>2591</v>
      </c>
      <c r="AJ152" s="131">
        <f>IFERROR(_xlfn.XLOOKUP($AG152,[47]Sheet1!$E$108:$E$132,[47]Sheet1!F$108:F$132),0)</f>
        <v>0</v>
      </c>
      <c r="AK152" s="128">
        <f t="shared" si="36"/>
        <v>0</v>
      </c>
      <c r="AL152" s="131">
        <f>IFERROR(_xlfn.XLOOKUP($AG152,[47]Sheet1!$E$108:$E$132,[47]Sheet1!H$108:H$132),0)</f>
        <v>0</v>
      </c>
      <c r="AM152" s="128">
        <f t="shared" si="37"/>
        <v>0</v>
      </c>
      <c r="AN152" s="131">
        <f>IFERROR(_xlfn.XLOOKUP($AG152,[47]Sheet1!$E$108:$E$132,[47]Sheet1!G$108:G$132),0)</f>
        <v>0</v>
      </c>
      <c r="AO152" s="129">
        <f t="shared" si="38"/>
        <v>0</v>
      </c>
    </row>
    <row r="153" spans="2:41" x14ac:dyDescent="0.2">
      <c r="B153" s="110" t="s">
        <v>1273</v>
      </c>
      <c r="C153" s="110" t="s">
        <v>1274</v>
      </c>
      <c r="D153" s="110" t="s">
        <v>144</v>
      </c>
      <c r="E153" s="110" t="s">
        <v>1396</v>
      </c>
      <c r="F153" s="110"/>
      <c r="G153" s="116">
        <v>3833</v>
      </c>
      <c r="H153" s="115">
        <v>387</v>
      </c>
      <c r="I153" s="128">
        <f t="shared" ref="I153:I216" si="39">IFERROR(H153/G153%,0)</f>
        <v>10.096530133055049</v>
      </c>
      <c r="J153" s="115">
        <v>113</v>
      </c>
      <c r="K153" s="128">
        <f t="shared" ref="K153:K216" si="40">IFERROR(J153/H153%,0)</f>
        <v>29.198966408268735</v>
      </c>
      <c r="L153" s="115">
        <v>23</v>
      </c>
      <c r="M153" s="129">
        <f t="shared" ref="M153:M216" si="41">IFERROR(L153/H153%,0)</f>
        <v>5.9431524547803614</v>
      </c>
      <c r="N153" s="130"/>
      <c r="O153" s="130"/>
      <c r="P153" s="115" t="s">
        <v>1273</v>
      </c>
      <c r="Q153" s="115" t="s">
        <v>1274</v>
      </c>
      <c r="R153" s="115" t="s">
        <v>144</v>
      </c>
      <c r="S153" s="115" t="s">
        <v>1396</v>
      </c>
      <c r="T153" s="115"/>
      <c r="U153" s="131">
        <v>3833</v>
      </c>
      <c r="V153" s="131">
        <f>IFERROR(_xlfn.XLOOKUP($S153,'[47]Tgl 8'!$E$108:$E$156,'[47]Tgl 8'!$F$108:$F$156),0)</f>
        <v>0</v>
      </c>
      <c r="W153" s="128">
        <f t="shared" ref="W153:W216" si="42">IFERROR(V153/U153%,0)</f>
        <v>0</v>
      </c>
      <c r="X153" s="131">
        <f>IFERROR(_xlfn.XLOOKUP($S153,'[47]Tgl 8'!$E$108:$E$156,'[47]Tgl 8'!$H$108:$H$156),0)</f>
        <v>0</v>
      </c>
      <c r="Y153" s="128">
        <f t="shared" ref="Y153:Y216" si="43">IFERROR(X153/V153%,0)</f>
        <v>0</v>
      </c>
      <c r="Z153" s="131">
        <f>IFERROR(_xlfn.XLOOKUP($S153,'[47]Tgl 8'!$E$108:$E$156,'[47]Tgl 8'!$G$108:$G$156),0)</f>
        <v>0</v>
      </c>
      <c r="AA153" s="129">
        <f t="shared" ref="AA153:AA216" si="44">IFERROR(Z153/V153%,0)</f>
        <v>0</v>
      </c>
      <c r="AB153" s="130"/>
      <c r="AC153" s="130"/>
      <c r="AD153" s="115" t="s">
        <v>1273</v>
      </c>
      <c r="AE153" s="115" t="s">
        <v>1274</v>
      </c>
      <c r="AF153" s="115" t="s">
        <v>144</v>
      </c>
      <c r="AG153" s="115" t="s">
        <v>1396</v>
      </c>
      <c r="AH153" s="115"/>
      <c r="AI153" s="131">
        <v>3833</v>
      </c>
      <c r="AJ153" s="131">
        <f>IFERROR(_xlfn.XLOOKUP($AG153,[47]Sheet1!$E$108:$E$132,[47]Sheet1!F$108:F$132),0)</f>
        <v>0</v>
      </c>
      <c r="AK153" s="128">
        <f t="shared" ref="AK153:AK216" si="45">IFERROR(AJ153/AI153%,0)</f>
        <v>0</v>
      </c>
      <c r="AL153" s="131">
        <f>IFERROR(_xlfn.XLOOKUP($AG153,[47]Sheet1!$E$108:$E$132,[47]Sheet1!H$108:H$132),0)</f>
        <v>0</v>
      </c>
      <c r="AM153" s="128">
        <f t="shared" ref="AM153:AM216" si="46">IFERROR(AL153/AJ153%,0)</f>
        <v>0</v>
      </c>
      <c r="AN153" s="131">
        <f>IFERROR(_xlfn.XLOOKUP($AG153,[47]Sheet1!$E$108:$E$132,[47]Sheet1!G$108:G$132),0)</f>
        <v>0</v>
      </c>
      <c r="AO153" s="129">
        <f t="shared" ref="AO153:AO216" si="47">IFERROR(AN153/AJ153%,0)</f>
        <v>0</v>
      </c>
    </row>
    <row r="154" spans="2:41" x14ac:dyDescent="0.2">
      <c r="B154" s="110" t="s">
        <v>1273</v>
      </c>
      <c r="C154" s="110" t="s">
        <v>1274</v>
      </c>
      <c r="D154" s="110" t="s">
        <v>144</v>
      </c>
      <c r="E154" s="110" t="s">
        <v>1397</v>
      </c>
      <c r="F154" s="110"/>
      <c r="G154" s="116">
        <v>3675</v>
      </c>
      <c r="H154" s="115">
        <v>366</v>
      </c>
      <c r="I154" s="128">
        <f t="shared" si="39"/>
        <v>9.9591836734693882</v>
      </c>
      <c r="J154" s="115">
        <v>86</v>
      </c>
      <c r="K154" s="128">
        <f t="shared" si="40"/>
        <v>23.497267759562842</v>
      </c>
      <c r="L154" s="115">
        <v>24</v>
      </c>
      <c r="M154" s="129">
        <f t="shared" si="41"/>
        <v>6.557377049180328</v>
      </c>
      <c r="N154" s="130"/>
      <c r="O154" s="130"/>
      <c r="P154" s="115" t="s">
        <v>1273</v>
      </c>
      <c r="Q154" s="115" t="s">
        <v>1274</v>
      </c>
      <c r="R154" s="115" t="s">
        <v>144</v>
      </c>
      <c r="S154" s="115" t="s">
        <v>1397</v>
      </c>
      <c r="T154" s="115"/>
      <c r="U154" s="131">
        <v>3675</v>
      </c>
      <c r="V154" s="131">
        <f>IFERROR(_xlfn.XLOOKUP($S154,'[47]Tgl 8'!$E$108:$E$156,'[47]Tgl 8'!$F$108:$F$156),0)</f>
        <v>66</v>
      </c>
      <c r="W154" s="128">
        <f t="shared" si="42"/>
        <v>1.7959183673469388</v>
      </c>
      <c r="X154" s="131">
        <f>IFERROR(_xlfn.XLOOKUP($S154,'[47]Tgl 8'!$E$108:$E$156,'[47]Tgl 8'!$H$108:$H$156),0)</f>
        <v>21</v>
      </c>
      <c r="Y154" s="128">
        <f t="shared" si="43"/>
        <v>31.818181818181817</v>
      </c>
      <c r="Z154" s="131">
        <f>IFERROR(_xlfn.XLOOKUP($S154,'[47]Tgl 8'!$E$108:$E$156,'[47]Tgl 8'!$G$108:$G$156),0)</f>
        <v>15</v>
      </c>
      <c r="AA154" s="129">
        <f t="shared" si="44"/>
        <v>22.727272727272727</v>
      </c>
      <c r="AB154" s="130"/>
      <c r="AC154" s="130"/>
      <c r="AD154" s="115" t="s">
        <v>1273</v>
      </c>
      <c r="AE154" s="115" t="s">
        <v>1274</v>
      </c>
      <c r="AF154" s="115" t="s">
        <v>144</v>
      </c>
      <c r="AG154" s="115" t="s">
        <v>1397</v>
      </c>
      <c r="AH154" s="115"/>
      <c r="AI154" s="131">
        <v>3675</v>
      </c>
      <c r="AJ154" s="131">
        <f>IFERROR(_xlfn.XLOOKUP($AG154,[47]Sheet1!$E$108:$E$132,[47]Sheet1!F$108:F$132),0)</f>
        <v>0</v>
      </c>
      <c r="AK154" s="128">
        <f t="shared" si="45"/>
        <v>0</v>
      </c>
      <c r="AL154" s="131">
        <f>IFERROR(_xlfn.XLOOKUP($AG154,[47]Sheet1!$E$108:$E$132,[47]Sheet1!H$108:H$132),0)</f>
        <v>0</v>
      </c>
      <c r="AM154" s="128">
        <f t="shared" si="46"/>
        <v>0</v>
      </c>
      <c r="AN154" s="131">
        <f>IFERROR(_xlfn.XLOOKUP($AG154,[47]Sheet1!$E$108:$E$132,[47]Sheet1!G$108:G$132),0)</f>
        <v>0</v>
      </c>
      <c r="AO154" s="129">
        <f t="shared" si="47"/>
        <v>0</v>
      </c>
    </row>
    <row r="155" spans="2:41" x14ac:dyDescent="0.2">
      <c r="B155" s="110" t="s">
        <v>1273</v>
      </c>
      <c r="C155" s="110" t="s">
        <v>1274</v>
      </c>
      <c r="D155" s="110" t="s">
        <v>144</v>
      </c>
      <c r="E155" s="110" t="s">
        <v>1398</v>
      </c>
      <c r="F155" s="110"/>
      <c r="G155" s="116">
        <v>3741</v>
      </c>
      <c r="H155" s="115">
        <v>371</v>
      </c>
      <c r="I155" s="128">
        <f t="shared" si="39"/>
        <v>9.9171344560278012</v>
      </c>
      <c r="J155" s="115">
        <v>57</v>
      </c>
      <c r="K155" s="128">
        <f t="shared" si="40"/>
        <v>15.363881401617251</v>
      </c>
      <c r="L155" s="115">
        <v>19</v>
      </c>
      <c r="M155" s="129">
        <f t="shared" si="41"/>
        <v>5.1212938005390836</v>
      </c>
      <c r="N155" s="130"/>
      <c r="O155" s="130"/>
      <c r="P155" s="115" t="s">
        <v>1273</v>
      </c>
      <c r="Q155" s="115" t="s">
        <v>1274</v>
      </c>
      <c r="R155" s="115" t="s">
        <v>144</v>
      </c>
      <c r="S155" s="115" t="s">
        <v>1398</v>
      </c>
      <c r="T155" s="115"/>
      <c r="U155" s="131">
        <v>3741</v>
      </c>
      <c r="V155" s="131">
        <f>IFERROR(_xlfn.XLOOKUP($S155,'[47]Tgl 8'!$E$108:$E$156,'[47]Tgl 8'!$F$108:$F$156),0)</f>
        <v>63</v>
      </c>
      <c r="W155" s="128">
        <f t="shared" si="42"/>
        <v>1.6840417000801926</v>
      </c>
      <c r="X155" s="131">
        <f>IFERROR(_xlfn.XLOOKUP($S155,'[47]Tgl 8'!$E$108:$E$156,'[47]Tgl 8'!$H$108:$H$156),0)</f>
        <v>19</v>
      </c>
      <c r="Y155" s="128">
        <f t="shared" si="43"/>
        <v>30.158730158730158</v>
      </c>
      <c r="Z155" s="131">
        <f>IFERROR(_xlfn.XLOOKUP($S155,'[47]Tgl 8'!$E$108:$E$156,'[47]Tgl 8'!$G$108:$G$156),0)</f>
        <v>10</v>
      </c>
      <c r="AA155" s="129">
        <f t="shared" si="44"/>
        <v>15.873015873015873</v>
      </c>
      <c r="AB155" s="130"/>
      <c r="AC155" s="130"/>
      <c r="AD155" s="115" t="s">
        <v>1273</v>
      </c>
      <c r="AE155" s="115" t="s">
        <v>1274</v>
      </c>
      <c r="AF155" s="115" t="s">
        <v>144</v>
      </c>
      <c r="AG155" s="115" t="s">
        <v>1398</v>
      </c>
      <c r="AH155" s="115"/>
      <c r="AI155" s="131">
        <v>3741</v>
      </c>
      <c r="AJ155" s="131">
        <f>IFERROR(_xlfn.XLOOKUP($AG155,[47]Sheet1!$E$108:$E$132,[47]Sheet1!F$108:F$132),0)</f>
        <v>0</v>
      </c>
      <c r="AK155" s="128">
        <f t="shared" si="45"/>
        <v>0</v>
      </c>
      <c r="AL155" s="131">
        <f>IFERROR(_xlfn.XLOOKUP($AG155,[47]Sheet1!$E$108:$E$132,[47]Sheet1!H$108:H$132),0)</f>
        <v>0</v>
      </c>
      <c r="AM155" s="128">
        <f t="shared" si="46"/>
        <v>0</v>
      </c>
      <c r="AN155" s="131">
        <f>IFERROR(_xlfn.XLOOKUP($AG155,[47]Sheet1!$E$108:$E$132,[47]Sheet1!G$108:G$132),0)</f>
        <v>0</v>
      </c>
      <c r="AO155" s="129">
        <f t="shared" si="47"/>
        <v>0</v>
      </c>
    </row>
    <row r="156" spans="2:41" x14ac:dyDescent="0.2">
      <c r="B156" s="110" t="s">
        <v>1273</v>
      </c>
      <c r="C156" s="110" t="s">
        <v>1274</v>
      </c>
      <c r="D156" s="110" t="s">
        <v>144</v>
      </c>
      <c r="E156" s="110" t="s">
        <v>1399</v>
      </c>
      <c r="F156" s="110"/>
      <c r="G156" s="116">
        <v>1534</v>
      </c>
      <c r="H156" s="115">
        <v>341</v>
      </c>
      <c r="I156" s="128">
        <f t="shared" si="39"/>
        <v>22.229465449804433</v>
      </c>
      <c r="J156" s="115">
        <v>76</v>
      </c>
      <c r="K156" s="128">
        <f t="shared" si="40"/>
        <v>22.287390029325511</v>
      </c>
      <c r="L156" s="115">
        <v>31</v>
      </c>
      <c r="M156" s="129">
        <f t="shared" si="41"/>
        <v>9.0909090909090899</v>
      </c>
      <c r="N156" s="130"/>
      <c r="O156" s="130"/>
      <c r="P156" s="115" t="s">
        <v>1273</v>
      </c>
      <c r="Q156" s="115" t="s">
        <v>1274</v>
      </c>
      <c r="R156" s="115" t="s">
        <v>144</v>
      </c>
      <c r="S156" s="115" t="s">
        <v>1399</v>
      </c>
      <c r="T156" s="115"/>
      <c r="U156" s="131">
        <v>1534</v>
      </c>
      <c r="V156" s="131">
        <f>IFERROR(_xlfn.XLOOKUP($S156,'[47]Tgl 8'!$E$108:$E$156,'[47]Tgl 8'!$F$108:$F$156),0)</f>
        <v>0</v>
      </c>
      <c r="W156" s="128">
        <f t="shared" si="42"/>
        <v>0</v>
      </c>
      <c r="X156" s="131">
        <f>IFERROR(_xlfn.XLOOKUP($S156,'[47]Tgl 8'!$E$108:$E$156,'[47]Tgl 8'!$H$108:$H$156),0)</f>
        <v>0</v>
      </c>
      <c r="Y156" s="128">
        <f t="shared" si="43"/>
        <v>0</v>
      </c>
      <c r="Z156" s="131">
        <f>IFERROR(_xlfn.XLOOKUP($S156,'[47]Tgl 8'!$E$108:$E$156,'[47]Tgl 8'!$G$108:$G$156),0)</f>
        <v>0</v>
      </c>
      <c r="AA156" s="129">
        <f t="shared" si="44"/>
        <v>0</v>
      </c>
      <c r="AB156" s="130"/>
      <c r="AC156" s="130"/>
      <c r="AD156" s="115" t="s">
        <v>1273</v>
      </c>
      <c r="AE156" s="115" t="s">
        <v>1274</v>
      </c>
      <c r="AF156" s="115" t="s">
        <v>144</v>
      </c>
      <c r="AG156" s="115" t="s">
        <v>1399</v>
      </c>
      <c r="AH156" s="115"/>
      <c r="AI156" s="131">
        <v>1534</v>
      </c>
      <c r="AJ156" s="131">
        <f>IFERROR(_xlfn.XLOOKUP($AG156,[47]Sheet1!$E$108:$E$132,[47]Sheet1!F$108:F$132),0)</f>
        <v>0</v>
      </c>
      <c r="AK156" s="128">
        <f t="shared" si="45"/>
        <v>0</v>
      </c>
      <c r="AL156" s="131">
        <f>IFERROR(_xlfn.XLOOKUP($AG156,[47]Sheet1!$E$108:$E$132,[47]Sheet1!H$108:H$132),0)</f>
        <v>0</v>
      </c>
      <c r="AM156" s="128">
        <f t="shared" si="46"/>
        <v>0</v>
      </c>
      <c r="AN156" s="131">
        <f>IFERROR(_xlfn.XLOOKUP($AG156,[47]Sheet1!$E$108:$E$132,[47]Sheet1!G$108:G$132),0)</f>
        <v>0</v>
      </c>
      <c r="AO156" s="129">
        <f t="shared" si="47"/>
        <v>0</v>
      </c>
    </row>
    <row r="157" spans="2:41" x14ac:dyDescent="0.2">
      <c r="B157" s="110" t="s">
        <v>1273</v>
      </c>
      <c r="C157" s="110" t="s">
        <v>1274</v>
      </c>
      <c r="D157" s="110" t="s">
        <v>144</v>
      </c>
      <c r="E157" s="110" t="s">
        <v>1400</v>
      </c>
      <c r="F157" s="110"/>
      <c r="G157" s="116">
        <v>3287</v>
      </c>
      <c r="H157" s="115">
        <v>365</v>
      </c>
      <c r="I157" s="128">
        <f t="shared" si="39"/>
        <v>11.104350471554611</v>
      </c>
      <c r="J157" s="115">
        <v>71</v>
      </c>
      <c r="K157" s="128">
        <f t="shared" si="40"/>
        <v>19.452054794520549</v>
      </c>
      <c r="L157" s="115">
        <v>16</v>
      </c>
      <c r="M157" s="129">
        <f t="shared" si="41"/>
        <v>4.3835616438356162</v>
      </c>
      <c r="N157" s="130"/>
      <c r="O157" s="130"/>
      <c r="P157" s="115" t="s">
        <v>1273</v>
      </c>
      <c r="Q157" s="115" t="s">
        <v>1274</v>
      </c>
      <c r="R157" s="115" t="s">
        <v>144</v>
      </c>
      <c r="S157" s="115" t="s">
        <v>1400</v>
      </c>
      <c r="T157" s="115"/>
      <c r="U157" s="131">
        <v>3287</v>
      </c>
      <c r="V157" s="131">
        <f>IFERROR(_xlfn.XLOOKUP($S157,'[47]Tgl 8'!$E$108:$E$156,'[47]Tgl 8'!$F$108:$F$156),0)</f>
        <v>0</v>
      </c>
      <c r="W157" s="128">
        <f t="shared" si="42"/>
        <v>0</v>
      </c>
      <c r="X157" s="131">
        <f>IFERROR(_xlfn.XLOOKUP($S157,'[47]Tgl 8'!$E$108:$E$156,'[47]Tgl 8'!$H$108:$H$156),0)</f>
        <v>0</v>
      </c>
      <c r="Y157" s="128">
        <f t="shared" si="43"/>
        <v>0</v>
      </c>
      <c r="Z157" s="131">
        <f>IFERROR(_xlfn.XLOOKUP($S157,'[47]Tgl 8'!$E$108:$E$156,'[47]Tgl 8'!$G$108:$G$156),0)</f>
        <v>0</v>
      </c>
      <c r="AA157" s="129">
        <f t="shared" si="44"/>
        <v>0</v>
      </c>
      <c r="AB157" s="130"/>
      <c r="AC157" s="130"/>
      <c r="AD157" s="115" t="s">
        <v>1273</v>
      </c>
      <c r="AE157" s="115" t="s">
        <v>1274</v>
      </c>
      <c r="AF157" s="115" t="s">
        <v>144</v>
      </c>
      <c r="AG157" s="115" t="s">
        <v>1400</v>
      </c>
      <c r="AH157" s="115"/>
      <c r="AI157" s="131">
        <v>3287</v>
      </c>
      <c r="AJ157" s="131">
        <f>IFERROR(_xlfn.XLOOKUP($AG157,[47]Sheet1!$E$108:$E$132,[47]Sheet1!F$108:F$132),0)</f>
        <v>0</v>
      </c>
      <c r="AK157" s="128">
        <f t="shared" si="45"/>
        <v>0</v>
      </c>
      <c r="AL157" s="131">
        <f>IFERROR(_xlfn.XLOOKUP($AG157,[47]Sheet1!$E$108:$E$132,[47]Sheet1!H$108:H$132),0)</f>
        <v>0</v>
      </c>
      <c r="AM157" s="128">
        <f t="shared" si="46"/>
        <v>0</v>
      </c>
      <c r="AN157" s="131">
        <f>IFERROR(_xlfn.XLOOKUP($AG157,[47]Sheet1!$E$108:$E$132,[47]Sheet1!G$108:G$132),0)</f>
        <v>0</v>
      </c>
      <c r="AO157" s="129">
        <f t="shared" si="47"/>
        <v>0</v>
      </c>
    </row>
    <row r="158" spans="2:41" x14ac:dyDescent="0.2">
      <c r="B158" s="110" t="s">
        <v>1273</v>
      </c>
      <c r="C158" s="110" t="s">
        <v>1274</v>
      </c>
      <c r="D158" s="110" t="s">
        <v>144</v>
      </c>
      <c r="E158" s="110" t="s">
        <v>1401</v>
      </c>
      <c r="F158" s="110"/>
      <c r="G158" s="116">
        <v>3033</v>
      </c>
      <c r="H158" s="115">
        <v>357</v>
      </c>
      <c r="I158" s="128">
        <f t="shared" si="39"/>
        <v>11.770524233432246</v>
      </c>
      <c r="J158" s="115">
        <v>81</v>
      </c>
      <c r="K158" s="128">
        <f t="shared" si="40"/>
        <v>22.689075630252102</v>
      </c>
      <c r="L158" s="115">
        <v>27</v>
      </c>
      <c r="M158" s="129">
        <f t="shared" si="41"/>
        <v>7.5630252100840343</v>
      </c>
      <c r="N158" s="130"/>
      <c r="O158" s="130"/>
      <c r="P158" s="115" t="s">
        <v>1273</v>
      </c>
      <c r="Q158" s="115" t="s">
        <v>1274</v>
      </c>
      <c r="R158" s="115" t="s">
        <v>144</v>
      </c>
      <c r="S158" s="115" t="s">
        <v>1401</v>
      </c>
      <c r="T158" s="115"/>
      <c r="U158" s="131">
        <v>3033</v>
      </c>
      <c r="V158" s="131">
        <f>IFERROR(_xlfn.XLOOKUP($S158,'[47]Tgl 8'!$E$108:$E$156,'[47]Tgl 8'!$F$108:$F$156),0)</f>
        <v>0</v>
      </c>
      <c r="W158" s="128">
        <f t="shared" si="42"/>
        <v>0</v>
      </c>
      <c r="X158" s="131">
        <f>IFERROR(_xlfn.XLOOKUP($S158,'[47]Tgl 8'!$E$108:$E$156,'[47]Tgl 8'!$H$108:$H$156),0)</f>
        <v>0</v>
      </c>
      <c r="Y158" s="128">
        <f t="shared" si="43"/>
        <v>0</v>
      </c>
      <c r="Z158" s="131">
        <f>IFERROR(_xlfn.XLOOKUP($S158,'[47]Tgl 8'!$E$108:$E$156,'[47]Tgl 8'!$G$108:$G$156),0)</f>
        <v>0</v>
      </c>
      <c r="AA158" s="129">
        <f t="shared" si="44"/>
        <v>0</v>
      </c>
      <c r="AB158" s="130"/>
      <c r="AC158" s="130"/>
      <c r="AD158" s="115" t="s">
        <v>1273</v>
      </c>
      <c r="AE158" s="115" t="s">
        <v>1274</v>
      </c>
      <c r="AF158" s="115" t="s">
        <v>144</v>
      </c>
      <c r="AG158" s="115" t="s">
        <v>1401</v>
      </c>
      <c r="AH158" s="115"/>
      <c r="AI158" s="131">
        <v>3033</v>
      </c>
      <c r="AJ158" s="131">
        <f>IFERROR(_xlfn.XLOOKUP($AG158,[47]Sheet1!$E$108:$E$132,[47]Sheet1!F$108:F$132),0)</f>
        <v>0</v>
      </c>
      <c r="AK158" s="128">
        <f t="shared" si="45"/>
        <v>0</v>
      </c>
      <c r="AL158" s="131">
        <f>IFERROR(_xlfn.XLOOKUP($AG158,[47]Sheet1!$E$108:$E$132,[47]Sheet1!H$108:H$132),0)</f>
        <v>0</v>
      </c>
      <c r="AM158" s="128">
        <f t="shared" si="46"/>
        <v>0</v>
      </c>
      <c r="AN158" s="131">
        <f>IFERROR(_xlfn.XLOOKUP($AG158,[47]Sheet1!$E$108:$E$132,[47]Sheet1!G$108:G$132),0)</f>
        <v>0</v>
      </c>
      <c r="AO158" s="129">
        <f t="shared" si="47"/>
        <v>0</v>
      </c>
    </row>
    <row r="159" spans="2:41" x14ac:dyDescent="0.2">
      <c r="B159" s="110" t="s">
        <v>1273</v>
      </c>
      <c r="C159" s="110" t="s">
        <v>1274</v>
      </c>
      <c r="D159" s="110" t="s">
        <v>144</v>
      </c>
      <c r="E159" s="110" t="s">
        <v>1402</v>
      </c>
      <c r="F159" s="110"/>
      <c r="G159" s="116">
        <v>3575</v>
      </c>
      <c r="H159" s="115">
        <v>387</v>
      </c>
      <c r="I159" s="128">
        <f t="shared" si="39"/>
        <v>10.825174825174825</v>
      </c>
      <c r="J159" s="115">
        <v>60</v>
      </c>
      <c r="K159" s="128">
        <f t="shared" si="40"/>
        <v>15.503875968992247</v>
      </c>
      <c r="L159" s="115">
        <v>17</v>
      </c>
      <c r="M159" s="129">
        <f t="shared" si="41"/>
        <v>4.3927648578811365</v>
      </c>
      <c r="N159" s="130"/>
      <c r="O159" s="130"/>
      <c r="P159" s="115" t="s">
        <v>1273</v>
      </c>
      <c r="Q159" s="115" t="s">
        <v>1274</v>
      </c>
      <c r="R159" s="115" t="s">
        <v>144</v>
      </c>
      <c r="S159" s="115" t="s">
        <v>1402</v>
      </c>
      <c r="T159" s="115"/>
      <c r="U159" s="131">
        <v>3575</v>
      </c>
      <c r="V159" s="131">
        <f>IFERROR(_xlfn.XLOOKUP($S159,'[47]Tgl 8'!$E$108:$E$156,'[47]Tgl 8'!$F$108:$F$156),0)</f>
        <v>0</v>
      </c>
      <c r="W159" s="128">
        <f t="shared" si="42"/>
        <v>0</v>
      </c>
      <c r="X159" s="131">
        <f>IFERROR(_xlfn.XLOOKUP($S159,'[47]Tgl 8'!$E$108:$E$156,'[47]Tgl 8'!$H$108:$H$156),0)</f>
        <v>0</v>
      </c>
      <c r="Y159" s="128">
        <f t="shared" si="43"/>
        <v>0</v>
      </c>
      <c r="Z159" s="131">
        <f>IFERROR(_xlfn.XLOOKUP($S159,'[47]Tgl 8'!$E$108:$E$156,'[47]Tgl 8'!$G$108:$G$156),0)</f>
        <v>0</v>
      </c>
      <c r="AA159" s="129">
        <f t="shared" si="44"/>
        <v>0</v>
      </c>
      <c r="AB159" s="130"/>
      <c r="AC159" s="130"/>
      <c r="AD159" s="115" t="s">
        <v>1273</v>
      </c>
      <c r="AE159" s="115" t="s">
        <v>1274</v>
      </c>
      <c r="AF159" s="115" t="s">
        <v>144</v>
      </c>
      <c r="AG159" s="115" t="s">
        <v>1402</v>
      </c>
      <c r="AH159" s="115"/>
      <c r="AI159" s="131">
        <v>3575</v>
      </c>
      <c r="AJ159" s="131">
        <f>IFERROR(_xlfn.XLOOKUP($AG159,[47]Sheet1!$E$108:$E$132,[47]Sheet1!F$108:F$132),0)</f>
        <v>0</v>
      </c>
      <c r="AK159" s="128">
        <f t="shared" si="45"/>
        <v>0</v>
      </c>
      <c r="AL159" s="131">
        <f>IFERROR(_xlfn.XLOOKUP($AG159,[47]Sheet1!$E$108:$E$132,[47]Sheet1!H$108:H$132),0)</f>
        <v>0</v>
      </c>
      <c r="AM159" s="128">
        <f t="shared" si="46"/>
        <v>0</v>
      </c>
      <c r="AN159" s="131">
        <f>IFERROR(_xlfn.XLOOKUP($AG159,[47]Sheet1!$E$108:$E$132,[47]Sheet1!G$108:G$132),0)</f>
        <v>0</v>
      </c>
      <c r="AO159" s="129">
        <f t="shared" si="47"/>
        <v>0</v>
      </c>
    </row>
    <row r="160" spans="2:41" x14ac:dyDescent="0.2">
      <c r="B160" s="110" t="s">
        <v>1273</v>
      </c>
      <c r="C160" s="110" t="s">
        <v>1274</v>
      </c>
      <c r="D160" s="110" t="s">
        <v>144</v>
      </c>
      <c r="E160" s="110" t="s">
        <v>1403</v>
      </c>
      <c r="F160" s="110"/>
      <c r="G160" s="116">
        <v>3616</v>
      </c>
      <c r="H160" s="115">
        <v>358</v>
      </c>
      <c r="I160" s="128">
        <f t="shared" si="39"/>
        <v>9.9004424778761067</v>
      </c>
      <c r="J160" s="115">
        <v>81</v>
      </c>
      <c r="K160" s="128">
        <f t="shared" si="40"/>
        <v>22.625698324022345</v>
      </c>
      <c r="L160" s="115">
        <v>17</v>
      </c>
      <c r="M160" s="129">
        <f t="shared" si="41"/>
        <v>4.7486033519553068</v>
      </c>
      <c r="N160" s="130"/>
      <c r="O160" s="130"/>
      <c r="P160" s="115" t="s">
        <v>1273</v>
      </c>
      <c r="Q160" s="115" t="s">
        <v>1274</v>
      </c>
      <c r="R160" s="115" t="s">
        <v>144</v>
      </c>
      <c r="S160" s="115" t="s">
        <v>1403</v>
      </c>
      <c r="T160" s="115"/>
      <c r="U160" s="131">
        <v>3616</v>
      </c>
      <c r="V160" s="131">
        <f>IFERROR(_xlfn.XLOOKUP($S160,'[47]Tgl 8'!$E$108:$E$156,'[47]Tgl 8'!$F$108:$F$156),0)</f>
        <v>0</v>
      </c>
      <c r="W160" s="128">
        <f t="shared" si="42"/>
        <v>0</v>
      </c>
      <c r="X160" s="131">
        <f>IFERROR(_xlfn.XLOOKUP($S160,'[47]Tgl 8'!$E$108:$E$156,'[47]Tgl 8'!$H$108:$H$156),0)</f>
        <v>0</v>
      </c>
      <c r="Y160" s="128">
        <f t="shared" si="43"/>
        <v>0</v>
      </c>
      <c r="Z160" s="131">
        <f>IFERROR(_xlfn.XLOOKUP($S160,'[47]Tgl 8'!$E$108:$E$156,'[47]Tgl 8'!$G$108:$G$156),0)</f>
        <v>0</v>
      </c>
      <c r="AA160" s="129">
        <f t="shared" si="44"/>
        <v>0</v>
      </c>
      <c r="AB160" s="130"/>
      <c r="AC160" s="130"/>
      <c r="AD160" s="115" t="s">
        <v>1273</v>
      </c>
      <c r="AE160" s="115" t="s">
        <v>1274</v>
      </c>
      <c r="AF160" s="115" t="s">
        <v>144</v>
      </c>
      <c r="AG160" s="115" t="s">
        <v>1403</v>
      </c>
      <c r="AH160" s="115"/>
      <c r="AI160" s="131">
        <v>3616</v>
      </c>
      <c r="AJ160" s="131">
        <f>IFERROR(_xlfn.XLOOKUP($AG160,[47]Sheet1!$E$108:$E$132,[47]Sheet1!F$108:F$132),0)</f>
        <v>0</v>
      </c>
      <c r="AK160" s="128">
        <f t="shared" si="45"/>
        <v>0</v>
      </c>
      <c r="AL160" s="131">
        <f>IFERROR(_xlfn.XLOOKUP($AG160,[47]Sheet1!$E$108:$E$132,[47]Sheet1!H$108:H$132),0)</f>
        <v>0</v>
      </c>
      <c r="AM160" s="128">
        <f t="shared" si="46"/>
        <v>0</v>
      </c>
      <c r="AN160" s="131">
        <f>IFERROR(_xlfn.XLOOKUP($AG160,[47]Sheet1!$E$108:$E$132,[47]Sheet1!G$108:G$132),0)</f>
        <v>0</v>
      </c>
      <c r="AO160" s="129">
        <f t="shared" si="47"/>
        <v>0</v>
      </c>
    </row>
    <row r="161" spans="2:41" x14ac:dyDescent="0.2">
      <c r="B161" s="110" t="s">
        <v>1273</v>
      </c>
      <c r="C161" s="110" t="s">
        <v>1274</v>
      </c>
      <c r="D161" s="110" t="s">
        <v>144</v>
      </c>
      <c r="E161" s="110" t="s">
        <v>1404</v>
      </c>
      <c r="F161" s="110"/>
      <c r="G161" s="116">
        <v>3391</v>
      </c>
      <c r="H161" s="115">
        <v>0</v>
      </c>
      <c r="I161" s="128">
        <f t="shared" si="39"/>
        <v>0</v>
      </c>
      <c r="J161" s="115">
        <v>0</v>
      </c>
      <c r="K161" s="128">
        <f t="shared" si="40"/>
        <v>0</v>
      </c>
      <c r="L161" s="115">
        <v>0</v>
      </c>
      <c r="M161" s="129">
        <f t="shared" si="41"/>
        <v>0</v>
      </c>
      <c r="N161" s="130"/>
      <c r="O161" s="130"/>
      <c r="P161" s="115" t="s">
        <v>1273</v>
      </c>
      <c r="Q161" s="115" t="s">
        <v>1274</v>
      </c>
      <c r="R161" s="115" t="s">
        <v>144</v>
      </c>
      <c r="S161" s="115" t="s">
        <v>1404</v>
      </c>
      <c r="T161" s="115"/>
      <c r="U161" s="131">
        <v>3391</v>
      </c>
      <c r="V161" s="131">
        <f>IFERROR(_xlfn.XLOOKUP($S161,'[47]Tgl 8'!$E$108:$E$156,'[47]Tgl 8'!$F$108:$F$156),0)</f>
        <v>0</v>
      </c>
      <c r="W161" s="128">
        <f t="shared" si="42"/>
        <v>0</v>
      </c>
      <c r="X161" s="131">
        <f>IFERROR(_xlfn.XLOOKUP($S161,'[47]Tgl 8'!$E$108:$E$156,'[47]Tgl 8'!$H$108:$H$156),0)</f>
        <v>0</v>
      </c>
      <c r="Y161" s="128">
        <f t="shared" si="43"/>
        <v>0</v>
      </c>
      <c r="Z161" s="131">
        <f>IFERROR(_xlfn.XLOOKUP($S161,'[47]Tgl 8'!$E$108:$E$156,'[47]Tgl 8'!$G$108:$G$156),0)</f>
        <v>0</v>
      </c>
      <c r="AA161" s="129">
        <f t="shared" si="44"/>
        <v>0</v>
      </c>
      <c r="AB161" s="130"/>
      <c r="AC161" s="130"/>
      <c r="AD161" s="115" t="s">
        <v>1273</v>
      </c>
      <c r="AE161" s="115" t="s">
        <v>1274</v>
      </c>
      <c r="AF161" s="115" t="s">
        <v>144</v>
      </c>
      <c r="AG161" s="115" t="s">
        <v>1404</v>
      </c>
      <c r="AH161" s="115"/>
      <c r="AI161" s="131">
        <v>3391</v>
      </c>
      <c r="AJ161" s="131">
        <f>IFERROR(_xlfn.XLOOKUP($AG161,[47]Sheet1!$E$108:$E$132,[47]Sheet1!F$108:F$132),0)</f>
        <v>0</v>
      </c>
      <c r="AK161" s="128">
        <f t="shared" si="45"/>
        <v>0</v>
      </c>
      <c r="AL161" s="131">
        <f>IFERROR(_xlfn.XLOOKUP($AG161,[47]Sheet1!$E$108:$E$132,[47]Sheet1!H$108:H$132),0)</f>
        <v>0</v>
      </c>
      <c r="AM161" s="128">
        <f t="shared" si="46"/>
        <v>0</v>
      </c>
      <c r="AN161" s="131">
        <f>IFERROR(_xlfn.XLOOKUP($AG161,[47]Sheet1!$E$108:$E$132,[47]Sheet1!G$108:G$132),0)</f>
        <v>0</v>
      </c>
      <c r="AO161" s="129">
        <f t="shared" si="47"/>
        <v>0</v>
      </c>
    </row>
    <row r="162" spans="2:41" x14ac:dyDescent="0.2">
      <c r="B162" s="110" t="s">
        <v>1273</v>
      </c>
      <c r="C162" s="110" t="s">
        <v>1274</v>
      </c>
      <c r="D162" s="110" t="s">
        <v>144</v>
      </c>
      <c r="E162" s="110" t="s">
        <v>1405</v>
      </c>
      <c r="F162" s="110"/>
      <c r="G162" s="116">
        <v>4480</v>
      </c>
      <c r="H162" s="115">
        <v>0</v>
      </c>
      <c r="I162" s="128">
        <f t="shared" si="39"/>
        <v>0</v>
      </c>
      <c r="J162" s="115">
        <v>0</v>
      </c>
      <c r="K162" s="128">
        <f t="shared" si="40"/>
        <v>0</v>
      </c>
      <c r="L162" s="115">
        <v>0</v>
      </c>
      <c r="M162" s="129">
        <f t="shared" si="41"/>
        <v>0</v>
      </c>
      <c r="N162" s="130"/>
      <c r="O162" s="130"/>
      <c r="P162" s="115" t="s">
        <v>1273</v>
      </c>
      <c r="Q162" s="115" t="s">
        <v>1274</v>
      </c>
      <c r="R162" s="115" t="s">
        <v>144</v>
      </c>
      <c r="S162" s="115" t="s">
        <v>1405</v>
      </c>
      <c r="T162" s="115"/>
      <c r="U162" s="131">
        <v>4480</v>
      </c>
      <c r="V162" s="131">
        <f>IFERROR(_xlfn.XLOOKUP($S162,'[47]Tgl 8'!$E$108:$E$156,'[47]Tgl 8'!$F$108:$F$156),0)</f>
        <v>0</v>
      </c>
      <c r="W162" s="128">
        <f t="shared" si="42"/>
        <v>0</v>
      </c>
      <c r="X162" s="131">
        <f>IFERROR(_xlfn.XLOOKUP($S162,'[47]Tgl 8'!$E$108:$E$156,'[47]Tgl 8'!$H$108:$H$156),0)</f>
        <v>0</v>
      </c>
      <c r="Y162" s="128">
        <f t="shared" si="43"/>
        <v>0</v>
      </c>
      <c r="Z162" s="131">
        <f>IFERROR(_xlfn.XLOOKUP($S162,'[47]Tgl 8'!$E$108:$E$156,'[47]Tgl 8'!$G$108:$G$156),0)</f>
        <v>0</v>
      </c>
      <c r="AA162" s="129">
        <f t="shared" si="44"/>
        <v>0</v>
      </c>
      <c r="AB162" s="130"/>
      <c r="AC162" s="130"/>
      <c r="AD162" s="115" t="s">
        <v>1273</v>
      </c>
      <c r="AE162" s="115" t="s">
        <v>1274</v>
      </c>
      <c r="AF162" s="115" t="s">
        <v>144</v>
      </c>
      <c r="AG162" s="115" t="s">
        <v>1405</v>
      </c>
      <c r="AH162" s="115"/>
      <c r="AI162" s="131">
        <v>4480</v>
      </c>
      <c r="AJ162" s="131">
        <f>IFERROR(_xlfn.XLOOKUP($AG162,[47]Sheet1!$E$108:$E$132,[47]Sheet1!F$108:F$132),0)</f>
        <v>0</v>
      </c>
      <c r="AK162" s="128">
        <f t="shared" si="45"/>
        <v>0</v>
      </c>
      <c r="AL162" s="131">
        <f>IFERROR(_xlfn.XLOOKUP($AG162,[47]Sheet1!$E$108:$E$132,[47]Sheet1!H$108:H$132),0)</f>
        <v>0</v>
      </c>
      <c r="AM162" s="128">
        <f t="shared" si="46"/>
        <v>0</v>
      </c>
      <c r="AN162" s="131">
        <f>IFERROR(_xlfn.XLOOKUP($AG162,[47]Sheet1!$E$108:$E$132,[47]Sheet1!G$108:G$132),0)</f>
        <v>0</v>
      </c>
      <c r="AO162" s="129">
        <f t="shared" si="47"/>
        <v>0</v>
      </c>
    </row>
    <row r="163" spans="2:41" x14ac:dyDescent="0.2">
      <c r="B163" s="110" t="s">
        <v>1273</v>
      </c>
      <c r="C163" s="110" t="s">
        <v>1274</v>
      </c>
      <c r="D163" s="110" t="s">
        <v>144</v>
      </c>
      <c r="E163" s="110" t="s">
        <v>1406</v>
      </c>
      <c r="F163" s="110"/>
      <c r="G163" s="116">
        <v>4229</v>
      </c>
      <c r="H163" s="115">
        <v>0</v>
      </c>
      <c r="I163" s="128">
        <f t="shared" si="39"/>
        <v>0</v>
      </c>
      <c r="J163" s="115">
        <v>0</v>
      </c>
      <c r="K163" s="128">
        <f t="shared" si="40"/>
        <v>0</v>
      </c>
      <c r="L163" s="115">
        <v>0</v>
      </c>
      <c r="M163" s="129">
        <f t="shared" si="41"/>
        <v>0</v>
      </c>
      <c r="N163" s="130"/>
      <c r="O163" s="130"/>
      <c r="P163" s="115" t="s">
        <v>1273</v>
      </c>
      <c r="Q163" s="115" t="s">
        <v>1274</v>
      </c>
      <c r="R163" s="115" t="s">
        <v>144</v>
      </c>
      <c r="S163" s="115" t="s">
        <v>1406</v>
      </c>
      <c r="T163" s="115"/>
      <c r="U163" s="131">
        <v>4229</v>
      </c>
      <c r="V163" s="131">
        <f>IFERROR(_xlfn.XLOOKUP($S163,'[47]Tgl 8'!$E$108:$E$156,'[47]Tgl 8'!$F$108:$F$156),0)</f>
        <v>0</v>
      </c>
      <c r="W163" s="128">
        <f t="shared" si="42"/>
        <v>0</v>
      </c>
      <c r="X163" s="131">
        <f>IFERROR(_xlfn.XLOOKUP($S163,'[47]Tgl 8'!$E$108:$E$156,'[47]Tgl 8'!$H$108:$H$156),0)</f>
        <v>0</v>
      </c>
      <c r="Y163" s="128">
        <f t="shared" si="43"/>
        <v>0</v>
      </c>
      <c r="Z163" s="131">
        <f>IFERROR(_xlfn.XLOOKUP($S163,'[47]Tgl 8'!$E$108:$E$156,'[47]Tgl 8'!$G$108:$G$156),0)</f>
        <v>0</v>
      </c>
      <c r="AA163" s="129">
        <f t="shared" si="44"/>
        <v>0</v>
      </c>
      <c r="AB163" s="130"/>
      <c r="AC163" s="130"/>
      <c r="AD163" s="115" t="s">
        <v>1273</v>
      </c>
      <c r="AE163" s="115" t="s">
        <v>1274</v>
      </c>
      <c r="AF163" s="115" t="s">
        <v>144</v>
      </c>
      <c r="AG163" s="115" t="s">
        <v>1406</v>
      </c>
      <c r="AH163" s="115"/>
      <c r="AI163" s="131">
        <v>4229</v>
      </c>
      <c r="AJ163" s="131">
        <f>IFERROR(_xlfn.XLOOKUP($AG163,[47]Sheet1!$E$108:$E$132,[47]Sheet1!F$108:F$132),0)</f>
        <v>0</v>
      </c>
      <c r="AK163" s="128">
        <f t="shared" si="45"/>
        <v>0</v>
      </c>
      <c r="AL163" s="131">
        <f>IFERROR(_xlfn.XLOOKUP($AG163,[47]Sheet1!$E$108:$E$132,[47]Sheet1!H$108:H$132),0)</f>
        <v>0</v>
      </c>
      <c r="AM163" s="128">
        <f t="shared" si="46"/>
        <v>0</v>
      </c>
      <c r="AN163" s="131">
        <f>IFERROR(_xlfn.XLOOKUP($AG163,[47]Sheet1!$E$108:$E$132,[47]Sheet1!G$108:G$132),0)</f>
        <v>0</v>
      </c>
      <c r="AO163" s="129">
        <f t="shared" si="47"/>
        <v>0</v>
      </c>
    </row>
    <row r="164" spans="2:41" x14ac:dyDescent="0.2">
      <c r="B164" s="110" t="s">
        <v>1273</v>
      </c>
      <c r="C164" s="110" t="s">
        <v>1274</v>
      </c>
      <c r="D164" s="110" t="s">
        <v>144</v>
      </c>
      <c r="E164" s="110" t="s">
        <v>1407</v>
      </c>
      <c r="F164" s="110"/>
      <c r="G164" s="116">
        <v>4226</v>
      </c>
      <c r="H164" s="115">
        <v>0</v>
      </c>
      <c r="I164" s="128">
        <f t="shared" si="39"/>
        <v>0</v>
      </c>
      <c r="J164" s="115">
        <v>0</v>
      </c>
      <c r="K164" s="128">
        <f t="shared" si="40"/>
        <v>0</v>
      </c>
      <c r="L164" s="115">
        <v>0</v>
      </c>
      <c r="M164" s="129">
        <f t="shared" si="41"/>
        <v>0</v>
      </c>
      <c r="N164" s="130"/>
      <c r="O164" s="130"/>
      <c r="P164" s="115" t="s">
        <v>1273</v>
      </c>
      <c r="Q164" s="115" t="s">
        <v>1274</v>
      </c>
      <c r="R164" s="115" t="s">
        <v>144</v>
      </c>
      <c r="S164" s="115" t="s">
        <v>1407</v>
      </c>
      <c r="T164" s="115"/>
      <c r="U164" s="131">
        <v>4226</v>
      </c>
      <c r="V164" s="131">
        <f>IFERROR(_xlfn.XLOOKUP($S164,'[47]Tgl 8'!$E$108:$E$156,'[47]Tgl 8'!$F$108:$F$156),0)</f>
        <v>0</v>
      </c>
      <c r="W164" s="128">
        <f t="shared" si="42"/>
        <v>0</v>
      </c>
      <c r="X164" s="131">
        <f>IFERROR(_xlfn.XLOOKUP($S164,'[47]Tgl 8'!$E$108:$E$156,'[47]Tgl 8'!$H$108:$H$156),0)</f>
        <v>0</v>
      </c>
      <c r="Y164" s="128">
        <f t="shared" si="43"/>
        <v>0</v>
      </c>
      <c r="Z164" s="131">
        <f>IFERROR(_xlfn.XLOOKUP($S164,'[47]Tgl 8'!$E$108:$E$156,'[47]Tgl 8'!$G$108:$G$156),0)</f>
        <v>0</v>
      </c>
      <c r="AA164" s="129">
        <f t="shared" si="44"/>
        <v>0</v>
      </c>
      <c r="AB164" s="130"/>
      <c r="AC164" s="130"/>
      <c r="AD164" s="115" t="s">
        <v>1273</v>
      </c>
      <c r="AE164" s="115" t="s">
        <v>1274</v>
      </c>
      <c r="AF164" s="115" t="s">
        <v>144</v>
      </c>
      <c r="AG164" s="115" t="s">
        <v>1407</v>
      </c>
      <c r="AH164" s="115"/>
      <c r="AI164" s="131">
        <v>4226</v>
      </c>
      <c r="AJ164" s="131">
        <f>IFERROR(_xlfn.XLOOKUP($AG164,[47]Sheet1!$E$108:$E$132,[47]Sheet1!F$108:F$132),0)</f>
        <v>0</v>
      </c>
      <c r="AK164" s="128">
        <f t="shared" si="45"/>
        <v>0</v>
      </c>
      <c r="AL164" s="131">
        <f>IFERROR(_xlfn.XLOOKUP($AG164,[47]Sheet1!$E$108:$E$132,[47]Sheet1!H$108:H$132),0)</f>
        <v>0</v>
      </c>
      <c r="AM164" s="128">
        <f t="shared" si="46"/>
        <v>0</v>
      </c>
      <c r="AN164" s="131">
        <f>IFERROR(_xlfn.XLOOKUP($AG164,[47]Sheet1!$E$108:$E$132,[47]Sheet1!G$108:G$132),0)</f>
        <v>0</v>
      </c>
      <c r="AO164" s="129">
        <f t="shared" si="47"/>
        <v>0</v>
      </c>
    </row>
    <row r="165" spans="2:41" x14ac:dyDescent="0.2">
      <c r="B165" s="110" t="s">
        <v>1273</v>
      </c>
      <c r="C165" s="110" t="s">
        <v>1274</v>
      </c>
      <c r="D165" s="110" t="s">
        <v>144</v>
      </c>
      <c r="E165" s="110" t="s">
        <v>1025</v>
      </c>
      <c r="F165" s="110"/>
      <c r="G165" s="116">
        <v>4214</v>
      </c>
      <c r="H165" s="115">
        <v>0</v>
      </c>
      <c r="I165" s="128">
        <f t="shared" si="39"/>
        <v>0</v>
      </c>
      <c r="J165" s="115">
        <v>0</v>
      </c>
      <c r="K165" s="128">
        <f t="shared" si="40"/>
        <v>0</v>
      </c>
      <c r="L165" s="115">
        <v>0</v>
      </c>
      <c r="M165" s="129">
        <f t="shared" si="41"/>
        <v>0</v>
      </c>
      <c r="N165" s="130"/>
      <c r="O165" s="130"/>
      <c r="P165" s="115" t="s">
        <v>1273</v>
      </c>
      <c r="Q165" s="115" t="s">
        <v>1274</v>
      </c>
      <c r="R165" s="115" t="s">
        <v>144</v>
      </c>
      <c r="S165" s="115" t="s">
        <v>1025</v>
      </c>
      <c r="T165" s="115"/>
      <c r="U165" s="131">
        <v>4214</v>
      </c>
      <c r="V165" s="131">
        <f>IFERROR(_xlfn.XLOOKUP($S165,'[47]Tgl 8'!$E$108:$E$156,'[47]Tgl 8'!$F$108:$F$156),0)</f>
        <v>0</v>
      </c>
      <c r="W165" s="128">
        <f t="shared" si="42"/>
        <v>0</v>
      </c>
      <c r="X165" s="131">
        <f>IFERROR(_xlfn.XLOOKUP($S165,'[47]Tgl 8'!$E$108:$E$156,'[47]Tgl 8'!$H$108:$H$156),0)</f>
        <v>0</v>
      </c>
      <c r="Y165" s="128">
        <f t="shared" si="43"/>
        <v>0</v>
      </c>
      <c r="Z165" s="131">
        <f>IFERROR(_xlfn.XLOOKUP($S165,'[47]Tgl 8'!$E$108:$E$156,'[47]Tgl 8'!$G$108:$G$156),0)</f>
        <v>0</v>
      </c>
      <c r="AA165" s="129">
        <f t="shared" si="44"/>
        <v>0</v>
      </c>
      <c r="AB165" s="130"/>
      <c r="AC165" s="130"/>
      <c r="AD165" s="115" t="s">
        <v>1273</v>
      </c>
      <c r="AE165" s="115" t="s">
        <v>1274</v>
      </c>
      <c r="AF165" s="115" t="s">
        <v>144</v>
      </c>
      <c r="AG165" s="115" t="s">
        <v>1025</v>
      </c>
      <c r="AH165" s="115"/>
      <c r="AI165" s="131">
        <v>4214</v>
      </c>
      <c r="AJ165" s="131">
        <f>IFERROR(_xlfn.XLOOKUP($AG165,[47]Sheet1!$E$108:$E$132,[47]Sheet1!F$108:F$132),0)</f>
        <v>0</v>
      </c>
      <c r="AK165" s="128">
        <f t="shared" si="45"/>
        <v>0</v>
      </c>
      <c r="AL165" s="131">
        <f>IFERROR(_xlfn.XLOOKUP($AG165,[47]Sheet1!$E$108:$E$132,[47]Sheet1!H$108:H$132),0)</f>
        <v>0</v>
      </c>
      <c r="AM165" s="128">
        <f t="shared" si="46"/>
        <v>0</v>
      </c>
      <c r="AN165" s="131">
        <f>IFERROR(_xlfn.XLOOKUP($AG165,[47]Sheet1!$E$108:$E$132,[47]Sheet1!G$108:G$132),0)</f>
        <v>0</v>
      </c>
      <c r="AO165" s="129">
        <f t="shared" si="47"/>
        <v>0</v>
      </c>
    </row>
    <row r="166" spans="2:41" x14ac:dyDescent="0.2">
      <c r="B166" s="110" t="s">
        <v>1273</v>
      </c>
      <c r="C166" s="110" t="s">
        <v>1274</v>
      </c>
      <c r="D166" s="110" t="s">
        <v>144</v>
      </c>
      <c r="E166" s="110" t="s">
        <v>1027</v>
      </c>
      <c r="F166" s="110"/>
      <c r="G166" s="116">
        <v>3569</v>
      </c>
      <c r="H166" s="115">
        <v>0</v>
      </c>
      <c r="I166" s="128">
        <f t="shared" si="39"/>
        <v>0</v>
      </c>
      <c r="J166" s="115">
        <v>0</v>
      </c>
      <c r="K166" s="128">
        <f t="shared" si="40"/>
        <v>0</v>
      </c>
      <c r="L166" s="115">
        <v>0</v>
      </c>
      <c r="M166" s="129">
        <f t="shared" si="41"/>
        <v>0</v>
      </c>
      <c r="N166" s="130"/>
      <c r="O166" s="130"/>
      <c r="P166" s="115" t="s">
        <v>1273</v>
      </c>
      <c r="Q166" s="115" t="s">
        <v>1274</v>
      </c>
      <c r="R166" s="115" t="s">
        <v>144</v>
      </c>
      <c r="S166" s="115" t="s">
        <v>1027</v>
      </c>
      <c r="T166" s="115"/>
      <c r="U166" s="131">
        <v>3569</v>
      </c>
      <c r="V166" s="131">
        <f>IFERROR(_xlfn.XLOOKUP($S166,'[47]Tgl 8'!$E$108:$E$156,'[47]Tgl 8'!$F$108:$F$156),0)</f>
        <v>0</v>
      </c>
      <c r="W166" s="128">
        <f t="shared" si="42"/>
        <v>0</v>
      </c>
      <c r="X166" s="131">
        <f>IFERROR(_xlfn.XLOOKUP($S166,'[47]Tgl 8'!$E$108:$E$156,'[47]Tgl 8'!$H$108:$H$156),0)</f>
        <v>0</v>
      </c>
      <c r="Y166" s="128">
        <f t="shared" si="43"/>
        <v>0</v>
      </c>
      <c r="Z166" s="131">
        <f>IFERROR(_xlfn.XLOOKUP($S166,'[47]Tgl 8'!$E$108:$E$156,'[47]Tgl 8'!$G$108:$G$156),0)</f>
        <v>0</v>
      </c>
      <c r="AA166" s="129">
        <f t="shared" si="44"/>
        <v>0</v>
      </c>
      <c r="AB166" s="130"/>
      <c r="AC166" s="130"/>
      <c r="AD166" s="115" t="s">
        <v>1273</v>
      </c>
      <c r="AE166" s="115" t="s">
        <v>1274</v>
      </c>
      <c r="AF166" s="115" t="s">
        <v>144</v>
      </c>
      <c r="AG166" s="115" t="s">
        <v>1027</v>
      </c>
      <c r="AH166" s="115"/>
      <c r="AI166" s="131">
        <v>3569</v>
      </c>
      <c r="AJ166" s="131">
        <f>IFERROR(_xlfn.XLOOKUP($AG166,[47]Sheet1!$E$108:$E$132,[47]Sheet1!F$108:F$132),0)</f>
        <v>0</v>
      </c>
      <c r="AK166" s="128">
        <f t="shared" si="45"/>
        <v>0</v>
      </c>
      <c r="AL166" s="131">
        <f>IFERROR(_xlfn.XLOOKUP($AG166,[47]Sheet1!$E$108:$E$132,[47]Sheet1!H$108:H$132),0)</f>
        <v>0</v>
      </c>
      <c r="AM166" s="128">
        <f t="shared" si="46"/>
        <v>0</v>
      </c>
      <c r="AN166" s="131">
        <f>IFERROR(_xlfn.XLOOKUP($AG166,[47]Sheet1!$E$108:$E$132,[47]Sheet1!G$108:G$132),0)</f>
        <v>0</v>
      </c>
      <c r="AO166" s="129">
        <f t="shared" si="47"/>
        <v>0</v>
      </c>
    </row>
    <row r="167" spans="2:41" x14ac:dyDescent="0.2">
      <c r="B167" s="115" t="s">
        <v>1273</v>
      </c>
      <c r="C167" s="115" t="s">
        <v>1274</v>
      </c>
      <c r="D167" s="115" t="s">
        <v>144</v>
      </c>
      <c r="E167" s="115" t="s">
        <v>1408</v>
      </c>
      <c r="F167" s="115"/>
      <c r="G167" s="131">
        <v>4446</v>
      </c>
      <c r="H167" s="115">
        <v>181</v>
      </c>
      <c r="I167" s="128">
        <f t="shared" si="39"/>
        <v>4.0710751237067022</v>
      </c>
      <c r="J167" s="115">
        <v>77</v>
      </c>
      <c r="K167" s="128">
        <f t="shared" si="40"/>
        <v>42.541436464088399</v>
      </c>
      <c r="L167" s="115">
        <v>27</v>
      </c>
      <c r="M167" s="129">
        <f t="shared" si="41"/>
        <v>14.917127071823204</v>
      </c>
      <c r="N167" s="130"/>
      <c r="O167" s="130"/>
      <c r="P167" s="115" t="s">
        <v>1273</v>
      </c>
      <c r="Q167" s="115" t="s">
        <v>1274</v>
      </c>
      <c r="R167" s="115" t="s">
        <v>144</v>
      </c>
      <c r="S167" s="115" t="s">
        <v>1408</v>
      </c>
      <c r="T167" s="115"/>
      <c r="U167" s="131">
        <v>4446</v>
      </c>
      <c r="V167" s="131">
        <f>IFERROR(_xlfn.XLOOKUP($S167,'[47]Tgl 8'!$E$108:$E$156,'[47]Tgl 8'!$F$108:$F$156),0)</f>
        <v>63</v>
      </c>
      <c r="W167" s="128">
        <f t="shared" si="42"/>
        <v>1.417004048582996</v>
      </c>
      <c r="X167" s="131">
        <f>IFERROR(_xlfn.XLOOKUP($S167,'[47]Tgl 8'!$E$108:$E$156,'[47]Tgl 8'!$H$108:$H$156),0)</f>
        <v>21</v>
      </c>
      <c r="Y167" s="128">
        <f t="shared" si="43"/>
        <v>33.333333333333336</v>
      </c>
      <c r="Z167" s="131">
        <f>IFERROR(_xlfn.XLOOKUP($S167,'[47]Tgl 8'!$E$108:$E$156,'[47]Tgl 8'!$G$108:$G$156),0)</f>
        <v>14</v>
      </c>
      <c r="AA167" s="129">
        <f t="shared" si="44"/>
        <v>22.222222222222221</v>
      </c>
      <c r="AB167" s="130"/>
      <c r="AC167" s="130"/>
      <c r="AD167" s="115" t="s">
        <v>1273</v>
      </c>
      <c r="AE167" s="115" t="s">
        <v>1274</v>
      </c>
      <c r="AF167" s="115" t="s">
        <v>144</v>
      </c>
      <c r="AG167" s="115" t="s">
        <v>1408</v>
      </c>
      <c r="AH167" s="115"/>
      <c r="AI167" s="131">
        <v>4446</v>
      </c>
      <c r="AJ167" s="131">
        <f>IFERROR(_xlfn.XLOOKUP($AG167,[47]Sheet1!$E$108:$E$132,[47]Sheet1!F$108:F$132),0)</f>
        <v>0</v>
      </c>
      <c r="AK167" s="128">
        <f t="shared" si="45"/>
        <v>0</v>
      </c>
      <c r="AL167" s="131">
        <f>IFERROR(_xlfn.XLOOKUP($AG167,[47]Sheet1!$E$108:$E$132,[47]Sheet1!H$108:H$132),0)</f>
        <v>0</v>
      </c>
      <c r="AM167" s="128">
        <f t="shared" si="46"/>
        <v>0</v>
      </c>
      <c r="AN167" s="131">
        <f>IFERROR(_xlfn.XLOOKUP($AG167,[47]Sheet1!$E$108:$E$132,[47]Sheet1!G$108:G$132),0)</f>
        <v>0</v>
      </c>
      <c r="AO167" s="129">
        <f t="shared" si="47"/>
        <v>0</v>
      </c>
    </row>
    <row r="168" spans="2:41" x14ac:dyDescent="0.2">
      <c r="B168" s="115" t="s">
        <v>1273</v>
      </c>
      <c r="C168" s="115" t="s">
        <v>1274</v>
      </c>
      <c r="D168" s="115" t="s">
        <v>144</v>
      </c>
      <c r="E168" s="115" t="s">
        <v>1409</v>
      </c>
      <c r="F168" s="115"/>
      <c r="G168" s="131">
        <v>3305</v>
      </c>
      <c r="H168" s="115">
        <v>105</v>
      </c>
      <c r="I168" s="128">
        <f t="shared" si="39"/>
        <v>3.1770045385779127</v>
      </c>
      <c r="J168" s="115">
        <v>52</v>
      </c>
      <c r="K168" s="128">
        <f t="shared" si="40"/>
        <v>49.523809523809518</v>
      </c>
      <c r="L168" s="115">
        <v>10</v>
      </c>
      <c r="M168" s="129">
        <f t="shared" si="41"/>
        <v>9.5238095238095237</v>
      </c>
      <c r="N168" s="130"/>
      <c r="O168" s="130"/>
      <c r="P168" s="115" t="s">
        <v>1273</v>
      </c>
      <c r="Q168" s="115" t="s">
        <v>1274</v>
      </c>
      <c r="R168" s="115" t="s">
        <v>144</v>
      </c>
      <c r="S168" s="115" t="s">
        <v>1409</v>
      </c>
      <c r="T168" s="115"/>
      <c r="U168" s="131">
        <v>3305</v>
      </c>
      <c r="V168" s="131">
        <f>IFERROR(_xlfn.XLOOKUP($S168,'[47]Tgl 8'!$E$108:$E$156,'[47]Tgl 8'!$F$108:$F$156),0)</f>
        <v>63</v>
      </c>
      <c r="W168" s="128">
        <f t="shared" si="42"/>
        <v>1.9062027231467475</v>
      </c>
      <c r="X168" s="131">
        <f>IFERROR(_xlfn.XLOOKUP($S168,'[47]Tgl 8'!$E$108:$E$156,'[47]Tgl 8'!$H$108:$H$156),0)</f>
        <v>33</v>
      </c>
      <c r="Y168" s="128">
        <f t="shared" si="43"/>
        <v>52.38095238095238</v>
      </c>
      <c r="Z168" s="131">
        <f>IFERROR(_xlfn.XLOOKUP($S168,'[47]Tgl 8'!$E$108:$E$156,'[47]Tgl 8'!$G$108:$G$156),0)</f>
        <v>8</v>
      </c>
      <c r="AA168" s="129">
        <f t="shared" si="44"/>
        <v>12.698412698412698</v>
      </c>
      <c r="AB168" s="130"/>
      <c r="AC168" s="130"/>
      <c r="AD168" s="115" t="s">
        <v>1273</v>
      </c>
      <c r="AE168" s="115" t="s">
        <v>1274</v>
      </c>
      <c r="AF168" s="115" t="s">
        <v>144</v>
      </c>
      <c r="AG168" s="115" t="s">
        <v>1409</v>
      </c>
      <c r="AH168" s="115"/>
      <c r="AI168" s="131">
        <v>3305</v>
      </c>
      <c r="AJ168" s="131">
        <f>IFERROR(_xlfn.XLOOKUP($AG168,[47]Sheet1!$E$108:$E$132,[47]Sheet1!F$108:F$132),0)</f>
        <v>0</v>
      </c>
      <c r="AK168" s="128">
        <f t="shared" si="45"/>
        <v>0</v>
      </c>
      <c r="AL168" s="131">
        <f>IFERROR(_xlfn.XLOOKUP($AG168,[47]Sheet1!$E$108:$E$132,[47]Sheet1!H$108:H$132),0)</f>
        <v>0</v>
      </c>
      <c r="AM168" s="128">
        <f t="shared" si="46"/>
        <v>0</v>
      </c>
      <c r="AN168" s="131">
        <f>IFERROR(_xlfn.XLOOKUP($AG168,[47]Sheet1!$E$108:$E$132,[47]Sheet1!G$108:G$132),0)</f>
        <v>0</v>
      </c>
      <c r="AO168" s="129">
        <f t="shared" si="47"/>
        <v>0</v>
      </c>
    </row>
    <row r="169" spans="2:41" x14ac:dyDescent="0.2">
      <c r="B169" s="115" t="s">
        <v>1273</v>
      </c>
      <c r="C169" s="115" t="s">
        <v>1274</v>
      </c>
      <c r="D169" s="115" t="s">
        <v>144</v>
      </c>
      <c r="E169" s="115" t="s">
        <v>1410</v>
      </c>
      <c r="F169" s="115"/>
      <c r="G169" s="131">
        <v>2719</v>
      </c>
      <c r="H169" s="115">
        <v>55</v>
      </c>
      <c r="I169" s="128">
        <f t="shared" si="39"/>
        <v>2.0228025009194557</v>
      </c>
      <c r="J169" s="115">
        <v>37</v>
      </c>
      <c r="K169" s="128">
        <f t="shared" si="40"/>
        <v>67.272727272727266</v>
      </c>
      <c r="L169" s="115">
        <v>9</v>
      </c>
      <c r="M169" s="129">
        <f t="shared" si="41"/>
        <v>16.363636363636363</v>
      </c>
      <c r="N169" s="130"/>
      <c r="O169" s="130"/>
      <c r="P169" s="115" t="s">
        <v>1273</v>
      </c>
      <c r="Q169" s="115" t="s">
        <v>1274</v>
      </c>
      <c r="R169" s="115" t="s">
        <v>144</v>
      </c>
      <c r="S169" s="115" t="s">
        <v>1410</v>
      </c>
      <c r="T169" s="115"/>
      <c r="U169" s="131">
        <v>2719</v>
      </c>
      <c r="V169" s="131">
        <f>IFERROR(_xlfn.XLOOKUP($S169,'[47]Tgl 8'!$E$108:$E$156,'[47]Tgl 8'!$F$108:$F$156),0)</f>
        <v>0</v>
      </c>
      <c r="W169" s="128">
        <f t="shared" si="42"/>
        <v>0</v>
      </c>
      <c r="X169" s="131">
        <f>IFERROR(_xlfn.XLOOKUP($S169,'[47]Tgl 8'!$E$108:$E$156,'[47]Tgl 8'!$H$108:$H$156),0)</f>
        <v>0</v>
      </c>
      <c r="Y169" s="128">
        <f t="shared" si="43"/>
        <v>0</v>
      </c>
      <c r="Z169" s="131">
        <f>IFERROR(_xlfn.XLOOKUP($S169,'[47]Tgl 8'!$E$108:$E$156,'[47]Tgl 8'!$G$108:$G$156),0)</f>
        <v>0</v>
      </c>
      <c r="AA169" s="129">
        <f t="shared" si="44"/>
        <v>0</v>
      </c>
      <c r="AB169" s="130"/>
      <c r="AC169" s="130"/>
      <c r="AD169" s="115" t="s">
        <v>1273</v>
      </c>
      <c r="AE169" s="115" t="s">
        <v>1274</v>
      </c>
      <c r="AF169" s="115" t="s">
        <v>144</v>
      </c>
      <c r="AG169" s="115" t="s">
        <v>1410</v>
      </c>
      <c r="AH169" s="115"/>
      <c r="AI169" s="131">
        <v>2719</v>
      </c>
      <c r="AJ169" s="131">
        <f>IFERROR(_xlfn.XLOOKUP($AG169,[47]Sheet1!$E$108:$E$132,[47]Sheet1!F$108:F$132),0)</f>
        <v>0</v>
      </c>
      <c r="AK169" s="128">
        <f t="shared" si="45"/>
        <v>0</v>
      </c>
      <c r="AL169" s="131">
        <f>IFERROR(_xlfn.XLOOKUP($AG169,[47]Sheet1!$E$108:$E$132,[47]Sheet1!H$108:H$132),0)</f>
        <v>0</v>
      </c>
      <c r="AM169" s="128">
        <f t="shared" si="46"/>
        <v>0</v>
      </c>
      <c r="AN169" s="131">
        <f>IFERROR(_xlfn.XLOOKUP($AG169,[47]Sheet1!$E$108:$E$132,[47]Sheet1!G$108:G$132),0)</f>
        <v>0</v>
      </c>
      <c r="AO169" s="129">
        <f t="shared" si="47"/>
        <v>0</v>
      </c>
    </row>
    <row r="170" spans="2:41" x14ac:dyDescent="0.2">
      <c r="B170" s="115" t="s">
        <v>1273</v>
      </c>
      <c r="C170" s="115" t="s">
        <v>1274</v>
      </c>
      <c r="D170" s="115" t="s">
        <v>144</v>
      </c>
      <c r="E170" s="115" t="s">
        <v>1411</v>
      </c>
      <c r="F170" s="115"/>
      <c r="G170" s="131">
        <v>3816</v>
      </c>
      <c r="H170" s="115">
        <v>60</v>
      </c>
      <c r="I170" s="128">
        <f t="shared" si="39"/>
        <v>1.5723270440251573</v>
      </c>
      <c r="J170" s="115">
        <v>39</v>
      </c>
      <c r="K170" s="128">
        <f t="shared" si="40"/>
        <v>65</v>
      </c>
      <c r="L170" s="115">
        <v>8</v>
      </c>
      <c r="M170" s="129">
        <f t="shared" si="41"/>
        <v>13.333333333333334</v>
      </c>
      <c r="N170" s="130"/>
      <c r="O170" s="130"/>
      <c r="P170" s="115" t="s">
        <v>1273</v>
      </c>
      <c r="Q170" s="115" t="s">
        <v>1274</v>
      </c>
      <c r="R170" s="115" t="s">
        <v>144</v>
      </c>
      <c r="S170" s="115" t="s">
        <v>1411</v>
      </c>
      <c r="T170" s="115"/>
      <c r="U170" s="131">
        <v>3816</v>
      </c>
      <c r="V170" s="131">
        <f>IFERROR(_xlfn.XLOOKUP($S170,'[47]Tgl 8'!$E$108:$E$156,'[47]Tgl 8'!$F$108:$F$156),0)</f>
        <v>0</v>
      </c>
      <c r="W170" s="128">
        <f t="shared" si="42"/>
        <v>0</v>
      </c>
      <c r="X170" s="131">
        <f>IFERROR(_xlfn.XLOOKUP($S170,'[47]Tgl 8'!$E$108:$E$156,'[47]Tgl 8'!$H$108:$H$156),0)</f>
        <v>0</v>
      </c>
      <c r="Y170" s="128">
        <f t="shared" si="43"/>
        <v>0</v>
      </c>
      <c r="Z170" s="131">
        <f>IFERROR(_xlfn.XLOOKUP($S170,'[47]Tgl 8'!$E$108:$E$156,'[47]Tgl 8'!$G$108:$G$156),0)</f>
        <v>0</v>
      </c>
      <c r="AA170" s="129">
        <f t="shared" si="44"/>
        <v>0</v>
      </c>
      <c r="AB170" s="130"/>
      <c r="AC170" s="130"/>
      <c r="AD170" s="115" t="s">
        <v>1273</v>
      </c>
      <c r="AE170" s="115" t="s">
        <v>1274</v>
      </c>
      <c r="AF170" s="115" t="s">
        <v>144</v>
      </c>
      <c r="AG170" s="115" t="s">
        <v>1411</v>
      </c>
      <c r="AH170" s="115"/>
      <c r="AI170" s="131">
        <v>3816</v>
      </c>
      <c r="AJ170" s="131">
        <f>IFERROR(_xlfn.XLOOKUP($AG170,[47]Sheet1!$E$108:$E$132,[47]Sheet1!F$108:F$132),0)</f>
        <v>0</v>
      </c>
      <c r="AK170" s="128">
        <f t="shared" si="45"/>
        <v>0</v>
      </c>
      <c r="AL170" s="131">
        <f>IFERROR(_xlfn.XLOOKUP($AG170,[47]Sheet1!$E$108:$E$132,[47]Sheet1!H$108:H$132),0)</f>
        <v>0</v>
      </c>
      <c r="AM170" s="128">
        <f t="shared" si="46"/>
        <v>0</v>
      </c>
      <c r="AN170" s="131">
        <f>IFERROR(_xlfn.XLOOKUP($AG170,[47]Sheet1!$E$108:$E$132,[47]Sheet1!G$108:G$132),0)</f>
        <v>0</v>
      </c>
      <c r="AO170" s="129">
        <f t="shared" si="47"/>
        <v>0</v>
      </c>
    </row>
    <row r="171" spans="2:41" x14ac:dyDescent="0.2">
      <c r="B171" s="115" t="s">
        <v>1273</v>
      </c>
      <c r="C171" s="115" t="s">
        <v>1274</v>
      </c>
      <c r="D171" s="115" t="s">
        <v>144</v>
      </c>
      <c r="E171" s="115" t="s">
        <v>1412</v>
      </c>
      <c r="F171" s="115"/>
      <c r="G171" s="131">
        <v>3684</v>
      </c>
      <c r="H171" s="115">
        <v>63</v>
      </c>
      <c r="I171" s="128">
        <f t="shared" si="39"/>
        <v>1.7100977198697067</v>
      </c>
      <c r="J171" s="115">
        <v>38</v>
      </c>
      <c r="K171" s="128">
        <f t="shared" si="40"/>
        <v>60.317460317460316</v>
      </c>
      <c r="L171" s="115">
        <v>1</v>
      </c>
      <c r="M171" s="129">
        <f t="shared" si="41"/>
        <v>1.5873015873015872</v>
      </c>
      <c r="N171" s="130"/>
      <c r="O171" s="130"/>
      <c r="P171" s="115" t="s">
        <v>1273</v>
      </c>
      <c r="Q171" s="115" t="s">
        <v>1274</v>
      </c>
      <c r="R171" s="115" t="s">
        <v>144</v>
      </c>
      <c r="S171" s="115" t="s">
        <v>1412</v>
      </c>
      <c r="T171" s="115"/>
      <c r="U171" s="131">
        <v>3684</v>
      </c>
      <c r="V171" s="131">
        <f>IFERROR(_xlfn.XLOOKUP($S171,'[47]Tgl 8'!$E$108:$E$156,'[47]Tgl 8'!$F$108:$F$156),0)</f>
        <v>0</v>
      </c>
      <c r="W171" s="128">
        <f t="shared" si="42"/>
        <v>0</v>
      </c>
      <c r="X171" s="131">
        <f>IFERROR(_xlfn.XLOOKUP($S171,'[47]Tgl 8'!$E$108:$E$156,'[47]Tgl 8'!$H$108:$H$156),0)</f>
        <v>0</v>
      </c>
      <c r="Y171" s="128">
        <f t="shared" si="43"/>
        <v>0</v>
      </c>
      <c r="Z171" s="131">
        <f>IFERROR(_xlfn.XLOOKUP($S171,'[47]Tgl 8'!$E$108:$E$156,'[47]Tgl 8'!$G$108:$G$156),0)</f>
        <v>0</v>
      </c>
      <c r="AA171" s="129">
        <f t="shared" si="44"/>
        <v>0</v>
      </c>
      <c r="AB171" s="130"/>
      <c r="AC171" s="130"/>
      <c r="AD171" s="115" t="s">
        <v>1273</v>
      </c>
      <c r="AE171" s="115" t="s">
        <v>1274</v>
      </c>
      <c r="AF171" s="115" t="s">
        <v>144</v>
      </c>
      <c r="AG171" s="115" t="s">
        <v>1412</v>
      </c>
      <c r="AH171" s="115"/>
      <c r="AI171" s="131">
        <v>3684</v>
      </c>
      <c r="AJ171" s="131">
        <f>IFERROR(_xlfn.XLOOKUP($AG171,[47]Sheet1!$E$108:$E$132,[47]Sheet1!F$108:F$132),0)</f>
        <v>0</v>
      </c>
      <c r="AK171" s="128">
        <f t="shared" si="45"/>
        <v>0</v>
      </c>
      <c r="AL171" s="131">
        <f>IFERROR(_xlfn.XLOOKUP($AG171,[47]Sheet1!$E$108:$E$132,[47]Sheet1!H$108:H$132),0)</f>
        <v>0</v>
      </c>
      <c r="AM171" s="128">
        <f t="shared" si="46"/>
        <v>0</v>
      </c>
      <c r="AN171" s="131">
        <f>IFERROR(_xlfn.XLOOKUP($AG171,[47]Sheet1!$E$108:$E$132,[47]Sheet1!G$108:G$132),0)</f>
        <v>0</v>
      </c>
      <c r="AO171" s="129">
        <f t="shared" si="47"/>
        <v>0</v>
      </c>
    </row>
    <row r="172" spans="2:41" x14ac:dyDescent="0.2">
      <c r="B172" s="115" t="s">
        <v>1273</v>
      </c>
      <c r="C172" s="115" t="s">
        <v>1274</v>
      </c>
      <c r="D172" s="115" t="s">
        <v>144</v>
      </c>
      <c r="E172" s="115" t="s">
        <v>1413</v>
      </c>
      <c r="F172" s="115"/>
      <c r="G172" s="131">
        <v>3551</v>
      </c>
      <c r="H172" s="115">
        <v>53</v>
      </c>
      <c r="I172" s="128">
        <f t="shared" si="39"/>
        <v>1.4925373134328359</v>
      </c>
      <c r="J172" s="115">
        <v>24</v>
      </c>
      <c r="K172" s="128">
        <f t="shared" si="40"/>
        <v>45.283018867924525</v>
      </c>
      <c r="L172" s="115">
        <v>3</v>
      </c>
      <c r="M172" s="129">
        <f t="shared" si="41"/>
        <v>5.6603773584905657</v>
      </c>
      <c r="N172" s="130"/>
      <c r="O172" s="130"/>
      <c r="P172" s="115" t="s">
        <v>1273</v>
      </c>
      <c r="Q172" s="115" t="s">
        <v>1274</v>
      </c>
      <c r="R172" s="115" t="s">
        <v>144</v>
      </c>
      <c r="S172" s="115" t="s">
        <v>1413</v>
      </c>
      <c r="T172" s="115"/>
      <c r="U172" s="131">
        <v>3551</v>
      </c>
      <c r="V172" s="131">
        <f>IFERROR(_xlfn.XLOOKUP($S172,'[47]Tgl 8'!$E$108:$E$156,'[47]Tgl 8'!$F$108:$F$156),0)</f>
        <v>0</v>
      </c>
      <c r="W172" s="128">
        <f t="shared" si="42"/>
        <v>0</v>
      </c>
      <c r="X172" s="131">
        <f>IFERROR(_xlfn.XLOOKUP($S172,'[47]Tgl 8'!$E$108:$E$156,'[47]Tgl 8'!$H$108:$H$156),0)</f>
        <v>0</v>
      </c>
      <c r="Y172" s="128">
        <f t="shared" si="43"/>
        <v>0</v>
      </c>
      <c r="Z172" s="131">
        <f>IFERROR(_xlfn.XLOOKUP($S172,'[47]Tgl 8'!$E$108:$E$156,'[47]Tgl 8'!$G$108:$G$156),0)</f>
        <v>0</v>
      </c>
      <c r="AA172" s="129">
        <f t="shared" si="44"/>
        <v>0</v>
      </c>
      <c r="AB172" s="130"/>
      <c r="AC172" s="130"/>
      <c r="AD172" s="115" t="s">
        <v>1273</v>
      </c>
      <c r="AE172" s="115" t="s">
        <v>1274</v>
      </c>
      <c r="AF172" s="115" t="s">
        <v>144</v>
      </c>
      <c r="AG172" s="115" t="s">
        <v>1413</v>
      </c>
      <c r="AH172" s="115"/>
      <c r="AI172" s="131">
        <v>3551</v>
      </c>
      <c r="AJ172" s="131">
        <f>IFERROR(_xlfn.XLOOKUP($AG172,[47]Sheet1!$E$108:$E$132,[47]Sheet1!F$108:F$132),0)</f>
        <v>0</v>
      </c>
      <c r="AK172" s="128">
        <f t="shared" si="45"/>
        <v>0</v>
      </c>
      <c r="AL172" s="131">
        <f>IFERROR(_xlfn.XLOOKUP($AG172,[47]Sheet1!$E$108:$E$132,[47]Sheet1!H$108:H$132),0)</f>
        <v>0</v>
      </c>
      <c r="AM172" s="128">
        <f t="shared" si="46"/>
        <v>0</v>
      </c>
      <c r="AN172" s="131">
        <f>IFERROR(_xlfn.XLOOKUP($AG172,[47]Sheet1!$E$108:$E$132,[47]Sheet1!G$108:G$132),0)</f>
        <v>0</v>
      </c>
      <c r="AO172" s="129">
        <f t="shared" si="47"/>
        <v>0</v>
      </c>
    </row>
    <row r="173" spans="2:41" x14ac:dyDescent="0.2">
      <c r="B173" s="115" t="s">
        <v>1273</v>
      </c>
      <c r="C173" s="115" t="s">
        <v>1274</v>
      </c>
      <c r="D173" s="115" t="s">
        <v>144</v>
      </c>
      <c r="E173" s="115" t="s">
        <v>1414</v>
      </c>
      <c r="F173" s="115"/>
      <c r="G173" s="131">
        <v>3871</v>
      </c>
      <c r="H173" s="115">
        <v>70</v>
      </c>
      <c r="I173" s="128">
        <f t="shared" si="39"/>
        <v>1.8083182640144666</v>
      </c>
      <c r="J173" s="115">
        <v>44</v>
      </c>
      <c r="K173" s="128">
        <f t="shared" si="40"/>
        <v>62.857142857142861</v>
      </c>
      <c r="L173" s="115">
        <v>7</v>
      </c>
      <c r="M173" s="129">
        <f t="shared" si="41"/>
        <v>10</v>
      </c>
      <c r="N173" s="130"/>
      <c r="O173" s="130"/>
      <c r="P173" s="115" t="s">
        <v>1273</v>
      </c>
      <c r="Q173" s="115" t="s">
        <v>1274</v>
      </c>
      <c r="R173" s="115" t="s">
        <v>144</v>
      </c>
      <c r="S173" s="115" t="s">
        <v>1414</v>
      </c>
      <c r="T173" s="115"/>
      <c r="U173" s="131">
        <v>3871</v>
      </c>
      <c r="V173" s="131">
        <f>IFERROR(_xlfn.XLOOKUP($S173,'[47]Tgl 8'!$E$108:$E$156,'[47]Tgl 8'!$F$108:$F$156),0)</f>
        <v>0</v>
      </c>
      <c r="W173" s="128">
        <f t="shared" si="42"/>
        <v>0</v>
      </c>
      <c r="X173" s="131">
        <f>IFERROR(_xlfn.XLOOKUP($S173,'[47]Tgl 8'!$E$108:$E$156,'[47]Tgl 8'!$H$108:$H$156),0)</f>
        <v>0</v>
      </c>
      <c r="Y173" s="128">
        <f t="shared" si="43"/>
        <v>0</v>
      </c>
      <c r="Z173" s="131">
        <f>IFERROR(_xlfn.XLOOKUP($S173,'[47]Tgl 8'!$E$108:$E$156,'[47]Tgl 8'!$G$108:$G$156),0)</f>
        <v>0</v>
      </c>
      <c r="AA173" s="129">
        <f t="shared" si="44"/>
        <v>0</v>
      </c>
      <c r="AB173" s="130"/>
      <c r="AC173" s="130"/>
      <c r="AD173" s="115" t="s">
        <v>1273</v>
      </c>
      <c r="AE173" s="115" t="s">
        <v>1274</v>
      </c>
      <c r="AF173" s="115" t="s">
        <v>144</v>
      </c>
      <c r="AG173" s="115" t="s">
        <v>1414</v>
      </c>
      <c r="AH173" s="115"/>
      <c r="AI173" s="131">
        <v>3871</v>
      </c>
      <c r="AJ173" s="131">
        <f>IFERROR(_xlfn.XLOOKUP($AG173,[47]Sheet1!$E$108:$E$132,[47]Sheet1!F$108:F$132),0)</f>
        <v>0</v>
      </c>
      <c r="AK173" s="128">
        <f t="shared" si="45"/>
        <v>0</v>
      </c>
      <c r="AL173" s="131">
        <f>IFERROR(_xlfn.XLOOKUP($AG173,[47]Sheet1!$E$108:$E$132,[47]Sheet1!H$108:H$132),0)</f>
        <v>0</v>
      </c>
      <c r="AM173" s="128">
        <f t="shared" si="46"/>
        <v>0</v>
      </c>
      <c r="AN173" s="131">
        <f>IFERROR(_xlfn.XLOOKUP($AG173,[47]Sheet1!$E$108:$E$132,[47]Sheet1!G$108:G$132),0)</f>
        <v>0</v>
      </c>
      <c r="AO173" s="129">
        <f t="shared" si="47"/>
        <v>0</v>
      </c>
    </row>
    <row r="174" spans="2:41" x14ac:dyDescent="0.2">
      <c r="B174" s="115" t="s">
        <v>1273</v>
      </c>
      <c r="C174" s="115" t="s">
        <v>1274</v>
      </c>
      <c r="D174" s="115" t="s">
        <v>173</v>
      </c>
      <c r="E174" s="115" t="s">
        <v>1415</v>
      </c>
      <c r="F174" s="115"/>
      <c r="G174" s="131">
        <v>3694</v>
      </c>
      <c r="H174" s="115">
        <v>393</v>
      </c>
      <c r="I174" s="128">
        <f t="shared" si="39"/>
        <v>10.638873849485654</v>
      </c>
      <c r="J174" s="115">
        <v>218</v>
      </c>
      <c r="K174" s="128">
        <f t="shared" si="40"/>
        <v>55.470737913486005</v>
      </c>
      <c r="L174" s="115">
        <v>25</v>
      </c>
      <c r="M174" s="129">
        <f t="shared" si="41"/>
        <v>6.3613231552162848</v>
      </c>
      <c r="N174" s="130"/>
      <c r="O174" s="130"/>
      <c r="P174" s="115" t="s">
        <v>1273</v>
      </c>
      <c r="Q174" s="115" t="s">
        <v>1274</v>
      </c>
      <c r="R174" s="115" t="s">
        <v>173</v>
      </c>
      <c r="S174" s="115" t="s">
        <v>1415</v>
      </c>
      <c r="T174" s="115"/>
      <c r="U174" s="131">
        <v>3694</v>
      </c>
      <c r="V174" s="131">
        <f>IFERROR(_xlfn.XLOOKUP($S174,'[47]Tgl 8'!$E$108:$E$156,'[47]Tgl 8'!$F$108:$F$156),0)</f>
        <v>33</v>
      </c>
      <c r="W174" s="128">
        <f t="shared" si="42"/>
        <v>0.89334055224688691</v>
      </c>
      <c r="X174" s="131">
        <f>IFERROR(_xlfn.XLOOKUP($S174,'[47]Tgl 8'!$E$108:$E$156,'[47]Tgl 8'!$H$108:$H$156),0)</f>
        <v>9</v>
      </c>
      <c r="Y174" s="128">
        <f t="shared" si="43"/>
        <v>27.27272727272727</v>
      </c>
      <c r="Z174" s="131">
        <f>IFERROR(_xlfn.XLOOKUP($S174,'[47]Tgl 8'!$E$108:$E$156,'[47]Tgl 8'!$G$108:$G$156),0)</f>
        <v>6</v>
      </c>
      <c r="AA174" s="129">
        <f t="shared" si="44"/>
        <v>18.18181818181818</v>
      </c>
      <c r="AB174" s="130"/>
      <c r="AC174" s="130"/>
      <c r="AD174" s="115" t="s">
        <v>1273</v>
      </c>
      <c r="AE174" s="115" t="s">
        <v>1274</v>
      </c>
      <c r="AF174" s="115" t="s">
        <v>173</v>
      </c>
      <c r="AG174" s="115" t="s">
        <v>1415</v>
      </c>
      <c r="AH174" s="115"/>
      <c r="AI174" s="131">
        <v>3694</v>
      </c>
      <c r="AJ174" s="131">
        <f>IFERROR(_xlfn.XLOOKUP($AG174,[47]Sheet1!$E$108:$E$132,[47]Sheet1!F$108:F$132),0)</f>
        <v>180</v>
      </c>
      <c r="AK174" s="128">
        <f t="shared" si="45"/>
        <v>4.8727666486193835</v>
      </c>
      <c r="AL174" s="131">
        <f>IFERROR(_xlfn.XLOOKUP($AG174,[47]Sheet1!$E$108:$E$132,[47]Sheet1!H$108:H$132),0)</f>
        <v>63</v>
      </c>
      <c r="AM174" s="128">
        <f t="shared" si="46"/>
        <v>35</v>
      </c>
      <c r="AN174" s="131">
        <f>IFERROR(_xlfn.XLOOKUP($AG174,[47]Sheet1!$E$108:$E$132,[47]Sheet1!G$108:G$132),0)</f>
        <v>117</v>
      </c>
      <c r="AO174" s="129">
        <f t="shared" si="47"/>
        <v>65</v>
      </c>
    </row>
    <row r="175" spans="2:41" x14ac:dyDescent="0.2">
      <c r="B175" s="115" t="s">
        <v>1273</v>
      </c>
      <c r="C175" s="115" t="s">
        <v>1274</v>
      </c>
      <c r="D175" s="115" t="s">
        <v>173</v>
      </c>
      <c r="E175" s="115" t="s">
        <v>1028</v>
      </c>
      <c r="F175" s="115"/>
      <c r="G175" s="131">
        <v>4005</v>
      </c>
      <c r="H175" s="115">
        <v>372</v>
      </c>
      <c r="I175" s="128">
        <f t="shared" si="39"/>
        <v>9.2883895131086156</v>
      </c>
      <c r="J175" s="115">
        <v>212</v>
      </c>
      <c r="K175" s="128">
        <f t="shared" si="40"/>
        <v>56.989247311827953</v>
      </c>
      <c r="L175" s="115">
        <v>29</v>
      </c>
      <c r="M175" s="129">
        <f t="shared" si="41"/>
        <v>7.7956989247311821</v>
      </c>
      <c r="N175" s="130"/>
      <c r="O175" s="130"/>
      <c r="P175" s="115" t="s">
        <v>1273</v>
      </c>
      <c r="Q175" s="115" t="s">
        <v>1274</v>
      </c>
      <c r="R175" s="115" t="s">
        <v>173</v>
      </c>
      <c r="S175" s="115" t="s">
        <v>1028</v>
      </c>
      <c r="T175" s="115"/>
      <c r="U175" s="131">
        <v>4005</v>
      </c>
      <c r="V175" s="131">
        <f>IFERROR(_xlfn.XLOOKUP($S175,'[47]Tgl 8'!$E$108:$E$156,'[47]Tgl 8'!$F$108:$F$156),0)</f>
        <v>34</v>
      </c>
      <c r="W175" s="128">
        <f t="shared" si="42"/>
        <v>0.84893882646691643</v>
      </c>
      <c r="X175" s="131">
        <f>IFERROR(_xlfn.XLOOKUP($S175,'[47]Tgl 8'!$E$108:$E$156,'[47]Tgl 8'!$H$108:$H$156),0)</f>
        <v>8</v>
      </c>
      <c r="Y175" s="128">
        <f t="shared" si="43"/>
        <v>23.52941176470588</v>
      </c>
      <c r="Z175" s="131">
        <f>IFERROR(_xlfn.XLOOKUP($S175,'[47]Tgl 8'!$E$108:$E$156,'[47]Tgl 8'!$G$108:$G$156),0)</f>
        <v>14</v>
      </c>
      <c r="AA175" s="129">
        <f t="shared" si="44"/>
        <v>41.17647058823529</v>
      </c>
      <c r="AB175" s="130"/>
      <c r="AC175" s="130"/>
      <c r="AD175" s="115" t="s">
        <v>1273</v>
      </c>
      <c r="AE175" s="115" t="s">
        <v>1274</v>
      </c>
      <c r="AF175" s="115" t="s">
        <v>173</v>
      </c>
      <c r="AG175" s="115" t="s">
        <v>1028</v>
      </c>
      <c r="AH175" s="115"/>
      <c r="AI175" s="131">
        <v>4005</v>
      </c>
      <c r="AJ175" s="131">
        <f>IFERROR(_xlfn.XLOOKUP($AG175,[47]Sheet1!$E$108:$E$132,[47]Sheet1!F$108:F$132),0)</f>
        <v>200</v>
      </c>
      <c r="AK175" s="128">
        <f t="shared" si="45"/>
        <v>4.9937578027465674</v>
      </c>
      <c r="AL175" s="131">
        <f>IFERROR(_xlfn.XLOOKUP($AG175,[47]Sheet1!$E$108:$E$132,[47]Sheet1!H$108:H$132),0)</f>
        <v>56</v>
      </c>
      <c r="AM175" s="128">
        <f t="shared" si="46"/>
        <v>28</v>
      </c>
      <c r="AN175" s="131">
        <f>IFERROR(_xlfn.XLOOKUP($AG175,[47]Sheet1!$E$108:$E$132,[47]Sheet1!G$108:G$132),0)</f>
        <v>129</v>
      </c>
      <c r="AO175" s="129">
        <f t="shared" si="47"/>
        <v>64.5</v>
      </c>
    </row>
    <row r="176" spans="2:41" x14ac:dyDescent="0.2">
      <c r="B176" s="115" t="s">
        <v>1273</v>
      </c>
      <c r="C176" s="115" t="s">
        <v>1274</v>
      </c>
      <c r="D176" s="115" t="s">
        <v>173</v>
      </c>
      <c r="E176" s="115" t="s">
        <v>1011</v>
      </c>
      <c r="F176" s="115"/>
      <c r="G176" s="131">
        <v>3496</v>
      </c>
      <c r="H176" s="115">
        <v>333</v>
      </c>
      <c r="I176" s="128">
        <f t="shared" si="39"/>
        <v>9.5251716247139591</v>
      </c>
      <c r="J176" s="115">
        <v>156</v>
      </c>
      <c r="K176" s="128">
        <f t="shared" si="40"/>
        <v>46.846846846846844</v>
      </c>
      <c r="L176" s="115">
        <v>42</v>
      </c>
      <c r="M176" s="129">
        <f t="shared" si="41"/>
        <v>12.612612612612612</v>
      </c>
      <c r="N176" s="130"/>
      <c r="O176" s="130"/>
      <c r="P176" s="115" t="s">
        <v>1273</v>
      </c>
      <c r="Q176" s="115" t="s">
        <v>1274</v>
      </c>
      <c r="R176" s="115" t="s">
        <v>173</v>
      </c>
      <c r="S176" s="115" t="s">
        <v>1011</v>
      </c>
      <c r="T176" s="115"/>
      <c r="U176" s="131">
        <v>3496</v>
      </c>
      <c r="V176" s="131">
        <f>IFERROR(_xlfn.XLOOKUP($S176,'[47]Tgl 8'!$E$108:$E$156,'[47]Tgl 8'!$F$108:$F$156),0)</f>
        <v>0</v>
      </c>
      <c r="W176" s="128">
        <f t="shared" si="42"/>
        <v>0</v>
      </c>
      <c r="X176" s="131">
        <f>IFERROR(_xlfn.XLOOKUP($S176,'[47]Tgl 8'!$E$108:$E$156,'[47]Tgl 8'!$H$108:$H$156),0)</f>
        <v>0</v>
      </c>
      <c r="Y176" s="128">
        <f t="shared" si="43"/>
        <v>0</v>
      </c>
      <c r="Z176" s="131">
        <f>IFERROR(_xlfn.XLOOKUP($S176,'[47]Tgl 8'!$E$108:$E$156,'[47]Tgl 8'!$G$108:$G$156),0)</f>
        <v>0</v>
      </c>
      <c r="AA176" s="129">
        <f t="shared" si="44"/>
        <v>0</v>
      </c>
      <c r="AB176" s="130"/>
      <c r="AC176" s="130"/>
      <c r="AD176" s="115" t="s">
        <v>1273</v>
      </c>
      <c r="AE176" s="115" t="s">
        <v>1274</v>
      </c>
      <c r="AF176" s="115" t="s">
        <v>173</v>
      </c>
      <c r="AG176" s="115" t="s">
        <v>1011</v>
      </c>
      <c r="AH176" s="115"/>
      <c r="AI176" s="131">
        <v>3496</v>
      </c>
      <c r="AJ176" s="131">
        <f>IFERROR(_xlfn.XLOOKUP($AG176,[47]Sheet1!$E$108:$E$132,[47]Sheet1!F$108:F$132),0)</f>
        <v>0</v>
      </c>
      <c r="AK176" s="128">
        <f t="shared" si="45"/>
        <v>0</v>
      </c>
      <c r="AL176" s="131">
        <f>IFERROR(_xlfn.XLOOKUP($AG176,[47]Sheet1!$E$108:$E$132,[47]Sheet1!H$108:H$132),0)</f>
        <v>0</v>
      </c>
      <c r="AM176" s="128">
        <f t="shared" si="46"/>
        <v>0</v>
      </c>
      <c r="AN176" s="131">
        <f>IFERROR(_xlfn.XLOOKUP($AG176,[47]Sheet1!$E$108:$E$132,[47]Sheet1!G$108:G$132),0)</f>
        <v>0</v>
      </c>
      <c r="AO176" s="129">
        <f t="shared" si="47"/>
        <v>0</v>
      </c>
    </row>
    <row r="177" spans="2:41" x14ac:dyDescent="0.2">
      <c r="B177" s="115" t="s">
        <v>1273</v>
      </c>
      <c r="C177" s="115" t="s">
        <v>1274</v>
      </c>
      <c r="D177" s="115" t="s">
        <v>173</v>
      </c>
      <c r="E177" s="115" t="s">
        <v>1004</v>
      </c>
      <c r="F177" s="115"/>
      <c r="G177" s="131">
        <v>4374</v>
      </c>
      <c r="H177" s="115">
        <v>312</v>
      </c>
      <c r="I177" s="128">
        <f t="shared" si="39"/>
        <v>7.1330589849108366</v>
      </c>
      <c r="J177" s="115">
        <v>114</v>
      </c>
      <c r="K177" s="128">
        <f t="shared" si="40"/>
        <v>36.53846153846154</v>
      </c>
      <c r="L177" s="115">
        <v>83</v>
      </c>
      <c r="M177" s="129">
        <f t="shared" si="41"/>
        <v>26.602564102564102</v>
      </c>
      <c r="N177" s="130"/>
      <c r="O177" s="130"/>
      <c r="P177" s="115" t="s">
        <v>1273</v>
      </c>
      <c r="Q177" s="115" t="s">
        <v>1274</v>
      </c>
      <c r="R177" s="115" t="s">
        <v>173</v>
      </c>
      <c r="S177" s="115" t="s">
        <v>1004</v>
      </c>
      <c r="T177" s="115"/>
      <c r="U177" s="131">
        <v>4374</v>
      </c>
      <c r="V177" s="131">
        <f>IFERROR(_xlfn.XLOOKUP($S177,'[47]Tgl 8'!$E$108:$E$156,'[47]Tgl 8'!$F$108:$F$156),0)</f>
        <v>0</v>
      </c>
      <c r="W177" s="128">
        <f t="shared" si="42"/>
        <v>0</v>
      </c>
      <c r="X177" s="131">
        <f>IFERROR(_xlfn.XLOOKUP($S177,'[47]Tgl 8'!$E$108:$E$156,'[47]Tgl 8'!$H$108:$H$156),0)</f>
        <v>0</v>
      </c>
      <c r="Y177" s="128">
        <f t="shared" si="43"/>
        <v>0</v>
      </c>
      <c r="Z177" s="131">
        <f>IFERROR(_xlfn.XLOOKUP($S177,'[47]Tgl 8'!$E$108:$E$156,'[47]Tgl 8'!$G$108:$G$156),0)</f>
        <v>0</v>
      </c>
      <c r="AA177" s="129">
        <f t="shared" si="44"/>
        <v>0</v>
      </c>
      <c r="AB177" s="130"/>
      <c r="AC177" s="130"/>
      <c r="AD177" s="115" t="s">
        <v>1273</v>
      </c>
      <c r="AE177" s="115" t="s">
        <v>1274</v>
      </c>
      <c r="AF177" s="115" t="s">
        <v>173</v>
      </c>
      <c r="AG177" s="115" t="s">
        <v>1004</v>
      </c>
      <c r="AH177" s="115"/>
      <c r="AI177" s="131">
        <v>4374</v>
      </c>
      <c r="AJ177" s="131">
        <f>IFERROR(_xlfn.XLOOKUP($AG177,[47]Sheet1!$E$108:$E$132,[47]Sheet1!F$108:F$132),0)</f>
        <v>0</v>
      </c>
      <c r="AK177" s="128">
        <f t="shared" si="45"/>
        <v>0</v>
      </c>
      <c r="AL177" s="131">
        <f>IFERROR(_xlfn.XLOOKUP($AG177,[47]Sheet1!$E$108:$E$132,[47]Sheet1!H$108:H$132),0)</f>
        <v>0</v>
      </c>
      <c r="AM177" s="128">
        <f t="shared" si="46"/>
        <v>0</v>
      </c>
      <c r="AN177" s="131">
        <f>IFERROR(_xlfn.XLOOKUP($AG177,[47]Sheet1!$E$108:$E$132,[47]Sheet1!G$108:G$132),0)</f>
        <v>0</v>
      </c>
      <c r="AO177" s="129">
        <f t="shared" si="47"/>
        <v>0</v>
      </c>
    </row>
    <row r="178" spans="2:41" x14ac:dyDescent="0.2">
      <c r="B178" s="115" t="s">
        <v>1273</v>
      </c>
      <c r="C178" s="115" t="s">
        <v>1274</v>
      </c>
      <c r="D178" s="115" t="s">
        <v>173</v>
      </c>
      <c r="E178" s="115" t="s">
        <v>1416</v>
      </c>
      <c r="F178" s="115"/>
      <c r="G178" s="131">
        <v>2621</v>
      </c>
      <c r="H178" s="115">
        <v>307</v>
      </c>
      <c r="I178" s="128">
        <f t="shared" si="39"/>
        <v>11.713086608164822</v>
      </c>
      <c r="J178" s="115">
        <v>105</v>
      </c>
      <c r="K178" s="128">
        <f t="shared" si="40"/>
        <v>34.20195439739414</v>
      </c>
      <c r="L178" s="115">
        <v>50</v>
      </c>
      <c r="M178" s="129">
        <f t="shared" si="41"/>
        <v>16.286644951140065</v>
      </c>
      <c r="N178" s="130"/>
      <c r="O178" s="130"/>
      <c r="P178" s="115" t="s">
        <v>1273</v>
      </c>
      <c r="Q178" s="115" t="s">
        <v>1274</v>
      </c>
      <c r="R178" s="115" t="s">
        <v>173</v>
      </c>
      <c r="S178" s="115" t="s">
        <v>1416</v>
      </c>
      <c r="T178" s="115"/>
      <c r="U178" s="131">
        <v>2621</v>
      </c>
      <c r="V178" s="131">
        <f>IFERROR(_xlfn.XLOOKUP($S178,'[47]Tgl 8'!$E$108:$E$156,'[47]Tgl 8'!$F$108:$F$156),0)</f>
        <v>0</v>
      </c>
      <c r="W178" s="128">
        <f t="shared" si="42"/>
        <v>0</v>
      </c>
      <c r="X178" s="131">
        <f>IFERROR(_xlfn.XLOOKUP($S178,'[47]Tgl 8'!$E$108:$E$156,'[47]Tgl 8'!$H$108:$H$156),0)</f>
        <v>0</v>
      </c>
      <c r="Y178" s="128">
        <f t="shared" si="43"/>
        <v>0</v>
      </c>
      <c r="Z178" s="131">
        <f>IFERROR(_xlfn.XLOOKUP($S178,'[47]Tgl 8'!$E$108:$E$156,'[47]Tgl 8'!$G$108:$G$156),0)</f>
        <v>0</v>
      </c>
      <c r="AA178" s="129">
        <f t="shared" si="44"/>
        <v>0</v>
      </c>
      <c r="AB178" s="130"/>
      <c r="AC178" s="130"/>
      <c r="AD178" s="115" t="s">
        <v>1273</v>
      </c>
      <c r="AE178" s="115" t="s">
        <v>1274</v>
      </c>
      <c r="AF178" s="115" t="s">
        <v>173</v>
      </c>
      <c r="AG178" s="115" t="s">
        <v>1416</v>
      </c>
      <c r="AH178" s="115"/>
      <c r="AI178" s="131">
        <v>2621</v>
      </c>
      <c r="AJ178" s="131">
        <f>IFERROR(_xlfn.XLOOKUP($AG178,[47]Sheet1!$E$108:$E$132,[47]Sheet1!F$108:F$132),0)</f>
        <v>0</v>
      </c>
      <c r="AK178" s="128">
        <f t="shared" si="45"/>
        <v>0</v>
      </c>
      <c r="AL178" s="131">
        <f>IFERROR(_xlfn.XLOOKUP($AG178,[47]Sheet1!$E$108:$E$132,[47]Sheet1!H$108:H$132),0)</f>
        <v>0</v>
      </c>
      <c r="AM178" s="128">
        <f t="shared" si="46"/>
        <v>0</v>
      </c>
      <c r="AN178" s="131">
        <f>IFERROR(_xlfn.XLOOKUP($AG178,[47]Sheet1!$E$108:$E$132,[47]Sheet1!G$108:G$132),0)</f>
        <v>0</v>
      </c>
      <c r="AO178" s="129">
        <f t="shared" si="47"/>
        <v>0</v>
      </c>
    </row>
    <row r="179" spans="2:41" x14ac:dyDescent="0.2">
      <c r="B179" s="115" t="s">
        <v>1273</v>
      </c>
      <c r="C179" s="115" t="s">
        <v>1274</v>
      </c>
      <c r="D179" s="115" t="s">
        <v>173</v>
      </c>
      <c r="E179" s="115" t="s">
        <v>1417</v>
      </c>
      <c r="F179" s="115"/>
      <c r="G179" s="131">
        <v>3151</v>
      </c>
      <c r="H179" s="115">
        <v>315</v>
      </c>
      <c r="I179" s="128">
        <f t="shared" si="39"/>
        <v>9.9968264043160904</v>
      </c>
      <c r="J179" s="115">
        <v>143</v>
      </c>
      <c r="K179" s="128">
        <f t="shared" si="40"/>
        <v>45.396825396825399</v>
      </c>
      <c r="L179" s="115">
        <v>31</v>
      </c>
      <c r="M179" s="129">
        <f t="shared" si="41"/>
        <v>9.8412698412698418</v>
      </c>
      <c r="N179" s="130"/>
      <c r="O179" s="130"/>
      <c r="P179" s="115" t="s">
        <v>1273</v>
      </c>
      <c r="Q179" s="115" t="s">
        <v>1274</v>
      </c>
      <c r="R179" s="115" t="s">
        <v>173</v>
      </c>
      <c r="S179" s="115" t="s">
        <v>1417</v>
      </c>
      <c r="T179" s="115"/>
      <c r="U179" s="131">
        <v>3151</v>
      </c>
      <c r="V179" s="131">
        <f>IFERROR(_xlfn.XLOOKUP($S179,'[47]Tgl 8'!$E$108:$E$156,'[47]Tgl 8'!$F$108:$F$156),0)</f>
        <v>0</v>
      </c>
      <c r="W179" s="128">
        <f t="shared" si="42"/>
        <v>0</v>
      </c>
      <c r="X179" s="131">
        <f>IFERROR(_xlfn.XLOOKUP($S179,'[47]Tgl 8'!$E$108:$E$156,'[47]Tgl 8'!$H$108:$H$156),0)</f>
        <v>0</v>
      </c>
      <c r="Y179" s="128">
        <f t="shared" si="43"/>
        <v>0</v>
      </c>
      <c r="Z179" s="131">
        <f>IFERROR(_xlfn.XLOOKUP($S179,'[47]Tgl 8'!$E$108:$E$156,'[47]Tgl 8'!$G$108:$G$156),0)</f>
        <v>0</v>
      </c>
      <c r="AA179" s="129">
        <f t="shared" si="44"/>
        <v>0</v>
      </c>
      <c r="AB179" s="130"/>
      <c r="AC179" s="130"/>
      <c r="AD179" s="115" t="s">
        <v>1273</v>
      </c>
      <c r="AE179" s="115" t="s">
        <v>1274</v>
      </c>
      <c r="AF179" s="115" t="s">
        <v>173</v>
      </c>
      <c r="AG179" s="115" t="s">
        <v>1417</v>
      </c>
      <c r="AH179" s="115"/>
      <c r="AI179" s="131">
        <v>3151</v>
      </c>
      <c r="AJ179" s="131">
        <f>IFERROR(_xlfn.XLOOKUP($AG179,[47]Sheet1!$E$108:$E$132,[47]Sheet1!F$108:F$132),0)</f>
        <v>0</v>
      </c>
      <c r="AK179" s="128">
        <f t="shared" si="45"/>
        <v>0</v>
      </c>
      <c r="AL179" s="131">
        <f>IFERROR(_xlfn.XLOOKUP($AG179,[47]Sheet1!$E$108:$E$132,[47]Sheet1!H$108:H$132),0)</f>
        <v>0</v>
      </c>
      <c r="AM179" s="128">
        <f t="shared" si="46"/>
        <v>0</v>
      </c>
      <c r="AN179" s="131">
        <f>IFERROR(_xlfn.XLOOKUP($AG179,[47]Sheet1!$E$108:$E$132,[47]Sheet1!G$108:G$132),0)</f>
        <v>0</v>
      </c>
      <c r="AO179" s="129">
        <f t="shared" si="47"/>
        <v>0</v>
      </c>
    </row>
    <row r="180" spans="2:41" x14ac:dyDescent="0.2">
      <c r="B180" s="115" t="s">
        <v>1273</v>
      </c>
      <c r="C180" s="115" t="s">
        <v>1274</v>
      </c>
      <c r="D180" s="115" t="s">
        <v>173</v>
      </c>
      <c r="E180" s="115" t="s">
        <v>1418</v>
      </c>
      <c r="F180" s="115"/>
      <c r="G180" s="131">
        <v>2483</v>
      </c>
      <c r="H180" s="115">
        <v>413</v>
      </c>
      <c r="I180" s="128">
        <f t="shared" si="39"/>
        <v>16.633105114780509</v>
      </c>
      <c r="J180" s="115">
        <v>211</v>
      </c>
      <c r="K180" s="128">
        <f t="shared" si="40"/>
        <v>51.08958837772397</v>
      </c>
      <c r="L180" s="115">
        <v>167</v>
      </c>
      <c r="M180" s="129">
        <f t="shared" si="41"/>
        <v>40.435835351089587</v>
      </c>
      <c r="N180" s="130"/>
      <c r="O180" s="130"/>
      <c r="P180" s="115" t="s">
        <v>1273</v>
      </c>
      <c r="Q180" s="115" t="s">
        <v>1274</v>
      </c>
      <c r="R180" s="115" t="s">
        <v>173</v>
      </c>
      <c r="S180" s="115" t="s">
        <v>1418</v>
      </c>
      <c r="T180" s="115"/>
      <c r="U180" s="131">
        <v>2483</v>
      </c>
      <c r="V180" s="131">
        <f>IFERROR(_xlfn.XLOOKUP($S180,'[47]Tgl 8'!$E$108:$E$156,'[47]Tgl 8'!$F$108:$F$156),0)</f>
        <v>0</v>
      </c>
      <c r="W180" s="128">
        <f t="shared" si="42"/>
        <v>0</v>
      </c>
      <c r="X180" s="131">
        <f>IFERROR(_xlfn.XLOOKUP($S180,'[47]Tgl 8'!$E$108:$E$156,'[47]Tgl 8'!$H$108:$H$156),0)</f>
        <v>0</v>
      </c>
      <c r="Y180" s="128">
        <f t="shared" si="43"/>
        <v>0</v>
      </c>
      <c r="Z180" s="131">
        <f>IFERROR(_xlfn.XLOOKUP($S180,'[47]Tgl 8'!$E$108:$E$156,'[47]Tgl 8'!$G$108:$G$156),0)</f>
        <v>0</v>
      </c>
      <c r="AA180" s="129">
        <f t="shared" si="44"/>
        <v>0</v>
      </c>
      <c r="AB180" s="130"/>
      <c r="AC180" s="130"/>
      <c r="AD180" s="115" t="s">
        <v>1273</v>
      </c>
      <c r="AE180" s="115" t="s">
        <v>1274</v>
      </c>
      <c r="AF180" s="115" t="s">
        <v>173</v>
      </c>
      <c r="AG180" s="115" t="s">
        <v>1418</v>
      </c>
      <c r="AH180" s="115"/>
      <c r="AI180" s="131">
        <v>2483</v>
      </c>
      <c r="AJ180" s="131">
        <f>IFERROR(_xlfn.XLOOKUP($AG180,[47]Sheet1!$E$108:$E$132,[47]Sheet1!F$108:F$132),0)</f>
        <v>0</v>
      </c>
      <c r="AK180" s="128">
        <f t="shared" si="45"/>
        <v>0</v>
      </c>
      <c r="AL180" s="131">
        <f>IFERROR(_xlfn.XLOOKUP($AG180,[47]Sheet1!$E$108:$E$132,[47]Sheet1!H$108:H$132),0)</f>
        <v>0</v>
      </c>
      <c r="AM180" s="128">
        <f t="shared" si="46"/>
        <v>0</v>
      </c>
      <c r="AN180" s="131">
        <f>IFERROR(_xlfn.XLOOKUP($AG180,[47]Sheet1!$E$108:$E$132,[47]Sheet1!G$108:G$132),0)</f>
        <v>0</v>
      </c>
      <c r="AO180" s="129">
        <f t="shared" si="47"/>
        <v>0</v>
      </c>
    </row>
    <row r="181" spans="2:41" x14ac:dyDescent="0.2">
      <c r="B181" s="115" t="s">
        <v>1273</v>
      </c>
      <c r="C181" s="115" t="s">
        <v>1274</v>
      </c>
      <c r="D181" s="115" t="s">
        <v>173</v>
      </c>
      <c r="E181" s="115" t="s">
        <v>1419</v>
      </c>
      <c r="F181" s="115"/>
      <c r="G181" s="131">
        <v>2997</v>
      </c>
      <c r="H181" s="115">
        <v>324</v>
      </c>
      <c r="I181" s="128">
        <f t="shared" si="39"/>
        <v>10.810810810810811</v>
      </c>
      <c r="J181" s="115">
        <v>102</v>
      </c>
      <c r="K181" s="128">
        <f t="shared" si="40"/>
        <v>31.481481481481481</v>
      </c>
      <c r="L181" s="115">
        <v>42</v>
      </c>
      <c r="M181" s="129">
        <f t="shared" si="41"/>
        <v>12.962962962962962</v>
      </c>
      <c r="N181" s="130"/>
      <c r="O181" s="130"/>
      <c r="P181" s="115" t="s">
        <v>1273</v>
      </c>
      <c r="Q181" s="115" t="s">
        <v>1274</v>
      </c>
      <c r="R181" s="115" t="s">
        <v>173</v>
      </c>
      <c r="S181" s="115" t="s">
        <v>1419</v>
      </c>
      <c r="T181" s="115"/>
      <c r="U181" s="131">
        <v>2997</v>
      </c>
      <c r="V181" s="131">
        <f>IFERROR(_xlfn.XLOOKUP($S181,'[47]Tgl 8'!$E$108:$E$156,'[47]Tgl 8'!$F$108:$F$156),0)</f>
        <v>0</v>
      </c>
      <c r="W181" s="128">
        <f t="shared" si="42"/>
        <v>0</v>
      </c>
      <c r="X181" s="131">
        <f>IFERROR(_xlfn.XLOOKUP($S181,'[47]Tgl 8'!$E$108:$E$156,'[47]Tgl 8'!$H$108:$H$156),0)</f>
        <v>0</v>
      </c>
      <c r="Y181" s="128">
        <f t="shared" si="43"/>
        <v>0</v>
      </c>
      <c r="Z181" s="131">
        <f>IFERROR(_xlfn.XLOOKUP($S181,'[47]Tgl 8'!$E$108:$E$156,'[47]Tgl 8'!$G$108:$G$156),0)</f>
        <v>0</v>
      </c>
      <c r="AA181" s="129">
        <f t="shared" si="44"/>
        <v>0</v>
      </c>
      <c r="AB181" s="130"/>
      <c r="AC181" s="130"/>
      <c r="AD181" s="115" t="s">
        <v>1273</v>
      </c>
      <c r="AE181" s="115" t="s">
        <v>1274</v>
      </c>
      <c r="AF181" s="115" t="s">
        <v>173</v>
      </c>
      <c r="AG181" s="115" t="s">
        <v>1419</v>
      </c>
      <c r="AH181" s="115"/>
      <c r="AI181" s="131">
        <v>2997</v>
      </c>
      <c r="AJ181" s="131">
        <f>IFERROR(_xlfn.XLOOKUP($AG181,[47]Sheet1!$E$108:$E$132,[47]Sheet1!F$108:F$132),0)</f>
        <v>0</v>
      </c>
      <c r="AK181" s="128">
        <f t="shared" si="45"/>
        <v>0</v>
      </c>
      <c r="AL181" s="131">
        <f>IFERROR(_xlfn.XLOOKUP($AG181,[47]Sheet1!$E$108:$E$132,[47]Sheet1!H$108:H$132),0)</f>
        <v>0</v>
      </c>
      <c r="AM181" s="128">
        <f t="shared" si="46"/>
        <v>0</v>
      </c>
      <c r="AN181" s="131">
        <f>IFERROR(_xlfn.XLOOKUP($AG181,[47]Sheet1!$E$108:$E$132,[47]Sheet1!G$108:G$132),0)</f>
        <v>0</v>
      </c>
      <c r="AO181" s="129">
        <f t="shared" si="47"/>
        <v>0</v>
      </c>
    </row>
    <row r="182" spans="2:41" x14ac:dyDescent="0.2">
      <c r="B182" s="115" t="s">
        <v>1273</v>
      </c>
      <c r="C182" s="115" t="s">
        <v>1274</v>
      </c>
      <c r="D182" s="115" t="s">
        <v>173</v>
      </c>
      <c r="E182" s="115" t="s">
        <v>1420</v>
      </c>
      <c r="F182" s="115"/>
      <c r="G182" s="131">
        <v>3347</v>
      </c>
      <c r="H182" s="115">
        <v>329</v>
      </c>
      <c r="I182" s="128">
        <f t="shared" si="39"/>
        <v>9.8296982372273689</v>
      </c>
      <c r="J182" s="115">
        <v>138</v>
      </c>
      <c r="K182" s="128">
        <f t="shared" si="40"/>
        <v>41.945288753799389</v>
      </c>
      <c r="L182" s="115">
        <v>83</v>
      </c>
      <c r="M182" s="129">
        <f t="shared" si="41"/>
        <v>25.227963525835865</v>
      </c>
      <c r="N182" s="130"/>
      <c r="O182" s="130"/>
      <c r="P182" s="115" t="s">
        <v>1273</v>
      </c>
      <c r="Q182" s="115" t="s">
        <v>1274</v>
      </c>
      <c r="R182" s="115" t="s">
        <v>173</v>
      </c>
      <c r="S182" s="115" t="s">
        <v>1420</v>
      </c>
      <c r="T182" s="115"/>
      <c r="U182" s="131">
        <v>3347</v>
      </c>
      <c r="V182" s="131">
        <f>IFERROR(_xlfn.XLOOKUP($S182,'[47]Tgl 8'!$E$108:$E$156,'[47]Tgl 8'!$F$108:$F$156),0)</f>
        <v>0</v>
      </c>
      <c r="W182" s="128">
        <f t="shared" si="42"/>
        <v>0</v>
      </c>
      <c r="X182" s="131">
        <f>IFERROR(_xlfn.XLOOKUP($S182,'[47]Tgl 8'!$E$108:$E$156,'[47]Tgl 8'!$H$108:$H$156),0)</f>
        <v>0</v>
      </c>
      <c r="Y182" s="128">
        <f t="shared" si="43"/>
        <v>0</v>
      </c>
      <c r="Z182" s="131">
        <f>IFERROR(_xlfn.XLOOKUP($S182,'[47]Tgl 8'!$E$108:$E$156,'[47]Tgl 8'!$G$108:$G$156),0)</f>
        <v>0</v>
      </c>
      <c r="AA182" s="129">
        <f t="shared" si="44"/>
        <v>0</v>
      </c>
      <c r="AB182" s="130"/>
      <c r="AC182" s="130"/>
      <c r="AD182" s="115" t="s">
        <v>1273</v>
      </c>
      <c r="AE182" s="115" t="s">
        <v>1274</v>
      </c>
      <c r="AF182" s="115" t="s">
        <v>173</v>
      </c>
      <c r="AG182" s="115" t="s">
        <v>1420</v>
      </c>
      <c r="AH182" s="115"/>
      <c r="AI182" s="131">
        <v>3347</v>
      </c>
      <c r="AJ182" s="131">
        <f>IFERROR(_xlfn.XLOOKUP($AG182,[47]Sheet1!$E$108:$E$132,[47]Sheet1!F$108:F$132),0)</f>
        <v>0</v>
      </c>
      <c r="AK182" s="128">
        <f t="shared" si="45"/>
        <v>0</v>
      </c>
      <c r="AL182" s="131">
        <f>IFERROR(_xlfn.XLOOKUP($AG182,[47]Sheet1!$E$108:$E$132,[47]Sheet1!H$108:H$132),0)</f>
        <v>0</v>
      </c>
      <c r="AM182" s="128">
        <f t="shared" si="46"/>
        <v>0</v>
      </c>
      <c r="AN182" s="131">
        <f>IFERROR(_xlfn.XLOOKUP($AG182,[47]Sheet1!$E$108:$E$132,[47]Sheet1!G$108:G$132),0)</f>
        <v>0</v>
      </c>
      <c r="AO182" s="129">
        <f t="shared" si="47"/>
        <v>0</v>
      </c>
    </row>
    <row r="183" spans="2:41" x14ac:dyDescent="0.2">
      <c r="B183" s="115" t="s">
        <v>1273</v>
      </c>
      <c r="C183" s="115" t="s">
        <v>1274</v>
      </c>
      <c r="D183" s="115" t="s">
        <v>173</v>
      </c>
      <c r="E183" s="115" t="s">
        <v>1421</v>
      </c>
      <c r="F183" s="115"/>
      <c r="G183" s="131">
        <v>3508</v>
      </c>
      <c r="H183" s="115">
        <v>313</v>
      </c>
      <c r="I183" s="128">
        <f t="shared" si="39"/>
        <v>8.9224629418472077</v>
      </c>
      <c r="J183" s="115">
        <v>181</v>
      </c>
      <c r="K183" s="128">
        <f t="shared" si="40"/>
        <v>57.827476038338659</v>
      </c>
      <c r="L183" s="115">
        <v>24</v>
      </c>
      <c r="M183" s="129">
        <f t="shared" si="41"/>
        <v>7.6677316293929714</v>
      </c>
      <c r="N183" s="130"/>
      <c r="O183" s="130"/>
      <c r="P183" s="115" t="s">
        <v>1273</v>
      </c>
      <c r="Q183" s="115" t="s">
        <v>1274</v>
      </c>
      <c r="R183" s="115" t="s">
        <v>173</v>
      </c>
      <c r="S183" s="115" t="s">
        <v>1421</v>
      </c>
      <c r="T183" s="115"/>
      <c r="U183" s="131">
        <v>3508</v>
      </c>
      <c r="V183" s="131">
        <f>IFERROR(_xlfn.XLOOKUP($S183,'[47]Tgl 8'!$E$108:$E$156,'[47]Tgl 8'!$F$108:$F$156),0)</f>
        <v>0</v>
      </c>
      <c r="W183" s="128">
        <f t="shared" si="42"/>
        <v>0</v>
      </c>
      <c r="X183" s="131">
        <f>IFERROR(_xlfn.XLOOKUP($S183,'[47]Tgl 8'!$E$108:$E$156,'[47]Tgl 8'!$H$108:$H$156),0)</f>
        <v>0</v>
      </c>
      <c r="Y183" s="128">
        <f t="shared" si="43"/>
        <v>0</v>
      </c>
      <c r="Z183" s="131">
        <f>IFERROR(_xlfn.XLOOKUP($S183,'[47]Tgl 8'!$E$108:$E$156,'[47]Tgl 8'!$G$108:$G$156),0)</f>
        <v>0</v>
      </c>
      <c r="AA183" s="129">
        <f t="shared" si="44"/>
        <v>0</v>
      </c>
      <c r="AB183" s="130"/>
      <c r="AC183" s="130"/>
      <c r="AD183" s="115" t="s">
        <v>1273</v>
      </c>
      <c r="AE183" s="115" t="s">
        <v>1274</v>
      </c>
      <c r="AF183" s="115" t="s">
        <v>173</v>
      </c>
      <c r="AG183" s="115" t="s">
        <v>1421</v>
      </c>
      <c r="AH183" s="115"/>
      <c r="AI183" s="131">
        <v>3508</v>
      </c>
      <c r="AJ183" s="131">
        <f>IFERROR(_xlfn.XLOOKUP($AG183,[47]Sheet1!$E$108:$E$132,[47]Sheet1!F$108:F$132),0)</f>
        <v>0</v>
      </c>
      <c r="AK183" s="128">
        <f t="shared" si="45"/>
        <v>0</v>
      </c>
      <c r="AL183" s="131">
        <f>IFERROR(_xlfn.XLOOKUP($AG183,[47]Sheet1!$E$108:$E$132,[47]Sheet1!H$108:H$132),0)</f>
        <v>0</v>
      </c>
      <c r="AM183" s="128">
        <f t="shared" si="46"/>
        <v>0</v>
      </c>
      <c r="AN183" s="131">
        <f>IFERROR(_xlfn.XLOOKUP($AG183,[47]Sheet1!$E$108:$E$132,[47]Sheet1!G$108:G$132),0)</f>
        <v>0</v>
      </c>
      <c r="AO183" s="129">
        <f t="shared" si="47"/>
        <v>0</v>
      </c>
    </row>
    <row r="184" spans="2:41" x14ac:dyDescent="0.2">
      <c r="B184" s="115" t="s">
        <v>1273</v>
      </c>
      <c r="C184" s="115" t="s">
        <v>1274</v>
      </c>
      <c r="D184" s="115" t="s">
        <v>173</v>
      </c>
      <c r="E184" s="115" t="s">
        <v>1422</v>
      </c>
      <c r="F184" s="115"/>
      <c r="G184" s="131">
        <v>2961</v>
      </c>
      <c r="H184" s="115">
        <v>316</v>
      </c>
      <c r="I184" s="128">
        <f t="shared" si="39"/>
        <v>10.672070246538333</v>
      </c>
      <c r="J184" s="115">
        <v>136</v>
      </c>
      <c r="K184" s="128">
        <f t="shared" si="40"/>
        <v>43.037974683544299</v>
      </c>
      <c r="L184" s="115">
        <v>80</v>
      </c>
      <c r="M184" s="129">
        <f t="shared" si="41"/>
        <v>25.316455696202532</v>
      </c>
      <c r="N184" s="130"/>
      <c r="O184" s="130"/>
      <c r="P184" s="115" t="s">
        <v>1273</v>
      </c>
      <c r="Q184" s="115" t="s">
        <v>1274</v>
      </c>
      <c r="R184" s="115" t="s">
        <v>173</v>
      </c>
      <c r="S184" s="115" t="s">
        <v>1422</v>
      </c>
      <c r="T184" s="115"/>
      <c r="U184" s="131">
        <v>2961</v>
      </c>
      <c r="V184" s="131">
        <f>IFERROR(_xlfn.XLOOKUP($S184,'[47]Tgl 8'!$E$108:$E$156,'[47]Tgl 8'!$F$108:$F$156),0)</f>
        <v>0</v>
      </c>
      <c r="W184" s="128">
        <f t="shared" si="42"/>
        <v>0</v>
      </c>
      <c r="X184" s="131">
        <f>IFERROR(_xlfn.XLOOKUP($S184,'[47]Tgl 8'!$E$108:$E$156,'[47]Tgl 8'!$H$108:$H$156),0)</f>
        <v>0</v>
      </c>
      <c r="Y184" s="128">
        <f t="shared" si="43"/>
        <v>0</v>
      </c>
      <c r="Z184" s="131">
        <f>IFERROR(_xlfn.XLOOKUP($S184,'[47]Tgl 8'!$E$108:$E$156,'[47]Tgl 8'!$G$108:$G$156),0)</f>
        <v>0</v>
      </c>
      <c r="AA184" s="129">
        <f t="shared" si="44"/>
        <v>0</v>
      </c>
      <c r="AB184" s="130"/>
      <c r="AC184" s="130"/>
      <c r="AD184" s="115" t="s">
        <v>1273</v>
      </c>
      <c r="AE184" s="115" t="s">
        <v>1274</v>
      </c>
      <c r="AF184" s="115" t="s">
        <v>173</v>
      </c>
      <c r="AG184" s="115" t="s">
        <v>1422</v>
      </c>
      <c r="AH184" s="115"/>
      <c r="AI184" s="131">
        <v>2961</v>
      </c>
      <c r="AJ184" s="131">
        <f>IFERROR(_xlfn.XLOOKUP($AG184,[47]Sheet1!$E$108:$E$132,[47]Sheet1!F$108:F$132),0)</f>
        <v>0</v>
      </c>
      <c r="AK184" s="128">
        <f t="shared" si="45"/>
        <v>0</v>
      </c>
      <c r="AL184" s="131">
        <f>IFERROR(_xlfn.XLOOKUP($AG184,[47]Sheet1!$E$108:$E$132,[47]Sheet1!H$108:H$132),0)</f>
        <v>0</v>
      </c>
      <c r="AM184" s="128">
        <f t="shared" si="46"/>
        <v>0</v>
      </c>
      <c r="AN184" s="131">
        <f>IFERROR(_xlfn.XLOOKUP($AG184,[47]Sheet1!$E$108:$E$132,[47]Sheet1!G$108:G$132),0)</f>
        <v>0</v>
      </c>
      <c r="AO184" s="129">
        <f t="shared" si="47"/>
        <v>0</v>
      </c>
    </row>
    <row r="185" spans="2:41" x14ac:dyDescent="0.2">
      <c r="B185" s="115" t="s">
        <v>1273</v>
      </c>
      <c r="C185" s="115" t="s">
        <v>1274</v>
      </c>
      <c r="D185" s="115" t="s">
        <v>173</v>
      </c>
      <c r="E185" s="115" t="s">
        <v>1423</v>
      </c>
      <c r="F185" s="115"/>
      <c r="G185" s="131">
        <v>4178</v>
      </c>
      <c r="H185" s="115">
        <v>455</v>
      </c>
      <c r="I185" s="128">
        <f t="shared" si="39"/>
        <v>10.890378171373863</v>
      </c>
      <c r="J185" s="115">
        <v>159</v>
      </c>
      <c r="K185" s="128">
        <f t="shared" si="40"/>
        <v>34.945054945054949</v>
      </c>
      <c r="L185" s="115">
        <v>37</v>
      </c>
      <c r="M185" s="129">
        <f t="shared" si="41"/>
        <v>8.1318681318681314</v>
      </c>
      <c r="N185" s="130"/>
      <c r="O185" s="130"/>
      <c r="P185" s="115" t="s">
        <v>1273</v>
      </c>
      <c r="Q185" s="115" t="s">
        <v>1274</v>
      </c>
      <c r="R185" s="115" t="s">
        <v>173</v>
      </c>
      <c r="S185" s="115" t="s">
        <v>1423</v>
      </c>
      <c r="T185" s="115"/>
      <c r="U185" s="131">
        <v>4178</v>
      </c>
      <c r="V185" s="131">
        <f>IFERROR(_xlfn.XLOOKUP($S185,'[47]Tgl 8'!$E$108:$E$156,'[47]Tgl 8'!$F$108:$F$156),0)</f>
        <v>0</v>
      </c>
      <c r="W185" s="128">
        <f t="shared" si="42"/>
        <v>0</v>
      </c>
      <c r="X185" s="131">
        <f>IFERROR(_xlfn.XLOOKUP($S185,'[47]Tgl 8'!$E$108:$E$156,'[47]Tgl 8'!$H$108:$H$156),0)</f>
        <v>0</v>
      </c>
      <c r="Y185" s="128">
        <f t="shared" si="43"/>
        <v>0</v>
      </c>
      <c r="Z185" s="131">
        <f>IFERROR(_xlfn.XLOOKUP($S185,'[47]Tgl 8'!$E$108:$E$156,'[47]Tgl 8'!$G$108:$G$156),0)</f>
        <v>0</v>
      </c>
      <c r="AA185" s="129">
        <f t="shared" si="44"/>
        <v>0</v>
      </c>
      <c r="AB185" s="130"/>
      <c r="AC185" s="130"/>
      <c r="AD185" s="115" t="s">
        <v>1273</v>
      </c>
      <c r="AE185" s="115" t="s">
        <v>1274</v>
      </c>
      <c r="AF185" s="115" t="s">
        <v>173</v>
      </c>
      <c r="AG185" s="115" t="s">
        <v>1423</v>
      </c>
      <c r="AH185" s="115"/>
      <c r="AI185" s="131">
        <v>4178</v>
      </c>
      <c r="AJ185" s="131">
        <f>IFERROR(_xlfn.XLOOKUP($AG185,[47]Sheet1!$E$108:$E$132,[47]Sheet1!F$108:F$132),0)</f>
        <v>0</v>
      </c>
      <c r="AK185" s="128">
        <f t="shared" si="45"/>
        <v>0</v>
      </c>
      <c r="AL185" s="131">
        <f>IFERROR(_xlfn.XLOOKUP($AG185,[47]Sheet1!$E$108:$E$132,[47]Sheet1!H$108:H$132),0)</f>
        <v>0</v>
      </c>
      <c r="AM185" s="128">
        <f t="shared" si="46"/>
        <v>0</v>
      </c>
      <c r="AN185" s="131">
        <f>IFERROR(_xlfn.XLOOKUP($AG185,[47]Sheet1!$E$108:$E$132,[47]Sheet1!G$108:G$132),0)</f>
        <v>0</v>
      </c>
      <c r="AO185" s="129">
        <f t="shared" si="47"/>
        <v>0</v>
      </c>
    </row>
    <row r="186" spans="2:41" x14ac:dyDescent="0.2">
      <c r="B186" s="115" t="s">
        <v>1273</v>
      </c>
      <c r="C186" s="115" t="s">
        <v>1274</v>
      </c>
      <c r="D186" s="115" t="s">
        <v>173</v>
      </c>
      <c r="E186" s="115" t="s">
        <v>1424</v>
      </c>
      <c r="F186" s="115"/>
      <c r="G186" s="131">
        <v>3279</v>
      </c>
      <c r="H186" s="115">
        <v>451</v>
      </c>
      <c r="I186" s="128">
        <f t="shared" si="39"/>
        <v>13.754193351631596</v>
      </c>
      <c r="J186" s="115">
        <v>195</v>
      </c>
      <c r="K186" s="128">
        <f t="shared" si="40"/>
        <v>43.23725055432373</v>
      </c>
      <c r="L186" s="115">
        <v>25</v>
      </c>
      <c r="M186" s="129">
        <f t="shared" si="41"/>
        <v>5.5432372505543244</v>
      </c>
      <c r="N186" s="130"/>
      <c r="O186" s="130"/>
      <c r="P186" s="115" t="s">
        <v>1273</v>
      </c>
      <c r="Q186" s="115" t="s">
        <v>1274</v>
      </c>
      <c r="R186" s="115" t="s">
        <v>173</v>
      </c>
      <c r="S186" s="115" t="s">
        <v>1424</v>
      </c>
      <c r="T186" s="115"/>
      <c r="U186" s="131">
        <v>3279</v>
      </c>
      <c r="V186" s="131">
        <f>IFERROR(_xlfn.XLOOKUP($S186,'[47]Tgl 8'!$E$108:$E$156,'[47]Tgl 8'!$F$108:$F$156),0)</f>
        <v>0</v>
      </c>
      <c r="W186" s="128">
        <f t="shared" si="42"/>
        <v>0</v>
      </c>
      <c r="X186" s="131">
        <f>IFERROR(_xlfn.XLOOKUP($S186,'[47]Tgl 8'!$E$108:$E$156,'[47]Tgl 8'!$H$108:$H$156),0)</f>
        <v>0</v>
      </c>
      <c r="Y186" s="128">
        <f t="shared" si="43"/>
        <v>0</v>
      </c>
      <c r="Z186" s="131">
        <f>IFERROR(_xlfn.XLOOKUP($S186,'[47]Tgl 8'!$E$108:$E$156,'[47]Tgl 8'!$G$108:$G$156),0)</f>
        <v>0</v>
      </c>
      <c r="AA186" s="129">
        <f t="shared" si="44"/>
        <v>0</v>
      </c>
      <c r="AB186" s="130"/>
      <c r="AC186" s="130"/>
      <c r="AD186" s="115" t="s">
        <v>1273</v>
      </c>
      <c r="AE186" s="115" t="s">
        <v>1274</v>
      </c>
      <c r="AF186" s="115" t="s">
        <v>173</v>
      </c>
      <c r="AG186" s="115" t="s">
        <v>1424</v>
      </c>
      <c r="AH186" s="115"/>
      <c r="AI186" s="131">
        <v>3279</v>
      </c>
      <c r="AJ186" s="131">
        <f>IFERROR(_xlfn.XLOOKUP($AG186,[47]Sheet1!$E$108:$E$132,[47]Sheet1!F$108:F$132),0)</f>
        <v>0</v>
      </c>
      <c r="AK186" s="128">
        <f t="shared" si="45"/>
        <v>0</v>
      </c>
      <c r="AL186" s="131">
        <f>IFERROR(_xlfn.XLOOKUP($AG186,[47]Sheet1!$E$108:$E$132,[47]Sheet1!H$108:H$132),0)</f>
        <v>0</v>
      </c>
      <c r="AM186" s="128">
        <f t="shared" si="46"/>
        <v>0</v>
      </c>
      <c r="AN186" s="131">
        <f>IFERROR(_xlfn.XLOOKUP($AG186,[47]Sheet1!$E$108:$E$132,[47]Sheet1!G$108:G$132),0)</f>
        <v>0</v>
      </c>
      <c r="AO186" s="129">
        <f t="shared" si="47"/>
        <v>0</v>
      </c>
    </row>
    <row r="187" spans="2:41" x14ac:dyDescent="0.2">
      <c r="B187" s="115" t="s">
        <v>1273</v>
      </c>
      <c r="C187" s="115" t="s">
        <v>1274</v>
      </c>
      <c r="D187" s="115" t="s">
        <v>173</v>
      </c>
      <c r="E187" s="115" t="s">
        <v>1425</v>
      </c>
      <c r="F187" s="115"/>
      <c r="G187" s="131">
        <v>1896</v>
      </c>
      <c r="H187" s="115">
        <v>265</v>
      </c>
      <c r="I187" s="128">
        <f t="shared" si="39"/>
        <v>13.976793248945148</v>
      </c>
      <c r="J187" s="115">
        <v>116</v>
      </c>
      <c r="K187" s="128">
        <f t="shared" si="40"/>
        <v>43.773584905660378</v>
      </c>
      <c r="L187" s="115">
        <v>27</v>
      </c>
      <c r="M187" s="129">
        <f t="shared" si="41"/>
        <v>10.188679245283019</v>
      </c>
      <c r="N187" s="130"/>
      <c r="O187" s="130"/>
      <c r="P187" s="115" t="s">
        <v>1273</v>
      </c>
      <c r="Q187" s="115" t="s">
        <v>1274</v>
      </c>
      <c r="R187" s="115" t="s">
        <v>173</v>
      </c>
      <c r="S187" s="115" t="s">
        <v>1425</v>
      </c>
      <c r="T187" s="115"/>
      <c r="U187" s="131">
        <v>1896</v>
      </c>
      <c r="V187" s="131">
        <f>IFERROR(_xlfn.XLOOKUP($S187,'[47]Tgl 8'!$E$108:$E$156,'[47]Tgl 8'!$F$108:$F$156),0)</f>
        <v>0</v>
      </c>
      <c r="W187" s="128">
        <f t="shared" si="42"/>
        <v>0</v>
      </c>
      <c r="X187" s="131">
        <f>IFERROR(_xlfn.XLOOKUP($S187,'[47]Tgl 8'!$E$108:$E$156,'[47]Tgl 8'!$H$108:$H$156),0)</f>
        <v>0</v>
      </c>
      <c r="Y187" s="128">
        <f t="shared" si="43"/>
        <v>0</v>
      </c>
      <c r="Z187" s="131">
        <f>IFERROR(_xlfn.XLOOKUP($S187,'[47]Tgl 8'!$E$108:$E$156,'[47]Tgl 8'!$G$108:$G$156),0)</f>
        <v>0</v>
      </c>
      <c r="AA187" s="129">
        <f t="shared" si="44"/>
        <v>0</v>
      </c>
      <c r="AB187" s="130"/>
      <c r="AC187" s="130"/>
      <c r="AD187" s="115" t="s">
        <v>1273</v>
      </c>
      <c r="AE187" s="115" t="s">
        <v>1274</v>
      </c>
      <c r="AF187" s="115" t="s">
        <v>173</v>
      </c>
      <c r="AG187" s="115" t="s">
        <v>1425</v>
      </c>
      <c r="AH187" s="115"/>
      <c r="AI187" s="131">
        <v>1896</v>
      </c>
      <c r="AJ187" s="131">
        <f>IFERROR(_xlfn.XLOOKUP($AG187,[47]Sheet1!$E$108:$E$132,[47]Sheet1!F$108:F$132),0)</f>
        <v>0</v>
      </c>
      <c r="AK187" s="128">
        <f t="shared" si="45"/>
        <v>0</v>
      </c>
      <c r="AL187" s="131">
        <f>IFERROR(_xlfn.XLOOKUP($AG187,[47]Sheet1!$E$108:$E$132,[47]Sheet1!H$108:H$132),0)</f>
        <v>0</v>
      </c>
      <c r="AM187" s="128">
        <f t="shared" si="46"/>
        <v>0</v>
      </c>
      <c r="AN187" s="131">
        <f>IFERROR(_xlfn.XLOOKUP($AG187,[47]Sheet1!$E$108:$E$132,[47]Sheet1!G$108:G$132),0)</f>
        <v>0</v>
      </c>
      <c r="AO187" s="129">
        <f t="shared" si="47"/>
        <v>0</v>
      </c>
    </row>
    <row r="188" spans="2:41" x14ac:dyDescent="0.2">
      <c r="B188" s="115" t="s">
        <v>1273</v>
      </c>
      <c r="C188" s="115" t="s">
        <v>1274</v>
      </c>
      <c r="D188" s="115" t="s">
        <v>173</v>
      </c>
      <c r="E188" s="115" t="s">
        <v>1426</v>
      </c>
      <c r="F188" s="115"/>
      <c r="G188" s="131">
        <v>2795</v>
      </c>
      <c r="H188" s="115">
        <v>325</v>
      </c>
      <c r="I188" s="128">
        <f t="shared" si="39"/>
        <v>11.627906976744187</v>
      </c>
      <c r="J188" s="115">
        <v>136</v>
      </c>
      <c r="K188" s="128">
        <f t="shared" si="40"/>
        <v>41.846153846153847</v>
      </c>
      <c r="L188" s="115">
        <v>39</v>
      </c>
      <c r="M188" s="129">
        <f t="shared" si="41"/>
        <v>12</v>
      </c>
      <c r="N188" s="130"/>
      <c r="O188" s="130"/>
      <c r="P188" s="115" t="s">
        <v>1273</v>
      </c>
      <c r="Q188" s="115" t="s">
        <v>1274</v>
      </c>
      <c r="R188" s="115" t="s">
        <v>173</v>
      </c>
      <c r="S188" s="115" t="s">
        <v>1426</v>
      </c>
      <c r="T188" s="115"/>
      <c r="U188" s="131">
        <v>2795</v>
      </c>
      <c r="V188" s="131">
        <f>IFERROR(_xlfn.XLOOKUP($S188,'[47]Tgl 8'!$E$108:$E$156,'[47]Tgl 8'!$F$108:$F$156),0)</f>
        <v>0</v>
      </c>
      <c r="W188" s="128">
        <f t="shared" si="42"/>
        <v>0</v>
      </c>
      <c r="X188" s="131">
        <f>IFERROR(_xlfn.XLOOKUP($S188,'[47]Tgl 8'!$E$108:$E$156,'[47]Tgl 8'!$H$108:$H$156),0)</f>
        <v>0</v>
      </c>
      <c r="Y188" s="128">
        <f t="shared" si="43"/>
        <v>0</v>
      </c>
      <c r="Z188" s="131">
        <f>IFERROR(_xlfn.XLOOKUP($S188,'[47]Tgl 8'!$E$108:$E$156,'[47]Tgl 8'!$G$108:$G$156),0)</f>
        <v>0</v>
      </c>
      <c r="AA188" s="129">
        <f t="shared" si="44"/>
        <v>0</v>
      </c>
      <c r="AB188" s="130"/>
      <c r="AC188" s="130"/>
      <c r="AD188" s="115" t="s">
        <v>1273</v>
      </c>
      <c r="AE188" s="115" t="s">
        <v>1274</v>
      </c>
      <c r="AF188" s="115" t="s">
        <v>173</v>
      </c>
      <c r="AG188" s="115" t="s">
        <v>1426</v>
      </c>
      <c r="AH188" s="115"/>
      <c r="AI188" s="131">
        <v>2795</v>
      </c>
      <c r="AJ188" s="131">
        <f>IFERROR(_xlfn.XLOOKUP($AG188,[47]Sheet1!$E$108:$E$132,[47]Sheet1!F$108:F$132),0)</f>
        <v>0</v>
      </c>
      <c r="AK188" s="128">
        <f t="shared" si="45"/>
        <v>0</v>
      </c>
      <c r="AL188" s="131">
        <f>IFERROR(_xlfn.XLOOKUP($AG188,[47]Sheet1!$E$108:$E$132,[47]Sheet1!H$108:H$132),0)</f>
        <v>0</v>
      </c>
      <c r="AM188" s="128">
        <f t="shared" si="46"/>
        <v>0</v>
      </c>
      <c r="AN188" s="131">
        <f>IFERROR(_xlfn.XLOOKUP($AG188,[47]Sheet1!$E$108:$E$132,[47]Sheet1!G$108:G$132),0)</f>
        <v>0</v>
      </c>
      <c r="AO188" s="129">
        <f t="shared" si="47"/>
        <v>0</v>
      </c>
    </row>
    <row r="189" spans="2:41" x14ac:dyDescent="0.2">
      <c r="B189" s="115" t="s">
        <v>1273</v>
      </c>
      <c r="C189" s="115" t="s">
        <v>1274</v>
      </c>
      <c r="D189" s="115" t="s">
        <v>173</v>
      </c>
      <c r="E189" s="115" t="s">
        <v>1427</v>
      </c>
      <c r="F189" s="115"/>
      <c r="G189" s="131">
        <v>3364</v>
      </c>
      <c r="H189" s="115">
        <v>303</v>
      </c>
      <c r="I189" s="128">
        <f t="shared" si="39"/>
        <v>9.0071343638525558</v>
      </c>
      <c r="J189" s="115">
        <v>164</v>
      </c>
      <c r="K189" s="128">
        <f t="shared" si="40"/>
        <v>54.125412541254128</v>
      </c>
      <c r="L189" s="115">
        <v>35</v>
      </c>
      <c r="M189" s="129">
        <f t="shared" si="41"/>
        <v>11.551155115511552</v>
      </c>
      <c r="N189" s="130"/>
      <c r="O189" s="130"/>
      <c r="P189" s="115" t="s">
        <v>1273</v>
      </c>
      <c r="Q189" s="115" t="s">
        <v>1274</v>
      </c>
      <c r="R189" s="115" t="s">
        <v>173</v>
      </c>
      <c r="S189" s="115" t="s">
        <v>1427</v>
      </c>
      <c r="T189" s="115"/>
      <c r="U189" s="131">
        <v>3364</v>
      </c>
      <c r="V189" s="131">
        <f>IFERROR(_xlfn.XLOOKUP($S189,'[47]Tgl 8'!$E$108:$E$156,'[47]Tgl 8'!$F$108:$F$156),0)</f>
        <v>0</v>
      </c>
      <c r="W189" s="128">
        <f t="shared" si="42"/>
        <v>0</v>
      </c>
      <c r="X189" s="131">
        <f>IFERROR(_xlfn.XLOOKUP($S189,'[47]Tgl 8'!$E$108:$E$156,'[47]Tgl 8'!$H$108:$H$156),0)</f>
        <v>0</v>
      </c>
      <c r="Y189" s="128">
        <f t="shared" si="43"/>
        <v>0</v>
      </c>
      <c r="Z189" s="131">
        <f>IFERROR(_xlfn.XLOOKUP($S189,'[47]Tgl 8'!$E$108:$E$156,'[47]Tgl 8'!$G$108:$G$156),0)</f>
        <v>0</v>
      </c>
      <c r="AA189" s="129">
        <f t="shared" si="44"/>
        <v>0</v>
      </c>
      <c r="AB189" s="130"/>
      <c r="AC189" s="130"/>
      <c r="AD189" s="115" t="s">
        <v>1273</v>
      </c>
      <c r="AE189" s="115" t="s">
        <v>1274</v>
      </c>
      <c r="AF189" s="115" t="s">
        <v>173</v>
      </c>
      <c r="AG189" s="115" t="s">
        <v>1427</v>
      </c>
      <c r="AH189" s="115"/>
      <c r="AI189" s="131">
        <v>3364</v>
      </c>
      <c r="AJ189" s="131">
        <f>IFERROR(_xlfn.XLOOKUP($AG189,[47]Sheet1!$E$108:$E$132,[47]Sheet1!F$108:F$132),0)</f>
        <v>0</v>
      </c>
      <c r="AK189" s="128">
        <f t="shared" si="45"/>
        <v>0</v>
      </c>
      <c r="AL189" s="131">
        <f>IFERROR(_xlfn.XLOOKUP($AG189,[47]Sheet1!$E$108:$E$132,[47]Sheet1!H$108:H$132),0)</f>
        <v>0</v>
      </c>
      <c r="AM189" s="128">
        <f t="shared" si="46"/>
        <v>0</v>
      </c>
      <c r="AN189" s="131">
        <f>IFERROR(_xlfn.XLOOKUP($AG189,[47]Sheet1!$E$108:$E$132,[47]Sheet1!G$108:G$132),0)</f>
        <v>0</v>
      </c>
      <c r="AO189" s="129">
        <f t="shared" si="47"/>
        <v>0</v>
      </c>
    </row>
    <row r="190" spans="2:41" x14ac:dyDescent="0.2">
      <c r="B190" s="115" t="s">
        <v>1273</v>
      </c>
      <c r="C190" s="115" t="s">
        <v>1274</v>
      </c>
      <c r="D190" s="115" t="s">
        <v>173</v>
      </c>
      <c r="E190" s="115" t="s">
        <v>1428</v>
      </c>
      <c r="F190" s="115"/>
      <c r="G190" s="131">
        <v>2880</v>
      </c>
      <c r="H190" s="115">
        <v>332</v>
      </c>
      <c r="I190" s="128">
        <f t="shared" si="39"/>
        <v>11.527777777777777</v>
      </c>
      <c r="J190" s="115">
        <v>182</v>
      </c>
      <c r="K190" s="128">
        <f t="shared" si="40"/>
        <v>54.819277108433738</v>
      </c>
      <c r="L190" s="115">
        <v>55</v>
      </c>
      <c r="M190" s="129">
        <f t="shared" si="41"/>
        <v>16.566265060240966</v>
      </c>
      <c r="N190" s="130"/>
      <c r="O190" s="130"/>
      <c r="P190" s="115" t="s">
        <v>1273</v>
      </c>
      <c r="Q190" s="115" t="s">
        <v>1274</v>
      </c>
      <c r="R190" s="115" t="s">
        <v>173</v>
      </c>
      <c r="S190" s="115" t="s">
        <v>1428</v>
      </c>
      <c r="T190" s="115"/>
      <c r="U190" s="131">
        <v>2880</v>
      </c>
      <c r="V190" s="131">
        <f>IFERROR(_xlfn.XLOOKUP($S190,'[47]Tgl 8'!$E$108:$E$156,'[47]Tgl 8'!$F$108:$F$156),0)</f>
        <v>0</v>
      </c>
      <c r="W190" s="128">
        <f t="shared" si="42"/>
        <v>0</v>
      </c>
      <c r="X190" s="131">
        <f>IFERROR(_xlfn.XLOOKUP($S190,'[47]Tgl 8'!$E$108:$E$156,'[47]Tgl 8'!$H$108:$H$156),0)</f>
        <v>0</v>
      </c>
      <c r="Y190" s="128">
        <f t="shared" si="43"/>
        <v>0</v>
      </c>
      <c r="Z190" s="131">
        <f>IFERROR(_xlfn.XLOOKUP($S190,'[47]Tgl 8'!$E$108:$E$156,'[47]Tgl 8'!$G$108:$G$156),0)</f>
        <v>0</v>
      </c>
      <c r="AA190" s="129">
        <f t="shared" si="44"/>
        <v>0</v>
      </c>
      <c r="AB190" s="130"/>
      <c r="AC190" s="130"/>
      <c r="AD190" s="115" t="s">
        <v>1273</v>
      </c>
      <c r="AE190" s="115" t="s">
        <v>1274</v>
      </c>
      <c r="AF190" s="115" t="s">
        <v>173</v>
      </c>
      <c r="AG190" s="115" t="s">
        <v>1428</v>
      </c>
      <c r="AH190" s="115"/>
      <c r="AI190" s="131">
        <v>2880</v>
      </c>
      <c r="AJ190" s="131">
        <f>IFERROR(_xlfn.XLOOKUP($AG190,[47]Sheet1!$E$108:$E$132,[47]Sheet1!F$108:F$132),0)</f>
        <v>0</v>
      </c>
      <c r="AK190" s="128">
        <f t="shared" si="45"/>
        <v>0</v>
      </c>
      <c r="AL190" s="131">
        <f>IFERROR(_xlfn.XLOOKUP($AG190,[47]Sheet1!$E$108:$E$132,[47]Sheet1!H$108:H$132),0)</f>
        <v>0</v>
      </c>
      <c r="AM190" s="128">
        <f t="shared" si="46"/>
        <v>0</v>
      </c>
      <c r="AN190" s="131">
        <f>IFERROR(_xlfn.XLOOKUP($AG190,[47]Sheet1!$E$108:$E$132,[47]Sheet1!G$108:G$132),0)</f>
        <v>0</v>
      </c>
      <c r="AO190" s="129">
        <f t="shared" si="47"/>
        <v>0</v>
      </c>
    </row>
    <row r="191" spans="2:41" x14ac:dyDescent="0.2">
      <c r="B191" s="115" t="s">
        <v>1273</v>
      </c>
      <c r="C191" s="115" t="s">
        <v>1274</v>
      </c>
      <c r="D191" s="115" t="s">
        <v>173</v>
      </c>
      <c r="E191" s="115" t="s">
        <v>1429</v>
      </c>
      <c r="F191" s="115"/>
      <c r="G191" s="131">
        <v>3287</v>
      </c>
      <c r="H191" s="115">
        <v>333</v>
      </c>
      <c r="I191" s="128">
        <f t="shared" si="39"/>
        <v>10.130818375418315</v>
      </c>
      <c r="J191" s="115">
        <v>106</v>
      </c>
      <c r="K191" s="128">
        <f t="shared" si="40"/>
        <v>31.831831831831831</v>
      </c>
      <c r="L191" s="115">
        <v>38</v>
      </c>
      <c r="M191" s="129">
        <f t="shared" si="41"/>
        <v>11.411411411411411</v>
      </c>
      <c r="N191" s="130"/>
      <c r="O191" s="130"/>
      <c r="P191" s="115" t="s">
        <v>1273</v>
      </c>
      <c r="Q191" s="115" t="s">
        <v>1274</v>
      </c>
      <c r="R191" s="115" t="s">
        <v>173</v>
      </c>
      <c r="S191" s="115" t="s">
        <v>1429</v>
      </c>
      <c r="T191" s="115"/>
      <c r="U191" s="131">
        <v>3287</v>
      </c>
      <c r="V191" s="131">
        <f>IFERROR(_xlfn.XLOOKUP($S191,'[47]Tgl 8'!$E$108:$E$156,'[47]Tgl 8'!$F$108:$F$156),0)</f>
        <v>0</v>
      </c>
      <c r="W191" s="128">
        <f t="shared" si="42"/>
        <v>0</v>
      </c>
      <c r="X191" s="131">
        <f>IFERROR(_xlfn.XLOOKUP($S191,'[47]Tgl 8'!$E$108:$E$156,'[47]Tgl 8'!$H$108:$H$156),0)</f>
        <v>0</v>
      </c>
      <c r="Y191" s="128">
        <f t="shared" si="43"/>
        <v>0</v>
      </c>
      <c r="Z191" s="131">
        <f>IFERROR(_xlfn.XLOOKUP($S191,'[47]Tgl 8'!$E$108:$E$156,'[47]Tgl 8'!$G$108:$G$156),0)</f>
        <v>0</v>
      </c>
      <c r="AA191" s="129">
        <f t="shared" si="44"/>
        <v>0</v>
      </c>
      <c r="AB191" s="130"/>
      <c r="AC191" s="130"/>
      <c r="AD191" s="115" t="s">
        <v>1273</v>
      </c>
      <c r="AE191" s="115" t="s">
        <v>1274</v>
      </c>
      <c r="AF191" s="115" t="s">
        <v>173</v>
      </c>
      <c r="AG191" s="115" t="s">
        <v>1429</v>
      </c>
      <c r="AH191" s="115"/>
      <c r="AI191" s="131">
        <v>3287</v>
      </c>
      <c r="AJ191" s="131">
        <f>IFERROR(_xlfn.XLOOKUP($AG191,[47]Sheet1!$E$108:$E$132,[47]Sheet1!F$108:F$132),0)</f>
        <v>0</v>
      </c>
      <c r="AK191" s="128">
        <f t="shared" si="45"/>
        <v>0</v>
      </c>
      <c r="AL191" s="131">
        <f>IFERROR(_xlfn.XLOOKUP($AG191,[47]Sheet1!$E$108:$E$132,[47]Sheet1!H$108:H$132),0)</f>
        <v>0</v>
      </c>
      <c r="AM191" s="128">
        <f t="shared" si="46"/>
        <v>0</v>
      </c>
      <c r="AN191" s="131">
        <f>IFERROR(_xlfn.XLOOKUP($AG191,[47]Sheet1!$E$108:$E$132,[47]Sheet1!G$108:G$132),0)</f>
        <v>0</v>
      </c>
      <c r="AO191" s="129">
        <f t="shared" si="47"/>
        <v>0</v>
      </c>
    </row>
    <row r="192" spans="2:41" x14ac:dyDescent="0.2">
      <c r="B192" s="115" t="s">
        <v>1273</v>
      </c>
      <c r="C192" s="115" t="s">
        <v>1274</v>
      </c>
      <c r="D192" s="115" t="s">
        <v>173</v>
      </c>
      <c r="E192" s="115" t="s">
        <v>1430</v>
      </c>
      <c r="F192" s="115"/>
      <c r="G192" s="131">
        <v>3574</v>
      </c>
      <c r="H192" s="115">
        <v>382</v>
      </c>
      <c r="I192" s="128">
        <f t="shared" si="39"/>
        <v>10.688304420817012</v>
      </c>
      <c r="J192" s="115">
        <v>137</v>
      </c>
      <c r="K192" s="128">
        <f t="shared" si="40"/>
        <v>35.863874345549739</v>
      </c>
      <c r="L192" s="115">
        <v>30</v>
      </c>
      <c r="M192" s="129">
        <f t="shared" si="41"/>
        <v>7.8534031413612571</v>
      </c>
      <c r="N192" s="130"/>
      <c r="O192" s="130"/>
      <c r="P192" s="115" t="s">
        <v>1273</v>
      </c>
      <c r="Q192" s="115" t="s">
        <v>1274</v>
      </c>
      <c r="R192" s="115" t="s">
        <v>173</v>
      </c>
      <c r="S192" s="115" t="s">
        <v>1430</v>
      </c>
      <c r="T192" s="115"/>
      <c r="U192" s="131">
        <v>3574</v>
      </c>
      <c r="V192" s="131">
        <f>IFERROR(_xlfn.XLOOKUP($S192,'[47]Tgl 8'!$E$108:$E$156,'[47]Tgl 8'!$F$108:$F$156),0)</f>
        <v>0</v>
      </c>
      <c r="W192" s="128">
        <f t="shared" si="42"/>
        <v>0</v>
      </c>
      <c r="X192" s="131">
        <f>IFERROR(_xlfn.XLOOKUP($S192,'[47]Tgl 8'!$E$108:$E$156,'[47]Tgl 8'!$H$108:$H$156),0)</f>
        <v>0</v>
      </c>
      <c r="Y192" s="128">
        <f t="shared" si="43"/>
        <v>0</v>
      </c>
      <c r="Z192" s="131">
        <f>IFERROR(_xlfn.XLOOKUP($S192,'[47]Tgl 8'!$E$108:$E$156,'[47]Tgl 8'!$G$108:$G$156),0)</f>
        <v>0</v>
      </c>
      <c r="AA192" s="129">
        <f t="shared" si="44"/>
        <v>0</v>
      </c>
      <c r="AB192" s="130"/>
      <c r="AC192" s="130"/>
      <c r="AD192" s="115" t="s">
        <v>1273</v>
      </c>
      <c r="AE192" s="115" t="s">
        <v>1274</v>
      </c>
      <c r="AF192" s="115" t="s">
        <v>173</v>
      </c>
      <c r="AG192" s="115" t="s">
        <v>1430</v>
      </c>
      <c r="AH192" s="115"/>
      <c r="AI192" s="131">
        <v>3574</v>
      </c>
      <c r="AJ192" s="131">
        <f>IFERROR(_xlfn.XLOOKUP($AG192,[47]Sheet1!$E$108:$E$132,[47]Sheet1!F$108:F$132),0)</f>
        <v>0</v>
      </c>
      <c r="AK192" s="128">
        <f t="shared" si="45"/>
        <v>0</v>
      </c>
      <c r="AL192" s="131">
        <f>IFERROR(_xlfn.XLOOKUP($AG192,[47]Sheet1!$E$108:$E$132,[47]Sheet1!H$108:H$132),0)</f>
        <v>0</v>
      </c>
      <c r="AM192" s="128">
        <f t="shared" si="46"/>
        <v>0</v>
      </c>
      <c r="AN192" s="131">
        <f>IFERROR(_xlfn.XLOOKUP($AG192,[47]Sheet1!$E$108:$E$132,[47]Sheet1!G$108:G$132),0)</f>
        <v>0</v>
      </c>
      <c r="AO192" s="129">
        <f t="shared" si="47"/>
        <v>0</v>
      </c>
    </row>
    <row r="193" spans="2:41" x14ac:dyDescent="0.2">
      <c r="B193" s="115" t="s">
        <v>1273</v>
      </c>
      <c r="C193" s="115" t="s">
        <v>1274</v>
      </c>
      <c r="D193" s="115" t="s">
        <v>173</v>
      </c>
      <c r="E193" s="115" t="s">
        <v>1431</v>
      </c>
      <c r="F193" s="115"/>
      <c r="G193" s="131">
        <v>2699</v>
      </c>
      <c r="H193" s="115">
        <v>359</v>
      </c>
      <c r="I193" s="128">
        <f t="shared" si="39"/>
        <v>13.301222675064839</v>
      </c>
      <c r="J193" s="115">
        <v>100</v>
      </c>
      <c r="K193" s="128">
        <f t="shared" si="40"/>
        <v>27.855153203342621</v>
      </c>
      <c r="L193" s="115">
        <v>10</v>
      </c>
      <c r="M193" s="129">
        <f t="shared" si="41"/>
        <v>2.785515320334262</v>
      </c>
      <c r="N193" s="130"/>
      <c r="O193" s="130"/>
      <c r="P193" s="115" t="s">
        <v>1273</v>
      </c>
      <c r="Q193" s="115" t="s">
        <v>1274</v>
      </c>
      <c r="R193" s="115" t="s">
        <v>173</v>
      </c>
      <c r="S193" s="115" t="s">
        <v>1431</v>
      </c>
      <c r="T193" s="115"/>
      <c r="U193" s="131">
        <v>2699</v>
      </c>
      <c r="V193" s="131">
        <f>IFERROR(_xlfn.XLOOKUP($S193,'[47]Tgl 8'!$E$108:$E$156,'[47]Tgl 8'!$F$108:$F$156),0)</f>
        <v>32</v>
      </c>
      <c r="W193" s="128">
        <f t="shared" si="42"/>
        <v>1.1856243052982587</v>
      </c>
      <c r="X193" s="131">
        <f>IFERROR(_xlfn.XLOOKUP($S193,'[47]Tgl 8'!$E$108:$E$156,'[47]Tgl 8'!$H$108:$H$156),0)</f>
        <v>9</v>
      </c>
      <c r="Y193" s="128">
        <f t="shared" si="43"/>
        <v>28.125</v>
      </c>
      <c r="Z193" s="131">
        <f>IFERROR(_xlfn.XLOOKUP($S193,'[47]Tgl 8'!$E$108:$E$156,'[47]Tgl 8'!$G$108:$G$156),0)</f>
        <v>14</v>
      </c>
      <c r="AA193" s="129">
        <f t="shared" si="44"/>
        <v>43.75</v>
      </c>
      <c r="AB193" s="130"/>
      <c r="AC193" s="130"/>
      <c r="AD193" s="115" t="s">
        <v>1273</v>
      </c>
      <c r="AE193" s="115" t="s">
        <v>1274</v>
      </c>
      <c r="AF193" s="115" t="s">
        <v>173</v>
      </c>
      <c r="AG193" s="115" t="s">
        <v>1431</v>
      </c>
      <c r="AH193" s="115"/>
      <c r="AI193" s="131">
        <v>2699</v>
      </c>
      <c r="AJ193" s="131">
        <f>IFERROR(_xlfn.XLOOKUP($AG193,[47]Sheet1!$E$108:$E$132,[47]Sheet1!F$108:F$132),0)</f>
        <v>483</v>
      </c>
      <c r="AK193" s="128">
        <f t="shared" si="45"/>
        <v>17.895516858095593</v>
      </c>
      <c r="AL193" s="131">
        <f>IFERROR(_xlfn.XLOOKUP($AG193,[47]Sheet1!$E$108:$E$132,[47]Sheet1!H$108:H$132),0)</f>
        <v>180</v>
      </c>
      <c r="AM193" s="128">
        <f t="shared" si="46"/>
        <v>37.267080745341616</v>
      </c>
      <c r="AN193" s="131">
        <f>IFERROR(_xlfn.XLOOKUP($AG193,[47]Sheet1!$E$108:$E$132,[47]Sheet1!G$108:G$132),0)</f>
        <v>263</v>
      </c>
      <c r="AO193" s="129">
        <f t="shared" si="47"/>
        <v>54.45134575569358</v>
      </c>
    </row>
    <row r="194" spans="2:41" x14ac:dyDescent="0.2">
      <c r="B194" s="115" t="s">
        <v>1273</v>
      </c>
      <c r="C194" s="115" t="s">
        <v>1274</v>
      </c>
      <c r="D194" s="115" t="s">
        <v>173</v>
      </c>
      <c r="E194" s="115" t="s">
        <v>1432</v>
      </c>
      <c r="F194" s="115"/>
      <c r="G194" s="131">
        <v>420</v>
      </c>
      <c r="H194" s="115">
        <v>271</v>
      </c>
      <c r="I194" s="128">
        <f t="shared" si="39"/>
        <v>64.523809523809518</v>
      </c>
      <c r="J194" s="115">
        <v>103</v>
      </c>
      <c r="K194" s="128">
        <f t="shared" si="40"/>
        <v>38.007380073800739</v>
      </c>
      <c r="L194" s="115">
        <v>25</v>
      </c>
      <c r="M194" s="129">
        <f t="shared" si="41"/>
        <v>9.2250922509225095</v>
      </c>
      <c r="N194" s="130"/>
      <c r="O194" s="130"/>
      <c r="P194" s="115" t="s">
        <v>1273</v>
      </c>
      <c r="Q194" s="115" t="s">
        <v>1274</v>
      </c>
      <c r="R194" s="115" t="s">
        <v>173</v>
      </c>
      <c r="S194" s="115" t="s">
        <v>1432</v>
      </c>
      <c r="T194" s="115"/>
      <c r="U194" s="131">
        <v>420</v>
      </c>
      <c r="V194" s="131">
        <f>IFERROR(_xlfn.XLOOKUP($S194,'[47]Tgl 8'!$E$108:$E$156,'[47]Tgl 8'!$F$108:$F$156),0)</f>
        <v>0</v>
      </c>
      <c r="W194" s="128">
        <f t="shared" si="42"/>
        <v>0</v>
      </c>
      <c r="X194" s="131">
        <f>IFERROR(_xlfn.XLOOKUP($S194,'[47]Tgl 8'!$E$108:$E$156,'[47]Tgl 8'!$H$108:$H$156),0)</f>
        <v>0</v>
      </c>
      <c r="Y194" s="128">
        <f t="shared" si="43"/>
        <v>0</v>
      </c>
      <c r="Z194" s="131">
        <f>IFERROR(_xlfn.XLOOKUP($S194,'[47]Tgl 8'!$E$108:$E$156,'[47]Tgl 8'!$G$108:$G$156),0)</f>
        <v>0</v>
      </c>
      <c r="AA194" s="129">
        <f t="shared" si="44"/>
        <v>0</v>
      </c>
      <c r="AB194" s="130"/>
      <c r="AC194" s="130"/>
      <c r="AD194" s="115" t="s">
        <v>1273</v>
      </c>
      <c r="AE194" s="115" t="s">
        <v>1274</v>
      </c>
      <c r="AF194" s="115" t="s">
        <v>173</v>
      </c>
      <c r="AG194" s="115" t="s">
        <v>1432</v>
      </c>
      <c r="AH194" s="115"/>
      <c r="AI194" s="131">
        <v>420</v>
      </c>
      <c r="AJ194" s="131">
        <f>IFERROR(_xlfn.XLOOKUP($AG194,[47]Sheet1!$E$108:$E$132,[47]Sheet1!F$108:F$132),0)</f>
        <v>542</v>
      </c>
      <c r="AK194" s="128">
        <f t="shared" si="45"/>
        <v>129.04761904761904</v>
      </c>
      <c r="AL194" s="131">
        <f>IFERROR(_xlfn.XLOOKUP($AG194,[47]Sheet1!$E$108:$E$132,[47]Sheet1!H$108:H$132),0)</f>
        <v>180</v>
      </c>
      <c r="AM194" s="128">
        <f t="shared" si="46"/>
        <v>33.210332103321036</v>
      </c>
      <c r="AN194" s="131">
        <f>IFERROR(_xlfn.XLOOKUP($AG194,[47]Sheet1!$E$108:$E$132,[47]Sheet1!G$108:G$132),0)</f>
        <v>138</v>
      </c>
      <c r="AO194" s="129">
        <f t="shared" si="47"/>
        <v>25.461254612546124</v>
      </c>
    </row>
    <row r="195" spans="2:41" x14ac:dyDescent="0.2">
      <c r="B195" s="115" t="s">
        <v>1273</v>
      </c>
      <c r="C195" s="115" t="s">
        <v>1274</v>
      </c>
      <c r="D195" s="115" t="s">
        <v>173</v>
      </c>
      <c r="E195" s="115" t="s">
        <v>1433</v>
      </c>
      <c r="F195" s="115"/>
      <c r="G195" s="131">
        <v>2556</v>
      </c>
      <c r="H195" s="115">
        <v>375</v>
      </c>
      <c r="I195" s="128">
        <f t="shared" si="39"/>
        <v>14.671361502347418</v>
      </c>
      <c r="J195" s="115">
        <v>189</v>
      </c>
      <c r="K195" s="128">
        <f t="shared" si="40"/>
        <v>50.4</v>
      </c>
      <c r="L195" s="115">
        <v>39</v>
      </c>
      <c r="M195" s="129">
        <f t="shared" si="41"/>
        <v>10.4</v>
      </c>
      <c r="N195" s="130"/>
      <c r="O195" s="130"/>
      <c r="P195" s="115" t="s">
        <v>1273</v>
      </c>
      <c r="Q195" s="115" t="s">
        <v>1274</v>
      </c>
      <c r="R195" s="115" t="s">
        <v>173</v>
      </c>
      <c r="S195" s="115" t="s">
        <v>1433</v>
      </c>
      <c r="T195" s="115"/>
      <c r="U195" s="131">
        <v>2556</v>
      </c>
      <c r="V195" s="131">
        <f>IFERROR(_xlfn.XLOOKUP($S195,'[47]Tgl 8'!$E$108:$E$156,'[47]Tgl 8'!$F$108:$F$156),0)</f>
        <v>0</v>
      </c>
      <c r="W195" s="128">
        <f t="shared" si="42"/>
        <v>0</v>
      </c>
      <c r="X195" s="131">
        <f>IFERROR(_xlfn.XLOOKUP($S195,'[47]Tgl 8'!$E$108:$E$156,'[47]Tgl 8'!$H$108:$H$156),0)</f>
        <v>0</v>
      </c>
      <c r="Y195" s="128">
        <f t="shared" si="43"/>
        <v>0</v>
      </c>
      <c r="Z195" s="131">
        <f>IFERROR(_xlfn.XLOOKUP($S195,'[47]Tgl 8'!$E$108:$E$156,'[47]Tgl 8'!$G$108:$G$156),0)</f>
        <v>0</v>
      </c>
      <c r="AA195" s="129">
        <f t="shared" si="44"/>
        <v>0</v>
      </c>
      <c r="AB195" s="130"/>
      <c r="AC195" s="130"/>
      <c r="AD195" s="115" t="s">
        <v>1273</v>
      </c>
      <c r="AE195" s="115" t="s">
        <v>1274</v>
      </c>
      <c r="AF195" s="115" t="s">
        <v>173</v>
      </c>
      <c r="AG195" s="115" t="s">
        <v>1433</v>
      </c>
      <c r="AH195" s="115"/>
      <c r="AI195" s="131">
        <v>2556</v>
      </c>
      <c r="AJ195" s="131">
        <f>IFERROR(_xlfn.XLOOKUP($AG195,[47]Sheet1!$E$108:$E$132,[47]Sheet1!F$108:F$132),0)</f>
        <v>140</v>
      </c>
      <c r="AK195" s="128">
        <f t="shared" si="45"/>
        <v>5.4773082942097027</v>
      </c>
      <c r="AL195" s="131">
        <f>IFERROR(_xlfn.XLOOKUP($AG195,[47]Sheet1!$E$108:$E$132,[47]Sheet1!H$108:H$132),0)</f>
        <v>41</v>
      </c>
      <c r="AM195" s="128">
        <f t="shared" si="46"/>
        <v>29.285714285714288</v>
      </c>
      <c r="AN195" s="131">
        <f>IFERROR(_xlfn.XLOOKUP($AG195,[47]Sheet1!$E$108:$E$132,[47]Sheet1!G$108:G$132),0)</f>
        <v>33</v>
      </c>
      <c r="AO195" s="129">
        <f t="shared" si="47"/>
        <v>23.571428571428573</v>
      </c>
    </row>
    <row r="196" spans="2:41" x14ac:dyDescent="0.2">
      <c r="B196" s="115" t="s">
        <v>1273</v>
      </c>
      <c r="C196" s="115" t="s">
        <v>1274</v>
      </c>
      <c r="D196" s="115" t="s">
        <v>173</v>
      </c>
      <c r="E196" s="115" t="s">
        <v>1434</v>
      </c>
      <c r="F196" s="115"/>
      <c r="G196" s="131">
        <v>113</v>
      </c>
      <c r="H196" s="115">
        <v>255</v>
      </c>
      <c r="I196" s="128">
        <f t="shared" si="39"/>
        <v>225.6637168141593</v>
      </c>
      <c r="J196" s="115">
        <v>140</v>
      </c>
      <c r="K196" s="128">
        <f t="shared" si="40"/>
        <v>54.901960784313729</v>
      </c>
      <c r="L196" s="115">
        <v>100</v>
      </c>
      <c r="M196" s="129">
        <f t="shared" si="41"/>
        <v>39.215686274509807</v>
      </c>
      <c r="N196" s="130"/>
      <c r="O196" s="130"/>
      <c r="P196" s="115" t="s">
        <v>1273</v>
      </c>
      <c r="Q196" s="115" t="s">
        <v>1274</v>
      </c>
      <c r="R196" s="115" t="s">
        <v>173</v>
      </c>
      <c r="S196" s="115" t="s">
        <v>1434</v>
      </c>
      <c r="T196" s="115"/>
      <c r="U196" s="131">
        <v>113</v>
      </c>
      <c r="V196" s="131">
        <f>IFERROR(_xlfn.XLOOKUP($S196,'[47]Tgl 8'!$E$108:$E$156,'[47]Tgl 8'!$F$108:$F$156),0)</f>
        <v>0</v>
      </c>
      <c r="W196" s="128">
        <f t="shared" si="42"/>
        <v>0</v>
      </c>
      <c r="X196" s="131">
        <f>IFERROR(_xlfn.XLOOKUP($S196,'[47]Tgl 8'!$E$108:$E$156,'[47]Tgl 8'!$H$108:$H$156),0)</f>
        <v>0</v>
      </c>
      <c r="Y196" s="128">
        <f t="shared" si="43"/>
        <v>0</v>
      </c>
      <c r="Z196" s="131">
        <f>IFERROR(_xlfn.XLOOKUP($S196,'[47]Tgl 8'!$E$108:$E$156,'[47]Tgl 8'!$G$108:$G$156),0)</f>
        <v>0</v>
      </c>
      <c r="AA196" s="129">
        <f t="shared" si="44"/>
        <v>0</v>
      </c>
      <c r="AB196" s="130"/>
      <c r="AC196" s="130"/>
      <c r="AD196" s="115" t="s">
        <v>1273</v>
      </c>
      <c r="AE196" s="115" t="s">
        <v>1274</v>
      </c>
      <c r="AF196" s="115" t="s">
        <v>173</v>
      </c>
      <c r="AG196" s="115" t="s">
        <v>1434</v>
      </c>
      <c r="AH196" s="115"/>
      <c r="AI196" s="131">
        <v>113</v>
      </c>
      <c r="AJ196" s="131">
        <f>IFERROR(_xlfn.XLOOKUP($AG196,[47]Sheet1!$E$108:$E$132,[47]Sheet1!F$108:F$132),0)</f>
        <v>0</v>
      </c>
      <c r="AK196" s="128">
        <f t="shared" si="45"/>
        <v>0</v>
      </c>
      <c r="AL196" s="131">
        <f>IFERROR(_xlfn.XLOOKUP($AG196,[47]Sheet1!$E$108:$E$132,[47]Sheet1!H$108:H$132),0)</f>
        <v>0</v>
      </c>
      <c r="AM196" s="128">
        <f t="shared" si="46"/>
        <v>0</v>
      </c>
      <c r="AN196" s="131">
        <f>IFERROR(_xlfn.XLOOKUP($AG196,[47]Sheet1!$E$108:$E$132,[47]Sheet1!G$108:G$132),0)</f>
        <v>0</v>
      </c>
      <c r="AO196" s="129">
        <f t="shared" si="47"/>
        <v>0</v>
      </c>
    </row>
    <row r="197" spans="2:41" x14ac:dyDescent="0.2">
      <c r="B197" s="115" t="s">
        <v>1273</v>
      </c>
      <c r="C197" s="115" t="s">
        <v>1274</v>
      </c>
      <c r="D197" s="115" t="s">
        <v>173</v>
      </c>
      <c r="E197" s="115" t="s">
        <v>1435</v>
      </c>
      <c r="F197" s="115"/>
      <c r="G197" s="131">
        <v>3824</v>
      </c>
      <c r="H197" s="115">
        <v>381</v>
      </c>
      <c r="I197" s="128">
        <f t="shared" si="39"/>
        <v>9.9633891213389116</v>
      </c>
      <c r="J197" s="115">
        <v>226</v>
      </c>
      <c r="K197" s="128">
        <f t="shared" si="40"/>
        <v>59.317585301837269</v>
      </c>
      <c r="L197" s="115">
        <v>61</v>
      </c>
      <c r="M197" s="129">
        <f t="shared" si="41"/>
        <v>16.010498687664043</v>
      </c>
      <c r="N197" s="130"/>
      <c r="O197" s="130"/>
      <c r="P197" s="115" t="s">
        <v>1273</v>
      </c>
      <c r="Q197" s="115" t="s">
        <v>1274</v>
      </c>
      <c r="R197" s="115" t="s">
        <v>173</v>
      </c>
      <c r="S197" s="115" t="s">
        <v>1435</v>
      </c>
      <c r="T197" s="115"/>
      <c r="U197" s="131">
        <v>3824</v>
      </c>
      <c r="V197" s="131">
        <f>IFERROR(_xlfn.XLOOKUP($S197,'[47]Tgl 8'!$E$108:$E$156,'[47]Tgl 8'!$F$108:$F$156),0)</f>
        <v>0</v>
      </c>
      <c r="W197" s="128">
        <f t="shared" si="42"/>
        <v>0</v>
      </c>
      <c r="X197" s="131">
        <f>IFERROR(_xlfn.XLOOKUP($S197,'[47]Tgl 8'!$E$108:$E$156,'[47]Tgl 8'!$H$108:$H$156),0)</f>
        <v>0</v>
      </c>
      <c r="Y197" s="128">
        <f t="shared" si="43"/>
        <v>0</v>
      </c>
      <c r="Z197" s="131">
        <f>IFERROR(_xlfn.XLOOKUP($S197,'[47]Tgl 8'!$E$108:$E$156,'[47]Tgl 8'!$G$108:$G$156),0)</f>
        <v>0</v>
      </c>
      <c r="AA197" s="129">
        <f t="shared" si="44"/>
        <v>0</v>
      </c>
      <c r="AB197" s="130"/>
      <c r="AC197" s="130"/>
      <c r="AD197" s="115" t="s">
        <v>1273</v>
      </c>
      <c r="AE197" s="115" t="s">
        <v>1274</v>
      </c>
      <c r="AF197" s="115" t="s">
        <v>173</v>
      </c>
      <c r="AG197" s="115" t="s">
        <v>1435</v>
      </c>
      <c r="AH197" s="115"/>
      <c r="AI197" s="131">
        <v>3824</v>
      </c>
      <c r="AJ197" s="131">
        <f>IFERROR(_xlfn.XLOOKUP($AG197,[47]Sheet1!$E$108:$E$132,[47]Sheet1!F$108:F$132),0)</f>
        <v>0</v>
      </c>
      <c r="AK197" s="128">
        <f t="shared" si="45"/>
        <v>0</v>
      </c>
      <c r="AL197" s="131">
        <f>IFERROR(_xlfn.XLOOKUP($AG197,[47]Sheet1!$E$108:$E$132,[47]Sheet1!H$108:H$132),0)</f>
        <v>0</v>
      </c>
      <c r="AM197" s="128">
        <f t="shared" si="46"/>
        <v>0</v>
      </c>
      <c r="AN197" s="131">
        <f>IFERROR(_xlfn.XLOOKUP($AG197,[47]Sheet1!$E$108:$E$132,[47]Sheet1!G$108:G$132),0)</f>
        <v>0</v>
      </c>
      <c r="AO197" s="129">
        <f t="shared" si="47"/>
        <v>0</v>
      </c>
    </row>
    <row r="198" spans="2:41" x14ac:dyDescent="0.2">
      <c r="B198" s="115" t="s">
        <v>1273</v>
      </c>
      <c r="C198" s="115" t="s">
        <v>1274</v>
      </c>
      <c r="D198" s="115" t="s">
        <v>173</v>
      </c>
      <c r="E198" s="115" t="s">
        <v>1436</v>
      </c>
      <c r="F198" s="115"/>
      <c r="G198" s="131">
        <v>3884</v>
      </c>
      <c r="H198" s="115">
        <v>343</v>
      </c>
      <c r="I198" s="128">
        <f t="shared" si="39"/>
        <v>8.8311019567456217</v>
      </c>
      <c r="J198" s="115">
        <v>177</v>
      </c>
      <c r="K198" s="128">
        <f t="shared" si="40"/>
        <v>51.603498542274053</v>
      </c>
      <c r="L198" s="115">
        <v>140</v>
      </c>
      <c r="M198" s="129">
        <f t="shared" si="41"/>
        <v>40.816326530612244</v>
      </c>
      <c r="N198" s="130"/>
      <c r="O198" s="130"/>
      <c r="P198" s="115" t="s">
        <v>1273</v>
      </c>
      <c r="Q198" s="115" t="s">
        <v>1274</v>
      </c>
      <c r="R198" s="115" t="s">
        <v>173</v>
      </c>
      <c r="S198" s="115" t="s">
        <v>1436</v>
      </c>
      <c r="T198" s="115"/>
      <c r="U198" s="131">
        <v>3884</v>
      </c>
      <c r="V198" s="131">
        <f>IFERROR(_xlfn.XLOOKUP($S198,'[47]Tgl 8'!$E$108:$E$156,'[47]Tgl 8'!$F$108:$F$156),0)</f>
        <v>0</v>
      </c>
      <c r="W198" s="128">
        <f t="shared" si="42"/>
        <v>0</v>
      </c>
      <c r="X198" s="131">
        <f>IFERROR(_xlfn.XLOOKUP($S198,'[47]Tgl 8'!$E$108:$E$156,'[47]Tgl 8'!$H$108:$H$156),0)</f>
        <v>0</v>
      </c>
      <c r="Y198" s="128">
        <f t="shared" si="43"/>
        <v>0</v>
      </c>
      <c r="Z198" s="131">
        <f>IFERROR(_xlfn.XLOOKUP($S198,'[47]Tgl 8'!$E$108:$E$156,'[47]Tgl 8'!$G$108:$G$156),0)</f>
        <v>0</v>
      </c>
      <c r="AA198" s="129">
        <f t="shared" si="44"/>
        <v>0</v>
      </c>
      <c r="AB198" s="130"/>
      <c r="AC198" s="130"/>
      <c r="AD198" s="115" t="s">
        <v>1273</v>
      </c>
      <c r="AE198" s="115" t="s">
        <v>1274</v>
      </c>
      <c r="AF198" s="115" t="s">
        <v>173</v>
      </c>
      <c r="AG198" s="115" t="s">
        <v>1436</v>
      </c>
      <c r="AH198" s="115"/>
      <c r="AI198" s="131">
        <v>3884</v>
      </c>
      <c r="AJ198" s="131">
        <f>IFERROR(_xlfn.XLOOKUP($AG198,[47]Sheet1!$E$108:$E$132,[47]Sheet1!F$108:F$132),0)</f>
        <v>0</v>
      </c>
      <c r="AK198" s="128">
        <f t="shared" si="45"/>
        <v>0</v>
      </c>
      <c r="AL198" s="131">
        <f>IFERROR(_xlfn.XLOOKUP($AG198,[47]Sheet1!$E$108:$E$132,[47]Sheet1!H$108:H$132),0)</f>
        <v>0</v>
      </c>
      <c r="AM198" s="128">
        <f t="shared" si="46"/>
        <v>0</v>
      </c>
      <c r="AN198" s="131">
        <f>IFERROR(_xlfn.XLOOKUP($AG198,[47]Sheet1!$E$108:$E$132,[47]Sheet1!G$108:G$132),0)</f>
        <v>0</v>
      </c>
      <c r="AO198" s="129">
        <f t="shared" si="47"/>
        <v>0</v>
      </c>
    </row>
    <row r="199" spans="2:41" x14ac:dyDescent="0.2">
      <c r="B199" s="115" t="s">
        <v>1273</v>
      </c>
      <c r="C199" s="115" t="s">
        <v>1274</v>
      </c>
      <c r="D199" s="115" t="s">
        <v>173</v>
      </c>
      <c r="E199" s="115" t="s">
        <v>1437</v>
      </c>
      <c r="F199" s="115"/>
      <c r="G199" s="131">
        <v>3740</v>
      </c>
      <c r="H199" s="115">
        <v>327</v>
      </c>
      <c r="I199" s="128">
        <f t="shared" si="39"/>
        <v>8.7433155080213911</v>
      </c>
      <c r="J199" s="115">
        <v>95</v>
      </c>
      <c r="K199" s="128">
        <f t="shared" si="40"/>
        <v>29.051987767584098</v>
      </c>
      <c r="L199" s="115">
        <v>23</v>
      </c>
      <c r="M199" s="129">
        <f t="shared" si="41"/>
        <v>7.0336391437308867</v>
      </c>
      <c r="N199" s="130"/>
      <c r="O199" s="130"/>
      <c r="P199" s="115" t="s">
        <v>1273</v>
      </c>
      <c r="Q199" s="115" t="s">
        <v>1274</v>
      </c>
      <c r="R199" s="115" t="s">
        <v>173</v>
      </c>
      <c r="S199" s="115" t="s">
        <v>1437</v>
      </c>
      <c r="T199" s="115"/>
      <c r="U199" s="131">
        <v>3740</v>
      </c>
      <c r="V199" s="131">
        <f>IFERROR(_xlfn.XLOOKUP($S199,'[47]Tgl 8'!$E$108:$E$156,'[47]Tgl 8'!$F$108:$F$156),0)</f>
        <v>0</v>
      </c>
      <c r="W199" s="128">
        <f t="shared" si="42"/>
        <v>0</v>
      </c>
      <c r="X199" s="131">
        <f>IFERROR(_xlfn.XLOOKUP($S199,'[47]Tgl 8'!$E$108:$E$156,'[47]Tgl 8'!$H$108:$H$156),0)</f>
        <v>0</v>
      </c>
      <c r="Y199" s="128">
        <f t="shared" si="43"/>
        <v>0</v>
      </c>
      <c r="Z199" s="131">
        <f>IFERROR(_xlfn.XLOOKUP($S199,'[47]Tgl 8'!$E$108:$E$156,'[47]Tgl 8'!$G$108:$G$156),0)</f>
        <v>0</v>
      </c>
      <c r="AA199" s="129">
        <f t="shared" si="44"/>
        <v>0</v>
      </c>
      <c r="AB199" s="130"/>
      <c r="AC199" s="130"/>
      <c r="AD199" s="115" t="s">
        <v>1273</v>
      </c>
      <c r="AE199" s="115" t="s">
        <v>1274</v>
      </c>
      <c r="AF199" s="115" t="s">
        <v>173</v>
      </c>
      <c r="AG199" s="115" t="s">
        <v>1437</v>
      </c>
      <c r="AH199" s="115"/>
      <c r="AI199" s="131">
        <v>3740</v>
      </c>
      <c r="AJ199" s="131">
        <f>IFERROR(_xlfn.XLOOKUP($AG199,[47]Sheet1!$E$108:$E$132,[47]Sheet1!F$108:F$132),0)</f>
        <v>0</v>
      </c>
      <c r="AK199" s="128">
        <f t="shared" si="45"/>
        <v>0</v>
      </c>
      <c r="AL199" s="131">
        <f>IFERROR(_xlfn.XLOOKUP($AG199,[47]Sheet1!$E$108:$E$132,[47]Sheet1!H$108:H$132),0)</f>
        <v>0</v>
      </c>
      <c r="AM199" s="128">
        <f t="shared" si="46"/>
        <v>0</v>
      </c>
      <c r="AN199" s="131">
        <f>IFERROR(_xlfn.XLOOKUP($AG199,[47]Sheet1!$E$108:$E$132,[47]Sheet1!G$108:G$132),0)</f>
        <v>0</v>
      </c>
      <c r="AO199" s="129">
        <f t="shared" si="47"/>
        <v>0</v>
      </c>
    </row>
    <row r="200" spans="2:41" x14ac:dyDescent="0.2">
      <c r="B200" s="115" t="s">
        <v>1273</v>
      </c>
      <c r="C200" s="115" t="s">
        <v>1274</v>
      </c>
      <c r="D200" s="115" t="s">
        <v>173</v>
      </c>
      <c r="E200" s="115" t="s">
        <v>1438</v>
      </c>
      <c r="F200" s="115"/>
      <c r="G200" s="131">
        <v>2599</v>
      </c>
      <c r="H200" s="115">
        <v>125</v>
      </c>
      <c r="I200" s="128">
        <f t="shared" si="39"/>
        <v>4.8095421315890734</v>
      </c>
      <c r="J200" s="115">
        <v>32</v>
      </c>
      <c r="K200" s="128">
        <f t="shared" si="40"/>
        <v>25.6</v>
      </c>
      <c r="L200" s="115">
        <v>8</v>
      </c>
      <c r="M200" s="129">
        <f t="shared" si="41"/>
        <v>6.4</v>
      </c>
      <c r="N200" s="130"/>
      <c r="O200" s="130"/>
      <c r="P200" s="115" t="s">
        <v>1273</v>
      </c>
      <c r="Q200" s="115" t="s">
        <v>1274</v>
      </c>
      <c r="R200" s="115" t="s">
        <v>173</v>
      </c>
      <c r="S200" s="115" t="s">
        <v>1438</v>
      </c>
      <c r="T200" s="115"/>
      <c r="U200" s="131">
        <v>2599</v>
      </c>
      <c r="V200" s="131">
        <f>IFERROR(_xlfn.XLOOKUP($S200,'[47]Tgl 8'!$E$108:$E$156,'[47]Tgl 8'!$F$108:$F$156),0)</f>
        <v>56</v>
      </c>
      <c r="W200" s="128">
        <f t="shared" si="42"/>
        <v>2.1546748749519047</v>
      </c>
      <c r="X200" s="131">
        <f>IFERROR(_xlfn.XLOOKUP($S200,'[47]Tgl 8'!$E$108:$E$156,'[47]Tgl 8'!$H$108:$H$156),0)</f>
        <v>22</v>
      </c>
      <c r="Y200" s="128">
        <f t="shared" si="43"/>
        <v>39.285714285714285</v>
      </c>
      <c r="Z200" s="131">
        <f>IFERROR(_xlfn.XLOOKUP($S200,'[47]Tgl 8'!$E$108:$E$156,'[47]Tgl 8'!$G$108:$G$156),0)</f>
        <v>4</v>
      </c>
      <c r="AA200" s="129">
        <f t="shared" si="44"/>
        <v>7.1428571428571423</v>
      </c>
      <c r="AB200" s="130"/>
      <c r="AC200" s="130"/>
      <c r="AD200" s="115" t="s">
        <v>1273</v>
      </c>
      <c r="AE200" s="115" t="s">
        <v>1274</v>
      </c>
      <c r="AF200" s="115" t="s">
        <v>173</v>
      </c>
      <c r="AG200" s="115" t="s">
        <v>1438</v>
      </c>
      <c r="AH200" s="115"/>
      <c r="AI200" s="131">
        <v>2599</v>
      </c>
      <c r="AJ200" s="131">
        <f>IFERROR(_xlfn.XLOOKUP($AG200,[47]Sheet1!$E$108:$E$132,[47]Sheet1!F$108:F$132),0)</f>
        <v>0</v>
      </c>
      <c r="AK200" s="128">
        <f t="shared" si="45"/>
        <v>0</v>
      </c>
      <c r="AL200" s="131">
        <f>IFERROR(_xlfn.XLOOKUP($AG200,[47]Sheet1!$E$108:$E$132,[47]Sheet1!H$108:H$132),0)</f>
        <v>0</v>
      </c>
      <c r="AM200" s="128">
        <f t="shared" si="46"/>
        <v>0</v>
      </c>
      <c r="AN200" s="131">
        <f>IFERROR(_xlfn.XLOOKUP($AG200,[47]Sheet1!$E$108:$E$132,[47]Sheet1!G$108:G$132),0)</f>
        <v>0</v>
      </c>
      <c r="AO200" s="129">
        <f t="shared" si="47"/>
        <v>0</v>
      </c>
    </row>
    <row r="201" spans="2:41" x14ac:dyDescent="0.2">
      <c r="B201" s="115" t="s">
        <v>1273</v>
      </c>
      <c r="C201" s="115" t="s">
        <v>1274</v>
      </c>
      <c r="D201" s="115" t="s">
        <v>173</v>
      </c>
      <c r="E201" s="115" t="s">
        <v>1439</v>
      </c>
      <c r="F201" s="115"/>
      <c r="G201" s="131">
        <v>3047</v>
      </c>
      <c r="H201" s="115">
        <v>313</v>
      </c>
      <c r="I201" s="128">
        <f t="shared" si="39"/>
        <v>10.272399081063341</v>
      </c>
      <c r="J201" s="115">
        <v>101</v>
      </c>
      <c r="K201" s="128">
        <f t="shared" si="40"/>
        <v>32.268370607028757</v>
      </c>
      <c r="L201" s="115">
        <v>42</v>
      </c>
      <c r="M201" s="129">
        <f t="shared" si="41"/>
        <v>13.418530351437701</v>
      </c>
      <c r="N201" s="130"/>
      <c r="O201" s="130"/>
      <c r="P201" s="115" t="s">
        <v>1273</v>
      </c>
      <c r="Q201" s="115" t="s">
        <v>1274</v>
      </c>
      <c r="R201" s="115" t="s">
        <v>173</v>
      </c>
      <c r="S201" s="115" t="s">
        <v>1439</v>
      </c>
      <c r="T201" s="115"/>
      <c r="U201" s="131">
        <v>3047</v>
      </c>
      <c r="V201" s="131">
        <f>IFERROR(_xlfn.XLOOKUP($S201,'[47]Tgl 8'!$E$108:$E$156,'[47]Tgl 8'!$F$108:$F$156),0)</f>
        <v>64</v>
      </c>
      <c r="W201" s="128">
        <f t="shared" si="42"/>
        <v>2.1004266491631114</v>
      </c>
      <c r="X201" s="131">
        <f>IFERROR(_xlfn.XLOOKUP($S201,'[47]Tgl 8'!$E$108:$E$156,'[47]Tgl 8'!$H$108:$H$156),0)</f>
        <v>20</v>
      </c>
      <c r="Y201" s="128">
        <f t="shared" si="43"/>
        <v>31.25</v>
      </c>
      <c r="Z201" s="131">
        <f>IFERROR(_xlfn.XLOOKUP($S201,'[47]Tgl 8'!$E$108:$E$156,'[47]Tgl 8'!$G$108:$G$156),0)</f>
        <v>5</v>
      </c>
      <c r="AA201" s="129">
        <f t="shared" si="44"/>
        <v>7.8125</v>
      </c>
      <c r="AB201" s="130"/>
      <c r="AC201" s="130"/>
      <c r="AD201" s="115" t="s">
        <v>1273</v>
      </c>
      <c r="AE201" s="115" t="s">
        <v>1274</v>
      </c>
      <c r="AF201" s="115" t="s">
        <v>173</v>
      </c>
      <c r="AG201" s="115" t="s">
        <v>1439</v>
      </c>
      <c r="AH201" s="115"/>
      <c r="AI201" s="131">
        <v>3047</v>
      </c>
      <c r="AJ201" s="131">
        <f>IFERROR(_xlfn.XLOOKUP($AG201,[47]Sheet1!$E$108:$E$132,[47]Sheet1!F$108:F$132),0)</f>
        <v>392</v>
      </c>
      <c r="AK201" s="128">
        <f t="shared" si="45"/>
        <v>12.865113226124057</v>
      </c>
      <c r="AL201" s="131">
        <f>IFERROR(_xlfn.XLOOKUP($AG201,[47]Sheet1!$E$108:$E$132,[47]Sheet1!H$108:H$132),0)</f>
        <v>116</v>
      </c>
      <c r="AM201" s="128">
        <f t="shared" si="46"/>
        <v>29.591836734693878</v>
      </c>
      <c r="AN201" s="131">
        <f>IFERROR(_xlfn.XLOOKUP($AG201,[47]Sheet1!$E$108:$E$132,[47]Sheet1!G$108:G$132),0)</f>
        <v>104</v>
      </c>
      <c r="AO201" s="129">
        <f t="shared" si="47"/>
        <v>26.530612244897959</v>
      </c>
    </row>
    <row r="202" spans="2:41" x14ac:dyDescent="0.2">
      <c r="B202" s="115" t="s">
        <v>1273</v>
      </c>
      <c r="C202" s="115" t="s">
        <v>1274</v>
      </c>
      <c r="D202" s="115" t="s">
        <v>173</v>
      </c>
      <c r="E202" s="115" t="s">
        <v>1440</v>
      </c>
      <c r="F202" s="115"/>
      <c r="G202" s="131">
        <v>4069</v>
      </c>
      <c r="H202" s="115">
        <v>310</v>
      </c>
      <c r="I202" s="128">
        <f t="shared" si="39"/>
        <v>7.61857950356353</v>
      </c>
      <c r="J202" s="115">
        <v>138</v>
      </c>
      <c r="K202" s="128">
        <f t="shared" si="40"/>
        <v>44.516129032258064</v>
      </c>
      <c r="L202" s="115">
        <v>27</v>
      </c>
      <c r="M202" s="129">
        <f t="shared" si="41"/>
        <v>8.7096774193548381</v>
      </c>
      <c r="N202" s="130"/>
      <c r="O202" s="130"/>
      <c r="P202" s="115" t="s">
        <v>1273</v>
      </c>
      <c r="Q202" s="115" t="s">
        <v>1274</v>
      </c>
      <c r="R202" s="115" t="s">
        <v>173</v>
      </c>
      <c r="S202" s="115" t="s">
        <v>1440</v>
      </c>
      <c r="T202" s="115"/>
      <c r="U202" s="131">
        <v>4069</v>
      </c>
      <c r="V202" s="131">
        <f>IFERROR(_xlfn.XLOOKUP($S202,'[47]Tgl 8'!$E$108:$E$156,'[47]Tgl 8'!$F$108:$F$156),0)</f>
        <v>0</v>
      </c>
      <c r="W202" s="128">
        <f t="shared" si="42"/>
        <v>0</v>
      </c>
      <c r="X202" s="131">
        <f>IFERROR(_xlfn.XLOOKUP($S202,'[47]Tgl 8'!$E$108:$E$156,'[47]Tgl 8'!$H$108:$H$156),0)</f>
        <v>0</v>
      </c>
      <c r="Y202" s="128">
        <f t="shared" si="43"/>
        <v>0</v>
      </c>
      <c r="Z202" s="131">
        <f>IFERROR(_xlfn.XLOOKUP($S202,'[47]Tgl 8'!$E$108:$E$156,'[47]Tgl 8'!$G$108:$G$156),0)</f>
        <v>0</v>
      </c>
      <c r="AA202" s="129">
        <f t="shared" si="44"/>
        <v>0</v>
      </c>
      <c r="AB202" s="130"/>
      <c r="AC202" s="130"/>
      <c r="AD202" s="115" t="s">
        <v>1273</v>
      </c>
      <c r="AE202" s="115" t="s">
        <v>1274</v>
      </c>
      <c r="AF202" s="115" t="s">
        <v>173</v>
      </c>
      <c r="AG202" s="115" t="s">
        <v>1440</v>
      </c>
      <c r="AH202" s="115"/>
      <c r="AI202" s="131">
        <v>4069</v>
      </c>
      <c r="AJ202" s="131">
        <f>IFERROR(_xlfn.XLOOKUP($AG202,[47]Sheet1!$E$108:$E$132,[47]Sheet1!F$108:F$132),0)</f>
        <v>379</v>
      </c>
      <c r="AK202" s="128">
        <f t="shared" si="45"/>
        <v>9.3143278446792834</v>
      </c>
      <c r="AL202" s="131">
        <f>IFERROR(_xlfn.XLOOKUP($AG202,[47]Sheet1!$E$108:$E$132,[47]Sheet1!H$108:H$132),0)</f>
        <v>114</v>
      </c>
      <c r="AM202" s="128">
        <f t="shared" si="46"/>
        <v>30.079155672823219</v>
      </c>
      <c r="AN202" s="131">
        <f>IFERROR(_xlfn.XLOOKUP($AG202,[47]Sheet1!$E$108:$E$132,[47]Sheet1!G$108:G$132),0)</f>
        <v>108</v>
      </c>
      <c r="AO202" s="129">
        <f t="shared" si="47"/>
        <v>28.496042216358838</v>
      </c>
    </row>
    <row r="203" spans="2:41" x14ac:dyDescent="0.2">
      <c r="B203" s="115" t="s">
        <v>1273</v>
      </c>
      <c r="C203" s="115" t="s">
        <v>1274</v>
      </c>
      <c r="D203" s="115" t="s">
        <v>216</v>
      </c>
      <c r="E203" s="115" t="s">
        <v>1441</v>
      </c>
      <c r="F203" s="115"/>
      <c r="G203" s="131">
        <v>3487</v>
      </c>
      <c r="H203" s="115">
        <v>0</v>
      </c>
      <c r="I203" s="128">
        <f t="shared" si="39"/>
        <v>0</v>
      </c>
      <c r="J203" s="115">
        <v>0</v>
      </c>
      <c r="K203" s="128">
        <f t="shared" si="40"/>
        <v>0</v>
      </c>
      <c r="L203" s="115">
        <v>0</v>
      </c>
      <c r="M203" s="129">
        <f t="shared" si="41"/>
        <v>0</v>
      </c>
      <c r="N203" s="130"/>
      <c r="O203" s="130"/>
      <c r="P203" s="115" t="s">
        <v>1273</v>
      </c>
      <c r="Q203" s="115" t="s">
        <v>1274</v>
      </c>
      <c r="R203" s="115" t="s">
        <v>216</v>
      </c>
      <c r="S203" s="115" t="s">
        <v>1441</v>
      </c>
      <c r="T203" s="115"/>
      <c r="U203" s="131">
        <v>3487</v>
      </c>
      <c r="V203" s="131">
        <f>IFERROR(_xlfn.XLOOKUP($S203,'[47]Tgl 8'!$E$108:$E$156,'[47]Tgl 8'!$F$108:$F$156),0)</f>
        <v>0</v>
      </c>
      <c r="W203" s="128">
        <f t="shared" si="42"/>
        <v>0</v>
      </c>
      <c r="X203" s="131">
        <f>IFERROR(_xlfn.XLOOKUP($S203,'[47]Tgl 8'!$E$108:$E$156,'[47]Tgl 8'!$H$108:$H$156),0)</f>
        <v>0</v>
      </c>
      <c r="Y203" s="128">
        <f t="shared" si="43"/>
        <v>0</v>
      </c>
      <c r="Z203" s="131">
        <f>IFERROR(_xlfn.XLOOKUP($S203,'[47]Tgl 8'!$E$108:$E$156,'[47]Tgl 8'!$G$108:$G$156),0)</f>
        <v>0</v>
      </c>
      <c r="AA203" s="129">
        <f t="shared" si="44"/>
        <v>0</v>
      </c>
      <c r="AB203" s="130"/>
      <c r="AC203" s="130"/>
      <c r="AD203" s="115" t="s">
        <v>1273</v>
      </c>
      <c r="AE203" s="115" t="s">
        <v>1274</v>
      </c>
      <c r="AF203" s="115" t="s">
        <v>216</v>
      </c>
      <c r="AG203" s="115" t="s">
        <v>1441</v>
      </c>
      <c r="AH203" s="115"/>
      <c r="AI203" s="131">
        <v>3487</v>
      </c>
      <c r="AJ203" s="131">
        <f>IFERROR(_xlfn.XLOOKUP($AG203,[47]Sheet1!$E$108:$E$132,[47]Sheet1!F$108:F$132),0)</f>
        <v>0</v>
      </c>
      <c r="AK203" s="128">
        <f t="shared" si="45"/>
        <v>0</v>
      </c>
      <c r="AL203" s="131">
        <f>IFERROR(_xlfn.XLOOKUP($AG203,[47]Sheet1!$E$108:$E$132,[47]Sheet1!H$108:H$132),0)</f>
        <v>0</v>
      </c>
      <c r="AM203" s="128">
        <f t="shared" si="46"/>
        <v>0</v>
      </c>
      <c r="AN203" s="131">
        <f>IFERROR(_xlfn.XLOOKUP($AG203,[47]Sheet1!$E$108:$E$132,[47]Sheet1!G$108:G$132),0)</f>
        <v>0</v>
      </c>
      <c r="AO203" s="129">
        <f t="shared" si="47"/>
        <v>0</v>
      </c>
    </row>
    <row r="204" spans="2:41" x14ac:dyDescent="0.2">
      <c r="B204" s="115" t="s">
        <v>1273</v>
      </c>
      <c r="C204" s="115" t="s">
        <v>1274</v>
      </c>
      <c r="D204" s="115" t="s">
        <v>216</v>
      </c>
      <c r="E204" s="115" t="s">
        <v>1442</v>
      </c>
      <c r="F204" s="115"/>
      <c r="G204" s="131">
        <v>3512</v>
      </c>
      <c r="H204" s="115">
        <v>0</v>
      </c>
      <c r="I204" s="128">
        <f t="shared" si="39"/>
        <v>0</v>
      </c>
      <c r="J204" s="115">
        <v>0</v>
      </c>
      <c r="K204" s="128">
        <f t="shared" si="40"/>
        <v>0</v>
      </c>
      <c r="L204" s="115">
        <v>0</v>
      </c>
      <c r="M204" s="129">
        <f t="shared" si="41"/>
        <v>0</v>
      </c>
      <c r="N204" s="130"/>
      <c r="O204" s="130"/>
      <c r="P204" s="115" t="s">
        <v>1273</v>
      </c>
      <c r="Q204" s="115" t="s">
        <v>1274</v>
      </c>
      <c r="R204" s="115" t="s">
        <v>216</v>
      </c>
      <c r="S204" s="115" t="s">
        <v>1442</v>
      </c>
      <c r="T204" s="115"/>
      <c r="U204" s="131">
        <v>3512</v>
      </c>
      <c r="V204" s="131">
        <f>IFERROR(_xlfn.XLOOKUP($S204,'[47]Tgl 8'!$E$108:$E$156,'[47]Tgl 8'!$F$108:$F$156),0)</f>
        <v>0</v>
      </c>
      <c r="W204" s="128">
        <f t="shared" si="42"/>
        <v>0</v>
      </c>
      <c r="X204" s="131">
        <f>IFERROR(_xlfn.XLOOKUP($S204,'[47]Tgl 8'!$E$108:$E$156,'[47]Tgl 8'!$H$108:$H$156),0)</f>
        <v>0</v>
      </c>
      <c r="Y204" s="128">
        <f t="shared" si="43"/>
        <v>0</v>
      </c>
      <c r="Z204" s="131">
        <f>IFERROR(_xlfn.XLOOKUP($S204,'[47]Tgl 8'!$E$108:$E$156,'[47]Tgl 8'!$G$108:$G$156),0)</f>
        <v>0</v>
      </c>
      <c r="AA204" s="129">
        <f t="shared" si="44"/>
        <v>0</v>
      </c>
      <c r="AB204" s="130"/>
      <c r="AC204" s="130"/>
      <c r="AD204" s="115" t="s">
        <v>1273</v>
      </c>
      <c r="AE204" s="115" t="s">
        <v>1274</v>
      </c>
      <c r="AF204" s="115" t="s">
        <v>216</v>
      </c>
      <c r="AG204" s="115" t="s">
        <v>1442</v>
      </c>
      <c r="AH204" s="115"/>
      <c r="AI204" s="131">
        <v>3512</v>
      </c>
      <c r="AJ204" s="131">
        <f>IFERROR(_xlfn.XLOOKUP($AG204,[47]Sheet1!$E$108:$E$132,[47]Sheet1!F$108:F$132),0)</f>
        <v>0</v>
      </c>
      <c r="AK204" s="128">
        <f t="shared" si="45"/>
        <v>0</v>
      </c>
      <c r="AL204" s="131">
        <f>IFERROR(_xlfn.XLOOKUP($AG204,[47]Sheet1!$E$108:$E$132,[47]Sheet1!H$108:H$132),0)</f>
        <v>0</v>
      </c>
      <c r="AM204" s="128">
        <f t="shared" si="46"/>
        <v>0</v>
      </c>
      <c r="AN204" s="131">
        <f>IFERROR(_xlfn.XLOOKUP($AG204,[47]Sheet1!$E$108:$E$132,[47]Sheet1!G$108:G$132),0)</f>
        <v>0</v>
      </c>
      <c r="AO204" s="129">
        <f t="shared" si="47"/>
        <v>0</v>
      </c>
    </row>
    <row r="205" spans="2:41" x14ac:dyDescent="0.2">
      <c r="B205" s="115" t="s">
        <v>1273</v>
      </c>
      <c r="C205" s="115" t="s">
        <v>1274</v>
      </c>
      <c r="D205" s="115" t="s">
        <v>216</v>
      </c>
      <c r="E205" s="115" t="s">
        <v>1443</v>
      </c>
      <c r="F205" s="115"/>
      <c r="G205" s="131">
        <v>3138</v>
      </c>
      <c r="H205" s="115">
        <v>0</v>
      </c>
      <c r="I205" s="128">
        <f t="shared" si="39"/>
        <v>0</v>
      </c>
      <c r="J205" s="115">
        <v>0</v>
      </c>
      <c r="K205" s="128">
        <f t="shared" si="40"/>
        <v>0</v>
      </c>
      <c r="L205" s="115">
        <v>0</v>
      </c>
      <c r="M205" s="129">
        <f t="shared" si="41"/>
        <v>0</v>
      </c>
      <c r="N205" s="130"/>
      <c r="O205" s="130"/>
      <c r="P205" s="115" t="s">
        <v>1273</v>
      </c>
      <c r="Q205" s="115" t="s">
        <v>1274</v>
      </c>
      <c r="R205" s="115" t="s">
        <v>216</v>
      </c>
      <c r="S205" s="115" t="s">
        <v>1443</v>
      </c>
      <c r="T205" s="115"/>
      <c r="U205" s="131">
        <v>3138</v>
      </c>
      <c r="V205" s="131">
        <f>IFERROR(_xlfn.XLOOKUP($S205,'[47]Tgl 8'!$E$108:$E$156,'[47]Tgl 8'!$F$108:$F$156),0)</f>
        <v>0</v>
      </c>
      <c r="W205" s="128">
        <f t="shared" si="42"/>
        <v>0</v>
      </c>
      <c r="X205" s="131">
        <f>IFERROR(_xlfn.XLOOKUP($S205,'[47]Tgl 8'!$E$108:$E$156,'[47]Tgl 8'!$H$108:$H$156),0)</f>
        <v>0</v>
      </c>
      <c r="Y205" s="128">
        <f t="shared" si="43"/>
        <v>0</v>
      </c>
      <c r="Z205" s="131">
        <f>IFERROR(_xlfn.XLOOKUP($S205,'[47]Tgl 8'!$E$108:$E$156,'[47]Tgl 8'!$G$108:$G$156),0)</f>
        <v>0</v>
      </c>
      <c r="AA205" s="129">
        <f t="shared" si="44"/>
        <v>0</v>
      </c>
      <c r="AB205" s="130"/>
      <c r="AC205" s="130"/>
      <c r="AD205" s="115" t="s">
        <v>1273</v>
      </c>
      <c r="AE205" s="115" t="s">
        <v>1274</v>
      </c>
      <c r="AF205" s="115" t="s">
        <v>216</v>
      </c>
      <c r="AG205" s="115" t="s">
        <v>1443</v>
      </c>
      <c r="AH205" s="115"/>
      <c r="AI205" s="131">
        <v>3138</v>
      </c>
      <c r="AJ205" s="131">
        <f>IFERROR(_xlfn.XLOOKUP($AG205,[47]Sheet1!$E$108:$E$132,[47]Sheet1!F$108:F$132),0)</f>
        <v>0</v>
      </c>
      <c r="AK205" s="128">
        <f t="shared" si="45"/>
        <v>0</v>
      </c>
      <c r="AL205" s="131">
        <f>IFERROR(_xlfn.XLOOKUP($AG205,[47]Sheet1!$E$108:$E$132,[47]Sheet1!H$108:H$132),0)</f>
        <v>0</v>
      </c>
      <c r="AM205" s="128">
        <f t="shared" si="46"/>
        <v>0</v>
      </c>
      <c r="AN205" s="131">
        <f>IFERROR(_xlfn.XLOOKUP($AG205,[47]Sheet1!$E$108:$E$132,[47]Sheet1!G$108:G$132),0)</f>
        <v>0</v>
      </c>
      <c r="AO205" s="129">
        <f t="shared" si="47"/>
        <v>0</v>
      </c>
    </row>
    <row r="206" spans="2:41" x14ac:dyDescent="0.2">
      <c r="B206" s="115" t="s">
        <v>1273</v>
      </c>
      <c r="C206" s="115" t="s">
        <v>1274</v>
      </c>
      <c r="D206" s="115" t="s">
        <v>216</v>
      </c>
      <c r="E206" s="115" t="s">
        <v>1444</v>
      </c>
      <c r="F206" s="115"/>
      <c r="G206" s="131">
        <v>3081</v>
      </c>
      <c r="H206" s="115">
        <v>0</v>
      </c>
      <c r="I206" s="128">
        <f t="shared" si="39"/>
        <v>0</v>
      </c>
      <c r="J206" s="115">
        <v>0</v>
      </c>
      <c r="K206" s="128">
        <f t="shared" si="40"/>
        <v>0</v>
      </c>
      <c r="L206" s="115">
        <v>0</v>
      </c>
      <c r="M206" s="129">
        <f t="shared" si="41"/>
        <v>0</v>
      </c>
      <c r="N206" s="130"/>
      <c r="O206" s="130"/>
      <c r="P206" s="115" t="s">
        <v>1273</v>
      </c>
      <c r="Q206" s="115" t="s">
        <v>1274</v>
      </c>
      <c r="R206" s="115" t="s">
        <v>216</v>
      </c>
      <c r="S206" s="115" t="s">
        <v>1444</v>
      </c>
      <c r="T206" s="115"/>
      <c r="U206" s="131">
        <v>3081</v>
      </c>
      <c r="V206" s="131">
        <f>IFERROR(_xlfn.XLOOKUP($S206,'[47]Tgl 8'!$E$108:$E$156,'[47]Tgl 8'!$F$108:$F$156),0)</f>
        <v>0</v>
      </c>
      <c r="W206" s="128">
        <f t="shared" si="42"/>
        <v>0</v>
      </c>
      <c r="X206" s="131">
        <f>IFERROR(_xlfn.XLOOKUP($S206,'[47]Tgl 8'!$E$108:$E$156,'[47]Tgl 8'!$H$108:$H$156),0)</f>
        <v>0</v>
      </c>
      <c r="Y206" s="128">
        <f t="shared" si="43"/>
        <v>0</v>
      </c>
      <c r="Z206" s="131">
        <f>IFERROR(_xlfn.XLOOKUP($S206,'[47]Tgl 8'!$E$108:$E$156,'[47]Tgl 8'!$G$108:$G$156),0)</f>
        <v>0</v>
      </c>
      <c r="AA206" s="129">
        <f t="shared" si="44"/>
        <v>0</v>
      </c>
      <c r="AB206" s="130"/>
      <c r="AC206" s="130"/>
      <c r="AD206" s="115" t="s">
        <v>1273</v>
      </c>
      <c r="AE206" s="115" t="s">
        <v>1274</v>
      </c>
      <c r="AF206" s="115" t="s">
        <v>216</v>
      </c>
      <c r="AG206" s="115" t="s">
        <v>1444</v>
      </c>
      <c r="AH206" s="115"/>
      <c r="AI206" s="131">
        <v>3081</v>
      </c>
      <c r="AJ206" s="131">
        <f>IFERROR(_xlfn.XLOOKUP($AG206,[47]Sheet1!$E$108:$E$132,[47]Sheet1!F$108:F$132),0)</f>
        <v>0</v>
      </c>
      <c r="AK206" s="128">
        <f t="shared" si="45"/>
        <v>0</v>
      </c>
      <c r="AL206" s="131">
        <f>IFERROR(_xlfn.XLOOKUP($AG206,[47]Sheet1!$E$108:$E$132,[47]Sheet1!H$108:H$132),0)</f>
        <v>0</v>
      </c>
      <c r="AM206" s="128">
        <f t="shared" si="46"/>
        <v>0</v>
      </c>
      <c r="AN206" s="131">
        <f>IFERROR(_xlfn.XLOOKUP($AG206,[47]Sheet1!$E$108:$E$132,[47]Sheet1!G$108:G$132),0)</f>
        <v>0</v>
      </c>
      <c r="AO206" s="129">
        <f t="shared" si="47"/>
        <v>0</v>
      </c>
    </row>
    <row r="207" spans="2:41" x14ac:dyDescent="0.2">
      <c r="B207" s="115" t="s">
        <v>1273</v>
      </c>
      <c r="C207" s="115" t="s">
        <v>1274</v>
      </c>
      <c r="D207" s="115" t="s">
        <v>216</v>
      </c>
      <c r="E207" s="115" t="s">
        <v>1445</v>
      </c>
      <c r="F207" s="115"/>
      <c r="G207" s="131">
        <v>2920</v>
      </c>
      <c r="H207" s="115">
        <v>0</v>
      </c>
      <c r="I207" s="128">
        <f t="shared" si="39"/>
        <v>0</v>
      </c>
      <c r="J207" s="115">
        <v>0</v>
      </c>
      <c r="K207" s="128">
        <f t="shared" si="40"/>
        <v>0</v>
      </c>
      <c r="L207" s="115">
        <v>0</v>
      </c>
      <c r="M207" s="129">
        <f t="shared" si="41"/>
        <v>0</v>
      </c>
      <c r="N207" s="130"/>
      <c r="O207" s="130"/>
      <c r="P207" s="115" t="s">
        <v>1273</v>
      </c>
      <c r="Q207" s="115" t="s">
        <v>1274</v>
      </c>
      <c r="R207" s="115" t="s">
        <v>216</v>
      </c>
      <c r="S207" s="115" t="s">
        <v>1445</v>
      </c>
      <c r="T207" s="115"/>
      <c r="U207" s="131">
        <v>2920</v>
      </c>
      <c r="V207" s="131">
        <f>IFERROR(_xlfn.XLOOKUP($S207,'[47]Tgl 8'!$E$108:$E$156,'[47]Tgl 8'!$F$108:$F$156),0)</f>
        <v>0</v>
      </c>
      <c r="W207" s="128">
        <f t="shared" si="42"/>
        <v>0</v>
      </c>
      <c r="X207" s="131">
        <f>IFERROR(_xlfn.XLOOKUP($S207,'[47]Tgl 8'!$E$108:$E$156,'[47]Tgl 8'!$H$108:$H$156),0)</f>
        <v>0</v>
      </c>
      <c r="Y207" s="128">
        <f t="shared" si="43"/>
        <v>0</v>
      </c>
      <c r="Z207" s="131">
        <f>IFERROR(_xlfn.XLOOKUP($S207,'[47]Tgl 8'!$E$108:$E$156,'[47]Tgl 8'!$G$108:$G$156),0)</f>
        <v>0</v>
      </c>
      <c r="AA207" s="129">
        <f t="shared" si="44"/>
        <v>0</v>
      </c>
      <c r="AB207" s="130"/>
      <c r="AC207" s="130"/>
      <c r="AD207" s="115" t="s">
        <v>1273</v>
      </c>
      <c r="AE207" s="115" t="s">
        <v>1274</v>
      </c>
      <c r="AF207" s="115" t="s">
        <v>216</v>
      </c>
      <c r="AG207" s="115" t="s">
        <v>1445</v>
      </c>
      <c r="AH207" s="115"/>
      <c r="AI207" s="131">
        <v>2920</v>
      </c>
      <c r="AJ207" s="131">
        <f>IFERROR(_xlfn.XLOOKUP($AG207,[47]Sheet1!$E$108:$E$132,[47]Sheet1!F$108:F$132),0)</f>
        <v>0</v>
      </c>
      <c r="AK207" s="128">
        <f t="shared" si="45"/>
        <v>0</v>
      </c>
      <c r="AL207" s="131">
        <f>IFERROR(_xlfn.XLOOKUP($AG207,[47]Sheet1!$E$108:$E$132,[47]Sheet1!H$108:H$132),0)</f>
        <v>0</v>
      </c>
      <c r="AM207" s="128">
        <f t="shared" si="46"/>
        <v>0</v>
      </c>
      <c r="AN207" s="131">
        <f>IFERROR(_xlfn.XLOOKUP($AG207,[47]Sheet1!$E$108:$E$132,[47]Sheet1!G$108:G$132),0)</f>
        <v>0</v>
      </c>
      <c r="AO207" s="129">
        <f t="shared" si="47"/>
        <v>0</v>
      </c>
    </row>
    <row r="208" spans="2:41" x14ac:dyDescent="0.2">
      <c r="B208" s="115" t="s">
        <v>1273</v>
      </c>
      <c r="C208" s="115" t="s">
        <v>1274</v>
      </c>
      <c r="D208" s="115" t="s">
        <v>216</v>
      </c>
      <c r="E208" s="115" t="s">
        <v>1446</v>
      </c>
      <c r="F208" s="115"/>
      <c r="G208" s="131">
        <v>4187</v>
      </c>
      <c r="H208" s="115">
        <v>0</v>
      </c>
      <c r="I208" s="128">
        <f t="shared" si="39"/>
        <v>0</v>
      </c>
      <c r="J208" s="115">
        <v>0</v>
      </c>
      <c r="K208" s="128">
        <f t="shared" si="40"/>
        <v>0</v>
      </c>
      <c r="L208" s="115">
        <v>0</v>
      </c>
      <c r="M208" s="129">
        <f t="shared" si="41"/>
        <v>0</v>
      </c>
      <c r="N208" s="130"/>
      <c r="O208" s="130"/>
      <c r="P208" s="115" t="s">
        <v>1273</v>
      </c>
      <c r="Q208" s="115" t="s">
        <v>1274</v>
      </c>
      <c r="R208" s="115" t="s">
        <v>216</v>
      </c>
      <c r="S208" s="115" t="s">
        <v>1446</v>
      </c>
      <c r="T208" s="115"/>
      <c r="U208" s="131">
        <v>4187</v>
      </c>
      <c r="V208" s="131">
        <f>IFERROR(_xlfn.XLOOKUP($S208,'[47]Tgl 8'!$E$108:$E$156,'[47]Tgl 8'!$F$108:$F$156),0)</f>
        <v>0</v>
      </c>
      <c r="W208" s="128">
        <f t="shared" si="42"/>
        <v>0</v>
      </c>
      <c r="X208" s="131">
        <f>IFERROR(_xlfn.XLOOKUP($S208,'[47]Tgl 8'!$E$108:$E$156,'[47]Tgl 8'!$H$108:$H$156),0)</f>
        <v>0</v>
      </c>
      <c r="Y208" s="128">
        <f t="shared" si="43"/>
        <v>0</v>
      </c>
      <c r="Z208" s="131">
        <f>IFERROR(_xlfn.XLOOKUP($S208,'[47]Tgl 8'!$E$108:$E$156,'[47]Tgl 8'!$G$108:$G$156),0)</f>
        <v>0</v>
      </c>
      <c r="AA208" s="129">
        <f t="shared" si="44"/>
        <v>0</v>
      </c>
      <c r="AB208" s="130"/>
      <c r="AC208" s="130"/>
      <c r="AD208" s="115" t="s">
        <v>1273</v>
      </c>
      <c r="AE208" s="115" t="s">
        <v>1274</v>
      </c>
      <c r="AF208" s="115" t="s">
        <v>216</v>
      </c>
      <c r="AG208" s="115" t="s">
        <v>1446</v>
      </c>
      <c r="AH208" s="115"/>
      <c r="AI208" s="131">
        <v>4187</v>
      </c>
      <c r="AJ208" s="131">
        <f>IFERROR(_xlfn.XLOOKUP($AG208,[47]Sheet1!$E$108:$E$132,[47]Sheet1!F$108:F$132),0)</f>
        <v>0</v>
      </c>
      <c r="AK208" s="128">
        <f t="shared" si="45"/>
        <v>0</v>
      </c>
      <c r="AL208" s="131">
        <f>IFERROR(_xlfn.XLOOKUP($AG208,[47]Sheet1!$E$108:$E$132,[47]Sheet1!H$108:H$132),0)</f>
        <v>0</v>
      </c>
      <c r="AM208" s="128">
        <f t="shared" si="46"/>
        <v>0</v>
      </c>
      <c r="AN208" s="131">
        <f>IFERROR(_xlfn.XLOOKUP($AG208,[47]Sheet1!$E$108:$E$132,[47]Sheet1!G$108:G$132),0)</f>
        <v>0</v>
      </c>
      <c r="AO208" s="129">
        <f t="shared" si="47"/>
        <v>0</v>
      </c>
    </row>
    <row r="209" spans="2:41" x14ac:dyDescent="0.2">
      <c r="B209" s="115" t="s">
        <v>1273</v>
      </c>
      <c r="C209" s="115" t="s">
        <v>1274</v>
      </c>
      <c r="D209" s="115" t="s">
        <v>216</v>
      </c>
      <c r="E209" s="115" t="s">
        <v>1447</v>
      </c>
      <c r="F209" s="115"/>
      <c r="G209" s="131">
        <v>2486</v>
      </c>
      <c r="H209" s="115">
        <v>394</v>
      </c>
      <c r="I209" s="128">
        <f t="shared" si="39"/>
        <v>15.84875301689461</v>
      </c>
      <c r="J209" s="115">
        <v>309</v>
      </c>
      <c r="K209" s="128">
        <f t="shared" si="40"/>
        <v>78.426395939086291</v>
      </c>
      <c r="L209" s="115">
        <v>10</v>
      </c>
      <c r="M209" s="129">
        <f t="shared" si="41"/>
        <v>2.5380710659898478</v>
      </c>
      <c r="N209" s="130"/>
      <c r="O209" s="130"/>
      <c r="P209" s="115" t="s">
        <v>1273</v>
      </c>
      <c r="Q209" s="115" t="s">
        <v>1274</v>
      </c>
      <c r="R209" s="115" t="s">
        <v>216</v>
      </c>
      <c r="S209" s="115" t="s">
        <v>1447</v>
      </c>
      <c r="T209" s="115"/>
      <c r="U209" s="131">
        <v>2486</v>
      </c>
      <c r="V209" s="131">
        <f>IFERROR(_xlfn.XLOOKUP($S209,'[47]Tgl 8'!$E$108:$E$156,'[47]Tgl 8'!$F$108:$F$156),0)</f>
        <v>30</v>
      </c>
      <c r="W209" s="128">
        <f t="shared" si="42"/>
        <v>1.2067578439259856</v>
      </c>
      <c r="X209" s="131">
        <f>IFERROR(_xlfn.XLOOKUP($S209,'[47]Tgl 8'!$E$108:$E$156,'[47]Tgl 8'!$H$108:$H$156),0)</f>
        <v>7</v>
      </c>
      <c r="Y209" s="128">
        <f t="shared" si="43"/>
        <v>23.333333333333336</v>
      </c>
      <c r="Z209" s="131">
        <f>IFERROR(_xlfn.XLOOKUP($S209,'[47]Tgl 8'!$E$108:$E$156,'[47]Tgl 8'!$G$108:$G$156),0)</f>
        <v>14</v>
      </c>
      <c r="AA209" s="129">
        <f t="shared" si="44"/>
        <v>46.666666666666671</v>
      </c>
      <c r="AB209" s="130"/>
      <c r="AC209" s="130"/>
      <c r="AD209" s="115" t="s">
        <v>1273</v>
      </c>
      <c r="AE209" s="115" t="s">
        <v>1274</v>
      </c>
      <c r="AF209" s="115" t="s">
        <v>216</v>
      </c>
      <c r="AG209" s="115" t="s">
        <v>1447</v>
      </c>
      <c r="AH209" s="115"/>
      <c r="AI209" s="131">
        <v>2486</v>
      </c>
      <c r="AJ209" s="131">
        <f>IFERROR(_xlfn.XLOOKUP($AG209,[47]Sheet1!$E$108:$E$132,[47]Sheet1!F$108:F$132),0)</f>
        <v>0</v>
      </c>
      <c r="AK209" s="128">
        <f t="shared" si="45"/>
        <v>0</v>
      </c>
      <c r="AL209" s="131">
        <f>IFERROR(_xlfn.XLOOKUP($AG209,[47]Sheet1!$E$108:$E$132,[47]Sheet1!H$108:H$132),0)</f>
        <v>0</v>
      </c>
      <c r="AM209" s="128">
        <f t="shared" si="46"/>
        <v>0</v>
      </c>
      <c r="AN209" s="131">
        <f>IFERROR(_xlfn.XLOOKUP($AG209,[47]Sheet1!$E$108:$E$132,[47]Sheet1!G$108:G$132),0)</f>
        <v>0</v>
      </c>
      <c r="AO209" s="129">
        <f t="shared" si="47"/>
        <v>0</v>
      </c>
    </row>
    <row r="210" spans="2:41" x14ac:dyDescent="0.2">
      <c r="B210" s="115" t="s">
        <v>1273</v>
      </c>
      <c r="C210" s="115" t="s">
        <v>1274</v>
      </c>
      <c r="D210" s="115" t="s">
        <v>216</v>
      </c>
      <c r="E210" s="115" t="s">
        <v>1448</v>
      </c>
      <c r="F210" s="115"/>
      <c r="G210" s="131">
        <v>3249</v>
      </c>
      <c r="H210" s="115">
        <v>375</v>
      </c>
      <c r="I210" s="128">
        <f t="shared" si="39"/>
        <v>11.542012927054477</v>
      </c>
      <c r="J210" s="115">
        <v>197</v>
      </c>
      <c r="K210" s="128">
        <f t="shared" si="40"/>
        <v>52.533333333333331</v>
      </c>
      <c r="L210" s="115">
        <v>23</v>
      </c>
      <c r="M210" s="129">
        <f t="shared" si="41"/>
        <v>6.1333333333333337</v>
      </c>
      <c r="N210" s="130"/>
      <c r="O210" s="130"/>
      <c r="P210" s="115" t="s">
        <v>1273</v>
      </c>
      <c r="Q210" s="115" t="s">
        <v>1274</v>
      </c>
      <c r="R210" s="115" t="s">
        <v>216</v>
      </c>
      <c r="S210" s="115" t="s">
        <v>1448</v>
      </c>
      <c r="T210" s="115"/>
      <c r="U210" s="131">
        <v>3249</v>
      </c>
      <c r="V210" s="131">
        <f>IFERROR(_xlfn.XLOOKUP($S210,'[47]Tgl 8'!$E$108:$E$156,'[47]Tgl 8'!$F$108:$F$156),0)</f>
        <v>36</v>
      </c>
      <c r="W210" s="128">
        <f t="shared" si="42"/>
        <v>1.1080332409972298</v>
      </c>
      <c r="X210" s="131">
        <f>IFERROR(_xlfn.XLOOKUP($S210,'[47]Tgl 8'!$E$108:$E$156,'[47]Tgl 8'!$H$108:$H$156),0)</f>
        <v>10</v>
      </c>
      <c r="Y210" s="128">
        <f t="shared" si="43"/>
        <v>27.777777777777779</v>
      </c>
      <c r="Z210" s="131">
        <f>IFERROR(_xlfn.XLOOKUP($S210,'[47]Tgl 8'!$E$108:$E$156,'[47]Tgl 8'!$G$108:$G$156),0)</f>
        <v>12</v>
      </c>
      <c r="AA210" s="129">
        <f t="shared" si="44"/>
        <v>33.333333333333336</v>
      </c>
      <c r="AB210" s="130"/>
      <c r="AC210" s="130"/>
      <c r="AD210" s="115" t="s">
        <v>1273</v>
      </c>
      <c r="AE210" s="115" t="s">
        <v>1274</v>
      </c>
      <c r="AF210" s="115" t="s">
        <v>216</v>
      </c>
      <c r="AG210" s="115" t="s">
        <v>1448</v>
      </c>
      <c r="AH210" s="115"/>
      <c r="AI210" s="131">
        <v>3249</v>
      </c>
      <c r="AJ210" s="131">
        <f>IFERROR(_xlfn.XLOOKUP($AG210,[47]Sheet1!$E$108:$E$132,[47]Sheet1!F$108:F$132),0)</f>
        <v>0</v>
      </c>
      <c r="AK210" s="128">
        <f t="shared" si="45"/>
        <v>0</v>
      </c>
      <c r="AL210" s="131">
        <f>IFERROR(_xlfn.XLOOKUP($AG210,[47]Sheet1!$E$108:$E$132,[47]Sheet1!H$108:H$132),0)</f>
        <v>0</v>
      </c>
      <c r="AM210" s="128">
        <f t="shared" si="46"/>
        <v>0</v>
      </c>
      <c r="AN210" s="131">
        <f>IFERROR(_xlfn.XLOOKUP($AG210,[47]Sheet1!$E$108:$E$132,[47]Sheet1!G$108:G$132),0)</f>
        <v>0</v>
      </c>
      <c r="AO210" s="129">
        <f t="shared" si="47"/>
        <v>0</v>
      </c>
    </row>
    <row r="211" spans="2:41" x14ac:dyDescent="0.2">
      <c r="B211" s="110" t="s">
        <v>1273</v>
      </c>
      <c r="C211" s="110" t="s">
        <v>1274</v>
      </c>
      <c r="D211" s="110" t="s">
        <v>216</v>
      </c>
      <c r="E211" s="110" t="s">
        <v>1449</v>
      </c>
      <c r="F211" s="110"/>
      <c r="G211" s="116">
        <v>3738</v>
      </c>
      <c r="H211" s="115">
        <v>436</v>
      </c>
      <c r="I211" s="128">
        <f t="shared" si="39"/>
        <v>11.663991439272337</v>
      </c>
      <c r="J211" s="115">
        <v>183</v>
      </c>
      <c r="K211" s="128">
        <f t="shared" si="40"/>
        <v>41.972477064220179</v>
      </c>
      <c r="L211" s="115">
        <v>17</v>
      </c>
      <c r="M211" s="129">
        <f t="shared" si="41"/>
        <v>3.8990825688073389</v>
      </c>
      <c r="N211" s="130"/>
      <c r="O211" s="130"/>
      <c r="P211" s="115" t="s">
        <v>1273</v>
      </c>
      <c r="Q211" s="115" t="s">
        <v>1274</v>
      </c>
      <c r="R211" s="115" t="s">
        <v>216</v>
      </c>
      <c r="S211" s="115" t="s">
        <v>1449</v>
      </c>
      <c r="T211" s="115"/>
      <c r="U211" s="131">
        <v>3738</v>
      </c>
      <c r="V211" s="131">
        <v>97</v>
      </c>
      <c r="W211" s="128">
        <f t="shared" si="42"/>
        <v>2.5949705724986623</v>
      </c>
      <c r="X211" s="131">
        <v>36</v>
      </c>
      <c r="Y211" s="128">
        <f t="shared" si="43"/>
        <v>37.113402061855673</v>
      </c>
      <c r="Z211" s="131">
        <v>13</v>
      </c>
      <c r="AA211" s="129">
        <f t="shared" si="44"/>
        <v>13.402061855670103</v>
      </c>
      <c r="AB211" s="130"/>
      <c r="AC211" s="130"/>
      <c r="AD211" s="115" t="s">
        <v>1273</v>
      </c>
      <c r="AE211" s="115" t="s">
        <v>1274</v>
      </c>
      <c r="AF211" s="115" t="s">
        <v>216</v>
      </c>
      <c r="AG211" s="115" t="s">
        <v>1449</v>
      </c>
      <c r="AH211" s="115"/>
      <c r="AI211" s="131">
        <v>3738</v>
      </c>
      <c r="AJ211" s="131">
        <f>IFERROR(_xlfn.XLOOKUP($AG211,[47]Sheet1!$E$108:$E$132,[47]Sheet1!F$108:F$132),0)</f>
        <v>0</v>
      </c>
      <c r="AK211" s="128">
        <f t="shared" si="45"/>
        <v>0</v>
      </c>
      <c r="AL211" s="131">
        <f>IFERROR(_xlfn.XLOOKUP($AG211,[47]Sheet1!$E$108:$E$132,[47]Sheet1!H$108:H$132),0)</f>
        <v>0</v>
      </c>
      <c r="AM211" s="128">
        <f t="shared" si="46"/>
        <v>0</v>
      </c>
      <c r="AN211" s="131">
        <f>IFERROR(_xlfn.XLOOKUP($AG211,[47]Sheet1!$E$108:$E$132,[47]Sheet1!G$108:G$132),0)</f>
        <v>0</v>
      </c>
      <c r="AO211" s="129">
        <f t="shared" si="47"/>
        <v>0</v>
      </c>
    </row>
    <row r="212" spans="2:41" x14ac:dyDescent="0.2">
      <c r="B212" s="110" t="s">
        <v>1273</v>
      </c>
      <c r="C212" s="110" t="s">
        <v>1274</v>
      </c>
      <c r="D212" s="110" t="s">
        <v>216</v>
      </c>
      <c r="E212" s="110" t="s">
        <v>1450</v>
      </c>
      <c r="F212" s="110"/>
      <c r="G212" s="116">
        <v>3224</v>
      </c>
      <c r="H212" s="115">
        <v>356</v>
      </c>
      <c r="I212" s="128">
        <f t="shared" si="39"/>
        <v>11.042183622828784</v>
      </c>
      <c r="J212" s="115">
        <v>211</v>
      </c>
      <c r="K212" s="128">
        <f t="shared" si="40"/>
        <v>59.269662921348313</v>
      </c>
      <c r="L212" s="115">
        <v>38</v>
      </c>
      <c r="M212" s="129">
        <f t="shared" si="41"/>
        <v>10.674157303370785</v>
      </c>
      <c r="N212" s="130"/>
      <c r="O212" s="130"/>
      <c r="P212" s="115" t="s">
        <v>1273</v>
      </c>
      <c r="Q212" s="115" t="s">
        <v>1274</v>
      </c>
      <c r="R212" s="115" t="s">
        <v>216</v>
      </c>
      <c r="S212" s="115" t="s">
        <v>1450</v>
      </c>
      <c r="T212" s="115"/>
      <c r="U212" s="131">
        <v>3224</v>
      </c>
      <c r="V212" s="131">
        <v>99</v>
      </c>
      <c r="W212" s="128">
        <f t="shared" si="42"/>
        <v>3.0707196029776673</v>
      </c>
      <c r="X212" s="131">
        <v>44</v>
      </c>
      <c r="Y212" s="128">
        <f t="shared" si="43"/>
        <v>44.444444444444443</v>
      </c>
      <c r="Z212" s="131">
        <v>15</v>
      </c>
      <c r="AA212" s="129">
        <f t="shared" si="44"/>
        <v>15.151515151515152</v>
      </c>
      <c r="AB212" s="130"/>
      <c r="AC212" s="130"/>
      <c r="AD212" s="115" t="s">
        <v>1273</v>
      </c>
      <c r="AE212" s="115" t="s">
        <v>1274</v>
      </c>
      <c r="AF212" s="115" t="s">
        <v>216</v>
      </c>
      <c r="AG212" s="115" t="s">
        <v>1450</v>
      </c>
      <c r="AH212" s="115"/>
      <c r="AI212" s="131">
        <v>3224</v>
      </c>
      <c r="AJ212" s="131">
        <f>IFERROR(_xlfn.XLOOKUP($AG212,[47]Sheet1!$E$108:$E$132,[47]Sheet1!F$108:F$132),0)</f>
        <v>0</v>
      </c>
      <c r="AK212" s="128">
        <f t="shared" si="45"/>
        <v>0</v>
      </c>
      <c r="AL212" s="131">
        <f>IFERROR(_xlfn.XLOOKUP($AG212,[47]Sheet1!$E$108:$E$132,[47]Sheet1!H$108:H$132),0)</f>
        <v>0</v>
      </c>
      <c r="AM212" s="128">
        <f t="shared" si="46"/>
        <v>0</v>
      </c>
      <c r="AN212" s="131">
        <f>IFERROR(_xlfn.XLOOKUP($AG212,[47]Sheet1!$E$108:$E$132,[47]Sheet1!G$108:G$132),0)</f>
        <v>0</v>
      </c>
      <c r="AO212" s="129">
        <f t="shared" si="47"/>
        <v>0</v>
      </c>
    </row>
    <row r="213" spans="2:41" x14ac:dyDescent="0.2">
      <c r="B213" s="110" t="s">
        <v>1273</v>
      </c>
      <c r="C213" s="110" t="s">
        <v>1274</v>
      </c>
      <c r="D213" s="110" t="s">
        <v>216</v>
      </c>
      <c r="E213" s="110" t="s">
        <v>1451</v>
      </c>
      <c r="F213" s="110"/>
      <c r="G213" s="116">
        <v>3074</v>
      </c>
      <c r="H213" s="115">
        <v>413</v>
      </c>
      <c r="I213" s="128">
        <f t="shared" si="39"/>
        <v>13.435263500325309</v>
      </c>
      <c r="J213" s="115">
        <v>244</v>
      </c>
      <c r="K213" s="128">
        <f t="shared" si="40"/>
        <v>59.07990314769976</v>
      </c>
      <c r="L213" s="115">
        <v>42</v>
      </c>
      <c r="M213" s="129">
        <f t="shared" si="41"/>
        <v>10.169491525423728</v>
      </c>
      <c r="N213" s="130"/>
      <c r="O213" s="130"/>
      <c r="P213" s="115" t="s">
        <v>1273</v>
      </c>
      <c r="Q213" s="115" t="s">
        <v>1274</v>
      </c>
      <c r="R213" s="115" t="s">
        <v>216</v>
      </c>
      <c r="S213" s="115" t="s">
        <v>1451</v>
      </c>
      <c r="T213" s="115"/>
      <c r="U213" s="131">
        <v>3074</v>
      </c>
      <c r="V213" s="131">
        <f>IFERROR(_xlfn.XLOOKUP($S213,'[47]Tgl 8'!$E$108:$E$156,'[47]Tgl 8'!$F$108:$F$156),0)</f>
        <v>0</v>
      </c>
      <c r="W213" s="128">
        <f t="shared" si="42"/>
        <v>0</v>
      </c>
      <c r="X213" s="131">
        <f>IFERROR(_xlfn.XLOOKUP($S213,'[47]Tgl 8'!$E$108:$E$156,'[47]Tgl 8'!$H$108:$H$156),0)</f>
        <v>0</v>
      </c>
      <c r="Y213" s="128">
        <f t="shared" si="43"/>
        <v>0</v>
      </c>
      <c r="Z213" s="131">
        <f>IFERROR(_xlfn.XLOOKUP($S213,'[47]Tgl 8'!$E$108:$E$156,'[47]Tgl 8'!$G$108:$G$156),0)</f>
        <v>0</v>
      </c>
      <c r="AA213" s="129">
        <f t="shared" si="44"/>
        <v>0</v>
      </c>
      <c r="AB213" s="130"/>
      <c r="AC213" s="130"/>
      <c r="AD213" s="115" t="s">
        <v>1273</v>
      </c>
      <c r="AE213" s="115" t="s">
        <v>1274</v>
      </c>
      <c r="AF213" s="115" t="s">
        <v>216</v>
      </c>
      <c r="AG213" s="115" t="s">
        <v>1451</v>
      </c>
      <c r="AH213" s="115"/>
      <c r="AI213" s="131">
        <v>3074</v>
      </c>
      <c r="AJ213" s="131">
        <f>IFERROR(_xlfn.XLOOKUP($AG213,[47]Sheet1!$E$108:$E$132,[47]Sheet1!F$108:F$132),0)</f>
        <v>0</v>
      </c>
      <c r="AK213" s="128">
        <f t="shared" si="45"/>
        <v>0</v>
      </c>
      <c r="AL213" s="131">
        <f>IFERROR(_xlfn.XLOOKUP($AG213,[47]Sheet1!$E$108:$E$132,[47]Sheet1!H$108:H$132),0)</f>
        <v>0</v>
      </c>
      <c r="AM213" s="128">
        <f t="shared" si="46"/>
        <v>0</v>
      </c>
      <c r="AN213" s="131">
        <f>IFERROR(_xlfn.XLOOKUP($AG213,[47]Sheet1!$E$108:$E$132,[47]Sheet1!G$108:G$132),0)</f>
        <v>0</v>
      </c>
      <c r="AO213" s="129">
        <f t="shared" si="47"/>
        <v>0</v>
      </c>
    </row>
    <row r="214" spans="2:41" x14ac:dyDescent="0.2">
      <c r="B214" s="110" t="s">
        <v>1273</v>
      </c>
      <c r="C214" s="110" t="s">
        <v>1274</v>
      </c>
      <c r="D214" s="110" t="s">
        <v>216</v>
      </c>
      <c r="E214" s="110" t="s">
        <v>1452</v>
      </c>
      <c r="F214" s="110"/>
      <c r="G214" s="116">
        <v>3167</v>
      </c>
      <c r="H214" s="115">
        <v>418</v>
      </c>
      <c r="I214" s="128">
        <f t="shared" si="39"/>
        <v>13.198610672560783</v>
      </c>
      <c r="J214" s="115">
        <v>188</v>
      </c>
      <c r="K214" s="128">
        <f t="shared" si="40"/>
        <v>44.97607655502393</v>
      </c>
      <c r="L214" s="115">
        <v>56</v>
      </c>
      <c r="M214" s="129">
        <f t="shared" si="41"/>
        <v>13.397129186602871</v>
      </c>
      <c r="N214" s="130"/>
      <c r="O214" s="130"/>
      <c r="P214" s="115" t="s">
        <v>1273</v>
      </c>
      <c r="Q214" s="115" t="s">
        <v>1274</v>
      </c>
      <c r="R214" s="115" t="s">
        <v>216</v>
      </c>
      <c r="S214" s="115" t="s">
        <v>1452</v>
      </c>
      <c r="T214" s="115"/>
      <c r="U214" s="131">
        <v>3167</v>
      </c>
      <c r="V214" s="131">
        <f>IFERROR(_xlfn.XLOOKUP($S214,'[47]Tgl 8'!$E$108:$E$156,'[47]Tgl 8'!$F$108:$F$156),0)</f>
        <v>0</v>
      </c>
      <c r="W214" s="128">
        <f t="shared" si="42"/>
        <v>0</v>
      </c>
      <c r="X214" s="131">
        <f>IFERROR(_xlfn.XLOOKUP($S214,'[47]Tgl 8'!$E$108:$E$156,'[47]Tgl 8'!$H$108:$H$156),0)</f>
        <v>0</v>
      </c>
      <c r="Y214" s="128">
        <f t="shared" si="43"/>
        <v>0</v>
      </c>
      <c r="Z214" s="131">
        <f>IFERROR(_xlfn.XLOOKUP($S214,'[47]Tgl 8'!$E$108:$E$156,'[47]Tgl 8'!$G$108:$G$156),0)</f>
        <v>0</v>
      </c>
      <c r="AA214" s="129">
        <f t="shared" si="44"/>
        <v>0</v>
      </c>
      <c r="AB214" s="130"/>
      <c r="AC214" s="130"/>
      <c r="AD214" s="115" t="s">
        <v>1273</v>
      </c>
      <c r="AE214" s="115" t="s">
        <v>1274</v>
      </c>
      <c r="AF214" s="115" t="s">
        <v>216</v>
      </c>
      <c r="AG214" s="115" t="s">
        <v>1452</v>
      </c>
      <c r="AH214" s="115"/>
      <c r="AI214" s="131">
        <v>3167</v>
      </c>
      <c r="AJ214" s="131">
        <f>IFERROR(_xlfn.XLOOKUP($AG214,[47]Sheet1!$E$108:$E$132,[47]Sheet1!F$108:F$132),0)</f>
        <v>0</v>
      </c>
      <c r="AK214" s="128">
        <f t="shared" si="45"/>
        <v>0</v>
      </c>
      <c r="AL214" s="131">
        <f>IFERROR(_xlfn.XLOOKUP($AG214,[47]Sheet1!$E$108:$E$132,[47]Sheet1!H$108:H$132),0)</f>
        <v>0</v>
      </c>
      <c r="AM214" s="128">
        <f t="shared" si="46"/>
        <v>0</v>
      </c>
      <c r="AN214" s="131">
        <f>IFERROR(_xlfn.XLOOKUP($AG214,[47]Sheet1!$E$108:$E$132,[47]Sheet1!G$108:G$132),0)</f>
        <v>0</v>
      </c>
      <c r="AO214" s="129">
        <f t="shared" si="47"/>
        <v>0</v>
      </c>
    </row>
    <row r="215" spans="2:41" x14ac:dyDescent="0.2">
      <c r="B215" s="110" t="s">
        <v>1273</v>
      </c>
      <c r="C215" s="110" t="s">
        <v>1274</v>
      </c>
      <c r="D215" s="110" t="s">
        <v>216</v>
      </c>
      <c r="E215" s="110" t="s">
        <v>1453</v>
      </c>
      <c r="F215" s="110"/>
      <c r="G215" s="116">
        <v>2811</v>
      </c>
      <c r="H215" s="115">
        <v>329</v>
      </c>
      <c r="I215" s="128">
        <f t="shared" si="39"/>
        <v>11.704019921736037</v>
      </c>
      <c r="J215" s="115">
        <v>185</v>
      </c>
      <c r="K215" s="128">
        <f t="shared" si="40"/>
        <v>56.231003039513681</v>
      </c>
      <c r="L215" s="115">
        <v>47</v>
      </c>
      <c r="M215" s="129">
        <f t="shared" si="41"/>
        <v>14.285714285714285</v>
      </c>
      <c r="N215" s="130"/>
      <c r="O215" s="130"/>
      <c r="P215" s="115" t="s">
        <v>1273</v>
      </c>
      <c r="Q215" s="115" t="s">
        <v>1274</v>
      </c>
      <c r="R215" s="115" t="s">
        <v>216</v>
      </c>
      <c r="S215" s="115" t="s">
        <v>1453</v>
      </c>
      <c r="T215" s="115"/>
      <c r="U215" s="131">
        <v>2811</v>
      </c>
      <c r="V215" s="131">
        <f>IFERROR(_xlfn.XLOOKUP($S215,'[47]Tgl 8'!$E$108:$E$156,'[47]Tgl 8'!$F$108:$F$156),0)</f>
        <v>0</v>
      </c>
      <c r="W215" s="128">
        <f t="shared" si="42"/>
        <v>0</v>
      </c>
      <c r="X215" s="131">
        <f>IFERROR(_xlfn.XLOOKUP($S215,'[47]Tgl 8'!$E$108:$E$156,'[47]Tgl 8'!$H$108:$H$156),0)</f>
        <v>0</v>
      </c>
      <c r="Y215" s="128">
        <f t="shared" si="43"/>
        <v>0</v>
      </c>
      <c r="Z215" s="131">
        <f>IFERROR(_xlfn.XLOOKUP($S215,'[47]Tgl 8'!$E$108:$E$156,'[47]Tgl 8'!$G$108:$G$156),0)</f>
        <v>0</v>
      </c>
      <c r="AA215" s="129">
        <f t="shared" si="44"/>
        <v>0</v>
      </c>
      <c r="AB215" s="130"/>
      <c r="AC215" s="130"/>
      <c r="AD215" s="115" t="s">
        <v>1273</v>
      </c>
      <c r="AE215" s="115" t="s">
        <v>1274</v>
      </c>
      <c r="AF215" s="115" t="s">
        <v>216</v>
      </c>
      <c r="AG215" s="115" t="s">
        <v>1453</v>
      </c>
      <c r="AH215" s="115"/>
      <c r="AI215" s="131">
        <v>2811</v>
      </c>
      <c r="AJ215" s="131">
        <f>IFERROR(_xlfn.XLOOKUP($AG215,[47]Sheet1!$E$108:$E$132,[47]Sheet1!F$108:F$132),0)</f>
        <v>0</v>
      </c>
      <c r="AK215" s="128">
        <f t="shared" si="45"/>
        <v>0</v>
      </c>
      <c r="AL215" s="131">
        <f>IFERROR(_xlfn.XLOOKUP($AG215,[47]Sheet1!$E$108:$E$132,[47]Sheet1!H$108:H$132),0)</f>
        <v>0</v>
      </c>
      <c r="AM215" s="128">
        <f t="shared" si="46"/>
        <v>0</v>
      </c>
      <c r="AN215" s="131">
        <f>IFERROR(_xlfn.XLOOKUP($AG215,[47]Sheet1!$E$108:$E$132,[47]Sheet1!G$108:G$132),0)</f>
        <v>0</v>
      </c>
      <c r="AO215" s="129">
        <f t="shared" si="47"/>
        <v>0</v>
      </c>
    </row>
    <row r="216" spans="2:41" x14ac:dyDescent="0.2">
      <c r="B216" s="110" t="s">
        <v>1273</v>
      </c>
      <c r="C216" s="110" t="s">
        <v>1274</v>
      </c>
      <c r="D216" s="110" t="s">
        <v>216</v>
      </c>
      <c r="E216" s="110" t="s">
        <v>1454</v>
      </c>
      <c r="F216" s="110"/>
      <c r="G216" s="116">
        <v>3762</v>
      </c>
      <c r="H216" s="115">
        <v>423</v>
      </c>
      <c r="I216" s="128">
        <f t="shared" si="39"/>
        <v>11.244019138755982</v>
      </c>
      <c r="J216" s="115">
        <v>224</v>
      </c>
      <c r="K216" s="128">
        <f t="shared" si="40"/>
        <v>52.955082742316776</v>
      </c>
      <c r="L216" s="115">
        <v>56</v>
      </c>
      <c r="M216" s="129">
        <f t="shared" si="41"/>
        <v>13.238770685579194</v>
      </c>
      <c r="N216" s="130"/>
      <c r="O216" s="130"/>
      <c r="P216" s="115" t="s">
        <v>1273</v>
      </c>
      <c r="Q216" s="115" t="s">
        <v>1274</v>
      </c>
      <c r="R216" s="115" t="s">
        <v>216</v>
      </c>
      <c r="S216" s="115" t="s">
        <v>1454</v>
      </c>
      <c r="T216" s="115"/>
      <c r="U216" s="131">
        <v>3762</v>
      </c>
      <c r="V216" s="131">
        <f>IFERROR(_xlfn.XLOOKUP($S216,'[47]Tgl 8'!$E$108:$E$156,'[47]Tgl 8'!$F$108:$F$156),0)</f>
        <v>0</v>
      </c>
      <c r="W216" s="128">
        <f t="shared" si="42"/>
        <v>0</v>
      </c>
      <c r="X216" s="131">
        <f>IFERROR(_xlfn.XLOOKUP($S216,'[47]Tgl 8'!$E$108:$E$156,'[47]Tgl 8'!$H$108:$H$156),0)</f>
        <v>0</v>
      </c>
      <c r="Y216" s="128">
        <f t="shared" si="43"/>
        <v>0</v>
      </c>
      <c r="Z216" s="131">
        <f>IFERROR(_xlfn.XLOOKUP($S216,'[47]Tgl 8'!$E$108:$E$156,'[47]Tgl 8'!$G$108:$G$156),0)</f>
        <v>0</v>
      </c>
      <c r="AA216" s="129">
        <f t="shared" si="44"/>
        <v>0</v>
      </c>
      <c r="AB216" s="130"/>
      <c r="AC216" s="130"/>
      <c r="AD216" s="115" t="s">
        <v>1273</v>
      </c>
      <c r="AE216" s="115" t="s">
        <v>1274</v>
      </c>
      <c r="AF216" s="115" t="s">
        <v>216</v>
      </c>
      <c r="AG216" s="115" t="s">
        <v>1454</v>
      </c>
      <c r="AH216" s="115"/>
      <c r="AI216" s="131">
        <v>3762</v>
      </c>
      <c r="AJ216" s="131">
        <f>IFERROR(_xlfn.XLOOKUP($AG216,[47]Sheet1!$E$108:$E$132,[47]Sheet1!F$108:F$132),0)</f>
        <v>0</v>
      </c>
      <c r="AK216" s="128">
        <f t="shared" si="45"/>
        <v>0</v>
      </c>
      <c r="AL216" s="131">
        <f>IFERROR(_xlfn.XLOOKUP($AG216,[47]Sheet1!$E$108:$E$132,[47]Sheet1!H$108:H$132),0)</f>
        <v>0</v>
      </c>
      <c r="AM216" s="128">
        <f t="shared" si="46"/>
        <v>0</v>
      </c>
      <c r="AN216" s="131">
        <f>IFERROR(_xlfn.XLOOKUP($AG216,[47]Sheet1!$E$108:$E$132,[47]Sheet1!G$108:G$132),0)</f>
        <v>0</v>
      </c>
      <c r="AO216" s="129">
        <f t="shared" si="47"/>
        <v>0</v>
      </c>
    </row>
    <row r="217" spans="2:41" x14ac:dyDescent="0.2">
      <c r="B217" s="110" t="s">
        <v>1273</v>
      </c>
      <c r="C217" s="110" t="s">
        <v>1274</v>
      </c>
      <c r="D217" s="110" t="s">
        <v>216</v>
      </c>
      <c r="E217" s="110" t="s">
        <v>1455</v>
      </c>
      <c r="F217" s="110"/>
      <c r="G217" s="116">
        <v>3548</v>
      </c>
      <c r="H217" s="115">
        <v>326</v>
      </c>
      <c r="I217" s="128">
        <f t="shared" ref="I217:I231" si="48">IFERROR(H217/G217%,0)</f>
        <v>9.1882750845546788</v>
      </c>
      <c r="J217" s="115">
        <v>133</v>
      </c>
      <c r="K217" s="128">
        <f t="shared" ref="K217:K231" si="49">IFERROR(J217/H217%,0)</f>
        <v>40.79754601226994</v>
      </c>
      <c r="L217" s="115">
        <v>77</v>
      </c>
      <c r="M217" s="129">
        <f t="shared" ref="M217:M231" si="50">IFERROR(L217/H217%,0)</f>
        <v>23.619631901840492</v>
      </c>
      <c r="N217" s="130"/>
      <c r="O217" s="130"/>
      <c r="P217" s="115" t="s">
        <v>1273</v>
      </c>
      <c r="Q217" s="115" t="s">
        <v>1274</v>
      </c>
      <c r="R217" s="115" t="s">
        <v>216</v>
      </c>
      <c r="S217" s="115" t="s">
        <v>1455</v>
      </c>
      <c r="T217" s="115"/>
      <c r="U217" s="131">
        <v>3548</v>
      </c>
      <c r="V217" s="131">
        <f>IFERROR(_xlfn.XLOOKUP($S217,'[47]Tgl 8'!$E$108:$E$156,'[47]Tgl 8'!$F$108:$F$156),0)</f>
        <v>0</v>
      </c>
      <c r="W217" s="128">
        <f t="shared" ref="W217:W231" si="51">IFERROR(V217/U217%,0)</f>
        <v>0</v>
      </c>
      <c r="X217" s="131">
        <f>IFERROR(_xlfn.XLOOKUP($S217,'[47]Tgl 8'!$E$108:$E$156,'[47]Tgl 8'!$H$108:$H$156),0)</f>
        <v>0</v>
      </c>
      <c r="Y217" s="128">
        <f t="shared" ref="Y217:Y231" si="52">IFERROR(X217/V217%,0)</f>
        <v>0</v>
      </c>
      <c r="Z217" s="131">
        <f>IFERROR(_xlfn.XLOOKUP($S217,'[47]Tgl 8'!$E$108:$E$156,'[47]Tgl 8'!$G$108:$G$156),0)</f>
        <v>0</v>
      </c>
      <c r="AA217" s="129">
        <f t="shared" ref="AA217:AA231" si="53">IFERROR(Z217/V217%,0)</f>
        <v>0</v>
      </c>
      <c r="AB217" s="130"/>
      <c r="AC217" s="130"/>
      <c r="AD217" s="115" t="s">
        <v>1273</v>
      </c>
      <c r="AE217" s="115" t="s">
        <v>1274</v>
      </c>
      <c r="AF217" s="115" t="s">
        <v>216</v>
      </c>
      <c r="AG217" s="115" t="s">
        <v>1455</v>
      </c>
      <c r="AH217" s="115"/>
      <c r="AI217" s="131">
        <v>3548</v>
      </c>
      <c r="AJ217" s="131">
        <f>IFERROR(_xlfn.XLOOKUP($AG217,[47]Sheet1!$E$108:$E$132,[47]Sheet1!F$108:F$132),0)</f>
        <v>0</v>
      </c>
      <c r="AK217" s="128">
        <f t="shared" ref="AK217:AK231" si="54">IFERROR(AJ217/AI217%,0)</f>
        <v>0</v>
      </c>
      <c r="AL217" s="131">
        <f>IFERROR(_xlfn.XLOOKUP($AG217,[47]Sheet1!$E$108:$E$132,[47]Sheet1!H$108:H$132),0)</f>
        <v>0</v>
      </c>
      <c r="AM217" s="128">
        <f t="shared" ref="AM217:AM231" si="55">IFERROR(AL217/AJ217%,0)</f>
        <v>0</v>
      </c>
      <c r="AN217" s="131">
        <f>IFERROR(_xlfn.XLOOKUP($AG217,[47]Sheet1!$E$108:$E$132,[47]Sheet1!G$108:G$132),0)</f>
        <v>0</v>
      </c>
      <c r="AO217" s="129">
        <f t="shared" ref="AO217:AO231" si="56">IFERROR(AN217/AJ217%,0)</f>
        <v>0</v>
      </c>
    </row>
    <row r="218" spans="2:41" x14ac:dyDescent="0.2">
      <c r="B218" s="110" t="s">
        <v>1273</v>
      </c>
      <c r="C218" s="110" t="s">
        <v>1274</v>
      </c>
      <c r="D218" s="110" t="s">
        <v>216</v>
      </c>
      <c r="E218" s="110" t="s">
        <v>1456</v>
      </c>
      <c r="F218" s="110"/>
      <c r="G218" s="116">
        <v>3466</v>
      </c>
      <c r="H218" s="115">
        <v>361</v>
      </c>
      <c r="I218" s="128">
        <f t="shared" si="48"/>
        <v>10.415464512406233</v>
      </c>
      <c r="J218" s="115">
        <v>163</v>
      </c>
      <c r="K218" s="128">
        <f t="shared" si="49"/>
        <v>45.152354570637122</v>
      </c>
      <c r="L218" s="115">
        <v>46</v>
      </c>
      <c r="M218" s="129">
        <f t="shared" si="50"/>
        <v>12.742382271468145</v>
      </c>
      <c r="N218" s="130"/>
      <c r="O218" s="130"/>
      <c r="P218" s="115" t="s">
        <v>1273</v>
      </c>
      <c r="Q218" s="115" t="s">
        <v>1274</v>
      </c>
      <c r="R218" s="115" t="s">
        <v>216</v>
      </c>
      <c r="S218" s="115" t="s">
        <v>1456</v>
      </c>
      <c r="T218" s="115"/>
      <c r="U218" s="131">
        <v>3466</v>
      </c>
      <c r="V218" s="131">
        <f>IFERROR(_xlfn.XLOOKUP($S218,'[47]Tgl 8'!$E$108:$E$156,'[47]Tgl 8'!$F$108:$F$156),0)</f>
        <v>0</v>
      </c>
      <c r="W218" s="128">
        <f t="shared" si="51"/>
        <v>0</v>
      </c>
      <c r="X218" s="131">
        <f>IFERROR(_xlfn.XLOOKUP($S218,'[47]Tgl 8'!$E$108:$E$156,'[47]Tgl 8'!$H$108:$H$156),0)</f>
        <v>0</v>
      </c>
      <c r="Y218" s="128">
        <f t="shared" si="52"/>
        <v>0</v>
      </c>
      <c r="Z218" s="131">
        <f>IFERROR(_xlfn.XLOOKUP($S218,'[47]Tgl 8'!$E$108:$E$156,'[47]Tgl 8'!$G$108:$G$156),0)</f>
        <v>0</v>
      </c>
      <c r="AA218" s="129">
        <f t="shared" si="53"/>
        <v>0</v>
      </c>
      <c r="AB218" s="130"/>
      <c r="AC218" s="130"/>
      <c r="AD218" s="115" t="s">
        <v>1273</v>
      </c>
      <c r="AE218" s="115" t="s">
        <v>1274</v>
      </c>
      <c r="AF218" s="115" t="s">
        <v>216</v>
      </c>
      <c r="AG218" s="115" t="s">
        <v>1456</v>
      </c>
      <c r="AH218" s="115"/>
      <c r="AI218" s="131">
        <v>3466</v>
      </c>
      <c r="AJ218" s="131">
        <f>IFERROR(_xlfn.XLOOKUP($AG218,[47]Sheet1!$E$108:$E$132,[47]Sheet1!F$108:F$132),0)</f>
        <v>0</v>
      </c>
      <c r="AK218" s="128">
        <f t="shared" si="54"/>
        <v>0</v>
      </c>
      <c r="AL218" s="131">
        <f>IFERROR(_xlfn.XLOOKUP($AG218,[47]Sheet1!$E$108:$E$132,[47]Sheet1!H$108:H$132),0)</f>
        <v>0</v>
      </c>
      <c r="AM218" s="128">
        <f t="shared" si="55"/>
        <v>0</v>
      </c>
      <c r="AN218" s="131">
        <f>IFERROR(_xlfn.XLOOKUP($AG218,[47]Sheet1!$E$108:$E$132,[47]Sheet1!G$108:G$132),0)</f>
        <v>0</v>
      </c>
      <c r="AO218" s="129">
        <f t="shared" si="56"/>
        <v>0</v>
      </c>
    </row>
    <row r="219" spans="2:41" x14ac:dyDescent="0.2">
      <c r="B219" s="110" t="s">
        <v>1273</v>
      </c>
      <c r="C219" s="110" t="s">
        <v>1274</v>
      </c>
      <c r="D219" s="110" t="s">
        <v>216</v>
      </c>
      <c r="E219" s="110" t="s">
        <v>1457</v>
      </c>
      <c r="F219" s="110"/>
      <c r="G219" s="116">
        <v>3871</v>
      </c>
      <c r="H219" s="115">
        <v>373</v>
      </c>
      <c r="I219" s="128">
        <f t="shared" si="48"/>
        <v>9.635753035391371</v>
      </c>
      <c r="J219" s="115">
        <v>130</v>
      </c>
      <c r="K219" s="128">
        <f t="shared" si="49"/>
        <v>34.852546916890084</v>
      </c>
      <c r="L219" s="115">
        <v>92</v>
      </c>
      <c r="M219" s="129">
        <f t="shared" si="50"/>
        <v>24.664879356568363</v>
      </c>
      <c r="N219" s="130"/>
      <c r="O219" s="130"/>
      <c r="P219" s="115" t="s">
        <v>1273</v>
      </c>
      <c r="Q219" s="115" t="s">
        <v>1274</v>
      </c>
      <c r="R219" s="115" t="s">
        <v>216</v>
      </c>
      <c r="S219" s="115" t="s">
        <v>1457</v>
      </c>
      <c r="T219" s="115"/>
      <c r="U219" s="131">
        <v>3871</v>
      </c>
      <c r="V219" s="131">
        <f>IFERROR(_xlfn.XLOOKUP($S219,'[47]Tgl 8'!$E$108:$E$156,'[47]Tgl 8'!$F$108:$F$156),0)</f>
        <v>0</v>
      </c>
      <c r="W219" s="128">
        <f t="shared" si="51"/>
        <v>0</v>
      </c>
      <c r="X219" s="131">
        <f>IFERROR(_xlfn.XLOOKUP($S219,'[47]Tgl 8'!$E$108:$E$156,'[47]Tgl 8'!$H$108:$H$156),0)</f>
        <v>0</v>
      </c>
      <c r="Y219" s="128">
        <f t="shared" si="52"/>
        <v>0</v>
      </c>
      <c r="Z219" s="131">
        <f>IFERROR(_xlfn.XLOOKUP($S219,'[47]Tgl 8'!$E$108:$E$156,'[47]Tgl 8'!$G$108:$G$156),0)</f>
        <v>0</v>
      </c>
      <c r="AA219" s="129">
        <f t="shared" si="53"/>
        <v>0</v>
      </c>
      <c r="AB219" s="130"/>
      <c r="AC219" s="130"/>
      <c r="AD219" s="115" t="s">
        <v>1273</v>
      </c>
      <c r="AE219" s="115" t="s">
        <v>1274</v>
      </c>
      <c r="AF219" s="115" t="s">
        <v>216</v>
      </c>
      <c r="AG219" s="115" t="s">
        <v>1457</v>
      </c>
      <c r="AH219" s="115"/>
      <c r="AI219" s="131">
        <v>3871</v>
      </c>
      <c r="AJ219" s="131">
        <f>IFERROR(_xlfn.XLOOKUP($AG219,[47]Sheet1!$E$108:$E$132,[47]Sheet1!F$108:F$132),0)</f>
        <v>0</v>
      </c>
      <c r="AK219" s="128">
        <f t="shared" si="54"/>
        <v>0</v>
      </c>
      <c r="AL219" s="131">
        <f>IFERROR(_xlfn.XLOOKUP($AG219,[47]Sheet1!$E$108:$E$132,[47]Sheet1!H$108:H$132),0)</f>
        <v>0</v>
      </c>
      <c r="AM219" s="128">
        <f t="shared" si="55"/>
        <v>0</v>
      </c>
      <c r="AN219" s="131">
        <f>IFERROR(_xlfn.XLOOKUP($AG219,[47]Sheet1!$E$108:$E$132,[47]Sheet1!G$108:G$132),0)</f>
        <v>0</v>
      </c>
      <c r="AO219" s="129">
        <f t="shared" si="56"/>
        <v>0</v>
      </c>
    </row>
    <row r="220" spans="2:41" x14ac:dyDescent="0.2">
      <c r="B220" s="110" t="s">
        <v>1273</v>
      </c>
      <c r="C220" s="110" t="s">
        <v>1274</v>
      </c>
      <c r="D220" s="110" t="s">
        <v>216</v>
      </c>
      <c r="E220" s="110" t="s">
        <v>1458</v>
      </c>
      <c r="F220" s="110"/>
      <c r="G220" s="116">
        <v>3884</v>
      </c>
      <c r="H220" s="115">
        <v>370</v>
      </c>
      <c r="I220" s="128">
        <f t="shared" si="48"/>
        <v>9.5262615859938204</v>
      </c>
      <c r="J220" s="115">
        <v>167</v>
      </c>
      <c r="K220" s="128">
        <f t="shared" si="49"/>
        <v>45.13513513513513</v>
      </c>
      <c r="L220" s="115">
        <v>53</v>
      </c>
      <c r="M220" s="129">
        <f t="shared" si="50"/>
        <v>14.324324324324323</v>
      </c>
      <c r="N220" s="130"/>
      <c r="O220" s="130"/>
      <c r="P220" s="115" t="s">
        <v>1273</v>
      </c>
      <c r="Q220" s="115" t="s">
        <v>1274</v>
      </c>
      <c r="R220" s="115" t="s">
        <v>216</v>
      </c>
      <c r="S220" s="115" t="s">
        <v>1458</v>
      </c>
      <c r="T220" s="115"/>
      <c r="U220" s="131">
        <v>3884</v>
      </c>
      <c r="V220" s="131">
        <f>IFERROR(_xlfn.XLOOKUP($S220,'[47]Tgl 8'!$E$108:$E$156,'[47]Tgl 8'!$F$108:$F$156),0)</f>
        <v>0</v>
      </c>
      <c r="W220" s="128">
        <f t="shared" si="51"/>
        <v>0</v>
      </c>
      <c r="X220" s="131">
        <f>IFERROR(_xlfn.XLOOKUP($S220,'[47]Tgl 8'!$E$108:$E$156,'[47]Tgl 8'!$H$108:$H$156),0)</f>
        <v>0</v>
      </c>
      <c r="Y220" s="128">
        <f t="shared" si="52"/>
        <v>0</v>
      </c>
      <c r="Z220" s="131">
        <f>IFERROR(_xlfn.XLOOKUP($S220,'[47]Tgl 8'!$E$108:$E$156,'[47]Tgl 8'!$G$108:$G$156),0)</f>
        <v>0</v>
      </c>
      <c r="AA220" s="129">
        <f t="shared" si="53"/>
        <v>0</v>
      </c>
      <c r="AB220" s="130"/>
      <c r="AC220" s="130"/>
      <c r="AD220" s="115" t="s">
        <v>1273</v>
      </c>
      <c r="AE220" s="115" t="s">
        <v>1274</v>
      </c>
      <c r="AF220" s="115" t="s">
        <v>216</v>
      </c>
      <c r="AG220" s="115" t="s">
        <v>1458</v>
      </c>
      <c r="AH220" s="115"/>
      <c r="AI220" s="131">
        <v>3884</v>
      </c>
      <c r="AJ220" s="131">
        <f>IFERROR(_xlfn.XLOOKUP($AG220,[47]Sheet1!$E$108:$E$132,[47]Sheet1!F$108:F$132),0)</f>
        <v>0</v>
      </c>
      <c r="AK220" s="128">
        <f t="shared" si="54"/>
        <v>0</v>
      </c>
      <c r="AL220" s="131">
        <f>IFERROR(_xlfn.XLOOKUP($AG220,[47]Sheet1!$E$108:$E$132,[47]Sheet1!H$108:H$132),0)</f>
        <v>0</v>
      </c>
      <c r="AM220" s="128">
        <f t="shared" si="55"/>
        <v>0</v>
      </c>
      <c r="AN220" s="131">
        <f>IFERROR(_xlfn.XLOOKUP($AG220,[47]Sheet1!$E$108:$E$132,[47]Sheet1!G$108:G$132),0)</f>
        <v>0</v>
      </c>
      <c r="AO220" s="129">
        <f t="shared" si="56"/>
        <v>0</v>
      </c>
    </row>
    <row r="221" spans="2:41" x14ac:dyDescent="0.2">
      <c r="B221" s="110" t="s">
        <v>1273</v>
      </c>
      <c r="C221" s="110" t="s">
        <v>1274</v>
      </c>
      <c r="D221" s="110" t="s">
        <v>216</v>
      </c>
      <c r="E221" s="110" t="s">
        <v>1459</v>
      </c>
      <c r="F221" s="110"/>
      <c r="G221" s="116">
        <v>3701</v>
      </c>
      <c r="H221" s="115">
        <v>369</v>
      </c>
      <c r="I221" s="128">
        <f t="shared" si="48"/>
        <v>9.970278303161308</v>
      </c>
      <c r="J221" s="115">
        <v>148</v>
      </c>
      <c r="K221" s="128">
        <f t="shared" si="49"/>
        <v>40.108401084010843</v>
      </c>
      <c r="L221" s="115">
        <v>52</v>
      </c>
      <c r="M221" s="129">
        <f t="shared" si="50"/>
        <v>14.092140921409214</v>
      </c>
      <c r="N221" s="130"/>
      <c r="O221" s="130"/>
      <c r="P221" s="115" t="s">
        <v>1273</v>
      </c>
      <c r="Q221" s="115" t="s">
        <v>1274</v>
      </c>
      <c r="R221" s="115" t="s">
        <v>216</v>
      </c>
      <c r="S221" s="115" t="s">
        <v>1459</v>
      </c>
      <c r="T221" s="115"/>
      <c r="U221" s="131">
        <v>3701</v>
      </c>
      <c r="V221" s="131">
        <f>IFERROR(_xlfn.XLOOKUP($S221,'[47]Tgl 8'!$E$108:$E$156,'[47]Tgl 8'!$F$108:$F$156),0)</f>
        <v>0</v>
      </c>
      <c r="W221" s="128">
        <f t="shared" si="51"/>
        <v>0</v>
      </c>
      <c r="X221" s="131">
        <f>IFERROR(_xlfn.XLOOKUP($S221,'[47]Tgl 8'!$E$108:$E$156,'[47]Tgl 8'!$H$108:$H$156),0)</f>
        <v>0</v>
      </c>
      <c r="Y221" s="128">
        <f t="shared" si="52"/>
        <v>0</v>
      </c>
      <c r="Z221" s="131">
        <f>IFERROR(_xlfn.XLOOKUP($S221,'[47]Tgl 8'!$E$108:$E$156,'[47]Tgl 8'!$G$108:$G$156),0)</f>
        <v>0</v>
      </c>
      <c r="AA221" s="129">
        <f t="shared" si="53"/>
        <v>0</v>
      </c>
      <c r="AB221" s="130"/>
      <c r="AC221" s="130"/>
      <c r="AD221" s="115" t="s">
        <v>1273</v>
      </c>
      <c r="AE221" s="115" t="s">
        <v>1274</v>
      </c>
      <c r="AF221" s="115" t="s">
        <v>216</v>
      </c>
      <c r="AG221" s="115" t="s">
        <v>1459</v>
      </c>
      <c r="AH221" s="115"/>
      <c r="AI221" s="131">
        <v>3701</v>
      </c>
      <c r="AJ221" s="131">
        <f>IFERROR(_xlfn.XLOOKUP($AG221,[47]Sheet1!$E$108:$E$132,[47]Sheet1!F$108:F$132),0)</f>
        <v>0</v>
      </c>
      <c r="AK221" s="128">
        <f t="shared" si="54"/>
        <v>0</v>
      </c>
      <c r="AL221" s="131">
        <f>IFERROR(_xlfn.XLOOKUP($AG221,[47]Sheet1!$E$108:$E$132,[47]Sheet1!H$108:H$132),0)</f>
        <v>0</v>
      </c>
      <c r="AM221" s="128">
        <f t="shared" si="55"/>
        <v>0</v>
      </c>
      <c r="AN221" s="131">
        <f>IFERROR(_xlfn.XLOOKUP($AG221,[47]Sheet1!$E$108:$E$132,[47]Sheet1!G$108:G$132),0)</f>
        <v>0</v>
      </c>
      <c r="AO221" s="129">
        <f t="shared" si="56"/>
        <v>0</v>
      </c>
    </row>
    <row r="222" spans="2:41" x14ac:dyDescent="0.2">
      <c r="B222" s="110" t="s">
        <v>1273</v>
      </c>
      <c r="C222" s="110" t="s">
        <v>1274</v>
      </c>
      <c r="D222" s="110" t="s">
        <v>216</v>
      </c>
      <c r="E222" s="110" t="s">
        <v>1460</v>
      </c>
      <c r="F222" s="110"/>
      <c r="G222" s="116">
        <v>3151</v>
      </c>
      <c r="H222" s="115">
        <v>371</v>
      </c>
      <c r="I222" s="128">
        <f t="shared" si="48"/>
        <v>11.774039987305617</v>
      </c>
      <c r="J222" s="115">
        <v>176</v>
      </c>
      <c r="K222" s="128">
        <f t="shared" si="49"/>
        <v>47.439353099730461</v>
      </c>
      <c r="L222" s="115">
        <v>39</v>
      </c>
      <c r="M222" s="129">
        <f t="shared" si="50"/>
        <v>10.512129380053908</v>
      </c>
      <c r="N222" s="130"/>
      <c r="O222" s="130"/>
      <c r="P222" s="115" t="s">
        <v>1273</v>
      </c>
      <c r="Q222" s="115" t="s">
        <v>1274</v>
      </c>
      <c r="R222" s="115" t="s">
        <v>216</v>
      </c>
      <c r="S222" s="115" t="s">
        <v>1460</v>
      </c>
      <c r="T222" s="115"/>
      <c r="U222" s="131">
        <v>3151</v>
      </c>
      <c r="V222" s="131">
        <f>IFERROR(_xlfn.XLOOKUP($S222,'[47]Tgl 8'!$E$108:$E$156,'[47]Tgl 8'!$F$108:$F$156),0)</f>
        <v>0</v>
      </c>
      <c r="W222" s="128">
        <f t="shared" si="51"/>
        <v>0</v>
      </c>
      <c r="X222" s="131">
        <f>IFERROR(_xlfn.XLOOKUP($S222,'[47]Tgl 8'!$E$108:$E$156,'[47]Tgl 8'!$H$108:$H$156),0)</f>
        <v>0</v>
      </c>
      <c r="Y222" s="128">
        <f t="shared" si="52"/>
        <v>0</v>
      </c>
      <c r="Z222" s="131">
        <f>IFERROR(_xlfn.XLOOKUP($S222,'[47]Tgl 8'!$E$108:$E$156,'[47]Tgl 8'!$G$108:$G$156),0)</f>
        <v>0</v>
      </c>
      <c r="AA222" s="129">
        <f t="shared" si="53"/>
        <v>0</v>
      </c>
      <c r="AB222" s="130"/>
      <c r="AC222" s="130"/>
      <c r="AD222" s="115" t="s">
        <v>1273</v>
      </c>
      <c r="AE222" s="115" t="s">
        <v>1274</v>
      </c>
      <c r="AF222" s="115" t="s">
        <v>216</v>
      </c>
      <c r="AG222" s="115" t="s">
        <v>1460</v>
      </c>
      <c r="AH222" s="115"/>
      <c r="AI222" s="131">
        <v>3151</v>
      </c>
      <c r="AJ222" s="131">
        <f>IFERROR(_xlfn.XLOOKUP($AG222,[47]Sheet1!$E$108:$E$132,[47]Sheet1!F$108:F$132),0)</f>
        <v>0</v>
      </c>
      <c r="AK222" s="128">
        <f t="shared" si="54"/>
        <v>0</v>
      </c>
      <c r="AL222" s="131">
        <f>IFERROR(_xlfn.XLOOKUP($AG222,[47]Sheet1!$E$108:$E$132,[47]Sheet1!H$108:H$132),0)</f>
        <v>0</v>
      </c>
      <c r="AM222" s="128">
        <f t="shared" si="55"/>
        <v>0</v>
      </c>
      <c r="AN222" s="131">
        <f>IFERROR(_xlfn.XLOOKUP($AG222,[47]Sheet1!$E$108:$E$132,[47]Sheet1!G$108:G$132),0)</f>
        <v>0</v>
      </c>
      <c r="AO222" s="129">
        <f t="shared" si="56"/>
        <v>0</v>
      </c>
    </row>
    <row r="223" spans="2:41" x14ac:dyDescent="0.2">
      <c r="B223" s="110" t="s">
        <v>1273</v>
      </c>
      <c r="C223" s="110" t="s">
        <v>1274</v>
      </c>
      <c r="D223" s="110" t="s">
        <v>216</v>
      </c>
      <c r="E223" s="110" t="s">
        <v>1461</v>
      </c>
      <c r="F223" s="110"/>
      <c r="G223" s="116">
        <v>2726</v>
      </c>
      <c r="H223" s="115">
        <v>374</v>
      </c>
      <c r="I223" s="128">
        <f t="shared" si="48"/>
        <v>13.71973587674248</v>
      </c>
      <c r="J223" s="115">
        <v>188</v>
      </c>
      <c r="K223" s="128">
        <f t="shared" si="49"/>
        <v>50.267379679144383</v>
      </c>
      <c r="L223" s="115">
        <v>56</v>
      </c>
      <c r="M223" s="129">
        <f t="shared" si="50"/>
        <v>14.973262032085561</v>
      </c>
      <c r="N223" s="130"/>
      <c r="O223" s="130"/>
      <c r="P223" s="115" t="s">
        <v>1273</v>
      </c>
      <c r="Q223" s="115" t="s">
        <v>1274</v>
      </c>
      <c r="R223" s="115" t="s">
        <v>216</v>
      </c>
      <c r="S223" s="115" t="s">
        <v>1461</v>
      </c>
      <c r="T223" s="115"/>
      <c r="U223" s="131">
        <v>2726</v>
      </c>
      <c r="V223" s="131">
        <f>IFERROR(_xlfn.XLOOKUP($S223,'[47]Tgl 8'!$E$108:$E$156,'[47]Tgl 8'!$F$108:$F$156),0)</f>
        <v>0</v>
      </c>
      <c r="W223" s="128">
        <f t="shared" si="51"/>
        <v>0</v>
      </c>
      <c r="X223" s="131">
        <f>IFERROR(_xlfn.XLOOKUP($S223,'[47]Tgl 8'!$E$108:$E$156,'[47]Tgl 8'!$H$108:$H$156),0)</f>
        <v>0</v>
      </c>
      <c r="Y223" s="128">
        <f t="shared" si="52"/>
        <v>0</v>
      </c>
      <c r="Z223" s="131">
        <f>IFERROR(_xlfn.XLOOKUP($S223,'[47]Tgl 8'!$E$108:$E$156,'[47]Tgl 8'!$G$108:$G$156),0)</f>
        <v>0</v>
      </c>
      <c r="AA223" s="129">
        <f t="shared" si="53"/>
        <v>0</v>
      </c>
      <c r="AB223" s="130"/>
      <c r="AC223" s="130"/>
      <c r="AD223" s="115" t="s">
        <v>1273</v>
      </c>
      <c r="AE223" s="115" t="s">
        <v>1274</v>
      </c>
      <c r="AF223" s="115" t="s">
        <v>216</v>
      </c>
      <c r="AG223" s="115" t="s">
        <v>1461</v>
      </c>
      <c r="AH223" s="115"/>
      <c r="AI223" s="131">
        <v>2726</v>
      </c>
      <c r="AJ223" s="131">
        <f>IFERROR(_xlfn.XLOOKUP($AG223,[47]Sheet1!$E$108:$E$132,[47]Sheet1!F$108:F$132),0)</f>
        <v>0</v>
      </c>
      <c r="AK223" s="128">
        <f t="shared" si="54"/>
        <v>0</v>
      </c>
      <c r="AL223" s="131">
        <f>IFERROR(_xlfn.XLOOKUP($AG223,[47]Sheet1!$E$108:$E$132,[47]Sheet1!H$108:H$132),0)</f>
        <v>0</v>
      </c>
      <c r="AM223" s="128">
        <f t="shared" si="55"/>
        <v>0</v>
      </c>
      <c r="AN223" s="131">
        <f>IFERROR(_xlfn.XLOOKUP($AG223,[47]Sheet1!$E$108:$E$132,[47]Sheet1!G$108:G$132),0)</f>
        <v>0</v>
      </c>
      <c r="AO223" s="129">
        <f t="shared" si="56"/>
        <v>0</v>
      </c>
    </row>
    <row r="224" spans="2:41" x14ac:dyDescent="0.2">
      <c r="B224" s="110" t="s">
        <v>1273</v>
      </c>
      <c r="C224" s="110" t="s">
        <v>1274</v>
      </c>
      <c r="D224" s="110" t="s">
        <v>216</v>
      </c>
      <c r="E224" s="110" t="s">
        <v>1462</v>
      </c>
      <c r="F224" s="110"/>
      <c r="G224" s="116">
        <v>5150</v>
      </c>
      <c r="H224" s="115">
        <v>0</v>
      </c>
      <c r="I224" s="128">
        <f t="shared" si="48"/>
        <v>0</v>
      </c>
      <c r="J224" s="115">
        <v>0</v>
      </c>
      <c r="K224" s="128">
        <f t="shared" si="49"/>
        <v>0</v>
      </c>
      <c r="L224" s="115">
        <v>0</v>
      </c>
      <c r="M224" s="129">
        <f t="shared" si="50"/>
        <v>0</v>
      </c>
      <c r="N224" s="130"/>
      <c r="O224" s="130"/>
      <c r="P224" s="115" t="s">
        <v>1273</v>
      </c>
      <c r="Q224" s="115" t="s">
        <v>1274</v>
      </c>
      <c r="R224" s="115" t="s">
        <v>216</v>
      </c>
      <c r="S224" s="115" t="s">
        <v>1462</v>
      </c>
      <c r="T224" s="115"/>
      <c r="U224" s="131">
        <v>5150</v>
      </c>
      <c r="V224" s="131">
        <f>IFERROR(_xlfn.XLOOKUP($S224,'[47]Tgl 8'!$E$108:$E$156,'[47]Tgl 8'!$F$108:$F$156),0)</f>
        <v>0</v>
      </c>
      <c r="W224" s="128">
        <f t="shared" si="51"/>
        <v>0</v>
      </c>
      <c r="X224" s="131">
        <f>IFERROR(_xlfn.XLOOKUP($S224,'[47]Tgl 8'!$E$108:$E$156,'[47]Tgl 8'!$H$108:$H$156),0)</f>
        <v>0</v>
      </c>
      <c r="Y224" s="128">
        <f t="shared" si="52"/>
        <v>0</v>
      </c>
      <c r="Z224" s="131">
        <f>IFERROR(_xlfn.XLOOKUP($S224,'[47]Tgl 8'!$E$108:$E$156,'[47]Tgl 8'!$G$108:$G$156),0)</f>
        <v>0</v>
      </c>
      <c r="AA224" s="129">
        <f t="shared" si="53"/>
        <v>0</v>
      </c>
      <c r="AB224" s="130"/>
      <c r="AC224" s="130"/>
      <c r="AD224" s="115" t="s">
        <v>1273</v>
      </c>
      <c r="AE224" s="115" t="s">
        <v>1274</v>
      </c>
      <c r="AF224" s="115" t="s">
        <v>216</v>
      </c>
      <c r="AG224" s="115" t="s">
        <v>1462</v>
      </c>
      <c r="AH224" s="115"/>
      <c r="AI224" s="131">
        <v>5150</v>
      </c>
      <c r="AJ224" s="131">
        <f>IFERROR(_xlfn.XLOOKUP($AG224,[47]Sheet1!$E$108:$E$132,[47]Sheet1!F$108:F$132),0)</f>
        <v>0</v>
      </c>
      <c r="AK224" s="128">
        <f t="shared" si="54"/>
        <v>0</v>
      </c>
      <c r="AL224" s="131">
        <f>IFERROR(_xlfn.XLOOKUP($AG224,[47]Sheet1!$E$108:$E$132,[47]Sheet1!H$108:H$132),0)</f>
        <v>0</v>
      </c>
      <c r="AM224" s="128">
        <f t="shared" si="55"/>
        <v>0</v>
      </c>
      <c r="AN224" s="131">
        <f>IFERROR(_xlfn.XLOOKUP($AG224,[47]Sheet1!$E$108:$E$132,[47]Sheet1!G$108:G$132),0)</f>
        <v>0</v>
      </c>
      <c r="AO224" s="129">
        <f t="shared" si="56"/>
        <v>0</v>
      </c>
    </row>
    <row r="225" spans="2:41" x14ac:dyDescent="0.2">
      <c r="B225" s="110" t="s">
        <v>1273</v>
      </c>
      <c r="C225" s="110" t="s">
        <v>1274</v>
      </c>
      <c r="D225" s="110" t="s">
        <v>216</v>
      </c>
      <c r="E225" s="110" t="s">
        <v>1463</v>
      </c>
      <c r="F225" s="110"/>
      <c r="G225" s="116">
        <v>3246</v>
      </c>
      <c r="H225" s="115">
        <v>137</v>
      </c>
      <c r="I225" s="128">
        <f t="shared" si="48"/>
        <v>4.2205791743684538</v>
      </c>
      <c r="J225" s="115">
        <v>61</v>
      </c>
      <c r="K225" s="128">
        <f t="shared" si="49"/>
        <v>44.525547445255469</v>
      </c>
      <c r="L225" s="115">
        <v>14</v>
      </c>
      <c r="M225" s="129">
        <f t="shared" si="50"/>
        <v>10.21897810218978</v>
      </c>
      <c r="N225" s="130"/>
      <c r="O225" s="130"/>
      <c r="P225" s="115" t="s">
        <v>1273</v>
      </c>
      <c r="Q225" s="115" t="s">
        <v>1274</v>
      </c>
      <c r="R225" s="115" t="s">
        <v>216</v>
      </c>
      <c r="S225" s="115" t="s">
        <v>1463</v>
      </c>
      <c r="T225" s="115"/>
      <c r="U225" s="131">
        <v>3246</v>
      </c>
      <c r="V225" s="131">
        <f>IFERROR(_xlfn.XLOOKUP($S225,'[47]Tgl 8'!$E$108:$E$156,'[47]Tgl 8'!$F$108:$F$156),0)</f>
        <v>0</v>
      </c>
      <c r="W225" s="128">
        <f t="shared" si="51"/>
        <v>0</v>
      </c>
      <c r="X225" s="131">
        <f>IFERROR(_xlfn.XLOOKUP($S225,'[47]Tgl 8'!$E$108:$E$156,'[47]Tgl 8'!$H$108:$H$156),0)</f>
        <v>0</v>
      </c>
      <c r="Y225" s="128">
        <f t="shared" si="52"/>
        <v>0</v>
      </c>
      <c r="Z225" s="131">
        <f>IFERROR(_xlfn.XLOOKUP($S225,'[47]Tgl 8'!$E$108:$E$156,'[47]Tgl 8'!$G$108:$G$156),0)</f>
        <v>0</v>
      </c>
      <c r="AA225" s="129">
        <f t="shared" si="53"/>
        <v>0</v>
      </c>
      <c r="AB225" s="130"/>
      <c r="AC225" s="130"/>
      <c r="AD225" s="115" t="s">
        <v>1273</v>
      </c>
      <c r="AE225" s="115" t="s">
        <v>1274</v>
      </c>
      <c r="AF225" s="115" t="s">
        <v>216</v>
      </c>
      <c r="AG225" s="115" t="s">
        <v>1463</v>
      </c>
      <c r="AH225" s="115"/>
      <c r="AI225" s="131">
        <v>3246</v>
      </c>
      <c r="AJ225" s="131">
        <f>IFERROR(_xlfn.XLOOKUP($AG225,[47]Sheet1!$E$108:$E$132,[47]Sheet1!F$108:F$132),0)</f>
        <v>0</v>
      </c>
      <c r="AK225" s="128">
        <f t="shared" si="54"/>
        <v>0</v>
      </c>
      <c r="AL225" s="131">
        <f>IFERROR(_xlfn.XLOOKUP($AG225,[47]Sheet1!$E$108:$E$132,[47]Sheet1!H$108:H$132),0)</f>
        <v>0</v>
      </c>
      <c r="AM225" s="128">
        <f t="shared" si="55"/>
        <v>0</v>
      </c>
      <c r="AN225" s="131">
        <f>IFERROR(_xlfn.XLOOKUP($AG225,[47]Sheet1!$E$108:$E$132,[47]Sheet1!G$108:G$132),0)</f>
        <v>0</v>
      </c>
      <c r="AO225" s="129">
        <f t="shared" si="56"/>
        <v>0</v>
      </c>
    </row>
    <row r="226" spans="2:41" x14ac:dyDescent="0.2">
      <c r="B226" s="110" t="s">
        <v>1273</v>
      </c>
      <c r="C226" s="110" t="s">
        <v>1274</v>
      </c>
      <c r="D226" s="110" t="s">
        <v>216</v>
      </c>
      <c r="E226" s="110" t="s">
        <v>1464</v>
      </c>
      <c r="F226" s="110"/>
      <c r="G226" s="116">
        <v>2797</v>
      </c>
      <c r="H226" s="115">
        <v>218</v>
      </c>
      <c r="I226" s="128">
        <f t="shared" si="48"/>
        <v>7.7940650697175551</v>
      </c>
      <c r="J226" s="115">
        <v>82</v>
      </c>
      <c r="K226" s="128">
        <f t="shared" si="49"/>
        <v>37.614678899082563</v>
      </c>
      <c r="L226" s="115">
        <v>31</v>
      </c>
      <c r="M226" s="129">
        <f t="shared" si="50"/>
        <v>14.220183486238531</v>
      </c>
      <c r="N226" s="130"/>
      <c r="O226" s="130"/>
      <c r="P226" s="115" t="s">
        <v>1273</v>
      </c>
      <c r="Q226" s="115" t="s">
        <v>1274</v>
      </c>
      <c r="R226" s="115" t="s">
        <v>216</v>
      </c>
      <c r="S226" s="115" t="s">
        <v>1464</v>
      </c>
      <c r="T226" s="115"/>
      <c r="U226" s="131">
        <v>2797</v>
      </c>
      <c r="V226" s="131">
        <f>IFERROR(_xlfn.XLOOKUP($S226,'[47]Tgl 8'!$E$108:$E$156,'[47]Tgl 8'!$F$108:$F$156),0)</f>
        <v>0</v>
      </c>
      <c r="W226" s="128">
        <f t="shared" si="51"/>
        <v>0</v>
      </c>
      <c r="X226" s="131">
        <f>IFERROR(_xlfn.XLOOKUP($S226,'[47]Tgl 8'!$E$108:$E$156,'[47]Tgl 8'!$H$108:$H$156),0)</f>
        <v>0</v>
      </c>
      <c r="Y226" s="128">
        <f t="shared" si="52"/>
        <v>0</v>
      </c>
      <c r="Z226" s="131">
        <f>IFERROR(_xlfn.XLOOKUP($S226,'[47]Tgl 8'!$E$108:$E$156,'[47]Tgl 8'!$G$108:$G$156),0)</f>
        <v>0</v>
      </c>
      <c r="AA226" s="129">
        <f t="shared" si="53"/>
        <v>0</v>
      </c>
      <c r="AB226" s="130"/>
      <c r="AC226" s="130"/>
      <c r="AD226" s="115" t="s">
        <v>1273</v>
      </c>
      <c r="AE226" s="115" t="s">
        <v>1274</v>
      </c>
      <c r="AF226" s="115" t="s">
        <v>216</v>
      </c>
      <c r="AG226" s="115" t="s">
        <v>1464</v>
      </c>
      <c r="AH226" s="115"/>
      <c r="AI226" s="131">
        <v>2797</v>
      </c>
      <c r="AJ226" s="131">
        <f>IFERROR(_xlfn.XLOOKUP($AG226,[47]Sheet1!$E$108:$E$132,[47]Sheet1!F$108:F$132),0)</f>
        <v>0</v>
      </c>
      <c r="AK226" s="128">
        <f t="shared" si="54"/>
        <v>0</v>
      </c>
      <c r="AL226" s="131">
        <f>IFERROR(_xlfn.XLOOKUP($AG226,[47]Sheet1!$E$108:$E$132,[47]Sheet1!H$108:H$132),0)</f>
        <v>0</v>
      </c>
      <c r="AM226" s="128">
        <f t="shared" si="55"/>
        <v>0</v>
      </c>
      <c r="AN226" s="131">
        <f>IFERROR(_xlfn.XLOOKUP($AG226,[47]Sheet1!$E$108:$E$132,[47]Sheet1!G$108:G$132),0)</f>
        <v>0</v>
      </c>
      <c r="AO226" s="129">
        <f t="shared" si="56"/>
        <v>0</v>
      </c>
    </row>
    <row r="227" spans="2:41" x14ac:dyDescent="0.2">
      <c r="B227" s="110" t="s">
        <v>1273</v>
      </c>
      <c r="C227" s="110" t="s">
        <v>1274</v>
      </c>
      <c r="D227" s="110" t="s">
        <v>216</v>
      </c>
      <c r="E227" s="110" t="s">
        <v>1465</v>
      </c>
      <c r="F227" s="110"/>
      <c r="G227" s="116">
        <v>5136</v>
      </c>
      <c r="H227" s="115">
        <v>212</v>
      </c>
      <c r="I227" s="128">
        <f t="shared" si="48"/>
        <v>4.1277258566978192</v>
      </c>
      <c r="J227" s="115">
        <v>49</v>
      </c>
      <c r="K227" s="128">
        <f t="shared" si="49"/>
        <v>23.113207547169811</v>
      </c>
      <c r="L227" s="115">
        <v>23</v>
      </c>
      <c r="M227" s="129">
        <f t="shared" si="50"/>
        <v>10.849056603773585</v>
      </c>
      <c r="N227" s="130"/>
      <c r="O227" s="130"/>
      <c r="P227" s="115" t="s">
        <v>1273</v>
      </c>
      <c r="Q227" s="115" t="s">
        <v>1274</v>
      </c>
      <c r="R227" s="115" t="s">
        <v>216</v>
      </c>
      <c r="S227" s="115" t="s">
        <v>1465</v>
      </c>
      <c r="T227" s="115"/>
      <c r="U227" s="131">
        <v>5136</v>
      </c>
      <c r="V227" s="131">
        <f>IFERROR(_xlfn.XLOOKUP($S227,'[47]Tgl 8'!$E$108:$E$156,'[47]Tgl 8'!$F$108:$F$156),0)</f>
        <v>0</v>
      </c>
      <c r="W227" s="128">
        <f t="shared" si="51"/>
        <v>0</v>
      </c>
      <c r="X227" s="131">
        <f>IFERROR(_xlfn.XLOOKUP($S227,'[47]Tgl 8'!$E$108:$E$156,'[47]Tgl 8'!$H$108:$H$156),0)</f>
        <v>0</v>
      </c>
      <c r="Y227" s="128">
        <f t="shared" si="52"/>
        <v>0</v>
      </c>
      <c r="Z227" s="131">
        <f>IFERROR(_xlfn.XLOOKUP($S227,'[47]Tgl 8'!$E$108:$E$156,'[47]Tgl 8'!$G$108:$G$156),0)</f>
        <v>0</v>
      </c>
      <c r="AA227" s="129">
        <f t="shared" si="53"/>
        <v>0</v>
      </c>
      <c r="AB227" s="130"/>
      <c r="AC227" s="130"/>
      <c r="AD227" s="115" t="s">
        <v>1273</v>
      </c>
      <c r="AE227" s="115" t="s">
        <v>1274</v>
      </c>
      <c r="AF227" s="115" t="s">
        <v>216</v>
      </c>
      <c r="AG227" s="115" t="s">
        <v>1465</v>
      </c>
      <c r="AH227" s="115"/>
      <c r="AI227" s="131">
        <v>5136</v>
      </c>
      <c r="AJ227" s="131">
        <f>IFERROR(_xlfn.XLOOKUP($AG227,[47]Sheet1!$E$108:$E$132,[47]Sheet1!F$108:F$132),0)</f>
        <v>0</v>
      </c>
      <c r="AK227" s="128">
        <f t="shared" si="54"/>
        <v>0</v>
      </c>
      <c r="AL227" s="131">
        <f>IFERROR(_xlfn.XLOOKUP($AG227,[47]Sheet1!$E$108:$E$132,[47]Sheet1!H$108:H$132),0)</f>
        <v>0</v>
      </c>
      <c r="AM227" s="128">
        <f t="shared" si="55"/>
        <v>0</v>
      </c>
      <c r="AN227" s="131">
        <f>IFERROR(_xlfn.XLOOKUP($AG227,[47]Sheet1!$E$108:$E$132,[47]Sheet1!G$108:G$132),0)</f>
        <v>0</v>
      </c>
      <c r="AO227" s="129">
        <f t="shared" si="56"/>
        <v>0</v>
      </c>
    </row>
    <row r="228" spans="2:41" x14ac:dyDescent="0.2">
      <c r="B228" s="110" t="s">
        <v>1273</v>
      </c>
      <c r="C228" s="110" t="s">
        <v>1274</v>
      </c>
      <c r="D228" s="110" t="s">
        <v>216</v>
      </c>
      <c r="E228" s="110" t="s">
        <v>1466</v>
      </c>
      <c r="F228" s="110"/>
      <c r="G228" s="116">
        <v>3197</v>
      </c>
      <c r="H228" s="115">
        <v>0</v>
      </c>
      <c r="I228" s="128">
        <f t="shared" si="48"/>
        <v>0</v>
      </c>
      <c r="J228" s="115">
        <v>0</v>
      </c>
      <c r="K228" s="128">
        <f t="shared" si="49"/>
        <v>0</v>
      </c>
      <c r="L228" s="115">
        <v>0</v>
      </c>
      <c r="M228" s="129">
        <f t="shared" si="50"/>
        <v>0</v>
      </c>
      <c r="N228" s="130"/>
      <c r="O228" s="130"/>
      <c r="P228" s="115" t="s">
        <v>1273</v>
      </c>
      <c r="Q228" s="115" t="s">
        <v>1274</v>
      </c>
      <c r="R228" s="115" t="s">
        <v>216</v>
      </c>
      <c r="S228" s="115" t="s">
        <v>1466</v>
      </c>
      <c r="T228" s="115"/>
      <c r="U228" s="131">
        <v>3197</v>
      </c>
      <c r="V228" s="131">
        <f>IFERROR(_xlfn.XLOOKUP($S228,'[47]Tgl 8'!$E$108:$E$156,'[47]Tgl 8'!$F$108:$F$156),0)</f>
        <v>0</v>
      </c>
      <c r="W228" s="128">
        <f t="shared" si="51"/>
        <v>0</v>
      </c>
      <c r="X228" s="131">
        <f>IFERROR(_xlfn.XLOOKUP($S228,'[47]Tgl 8'!$E$108:$E$156,'[47]Tgl 8'!$H$108:$H$156),0)</f>
        <v>0</v>
      </c>
      <c r="Y228" s="128">
        <f t="shared" si="52"/>
        <v>0</v>
      </c>
      <c r="Z228" s="131">
        <f>IFERROR(_xlfn.XLOOKUP($S228,'[47]Tgl 8'!$E$108:$E$156,'[47]Tgl 8'!$G$108:$G$156),0)</f>
        <v>0</v>
      </c>
      <c r="AA228" s="129">
        <f t="shared" si="53"/>
        <v>0</v>
      </c>
      <c r="AB228" s="130"/>
      <c r="AC228" s="130"/>
      <c r="AD228" s="115" t="s">
        <v>1273</v>
      </c>
      <c r="AE228" s="115" t="s">
        <v>1274</v>
      </c>
      <c r="AF228" s="115" t="s">
        <v>216</v>
      </c>
      <c r="AG228" s="115" t="s">
        <v>1466</v>
      </c>
      <c r="AH228" s="115"/>
      <c r="AI228" s="131">
        <v>3197</v>
      </c>
      <c r="AJ228" s="131">
        <f>IFERROR(_xlfn.XLOOKUP($AG228,[47]Sheet1!$E$108:$E$132,[47]Sheet1!F$108:F$132),0)</f>
        <v>0</v>
      </c>
      <c r="AK228" s="128">
        <f t="shared" si="54"/>
        <v>0</v>
      </c>
      <c r="AL228" s="131">
        <f>IFERROR(_xlfn.XLOOKUP($AG228,[47]Sheet1!$E$108:$E$132,[47]Sheet1!H$108:H$132),0)</f>
        <v>0</v>
      </c>
      <c r="AM228" s="128">
        <f t="shared" si="55"/>
        <v>0</v>
      </c>
      <c r="AN228" s="131">
        <f>IFERROR(_xlfn.XLOOKUP($AG228,[47]Sheet1!$E$108:$E$132,[47]Sheet1!G$108:G$132),0)</f>
        <v>0</v>
      </c>
      <c r="AO228" s="129">
        <f t="shared" si="56"/>
        <v>0</v>
      </c>
    </row>
    <row r="229" spans="2:41" x14ac:dyDescent="0.2">
      <c r="B229" s="110" t="s">
        <v>1273</v>
      </c>
      <c r="C229" s="110" t="s">
        <v>1274</v>
      </c>
      <c r="D229" s="110" t="s">
        <v>216</v>
      </c>
      <c r="E229" s="110" t="s">
        <v>1467</v>
      </c>
      <c r="F229" s="110"/>
      <c r="G229" s="116">
        <v>2442</v>
      </c>
      <c r="H229" s="115">
        <v>0</v>
      </c>
      <c r="I229" s="128">
        <f t="shared" si="48"/>
        <v>0</v>
      </c>
      <c r="J229" s="115">
        <v>0</v>
      </c>
      <c r="K229" s="128">
        <f t="shared" si="49"/>
        <v>0</v>
      </c>
      <c r="L229" s="115">
        <v>0</v>
      </c>
      <c r="M229" s="129">
        <f t="shared" si="50"/>
        <v>0</v>
      </c>
      <c r="N229" s="130"/>
      <c r="O229" s="130"/>
      <c r="P229" s="115" t="s">
        <v>1273</v>
      </c>
      <c r="Q229" s="115" t="s">
        <v>1274</v>
      </c>
      <c r="R229" s="115" t="s">
        <v>216</v>
      </c>
      <c r="S229" s="115" t="s">
        <v>1467</v>
      </c>
      <c r="T229" s="115"/>
      <c r="U229" s="131">
        <v>2442</v>
      </c>
      <c r="V229" s="131">
        <f>IFERROR(_xlfn.XLOOKUP($S229,'[47]Tgl 8'!$E$108:$E$156,'[47]Tgl 8'!$F$108:$F$156),0)</f>
        <v>0</v>
      </c>
      <c r="W229" s="128">
        <f t="shared" si="51"/>
        <v>0</v>
      </c>
      <c r="X229" s="131">
        <f>IFERROR(_xlfn.XLOOKUP($S229,'[47]Tgl 8'!$E$108:$E$156,'[47]Tgl 8'!$H$108:$H$156),0)</f>
        <v>0</v>
      </c>
      <c r="Y229" s="128">
        <f t="shared" si="52"/>
        <v>0</v>
      </c>
      <c r="Z229" s="131">
        <f>IFERROR(_xlfn.XLOOKUP($S229,'[47]Tgl 8'!$E$108:$E$156,'[47]Tgl 8'!$G$108:$G$156),0)</f>
        <v>0</v>
      </c>
      <c r="AA229" s="129">
        <f t="shared" si="53"/>
        <v>0</v>
      </c>
      <c r="AB229" s="130"/>
      <c r="AC229" s="130"/>
      <c r="AD229" s="115" t="s">
        <v>1273</v>
      </c>
      <c r="AE229" s="115" t="s">
        <v>1274</v>
      </c>
      <c r="AF229" s="115" t="s">
        <v>216</v>
      </c>
      <c r="AG229" s="115" t="s">
        <v>1467</v>
      </c>
      <c r="AH229" s="115"/>
      <c r="AI229" s="131">
        <v>2442</v>
      </c>
      <c r="AJ229" s="131">
        <f>IFERROR(_xlfn.XLOOKUP($AG229,[47]Sheet1!$E$108:$E$132,[47]Sheet1!F$108:F$132),0)</f>
        <v>0</v>
      </c>
      <c r="AK229" s="128">
        <f t="shared" si="54"/>
        <v>0</v>
      </c>
      <c r="AL229" s="131">
        <f>IFERROR(_xlfn.XLOOKUP($AG229,[47]Sheet1!$E$108:$E$132,[47]Sheet1!H$108:H$132),0)</f>
        <v>0</v>
      </c>
      <c r="AM229" s="128">
        <f t="shared" si="55"/>
        <v>0</v>
      </c>
      <c r="AN229" s="131">
        <f>IFERROR(_xlfn.XLOOKUP($AG229,[47]Sheet1!$E$108:$E$132,[47]Sheet1!G$108:G$132),0)</f>
        <v>0</v>
      </c>
      <c r="AO229" s="129">
        <f t="shared" si="56"/>
        <v>0</v>
      </c>
    </row>
    <row r="230" spans="2:41" x14ac:dyDescent="0.2">
      <c r="B230" s="110" t="s">
        <v>1273</v>
      </c>
      <c r="C230" s="110" t="s">
        <v>1274</v>
      </c>
      <c r="D230" s="110" t="s">
        <v>216</v>
      </c>
      <c r="E230" s="110" t="s">
        <v>1468</v>
      </c>
      <c r="F230" s="110"/>
      <c r="G230" s="116">
        <v>6305</v>
      </c>
      <c r="H230" s="115">
        <v>0</v>
      </c>
      <c r="I230" s="128">
        <f t="shared" si="48"/>
        <v>0</v>
      </c>
      <c r="J230" s="115">
        <v>0</v>
      </c>
      <c r="K230" s="128">
        <f t="shared" si="49"/>
        <v>0</v>
      </c>
      <c r="L230" s="115">
        <v>0</v>
      </c>
      <c r="M230" s="129">
        <f t="shared" si="50"/>
        <v>0</v>
      </c>
      <c r="N230" s="130"/>
      <c r="O230" s="130"/>
      <c r="P230" s="115" t="s">
        <v>1273</v>
      </c>
      <c r="Q230" s="115" t="s">
        <v>1274</v>
      </c>
      <c r="R230" s="115" t="s">
        <v>216</v>
      </c>
      <c r="S230" s="115" t="s">
        <v>1468</v>
      </c>
      <c r="T230" s="115"/>
      <c r="U230" s="131">
        <v>6305</v>
      </c>
      <c r="V230" s="131">
        <f>IFERROR(_xlfn.XLOOKUP($S230,'[47]Tgl 8'!$E$108:$E$156,'[47]Tgl 8'!$F$108:$F$156),0)</f>
        <v>0</v>
      </c>
      <c r="W230" s="128">
        <f t="shared" si="51"/>
        <v>0</v>
      </c>
      <c r="X230" s="131">
        <f>IFERROR(_xlfn.XLOOKUP($S230,'[47]Tgl 8'!$E$108:$E$156,'[47]Tgl 8'!$H$108:$H$156),0)</f>
        <v>0</v>
      </c>
      <c r="Y230" s="128">
        <f t="shared" si="52"/>
        <v>0</v>
      </c>
      <c r="Z230" s="131">
        <f>IFERROR(_xlfn.XLOOKUP($S230,'[47]Tgl 8'!$E$108:$E$156,'[47]Tgl 8'!$G$108:$G$156),0)</f>
        <v>0</v>
      </c>
      <c r="AA230" s="129">
        <f t="shared" si="53"/>
        <v>0</v>
      </c>
      <c r="AB230" s="130"/>
      <c r="AC230" s="130"/>
      <c r="AD230" s="115" t="s">
        <v>1273</v>
      </c>
      <c r="AE230" s="115" t="s">
        <v>1274</v>
      </c>
      <c r="AF230" s="115" t="s">
        <v>216</v>
      </c>
      <c r="AG230" s="115" t="s">
        <v>1468</v>
      </c>
      <c r="AH230" s="115"/>
      <c r="AI230" s="131">
        <v>6305</v>
      </c>
      <c r="AJ230" s="131">
        <f>IFERROR(_xlfn.XLOOKUP($AG230,[47]Sheet1!$E$108:$E$132,[47]Sheet1!F$108:F$132),0)</f>
        <v>0</v>
      </c>
      <c r="AK230" s="128">
        <f t="shared" si="54"/>
        <v>0</v>
      </c>
      <c r="AL230" s="131">
        <f>IFERROR(_xlfn.XLOOKUP($AG230,[47]Sheet1!$E$108:$E$132,[47]Sheet1!H$108:H$132),0)</f>
        <v>0</v>
      </c>
      <c r="AM230" s="128">
        <f t="shared" si="55"/>
        <v>0</v>
      </c>
      <c r="AN230" s="131">
        <f>IFERROR(_xlfn.XLOOKUP($AG230,[47]Sheet1!$E$108:$E$132,[47]Sheet1!G$108:G$132),0)</f>
        <v>0</v>
      </c>
      <c r="AO230" s="129">
        <f t="shared" si="56"/>
        <v>0</v>
      </c>
    </row>
    <row r="231" spans="2:41" x14ac:dyDescent="0.2">
      <c r="B231" s="110" t="s">
        <v>1273</v>
      </c>
      <c r="C231" s="110" t="s">
        <v>1274</v>
      </c>
      <c r="D231" s="110" t="s">
        <v>216</v>
      </c>
      <c r="E231" s="110" t="s">
        <v>1469</v>
      </c>
      <c r="F231" s="110"/>
      <c r="G231" s="116">
        <v>1541</v>
      </c>
      <c r="H231" s="115">
        <v>0</v>
      </c>
      <c r="I231" s="128">
        <f t="shared" si="48"/>
        <v>0</v>
      </c>
      <c r="J231" s="115">
        <v>0</v>
      </c>
      <c r="K231" s="128">
        <f t="shared" si="49"/>
        <v>0</v>
      </c>
      <c r="L231" s="115">
        <v>0</v>
      </c>
      <c r="M231" s="129">
        <f t="shared" si="50"/>
        <v>0</v>
      </c>
      <c r="N231" s="130"/>
      <c r="O231" s="130"/>
      <c r="P231" s="115" t="s">
        <v>1273</v>
      </c>
      <c r="Q231" s="115" t="s">
        <v>1274</v>
      </c>
      <c r="R231" s="115" t="s">
        <v>216</v>
      </c>
      <c r="S231" s="115" t="s">
        <v>1469</v>
      </c>
      <c r="T231" s="115"/>
      <c r="U231" s="131">
        <v>1541</v>
      </c>
      <c r="V231" s="131">
        <f>IFERROR(_xlfn.XLOOKUP($S231,'[47]Tgl 8'!$E$108:$E$156,'[47]Tgl 8'!$F$108:$F$156),0)</f>
        <v>0</v>
      </c>
      <c r="W231" s="128">
        <f t="shared" si="51"/>
        <v>0</v>
      </c>
      <c r="X231" s="131">
        <f>IFERROR(_xlfn.XLOOKUP($S231,'[47]Tgl 8'!$E$108:$E$156,'[47]Tgl 8'!$H$108:$H$156),0)</f>
        <v>0</v>
      </c>
      <c r="Y231" s="128">
        <f t="shared" si="52"/>
        <v>0</v>
      </c>
      <c r="Z231" s="131">
        <f>IFERROR(_xlfn.XLOOKUP($S231,'[47]Tgl 8'!$E$108:$E$156,'[47]Tgl 8'!$G$108:$G$156),0)</f>
        <v>0</v>
      </c>
      <c r="AA231" s="129">
        <f t="shared" si="53"/>
        <v>0</v>
      </c>
      <c r="AB231" s="130"/>
      <c r="AC231" s="130"/>
      <c r="AD231" s="115" t="s">
        <v>1273</v>
      </c>
      <c r="AE231" s="115" t="s">
        <v>1274</v>
      </c>
      <c r="AF231" s="115" t="s">
        <v>216</v>
      </c>
      <c r="AG231" s="115" t="s">
        <v>1469</v>
      </c>
      <c r="AH231" s="115"/>
      <c r="AI231" s="131">
        <v>1541</v>
      </c>
      <c r="AJ231" s="131">
        <f>IFERROR(_xlfn.XLOOKUP($AG231,[47]Sheet1!$E$108:$E$132,[47]Sheet1!F$108:F$132),0)</f>
        <v>0</v>
      </c>
      <c r="AK231" s="128">
        <f t="shared" si="54"/>
        <v>0</v>
      </c>
      <c r="AL231" s="131">
        <f>IFERROR(_xlfn.XLOOKUP($AG231,[47]Sheet1!$E$108:$E$132,[47]Sheet1!H$108:H$132),0)</f>
        <v>0</v>
      </c>
      <c r="AM231" s="128">
        <f t="shared" si="55"/>
        <v>0</v>
      </c>
      <c r="AN231" s="131">
        <f>IFERROR(_xlfn.XLOOKUP($AG231,[47]Sheet1!$E$108:$E$132,[47]Sheet1!G$108:G$132),0)</f>
        <v>0</v>
      </c>
      <c r="AO231" s="129">
        <f t="shared" si="56"/>
        <v>0</v>
      </c>
    </row>
  </sheetData>
  <mergeCells count="63">
    <mergeCell ref="B5:B8"/>
    <mergeCell ref="D5:D8"/>
    <mergeCell ref="E5:E8"/>
    <mergeCell ref="F5:F8"/>
    <mergeCell ref="G5:G8"/>
    <mergeCell ref="V5:AA5"/>
    <mergeCell ref="AF5:AO5"/>
    <mergeCell ref="C6:C8"/>
    <mergeCell ref="H6:I7"/>
    <mergeCell ref="J6:K7"/>
    <mergeCell ref="L6:M7"/>
    <mergeCell ref="P6:P8"/>
    <mergeCell ref="Q6:Q8"/>
    <mergeCell ref="R6:R8"/>
    <mergeCell ref="S6:S8"/>
    <mergeCell ref="H5:M5"/>
    <mergeCell ref="U6:U8"/>
    <mergeCell ref="V6:W7"/>
    <mergeCell ref="X6:Y7"/>
    <mergeCell ref="Z6:AA7"/>
    <mergeCell ref="AD6:AD8"/>
    <mergeCell ref="G21:G23"/>
    <mergeCell ref="AL6:AM7"/>
    <mergeCell ref="AN6:AO7"/>
    <mergeCell ref="B9:B18"/>
    <mergeCell ref="P9:P18"/>
    <mergeCell ref="AD9:AD18"/>
    <mergeCell ref="B19:D19"/>
    <mergeCell ref="P19:R19"/>
    <mergeCell ref="AD19:AF19"/>
    <mergeCell ref="AE6:AE8"/>
    <mergeCell ref="AF6:AF8"/>
    <mergeCell ref="AG6:AG8"/>
    <mergeCell ref="AH6:AH8"/>
    <mergeCell ref="AI6:AI8"/>
    <mergeCell ref="AJ6:AK7"/>
    <mergeCell ref="T6:T8"/>
    <mergeCell ref="B21:B23"/>
    <mergeCell ref="C21:C23"/>
    <mergeCell ref="D21:D23"/>
    <mergeCell ref="E21:E23"/>
    <mergeCell ref="F21:F23"/>
    <mergeCell ref="Z21:AA22"/>
    <mergeCell ref="H21:I22"/>
    <mergeCell ref="J21:K22"/>
    <mergeCell ref="L21:M22"/>
    <mergeCell ref="P21:P23"/>
    <mergeCell ref="Q21:Q23"/>
    <mergeCell ref="R21:R23"/>
    <mergeCell ref="S21:S23"/>
    <mergeCell ref="T21:T23"/>
    <mergeCell ref="U21:U23"/>
    <mergeCell ref="V21:W22"/>
    <mergeCell ref="X21:Y22"/>
    <mergeCell ref="AJ21:AK22"/>
    <mergeCell ref="AL21:AM22"/>
    <mergeCell ref="AN21:AO22"/>
    <mergeCell ref="AD21:AD23"/>
    <mergeCell ref="AE21:AE23"/>
    <mergeCell ref="AF21:AF23"/>
    <mergeCell ref="AG21:AG23"/>
    <mergeCell ref="AH21:AH23"/>
    <mergeCell ref="AI21:AI23"/>
  </mergeCells>
  <conditionalFormatting sqref="K24:K231 M24:M231 Y24:Y231 AA24:AA231 AM24:AM231 AO24:AO231">
    <cfRule type="cellIs" dxfId="2" priority="1" operator="greaterThan">
      <formula>5.1</formula>
    </cfRule>
    <cfRule type="cellIs" dxfId="1" priority="2" operator="between">
      <formula>2.1</formula>
      <formula>5</formula>
    </cfRule>
    <cfRule type="cellIs" dxfId="0" priority="3" operator="between">
      <formula>0.1</formula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LS (Sensus) </vt:lpstr>
      <vt:lpstr>LS (Deteksi)</vt:lpstr>
      <vt:lpstr>KALE (Sensus)</vt:lpstr>
      <vt:lpstr>KALE (Deteksi)</vt:lpstr>
      <vt:lpstr>USP (Sensus)</vt:lpstr>
      <vt:lpstr>USP (Deteksi)</vt:lpstr>
      <vt:lpstr>FAPE (Sensus)</vt:lpstr>
      <vt:lpstr>SMP (Sensus)</vt:lpstr>
      <vt:lpstr>FAPE Deteksi (Mentah)</vt:lpstr>
      <vt:lpstr>MKSS (Sensus)</vt:lpstr>
      <vt:lpstr>BKP (Sensus)</vt:lpstr>
      <vt:lpstr>FAPE (Deteksi)</vt:lpstr>
      <vt:lpstr>SMP (Deteksi)</vt:lpstr>
      <vt:lpstr>MKSK (Deteksi)</vt:lpstr>
      <vt:lpstr>MKSS (Deteksi)</vt:lpstr>
      <vt:lpstr>BKP (Deteksi)</vt:lpstr>
      <vt:lpstr>PTLJ (Sensus)</vt:lpstr>
      <vt:lpstr>PTLJ (Deteksi)</vt:lpstr>
      <vt:lpstr>Summary FR Kalbar</vt:lpstr>
      <vt:lpstr>Percepatan Pengendalian</vt:lpstr>
      <vt:lpstr>PR Racun</vt:lpstr>
      <vt:lpstr>Summary Dtk, Sns, dan Action</vt:lpstr>
      <vt:lpstr>Summary Pengendalian 4-9 May</vt:lpstr>
      <vt:lpstr>List Rekomendasi utk Sensus</vt:lpstr>
      <vt:lpstr>List Rekomendasi utk Campaign</vt:lpstr>
      <vt:lpstr>Summary Det, Sns 16-31 Jul 2026</vt:lpstr>
      <vt:lpstr>Comparison</vt:lpstr>
      <vt:lpstr>Sensus &amp; Deteksi SMP 2</vt:lpstr>
      <vt:lpstr>Sensus dan Deteksi SMP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Pakpahan</dc:creator>
  <cp:lastModifiedBy>Agus Widanarko</cp:lastModifiedBy>
  <dcterms:created xsi:type="dcterms:W3CDTF">2026-05-09T21:12:27Z</dcterms:created>
  <dcterms:modified xsi:type="dcterms:W3CDTF">2026-08-23T20:40:38Z</dcterms:modified>
</cp:coreProperties>
</file>